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ustomProperty" PartName="/xl/customProperty1.bin"/>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65" yWindow="-45" windowWidth="24630" windowHeight="11790" tabRatio="647" firstSheet="1" activeTab="1"/>
  </bookViews>
  <sheets>
    <sheet name="MW-Cache" sheetId="24139" state="veryHidden" r:id="rId1"/>
    <sheet name="ImportantDisclosures" sheetId="24170" r:id="rId2"/>
    <sheet name="INPUT" sheetId="23916" r:id="rId3"/>
    <sheet name="FORECAST-CORE" sheetId="23917" r:id="rId4"/>
    <sheet name="FORECAST-REPORTED" sheetId="24142" r:id="rId5"/>
    <sheet name="Guidance" sheetId="24158" r:id="rId6"/>
    <sheet name="IndexInformation" sheetId="24171" r:id="rId7"/>
    <sheet name="ModPubIndex" sheetId="24172" r:id="rId8"/>
    <sheet name="__FDSCACHE__" sheetId="23924" state="veryHidden" r:id="rId9"/>
  </sheets>
  <externalReferences>
    <externalReference r:id="rId10"/>
  </externalReferences>
  <definedNames>
    <definedName name="__FDS_HYPERLINK_TOGGLE_STATE__" hidden="1">"ON"</definedName>
    <definedName name="_1Q01">INPUT!$K:$K</definedName>
    <definedName name="_1Q02">INPUT!$S:$S</definedName>
    <definedName name="_1Q03">INPUT!$AA:$AA</definedName>
    <definedName name="_1Q04">INPUT!$AI:$AI</definedName>
    <definedName name="_1Q05">INPUT!$AQ$4:$AQ$743</definedName>
    <definedName name="_1Q06">INPUT!$AY$4:$AY$754</definedName>
    <definedName name="_1Q07">INPUT!$BG$4:$BG$754</definedName>
    <definedName name="_1Q08">INPUT!$BO:$BO</definedName>
    <definedName name="_1Q09">INPUT!$BW:$BW</definedName>
    <definedName name="_1Q10">INPUT!$CE:$CE</definedName>
    <definedName name="_1Q11">INPUT!$CM:$CM</definedName>
    <definedName name="_1Q12">INPUT!$CU:$CU</definedName>
    <definedName name="_1Q13">INPUT!$DC:$DC</definedName>
    <definedName name="_1Q14">INPUT!$DK:$DK</definedName>
    <definedName name="_1Q15">INPUT!$DS:$DS</definedName>
    <definedName name="_1Q16">INPUT!$EA:$EA</definedName>
    <definedName name="_1Q17">INPUT!$EI:$EI</definedName>
    <definedName name="_1Q18">INPUT!$EQ:$EQ</definedName>
    <definedName name="_2Q01">INPUT!$M:$M</definedName>
    <definedName name="_2Q02">INPUT!$U:$U</definedName>
    <definedName name="_2Q03">INPUT!$AC:$AC</definedName>
    <definedName name="_2Q04">INPUT!$AK:$AK</definedName>
    <definedName name="_2Q05">INPUT!$AS$4:$AS$743</definedName>
    <definedName name="_2Q06">INPUT!$BA$4:$BA$754</definedName>
    <definedName name="_2Q07">INPUT!$BI$4:$BI$754</definedName>
    <definedName name="_2Q08">INPUT!$BQ:$BQ</definedName>
    <definedName name="_2Q09">INPUT!$BY:$BY</definedName>
    <definedName name="_2Q10">INPUT!$CG:$CG</definedName>
    <definedName name="_2Q11">INPUT!$CO:$CO</definedName>
    <definedName name="_2Q12">INPUT!$CW:$CW</definedName>
    <definedName name="_2Q13">INPUT!$DE:$DE</definedName>
    <definedName name="_2Q14">INPUT!$DM:$DM</definedName>
    <definedName name="_2Q15">INPUT!$DU:$DU</definedName>
    <definedName name="_2Q16">INPUT!$EC:$EC</definedName>
    <definedName name="_2Q17">INPUT!$EK:$EK</definedName>
    <definedName name="_2Q18">INPUT!$ES:$ES</definedName>
    <definedName name="_3Q01">INPUT!$O:$O</definedName>
    <definedName name="_3Q02">INPUT!$W:$W</definedName>
    <definedName name="_3Q03">INPUT!$AE:$AE</definedName>
    <definedName name="_3Q04">INPUT!$AM:$AM</definedName>
    <definedName name="_3Q05">INPUT!$AU$4:$AU$743</definedName>
    <definedName name="_3Q06">INPUT!$BC$4:$BC$754</definedName>
    <definedName name="_3Q07">INPUT!$BK$4:$BK$754</definedName>
    <definedName name="_3Q08">INPUT!$BS:$BS</definedName>
    <definedName name="_3Q09">INPUT!$CA:$CA</definedName>
    <definedName name="_3Q10">INPUT!$CI:$CI</definedName>
    <definedName name="_3Q11">INPUT!$CQ:$CQ</definedName>
    <definedName name="_3Q12">INPUT!$CY:$CY</definedName>
    <definedName name="_3Q13">INPUT!$DG:$DG</definedName>
    <definedName name="_3Q14">INPUT!$DO:$DO</definedName>
    <definedName name="_3Q15">INPUT!$DW:$DW</definedName>
    <definedName name="_3Q16">INPUT!$EE:$EE</definedName>
    <definedName name="_3Q17">INPUT!$EM:$EM</definedName>
    <definedName name="_3Q18">INPUT!$EU:$EU</definedName>
    <definedName name="_4Q01">INPUT!$Q:$Q</definedName>
    <definedName name="_4Q02">INPUT!$Y:$Y</definedName>
    <definedName name="_4Q03">INPUT!$AG:$AG</definedName>
    <definedName name="_4Q05">INPUT!$AW$4:$AW$743</definedName>
    <definedName name="_4Q06">INPUT!$BE$4:$BE$754</definedName>
    <definedName name="_4Q07">INPUT!$BM$4:$BM$754</definedName>
    <definedName name="_4Q08">INPUT!$BU:$BU</definedName>
    <definedName name="_4Q09">INPUT!$CC:$CC</definedName>
    <definedName name="_4Q10">INPUT!$CK:$CK</definedName>
    <definedName name="_4Q11">INPUT!$CS:$CS</definedName>
    <definedName name="_4Q12">INPUT!$DA:$DA</definedName>
    <definedName name="_4Q13">INPUT!$DI:$DI</definedName>
    <definedName name="_4Q14">INPUT!$DQ:$DQ</definedName>
    <definedName name="_4Q15">INPUT!$DY:$DY</definedName>
    <definedName name="_4Q16">INPUT!$EG:$EG</definedName>
    <definedName name="_4Q17">INPUT!$EO:$EO</definedName>
    <definedName name="_4Q18">INPUT!$EW:$EW</definedName>
    <definedName name="_5_Yr">'FORECAST-CORE'!$EM$7:$EM$560</definedName>
    <definedName name="_bdm.08D6983525AC4B159E451EFFDE2C9EAD.edm" localSheetId="3" hidden="1">'FORECAST-CORE'!$A$3:$EM$61</definedName>
    <definedName name="_bdm.172B418549854EB5AFB3160B3D978E2A.edm" localSheetId="3" hidden="1">'FORECAST-CORE'!$A$3:$EM$58</definedName>
    <definedName name="_bdm.17B730C1BF5848E4B0288E8AC2436EFE.edm" hidden="1">INPUT!$1:$1048576</definedName>
    <definedName name="_bdm.183079C2ACD44C2CB2217E5F9C8CE1BC.edm" localSheetId="4" hidden="1">'FORECAST-REPORTED'!$A$3:$EM$62</definedName>
    <definedName name="_bdm.1CAD6B8089964204BB3BAD8550CB098A.edm" localSheetId="4" hidden="1">'FORECAST-REPORTED'!$A$56:$EM$90</definedName>
    <definedName name="_bdm.2C67586AB0F24D8F922A8FD81CADAF8D.edm" localSheetId="3" hidden="1">'FORECAST-CORE'!$A$65:$EM$102</definedName>
    <definedName name="_bdm.4FBAE2AB5208427EBB10A55E615B3240.edm" localSheetId="4" hidden="1">'FORECAST-REPORTED'!$A$3:$EM$49</definedName>
    <definedName name="_bdm.79135C88899A455C8C6823AC2945E9A6.edm" localSheetId="3" hidden="1">'FORECAST-CORE'!$A$3:$EM$59</definedName>
    <definedName name="_bdm.79135C88899A455C8C6823AC2945E9A6.edm" localSheetId="4" hidden="1">'FORECAST-REPORTED'!$A$3:$EM$50</definedName>
    <definedName name="_bdm.94FD71E002BE4384A9D93BDACD019CD7.edm" localSheetId="3" hidden="1">'FORECAST-CORE'!$A$3:$EM$59</definedName>
    <definedName name="_bdm.94FD71E002BE4384A9D93BDACD019CD7.edm" localSheetId="4" hidden="1">'FORECAST-REPORTED'!$A$3:$FS$50</definedName>
    <definedName name="_bdm.AEC8395F10B44C2B93FCCCABF5B3262E.edm" hidden="1">'FORECAST-CORE'!$1:$1048576</definedName>
    <definedName name="_bdm.D095CC941884455787A5CA3696B200C7.edm" localSheetId="3" hidden="1">'FORECAST-CORE'!$A$65:$EM$71</definedName>
    <definedName name="_bdm.D095CC941884455787A5CA3696B200C7.edm" localSheetId="4" hidden="1">'FORECAST-REPORTED'!$A$56:$EM$62</definedName>
    <definedName name="_bdm.E48ADC47CC7542C0BB6DDC7A2D70E1FC.edm" localSheetId="3" hidden="1">'FORECAST-CORE'!$A$66:$EM$90</definedName>
    <definedName name="_bdm.E48ADC47CC7542C0BB6DDC7A2D70E1FC.edm" localSheetId="4" hidden="1">'FORECAST-REPORTED'!$A$57:$FS$87</definedName>
    <definedName name="_bdm.F0D99841B6E24212913F0D1648432232.edm" hidden="1">'FORECAST-REPORTED'!$1:$1048576</definedName>
    <definedName name="_xlnm._FilterDatabase" localSheetId="2" hidden="1">INPUT!$A$1:$HH$1</definedName>
    <definedName name="_Fore_Rep_OP_EPS">'FORECAST-CORE'!$A$34:$EM$34</definedName>
    <definedName name="aa">INPUT!$A$3:$GI$743</definedName>
    <definedName name="Abnormals_AT">INPUT!$537:$537</definedName>
    <definedName name="AdditionalInstructions">IndexInformation!$B$42</definedName>
    <definedName name="Address" localSheetId="1">ImportantDisclosures!$A$2:$A$2</definedName>
    <definedName name="AmtIssued">INPUT!$596:$596</definedName>
    <definedName name="AmtRepurch">INPUT!$601:$601</definedName>
    <definedName name="ANA" localSheetId="7">ModPubIndex!$A$7</definedName>
    <definedName name="Annuities_ATEarns">INPUT!$518:$518</definedName>
    <definedName name="Annuities_Bal_EOP">INPUT!$76:$76</definedName>
    <definedName name="Annuities_NetRevenue">INPUT!$87:$87</definedName>
    <definedName name="Annuities_ROA">INPUT!$123:$123</definedName>
    <definedName name="Annuity_ATEarns">INPUT!$116:$116</definedName>
    <definedName name="Annuity_AvgAUM">INPUT!$74:$74</definedName>
    <definedName name="Annuity_Expenses">INPUT!$106:$106</definedName>
    <definedName name="Annuity_InterestCredited">INPUT!$85:$85</definedName>
    <definedName name="Annuity_InvestmentIncome">INPUT!$84:$84</definedName>
    <definedName name="Annuity_OpMargin">INPUT!$122:$122</definedName>
    <definedName name="AssetMgmt_Deposits">INPUT!$738:$738</definedName>
    <definedName name="AssetMgmt_EOP_AUM">INPUT!$363:$363</definedName>
    <definedName name="AssetMgmt_NetFlows">INPUT!$737:$737</definedName>
    <definedName name="AssetMgmt_Withdrawals">INPUT!$739:$739</definedName>
    <definedName name="Authors" localSheetId="1">ImportantDisclosures!$A$7</definedName>
    <definedName name="Authors" localSheetId="6">IndexInformation!$B$18</definedName>
    <definedName name="Avg_Eq_ex115">INPUT!$663:$663</definedName>
    <definedName name="Avg_eq_incl115">INPUT!$662:$662</definedName>
    <definedName name="AvgShrsOut">INPUT!$611:$611</definedName>
    <definedName name="BenefitsRatio_Group">INPUT!$303:$303</definedName>
    <definedName name="BenefitsRatio_LIfeIns">INPUT!$267:$267</definedName>
    <definedName name="BIG">INPUT!$B$639:$GI$639</definedName>
    <definedName name="BIG_FixPct">INPUT!$B$638:$GI$638</definedName>
    <definedName name="BIG_ShrEqPct">INPUT!$B$640:$GI$640</definedName>
    <definedName name="BRO" localSheetId="7">ModPubIndex!$A$1</definedName>
    <definedName name="Buybacks_AvgPrice">INPUT!$599:$599</definedName>
    <definedName name="BVPS_ex115">INPUT!$681:$681</definedName>
    <definedName name="BVPS_ex115FD">INPUT!$682:$682</definedName>
    <definedName name="BVPS_incl115">INPUT!$693:$693</definedName>
    <definedName name="BVPS_incl115FD">INPUT!$695:$695</definedName>
    <definedName name="BVPS_tang">INPUT!$694:$694</definedName>
    <definedName name="CO_ATEarns">INPUT!$485:$485</definedName>
    <definedName name="Consolidated_Benefits">INPUT!$500:$500</definedName>
    <definedName name="Consolidated_MgmtFees">INPUT!$494:$494</definedName>
    <definedName name="Consolidated_NII">INPUT!$751:$751</definedName>
    <definedName name="Consolidated_OperatingExpenses">INPUT!$504:$504</definedName>
    <definedName name="Consolidated_OtherRevs">INPUT!$495:$495</definedName>
    <definedName name="Consolidated_Premiums">INPUT!$493:$493</definedName>
    <definedName name="Consolidated_Revenues">INPUT!$497:$497</definedName>
    <definedName name="CopyrightStamp">ImportantDisclosures!$A$27</definedName>
    <definedName name="Core_Annuities_PTEarns">INPUT!$726:$726</definedName>
    <definedName name="Core_Annuity_ATEarns">INPUT!$118:$118</definedName>
    <definedName name="Core_AssetMgmt_PTEarns">INPUT!$B$729:$GI$729</definedName>
    <definedName name="Core_ATEarns">INPUT!$741:$741</definedName>
    <definedName name="Core_CO_ATEarns">INPUT!$487:$487</definedName>
    <definedName name="Core_Group_ATEarns">INPUT!$311:$311</definedName>
    <definedName name="Core_Group_PTEarns">INPUT!$728:$728</definedName>
    <definedName name="Core_Intl_PTEarns">INPUT!$B$730:$GI$730</definedName>
    <definedName name="Core_Life_PTEarns">INPUT!$725:$725</definedName>
    <definedName name="Core_LifeIns_ATEarns">INPUT!$275:$275</definedName>
    <definedName name="Core_OpEPS">INPUT!$618:$618</definedName>
    <definedName name="Core_OpROE">INPUT!$747:$747</definedName>
    <definedName name="Core_Other_PTEarns">INPUT!$731:$731</definedName>
    <definedName name="Core_Retirement_ATEarns">INPUT!$179:$179</definedName>
    <definedName name="Core_Retirement_PTEarns">INPUT!$727:$727</definedName>
    <definedName name="Core_ROE">INPUT!$747:$747</definedName>
    <definedName name="CoreOpEarns_AT">INPUT!$536:$536</definedName>
    <definedName name="CoreOpEarns_PT">INPUT!$732:$732</definedName>
    <definedName name="corePTearnings_annuities">INPUT!$119:$119</definedName>
    <definedName name="CorePTEarns_Annuity">INPUT!$B$727:$GI$727</definedName>
    <definedName name="CorePTEarns_Intl">INPUT!$B$740:$GI$740</definedName>
    <definedName name="CorePTEarns_InvMgmt">INPUT!$B$736:$GI$736</definedName>
    <definedName name="CorePTEarns_LifeIns">INPUT!$B$726:$GI$726</definedName>
    <definedName name="corePTEarns_RetirementDefinedCont">INPUT!$180:$180</definedName>
    <definedName name="COU" localSheetId="7">ModPubIndex!$A$5</definedName>
    <definedName name="CPP">INPUT!$646:$646</definedName>
    <definedName name="CQEnd" localSheetId="6">IndexInformation!$B$31</definedName>
    <definedName name="CredCost">INPUT!$97:$97</definedName>
    <definedName name="Currency" localSheetId="6">IndexInformation!$B$24</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YEnd" localSheetId="6">IndexInformation!$B$30</definedName>
    <definedName name="DAC_Annuities">INPUT!$103:$103</definedName>
    <definedName name="DAC_Asset">INPUT!$629:$629</definedName>
    <definedName name="DAC_Pension">INPUT!$165:$165</definedName>
    <definedName name="Date" localSheetId="1">ImportantDisclosures!$A$8</definedName>
    <definedName name="DC_Outflows">INPUT!$131:$131</definedName>
    <definedName name="DebtService">INPUT!$476:$476</definedName>
    <definedName name="Deleted" localSheetId="6">IndexInformation!$B$27</definedName>
    <definedName name="Deposits_DC">INPUT!$130:$130</definedName>
    <definedName name="Deposits_FA">INPUT!$50:$50</definedName>
    <definedName name="Deposits_VA">INPUT!$29:$29</definedName>
    <definedName name="DerivGainLoss">INPUT!$B$547:$GI$547</definedName>
    <definedName name="Description" localSheetId="6">IndexInformation!$B$7</definedName>
    <definedName name="Discipline" localSheetId="6">IndexInformation!$B$3</definedName>
    <definedName name="DISCIPLINE" localSheetId="7">ModPubIndex!$A$12</definedName>
    <definedName name="DisclosuresText">ImportantDisclosures!$A$22</definedName>
    <definedName name="Distribution" localSheetId="6">IndexInformation!$B$26</definedName>
    <definedName name="DistTable" localSheetId="1">ImportantDisclosures!#REF!</definedName>
    <definedName name="DistTablePreamble" localSheetId="1">ImportantDisclosures!#REF!</definedName>
    <definedName name="DivAmt">INPUT!$590:$590</definedName>
    <definedName name="DiviAmt">INPUT!$590:$590</definedName>
    <definedName name="DivPayout">INPUT!$B$589:$GI$589</definedName>
    <definedName name="DivPS">INPUT!$588:$588</definedName>
    <definedName name="DOCDAT" localSheetId="7">ModPubIndex!$A$2</definedName>
    <definedName name="DOCTIME" localSheetId="7">ModPubIndex!$A$3</definedName>
    <definedName name="DocType" localSheetId="6">IndexInformation!$B$5</definedName>
    <definedName name="EMAIL_ALERT" localSheetId="7">ModPubIndex!$A$10</definedName>
    <definedName name="EmailAlert" localSheetId="6">IndexInformation!$B$28</definedName>
    <definedName name="EOP_Eq_ex115">INPUT!$657:$657</definedName>
    <definedName name="EOP_Eq_incl115">INPUT!$655:$655</definedName>
    <definedName name="EOPShrsOut">INPUT!$609:$609</definedName>
    <definedName name="EOPShrsOut_PrefConv">INPUT!$610:$610</definedName>
    <definedName name="EPS_ForConsensus">INPUT!$622:$622</definedName>
    <definedName name="F1998_">INPUT!$FB$4:$FB$743</definedName>
    <definedName name="F1999_">INPUT!$FD$4:$FD$743</definedName>
    <definedName name="F2000_">INPUT!$FF$4:$FF$743</definedName>
    <definedName name="F2001_">INPUT!$FH$4:$FH$743</definedName>
    <definedName name="F2002_">INPUT!$FJ$4:$FJ$743</definedName>
    <definedName name="F2003_">INPUT!$FL$4:$FL$743</definedName>
    <definedName name="F2004_">INPUT!$FN$4:$FN$743</definedName>
    <definedName name="F2005_">INPUT!$FP$4:$FP$743</definedName>
    <definedName name="F2006_">INPUT!$FR$4:$FR$754</definedName>
    <definedName name="F2007_">INPUT!$FT$4:$FT$754</definedName>
    <definedName name="F2008_">INPUT!$FV$4:$FV$754</definedName>
    <definedName name="F2009_">INPUT!$FX:$FX</definedName>
    <definedName name="F2010_">INPUT!$FZ:$FZ</definedName>
    <definedName name="F2011_">INPUT!$GB:$GB</definedName>
    <definedName name="F2012_">INPUT!$GD:$GD</definedName>
    <definedName name="F2013_">INPUT!$GF:$GF</definedName>
    <definedName name="F2014_">INPUT!$GH:$GH</definedName>
    <definedName name="F2015_">INPUT!$GJ:$GJ</definedName>
    <definedName name="F2016_">INPUT!$GL:$GL</definedName>
    <definedName name="F2017_">INPUT!$GN:$GN</definedName>
    <definedName name="F2018_">INPUT!$GP:$GP</definedName>
    <definedName name="F2019_">INPUT!$GR:$GR</definedName>
    <definedName name="F2020_">INPUT!$GT:$GT</definedName>
    <definedName name="F2021_">INPUT!$GV:$GV</definedName>
    <definedName name="F2022_">INPUT!$GX:$GX</definedName>
    <definedName name="FA_AuM">INPUT!$55:$55</definedName>
    <definedName name="FA_Bal_EOP">INPUT!$58:$58</definedName>
    <definedName name="FA_BOL_BOP">INPUT!$49:$49</definedName>
    <definedName name="FA_NetFlows">INPUT!$60:$60</definedName>
    <definedName name="FA_Spread">INPUT!$98:$98</definedName>
    <definedName name="FAS115_Adjmt">INPUT!$B$656:$GI$656</definedName>
    <definedName name="FAS115_AdjmtFD">INPUT!$656:$656</definedName>
    <definedName name="FiveYearGrowthRate" localSheetId="6">IndexInformation!$B$16</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forecast" localSheetId="4"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Goodwill">INPUT!$B$630:$GI$630</definedName>
    <definedName name="GP_Margin">INPUT!$315:$315</definedName>
    <definedName name="Group_ATEarns">INPUT!$309:$309</definedName>
    <definedName name="Group_Ben_Exp">INPUT!$297:$297</definedName>
    <definedName name="Group_BenefitRatio">INPUT!$B$740:$GI$740</definedName>
    <definedName name="Group_DAC">INPUT!$295:$295</definedName>
    <definedName name="Group_Expenses">INPUT!$294:$294</definedName>
    <definedName name="Group_NII">INPUT!$286:$286</definedName>
    <definedName name="HL" localSheetId="7">ModPubIndex!$A$8</definedName>
    <definedName name="i" localSheetId="4" hidden="1">{"Qtr Op Mgd Q3",#N/A,FALSE,"Qtr-Op (Mng)";"Qtr Op Rpt Q3",#N/A,FALSE,"Qtr-Op (Rpt)";"Operating Vs Reported",#N/A,FALSE,"Rpt-Op Inc"}</definedName>
    <definedName name="i" hidden="1">{"Qtr Op Mgd Q3",#N/A,FALSE,"Qtr-Op (Mng)";"Qtr Op Rpt Q3",#N/A,FALSE,"Qtr-Op (Rpt)";"Operating Vs Reported",#N/A,FALSE,"Rpt-Op Inc"}</definedName>
    <definedName name="IND" localSheetId="7">ModPubIndex!$A$9</definedName>
    <definedName name="Industry" localSheetId="1">ImportantDisclosures!$A$12</definedName>
    <definedName name="IndustryId">IndexInformation!$B$40</definedName>
    <definedName name="IndustryRating" localSheetId="1">ImportantDisclosures!$A$13</definedName>
    <definedName name="Int_Exp">INPUT!$505:$505</definedName>
    <definedName name="IntCred">INPUT!$501:$501</definedName>
    <definedName name="Interest_Cred">INPUT!$252:$252</definedName>
    <definedName name="Interest_Credited">INPUT!$750:$750</definedName>
    <definedName name="InterestCredited_Retirement">INPUT!$147:$147</definedName>
    <definedName name="IntSenLife_BOP">INPUT!$189:$189</definedName>
    <definedName name="IntSenRes_Avg">INPUT!$200:$200</definedName>
    <definedName name="Inv.Mgmt_Sales">INPUT!$B$358:$GK$358</definedName>
    <definedName name="Inv_Income">INPUT!$749:$749</definedName>
    <definedName name="Investments">INPUT!$B$627:$GI$627</definedName>
    <definedName name="InvInc">INPUT!$B$496:$GI$496</definedName>
    <definedName name="InvMgmt_NetFlows">INPUT!$B$367:$GI$367</definedName>
    <definedName name="InvMgmt_Withdrawals">INPUT!$B$359:$GK$359</definedName>
    <definedName name="Issuance_Timing">INPUT!$595:$595</definedName>
    <definedName name="KeepVersions" localSheetId="6">IndexInformation!$B$8</definedName>
    <definedName name="Label">INPUT!$B$4:$B$743</definedName>
    <definedName name="LanguageCode">IndexInformation!$B$38</definedName>
    <definedName name="LastCell" localSheetId="1">ImportantDisclosures!$A$22</definedName>
    <definedName name="Life_AvgReserve">INPUT!$232:$232</definedName>
    <definedName name="Life_Expenses">INPUT!$260:$260</definedName>
    <definedName name="Life_Fees">INPUT!$237:$237</definedName>
    <definedName name="Life_NetRevenue">INPUT!$241:$241</definedName>
    <definedName name="Life_NII">INPUT!$238:$238</definedName>
    <definedName name="Life_OpMargin">INPUT!$279:$279</definedName>
    <definedName name="Life_Spreads">INPUT!$253:$253</definedName>
    <definedName name="LifeIns_ATEarns">INPUT!$273:$273</definedName>
    <definedName name="Linking_1">Guidance!$AE$4:$AG$9</definedName>
    <definedName name="Linking_6">Guidance!$AE$4:$AG$10</definedName>
    <definedName name="Linking_7">Guidance!$AE$3:$AG$10</definedName>
    <definedName name="Linking_Range_3">'FORECAST-CORE'!$A$3:$EM$58</definedName>
    <definedName name="Linking_Range_4">'FORECAST-CORE'!$A$65:$EM$99</definedName>
    <definedName name="LTD_to_Cap_ex115">INPUT!$B$676:$GI$676</definedName>
    <definedName name="LTD_to_Cap_incl115">INPUT!$B$688:$GI$688</definedName>
    <definedName name="LTD_to_Eq_ex115">INPUT!$677:$677</definedName>
    <definedName name="LTD_to_LTCap_ex115">INPUT!$B$673:$GI$673</definedName>
    <definedName name="LTD_to_LTCap_incl115">INPUT!$B$687:$GI$687</definedName>
    <definedName name="LTDebt">INPUT!$B$644:$GI$644</definedName>
    <definedName name="MacroVersion" localSheetId="6">IndexInformation!$B$1</definedName>
    <definedName name="ModelPrice" localSheetId="1">ImportantDisclosures!$A$14</definedName>
    <definedName name="Multiplier" localSheetId="6">IndexInformation!$B$35</definedName>
    <definedName name="multSecurities_L">[1]MultipleSecurities!$A$2:$A$17</definedName>
    <definedName name="Net_EPS">INPUT!$B$617:$GI$617</definedName>
    <definedName name="Net_Revenues">INPUT!$754:$754</definedName>
    <definedName name="NetEarnedRate">INPUT!$96:$96</definedName>
    <definedName name="NetEarns">INPUT!$566:$566</definedName>
    <definedName name="NextYearEPS" localSheetId="6">IndexInformation!$B$13</definedName>
    <definedName name="NextYearTotalRevenue" localSheetId="6">IndexInformation!$B$12</definedName>
    <definedName name="NextYearTotalRevenueActual" localSheetId="6">IndexInformation!$B$33</definedName>
    <definedName name="NII">INPUT!$251:$251</definedName>
    <definedName name="ObjectType">IndexInformation!$B$37</definedName>
    <definedName name="Op_EPS">INPUT!$614:$614</definedName>
    <definedName name="Op_ROE">INPUT!$666:$666</definedName>
    <definedName name="Op_ROE_TARP">INPUT!$667:$667</definedName>
    <definedName name="OpEarns_AT">INPUT!$541:$541</definedName>
    <definedName name="OpEarns_ForConsensus">INPUT!$544:$544</definedName>
    <definedName name="opearns_pt">INPUT!$508:$508</definedName>
    <definedName name="OpExpenses_Annuities">INPUT!$104:$104</definedName>
    <definedName name="OpExpenses_Group">INPUT!$296:$296</definedName>
    <definedName name="OpExpenses_Life">INPUT!$259:$259</definedName>
    <definedName name="OpExpenses_Pension">INPUT!$167:$167</definedName>
    <definedName name="PANA" localSheetId="7">ModPubIndex!$A$11</definedName>
    <definedName name="PathName" localSheetId="6">IndexInformation!$B$25</definedName>
    <definedName name="Pctcontrib_Annuity">INPUT!$B$571:$GI$571</definedName>
    <definedName name="Pctcontrib_C_O">INPUT!$B$581:$GI$581</definedName>
    <definedName name="Pctcontrib_Comm">INPUT!$B$580:$GI$580</definedName>
    <definedName name="Pctcontrib_Exec">INPUT!$B$576:$GI$576</definedName>
    <definedName name="Pctcontrib_Group">INPUT!$B$575:$GI$575</definedName>
    <definedName name="Pctcontrib_Intl">INPUT!$B$579:$GI$579</definedName>
    <definedName name="Pctcontrib_InvMgmt">INPUT!$B$578:$GI$578</definedName>
    <definedName name="Pctcontrib_LifeIns">INPUT!$B$574:$GI$574</definedName>
    <definedName name="Pctcontrib_Pension">INPUT!$B$572:$GI$572</definedName>
    <definedName name="Pension_Expenses">INPUT!$168:$168</definedName>
    <definedName name="Pension_Fees">INPUT!$145:$145</definedName>
    <definedName name="Pension_NetRevenue">INPUT!$150:$150</definedName>
    <definedName name="Pension_NII">INPUT!$146:$146</definedName>
    <definedName name="Period">INPUT!$B$6:$GI$6</definedName>
    <definedName name="PfdStk">INPUT!$B$647:$GI$647</definedName>
    <definedName name="PolicyLiabilities">INPUT!$649:$649</definedName>
    <definedName name="Premium_Group">INPUT!$285:$285</definedName>
    <definedName name="Premiums_Annuities">INPUT!$82:$82</definedName>
    <definedName name="Premiums_Life">INPUT!$236:$236</definedName>
    <definedName name="Premiums_Total">INPUT!$745:$745</definedName>
    <definedName name="_xlnm.Print_Area" localSheetId="3">'FORECAST-CORE'!$A$3:$EM$58</definedName>
    <definedName name="_xlnm.Print_Area" localSheetId="4">'FORECAST-REPORTED'!$A$1:$EM$497</definedName>
    <definedName name="PRODUCT" localSheetId="7">ModPubIndex!$A$6</definedName>
    <definedName name="PSYM" localSheetId="7">ModPubIndex!$A$4</definedName>
    <definedName name="PTEarns_Annuity">INPUT!$B$113:$GI$113</definedName>
    <definedName name="PTEarns_CO">INPUT!$B$482:$GI$482</definedName>
    <definedName name="PTEarns_Comm">INPUT!$B$456:$GI$456</definedName>
    <definedName name="PTEarns_ExecBen">INPUT!$B$343:$GI$343</definedName>
    <definedName name="PTEarns_Group">INPUT!$B$306:$GI$306</definedName>
    <definedName name="PTEarns_Intl">INPUT!$B$425:$GI$425</definedName>
    <definedName name="PTEarns_InvMgmt">INPUT!$B$391:$GI$391</definedName>
    <definedName name="PTEarns_LifeIns">INPUT!$B$270:$GI$270</definedName>
    <definedName name="PTEarns_Retirement">INPUT!$174:$174</definedName>
    <definedName name="PublishDate" localSheetId="6">IndexInformation!$B$2</definedName>
    <definedName name="q" localSheetId="4" hidden="1">{"Qtr Op Mgd Q2",#N/A,FALSE,"Qtr-Op (Mng)";"Qtr Op Rpt Q2",#N/A,FALSE,"Qtr-Op (Rpt)";"Operating Vs Reported",#N/A,FALSE,"Rpt-Op Inc"}</definedName>
    <definedName name="q" hidden="1">{"Qtr Op Mgd Q2",#N/A,FALSE,"Qtr-Op (Mng)";"Qtr Op Rpt Q2",#N/A,FALSE,"Qtr-Op (Rpt)";"Operating Vs Reported",#N/A,FALSE,"Rpt-Op Inc"}</definedName>
    <definedName name="Rating" localSheetId="6">IndexInformation!$B$9</definedName>
    <definedName name="RatingsDefined" localSheetId="1">ImportantDisclosures!$A$21</definedName>
    <definedName name="RatingsDefs" localSheetId="1">ImportantDisclosures!#REF!</definedName>
    <definedName name="RealGainLoss">INPUT!$546:$546</definedName>
    <definedName name="RegACDisclosure" localSheetId="1">ImportantDisclosures!#REF!</definedName>
    <definedName name="rep" localSheetId="4" hidden="1">{#N/A,#N/A,FALSE,"COVER";#N/A,#N/A,FALSE,"VALUATION";#N/A,#N/A,FALSE,"FORECAST";#N/A,#N/A,FALSE,"FY ANALYSIS ";#N/A,#N/A,FALSE," HY ANALYSIS"}</definedName>
    <definedName name="rep" hidden="1">{#N/A,#N/A,FALSE,"COVER";#N/A,#N/A,FALSE,"VALUATION";#N/A,#N/A,FALSE,"FORECAST";#N/A,#N/A,FALSE,"FY ANALYSIS ";#N/A,#N/A,FALSE," HY ANALYSIS"}</definedName>
    <definedName name="Rep_ROE_ex115">INPUT!$668:$668</definedName>
    <definedName name="Rep_ROE_incl115">INPUT!$B$669:$GI$669</definedName>
    <definedName name="Rep_Timing">INPUT!$600:$600</definedName>
    <definedName name="Reported_EPS">INPUT!$617:$617</definedName>
    <definedName name="ResearchTopic" localSheetId="6">IndexInformation!$B$4</definedName>
    <definedName name="RestructChg">INPUT!$B$548:$GI$548</definedName>
    <definedName name="Ret_Flows">INPUT!$137:$137</definedName>
    <definedName name="Ret_Spreads">INPUT!$161:$161</definedName>
    <definedName name="Retirement_ATEarns">INPUT!$177:$177</definedName>
    <definedName name="Retirement_AvgAUM">INPUT!$134:$134</definedName>
    <definedName name="Retirement_Mkt_Impact">INPUT!$132:$132</definedName>
    <definedName name="Retirement_NetFlows">INPUT!$743:$743</definedName>
    <definedName name="Retirement_OpMargin">INPUT!$183:$183</definedName>
    <definedName name="Rev">INPUT!$B$497:$GI$497</definedName>
    <definedName name="Rev_Corp">INPUT!$473:$473</definedName>
    <definedName name="Rev_EeBen">INPUT!$288:$288</definedName>
    <definedName name="Rev_LifeIns">INPUT!$240:$240</definedName>
    <definedName name="Rev_Retirement">INPUT!$149:$149</definedName>
    <definedName name="Revenue_Annuity">INPUT!$86:$86</definedName>
    <definedName name="RIC" localSheetId="6">IndexInformation!$B$21</definedName>
    <definedName name="Sales_COLI">INPUT!$705:$705</definedName>
    <definedName name="Sales_IndividualLife">INPUT!$706:$706</definedName>
    <definedName name="Sales_UL">INPUT!$701:$701</definedName>
    <definedName name="Sales_VUL">INPUT!$702:$702</definedName>
    <definedName name="Sales_WL">INPUT!$703:$703</definedName>
    <definedName name="SECSettlement" localSheetId="1">ImportantDisclosures!#REF!</definedName>
    <definedName name="SEDOL" localSheetId="6">IndexInformation!$B$22</definedName>
    <definedName name="SeptAcct">INPUT!$628:$628</definedName>
    <definedName name="ShareBuyback">INPUT!$601:$601</definedName>
    <definedName name="ShrsIssued">INPUT!$593:$593</definedName>
    <definedName name="ShrsRepurch">INPUT!$598:$598</definedName>
    <definedName name="SOI_FAFlows">INPUT!$B$735:$GI$735</definedName>
    <definedName name="SOI_Life_Sales">INPUT!$B$734:$GI$734</definedName>
    <definedName name="SOI_VAFlows">INPUT!$B$736:$GI$736</definedName>
    <definedName name="SourceDefined" localSheetId="1">ImportantDisclosures!$A$19</definedName>
    <definedName name="STDebt">INPUT!$B$643:$GI$643</definedName>
    <definedName name="StockRating" localSheetId="1">ImportantDisclosures!$A$11</definedName>
    <definedName name="SubjectCode" localSheetId="6">IndexInformation!$B$6</definedName>
    <definedName name="SubmitterUserId">IndexInformation!$B$39</definedName>
    <definedName name="SUPPRESSED" localSheetId="7">ModPubIndex!$A$13</definedName>
    <definedName name="TargetPrice" localSheetId="1">ImportantDisclosures!$A$15</definedName>
    <definedName name="taxes">INPUT!$509:$509</definedName>
    <definedName name="TaxRate">INPUT!$510:$510</definedName>
    <definedName name="TemplateRegion">IndexInformation!$B$36</definedName>
    <definedName name="Ticker" localSheetId="1">ImportantDisclosures!$A$10</definedName>
    <definedName name="TickerRegion">IndexInformation!$B$41</definedName>
    <definedName name="Tickers" localSheetId="6">IndexInformation!$B$19</definedName>
    <definedName name="Tot_Debt">INPUT!$645:$645</definedName>
    <definedName name="Total_Cap_ex115">INPUT!$B$672:$GI$672</definedName>
    <definedName name="Total_DAC">INPUT!$503:$503</definedName>
    <definedName name="Total_Expenses">INPUT!$506:$506</definedName>
    <definedName name="TotalAssets">INPUT!$632:$632</definedName>
    <definedName name="TotalNonOpItems">INPUT!$552:$552</definedName>
    <definedName name="UL_NetFlows">INPUT!$B$202:$GI$202</definedName>
    <definedName name="UpdateReason" localSheetId="6">IndexInformation!$B$17</definedName>
    <definedName name="USRegDisclosures" localSheetId="1">ImportantDisclosures!#REF!</definedName>
    <definedName name="VA_Bal_EOP">INPUT!$37:$37</definedName>
    <definedName name="VA_BOP_AUM">INPUT!$28:$28</definedName>
    <definedName name="VA_Fees">INPUT!$83:$83</definedName>
    <definedName name="VA_Lapses">INPUT!$42:$42</definedName>
    <definedName name="VA_Mkt_Impact">INPUT!$32:$32</definedName>
    <definedName name="VA_NetFlows">INPUT!$39:$39</definedName>
    <definedName name="VA_Outflows">INPUT!$31:$31</definedName>
    <definedName name="VL_NetFlows">INPUT!$B$221:$GI$221</definedName>
    <definedName name="VUL_Bal_EOP">INPUT!$214:$214</definedName>
    <definedName name="VUL_Mkt_Impact">INPUT!$212:$212</definedName>
    <definedName name="wrn.Annual._.Operating._.Earnings." localSheetId="4"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4"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Forecast._.Q1." localSheetId="4"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4"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4"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4"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4"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4" hidden="1">{#N/A,#N/A,FALSE,"COVER";#N/A,#N/A,FALSE,"VALUATION";#N/A,#N/A,FALSE,"FORECAST";#N/A,#N/A,FALSE,"FY ANALYSIS ";#N/A,#N/A,FALSE," HY ANALYSIS"}</definedName>
    <definedName name="wrn.Full._.Report." hidden="1">{#N/A,#N/A,FALSE,"COVER";#N/A,#N/A,FALSE,"VALUATION";#N/A,#N/A,FALSE,"FORECAST";#N/A,#N/A,FALSE,"FY ANALYSIS ";#N/A,#N/A,FALSE," HY ANALYSIS"}</definedName>
    <definedName name="wrn.Qtr._.Op._.Q1." localSheetId="4"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4"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4"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4"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4"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4" hidden="1">{"Qtr Op Mgd Q3",#N/A,FALSE,"Qtr-Op (Mng)";"Qtr Op Rpt Q4",#N/A,FALSE,"Qtr-Op (Rpt)";"Operating Vs Reported",#N/A,FALSE,"Rpt-Op Inc"}</definedName>
    <definedName name="wrn.Qtr_.Op._.Q4." hidden="1">{"Qtr Op Mgd Q3",#N/A,FALSE,"Qtr-Op (Mng)";"Qtr Op Rpt Q4",#N/A,FALSE,"Qtr-Op (Rpt)";"Operating Vs Reported",#N/A,FALSE,"Rpt-Op Inc"}</definedName>
    <definedName name="wrn.Report." localSheetId="4" hidden="1">{#N/A,#N/A,FALSE,"COVER";#N/A,#N/A,FALSE,"FORECAST";#N/A,#N/A,FALSE,"VALUATION";#N/A,#N/A,FALSE,"FY ANALYSIS ";#N/A,#N/A,FALSE," HY ANALYSIS"}</definedName>
    <definedName name="wrn.Report." hidden="1">{#N/A,#N/A,FALSE,"COVER";#N/A,#N/A,FALSE,"FORECAST";#N/A,#N/A,FALSE,"VALUATION";#N/A,#N/A,FALSE,"FY ANALYSIS ";#N/A,#N/A,FALSE," HY ANALYSIS"}</definedName>
    <definedName name="wrn.Variance._.3." localSheetId="4" hidden="1">{"Variance Q3",#N/A,FALSE,"Var"}</definedName>
    <definedName name="wrn.Variance._.3." hidden="1">{"Variance Q3",#N/A,FALSE,"Var"}</definedName>
    <definedName name="wrn.Variance._.Q1." localSheetId="4" hidden="1">{"Variance Q1",#N/A,FALSE,"Var"}</definedName>
    <definedName name="wrn.Variance._.Q1." hidden="1">{"Variance Q1",#N/A,FALSE,"Var"}</definedName>
    <definedName name="wrn.Variance._.Q2." localSheetId="4" hidden="1">{"Variance Q2",#N/A,FALSE,"Var"}</definedName>
    <definedName name="wrn.Variance._.Q2." hidden="1">{"Variance Q2",#N/A,FALSE,"Var"}</definedName>
    <definedName name="wrn.Variance._.Q3." localSheetId="4" hidden="1">{"Variance Q3",#N/A,FALSE,"Var"}</definedName>
    <definedName name="wrn.Variance._.Q3." hidden="1">{"Variance Q3",#N/A,FALSE,"Var"}</definedName>
    <definedName name="wrn.Variance._.Q4" localSheetId="4" hidden="1">{"Variance Q4",#N/A,FALSE,"Var"}</definedName>
    <definedName name="wrn.Variance._.Q4" hidden="1">{"Variance Q4",#N/A,FALSE,"Var"}</definedName>
    <definedName name="wrn.Variance._.Q4." localSheetId="4" hidden="1">{"Variance Q4",#N/A,FALSE,"Var"}</definedName>
    <definedName name="wrn.Variance._.Q4." hidden="1">{"Variance Q4",#N/A,FALSE,"Var"}</definedName>
  </definedNames>
  <calcPr calcId="145621" iterate="1"/>
</workbook>
</file>

<file path=xl/calcChain.xml><?xml version="1.0" encoding="utf-8"?>
<calcChain xmlns="http://schemas.openxmlformats.org/spreadsheetml/2006/main">
  <c r="GV791" i="23916" l="1"/>
  <c r="GT791" i="23916"/>
  <c r="EU791" i="23916"/>
  <c r="ES791" i="23916"/>
  <c r="GV764" i="23916"/>
  <c r="GT764" i="23916"/>
  <c r="GR764" i="23916"/>
  <c r="EU764" i="23916"/>
  <c r="ES764" i="23916"/>
  <c r="EQ764" i="23916"/>
  <c r="EO764" i="23916"/>
  <c r="EM764" i="23916"/>
  <c r="EK764" i="23916"/>
  <c r="EI764" i="23916"/>
  <c r="EG764" i="23916"/>
  <c r="EE764" i="23916"/>
  <c r="EC764" i="23916"/>
  <c r="EA764" i="23916"/>
  <c r="DY764" i="23916"/>
  <c r="GX759" i="23916"/>
  <c r="GV759" i="23916"/>
  <c r="GT759" i="23916"/>
  <c r="GR759" i="23916"/>
  <c r="EW759" i="23916"/>
  <c r="EU759" i="23916"/>
  <c r="ES759" i="23916"/>
  <c r="EQ759" i="23916"/>
  <c r="EO759" i="23916"/>
  <c r="EM759" i="23916"/>
  <c r="EK759" i="23916"/>
  <c r="EI759" i="23916"/>
  <c r="EG759" i="23916"/>
  <c r="EE759" i="23916"/>
  <c r="EC759" i="23916"/>
  <c r="EA759" i="23916"/>
  <c r="DY759" i="23916"/>
  <c r="FN745" i="23916"/>
  <c r="FL745" i="23916"/>
  <c r="FJ745" i="23916"/>
  <c r="FH745" i="23916"/>
  <c r="FF745" i="23916"/>
  <c r="FD745" i="23916"/>
  <c r="FB745" i="23916"/>
  <c r="GX739" i="23916"/>
  <c r="GX738" i="23916"/>
  <c r="GX737" i="23916"/>
  <c r="GX734" i="23916"/>
  <c r="GV739" i="23916"/>
  <c r="GV738" i="23916"/>
  <c r="GV737" i="23916"/>
  <c r="GV734" i="23916"/>
  <c r="GT740" i="23916"/>
  <c r="GT739" i="23916"/>
  <c r="GT738" i="23916"/>
  <c r="GT737" i="23916"/>
  <c r="GT734" i="23916"/>
  <c r="GR740" i="23916"/>
  <c r="GR739" i="23916"/>
  <c r="GR738" i="23916"/>
  <c r="GR737" i="23916"/>
  <c r="GR734" i="23916"/>
  <c r="GP739" i="23916"/>
  <c r="GP738" i="23916"/>
  <c r="GP737" i="23916"/>
  <c r="GP734" i="23916"/>
  <c r="GN739" i="23916"/>
  <c r="GN738" i="23916"/>
  <c r="GN737" i="23916"/>
  <c r="GN734" i="23916"/>
  <c r="GL739" i="23916"/>
  <c r="GL738" i="23916"/>
  <c r="GL737" i="23916"/>
  <c r="GL734" i="23916"/>
  <c r="GJ739" i="23916"/>
  <c r="GJ738" i="23916"/>
  <c r="GJ737" i="23916"/>
  <c r="GJ734" i="23916"/>
  <c r="GH739" i="23916"/>
  <c r="GH738" i="23916"/>
  <c r="GH737" i="23916"/>
  <c r="GH734" i="23916"/>
  <c r="GF739" i="23916"/>
  <c r="GF738" i="23916"/>
  <c r="GF737" i="23916"/>
  <c r="GF734" i="23916"/>
  <c r="GD739" i="23916"/>
  <c r="GD738" i="23916"/>
  <c r="GD737" i="23916"/>
  <c r="GD734" i="23916"/>
  <c r="GB739" i="23916"/>
  <c r="GB738" i="23916"/>
  <c r="GB737" i="23916"/>
  <c r="GB734" i="23916"/>
  <c r="FZ739" i="23916"/>
  <c r="FZ738" i="23916"/>
  <c r="FZ737" i="23916"/>
  <c r="FZ734" i="23916"/>
  <c r="FX734" i="23916"/>
  <c r="FV734" i="23916"/>
  <c r="FT734" i="23916"/>
  <c r="EW739" i="23916"/>
  <c r="EW738" i="23916"/>
  <c r="EW737" i="23916"/>
  <c r="EW734" i="23916"/>
  <c r="EU739" i="23916"/>
  <c r="EU738" i="23916"/>
  <c r="EU737" i="23916"/>
  <c r="EU734" i="23916"/>
  <c r="ES740" i="23916"/>
  <c r="ES739" i="23916"/>
  <c r="ES738" i="23916"/>
  <c r="ES737" i="23916"/>
  <c r="ES734" i="23916"/>
  <c r="EQ740" i="23916"/>
  <c r="EQ739" i="23916"/>
  <c r="EQ738" i="23916"/>
  <c r="EQ737" i="23916"/>
  <c r="EQ734" i="23916"/>
  <c r="EO739" i="23916"/>
  <c r="EO738" i="23916"/>
  <c r="EO737" i="23916"/>
  <c r="EM739" i="23916"/>
  <c r="EM738" i="23916"/>
  <c r="EM737" i="23916"/>
  <c r="EK739" i="23916"/>
  <c r="EK738" i="23916"/>
  <c r="EK737" i="23916"/>
  <c r="EI739" i="23916"/>
  <c r="EI738" i="23916"/>
  <c r="EI737" i="23916"/>
  <c r="EG739" i="23916"/>
  <c r="EG738" i="23916"/>
  <c r="EG737" i="23916"/>
  <c r="EE739" i="23916"/>
  <c r="EE738" i="23916"/>
  <c r="EE737" i="23916"/>
  <c r="EC739" i="23916"/>
  <c r="EC738" i="23916"/>
  <c r="EC737" i="23916"/>
  <c r="EA739" i="23916"/>
  <c r="EA738" i="23916"/>
  <c r="EA737" i="23916"/>
  <c r="DY739" i="23916"/>
  <c r="DY738" i="23916"/>
  <c r="DY737" i="23916"/>
  <c r="DW739" i="23916"/>
  <c r="DW738" i="23916"/>
  <c r="DW737" i="23916"/>
  <c r="DU739" i="23916"/>
  <c r="DU738" i="23916"/>
  <c r="DU737" i="23916"/>
  <c r="DS739" i="23916"/>
  <c r="DS738" i="23916"/>
  <c r="DS737" i="23916"/>
  <c r="DQ739" i="23916"/>
  <c r="DQ738" i="23916"/>
  <c r="DQ737" i="23916"/>
  <c r="DO739" i="23916"/>
  <c r="DO738" i="23916"/>
  <c r="DO737" i="23916"/>
  <c r="DM739" i="23916"/>
  <c r="DM738" i="23916"/>
  <c r="DM737" i="23916"/>
  <c r="DK739" i="23916"/>
  <c r="DK738" i="23916"/>
  <c r="DK737" i="23916"/>
  <c r="DI739" i="23916"/>
  <c r="DI738" i="23916"/>
  <c r="DI737" i="23916"/>
  <c r="DG739" i="23916"/>
  <c r="DG738" i="23916"/>
  <c r="DG737" i="23916"/>
  <c r="DE739" i="23916"/>
  <c r="DE738" i="23916"/>
  <c r="DE737" i="23916"/>
  <c r="DC739" i="23916"/>
  <c r="DC738" i="23916"/>
  <c r="DC737" i="23916"/>
  <c r="DA739" i="23916"/>
  <c r="DA738" i="23916"/>
  <c r="DA737" i="23916"/>
  <c r="CY739" i="23916"/>
  <c r="CY738" i="23916"/>
  <c r="CY737" i="23916"/>
  <c r="CW739" i="23916"/>
  <c r="CW738" i="23916"/>
  <c r="CW737" i="23916"/>
  <c r="CU739" i="23916"/>
  <c r="CU738" i="23916"/>
  <c r="CU737" i="23916"/>
  <c r="CS739" i="23916"/>
  <c r="CS738" i="23916"/>
  <c r="CS737" i="23916"/>
  <c r="CQ739" i="23916"/>
  <c r="CQ738" i="23916"/>
  <c r="CQ737" i="23916"/>
  <c r="CO739" i="23916"/>
  <c r="CO738" i="23916"/>
  <c r="CO737" i="23916"/>
  <c r="CM739" i="23916"/>
  <c r="CM738" i="23916"/>
  <c r="CM737" i="23916"/>
  <c r="CK739" i="23916"/>
  <c r="CK738" i="23916"/>
  <c r="CK737" i="23916"/>
  <c r="CI739" i="23916"/>
  <c r="CI738" i="23916"/>
  <c r="CI737" i="23916"/>
  <c r="CG739" i="23916"/>
  <c r="CG738" i="23916"/>
  <c r="CG737" i="23916"/>
  <c r="CE739" i="23916"/>
  <c r="CE738" i="23916"/>
  <c r="CE737" i="23916"/>
  <c r="CC739" i="23916"/>
  <c r="CC738" i="23916"/>
  <c r="CC737" i="23916"/>
  <c r="CA739" i="23916"/>
  <c r="CA738" i="23916"/>
  <c r="CA737" i="23916"/>
  <c r="EO720" i="23916"/>
  <c r="EM720" i="23916"/>
  <c r="EK722" i="23916"/>
  <c r="EK720" i="23916"/>
  <c r="EI722" i="23916"/>
  <c r="EI720" i="23916"/>
  <c r="EG722" i="23916"/>
  <c r="EG720" i="23916"/>
  <c r="EE722" i="23916"/>
  <c r="EE720" i="23916"/>
  <c r="EC722" i="23916"/>
  <c r="EC720" i="23916"/>
  <c r="EA722" i="23916"/>
  <c r="EA720" i="23916"/>
  <c r="DY722" i="23916"/>
  <c r="DY720" i="23916"/>
  <c r="DW722" i="23916"/>
  <c r="DW720" i="23916"/>
  <c r="DU722" i="23916"/>
  <c r="DU720" i="23916"/>
  <c r="DS722" i="23916"/>
  <c r="DS720" i="23916"/>
  <c r="DQ722" i="23916"/>
  <c r="DQ720" i="23916"/>
  <c r="DO722" i="23916"/>
  <c r="DO720" i="23916"/>
  <c r="DM722" i="23916"/>
  <c r="DM720" i="23916"/>
  <c r="DK722" i="23916"/>
  <c r="DK720" i="23916"/>
  <c r="DI722" i="23916"/>
  <c r="DI720" i="23916"/>
  <c r="DG722" i="23916"/>
  <c r="DG720" i="23916"/>
  <c r="DE722" i="23916"/>
  <c r="DE720" i="23916"/>
  <c r="DC722" i="23916"/>
  <c r="DC720" i="23916"/>
  <c r="DA722" i="23916"/>
  <c r="DA720" i="23916"/>
  <c r="CY722" i="23916"/>
  <c r="CY720" i="23916"/>
  <c r="CW722" i="23916"/>
  <c r="CW720" i="23916"/>
  <c r="CU722" i="23916"/>
  <c r="CU720" i="23916"/>
  <c r="CS722" i="23916"/>
  <c r="CS720" i="23916"/>
  <c r="CQ722" i="23916"/>
  <c r="CQ720" i="23916"/>
  <c r="CO722" i="23916"/>
  <c r="CO720" i="23916"/>
  <c r="CM722" i="23916"/>
  <c r="CM720" i="23916"/>
  <c r="CK722" i="23916"/>
  <c r="CK720" i="23916"/>
  <c r="CI722" i="23916"/>
  <c r="CI720" i="23916"/>
  <c r="CG722" i="23916"/>
  <c r="CG720" i="23916"/>
  <c r="CE722" i="23916"/>
  <c r="CE720" i="23916"/>
  <c r="CC722" i="23916"/>
  <c r="CC720" i="23916"/>
  <c r="CA722" i="23916"/>
  <c r="CA720" i="23916"/>
  <c r="BY722" i="23916"/>
  <c r="BY720" i="23916"/>
  <c r="BW722" i="23916"/>
  <c r="BW720" i="23916"/>
  <c r="BU722" i="23916"/>
  <c r="BU720" i="23916"/>
  <c r="BS722" i="23916"/>
  <c r="BS720" i="23916"/>
  <c r="BQ722" i="23916"/>
  <c r="BQ720" i="23916"/>
  <c r="BO722" i="23916"/>
  <c r="BO720" i="23916"/>
  <c r="BM722" i="23916"/>
  <c r="BM720" i="23916"/>
  <c r="BK722" i="23916"/>
  <c r="BK720" i="23916"/>
  <c r="BI722" i="23916"/>
  <c r="BI720" i="23916"/>
  <c r="BG722" i="23916"/>
  <c r="BG720" i="23916"/>
  <c r="BE722" i="23916"/>
  <c r="BE720" i="23916"/>
  <c r="BC722" i="23916"/>
  <c r="BC720" i="23916"/>
  <c r="BA722" i="23916"/>
  <c r="BA720" i="23916"/>
  <c r="AY722" i="23916"/>
  <c r="AY720" i="23916"/>
  <c r="B722" i="23916"/>
  <c r="B720" i="23916"/>
  <c r="CV714" i="23916"/>
  <c r="CV712" i="23916"/>
  <c r="CV711" i="23916"/>
  <c r="CV710" i="23916"/>
  <c r="CT714" i="23916"/>
  <c r="CT712" i="23916"/>
  <c r="CT711" i="23916"/>
  <c r="CT710" i="23916"/>
  <c r="CR714" i="23916"/>
  <c r="CR712" i="23916"/>
  <c r="CR711" i="23916"/>
  <c r="CR710" i="23916"/>
  <c r="CP714" i="23916"/>
  <c r="CP712" i="23916"/>
  <c r="CP711" i="23916"/>
  <c r="CP710" i="23916"/>
  <c r="CN714" i="23916"/>
  <c r="CN712" i="23916"/>
  <c r="CN711" i="23916"/>
  <c r="CN710" i="23916"/>
  <c r="CL714" i="23916"/>
  <c r="CL712" i="23916"/>
  <c r="CL711" i="23916"/>
  <c r="CL710" i="23916"/>
  <c r="CJ714" i="23916"/>
  <c r="CJ712" i="23916"/>
  <c r="CJ711" i="23916"/>
  <c r="CJ710" i="23916"/>
  <c r="CH714" i="23916"/>
  <c r="CH712" i="23916"/>
  <c r="CH711" i="23916"/>
  <c r="CH710" i="23916"/>
  <c r="CF714" i="23916"/>
  <c r="CF712" i="23916"/>
  <c r="CF711" i="23916"/>
  <c r="CF710" i="23916"/>
  <c r="CD714" i="23916"/>
  <c r="CD712" i="23916"/>
  <c r="CD711" i="23916"/>
  <c r="CD710" i="23916"/>
  <c r="CB714" i="23916"/>
  <c r="CB712" i="23916"/>
  <c r="CB711" i="23916"/>
  <c r="CB710" i="23916"/>
  <c r="BZ714" i="23916"/>
  <c r="BZ712" i="23916"/>
  <c r="BZ711" i="23916"/>
  <c r="BZ710" i="23916"/>
  <c r="BX714" i="23916"/>
  <c r="BX712" i="23916"/>
  <c r="BX711" i="23916"/>
  <c r="BX710" i="23916"/>
  <c r="BV714" i="23916"/>
  <c r="BV712" i="23916"/>
  <c r="BV711" i="23916"/>
  <c r="BV710" i="23916"/>
  <c r="BT714" i="23916"/>
  <c r="BT712" i="23916"/>
  <c r="BT711" i="23916"/>
  <c r="BT710" i="23916"/>
  <c r="BR714" i="23916"/>
  <c r="BR712" i="23916"/>
  <c r="BR711" i="23916"/>
  <c r="BR710" i="23916"/>
  <c r="BP714" i="23916"/>
  <c r="BP712" i="23916"/>
  <c r="BP711" i="23916"/>
  <c r="BP710" i="23916"/>
  <c r="BN714" i="23916"/>
  <c r="BN712" i="23916"/>
  <c r="BN711" i="23916"/>
  <c r="BN710" i="23916"/>
  <c r="BL714" i="23916"/>
  <c r="BL712" i="23916"/>
  <c r="BL711" i="23916"/>
  <c r="BL710" i="23916"/>
  <c r="AV714" i="23916"/>
  <c r="AV712" i="23916"/>
  <c r="AV711" i="23916"/>
  <c r="AV710" i="23916"/>
  <c r="AT714" i="23916"/>
  <c r="AT712" i="23916"/>
  <c r="AT711" i="23916"/>
  <c r="AT710" i="23916"/>
  <c r="AR714" i="23916"/>
  <c r="AR712" i="23916"/>
  <c r="AR711" i="23916"/>
  <c r="AR710" i="23916"/>
  <c r="AP714" i="23916"/>
  <c r="AP712" i="23916"/>
  <c r="AP711" i="23916"/>
  <c r="AP710" i="23916"/>
  <c r="AN714" i="23916"/>
  <c r="AN712" i="23916"/>
  <c r="AN711" i="23916"/>
  <c r="AN710" i="23916"/>
  <c r="AL714" i="23916"/>
  <c r="AL712" i="23916"/>
  <c r="AL711" i="23916"/>
  <c r="AL710" i="23916"/>
  <c r="AJ714" i="23916"/>
  <c r="AJ712" i="23916"/>
  <c r="AJ711" i="23916"/>
  <c r="AJ710" i="23916"/>
  <c r="AH714" i="23916"/>
  <c r="AH712" i="23916"/>
  <c r="AH711" i="23916"/>
  <c r="AH710" i="23916"/>
  <c r="AF714" i="23916"/>
  <c r="AF712" i="23916"/>
  <c r="AF711" i="23916"/>
  <c r="AF710" i="23916"/>
  <c r="AD714" i="23916"/>
  <c r="AD712" i="23916"/>
  <c r="AD711" i="23916"/>
  <c r="AD710" i="23916"/>
  <c r="AB714" i="23916"/>
  <c r="AB712" i="23916"/>
  <c r="AB711" i="23916"/>
  <c r="AB710" i="23916"/>
  <c r="Z714" i="23916"/>
  <c r="Z712" i="23916"/>
  <c r="Z711" i="23916"/>
  <c r="Z710" i="23916"/>
  <c r="X714" i="23916"/>
  <c r="X712" i="23916"/>
  <c r="X711" i="23916"/>
  <c r="X710" i="23916"/>
  <c r="V714" i="23916"/>
  <c r="V712" i="23916"/>
  <c r="V711" i="23916"/>
  <c r="V710" i="23916"/>
  <c r="T714" i="23916"/>
  <c r="T712" i="23916"/>
  <c r="T711" i="23916"/>
  <c r="T710" i="23916"/>
  <c r="R714" i="23916"/>
  <c r="R712" i="23916"/>
  <c r="R711" i="23916"/>
  <c r="R710" i="23916"/>
  <c r="P714" i="23916"/>
  <c r="P712" i="23916"/>
  <c r="P711" i="23916"/>
  <c r="P710" i="23916"/>
  <c r="N714" i="23916"/>
  <c r="N712" i="23916"/>
  <c r="N711" i="23916"/>
  <c r="N710" i="23916"/>
  <c r="L714" i="23916"/>
  <c r="L712" i="23916"/>
  <c r="L711" i="23916"/>
  <c r="L710" i="23916"/>
  <c r="CU713" i="23916"/>
  <c r="CU715" i="23916" s="1"/>
  <c r="CS713" i="23916"/>
  <c r="CT713" i="23916" s="1"/>
  <c r="CQ713" i="23916"/>
  <c r="CQ715" i="23916" s="1"/>
  <c r="CO713" i="23916"/>
  <c r="CP713" i="23916" s="1"/>
  <c r="CM713" i="23916"/>
  <c r="CM715" i="23916" s="1"/>
  <c r="CK713" i="23916"/>
  <c r="CL713" i="23916" s="1"/>
  <c r="CI713" i="23916"/>
  <c r="CI715" i="23916" s="1"/>
  <c r="CG713" i="23916"/>
  <c r="CH713" i="23916" s="1"/>
  <c r="CE713" i="23916"/>
  <c r="CE715" i="23916" s="1"/>
  <c r="CC713" i="23916"/>
  <c r="CD713" i="23916" s="1"/>
  <c r="CA713" i="23916"/>
  <c r="CA715" i="23916" s="1"/>
  <c r="BY713" i="23916"/>
  <c r="BZ713" i="23916" s="1"/>
  <c r="BW713" i="23916"/>
  <c r="BW715" i="23916" s="1"/>
  <c r="BU713" i="23916"/>
  <c r="BV713" i="23916" s="1"/>
  <c r="BS713" i="23916"/>
  <c r="BS715" i="23916" s="1"/>
  <c r="BQ713" i="23916"/>
  <c r="BR713" i="23916" s="1"/>
  <c r="BO713" i="23916"/>
  <c r="BO715" i="23916" s="1"/>
  <c r="BM713" i="23916"/>
  <c r="BN713" i="23916" s="1"/>
  <c r="BK713" i="23916"/>
  <c r="BK715" i="23916" s="1"/>
  <c r="BJ713" i="23916"/>
  <c r="BI713" i="23916"/>
  <c r="BI715" i="23916" s="1"/>
  <c r="BH713" i="23916"/>
  <c r="BG713" i="23916"/>
  <c r="BG715" i="23916" s="1"/>
  <c r="BF713" i="23916"/>
  <c r="BE713" i="23916"/>
  <c r="BE715" i="23916" s="1"/>
  <c r="BC713" i="23916"/>
  <c r="BC715" i="23916" s="1"/>
  <c r="BD715" i="23916" s="1"/>
  <c r="BA713" i="23916"/>
  <c r="BA715" i="23916" s="1"/>
  <c r="AZ713" i="23916"/>
  <c r="AY713" i="23916"/>
  <c r="AY715" i="23916" s="1"/>
  <c r="AX713" i="23916"/>
  <c r="AW713" i="23916"/>
  <c r="AW715" i="23916" s="1"/>
  <c r="AU713" i="23916"/>
  <c r="AU715" i="23916" s="1"/>
  <c r="AS713" i="23916"/>
  <c r="AS715" i="23916" s="1"/>
  <c r="AQ713" i="23916"/>
  <c r="AR713" i="23916" s="1"/>
  <c r="AO713" i="23916"/>
  <c r="AP713" i="23916" s="1"/>
  <c r="AM713" i="23916"/>
  <c r="AM715" i="23916" s="1"/>
  <c r="AK713" i="23916"/>
  <c r="AK715" i="23916" s="1"/>
  <c r="AI713" i="23916"/>
  <c r="AJ713" i="23916" s="1"/>
  <c r="AG713" i="23916"/>
  <c r="AH713" i="23916" s="1"/>
  <c r="AE713" i="23916"/>
  <c r="AE715" i="23916" s="1"/>
  <c r="AC713" i="23916"/>
  <c r="AC715" i="23916" s="1"/>
  <c r="AA713" i="23916"/>
  <c r="AB713" i="23916" s="1"/>
  <c r="Y713" i="23916"/>
  <c r="Z713" i="23916" s="1"/>
  <c r="W713" i="23916"/>
  <c r="W715" i="23916" s="1"/>
  <c r="U713" i="23916"/>
  <c r="U715" i="23916" s="1"/>
  <c r="S713" i="23916"/>
  <c r="T713" i="23916" s="1"/>
  <c r="Q713" i="23916"/>
  <c r="R713" i="23916" s="1"/>
  <c r="O713" i="23916"/>
  <c r="O715" i="23916" s="1"/>
  <c r="M713" i="23916"/>
  <c r="M715" i="23916" s="1"/>
  <c r="K713" i="23916"/>
  <c r="L713" i="23916" s="1"/>
  <c r="I713" i="23916"/>
  <c r="I715" i="23916" s="1"/>
  <c r="G713" i="23916"/>
  <c r="G715" i="23916" s="1"/>
  <c r="E713" i="23916"/>
  <c r="E715" i="23916" s="1"/>
  <c r="C713" i="23916"/>
  <c r="C715" i="23916" s="1"/>
  <c r="BJ712" i="23916"/>
  <c r="BJ711" i="23916"/>
  <c r="BJ710" i="23916"/>
  <c r="BH712" i="23916"/>
  <c r="BH711" i="23916"/>
  <c r="BH710" i="23916"/>
  <c r="BF712" i="23916"/>
  <c r="BF711" i="23916"/>
  <c r="BF710" i="23916"/>
  <c r="BD712" i="23916"/>
  <c r="BD711" i="23916"/>
  <c r="BD710" i="23916"/>
  <c r="BB712" i="23916"/>
  <c r="BB711" i="23916"/>
  <c r="BB710" i="23916"/>
  <c r="AZ712" i="23916"/>
  <c r="AZ711" i="23916"/>
  <c r="AZ710" i="23916"/>
  <c r="AX712" i="23916"/>
  <c r="AX711" i="23916"/>
  <c r="AX710" i="23916"/>
  <c r="EX705" i="23916"/>
  <c r="EX703" i="23916"/>
  <c r="EX702" i="23916"/>
  <c r="EV705" i="23916"/>
  <c r="EV703" i="23916"/>
  <c r="EV702" i="23916"/>
  <c r="ET705" i="23916"/>
  <c r="ET703" i="23916"/>
  <c r="ET702" i="23916"/>
  <c r="ER705" i="23916"/>
  <c r="ER703" i="23916"/>
  <c r="ER702" i="23916"/>
  <c r="EP705" i="23916"/>
  <c r="EP703" i="23916"/>
  <c r="EP702" i="23916"/>
  <c r="EN705" i="23916"/>
  <c r="EN703" i="23916"/>
  <c r="EN702" i="23916"/>
  <c r="EL705" i="23916"/>
  <c r="EL703" i="23916"/>
  <c r="EL702" i="23916"/>
  <c r="EJ705" i="23916"/>
  <c r="EJ703" i="23916"/>
  <c r="EJ702" i="23916"/>
  <c r="EH705" i="23916"/>
  <c r="EH703" i="23916"/>
  <c r="EH702" i="23916"/>
  <c r="EF705" i="23916"/>
  <c r="EF703" i="23916"/>
  <c r="EF702" i="23916"/>
  <c r="ED705" i="23916"/>
  <c r="ED703" i="23916"/>
  <c r="ED702" i="23916"/>
  <c r="EB705" i="23916"/>
  <c r="EB703" i="23916"/>
  <c r="EB702" i="23916"/>
  <c r="DZ705" i="23916"/>
  <c r="DZ703" i="23916"/>
  <c r="DZ702" i="23916"/>
  <c r="DZ701" i="23916"/>
  <c r="DV705" i="23916"/>
  <c r="DV703" i="23916"/>
  <c r="DV702" i="23916"/>
  <c r="DV701" i="23916"/>
  <c r="DT705" i="23916"/>
  <c r="DT703" i="23916"/>
  <c r="DT702" i="23916"/>
  <c r="DT701" i="23916"/>
  <c r="DR705" i="23916"/>
  <c r="DR703" i="23916"/>
  <c r="DR702" i="23916"/>
  <c r="DR701" i="23916"/>
  <c r="DP705" i="23916"/>
  <c r="DP703" i="23916"/>
  <c r="DP702" i="23916"/>
  <c r="DP701" i="23916"/>
  <c r="DN705" i="23916"/>
  <c r="DN703" i="23916"/>
  <c r="DN702" i="23916"/>
  <c r="DN701" i="23916"/>
  <c r="CV705" i="23916"/>
  <c r="CV703" i="23916"/>
  <c r="CV702" i="23916"/>
  <c r="CV701" i="23916"/>
  <c r="CT705" i="23916"/>
  <c r="CT703" i="23916"/>
  <c r="CT702" i="23916"/>
  <c r="CT701" i="23916"/>
  <c r="CR705" i="23916"/>
  <c r="CR703" i="23916"/>
  <c r="CR702" i="23916"/>
  <c r="CR701" i="23916"/>
  <c r="CP705" i="23916"/>
  <c r="CP702" i="23916"/>
  <c r="CP701" i="23916"/>
  <c r="CN705" i="23916"/>
  <c r="CN703" i="23916"/>
  <c r="CN702" i="23916"/>
  <c r="CN701" i="23916"/>
  <c r="CL705" i="23916"/>
  <c r="CL703" i="23916"/>
  <c r="CL702" i="23916"/>
  <c r="CL701" i="23916"/>
  <c r="CJ705" i="23916"/>
  <c r="CJ703" i="23916"/>
  <c r="CJ702" i="23916"/>
  <c r="CJ701" i="23916"/>
  <c r="CH705" i="23916"/>
  <c r="CH702" i="23916"/>
  <c r="CH701" i="23916"/>
  <c r="CF705" i="23916"/>
  <c r="CF703" i="23916"/>
  <c r="CF702" i="23916"/>
  <c r="CF701" i="23916"/>
  <c r="CD705" i="23916"/>
  <c r="CD703" i="23916"/>
  <c r="CD702" i="23916"/>
  <c r="CD701" i="23916"/>
  <c r="CB705" i="23916"/>
  <c r="CB703" i="23916"/>
  <c r="CB702" i="23916"/>
  <c r="CB701" i="23916"/>
  <c r="BZ705" i="23916"/>
  <c r="BZ703" i="23916"/>
  <c r="BZ702" i="23916"/>
  <c r="BZ701" i="23916"/>
  <c r="BX705" i="23916"/>
  <c r="BX703" i="23916"/>
  <c r="BX702" i="23916"/>
  <c r="BX701" i="23916"/>
  <c r="BV705" i="23916"/>
  <c r="BV703" i="23916"/>
  <c r="BV702" i="23916"/>
  <c r="BV701" i="23916"/>
  <c r="BT705" i="23916"/>
  <c r="BT703" i="23916"/>
  <c r="BT702" i="23916"/>
  <c r="BT701" i="23916"/>
  <c r="BR705" i="23916"/>
  <c r="BR703" i="23916"/>
  <c r="BR702" i="23916"/>
  <c r="BR701" i="23916"/>
  <c r="BP705" i="23916"/>
  <c r="BP703" i="23916"/>
  <c r="BP702" i="23916"/>
  <c r="BP701" i="23916"/>
  <c r="BN705" i="23916"/>
  <c r="BN703" i="23916"/>
  <c r="BN702" i="23916"/>
  <c r="BN701" i="23916"/>
  <c r="BL705" i="23916"/>
  <c r="BL703" i="23916"/>
  <c r="BL702" i="23916"/>
  <c r="BL701" i="23916"/>
  <c r="BJ705" i="23916"/>
  <c r="BJ703" i="23916"/>
  <c r="BJ702" i="23916"/>
  <c r="BJ701" i="23916"/>
  <c r="BH705" i="23916"/>
  <c r="BH703" i="23916"/>
  <c r="BH702" i="23916"/>
  <c r="BH701" i="23916"/>
  <c r="BF705" i="23916"/>
  <c r="BF704" i="23916"/>
  <c r="BF703" i="23916"/>
  <c r="BF702" i="23916"/>
  <c r="BF701" i="23916"/>
  <c r="BD705" i="23916"/>
  <c r="BD703" i="23916"/>
  <c r="BD702" i="23916"/>
  <c r="BD701" i="23916"/>
  <c r="BB705" i="23916"/>
  <c r="BB703" i="23916"/>
  <c r="BB702" i="23916"/>
  <c r="BB701" i="23916"/>
  <c r="AZ705" i="23916"/>
  <c r="AZ703" i="23916"/>
  <c r="AZ702" i="23916"/>
  <c r="AZ701" i="23916"/>
  <c r="AX705" i="23916"/>
  <c r="AX704" i="23916"/>
  <c r="AX703" i="23916"/>
  <c r="AX702" i="23916"/>
  <c r="AX701" i="23916"/>
  <c r="AV705" i="23916"/>
  <c r="AV703" i="23916"/>
  <c r="AV702" i="23916"/>
  <c r="AV701" i="23916"/>
  <c r="AT705" i="23916"/>
  <c r="AT703" i="23916"/>
  <c r="AT702" i="23916"/>
  <c r="AT701" i="23916"/>
  <c r="AR705" i="23916"/>
  <c r="AR703" i="23916"/>
  <c r="AR702" i="23916"/>
  <c r="AR701" i="23916"/>
  <c r="EM704" i="23916"/>
  <c r="EM734" i="23916" s="1"/>
  <c r="EK704" i="23916"/>
  <c r="EK734" i="23916" s="1"/>
  <c r="EE704" i="23916"/>
  <c r="EE734" i="23916" s="1"/>
  <c r="EC704" i="23916"/>
  <c r="EC734" i="23916" s="1"/>
  <c r="DY704" i="23916"/>
  <c r="DY734" i="23916" s="1"/>
  <c r="DX704" i="23916"/>
  <c r="DX706" i="23916" s="1"/>
  <c r="DW704" i="23916"/>
  <c r="DW734" i="23916" s="1"/>
  <c r="DU704" i="23916"/>
  <c r="DU734" i="23916" s="1"/>
  <c r="DS704" i="23916"/>
  <c r="DS734" i="23916" s="1"/>
  <c r="DQ704" i="23916"/>
  <c r="DQ734" i="23916" s="1"/>
  <c r="DO704" i="23916"/>
  <c r="DO734" i="23916" s="1"/>
  <c r="DM704" i="23916"/>
  <c r="DM734" i="23916" s="1"/>
  <c r="DK704" i="23916"/>
  <c r="DK734" i="23916" s="1"/>
  <c r="DI704" i="23916"/>
  <c r="DI734" i="23916" s="1"/>
  <c r="DG704" i="23916"/>
  <c r="DG734" i="23916" s="1"/>
  <c r="DE704" i="23916"/>
  <c r="DE734" i="23916" s="1"/>
  <c r="DC704" i="23916"/>
  <c r="DC734" i="23916" s="1"/>
  <c r="DA704" i="23916"/>
  <c r="DA734" i="23916" s="1"/>
  <c r="CY704" i="23916"/>
  <c r="CY734" i="23916" s="1"/>
  <c r="CW704" i="23916"/>
  <c r="CW734" i="23916" s="1"/>
  <c r="CU704" i="23916"/>
  <c r="CU734" i="23916" s="1"/>
  <c r="CS704" i="23916"/>
  <c r="CS734" i="23916" s="1"/>
  <c r="CQ704" i="23916"/>
  <c r="CQ734" i="23916" s="1"/>
  <c r="CO704" i="23916"/>
  <c r="CO734" i="23916" s="1"/>
  <c r="CM704" i="23916"/>
  <c r="CM734" i="23916" s="1"/>
  <c r="CK704" i="23916"/>
  <c r="CK734" i="23916" s="1"/>
  <c r="CI704" i="23916"/>
  <c r="CI734" i="23916" s="1"/>
  <c r="CG703" i="23916"/>
  <c r="CP703" i="23916" s="1"/>
  <c r="CE704" i="23916"/>
  <c r="CE734" i="23916" s="1"/>
  <c r="CC704" i="23916"/>
  <c r="CC734" i="23916" s="1"/>
  <c r="CA704" i="23916"/>
  <c r="CA734" i="23916" s="1"/>
  <c r="BY704" i="23916"/>
  <c r="BY734" i="23916" s="1"/>
  <c r="BW704" i="23916"/>
  <c r="BW734" i="23916" s="1"/>
  <c r="BU704" i="23916"/>
  <c r="BU734" i="23916" s="1"/>
  <c r="BS704" i="23916"/>
  <c r="BS734" i="23916" s="1"/>
  <c r="BQ704" i="23916"/>
  <c r="BQ734" i="23916" s="1"/>
  <c r="BO704" i="23916"/>
  <c r="BO734" i="23916" s="1"/>
  <c r="BM704" i="23916"/>
  <c r="BM734" i="23916" s="1"/>
  <c r="BK704" i="23916"/>
  <c r="BK734" i="23916" s="1"/>
  <c r="BI704" i="23916"/>
  <c r="BI734" i="23916" s="1"/>
  <c r="BG704" i="23916"/>
  <c r="BG734" i="23916" s="1"/>
  <c r="BE704" i="23916"/>
  <c r="BE706" i="23916" s="1"/>
  <c r="BC704" i="23916"/>
  <c r="BC706" i="23916" s="1"/>
  <c r="BA704" i="23916"/>
  <c r="BA706" i="23916" s="1"/>
  <c r="AY704" i="23916"/>
  <c r="AY706" i="23916" s="1"/>
  <c r="AW704" i="23916"/>
  <c r="AW706" i="23916" s="1"/>
  <c r="AX706" i="23916" s="1"/>
  <c r="AU704" i="23916"/>
  <c r="AU706" i="23916" s="1"/>
  <c r="AV706" i="23916" s="1"/>
  <c r="AS704" i="23916"/>
  <c r="AS706" i="23916" s="1"/>
  <c r="AT706" i="23916" s="1"/>
  <c r="AQ704" i="23916"/>
  <c r="AQ706" i="23916" s="1"/>
  <c r="AR706" i="23916" s="1"/>
  <c r="EO701" i="23916"/>
  <c r="EO704" i="23916" s="1"/>
  <c r="EM701" i="23916"/>
  <c r="EV701" i="23916" s="1"/>
  <c r="EK701" i="23916"/>
  <c r="ET701" i="23916" s="1"/>
  <c r="EI701" i="23916"/>
  <c r="ER701" i="23916" s="1"/>
  <c r="EG701" i="23916"/>
  <c r="EG704" i="23916" s="1"/>
  <c r="EE701" i="23916"/>
  <c r="EF701" i="23916" s="1"/>
  <c r="EC701" i="23916"/>
  <c r="ED701" i="23916" s="1"/>
  <c r="EA701" i="23916"/>
  <c r="EB701" i="23916" s="1"/>
  <c r="BU695" i="23916"/>
  <c r="BU691" i="23916"/>
  <c r="BS695" i="23916"/>
  <c r="BS691" i="23916"/>
  <c r="BQ695" i="23916"/>
  <c r="BQ691" i="23916"/>
  <c r="BO695" i="23916"/>
  <c r="BO691" i="23916"/>
  <c r="BM695" i="23916"/>
  <c r="BM691" i="23916"/>
  <c r="BK695" i="23916"/>
  <c r="BK691" i="23916"/>
  <c r="BI695" i="23916"/>
  <c r="BI691" i="23916"/>
  <c r="BG695" i="23916"/>
  <c r="BG691" i="23916"/>
  <c r="FB693" i="23916"/>
  <c r="BV691" i="23916"/>
  <c r="BT691" i="23916"/>
  <c r="BR691" i="23916"/>
  <c r="BP691" i="23916"/>
  <c r="I693" i="23916"/>
  <c r="I692" i="23916"/>
  <c r="I691" i="23916"/>
  <c r="I689" i="23916"/>
  <c r="I688" i="23916"/>
  <c r="I687" i="23916"/>
  <c r="I686" i="23916"/>
  <c r="I685" i="23916"/>
  <c r="G693" i="23916"/>
  <c r="G692" i="23916"/>
  <c r="G691" i="23916"/>
  <c r="G689" i="23916"/>
  <c r="G688" i="23916"/>
  <c r="G687" i="23916"/>
  <c r="G686" i="23916"/>
  <c r="G685" i="23916"/>
  <c r="E693" i="23916"/>
  <c r="E692" i="23916"/>
  <c r="E691" i="23916"/>
  <c r="E689" i="23916"/>
  <c r="E688" i="23916"/>
  <c r="E687" i="23916"/>
  <c r="E686" i="23916"/>
  <c r="E685" i="23916"/>
  <c r="C693" i="23916"/>
  <c r="C692" i="23916"/>
  <c r="C691" i="23916"/>
  <c r="C689" i="23916"/>
  <c r="C688" i="23916"/>
  <c r="C687" i="23916"/>
  <c r="C686" i="23916"/>
  <c r="C685" i="23916"/>
  <c r="FD692" i="23916"/>
  <c r="FD691" i="23916"/>
  <c r="FB691" i="23916"/>
  <c r="FB689" i="23916"/>
  <c r="FB688" i="23916"/>
  <c r="FB687" i="23916"/>
  <c r="FB686" i="23916"/>
  <c r="FB685" i="23916"/>
  <c r="FS695" i="23916"/>
  <c r="FS694" i="23916"/>
  <c r="FE693" i="23916"/>
  <c r="FE692" i="23916"/>
  <c r="FE691" i="23916"/>
  <c r="BF693" i="23916"/>
  <c r="BE693" i="23916"/>
  <c r="BC693" i="23916"/>
  <c r="BB693" i="23916"/>
  <c r="BA693" i="23916"/>
  <c r="AY693" i="23916"/>
  <c r="AX693" i="23916"/>
  <c r="AW693" i="23916"/>
  <c r="AU693" i="23916"/>
  <c r="BD693" i="23916" s="1"/>
  <c r="AT693" i="23916"/>
  <c r="AS693" i="23916"/>
  <c r="AQ693" i="23916"/>
  <c r="AZ693" i="23916" s="1"/>
  <c r="AP693" i="23916"/>
  <c r="AO693" i="23916"/>
  <c r="AM693" i="23916"/>
  <c r="AV693" i="23916" s="1"/>
  <c r="AL693" i="23916"/>
  <c r="AK693" i="23916"/>
  <c r="AJ693" i="23916"/>
  <c r="AI693" i="23916"/>
  <c r="AR693" i="23916" s="1"/>
  <c r="AH693" i="23916"/>
  <c r="AG693" i="23916"/>
  <c r="AF693" i="23916"/>
  <c r="AE693" i="23916"/>
  <c r="AN693" i="23916" s="1"/>
  <c r="AD693" i="23916"/>
  <c r="AC693" i="23916"/>
  <c r="AB693" i="23916"/>
  <c r="AA693" i="23916"/>
  <c r="Z693" i="23916"/>
  <c r="Y693" i="23916"/>
  <c r="X693" i="23916"/>
  <c r="W693" i="23916"/>
  <c r="V693" i="23916"/>
  <c r="U693" i="23916"/>
  <c r="T693" i="23916"/>
  <c r="S693" i="23916"/>
  <c r="R693" i="23916"/>
  <c r="Q693" i="23916"/>
  <c r="P693" i="23916"/>
  <c r="O693" i="23916"/>
  <c r="N693" i="23916"/>
  <c r="M693" i="23916"/>
  <c r="L693" i="23916"/>
  <c r="K693" i="23916"/>
  <c r="AP692" i="23916"/>
  <c r="AO692" i="23916"/>
  <c r="AN692" i="23916"/>
  <c r="AM692" i="23916"/>
  <c r="AL692" i="23916"/>
  <c r="AK692" i="23916"/>
  <c r="AJ692" i="23916"/>
  <c r="AI692" i="23916"/>
  <c r="AH692" i="23916"/>
  <c r="AG692" i="23916"/>
  <c r="AF692" i="23916"/>
  <c r="AE692" i="23916"/>
  <c r="AD692" i="23916"/>
  <c r="AC692" i="23916"/>
  <c r="AB692" i="23916"/>
  <c r="AA692" i="23916"/>
  <c r="Z692" i="23916"/>
  <c r="Y692" i="23916"/>
  <c r="X692" i="23916"/>
  <c r="W692" i="23916"/>
  <c r="V692" i="23916"/>
  <c r="U692" i="23916"/>
  <c r="T692" i="23916"/>
  <c r="S692" i="23916"/>
  <c r="R692" i="23916"/>
  <c r="Q692" i="23916"/>
  <c r="P692" i="23916"/>
  <c r="O692" i="23916"/>
  <c r="N692" i="23916"/>
  <c r="M692" i="23916"/>
  <c r="L692" i="23916"/>
  <c r="K692" i="23916"/>
  <c r="BF691" i="23916"/>
  <c r="BE691" i="23916"/>
  <c r="BN691" i="23916" s="1"/>
  <c r="BD691" i="23916"/>
  <c r="BC691" i="23916"/>
  <c r="BL691" i="23916" s="1"/>
  <c r="BB691" i="23916"/>
  <c r="BA691" i="23916"/>
  <c r="BJ691" i="23916" s="1"/>
  <c r="AZ691" i="23916"/>
  <c r="AY691" i="23916"/>
  <c r="BH691" i="23916" s="1"/>
  <c r="AX691" i="23916"/>
  <c r="AW691" i="23916"/>
  <c r="AV691" i="23916"/>
  <c r="AU691" i="23916"/>
  <c r="AT691" i="23916"/>
  <c r="AS691" i="23916"/>
  <c r="AR691" i="23916"/>
  <c r="AQ691" i="23916"/>
  <c r="AP691" i="23916"/>
  <c r="AO691" i="23916"/>
  <c r="AN691" i="23916"/>
  <c r="AM691" i="23916"/>
  <c r="AL691" i="23916"/>
  <c r="AK691" i="23916"/>
  <c r="AJ691" i="23916"/>
  <c r="AI691" i="23916"/>
  <c r="AH691" i="23916"/>
  <c r="AG691" i="23916"/>
  <c r="AF691" i="23916"/>
  <c r="AE691" i="23916"/>
  <c r="AD691" i="23916"/>
  <c r="AC691" i="23916"/>
  <c r="AB691" i="23916"/>
  <c r="AA691" i="23916"/>
  <c r="Z691" i="23916"/>
  <c r="Y691" i="23916"/>
  <c r="X691" i="23916"/>
  <c r="W691" i="23916"/>
  <c r="V691" i="23916"/>
  <c r="U691" i="23916"/>
  <c r="T691" i="23916"/>
  <c r="S691" i="23916"/>
  <c r="R691" i="23916"/>
  <c r="Q691" i="23916"/>
  <c r="P691" i="23916"/>
  <c r="O691" i="23916"/>
  <c r="N691" i="23916"/>
  <c r="M691" i="23916"/>
  <c r="L691" i="23916"/>
  <c r="K691" i="23916"/>
  <c r="FD689" i="23916"/>
  <c r="FE689" i="23916" s="1"/>
  <c r="FE688" i="23916"/>
  <c r="FD688" i="23916"/>
  <c r="FD687" i="23916"/>
  <c r="FE687" i="23916" s="1"/>
  <c r="FE686" i="23916"/>
  <c r="FD686" i="23916"/>
  <c r="FD685" i="23916"/>
  <c r="FE685" i="23916" s="1"/>
  <c r="BV689" i="23916"/>
  <c r="BU689" i="23916"/>
  <c r="BS689" i="23916"/>
  <c r="BR689" i="23916"/>
  <c r="BQ689" i="23916"/>
  <c r="BO689" i="23916"/>
  <c r="BN689" i="23916"/>
  <c r="BM689" i="23916"/>
  <c r="BK689" i="23916"/>
  <c r="BL689" i="23916" s="1"/>
  <c r="BJ689" i="23916"/>
  <c r="BI689" i="23916"/>
  <c r="BG689" i="23916"/>
  <c r="BH689" i="23916" s="1"/>
  <c r="BF689" i="23916"/>
  <c r="BE689" i="23916"/>
  <c r="BC689" i="23916"/>
  <c r="BB689" i="23916"/>
  <c r="BA689" i="23916"/>
  <c r="AY689" i="23916"/>
  <c r="AX689" i="23916"/>
  <c r="AW689" i="23916"/>
  <c r="AU689" i="23916"/>
  <c r="AV689" i="23916" s="1"/>
  <c r="AT689" i="23916"/>
  <c r="AS689" i="23916"/>
  <c r="AQ689" i="23916"/>
  <c r="AR689" i="23916" s="1"/>
  <c r="AP689" i="23916"/>
  <c r="AO689" i="23916"/>
  <c r="AM689" i="23916"/>
  <c r="AL689" i="23916"/>
  <c r="AK689" i="23916"/>
  <c r="AI689" i="23916"/>
  <c r="AH689" i="23916"/>
  <c r="AG689" i="23916"/>
  <c r="AE689" i="23916"/>
  <c r="AF689" i="23916" s="1"/>
  <c r="AD689" i="23916"/>
  <c r="AC689" i="23916"/>
  <c r="AA689" i="23916"/>
  <c r="AB689" i="23916" s="1"/>
  <c r="Z689" i="23916"/>
  <c r="Y689" i="23916"/>
  <c r="W689" i="23916"/>
  <c r="V689" i="23916"/>
  <c r="U689" i="23916"/>
  <c r="S689" i="23916"/>
  <c r="R689" i="23916"/>
  <c r="Q689" i="23916"/>
  <c r="O689" i="23916"/>
  <c r="P689" i="23916" s="1"/>
  <c r="N689" i="23916"/>
  <c r="M689" i="23916"/>
  <c r="K689" i="23916"/>
  <c r="L689" i="23916" s="1"/>
  <c r="BU688" i="23916"/>
  <c r="BS688" i="23916"/>
  <c r="BT688" i="23916" s="1"/>
  <c r="BQ688" i="23916"/>
  <c r="BO688" i="23916"/>
  <c r="BN688" i="23916"/>
  <c r="BM688" i="23916"/>
  <c r="BV688" i="23916" s="1"/>
  <c r="BK688" i="23916"/>
  <c r="BI688" i="23916"/>
  <c r="BJ688" i="23916" s="1"/>
  <c r="BG688" i="23916"/>
  <c r="BH688" i="23916" s="1"/>
  <c r="BE688" i="23916"/>
  <c r="BC688" i="23916"/>
  <c r="BD688" i="23916" s="1"/>
  <c r="BA688" i="23916"/>
  <c r="AY688" i="23916"/>
  <c r="AX688" i="23916"/>
  <c r="AW688" i="23916"/>
  <c r="BF688" i="23916" s="1"/>
  <c r="AU688" i="23916"/>
  <c r="AS688" i="23916"/>
  <c r="AT688" i="23916" s="1"/>
  <c r="AQ688" i="23916"/>
  <c r="AR688" i="23916" s="1"/>
  <c r="AO688" i="23916"/>
  <c r="AM688" i="23916"/>
  <c r="AN688" i="23916" s="1"/>
  <c r="AK688" i="23916"/>
  <c r="AI688" i="23916"/>
  <c r="AH688" i="23916"/>
  <c r="AG688" i="23916"/>
  <c r="AP688" i="23916" s="1"/>
  <c r="AE688" i="23916"/>
  <c r="AC688" i="23916"/>
  <c r="AD688" i="23916" s="1"/>
  <c r="AA688" i="23916"/>
  <c r="AB688" i="23916" s="1"/>
  <c r="Y688" i="23916"/>
  <c r="W688" i="23916"/>
  <c r="X688" i="23916" s="1"/>
  <c r="U688" i="23916"/>
  <c r="S688" i="23916"/>
  <c r="R688" i="23916"/>
  <c r="Q688" i="23916"/>
  <c r="Z688" i="23916" s="1"/>
  <c r="O688" i="23916"/>
  <c r="P688" i="23916" s="1"/>
  <c r="M688" i="23916"/>
  <c r="N688" i="23916" s="1"/>
  <c r="K688" i="23916"/>
  <c r="L688" i="23916" s="1"/>
  <c r="BU687" i="23916"/>
  <c r="BS687" i="23916"/>
  <c r="BT687" i="23916" s="1"/>
  <c r="BQ687" i="23916"/>
  <c r="BO687" i="23916"/>
  <c r="BN687" i="23916"/>
  <c r="BM687" i="23916"/>
  <c r="BV687" i="23916" s="1"/>
  <c r="BK687" i="23916"/>
  <c r="BI687" i="23916"/>
  <c r="BJ687" i="23916" s="1"/>
  <c r="BG687" i="23916"/>
  <c r="BH687" i="23916" s="1"/>
  <c r="BE687" i="23916"/>
  <c r="BC687" i="23916"/>
  <c r="BD687" i="23916" s="1"/>
  <c r="BA687" i="23916"/>
  <c r="AY687" i="23916"/>
  <c r="AX687" i="23916"/>
  <c r="AW687" i="23916"/>
  <c r="BF687" i="23916" s="1"/>
  <c r="AU687" i="23916"/>
  <c r="AS687" i="23916"/>
  <c r="AT687" i="23916" s="1"/>
  <c r="AQ687" i="23916"/>
  <c r="AR687" i="23916" s="1"/>
  <c r="AO687" i="23916"/>
  <c r="AM687" i="23916"/>
  <c r="AN687" i="23916" s="1"/>
  <c r="AK687" i="23916"/>
  <c r="AI687" i="23916"/>
  <c r="AH687" i="23916"/>
  <c r="AG687" i="23916"/>
  <c r="AP687" i="23916" s="1"/>
  <c r="AE687" i="23916"/>
  <c r="AC687" i="23916"/>
  <c r="AD687" i="23916" s="1"/>
  <c r="AA687" i="23916"/>
  <c r="AB687" i="23916" s="1"/>
  <c r="Y687" i="23916"/>
  <c r="W687" i="23916"/>
  <c r="X687" i="23916" s="1"/>
  <c r="U687" i="23916"/>
  <c r="S687" i="23916"/>
  <c r="R687" i="23916"/>
  <c r="Q687" i="23916"/>
  <c r="Z687" i="23916" s="1"/>
  <c r="O687" i="23916"/>
  <c r="P687" i="23916" s="1"/>
  <c r="M687" i="23916"/>
  <c r="N687" i="23916" s="1"/>
  <c r="K687" i="23916"/>
  <c r="L687" i="23916" s="1"/>
  <c r="BU686" i="23916"/>
  <c r="BS686" i="23916"/>
  <c r="BT686" i="23916" s="1"/>
  <c r="BQ686" i="23916"/>
  <c r="BO686" i="23916"/>
  <c r="BN686" i="23916"/>
  <c r="BM686" i="23916"/>
  <c r="BV686" i="23916" s="1"/>
  <c r="BK686" i="23916"/>
  <c r="BI686" i="23916"/>
  <c r="BJ686" i="23916" s="1"/>
  <c r="BG686" i="23916"/>
  <c r="BH686" i="23916" s="1"/>
  <c r="BE686" i="23916"/>
  <c r="BC686" i="23916"/>
  <c r="BD686" i="23916" s="1"/>
  <c r="BA686" i="23916"/>
  <c r="AY686" i="23916"/>
  <c r="AX686" i="23916"/>
  <c r="AW686" i="23916"/>
  <c r="BF686" i="23916" s="1"/>
  <c r="AU686" i="23916"/>
  <c r="AS686" i="23916"/>
  <c r="AT686" i="23916" s="1"/>
  <c r="AQ686" i="23916"/>
  <c r="AR686" i="23916" s="1"/>
  <c r="AO686" i="23916"/>
  <c r="AM686" i="23916"/>
  <c r="AN686" i="23916" s="1"/>
  <c r="AK686" i="23916"/>
  <c r="AI686" i="23916"/>
  <c r="AH686" i="23916"/>
  <c r="AG686" i="23916"/>
  <c r="AP686" i="23916" s="1"/>
  <c r="AF686" i="23916"/>
  <c r="AE686" i="23916"/>
  <c r="AD686" i="23916"/>
  <c r="AC686" i="23916"/>
  <c r="AL686" i="23916" s="1"/>
  <c r="AB686" i="23916"/>
  <c r="AA686" i="23916"/>
  <c r="Z686" i="23916"/>
  <c r="Y686" i="23916"/>
  <c r="X686" i="23916"/>
  <c r="W686" i="23916"/>
  <c r="V686" i="23916"/>
  <c r="U686" i="23916"/>
  <c r="T686" i="23916"/>
  <c r="S686" i="23916"/>
  <c r="R686" i="23916"/>
  <c r="Q686" i="23916"/>
  <c r="P686" i="23916"/>
  <c r="O686" i="23916"/>
  <c r="N686" i="23916"/>
  <c r="M686" i="23916"/>
  <c r="L686" i="23916"/>
  <c r="K686" i="23916"/>
  <c r="BV685" i="23916"/>
  <c r="BU685" i="23916"/>
  <c r="BT685" i="23916"/>
  <c r="BS685" i="23916"/>
  <c r="BR685" i="23916"/>
  <c r="BQ685" i="23916"/>
  <c r="BP685" i="23916"/>
  <c r="BO685" i="23916"/>
  <c r="BN685" i="23916"/>
  <c r="BM685" i="23916"/>
  <c r="BL685" i="23916"/>
  <c r="BK685" i="23916"/>
  <c r="BJ685" i="23916"/>
  <c r="BI685" i="23916"/>
  <c r="BH685" i="23916"/>
  <c r="BG685" i="23916"/>
  <c r="BF685" i="23916"/>
  <c r="BE685" i="23916"/>
  <c r="BD685" i="23916"/>
  <c r="BC685" i="23916"/>
  <c r="BB685" i="23916"/>
  <c r="BA685" i="23916"/>
  <c r="AZ685" i="23916"/>
  <c r="AY685" i="23916"/>
  <c r="AX685" i="23916"/>
  <c r="AW685" i="23916"/>
  <c r="AV685" i="23916"/>
  <c r="AU685" i="23916"/>
  <c r="AT685" i="23916"/>
  <c r="AS685" i="23916"/>
  <c r="AR685" i="23916"/>
  <c r="AQ685" i="23916"/>
  <c r="AP685" i="23916"/>
  <c r="AO685" i="23916"/>
  <c r="AN685" i="23916"/>
  <c r="AM685" i="23916"/>
  <c r="AL685" i="23916"/>
  <c r="AK685" i="23916"/>
  <c r="AJ685" i="23916"/>
  <c r="AI685" i="23916"/>
  <c r="AH685" i="23916"/>
  <c r="AG685" i="23916"/>
  <c r="AF685" i="23916"/>
  <c r="AE685" i="23916"/>
  <c r="AD685" i="23916"/>
  <c r="AC685" i="23916"/>
  <c r="AB685" i="23916"/>
  <c r="AA685" i="23916"/>
  <c r="Z685" i="23916"/>
  <c r="Y685" i="23916"/>
  <c r="X685" i="23916"/>
  <c r="W685" i="23916"/>
  <c r="V685" i="23916"/>
  <c r="U685" i="23916"/>
  <c r="T685" i="23916"/>
  <c r="S685" i="23916"/>
  <c r="R685" i="23916"/>
  <c r="Q685" i="23916"/>
  <c r="P685" i="23916"/>
  <c r="O685" i="23916"/>
  <c r="N685" i="23916"/>
  <c r="M685" i="23916"/>
  <c r="L685" i="23916"/>
  <c r="K685" i="23916"/>
  <c r="GZ684" i="23916"/>
  <c r="GZ683" i="23916"/>
  <c r="I680" i="23916"/>
  <c r="G680" i="23916"/>
  <c r="E680" i="23916"/>
  <c r="C680" i="23916"/>
  <c r="FS682" i="23916"/>
  <c r="FE681" i="23916"/>
  <c r="FD680" i="23916"/>
  <c r="FE680" i="23916" s="1"/>
  <c r="AP680" i="23916"/>
  <c r="AO680" i="23916"/>
  <c r="AM680" i="23916"/>
  <c r="AK680" i="23916"/>
  <c r="AL680" i="23916" s="1"/>
  <c r="AI680" i="23916"/>
  <c r="AJ680" i="23916" s="1"/>
  <c r="AH680" i="23916"/>
  <c r="AG680" i="23916"/>
  <c r="AE680" i="23916"/>
  <c r="AF680" i="23916" s="1"/>
  <c r="AC680" i="23916"/>
  <c r="AD680" i="23916" s="1"/>
  <c r="AA680" i="23916"/>
  <c r="Z680" i="23916"/>
  <c r="Y680" i="23916"/>
  <c r="W680" i="23916"/>
  <c r="U680" i="23916"/>
  <c r="V680" i="23916" s="1"/>
  <c r="S680" i="23916"/>
  <c r="T680" i="23916" s="1"/>
  <c r="R680" i="23916"/>
  <c r="Q680" i="23916"/>
  <c r="O680" i="23916"/>
  <c r="P680" i="23916" s="1"/>
  <c r="M680" i="23916"/>
  <c r="N680" i="23916" s="1"/>
  <c r="K680" i="23916"/>
  <c r="L680" i="23916" s="1"/>
  <c r="GZ671" i="23916"/>
  <c r="GZ670" i="23916"/>
  <c r="GZ665" i="23916"/>
  <c r="GZ664" i="23916"/>
  <c r="FD669" i="23916"/>
  <c r="FD668" i="23916"/>
  <c r="FS667" i="23916"/>
  <c r="FU667" i="23916"/>
  <c r="I662" i="23916"/>
  <c r="G662" i="23916"/>
  <c r="E662" i="23916"/>
  <c r="FE663" i="23916"/>
  <c r="FE662" i="23916"/>
  <c r="BF662" i="23916"/>
  <c r="BE662" i="23916"/>
  <c r="BD662" i="23916"/>
  <c r="BC662" i="23916"/>
  <c r="BB662" i="23916"/>
  <c r="BA662" i="23916"/>
  <c r="AZ662" i="23916"/>
  <c r="AY662" i="23916"/>
  <c r="AX662" i="23916"/>
  <c r="AW662" i="23916"/>
  <c r="AV662" i="23916"/>
  <c r="AU662" i="23916"/>
  <c r="AT662" i="23916"/>
  <c r="AS662" i="23916"/>
  <c r="AR662" i="23916"/>
  <c r="AQ662" i="23916"/>
  <c r="AP662" i="23916"/>
  <c r="AO662" i="23916"/>
  <c r="AN662" i="23916"/>
  <c r="AM662" i="23916"/>
  <c r="AL662" i="23916"/>
  <c r="AK662" i="23916"/>
  <c r="AJ662" i="23916"/>
  <c r="AI662" i="23916"/>
  <c r="AH662" i="23916"/>
  <c r="AG662" i="23916"/>
  <c r="AF662" i="23916"/>
  <c r="AE662" i="23916"/>
  <c r="AD662" i="23916"/>
  <c r="AC662" i="23916"/>
  <c r="AB662" i="23916"/>
  <c r="AA662" i="23916"/>
  <c r="Z662" i="23916"/>
  <c r="Y662" i="23916"/>
  <c r="X662" i="23916"/>
  <c r="W662" i="23916"/>
  <c r="V662" i="23916"/>
  <c r="U662" i="23916"/>
  <c r="T662" i="23916"/>
  <c r="S662" i="23916"/>
  <c r="R662" i="23916"/>
  <c r="Q662" i="23916"/>
  <c r="P662" i="23916"/>
  <c r="O662" i="23916"/>
  <c r="N662" i="23916"/>
  <c r="M662" i="23916"/>
  <c r="K662" i="23916"/>
  <c r="GY661" i="23916"/>
  <c r="GW661" i="23916"/>
  <c r="GU661" i="23916"/>
  <c r="GP661" i="23916"/>
  <c r="GN661" i="23916"/>
  <c r="GZ661" i="23916" s="1"/>
  <c r="GL661" i="23916"/>
  <c r="GO661" i="23916" s="1"/>
  <c r="GJ661" i="23916"/>
  <c r="GH661" i="23916"/>
  <c r="GF661" i="23916"/>
  <c r="GD661" i="23916"/>
  <c r="GB661" i="23916"/>
  <c r="FZ661" i="23916"/>
  <c r="FY661" i="23916"/>
  <c r="FW661" i="23916"/>
  <c r="FU661" i="23916"/>
  <c r="FU658" i="23916"/>
  <c r="FS661" i="23916"/>
  <c r="FS660" i="23916"/>
  <c r="FS659" i="23916"/>
  <c r="FS658" i="23916"/>
  <c r="EX661" i="23916"/>
  <c r="EX658" i="23916"/>
  <c r="EV661" i="23916"/>
  <c r="EV658" i="23916"/>
  <c r="ET661" i="23916"/>
  <c r="ET658" i="23916"/>
  <c r="ER661" i="23916"/>
  <c r="ER658" i="23916"/>
  <c r="EP661" i="23916"/>
  <c r="EP658" i="23916"/>
  <c r="EN661" i="23916"/>
  <c r="EN658" i="23916"/>
  <c r="EL661" i="23916"/>
  <c r="EL658" i="23916"/>
  <c r="EJ661" i="23916"/>
  <c r="EJ658" i="23916"/>
  <c r="EH661" i="23916"/>
  <c r="EH658" i="23916"/>
  <c r="EF661" i="23916"/>
  <c r="EF658" i="23916"/>
  <c r="ED661" i="23916"/>
  <c r="ED658" i="23916"/>
  <c r="EB661" i="23916"/>
  <c r="EB658" i="23916"/>
  <c r="DZ661" i="23916"/>
  <c r="DZ658" i="23916"/>
  <c r="DV661" i="23916"/>
  <c r="DV658" i="23916"/>
  <c r="DT661" i="23916"/>
  <c r="DT658" i="23916"/>
  <c r="DR661" i="23916"/>
  <c r="DR658" i="23916"/>
  <c r="DP661" i="23916"/>
  <c r="DP658" i="23916"/>
  <c r="DN661" i="23916"/>
  <c r="DN658" i="23916"/>
  <c r="DL661" i="23916"/>
  <c r="DL658" i="23916"/>
  <c r="DJ661" i="23916"/>
  <c r="DJ658" i="23916"/>
  <c r="DH661" i="23916"/>
  <c r="DH658" i="23916"/>
  <c r="DF661" i="23916"/>
  <c r="DF658" i="23916"/>
  <c r="DD661" i="23916"/>
  <c r="DD658" i="23916"/>
  <c r="DB661" i="23916"/>
  <c r="DB658" i="23916"/>
  <c r="CZ661" i="23916"/>
  <c r="CZ658" i="23916"/>
  <c r="CX661" i="23916"/>
  <c r="CX658" i="23916"/>
  <c r="CV661" i="23916"/>
  <c r="CV658" i="23916"/>
  <c r="CT661" i="23916"/>
  <c r="CT658" i="23916"/>
  <c r="CR661" i="23916"/>
  <c r="CR658" i="23916"/>
  <c r="CP661" i="23916"/>
  <c r="CP658" i="23916"/>
  <c r="CN661" i="23916"/>
  <c r="CL661" i="23916"/>
  <c r="CL658" i="23916"/>
  <c r="CJ661" i="23916"/>
  <c r="CH661" i="23916"/>
  <c r="CH658" i="23916"/>
  <c r="CF661" i="23916"/>
  <c r="CD661" i="23916"/>
  <c r="CD658" i="23916"/>
  <c r="CB661" i="23916"/>
  <c r="BZ661" i="23916"/>
  <c r="BZ658" i="23916"/>
  <c r="BX661" i="23916"/>
  <c r="BX658" i="23916"/>
  <c r="GX658" i="23916"/>
  <c r="GV658" i="23916"/>
  <c r="GW658" i="23916" s="1"/>
  <c r="GT658" i="23916"/>
  <c r="GU658" i="23916" s="1"/>
  <c r="FV658" i="23916"/>
  <c r="FW658" i="23916" s="1"/>
  <c r="FT659" i="23916"/>
  <c r="FT658" i="23916"/>
  <c r="CE658" i="23916"/>
  <c r="CN658" i="23916" s="1"/>
  <c r="CC658" i="23916"/>
  <c r="CA658" i="23916"/>
  <c r="CJ658" i="23916" s="1"/>
  <c r="BU659" i="23916"/>
  <c r="BU662" i="23916" s="1"/>
  <c r="BS659" i="23916"/>
  <c r="BQ659" i="23916"/>
  <c r="BQ693" i="23916" s="1"/>
  <c r="BO659" i="23916"/>
  <c r="BM659" i="23916"/>
  <c r="BM693" i="23916" s="1"/>
  <c r="BN693" i="23916" s="1"/>
  <c r="BK659" i="23916"/>
  <c r="BI659" i="23916"/>
  <c r="BI693" i="23916" s="1"/>
  <c r="BJ693" i="23916" s="1"/>
  <c r="BG659" i="23916"/>
  <c r="GR658" i="23916"/>
  <c r="GQ658" i="23916"/>
  <c r="GP658" i="23916"/>
  <c r="GS658" i="23916" s="1"/>
  <c r="GO658" i="23916"/>
  <c r="GN658" i="23916"/>
  <c r="GM658" i="23916"/>
  <c r="GL658" i="23916"/>
  <c r="GK658" i="23916"/>
  <c r="GJ658" i="23916"/>
  <c r="GI658" i="23916"/>
  <c r="GH658" i="23916"/>
  <c r="GG658" i="23916"/>
  <c r="GF658" i="23916"/>
  <c r="GE658" i="23916"/>
  <c r="GD658" i="23916"/>
  <c r="GC658" i="23916"/>
  <c r="GB658" i="23916"/>
  <c r="GA658" i="23916"/>
  <c r="FZ658" i="23916"/>
  <c r="FY658" i="23916"/>
  <c r="FX658" i="23916"/>
  <c r="FD657" i="23916"/>
  <c r="FB657" i="23916"/>
  <c r="BU657" i="23916"/>
  <c r="BT657" i="23916"/>
  <c r="BS657" i="23916"/>
  <c r="BR657" i="23916"/>
  <c r="BQ657" i="23916"/>
  <c r="BP657" i="23916"/>
  <c r="BO657" i="23916"/>
  <c r="BL657" i="23916"/>
  <c r="BK657" i="23916"/>
  <c r="BI657" i="23916"/>
  <c r="BG657" i="23916"/>
  <c r="BE657" i="23916"/>
  <c r="BE663" i="23916" s="1"/>
  <c r="BC657" i="23916"/>
  <c r="AD657" i="23916"/>
  <c r="AC657" i="23916"/>
  <c r="AC663" i="23916" s="1"/>
  <c r="AB657" i="23916"/>
  <c r="AA657" i="23916"/>
  <c r="Z657" i="23916"/>
  <c r="Y657" i="23916"/>
  <c r="Y663" i="23916" s="1"/>
  <c r="X657" i="23916"/>
  <c r="W657" i="23916"/>
  <c r="V657" i="23916"/>
  <c r="U657" i="23916"/>
  <c r="U663" i="23916" s="1"/>
  <c r="T657" i="23916"/>
  <c r="S657" i="23916"/>
  <c r="Q657" i="23916"/>
  <c r="O657" i="23916"/>
  <c r="N657" i="23916"/>
  <c r="M657" i="23916"/>
  <c r="M663" i="23916" s="1"/>
  <c r="K657" i="23916"/>
  <c r="I657" i="23916"/>
  <c r="G656" i="23916"/>
  <c r="G657" i="23916" s="1"/>
  <c r="E657" i="23916"/>
  <c r="C657" i="23916"/>
  <c r="EN656" i="23916"/>
  <c r="EN654" i="23916"/>
  <c r="EN653" i="23916"/>
  <c r="EL656" i="23916"/>
  <c r="EL654" i="23916"/>
  <c r="EL653" i="23916"/>
  <c r="EJ656" i="23916"/>
  <c r="EJ655" i="23916"/>
  <c r="EJ654" i="23916"/>
  <c r="EJ653" i="23916"/>
  <c r="EH656" i="23916"/>
  <c r="EH654" i="23916"/>
  <c r="EH653" i="23916"/>
  <c r="EF656" i="23916"/>
  <c r="EF654" i="23916"/>
  <c r="EF653" i="23916"/>
  <c r="ED656" i="23916"/>
  <c r="ED654" i="23916"/>
  <c r="ED653" i="23916"/>
  <c r="EB656" i="23916"/>
  <c r="EB654" i="23916"/>
  <c r="EB653" i="23916"/>
  <c r="DZ656" i="23916"/>
  <c r="DZ654" i="23916"/>
  <c r="DZ653" i="23916"/>
  <c r="DV656" i="23916"/>
  <c r="DV655" i="23916"/>
  <c r="DV654" i="23916"/>
  <c r="DV653" i="23916"/>
  <c r="DT654" i="23916"/>
  <c r="DT653" i="23916"/>
  <c r="DR656" i="23916"/>
  <c r="DR654" i="23916"/>
  <c r="DR653" i="23916"/>
  <c r="DP656" i="23916"/>
  <c r="DP654" i="23916"/>
  <c r="DP653" i="23916"/>
  <c r="DN656" i="23916"/>
  <c r="DN654" i="23916"/>
  <c r="DN653" i="23916"/>
  <c r="DK656" i="23916"/>
  <c r="DT656" i="23916" s="1"/>
  <c r="DJ656" i="23916"/>
  <c r="DH656" i="23916"/>
  <c r="DH654" i="23916"/>
  <c r="DH653" i="23916"/>
  <c r="DF656" i="23916"/>
  <c r="DF654" i="23916"/>
  <c r="DF653" i="23916"/>
  <c r="DD656" i="23916"/>
  <c r="DD654" i="23916"/>
  <c r="DD653" i="23916"/>
  <c r="DB656" i="23916"/>
  <c r="DB654" i="23916"/>
  <c r="DB653" i="23916"/>
  <c r="CZ656" i="23916"/>
  <c r="CZ654" i="23916"/>
  <c r="CZ653" i="23916"/>
  <c r="CX656" i="23916"/>
  <c r="CX654" i="23916"/>
  <c r="CX653" i="23916"/>
  <c r="CV656" i="23916"/>
  <c r="CV654" i="23916"/>
  <c r="CV653" i="23916"/>
  <c r="CT656" i="23916"/>
  <c r="CT654" i="23916"/>
  <c r="CT653" i="23916"/>
  <c r="CR656" i="23916"/>
  <c r="CR654" i="23916"/>
  <c r="CR653" i="23916"/>
  <c r="CP656" i="23916"/>
  <c r="CP654" i="23916"/>
  <c r="CP653" i="23916"/>
  <c r="CN656" i="23916"/>
  <c r="CN654" i="23916"/>
  <c r="CN653" i="23916"/>
  <c r="CL656" i="23916"/>
  <c r="CL654" i="23916"/>
  <c r="CL653" i="23916"/>
  <c r="CJ656" i="23916"/>
  <c r="CJ653" i="23916"/>
  <c r="CH656" i="23916"/>
  <c r="CH654" i="23916"/>
  <c r="CH653" i="23916"/>
  <c r="CF656" i="23916"/>
  <c r="CF654" i="23916"/>
  <c r="CF653" i="23916"/>
  <c r="CD656" i="23916"/>
  <c r="CD654" i="23916"/>
  <c r="CD653" i="23916"/>
  <c r="CB656" i="23916"/>
  <c r="CB653" i="23916"/>
  <c r="BZ656" i="23916"/>
  <c r="BZ654" i="23916"/>
  <c r="BZ653" i="23916"/>
  <c r="BX656" i="23916"/>
  <c r="BX654" i="23916"/>
  <c r="BX653" i="23916"/>
  <c r="BV656" i="23916"/>
  <c r="BV655" i="23916"/>
  <c r="BV654" i="23916"/>
  <c r="BV653" i="23916"/>
  <c r="BT656" i="23916"/>
  <c r="BT655" i="23916"/>
  <c r="BT654" i="23916"/>
  <c r="BT653" i="23916"/>
  <c r="BR656" i="23916"/>
  <c r="BR655" i="23916"/>
  <c r="BR654" i="23916"/>
  <c r="BR653" i="23916"/>
  <c r="BP656" i="23916"/>
  <c r="BP655" i="23916"/>
  <c r="BP654" i="23916"/>
  <c r="BP653" i="23916"/>
  <c r="BN656" i="23916"/>
  <c r="BM656" i="23916"/>
  <c r="BM657" i="23916" s="1"/>
  <c r="BL656" i="23916"/>
  <c r="BJ655" i="23916"/>
  <c r="BJ654" i="23916"/>
  <c r="BJ653" i="23916"/>
  <c r="BH655" i="23916"/>
  <c r="BH654" i="23916"/>
  <c r="BH653" i="23916"/>
  <c r="BF655" i="23916"/>
  <c r="BF654" i="23916"/>
  <c r="BF653" i="23916"/>
  <c r="BD655" i="23916"/>
  <c r="BD654" i="23916"/>
  <c r="BD653" i="23916"/>
  <c r="BA656" i="23916"/>
  <c r="BA657" i="23916" s="1"/>
  <c r="AY656" i="23916"/>
  <c r="AZ656" i="23916" s="1"/>
  <c r="AW656" i="23916"/>
  <c r="AW657" i="23916" s="1"/>
  <c r="AU656" i="23916"/>
  <c r="AV656" i="23916" s="1"/>
  <c r="AS656" i="23916"/>
  <c r="AS657" i="23916" s="1"/>
  <c r="AQ656" i="23916"/>
  <c r="AR656" i="23916" s="1"/>
  <c r="AO656" i="23916"/>
  <c r="AO657" i="23916" s="1"/>
  <c r="AM656" i="23916"/>
  <c r="AN656" i="23916" s="1"/>
  <c r="AK656" i="23916"/>
  <c r="AK657" i="23916" s="1"/>
  <c r="AI656" i="23916"/>
  <c r="AJ656" i="23916" s="1"/>
  <c r="AG656" i="23916"/>
  <c r="AG657" i="23916" s="1"/>
  <c r="AE656" i="23916"/>
  <c r="AF656" i="23916" s="1"/>
  <c r="AD656" i="23916"/>
  <c r="AB656" i="23916"/>
  <c r="AB655" i="23916"/>
  <c r="Z656" i="23916"/>
  <c r="Z655" i="23916"/>
  <c r="X656" i="23916"/>
  <c r="X655" i="23916"/>
  <c r="V656" i="23916"/>
  <c r="V655" i="23916"/>
  <c r="T656" i="23916"/>
  <c r="T655" i="23916"/>
  <c r="R656" i="23916"/>
  <c r="R655" i="23916"/>
  <c r="P656" i="23916"/>
  <c r="P655" i="23916"/>
  <c r="N656" i="23916"/>
  <c r="N655" i="23916"/>
  <c r="L656" i="23916"/>
  <c r="L655" i="23916"/>
  <c r="GN656" i="23916"/>
  <c r="GO656" i="23916" s="1"/>
  <c r="GL656" i="23916"/>
  <c r="GM656" i="23916" s="1"/>
  <c r="GJ656" i="23916"/>
  <c r="GK656" i="23916" s="1"/>
  <c r="GH656" i="23916"/>
  <c r="GI656" i="23916" s="1"/>
  <c r="GF656" i="23916"/>
  <c r="GG656" i="23916" s="1"/>
  <c r="GD656" i="23916"/>
  <c r="GE656" i="23916" s="1"/>
  <c r="GB656" i="23916"/>
  <c r="GC656" i="23916" s="1"/>
  <c r="FZ656" i="23916"/>
  <c r="GA656" i="23916" s="1"/>
  <c r="FX656" i="23916"/>
  <c r="FY656" i="23916" s="1"/>
  <c r="FV656" i="23916"/>
  <c r="FW656" i="23916" s="1"/>
  <c r="FT656" i="23916"/>
  <c r="FU656" i="23916" s="1"/>
  <c r="FR656" i="23916"/>
  <c r="FN656" i="23916"/>
  <c r="FJ656" i="23916"/>
  <c r="FK656" i="23916" s="1"/>
  <c r="FH656" i="23916"/>
  <c r="FI656" i="23916" s="1"/>
  <c r="FF656" i="23916"/>
  <c r="FG656" i="23916" s="1"/>
  <c r="FE656" i="23916"/>
  <c r="GL655" i="23916"/>
  <c r="GH655" i="23916"/>
  <c r="GF655" i="23916"/>
  <c r="GD655" i="23916"/>
  <c r="GB655" i="23916"/>
  <c r="FZ655" i="23916"/>
  <c r="FX655" i="23916"/>
  <c r="FV655" i="23916"/>
  <c r="FT655" i="23916"/>
  <c r="FR655" i="23916"/>
  <c r="FP655" i="23916"/>
  <c r="FN655" i="23916"/>
  <c r="FL655" i="23916"/>
  <c r="FJ655" i="23916"/>
  <c r="FH655" i="23916"/>
  <c r="FF655" i="23916"/>
  <c r="FE655" i="23916"/>
  <c r="EO655" i="23916"/>
  <c r="EO659" i="23916" s="1"/>
  <c r="EM655" i="23916"/>
  <c r="EK655" i="23916"/>
  <c r="EI655" i="23916"/>
  <c r="EI657" i="23916" s="1"/>
  <c r="EG655" i="23916"/>
  <c r="EG659" i="23916" s="1"/>
  <c r="EE655" i="23916"/>
  <c r="EC655" i="23916"/>
  <c r="EA655" i="23916"/>
  <c r="EA657" i="23916" s="1"/>
  <c r="DY655" i="23916"/>
  <c r="DY659" i="23916" s="1"/>
  <c r="DX655" i="23916"/>
  <c r="DW655" i="23916"/>
  <c r="DU655" i="23916"/>
  <c r="DU659" i="23916" s="1"/>
  <c r="DS655" i="23916"/>
  <c r="DS657" i="23916" s="1"/>
  <c r="DQ655" i="23916"/>
  <c r="DO655" i="23916"/>
  <c r="DM655" i="23916"/>
  <c r="DM659" i="23916" s="1"/>
  <c r="DK655" i="23916"/>
  <c r="DJ655" i="23916"/>
  <c r="DI655" i="23916"/>
  <c r="DI659" i="23916" s="1"/>
  <c r="DG655" i="23916"/>
  <c r="DG657" i="23916" s="1"/>
  <c r="DE655" i="23916"/>
  <c r="DC655" i="23916"/>
  <c r="DA655" i="23916"/>
  <c r="DA659" i="23916" s="1"/>
  <c r="CY655" i="23916"/>
  <c r="CY657" i="23916" s="1"/>
  <c r="CW655" i="23916"/>
  <c r="CU655" i="23916"/>
  <c r="CS655" i="23916"/>
  <c r="CS659" i="23916" s="1"/>
  <c r="CQ655" i="23916"/>
  <c r="CQ657" i="23916" s="1"/>
  <c r="CO655" i="23916"/>
  <c r="CM655" i="23916"/>
  <c r="CK655" i="23916"/>
  <c r="CK659" i="23916" s="1"/>
  <c r="CI655" i="23916"/>
  <c r="CI657" i="23916" s="1"/>
  <c r="CG655" i="23916"/>
  <c r="CE655" i="23916"/>
  <c r="CC655" i="23916"/>
  <c r="CC659" i="23916" s="1"/>
  <c r="CA655" i="23916"/>
  <c r="CA659" i="23916" s="1"/>
  <c r="CA654" i="23916"/>
  <c r="CJ654" i="23916" s="1"/>
  <c r="BY655" i="23916"/>
  <c r="BW655" i="23916"/>
  <c r="BW657" i="23916" s="1"/>
  <c r="BN655" i="23916"/>
  <c r="BN654" i="23916"/>
  <c r="BN653" i="23916"/>
  <c r="BL655" i="23916"/>
  <c r="BL654" i="23916"/>
  <c r="BL653" i="23916"/>
  <c r="BB655" i="23916"/>
  <c r="BB654" i="23916"/>
  <c r="BB653" i="23916"/>
  <c r="AZ655" i="23916"/>
  <c r="AZ654" i="23916"/>
  <c r="AZ653" i="23916"/>
  <c r="AX655" i="23916"/>
  <c r="AX654" i="23916"/>
  <c r="AX653" i="23916"/>
  <c r="AV655" i="23916"/>
  <c r="AV654" i="23916"/>
  <c r="AV653" i="23916"/>
  <c r="AT655" i="23916"/>
  <c r="AT654" i="23916"/>
  <c r="AT653" i="23916"/>
  <c r="AR655" i="23916"/>
  <c r="AR654" i="23916"/>
  <c r="AR653" i="23916"/>
  <c r="AP655" i="23916"/>
  <c r="AP654" i="23916"/>
  <c r="AP653" i="23916"/>
  <c r="AN655" i="23916"/>
  <c r="AN654" i="23916"/>
  <c r="AN653" i="23916"/>
  <c r="AL655" i="23916"/>
  <c r="AL654" i="23916"/>
  <c r="AL653" i="23916"/>
  <c r="AJ655" i="23916"/>
  <c r="AJ654" i="23916"/>
  <c r="AH655" i="23916"/>
  <c r="AH654" i="23916"/>
  <c r="AH653" i="23916"/>
  <c r="AF655" i="23916"/>
  <c r="AD655" i="23916"/>
  <c r="FL654" i="23916"/>
  <c r="FJ654" i="23916"/>
  <c r="FH654" i="23916"/>
  <c r="FH653" i="23916"/>
  <c r="FF654" i="23916"/>
  <c r="DL654" i="23916"/>
  <c r="DL653" i="23916"/>
  <c r="DJ654" i="23916"/>
  <c r="DJ653" i="23916"/>
  <c r="GO654" i="23916"/>
  <c r="GN654" i="23916"/>
  <c r="GM654" i="23916"/>
  <c r="GL654" i="23916"/>
  <c r="GK654" i="23916"/>
  <c r="GJ654" i="23916"/>
  <c r="GI654" i="23916"/>
  <c r="GH654" i="23916"/>
  <c r="GG654" i="23916"/>
  <c r="GF654" i="23916"/>
  <c r="GE654" i="23916"/>
  <c r="GD654" i="23916"/>
  <c r="GC654" i="23916"/>
  <c r="GB654" i="23916"/>
  <c r="GA654" i="23916"/>
  <c r="FZ654" i="23916"/>
  <c r="FY654" i="23916"/>
  <c r="FX654" i="23916"/>
  <c r="FW654" i="23916"/>
  <c r="FV654" i="23916"/>
  <c r="FU654" i="23916"/>
  <c r="FT654" i="23916"/>
  <c r="FS654" i="23916"/>
  <c r="FR654" i="23916"/>
  <c r="FQ654" i="23916"/>
  <c r="FP654" i="23916"/>
  <c r="FO654" i="23916"/>
  <c r="FN654" i="23916"/>
  <c r="GL653" i="23916"/>
  <c r="GH653" i="23916"/>
  <c r="GI653" i="23916" s="1"/>
  <c r="GF653" i="23916"/>
  <c r="GG653" i="23916" s="1"/>
  <c r="GD653" i="23916"/>
  <c r="GE653" i="23916" s="1"/>
  <c r="GB653" i="23916"/>
  <c r="GC653" i="23916" s="1"/>
  <c r="FZ653" i="23916"/>
  <c r="GA653" i="23916" s="1"/>
  <c r="FX653" i="23916"/>
  <c r="FY653" i="23916" s="1"/>
  <c r="FV653" i="23916"/>
  <c r="FW653" i="23916" s="1"/>
  <c r="FT653" i="23916"/>
  <c r="FU653" i="23916" s="1"/>
  <c r="FR653" i="23916"/>
  <c r="FN653" i="23916"/>
  <c r="EQ656" i="23916"/>
  <c r="ES656" i="23916" s="1"/>
  <c r="EP656" i="23916"/>
  <c r="EP655" i="23916"/>
  <c r="EP654" i="23916"/>
  <c r="EP653" i="23916"/>
  <c r="AC653" i="23916"/>
  <c r="AA653" i="23916"/>
  <c r="AJ653" i="23916" s="1"/>
  <c r="Y653" i="23916"/>
  <c r="FJ653" i="23916" s="1"/>
  <c r="W653" i="23916"/>
  <c r="U653" i="23916"/>
  <c r="S653" i="23916"/>
  <c r="Q653" i="23916"/>
  <c r="O653" i="23916"/>
  <c r="M653" i="23916"/>
  <c r="K653" i="23916"/>
  <c r="I653" i="23916"/>
  <c r="FF653" i="23916" s="1"/>
  <c r="GZ652" i="23916"/>
  <c r="GZ651" i="23916"/>
  <c r="GZ642" i="23916"/>
  <c r="GZ641" i="23916"/>
  <c r="FB650" i="23916"/>
  <c r="FB649" i="23916"/>
  <c r="FB648" i="23916"/>
  <c r="I649" i="23916"/>
  <c r="I650" i="23916" s="1"/>
  <c r="I648" i="23916"/>
  <c r="G650" i="23916"/>
  <c r="G649" i="23916"/>
  <c r="G648" i="23916"/>
  <c r="E649" i="23916"/>
  <c r="E650" i="23916" s="1"/>
  <c r="E648" i="23916"/>
  <c r="C650" i="23916"/>
  <c r="C649" i="23916"/>
  <c r="C648" i="23916"/>
  <c r="FD649" i="23916"/>
  <c r="FE649" i="23916" s="1"/>
  <c r="FD648" i="23916"/>
  <c r="FE648" i="23916" s="1"/>
  <c r="EO649" i="23916"/>
  <c r="EM649" i="23916"/>
  <c r="EK649" i="23916"/>
  <c r="EI649" i="23916"/>
  <c r="EG649" i="23916"/>
  <c r="EH649" i="23916" s="1"/>
  <c r="DY649" i="23916"/>
  <c r="CK649" i="23916"/>
  <c r="CK650" i="23916" s="1"/>
  <c r="CI649" i="23916"/>
  <c r="CG649" i="23916"/>
  <c r="CE649" i="23916"/>
  <c r="CC649" i="23916"/>
  <c r="CC650" i="23916" s="1"/>
  <c r="CA649" i="23916"/>
  <c r="BY649" i="23916"/>
  <c r="BW649" i="23916"/>
  <c r="BU649" i="23916"/>
  <c r="BU650" i="23916" s="1"/>
  <c r="BS649" i="23916"/>
  <c r="BQ649" i="23916"/>
  <c r="BO649" i="23916"/>
  <c r="BM649" i="23916"/>
  <c r="BM650" i="23916" s="1"/>
  <c r="BK649" i="23916"/>
  <c r="BI649" i="23916"/>
  <c r="BG649" i="23916"/>
  <c r="BE649" i="23916"/>
  <c r="BE650" i="23916" s="1"/>
  <c r="BC649" i="23916"/>
  <c r="BA649" i="23916"/>
  <c r="AY649" i="23916"/>
  <c r="AW649" i="23916"/>
  <c r="AW650" i="23916" s="1"/>
  <c r="AU649" i="23916"/>
  <c r="AS649" i="23916"/>
  <c r="AQ649" i="23916"/>
  <c r="AO649" i="23916"/>
  <c r="AO650" i="23916" s="1"/>
  <c r="AM649" i="23916"/>
  <c r="AK649" i="23916"/>
  <c r="AI649" i="23916"/>
  <c r="AG649" i="23916"/>
  <c r="AG650" i="23916" s="1"/>
  <c r="AE649" i="23916"/>
  <c r="AC649" i="23916"/>
  <c r="AA649" i="23916"/>
  <c r="Y649" i="23916"/>
  <c r="Y650" i="23916" s="1"/>
  <c r="W649" i="23916"/>
  <c r="U649" i="23916"/>
  <c r="S649" i="23916"/>
  <c r="Q649" i="23916"/>
  <c r="R649" i="23916" s="1"/>
  <c r="O649" i="23916"/>
  <c r="M649" i="23916"/>
  <c r="N649" i="23916" s="1"/>
  <c r="K649" i="23916"/>
  <c r="EO648" i="23916"/>
  <c r="EM648" i="23916"/>
  <c r="EK648" i="23916"/>
  <c r="EI648" i="23916"/>
  <c r="EG648" i="23916"/>
  <c r="DY648" i="23916"/>
  <c r="CK648" i="23916"/>
  <c r="CI648" i="23916"/>
  <c r="CG648" i="23916"/>
  <c r="CE648" i="23916"/>
  <c r="CC648" i="23916"/>
  <c r="CA648" i="23916"/>
  <c r="BY648" i="23916"/>
  <c r="BW648" i="23916"/>
  <c r="BU648" i="23916"/>
  <c r="BS648" i="23916"/>
  <c r="BQ648" i="23916"/>
  <c r="BO648" i="23916"/>
  <c r="BM648" i="23916"/>
  <c r="BK648" i="23916"/>
  <c r="BI648" i="23916"/>
  <c r="BG648" i="23916"/>
  <c r="BE648" i="23916"/>
  <c r="BC648" i="23916"/>
  <c r="BA648" i="23916"/>
  <c r="AY648" i="23916"/>
  <c r="AW648" i="23916"/>
  <c r="AU648" i="23916"/>
  <c r="AS648" i="23916"/>
  <c r="AQ648" i="23916"/>
  <c r="AO648" i="23916"/>
  <c r="AM648" i="23916"/>
  <c r="AK648" i="23916"/>
  <c r="AI648" i="23916"/>
  <c r="AG648" i="23916"/>
  <c r="AE648" i="23916"/>
  <c r="AC648" i="23916"/>
  <c r="AA648" i="23916"/>
  <c r="Y648" i="23916"/>
  <c r="W648" i="23916"/>
  <c r="U648" i="23916"/>
  <c r="V648" i="23916" s="1"/>
  <c r="S648" i="23916"/>
  <c r="Q648" i="23916"/>
  <c r="R648" i="23916" s="1"/>
  <c r="O648" i="23916"/>
  <c r="P648" i="23916" s="1"/>
  <c r="N648" i="23916"/>
  <c r="M648" i="23916"/>
  <c r="K648" i="23916"/>
  <c r="L648" i="23916" s="1"/>
  <c r="GP647" i="23916"/>
  <c r="GQ647" i="23916" s="1"/>
  <c r="GN647" i="23916"/>
  <c r="GO647" i="23916" s="1"/>
  <c r="GL647" i="23916"/>
  <c r="GJ647" i="23916"/>
  <c r="GK647" i="23916" s="1"/>
  <c r="GI647" i="23916"/>
  <c r="GH647" i="23916"/>
  <c r="GF647" i="23916"/>
  <c r="GD647" i="23916"/>
  <c r="GE647" i="23916" s="1"/>
  <c r="GB647" i="23916"/>
  <c r="FZ647" i="23916"/>
  <c r="GA647" i="23916" s="1"/>
  <c r="FX647" i="23916"/>
  <c r="FY647" i="23916" s="1"/>
  <c r="FV647" i="23916"/>
  <c r="FT647" i="23916"/>
  <c r="FU647" i="23916" s="1"/>
  <c r="FS647" i="23916"/>
  <c r="FR647" i="23916"/>
  <c r="FP647" i="23916"/>
  <c r="FN647" i="23916"/>
  <c r="FO647" i="23916" s="1"/>
  <c r="FL647" i="23916"/>
  <c r="FJ647" i="23916"/>
  <c r="FK647" i="23916" s="1"/>
  <c r="FH647" i="23916"/>
  <c r="FI647" i="23916" s="1"/>
  <c r="FG647" i="23916"/>
  <c r="FF647" i="23916"/>
  <c r="FE647" i="23916"/>
  <c r="EX647" i="23916"/>
  <c r="EX646" i="23916"/>
  <c r="EV647" i="23916"/>
  <c r="EV646" i="23916"/>
  <c r="ET647" i="23916"/>
  <c r="ET646" i="23916"/>
  <c r="ER647" i="23916"/>
  <c r="ER646" i="23916"/>
  <c r="EP647" i="23916"/>
  <c r="EP646" i="23916"/>
  <c r="EP644" i="23916"/>
  <c r="EP643" i="23916"/>
  <c r="EN647" i="23916"/>
  <c r="EN646" i="23916"/>
  <c r="EN643" i="23916"/>
  <c r="EL647" i="23916"/>
  <c r="EL646" i="23916"/>
  <c r="EL643" i="23916"/>
  <c r="EJ647" i="23916"/>
  <c r="EJ646" i="23916"/>
  <c r="EJ643" i="23916"/>
  <c r="EH647" i="23916"/>
  <c r="EH646" i="23916"/>
  <c r="EH643" i="23916"/>
  <c r="EF647" i="23916"/>
  <c r="EF646" i="23916"/>
  <c r="EF643" i="23916"/>
  <c r="ED647" i="23916"/>
  <c r="ED646" i="23916"/>
  <c r="ED643" i="23916"/>
  <c r="EB647" i="23916"/>
  <c r="EB646" i="23916"/>
  <c r="EB643" i="23916"/>
  <c r="DZ647" i="23916"/>
  <c r="DZ646" i="23916"/>
  <c r="DZ643" i="23916"/>
  <c r="DV647" i="23916"/>
  <c r="DV646" i="23916"/>
  <c r="DV643" i="23916"/>
  <c r="DT647" i="23916"/>
  <c r="DT646" i="23916"/>
  <c r="DT643" i="23916"/>
  <c r="DR647" i="23916"/>
  <c r="DR646" i="23916"/>
  <c r="DR643" i="23916"/>
  <c r="DP647" i="23916"/>
  <c r="DP646" i="23916"/>
  <c r="DP643" i="23916"/>
  <c r="DN647" i="23916"/>
  <c r="DN646" i="23916"/>
  <c r="DN643" i="23916"/>
  <c r="DL647" i="23916"/>
  <c r="DJ647" i="23916"/>
  <c r="DH647" i="23916"/>
  <c r="DF647" i="23916"/>
  <c r="DD647" i="23916"/>
  <c r="DB647" i="23916"/>
  <c r="CZ647" i="23916"/>
  <c r="CX647" i="23916"/>
  <c r="CV647" i="23916"/>
  <c r="CT647" i="23916"/>
  <c r="CR647" i="23916"/>
  <c r="CP647" i="23916"/>
  <c r="CN647" i="23916"/>
  <c r="CL647" i="23916"/>
  <c r="CJ647" i="23916"/>
  <c r="CH647" i="23916"/>
  <c r="CF647" i="23916"/>
  <c r="CD647" i="23916"/>
  <c r="CB647" i="23916"/>
  <c r="BZ647" i="23916"/>
  <c r="BX647" i="23916"/>
  <c r="BV647" i="23916"/>
  <c r="BT647" i="23916"/>
  <c r="BR647" i="23916"/>
  <c r="BP647" i="23916"/>
  <c r="BN647" i="23916"/>
  <c r="BL647" i="23916"/>
  <c r="BJ647" i="23916"/>
  <c r="BH647" i="23916"/>
  <c r="BF647" i="23916"/>
  <c r="BD647" i="23916"/>
  <c r="BB647" i="23916"/>
  <c r="AZ647" i="23916"/>
  <c r="AX647" i="23916"/>
  <c r="AV647" i="23916"/>
  <c r="AT647" i="23916"/>
  <c r="AR647" i="23916"/>
  <c r="AP647" i="23916"/>
  <c r="AN647" i="23916"/>
  <c r="AL647" i="23916"/>
  <c r="AJ647" i="23916"/>
  <c r="AH647" i="23916"/>
  <c r="AF647" i="23916"/>
  <c r="AD647" i="23916"/>
  <c r="AB647" i="23916"/>
  <c r="Z647" i="23916"/>
  <c r="X647" i="23916"/>
  <c r="V647" i="23916"/>
  <c r="T647" i="23916"/>
  <c r="R647" i="23916"/>
  <c r="P647" i="23916"/>
  <c r="N647" i="23916"/>
  <c r="L647" i="23916"/>
  <c r="GY646" i="23916"/>
  <c r="GW646" i="23916"/>
  <c r="GU646" i="23916"/>
  <c r="GP646" i="23916"/>
  <c r="GN646" i="23916"/>
  <c r="GZ646" i="23916" s="1"/>
  <c r="GL646" i="23916"/>
  <c r="GM646" i="23916" s="1"/>
  <c r="GK646" i="23916"/>
  <c r="GJ646" i="23916"/>
  <c r="GH646" i="23916"/>
  <c r="GF646" i="23916"/>
  <c r="GG646" i="23916" s="1"/>
  <c r="GD646" i="23916"/>
  <c r="GD643" i="23916"/>
  <c r="GB646" i="23916"/>
  <c r="GB643" i="23916"/>
  <c r="GC643" i="23916" s="1"/>
  <c r="FZ646" i="23916"/>
  <c r="FZ644" i="23916"/>
  <c r="FZ643" i="23916"/>
  <c r="FX646" i="23916"/>
  <c r="FX644" i="23916"/>
  <c r="FX643" i="23916"/>
  <c r="FY643" i="23916" s="1"/>
  <c r="FD645" i="23916"/>
  <c r="FE645" i="23916" s="1"/>
  <c r="FB645" i="23916"/>
  <c r="ES644" i="23916"/>
  <c r="EU644" i="23916" s="1"/>
  <c r="ES643" i="23916"/>
  <c r="EQ644" i="23916"/>
  <c r="EQ643" i="23916"/>
  <c r="EQ648" i="23916" s="1"/>
  <c r="ER648" i="23916" s="1"/>
  <c r="EO645" i="23916"/>
  <c r="EP645" i="23916" s="1"/>
  <c r="EM645" i="23916"/>
  <c r="EK645" i="23916"/>
  <c r="EI645" i="23916"/>
  <c r="EG645" i="23916"/>
  <c r="EH645" i="23916" s="1"/>
  <c r="EE644" i="23916"/>
  <c r="EC644" i="23916"/>
  <c r="ED644" i="23916" s="1"/>
  <c r="EA644" i="23916"/>
  <c r="EB644" i="23916" s="1"/>
  <c r="DU645" i="23916"/>
  <c r="DU644" i="23916"/>
  <c r="DS644" i="23916"/>
  <c r="DS648" i="23916" s="1"/>
  <c r="DQ644" i="23916"/>
  <c r="DO644" i="23916"/>
  <c r="CK645" i="23916"/>
  <c r="CL645" i="23916" s="1"/>
  <c r="CJ645" i="23916"/>
  <c r="CI645" i="23916"/>
  <c r="CG645" i="23916"/>
  <c r="CH645" i="23916" s="1"/>
  <c r="CF645" i="23916"/>
  <c r="CE645" i="23916"/>
  <c r="CC645" i="23916"/>
  <c r="CD645" i="23916" s="1"/>
  <c r="CB645" i="23916"/>
  <c r="CA645" i="23916"/>
  <c r="BY645" i="23916"/>
  <c r="BZ645" i="23916" s="1"/>
  <c r="BX645" i="23916"/>
  <c r="BW645" i="23916"/>
  <c r="BU645" i="23916"/>
  <c r="BV645" i="23916" s="1"/>
  <c r="BT645" i="23916"/>
  <c r="BS645" i="23916"/>
  <c r="BQ645" i="23916"/>
  <c r="BR645" i="23916" s="1"/>
  <c r="BP645" i="23916"/>
  <c r="BO645" i="23916"/>
  <c r="BM645" i="23916"/>
  <c r="BN645" i="23916" s="1"/>
  <c r="BL645" i="23916"/>
  <c r="BK645" i="23916"/>
  <c r="BI645" i="23916"/>
  <c r="BJ645" i="23916" s="1"/>
  <c r="BH645" i="23916"/>
  <c r="BG645" i="23916"/>
  <c r="BE645" i="23916"/>
  <c r="BF645" i="23916" s="1"/>
  <c r="BD645" i="23916"/>
  <c r="BC645" i="23916"/>
  <c r="BA645" i="23916"/>
  <c r="BB645" i="23916" s="1"/>
  <c r="AZ645" i="23916"/>
  <c r="AY645" i="23916"/>
  <c r="AW645" i="23916"/>
  <c r="AX645" i="23916" s="1"/>
  <c r="AV645" i="23916"/>
  <c r="AU645" i="23916"/>
  <c r="AS645" i="23916"/>
  <c r="AT645" i="23916" s="1"/>
  <c r="AR645" i="23916"/>
  <c r="AQ645" i="23916"/>
  <c r="AO645" i="23916"/>
  <c r="AP645" i="23916" s="1"/>
  <c r="AN645" i="23916"/>
  <c r="AM645" i="23916"/>
  <c r="AK645" i="23916"/>
  <c r="AL645" i="23916" s="1"/>
  <c r="AJ645" i="23916"/>
  <c r="AI645" i="23916"/>
  <c r="AG645" i="23916"/>
  <c r="AH645" i="23916" s="1"/>
  <c r="AF645" i="23916"/>
  <c r="AE645" i="23916"/>
  <c r="AC645" i="23916"/>
  <c r="AD645" i="23916" s="1"/>
  <c r="AB645" i="23916"/>
  <c r="AA645" i="23916"/>
  <c r="Y645" i="23916"/>
  <c r="Z645" i="23916" s="1"/>
  <c r="X645" i="23916"/>
  <c r="W645" i="23916"/>
  <c r="U645" i="23916"/>
  <c r="V645" i="23916" s="1"/>
  <c r="T645" i="23916"/>
  <c r="S645" i="23916"/>
  <c r="Q645" i="23916"/>
  <c r="R645" i="23916" s="1"/>
  <c r="P645" i="23916"/>
  <c r="O645" i="23916"/>
  <c r="M645" i="23916"/>
  <c r="N645" i="23916" s="1"/>
  <c r="L645" i="23916"/>
  <c r="K645" i="23916"/>
  <c r="I645" i="23916"/>
  <c r="G645" i="23916"/>
  <c r="E645" i="23916"/>
  <c r="C645" i="23916"/>
  <c r="DY645" i="23916"/>
  <c r="DX645" i="23916"/>
  <c r="DW645" i="23916"/>
  <c r="DY644" i="23916"/>
  <c r="DX644" i="23916"/>
  <c r="DW644" i="23916"/>
  <c r="DM644" i="23916"/>
  <c r="DK644" i="23916"/>
  <c r="DK649" i="23916" s="1"/>
  <c r="DI644" i="23916"/>
  <c r="DI645" i="23916" s="1"/>
  <c r="DG644" i="23916"/>
  <c r="DG649" i="23916" s="1"/>
  <c r="DE644" i="23916"/>
  <c r="DC644" i="23916"/>
  <c r="DC649" i="23916" s="1"/>
  <c r="DA644" i="23916"/>
  <c r="CY644" i="23916"/>
  <c r="CY649" i="23916" s="1"/>
  <c r="CW644" i="23916"/>
  <c r="CU644" i="23916"/>
  <c r="CU649" i="23916" s="1"/>
  <c r="CS644" i="23916"/>
  <c r="CS645" i="23916" s="1"/>
  <c r="CT645" i="23916" s="1"/>
  <c r="CQ644" i="23916"/>
  <c r="CQ649" i="23916" s="1"/>
  <c r="CO644" i="23916"/>
  <c r="CM644" i="23916"/>
  <c r="CM649" i="23916" s="1"/>
  <c r="CL644" i="23916"/>
  <c r="CJ644" i="23916"/>
  <c r="CJ643" i="23916"/>
  <c r="CH644" i="23916"/>
  <c r="CH643" i="23916"/>
  <c r="CF644" i="23916"/>
  <c r="CF643" i="23916"/>
  <c r="CD644" i="23916"/>
  <c r="CD643" i="23916"/>
  <c r="CB644" i="23916"/>
  <c r="CB643" i="23916"/>
  <c r="BZ644" i="23916"/>
  <c r="BZ643" i="23916"/>
  <c r="BX644" i="23916"/>
  <c r="BX643" i="23916"/>
  <c r="BV644" i="23916"/>
  <c r="BV643" i="23916"/>
  <c r="BT644" i="23916"/>
  <c r="BT643" i="23916"/>
  <c r="BR644" i="23916"/>
  <c r="BR643" i="23916"/>
  <c r="BP644" i="23916"/>
  <c r="BP643" i="23916"/>
  <c r="BN644" i="23916"/>
  <c r="BN643" i="23916"/>
  <c r="BL644" i="23916"/>
  <c r="BL643" i="23916"/>
  <c r="BJ644" i="23916"/>
  <c r="BJ643" i="23916"/>
  <c r="BH644" i="23916"/>
  <c r="BH643" i="23916"/>
  <c r="BF644" i="23916"/>
  <c r="BF643" i="23916"/>
  <c r="BD644" i="23916"/>
  <c r="BD643" i="23916"/>
  <c r="BB644" i="23916"/>
  <c r="BB643" i="23916"/>
  <c r="AZ644" i="23916"/>
  <c r="AZ643" i="23916"/>
  <c r="AX644" i="23916"/>
  <c r="AX643" i="23916"/>
  <c r="AV644" i="23916"/>
  <c r="AV643" i="23916"/>
  <c r="AT644" i="23916"/>
  <c r="AT643" i="23916"/>
  <c r="AR644" i="23916"/>
  <c r="AR643" i="23916"/>
  <c r="AP644" i="23916"/>
  <c r="AP643" i="23916"/>
  <c r="AN644" i="23916"/>
  <c r="AN643" i="23916"/>
  <c r="AL644" i="23916"/>
  <c r="AL643" i="23916"/>
  <c r="AJ644" i="23916"/>
  <c r="AJ643" i="23916"/>
  <c r="AH644" i="23916"/>
  <c r="AH643" i="23916"/>
  <c r="AF644" i="23916"/>
  <c r="AF643" i="23916"/>
  <c r="AD644" i="23916"/>
  <c r="AD643" i="23916"/>
  <c r="AB644" i="23916"/>
  <c r="AB643" i="23916"/>
  <c r="Z644" i="23916"/>
  <c r="Z643" i="23916"/>
  <c r="X644" i="23916"/>
  <c r="X643" i="23916"/>
  <c r="V644" i="23916"/>
  <c r="V643" i="23916"/>
  <c r="T644" i="23916"/>
  <c r="T643" i="23916"/>
  <c r="R644" i="23916"/>
  <c r="R643" i="23916"/>
  <c r="P644" i="23916"/>
  <c r="P643" i="23916"/>
  <c r="N644" i="23916"/>
  <c r="N643" i="23916"/>
  <c r="L644" i="23916"/>
  <c r="L643" i="23916"/>
  <c r="GN644" i="23916"/>
  <c r="GL644" i="23916"/>
  <c r="GM644" i="23916" s="1"/>
  <c r="GJ644" i="23916"/>
  <c r="GH644" i="23916"/>
  <c r="GI644" i="23916" s="1"/>
  <c r="GF644" i="23916"/>
  <c r="GN643" i="23916"/>
  <c r="GO643" i="23916" s="1"/>
  <c r="GL643" i="23916"/>
  <c r="GJ643" i="23916"/>
  <c r="GK643" i="23916" s="1"/>
  <c r="GH643" i="23916"/>
  <c r="GF643" i="23916"/>
  <c r="GG643" i="23916" s="1"/>
  <c r="GE643" i="23916"/>
  <c r="FW644" i="23916"/>
  <c r="FV644" i="23916"/>
  <c r="FT644" i="23916"/>
  <c r="FS644" i="23916"/>
  <c r="FR644" i="23916"/>
  <c r="FP644" i="23916"/>
  <c r="FO644" i="23916"/>
  <c r="FN644" i="23916"/>
  <c r="FL644" i="23916"/>
  <c r="FK644" i="23916"/>
  <c r="FJ644" i="23916"/>
  <c r="FH644" i="23916"/>
  <c r="FG644" i="23916"/>
  <c r="FF644" i="23916"/>
  <c r="FE644" i="23916"/>
  <c r="FV643" i="23916"/>
  <c r="FV685" i="23916" s="1"/>
  <c r="FT643" i="23916"/>
  <c r="FT645" i="23916" s="1"/>
  <c r="FR643" i="23916"/>
  <c r="FR685" i="23916" s="1"/>
  <c r="FP643" i="23916"/>
  <c r="FP645" i="23916" s="1"/>
  <c r="FN643" i="23916"/>
  <c r="FN685" i="23916" s="1"/>
  <c r="FL643" i="23916"/>
  <c r="FM643" i="23916" s="1"/>
  <c r="FJ643" i="23916"/>
  <c r="FJ685" i="23916" s="1"/>
  <c r="FH643" i="23916"/>
  <c r="FH645" i="23916" s="1"/>
  <c r="FF643" i="23916"/>
  <c r="FF685" i="23916" s="1"/>
  <c r="FG685" i="23916" s="1"/>
  <c r="FE643" i="23916"/>
  <c r="DL643" i="23916"/>
  <c r="DJ643" i="23916"/>
  <c r="DH643" i="23916"/>
  <c r="DF643" i="23916"/>
  <c r="DD643" i="23916"/>
  <c r="DB643" i="23916"/>
  <c r="CZ643" i="23916"/>
  <c r="CX643" i="23916"/>
  <c r="CV643" i="23916"/>
  <c r="CT643" i="23916"/>
  <c r="CR643" i="23916"/>
  <c r="CP643" i="23916"/>
  <c r="CN643" i="23916"/>
  <c r="CL643" i="23916"/>
  <c r="EX638" i="23916"/>
  <c r="EV639" i="23916"/>
  <c r="EV638" i="23916"/>
  <c r="ET639" i="23916"/>
  <c r="ET638" i="23916"/>
  <c r="ER638" i="23916"/>
  <c r="CI640" i="23916"/>
  <c r="BW640" i="23916"/>
  <c r="BX640" i="23916" s="1"/>
  <c r="BS640" i="23916"/>
  <c r="BT640" i="23916" s="1"/>
  <c r="BO640" i="23916"/>
  <c r="BP640" i="23916" s="1"/>
  <c r="BK640" i="23916"/>
  <c r="BL640" i="23916" s="1"/>
  <c r="BG640" i="23916"/>
  <c r="BC640" i="23916"/>
  <c r="AO640" i="23916"/>
  <c r="AO639" i="23916"/>
  <c r="AM639" i="23916"/>
  <c r="AK640" i="23916"/>
  <c r="AK639" i="23916"/>
  <c r="AI639" i="23916"/>
  <c r="AG640" i="23916"/>
  <c r="AG639" i="23916"/>
  <c r="AE639" i="23916"/>
  <c r="AC640" i="23916"/>
  <c r="AC639" i="23916"/>
  <c r="AA639" i="23916"/>
  <c r="AA640" i="23916" s="1"/>
  <c r="Y640" i="23916"/>
  <c r="Y639" i="23916"/>
  <c r="W639" i="23916"/>
  <c r="W640" i="23916" s="1"/>
  <c r="U640" i="23916"/>
  <c r="U639" i="23916"/>
  <c r="S639" i="23916"/>
  <c r="S640" i="23916" s="1"/>
  <c r="EP639" i="23916"/>
  <c r="EO639" i="23916"/>
  <c r="EX639" i="23916" s="1"/>
  <c r="EM639" i="23916"/>
  <c r="EN639" i="23916" s="1"/>
  <c r="EL639" i="23916"/>
  <c r="EK639" i="23916"/>
  <c r="EI639" i="23916"/>
  <c r="ER639" i="23916" s="1"/>
  <c r="EH639" i="23916"/>
  <c r="EG639" i="23916"/>
  <c r="EE639" i="23916"/>
  <c r="EF639" i="23916" s="1"/>
  <c r="ED639" i="23916"/>
  <c r="EC639" i="23916"/>
  <c r="EA639" i="23916"/>
  <c r="EB639" i="23916" s="1"/>
  <c r="DZ639" i="23916"/>
  <c r="DY639" i="23916"/>
  <c r="DX639" i="23916"/>
  <c r="DW639" i="23916"/>
  <c r="DV639" i="23916"/>
  <c r="DU639" i="23916"/>
  <c r="DS639" i="23916"/>
  <c r="DT639" i="23916" s="1"/>
  <c r="DR639" i="23916"/>
  <c r="DQ639" i="23916"/>
  <c r="DO639" i="23916"/>
  <c r="DP639" i="23916" s="1"/>
  <c r="DN639" i="23916"/>
  <c r="DM639" i="23916"/>
  <c r="DK639" i="23916"/>
  <c r="DL639" i="23916" s="1"/>
  <c r="DJ639" i="23916"/>
  <c r="DI639" i="23916"/>
  <c r="DG639" i="23916"/>
  <c r="DH639" i="23916" s="1"/>
  <c r="DF639" i="23916"/>
  <c r="DE639" i="23916"/>
  <c r="DC639" i="23916"/>
  <c r="DD639" i="23916" s="1"/>
  <c r="DB639" i="23916"/>
  <c r="DA639" i="23916"/>
  <c r="CY639" i="23916"/>
  <c r="CZ639" i="23916" s="1"/>
  <c r="CX639" i="23916"/>
  <c r="CW639" i="23916"/>
  <c r="CU639" i="23916"/>
  <c r="CV639" i="23916" s="1"/>
  <c r="CT639" i="23916"/>
  <c r="CS639" i="23916"/>
  <c r="CQ639" i="23916"/>
  <c r="CR639" i="23916" s="1"/>
  <c r="CP639" i="23916"/>
  <c r="CO639" i="23916"/>
  <c r="CM639" i="23916"/>
  <c r="CN639" i="23916" s="1"/>
  <c r="CK639" i="23916"/>
  <c r="CH638" i="23916"/>
  <c r="CF638" i="23916"/>
  <c r="CC639" i="23916"/>
  <c r="CD639" i="23916" s="1"/>
  <c r="CA639" i="23916"/>
  <c r="CJ639" i="23916" s="1"/>
  <c r="BY639" i="23916"/>
  <c r="CH639" i="23916" s="1"/>
  <c r="BW639" i="23916"/>
  <c r="CF639" i="23916" s="1"/>
  <c r="BU639" i="23916"/>
  <c r="FV639" i="23916" s="1"/>
  <c r="FW639" i="23916" s="1"/>
  <c r="BS639" i="23916"/>
  <c r="BT639" i="23916" s="1"/>
  <c r="BQ639" i="23916"/>
  <c r="BR639" i="23916" s="1"/>
  <c r="BO639" i="23916"/>
  <c r="BP639" i="23916" s="1"/>
  <c r="BM639" i="23916"/>
  <c r="BN639" i="23916" s="1"/>
  <c r="BK639" i="23916"/>
  <c r="BL639" i="23916" s="1"/>
  <c r="BI639" i="23916"/>
  <c r="BJ639" i="23916" s="1"/>
  <c r="BG639" i="23916"/>
  <c r="BH639" i="23916" s="1"/>
  <c r="BE639" i="23916"/>
  <c r="FR639" i="23916" s="1"/>
  <c r="FS639" i="23916" s="1"/>
  <c r="BC639" i="23916"/>
  <c r="BD639" i="23916" s="1"/>
  <c r="BA639" i="23916"/>
  <c r="BB639" i="23916" s="1"/>
  <c r="AY639" i="23916"/>
  <c r="AZ639" i="23916" s="1"/>
  <c r="AW639" i="23916"/>
  <c r="AX639" i="23916" s="1"/>
  <c r="AU639" i="23916"/>
  <c r="AV639" i="23916" s="1"/>
  <c r="AS639" i="23916"/>
  <c r="AT639" i="23916" s="1"/>
  <c r="AQ639" i="23916"/>
  <c r="AR639" i="23916" s="1"/>
  <c r="FT639" i="23916"/>
  <c r="FU639" i="23916" s="1"/>
  <c r="FV638" i="23916"/>
  <c r="FW638" i="23916" s="1"/>
  <c r="FT638" i="23916"/>
  <c r="FU638" i="23916" s="1"/>
  <c r="FR638" i="23916"/>
  <c r="FS638" i="23916" s="1"/>
  <c r="EP638" i="23916"/>
  <c r="EN638" i="23916"/>
  <c r="EL638" i="23916"/>
  <c r="EJ638" i="23916"/>
  <c r="EH638" i="23916"/>
  <c r="EF638" i="23916"/>
  <c r="ED638" i="23916"/>
  <c r="EB638" i="23916"/>
  <c r="DZ638" i="23916"/>
  <c r="DV638" i="23916"/>
  <c r="DT638" i="23916"/>
  <c r="DR638" i="23916"/>
  <c r="DP638" i="23916"/>
  <c r="DN638" i="23916"/>
  <c r="DL638" i="23916"/>
  <c r="DJ638" i="23916"/>
  <c r="DH638" i="23916"/>
  <c r="DF638" i="23916"/>
  <c r="DD638" i="23916"/>
  <c r="DB638" i="23916"/>
  <c r="CZ638" i="23916"/>
  <c r="CX638" i="23916"/>
  <c r="CV638" i="23916"/>
  <c r="CT638" i="23916"/>
  <c r="CR638" i="23916"/>
  <c r="CP638" i="23916"/>
  <c r="CN638" i="23916"/>
  <c r="CL638" i="23916"/>
  <c r="CJ638" i="23916"/>
  <c r="CD638" i="23916"/>
  <c r="CB638" i="23916"/>
  <c r="BZ638" i="23916"/>
  <c r="BX638" i="23916"/>
  <c r="BV638" i="23916"/>
  <c r="BT638" i="23916"/>
  <c r="BR638" i="23916"/>
  <c r="BP638" i="23916"/>
  <c r="BN638" i="23916"/>
  <c r="BL638" i="23916"/>
  <c r="BJ638" i="23916"/>
  <c r="BH638" i="23916"/>
  <c r="BF638" i="23916"/>
  <c r="BD638" i="23916"/>
  <c r="BB638" i="23916"/>
  <c r="AZ638" i="23916"/>
  <c r="AX638" i="23916"/>
  <c r="AV638" i="23916"/>
  <c r="AT638" i="23916"/>
  <c r="AR638" i="23916"/>
  <c r="GZ637" i="23916"/>
  <c r="GZ626" i="23916"/>
  <c r="GZ625" i="23916"/>
  <c r="FB636" i="23916"/>
  <c r="FB690" i="23916" s="1"/>
  <c r="FB633" i="23916"/>
  <c r="FB634" i="23916" s="1"/>
  <c r="FB635" i="23916" s="1"/>
  <c r="I636" i="23916"/>
  <c r="I690" i="23916" s="1"/>
  <c r="I633" i="23916"/>
  <c r="I634" i="23916" s="1"/>
  <c r="I635" i="23916" s="1"/>
  <c r="G636" i="23916"/>
  <c r="G690" i="23916" s="1"/>
  <c r="G633" i="23916"/>
  <c r="G634" i="23916" s="1"/>
  <c r="G635" i="23916" s="1"/>
  <c r="E636" i="23916"/>
  <c r="E690" i="23916" s="1"/>
  <c r="E633" i="23916"/>
  <c r="E634" i="23916" s="1"/>
  <c r="E635" i="23916" s="1"/>
  <c r="C636" i="23916"/>
  <c r="C690" i="23916" s="1"/>
  <c r="C633" i="23916"/>
  <c r="C634" i="23916" s="1"/>
  <c r="C635" i="23916" s="1"/>
  <c r="FD636" i="23916"/>
  <c r="FD690" i="23916" s="1"/>
  <c r="GN633" i="23916"/>
  <c r="GO633" i="23916" s="1"/>
  <c r="GL633" i="23916"/>
  <c r="GM633" i="23916" s="1"/>
  <c r="GJ633" i="23916"/>
  <c r="GK633" i="23916" s="1"/>
  <c r="GH633" i="23916"/>
  <c r="GI633" i="23916" s="1"/>
  <c r="GF633" i="23916"/>
  <c r="GG633" i="23916" s="1"/>
  <c r="GD633" i="23916"/>
  <c r="GE633" i="23916" s="1"/>
  <c r="GB633" i="23916"/>
  <c r="GC633" i="23916" s="1"/>
  <c r="FZ633" i="23916"/>
  <c r="GA633" i="23916" s="1"/>
  <c r="FX633" i="23916"/>
  <c r="FY633" i="23916" s="1"/>
  <c r="FV633" i="23916"/>
  <c r="FW633" i="23916" s="1"/>
  <c r="FT633" i="23916"/>
  <c r="FU633" i="23916" s="1"/>
  <c r="FR633" i="23916"/>
  <c r="FN633" i="23916"/>
  <c r="FJ633" i="23916"/>
  <c r="FK633" i="23916" s="1"/>
  <c r="FH633" i="23916"/>
  <c r="FI633" i="23916" s="1"/>
  <c r="FF633" i="23916"/>
  <c r="FG633" i="23916" s="1"/>
  <c r="FD633" i="23916"/>
  <c r="FD634" i="23916" s="1"/>
  <c r="EO636" i="23916"/>
  <c r="EP636" i="23916" s="1"/>
  <c r="EM636" i="23916"/>
  <c r="EK636" i="23916"/>
  <c r="EL636" i="23916" s="1"/>
  <c r="EI636" i="23916"/>
  <c r="EG636" i="23916"/>
  <c r="EH636" i="23916" s="1"/>
  <c r="EE636" i="23916"/>
  <c r="EN636" i="23916" s="1"/>
  <c r="EC636" i="23916"/>
  <c r="ED636" i="23916" s="1"/>
  <c r="EA636" i="23916"/>
  <c r="EJ636" i="23916" s="1"/>
  <c r="DY636" i="23916"/>
  <c r="DZ636" i="23916" s="1"/>
  <c r="DX636" i="23916"/>
  <c r="DW636" i="23916"/>
  <c r="EF636" i="23916" s="1"/>
  <c r="DU636" i="23916"/>
  <c r="DV636" i="23916" s="1"/>
  <c r="DT636" i="23916"/>
  <c r="DS636" i="23916"/>
  <c r="EB636" i="23916" s="1"/>
  <c r="DQ636" i="23916"/>
  <c r="DR636" i="23916" s="1"/>
  <c r="DP636" i="23916"/>
  <c r="DO636" i="23916"/>
  <c r="DM636" i="23916"/>
  <c r="DN636" i="23916" s="1"/>
  <c r="DL636" i="23916"/>
  <c r="DK636" i="23916"/>
  <c r="DI636" i="23916"/>
  <c r="DJ636" i="23916" s="1"/>
  <c r="DH636" i="23916"/>
  <c r="DG636" i="23916"/>
  <c r="DE636" i="23916"/>
  <c r="DF636" i="23916" s="1"/>
  <c r="DD636" i="23916"/>
  <c r="DC636" i="23916"/>
  <c r="DA636" i="23916"/>
  <c r="DB636" i="23916" s="1"/>
  <c r="CZ636" i="23916"/>
  <c r="CY636" i="23916"/>
  <c r="CW636" i="23916"/>
  <c r="CX636" i="23916" s="1"/>
  <c r="CV636" i="23916"/>
  <c r="CU636" i="23916"/>
  <c r="CS636" i="23916"/>
  <c r="CT636" i="23916" s="1"/>
  <c r="CR636" i="23916"/>
  <c r="CQ636" i="23916"/>
  <c r="CO636" i="23916"/>
  <c r="CP636" i="23916" s="1"/>
  <c r="CN636" i="23916"/>
  <c r="CM636" i="23916"/>
  <c r="CK636" i="23916"/>
  <c r="CL636" i="23916" s="1"/>
  <c r="CJ636" i="23916"/>
  <c r="CI636" i="23916"/>
  <c r="CG636" i="23916"/>
  <c r="CH636" i="23916" s="1"/>
  <c r="CF636" i="23916"/>
  <c r="CE636" i="23916"/>
  <c r="CC636" i="23916"/>
  <c r="CD636" i="23916" s="1"/>
  <c r="CB636" i="23916"/>
  <c r="CA636" i="23916"/>
  <c r="BY636" i="23916"/>
  <c r="BZ636" i="23916" s="1"/>
  <c r="BX636" i="23916"/>
  <c r="BW636" i="23916"/>
  <c r="BU636" i="23916"/>
  <c r="BU690" i="23916" s="1"/>
  <c r="BT636" i="23916"/>
  <c r="BS636" i="23916"/>
  <c r="BS690" i="23916" s="1"/>
  <c r="BQ636" i="23916"/>
  <c r="BQ690" i="23916" s="1"/>
  <c r="BP636" i="23916"/>
  <c r="BO636" i="23916"/>
  <c r="BO690" i="23916" s="1"/>
  <c r="BM636" i="23916"/>
  <c r="BM690" i="23916" s="1"/>
  <c r="BL636" i="23916"/>
  <c r="BK636" i="23916"/>
  <c r="BK690" i="23916" s="1"/>
  <c r="BI636" i="23916"/>
  <c r="BI690" i="23916" s="1"/>
  <c r="BH636" i="23916"/>
  <c r="BG636" i="23916"/>
  <c r="BG690" i="23916" s="1"/>
  <c r="BE636" i="23916"/>
  <c r="BE690" i="23916" s="1"/>
  <c r="BD636" i="23916"/>
  <c r="BC636" i="23916"/>
  <c r="BC690" i="23916" s="1"/>
  <c r="BA636" i="23916"/>
  <c r="BA690" i="23916" s="1"/>
  <c r="AZ636" i="23916"/>
  <c r="AY636" i="23916"/>
  <c r="AY690" i="23916" s="1"/>
  <c r="AW636" i="23916"/>
  <c r="AW690" i="23916" s="1"/>
  <c r="AV636" i="23916"/>
  <c r="AU636" i="23916"/>
  <c r="AU690" i="23916" s="1"/>
  <c r="AS636" i="23916"/>
  <c r="AS690" i="23916" s="1"/>
  <c r="AR636" i="23916"/>
  <c r="AQ636" i="23916"/>
  <c r="AQ690" i="23916" s="1"/>
  <c r="AO636" i="23916"/>
  <c r="AO690" i="23916" s="1"/>
  <c r="AN636" i="23916"/>
  <c r="AM636" i="23916"/>
  <c r="AM690" i="23916" s="1"/>
  <c r="AK636" i="23916"/>
  <c r="AK690" i="23916" s="1"/>
  <c r="AJ636" i="23916"/>
  <c r="AI636" i="23916"/>
  <c r="AI690" i="23916" s="1"/>
  <c r="AG636" i="23916"/>
  <c r="AG690" i="23916" s="1"/>
  <c r="AF636" i="23916"/>
  <c r="AE636" i="23916"/>
  <c r="AE690" i="23916" s="1"/>
  <c r="AC636" i="23916"/>
  <c r="AC690" i="23916" s="1"/>
  <c r="AB636" i="23916"/>
  <c r="AA636" i="23916"/>
  <c r="AA690" i="23916" s="1"/>
  <c r="Y636" i="23916"/>
  <c r="Y690" i="23916" s="1"/>
  <c r="X636" i="23916"/>
  <c r="W636" i="23916"/>
  <c r="W690" i="23916" s="1"/>
  <c r="U636" i="23916"/>
  <c r="U690" i="23916" s="1"/>
  <c r="T636" i="23916"/>
  <c r="S636" i="23916"/>
  <c r="S690" i="23916" s="1"/>
  <c r="Q636" i="23916"/>
  <c r="Q690" i="23916" s="1"/>
  <c r="R690" i="23916" s="1"/>
  <c r="P636" i="23916"/>
  <c r="O636" i="23916"/>
  <c r="O690" i="23916" s="1"/>
  <c r="P690" i="23916" s="1"/>
  <c r="M636" i="23916"/>
  <c r="M690" i="23916" s="1"/>
  <c r="N690" i="23916" s="1"/>
  <c r="L636" i="23916"/>
  <c r="K636" i="23916"/>
  <c r="K690" i="23916" s="1"/>
  <c r="L690" i="23916" s="1"/>
  <c r="ES633" i="23916"/>
  <c r="ET633" i="23916" s="1"/>
  <c r="ER633" i="23916"/>
  <c r="EQ633" i="23916"/>
  <c r="EO633" i="23916"/>
  <c r="EP633" i="23916" s="1"/>
  <c r="EN633" i="23916"/>
  <c r="EM633" i="23916"/>
  <c r="EM634" i="23916" s="1"/>
  <c r="EK633" i="23916"/>
  <c r="EL633" i="23916" s="1"/>
  <c r="EJ633" i="23916"/>
  <c r="EI633" i="23916"/>
  <c r="EI634" i="23916" s="1"/>
  <c r="EG633" i="23916"/>
  <c r="EH633" i="23916" s="1"/>
  <c r="EF633" i="23916"/>
  <c r="EE633" i="23916"/>
  <c r="EE634" i="23916" s="1"/>
  <c r="EC633" i="23916"/>
  <c r="ED633" i="23916" s="1"/>
  <c r="EB633" i="23916"/>
  <c r="EA633" i="23916"/>
  <c r="EA634" i="23916" s="1"/>
  <c r="DY633" i="23916"/>
  <c r="DZ633" i="23916" s="1"/>
  <c r="DX633" i="23916"/>
  <c r="DX634" i="23916" s="1"/>
  <c r="DX635" i="23916" s="1"/>
  <c r="DW633" i="23916"/>
  <c r="DW634" i="23916" s="1"/>
  <c r="DW635" i="23916" s="1"/>
  <c r="DU633" i="23916"/>
  <c r="DV633" i="23916" s="1"/>
  <c r="DT633" i="23916"/>
  <c r="DS633" i="23916"/>
  <c r="DS634" i="23916" s="1"/>
  <c r="DQ633" i="23916"/>
  <c r="DR633" i="23916" s="1"/>
  <c r="DP633" i="23916"/>
  <c r="DO633" i="23916"/>
  <c r="DO634" i="23916" s="1"/>
  <c r="DM633" i="23916"/>
  <c r="DN633" i="23916" s="1"/>
  <c r="DL633" i="23916"/>
  <c r="DK633" i="23916"/>
  <c r="DK634" i="23916" s="1"/>
  <c r="DI633" i="23916"/>
  <c r="DJ633" i="23916" s="1"/>
  <c r="DH633" i="23916"/>
  <c r="DG633" i="23916"/>
  <c r="DG634" i="23916" s="1"/>
  <c r="DE633" i="23916"/>
  <c r="DF633" i="23916" s="1"/>
  <c r="DD633" i="23916"/>
  <c r="DC633" i="23916"/>
  <c r="DC634" i="23916" s="1"/>
  <c r="DA633" i="23916"/>
  <c r="DB633" i="23916" s="1"/>
  <c r="CZ633" i="23916"/>
  <c r="CY633" i="23916"/>
  <c r="CY634" i="23916" s="1"/>
  <c r="CW633" i="23916"/>
  <c r="CX633" i="23916" s="1"/>
  <c r="CV633" i="23916"/>
  <c r="CU633" i="23916"/>
  <c r="CU634" i="23916" s="1"/>
  <c r="CS633" i="23916"/>
  <c r="CT633" i="23916" s="1"/>
  <c r="CR633" i="23916"/>
  <c r="CQ633" i="23916"/>
  <c r="CQ634" i="23916" s="1"/>
  <c r="CO633" i="23916"/>
  <c r="CP633" i="23916" s="1"/>
  <c r="CN633" i="23916"/>
  <c r="CM633" i="23916"/>
  <c r="CM634" i="23916" s="1"/>
  <c r="CK633" i="23916"/>
  <c r="CL633" i="23916" s="1"/>
  <c r="CJ633" i="23916"/>
  <c r="CI633" i="23916"/>
  <c r="CI634" i="23916" s="1"/>
  <c r="CG633" i="23916"/>
  <c r="CH633" i="23916" s="1"/>
  <c r="CF633" i="23916"/>
  <c r="CE633" i="23916"/>
  <c r="CE634" i="23916" s="1"/>
  <c r="CC633" i="23916"/>
  <c r="CD633" i="23916" s="1"/>
  <c r="CB633" i="23916"/>
  <c r="CA633" i="23916"/>
  <c r="CA634" i="23916" s="1"/>
  <c r="BY633" i="23916"/>
  <c r="BZ633" i="23916" s="1"/>
  <c r="BX633" i="23916"/>
  <c r="BW633" i="23916"/>
  <c r="BW634" i="23916" s="1"/>
  <c r="BU633" i="23916"/>
  <c r="BV633" i="23916" s="1"/>
  <c r="BT633" i="23916"/>
  <c r="BS633" i="23916"/>
  <c r="BS634" i="23916" s="1"/>
  <c r="BQ633" i="23916"/>
  <c r="BR633" i="23916" s="1"/>
  <c r="BP633" i="23916"/>
  <c r="BO633" i="23916"/>
  <c r="BO634" i="23916" s="1"/>
  <c r="BM633" i="23916"/>
  <c r="BN633" i="23916" s="1"/>
  <c r="BL633" i="23916"/>
  <c r="BK633" i="23916"/>
  <c r="BK634" i="23916" s="1"/>
  <c r="BI633" i="23916"/>
  <c r="BJ633" i="23916" s="1"/>
  <c r="BH633" i="23916"/>
  <c r="BG633" i="23916"/>
  <c r="BG634" i="23916" s="1"/>
  <c r="BE633" i="23916"/>
  <c r="BF633" i="23916" s="1"/>
  <c r="BD633" i="23916"/>
  <c r="BC633" i="23916"/>
  <c r="BC634" i="23916" s="1"/>
  <c r="BA633" i="23916"/>
  <c r="BB633" i="23916" s="1"/>
  <c r="AZ633" i="23916"/>
  <c r="AY633" i="23916"/>
  <c r="AY634" i="23916" s="1"/>
  <c r="AW633" i="23916"/>
  <c r="AX633" i="23916" s="1"/>
  <c r="AV633" i="23916"/>
  <c r="AU633" i="23916"/>
  <c r="AU634" i="23916" s="1"/>
  <c r="AS633" i="23916"/>
  <c r="AT633" i="23916" s="1"/>
  <c r="AR633" i="23916"/>
  <c r="AQ633" i="23916"/>
  <c r="AQ634" i="23916" s="1"/>
  <c r="AO633" i="23916"/>
  <c r="AP633" i="23916" s="1"/>
  <c r="AN633" i="23916"/>
  <c r="AM633" i="23916"/>
  <c r="AM634" i="23916" s="1"/>
  <c r="AK633" i="23916"/>
  <c r="AL633" i="23916" s="1"/>
  <c r="AJ633" i="23916"/>
  <c r="AI633" i="23916"/>
  <c r="AI634" i="23916" s="1"/>
  <c r="AG633" i="23916"/>
  <c r="AH633" i="23916" s="1"/>
  <c r="AF633" i="23916"/>
  <c r="AE633" i="23916"/>
  <c r="AE634" i="23916" s="1"/>
  <c r="AC633" i="23916"/>
  <c r="AD633" i="23916" s="1"/>
  <c r="AB633" i="23916"/>
  <c r="AA633" i="23916"/>
  <c r="AA634" i="23916" s="1"/>
  <c r="Y633" i="23916"/>
  <c r="Z633" i="23916" s="1"/>
  <c r="X633" i="23916"/>
  <c r="W633" i="23916"/>
  <c r="W634" i="23916" s="1"/>
  <c r="U633" i="23916"/>
  <c r="V633" i="23916" s="1"/>
  <c r="T633" i="23916"/>
  <c r="S633" i="23916"/>
  <c r="S634" i="23916" s="1"/>
  <c r="Q633" i="23916"/>
  <c r="R633" i="23916" s="1"/>
  <c r="P633" i="23916"/>
  <c r="O633" i="23916"/>
  <c r="O634" i="23916" s="1"/>
  <c r="M633" i="23916"/>
  <c r="N633" i="23916" s="1"/>
  <c r="L633" i="23916"/>
  <c r="K633" i="23916"/>
  <c r="K634" i="23916" s="1"/>
  <c r="EN632" i="23916"/>
  <c r="EN630" i="23916"/>
  <c r="EN629" i="23916"/>
  <c r="EN628" i="23916"/>
  <c r="EN627" i="23916"/>
  <c r="EL632" i="23916"/>
  <c r="EL630" i="23916"/>
  <c r="EL629" i="23916"/>
  <c r="EL628" i="23916"/>
  <c r="EL627" i="23916"/>
  <c r="EJ632" i="23916"/>
  <c r="EJ630" i="23916"/>
  <c r="EJ629" i="23916"/>
  <c r="EJ628" i="23916"/>
  <c r="EJ627" i="23916"/>
  <c r="EH632" i="23916"/>
  <c r="EH630" i="23916"/>
  <c r="EH629" i="23916"/>
  <c r="EH628" i="23916"/>
  <c r="EH627" i="23916"/>
  <c r="EF632" i="23916"/>
  <c r="EF630" i="23916"/>
  <c r="EF629" i="23916"/>
  <c r="EF628" i="23916"/>
  <c r="EF627" i="23916"/>
  <c r="ED632" i="23916"/>
  <c r="ED630" i="23916"/>
  <c r="ED629" i="23916"/>
  <c r="ED628" i="23916"/>
  <c r="ED627" i="23916"/>
  <c r="EB632" i="23916"/>
  <c r="EB630" i="23916"/>
  <c r="EB629" i="23916"/>
  <c r="EB628" i="23916"/>
  <c r="EB627" i="23916"/>
  <c r="DZ632" i="23916"/>
  <c r="DZ630" i="23916"/>
  <c r="DZ629" i="23916"/>
  <c r="DZ628" i="23916"/>
  <c r="DZ627" i="23916"/>
  <c r="DV632" i="23916"/>
  <c r="DV630" i="23916"/>
  <c r="DV629" i="23916"/>
  <c r="DV628" i="23916"/>
  <c r="DV627" i="23916"/>
  <c r="DT632" i="23916"/>
  <c r="DT630" i="23916"/>
  <c r="DT629" i="23916"/>
  <c r="DT628" i="23916"/>
  <c r="DT627" i="23916"/>
  <c r="DR632" i="23916"/>
  <c r="DR630" i="23916"/>
  <c r="DR629" i="23916"/>
  <c r="DR628" i="23916"/>
  <c r="DR627" i="23916"/>
  <c r="DP632" i="23916"/>
  <c r="DP630" i="23916"/>
  <c r="DP629" i="23916"/>
  <c r="DP628" i="23916"/>
  <c r="DP627" i="23916"/>
  <c r="DN632" i="23916"/>
  <c r="DN630" i="23916"/>
  <c r="DN629" i="23916"/>
  <c r="DN628" i="23916"/>
  <c r="DN627" i="23916"/>
  <c r="DL632" i="23916"/>
  <c r="DL630" i="23916"/>
  <c r="DL629" i="23916"/>
  <c r="DL628" i="23916"/>
  <c r="DL627" i="23916"/>
  <c r="DJ632" i="23916"/>
  <c r="DJ630" i="23916"/>
  <c r="DJ629" i="23916"/>
  <c r="DJ628" i="23916"/>
  <c r="DJ627" i="23916"/>
  <c r="DH632" i="23916"/>
  <c r="DH630" i="23916"/>
  <c r="DH629" i="23916"/>
  <c r="DH628" i="23916"/>
  <c r="DH627" i="23916"/>
  <c r="DF632" i="23916"/>
  <c r="DF630" i="23916"/>
  <c r="DF629" i="23916"/>
  <c r="DF628" i="23916"/>
  <c r="DF627" i="23916"/>
  <c r="DD632" i="23916"/>
  <c r="DD630" i="23916"/>
  <c r="DD629" i="23916"/>
  <c r="DD628" i="23916"/>
  <c r="DD627" i="23916"/>
  <c r="DB632" i="23916"/>
  <c r="DB630" i="23916"/>
  <c r="DB629" i="23916"/>
  <c r="DB628" i="23916"/>
  <c r="DB627" i="23916"/>
  <c r="CZ632" i="23916"/>
  <c r="CZ630" i="23916"/>
  <c r="CZ629" i="23916"/>
  <c r="CZ628" i="23916"/>
  <c r="CZ627" i="23916"/>
  <c r="CX632" i="23916"/>
  <c r="CX630" i="23916"/>
  <c r="CX629" i="23916"/>
  <c r="CX628" i="23916"/>
  <c r="CX627" i="23916"/>
  <c r="CV632" i="23916"/>
  <c r="CV630" i="23916"/>
  <c r="CV629" i="23916"/>
  <c r="CV628" i="23916"/>
  <c r="CV627" i="23916"/>
  <c r="CT632" i="23916"/>
  <c r="CT630" i="23916"/>
  <c r="CT629" i="23916"/>
  <c r="CT628" i="23916"/>
  <c r="CT627" i="23916"/>
  <c r="CR632" i="23916"/>
  <c r="CR630" i="23916"/>
  <c r="CR629" i="23916"/>
  <c r="CR628" i="23916"/>
  <c r="CR627" i="23916"/>
  <c r="CP632" i="23916"/>
  <c r="CP630" i="23916"/>
  <c r="CP629" i="23916"/>
  <c r="CP628" i="23916"/>
  <c r="CP627" i="23916"/>
  <c r="CN632" i="23916"/>
  <c r="CN630" i="23916"/>
  <c r="CN629" i="23916"/>
  <c r="CN628" i="23916"/>
  <c r="CN627" i="23916"/>
  <c r="CL632" i="23916"/>
  <c r="CL631" i="23916"/>
  <c r="CL630" i="23916"/>
  <c r="CL629" i="23916"/>
  <c r="CL628" i="23916"/>
  <c r="CL627" i="23916"/>
  <c r="CJ632" i="23916"/>
  <c r="CJ630" i="23916"/>
  <c r="CJ629" i="23916"/>
  <c r="CJ628" i="23916"/>
  <c r="CJ627" i="23916"/>
  <c r="CH632" i="23916"/>
  <c r="CH630" i="23916"/>
  <c r="CH629" i="23916"/>
  <c r="CH628" i="23916"/>
  <c r="CH627" i="23916"/>
  <c r="CF632" i="23916"/>
  <c r="CF630" i="23916"/>
  <c r="CF629" i="23916"/>
  <c r="CF628" i="23916"/>
  <c r="CF627" i="23916"/>
  <c r="CD632" i="23916"/>
  <c r="CD631" i="23916"/>
  <c r="CD630" i="23916"/>
  <c r="CD629" i="23916"/>
  <c r="CD628" i="23916"/>
  <c r="CD627" i="23916"/>
  <c r="CB632" i="23916"/>
  <c r="CB630" i="23916"/>
  <c r="CB629" i="23916"/>
  <c r="CB628" i="23916"/>
  <c r="CB627" i="23916"/>
  <c r="BZ632" i="23916"/>
  <c r="BZ630" i="23916"/>
  <c r="BZ629" i="23916"/>
  <c r="BZ628" i="23916"/>
  <c r="BZ627" i="23916"/>
  <c r="BX632" i="23916"/>
  <c r="BX630" i="23916"/>
  <c r="BX629" i="23916"/>
  <c r="BX628" i="23916"/>
  <c r="BX627" i="23916"/>
  <c r="BV632" i="23916"/>
  <c r="BV631" i="23916"/>
  <c r="BV630" i="23916"/>
  <c r="BV629" i="23916"/>
  <c r="BV628" i="23916"/>
  <c r="BV627" i="23916"/>
  <c r="BT632" i="23916"/>
  <c r="BT630" i="23916"/>
  <c r="BT629" i="23916"/>
  <c r="BT628" i="23916"/>
  <c r="BT627" i="23916"/>
  <c r="BR632" i="23916"/>
  <c r="BR630" i="23916"/>
  <c r="BR629" i="23916"/>
  <c r="BR628" i="23916"/>
  <c r="BR627" i="23916"/>
  <c r="BP632" i="23916"/>
  <c r="BP630" i="23916"/>
  <c r="BP629" i="23916"/>
  <c r="BP628" i="23916"/>
  <c r="BP627" i="23916"/>
  <c r="BN632" i="23916"/>
  <c r="BN631" i="23916"/>
  <c r="BN630" i="23916"/>
  <c r="BN629" i="23916"/>
  <c r="BN628" i="23916"/>
  <c r="BN627" i="23916"/>
  <c r="BL632" i="23916"/>
  <c r="BL630" i="23916"/>
  <c r="BL629" i="23916"/>
  <c r="BL628" i="23916"/>
  <c r="BL627" i="23916"/>
  <c r="BJ632" i="23916"/>
  <c r="BJ630" i="23916"/>
  <c r="BJ629" i="23916"/>
  <c r="BJ628" i="23916"/>
  <c r="BJ627" i="23916"/>
  <c r="BH632" i="23916"/>
  <c r="BH630" i="23916"/>
  <c r="BH629" i="23916"/>
  <c r="BH628" i="23916"/>
  <c r="BH627" i="23916"/>
  <c r="BF632" i="23916"/>
  <c r="BF631" i="23916"/>
  <c r="BF630" i="23916"/>
  <c r="BF629" i="23916"/>
  <c r="BF628" i="23916"/>
  <c r="BF627" i="23916"/>
  <c r="BD632" i="23916"/>
  <c r="BD630" i="23916"/>
  <c r="BD629" i="23916"/>
  <c r="BD628" i="23916"/>
  <c r="BD627" i="23916"/>
  <c r="BB632" i="23916"/>
  <c r="BB630" i="23916"/>
  <c r="BB629" i="23916"/>
  <c r="BB628" i="23916"/>
  <c r="BB627" i="23916"/>
  <c r="AZ632" i="23916"/>
  <c r="AZ630" i="23916"/>
  <c r="AZ629" i="23916"/>
  <c r="AZ628" i="23916"/>
  <c r="AZ627" i="23916"/>
  <c r="AX632" i="23916"/>
  <c r="AX631" i="23916"/>
  <c r="AX630" i="23916"/>
  <c r="AX629" i="23916"/>
  <c r="AX628" i="23916"/>
  <c r="AX627" i="23916"/>
  <c r="AV632" i="23916"/>
  <c r="AV630" i="23916"/>
  <c r="AV629" i="23916"/>
  <c r="AV628" i="23916"/>
  <c r="AV627" i="23916"/>
  <c r="AT632" i="23916"/>
  <c r="AT630" i="23916"/>
  <c r="AT629" i="23916"/>
  <c r="AT628" i="23916"/>
  <c r="AT627" i="23916"/>
  <c r="AR632" i="23916"/>
  <c r="AR630" i="23916"/>
  <c r="AR629" i="23916"/>
  <c r="AR628" i="23916"/>
  <c r="AR627" i="23916"/>
  <c r="AP632" i="23916"/>
  <c r="AP631" i="23916"/>
  <c r="AP630" i="23916"/>
  <c r="AP629" i="23916"/>
  <c r="AP628" i="23916"/>
  <c r="AP627" i="23916"/>
  <c r="AN632" i="23916"/>
  <c r="AN630" i="23916"/>
  <c r="AN629" i="23916"/>
  <c r="AN628" i="23916"/>
  <c r="AN627" i="23916"/>
  <c r="AL632" i="23916"/>
  <c r="AL630" i="23916"/>
  <c r="AL629" i="23916"/>
  <c r="AL628" i="23916"/>
  <c r="AL627" i="23916"/>
  <c r="AJ632" i="23916"/>
  <c r="AJ630" i="23916"/>
  <c r="AJ629" i="23916"/>
  <c r="AJ628" i="23916"/>
  <c r="AJ627" i="23916"/>
  <c r="AH632" i="23916"/>
  <c r="AH631" i="23916"/>
  <c r="AH630" i="23916"/>
  <c r="AH629" i="23916"/>
  <c r="AH628" i="23916"/>
  <c r="AH627" i="23916"/>
  <c r="AF632" i="23916"/>
  <c r="AF630" i="23916"/>
  <c r="AF629" i="23916"/>
  <c r="AF628" i="23916"/>
  <c r="AF627" i="23916"/>
  <c r="AD632" i="23916"/>
  <c r="AD630" i="23916"/>
  <c r="AD629" i="23916"/>
  <c r="AD628" i="23916"/>
  <c r="AD627" i="23916"/>
  <c r="AB632" i="23916"/>
  <c r="AB630" i="23916"/>
  <c r="AB629" i="23916"/>
  <c r="AB628" i="23916"/>
  <c r="AB627" i="23916"/>
  <c r="Z632" i="23916"/>
  <c r="Z631" i="23916"/>
  <c r="Z630" i="23916"/>
  <c r="Z629" i="23916"/>
  <c r="Z628" i="23916"/>
  <c r="Z627" i="23916"/>
  <c r="X632" i="23916"/>
  <c r="X630" i="23916"/>
  <c r="X629" i="23916"/>
  <c r="X628" i="23916"/>
  <c r="X627" i="23916"/>
  <c r="V632" i="23916"/>
  <c r="V630" i="23916"/>
  <c r="V629" i="23916"/>
  <c r="V628" i="23916"/>
  <c r="V627" i="23916"/>
  <c r="T632" i="23916"/>
  <c r="T630" i="23916"/>
  <c r="T629" i="23916"/>
  <c r="T628" i="23916"/>
  <c r="T627" i="23916"/>
  <c r="R632" i="23916"/>
  <c r="R631" i="23916"/>
  <c r="R630" i="23916"/>
  <c r="R629" i="23916"/>
  <c r="R628" i="23916"/>
  <c r="R627" i="23916"/>
  <c r="P632" i="23916"/>
  <c r="P630" i="23916"/>
  <c r="P629" i="23916"/>
  <c r="P628" i="23916"/>
  <c r="P627" i="23916"/>
  <c r="N632" i="23916"/>
  <c r="N630" i="23916"/>
  <c r="N629" i="23916"/>
  <c r="N628" i="23916"/>
  <c r="N627" i="23916"/>
  <c r="L632" i="23916"/>
  <c r="L630" i="23916"/>
  <c r="L629" i="23916"/>
  <c r="L628" i="23916"/>
  <c r="L627" i="23916"/>
  <c r="FD631" i="23916"/>
  <c r="FB631" i="23916"/>
  <c r="EO631" i="23916"/>
  <c r="EM631" i="23916"/>
  <c r="EN631" i="23916" s="1"/>
  <c r="EK631" i="23916"/>
  <c r="EL631" i="23916" s="1"/>
  <c r="EI631" i="23916"/>
  <c r="EG631" i="23916"/>
  <c r="EE631" i="23916"/>
  <c r="EF631" i="23916" s="1"/>
  <c r="EC631" i="23916"/>
  <c r="EA631" i="23916"/>
  <c r="EB631" i="23916" s="1"/>
  <c r="DY631" i="23916"/>
  <c r="DZ631" i="23916" s="1"/>
  <c r="DX631" i="23916"/>
  <c r="DW631" i="23916"/>
  <c r="DU631" i="23916"/>
  <c r="DS631" i="23916"/>
  <c r="DQ631" i="23916"/>
  <c r="DR631" i="23916" s="1"/>
  <c r="DO631" i="23916"/>
  <c r="DP631" i="23916" s="1"/>
  <c r="DM631" i="23916"/>
  <c r="DK631" i="23916"/>
  <c r="DI631" i="23916"/>
  <c r="DJ631" i="23916" s="1"/>
  <c r="DG631" i="23916"/>
  <c r="DH631" i="23916" s="1"/>
  <c r="DE631" i="23916"/>
  <c r="DC631" i="23916"/>
  <c r="DA631" i="23916"/>
  <c r="DB631" i="23916" s="1"/>
  <c r="CY631" i="23916"/>
  <c r="CZ631" i="23916" s="1"/>
  <c r="CW631" i="23916"/>
  <c r="CU631" i="23916"/>
  <c r="CS631" i="23916"/>
  <c r="CT631" i="23916" s="1"/>
  <c r="CQ631" i="23916"/>
  <c r="CR631" i="23916" s="1"/>
  <c r="CO631" i="23916"/>
  <c r="CM631" i="23916"/>
  <c r="CK631" i="23916"/>
  <c r="CI631" i="23916"/>
  <c r="CJ631" i="23916" s="1"/>
  <c r="CG631" i="23916"/>
  <c r="CE631" i="23916"/>
  <c r="CC631" i="23916"/>
  <c r="CA631" i="23916"/>
  <c r="CB631" i="23916" s="1"/>
  <c r="BY631" i="23916"/>
  <c r="BW631" i="23916"/>
  <c r="BU631" i="23916"/>
  <c r="BS631" i="23916"/>
  <c r="BT631" i="23916" s="1"/>
  <c r="BQ631" i="23916"/>
  <c r="BO631" i="23916"/>
  <c r="BM631" i="23916"/>
  <c r="BK631" i="23916"/>
  <c r="BL631" i="23916" s="1"/>
  <c r="BI631" i="23916"/>
  <c r="BG631" i="23916"/>
  <c r="BE631" i="23916"/>
  <c r="BC631" i="23916"/>
  <c r="BD631" i="23916" s="1"/>
  <c r="BA631" i="23916"/>
  <c r="AY631" i="23916"/>
  <c r="AW631" i="23916"/>
  <c r="AU631" i="23916"/>
  <c r="AV631" i="23916" s="1"/>
  <c r="AS631" i="23916"/>
  <c r="AQ631" i="23916"/>
  <c r="AO631" i="23916"/>
  <c r="AM631" i="23916"/>
  <c r="AN631" i="23916" s="1"/>
  <c r="AK631" i="23916"/>
  <c r="AL631" i="23916" s="1"/>
  <c r="AI631" i="23916"/>
  <c r="AG631" i="23916"/>
  <c r="AE631" i="23916"/>
  <c r="AF631" i="23916" s="1"/>
  <c r="AC631" i="23916"/>
  <c r="AD631" i="23916" s="1"/>
  <c r="AA631" i="23916"/>
  <c r="Y631" i="23916"/>
  <c r="W631" i="23916"/>
  <c r="X631" i="23916" s="1"/>
  <c r="U631" i="23916"/>
  <c r="V631" i="23916" s="1"/>
  <c r="S631" i="23916"/>
  <c r="Q631" i="23916"/>
  <c r="O631" i="23916"/>
  <c r="P631" i="23916" s="1"/>
  <c r="M631" i="23916"/>
  <c r="N631" i="23916" s="1"/>
  <c r="K631" i="23916"/>
  <c r="I631" i="23916"/>
  <c r="G631" i="23916"/>
  <c r="E631" i="23916"/>
  <c r="C631" i="23916"/>
  <c r="GO632" i="23916"/>
  <c r="GN632" i="23916"/>
  <c r="GL632" i="23916"/>
  <c r="GL649" i="23916" s="1"/>
  <c r="GJ632" i="23916"/>
  <c r="GH632" i="23916"/>
  <c r="GH649" i="23916" s="1"/>
  <c r="GG632" i="23916"/>
  <c r="GF632" i="23916"/>
  <c r="GD632" i="23916"/>
  <c r="GD636" i="23916" s="1"/>
  <c r="GB632" i="23916"/>
  <c r="FZ632" i="23916"/>
  <c r="FZ649" i="23916" s="1"/>
  <c r="FY632" i="23916"/>
  <c r="FX632" i="23916"/>
  <c r="FV632" i="23916"/>
  <c r="FV649" i="23916" s="1"/>
  <c r="FT632" i="23916"/>
  <c r="FR632" i="23916"/>
  <c r="FR649" i="23916" s="1"/>
  <c r="FQ632" i="23916"/>
  <c r="FP632" i="23916"/>
  <c r="FN632" i="23916"/>
  <c r="FN636" i="23916" s="1"/>
  <c r="FL632" i="23916"/>
  <c r="FJ632" i="23916"/>
  <c r="FI632" i="23916"/>
  <c r="FH632" i="23916"/>
  <c r="FF632" i="23916"/>
  <c r="FE632" i="23916"/>
  <c r="FE631" i="23916"/>
  <c r="GN630" i="23916"/>
  <c r="GO630" i="23916" s="1"/>
  <c r="GM630" i="23916"/>
  <c r="GL630" i="23916"/>
  <c r="GJ630" i="23916"/>
  <c r="GH630" i="23916"/>
  <c r="GI630" i="23916" s="1"/>
  <c r="GF630" i="23916"/>
  <c r="GD630" i="23916"/>
  <c r="GB630" i="23916"/>
  <c r="GC630" i="23916" s="1"/>
  <c r="FZ630" i="23916"/>
  <c r="GA630" i="23916" s="1"/>
  <c r="FX630" i="23916"/>
  <c r="FY630" i="23916" s="1"/>
  <c r="FW630" i="23916"/>
  <c r="FV630" i="23916"/>
  <c r="FT630" i="23916"/>
  <c r="FR630" i="23916"/>
  <c r="FS630" i="23916" s="1"/>
  <c r="FP630" i="23916"/>
  <c r="FN630" i="23916"/>
  <c r="FL630" i="23916"/>
  <c r="FM630" i="23916" s="1"/>
  <c r="FJ630" i="23916"/>
  <c r="FK630" i="23916" s="1"/>
  <c r="FH630" i="23916"/>
  <c r="FI630" i="23916" s="1"/>
  <c r="FG630" i="23916"/>
  <c r="FF630" i="23916"/>
  <c r="FE630" i="23916"/>
  <c r="GN629" i="23916"/>
  <c r="GL629" i="23916"/>
  <c r="GO629" i="23916" s="1"/>
  <c r="GJ629" i="23916"/>
  <c r="GH629" i="23916"/>
  <c r="GK629" i="23916" s="1"/>
  <c r="GF629" i="23916"/>
  <c r="GD629" i="23916"/>
  <c r="GG629" i="23916" s="1"/>
  <c r="GB629" i="23916"/>
  <c r="FZ629" i="23916"/>
  <c r="GC629" i="23916" s="1"/>
  <c r="FX629" i="23916"/>
  <c r="FV629" i="23916"/>
  <c r="FY629" i="23916" s="1"/>
  <c r="FT629" i="23916"/>
  <c r="FR629" i="23916"/>
  <c r="FU629" i="23916" s="1"/>
  <c r="FQ629" i="23916"/>
  <c r="FP629" i="23916"/>
  <c r="FN629" i="23916"/>
  <c r="FO629" i="23916" s="1"/>
  <c r="FL629" i="23916"/>
  <c r="FJ629" i="23916"/>
  <c r="FM629" i="23916" s="1"/>
  <c r="FH629" i="23916"/>
  <c r="FF629" i="23916"/>
  <c r="FI629" i="23916" s="1"/>
  <c r="FE629" i="23916"/>
  <c r="GN628" i="23916"/>
  <c r="GO628" i="23916" s="1"/>
  <c r="GL628" i="23916"/>
  <c r="GJ628" i="23916"/>
  <c r="GH628" i="23916"/>
  <c r="GI628" i="23916" s="1"/>
  <c r="GF628" i="23916"/>
  <c r="GG628" i="23916" s="1"/>
  <c r="GD628" i="23916"/>
  <c r="GE628" i="23916" s="1"/>
  <c r="GC628" i="23916"/>
  <c r="GB628" i="23916"/>
  <c r="FZ628" i="23916"/>
  <c r="FX628" i="23916"/>
  <c r="FY628" i="23916" s="1"/>
  <c r="FV628" i="23916"/>
  <c r="FT628" i="23916"/>
  <c r="FR628" i="23916"/>
  <c r="FS628" i="23916" s="1"/>
  <c r="FP628" i="23916"/>
  <c r="FQ628" i="23916" s="1"/>
  <c r="FN628" i="23916"/>
  <c r="FO628" i="23916" s="1"/>
  <c r="FM628" i="23916"/>
  <c r="FL628" i="23916"/>
  <c r="FJ628" i="23916"/>
  <c r="FH628" i="23916"/>
  <c r="FI628" i="23916" s="1"/>
  <c r="FF628" i="23916"/>
  <c r="FG628" i="23916" s="1"/>
  <c r="FE628" i="23916"/>
  <c r="GO627" i="23916"/>
  <c r="GN627" i="23916"/>
  <c r="GN631" i="23916" s="1"/>
  <c r="GM627" i="23916"/>
  <c r="GL627" i="23916"/>
  <c r="GK627" i="23916"/>
  <c r="GJ627" i="23916"/>
  <c r="GI627" i="23916"/>
  <c r="GH627" i="23916"/>
  <c r="GG627" i="23916"/>
  <c r="GF627" i="23916"/>
  <c r="GF631" i="23916" s="1"/>
  <c r="GE627" i="23916"/>
  <c r="GD627" i="23916"/>
  <c r="GC627" i="23916"/>
  <c r="GB627" i="23916"/>
  <c r="GA627" i="23916"/>
  <c r="FZ627" i="23916"/>
  <c r="FY627" i="23916"/>
  <c r="FX627" i="23916"/>
  <c r="FX631" i="23916" s="1"/>
  <c r="FW627" i="23916"/>
  <c r="FV627" i="23916"/>
  <c r="FU627" i="23916"/>
  <c r="FT627" i="23916"/>
  <c r="FS627" i="23916"/>
  <c r="FR627" i="23916"/>
  <c r="FQ627" i="23916"/>
  <c r="FP627" i="23916"/>
  <c r="FP631" i="23916" s="1"/>
  <c r="FO627" i="23916"/>
  <c r="FN627" i="23916"/>
  <c r="FM627" i="23916"/>
  <c r="FL627" i="23916"/>
  <c r="FK627" i="23916"/>
  <c r="FJ627" i="23916"/>
  <c r="FI627" i="23916"/>
  <c r="FH627" i="23916"/>
  <c r="FG627" i="23916"/>
  <c r="FF627" i="23916"/>
  <c r="FE627" i="23916"/>
  <c r="EQ632" i="23916"/>
  <c r="EP632" i="23916"/>
  <c r="EP631" i="23916"/>
  <c r="ES630" i="23916"/>
  <c r="ET630" i="23916" s="1"/>
  <c r="EQ630" i="23916"/>
  <c r="ER630" i="23916" s="1"/>
  <c r="EP630" i="23916"/>
  <c r="ES629" i="23916"/>
  <c r="EU629" i="23916" s="1"/>
  <c r="EW629" i="23916" s="1"/>
  <c r="ER629" i="23916"/>
  <c r="EQ629" i="23916"/>
  <c r="EP629" i="23916"/>
  <c r="ES628" i="23916"/>
  <c r="ET628" i="23916" s="1"/>
  <c r="EQ628" i="23916"/>
  <c r="ER628" i="23916" s="1"/>
  <c r="EP628" i="23916"/>
  <c r="EQ627" i="23916"/>
  <c r="ES627" i="23916" s="1"/>
  <c r="EU627" i="23916" s="1"/>
  <c r="EP627" i="23916"/>
  <c r="GZ621" i="23916"/>
  <c r="GZ619" i="23916"/>
  <c r="GZ613" i="23916"/>
  <c r="GZ612" i="23916"/>
  <c r="GZ608" i="23916"/>
  <c r="GZ605" i="23916"/>
  <c r="GZ604" i="23916"/>
  <c r="FB616" i="23916"/>
  <c r="I616" i="23916"/>
  <c r="FF616" i="23916" s="1"/>
  <c r="FG616" i="23916" s="1"/>
  <c r="G616" i="23916"/>
  <c r="E616" i="23916"/>
  <c r="C616" i="23916"/>
  <c r="FD617" i="23916"/>
  <c r="FE616" i="23916"/>
  <c r="FD616" i="23916"/>
  <c r="GH615" i="23916"/>
  <c r="GE615" i="23916"/>
  <c r="GD615" i="23916"/>
  <c r="GB615" i="23916"/>
  <c r="EL616" i="23916"/>
  <c r="EK616" i="23916"/>
  <c r="EJ616" i="23916"/>
  <c r="EI616" i="23916"/>
  <c r="EH616" i="23916"/>
  <c r="EG616" i="23916"/>
  <c r="EF616" i="23916"/>
  <c r="EE616" i="23916"/>
  <c r="ED616" i="23916"/>
  <c r="EC616" i="23916"/>
  <c r="EB616" i="23916"/>
  <c r="EA616" i="23916"/>
  <c r="DZ616" i="23916"/>
  <c r="DY616" i="23916"/>
  <c r="DX616" i="23916"/>
  <c r="DW616" i="23916"/>
  <c r="DV616" i="23916"/>
  <c r="DU616" i="23916"/>
  <c r="DT616" i="23916"/>
  <c r="DS616" i="23916"/>
  <c r="DR616" i="23916"/>
  <c r="DQ616" i="23916"/>
  <c r="DP616" i="23916"/>
  <c r="DO616" i="23916"/>
  <c r="DN616" i="23916"/>
  <c r="DM616" i="23916"/>
  <c r="DL616" i="23916"/>
  <c r="DK616" i="23916"/>
  <c r="DJ616" i="23916"/>
  <c r="DI616" i="23916"/>
  <c r="DH616" i="23916"/>
  <c r="DG616" i="23916"/>
  <c r="DF616" i="23916"/>
  <c r="DE616" i="23916"/>
  <c r="DD616" i="23916"/>
  <c r="DC616" i="23916"/>
  <c r="DB616" i="23916"/>
  <c r="DA616" i="23916"/>
  <c r="CZ616" i="23916"/>
  <c r="CY616" i="23916"/>
  <c r="CW616" i="23916"/>
  <c r="CV616" i="23916"/>
  <c r="CU616" i="23916"/>
  <c r="CT616" i="23916"/>
  <c r="CS616" i="23916"/>
  <c r="CR616" i="23916"/>
  <c r="CQ616" i="23916"/>
  <c r="CN616" i="23916"/>
  <c r="CM616" i="23916"/>
  <c r="CK616" i="23916"/>
  <c r="CJ616" i="23916"/>
  <c r="CI616" i="23916"/>
  <c r="CH616" i="23916"/>
  <c r="CG616" i="23916"/>
  <c r="CF616" i="23916"/>
  <c r="CE616" i="23916"/>
  <c r="CB616" i="23916"/>
  <c r="CA616" i="23916"/>
  <c r="BZ616" i="23916"/>
  <c r="BY616" i="23916"/>
  <c r="BX616" i="23916"/>
  <c r="BW616" i="23916"/>
  <c r="BV616" i="23916"/>
  <c r="BU616" i="23916"/>
  <c r="BT616" i="23916"/>
  <c r="BS616" i="23916"/>
  <c r="BR616" i="23916"/>
  <c r="BQ616" i="23916"/>
  <c r="BP616" i="23916"/>
  <c r="BO616" i="23916"/>
  <c r="BN616" i="23916"/>
  <c r="BM616" i="23916"/>
  <c r="BL616" i="23916"/>
  <c r="BK616" i="23916"/>
  <c r="BJ616" i="23916"/>
  <c r="BI616" i="23916"/>
  <c r="BH616" i="23916"/>
  <c r="BG616" i="23916"/>
  <c r="FT616" i="23916" s="1"/>
  <c r="BF616" i="23916"/>
  <c r="BE616" i="23916"/>
  <c r="BD616" i="23916"/>
  <c r="BC616" i="23916"/>
  <c r="BB616" i="23916"/>
  <c r="BA616" i="23916"/>
  <c r="AZ616" i="23916"/>
  <c r="AY616" i="23916"/>
  <c r="FR616" i="23916" s="1"/>
  <c r="AX616" i="23916"/>
  <c r="AW616" i="23916"/>
  <c r="AV616" i="23916"/>
  <c r="AU616" i="23916"/>
  <c r="AT616" i="23916"/>
  <c r="AS616" i="23916"/>
  <c r="AR616" i="23916"/>
  <c r="AQ616" i="23916"/>
  <c r="FP616" i="23916" s="1"/>
  <c r="AP616" i="23916"/>
  <c r="AO616" i="23916"/>
  <c r="AN616" i="23916"/>
  <c r="AM616" i="23916"/>
  <c r="AL616" i="23916"/>
  <c r="AK616" i="23916"/>
  <c r="AJ616" i="23916"/>
  <c r="AI616" i="23916"/>
  <c r="FN616" i="23916" s="1"/>
  <c r="AH616" i="23916"/>
  <c r="AG616" i="23916"/>
  <c r="AF616" i="23916"/>
  <c r="AE616" i="23916"/>
  <c r="AD616" i="23916"/>
  <c r="AC616" i="23916"/>
  <c r="AB616" i="23916"/>
  <c r="AA616" i="23916"/>
  <c r="FL616" i="23916" s="1"/>
  <c r="Z616" i="23916"/>
  <c r="Y616" i="23916"/>
  <c r="X616" i="23916"/>
  <c r="W616" i="23916"/>
  <c r="V616" i="23916"/>
  <c r="U616" i="23916"/>
  <c r="T616" i="23916"/>
  <c r="S616" i="23916"/>
  <c r="FJ616" i="23916" s="1"/>
  <c r="R616" i="23916"/>
  <c r="Q616" i="23916"/>
  <c r="P616" i="23916"/>
  <c r="O616" i="23916"/>
  <c r="N616" i="23916"/>
  <c r="M616" i="23916"/>
  <c r="L616" i="23916"/>
  <c r="K616" i="23916"/>
  <c r="FH616" i="23916" s="1"/>
  <c r="FI616" i="23916" s="1"/>
  <c r="EP615" i="23916"/>
  <c r="EO615" i="23916"/>
  <c r="EN615" i="23916"/>
  <c r="EM615" i="23916"/>
  <c r="EL615" i="23916"/>
  <c r="EK615" i="23916"/>
  <c r="EJ615" i="23916"/>
  <c r="EI615" i="23916"/>
  <c r="EH615" i="23916"/>
  <c r="EG615" i="23916"/>
  <c r="EF615" i="23916"/>
  <c r="EE615" i="23916"/>
  <c r="ED615" i="23916"/>
  <c r="EC615" i="23916"/>
  <c r="EB615" i="23916"/>
  <c r="EA615" i="23916"/>
  <c r="DZ615" i="23916"/>
  <c r="DY615" i="23916"/>
  <c r="DX615" i="23916"/>
  <c r="DW615" i="23916"/>
  <c r="DV615" i="23916"/>
  <c r="DU615" i="23916"/>
  <c r="DT615" i="23916"/>
  <c r="DS615" i="23916"/>
  <c r="DR615" i="23916"/>
  <c r="DQ615" i="23916"/>
  <c r="DP615" i="23916"/>
  <c r="DO615" i="23916"/>
  <c r="DN615" i="23916"/>
  <c r="DM615" i="23916"/>
  <c r="DL615" i="23916"/>
  <c r="DK615" i="23916"/>
  <c r="DJ615" i="23916"/>
  <c r="DI615" i="23916"/>
  <c r="DH615" i="23916"/>
  <c r="DG615" i="23916"/>
  <c r="DF615" i="23916"/>
  <c r="DE615" i="23916"/>
  <c r="DD615" i="23916"/>
  <c r="DC615" i="23916"/>
  <c r="DB615" i="23916"/>
  <c r="DA615" i="23916"/>
  <c r="CZ615" i="23916"/>
  <c r="CY615" i="23916"/>
  <c r="CW615" i="23916"/>
  <c r="CV615" i="23916"/>
  <c r="CU615" i="23916"/>
  <c r="CT615" i="23916"/>
  <c r="CS615" i="23916"/>
  <c r="CR615" i="23916"/>
  <c r="CQ615" i="23916"/>
  <c r="CN615" i="23916"/>
  <c r="CM615" i="23916"/>
  <c r="CL615" i="23916"/>
  <c r="CK615" i="23916"/>
  <c r="CJ615" i="23916"/>
  <c r="CI615" i="23916"/>
  <c r="CH615" i="23916"/>
  <c r="CG615" i="23916"/>
  <c r="CF615" i="23916"/>
  <c r="CE615" i="23916"/>
  <c r="CD615" i="23916"/>
  <c r="CC615" i="23916"/>
  <c r="CB615" i="23916"/>
  <c r="CA615" i="23916"/>
  <c r="BZ615" i="23916"/>
  <c r="BY615" i="23916"/>
  <c r="BX615" i="23916"/>
  <c r="BW615" i="23916"/>
  <c r="BV615" i="23916"/>
  <c r="BU615" i="23916"/>
  <c r="BT615" i="23916"/>
  <c r="BS615" i="23916"/>
  <c r="BR615" i="23916"/>
  <c r="BQ615" i="23916"/>
  <c r="BP615" i="23916"/>
  <c r="BO615" i="23916"/>
  <c r="BN615" i="23916"/>
  <c r="BM615" i="23916"/>
  <c r="BL615" i="23916"/>
  <c r="BK615" i="23916"/>
  <c r="BJ615" i="23916"/>
  <c r="BI615" i="23916"/>
  <c r="BH615" i="23916"/>
  <c r="BG615" i="23916"/>
  <c r="FT615" i="23916" s="1"/>
  <c r="BF615" i="23916"/>
  <c r="BE615" i="23916"/>
  <c r="BD615" i="23916"/>
  <c r="BC615" i="23916"/>
  <c r="BB615" i="23916"/>
  <c r="BA615" i="23916"/>
  <c r="AZ615" i="23916"/>
  <c r="AY615" i="23916"/>
  <c r="FR615" i="23916" s="1"/>
  <c r="AW615" i="23916"/>
  <c r="AU615" i="23916"/>
  <c r="AS615" i="23916"/>
  <c r="AQ615" i="23916"/>
  <c r="FP615" i="23916" s="1"/>
  <c r="GG611" i="23916"/>
  <c r="GF611" i="23916"/>
  <c r="GF615" i="23916" s="1"/>
  <c r="GE611" i="23916"/>
  <c r="GA611" i="23916"/>
  <c r="FZ611" i="23916"/>
  <c r="FZ615" i="23916" s="1"/>
  <c r="FY611" i="23916"/>
  <c r="FX611" i="23916"/>
  <c r="FX615" i="23916" s="1"/>
  <c r="FY615" i="23916" s="1"/>
  <c r="FW611" i="23916"/>
  <c r="FV611" i="23916"/>
  <c r="FV615" i="23916" s="1"/>
  <c r="FU611" i="23916"/>
  <c r="FT611" i="23916"/>
  <c r="FS611" i="23916"/>
  <c r="FR611" i="23916"/>
  <c r="FQ611" i="23916"/>
  <c r="FP611" i="23916"/>
  <c r="FO611" i="23916"/>
  <c r="FN611" i="23916"/>
  <c r="FM611" i="23916"/>
  <c r="FL611" i="23916"/>
  <c r="FK611" i="23916"/>
  <c r="FJ611" i="23916"/>
  <c r="FI611" i="23916"/>
  <c r="FH611" i="23916"/>
  <c r="FG611" i="23916"/>
  <c r="FF611" i="23916"/>
  <c r="FE611" i="23916"/>
  <c r="EN611" i="23916"/>
  <c r="EN609" i="23916"/>
  <c r="EL611" i="23916"/>
  <c r="EL610" i="23916"/>
  <c r="EL609" i="23916"/>
  <c r="EJ611" i="23916"/>
  <c r="EJ610" i="23916"/>
  <c r="EJ609" i="23916"/>
  <c r="EH611" i="23916"/>
  <c r="EH610" i="23916"/>
  <c r="EH609" i="23916"/>
  <c r="EF611" i="23916"/>
  <c r="EF610" i="23916"/>
  <c r="EF609" i="23916"/>
  <c r="ED611" i="23916"/>
  <c r="ED610" i="23916"/>
  <c r="ED609" i="23916"/>
  <c r="EB611" i="23916"/>
  <c r="EB610" i="23916"/>
  <c r="EB609" i="23916"/>
  <c r="DZ611" i="23916"/>
  <c r="DZ610" i="23916"/>
  <c r="DZ609" i="23916"/>
  <c r="DV611" i="23916"/>
  <c r="DV610" i="23916"/>
  <c r="DV609" i="23916"/>
  <c r="DT611" i="23916"/>
  <c r="DT610" i="23916"/>
  <c r="DT609" i="23916"/>
  <c r="DR611" i="23916"/>
  <c r="DR610" i="23916"/>
  <c r="DR609" i="23916"/>
  <c r="DP611" i="23916"/>
  <c r="DP610" i="23916"/>
  <c r="DP609" i="23916"/>
  <c r="DN611" i="23916"/>
  <c r="DN610" i="23916"/>
  <c r="DN609" i="23916"/>
  <c r="DL611" i="23916"/>
  <c r="DL610" i="23916"/>
  <c r="DL609" i="23916"/>
  <c r="DJ611" i="23916"/>
  <c r="DJ610" i="23916"/>
  <c r="DJ609" i="23916"/>
  <c r="DH611" i="23916"/>
  <c r="DH610" i="23916"/>
  <c r="DH609" i="23916"/>
  <c r="DF611" i="23916"/>
  <c r="DF610" i="23916"/>
  <c r="DF609" i="23916"/>
  <c r="DD611" i="23916"/>
  <c r="DD610" i="23916"/>
  <c r="DD609" i="23916"/>
  <c r="DB611" i="23916"/>
  <c r="DB610" i="23916"/>
  <c r="DB609" i="23916"/>
  <c r="CZ611" i="23916"/>
  <c r="CZ610" i="23916"/>
  <c r="CZ609" i="23916"/>
  <c r="CX610" i="23916"/>
  <c r="CX609" i="23916"/>
  <c r="CV611" i="23916"/>
  <c r="CV610" i="23916"/>
  <c r="CV609" i="23916"/>
  <c r="CT611" i="23916"/>
  <c r="CT610" i="23916"/>
  <c r="CT609" i="23916"/>
  <c r="CR611" i="23916"/>
  <c r="CR610" i="23916"/>
  <c r="CR609" i="23916"/>
  <c r="CO611" i="23916"/>
  <c r="CO616" i="23916" s="1"/>
  <c r="CN611" i="23916"/>
  <c r="CL611" i="23916"/>
  <c r="CL610" i="23916"/>
  <c r="CL609" i="23916"/>
  <c r="CL608" i="23916"/>
  <c r="CJ611" i="23916"/>
  <c r="CJ610" i="23916"/>
  <c r="CJ609" i="23916"/>
  <c r="CJ608" i="23916"/>
  <c r="CH611" i="23916"/>
  <c r="CH610" i="23916"/>
  <c r="CH609" i="23916"/>
  <c r="CH608" i="23916"/>
  <c r="CF611" i="23916"/>
  <c r="CF610" i="23916"/>
  <c r="CF609" i="23916"/>
  <c r="CF608" i="23916"/>
  <c r="CD611" i="23916"/>
  <c r="CD610" i="23916"/>
  <c r="CD609" i="23916"/>
  <c r="CD608" i="23916"/>
  <c r="CB611" i="23916"/>
  <c r="CB610" i="23916"/>
  <c r="CB609" i="23916"/>
  <c r="CB608" i="23916"/>
  <c r="BZ611" i="23916"/>
  <c r="BZ610" i="23916"/>
  <c r="BZ609" i="23916"/>
  <c r="BZ608" i="23916"/>
  <c r="BX611" i="23916"/>
  <c r="BX610" i="23916"/>
  <c r="BX609" i="23916"/>
  <c r="BX608" i="23916"/>
  <c r="BV611" i="23916"/>
  <c r="BV610" i="23916"/>
  <c r="BV609" i="23916"/>
  <c r="BV608" i="23916"/>
  <c r="BT611" i="23916"/>
  <c r="BT610" i="23916"/>
  <c r="BT609" i="23916"/>
  <c r="BT608" i="23916"/>
  <c r="BR611" i="23916"/>
  <c r="BR610" i="23916"/>
  <c r="BR609" i="23916"/>
  <c r="BR608" i="23916"/>
  <c r="BP611" i="23916"/>
  <c r="BP610" i="23916"/>
  <c r="BP609" i="23916"/>
  <c r="BP608" i="23916"/>
  <c r="BN611" i="23916"/>
  <c r="BN610" i="23916"/>
  <c r="BN609" i="23916"/>
  <c r="BN608" i="23916"/>
  <c r="BL611" i="23916"/>
  <c r="BL610" i="23916"/>
  <c r="BL609" i="23916"/>
  <c r="BL608" i="23916"/>
  <c r="BJ611" i="23916"/>
  <c r="BJ610" i="23916"/>
  <c r="BJ609" i="23916"/>
  <c r="BJ608" i="23916"/>
  <c r="BH611" i="23916"/>
  <c r="BH610" i="23916"/>
  <c r="BH609" i="23916"/>
  <c r="BH608" i="23916"/>
  <c r="BF611" i="23916"/>
  <c r="BF610" i="23916"/>
  <c r="BF609" i="23916"/>
  <c r="BF608" i="23916"/>
  <c r="BD611" i="23916"/>
  <c r="BD610" i="23916"/>
  <c r="BD609" i="23916"/>
  <c r="BD608" i="23916"/>
  <c r="BB611" i="23916"/>
  <c r="BB610" i="23916"/>
  <c r="BB609" i="23916"/>
  <c r="BB608" i="23916"/>
  <c r="AZ611" i="23916"/>
  <c r="AZ610" i="23916"/>
  <c r="AZ609" i="23916"/>
  <c r="AZ608" i="23916"/>
  <c r="AX611" i="23916"/>
  <c r="AX610" i="23916"/>
  <c r="AX609" i="23916"/>
  <c r="AX608" i="23916"/>
  <c r="AV611" i="23916"/>
  <c r="AV610" i="23916"/>
  <c r="AV609" i="23916"/>
  <c r="AV608" i="23916"/>
  <c r="AT611" i="23916"/>
  <c r="AT610" i="23916"/>
  <c r="AT609" i="23916"/>
  <c r="AT608" i="23916"/>
  <c r="AR611" i="23916"/>
  <c r="AR610" i="23916"/>
  <c r="AR609" i="23916"/>
  <c r="AR608" i="23916"/>
  <c r="AP611" i="23916"/>
  <c r="AN611" i="23916"/>
  <c r="AL611" i="23916"/>
  <c r="AJ611" i="23916"/>
  <c r="AH611" i="23916"/>
  <c r="AF611" i="23916"/>
  <c r="AD611" i="23916"/>
  <c r="AB611" i="23916"/>
  <c r="Z611" i="23916"/>
  <c r="X611" i="23916"/>
  <c r="V611" i="23916"/>
  <c r="T611" i="23916"/>
  <c r="R611" i="23916"/>
  <c r="P611" i="23916"/>
  <c r="N611" i="23916"/>
  <c r="L611" i="23916"/>
  <c r="EO610" i="23916"/>
  <c r="EM610" i="23916"/>
  <c r="EN610" i="23916" s="1"/>
  <c r="CP610" i="23916"/>
  <c r="CP609" i="23916"/>
  <c r="CN610" i="23916"/>
  <c r="CN609" i="23916"/>
  <c r="CN608" i="23916"/>
  <c r="GN611" i="23916"/>
  <c r="GN615" i="23916" s="1"/>
  <c r="GL611" i="23916"/>
  <c r="GL615" i="23916" s="1"/>
  <c r="GJ611" i="23916"/>
  <c r="GJ615" i="23916" s="1"/>
  <c r="GK615" i="23916" s="1"/>
  <c r="GI611" i="23916"/>
  <c r="GM610" i="23916"/>
  <c r="GL610" i="23916"/>
  <c r="GJ610" i="23916"/>
  <c r="GN609" i="23916"/>
  <c r="GN720" i="23916" s="1"/>
  <c r="GL609" i="23916"/>
  <c r="GL720" i="23916" s="1"/>
  <c r="GJ609" i="23916"/>
  <c r="GJ720" i="23916" s="1"/>
  <c r="GH610" i="23916"/>
  <c r="GJ722" i="23916" s="1"/>
  <c r="GF610" i="23916"/>
  <c r="GH722" i="23916" s="1"/>
  <c r="GD610" i="23916"/>
  <c r="GH609" i="23916"/>
  <c r="GH720" i="23916" s="1"/>
  <c r="GG609" i="23916"/>
  <c r="GF609" i="23916"/>
  <c r="GF720" i="23916" s="1"/>
  <c r="GE609" i="23916"/>
  <c r="GD609" i="23916"/>
  <c r="GD720" i="23916" s="1"/>
  <c r="GB610" i="23916"/>
  <c r="GD722" i="23916" s="1"/>
  <c r="FZ610" i="23916"/>
  <c r="FX610" i="23916"/>
  <c r="FZ722" i="23916" s="1"/>
  <c r="FV610" i="23916"/>
  <c r="FT610" i="23916"/>
  <c r="FV722" i="23916" s="1"/>
  <c r="FR610" i="23916"/>
  <c r="FP610" i="23916"/>
  <c r="FQ610" i="23916" s="1"/>
  <c r="GB609" i="23916"/>
  <c r="GB720" i="23916" s="1"/>
  <c r="GA609" i="23916"/>
  <c r="FZ609" i="23916"/>
  <c r="FZ720" i="23916" s="1"/>
  <c r="FY609" i="23916"/>
  <c r="FX609" i="23916"/>
  <c r="FX720" i="23916" s="1"/>
  <c r="FW609" i="23916"/>
  <c r="FV609" i="23916"/>
  <c r="FV720" i="23916" s="1"/>
  <c r="FU609" i="23916"/>
  <c r="FT609" i="23916"/>
  <c r="FT720" i="23916" s="1"/>
  <c r="FS609" i="23916"/>
  <c r="FR609" i="23916"/>
  <c r="FQ609" i="23916"/>
  <c r="FP609" i="23916"/>
  <c r="FO609" i="23916"/>
  <c r="FN609" i="23916"/>
  <c r="FM609" i="23916"/>
  <c r="FL609" i="23916"/>
  <c r="FK609" i="23916"/>
  <c r="FJ609" i="23916"/>
  <c r="FI609" i="23916"/>
  <c r="FH609" i="23916"/>
  <c r="FG609" i="23916"/>
  <c r="FF609" i="23916"/>
  <c r="FE609" i="23916"/>
  <c r="EP611" i="23916"/>
  <c r="EP610" i="23916"/>
  <c r="EP609" i="23916"/>
  <c r="AP609" i="23916"/>
  <c r="AN609" i="23916"/>
  <c r="AL609" i="23916"/>
  <c r="AJ609" i="23916"/>
  <c r="AH609" i="23916"/>
  <c r="AF609" i="23916"/>
  <c r="AD609" i="23916"/>
  <c r="AB609" i="23916"/>
  <c r="Z609" i="23916"/>
  <c r="X609" i="23916"/>
  <c r="V609" i="23916"/>
  <c r="T609" i="23916"/>
  <c r="R609" i="23916"/>
  <c r="P609" i="23916"/>
  <c r="N609" i="23916"/>
  <c r="L609" i="23916"/>
  <c r="FY608" i="23916"/>
  <c r="FW608" i="23916"/>
  <c r="FU608" i="23916"/>
  <c r="FS608" i="23916"/>
  <c r="FQ608" i="23916"/>
  <c r="GX602" i="23916"/>
  <c r="GZ602" i="23916" s="1"/>
  <c r="GX601" i="23916"/>
  <c r="GX764" i="23916" s="1"/>
  <c r="GV602" i="23916"/>
  <c r="GT602" i="23916"/>
  <c r="GR602" i="23916"/>
  <c r="EW602" i="23916"/>
  <c r="EW601" i="23916"/>
  <c r="EW764" i="23916" s="1"/>
  <c r="EU602" i="23916"/>
  <c r="ES602" i="23916"/>
  <c r="EQ602" i="23916"/>
  <c r="EO602" i="23916"/>
  <c r="EM602" i="23916"/>
  <c r="EK602" i="23916"/>
  <c r="EI602" i="23916"/>
  <c r="EG602" i="23916"/>
  <c r="EE602" i="23916"/>
  <c r="EC602" i="23916"/>
  <c r="EA602" i="23916"/>
  <c r="DU602" i="23916"/>
  <c r="DS602" i="23916"/>
  <c r="DQ602" i="23916"/>
  <c r="DO602" i="23916"/>
  <c r="DM602" i="23916"/>
  <c r="DK602" i="23916"/>
  <c r="DI602" i="23916"/>
  <c r="DG602" i="23916"/>
  <c r="DE602" i="23916"/>
  <c r="DC602" i="23916"/>
  <c r="DA602" i="23916"/>
  <c r="CY602" i="23916"/>
  <c r="CW602" i="23916"/>
  <c r="CU602" i="23916"/>
  <c r="CS602" i="23916"/>
  <c r="CQ602" i="23916"/>
  <c r="CO602" i="23916"/>
  <c r="CM602" i="23916"/>
  <c r="CK602" i="23916"/>
  <c r="GZ601" i="23916"/>
  <c r="GZ597" i="23916"/>
  <c r="DY602" i="23916"/>
  <c r="DX602" i="23916"/>
  <c r="DW602" i="23916"/>
  <c r="GY601" i="23916"/>
  <c r="GY600" i="23916"/>
  <c r="GW601" i="23916"/>
  <c r="GW600" i="23916"/>
  <c r="GU601" i="23916"/>
  <c r="GU600" i="23916"/>
  <c r="GS601" i="23916"/>
  <c r="GQ601" i="23916"/>
  <c r="GP601" i="23916"/>
  <c r="GO601" i="23916"/>
  <c r="GN601" i="23916"/>
  <c r="GM601" i="23916"/>
  <c r="GL601" i="23916"/>
  <c r="GK601" i="23916"/>
  <c r="GJ601" i="23916"/>
  <c r="GI601" i="23916"/>
  <c r="GH601" i="23916"/>
  <c r="GG601" i="23916"/>
  <c r="GF601" i="23916"/>
  <c r="GE601" i="23916"/>
  <c r="GD601" i="23916"/>
  <c r="GC601" i="23916"/>
  <c r="GB601" i="23916"/>
  <c r="GA601" i="23916"/>
  <c r="FZ601" i="23916"/>
  <c r="FY601" i="23916"/>
  <c r="FX601" i="23916"/>
  <c r="FW601" i="23916"/>
  <c r="FV601" i="23916"/>
  <c r="FT601" i="23916"/>
  <c r="FQ601" i="23916"/>
  <c r="FP601" i="23916"/>
  <c r="FO601" i="23916"/>
  <c r="FN601" i="23916"/>
  <c r="FM601" i="23916"/>
  <c r="FL601" i="23916"/>
  <c r="FK601" i="23916"/>
  <c r="FJ601" i="23916"/>
  <c r="FI601" i="23916"/>
  <c r="FH601" i="23916"/>
  <c r="FG601" i="23916"/>
  <c r="FF601" i="23916"/>
  <c r="FE601" i="23916"/>
  <c r="EX601" i="23916"/>
  <c r="EX600" i="23916"/>
  <c r="EV601" i="23916"/>
  <c r="EV600" i="23916"/>
  <c r="ET601" i="23916"/>
  <c r="ET600" i="23916"/>
  <c r="ER601" i="23916"/>
  <c r="ER600" i="23916"/>
  <c r="EP601" i="23916"/>
  <c r="EP600" i="23916"/>
  <c r="EP598" i="23916"/>
  <c r="EN601" i="23916"/>
  <c r="EN600" i="23916"/>
  <c r="EN598" i="23916"/>
  <c r="EL601" i="23916"/>
  <c r="EL600" i="23916"/>
  <c r="EL598" i="23916"/>
  <c r="EJ601" i="23916"/>
  <c r="EJ600" i="23916"/>
  <c r="EJ598" i="23916"/>
  <c r="EH601" i="23916"/>
  <c r="EH600" i="23916"/>
  <c r="EH598" i="23916"/>
  <c r="EF601" i="23916"/>
  <c r="EF600" i="23916"/>
  <c r="EF598" i="23916"/>
  <c r="ED601" i="23916"/>
  <c r="ED600" i="23916"/>
  <c r="ED598" i="23916"/>
  <c r="EB601" i="23916"/>
  <c r="EB600" i="23916"/>
  <c r="EB598" i="23916"/>
  <c r="DZ601" i="23916"/>
  <c r="DZ600" i="23916"/>
  <c r="DZ598" i="23916"/>
  <c r="DV601" i="23916"/>
  <c r="DV600" i="23916"/>
  <c r="DV598" i="23916"/>
  <c r="DT601" i="23916"/>
  <c r="DT600" i="23916"/>
  <c r="DT598" i="23916"/>
  <c r="DR601" i="23916"/>
  <c r="DR600" i="23916"/>
  <c r="DR598" i="23916"/>
  <c r="DP601" i="23916"/>
  <c r="DP600" i="23916"/>
  <c r="DP598" i="23916"/>
  <c r="DN601" i="23916"/>
  <c r="DN600" i="23916"/>
  <c r="DN598" i="23916"/>
  <c r="DL601" i="23916"/>
  <c r="DL600" i="23916"/>
  <c r="DL598" i="23916"/>
  <c r="DJ601" i="23916"/>
  <c r="DJ600" i="23916"/>
  <c r="DJ598" i="23916"/>
  <c r="DH601" i="23916"/>
  <c r="DH600" i="23916"/>
  <c r="DH598" i="23916"/>
  <c r="DF601" i="23916"/>
  <c r="DF600" i="23916"/>
  <c r="DF598" i="23916"/>
  <c r="DD601" i="23916"/>
  <c r="DD600" i="23916"/>
  <c r="DD598" i="23916"/>
  <c r="DB601" i="23916"/>
  <c r="DB600" i="23916"/>
  <c r="DB598" i="23916"/>
  <c r="CZ601" i="23916"/>
  <c r="CZ600" i="23916"/>
  <c r="CZ598" i="23916"/>
  <c r="CX601" i="23916"/>
  <c r="CX600" i="23916"/>
  <c r="CX598" i="23916"/>
  <c r="CV601" i="23916"/>
  <c r="CV600" i="23916"/>
  <c r="CV598" i="23916"/>
  <c r="CT601" i="23916"/>
  <c r="CT600" i="23916"/>
  <c r="CR601" i="23916"/>
  <c r="CR600" i="23916"/>
  <c r="CP601" i="23916"/>
  <c r="CP600" i="23916"/>
  <c r="CN601" i="23916"/>
  <c r="CN600" i="23916"/>
  <c r="CL601" i="23916"/>
  <c r="CL600" i="23916"/>
  <c r="CJ601" i="23916"/>
  <c r="CJ600" i="23916"/>
  <c r="CH601" i="23916"/>
  <c r="CH600" i="23916"/>
  <c r="CH599" i="23916"/>
  <c r="CF601" i="23916"/>
  <c r="CF600" i="23916"/>
  <c r="CD601" i="23916"/>
  <c r="CD600" i="23916"/>
  <c r="CB601" i="23916"/>
  <c r="CB600" i="23916"/>
  <c r="BZ601" i="23916"/>
  <c r="BZ600" i="23916"/>
  <c r="BZ599" i="23916"/>
  <c r="BX601" i="23916"/>
  <c r="BX600" i="23916"/>
  <c r="BV601" i="23916"/>
  <c r="BV600" i="23916"/>
  <c r="BV598" i="23916"/>
  <c r="BT601" i="23916"/>
  <c r="BT600" i="23916"/>
  <c r="BT598" i="23916"/>
  <c r="BR601" i="23916"/>
  <c r="BR600" i="23916"/>
  <c r="BR598" i="23916"/>
  <c r="BP601" i="23916"/>
  <c r="BP600" i="23916"/>
  <c r="BP598" i="23916"/>
  <c r="BN601" i="23916"/>
  <c r="BN600" i="23916"/>
  <c r="BN598" i="23916"/>
  <c r="BL600" i="23916"/>
  <c r="BL598" i="23916"/>
  <c r="BJ600" i="23916"/>
  <c r="BJ598" i="23916"/>
  <c r="BH601" i="23916"/>
  <c r="BH600" i="23916"/>
  <c r="BH598" i="23916"/>
  <c r="BF601" i="23916"/>
  <c r="BF600" i="23916"/>
  <c r="BF599" i="23916"/>
  <c r="BF598" i="23916"/>
  <c r="BC601" i="23916"/>
  <c r="BA601" i="23916"/>
  <c r="BJ601" i="23916" s="1"/>
  <c r="AZ601" i="23916"/>
  <c r="AX601" i="23916"/>
  <c r="AX600" i="23916"/>
  <c r="AX599" i="23916"/>
  <c r="AX598" i="23916"/>
  <c r="AV601" i="23916"/>
  <c r="AV600" i="23916"/>
  <c r="AV598" i="23916"/>
  <c r="AT601" i="23916"/>
  <c r="AT600" i="23916"/>
  <c r="AT598" i="23916"/>
  <c r="AR601" i="23916"/>
  <c r="AR600" i="23916"/>
  <c r="AR598" i="23916"/>
  <c r="AP601" i="23916"/>
  <c r="AP600" i="23916"/>
  <c r="AP599" i="23916"/>
  <c r="AP598" i="23916"/>
  <c r="AN601" i="23916"/>
  <c r="AN600" i="23916"/>
  <c r="AN598" i="23916"/>
  <c r="AL601" i="23916"/>
  <c r="AL600" i="23916"/>
  <c r="AL598" i="23916"/>
  <c r="AJ601" i="23916"/>
  <c r="AJ600" i="23916"/>
  <c r="AJ598" i="23916"/>
  <c r="AH601" i="23916"/>
  <c r="AH600" i="23916"/>
  <c r="AH599" i="23916"/>
  <c r="AH598" i="23916"/>
  <c r="AF601" i="23916"/>
  <c r="AF600" i="23916"/>
  <c r="AF599" i="23916"/>
  <c r="AF598" i="23916"/>
  <c r="AD601" i="23916"/>
  <c r="AD600" i="23916"/>
  <c r="AD598" i="23916"/>
  <c r="AB601" i="23916"/>
  <c r="AB600" i="23916"/>
  <c r="AB598" i="23916"/>
  <c r="Z601" i="23916"/>
  <c r="Z600" i="23916"/>
  <c r="Z598" i="23916"/>
  <c r="X601" i="23916"/>
  <c r="X600" i="23916"/>
  <c r="X599" i="23916"/>
  <c r="X598" i="23916"/>
  <c r="V601" i="23916"/>
  <c r="V600" i="23916"/>
  <c r="V598" i="23916"/>
  <c r="T601" i="23916"/>
  <c r="T600" i="23916"/>
  <c r="T598" i="23916"/>
  <c r="R601" i="23916"/>
  <c r="R600" i="23916"/>
  <c r="R598" i="23916"/>
  <c r="P601" i="23916"/>
  <c r="P600" i="23916"/>
  <c r="P599" i="23916"/>
  <c r="P598" i="23916"/>
  <c r="N601" i="23916"/>
  <c r="N600" i="23916"/>
  <c r="N598" i="23916"/>
  <c r="L601" i="23916"/>
  <c r="L600" i="23916"/>
  <c r="L598" i="23916"/>
  <c r="GQ600" i="23916"/>
  <c r="GP600" i="23916"/>
  <c r="GS600" i="23916" s="1"/>
  <c r="GO600" i="23916"/>
  <c r="GN600" i="23916"/>
  <c r="GZ600" i="23916" s="1"/>
  <c r="GM600" i="23916"/>
  <c r="GL600" i="23916"/>
  <c r="GK600" i="23916"/>
  <c r="GJ600" i="23916"/>
  <c r="GI600" i="23916"/>
  <c r="GH600" i="23916"/>
  <c r="GG600" i="23916"/>
  <c r="GF600" i="23916"/>
  <c r="GE600" i="23916"/>
  <c r="GD600" i="23916"/>
  <c r="GC600" i="23916"/>
  <c r="GB600" i="23916"/>
  <c r="GA600" i="23916"/>
  <c r="FY600" i="23916"/>
  <c r="FW600" i="23916"/>
  <c r="FU600" i="23916"/>
  <c r="FS600" i="23916"/>
  <c r="FQ600" i="23916"/>
  <c r="FO600" i="23916"/>
  <c r="FM600" i="23916"/>
  <c r="FK600" i="23916"/>
  <c r="FI600" i="23916"/>
  <c r="FG600" i="23916"/>
  <c r="FE600" i="23916"/>
  <c r="FE599" i="23916"/>
  <c r="FE598" i="23916"/>
  <c r="BD600" i="23916"/>
  <c r="BD599" i="23916"/>
  <c r="BD598" i="23916"/>
  <c r="BB600" i="23916"/>
  <c r="BB599" i="23916"/>
  <c r="BB598" i="23916"/>
  <c r="AZ600" i="23916"/>
  <c r="AZ598" i="23916"/>
  <c r="FV599" i="23916"/>
  <c r="FV598" i="23916"/>
  <c r="FW598" i="23916" s="1"/>
  <c r="FT598" i="23916"/>
  <c r="FU598" i="23916" s="1"/>
  <c r="FR599" i="23916"/>
  <c r="FS599" i="23916" s="1"/>
  <c r="FR598" i="23916"/>
  <c r="FS598" i="23916" s="1"/>
  <c r="FP599" i="23916"/>
  <c r="FP598" i="23916"/>
  <c r="FQ598" i="23916" s="1"/>
  <c r="FN599" i="23916"/>
  <c r="FO599" i="23916" s="1"/>
  <c r="FN598" i="23916"/>
  <c r="FO598" i="23916" s="1"/>
  <c r="FL599" i="23916"/>
  <c r="FL598" i="23916"/>
  <c r="FM598" i="23916" s="1"/>
  <c r="FJ598" i="23916"/>
  <c r="FJ599" i="23916" s="1"/>
  <c r="FH598" i="23916"/>
  <c r="FI598" i="23916" s="1"/>
  <c r="FF598" i="23916"/>
  <c r="FF599" i="23916" s="1"/>
  <c r="FG599" i="23916" s="1"/>
  <c r="FD599" i="23916"/>
  <c r="FB599" i="23916"/>
  <c r="EO599" i="23916"/>
  <c r="EP599" i="23916" s="1"/>
  <c r="EM599" i="23916"/>
  <c r="EN599" i="23916" s="1"/>
  <c r="EK599" i="23916"/>
  <c r="EL599" i="23916" s="1"/>
  <c r="EI599" i="23916"/>
  <c r="GN599" i="23916" s="1"/>
  <c r="EG599" i="23916"/>
  <c r="EH599" i="23916" s="1"/>
  <c r="EE599" i="23916"/>
  <c r="EF599" i="23916" s="1"/>
  <c r="EC599" i="23916"/>
  <c r="ED599" i="23916" s="1"/>
  <c r="EA599" i="23916"/>
  <c r="EB599" i="23916" s="1"/>
  <c r="DY599" i="23916"/>
  <c r="DZ599" i="23916" s="1"/>
  <c r="DX599" i="23916"/>
  <c r="DW599" i="23916"/>
  <c r="DU599" i="23916"/>
  <c r="GJ599" i="23916" s="1"/>
  <c r="DS599" i="23916"/>
  <c r="DT599" i="23916" s="1"/>
  <c r="DQ599" i="23916"/>
  <c r="DR599" i="23916" s="1"/>
  <c r="DO599" i="23916"/>
  <c r="DP599" i="23916" s="1"/>
  <c r="DM599" i="23916"/>
  <c r="DN599" i="23916" s="1"/>
  <c r="DK599" i="23916"/>
  <c r="DL599" i="23916" s="1"/>
  <c r="DI599" i="23916"/>
  <c r="DJ599" i="23916" s="1"/>
  <c r="DG599" i="23916"/>
  <c r="DH599" i="23916" s="1"/>
  <c r="DE599" i="23916"/>
  <c r="GF599" i="23916" s="1"/>
  <c r="DC599" i="23916"/>
  <c r="DD599" i="23916" s="1"/>
  <c r="DA599" i="23916"/>
  <c r="DB599" i="23916" s="1"/>
  <c r="CY599" i="23916"/>
  <c r="CZ599" i="23916" s="1"/>
  <c r="CW599" i="23916"/>
  <c r="CX599" i="23916" s="1"/>
  <c r="CU599" i="23916"/>
  <c r="CV599" i="23916" s="1"/>
  <c r="CS599" i="23916"/>
  <c r="GB599" i="23916" s="1"/>
  <c r="CQ599" i="23916"/>
  <c r="CR599" i="23916" s="1"/>
  <c r="CO599" i="23916"/>
  <c r="CP599" i="23916" s="1"/>
  <c r="CM599" i="23916"/>
  <c r="CN599" i="23916" s="1"/>
  <c r="CK599" i="23916"/>
  <c r="CL599" i="23916" s="1"/>
  <c r="CK598" i="23916"/>
  <c r="CT598" i="23916" s="1"/>
  <c r="CE599" i="23916"/>
  <c r="CF599" i="23916" s="1"/>
  <c r="CC599" i="23916"/>
  <c r="CC598" i="23916" s="1"/>
  <c r="CD598" i="23916" s="1"/>
  <c r="CA599" i="23916"/>
  <c r="CJ599" i="23916" s="1"/>
  <c r="BO599" i="23916"/>
  <c r="BX599" i="23916" s="1"/>
  <c r="BM599" i="23916"/>
  <c r="BV599" i="23916" s="1"/>
  <c r="BG599" i="23916"/>
  <c r="BH599" i="23916" s="1"/>
  <c r="AS599" i="23916"/>
  <c r="AT599" i="23916" s="1"/>
  <c r="AQ599" i="23916"/>
  <c r="AZ599" i="23916" s="1"/>
  <c r="AO599" i="23916"/>
  <c r="AM599" i="23916"/>
  <c r="AV599" i="23916" s="1"/>
  <c r="AK599" i="23916"/>
  <c r="AL599" i="23916" s="1"/>
  <c r="AI599" i="23916"/>
  <c r="AJ599" i="23916" s="1"/>
  <c r="W599" i="23916"/>
  <c r="U599" i="23916"/>
  <c r="AD599" i="23916" s="1"/>
  <c r="S599" i="23916"/>
  <c r="AB599" i="23916" s="1"/>
  <c r="Q599" i="23916"/>
  <c r="Z599" i="23916" s="1"/>
  <c r="O599" i="23916"/>
  <c r="M599" i="23916"/>
  <c r="N599" i="23916" s="1"/>
  <c r="K599" i="23916"/>
  <c r="L599" i="23916" s="1"/>
  <c r="I599" i="23916"/>
  <c r="E599" i="23916"/>
  <c r="C599" i="23916"/>
  <c r="GN598" i="23916"/>
  <c r="GO598" i="23916" s="1"/>
  <c r="GL598" i="23916"/>
  <c r="GM598" i="23916" s="1"/>
  <c r="GJ598" i="23916"/>
  <c r="GK598" i="23916" s="1"/>
  <c r="GH598" i="23916"/>
  <c r="GI598" i="23916" s="1"/>
  <c r="GF598" i="23916"/>
  <c r="GG598" i="23916" s="1"/>
  <c r="GD598" i="23916"/>
  <c r="GE598" i="23916" s="1"/>
  <c r="GB598" i="23916"/>
  <c r="EQ598" i="23916"/>
  <c r="EQ611" i="23916" s="1"/>
  <c r="CI598" i="23916"/>
  <c r="CR598" i="23916" s="1"/>
  <c r="CG598" i="23916"/>
  <c r="CP598" i="23916" s="1"/>
  <c r="BY598" i="23916"/>
  <c r="BZ598" i="23916" s="1"/>
  <c r="BW598" i="23916"/>
  <c r="BX598" i="23916" s="1"/>
  <c r="FW596" i="23916"/>
  <c r="FV596" i="23916"/>
  <c r="FU596" i="23916"/>
  <c r="FT596" i="23916"/>
  <c r="FS596" i="23916"/>
  <c r="FR596" i="23916"/>
  <c r="FO596" i="23916"/>
  <c r="FO595" i="23916"/>
  <c r="FO594" i="23916"/>
  <c r="FO593" i="23916"/>
  <c r="FM596" i="23916"/>
  <c r="FM595" i="23916"/>
  <c r="FM594" i="23916"/>
  <c r="FM593" i="23916"/>
  <c r="FK596" i="23916"/>
  <c r="FK595" i="23916"/>
  <c r="FK594" i="23916"/>
  <c r="FK593" i="23916"/>
  <c r="FI596" i="23916"/>
  <c r="FI595" i="23916"/>
  <c r="FI594" i="23916"/>
  <c r="FI593" i="23916"/>
  <c r="FG596" i="23916"/>
  <c r="FG595" i="23916"/>
  <c r="FG594" i="23916"/>
  <c r="FG593" i="23916"/>
  <c r="FE596" i="23916"/>
  <c r="FE595" i="23916"/>
  <c r="FE594" i="23916"/>
  <c r="FE593" i="23916"/>
  <c r="CL596" i="23916"/>
  <c r="CK596" i="23916"/>
  <c r="CJ596" i="23916"/>
  <c r="CI596" i="23916"/>
  <c r="CH596" i="23916"/>
  <c r="CG596" i="23916"/>
  <c r="CF596" i="23916"/>
  <c r="CE596" i="23916"/>
  <c r="FZ596" i="23916" s="1"/>
  <c r="CD596" i="23916"/>
  <c r="CC596" i="23916"/>
  <c r="CB596" i="23916"/>
  <c r="CA596" i="23916"/>
  <c r="BZ596" i="23916"/>
  <c r="BY596" i="23916"/>
  <c r="BX596" i="23916"/>
  <c r="BW596" i="23916"/>
  <c r="FX596" i="23916" s="1"/>
  <c r="FY596" i="23916" s="1"/>
  <c r="AP596" i="23916"/>
  <c r="AP595" i="23916"/>
  <c r="AP594" i="23916"/>
  <c r="AP593" i="23916"/>
  <c r="AN596" i="23916"/>
  <c r="AN595" i="23916"/>
  <c r="AN594" i="23916"/>
  <c r="AN593" i="23916"/>
  <c r="AL596" i="23916"/>
  <c r="AL595" i="23916"/>
  <c r="AL594" i="23916"/>
  <c r="AL593" i="23916"/>
  <c r="AJ596" i="23916"/>
  <c r="AJ595" i="23916"/>
  <c r="AJ594" i="23916"/>
  <c r="AJ593" i="23916"/>
  <c r="AH596" i="23916"/>
  <c r="AH595" i="23916"/>
  <c r="AH594" i="23916"/>
  <c r="AH593" i="23916"/>
  <c r="AF596" i="23916"/>
  <c r="AF595" i="23916"/>
  <c r="AF594" i="23916"/>
  <c r="AF593" i="23916"/>
  <c r="AD596" i="23916"/>
  <c r="AD595" i="23916"/>
  <c r="AD594" i="23916"/>
  <c r="AD593" i="23916"/>
  <c r="AB596" i="23916"/>
  <c r="AB595" i="23916"/>
  <c r="AB594" i="23916"/>
  <c r="AB593" i="23916"/>
  <c r="Z596" i="23916"/>
  <c r="Z595" i="23916"/>
  <c r="Z594" i="23916"/>
  <c r="Z593" i="23916"/>
  <c r="X596" i="23916"/>
  <c r="X595" i="23916"/>
  <c r="X594" i="23916"/>
  <c r="X593" i="23916"/>
  <c r="V596" i="23916"/>
  <c r="V595" i="23916"/>
  <c r="V594" i="23916"/>
  <c r="V593" i="23916"/>
  <c r="T596" i="23916"/>
  <c r="T595" i="23916"/>
  <c r="T594" i="23916"/>
  <c r="T593" i="23916"/>
  <c r="R596" i="23916"/>
  <c r="R595" i="23916"/>
  <c r="R594" i="23916"/>
  <c r="R593" i="23916"/>
  <c r="P596" i="23916"/>
  <c r="P595" i="23916"/>
  <c r="P594" i="23916"/>
  <c r="P593" i="23916"/>
  <c r="N596" i="23916"/>
  <c r="N595" i="23916"/>
  <c r="N594" i="23916"/>
  <c r="N593" i="23916"/>
  <c r="L596" i="23916"/>
  <c r="L595" i="23916"/>
  <c r="L594" i="23916"/>
  <c r="L593" i="23916"/>
  <c r="GW595" i="23916"/>
  <c r="GU595" i="23916"/>
  <c r="GS595" i="23916"/>
  <c r="GS593" i="23916"/>
  <c r="GQ595" i="23916"/>
  <c r="GO595" i="23916"/>
  <c r="GM595" i="23916"/>
  <c r="GK595" i="23916"/>
  <c r="GK593" i="23916"/>
  <c r="GI595" i="23916"/>
  <c r="GG595" i="23916"/>
  <c r="GE595" i="23916"/>
  <c r="GC595" i="23916"/>
  <c r="GC593" i="23916"/>
  <c r="GA595" i="23916"/>
  <c r="FY595" i="23916"/>
  <c r="FW595" i="23916"/>
  <c r="FU595" i="23916"/>
  <c r="FU593" i="23916"/>
  <c r="FS595" i="23916"/>
  <c r="FQ595" i="23916"/>
  <c r="FQ594" i="23916"/>
  <c r="FQ593" i="23916"/>
  <c r="EX595" i="23916"/>
  <c r="EX593" i="23916"/>
  <c r="EV595" i="23916"/>
  <c r="EV593" i="23916"/>
  <c r="ET595" i="23916"/>
  <c r="ET593" i="23916"/>
  <c r="ER595" i="23916"/>
  <c r="ER593" i="23916"/>
  <c r="EP595" i="23916"/>
  <c r="EP594" i="23916"/>
  <c r="EP593" i="23916"/>
  <c r="EN595" i="23916"/>
  <c r="EN593" i="23916"/>
  <c r="EL595" i="23916"/>
  <c r="EL593" i="23916"/>
  <c r="EJ595" i="23916"/>
  <c r="EJ593" i="23916"/>
  <c r="EH595" i="23916"/>
  <c r="EH594" i="23916"/>
  <c r="EH593" i="23916"/>
  <c r="EF595" i="23916"/>
  <c r="EF593" i="23916"/>
  <c r="ED595" i="23916"/>
  <c r="ED593" i="23916"/>
  <c r="EB595" i="23916"/>
  <c r="EB593" i="23916"/>
  <c r="DZ595" i="23916"/>
  <c r="DZ594" i="23916"/>
  <c r="DZ593" i="23916"/>
  <c r="DV595" i="23916"/>
  <c r="DV593" i="23916"/>
  <c r="DT595" i="23916"/>
  <c r="DT593" i="23916"/>
  <c r="DR595" i="23916"/>
  <c r="DR593" i="23916"/>
  <c r="DP595" i="23916"/>
  <c r="DP593" i="23916"/>
  <c r="DN595" i="23916"/>
  <c r="DN593" i="23916"/>
  <c r="DL595" i="23916"/>
  <c r="DL593" i="23916"/>
  <c r="DJ595" i="23916"/>
  <c r="DJ593" i="23916"/>
  <c r="DH595" i="23916"/>
  <c r="DH593" i="23916"/>
  <c r="DF595" i="23916"/>
  <c r="DF593" i="23916"/>
  <c r="DD595" i="23916"/>
  <c r="DD593" i="23916"/>
  <c r="DB595" i="23916"/>
  <c r="DB593" i="23916"/>
  <c r="CZ595" i="23916"/>
  <c r="CZ593" i="23916"/>
  <c r="CX595" i="23916"/>
  <c r="CX593" i="23916"/>
  <c r="CV595" i="23916"/>
  <c r="CV593" i="23916"/>
  <c r="CT595" i="23916"/>
  <c r="CT593" i="23916"/>
  <c r="CR595" i="23916"/>
  <c r="CR593" i="23916"/>
  <c r="CP595" i="23916"/>
  <c r="CP593" i="23916"/>
  <c r="CN595" i="23916"/>
  <c r="CN593" i="23916"/>
  <c r="CL595" i="23916"/>
  <c r="CL594" i="23916"/>
  <c r="CL593" i="23916"/>
  <c r="CJ595" i="23916"/>
  <c r="CJ594" i="23916"/>
  <c r="CJ593" i="23916"/>
  <c r="CH595" i="23916"/>
  <c r="CH594" i="23916"/>
  <c r="CH593" i="23916"/>
  <c r="CF595" i="23916"/>
  <c r="CF594" i="23916"/>
  <c r="CF593" i="23916"/>
  <c r="CD595" i="23916"/>
  <c r="CD594" i="23916"/>
  <c r="CB595" i="23916"/>
  <c r="CB594" i="23916"/>
  <c r="BZ595" i="23916"/>
  <c r="BZ594" i="23916"/>
  <c r="BZ593" i="23916"/>
  <c r="BX595" i="23916"/>
  <c r="BX594" i="23916"/>
  <c r="BX593" i="23916"/>
  <c r="BV595" i="23916"/>
  <c r="BV594" i="23916"/>
  <c r="BT595" i="23916"/>
  <c r="BT594" i="23916"/>
  <c r="BR595" i="23916"/>
  <c r="BR594" i="23916"/>
  <c r="BR593" i="23916"/>
  <c r="BP595" i="23916"/>
  <c r="BP594" i="23916"/>
  <c r="BP593" i="23916"/>
  <c r="BN595" i="23916"/>
  <c r="BN594" i="23916"/>
  <c r="BN593" i="23916"/>
  <c r="BL595" i="23916"/>
  <c r="BL594" i="23916"/>
  <c r="BL593" i="23916"/>
  <c r="BJ595" i="23916"/>
  <c r="BJ594" i="23916"/>
  <c r="BJ593" i="23916"/>
  <c r="BH595" i="23916"/>
  <c r="BH594" i="23916"/>
  <c r="BH593" i="23916"/>
  <c r="BF595" i="23916"/>
  <c r="BF594" i="23916"/>
  <c r="BF593" i="23916"/>
  <c r="BD595" i="23916"/>
  <c r="BD594" i="23916"/>
  <c r="BD593" i="23916"/>
  <c r="BB595" i="23916"/>
  <c r="BB594" i="23916"/>
  <c r="BB593" i="23916"/>
  <c r="AZ595" i="23916"/>
  <c r="AZ594" i="23916"/>
  <c r="AZ593" i="23916"/>
  <c r="AX595" i="23916"/>
  <c r="AX594" i="23916"/>
  <c r="AX593" i="23916"/>
  <c r="AV595" i="23916"/>
  <c r="AV594" i="23916"/>
  <c r="AV593" i="23916"/>
  <c r="AT595" i="23916"/>
  <c r="AT594" i="23916"/>
  <c r="AT593" i="23916"/>
  <c r="AR595" i="23916"/>
  <c r="AR594" i="23916"/>
  <c r="AR593" i="23916"/>
  <c r="GR593" i="23916"/>
  <c r="GP593" i="23916"/>
  <c r="GQ593" i="23916" s="1"/>
  <c r="GN593" i="23916"/>
  <c r="GO593" i="23916" s="1"/>
  <c r="GL593" i="23916"/>
  <c r="GM593" i="23916" s="1"/>
  <c r="GJ593" i="23916"/>
  <c r="GH594" i="23916"/>
  <c r="GH593" i="23916"/>
  <c r="GI593" i="23916" s="1"/>
  <c r="GF593" i="23916"/>
  <c r="GG593" i="23916" s="1"/>
  <c r="GD593" i="23916"/>
  <c r="GE593" i="23916" s="1"/>
  <c r="GB593" i="23916"/>
  <c r="FZ594" i="23916"/>
  <c r="GA594" i="23916" s="1"/>
  <c r="FZ593" i="23916"/>
  <c r="GA593" i="23916" s="1"/>
  <c r="FX594" i="23916"/>
  <c r="FY594" i="23916" s="1"/>
  <c r="FX593" i="23916"/>
  <c r="FV594" i="23916"/>
  <c r="FW594" i="23916" s="1"/>
  <c r="FT594" i="23916"/>
  <c r="FU594" i="23916" s="1"/>
  <c r="FT593" i="23916"/>
  <c r="FR594" i="23916"/>
  <c r="FS594" i="23916" s="1"/>
  <c r="FR593" i="23916"/>
  <c r="FS593" i="23916" s="1"/>
  <c r="EQ594" i="23916"/>
  <c r="EQ596" i="23916" s="1"/>
  <c r="EO594" i="23916"/>
  <c r="EO596" i="23916" s="1"/>
  <c r="EM594" i="23916"/>
  <c r="EM596" i="23916" s="1"/>
  <c r="EK594" i="23916"/>
  <c r="EI594" i="23916"/>
  <c r="EI596" i="23916" s="1"/>
  <c r="EG594" i="23916"/>
  <c r="EG596" i="23916" s="1"/>
  <c r="EE594" i="23916"/>
  <c r="EE596" i="23916" s="1"/>
  <c r="EC594" i="23916"/>
  <c r="GL594" i="23916" s="1"/>
  <c r="EA594" i="23916"/>
  <c r="EA596" i="23916" s="1"/>
  <c r="DY594" i="23916"/>
  <c r="DY596" i="23916" s="1"/>
  <c r="DX594" i="23916"/>
  <c r="DX596" i="23916" s="1"/>
  <c r="DW594" i="23916"/>
  <c r="DW596" i="23916" s="1"/>
  <c r="DU594" i="23916"/>
  <c r="DV594" i="23916" s="1"/>
  <c r="DS594" i="23916"/>
  <c r="DS596" i="23916" s="1"/>
  <c r="DQ594" i="23916"/>
  <c r="DQ596" i="23916" s="1"/>
  <c r="DO594" i="23916"/>
  <c r="DM594" i="23916"/>
  <c r="DN594" i="23916" s="1"/>
  <c r="DK594" i="23916"/>
  <c r="DK596" i="23916" s="1"/>
  <c r="DI594" i="23916"/>
  <c r="DI596" i="23916" s="1"/>
  <c r="DG594" i="23916"/>
  <c r="DE594" i="23916"/>
  <c r="DF594" i="23916" s="1"/>
  <c r="DC594" i="23916"/>
  <c r="DC596" i="23916" s="1"/>
  <c r="DA594" i="23916"/>
  <c r="DA596" i="23916" s="1"/>
  <c r="CY594" i="23916"/>
  <c r="CW594" i="23916"/>
  <c r="CX594" i="23916" s="1"/>
  <c r="CU594" i="23916"/>
  <c r="CU596" i="23916" s="1"/>
  <c r="CS594" i="23916"/>
  <c r="CS596" i="23916" s="1"/>
  <c r="CT596" i="23916" s="1"/>
  <c r="CQ594" i="23916"/>
  <c r="CO594" i="23916"/>
  <c r="CP594" i="23916" s="1"/>
  <c r="CM594" i="23916"/>
  <c r="CM596" i="23916" s="1"/>
  <c r="GZ595" i="23916"/>
  <c r="GY595" i="23916"/>
  <c r="BU593" i="23916"/>
  <c r="CD593" i="23916" s="1"/>
  <c r="BS593" i="23916"/>
  <c r="CB593" i="23916" s="1"/>
  <c r="BQ593" i="23916"/>
  <c r="FV593" i="23916" s="1"/>
  <c r="FW593" i="23916" s="1"/>
  <c r="GZ592" i="23916"/>
  <c r="GZ591" i="23916"/>
  <c r="GZ587" i="23916"/>
  <c r="GZ586" i="23916"/>
  <c r="FB590" i="23916"/>
  <c r="I590" i="23916"/>
  <c r="G590" i="23916"/>
  <c r="E590" i="23916"/>
  <c r="C590" i="23916"/>
  <c r="GJ590" i="23916"/>
  <c r="FT590" i="23916"/>
  <c r="FD590" i="23916"/>
  <c r="FE590" i="23916" s="1"/>
  <c r="EO590" i="23916"/>
  <c r="EM590" i="23916"/>
  <c r="EK590" i="23916"/>
  <c r="EI590" i="23916"/>
  <c r="EG590" i="23916"/>
  <c r="EE590" i="23916"/>
  <c r="EC590" i="23916"/>
  <c r="EA590" i="23916"/>
  <c r="DY590" i="23916"/>
  <c r="DX590" i="23916"/>
  <c r="DW590" i="23916"/>
  <c r="DU590" i="23916"/>
  <c r="DS590" i="23916"/>
  <c r="DQ590" i="23916"/>
  <c r="DO590" i="23916"/>
  <c r="DM590" i="23916"/>
  <c r="DK590" i="23916"/>
  <c r="DI590" i="23916"/>
  <c r="DG590" i="23916"/>
  <c r="DE590" i="23916"/>
  <c r="DC590" i="23916"/>
  <c r="DA590" i="23916"/>
  <c r="CY590" i="23916"/>
  <c r="CW590" i="23916"/>
  <c r="CU590" i="23916"/>
  <c r="CS590" i="23916"/>
  <c r="CQ590" i="23916"/>
  <c r="CO590" i="23916"/>
  <c r="CM590" i="23916"/>
  <c r="CK590" i="23916"/>
  <c r="CL590" i="23916" s="1"/>
  <c r="CI590" i="23916"/>
  <c r="CG590" i="23916"/>
  <c r="CE590" i="23916"/>
  <c r="CC590" i="23916"/>
  <c r="CA590" i="23916"/>
  <c r="BY590" i="23916"/>
  <c r="BW590" i="23916"/>
  <c r="BU590" i="23916"/>
  <c r="BS590" i="23916"/>
  <c r="BQ590" i="23916"/>
  <c r="BO590" i="23916"/>
  <c r="BM590" i="23916"/>
  <c r="BK590" i="23916"/>
  <c r="BI590" i="23916"/>
  <c r="BG590" i="23916"/>
  <c r="BE590" i="23916"/>
  <c r="BC590" i="23916"/>
  <c r="BA590" i="23916"/>
  <c r="AY590" i="23916"/>
  <c r="AW590" i="23916"/>
  <c r="AU590" i="23916"/>
  <c r="AS590" i="23916"/>
  <c r="AQ590" i="23916"/>
  <c r="AO590" i="23916"/>
  <c r="AM590" i="23916"/>
  <c r="AK590" i="23916"/>
  <c r="AI590" i="23916"/>
  <c r="AG590" i="23916"/>
  <c r="AE590" i="23916"/>
  <c r="AC590" i="23916"/>
  <c r="AA590" i="23916"/>
  <c r="Y590" i="23916"/>
  <c r="W590" i="23916"/>
  <c r="S590" i="23916"/>
  <c r="Q590" i="23916"/>
  <c r="R590" i="23916" s="1"/>
  <c r="O590" i="23916"/>
  <c r="P590" i="23916" s="1"/>
  <c r="M590" i="23916"/>
  <c r="N590" i="23916" s="1"/>
  <c r="K590" i="23916"/>
  <c r="L590" i="23916" s="1"/>
  <c r="GN588" i="23916"/>
  <c r="GO588" i="23916" s="1"/>
  <c r="GL588" i="23916"/>
  <c r="GJ588" i="23916"/>
  <c r="GK588" i="23916" s="1"/>
  <c r="GH588" i="23916"/>
  <c r="GI588" i="23916" s="1"/>
  <c r="GF588" i="23916"/>
  <c r="GG588" i="23916" s="1"/>
  <c r="GD588" i="23916"/>
  <c r="GB588" i="23916"/>
  <c r="GC588" i="23916" s="1"/>
  <c r="FZ588" i="23916"/>
  <c r="GA588" i="23916" s="1"/>
  <c r="FX588" i="23916"/>
  <c r="FY588" i="23916" s="1"/>
  <c r="FV588" i="23916"/>
  <c r="FT588" i="23916"/>
  <c r="FU588" i="23916" s="1"/>
  <c r="FR588" i="23916"/>
  <c r="FS588" i="23916" s="1"/>
  <c r="FP588" i="23916"/>
  <c r="FN588" i="23916"/>
  <c r="FL588" i="23916"/>
  <c r="FH588" i="23916"/>
  <c r="FF588" i="23916"/>
  <c r="FG588" i="23916" s="1"/>
  <c r="FE588" i="23916"/>
  <c r="ET588" i="23916"/>
  <c r="ES588" i="23916"/>
  <c r="ES599" i="23916" s="1"/>
  <c r="ER588" i="23916"/>
  <c r="EP588" i="23916"/>
  <c r="EN588" i="23916"/>
  <c r="EL588" i="23916"/>
  <c r="EJ588" i="23916"/>
  <c r="EH588" i="23916"/>
  <c r="EF588" i="23916"/>
  <c r="ED588" i="23916"/>
  <c r="EB588" i="23916"/>
  <c r="DZ588" i="23916"/>
  <c r="DV588" i="23916"/>
  <c r="DT588" i="23916"/>
  <c r="DR588" i="23916"/>
  <c r="DP588" i="23916"/>
  <c r="DN588" i="23916"/>
  <c r="DL588" i="23916"/>
  <c r="DJ588" i="23916"/>
  <c r="DH588" i="23916"/>
  <c r="DF588" i="23916"/>
  <c r="DD588" i="23916"/>
  <c r="DB588" i="23916"/>
  <c r="CZ588" i="23916"/>
  <c r="CX588" i="23916"/>
  <c r="CV588" i="23916"/>
  <c r="CT588" i="23916"/>
  <c r="CR588" i="23916"/>
  <c r="CP588" i="23916"/>
  <c r="CN588" i="23916"/>
  <c r="CL588" i="23916"/>
  <c r="CJ588" i="23916"/>
  <c r="CH588" i="23916"/>
  <c r="CF588" i="23916"/>
  <c r="CD588" i="23916"/>
  <c r="CB588" i="23916"/>
  <c r="BZ588" i="23916"/>
  <c r="BX588" i="23916"/>
  <c r="BV588" i="23916"/>
  <c r="BT588" i="23916"/>
  <c r="BR588" i="23916"/>
  <c r="BP588" i="23916"/>
  <c r="BN588" i="23916"/>
  <c r="BL588" i="23916"/>
  <c r="BJ588" i="23916"/>
  <c r="BH588" i="23916"/>
  <c r="BF588" i="23916"/>
  <c r="BD588" i="23916"/>
  <c r="BB588" i="23916"/>
  <c r="AZ588" i="23916"/>
  <c r="AX588" i="23916"/>
  <c r="AV588" i="23916"/>
  <c r="AT588" i="23916"/>
  <c r="AR588" i="23916"/>
  <c r="AP588" i="23916"/>
  <c r="AN588" i="23916"/>
  <c r="AL588" i="23916"/>
  <c r="AJ588" i="23916"/>
  <c r="AH588" i="23916"/>
  <c r="AF588" i="23916"/>
  <c r="AD588" i="23916"/>
  <c r="AB588" i="23916"/>
  <c r="Z588" i="23916"/>
  <c r="X588" i="23916"/>
  <c r="V588" i="23916"/>
  <c r="U588" i="23916"/>
  <c r="U590" i="23916" s="1"/>
  <c r="T588" i="23916"/>
  <c r="R588" i="23916"/>
  <c r="P588" i="23916"/>
  <c r="N588" i="23916"/>
  <c r="L588" i="23916"/>
  <c r="GZ584" i="23916"/>
  <c r="GZ570" i="23916"/>
  <c r="B582" i="23916"/>
  <c r="FQ575" i="23916"/>
  <c r="AV575" i="23916"/>
  <c r="AT575" i="23916"/>
  <c r="AR575" i="23916"/>
  <c r="AX575" i="23916"/>
  <c r="GZ567" i="23916"/>
  <c r="FF566" i="23916"/>
  <c r="FX565" i="23916"/>
  <c r="FY565" i="23916" s="1"/>
  <c r="FV565" i="23916"/>
  <c r="FT565" i="23916"/>
  <c r="FR565" i="23916"/>
  <c r="FP565" i="23916"/>
  <c r="FO565" i="23916"/>
  <c r="FM565" i="23916"/>
  <c r="FK565" i="23916"/>
  <c r="FI565" i="23916"/>
  <c r="FG565" i="23916"/>
  <c r="FE565" i="23916"/>
  <c r="BY565" i="23916"/>
  <c r="BX565" i="23916"/>
  <c r="BV565" i="23916"/>
  <c r="BT565" i="23916"/>
  <c r="BR565" i="23916"/>
  <c r="BP565" i="23916"/>
  <c r="BN565" i="23916"/>
  <c r="BL565" i="23916"/>
  <c r="BJ565" i="23916"/>
  <c r="BH565" i="23916"/>
  <c r="BF565" i="23916"/>
  <c r="BD565" i="23916"/>
  <c r="BB565" i="23916"/>
  <c r="AZ565" i="23916"/>
  <c r="AX565" i="23916"/>
  <c r="AV565" i="23916"/>
  <c r="AT565" i="23916"/>
  <c r="AR565" i="23916"/>
  <c r="AP565" i="23916"/>
  <c r="AN565" i="23916"/>
  <c r="AL565" i="23916"/>
  <c r="AJ565" i="23916"/>
  <c r="AH565" i="23916"/>
  <c r="AF565" i="23916"/>
  <c r="AD565" i="23916"/>
  <c r="AB565" i="23916"/>
  <c r="Z565" i="23916"/>
  <c r="X565" i="23916"/>
  <c r="V565" i="23916"/>
  <c r="T565" i="23916"/>
  <c r="R565" i="23916"/>
  <c r="P565" i="23916"/>
  <c r="N565" i="23916"/>
  <c r="L565" i="23916"/>
  <c r="GZ564" i="23916"/>
  <c r="GZ563" i="23916"/>
  <c r="GZ562" i="23916"/>
  <c r="GZ561" i="23916"/>
  <c r="GZ560" i="23916"/>
  <c r="GZ559" i="23916"/>
  <c r="GZ558" i="23916"/>
  <c r="GZ557" i="23916"/>
  <c r="GZ556" i="23916"/>
  <c r="FO564" i="23916"/>
  <c r="FN564" i="23916"/>
  <c r="FL564" i="23916"/>
  <c r="FJ564" i="23916"/>
  <c r="FK564" i="23916" s="1"/>
  <c r="FH564" i="23916"/>
  <c r="FI564" i="23916" s="1"/>
  <c r="FF564" i="23916"/>
  <c r="FG564" i="23916" s="1"/>
  <c r="FD564" i="23916"/>
  <c r="FD615" i="23916" s="1"/>
  <c r="FB564" i="23916"/>
  <c r="FB615" i="23916" s="1"/>
  <c r="AO564" i="23916"/>
  <c r="AO615" i="23916" s="1"/>
  <c r="AM564" i="23916"/>
  <c r="AM615" i="23916" s="1"/>
  <c r="AK564" i="23916"/>
  <c r="AK615" i="23916" s="1"/>
  <c r="AI564" i="23916"/>
  <c r="AG564" i="23916"/>
  <c r="AG615" i="23916" s="1"/>
  <c r="AE564" i="23916"/>
  <c r="AE615" i="23916" s="1"/>
  <c r="AC564" i="23916"/>
  <c r="AC615" i="23916" s="1"/>
  <c r="AA564" i="23916"/>
  <c r="Y564" i="23916"/>
  <c r="Y615" i="23916" s="1"/>
  <c r="W564" i="23916"/>
  <c r="W615" i="23916" s="1"/>
  <c r="U564" i="23916"/>
  <c r="U615" i="23916" s="1"/>
  <c r="S564" i="23916"/>
  <c r="Q564" i="23916"/>
  <c r="Q615" i="23916" s="1"/>
  <c r="O564" i="23916"/>
  <c r="O615" i="23916" s="1"/>
  <c r="M564" i="23916"/>
  <c r="M615" i="23916" s="1"/>
  <c r="K564" i="23916"/>
  <c r="I564" i="23916"/>
  <c r="I615" i="23916" s="1"/>
  <c r="G564" i="23916"/>
  <c r="G615" i="23916" s="1"/>
  <c r="E564" i="23916"/>
  <c r="E615" i="23916" s="1"/>
  <c r="C564" i="23916"/>
  <c r="C615" i="23916" s="1"/>
  <c r="FF615" i="23916" s="1"/>
  <c r="FG615" i="23916" s="1"/>
  <c r="FO563" i="23916"/>
  <c r="FO562" i="23916"/>
  <c r="FO561" i="23916"/>
  <c r="FO560" i="23916"/>
  <c r="FO559" i="23916"/>
  <c r="FO558" i="23916"/>
  <c r="FL555" i="23916"/>
  <c r="FJ555" i="23916"/>
  <c r="FH555" i="23916"/>
  <c r="FF555" i="23916"/>
  <c r="FE555" i="23916"/>
  <c r="FD555" i="23916"/>
  <c r="FB555" i="23916"/>
  <c r="FB554" i="23916"/>
  <c r="FB552" i="23916"/>
  <c r="AO555" i="23916"/>
  <c r="AP555" i="23916" s="1"/>
  <c r="AN555" i="23916"/>
  <c r="AM555" i="23916"/>
  <c r="AK555" i="23916"/>
  <c r="AL555" i="23916" s="1"/>
  <c r="AJ555" i="23916"/>
  <c r="AI555" i="23916"/>
  <c r="AG555" i="23916"/>
  <c r="AF555" i="23916"/>
  <c r="AE555" i="23916"/>
  <c r="AC555" i="23916"/>
  <c r="AB555" i="23916"/>
  <c r="AA555" i="23916"/>
  <c r="Y555" i="23916"/>
  <c r="Z555" i="23916" s="1"/>
  <c r="X555" i="23916"/>
  <c r="W555" i="23916"/>
  <c r="U555" i="23916"/>
  <c r="V555" i="23916" s="1"/>
  <c r="T555" i="23916"/>
  <c r="S555" i="23916"/>
  <c r="Q555" i="23916"/>
  <c r="R555" i="23916" s="1"/>
  <c r="P555" i="23916"/>
  <c r="O555" i="23916"/>
  <c r="M555" i="23916"/>
  <c r="N555" i="23916" s="1"/>
  <c r="L555" i="23916"/>
  <c r="K555" i="23916"/>
  <c r="I555" i="23916"/>
  <c r="I554" i="23916"/>
  <c r="I552" i="23916"/>
  <c r="G555" i="23916"/>
  <c r="G554" i="23916"/>
  <c r="G552" i="23916"/>
  <c r="E555" i="23916"/>
  <c r="E554" i="23916"/>
  <c r="E552" i="23916"/>
  <c r="C555" i="23916"/>
  <c r="C554" i="23916"/>
  <c r="C552" i="23916"/>
  <c r="FL554" i="23916"/>
  <c r="FL552" i="23916"/>
  <c r="FJ554" i="23916"/>
  <c r="FJ552" i="23916"/>
  <c r="FH554" i="23916"/>
  <c r="FH552" i="23916"/>
  <c r="FF554" i="23916"/>
  <c r="FF552" i="23916"/>
  <c r="FG552" i="23916" s="1"/>
  <c r="FD554" i="23916"/>
  <c r="FD552" i="23916"/>
  <c r="AO554" i="23916"/>
  <c r="AO552" i="23916"/>
  <c r="AM554" i="23916"/>
  <c r="AM552" i="23916"/>
  <c r="AK554" i="23916"/>
  <c r="AK552" i="23916"/>
  <c r="AI554" i="23916"/>
  <c r="AI552" i="23916"/>
  <c r="AG554" i="23916"/>
  <c r="AG552" i="23916"/>
  <c r="AE554" i="23916"/>
  <c r="AE552" i="23916"/>
  <c r="AC554" i="23916"/>
  <c r="AC552" i="23916"/>
  <c r="AD552" i="23916" s="1"/>
  <c r="AA554" i="23916"/>
  <c r="AA552" i="23916"/>
  <c r="Y554" i="23916"/>
  <c r="Y552" i="23916"/>
  <c r="W554" i="23916"/>
  <c r="W552" i="23916"/>
  <c r="U554" i="23916"/>
  <c r="U552" i="23916"/>
  <c r="S554" i="23916"/>
  <c r="S552" i="23916"/>
  <c r="AB552" i="23916" s="1"/>
  <c r="Q554" i="23916"/>
  <c r="Q552" i="23916"/>
  <c r="O554" i="23916"/>
  <c r="O552" i="23916"/>
  <c r="M554" i="23916"/>
  <c r="M552" i="23916"/>
  <c r="N552" i="23916" s="1"/>
  <c r="K554" i="23916"/>
  <c r="K552" i="23916"/>
  <c r="FM552" i="23916"/>
  <c r="FK552" i="23916"/>
  <c r="FI552" i="23916"/>
  <c r="FE552" i="23916"/>
  <c r="AP552" i="23916"/>
  <c r="AN552" i="23916"/>
  <c r="AL552" i="23916"/>
  <c r="AJ552" i="23916"/>
  <c r="AH552" i="23916"/>
  <c r="AF552" i="23916"/>
  <c r="Z552" i="23916"/>
  <c r="X552" i="23916"/>
  <c r="V552" i="23916"/>
  <c r="T552" i="23916"/>
  <c r="R552" i="23916"/>
  <c r="P552" i="23916"/>
  <c r="L552" i="23916"/>
  <c r="EK554" i="23916"/>
  <c r="EL554" i="23916" s="1"/>
  <c r="EI554" i="23916"/>
  <c r="EJ554" i="23916" s="1"/>
  <c r="EG554" i="23916"/>
  <c r="EH554" i="23916" s="1"/>
  <c r="EE554" i="23916"/>
  <c r="EF554" i="23916" s="1"/>
  <c r="EC554" i="23916"/>
  <c r="ED554" i="23916" s="1"/>
  <c r="EA554" i="23916"/>
  <c r="EB554" i="23916" s="1"/>
  <c r="DY554" i="23916"/>
  <c r="DZ554" i="23916" s="1"/>
  <c r="DX554" i="23916"/>
  <c r="DW554" i="23916"/>
  <c r="DU554" i="23916"/>
  <c r="DV554" i="23916" s="1"/>
  <c r="DS554" i="23916"/>
  <c r="DT554" i="23916" s="1"/>
  <c r="DQ554" i="23916"/>
  <c r="DR554" i="23916" s="1"/>
  <c r="DO554" i="23916"/>
  <c r="DP554" i="23916" s="1"/>
  <c r="DM554" i="23916"/>
  <c r="DN554" i="23916" s="1"/>
  <c r="DK554" i="23916"/>
  <c r="DL554" i="23916" s="1"/>
  <c r="DI554" i="23916"/>
  <c r="DJ554" i="23916" s="1"/>
  <c r="DG554" i="23916"/>
  <c r="DH554" i="23916" s="1"/>
  <c r="DE554" i="23916"/>
  <c r="DF554" i="23916" s="1"/>
  <c r="DC554" i="23916"/>
  <c r="DD554" i="23916" s="1"/>
  <c r="DA554" i="23916"/>
  <c r="DB554" i="23916" s="1"/>
  <c r="CY554" i="23916"/>
  <c r="CZ554" i="23916" s="1"/>
  <c r="CW554" i="23916"/>
  <c r="CX554" i="23916" s="1"/>
  <c r="CU554" i="23916"/>
  <c r="CV554" i="23916" s="1"/>
  <c r="CS554" i="23916"/>
  <c r="CT554" i="23916" s="1"/>
  <c r="CQ554" i="23916"/>
  <c r="CR554" i="23916" s="1"/>
  <c r="CO554" i="23916"/>
  <c r="CP554" i="23916" s="1"/>
  <c r="CM554" i="23916"/>
  <c r="CN554" i="23916" s="1"/>
  <c r="CK554" i="23916"/>
  <c r="CI554" i="23916"/>
  <c r="CJ554" i="23916" s="1"/>
  <c r="CG554" i="23916"/>
  <c r="CH554" i="23916" s="1"/>
  <c r="CE554" i="23916"/>
  <c r="CF554" i="23916" s="1"/>
  <c r="CA554" i="23916"/>
  <c r="CB554" i="23916" s="1"/>
  <c r="BY554" i="23916"/>
  <c r="BZ554" i="23916" s="1"/>
  <c r="BW554" i="23916"/>
  <c r="BX554" i="23916" s="1"/>
  <c r="BU554" i="23916"/>
  <c r="BV554" i="23916" s="1"/>
  <c r="BS554" i="23916"/>
  <c r="BT554" i="23916" s="1"/>
  <c r="BQ554" i="23916"/>
  <c r="BR554" i="23916" s="1"/>
  <c r="BO554" i="23916"/>
  <c r="BP554" i="23916" s="1"/>
  <c r="BM554" i="23916"/>
  <c r="BN554" i="23916" s="1"/>
  <c r="BK554" i="23916"/>
  <c r="BL554" i="23916" s="1"/>
  <c r="BI554" i="23916"/>
  <c r="BJ554" i="23916" s="1"/>
  <c r="BG554" i="23916"/>
  <c r="BH554" i="23916" s="1"/>
  <c r="BE554" i="23916"/>
  <c r="BF554" i="23916" s="1"/>
  <c r="BC554" i="23916"/>
  <c r="BD554" i="23916" s="1"/>
  <c r="BA554" i="23916"/>
  <c r="BB554" i="23916" s="1"/>
  <c r="AY554" i="23916"/>
  <c r="AZ554" i="23916" s="1"/>
  <c r="AW554" i="23916"/>
  <c r="AX554" i="23916" s="1"/>
  <c r="AU554" i="23916"/>
  <c r="AV554" i="23916" s="1"/>
  <c r="AS554" i="23916"/>
  <c r="AT554" i="23916" s="1"/>
  <c r="AQ554" i="23916"/>
  <c r="AR554" i="23916" s="1"/>
  <c r="EI552" i="23916"/>
  <c r="EJ552" i="23916" s="1"/>
  <c r="EE552" i="23916"/>
  <c r="EF552" i="23916" s="1"/>
  <c r="EC552" i="23916"/>
  <c r="ED552" i="23916" s="1"/>
  <c r="EA552" i="23916"/>
  <c r="EB552" i="23916" s="1"/>
  <c r="DY552" i="23916"/>
  <c r="DZ552" i="23916" s="1"/>
  <c r="DX552" i="23916"/>
  <c r="DW552" i="23916"/>
  <c r="DU552" i="23916"/>
  <c r="DV552" i="23916" s="1"/>
  <c r="DS552" i="23916"/>
  <c r="DT552" i="23916" s="1"/>
  <c r="DQ552" i="23916"/>
  <c r="DR552" i="23916" s="1"/>
  <c r="DO552" i="23916"/>
  <c r="DP552" i="23916" s="1"/>
  <c r="DM552" i="23916"/>
  <c r="DK552" i="23916"/>
  <c r="DL552" i="23916" s="1"/>
  <c r="DI552" i="23916"/>
  <c r="DG552" i="23916"/>
  <c r="DC552" i="23916"/>
  <c r="BY552" i="23916"/>
  <c r="BU552" i="23916"/>
  <c r="BV552" i="23916" s="1"/>
  <c r="BS552" i="23916"/>
  <c r="BT552" i="23916" s="1"/>
  <c r="BO552" i="23916"/>
  <c r="BM552" i="23916"/>
  <c r="BK552" i="23916"/>
  <c r="BL552" i="23916" s="1"/>
  <c r="BI552" i="23916"/>
  <c r="BJ552" i="23916" s="1"/>
  <c r="BC552" i="23916"/>
  <c r="BA552" i="23916"/>
  <c r="AY552" i="23916"/>
  <c r="AW552" i="23916"/>
  <c r="AX552" i="23916" s="1"/>
  <c r="GY551" i="23916"/>
  <c r="GY550" i="23916"/>
  <c r="GY549" i="23916"/>
  <c r="GY548" i="23916"/>
  <c r="GY547" i="23916"/>
  <c r="GW551" i="23916"/>
  <c r="GW550" i="23916"/>
  <c r="GW549" i="23916"/>
  <c r="GW547" i="23916"/>
  <c r="GU551" i="23916"/>
  <c r="GU550" i="23916"/>
  <c r="GU549" i="23916"/>
  <c r="GU547" i="23916"/>
  <c r="EX551" i="23916"/>
  <c r="EX550" i="23916"/>
  <c r="EV551" i="23916"/>
  <c r="EV550" i="23916"/>
  <c r="EV549" i="23916"/>
  <c r="ET551" i="23916"/>
  <c r="ET550" i="23916"/>
  <c r="ET549" i="23916"/>
  <c r="ET548" i="23916"/>
  <c r="ER551" i="23916"/>
  <c r="ER550" i="23916"/>
  <c r="ER549" i="23916"/>
  <c r="ER548" i="23916"/>
  <c r="EP551" i="23916"/>
  <c r="EP550" i="23916"/>
  <c r="EP548" i="23916"/>
  <c r="EP547" i="23916"/>
  <c r="EN551" i="23916"/>
  <c r="EN550" i="23916"/>
  <c r="EN549" i="23916"/>
  <c r="EN548" i="23916"/>
  <c r="EL551" i="23916"/>
  <c r="EL550" i="23916"/>
  <c r="EL549" i="23916"/>
  <c r="EL548" i="23916"/>
  <c r="EL546" i="23916"/>
  <c r="EJ551" i="23916"/>
  <c r="EJ550" i="23916"/>
  <c r="EJ549" i="23916"/>
  <c r="EJ548" i="23916"/>
  <c r="EJ547" i="23916"/>
  <c r="EJ546" i="23916"/>
  <c r="EH551" i="23916"/>
  <c r="EH550" i="23916"/>
  <c r="EH548" i="23916"/>
  <c r="EH547" i="23916"/>
  <c r="EH546" i="23916"/>
  <c r="EF551" i="23916"/>
  <c r="EF550" i="23916"/>
  <c r="EF549" i="23916"/>
  <c r="EF548" i="23916"/>
  <c r="EF547" i="23916"/>
  <c r="EF546" i="23916"/>
  <c r="ED551" i="23916"/>
  <c r="ED550" i="23916"/>
  <c r="ED549" i="23916"/>
  <c r="ED548" i="23916"/>
  <c r="ED547" i="23916"/>
  <c r="ED546" i="23916"/>
  <c r="EB551" i="23916"/>
  <c r="EB550" i="23916"/>
  <c r="EB549" i="23916"/>
  <c r="EB548" i="23916"/>
  <c r="EB547" i="23916"/>
  <c r="EB546" i="23916"/>
  <c r="DZ551" i="23916"/>
  <c r="DZ550" i="23916"/>
  <c r="DZ549" i="23916"/>
  <c r="DZ548" i="23916"/>
  <c r="DZ547" i="23916"/>
  <c r="DZ546" i="23916"/>
  <c r="DV551" i="23916"/>
  <c r="DV550" i="23916"/>
  <c r="DV549" i="23916"/>
  <c r="DV548" i="23916"/>
  <c r="DV547" i="23916"/>
  <c r="DV546" i="23916"/>
  <c r="DT551" i="23916"/>
  <c r="DT550" i="23916"/>
  <c r="DT549" i="23916"/>
  <c r="DT548" i="23916"/>
  <c r="DT547" i="23916"/>
  <c r="DT546" i="23916"/>
  <c r="DR551" i="23916"/>
  <c r="DR550" i="23916"/>
  <c r="DR549" i="23916"/>
  <c r="DR548" i="23916"/>
  <c r="DR547" i="23916"/>
  <c r="DR546" i="23916"/>
  <c r="DP551" i="23916"/>
  <c r="DP550" i="23916"/>
  <c r="DP549" i="23916"/>
  <c r="DP548" i="23916"/>
  <c r="DP547" i="23916"/>
  <c r="DP546" i="23916"/>
  <c r="DN551" i="23916"/>
  <c r="DN550" i="23916"/>
  <c r="DN548" i="23916"/>
  <c r="DN547" i="23916"/>
  <c r="DN546" i="23916"/>
  <c r="DL551" i="23916"/>
  <c r="DL550" i="23916"/>
  <c r="DL549" i="23916"/>
  <c r="DL548" i="23916"/>
  <c r="DL547" i="23916"/>
  <c r="DL546" i="23916"/>
  <c r="DJ551" i="23916"/>
  <c r="DJ550" i="23916"/>
  <c r="DJ548" i="23916"/>
  <c r="DJ547" i="23916"/>
  <c r="DJ546" i="23916"/>
  <c r="DH551" i="23916"/>
  <c r="DH550" i="23916"/>
  <c r="DH548" i="23916"/>
  <c r="DH547" i="23916"/>
  <c r="DH546" i="23916"/>
  <c r="DF551" i="23916"/>
  <c r="DF550" i="23916"/>
  <c r="DF548" i="23916"/>
  <c r="DF547" i="23916"/>
  <c r="DF546" i="23916"/>
  <c r="DD551" i="23916"/>
  <c r="DD550" i="23916"/>
  <c r="DD548" i="23916"/>
  <c r="DD547" i="23916"/>
  <c r="DD546" i="23916"/>
  <c r="DB551" i="23916"/>
  <c r="DB550" i="23916"/>
  <c r="DB548" i="23916"/>
  <c r="DB547" i="23916"/>
  <c r="DB546" i="23916"/>
  <c r="CZ551" i="23916"/>
  <c r="CZ550" i="23916"/>
  <c r="CZ548" i="23916"/>
  <c r="CZ547" i="23916"/>
  <c r="CZ546" i="23916"/>
  <c r="CX551" i="23916"/>
  <c r="CX550" i="23916"/>
  <c r="CX548" i="23916"/>
  <c r="CX547" i="23916"/>
  <c r="CX546" i="23916"/>
  <c r="CV551" i="23916"/>
  <c r="CV550" i="23916"/>
  <c r="CV548" i="23916"/>
  <c r="CV547" i="23916"/>
  <c r="CV546" i="23916"/>
  <c r="CT551" i="23916"/>
  <c r="CT550" i="23916"/>
  <c r="CT548" i="23916"/>
  <c r="CT547" i="23916"/>
  <c r="CT546" i="23916"/>
  <c r="CR551" i="23916"/>
  <c r="CR550" i="23916"/>
  <c r="CR548" i="23916"/>
  <c r="CR547" i="23916"/>
  <c r="CR546" i="23916"/>
  <c r="CP551" i="23916"/>
  <c r="CP550" i="23916"/>
  <c r="CP549" i="23916"/>
  <c r="CP548" i="23916"/>
  <c r="CP547" i="23916"/>
  <c r="CP546" i="23916"/>
  <c r="CN551" i="23916"/>
  <c r="CN550" i="23916"/>
  <c r="CN548" i="23916"/>
  <c r="CN547" i="23916"/>
  <c r="CN546" i="23916"/>
  <c r="CL551" i="23916"/>
  <c r="CL550" i="23916"/>
  <c r="CL548" i="23916"/>
  <c r="CL547" i="23916"/>
  <c r="CJ551" i="23916"/>
  <c r="CJ550" i="23916"/>
  <c r="CJ548" i="23916"/>
  <c r="CJ547" i="23916"/>
  <c r="CJ546" i="23916"/>
  <c r="CH551" i="23916"/>
  <c r="CH550" i="23916"/>
  <c r="CH549" i="23916"/>
  <c r="CH548" i="23916"/>
  <c r="CH547" i="23916"/>
  <c r="CH546" i="23916"/>
  <c r="CF551" i="23916"/>
  <c r="CF550" i="23916"/>
  <c r="CF548" i="23916"/>
  <c r="CF547" i="23916"/>
  <c r="CF546" i="23916"/>
  <c r="CD551" i="23916"/>
  <c r="CD550" i="23916"/>
  <c r="CD548" i="23916"/>
  <c r="CD547" i="23916"/>
  <c r="CB551" i="23916"/>
  <c r="CB550" i="23916"/>
  <c r="CB548" i="23916"/>
  <c r="CB547" i="23916"/>
  <c r="CB546" i="23916"/>
  <c r="BZ551" i="23916"/>
  <c r="BZ550" i="23916"/>
  <c r="BZ548" i="23916"/>
  <c r="BZ547" i="23916"/>
  <c r="BZ546" i="23916"/>
  <c r="BX551" i="23916"/>
  <c r="BX550" i="23916"/>
  <c r="BX548" i="23916"/>
  <c r="BX547" i="23916"/>
  <c r="BX546" i="23916"/>
  <c r="BV551" i="23916"/>
  <c r="BV550" i="23916"/>
  <c r="BV549" i="23916"/>
  <c r="BV548" i="23916"/>
  <c r="BV547" i="23916"/>
  <c r="BV546" i="23916"/>
  <c r="BT551" i="23916"/>
  <c r="BT550" i="23916"/>
  <c r="BT549" i="23916"/>
  <c r="BT548" i="23916"/>
  <c r="BT547" i="23916"/>
  <c r="BT546" i="23916"/>
  <c r="BR551" i="23916"/>
  <c r="BR550" i="23916"/>
  <c r="BR548" i="23916"/>
  <c r="BR547" i="23916"/>
  <c r="BR546" i="23916"/>
  <c r="BP551" i="23916"/>
  <c r="BP550" i="23916"/>
  <c r="BP548" i="23916"/>
  <c r="BP547" i="23916"/>
  <c r="BP546" i="23916"/>
  <c r="FP550" i="23916"/>
  <c r="FN550" i="23916"/>
  <c r="FO550" i="23916" s="1"/>
  <c r="FM550" i="23916"/>
  <c r="BN550" i="23916"/>
  <c r="BN548" i="23916"/>
  <c r="BN547" i="23916"/>
  <c r="BN546" i="23916"/>
  <c r="BL550" i="23916"/>
  <c r="BL549" i="23916"/>
  <c r="BL548" i="23916"/>
  <c r="BL547" i="23916"/>
  <c r="BL546" i="23916"/>
  <c r="BJ550" i="23916"/>
  <c r="BJ549" i="23916"/>
  <c r="BJ548" i="23916"/>
  <c r="BJ547" i="23916"/>
  <c r="BJ546" i="23916"/>
  <c r="BH550" i="23916"/>
  <c r="BH548" i="23916"/>
  <c r="BH547" i="23916"/>
  <c r="BH546" i="23916"/>
  <c r="BF550" i="23916"/>
  <c r="BF548" i="23916"/>
  <c r="BF547" i="23916"/>
  <c r="BF546" i="23916"/>
  <c r="BD550" i="23916"/>
  <c r="BD549" i="23916"/>
  <c r="BD548" i="23916"/>
  <c r="BD547" i="23916"/>
  <c r="BD546" i="23916"/>
  <c r="BB550" i="23916"/>
  <c r="BB548" i="23916"/>
  <c r="BB547" i="23916"/>
  <c r="BB546" i="23916"/>
  <c r="AZ550" i="23916"/>
  <c r="AZ548" i="23916"/>
  <c r="AZ547" i="23916"/>
  <c r="AZ546" i="23916"/>
  <c r="AX550" i="23916"/>
  <c r="AX549" i="23916"/>
  <c r="AX548" i="23916"/>
  <c r="AX547" i="23916"/>
  <c r="AX546" i="23916"/>
  <c r="AV550" i="23916"/>
  <c r="AV549" i="23916"/>
  <c r="AV548" i="23916"/>
  <c r="AV547" i="23916"/>
  <c r="AV546" i="23916"/>
  <c r="AT550" i="23916"/>
  <c r="AT548" i="23916"/>
  <c r="AT547" i="23916"/>
  <c r="AT546" i="23916"/>
  <c r="AR550" i="23916"/>
  <c r="AR548" i="23916"/>
  <c r="AR547" i="23916"/>
  <c r="AR546" i="23916"/>
  <c r="AP550" i="23916"/>
  <c r="AP549" i="23916"/>
  <c r="AP548" i="23916"/>
  <c r="AP547" i="23916"/>
  <c r="AP546" i="23916"/>
  <c r="AN550" i="23916"/>
  <c r="AN549" i="23916"/>
  <c r="AN548" i="23916"/>
  <c r="AN547" i="23916"/>
  <c r="AN546" i="23916"/>
  <c r="AL550" i="23916"/>
  <c r="AL549" i="23916"/>
  <c r="AL548" i="23916"/>
  <c r="AL547" i="23916"/>
  <c r="AL546" i="23916"/>
  <c r="AJ550" i="23916"/>
  <c r="AJ549" i="23916"/>
  <c r="AJ548" i="23916"/>
  <c r="AJ547" i="23916"/>
  <c r="AJ546" i="23916"/>
  <c r="AH550" i="23916"/>
  <c r="AH549" i="23916"/>
  <c r="AH548" i="23916"/>
  <c r="AH547" i="23916"/>
  <c r="AH546" i="23916"/>
  <c r="GP551" i="23916"/>
  <c r="GQ551" i="23916" s="1"/>
  <c r="GN551" i="23916"/>
  <c r="GZ551" i="23916" s="1"/>
  <c r="GL551" i="23916"/>
  <c r="GM551" i="23916" s="1"/>
  <c r="GJ551" i="23916"/>
  <c r="GH551" i="23916"/>
  <c r="GI551" i="23916" s="1"/>
  <c r="GF551" i="23916"/>
  <c r="GD551" i="23916"/>
  <c r="GE551" i="23916" s="1"/>
  <c r="GB551" i="23916"/>
  <c r="FZ551" i="23916"/>
  <c r="GA551" i="23916" s="1"/>
  <c r="FX551" i="23916"/>
  <c r="FV551" i="23916"/>
  <c r="FW551" i="23916" s="1"/>
  <c r="GP550" i="23916"/>
  <c r="GS550" i="23916" s="1"/>
  <c r="GN550" i="23916"/>
  <c r="GO550" i="23916" s="1"/>
  <c r="GL550" i="23916"/>
  <c r="GJ550" i="23916"/>
  <c r="GK550" i="23916" s="1"/>
  <c r="GH550" i="23916"/>
  <c r="GF550" i="23916"/>
  <c r="GG550" i="23916" s="1"/>
  <c r="GD550" i="23916"/>
  <c r="GB550" i="23916"/>
  <c r="GC550" i="23916" s="1"/>
  <c r="FZ550" i="23916"/>
  <c r="FX550" i="23916"/>
  <c r="FY550" i="23916" s="1"/>
  <c r="FW550" i="23916"/>
  <c r="FV550" i="23916"/>
  <c r="GP549" i="23916"/>
  <c r="GL549" i="23916"/>
  <c r="GM549" i="23916" s="1"/>
  <c r="GJ549" i="23916"/>
  <c r="GH549" i="23916"/>
  <c r="GD549" i="23916"/>
  <c r="FT550" i="23916"/>
  <c r="FR550" i="23916"/>
  <c r="FS550" i="23916" s="1"/>
  <c r="FR549" i="23916"/>
  <c r="FN549" i="23916"/>
  <c r="FO549" i="23916" s="1"/>
  <c r="FM549" i="23916"/>
  <c r="FK549" i="23916"/>
  <c r="FK548" i="23916"/>
  <c r="FK547" i="23916"/>
  <c r="FK546" i="23916"/>
  <c r="EO549" i="23916"/>
  <c r="EX549" i="23916" s="1"/>
  <c r="EG549" i="23916"/>
  <c r="EG552" i="23916" s="1"/>
  <c r="EH552" i="23916" s="1"/>
  <c r="DE549" i="23916"/>
  <c r="DN549" i="23916" s="1"/>
  <c r="DA549" i="23916"/>
  <c r="DJ549" i="23916" s="1"/>
  <c r="CY549" i="23916"/>
  <c r="CY552" i="23916" s="1"/>
  <c r="CW549" i="23916"/>
  <c r="CX549" i="23916" s="1"/>
  <c r="CU549" i="23916"/>
  <c r="CU552" i="23916" s="1"/>
  <c r="CS549" i="23916"/>
  <c r="CT549" i="23916" s="1"/>
  <c r="CQ549" i="23916"/>
  <c r="CQ552" i="23916" s="1"/>
  <c r="CO549" i="23916"/>
  <c r="CO552" i="23916" s="1"/>
  <c r="CM549" i="23916"/>
  <c r="CM552" i="23916" s="1"/>
  <c r="CK549" i="23916"/>
  <c r="CL549" i="23916" s="1"/>
  <c r="CI549" i="23916"/>
  <c r="CI552" i="23916" s="1"/>
  <c r="CG549" i="23916"/>
  <c r="CG552" i="23916" s="1"/>
  <c r="CH552" i="23916" s="1"/>
  <c r="CE549" i="23916"/>
  <c r="CE552" i="23916" s="1"/>
  <c r="CC549" i="23916"/>
  <c r="CD549" i="23916" s="1"/>
  <c r="CA549" i="23916"/>
  <c r="CA552" i="23916" s="1"/>
  <c r="CB552" i="23916" s="1"/>
  <c r="BW549" i="23916"/>
  <c r="BW552" i="23916" s="1"/>
  <c r="BX552" i="23916" s="1"/>
  <c r="BQ549" i="23916"/>
  <c r="BZ549" i="23916" s="1"/>
  <c r="BG549" i="23916"/>
  <c r="BG552" i="23916" s="1"/>
  <c r="BH552" i="23916" s="1"/>
  <c r="BE549" i="23916"/>
  <c r="BN549" i="23916" s="1"/>
  <c r="AU549" i="23916"/>
  <c r="AU552" i="23916" s="1"/>
  <c r="AV552" i="23916" s="1"/>
  <c r="AS549" i="23916"/>
  <c r="AS552" i="23916" s="1"/>
  <c r="AT552" i="23916" s="1"/>
  <c r="AQ549" i="23916"/>
  <c r="AQ552" i="23916" s="1"/>
  <c r="AR552" i="23916" s="1"/>
  <c r="AF549" i="23916"/>
  <c r="AF548" i="23916"/>
  <c r="AF547" i="23916"/>
  <c r="AF546" i="23916"/>
  <c r="AD549" i="23916"/>
  <c r="AD548" i="23916"/>
  <c r="AD547" i="23916"/>
  <c r="AD546" i="23916"/>
  <c r="AB549" i="23916"/>
  <c r="AB548" i="23916"/>
  <c r="AB547" i="23916"/>
  <c r="AB546" i="23916"/>
  <c r="Z549" i="23916"/>
  <c r="Z548" i="23916"/>
  <c r="Z547" i="23916"/>
  <c r="Z546" i="23916"/>
  <c r="X549" i="23916"/>
  <c r="X548" i="23916"/>
  <c r="X547" i="23916"/>
  <c r="X546" i="23916"/>
  <c r="V549" i="23916"/>
  <c r="V548" i="23916"/>
  <c r="V547" i="23916"/>
  <c r="V546" i="23916"/>
  <c r="T549" i="23916"/>
  <c r="T548" i="23916"/>
  <c r="T547" i="23916"/>
  <c r="T546" i="23916"/>
  <c r="GN548" i="23916"/>
  <c r="GZ548" i="23916" s="1"/>
  <c r="GM548" i="23916"/>
  <c r="GL548" i="23916"/>
  <c r="GJ548" i="23916"/>
  <c r="GK548" i="23916" s="1"/>
  <c r="GI548" i="23916"/>
  <c r="GH548" i="23916"/>
  <c r="GF548" i="23916"/>
  <c r="GG548" i="23916" s="1"/>
  <c r="GE548" i="23916"/>
  <c r="GD548" i="23916"/>
  <c r="GB548" i="23916"/>
  <c r="GC548" i="23916" s="1"/>
  <c r="GA548" i="23916"/>
  <c r="FZ548" i="23916"/>
  <c r="FX548" i="23916"/>
  <c r="FY548" i="23916" s="1"/>
  <c r="FW548" i="23916"/>
  <c r="FV548" i="23916"/>
  <c r="FT548" i="23916"/>
  <c r="FU548" i="23916" s="1"/>
  <c r="FS548" i="23916"/>
  <c r="FR548" i="23916"/>
  <c r="FP548" i="23916"/>
  <c r="FQ548" i="23916" s="1"/>
  <c r="FO548" i="23916"/>
  <c r="FN548" i="23916"/>
  <c r="FM548" i="23916"/>
  <c r="FI548" i="23916"/>
  <c r="FI547" i="23916"/>
  <c r="FI546" i="23916"/>
  <c r="R548" i="23916"/>
  <c r="R547" i="23916"/>
  <c r="R546" i="23916"/>
  <c r="P548" i="23916"/>
  <c r="P547" i="23916"/>
  <c r="P546" i="23916"/>
  <c r="N548" i="23916"/>
  <c r="N547" i="23916"/>
  <c r="N546" i="23916"/>
  <c r="L548" i="23916"/>
  <c r="L547" i="23916"/>
  <c r="L546" i="23916"/>
  <c r="GM547" i="23916"/>
  <c r="GL547" i="23916"/>
  <c r="GJ547" i="23916"/>
  <c r="GK547" i="23916" s="1"/>
  <c r="GI547" i="23916"/>
  <c r="GH547" i="23916"/>
  <c r="GF547" i="23916"/>
  <c r="GG547" i="23916" s="1"/>
  <c r="GE547" i="23916"/>
  <c r="GD547" i="23916"/>
  <c r="GB547" i="23916"/>
  <c r="GC547" i="23916" s="1"/>
  <c r="GA547" i="23916"/>
  <c r="FZ547" i="23916"/>
  <c r="FX547" i="23916"/>
  <c r="FY547" i="23916" s="1"/>
  <c r="FW547" i="23916"/>
  <c r="FV547" i="23916"/>
  <c r="FT547" i="23916"/>
  <c r="FU547" i="23916" s="1"/>
  <c r="FS547" i="23916"/>
  <c r="FR547" i="23916"/>
  <c r="FP547" i="23916"/>
  <c r="FQ547" i="23916" s="1"/>
  <c r="FO547" i="23916"/>
  <c r="FN547" i="23916"/>
  <c r="FM547" i="23916"/>
  <c r="EQ547" i="23916"/>
  <c r="ES547" i="23916" s="1"/>
  <c r="EM546" i="23916"/>
  <c r="GN546" i="23916" s="1"/>
  <c r="EK547" i="23916"/>
  <c r="GL546" i="23916"/>
  <c r="GL616" i="23916" s="1"/>
  <c r="GK546" i="23916"/>
  <c r="GJ546" i="23916"/>
  <c r="GM546" i="23916" s="1"/>
  <c r="GH546" i="23916"/>
  <c r="GH616" i="23916" s="1"/>
  <c r="GG546" i="23916"/>
  <c r="GF546" i="23916"/>
  <c r="GF554" i="23916" s="1"/>
  <c r="GD546" i="23916"/>
  <c r="GD616" i="23916" s="1"/>
  <c r="GC546" i="23916"/>
  <c r="GB546" i="23916"/>
  <c r="FZ546" i="23916"/>
  <c r="FZ616" i="23916" s="1"/>
  <c r="FV546" i="23916"/>
  <c r="FV616" i="23916" s="1"/>
  <c r="FW616" i="23916" s="1"/>
  <c r="FU546" i="23916"/>
  <c r="FT546" i="23916"/>
  <c r="FR546" i="23916"/>
  <c r="FR554" i="23916" s="1"/>
  <c r="FS554" i="23916" s="1"/>
  <c r="FQ546" i="23916"/>
  <c r="FP546" i="23916"/>
  <c r="FP554" i="23916" s="1"/>
  <c r="FQ554" i="23916" s="1"/>
  <c r="FN546" i="23916"/>
  <c r="FN554" i="23916" s="1"/>
  <c r="FM546" i="23916"/>
  <c r="FG546" i="23916"/>
  <c r="FE546" i="23916"/>
  <c r="EO546" i="23916"/>
  <c r="EO616" i="23916" s="1"/>
  <c r="EP616" i="23916" s="1"/>
  <c r="CC546" i="23916"/>
  <c r="CC616" i="23916" s="1"/>
  <c r="GZ542" i="23916"/>
  <c r="GZ534" i="23916"/>
  <c r="GY540" i="23916"/>
  <c r="GY539" i="23916"/>
  <c r="GY535" i="23916"/>
  <c r="GW540" i="23916"/>
  <c r="GW539" i="23916"/>
  <c r="GW535" i="23916"/>
  <c r="GU540" i="23916"/>
  <c r="GU539" i="23916"/>
  <c r="GU535" i="23916"/>
  <c r="ET540" i="23916"/>
  <c r="ES540" i="23916"/>
  <c r="EU540" i="23916" s="1"/>
  <c r="EQ540" i="23916"/>
  <c r="ER540" i="23916" s="1"/>
  <c r="EP540" i="23916"/>
  <c r="EN540" i="23916"/>
  <c r="EN539" i="23916"/>
  <c r="EN535" i="23916"/>
  <c r="EL540" i="23916"/>
  <c r="EL539" i="23916"/>
  <c r="EL535" i="23916"/>
  <c r="EJ540" i="23916"/>
  <c r="EJ539" i="23916"/>
  <c r="EJ535" i="23916"/>
  <c r="EH540" i="23916"/>
  <c r="EH539" i="23916"/>
  <c r="EH535" i="23916"/>
  <c r="EF540" i="23916"/>
  <c r="EF539" i="23916"/>
  <c r="EF535" i="23916"/>
  <c r="ED540" i="23916"/>
  <c r="ED539" i="23916"/>
  <c r="ED535" i="23916"/>
  <c r="EB540" i="23916"/>
  <c r="EB539" i="23916"/>
  <c r="EB535" i="23916"/>
  <c r="DZ540" i="23916"/>
  <c r="DZ539" i="23916"/>
  <c r="DZ535" i="23916"/>
  <c r="DV540" i="23916"/>
  <c r="DV539" i="23916"/>
  <c r="DV537" i="23916"/>
  <c r="DV535" i="23916"/>
  <c r="DT540" i="23916"/>
  <c r="DT539" i="23916"/>
  <c r="DT535" i="23916"/>
  <c r="DR540" i="23916"/>
  <c r="DR539" i="23916"/>
  <c r="DR535" i="23916"/>
  <c r="DP540" i="23916"/>
  <c r="DP539" i="23916"/>
  <c r="DP535" i="23916"/>
  <c r="DN540" i="23916"/>
  <c r="DN539" i="23916"/>
  <c r="DN537" i="23916"/>
  <c r="DN535" i="23916"/>
  <c r="DL540" i="23916"/>
  <c r="DL539" i="23916"/>
  <c r="DL535" i="23916"/>
  <c r="DJ540" i="23916"/>
  <c r="DJ539" i="23916"/>
  <c r="DJ535" i="23916"/>
  <c r="DH540" i="23916"/>
  <c r="DH539" i="23916"/>
  <c r="DH535" i="23916"/>
  <c r="DF540" i="23916"/>
  <c r="DF539" i="23916"/>
  <c r="DF535" i="23916"/>
  <c r="DD540" i="23916"/>
  <c r="DD539" i="23916"/>
  <c r="DD535" i="23916"/>
  <c r="DB540" i="23916"/>
  <c r="DB539" i="23916"/>
  <c r="DB535" i="23916"/>
  <c r="CZ540" i="23916"/>
  <c r="CZ539" i="23916"/>
  <c r="CZ535" i="23916"/>
  <c r="CX540" i="23916"/>
  <c r="CX539" i="23916"/>
  <c r="CX535" i="23916"/>
  <c r="CV540" i="23916"/>
  <c r="CV539" i="23916"/>
  <c r="CV535" i="23916"/>
  <c r="CT540" i="23916"/>
  <c r="CT539" i="23916"/>
  <c r="CT535" i="23916"/>
  <c r="CR540" i="23916"/>
  <c r="CR539" i="23916"/>
  <c r="CR535" i="23916"/>
  <c r="CP540" i="23916"/>
  <c r="CP539" i="23916"/>
  <c r="CP537" i="23916"/>
  <c r="CP535" i="23916"/>
  <c r="CN540" i="23916"/>
  <c r="CN539" i="23916"/>
  <c r="CN535" i="23916"/>
  <c r="CL540" i="23916"/>
  <c r="CL539" i="23916"/>
  <c r="CL535" i="23916"/>
  <c r="CJ540" i="23916"/>
  <c r="CJ539" i="23916"/>
  <c r="CJ535" i="23916"/>
  <c r="CH540" i="23916"/>
  <c r="CH539" i="23916"/>
  <c r="CH535" i="23916"/>
  <c r="CF540" i="23916"/>
  <c r="CF539" i="23916"/>
  <c r="CF535" i="23916"/>
  <c r="CD540" i="23916"/>
  <c r="CD539" i="23916"/>
  <c r="CD535" i="23916"/>
  <c r="CB540" i="23916"/>
  <c r="CB539" i="23916"/>
  <c r="CB535" i="23916"/>
  <c r="GN540" i="23916"/>
  <c r="GO540" i="23916" s="1"/>
  <c r="GL540" i="23916"/>
  <c r="GJ540" i="23916"/>
  <c r="GK540" i="23916" s="1"/>
  <c r="GH540" i="23916"/>
  <c r="GF540" i="23916"/>
  <c r="GG540" i="23916" s="1"/>
  <c r="GD540" i="23916"/>
  <c r="GB540" i="23916"/>
  <c r="GC540" i="23916" s="1"/>
  <c r="FZ540" i="23916"/>
  <c r="FX540" i="23916"/>
  <c r="FY540" i="23916" s="1"/>
  <c r="GP539" i="23916"/>
  <c r="GS539" i="23916" s="1"/>
  <c r="GN539" i="23916"/>
  <c r="GO539" i="23916" s="1"/>
  <c r="GL539" i="23916"/>
  <c r="GJ539" i="23916"/>
  <c r="GK539" i="23916" s="1"/>
  <c r="GH539" i="23916"/>
  <c r="GF539" i="23916"/>
  <c r="GG539" i="23916" s="1"/>
  <c r="GD539" i="23916"/>
  <c r="GB539" i="23916"/>
  <c r="GC539" i="23916" s="1"/>
  <c r="FZ539" i="23916"/>
  <c r="FX539" i="23916"/>
  <c r="FY539" i="23916" s="1"/>
  <c r="EX539" i="23916"/>
  <c r="EV539" i="23916"/>
  <c r="EV537" i="23916"/>
  <c r="ET539" i="23916"/>
  <c r="ER539" i="23916"/>
  <c r="EP539" i="23916"/>
  <c r="EP535" i="23916"/>
  <c r="GX537" i="23916"/>
  <c r="GY537" i="23916" s="1"/>
  <c r="GV537" i="23916"/>
  <c r="GT537" i="23916"/>
  <c r="GU537" i="23916" s="1"/>
  <c r="EW537" i="23916"/>
  <c r="EX537" i="23916" s="1"/>
  <c r="EW535" i="23916"/>
  <c r="EX535" i="23916" s="1"/>
  <c r="EU537" i="23916"/>
  <c r="EU535" i="23916"/>
  <c r="EV535" i="23916" s="1"/>
  <c r="ES537" i="23916"/>
  <c r="ES535" i="23916"/>
  <c r="ET535" i="23916" s="1"/>
  <c r="EQ537" i="23916"/>
  <c r="ER537" i="23916" s="1"/>
  <c r="EQ535" i="23916"/>
  <c r="ER535" i="23916" s="1"/>
  <c r="EO537" i="23916"/>
  <c r="EP537" i="23916" s="1"/>
  <c r="EM537" i="23916"/>
  <c r="EK537" i="23916"/>
  <c r="ET537" i="23916" s="1"/>
  <c r="EI537" i="23916"/>
  <c r="EG537" i="23916"/>
  <c r="EC537" i="23916"/>
  <c r="ED537" i="23916" s="1"/>
  <c r="DU537" i="23916"/>
  <c r="DS537" i="23916"/>
  <c r="DT537" i="23916" s="1"/>
  <c r="DQ537" i="23916"/>
  <c r="DR537" i="23916" s="1"/>
  <c r="DO537" i="23916"/>
  <c r="DP537" i="23916" s="1"/>
  <c r="DM537" i="23916"/>
  <c r="DK537" i="23916"/>
  <c r="DI537" i="23916"/>
  <c r="DJ537" i="23916" s="1"/>
  <c r="DG537" i="23916"/>
  <c r="DH537" i="23916" s="1"/>
  <c r="DE537" i="23916"/>
  <c r="DA537" i="23916"/>
  <c r="DB537" i="23916" s="1"/>
  <c r="CY537" i="23916"/>
  <c r="CU537" i="23916"/>
  <c r="CV537" i="23916" s="1"/>
  <c r="CS537" i="23916"/>
  <c r="CT537" i="23916" s="1"/>
  <c r="CO537" i="23916"/>
  <c r="CM537" i="23916"/>
  <c r="CN537" i="23916" s="1"/>
  <c r="CK537" i="23916"/>
  <c r="CL537" i="23916" s="1"/>
  <c r="CI537" i="23916"/>
  <c r="CJ537" i="23916" s="1"/>
  <c r="CG537" i="23916"/>
  <c r="CE537" i="23916"/>
  <c r="CC537" i="23916"/>
  <c r="AG538" i="23916"/>
  <c r="AG541" i="23916" s="1"/>
  <c r="AC538" i="23916"/>
  <c r="AC666" i="23916" s="1"/>
  <c r="Y538" i="23916"/>
  <c r="Y666" i="23916" s="1"/>
  <c r="U538" i="23916"/>
  <c r="U666" i="23916" s="1"/>
  <c r="Q538" i="23916"/>
  <c r="Q541" i="23916" s="1"/>
  <c r="M538" i="23916"/>
  <c r="M666" i="23916" s="1"/>
  <c r="AH537" i="23916"/>
  <c r="AH536" i="23916"/>
  <c r="AH535" i="23916"/>
  <c r="AF537" i="23916"/>
  <c r="AF535" i="23916"/>
  <c r="AD537" i="23916"/>
  <c r="AD535" i="23916"/>
  <c r="AB537" i="23916"/>
  <c r="AB536" i="23916"/>
  <c r="AB535" i="23916"/>
  <c r="Z537" i="23916"/>
  <c r="Z536" i="23916"/>
  <c r="Z535" i="23916"/>
  <c r="X537" i="23916"/>
  <c r="X535" i="23916"/>
  <c r="V537" i="23916"/>
  <c r="V535" i="23916"/>
  <c r="T537" i="23916"/>
  <c r="T536" i="23916"/>
  <c r="T535" i="23916"/>
  <c r="R537" i="23916"/>
  <c r="R536" i="23916"/>
  <c r="R535" i="23916"/>
  <c r="P537" i="23916"/>
  <c r="P535" i="23916"/>
  <c r="N537" i="23916"/>
  <c r="N535" i="23916"/>
  <c r="L537" i="23916"/>
  <c r="L536" i="23916"/>
  <c r="L535" i="23916"/>
  <c r="GR537" i="23916"/>
  <c r="FL537" i="23916"/>
  <c r="FK537" i="23916"/>
  <c r="FJ537" i="23916"/>
  <c r="FM537" i="23916" s="1"/>
  <c r="FH537" i="23916"/>
  <c r="FG537" i="23916"/>
  <c r="FF537" i="23916"/>
  <c r="FI537" i="23916" s="1"/>
  <c r="FE537" i="23916"/>
  <c r="FD536" i="23916"/>
  <c r="FD553" i="23916" s="1"/>
  <c r="FB536" i="23916"/>
  <c r="DY537" i="23916"/>
  <c r="DZ537" i="23916" s="1"/>
  <c r="DX537" i="23916"/>
  <c r="DW537" i="23916"/>
  <c r="CA537" i="23916"/>
  <c r="CB537" i="23916" s="1"/>
  <c r="BY537" i="23916"/>
  <c r="BU537" i="23916"/>
  <c r="BV537" i="23916" s="1"/>
  <c r="BT537" i="23916"/>
  <c r="BS537" i="23916"/>
  <c r="BQ537" i="23916"/>
  <c r="BP537" i="23916"/>
  <c r="BO537" i="23916"/>
  <c r="BM537" i="23916"/>
  <c r="BK537" i="23916"/>
  <c r="BI537" i="23916"/>
  <c r="BH537" i="23916"/>
  <c r="BG537" i="23916"/>
  <c r="BA537" i="23916"/>
  <c r="AZ537" i="23916"/>
  <c r="AY537" i="23916"/>
  <c r="AW537" i="23916"/>
  <c r="AX537" i="23916" s="1"/>
  <c r="AV537" i="23916"/>
  <c r="AU537" i="23916"/>
  <c r="AR537" i="23916"/>
  <c r="AQ537" i="23916"/>
  <c r="AO537" i="23916"/>
  <c r="AP537" i="23916" s="1"/>
  <c r="AN537" i="23916"/>
  <c r="AM537" i="23916"/>
  <c r="AK537" i="23916"/>
  <c r="AJ537" i="23916"/>
  <c r="AO536" i="23916"/>
  <c r="AM536" i="23916"/>
  <c r="AM538" i="23916" s="1"/>
  <c r="AK536" i="23916"/>
  <c r="AJ536" i="23916"/>
  <c r="AI536" i="23916"/>
  <c r="AI538" i="23916" s="1"/>
  <c r="AG536" i="23916"/>
  <c r="AE536" i="23916"/>
  <c r="AC536" i="23916"/>
  <c r="AD536" i="23916" s="1"/>
  <c r="AA536" i="23916"/>
  <c r="AA538" i="23916" s="1"/>
  <c r="Y536" i="23916"/>
  <c r="W536" i="23916"/>
  <c r="U536" i="23916"/>
  <c r="V536" i="23916" s="1"/>
  <c r="S536" i="23916"/>
  <c r="S538" i="23916" s="1"/>
  <c r="Q536" i="23916"/>
  <c r="O536" i="23916"/>
  <c r="M536" i="23916"/>
  <c r="N536" i="23916" s="1"/>
  <c r="K536" i="23916"/>
  <c r="K538" i="23916" s="1"/>
  <c r="I536" i="23916"/>
  <c r="I538" i="23916" s="1"/>
  <c r="G536" i="23916"/>
  <c r="G538" i="23916" s="1"/>
  <c r="E536" i="23916"/>
  <c r="E538" i="23916" s="1"/>
  <c r="C536" i="23916"/>
  <c r="C538" i="23916" s="1"/>
  <c r="GP535" i="23916"/>
  <c r="GN535" i="23916"/>
  <c r="GZ535" i="23916" s="1"/>
  <c r="GL535" i="23916"/>
  <c r="GJ535" i="23916"/>
  <c r="GH535" i="23916"/>
  <c r="GF535" i="23916"/>
  <c r="GD535" i="23916"/>
  <c r="GB535" i="23916"/>
  <c r="FZ535" i="23916"/>
  <c r="FX535" i="23916"/>
  <c r="FV535" i="23916"/>
  <c r="FT535" i="23916"/>
  <c r="FR535" i="23916"/>
  <c r="FQ535" i="23916"/>
  <c r="FP535" i="23916"/>
  <c r="FN535" i="23916"/>
  <c r="FL535" i="23916"/>
  <c r="FL536" i="23916" s="1"/>
  <c r="FJ535" i="23916"/>
  <c r="FH535" i="23916"/>
  <c r="FH536" i="23916" s="1"/>
  <c r="FF535" i="23916"/>
  <c r="FE535" i="23916"/>
  <c r="BZ535" i="23916"/>
  <c r="BX535" i="23916"/>
  <c r="BV535" i="23916"/>
  <c r="BT535" i="23916"/>
  <c r="BR535" i="23916"/>
  <c r="BP535" i="23916"/>
  <c r="BN535" i="23916"/>
  <c r="BL535" i="23916"/>
  <c r="BJ535" i="23916"/>
  <c r="BH535" i="23916"/>
  <c r="BF535" i="23916"/>
  <c r="BD535" i="23916"/>
  <c r="BB535" i="23916"/>
  <c r="AZ535" i="23916"/>
  <c r="AX535" i="23916"/>
  <c r="AV535" i="23916"/>
  <c r="AT535" i="23916"/>
  <c r="AR535" i="23916"/>
  <c r="AP535" i="23916"/>
  <c r="AN535" i="23916"/>
  <c r="AL535" i="23916"/>
  <c r="AJ535" i="23916"/>
  <c r="FO533" i="23916"/>
  <c r="FM533" i="23916"/>
  <c r="FK533" i="23916"/>
  <c r="FI533" i="23916"/>
  <c r="FG533" i="23916"/>
  <c r="FE533" i="23916"/>
  <c r="AP533" i="23916"/>
  <c r="AN533" i="23916"/>
  <c r="AL533" i="23916"/>
  <c r="AJ533" i="23916"/>
  <c r="AH533" i="23916"/>
  <c r="AF533" i="23916"/>
  <c r="AD533" i="23916"/>
  <c r="AB533" i="23916"/>
  <c r="Z533" i="23916"/>
  <c r="X533" i="23916"/>
  <c r="V533" i="23916"/>
  <c r="T533" i="23916"/>
  <c r="R533" i="23916"/>
  <c r="P533" i="23916"/>
  <c r="N533" i="23916"/>
  <c r="L533" i="23916"/>
  <c r="GY532" i="23916"/>
  <c r="GW532" i="23916"/>
  <c r="GU532" i="23916"/>
  <c r="GS532" i="23916"/>
  <c r="GP532" i="23916"/>
  <c r="GO532" i="23916"/>
  <c r="GN532" i="23916"/>
  <c r="GL532" i="23916"/>
  <c r="GJ532" i="23916"/>
  <c r="GH532" i="23916"/>
  <c r="GF532" i="23916"/>
  <c r="GG532" i="23916" s="1"/>
  <c r="GD532" i="23916"/>
  <c r="GC532" i="23916"/>
  <c r="GB532" i="23916"/>
  <c r="EX532" i="23916"/>
  <c r="EV532" i="23916"/>
  <c r="ET532" i="23916"/>
  <c r="ER532" i="23916"/>
  <c r="EP532" i="23916"/>
  <c r="EN532" i="23916"/>
  <c r="EL532" i="23916"/>
  <c r="EJ532" i="23916"/>
  <c r="EH532" i="23916"/>
  <c r="EF532" i="23916"/>
  <c r="ED532" i="23916"/>
  <c r="EB532" i="23916"/>
  <c r="DZ532" i="23916"/>
  <c r="DV532" i="23916"/>
  <c r="DT532" i="23916"/>
  <c r="DR532" i="23916"/>
  <c r="DP532" i="23916"/>
  <c r="DN532" i="23916"/>
  <c r="DL532" i="23916"/>
  <c r="DJ532" i="23916"/>
  <c r="DH532" i="23916"/>
  <c r="DF532" i="23916"/>
  <c r="DD532" i="23916"/>
  <c r="DB532" i="23916"/>
  <c r="CZ532" i="23916"/>
  <c r="CX532" i="23916"/>
  <c r="CV532" i="23916"/>
  <c r="CT532" i="23916"/>
  <c r="CR532" i="23916"/>
  <c r="CP532" i="23916"/>
  <c r="GZ528" i="23916"/>
  <c r="GZ527" i="23916"/>
  <c r="EX525" i="23916"/>
  <c r="EV525" i="23916"/>
  <c r="ET525" i="23916"/>
  <c r="ER525" i="23916"/>
  <c r="EP525" i="23916"/>
  <c r="EN525" i="23916"/>
  <c r="EL525" i="23916"/>
  <c r="EJ525" i="23916"/>
  <c r="EH525" i="23916"/>
  <c r="EF525" i="23916"/>
  <c r="ED525" i="23916"/>
  <c r="EB525" i="23916"/>
  <c r="DZ525" i="23916"/>
  <c r="DV525" i="23916"/>
  <c r="DT525" i="23916"/>
  <c r="DR525" i="23916"/>
  <c r="DP525" i="23916"/>
  <c r="DN525" i="23916"/>
  <c r="GZ522" i="23916"/>
  <c r="GZ521" i="23916"/>
  <c r="GZ517" i="23916"/>
  <c r="GZ514" i="23916"/>
  <c r="GZ512" i="23916"/>
  <c r="GZ507" i="23916"/>
  <c r="GZ502" i="23916"/>
  <c r="GZ499" i="23916"/>
  <c r="GZ498" i="23916"/>
  <c r="GZ492" i="23916"/>
  <c r="GZ491" i="23916"/>
  <c r="AN511" i="23916"/>
  <c r="AN509" i="23916"/>
  <c r="AN508" i="23916"/>
  <c r="AL511" i="23916"/>
  <c r="AL509" i="23916"/>
  <c r="AL508" i="23916"/>
  <c r="AJ511" i="23916"/>
  <c r="AJ509" i="23916"/>
  <c r="AJ508" i="23916"/>
  <c r="AH511" i="23916"/>
  <c r="AH509" i="23916"/>
  <c r="AH508" i="23916"/>
  <c r="AF511" i="23916"/>
  <c r="AF509" i="23916"/>
  <c r="AF508" i="23916"/>
  <c r="AD511" i="23916"/>
  <c r="AD509" i="23916"/>
  <c r="AD508" i="23916"/>
  <c r="AB511" i="23916"/>
  <c r="AB509" i="23916"/>
  <c r="AB508" i="23916"/>
  <c r="Z511" i="23916"/>
  <c r="Z509" i="23916"/>
  <c r="Z508" i="23916"/>
  <c r="X511" i="23916"/>
  <c r="X509" i="23916"/>
  <c r="X508" i="23916"/>
  <c r="V511" i="23916"/>
  <c r="V509" i="23916"/>
  <c r="V508" i="23916"/>
  <c r="T511" i="23916"/>
  <c r="T509" i="23916"/>
  <c r="T508" i="23916"/>
  <c r="R511" i="23916"/>
  <c r="R509" i="23916"/>
  <c r="R508" i="23916"/>
  <c r="P511" i="23916"/>
  <c r="P509" i="23916"/>
  <c r="P508" i="23916"/>
  <c r="N511" i="23916"/>
  <c r="N509" i="23916"/>
  <c r="N508" i="23916"/>
  <c r="L511" i="23916"/>
  <c r="L509" i="23916"/>
  <c r="L508" i="23916"/>
  <c r="AO510" i="23916"/>
  <c r="AP510" i="23916" s="1"/>
  <c r="AM510" i="23916"/>
  <c r="AN510" i="23916" s="1"/>
  <c r="AK510" i="23916"/>
  <c r="AL510" i="23916" s="1"/>
  <c r="AI510" i="23916"/>
  <c r="AJ510" i="23916" s="1"/>
  <c r="AG510" i="23916"/>
  <c r="AH510" i="23916" s="1"/>
  <c r="AE510" i="23916"/>
  <c r="AF510" i="23916" s="1"/>
  <c r="AC510" i="23916"/>
  <c r="AD510" i="23916" s="1"/>
  <c r="AA510" i="23916"/>
  <c r="AB510" i="23916" s="1"/>
  <c r="Y510" i="23916"/>
  <c r="Z510" i="23916" s="1"/>
  <c r="W510" i="23916"/>
  <c r="X510" i="23916" s="1"/>
  <c r="U510" i="23916"/>
  <c r="V510" i="23916" s="1"/>
  <c r="S510" i="23916"/>
  <c r="T510" i="23916" s="1"/>
  <c r="Q510" i="23916"/>
  <c r="R510" i="23916" s="1"/>
  <c r="O510" i="23916"/>
  <c r="P510" i="23916" s="1"/>
  <c r="M510" i="23916"/>
  <c r="N510" i="23916" s="1"/>
  <c r="K510" i="23916"/>
  <c r="L510" i="23916" s="1"/>
  <c r="I510" i="23916"/>
  <c r="G510" i="23916"/>
  <c r="E510" i="23916"/>
  <c r="C510" i="23916"/>
  <c r="AP511" i="23916"/>
  <c r="EO509" i="23916"/>
  <c r="EN509" i="23916"/>
  <c r="EM509" i="23916"/>
  <c r="EK509" i="23916"/>
  <c r="EJ509" i="23916"/>
  <c r="EI509" i="23916"/>
  <c r="EG509" i="23916"/>
  <c r="GL509" i="23916" s="1"/>
  <c r="EF509" i="23916"/>
  <c r="EE509" i="23916"/>
  <c r="EC509" i="23916"/>
  <c r="EB509" i="23916"/>
  <c r="EA509" i="23916"/>
  <c r="DY509" i="23916"/>
  <c r="DX509" i="23916"/>
  <c r="DW509" i="23916"/>
  <c r="DU509" i="23916"/>
  <c r="DT509" i="23916"/>
  <c r="DS509" i="23916"/>
  <c r="DQ509" i="23916"/>
  <c r="GH509" i="23916" s="1"/>
  <c r="DP509" i="23916"/>
  <c r="DO509" i="23916"/>
  <c r="DM509" i="23916"/>
  <c r="DL509" i="23916"/>
  <c r="DK509" i="23916"/>
  <c r="DI509" i="23916"/>
  <c r="DH509" i="23916"/>
  <c r="DG509" i="23916"/>
  <c r="DE509" i="23916"/>
  <c r="DD509" i="23916"/>
  <c r="DC509" i="23916"/>
  <c r="DA509" i="23916"/>
  <c r="GD509" i="23916" s="1"/>
  <c r="CZ509" i="23916"/>
  <c r="CY509" i="23916"/>
  <c r="CW509" i="23916"/>
  <c r="CV509" i="23916"/>
  <c r="CU509" i="23916"/>
  <c r="CS509" i="23916"/>
  <c r="CR509" i="23916"/>
  <c r="CQ509" i="23916"/>
  <c r="CO509" i="23916"/>
  <c r="CN509" i="23916"/>
  <c r="CM509" i="23916"/>
  <c r="CK509" i="23916"/>
  <c r="FZ509" i="23916" s="1"/>
  <c r="CJ509" i="23916"/>
  <c r="CI509" i="23916"/>
  <c r="CG509" i="23916"/>
  <c r="CF509" i="23916"/>
  <c r="CE509" i="23916"/>
  <c r="CC509" i="23916"/>
  <c r="CB509" i="23916"/>
  <c r="CA509" i="23916"/>
  <c r="BY509" i="23916"/>
  <c r="BW509" i="23916"/>
  <c r="BU509" i="23916"/>
  <c r="BS509" i="23916"/>
  <c r="AP509" i="23916"/>
  <c r="AP508" i="23916"/>
  <c r="AP506" i="23916"/>
  <c r="AO506" i="23916"/>
  <c r="AM506" i="23916"/>
  <c r="AN506" i="23916" s="1"/>
  <c r="AL506" i="23916"/>
  <c r="AK506" i="23916"/>
  <c r="AI506" i="23916"/>
  <c r="AJ506" i="23916" s="1"/>
  <c r="AH506" i="23916"/>
  <c r="AG506" i="23916"/>
  <c r="AE506" i="23916"/>
  <c r="AF506" i="23916" s="1"/>
  <c r="AD506" i="23916"/>
  <c r="AC506" i="23916"/>
  <c r="AA506" i="23916"/>
  <c r="AB506" i="23916" s="1"/>
  <c r="Z506" i="23916"/>
  <c r="X506" i="23916"/>
  <c r="X505" i="23916"/>
  <c r="X504" i="23916"/>
  <c r="X503" i="23916"/>
  <c r="X502" i="23916"/>
  <c r="X501" i="23916"/>
  <c r="X500" i="23916"/>
  <c r="V506" i="23916"/>
  <c r="V505" i="23916"/>
  <c r="V504" i="23916"/>
  <c r="V503" i="23916"/>
  <c r="V502" i="23916"/>
  <c r="V501" i="23916"/>
  <c r="V500" i="23916"/>
  <c r="T505" i="23916"/>
  <c r="T504" i="23916"/>
  <c r="T503" i="23916"/>
  <c r="T502" i="23916"/>
  <c r="T501" i="23916"/>
  <c r="T500" i="23916"/>
  <c r="R506" i="23916"/>
  <c r="R505" i="23916"/>
  <c r="R504" i="23916"/>
  <c r="R503" i="23916"/>
  <c r="R502" i="23916"/>
  <c r="R501" i="23916"/>
  <c r="R500" i="23916"/>
  <c r="P505" i="23916"/>
  <c r="P504" i="23916"/>
  <c r="P503" i="23916"/>
  <c r="P502" i="23916"/>
  <c r="P501" i="23916"/>
  <c r="P500" i="23916"/>
  <c r="N505" i="23916"/>
  <c r="N504" i="23916"/>
  <c r="N503" i="23916"/>
  <c r="N502" i="23916"/>
  <c r="N501" i="23916"/>
  <c r="N500" i="23916"/>
  <c r="L506" i="23916"/>
  <c r="K506" i="23916"/>
  <c r="T506" i="23916" s="1"/>
  <c r="I506" i="23916"/>
  <c r="G506" i="23916"/>
  <c r="P506" i="23916" s="1"/>
  <c r="E506" i="23916"/>
  <c r="N506" i="23916" s="1"/>
  <c r="C506" i="23916"/>
  <c r="AN505" i="23916"/>
  <c r="AN504" i="23916"/>
  <c r="AN503" i="23916"/>
  <c r="AN502" i="23916"/>
  <c r="AN501" i="23916"/>
  <c r="AN500" i="23916"/>
  <c r="AL505" i="23916"/>
  <c r="AL504" i="23916"/>
  <c r="AL503" i="23916"/>
  <c r="AL502" i="23916"/>
  <c r="AL501" i="23916"/>
  <c r="AL500" i="23916"/>
  <c r="AJ505" i="23916"/>
  <c r="AJ504" i="23916"/>
  <c r="AJ503" i="23916"/>
  <c r="AJ502" i="23916"/>
  <c r="AJ501" i="23916"/>
  <c r="AJ500" i="23916"/>
  <c r="AH505" i="23916"/>
  <c r="AH504" i="23916"/>
  <c r="AH503" i="23916"/>
  <c r="AH502" i="23916"/>
  <c r="AH501" i="23916"/>
  <c r="AH500" i="23916"/>
  <c r="AF505" i="23916"/>
  <c r="AF504" i="23916"/>
  <c r="AF503" i="23916"/>
  <c r="AF502" i="23916"/>
  <c r="AF501" i="23916"/>
  <c r="AF500" i="23916"/>
  <c r="AD505" i="23916"/>
  <c r="AD504" i="23916"/>
  <c r="AD503" i="23916"/>
  <c r="AD502" i="23916"/>
  <c r="AD501" i="23916"/>
  <c r="AD500" i="23916"/>
  <c r="AB505" i="23916"/>
  <c r="AB504" i="23916"/>
  <c r="AB503" i="23916"/>
  <c r="AB502" i="23916"/>
  <c r="AB501" i="23916"/>
  <c r="AB500" i="23916"/>
  <c r="Z505" i="23916"/>
  <c r="Z504" i="23916"/>
  <c r="Z503" i="23916"/>
  <c r="Z502" i="23916"/>
  <c r="Z501" i="23916"/>
  <c r="Z500" i="23916"/>
  <c r="L505" i="23916"/>
  <c r="L504" i="23916"/>
  <c r="L503" i="23916"/>
  <c r="L502" i="23916"/>
  <c r="L501" i="23916"/>
  <c r="L500" i="23916"/>
  <c r="GN503" i="23916"/>
  <c r="GO503" i="23916" s="1"/>
  <c r="GM503" i="23916"/>
  <c r="GL503" i="23916"/>
  <c r="GJ503" i="23916"/>
  <c r="GK503" i="23916" s="1"/>
  <c r="GI503" i="23916"/>
  <c r="GH503" i="23916"/>
  <c r="GF503" i="23916"/>
  <c r="GG503" i="23916" s="1"/>
  <c r="GE503" i="23916"/>
  <c r="GD503" i="23916"/>
  <c r="GB503" i="23916"/>
  <c r="GC503" i="23916" s="1"/>
  <c r="GA503" i="23916"/>
  <c r="FZ503" i="23916"/>
  <c r="FX503" i="23916"/>
  <c r="FY503" i="23916" s="1"/>
  <c r="FW503" i="23916"/>
  <c r="FV503" i="23916"/>
  <c r="FT503" i="23916"/>
  <c r="FU503" i="23916" s="1"/>
  <c r="FR503" i="23916"/>
  <c r="EP505" i="23916"/>
  <c r="EO505" i="23916"/>
  <c r="EM505" i="23916"/>
  <c r="EN505" i="23916" s="1"/>
  <c r="EL505" i="23916"/>
  <c r="EK505" i="23916"/>
  <c r="EI505" i="23916"/>
  <c r="EJ505" i="23916" s="1"/>
  <c r="EH505" i="23916"/>
  <c r="EG505" i="23916"/>
  <c r="EE505" i="23916"/>
  <c r="EF505" i="23916" s="1"/>
  <c r="ED505" i="23916"/>
  <c r="EC505" i="23916"/>
  <c r="EA505" i="23916"/>
  <c r="EB505" i="23916" s="1"/>
  <c r="DZ505" i="23916"/>
  <c r="DY505" i="23916"/>
  <c r="DX505" i="23916"/>
  <c r="DW505" i="23916"/>
  <c r="DV505" i="23916"/>
  <c r="DU505" i="23916"/>
  <c r="DS505" i="23916"/>
  <c r="DT505" i="23916" s="1"/>
  <c r="DR505" i="23916"/>
  <c r="DQ505" i="23916"/>
  <c r="DO505" i="23916"/>
  <c r="DP505" i="23916" s="1"/>
  <c r="DN505" i="23916"/>
  <c r="DM505" i="23916"/>
  <c r="DK505" i="23916"/>
  <c r="DL505" i="23916" s="1"/>
  <c r="DJ505" i="23916"/>
  <c r="DI505" i="23916"/>
  <c r="DG505" i="23916"/>
  <c r="DH505" i="23916" s="1"/>
  <c r="DF505" i="23916"/>
  <c r="DE505" i="23916"/>
  <c r="DC505" i="23916"/>
  <c r="DD505" i="23916" s="1"/>
  <c r="DB505" i="23916"/>
  <c r="DA505" i="23916"/>
  <c r="CY505" i="23916"/>
  <c r="CZ505" i="23916" s="1"/>
  <c r="CX505" i="23916"/>
  <c r="CW505" i="23916"/>
  <c r="CU505" i="23916"/>
  <c r="CV505" i="23916" s="1"/>
  <c r="CT505" i="23916"/>
  <c r="CS505" i="23916"/>
  <c r="CQ505" i="23916"/>
  <c r="CR505" i="23916" s="1"/>
  <c r="CP505" i="23916"/>
  <c r="CO505" i="23916"/>
  <c r="CM505" i="23916"/>
  <c r="CN505" i="23916" s="1"/>
  <c r="CL505" i="23916"/>
  <c r="CK505" i="23916"/>
  <c r="CI505" i="23916"/>
  <c r="CJ505" i="23916" s="1"/>
  <c r="CH505" i="23916"/>
  <c r="CG505" i="23916"/>
  <c r="CE505" i="23916"/>
  <c r="CF505" i="23916" s="1"/>
  <c r="CD505" i="23916"/>
  <c r="CC505" i="23916"/>
  <c r="CA505" i="23916"/>
  <c r="CB505" i="23916" s="1"/>
  <c r="BZ505" i="23916"/>
  <c r="BY505" i="23916"/>
  <c r="BW505" i="23916"/>
  <c r="BX505" i="23916" s="1"/>
  <c r="BV505" i="23916"/>
  <c r="BU505" i="23916"/>
  <c r="BS505" i="23916"/>
  <c r="BT505" i="23916" s="1"/>
  <c r="BR505" i="23916"/>
  <c r="BQ505" i="23916"/>
  <c r="BO505" i="23916"/>
  <c r="BP505" i="23916" s="1"/>
  <c r="BN505" i="23916"/>
  <c r="BM505" i="23916"/>
  <c r="BK505" i="23916"/>
  <c r="BL505" i="23916" s="1"/>
  <c r="BJ505" i="23916"/>
  <c r="BI505" i="23916"/>
  <c r="BG505" i="23916"/>
  <c r="BH505" i="23916" s="1"/>
  <c r="BF505" i="23916"/>
  <c r="BE505" i="23916"/>
  <c r="BC505" i="23916"/>
  <c r="BD505" i="23916" s="1"/>
  <c r="BB505" i="23916"/>
  <c r="BA505" i="23916"/>
  <c r="AY505" i="23916"/>
  <c r="AZ505" i="23916" s="1"/>
  <c r="AX505" i="23916"/>
  <c r="AW505" i="23916"/>
  <c r="AU505" i="23916"/>
  <c r="AV505" i="23916" s="1"/>
  <c r="AT505" i="23916"/>
  <c r="AS505" i="23916"/>
  <c r="AQ505" i="23916"/>
  <c r="AR505" i="23916" s="1"/>
  <c r="AP505" i="23916"/>
  <c r="AP504" i="23916"/>
  <c r="EW503" i="23916"/>
  <c r="EU503" i="23916"/>
  <c r="ES503" i="23916"/>
  <c r="EQ503" i="23916"/>
  <c r="BY503" i="23916"/>
  <c r="BZ503" i="23916" s="1"/>
  <c r="BX503" i="23916"/>
  <c r="BW503" i="23916"/>
  <c r="BU503" i="23916"/>
  <c r="BV503" i="23916" s="1"/>
  <c r="BQ503" i="23916"/>
  <c r="BR503" i="23916" s="1"/>
  <c r="BP503" i="23916"/>
  <c r="BO503" i="23916"/>
  <c r="BM503" i="23916"/>
  <c r="BN503" i="23916" s="1"/>
  <c r="BL503" i="23916"/>
  <c r="BK503" i="23916"/>
  <c r="BI503" i="23916"/>
  <c r="BJ503" i="23916" s="1"/>
  <c r="BH503" i="23916"/>
  <c r="BG503" i="23916"/>
  <c r="BE503" i="23916"/>
  <c r="BF503" i="23916" s="1"/>
  <c r="BD503" i="23916"/>
  <c r="BC503" i="23916"/>
  <c r="BA503" i="23916"/>
  <c r="BB503" i="23916" s="1"/>
  <c r="AZ503" i="23916"/>
  <c r="AY503" i="23916"/>
  <c r="AW503" i="23916"/>
  <c r="AX503" i="23916" s="1"/>
  <c r="AV503" i="23916"/>
  <c r="AU503" i="23916"/>
  <c r="AS503" i="23916"/>
  <c r="AT503" i="23916" s="1"/>
  <c r="AR503" i="23916"/>
  <c r="AQ503" i="23916"/>
  <c r="FP503" i="23916" s="1"/>
  <c r="AP503" i="23916"/>
  <c r="GY502" i="23916"/>
  <c r="GW502" i="23916"/>
  <c r="GU502" i="23916"/>
  <c r="GS502" i="23916"/>
  <c r="GQ502" i="23916"/>
  <c r="GO502" i="23916"/>
  <c r="GM502" i="23916"/>
  <c r="GK502" i="23916"/>
  <c r="GI502" i="23916"/>
  <c r="GG502" i="23916"/>
  <c r="GE502" i="23916"/>
  <c r="GC502" i="23916"/>
  <c r="GA502" i="23916"/>
  <c r="FY502" i="23916"/>
  <c r="FW502" i="23916"/>
  <c r="FU502" i="23916"/>
  <c r="FP502" i="23916"/>
  <c r="FQ502" i="23916" s="1"/>
  <c r="EX502" i="23916"/>
  <c r="EV502" i="23916"/>
  <c r="ET502" i="23916"/>
  <c r="ER502" i="23916"/>
  <c r="EP502" i="23916"/>
  <c r="EN502" i="23916"/>
  <c r="EL502" i="23916"/>
  <c r="EL500" i="23916"/>
  <c r="EJ502" i="23916"/>
  <c r="EH502" i="23916"/>
  <c r="EF502" i="23916"/>
  <c r="ED502" i="23916"/>
  <c r="ED500" i="23916"/>
  <c r="EB502" i="23916"/>
  <c r="DZ502" i="23916"/>
  <c r="DV502" i="23916"/>
  <c r="DT502" i="23916"/>
  <c r="DT500" i="23916"/>
  <c r="DR502" i="23916"/>
  <c r="DP502" i="23916"/>
  <c r="DN502" i="23916"/>
  <c r="DL502" i="23916"/>
  <c r="DL500" i="23916"/>
  <c r="DJ502" i="23916"/>
  <c r="DH502" i="23916"/>
  <c r="DF502" i="23916"/>
  <c r="DD502" i="23916"/>
  <c r="DD500" i="23916"/>
  <c r="DB502" i="23916"/>
  <c r="CZ502" i="23916"/>
  <c r="CX502" i="23916"/>
  <c r="CV502" i="23916"/>
  <c r="CT502" i="23916"/>
  <c r="CR502" i="23916"/>
  <c r="CP502" i="23916"/>
  <c r="CN502" i="23916"/>
  <c r="CL502" i="23916"/>
  <c r="CJ502" i="23916"/>
  <c r="CH502" i="23916"/>
  <c r="CF502" i="23916"/>
  <c r="CF500" i="23916"/>
  <c r="CD502" i="23916"/>
  <c r="CB502" i="23916"/>
  <c r="BZ502" i="23916"/>
  <c r="BX502" i="23916"/>
  <c r="BX500" i="23916"/>
  <c r="BV502" i="23916"/>
  <c r="BT502" i="23916"/>
  <c r="BR502" i="23916"/>
  <c r="BP502" i="23916"/>
  <c r="BP500" i="23916"/>
  <c r="BN502" i="23916"/>
  <c r="BL502" i="23916"/>
  <c r="BJ502" i="23916"/>
  <c r="BH502" i="23916"/>
  <c r="BH500" i="23916"/>
  <c r="BF502" i="23916"/>
  <c r="BD502" i="23916"/>
  <c r="BB502" i="23916"/>
  <c r="AZ502" i="23916"/>
  <c r="AZ500" i="23916"/>
  <c r="AX502" i="23916"/>
  <c r="AV502" i="23916"/>
  <c r="AT502" i="23916"/>
  <c r="AR502" i="23916"/>
  <c r="AR500" i="23916"/>
  <c r="AP502" i="23916"/>
  <c r="AP501" i="23916"/>
  <c r="AP500" i="23916"/>
  <c r="EO500" i="23916"/>
  <c r="EM500" i="23916"/>
  <c r="EK500" i="23916"/>
  <c r="EI500" i="23916"/>
  <c r="EJ500" i="23916" s="1"/>
  <c r="EG500" i="23916"/>
  <c r="EE500" i="23916"/>
  <c r="EC500" i="23916"/>
  <c r="EA500" i="23916"/>
  <c r="EB500" i="23916" s="1"/>
  <c r="DU500" i="23916"/>
  <c r="DS500" i="23916"/>
  <c r="DQ500" i="23916"/>
  <c r="DO500" i="23916"/>
  <c r="DP500" i="23916" s="1"/>
  <c r="DM500" i="23916"/>
  <c r="DK500" i="23916"/>
  <c r="DI500" i="23916"/>
  <c r="DG500" i="23916"/>
  <c r="DH500" i="23916" s="1"/>
  <c r="DE500" i="23916"/>
  <c r="DC500" i="23916"/>
  <c r="DA500" i="23916"/>
  <c r="CY500" i="23916"/>
  <c r="CW500" i="23916"/>
  <c r="CU500" i="23916"/>
  <c r="CS500" i="23916"/>
  <c r="CK500" i="23916"/>
  <c r="CI500" i="23916"/>
  <c r="CJ500" i="23916" s="1"/>
  <c r="CG500" i="23916"/>
  <c r="CE500" i="23916"/>
  <c r="CC500" i="23916"/>
  <c r="CA500" i="23916"/>
  <c r="BY500" i="23916"/>
  <c r="BW500" i="23916"/>
  <c r="BU500" i="23916"/>
  <c r="BQ500" i="23916"/>
  <c r="BO500" i="23916"/>
  <c r="BM500" i="23916"/>
  <c r="BK500" i="23916"/>
  <c r="BL500" i="23916" s="1"/>
  <c r="BI500" i="23916"/>
  <c r="BG500" i="23916"/>
  <c r="BE500" i="23916"/>
  <c r="BC500" i="23916"/>
  <c r="BD500" i="23916" s="1"/>
  <c r="BA500" i="23916"/>
  <c r="AY500" i="23916"/>
  <c r="AW500" i="23916"/>
  <c r="AU500" i="23916"/>
  <c r="AV500" i="23916" s="1"/>
  <c r="AS500" i="23916"/>
  <c r="AQ500" i="23916"/>
  <c r="FQ500" i="23916"/>
  <c r="FP500" i="23916"/>
  <c r="DY500" i="23916"/>
  <c r="DX500" i="23916"/>
  <c r="DW500" i="23916"/>
  <c r="AN497" i="23916"/>
  <c r="AN496" i="23916"/>
  <c r="AN495" i="23916"/>
  <c r="AN494" i="23916"/>
  <c r="AN493" i="23916"/>
  <c r="AL497" i="23916"/>
  <c r="AL496" i="23916"/>
  <c r="AL495" i="23916"/>
  <c r="AL494" i="23916"/>
  <c r="AL493" i="23916"/>
  <c r="AJ497" i="23916"/>
  <c r="AJ496" i="23916"/>
  <c r="AJ495" i="23916"/>
  <c r="AJ494" i="23916"/>
  <c r="AJ493" i="23916"/>
  <c r="AH497" i="23916"/>
  <c r="AH496" i="23916"/>
  <c r="AH495" i="23916"/>
  <c r="AH494" i="23916"/>
  <c r="AH493" i="23916"/>
  <c r="AF497" i="23916"/>
  <c r="AF496" i="23916"/>
  <c r="AF495" i="23916"/>
  <c r="AF494" i="23916"/>
  <c r="AF493" i="23916"/>
  <c r="AD497" i="23916"/>
  <c r="AD496" i="23916"/>
  <c r="AD495" i="23916"/>
  <c r="AD494" i="23916"/>
  <c r="AD493" i="23916"/>
  <c r="AB497" i="23916"/>
  <c r="AB496" i="23916"/>
  <c r="AB495" i="23916"/>
  <c r="AB494" i="23916"/>
  <c r="AB493" i="23916"/>
  <c r="Z497" i="23916"/>
  <c r="Z496" i="23916"/>
  <c r="Z495" i="23916"/>
  <c r="Z494" i="23916"/>
  <c r="Z493" i="23916"/>
  <c r="X497" i="23916"/>
  <c r="X496" i="23916"/>
  <c r="X495" i="23916"/>
  <c r="X494" i="23916"/>
  <c r="X493" i="23916"/>
  <c r="V497" i="23916"/>
  <c r="V496" i="23916"/>
  <c r="V495" i="23916"/>
  <c r="V494" i="23916"/>
  <c r="V493" i="23916"/>
  <c r="T497" i="23916"/>
  <c r="T496" i="23916"/>
  <c r="T495" i="23916"/>
  <c r="T494" i="23916"/>
  <c r="T493" i="23916"/>
  <c r="R497" i="23916"/>
  <c r="R496" i="23916"/>
  <c r="R495" i="23916"/>
  <c r="R494" i="23916"/>
  <c r="R493" i="23916"/>
  <c r="P497" i="23916"/>
  <c r="P496" i="23916"/>
  <c r="P495" i="23916"/>
  <c r="P494" i="23916"/>
  <c r="P493" i="23916"/>
  <c r="N497" i="23916"/>
  <c r="N496" i="23916"/>
  <c r="N495" i="23916"/>
  <c r="N494" i="23916"/>
  <c r="N493" i="23916"/>
  <c r="L497" i="23916"/>
  <c r="L496" i="23916"/>
  <c r="L495" i="23916"/>
  <c r="L494" i="23916"/>
  <c r="L493" i="23916"/>
  <c r="AP497" i="23916"/>
  <c r="ED496" i="23916"/>
  <c r="DN496" i="23916"/>
  <c r="CX496" i="23916"/>
  <c r="CH496" i="23916"/>
  <c r="BR496" i="23916"/>
  <c r="BC496" i="23916"/>
  <c r="BC749" i="23916" s="1"/>
  <c r="BB496" i="23916"/>
  <c r="BA496" i="23916"/>
  <c r="BA749" i="23916" s="1"/>
  <c r="AY496" i="23916"/>
  <c r="AY749" i="23916" s="1"/>
  <c r="AX496" i="23916"/>
  <c r="AW496" i="23916"/>
  <c r="AW749" i="23916" s="1"/>
  <c r="AU496" i="23916"/>
  <c r="AU749" i="23916" s="1"/>
  <c r="AT496" i="23916"/>
  <c r="AS496" i="23916"/>
  <c r="AS749" i="23916" s="1"/>
  <c r="AQ496" i="23916"/>
  <c r="AQ749" i="23916" s="1"/>
  <c r="AP496" i="23916"/>
  <c r="AP495" i="23916"/>
  <c r="AP494" i="23916"/>
  <c r="EO493" i="23916"/>
  <c r="EP493" i="23916" s="1"/>
  <c r="EN493" i="23916"/>
  <c r="EM493" i="23916"/>
  <c r="EK493" i="23916"/>
  <c r="EJ493" i="23916"/>
  <c r="EI493" i="23916"/>
  <c r="EG493" i="23916"/>
  <c r="EH493" i="23916" s="1"/>
  <c r="EF493" i="23916"/>
  <c r="EE493" i="23916"/>
  <c r="EC493" i="23916"/>
  <c r="EB493" i="23916"/>
  <c r="EA493" i="23916"/>
  <c r="DY493" i="23916"/>
  <c r="DZ493" i="23916" s="1"/>
  <c r="DX493" i="23916"/>
  <c r="DW493" i="23916"/>
  <c r="DU493" i="23916"/>
  <c r="DT493" i="23916"/>
  <c r="DS493" i="23916"/>
  <c r="DQ493" i="23916"/>
  <c r="DR493" i="23916" s="1"/>
  <c r="DP493" i="23916"/>
  <c r="DO493" i="23916"/>
  <c r="DM493" i="23916"/>
  <c r="DL493" i="23916"/>
  <c r="DK493" i="23916"/>
  <c r="DI493" i="23916"/>
  <c r="DJ493" i="23916" s="1"/>
  <c r="DH493" i="23916"/>
  <c r="DG493" i="23916"/>
  <c r="DE493" i="23916"/>
  <c r="DD493" i="23916"/>
  <c r="DC493" i="23916"/>
  <c r="DA493" i="23916"/>
  <c r="DB493" i="23916" s="1"/>
  <c r="CZ493" i="23916"/>
  <c r="CY493" i="23916"/>
  <c r="CW493" i="23916"/>
  <c r="CV493" i="23916"/>
  <c r="CU493" i="23916"/>
  <c r="CS493" i="23916"/>
  <c r="CT493" i="23916" s="1"/>
  <c r="CR493" i="23916"/>
  <c r="CQ493" i="23916"/>
  <c r="CO493" i="23916"/>
  <c r="CN493" i="23916"/>
  <c r="CM493" i="23916"/>
  <c r="CK493" i="23916"/>
  <c r="CL493" i="23916" s="1"/>
  <c r="CJ493" i="23916"/>
  <c r="CI493" i="23916"/>
  <c r="CG493" i="23916"/>
  <c r="CF493" i="23916"/>
  <c r="CE493" i="23916"/>
  <c r="CC493" i="23916"/>
  <c r="CD493" i="23916" s="1"/>
  <c r="CB493" i="23916"/>
  <c r="CA493" i="23916"/>
  <c r="BY493" i="23916"/>
  <c r="BX493" i="23916"/>
  <c r="BW493" i="23916"/>
  <c r="BU493" i="23916"/>
  <c r="BV493" i="23916" s="1"/>
  <c r="BT493" i="23916"/>
  <c r="BS493" i="23916"/>
  <c r="BQ493" i="23916"/>
  <c r="BO493" i="23916"/>
  <c r="BM493" i="23916"/>
  <c r="BN493" i="23916" s="1"/>
  <c r="BL493" i="23916"/>
  <c r="BK493" i="23916"/>
  <c r="BI493" i="23916"/>
  <c r="BF493" i="23916"/>
  <c r="BE493" i="23916"/>
  <c r="BD493" i="23916"/>
  <c r="BC493" i="23916"/>
  <c r="BA493" i="23916"/>
  <c r="AZ493" i="23916"/>
  <c r="AY493" i="23916"/>
  <c r="AX493" i="23916"/>
  <c r="AW493" i="23916"/>
  <c r="AV493" i="23916"/>
  <c r="AU493" i="23916"/>
  <c r="AR493" i="23916"/>
  <c r="AQ493" i="23916"/>
  <c r="AP493" i="23916"/>
  <c r="GZ489" i="23916"/>
  <c r="GZ481" i="23916"/>
  <c r="GZ475" i="23916"/>
  <c r="GZ474" i="23916"/>
  <c r="GZ470" i="23916"/>
  <c r="GZ469" i="23916"/>
  <c r="FN488" i="23916"/>
  <c r="FN731" i="23916" s="1"/>
  <c r="GY486" i="23916"/>
  <c r="GW486" i="23916"/>
  <c r="GU486" i="23916"/>
  <c r="GQ486" i="23916"/>
  <c r="GP486" i="23916"/>
  <c r="GS486" i="23916" s="1"/>
  <c r="GO486" i="23916"/>
  <c r="GN486" i="23916"/>
  <c r="GZ486" i="23916" s="1"/>
  <c r="GM486" i="23916"/>
  <c r="GL486" i="23916"/>
  <c r="GK486" i="23916"/>
  <c r="GJ486" i="23916"/>
  <c r="GI486" i="23916"/>
  <c r="GH486" i="23916"/>
  <c r="GG486" i="23916"/>
  <c r="GF486" i="23916"/>
  <c r="GE486" i="23916"/>
  <c r="GD486" i="23916"/>
  <c r="GC486" i="23916"/>
  <c r="GB486" i="23916"/>
  <c r="FZ486" i="23916"/>
  <c r="FW486" i="23916"/>
  <c r="FV486" i="23916"/>
  <c r="FT486" i="23916"/>
  <c r="FQ486" i="23916"/>
  <c r="FP486" i="23916"/>
  <c r="EX486" i="23916"/>
  <c r="EV486" i="23916"/>
  <c r="ET486" i="23916"/>
  <c r="ER486" i="23916"/>
  <c r="EP486" i="23916"/>
  <c r="EP483" i="23916"/>
  <c r="EN486" i="23916"/>
  <c r="EN483" i="23916"/>
  <c r="EL486" i="23916"/>
  <c r="EL483" i="23916"/>
  <c r="EJ486" i="23916"/>
  <c r="EJ483" i="23916"/>
  <c r="EH486" i="23916"/>
  <c r="EH483" i="23916"/>
  <c r="EF486" i="23916"/>
  <c r="EF483" i="23916"/>
  <c r="ED486" i="23916"/>
  <c r="ED483" i="23916"/>
  <c r="EB486" i="23916"/>
  <c r="EB483" i="23916"/>
  <c r="DZ486" i="23916"/>
  <c r="DZ483" i="23916"/>
  <c r="DV486" i="23916"/>
  <c r="DV483" i="23916"/>
  <c r="DT486" i="23916"/>
  <c r="DT483" i="23916"/>
  <c r="DR486" i="23916"/>
  <c r="DR483" i="23916"/>
  <c r="DP486" i="23916"/>
  <c r="DP483" i="23916"/>
  <c r="DN486" i="23916"/>
  <c r="DN483" i="23916"/>
  <c r="DL486" i="23916"/>
  <c r="DL483" i="23916"/>
  <c r="DJ486" i="23916"/>
  <c r="DJ483" i="23916"/>
  <c r="DH486" i="23916"/>
  <c r="DH483" i="23916"/>
  <c r="DF486" i="23916"/>
  <c r="DF483" i="23916"/>
  <c r="DD486" i="23916"/>
  <c r="DD483" i="23916"/>
  <c r="DB486" i="23916"/>
  <c r="DB483" i="23916"/>
  <c r="CZ486" i="23916"/>
  <c r="CZ483" i="23916"/>
  <c r="CX486" i="23916"/>
  <c r="CX483" i="23916"/>
  <c r="CV486" i="23916"/>
  <c r="CV483" i="23916"/>
  <c r="CT486" i="23916"/>
  <c r="CT483" i="23916"/>
  <c r="CR486" i="23916"/>
  <c r="CR483" i="23916"/>
  <c r="CP486" i="23916"/>
  <c r="CP483" i="23916"/>
  <c r="CN486" i="23916"/>
  <c r="CN483" i="23916"/>
  <c r="CL486" i="23916"/>
  <c r="CL483" i="23916"/>
  <c r="CJ486" i="23916"/>
  <c r="CJ483" i="23916"/>
  <c r="CH486" i="23916"/>
  <c r="CH483" i="23916"/>
  <c r="CF486" i="23916"/>
  <c r="CF483" i="23916"/>
  <c r="CD486" i="23916"/>
  <c r="CD483" i="23916"/>
  <c r="CB486" i="23916"/>
  <c r="CB483" i="23916"/>
  <c r="BZ486" i="23916"/>
  <c r="BZ483" i="23916"/>
  <c r="BX486" i="23916"/>
  <c r="BW486" i="23916"/>
  <c r="BW537" i="23916" s="1"/>
  <c r="BX537" i="23916" s="1"/>
  <c r="BV486" i="23916"/>
  <c r="BT486" i="23916"/>
  <c r="BT483" i="23916"/>
  <c r="BR486" i="23916"/>
  <c r="BR483" i="23916"/>
  <c r="BP486" i="23916"/>
  <c r="BP483" i="23916"/>
  <c r="BN486" i="23916"/>
  <c r="BN483" i="23916"/>
  <c r="BL483" i="23916"/>
  <c r="BJ486" i="23916"/>
  <c r="BJ483" i="23916"/>
  <c r="BH486" i="23916"/>
  <c r="BH483" i="23916"/>
  <c r="BF486" i="23916"/>
  <c r="BF483" i="23916"/>
  <c r="BC486" i="23916"/>
  <c r="FR486" i="23916" s="1"/>
  <c r="BB486" i="23916"/>
  <c r="AZ486" i="23916"/>
  <c r="AZ483" i="23916"/>
  <c r="AX486" i="23916"/>
  <c r="AX483" i="23916"/>
  <c r="AV486" i="23916"/>
  <c r="AV483" i="23916"/>
  <c r="AT486" i="23916"/>
  <c r="AT483" i="23916"/>
  <c r="AR486" i="23916"/>
  <c r="AR483" i="23916"/>
  <c r="GT484" i="23916"/>
  <c r="GU484" i="23916" s="1"/>
  <c r="ES484" i="23916"/>
  <c r="BX483" i="23916"/>
  <c r="BV483" i="23916"/>
  <c r="BD483" i="23916"/>
  <c r="BB483" i="23916"/>
  <c r="GO483" i="23916"/>
  <c r="GN483" i="23916"/>
  <c r="GM483" i="23916"/>
  <c r="GL483" i="23916"/>
  <c r="GK483" i="23916"/>
  <c r="GJ483" i="23916"/>
  <c r="GI483" i="23916"/>
  <c r="GH483" i="23916"/>
  <c r="GG483" i="23916"/>
  <c r="GF483" i="23916"/>
  <c r="GE483" i="23916"/>
  <c r="GD483" i="23916"/>
  <c r="GC483" i="23916"/>
  <c r="GB483" i="23916"/>
  <c r="GA483" i="23916"/>
  <c r="FZ483" i="23916"/>
  <c r="FY483" i="23916"/>
  <c r="FX483" i="23916"/>
  <c r="FW483" i="23916"/>
  <c r="FV483" i="23916"/>
  <c r="FU483" i="23916"/>
  <c r="FT483" i="23916"/>
  <c r="FS483" i="23916"/>
  <c r="FR483" i="23916"/>
  <c r="FQ483" i="23916"/>
  <c r="FP483" i="23916"/>
  <c r="GY479" i="23916"/>
  <c r="GW479" i="23916"/>
  <c r="GU479" i="23916"/>
  <c r="GS479" i="23916"/>
  <c r="FS479" i="23916"/>
  <c r="EX479" i="23916"/>
  <c r="EX478" i="23916"/>
  <c r="EV479" i="23916"/>
  <c r="EV478" i="23916"/>
  <c r="ET479" i="23916"/>
  <c r="ET478" i="23916"/>
  <c r="ER479" i="23916"/>
  <c r="ER478" i="23916"/>
  <c r="EP479" i="23916"/>
  <c r="EP478" i="23916"/>
  <c r="EP476" i="23916"/>
  <c r="EN479" i="23916"/>
  <c r="EN478" i="23916"/>
  <c r="EN476" i="23916"/>
  <c r="EL479" i="23916"/>
  <c r="EL478" i="23916"/>
  <c r="EL476" i="23916"/>
  <c r="EJ479" i="23916"/>
  <c r="EJ478" i="23916"/>
  <c r="EJ476" i="23916"/>
  <c r="EH479" i="23916"/>
  <c r="EH478" i="23916"/>
  <c r="EH476" i="23916"/>
  <c r="EF479" i="23916"/>
  <c r="EF478" i="23916"/>
  <c r="EF476" i="23916"/>
  <c r="ED479" i="23916"/>
  <c r="ED478" i="23916"/>
  <c r="ED476" i="23916"/>
  <c r="EB479" i="23916"/>
  <c r="EB478" i="23916"/>
  <c r="EB476" i="23916"/>
  <c r="DZ479" i="23916"/>
  <c r="DZ478" i="23916"/>
  <c r="DZ476" i="23916"/>
  <c r="DV479" i="23916"/>
  <c r="DV478" i="23916"/>
  <c r="DV476" i="23916"/>
  <c r="DT479" i="23916"/>
  <c r="DT478" i="23916"/>
  <c r="DT476" i="23916"/>
  <c r="DR479" i="23916"/>
  <c r="DR478" i="23916"/>
  <c r="DR476" i="23916"/>
  <c r="DP479" i="23916"/>
  <c r="DP478" i="23916"/>
  <c r="DP476" i="23916"/>
  <c r="DN479" i="23916"/>
  <c r="DN478" i="23916"/>
  <c r="DN476" i="23916"/>
  <c r="GT478" i="23916"/>
  <c r="GV478" i="23916" s="1"/>
  <c r="GP479" i="23916"/>
  <c r="GQ479" i="23916" s="1"/>
  <c r="GN479" i="23916"/>
  <c r="GZ479" i="23916" s="1"/>
  <c r="GL479" i="23916"/>
  <c r="GM479" i="23916" s="1"/>
  <c r="GJ479" i="23916"/>
  <c r="GK479" i="23916" s="1"/>
  <c r="GH479" i="23916"/>
  <c r="GI479" i="23916" s="1"/>
  <c r="GF479" i="23916"/>
  <c r="GG479" i="23916" s="1"/>
  <c r="GD479" i="23916"/>
  <c r="GE479" i="23916" s="1"/>
  <c r="GB479" i="23916"/>
  <c r="GC479" i="23916" s="1"/>
  <c r="FZ479" i="23916"/>
  <c r="GA479" i="23916" s="1"/>
  <c r="FX479" i="23916"/>
  <c r="FY479" i="23916" s="1"/>
  <c r="FV479" i="23916"/>
  <c r="FW479" i="23916" s="1"/>
  <c r="FU479" i="23916"/>
  <c r="GQ478" i="23916"/>
  <c r="GP478" i="23916"/>
  <c r="GS478" i="23916" s="1"/>
  <c r="GO478" i="23916"/>
  <c r="GN478" i="23916"/>
  <c r="GM478" i="23916"/>
  <c r="GL478" i="23916"/>
  <c r="GK478" i="23916"/>
  <c r="GJ478" i="23916"/>
  <c r="GI478" i="23916"/>
  <c r="GH478" i="23916"/>
  <c r="GG478" i="23916"/>
  <c r="GF478" i="23916"/>
  <c r="GE478" i="23916"/>
  <c r="GD478" i="23916"/>
  <c r="GC478" i="23916"/>
  <c r="GB478" i="23916"/>
  <c r="GA478" i="23916"/>
  <c r="FZ478" i="23916"/>
  <c r="FY478" i="23916"/>
  <c r="FX478" i="23916"/>
  <c r="FW478" i="23916"/>
  <c r="FV478" i="23916"/>
  <c r="FT478" i="23916"/>
  <c r="FT476" i="23916"/>
  <c r="FT505" i="23916" s="1"/>
  <c r="FR476" i="23916"/>
  <c r="FR505" i="23916" s="1"/>
  <c r="DL478" i="23916"/>
  <c r="DL476" i="23916"/>
  <c r="DJ478" i="23916"/>
  <c r="DJ476" i="23916"/>
  <c r="DH478" i="23916"/>
  <c r="DH477" i="23916"/>
  <c r="DH476" i="23916"/>
  <c r="DF478" i="23916"/>
  <c r="DF476" i="23916"/>
  <c r="DD478" i="23916"/>
  <c r="DD476" i="23916"/>
  <c r="DB478" i="23916"/>
  <c r="DB476" i="23916"/>
  <c r="CZ478" i="23916"/>
  <c r="CZ477" i="23916"/>
  <c r="CZ476" i="23916"/>
  <c r="CX478" i="23916"/>
  <c r="CX476" i="23916"/>
  <c r="CV478" i="23916"/>
  <c r="CV476" i="23916"/>
  <c r="CT478" i="23916"/>
  <c r="CT476" i="23916"/>
  <c r="CR478" i="23916"/>
  <c r="CR477" i="23916"/>
  <c r="CR476" i="23916"/>
  <c r="CP478" i="23916"/>
  <c r="CP476" i="23916"/>
  <c r="CN478" i="23916"/>
  <c r="CN476" i="23916"/>
  <c r="CL478" i="23916"/>
  <c r="CL476" i="23916"/>
  <c r="CJ478" i="23916"/>
  <c r="CJ477" i="23916"/>
  <c r="CJ476" i="23916"/>
  <c r="CH478" i="23916"/>
  <c r="CH476" i="23916"/>
  <c r="CF478" i="23916"/>
  <c r="CF476" i="23916"/>
  <c r="CD478" i="23916"/>
  <c r="CD476" i="23916"/>
  <c r="CB478" i="23916"/>
  <c r="CB476" i="23916"/>
  <c r="BZ478" i="23916"/>
  <c r="BZ476" i="23916"/>
  <c r="BX478" i="23916"/>
  <c r="BX476" i="23916"/>
  <c r="BE478" i="23916"/>
  <c r="BE477" i="23916" s="1"/>
  <c r="BC478" i="23916"/>
  <c r="BC477" i="23916" s="1"/>
  <c r="BA478" i="23916"/>
  <c r="FR478" i="23916" s="1"/>
  <c r="EU477" i="23916"/>
  <c r="EV477" i="23916" s="1"/>
  <c r="ES477" i="23916"/>
  <c r="ET477" i="23916" s="1"/>
  <c r="EO477" i="23916"/>
  <c r="EP477" i="23916" s="1"/>
  <c r="EM477" i="23916"/>
  <c r="EN477" i="23916" s="1"/>
  <c r="EK477" i="23916"/>
  <c r="EL477" i="23916" s="1"/>
  <c r="EI477" i="23916"/>
  <c r="ER477" i="23916" s="1"/>
  <c r="EG477" i="23916"/>
  <c r="EH477" i="23916" s="1"/>
  <c r="EE477" i="23916"/>
  <c r="EF477" i="23916" s="1"/>
  <c r="EC477" i="23916"/>
  <c r="ED477" i="23916" s="1"/>
  <c r="EA477" i="23916"/>
  <c r="EB477" i="23916" s="1"/>
  <c r="DY477" i="23916"/>
  <c r="DZ477" i="23916" s="1"/>
  <c r="DX477" i="23916"/>
  <c r="DX480" i="23916" s="1"/>
  <c r="DX482" i="23916" s="1"/>
  <c r="DW477" i="23916"/>
  <c r="DW480" i="23916" s="1"/>
  <c r="DW482" i="23916" s="1"/>
  <c r="DU477" i="23916"/>
  <c r="DV477" i="23916" s="1"/>
  <c r="DS477" i="23916"/>
  <c r="DT477" i="23916" s="1"/>
  <c r="DQ477" i="23916"/>
  <c r="DR477" i="23916" s="1"/>
  <c r="DO477" i="23916"/>
  <c r="DP477" i="23916" s="1"/>
  <c r="DM477" i="23916"/>
  <c r="DN477" i="23916" s="1"/>
  <c r="DK477" i="23916"/>
  <c r="DL477" i="23916" s="1"/>
  <c r="DI477" i="23916"/>
  <c r="DI480" i="23916" s="1"/>
  <c r="DG477" i="23916"/>
  <c r="DG480" i="23916" s="1"/>
  <c r="DE477" i="23916"/>
  <c r="DF477" i="23916" s="1"/>
  <c r="DC477" i="23916"/>
  <c r="DD477" i="23916" s="1"/>
  <c r="DA477" i="23916"/>
  <c r="DA480" i="23916" s="1"/>
  <c r="CY477" i="23916"/>
  <c r="CY480" i="23916" s="1"/>
  <c r="CW477" i="23916"/>
  <c r="CX477" i="23916" s="1"/>
  <c r="CU477" i="23916"/>
  <c r="CV477" i="23916" s="1"/>
  <c r="CS477" i="23916"/>
  <c r="CS480" i="23916" s="1"/>
  <c r="CQ477" i="23916"/>
  <c r="CQ480" i="23916" s="1"/>
  <c r="CO477" i="23916"/>
  <c r="CP477" i="23916" s="1"/>
  <c r="CM477" i="23916"/>
  <c r="CN477" i="23916" s="1"/>
  <c r="CK477" i="23916"/>
  <c r="CK480" i="23916" s="1"/>
  <c r="CI477" i="23916"/>
  <c r="CI480" i="23916" s="1"/>
  <c r="CG477" i="23916"/>
  <c r="CH477" i="23916" s="1"/>
  <c r="CE477" i="23916"/>
  <c r="CF477" i="23916" s="1"/>
  <c r="CC477" i="23916"/>
  <c r="CC480" i="23916" s="1"/>
  <c r="CA477" i="23916"/>
  <c r="CA480" i="23916" s="1"/>
  <c r="BY477" i="23916"/>
  <c r="BZ477" i="23916" s="1"/>
  <c r="BW477" i="23916"/>
  <c r="BX477" i="23916" s="1"/>
  <c r="BU477" i="23916"/>
  <c r="BU480" i="23916" s="1"/>
  <c r="BS477" i="23916"/>
  <c r="BS480" i="23916" s="1"/>
  <c r="BQ477" i="23916"/>
  <c r="BQ480" i="23916" s="1"/>
  <c r="BO477" i="23916"/>
  <c r="FV477" i="23916" s="1"/>
  <c r="BM477" i="23916"/>
  <c r="BM480" i="23916" s="1"/>
  <c r="BK477" i="23916"/>
  <c r="BK480" i="23916" s="1"/>
  <c r="BI477" i="23916"/>
  <c r="BI480" i="23916" s="1"/>
  <c r="BG477" i="23916"/>
  <c r="BG480" i="23916" s="1"/>
  <c r="BD476" i="23916"/>
  <c r="BB476" i="23916"/>
  <c r="AZ477" i="23916"/>
  <c r="AY477" i="23916"/>
  <c r="AY480" i="23916" s="1"/>
  <c r="AX477" i="23916"/>
  <c r="AW477" i="23916"/>
  <c r="AW480" i="23916" s="1"/>
  <c r="AV477" i="23916"/>
  <c r="AU477" i="23916"/>
  <c r="AU480" i="23916" s="1"/>
  <c r="AV480" i="23916" s="1"/>
  <c r="AT477" i="23916"/>
  <c r="AS477" i="23916"/>
  <c r="AS480" i="23916" s="1"/>
  <c r="AT480" i="23916" s="1"/>
  <c r="AR477" i="23916"/>
  <c r="AQ477" i="23916"/>
  <c r="AQ480" i="23916" s="1"/>
  <c r="AR480" i="23916" s="1"/>
  <c r="GN477" i="23916"/>
  <c r="GJ477" i="23916"/>
  <c r="GF477" i="23916"/>
  <c r="GB477" i="23916"/>
  <c r="FX477" i="23916"/>
  <c r="GN476" i="23916"/>
  <c r="GN505" i="23916" s="1"/>
  <c r="GO505" i="23916" s="1"/>
  <c r="GL476" i="23916"/>
  <c r="GL505" i="23916" s="1"/>
  <c r="GJ476" i="23916"/>
  <c r="GJ505" i="23916" s="1"/>
  <c r="GK505" i="23916" s="1"/>
  <c r="GH476" i="23916"/>
  <c r="GH505" i="23916" s="1"/>
  <c r="GF476" i="23916"/>
  <c r="GF505" i="23916" s="1"/>
  <c r="GG505" i="23916" s="1"/>
  <c r="GD476" i="23916"/>
  <c r="GD505" i="23916" s="1"/>
  <c r="GB476" i="23916"/>
  <c r="GB505" i="23916" s="1"/>
  <c r="GC505" i="23916" s="1"/>
  <c r="FZ476" i="23916"/>
  <c r="FZ505" i="23916" s="1"/>
  <c r="FX476" i="23916"/>
  <c r="FX505" i="23916" s="1"/>
  <c r="FY505" i="23916" s="1"/>
  <c r="FV476" i="23916"/>
  <c r="FV505" i="23916" s="1"/>
  <c r="FW505" i="23916" s="1"/>
  <c r="FQ477" i="23916"/>
  <c r="FP477" i="23916"/>
  <c r="FQ476" i="23916"/>
  <c r="FP476" i="23916"/>
  <c r="FP480" i="23916" s="1"/>
  <c r="FQ480" i="23916" s="1"/>
  <c r="EQ476" i="23916"/>
  <c r="EQ505" i="23916" s="1"/>
  <c r="ER505" i="23916" s="1"/>
  <c r="BV476" i="23916"/>
  <c r="BT476" i="23916"/>
  <c r="BR476" i="23916"/>
  <c r="BP476" i="23916"/>
  <c r="BN476" i="23916"/>
  <c r="BL476" i="23916"/>
  <c r="BJ476" i="23916"/>
  <c r="BH476" i="23916"/>
  <c r="BF476" i="23916"/>
  <c r="AZ476" i="23916"/>
  <c r="AX476" i="23916"/>
  <c r="AV476" i="23916"/>
  <c r="AT476" i="23916"/>
  <c r="AR476" i="23916"/>
  <c r="EN473" i="23916"/>
  <c r="EN472" i="23916"/>
  <c r="EL473" i="23916"/>
  <c r="EL472" i="23916"/>
  <c r="EL471" i="23916"/>
  <c r="EJ473" i="23916"/>
  <c r="EJ472" i="23916"/>
  <c r="EH473" i="23916"/>
  <c r="EH472" i="23916"/>
  <c r="EF473" i="23916"/>
  <c r="EF472" i="23916"/>
  <c r="ED473" i="23916"/>
  <c r="ED472" i="23916"/>
  <c r="ED471" i="23916"/>
  <c r="EB473" i="23916"/>
  <c r="EB472" i="23916"/>
  <c r="DZ473" i="23916"/>
  <c r="DZ472" i="23916"/>
  <c r="DV473" i="23916"/>
  <c r="DV472" i="23916"/>
  <c r="DT473" i="23916"/>
  <c r="DT472" i="23916"/>
  <c r="DR473" i="23916"/>
  <c r="DR472" i="23916"/>
  <c r="DP473" i="23916"/>
  <c r="DP472" i="23916"/>
  <c r="DN473" i="23916"/>
  <c r="DN472" i="23916"/>
  <c r="DL473" i="23916"/>
  <c r="DL472" i="23916"/>
  <c r="DJ473" i="23916"/>
  <c r="DJ472" i="23916"/>
  <c r="DH473" i="23916"/>
  <c r="DH472" i="23916"/>
  <c r="DF473" i="23916"/>
  <c r="DF472" i="23916"/>
  <c r="DD473" i="23916"/>
  <c r="DD472" i="23916"/>
  <c r="DB473" i="23916"/>
  <c r="DB472" i="23916"/>
  <c r="CZ473" i="23916"/>
  <c r="CZ472" i="23916"/>
  <c r="CX473" i="23916"/>
  <c r="CX472" i="23916"/>
  <c r="CV473" i="23916"/>
  <c r="CV472" i="23916"/>
  <c r="CT472" i="23916"/>
  <c r="CR472" i="23916"/>
  <c r="CP472" i="23916"/>
  <c r="CN472" i="23916"/>
  <c r="CI473" i="23916"/>
  <c r="CJ473" i="23916" s="1"/>
  <c r="CA473" i="23916"/>
  <c r="CB473" i="23916" s="1"/>
  <c r="BS473" i="23916"/>
  <c r="BT473" i="23916" s="1"/>
  <c r="BK473" i="23916"/>
  <c r="BL473" i="23916" s="1"/>
  <c r="BC473" i="23916"/>
  <c r="BD473" i="23916" s="1"/>
  <c r="BA473" i="23916"/>
  <c r="AY473" i="23916"/>
  <c r="AY482" i="23916" s="1"/>
  <c r="AW473" i="23916"/>
  <c r="AX473" i="23916" s="1"/>
  <c r="AU473" i="23916"/>
  <c r="AV473" i="23916" s="1"/>
  <c r="AS473" i="23916"/>
  <c r="AS482" i="23916" s="1"/>
  <c r="AQ473" i="23916"/>
  <c r="AQ482" i="23916" s="1"/>
  <c r="CL472" i="23916"/>
  <c r="CJ472" i="23916"/>
  <c r="CJ471" i="23916"/>
  <c r="CH472" i="23916"/>
  <c r="CF472" i="23916"/>
  <c r="CD472" i="23916"/>
  <c r="CB472" i="23916"/>
  <c r="CB471" i="23916"/>
  <c r="BZ472" i="23916"/>
  <c r="BX472" i="23916"/>
  <c r="BV472" i="23916"/>
  <c r="BT472" i="23916"/>
  <c r="BT471" i="23916"/>
  <c r="BR472" i="23916"/>
  <c r="BP472" i="23916"/>
  <c r="BN472" i="23916"/>
  <c r="BL472" i="23916"/>
  <c r="BL471" i="23916"/>
  <c r="BJ472" i="23916"/>
  <c r="BH472" i="23916"/>
  <c r="BF472" i="23916"/>
  <c r="BD472" i="23916"/>
  <c r="BD471" i="23916"/>
  <c r="BB472" i="23916"/>
  <c r="BB471" i="23916"/>
  <c r="AZ472" i="23916"/>
  <c r="AZ471" i="23916"/>
  <c r="AX472" i="23916"/>
  <c r="AX471" i="23916"/>
  <c r="AV472" i="23916"/>
  <c r="AV471" i="23916"/>
  <c r="AT472" i="23916"/>
  <c r="AT471" i="23916"/>
  <c r="AR472" i="23916"/>
  <c r="AR471" i="23916"/>
  <c r="GN472" i="23916"/>
  <c r="GO472" i="23916" s="1"/>
  <c r="GL472" i="23916"/>
  <c r="GM472" i="23916" s="1"/>
  <c r="GJ472" i="23916"/>
  <c r="GK472" i="23916" s="1"/>
  <c r="GH472" i="23916"/>
  <c r="GI472" i="23916" s="1"/>
  <c r="GF472" i="23916"/>
  <c r="GG472" i="23916" s="1"/>
  <c r="GD472" i="23916"/>
  <c r="GE472" i="23916" s="1"/>
  <c r="GB472" i="23916"/>
  <c r="GC472" i="23916" s="1"/>
  <c r="FZ472" i="23916"/>
  <c r="GA472" i="23916" s="1"/>
  <c r="FX472" i="23916"/>
  <c r="FY472" i="23916" s="1"/>
  <c r="FV472" i="23916"/>
  <c r="FW472" i="23916" s="1"/>
  <c r="FT472" i="23916"/>
  <c r="FU472" i="23916" s="1"/>
  <c r="FR472" i="23916"/>
  <c r="FS472" i="23916" s="1"/>
  <c r="FP472" i="23916"/>
  <c r="FQ472" i="23916" s="1"/>
  <c r="FP471" i="23916"/>
  <c r="FQ471" i="23916" s="1"/>
  <c r="EP473" i="23916"/>
  <c r="ER472" i="23916"/>
  <c r="EQ472" i="23916"/>
  <c r="EP472" i="23916"/>
  <c r="EO471" i="23916"/>
  <c r="EO496" i="23916" s="1"/>
  <c r="EO749" i="23916" s="1"/>
  <c r="EM471" i="23916"/>
  <c r="EM496" i="23916" s="1"/>
  <c r="EK471" i="23916"/>
  <c r="EK496" i="23916" s="1"/>
  <c r="EK749" i="23916" s="1"/>
  <c r="EI471" i="23916"/>
  <c r="EI496" i="23916" s="1"/>
  <c r="EG471" i="23916"/>
  <c r="EG496" i="23916" s="1"/>
  <c r="EG749" i="23916" s="1"/>
  <c r="EE471" i="23916"/>
  <c r="EE496" i="23916" s="1"/>
  <c r="EC471" i="23916"/>
  <c r="EC496" i="23916" s="1"/>
  <c r="EC749" i="23916" s="1"/>
  <c r="EA471" i="23916"/>
  <c r="EA496" i="23916" s="1"/>
  <c r="DY471" i="23916"/>
  <c r="DY496" i="23916" s="1"/>
  <c r="DY749" i="23916" s="1"/>
  <c r="DX471" i="23916"/>
  <c r="DX496" i="23916" s="1"/>
  <c r="DW471" i="23916"/>
  <c r="DW496" i="23916" s="1"/>
  <c r="DW749" i="23916" s="1"/>
  <c r="DU471" i="23916"/>
  <c r="DU496" i="23916" s="1"/>
  <c r="DU749" i="23916" s="1"/>
  <c r="DS471" i="23916"/>
  <c r="DS496" i="23916" s="1"/>
  <c r="DQ471" i="23916"/>
  <c r="DQ496" i="23916" s="1"/>
  <c r="DQ749" i="23916" s="1"/>
  <c r="DO471" i="23916"/>
  <c r="DO496" i="23916" s="1"/>
  <c r="DM471" i="23916"/>
  <c r="DM496" i="23916" s="1"/>
  <c r="DM749" i="23916" s="1"/>
  <c r="DK471" i="23916"/>
  <c r="DK496" i="23916" s="1"/>
  <c r="DI471" i="23916"/>
  <c r="DI496" i="23916" s="1"/>
  <c r="DI749" i="23916" s="1"/>
  <c r="DG471" i="23916"/>
  <c r="DG496" i="23916" s="1"/>
  <c r="DE471" i="23916"/>
  <c r="DE496" i="23916" s="1"/>
  <c r="DE749" i="23916" s="1"/>
  <c r="DC471" i="23916"/>
  <c r="DC496" i="23916" s="1"/>
  <c r="DA471" i="23916"/>
  <c r="DA496" i="23916" s="1"/>
  <c r="DA749" i="23916" s="1"/>
  <c r="CY471" i="23916"/>
  <c r="CY496" i="23916" s="1"/>
  <c r="CW471" i="23916"/>
  <c r="CW496" i="23916" s="1"/>
  <c r="CW749" i="23916" s="1"/>
  <c r="CU471" i="23916"/>
  <c r="CU496" i="23916" s="1"/>
  <c r="CS471" i="23916"/>
  <c r="CS496" i="23916" s="1"/>
  <c r="CS749" i="23916" s="1"/>
  <c r="CQ471" i="23916"/>
  <c r="CQ496" i="23916" s="1"/>
  <c r="CO471" i="23916"/>
  <c r="CO496" i="23916" s="1"/>
  <c r="CM471" i="23916"/>
  <c r="CM496" i="23916" s="1"/>
  <c r="CK471" i="23916"/>
  <c r="CK496" i="23916" s="1"/>
  <c r="CK749" i="23916" s="1"/>
  <c r="CI471" i="23916"/>
  <c r="CI496" i="23916" s="1"/>
  <c r="CG471" i="23916"/>
  <c r="CG496" i="23916" s="1"/>
  <c r="CG749" i="23916" s="1"/>
  <c r="CE471" i="23916"/>
  <c r="CE496" i="23916" s="1"/>
  <c r="CC471" i="23916"/>
  <c r="CC496" i="23916" s="1"/>
  <c r="CC749" i="23916" s="1"/>
  <c r="CA471" i="23916"/>
  <c r="CA496" i="23916" s="1"/>
  <c r="BY471" i="23916"/>
  <c r="BY496" i="23916" s="1"/>
  <c r="BY749" i="23916" s="1"/>
  <c r="BW471" i="23916"/>
  <c r="BW496" i="23916" s="1"/>
  <c r="BU471" i="23916"/>
  <c r="BS471" i="23916"/>
  <c r="BS496" i="23916" s="1"/>
  <c r="BQ471" i="23916"/>
  <c r="BQ496" i="23916" s="1"/>
  <c r="BQ749" i="23916" s="1"/>
  <c r="BO471" i="23916"/>
  <c r="BO496" i="23916" s="1"/>
  <c r="BM471" i="23916"/>
  <c r="BM496" i="23916" s="1"/>
  <c r="BM749" i="23916" s="1"/>
  <c r="BK471" i="23916"/>
  <c r="BK496" i="23916" s="1"/>
  <c r="BI471" i="23916"/>
  <c r="BI496" i="23916" s="1"/>
  <c r="BI749" i="23916" s="1"/>
  <c r="BG471" i="23916"/>
  <c r="BG496" i="23916" s="1"/>
  <c r="BE471" i="23916"/>
  <c r="BE496" i="23916" s="1"/>
  <c r="BE749" i="23916" s="1"/>
  <c r="FB465" i="23916"/>
  <c r="FN466" i="23916"/>
  <c r="FJ466" i="23916"/>
  <c r="FK466" i="23916" s="1"/>
  <c r="FF466" i="23916"/>
  <c r="FQ465" i="23916"/>
  <c r="FP465" i="23916"/>
  <c r="FN465" i="23916"/>
  <c r="FO465" i="23916" s="1"/>
  <c r="FM465" i="23916"/>
  <c r="FL465" i="23916"/>
  <c r="FJ465" i="23916"/>
  <c r="FK465" i="23916" s="1"/>
  <c r="FI465" i="23916"/>
  <c r="FH465" i="23916"/>
  <c r="FF465" i="23916"/>
  <c r="FG465" i="23916" s="1"/>
  <c r="FE465" i="23916"/>
  <c r="FD465" i="23916"/>
  <c r="BA465" i="23916"/>
  <c r="AY461" i="23916"/>
  <c r="AY530" i="23916" s="1"/>
  <c r="BF460" i="23916"/>
  <c r="BF457" i="23916"/>
  <c r="BD460" i="23916"/>
  <c r="BD457" i="23916"/>
  <c r="BB460" i="23916"/>
  <c r="BB457" i="23916"/>
  <c r="AZ460" i="23916"/>
  <c r="AX460" i="23916"/>
  <c r="AX457" i="23916"/>
  <c r="AV460" i="23916"/>
  <c r="AV457" i="23916"/>
  <c r="AT460" i="23916"/>
  <c r="AT457" i="23916"/>
  <c r="AT456" i="23916"/>
  <c r="AR460" i="23916"/>
  <c r="AR457" i="23916"/>
  <c r="AP460" i="23916"/>
  <c r="AP457" i="23916"/>
  <c r="AN460" i="23916"/>
  <c r="AN457" i="23916"/>
  <c r="AL460" i="23916"/>
  <c r="AL457" i="23916"/>
  <c r="AL456" i="23916"/>
  <c r="AJ460" i="23916"/>
  <c r="AJ457" i="23916"/>
  <c r="AH460" i="23916"/>
  <c r="AH457" i="23916"/>
  <c r="AF460" i="23916"/>
  <c r="AF457" i="23916"/>
  <c r="AD460" i="23916"/>
  <c r="AD457" i="23916"/>
  <c r="AD456" i="23916"/>
  <c r="AB460" i="23916"/>
  <c r="AB457" i="23916"/>
  <c r="Z460" i="23916"/>
  <c r="Z457" i="23916"/>
  <c r="X460" i="23916"/>
  <c r="X457" i="23916"/>
  <c r="V460" i="23916"/>
  <c r="V457" i="23916"/>
  <c r="V456" i="23916"/>
  <c r="T460" i="23916"/>
  <c r="T457" i="23916"/>
  <c r="R460" i="23916"/>
  <c r="R457" i="23916"/>
  <c r="P460" i="23916"/>
  <c r="P457" i="23916"/>
  <c r="N460" i="23916"/>
  <c r="N457" i="23916"/>
  <c r="N456" i="23916"/>
  <c r="L460" i="23916"/>
  <c r="L457" i="23916"/>
  <c r="FD459" i="23916"/>
  <c r="FD466" i="23916" s="1"/>
  <c r="FE466" i="23916" s="1"/>
  <c r="FD458" i="23916"/>
  <c r="FB459" i="23916"/>
  <c r="FB466" i="23916" s="1"/>
  <c r="FB458" i="23916"/>
  <c r="BA459" i="23916"/>
  <c r="BA461" i="23916" s="1"/>
  <c r="BA458" i="23916"/>
  <c r="AW459" i="23916"/>
  <c r="AW461" i="23916" s="1"/>
  <c r="AS459" i="23916"/>
  <c r="AS461" i="23916" s="1"/>
  <c r="AO459" i="23916"/>
  <c r="AO461" i="23916" s="1"/>
  <c r="AP461" i="23916" s="1"/>
  <c r="AK459" i="23916"/>
  <c r="AK461" i="23916" s="1"/>
  <c r="AG459" i="23916"/>
  <c r="AG461" i="23916" s="1"/>
  <c r="AC459" i="23916"/>
  <c r="AC461" i="23916" s="1"/>
  <c r="AD461" i="23916" s="1"/>
  <c r="Y459" i="23916"/>
  <c r="Y461" i="23916" s="1"/>
  <c r="Z461" i="23916" s="1"/>
  <c r="U459" i="23916"/>
  <c r="U461" i="23916" s="1"/>
  <c r="Q459" i="23916"/>
  <c r="Q461" i="23916" s="1"/>
  <c r="M458" i="23916"/>
  <c r="N458" i="23916" s="1"/>
  <c r="I458" i="23916"/>
  <c r="R458" i="23916" s="1"/>
  <c r="E458" i="23916"/>
  <c r="FQ462" i="23916"/>
  <c r="FP462" i="23916"/>
  <c r="FP461" i="23916"/>
  <c r="FR460" i="23916"/>
  <c r="FP460" i="23916"/>
  <c r="FQ460" i="23916" s="1"/>
  <c r="FQ459" i="23916"/>
  <c r="FP459" i="23916"/>
  <c r="FP466" i="23916" s="1"/>
  <c r="FQ466" i="23916" s="1"/>
  <c r="FQ458" i="23916"/>
  <c r="FP458" i="23916"/>
  <c r="FN460" i="23916"/>
  <c r="FO460" i="23916" s="1"/>
  <c r="FM460" i="23916"/>
  <c r="FL460" i="23916"/>
  <c r="FJ460" i="23916"/>
  <c r="FK460" i="23916" s="1"/>
  <c r="FI460" i="23916"/>
  <c r="FH460" i="23916"/>
  <c r="FF460" i="23916"/>
  <c r="FG460" i="23916" s="1"/>
  <c r="FE460" i="23916"/>
  <c r="FN459" i="23916"/>
  <c r="FN461" i="23916" s="1"/>
  <c r="FL459" i="23916"/>
  <c r="FL466" i="23916" s="1"/>
  <c r="FM466" i="23916" s="1"/>
  <c r="FJ459" i="23916"/>
  <c r="FJ461" i="23916" s="1"/>
  <c r="FH459" i="23916"/>
  <c r="FH466" i="23916" s="1"/>
  <c r="FI466" i="23916" s="1"/>
  <c r="FG459" i="23916"/>
  <c r="FF459" i="23916"/>
  <c r="FF461" i="23916" s="1"/>
  <c r="FO458" i="23916"/>
  <c r="FN458" i="23916"/>
  <c r="FL458" i="23916"/>
  <c r="FM458" i="23916" s="1"/>
  <c r="FK458" i="23916"/>
  <c r="FJ458" i="23916"/>
  <c r="FH458" i="23916"/>
  <c r="FI458" i="23916" s="1"/>
  <c r="FG458" i="23916"/>
  <c r="FF458" i="23916"/>
  <c r="FE458" i="23916"/>
  <c r="FO457" i="23916"/>
  <c r="FO456" i="23916"/>
  <c r="FM457" i="23916"/>
  <c r="FM456" i="23916"/>
  <c r="FK457" i="23916"/>
  <c r="FK456" i="23916"/>
  <c r="FI457" i="23916"/>
  <c r="FI456" i="23916"/>
  <c r="FG457" i="23916"/>
  <c r="FG456" i="23916"/>
  <c r="FE457" i="23916"/>
  <c r="FE456" i="23916"/>
  <c r="FR457" i="23916"/>
  <c r="FQ457" i="23916"/>
  <c r="FQ456" i="23916"/>
  <c r="AW456" i="23916"/>
  <c r="AX456" i="23916" s="1"/>
  <c r="AU456" i="23916"/>
  <c r="AU459" i="23916" s="1"/>
  <c r="AS456" i="23916"/>
  <c r="AS465" i="23916" s="1"/>
  <c r="AQ456" i="23916"/>
  <c r="AQ459" i="23916" s="1"/>
  <c r="AO456" i="23916"/>
  <c r="AP456" i="23916" s="1"/>
  <c r="AM456" i="23916"/>
  <c r="AM459" i="23916" s="1"/>
  <c r="AK456" i="23916"/>
  <c r="AK465" i="23916" s="1"/>
  <c r="AI456" i="23916"/>
  <c r="AI459" i="23916" s="1"/>
  <c r="AG456" i="23916"/>
  <c r="AH456" i="23916" s="1"/>
  <c r="AE456" i="23916"/>
  <c r="AE459" i="23916" s="1"/>
  <c r="AC456" i="23916"/>
  <c r="AC465" i="23916" s="1"/>
  <c r="AA456" i="23916"/>
  <c r="AA459" i="23916" s="1"/>
  <c r="Y456" i="23916"/>
  <c r="Z456" i="23916" s="1"/>
  <c r="W456" i="23916"/>
  <c r="W459" i="23916" s="1"/>
  <c r="U456" i="23916"/>
  <c r="U465" i="23916" s="1"/>
  <c r="S456" i="23916"/>
  <c r="S459" i="23916" s="1"/>
  <c r="Q456" i="23916"/>
  <c r="R456" i="23916" s="1"/>
  <c r="O456" i="23916"/>
  <c r="O458" i="23916" s="1"/>
  <c r="M456" i="23916"/>
  <c r="M465" i="23916" s="1"/>
  <c r="K456" i="23916"/>
  <c r="K458" i="23916" s="1"/>
  <c r="I456" i="23916"/>
  <c r="I459" i="23916" s="1"/>
  <c r="G456" i="23916"/>
  <c r="G458" i="23916" s="1"/>
  <c r="E456" i="23916"/>
  <c r="E459" i="23916" s="1"/>
  <c r="C456" i="23916"/>
  <c r="C458" i="23916" s="1"/>
  <c r="BE453" i="23916"/>
  <c r="BF453" i="23916" s="1"/>
  <c r="BD453" i="23916"/>
  <c r="BC453" i="23916"/>
  <c r="BA453" i="23916"/>
  <c r="BB453" i="23916" s="1"/>
  <c r="BF450" i="23916"/>
  <c r="BE450" i="23916"/>
  <c r="BC450" i="23916"/>
  <c r="BD450" i="23916" s="1"/>
  <c r="BB450" i="23916"/>
  <c r="BA450" i="23916"/>
  <c r="BE449" i="23916"/>
  <c r="BF449" i="23916" s="1"/>
  <c r="BD449" i="23916"/>
  <c r="BC449" i="23916"/>
  <c r="BC451" i="23916" s="1"/>
  <c r="BD451" i="23916" s="1"/>
  <c r="BA449" i="23916"/>
  <c r="BB449" i="23916" s="1"/>
  <c r="FQ446" i="23916"/>
  <c r="FO446" i="23916"/>
  <c r="FM446" i="23916"/>
  <c r="FK446" i="23916"/>
  <c r="FI446" i="23916"/>
  <c r="FG446" i="23916"/>
  <c r="FE446" i="23916"/>
  <c r="AX446" i="23916"/>
  <c r="AV446" i="23916"/>
  <c r="AT446" i="23916"/>
  <c r="AR446" i="23916"/>
  <c r="FR445" i="23916"/>
  <c r="FR443" i="23916"/>
  <c r="FR450" i="23916" s="1"/>
  <c r="FR442" i="23916"/>
  <c r="FR449" i="23916" s="1"/>
  <c r="FR451" i="23916" s="1"/>
  <c r="BF445" i="23916"/>
  <c r="BF444" i="23916"/>
  <c r="BF443" i="23916"/>
  <c r="BF442" i="23916"/>
  <c r="BD445" i="23916"/>
  <c r="BD443" i="23916"/>
  <c r="BD442" i="23916"/>
  <c r="BB445" i="23916"/>
  <c r="BB444" i="23916"/>
  <c r="BB443" i="23916"/>
  <c r="BB442" i="23916"/>
  <c r="BE444" i="23916"/>
  <c r="BE446" i="23916" s="1"/>
  <c r="BC444" i="23916"/>
  <c r="BC446" i="23916" s="1"/>
  <c r="BA444" i="23916"/>
  <c r="BA446" i="23916" s="1"/>
  <c r="BB446" i="23916" s="1"/>
  <c r="FR439" i="23916"/>
  <c r="FQ439" i="23916"/>
  <c r="FO439" i="23916"/>
  <c r="FM439" i="23916"/>
  <c r="FK439" i="23916"/>
  <c r="FI439" i="23916"/>
  <c r="FG439" i="23916"/>
  <c r="FE439" i="23916"/>
  <c r="BF439" i="23916"/>
  <c r="BD439" i="23916"/>
  <c r="BB439" i="23916"/>
  <c r="AX439" i="23916"/>
  <c r="AV439" i="23916"/>
  <c r="AT439" i="23916"/>
  <c r="AR439" i="23916"/>
  <c r="AP439" i="23916"/>
  <c r="AN439" i="23916"/>
  <c r="AL439" i="23916"/>
  <c r="AJ439" i="23916"/>
  <c r="AH439" i="23916"/>
  <c r="AF439" i="23916"/>
  <c r="AD439" i="23916"/>
  <c r="AB439" i="23916"/>
  <c r="Z439" i="23916"/>
  <c r="X439" i="23916"/>
  <c r="V439" i="23916"/>
  <c r="T439" i="23916"/>
  <c r="R439" i="23916"/>
  <c r="P439" i="23916"/>
  <c r="N439" i="23916"/>
  <c r="L439" i="23916"/>
  <c r="GZ435" i="23916"/>
  <c r="GZ434" i="23916"/>
  <c r="GZ433" i="23916"/>
  <c r="GZ432" i="23916"/>
  <c r="GZ431" i="23916"/>
  <c r="GZ430" i="23916"/>
  <c r="GZ429" i="23916"/>
  <c r="GZ428" i="23916"/>
  <c r="GZ427" i="23916"/>
  <c r="GZ426" i="23916"/>
  <c r="GZ425" i="23916"/>
  <c r="GZ424" i="23916"/>
  <c r="GZ423" i="23916"/>
  <c r="GZ422" i="23916"/>
  <c r="GZ421" i="23916"/>
  <c r="GZ420" i="23916"/>
  <c r="GZ419" i="23916"/>
  <c r="GZ418" i="23916"/>
  <c r="GZ417" i="23916"/>
  <c r="GZ416" i="23916"/>
  <c r="GZ415" i="23916"/>
  <c r="GZ414" i="23916"/>
  <c r="GZ413" i="23916"/>
  <c r="GZ412" i="23916"/>
  <c r="GZ411" i="23916"/>
  <c r="GZ410" i="23916"/>
  <c r="GZ409" i="23916"/>
  <c r="GZ408" i="23916"/>
  <c r="GZ407" i="23916"/>
  <c r="GZ406" i="23916"/>
  <c r="GZ405" i="23916"/>
  <c r="BX429" i="23916"/>
  <c r="BX426" i="23916"/>
  <c r="BV429" i="23916"/>
  <c r="BV426" i="23916"/>
  <c r="BT429" i="23916"/>
  <c r="BT426" i="23916"/>
  <c r="BR429" i="23916"/>
  <c r="BR426" i="23916"/>
  <c r="BP429" i="23916"/>
  <c r="BP426" i="23916"/>
  <c r="BN429" i="23916"/>
  <c r="BN426" i="23916"/>
  <c r="BL429" i="23916"/>
  <c r="BL426" i="23916"/>
  <c r="BJ429" i="23916"/>
  <c r="BJ426" i="23916"/>
  <c r="BH429" i="23916"/>
  <c r="BH426" i="23916"/>
  <c r="BF429" i="23916"/>
  <c r="BF426" i="23916"/>
  <c r="BD429" i="23916"/>
  <c r="BD426" i="23916"/>
  <c r="BB429" i="23916"/>
  <c r="BB426" i="23916"/>
  <c r="AZ429" i="23916"/>
  <c r="AZ426" i="23916"/>
  <c r="AX429" i="23916"/>
  <c r="AX426" i="23916"/>
  <c r="AV429" i="23916"/>
  <c r="AV426" i="23916"/>
  <c r="AT429" i="23916"/>
  <c r="AT426" i="23916"/>
  <c r="AR429" i="23916"/>
  <c r="AR426" i="23916"/>
  <c r="AP429" i="23916"/>
  <c r="AP426" i="23916"/>
  <c r="AN429" i="23916"/>
  <c r="AN426" i="23916"/>
  <c r="AL429" i="23916"/>
  <c r="AL426" i="23916"/>
  <c r="AJ429" i="23916"/>
  <c r="AJ426" i="23916"/>
  <c r="AH429" i="23916"/>
  <c r="AH426" i="23916"/>
  <c r="AF429" i="23916"/>
  <c r="AF426" i="23916"/>
  <c r="AD429" i="23916"/>
  <c r="AD426" i="23916"/>
  <c r="AB429" i="23916"/>
  <c r="AB426" i="23916"/>
  <c r="Z429" i="23916"/>
  <c r="Z426" i="23916"/>
  <c r="X429" i="23916"/>
  <c r="X426" i="23916"/>
  <c r="V429" i="23916"/>
  <c r="V426" i="23916"/>
  <c r="T429" i="23916"/>
  <c r="T426" i="23916"/>
  <c r="R429" i="23916"/>
  <c r="R426" i="23916"/>
  <c r="P429" i="23916"/>
  <c r="P426" i="23916"/>
  <c r="N429" i="23916"/>
  <c r="N426" i="23916"/>
  <c r="L429" i="23916"/>
  <c r="L426" i="23916"/>
  <c r="BM427" i="23916"/>
  <c r="FN429" i="23916"/>
  <c r="FO429" i="23916" s="1"/>
  <c r="FL429" i="23916"/>
  <c r="FJ429" i="23916"/>
  <c r="FK429" i="23916" s="1"/>
  <c r="FH429" i="23916"/>
  <c r="FF429" i="23916"/>
  <c r="FG429" i="23916" s="1"/>
  <c r="FE429" i="23916"/>
  <c r="FO426" i="23916"/>
  <c r="FM426" i="23916"/>
  <c r="FL426" i="23916"/>
  <c r="FK426" i="23916"/>
  <c r="FJ426" i="23916"/>
  <c r="FI426" i="23916"/>
  <c r="FH426" i="23916"/>
  <c r="FG426" i="23916"/>
  <c r="FF426" i="23916"/>
  <c r="FE426" i="23916"/>
  <c r="FV429" i="23916"/>
  <c r="FW429" i="23916" s="1"/>
  <c r="FT429" i="23916"/>
  <c r="FU429" i="23916" s="1"/>
  <c r="FR429" i="23916"/>
  <c r="FS429" i="23916" s="1"/>
  <c r="FP429" i="23916"/>
  <c r="FQ429" i="23916" s="1"/>
  <c r="FV426" i="23916"/>
  <c r="FW426" i="23916" s="1"/>
  <c r="FT426" i="23916"/>
  <c r="FR426" i="23916"/>
  <c r="FS426" i="23916" s="1"/>
  <c r="FP426" i="23916"/>
  <c r="BU425" i="23916"/>
  <c r="BM425" i="23916"/>
  <c r="BE425" i="23916"/>
  <c r="BE427" i="23916" s="1"/>
  <c r="AW425" i="23916"/>
  <c r="FB422" i="23916"/>
  <c r="FB421" i="23916"/>
  <c r="FE421" i="23916"/>
  <c r="FB418" i="23916"/>
  <c r="BW418" i="23916"/>
  <c r="BU418" i="23916"/>
  <c r="BV418" i="23916" s="1"/>
  <c r="BS418" i="23916"/>
  <c r="BQ418" i="23916"/>
  <c r="BO418" i="23916"/>
  <c r="BP418" i="23916" s="1"/>
  <c r="BM418" i="23916"/>
  <c r="BN418" i="23916" s="1"/>
  <c r="BK418" i="23916"/>
  <c r="BL418" i="23916" s="1"/>
  <c r="BG418" i="23916"/>
  <c r="BE418" i="23916"/>
  <c r="BF418" i="23916" s="1"/>
  <c r="BC418" i="23916"/>
  <c r="BA418" i="23916"/>
  <c r="AY418" i="23916"/>
  <c r="AW418" i="23916"/>
  <c r="AX418" i="23916" s="1"/>
  <c r="AU418" i="23916"/>
  <c r="AQ418" i="23916"/>
  <c r="AO418" i="23916"/>
  <c r="AP418" i="23916" s="1"/>
  <c r="AM418" i="23916"/>
  <c r="AK418" i="23916"/>
  <c r="AL418" i="23916" s="1"/>
  <c r="AI418" i="23916"/>
  <c r="AG418" i="23916"/>
  <c r="AH418" i="23916" s="1"/>
  <c r="AE418" i="23916"/>
  <c r="AC418" i="23916"/>
  <c r="AD418" i="23916" s="1"/>
  <c r="AA418" i="23916"/>
  <c r="Y418" i="23916"/>
  <c r="W418" i="23916"/>
  <c r="X418" i="23916" s="1"/>
  <c r="U418" i="23916"/>
  <c r="S418" i="23916"/>
  <c r="O418" i="23916"/>
  <c r="K418" i="23916"/>
  <c r="I417" i="23916"/>
  <c r="G417" i="23916"/>
  <c r="G418" i="23916" s="1"/>
  <c r="E417" i="23916"/>
  <c r="C417" i="23916"/>
  <c r="C418" i="23916" s="1"/>
  <c r="BX417" i="23916"/>
  <c r="BX416" i="23916"/>
  <c r="BV417" i="23916"/>
  <c r="BV416" i="23916"/>
  <c r="BT417" i="23916"/>
  <c r="BT416" i="23916"/>
  <c r="BR416" i="23916"/>
  <c r="BP417" i="23916"/>
  <c r="BP416" i="23916"/>
  <c r="BN417" i="23916"/>
  <c r="BN416" i="23916"/>
  <c r="BL417" i="23916"/>
  <c r="BL416" i="23916"/>
  <c r="BI417" i="23916"/>
  <c r="BH417" i="23916"/>
  <c r="BF417" i="23916"/>
  <c r="BF416" i="23916"/>
  <c r="BD417" i="23916"/>
  <c r="BD416" i="23916"/>
  <c r="BB416" i="23916"/>
  <c r="AZ417" i="23916"/>
  <c r="AZ416" i="23916"/>
  <c r="AX417" i="23916"/>
  <c r="AW417" i="23916"/>
  <c r="AW422" i="23916" s="1"/>
  <c r="AV417" i="23916"/>
  <c r="AS417" i="23916"/>
  <c r="AS418" i="23916" s="1"/>
  <c r="AT418" i="23916" s="1"/>
  <c r="AR417" i="23916"/>
  <c r="AP417" i="23916"/>
  <c r="AP416" i="23916"/>
  <c r="AN417" i="23916"/>
  <c r="AN416" i="23916"/>
  <c r="AL417" i="23916"/>
  <c r="AL416" i="23916"/>
  <c r="AJ417" i="23916"/>
  <c r="AJ416" i="23916"/>
  <c r="AH417" i="23916"/>
  <c r="AH416" i="23916"/>
  <c r="AF417" i="23916"/>
  <c r="AF416" i="23916"/>
  <c r="AD417" i="23916"/>
  <c r="AD416" i="23916"/>
  <c r="AB417" i="23916"/>
  <c r="AA417" i="23916"/>
  <c r="X416" i="23916"/>
  <c r="V416" i="23916"/>
  <c r="T416" i="23916"/>
  <c r="Q417" i="23916"/>
  <c r="O417" i="23916"/>
  <c r="M417" i="23916"/>
  <c r="K417" i="23916"/>
  <c r="FV417" i="23916"/>
  <c r="FR417" i="23916"/>
  <c r="FP417" i="23916"/>
  <c r="FN417" i="23916"/>
  <c r="FL417" i="23916"/>
  <c r="FJ417" i="23916"/>
  <c r="FF417" i="23916"/>
  <c r="FE417" i="23916"/>
  <c r="FW416" i="23916"/>
  <c r="FV416" i="23916"/>
  <c r="FU416" i="23916"/>
  <c r="FT416" i="23916"/>
  <c r="FS416" i="23916"/>
  <c r="FR416" i="23916"/>
  <c r="FQ416" i="23916"/>
  <c r="FP416" i="23916"/>
  <c r="FO416" i="23916"/>
  <c r="FN416" i="23916"/>
  <c r="FM416" i="23916"/>
  <c r="FL416" i="23916"/>
  <c r="FK416" i="23916"/>
  <c r="FJ416" i="23916"/>
  <c r="FI416" i="23916"/>
  <c r="FH416" i="23916"/>
  <c r="FH421" i="23916" s="1"/>
  <c r="FI421" i="23916" s="1"/>
  <c r="FG416" i="23916"/>
  <c r="FF416" i="23916"/>
  <c r="FF421" i="23916" s="1"/>
  <c r="FG421" i="23916" s="1"/>
  <c r="FE416" i="23916"/>
  <c r="FD416" i="23916"/>
  <c r="FD421" i="23916" s="1"/>
  <c r="BJ416" i="23916"/>
  <c r="BH416" i="23916"/>
  <c r="AX416" i="23916"/>
  <c r="AV416" i="23916"/>
  <c r="AT416" i="23916"/>
  <c r="AR416" i="23916"/>
  <c r="AB416" i="23916"/>
  <c r="Z416" i="23916"/>
  <c r="R416" i="23916"/>
  <c r="P416" i="23916"/>
  <c r="N416" i="23916"/>
  <c r="L416" i="23916"/>
  <c r="FB413" i="23916"/>
  <c r="FB425" i="23916" s="1"/>
  <c r="FB428" i="23916" s="1"/>
  <c r="BW413" i="23916"/>
  <c r="BU413" i="23916"/>
  <c r="BU421" i="23916" s="1"/>
  <c r="BQ413" i="23916"/>
  <c r="BQ425" i="23916" s="1"/>
  <c r="BQ427" i="23916" s="1"/>
  <c r="BO413" i="23916"/>
  <c r="BM413" i="23916"/>
  <c r="BM421" i="23916" s="1"/>
  <c r="BK413" i="23916"/>
  <c r="BI413" i="23916"/>
  <c r="BG413" i="23916"/>
  <c r="BE413" i="23916"/>
  <c r="BE421" i="23916" s="1"/>
  <c r="BC413" i="23916"/>
  <c r="BA413" i="23916"/>
  <c r="BA425" i="23916" s="1"/>
  <c r="BA427" i="23916" s="1"/>
  <c r="AY413" i="23916"/>
  <c r="AW413" i="23916"/>
  <c r="AW421" i="23916" s="1"/>
  <c r="AU413" i="23916"/>
  <c r="AS413" i="23916"/>
  <c r="AS425" i="23916" s="1"/>
  <c r="AQ413" i="23916"/>
  <c r="AM413" i="23916"/>
  <c r="AI413" i="23916"/>
  <c r="AE413" i="23916"/>
  <c r="AA413" i="23916"/>
  <c r="W413" i="23916"/>
  <c r="S413" i="23916"/>
  <c r="O413" i="23916"/>
  <c r="K413" i="23916"/>
  <c r="G413" i="23916"/>
  <c r="C413" i="23916"/>
  <c r="BW411" i="23916"/>
  <c r="BV411" i="23916"/>
  <c r="BU411" i="23916"/>
  <c r="BT411" i="23916"/>
  <c r="BS411" i="23916"/>
  <c r="BR411" i="23916"/>
  <c r="BQ411" i="23916"/>
  <c r="BN411" i="23916"/>
  <c r="BM411" i="23916"/>
  <c r="BL411" i="23916"/>
  <c r="BK411" i="23916"/>
  <c r="BJ411" i="23916"/>
  <c r="BI411" i="23916"/>
  <c r="BH411" i="23916"/>
  <c r="BG411" i="23916"/>
  <c r="BF411" i="23916"/>
  <c r="BE411" i="23916"/>
  <c r="BD411" i="23916"/>
  <c r="BC411" i="23916"/>
  <c r="BB411" i="23916"/>
  <c r="BA411" i="23916"/>
  <c r="AZ411" i="23916"/>
  <c r="AY411" i="23916"/>
  <c r="AW411" i="23916"/>
  <c r="AV411" i="23916"/>
  <c r="AU411" i="23916"/>
  <c r="AT411" i="23916"/>
  <c r="AS411" i="23916"/>
  <c r="AR411" i="23916"/>
  <c r="AQ411" i="23916"/>
  <c r="AN411" i="23916"/>
  <c r="AM411" i="23916"/>
  <c r="AL411" i="23916"/>
  <c r="AK411" i="23916"/>
  <c r="AJ411" i="23916"/>
  <c r="AI411" i="23916"/>
  <c r="AH411" i="23916"/>
  <c r="AG411" i="23916"/>
  <c r="AF411" i="23916"/>
  <c r="AE411" i="23916"/>
  <c r="AD411" i="23916"/>
  <c r="AC411" i="23916"/>
  <c r="AB411" i="23916"/>
  <c r="AA411" i="23916"/>
  <c r="Z411" i="23916"/>
  <c r="Y411" i="23916"/>
  <c r="X411" i="23916"/>
  <c r="W411" i="23916"/>
  <c r="V411" i="23916"/>
  <c r="U411" i="23916"/>
  <c r="T411" i="23916"/>
  <c r="S411" i="23916"/>
  <c r="R411" i="23916"/>
  <c r="Q411" i="23916"/>
  <c r="P411" i="23916"/>
  <c r="O411" i="23916"/>
  <c r="N411" i="23916"/>
  <c r="M411" i="23916"/>
  <c r="L411" i="23916"/>
  <c r="K411" i="23916"/>
  <c r="BX410" i="23916"/>
  <c r="BX408" i="23916"/>
  <c r="BV410" i="23916"/>
  <c r="BV409" i="23916"/>
  <c r="BV408" i="23916"/>
  <c r="BT410" i="23916"/>
  <c r="BT408" i="23916"/>
  <c r="BR410" i="23916"/>
  <c r="BR409" i="23916"/>
  <c r="BR408" i="23916"/>
  <c r="BP410" i="23916"/>
  <c r="BO410" i="23916"/>
  <c r="BO411" i="23916" s="1"/>
  <c r="BN410" i="23916"/>
  <c r="BL410" i="23916"/>
  <c r="BL409" i="23916"/>
  <c r="BL408" i="23916"/>
  <c r="BJ410" i="23916"/>
  <c r="BJ408" i="23916"/>
  <c r="BH410" i="23916"/>
  <c r="BH408" i="23916"/>
  <c r="BF410" i="23916"/>
  <c r="BF408" i="23916"/>
  <c r="BD410" i="23916"/>
  <c r="BD409" i="23916"/>
  <c r="BD408" i="23916"/>
  <c r="BB410" i="23916"/>
  <c r="BB408" i="23916"/>
  <c r="AZ410" i="23916"/>
  <c r="AZ408" i="23916"/>
  <c r="AX410" i="23916"/>
  <c r="AV410" i="23916"/>
  <c r="AV409" i="23916"/>
  <c r="AV408" i="23916"/>
  <c r="AT410" i="23916"/>
  <c r="AT408" i="23916"/>
  <c r="AR410" i="23916"/>
  <c r="AR408" i="23916"/>
  <c r="AP410" i="23916"/>
  <c r="AN410" i="23916"/>
  <c r="AN409" i="23916"/>
  <c r="AN408" i="23916"/>
  <c r="AL410" i="23916"/>
  <c r="AL408" i="23916"/>
  <c r="AJ410" i="23916"/>
  <c r="AJ409" i="23916"/>
  <c r="AJ408" i="23916"/>
  <c r="AH410" i="23916"/>
  <c r="AH408" i="23916"/>
  <c r="AF410" i="23916"/>
  <c r="AF409" i="23916"/>
  <c r="AF408" i="23916"/>
  <c r="AD410" i="23916"/>
  <c r="AD408" i="23916"/>
  <c r="AB410" i="23916"/>
  <c r="AB409" i="23916"/>
  <c r="AB408" i="23916"/>
  <c r="Z410" i="23916"/>
  <c r="Z408" i="23916"/>
  <c r="X410" i="23916"/>
  <c r="X409" i="23916"/>
  <c r="X408" i="23916"/>
  <c r="V410" i="23916"/>
  <c r="V408" i="23916"/>
  <c r="T410" i="23916"/>
  <c r="T409" i="23916"/>
  <c r="T408" i="23916"/>
  <c r="R410" i="23916"/>
  <c r="R408" i="23916"/>
  <c r="P410" i="23916"/>
  <c r="P409" i="23916"/>
  <c r="P408" i="23916"/>
  <c r="N410" i="23916"/>
  <c r="N408" i="23916"/>
  <c r="L410" i="23916"/>
  <c r="L409" i="23916"/>
  <c r="L408" i="23916"/>
  <c r="FD409" i="23916"/>
  <c r="FB409" i="23916"/>
  <c r="BW409" i="23916"/>
  <c r="BX409" i="23916" s="1"/>
  <c r="BU409" i="23916"/>
  <c r="BS409" i="23916"/>
  <c r="BQ409" i="23916"/>
  <c r="BO409" i="23916"/>
  <c r="BN409" i="23916"/>
  <c r="BM409" i="23916"/>
  <c r="BK409" i="23916"/>
  <c r="BI409" i="23916"/>
  <c r="BJ409" i="23916" s="1"/>
  <c r="BG409" i="23916"/>
  <c r="BE409" i="23916"/>
  <c r="BF409" i="23916" s="1"/>
  <c r="BC409" i="23916"/>
  <c r="BA409" i="23916"/>
  <c r="BB409" i="23916" s="1"/>
  <c r="AY409" i="23916"/>
  <c r="AW409" i="23916"/>
  <c r="AX409" i="23916" s="1"/>
  <c r="AU409" i="23916"/>
  <c r="AS409" i="23916"/>
  <c r="AT409" i="23916" s="1"/>
  <c r="AQ409" i="23916"/>
  <c r="AO409" i="23916"/>
  <c r="AP409" i="23916" s="1"/>
  <c r="AO408" i="23916"/>
  <c r="AO413" i="23916" s="1"/>
  <c r="AO425" i="23916" s="1"/>
  <c r="AM409" i="23916"/>
  <c r="AK409" i="23916"/>
  <c r="AI409" i="23916"/>
  <c r="AG409" i="23916"/>
  <c r="AG413" i="23916" s="1"/>
  <c r="AG425" i="23916" s="1"/>
  <c r="AE409" i="23916"/>
  <c r="AC409" i="23916"/>
  <c r="AA409" i="23916"/>
  <c r="Y409" i="23916"/>
  <c r="Y413" i="23916" s="1"/>
  <c r="W409" i="23916"/>
  <c r="U409" i="23916"/>
  <c r="S409" i="23916"/>
  <c r="Q409" i="23916"/>
  <c r="Q413" i="23916" s="1"/>
  <c r="O409" i="23916"/>
  <c r="M409" i="23916"/>
  <c r="K409" i="23916"/>
  <c r="I409" i="23916"/>
  <c r="I413" i="23916" s="1"/>
  <c r="I421" i="23916" s="1"/>
  <c r="G409" i="23916"/>
  <c r="E409" i="23916"/>
  <c r="C409" i="23916"/>
  <c r="FW410" i="23916"/>
  <c r="FV410" i="23916"/>
  <c r="FV411" i="23916" s="1"/>
  <c r="FU410" i="23916"/>
  <c r="FT410" i="23916"/>
  <c r="FT411" i="23916" s="1"/>
  <c r="FU411" i="23916" s="1"/>
  <c r="FS410" i="23916"/>
  <c r="FR410" i="23916"/>
  <c r="FR411" i="23916" s="1"/>
  <c r="FQ410" i="23916"/>
  <c r="FP410" i="23916"/>
  <c r="FP411" i="23916" s="1"/>
  <c r="FO410" i="23916"/>
  <c r="FN410" i="23916"/>
  <c r="FW408" i="23916"/>
  <c r="FV408" i="23916"/>
  <c r="FU408" i="23916"/>
  <c r="FT408" i="23916"/>
  <c r="FS408" i="23916"/>
  <c r="FR408" i="23916"/>
  <c r="FP408" i="23916"/>
  <c r="FM410" i="23916"/>
  <c r="FL410" i="23916"/>
  <c r="FL411" i="23916" s="1"/>
  <c r="FK410" i="23916"/>
  <c r="FJ410" i="23916"/>
  <c r="FJ411" i="23916" s="1"/>
  <c r="FK411" i="23916" s="1"/>
  <c r="FI410" i="23916"/>
  <c r="FH410" i="23916"/>
  <c r="FH411" i="23916" s="1"/>
  <c r="FI411" i="23916" s="1"/>
  <c r="FG410" i="23916"/>
  <c r="FF410" i="23916"/>
  <c r="FE410" i="23916"/>
  <c r="FL409" i="23916"/>
  <c r="FH409" i="23916"/>
  <c r="FM408" i="23916"/>
  <c r="FL408" i="23916"/>
  <c r="FK408" i="23916"/>
  <c r="FJ408" i="23916"/>
  <c r="FI408" i="23916"/>
  <c r="FH408" i="23916"/>
  <c r="FG408" i="23916"/>
  <c r="FF408" i="23916"/>
  <c r="FE408" i="23916"/>
  <c r="BP408" i="23916"/>
  <c r="BN408" i="23916"/>
  <c r="BZ395" i="23916"/>
  <c r="BZ392" i="23916"/>
  <c r="BX395" i="23916"/>
  <c r="BX392" i="23916"/>
  <c r="BV395" i="23916"/>
  <c r="BV392" i="23916"/>
  <c r="BT395" i="23916"/>
  <c r="BT392" i="23916"/>
  <c r="BR395" i="23916"/>
  <c r="BR392" i="23916"/>
  <c r="BP395" i="23916"/>
  <c r="BP392" i="23916"/>
  <c r="BN395" i="23916"/>
  <c r="BN392" i="23916"/>
  <c r="BL395" i="23916"/>
  <c r="BL392" i="23916"/>
  <c r="BJ395" i="23916"/>
  <c r="BJ392" i="23916"/>
  <c r="BH395" i="23916"/>
  <c r="BH392" i="23916"/>
  <c r="BF395" i="23916"/>
  <c r="BF392" i="23916"/>
  <c r="BD395" i="23916"/>
  <c r="BD392" i="23916"/>
  <c r="BB395" i="23916"/>
  <c r="BB392" i="23916"/>
  <c r="AZ395" i="23916"/>
  <c r="AZ392" i="23916"/>
  <c r="AX395" i="23916"/>
  <c r="AX392" i="23916"/>
  <c r="AV395" i="23916"/>
  <c r="AV392" i="23916"/>
  <c r="AT395" i="23916"/>
  <c r="AT392" i="23916"/>
  <c r="AR395" i="23916"/>
  <c r="AR392" i="23916"/>
  <c r="BO393" i="23916"/>
  <c r="FX395" i="23916"/>
  <c r="FV395" i="23916"/>
  <c r="FW395" i="23916" s="1"/>
  <c r="FT395" i="23916"/>
  <c r="FR395" i="23916"/>
  <c r="FS395" i="23916" s="1"/>
  <c r="FP395" i="23916"/>
  <c r="FQ395" i="23916" s="1"/>
  <c r="FX392" i="23916"/>
  <c r="FV392" i="23916"/>
  <c r="FW392" i="23916" s="1"/>
  <c r="FT392" i="23916"/>
  <c r="FR392" i="23916"/>
  <c r="FS392" i="23916" s="1"/>
  <c r="FP392" i="23916"/>
  <c r="BW391" i="23916"/>
  <c r="BW393" i="23916" s="1"/>
  <c r="BX393" i="23916" s="1"/>
  <c r="BO391" i="23916"/>
  <c r="BG391" i="23916"/>
  <c r="BP391" i="23916" s="1"/>
  <c r="AY391" i="23916"/>
  <c r="AZ391" i="23916" s="1"/>
  <c r="AQ391" i="23916"/>
  <c r="AQ393" i="23916" s="1"/>
  <c r="AR393" i="23916" s="1"/>
  <c r="BU388" i="23916"/>
  <c r="BE388" i="23916"/>
  <c r="AS388" i="23916"/>
  <c r="AT388" i="23916" s="1"/>
  <c r="FX385" i="23916"/>
  <c r="FV385" i="23916"/>
  <c r="FT385" i="23916"/>
  <c r="FR385" i="23916"/>
  <c r="FP385" i="23916"/>
  <c r="BZ385" i="23916"/>
  <c r="BX385" i="23916"/>
  <c r="BV385" i="23916"/>
  <c r="BT385" i="23916"/>
  <c r="BR385" i="23916"/>
  <c r="BP385" i="23916"/>
  <c r="BN385" i="23916"/>
  <c r="BL385" i="23916"/>
  <c r="BJ385" i="23916"/>
  <c r="BH385" i="23916"/>
  <c r="BF385" i="23916"/>
  <c r="BD385" i="23916"/>
  <c r="BB385" i="23916"/>
  <c r="AZ385" i="23916"/>
  <c r="AX385" i="23916"/>
  <c r="AV385" i="23916"/>
  <c r="AT385" i="23916"/>
  <c r="AR385" i="23916"/>
  <c r="BW376" i="23916"/>
  <c r="BW388" i="23916" s="1"/>
  <c r="BU376" i="23916"/>
  <c r="BS376" i="23916"/>
  <c r="BS391" i="23916" s="1"/>
  <c r="BO376" i="23916"/>
  <c r="BO388" i="23916" s="1"/>
  <c r="BM376" i="23916"/>
  <c r="BK376" i="23916"/>
  <c r="BK391" i="23916" s="1"/>
  <c r="BG376" i="23916"/>
  <c r="BG388" i="23916" s="1"/>
  <c r="BE376" i="23916"/>
  <c r="BC376" i="23916"/>
  <c r="BC391" i="23916" s="1"/>
  <c r="AY376" i="23916"/>
  <c r="AY388" i="23916" s="1"/>
  <c r="AU376" i="23916"/>
  <c r="AU391" i="23916" s="1"/>
  <c r="AS376" i="23916"/>
  <c r="AQ376" i="23916"/>
  <c r="AQ388" i="23916" s="1"/>
  <c r="AR388" i="23916" s="1"/>
  <c r="BZ375" i="23916"/>
  <c r="BZ374" i="23916"/>
  <c r="BX375" i="23916"/>
  <c r="BX374" i="23916"/>
  <c r="BV375" i="23916"/>
  <c r="BV374" i="23916"/>
  <c r="BT375" i="23916"/>
  <c r="BT374" i="23916"/>
  <c r="BR375" i="23916"/>
  <c r="BR374" i="23916"/>
  <c r="BP375" i="23916"/>
  <c r="BP374" i="23916"/>
  <c r="BN375" i="23916"/>
  <c r="BN374" i="23916"/>
  <c r="BL375" i="23916"/>
  <c r="BL374" i="23916"/>
  <c r="BJ375" i="23916"/>
  <c r="BJ374" i="23916"/>
  <c r="BH375" i="23916"/>
  <c r="BH374" i="23916"/>
  <c r="BF374" i="23916"/>
  <c r="BD375" i="23916"/>
  <c r="BD374" i="23916"/>
  <c r="BB375" i="23916"/>
  <c r="AZ375" i="23916"/>
  <c r="AZ374" i="23916"/>
  <c r="AW375" i="23916"/>
  <c r="AW376" i="23916" s="1"/>
  <c r="AV375" i="23916"/>
  <c r="AT375" i="23916"/>
  <c r="AR375" i="23916"/>
  <c r="FY375" i="23916"/>
  <c r="FX375" i="23916"/>
  <c r="FW375" i="23916"/>
  <c r="FV375" i="23916"/>
  <c r="FU375" i="23916"/>
  <c r="FT375" i="23916"/>
  <c r="FR375" i="23916"/>
  <c r="BY374" i="23916"/>
  <c r="BY376" i="23916" s="1"/>
  <c r="BW374" i="23916"/>
  <c r="BU374" i="23916"/>
  <c r="BS374" i="23916"/>
  <c r="BQ374" i="23916"/>
  <c r="BO374" i="23916"/>
  <c r="BM374" i="23916"/>
  <c r="BK374" i="23916"/>
  <c r="BI374" i="23916"/>
  <c r="BI376" i="23916" s="1"/>
  <c r="BG374" i="23916"/>
  <c r="BE374" i="23916"/>
  <c r="BC374" i="23916"/>
  <c r="BA374" i="23916"/>
  <c r="AY374" i="23916"/>
  <c r="AX374" i="23916"/>
  <c r="AW374" i="23916"/>
  <c r="AV374" i="23916"/>
  <c r="AU374" i="23916"/>
  <c r="AS374" i="23916"/>
  <c r="AT374" i="23916" s="1"/>
  <c r="AQ374" i="23916"/>
  <c r="FP374" i="23916" s="1"/>
  <c r="BM363" i="23916"/>
  <c r="BM368" i="23916" s="1"/>
  <c r="BZ362" i="23916"/>
  <c r="BZ360" i="23916"/>
  <c r="BX362" i="23916"/>
  <c r="BV362" i="23916"/>
  <c r="BV360" i="23916"/>
  <c r="BT362" i="23916"/>
  <c r="BR362" i="23916"/>
  <c r="BR360" i="23916"/>
  <c r="BP362" i="23916"/>
  <c r="BP358" i="23916"/>
  <c r="BN362" i="23916"/>
  <c r="BN360" i="23916"/>
  <c r="BL362" i="23916"/>
  <c r="BL360" i="23916"/>
  <c r="BJ362" i="23916"/>
  <c r="BJ360" i="23916"/>
  <c r="BH362" i="23916"/>
  <c r="BH360" i="23916"/>
  <c r="BH358" i="23916"/>
  <c r="BF362" i="23916"/>
  <c r="BF360" i="23916"/>
  <c r="BD362" i="23916"/>
  <c r="BD360" i="23916"/>
  <c r="BB362" i="23916"/>
  <c r="BB360" i="23916"/>
  <c r="AZ362" i="23916"/>
  <c r="AZ360" i="23916"/>
  <c r="AZ358" i="23916"/>
  <c r="AX362" i="23916"/>
  <c r="AX360" i="23916"/>
  <c r="AV362" i="23916"/>
  <c r="AV360" i="23916"/>
  <c r="AV358" i="23916"/>
  <c r="AT362" i="23916"/>
  <c r="AT360" i="23916"/>
  <c r="AR362" i="23916"/>
  <c r="AR360" i="23916"/>
  <c r="AR358" i="23916"/>
  <c r="BY361" i="23916"/>
  <c r="BY360" i="23916"/>
  <c r="BY359" i="23916"/>
  <c r="BY358" i="23916"/>
  <c r="BY738" i="23916" s="1"/>
  <c r="BW361" i="23916"/>
  <c r="BU361" i="23916"/>
  <c r="BS361" i="23916"/>
  <c r="BS360" i="23916"/>
  <c r="BT360" i="23916" s="1"/>
  <c r="BS359" i="23916"/>
  <c r="BS739" i="23916" s="1"/>
  <c r="BS358" i="23916"/>
  <c r="BQ361" i="23916"/>
  <c r="BO361" i="23916"/>
  <c r="BO360" i="23916"/>
  <c r="BO359" i="23916"/>
  <c r="BO739" i="23916" s="1"/>
  <c r="BO358" i="23916"/>
  <c r="BO738" i="23916" s="1"/>
  <c r="BM361" i="23916"/>
  <c r="BM360" i="23916"/>
  <c r="BM357" i="23916" s="1"/>
  <c r="BM359" i="23916"/>
  <c r="BM739" i="23916" s="1"/>
  <c r="BM358" i="23916"/>
  <c r="BM738" i="23916" s="1"/>
  <c r="BK361" i="23916"/>
  <c r="BK360" i="23916"/>
  <c r="BK359" i="23916"/>
  <c r="BK739" i="23916" s="1"/>
  <c r="BK358" i="23916"/>
  <c r="BK738" i="23916" s="1"/>
  <c r="BI361" i="23916"/>
  <c r="BI360" i="23916"/>
  <c r="FT360" i="23916" s="1"/>
  <c r="FU360" i="23916" s="1"/>
  <c r="BI359" i="23916"/>
  <c r="BI739" i="23916" s="1"/>
  <c r="BI358" i="23916"/>
  <c r="BG361" i="23916"/>
  <c r="BG360" i="23916"/>
  <c r="BG359" i="23916"/>
  <c r="BG358" i="23916"/>
  <c r="BG738" i="23916" s="1"/>
  <c r="BE361" i="23916"/>
  <c r="BC361" i="23916"/>
  <c r="BA361" i="23916"/>
  <c r="AY361" i="23916"/>
  <c r="AY360" i="23916"/>
  <c r="AY359" i="23916"/>
  <c r="AY358" i="23916"/>
  <c r="AW361" i="23916"/>
  <c r="AW360" i="23916"/>
  <c r="AW359" i="23916"/>
  <c r="AW358" i="23916"/>
  <c r="BF358" i="23916" s="1"/>
  <c r="AU361" i="23916"/>
  <c r="AS361" i="23916"/>
  <c r="AS360" i="23916"/>
  <c r="FP360" i="23916" s="1"/>
  <c r="FS360" i="23916" s="1"/>
  <c r="AS359" i="23916"/>
  <c r="AS358" i="23916"/>
  <c r="AQ361" i="23916"/>
  <c r="AQ360" i="23916"/>
  <c r="AQ359" i="23916"/>
  <c r="AQ358" i="23916"/>
  <c r="AQ369" i="23916" s="1"/>
  <c r="AR369" i="23916" s="1"/>
  <c r="AQ357" i="23916"/>
  <c r="BW359" i="23916"/>
  <c r="BW739" i="23916" s="1"/>
  <c r="BW358" i="23916"/>
  <c r="BU359" i="23916"/>
  <c r="BU739" i="23916" s="1"/>
  <c r="BU358" i="23916"/>
  <c r="BU738" i="23916" s="1"/>
  <c r="BQ359" i="23916"/>
  <c r="BQ739" i="23916" s="1"/>
  <c r="BQ358" i="23916"/>
  <c r="BQ738" i="23916" s="1"/>
  <c r="BE359" i="23916"/>
  <c r="BE358" i="23916"/>
  <c r="BC359" i="23916"/>
  <c r="BD359" i="23916" s="1"/>
  <c r="BC358" i="23916"/>
  <c r="BD358" i="23916" s="1"/>
  <c r="BA359" i="23916"/>
  <c r="BA358" i="23916"/>
  <c r="AU359" i="23916"/>
  <c r="AV359" i="23916" s="1"/>
  <c r="AU358" i="23916"/>
  <c r="FY362" i="23916"/>
  <c r="FX362" i="23916"/>
  <c r="FW362" i="23916"/>
  <c r="FV362" i="23916"/>
  <c r="FU362" i="23916"/>
  <c r="FT362" i="23916"/>
  <c r="FS362" i="23916"/>
  <c r="FR362" i="23916"/>
  <c r="FQ362" i="23916"/>
  <c r="FP362" i="23916"/>
  <c r="FX360" i="23916"/>
  <c r="FR360" i="23916"/>
  <c r="FQ360" i="23916"/>
  <c r="FP357" i="23916"/>
  <c r="FQ357" i="23916" s="1"/>
  <c r="GZ356" i="23916"/>
  <c r="GZ355" i="23916"/>
  <c r="GZ354" i="23916"/>
  <c r="GZ353" i="23916"/>
  <c r="GZ352" i="23916"/>
  <c r="GZ351" i="23916"/>
  <c r="GZ350" i="23916"/>
  <c r="GZ349" i="23916"/>
  <c r="GZ348" i="23916"/>
  <c r="GZ347" i="23916"/>
  <c r="GZ346" i="23916"/>
  <c r="GZ345" i="23916"/>
  <c r="GZ344" i="23916"/>
  <c r="GZ343" i="23916"/>
  <c r="GZ342" i="23916"/>
  <c r="GZ341" i="23916"/>
  <c r="GZ340" i="23916"/>
  <c r="GZ339" i="23916"/>
  <c r="GZ338" i="23916"/>
  <c r="GZ337" i="23916"/>
  <c r="GZ336" i="23916"/>
  <c r="GZ335" i="23916"/>
  <c r="GZ334" i="23916"/>
  <c r="GZ333" i="23916"/>
  <c r="GZ332" i="23916"/>
  <c r="GZ331" i="23916"/>
  <c r="GZ330" i="23916"/>
  <c r="GZ329" i="23916"/>
  <c r="GZ328" i="23916"/>
  <c r="GZ327" i="23916"/>
  <c r="GZ326" i="23916"/>
  <c r="GZ325" i="23916"/>
  <c r="GZ324" i="23916"/>
  <c r="GZ323" i="23916"/>
  <c r="GZ322" i="23916"/>
  <c r="GZ321" i="23916"/>
  <c r="GZ320" i="23916"/>
  <c r="GZ319" i="23916"/>
  <c r="GZ318" i="23916"/>
  <c r="GZ317" i="23916"/>
  <c r="GZ316" i="23916"/>
  <c r="GZ314" i="23916"/>
  <c r="GZ313" i="23916"/>
  <c r="GZ305" i="23916"/>
  <c r="BH347" i="23916"/>
  <c r="BH344" i="23916"/>
  <c r="BF347" i="23916"/>
  <c r="BF344" i="23916"/>
  <c r="BD347" i="23916"/>
  <c r="BD344" i="23916"/>
  <c r="BB347" i="23916"/>
  <c r="BB344" i="23916"/>
  <c r="AZ347" i="23916"/>
  <c r="AZ344" i="23916"/>
  <c r="AX347" i="23916"/>
  <c r="AX344" i="23916"/>
  <c r="AV347" i="23916"/>
  <c r="AV344" i="23916"/>
  <c r="AT347" i="23916"/>
  <c r="AT344" i="23916"/>
  <c r="AR347" i="23916"/>
  <c r="AR344" i="23916"/>
  <c r="FT347" i="23916"/>
  <c r="FR347" i="23916"/>
  <c r="FP347" i="23916"/>
  <c r="FQ347" i="23916" s="1"/>
  <c r="FT344" i="23916"/>
  <c r="FS344" i="23916"/>
  <c r="FR344" i="23916"/>
  <c r="FQ344" i="23916"/>
  <c r="FP344" i="23916"/>
  <c r="BI336" i="23916"/>
  <c r="BH336" i="23916"/>
  <c r="BG336" i="23916"/>
  <c r="BF336" i="23916"/>
  <c r="BE336" i="23916"/>
  <c r="BD336" i="23916"/>
  <c r="BC336" i="23916"/>
  <c r="BB336" i="23916"/>
  <c r="BA336" i="23916"/>
  <c r="AZ336" i="23916"/>
  <c r="AY336" i="23916"/>
  <c r="AX336" i="23916"/>
  <c r="AW336" i="23916"/>
  <c r="AV336" i="23916"/>
  <c r="AU336" i="23916"/>
  <c r="AT336" i="23916"/>
  <c r="AS336" i="23916"/>
  <c r="AR336" i="23916"/>
  <c r="AQ336" i="23916"/>
  <c r="BH335" i="23916"/>
  <c r="BH332" i="23916"/>
  <c r="BH331" i="23916"/>
  <c r="BF335" i="23916"/>
  <c r="BF334" i="23916"/>
  <c r="BF332" i="23916"/>
  <c r="BF331" i="23916"/>
  <c r="BD335" i="23916"/>
  <c r="BD332" i="23916"/>
  <c r="BD331" i="23916"/>
  <c r="BB335" i="23916"/>
  <c r="BB334" i="23916"/>
  <c r="BB332" i="23916"/>
  <c r="BB331" i="23916"/>
  <c r="AZ335" i="23916"/>
  <c r="AZ332" i="23916"/>
  <c r="AZ331" i="23916"/>
  <c r="AX335" i="23916"/>
  <c r="AX334" i="23916"/>
  <c r="AX332" i="23916"/>
  <c r="AX331" i="23916"/>
  <c r="AV335" i="23916"/>
  <c r="AV332" i="23916"/>
  <c r="AV331" i="23916"/>
  <c r="AT335" i="23916"/>
  <c r="AT334" i="23916"/>
  <c r="AT332" i="23916"/>
  <c r="AT331" i="23916"/>
  <c r="AR335" i="23916"/>
  <c r="AR332" i="23916"/>
  <c r="AR331" i="23916"/>
  <c r="BI334" i="23916"/>
  <c r="BI333" i="23916"/>
  <c r="BG334" i="23916"/>
  <c r="BH334" i="23916" s="1"/>
  <c r="BG333" i="23916"/>
  <c r="BH333" i="23916" s="1"/>
  <c r="BE334" i="23916"/>
  <c r="BE333" i="23916"/>
  <c r="BC334" i="23916"/>
  <c r="BD334" i="23916" s="1"/>
  <c r="BC333" i="23916"/>
  <c r="BD333" i="23916" s="1"/>
  <c r="BA334" i="23916"/>
  <c r="BA333" i="23916"/>
  <c r="AY334" i="23916"/>
  <c r="AZ334" i="23916" s="1"/>
  <c r="AY333" i="23916"/>
  <c r="AZ333" i="23916" s="1"/>
  <c r="AW334" i="23916"/>
  <c r="AW333" i="23916"/>
  <c r="AX333" i="23916" s="1"/>
  <c r="AU334" i="23916"/>
  <c r="AV334" i="23916" s="1"/>
  <c r="AU333" i="23916"/>
  <c r="AV333" i="23916" s="1"/>
  <c r="AS334" i="23916"/>
  <c r="AS333" i="23916"/>
  <c r="AT333" i="23916" s="1"/>
  <c r="AQ334" i="23916"/>
  <c r="AR334" i="23916" s="1"/>
  <c r="AQ333" i="23916"/>
  <c r="AR333" i="23916" s="1"/>
  <c r="FT335" i="23916"/>
  <c r="FR335" i="23916"/>
  <c r="FP335" i="23916"/>
  <c r="FT334" i="23916"/>
  <c r="FS334" i="23916"/>
  <c r="FR334" i="23916"/>
  <c r="FQ334" i="23916"/>
  <c r="FP334" i="23916"/>
  <c r="FR333" i="23916"/>
  <c r="FT332" i="23916"/>
  <c r="FS332" i="23916"/>
  <c r="FR332" i="23916"/>
  <c r="FQ332" i="23916"/>
  <c r="FP332" i="23916"/>
  <c r="FT331" i="23916"/>
  <c r="FR331" i="23916"/>
  <c r="FS331" i="23916" s="1"/>
  <c r="FP331" i="23916"/>
  <c r="FQ331" i="23916" s="1"/>
  <c r="BI327" i="23916"/>
  <c r="BE327" i="23916"/>
  <c r="BA327" i="23916"/>
  <c r="AW327" i="23916"/>
  <c r="AX327" i="23916" s="1"/>
  <c r="AS327" i="23916"/>
  <c r="AT327" i="23916" s="1"/>
  <c r="FT322" i="23916"/>
  <c r="FT320" i="23916"/>
  <c r="FR322" i="23916"/>
  <c r="FR320" i="23916"/>
  <c r="FP322" i="23916"/>
  <c r="FQ322" i="23916" s="1"/>
  <c r="FP320" i="23916"/>
  <c r="FQ320" i="23916" s="1"/>
  <c r="AS324" i="23916"/>
  <c r="AQ324" i="23916"/>
  <c r="AQ343" i="23916" s="1"/>
  <c r="AQ323" i="23916"/>
  <c r="FP323" i="23916" s="1"/>
  <c r="FS322" i="23916"/>
  <c r="FS320" i="23916"/>
  <c r="FQ323" i="23916"/>
  <c r="FN324" i="23916"/>
  <c r="BI324" i="23916"/>
  <c r="BG324" i="23916"/>
  <c r="BG343" i="23916" s="1"/>
  <c r="BE324" i="23916"/>
  <c r="BA324" i="23916"/>
  <c r="AW324" i="23916"/>
  <c r="AT323" i="23916"/>
  <c r="AT322" i="23916"/>
  <c r="AT321" i="23916"/>
  <c r="AT320" i="23916"/>
  <c r="AR323" i="23916"/>
  <c r="AR322" i="23916"/>
  <c r="AR320" i="23916"/>
  <c r="BI323" i="23916"/>
  <c r="BG323" i="23916"/>
  <c r="FT323" i="23916" s="1"/>
  <c r="BF323" i="23916"/>
  <c r="BD322" i="23916"/>
  <c r="BD320" i="23916"/>
  <c r="BB323" i="23916"/>
  <c r="BB322" i="23916"/>
  <c r="BB320" i="23916"/>
  <c r="AY323" i="23916"/>
  <c r="AX323" i="23916"/>
  <c r="AV323" i="23916"/>
  <c r="AU323" i="23916"/>
  <c r="BD323" i="23916" s="1"/>
  <c r="BH322" i="23916"/>
  <c r="BH320" i="23916"/>
  <c r="BF322" i="23916"/>
  <c r="BF321" i="23916"/>
  <c r="BF320" i="23916"/>
  <c r="AZ322" i="23916"/>
  <c r="AZ320" i="23916"/>
  <c r="AX322" i="23916"/>
  <c r="AX321" i="23916"/>
  <c r="AX320" i="23916"/>
  <c r="AV322" i="23916"/>
  <c r="AV320" i="23916"/>
  <c r="BI321" i="23916"/>
  <c r="BG321" i="23916"/>
  <c r="BE321" i="23916"/>
  <c r="BC321" i="23916"/>
  <c r="BA321" i="23916"/>
  <c r="BB321" i="23916" s="1"/>
  <c r="AY321" i="23916"/>
  <c r="AW321" i="23916"/>
  <c r="AU321" i="23916"/>
  <c r="AV321" i="23916" s="1"/>
  <c r="AS321" i="23916"/>
  <c r="AQ321" i="23916"/>
  <c r="FN310" i="23916"/>
  <c r="FN307" i="23916"/>
  <c r="AY312" i="23916"/>
  <c r="AY311" i="23916"/>
  <c r="GY310" i="23916"/>
  <c r="GW310" i="23916"/>
  <c r="GU310" i="23916"/>
  <c r="GS310" i="23916"/>
  <c r="GP310" i="23916"/>
  <c r="GN310" i="23916"/>
  <c r="GL310" i="23916"/>
  <c r="GJ310" i="23916"/>
  <c r="GH310" i="23916"/>
  <c r="GF310" i="23916"/>
  <c r="GG310" i="23916" s="1"/>
  <c r="GD310" i="23916"/>
  <c r="GB310" i="23916"/>
  <c r="FZ310" i="23916"/>
  <c r="FX310" i="23916"/>
  <c r="FY310" i="23916" s="1"/>
  <c r="FV310" i="23916"/>
  <c r="FT310" i="23916"/>
  <c r="FR310" i="23916"/>
  <c r="FP310" i="23916"/>
  <c r="FQ310" i="23916" s="1"/>
  <c r="EX310" i="23916"/>
  <c r="EV310" i="23916"/>
  <c r="ET310" i="23916"/>
  <c r="ER310" i="23916"/>
  <c r="EP310" i="23916"/>
  <c r="EP307" i="23916"/>
  <c r="EN310" i="23916"/>
  <c r="EN307" i="23916"/>
  <c r="EL310" i="23916"/>
  <c r="EL307" i="23916"/>
  <c r="EJ310" i="23916"/>
  <c r="EJ307" i="23916"/>
  <c r="EH310" i="23916"/>
  <c r="EH307" i="23916"/>
  <c r="EF310" i="23916"/>
  <c r="EF307" i="23916"/>
  <c r="ED310" i="23916"/>
  <c r="ED307" i="23916"/>
  <c r="EB310" i="23916"/>
  <c r="EB307" i="23916"/>
  <c r="DZ310" i="23916"/>
  <c r="DZ307" i="23916"/>
  <c r="DV310" i="23916"/>
  <c r="DV307" i="23916"/>
  <c r="DT310" i="23916"/>
  <c r="DT307" i="23916"/>
  <c r="DR310" i="23916"/>
  <c r="DR307" i="23916"/>
  <c r="DP310" i="23916"/>
  <c r="DP307" i="23916"/>
  <c r="DN310" i="23916"/>
  <c r="DN307" i="23916"/>
  <c r="DL310" i="23916"/>
  <c r="DL307" i="23916"/>
  <c r="DJ310" i="23916"/>
  <c r="DJ307" i="23916"/>
  <c r="DH310" i="23916"/>
  <c r="DH307" i="23916"/>
  <c r="DF310" i="23916"/>
  <c r="DF307" i="23916"/>
  <c r="DD310" i="23916"/>
  <c r="DD307" i="23916"/>
  <c r="DB310" i="23916"/>
  <c r="DB307" i="23916"/>
  <c r="CZ310" i="23916"/>
  <c r="CZ307" i="23916"/>
  <c r="CX310" i="23916"/>
  <c r="CX307" i="23916"/>
  <c r="CV310" i="23916"/>
  <c r="CV307" i="23916"/>
  <c r="CT310" i="23916"/>
  <c r="CT307" i="23916"/>
  <c r="CR310" i="23916"/>
  <c r="CR307" i="23916"/>
  <c r="CP310" i="23916"/>
  <c r="CP307" i="23916"/>
  <c r="CN310" i="23916"/>
  <c r="CN307" i="23916"/>
  <c r="CL310" i="23916"/>
  <c r="CL307" i="23916"/>
  <c r="CJ310" i="23916"/>
  <c r="CJ307" i="23916"/>
  <c r="CH310" i="23916"/>
  <c r="CH307" i="23916"/>
  <c r="CF310" i="23916"/>
  <c r="CF307" i="23916"/>
  <c r="CD310" i="23916"/>
  <c r="CD307" i="23916"/>
  <c r="CB310" i="23916"/>
  <c r="CB307" i="23916"/>
  <c r="BZ310" i="23916"/>
  <c r="BZ307" i="23916"/>
  <c r="BX310" i="23916"/>
  <c r="BX307" i="23916"/>
  <c r="BV310" i="23916"/>
  <c r="BV307" i="23916"/>
  <c r="BT310" i="23916"/>
  <c r="BT307" i="23916"/>
  <c r="BR310" i="23916"/>
  <c r="BR307" i="23916"/>
  <c r="BP310" i="23916"/>
  <c r="BP307" i="23916"/>
  <c r="BN310" i="23916"/>
  <c r="BN307" i="23916"/>
  <c r="BL310" i="23916"/>
  <c r="BL307" i="23916"/>
  <c r="BJ310" i="23916"/>
  <c r="BJ307" i="23916"/>
  <c r="BH310" i="23916"/>
  <c r="BH307" i="23916"/>
  <c r="BF310" i="23916"/>
  <c r="BE310" i="23916"/>
  <c r="BE537" i="23916" s="1"/>
  <c r="BF537" i="23916" s="1"/>
  <c r="BD310" i="23916"/>
  <c r="BB310" i="23916"/>
  <c r="BB307" i="23916"/>
  <c r="AZ310" i="23916"/>
  <c r="AZ307" i="23916"/>
  <c r="AX310" i="23916"/>
  <c r="AX307" i="23916"/>
  <c r="AV310" i="23916"/>
  <c r="AV307" i="23916"/>
  <c r="AT310" i="23916"/>
  <c r="AT307" i="23916"/>
  <c r="AR310" i="23916"/>
  <c r="AR307" i="23916"/>
  <c r="AP310" i="23916"/>
  <c r="AP307" i="23916"/>
  <c r="AN310" i="23916"/>
  <c r="AN307" i="23916"/>
  <c r="AL310" i="23916"/>
  <c r="AL307" i="23916"/>
  <c r="AJ310" i="23916"/>
  <c r="AJ307" i="23916"/>
  <c r="AH310" i="23916"/>
  <c r="AH307" i="23916"/>
  <c r="AF310" i="23916"/>
  <c r="AF307" i="23916"/>
  <c r="AD310" i="23916"/>
  <c r="AD307" i="23916"/>
  <c r="AB310" i="23916"/>
  <c r="AB307" i="23916"/>
  <c r="Z310" i="23916"/>
  <c r="Z307" i="23916"/>
  <c r="X310" i="23916"/>
  <c r="X307" i="23916"/>
  <c r="V310" i="23916"/>
  <c r="V307" i="23916"/>
  <c r="T310" i="23916"/>
  <c r="T307" i="23916"/>
  <c r="R310" i="23916"/>
  <c r="R307" i="23916"/>
  <c r="P310" i="23916"/>
  <c r="P307" i="23916"/>
  <c r="N310" i="23916"/>
  <c r="N307" i="23916"/>
  <c r="L310" i="23916"/>
  <c r="L307" i="23916"/>
  <c r="EW308" i="23916"/>
  <c r="EU308" i="23916"/>
  <c r="ES308" i="23916"/>
  <c r="BF307" i="23916"/>
  <c r="BD307" i="23916"/>
  <c r="GN307" i="23916"/>
  <c r="GM307" i="23916"/>
  <c r="GL307" i="23916"/>
  <c r="GJ307" i="23916"/>
  <c r="GI307" i="23916"/>
  <c r="GH307" i="23916"/>
  <c r="GF307" i="23916"/>
  <c r="GE307" i="23916"/>
  <c r="GD307" i="23916"/>
  <c r="GB307" i="23916"/>
  <c r="GA307" i="23916"/>
  <c r="FZ307" i="23916"/>
  <c r="FX307" i="23916"/>
  <c r="FW307" i="23916"/>
  <c r="FV307" i="23916"/>
  <c r="FT307" i="23916"/>
  <c r="FS307" i="23916"/>
  <c r="FR307" i="23916"/>
  <c r="FP307" i="23916"/>
  <c r="FL310" i="23916"/>
  <c r="FO310" i="23916" s="1"/>
  <c r="FJ310" i="23916"/>
  <c r="FK310" i="23916" s="1"/>
  <c r="FH310" i="23916"/>
  <c r="FI310" i="23916" s="1"/>
  <c r="FF310" i="23916"/>
  <c r="FG310" i="23916" s="1"/>
  <c r="FE310" i="23916"/>
  <c r="FM307" i="23916"/>
  <c r="FL307" i="23916"/>
  <c r="FJ307" i="23916"/>
  <c r="FI307" i="23916"/>
  <c r="FH307" i="23916"/>
  <c r="FF307" i="23916"/>
  <c r="FE307" i="23916"/>
  <c r="EO303" i="23916"/>
  <c r="EP303" i="23916" s="1"/>
  <c r="EM303" i="23916"/>
  <c r="EN303" i="23916" s="1"/>
  <c r="EK303" i="23916"/>
  <c r="EL303" i="23916" s="1"/>
  <c r="EI303" i="23916"/>
  <c r="EJ303" i="23916" s="1"/>
  <c r="EG303" i="23916"/>
  <c r="EH303" i="23916" s="1"/>
  <c r="EE303" i="23916"/>
  <c r="EF303" i="23916" s="1"/>
  <c r="EC303" i="23916"/>
  <c r="ED303" i="23916" s="1"/>
  <c r="EA303" i="23916"/>
  <c r="EB303" i="23916" s="1"/>
  <c r="DY303" i="23916"/>
  <c r="DZ303" i="23916" s="1"/>
  <c r="DX303" i="23916"/>
  <c r="DW303" i="23916"/>
  <c r="DU303" i="23916"/>
  <c r="DV303" i="23916" s="1"/>
  <c r="DS303" i="23916"/>
  <c r="DT303" i="23916" s="1"/>
  <c r="DQ303" i="23916"/>
  <c r="DR303" i="23916" s="1"/>
  <c r="DO303" i="23916"/>
  <c r="DP303" i="23916" s="1"/>
  <c r="DM303" i="23916"/>
  <c r="DN303" i="23916" s="1"/>
  <c r="DK303" i="23916"/>
  <c r="DI303" i="23916"/>
  <c r="DG303" i="23916"/>
  <c r="DE303" i="23916"/>
  <c r="DC303" i="23916"/>
  <c r="DA303" i="23916"/>
  <c r="CY303" i="23916"/>
  <c r="CW303" i="23916"/>
  <c r="CU303" i="23916"/>
  <c r="CS303" i="23916"/>
  <c r="CK303" i="23916"/>
  <c r="CI303" i="23916"/>
  <c r="CG303" i="23916"/>
  <c r="CE303" i="23916"/>
  <c r="CC303" i="23916"/>
  <c r="CA303" i="23916"/>
  <c r="BY303" i="23916"/>
  <c r="BW303" i="23916"/>
  <c r="BM303" i="23916"/>
  <c r="BK303" i="23916"/>
  <c r="BI303" i="23916"/>
  <c r="BG303" i="23916"/>
  <c r="GT301" i="23916"/>
  <c r="GR301" i="23916"/>
  <c r="ES301" i="23916"/>
  <c r="EQ301" i="23916"/>
  <c r="GX302" i="23916"/>
  <c r="GY302" i="23916" s="1"/>
  <c r="GW302" i="23916"/>
  <c r="GV302" i="23916"/>
  <c r="GU302" i="23916"/>
  <c r="GV301" i="23916"/>
  <c r="GW301" i="23916" s="1"/>
  <c r="GU301" i="23916"/>
  <c r="GX300" i="23916"/>
  <c r="GX740" i="23916" s="1"/>
  <c r="GW300" i="23916"/>
  <c r="GV300" i="23916"/>
  <c r="GU300" i="23916"/>
  <c r="EU302" i="23916"/>
  <c r="EU301" i="23916"/>
  <c r="EW300" i="23916"/>
  <c r="EW740" i="23916" s="1"/>
  <c r="EU300" i="23916"/>
  <c r="GZ299" i="23916"/>
  <c r="GZ298" i="23916"/>
  <c r="GZ292" i="23916"/>
  <c r="GZ291" i="23916"/>
  <c r="GZ289" i="23916"/>
  <c r="GZ284" i="23916"/>
  <c r="GZ283" i="23916"/>
  <c r="GZ282" i="23916"/>
  <c r="GZ281" i="23916"/>
  <c r="GZ278" i="23916"/>
  <c r="GZ277" i="23916"/>
  <c r="FD297" i="23916"/>
  <c r="FB297" i="23916"/>
  <c r="FE297" i="23916" s="1"/>
  <c r="EM297" i="23916"/>
  <c r="EN297" i="23916" s="1"/>
  <c r="EI297" i="23916"/>
  <c r="EJ297" i="23916" s="1"/>
  <c r="EE297" i="23916"/>
  <c r="EF297" i="23916" s="1"/>
  <c r="EA297" i="23916"/>
  <c r="EB297" i="23916" s="1"/>
  <c r="DW297" i="23916"/>
  <c r="DS297" i="23916"/>
  <c r="DT297" i="23916" s="1"/>
  <c r="DO297" i="23916"/>
  <c r="DP297" i="23916" s="1"/>
  <c r="DK297" i="23916"/>
  <c r="DL297" i="23916" s="1"/>
  <c r="DG297" i="23916"/>
  <c r="DH297" i="23916" s="1"/>
  <c r="DC297" i="23916"/>
  <c r="DD297" i="23916" s="1"/>
  <c r="CY297" i="23916"/>
  <c r="CU297" i="23916"/>
  <c r="CK297" i="23916"/>
  <c r="CI297" i="23916"/>
  <c r="CJ297" i="23916" s="1"/>
  <c r="CG297" i="23916"/>
  <c r="CE297" i="23916"/>
  <c r="CF297" i="23916" s="1"/>
  <c r="CA297" i="23916"/>
  <c r="BW297" i="23916"/>
  <c r="BN297" i="23916"/>
  <c r="BM297" i="23916"/>
  <c r="BK297" i="23916"/>
  <c r="BL297" i="23916" s="1"/>
  <c r="BJ297" i="23916"/>
  <c r="BI297" i="23916"/>
  <c r="BG297" i="23916"/>
  <c r="BH297" i="23916" s="1"/>
  <c r="BE297" i="23916"/>
  <c r="BC297" i="23916"/>
  <c r="BD297" i="23916" s="1"/>
  <c r="BA297" i="23916"/>
  <c r="AW297" i="23916"/>
  <c r="AX297" i="23916" s="1"/>
  <c r="AU297" i="23916"/>
  <c r="AV297" i="23916" s="1"/>
  <c r="AS297" i="23916"/>
  <c r="AT297" i="23916" s="1"/>
  <c r="AQ297" i="23916"/>
  <c r="AZ297" i="23916" s="1"/>
  <c r="AO297" i="23916"/>
  <c r="AP297" i="23916" s="1"/>
  <c r="AM297" i="23916"/>
  <c r="AK297" i="23916"/>
  <c r="AL297" i="23916" s="1"/>
  <c r="AI297" i="23916"/>
  <c r="AG297" i="23916"/>
  <c r="AH297" i="23916" s="1"/>
  <c r="AE297" i="23916"/>
  <c r="AN297" i="23916" s="1"/>
  <c r="AC297" i="23916"/>
  <c r="AD297" i="23916" s="1"/>
  <c r="AA297" i="23916"/>
  <c r="AJ297" i="23916" s="1"/>
  <c r="Y297" i="23916"/>
  <c r="Z297" i="23916" s="1"/>
  <c r="W297" i="23916"/>
  <c r="AF297" i="23916" s="1"/>
  <c r="U297" i="23916"/>
  <c r="V297" i="23916" s="1"/>
  <c r="S297" i="23916"/>
  <c r="AB297" i="23916" s="1"/>
  <c r="Q297" i="23916"/>
  <c r="R297" i="23916" s="1"/>
  <c r="O297" i="23916"/>
  <c r="X297" i="23916" s="1"/>
  <c r="M297" i="23916"/>
  <c r="N297" i="23916" s="1"/>
  <c r="L297" i="23916"/>
  <c r="K297" i="23916"/>
  <c r="T297" i="23916" s="1"/>
  <c r="I297" i="23916"/>
  <c r="G297" i="23916"/>
  <c r="P297" i="23916" s="1"/>
  <c r="E297" i="23916"/>
  <c r="C297" i="23916"/>
  <c r="GL296" i="23916"/>
  <c r="GH296" i="23916"/>
  <c r="GD296" i="23916"/>
  <c r="FZ296" i="23916"/>
  <c r="FT296" i="23916"/>
  <c r="FR296" i="23916"/>
  <c r="FP296" i="23916"/>
  <c r="FN296" i="23916"/>
  <c r="FO296" i="23916" s="1"/>
  <c r="FL296" i="23916"/>
  <c r="FL297" i="23916" s="1"/>
  <c r="FJ296" i="23916"/>
  <c r="FK296" i="23916" s="1"/>
  <c r="FH296" i="23916"/>
  <c r="FH297" i="23916" s="1"/>
  <c r="FF296" i="23916"/>
  <c r="FG296" i="23916" s="1"/>
  <c r="FE296" i="23916"/>
  <c r="EO296" i="23916"/>
  <c r="EP296" i="23916" s="1"/>
  <c r="EN296" i="23916"/>
  <c r="EM296" i="23916"/>
  <c r="EM302" i="23916" s="1"/>
  <c r="EN302" i="23916" s="1"/>
  <c r="EK296" i="23916"/>
  <c r="EL296" i="23916" s="1"/>
  <c r="EJ296" i="23916"/>
  <c r="EI296" i="23916"/>
  <c r="GN296" i="23916" s="1"/>
  <c r="EG296" i="23916"/>
  <c r="EH296" i="23916" s="1"/>
  <c r="EF296" i="23916"/>
  <c r="EE296" i="23916"/>
  <c r="EE302" i="23916" s="1"/>
  <c r="EC296" i="23916"/>
  <c r="ED296" i="23916" s="1"/>
  <c r="EB296" i="23916"/>
  <c r="EA296" i="23916"/>
  <c r="EA302" i="23916" s="1"/>
  <c r="DY296" i="23916"/>
  <c r="DZ296" i="23916" s="1"/>
  <c r="DX296" i="23916"/>
  <c r="DX297" i="23916" s="1"/>
  <c r="DW296" i="23916"/>
  <c r="DW302" i="23916" s="1"/>
  <c r="DU296" i="23916"/>
  <c r="DV296" i="23916" s="1"/>
  <c r="DT296" i="23916"/>
  <c r="DS296" i="23916"/>
  <c r="GJ296" i="23916" s="1"/>
  <c r="DQ296" i="23916"/>
  <c r="DR296" i="23916" s="1"/>
  <c r="DP296" i="23916"/>
  <c r="DO296" i="23916"/>
  <c r="DO302" i="23916" s="1"/>
  <c r="DM296" i="23916"/>
  <c r="DN296" i="23916" s="1"/>
  <c r="DL296" i="23916"/>
  <c r="DK296" i="23916"/>
  <c r="DK302" i="23916" s="1"/>
  <c r="DI296" i="23916"/>
  <c r="DJ296" i="23916" s="1"/>
  <c r="DH296" i="23916"/>
  <c r="DG296" i="23916"/>
  <c r="DG302" i="23916" s="1"/>
  <c r="DH302" i="23916" s="1"/>
  <c r="DE296" i="23916"/>
  <c r="DF296" i="23916" s="1"/>
  <c r="DD296" i="23916"/>
  <c r="DC296" i="23916"/>
  <c r="GF296" i="23916" s="1"/>
  <c r="DA296" i="23916"/>
  <c r="DB296" i="23916" s="1"/>
  <c r="CZ296" i="23916"/>
  <c r="CY296" i="23916"/>
  <c r="CY302" i="23916" s="1"/>
  <c r="CW296" i="23916"/>
  <c r="CX296" i="23916" s="1"/>
  <c r="CV296" i="23916"/>
  <c r="CU296" i="23916"/>
  <c r="CU302" i="23916" s="1"/>
  <c r="CS296" i="23916"/>
  <c r="GB296" i="23916" s="1"/>
  <c r="CR296" i="23916"/>
  <c r="CP296" i="23916"/>
  <c r="CP293" i="23916"/>
  <c r="CN296" i="23916"/>
  <c r="CN293" i="23916"/>
  <c r="CL293" i="23916"/>
  <c r="CJ296" i="23916"/>
  <c r="CJ293" i="23916"/>
  <c r="CH293" i="23916"/>
  <c r="CF296" i="23916"/>
  <c r="CE296" i="23916"/>
  <c r="CC296" i="23916"/>
  <c r="CD296" i="23916" s="1"/>
  <c r="CB296" i="23916"/>
  <c r="CA296" i="23916"/>
  <c r="BY296" i="23916"/>
  <c r="BZ296" i="23916" s="1"/>
  <c r="BX296" i="23916"/>
  <c r="BW296" i="23916"/>
  <c r="FX296" i="23916" s="1"/>
  <c r="BU296" i="23916"/>
  <c r="BV296" i="23916" s="1"/>
  <c r="BT296" i="23916"/>
  <c r="BR296" i="23916"/>
  <c r="BP296" i="23916"/>
  <c r="BN296" i="23916"/>
  <c r="BN293" i="23916"/>
  <c r="BL296" i="23916"/>
  <c r="BL295" i="23916"/>
  <c r="BL294" i="23916"/>
  <c r="BL293" i="23916"/>
  <c r="BJ296" i="23916"/>
  <c r="BJ293" i="23916"/>
  <c r="BH296" i="23916"/>
  <c r="BH295" i="23916"/>
  <c r="BH294" i="23916"/>
  <c r="BH293" i="23916"/>
  <c r="BF296" i="23916"/>
  <c r="BF293" i="23916"/>
  <c r="BD296" i="23916"/>
  <c r="BD295" i="23916"/>
  <c r="BD294" i="23916"/>
  <c r="BD293" i="23916"/>
  <c r="BB296" i="23916"/>
  <c r="BB293" i="23916"/>
  <c r="AZ296" i="23916"/>
  <c r="AZ295" i="23916"/>
  <c r="AZ294" i="23916"/>
  <c r="AZ293" i="23916"/>
  <c r="AX296" i="23916"/>
  <c r="AX295" i="23916"/>
  <c r="AX294" i="23916"/>
  <c r="AX293" i="23916"/>
  <c r="AV296" i="23916"/>
  <c r="AV295" i="23916"/>
  <c r="AV294" i="23916"/>
  <c r="AV293" i="23916"/>
  <c r="AT296" i="23916"/>
  <c r="AR296" i="23916"/>
  <c r="AP296" i="23916"/>
  <c r="AN296" i="23916"/>
  <c r="AL296" i="23916"/>
  <c r="AJ296" i="23916"/>
  <c r="AH296" i="23916"/>
  <c r="AF296" i="23916"/>
  <c r="AD296" i="23916"/>
  <c r="AB296" i="23916"/>
  <c r="Z296" i="23916"/>
  <c r="X296" i="23916"/>
  <c r="V296" i="23916"/>
  <c r="T296" i="23916"/>
  <c r="R296" i="23916"/>
  <c r="P296" i="23916"/>
  <c r="N296" i="23916"/>
  <c r="L296" i="23916"/>
  <c r="EX295" i="23916"/>
  <c r="EP295" i="23916"/>
  <c r="EO295" i="23916"/>
  <c r="EM295" i="23916"/>
  <c r="EL295" i="23916"/>
  <c r="EK295" i="23916"/>
  <c r="EI295" i="23916"/>
  <c r="ER295" i="23916" s="1"/>
  <c r="EH295" i="23916"/>
  <c r="EG295" i="23916"/>
  <c r="EE295" i="23916"/>
  <c r="ED295" i="23916"/>
  <c r="EC295" i="23916"/>
  <c r="EA295" i="23916"/>
  <c r="DZ295" i="23916"/>
  <c r="DY295" i="23916"/>
  <c r="DX295" i="23916"/>
  <c r="DW295" i="23916"/>
  <c r="DV295" i="23916"/>
  <c r="DU295" i="23916"/>
  <c r="DS295" i="23916"/>
  <c r="DR295" i="23916"/>
  <c r="DQ295" i="23916"/>
  <c r="DO295" i="23916"/>
  <c r="DN295" i="23916"/>
  <c r="DM295" i="23916"/>
  <c r="DK295" i="23916"/>
  <c r="DJ295" i="23916"/>
  <c r="DI295" i="23916"/>
  <c r="DG295" i="23916"/>
  <c r="DF295" i="23916"/>
  <c r="DE295" i="23916"/>
  <c r="DC295" i="23916"/>
  <c r="DB295" i="23916"/>
  <c r="DA295" i="23916"/>
  <c r="CY295" i="23916"/>
  <c r="CW295" i="23916"/>
  <c r="CU295" i="23916"/>
  <c r="CT295" i="23916"/>
  <c r="CS295" i="23916"/>
  <c r="CQ295" i="23916"/>
  <c r="CO295" i="23916"/>
  <c r="CO294" i="23916" s="1"/>
  <c r="CO293" i="23916"/>
  <c r="CO500" i="23916" s="1"/>
  <c r="CM295" i="23916"/>
  <c r="CM294" i="23916"/>
  <c r="CM293" i="23916"/>
  <c r="CM500" i="23916" s="1"/>
  <c r="CK295" i="23916"/>
  <c r="CK294" i="23916"/>
  <c r="CL294" i="23916" s="1"/>
  <c r="CI295" i="23916"/>
  <c r="CI294" i="23916" s="1"/>
  <c r="BQ295" i="23916"/>
  <c r="BQ294" i="23916"/>
  <c r="BQ293" i="23916"/>
  <c r="BQ300" i="23916" s="1"/>
  <c r="BO295" i="23916"/>
  <c r="BO294" i="23916" s="1"/>
  <c r="BO293" i="23916"/>
  <c r="BO300" i="23916" s="1"/>
  <c r="BM295" i="23916"/>
  <c r="BN295" i="23916" s="1"/>
  <c r="BK295" i="23916"/>
  <c r="BK294" i="23916"/>
  <c r="BI295" i="23916"/>
  <c r="FT295" i="23916" s="1"/>
  <c r="FU295" i="23916" s="1"/>
  <c r="BG295" i="23916"/>
  <c r="BG294" i="23916"/>
  <c r="BE295" i="23916"/>
  <c r="BF295" i="23916" s="1"/>
  <c r="BC295" i="23916"/>
  <c r="BC294" i="23916"/>
  <c r="BA295" i="23916"/>
  <c r="BB295" i="23916" s="1"/>
  <c r="EO294" i="23916"/>
  <c r="EM294" i="23916"/>
  <c r="EN294" i="23916" s="1"/>
  <c r="EK294" i="23916"/>
  <c r="EI294" i="23916"/>
  <c r="EJ294" i="23916" s="1"/>
  <c r="EE294" i="23916"/>
  <c r="EF294" i="23916" s="1"/>
  <c r="EA294" i="23916"/>
  <c r="DW294" i="23916"/>
  <c r="DS294" i="23916"/>
  <c r="DT294" i="23916" s="1"/>
  <c r="DO294" i="23916"/>
  <c r="DP294" i="23916" s="1"/>
  <c r="DK294" i="23916"/>
  <c r="DG294" i="23916"/>
  <c r="DH294" i="23916" s="1"/>
  <c r="DC294" i="23916"/>
  <c r="DD294" i="23916" s="1"/>
  <c r="CY294" i="23916"/>
  <c r="CZ294" i="23916" s="1"/>
  <c r="CU294" i="23916"/>
  <c r="CQ294" i="23916"/>
  <c r="CG295" i="23916"/>
  <c r="CE295" i="23916"/>
  <c r="CD295" i="23916"/>
  <c r="CC295" i="23916"/>
  <c r="CA295" i="23916"/>
  <c r="BZ295" i="23916"/>
  <c r="BY295" i="23916"/>
  <c r="BW295" i="23916"/>
  <c r="BX295" i="23916" s="1"/>
  <c r="BV295" i="23916"/>
  <c r="BU295" i="23916"/>
  <c r="BS295" i="23916"/>
  <c r="BT295" i="23916" s="1"/>
  <c r="CG294" i="23916"/>
  <c r="CH294" i="23916" s="1"/>
  <c r="CC294" i="23916"/>
  <c r="CD294" i="23916" s="1"/>
  <c r="BY294" i="23916"/>
  <c r="BZ294" i="23916" s="1"/>
  <c r="BU294" i="23916"/>
  <c r="GP295" i="23916"/>
  <c r="GR295" i="23916" s="1"/>
  <c r="GL295" i="23916"/>
  <c r="GH295" i="23916"/>
  <c r="GD295" i="23916"/>
  <c r="FZ295" i="23916"/>
  <c r="FV295" i="23916"/>
  <c r="FW295" i="23916" s="1"/>
  <c r="FR295" i="23916"/>
  <c r="FS295" i="23916" s="1"/>
  <c r="GN294" i="23916"/>
  <c r="GN293" i="23916"/>
  <c r="GN300" i="23916" s="1"/>
  <c r="GL293" i="23916"/>
  <c r="GL303" i="23916" s="1"/>
  <c r="GJ293" i="23916"/>
  <c r="GJ300" i="23916" s="1"/>
  <c r="GH293" i="23916"/>
  <c r="GH303" i="23916" s="1"/>
  <c r="GF293" i="23916"/>
  <c r="GF300" i="23916" s="1"/>
  <c r="GD293" i="23916"/>
  <c r="FZ293" i="23916"/>
  <c r="GA293" i="23916" s="1"/>
  <c r="FX293" i="23916"/>
  <c r="FV293" i="23916"/>
  <c r="FW293" i="23916" s="1"/>
  <c r="FT293" i="23916"/>
  <c r="FR293" i="23916"/>
  <c r="FS293" i="23916" s="1"/>
  <c r="FP293" i="23916"/>
  <c r="FN293" i="23916"/>
  <c r="FO293" i="23916" s="1"/>
  <c r="FL293" i="23916"/>
  <c r="FJ293" i="23916"/>
  <c r="FK293" i="23916" s="1"/>
  <c r="FH293" i="23916"/>
  <c r="FF293" i="23916"/>
  <c r="FG293" i="23916" s="1"/>
  <c r="FE293" i="23916"/>
  <c r="EP293" i="23916"/>
  <c r="EN293" i="23916"/>
  <c r="EL293" i="23916"/>
  <c r="EJ293" i="23916"/>
  <c r="EH293" i="23916"/>
  <c r="EF293" i="23916"/>
  <c r="ED293" i="23916"/>
  <c r="EB293" i="23916"/>
  <c r="DZ293" i="23916"/>
  <c r="DV293" i="23916"/>
  <c r="DT293" i="23916"/>
  <c r="DR293" i="23916"/>
  <c r="DP293" i="23916"/>
  <c r="DN293" i="23916"/>
  <c r="DL293" i="23916"/>
  <c r="DJ293" i="23916"/>
  <c r="DH293" i="23916"/>
  <c r="DF293" i="23916"/>
  <c r="DD293" i="23916"/>
  <c r="DB293" i="23916"/>
  <c r="CX293" i="23916"/>
  <c r="CV293" i="23916"/>
  <c r="CT293" i="23916"/>
  <c r="CQ293" i="23916"/>
  <c r="CQ500" i="23916" s="1"/>
  <c r="CF293" i="23916"/>
  <c r="CB293" i="23916"/>
  <c r="BZ293" i="23916"/>
  <c r="BX293" i="23916"/>
  <c r="BU293" i="23916"/>
  <c r="BT293" i="23916"/>
  <c r="BS293" i="23916"/>
  <c r="BS500" i="23916" s="1"/>
  <c r="AT293" i="23916"/>
  <c r="AR293" i="23916"/>
  <c r="AP293" i="23916"/>
  <c r="AN293" i="23916"/>
  <c r="AL293" i="23916"/>
  <c r="AJ293" i="23916"/>
  <c r="AH293" i="23916"/>
  <c r="AF293" i="23916"/>
  <c r="AD293" i="23916"/>
  <c r="AB293" i="23916"/>
  <c r="Z293" i="23916"/>
  <c r="X293" i="23916"/>
  <c r="V293" i="23916"/>
  <c r="T293" i="23916"/>
  <c r="R293" i="23916"/>
  <c r="P293" i="23916"/>
  <c r="N293" i="23916"/>
  <c r="L293" i="23916"/>
  <c r="EM290" i="23916"/>
  <c r="EN290" i="23916" s="1"/>
  <c r="EI290" i="23916"/>
  <c r="EJ290" i="23916" s="1"/>
  <c r="EE290" i="23916"/>
  <c r="EF290" i="23916" s="1"/>
  <c r="EA290" i="23916"/>
  <c r="EB290" i="23916" s="1"/>
  <c r="DW290" i="23916"/>
  <c r="DS290" i="23916"/>
  <c r="DT290" i="23916" s="1"/>
  <c r="DO290" i="23916"/>
  <c r="DP290" i="23916" s="1"/>
  <c r="DK290" i="23916"/>
  <c r="DL290" i="23916" s="1"/>
  <c r="DG290" i="23916"/>
  <c r="DH290" i="23916" s="1"/>
  <c r="DC290" i="23916"/>
  <c r="DD290" i="23916" s="1"/>
  <c r="CY290" i="23916"/>
  <c r="CZ290" i="23916" s="1"/>
  <c r="CU290" i="23916"/>
  <c r="CV290" i="23916" s="1"/>
  <c r="CQ290" i="23916"/>
  <c r="CR290" i="23916" s="1"/>
  <c r="CM290" i="23916"/>
  <c r="CN290" i="23916" s="1"/>
  <c r="CI290" i="23916"/>
  <c r="CE290" i="23916"/>
  <c r="CF290" i="23916" s="1"/>
  <c r="BW290" i="23916"/>
  <c r="BX290" i="23916" s="1"/>
  <c r="BS290" i="23916"/>
  <c r="BT290" i="23916" s="1"/>
  <c r="BO290" i="23916"/>
  <c r="BK290" i="23916"/>
  <c r="AX290" i="23916"/>
  <c r="AW290" i="23916"/>
  <c r="AT290" i="23916"/>
  <c r="AS290" i="23916"/>
  <c r="AP290" i="23916"/>
  <c r="AO290" i="23916"/>
  <c r="AL290" i="23916"/>
  <c r="AK290" i="23916"/>
  <c r="AH290" i="23916"/>
  <c r="AG290" i="23916"/>
  <c r="AD290" i="23916"/>
  <c r="AC290" i="23916"/>
  <c r="Z290" i="23916"/>
  <c r="Y290" i="23916"/>
  <c r="V290" i="23916"/>
  <c r="U290" i="23916"/>
  <c r="Q290" i="23916"/>
  <c r="M290" i="23916"/>
  <c r="I290" i="23916"/>
  <c r="R290" i="23916" s="1"/>
  <c r="G290" i="23916"/>
  <c r="FB288" i="23916"/>
  <c r="FB300" i="23916" s="1"/>
  <c r="FB301" i="23916" s="1"/>
  <c r="FB287" i="23916"/>
  <c r="EO288" i="23916"/>
  <c r="EO290" i="23916" s="1"/>
  <c r="EP290" i="23916" s="1"/>
  <c r="EN288" i="23916"/>
  <c r="EM288" i="23916"/>
  <c r="EM300" i="23916" s="1"/>
  <c r="EK288" i="23916"/>
  <c r="EJ288" i="23916"/>
  <c r="EI288" i="23916"/>
  <c r="EI300" i="23916" s="1"/>
  <c r="EG288" i="23916"/>
  <c r="EG290" i="23916" s="1"/>
  <c r="EF288" i="23916"/>
  <c r="EE288" i="23916"/>
  <c r="EE300" i="23916" s="1"/>
  <c r="EC288" i="23916"/>
  <c r="EB288" i="23916"/>
  <c r="EA288" i="23916"/>
  <c r="EA300" i="23916" s="1"/>
  <c r="DY288" i="23916"/>
  <c r="DY290" i="23916" s="1"/>
  <c r="DZ290" i="23916" s="1"/>
  <c r="DX288" i="23916"/>
  <c r="DX290" i="23916" s="1"/>
  <c r="DW288" i="23916"/>
  <c r="DW306" i="23916" s="1"/>
  <c r="DU288" i="23916"/>
  <c r="DU290" i="23916" s="1"/>
  <c r="DT288" i="23916"/>
  <c r="DS288" i="23916"/>
  <c r="DS300" i="23916" s="1"/>
  <c r="DQ288" i="23916"/>
  <c r="DQ290" i="23916" s="1"/>
  <c r="DP288" i="23916"/>
  <c r="DO288" i="23916"/>
  <c r="DO306" i="23916" s="1"/>
  <c r="DM288" i="23916"/>
  <c r="DM290" i="23916" s="1"/>
  <c r="DL288" i="23916"/>
  <c r="DK288" i="23916"/>
  <c r="DK300" i="23916" s="1"/>
  <c r="DI288" i="23916"/>
  <c r="DI300" i="23916" s="1"/>
  <c r="DH288" i="23916"/>
  <c r="DG288" i="23916"/>
  <c r="DG306" i="23916" s="1"/>
  <c r="DE288" i="23916"/>
  <c r="DE300" i="23916" s="1"/>
  <c r="DD288" i="23916"/>
  <c r="DC288" i="23916"/>
  <c r="DC300" i="23916" s="1"/>
  <c r="DA288" i="23916"/>
  <c r="DA300" i="23916" s="1"/>
  <c r="CZ288" i="23916"/>
  <c r="CY288" i="23916"/>
  <c r="CY306" i="23916" s="1"/>
  <c r="CW288" i="23916"/>
  <c r="CW300" i="23916" s="1"/>
  <c r="CV288" i="23916"/>
  <c r="CU288" i="23916"/>
  <c r="CU300" i="23916" s="1"/>
  <c r="CS288" i="23916"/>
  <c r="CS300" i="23916" s="1"/>
  <c r="CR288" i="23916"/>
  <c r="CQ288" i="23916"/>
  <c r="CO288" i="23916"/>
  <c r="CO290" i="23916" s="1"/>
  <c r="CN288" i="23916"/>
  <c r="CM288" i="23916"/>
  <c r="CK288" i="23916"/>
  <c r="CK300" i="23916" s="1"/>
  <c r="CI288" i="23916"/>
  <c r="CI306" i="23916" s="1"/>
  <c r="CG288" i="23916"/>
  <c r="CG300" i="23916" s="1"/>
  <c r="CF288" i="23916"/>
  <c r="CE288" i="23916"/>
  <c r="CE300" i="23916" s="1"/>
  <c r="CC288" i="23916"/>
  <c r="CC300" i="23916" s="1"/>
  <c r="BY288" i="23916"/>
  <c r="BY300" i="23916" s="1"/>
  <c r="BX288" i="23916"/>
  <c r="BW288" i="23916"/>
  <c r="BW300" i="23916" s="1"/>
  <c r="BT288" i="23916"/>
  <c r="BS288" i="23916"/>
  <c r="BQ288" i="23916"/>
  <c r="BQ290" i="23916" s="1"/>
  <c r="BO288" i="23916"/>
  <c r="BM288" i="23916"/>
  <c r="BM300" i="23916" s="1"/>
  <c r="BK288" i="23916"/>
  <c r="BK306" i="23916" s="1"/>
  <c r="BI288" i="23916"/>
  <c r="BI300" i="23916" s="1"/>
  <c r="BE288" i="23916"/>
  <c r="BE290" i="23916" s="1"/>
  <c r="BF290" i="23916" s="1"/>
  <c r="BA288" i="23916"/>
  <c r="BA290" i="23916" s="1"/>
  <c r="BB290" i="23916" s="1"/>
  <c r="AX288" i="23916"/>
  <c r="AW288" i="23916"/>
  <c r="AW306" i="23916" s="1"/>
  <c r="AU288" i="23916"/>
  <c r="AU302" i="23916" s="1"/>
  <c r="AT288" i="23916"/>
  <c r="AS288" i="23916"/>
  <c r="AS306" i="23916" s="1"/>
  <c r="AQ288" i="23916"/>
  <c r="AQ302" i="23916" s="1"/>
  <c r="AP288" i="23916"/>
  <c r="AO288" i="23916"/>
  <c r="AO306" i="23916" s="1"/>
  <c r="AM288" i="23916"/>
  <c r="AM302" i="23916" s="1"/>
  <c r="AN302" i="23916" s="1"/>
  <c r="AL288" i="23916"/>
  <c r="AK288" i="23916"/>
  <c r="AK306" i="23916" s="1"/>
  <c r="AI288" i="23916"/>
  <c r="AI302" i="23916" s="1"/>
  <c r="AH288" i="23916"/>
  <c r="AG288" i="23916"/>
  <c r="AG306" i="23916" s="1"/>
  <c r="AE288" i="23916"/>
  <c r="AE302" i="23916" s="1"/>
  <c r="AD288" i="23916"/>
  <c r="AC288" i="23916"/>
  <c r="AC306" i="23916" s="1"/>
  <c r="AA288" i="23916"/>
  <c r="AA302" i="23916" s="1"/>
  <c r="AB302" i="23916" s="1"/>
  <c r="Z288" i="23916"/>
  <c r="Y288" i="23916"/>
  <c r="Y306" i="23916" s="1"/>
  <c r="W288" i="23916"/>
  <c r="W302" i="23916" s="1"/>
  <c r="V288" i="23916"/>
  <c r="U288" i="23916"/>
  <c r="U306" i="23916" s="1"/>
  <c r="S288" i="23916"/>
  <c r="S302" i="23916" s="1"/>
  <c r="Q288" i="23916"/>
  <c r="Q306" i="23916" s="1"/>
  <c r="O288" i="23916"/>
  <c r="O302" i="23916" s="1"/>
  <c r="N288" i="23916"/>
  <c r="M288" i="23916"/>
  <c r="M306" i="23916" s="1"/>
  <c r="K288" i="23916"/>
  <c r="K302" i="23916" s="1"/>
  <c r="I288" i="23916"/>
  <c r="I300" i="23916" s="1"/>
  <c r="I301" i="23916" s="1"/>
  <c r="G288" i="23916"/>
  <c r="G300" i="23916" s="1"/>
  <c r="G301" i="23916" s="1"/>
  <c r="E288" i="23916"/>
  <c r="E306" i="23916" s="1"/>
  <c r="C288" i="23916"/>
  <c r="C302" i="23916" s="1"/>
  <c r="GN288" i="23916"/>
  <c r="GJ288" i="23916"/>
  <c r="GF288" i="23916"/>
  <c r="GB288" i="23916"/>
  <c r="GN287" i="23916"/>
  <c r="GO287" i="23916" s="1"/>
  <c r="GL287" i="23916"/>
  <c r="GJ287" i="23916"/>
  <c r="GK287" i="23916" s="1"/>
  <c r="GH287" i="23916"/>
  <c r="GF287" i="23916"/>
  <c r="GG287" i="23916" s="1"/>
  <c r="GD287" i="23916"/>
  <c r="GB287" i="23916"/>
  <c r="GC287" i="23916" s="1"/>
  <c r="FZ287" i="23916"/>
  <c r="FX287" i="23916"/>
  <c r="FY287" i="23916" s="1"/>
  <c r="FV287" i="23916"/>
  <c r="FT287" i="23916"/>
  <c r="FP287" i="23916"/>
  <c r="FQ287" i="23916" s="1"/>
  <c r="FN287" i="23916"/>
  <c r="FL287" i="23916"/>
  <c r="FM287" i="23916" s="1"/>
  <c r="FJ287" i="23916"/>
  <c r="FH287" i="23916"/>
  <c r="FI287" i="23916" s="1"/>
  <c r="FF287" i="23916"/>
  <c r="FD287" i="23916"/>
  <c r="FE287" i="23916" s="1"/>
  <c r="EN287" i="23916"/>
  <c r="EN286" i="23916"/>
  <c r="EN285" i="23916"/>
  <c r="EL287" i="23916"/>
  <c r="EL286" i="23916"/>
  <c r="EL285" i="23916"/>
  <c r="EJ287" i="23916"/>
  <c r="EJ286" i="23916"/>
  <c r="EJ285" i="23916"/>
  <c r="EH287" i="23916"/>
  <c r="EH286" i="23916"/>
  <c r="EH285" i="23916"/>
  <c r="EF287" i="23916"/>
  <c r="EF286" i="23916"/>
  <c r="EF285" i="23916"/>
  <c r="ED287" i="23916"/>
  <c r="ED286" i="23916"/>
  <c r="ED285" i="23916"/>
  <c r="EB287" i="23916"/>
  <c r="EB286" i="23916"/>
  <c r="EB285" i="23916"/>
  <c r="DZ287" i="23916"/>
  <c r="DZ286" i="23916"/>
  <c r="DZ285" i="23916"/>
  <c r="DV287" i="23916"/>
  <c r="DV286" i="23916"/>
  <c r="DV285" i="23916"/>
  <c r="DT287" i="23916"/>
  <c r="DT286" i="23916"/>
  <c r="DT285" i="23916"/>
  <c r="DR287" i="23916"/>
  <c r="DR286" i="23916"/>
  <c r="DR285" i="23916"/>
  <c r="DP287" i="23916"/>
  <c r="DP286" i="23916"/>
  <c r="DP285" i="23916"/>
  <c r="DN287" i="23916"/>
  <c r="DN286" i="23916"/>
  <c r="DN285" i="23916"/>
  <c r="DL287" i="23916"/>
  <c r="DL286" i="23916"/>
  <c r="DL285" i="23916"/>
  <c r="DJ287" i="23916"/>
  <c r="DJ286" i="23916"/>
  <c r="DJ285" i="23916"/>
  <c r="DH287" i="23916"/>
  <c r="DH286" i="23916"/>
  <c r="DH285" i="23916"/>
  <c r="DF287" i="23916"/>
  <c r="DF286" i="23916"/>
  <c r="DF285" i="23916"/>
  <c r="DD287" i="23916"/>
  <c r="DD286" i="23916"/>
  <c r="DD285" i="23916"/>
  <c r="DB287" i="23916"/>
  <c r="DB286" i="23916"/>
  <c r="DB285" i="23916"/>
  <c r="CZ287" i="23916"/>
  <c r="CZ286" i="23916"/>
  <c r="CZ285" i="23916"/>
  <c r="CX287" i="23916"/>
  <c r="CX286" i="23916"/>
  <c r="CX285" i="23916"/>
  <c r="CV287" i="23916"/>
  <c r="CV286" i="23916"/>
  <c r="CV285" i="23916"/>
  <c r="CT287" i="23916"/>
  <c r="CT286" i="23916"/>
  <c r="CT285" i="23916"/>
  <c r="CR287" i="23916"/>
  <c r="CR286" i="23916"/>
  <c r="CR285" i="23916"/>
  <c r="CP287" i="23916"/>
  <c r="CP286" i="23916"/>
  <c r="CP285" i="23916"/>
  <c r="CN287" i="23916"/>
  <c r="CN286" i="23916"/>
  <c r="CN285" i="23916"/>
  <c r="CL287" i="23916"/>
  <c r="CL286" i="23916"/>
  <c r="CL285" i="23916"/>
  <c r="CJ286" i="23916"/>
  <c r="CJ285" i="23916"/>
  <c r="CH287" i="23916"/>
  <c r="CH286" i="23916"/>
  <c r="CH285" i="23916"/>
  <c r="CF287" i="23916"/>
  <c r="CF286" i="23916"/>
  <c r="CF285" i="23916"/>
  <c r="CD287" i="23916"/>
  <c r="CD286" i="23916"/>
  <c r="CD285" i="23916"/>
  <c r="CA287" i="23916"/>
  <c r="CJ287" i="23916" s="1"/>
  <c r="BZ287" i="23916"/>
  <c r="BX287" i="23916"/>
  <c r="BX286" i="23916"/>
  <c r="BX285" i="23916"/>
  <c r="BV287" i="23916"/>
  <c r="BV285" i="23916"/>
  <c r="BT287" i="23916"/>
  <c r="BT286" i="23916"/>
  <c r="BT285" i="23916"/>
  <c r="BR287" i="23916"/>
  <c r="BR286" i="23916"/>
  <c r="BR285" i="23916"/>
  <c r="BP287" i="23916"/>
  <c r="BP286" i="23916"/>
  <c r="BP285" i="23916"/>
  <c r="BN287" i="23916"/>
  <c r="BN286" i="23916"/>
  <c r="BN285" i="23916"/>
  <c r="BL286" i="23916"/>
  <c r="BL285" i="23916"/>
  <c r="BJ287" i="23916"/>
  <c r="BJ286" i="23916"/>
  <c r="BJ285" i="23916"/>
  <c r="BH287" i="23916"/>
  <c r="BG287" i="23916"/>
  <c r="BG288" i="23916" s="1"/>
  <c r="BF287" i="23916"/>
  <c r="BD287" i="23916"/>
  <c r="BC287" i="23916"/>
  <c r="FR287" i="23916" s="1"/>
  <c r="FS287" i="23916" s="1"/>
  <c r="BB287" i="23916"/>
  <c r="AZ287" i="23916"/>
  <c r="AZ286" i="23916"/>
  <c r="AZ285" i="23916"/>
  <c r="AX287" i="23916"/>
  <c r="AX286" i="23916"/>
  <c r="AX285" i="23916"/>
  <c r="AV287" i="23916"/>
  <c r="AV286" i="23916"/>
  <c r="AV285" i="23916"/>
  <c r="AT287" i="23916"/>
  <c r="AT286" i="23916"/>
  <c r="AT285" i="23916"/>
  <c r="AR287" i="23916"/>
  <c r="AR286" i="23916"/>
  <c r="AR285" i="23916"/>
  <c r="AP287" i="23916"/>
  <c r="AP286" i="23916"/>
  <c r="AP285" i="23916"/>
  <c r="AN287" i="23916"/>
  <c r="AN286" i="23916"/>
  <c r="AN285" i="23916"/>
  <c r="AL287" i="23916"/>
  <c r="AL286" i="23916"/>
  <c r="AL285" i="23916"/>
  <c r="AJ287" i="23916"/>
  <c r="AJ286" i="23916"/>
  <c r="AJ285" i="23916"/>
  <c r="AH287" i="23916"/>
  <c r="AH286" i="23916"/>
  <c r="AH285" i="23916"/>
  <c r="AF287" i="23916"/>
  <c r="AF286" i="23916"/>
  <c r="AF285" i="23916"/>
  <c r="AD287" i="23916"/>
  <c r="AD286" i="23916"/>
  <c r="AD285" i="23916"/>
  <c r="AB287" i="23916"/>
  <c r="AB286" i="23916"/>
  <c r="AB285" i="23916"/>
  <c r="Z287" i="23916"/>
  <c r="Z286" i="23916"/>
  <c r="Z285" i="23916"/>
  <c r="X287" i="23916"/>
  <c r="X286" i="23916"/>
  <c r="X285" i="23916"/>
  <c r="V287" i="23916"/>
  <c r="V286" i="23916"/>
  <c r="V285" i="23916"/>
  <c r="T287" i="23916"/>
  <c r="T286" i="23916"/>
  <c r="T285" i="23916"/>
  <c r="R287" i="23916"/>
  <c r="R286" i="23916"/>
  <c r="R285" i="23916"/>
  <c r="P287" i="23916"/>
  <c r="P286" i="23916"/>
  <c r="P285" i="23916"/>
  <c r="N287" i="23916"/>
  <c r="N286" i="23916"/>
  <c r="N285" i="23916"/>
  <c r="L287" i="23916"/>
  <c r="L286" i="23916"/>
  <c r="L285" i="23916"/>
  <c r="CB286" i="23916"/>
  <c r="CB285" i="23916"/>
  <c r="BZ286" i="23916"/>
  <c r="BZ285" i="23916"/>
  <c r="BU286" i="23916"/>
  <c r="BH286" i="23916"/>
  <c r="BH285" i="23916"/>
  <c r="BF286" i="23916"/>
  <c r="BF285" i="23916"/>
  <c r="BD286" i="23916"/>
  <c r="BD285" i="23916"/>
  <c r="BB286" i="23916"/>
  <c r="BB285" i="23916"/>
  <c r="GN286" i="23916"/>
  <c r="GN290" i="23916" s="1"/>
  <c r="GL286" i="23916"/>
  <c r="GM286" i="23916" s="1"/>
  <c r="GJ286" i="23916"/>
  <c r="GJ290" i="23916" s="1"/>
  <c r="GH286" i="23916"/>
  <c r="GI286" i="23916" s="1"/>
  <c r="GF286" i="23916"/>
  <c r="GF290" i="23916" s="1"/>
  <c r="GD286" i="23916"/>
  <c r="GE286" i="23916" s="1"/>
  <c r="GB286" i="23916"/>
  <c r="GB290" i="23916" s="1"/>
  <c r="FZ286" i="23916"/>
  <c r="GA286" i="23916" s="1"/>
  <c r="FX286" i="23916"/>
  <c r="FV286" i="23916"/>
  <c r="FW286" i="23916" s="1"/>
  <c r="FT286" i="23916"/>
  <c r="FR286" i="23916"/>
  <c r="FS286" i="23916" s="1"/>
  <c r="FP286" i="23916"/>
  <c r="FN286" i="23916"/>
  <c r="FO286" i="23916" s="1"/>
  <c r="FL286" i="23916"/>
  <c r="FJ286" i="23916"/>
  <c r="FK286" i="23916" s="1"/>
  <c r="FH286" i="23916"/>
  <c r="FF286" i="23916"/>
  <c r="FG286" i="23916" s="1"/>
  <c r="FE286" i="23916"/>
  <c r="GO285" i="23916"/>
  <c r="GN285" i="23916"/>
  <c r="GL285" i="23916"/>
  <c r="GM285" i="23916" s="1"/>
  <c r="GK285" i="23916"/>
  <c r="GJ285" i="23916"/>
  <c r="GH285" i="23916"/>
  <c r="GI285" i="23916" s="1"/>
  <c r="GG285" i="23916"/>
  <c r="GF285" i="23916"/>
  <c r="GD285" i="23916"/>
  <c r="GE285" i="23916" s="1"/>
  <c r="GC285" i="23916"/>
  <c r="GB285" i="23916"/>
  <c r="FZ285" i="23916"/>
  <c r="GA285" i="23916" s="1"/>
  <c r="FY285" i="23916"/>
  <c r="FX285" i="23916"/>
  <c r="FV285" i="23916"/>
  <c r="FW285" i="23916" s="1"/>
  <c r="FU285" i="23916"/>
  <c r="FT285" i="23916"/>
  <c r="FR285" i="23916"/>
  <c r="FS285" i="23916" s="1"/>
  <c r="FQ285" i="23916"/>
  <c r="FP285" i="23916"/>
  <c r="FN285" i="23916"/>
  <c r="FN288" i="23916" s="1"/>
  <c r="FM285" i="23916"/>
  <c r="FL285" i="23916"/>
  <c r="FJ285" i="23916"/>
  <c r="FJ288" i="23916" s="1"/>
  <c r="FI285" i="23916"/>
  <c r="FH285" i="23916"/>
  <c r="FF285" i="23916"/>
  <c r="FF288" i="23916" s="1"/>
  <c r="FE285" i="23916"/>
  <c r="EQ287" i="23916"/>
  <c r="EP287" i="23916"/>
  <c r="ER286" i="23916"/>
  <c r="EQ286" i="23916"/>
  <c r="ES286" i="23916" s="1"/>
  <c r="EP286" i="23916"/>
  <c r="ES285" i="23916"/>
  <c r="EU285" i="23916" s="1"/>
  <c r="ER285" i="23916"/>
  <c r="EQ285" i="23916"/>
  <c r="EQ288" i="23916" s="1"/>
  <c r="EP285" i="23916"/>
  <c r="GW274" i="23916"/>
  <c r="GU274" i="23916"/>
  <c r="GQ274" i="23916"/>
  <c r="GP274" i="23916"/>
  <c r="GN274" i="23916"/>
  <c r="GJ274" i="23916"/>
  <c r="GH274" i="23916"/>
  <c r="GD274" i="23916"/>
  <c r="GA274" i="23916"/>
  <c r="FZ274" i="23916"/>
  <c r="FX274" i="23916"/>
  <c r="FW274" i="23916"/>
  <c r="FV274" i="23916"/>
  <c r="FT274" i="23916"/>
  <c r="EX274" i="23916"/>
  <c r="EV274" i="23916"/>
  <c r="ET274" i="23916"/>
  <c r="ER274" i="23916"/>
  <c r="EP274" i="23916"/>
  <c r="EP271" i="23916"/>
  <c r="EN274" i="23916"/>
  <c r="EN271" i="23916"/>
  <c r="EL274" i="23916"/>
  <c r="EL271" i="23916"/>
  <c r="EJ271" i="23916"/>
  <c r="EH274" i="23916"/>
  <c r="EH271" i="23916"/>
  <c r="EF274" i="23916"/>
  <c r="EE274" i="23916"/>
  <c r="ED274" i="23916"/>
  <c r="EB274" i="23916"/>
  <c r="EA274" i="23916"/>
  <c r="EA537" i="23916" s="1"/>
  <c r="DZ274" i="23916"/>
  <c r="DV274" i="23916"/>
  <c r="DV271" i="23916"/>
  <c r="DT274" i="23916"/>
  <c r="DT271" i="23916"/>
  <c r="DR274" i="23916"/>
  <c r="DR271" i="23916"/>
  <c r="DP274" i="23916"/>
  <c r="DP271" i="23916"/>
  <c r="DN274" i="23916"/>
  <c r="DN271" i="23916"/>
  <c r="DL274" i="23916"/>
  <c r="DL271" i="23916"/>
  <c r="DJ274" i="23916"/>
  <c r="DJ271" i="23916"/>
  <c r="DH274" i="23916"/>
  <c r="DH271" i="23916"/>
  <c r="DF274" i="23916"/>
  <c r="DF271" i="23916"/>
  <c r="DD274" i="23916"/>
  <c r="DC274" i="23916"/>
  <c r="DC537" i="23916" s="1"/>
  <c r="DD537" i="23916" s="1"/>
  <c r="DB274" i="23916"/>
  <c r="CZ271" i="23916"/>
  <c r="CX274" i="23916"/>
  <c r="CX271" i="23916"/>
  <c r="CV274" i="23916"/>
  <c r="CV271" i="23916"/>
  <c r="CT274" i="23916"/>
  <c r="CT271" i="23916"/>
  <c r="CQ274" i="23916"/>
  <c r="CQ537" i="23916" s="1"/>
  <c r="CR537" i="23916" s="1"/>
  <c r="CP274" i="23916"/>
  <c r="CN274" i="23916"/>
  <c r="CN271" i="23916"/>
  <c r="CL274" i="23916"/>
  <c r="CL271" i="23916"/>
  <c r="CJ274" i="23916"/>
  <c r="CJ271" i="23916"/>
  <c r="CH274" i="23916"/>
  <c r="CH271" i="23916"/>
  <c r="CF274" i="23916"/>
  <c r="CF271" i="23916"/>
  <c r="CD274" i="23916"/>
  <c r="CD271" i="23916"/>
  <c r="CB274" i="23916"/>
  <c r="CB271" i="23916"/>
  <c r="BZ274" i="23916"/>
  <c r="BZ271" i="23916"/>
  <c r="BX274" i="23916"/>
  <c r="BX271" i="23916"/>
  <c r="BV274" i="23916"/>
  <c r="BV271" i="23916"/>
  <c r="BT274" i="23916"/>
  <c r="BT271" i="23916"/>
  <c r="BR274" i="23916"/>
  <c r="BR271" i="23916"/>
  <c r="BP274" i="23916"/>
  <c r="BP271" i="23916"/>
  <c r="BN274" i="23916"/>
  <c r="BN271" i="23916"/>
  <c r="BL274" i="23916"/>
  <c r="BL271" i="23916"/>
  <c r="BJ274" i="23916"/>
  <c r="BJ271" i="23916"/>
  <c r="BH274" i="23916"/>
  <c r="BH271" i="23916"/>
  <c r="BF274" i="23916"/>
  <c r="BF271" i="23916"/>
  <c r="BD274" i="23916"/>
  <c r="BC274" i="23916"/>
  <c r="AZ274" i="23916"/>
  <c r="AX274" i="23916"/>
  <c r="AX271" i="23916"/>
  <c r="AV274" i="23916"/>
  <c r="AV271" i="23916"/>
  <c r="AS274" i="23916"/>
  <c r="AS537" i="23916" s="1"/>
  <c r="AT537" i="23916" s="1"/>
  <c r="AR274" i="23916"/>
  <c r="ES272" i="23916"/>
  <c r="AY271" i="23916"/>
  <c r="AY509" i="23916" s="1"/>
  <c r="EF271" i="23916"/>
  <c r="ED271" i="23916"/>
  <c r="EB271" i="23916"/>
  <c r="DZ271" i="23916"/>
  <c r="DD271" i="23916"/>
  <c r="DB271" i="23916"/>
  <c r="CR271" i="23916"/>
  <c r="CP271" i="23916"/>
  <c r="BD271" i="23916"/>
  <c r="BB271" i="23916"/>
  <c r="AT271" i="23916"/>
  <c r="AR271" i="23916"/>
  <c r="GZ274" i="23916"/>
  <c r="GY274" i="23916"/>
  <c r="GN271" i="23916"/>
  <c r="GL271" i="23916"/>
  <c r="GJ271" i="23916"/>
  <c r="GH271" i="23916"/>
  <c r="GF271" i="23916"/>
  <c r="GD271" i="23916"/>
  <c r="GB271" i="23916"/>
  <c r="FZ271" i="23916"/>
  <c r="FX271" i="23916"/>
  <c r="FV271" i="23916"/>
  <c r="FY271" i="23916" s="1"/>
  <c r="FT271" i="23916"/>
  <c r="FR271" i="23916"/>
  <c r="FU271" i="23916" s="1"/>
  <c r="FQ271" i="23916"/>
  <c r="FP271" i="23916"/>
  <c r="GZ269" i="23916"/>
  <c r="FS266" i="23916"/>
  <c r="GZ262" i="23916"/>
  <c r="GZ261" i="23916"/>
  <c r="GZ255" i="23916"/>
  <c r="FN260" i="23916"/>
  <c r="EN260" i="23916"/>
  <c r="EN258" i="23916"/>
  <c r="EN256" i="23916"/>
  <c r="EL260" i="23916"/>
  <c r="EL259" i="23916"/>
  <c r="EL256" i="23916"/>
  <c r="EJ260" i="23916"/>
  <c r="EJ256" i="23916"/>
  <c r="EH260" i="23916"/>
  <c r="EH256" i="23916"/>
  <c r="EF260" i="23916"/>
  <c r="EF258" i="23916"/>
  <c r="EF256" i="23916"/>
  <c r="ED260" i="23916"/>
  <c r="ED256" i="23916"/>
  <c r="EB260" i="23916"/>
  <c r="EB256" i="23916"/>
  <c r="DZ260" i="23916"/>
  <c r="DZ257" i="23916"/>
  <c r="DZ256" i="23916"/>
  <c r="DV260" i="23916"/>
  <c r="DV258" i="23916"/>
  <c r="DV256" i="23916"/>
  <c r="DT260" i="23916"/>
  <c r="DT256" i="23916"/>
  <c r="DR260" i="23916"/>
  <c r="DR256" i="23916"/>
  <c r="DP260" i="23916"/>
  <c r="DP257" i="23916"/>
  <c r="DP256" i="23916"/>
  <c r="DN260" i="23916"/>
  <c r="DN258" i="23916"/>
  <c r="DN256" i="23916"/>
  <c r="DL260" i="23916"/>
  <c r="DL256" i="23916"/>
  <c r="DJ260" i="23916"/>
  <c r="DJ256" i="23916"/>
  <c r="DH260" i="23916"/>
  <c r="DH257" i="23916"/>
  <c r="DH256" i="23916"/>
  <c r="DF260" i="23916"/>
  <c r="DF258" i="23916"/>
  <c r="DF256" i="23916"/>
  <c r="DD260" i="23916"/>
  <c r="DD256" i="23916"/>
  <c r="DB260" i="23916"/>
  <c r="DB256" i="23916"/>
  <c r="CZ260" i="23916"/>
  <c r="CZ257" i="23916"/>
  <c r="CZ256" i="23916"/>
  <c r="CX260" i="23916"/>
  <c r="CX258" i="23916"/>
  <c r="CX256" i="23916"/>
  <c r="CV260" i="23916"/>
  <c r="CV256" i="23916"/>
  <c r="CT260" i="23916"/>
  <c r="CT256" i="23916"/>
  <c r="CR260" i="23916"/>
  <c r="CR257" i="23916"/>
  <c r="CR256" i="23916"/>
  <c r="CP260" i="23916"/>
  <c r="CP258" i="23916"/>
  <c r="CP256" i="23916"/>
  <c r="CN260" i="23916"/>
  <c r="CN256" i="23916"/>
  <c r="CL260" i="23916"/>
  <c r="CL256" i="23916"/>
  <c r="CJ260" i="23916"/>
  <c r="CJ257" i="23916"/>
  <c r="CJ256" i="23916"/>
  <c r="CH260" i="23916"/>
  <c r="CH258" i="23916"/>
  <c r="CH256" i="23916"/>
  <c r="CF260" i="23916"/>
  <c r="CF256" i="23916"/>
  <c r="CD260" i="23916"/>
  <c r="CD256" i="23916"/>
  <c r="CB260" i="23916"/>
  <c r="CB257" i="23916"/>
  <c r="CB256" i="23916"/>
  <c r="BZ260" i="23916"/>
  <c r="BZ258" i="23916"/>
  <c r="BZ256" i="23916"/>
  <c r="BX260" i="23916"/>
  <c r="BX256" i="23916"/>
  <c r="BV260" i="23916"/>
  <c r="BV256" i="23916"/>
  <c r="BT260" i="23916"/>
  <c r="BT257" i="23916"/>
  <c r="BT256" i="23916"/>
  <c r="BR260" i="23916"/>
  <c r="BR258" i="23916"/>
  <c r="BR256" i="23916"/>
  <c r="BP260" i="23916"/>
  <c r="BP256" i="23916"/>
  <c r="BN260" i="23916"/>
  <c r="BN256" i="23916"/>
  <c r="BL260" i="23916"/>
  <c r="BL257" i="23916"/>
  <c r="BL256" i="23916"/>
  <c r="BJ260" i="23916"/>
  <c r="BJ258" i="23916"/>
  <c r="BJ256" i="23916"/>
  <c r="BH260" i="23916"/>
  <c r="BH256" i="23916"/>
  <c r="BF260" i="23916"/>
  <c r="BF256" i="23916"/>
  <c r="BD260" i="23916"/>
  <c r="BD257" i="23916"/>
  <c r="BD256" i="23916"/>
  <c r="BB260" i="23916"/>
  <c r="BB258" i="23916"/>
  <c r="BB256" i="23916"/>
  <c r="AZ260" i="23916"/>
  <c r="AZ256" i="23916"/>
  <c r="AX260" i="23916"/>
  <c r="AX256" i="23916"/>
  <c r="AV260" i="23916"/>
  <c r="AV257" i="23916"/>
  <c r="AV256" i="23916"/>
  <c r="AT260" i="23916"/>
  <c r="AT258" i="23916"/>
  <c r="AT256" i="23916"/>
  <c r="AR260" i="23916"/>
  <c r="AR256" i="23916"/>
  <c r="EP260" i="23916"/>
  <c r="EO258" i="23916"/>
  <c r="EO257" i="23916"/>
  <c r="EM258" i="23916"/>
  <c r="EM257" i="23916"/>
  <c r="EM501" i="23916" s="1"/>
  <c r="EK259" i="23916"/>
  <c r="EK258" i="23916"/>
  <c r="EL258" i="23916" s="1"/>
  <c r="EK257" i="23916"/>
  <c r="EK501" i="23916" s="1"/>
  <c r="EI258" i="23916"/>
  <c r="EI257" i="23916"/>
  <c r="EI501" i="23916" s="1"/>
  <c r="EG258" i="23916"/>
  <c r="EH258" i="23916" s="1"/>
  <c r="EG257" i="23916"/>
  <c r="EE258" i="23916"/>
  <c r="EE257" i="23916"/>
  <c r="EE501" i="23916" s="1"/>
  <c r="EC259" i="23916"/>
  <c r="EC258" i="23916"/>
  <c r="ED258" i="23916" s="1"/>
  <c r="EC257" i="23916"/>
  <c r="EC501" i="23916" s="1"/>
  <c r="EA258" i="23916"/>
  <c r="EA257" i="23916"/>
  <c r="EA501" i="23916" s="1"/>
  <c r="DU258" i="23916"/>
  <c r="DU257" i="23916"/>
  <c r="DS258" i="23916"/>
  <c r="DT258" i="23916" s="1"/>
  <c r="DS257" i="23916"/>
  <c r="DS501" i="23916" s="1"/>
  <c r="DQ259" i="23916"/>
  <c r="DQ258" i="23916"/>
  <c r="DR258" i="23916" s="1"/>
  <c r="DQ257" i="23916"/>
  <c r="DQ501" i="23916" s="1"/>
  <c r="DO258" i="23916"/>
  <c r="GH258" i="23916" s="1"/>
  <c r="DO257" i="23916"/>
  <c r="DO501" i="23916" s="1"/>
  <c r="DM258" i="23916"/>
  <c r="DM257" i="23916"/>
  <c r="DK258" i="23916"/>
  <c r="DL258" i="23916" s="1"/>
  <c r="DK257" i="23916"/>
  <c r="DK501" i="23916" s="1"/>
  <c r="DI259" i="23916"/>
  <c r="DI258" i="23916"/>
  <c r="DJ258" i="23916" s="1"/>
  <c r="DI257" i="23916"/>
  <c r="DI501" i="23916" s="1"/>
  <c r="DG258" i="23916"/>
  <c r="DG257" i="23916"/>
  <c r="DG501" i="23916" s="1"/>
  <c r="DE258" i="23916"/>
  <c r="DE257" i="23916"/>
  <c r="DC258" i="23916"/>
  <c r="DD258" i="23916" s="1"/>
  <c r="DC257" i="23916"/>
  <c r="DC501" i="23916" s="1"/>
  <c r="DA259" i="23916"/>
  <c r="DA258" i="23916"/>
  <c r="DB258" i="23916" s="1"/>
  <c r="DA257" i="23916"/>
  <c r="DA501" i="23916" s="1"/>
  <c r="CY258" i="23916"/>
  <c r="GD258" i="23916" s="1"/>
  <c r="CY257" i="23916"/>
  <c r="CY501" i="23916" s="1"/>
  <c r="CW258" i="23916"/>
  <c r="CW257" i="23916"/>
  <c r="CU258" i="23916"/>
  <c r="CV258" i="23916" s="1"/>
  <c r="CU257" i="23916"/>
  <c r="CU501" i="23916" s="1"/>
  <c r="CS259" i="23916"/>
  <c r="CS258" i="23916"/>
  <c r="CT258" i="23916" s="1"/>
  <c r="CS257" i="23916"/>
  <c r="CS501" i="23916" s="1"/>
  <c r="CQ258" i="23916"/>
  <c r="CQ257" i="23916"/>
  <c r="CQ501" i="23916" s="1"/>
  <c r="CO258" i="23916"/>
  <c r="CO257" i="23916"/>
  <c r="CM258" i="23916"/>
  <c r="CN258" i="23916" s="1"/>
  <c r="CM257" i="23916"/>
  <c r="CM501" i="23916" s="1"/>
  <c r="CK259" i="23916"/>
  <c r="CK258" i="23916"/>
  <c r="CL258" i="23916" s="1"/>
  <c r="CK257" i="23916"/>
  <c r="CK501" i="23916" s="1"/>
  <c r="CI258" i="23916"/>
  <c r="CI257" i="23916"/>
  <c r="CI501" i="23916" s="1"/>
  <c r="CG258" i="23916"/>
  <c r="CG257" i="23916"/>
  <c r="CE258" i="23916"/>
  <c r="CF258" i="23916" s="1"/>
  <c r="CE257" i="23916"/>
  <c r="CE501" i="23916" s="1"/>
  <c r="CC259" i="23916"/>
  <c r="CC258" i="23916"/>
  <c r="CD258" i="23916" s="1"/>
  <c r="CC257" i="23916"/>
  <c r="CC501" i="23916" s="1"/>
  <c r="CA258" i="23916"/>
  <c r="CA257" i="23916"/>
  <c r="CA501" i="23916" s="1"/>
  <c r="BY258" i="23916"/>
  <c r="BY257" i="23916"/>
  <c r="BW258" i="23916"/>
  <c r="BX258" i="23916" s="1"/>
  <c r="BW257" i="23916"/>
  <c r="BW501" i="23916" s="1"/>
  <c r="BU259" i="23916"/>
  <c r="BU258" i="23916"/>
  <c r="BV258" i="23916" s="1"/>
  <c r="BU257" i="23916"/>
  <c r="BU501" i="23916" s="1"/>
  <c r="BS258" i="23916"/>
  <c r="BS257" i="23916"/>
  <c r="BS501" i="23916" s="1"/>
  <c r="BQ258" i="23916"/>
  <c r="BQ257" i="23916"/>
  <c r="BO258" i="23916"/>
  <c r="BP258" i="23916" s="1"/>
  <c r="BO257" i="23916"/>
  <c r="BO501" i="23916" s="1"/>
  <c r="BM259" i="23916"/>
  <c r="BM258" i="23916"/>
  <c r="BN258" i="23916" s="1"/>
  <c r="BM257" i="23916"/>
  <c r="BM501" i="23916" s="1"/>
  <c r="BK258" i="23916"/>
  <c r="BK257" i="23916"/>
  <c r="BK501" i="23916" s="1"/>
  <c r="BI258" i="23916"/>
  <c r="BI257" i="23916"/>
  <c r="BG258" i="23916"/>
  <c r="BH258" i="23916" s="1"/>
  <c r="BG257" i="23916"/>
  <c r="BG501" i="23916" s="1"/>
  <c r="BE259" i="23916"/>
  <c r="BE258" i="23916"/>
  <c r="BF258" i="23916" s="1"/>
  <c r="BE257" i="23916"/>
  <c r="BE501" i="23916" s="1"/>
  <c r="BC258" i="23916"/>
  <c r="FR258" i="23916" s="1"/>
  <c r="FS258" i="23916" s="1"/>
  <c r="BC257" i="23916"/>
  <c r="BC501" i="23916" s="1"/>
  <c r="BA258" i="23916"/>
  <c r="BA257" i="23916"/>
  <c r="AY258" i="23916"/>
  <c r="AZ258" i="23916" s="1"/>
  <c r="AY257" i="23916"/>
  <c r="AY501" i="23916" s="1"/>
  <c r="AW259" i="23916"/>
  <c r="AW258" i="23916"/>
  <c r="AX258" i="23916" s="1"/>
  <c r="AW257" i="23916"/>
  <c r="AW501" i="23916" s="1"/>
  <c r="AU258" i="23916"/>
  <c r="AU257" i="23916"/>
  <c r="AU501" i="23916" s="1"/>
  <c r="AS258" i="23916"/>
  <c r="FP258" i="23916" s="1"/>
  <c r="FQ258" i="23916" s="1"/>
  <c r="AS257" i="23916"/>
  <c r="AQ258" i="23916"/>
  <c r="AR258" i="23916" s="1"/>
  <c r="AQ257" i="23916"/>
  <c r="AQ501" i="23916" s="1"/>
  <c r="EP258" i="23916"/>
  <c r="EP256" i="23916"/>
  <c r="DW259" i="23916"/>
  <c r="DY258" i="23916"/>
  <c r="DX258" i="23916"/>
  <c r="DW258" i="23916"/>
  <c r="DY257" i="23916"/>
  <c r="DY501" i="23916" s="1"/>
  <c r="DX257" i="23916"/>
  <c r="DW257" i="23916"/>
  <c r="DW501" i="23916" s="1"/>
  <c r="DW750" i="23916" s="1"/>
  <c r="B257" i="23916"/>
  <c r="GL258" i="23916"/>
  <c r="FV258" i="23916"/>
  <c r="GL257" i="23916"/>
  <c r="FV257" i="23916"/>
  <c r="GN256" i="23916"/>
  <c r="GL256" i="23916"/>
  <c r="GJ256" i="23916"/>
  <c r="GH256" i="23916"/>
  <c r="GF256" i="23916"/>
  <c r="GD256" i="23916"/>
  <c r="GB256" i="23916"/>
  <c r="FZ256" i="23916"/>
  <c r="FX256" i="23916"/>
  <c r="FV256" i="23916"/>
  <c r="FT256" i="23916"/>
  <c r="FR256" i="23916"/>
  <c r="FP256" i="23916"/>
  <c r="ES258" i="23916"/>
  <c r="FN253" i="23916"/>
  <c r="FN252" i="23916"/>
  <c r="FN251" i="23916"/>
  <c r="EX252" i="23916"/>
  <c r="EX251" i="23916"/>
  <c r="EV252" i="23916"/>
  <c r="EV251" i="23916"/>
  <c r="ET252" i="23916"/>
  <c r="ET251" i="23916"/>
  <c r="ER253" i="23916"/>
  <c r="ER252" i="23916"/>
  <c r="ER251" i="23916"/>
  <c r="EO253" i="23916"/>
  <c r="EM253" i="23916"/>
  <c r="EV253" i="23916" s="1"/>
  <c r="EK253" i="23916"/>
  <c r="EI253" i="23916"/>
  <c r="EJ253" i="23916" s="1"/>
  <c r="EG253" i="23916"/>
  <c r="EE253" i="23916"/>
  <c r="EF253" i="23916" s="1"/>
  <c r="EC253" i="23916"/>
  <c r="EA253" i="23916"/>
  <c r="EB253" i="23916" s="1"/>
  <c r="DY253" i="23916"/>
  <c r="DX253" i="23916"/>
  <c r="DW253" i="23916"/>
  <c r="DU253" i="23916"/>
  <c r="DS253" i="23916"/>
  <c r="DQ253" i="23916"/>
  <c r="DO253" i="23916"/>
  <c r="DM253" i="23916"/>
  <c r="DK253" i="23916"/>
  <c r="DT253" i="23916" s="1"/>
  <c r="DI253" i="23916"/>
  <c r="DG253" i="23916"/>
  <c r="DP253" i="23916" s="1"/>
  <c r="DE253" i="23916"/>
  <c r="DC253" i="23916"/>
  <c r="DL253" i="23916" s="1"/>
  <c r="DA253" i="23916"/>
  <c r="CY253" i="23916"/>
  <c r="DH253" i="23916" s="1"/>
  <c r="CW253" i="23916"/>
  <c r="CU253" i="23916"/>
  <c r="DD253" i="23916" s="1"/>
  <c r="CS253" i="23916"/>
  <c r="CQ253" i="23916"/>
  <c r="CZ253" i="23916" s="1"/>
  <c r="CO253" i="23916"/>
  <c r="CM253" i="23916"/>
  <c r="CV253" i="23916" s="1"/>
  <c r="CK253" i="23916"/>
  <c r="CI253" i="23916"/>
  <c r="CR253" i="23916" s="1"/>
  <c r="CG253" i="23916"/>
  <c r="CE253" i="23916"/>
  <c r="CN253" i="23916" s="1"/>
  <c r="CC253" i="23916"/>
  <c r="CA253" i="23916"/>
  <c r="CJ253" i="23916" s="1"/>
  <c r="BY253" i="23916"/>
  <c r="BW253" i="23916"/>
  <c r="CF253" i="23916" s="1"/>
  <c r="BU253" i="23916"/>
  <c r="BS253" i="23916"/>
  <c r="CB253" i="23916" s="1"/>
  <c r="BQ253" i="23916"/>
  <c r="BO253" i="23916"/>
  <c r="BX253" i="23916" s="1"/>
  <c r="BM253" i="23916"/>
  <c r="BK253" i="23916"/>
  <c r="BT253" i="23916" s="1"/>
  <c r="BI253" i="23916"/>
  <c r="BJ253" i="23916" s="1"/>
  <c r="BG253" i="23916"/>
  <c r="BP253" i="23916" s="1"/>
  <c r="BE253" i="23916"/>
  <c r="BF253" i="23916" s="1"/>
  <c r="BA253" i="23916"/>
  <c r="AY253" i="23916"/>
  <c r="BH253" i="23916" s="1"/>
  <c r="AW253" i="23916"/>
  <c r="AX253" i="23916" s="1"/>
  <c r="AU253" i="23916"/>
  <c r="AV253" i="23916" s="1"/>
  <c r="AS253" i="23916"/>
  <c r="AT253" i="23916" s="1"/>
  <c r="AQ253" i="23916"/>
  <c r="AZ253" i="23916" s="1"/>
  <c r="EP252" i="23916"/>
  <c r="EP251" i="23916"/>
  <c r="EN252" i="23916"/>
  <c r="EN251" i="23916"/>
  <c r="EL252" i="23916"/>
  <c r="EL251" i="23916"/>
  <c r="EJ252" i="23916"/>
  <c r="EJ251" i="23916"/>
  <c r="EH252" i="23916"/>
  <c r="EH251" i="23916"/>
  <c r="EF252" i="23916"/>
  <c r="EF251" i="23916"/>
  <c r="ED252" i="23916"/>
  <c r="ED251" i="23916"/>
  <c r="EB252" i="23916"/>
  <c r="EB251" i="23916"/>
  <c r="DZ252" i="23916"/>
  <c r="DZ251" i="23916"/>
  <c r="DV252" i="23916"/>
  <c r="DV251" i="23916"/>
  <c r="DT252" i="23916"/>
  <c r="DT251" i="23916"/>
  <c r="DR252" i="23916"/>
  <c r="DR251" i="23916"/>
  <c r="DP252" i="23916"/>
  <c r="DP251" i="23916"/>
  <c r="DN252" i="23916"/>
  <c r="DN251" i="23916"/>
  <c r="DL252" i="23916"/>
  <c r="DL251" i="23916"/>
  <c r="DJ252" i="23916"/>
  <c r="DJ251" i="23916"/>
  <c r="DH252" i="23916"/>
  <c r="DH251" i="23916"/>
  <c r="DF252" i="23916"/>
  <c r="DF251" i="23916"/>
  <c r="DD252" i="23916"/>
  <c r="DD251" i="23916"/>
  <c r="DB252" i="23916"/>
  <c r="DB251" i="23916"/>
  <c r="CZ252" i="23916"/>
  <c r="CZ251" i="23916"/>
  <c r="CX252" i="23916"/>
  <c r="CX251" i="23916"/>
  <c r="CV252" i="23916"/>
  <c r="CV251" i="23916"/>
  <c r="CT252" i="23916"/>
  <c r="CT251" i="23916"/>
  <c r="CR252" i="23916"/>
  <c r="CR251" i="23916"/>
  <c r="CP252" i="23916"/>
  <c r="CP251" i="23916"/>
  <c r="CN252" i="23916"/>
  <c r="CN251" i="23916"/>
  <c r="CL252" i="23916"/>
  <c r="CL251" i="23916"/>
  <c r="CJ252" i="23916"/>
  <c r="CJ251" i="23916"/>
  <c r="CH252" i="23916"/>
  <c r="CH251" i="23916"/>
  <c r="CF252" i="23916"/>
  <c r="CF251" i="23916"/>
  <c r="CD252" i="23916"/>
  <c r="CD251" i="23916"/>
  <c r="CB252" i="23916"/>
  <c r="CB251" i="23916"/>
  <c r="BZ252" i="23916"/>
  <c r="BZ251" i="23916"/>
  <c r="BX252" i="23916"/>
  <c r="BX251" i="23916"/>
  <c r="BV252" i="23916"/>
  <c r="BV251" i="23916"/>
  <c r="BT252" i="23916"/>
  <c r="BT251" i="23916"/>
  <c r="BR252" i="23916"/>
  <c r="BR251" i="23916"/>
  <c r="BP252" i="23916"/>
  <c r="BP251" i="23916"/>
  <c r="BN252" i="23916"/>
  <c r="BN251" i="23916"/>
  <c r="BJ252" i="23916"/>
  <c r="BJ251" i="23916"/>
  <c r="BH252" i="23916"/>
  <c r="BH251" i="23916"/>
  <c r="BF252" i="23916"/>
  <c r="BF251" i="23916"/>
  <c r="AZ252" i="23916"/>
  <c r="AZ251" i="23916"/>
  <c r="AX252" i="23916"/>
  <c r="AX251" i="23916"/>
  <c r="AV252" i="23916"/>
  <c r="AV251" i="23916"/>
  <c r="AT252" i="23916"/>
  <c r="AT251" i="23916"/>
  <c r="AR252" i="23916"/>
  <c r="AR251" i="23916"/>
  <c r="FZ253" i="23916"/>
  <c r="GA253" i="23916" s="1"/>
  <c r="GB252" i="23916"/>
  <c r="GC252" i="23916" s="1"/>
  <c r="GA252" i="23916"/>
  <c r="FZ252" i="23916"/>
  <c r="FX252" i="23916"/>
  <c r="FY252" i="23916" s="1"/>
  <c r="FW252" i="23916"/>
  <c r="FV252" i="23916"/>
  <c r="FT252" i="23916"/>
  <c r="FQ252" i="23916"/>
  <c r="FP252" i="23916"/>
  <c r="GB251" i="23916"/>
  <c r="GB253" i="23916" s="1"/>
  <c r="GA251" i="23916"/>
  <c r="FZ251" i="23916"/>
  <c r="FX251" i="23916"/>
  <c r="FX253" i="23916" s="1"/>
  <c r="FW251" i="23916"/>
  <c r="FV251" i="23916"/>
  <c r="FV253" i="23916" s="1"/>
  <c r="FW253" i="23916" s="1"/>
  <c r="FT251" i="23916"/>
  <c r="FT253" i="23916" s="1"/>
  <c r="FP251" i="23916"/>
  <c r="FP253" i="23916" s="1"/>
  <c r="FQ253" i="23916" s="1"/>
  <c r="BD252" i="23916"/>
  <c r="BC252" i="23916"/>
  <c r="BB252" i="23916"/>
  <c r="BC251" i="23916"/>
  <c r="BB251" i="23916"/>
  <c r="GZ250" i="23916"/>
  <c r="GZ249" i="23916"/>
  <c r="GZ243" i="23916"/>
  <c r="GZ242" i="23916"/>
  <c r="GZ235" i="23916"/>
  <c r="GZ234" i="23916"/>
  <c r="FN244" i="23916"/>
  <c r="EU245" i="23916"/>
  <c r="ES245" i="23916"/>
  <c r="FN240" i="23916"/>
  <c r="AY240" i="23916"/>
  <c r="AQ240" i="23916"/>
  <c r="EM240" i="23916"/>
  <c r="EM241" i="23916" s="1"/>
  <c r="EI240" i="23916"/>
  <c r="EE240" i="23916"/>
  <c r="EA240" i="23916"/>
  <c r="DS240" i="23916"/>
  <c r="DK240" i="23916"/>
  <c r="DC240" i="23916"/>
  <c r="CU240" i="23916"/>
  <c r="CM240" i="23916"/>
  <c r="CE240" i="23916"/>
  <c r="BW240" i="23916"/>
  <c r="BO240" i="23916"/>
  <c r="BG240" i="23916"/>
  <c r="BF239" i="23916"/>
  <c r="BF238" i="23916"/>
  <c r="BF237" i="23916"/>
  <c r="BF236" i="23916"/>
  <c r="BD239" i="23916"/>
  <c r="BD238" i="23916"/>
  <c r="BD236" i="23916"/>
  <c r="BB239" i="23916"/>
  <c r="BB238" i="23916"/>
  <c r="BB236" i="23916"/>
  <c r="AZ240" i="23916"/>
  <c r="AZ239" i="23916"/>
  <c r="AZ238" i="23916"/>
  <c r="AZ236" i="23916"/>
  <c r="AX239" i="23916"/>
  <c r="AX238" i="23916"/>
  <c r="AX237" i="23916"/>
  <c r="AX236" i="23916"/>
  <c r="AV239" i="23916"/>
  <c r="AV238" i="23916"/>
  <c r="AV236" i="23916"/>
  <c r="AT239" i="23916"/>
  <c r="AT238" i="23916"/>
  <c r="AT236" i="23916"/>
  <c r="AR240" i="23916"/>
  <c r="AR239" i="23916"/>
  <c r="AR238" i="23916"/>
  <c r="AR236" i="23916"/>
  <c r="EN239" i="23916"/>
  <c r="EN238" i="23916"/>
  <c r="EN236" i="23916"/>
  <c r="EL239" i="23916"/>
  <c r="EL238" i="23916"/>
  <c r="EL236" i="23916"/>
  <c r="EJ239" i="23916"/>
  <c r="EJ238" i="23916"/>
  <c r="EJ236" i="23916"/>
  <c r="EH239" i="23916"/>
  <c r="EH238" i="23916"/>
  <c r="EH236" i="23916"/>
  <c r="EF239" i="23916"/>
  <c r="EF238" i="23916"/>
  <c r="EF236" i="23916"/>
  <c r="ED239" i="23916"/>
  <c r="ED238" i="23916"/>
  <c r="ED236" i="23916"/>
  <c r="EB239" i="23916"/>
  <c r="EB238" i="23916"/>
  <c r="EB236" i="23916"/>
  <c r="DZ239" i="23916"/>
  <c r="DZ238" i="23916"/>
  <c r="DZ236" i="23916"/>
  <c r="DV239" i="23916"/>
  <c r="DV238" i="23916"/>
  <c r="DV236" i="23916"/>
  <c r="DT239" i="23916"/>
  <c r="DT238" i="23916"/>
  <c r="DT236" i="23916"/>
  <c r="DR239" i="23916"/>
  <c r="DR238" i="23916"/>
  <c r="DR236" i="23916"/>
  <c r="DP239" i="23916"/>
  <c r="DP238" i="23916"/>
  <c r="DP236" i="23916"/>
  <c r="DN239" i="23916"/>
  <c r="DN238" i="23916"/>
  <c r="DN236" i="23916"/>
  <c r="DL239" i="23916"/>
  <c r="DL238" i="23916"/>
  <c r="DL236" i="23916"/>
  <c r="DJ239" i="23916"/>
  <c r="DJ238" i="23916"/>
  <c r="DJ236" i="23916"/>
  <c r="DH239" i="23916"/>
  <c r="DH238" i="23916"/>
  <c r="DH236" i="23916"/>
  <c r="DF239" i="23916"/>
  <c r="DF238" i="23916"/>
  <c r="DF236" i="23916"/>
  <c r="DD239" i="23916"/>
  <c r="DD238" i="23916"/>
  <c r="DD236" i="23916"/>
  <c r="DB239" i="23916"/>
  <c r="DB238" i="23916"/>
  <c r="DB236" i="23916"/>
  <c r="CZ239" i="23916"/>
  <c r="CZ238" i="23916"/>
  <c r="CZ236" i="23916"/>
  <c r="CX239" i="23916"/>
  <c r="CX238" i="23916"/>
  <c r="CX236" i="23916"/>
  <c r="CV239" i="23916"/>
  <c r="CV238" i="23916"/>
  <c r="CV236" i="23916"/>
  <c r="CT239" i="23916"/>
  <c r="CT238" i="23916"/>
  <c r="CT236" i="23916"/>
  <c r="CR239" i="23916"/>
  <c r="CR238" i="23916"/>
  <c r="CR236" i="23916"/>
  <c r="CP239" i="23916"/>
  <c r="CP238" i="23916"/>
  <c r="CP236" i="23916"/>
  <c r="CN239" i="23916"/>
  <c r="CN238" i="23916"/>
  <c r="CN236" i="23916"/>
  <c r="CL239" i="23916"/>
  <c r="CL238" i="23916"/>
  <c r="CL236" i="23916"/>
  <c r="CJ239" i="23916"/>
  <c r="CJ238" i="23916"/>
  <c r="CJ236" i="23916"/>
  <c r="CH239" i="23916"/>
  <c r="CH238" i="23916"/>
  <c r="CH236" i="23916"/>
  <c r="CF239" i="23916"/>
  <c r="CF238" i="23916"/>
  <c r="CF236" i="23916"/>
  <c r="CD239" i="23916"/>
  <c r="CD238" i="23916"/>
  <c r="CD236" i="23916"/>
  <c r="CB239" i="23916"/>
  <c r="CB238" i="23916"/>
  <c r="CB236" i="23916"/>
  <c r="BZ239" i="23916"/>
  <c r="BZ238" i="23916"/>
  <c r="BZ236" i="23916"/>
  <c r="BX239" i="23916"/>
  <c r="BX238" i="23916"/>
  <c r="BX236" i="23916"/>
  <c r="BV239" i="23916"/>
  <c r="BV238" i="23916"/>
  <c r="BV236" i="23916"/>
  <c r="BT239" i="23916"/>
  <c r="BT238" i="23916"/>
  <c r="BT236" i="23916"/>
  <c r="BR239" i="23916"/>
  <c r="BR238" i="23916"/>
  <c r="BR236" i="23916"/>
  <c r="BP239" i="23916"/>
  <c r="BP238" i="23916"/>
  <c r="BP236" i="23916"/>
  <c r="BN239" i="23916"/>
  <c r="BN238" i="23916"/>
  <c r="BN236" i="23916"/>
  <c r="BL239" i="23916"/>
  <c r="BL238" i="23916"/>
  <c r="BL236" i="23916"/>
  <c r="BJ239" i="23916"/>
  <c r="BJ238" i="23916"/>
  <c r="BJ236" i="23916"/>
  <c r="BH239" i="23916"/>
  <c r="BH238" i="23916"/>
  <c r="BH236" i="23916"/>
  <c r="GN239" i="23916"/>
  <c r="GL239" i="23916"/>
  <c r="GJ239" i="23916"/>
  <c r="GH239" i="23916"/>
  <c r="GH257" i="23916" s="1"/>
  <c r="GF239" i="23916"/>
  <c r="GD239" i="23916"/>
  <c r="GD257" i="23916" s="1"/>
  <c r="GB239" i="23916"/>
  <c r="FZ239" i="23916"/>
  <c r="FZ257" i="23916" s="1"/>
  <c r="FX239" i="23916"/>
  <c r="FV239" i="23916"/>
  <c r="FT239" i="23916"/>
  <c r="FR239" i="23916"/>
  <c r="FR257" i="23916" s="1"/>
  <c r="FP239" i="23916"/>
  <c r="GN238" i="23916"/>
  <c r="GL238" i="23916"/>
  <c r="GM238" i="23916" s="1"/>
  <c r="GJ238" i="23916"/>
  <c r="GH238" i="23916"/>
  <c r="GF238" i="23916"/>
  <c r="GD238" i="23916"/>
  <c r="GE238" i="23916" s="1"/>
  <c r="GB238" i="23916"/>
  <c r="FZ238" i="23916"/>
  <c r="FX238" i="23916"/>
  <c r="FV238" i="23916"/>
  <c r="FW238" i="23916" s="1"/>
  <c r="FT238" i="23916"/>
  <c r="FR238" i="23916"/>
  <c r="FP238" i="23916"/>
  <c r="FN237" i="23916"/>
  <c r="FN245" i="23916" s="1"/>
  <c r="EO237" i="23916"/>
  <c r="EM237" i="23916"/>
  <c r="EK237" i="23916"/>
  <c r="EI237" i="23916"/>
  <c r="EG237" i="23916"/>
  <c r="EH237" i="23916" s="1"/>
  <c r="EE237" i="23916"/>
  <c r="EC237" i="23916"/>
  <c r="EA237" i="23916"/>
  <c r="DY237" i="23916"/>
  <c r="DZ237" i="23916" s="1"/>
  <c r="DX237" i="23916"/>
  <c r="DW237" i="23916"/>
  <c r="DU237" i="23916"/>
  <c r="DS237" i="23916"/>
  <c r="DQ237" i="23916"/>
  <c r="DO237" i="23916"/>
  <c r="DM237" i="23916"/>
  <c r="DK237" i="23916"/>
  <c r="DI237" i="23916"/>
  <c r="DG237" i="23916"/>
  <c r="DE237" i="23916"/>
  <c r="DC237" i="23916"/>
  <c r="DA237" i="23916"/>
  <c r="CY237" i="23916"/>
  <c r="CW237" i="23916"/>
  <c r="CU237" i="23916"/>
  <c r="CS237" i="23916"/>
  <c r="CQ237" i="23916"/>
  <c r="CQ240" i="23916" s="1"/>
  <c r="CO237" i="23916"/>
  <c r="CM237" i="23916"/>
  <c r="CK237" i="23916"/>
  <c r="CI237" i="23916"/>
  <c r="CG237" i="23916"/>
  <c r="CE237" i="23916"/>
  <c r="CC237" i="23916"/>
  <c r="CA237" i="23916"/>
  <c r="BY237" i="23916"/>
  <c r="BW237" i="23916"/>
  <c r="BU237" i="23916"/>
  <c r="BS237" i="23916"/>
  <c r="BQ237" i="23916"/>
  <c r="BO237" i="23916"/>
  <c r="BM237" i="23916"/>
  <c r="BK237" i="23916"/>
  <c r="BI237" i="23916"/>
  <c r="BG237" i="23916"/>
  <c r="BE237" i="23916"/>
  <c r="BC237" i="23916"/>
  <c r="BA237" i="23916"/>
  <c r="AY237" i="23916"/>
  <c r="AW237" i="23916"/>
  <c r="AU237" i="23916"/>
  <c r="AS237" i="23916"/>
  <c r="AQ237" i="23916"/>
  <c r="GN236" i="23916"/>
  <c r="GL236" i="23916"/>
  <c r="GJ236" i="23916"/>
  <c r="GH236" i="23916"/>
  <c r="GF236" i="23916"/>
  <c r="GD236" i="23916"/>
  <c r="GB236" i="23916"/>
  <c r="FZ236" i="23916"/>
  <c r="FX236" i="23916"/>
  <c r="FV236" i="23916"/>
  <c r="FT236" i="23916"/>
  <c r="FQ236" i="23916"/>
  <c r="FP236" i="23916"/>
  <c r="EP239" i="23916"/>
  <c r="EP238" i="23916"/>
  <c r="EP237" i="23916"/>
  <c r="EP236" i="23916"/>
  <c r="GZ231" i="23916"/>
  <c r="GZ227" i="23916"/>
  <c r="GZ226" i="23916"/>
  <c r="FT229" i="23916"/>
  <c r="FT228" i="23916"/>
  <c r="FT230" i="23916" s="1"/>
  <c r="GX225" i="23916"/>
  <c r="GZ225" i="23916" s="1"/>
  <c r="GT225" i="23916"/>
  <c r="GV225" i="23916" s="1"/>
  <c r="GR225" i="23916"/>
  <c r="BG225" i="23916"/>
  <c r="BG224" i="23916"/>
  <c r="BG223" i="23916"/>
  <c r="AQ224" i="23916"/>
  <c r="AQ223" i="23916"/>
  <c r="EP221" i="23916"/>
  <c r="EO221" i="23916"/>
  <c r="EN221" i="23916"/>
  <c r="EM221" i="23916"/>
  <c r="EL221" i="23916"/>
  <c r="EK221" i="23916"/>
  <c r="EJ221" i="23916"/>
  <c r="EI221" i="23916"/>
  <c r="EH221" i="23916"/>
  <c r="EG221" i="23916"/>
  <c r="EF221" i="23916"/>
  <c r="EE221" i="23916"/>
  <c r="ED221" i="23916"/>
  <c r="EC221" i="23916"/>
  <c r="EB221" i="23916"/>
  <c r="EA221" i="23916"/>
  <c r="DZ221" i="23916"/>
  <c r="DY221" i="23916"/>
  <c r="DX221" i="23916"/>
  <c r="DW221" i="23916"/>
  <c r="DV221" i="23916"/>
  <c r="DU221" i="23916"/>
  <c r="DT221" i="23916"/>
  <c r="DS221" i="23916"/>
  <c r="DR221" i="23916"/>
  <c r="DQ221" i="23916"/>
  <c r="DP221" i="23916"/>
  <c r="DO221" i="23916"/>
  <c r="DN221" i="23916"/>
  <c r="DM221" i="23916"/>
  <c r="DL221" i="23916"/>
  <c r="DK221" i="23916"/>
  <c r="DJ221" i="23916"/>
  <c r="DI221" i="23916"/>
  <c r="DH221" i="23916"/>
  <c r="DG221" i="23916"/>
  <c r="DF221" i="23916"/>
  <c r="DE221" i="23916"/>
  <c r="DD221" i="23916"/>
  <c r="DC221" i="23916"/>
  <c r="DB221" i="23916"/>
  <c r="DA221" i="23916"/>
  <c r="CZ221" i="23916"/>
  <c r="CY221" i="23916"/>
  <c r="CX221" i="23916"/>
  <c r="CW221" i="23916"/>
  <c r="CV221" i="23916"/>
  <c r="CU221" i="23916"/>
  <c r="CT221" i="23916"/>
  <c r="CS221" i="23916"/>
  <c r="CR221" i="23916"/>
  <c r="CQ221" i="23916"/>
  <c r="CP221" i="23916"/>
  <c r="CO221" i="23916"/>
  <c r="CN221" i="23916"/>
  <c r="CM221" i="23916"/>
  <c r="CL221" i="23916"/>
  <c r="CK221" i="23916"/>
  <c r="CJ221" i="23916"/>
  <c r="CI221" i="23916"/>
  <c r="CH221" i="23916"/>
  <c r="CG221" i="23916"/>
  <c r="CF221" i="23916"/>
  <c r="CE221" i="23916"/>
  <c r="CD221" i="23916"/>
  <c r="CC221" i="23916"/>
  <c r="CB221" i="23916"/>
  <c r="CA221" i="23916"/>
  <c r="BZ221" i="23916"/>
  <c r="BY221" i="23916"/>
  <c r="BX221" i="23916"/>
  <c r="BW221" i="23916"/>
  <c r="BV221" i="23916"/>
  <c r="BU221" i="23916"/>
  <c r="BT221" i="23916"/>
  <c r="BS221" i="23916"/>
  <c r="BR221" i="23916"/>
  <c r="BQ221" i="23916"/>
  <c r="BP221" i="23916"/>
  <c r="BO221" i="23916"/>
  <c r="BN221" i="23916"/>
  <c r="BM221" i="23916"/>
  <c r="BL221" i="23916"/>
  <c r="BK221" i="23916"/>
  <c r="BJ221" i="23916"/>
  <c r="BI221" i="23916"/>
  <c r="BH221" i="23916"/>
  <c r="BG221" i="23916"/>
  <c r="BF221" i="23916"/>
  <c r="BE221" i="23916"/>
  <c r="BD221" i="23916"/>
  <c r="BC221" i="23916"/>
  <c r="BB221" i="23916"/>
  <c r="BA221" i="23916"/>
  <c r="AZ221" i="23916"/>
  <c r="AY221" i="23916"/>
  <c r="AX221" i="23916"/>
  <c r="AW221" i="23916"/>
  <c r="AV221" i="23916"/>
  <c r="AU221" i="23916"/>
  <c r="AT221" i="23916"/>
  <c r="AS221" i="23916"/>
  <c r="AR221" i="23916"/>
  <c r="AQ221" i="23916"/>
  <c r="GZ220" i="23916"/>
  <c r="GZ217" i="23916"/>
  <c r="GD215" i="23916"/>
  <c r="GD213" i="23916"/>
  <c r="GD212" i="23916"/>
  <c r="GD211" i="23916"/>
  <c r="FT216" i="23916"/>
  <c r="BG216" i="23916"/>
  <c r="EN215" i="23916"/>
  <c r="EN213" i="23916"/>
  <c r="EN212" i="23916"/>
  <c r="EN211" i="23916"/>
  <c r="EN210" i="23916"/>
  <c r="EN209" i="23916"/>
  <c r="EL215" i="23916"/>
  <c r="EL213" i="23916"/>
  <c r="EL212" i="23916"/>
  <c r="EL211" i="23916"/>
  <c r="EL210" i="23916"/>
  <c r="EL209" i="23916"/>
  <c r="EJ215" i="23916"/>
  <c r="EJ213" i="23916"/>
  <c r="EJ212" i="23916"/>
  <c r="EJ211" i="23916"/>
  <c r="EJ210" i="23916"/>
  <c r="EJ209" i="23916"/>
  <c r="EH215" i="23916"/>
  <c r="EH213" i="23916"/>
  <c r="EH212" i="23916"/>
  <c r="EH211" i="23916"/>
  <c r="EH210" i="23916"/>
  <c r="EH209" i="23916"/>
  <c r="EF215" i="23916"/>
  <c r="EF213" i="23916"/>
  <c r="EF212" i="23916"/>
  <c r="EF211" i="23916"/>
  <c r="EF210" i="23916"/>
  <c r="EF209" i="23916"/>
  <c r="ED215" i="23916"/>
  <c r="ED213" i="23916"/>
  <c r="ED212" i="23916"/>
  <c r="ED211" i="23916"/>
  <c r="ED210" i="23916"/>
  <c r="ED209" i="23916"/>
  <c r="EB215" i="23916"/>
  <c r="EB213" i="23916"/>
  <c r="EB212" i="23916"/>
  <c r="EB211" i="23916"/>
  <c r="EB210" i="23916"/>
  <c r="EB209" i="23916"/>
  <c r="DZ215" i="23916"/>
  <c r="DZ213" i="23916"/>
  <c r="DZ212" i="23916"/>
  <c r="DZ211" i="23916"/>
  <c r="DZ210" i="23916"/>
  <c r="DZ209" i="23916"/>
  <c r="DV215" i="23916"/>
  <c r="DV213" i="23916"/>
  <c r="DV212" i="23916"/>
  <c r="DV211" i="23916"/>
  <c r="DV210" i="23916"/>
  <c r="DV209" i="23916"/>
  <c r="DT215" i="23916"/>
  <c r="DT213" i="23916"/>
  <c r="DT212" i="23916"/>
  <c r="DT211" i="23916"/>
  <c r="DT210" i="23916"/>
  <c r="DT209" i="23916"/>
  <c r="DR215" i="23916"/>
  <c r="DR213" i="23916"/>
  <c r="DR212" i="23916"/>
  <c r="DR211" i="23916"/>
  <c r="DR210" i="23916"/>
  <c r="DR209" i="23916"/>
  <c r="DP215" i="23916"/>
  <c r="DP213" i="23916"/>
  <c r="DP212" i="23916"/>
  <c r="DP211" i="23916"/>
  <c r="DP210" i="23916"/>
  <c r="DP209" i="23916"/>
  <c r="DN215" i="23916"/>
  <c r="DN213" i="23916"/>
  <c r="DN212" i="23916"/>
  <c r="DN211" i="23916"/>
  <c r="DN210" i="23916"/>
  <c r="DN209" i="23916"/>
  <c r="CX215" i="23916"/>
  <c r="CX213" i="23916"/>
  <c r="CX212" i="23916"/>
  <c r="CX211" i="23916"/>
  <c r="CX210" i="23916"/>
  <c r="CX209" i="23916"/>
  <c r="CV215" i="23916"/>
  <c r="CV213" i="23916"/>
  <c r="CV212" i="23916"/>
  <c r="CV211" i="23916"/>
  <c r="CV210" i="23916"/>
  <c r="CV209" i="23916"/>
  <c r="CT215" i="23916"/>
  <c r="CT213" i="23916"/>
  <c r="CT212" i="23916"/>
  <c r="CT211" i="23916"/>
  <c r="CT210" i="23916"/>
  <c r="CT209" i="23916"/>
  <c r="GN215" i="23916"/>
  <c r="GO215" i="23916" s="1"/>
  <c r="GL215" i="23916"/>
  <c r="GM215" i="23916" s="1"/>
  <c r="GJ215" i="23916"/>
  <c r="GK215" i="23916" s="1"/>
  <c r="GH215" i="23916"/>
  <c r="GF215" i="23916"/>
  <c r="GG215" i="23916" s="1"/>
  <c r="GE211" i="23916"/>
  <c r="EQ215" i="23916"/>
  <c r="EP215" i="23916"/>
  <c r="BG214" i="23916"/>
  <c r="BG229" i="23916" s="1"/>
  <c r="AR214" i="23916"/>
  <c r="AQ214" i="23916"/>
  <c r="AQ229" i="23916" s="1"/>
  <c r="AR229" i="23916" s="1"/>
  <c r="GY213" i="23916"/>
  <c r="GW213" i="23916"/>
  <c r="GU213" i="23916"/>
  <c r="GQ213" i="23916"/>
  <c r="GP213" i="23916"/>
  <c r="GS213" i="23916" s="1"/>
  <c r="GO213" i="23916"/>
  <c r="GN213" i="23916"/>
  <c r="GZ213" i="23916" s="1"/>
  <c r="GM213" i="23916"/>
  <c r="GL213" i="23916"/>
  <c r="GK213" i="23916"/>
  <c r="GJ213" i="23916"/>
  <c r="GI213" i="23916"/>
  <c r="GH213" i="23916"/>
  <c r="GG213" i="23916"/>
  <c r="GF213" i="23916"/>
  <c r="EX213" i="23916"/>
  <c r="EV213" i="23916"/>
  <c r="ET213" i="23916"/>
  <c r="ER213" i="23916"/>
  <c r="EP213" i="23916"/>
  <c r="EP212" i="23916"/>
  <c r="EP211" i="23916"/>
  <c r="DL213" i="23916"/>
  <c r="DL212" i="23916"/>
  <c r="DL211" i="23916"/>
  <c r="DL210" i="23916"/>
  <c r="DL209" i="23916"/>
  <c r="DJ213" i="23916"/>
  <c r="DJ212" i="23916"/>
  <c r="DJ211" i="23916"/>
  <c r="DJ210" i="23916"/>
  <c r="DJ209" i="23916"/>
  <c r="DH213" i="23916"/>
  <c r="DH212" i="23916"/>
  <c r="DH211" i="23916"/>
  <c r="DH210" i="23916"/>
  <c r="DH209" i="23916"/>
  <c r="DF213" i="23916"/>
  <c r="DF212" i="23916"/>
  <c r="DF211" i="23916"/>
  <c r="DF210" i="23916"/>
  <c r="DF209" i="23916"/>
  <c r="DD213" i="23916"/>
  <c r="DD212" i="23916"/>
  <c r="DD211" i="23916"/>
  <c r="DD210" i="23916"/>
  <c r="DD209" i="23916"/>
  <c r="DB213" i="23916"/>
  <c r="DB212" i="23916"/>
  <c r="DB211" i="23916"/>
  <c r="DB210" i="23916"/>
  <c r="DB209" i="23916"/>
  <c r="CZ213" i="23916"/>
  <c r="CZ212" i="23916"/>
  <c r="CZ211" i="23916"/>
  <c r="CZ210" i="23916"/>
  <c r="CZ209" i="23916"/>
  <c r="CR213" i="23916"/>
  <c r="CR212" i="23916"/>
  <c r="CR211" i="23916"/>
  <c r="CR210" i="23916"/>
  <c r="CR209" i="23916"/>
  <c r="CP213" i="23916"/>
  <c r="CP212" i="23916"/>
  <c r="CP211" i="23916"/>
  <c r="CP210" i="23916"/>
  <c r="CP209" i="23916"/>
  <c r="CN213" i="23916"/>
  <c r="CN212" i="23916"/>
  <c r="CN211" i="23916"/>
  <c r="CN210" i="23916"/>
  <c r="CN209" i="23916"/>
  <c r="CL213" i="23916"/>
  <c r="CL212" i="23916"/>
  <c r="CL211" i="23916"/>
  <c r="CL210" i="23916"/>
  <c r="CL209" i="23916"/>
  <c r="CJ213" i="23916"/>
  <c r="CJ212" i="23916"/>
  <c r="CJ211" i="23916"/>
  <c r="CJ210" i="23916"/>
  <c r="CJ209" i="23916"/>
  <c r="CH213" i="23916"/>
  <c r="CH212" i="23916"/>
  <c r="CH211" i="23916"/>
  <c r="CH210" i="23916"/>
  <c r="CH209" i="23916"/>
  <c r="CF213" i="23916"/>
  <c r="CF212" i="23916"/>
  <c r="CF211" i="23916"/>
  <c r="CF210" i="23916"/>
  <c r="CF209" i="23916"/>
  <c r="CD213" i="23916"/>
  <c r="CD212" i="23916"/>
  <c r="CD211" i="23916"/>
  <c r="CD210" i="23916"/>
  <c r="CD209" i="23916"/>
  <c r="CB213" i="23916"/>
  <c r="CB212" i="23916"/>
  <c r="CB211" i="23916"/>
  <c r="CB210" i="23916"/>
  <c r="CB209" i="23916"/>
  <c r="BZ213" i="23916"/>
  <c r="BZ212" i="23916"/>
  <c r="BZ211" i="23916"/>
  <c r="BZ210" i="23916"/>
  <c r="BZ209" i="23916"/>
  <c r="BX213" i="23916"/>
  <c r="BX212" i="23916"/>
  <c r="BX211" i="23916"/>
  <c r="BX210" i="23916"/>
  <c r="BX209" i="23916"/>
  <c r="BV213" i="23916"/>
  <c r="BV212" i="23916"/>
  <c r="BV211" i="23916"/>
  <c r="BV210" i="23916"/>
  <c r="BV209" i="23916"/>
  <c r="BT213" i="23916"/>
  <c r="BT212" i="23916"/>
  <c r="BT211" i="23916"/>
  <c r="BT210" i="23916"/>
  <c r="BT209" i="23916"/>
  <c r="BR213" i="23916"/>
  <c r="BR212" i="23916"/>
  <c r="BR211" i="23916"/>
  <c r="BR210" i="23916"/>
  <c r="BR209" i="23916"/>
  <c r="BP213" i="23916"/>
  <c r="BP212" i="23916"/>
  <c r="BP211" i="23916"/>
  <c r="BP210" i="23916"/>
  <c r="BP209" i="23916"/>
  <c r="BN213" i="23916"/>
  <c r="BN212" i="23916"/>
  <c r="BN211" i="23916"/>
  <c r="BN210" i="23916"/>
  <c r="BN209" i="23916"/>
  <c r="BL213" i="23916"/>
  <c r="BL212" i="23916"/>
  <c r="BL211" i="23916"/>
  <c r="BL210" i="23916"/>
  <c r="BL209" i="23916"/>
  <c r="BJ213" i="23916"/>
  <c r="BJ212" i="23916"/>
  <c r="BJ211" i="23916"/>
  <c r="BJ210" i="23916"/>
  <c r="BJ209" i="23916"/>
  <c r="BH213" i="23916"/>
  <c r="BH212" i="23916"/>
  <c r="BH211" i="23916"/>
  <c r="BH210" i="23916"/>
  <c r="BH209" i="23916"/>
  <c r="BF213" i="23916"/>
  <c r="BF212" i="23916"/>
  <c r="BF211" i="23916"/>
  <c r="BF210" i="23916"/>
  <c r="BF209" i="23916"/>
  <c r="BD213" i="23916"/>
  <c r="BD212" i="23916"/>
  <c r="BD211" i="23916"/>
  <c r="BD210" i="23916"/>
  <c r="BD209" i="23916"/>
  <c r="BB213" i="23916"/>
  <c r="BB212" i="23916"/>
  <c r="BB211" i="23916"/>
  <c r="BB210" i="23916"/>
  <c r="BB209" i="23916"/>
  <c r="AZ213" i="23916"/>
  <c r="AZ212" i="23916"/>
  <c r="AZ211" i="23916"/>
  <c r="AZ210" i="23916"/>
  <c r="AZ209" i="23916"/>
  <c r="AX213" i="23916"/>
  <c r="AX212" i="23916"/>
  <c r="AX211" i="23916"/>
  <c r="AX210" i="23916"/>
  <c r="AX209" i="23916"/>
  <c r="AV213" i="23916"/>
  <c r="AV212" i="23916"/>
  <c r="AV211" i="23916"/>
  <c r="AV210" i="23916"/>
  <c r="AV209" i="23916"/>
  <c r="EW211" i="23916"/>
  <c r="EX211" i="23916" s="1"/>
  <c r="EU211" i="23916"/>
  <c r="EV211" i="23916" s="1"/>
  <c r="ES211" i="23916"/>
  <c r="ET211" i="23916" s="1"/>
  <c r="EQ211" i="23916"/>
  <c r="AR212" i="23916"/>
  <c r="AR211" i="23916"/>
  <c r="AR210" i="23916"/>
  <c r="AR209" i="23916"/>
  <c r="AR208" i="23916"/>
  <c r="GN212" i="23916"/>
  <c r="GL212" i="23916"/>
  <c r="GJ212" i="23916"/>
  <c r="GH212" i="23916"/>
  <c r="GI212" i="23916" s="1"/>
  <c r="GF212" i="23916"/>
  <c r="GO211" i="23916"/>
  <c r="GN211" i="23916"/>
  <c r="GM211" i="23916"/>
  <c r="GL211" i="23916"/>
  <c r="GK211" i="23916"/>
  <c r="GJ211" i="23916"/>
  <c r="GI211" i="23916"/>
  <c r="GH211" i="23916"/>
  <c r="GG211" i="23916"/>
  <c r="GF211" i="23916"/>
  <c r="GB213" i="23916"/>
  <c r="FZ213" i="23916"/>
  <c r="GA213" i="23916" s="1"/>
  <c r="FX213" i="23916"/>
  <c r="FY213" i="23916" s="1"/>
  <c r="FV213" i="23916"/>
  <c r="FW213" i="23916" s="1"/>
  <c r="GC212" i="23916"/>
  <c r="GB212" i="23916"/>
  <c r="GE212" i="23916" s="1"/>
  <c r="GA212" i="23916"/>
  <c r="FZ212" i="23916"/>
  <c r="FY212" i="23916"/>
  <c r="FX212" i="23916"/>
  <c r="FW212" i="23916"/>
  <c r="FV212" i="23916"/>
  <c r="FU212" i="23916"/>
  <c r="GB211" i="23916"/>
  <c r="GC211" i="23916" s="1"/>
  <c r="FZ211" i="23916"/>
  <c r="GA211" i="23916" s="1"/>
  <c r="FX211" i="23916"/>
  <c r="FV211" i="23916"/>
  <c r="FT213" i="23916"/>
  <c r="FU213" i="23916" s="1"/>
  <c r="FR213" i="23916"/>
  <c r="FS213" i="23916" s="1"/>
  <c r="FT212" i="23916"/>
  <c r="FR212" i="23916"/>
  <c r="FT211" i="23916"/>
  <c r="FU211" i="23916" s="1"/>
  <c r="FR211" i="23916"/>
  <c r="FS211" i="23916" s="1"/>
  <c r="FP212" i="23916"/>
  <c r="FP214" i="23916" s="1"/>
  <c r="FP211" i="23916"/>
  <c r="FQ211" i="23916" s="1"/>
  <c r="GO210" i="23916"/>
  <c r="GN210" i="23916"/>
  <c r="GM210" i="23916"/>
  <c r="GL210" i="23916"/>
  <c r="GK210" i="23916"/>
  <c r="GJ210" i="23916"/>
  <c r="GI210" i="23916"/>
  <c r="GH210" i="23916"/>
  <c r="GG210" i="23916"/>
  <c r="GF210" i="23916"/>
  <c r="GE210" i="23916"/>
  <c r="GD210" i="23916"/>
  <c r="GC210" i="23916"/>
  <c r="GB210" i="23916"/>
  <c r="GA210" i="23916"/>
  <c r="FZ210" i="23916"/>
  <c r="FY210" i="23916"/>
  <c r="FX210" i="23916"/>
  <c r="FW210" i="23916"/>
  <c r="FV210" i="23916"/>
  <c r="FU210" i="23916"/>
  <c r="FT210" i="23916"/>
  <c r="FS210" i="23916"/>
  <c r="FR210" i="23916"/>
  <c r="FQ210" i="23916"/>
  <c r="FP210" i="23916"/>
  <c r="FP223" i="23916" s="1"/>
  <c r="GN209" i="23916"/>
  <c r="GL209" i="23916"/>
  <c r="GL221" i="23916" s="1"/>
  <c r="GJ209" i="23916"/>
  <c r="GH209" i="23916"/>
  <c r="GH221" i="23916" s="1"/>
  <c r="GF209" i="23916"/>
  <c r="GD209" i="23916"/>
  <c r="GD221" i="23916" s="1"/>
  <c r="GB209" i="23916"/>
  <c r="FZ209" i="23916"/>
  <c r="FZ221" i="23916" s="1"/>
  <c r="FX209" i="23916"/>
  <c r="FV209" i="23916"/>
  <c r="FV221" i="23916" s="1"/>
  <c r="FT209" i="23916"/>
  <c r="FR209" i="23916"/>
  <c r="FR221" i="23916" s="1"/>
  <c r="FP209" i="23916"/>
  <c r="FQ208" i="23916"/>
  <c r="FP208" i="23916"/>
  <c r="EP210" i="23916"/>
  <c r="EW209" i="23916"/>
  <c r="EU209" i="23916"/>
  <c r="ES209" i="23916"/>
  <c r="EQ209" i="23916"/>
  <c r="EP209" i="23916"/>
  <c r="BI208" i="23916"/>
  <c r="AS208" i="23916"/>
  <c r="GZ207" i="23916"/>
  <c r="GZ206" i="23916"/>
  <c r="FT204" i="23916"/>
  <c r="BG205" i="23916"/>
  <c r="AQ205" i="23916"/>
  <c r="EP202" i="23916"/>
  <c r="EO202" i="23916"/>
  <c r="EN202" i="23916"/>
  <c r="EM202" i="23916"/>
  <c r="EL202" i="23916"/>
  <c r="EK202" i="23916"/>
  <c r="EJ202" i="23916"/>
  <c r="EI202" i="23916"/>
  <c r="EH202" i="23916"/>
  <c r="EG202" i="23916"/>
  <c r="EF202" i="23916"/>
  <c r="EE202" i="23916"/>
  <c r="ED202" i="23916"/>
  <c r="EC202" i="23916"/>
  <c r="EB202" i="23916"/>
  <c r="EA202" i="23916"/>
  <c r="DZ202" i="23916"/>
  <c r="DY202" i="23916"/>
  <c r="DX202" i="23916"/>
  <c r="DW202" i="23916"/>
  <c r="DV202" i="23916"/>
  <c r="DU202" i="23916"/>
  <c r="DT202" i="23916"/>
  <c r="DS202" i="23916"/>
  <c r="DR202" i="23916"/>
  <c r="DQ202" i="23916"/>
  <c r="DP202" i="23916"/>
  <c r="DO202" i="23916"/>
  <c r="DN202" i="23916"/>
  <c r="DM202" i="23916"/>
  <c r="DL202" i="23916"/>
  <c r="DK202" i="23916"/>
  <c r="DJ202" i="23916"/>
  <c r="DI202" i="23916"/>
  <c r="DH202" i="23916"/>
  <c r="DG202" i="23916"/>
  <c r="DF202" i="23916"/>
  <c r="DE202" i="23916"/>
  <c r="DD202" i="23916"/>
  <c r="DC202" i="23916"/>
  <c r="DB202" i="23916"/>
  <c r="DA202" i="23916"/>
  <c r="CZ202" i="23916"/>
  <c r="CY202" i="23916"/>
  <c r="CX202" i="23916"/>
  <c r="CW202" i="23916"/>
  <c r="CV202" i="23916"/>
  <c r="CU202" i="23916"/>
  <c r="CT202" i="23916"/>
  <c r="CS202" i="23916"/>
  <c r="CR202" i="23916"/>
  <c r="CQ202" i="23916"/>
  <c r="CP202" i="23916"/>
  <c r="CO202" i="23916"/>
  <c r="CN202" i="23916"/>
  <c r="CM202" i="23916"/>
  <c r="CL202" i="23916"/>
  <c r="CK202" i="23916"/>
  <c r="CJ202" i="23916"/>
  <c r="CI202" i="23916"/>
  <c r="CH202" i="23916"/>
  <c r="CG202" i="23916"/>
  <c r="CF202" i="23916"/>
  <c r="CE202" i="23916"/>
  <c r="CD202" i="23916"/>
  <c r="CC202" i="23916"/>
  <c r="CB202" i="23916"/>
  <c r="CA202" i="23916"/>
  <c r="BZ202" i="23916"/>
  <c r="BY202" i="23916"/>
  <c r="BX202" i="23916"/>
  <c r="BW202" i="23916"/>
  <c r="BV202" i="23916"/>
  <c r="BU202" i="23916"/>
  <c r="BT202" i="23916"/>
  <c r="BS202" i="23916"/>
  <c r="BR202" i="23916"/>
  <c r="BQ202" i="23916"/>
  <c r="BP202" i="23916"/>
  <c r="BO202" i="23916"/>
  <c r="BN202" i="23916"/>
  <c r="BM202" i="23916"/>
  <c r="BL202" i="23916"/>
  <c r="BK202" i="23916"/>
  <c r="BJ202" i="23916"/>
  <c r="BI202" i="23916"/>
  <c r="BH202" i="23916"/>
  <c r="BG202" i="23916"/>
  <c r="BF202" i="23916"/>
  <c r="BE202" i="23916"/>
  <c r="BD202" i="23916"/>
  <c r="BC202" i="23916"/>
  <c r="BB202" i="23916"/>
  <c r="BA202" i="23916"/>
  <c r="AZ202" i="23916"/>
  <c r="AY202" i="23916"/>
  <c r="AX202" i="23916"/>
  <c r="AW202" i="23916"/>
  <c r="AV202" i="23916"/>
  <c r="AU202" i="23916"/>
  <c r="AT202" i="23916"/>
  <c r="AS202" i="23916"/>
  <c r="AR202" i="23916"/>
  <c r="AQ202" i="23916"/>
  <c r="GZ201" i="23916"/>
  <c r="GZ200" i="23916"/>
  <c r="GZ198" i="23916"/>
  <c r="GZ188" i="23916"/>
  <c r="GZ187" i="23916"/>
  <c r="GZ186" i="23916"/>
  <c r="GZ185" i="23916"/>
  <c r="GZ182" i="23916"/>
  <c r="GZ181" i="23916"/>
  <c r="GZ173" i="23916"/>
  <c r="GZ172" i="23916"/>
  <c r="GZ170" i="23916"/>
  <c r="GZ169" i="23916"/>
  <c r="GZ163" i="23916"/>
  <c r="GZ162" i="23916"/>
  <c r="GZ161" i="23916"/>
  <c r="GZ160" i="23916"/>
  <c r="GZ159" i="23916"/>
  <c r="GZ158" i="23916"/>
  <c r="FY200" i="23916"/>
  <c r="FW200" i="23916"/>
  <c r="FU200" i="23916"/>
  <c r="FS200" i="23916"/>
  <c r="GD196" i="23916"/>
  <c r="GD194" i="23916"/>
  <c r="GD193" i="23916"/>
  <c r="GE193" i="23916" s="1"/>
  <c r="GD192" i="23916"/>
  <c r="GD191" i="23916"/>
  <c r="GD190" i="23916"/>
  <c r="GD202" i="23916" s="1"/>
  <c r="GB196" i="23916"/>
  <c r="GE196" i="23916" s="1"/>
  <c r="GB194" i="23916"/>
  <c r="GB193" i="23916"/>
  <c r="GB192" i="23916"/>
  <c r="GE192" i="23916" s="1"/>
  <c r="GB191" i="23916"/>
  <c r="GB190" i="23916"/>
  <c r="FZ196" i="23916"/>
  <c r="FZ194" i="23916"/>
  <c r="FZ193" i="23916"/>
  <c r="FZ192" i="23916"/>
  <c r="FZ191" i="23916"/>
  <c r="FZ190" i="23916"/>
  <c r="FX196" i="23916"/>
  <c r="FX194" i="23916"/>
  <c r="GA194" i="23916" s="1"/>
  <c r="FX193" i="23916"/>
  <c r="FX192" i="23916"/>
  <c r="FX191" i="23916"/>
  <c r="FX190" i="23916"/>
  <c r="FX202" i="23916" s="1"/>
  <c r="FV196" i="23916"/>
  <c r="FV194" i="23916"/>
  <c r="FV193" i="23916"/>
  <c r="FV192" i="23916"/>
  <c r="FV191" i="23916"/>
  <c r="FV190" i="23916"/>
  <c r="FV202" i="23916" s="1"/>
  <c r="FV189" i="23916"/>
  <c r="FT197" i="23916"/>
  <c r="BG197" i="23916"/>
  <c r="BG200" i="23916" s="1"/>
  <c r="GE191" i="23916"/>
  <c r="GC193" i="23916"/>
  <c r="GA193" i="23916"/>
  <c r="FY193" i="23916"/>
  <c r="FY191" i="23916"/>
  <c r="EN196" i="23916"/>
  <c r="EN194" i="23916"/>
  <c r="EN193" i="23916"/>
  <c r="EN192" i="23916"/>
  <c r="EN191" i="23916"/>
  <c r="EN190" i="23916"/>
  <c r="EL196" i="23916"/>
  <c r="EL194" i="23916"/>
  <c r="EL193" i="23916"/>
  <c r="EL192" i="23916"/>
  <c r="EL191" i="23916"/>
  <c r="EL190" i="23916"/>
  <c r="EJ196" i="23916"/>
  <c r="EJ194" i="23916"/>
  <c r="EJ193" i="23916"/>
  <c r="EJ192" i="23916"/>
  <c r="EJ191" i="23916"/>
  <c r="EJ190" i="23916"/>
  <c r="EH196" i="23916"/>
  <c r="EH194" i="23916"/>
  <c r="EH193" i="23916"/>
  <c r="EH192" i="23916"/>
  <c r="EH191" i="23916"/>
  <c r="EH190" i="23916"/>
  <c r="EF196" i="23916"/>
  <c r="EF194" i="23916"/>
  <c r="EF193" i="23916"/>
  <c r="EF192" i="23916"/>
  <c r="EF191" i="23916"/>
  <c r="EF190" i="23916"/>
  <c r="ED196" i="23916"/>
  <c r="ED194" i="23916"/>
  <c r="ED193" i="23916"/>
  <c r="ED192" i="23916"/>
  <c r="ED191" i="23916"/>
  <c r="ED190" i="23916"/>
  <c r="EB196" i="23916"/>
  <c r="EB194" i="23916"/>
  <c r="EB193" i="23916"/>
  <c r="EB192" i="23916"/>
  <c r="EB191" i="23916"/>
  <c r="EB190" i="23916"/>
  <c r="DZ196" i="23916"/>
  <c r="DZ194" i="23916"/>
  <c r="DZ193" i="23916"/>
  <c r="DZ192" i="23916"/>
  <c r="DZ191" i="23916"/>
  <c r="DZ190" i="23916"/>
  <c r="DV196" i="23916"/>
  <c r="DV194" i="23916"/>
  <c r="DV193" i="23916"/>
  <c r="DV192" i="23916"/>
  <c r="DV191" i="23916"/>
  <c r="DV190" i="23916"/>
  <c r="DT196" i="23916"/>
  <c r="DT194" i="23916"/>
  <c r="DT193" i="23916"/>
  <c r="DT192" i="23916"/>
  <c r="DT191" i="23916"/>
  <c r="DT190" i="23916"/>
  <c r="DR196" i="23916"/>
  <c r="DR194" i="23916"/>
  <c r="DR193" i="23916"/>
  <c r="DR192" i="23916"/>
  <c r="DR191" i="23916"/>
  <c r="DR190" i="23916"/>
  <c r="DP196" i="23916"/>
  <c r="DP194" i="23916"/>
  <c r="DP193" i="23916"/>
  <c r="DP192" i="23916"/>
  <c r="DP191" i="23916"/>
  <c r="DP190" i="23916"/>
  <c r="DN196" i="23916"/>
  <c r="DN194" i="23916"/>
  <c r="DN193" i="23916"/>
  <c r="DN192" i="23916"/>
  <c r="DN191" i="23916"/>
  <c r="DN190" i="23916"/>
  <c r="GN196" i="23916"/>
  <c r="GO196" i="23916" s="1"/>
  <c r="GL196" i="23916"/>
  <c r="GM196" i="23916" s="1"/>
  <c r="GJ196" i="23916"/>
  <c r="GK196" i="23916" s="1"/>
  <c r="GH196" i="23916"/>
  <c r="GI196" i="23916" s="1"/>
  <c r="GF196" i="23916"/>
  <c r="GG196" i="23916" s="1"/>
  <c r="FW192" i="23916"/>
  <c r="ES196" i="23916"/>
  <c r="EP196" i="23916"/>
  <c r="BG195" i="23916"/>
  <c r="BG228" i="23916" s="1"/>
  <c r="AQ195" i="23916"/>
  <c r="AQ228" i="23916" s="1"/>
  <c r="GY194" i="23916"/>
  <c r="GW194" i="23916"/>
  <c r="GU194" i="23916"/>
  <c r="GP194" i="23916"/>
  <c r="GN194" i="23916"/>
  <c r="GZ194" i="23916" s="1"/>
  <c r="GL194" i="23916"/>
  <c r="GM194" i="23916" s="1"/>
  <c r="GJ194" i="23916"/>
  <c r="GH194" i="23916"/>
  <c r="GI194" i="23916" s="1"/>
  <c r="GF194" i="23916"/>
  <c r="GG194" i="23916" s="1"/>
  <c r="EX194" i="23916"/>
  <c r="EV194" i="23916"/>
  <c r="ET194" i="23916"/>
  <c r="ET192" i="23916"/>
  <c r="ER194" i="23916"/>
  <c r="EP194" i="23916"/>
  <c r="EP193" i="23916"/>
  <c r="EP192" i="23916"/>
  <c r="EP191" i="23916"/>
  <c r="EP190" i="23916"/>
  <c r="EW192" i="23916"/>
  <c r="EX192" i="23916" s="1"/>
  <c r="EW190" i="23916"/>
  <c r="EX190" i="23916" s="1"/>
  <c r="EU192" i="23916"/>
  <c r="EV192" i="23916" s="1"/>
  <c r="EU190" i="23916"/>
  <c r="ES192" i="23916"/>
  <c r="ES190" i="23916"/>
  <c r="ET190" i="23916" s="1"/>
  <c r="EQ192" i="23916"/>
  <c r="EQ190" i="23916"/>
  <c r="EQ196" i="23916" s="1"/>
  <c r="DL193" i="23916"/>
  <c r="DL192" i="23916"/>
  <c r="DL191" i="23916"/>
  <c r="DL190" i="23916"/>
  <c r="DJ193" i="23916"/>
  <c r="DJ192" i="23916"/>
  <c r="DJ191" i="23916"/>
  <c r="DJ190" i="23916"/>
  <c r="DH193" i="23916"/>
  <c r="DH192" i="23916"/>
  <c r="DH191" i="23916"/>
  <c r="DH190" i="23916"/>
  <c r="DF193" i="23916"/>
  <c r="DF192" i="23916"/>
  <c r="DF191" i="23916"/>
  <c r="DF190" i="23916"/>
  <c r="DD193" i="23916"/>
  <c r="DD192" i="23916"/>
  <c r="DD191" i="23916"/>
  <c r="DD190" i="23916"/>
  <c r="DB193" i="23916"/>
  <c r="DB192" i="23916"/>
  <c r="DB191" i="23916"/>
  <c r="DB190" i="23916"/>
  <c r="CZ193" i="23916"/>
  <c r="CZ192" i="23916"/>
  <c r="CZ191" i="23916"/>
  <c r="CZ190" i="23916"/>
  <c r="CX193" i="23916"/>
  <c r="CX192" i="23916"/>
  <c r="CX191" i="23916"/>
  <c r="CX190" i="23916"/>
  <c r="CV193" i="23916"/>
  <c r="CV192" i="23916"/>
  <c r="CV191" i="23916"/>
  <c r="CV190" i="23916"/>
  <c r="CT193" i="23916"/>
  <c r="CT192" i="23916"/>
  <c r="CT191" i="23916"/>
  <c r="CT190" i="23916"/>
  <c r="CR193" i="23916"/>
  <c r="CR192" i="23916"/>
  <c r="CR191" i="23916"/>
  <c r="CR190" i="23916"/>
  <c r="CP193" i="23916"/>
  <c r="CP192" i="23916"/>
  <c r="CP191" i="23916"/>
  <c r="CP190" i="23916"/>
  <c r="CN193" i="23916"/>
  <c r="CN192" i="23916"/>
  <c r="CN191" i="23916"/>
  <c r="CN190" i="23916"/>
  <c r="CL193" i="23916"/>
  <c r="CL192" i="23916"/>
  <c r="CL191" i="23916"/>
  <c r="CL190" i="23916"/>
  <c r="CJ193" i="23916"/>
  <c r="CJ192" i="23916"/>
  <c r="CJ191" i="23916"/>
  <c r="CJ190" i="23916"/>
  <c r="CH193" i="23916"/>
  <c r="CH192" i="23916"/>
  <c r="CH191" i="23916"/>
  <c r="CH190" i="23916"/>
  <c r="CF193" i="23916"/>
  <c r="CF192" i="23916"/>
  <c r="CF191" i="23916"/>
  <c r="CF190" i="23916"/>
  <c r="CD193" i="23916"/>
  <c r="CD192" i="23916"/>
  <c r="CD191" i="23916"/>
  <c r="CD190" i="23916"/>
  <c r="CB193" i="23916"/>
  <c r="CB192" i="23916"/>
  <c r="CB191" i="23916"/>
  <c r="CB190" i="23916"/>
  <c r="BZ193" i="23916"/>
  <c r="BZ192" i="23916"/>
  <c r="BZ191" i="23916"/>
  <c r="BZ190" i="23916"/>
  <c r="BX193" i="23916"/>
  <c r="BX192" i="23916"/>
  <c r="BX191" i="23916"/>
  <c r="BX190" i="23916"/>
  <c r="BV193" i="23916"/>
  <c r="BV192" i="23916"/>
  <c r="BV191" i="23916"/>
  <c r="BV190" i="23916"/>
  <c r="BT193" i="23916"/>
  <c r="BT192" i="23916"/>
  <c r="BT191" i="23916"/>
  <c r="BT190" i="23916"/>
  <c r="BR193" i="23916"/>
  <c r="BR192" i="23916"/>
  <c r="BR191" i="23916"/>
  <c r="BR190" i="23916"/>
  <c r="BP193" i="23916"/>
  <c r="BP192" i="23916"/>
  <c r="BP191" i="23916"/>
  <c r="BP190" i="23916"/>
  <c r="BN193" i="23916"/>
  <c r="BN192" i="23916"/>
  <c r="BN191" i="23916"/>
  <c r="BN190" i="23916"/>
  <c r="BL193" i="23916"/>
  <c r="BL192" i="23916"/>
  <c r="BL191" i="23916"/>
  <c r="BL190" i="23916"/>
  <c r="BJ193" i="23916"/>
  <c r="BJ192" i="23916"/>
  <c r="BJ191" i="23916"/>
  <c r="BJ190" i="23916"/>
  <c r="BH193" i="23916"/>
  <c r="BH192" i="23916"/>
  <c r="BH191" i="23916"/>
  <c r="BH190" i="23916"/>
  <c r="BF193" i="23916"/>
  <c r="BF192" i="23916"/>
  <c r="BF191" i="23916"/>
  <c r="BF190" i="23916"/>
  <c r="BD193" i="23916"/>
  <c r="BD192" i="23916"/>
  <c r="BD191" i="23916"/>
  <c r="BD190" i="23916"/>
  <c r="BB193" i="23916"/>
  <c r="BB192" i="23916"/>
  <c r="BB191" i="23916"/>
  <c r="BB190" i="23916"/>
  <c r="AZ193" i="23916"/>
  <c r="AZ192" i="23916"/>
  <c r="AZ191" i="23916"/>
  <c r="AZ190" i="23916"/>
  <c r="AX193" i="23916"/>
  <c r="AX192" i="23916"/>
  <c r="AX191" i="23916"/>
  <c r="AX190" i="23916"/>
  <c r="AV193" i="23916"/>
  <c r="AV192" i="23916"/>
  <c r="AV191" i="23916"/>
  <c r="AV190" i="23916"/>
  <c r="AR193" i="23916"/>
  <c r="AR192" i="23916"/>
  <c r="AR191" i="23916"/>
  <c r="AR190" i="23916"/>
  <c r="AR189" i="23916"/>
  <c r="GN193" i="23916"/>
  <c r="GL193" i="23916"/>
  <c r="GJ193" i="23916"/>
  <c r="GH193" i="23916"/>
  <c r="GF193" i="23916"/>
  <c r="GO192" i="23916"/>
  <c r="GN192" i="23916"/>
  <c r="GM192" i="23916"/>
  <c r="GL192" i="23916"/>
  <c r="GK192" i="23916"/>
  <c r="GJ192" i="23916"/>
  <c r="GI192" i="23916"/>
  <c r="GH192" i="23916"/>
  <c r="GG192" i="23916"/>
  <c r="GF192" i="23916"/>
  <c r="GN191" i="23916"/>
  <c r="GL191" i="23916"/>
  <c r="GM191" i="23916" s="1"/>
  <c r="GJ191" i="23916"/>
  <c r="GH191" i="23916"/>
  <c r="GI191" i="23916" s="1"/>
  <c r="GF191" i="23916"/>
  <c r="GO190" i="23916"/>
  <c r="GN190" i="23916"/>
  <c r="GN202" i="23916" s="1"/>
  <c r="GO202" i="23916" s="1"/>
  <c r="GM190" i="23916"/>
  <c r="GL190" i="23916"/>
  <c r="GL202" i="23916" s="1"/>
  <c r="GM202" i="23916" s="1"/>
  <c r="GK190" i="23916"/>
  <c r="GJ190" i="23916"/>
  <c r="GJ202" i="23916" s="1"/>
  <c r="GI190" i="23916"/>
  <c r="GH190" i="23916"/>
  <c r="GG190" i="23916"/>
  <c r="GF190" i="23916"/>
  <c r="GF202" i="23916" s="1"/>
  <c r="GG202" i="23916" s="1"/>
  <c r="FT194" i="23916"/>
  <c r="FW194" i="23916" s="1"/>
  <c r="FS194" i="23916"/>
  <c r="FR194" i="23916"/>
  <c r="FT193" i="23916"/>
  <c r="FU193" i="23916" s="1"/>
  <c r="FR193" i="23916"/>
  <c r="FT192" i="23916"/>
  <c r="FU192" i="23916" s="1"/>
  <c r="FS192" i="23916"/>
  <c r="FR192" i="23916"/>
  <c r="FT191" i="23916"/>
  <c r="FR191" i="23916"/>
  <c r="FU191" i="23916" s="1"/>
  <c r="FT190" i="23916"/>
  <c r="FW190" i="23916" s="1"/>
  <c r="FR190" i="23916"/>
  <c r="FR202" i="23916" s="1"/>
  <c r="FT189" i="23916"/>
  <c r="FT199" i="23916" s="1"/>
  <c r="FP193" i="23916"/>
  <c r="FP192" i="23916"/>
  <c r="FQ192" i="23916" s="1"/>
  <c r="FP191" i="23916"/>
  <c r="FP190" i="23916"/>
  <c r="FS190" i="23916" s="1"/>
  <c r="FP189" i="23916"/>
  <c r="BI189" i="23916"/>
  <c r="AS189" i="23916"/>
  <c r="GY178" i="23916"/>
  <c r="GW178" i="23916"/>
  <c r="GU178" i="23916"/>
  <c r="GQ178" i="23916"/>
  <c r="GP178" i="23916"/>
  <c r="GS178" i="23916" s="1"/>
  <c r="GN178" i="23916"/>
  <c r="GZ178" i="23916" s="1"/>
  <c r="GK178" i="23916"/>
  <c r="GJ178" i="23916"/>
  <c r="GI178" i="23916"/>
  <c r="GH178" i="23916"/>
  <c r="GG178" i="23916"/>
  <c r="GF178" i="23916"/>
  <c r="GE178" i="23916"/>
  <c r="GD178" i="23916"/>
  <c r="GC178" i="23916"/>
  <c r="GB178" i="23916"/>
  <c r="GA178" i="23916"/>
  <c r="FZ178" i="23916"/>
  <c r="FY178" i="23916"/>
  <c r="FX178" i="23916"/>
  <c r="FW178" i="23916"/>
  <c r="FV178" i="23916"/>
  <c r="FU178" i="23916"/>
  <c r="FT178" i="23916"/>
  <c r="FS178" i="23916"/>
  <c r="FR178" i="23916"/>
  <c r="FQ178" i="23916"/>
  <c r="FP178" i="23916"/>
  <c r="EX178" i="23916"/>
  <c r="EV178" i="23916"/>
  <c r="ET178" i="23916"/>
  <c r="ER178" i="23916"/>
  <c r="EP178" i="23916"/>
  <c r="EP175" i="23916"/>
  <c r="EN175" i="23916"/>
  <c r="EL178" i="23916"/>
  <c r="EL175" i="23916"/>
  <c r="EJ178" i="23916"/>
  <c r="EJ175" i="23916"/>
  <c r="EH178" i="23916"/>
  <c r="EH175" i="23916"/>
  <c r="EE178" i="23916"/>
  <c r="GL178" i="23916" s="1"/>
  <c r="GO178" i="23916" s="1"/>
  <c r="ED178" i="23916"/>
  <c r="EB178" i="23916"/>
  <c r="EB175" i="23916"/>
  <c r="DZ178" i="23916"/>
  <c r="DZ175" i="23916"/>
  <c r="DV178" i="23916"/>
  <c r="DV175" i="23916"/>
  <c r="DT178" i="23916"/>
  <c r="DT175" i="23916"/>
  <c r="DR178" i="23916"/>
  <c r="DR175" i="23916"/>
  <c r="DP178" i="23916"/>
  <c r="DP175" i="23916"/>
  <c r="DN178" i="23916"/>
  <c r="DN175" i="23916"/>
  <c r="DL178" i="23916"/>
  <c r="DL175" i="23916"/>
  <c r="DJ178" i="23916"/>
  <c r="DJ175" i="23916"/>
  <c r="DH178" i="23916"/>
  <c r="DH175" i="23916"/>
  <c r="DF178" i="23916"/>
  <c r="DF175" i="23916"/>
  <c r="DD178" i="23916"/>
  <c r="DD175" i="23916"/>
  <c r="DB178" i="23916"/>
  <c r="DB175" i="23916"/>
  <c r="CZ178" i="23916"/>
  <c r="CZ175" i="23916"/>
  <c r="CX178" i="23916"/>
  <c r="CX175" i="23916"/>
  <c r="CV178" i="23916"/>
  <c r="CV175" i="23916"/>
  <c r="CT178" i="23916"/>
  <c r="CT175" i="23916"/>
  <c r="CR178" i="23916"/>
  <c r="CR175" i="23916"/>
  <c r="CP178" i="23916"/>
  <c r="CP175" i="23916"/>
  <c r="CN178" i="23916"/>
  <c r="CN175" i="23916"/>
  <c r="CL178" i="23916"/>
  <c r="CL175" i="23916"/>
  <c r="CJ178" i="23916"/>
  <c r="CJ175" i="23916"/>
  <c r="CH178" i="23916"/>
  <c r="CH175" i="23916"/>
  <c r="CF178" i="23916"/>
  <c r="CF175" i="23916"/>
  <c r="CD178" i="23916"/>
  <c r="CD175" i="23916"/>
  <c r="CB178" i="23916"/>
  <c r="CB175" i="23916"/>
  <c r="BZ178" i="23916"/>
  <c r="BZ175" i="23916"/>
  <c r="BX178" i="23916"/>
  <c r="BX175" i="23916"/>
  <c r="BV178" i="23916"/>
  <c r="BV175" i="23916"/>
  <c r="BT178" i="23916"/>
  <c r="BT175" i="23916"/>
  <c r="BR178" i="23916"/>
  <c r="BR175" i="23916"/>
  <c r="BP178" i="23916"/>
  <c r="BP175" i="23916"/>
  <c r="BN178" i="23916"/>
  <c r="BN175" i="23916"/>
  <c r="BL178" i="23916"/>
  <c r="BL175" i="23916"/>
  <c r="BJ178" i="23916"/>
  <c r="BJ175" i="23916"/>
  <c r="BH178" i="23916"/>
  <c r="BH175" i="23916"/>
  <c r="BF178" i="23916"/>
  <c r="BF175" i="23916"/>
  <c r="BD178" i="23916"/>
  <c r="BD175" i="23916"/>
  <c r="BB178" i="23916"/>
  <c r="BB175" i="23916"/>
  <c r="AZ178" i="23916"/>
  <c r="AZ175" i="23916"/>
  <c r="AX178" i="23916"/>
  <c r="AX175" i="23916"/>
  <c r="AV178" i="23916"/>
  <c r="AV175" i="23916"/>
  <c r="AT178" i="23916"/>
  <c r="AT175" i="23916"/>
  <c r="AR178" i="23916"/>
  <c r="AR175" i="23916"/>
  <c r="FN177" i="23916"/>
  <c r="ES176" i="23916"/>
  <c r="EU176" i="23916" s="1"/>
  <c r="EF175" i="23916"/>
  <c r="ED175" i="23916"/>
  <c r="GO175" i="23916"/>
  <c r="GN175" i="23916"/>
  <c r="GM175" i="23916"/>
  <c r="GL175" i="23916"/>
  <c r="GK175" i="23916"/>
  <c r="GJ175" i="23916"/>
  <c r="GI175" i="23916"/>
  <c r="GH175" i="23916"/>
  <c r="GG175" i="23916"/>
  <c r="GF175" i="23916"/>
  <c r="GE175" i="23916"/>
  <c r="GD175" i="23916"/>
  <c r="GC175" i="23916"/>
  <c r="GB175" i="23916"/>
  <c r="GA175" i="23916"/>
  <c r="FZ175" i="23916"/>
  <c r="FY175" i="23916"/>
  <c r="FX175" i="23916"/>
  <c r="FW175" i="23916"/>
  <c r="FV175" i="23916"/>
  <c r="FU175" i="23916"/>
  <c r="FT175" i="23916"/>
  <c r="FS175" i="23916"/>
  <c r="FR175" i="23916"/>
  <c r="FQ175" i="23916"/>
  <c r="FP175" i="23916"/>
  <c r="EU171" i="23916"/>
  <c r="ES171" i="23916"/>
  <c r="FN168" i="23916"/>
  <c r="CI168" i="23916"/>
  <c r="BC168" i="23916"/>
  <c r="AU168" i="23916"/>
  <c r="CN164" i="23916"/>
  <c r="CJ164" i="23916"/>
  <c r="CE167" i="23916"/>
  <c r="CC167" i="23916"/>
  <c r="CL167" i="23916" s="1"/>
  <c r="CA167" i="23916"/>
  <c r="BY167" i="23916"/>
  <c r="CH167" i="23916" s="1"/>
  <c r="BW167" i="23916"/>
  <c r="BU167" i="23916"/>
  <c r="BU168" i="23916" s="1"/>
  <c r="BS167" i="23916"/>
  <c r="BS168" i="23916" s="1"/>
  <c r="BR167" i="23916"/>
  <c r="BP167" i="23916"/>
  <c r="BP165" i="23916"/>
  <c r="BN167" i="23916"/>
  <c r="BL167" i="23916"/>
  <c r="BL165" i="23916"/>
  <c r="BJ167" i="23916"/>
  <c r="BJ165" i="23916"/>
  <c r="BH167" i="23916"/>
  <c r="BG167" i="23916"/>
  <c r="BF167" i="23916"/>
  <c r="BD167" i="23916"/>
  <c r="BD164" i="23916"/>
  <c r="BB167" i="23916"/>
  <c r="BB164" i="23916"/>
  <c r="AZ167" i="23916"/>
  <c r="AZ164" i="23916"/>
  <c r="AX167" i="23916"/>
  <c r="AX164" i="23916"/>
  <c r="AV167" i="23916"/>
  <c r="AV164" i="23916"/>
  <c r="AT167" i="23916"/>
  <c r="AT164" i="23916"/>
  <c r="AR167" i="23916"/>
  <c r="AR164" i="23916"/>
  <c r="CO165" i="23916"/>
  <c r="CO166" i="23916" s="1"/>
  <c r="CO164" i="23916"/>
  <c r="CO168" i="23916" s="1"/>
  <c r="CM166" i="23916"/>
  <c r="CK165" i="23916"/>
  <c r="CK166" i="23916" s="1"/>
  <c r="CK164" i="23916"/>
  <c r="CL164" i="23916" s="1"/>
  <c r="CI166" i="23916"/>
  <c r="CI165" i="23916"/>
  <c r="CJ165" i="23916" s="1"/>
  <c r="CI164" i="23916"/>
  <c r="CG166" i="23916"/>
  <c r="BO166" i="23916"/>
  <c r="BO165" i="23916"/>
  <c r="BO164" i="23916"/>
  <c r="BO168" i="23916" s="1"/>
  <c r="BM165" i="23916"/>
  <c r="BM166" i="23916" s="1"/>
  <c r="BM164" i="23916"/>
  <c r="BM168" i="23916" s="1"/>
  <c r="BK166" i="23916"/>
  <c r="BK165" i="23916"/>
  <c r="BK164" i="23916"/>
  <c r="BL164" i="23916" s="1"/>
  <c r="BC165" i="23916"/>
  <c r="BD165" i="23916" s="1"/>
  <c r="BC164" i="23916"/>
  <c r="BA166" i="23916"/>
  <c r="BA165" i="23916"/>
  <c r="BB165" i="23916" s="1"/>
  <c r="BA164" i="23916"/>
  <c r="BA168" i="23916" s="1"/>
  <c r="AY165" i="23916"/>
  <c r="AY164" i="23916"/>
  <c r="AY168" i="23916" s="1"/>
  <c r="AW166" i="23916"/>
  <c r="AW165" i="23916"/>
  <c r="AX165" i="23916" s="1"/>
  <c r="AW164" i="23916"/>
  <c r="AW168" i="23916" s="1"/>
  <c r="AU165" i="23916"/>
  <c r="AV165" i="23916" s="1"/>
  <c r="AU164" i="23916"/>
  <c r="AS166" i="23916"/>
  <c r="AS165" i="23916"/>
  <c r="AT165" i="23916" s="1"/>
  <c r="AS164" i="23916"/>
  <c r="AS168" i="23916" s="1"/>
  <c r="AQ165" i="23916"/>
  <c r="AQ164" i="23916"/>
  <c r="AQ168" i="23916" s="1"/>
  <c r="CF165" i="23916"/>
  <c r="CE165" i="23916"/>
  <c r="CN165" i="23916" s="1"/>
  <c r="CD165" i="23916"/>
  <c r="CC165" i="23916"/>
  <c r="CC166" i="23916" s="1"/>
  <c r="CB165" i="23916"/>
  <c r="CA165" i="23916"/>
  <c r="BZ165" i="23916"/>
  <c r="BY165" i="23916"/>
  <c r="CH165" i="23916" s="1"/>
  <c r="BX165" i="23916"/>
  <c r="BW165" i="23916"/>
  <c r="BV165" i="23916"/>
  <c r="BU165" i="23916"/>
  <c r="BT165" i="23916"/>
  <c r="BS165" i="23916"/>
  <c r="BR165" i="23916"/>
  <c r="BQ165" i="23916"/>
  <c r="BQ166" i="23916" s="1"/>
  <c r="FU167" i="23916"/>
  <c r="FT167" i="23916"/>
  <c r="FS167" i="23916"/>
  <c r="FR167" i="23916"/>
  <c r="FR168" i="23916" s="1"/>
  <c r="FQ167" i="23916"/>
  <c r="FP167" i="23916"/>
  <c r="GG165" i="23916"/>
  <c r="GA165" i="23916"/>
  <c r="FZ165" i="23916"/>
  <c r="FX165" i="23916"/>
  <c r="GG164" i="23916"/>
  <c r="FQ164" i="23916"/>
  <c r="DX167" i="23916"/>
  <c r="CR167" i="23916"/>
  <c r="CQ167" i="23916"/>
  <c r="CP167" i="23916"/>
  <c r="EO166" i="23916"/>
  <c r="EC166" i="23916"/>
  <c r="DY166" i="23916"/>
  <c r="DM166" i="23916"/>
  <c r="CW166" i="23916"/>
  <c r="CQ166" i="23916"/>
  <c r="EP165" i="23916"/>
  <c r="EO165" i="23916"/>
  <c r="EQ165" i="23916" s="1"/>
  <c r="EN165" i="23916"/>
  <c r="EM165" i="23916"/>
  <c r="EL165" i="23916"/>
  <c r="EK165" i="23916"/>
  <c r="EJ165" i="23916"/>
  <c r="EI165" i="23916"/>
  <c r="GN165" i="23916" s="1"/>
  <c r="GO165" i="23916" s="1"/>
  <c r="EH165" i="23916"/>
  <c r="EG165" i="23916"/>
  <c r="EF165" i="23916"/>
  <c r="EE165" i="23916"/>
  <c r="ED165" i="23916"/>
  <c r="EC165" i="23916"/>
  <c r="EB165" i="23916"/>
  <c r="EA165" i="23916"/>
  <c r="GL165" i="23916" s="1"/>
  <c r="DZ165" i="23916"/>
  <c r="DY165" i="23916"/>
  <c r="DX165" i="23916"/>
  <c r="DW165" i="23916"/>
  <c r="DV165" i="23916"/>
  <c r="DU165" i="23916"/>
  <c r="DT165" i="23916"/>
  <c r="DS165" i="23916"/>
  <c r="GJ165" i="23916" s="1"/>
  <c r="GK165" i="23916" s="1"/>
  <c r="DR165" i="23916"/>
  <c r="DQ165" i="23916"/>
  <c r="DP165" i="23916"/>
  <c r="DO165" i="23916"/>
  <c r="DN165" i="23916"/>
  <c r="DM165" i="23916"/>
  <c r="DL165" i="23916"/>
  <c r="DK165" i="23916"/>
  <c r="GH165" i="23916" s="1"/>
  <c r="DJ165" i="23916"/>
  <c r="DI165" i="23916"/>
  <c r="DH165" i="23916"/>
  <c r="DG165" i="23916"/>
  <c r="DF165" i="23916"/>
  <c r="DE165" i="23916"/>
  <c r="DD165" i="23916"/>
  <c r="DC165" i="23916"/>
  <c r="GF165" i="23916" s="1"/>
  <c r="DB165" i="23916"/>
  <c r="DA165" i="23916"/>
  <c r="CZ165" i="23916"/>
  <c r="CY165" i="23916"/>
  <c r="CX165" i="23916"/>
  <c r="CW165" i="23916"/>
  <c r="CV165" i="23916"/>
  <c r="CU165" i="23916"/>
  <c r="GD165" i="23916" s="1"/>
  <c r="CT165" i="23916"/>
  <c r="CS165" i="23916"/>
  <c r="CR165" i="23916"/>
  <c r="CQ165" i="23916"/>
  <c r="GB165" i="23916" s="1"/>
  <c r="GC165" i="23916" s="1"/>
  <c r="CP165" i="23916"/>
  <c r="EO164" i="23916"/>
  <c r="EO167" i="23916" s="1"/>
  <c r="EM164" i="23916"/>
  <c r="EK164" i="23916"/>
  <c r="EK167" i="23916" s="1"/>
  <c r="EI164" i="23916"/>
  <c r="EG164" i="23916"/>
  <c r="EG167" i="23916" s="1"/>
  <c r="EE164" i="23916"/>
  <c r="EC164" i="23916"/>
  <c r="EC167" i="23916" s="1"/>
  <c r="EA164" i="23916"/>
  <c r="DY164" i="23916"/>
  <c r="DY167" i="23916" s="1"/>
  <c r="DX164" i="23916"/>
  <c r="DW164" i="23916"/>
  <c r="DW167" i="23916" s="1"/>
  <c r="DW166" i="23916" s="1"/>
  <c r="DW171" i="23916" s="1"/>
  <c r="DU164" i="23916"/>
  <c r="DU167" i="23916" s="1"/>
  <c r="DU166" i="23916" s="1"/>
  <c r="DS164" i="23916"/>
  <c r="DQ164" i="23916"/>
  <c r="DQ167" i="23916" s="1"/>
  <c r="DO164" i="23916"/>
  <c r="DM164" i="23916"/>
  <c r="DM167" i="23916" s="1"/>
  <c r="DK164" i="23916"/>
  <c r="DI164" i="23916"/>
  <c r="DI167" i="23916" s="1"/>
  <c r="DI166" i="23916" s="1"/>
  <c r="DG164" i="23916"/>
  <c r="DE164" i="23916"/>
  <c r="DE167" i="23916" s="1"/>
  <c r="DE166" i="23916" s="1"/>
  <c r="DC164" i="23916"/>
  <c r="DA164" i="23916"/>
  <c r="DA167" i="23916" s="1"/>
  <c r="CY164" i="23916"/>
  <c r="CW164" i="23916"/>
  <c r="CW167" i="23916" s="1"/>
  <c r="CU164" i="23916"/>
  <c r="CS164" i="23916"/>
  <c r="CS167" i="23916" s="1"/>
  <c r="CS166" i="23916" s="1"/>
  <c r="CQ164" i="23916"/>
  <c r="CR164" i="23916" s="1"/>
  <c r="CP164" i="23916"/>
  <c r="CM164" i="23916"/>
  <c r="CM168" i="23916" s="1"/>
  <c r="CG164" i="23916"/>
  <c r="CH164" i="23916" s="1"/>
  <c r="CF164" i="23916"/>
  <c r="CE164" i="23916"/>
  <c r="CD164" i="23916"/>
  <c r="CC164" i="23916"/>
  <c r="CB164" i="23916"/>
  <c r="CA164" i="23916"/>
  <c r="BZ164" i="23916"/>
  <c r="BY164" i="23916"/>
  <c r="BX164" i="23916"/>
  <c r="BW164" i="23916"/>
  <c r="BV164" i="23916"/>
  <c r="BU164" i="23916"/>
  <c r="BT164" i="23916"/>
  <c r="BS164" i="23916"/>
  <c r="BQ164" i="23916"/>
  <c r="BQ168" i="23916" s="1"/>
  <c r="BI166" i="23916"/>
  <c r="BG166" i="23916"/>
  <c r="BE166" i="23916"/>
  <c r="BI165" i="23916"/>
  <c r="BG165" i="23916"/>
  <c r="FT165" i="23916" s="1"/>
  <c r="BF165" i="23916"/>
  <c r="BE165" i="23916"/>
  <c r="BI164" i="23916"/>
  <c r="BR164" i="23916" s="1"/>
  <c r="BG164" i="23916"/>
  <c r="BE164" i="23916"/>
  <c r="BE168" i="23916" s="1"/>
  <c r="EX160" i="23916"/>
  <c r="EX159" i="23916"/>
  <c r="EV160" i="23916"/>
  <c r="EV159" i="23916"/>
  <c r="ET160" i="23916"/>
  <c r="ET159" i="23916"/>
  <c r="ER161" i="23916"/>
  <c r="ER160" i="23916"/>
  <c r="ER159" i="23916"/>
  <c r="EO161" i="23916"/>
  <c r="EM161" i="23916"/>
  <c r="EV161" i="23916" s="1"/>
  <c r="EK161" i="23916"/>
  <c r="EI161" i="23916"/>
  <c r="EJ161" i="23916" s="1"/>
  <c r="EG161" i="23916"/>
  <c r="EE161" i="23916"/>
  <c r="EF161" i="23916" s="1"/>
  <c r="EC161" i="23916"/>
  <c r="ED161" i="23916" s="1"/>
  <c r="EA161" i="23916"/>
  <c r="EB161" i="23916" s="1"/>
  <c r="DY161" i="23916"/>
  <c r="DX161" i="23916"/>
  <c r="DW161" i="23916"/>
  <c r="DU161" i="23916"/>
  <c r="DS161" i="23916"/>
  <c r="DT161" i="23916" s="1"/>
  <c r="DQ161" i="23916"/>
  <c r="DR161" i="23916" s="1"/>
  <c r="DO161" i="23916"/>
  <c r="DP161" i="23916" s="1"/>
  <c r="DM161" i="23916"/>
  <c r="DK161" i="23916"/>
  <c r="DI161" i="23916"/>
  <c r="DG161" i="23916"/>
  <c r="DE161" i="23916"/>
  <c r="DC161" i="23916"/>
  <c r="DA161" i="23916"/>
  <c r="CY161" i="23916"/>
  <c r="CW161" i="23916"/>
  <c r="CU161" i="23916"/>
  <c r="CS161" i="23916"/>
  <c r="CQ161" i="23916"/>
  <c r="CO161" i="23916"/>
  <c r="CM161" i="23916"/>
  <c r="CK161" i="23916"/>
  <c r="CI161" i="23916"/>
  <c r="CG161" i="23916"/>
  <c r="CE161" i="23916"/>
  <c r="CC161" i="23916"/>
  <c r="CA161" i="23916"/>
  <c r="BY161" i="23916"/>
  <c r="BW161" i="23916"/>
  <c r="BU161" i="23916"/>
  <c r="BS161" i="23916"/>
  <c r="BQ161" i="23916"/>
  <c r="BO161" i="23916"/>
  <c r="BM161" i="23916"/>
  <c r="BK161" i="23916"/>
  <c r="BI161" i="23916"/>
  <c r="BG161" i="23916"/>
  <c r="BF161" i="23916"/>
  <c r="BE161" i="23916"/>
  <c r="BD161" i="23916"/>
  <c r="BC161" i="23916"/>
  <c r="BB161" i="23916"/>
  <c r="BA161" i="23916"/>
  <c r="AZ161" i="23916"/>
  <c r="AY161" i="23916"/>
  <c r="AX161" i="23916"/>
  <c r="AW161" i="23916"/>
  <c r="AV161" i="23916"/>
  <c r="AU161" i="23916"/>
  <c r="AT161" i="23916"/>
  <c r="AS161" i="23916"/>
  <c r="AR161" i="23916"/>
  <c r="AQ161" i="23916"/>
  <c r="EP160" i="23916"/>
  <c r="EP159" i="23916"/>
  <c r="EN160" i="23916"/>
  <c r="EN159" i="23916"/>
  <c r="EL160" i="23916"/>
  <c r="EL159" i="23916"/>
  <c r="EJ160" i="23916"/>
  <c r="EJ159" i="23916"/>
  <c r="EH160" i="23916"/>
  <c r="EH159" i="23916"/>
  <c r="EF160" i="23916"/>
  <c r="EF159" i="23916"/>
  <c r="ED160" i="23916"/>
  <c r="ED159" i="23916"/>
  <c r="EB160" i="23916"/>
  <c r="EB159" i="23916"/>
  <c r="DZ160" i="23916"/>
  <c r="DZ159" i="23916"/>
  <c r="DV160" i="23916"/>
  <c r="DV159" i="23916"/>
  <c r="DT160" i="23916"/>
  <c r="DT159" i="23916"/>
  <c r="DR160" i="23916"/>
  <c r="DR159" i="23916"/>
  <c r="DP160" i="23916"/>
  <c r="DP159" i="23916"/>
  <c r="DN160" i="23916"/>
  <c r="DN159" i="23916"/>
  <c r="BF160" i="23916"/>
  <c r="BF159" i="23916"/>
  <c r="BD160" i="23916"/>
  <c r="BD159" i="23916"/>
  <c r="BB160" i="23916"/>
  <c r="BB159" i="23916"/>
  <c r="AZ160" i="23916"/>
  <c r="AZ159" i="23916"/>
  <c r="AX160" i="23916"/>
  <c r="AX159" i="23916"/>
  <c r="AV160" i="23916"/>
  <c r="AV159" i="23916"/>
  <c r="AT160" i="23916"/>
  <c r="AT159" i="23916"/>
  <c r="AR160" i="23916"/>
  <c r="AR159" i="23916"/>
  <c r="BG154" i="23916"/>
  <c r="ES153" i="23916"/>
  <c r="EU153" i="23916" s="1"/>
  <c r="GZ152" i="23916"/>
  <c r="EP150" i="23916"/>
  <c r="EO150" i="23916"/>
  <c r="EN150" i="23916"/>
  <c r="EM150" i="23916"/>
  <c r="EL150" i="23916"/>
  <c r="EK150" i="23916"/>
  <c r="EJ150" i="23916"/>
  <c r="EI150" i="23916"/>
  <c r="EH150" i="23916"/>
  <c r="EG150" i="23916"/>
  <c r="EF150" i="23916"/>
  <c r="EE150" i="23916"/>
  <c r="ED150" i="23916"/>
  <c r="EC150" i="23916"/>
  <c r="EB150" i="23916"/>
  <c r="EA150" i="23916"/>
  <c r="DZ150" i="23916"/>
  <c r="DY150" i="23916"/>
  <c r="DX150" i="23916"/>
  <c r="DW150" i="23916"/>
  <c r="DV150" i="23916"/>
  <c r="DU150" i="23916"/>
  <c r="DT150" i="23916"/>
  <c r="DS150" i="23916"/>
  <c r="DR150" i="23916"/>
  <c r="DQ150" i="23916"/>
  <c r="DP150" i="23916"/>
  <c r="DO150" i="23916"/>
  <c r="DN150" i="23916"/>
  <c r="DM150" i="23916"/>
  <c r="DL150" i="23916"/>
  <c r="DK150" i="23916"/>
  <c r="DJ150" i="23916"/>
  <c r="DI150" i="23916"/>
  <c r="DH150" i="23916"/>
  <c r="DG150" i="23916"/>
  <c r="DF150" i="23916"/>
  <c r="DE150" i="23916"/>
  <c r="DD150" i="23916"/>
  <c r="DC150" i="23916"/>
  <c r="DB150" i="23916"/>
  <c r="DA150" i="23916"/>
  <c r="CZ150" i="23916"/>
  <c r="CY150" i="23916"/>
  <c r="CX150" i="23916"/>
  <c r="CW150" i="23916"/>
  <c r="CV150" i="23916"/>
  <c r="CU150" i="23916"/>
  <c r="CT150" i="23916"/>
  <c r="CS150" i="23916"/>
  <c r="CR150" i="23916"/>
  <c r="CQ150" i="23916"/>
  <c r="CP150" i="23916"/>
  <c r="CO150" i="23916"/>
  <c r="CN150" i="23916"/>
  <c r="CM150" i="23916"/>
  <c r="CL150" i="23916"/>
  <c r="CK150" i="23916"/>
  <c r="CJ150" i="23916"/>
  <c r="CI150" i="23916"/>
  <c r="CH150" i="23916"/>
  <c r="CG150" i="23916"/>
  <c r="CF150" i="23916"/>
  <c r="CE150" i="23916"/>
  <c r="CD150" i="23916"/>
  <c r="CC150" i="23916"/>
  <c r="CB150" i="23916"/>
  <c r="CA150" i="23916"/>
  <c r="BZ150" i="23916"/>
  <c r="BY150" i="23916"/>
  <c r="BX150" i="23916"/>
  <c r="BW150" i="23916"/>
  <c r="BV150" i="23916"/>
  <c r="BU150" i="23916"/>
  <c r="BT150" i="23916"/>
  <c r="BS150" i="23916"/>
  <c r="BR150" i="23916"/>
  <c r="BQ150" i="23916"/>
  <c r="BP150" i="23916"/>
  <c r="BO150" i="23916"/>
  <c r="BN150" i="23916"/>
  <c r="BM150" i="23916"/>
  <c r="BL150" i="23916"/>
  <c r="BK150" i="23916"/>
  <c r="BJ150" i="23916"/>
  <c r="BI150" i="23916"/>
  <c r="BH150" i="23916"/>
  <c r="BG150" i="23916"/>
  <c r="BF150" i="23916"/>
  <c r="BE150" i="23916"/>
  <c r="BD150" i="23916"/>
  <c r="BC150" i="23916"/>
  <c r="BB150" i="23916"/>
  <c r="BA150" i="23916"/>
  <c r="AZ150" i="23916"/>
  <c r="AY150" i="23916"/>
  <c r="AX150" i="23916"/>
  <c r="AW150" i="23916"/>
  <c r="AV150" i="23916"/>
  <c r="AU150" i="23916"/>
  <c r="AT150" i="23916"/>
  <c r="AS150" i="23916"/>
  <c r="AR150" i="23916"/>
  <c r="AQ150" i="23916"/>
  <c r="FN149" i="23916"/>
  <c r="FN174" i="23916" s="1"/>
  <c r="EN149" i="23916"/>
  <c r="EN148" i="23916"/>
  <c r="EN147" i="23916"/>
  <c r="EN146" i="23916"/>
  <c r="EN145" i="23916"/>
  <c r="EL149" i="23916"/>
  <c r="EL147" i="23916"/>
  <c r="EL146" i="23916"/>
  <c r="EL145" i="23916"/>
  <c r="EJ149" i="23916"/>
  <c r="EJ147" i="23916"/>
  <c r="EJ146" i="23916"/>
  <c r="EJ145" i="23916"/>
  <c r="EH149" i="23916"/>
  <c r="EH147" i="23916"/>
  <c r="EH146" i="23916"/>
  <c r="EH145" i="23916"/>
  <c r="EF149" i="23916"/>
  <c r="EF148" i="23916"/>
  <c r="EF147" i="23916"/>
  <c r="EF146" i="23916"/>
  <c r="EF145" i="23916"/>
  <c r="ED149" i="23916"/>
  <c r="ED147" i="23916"/>
  <c r="ED146" i="23916"/>
  <c r="ED145" i="23916"/>
  <c r="EB149" i="23916"/>
  <c r="EB147" i="23916"/>
  <c r="EB146" i="23916"/>
  <c r="EB145" i="23916"/>
  <c r="DZ149" i="23916"/>
  <c r="DZ147" i="23916"/>
  <c r="DZ146" i="23916"/>
  <c r="DZ145" i="23916"/>
  <c r="DV149" i="23916"/>
  <c r="DV147" i="23916"/>
  <c r="DV146" i="23916"/>
  <c r="DV145" i="23916"/>
  <c r="DT149" i="23916"/>
  <c r="DT147" i="23916"/>
  <c r="DT146" i="23916"/>
  <c r="DT145" i="23916"/>
  <c r="DR149" i="23916"/>
  <c r="DR147" i="23916"/>
  <c r="DR146" i="23916"/>
  <c r="DR145" i="23916"/>
  <c r="DP149" i="23916"/>
  <c r="DP147" i="23916"/>
  <c r="DP146" i="23916"/>
  <c r="DP145" i="23916"/>
  <c r="DN149" i="23916"/>
  <c r="DN147" i="23916"/>
  <c r="DN146" i="23916"/>
  <c r="DN145" i="23916"/>
  <c r="DL149" i="23916"/>
  <c r="DL147" i="23916"/>
  <c r="DL146" i="23916"/>
  <c r="DL145" i="23916"/>
  <c r="DJ149" i="23916"/>
  <c r="DJ147" i="23916"/>
  <c r="DJ146" i="23916"/>
  <c r="DJ145" i="23916"/>
  <c r="DH149" i="23916"/>
  <c r="DH147" i="23916"/>
  <c r="DH146" i="23916"/>
  <c r="DH145" i="23916"/>
  <c r="DF149" i="23916"/>
  <c r="DF147" i="23916"/>
  <c r="DF146" i="23916"/>
  <c r="DF145" i="23916"/>
  <c r="DD149" i="23916"/>
  <c r="DD147" i="23916"/>
  <c r="DD146" i="23916"/>
  <c r="DD145" i="23916"/>
  <c r="DB149" i="23916"/>
  <c r="DB147" i="23916"/>
  <c r="DB146" i="23916"/>
  <c r="DB145" i="23916"/>
  <c r="CZ149" i="23916"/>
  <c r="CZ147" i="23916"/>
  <c r="CZ146" i="23916"/>
  <c r="CX149" i="23916"/>
  <c r="CX147" i="23916"/>
  <c r="CX146" i="23916"/>
  <c r="CV149" i="23916"/>
  <c r="CV147" i="23916"/>
  <c r="CV146" i="23916"/>
  <c r="CV145" i="23916"/>
  <c r="CT149" i="23916"/>
  <c r="CT147" i="23916"/>
  <c r="CT146" i="23916"/>
  <c r="CR149" i="23916"/>
  <c r="CR147" i="23916"/>
  <c r="CR146" i="23916"/>
  <c r="CP149" i="23916"/>
  <c r="CP147" i="23916"/>
  <c r="CP146" i="23916"/>
  <c r="CN149" i="23916"/>
  <c r="CN147" i="23916"/>
  <c r="CN146" i="23916"/>
  <c r="CN145" i="23916"/>
  <c r="CL149" i="23916"/>
  <c r="CL147" i="23916"/>
  <c r="CL146" i="23916"/>
  <c r="CJ149" i="23916"/>
  <c r="CJ147" i="23916"/>
  <c r="CJ146" i="23916"/>
  <c r="CH149" i="23916"/>
  <c r="CH147" i="23916"/>
  <c r="CH146" i="23916"/>
  <c r="CF149" i="23916"/>
  <c r="CF147" i="23916"/>
  <c r="CF146" i="23916"/>
  <c r="CF145" i="23916"/>
  <c r="CD149" i="23916"/>
  <c r="CD147" i="23916"/>
  <c r="CD146" i="23916"/>
  <c r="CB149" i="23916"/>
  <c r="CB147" i="23916"/>
  <c r="CB146" i="23916"/>
  <c r="BZ149" i="23916"/>
  <c r="BZ147" i="23916"/>
  <c r="BZ146" i="23916"/>
  <c r="BX149" i="23916"/>
  <c r="BX147" i="23916"/>
  <c r="BX146" i="23916"/>
  <c r="BX145" i="23916"/>
  <c r="BV149" i="23916"/>
  <c r="BV147" i="23916"/>
  <c r="BV146" i="23916"/>
  <c r="BT149" i="23916"/>
  <c r="BT147" i="23916"/>
  <c r="BT146" i="23916"/>
  <c r="BR149" i="23916"/>
  <c r="BR147" i="23916"/>
  <c r="BR146" i="23916"/>
  <c r="BP149" i="23916"/>
  <c r="BP147" i="23916"/>
  <c r="BP146" i="23916"/>
  <c r="BP145" i="23916"/>
  <c r="BN149" i="23916"/>
  <c r="BN147" i="23916"/>
  <c r="BN146" i="23916"/>
  <c r="BL149" i="23916"/>
  <c r="BL147" i="23916"/>
  <c r="BL146" i="23916"/>
  <c r="BJ149" i="23916"/>
  <c r="BJ147" i="23916"/>
  <c r="BJ146" i="23916"/>
  <c r="BH149" i="23916"/>
  <c r="BH147" i="23916"/>
  <c r="BH146" i="23916"/>
  <c r="BH145" i="23916"/>
  <c r="BF149" i="23916"/>
  <c r="BF147" i="23916"/>
  <c r="BF146" i="23916"/>
  <c r="BD149" i="23916"/>
  <c r="BD147" i="23916"/>
  <c r="BD146" i="23916"/>
  <c r="BB149" i="23916"/>
  <c r="BB147" i="23916"/>
  <c r="BB146" i="23916"/>
  <c r="AZ149" i="23916"/>
  <c r="AZ147" i="23916"/>
  <c r="AZ146" i="23916"/>
  <c r="AZ145" i="23916"/>
  <c r="AX149" i="23916"/>
  <c r="AX147" i="23916"/>
  <c r="AX146" i="23916"/>
  <c r="AV149" i="23916"/>
  <c r="AV147" i="23916"/>
  <c r="AV146" i="23916"/>
  <c r="AT149" i="23916"/>
  <c r="AT147" i="23916"/>
  <c r="AT146" i="23916"/>
  <c r="AR149" i="23916"/>
  <c r="AR147" i="23916"/>
  <c r="AR146" i="23916"/>
  <c r="AR145" i="23916"/>
  <c r="EO148" i="23916"/>
  <c r="EO495" i="23916" s="1"/>
  <c r="EM148" i="23916"/>
  <c r="EM495" i="23916" s="1"/>
  <c r="EK148" i="23916"/>
  <c r="EK495" i="23916" s="1"/>
  <c r="EI148" i="23916"/>
  <c r="GN148" i="23916" s="1"/>
  <c r="EG148" i="23916"/>
  <c r="EG495" i="23916" s="1"/>
  <c r="EE148" i="23916"/>
  <c r="EE495" i="23916" s="1"/>
  <c r="EF495" i="23916" s="1"/>
  <c r="EC148" i="23916"/>
  <c r="EC495" i="23916" s="1"/>
  <c r="EA148" i="23916"/>
  <c r="DY148" i="23916"/>
  <c r="DY495" i="23916" s="1"/>
  <c r="DX148" i="23916"/>
  <c r="DX495" i="23916" s="1"/>
  <c r="DW148" i="23916"/>
  <c r="DW495" i="23916" s="1"/>
  <c r="DU148" i="23916"/>
  <c r="DU495" i="23916" s="1"/>
  <c r="DS148" i="23916"/>
  <c r="DS495" i="23916" s="1"/>
  <c r="DQ148" i="23916"/>
  <c r="DQ495" i="23916" s="1"/>
  <c r="DO148" i="23916"/>
  <c r="DO495" i="23916" s="1"/>
  <c r="DM148" i="23916"/>
  <c r="DK148" i="23916"/>
  <c r="DK495" i="23916" s="1"/>
  <c r="DI148" i="23916"/>
  <c r="DI495" i="23916" s="1"/>
  <c r="DG148" i="23916"/>
  <c r="DG495" i="23916" s="1"/>
  <c r="DE148" i="23916"/>
  <c r="DE495" i="23916" s="1"/>
  <c r="DC148" i="23916"/>
  <c r="DC495" i="23916" s="1"/>
  <c r="DA148" i="23916"/>
  <c r="DA495" i="23916" s="1"/>
  <c r="CY148" i="23916"/>
  <c r="CY495" i="23916" s="1"/>
  <c r="CW148" i="23916"/>
  <c r="CX148" i="23916" s="1"/>
  <c r="CU148" i="23916"/>
  <c r="CU495" i="23916" s="1"/>
  <c r="CS148" i="23916"/>
  <c r="CS495" i="23916" s="1"/>
  <c r="CO148" i="23916"/>
  <c r="CO495" i="23916" s="1"/>
  <c r="CP495" i="23916" s="1"/>
  <c r="CM148" i="23916"/>
  <c r="CM495" i="23916" s="1"/>
  <c r="CK148" i="23916"/>
  <c r="CK495" i="23916" s="1"/>
  <c r="CG148" i="23916"/>
  <c r="CG495" i="23916" s="1"/>
  <c r="CC148" i="23916"/>
  <c r="CC495" i="23916" s="1"/>
  <c r="BY148" i="23916"/>
  <c r="BY495" i="23916" s="1"/>
  <c r="BZ495" i="23916" s="1"/>
  <c r="BU148" i="23916"/>
  <c r="BU495" i="23916" s="1"/>
  <c r="BQ148" i="23916"/>
  <c r="BQ495" i="23916" s="1"/>
  <c r="BM148" i="23916"/>
  <c r="BM495" i="23916" s="1"/>
  <c r="BI148" i="23916"/>
  <c r="BI495" i="23916" s="1"/>
  <c r="BJ495" i="23916" s="1"/>
  <c r="BE148" i="23916"/>
  <c r="BE495" i="23916" s="1"/>
  <c r="BA148" i="23916"/>
  <c r="BA495" i="23916" s="1"/>
  <c r="AW148" i="23916"/>
  <c r="AW495" i="23916" s="1"/>
  <c r="AX495" i="23916" s="1"/>
  <c r="AS148" i="23916"/>
  <c r="AS495" i="23916" s="1"/>
  <c r="AT495" i="23916" s="1"/>
  <c r="FP150" i="23916"/>
  <c r="FQ150" i="23916" s="1"/>
  <c r="FQ149" i="23916"/>
  <c r="FP149" i="23916"/>
  <c r="GO147" i="23916"/>
  <c r="GN147" i="23916"/>
  <c r="GN164" i="23916" s="1"/>
  <c r="GO164" i="23916" s="1"/>
  <c r="GM147" i="23916"/>
  <c r="GL147" i="23916"/>
  <c r="GL164" i="23916" s="1"/>
  <c r="GK147" i="23916"/>
  <c r="GJ147" i="23916"/>
  <c r="GJ164" i="23916" s="1"/>
  <c r="GK164" i="23916" s="1"/>
  <c r="GI147" i="23916"/>
  <c r="GH147" i="23916"/>
  <c r="GH164" i="23916" s="1"/>
  <c r="GG147" i="23916"/>
  <c r="GF147" i="23916"/>
  <c r="GF164" i="23916" s="1"/>
  <c r="GE147" i="23916"/>
  <c r="GD147" i="23916"/>
  <c r="GD164" i="23916" s="1"/>
  <c r="GC147" i="23916"/>
  <c r="GB147" i="23916"/>
  <c r="GA147" i="23916"/>
  <c r="FZ147" i="23916"/>
  <c r="FZ164" i="23916" s="1"/>
  <c r="FY147" i="23916"/>
  <c r="FX147" i="23916"/>
  <c r="FW147" i="23916"/>
  <c r="FV147" i="23916"/>
  <c r="FV164" i="23916" s="1"/>
  <c r="FU147" i="23916"/>
  <c r="FT147" i="23916"/>
  <c r="FS147" i="23916"/>
  <c r="FR147" i="23916"/>
  <c r="FR164" i="23916" s="1"/>
  <c r="FQ147" i="23916"/>
  <c r="FP147" i="23916"/>
  <c r="FP164" i="23916" s="1"/>
  <c r="GN146" i="23916"/>
  <c r="GL146" i="23916"/>
  <c r="GM146" i="23916" s="1"/>
  <c r="GJ146" i="23916"/>
  <c r="GH146" i="23916"/>
  <c r="GI146" i="23916" s="1"/>
  <c r="GF146" i="23916"/>
  <c r="GD146" i="23916"/>
  <c r="GE146" i="23916" s="1"/>
  <c r="GB146" i="23916"/>
  <c r="FZ146" i="23916"/>
  <c r="GA146" i="23916" s="1"/>
  <c r="FX146" i="23916"/>
  <c r="FV146" i="23916"/>
  <c r="FW146" i="23916" s="1"/>
  <c r="FT146" i="23916"/>
  <c r="FR146" i="23916"/>
  <c r="FS146" i="23916" s="1"/>
  <c r="FP146" i="23916"/>
  <c r="FQ146" i="23916" s="1"/>
  <c r="GO145" i="23916"/>
  <c r="GN145" i="23916"/>
  <c r="GM145" i="23916"/>
  <c r="GL145" i="23916"/>
  <c r="GK145" i="23916"/>
  <c r="GJ145" i="23916"/>
  <c r="GI145" i="23916"/>
  <c r="GH145" i="23916"/>
  <c r="GG145" i="23916"/>
  <c r="GF145" i="23916"/>
  <c r="GD145" i="23916"/>
  <c r="EP149" i="23916"/>
  <c r="EQ148" i="23916"/>
  <c r="EP148" i="23916"/>
  <c r="EP147" i="23916"/>
  <c r="EP146" i="23916"/>
  <c r="EP145" i="23916"/>
  <c r="CQ145" i="23916"/>
  <c r="CZ145" i="23916" s="1"/>
  <c r="CO145" i="23916"/>
  <c r="CX145" i="23916" s="1"/>
  <c r="CK145" i="23916"/>
  <c r="CI145" i="23916"/>
  <c r="CG145" i="23916"/>
  <c r="CH145" i="23916" s="1"/>
  <c r="CE145" i="23916"/>
  <c r="CC145" i="23916"/>
  <c r="CA145" i="23916"/>
  <c r="BY145" i="23916"/>
  <c r="BZ145" i="23916" s="1"/>
  <c r="BW145" i="23916"/>
  <c r="BU145" i="23916"/>
  <c r="BS145" i="23916"/>
  <c r="BQ145" i="23916"/>
  <c r="BR145" i="23916" s="1"/>
  <c r="BO145" i="23916"/>
  <c r="BM145" i="23916"/>
  <c r="BK145" i="23916"/>
  <c r="BI145" i="23916"/>
  <c r="BJ145" i="23916" s="1"/>
  <c r="BG145" i="23916"/>
  <c r="BE145" i="23916"/>
  <c r="BF145" i="23916" s="1"/>
  <c r="BC145" i="23916"/>
  <c r="BA145" i="23916"/>
  <c r="BB145" i="23916" s="1"/>
  <c r="AY145" i="23916"/>
  <c r="AY148" i="23916" s="1"/>
  <c r="AW145" i="23916"/>
  <c r="AX145" i="23916" s="1"/>
  <c r="AU145" i="23916"/>
  <c r="AS145" i="23916"/>
  <c r="AT145" i="23916" s="1"/>
  <c r="AQ145" i="23916"/>
  <c r="GZ144" i="23916"/>
  <c r="GR142" i="23916"/>
  <c r="GT142" i="23916" s="1"/>
  <c r="GV142" i="23916" s="1"/>
  <c r="GX142" i="23916" s="1"/>
  <c r="GZ142" i="23916" s="1"/>
  <c r="BY142" i="23916"/>
  <c r="BQ142" i="23916"/>
  <c r="BI142" i="23916"/>
  <c r="BG140" i="23916"/>
  <c r="BG139" i="23916"/>
  <c r="FT140" i="23916"/>
  <c r="GD137" i="23916"/>
  <c r="EO137" i="23916"/>
  <c r="EM137" i="23916"/>
  <c r="EM743" i="23916" s="1"/>
  <c r="EK137" i="23916"/>
  <c r="EI137" i="23916"/>
  <c r="EI743" i="23916" s="1"/>
  <c r="EG137" i="23916"/>
  <c r="EE137" i="23916"/>
  <c r="EE743" i="23916" s="1"/>
  <c r="EC137" i="23916"/>
  <c r="EA137" i="23916"/>
  <c r="EA743" i="23916" s="1"/>
  <c r="DY137" i="23916"/>
  <c r="DX137" i="23916"/>
  <c r="DW137" i="23916"/>
  <c r="DW743" i="23916" s="1"/>
  <c r="DU137" i="23916"/>
  <c r="DS137" i="23916"/>
  <c r="DS743" i="23916" s="1"/>
  <c r="DQ137" i="23916"/>
  <c r="DO137" i="23916"/>
  <c r="DO743" i="23916" s="1"/>
  <c r="DM137" i="23916"/>
  <c r="DK137" i="23916"/>
  <c r="DK743" i="23916" s="1"/>
  <c r="DI137" i="23916"/>
  <c r="DG137" i="23916"/>
  <c r="DG743" i="23916" s="1"/>
  <c r="DE137" i="23916"/>
  <c r="DC137" i="23916"/>
  <c r="DC743" i="23916" s="1"/>
  <c r="DA137" i="23916"/>
  <c r="CY137" i="23916"/>
  <c r="CY743" i="23916" s="1"/>
  <c r="CW137" i="23916"/>
  <c r="CU137" i="23916"/>
  <c r="CU743" i="23916" s="1"/>
  <c r="CS137" i="23916"/>
  <c r="CQ137" i="23916"/>
  <c r="CQ743" i="23916" s="1"/>
  <c r="CO137" i="23916"/>
  <c r="CM137" i="23916"/>
  <c r="CM743" i="23916" s="1"/>
  <c r="CK137" i="23916"/>
  <c r="CI137" i="23916"/>
  <c r="CI743" i="23916" s="1"/>
  <c r="CG137" i="23916"/>
  <c r="CE137" i="23916"/>
  <c r="CE743" i="23916" s="1"/>
  <c r="CC137" i="23916"/>
  <c r="CA137" i="23916"/>
  <c r="CA743" i="23916" s="1"/>
  <c r="BY137" i="23916"/>
  <c r="BW137" i="23916"/>
  <c r="BW743" i="23916" s="1"/>
  <c r="BU137" i="23916"/>
  <c r="BS137" i="23916"/>
  <c r="BS743" i="23916" s="1"/>
  <c r="BQ137" i="23916"/>
  <c r="BO137" i="23916"/>
  <c r="BO743" i="23916" s="1"/>
  <c r="BM137" i="23916"/>
  <c r="BK137" i="23916"/>
  <c r="BK743" i="23916" s="1"/>
  <c r="BI137" i="23916"/>
  <c r="BG137" i="23916"/>
  <c r="BG743" i="23916" s="1"/>
  <c r="CK135" i="23916"/>
  <c r="CK154" i="23916" s="1"/>
  <c r="CG135" i="23916"/>
  <c r="CG154" i="23916" s="1"/>
  <c r="CC135" i="23916"/>
  <c r="BY135" i="23916"/>
  <c r="BU135" i="23916"/>
  <c r="BU154" i="23916" s="1"/>
  <c r="BQ135" i="23916"/>
  <c r="BQ154" i="23916" s="1"/>
  <c r="BM135" i="23916"/>
  <c r="BI135" i="23916"/>
  <c r="BG135" i="23916"/>
  <c r="BG155" i="23916" s="1"/>
  <c r="CO134" i="23916"/>
  <c r="CO135" i="23916" s="1"/>
  <c r="CN134" i="23916"/>
  <c r="CL134" i="23916"/>
  <c r="CJ134" i="23916"/>
  <c r="CH134" i="23916"/>
  <c r="CF134" i="23916"/>
  <c r="CD134" i="23916"/>
  <c r="CB134" i="23916"/>
  <c r="BZ134" i="23916"/>
  <c r="BX134" i="23916"/>
  <c r="BV134" i="23916"/>
  <c r="BT134" i="23916"/>
  <c r="BR134" i="23916"/>
  <c r="BP134" i="23916"/>
  <c r="BN134" i="23916"/>
  <c r="BL134" i="23916"/>
  <c r="BJ134" i="23916"/>
  <c r="BH134" i="23916"/>
  <c r="EN133" i="23916"/>
  <c r="EN132" i="23916"/>
  <c r="EN131" i="23916"/>
  <c r="EN130" i="23916"/>
  <c r="EL133" i="23916"/>
  <c r="EL132" i="23916"/>
  <c r="EL131" i="23916"/>
  <c r="EL130" i="23916"/>
  <c r="EJ133" i="23916"/>
  <c r="EJ132" i="23916"/>
  <c r="EJ131" i="23916"/>
  <c r="EJ130" i="23916"/>
  <c r="EH133" i="23916"/>
  <c r="EH132" i="23916"/>
  <c r="EH131" i="23916"/>
  <c r="EH130" i="23916"/>
  <c r="EF133" i="23916"/>
  <c r="EF132" i="23916"/>
  <c r="EF131" i="23916"/>
  <c r="EF130" i="23916"/>
  <c r="ED133" i="23916"/>
  <c r="ED132" i="23916"/>
  <c r="ED131" i="23916"/>
  <c r="ED130" i="23916"/>
  <c r="EB133" i="23916"/>
  <c r="EB132" i="23916"/>
  <c r="EB131" i="23916"/>
  <c r="EB130" i="23916"/>
  <c r="DZ133" i="23916"/>
  <c r="DZ132" i="23916"/>
  <c r="DZ131" i="23916"/>
  <c r="DZ130" i="23916"/>
  <c r="DV133" i="23916"/>
  <c r="DV132" i="23916"/>
  <c r="DV131" i="23916"/>
  <c r="DV130" i="23916"/>
  <c r="DT133" i="23916"/>
  <c r="DT132" i="23916"/>
  <c r="DT131" i="23916"/>
  <c r="DT130" i="23916"/>
  <c r="DR133" i="23916"/>
  <c r="DR132" i="23916"/>
  <c r="DR131" i="23916"/>
  <c r="DR130" i="23916"/>
  <c r="DP133" i="23916"/>
  <c r="DP132" i="23916"/>
  <c r="DP131" i="23916"/>
  <c r="DP130" i="23916"/>
  <c r="DN133" i="23916"/>
  <c r="DN132" i="23916"/>
  <c r="DN131" i="23916"/>
  <c r="DN130" i="23916"/>
  <c r="DL133" i="23916"/>
  <c r="DL132" i="23916"/>
  <c r="DL131" i="23916"/>
  <c r="DL130" i="23916"/>
  <c r="DJ133" i="23916"/>
  <c r="DJ132" i="23916"/>
  <c r="DJ131" i="23916"/>
  <c r="DJ130" i="23916"/>
  <c r="DH133" i="23916"/>
  <c r="DH132" i="23916"/>
  <c r="DH131" i="23916"/>
  <c r="DH130" i="23916"/>
  <c r="DF133" i="23916"/>
  <c r="DF132" i="23916"/>
  <c r="DF131" i="23916"/>
  <c r="DF130" i="23916"/>
  <c r="DD133" i="23916"/>
  <c r="DD132" i="23916"/>
  <c r="DD131" i="23916"/>
  <c r="DD130" i="23916"/>
  <c r="DB133" i="23916"/>
  <c r="DB132" i="23916"/>
  <c r="DB131" i="23916"/>
  <c r="DB130" i="23916"/>
  <c r="CZ133" i="23916"/>
  <c r="CZ132" i="23916"/>
  <c r="CZ131" i="23916"/>
  <c r="CZ130" i="23916"/>
  <c r="CX133" i="23916"/>
  <c r="CX132" i="23916"/>
  <c r="CX131" i="23916"/>
  <c r="CX130" i="23916"/>
  <c r="CV133" i="23916"/>
  <c r="CV131" i="23916"/>
  <c r="CV130" i="23916"/>
  <c r="CT133" i="23916"/>
  <c r="CT131" i="23916"/>
  <c r="CT130" i="23916"/>
  <c r="CR133" i="23916"/>
  <c r="CR131" i="23916"/>
  <c r="CR130" i="23916"/>
  <c r="CP133" i="23916"/>
  <c r="CP131" i="23916"/>
  <c r="CP130" i="23916"/>
  <c r="CP129" i="23916"/>
  <c r="CM132" i="23916"/>
  <c r="CK132" i="23916"/>
  <c r="CK141" i="23916" s="1"/>
  <c r="CK142" i="23916" s="1"/>
  <c r="CI132" i="23916"/>
  <c r="CG132" i="23916"/>
  <c r="CP132" i="23916" s="1"/>
  <c r="CE132" i="23916"/>
  <c r="CC132" i="23916"/>
  <c r="CC141" i="23916" s="1"/>
  <c r="CC142" i="23916" s="1"/>
  <c r="CA132" i="23916"/>
  <c r="BY132" i="23916"/>
  <c r="BY141" i="23916" s="1"/>
  <c r="BW132" i="23916"/>
  <c r="BU132" i="23916"/>
  <c r="BU141" i="23916" s="1"/>
  <c r="BU142" i="23916" s="1"/>
  <c r="BS132" i="23916"/>
  <c r="BQ132" i="23916"/>
  <c r="BQ141" i="23916" s="1"/>
  <c r="BO132" i="23916"/>
  <c r="BM132" i="23916"/>
  <c r="BM141" i="23916" s="1"/>
  <c r="BM142" i="23916" s="1"/>
  <c r="BK132" i="23916"/>
  <c r="BI132" i="23916"/>
  <c r="BI141" i="23916" s="1"/>
  <c r="BG132" i="23916"/>
  <c r="FT132" i="23916" s="1"/>
  <c r="EP133" i="23916"/>
  <c r="EP132" i="23916"/>
  <c r="EP131" i="23916"/>
  <c r="CN131" i="23916"/>
  <c r="CN130" i="23916"/>
  <c r="CL131" i="23916"/>
  <c r="CL130" i="23916"/>
  <c r="CJ131" i="23916"/>
  <c r="CJ130" i="23916"/>
  <c r="CJ129" i="23916"/>
  <c r="CH131" i="23916"/>
  <c r="CH130" i="23916"/>
  <c r="CF131" i="23916"/>
  <c r="CF130" i="23916"/>
  <c r="CD131" i="23916"/>
  <c r="CD130" i="23916"/>
  <c r="CB131" i="23916"/>
  <c r="CB130" i="23916"/>
  <c r="CB129" i="23916"/>
  <c r="BZ131" i="23916"/>
  <c r="BZ130" i="23916"/>
  <c r="BX131" i="23916"/>
  <c r="BX130" i="23916"/>
  <c r="BV131" i="23916"/>
  <c r="BV130" i="23916"/>
  <c r="BT131" i="23916"/>
  <c r="BT130" i="23916"/>
  <c r="BT129" i="23916"/>
  <c r="BR131" i="23916"/>
  <c r="BR130" i="23916"/>
  <c r="BP131" i="23916"/>
  <c r="BP130" i="23916"/>
  <c r="BN131" i="23916"/>
  <c r="BN130" i="23916"/>
  <c r="BL131" i="23916"/>
  <c r="BL130" i="23916"/>
  <c r="BL129" i="23916"/>
  <c r="BJ131" i="23916"/>
  <c r="BJ130" i="23916"/>
  <c r="BH131" i="23916"/>
  <c r="BH130" i="23916"/>
  <c r="BH129" i="23916"/>
  <c r="EX130" i="23916"/>
  <c r="EV130" i="23916"/>
  <c r="ET130" i="23916"/>
  <c r="ER130" i="23916"/>
  <c r="EP130" i="23916"/>
  <c r="GO133" i="23916"/>
  <c r="GN133" i="23916"/>
  <c r="GM133" i="23916"/>
  <c r="GL133" i="23916"/>
  <c r="GK133" i="23916"/>
  <c r="GJ133" i="23916"/>
  <c r="GI133" i="23916"/>
  <c r="GH133" i="23916"/>
  <c r="GG133" i="23916"/>
  <c r="GF133" i="23916"/>
  <c r="GE133" i="23916"/>
  <c r="GD133" i="23916"/>
  <c r="GC133" i="23916"/>
  <c r="GB133" i="23916"/>
  <c r="GA133" i="23916"/>
  <c r="FZ133" i="23916"/>
  <c r="FY133" i="23916"/>
  <c r="FX133" i="23916"/>
  <c r="FW133" i="23916"/>
  <c r="FV133" i="23916"/>
  <c r="FU133" i="23916"/>
  <c r="FT133" i="23916"/>
  <c r="GN132" i="23916"/>
  <c r="GL132" i="23916"/>
  <c r="GJ132" i="23916"/>
  <c r="GH132" i="23916"/>
  <c r="GF132" i="23916"/>
  <c r="GD132" i="23916"/>
  <c r="FX132" i="23916"/>
  <c r="GO131" i="23916"/>
  <c r="GN131" i="23916"/>
  <c r="GM131" i="23916"/>
  <c r="GL131" i="23916"/>
  <c r="GK131" i="23916"/>
  <c r="GJ131" i="23916"/>
  <c r="GI131" i="23916"/>
  <c r="GH131" i="23916"/>
  <c r="GG131" i="23916"/>
  <c r="GF131" i="23916"/>
  <c r="GE131" i="23916"/>
  <c r="GD131" i="23916"/>
  <c r="GC131" i="23916"/>
  <c r="GB131" i="23916"/>
  <c r="GA131" i="23916"/>
  <c r="FZ131" i="23916"/>
  <c r="FY131" i="23916"/>
  <c r="FX131" i="23916"/>
  <c r="FW131" i="23916"/>
  <c r="FV131" i="23916"/>
  <c r="FU131" i="23916"/>
  <c r="FT131" i="23916"/>
  <c r="FT139" i="23916" s="1"/>
  <c r="GP130" i="23916"/>
  <c r="GN130" i="23916"/>
  <c r="GN137" i="23916" s="1"/>
  <c r="GL130" i="23916"/>
  <c r="GM130" i="23916" s="1"/>
  <c r="GJ130" i="23916"/>
  <c r="GJ137" i="23916" s="1"/>
  <c r="GH130" i="23916"/>
  <c r="GI130" i="23916" s="1"/>
  <c r="GF130" i="23916"/>
  <c r="GF137" i="23916" s="1"/>
  <c r="GD130" i="23916"/>
  <c r="GE130" i="23916" s="1"/>
  <c r="GB130" i="23916"/>
  <c r="GB137" i="23916" s="1"/>
  <c r="FZ130" i="23916"/>
  <c r="GA130" i="23916" s="1"/>
  <c r="FX130" i="23916"/>
  <c r="FX137" i="23916" s="1"/>
  <c r="FV130" i="23916"/>
  <c r="FW130" i="23916" s="1"/>
  <c r="FT130" i="23916"/>
  <c r="FT137" i="23916" s="1"/>
  <c r="FU129" i="23916"/>
  <c r="FT129" i="23916"/>
  <c r="CO129" i="23916"/>
  <c r="CO140" i="23916" s="1"/>
  <c r="CM129" i="23916"/>
  <c r="CK129" i="23916"/>
  <c r="CK140" i="23916" s="1"/>
  <c r="CI129" i="23916"/>
  <c r="CI140" i="23916" s="1"/>
  <c r="CG129" i="23916"/>
  <c r="CG140" i="23916" s="1"/>
  <c r="CE129" i="23916"/>
  <c r="CC129" i="23916"/>
  <c r="CC140" i="23916" s="1"/>
  <c r="CA129" i="23916"/>
  <c r="CA140" i="23916" s="1"/>
  <c r="BY129" i="23916"/>
  <c r="BY140" i="23916" s="1"/>
  <c r="BW129" i="23916"/>
  <c r="BU129" i="23916"/>
  <c r="BU140" i="23916" s="1"/>
  <c r="BS129" i="23916"/>
  <c r="BS140" i="23916" s="1"/>
  <c r="BQ129" i="23916"/>
  <c r="BQ140" i="23916" s="1"/>
  <c r="BO129" i="23916"/>
  <c r="BM129" i="23916"/>
  <c r="BM140" i="23916" s="1"/>
  <c r="BK129" i="23916"/>
  <c r="BK140" i="23916" s="1"/>
  <c r="BI129" i="23916"/>
  <c r="BI140" i="23916" s="1"/>
  <c r="GZ127" i="23916"/>
  <c r="GZ126" i="23916"/>
  <c r="GZ124" i="23916"/>
  <c r="GZ121" i="23916"/>
  <c r="GZ120" i="23916"/>
  <c r="GY117" i="23916"/>
  <c r="GW117" i="23916"/>
  <c r="GU117" i="23916"/>
  <c r="GP117" i="23916"/>
  <c r="GQ117" i="23916" s="1"/>
  <c r="GN117" i="23916"/>
  <c r="GZ117" i="23916" s="1"/>
  <c r="GL117" i="23916"/>
  <c r="GM117" i="23916" s="1"/>
  <c r="GJ117" i="23916"/>
  <c r="GH117" i="23916"/>
  <c r="GI117" i="23916" s="1"/>
  <c r="GF117" i="23916"/>
  <c r="GD117" i="23916"/>
  <c r="GE117" i="23916" s="1"/>
  <c r="GB117" i="23916"/>
  <c r="FZ117" i="23916"/>
  <c r="GA117" i="23916" s="1"/>
  <c r="FX117" i="23916"/>
  <c r="FV117" i="23916"/>
  <c r="FW117" i="23916" s="1"/>
  <c r="FT117" i="23916"/>
  <c r="FR117" i="23916"/>
  <c r="FS117" i="23916" s="1"/>
  <c r="FP117" i="23916"/>
  <c r="FQ117" i="23916" s="1"/>
  <c r="EX117" i="23916"/>
  <c r="EV117" i="23916"/>
  <c r="ET117" i="23916"/>
  <c r="ER117" i="23916"/>
  <c r="EP117" i="23916"/>
  <c r="EN117" i="23916"/>
  <c r="EN114" i="23916"/>
  <c r="EL117" i="23916"/>
  <c r="EL114" i="23916"/>
  <c r="EJ117" i="23916"/>
  <c r="EJ114" i="23916"/>
  <c r="EH117" i="23916"/>
  <c r="EH114" i="23916"/>
  <c r="EF117" i="23916"/>
  <c r="EE117" i="23916"/>
  <c r="ED117" i="23916"/>
  <c r="EB117" i="23916"/>
  <c r="EB114" i="23916"/>
  <c r="DZ117" i="23916"/>
  <c r="DZ114" i="23916"/>
  <c r="DV117" i="23916"/>
  <c r="DV114" i="23916"/>
  <c r="DT117" i="23916"/>
  <c r="DT114" i="23916"/>
  <c r="DR117" i="23916"/>
  <c r="DR114" i="23916"/>
  <c r="DP117" i="23916"/>
  <c r="DP114" i="23916"/>
  <c r="DN117" i="23916"/>
  <c r="DN114" i="23916"/>
  <c r="DL117" i="23916"/>
  <c r="DJ117" i="23916"/>
  <c r="DH117" i="23916"/>
  <c r="DF117" i="23916"/>
  <c r="DD117" i="23916"/>
  <c r="DB117" i="23916"/>
  <c r="CZ117" i="23916"/>
  <c r="CX117" i="23916"/>
  <c r="CW117" i="23916"/>
  <c r="CW537" i="23916" s="1"/>
  <c r="CV117" i="23916"/>
  <c r="CT117" i="23916"/>
  <c r="CR117" i="23916"/>
  <c r="CP117" i="23916"/>
  <c r="CN117" i="23916"/>
  <c r="CL117" i="23916"/>
  <c r="CJ117" i="23916"/>
  <c r="CH117" i="23916"/>
  <c r="CF117" i="23916"/>
  <c r="CD117" i="23916"/>
  <c r="CB117" i="23916"/>
  <c r="BZ117" i="23916"/>
  <c r="BX117" i="23916"/>
  <c r="BV117" i="23916"/>
  <c r="BT117" i="23916"/>
  <c r="BR117" i="23916"/>
  <c r="BP117" i="23916"/>
  <c r="BN117" i="23916"/>
  <c r="BJ117" i="23916"/>
  <c r="BH117" i="23916"/>
  <c r="BF117" i="23916"/>
  <c r="BC117" i="23916"/>
  <c r="BB117" i="23916"/>
  <c r="AZ117" i="23916"/>
  <c r="AX117" i="23916"/>
  <c r="AV117" i="23916"/>
  <c r="AT117" i="23916"/>
  <c r="AR117" i="23916"/>
  <c r="ES115" i="23916"/>
  <c r="DG116" i="23916"/>
  <c r="CE116" i="23916"/>
  <c r="DW115" i="23916"/>
  <c r="EF114" i="23916"/>
  <c r="ED114" i="23916"/>
  <c r="DL114" i="23916"/>
  <c r="DJ114" i="23916"/>
  <c r="DH114" i="23916"/>
  <c r="DF114" i="23916"/>
  <c r="DD114" i="23916"/>
  <c r="DB114" i="23916"/>
  <c r="CZ114" i="23916"/>
  <c r="CX114" i="23916"/>
  <c r="CV114" i="23916"/>
  <c r="CT114" i="23916"/>
  <c r="CR114" i="23916"/>
  <c r="CP114" i="23916"/>
  <c r="CN114" i="23916"/>
  <c r="CL114" i="23916"/>
  <c r="CJ114" i="23916"/>
  <c r="CH114" i="23916"/>
  <c r="CF114" i="23916"/>
  <c r="CD114" i="23916"/>
  <c r="CB114" i="23916"/>
  <c r="BZ114" i="23916"/>
  <c r="BX114" i="23916"/>
  <c r="BV114" i="23916"/>
  <c r="BT114" i="23916"/>
  <c r="BR114" i="23916"/>
  <c r="BP114" i="23916"/>
  <c r="BN114" i="23916"/>
  <c r="BL114" i="23916"/>
  <c r="BJ114" i="23916"/>
  <c r="BH114" i="23916"/>
  <c r="BF114" i="23916"/>
  <c r="BD114" i="23916"/>
  <c r="BB114" i="23916"/>
  <c r="AZ114" i="23916"/>
  <c r="AX114" i="23916"/>
  <c r="AV114" i="23916"/>
  <c r="AT114" i="23916"/>
  <c r="AR114" i="23916"/>
  <c r="GN114" i="23916"/>
  <c r="GO114" i="23916" s="1"/>
  <c r="GL114" i="23916"/>
  <c r="GJ114" i="23916"/>
  <c r="GH114" i="23916"/>
  <c r="GF114" i="23916"/>
  <c r="GG114" i="23916" s="1"/>
  <c r="GD114" i="23916"/>
  <c r="GB114" i="23916"/>
  <c r="FZ114" i="23916"/>
  <c r="FX114" i="23916"/>
  <c r="FY114" i="23916" s="1"/>
  <c r="FV114" i="23916"/>
  <c r="FT114" i="23916"/>
  <c r="FR114" i="23916"/>
  <c r="FP114" i="23916"/>
  <c r="FQ114" i="23916" s="1"/>
  <c r="EP114" i="23916"/>
  <c r="GZ112" i="23916"/>
  <c r="GZ111" i="23916"/>
  <c r="GZ108" i="23916"/>
  <c r="GZ107" i="23916"/>
  <c r="GZ100" i="23916"/>
  <c r="GZ99" i="23916"/>
  <c r="GZ98" i="23916"/>
  <c r="GZ97" i="23916"/>
  <c r="GZ96" i="23916"/>
  <c r="ES110" i="23916"/>
  <c r="EU109" i="23916"/>
  <c r="EW109" i="23916" s="1"/>
  <c r="ES109" i="23916"/>
  <c r="DO109" i="23916"/>
  <c r="CY109" i="23916"/>
  <c r="CI109" i="23916"/>
  <c r="BS109" i="23916"/>
  <c r="BC109" i="23916"/>
  <c r="FN106" i="23916"/>
  <c r="CN106" i="23916"/>
  <c r="BX106" i="23916"/>
  <c r="BH106" i="23916"/>
  <c r="CP105" i="23916"/>
  <c r="CP103" i="23916"/>
  <c r="CP101" i="23916"/>
  <c r="CN105" i="23916"/>
  <c r="CN102" i="23916"/>
  <c r="CN101" i="23916"/>
  <c r="CL105" i="23916"/>
  <c r="CL103" i="23916"/>
  <c r="CL101" i="23916"/>
  <c r="CJ105" i="23916"/>
  <c r="CJ102" i="23916"/>
  <c r="CJ101" i="23916"/>
  <c r="CH105" i="23916"/>
  <c r="CH103" i="23916"/>
  <c r="CH101" i="23916"/>
  <c r="CF105" i="23916"/>
  <c r="CF102" i="23916"/>
  <c r="CF101" i="23916"/>
  <c r="CD105" i="23916"/>
  <c r="CD103" i="23916"/>
  <c r="CD101" i="23916"/>
  <c r="CB105" i="23916"/>
  <c r="CB102" i="23916"/>
  <c r="CB101" i="23916"/>
  <c r="BZ105" i="23916"/>
  <c r="BZ103" i="23916"/>
  <c r="BZ101" i="23916"/>
  <c r="BX105" i="23916"/>
  <c r="BX102" i="23916"/>
  <c r="BX101" i="23916"/>
  <c r="BV105" i="23916"/>
  <c r="BV103" i="23916"/>
  <c r="BV101" i="23916"/>
  <c r="BT105" i="23916"/>
  <c r="BT102" i="23916"/>
  <c r="BT101" i="23916"/>
  <c r="BR105" i="23916"/>
  <c r="BR103" i="23916"/>
  <c r="BR101" i="23916"/>
  <c r="BP105" i="23916"/>
  <c r="BP102" i="23916"/>
  <c r="BP101" i="23916"/>
  <c r="BN105" i="23916"/>
  <c r="BN103" i="23916"/>
  <c r="BN101" i="23916"/>
  <c r="BL105" i="23916"/>
  <c r="BL102" i="23916"/>
  <c r="BL101" i="23916"/>
  <c r="BJ105" i="23916"/>
  <c r="BJ103" i="23916"/>
  <c r="BJ101" i="23916"/>
  <c r="BH105" i="23916"/>
  <c r="BH102" i="23916"/>
  <c r="BH101" i="23916"/>
  <c r="BF105" i="23916"/>
  <c r="BF103" i="23916"/>
  <c r="BF101" i="23916"/>
  <c r="BD105" i="23916"/>
  <c r="BD102" i="23916"/>
  <c r="BD101" i="23916"/>
  <c r="BB105" i="23916"/>
  <c r="BB103" i="23916"/>
  <c r="BB101" i="23916"/>
  <c r="AZ105" i="23916"/>
  <c r="AZ101" i="23916"/>
  <c r="AX105" i="23916"/>
  <c r="AX103" i="23916"/>
  <c r="AX101" i="23916"/>
  <c r="AV105" i="23916"/>
  <c r="AV102" i="23916"/>
  <c r="AV101" i="23916"/>
  <c r="AT105" i="23916"/>
  <c r="AS105" i="23916"/>
  <c r="AR105" i="23916"/>
  <c r="CQ103" i="23916"/>
  <c r="CR103" i="23916" s="1"/>
  <c r="CQ102" i="23916"/>
  <c r="CQ106" i="23916" s="1"/>
  <c r="CQ113" i="23916" s="1"/>
  <c r="CO104" i="23916"/>
  <c r="CO103" i="23916"/>
  <c r="CO102" i="23916"/>
  <c r="CO106" i="23916" s="1"/>
  <c r="CM103" i="23916"/>
  <c r="CM102" i="23916"/>
  <c r="CM106" i="23916" s="1"/>
  <c r="CM113" i="23916" s="1"/>
  <c r="CK104" i="23916"/>
  <c r="CK110" i="23916" s="1"/>
  <c r="CK103" i="23916"/>
  <c r="CK102" i="23916"/>
  <c r="CI103" i="23916"/>
  <c r="CI102" i="23916"/>
  <c r="CI106" i="23916" s="1"/>
  <c r="CI113" i="23916" s="1"/>
  <c r="CG104" i="23916"/>
  <c r="CE103" i="23916"/>
  <c r="CF103" i="23916" s="1"/>
  <c r="CE102" i="23916"/>
  <c r="CE106" i="23916" s="1"/>
  <c r="CE113" i="23916" s="1"/>
  <c r="CC104" i="23916"/>
  <c r="CC103" i="23916"/>
  <c r="CC102" i="23916"/>
  <c r="CC106" i="23916" s="1"/>
  <c r="CC113" i="23916" s="1"/>
  <c r="CA103" i="23916"/>
  <c r="CA102" i="23916"/>
  <c r="CA106" i="23916" s="1"/>
  <c r="CA113" i="23916" s="1"/>
  <c r="BY104" i="23916"/>
  <c r="BY110" i="23916" s="1"/>
  <c r="BY103" i="23916"/>
  <c r="BY102" i="23916"/>
  <c r="BW103" i="23916"/>
  <c r="BX103" i="23916" s="1"/>
  <c r="BW102" i="23916"/>
  <c r="BW106" i="23916" s="1"/>
  <c r="BW113" i="23916" s="1"/>
  <c r="BU104" i="23916"/>
  <c r="BU103" i="23916"/>
  <c r="BU102" i="23916"/>
  <c r="BU106" i="23916" s="1"/>
  <c r="BV106" i="23916" s="1"/>
  <c r="BS103" i="23916"/>
  <c r="BS102" i="23916"/>
  <c r="BS106" i="23916" s="1"/>
  <c r="BS113" i="23916" s="1"/>
  <c r="BQ104" i="23916"/>
  <c r="BQ110" i="23916" s="1"/>
  <c r="BQ103" i="23916"/>
  <c r="BQ102" i="23916"/>
  <c r="BO103" i="23916"/>
  <c r="BP103" i="23916" s="1"/>
  <c r="BO102" i="23916"/>
  <c r="BO106" i="23916" s="1"/>
  <c r="BO113" i="23916" s="1"/>
  <c r="BM104" i="23916"/>
  <c r="BM103" i="23916"/>
  <c r="BM102" i="23916"/>
  <c r="BM106" i="23916" s="1"/>
  <c r="BM113" i="23916" s="1"/>
  <c r="BK103" i="23916"/>
  <c r="BK102" i="23916"/>
  <c r="BK106" i="23916" s="1"/>
  <c r="BK113" i="23916" s="1"/>
  <c r="BI104" i="23916"/>
  <c r="BI110" i="23916" s="1"/>
  <c r="BI103" i="23916"/>
  <c r="BI102" i="23916"/>
  <c r="BG103" i="23916"/>
  <c r="BH103" i="23916" s="1"/>
  <c r="BG102" i="23916"/>
  <c r="BG106" i="23916" s="1"/>
  <c r="BG113" i="23916" s="1"/>
  <c r="BE104" i="23916"/>
  <c r="BE103" i="23916"/>
  <c r="BE102" i="23916"/>
  <c r="BE106" i="23916" s="1"/>
  <c r="BF106" i="23916" s="1"/>
  <c r="BC103" i="23916"/>
  <c r="BC102" i="23916"/>
  <c r="BC106" i="23916" s="1"/>
  <c r="BC113" i="23916" s="1"/>
  <c r="BA104" i="23916"/>
  <c r="BA110" i="23916" s="1"/>
  <c r="BA103" i="23916"/>
  <c r="BA102" i="23916"/>
  <c r="AY103" i="23916"/>
  <c r="AZ103" i="23916" s="1"/>
  <c r="AY102" i="23916"/>
  <c r="AY106" i="23916" s="1"/>
  <c r="AY113" i="23916" s="1"/>
  <c r="AW104" i="23916"/>
  <c r="AW103" i="23916"/>
  <c r="AW102" i="23916"/>
  <c r="AW106" i="23916" s="1"/>
  <c r="AX106" i="23916" s="1"/>
  <c r="EO105" i="23916"/>
  <c r="EM105" i="23916"/>
  <c r="EM106" i="23916" s="1"/>
  <c r="EN106" i="23916" s="1"/>
  <c r="EK105" i="23916"/>
  <c r="EI105" i="23916"/>
  <c r="EI106" i="23916" s="1"/>
  <c r="EI113" i="23916" s="1"/>
  <c r="EG105" i="23916"/>
  <c r="EE105" i="23916"/>
  <c r="EE106" i="23916" s="1"/>
  <c r="EE113" i="23916" s="1"/>
  <c r="EC105" i="23916"/>
  <c r="EA105" i="23916"/>
  <c r="EA106" i="23916" s="1"/>
  <c r="EA113" i="23916" s="1"/>
  <c r="EA115" i="23916" s="1"/>
  <c r="DY105" i="23916"/>
  <c r="DW105" i="23916"/>
  <c r="DW106" i="23916" s="1"/>
  <c r="DW113" i="23916" s="1"/>
  <c r="DU105" i="23916"/>
  <c r="DS105" i="23916"/>
  <c r="DS106" i="23916" s="1"/>
  <c r="DS113" i="23916" s="1"/>
  <c r="DQ105" i="23916"/>
  <c r="DO105" i="23916"/>
  <c r="DO106" i="23916" s="1"/>
  <c r="DO113" i="23916" s="1"/>
  <c r="DO115" i="23916" s="1"/>
  <c r="DM105" i="23916"/>
  <c r="DK105" i="23916"/>
  <c r="DK106" i="23916" s="1"/>
  <c r="DK113" i="23916" s="1"/>
  <c r="DI105" i="23916"/>
  <c r="DG105" i="23916"/>
  <c r="DG106" i="23916" s="1"/>
  <c r="DG113" i="23916" s="1"/>
  <c r="DE105" i="23916"/>
  <c r="DC105" i="23916"/>
  <c r="DC106" i="23916" s="1"/>
  <c r="DC113" i="23916" s="1"/>
  <c r="DA105" i="23916"/>
  <c r="CY105" i="23916"/>
  <c r="CY106" i="23916" s="1"/>
  <c r="CY113" i="23916" s="1"/>
  <c r="CY116" i="23916" s="1"/>
  <c r="CW105" i="23916"/>
  <c r="CU105" i="23916"/>
  <c r="CU106" i="23916" s="1"/>
  <c r="CU113" i="23916" s="1"/>
  <c r="CS105" i="23916"/>
  <c r="CR105" i="23916"/>
  <c r="EQ103" i="23916"/>
  <c r="EO103" i="23916"/>
  <c r="EP103" i="23916" s="1"/>
  <c r="EM103" i="23916"/>
  <c r="EK103" i="23916"/>
  <c r="EL103" i="23916" s="1"/>
  <c r="EI103" i="23916"/>
  <c r="EG103" i="23916"/>
  <c r="EH103" i="23916" s="1"/>
  <c r="EE103" i="23916"/>
  <c r="EC103" i="23916"/>
  <c r="ED103" i="23916" s="1"/>
  <c r="EA103" i="23916"/>
  <c r="DY103" i="23916"/>
  <c r="DZ103" i="23916" s="1"/>
  <c r="DX103" i="23916"/>
  <c r="DW103" i="23916"/>
  <c r="DU103" i="23916"/>
  <c r="DV103" i="23916" s="1"/>
  <c r="DS103" i="23916"/>
  <c r="DQ103" i="23916"/>
  <c r="DR103" i="23916" s="1"/>
  <c r="DO103" i="23916"/>
  <c r="DM103" i="23916"/>
  <c r="DN103" i="23916" s="1"/>
  <c r="DK103" i="23916"/>
  <c r="GH103" i="23916" s="1"/>
  <c r="DI103" i="23916"/>
  <c r="DJ103" i="23916" s="1"/>
  <c r="DG103" i="23916"/>
  <c r="DE103" i="23916"/>
  <c r="DF103" i="23916" s="1"/>
  <c r="DC103" i="23916"/>
  <c r="DA103" i="23916"/>
  <c r="DB103" i="23916" s="1"/>
  <c r="CY103" i="23916"/>
  <c r="CZ103" i="23916" s="1"/>
  <c r="CW103" i="23916"/>
  <c r="CX103" i="23916" s="1"/>
  <c r="CU103" i="23916"/>
  <c r="CV103" i="23916" s="1"/>
  <c r="CS103" i="23916"/>
  <c r="CT103" i="23916" s="1"/>
  <c r="EP102" i="23916"/>
  <c r="EO102" i="23916"/>
  <c r="EN102" i="23916"/>
  <c r="EM102" i="23916"/>
  <c r="EL102" i="23916"/>
  <c r="EK102" i="23916"/>
  <c r="EJ102" i="23916"/>
  <c r="EI102" i="23916"/>
  <c r="EH102" i="23916"/>
  <c r="EG102" i="23916"/>
  <c r="EF102" i="23916"/>
  <c r="EE102" i="23916"/>
  <c r="ED102" i="23916"/>
  <c r="EC102" i="23916"/>
  <c r="EB102" i="23916"/>
  <c r="EA102" i="23916"/>
  <c r="DZ102" i="23916"/>
  <c r="DY102" i="23916"/>
  <c r="DX102" i="23916"/>
  <c r="DX105" i="23916" s="1"/>
  <c r="DX106" i="23916" s="1"/>
  <c r="DX113" i="23916" s="1"/>
  <c r="DW102" i="23916"/>
  <c r="DV102" i="23916"/>
  <c r="DU102" i="23916"/>
  <c r="DT102" i="23916"/>
  <c r="DS102" i="23916"/>
  <c r="DR102" i="23916"/>
  <c r="DQ102" i="23916"/>
  <c r="DP102" i="23916"/>
  <c r="DO102" i="23916"/>
  <c r="DN102" i="23916"/>
  <c r="DM102" i="23916"/>
  <c r="DL102" i="23916"/>
  <c r="DK102" i="23916"/>
  <c r="DJ102" i="23916"/>
  <c r="DI102" i="23916"/>
  <c r="DH102" i="23916"/>
  <c r="DG102" i="23916"/>
  <c r="DF102" i="23916"/>
  <c r="DE102" i="23916"/>
  <c r="DD102" i="23916"/>
  <c r="DC102" i="23916"/>
  <c r="DB102" i="23916"/>
  <c r="DA102" i="23916"/>
  <c r="CZ102" i="23916"/>
  <c r="CY102" i="23916"/>
  <c r="CX102" i="23916"/>
  <c r="CW102" i="23916"/>
  <c r="CV102" i="23916"/>
  <c r="CU102" i="23916"/>
  <c r="CT102" i="23916"/>
  <c r="CS102" i="23916"/>
  <c r="CR102" i="23916"/>
  <c r="CG102" i="23916"/>
  <c r="CG106" i="23916" s="1"/>
  <c r="AU104" i="23916"/>
  <c r="AV104" i="23916" s="1"/>
  <c r="AS104" i="23916"/>
  <c r="AS110" i="23916" s="1"/>
  <c r="AT110" i="23916" s="1"/>
  <c r="AQ104" i="23916"/>
  <c r="AQ110" i="23916" s="1"/>
  <c r="AR110" i="23916" s="1"/>
  <c r="AU103" i="23916"/>
  <c r="AV103" i="23916" s="1"/>
  <c r="AT103" i="23916"/>
  <c r="AS103" i="23916"/>
  <c r="AR103" i="23916"/>
  <c r="AQ103" i="23916"/>
  <c r="AU102" i="23916"/>
  <c r="AU106" i="23916" s="1"/>
  <c r="AU113" i="23916" s="1"/>
  <c r="AU116" i="23916" s="1"/>
  <c r="AS102" i="23916"/>
  <c r="AT102" i="23916" s="1"/>
  <c r="AQ102" i="23916"/>
  <c r="AZ102" i="23916" s="1"/>
  <c r="GL105" i="23916"/>
  <c r="GH105" i="23916"/>
  <c r="GD105" i="23916"/>
  <c r="FZ105" i="23916"/>
  <c r="GA105" i="23916" s="1"/>
  <c r="FX105" i="23916"/>
  <c r="FV105" i="23916"/>
  <c r="FW105" i="23916" s="1"/>
  <c r="FT105" i="23916"/>
  <c r="FR105" i="23916"/>
  <c r="FS105" i="23916" s="1"/>
  <c r="FP105" i="23916"/>
  <c r="GL103" i="23916"/>
  <c r="FZ103" i="23916"/>
  <c r="FV103" i="23916"/>
  <c r="FR103" i="23916"/>
  <c r="FS103" i="23916" s="1"/>
  <c r="FP103" i="23916"/>
  <c r="FQ103" i="23916" s="1"/>
  <c r="GD102" i="23916"/>
  <c r="GN101" i="23916"/>
  <c r="GL101" i="23916"/>
  <c r="GJ101" i="23916"/>
  <c r="GH101" i="23916"/>
  <c r="GF101" i="23916"/>
  <c r="GD101" i="23916"/>
  <c r="GB101" i="23916"/>
  <c r="FZ101" i="23916"/>
  <c r="FX101" i="23916"/>
  <c r="FV101" i="23916"/>
  <c r="FT101" i="23916"/>
  <c r="FR101" i="23916"/>
  <c r="FP101" i="23916"/>
  <c r="FQ101" i="23916" s="1"/>
  <c r="EP101" i="23916"/>
  <c r="EN101" i="23916"/>
  <c r="EL101" i="23916"/>
  <c r="EJ101" i="23916"/>
  <c r="EH101" i="23916"/>
  <c r="EF101" i="23916"/>
  <c r="ED101" i="23916"/>
  <c r="EB101" i="23916"/>
  <c r="DZ101" i="23916"/>
  <c r="DV101" i="23916"/>
  <c r="DT101" i="23916"/>
  <c r="DR101" i="23916"/>
  <c r="DP101" i="23916"/>
  <c r="DN101" i="23916"/>
  <c r="DL101" i="23916"/>
  <c r="DJ101" i="23916"/>
  <c r="DH101" i="23916"/>
  <c r="DF101" i="23916"/>
  <c r="DD101" i="23916"/>
  <c r="DB101" i="23916"/>
  <c r="CZ101" i="23916"/>
  <c r="CX101" i="23916"/>
  <c r="CV101" i="23916"/>
  <c r="CT101" i="23916"/>
  <c r="CR101" i="23916"/>
  <c r="AT101" i="23916"/>
  <c r="AR101" i="23916"/>
  <c r="EX98" i="23916"/>
  <c r="EX97" i="23916"/>
  <c r="EX96" i="23916"/>
  <c r="EV97" i="23916"/>
  <c r="EV96" i="23916"/>
  <c r="ET98" i="23916"/>
  <c r="ET97" i="23916"/>
  <c r="ET96" i="23916"/>
  <c r="ER97" i="23916"/>
  <c r="ER96" i="23916"/>
  <c r="EP98" i="23916"/>
  <c r="EO98" i="23916"/>
  <c r="EN98" i="23916"/>
  <c r="EM98" i="23916"/>
  <c r="EV98" i="23916" s="1"/>
  <c r="EL98" i="23916"/>
  <c r="EK98" i="23916"/>
  <c r="EJ98" i="23916"/>
  <c r="EI98" i="23916"/>
  <c r="ER98" i="23916" s="1"/>
  <c r="EH98" i="23916"/>
  <c r="EG98" i="23916"/>
  <c r="EF98" i="23916"/>
  <c r="EE98" i="23916"/>
  <c r="ED98" i="23916"/>
  <c r="EC98" i="23916"/>
  <c r="EB98" i="23916"/>
  <c r="EA98" i="23916"/>
  <c r="DZ98" i="23916"/>
  <c r="DY98" i="23916"/>
  <c r="DX98" i="23916"/>
  <c r="DW98" i="23916"/>
  <c r="DV98" i="23916"/>
  <c r="DU98" i="23916"/>
  <c r="DS98" i="23916"/>
  <c r="DR98" i="23916"/>
  <c r="DQ98" i="23916"/>
  <c r="DP98" i="23916"/>
  <c r="DO98" i="23916"/>
  <c r="DN98" i="23916"/>
  <c r="DM98" i="23916"/>
  <c r="DK98" i="23916"/>
  <c r="DT98" i="23916" s="1"/>
  <c r="DI98" i="23916"/>
  <c r="DG98" i="23916"/>
  <c r="DE98" i="23916"/>
  <c r="DC98" i="23916"/>
  <c r="DA98" i="23916"/>
  <c r="CY98" i="23916"/>
  <c r="CW98" i="23916"/>
  <c r="CU98" i="23916"/>
  <c r="CS98" i="23916"/>
  <c r="CQ98" i="23916"/>
  <c r="CO98" i="23916"/>
  <c r="CM98" i="23916"/>
  <c r="CK98" i="23916"/>
  <c r="CI98" i="23916"/>
  <c r="CG98" i="23916"/>
  <c r="CE98" i="23916"/>
  <c r="CC98" i="23916"/>
  <c r="CA98" i="23916"/>
  <c r="BY98" i="23916"/>
  <c r="BW98" i="23916"/>
  <c r="BU98" i="23916"/>
  <c r="BS98" i="23916"/>
  <c r="BQ98" i="23916"/>
  <c r="BO98" i="23916"/>
  <c r="BM98" i="23916"/>
  <c r="BK98" i="23916"/>
  <c r="BI98" i="23916"/>
  <c r="BG98" i="23916"/>
  <c r="BE98" i="23916"/>
  <c r="BF98" i="23916" s="1"/>
  <c r="BC98" i="23916"/>
  <c r="BA98" i="23916"/>
  <c r="BB98" i="23916" s="1"/>
  <c r="AY98" i="23916"/>
  <c r="AW98" i="23916"/>
  <c r="AX98" i="23916" s="1"/>
  <c r="AU98" i="23916"/>
  <c r="AV98" i="23916" s="1"/>
  <c r="AS98" i="23916"/>
  <c r="AT98" i="23916" s="1"/>
  <c r="AQ98" i="23916"/>
  <c r="AR98" i="23916" s="1"/>
  <c r="EP97" i="23916"/>
  <c r="EP96" i="23916"/>
  <c r="EN97" i="23916"/>
  <c r="EN96" i="23916"/>
  <c r="EL97" i="23916"/>
  <c r="EL96" i="23916"/>
  <c r="EJ97" i="23916"/>
  <c r="EJ96" i="23916"/>
  <c r="EH97" i="23916"/>
  <c r="EH96" i="23916"/>
  <c r="EF97" i="23916"/>
  <c r="EF96" i="23916"/>
  <c r="ED97" i="23916"/>
  <c r="ED96" i="23916"/>
  <c r="EB97" i="23916"/>
  <c r="EB96" i="23916"/>
  <c r="DZ97" i="23916"/>
  <c r="DZ96" i="23916"/>
  <c r="DV97" i="23916"/>
  <c r="DV96" i="23916"/>
  <c r="DT97" i="23916"/>
  <c r="DT96" i="23916"/>
  <c r="DR97" i="23916"/>
  <c r="DR96" i="23916"/>
  <c r="DP97" i="23916"/>
  <c r="DP96" i="23916"/>
  <c r="DN97" i="23916"/>
  <c r="DN96" i="23916"/>
  <c r="BF97" i="23916"/>
  <c r="BF96" i="23916"/>
  <c r="BD97" i="23916"/>
  <c r="BD96" i="23916"/>
  <c r="BB97" i="23916"/>
  <c r="BB96" i="23916"/>
  <c r="AZ97" i="23916"/>
  <c r="AZ96" i="23916"/>
  <c r="AX97" i="23916"/>
  <c r="AX96" i="23916"/>
  <c r="AV97" i="23916"/>
  <c r="AV96" i="23916"/>
  <c r="AT97" i="23916"/>
  <c r="AT96" i="23916"/>
  <c r="AR97" i="23916"/>
  <c r="AR96" i="23916"/>
  <c r="CM92" i="23916"/>
  <c r="CG92" i="23916"/>
  <c r="BY92" i="23916"/>
  <c r="BW92" i="23916"/>
  <c r="BQ92" i="23916"/>
  <c r="BO92" i="23916"/>
  <c r="BI92" i="23916"/>
  <c r="BG92" i="23916"/>
  <c r="GT91" i="23916"/>
  <c r="ES92" i="23916"/>
  <c r="EU90" i="23916"/>
  <c r="ES90" i="23916"/>
  <c r="GZ89" i="23916"/>
  <c r="GZ88" i="23916"/>
  <c r="GZ81" i="23916"/>
  <c r="FN86" i="23916"/>
  <c r="EO87" i="23916"/>
  <c r="EO109" i="23916" s="1"/>
  <c r="EM87" i="23916"/>
  <c r="EK87" i="23916"/>
  <c r="EK109" i="23916" s="1"/>
  <c r="EI87" i="23916"/>
  <c r="EI109" i="23916" s="1"/>
  <c r="EG87" i="23916"/>
  <c r="EG109" i="23916" s="1"/>
  <c r="EE87" i="23916"/>
  <c r="EF87" i="23916" s="1"/>
  <c r="EC87" i="23916"/>
  <c r="EC109" i="23916" s="1"/>
  <c r="ED109" i="23916" s="1"/>
  <c r="EA87" i="23916"/>
  <c r="EA109" i="23916" s="1"/>
  <c r="DY87" i="23916"/>
  <c r="DY109" i="23916" s="1"/>
  <c r="DX87" i="23916"/>
  <c r="DX109" i="23916" s="1"/>
  <c r="DW87" i="23916"/>
  <c r="DW109" i="23916" s="1"/>
  <c r="DU87" i="23916"/>
  <c r="DU109" i="23916" s="1"/>
  <c r="DS87" i="23916"/>
  <c r="DQ87" i="23916"/>
  <c r="DQ109" i="23916" s="1"/>
  <c r="DO87" i="23916"/>
  <c r="DM87" i="23916"/>
  <c r="DM109" i="23916" s="1"/>
  <c r="DK87" i="23916"/>
  <c r="DK109" i="23916" s="1"/>
  <c r="DI87" i="23916"/>
  <c r="DI109" i="23916" s="1"/>
  <c r="DG87" i="23916"/>
  <c r="DE87" i="23916"/>
  <c r="DE109" i="23916" s="1"/>
  <c r="DC87" i="23916"/>
  <c r="DA87" i="23916"/>
  <c r="DA109" i="23916" s="1"/>
  <c r="DB109" i="23916" s="1"/>
  <c r="CY87" i="23916"/>
  <c r="CW87" i="23916"/>
  <c r="CW109" i="23916" s="1"/>
  <c r="CU87" i="23916"/>
  <c r="CU109" i="23916" s="1"/>
  <c r="CS87" i="23916"/>
  <c r="CS109" i="23916" s="1"/>
  <c r="CQ87" i="23916"/>
  <c r="CO87" i="23916"/>
  <c r="CO109" i="23916" s="1"/>
  <c r="CM87" i="23916"/>
  <c r="CK87" i="23916"/>
  <c r="CK109" i="23916" s="1"/>
  <c r="CI87" i="23916"/>
  <c r="CG87" i="23916"/>
  <c r="CG109" i="23916" s="1"/>
  <c r="CE87" i="23916"/>
  <c r="CE109" i="23916" s="1"/>
  <c r="CC87" i="23916"/>
  <c r="CC109" i="23916" s="1"/>
  <c r="CA87" i="23916"/>
  <c r="BY87" i="23916"/>
  <c r="BY109" i="23916" s="1"/>
  <c r="BW87" i="23916"/>
  <c r="BU87" i="23916"/>
  <c r="BU109" i="23916" s="1"/>
  <c r="BS87" i="23916"/>
  <c r="BQ87" i="23916"/>
  <c r="BQ109" i="23916" s="1"/>
  <c r="BO87" i="23916"/>
  <c r="BO109" i="23916" s="1"/>
  <c r="BM87" i="23916"/>
  <c r="BM109" i="23916" s="1"/>
  <c r="BN109" i="23916" s="1"/>
  <c r="BK87" i="23916"/>
  <c r="BI87" i="23916"/>
  <c r="BI109" i="23916" s="1"/>
  <c r="BG87" i="23916"/>
  <c r="BE87" i="23916"/>
  <c r="BE109" i="23916" s="1"/>
  <c r="BC87" i="23916"/>
  <c r="BA87" i="23916"/>
  <c r="BA109" i="23916" s="1"/>
  <c r="AY87" i="23916"/>
  <c r="AY109" i="23916" s="1"/>
  <c r="AW87" i="23916"/>
  <c r="AW109" i="23916" s="1"/>
  <c r="AX109" i="23916" s="1"/>
  <c r="AU87" i="23916"/>
  <c r="AV87" i="23916" s="1"/>
  <c r="AS87" i="23916"/>
  <c r="AS109" i="23916" s="1"/>
  <c r="AT109" i="23916" s="1"/>
  <c r="AQ87" i="23916"/>
  <c r="AR87" i="23916" s="1"/>
  <c r="EN86" i="23916"/>
  <c r="EN85" i="23916"/>
  <c r="EN84" i="23916"/>
  <c r="EN83" i="23916"/>
  <c r="EN82" i="23916"/>
  <c r="EL86" i="23916"/>
  <c r="EL85" i="23916"/>
  <c r="EL84" i="23916"/>
  <c r="EL82" i="23916"/>
  <c r="EJ86" i="23916"/>
  <c r="EJ85" i="23916"/>
  <c r="EJ84" i="23916"/>
  <c r="EJ82" i="23916"/>
  <c r="EH86" i="23916"/>
  <c r="EH85" i="23916"/>
  <c r="EH84" i="23916"/>
  <c r="EH82" i="23916"/>
  <c r="EF86" i="23916"/>
  <c r="EF85" i="23916"/>
  <c r="EF84" i="23916"/>
  <c r="EF83" i="23916"/>
  <c r="EF82" i="23916"/>
  <c r="ED86" i="23916"/>
  <c r="ED85" i="23916"/>
  <c r="ED84" i="23916"/>
  <c r="ED82" i="23916"/>
  <c r="EB86" i="23916"/>
  <c r="EB85" i="23916"/>
  <c r="EB84" i="23916"/>
  <c r="EB82" i="23916"/>
  <c r="DZ86" i="23916"/>
  <c r="DZ85" i="23916"/>
  <c r="DZ84" i="23916"/>
  <c r="DZ82" i="23916"/>
  <c r="DV86" i="23916"/>
  <c r="DV85" i="23916"/>
  <c r="DV84" i="23916"/>
  <c r="DV83" i="23916"/>
  <c r="DV82" i="23916"/>
  <c r="DT86" i="23916"/>
  <c r="DT85" i="23916"/>
  <c r="DT84" i="23916"/>
  <c r="DT82" i="23916"/>
  <c r="DR86" i="23916"/>
  <c r="DR85" i="23916"/>
  <c r="DR84" i="23916"/>
  <c r="DR82" i="23916"/>
  <c r="DP86" i="23916"/>
  <c r="DP85" i="23916"/>
  <c r="DP84" i="23916"/>
  <c r="DP82" i="23916"/>
  <c r="DN86" i="23916"/>
  <c r="DN85" i="23916"/>
  <c r="DN84" i="23916"/>
  <c r="DN83" i="23916"/>
  <c r="DN82" i="23916"/>
  <c r="DL86" i="23916"/>
  <c r="DL85" i="23916"/>
  <c r="DL84" i="23916"/>
  <c r="DL82" i="23916"/>
  <c r="DJ86" i="23916"/>
  <c r="DJ85" i="23916"/>
  <c r="DJ84" i="23916"/>
  <c r="DJ83" i="23916"/>
  <c r="DJ82" i="23916"/>
  <c r="DH86" i="23916"/>
  <c r="DH85" i="23916"/>
  <c r="DH84" i="23916"/>
  <c r="DH82" i="23916"/>
  <c r="DF86" i="23916"/>
  <c r="DF85" i="23916"/>
  <c r="DF84" i="23916"/>
  <c r="DF83" i="23916"/>
  <c r="DF82" i="23916"/>
  <c r="DD86" i="23916"/>
  <c r="DD85" i="23916"/>
  <c r="DD84" i="23916"/>
  <c r="DD82" i="23916"/>
  <c r="DB86" i="23916"/>
  <c r="DB85" i="23916"/>
  <c r="DB84" i="23916"/>
  <c r="DB83" i="23916"/>
  <c r="DB82" i="23916"/>
  <c r="CZ86" i="23916"/>
  <c r="CZ85" i="23916"/>
  <c r="CZ84" i="23916"/>
  <c r="CZ82" i="23916"/>
  <c r="CX86" i="23916"/>
  <c r="CX85" i="23916"/>
  <c r="CX84" i="23916"/>
  <c r="CX83" i="23916"/>
  <c r="CX82" i="23916"/>
  <c r="CV86" i="23916"/>
  <c r="CV85" i="23916"/>
  <c r="CV84" i="23916"/>
  <c r="CV82" i="23916"/>
  <c r="CT86" i="23916"/>
  <c r="CT85" i="23916"/>
  <c r="CT84" i="23916"/>
  <c r="CT83" i="23916"/>
  <c r="CT82" i="23916"/>
  <c r="CR86" i="23916"/>
  <c r="CR85" i="23916"/>
  <c r="CR84" i="23916"/>
  <c r="CR82" i="23916"/>
  <c r="CP86" i="23916"/>
  <c r="CP85" i="23916"/>
  <c r="CP84" i="23916"/>
  <c r="CP83" i="23916"/>
  <c r="CP82" i="23916"/>
  <c r="CN86" i="23916"/>
  <c r="CN85" i="23916"/>
  <c r="CN84" i="23916"/>
  <c r="CN82" i="23916"/>
  <c r="CL86" i="23916"/>
  <c r="CL85" i="23916"/>
  <c r="CL84" i="23916"/>
  <c r="CL83" i="23916"/>
  <c r="CL82" i="23916"/>
  <c r="CJ86" i="23916"/>
  <c r="CJ85" i="23916"/>
  <c r="CJ84" i="23916"/>
  <c r="CJ82" i="23916"/>
  <c r="CH86" i="23916"/>
  <c r="CH85" i="23916"/>
  <c r="CH84" i="23916"/>
  <c r="CH83" i="23916"/>
  <c r="CH82" i="23916"/>
  <c r="CF86" i="23916"/>
  <c r="CF85" i="23916"/>
  <c r="CF84" i="23916"/>
  <c r="CF82" i="23916"/>
  <c r="CD86" i="23916"/>
  <c r="CD85" i="23916"/>
  <c r="CD84" i="23916"/>
  <c r="CD83" i="23916"/>
  <c r="CD82" i="23916"/>
  <c r="CB86" i="23916"/>
  <c r="CB85" i="23916"/>
  <c r="CB84" i="23916"/>
  <c r="CB82" i="23916"/>
  <c r="BZ86" i="23916"/>
  <c r="BZ85" i="23916"/>
  <c r="BZ84" i="23916"/>
  <c r="BZ83" i="23916"/>
  <c r="BZ82" i="23916"/>
  <c r="BX86" i="23916"/>
  <c r="BX85" i="23916"/>
  <c r="BX84" i="23916"/>
  <c r="BX82" i="23916"/>
  <c r="BV86" i="23916"/>
  <c r="BV85" i="23916"/>
  <c r="BV84" i="23916"/>
  <c r="BV83" i="23916"/>
  <c r="BV82" i="23916"/>
  <c r="BT86" i="23916"/>
  <c r="BT85" i="23916"/>
  <c r="BT84" i="23916"/>
  <c r="BT82" i="23916"/>
  <c r="BR86" i="23916"/>
  <c r="BR85" i="23916"/>
  <c r="BR84" i="23916"/>
  <c r="BR83" i="23916"/>
  <c r="BR82" i="23916"/>
  <c r="BP86" i="23916"/>
  <c r="BP85" i="23916"/>
  <c r="BP84" i="23916"/>
  <c r="BP82" i="23916"/>
  <c r="BN86" i="23916"/>
  <c r="BN85" i="23916"/>
  <c r="BN84" i="23916"/>
  <c r="BN82" i="23916"/>
  <c r="BL86" i="23916"/>
  <c r="BL85" i="23916"/>
  <c r="BL84" i="23916"/>
  <c r="BL82" i="23916"/>
  <c r="BJ86" i="23916"/>
  <c r="BJ85" i="23916"/>
  <c r="BJ84" i="23916"/>
  <c r="BJ82" i="23916"/>
  <c r="BH86" i="23916"/>
  <c r="BH85" i="23916"/>
  <c r="BH84" i="23916"/>
  <c r="BH82" i="23916"/>
  <c r="BF86" i="23916"/>
  <c r="BF85" i="23916"/>
  <c r="BF84" i="23916"/>
  <c r="BF82" i="23916"/>
  <c r="BD86" i="23916"/>
  <c r="BD85" i="23916"/>
  <c r="BD84" i="23916"/>
  <c r="BD82" i="23916"/>
  <c r="BB86" i="23916"/>
  <c r="BB85" i="23916"/>
  <c r="BB84" i="23916"/>
  <c r="BB83" i="23916"/>
  <c r="AZ86" i="23916"/>
  <c r="AZ85" i="23916"/>
  <c r="AZ84" i="23916"/>
  <c r="AZ82" i="23916"/>
  <c r="AX86" i="23916"/>
  <c r="AX85" i="23916"/>
  <c r="AX84" i="23916"/>
  <c r="AX82" i="23916"/>
  <c r="AV86" i="23916"/>
  <c r="AV85" i="23916"/>
  <c r="AV84" i="23916"/>
  <c r="AV82" i="23916"/>
  <c r="AT86" i="23916"/>
  <c r="AT85" i="23916"/>
  <c r="AT84" i="23916"/>
  <c r="AT83" i="23916"/>
  <c r="AR86" i="23916"/>
  <c r="AR85" i="23916"/>
  <c r="AR84" i="23916"/>
  <c r="AR82" i="23916"/>
  <c r="FN83" i="23916"/>
  <c r="EO83" i="23916"/>
  <c r="EM83" i="23916"/>
  <c r="EK83" i="23916"/>
  <c r="EI83" i="23916"/>
  <c r="EJ83" i="23916" s="1"/>
  <c r="EG83" i="23916"/>
  <c r="EE83" i="23916"/>
  <c r="EC83" i="23916"/>
  <c r="EA83" i="23916"/>
  <c r="EB83" i="23916" s="1"/>
  <c r="DY83" i="23916"/>
  <c r="DX83" i="23916"/>
  <c r="DW83" i="23916"/>
  <c r="DU83" i="23916"/>
  <c r="DS83" i="23916"/>
  <c r="DQ83" i="23916"/>
  <c r="DR83" i="23916" s="1"/>
  <c r="DO83" i="23916"/>
  <c r="DM83" i="23916"/>
  <c r="DK83" i="23916"/>
  <c r="DI83" i="23916"/>
  <c r="DG83" i="23916"/>
  <c r="DH83" i="23916" s="1"/>
  <c r="DE83" i="23916"/>
  <c r="DC83" i="23916"/>
  <c r="DA83" i="23916"/>
  <c r="CY83" i="23916"/>
  <c r="CZ83" i="23916" s="1"/>
  <c r="CW83" i="23916"/>
  <c r="CU83" i="23916"/>
  <c r="CS83" i="23916"/>
  <c r="CQ83" i="23916"/>
  <c r="CR83" i="23916" s="1"/>
  <c r="CO83" i="23916"/>
  <c r="CM83" i="23916"/>
  <c r="CK83" i="23916"/>
  <c r="CI83" i="23916"/>
  <c r="CJ83" i="23916" s="1"/>
  <c r="CG83" i="23916"/>
  <c r="CE83" i="23916"/>
  <c r="CC83" i="23916"/>
  <c r="CA83" i="23916"/>
  <c r="CB83" i="23916" s="1"/>
  <c r="BY83" i="23916"/>
  <c r="BW83" i="23916"/>
  <c r="BU83" i="23916"/>
  <c r="BS83" i="23916"/>
  <c r="BT83" i="23916" s="1"/>
  <c r="BQ83" i="23916"/>
  <c r="BO83" i="23916"/>
  <c r="BM83" i="23916"/>
  <c r="BK83" i="23916"/>
  <c r="BL83" i="23916" s="1"/>
  <c r="BI83" i="23916"/>
  <c r="BG83" i="23916"/>
  <c r="BG82" i="23916"/>
  <c r="BG493" i="23916" s="1"/>
  <c r="BE83" i="23916"/>
  <c r="BN83" i="23916" s="1"/>
  <c r="BC83" i="23916"/>
  <c r="BD83" i="23916" s="1"/>
  <c r="BA83" i="23916"/>
  <c r="BJ83" i="23916" s="1"/>
  <c r="AY83" i="23916"/>
  <c r="AZ83" i="23916" s="1"/>
  <c r="AW83" i="23916"/>
  <c r="AX83" i="23916" s="1"/>
  <c r="AU83" i="23916"/>
  <c r="AV83" i="23916" s="1"/>
  <c r="AS83" i="23916"/>
  <c r="FP83" i="23916" s="1"/>
  <c r="FQ83" i="23916" s="1"/>
  <c r="AS82" i="23916"/>
  <c r="AS493" i="23916" s="1"/>
  <c r="AQ83" i="23916"/>
  <c r="AR83" i="23916" s="1"/>
  <c r="FZ86" i="23916"/>
  <c r="GN85" i="23916"/>
  <c r="GN102" i="23916" s="1"/>
  <c r="GL85" i="23916"/>
  <c r="GJ85" i="23916"/>
  <c r="GJ102" i="23916" s="1"/>
  <c r="GH85" i="23916"/>
  <c r="GF85" i="23916"/>
  <c r="GF102" i="23916" s="1"/>
  <c r="GD85" i="23916"/>
  <c r="GB85" i="23916"/>
  <c r="GB102" i="23916" s="1"/>
  <c r="FZ85" i="23916"/>
  <c r="GA85" i="23916" s="1"/>
  <c r="FX85" i="23916"/>
  <c r="FX102" i="23916" s="1"/>
  <c r="FV85" i="23916"/>
  <c r="FW85" i="23916" s="1"/>
  <c r="FT85" i="23916"/>
  <c r="FT102" i="23916" s="1"/>
  <c r="FR85" i="23916"/>
  <c r="FS85" i="23916" s="1"/>
  <c r="FP85" i="23916"/>
  <c r="FP102" i="23916" s="1"/>
  <c r="FQ102" i="23916" s="1"/>
  <c r="GN84" i="23916"/>
  <c r="GL84" i="23916"/>
  <c r="GJ84" i="23916"/>
  <c r="GK84" i="23916" s="1"/>
  <c r="GH84" i="23916"/>
  <c r="GF84" i="23916"/>
  <c r="GD84" i="23916"/>
  <c r="GB84" i="23916"/>
  <c r="GC84" i="23916" s="1"/>
  <c r="FZ84" i="23916"/>
  <c r="GA84" i="23916" s="1"/>
  <c r="FX84" i="23916"/>
  <c r="FV84" i="23916"/>
  <c r="FW84" i="23916" s="1"/>
  <c r="FT84" i="23916"/>
  <c r="FU84" i="23916" s="1"/>
  <c r="FR84" i="23916"/>
  <c r="FS84" i="23916" s="1"/>
  <c r="FP84" i="23916"/>
  <c r="FQ84" i="23916" s="1"/>
  <c r="GL83" i="23916"/>
  <c r="GH83" i="23916"/>
  <c r="GD83" i="23916"/>
  <c r="FZ83" i="23916"/>
  <c r="FV83" i="23916"/>
  <c r="FR83" i="23916"/>
  <c r="FS83" i="23916" s="1"/>
  <c r="GN82" i="23916"/>
  <c r="GL82" i="23916"/>
  <c r="GM82" i="23916" s="1"/>
  <c r="GJ82" i="23916"/>
  <c r="GH82" i="23916"/>
  <c r="GI82" i="23916" s="1"/>
  <c r="GF82" i="23916"/>
  <c r="GD82" i="23916"/>
  <c r="GE82" i="23916" s="1"/>
  <c r="GB82" i="23916"/>
  <c r="FZ82" i="23916"/>
  <c r="GA82" i="23916" s="1"/>
  <c r="FX82" i="23916"/>
  <c r="FV82" i="23916"/>
  <c r="FW82" i="23916" s="1"/>
  <c r="FT82" i="23916"/>
  <c r="FR82" i="23916"/>
  <c r="FP82" i="23916"/>
  <c r="FP86" i="23916" s="1"/>
  <c r="EP86" i="23916"/>
  <c r="EP85" i="23916"/>
  <c r="EP84" i="23916"/>
  <c r="EP82" i="23916"/>
  <c r="DX78" i="23916"/>
  <c r="DL78" i="23916"/>
  <c r="GL72" i="23916"/>
  <c r="GH72" i="23916"/>
  <c r="GI72" i="23916" s="1"/>
  <c r="GD72" i="23916"/>
  <c r="FZ72" i="23916"/>
  <c r="FV72" i="23916"/>
  <c r="GJ70" i="23916"/>
  <c r="GK70" i="23916" s="1"/>
  <c r="GF70" i="23916"/>
  <c r="EO75" i="23916"/>
  <c r="EM75" i="23916"/>
  <c r="EN75" i="23916" s="1"/>
  <c r="EK75" i="23916"/>
  <c r="EI75" i="23916"/>
  <c r="EJ75" i="23916" s="1"/>
  <c r="EG75" i="23916"/>
  <c r="EE75" i="23916"/>
  <c r="EF75" i="23916" s="1"/>
  <c r="EC75" i="23916"/>
  <c r="EA75" i="23916"/>
  <c r="EB75" i="23916" s="1"/>
  <c r="DY75" i="23916"/>
  <c r="DX75" i="23916"/>
  <c r="DW75" i="23916"/>
  <c r="DU75" i="23916"/>
  <c r="DS75" i="23916"/>
  <c r="DT75" i="23916" s="1"/>
  <c r="DQ75" i="23916"/>
  <c r="DO75" i="23916"/>
  <c r="DP75" i="23916" s="1"/>
  <c r="DM75" i="23916"/>
  <c r="DK75" i="23916"/>
  <c r="DL75" i="23916" s="1"/>
  <c r="DI75" i="23916"/>
  <c r="DG75" i="23916"/>
  <c r="DH75" i="23916" s="1"/>
  <c r="DE75" i="23916"/>
  <c r="DC75" i="23916"/>
  <c r="DD75" i="23916" s="1"/>
  <c r="DA75" i="23916"/>
  <c r="DB75" i="23916" s="1"/>
  <c r="CY75" i="23916"/>
  <c r="CZ75" i="23916" s="1"/>
  <c r="CW75" i="23916"/>
  <c r="CU75" i="23916"/>
  <c r="CV75" i="23916" s="1"/>
  <c r="CS75" i="23916"/>
  <c r="CQ75" i="23916"/>
  <c r="CR75" i="23916" s="1"/>
  <c r="CO75" i="23916"/>
  <c r="CM75" i="23916"/>
  <c r="CN75" i="23916" s="1"/>
  <c r="CK75" i="23916"/>
  <c r="CI75" i="23916"/>
  <c r="CJ75" i="23916" s="1"/>
  <c r="CG75" i="23916"/>
  <c r="CE75" i="23916"/>
  <c r="CF75" i="23916" s="1"/>
  <c r="CC75" i="23916"/>
  <c r="CD75" i="23916" s="1"/>
  <c r="CA75" i="23916"/>
  <c r="CB75" i="23916" s="1"/>
  <c r="BY75" i="23916"/>
  <c r="BW75" i="23916"/>
  <c r="BX75" i="23916" s="1"/>
  <c r="BU75" i="23916"/>
  <c r="BS75" i="23916"/>
  <c r="BT75" i="23916" s="1"/>
  <c r="BQ75" i="23916"/>
  <c r="BO75" i="23916"/>
  <c r="BP75" i="23916" s="1"/>
  <c r="BM75" i="23916"/>
  <c r="BN75" i="23916" s="1"/>
  <c r="BK75" i="23916"/>
  <c r="BL75" i="23916" s="1"/>
  <c r="BI75" i="23916"/>
  <c r="BJ75" i="23916" s="1"/>
  <c r="BG75" i="23916"/>
  <c r="BH75" i="23916" s="1"/>
  <c r="EW72" i="23916"/>
  <c r="EX72" i="23916" s="1"/>
  <c r="ES72" i="23916"/>
  <c r="EO72" i="23916"/>
  <c r="EM72" i="23916"/>
  <c r="EN72" i="23916" s="1"/>
  <c r="EK72" i="23916"/>
  <c r="EI72" i="23916"/>
  <c r="EJ72" i="23916" s="1"/>
  <c r="EG72" i="23916"/>
  <c r="EE72" i="23916"/>
  <c r="EF72" i="23916" s="1"/>
  <c r="EC72" i="23916"/>
  <c r="ED72" i="23916" s="1"/>
  <c r="EA72" i="23916"/>
  <c r="EB72" i="23916" s="1"/>
  <c r="DY72" i="23916"/>
  <c r="DX72" i="23916"/>
  <c r="DW72" i="23916"/>
  <c r="DU72" i="23916"/>
  <c r="DS72" i="23916"/>
  <c r="DT72" i="23916" s="1"/>
  <c r="DQ72" i="23916"/>
  <c r="DO72" i="23916"/>
  <c r="DP72" i="23916" s="1"/>
  <c r="DM72" i="23916"/>
  <c r="DK72" i="23916"/>
  <c r="DL72" i="23916" s="1"/>
  <c r="DI72" i="23916"/>
  <c r="DG72" i="23916"/>
  <c r="DH72" i="23916" s="1"/>
  <c r="DE72" i="23916"/>
  <c r="DC72" i="23916"/>
  <c r="DD72" i="23916" s="1"/>
  <c r="DA72" i="23916"/>
  <c r="CY72" i="23916"/>
  <c r="CZ72" i="23916" s="1"/>
  <c r="CW72" i="23916"/>
  <c r="CU72" i="23916"/>
  <c r="CV72" i="23916" s="1"/>
  <c r="CS72" i="23916"/>
  <c r="CQ72" i="23916"/>
  <c r="CR72" i="23916" s="1"/>
  <c r="CO72" i="23916"/>
  <c r="CM72" i="23916"/>
  <c r="CN72" i="23916" s="1"/>
  <c r="CK72" i="23916"/>
  <c r="CI72" i="23916"/>
  <c r="CJ72" i="23916" s="1"/>
  <c r="CG72" i="23916"/>
  <c r="CE72" i="23916"/>
  <c r="CF72" i="23916" s="1"/>
  <c r="CC72" i="23916"/>
  <c r="CA72" i="23916"/>
  <c r="CB72" i="23916" s="1"/>
  <c r="BY72" i="23916"/>
  <c r="BW72" i="23916"/>
  <c r="BX72" i="23916" s="1"/>
  <c r="BU72" i="23916"/>
  <c r="BS72" i="23916"/>
  <c r="BT72" i="23916" s="1"/>
  <c r="BQ72" i="23916"/>
  <c r="BO72" i="23916"/>
  <c r="BP72" i="23916" s="1"/>
  <c r="BM72" i="23916"/>
  <c r="BN72" i="23916" s="1"/>
  <c r="BK72" i="23916"/>
  <c r="BL72" i="23916" s="1"/>
  <c r="BI72" i="23916"/>
  <c r="BJ72" i="23916" s="1"/>
  <c r="BG72" i="23916"/>
  <c r="BH72" i="23916" s="1"/>
  <c r="EO71" i="23916"/>
  <c r="EM71" i="23916"/>
  <c r="EN71" i="23916" s="1"/>
  <c r="EK71" i="23916"/>
  <c r="EI71" i="23916"/>
  <c r="EJ71" i="23916" s="1"/>
  <c r="EG71" i="23916"/>
  <c r="EE71" i="23916"/>
  <c r="EF71" i="23916" s="1"/>
  <c r="EC71" i="23916"/>
  <c r="EA71" i="23916"/>
  <c r="EB71" i="23916" s="1"/>
  <c r="DY71" i="23916"/>
  <c r="DX71" i="23916"/>
  <c r="DW71" i="23916"/>
  <c r="DU71" i="23916"/>
  <c r="DS71" i="23916"/>
  <c r="DT71" i="23916" s="1"/>
  <c r="DQ71" i="23916"/>
  <c r="DO71" i="23916"/>
  <c r="DP71" i="23916" s="1"/>
  <c r="DM71" i="23916"/>
  <c r="DN71" i="23916" s="1"/>
  <c r="DK71" i="23916"/>
  <c r="DL71" i="23916" s="1"/>
  <c r="DI71" i="23916"/>
  <c r="DG71" i="23916"/>
  <c r="DH71" i="23916" s="1"/>
  <c r="DE71" i="23916"/>
  <c r="DC71" i="23916"/>
  <c r="DD71" i="23916" s="1"/>
  <c r="DA71" i="23916"/>
  <c r="CY71" i="23916"/>
  <c r="CZ71" i="23916" s="1"/>
  <c r="CW71" i="23916"/>
  <c r="CX71" i="23916" s="1"/>
  <c r="CU71" i="23916"/>
  <c r="CS71" i="23916"/>
  <c r="CQ71" i="23916"/>
  <c r="CO71" i="23916"/>
  <c r="EK70" i="23916"/>
  <c r="DY70" i="23916"/>
  <c r="DX70" i="23916"/>
  <c r="DW70" i="23916"/>
  <c r="DU70" i="23916"/>
  <c r="DS70" i="23916"/>
  <c r="DT70" i="23916" s="1"/>
  <c r="DQ70" i="23916"/>
  <c r="DO70" i="23916"/>
  <c r="DP70" i="23916" s="1"/>
  <c r="DM70" i="23916"/>
  <c r="DK70" i="23916"/>
  <c r="DL70" i="23916" s="1"/>
  <c r="DI70" i="23916"/>
  <c r="DJ70" i="23916" s="1"/>
  <c r="DG70" i="23916"/>
  <c r="DH70" i="23916" s="1"/>
  <c r="DE70" i="23916"/>
  <c r="DC70" i="23916"/>
  <c r="DD70" i="23916" s="1"/>
  <c r="DA70" i="23916"/>
  <c r="CY70" i="23916"/>
  <c r="CZ70" i="23916" s="1"/>
  <c r="CW70" i="23916"/>
  <c r="CU70" i="23916"/>
  <c r="CS70" i="23916"/>
  <c r="CT70" i="23916" s="1"/>
  <c r="CQ70" i="23916"/>
  <c r="CO70" i="23916"/>
  <c r="CK70" i="23916"/>
  <c r="CG70" i="23916"/>
  <c r="CH70" i="23916" s="1"/>
  <c r="CC70" i="23916"/>
  <c r="CD70" i="23916" s="1"/>
  <c r="BY70" i="23916"/>
  <c r="BU70" i="23916"/>
  <c r="BQ70" i="23916"/>
  <c r="BR70" i="23916" s="1"/>
  <c r="BM70" i="23916"/>
  <c r="BN70" i="23916" s="1"/>
  <c r="BI70" i="23916"/>
  <c r="BJ70" i="23916" s="1"/>
  <c r="EO69" i="23916"/>
  <c r="EM69" i="23916"/>
  <c r="EK69" i="23916"/>
  <c r="EI69" i="23916"/>
  <c r="EI78" i="23916" s="1"/>
  <c r="EJ78" i="23916" s="1"/>
  <c r="EG69" i="23916"/>
  <c r="EE69" i="23916"/>
  <c r="EC69" i="23916"/>
  <c r="EA69" i="23916"/>
  <c r="EA78" i="23916" s="1"/>
  <c r="EB78" i="23916" s="1"/>
  <c r="DY69" i="23916"/>
  <c r="DX69" i="23916"/>
  <c r="DW69" i="23916"/>
  <c r="DW78" i="23916" s="1"/>
  <c r="DU69" i="23916"/>
  <c r="DS69" i="23916"/>
  <c r="DS78" i="23916" s="1"/>
  <c r="DT78" i="23916" s="1"/>
  <c r="DQ69" i="23916"/>
  <c r="DO69" i="23916"/>
  <c r="DO78" i="23916" s="1"/>
  <c r="DP78" i="23916" s="1"/>
  <c r="DM69" i="23916"/>
  <c r="DK69" i="23916"/>
  <c r="DK78" i="23916" s="1"/>
  <c r="DI69" i="23916"/>
  <c r="DG69" i="23916"/>
  <c r="DG78" i="23916" s="1"/>
  <c r="DH78" i="23916" s="1"/>
  <c r="DE69" i="23916"/>
  <c r="DC69" i="23916"/>
  <c r="DC78" i="23916" s="1"/>
  <c r="DD78" i="23916" s="1"/>
  <c r="DA69" i="23916"/>
  <c r="CY69" i="23916"/>
  <c r="CY78" i="23916" s="1"/>
  <c r="CZ78" i="23916" s="1"/>
  <c r="CW69" i="23916"/>
  <c r="CU69" i="23916"/>
  <c r="CU78" i="23916" s="1"/>
  <c r="CS69" i="23916"/>
  <c r="CQ69" i="23916"/>
  <c r="CQ78" i="23916" s="1"/>
  <c r="CO69" i="23916"/>
  <c r="CK69" i="23916"/>
  <c r="CG69" i="23916"/>
  <c r="CC69" i="23916"/>
  <c r="BY69" i="23916"/>
  <c r="BU69" i="23916"/>
  <c r="BQ69" i="23916"/>
  <c r="BM69" i="23916"/>
  <c r="BI69" i="23916"/>
  <c r="CO68" i="23916"/>
  <c r="BY68" i="23916"/>
  <c r="BI68" i="23916"/>
  <c r="BJ68" i="23916" s="1"/>
  <c r="GZ67" i="23916"/>
  <c r="CM65" i="23916"/>
  <c r="CI65" i="23916"/>
  <c r="CE65" i="23916"/>
  <c r="CA65" i="23916"/>
  <c r="BW65" i="23916"/>
  <c r="BS65" i="23916"/>
  <c r="BO65" i="23916"/>
  <c r="BK65" i="23916"/>
  <c r="BG65" i="23916"/>
  <c r="GJ60" i="23916"/>
  <c r="GF60" i="23916"/>
  <c r="EM60" i="23916"/>
  <c r="EI60" i="23916"/>
  <c r="EE60" i="23916"/>
  <c r="EA60" i="23916"/>
  <c r="DY60" i="23916"/>
  <c r="DY735" i="23916" s="1"/>
  <c r="DX60" i="23916"/>
  <c r="DW60" i="23916"/>
  <c r="DU60" i="23916"/>
  <c r="DU735" i="23916" s="1"/>
  <c r="DS60" i="23916"/>
  <c r="DQ60" i="23916"/>
  <c r="DQ735" i="23916" s="1"/>
  <c r="DO60" i="23916"/>
  <c r="DM60" i="23916"/>
  <c r="DM735" i="23916" s="1"/>
  <c r="DK60" i="23916"/>
  <c r="DI60" i="23916"/>
  <c r="DI735" i="23916" s="1"/>
  <c r="DG60" i="23916"/>
  <c r="DE60" i="23916"/>
  <c r="DE735" i="23916" s="1"/>
  <c r="DC60" i="23916"/>
  <c r="DA60" i="23916"/>
  <c r="DA735" i="23916" s="1"/>
  <c r="CY60" i="23916"/>
  <c r="CW60" i="23916"/>
  <c r="CW735" i="23916" s="1"/>
  <c r="CU60" i="23916"/>
  <c r="CS60" i="23916"/>
  <c r="CS735" i="23916" s="1"/>
  <c r="CQ60" i="23916"/>
  <c r="CO60" i="23916"/>
  <c r="CO735" i="23916" s="1"/>
  <c r="CM60" i="23916"/>
  <c r="CI60" i="23916"/>
  <c r="CE60" i="23916"/>
  <c r="CA60" i="23916"/>
  <c r="BW60" i="23916"/>
  <c r="BS60" i="23916"/>
  <c r="BO60" i="23916"/>
  <c r="BK60" i="23916"/>
  <c r="BG60" i="23916"/>
  <c r="CI58" i="23916"/>
  <c r="BS58" i="23916"/>
  <c r="EN57" i="23916"/>
  <c r="EN54" i="23916"/>
  <c r="EN53" i="23916"/>
  <c r="EN51" i="23916"/>
  <c r="EN50" i="23916"/>
  <c r="EL57" i="23916"/>
  <c r="EL54" i="23916"/>
  <c r="EL53" i="23916"/>
  <c r="EL51" i="23916"/>
  <c r="EL50" i="23916"/>
  <c r="EJ57" i="23916"/>
  <c r="EJ54" i="23916"/>
  <c r="EJ53" i="23916"/>
  <c r="EJ52" i="23916"/>
  <c r="EJ51" i="23916"/>
  <c r="EJ50" i="23916"/>
  <c r="EH57" i="23916"/>
  <c r="EH54" i="23916"/>
  <c r="EH53" i="23916"/>
  <c r="EH51" i="23916"/>
  <c r="EH50" i="23916"/>
  <c r="EF57" i="23916"/>
  <c r="EF54" i="23916"/>
  <c r="EF53" i="23916"/>
  <c r="EF52" i="23916"/>
  <c r="EF51" i="23916"/>
  <c r="EF50" i="23916"/>
  <c r="ED57" i="23916"/>
  <c r="ED54" i="23916"/>
  <c r="ED53" i="23916"/>
  <c r="ED51" i="23916"/>
  <c r="ED50" i="23916"/>
  <c r="EB57" i="23916"/>
  <c r="EB54" i="23916"/>
  <c r="EB53" i="23916"/>
  <c r="EB52" i="23916"/>
  <c r="EB51" i="23916"/>
  <c r="EB50" i="23916"/>
  <c r="DZ57" i="23916"/>
  <c r="DZ54" i="23916"/>
  <c r="DZ53" i="23916"/>
  <c r="DZ52" i="23916"/>
  <c r="DZ51" i="23916"/>
  <c r="DZ50" i="23916"/>
  <c r="DV57" i="23916"/>
  <c r="DV54" i="23916"/>
  <c r="DV53" i="23916"/>
  <c r="DV52" i="23916"/>
  <c r="DV51" i="23916"/>
  <c r="DV50" i="23916"/>
  <c r="DT57" i="23916"/>
  <c r="DT54" i="23916"/>
  <c r="DT53" i="23916"/>
  <c r="DT52" i="23916"/>
  <c r="DT51" i="23916"/>
  <c r="DT50" i="23916"/>
  <c r="DR57" i="23916"/>
  <c r="DR54" i="23916"/>
  <c r="DR53" i="23916"/>
  <c r="DR52" i="23916"/>
  <c r="DR51" i="23916"/>
  <c r="DR50" i="23916"/>
  <c r="DP57" i="23916"/>
  <c r="DP54" i="23916"/>
  <c r="DP53" i="23916"/>
  <c r="DP52" i="23916"/>
  <c r="DP51" i="23916"/>
  <c r="DP50" i="23916"/>
  <c r="DN57" i="23916"/>
  <c r="DN54" i="23916"/>
  <c r="DN53" i="23916"/>
  <c r="DN52" i="23916"/>
  <c r="DN51" i="23916"/>
  <c r="DN50" i="23916"/>
  <c r="DL57" i="23916"/>
  <c r="DL54" i="23916"/>
  <c r="DL53" i="23916"/>
  <c r="DL52" i="23916"/>
  <c r="DJ57" i="23916"/>
  <c r="DJ54" i="23916"/>
  <c r="DJ53" i="23916"/>
  <c r="DJ52" i="23916"/>
  <c r="DH57" i="23916"/>
  <c r="DH54" i="23916"/>
  <c r="DH53" i="23916"/>
  <c r="DH52" i="23916"/>
  <c r="DF57" i="23916"/>
  <c r="DF54" i="23916"/>
  <c r="DF53" i="23916"/>
  <c r="DF52" i="23916"/>
  <c r="DD57" i="23916"/>
  <c r="DD54" i="23916"/>
  <c r="DD53" i="23916"/>
  <c r="DD52" i="23916"/>
  <c r="DB57" i="23916"/>
  <c r="DB54" i="23916"/>
  <c r="DB53" i="23916"/>
  <c r="DB52" i="23916"/>
  <c r="CZ57" i="23916"/>
  <c r="CZ54" i="23916"/>
  <c r="CZ53" i="23916"/>
  <c r="CZ52" i="23916"/>
  <c r="CX57" i="23916"/>
  <c r="CX54" i="23916"/>
  <c r="CX53" i="23916"/>
  <c r="CX52" i="23916"/>
  <c r="CV57" i="23916"/>
  <c r="CV54" i="23916"/>
  <c r="CT57" i="23916"/>
  <c r="CT54" i="23916"/>
  <c r="CR57" i="23916"/>
  <c r="CR54" i="23916"/>
  <c r="CP57" i="23916"/>
  <c r="CP54" i="23916"/>
  <c r="CN57" i="23916"/>
  <c r="CN55" i="23916"/>
  <c r="CL57" i="23916"/>
  <c r="CJ57" i="23916"/>
  <c r="CH57" i="23916"/>
  <c r="CF57" i="23916"/>
  <c r="CD57" i="23916"/>
  <c r="CB57" i="23916"/>
  <c r="BZ57" i="23916"/>
  <c r="BX57" i="23916"/>
  <c r="BX55" i="23916"/>
  <c r="BV57" i="23916"/>
  <c r="BT57" i="23916"/>
  <c r="BR57" i="23916"/>
  <c r="BP57" i="23916"/>
  <c r="BN57" i="23916"/>
  <c r="BL57" i="23916"/>
  <c r="BJ57" i="23916"/>
  <c r="BH57" i="23916"/>
  <c r="BH55" i="23916"/>
  <c r="CM55" i="23916"/>
  <c r="CM53" i="23916" s="1"/>
  <c r="CK55" i="23916"/>
  <c r="CK58" i="23916" s="1"/>
  <c r="CI55" i="23916"/>
  <c r="CG55" i="23916"/>
  <c r="CG58" i="23916" s="1"/>
  <c r="CE55" i="23916"/>
  <c r="CE53" i="23916" s="1"/>
  <c r="CC55" i="23916"/>
  <c r="CC58" i="23916" s="1"/>
  <c r="CA55" i="23916"/>
  <c r="BY55" i="23916"/>
  <c r="BY58" i="23916" s="1"/>
  <c r="BW55" i="23916"/>
  <c r="BW53" i="23916" s="1"/>
  <c r="BW64" i="23916" s="1"/>
  <c r="BU55" i="23916"/>
  <c r="BU58" i="23916" s="1"/>
  <c r="BS55" i="23916"/>
  <c r="BQ55" i="23916"/>
  <c r="BQ58" i="23916" s="1"/>
  <c r="BR58" i="23916" s="1"/>
  <c r="BO55" i="23916"/>
  <c r="BO53" i="23916" s="1"/>
  <c r="BM55" i="23916"/>
  <c r="BM58" i="23916" s="1"/>
  <c r="BN58" i="23916" s="1"/>
  <c r="BK55" i="23916"/>
  <c r="BI55" i="23916"/>
  <c r="BI58" i="23916" s="1"/>
  <c r="BJ58" i="23916" s="1"/>
  <c r="BG55" i="23916"/>
  <c r="BG53" i="23916" s="1"/>
  <c r="BG64" i="23916" s="1"/>
  <c r="GN57" i="23916"/>
  <c r="GO57" i="23916" s="1"/>
  <c r="GL57" i="23916"/>
  <c r="GJ57" i="23916"/>
  <c r="GK57" i="23916" s="1"/>
  <c r="GH57" i="23916"/>
  <c r="GF57" i="23916"/>
  <c r="GG57" i="23916" s="1"/>
  <c r="GD57" i="23916"/>
  <c r="GB57" i="23916"/>
  <c r="GC57" i="23916" s="1"/>
  <c r="FZ57" i="23916"/>
  <c r="FZ75" i="23916" s="1"/>
  <c r="FX57" i="23916"/>
  <c r="FV57" i="23916"/>
  <c r="FV75" i="23916" s="1"/>
  <c r="FT57" i="23916"/>
  <c r="GO54" i="23916"/>
  <c r="GN54" i="23916"/>
  <c r="GM54" i="23916"/>
  <c r="GL54" i="23916"/>
  <c r="GK54" i="23916"/>
  <c r="GJ54" i="23916"/>
  <c r="GI54" i="23916"/>
  <c r="GH54" i="23916"/>
  <c r="GG54" i="23916"/>
  <c r="GF54" i="23916"/>
  <c r="GE54" i="23916"/>
  <c r="GD54" i="23916"/>
  <c r="GC54" i="23916"/>
  <c r="GB54" i="23916"/>
  <c r="GA54" i="23916"/>
  <c r="FZ54" i="23916"/>
  <c r="FY54" i="23916"/>
  <c r="FX54" i="23916"/>
  <c r="FW54" i="23916"/>
  <c r="FV54" i="23916"/>
  <c r="FU54" i="23916"/>
  <c r="FT54" i="23916"/>
  <c r="GN53" i="23916"/>
  <c r="GL53" i="23916"/>
  <c r="GJ53" i="23916"/>
  <c r="GH53" i="23916"/>
  <c r="GF53" i="23916"/>
  <c r="GD53" i="23916"/>
  <c r="GB53" i="23916"/>
  <c r="GK52" i="23916"/>
  <c r="GJ52" i="23916"/>
  <c r="GI52" i="23916"/>
  <c r="GH52" i="23916"/>
  <c r="GG52" i="23916"/>
  <c r="GF52" i="23916"/>
  <c r="GD52" i="23916"/>
  <c r="ER57" i="23916"/>
  <c r="EQ57" i="23916"/>
  <c r="EP57" i="23916"/>
  <c r="EW54" i="23916"/>
  <c r="EX54" i="23916" s="1"/>
  <c r="EU54" i="23916"/>
  <c r="ES54" i="23916"/>
  <c r="ET54" i="23916" s="1"/>
  <c r="EQ54" i="23916"/>
  <c r="EP54" i="23916"/>
  <c r="EP53" i="23916"/>
  <c r="EO52" i="23916"/>
  <c r="EO70" i="23916" s="1"/>
  <c r="EP70" i="23916" s="1"/>
  <c r="EM52" i="23916"/>
  <c r="EN52" i="23916" s="1"/>
  <c r="EK52" i="23916"/>
  <c r="EK60" i="23916" s="1"/>
  <c r="EI52" i="23916"/>
  <c r="EG52" i="23916"/>
  <c r="EG70" i="23916" s="1"/>
  <c r="EH70" i="23916" s="1"/>
  <c r="EE52" i="23916"/>
  <c r="EC52" i="23916"/>
  <c r="EC60" i="23916" s="1"/>
  <c r="EA52" i="23916"/>
  <c r="CN53" i="23916"/>
  <c r="CF53" i="23916"/>
  <c r="BX53" i="23916"/>
  <c r="BP53" i="23916"/>
  <c r="BH53" i="23916"/>
  <c r="CN52" i="23916"/>
  <c r="CM52" i="23916"/>
  <c r="CM70" i="23916" s="1"/>
  <c r="CL52" i="23916"/>
  <c r="CK52" i="23916"/>
  <c r="CK62" i="23916" s="1"/>
  <c r="CJ52" i="23916"/>
  <c r="CI52" i="23916"/>
  <c r="CI70" i="23916" s="1"/>
  <c r="CH52" i="23916"/>
  <c r="CG52" i="23916"/>
  <c r="CF52" i="23916"/>
  <c r="CE52" i="23916"/>
  <c r="CE70" i="23916" s="1"/>
  <c r="CD52" i="23916"/>
  <c r="CC52" i="23916"/>
  <c r="CC62" i="23916" s="1"/>
  <c r="CB52" i="23916"/>
  <c r="CA52" i="23916"/>
  <c r="CA70" i="23916" s="1"/>
  <c r="BZ52" i="23916"/>
  <c r="BY52" i="23916"/>
  <c r="BX52" i="23916"/>
  <c r="BW52" i="23916"/>
  <c r="BW70" i="23916" s="1"/>
  <c r="BV52" i="23916"/>
  <c r="BU52" i="23916"/>
  <c r="BU62" i="23916" s="1"/>
  <c r="BT52" i="23916"/>
  <c r="BS52" i="23916"/>
  <c r="BS70" i="23916" s="1"/>
  <c r="BR52" i="23916"/>
  <c r="BQ52" i="23916"/>
  <c r="BP52" i="23916"/>
  <c r="BO52" i="23916"/>
  <c r="BO70" i="23916" s="1"/>
  <c r="BN52" i="23916"/>
  <c r="BM52" i="23916"/>
  <c r="BM62" i="23916" s="1"/>
  <c r="BL52" i="23916"/>
  <c r="BK52" i="23916"/>
  <c r="BK70" i="23916" s="1"/>
  <c r="BL70" i="23916" s="1"/>
  <c r="BJ52" i="23916"/>
  <c r="BI52" i="23916"/>
  <c r="BH52" i="23916"/>
  <c r="BG52" i="23916"/>
  <c r="BG70" i="23916" s="1"/>
  <c r="BH70" i="23916" s="1"/>
  <c r="GW51" i="23916"/>
  <c r="GU51" i="23916"/>
  <c r="GS51" i="23916"/>
  <c r="GQ51" i="23916"/>
  <c r="GO51" i="23916"/>
  <c r="GM51" i="23916"/>
  <c r="GM50" i="23916"/>
  <c r="GK51" i="23916"/>
  <c r="GI51" i="23916"/>
  <c r="GG51" i="23916"/>
  <c r="EX51" i="23916"/>
  <c r="EV51" i="23916"/>
  <c r="ET51" i="23916"/>
  <c r="ER51" i="23916"/>
  <c r="ER50" i="23916"/>
  <c r="EP51" i="23916"/>
  <c r="EP50" i="23916"/>
  <c r="GN50" i="23916"/>
  <c r="GO50" i="23916" s="1"/>
  <c r="GL50" i="23916"/>
  <c r="GJ50" i="23916"/>
  <c r="GK50" i="23916" s="1"/>
  <c r="GH50" i="23916"/>
  <c r="GH60" i="23916" s="1"/>
  <c r="ES50" i="23916"/>
  <c r="DL50" i="23916"/>
  <c r="DJ50" i="23916"/>
  <c r="DH50" i="23916"/>
  <c r="DF50" i="23916"/>
  <c r="DD50" i="23916"/>
  <c r="DB50" i="23916"/>
  <c r="CZ50" i="23916"/>
  <c r="CX50" i="23916"/>
  <c r="CV50" i="23916"/>
  <c r="CT50" i="23916"/>
  <c r="CR50" i="23916"/>
  <c r="CP50" i="23916"/>
  <c r="CN50" i="23916"/>
  <c r="CM50" i="23916"/>
  <c r="CM69" i="23916" s="1"/>
  <c r="CL50" i="23916"/>
  <c r="CK50" i="23916"/>
  <c r="CK60" i="23916" s="1"/>
  <c r="CJ50" i="23916"/>
  <c r="CI50" i="23916"/>
  <c r="CI69" i="23916" s="1"/>
  <c r="CH50" i="23916"/>
  <c r="CG50" i="23916"/>
  <c r="CG60" i="23916" s="1"/>
  <c r="CF50" i="23916"/>
  <c r="CE50" i="23916"/>
  <c r="CE69" i="23916" s="1"/>
  <c r="CD50" i="23916"/>
  <c r="CC50" i="23916"/>
  <c r="CC60" i="23916" s="1"/>
  <c r="CB50" i="23916"/>
  <c r="CA50" i="23916"/>
  <c r="CA69" i="23916" s="1"/>
  <c r="BZ50" i="23916"/>
  <c r="BY50" i="23916"/>
  <c r="BY60" i="23916" s="1"/>
  <c r="BX50" i="23916"/>
  <c r="BW50" i="23916"/>
  <c r="BW69" i="23916" s="1"/>
  <c r="BV50" i="23916"/>
  <c r="BU50" i="23916"/>
  <c r="BU60" i="23916" s="1"/>
  <c r="BT50" i="23916"/>
  <c r="BS50" i="23916"/>
  <c r="BS69" i="23916" s="1"/>
  <c r="BR50" i="23916"/>
  <c r="BQ50" i="23916"/>
  <c r="BQ60" i="23916" s="1"/>
  <c r="BP50" i="23916"/>
  <c r="BO50" i="23916"/>
  <c r="BO69" i="23916" s="1"/>
  <c r="BN50" i="23916"/>
  <c r="BM50" i="23916"/>
  <c r="BM60" i="23916" s="1"/>
  <c r="BL50" i="23916"/>
  <c r="BK50" i="23916"/>
  <c r="BK69" i="23916" s="1"/>
  <c r="BJ50" i="23916"/>
  <c r="BI50" i="23916"/>
  <c r="BI60" i="23916" s="1"/>
  <c r="BH50" i="23916"/>
  <c r="BG50" i="23916"/>
  <c r="BG69" i="23916" s="1"/>
  <c r="GZ51" i="23916"/>
  <c r="GY51" i="23916"/>
  <c r="GF50" i="23916"/>
  <c r="GG50" i="23916" s="1"/>
  <c r="GD50" i="23916"/>
  <c r="GB50" i="23916"/>
  <c r="GC50" i="23916" s="1"/>
  <c r="FZ50" i="23916"/>
  <c r="FX50" i="23916"/>
  <c r="FY50" i="23916" s="1"/>
  <c r="FV50" i="23916"/>
  <c r="FT50" i="23916"/>
  <c r="FU50" i="23916" s="1"/>
  <c r="CO49" i="23916"/>
  <c r="CM49" i="23916"/>
  <c r="CM56" i="23916" s="1"/>
  <c r="CK49" i="23916"/>
  <c r="CK68" i="23916" s="1"/>
  <c r="CI49" i="23916"/>
  <c r="CI56" i="23916" s="1"/>
  <c r="CG49" i="23916"/>
  <c r="CE49" i="23916"/>
  <c r="CE56" i="23916" s="1"/>
  <c r="CC49" i="23916"/>
  <c r="CC65" i="23916" s="1"/>
  <c r="CA49" i="23916"/>
  <c r="CA56" i="23916" s="1"/>
  <c r="BY49" i="23916"/>
  <c r="BW49" i="23916"/>
  <c r="BW56" i="23916" s="1"/>
  <c r="BU49" i="23916"/>
  <c r="BU68" i="23916" s="1"/>
  <c r="BS49" i="23916"/>
  <c r="BS56" i="23916" s="1"/>
  <c r="BQ49" i="23916"/>
  <c r="BO49" i="23916"/>
  <c r="BO56" i="23916" s="1"/>
  <c r="BM49" i="23916"/>
  <c r="BM65" i="23916" s="1"/>
  <c r="BK49" i="23916"/>
  <c r="BK56" i="23916" s="1"/>
  <c r="BI49" i="23916"/>
  <c r="BG49" i="23916"/>
  <c r="BG68" i="23916" s="1"/>
  <c r="GZ47" i="23916"/>
  <c r="GZ45" i="23916"/>
  <c r="GX42" i="23916"/>
  <c r="GV45" i="23916"/>
  <c r="GX45" i="23916" s="1"/>
  <c r="GT45" i="23916"/>
  <c r="GT42" i="23916"/>
  <c r="GV42" i="23916" s="1"/>
  <c r="CO42" i="23916"/>
  <c r="CM43" i="23916"/>
  <c r="CG42" i="23916"/>
  <c r="CE43" i="23916"/>
  <c r="BY42" i="23916"/>
  <c r="BW43" i="23916"/>
  <c r="BS41" i="23916"/>
  <c r="BQ42" i="23916"/>
  <c r="BO43" i="23916"/>
  <c r="BI42" i="23916"/>
  <c r="BG43" i="23916"/>
  <c r="BG42" i="23916"/>
  <c r="BG41" i="23916"/>
  <c r="EU45" i="23916"/>
  <c r="ES45" i="23916"/>
  <c r="DZ39" i="23916"/>
  <c r="DY39" i="23916"/>
  <c r="DY736" i="23916" s="1"/>
  <c r="DX39" i="23916"/>
  <c r="DW39" i="23916"/>
  <c r="DW736" i="23916" s="1"/>
  <c r="DV39" i="23916"/>
  <c r="DU39" i="23916"/>
  <c r="DU736" i="23916" s="1"/>
  <c r="DT39" i="23916"/>
  <c r="DS39" i="23916"/>
  <c r="DS736" i="23916" s="1"/>
  <c r="DR39" i="23916"/>
  <c r="DQ39" i="23916"/>
  <c r="DQ736" i="23916" s="1"/>
  <c r="DP39" i="23916"/>
  <c r="DO39" i="23916"/>
  <c r="DO736" i="23916" s="1"/>
  <c r="DN39" i="23916"/>
  <c r="DM39" i="23916"/>
  <c r="DM736" i="23916" s="1"/>
  <c r="DL39" i="23916"/>
  <c r="DK39" i="23916"/>
  <c r="DK736" i="23916" s="1"/>
  <c r="DJ39" i="23916"/>
  <c r="DI39" i="23916"/>
  <c r="DI736" i="23916" s="1"/>
  <c r="DH39" i="23916"/>
  <c r="DG39" i="23916"/>
  <c r="DG736" i="23916" s="1"/>
  <c r="DF39" i="23916"/>
  <c r="DE39" i="23916"/>
  <c r="DE736" i="23916" s="1"/>
  <c r="DD39" i="23916"/>
  <c r="DC39" i="23916"/>
  <c r="DC736" i="23916" s="1"/>
  <c r="DB39" i="23916"/>
  <c r="DA39" i="23916"/>
  <c r="DA736" i="23916" s="1"/>
  <c r="CZ39" i="23916"/>
  <c r="CY39" i="23916"/>
  <c r="CY736" i="23916" s="1"/>
  <c r="CX39" i="23916"/>
  <c r="CW39" i="23916"/>
  <c r="CW736" i="23916" s="1"/>
  <c r="CV39" i="23916"/>
  <c r="CU39" i="23916"/>
  <c r="CU736" i="23916" s="1"/>
  <c r="CT39" i="23916"/>
  <c r="CS39" i="23916"/>
  <c r="CS736" i="23916" s="1"/>
  <c r="CR39" i="23916"/>
  <c r="CQ39" i="23916"/>
  <c r="CQ736" i="23916" s="1"/>
  <c r="CP39" i="23916"/>
  <c r="CO39" i="23916"/>
  <c r="CO736" i="23916" s="1"/>
  <c r="CN39" i="23916"/>
  <c r="CM39" i="23916"/>
  <c r="CM736" i="23916" s="1"/>
  <c r="CL39" i="23916"/>
  <c r="CK39" i="23916"/>
  <c r="CK736" i="23916" s="1"/>
  <c r="CJ39" i="23916"/>
  <c r="CI39" i="23916"/>
  <c r="CI736" i="23916" s="1"/>
  <c r="CH39" i="23916"/>
  <c r="CG39" i="23916"/>
  <c r="CG736" i="23916" s="1"/>
  <c r="CF39" i="23916"/>
  <c r="CE39" i="23916"/>
  <c r="CE736" i="23916" s="1"/>
  <c r="CD39" i="23916"/>
  <c r="CC39" i="23916"/>
  <c r="CC736" i="23916" s="1"/>
  <c r="CB39" i="23916"/>
  <c r="CA39" i="23916"/>
  <c r="CA736" i="23916" s="1"/>
  <c r="BZ39" i="23916"/>
  <c r="BY39" i="23916"/>
  <c r="BY736" i="23916" s="1"/>
  <c r="BX39" i="23916"/>
  <c r="BW39" i="23916"/>
  <c r="BW736" i="23916" s="1"/>
  <c r="BV39" i="23916"/>
  <c r="BU39" i="23916"/>
  <c r="BU736" i="23916" s="1"/>
  <c r="BT39" i="23916"/>
  <c r="BS39" i="23916"/>
  <c r="BS736" i="23916" s="1"/>
  <c r="BR39" i="23916"/>
  <c r="BQ39" i="23916"/>
  <c r="BQ736" i="23916" s="1"/>
  <c r="BP39" i="23916"/>
  <c r="BO39" i="23916"/>
  <c r="BO736" i="23916" s="1"/>
  <c r="BN39" i="23916"/>
  <c r="BM39" i="23916"/>
  <c r="BM736" i="23916" s="1"/>
  <c r="BL39" i="23916"/>
  <c r="BK39" i="23916"/>
  <c r="BK736" i="23916" s="1"/>
  <c r="BJ39" i="23916"/>
  <c r="BI39" i="23916"/>
  <c r="BI736" i="23916" s="1"/>
  <c r="BH39" i="23916"/>
  <c r="BG39" i="23916"/>
  <c r="BG736" i="23916" s="1"/>
  <c r="CO37" i="23916"/>
  <c r="CP37" i="23916" s="1"/>
  <c r="EN36" i="23916"/>
  <c r="EN33" i="23916"/>
  <c r="EN32" i="23916"/>
  <c r="EN30" i="23916"/>
  <c r="EN29" i="23916"/>
  <c r="EL36" i="23916"/>
  <c r="EL33" i="23916"/>
  <c r="EL32" i="23916"/>
  <c r="EL30" i="23916"/>
  <c r="EL29" i="23916"/>
  <c r="EJ36" i="23916"/>
  <c r="EJ33" i="23916"/>
  <c r="EJ32" i="23916"/>
  <c r="EJ31" i="23916"/>
  <c r="EJ30" i="23916"/>
  <c r="EJ29" i="23916"/>
  <c r="EH36" i="23916"/>
  <c r="EH33" i="23916"/>
  <c r="EH32" i="23916"/>
  <c r="EH30" i="23916"/>
  <c r="EH29" i="23916"/>
  <c r="EF36" i="23916"/>
  <c r="EF33" i="23916"/>
  <c r="EF32" i="23916"/>
  <c r="EF30" i="23916"/>
  <c r="EF29" i="23916"/>
  <c r="ED36" i="23916"/>
  <c r="ED33" i="23916"/>
  <c r="ED32" i="23916"/>
  <c r="ED30" i="23916"/>
  <c r="ED29" i="23916"/>
  <c r="EB36" i="23916"/>
  <c r="EB33" i="23916"/>
  <c r="EB32" i="23916"/>
  <c r="EB31" i="23916"/>
  <c r="EB30" i="23916"/>
  <c r="EB29" i="23916"/>
  <c r="DZ36" i="23916"/>
  <c r="DZ33" i="23916"/>
  <c r="DZ32" i="23916"/>
  <c r="DZ31" i="23916"/>
  <c r="DZ30" i="23916"/>
  <c r="DZ29" i="23916"/>
  <c r="DV36" i="23916"/>
  <c r="DV33" i="23916"/>
  <c r="DV32" i="23916"/>
  <c r="DV31" i="23916"/>
  <c r="DV30" i="23916"/>
  <c r="DV29" i="23916"/>
  <c r="DT36" i="23916"/>
  <c r="DT33" i="23916"/>
  <c r="DT32" i="23916"/>
  <c r="DT31" i="23916"/>
  <c r="DT30" i="23916"/>
  <c r="DT29" i="23916"/>
  <c r="DR36" i="23916"/>
  <c r="DR33" i="23916"/>
  <c r="DR32" i="23916"/>
  <c r="DR31" i="23916"/>
  <c r="DR30" i="23916"/>
  <c r="DR29" i="23916"/>
  <c r="DP36" i="23916"/>
  <c r="DP33" i="23916"/>
  <c r="DP32" i="23916"/>
  <c r="DP31" i="23916"/>
  <c r="DP30" i="23916"/>
  <c r="DP29" i="23916"/>
  <c r="DN36" i="23916"/>
  <c r="DN33" i="23916"/>
  <c r="DN32" i="23916"/>
  <c r="DN31" i="23916"/>
  <c r="DN30" i="23916"/>
  <c r="DN29" i="23916"/>
  <c r="DL36" i="23916"/>
  <c r="DL33" i="23916"/>
  <c r="DL32" i="23916"/>
  <c r="DL31" i="23916"/>
  <c r="DJ36" i="23916"/>
  <c r="DJ33" i="23916"/>
  <c r="DJ32" i="23916"/>
  <c r="DJ31" i="23916"/>
  <c r="DH36" i="23916"/>
  <c r="DH33" i="23916"/>
  <c r="DH32" i="23916"/>
  <c r="DH31" i="23916"/>
  <c r="DF36" i="23916"/>
  <c r="DF33" i="23916"/>
  <c r="DF32" i="23916"/>
  <c r="DF31" i="23916"/>
  <c r="DD36" i="23916"/>
  <c r="DD33" i="23916"/>
  <c r="DD32" i="23916"/>
  <c r="DD31" i="23916"/>
  <c r="DB36" i="23916"/>
  <c r="DB33" i="23916"/>
  <c r="DB32" i="23916"/>
  <c r="DB31" i="23916"/>
  <c r="CZ36" i="23916"/>
  <c r="CZ33" i="23916"/>
  <c r="CZ32" i="23916"/>
  <c r="CZ31" i="23916"/>
  <c r="CX36" i="23916"/>
  <c r="CX33" i="23916"/>
  <c r="CX32" i="23916"/>
  <c r="CX31" i="23916"/>
  <c r="CV36" i="23916"/>
  <c r="CV33" i="23916"/>
  <c r="CV31" i="23916"/>
  <c r="CT36" i="23916"/>
  <c r="CT33" i="23916"/>
  <c r="CT31" i="23916"/>
  <c r="CR36" i="23916"/>
  <c r="CR33" i="23916"/>
  <c r="CR31" i="23916"/>
  <c r="CP36" i="23916"/>
  <c r="CP33" i="23916"/>
  <c r="CP31" i="23916"/>
  <c r="CM35" i="23916"/>
  <c r="CG35" i="23916"/>
  <c r="CH35" i="23916" s="1"/>
  <c r="CE35" i="23916"/>
  <c r="CF35" i="23916" s="1"/>
  <c r="BY35" i="23916"/>
  <c r="BZ35" i="23916" s="1"/>
  <c r="BW35" i="23916"/>
  <c r="BS35" i="23916"/>
  <c r="BQ35" i="23916"/>
  <c r="BR35" i="23916" s="1"/>
  <c r="BO35" i="23916"/>
  <c r="BI35" i="23916"/>
  <c r="BJ35" i="23916" s="1"/>
  <c r="BG35" i="23916"/>
  <c r="BH35" i="23916" s="1"/>
  <c r="EQ36" i="23916"/>
  <c r="EP36" i="23916"/>
  <c r="CO34" i="23916"/>
  <c r="CP34" i="23916" s="1"/>
  <c r="CN34" i="23916"/>
  <c r="CL34" i="23916"/>
  <c r="CJ34" i="23916"/>
  <c r="CH34" i="23916"/>
  <c r="CF34" i="23916"/>
  <c r="CD34" i="23916"/>
  <c r="CB34" i="23916"/>
  <c r="BZ34" i="23916"/>
  <c r="BX34" i="23916"/>
  <c r="BV34" i="23916"/>
  <c r="BT34" i="23916"/>
  <c r="BR34" i="23916"/>
  <c r="BP34" i="23916"/>
  <c r="BN34" i="23916"/>
  <c r="BL34" i="23916"/>
  <c r="BJ34" i="23916"/>
  <c r="BH34" i="23916"/>
  <c r="EX33" i="23916"/>
  <c r="EX30" i="23916"/>
  <c r="EV33" i="23916"/>
  <c r="EV30" i="23916"/>
  <c r="ET33" i="23916"/>
  <c r="ET30" i="23916"/>
  <c r="ER33" i="23916"/>
  <c r="ER30" i="23916"/>
  <c r="EP33" i="23916"/>
  <c r="EP32" i="23916"/>
  <c r="EP30" i="23916"/>
  <c r="EP29" i="23916"/>
  <c r="BH32" i="23916"/>
  <c r="BG32" i="23916"/>
  <c r="BG71" i="23916" s="1"/>
  <c r="BH71" i="23916" s="1"/>
  <c r="GN36" i="23916"/>
  <c r="GL36" i="23916"/>
  <c r="GL75" i="23916" s="1"/>
  <c r="GJ36" i="23916"/>
  <c r="GH36" i="23916"/>
  <c r="GH75" i="23916" s="1"/>
  <c r="GF36" i="23916"/>
  <c r="GD36" i="23916"/>
  <c r="GD75" i="23916" s="1"/>
  <c r="GB36" i="23916"/>
  <c r="GS33" i="23916"/>
  <c r="GR33" i="23916"/>
  <c r="GQ33" i="23916"/>
  <c r="GP33" i="23916"/>
  <c r="GO33" i="23916"/>
  <c r="GN33" i="23916"/>
  <c r="GN72" i="23916" s="1"/>
  <c r="GO72" i="23916" s="1"/>
  <c r="GM33" i="23916"/>
  <c r="GL33" i="23916"/>
  <c r="GK33" i="23916"/>
  <c r="GJ33" i="23916"/>
  <c r="GJ72" i="23916" s="1"/>
  <c r="GI33" i="23916"/>
  <c r="GH33" i="23916"/>
  <c r="GG33" i="23916"/>
  <c r="GF33" i="23916"/>
  <c r="GF72" i="23916" s="1"/>
  <c r="GG72" i="23916" s="1"/>
  <c r="GE33" i="23916"/>
  <c r="GD33" i="23916"/>
  <c r="GC33" i="23916"/>
  <c r="GB33" i="23916"/>
  <c r="GB72" i="23916" s="1"/>
  <c r="GC72" i="23916" s="1"/>
  <c r="GN32" i="23916"/>
  <c r="GL32" i="23916"/>
  <c r="GJ32" i="23916"/>
  <c r="GH32" i="23916"/>
  <c r="GF32" i="23916"/>
  <c r="GD32" i="23916"/>
  <c r="GK31" i="23916"/>
  <c r="GJ31" i="23916"/>
  <c r="GI31" i="23916"/>
  <c r="GH31" i="23916"/>
  <c r="GH70" i="23916" s="1"/>
  <c r="GI70" i="23916" s="1"/>
  <c r="GG31" i="23916"/>
  <c r="GF31" i="23916"/>
  <c r="GE31" i="23916"/>
  <c r="GD31" i="23916"/>
  <c r="GD70" i="23916" s="1"/>
  <c r="GC31" i="23916"/>
  <c r="GB31" i="23916"/>
  <c r="GA33" i="23916"/>
  <c r="FZ33" i="23916"/>
  <c r="FY33" i="23916"/>
  <c r="FX33" i="23916"/>
  <c r="FX72" i="23916" s="1"/>
  <c r="FY72" i="23916" s="1"/>
  <c r="FW33" i="23916"/>
  <c r="FV33" i="23916"/>
  <c r="FU33" i="23916"/>
  <c r="FT33" i="23916"/>
  <c r="FT72" i="23916" s="1"/>
  <c r="FU72" i="23916" s="1"/>
  <c r="GA31" i="23916"/>
  <c r="FZ31" i="23916"/>
  <c r="FY31" i="23916"/>
  <c r="FX31" i="23916"/>
  <c r="FW31" i="23916"/>
  <c r="FV31" i="23916"/>
  <c r="FU31" i="23916"/>
  <c r="FT31" i="23916"/>
  <c r="FT42" i="23916" s="1"/>
  <c r="EO31" i="23916"/>
  <c r="EP31" i="23916" s="1"/>
  <c r="EM31" i="23916"/>
  <c r="EM70" i="23916" s="1"/>
  <c r="EK31" i="23916"/>
  <c r="EI31" i="23916"/>
  <c r="EI70" i="23916" s="1"/>
  <c r="EG31" i="23916"/>
  <c r="EG39" i="23916" s="1"/>
  <c r="EE31" i="23916"/>
  <c r="EE70" i="23916" s="1"/>
  <c r="EF70" i="23916" s="1"/>
  <c r="EC31" i="23916"/>
  <c r="EA31" i="23916"/>
  <c r="EA70" i="23916" s="1"/>
  <c r="EB70" i="23916" s="1"/>
  <c r="CN31" i="23916"/>
  <c r="CL31" i="23916"/>
  <c r="CJ31" i="23916"/>
  <c r="CH31" i="23916"/>
  <c r="CF31" i="23916"/>
  <c r="CD31" i="23916"/>
  <c r="CB31" i="23916"/>
  <c r="BZ31" i="23916"/>
  <c r="BX31" i="23916"/>
  <c r="BV31" i="23916"/>
  <c r="BT31" i="23916"/>
  <c r="BR31" i="23916"/>
  <c r="BP31" i="23916"/>
  <c r="BN31" i="23916"/>
  <c r="BL31" i="23916"/>
  <c r="BJ31" i="23916"/>
  <c r="BH31" i="23916"/>
  <c r="GW30" i="23916"/>
  <c r="GU30" i="23916"/>
  <c r="GS30" i="23916"/>
  <c r="GQ30" i="23916"/>
  <c r="GO30" i="23916"/>
  <c r="GO29" i="23916"/>
  <c r="GM30" i="23916"/>
  <c r="GK30" i="23916"/>
  <c r="GI30" i="23916"/>
  <c r="GG30" i="23916"/>
  <c r="GN29" i="23916"/>
  <c r="GL29" i="23916"/>
  <c r="GL69" i="23916" s="1"/>
  <c r="GJ29" i="23916"/>
  <c r="GH29" i="23916"/>
  <c r="GH69" i="23916" s="1"/>
  <c r="DL29" i="23916"/>
  <c r="DJ29" i="23916"/>
  <c r="DH29" i="23916"/>
  <c r="DF29" i="23916"/>
  <c r="DD29" i="23916"/>
  <c r="DB29" i="23916"/>
  <c r="CZ29" i="23916"/>
  <c r="CX29" i="23916"/>
  <c r="CV29" i="23916"/>
  <c r="CT29" i="23916"/>
  <c r="CR29" i="23916"/>
  <c r="CP29" i="23916"/>
  <c r="CP28" i="23916"/>
  <c r="CN29" i="23916"/>
  <c r="CL29" i="23916"/>
  <c r="CJ29" i="23916"/>
  <c r="CH29" i="23916"/>
  <c r="CH28" i="23916"/>
  <c r="CF29" i="23916"/>
  <c r="CD29" i="23916"/>
  <c r="CB29" i="23916"/>
  <c r="BZ29" i="23916"/>
  <c r="BZ28" i="23916"/>
  <c r="BX29" i="23916"/>
  <c r="BV29" i="23916"/>
  <c r="BT29" i="23916"/>
  <c r="BR29" i="23916"/>
  <c r="BR28" i="23916"/>
  <c r="BP29" i="23916"/>
  <c r="BN29" i="23916"/>
  <c r="BL29" i="23916"/>
  <c r="BJ29" i="23916"/>
  <c r="BJ28" i="23916"/>
  <c r="BH29" i="23916"/>
  <c r="BH28" i="23916"/>
  <c r="GZ30" i="23916"/>
  <c r="GY30" i="23916"/>
  <c r="GF29" i="23916"/>
  <c r="GD29" i="23916"/>
  <c r="GB29" i="23916"/>
  <c r="FZ29" i="23916"/>
  <c r="FX29" i="23916"/>
  <c r="FV29" i="23916"/>
  <c r="FT29" i="23916"/>
  <c r="FU28" i="23916"/>
  <c r="FT28" i="23916"/>
  <c r="CQ28" i="23916"/>
  <c r="CQ41" i="23916" s="1"/>
  <c r="CO28" i="23916"/>
  <c r="CO44" i="23916" s="1"/>
  <c r="CO45" i="23916" s="1"/>
  <c r="CM28" i="23916"/>
  <c r="CM68" i="23916" s="1"/>
  <c r="CK28" i="23916"/>
  <c r="CK42" i="23916" s="1"/>
  <c r="CI28" i="23916"/>
  <c r="CG28" i="23916"/>
  <c r="CG41" i="23916" s="1"/>
  <c r="CE28" i="23916"/>
  <c r="CE68" i="23916" s="1"/>
  <c r="CC28" i="23916"/>
  <c r="CC42" i="23916" s="1"/>
  <c r="CA28" i="23916"/>
  <c r="CA41" i="23916" s="1"/>
  <c r="BY28" i="23916"/>
  <c r="BY41" i="23916" s="1"/>
  <c r="BW28" i="23916"/>
  <c r="BW68" i="23916" s="1"/>
  <c r="BU28" i="23916"/>
  <c r="BU42" i="23916" s="1"/>
  <c r="BS28" i="23916"/>
  <c r="BQ28" i="23916"/>
  <c r="BQ41" i="23916" s="1"/>
  <c r="BO28" i="23916"/>
  <c r="BO68" i="23916" s="1"/>
  <c r="BM28" i="23916"/>
  <c r="BM42" i="23916" s="1"/>
  <c r="BK28" i="23916"/>
  <c r="BK35" i="23916" s="1"/>
  <c r="BI28" i="23916"/>
  <c r="BI41" i="23916" s="1"/>
  <c r="GX23" i="23916"/>
  <c r="GX22" i="23916"/>
  <c r="GV23" i="23916"/>
  <c r="GV22" i="23916"/>
  <c r="GT23" i="23916"/>
  <c r="GT22" i="23916"/>
  <c r="GR23" i="23916"/>
  <c r="GR22" i="23916"/>
  <c r="EW23" i="23916"/>
  <c r="EW22" i="23916"/>
  <c r="EU23" i="23916"/>
  <c r="EU22" i="23916"/>
  <c r="ES23" i="23916"/>
  <c r="ES22" i="23916"/>
  <c r="EQ23" i="23916"/>
  <c r="EQ22" i="23916"/>
  <c r="GX13" i="23916"/>
  <c r="GX10" i="23916"/>
  <c r="GV13" i="23916"/>
  <c r="GV10" i="23916"/>
  <c r="GT13" i="23916"/>
  <c r="GT10" i="23916"/>
  <c r="GR13" i="23916"/>
  <c r="GR10" i="23916"/>
  <c r="GP10" i="23916"/>
  <c r="GN13" i="23916"/>
  <c r="GZ13" i="23916" s="1"/>
  <c r="GN10" i="23916"/>
  <c r="GL13" i="23916"/>
  <c r="GL10" i="23916"/>
  <c r="GJ13" i="23916"/>
  <c r="GJ10" i="23916"/>
  <c r="GH13" i="23916"/>
  <c r="GH10" i="23916"/>
  <c r="GF13" i="23916"/>
  <c r="GI13" i="23916" s="1"/>
  <c r="GF10" i="23916"/>
  <c r="GD13" i="23916"/>
  <c r="GD10" i="23916"/>
  <c r="GB13" i="23916"/>
  <c r="GB10" i="23916"/>
  <c r="EW10" i="23916"/>
  <c r="EU13" i="23916"/>
  <c r="EV13" i="23916" s="1"/>
  <c r="EU10" i="23916"/>
  <c r="ES13" i="23916"/>
  <c r="ES10" i="23916"/>
  <c r="EQ13" i="23916"/>
  <c r="EQ10" i="23916"/>
  <c r="EO13" i="23916"/>
  <c r="EO10" i="23916"/>
  <c r="EM13" i="23916"/>
  <c r="EN13" i="23916" s="1"/>
  <c r="EM10" i="23916"/>
  <c r="EK13" i="23916"/>
  <c r="EK10" i="23916"/>
  <c r="EI13" i="23916"/>
  <c r="EI10" i="23916"/>
  <c r="EG13" i="23916"/>
  <c r="EG10" i="23916"/>
  <c r="EE13" i="23916"/>
  <c r="EF13" i="23916" s="1"/>
  <c r="EE10" i="23916"/>
  <c r="EC13" i="23916"/>
  <c r="EC10" i="23916"/>
  <c r="EA13" i="23916"/>
  <c r="EA10" i="23916"/>
  <c r="DY13" i="23916"/>
  <c r="DY10" i="23916"/>
  <c r="DW13" i="23916"/>
  <c r="DW10" i="23916"/>
  <c r="DU13" i="23916"/>
  <c r="DU10" i="23916"/>
  <c r="DS13" i="23916"/>
  <c r="DS10" i="23916"/>
  <c r="DQ13" i="23916"/>
  <c r="DQ10" i="23916"/>
  <c r="DO13" i="23916"/>
  <c r="DX13" i="23916" s="1"/>
  <c r="DO10" i="23916"/>
  <c r="DM13" i="23916"/>
  <c r="DM10" i="23916"/>
  <c r="DK13" i="23916"/>
  <c r="DT13" i="23916" s="1"/>
  <c r="DK10" i="23916"/>
  <c r="DI13" i="23916"/>
  <c r="DI10" i="23916"/>
  <c r="DG13" i="23916"/>
  <c r="DG10" i="23916"/>
  <c r="DE13" i="23916"/>
  <c r="DE10" i="23916"/>
  <c r="DC13" i="23916"/>
  <c r="DC10" i="23916"/>
  <c r="DA13" i="23916"/>
  <c r="DA10" i="23916"/>
  <c r="CY13" i="23916"/>
  <c r="DH13" i="23916" s="1"/>
  <c r="CY10" i="23916"/>
  <c r="CW13" i="23916"/>
  <c r="CW10" i="23916"/>
  <c r="CU13" i="23916"/>
  <c r="DD13" i="23916" s="1"/>
  <c r="CU10" i="23916"/>
  <c r="CS13" i="23916"/>
  <c r="CS10" i="23916"/>
  <c r="CQ13" i="23916"/>
  <c r="CQ10" i="23916"/>
  <c r="CO13" i="23916"/>
  <c r="CO10" i="23916"/>
  <c r="CM13" i="23916"/>
  <c r="CM10" i="23916"/>
  <c r="GW13" i="23916"/>
  <c r="GU13" i="23916"/>
  <c r="GM13" i="23916"/>
  <c r="GK13" i="23916"/>
  <c r="GE13" i="23916"/>
  <c r="GC13" i="23916"/>
  <c r="ET13" i="23916"/>
  <c r="ER13" i="23916"/>
  <c r="EP13" i="23916"/>
  <c r="EL13" i="23916"/>
  <c r="EJ13" i="23916"/>
  <c r="EH13" i="23916"/>
  <c r="ED13" i="23916"/>
  <c r="EB13" i="23916"/>
  <c r="DZ13" i="23916"/>
  <c r="DV13" i="23916"/>
  <c r="DR13" i="23916"/>
  <c r="DN13" i="23916"/>
  <c r="DJ13" i="23916"/>
  <c r="DF13" i="23916"/>
  <c r="DB13" i="23916"/>
  <c r="CX13" i="23916"/>
  <c r="CT13" i="23916"/>
  <c r="CR13" i="23916"/>
  <c r="CP13" i="23916"/>
  <c r="CN13" i="23916"/>
  <c r="GY13" i="23916"/>
  <c r="GC10" i="23916"/>
  <c r="EX10" i="23916"/>
  <c r="EV10" i="23916"/>
  <c r="ET10" i="23916"/>
  <c r="ER10" i="23916"/>
  <c r="EP10" i="23916"/>
  <c r="EN10" i="23916"/>
  <c r="EL10" i="23916"/>
  <c r="EJ10" i="23916"/>
  <c r="EH10" i="23916"/>
  <c r="EF10" i="23916"/>
  <c r="ED10" i="23916"/>
  <c r="EB10" i="23916"/>
  <c r="DZ10" i="23916"/>
  <c r="DX10" i="23916"/>
  <c r="DV10" i="23916"/>
  <c r="DT10" i="23916"/>
  <c r="DR10" i="23916"/>
  <c r="DP10" i="23916"/>
  <c r="DN10" i="23916"/>
  <c r="DL10" i="23916"/>
  <c r="DJ10" i="23916"/>
  <c r="DH10" i="23916"/>
  <c r="DF10" i="23916"/>
  <c r="DD10" i="23916"/>
  <c r="DB10" i="23916"/>
  <c r="CZ10" i="23916"/>
  <c r="CX10" i="23916"/>
  <c r="CV10" i="23916"/>
  <c r="CT10" i="23916"/>
  <c r="CR10" i="23916"/>
  <c r="CP10" i="23916"/>
  <c r="CN10" i="23916"/>
  <c r="GY5" i="23916"/>
  <c r="GY4" i="23916"/>
  <c r="GW5" i="23916"/>
  <c r="GW4" i="23916"/>
  <c r="GU5" i="23916"/>
  <c r="GU4" i="23916"/>
  <c r="GS5" i="23916"/>
  <c r="GS4" i="23916"/>
  <c r="GQ5" i="23916"/>
  <c r="GQ4" i="23916"/>
  <c r="GO5" i="23916"/>
  <c r="GO4" i="23916"/>
  <c r="GM5" i="23916"/>
  <c r="GM4" i="23916"/>
  <c r="GK5" i="23916"/>
  <c r="GK4" i="23916"/>
  <c r="GI5" i="23916"/>
  <c r="GI4" i="23916"/>
  <c r="GG5" i="23916"/>
  <c r="GG4" i="23916"/>
  <c r="GE5" i="23916"/>
  <c r="GE4" i="23916"/>
  <c r="GC5" i="23916"/>
  <c r="GC4" i="23916"/>
  <c r="GA5" i="23916"/>
  <c r="GA4" i="23916"/>
  <c r="FY5" i="23916"/>
  <c r="FY4" i="23916"/>
  <c r="FW5" i="23916"/>
  <c r="FW4" i="23916"/>
  <c r="FU5" i="23916"/>
  <c r="FU4" i="23916"/>
  <c r="FS5" i="23916"/>
  <c r="FS4" i="23916"/>
  <c r="FQ5" i="23916"/>
  <c r="FQ4" i="23916"/>
  <c r="FO5" i="23916"/>
  <c r="FO4" i="23916"/>
  <c r="FM5" i="23916"/>
  <c r="FM4" i="23916"/>
  <c r="FK5" i="23916"/>
  <c r="FK4" i="23916"/>
  <c r="FI5" i="23916"/>
  <c r="FI4" i="23916"/>
  <c r="FG5" i="23916"/>
  <c r="FG4" i="23916"/>
  <c r="FE5" i="23916"/>
  <c r="FE4" i="23916"/>
  <c r="EX5" i="23916"/>
  <c r="EX4" i="23916"/>
  <c r="EV5" i="23916"/>
  <c r="EV4" i="23916"/>
  <c r="ET5" i="23916"/>
  <c r="ET4" i="23916"/>
  <c r="ER5" i="23916"/>
  <c r="ER4" i="23916"/>
  <c r="EP5" i="23916"/>
  <c r="EP4" i="23916"/>
  <c r="EN5" i="23916"/>
  <c r="EN4" i="23916"/>
  <c r="EL5" i="23916"/>
  <c r="EL4" i="23916"/>
  <c r="EJ5" i="23916"/>
  <c r="EJ4" i="23916"/>
  <c r="EH5" i="23916"/>
  <c r="EH4" i="23916"/>
  <c r="EF5" i="23916"/>
  <c r="EF4" i="23916"/>
  <c r="ED5" i="23916"/>
  <c r="ED4" i="23916"/>
  <c r="EB5" i="23916"/>
  <c r="EB4" i="23916"/>
  <c r="DZ5" i="23916"/>
  <c r="DZ4" i="23916"/>
  <c r="DX5" i="23916"/>
  <c r="DX4" i="23916"/>
  <c r="DV5" i="23916"/>
  <c r="DV4" i="23916"/>
  <c r="DT5" i="23916"/>
  <c r="DT4" i="23916"/>
  <c r="DR5" i="23916"/>
  <c r="DR4" i="23916"/>
  <c r="DP5" i="23916"/>
  <c r="DP4" i="23916"/>
  <c r="DN5" i="23916"/>
  <c r="DN4" i="23916"/>
  <c r="DL5" i="23916"/>
  <c r="DL4" i="23916"/>
  <c r="DJ5" i="23916"/>
  <c r="DJ4" i="23916"/>
  <c r="DH5" i="23916"/>
  <c r="DH4" i="23916"/>
  <c r="DF5" i="23916"/>
  <c r="DF4" i="23916"/>
  <c r="DD5" i="23916"/>
  <c r="DD4" i="23916"/>
  <c r="DB5" i="23916"/>
  <c r="DB4" i="23916"/>
  <c r="CZ5" i="23916"/>
  <c r="CZ4" i="23916"/>
  <c r="CX5" i="23916"/>
  <c r="CX4" i="23916"/>
  <c r="CV5" i="23916"/>
  <c r="CV4" i="23916"/>
  <c r="CT5" i="23916"/>
  <c r="CT4" i="23916"/>
  <c r="CR5" i="23916"/>
  <c r="CR4" i="23916"/>
  <c r="CP5" i="23916"/>
  <c r="CP4" i="23916"/>
  <c r="CN5" i="23916"/>
  <c r="CN4" i="23916"/>
  <c r="CL5" i="23916"/>
  <c r="CL4" i="23916"/>
  <c r="CJ5" i="23916"/>
  <c r="CJ4" i="23916"/>
  <c r="CH5" i="23916"/>
  <c r="CH4" i="23916"/>
  <c r="CF5" i="23916"/>
  <c r="CF4" i="23916"/>
  <c r="CD5" i="23916"/>
  <c r="CD4" i="23916"/>
  <c r="CB5" i="23916"/>
  <c r="CB4" i="23916"/>
  <c r="BZ5" i="23916"/>
  <c r="BZ4" i="23916"/>
  <c r="BX5" i="23916"/>
  <c r="BX4" i="23916"/>
  <c r="BV5" i="23916"/>
  <c r="BV4" i="23916"/>
  <c r="BT5" i="23916"/>
  <c r="BT4" i="23916"/>
  <c r="BR5" i="23916"/>
  <c r="BR4" i="23916"/>
  <c r="BP5" i="23916"/>
  <c r="BP4" i="23916"/>
  <c r="BN5" i="23916"/>
  <c r="BN4" i="23916"/>
  <c r="BL5" i="23916"/>
  <c r="BL4" i="23916"/>
  <c r="BJ5" i="23916"/>
  <c r="BJ4" i="23916"/>
  <c r="BH5" i="23916"/>
  <c r="BH4" i="23916"/>
  <c r="BF5" i="23916"/>
  <c r="BF4" i="23916"/>
  <c r="BD5" i="23916"/>
  <c r="BD4" i="23916"/>
  <c r="BB5" i="23916"/>
  <c r="BB4" i="23916"/>
  <c r="AZ5" i="23916"/>
  <c r="AZ4" i="23916"/>
  <c r="AX5" i="23916"/>
  <c r="AX4" i="23916"/>
  <c r="AV5" i="23916"/>
  <c r="AV4" i="23916"/>
  <c r="AT5" i="23916"/>
  <c r="AT4" i="23916"/>
  <c r="AR5" i="23916"/>
  <c r="AR4" i="23916"/>
  <c r="AP5" i="23916"/>
  <c r="AP4" i="23916"/>
  <c r="AN5" i="23916"/>
  <c r="AN4" i="23916"/>
  <c r="AL5" i="23916"/>
  <c r="AL4" i="23916"/>
  <c r="AJ5" i="23916"/>
  <c r="AJ4" i="23916"/>
  <c r="AH5" i="23916"/>
  <c r="AH4" i="23916"/>
  <c r="AF5" i="23916"/>
  <c r="AF4" i="23916"/>
  <c r="AD5" i="23916"/>
  <c r="AD4" i="23916"/>
  <c r="AB5" i="23916"/>
  <c r="AB4" i="23916"/>
  <c r="Z5" i="23916"/>
  <c r="Z4" i="23916"/>
  <c r="X5" i="23916"/>
  <c r="X4" i="23916"/>
  <c r="V5" i="23916"/>
  <c r="V4" i="23916"/>
  <c r="T5" i="23916"/>
  <c r="T4" i="23916"/>
  <c r="R5" i="23916"/>
  <c r="R4" i="23916"/>
  <c r="P5" i="23916"/>
  <c r="P4" i="23916"/>
  <c r="N5" i="23916"/>
  <c r="N4" i="23916"/>
  <c r="L5" i="23916"/>
  <c r="L4" i="23916"/>
  <c r="CY118" i="23916" l="1"/>
  <c r="CY122" i="23916"/>
  <c r="EE119" i="23916"/>
  <c r="EE116" i="23916"/>
  <c r="EF113" i="23916"/>
  <c r="EE115" i="23916"/>
  <c r="EF115" i="23916" s="1"/>
  <c r="CS171" i="23916"/>
  <c r="CT166" i="23916"/>
  <c r="FW75" i="23916"/>
  <c r="EJ109" i="23916"/>
  <c r="ER109" i="23916"/>
  <c r="CQ270" i="23916"/>
  <c r="CQ241" i="23916"/>
  <c r="AU122" i="23916"/>
  <c r="AU118" i="23916"/>
  <c r="AV116" i="23916"/>
  <c r="DI171" i="23916"/>
  <c r="BL35" i="23916"/>
  <c r="BK92" i="23916"/>
  <c r="CF116" i="23916"/>
  <c r="CO155" i="23916"/>
  <c r="CP135" i="23916"/>
  <c r="CO154" i="23916"/>
  <c r="CO156" i="23916" s="1"/>
  <c r="FU165" i="23916"/>
  <c r="BS174" i="23916"/>
  <c r="DX115" i="23916"/>
  <c r="DX119" i="23916"/>
  <c r="DX116" i="23916"/>
  <c r="BM116" i="23916"/>
  <c r="BM115" i="23916"/>
  <c r="BM119" i="23916"/>
  <c r="CC116" i="23916"/>
  <c r="CC115" i="23916"/>
  <c r="CC119" i="23916"/>
  <c r="FT141" i="23916"/>
  <c r="FU132" i="23916"/>
  <c r="GN495" i="23916"/>
  <c r="DE171" i="23916"/>
  <c r="DF166" i="23916"/>
  <c r="DU171" i="23916"/>
  <c r="DV166" i="23916"/>
  <c r="BA174" i="23916"/>
  <c r="BB168" i="23916"/>
  <c r="CV13" i="23916"/>
  <c r="DL13" i="23916"/>
  <c r="FY29" i="23916"/>
  <c r="FX69" i="23916"/>
  <c r="FX39" i="23916"/>
  <c r="GF69" i="23916"/>
  <c r="GF39" i="23916"/>
  <c r="GN69" i="23916"/>
  <c r="EN70" i="23916"/>
  <c r="CA35" i="23916"/>
  <c r="CN35" i="23916"/>
  <c r="BK41" i="23916"/>
  <c r="BJ49" i="23916"/>
  <c r="BI56" i="23916"/>
  <c r="BR49" i="23916"/>
  <c r="BQ56" i="23916"/>
  <c r="BZ49" i="23916"/>
  <c r="BY56" i="23916"/>
  <c r="CH49" i="23916"/>
  <c r="CG56" i="23916"/>
  <c r="CO55" i="23916"/>
  <c r="CO62" i="23916"/>
  <c r="CO64" i="23916"/>
  <c r="CO56" i="23916"/>
  <c r="CP49" i="23916"/>
  <c r="FW50" i="23916"/>
  <c r="GD60" i="23916"/>
  <c r="GE50" i="23916"/>
  <c r="GL52" i="23916"/>
  <c r="EU72" i="23916"/>
  <c r="EV72" i="23916" s="1"/>
  <c r="EV54" i="23916"/>
  <c r="GG53" i="23916"/>
  <c r="GO53" i="23916"/>
  <c r="BO64" i="23916"/>
  <c r="CE64" i="23916"/>
  <c r="CV53" i="23916"/>
  <c r="CM64" i="23916"/>
  <c r="BO58" i="23916"/>
  <c r="CE58" i="23916"/>
  <c r="BO735" i="23916"/>
  <c r="BO63" i="23916"/>
  <c r="BP60" i="23916"/>
  <c r="CE735" i="23916"/>
  <c r="CE63" i="23916"/>
  <c r="CF60" i="23916"/>
  <c r="CQ735" i="23916"/>
  <c r="CR60" i="23916"/>
  <c r="CY735" i="23916"/>
  <c r="CZ60" i="23916"/>
  <c r="DG735" i="23916"/>
  <c r="DH60" i="23916"/>
  <c r="DO735" i="23916"/>
  <c r="DP60" i="23916"/>
  <c r="DW735" i="23916"/>
  <c r="EE735" i="23916"/>
  <c r="EF60" i="23916"/>
  <c r="GF735" i="23916"/>
  <c r="BU65" i="23916"/>
  <c r="CK65" i="23916"/>
  <c r="BU78" i="23916"/>
  <c r="BV69" i="23916"/>
  <c r="CK78" i="23916"/>
  <c r="CL69" i="23916"/>
  <c r="DY78" i="23916"/>
  <c r="DZ69" i="23916"/>
  <c r="EG78" i="23916"/>
  <c r="EH78" i="23916" s="1"/>
  <c r="EH69" i="23916"/>
  <c r="EO78" i="23916"/>
  <c r="EP78" i="23916" s="1"/>
  <c r="EP69" i="23916"/>
  <c r="CR70" i="23916"/>
  <c r="DZ71" i="23916"/>
  <c r="EH71" i="23916"/>
  <c r="EP71" i="23916"/>
  <c r="BR72" i="23916"/>
  <c r="BZ72" i="23916"/>
  <c r="CH72" i="23916"/>
  <c r="CP72" i="23916"/>
  <c r="CX72" i="23916"/>
  <c r="DF72" i="23916"/>
  <c r="DN72" i="23916"/>
  <c r="DV72" i="23916"/>
  <c r="ET72" i="23916"/>
  <c r="ED75" i="23916"/>
  <c r="EL75" i="23916"/>
  <c r="GG70" i="23916"/>
  <c r="GE72" i="23916"/>
  <c r="GI84" i="23916"/>
  <c r="GI85" i="23916"/>
  <c r="FV86" i="23916"/>
  <c r="GL86" i="23916"/>
  <c r="BD87" i="23916"/>
  <c r="BL87" i="23916"/>
  <c r="BT87" i="23916"/>
  <c r="CB87" i="23916"/>
  <c r="CJ87" i="23916"/>
  <c r="CR87" i="23916"/>
  <c r="CZ87" i="23916"/>
  <c r="DH87" i="23916"/>
  <c r="DP87" i="23916"/>
  <c r="ET109" i="23916"/>
  <c r="EL109" i="23916"/>
  <c r="EW90" i="23916"/>
  <c r="AZ98" i="23916"/>
  <c r="FU101" i="23916"/>
  <c r="GC101" i="23916"/>
  <c r="GK101" i="23916"/>
  <c r="FZ102" i="23916"/>
  <c r="GA102" i="23916" s="1"/>
  <c r="FT106" i="23916"/>
  <c r="GE105" i="23916"/>
  <c r="EF103" i="23916"/>
  <c r="EN103" i="23916"/>
  <c r="DX104" i="23916"/>
  <c r="DX110" i="23916" s="1"/>
  <c r="GB105" i="23916"/>
  <c r="CS106" i="23916"/>
  <c r="CT105" i="23916"/>
  <c r="CS104" i="23916"/>
  <c r="DA106" i="23916"/>
  <c r="DB105" i="23916"/>
  <c r="DA104" i="23916"/>
  <c r="DI106" i="23916"/>
  <c r="DJ105" i="23916"/>
  <c r="DI104" i="23916"/>
  <c r="DQ106" i="23916"/>
  <c r="DR105" i="23916"/>
  <c r="DQ104" i="23916"/>
  <c r="DY106" i="23916"/>
  <c r="DZ105" i="23916"/>
  <c r="DY104" i="23916"/>
  <c r="EG106" i="23916"/>
  <c r="EH105" i="23916"/>
  <c r="EG104" i="23916"/>
  <c r="EO106" i="23916"/>
  <c r="EP105" i="23916"/>
  <c r="EO104" i="23916"/>
  <c r="BA106" i="23916"/>
  <c r="BB102" i="23916"/>
  <c r="BD103" i="23916"/>
  <c r="BC104" i="23916"/>
  <c r="BG119" i="23916"/>
  <c r="BG115" i="23916"/>
  <c r="BH113" i="23916"/>
  <c r="BJ110" i="23916"/>
  <c r="BQ106" i="23916"/>
  <c r="BR102" i="23916"/>
  <c r="BS503" i="23916"/>
  <c r="BT503" i="23916" s="1"/>
  <c r="BT103" i="23916"/>
  <c r="BS104" i="23916"/>
  <c r="BW119" i="23916"/>
  <c r="BW115" i="23916"/>
  <c r="BX113" i="23916"/>
  <c r="BZ110" i="23916"/>
  <c r="CG110" i="23916"/>
  <c r="CH110" i="23916" s="1"/>
  <c r="CH104" i="23916"/>
  <c r="CO113" i="23916"/>
  <c r="CP106" i="23916"/>
  <c r="BD106" i="23916"/>
  <c r="BT106" i="23916"/>
  <c r="CJ106" i="23916"/>
  <c r="CZ106" i="23916"/>
  <c r="DP106" i="23916"/>
  <c r="EF106" i="23916"/>
  <c r="EX109" i="23916"/>
  <c r="AW113" i="23916"/>
  <c r="EM113" i="23916"/>
  <c r="BW116" i="23916"/>
  <c r="FY117" i="23916"/>
  <c r="GG117" i="23916"/>
  <c r="FX743" i="23916"/>
  <c r="GF743" i="23916"/>
  <c r="GG137" i="23916"/>
  <c r="GN743" i="23916"/>
  <c r="GG132" i="23916"/>
  <c r="GO132" i="23916"/>
  <c r="BI155" i="23916"/>
  <c r="BJ135" i="23916"/>
  <c r="BY155" i="23916"/>
  <c r="BZ135" i="23916"/>
  <c r="DY743" i="23916"/>
  <c r="DZ137" i="23916"/>
  <c r="EG743" i="23916"/>
  <c r="EH137" i="23916"/>
  <c r="EO743" i="23916"/>
  <c r="EP137" i="23916"/>
  <c r="FZ137" i="23916"/>
  <c r="FU146" i="23916"/>
  <c r="GC146" i="23916"/>
  <c r="FS164" i="23916"/>
  <c r="GI164" i="23916"/>
  <c r="GM164" i="23916"/>
  <c r="BI154" i="23916"/>
  <c r="BI156" i="23916" s="1"/>
  <c r="BY154" i="23916"/>
  <c r="BY156" i="23916" s="1"/>
  <c r="EL161" i="23916"/>
  <c r="ET161" i="23916"/>
  <c r="BE174" i="23916"/>
  <c r="BF168" i="23916"/>
  <c r="FT166" i="23916"/>
  <c r="CZ164" i="23916"/>
  <c r="CY167" i="23916"/>
  <c r="DH164" i="23916"/>
  <c r="DG167" i="23916"/>
  <c r="DP164" i="23916"/>
  <c r="DO167" i="23916"/>
  <c r="ED167" i="23916"/>
  <c r="EC168" i="23916"/>
  <c r="EL167" i="23916"/>
  <c r="EK168" i="23916"/>
  <c r="ER165" i="23916"/>
  <c r="ES165" i="23916"/>
  <c r="CR166" i="23916"/>
  <c r="EK166" i="23916"/>
  <c r="AW174" i="23916"/>
  <c r="AX168" i="23916"/>
  <c r="BH165" i="23916"/>
  <c r="AZ165" i="23916"/>
  <c r="AY166" i="23916"/>
  <c r="FR165" i="23916"/>
  <c r="CM171" i="23916"/>
  <c r="GB166" i="23916"/>
  <c r="BN165" i="23916"/>
  <c r="BK168" i="23916"/>
  <c r="BT168" i="23916" s="1"/>
  <c r="CQ168" i="23916"/>
  <c r="DW168" i="23916"/>
  <c r="DW174" i="23916" s="1"/>
  <c r="EU196" i="23916"/>
  <c r="ET196" i="23916"/>
  <c r="GA196" i="23916"/>
  <c r="FY196" i="23916"/>
  <c r="FQ209" i="23916"/>
  <c r="FP221" i="23916"/>
  <c r="FQ221" i="23916" s="1"/>
  <c r="FY209" i="23916"/>
  <c r="FX221" i="23916"/>
  <c r="FY221" i="23916" s="1"/>
  <c r="GG209" i="23916"/>
  <c r="GF221" i="23916"/>
  <c r="GG221" i="23916" s="1"/>
  <c r="GO209" i="23916"/>
  <c r="GN221" i="23916"/>
  <c r="GO221" i="23916" s="1"/>
  <c r="BC253" i="23916"/>
  <c r="BL251" i="23916"/>
  <c r="BD251" i="23916"/>
  <c r="FR251" i="23916"/>
  <c r="BP68" i="23916"/>
  <c r="CF68" i="23916"/>
  <c r="BS93" i="23916"/>
  <c r="BT56" i="23916"/>
  <c r="BK78" i="23916"/>
  <c r="BL78" i="23916" s="1"/>
  <c r="BL69" i="23916"/>
  <c r="BW78" i="23916"/>
  <c r="BX69" i="23916"/>
  <c r="CI78" i="23916"/>
  <c r="CR78" i="23916" s="1"/>
  <c r="CJ69" i="23916"/>
  <c r="GH735" i="23916"/>
  <c r="GI60" i="23916"/>
  <c r="BP70" i="23916"/>
  <c r="FT75" i="23916"/>
  <c r="FU75" i="23916" s="1"/>
  <c r="FU57" i="23916"/>
  <c r="GJ735" i="23916"/>
  <c r="GK60" i="23916"/>
  <c r="BY78" i="23916"/>
  <c r="BZ69" i="23916"/>
  <c r="DE78" i="23916"/>
  <c r="DF69" i="23916"/>
  <c r="DB70" i="23916"/>
  <c r="DR70" i="23916"/>
  <c r="DF71" i="23916"/>
  <c r="DV71" i="23916"/>
  <c r="EL72" i="23916"/>
  <c r="BF109" i="23916"/>
  <c r="CD109" i="23916"/>
  <c r="CT109" i="23916"/>
  <c r="DR109" i="23916"/>
  <c r="FN108" i="23916"/>
  <c r="FN87" i="23916"/>
  <c r="FN109" i="23916"/>
  <c r="CE92" i="23916"/>
  <c r="GE101" i="23916"/>
  <c r="GM103" i="23916"/>
  <c r="GJ103" i="23916"/>
  <c r="GK103" i="23916" s="1"/>
  <c r="DT103" i="23916"/>
  <c r="DS119" i="23916"/>
  <c r="DS116" i="23916"/>
  <c r="BK119" i="23916"/>
  <c r="BK116" i="23916"/>
  <c r="BK115" i="23916"/>
  <c r="BL113" i="23916"/>
  <c r="BM110" i="23916"/>
  <c r="BN104" i="23916"/>
  <c r="CA119" i="23916"/>
  <c r="CA116" i="23916"/>
  <c r="CA115" i="23916"/>
  <c r="CB113" i="23916"/>
  <c r="CC110" i="23916"/>
  <c r="CD104" i="23916"/>
  <c r="AU110" i="23916"/>
  <c r="AV110" i="23916" s="1"/>
  <c r="BE113" i="23916"/>
  <c r="FS114" i="23916"/>
  <c r="BH132" i="23916"/>
  <c r="BG141" i="23916"/>
  <c r="BG142" i="23916" s="1"/>
  <c r="FZ132" i="23916"/>
  <c r="CF132" i="23916"/>
  <c r="CE141" i="23916"/>
  <c r="CE142" i="23916" s="1"/>
  <c r="BM155" i="23916"/>
  <c r="BN135" i="23916"/>
  <c r="CO743" i="23916"/>
  <c r="CP137" i="23916"/>
  <c r="DM743" i="23916"/>
  <c r="DN137" i="23916"/>
  <c r="EI495" i="23916"/>
  <c r="EJ148" i="23916"/>
  <c r="BB148" i="23916"/>
  <c r="BR148" i="23916"/>
  <c r="DF148" i="23916"/>
  <c r="DB167" i="23916"/>
  <c r="DA168" i="23916"/>
  <c r="EF164" i="23916"/>
  <c r="EE167" i="23916"/>
  <c r="DY171" i="23916"/>
  <c r="EO171" i="23916"/>
  <c r="GB167" i="23916"/>
  <c r="BQ171" i="23916"/>
  <c r="BR166" i="23916"/>
  <c r="CC171" i="23916"/>
  <c r="AR168" i="23916"/>
  <c r="AQ174" i="23916"/>
  <c r="AS171" i="23916"/>
  <c r="AT171" i="23916" s="1"/>
  <c r="AT166" i="23916"/>
  <c r="BM174" i="23916"/>
  <c r="BN168" i="23916"/>
  <c r="CO174" i="23916"/>
  <c r="CJ167" i="23916"/>
  <c r="CB167" i="23916"/>
  <c r="CA166" i="23916"/>
  <c r="GK212" i="23916"/>
  <c r="AU494" i="23916"/>
  <c r="AV494" i="23916" s="1"/>
  <c r="AV237" i="23916"/>
  <c r="BK494" i="23916"/>
  <c r="BK267" i="23916"/>
  <c r="BL237" i="23916"/>
  <c r="FT237" i="23916"/>
  <c r="CA494" i="23916"/>
  <c r="CB494" i="23916" s="1"/>
  <c r="CA267" i="23916"/>
  <c r="CB237" i="23916"/>
  <c r="FX237" i="23916"/>
  <c r="CQ494" i="23916"/>
  <c r="CQ267" i="23916"/>
  <c r="CR237" i="23916"/>
  <c r="GB237" i="23916"/>
  <c r="DG494" i="23916"/>
  <c r="DG267" i="23916"/>
  <c r="DH237" i="23916"/>
  <c r="DW494" i="23916"/>
  <c r="DW267" i="23916"/>
  <c r="GJ237" i="23916"/>
  <c r="EK494" i="23916"/>
  <c r="EK267" i="23916"/>
  <c r="EK240" i="23916"/>
  <c r="EL237" i="23916"/>
  <c r="GN237" i="23916"/>
  <c r="FP257" i="23916"/>
  <c r="FQ239" i="23916"/>
  <c r="GN257" i="23916"/>
  <c r="GO239" i="23916"/>
  <c r="GL501" i="23916"/>
  <c r="EW285" i="23916"/>
  <c r="EV285" i="23916"/>
  <c r="AH306" i="23916"/>
  <c r="AG309" i="23916"/>
  <c r="AG308" i="23916"/>
  <c r="AZ302" i="23916"/>
  <c r="AR302" i="23916"/>
  <c r="AX306" i="23916"/>
  <c r="AW309" i="23916"/>
  <c r="AW312" i="23916"/>
  <c r="AX312" i="23916" s="1"/>
  <c r="AW308" i="23916"/>
  <c r="BI740" i="23916"/>
  <c r="BI301" i="23916"/>
  <c r="CW740" i="23916"/>
  <c r="CW301" i="23916"/>
  <c r="DC740" i="23916"/>
  <c r="DD300" i="23916"/>
  <c r="DC301" i="23916"/>
  <c r="DS740" i="23916"/>
  <c r="DS301" i="23916"/>
  <c r="DT300" i="23916"/>
  <c r="EK791" i="23916"/>
  <c r="EI740" i="23916"/>
  <c r="ER300" i="23916"/>
  <c r="EI301" i="23916"/>
  <c r="EJ300" i="23916"/>
  <c r="GJ740" i="23916"/>
  <c r="GJ301" i="23916"/>
  <c r="BP294" i="23916"/>
  <c r="AR343" i="23916"/>
  <c r="AQ345" i="23916"/>
  <c r="AR345" i="23916" s="1"/>
  <c r="AQ346" i="23916"/>
  <c r="BI391" i="23916"/>
  <c r="BI388" i="23916"/>
  <c r="BY391" i="23916"/>
  <c r="BY388" i="23916"/>
  <c r="EG736" i="23916"/>
  <c r="EH39" i="23916"/>
  <c r="GJ71" i="23916"/>
  <c r="GK32" i="23916"/>
  <c r="GF75" i="23916"/>
  <c r="GG75" i="23916" s="1"/>
  <c r="GG36" i="23916"/>
  <c r="BT35" i="23916"/>
  <c r="CA93" i="23916"/>
  <c r="CB56" i="23916"/>
  <c r="BO78" i="23916"/>
  <c r="BP69" i="23916"/>
  <c r="CE78" i="23916"/>
  <c r="CF78" i="23916" s="1"/>
  <c r="CF69" i="23916"/>
  <c r="BT70" i="23916"/>
  <c r="CB70" i="23916"/>
  <c r="CJ70" i="23916"/>
  <c r="CN70" i="23916"/>
  <c r="EC735" i="23916"/>
  <c r="ED60" i="23916"/>
  <c r="BZ58" i="23916"/>
  <c r="CI735" i="23916"/>
  <c r="CI63" i="23916"/>
  <c r="CJ60" i="23916"/>
  <c r="CO78" i="23916"/>
  <c r="CP69" i="23916"/>
  <c r="DM78" i="23916"/>
  <c r="DN78" i="23916" s="1"/>
  <c r="DN69" i="23916"/>
  <c r="DU78" i="23916"/>
  <c r="DV69" i="23916"/>
  <c r="CT75" i="23916"/>
  <c r="DR75" i="23916"/>
  <c r="BV109" i="23916"/>
  <c r="CL109" i="23916"/>
  <c r="DJ109" i="23916"/>
  <c r="EN87" i="23916"/>
  <c r="GM101" i="23916"/>
  <c r="AU119" i="23916"/>
  <c r="AV119" i="23916" s="1"/>
  <c r="AU115" i="23916"/>
  <c r="AV115" i="23916" s="1"/>
  <c r="AV113" i="23916"/>
  <c r="DL103" i="23916"/>
  <c r="DK119" i="23916"/>
  <c r="DK116" i="23916"/>
  <c r="DK115" i="23916"/>
  <c r="DL113" i="23916"/>
  <c r="EI119" i="23916"/>
  <c r="EI115" i="23916"/>
  <c r="EI116" i="23916"/>
  <c r="CL110" i="23916"/>
  <c r="DD106" i="23916"/>
  <c r="DT106" i="23916"/>
  <c r="EJ106" i="23916"/>
  <c r="EE109" i="23916"/>
  <c r="EF109" i="23916" s="1"/>
  <c r="GA114" i="23916"/>
  <c r="GR130" i="23916"/>
  <c r="GQ130" i="23916"/>
  <c r="FV132" i="23916"/>
  <c r="BP132" i="23916"/>
  <c r="BO141" i="23916"/>
  <c r="BO142" i="23916" s="1"/>
  <c r="CN132" i="23916"/>
  <c r="CM141" i="23916"/>
  <c r="CM142" i="23916" s="1"/>
  <c r="CC155" i="23916"/>
  <c r="CD135" i="23916"/>
  <c r="BI743" i="23916"/>
  <c r="BJ137" i="23916"/>
  <c r="BY743" i="23916"/>
  <c r="BZ137" i="23916"/>
  <c r="CW743" i="23916"/>
  <c r="CX137" i="23916"/>
  <c r="DU743" i="23916"/>
  <c r="DV137" i="23916"/>
  <c r="AV145" i="23916"/>
  <c r="AU148" i="23916"/>
  <c r="BL145" i="23916"/>
  <c r="BK148" i="23916"/>
  <c r="CB145" i="23916"/>
  <c r="CA148" i="23916"/>
  <c r="CW495" i="23916"/>
  <c r="CX495" i="23916" s="1"/>
  <c r="GD148" i="23916"/>
  <c r="DM495" i="23916"/>
  <c r="DN495" i="23916" s="1"/>
  <c r="GH148" i="23916"/>
  <c r="DJ167" i="23916"/>
  <c r="DI168" i="23916"/>
  <c r="BO171" i="23916"/>
  <c r="BP166" i="23916"/>
  <c r="CI171" i="23916"/>
  <c r="CJ166" i="23916"/>
  <c r="FN179" i="23916"/>
  <c r="FN183" i="23916"/>
  <c r="GK193" i="23916"/>
  <c r="BI224" i="23916"/>
  <c r="BI225" i="23916" s="1"/>
  <c r="BI223" i="23916"/>
  <c r="BI218" i="23916"/>
  <c r="BI214" i="23916"/>
  <c r="FP229" i="23916"/>
  <c r="FQ229" i="23916" s="1"/>
  <c r="FQ214" i="23916"/>
  <c r="FR208" i="23916"/>
  <c r="BC494" i="23916"/>
  <c r="BD237" i="23916"/>
  <c r="BC240" i="23916"/>
  <c r="BS494" i="23916"/>
  <c r="BT494" i="23916" s="1"/>
  <c r="BS267" i="23916"/>
  <c r="BT237" i="23916"/>
  <c r="BS240" i="23916"/>
  <c r="CI494" i="23916"/>
  <c r="CJ494" i="23916" s="1"/>
  <c r="CI267" i="23916"/>
  <c r="CJ237" i="23916"/>
  <c r="CI240" i="23916"/>
  <c r="CY494" i="23916"/>
  <c r="CZ494" i="23916" s="1"/>
  <c r="CY267" i="23916"/>
  <c r="CZ237" i="23916"/>
  <c r="CY240" i="23916"/>
  <c r="DO494" i="23916"/>
  <c r="DP494" i="23916" s="1"/>
  <c r="DO267" i="23916"/>
  <c r="DP267" i="23916" s="1"/>
  <c r="DP237" i="23916"/>
  <c r="DO240" i="23916"/>
  <c r="EC494" i="23916"/>
  <c r="EC267" i="23916"/>
  <c r="EC240" i="23916"/>
  <c r="GL237" i="23916"/>
  <c r="ED237" i="23916"/>
  <c r="FP237" i="23916"/>
  <c r="FX257" i="23916"/>
  <c r="FY239" i="23916"/>
  <c r="GF257" i="23916"/>
  <c r="GG239" i="23916"/>
  <c r="CA240" i="23916"/>
  <c r="CZ13" i="23916"/>
  <c r="DP13" i="23916"/>
  <c r="GG13" i="23916"/>
  <c r="GO13" i="23916"/>
  <c r="FT41" i="23916"/>
  <c r="FU29" i="23916"/>
  <c r="FT69" i="23916"/>
  <c r="FT39" i="23916"/>
  <c r="GC29" i="23916"/>
  <c r="GB69" i="23916"/>
  <c r="GB39" i="23916"/>
  <c r="GK29" i="23916"/>
  <c r="GJ69" i="23916"/>
  <c r="GJ39" i="23916"/>
  <c r="EJ70" i="23916"/>
  <c r="EQ75" i="23916"/>
  <c r="ER75" i="23916" s="1"/>
  <c r="ES36" i="23916"/>
  <c r="ER36" i="23916"/>
  <c r="BX35" i="23916"/>
  <c r="GW42" i="23916"/>
  <c r="BN49" i="23916"/>
  <c r="BM56" i="23916"/>
  <c r="BV49" i="23916"/>
  <c r="BU56" i="23916"/>
  <c r="CD49" i="23916"/>
  <c r="CC56" i="23916"/>
  <c r="CL49" i="23916"/>
  <c r="CK56" i="23916"/>
  <c r="GA50" i="23916"/>
  <c r="EQ72" i="23916"/>
  <c r="ER72" i="23916" s="1"/>
  <c r="ER54" i="23916"/>
  <c r="GP54" i="23916"/>
  <c r="GK53" i="23916"/>
  <c r="GE57" i="23916"/>
  <c r="BL55" i="23916"/>
  <c r="BK53" i="23916"/>
  <c r="BT55" i="23916"/>
  <c r="BS53" i="23916"/>
  <c r="CB55" i="23916"/>
  <c r="CA53" i="23916"/>
  <c r="CJ55" i="23916"/>
  <c r="CI53" i="23916"/>
  <c r="BG58" i="23916"/>
  <c r="BH58" i="23916" s="1"/>
  <c r="BW58" i="23916"/>
  <c r="BX58" i="23916" s="1"/>
  <c r="CM58" i="23916"/>
  <c r="CN58" i="23916" s="1"/>
  <c r="BG735" i="23916"/>
  <c r="BG63" i="23916"/>
  <c r="BH60" i="23916"/>
  <c r="BW735" i="23916"/>
  <c r="BW63" i="23916"/>
  <c r="BX60" i="23916"/>
  <c r="CM735" i="23916"/>
  <c r="CM63" i="23916"/>
  <c r="CN60" i="23916"/>
  <c r="CU735" i="23916"/>
  <c r="CV60" i="23916"/>
  <c r="DC735" i="23916"/>
  <c r="DD60" i="23916"/>
  <c r="DK735" i="23916"/>
  <c r="DL60" i="23916"/>
  <c r="DS735" i="23916"/>
  <c r="DT60" i="23916"/>
  <c r="EM735" i="23916"/>
  <c r="EN60" i="23916"/>
  <c r="BI65" i="23916"/>
  <c r="BQ65" i="23916"/>
  <c r="BY65" i="23916"/>
  <c r="CG65" i="23916"/>
  <c r="CO65" i="23916"/>
  <c r="BM68" i="23916"/>
  <c r="CC68" i="23916"/>
  <c r="BM78" i="23916"/>
  <c r="BN78" i="23916" s="1"/>
  <c r="BN69" i="23916"/>
  <c r="CC78" i="23916"/>
  <c r="CD78" i="23916" s="1"/>
  <c r="CD69" i="23916"/>
  <c r="ED69" i="23916"/>
  <c r="EK78" i="23916"/>
  <c r="EL69" i="23916"/>
  <c r="BV70" i="23916"/>
  <c r="CL70" i="23916"/>
  <c r="CV70" i="23916"/>
  <c r="DZ70" i="23916"/>
  <c r="ED71" i="23916"/>
  <c r="EL71" i="23916"/>
  <c r="BV72" i="23916"/>
  <c r="CD72" i="23916"/>
  <c r="CL72" i="23916"/>
  <c r="CT72" i="23916"/>
  <c r="DB72" i="23916"/>
  <c r="DJ72" i="23916"/>
  <c r="DR72" i="23916"/>
  <c r="CO73" i="23916"/>
  <c r="CO74" i="23916"/>
  <c r="CO91" i="23916" s="1"/>
  <c r="DZ75" i="23916"/>
  <c r="EH75" i="23916"/>
  <c r="EP75" i="23916"/>
  <c r="FW72" i="23916"/>
  <c r="GM72" i="23916"/>
  <c r="FP87" i="23916"/>
  <c r="FQ86" i="23916"/>
  <c r="GE84" i="23916"/>
  <c r="GM84" i="23916"/>
  <c r="GE85" i="23916"/>
  <c r="GM85" i="23916"/>
  <c r="GD86" i="23916"/>
  <c r="FZ87" i="23916"/>
  <c r="AZ87" i="23916"/>
  <c r="BH87" i="23916"/>
  <c r="BP87" i="23916"/>
  <c r="BX87" i="23916"/>
  <c r="CF87" i="23916"/>
  <c r="CN87" i="23916"/>
  <c r="CV87" i="23916"/>
  <c r="DD87" i="23916"/>
  <c r="DL87" i="23916"/>
  <c r="DT87" i="23916"/>
  <c r="DZ109" i="23916"/>
  <c r="EH109" i="23916"/>
  <c r="EP109" i="23916"/>
  <c r="GV91" i="23916"/>
  <c r="GU91" i="23916"/>
  <c r="BD98" i="23916"/>
  <c r="FY101" i="23916"/>
  <c r="GG101" i="23916"/>
  <c r="GO101" i="23916"/>
  <c r="FR102" i="23916"/>
  <c r="FS102" i="23916" s="1"/>
  <c r="GH102" i="23916"/>
  <c r="GI102" i="23916" s="1"/>
  <c r="FP106" i="23916"/>
  <c r="FQ106" i="23916" s="1"/>
  <c r="FX106" i="23916"/>
  <c r="GH106" i="23916"/>
  <c r="CG113" i="23916"/>
  <c r="CH106" i="23916"/>
  <c r="EB103" i="23916"/>
  <c r="GN103" i="23916"/>
  <c r="GO103" i="23916" s="1"/>
  <c r="EJ103" i="23916"/>
  <c r="ES103" i="23916"/>
  <c r="ER103" i="23916"/>
  <c r="CW106" i="23916"/>
  <c r="CX105" i="23916"/>
  <c r="CW104" i="23916"/>
  <c r="GF105" i="23916"/>
  <c r="GI105" i="23916" s="1"/>
  <c r="DE106" i="23916"/>
  <c r="DF105" i="23916"/>
  <c r="DE104" i="23916"/>
  <c r="DM106" i="23916"/>
  <c r="DN105" i="23916"/>
  <c r="DM104" i="23916"/>
  <c r="GJ105" i="23916"/>
  <c r="DU106" i="23916"/>
  <c r="DV105" i="23916"/>
  <c r="DU104" i="23916"/>
  <c r="EC106" i="23916"/>
  <c r="ED105" i="23916"/>
  <c r="EC104" i="23916"/>
  <c r="GN105" i="23916"/>
  <c r="EK106" i="23916"/>
  <c r="EL105" i="23916"/>
  <c r="EK104" i="23916"/>
  <c r="AY119" i="23916"/>
  <c r="AY116" i="23916"/>
  <c r="AY115" i="23916"/>
  <c r="BB110" i="23916"/>
  <c r="BI106" i="23916"/>
  <c r="BJ102" i="23916"/>
  <c r="FT103" i="23916"/>
  <c r="FU103" i="23916" s="1"/>
  <c r="BL103" i="23916"/>
  <c r="BK104" i="23916"/>
  <c r="BO119" i="23916"/>
  <c r="BO115" i="23916"/>
  <c r="BP115" i="23916" s="1"/>
  <c r="BP113" i="23916"/>
  <c r="BR110" i="23916"/>
  <c r="BY106" i="23916"/>
  <c r="BZ102" i="23916"/>
  <c r="FX103" i="23916"/>
  <c r="FY103" i="23916" s="1"/>
  <c r="CB103" i="23916"/>
  <c r="CA104" i="23916"/>
  <c r="CE119" i="23916"/>
  <c r="CE115" i="23916"/>
  <c r="CF115" i="23916" s="1"/>
  <c r="CF113" i="23916"/>
  <c r="CJ103" i="23916"/>
  <c r="CM119" i="23916"/>
  <c r="CM115" i="23916"/>
  <c r="CN115" i="23916" s="1"/>
  <c r="CN113" i="23916"/>
  <c r="CO110" i="23916"/>
  <c r="CP110" i="23916" s="1"/>
  <c r="CP104" i="23916"/>
  <c r="AS106" i="23916"/>
  <c r="AV106" i="23916"/>
  <c r="BL106" i="23916"/>
  <c r="CB106" i="23916"/>
  <c r="CR106" i="23916"/>
  <c r="DH106" i="23916"/>
  <c r="AQ109" i="23916"/>
  <c r="AR109" i="23916" s="1"/>
  <c r="BG109" i="23916"/>
  <c r="BH109" i="23916" s="1"/>
  <c r="BW109" i="23916"/>
  <c r="BX109" i="23916" s="1"/>
  <c r="CM109" i="23916"/>
  <c r="CN109" i="23916" s="1"/>
  <c r="DC109" i="23916"/>
  <c r="DD109" i="23916" s="1"/>
  <c r="DS109" i="23916"/>
  <c r="DT109" i="23916" s="1"/>
  <c r="EU110" i="23916"/>
  <c r="FN113" i="23916"/>
  <c r="FU114" i="23916"/>
  <c r="GC114" i="23916"/>
  <c r="GK114" i="23916"/>
  <c r="BG116" i="23916"/>
  <c r="CM116" i="23916"/>
  <c r="BL117" i="23916"/>
  <c r="BD117" i="23916"/>
  <c r="FU117" i="23916"/>
  <c r="GC117" i="23916"/>
  <c r="GK117" i="23916"/>
  <c r="GS117" i="23916"/>
  <c r="BO140" i="23916"/>
  <c r="BO135" i="23916"/>
  <c r="BP129" i="23916"/>
  <c r="BO139" i="23916"/>
  <c r="BW140" i="23916"/>
  <c r="BW135" i="23916"/>
  <c r="BX129" i="23916"/>
  <c r="BW139" i="23916"/>
  <c r="CE140" i="23916"/>
  <c r="CE135" i="23916"/>
  <c r="CF129" i="23916"/>
  <c r="CE139" i="23916"/>
  <c r="CM140" i="23916"/>
  <c r="CM135" i="23916"/>
  <c r="CN129" i="23916"/>
  <c r="CM139" i="23916"/>
  <c r="FT743" i="23916"/>
  <c r="FU137" i="23916"/>
  <c r="GB743" i="23916"/>
  <c r="GC137" i="23916"/>
  <c r="GJ743" i="23916"/>
  <c r="GB132" i="23916"/>
  <c r="GK132" i="23916"/>
  <c r="BQ155" i="23916"/>
  <c r="BQ156" i="23916" s="1"/>
  <c r="BR135" i="23916"/>
  <c r="CG155" i="23916"/>
  <c r="CG156" i="23916" s="1"/>
  <c r="CH135" i="23916"/>
  <c r="EC743" i="23916"/>
  <c r="ED137" i="23916"/>
  <c r="EK743" i="23916"/>
  <c r="EL137" i="23916"/>
  <c r="GH137" i="23916"/>
  <c r="BM153" i="23916"/>
  <c r="BU153" i="23916"/>
  <c r="CC153" i="23916"/>
  <c r="CK153" i="23916"/>
  <c r="FY146" i="23916"/>
  <c r="GF148" i="23916"/>
  <c r="DN148" i="23916"/>
  <c r="BM154" i="23916"/>
  <c r="BM156" i="23916" s="1"/>
  <c r="CC154" i="23916"/>
  <c r="CC156" i="23916" s="1"/>
  <c r="DZ161" i="23916"/>
  <c r="EH161" i="23916"/>
  <c r="EX161" i="23916"/>
  <c r="EP161" i="23916"/>
  <c r="BQ174" i="23916"/>
  <c r="CM174" i="23916"/>
  <c r="CV164" i="23916"/>
  <c r="CU167" i="23916"/>
  <c r="DD164" i="23916"/>
  <c r="DC167" i="23916"/>
  <c r="DL164" i="23916"/>
  <c r="DK167" i="23916"/>
  <c r="DT164" i="23916"/>
  <c r="DS167" i="23916"/>
  <c r="DZ167" i="23916"/>
  <c r="DY168" i="23916"/>
  <c r="EH167" i="23916"/>
  <c r="EG168" i="23916"/>
  <c r="EP167" i="23916"/>
  <c r="EO168" i="23916"/>
  <c r="GE165" i="23916"/>
  <c r="GI165" i="23916"/>
  <c r="GM165" i="23916"/>
  <c r="CW171" i="23916"/>
  <c r="CX166" i="23916"/>
  <c r="DM171" i="23916"/>
  <c r="DN171" i="23916" s="1"/>
  <c r="DN166" i="23916"/>
  <c r="EC171" i="23916"/>
  <c r="ED171" i="23916" s="1"/>
  <c r="ED166" i="23916"/>
  <c r="DX168" i="23916"/>
  <c r="DX174" i="23916" s="1"/>
  <c r="DX166" i="23916"/>
  <c r="DX171" i="23916" s="1"/>
  <c r="AR165" i="23916"/>
  <c r="AQ166" i="23916"/>
  <c r="FP165" i="23916"/>
  <c r="FQ165" i="23916" s="1"/>
  <c r="BM171" i="23916"/>
  <c r="BN166" i="23916"/>
  <c r="CO171" i="23916"/>
  <c r="CP166" i="23916"/>
  <c r="BU174" i="23916"/>
  <c r="BV168" i="23916"/>
  <c r="AU174" i="23916"/>
  <c r="AV168" i="23916"/>
  <c r="CA168" i="23916"/>
  <c r="AS205" i="23916"/>
  <c r="AT189" i="23916"/>
  <c r="AS195" i="23916"/>
  <c r="GF237" i="23916"/>
  <c r="BK240" i="23916"/>
  <c r="DW240" i="23916"/>
  <c r="EM270" i="23916"/>
  <c r="EN240" i="23916"/>
  <c r="AU240" i="23916"/>
  <c r="BX68" i="23916"/>
  <c r="CN68" i="23916"/>
  <c r="GI69" i="23916"/>
  <c r="GH78" i="23916"/>
  <c r="GN75" i="23916"/>
  <c r="GO75" i="23916" s="1"/>
  <c r="GO36" i="23916"/>
  <c r="BK93" i="23916"/>
  <c r="BL56" i="23916"/>
  <c r="CI93" i="23916"/>
  <c r="CJ56" i="23916"/>
  <c r="BG78" i="23916"/>
  <c r="BH78" i="23916" s="1"/>
  <c r="BH69" i="23916"/>
  <c r="BS78" i="23916"/>
  <c r="BT78" i="23916" s="1"/>
  <c r="BT69" i="23916"/>
  <c r="CA78" i="23916"/>
  <c r="CB78" i="23916" s="1"/>
  <c r="CB69" i="23916"/>
  <c r="CM78" i="23916"/>
  <c r="CN69" i="23916"/>
  <c r="BX70" i="23916"/>
  <c r="CF70" i="23916"/>
  <c r="EK735" i="23916"/>
  <c r="EL60" i="23916"/>
  <c r="CH58" i="23916"/>
  <c r="BS735" i="23916"/>
  <c r="BS63" i="23916"/>
  <c r="BT60" i="23916"/>
  <c r="EI735" i="23916"/>
  <c r="EJ60" i="23916"/>
  <c r="BI78" i="23916"/>
  <c r="BJ78" i="23916" s="1"/>
  <c r="BJ69" i="23916"/>
  <c r="CW78" i="23916"/>
  <c r="CX78" i="23916" s="1"/>
  <c r="CX69" i="23916"/>
  <c r="BV75" i="23916"/>
  <c r="CL75" i="23916"/>
  <c r="DJ75" i="23916"/>
  <c r="GC102" i="23916"/>
  <c r="FW101" i="23916"/>
  <c r="GE102" i="23916"/>
  <c r="GD106" i="23916"/>
  <c r="GF103" i="23916"/>
  <c r="GI103" i="23916" s="1"/>
  <c r="DD103" i="23916"/>
  <c r="CU119" i="23916"/>
  <c r="CU115" i="23916"/>
  <c r="CV115" i="23916" s="1"/>
  <c r="CV113" i="23916"/>
  <c r="DC119" i="23916"/>
  <c r="DC116" i="23916"/>
  <c r="DC115" i="23916"/>
  <c r="DD115" i="23916" s="1"/>
  <c r="DD113" i="23916"/>
  <c r="EA119" i="23916"/>
  <c r="EA116" i="23916"/>
  <c r="EB113" i="23916"/>
  <c r="AW110" i="23916"/>
  <c r="AX110" i="23916" s="1"/>
  <c r="AX104" i="23916"/>
  <c r="CI119" i="23916"/>
  <c r="CI116" i="23916"/>
  <c r="CI115" i="23916"/>
  <c r="CJ115" i="23916" s="1"/>
  <c r="CJ113" i="23916"/>
  <c r="GI114" i="23916"/>
  <c r="CE118" i="23916"/>
  <c r="CE122" i="23916"/>
  <c r="DG118" i="23916"/>
  <c r="DG122" i="23916"/>
  <c r="DH116" i="23916"/>
  <c r="FY132" i="23916"/>
  <c r="BX132" i="23916"/>
  <c r="BW141" i="23916"/>
  <c r="BW142" i="23916" s="1"/>
  <c r="BQ743" i="23916"/>
  <c r="BR137" i="23916"/>
  <c r="CG743" i="23916"/>
  <c r="CH137" i="23916"/>
  <c r="DE743" i="23916"/>
  <c r="DF137" i="23916"/>
  <c r="GD743" i="23916"/>
  <c r="GE137" i="23916"/>
  <c r="BD145" i="23916"/>
  <c r="BC148" i="23916"/>
  <c r="BT145" i="23916"/>
  <c r="BS148" i="23916"/>
  <c r="CJ145" i="23916"/>
  <c r="CI148" i="23916"/>
  <c r="DF495" i="23916"/>
  <c r="EA495" i="23916"/>
  <c r="EB495" i="23916" s="1"/>
  <c r="EB148" i="23916"/>
  <c r="GL148" i="23916"/>
  <c r="GO148" i="23916" s="1"/>
  <c r="CH148" i="23916"/>
  <c r="BG168" i="23916"/>
  <c r="BH164" i="23916"/>
  <c r="BI171" i="23916"/>
  <c r="BJ166" i="23916"/>
  <c r="CT167" i="23916"/>
  <c r="CS168" i="23916"/>
  <c r="DR167" i="23916"/>
  <c r="DQ168" i="23916"/>
  <c r="EN164" i="23916"/>
  <c r="EM167" i="23916"/>
  <c r="BT167" i="23916"/>
  <c r="FV167" i="23916"/>
  <c r="BS166" i="23916"/>
  <c r="FV166" i="23916" s="1"/>
  <c r="BK68" i="23916"/>
  <c r="BK43" i="23916"/>
  <c r="BK42" i="23916"/>
  <c r="BK32" i="23916"/>
  <c r="BL28" i="23916"/>
  <c r="BS68" i="23916"/>
  <c r="BS43" i="23916"/>
  <c r="BS42" i="23916"/>
  <c r="BS32" i="23916"/>
  <c r="BT28" i="23916"/>
  <c r="CA68" i="23916"/>
  <c r="CA43" i="23916"/>
  <c r="CA42" i="23916"/>
  <c r="CA32" i="23916"/>
  <c r="CB28" i="23916"/>
  <c r="CI68" i="23916"/>
  <c r="CI43" i="23916"/>
  <c r="CI42" i="23916"/>
  <c r="CI32" i="23916"/>
  <c r="CJ28" i="23916"/>
  <c r="CQ43" i="23916"/>
  <c r="CQ42" i="23916"/>
  <c r="CQ44" i="23916"/>
  <c r="CQ45" i="23916" s="1"/>
  <c r="CQ34" i="23916"/>
  <c r="CR28" i="23916"/>
  <c r="GM69" i="23916"/>
  <c r="GG29" i="23916"/>
  <c r="EC39" i="23916"/>
  <c r="ED31" i="23916"/>
  <c r="GL31" i="23916"/>
  <c r="EK39" i="23916"/>
  <c r="EL31" i="23916"/>
  <c r="GF71" i="23916"/>
  <c r="GG32" i="23916"/>
  <c r="GN71" i="23916"/>
  <c r="GO32" i="23916"/>
  <c r="GK72" i="23916"/>
  <c r="GB75" i="23916"/>
  <c r="GC36" i="23916"/>
  <c r="GJ75" i="23916"/>
  <c r="GK75" i="23916" s="1"/>
  <c r="GK36" i="23916"/>
  <c r="BP35" i="23916"/>
  <c r="CI35" i="23916"/>
  <c r="EW45" i="23916"/>
  <c r="CI41" i="23916"/>
  <c r="GY42" i="23916"/>
  <c r="BG74" i="23916"/>
  <c r="BH74" i="23916" s="1"/>
  <c r="BG73" i="23916"/>
  <c r="BH68" i="23916"/>
  <c r="BO93" i="23916"/>
  <c r="BW93" i="23916"/>
  <c r="BX56" i="23916"/>
  <c r="CE93" i="23916"/>
  <c r="CF56" i="23916"/>
  <c r="CM93" i="23916"/>
  <c r="CN56" i="23916"/>
  <c r="BI735" i="23916"/>
  <c r="BI63" i="23916"/>
  <c r="BJ60" i="23916"/>
  <c r="BM735" i="23916"/>
  <c r="BM63" i="23916"/>
  <c r="BN60" i="23916"/>
  <c r="BQ735" i="23916"/>
  <c r="BQ63" i="23916"/>
  <c r="BR60" i="23916"/>
  <c r="BU735" i="23916"/>
  <c r="BU63" i="23916"/>
  <c r="BV60" i="23916"/>
  <c r="BY735" i="23916"/>
  <c r="BY63" i="23916"/>
  <c r="BZ60" i="23916"/>
  <c r="CC735" i="23916"/>
  <c r="CC63" i="23916"/>
  <c r="CD60" i="23916"/>
  <c r="CG735" i="23916"/>
  <c r="CG63" i="23916"/>
  <c r="CH60" i="23916"/>
  <c r="CK735" i="23916"/>
  <c r="CK63" i="23916"/>
  <c r="CL60" i="23916"/>
  <c r="ET50" i="23916"/>
  <c r="EU50" i="23916"/>
  <c r="GL60" i="23916"/>
  <c r="BI62" i="23916"/>
  <c r="BQ62" i="23916"/>
  <c r="BY62" i="23916"/>
  <c r="CG62" i="23916"/>
  <c r="EG60" i="23916"/>
  <c r="EH52" i="23916"/>
  <c r="EO60" i="23916"/>
  <c r="EP52" i="23916"/>
  <c r="FX75" i="23916"/>
  <c r="FY75" i="23916" s="1"/>
  <c r="FY57" i="23916"/>
  <c r="BV58" i="23916"/>
  <c r="CD58" i="23916"/>
  <c r="CL58" i="23916"/>
  <c r="BP55" i="23916"/>
  <c r="CF55" i="23916"/>
  <c r="BK58" i="23916"/>
  <c r="BL58" i="23916" s="1"/>
  <c r="CA58" i="23916"/>
  <c r="CB58" i="23916" s="1"/>
  <c r="BK735" i="23916"/>
  <c r="BK63" i="23916"/>
  <c r="BL60" i="23916"/>
  <c r="CA735" i="23916"/>
  <c r="CA63" i="23916"/>
  <c r="CB60" i="23916"/>
  <c r="EA735" i="23916"/>
  <c r="EB60" i="23916"/>
  <c r="BQ68" i="23916"/>
  <c r="CG68" i="23916"/>
  <c r="CP68" i="23916" s="1"/>
  <c r="BQ78" i="23916"/>
  <c r="BR69" i="23916"/>
  <c r="CG78" i="23916"/>
  <c r="CH78" i="23916" s="1"/>
  <c r="CH69" i="23916"/>
  <c r="CS78" i="23916"/>
  <c r="CT78" i="23916" s="1"/>
  <c r="CT69" i="23916"/>
  <c r="DA78" i="23916"/>
  <c r="DB69" i="23916"/>
  <c r="DI78" i="23916"/>
  <c r="DJ78" i="23916" s="1"/>
  <c r="DJ69" i="23916"/>
  <c r="DQ78" i="23916"/>
  <c r="DR69" i="23916"/>
  <c r="EE78" i="23916"/>
  <c r="EF78" i="23916" s="1"/>
  <c r="EM78" i="23916"/>
  <c r="EN78" i="23916" s="1"/>
  <c r="BZ70" i="23916"/>
  <c r="CP70" i="23916"/>
  <c r="CX70" i="23916"/>
  <c r="DF70" i="23916"/>
  <c r="DN70" i="23916"/>
  <c r="DV70" i="23916"/>
  <c r="EC70" i="23916"/>
  <c r="ED70" i="23916" s="1"/>
  <c r="DB71" i="23916"/>
  <c r="DJ71" i="23916"/>
  <c r="DR71" i="23916"/>
  <c r="DZ72" i="23916"/>
  <c r="EH72" i="23916"/>
  <c r="EP72" i="23916"/>
  <c r="BR75" i="23916"/>
  <c r="BZ75" i="23916"/>
  <c r="CH75" i="23916"/>
  <c r="CP75" i="23916"/>
  <c r="CX75" i="23916"/>
  <c r="DF75" i="23916"/>
  <c r="DN75" i="23916"/>
  <c r="DV75" i="23916"/>
  <c r="GA72" i="23916"/>
  <c r="FR493" i="23916"/>
  <c r="FS82" i="23916"/>
  <c r="FW83" i="23916"/>
  <c r="FY84" i="23916"/>
  <c r="GG84" i="23916"/>
  <c r="GO84" i="23916"/>
  <c r="GG102" i="23916"/>
  <c r="FR86" i="23916"/>
  <c r="GH86" i="23916"/>
  <c r="FT83" i="23916"/>
  <c r="FU83" i="23916" s="1"/>
  <c r="BG91" i="23916"/>
  <c r="BH83" i="23916"/>
  <c r="BP83" i="23916"/>
  <c r="FX83" i="23916"/>
  <c r="FY83" i="23916" s="1"/>
  <c r="BX83" i="23916"/>
  <c r="CF83" i="23916"/>
  <c r="GB83" i="23916"/>
  <c r="GC83" i="23916" s="1"/>
  <c r="CN83" i="23916"/>
  <c r="CV83" i="23916"/>
  <c r="GF83" i="23916"/>
  <c r="DD83" i="23916"/>
  <c r="DL83" i="23916"/>
  <c r="GJ83" i="23916"/>
  <c r="DT83" i="23916"/>
  <c r="DZ83" i="23916"/>
  <c r="EH83" i="23916"/>
  <c r="GN83" i="23916"/>
  <c r="EP83" i="23916"/>
  <c r="BB109" i="23916"/>
  <c r="BJ109" i="23916"/>
  <c r="BR109" i="23916"/>
  <c r="BZ109" i="23916"/>
  <c r="CH109" i="23916"/>
  <c r="CP109" i="23916"/>
  <c r="CX109" i="23916"/>
  <c r="DF109" i="23916"/>
  <c r="DN109" i="23916"/>
  <c r="DV109" i="23916"/>
  <c r="EB87" i="23916"/>
  <c r="EJ87" i="23916"/>
  <c r="EU92" i="23916"/>
  <c r="BS92" i="23916"/>
  <c r="FS101" i="23916"/>
  <c r="FZ109" i="23916"/>
  <c r="GA101" i="23916"/>
  <c r="GI101" i="23916"/>
  <c r="FV102" i="23916"/>
  <c r="FW102" i="23916" s="1"/>
  <c r="GL102" i="23916"/>
  <c r="GM102" i="23916" s="1"/>
  <c r="GD103" i="23916"/>
  <c r="GL106" i="23916"/>
  <c r="FP104" i="23916"/>
  <c r="AR104" i="23916"/>
  <c r="DH103" i="23916"/>
  <c r="DP103" i="23916"/>
  <c r="CY119" i="23916"/>
  <c r="CY115" i="23916"/>
  <c r="CZ113" i="23916"/>
  <c r="DG119" i="23916"/>
  <c r="DG115" i="23916"/>
  <c r="DH113" i="23916"/>
  <c r="DO119" i="23916"/>
  <c r="DP113" i="23916"/>
  <c r="DO116" i="23916"/>
  <c r="DW119" i="23916"/>
  <c r="DW726" i="23916" s="1"/>
  <c r="DW116" i="23916"/>
  <c r="BC119" i="23916"/>
  <c r="BD119" i="23916" s="1"/>
  <c r="BC116" i="23916"/>
  <c r="BC115" i="23916"/>
  <c r="BD115" i="23916" s="1"/>
  <c r="BD113" i="23916"/>
  <c r="BE110" i="23916"/>
  <c r="BF110" i="23916" s="1"/>
  <c r="BF104" i="23916"/>
  <c r="BN106" i="23916"/>
  <c r="BS119" i="23916"/>
  <c r="BS116" i="23916"/>
  <c r="BS115" i="23916"/>
  <c r="BT115" i="23916" s="1"/>
  <c r="BT113" i="23916"/>
  <c r="BU110" i="23916"/>
  <c r="BV110" i="23916" s="1"/>
  <c r="BV104" i="23916"/>
  <c r="CD106" i="23916"/>
  <c r="CK106" i="23916"/>
  <c r="CL102" i="23916"/>
  <c r="GB103" i="23916"/>
  <c r="GC103" i="23916" s="1"/>
  <c r="CM104" i="23916"/>
  <c r="CN103" i="23916"/>
  <c r="CQ119" i="23916"/>
  <c r="CQ116" i="23916"/>
  <c r="CQ115" i="23916"/>
  <c r="CR115" i="23916" s="1"/>
  <c r="CR113" i="23916"/>
  <c r="BP106" i="23916"/>
  <c r="CF106" i="23916"/>
  <c r="CV106" i="23916"/>
  <c r="DL106" i="23916"/>
  <c r="EB106" i="23916"/>
  <c r="AU109" i="23916"/>
  <c r="AV109" i="23916" s="1"/>
  <c r="BK109" i="23916"/>
  <c r="BL109" i="23916" s="1"/>
  <c r="CA109" i="23916"/>
  <c r="CB109" i="23916" s="1"/>
  <c r="CQ109" i="23916"/>
  <c r="CR109" i="23916" s="1"/>
  <c r="DG109" i="23916"/>
  <c r="DH109" i="23916" s="1"/>
  <c r="EM109" i="23916"/>
  <c r="BU113" i="23916"/>
  <c r="CD113" i="23916" s="1"/>
  <c r="FW114" i="23916"/>
  <c r="GE114" i="23916"/>
  <c r="GM114" i="23916"/>
  <c r="BO116" i="23916"/>
  <c r="CU116" i="23916"/>
  <c r="DS115" i="23916"/>
  <c r="DT115" i="23916" s="1"/>
  <c r="DT113" i="23916"/>
  <c r="EJ113" i="23916"/>
  <c r="GE132" i="23916"/>
  <c r="BL132" i="23916"/>
  <c r="BK141" i="23916"/>
  <c r="BK142" i="23916" s="1"/>
  <c r="BT132" i="23916"/>
  <c r="BS141" i="23916"/>
  <c r="BS142" i="23916" s="1"/>
  <c r="CB132" i="23916"/>
  <c r="CA141" i="23916"/>
  <c r="CA142" i="23916" s="1"/>
  <c r="CR132" i="23916"/>
  <c r="CJ132" i="23916"/>
  <c r="CI141" i="23916"/>
  <c r="CI142" i="23916" s="1"/>
  <c r="CV132" i="23916"/>
  <c r="CQ129" i="23916"/>
  <c r="CP134" i="23916"/>
  <c r="BU155" i="23916"/>
  <c r="BU156" i="23916" s="1"/>
  <c r="BV135" i="23916"/>
  <c r="CK155" i="23916"/>
  <c r="CK156" i="23916" s="1"/>
  <c r="CL135" i="23916"/>
  <c r="BM743" i="23916"/>
  <c r="BN137" i="23916"/>
  <c r="BU743" i="23916"/>
  <c r="BV137" i="23916"/>
  <c r="CC743" i="23916"/>
  <c r="CD137" i="23916"/>
  <c r="CK743" i="23916"/>
  <c r="CL137" i="23916"/>
  <c r="CS743" i="23916"/>
  <c r="CT137" i="23916"/>
  <c r="DA743" i="23916"/>
  <c r="DB137" i="23916"/>
  <c r="DI743" i="23916"/>
  <c r="DJ137" i="23916"/>
  <c r="DQ743" i="23916"/>
  <c r="DR137" i="23916"/>
  <c r="FV137" i="23916"/>
  <c r="FY137" i="23916" s="1"/>
  <c r="GL137" i="23916"/>
  <c r="GO137" i="23916" s="1"/>
  <c r="FP145" i="23916"/>
  <c r="FQ145" i="23916" s="1"/>
  <c r="AY495" i="23916"/>
  <c r="FR148" i="23916"/>
  <c r="FT145" i="23916"/>
  <c r="BO153" i="23916"/>
  <c r="FX145" i="23916"/>
  <c r="CE153" i="23916"/>
  <c r="EQ495" i="23916"/>
  <c r="ER495" i="23916" s="1"/>
  <c r="ES148" i="23916"/>
  <c r="ER148" i="23916"/>
  <c r="GJ148" i="23916"/>
  <c r="BB495" i="23916"/>
  <c r="BR495" i="23916"/>
  <c r="CH495" i="23916"/>
  <c r="AT148" i="23916"/>
  <c r="BJ148" i="23916"/>
  <c r="BZ148" i="23916"/>
  <c r="CP148" i="23916"/>
  <c r="DV148" i="23916"/>
  <c r="EW153" i="23916"/>
  <c r="BG156" i="23916"/>
  <c r="DN161" i="23916"/>
  <c r="DV161" i="23916"/>
  <c r="BE171" i="23916"/>
  <c r="BF166" i="23916"/>
  <c r="CX167" i="23916"/>
  <c r="CW168" i="23916"/>
  <c r="DF167" i="23916"/>
  <c r="DE168" i="23916"/>
  <c r="DN167" i="23916"/>
  <c r="DM168" i="23916"/>
  <c r="DV167" i="23916"/>
  <c r="DU168" i="23916"/>
  <c r="EB164" i="23916"/>
  <c r="EA167" i="23916"/>
  <c r="EJ164" i="23916"/>
  <c r="EI167" i="23916"/>
  <c r="DA166" i="23916"/>
  <c r="DQ166" i="23916"/>
  <c r="EG166" i="23916"/>
  <c r="EP166" i="23916" s="1"/>
  <c r="FP168" i="23916"/>
  <c r="FQ168" i="23916" s="1"/>
  <c r="AS174" i="23916"/>
  <c r="AT168" i="23916"/>
  <c r="AZ168" i="23916"/>
  <c r="BA171" i="23916"/>
  <c r="BB171" i="23916" s="1"/>
  <c r="BB166" i="23916"/>
  <c r="BP168" i="23916"/>
  <c r="BO174" i="23916"/>
  <c r="CK171" i="23916"/>
  <c r="CL171" i="23916" s="1"/>
  <c r="CL166" i="23916"/>
  <c r="BW168" i="23916"/>
  <c r="BX167" i="23916"/>
  <c r="BW166" i="23916"/>
  <c r="FX167" i="23916"/>
  <c r="CN167" i="23916"/>
  <c r="CE168" i="23916"/>
  <c r="CF167" i="23916"/>
  <c r="FZ167" i="23916"/>
  <c r="CE166" i="23916"/>
  <c r="CN166" i="23916" s="1"/>
  <c r="BC174" i="23916"/>
  <c r="BD168" i="23916"/>
  <c r="CI174" i="23916"/>
  <c r="CJ168" i="23916"/>
  <c r="AY174" i="23916"/>
  <c r="AR228" i="23916"/>
  <c r="AQ230" i="23916"/>
  <c r="GB202" i="23916"/>
  <c r="GE190" i="23916"/>
  <c r="GC190" i="23916"/>
  <c r="GE194" i="23916"/>
  <c r="GC194" i="23916"/>
  <c r="ET209" i="23916"/>
  <c r="DG240" i="23916"/>
  <c r="FW29" i="23916"/>
  <c r="GA29" i="23916"/>
  <c r="GE29" i="23916"/>
  <c r="BP28" i="23916"/>
  <c r="BX28" i="23916"/>
  <c r="CF28" i="23916"/>
  <c r="CN28" i="23916"/>
  <c r="GI29" i="23916"/>
  <c r="GN31" i="23916"/>
  <c r="GN39" i="23916" s="1"/>
  <c r="GI32" i="23916"/>
  <c r="GM32" i="23916"/>
  <c r="GT33" i="23916"/>
  <c r="GE36" i="23916"/>
  <c r="GI36" i="23916"/>
  <c r="GM36" i="23916"/>
  <c r="BI32" i="23916"/>
  <c r="BM32" i="23916"/>
  <c r="BQ32" i="23916"/>
  <c r="BU32" i="23916"/>
  <c r="BY32" i="23916"/>
  <c r="CC32" i="23916"/>
  <c r="CG32" i="23916"/>
  <c r="CK32" i="23916"/>
  <c r="EH31" i="23916"/>
  <c r="EA39" i="23916"/>
  <c r="EE39" i="23916"/>
  <c r="EI39" i="23916"/>
  <c r="EM39" i="23916"/>
  <c r="GU42" i="23916"/>
  <c r="BM43" i="23916"/>
  <c r="BO42" i="23916"/>
  <c r="BU43" i="23916"/>
  <c r="BW42" i="23916"/>
  <c r="CC43" i="23916"/>
  <c r="CE42" i="23916"/>
  <c r="CK43" i="23916"/>
  <c r="CM42" i="23916"/>
  <c r="CO41" i="23916"/>
  <c r="BH49" i="23916"/>
  <c r="BL49" i="23916"/>
  <c r="BP49" i="23916"/>
  <c r="BT49" i="23916"/>
  <c r="BX49" i="23916"/>
  <c r="CB49" i="23916"/>
  <c r="CF49" i="23916"/>
  <c r="CJ49" i="23916"/>
  <c r="CN49" i="23916"/>
  <c r="FT52" i="23916"/>
  <c r="FX52" i="23916"/>
  <c r="GB52" i="23916"/>
  <c r="GN52" i="23916"/>
  <c r="GE53" i="23916"/>
  <c r="GI53" i="23916"/>
  <c r="GM53" i="23916"/>
  <c r="FW57" i="23916"/>
  <c r="GA57" i="23916"/>
  <c r="GI57" i="23916"/>
  <c r="GM57" i="23916"/>
  <c r="BJ55" i="23916"/>
  <c r="BR55" i="23916"/>
  <c r="BZ55" i="23916"/>
  <c r="CH55" i="23916"/>
  <c r="CP52" i="23916"/>
  <c r="CT52" i="23916"/>
  <c r="CP60" i="23916"/>
  <c r="CT60" i="23916"/>
  <c r="CX60" i="23916"/>
  <c r="DB60" i="23916"/>
  <c r="DF60" i="23916"/>
  <c r="DJ60" i="23916"/>
  <c r="DN60" i="23916"/>
  <c r="DR60" i="23916"/>
  <c r="DV60" i="23916"/>
  <c r="DZ60" i="23916"/>
  <c r="CR69" i="23916"/>
  <c r="CV69" i="23916"/>
  <c r="CZ69" i="23916"/>
  <c r="DD69" i="23916"/>
  <c r="DH69" i="23916"/>
  <c r="DL69" i="23916"/>
  <c r="DP69" i="23916"/>
  <c r="DT69" i="23916"/>
  <c r="EB69" i="23916"/>
  <c r="EF69" i="23916"/>
  <c r="EJ69" i="23916"/>
  <c r="EN69" i="23916"/>
  <c r="GD71" i="23916"/>
  <c r="GH71" i="23916"/>
  <c r="GI71" i="23916" s="1"/>
  <c r="GL71" i="23916"/>
  <c r="GM71" i="23916" s="1"/>
  <c r="FQ82" i="23916"/>
  <c r="FU82" i="23916"/>
  <c r="FY82" i="23916"/>
  <c r="GC82" i="23916"/>
  <c r="GG82" i="23916"/>
  <c r="GK82" i="23916"/>
  <c r="GO82" i="23916"/>
  <c r="FQ85" i="23916"/>
  <c r="FU85" i="23916"/>
  <c r="FY85" i="23916"/>
  <c r="GC85" i="23916"/>
  <c r="GG85" i="23916"/>
  <c r="GK85" i="23916"/>
  <c r="GO85" i="23916"/>
  <c r="BB493" i="23916"/>
  <c r="AT493" i="23916"/>
  <c r="BP493" i="23916"/>
  <c r="BH493" i="23916"/>
  <c r="AT82" i="23916"/>
  <c r="BB82" i="23916"/>
  <c r="ED83" i="23916"/>
  <c r="EL83" i="23916"/>
  <c r="AT87" i="23916"/>
  <c r="AX87" i="23916"/>
  <c r="BB87" i="23916"/>
  <c r="BF87" i="23916"/>
  <c r="BJ87" i="23916"/>
  <c r="BN87" i="23916"/>
  <c r="BR87" i="23916"/>
  <c r="BV87" i="23916"/>
  <c r="BZ87" i="23916"/>
  <c r="CD87" i="23916"/>
  <c r="CH87" i="23916"/>
  <c r="CL87" i="23916"/>
  <c r="CP87" i="23916"/>
  <c r="CT87" i="23916"/>
  <c r="CX87" i="23916"/>
  <c r="DB87" i="23916"/>
  <c r="DF87" i="23916"/>
  <c r="DJ87" i="23916"/>
  <c r="DN87" i="23916"/>
  <c r="DR87" i="23916"/>
  <c r="DV87" i="23916"/>
  <c r="DZ87" i="23916"/>
  <c r="ED87" i="23916"/>
  <c r="EH87" i="23916"/>
  <c r="EL87" i="23916"/>
  <c r="EP87" i="23916"/>
  <c r="FQ105" i="23916"/>
  <c r="FU105" i="23916"/>
  <c r="FY105" i="23916"/>
  <c r="AR102" i="23916"/>
  <c r="AT104" i="23916"/>
  <c r="CU104" i="23916"/>
  <c r="CY104" i="23916"/>
  <c r="DC104" i="23916"/>
  <c r="DG104" i="23916"/>
  <c r="DK104" i="23916"/>
  <c r="DO104" i="23916"/>
  <c r="DS104" i="23916"/>
  <c r="DW104" i="23916"/>
  <c r="DW110" i="23916" s="1"/>
  <c r="EA104" i="23916"/>
  <c r="EE104" i="23916"/>
  <c r="EI104" i="23916"/>
  <c r="EM104" i="23916"/>
  <c r="CV105" i="23916"/>
  <c r="CZ105" i="23916"/>
  <c r="DD105" i="23916"/>
  <c r="DH105" i="23916"/>
  <c r="DL105" i="23916"/>
  <c r="DP105" i="23916"/>
  <c r="DT105" i="23916"/>
  <c r="EB105" i="23916"/>
  <c r="EF105" i="23916"/>
  <c r="EJ105" i="23916"/>
  <c r="EN105" i="23916"/>
  <c r="AY104" i="23916"/>
  <c r="BG104" i="23916"/>
  <c r="BO104" i="23916"/>
  <c r="BW104" i="23916"/>
  <c r="CE104" i="23916"/>
  <c r="CI104" i="23916"/>
  <c r="CQ104" i="23916"/>
  <c r="CH102" i="23916"/>
  <c r="CL104" i="23916"/>
  <c r="CP102" i="23916"/>
  <c r="AQ106" i="23916"/>
  <c r="GO117" i="23916"/>
  <c r="FU130" i="23916"/>
  <c r="FY130" i="23916"/>
  <c r="GC130" i="23916"/>
  <c r="GG130" i="23916"/>
  <c r="GK130" i="23916"/>
  <c r="GO130" i="23916"/>
  <c r="GI132" i="23916"/>
  <c r="GM132" i="23916"/>
  <c r="BN129" i="23916"/>
  <c r="BV129" i="23916"/>
  <c r="CD129" i="23916"/>
  <c r="CL129" i="23916"/>
  <c r="BJ132" i="23916"/>
  <c r="BN132" i="23916"/>
  <c r="BR132" i="23916"/>
  <c r="BV132" i="23916"/>
  <c r="BZ132" i="23916"/>
  <c r="CD132" i="23916"/>
  <c r="CH132" i="23916"/>
  <c r="CL132" i="23916"/>
  <c r="CT132" i="23916"/>
  <c r="BH135" i="23916"/>
  <c r="BH137" i="23916"/>
  <c r="BL137" i="23916"/>
  <c r="BP137" i="23916"/>
  <c r="BT137" i="23916"/>
  <c r="BX137" i="23916"/>
  <c r="CB137" i="23916"/>
  <c r="CF137" i="23916"/>
  <c r="CJ137" i="23916"/>
  <c r="CN137" i="23916"/>
  <c r="CR137" i="23916"/>
  <c r="CV137" i="23916"/>
  <c r="CZ137" i="23916"/>
  <c r="DD137" i="23916"/>
  <c r="DH137" i="23916"/>
  <c r="DL137" i="23916"/>
  <c r="DP137" i="23916"/>
  <c r="DT137" i="23916"/>
  <c r="EB137" i="23916"/>
  <c r="EF137" i="23916"/>
  <c r="EJ137" i="23916"/>
  <c r="EN137" i="23916"/>
  <c r="CG141" i="23916"/>
  <c r="CG142" i="23916" s="1"/>
  <c r="CO141" i="23916"/>
  <c r="CO142" i="23916" s="1"/>
  <c r="FR145" i="23916"/>
  <c r="FV145" i="23916"/>
  <c r="FZ145" i="23916"/>
  <c r="GG146" i="23916"/>
  <c r="GK146" i="23916"/>
  <c r="GO146" i="23916"/>
  <c r="GD149" i="23916"/>
  <c r="GH149" i="23916"/>
  <c r="GL149" i="23916"/>
  <c r="AQ148" i="23916"/>
  <c r="BG148" i="23916"/>
  <c r="BO148" i="23916"/>
  <c r="BW148" i="23916"/>
  <c r="CE148" i="23916"/>
  <c r="CN148" i="23916" s="1"/>
  <c r="CV495" i="23916"/>
  <c r="DD495" i="23916"/>
  <c r="DL495" i="23916"/>
  <c r="DT495" i="23916"/>
  <c r="DZ495" i="23916"/>
  <c r="EH495" i="23916"/>
  <c r="EP495" i="23916"/>
  <c r="BN145" i="23916"/>
  <c r="BV145" i="23916"/>
  <c r="CD145" i="23916"/>
  <c r="CL145" i="23916"/>
  <c r="CT145" i="23916"/>
  <c r="CV148" i="23916"/>
  <c r="DD148" i="23916"/>
  <c r="DL148" i="23916"/>
  <c r="DT148" i="23916"/>
  <c r="ED148" i="23916"/>
  <c r="EL148" i="23916"/>
  <c r="BG153" i="23916"/>
  <c r="BI153" i="23916"/>
  <c r="BQ153" i="23916"/>
  <c r="BW153" i="23916"/>
  <c r="BY153" i="23916"/>
  <c r="CG153" i="23916"/>
  <c r="CO153" i="23916"/>
  <c r="EN161" i="23916"/>
  <c r="BF164" i="23916"/>
  <c r="BH166" i="23916"/>
  <c r="CT164" i="23916"/>
  <c r="CX164" i="23916"/>
  <c r="DB164" i="23916"/>
  <c r="DF164" i="23916"/>
  <c r="DJ164" i="23916"/>
  <c r="DN164" i="23916"/>
  <c r="DR164" i="23916"/>
  <c r="DV164" i="23916"/>
  <c r="DZ164" i="23916"/>
  <c r="ED164" i="23916"/>
  <c r="EH164" i="23916"/>
  <c r="EL164" i="23916"/>
  <c r="EP164" i="23916"/>
  <c r="FT164" i="23916"/>
  <c r="FU164" i="23916" s="1"/>
  <c r="FX164" i="23916"/>
  <c r="FY164" i="23916" s="1"/>
  <c r="GB164" i="23916"/>
  <c r="GC164" i="23916" s="1"/>
  <c r="AU166" i="23916"/>
  <c r="BC166" i="23916"/>
  <c r="BJ164" i="23916"/>
  <c r="BN164" i="23916"/>
  <c r="BP164" i="23916"/>
  <c r="BV167" i="23916"/>
  <c r="BZ167" i="23916"/>
  <c r="CD167" i="23916"/>
  <c r="BI168" i="23916"/>
  <c r="BR168" i="23916" s="1"/>
  <c r="BY168" i="23916"/>
  <c r="CG168" i="23916"/>
  <c r="FP205" i="23916"/>
  <c r="FQ191" i="23916"/>
  <c r="GK202" i="23916"/>
  <c r="GI193" i="23916"/>
  <c r="ER192" i="23916"/>
  <c r="GP192" i="23916"/>
  <c r="EV190" i="23916"/>
  <c r="GP190" i="23916"/>
  <c r="GK194" i="23916"/>
  <c r="FV199" i="23916"/>
  <c r="FW199" i="23916" s="1"/>
  <c r="FW189" i="23916"/>
  <c r="FV195" i="23916"/>
  <c r="FW193" i="23916"/>
  <c r="FY202" i="23916"/>
  <c r="GP209" i="23916"/>
  <c r="ES215" i="23916"/>
  <c r="ER215" i="23916"/>
  <c r="FZ493" i="23916"/>
  <c r="GA236" i="23916"/>
  <c r="GH493" i="23916"/>
  <c r="GI236" i="23916"/>
  <c r="FU238" i="23916"/>
  <c r="GC238" i="23916"/>
  <c r="GK238" i="23916"/>
  <c r="FW239" i="23916"/>
  <c r="GD501" i="23916"/>
  <c r="GM239" i="23916"/>
  <c r="BG270" i="23916"/>
  <c r="BH240" i="23916"/>
  <c r="BW270" i="23916"/>
  <c r="BX240" i="23916"/>
  <c r="CM270" i="23916"/>
  <c r="CN240" i="23916"/>
  <c r="DC270" i="23916"/>
  <c r="DD240" i="23916"/>
  <c r="DS270" i="23916"/>
  <c r="DT240" i="23916"/>
  <c r="EI270" i="23916"/>
  <c r="EJ240" i="23916"/>
  <c r="BG241" i="23916"/>
  <c r="BW241" i="23916"/>
  <c r="CM241" i="23916"/>
  <c r="DC241" i="23916"/>
  <c r="DS241" i="23916"/>
  <c r="EI241" i="23916"/>
  <c r="EJ241" i="23916" s="1"/>
  <c r="AQ270" i="23916"/>
  <c r="AQ241" i="23916"/>
  <c r="AQ263" i="23916" s="1"/>
  <c r="FN270" i="23916"/>
  <c r="FN241" i="23916"/>
  <c r="FV501" i="23916"/>
  <c r="BN28" i="23916"/>
  <c r="BV28" i="23916"/>
  <c r="CD28" i="23916"/>
  <c r="CL28" i="23916"/>
  <c r="GM29" i="23916"/>
  <c r="BO32" i="23916"/>
  <c r="BW32" i="23916"/>
  <c r="CE32" i="23916"/>
  <c r="CM32" i="23916"/>
  <c r="EO39" i="23916"/>
  <c r="FV39" i="23916"/>
  <c r="FZ39" i="23916"/>
  <c r="GD39" i="23916"/>
  <c r="GH39" i="23916"/>
  <c r="GL39" i="23916"/>
  <c r="BG44" i="23916"/>
  <c r="BG45" i="23916" s="1"/>
  <c r="BI43" i="23916"/>
  <c r="BM41" i="23916"/>
  <c r="BQ43" i="23916"/>
  <c r="BU41" i="23916"/>
  <c r="BY43" i="23916"/>
  <c r="CC41" i="23916"/>
  <c r="CG43" i="23916"/>
  <c r="CK41" i="23916"/>
  <c r="CO43" i="23916"/>
  <c r="FT49" i="23916"/>
  <c r="FT65" i="23916" s="1"/>
  <c r="BI53" i="23916"/>
  <c r="BM53" i="23916"/>
  <c r="BQ53" i="23916"/>
  <c r="BU53" i="23916"/>
  <c r="BY53" i="23916"/>
  <c r="CC53" i="23916"/>
  <c r="CG53" i="23916"/>
  <c r="CK53" i="23916"/>
  <c r="ES57" i="23916"/>
  <c r="FV52" i="23916"/>
  <c r="FZ52" i="23916"/>
  <c r="BG56" i="23916"/>
  <c r="BP56" i="23916" s="1"/>
  <c r="BN55" i="23916"/>
  <c r="BV55" i="23916"/>
  <c r="CD55" i="23916"/>
  <c r="CL55" i="23916"/>
  <c r="CR52" i="23916"/>
  <c r="CV52" i="23916"/>
  <c r="ED52" i="23916"/>
  <c r="EL52" i="23916"/>
  <c r="BG62" i="23916"/>
  <c r="BK62" i="23916"/>
  <c r="BO62" i="23916"/>
  <c r="BS62" i="23916"/>
  <c r="BW62" i="23916"/>
  <c r="CA62" i="23916"/>
  <c r="CE62" i="23916"/>
  <c r="CI62" i="23916"/>
  <c r="CM62" i="23916"/>
  <c r="FV69" i="23916"/>
  <c r="FZ69" i="23916"/>
  <c r="GD69" i="23916"/>
  <c r="DP83" i="23916"/>
  <c r="AX102" i="23916"/>
  <c r="BB104" i="23916"/>
  <c r="BF102" i="23916"/>
  <c r="BJ104" i="23916"/>
  <c r="BN102" i="23916"/>
  <c r="BR104" i="23916"/>
  <c r="BV102" i="23916"/>
  <c r="BZ104" i="23916"/>
  <c r="CD102" i="23916"/>
  <c r="EU115" i="23916"/>
  <c r="DF537" i="23916"/>
  <c r="CX537" i="23916"/>
  <c r="BJ129" i="23916"/>
  <c r="BR129" i="23916"/>
  <c r="BZ129" i="23916"/>
  <c r="CH129" i="23916"/>
  <c r="BI139" i="23916"/>
  <c r="BK139" i="23916"/>
  <c r="BM139" i="23916"/>
  <c r="BQ139" i="23916"/>
  <c r="BS139" i="23916"/>
  <c r="BU139" i="23916"/>
  <c r="BY139" i="23916"/>
  <c r="CA139" i="23916"/>
  <c r="CC139" i="23916"/>
  <c r="CG139" i="23916"/>
  <c r="CI139" i="23916"/>
  <c r="CK139" i="23916"/>
  <c r="CO139" i="23916"/>
  <c r="GB145" i="23916"/>
  <c r="FP174" i="23916"/>
  <c r="GF149" i="23916"/>
  <c r="GJ149" i="23916"/>
  <c r="GN149" i="23916"/>
  <c r="CQ148" i="23916"/>
  <c r="DH495" i="23916"/>
  <c r="DP495" i="23916"/>
  <c r="ED495" i="23916"/>
  <c r="EL495" i="23916"/>
  <c r="CP145" i="23916"/>
  <c r="DH148" i="23916"/>
  <c r="DP148" i="23916"/>
  <c r="DZ148" i="23916"/>
  <c r="EH148" i="23916"/>
  <c r="FV165" i="23916"/>
  <c r="BU166" i="23916"/>
  <c r="BY166" i="23916"/>
  <c r="CG171" i="23916"/>
  <c r="CC168" i="23916"/>
  <c r="CK168" i="23916"/>
  <c r="EW171" i="23916"/>
  <c r="EW176" i="23916"/>
  <c r="FQ189" i="23916"/>
  <c r="FP195" i="23916"/>
  <c r="FP199" i="23916" s="1"/>
  <c r="FQ193" i="23916"/>
  <c r="FS191" i="23916"/>
  <c r="GH202" i="23916"/>
  <c r="GI202" i="23916" s="1"/>
  <c r="GM193" i="23916"/>
  <c r="BG230" i="23916"/>
  <c r="FV205" i="23916"/>
  <c r="GA192" i="23916"/>
  <c r="FY192" i="23916"/>
  <c r="FZ202" i="23916"/>
  <c r="GA202" i="23916" s="1"/>
  <c r="FS221" i="23916"/>
  <c r="GA221" i="23916"/>
  <c r="GI221" i="23916"/>
  <c r="FR214" i="23916"/>
  <c r="FW211" i="23916"/>
  <c r="GE213" i="23916"/>
  <c r="GC213" i="23916"/>
  <c r="GM212" i="23916"/>
  <c r="GP211" i="23916"/>
  <c r="GI215" i="23916"/>
  <c r="BG219" i="23916"/>
  <c r="FV493" i="23916"/>
  <c r="FW236" i="23916"/>
  <c r="GD493" i="23916"/>
  <c r="GE236" i="23916"/>
  <c r="GL493" i="23916"/>
  <c r="GM236" i="23916"/>
  <c r="FP496" i="23916"/>
  <c r="FQ238" i="23916"/>
  <c r="FY238" i="23916"/>
  <c r="GG238" i="23916"/>
  <c r="GO238" i="23916"/>
  <c r="FR501" i="23916"/>
  <c r="FS257" i="23916"/>
  <c r="FZ501" i="23916"/>
  <c r="GA257" i="23916"/>
  <c r="GH501" i="23916"/>
  <c r="GI257" i="23916"/>
  <c r="BO270" i="23916"/>
  <c r="BP240" i="23916"/>
  <c r="CE270" i="23916"/>
  <c r="CF240" i="23916"/>
  <c r="CU270" i="23916"/>
  <c r="CV240" i="23916"/>
  <c r="DK270" i="23916"/>
  <c r="DL240" i="23916"/>
  <c r="EA270" i="23916"/>
  <c r="EB240" i="23916"/>
  <c r="BO241" i="23916"/>
  <c r="CE241" i="23916"/>
  <c r="CF241" i="23916" s="1"/>
  <c r="CU241" i="23916"/>
  <c r="CV241" i="23916" s="1"/>
  <c r="DK241" i="23916"/>
  <c r="DL241" i="23916" s="1"/>
  <c r="EA241" i="23916"/>
  <c r="EB241" i="23916" s="1"/>
  <c r="AY270" i="23916"/>
  <c r="AY241" i="23916"/>
  <c r="AY263" i="23916" s="1"/>
  <c r="BN253" i="23916"/>
  <c r="BV253" i="23916"/>
  <c r="CD253" i="23916"/>
  <c r="CL253" i="23916"/>
  <c r="CT253" i="23916"/>
  <c r="DB253" i="23916"/>
  <c r="DJ253" i="23916"/>
  <c r="DR253" i="23916"/>
  <c r="BM35" i="23916"/>
  <c r="BU35" i="23916"/>
  <c r="CC35" i="23916"/>
  <c r="CK35" i="23916"/>
  <c r="CO35" i="23916"/>
  <c r="EF31" i="23916"/>
  <c r="EN31" i="23916"/>
  <c r="BO41" i="23916"/>
  <c r="BW41" i="23916"/>
  <c r="CE41" i="23916"/>
  <c r="CM41" i="23916"/>
  <c r="GI50" i="23916"/>
  <c r="CO63" i="23916"/>
  <c r="GF86" i="23916"/>
  <c r="GJ86" i="23916"/>
  <c r="GN86" i="23916"/>
  <c r="BF83" i="23916"/>
  <c r="BG90" i="23916"/>
  <c r="FT134" i="23916"/>
  <c r="BK135" i="23916"/>
  <c r="BK153" i="23916" s="1"/>
  <c r="BS135" i="23916"/>
  <c r="CA135" i="23916"/>
  <c r="CI135" i="23916"/>
  <c r="BF495" i="23916"/>
  <c r="BN495" i="23916"/>
  <c r="BV495" i="23916"/>
  <c r="CD495" i="23916"/>
  <c r="CL495" i="23916"/>
  <c r="CT495" i="23916"/>
  <c r="DB495" i="23916"/>
  <c r="DJ495" i="23916"/>
  <c r="DR495" i="23916"/>
  <c r="EN495" i="23916"/>
  <c r="AX148" i="23916"/>
  <c r="BF148" i="23916"/>
  <c r="BN148" i="23916"/>
  <c r="BV148" i="23916"/>
  <c r="CD148" i="23916"/>
  <c r="CL148" i="23916"/>
  <c r="CR145" i="23916"/>
  <c r="CT148" i="23916"/>
  <c r="DB148" i="23916"/>
  <c r="DJ148" i="23916"/>
  <c r="DR148" i="23916"/>
  <c r="FN180" i="23916"/>
  <c r="FN727" i="23916" s="1"/>
  <c r="FN176" i="23916"/>
  <c r="BG171" i="23916"/>
  <c r="CQ171" i="23916"/>
  <c r="CR171" i="23916" s="1"/>
  <c r="AW171" i="23916"/>
  <c r="AX171" i="23916" s="1"/>
  <c r="BK171" i="23916"/>
  <c r="CL165" i="23916"/>
  <c r="AX166" i="23916"/>
  <c r="GM178" i="23916"/>
  <c r="BI205" i="23916"/>
  <c r="BI199" i="23916"/>
  <c r="FT205" i="23916"/>
  <c r="GG193" i="23916"/>
  <c r="GO193" i="23916"/>
  <c r="ER196" i="23916"/>
  <c r="GQ194" i="23916"/>
  <c r="GS194" i="23916"/>
  <c r="BI195" i="23916"/>
  <c r="GC191" i="23916"/>
  <c r="GA191" i="23916"/>
  <c r="AS224" i="23916"/>
  <c r="AS214" i="23916"/>
  <c r="AT208" i="23916"/>
  <c r="EX209" i="23916"/>
  <c r="FP218" i="23916"/>
  <c r="FQ218" i="23916" s="1"/>
  <c r="FU209" i="23916"/>
  <c r="FT221" i="23916"/>
  <c r="FU221" i="23916" s="1"/>
  <c r="GC209" i="23916"/>
  <c r="GB221" i="23916"/>
  <c r="GC221" i="23916" s="1"/>
  <c r="GK209" i="23916"/>
  <c r="GJ221" i="23916"/>
  <c r="GK221" i="23916" s="1"/>
  <c r="FS212" i="23916"/>
  <c r="FQ212" i="23916"/>
  <c r="FP224" i="23916"/>
  <c r="FY211" i="23916"/>
  <c r="GG212" i="23916"/>
  <c r="GO212" i="23916"/>
  <c r="AS223" i="23916"/>
  <c r="FS238" i="23916"/>
  <c r="GA238" i="23916"/>
  <c r="GI238" i="23916"/>
  <c r="FT257" i="23916"/>
  <c r="FU239" i="23916"/>
  <c r="GB257" i="23916"/>
  <c r="GE257" i="23916" s="1"/>
  <c r="GC239" i="23916"/>
  <c r="GJ257" i="23916"/>
  <c r="GK239" i="23916"/>
  <c r="EE270" i="23916"/>
  <c r="EF240" i="23916"/>
  <c r="EE241" i="23916"/>
  <c r="FR500" i="23916"/>
  <c r="FS256" i="23916"/>
  <c r="FZ500" i="23916"/>
  <c r="GA256" i="23916"/>
  <c r="FZ267" i="23916"/>
  <c r="GH500" i="23916"/>
  <c r="GI256" i="23916"/>
  <c r="GK256" i="23916"/>
  <c r="AS501" i="23916"/>
  <c r="AS259" i="23916"/>
  <c r="AT257" i="23916"/>
  <c r="BD258" i="23916"/>
  <c r="BC259" i="23916"/>
  <c r="BN259" i="23916"/>
  <c r="BY501" i="23916"/>
  <c r="BY259" i="23916"/>
  <c r="BZ257" i="23916"/>
  <c r="CJ258" i="23916"/>
  <c r="CI259" i="23916"/>
  <c r="FZ258" i="23916"/>
  <c r="CT259" i="23916"/>
  <c r="DE501" i="23916"/>
  <c r="DE259" i="23916"/>
  <c r="DF257" i="23916"/>
  <c r="DP258" i="23916"/>
  <c r="DO259" i="23916"/>
  <c r="EO501" i="23916"/>
  <c r="EO259" i="23916"/>
  <c r="EP257" i="23916"/>
  <c r="EF178" i="23916"/>
  <c r="EN178" i="23916"/>
  <c r="FQ190" i="23916"/>
  <c r="FS193" i="23916"/>
  <c r="GG191" i="23916"/>
  <c r="GK191" i="23916"/>
  <c r="GO191" i="23916"/>
  <c r="ER190" i="23916"/>
  <c r="GO194" i="23916"/>
  <c r="AR195" i="23916"/>
  <c r="FU190" i="23916"/>
  <c r="FU194" i="23916"/>
  <c r="FW191" i="23916"/>
  <c r="GC192" i="23916"/>
  <c r="GC196" i="23916"/>
  <c r="ER209" i="23916"/>
  <c r="EV209" i="23916"/>
  <c r="FT208" i="23916"/>
  <c r="FS209" i="23916"/>
  <c r="FW209" i="23916"/>
  <c r="GA209" i="23916"/>
  <c r="GE209" i="23916"/>
  <c r="GI209" i="23916"/>
  <c r="GM209" i="23916"/>
  <c r="ER211" i="23916"/>
  <c r="AQ218" i="23916"/>
  <c r="AR218" i="23916" s="1"/>
  <c r="BG218" i="23916"/>
  <c r="FP493" i="23916"/>
  <c r="FU236" i="23916"/>
  <c r="FY236" i="23916"/>
  <c r="GC236" i="23916"/>
  <c r="GG236" i="23916"/>
  <c r="GK236" i="23916"/>
  <c r="GO236" i="23916"/>
  <c r="AS494" i="23916"/>
  <c r="AT494" i="23916" s="1"/>
  <c r="BA494" i="23916"/>
  <c r="BB494" i="23916" s="1"/>
  <c r="BI494" i="23916"/>
  <c r="BI267" i="23916"/>
  <c r="BQ494" i="23916"/>
  <c r="BR494" i="23916" s="1"/>
  <c r="BQ267" i="23916"/>
  <c r="BY494" i="23916"/>
  <c r="BY267" i="23916"/>
  <c r="CG494" i="23916"/>
  <c r="CH494" i="23916" s="1"/>
  <c r="CG267" i="23916"/>
  <c r="CO494" i="23916"/>
  <c r="CO267" i="23916"/>
  <c r="CW494" i="23916"/>
  <c r="CX494" i="23916" s="1"/>
  <c r="CW267" i="23916"/>
  <c r="DE494" i="23916"/>
  <c r="DE267" i="23916"/>
  <c r="DM494" i="23916"/>
  <c r="DN494" i="23916" s="1"/>
  <c r="DM267" i="23916"/>
  <c r="DN267" i="23916" s="1"/>
  <c r="DU494" i="23916"/>
  <c r="DU267" i="23916"/>
  <c r="EA494" i="23916"/>
  <c r="EA267" i="23916"/>
  <c r="EI494" i="23916"/>
  <c r="EI267" i="23916"/>
  <c r="FS239" i="23916"/>
  <c r="GA239" i="23916"/>
  <c r="GE239" i="23916"/>
  <c r="GI239" i="23916"/>
  <c r="EW245" i="23916"/>
  <c r="FR252" i="23916"/>
  <c r="FS252" i="23916" s="1"/>
  <c r="BL252" i="23916"/>
  <c r="BB253" i="23916"/>
  <c r="ED253" i="23916"/>
  <c r="EL253" i="23916"/>
  <c r="ET253" i="23916"/>
  <c r="FY256" i="23916"/>
  <c r="GF267" i="23916"/>
  <c r="GN267" i="23916"/>
  <c r="AV258" i="23916"/>
  <c r="AU259" i="23916"/>
  <c r="BF259" i="23916"/>
  <c r="BQ501" i="23916"/>
  <c r="BQ259" i="23916"/>
  <c r="BR257" i="23916"/>
  <c r="FX258" i="23916"/>
  <c r="FY258" i="23916" s="1"/>
  <c r="CB258" i="23916"/>
  <c r="CA259" i="23916"/>
  <c r="CL259" i="23916"/>
  <c r="CW501" i="23916"/>
  <c r="CW259" i="23916"/>
  <c r="CX257" i="23916"/>
  <c r="GF258" i="23916"/>
  <c r="GG258" i="23916" s="1"/>
  <c r="DH258" i="23916"/>
  <c r="DG259" i="23916"/>
  <c r="DR259" i="23916"/>
  <c r="EG501" i="23916"/>
  <c r="EG259" i="23916"/>
  <c r="EH257" i="23916"/>
  <c r="FG288" i="23916"/>
  <c r="V306" i="23916"/>
  <c r="U309" i="23916"/>
  <c r="U308" i="23916"/>
  <c r="V308" i="23916" s="1"/>
  <c r="AF302" i="23916"/>
  <c r="AL306" i="23916"/>
  <c r="AK309" i="23916"/>
  <c r="AK308" i="23916"/>
  <c r="AL308" i="23916" s="1"/>
  <c r="AV302" i="23916"/>
  <c r="BW740" i="23916"/>
  <c r="BX300" i="23916"/>
  <c r="BW301" i="23916"/>
  <c r="CE740" i="23916"/>
  <c r="CF300" i="23916"/>
  <c r="CE301" i="23916"/>
  <c r="CF301" i="23916" s="1"/>
  <c r="CK740" i="23916"/>
  <c r="CL300" i="23916"/>
  <c r="CK301" i="23916"/>
  <c r="CL301" i="23916" s="1"/>
  <c r="DA740" i="23916"/>
  <c r="DB300" i="23916"/>
  <c r="DA301" i="23916"/>
  <c r="DH306" i="23916"/>
  <c r="DG312" i="23916"/>
  <c r="DG309" i="23916"/>
  <c r="DG308" i="23916"/>
  <c r="DR290" i="23916"/>
  <c r="DW312" i="23916"/>
  <c r="DW728" i="23916" s="1"/>
  <c r="DW308" i="23916"/>
  <c r="DW309" i="23916"/>
  <c r="EH290" i="23916"/>
  <c r="EO791" i="23916"/>
  <c r="EM740" i="23916"/>
  <c r="EV300" i="23916"/>
  <c r="EM301" i="23916"/>
  <c r="EN301" i="23916" s="1"/>
  <c r="EN300" i="23916"/>
  <c r="BV294" i="23916"/>
  <c r="BO740" i="23916"/>
  <c r="BO301" i="23916"/>
  <c r="CP294" i="23916"/>
  <c r="GB294" i="23916"/>
  <c r="GB302" i="23916"/>
  <c r="GC296" i="23916"/>
  <c r="CZ302" i="23916"/>
  <c r="DP302" i="23916"/>
  <c r="GH302" i="23916"/>
  <c r="AX376" i="23916"/>
  <c r="AW391" i="23916"/>
  <c r="AW388" i="23916"/>
  <c r="AX388" i="23916" s="1"/>
  <c r="AG428" i="23916"/>
  <c r="AG427" i="23916"/>
  <c r="AO428" i="23916"/>
  <c r="AP425" i="23916"/>
  <c r="AO427" i="23916"/>
  <c r="AP427" i="23916" s="1"/>
  <c r="FY190" i="23916"/>
  <c r="FY194" i="23916"/>
  <c r="GA190" i="23916"/>
  <c r="AQ199" i="23916"/>
  <c r="BG199" i="23916"/>
  <c r="FP202" i="23916"/>
  <c r="FQ202" i="23916" s="1"/>
  <c r="FT202" i="23916"/>
  <c r="FU202" i="23916" s="1"/>
  <c r="FR224" i="23916"/>
  <c r="FS236" i="23916"/>
  <c r="AW494" i="23916"/>
  <c r="BE494" i="23916"/>
  <c r="BM494" i="23916"/>
  <c r="BM267" i="23916"/>
  <c r="BU494" i="23916"/>
  <c r="BV494" i="23916" s="1"/>
  <c r="BU267" i="23916"/>
  <c r="CC494" i="23916"/>
  <c r="CC267" i="23916"/>
  <c r="CK494" i="23916"/>
  <c r="CL494" i="23916" s="1"/>
  <c r="CK267" i="23916"/>
  <c r="CS494" i="23916"/>
  <c r="CS267" i="23916"/>
  <c r="DA494" i="23916"/>
  <c r="DB494" i="23916" s="1"/>
  <c r="DA267" i="23916"/>
  <c r="DI494" i="23916"/>
  <c r="DI267" i="23916"/>
  <c r="DQ494" i="23916"/>
  <c r="DR494" i="23916" s="1"/>
  <c r="DQ267" i="23916"/>
  <c r="DR267" i="23916" s="1"/>
  <c r="DX494" i="23916"/>
  <c r="DX267" i="23916"/>
  <c r="EE494" i="23916"/>
  <c r="EF494" i="23916" s="1"/>
  <c r="EE267" i="23916"/>
  <c r="EF267" i="23916" s="1"/>
  <c r="EM494" i="23916"/>
  <c r="EM267" i="23916"/>
  <c r="BH237" i="23916"/>
  <c r="BJ237" i="23916"/>
  <c r="BN237" i="23916"/>
  <c r="BP237" i="23916"/>
  <c r="BR237" i="23916"/>
  <c r="BV237" i="23916"/>
  <c r="BX237" i="23916"/>
  <c r="BZ237" i="23916"/>
  <c r="CD237" i="23916"/>
  <c r="CF237" i="23916"/>
  <c r="CH237" i="23916"/>
  <c r="CL237" i="23916"/>
  <c r="CN237" i="23916"/>
  <c r="CP237" i="23916"/>
  <c r="CT237" i="23916"/>
  <c r="CV237" i="23916"/>
  <c r="CX237" i="23916"/>
  <c r="DB237" i="23916"/>
  <c r="DD237" i="23916"/>
  <c r="DF237" i="23916"/>
  <c r="DJ237" i="23916"/>
  <c r="DL237" i="23916"/>
  <c r="DN237" i="23916"/>
  <c r="DR237" i="23916"/>
  <c r="DT237" i="23916"/>
  <c r="DV237" i="23916"/>
  <c r="EB237" i="23916"/>
  <c r="EF237" i="23916"/>
  <c r="EJ237" i="23916"/>
  <c r="EN237" i="23916"/>
  <c r="AR237" i="23916"/>
  <c r="AZ237" i="23916"/>
  <c r="DX240" i="23916"/>
  <c r="FY253" i="23916"/>
  <c r="GC253" i="23916"/>
  <c r="DZ253" i="23916"/>
  <c r="EH253" i="23916"/>
  <c r="EX253" i="23916"/>
  <c r="EP253" i="23916"/>
  <c r="EU258" i="23916"/>
  <c r="ET258" i="23916"/>
  <c r="FU256" i="23916"/>
  <c r="GB267" i="23916"/>
  <c r="GJ267" i="23916"/>
  <c r="DX501" i="23916"/>
  <c r="DX259" i="23916"/>
  <c r="GJ258" i="23916"/>
  <c r="GK258" i="23916" s="1"/>
  <c r="DZ258" i="23916"/>
  <c r="BA501" i="23916"/>
  <c r="BA259" i="23916"/>
  <c r="BB257" i="23916"/>
  <c r="FT258" i="23916"/>
  <c r="FU258" i="23916" s="1"/>
  <c r="BL258" i="23916"/>
  <c r="BK259" i="23916"/>
  <c r="BV259" i="23916"/>
  <c r="CG501" i="23916"/>
  <c r="CG259" i="23916"/>
  <c r="CH257" i="23916"/>
  <c r="GB258" i="23916"/>
  <c r="GC258" i="23916" s="1"/>
  <c r="CR258" i="23916"/>
  <c r="CQ259" i="23916"/>
  <c r="DB259" i="23916"/>
  <c r="DM501" i="23916"/>
  <c r="DM259" i="23916"/>
  <c r="DN257" i="23916"/>
  <c r="EB258" i="23916"/>
  <c r="EA259" i="23916"/>
  <c r="FN306" i="23916"/>
  <c r="BG300" i="23916"/>
  <c r="BG306" i="23916"/>
  <c r="BG302" i="23916"/>
  <c r="BH302" i="23916" s="1"/>
  <c r="BG290" i="23916"/>
  <c r="BH290" i="23916" s="1"/>
  <c r="BP288" i="23916"/>
  <c r="BH288" i="23916"/>
  <c r="FT288" i="23916"/>
  <c r="FT302" i="23916" s="1"/>
  <c r="L302" i="23916"/>
  <c r="Q309" i="23916"/>
  <c r="X302" i="23916"/>
  <c r="AD306" i="23916"/>
  <c r="AC309" i="23916"/>
  <c r="AC308" i="23916"/>
  <c r="AT306" i="23916"/>
  <c r="AS312" i="23916"/>
  <c r="AT312" i="23916" s="1"/>
  <c r="AS309" i="23916"/>
  <c r="AS308" i="23916"/>
  <c r="BK312" i="23916"/>
  <c r="BK309" i="23916"/>
  <c r="BK308" i="23916"/>
  <c r="BY740" i="23916"/>
  <c r="BY301" i="23916"/>
  <c r="BZ301" i="23916" s="1"/>
  <c r="BZ300" i="23916"/>
  <c r="CG740" i="23916"/>
  <c r="CG301" i="23916"/>
  <c r="CH300" i="23916"/>
  <c r="CS740" i="23916"/>
  <c r="CT300" i="23916"/>
  <c r="CS301" i="23916"/>
  <c r="CT301" i="23916" s="1"/>
  <c r="CY312" i="23916"/>
  <c r="CY309" i="23916"/>
  <c r="CY308" i="23916"/>
  <c r="DI740" i="23916"/>
  <c r="DJ300" i="23916"/>
  <c r="DI301" i="23916"/>
  <c r="DP306" i="23916"/>
  <c r="DO312" i="23916"/>
  <c r="DO309" i="23916"/>
  <c r="DO308" i="23916"/>
  <c r="EG791" i="23916"/>
  <c r="EE740" i="23916"/>
  <c r="EE301" i="23916"/>
  <c r="BP290" i="23916"/>
  <c r="FT300" i="23916"/>
  <c r="GE293" i="23916"/>
  <c r="GM303" i="23916"/>
  <c r="BQ740" i="23916"/>
  <c r="BQ301" i="23916"/>
  <c r="BR301" i="23916" s="1"/>
  <c r="BR300" i="23916"/>
  <c r="EV302" i="23916"/>
  <c r="BG345" i="23916"/>
  <c r="BG346" i="23916"/>
  <c r="FT493" i="23916"/>
  <c r="FX493" i="23916"/>
  <c r="GB493" i="23916"/>
  <c r="GF493" i="23916"/>
  <c r="GJ493" i="23916"/>
  <c r="GN493" i="23916"/>
  <c r="AQ494" i="23916"/>
  <c r="AR494" i="23916" s="1"/>
  <c r="AY494" i="23916"/>
  <c r="AZ494" i="23916" s="1"/>
  <c r="BG494" i="23916"/>
  <c r="BH494" i="23916" s="1"/>
  <c r="BG267" i="23916"/>
  <c r="BO494" i="23916"/>
  <c r="BO267" i="23916"/>
  <c r="BW494" i="23916"/>
  <c r="BX494" i="23916" s="1"/>
  <c r="BW267" i="23916"/>
  <c r="CE494" i="23916"/>
  <c r="CE267" i="23916"/>
  <c r="CM494" i="23916"/>
  <c r="CN494" i="23916" s="1"/>
  <c r="CM267" i="23916"/>
  <c r="CU494" i="23916"/>
  <c r="CU267" i="23916"/>
  <c r="DC494" i="23916"/>
  <c r="DD494" i="23916" s="1"/>
  <c r="DC267" i="23916"/>
  <c r="DK494" i="23916"/>
  <c r="DK267" i="23916"/>
  <c r="DS494" i="23916"/>
  <c r="DT494" i="23916" s="1"/>
  <c r="DS267" i="23916"/>
  <c r="DT267" i="23916" s="1"/>
  <c r="DY494" i="23916"/>
  <c r="DY267" i="23916"/>
  <c r="EG494" i="23916"/>
  <c r="EH494" i="23916" s="1"/>
  <c r="EG267" i="23916"/>
  <c r="EH267" i="23916" s="1"/>
  <c r="EO494" i="23916"/>
  <c r="EO267" i="23916"/>
  <c r="FR237" i="23916"/>
  <c r="FV237" i="23916"/>
  <c r="FZ237" i="23916"/>
  <c r="GD237" i="23916"/>
  <c r="GH237" i="23916"/>
  <c r="FR496" i="23916"/>
  <c r="GH496" i="23916"/>
  <c r="AT237" i="23916"/>
  <c r="BB237" i="23916"/>
  <c r="BI240" i="23916"/>
  <c r="BM240" i="23916"/>
  <c r="BQ240" i="23916"/>
  <c r="FV240" i="23916" s="1"/>
  <c r="BU240" i="23916"/>
  <c r="BY240" i="23916"/>
  <c r="CC240" i="23916"/>
  <c r="CG240" i="23916"/>
  <c r="CK240" i="23916"/>
  <c r="CO240" i="23916"/>
  <c r="CS240" i="23916"/>
  <c r="CW240" i="23916"/>
  <c r="DA240" i="23916"/>
  <c r="DE240" i="23916"/>
  <c r="DI240" i="23916"/>
  <c r="DM240" i="23916"/>
  <c r="GH240" i="23916" s="1"/>
  <c r="DQ240" i="23916"/>
  <c r="DU240" i="23916"/>
  <c r="DY240" i="23916"/>
  <c r="EG240" i="23916"/>
  <c r="GL240" i="23916" s="1"/>
  <c r="EO240" i="23916"/>
  <c r="AS240" i="23916"/>
  <c r="AW240" i="23916"/>
  <c r="BA240" i="23916"/>
  <c r="FR240" i="23916" s="1"/>
  <c r="BE240" i="23916"/>
  <c r="FQ251" i="23916"/>
  <c r="FU251" i="23916"/>
  <c r="FY251" i="23916"/>
  <c r="GC251" i="23916"/>
  <c r="BR253" i="23916"/>
  <c r="BZ253" i="23916"/>
  <c r="CH253" i="23916"/>
  <c r="CP253" i="23916"/>
  <c r="CX253" i="23916"/>
  <c r="DF253" i="23916"/>
  <c r="DN253" i="23916"/>
  <c r="DV253" i="23916"/>
  <c r="FV500" i="23916"/>
  <c r="FW256" i="23916"/>
  <c r="GD500" i="23916"/>
  <c r="GD267" i="23916"/>
  <c r="GE256" i="23916"/>
  <c r="GG256" i="23916"/>
  <c r="GL500" i="23916"/>
  <c r="GM256" i="23916"/>
  <c r="GL267" i="23916"/>
  <c r="GO256" i="23916"/>
  <c r="AX259" i="23916"/>
  <c r="BI501" i="23916"/>
  <c r="BI259" i="23916"/>
  <c r="BJ257" i="23916"/>
  <c r="BT258" i="23916"/>
  <c r="BS259" i="23916"/>
  <c r="CD259" i="23916"/>
  <c r="CO501" i="23916"/>
  <c r="CO259" i="23916"/>
  <c r="CP257" i="23916"/>
  <c r="CZ258" i="23916"/>
  <c r="CY259" i="23916"/>
  <c r="DJ259" i="23916"/>
  <c r="DU501" i="23916"/>
  <c r="DU259" i="23916"/>
  <c r="DV257" i="23916"/>
  <c r="EJ258" i="23916"/>
  <c r="GN258" i="23916"/>
  <c r="GO258" i="23916" s="1"/>
  <c r="EI259" i="23916"/>
  <c r="ER258" i="23916"/>
  <c r="EQ293" i="23916"/>
  <c r="ER288" i="23916"/>
  <c r="EQ296" i="23916"/>
  <c r="ET286" i="23916"/>
  <c r="EU286" i="23916"/>
  <c r="FJ306" i="23916"/>
  <c r="FK288" i="23916"/>
  <c r="FT290" i="23916"/>
  <c r="FU287" i="23916"/>
  <c r="E309" i="23916"/>
  <c r="E308" i="23916"/>
  <c r="N306" i="23916"/>
  <c r="M309" i="23916"/>
  <c r="M308" i="23916"/>
  <c r="T302" i="23916"/>
  <c r="Z306" i="23916"/>
  <c r="Y309" i="23916"/>
  <c r="Y308" i="23916"/>
  <c r="Z308" i="23916" s="1"/>
  <c r="AJ302" i="23916"/>
  <c r="AP306" i="23916"/>
  <c r="AO309" i="23916"/>
  <c r="AO308" i="23916"/>
  <c r="AP308" i="23916" s="1"/>
  <c r="BM740" i="23916"/>
  <c r="BM301" i="23916"/>
  <c r="CC740" i="23916"/>
  <c r="CC301" i="23916"/>
  <c r="CI312" i="23916"/>
  <c r="CI309" i="23916"/>
  <c r="CI308" i="23916"/>
  <c r="CU740" i="23916"/>
  <c r="CU301" i="23916"/>
  <c r="DE740" i="23916"/>
  <c r="DE301" i="23916"/>
  <c r="DF301" i="23916" s="1"/>
  <c r="DF300" i="23916"/>
  <c r="DK740" i="23916"/>
  <c r="DK301" i="23916"/>
  <c r="DL301" i="23916" s="1"/>
  <c r="DL300" i="23916"/>
  <c r="DV290" i="23916"/>
  <c r="EC791" i="23916"/>
  <c r="EA740" i="23916"/>
  <c r="EA301" i="23916"/>
  <c r="EB301" i="23916" s="1"/>
  <c r="EB300" i="23916"/>
  <c r="GF740" i="23916"/>
  <c r="GF301" i="23916"/>
  <c r="GN740" i="23916"/>
  <c r="GN301" i="23916"/>
  <c r="GA295" i="23916"/>
  <c r="GT295" i="23916"/>
  <c r="GS295" i="23916"/>
  <c r="CR294" i="23916"/>
  <c r="FX297" i="23916"/>
  <c r="GF297" i="23916"/>
  <c r="GG297" i="23916" s="1"/>
  <c r="GF302" i="23916"/>
  <c r="GG296" i="23916"/>
  <c r="GJ297" i="23916"/>
  <c r="GJ302" i="23916"/>
  <c r="GK302" i="23916" s="1"/>
  <c r="GK296" i="23916"/>
  <c r="GN297" i="23916"/>
  <c r="GN302" i="23916"/>
  <c r="GO296" i="23916"/>
  <c r="FJ308" i="23916"/>
  <c r="AR253" i="23916"/>
  <c r="EN253" i="23916"/>
  <c r="FQ256" i="23916"/>
  <c r="GC256" i="23916"/>
  <c r="DY259" i="23916"/>
  <c r="AQ259" i="23916"/>
  <c r="AU750" i="23916"/>
  <c r="AV501" i="23916"/>
  <c r="AY259" i="23916"/>
  <c r="BC750" i="23916"/>
  <c r="BD501" i="23916"/>
  <c r="BG259" i="23916"/>
  <c r="BK750" i="23916"/>
  <c r="BL501" i="23916"/>
  <c r="BO259" i="23916"/>
  <c r="BS750" i="23916"/>
  <c r="BT501" i="23916"/>
  <c r="BW259" i="23916"/>
  <c r="CA750" i="23916"/>
  <c r="CB501" i="23916"/>
  <c r="CE259" i="23916"/>
  <c r="CI750" i="23916"/>
  <c r="CJ501" i="23916"/>
  <c r="CM259" i="23916"/>
  <c r="CQ750" i="23916"/>
  <c r="CR501" i="23916"/>
  <c r="CU259" i="23916"/>
  <c r="CY750" i="23916"/>
  <c r="CZ501" i="23916"/>
  <c r="DC259" i="23916"/>
  <c r="DG750" i="23916"/>
  <c r="DH501" i="23916"/>
  <c r="DK259" i="23916"/>
  <c r="DO750" i="23916"/>
  <c r="DP501" i="23916"/>
  <c r="DS259" i="23916"/>
  <c r="EA750" i="23916"/>
  <c r="EB501" i="23916"/>
  <c r="EE259" i="23916"/>
  <c r="EI750" i="23916"/>
  <c r="EJ501" i="23916"/>
  <c r="EM259" i="23916"/>
  <c r="EF257" i="23916"/>
  <c r="EN257" i="23916"/>
  <c r="DS263" i="23916"/>
  <c r="EA263" i="23916"/>
  <c r="EE263" i="23916"/>
  <c r="EI263" i="23916"/>
  <c r="EM263" i="23916"/>
  <c r="CQ263" i="23916"/>
  <c r="GC271" i="23916"/>
  <c r="GG271" i="23916"/>
  <c r="GK271" i="23916"/>
  <c r="GO271" i="23916"/>
  <c r="BC537" i="23916"/>
  <c r="EJ537" i="23916"/>
  <c r="EB537" i="23916"/>
  <c r="FR274" i="23916"/>
  <c r="FV537" i="23916"/>
  <c r="FZ537" i="23916"/>
  <c r="GD537" i="23916"/>
  <c r="GH537" i="23916"/>
  <c r="GL274" i="23916"/>
  <c r="GP537" i="23916"/>
  <c r="FI286" i="23916"/>
  <c r="FM286" i="23916"/>
  <c r="FQ286" i="23916"/>
  <c r="FU286" i="23916"/>
  <c r="FY286" i="23916"/>
  <c r="GC286" i="23916"/>
  <c r="GG286" i="23916"/>
  <c r="GK286" i="23916"/>
  <c r="GO286" i="23916"/>
  <c r="BV286" i="23916"/>
  <c r="FG287" i="23916"/>
  <c r="FK287" i="23916"/>
  <c r="FO287" i="23916"/>
  <c r="FW287" i="23916"/>
  <c r="GA287" i="23916"/>
  <c r="GE287" i="23916"/>
  <c r="GI287" i="23916"/>
  <c r="GM287" i="23916"/>
  <c r="R288" i="23916"/>
  <c r="BC288" i="23916"/>
  <c r="CA288" i="23916"/>
  <c r="FF290" i="23916"/>
  <c r="FJ290" i="23916"/>
  <c r="FN290" i="23916"/>
  <c r="FZ290" i="23916"/>
  <c r="GL290" i="23916"/>
  <c r="GM290" i="23916" s="1"/>
  <c r="BT500" i="23916"/>
  <c r="FI293" i="23916"/>
  <c r="FM293" i="23916"/>
  <c r="FQ293" i="23916"/>
  <c r="FU293" i="23916"/>
  <c r="FY293" i="23916"/>
  <c r="GG293" i="23916"/>
  <c r="GK293" i="23916"/>
  <c r="GO293" i="23916"/>
  <c r="CC503" i="23916"/>
  <c r="CD503" i="23916" s="1"/>
  <c r="CG503" i="23916"/>
  <c r="CH503" i="23916" s="1"/>
  <c r="BA294" i="23916"/>
  <c r="BE294" i="23916"/>
  <c r="BF294" i="23916" s="1"/>
  <c r="BI294" i="23916"/>
  <c r="BM294" i="23916"/>
  <c r="BN294" i="23916" s="1"/>
  <c r="CV500" i="23916"/>
  <c r="CN500" i="23916"/>
  <c r="CS503" i="23916"/>
  <c r="CT503" i="23916" s="1"/>
  <c r="CW503" i="23916"/>
  <c r="CX503" i="23916" s="1"/>
  <c r="DA503" i="23916"/>
  <c r="DE503" i="23916"/>
  <c r="DI503" i="23916"/>
  <c r="DJ503" i="23916" s="1"/>
  <c r="DM503" i="23916"/>
  <c r="DN503" i="23916" s="1"/>
  <c r="DQ503" i="23916"/>
  <c r="DU503" i="23916"/>
  <c r="DY503" i="23916"/>
  <c r="DZ503" i="23916" s="1"/>
  <c r="EC503" i="23916"/>
  <c r="ED503" i="23916" s="1"/>
  <c r="EG503" i="23916"/>
  <c r="EK503" i="23916"/>
  <c r="EO503" i="23916"/>
  <c r="EP503" i="23916" s="1"/>
  <c r="BP293" i="23916"/>
  <c r="BR293" i="23916"/>
  <c r="CH296" i="23916"/>
  <c r="CL296" i="23916"/>
  <c r="FI296" i="23916"/>
  <c r="FM296" i="23916"/>
  <c r="FQ296" i="23916"/>
  <c r="FU296" i="23916"/>
  <c r="AR297" i="23916"/>
  <c r="BQ297" i="23916"/>
  <c r="BR297" i="23916" s="1"/>
  <c r="BU297" i="23916"/>
  <c r="BV297" i="23916" s="1"/>
  <c r="BY297" i="23916"/>
  <c r="CC297" i="23916"/>
  <c r="CO297" i="23916"/>
  <c r="CP297" i="23916" s="1"/>
  <c r="CS297" i="23916"/>
  <c r="CT297" i="23916" s="1"/>
  <c r="CW297" i="23916"/>
  <c r="CX297" i="23916" s="1"/>
  <c r="DA297" i="23916"/>
  <c r="DB297" i="23916" s="1"/>
  <c r="DE297" i="23916"/>
  <c r="DI297" i="23916"/>
  <c r="DM297" i="23916"/>
  <c r="DN297" i="23916" s="1"/>
  <c r="DQ297" i="23916"/>
  <c r="DR297" i="23916" s="1"/>
  <c r="DU297" i="23916"/>
  <c r="DY297" i="23916"/>
  <c r="EC297" i="23916"/>
  <c r="ED297" i="23916" s="1"/>
  <c r="EG297" i="23916"/>
  <c r="EH297" i="23916" s="1"/>
  <c r="EK297" i="23916"/>
  <c r="EO297" i="23916"/>
  <c r="BA300" i="23916"/>
  <c r="BE300" i="23916"/>
  <c r="DX300" i="23916"/>
  <c r="DX301" i="23916" s="1"/>
  <c r="EW791" i="23916"/>
  <c r="EU740" i="23916"/>
  <c r="EW302" i="23916"/>
  <c r="FF300" i="23916"/>
  <c r="FJ300" i="23916"/>
  <c r="FN300" i="23916"/>
  <c r="FF302" i="23916"/>
  <c r="FJ302" i="23916"/>
  <c r="FN302" i="23916"/>
  <c r="GX791" i="23916"/>
  <c r="GV740" i="23916"/>
  <c r="GZ300" i="23916"/>
  <c r="GX301" i="23916"/>
  <c r="GZ302" i="23916"/>
  <c r="E300" i="23916"/>
  <c r="E301" i="23916" s="1"/>
  <c r="I302" i="23916"/>
  <c r="DS302" i="23916"/>
  <c r="DT302" i="23916" s="1"/>
  <c r="EI302" i="23916"/>
  <c r="FP303" i="23916"/>
  <c r="FR303" i="23916"/>
  <c r="FT303" i="23916"/>
  <c r="FV303" i="23916"/>
  <c r="FX303" i="23916"/>
  <c r="FZ303" i="23916"/>
  <c r="GD303" i="23916"/>
  <c r="G306" i="23916"/>
  <c r="O306" i="23916"/>
  <c r="W306" i="23916"/>
  <c r="AE306" i="23916"/>
  <c r="AM306" i="23916"/>
  <c r="AU306" i="23916"/>
  <c r="BE306" i="23916"/>
  <c r="BM306" i="23916"/>
  <c r="CK306" i="23916"/>
  <c r="DI306" i="23916"/>
  <c r="DQ306" i="23916"/>
  <c r="DX306" i="23916"/>
  <c r="EE306" i="23916"/>
  <c r="EM306" i="23916"/>
  <c r="FM310" i="23916"/>
  <c r="FW310" i="23916"/>
  <c r="GE310" i="23916"/>
  <c r="GM310" i="23916"/>
  <c r="FP321" i="23916"/>
  <c r="AR321" i="23916"/>
  <c r="FR321" i="23916"/>
  <c r="FS321" i="23916" s="1"/>
  <c r="AZ321" i="23916"/>
  <c r="FT321" i="23916"/>
  <c r="BH321" i="23916"/>
  <c r="AW343" i="23916"/>
  <c r="AW328" i="23916"/>
  <c r="AX328" i="23916" s="1"/>
  <c r="AW325" i="23916"/>
  <c r="AX324" i="23916"/>
  <c r="BE343" i="23916"/>
  <c r="BE328" i="23916"/>
  <c r="BF328" i="23916" s="1"/>
  <c r="BE325" i="23916"/>
  <c r="BF324" i="23916"/>
  <c r="AQ327" i="23916"/>
  <c r="AR327" i="23916" s="1"/>
  <c r="BG327" i="23916"/>
  <c r="FP333" i="23916"/>
  <c r="FQ333" i="23916" s="1"/>
  <c r="FP336" i="23916"/>
  <c r="FQ336" i="23916" s="1"/>
  <c r="FQ335" i="23916"/>
  <c r="BF359" i="23916"/>
  <c r="AQ363" i="23916"/>
  <c r="FP361" i="23916"/>
  <c r="FT361" i="23916"/>
  <c r="BK363" i="23916"/>
  <c r="BX360" i="23916"/>
  <c r="BP360" i="23916"/>
  <c r="FV360" i="23916"/>
  <c r="FQ374" i="23916"/>
  <c r="AS391" i="23916"/>
  <c r="AT376" i="23916"/>
  <c r="BA376" i="23916"/>
  <c r="BQ376" i="23916"/>
  <c r="BZ376" i="23916" s="1"/>
  <c r="FW385" i="23916"/>
  <c r="BO400" i="23916"/>
  <c r="BO394" i="23916"/>
  <c r="FQ392" i="23916"/>
  <c r="FY392" i="23916"/>
  <c r="FU395" i="23916"/>
  <c r="BG393" i="23916"/>
  <c r="FH413" i="23916"/>
  <c r="FL413" i="23916"/>
  <c r="FF409" i="23916"/>
  <c r="FG409" i="23916" s="1"/>
  <c r="E413" i="23916"/>
  <c r="M413" i="23916"/>
  <c r="N409" i="23916"/>
  <c r="U413" i="23916"/>
  <c r="FJ409" i="23916"/>
  <c r="FK409" i="23916" s="1"/>
  <c r="V409" i="23916"/>
  <c r="AC413" i="23916"/>
  <c r="AD409" i="23916"/>
  <c r="AK413" i="23916"/>
  <c r="AL409" i="23916"/>
  <c r="FN409" i="23916"/>
  <c r="FO409" i="23916" s="1"/>
  <c r="AR409" i="23916"/>
  <c r="FP409" i="23916"/>
  <c r="AZ409" i="23916"/>
  <c r="FR409" i="23916"/>
  <c r="FS409" i="23916" s="1"/>
  <c r="BH409" i="23916"/>
  <c r="BP409" i="23916"/>
  <c r="FT409" i="23916"/>
  <c r="BX411" i="23916"/>
  <c r="BP411" i="23916"/>
  <c r="G425" i="23916"/>
  <c r="W422" i="23916"/>
  <c r="X413" i="23916"/>
  <c r="W425" i="23916"/>
  <c r="W421" i="23916"/>
  <c r="AM422" i="23916"/>
  <c r="AN413" i="23916"/>
  <c r="AM425" i="23916"/>
  <c r="AM421" i="23916"/>
  <c r="BF421" i="23916"/>
  <c r="BN421" i="23916"/>
  <c r="BV421" i="23916"/>
  <c r="FP421" i="23916"/>
  <c r="FT421" i="23916"/>
  <c r="FO417" i="23916"/>
  <c r="K422" i="23916"/>
  <c r="AA422" i="23916"/>
  <c r="AB422" i="23916" s="1"/>
  <c r="E422" i="23916"/>
  <c r="P418" i="23916"/>
  <c r="AZ418" i="23916"/>
  <c r="BH418" i="23916"/>
  <c r="BM428" i="23916"/>
  <c r="BN425" i="23916"/>
  <c r="FI429" i="23916"/>
  <c r="P458" i="23916"/>
  <c r="W461" i="23916"/>
  <c r="W466" i="23916"/>
  <c r="AE461" i="23916"/>
  <c r="AF461" i="23916" s="1"/>
  <c r="AF459" i="23916"/>
  <c r="AE466" i="23916"/>
  <c r="AM461" i="23916"/>
  <c r="AN459" i="23916"/>
  <c r="AM466" i="23916"/>
  <c r="AU461" i="23916"/>
  <c r="AV459" i="23916"/>
  <c r="AU466" i="23916"/>
  <c r="AV466" i="23916" s="1"/>
  <c r="AH461" i="23916"/>
  <c r="AW530" i="23916"/>
  <c r="AX530" i="23916" s="1"/>
  <c r="AX461" i="23916"/>
  <c r="FG466" i="23916"/>
  <c r="AS509" i="23916"/>
  <c r="AS484" i="23916"/>
  <c r="AT484" i="23916" s="1"/>
  <c r="AS488" i="23916"/>
  <c r="AT488" i="23916" s="1"/>
  <c r="AT482" i="23916"/>
  <c r="AS485" i="23916"/>
  <c r="AW482" i="23916"/>
  <c r="AX480" i="23916"/>
  <c r="BT480" i="23916"/>
  <c r="CB480" i="23916"/>
  <c r="CJ480" i="23916"/>
  <c r="CR480" i="23916"/>
  <c r="CQ482" i="23916"/>
  <c r="CZ480" i="23916"/>
  <c r="CY482" i="23916"/>
  <c r="DH480" i="23916"/>
  <c r="DG482" i="23916"/>
  <c r="DW484" i="23916"/>
  <c r="DW485" i="23916"/>
  <c r="DW488" i="23916"/>
  <c r="DW731" i="23916" s="1"/>
  <c r="CW497" i="23916"/>
  <c r="DM497" i="23916"/>
  <c r="EC497" i="23916"/>
  <c r="EU272" i="23916"/>
  <c r="FD288" i="23916"/>
  <c r="FH288" i="23916"/>
  <c r="FL288" i="23916"/>
  <c r="FP288" i="23916"/>
  <c r="AZ288" i="23916"/>
  <c r="EQ290" i="23916"/>
  <c r="ER290" i="23916" s="1"/>
  <c r="FB290" i="23916"/>
  <c r="CR500" i="23916"/>
  <c r="CI503" i="23916"/>
  <c r="CO503" i="23916"/>
  <c r="CP503" i="23916" s="1"/>
  <c r="CX295" i="23916"/>
  <c r="FV296" i="23916"/>
  <c r="FY296" i="23916" s="1"/>
  <c r="BB297" i="23916"/>
  <c r="BF297" i="23916"/>
  <c r="FF297" i="23916"/>
  <c r="FG297" i="23916" s="1"/>
  <c r="FJ297" i="23916"/>
  <c r="FK297" i="23916" s="1"/>
  <c r="FN297" i="23916"/>
  <c r="FO297" i="23916" s="1"/>
  <c r="FR297" i="23916"/>
  <c r="FZ297" i="23916"/>
  <c r="GA297" i="23916" s="1"/>
  <c r="GD297" i="23916"/>
  <c r="GH297" i="23916"/>
  <c r="GL297" i="23916"/>
  <c r="GM297" i="23916" s="1"/>
  <c r="M300" i="23916"/>
  <c r="Q300" i="23916"/>
  <c r="U300" i="23916"/>
  <c r="Y300" i="23916"/>
  <c r="AC300" i="23916"/>
  <c r="AG300" i="23916"/>
  <c r="AK300" i="23916"/>
  <c r="AO300" i="23916"/>
  <c r="AS300" i="23916"/>
  <c r="AW300" i="23916"/>
  <c r="M302" i="23916"/>
  <c r="Q302" i="23916"/>
  <c r="R302" i="23916" s="1"/>
  <c r="U302" i="23916"/>
  <c r="V302" i="23916" s="1"/>
  <c r="Y302" i="23916"/>
  <c r="AC302" i="23916"/>
  <c r="AG302" i="23916"/>
  <c r="AH302" i="23916" s="1"/>
  <c r="AK302" i="23916"/>
  <c r="AL302" i="23916" s="1"/>
  <c r="AO302" i="23916"/>
  <c r="AS302" i="23916"/>
  <c r="AW302" i="23916"/>
  <c r="AX302" i="23916" s="1"/>
  <c r="DM300" i="23916"/>
  <c r="DQ300" i="23916"/>
  <c r="DU300" i="23916"/>
  <c r="DY300" i="23916"/>
  <c r="EC300" i="23916"/>
  <c r="EG300" i="23916"/>
  <c r="EK300" i="23916"/>
  <c r="EO300" i="23916"/>
  <c r="GH300" i="23916"/>
  <c r="C300" i="23916"/>
  <c r="C301" i="23916" s="1"/>
  <c r="G302" i="23916"/>
  <c r="P302" i="23916" s="1"/>
  <c r="DX302" i="23916"/>
  <c r="FB302" i="23916"/>
  <c r="BI302" i="23916"/>
  <c r="BK302" i="23916"/>
  <c r="BM302" i="23916"/>
  <c r="BN302" i="23916" s="1"/>
  <c r="BO302" i="23916"/>
  <c r="BP302" i="23916" s="1"/>
  <c r="BQ302" i="23916"/>
  <c r="BR302" i="23916" s="1"/>
  <c r="BS302" i="23916"/>
  <c r="BT302" i="23916" s="1"/>
  <c r="BU302" i="23916"/>
  <c r="BV302" i="23916" s="1"/>
  <c r="BW302" i="23916"/>
  <c r="BX302" i="23916" s="1"/>
  <c r="BY302" i="23916"/>
  <c r="BZ302" i="23916" s="1"/>
  <c r="CC302" i="23916"/>
  <c r="CE302" i="23916"/>
  <c r="CF302" i="23916" s="1"/>
  <c r="CG302" i="23916"/>
  <c r="CI302" i="23916"/>
  <c r="CK302" i="23916"/>
  <c r="CL302" i="23916" s="1"/>
  <c r="CM302" i="23916"/>
  <c r="CN302" i="23916" s="1"/>
  <c r="CO302" i="23916"/>
  <c r="CP302" i="23916" s="1"/>
  <c r="CQ302" i="23916"/>
  <c r="CR302" i="23916" s="1"/>
  <c r="CS302" i="23916"/>
  <c r="CT302" i="23916" s="1"/>
  <c r="CW302" i="23916"/>
  <c r="CX302" i="23916" s="1"/>
  <c r="DA302" i="23916"/>
  <c r="DC302" i="23916"/>
  <c r="DD302" i="23916" s="1"/>
  <c r="DE302" i="23916"/>
  <c r="DI302" i="23916"/>
  <c r="DJ302" i="23916" s="1"/>
  <c r="GF303" i="23916"/>
  <c r="GG303" i="23916" s="1"/>
  <c r="GJ303" i="23916"/>
  <c r="GK303" i="23916" s="1"/>
  <c r="GN303" i="23916"/>
  <c r="GO303" i="23916" s="1"/>
  <c r="I306" i="23916"/>
  <c r="BW306" i="23916"/>
  <c r="CE306" i="23916"/>
  <c r="CU306" i="23916"/>
  <c r="DC306" i="23916"/>
  <c r="DK306" i="23916"/>
  <c r="DS306" i="23916"/>
  <c r="DY306" i="23916"/>
  <c r="EO306" i="23916"/>
  <c r="GF306" i="23916"/>
  <c r="GJ306" i="23916"/>
  <c r="GJ308" i="23916" s="1"/>
  <c r="GN306" i="23916"/>
  <c r="GN308" i="23916" s="1"/>
  <c r="GO310" i="23916"/>
  <c r="GZ310" i="23916"/>
  <c r="AY524" i="23916"/>
  <c r="AZ323" i="23916"/>
  <c r="FR323" i="23916"/>
  <c r="FS323" i="23916" s="1"/>
  <c r="BH323" i="23916"/>
  <c r="AY324" i="23916"/>
  <c r="BH324" i="23916"/>
  <c r="BG328" i="23916"/>
  <c r="BG325" i="23916"/>
  <c r="AQ328" i="23916"/>
  <c r="AR328" i="23916" s="1"/>
  <c r="AQ325" i="23916"/>
  <c r="BB327" i="23916"/>
  <c r="FS333" i="23916"/>
  <c r="FR336" i="23916"/>
  <c r="FS336" i="23916" s="1"/>
  <c r="FS335" i="23916"/>
  <c r="FR358" i="23916"/>
  <c r="BC367" i="23916"/>
  <c r="BB358" i="23916"/>
  <c r="AT358" i="23916"/>
  <c r="AS367" i="23916"/>
  <c r="AT367" i="23916" s="1"/>
  <c r="FP358" i="23916"/>
  <c r="AV361" i="23916"/>
  <c r="BI738" i="23916"/>
  <c r="BJ358" i="23916"/>
  <c r="BI367" i="23916"/>
  <c r="FT358" i="23916"/>
  <c r="BL361" i="23916"/>
  <c r="AU400" i="23916"/>
  <c r="AV400" i="23916" s="1"/>
  <c r="AV391" i="23916"/>
  <c r="AU394" i="23916"/>
  <c r="BC400" i="23916"/>
  <c r="BD400" i="23916" s="1"/>
  <c r="BD391" i="23916"/>
  <c r="BC394" i="23916"/>
  <c r="BK400" i="23916"/>
  <c r="BL400" i="23916" s="1"/>
  <c r="BL391" i="23916"/>
  <c r="BK394" i="23916"/>
  <c r="BS400" i="23916"/>
  <c r="BT400" i="23916" s="1"/>
  <c r="BT391" i="23916"/>
  <c r="BS394" i="23916"/>
  <c r="FQ385" i="23916"/>
  <c r="FY385" i="23916"/>
  <c r="BF388" i="23916"/>
  <c r="AQ400" i="23916"/>
  <c r="AR400" i="23916" s="1"/>
  <c r="FP391" i="23916"/>
  <c r="AQ394" i="23916"/>
  <c r="BW400" i="23916"/>
  <c r="BX400" i="23916" s="1"/>
  <c r="BW394" i="23916"/>
  <c r="AU393" i="23916"/>
  <c r="AV393" i="23916" s="1"/>
  <c r="BK393" i="23916"/>
  <c r="AR391" i="23916"/>
  <c r="BX391" i="23916"/>
  <c r="FT413" i="23916"/>
  <c r="K425" i="23916"/>
  <c r="L413" i="23916"/>
  <c r="K421" i="23916"/>
  <c r="L421" i="23916" s="1"/>
  <c r="AA425" i="23916"/>
  <c r="AB413" i="23916"/>
  <c r="AA421" i="23916"/>
  <c r="AQ425" i="23916"/>
  <c r="AQ422" i="23916"/>
  <c r="AR413" i="23916"/>
  <c r="AQ421" i="23916"/>
  <c r="AY425" i="23916"/>
  <c r="AY422" i="23916"/>
  <c r="AZ422" i="23916" s="1"/>
  <c r="AZ413" i="23916"/>
  <c r="AY421" i="23916"/>
  <c r="AZ421" i="23916" s="1"/>
  <c r="BG425" i="23916"/>
  <c r="BG422" i="23916"/>
  <c r="BH422" i="23916" s="1"/>
  <c r="BH413" i="23916"/>
  <c r="BG421" i="23916"/>
  <c r="BH421" i="23916" s="1"/>
  <c r="BO425" i="23916"/>
  <c r="BO422" i="23916"/>
  <c r="BP422" i="23916" s="1"/>
  <c r="BP413" i="23916"/>
  <c r="BO421" i="23916"/>
  <c r="BP421" i="23916" s="1"/>
  <c r="BW425" i="23916"/>
  <c r="BW422" i="23916"/>
  <c r="BX422" i="23916" s="1"/>
  <c r="BX413" i="23916"/>
  <c r="BW421" i="23916"/>
  <c r="BX421" i="23916" s="1"/>
  <c r="FG417" i="23916"/>
  <c r="M418" i="23916"/>
  <c r="N418" i="23916" s="1"/>
  <c r="FH417" i="23916"/>
  <c r="V417" i="23916"/>
  <c r="N417" i="23916"/>
  <c r="M422" i="23916"/>
  <c r="N422" i="23916" s="1"/>
  <c r="BI418" i="23916"/>
  <c r="BJ418" i="23916" s="1"/>
  <c r="FT417" i="23916"/>
  <c r="BR417" i="23916"/>
  <c r="BJ417" i="23916"/>
  <c r="BI422" i="23916"/>
  <c r="BJ422" i="23916" s="1"/>
  <c r="T418" i="23916"/>
  <c r="AB418" i="23916"/>
  <c r="AJ418" i="23916"/>
  <c r="AR418" i="23916"/>
  <c r="BB418" i="23916"/>
  <c r="BT418" i="23916"/>
  <c r="C422" i="23916"/>
  <c r="I425" i="23916"/>
  <c r="BU428" i="23916"/>
  <c r="BV425" i="23916"/>
  <c r="BU427" i="23916"/>
  <c r="BV427" i="23916" s="1"/>
  <c r="I466" i="23916"/>
  <c r="I461" i="23916"/>
  <c r="R461" i="23916" s="1"/>
  <c r="AL461" i="23916"/>
  <c r="FY477" i="23916"/>
  <c r="BV480" i="23916"/>
  <c r="CD480" i="23916"/>
  <c r="CL480" i="23916"/>
  <c r="CS482" i="23916"/>
  <c r="CT480" i="23916"/>
  <c r="DA482" i="23916"/>
  <c r="DB480" i="23916"/>
  <c r="DI482" i="23916"/>
  <c r="DJ480" i="23916"/>
  <c r="DX485" i="23916"/>
  <c r="DX487" i="23916" s="1"/>
  <c r="DX531" i="23916" s="1"/>
  <c r="DX488" i="23916"/>
  <c r="DX484" i="23916"/>
  <c r="FU478" i="23916"/>
  <c r="FS478" i="23916"/>
  <c r="DY750" i="23916"/>
  <c r="DZ501" i="23916"/>
  <c r="AQ750" i="23916"/>
  <c r="AQ751" i="23916" s="1"/>
  <c r="FP501" i="23916"/>
  <c r="AR501" i="23916"/>
  <c r="AY750" i="23916"/>
  <c r="AZ501" i="23916"/>
  <c r="BG750" i="23916"/>
  <c r="BH501" i="23916"/>
  <c r="BO750" i="23916"/>
  <c r="BP501" i="23916"/>
  <c r="BW750" i="23916"/>
  <c r="BX501" i="23916"/>
  <c r="CE750" i="23916"/>
  <c r="CF501" i="23916"/>
  <c r="CM750" i="23916"/>
  <c r="CN501" i="23916"/>
  <c r="CU750" i="23916"/>
  <c r="CV501" i="23916"/>
  <c r="DC750" i="23916"/>
  <c r="DD501" i="23916"/>
  <c r="DK750" i="23916"/>
  <c r="DL501" i="23916"/>
  <c r="DS750" i="23916"/>
  <c r="DT501" i="23916"/>
  <c r="EE750" i="23916"/>
  <c r="EF501" i="23916"/>
  <c r="EM750" i="23916"/>
  <c r="EN501" i="23916"/>
  <c r="AX257" i="23916"/>
  <c r="BF257" i="23916"/>
  <c r="BN257" i="23916"/>
  <c r="BV257" i="23916"/>
  <c r="CD257" i="23916"/>
  <c r="CL257" i="23916"/>
  <c r="CT257" i="23916"/>
  <c r="DB257" i="23916"/>
  <c r="DJ257" i="23916"/>
  <c r="DR257" i="23916"/>
  <c r="EB257" i="23916"/>
  <c r="EJ257" i="23916"/>
  <c r="BW263" i="23916"/>
  <c r="CE263" i="23916"/>
  <c r="CM263" i="23916"/>
  <c r="CU263" i="23916"/>
  <c r="DC263" i="23916"/>
  <c r="DK263" i="23916"/>
  <c r="FS271" i="23916"/>
  <c r="FW271" i="23916"/>
  <c r="GA271" i="23916"/>
  <c r="GE271" i="23916"/>
  <c r="GI271" i="23916"/>
  <c r="GM271" i="23916"/>
  <c r="CR274" i="23916"/>
  <c r="CZ274" i="23916"/>
  <c r="EJ274" i="23916"/>
  <c r="FP274" i="23916"/>
  <c r="FT537" i="23916"/>
  <c r="GB274" i="23916"/>
  <c r="GF274" i="23916"/>
  <c r="GJ537" i="23916"/>
  <c r="GK537" i="23916" s="1"/>
  <c r="GN537" i="23916"/>
  <c r="GS274" i="23916"/>
  <c r="ET285" i="23916"/>
  <c r="ER287" i="23916"/>
  <c r="GP285" i="23916"/>
  <c r="GQ285" i="23916" s="1"/>
  <c r="BL287" i="23916"/>
  <c r="L288" i="23916"/>
  <c r="P288" i="23916"/>
  <c r="T288" i="23916"/>
  <c r="X288" i="23916"/>
  <c r="AB288" i="23916"/>
  <c r="AF288" i="23916"/>
  <c r="AJ288" i="23916"/>
  <c r="AN288" i="23916"/>
  <c r="AR288" i="23916"/>
  <c r="AV288" i="23916"/>
  <c r="BU288" i="23916"/>
  <c r="BU300" i="23916" s="1"/>
  <c r="C290" i="23916"/>
  <c r="K290" i="23916"/>
  <c r="L290" i="23916" s="1"/>
  <c r="O290" i="23916"/>
  <c r="P290" i="23916" s="1"/>
  <c r="S290" i="23916"/>
  <c r="W290" i="23916"/>
  <c r="X290" i="23916" s="1"/>
  <c r="AA290" i="23916"/>
  <c r="AB290" i="23916" s="1"/>
  <c r="AE290" i="23916"/>
  <c r="AI290" i="23916"/>
  <c r="AM290" i="23916"/>
  <c r="AN290" i="23916" s="1"/>
  <c r="AQ290" i="23916"/>
  <c r="AU290" i="23916"/>
  <c r="CR293" i="23916"/>
  <c r="CZ293" i="23916"/>
  <c r="GI293" i="23916"/>
  <c r="GM293" i="23916"/>
  <c r="CA503" i="23916"/>
  <c r="CB503" i="23916" s="1"/>
  <c r="CE503" i="23916"/>
  <c r="CF503" i="23916" s="1"/>
  <c r="CV294" i="23916"/>
  <c r="DL294" i="23916"/>
  <c r="DX294" i="23916"/>
  <c r="EB294" i="23916"/>
  <c r="CM503" i="23916"/>
  <c r="CQ503" i="23916"/>
  <c r="CR503" i="23916" s="1"/>
  <c r="CU503" i="23916"/>
  <c r="CV503" i="23916" s="1"/>
  <c r="CY503" i="23916"/>
  <c r="CZ503" i="23916" s="1"/>
  <c r="DC503" i="23916"/>
  <c r="DG503" i="23916"/>
  <c r="DK503" i="23916"/>
  <c r="DL503" i="23916" s="1"/>
  <c r="DO503" i="23916"/>
  <c r="DP503" i="23916" s="1"/>
  <c r="DS503" i="23916"/>
  <c r="DW503" i="23916"/>
  <c r="EA503" i="23916"/>
  <c r="EB503" i="23916" s="1"/>
  <c r="EE503" i="23916"/>
  <c r="EF503" i="23916" s="1"/>
  <c r="EI503" i="23916"/>
  <c r="EM503" i="23916"/>
  <c r="EV295" i="23916"/>
  <c r="BJ295" i="23916"/>
  <c r="BP295" i="23916"/>
  <c r="BR295" i="23916"/>
  <c r="FS296" i="23916"/>
  <c r="GA296" i="23916"/>
  <c r="GE296" i="23916"/>
  <c r="GI296" i="23916"/>
  <c r="GM296" i="23916"/>
  <c r="BO297" i="23916"/>
  <c r="BP297" i="23916" s="1"/>
  <c r="BS297" i="23916"/>
  <c r="BT297" i="23916" s="1"/>
  <c r="CM297" i="23916"/>
  <c r="CN297" i="23916" s="1"/>
  <c r="CQ297" i="23916"/>
  <c r="CR297" i="23916" s="1"/>
  <c r="BA302" i="23916"/>
  <c r="BB302" i="23916" s="1"/>
  <c r="BE302" i="23916"/>
  <c r="FH302" i="23916"/>
  <c r="FL302" i="23916"/>
  <c r="FM302" i="23916" s="1"/>
  <c r="E302" i="23916"/>
  <c r="DM302" i="23916"/>
  <c r="DQ302" i="23916"/>
  <c r="DU302" i="23916"/>
  <c r="DV302" i="23916" s="1"/>
  <c r="DY302" i="23916"/>
  <c r="DZ302" i="23916" s="1"/>
  <c r="EC302" i="23916"/>
  <c r="EG302" i="23916"/>
  <c r="EK302" i="23916"/>
  <c r="EO302" i="23916"/>
  <c r="EP302" i="23916" s="1"/>
  <c r="BO303" i="23916"/>
  <c r="BQ303" i="23916"/>
  <c r="BS303" i="23916"/>
  <c r="BU303" i="23916"/>
  <c r="CM303" i="23916"/>
  <c r="CO303" i="23916"/>
  <c r="CQ303" i="23916"/>
  <c r="C306" i="23916"/>
  <c r="K306" i="23916"/>
  <c r="S306" i="23916"/>
  <c r="AA306" i="23916"/>
  <c r="AI306" i="23916"/>
  <c r="AQ306" i="23916"/>
  <c r="BA306" i="23916"/>
  <c r="BI306" i="23916"/>
  <c r="BQ306" i="23916"/>
  <c r="CG306" i="23916"/>
  <c r="CO306" i="23916"/>
  <c r="CW306" i="23916"/>
  <c r="DE306" i="23916"/>
  <c r="DU306" i="23916"/>
  <c r="EA306" i="23916"/>
  <c r="EI306" i="23916"/>
  <c r="FB306" i="23916"/>
  <c r="FS310" i="23916"/>
  <c r="GA310" i="23916"/>
  <c r="GI310" i="23916"/>
  <c r="GQ310" i="23916"/>
  <c r="FN308" i="23916"/>
  <c r="BD321" i="23916"/>
  <c r="AR324" i="23916"/>
  <c r="BA328" i="23916"/>
  <c r="BB328" i="23916" s="1"/>
  <c r="BA325" i="23916"/>
  <c r="BA343" i="23916"/>
  <c r="BB324" i="23916"/>
  <c r="BI328" i="23916"/>
  <c r="BI325" i="23916"/>
  <c r="BI343" i="23916"/>
  <c r="AS328" i="23916"/>
  <c r="AT328" i="23916" s="1"/>
  <c r="AS325" i="23916"/>
  <c r="AS343" i="23916"/>
  <c r="AT324" i="23916"/>
  <c r="FT333" i="23916"/>
  <c r="FT336" i="23916"/>
  <c r="BW738" i="23916"/>
  <c r="BW367" i="23916"/>
  <c r="FX358" i="23916"/>
  <c r="AR359" i="23916"/>
  <c r="FP359" i="23916"/>
  <c r="AQ370" i="23916"/>
  <c r="AR370" i="23916" s="1"/>
  <c r="BG739" i="23916"/>
  <c r="BH359" i="23916"/>
  <c r="FT359" i="23916"/>
  <c r="BY739" i="23916"/>
  <c r="FX359" i="23916"/>
  <c r="BZ359" i="23916"/>
  <c r="BL358" i="23916"/>
  <c r="FR374" i="23916"/>
  <c r="FT374" i="23916"/>
  <c r="FV374" i="23916"/>
  <c r="FX374" i="23916"/>
  <c r="BB374" i="23916"/>
  <c r="BF376" i="23916"/>
  <c r="BE391" i="23916"/>
  <c r="BN376" i="23916"/>
  <c r="BM391" i="23916"/>
  <c r="BV376" i="23916"/>
  <c r="BU391" i="23916"/>
  <c r="FS385" i="23916"/>
  <c r="AY400" i="23916"/>
  <c r="AZ400" i="23916" s="1"/>
  <c r="AY394" i="23916"/>
  <c r="FU392" i="23916"/>
  <c r="FY395" i="23916"/>
  <c r="AY393" i="23916"/>
  <c r="AZ393" i="23916" s="1"/>
  <c r="BP393" i="23916"/>
  <c r="FJ413" i="23916"/>
  <c r="FI409" i="23916"/>
  <c r="FP413" i="23916"/>
  <c r="FP422" i="23916" s="1"/>
  <c r="Q421" i="23916"/>
  <c r="R421" i="23916" s="1"/>
  <c r="R413" i="23916"/>
  <c r="Y421" i="23916"/>
  <c r="Z421" i="23916" s="1"/>
  <c r="Y422" i="23916"/>
  <c r="Z413" i="23916"/>
  <c r="AG421" i="23916"/>
  <c r="AG422" i="23916"/>
  <c r="AH422" i="23916" s="1"/>
  <c r="AH413" i="23916"/>
  <c r="AO421" i="23916"/>
  <c r="AO422" i="23916"/>
  <c r="AP413" i="23916"/>
  <c r="P413" i="23916"/>
  <c r="O425" i="23916"/>
  <c r="O421" i="23916"/>
  <c r="AE422" i="23916"/>
  <c r="AF422" i="23916" s="1"/>
  <c r="AF413" i="23916"/>
  <c r="AE425" i="23916"/>
  <c r="AE421" i="23916"/>
  <c r="AF421" i="23916" s="1"/>
  <c r="AS428" i="23916"/>
  <c r="BB425" i="23916"/>
  <c r="BA428" i="23916"/>
  <c r="BI425" i="23916"/>
  <c r="BQ428" i="23916"/>
  <c r="FB430" i="23916"/>
  <c r="FB434" i="23916"/>
  <c r="FS417" i="23916"/>
  <c r="O422" i="23916"/>
  <c r="I422" i="23916"/>
  <c r="V418" i="23916"/>
  <c r="AV418" i="23916"/>
  <c r="BD418" i="23916"/>
  <c r="G422" i="23916"/>
  <c r="AW428" i="23916"/>
  <c r="AX425" i="23916"/>
  <c r="FM429" i="23916"/>
  <c r="AS427" i="23916"/>
  <c r="BB427" i="23916" s="1"/>
  <c r="FB427" i="23916"/>
  <c r="BD446" i="23916"/>
  <c r="BC456" i="23916"/>
  <c r="L458" i="23916"/>
  <c r="S461" i="23916"/>
  <c r="S466" i="23916"/>
  <c r="AB459" i="23916"/>
  <c r="AA461" i="23916"/>
  <c r="AB461" i="23916" s="1"/>
  <c r="AA466" i="23916"/>
  <c r="AJ459" i="23916"/>
  <c r="AI461" i="23916"/>
  <c r="AI466" i="23916"/>
  <c r="AJ466" i="23916" s="1"/>
  <c r="AR459" i="23916"/>
  <c r="AQ461" i="23916"/>
  <c r="AQ466" i="23916"/>
  <c r="AZ459" i="23916"/>
  <c r="FQ461" i="23916"/>
  <c r="BA530" i="23916"/>
  <c r="BB530" i="23916" s="1"/>
  <c r="BA462" i="23916"/>
  <c r="BB461" i="23916"/>
  <c r="FO466" i="23916"/>
  <c r="AZ480" i="23916"/>
  <c r="BH480" i="23916"/>
  <c r="BD477" i="23916"/>
  <c r="BC480" i="23916"/>
  <c r="BD480" i="23916" s="1"/>
  <c r="FS486" i="23916"/>
  <c r="FU486" i="23916"/>
  <c r="BA497" i="23916"/>
  <c r="BY497" i="23916"/>
  <c r="CO497" i="23916"/>
  <c r="DE497" i="23916"/>
  <c r="DU497" i="23916"/>
  <c r="EK497" i="23916"/>
  <c r="FT500" i="23916"/>
  <c r="FX500" i="23916"/>
  <c r="GB500" i="23916"/>
  <c r="GF500" i="23916"/>
  <c r="GJ500" i="23916"/>
  <c r="GN500" i="23916"/>
  <c r="AW750" i="23916"/>
  <c r="AX501" i="23916"/>
  <c r="BE750" i="23916"/>
  <c r="BE751" i="23916" s="1"/>
  <c r="BF501" i="23916"/>
  <c r="BM750" i="23916"/>
  <c r="BN501" i="23916"/>
  <c r="BU750" i="23916"/>
  <c r="BV501" i="23916"/>
  <c r="CC750" i="23916"/>
  <c r="CD501" i="23916"/>
  <c r="CK750" i="23916"/>
  <c r="CK751" i="23916" s="1"/>
  <c r="CL501" i="23916"/>
  <c r="CS750" i="23916"/>
  <c r="CT501" i="23916"/>
  <c r="DA750" i="23916"/>
  <c r="DB501" i="23916"/>
  <c r="DI750" i="23916"/>
  <c r="DJ501" i="23916"/>
  <c r="DQ750" i="23916"/>
  <c r="DQ751" i="23916" s="1"/>
  <c r="DR501" i="23916"/>
  <c r="EC750" i="23916"/>
  <c r="ED501" i="23916"/>
  <c r="EK750" i="23916"/>
  <c r="EL501" i="23916"/>
  <c r="AR257" i="23916"/>
  <c r="AZ257" i="23916"/>
  <c r="BH257" i="23916"/>
  <c r="BP257" i="23916"/>
  <c r="BX257" i="23916"/>
  <c r="CF257" i="23916"/>
  <c r="CN257" i="23916"/>
  <c r="CV257" i="23916"/>
  <c r="DD257" i="23916"/>
  <c r="DL257" i="23916"/>
  <c r="DT257" i="23916"/>
  <c r="ED257" i="23916"/>
  <c r="EL257" i="23916"/>
  <c r="AT274" i="23916"/>
  <c r="AZ271" i="23916"/>
  <c r="BB274" i="23916"/>
  <c r="EE537" i="23916"/>
  <c r="EF537" i="23916" s="1"/>
  <c r="FY274" i="23916"/>
  <c r="GK274" i="23916"/>
  <c r="GO274" i="23916"/>
  <c r="ES287" i="23916"/>
  <c r="ES288" i="23916" s="1"/>
  <c r="FG285" i="23916"/>
  <c r="FK285" i="23916"/>
  <c r="FO285" i="23916"/>
  <c r="CB287" i="23916"/>
  <c r="FR288" i="23916"/>
  <c r="FZ288" i="23916"/>
  <c r="GD288" i="23916"/>
  <c r="GH288" i="23916"/>
  <c r="GH290" i="23916" s="1"/>
  <c r="GL288" i="23916"/>
  <c r="GL302" i="23916" s="1"/>
  <c r="GM302" i="23916" s="1"/>
  <c r="BB288" i="23916"/>
  <c r="BF288" i="23916"/>
  <c r="BJ288" i="23916"/>
  <c r="BN288" i="23916"/>
  <c r="BR288" i="23916"/>
  <c r="BZ288" i="23916"/>
  <c r="CD288" i="23916"/>
  <c r="CH288" i="23916"/>
  <c r="CL288" i="23916"/>
  <c r="CP288" i="23916"/>
  <c r="CT288" i="23916"/>
  <c r="CX288" i="23916"/>
  <c r="DB288" i="23916"/>
  <c r="DF288" i="23916"/>
  <c r="DJ288" i="23916"/>
  <c r="DN288" i="23916"/>
  <c r="DR288" i="23916"/>
  <c r="DV288" i="23916"/>
  <c r="DZ288" i="23916"/>
  <c r="ED288" i="23916"/>
  <c r="EH288" i="23916"/>
  <c r="EL288" i="23916"/>
  <c r="EP288" i="23916"/>
  <c r="E290" i="23916"/>
  <c r="N290" i="23916" s="1"/>
  <c r="BI290" i="23916"/>
  <c r="BJ290" i="23916" s="1"/>
  <c r="BM290" i="23916"/>
  <c r="BN290" i="23916" s="1"/>
  <c r="BY290" i="23916"/>
  <c r="BZ290" i="23916" s="1"/>
  <c r="CC290" i="23916"/>
  <c r="CG290" i="23916"/>
  <c r="CH290" i="23916" s="1"/>
  <c r="CK290" i="23916"/>
  <c r="CL290" i="23916" s="1"/>
  <c r="CS290" i="23916"/>
  <c r="CW290" i="23916"/>
  <c r="CX290" i="23916" s="1"/>
  <c r="DA290" i="23916"/>
  <c r="DB290" i="23916" s="1"/>
  <c r="DE290" i="23916"/>
  <c r="DF290" i="23916" s="1"/>
  <c r="DI290" i="23916"/>
  <c r="EC290" i="23916"/>
  <c r="ED290" i="23916" s="1"/>
  <c r="EK290" i="23916"/>
  <c r="EL290" i="23916" s="1"/>
  <c r="BV293" i="23916"/>
  <c r="CD293" i="23916"/>
  <c r="GB293" i="23916"/>
  <c r="FX295" i="23916"/>
  <c r="FY295" i="23916" s="1"/>
  <c r="GB295" i="23916"/>
  <c r="GC295" i="23916" s="1"/>
  <c r="GF295" i="23916"/>
  <c r="GG295" i="23916" s="1"/>
  <c r="GJ295" i="23916"/>
  <c r="GK295" i="23916" s="1"/>
  <c r="GN295" i="23916"/>
  <c r="GO295" i="23916" s="1"/>
  <c r="BS294" i="23916"/>
  <c r="BT294" i="23916" s="1"/>
  <c r="BW294" i="23916"/>
  <c r="CA294" i="23916"/>
  <c r="CE294" i="23916"/>
  <c r="CB295" i="23916"/>
  <c r="CF295" i="23916"/>
  <c r="CS294" i="23916"/>
  <c r="CT294" i="23916" s="1"/>
  <c r="CW294" i="23916"/>
  <c r="CX294" i="23916" s="1"/>
  <c r="DA294" i="23916"/>
  <c r="DB294" i="23916" s="1"/>
  <c r="DE294" i="23916"/>
  <c r="DI294" i="23916"/>
  <c r="DM294" i="23916"/>
  <c r="DN294" i="23916" s="1"/>
  <c r="DQ294" i="23916"/>
  <c r="DR294" i="23916" s="1"/>
  <c r="DU294" i="23916"/>
  <c r="DY294" i="23916"/>
  <c r="EC294" i="23916"/>
  <c r="EG294" i="23916"/>
  <c r="CK503" i="23916"/>
  <c r="CL503" i="23916" s="1"/>
  <c r="CP500" i="23916"/>
  <c r="CR295" i="23916"/>
  <c r="CV295" i="23916"/>
  <c r="CZ295" i="23916"/>
  <c r="DD295" i="23916"/>
  <c r="DH295" i="23916"/>
  <c r="DL295" i="23916"/>
  <c r="DP295" i="23916"/>
  <c r="DT295" i="23916"/>
  <c r="DX503" i="23916"/>
  <c r="EB295" i="23916"/>
  <c r="EF295" i="23916"/>
  <c r="EJ295" i="23916"/>
  <c r="EN295" i="23916"/>
  <c r="ET295" i="23916"/>
  <c r="CH295" i="23916"/>
  <c r="CJ295" i="23916"/>
  <c r="CL295" i="23916"/>
  <c r="CN295" i="23916"/>
  <c r="CP295" i="23916"/>
  <c r="CT296" i="23916"/>
  <c r="FP297" i="23916"/>
  <c r="FQ297" i="23916" s="1"/>
  <c r="FT297" i="23916"/>
  <c r="K300" i="23916"/>
  <c r="O300" i="23916"/>
  <c r="S300" i="23916"/>
  <c r="W300" i="23916"/>
  <c r="AA300" i="23916"/>
  <c r="AE300" i="23916"/>
  <c r="AI300" i="23916"/>
  <c r="AM300" i="23916"/>
  <c r="AQ300" i="23916"/>
  <c r="AU300" i="23916"/>
  <c r="DO300" i="23916"/>
  <c r="DW300" i="23916"/>
  <c r="EF300" i="23916" s="1"/>
  <c r="EW301" i="23916"/>
  <c r="GY300" i="23916"/>
  <c r="BK300" i="23916"/>
  <c r="BS300" i="23916"/>
  <c r="CI300" i="23916"/>
  <c r="CM300" i="23916"/>
  <c r="CO300" i="23916"/>
  <c r="CX300" i="23916" s="1"/>
  <c r="CQ300" i="23916"/>
  <c r="CY300" i="23916"/>
  <c r="DG300" i="23916"/>
  <c r="FG307" i="23916"/>
  <c r="FK307" i="23916"/>
  <c r="FQ307" i="23916"/>
  <c r="FU307" i="23916"/>
  <c r="FY307" i="23916"/>
  <c r="GC307" i="23916"/>
  <c r="GG307" i="23916"/>
  <c r="GK307" i="23916"/>
  <c r="GO307" i="23916"/>
  <c r="FU310" i="23916"/>
  <c r="GC310" i="23916"/>
  <c r="GK310" i="23916"/>
  <c r="FO307" i="23916"/>
  <c r="AU324" i="23916"/>
  <c r="BC324" i="23916"/>
  <c r="FT324" i="23916"/>
  <c r="BF327" i="23916"/>
  <c r="BB333" i="23916"/>
  <c r="BF333" i="23916"/>
  <c r="FS347" i="23916"/>
  <c r="AZ359" i="23916"/>
  <c r="FR359" i="23916"/>
  <c r="BD361" i="23916"/>
  <c r="BS738" i="23916"/>
  <c r="BS367" i="23916"/>
  <c r="BV361" i="23916"/>
  <c r="BT358" i="23916"/>
  <c r="BX358" i="23916"/>
  <c r="BF375" i="23916"/>
  <c r="AX375" i="23916"/>
  <c r="FP375" i="23916"/>
  <c r="AZ388" i="23916"/>
  <c r="BH388" i="23916"/>
  <c r="BP388" i="23916"/>
  <c r="BX388" i="23916"/>
  <c r="FU385" i="23916"/>
  <c r="BM388" i="23916"/>
  <c r="BN388" i="23916" s="1"/>
  <c r="BG400" i="23916"/>
  <c r="BH400" i="23916" s="1"/>
  <c r="BG394" i="23916"/>
  <c r="BC393" i="23916"/>
  <c r="BD393" i="23916" s="1"/>
  <c r="BS393" i="23916"/>
  <c r="BT393" i="23916" s="1"/>
  <c r="BH391" i="23916"/>
  <c r="FM409" i="23916"/>
  <c r="FN411" i="23916"/>
  <c r="FO411" i="23916" s="1"/>
  <c r="FS411" i="23916"/>
  <c r="FW411" i="23916"/>
  <c r="BT409" i="23916"/>
  <c r="FV409" i="23916"/>
  <c r="FW409" i="23916" s="1"/>
  <c r="FE409" i="23916"/>
  <c r="FD413" i="23916"/>
  <c r="C425" i="23916"/>
  <c r="C421" i="23916"/>
  <c r="S425" i="23916"/>
  <c r="S422" i="23916"/>
  <c r="T413" i="23916"/>
  <c r="S421" i="23916"/>
  <c r="AI425" i="23916"/>
  <c r="AI422" i="23916"/>
  <c r="AJ413" i="23916"/>
  <c r="AI421" i="23916"/>
  <c r="AJ421" i="23916" s="1"/>
  <c r="AU422" i="23916"/>
  <c r="AV422" i="23916" s="1"/>
  <c r="AV413" i="23916"/>
  <c r="AU425" i="23916"/>
  <c r="AU421" i="23916"/>
  <c r="AV421" i="23916" s="1"/>
  <c r="BC422" i="23916"/>
  <c r="BD422" i="23916" s="1"/>
  <c r="BD413" i="23916"/>
  <c r="BC425" i="23916"/>
  <c r="BC421" i="23916"/>
  <c r="BD421" i="23916" s="1"/>
  <c r="BK422" i="23916"/>
  <c r="BL422" i="23916" s="1"/>
  <c r="BL413" i="23916"/>
  <c r="BK425" i="23916"/>
  <c r="BK421" i="23916"/>
  <c r="BL421" i="23916" s="1"/>
  <c r="BS413" i="23916"/>
  <c r="FW417" i="23916"/>
  <c r="Q418" i="23916"/>
  <c r="R418" i="23916" s="1"/>
  <c r="R417" i="23916"/>
  <c r="Q422" i="23916"/>
  <c r="R422" i="23916" s="1"/>
  <c r="Z417" i="23916"/>
  <c r="L418" i="23916"/>
  <c r="AF418" i="23916"/>
  <c r="AN418" i="23916"/>
  <c r="BX418" i="23916"/>
  <c r="Y425" i="23916"/>
  <c r="BE428" i="23916"/>
  <c r="BF425" i="23916"/>
  <c r="AW427" i="23916"/>
  <c r="AX427" i="23916" s="1"/>
  <c r="BN427" i="23916"/>
  <c r="BE456" i="23916"/>
  <c r="BF446" i="23916"/>
  <c r="E461" i="23916"/>
  <c r="E466" i="23916"/>
  <c r="V465" i="23916"/>
  <c r="AD465" i="23916"/>
  <c r="AL465" i="23916"/>
  <c r="AT465" i="23916"/>
  <c r="BB465" i="23916"/>
  <c r="FO461" i="23916"/>
  <c r="AS530" i="23916"/>
  <c r="AT530" i="23916" s="1"/>
  <c r="AT461" i="23916"/>
  <c r="AQ509" i="23916"/>
  <c r="AR482" i="23916"/>
  <c r="AQ485" i="23916"/>
  <c r="AQ484" i="23916"/>
  <c r="AR484" i="23916" s="1"/>
  <c r="AQ488" i="23916"/>
  <c r="AR488" i="23916" s="1"/>
  <c r="AZ482" i="23916"/>
  <c r="AY485" i="23916"/>
  <c r="AY484" i="23916"/>
  <c r="AZ484" i="23916" s="1"/>
  <c r="AY488" i="23916"/>
  <c r="AZ488" i="23916" s="1"/>
  <c r="BR480" i="23916"/>
  <c r="BE480" i="23916"/>
  <c r="BF480" i="23916" s="1"/>
  <c r="BF477" i="23916"/>
  <c r="GX478" i="23916"/>
  <c r="GW478" i="23916"/>
  <c r="BI497" i="23916"/>
  <c r="FV359" i="23916"/>
  <c r="FR361" i="23916"/>
  <c r="FV361" i="23916"/>
  <c r="AR357" i="23916"/>
  <c r="AR361" i="23916"/>
  <c r="AT359" i="23916"/>
  <c r="AX359" i="23916"/>
  <c r="AZ361" i="23916"/>
  <c r="BB359" i="23916"/>
  <c r="BH361" i="23916"/>
  <c r="BJ359" i="23916"/>
  <c r="BN359" i="23916"/>
  <c r="BP361" i="23916"/>
  <c r="BR359" i="23916"/>
  <c r="BT361" i="23916"/>
  <c r="BV359" i="23916"/>
  <c r="BX361" i="23916"/>
  <c r="BO363" i="23916"/>
  <c r="AQ367" i="23916"/>
  <c r="AR367" i="23916" s="1"/>
  <c r="AU367" i="23916"/>
  <c r="AV367" i="23916" s="1"/>
  <c r="AY367" i="23916"/>
  <c r="BG367" i="23916"/>
  <c r="BK367" i="23916"/>
  <c r="BO367" i="23916"/>
  <c r="BO369" i="23916"/>
  <c r="BO370" i="23916"/>
  <c r="AR374" i="23916"/>
  <c r="AR376" i="23916"/>
  <c r="AV376" i="23916"/>
  <c r="AZ376" i="23916"/>
  <c r="BD376" i="23916"/>
  <c r="BH376" i="23916"/>
  <c r="BL376" i="23916"/>
  <c r="BP376" i="23916"/>
  <c r="BT376" i="23916"/>
  <c r="BX376" i="23916"/>
  <c r="FN408" i="23916"/>
  <c r="R409" i="23916"/>
  <c r="Z409" i="23916"/>
  <c r="AH409" i="23916"/>
  <c r="AO411" i="23916"/>
  <c r="AT413" i="23916"/>
  <c r="AX413" i="23916"/>
  <c r="BB413" i="23916"/>
  <c r="BF413" i="23916"/>
  <c r="BJ413" i="23916"/>
  <c r="BN413" i="23916"/>
  <c r="BR413" i="23916"/>
  <c r="BV413" i="23916"/>
  <c r="FM417" i="23916"/>
  <c r="FQ417" i="23916"/>
  <c r="L417" i="23916"/>
  <c r="P417" i="23916"/>
  <c r="T417" i="23916"/>
  <c r="X417" i="23916"/>
  <c r="AT417" i="23916"/>
  <c r="E418" i="23916"/>
  <c r="I418" i="23916"/>
  <c r="FD418" i="23916"/>
  <c r="FE418" i="23916" s="1"/>
  <c r="FL418" i="23916"/>
  <c r="FP418" i="23916"/>
  <c r="FT418" i="23916"/>
  <c r="AS422" i="23916"/>
  <c r="BA422" i="23916"/>
  <c r="BE422" i="23916"/>
  <c r="BF422" i="23916" s="1"/>
  <c r="BM422" i="23916"/>
  <c r="BN422" i="23916" s="1"/>
  <c r="BQ422" i="23916"/>
  <c r="BU422" i="23916"/>
  <c r="G421" i="23916"/>
  <c r="FQ426" i="23916"/>
  <c r="FU426" i="23916"/>
  <c r="FR453" i="23916"/>
  <c r="FK459" i="23916"/>
  <c r="FO459" i="23916"/>
  <c r="C459" i="23916"/>
  <c r="G459" i="23916"/>
  <c r="K459" i="23916"/>
  <c r="O459" i="23916"/>
  <c r="X459" i="23916" s="1"/>
  <c r="U458" i="23916"/>
  <c r="V458" i="23916" s="1"/>
  <c r="Y458" i="23916"/>
  <c r="Z458" i="23916" s="1"/>
  <c r="AC458" i="23916"/>
  <c r="AD458" i="23916" s="1"/>
  <c r="AG458" i="23916"/>
  <c r="AK458" i="23916"/>
  <c r="AO458" i="23916"/>
  <c r="AP458" i="23916" s="1"/>
  <c r="AS458" i="23916"/>
  <c r="AT458" i="23916" s="1"/>
  <c r="AW458" i="23916"/>
  <c r="L456" i="23916"/>
  <c r="T456" i="23916"/>
  <c r="V459" i="23916"/>
  <c r="AB456" i="23916"/>
  <c r="AD459" i="23916"/>
  <c r="AJ456" i="23916"/>
  <c r="AL459" i="23916"/>
  <c r="AR456" i="23916"/>
  <c r="AT459" i="23916"/>
  <c r="FD461" i="23916"/>
  <c r="FH461" i="23916"/>
  <c r="FI461" i="23916" s="1"/>
  <c r="FL461" i="23916"/>
  <c r="FM461" i="23916" s="1"/>
  <c r="K465" i="23916"/>
  <c r="O465" i="23916"/>
  <c r="P465" i="23916" s="1"/>
  <c r="S465" i="23916"/>
  <c r="T465" i="23916" s="1"/>
  <c r="W465" i="23916"/>
  <c r="AA465" i="23916"/>
  <c r="AE465" i="23916"/>
  <c r="AF465" i="23916" s="1"/>
  <c r="AI465" i="23916"/>
  <c r="AJ465" i="23916" s="1"/>
  <c r="AM465" i="23916"/>
  <c r="AQ465" i="23916"/>
  <c r="AU465" i="23916"/>
  <c r="AV465" i="23916" s="1"/>
  <c r="E465" i="23916"/>
  <c r="N465" i="23916" s="1"/>
  <c r="I465" i="23916"/>
  <c r="BM751" i="23916"/>
  <c r="BU496" i="23916"/>
  <c r="CC751" i="23916"/>
  <c r="CS751" i="23916"/>
  <c r="DA751" i="23916"/>
  <c r="DI751" i="23916"/>
  <c r="EE749" i="23916"/>
  <c r="EE751" i="23916" s="1"/>
  <c r="EF496" i="23916"/>
  <c r="EM749" i="23916"/>
  <c r="EN496" i="23916"/>
  <c r="AT473" i="23916"/>
  <c r="BB473" i="23916"/>
  <c r="CP471" i="23916"/>
  <c r="CX471" i="23916"/>
  <c r="DF471" i="23916"/>
  <c r="DN471" i="23916"/>
  <c r="DV471" i="23916"/>
  <c r="EF471" i="23916"/>
  <c r="EN471" i="23916"/>
  <c r="FW476" i="23916"/>
  <c r="GA476" i="23916"/>
  <c r="GE476" i="23916"/>
  <c r="GI476" i="23916"/>
  <c r="GM476" i="23916"/>
  <c r="BN477" i="23916"/>
  <c r="BR477" i="23916"/>
  <c r="BV477" i="23916"/>
  <c r="BA477" i="23916"/>
  <c r="CD477" i="23916"/>
  <c r="CL477" i="23916"/>
  <c r="CT477" i="23916"/>
  <c r="DB477" i="23916"/>
  <c r="DJ477" i="23916"/>
  <c r="FU505" i="23916"/>
  <c r="GU478" i="23916"/>
  <c r="BY480" i="23916"/>
  <c r="BZ480" i="23916" s="1"/>
  <c r="CG480" i="23916"/>
  <c r="CH480" i="23916" s="1"/>
  <c r="CO480" i="23916"/>
  <c r="CW480" i="23916"/>
  <c r="DE480" i="23916"/>
  <c r="DM480" i="23916"/>
  <c r="DQ480" i="23916"/>
  <c r="DU480" i="23916"/>
  <c r="DY480" i="23916"/>
  <c r="EC480" i="23916"/>
  <c r="EG480" i="23916"/>
  <c r="EK480" i="23916"/>
  <c r="EO480" i="23916"/>
  <c r="FV480" i="23916"/>
  <c r="AU482" i="23916"/>
  <c r="BK482" i="23916"/>
  <c r="BS482" i="23916"/>
  <c r="CA482" i="23916"/>
  <c r="CI482" i="23916"/>
  <c r="EU484" i="23916"/>
  <c r="FX486" i="23916"/>
  <c r="BJ493" i="23916"/>
  <c r="BR493" i="23916"/>
  <c r="BZ493" i="23916"/>
  <c r="CH493" i="23916"/>
  <c r="CP493" i="23916"/>
  <c r="CX493" i="23916"/>
  <c r="DF493" i="23916"/>
  <c r="DN493" i="23916"/>
  <c r="DV493" i="23916"/>
  <c r="ED493" i="23916"/>
  <c r="EL493" i="23916"/>
  <c r="BN496" i="23916"/>
  <c r="CD496" i="23916"/>
  <c r="CT496" i="23916"/>
  <c r="DJ496" i="23916"/>
  <c r="DZ496" i="23916"/>
  <c r="EP496" i="23916"/>
  <c r="ET503" i="23916"/>
  <c r="BD444" i="23916"/>
  <c r="FR444" i="23916"/>
  <c r="FR446" i="23916" s="1"/>
  <c r="FR456" i="23916" s="1"/>
  <c r="BA451" i="23916"/>
  <c r="BB451" i="23916" s="1"/>
  <c r="BE451" i="23916"/>
  <c r="BF451" i="23916" s="1"/>
  <c r="BB459" i="23916"/>
  <c r="BG749" i="23916"/>
  <c r="BH496" i="23916"/>
  <c r="BO749" i="23916"/>
  <c r="BO751" i="23916" s="1"/>
  <c r="BP496" i="23916"/>
  <c r="BW749" i="23916"/>
  <c r="BX496" i="23916"/>
  <c r="CE749" i="23916"/>
  <c r="CE751" i="23916" s="1"/>
  <c r="CF496" i="23916"/>
  <c r="CM749" i="23916"/>
  <c r="CN496" i="23916"/>
  <c r="CU749" i="23916"/>
  <c r="CU751" i="23916" s="1"/>
  <c r="CV496" i="23916"/>
  <c r="DC749" i="23916"/>
  <c r="DD496" i="23916"/>
  <c r="DK749" i="23916"/>
  <c r="DK751" i="23916" s="1"/>
  <c r="DL496" i="23916"/>
  <c r="DS749" i="23916"/>
  <c r="DT496" i="23916"/>
  <c r="DY751" i="23916"/>
  <c r="FT471" i="23916"/>
  <c r="FX471" i="23916"/>
  <c r="GB471" i="23916"/>
  <c r="GB496" i="23916" s="1"/>
  <c r="GF471" i="23916"/>
  <c r="GF496" i="23916" s="1"/>
  <c r="GJ471" i="23916"/>
  <c r="GN471" i="23916"/>
  <c r="FP473" i="23916"/>
  <c r="BH471" i="23916"/>
  <c r="BP471" i="23916"/>
  <c r="BX471" i="23916"/>
  <c r="CF471" i="23916"/>
  <c r="BG473" i="23916"/>
  <c r="BO473" i="23916"/>
  <c r="BW473" i="23916"/>
  <c r="CE473" i="23916"/>
  <c r="CN471" i="23916"/>
  <c r="CR473" i="23916"/>
  <c r="CV471" i="23916"/>
  <c r="DD471" i="23916"/>
  <c r="DL471" i="23916"/>
  <c r="DT471" i="23916"/>
  <c r="CB477" i="23916"/>
  <c r="FT477" i="23916"/>
  <c r="GV484" i="23916"/>
  <c r="FV358" i="23916"/>
  <c r="FX361" i="23916"/>
  <c r="AT361" i="23916"/>
  <c r="AX361" i="23916"/>
  <c r="BB361" i="23916"/>
  <c r="BF361" i="23916"/>
  <c r="BJ361" i="23916"/>
  <c r="BL359" i="23916"/>
  <c r="BN361" i="23916"/>
  <c r="BP359" i="23916"/>
  <c r="BR361" i="23916"/>
  <c r="BT359" i="23916"/>
  <c r="BX359" i="23916"/>
  <c r="BZ361" i="23916"/>
  <c r="BM364" i="23916"/>
  <c r="AW367" i="23916"/>
  <c r="AX367" i="23916" s="1"/>
  <c r="BA367" i="23916"/>
  <c r="BE367" i="23916"/>
  <c r="BF367" i="23916" s="1"/>
  <c r="BM367" i="23916"/>
  <c r="BQ367" i="23916"/>
  <c r="BU367" i="23916"/>
  <c r="BY367" i="23916"/>
  <c r="BM369" i="23916"/>
  <c r="BM370" i="23916"/>
  <c r="FF418" i="23916"/>
  <c r="FJ418" i="23916"/>
  <c r="FN418" i="23916"/>
  <c r="FO418" i="23916" s="1"/>
  <c r="FR418" i="23916"/>
  <c r="FS418" i="23916" s="1"/>
  <c r="FV418" i="23916"/>
  <c r="AS421" i="23916"/>
  <c r="BA421" i="23916"/>
  <c r="BB421" i="23916" s="1"/>
  <c r="BI421" i="23916"/>
  <c r="BJ421" i="23916" s="1"/>
  <c r="BQ421" i="23916"/>
  <c r="FE459" i="23916"/>
  <c r="FI459" i="23916"/>
  <c r="FM459" i="23916"/>
  <c r="M459" i="23916"/>
  <c r="S458" i="23916"/>
  <c r="T458" i="23916" s="1"/>
  <c r="W458" i="23916"/>
  <c r="X458" i="23916" s="1"/>
  <c r="AA458" i="23916"/>
  <c r="AB458" i="23916" s="1"/>
  <c r="AE458" i="23916"/>
  <c r="AI458" i="23916"/>
  <c r="AM458" i="23916"/>
  <c r="AN458" i="23916" s="1"/>
  <c r="AQ458" i="23916"/>
  <c r="AR458" i="23916" s="1"/>
  <c r="AU458" i="23916"/>
  <c r="P456" i="23916"/>
  <c r="R459" i="23916"/>
  <c r="X456" i="23916"/>
  <c r="Z459" i="23916"/>
  <c r="AF456" i="23916"/>
  <c r="AH459" i="23916"/>
  <c r="AN456" i="23916"/>
  <c r="AP459" i="23916"/>
  <c r="AV456" i="23916"/>
  <c r="AX459" i="23916"/>
  <c r="BB456" i="23916"/>
  <c r="AZ461" i="23916"/>
  <c r="Q465" i="23916"/>
  <c r="R465" i="23916" s="1"/>
  <c r="Y465" i="23916"/>
  <c r="Z465" i="23916" s="1"/>
  <c r="AG465" i="23916"/>
  <c r="AH465" i="23916" s="1"/>
  <c r="AO465" i="23916"/>
  <c r="AW465" i="23916"/>
  <c r="AX465" i="23916" s="1"/>
  <c r="Q466" i="23916"/>
  <c r="R466" i="23916" s="1"/>
  <c r="U466" i="23916"/>
  <c r="Y466" i="23916"/>
  <c r="AC466" i="23916"/>
  <c r="AG466" i="23916"/>
  <c r="AH466" i="23916" s="1"/>
  <c r="AK466" i="23916"/>
  <c r="AL466" i="23916" s="1"/>
  <c r="AO466" i="23916"/>
  <c r="AS466" i="23916"/>
  <c r="AW466" i="23916"/>
  <c r="AX466" i="23916" s="1"/>
  <c r="BA466" i="23916"/>
  <c r="BB466" i="23916" s="1"/>
  <c r="C465" i="23916"/>
  <c r="G465" i="23916"/>
  <c r="CO749" i="23916"/>
  <c r="CO626" i="23916"/>
  <c r="EA749" i="23916"/>
  <c r="EB496" i="23916"/>
  <c r="EI749" i="23916"/>
  <c r="EI751" i="23916" s="1"/>
  <c r="EJ496" i="23916"/>
  <c r="EP471" i="23916"/>
  <c r="ES472" i="23916"/>
  <c r="AR473" i="23916"/>
  <c r="AZ473" i="23916"/>
  <c r="CT471" i="23916"/>
  <c r="DB471" i="23916"/>
  <c r="DJ471" i="23916"/>
  <c r="DR471" i="23916"/>
  <c r="EB471" i="23916"/>
  <c r="EJ471" i="23916"/>
  <c r="FU476" i="23916"/>
  <c r="FY476" i="23916"/>
  <c r="GC476" i="23916"/>
  <c r="GG476" i="23916"/>
  <c r="GK476" i="23916"/>
  <c r="GO476" i="23916"/>
  <c r="BH477" i="23916"/>
  <c r="BL477" i="23916"/>
  <c r="BP477" i="23916"/>
  <c r="BT477" i="23916"/>
  <c r="ES476" i="23916"/>
  <c r="FR477" i="23916"/>
  <c r="FS477" i="23916" s="1"/>
  <c r="GO479" i="23916"/>
  <c r="ER476" i="23916"/>
  <c r="FS476" i="23916"/>
  <c r="BO480" i="23916"/>
  <c r="BP480" i="23916" s="1"/>
  <c r="BW480" i="23916"/>
  <c r="BX480" i="23916" s="1"/>
  <c r="CE480" i="23916"/>
  <c r="CF480" i="23916" s="1"/>
  <c r="CM480" i="23916"/>
  <c r="CU480" i="23916"/>
  <c r="DC480" i="23916"/>
  <c r="DK480" i="23916"/>
  <c r="DO480" i="23916"/>
  <c r="DS480" i="23916"/>
  <c r="EA480" i="23916"/>
  <c r="EE480" i="23916"/>
  <c r="EI480" i="23916"/>
  <c r="EM480" i="23916"/>
  <c r="EQ480" i="23916"/>
  <c r="ER480" i="23916" s="1"/>
  <c r="FT480" i="23916"/>
  <c r="FX480" i="23916"/>
  <c r="GB480" i="23916"/>
  <c r="GF480" i="23916"/>
  <c r="GJ480" i="23916"/>
  <c r="GN480" i="23916"/>
  <c r="BD486" i="23916"/>
  <c r="BL486" i="23916"/>
  <c r="AY497" i="23916"/>
  <c r="DX497" i="23916"/>
  <c r="BF496" i="23916"/>
  <c r="CL496" i="23916"/>
  <c r="DB496" i="23916"/>
  <c r="DR496" i="23916"/>
  <c r="EH496" i="23916"/>
  <c r="CB500" i="23916"/>
  <c r="FQ503" i="23916"/>
  <c r="FS503" i="23916"/>
  <c r="EX503" i="23916"/>
  <c r="AX358" i="23916"/>
  <c r="BN358" i="23916"/>
  <c r="BR358" i="23916"/>
  <c r="BV358" i="23916"/>
  <c r="BZ358" i="23916"/>
  <c r="AU388" i="23916"/>
  <c r="AV388" i="23916" s="1"/>
  <c r="BC388" i="23916"/>
  <c r="BK388" i="23916"/>
  <c r="BL388" i="23916" s="1"/>
  <c r="BS388" i="23916"/>
  <c r="BT388" i="23916" s="1"/>
  <c r="AP408" i="23916"/>
  <c r="AX408" i="23916"/>
  <c r="BB417" i="23916"/>
  <c r="FB461" i="23916"/>
  <c r="BK749" i="23916"/>
  <c r="BK751" i="23916" s="1"/>
  <c r="BL496" i="23916"/>
  <c r="BS749" i="23916"/>
  <c r="BT496" i="23916"/>
  <c r="CA749" i="23916"/>
  <c r="CA751" i="23916" s="1"/>
  <c r="CB496" i="23916"/>
  <c r="CI749" i="23916"/>
  <c r="CI751" i="23916" s="1"/>
  <c r="CJ496" i="23916"/>
  <c r="CQ749" i="23916"/>
  <c r="CQ751" i="23916" s="1"/>
  <c r="CQ626" i="23916"/>
  <c r="CR496" i="23916"/>
  <c r="CY749" i="23916"/>
  <c r="CY751" i="23916" s="1"/>
  <c r="CZ496" i="23916"/>
  <c r="DG749" i="23916"/>
  <c r="DG751" i="23916" s="1"/>
  <c r="DH496" i="23916"/>
  <c r="DO749" i="23916"/>
  <c r="DO751" i="23916" s="1"/>
  <c r="DP496" i="23916"/>
  <c r="DW751" i="23916"/>
  <c r="EC751" i="23916"/>
  <c r="EK751" i="23916"/>
  <c r="EQ471" i="23916"/>
  <c r="FR471" i="23916"/>
  <c r="FV471" i="23916"/>
  <c r="FZ471" i="23916"/>
  <c r="GD471" i="23916"/>
  <c r="GH471" i="23916"/>
  <c r="GL471" i="23916"/>
  <c r="BF471" i="23916"/>
  <c r="BJ471" i="23916"/>
  <c r="BN471" i="23916"/>
  <c r="BR471" i="23916"/>
  <c r="BV471" i="23916"/>
  <c r="BZ471" i="23916"/>
  <c r="CD471" i="23916"/>
  <c r="CH471" i="23916"/>
  <c r="CL471" i="23916"/>
  <c r="BE473" i="23916"/>
  <c r="BI473" i="23916"/>
  <c r="BM473" i="23916"/>
  <c r="BQ473" i="23916"/>
  <c r="BU473" i="23916"/>
  <c r="BY473" i="23916"/>
  <c r="CC473" i="23916"/>
  <c r="CG473" i="23916"/>
  <c r="CK473" i="23916"/>
  <c r="CR471" i="23916"/>
  <c r="CZ471" i="23916"/>
  <c r="DH471" i="23916"/>
  <c r="DP471" i="23916"/>
  <c r="DZ471" i="23916"/>
  <c r="EH471" i="23916"/>
  <c r="GA505" i="23916"/>
  <c r="GE505" i="23916"/>
  <c r="GI505" i="23916"/>
  <c r="GM505" i="23916"/>
  <c r="FZ477" i="23916"/>
  <c r="GA477" i="23916" s="1"/>
  <c r="GD477" i="23916"/>
  <c r="GE477" i="23916" s="1"/>
  <c r="GH477" i="23916"/>
  <c r="GI477" i="23916" s="1"/>
  <c r="GL477" i="23916"/>
  <c r="GM477" i="23916" s="1"/>
  <c r="GP477" i="23916"/>
  <c r="EW477" i="23916"/>
  <c r="EX477" i="23916" s="1"/>
  <c r="EJ477" i="23916"/>
  <c r="BI745" i="23916"/>
  <c r="BM745" i="23916"/>
  <c r="BY745" i="23916"/>
  <c r="CC745" i="23916"/>
  <c r="CO745" i="23916"/>
  <c r="CS745" i="23916"/>
  <c r="DE745" i="23916"/>
  <c r="DI745" i="23916"/>
  <c r="DU745" i="23916"/>
  <c r="DY745" i="23916"/>
  <c r="EC745" i="23916"/>
  <c r="EK745" i="23916"/>
  <c r="EO745" i="23916"/>
  <c r="BJ496" i="23916"/>
  <c r="BZ496" i="23916"/>
  <c r="CP496" i="23916"/>
  <c r="DF496" i="23916"/>
  <c r="DV496" i="23916"/>
  <c r="EL496" i="23916"/>
  <c r="CK497" i="23916"/>
  <c r="EG497" i="23916"/>
  <c r="CZ500" i="23916"/>
  <c r="GE509" i="23916"/>
  <c r="AW751" i="23916"/>
  <c r="AT500" i="23916"/>
  <c r="BB500" i="23916"/>
  <c r="BJ500" i="23916"/>
  <c r="BR500" i="23916"/>
  <c r="BZ500" i="23916"/>
  <c r="CH500" i="23916"/>
  <c r="CX500" i="23916"/>
  <c r="DF500" i="23916"/>
  <c r="DN500" i="23916"/>
  <c r="DV500" i="23916"/>
  <c r="EF500" i="23916"/>
  <c r="EN500" i="23916"/>
  <c r="GE532" i="23916"/>
  <c r="FK535" i="23916"/>
  <c r="FJ536" i="23916"/>
  <c r="FM535" i="23916"/>
  <c r="G541" i="23916"/>
  <c r="P536" i="23916"/>
  <c r="O538" i="23916"/>
  <c r="X536" i="23916"/>
  <c r="W538" i="23916"/>
  <c r="AF536" i="23916"/>
  <c r="AN536" i="23916"/>
  <c r="AE538" i="23916"/>
  <c r="AL536" i="23916"/>
  <c r="AK538" i="23916"/>
  <c r="FB553" i="23916"/>
  <c r="FB566" i="23916" s="1"/>
  <c r="FB538" i="23916"/>
  <c r="FE536" i="23916"/>
  <c r="CD537" i="23916"/>
  <c r="EW540" i="23916"/>
  <c r="EV540" i="23916"/>
  <c r="GN616" i="23916"/>
  <c r="GO616" i="23916" s="1"/>
  <c r="GN554" i="23916"/>
  <c r="GO546" i="23916"/>
  <c r="BD552" i="23916"/>
  <c r="BP552" i="23916"/>
  <c r="DD552" i="23916"/>
  <c r="GB509" i="23916"/>
  <c r="GF509" i="23916"/>
  <c r="GJ509" i="23916"/>
  <c r="GN509" i="23916"/>
  <c r="GZ532" i="23916"/>
  <c r="GQ532" i="23916"/>
  <c r="FL741" i="23916"/>
  <c r="FL553" i="23916"/>
  <c r="FL538" i="23916"/>
  <c r="FM536" i="23916"/>
  <c r="FS535" i="23916"/>
  <c r="FU535" i="23916"/>
  <c r="GA535" i="23916"/>
  <c r="GC535" i="23916"/>
  <c r="GI535" i="23916"/>
  <c r="GK535" i="23916"/>
  <c r="GS535" i="23916"/>
  <c r="GQ535" i="23916"/>
  <c r="I666" i="23916"/>
  <c r="I541" i="23916"/>
  <c r="AM541" i="23916"/>
  <c r="AN538" i="23916"/>
  <c r="AL537" i="23916"/>
  <c r="FN537" i="23916"/>
  <c r="FO537" i="23916" s="1"/>
  <c r="BB537" i="23916"/>
  <c r="BJ537" i="23916"/>
  <c r="CF537" i="23916"/>
  <c r="CZ537" i="23916"/>
  <c r="EH537" i="23916"/>
  <c r="ET547" i="23916"/>
  <c r="EU547" i="23916"/>
  <c r="CF552" i="23916"/>
  <c r="CN552" i="23916"/>
  <c r="CV552" i="23916"/>
  <c r="DH552" i="23916"/>
  <c r="AU751" i="23916"/>
  <c r="AY751" i="23916"/>
  <c r="BC751" i="23916"/>
  <c r="AX500" i="23916"/>
  <c r="BF500" i="23916"/>
  <c r="BN500" i="23916"/>
  <c r="BV500" i="23916"/>
  <c r="CD500" i="23916"/>
  <c r="CL500" i="23916"/>
  <c r="CT500" i="23916"/>
  <c r="DB500" i="23916"/>
  <c r="DJ500" i="23916"/>
  <c r="DR500" i="23916"/>
  <c r="FS502" i="23916"/>
  <c r="FP505" i="23916"/>
  <c r="FQ505" i="23916" s="1"/>
  <c r="CD509" i="23916"/>
  <c r="CH509" i="23916"/>
  <c r="CL509" i="23916"/>
  <c r="CP509" i="23916"/>
  <c r="CT509" i="23916"/>
  <c r="CX509" i="23916"/>
  <c r="DB509" i="23916"/>
  <c r="DF509" i="23916"/>
  <c r="DJ509" i="23916"/>
  <c r="DN509" i="23916"/>
  <c r="DR509" i="23916"/>
  <c r="DV509" i="23916"/>
  <c r="DZ509" i="23916"/>
  <c r="ED509" i="23916"/>
  <c r="EH509" i="23916"/>
  <c r="EL509" i="23916"/>
  <c r="EP509" i="23916"/>
  <c r="GM532" i="23916"/>
  <c r="FG535" i="23916"/>
  <c r="FF536" i="23916"/>
  <c r="FI535" i="23916"/>
  <c r="FO535" i="23916"/>
  <c r="FN536" i="23916"/>
  <c r="C541" i="23916"/>
  <c r="K541" i="23916"/>
  <c r="L538" i="23916"/>
  <c r="S541" i="23916"/>
  <c r="T538" i="23916"/>
  <c r="AA541" i="23916"/>
  <c r="AB538" i="23916"/>
  <c r="AI541" i="23916"/>
  <c r="AJ538" i="23916"/>
  <c r="AP536" i="23916"/>
  <c r="AO538" i="23916"/>
  <c r="BR537" i="23916"/>
  <c r="BZ537" i="23916"/>
  <c r="CH537" i="23916"/>
  <c r="DL537" i="23916"/>
  <c r="CP552" i="23916"/>
  <c r="FS549" i="23916"/>
  <c r="AZ552" i="23916"/>
  <c r="CM745" i="23916"/>
  <c r="CU745" i="23916"/>
  <c r="CY745" i="23916"/>
  <c r="DC745" i="23916"/>
  <c r="DG745" i="23916"/>
  <c r="DK745" i="23916"/>
  <c r="DO745" i="23916"/>
  <c r="DS745" i="23916"/>
  <c r="DW745" i="23916"/>
  <c r="EA745" i="23916"/>
  <c r="EE745" i="23916"/>
  <c r="EI745" i="23916"/>
  <c r="EM745" i="23916"/>
  <c r="AR496" i="23916"/>
  <c r="AV496" i="23916"/>
  <c r="AZ496" i="23916"/>
  <c r="BD496" i="23916"/>
  <c r="CU497" i="23916"/>
  <c r="CY497" i="23916"/>
  <c r="DG497" i="23916"/>
  <c r="DK497" i="23916"/>
  <c r="DO497" i="23916"/>
  <c r="DW497" i="23916"/>
  <c r="EA497" i="23916"/>
  <c r="EE497" i="23916"/>
  <c r="EI497" i="23916"/>
  <c r="EM497" i="23916"/>
  <c r="DZ500" i="23916"/>
  <c r="EH500" i="23916"/>
  <c r="EP500" i="23916"/>
  <c r="GI532" i="23916"/>
  <c r="GK532" i="23916"/>
  <c r="FH741" i="23916"/>
  <c r="FH538" i="23916"/>
  <c r="FH553" i="23916"/>
  <c r="FI536" i="23916"/>
  <c r="FW535" i="23916"/>
  <c r="FY535" i="23916"/>
  <c r="GE535" i="23916"/>
  <c r="GG535" i="23916"/>
  <c r="GM535" i="23916"/>
  <c r="GO535" i="23916"/>
  <c r="E541" i="23916"/>
  <c r="BN537" i="23916"/>
  <c r="GS537" i="23916"/>
  <c r="Q614" i="23916"/>
  <c r="Q553" i="23916"/>
  <c r="R541" i="23916"/>
  <c r="AG614" i="23916"/>
  <c r="AG553" i="23916"/>
  <c r="AH541" i="23916"/>
  <c r="CJ552" i="23916"/>
  <c r="CR552" i="23916"/>
  <c r="CZ552" i="23916"/>
  <c r="BB552" i="23916"/>
  <c r="GP540" i="23916"/>
  <c r="EL537" i="23916"/>
  <c r="GZ539" i="23916"/>
  <c r="FO546" i="23916"/>
  <c r="FS546" i="23916"/>
  <c r="FW546" i="23916"/>
  <c r="GE546" i="23916"/>
  <c r="GI546" i="23916"/>
  <c r="GO548" i="23916"/>
  <c r="FP549" i="23916"/>
  <c r="FQ549" i="23916" s="1"/>
  <c r="FT549" i="23916"/>
  <c r="FU549" i="23916" s="1"/>
  <c r="FX549" i="23916"/>
  <c r="FY549" i="23916" s="1"/>
  <c r="GB549" i="23916"/>
  <c r="GE549" i="23916" s="1"/>
  <c r="GF549" i="23916"/>
  <c r="GG549" i="23916" s="1"/>
  <c r="GN549" i="23916"/>
  <c r="AR549" i="23916"/>
  <c r="AZ549" i="23916"/>
  <c r="BH549" i="23916"/>
  <c r="BP549" i="23916"/>
  <c r="BX549" i="23916"/>
  <c r="CB549" i="23916"/>
  <c r="CF549" i="23916"/>
  <c r="CJ549" i="23916"/>
  <c r="CN549" i="23916"/>
  <c r="CR549" i="23916"/>
  <c r="CV549" i="23916"/>
  <c r="CZ549" i="23916"/>
  <c r="DD549" i="23916"/>
  <c r="DH549" i="23916"/>
  <c r="EH549" i="23916"/>
  <c r="EP549" i="23916"/>
  <c r="ER547" i="23916"/>
  <c r="GS551" i="23916"/>
  <c r="GD552" i="23916"/>
  <c r="FV554" i="23916"/>
  <c r="GL554" i="23916"/>
  <c r="GM554" i="23916" s="1"/>
  <c r="FN552" i="23916"/>
  <c r="FO552" i="23916" s="1"/>
  <c r="AD555" i="23916"/>
  <c r="FM564" i="23916"/>
  <c r="GZ550" i="23916"/>
  <c r="GK590" i="23916"/>
  <c r="GA539" i="23916"/>
  <c r="GE539" i="23916"/>
  <c r="GI539" i="23916"/>
  <c r="GM539" i="23916"/>
  <c r="GQ539" i="23916"/>
  <c r="GA540" i="23916"/>
  <c r="GE540" i="23916"/>
  <c r="GI540" i="23916"/>
  <c r="GM540" i="23916"/>
  <c r="GW537" i="23916"/>
  <c r="M541" i="23916"/>
  <c r="U541" i="23916"/>
  <c r="Y541" i="23916"/>
  <c r="AC541" i="23916"/>
  <c r="GZ540" i="23916"/>
  <c r="FX546" i="23916"/>
  <c r="GB616" i="23916"/>
  <c r="GC616" i="23916" s="1"/>
  <c r="GF616" i="23916"/>
  <c r="GG616" i="23916" s="1"/>
  <c r="GJ616" i="23916"/>
  <c r="GK616" i="23916" s="1"/>
  <c r="FU550" i="23916"/>
  <c r="GK549" i="23916"/>
  <c r="GA550" i="23916"/>
  <c r="GE550" i="23916"/>
  <c r="GI550" i="23916"/>
  <c r="GM550" i="23916"/>
  <c r="GQ550" i="23916"/>
  <c r="FY551" i="23916"/>
  <c r="GC551" i="23916"/>
  <c r="GG551" i="23916"/>
  <c r="GK551" i="23916"/>
  <c r="GO551" i="23916"/>
  <c r="AT549" i="23916"/>
  <c r="BB549" i="23916"/>
  <c r="EP546" i="23916"/>
  <c r="BE552" i="23916"/>
  <c r="BF552" i="23916" s="1"/>
  <c r="BQ552" i="23916"/>
  <c r="BR552" i="23916" s="1"/>
  <c r="CC552" i="23916"/>
  <c r="CD552" i="23916" s="1"/>
  <c r="CK552" i="23916"/>
  <c r="CS552" i="23916"/>
  <c r="CT552" i="23916" s="1"/>
  <c r="CW552" i="23916"/>
  <c r="CX552" i="23916" s="1"/>
  <c r="DA552" i="23916"/>
  <c r="DB552" i="23916" s="1"/>
  <c r="DE552" i="23916"/>
  <c r="DN552" i="23916" s="1"/>
  <c r="EK552" i="23916"/>
  <c r="EL552" i="23916" s="1"/>
  <c r="EO552" i="23916"/>
  <c r="EP552" i="23916" s="1"/>
  <c r="CC554" i="23916"/>
  <c r="CD554" i="23916" s="1"/>
  <c r="EO554" i="23916"/>
  <c r="FR552" i="23916"/>
  <c r="GJ552" i="23916"/>
  <c r="GB554" i="23916"/>
  <c r="GH554" i="23916"/>
  <c r="GI554" i="23916" s="1"/>
  <c r="FK555" i="23916"/>
  <c r="FM555" i="23916"/>
  <c r="FU565" i="23916"/>
  <c r="FW565" i="23916"/>
  <c r="FI566" i="23916"/>
  <c r="FG566" i="23916"/>
  <c r="FI588" i="23916"/>
  <c r="FH590" i="23916"/>
  <c r="EF590" i="23916"/>
  <c r="EN590" i="23916"/>
  <c r="ER611" i="23916"/>
  <c r="EQ615" i="23916"/>
  <c r="ER615" i="23916" s="1"/>
  <c r="EQ590" i="23916"/>
  <c r="FS615" i="23916"/>
  <c r="FU615" i="23916"/>
  <c r="GO631" i="23916"/>
  <c r="V666" i="23916"/>
  <c r="AD666" i="23916"/>
  <c r="CL616" i="23916"/>
  <c r="CD616" i="23916"/>
  <c r="EM616" i="23916"/>
  <c r="EN616" i="23916" s="1"/>
  <c r="FV549" i="23916"/>
  <c r="FW549" i="23916" s="1"/>
  <c r="FZ549" i="23916"/>
  <c r="GA549" i="23916" s="1"/>
  <c r="BR549" i="23916"/>
  <c r="DB549" i="23916"/>
  <c r="DF549" i="23916"/>
  <c r="EL547" i="23916"/>
  <c r="GS549" i="23916"/>
  <c r="GF552" i="23916"/>
  <c r="GG552" i="23916" s="1"/>
  <c r="GL552" i="23916"/>
  <c r="GM552" i="23916" s="1"/>
  <c r="GD554" i="23916"/>
  <c r="GE554" i="23916" s="1"/>
  <c r="EB596" i="23916"/>
  <c r="EJ596" i="23916"/>
  <c r="ER596" i="23916"/>
  <c r="FE553" i="23916"/>
  <c r="N538" i="23916"/>
  <c r="R538" i="23916"/>
  <c r="V538" i="23916"/>
  <c r="Z538" i="23916"/>
  <c r="AD538" i="23916"/>
  <c r="AH538" i="23916"/>
  <c r="FD538" i="23916"/>
  <c r="GI616" i="23916"/>
  <c r="EM547" i="23916"/>
  <c r="EN547" i="23916" s="1"/>
  <c r="BF549" i="23916"/>
  <c r="CD546" i="23916"/>
  <c r="CL546" i="23916"/>
  <c r="EN546" i="23916"/>
  <c r="EM554" i="23916"/>
  <c r="EN554" i="23916" s="1"/>
  <c r="FP552" i="23916"/>
  <c r="FQ552" i="23916" s="1"/>
  <c r="FT552" i="23916"/>
  <c r="FU552" i="23916" s="1"/>
  <c r="GB552" i="23916"/>
  <c r="GH552" i="23916"/>
  <c r="GI552" i="23916" s="1"/>
  <c r="FT554" i="23916"/>
  <c r="FU554" i="23916" s="1"/>
  <c r="FZ554" i="23916"/>
  <c r="GJ554" i="23916"/>
  <c r="AH555" i="23916"/>
  <c r="FG555" i="23916"/>
  <c r="FI555" i="23916"/>
  <c r="FN555" i="23916"/>
  <c r="FO555" i="23916" s="1"/>
  <c r="K615" i="23916"/>
  <c r="L564" i="23916"/>
  <c r="S615" i="23916"/>
  <c r="T564" i="23916"/>
  <c r="AA615" i="23916"/>
  <c r="AB564" i="23916"/>
  <c r="AI615" i="23916"/>
  <c r="AJ564" i="23916"/>
  <c r="FQ565" i="23916"/>
  <c r="FS565" i="23916"/>
  <c r="FU590" i="23916"/>
  <c r="R615" i="23916"/>
  <c r="Z615" i="23916"/>
  <c r="AH615" i="23916"/>
  <c r="AX615" i="23916"/>
  <c r="AP615" i="23916"/>
  <c r="P564" i="23916"/>
  <c r="X564" i="23916"/>
  <c r="AF564" i="23916"/>
  <c r="AN564" i="23916"/>
  <c r="V590" i="23916"/>
  <c r="U606" i="23916"/>
  <c r="ES598" i="23916"/>
  <c r="ET599" i="23916"/>
  <c r="EU599" i="23916"/>
  <c r="FQ588" i="23916"/>
  <c r="X590" i="23916"/>
  <c r="W606" i="23916"/>
  <c r="AF590" i="23916"/>
  <c r="AE606" i="23916"/>
  <c r="AN590" i="23916"/>
  <c r="AM606" i="23916"/>
  <c r="AV590" i="23916"/>
  <c r="BD590" i="23916"/>
  <c r="BL590" i="23916"/>
  <c r="BT590" i="23916"/>
  <c r="CB590" i="23916"/>
  <c r="CJ590" i="23916"/>
  <c r="CR590" i="23916"/>
  <c r="CZ590" i="23916"/>
  <c r="DH590" i="23916"/>
  <c r="DP590" i="23916"/>
  <c r="FP590" i="23916"/>
  <c r="FQ590" i="23916" s="1"/>
  <c r="GF590" i="23916"/>
  <c r="CN596" i="23916"/>
  <c r="CV596" i="23916"/>
  <c r="DD596" i="23916"/>
  <c r="DL596" i="23916"/>
  <c r="DT596" i="23916"/>
  <c r="DZ596" i="23916"/>
  <c r="EH596" i="23916"/>
  <c r="EP596" i="23916"/>
  <c r="FY593" i="23916"/>
  <c r="CX616" i="23916"/>
  <c r="CP616" i="23916"/>
  <c r="FW615" i="23916"/>
  <c r="GC615" i="23916"/>
  <c r="GA615" i="23916"/>
  <c r="EW627" i="23916"/>
  <c r="EV627" i="23916"/>
  <c r="N615" i="23916"/>
  <c r="V615" i="23916"/>
  <c r="AD615" i="23916"/>
  <c r="AT615" i="23916"/>
  <c r="AL615" i="23916"/>
  <c r="FE615" i="23916"/>
  <c r="N564" i="23916"/>
  <c r="R564" i="23916"/>
  <c r="V564" i="23916"/>
  <c r="Z564" i="23916"/>
  <c r="AD564" i="23916"/>
  <c r="AH564" i="23916"/>
  <c r="AL564" i="23916"/>
  <c r="AP564" i="23916"/>
  <c r="FE564" i="23916"/>
  <c r="FM588" i="23916"/>
  <c r="AB590" i="23916"/>
  <c r="AA606" i="23916"/>
  <c r="AJ590" i="23916"/>
  <c r="AI606" i="23916"/>
  <c r="AJ606" i="23916" s="1"/>
  <c r="AR590" i="23916"/>
  <c r="AZ590" i="23916"/>
  <c r="BH590" i="23916"/>
  <c r="BP590" i="23916"/>
  <c r="BX590" i="23916"/>
  <c r="CF590" i="23916"/>
  <c r="CN590" i="23916"/>
  <c r="CV590" i="23916"/>
  <c r="DD590" i="23916"/>
  <c r="DL590" i="23916"/>
  <c r="DT590" i="23916"/>
  <c r="FX590" i="23916"/>
  <c r="GN590" i="23916"/>
  <c r="CQ596" i="23916"/>
  <c r="CR596" i="23916" s="1"/>
  <c r="CR594" i="23916"/>
  <c r="CY596" i="23916"/>
  <c r="CZ596" i="23916" s="1"/>
  <c r="CZ594" i="23916"/>
  <c r="DG596" i="23916"/>
  <c r="DH594" i="23916"/>
  <c r="DO596" i="23916"/>
  <c r="DP596" i="23916" s="1"/>
  <c r="DP594" i="23916"/>
  <c r="EC596" i="23916"/>
  <c r="ED594" i="23916"/>
  <c r="EK596" i="23916"/>
  <c r="EL596" i="23916" s="1"/>
  <c r="EL594" i="23916"/>
  <c r="GN594" i="23916"/>
  <c r="GO594" i="23916" s="1"/>
  <c r="ES594" i="23916"/>
  <c r="GD594" i="23916"/>
  <c r="FM599" i="23916"/>
  <c r="GM615" i="23916"/>
  <c r="FK616" i="23916"/>
  <c r="FM616" i="23916"/>
  <c r="FO616" i="23916"/>
  <c r="FQ616" i="23916"/>
  <c r="FS616" i="23916"/>
  <c r="FU616" i="23916"/>
  <c r="P615" i="23916"/>
  <c r="X615" i="23916"/>
  <c r="AF615" i="23916"/>
  <c r="AV615" i="23916"/>
  <c r="AN615" i="23916"/>
  <c r="FO588" i="23916"/>
  <c r="FW588" i="23916"/>
  <c r="GE588" i="23916"/>
  <c r="GM588" i="23916"/>
  <c r="T590" i="23916"/>
  <c r="S606" i="23916"/>
  <c r="EB590" i="23916"/>
  <c r="EJ590" i="23916"/>
  <c r="FL590" i="23916"/>
  <c r="GB590" i="23916"/>
  <c r="DB596" i="23916"/>
  <c r="DJ596" i="23916"/>
  <c r="DR596" i="23916"/>
  <c r="EF596" i="23916"/>
  <c r="EN596" i="23916"/>
  <c r="GA596" i="23916"/>
  <c r="GO615" i="23916"/>
  <c r="GG615" i="23916"/>
  <c r="GI615" i="23916"/>
  <c r="EX629" i="23916"/>
  <c r="GP629" i="23916"/>
  <c r="FJ588" i="23916"/>
  <c r="FF590" i="23916"/>
  <c r="FG590" i="23916" s="1"/>
  <c r="FN590" i="23916"/>
  <c r="FR590" i="23916"/>
  <c r="FV590" i="23916"/>
  <c r="FZ590" i="23916"/>
  <c r="GD590" i="23916"/>
  <c r="GH590" i="23916"/>
  <c r="GL590" i="23916"/>
  <c r="GB594" i="23916"/>
  <c r="GC594" i="23916" s="1"/>
  <c r="GF594" i="23916"/>
  <c r="GJ594" i="23916"/>
  <c r="GK594" i="23916" s="1"/>
  <c r="BV593" i="23916"/>
  <c r="CN594" i="23916"/>
  <c r="CV594" i="23916"/>
  <c r="DD594" i="23916"/>
  <c r="DL594" i="23916"/>
  <c r="DT594" i="23916"/>
  <c r="FG598" i="23916"/>
  <c r="R599" i="23916"/>
  <c r="T599" i="23916"/>
  <c r="V599" i="23916"/>
  <c r="AN599" i="23916"/>
  <c r="AR599" i="23916"/>
  <c r="CH598" i="23916"/>
  <c r="CL598" i="23916"/>
  <c r="ER598" i="23916"/>
  <c r="AG606" i="23916"/>
  <c r="AH606" i="23916" s="1"/>
  <c r="AK606" i="23916"/>
  <c r="AL606" i="23916" s="1"/>
  <c r="AO606" i="23916"/>
  <c r="Y606" i="23916"/>
  <c r="AC606" i="23916"/>
  <c r="FN606" i="23916"/>
  <c r="EQ609" i="23916"/>
  <c r="FT722" i="23916"/>
  <c r="FX722" i="23916"/>
  <c r="GB722" i="23916"/>
  <c r="GF722" i="23916"/>
  <c r="GK610" i="23916"/>
  <c r="GC610" i="23916"/>
  <c r="ET627" i="23916"/>
  <c r="EU628" i="23916"/>
  <c r="EV629" i="23916"/>
  <c r="FK628" i="23916"/>
  <c r="FU628" i="23916"/>
  <c r="GA628" i="23916"/>
  <c r="GK628" i="23916"/>
  <c r="FO630" i="23916"/>
  <c r="FU630" i="23916"/>
  <c r="GE630" i="23916"/>
  <c r="GK630" i="23916"/>
  <c r="FF636" i="23916"/>
  <c r="FG636" i="23916" s="1"/>
  <c r="FL692" i="23916"/>
  <c r="FL680" i="23916"/>
  <c r="FL649" i="23916"/>
  <c r="FL636" i="23916"/>
  <c r="GB649" i="23916"/>
  <c r="GB636" i="23916"/>
  <c r="GC636" i="23916" s="1"/>
  <c r="GB634" i="23916"/>
  <c r="AT631" i="23916"/>
  <c r="BB631" i="23916"/>
  <c r="BJ631" i="23916"/>
  <c r="BR631" i="23916"/>
  <c r="BZ631" i="23916"/>
  <c r="CH631" i="23916"/>
  <c r="CP631" i="23916"/>
  <c r="CX631" i="23916"/>
  <c r="DF631" i="23916"/>
  <c r="DN631" i="23916"/>
  <c r="DV631" i="23916"/>
  <c r="EJ631" i="23916"/>
  <c r="S635" i="23916"/>
  <c r="T634" i="23916"/>
  <c r="AI635" i="23916"/>
  <c r="AJ635" i="23916" s="1"/>
  <c r="AJ634" i="23916"/>
  <c r="AY635" i="23916"/>
  <c r="AZ634" i="23916"/>
  <c r="BO635" i="23916"/>
  <c r="BP635" i="23916" s="1"/>
  <c r="BP634" i="23916"/>
  <c r="CE635" i="23916"/>
  <c r="CF634" i="23916"/>
  <c r="CU635" i="23916"/>
  <c r="CV635" i="23916" s="1"/>
  <c r="CV634" i="23916"/>
  <c r="DK635" i="23916"/>
  <c r="DL634" i="23916"/>
  <c r="EA635" i="23916"/>
  <c r="EB635" i="23916" s="1"/>
  <c r="EB634" i="23916"/>
  <c r="DX640" i="23916"/>
  <c r="EJ645" i="23916"/>
  <c r="Z590" i="23916"/>
  <c r="AD590" i="23916"/>
  <c r="AH590" i="23916"/>
  <c r="AL590" i="23916"/>
  <c r="AP590" i="23916"/>
  <c r="AT590" i="23916"/>
  <c r="AX590" i="23916"/>
  <c r="BB590" i="23916"/>
  <c r="BF590" i="23916"/>
  <c r="BJ590" i="23916"/>
  <c r="BN590" i="23916"/>
  <c r="BR590" i="23916"/>
  <c r="BV590" i="23916"/>
  <c r="BZ590" i="23916"/>
  <c r="CD590" i="23916"/>
  <c r="CH590" i="23916"/>
  <c r="CP590" i="23916"/>
  <c r="CT590" i="23916"/>
  <c r="CX590" i="23916"/>
  <c r="DB590" i="23916"/>
  <c r="DF590" i="23916"/>
  <c r="DJ590" i="23916"/>
  <c r="DN590" i="23916"/>
  <c r="DR590" i="23916"/>
  <c r="DV590" i="23916"/>
  <c r="DZ590" i="23916"/>
  <c r="ED590" i="23916"/>
  <c r="EH590" i="23916"/>
  <c r="EL590" i="23916"/>
  <c r="EP590" i="23916"/>
  <c r="GT593" i="23916"/>
  <c r="BT593" i="23916"/>
  <c r="CT594" i="23916"/>
  <c r="DB594" i="23916"/>
  <c r="DJ594" i="23916"/>
  <c r="DR594" i="23916"/>
  <c r="EB594" i="23916"/>
  <c r="EJ594" i="23916"/>
  <c r="ER594" i="23916"/>
  <c r="CO596" i="23916"/>
  <c r="CP596" i="23916" s="1"/>
  <c r="CW596" i="23916"/>
  <c r="DE596" i="23916"/>
  <c r="DF596" i="23916" s="1"/>
  <c r="DM596" i="23916"/>
  <c r="DN596" i="23916" s="1"/>
  <c r="DU596" i="23916"/>
  <c r="DV596" i="23916" s="1"/>
  <c r="FZ599" i="23916"/>
  <c r="GD599" i="23916"/>
  <c r="GE599" i="23916" s="1"/>
  <c r="GH599" i="23916"/>
  <c r="GI599" i="23916" s="1"/>
  <c r="GL599" i="23916"/>
  <c r="GM599" i="23916" s="1"/>
  <c r="BI599" i="23916"/>
  <c r="CA598" i="23916"/>
  <c r="CB598" i="23916" s="1"/>
  <c r="CE598" i="23916"/>
  <c r="FH599" i="23916"/>
  <c r="FT599" i="23916"/>
  <c r="FU599" i="23916" s="1"/>
  <c r="FX599" i="23916"/>
  <c r="FY599" i="23916" s="1"/>
  <c r="BB601" i="23916"/>
  <c r="BN599" i="23916"/>
  <c r="BP599" i="23916"/>
  <c r="CB599" i="23916"/>
  <c r="CD599" i="23916"/>
  <c r="CT599" i="23916"/>
  <c r="DF599" i="23916"/>
  <c r="DV599" i="23916"/>
  <c r="EJ599" i="23916"/>
  <c r="ER599" i="23916"/>
  <c r="FR601" i="23916"/>
  <c r="EQ610" i="23916"/>
  <c r="FS610" i="23916"/>
  <c r="FW610" i="23916"/>
  <c r="GA610" i="23916"/>
  <c r="GE610" i="23916"/>
  <c r="GI609" i="23916"/>
  <c r="GM609" i="23916"/>
  <c r="GN722" i="23916"/>
  <c r="GK611" i="23916"/>
  <c r="GO611" i="23916"/>
  <c r="GC611" i="23916"/>
  <c r="FW628" i="23916"/>
  <c r="GM628" i="23916"/>
  <c r="FG629" i="23916"/>
  <c r="FK629" i="23916"/>
  <c r="FS629" i="23916"/>
  <c r="FW629" i="23916"/>
  <c r="GA629" i="23916"/>
  <c r="GE629" i="23916"/>
  <c r="GI629" i="23916"/>
  <c r="GM629" i="23916"/>
  <c r="FQ630" i="23916"/>
  <c r="GG630" i="23916"/>
  <c r="FL631" i="23916"/>
  <c r="FM631" i="23916" s="1"/>
  <c r="FH692" i="23916"/>
  <c r="FH680" i="23916"/>
  <c r="FH649" i="23916"/>
  <c r="FH636" i="23916"/>
  <c r="FI636" i="23916" s="1"/>
  <c r="FH634" i="23916"/>
  <c r="FM632" i="23916"/>
  <c r="FX649" i="23916"/>
  <c r="FX636" i="23916"/>
  <c r="FX634" i="23916"/>
  <c r="GC632" i="23916"/>
  <c r="GN636" i="23916"/>
  <c r="GN634" i="23916"/>
  <c r="ED631" i="23916"/>
  <c r="O635" i="23916"/>
  <c r="P635" i="23916" s="1"/>
  <c r="P634" i="23916"/>
  <c r="AE635" i="23916"/>
  <c r="AF635" i="23916" s="1"/>
  <c r="AF634" i="23916"/>
  <c r="AU635" i="23916"/>
  <c r="AV634" i="23916"/>
  <c r="BK635" i="23916"/>
  <c r="BL635" i="23916" s="1"/>
  <c r="BL634" i="23916"/>
  <c r="CA635" i="23916"/>
  <c r="CB634" i="23916"/>
  <c r="CQ635" i="23916"/>
  <c r="CR635" i="23916" s="1"/>
  <c r="CR634" i="23916"/>
  <c r="DG635" i="23916"/>
  <c r="DH634" i="23916"/>
  <c r="EM635" i="23916"/>
  <c r="EN635" i="23916" s="1"/>
  <c r="EN634" i="23916"/>
  <c r="FD635" i="23916"/>
  <c r="FE635" i="23916" s="1"/>
  <c r="FE634" i="23916"/>
  <c r="DY640" i="23916"/>
  <c r="CR649" i="23916"/>
  <c r="CQ650" i="23916"/>
  <c r="CZ649" i="23916"/>
  <c r="CY650" i="23916"/>
  <c r="DH649" i="23916"/>
  <c r="DG650" i="23916"/>
  <c r="DH650" i="23916" s="1"/>
  <c r="FK598" i="23916"/>
  <c r="GI610" i="23916"/>
  <c r="EQ636" i="23916"/>
  <c r="ER636" i="23916" s="1"/>
  <c r="EQ634" i="23916"/>
  <c r="ER632" i="23916"/>
  <c r="FH631" i="23916"/>
  <c r="FO636" i="23916"/>
  <c r="FT649" i="23916"/>
  <c r="FT636" i="23916"/>
  <c r="FT634" i="23916"/>
  <c r="GJ636" i="23916"/>
  <c r="GJ634" i="23916"/>
  <c r="K635" i="23916"/>
  <c r="L635" i="23916" s="1"/>
  <c r="L634" i="23916"/>
  <c r="AA635" i="23916"/>
  <c r="AB635" i="23916" s="1"/>
  <c r="AB634" i="23916"/>
  <c r="AQ635" i="23916"/>
  <c r="AR634" i="23916"/>
  <c r="BG635" i="23916"/>
  <c r="BH635" i="23916" s="1"/>
  <c r="BH634" i="23916"/>
  <c r="BW635" i="23916"/>
  <c r="BX634" i="23916"/>
  <c r="CM635" i="23916"/>
  <c r="CN635" i="23916" s="1"/>
  <c r="CN634" i="23916"/>
  <c r="DC635" i="23916"/>
  <c r="DD634" i="23916"/>
  <c r="DS635" i="23916"/>
  <c r="DT635" i="23916" s="1"/>
  <c r="DT634" i="23916"/>
  <c r="EI635" i="23916"/>
  <c r="EJ634" i="23916"/>
  <c r="EK640" i="23916"/>
  <c r="FQ645" i="23916"/>
  <c r="EU588" i="23916"/>
  <c r="EF594" i="23916"/>
  <c r="EN594" i="23916"/>
  <c r="BD601" i="23916"/>
  <c r="BL601" i="23916"/>
  <c r="FU610" i="23916"/>
  <c r="FY610" i="23916"/>
  <c r="GG610" i="23916"/>
  <c r="GK609" i="23916"/>
  <c r="GO609" i="23916"/>
  <c r="GL722" i="23916"/>
  <c r="GN610" i="23916"/>
  <c r="GM611" i="23916"/>
  <c r="EM722" i="23916"/>
  <c r="EO722" i="23916"/>
  <c r="CP611" i="23916"/>
  <c r="CX611" i="23916"/>
  <c r="GC609" i="23916"/>
  <c r="CO615" i="23916"/>
  <c r="ER627" i="23916"/>
  <c r="ET629" i="23916"/>
  <c r="EU630" i="23916"/>
  <c r="EQ631" i="23916"/>
  <c r="ER631" i="23916" s="1"/>
  <c r="ES632" i="23916"/>
  <c r="FT631" i="23916"/>
  <c r="GB631" i="23916"/>
  <c r="GC631" i="23916" s="1"/>
  <c r="GJ631" i="23916"/>
  <c r="FJ636" i="23916"/>
  <c r="FP649" i="23916"/>
  <c r="FP636" i="23916"/>
  <c r="FQ636" i="23916" s="1"/>
  <c r="FU632" i="23916"/>
  <c r="GF649" i="23916"/>
  <c r="GF636" i="23916"/>
  <c r="GG636" i="23916" s="1"/>
  <c r="GF634" i="23916"/>
  <c r="GK632" i="23916"/>
  <c r="L631" i="23916"/>
  <c r="T631" i="23916"/>
  <c r="AB631" i="23916"/>
  <c r="AJ631" i="23916"/>
  <c r="AR631" i="23916"/>
  <c r="AZ631" i="23916"/>
  <c r="BH631" i="23916"/>
  <c r="BP631" i="23916"/>
  <c r="BX631" i="23916"/>
  <c r="CF631" i="23916"/>
  <c r="CN631" i="23916"/>
  <c r="CV631" i="23916"/>
  <c r="DD631" i="23916"/>
  <c r="DL631" i="23916"/>
  <c r="DT631" i="23916"/>
  <c r="EH631" i="23916"/>
  <c r="W635" i="23916"/>
  <c r="X635" i="23916" s="1"/>
  <c r="X634" i="23916"/>
  <c r="AM635" i="23916"/>
  <c r="AN634" i="23916"/>
  <c r="BC635" i="23916"/>
  <c r="BD635" i="23916" s="1"/>
  <c r="BD634" i="23916"/>
  <c r="BS635" i="23916"/>
  <c r="BT634" i="23916"/>
  <c r="CI635" i="23916"/>
  <c r="CJ635" i="23916" s="1"/>
  <c r="CJ634" i="23916"/>
  <c r="CY635" i="23916"/>
  <c r="CZ634" i="23916"/>
  <c r="DO635" i="23916"/>
  <c r="DP635" i="23916" s="1"/>
  <c r="DP634" i="23916"/>
  <c r="EE635" i="23916"/>
  <c r="EF635" i="23916" s="1"/>
  <c r="EF634" i="23916"/>
  <c r="CN649" i="23916"/>
  <c r="CM650" i="23916"/>
  <c r="CN650" i="23916" s="1"/>
  <c r="CV649" i="23916"/>
  <c r="CU650" i="23916"/>
  <c r="DD649" i="23916"/>
  <c r="DC650" i="23916"/>
  <c r="DD650" i="23916" s="1"/>
  <c r="DL649" i="23916"/>
  <c r="DK650" i="23916"/>
  <c r="EW644" i="23916"/>
  <c r="EV644" i="23916"/>
  <c r="AH650" i="23916"/>
  <c r="AP650" i="23916"/>
  <c r="AX650" i="23916"/>
  <c r="BF650" i="23916"/>
  <c r="BN650" i="23916"/>
  <c r="BV650" i="23916"/>
  <c r="CD650" i="23916"/>
  <c r="CL650" i="23916"/>
  <c r="FE633" i="23916"/>
  <c r="FE636" i="23916"/>
  <c r="BX639" i="23916"/>
  <c r="CB639" i="23916"/>
  <c r="AS640" i="23916"/>
  <c r="AT640" i="23916" s="1"/>
  <c r="AW640" i="23916"/>
  <c r="AX640" i="23916" s="1"/>
  <c r="BA640" i="23916"/>
  <c r="BB640" i="23916" s="1"/>
  <c r="BE640" i="23916"/>
  <c r="BI640" i="23916"/>
  <c r="BM640" i="23916"/>
  <c r="BQ640" i="23916"/>
  <c r="BR640" i="23916" s="1"/>
  <c r="BU640" i="23916"/>
  <c r="EO640" i="23916"/>
  <c r="FI643" i="23916"/>
  <c r="FQ643" i="23916"/>
  <c r="FU643" i="23916"/>
  <c r="FF686" i="23916"/>
  <c r="FG686" i="23916" s="1"/>
  <c r="FF689" i="23916"/>
  <c r="FG689" i="23916" s="1"/>
  <c r="FF688" i="23916"/>
  <c r="FG688" i="23916" s="1"/>
  <c r="FF687" i="23916"/>
  <c r="FG687" i="23916" s="1"/>
  <c r="FJ686" i="23916"/>
  <c r="FJ689" i="23916"/>
  <c r="FJ688" i="23916"/>
  <c r="FK688" i="23916" s="1"/>
  <c r="FJ687" i="23916"/>
  <c r="FK687" i="23916" s="1"/>
  <c r="FJ676" i="23916"/>
  <c r="FJ674" i="23916"/>
  <c r="FN686" i="23916"/>
  <c r="FN689" i="23916"/>
  <c r="FO689" i="23916" s="1"/>
  <c r="FN688" i="23916"/>
  <c r="FO688" i="23916" s="1"/>
  <c r="FN687" i="23916"/>
  <c r="FN677" i="23916"/>
  <c r="FN672" i="23916"/>
  <c r="FR686" i="23916"/>
  <c r="FS686" i="23916" s="1"/>
  <c r="FR689" i="23916"/>
  <c r="FS689" i="23916" s="1"/>
  <c r="FR688" i="23916"/>
  <c r="FR687" i="23916"/>
  <c r="FR673" i="23916"/>
  <c r="FV686" i="23916"/>
  <c r="FW686" i="23916" s="1"/>
  <c r="FV689" i="23916"/>
  <c r="FV688" i="23916"/>
  <c r="FV687" i="23916"/>
  <c r="FW687" i="23916" s="1"/>
  <c r="CN644" i="23916"/>
  <c r="CR644" i="23916"/>
  <c r="CV644" i="23916"/>
  <c r="CZ644" i="23916"/>
  <c r="DD644" i="23916"/>
  <c r="DH644" i="23916"/>
  <c r="DL644" i="23916"/>
  <c r="DO687" i="23916"/>
  <c r="DO686" i="23916"/>
  <c r="DO689" i="23916"/>
  <c r="DO688" i="23916"/>
  <c r="DO677" i="23916"/>
  <c r="DP677" i="23916" s="1"/>
  <c r="DO672" i="23916"/>
  <c r="DP644" i="23916"/>
  <c r="DO645" i="23916"/>
  <c r="DO649" i="23916"/>
  <c r="DU689" i="23916"/>
  <c r="DV689" i="23916" s="1"/>
  <c r="DU688" i="23916"/>
  <c r="DU687" i="23916"/>
  <c r="DU686" i="23916"/>
  <c r="DU676" i="23916"/>
  <c r="DU673" i="23916"/>
  <c r="DU672" i="23916"/>
  <c r="EC645" i="23916"/>
  <c r="ED645" i="23916" s="1"/>
  <c r="FN645" i="23916"/>
  <c r="FO645" i="23916" s="1"/>
  <c r="GO646" i="23916"/>
  <c r="DT644" i="23916"/>
  <c r="EL644" i="23916"/>
  <c r="FM647" i="23916"/>
  <c r="FW647" i="23916"/>
  <c r="GC647" i="23916"/>
  <c r="GM647" i="23916"/>
  <c r="GR647" i="23916"/>
  <c r="T648" i="23916"/>
  <c r="AB648" i="23916"/>
  <c r="AJ648" i="23916"/>
  <c r="AR648" i="23916"/>
  <c r="AZ648" i="23916"/>
  <c r="BH648" i="23916"/>
  <c r="BP648" i="23916"/>
  <c r="BX648" i="23916"/>
  <c r="CF648" i="23916"/>
  <c r="CM648" i="23916"/>
  <c r="CN648" i="23916" s="1"/>
  <c r="CU648" i="23916"/>
  <c r="CV648" i="23916" s="1"/>
  <c r="DC648" i="23916"/>
  <c r="DD648" i="23916" s="1"/>
  <c r="DK648" i="23916"/>
  <c r="DL648" i="23916" s="1"/>
  <c r="EA648" i="23916"/>
  <c r="EB648" i="23916" s="1"/>
  <c r="L649" i="23916"/>
  <c r="K650" i="23916"/>
  <c r="L650" i="23916" s="1"/>
  <c r="T649" i="23916"/>
  <c r="S650" i="23916"/>
  <c r="AB649" i="23916"/>
  <c r="AA650" i="23916"/>
  <c r="AB650" i="23916" s="1"/>
  <c r="AJ649" i="23916"/>
  <c r="AI650" i="23916"/>
  <c r="AR649" i="23916"/>
  <c r="AQ650" i="23916"/>
  <c r="AR650" i="23916" s="1"/>
  <c r="AZ649" i="23916"/>
  <c r="AY650" i="23916"/>
  <c r="BH649" i="23916"/>
  <c r="BG650" i="23916"/>
  <c r="BH650" i="23916" s="1"/>
  <c r="BP649" i="23916"/>
  <c r="BO650" i="23916"/>
  <c r="BX649" i="23916"/>
  <c r="BW650" i="23916"/>
  <c r="BX650" i="23916" s="1"/>
  <c r="CF649" i="23916"/>
  <c r="CE650" i="23916"/>
  <c r="EG650" i="23916"/>
  <c r="FN648" i="23916"/>
  <c r="ET656" i="23916"/>
  <c r="EU656" i="23916"/>
  <c r="CA695" i="23916"/>
  <c r="CB695" i="23916" s="1"/>
  <c r="CA694" i="23916"/>
  <c r="CA693" i="23916"/>
  <c r="CA662" i="23916"/>
  <c r="CB659" i="23916"/>
  <c r="CI679" i="23916"/>
  <c r="CI678" i="23916"/>
  <c r="CI677" i="23916"/>
  <c r="CI676" i="23916"/>
  <c r="CI675" i="23916"/>
  <c r="CI674" i="23916"/>
  <c r="CI673" i="23916"/>
  <c r="CI672" i="23916"/>
  <c r="CI660" i="23916"/>
  <c r="CQ679" i="23916"/>
  <c r="CR679" i="23916" s="1"/>
  <c r="CQ675" i="23916"/>
  <c r="CR675" i="23916" s="1"/>
  <c r="CR657" i="23916"/>
  <c r="CQ660" i="23916"/>
  <c r="CY679" i="23916"/>
  <c r="CY678" i="23916"/>
  <c r="CY675" i="23916"/>
  <c r="CZ675" i="23916" s="1"/>
  <c r="CZ657" i="23916"/>
  <c r="CY660" i="23916"/>
  <c r="DG679" i="23916"/>
  <c r="DG678" i="23916"/>
  <c r="DH678" i="23916" s="1"/>
  <c r="DG681" i="23916"/>
  <c r="DG675" i="23916"/>
  <c r="DH657" i="23916"/>
  <c r="DG660" i="23916"/>
  <c r="DM695" i="23916"/>
  <c r="DM694" i="23916"/>
  <c r="DM693" i="23916"/>
  <c r="DM662" i="23916"/>
  <c r="DU695" i="23916"/>
  <c r="DU694" i="23916"/>
  <c r="DU693" i="23916"/>
  <c r="DV693" i="23916" s="1"/>
  <c r="DV659" i="23916"/>
  <c r="EA681" i="23916"/>
  <c r="EA679" i="23916"/>
  <c r="EB679" i="23916" s="1"/>
  <c r="EA678" i="23916"/>
  <c r="EB678" i="23916" s="1"/>
  <c r="EA675" i="23916"/>
  <c r="EB657" i="23916"/>
  <c r="EA660" i="23916"/>
  <c r="EI679" i="23916"/>
  <c r="EJ679" i="23916" s="1"/>
  <c r="EI677" i="23916"/>
  <c r="EI681" i="23916"/>
  <c r="EJ681" i="23916" s="1"/>
  <c r="EI676" i="23916"/>
  <c r="EJ676" i="23916" s="1"/>
  <c r="EI672" i="23916"/>
  <c r="EI675" i="23916"/>
  <c r="EI674" i="23916"/>
  <c r="EJ674" i="23916" s="1"/>
  <c r="EI673" i="23916"/>
  <c r="EJ673" i="23916" s="1"/>
  <c r="EJ657" i="23916"/>
  <c r="EI660" i="23916"/>
  <c r="AK681" i="23916"/>
  <c r="AK677" i="23916"/>
  <c r="AK673" i="23916"/>
  <c r="AK672" i="23916"/>
  <c r="AL672" i="23916" s="1"/>
  <c r="AK676" i="23916"/>
  <c r="AL657" i="23916"/>
  <c r="AS681" i="23916"/>
  <c r="AT681" i="23916" s="1"/>
  <c r="AS677" i="23916"/>
  <c r="AT677" i="23916" s="1"/>
  <c r="AS676" i="23916"/>
  <c r="AS679" i="23916"/>
  <c r="AS673" i="23916"/>
  <c r="AS672" i="23916"/>
  <c r="AS663" i="23916"/>
  <c r="AT657" i="23916"/>
  <c r="BA681" i="23916"/>
  <c r="BA677" i="23916"/>
  <c r="BB677" i="23916" s="1"/>
  <c r="BA676" i="23916"/>
  <c r="BB676" i="23916" s="1"/>
  <c r="BA673" i="23916"/>
  <c r="BA672" i="23916"/>
  <c r="BB672" i="23916" s="1"/>
  <c r="BJ657" i="23916"/>
  <c r="BB657" i="23916"/>
  <c r="V663" i="23916"/>
  <c r="Z663" i="23916"/>
  <c r="AD663" i="23916"/>
  <c r="M634" i="23916"/>
  <c r="Q634" i="23916"/>
  <c r="U634" i="23916"/>
  <c r="Y634" i="23916"/>
  <c r="AC634" i="23916"/>
  <c r="AG634" i="23916"/>
  <c r="AK634" i="23916"/>
  <c r="AO634" i="23916"/>
  <c r="AS634" i="23916"/>
  <c r="AW634" i="23916"/>
  <c r="BA634" i="23916"/>
  <c r="BE634" i="23916"/>
  <c r="BI634" i="23916"/>
  <c r="BM634" i="23916"/>
  <c r="BQ634" i="23916"/>
  <c r="BU634" i="23916"/>
  <c r="BY634" i="23916"/>
  <c r="CC634" i="23916"/>
  <c r="CG634" i="23916"/>
  <c r="CK634" i="23916"/>
  <c r="CO634" i="23916"/>
  <c r="CS634" i="23916"/>
  <c r="CW634" i="23916"/>
  <c r="DA634" i="23916"/>
  <c r="DE634" i="23916"/>
  <c r="DI634" i="23916"/>
  <c r="DM634" i="23916"/>
  <c r="DQ634" i="23916"/>
  <c r="DU634" i="23916"/>
  <c r="DY634" i="23916"/>
  <c r="EC634" i="23916"/>
  <c r="EG634" i="23916"/>
  <c r="EK634" i="23916"/>
  <c r="EO634" i="23916"/>
  <c r="V690" i="23916"/>
  <c r="Z690" i="23916"/>
  <c r="AD690" i="23916"/>
  <c r="AH690" i="23916"/>
  <c r="AL690" i="23916"/>
  <c r="AP690" i="23916"/>
  <c r="AT690" i="23916"/>
  <c r="AX690" i="23916"/>
  <c r="BB690" i="23916"/>
  <c r="BF690" i="23916"/>
  <c r="BJ690" i="23916"/>
  <c r="BN690" i="23916"/>
  <c r="BR690" i="23916"/>
  <c r="BV690" i="23916"/>
  <c r="FF634" i="23916"/>
  <c r="FJ634" i="23916"/>
  <c r="FN634" i="23916"/>
  <c r="FR634" i="23916"/>
  <c r="FV634" i="23916"/>
  <c r="FZ634" i="23916"/>
  <c r="GD634" i="23916"/>
  <c r="GH634" i="23916"/>
  <c r="GL634" i="23916"/>
  <c r="FR636" i="23916"/>
  <c r="FV636" i="23916"/>
  <c r="FW636" i="23916" s="1"/>
  <c r="FZ636" i="23916"/>
  <c r="GH636" i="23916"/>
  <c r="GL636" i="23916"/>
  <c r="GM636" i="23916" s="1"/>
  <c r="CL639" i="23916"/>
  <c r="FW685" i="23916"/>
  <c r="GH685" i="23916"/>
  <c r="GH648" i="23916"/>
  <c r="GL685" i="23916"/>
  <c r="GL648" i="23916"/>
  <c r="GM648" i="23916" s="1"/>
  <c r="GF688" i="23916"/>
  <c r="GF687" i="23916"/>
  <c r="GF686" i="23916"/>
  <c r="GF689" i="23916"/>
  <c r="GF676" i="23916"/>
  <c r="GF672" i="23916"/>
  <c r="GN686" i="23916"/>
  <c r="GO686" i="23916" s="1"/>
  <c r="GN689" i="23916"/>
  <c r="GO689" i="23916" s="1"/>
  <c r="GH645" i="23916"/>
  <c r="GL645" i="23916"/>
  <c r="CO689" i="23916"/>
  <c r="CO688" i="23916"/>
  <c r="CP688" i="23916" s="1"/>
  <c r="CO687" i="23916"/>
  <c r="CO686" i="23916"/>
  <c r="CO676" i="23916"/>
  <c r="CO677" i="23916"/>
  <c r="CO672" i="23916"/>
  <c r="CS689" i="23916"/>
  <c r="CT689" i="23916" s="1"/>
  <c r="CS688" i="23916"/>
  <c r="CS687" i="23916"/>
  <c r="CS686" i="23916"/>
  <c r="CT686" i="23916" s="1"/>
  <c r="CS677" i="23916"/>
  <c r="CS672" i="23916"/>
  <c r="CW689" i="23916"/>
  <c r="CW688" i="23916"/>
  <c r="CW687" i="23916"/>
  <c r="CX687" i="23916" s="1"/>
  <c r="CW686" i="23916"/>
  <c r="CX686" i="23916" s="1"/>
  <c r="DA689" i="23916"/>
  <c r="DA688" i="23916"/>
  <c r="DB688" i="23916" s="1"/>
  <c r="DA687" i="23916"/>
  <c r="DB687" i="23916" s="1"/>
  <c r="DA686" i="23916"/>
  <c r="DA677" i="23916"/>
  <c r="DA674" i="23916"/>
  <c r="DE689" i="23916"/>
  <c r="DF689" i="23916" s="1"/>
  <c r="DE688" i="23916"/>
  <c r="DF688" i="23916" s="1"/>
  <c r="DE687" i="23916"/>
  <c r="DE686" i="23916"/>
  <c r="DE676" i="23916"/>
  <c r="DE677" i="23916"/>
  <c r="DE672" i="23916"/>
  <c r="DI689" i="23916"/>
  <c r="DJ689" i="23916" s="1"/>
  <c r="DI688" i="23916"/>
  <c r="DI687" i="23916"/>
  <c r="DI686" i="23916"/>
  <c r="DJ686" i="23916" s="1"/>
  <c r="DI677" i="23916"/>
  <c r="DJ677" i="23916" s="1"/>
  <c r="DI672" i="23916"/>
  <c r="DM689" i="23916"/>
  <c r="DM688" i="23916"/>
  <c r="DM687" i="23916"/>
  <c r="DN687" i="23916" s="1"/>
  <c r="DM686" i="23916"/>
  <c r="DN686" i="23916" s="1"/>
  <c r="CO645" i="23916"/>
  <c r="CP645" i="23916" s="1"/>
  <c r="DE645" i="23916"/>
  <c r="DQ689" i="23916"/>
  <c r="DR689" i="23916" s="1"/>
  <c r="DQ688" i="23916"/>
  <c r="DR688" i="23916" s="1"/>
  <c r="DQ687" i="23916"/>
  <c r="DR687" i="23916" s="1"/>
  <c r="DQ686" i="23916"/>
  <c r="DR686" i="23916" s="1"/>
  <c r="DQ676" i="23916"/>
  <c r="DQ673" i="23916"/>
  <c r="DQ672" i="23916"/>
  <c r="DR672" i="23916" s="1"/>
  <c r="EE687" i="23916"/>
  <c r="EE686" i="23916"/>
  <c r="EE689" i="23916"/>
  <c r="EE688" i="23916"/>
  <c r="EE676" i="23916"/>
  <c r="EE674" i="23916"/>
  <c r="EE645" i="23916"/>
  <c r="EF645" i="23916" s="1"/>
  <c r="EE649" i="23916"/>
  <c r="EU643" i="23916"/>
  <c r="FJ645" i="23916"/>
  <c r="FK645" i="23916" s="1"/>
  <c r="FX685" i="23916"/>
  <c r="FY685" i="23916" s="1"/>
  <c r="FX648" i="23916"/>
  <c r="FZ685" i="23916"/>
  <c r="GA685" i="23916" s="1"/>
  <c r="FZ648" i="23916"/>
  <c r="GA648" i="23916" s="1"/>
  <c r="GB685" i="23916"/>
  <c r="GD685" i="23916"/>
  <c r="GE685" i="23916" s="1"/>
  <c r="GD648" i="23916"/>
  <c r="GS646" i="23916"/>
  <c r="GQ646" i="23916"/>
  <c r="DV644" i="23916"/>
  <c r="EN644" i="23916"/>
  <c r="ER644" i="23916"/>
  <c r="ET643" i="23916"/>
  <c r="AD648" i="23916"/>
  <c r="AL648" i="23916"/>
  <c r="AT648" i="23916"/>
  <c r="BB648" i="23916"/>
  <c r="BJ648" i="23916"/>
  <c r="BR648" i="23916"/>
  <c r="BZ648" i="23916"/>
  <c r="CH648" i="23916"/>
  <c r="CO648" i="23916"/>
  <c r="CP648" i="23916" s="1"/>
  <c r="CW648" i="23916"/>
  <c r="CX648" i="23916" s="1"/>
  <c r="DE648" i="23916"/>
  <c r="DM648" i="23916"/>
  <c r="DU648" i="23916"/>
  <c r="DV648" i="23916" s="1"/>
  <c r="EC648" i="23916"/>
  <c r="ED648" i="23916" s="1"/>
  <c r="ES648" i="23916"/>
  <c r="ET648" i="23916" s="1"/>
  <c r="V649" i="23916"/>
  <c r="AD649" i="23916"/>
  <c r="AL649" i="23916"/>
  <c r="AT649" i="23916"/>
  <c r="BB649" i="23916"/>
  <c r="BJ649" i="23916"/>
  <c r="BR649" i="23916"/>
  <c r="BZ649" i="23916"/>
  <c r="CH649" i="23916"/>
  <c r="CO649" i="23916"/>
  <c r="CW649" i="23916"/>
  <c r="DE649" i="23916"/>
  <c r="DM649" i="23916"/>
  <c r="EC649" i="23916"/>
  <c r="M650" i="23916"/>
  <c r="N650" i="23916" s="1"/>
  <c r="AC650" i="23916"/>
  <c r="AD650" i="23916" s="1"/>
  <c r="AS650" i="23916"/>
  <c r="AT650" i="23916" s="1"/>
  <c r="BI650" i="23916"/>
  <c r="BY650" i="23916"/>
  <c r="EK650" i="23916"/>
  <c r="FR648" i="23916"/>
  <c r="BW679" i="23916"/>
  <c r="BW678" i="23916"/>
  <c r="BW677" i="23916"/>
  <c r="BX677" i="23916" s="1"/>
  <c r="BW676" i="23916"/>
  <c r="BW672" i="23916"/>
  <c r="BW675" i="23916"/>
  <c r="BX675" i="23916" s="1"/>
  <c r="BW674" i="23916"/>
  <c r="BX674" i="23916" s="1"/>
  <c r="BW673" i="23916"/>
  <c r="BX657" i="23916"/>
  <c r="BW660" i="23916"/>
  <c r="CC695" i="23916"/>
  <c r="CD695" i="23916" s="1"/>
  <c r="CC694" i="23916"/>
  <c r="CC693" i="23916"/>
  <c r="CC662" i="23916"/>
  <c r="CD662" i="23916" s="1"/>
  <c r="CD659" i="23916"/>
  <c r="FX659" i="23916"/>
  <c r="CK695" i="23916"/>
  <c r="CK694" i="23916"/>
  <c r="CL694" i="23916" s="1"/>
  <c r="CK693" i="23916"/>
  <c r="CL693" i="23916" s="1"/>
  <c r="CL659" i="23916"/>
  <c r="FZ659" i="23916"/>
  <c r="CK662" i="23916"/>
  <c r="CL662" i="23916" s="1"/>
  <c r="CS695" i="23916"/>
  <c r="CT695" i="23916" s="1"/>
  <c r="CS694" i="23916"/>
  <c r="CS693" i="23916"/>
  <c r="CT659" i="23916"/>
  <c r="GB659" i="23916"/>
  <c r="DA695" i="23916"/>
  <c r="DA694" i="23916"/>
  <c r="DB694" i="23916" s="1"/>
  <c r="DA693" i="23916"/>
  <c r="DB693" i="23916" s="1"/>
  <c r="DB659" i="23916"/>
  <c r="GD659" i="23916"/>
  <c r="DA662" i="23916"/>
  <c r="DI695" i="23916"/>
  <c r="DJ695" i="23916" s="1"/>
  <c r="DI694" i="23916"/>
  <c r="DI693" i="23916"/>
  <c r="DJ659" i="23916"/>
  <c r="GF659" i="23916"/>
  <c r="BV662" i="23916"/>
  <c r="FF692" i="23916"/>
  <c r="FG692" i="23916" s="1"/>
  <c r="FF680" i="23916"/>
  <c r="FG680" i="23916" s="1"/>
  <c r="FF649" i="23916"/>
  <c r="FJ692" i="23916"/>
  <c r="FJ680" i="23916"/>
  <c r="FK680" i="23916" s="1"/>
  <c r="FJ649" i="23916"/>
  <c r="FN692" i="23916"/>
  <c r="FO692" i="23916" s="1"/>
  <c r="FN680" i="23916"/>
  <c r="FO680" i="23916" s="1"/>
  <c r="FN649" i="23916"/>
  <c r="FR650" i="23916"/>
  <c r="FV650" i="23916"/>
  <c r="GA649" i="23916"/>
  <c r="FZ650" i="23916"/>
  <c r="GD649" i="23916"/>
  <c r="GI649" i="23916"/>
  <c r="GH650" i="23916"/>
  <c r="GL650" i="23916"/>
  <c r="N636" i="23916"/>
  <c r="R636" i="23916"/>
  <c r="V636" i="23916"/>
  <c r="Z636" i="23916"/>
  <c r="AD636" i="23916"/>
  <c r="AH636" i="23916"/>
  <c r="AL636" i="23916"/>
  <c r="AP636" i="23916"/>
  <c r="AT636" i="23916"/>
  <c r="AX636" i="23916"/>
  <c r="BB636" i="23916"/>
  <c r="BF636" i="23916"/>
  <c r="BJ636" i="23916"/>
  <c r="BN636" i="23916"/>
  <c r="BR636" i="23916"/>
  <c r="BV636" i="23916"/>
  <c r="BF639" i="23916"/>
  <c r="BV639" i="23916"/>
  <c r="BZ639" i="23916"/>
  <c r="CQ640" i="23916"/>
  <c r="CR640" i="23916" s="1"/>
  <c r="CY640" i="23916"/>
  <c r="DC640" i="23916"/>
  <c r="DG640" i="23916"/>
  <c r="DH640" i="23916" s="1"/>
  <c r="DS640" i="23916"/>
  <c r="EA640" i="23916"/>
  <c r="EB640" i="23916" s="1"/>
  <c r="EI640" i="23916"/>
  <c r="EM640" i="23916"/>
  <c r="FG643" i="23916"/>
  <c r="FK643" i="23916"/>
  <c r="FO643" i="23916"/>
  <c r="FS643" i="23916"/>
  <c r="FW643" i="23916"/>
  <c r="FH688" i="23916"/>
  <c r="FI688" i="23916" s="1"/>
  <c r="FH687" i="23916"/>
  <c r="FH686" i="23916"/>
  <c r="FH689" i="23916"/>
  <c r="FI689" i="23916" s="1"/>
  <c r="FH672" i="23916"/>
  <c r="FL688" i="23916"/>
  <c r="FL687" i="23916"/>
  <c r="FL686" i="23916"/>
  <c r="FM686" i="23916" s="1"/>
  <c r="FL689" i="23916"/>
  <c r="FM689" i="23916" s="1"/>
  <c r="FP688" i="23916"/>
  <c r="FQ688" i="23916" s="1"/>
  <c r="FP687" i="23916"/>
  <c r="FQ687" i="23916" s="1"/>
  <c r="FP686" i="23916"/>
  <c r="FP689" i="23916"/>
  <c r="FT688" i="23916"/>
  <c r="FU688" i="23916" s="1"/>
  <c r="FT687" i="23916"/>
  <c r="FU687" i="23916" s="1"/>
  <c r="FT686" i="23916"/>
  <c r="FT689" i="23916"/>
  <c r="FT677" i="23916"/>
  <c r="FT676" i="23916"/>
  <c r="FT674" i="23916"/>
  <c r="GI643" i="23916"/>
  <c r="GM643" i="23916"/>
  <c r="GG644" i="23916"/>
  <c r="GK644" i="23916"/>
  <c r="GO644" i="23916"/>
  <c r="CP644" i="23916"/>
  <c r="CT644" i="23916"/>
  <c r="CX644" i="23916"/>
  <c r="DB644" i="23916"/>
  <c r="DF644" i="23916"/>
  <c r="DJ644" i="23916"/>
  <c r="DW689" i="23916"/>
  <c r="DW688" i="23916"/>
  <c r="DW687" i="23916"/>
  <c r="DW686" i="23916"/>
  <c r="DW649" i="23916"/>
  <c r="DW650" i="23916" s="1"/>
  <c r="DA645" i="23916"/>
  <c r="DB645" i="23916" s="1"/>
  <c r="DQ645" i="23916"/>
  <c r="DR645" i="23916" s="1"/>
  <c r="EA689" i="23916"/>
  <c r="EB689" i="23916" s="1"/>
  <c r="EA687" i="23916"/>
  <c r="EA686" i="23916"/>
  <c r="EA688" i="23916"/>
  <c r="EB688" i="23916" s="1"/>
  <c r="EA677" i="23916"/>
  <c r="EB677" i="23916" s="1"/>
  <c r="EA676" i="23916"/>
  <c r="EA674" i="23916"/>
  <c r="EA673" i="23916"/>
  <c r="EB673" i="23916" s="1"/>
  <c r="EA672" i="23916"/>
  <c r="EA645" i="23916"/>
  <c r="EA649" i="23916"/>
  <c r="FF645" i="23916"/>
  <c r="FG645" i="23916" s="1"/>
  <c r="FV645" i="23916"/>
  <c r="FW645" i="23916" s="1"/>
  <c r="GA643" i="23916"/>
  <c r="FX688" i="23916"/>
  <c r="FY688" i="23916" s="1"/>
  <c r="FX687" i="23916"/>
  <c r="FY687" i="23916" s="1"/>
  <c r="FX686" i="23916"/>
  <c r="FX689" i="23916"/>
  <c r="FY689" i="23916" s="1"/>
  <c r="FX673" i="23916"/>
  <c r="FY644" i="23916"/>
  <c r="FZ686" i="23916"/>
  <c r="GA686" i="23916" s="1"/>
  <c r="FZ689" i="23916"/>
  <c r="GA689" i="23916" s="1"/>
  <c r="FZ688" i="23916"/>
  <c r="GA688" i="23916" s="1"/>
  <c r="FZ687" i="23916"/>
  <c r="GA687" i="23916" s="1"/>
  <c r="FZ676" i="23916"/>
  <c r="FZ673" i="23916"/>
  <c r="GA673" i="23916" s="1"/>
  <c r="GB644" i="23916"/>
  <c r="GB648" i="23916" s="1"/>
  <c r="GC648" i="23916" s="1"/>
  <c r="GD644" i="23916"/>
  <c r="ET644" i="23916"/>
  <c r="X648" i="23916"/>
  <c r="AF648" i="23916"/>
  <c r="AN648" i="23916"/>
  <c r="AV648" i="23916"/>
  <c r="BD648" i="23916"/>
  <c r="BL648" i="23916"/>
  <c r="BT648" i="23916"/>
  <c r="CB648" i="23916"/>
  <c r="CJ648" i="23916"/>
  <c r="CQ648" i="23916"/>
  <c r="CR648" i="23916" s="1"/>
  <c r="CY648" i="23916"/>
  <c r="CZ648" i="23916" s="1"/>
  <c r="DG648" i="23916"/>
  <c r="DH648" i="23916" s="1"/>
  <c r="DO648" i="23916"/>
  <c r="DP648" i="23916" s="1"/>
  <c r="DW648" i="23916"/>
  <c r="EE648" i="23916"/>
  <c r="EF648" i="23916" s="1"/>
  <c r="EN648" i="23916"/>
  <c r="P649" i="23916"/>
  <c r="O650" i="23916"/>
  <c r="P650" i="23916" s="1"/>
  <c r="X649" i="23916"/>
  <c r="W650" i="23916"/>
  <c r="X650" i="23916" s="1"/>
  <c r="AF649" i="23916"/>
  <c r="AE650" i="23916"/>
  <c r="AN649" i="23916"/>
  <c r="AM650" i="23916"/>
  <c r="AN650" i="23916" s="1"/>
  <c r="AV649" i="23916"/>
  <c r="AU650" i="23916"/>
  <c r="BD649" i="23916"/>
  <c r="BC650" i="23916"/>
  <c r="BD650" i="23916" s="1"/>
  <c r="BL649" i="23916"/>
  <c r="BK650" i="23916"/>
  <c r="BT649" i="23916"/>
  <c r="BS650" i="23916"/>
  <c r="BT650" i="23916" s="1"/>
  <c r="CB649" i="23916"/>
  <c r="CA650" i="23916"/>
  <c r="CJ649" i="23916"/>
  <c r="CI650" i="23916"/>
  <c r="CJ650" i="23916" s="1"/>
  <c r="DQ649" i="23916"/>
  <c r="EP649" i="23916"/>
  <c r="Q650" i="23916"/>
  <c r="R650" i="23916" s="1"/>
  <c r="DY650" i="23916"/>
  <c r="EO650" i="23916"/>
  <c r="EP650" i="23916" s="1"/>
  <c r="FF648" i="23916"/>
  <c r="FG648" i="23916" s="1"/>
  <c r="FV648" i="23916"/>
  <c r="FS656" i="23916"/>
  <c r="AG681" i="23916"/>
  <c r="AG677" i="23916"/>
  <c r="AH677" i="23916" s="1"/>
  <c r="AG673" i="23916"/>
  <c r="AG676" i="23916"/>
  <c r="AG672" i="23916"/>
  <c r="AG663" i="23916"/>
  <c r="AH663" i="23916" s="1"/>
  <c r="AH657" i="23916"/>
  <c r="AO681" i="23916"/>
  <c r="AP681" i="23916" s="1"/>
  <c r="AO677" i="23916"/>
  <c r="AO676" i="23916"/>
  <c r="AP676" i="23916" s="1"/>
  <c r="AO679" i="23916"/>
  <c r="AO673" i="23916"/>
  <c r="AP673" i="23916" s="1"/>
  <c r="AO672" i="23916"/>
  <c r="AP672" i="23916" s="1"/>
  <c r="AP657" i="23916"/>
  <c r="AW681" i="23916"/>
  <c r="AX681" i="23916" s="1"/>
  <c r="AW679" i="23916"/>
  <c r="AX679" i="23916" s="1"/>
  <c r="AW677" i="23916"/>
  <c r="AW676" i="23916"/>
  <c r="AW673" i="23916"/>
  <c r="AX673" i="23916" s="1"/>
  <c r="AW672" i="23916"/>
  <c r="BF657" i="23916"/>
  <c r="AX657" i="23916"/>
  <c r="BM677" i="23916"/>
  <c r="BM676" i="23916"/>
  <c r="BN676" i="23916" s="1"/>
  <c r="BM675" i="23916"/>
  <c r="BN675" i="23916" s="1"/>
  <c r="BM674" i="23916"/>
  <c r="BN674" i="23916" s="1"/>
  <c r="BM673" i="23916"/>
  <c r="BM672" i="23916"/>
  <c r="BN672" i="23916" s="1"/>
  <c r="BM660" i="23916"/>
  <c r="BV657" i="23916"/>
  <c r="BN657" i="23916"/>
  <c r="N663" i="23916"/>
  <c r="FF631" i="23916"/>
  <c r="FG631" i="23916" s="1"/>
  <c r="FJ631" i="23916"/>
  <c r="FK631" i="23916" s="1"/>
  <c r="FN631" i="23916"/>
  <c r="FO631" i="23916" s="1"/>
  <c r="FR631" i="23916"/>
  <c r="FS631" i="23916" s="1"/>
  <c r="FV631" i="23916"/>
  <c r="FY631" i="23916" s="1"/>
  <c r="FZ631" i="23916"/>
  <c r="GA631" i="23916" s="1"/>
  <c r="GD631" i="23916"/>
  <c r="GG631" i="23916" s="1"/>
  <c r="GH631" i="23916"/>
  <c r="GI631" i="23916" s="1"/>
  <c r="GL631" i="23916"/>
  <c r="GM631" i="23916" s="1"/>
  <c r="FG632" i="23916"/>
  <c r="FK632" i="23916"/>
  <c r="FO632" i="23916"/>
  <c r="FS632" i="23916"/>
  <c r="FW632" i="23916"/>
  <c r="GA632" i="23916"/>
  <c r="GE632" i="23916"/>
  <c r="GI632" i="23916"/>
  <c r="GM632" i="23916"/>
  <c r="T690" i="23916"/>
  <c r="X690" i="23916"/>
  <c r="AB690" i="23916"/>
  <c r="AF690" i="23916"/>
  <c r="AJ690" i="23916"/>
  <c r="AN690" i="23916"/>
  <c r="AR690" i="23916"/>
  <c r="AV690" i="23916"/>
  <c r="AZ690" i="23916"/>
  <c r="BD690" i="23916"/>
  <c r="BH690" i="23916"/>
  <c r="BL690" i="23916"/>
  <c r="BP690" i="23916"/>
  <c r="BT690" i="23916"/>
  <c r="FE690" i="23916"/>
  <c r="EJ639" i="23916"/>
  <c r="FH685" i="23916"/>
  <c r="FI685" i="23916" s="1"/>
  <c r="FH648" i="23916"/>
  <c r="FI648" i="23916" s="1"/>
  <c r="FL685" i="23916"/>
  <c r="FM685" i="23916" s="1"/>
  <c r="FL648" i="23916"/>
  <c r="FP685" i="23916"/>
  <c r="FQ685" i="23916" s="1"/>
  <c r="FP648" i="23916"/>
  <c r="FQ648" i="23916" s="1"/>
  <c r="FT685" i="23916"/>
  <c r="FU685" i="23916" s="1"/>
  <c r="FT648" i="23916"/>
  <c r="FI644" i="23916"/>
  <c r="FM644" i="23916"/>
  <c r="FQ644" i="23916"/>
  <c r="FU644" i="23916"/>
  <c r="GF685" i="23916"/>
  <c r="GG685" i="23916" s="1"/>
  <c r="GF648" i="23916"/>
  <c r="GG648" i="23916" s="1"/>
  <c r="GJ648" i="23916"/>
  <c r="GK648" i="23916" s="1"/>
  <c r="GN685" i="23916"/>
  <c r="GO685" i="23916" s="1"/>
  <c r="GN648" i="23916"/>
  <c r="GO648" i="23916" s="1"/>
  <c r="GH686" i="23916"/>
  <c r="GH689" i="23916"/>
  <c r="GH688" i="23916"/>
  <c r="GI688" i="23916" s="1"/>
  <c r="GH687" i="23916"/>
  <c r="GI687" i="23916" s="1"/>
  <c r="GH676" i="23916"/>
  <c r="GI676" i="23916" s="1"/>
  <c r="GL686" i="23916"/>
  <c r="GL689" i="23916"/>
  <c r="GL688" i="23916"/>
  <c r="GL687" i="23916"/>
  <c r="GF645" i="23916"/>
  <c r="GJ645" i="23916"/>
  <c r="GK645" i="23916" s="1"/>
  <c r="GN645" i="23916"/>
  <c r="GO645" i="23916" s="1"/>
  <c r="CM689" i="23916"/>
  <c r="CN689" i="23916" s="1"/>
  <c r="CM688" i="23916"/>
  <c r="CM687" i="23916"/>
  <c r="CM686" i="23916"/>
  <c r="CM677" i="23916"/>
  <c r="CM673" i="23916"/>
  <c r="CM645" i="23916"/>
  <c r="CN645" i="23916" s="1"/>
  <c r="CQ689" i="23916"/>
  <c r="CQ688" i="23916"/>
  <c r="CQ687" i="23916"/>
  <c r="CR687" i="23916" s="1"/>
  <c r="CQ686" i="23916"/>
  <c r="CQ677" i="23916"/>
  <c r="CQ676" i="23916"/>
  <c r="CR676" i="23916" s="1"/>
  <c r="CQ672" i="23916"/>
  <c r="CR672" i="23916" s="1"/>
  <c r="CQ674" i="23916"/>
  <c r="CQ673" i="23916"/>
  <c r="CQ645" i="23916"/>
  <c r="CR645" i="23916" s="1"/>
  <c r="CU688" i="23916"/>
  <c r="CV688" i="23916" s="1"/>
  <c r="CU687" i="23916"/>
  <c r="CV687" i="23916" s="1"/>
  <c r="CU686" i="23916"/>
  <c r="CU689" i="23916"/>
  <c r="CU645" i="23916"/>
  <c r="CV645" i="23916" s="1"/>
  <c r="CY688" i="23916"/>
  <c r="CY687" i="23916"/>
  <c r="CY686" i="23916"/>
  <c r="CZ686" i="23916" s="1"/>
  <c r="CY689" i="23916"/>
  <c r="CZ689" i="23916" s="1"/>
  <c r="CY677" i="23916"/>
  <c r="CZ677" i="23916" s="1"/>
  <c r="CY676" i="23916"/>
  <c r="CZ676" i="23916" s="1"/>
  <c r="CY674" i="23916"/>
  <c r="CZ674" i="23916" s="1"/>
  <c r="CY673" i="23916"/>
  <c r="CZ673" i="23916" s="1"/>
  <c r="CY672" i="23916"/>
  <c r="CY645" i="23916"/>
  <c r="CZ645" i="23916" s="1"/>
  <c r="DC689" i="23916"/>
  <c r="DD689" i="23916" s="1"/>
  <c r="DC688" i="23916"/>
  <c r="DC687" i="23916"/>
  <c r="DD687" i="23916" s="1"/>
  <c r="DC686" i="23916"/>
  <c r="DD686" i="23916" s="1"/>
  <c r="DC677" i="23916"/>
  <c r="DC674" i="23916"/>
  <c r="DC673" i="23916"/>
  <c r="DC645" i="23916"/>
  <c r="DD645" i="23916" s="1"/>
  <c r="DG689" i="23916"/>
  <c r="DH689" i="23916" s="1"/>
  <c r="DG688" i="23916"/>
  <c r="DH688" i="23916" s="1"/>
  <c r="DG687" i="23916"/>
  <c r="DH687" i="23916" s="1"/>
  <c r="DG686" i="23916"/>
  <c r="DG677" i="23916"/>
  <c r="DH677" i="23916" s="1"/>
  <c r="DG676" i="23916"/>
  <c r="DH676" i="23916" s="1"/>
  <c r="DG672" i="23916"/>
  <c r="DH672" i="23916" s="1"/>
  <c r="DG674" i="23916"/>
  <c r="DG673" i="23916"/>
  <c r="DH673" i="23916" s="1"/>
  <c r="DG645" i="23916"/>
  <c r="DH645" i="23916" s="1"/>
  <c r="DK687" i="23916"/>
  <c r="DL687" i="23916" s="1"/>
  <c r="DK686" i="23916"/>
  <c r="DK689" i="23916"/>
  <c r="DK688" i="23916"/>
  <c r="DL688" i="23916" s="1"/>
  <c r="DK677" i="23916"/>
  <c r="DL677" i="23916" s="1"/>
  <c r="DK673" i="23916"/>
  <c r="DK672" i="23916"/>
  <c r="DK645" i="23916"/>
  <c r="DL645" i="23916" s="1"/>
  <c r="DX689" i="23916"/>
  <c r="DX688" i="23916"/>
  <c r="DX687" i="23916"/>
  <c r="DX686" i="23916"/>
  <c r="DX674" i="23916"/>
  <c r="DX673" i="23916"/>
  <c r="DX648" i="23916"/>
  <c r="CW645" i="23916"/>
  <c r="CX645" i="23916" s="1"/>
  <c r="DM645" i="23916"/>
  <c r="DS688" i="23916"/>
  <c r="DS689" i="23916"/>
  <c r="DT689" i="23916" s="1"/>
  <c r="DS687" i="23916"/>
  <c r="DT687" i="23916" s="1"/>
  <c r="DS686" i="23916"/>
  <c r="DT686" i="23916" s="1"/>
  <c r="DS677" i="23916"/>
  <c r="DS676" i="23916"/>
  <c r="DS672" i="23916"/>
  <c r="DT672" i="23916" s="1"/>
  <c r="DS674" i="23916"/>
  <c r="DS673" i="23916"/>
  <c r="DS645" i="23916"/>
  <c r="DT645" i="23916" s="1"/>
  <c r="DS649" i="23916"/>
  <c r="EC689" i="23916"/>
  <c r="EC688" i="23916"/>
  <c r="ED688" i="23916" s="1"/>
  <c r="EC687" i="23916"/>
  <c r="ED687" i="23916" s="1"/>
  <c r="EC686" i="23916"/>
  <c r="ED686" i="23916" s="1"/>
  <c r="ER643" i="23916"/>
  <c r="EQ645" i="23916"/>
  <c r="ER645" i="23916" s="1"/>
  <c r="ES645" i="23916"/>
  <c r="ET645" i="23916" s="1"/>
  <c r="FL645" i="23916"/>
  <c r="FR645" i="23916"/>
  <c r="FS645" i="23916" s="1"/>
  <c r="GA644" i="23916"/>
  <c r="FX645" i="23916"/>
  <c r="FY645" i="23916" s="1"/>
  <c r="FZ645" i="23916"/>
  <c r="GB645" i="23916"/>
  <c r="GC645" i="23916" s="1"/>
  <c r="GD645" i="23916"/>
  <c r="GE645" i="23916" s="1"/>
  <c r="GI646" i="23916"/>
  <c r="DN644" i="23916"/>
  <c r="DR644" i="23916"/>
  <c r="EF644" i="23916"/>
  <c r="EJ644" i="23916"/>
  <c r="FQ647" i="23916"/>
  <c r="GG647" i="23916"/>
  <c r="Z648" i="23916"/>
  <c r="AH648" i="23916"/>
  <c r="AP648" i="23916"/>
  <c r="AX648" i="23916"/>
  <c r="BF648" i="23916"/>
  <c r="BN648" i="23916"/>
  <c r="BV648" i="23916"/>
  <c r="CD648" i="23916"/>
  <c r="CL648" i="23916"/>
  <c r="CS648" i="23916"/>
  <c r="CT648" i="23916" s="1"/>
  <c r="DA648" i="23916"/>
  <c r="DI648" i="23916"/>
  <c r="DJ648" i="23916" s="1"/>
  <c r="DQ648" i="23916"/>
  <c r="DR648" i="23916" s="1"/>
  <c r="EH648" i="23916"/>
  <c r="EP648" i="23916"/>
  <c r="Z649" i="23916"/>
  <c r="AH649" i="23916"/>
  <c r="AP649" i="23916"/>
  <c r="AX649" i="23916"/>
  <c r="BF649" i="23916"/>
  <c r="BN649" i="23916"/>
  <c r="BV649" i="23916"/>
  <c r="CD649" i="23916"/>
  <c r="CL649" i="23916"/>
  <c r="CS649" i="23916"/>
  <c r="DA649" i="23916"/>
  <c r="DI649" i="23916"/>
  <c r="DU649" i="23916"/>
  <c r="EJ649" i="23916"/>
  <c r="U650" i="23916"/>
  <c r="V650" i="23916" s="1"/>
  <c r="AK650" i="23916"/>
  <c r="AL650" i="23916" s="1"/>
  <c r="BA650" i="23916"/>
  <c r="BB650" i="23916" s="1"/>
  <c r="BQ650" i="23916"/>
  <c r="BR650" i="23916" s="1"/>
  <c r="CG650" i="23916"/>
  <c r="CH650" i="23916" s="1"/>
  <c r="FJ648" i="23916"/>
  <c r="DS679" i="23916"/>
  <c r="DS678" i="23916"/>
  <c r="DS681" i="23916"/>
  <c r="DS675" i="23916"/>
  <c r="DS660" i="23916"/>
  <c r="DY695" i="23916"/>
  <c r="DY694" i="23916"/>
  <c r="DY693" i="23916"/>
  <c r="DZ659" i="23916"/>
  <c r="GJ659" i="23916"/>
  <c r="EG695" i="23916"/>
  <c r="EG694" i="23916"/>
  <c r="EG693" i="23916"/>
  <c r="EH693" i="23916" s="1"/>
  <c r="EH659" i="23916"/>
  <c r="GL659" i="23916"/>
  <c r="EO695" i="23916"/>
  <c r="EP695" i="23916" s="1"/>
  <c r="EO694" i="23916"/>
  <c r="EP694" i="23916" s="1"/>
  <c r="EO693" i="23916"/>
  <c r="EP659" i="23916"/>
  <c r="GN659" i="23916"/>
  <c r="G681" i="23916"/>
  <c r="G677" i="23916"/>
  <c r="G679" i="23916"/>
  <c r="G678" i="23916"/>
  <c r="G673" i="23916"/>
  <c r="G676" i="23916"/>
  <c r="G663" i="23916"/>
  <c r="G666" i="23916" s="1"/>
  <c r="G672" i="23916"/>
  <c r="P657" i="23916"/>
  <c r="BY695" i="23916"/>
  <c r="BZ695" i="23916" s="1"/>
  <c r="BY690" i="23916"/>
  <c r="BZ690" i="23916" s="1"/>
  <c r="BY691" i="23916"/>
  <c r="BZ691" i="23916" s="1"/>
  <c r="BY689" i="23916"/>
  <c r="BZ689" i="23916" s="1"/>
  <c r="BY688" i="23916"/>
  <c r="BZ688" i="23916" s="1"/>
  <c r="BY687" i="23916"/>
  <c r="BZ687" i="23916" s="1"/>
  <c r="BY686" i="23916"/>
  <c r="BZ686" i="23916" s="1"/>
  <c r="BY685" i="23916"/>
  <c r="BZ685" i="23916" s="1"/>
  <c r="CE691" i="23916"/>
  <c r="CE690" i="23916"/>
  <c r="CE688" i="23916"/>
  <c r="CE687" i="23916"/>
  <c r="CE686" i="23916"/>
  <c r="CF686" i="23916" s="1"/>
  <c r="CE685" i="23916"/>
  <c r="CF685" i="23916" s="1"/>
  <c r="CE689" i="23916"/>
  <c r="CM691" i="23916"/>
  <c r="CM690" i="23916"/>
  <c r="CM685" i="23916"/>
  <c r="CU691" i="23916"/>
  <c r="CV691" i="23916" s="1"/>
  <c r="CU690" i="23916"/>
  <c r="CU685" i="23916"/>
  <c r="DC691" i="23916"/>
  <c r="DD691" i="23916" s="1"/>
  <c r="DC690" i="23916"/>
  <c r="DD690" i="23916" s="1"/>
  <c r="DC685" i="23916"/>
  <c r="DO691" i="23916"/>
  <c r="DP691" i="23916" s="1"/>
  <c r="DO690" i="23916"/>
  <c r="DP690" i="23916" s="1"/>
  <c r="DO685" i="23916"/>
  <c r="DW691" i="23916"/>
  <c r="DW690" i="23916"/>
  <c r="DW685" i="23916"/>
  <c r="EC691" i="23916"/>
  <c r="EC690" i="23916"/>
  <c r="EC685" i="23916"/>
  <c r="ED685" i="23916" s="1"/>
  <c r="EK690" i="23916"/>
  <c r="EL690" i="23916" s="1"/>
  <c r="EK691" i="23916"/>
  <c r="EL691" i="23916" s="1"/>
  <c r="EK689" i="23916"/>
  <c r="EL689" i="23916" s="1"/>
  <c r="EK688" i="23916"/>
  <c r="EL688" i="23916" s="1"/>
  <c r="EK687" i="23916"/>
  <c r="EL687" i="23916" s="1"/>
  <c r="EK686" i="23916"/>
  <c r="EK685" i="23916"/>
  <c r="FF690" i="23916"/>
  <c r="FG690" i="23916" s="1"/>
  <c r="FF693" i="23916"/>
  <c r="FG693" i="23916" s="1"/>
  <c r="FF691" i="23916"/>
  <c r="FG691" i="23916" s="1"/>
  <c r="FF662" i="23916"/>
  <c r="FG662" i="23916" s="1"/>
  <c r="FJ690" i="23916"/>
  <c r="FJ693" i="23916"/>
  <c r="FK693" i="23916" s="1"/>
  <c r="FJ691" i="23916"/>
  <c r="FN690" i="23916"/>
  <c r="FN693" i="23916"/>
  <c r="FN691" i="23916"/>
  <c r="FR693" i="23916"/>
  <c r="FR691" i="23916"/>
  <c r="FV691" i="23916"/>
  <c r="FW691" i="23916" s="1"/>
  <c r="FX662" i="23916"/>
  <c r="FZ691" i="23916"/>
  <c r="FZ690" i="23916"/>
  <c r="GA690" i="23916" s="1"/>
  <c r="GB662" i="23916"/>
  <c r="GD691" i="23916"/>
  <c r="GD690" i="23916"/>
  <c r="GF662" i="23916"/>
  <c r="GH691" i="23916"/>
  <c r="GH690" i="23916"/>
  <c r="GL691" i="23916"/>
  <c r="C681" i="23916"/>
  <c r="C677" i="23916"/>
  <c r="C679" i="23916"/>
  <c r="C678" i="23916"/>
  <c r="C673" i="23916"/>
  <c r="C676" i="23916"/>
  <c r="C672" i="23916"/>
  <c r="I679" i="23916"/>
  <c r="I681" i="23916"/>
  <c r="I677" i="23916"/>
  <c r="I676" i="23916"/>
  <c r="I678" i="23916"/>
  <c r="I673" i="23916"/>
  <c r="I672" i="23916"/>
  <c r="I663" i="23916"/>
  <c r="R657" i="23916"/>
  <c r="FF657" i="23916"/>
  <c r="FF676" i="23916" s="1"/>
  <c r="FG676" i="23916" s="1"/>
  <c r="FJ657" i="23916"/>
  <c r="FJ672" i="23916" s="1"/>
  <c r="FK672" i="23916" s="1"/>
  <c r="FN657" i="23916"/>
  <c r="FR657" i="23916"/>
  <c r="FV657" i="23916"/>
  <c r="FV673" i="23916" s="1"/>
  <c r="FZ657" i="23916"/>
  <c r="FZ672" i="23916" s="1"/>
  <c r="GD657" i="23916"/>
  <c r="GH657" i="23916"/>
  <c r="GL657" i="23916"/>
  <c r="GL672" i="23916" s="1"/>
  <c r="BG693" i="23916"/>
  <c r="BH693" i="23916" s="1"/>
  <c r="BG662" i="23916"/>
  <c r="BH662" i="23916" s="1"/>
  <c r="BK693" i="23916"/>
  <c r="BL693" i="23916" s="1"/>
  <c r="BK662" i="23916"/>
  <c r="BL662" i="23916" s="1"/>
  <c r="BO693" i="23916"/>
  <c r="BP693" i="23916" s="1"/>
  <c r="BO662" i="23916"/>
  <c r="BP662" i="23916" s="1"/>
  <c r="BS693" i="23916"/>
  <c r="BT693" i="23916" s="1"/>
  <c r="BS662" i="23916"/>
  <c r="BT662" i="23916" s="1"/>
  <c r="BW659" i="23916"/>
  <c r="FT695" i="23916"/>
  <c r="FU695" i="23916" s="1"/>
  <c r="GF674" i="23916"/>
  <c r="GG674" i="23916" s="1"/>
  <c r="BI662" i="23916"/>
  <c r="BJ662" i="23916" s="1"/>
  <c r="ER656" i="23916"/>
  <c r="CG691" i="23916"/>
  <c r="CH691" i="23916" s="1"/>
  <c r="CG690" i="23916"/>
  <c r="CG689" i="23916"/>
  <c r="CH689" i="23916" s="1"/>
  <c r="CG685" i="23916"/>
  <c r="CH685" i="23916" s="1"/>
  <c r="CG688" i="23916"/>
  <c r="CG687" i="23916"/>
  <c r="CG686" i="23916"/>
  <c r="CH686" i="23916" s="1"/>
  <c r="CO690" i="23916"/>
  <c r="CP690" i="23916" s="1"/>
  <c r="CO691" i="23916"/>
  <c r="CP691" i="23916" s="1"/>
  <c r="CO685" i="23916"/>
  <c r="CW691" i="23916"/>
  <c r="CX691" i="23916" s="1"/>
  <c r="CW690" i="23916"/>
  <c r="CX690" i="23916" s="1"/>
  <c r="CW685" i="23916"/>
  <c r="CX685" i="23916" s="1"/>
  <c r="DE690" i="23916"/>
  <c r="DE691" i="23916"/>
  <c r="DF691" i="23916" s="1"/>
  <c r="DE685" i="23916"/>
  <c r="DF685" i="23916" s="1"/>
  <c r="DK691" i="23916"/>
  <c r="DK690" i="23916"/>
  <c r="DL690" i="23916" s="1"/>
  <c r="DK685" i="23916"/>
  <c r="DL685" i="23916" s="1"/>
  <c r="DQ691" i="23916"/>
  <c r="DR691" i="23916" s="1"/>
  <c r="DQ690" i="23916"/>
  <c r="DQ685" i="23916"/>
  <c r="DX691" i="23916"/>
  <c r="DX690" i="23916"/>
  <c r="DX685" i="23916"/>
  <c r="EE691" i="23916"/>
  <c r="EF691" i="23916" s="1"/>
  <c r="EE690" i="23916"/>
  <c r="EF690" i="23916" s="1"/>
  <c r="EE685" i="23916"/>
  <c r="EF685" i="23916" s="1"/>
  <c r="EM691" i="23916"/>
  <c r="EN691" i="23916" s="1"/>
  <c r="EM690" i="23916"/>
  <c r="EM685" i="23916"/>
  <c r="EM689" i="23916"/>
  <c r="EN689" i="23916" s="1"/>
  <c r="EM688" i="23916"/>
  <c r="EN688" i="23916" s="1"/>
  <c r="EM687" i="23916"/>
  <c r="EN687" i="23916" s="1"/>
  <c r="EM686" i="23916"/>
  <c r="EN686" i="23916" s="1"/>
  <c r="FG655" i="23916"/>
  <c r="FK655" i="23916"/>
  <c r="FO655" i="23916"/>
  <c r="FS655" i="23916"/>
  <c r="FW655" i="23916"/>
  <c r="GA655" i="23916"/>
  <c r="GE655" i="23916"/>
  <c r="GI655" i="23916"/>
  <c r="AH656" i="23916"/>
  <c r="AL656" i="23916"/>
  <c r="AP656" i="23916"/>
  <c r="AT656" i="23916"/>
  <c r="AX656" i="23916"/>
  <c r="BB656" i="23916"/>
  <c r="BD656" i="23916"/>
  <c r="BF656" i="23916"/>
  <c r="BH656" i="23916"/>
  <c r="BJ656" i="23916"/>
  <c r="E679" i="23916"/>
  <c r="E681" i="23916"/>
  <c r="E677" i="23916"/>
  <c r="E676" i="23916"/>
  <c r="E678" i="23916"/>
  <c r="E673" i="23916"/>
  <c r="E672" i="23916"/>
  <c r="E663" i="23916"/>
  <c r="E666" i="23916" s="1"/>
  <c r="N666" i="23916" s="1"/>
  <c r="K679" i="23916"/>
  <c r="L679" i="23916" s="1"/>
  <c r="K678" i="23916"/>
  <c r="L678" i="23916" s="1"/>
  <c r="K681" i="23916"/>
  <c r="K677" i="23916"/>
  <c r="K676" i="23916"/>
  <c r="K673" i="23916"/>
  <c r="L673" i="23916" s="1"/>
  <c r="K672" i="23916"/>
  <c r="L672" i="23916" s="1"/>
  <c r="K663" i="23916"/>
  <c r="O679" i="23916"/>
  <c r="P679" i="23916" s="1"/>
  <c r="O678" i="23916"/>
  <c r="P678" i="23916" s="1"/>
  <c r="O681" i="23916"/>
  <c r="P681" i="23916" s="1"/>
  <c r="O677" i="23916"/>
  <c r="P677" i="23916" s="1"/>
  <c r="O676" i="23916"/>
  <c r="P676" i="23916" s="1"/>
  <c r="O663" i="23916"/>
  <c r="P663" i="23916" s="1"/>
  <c r="O672" i="23916"/>
  <c r="O673" i="23916"/>
  <c r="P673" i="23916" s="1"/>
  <c r="S681" i="23916"/>
  <c r="T681" i="23916" s="1"/>
  <c r="S679" i="23916"/>
  <c r="T679" i="23916" s="1"/>
  <c r="S678" i="23916"/>
  <c r="S677" i="23916"/>
  <c r="T677" i="23916" s="1"/>
  <c r="S676" i="23916"/>
  <c r="T676" i="23916" s="1"/>
  <c r="S663" i="23916"/>
  <c r="T663" i="23916" s="1"/>
  <c r="S673" i="23916"/>
  <c r="S672" i="23916"/>
  <c r="T672" i="23916" s="1"/>
  <c r="W681" i="23916"/>
  <c r="X681" i="23916" s="1"/>
  <c r="W679" i="23916"/>
  <c r="X679" i="23916" s="1"/>
  <c r="W677" i="23916"/>
  <c r="X677" i="23916" s="1"/>
  <c r="W676" i="23916"/>
  <c r="X676" i="23916" s="1"/>
  <c r="W673" i="23916"/>
  <c r="X673" i="23916" s="1"/>
  <c r="W663" i="23916"/>
  <c r="W672" i="23916"/>
  <c r="X672" i="23916" s="1"/>
  <c r="AA679" i="23916"/>
  <c r="AA678" i="23916"/>
  <c r="AB678" i="23916" s="1"/>
  <c r="AA681" i="23916"/>
  <c r="AA677" i="23916"/>
  <c r="AB677" i="23916" s="1"/>
  <c r="AA676" i="23916"/>
  <c r="AB676" i="23916" s="1"/>
  <c r="AA672" i="23916"/>
  <c r="AB672" i="23916" s="1"/>
  <c r="AA663" i="23916"/>
  <c r="AA666" i="23916" s="1"/>
  <c r="AA673" i="23916"/>
  <c r="AB673" i="23916" s="1"/>
  <c r="AE657" i="23916"/>
  <c r="AE640" i="23916" s="1"/>
  <c r="AI657" i="23916"/>
  <c r="AM657" i="23916"/>
  <c r="AQ657" i="23916"/>
  <c r="AU657" i="23916"/>
  <c r="AY657" i="23916"/>
  <c r="BA663" i="23916" s="1"/>
  <c r="BB663" i="23916" s="1"/>
  <c r="BC681" i="23916"/>
  <c r="BC679" i="23916"/>
  <c r="BC678" i="23916"/>
  <c r="BC677" i="23916"/>
  <c r="BC676" i="23916"/>
  <c r="BC673" i="23916"/>
  <c r="BC663" i="23916"/>
  <c r="BC672" i="23916"/>
  <c r="BG679" i="23916"/>
  <c r="BG678" i="23916"/>
  <c r="BG677" i="23916"/>
  <c r="BG676" i="23916"/>
  <c r="BG672" i="23916"/>
  <c r="BG675" i="23916"/>
  <c r="BH675" i="23916" s="1"/>
  <c r="BG674" i="23916"/>
  <c r="BH674" i="23916" s="1"/>
  <c r="BG673" i="23916"/>
  <c r="BK679" i="23916"/>
  <c r="BL679" i="23916" s="1"/>
  <c r="BK677" i="23916"/>
  <c r="BK676" i="23916"/>
  <c r="BL676" i="23916" s="1"/>
  <c r="BK672" i="23916"/>
  <c r="BK675" i="23916"/>
  <c r="BL675" i="23916" s="1"/>
  <c r="BK674" i="23916"/>
  <c r="BL674" i="23916" s="1"/>
  <c r="BK673" i="23916"/>
  <c r="BL673" i="23916" s="1"/>
  <c r="BO679" i="23916"/>
  <c r="BP679" i="23916" s="1"/>
  <c r="BO677" i="23916"/>
  <c r="BP677" i="23916" s="1"/>
  <c r="BO676" i="23916"/>
  <c r="BP676" i="23916" s="1"/>
  <c r="BO675" i="23916"/>
  <c r="BP675" i="23916" s="1"/>
  <c r="BO674" i="23916"/>
  <c r="BO673" i="23916"/>
  <c r="BO672" i="23916"/>
  <c r="BP672" i="23916" s="1"/>
  <c r="BS679" i="23916"/>
  <c r="BT679" i="23916" s="1"/>
  <c r="BS678" i="23916"/>
  <c r="BS677" i="23916"/>
  <c r="BT677" i="23916" s="1"/>
  <c r="BS676" i="23916"/>
  <c r="BT676" i="23916" s="1"/>
  <c r="BS675" i="23916"/>
  <c r="BT675" i="23916" s="1"/>
  <c r="BS674" i="23916"/>
  <c r="BS673" i="23916"/>
  <c r="BS672" i="23916"/>
  <c r="BT672" i="23916" s="1"/>
  <c r="CA657" i="23916"/>
  <c r="CJ657" i="23916" s="1"/>
  <c r="CE657" i="23916"/>
  <c r="CM657" i="23916"/>
  <c r="CU657" i="23916"/>
  <c r="CU677" i="23916" s="1"/>
  <c r="CV677" i="23916" s="1"/>
  <c r="DC657" i="23916"/>
  <c r="DC672" i="23916" s="1"/>
  <c r="DK657" i="23916"/>
  <c r="DO657" i="23916"/>
  <c r="DO673" i="23916" s="1"/>
  <c r="DP673" i="23916" s="1"/>
  <c r="DW657" i="23916"/>
  <c r="EE657" i="23916"/>
  <c r="EE677" i="23916" s="1"/>
  <c r="EM657" i="23916"/>
  <c r="FB679" i="23916"/>
  <c r="FB673" i="23916"/>
  <c r="FB677" i="23916"/>
  <c r="FB676" i="23916"/>
  <c r="FB678" i="23916"/>
  <c r="FB672" i="23916"/>
  <c r="BG660" i="23916"/>
  <c r="BK660" i="23916"/>
  <c r="BO660" i="23916"/>
  <c r="BS660" i="23916"/>
  <c r="CG659" i="23916"/>
  <c r="CO659" i="23916"/>
  <c r="CW659" i="23916"/>
  <c r="DE659" i="23916"/>
  <c r="DQ659" i="23916"/>
  <c r="EC659" i="23916"/>
  <c r="EK659" i="23916"/>
  <c r="CB658" i="23916"/>
  <c r="CF658" i="23916"/>
  <c r="GC661" i="23916"/>
  <c r="GG661" i="23916"/>
  <c r="GK661" i="23916"/>
  <c r="FL662" i="23916"/>
  <c r="FT662" i="23916"/>
  <c r="EI650" i="23916"/>
  <c r="EM650" i="23916"/>
  <c r="FD650" i="23916"/>
  <c r="FE650" i="23916" s="1"/>
  <c r="CA691" i="23916"/>
  <c r="CB691" i="23916" s="1"/>
  <c r="CA690" i="23916"/>
  <c r="CB690" i="23916" s="1"/>
  <c r="CA685" i="23916"/>
  <c r="CB685" i="23916" s="1"/>
  <c r="CA689" i="23916"/>
  <c r="CB689" i="23916" s="1"/>
  <c r="CA688" i="23916"/>
  <c r="CB688" i="23916" s="1"/>
  <c r="CA687" i="23916"/>
  <c r="CB687" i="23916" s="1"/>
  <c r="CA686" i="23916"/>
  <c r="CB686" i="23916" s="1"/>
  <c r="CI691" i="23916"/>
  <c r="CJ691" i="23916" s="1"/>
  <c r="CI690" i="23916"/>
  <c r="CI685" i="23916"/>
  <c r="CI688" i="23916"/>
  <c r="CJ688" i="23916" s="1"/>
  <c r="CI687" i="23916"/>
  <c r="CI686" i="23916"/>
  <c r="CI689" i="23916"/>
  <c r="CJ689" i="23916" s="1"/>
  <c r="CQ691" i="23916"/>
  <c r="CR691" i="23916" s="1"/>
  <c r="CQ690" i="23916"/>
  <c r="CR690" i="23916" s="1"/>
  <c r="CQ685" i="23916"/>
  <c r="CY691" i="23916"/>
  <c r="CY690" i="23916"/>
  <c r="CZ690" i="23916" s="1"/>
  <c r="CY685" i="23916"/>
  <c r="CZ685" i="23916" s="1"/>
  <c r="DG691" i="23916"/>
  <c r="DG690" i="23916"/>
  <c r="DG685" i="23916"/>
  <c r="DH685" i="23916" s="1"/>
  <c r="DL655" i="23916"/>
  <c r="DS691" i="23916"/>
  <c r="DT691" i="23916" s="1"/>
  <c r="DS690" i="23916"/>
  <c r="DT690" i="23916" s="1"/>
  <c r="DS685" i="23916"/>
  <c r="DT685" i="23916" s="1"/>
  <c r="DY690" i="23916"/>
  <c r="DZ690" i="23916" s="1"/>
  <c r="DY691" i="23916"/>
  <c r="DY685" i="23916"/>
  <c r="DZ685" i="23916" s="1"/>
  <c r="EG691" i="23916"/>
  <c r="EH691" i="23916" s="1"/>
  <c r="EG690" i="23916"/>
  <c r="EH690" i="23916" s="1"/>
  <c r="EG689" i="23916"/>
  <c r="EG688" i="23916"/>
  <c r="EH688" i="23916" s="1"/>
  <c r="EG687" i="23916"/>
  <c r="EH687" i="23916" s="1"/>
  <c r="EG686" i="23916"/>
  <c r="EG685" i="23916"/>
  <c r="EO690" i="23916"/>
  <c r="EP690" i="23916" s="1"/>
  <c r="EO689" i="23916"/>
  <c r="EP689" i="23916" s="1"/>
  <c r="EO688" i="23916"/>
  <c r="EO691" i="23916"/>
  <c r="EO687" i="23916"/>
  <c r="EO686" i="23916"/>
  <c r="EP686" i="23916" s="1"/>
  <c r="EO685" i="23916"/>
  <c r="EP685" i="23916" s="1"/>
  <c r="FH693" i="23916"/>
  <c r="FH691" i="23916"/>
  <c r="FI691" i="23916" s="1"/>
  <c r="FH690" i="23916"/>
  <c r="FI690" i="23916" s="1"/>
  <c r="C662" i="23916"/>
  <c r="L662" i="23916" s="1"/>
  <c r="FJ662" i="23916"/>
  <c r="FL693" i="23916"/>
  <c r="FL691" i="23916"/>
  <c r="FM691" i="23916" s="1"/>
  <c r="FL690" i="23916"/>
  <c r="FN662" i="23916"/>
  <c r="FO662" i="23916" s="1"/>
  <c r="FP693" i="23916"/>
  <c r="FQ693" i="23916" s="1"/>
  <c r="FP691" i="23916"/>
  <c r="FQ691" i="23916" s="1"/>
  <c r="FR662" i="23916"/>
  <c r="FT690" i="23916"/>
  <c r="FT693" i="23916"/>
  <c r="FU693" i="23916" s="1"/>
  <c r="FT691" i="23916"/>
  <c r="FV662" i="23916"/>
  <c r="FW662" i="23916" s="1"/>
  <c r="FX690" i="23916"/>
  <c r="FX691" i="23916"/>
  <c r="FY691" i="23916" s="1"/>
  <c r="FZ662" i="23916"/>
  <c r="GA662" i="23916" s="1"/>
  <c r="GB691" i="23916"/>
  <c r="GC691" i="23916" s="1"/>
  <c r="GD662" i="23916"/>
  <c r="GE662" i="23916" s="1"/>
  <c r="GF691" i="23916"/>
  <c r="GG691" i="23916" s="1"/>
  <c r="GH662" i="23916"/>
  <c r="GJ655" i="23916"/>
  <c r="GJ687" i="23916" s="1"/>
  <c r="GK687" i="23916" s="1"/>
  <c r="GN655" i="23916"/>
  <c r="GN649" i="23916" s="1"/>
  <c r="FL656" i="23916"/>
  <c r="FP656" i="23916"/>
  <c r="CB654" i="23916"/>
  <c r="DN655" i="23916"/>
  <c r="DP655" i="23916"/>
  <c r="DR655" i="23916"/>
  <c r="DT655" i="23916"/>
  <c r="DZ655" i="23916"/>
  <c r="EB655" i="23916"/>
  <c r="ED655" i="23916"/>
  <c r="EF655" i="23916"/>
  <c r="EH655" i="23916"/>
  <c r="EL655" i="23916"/>
  <c r="EN655" i="23916"/>
  <c r="L657" i="23916"/>
  <c r="DX657" i="23916"/>
  <c r="DX677" i="23916" s="1"/>
  <c r="FD677" i="23916"/>
  <c r="FE677" i="23916" s="1"/>
  <c r="FD673" i="23916"/>
  <c r="FD679" i="23916"/>
  <c r="FE679" i="23916" s="1"/>
  <c r="FD672" i="23916"/>
  <c r="FD678" i="23916"/>
  <c r="FE678" i="23916" s="1"/>
  <c r="FD676" i="23916"/>
  <c r="FE676" i="23916" s="1"/>
  <c r="FD675" i="23916"/>
  <c r="FE675" i="23916" s="1"/>
  <c r="FD674" i="23916"/>
  <c r="FE674" i="23916" s="1"/>
  <c r="FH657" i="23916"/>
  <c r="FH674" i="23916" s="1"/>
  <c r="FL657" i="23916"/>
  <c r="FL674" i="23916" s="1"/>
  <c r="FM674" i="23916" s="1"/>
  <c r="FT657" i="23916"/>
  <c r="FX657" i="23916"/>
  <c r="FX672" i="23916" s="1"/>
  <c r="GB657" i="23916"/>
  <c r="GF657" i="23916"/>
  <c r="GF673" i="23916" s="1"/>
  <c r="DW659" i="23916"/>
  <c r="BR693" i="23916"/>
  <c r="BU693" i="23916"/>
  <c r="BV693" i="23916" s="1"/>
  <c r="BU694" i="23916"/>
  <c r="BY659" i="23916"/>
  <c r="GZ658" i="23916"/>
  <c r="GY658" i="23916"/>
  <c r="FU659" i="23916"/>
  <c r="FZ674" i="23916"/>
  <c r="GD674" i="23916"/>
  <c r="GH674" i="23916"/>
  <c r="GI674" i="23916" s="1"/>
  <c r="GS661" i="23916"/>
  <c r="BQ662" i="23916"/>
  <c r="BR662" i="23916" s="1"/>
  <c r="DY689" i="23916"/>
  <c r="DY688" i="23916"/>
  <c r="DZ688" i="23916" s="1"/>
  <c r="DY687" i="23916"/>
  <c r="DZ687" i="23916" s="1"/>
  <c r="DY686" i="23916"/>
  <c r="DZ686" i="23916" s="1"/>
  <c r="DY673" i="23916"/>
  <c r="DZ673" i="23916" s="1"/>
  <c r="DZ644" i="23916"/>
  <c r="EH644" i="23916"/>
  <c r="DX649" i="23916"/>
  <c r="DX650" i="23916" s="1"/>
  <c r="BW695" i="23916"/>
  <c r="BX695" i="23916" s="1"/>
  <c r="BW691" i="23916"/>
  <c r="BX691" i="23916" s="1"/>
  <c r="BW690" i="23916"/>
  <c r="BX690" i="23916" s="1"/>
  <c r="BW685" i="23916"/>
  <c r="BX685" i="23916" s="1"/>
  <c r="BW689" i="23916"/>
  <c r="BX689" i="23916" s="1"/>
  <c r="BW688" i="23916"/>
  <c r="BX688" i="23916" s="1"/>
  <c r="BW687" i="23916"/>
  <c r="BX687" i="23916" s="1"/>
  <c r="BW686" i="23916"/>
  <c r="BX686" i="23916" s="1"/>
  <c r="CC690" i="23916"/>
  <c r="CD690" i="23916" s="1"/>
  <c r="CC689" i="23916"/>
  <c r="CD689" i="23916" s="1"/>
  <c r="CC691" i="23916"/>
  <c r="CD691" i="23916" s="1"/>
  <c r="CC688" i="23916"/>
  <c r="CD688" i="23916" s="1"/>
  <c r="CC687" i="23916"/>
  <c r="CD687" i="23916" s="1"/>
  <c r="CC686" i="23916"/>
  <c r="CD686" i="23916" s="1"/>
  <c r="CC685" i="23916"/>
  <c r="CD685" i="23916" s="1"/>
  <c r="CK691" i="23916"/>
  <c r="CK690" i="23916"/>
  <c r="CL690" i="23916" s="1"/>
  <c r="CK689" i="23916"/>
  <c r="CL689" i="23916" s="1"/>
  <c r="CK688" i="23916"/>
  <c r="CL688" i="23916" s="1"/>
  <c r="CK687" i="23916"/>
  <c r="CK686" i="23916"/>
  <c r="CK685" i="23916"/>
  <c r="CS690" i="23916"/>
  <c r="CT690" i="23916" s="1"/>
  <c r="CS691" i="23916"/>
  <c r="CT691" i="23916" s="1"/>
  <c r="CS685" i="23916"/>
  <c r="DA691" i="23916"/>
  <c r="DB691" i="23916" s="1"/>
  <c r="DA690" i="23916"/>
  <c r="DB690" i="23916" s="1"/>
  <c r="DA685" i="23916"/>
  <c r="DI690" i="23916"/>
  <c r="DI691" i="23916"/>
  <c r="DJ691" i="23916" s="1"/>
  <c r="DI685" i="23916"/>
  <c r="DJ685" i="23916" s="1"/>
  <c r="DM691" i="23916"/>
  <c r="DM690" i="23916"/>
  <c r="DN690" i="23916" s="1"/>
  <c r="DM685" i="23916"/>
  <c r="DU690" i="23916"/>
  <c r="DV690" i="23916" s="1"/>
  <c r="DU691" i="23916"/>
  <c r="DV691" i="23916" s="1"/>
  <c r="DU685" i="23916"/>
  <c r="EA691" i="23916"/>
  <c r="EB691" i="23916" s="1"/>
  <c r="EA690" i="23916"/>
  <c r="EB690" i="23916" s="1"/>
  <c r="EA685" i="23916"/>
  <c r="EI691" i="23916"/>
  <c r="EI690" i="23916"/>
  <c r="EI685" i="23916"/>
  <c r="EJ685" i="23916" s="1"/>
  <c r="EI688" i="23916"/>
  <c r="EI689" i="23916"/>
  <c r="EI687" i="23916"/>
  <c r="EJ687" i="23916" s="1"/>
  <c r="EI686" i="23916"/>
  <c r="EJ686" i="23916" s="1"/>
  <c r="FI655" i="23916"/>
  <c r="FM655" i="23916"/>
  <c r="FQ655" i="23916"/>
  <c r="FU655" i="23916"/>
  <c r="FY655" i="23916"/>
  <c r="GC655" i="23916"/>
  <c r="GG655" i="23916"/>
  <c r="BX655" i="23916"/>
  <c r="BZ655" i="23916"/>
  <c r="CB655" i="23916"/>
  <c r="CD655" i="23916"/>
  <c r="CF655" i="23916"/>
  <c r="CH655" i="23916"/>
  <c r="CJ655" i="23916"/>
  <c r="CL655" i="23916"/>
  <c r="CN655" i="23916"/>
  <c r="CP655" i="23916"/>
  <c r="CR655" i="23916"/>
  <c r="CT655" i="23916"/>
  <c r="CV655" i="23916"/>
  <c r="CX655" i="23916"/>
  <c r="CZ655" i="23916"/>
  <c r="DB655" i="23916"/>
  <c r="DD655" i="23916"/>
  <c r="DF655" i="23916"/>
  <c r="DH655" i="23916"/>
  <c r="DL656" i="23916"/>
  <c r="M681" i="23916"/>
  <c r="N681" i="23916" s="1"/>
  <c r="M677" i="23916"/>
  <c r="N677" i="23916" s="1"/>
  <c r="M679" i="23916"/>
  <c r="M676" i="23916"/>
  <c r="N676" i="23916" s="1"/>
  <c r="M673" i="23916"/>
  <c r="M672" i="23916"/>
  <c r="N672" i="23916" s="1"/>
  <c r="Q681" i="23916"/>
  <c r="Q679" i="23916"/>
  <c r="R679" i="23916" s="1"/>
  <c r="Q677" i="23916"/>
  <c r="R677" i="23916" s="1"/>
  <c r="Q673" i="23916"/>
  <c r="Q676" i="23916"/>
  <c r="R676" i="23916" s="1"/>
  <c r="Q672" i="23916"/>
  <c r="R672" i="23916" s="1"/>
  <c r="U681" i="23916"/>
  <c r="U677" i="23916"/>
  <c r="V677" i="23916" s="1"/>
  <c r="U673" i="23916"/>
  <c r="V673" i="23916" s="1"/>
  <c r="U672" i="23916"/>
  <c r="V672" i="23916" s="1"/>
  <c r="U676" i="23916"/>
  <c r="V676" i="23916" s="1"/>
  <c r="Y681" i="23916"/>
  <c r="Y677" i="23916"/>
  <c r="Z677" i="23916" s="1"/>
  <c r="Y679" i="23916"/>
  <c r="Y673" i="23916"/>
  <c r="Y676" i="23916"/>
  <c r="Y672" i="23916"/>
  <c r="Z672" i="23916" s="1"/>
  <c r="AC681" i="23916"/>
  <c r="AD681" i="23916" s="1"/>
  <c r="AC677" i="23916"/>
  <c r="AD677" i="23916" s="1"/>
  <c r="AC679" i="23916"/>
  <c r="AC673" i="23916"/>
  <c r="AD673" i="23916" s="1"/>
  <c r="AC676" i="23916"/>
  <c r="AC672" i="23916"/>
  <c r="BE681" i="23916"/>
  <c r="BF681" i="23916" s="1"/>
  <c r="BE677" i="23916"/>
  <c r="BF677" i="23916" s="1"/>
  <c r="BE676" i="23916"/>
  <c r="BE679" i="23916"/>
  <c r="BE673" i="23916"/>
  <c r="BF673" i="23916" s="1"/>
  <c r="BE672" i="23916"/>
  <c r="BF672" i="23916" s="1"/>
  <c r="BI677" i="23916"/>
  <c r="BI676" i="23916"/>
  <c r="BJ676" i="23916" s="1"/>
  <c r="BI679" i="23916"/>
  <c r="BI675" i="23916"/>
  <c r="BJ675" i="23916" s="1"/>
  <c r="BI674" i="23916"/>
  <c r="BJ674" i="23916" s="1"/>
  <c r="BI673" i="23916"/>
  <c r="BJ673" i="23916" s="1"/>
  <c r="BI672" i="23916"/>
  <c r="BQ677" i="23916"/>
  <c r="BR677" i="23916" s="1"/>
  <c r="BQ676" i="23916"/>
  <c r="BQ675" i="23916"/>
  <c r="BR675" i="23916" s="1"/>
  <c r="BQ674" i="23916"/>
  <c r="BR674" i="23916" s="1"/>
  <c r="BQ673" i="23916"/>
  <c r="BR673" i="23916" s="1"/>
  <c r="BQ672" i="23916"/>
  <c r="BR672" i="23916" s="1"/>
  <c r="BU676" i="23916"/>
  <c r="BU679" i="23916"/>
  <c r="BU677" i="23916"/>
  <c r="BU675" i="23916"/>
  <c r="BV675" i="23916" s="1"/>
  <c r="BU674" i="23916"/>
  <c r="BV674" i="23916" s="1"/>
  <c r="BU673" i="23916"/>
  <c r="BV673" i="23916" s="1"/>
  <c r="BU672" i="23916"/>
  <c r="BY657" i="23916"/>
  <c r="CC657" i="23916"/>
  <c r="CC640" i="23916" s="1"/>
  <c r="CD640" i="23916" s="1"/>
  <c r="CG657" i="23916"/>
  <c r="CK657" i="23916"/>
  <c r="CK640" i="23916" s="1"/>
  <c r="CO657" i="23916"/>
  <c r="CS657" i="23916"/>
  <c r="CS640" i="23916" s="1"/>
  <c r="CT640" i="23916" s="1"/>
  <c r="CW657" i="23916"/>
  <c r="CW676" i="23916" s="1"/>
  <c r="CX676" i="23916" s="1"/>
  <c r="DA657" i="23916"/>
  <c r="DA640" i="23916" s="1"/>
  <c r="DE657" i="23916"/>
  <c r="DI657" i="23916"/>
  <c r="DI674" i="23916" s="1"/>
  <c r="DJ674" i="23916" s="1"/>
  <c r="DM657" i="23916"/>
  <c r="DQ657" i="23916"/>
  <c r="DQ674" i="23916" s="1"/>
  <c r="DU657" i="23916"/>
  <c r="DU640" i="23916" s="1"/>
  <c r="DY657" i="23916"/>
  <c r="DY676" i="23916" s="1"/>
  <c r="DZ676" i="23916" s="1"/>
  <c r="EC657" i="23916"/>
  <c r="EG657" i="23916"/>
  <c r="EG640" i="23916" s="1"/>
  <c r="EH640" i="23916" s="1"/>
  <c r="EK657" i="23916"/>
  <c r="EO657" i="23916"/>
  <c r="FE657" i="23916"/>
  <c r="DX659" i="23916"/>
  <c r="BI660" i="23916"/>
  <c r="BQ660" i="23916"/>
  <c r="BU660" i="23916"/>
  <c r="CE659" i="23916"/>
  <c r="CI659" i="23916"/>
  <c r="CM659" i="23916"/>
  <c r="CQ659" i="23916"/>
  <c r="CU659" i="23916"/>
  <c r="CY659" i="23916"/>
  <c r="DC659" i="23916"/>
  <c r="DG659" i="23916"/>
  <c r="DK659" i="23916"/>
  <c r="DO659" i="23916"/>
  <c r="DS659" i="23916"/>
  <c r="EA659" i="23916"/>
  <c r="EE659" i="23916"/>
  <c r="EG662" i="23916" s="1"/>
  <c r="EI659" i="23916"/>
  <c r="EM659" i="23916"/>
  <c r="FV659" i="23916"/>
  <c r="GA661" i="23916"/>
  <c r="GE661" i="23916"/>
  <c r="GI661" i="23916"/>
  <c r="GM661" i="23916"/>
  <c r="GQ661" i="23916"/>
  <c r="BM662" i="23916"/>
  <c r="BN662" i="23916" s="1"/>
  <c r="Q663" i="23916"/>
  <c r="R663" i="23916" s="1"/>
  <c r="FH662" i="23916"/>
  <c r="FP662" i="23916"/>
  <c r="FQ662" i="23916" s="1"/>
  <c r="X680" i="23916"/>
  <c r="AN680" i="23916"/>
  <c r="AB680" i="23916"/>
  <c r="AV686" i="23916"/>
  <c r="BL686" i="23916"/>
  <c r="AF687" i="23916"/>
  <c r="AV687" i="23916"/>
  <c r="BL687" i="23916"/>
  <c r="AF688" i="23916"/>
  <c r="AV688" i="23916"/>
  <c r="BL688" i="23916"/>
  <c r="T689" i="23916"/>
  <c r="AJ689" i="23916"/>
  <c r="AZ689" i="23916"/>
  <c r="BP689" i="23916"/>
  <c r="BB686" i="23916"/>
  <c r="BR686" i="23916"/>
  <c r="V687" i="23916"/>
  <c r="AL687" i="23916"/>
  <c r="BB687" i="23916"/>
  <c r="BR687" i="23916"/>
  <c r="V688" i="23916"/>
  <c r="AL688" i="23916"/>
  <c r="BB688" i="23916"/>
  <c r="BR688" i="23916"/>
  <c r="AJ686" i="23916"/>
  <c r="AZ686" i="23916"/>
  <c r="BP686" i="23916"/>
  <c r="T687" i="23916"/>
  <c r="AJ687" i="23916"/>
  <c r="AZ687" i="23916"/>
  <c r="BP687" i="23916"/>
  <c r="T688" i="23916"/>
  <c r="AJ688" i="23916"/>
  <c r="AZ688" i="23916"/>
  <c r="BP688" i="23916"/>
  <c r="X689" i="23916"/>
  <c r="AN689" i="23916"/>
  <c r="BD689" i="23916"/>
  <c r="BT689" i="23916"/>
  <c r="AZ706" i="23916"/>
  <c r="P715" i="23916"/>
  <c r="X715" i="23916"/>
  <c r="AF715" i="23916"/>
  <c r="AN715" i="23916"/>
  <c r="AV715" i="23916"/>
  <c r="BB706" i="23916"/>
  <c r="BB715" i="23916"/>
  <c r="BH715" i="23916"/>
  <c r="BL715" i="23916"/>
  <c r="BT715" i="23916"/>
  <c r="CB715" i="23916"/>
  <c r="CJ715" i="23916"/>
  <c r="CR715" i="23916"/>
  <c r="BD706" i="23916"/>
  <c r="EG734" i="23916"/>
  <c r="EG706" i="23916"/>
  <c r="EH704" i="23916"/>
  <c r="EO734" i="23916"/>
  <c r="EO706" i="23916"/>
  <c r="EP704" i="23916"/>
  <c r="EX704" i="23916"/>
  <c r="BF706" i="23916"/>
  <c r="N715" i="23916"/>
  <c r="V715" i="23916"/>
  <c r="AD715" i="23916"/>
  <c r="AL715" i="23916"/>
  <c r="AT715" i="23916"/>
  <c r="BF715" i="23916"/>
  <c r="BJ715" i="23916"/>
  <c r="BP715" i="23916"/>
  <c r="BX715" i="23916"/>
  <c r="CF715" i="23916"/>
  <c r="CN715" i="23916"/>
  <c r="CV715" i="23916"/>
  <c r="CG704" i="23916"/>
  <c r="EA704" i="23916"/>
  <c r="EI704" i="23916"/>
  <c r="AT704" i="23916"/>
  <c r="BB704" i="23916"/>
  <c r="BJ704" i="23916"/>
  <c r="BR704" i="23916"/>
  <c r="BZ704" i="23916"/>
  <c r="CP704" i="23916"/>
  <c r="DN704" i="23916"/>
  <c r="DV704" i="23916"/>
  <c r="EF704" i="23916"/>
  <c r="EL701" i="23916"/>
  <c r="EN704" i="23916"/>
  <c r="DC706" i="23916"/>
  <c r="DK706" i="23916"/>
  <c r="ET704" i="23916"/>
  <c r="BB713" i="23916"/>
  <c r="N713" i="23916"/>
  <c r="V713" i="23916"/>
  <c r="AD713" i="23916"/>
  <c r="AL713" i="23916"/>
  <c r="AT713" i="23916"/>
  <c r="BP713" i="23916"/>
  <c r="BX713" i="23916"/>
  <c r="CF713" i="23916"/>
  <c r="CN713" i="23916"/>
  <c r="CV713" i="23916"/>
  <c r="Q715" i="23916"/>
  <c r="R715" i="23916" s="1"/>
  <c r="Y715" i="23916"/>
  <c r="Z715" i="23916" s="1"/>
  <c r="AG715" i="23916"/>
  <c r="AH715" i="23916" s="1"/>
  <c r="AO715" i="23916"/>
  <c r="AP715" i="23916" s="1"/>
  <c r="BM715" i="23916"/>
  <c r="BN715" i="23916" s="1"/>
  <c r="BQ715" i="23916"/>
  <c r="BR715" i="23916" s="1"/>
  <c r="BU715" i="23916"/>
  <c r="BV715" i="23916" s="1"/>
  <c r="BY715" i="23916"/>
  <c r="BZ715" i="23916" s="1"/>
  <c r="CC715" i="23916"/>
  <c r="CG715" i="23916"/>
  <c r="CK715" i="23916"/>
  <c r="CL715" i="23916" s="1"/>
  <c r="CO715" i="23916"/>
  <c r="CP715" i="23916" s="1"/>
  <c r="CS715" i="23916"/>
  <c r="AV704" i="23916"/>
  <c r="BD704" i="23916"/>
  <c r="BL704" i="23916"/>
  <c r="BT704" i="23916"/>
  <c r="CB704" i="23916"/>
  <c r="CJ704" i="23916"/>
  <c r="CR704" i="23916"/>
  <c r="DP704" i="23916"/>
  <c r="DZ704" i="23916"/>
  <c r="EN701" i="23916"/>
  <c r="BI706" i="23916"/>
  <c r="BJ706" i="23916" s="1"/>
  <c r="BM706" i="23916"/>
  <c r="BN706" i="23916" s="1"/>
  <c r="BQ706" i="23916"/>
  <c r="BU706" i="23916"/>
  <c r="BV706" i="23916" s="1"/>
  <c r="BY706" i="23916"/>
  <c r="BZ706" i="23916" s="1"/>
  <c r="CC706" i="23916"/>
  <c r="CK706" i="23916"/>
  <c r="CL706" i="23916" s="1"/>
  <c r="CO706" i="23916"/>
  <c r="CS706" i="23916"/>
  <c r="CT706" i="23916" s="1"/>
  <c r="CW706" i="23916"/>
  <c r="DE706" i="23916"/>
  <c r="DM706" i="23916"/>
  <c r="DN706" i="23916" s="1"/>
  <c r="DQ706" i="23916"/>
  <c r="DR706" i="23916" s="1"/>
  <c r="DU706" i="23916"/>
  <c r="DY706" i="23916"/>
  <c r="EC706" i="23916"/>
  <c r="ED706" i="23916" s="1"/>
  <c r="EK706" i="23916"/>
  <c r="EX701" i="23916"/>
  <c r="P713" i="23916"/>
  <c r="X713" i="23916"/>
  <c r="AF713" i="23916"/>
  <c r="AN713" i="23916"/>
  <c r="AV713" i="23916"/>
  <c r="BN704" i="23916"/>
  <c r="BV704" i="23916"/>
  <c r="CD704" i="23916"/>
  <c r="CL704" i="23916"/>
  <c r="CT704" i="23916"/>
  <c r="DR704" i="23916"/>
  <c r="EH701" i="23916"/>
  <c r="EP701" i="23916"/>
  <c r="CY706" i="23916"/>
  <c r="DG706" i="23916"/>
  <c r="EV704" i="23916"/>
  <c r="BD713" i="23916"/>
  <c r="BL713" i="23916"/>
  <c r="BT713" i="23916"/>
  <c r="CB713" i="23916"/>
  <c r="CJ713" i="23916"/>
  <c r="CR713" i="23916"/>
  <c r="K715" i="23916"/>
  <c r="L715" i="23916" s="1"/>
  <c r="S715" i="23916"/>
  <c r="AA715" i="23916"/>
  <c r="AB715" i="23916" s="1"/>
  <c r="AI715" i="23916"/>
  <c r="AJ715" i="23916" s="1"/>
  <c r="AQ715" i="23916"/>
  <c r="AR715" i="23916" s="1"/>
  <c r="AR704" i="23916"/>
  <c r="AZ704" i="23916"/>
  <c r="BH704" i="23916"/>
  <c r="BP704" i="23916"/>
  <c r="BX704" i="23916"/>
  <c r="CF704" i="23916"/>
  <c r="CH703" i="23916"/>
  <c r="CN704" i="23916"/>
  <c r="CV704" i="23916"/>
  <c r="DT704" i="23916"/>
  <c r="ED704" i="23916"/>
  <c r="EJ701" i="23916"/>
  <c r="EL704" i="23916"/>
  <c r="BG706" i="23916"/>
  <c r="BH706" i="23916" s="1"/>
  <c r="BK706" i="23916"/>
  <c r="BL706" i="23916" s="1"/>
  <c r="BO706" i="23916"/>
  <c r="BP706" i="23916" s="1"/>
  <c r="BS706" i="23916"/>
  <c r="BW706" i="23916"/>
  <c r="CA706" i="23916"/>
  <c r="CB706" i="23916" s="1"/>
  <c r="CE706" i="23916"/>
  <c r="CF706" i="23916" s="1"/>
  <c r="CI706" i="23916"/>
  <c r="CM706" i="23916"/>
  <c r="CQ706" i="23916"/>
  <c r="CR706" i="23916" s="1"/>
  <c r="CU706" i="23916"/>
  <c r="CV706" i="23916" s="1"/>
  <c r="DA706" i="23916"/>
  <c r="DI706" i="23916"/>
  <c r="DO706" i="23916"/>
  <c r="DS706" i="23916"/>
  <c r="DT706" i="23916" s="1"/>
  <c r="DW706" i="23916"/>
  <c r="EE706" i="23916"/>
  <c r="EF706" i="23916" s="1"/>
  <c r="EM706" i="23916"/>
  <c r="DR674" i="23916" l="1"/>
  <c r="CL640" i="23916"/>
  <c r="FY672" i="23916"/>
  <c r="GO649" i="23916"/>
  <c r="GN650" i="23916"/>
  <c r="GO650" i="23916" s="1"/>
  <c r="GI290" i="23916"/>
  <c r="GK290" i="23916"/>
  <c r="ET288" i="23916"/>
  <c r="ES296" i="23916"/>
  <c r="ES293" i="23916"/>
  <c r="ES290" i="23916"/>
  <c r="ET290" i="23916" s="1"/>
  <c r="GA672" i="23916"/>
  <c r="GF749" i="23916"/>
  <c r="GB749" i="23916"/>
  <c r="FQ199" i="23916"/>
  <c r="FP204" i="23916"/>
  <c r="FW166" i="23916"/>
  <c r="DB640" i="23916"/>
  <c r="FR465" i="23916"/>
  <c r="FR458" i="23916"/>
  <c r="BU740" i="23916"/>
  <c r="BV300" i="23916"/>
  <c r="BU301" i="23916"/>
  <c r="BV301" i="23916" s="1"/>
  <c r="CD300" i="23916"/>
  <c r="FR241" i="23916"/>
  <c r="GL241" i="23916"/>
  <c r="GH241" i="23916"/>
  <c r="FV241" i="23916"/>
  <c r="FW240" i="23916"/>
  <c r="GN736" i="23916"/>
  <c r="GO39" i="23916"/>
  <c r="DM681" i="23916"/>
  <c r="DM679" i="23916"/>
  <c r="DM675" i="23916"/>
  <c r="DM660" i="23916"/>
  <c r="DN657" i="23916"/>
  <c r="CG679" i="23916"/>
  <c r="CG677" i="23916"/>
  <c r="CG676" i="23916"/>
  <c r="CG675" i="23916"/>
  <c r="CG674" i="23916"/>
  <c r="CG673" i="23916"/>
  <c r="CH673" i="23916" s="1"/>
  <c r="CG672" i="23916"/>
  <c r="CG660" i="23916"/>
  <c r="CH657" i="23916"/>
  <c r="CG640" i="23916"/>
  <c r="DE695" i="23916"/>
  <c r="DE694" i="23916"/>
  <c r="DE693" i="23916"/>
  <c r="DF659" i="23916"/>
  <c r="DE662" i="23916"/>
  <c r="DW679" i="23916"/>
  <c r="DW678" i="23916"/>
  <c r="DW681" i="23916"/>
  <c r="DW675" i="23916"/>
  <c r="DW660" i="23916"/>
  <c r="AI681" i="23916"/>
  <c r="AJ681" i="23916" s="1"/>
  <c r="AI679" i="23916"/>
  <c r="AJ679" i="23916" s="1"/>
  <c r="AI678" i="23916"/>
  <c r="AJ678" i="23916" s="1"/>
  <c r="AI677" i="23916"/>
  <c r="AJ677" i="23916" s="1"/>
  <c r="AI676" i="23916"/>
  <c r="AJ676" i="23916" s="1"/>
  <c r="AI663" i="23916"/>
  <c r="AI673" i="23916"/>
  <c r="AJ673" i="23916" s="1"/>
  <c r="AI672" i="23916"/>
  <c r="AJ672" i="23916" s="1"/>
  <c r="AJ657" i="23916"/>
  <c r="GM655" i="23916"/>
  <c r="CF690" i="23916"/>
  <c r="CU672" i="23916"/>
  <c r="DR649" i="23916"/>
  <c r="DQ650" i="23916"/>
  <c r="CP649" i="23916"/>
  <c r="CO650" i="23916"/>
  <c r="CP650" i="23916" s="1"/>
  <c r="EF689" i="23916"/>
  <c r="ED634" i="23916"/>
  <c r="EC635" i="23916"/>
  <c r="BR634" i="23916"/>
  <c r="BQ635" i="23916"/>
  <c r="EW656" i="23916"/>
  <c r="EV656" i="23916"/>
  <c r="EU633" i="23916"/>
  <c r="EV633" i="23916" s="1"/>
  <c r="DP687" i="23916"/>
  <c r="FV672" i="23916"/>
  <c r="FK674" i="23916"/>
  <c r="FF672" i="23916"/>
  <c r="FG672" i="23916" s="1"/>
  <c r="EX640" i="23916"/>
  <c r="EP640" i="23916"/>
  <c r="AI640" i="23916"/>
  <c r="CW640" i="23916"/>
  <c r="ET640" i="23916"/>
  <c r="GJ649" i="23916"/>
  <c r="FU649" i="23916"/>
  <c r="FT650" i="23916"/>
  <c r="FU650" i="23916" s="1"/>
  <c r="EQ635" i="23916"/>
  <c r="ER635" i="23916" s="1"/>
  <c r="ER634" i="23916"/>
  <c r="DT648" i="23916"/>
  <c r="DZ640" i="23916"/>
  <c r="GN635" i="23916"/>
  <c r="GO634" i="23916"/>
  <c r="FX635" i="23916"/>
  <c r="FY634" i="23916"/>
  <c r="FH635" i="23916"/>
  <c r="FI634" i="23916"/>
  <c r="FI692" i="23916"/>
  <c r="ES722" i="23916"/>
  <c r="ES610" i="23916"/>
  <c r="ER610" i="23916"/>
  <c r="FQ599" i="23916"/>
  <c r="FI599" i="23916"/>
  <c r="FM649" i="23916"/>
  <c r="FL650" i="23916"/>
  <c r="EQ722" i="23916"/>
  <c r="GA590" i="23916"/>
  <c r="GR629" i="23916"/>
  <c r="GQ629" i="23916"/>
  <c r="GP503" i="23916"/>
  <c r="GQ503" i="23916" s="1"/>
  <c r="GO599" i="23916"/>
  <c r="GE594" i="23916"/>
  <c r="FY590" i="23916"/>
  <c r="GH596" i="23916"/>
  <c r="GD596" i="23916"/>
  <c r="EU594" i="23916"/>
  <c r="EV599" i="23916"/>
  <c r="EU598" i="23916"/>
  <c r="EV598" i="23916" s="1"/>
  <c r="GN596" i="23916"/>
  <c r="FZ552" i="23916"/>
  <c r="M614" i="23916"/>
  <c r="M553" i="23916"/>
  <c r="N541" i="23916"/>
  <c r="GQ540" i="23916"/>
  <c r="GS540" i="23916"/>
  <c r="GP13" i="23916"/>
  <c r="Q566" i="23916"/>
  <c r="E614" i="23916"/>
  <c r="E553" i="23916"/>
  <c r="E566" i="23916" s="1"/>
  <c r="EE753" i="23916"/>
  <c r="EE754" i="23916" s="1"/>
  <c r="EF497" i="23916"/>
  <c r="DO753" i="23916"/>
  <c r="DO754" i="23916" s="1"/>
  <c r="DP497" i="23916"/>
  <c r="CY753" i="23916"/>
  <c r="CY754" i="23916" s="1"/>
  <c r="CL554" i="23916"/>
  <c r="AA614" i="23916"/>
  <c r="AA553" i="23916"/>
  <c r="AB541" i="23916"/>
  <c r="S666" i="23916"/>
  <c r="C614" i="23916"/>
  <c r="C553" i="23916"/>
  <c r="C566" i="23916" s="1"/>
  <c r="GG554" i="23916"/>
  <c r="GO509" i="23916"/>
  <c r="GO554" i="23916"/>
  <c r="EX540" i="23916"/>
  <c r="EW13" i="23916"/>
  <c r="EX13" i="23916" s="1"/>
  <c r="FB666" i="23916"/>
  <c r="FB541" i="23916"/>
  <c r="AE541" i="23916"/>
  <c r="AN541" i="23916" s="1"/>
  <c r="AF538" i="23916"/>
  <c r="CK753" i="23916"/>
  <c r="CK754" i="23916" s="1"/>
  <c r="GR477" i="23916"/>
  <c r="GQ477" i="23916"/>
  <c r="CK482" i="23916"/>
  <c r="CT473" i="23916"/>
  <c r="CL473" i="23916"/>
  <c r="BU482" i="23916"/>
  <c r="BV473" i="23916"/>
  <c r="BE482" i="23916"/>
  <c r="BF473" i="23916"/>
  <c r="GD473" i="23916"/>
  <c r="GE471" i="23916"/>
  <c r="EQ473" i="23916"/>
  <c r="ES471" i="23916"/>
  <c r="ER471" i="23916"/>
  <c r="EF480" i="23916"/>
  <c r="EE482" i="23916"/>
  <c r="DL480" i="23916"/>
  <c r="DK482" i="23916"/>
  <c r="BM737" i="23916"/>
  <c r="BN367" i="23916"/>
  <c r="BM379" i="23916"/>
  <c r="BM382" i="23916"/>
  <c r="BM381" i="23916"/>
  <c r="BW482" i="23916"/>
  <c r="BX473" i="23916"/>
  <c r="GO471" i="23916"/>
  <c r="GN473" i="23916"/>
  <c r="FY471" i="23916"/>
  <c r="FX473" i="23916"/>
  <c r="CB482" i="23916"/>
  <c r="CA485" i="23916"/>
  <c r="CA484" i="23916"/>
  <c r="CB484" i="23916" s="1"/>
  <c r="CA488" i="23916"/>
  <c r="AU509" i="23916"/>
  <c r="AU485" i="23916"/>
  <c r="AV482" i="23916"/>
  <c r="AU484" i="23916"/>
  <c r="AV484" i="23916" s="1"/>
  <c r="AU488" i="23916"/>
  <c r="AV488" i="23916" s="1"/>
  <c r="FZ480" i="23916"/>
  <c r="GA480" i="23916" s="1"/>
  <c r="EL480" i="23916"/>
  <c r="EK482" i="23916"/>
  <c r="DU482" i="23916"/>
  <c r="DV480" i="23916"/>
  <c r="CW482" i="23916"/>
  <c r="CX480" i="23916"/>
  <c r="BU749" i="23916"/>
  <c r="BU751" i="23916" s="1"/>
  <c r="BV496" i="23916"/>
  <c r="L459" i="23916"/>
  <c r="K461" i="23916"/>
  <c r="K466" i="23916"/>
  <c r="FU418" i="23916"/>
  <c r="BO737" i="23916"/>
  <c r="BP367" i="23916"/>
  <c r="BI753" i="23916"/>
  <c r="BJ497" i="23916"/>
  <c r="AR509" i="23916"/>
  <c r="Y428" i="23916"/>
  <c r="AH428" i="23916" s="1"/>
  <c r="Y427" i="23916"/>
  <c r="BS422" i="23916"/>
  <c r="BT422" i="23916" s="1"/>
  <c r="BT413" i="23916"/>
  <c r="BS425" i="23916"/>
  <c r="BS421" i="23916"/>
  <c r="BT421" i="23916" s="1"/>
  <c r="AI427" i="23916"/>
  <c r="AI428" i="23916"/>
  <c r="AJ425" i="23916"/>
  <c r="S427" i="23916"/>
  <c r="S428" i="23916"/>
  <c r="T425" i="23916"/>
  <c r="BG401" i="23916"/>
  <c r="BH401" i="23916" s="1"/>
  <c r="BG396" i="23916"/>
  <c r="BH394" i="23916"/>
  <c r="FT328" i="23916"/>
  <c r="FT325" i="23916"/>
  <c r="FT343" i="23916"/>
  <c r="FT327" i="23916"/>
  <c r="DG740" i="23916"/>
  <c r="DH300" i="23916"/>
  <c r="DG301" i="23916"/>
  <c r="CM740" i="23916"/>
  <c r="CN300" i="23916"/>
  <c r="CM301" i="23916"/>
  <c r="CN301" i="23916" s="1"/>
  <c r="DO740" i="23916"/>
  <c r="DO301" i="23916"/>
  <c r="DP301" i="23916" s="1"/>
  <c r="DP300" i="23916"/>
  <c r="AI301" i="23916"/>
  <c r="AJ300" i="23916"/>
  <c r="S301" i="23916"/>
  <c r="T300" i="23916"/>
  <c r="EP294" i="23916"/>
  <c r="EH294" i="23916"/>
  <c r="GD306" i="23916"/>
  <c r="GE288" i="23916"/>
  <c r="AZ509" i="23916"/>
  <c r="GG500" i="23916"/>
  <c r="EK753" i="23916"/>
  <c r="EK754" i="23916" s="1"/>
  <c r="EL497" i="23916"/>
  <c r="BY753" i="23916"/>
  <c r="BB462" i="23916"/>
  <c r="T459" i="23916"/>
  <c r="AX428" i="23916"/>
  <c r="AW434" i="23916"/>
  <c r="AW430" i="23916"/>
  <c r="BJ425" i="23916"/>
  <c r="BI428" i="23916"/>
  <c r="BI427" i="23916"/>
  <c r="AY401" i="23916"/>
  <c r="AY396" i="23916"/>
  <c r="AZ394" i="23916"/>
  <c r="BU393" i="23916"/>
  <c r="BV391" i="23916"/>
  <c r="BU394" i="23916"/>
  <c r="BU400" i="23916"/>
  <c r="BE393" i="23916"/>
  <c r="BF391" i="23916"/>
  <c r="BE394" i="23916"/>
  <c r="BE400" i="23916"/>
  <c r="FV376" i="23916"/>
  <c r="FW374" i="23916"/>
  <c r="FX738" i="23916"/>
  <c r="FX367" i="23916"/>
  <c r="FY358" i="23916"/>
  <c r="AS345" i="23916"/>
  <c r="AT345" i="23916" s="1"/>
  <c r="AT343" i="23916"/>
  <c r="AS346" i="23916"/>
  <c r="BI340" i="23916"/>
  <c r="BI339" i="23916"/>
  <c r="BA340" i="23916"/>
  <c r="BB340" i="23916" s="1"/>
  <c r="BB325" i="23916"/>
  <c r="BA339" i="23916"/>
  <c r="EA309" i="23916"/>
  <c r="EA308" i="23916"/>
  <c r="EA312" i="23916"/>
  <c r="EB306" i="23916"/>
  <c r="CW312" i="23916"/>
  <c r="CW309" i="23916"/>
  <c r="CX306" i="23916"/>
  <c r="CW308" i="23916"/>
  <c r="BQ312" i="23916"/>
  <c r="BQ309" i="23916"/>
  <c r="BR306" i="23916"/>
  <c r="BQ308" i="23916"/>
  <c r="AI309" i="23916"/>
  <c r="AI308" i="23916"/>
  <c r="AJ306" i="23916"/>
  <c r="C308" i="23916"/>
  <c r="C309" i="23916"/>
  <c r="AR290" i="23916"/>
  <c r="AZ290" i="23916"/>
  <c r="CU264" i="23916"/>
  <c r="CV264" i="23916" s="1"/>
  <c r="CV263" i="23916"/>
  <c r="FP750" i="23916"/>
  <c r="FQ501" i="23916"/>
  <c r="GO477" i="23916"/>
  <c r="I428" i="23916"/>
  <c r="I427" i="23916"/>
  <c r="FH422" i="23916"/>
  <c r="FI417" i="23916"/>
  <c r="BW427" i="23916"/>
  <c r="BW428" i="23916"/>
  <c r="BX425" i="23916"/>
  <c r="BO427" i="23916"/>
  <c r="BP427" i="23916" s="1"/>
  <c r="BO428" i="23916"/>
  <c r="BP425" i="23916"/>
  <c r="BG427" i="23916"/>
  <c r="BG428" i="23916"/>
  <c r="BH425" i="23916"/>
  <c r="AY427" i="23916"/>
  <c r="AZ427" i="23916" s="1"/>
  <c r="AY428" i="23916"/>
  <c r="AZ425" i="23916"/>
  <c r="AQ427" i="23916"/>
  <c r="AR427" i="23916" s="1"/>
  <c r="AQ428" i="23916"/>
  <c r="AR425" i="23916"/>
  <c r="BW401" i="23916"/>
  <c r="BW396" i="23916"/>
  <c r="BX394" i="23916"/>
  <c r="FQ391" i="23916"/>
  <c r="BD367" i="23916"/>
  <c r="AQ340" i="23916"/>
  <c r="AR340" i="23916" s="1"/>
  <c r="AQ339" i="23916"/>
  <c r="AR339" i="23916" s="1"/>
  <c r="GF312" i="23916"/>
  <c r="GF309" i="23916"/>
  <c r="DZ306" i="23916"/>
  <c r="DY308" i="23916"/>
  <c r="DZ308" i="23916" s="1"/>
  <c r="DY309" i="23916"/>
  <c r="DY312" i="23916"/>
  <c r="CU309" i="23916"/>
  <c r="CU308" i="23916"/>
  <c r="CU312" i="23916"/>
  <c r="I309" i="23916"/>
  <c r="I308" i="23916"/>
  <c r="R308" i="23916" s="1"/>
  <c r="GD300" i="23916"/>
  <c r="GH740" i="23916"/>
  <c r="GI300" i="23916"/>
  <c r="GH301" i="23916"/>
  <c r="GI301" i="23916" s="1"/>
  <c r="EE791" i="23916"/>
  <c r="EC740" i="23916"/>
  <c r="EC301" i="23916"/>
  <c r="ED300" i="23916"/>
  <c r="DM740" i="23916"/>
  <c r="DM301" i="23916"/>
  <c r="DN301" i="23916" s="1"/>
  <c r="DN300" i="23916"/>
  <c r="AT300" i="23916"/>
  <c r="AS301" i="23916"/>
  <c r="AD300" i="23916"/>
  <c r="AC301" i="23916"/>
  <c r="N300" i="23916"/>
  <c r="M301" i="23916"/>
  <c r="N301" i="23916" s="1"/>
  <c r="FQ288" i="23916"/>
  <c r="FP306" i="23916"/>
  <c r="EW272" i="23916"/>
  <c r="DM753" i="23916"/>
  <c r="DN497" i="23916"/>
  <c r="BL480" i="23916"/>
  <c r="AN425" i="23916"/>
  <c r="AM427" i="23916"/>
  <c r="AM428" i="23916"/>
  <c r="X425" i="23916"/>
  <c r="W427" i="23916"/>
  <c r="W428" i="23916"/>
  <c r="U425" i="23916"/>
  <c r="U421" i="23916"/>
  <c r="U422" i="23916"/>
  <c r="V422" i="23916" s="1"/>
  <c r="V413" i="23916"/>
  <c r="FP393" i="23916"/>
  <c r="FQ393" i="23916" s="1"/>
  <c r="BA391" i="23916"/>
  <c r="BB376" i="23916"/>
  <c r="BA388" i="23916"/>
  <c r="BB388" i="23916" s="1"/>
  <c r="FW360" i="23916"/>
  <c r="FY360" i="23916"/>
  <c r="DR306" i="23916"/>
  <c r="DQ309" i="23916"/>
  <c r="DQ312" i="23916"/>
  <c r="DQ308" i="23916"/>
  <c r="CL306" i="23916"/>
  <c r="CK309" i="23916"/>
  <c r="CK312" i="23916"/>
  <c r="CK308" i="23916"/>
  <c r="AU312" i="23916"/>
  <c r="AV312" i="23916" s="1"/>
  <c r="AU309" i="23916"/>
  <c r="AV306" i="23916"/>
  <c r="AU308" i="23916"/>
  <c r="O308" i="23916"/>
  <c r="P308" i="23916" s="1"/>
  <c r="P306" i="23916"/>
  <c r="O309" i="23916"/>
  <c r="EX302" i="23916"/>
  <c r="BE301" i="23916"/>
  <c r="BF300" i="23916"/>
  <c r="CL297" i="23916"/>
  <c r="CD297" i="23916"/>
  <c r="FR294" i="23916"/>
  <c r="FS294" i="23916" s="1"/>
  <c r="BB294" i="23916"/>
  <c r="GL537" i="23916"/>
  <c r="GM537" i="23916" s="1"/>
  <c r="GM274" i="23916"/>
  <c r="FW537" i="23916"/>
  <c r="BL537" i="23916"/>
  <c r="BD537" i="23916"/>
  <c r="EE770" i="23916"/>
  <c r="EE264" i="23916"/>
  <c r="DK265" i="23916"/>
  <c r="GH259" i="23916"/>
  <c r="DL259" i="23916"/>
  <c r="CE265" i="23916"/>
  <c r="CF259" i="23916"/>
  <c r="FZ259" i="23916"/>
  <c r="AY265" i="23916"/>
  <c r="FR259" i="23916"/>
  <c r="AZ259" i="23916"/>
  <c r="DZ259" i="23916"/>
  <c r="FI297" i="23916"/>
  <c r="CV300" i="23916"/>
  <c r="CI315" i="23916"/>
  <c r="CI311" i="23916"/>
  <c r="GN259" i="23916"/>
  <c r="EI265" i="23916"/>
  <c r="EJ259" i="23916"/>
  <c r="CP259" i="23916"/>
  <c r="CO265" i="23916"/>
  <c r="BJ259" i="23916"/>
  <c r="GE500" i="23916"/>
  <c r="AS270" i="23916"/>
  <c r="AT240" i="23916"/>
  <c r="AS241" i="23916"/>
  <c r="AS263" i="23916" s="1"/>
  <c r="DU270" i="23916"/>
  <c r="DU241" i="23916"/>
  <c r="DV240" i="23916"/>
  <c r="GJ240" i="23916"/>
  <c r="DE270" i="23916"/>
  <c r="DE241" i="23916"/>
  <c r="DF240" i="23916"/>
  <c r="GF240" i="23916"/>
  <c r="GI240" i="23916" s="1"/>
  <c r="CO270" i="23916"/>
  <c r="CO241" i="23916"/>
  <c r="CP240" i="23916"/>
  <c r="GB240" i="23916"/>
  <c r="BY270" i="23916"/>
  <c r="BY241" i="23916"/>
  <c r="BZ240" i="23916"/>
  <c r="FX240" i="23916"/>
  <c r="BI270" i="23916"/>
  <c r="BI241" i="23916"/>
  <c r="BJ240" i="23916"/>
  <c r="FT240" i="23916"/>
  <c r="GH749" i="23916"/>
  <c r="GI496" i="23916"/>
  <c r="FR749" i="23916"/>
  <c r="FS496" i="23916"/>
  <c r="FV494" i="23916"/>
  <c r="FW237" i="23916"/>
  <c r="GO493" i="23916"/>
  <c r="FY493" i="23916"/>
  <c r="DO728" i="23916"/>
  <c r="DP312" i="23916"/>
  <c r="BK315" i="23916"/>
  <c r="BK311" i="23916"/>
  <c r="AS311" i="23916"/>
  <c r="AS315" i="23916"/>
  <c r="AT315" i="23916" s="1"/>
  <c r="AT309" i="23916"/>
  <c r="AC311" i="23916"/>
  <c r="AC315" i="23916"/>
  <c r="AD309" i="23916"/>
  <c r="R306" i="23916"/>
  <c r="BH306" i="23916"/>
  <c r="BG308" i="23916"/>
  <c r="BH308" i="23916" s="1"/>
  <c r="BG312" i="23916"/>
  <c r="BG309" i="23916"/>
  <c r="FN312" i="23916"/>
  <c r="FN728" i="23916" s="1"/>
  <c r="FN309" i="23916"/>
  <c r="BA750" i="23916"/>
  <c r="BA751" i="23916" s="1"/>
  <c r="BB501" i="23916"/>
  <c r="EV258" i="23916"/>
  <c r="EW258" i="23916"/>
  <c r="EX258" i="23916" s="1"/>
  <c r="BF494" i="23916"/>
  <c r="BE497" i="23916"/>
  <c r="AQ204" i="23916"/>
  <c r="AR199" i="23916"/>
  <c r="AQ247" i="23916"/>
  <c r="AQ246" i="23916"/>
  <c r="AH425" i="23916"/>
  <c r="AW393" i="23916"/>
  <c r="AX393" i="23916" s="1"/>
  <c r="AX391" i="23916"/>
  <c r="AW394" i="23916"/>
  <c r="AW400" i="23916"/>
  <c r="AX400" i="23916" s="1"/>
  <c r="BX297" i="23916"/>
  <c r="CQ306" i="23916"/>
  <c r="CW750" i="23916"/>
  <c r="CW751" i="23916" s="1"/>
  <c r="CX501" i="23916"/>
  <c r="AV259" i="23916"/>
  <c r="EB267" i="23916"/>
  <c r="FQ493" i="23916"/>
  <c r="FT218" i="23916"/>
  <c r="FU208" i="23916"/>
  <c r="EO750" i="23916"/>
  <c r="EO751" i="23916" s="1"/>
  <c r="EP501" i="23916"/>
  <c r="DE750" i="23916"/>
  <c r="DE751" i="23916" s="1"/>
  <c r="DF501" i="23916"/>
  <c r="CJ259" i="23916"/>
  <c r="BD259" i="23916"/>
  <c r="FT224" i="23916"/>
  <c r="CA155" i="23916"/>
  <c r="CB135" i="23916"/>
  <c r="CA154" i="23916"/>
  <c r="CA156" i="23916" s="1"/>
  <c r="GF87" i="23916"/>
  <c r="GG86" i="23916"/>
  <c r="CL35" i="23916"/>
  <c r="CK92" i="23916"/>
  <c r="AZ263" i="23916"/>
  <c r="AY264" i="23916"/>
  <c r="CU276" i="23916"/>
  <c r="CU273" i="23916"/>
  <c r="CV270" i="23916"/>
  <c r="CU272" i="23916"/>
  <c r="GH750" i="23916"/>
  <c r="FR750" i="23916"/>
  <c r="FS501" i="23916"/>
  <c r="FP749" i="23916"/>
  <c r="FP751" i="23916" s="1"/>
  <c r="FQ496" i="23916"/>
  <c r="GE493" i="23916"/>
  <c r="BG233" i="23916"/>
  <c r="BH233" i="23916" s="1"/>
  <c r="GQ211" i="23916"/>
  <c r="GR211" i="23916"/>
  <c r="CQ495" i="23916"/>
  <c r="CR148" i="23916"/>
  <c r="GB148" i="23916"/>
  <c r="FP180" i="23916"/>
  <c r="FP177" i="23916"/>
  <c r="FQ174" i="23916"/>
  <c r="FP176" i="23916"/>
  <c r="FQ176" i="23916" s="1"/>
  <c r="GA52" i="23916"/>
  <c r="CH53" i="23916"/>
  <c r="CG64" i="23916"/>
  <c r="CP53" i="23916"/>
  <c r="BR53" i="23916"/>
  <c r="BQ64" i="23916"/>
  <c r="GL736" i="23916"/>
  <c r="GM39" i="23916"/>
  <c r="FV736" i="23916"/>
  <c r="FW39" i="23916"/>
  <c r="BW71" i="23916"/>
  <c r="BX32" i="23916"/>
  <c r="BW44" i="23916"/>
  <c r="BW45" i="23916" s="1"/>
  <c r="FX32" i="23916"/>
  <c r="FV750" i="23916"/>
  <c r="AR263" i="23916"/>
  <c r="AQ264" i="23916"/>
  <c r="AR264" i="23916" s="1"/>
  <c r="DD241" i="23916"/>
  <c r="GA493" i="23916"/>
  <c r="GM221" i="23916"/>
  <c r="FV204" i="23916"/>
  <c r="GR190" i="23916"/>
  <c r="GQ190" i="23916"/>
  <c r="BO495" i="23916"/>
  <c r="FV148" i="23916"/>
  <c r="BP148" i="23916"/>
  <c r="GI149" i="23916"/>
  <c r="GH150" i="23916"/>
  <c r="CF104" i="23916"/>
  <c r="FZ104" i="23916"/>
  <c r="CE110" i="23916"/>
  <c r="AZ104" i="23916"/>
  <c r="AY110" i="23916"/>
  <c r="AZ110" i="23916" s="1"/>
  <c r="FR104" i="23916"/>
  <c r="EM110" i="23916"/>
  <c r="EN104" i="23916"/>
  <c r="DG110" i="23916"/>
  <c r="DH104" i="23916"/>
  <c r="GO52" i="23916"/>
  <c r="EI736" i="23916"/>
  <c r="EJ39" i="23916"/>
  <c r="CT32" i="23916"/>
  <c r="CL32" i="23916"/>
  <c r="CK44" i="23916"/>
  <c r="CK45" i="23916" s="1"/>
  <c r="CK71" i="23916"/>
  <c r="BU44" i="23916"/>
  <c r="BU45" i="23916" s="1"/>
  <c r="BV32" i="23916"/>
  <c r="BU71" i="23916"/>
  <c r="DG270" i="23916"/>
  <c r="DH240" i="23916"/>
  <c r="DG241" i="23916"/>
  <c r="AQ232" i="23916"/>
  <c r="AR230" i="23916"/>
  <c r="BC180" i="23916"/>
  <c r="BC177" i="23916"/>
  <c r="BD174" i="23916"/>
  <c r="BC176" i="23916"/>
  <c r="CF168" i="23916"/>
  <c r="CE174" i="23916"/>
  <c r="BO180" i="23916"/>
  <c r="BO177" i="23916"/>
  <c r="BO176" i="23916"/>
  <c r="EI168" i="23916"/>
  <c r="EI166" i="23916"/>
  <c r="GN167" i="23916"/>
  <c r="EJ167" i="23916"/>
  <c r="DU174" i="23916"/>
  <c r="DV168" i="23916"/>
  <c r="DE174" i="23916"/>
  <c r="DF168" i="23916"/>
  <c r="BO118" i="23916"/>
  <c r="BO122" i="23916"/>
  <c r="BP116" i="23916"/>
  <c r="EN109" i="23916"/>
  <c r="EV109" i="23916"/>
  <c r="CL106" i="23916"/>
  <c r="CK113" i="23916"/>
  <c r="CZ115" i="23916"/>
  <c r="GE103" i="23916"/>
  <c r="GK83" i="23916"/>
  <c r="FS493" i="23916"/>
  <c r="EG735" i="23916"/>
  <c r="EH60" i="23916"/>
  <c r="CJ35" i="23916"/>
  <c r="CI92" i="23916"/>
  <c r="GL70" i="23916"/>
  <c r="GM31" i="23916"/>
  <c r="CA71" i="23916"/>
  <c r="CB32" i="23916"/>
  <c r="CA44" i="23916"/>
  <c r="CA45" i="23916" s="1"/>
  <c r="BT68" i="23916"/>
  <c r="FW167" i="23916"/>
  <c r="FV168" i="23916"/>
  <c r="DQ174" i="23916"/>
  <c r="DR168" i="23916"/>
  <c r="CI495" i="23916"/>
  <c r="CJ148" i="23916"/>
  <c r="EA726" i="23916"/>
  <c r="EB119" i="23916"/>
  <c r="DC726" i="23916"/>
  <c r="DD119" i="23916"/>
  <c r="AU270" i="23916"/>
  <c r="AV240" i="23916"/>
  <c r="AU241" i="23916"/>
  <c r="AU263" i="23916" s="1"/>
  <c r="BK270" i="23916"/>
  <c r="BL240" i="23916"/>
  <c r="BK241" i="23916"/>
  <c r="AU189" i="23916"/>
  <c r="AT195" i="23916"/>
  <c r="AS228" i="23916"/>
  <c r="CA174" i="23916"/>
  <c r="CB168" i="23916"/>
  <c r="BU176" i="23916"/>
  <c r="BV176" i="23916" s="1"/>
  <c r="BU180" i="23916"/>
  <c r="BU177" i="23916"/>
  <c r="BV174" i="23916"/>
  <c r="CX171" i="23916"/>
  <c r="EP168" i="23916"/>
  <c r="EO174" i="23916"/>
  <c r="DZ168" i="23916"/>
  <c r="DY174" i="23916"/>
  <c r="DK168" i="23916"/>
  <c r="DK166" i="23916"/>
  <c r="GH167" i="23916"/>
  <c r="DL167" i="23916"/>
  <c r="CU168" i="23916"/>
  <c r="CU166" i="23916"/>
  <c r="GD167" i="23916"/>
  <c r="CV167" i="23916"/>
  <c r="GH743" i="23916"/>
  <c r="GI137" i="23916"/>
  <c r="GC132" i="23916"/>
  <c r="BL104" i="23916"/>
  <c r="BK110" i="23916"/>
  <c r="BI113" i="23916"/>
  <c r="BJ106" i="23916"/>
  <c r="AY118" i="23916"/>
  <c r="AY122" i="23916"/>
  <c r="EL106" i="23916"/>
  <c r="EK113" i="23916"/>
  <c r="ED106" i="23916"/>
  <c r="EC113" i="23916"/>
  <c r="GJ106" i="23916"/>
  <c r="GK106" i="23916" s="1"/>
  <c r="GK105" i="23916"/>
  <c r="DE110" i="23916"/>
  <c r="DF104" i="23916"/>
  <c r="CW110" i="23916"/>
  <c r="CX110" i="23916" s="1"/>
  <c r="CX104" i="23916"/>
  <c r="ET103" i="23916"/>
  <c r="EU103" i="23916"/>
  <c r="GM105" i="23916"/>
  <c r="FQ87" i="23916"/>
  <c r="FP109" i="23916"/>
  <c r="FQ109" i="23916" s="1"/>
  <c r="CO79" i="23916"/>
  <c r="CO76" i="23916"/>
  <c r="EC78" i="23916"/>
  <c r="ED78" i="23916" s="1"/>
  <c r="CA64" i="23916"/>
  <c r="CB53" i="23916"/>
  <c r="BK64" i="23916"/>
  <c r="BL53" i="23916"/>
  <c r="ET36" i="23916"/>
  <c r="ES75" i="23916"/>
  <c r="ET75" i="23916" s="1"/>
  <c r="EU36" i="23916"/>
  <c r="GJ78" i="23916"/>
  <c r="GK78" i="23916" s="1"/>
  <c r="GK69" i="23916"/>
  <c r="GC69" i="23916"/>
  <c r="FU69" i="23916"/>
  <c r="CA270" i="23916"/>
  <c r="CB240" i="23916"/>
  <c r="CA241" i="23916"/>
  <c r="FX501" i="23916"/>
  <c r="FY257" i="23916"/>
  <c r="GL494" i="23916"/>
  <c r="GM237" i="23916"/>
  <c r="DO270" i="23916"/>
  <c r="DP240" i="23916"/>
  <c r="DO241" i="23916"/>
  <c r="BC270" i="23916"/>
  <c r="BD240" i="23916"/>
  <c r="BC241" i="23916"/>
  <c r="BC263" i="23916" s="1"/>
  <c r="FS208" i="23916"/>
  <c r="FR218" i="23916"/>
  <c r="FS218" i="23916" s="1"/>
  <c r="FR223" i="23916"/>
  <c r="FT223" i="23916"/>
  <c r="DI174" i="23916"/>
  <c r="DJ168" i="23916"/>
  <c r="EI726" i="23916"/>
  <c r="EJ119" i="23916"/>
  <c r="DK726" i="23916"/>
  <c r="DL119" i="23916"/>
  <c r="FU102" i="23916"/>
  <c r="BJ388" i="23916"/>
  <c r="AQ348" i="23916"/>
  <c r="AQ352" i="23916"/>
  <c r="AR352" i="23916" s="1"/>
  <c r="AR346" i="23916"/>
  <c r="DL302" i="23916"/>
  <c r="GK301" i="23916"/>
  <c r="CM306" i="23916"/>
  <c r="CV306" i="23916" s="1"/>
  <c r="AG315" i="23916"/>
  <c r="AH309" i="23916"/>
  <c r="AG311" i="23916"/>
  <c r="GI258" i="23916"/>
  <c r="GN501" i="23916"/>
  <c r="GO257" i="23916"/>
  <c r="EL494" i="23916"/>
  <c r="DH494" i="23916"/>
  <c r="AQ180" i="23916"/>
  <c r="AR180" i="23916" s="1"/>
  <c r="AR174" i="23916"/>
  <c r="AQ177" i="23916"/>
  <c r="AQ176" i="23916"/>
  <c r="AR176" i="23916" s="1"/>
  <c r="EE166" i="23916"/>
  <c r="EE168" i="23916"/>
  <c r="EF167" i="23916"/>
  <c r="EJ495" i="23916"/>
  <c r="BF113" i="23916"/>
  <c r="BE116" i="23916"/>
  <c r="BE115" i="23916"/>
  <c r="BE119" i="23916"/>
  <c r="CA118" i="23916"/>
  <c r="CA122" i="23916"/>
  <c r="CB116" i="23916"/>
  <c r="DS122" i="23916"/>
  <c r="DS118" i="23916"/>
  <c r="DT116" i="23916"/>
  <c r="BX78" i="23916"/>
  <c r="FR253" i="23916"/>
  <c r="FS251" i="23916"/>
  <c r="CQ174" i="23916"/>
  <c r="CR168" i="23916"/>
  <c r="AY171" i="23916"/>
  <c r="AZ166" i="23916"/>
  <c r="FR166" i="23916"/>
  <c r="AW176" i="23916"/>
  <c r="AX176" i="23916" s="1"/>
  <c r="AW180" i="23916"/>
  <c r="AX180" i="23916" s="1"/>
  <c r="AW177" i="23916"/>
  <c r="AX174" i="23916"/>
  <c r="EC174" i="23916"/>
  <c r="ED168" i="23916"/>
  <c r="DG166" i="23916"/>
  <c r="DG168" i="23916"/>
  <c r="DH167" i="23916"/>
  <c r="FU166" i="23916"/>
  <c r="FW164" i="23916"/>
  <c r="EM119" i="23916"/>
  <c r="EN113" i="23916"/>
  <c r="EM115" i="23916"/>
  <c r="EN115" i="23916" s="1"/>
  <c r="EM116" i="23916"/>
  <c r="BW726" i="23916"/>
  <c r="BX119" i="23916"/>
  <c r="BH115" i="23916"/>
  <c r="EP106" i="23916"/>
  <c r="EO113" i="23916"/>
  <c r="DY110" i="23916"/>
  <c r="DZ104" i="23916"/>
  <c r="DJ106" i="23916"/>
  <c r="DI113" i="23916"/>
  <c r="CS110" i="23916"/>
  <c r="CT110" i="23916" s="1"/>
  <c r="CT104" i="23916"/>
  <c r="GA83" i="23916"/>
  <c r="FV53" i="23916"/>
  <c r="GD735" i="23916"/>
  <c r="GE60" i="23916"/>
  <c r="CO93" i="23916"/>
  <c r="CP56" i="23916"/>
  <c r="CG93" i="23916"/>
  <c r="CH56" i="23916"/>
  <c r="BQ93" i="23916"/>
  <c r="BR56" i="23916"/>
  <c r="GF736" i="23916"/>
  <c r="GG39" i="23916"/>
  <c r="FY69" i="23916"/>
  <c r="BN115" i="23916"/>
  <c r="DL109" i="23916"/>
  <c r="AZ109" i="23916"/>
  <c r="GA75" i="23916"/>
  <c r="CQ276" i="23916"/>
  <c r="CQ273" i="23916"/>
  <c r="CQ272" i="23916"/>
  <c r="EB109" i="23916"/>
  <c r="CT171" i="23916"/>
  <c r="EE726" i="23916"/>
  <c r="EF119" i="23916"/>
  <c r="ET706" i="23916"/>
  <c r="EL706" i="23916"/>
  <c r="EA695" i="23916"/>
  <c r="EA694" i="23916"/>
  <c r="EA693" i="23916"/>
  <c r="EA662" i="23916"/>
  <c r="EB659" i="23916"/>
  <c r="EC681" i="23916"/>
  <c r="EC679" i="23916"/>
  <c r="EC678" i="23916"/>
  <c r="EC675" i="23916"/>
  <c r="ED675" i="23916" s="1"/>
  <c r="EC660" i="23916"/>
  <c r="ED657" i="23916"/>
  <c r="CU679" i="23916"/>
  <c r="CV679" i="23916" s="1"/>
  <c r="CU678" i="23916"/>
  <c r="CU675" i="23916"/>
  <c r="CV657" i="23916"/>
  <c r="CU660" i="23916"/>
  <c r="FF681" i="23916"/>
  <c r="FG681" i="23916" s="1"/>
  <c r="FF679" i="23916"/>
  <c r="FG679" i="23916" s="1"/>
  <c r="FF675" i="23916"/>
  <c r="FG675" i="23916" s="1"/>
  <c r="FH663" i="23916"/>
  <c r="FG657" i="23916"/>
  <c r="GG662" i="23916"/>
  <c r="FO691" i="23916"/>
  <c r="GJ694" i="23916"/>
  <c r="GJ693" i="23916"/>
  <c r="GJ695" i="23916"/>
  <c r="DD677" i="23916"/>
  <c r="FY673" i="23916"/>
  <c r="DW677" i="23916"/>
  <c r="EF677" i="23916" s="1"/>
  <c r="FI672" i="23916"/>
  <c r="ED649" i="23916"/>
  <c r="EC650" i="23916"/>
  <c r="DB674" i="23916"/>
  <c r="CW673" i="23916"/>
  <c r="GE634" i="23916"/>
  <c r="GD635" i="23916"/>
  <c r="DN634" i="23916"/>
  <c r="DM635" i="23916"/>
  <c r="AL634" i="23916"/>
  <c r="AK635" i="23916"/>
  <c r="CQ682" i="23916"/>
  <c r="CQ681" i="23916"/>
  <c r="CR681" i="23916" s="1"/>
  <c r="CR660" i="23916"/>
  <c r="CB662" i="23916"/>
  <c r="EL649" i="23916"/>
  <c r="EV706" i="23916"/>
  <c r="EN706" i="23916"/>
  <c r="DP706" i="23916"/>
  <c r="EM695" i="23916"/>
  <c r="EM694" i="23916"/>
  <c r="EM693" i="23916"/>
  <c r="EM662" i="23916"/>
  <c r="EN659" i="23916"/>
  <c r="EO681" i="23916"/>
  <c r="EO679" i="23916"/>
  <c r="EO677" i="23916"/>
  <c r="EO676" i="23916"/>
  <c r="EO675" i="23916"/>
  <c r="EO674" i="23916"/>
  <c r="EO673" i="23916"/>
  <c r="EO672" i="23916"/>
  <c r="EO660" i="23916"/>
  <c r="EP657" i="23916"/>
  <c r="Z679" i="23916"/>
  <c r="R673" i="23916"/>
  <c r="DY674" i="23916"/>
  <c r="DZ674" i="23916" s="1"/>
  <c r="GI662" i="23916"/>
  <c r="DH690" i="23916"/>
  <c r="CZ691" i="23916"/>
  <c r="CJ685" i="23916"/>
  <c r="BO694" i="23916"/>
  <c r="BO682" i="23916"/>
  <c r="BO681" i="23916"/>
  <c r="BO663" i="23916"/>
  <c r="CM679" i="23916"/>
  <c r="CM678" i="23916"/>
  <c r="CM675" i="23916"/>
  <c r="CN675" i="23916" s="1"/>
  <c r="CN657" i="23916"/>
  <c r="CM660" i="23916"/>
  <c r="BP673" i="23916"/>
  <c r="FR679" i="23916"/>
  <c r="FR675" i="23916"/>
  <c r="FR681" i="23916"/>
  <c r="FT663" i="23916"/>
  <c r="GA691" i="23916"/>
  <c r="CF691" i="23916"/>
  <c r="FK648" i="23916"/>
  <c r="DJ649" i="23916"/>
  <c r="DI650" i="23916"/>
  <c r="EC674" i="23916"/>
  <c r="DL673" i="23916"/>
  <c r="CZ687" i="23916"/>
  <c r="CN686" i="23916"/>
  <c r="BN677" i="23916"/>
  <c r="AX676" i="23916"/>
  <c r="AP677" i="23916"/>
  <c r="GA676" i="23916"/>
  <c r="FX676" i="23916"/>
  <c r="GE649" i="23916"/>
  <c r="GD650" i="23916"/>
  <c r="GE650" i="23916" s="1"/>
  <c r="EU648" i="23916"/>
  <c r="EV648" i="23916" s="1"/>
  <c r="EV643" i="23916"/>
  <c r="EW643" i="23916"/>
  <c r="EU645" i="23916"/>
  <c r="EV645" i="23916" s="1"/>
  <c r="EF686" i="23916"/>
  <c r="DR673" i="23916"/>
  <c r="DF645" i="23916"/>
  <c r="DM674" i="23916"/>
  <c r="DI673" i="23916"/>
  <c r="DF676" i="23916"/>
  <c r="DB677" i="23916"/>
  <c r="CW674" i="23916"/>
  <c r="CS673" i="23916"/>
  <c r="CP672" i="23916"/>
  <c r="CP676" i="23916"/>
  <c r="CP689" i="23916"/>
  <c r="GJ686" i="23916"/>
  <c r="GK686" i="23916" s="1"/>
  <c r="FS636" i="23916"/>
  <c r="FK634" i="23916"/>
  <c r="FJ635" i="23916"/>
  <c r="FK635" i="23916" s="1"/>
  <c r="EP634" i="23916"/>
  <c r="EO635" i="23916"/>
  <c r="DZ634" i="23916"/>
  <c r="DY635" i="23916"/>
  <c r="DJ634" i="23916"/>
  <c r="DI635" i="23916"/>
  <c r="CT634" i="23916"/>
  <c r="CS635" i="23916"/>
  <c r="CD634" i="23916"/>
  <c r="CC635" i="23916"/>
  <c r="BN634" i="23916"/>
  <c r="BM635" i="23916"/>
  <c r="AX634" i="23916"/>
  <c r="AW635" i="23916"/>
  <c r="AH634" i="23916"/>
  <c r="AG635" i="23916"/>
  <c r="R634" i="23916"/>
  <c r="Q635" i="23916"/>
  <c r="AL673" i="23916"/>
  <c r="AL681" i="23916"/>
  <c r="EA682" i="23916"/>
  <c r="EB660" i="23916"/>
  <c r="DN662" i="23916"/>
  <c r="DG682" i="23916"/>
  <c r="DH660" i="23916"/>
  <c r="CI682" i="23916"/>
  <c r="CI681" i="23916"/>
  <c r="CI663" i="23916"/>
  <c r="CB693" i="23916"/>
  <c r="DZ649" i="23916"/>
  <c r="GS647" i="23916"/>
  <c r="GT647" i="23916"/>
  <c r="DV686" i="23916"/>
  <c r="DP649" i="23916"/>
  <c r="DO650" i="23916"/>
  <c r="DP650" i="23916" s="1"/>
  <c r="DP688" i="23916"/>
  <c r="FV677" i="23916"/>
  <c r="FW677" i="23916" s="1"/>
  <c r="FR676" i="23916"/>
  <c r="FR674" i="23916"/>
  <c r="FF677" i="23916"/>
  <c r="FG677" i="23916" s="1"/>
  <c r="FT640" i="23916"/>
  <c r="BN640" i="23916"/>
  <c r="EX644" i="23916"/>
  <c r="GP644" i="23916"/>
  <c r="GG649" i="23916"/>
  <c r="GF650" i="23916"/>
  <c r="FQ649" i="23916"/>
  <c r="FP650" i="23916"/>
  <c r="FU631" i="23916"/>
  <c r="EW588" i="23916"/>
  <c r="GP588" i="23916"/>
  <c r="EV588" i="23916"/>
  <c r="FI645" i="23916"/>
  <c r="DQ640" i="23916"/>
  <c r="EJ635" i="23916"/>
  <c r="DD635" i="23916"/>
  <c r="BX635" i="23916"/>
  <c r="AR635" i="23916"/>
  <c r="GE636" i="23916"/>
  <c r="CR650" i="23916"/>
  <c r="GO636" i="23916"/>
  <c r="FY636" i="23916"/>
  <c r="FZ598" i="23916"/>
  <c r="CN598" i="23916"/>
  <c r="CF598" i="23916"/>
  <c r="GV593" i="23916"/>
  <c r="GU593" i="23916"/>
  <c r="FU645" i="23916"/>
  <c r="DI640" i="23916"/>
  <c r="DJ640" i="23916" s="1"/>
  <c r="GC649" i="23916"/>
  <c r="GB650" i="23916"/>
  <c r="GC650" i="23916" s="1"/>
  <c r="FM680" i="23916"/>
  <c r="EV628" i="23916"/>
  <c r="EW628" i="23916"/>
  <c r="GM590" i="23916"/>
  <c r="FW590" i="23916"/>
  <c r="GK599" i="23916"/>
  <c r="ES596" i="23916"/>
  <c r="ET594" i="23916"/>
  <c r="FN615" i="23916"/>
  <c r="AR615" i="23916"/>
  <c r="AJ615" i="23916"/>
  <c r="FJ615" i="23916"/>
  <c r="T615" i="23916"/>
  <c r="GM616" i="23916"/>
  <c r="FD666" i="23916"/>
  <c r="FE666" i="23916" s="1"/>
  <c r="FD541" i="23916"/>
  <c r="FE538" i="23916"/>
  <c r="FI590" i="23916"/>
  <c r="FV552" i="23916"/>
  <c r="FW552" i="23916" s="1"/>
  <c r="FX616" i="23916"/>
  <c r="FX552" i="23916"/>
  <c r="FX554" i="23916"/>
  <c r="FY554" i="23916" s="1"/>
  <c r="FY546" i="23916"/>
  <c r="AC614" i="23916"/>
  <c r="AC553" i="23916"/>
  <c r="AD541" i="23916"/>
  <c r="FW554" i="23916"/>
  <c r="GZ549" i="23916"/>
  <c r="GO549" i="23916"/>
  <c r="BZ552" i="23916"/>
  <c r="AG566" i="23916"/>
  <c r="Q618" i="23916"/>
  <c r="Q620" i="23916"/>
  <c r="Q589" i="23916"/>
  <c r="EA753" i="23916"/>
  <c r="EA754" i="23916" s="1"/>
  <c r="DK753" i="23916"/>
  <c r="DK754" i="23916" s="1"/>
  <c r="CU753" i="23916"/>
  <c r="CU754" i="23916" s="1"/>
  <c r="DJ552" i="23916"/>
  <c r="AI614" i="23916"/>
  <c r="AI553" i="23916"/>
  <c r="AJ541" i="23916"/>
  <c r="FF741" i="23916"/>
  <c r="FF553" i="23916"/>
  <c r="FG553" i="23916" s="1"/>
  <c r="FF538" i="23916"/>
  <c r="FG536" i="23916"/>
  <c r="GQ549" i="23916"/>
  <c r="AM614" i="23916"/>
  <c r="AM553" i="23916"/>
  <c r="GK509" i="23916"/>
  <c r="EN537" i="23916"/>
  <c r="FB669" i="23916"/>
  <c r="FE669" i="23916" s="1"/>
  <c r="FB668" i="23916"/>
  <c r="FE668" i="23916" s="1"/>
  <c r="FB617" i="23916"/>
  <c r="FE617" i="23916" s="1"/>
  <c r="FE566" i="23916"/>
  <c r="O666" i="23916"/>
  <c r="P666" i="23916" s="1"/>
  <c r="O541" i="23916"/>
  <c r="P538" i="23916"/>
  <c r="GM509" i="23916"/>
  <c r="EG753" i="23916"/>
  <c r="BU497" i="23916"/>
  <c r="CG482" i="23916"/>
  <c r="CP473" i="23916"/>
  <c r="CH473" i="23916"/>
  <c r="BQ482" i="23916"/>
  <c r="BR473" i="23916"/>
  <c r="FZ473" i="23916"/>
  <c r="GA471" i="23916"/>
  <c r="EA482" i="23916"/>
  <c r="EB480" i="23916"/>
  <c r="DD480" i="23916"/>
  <c r="DC482" i="23916"/>
  <c r="BY737" i="23916"/>
  <c r="BZ367" i="23916"/>
  <c r="FY361" i="23916"/>
  <c r="GX484" i="23916"/>
  <c r="GW484" i="23916"/>
  <c r="BO482" i="23916"/>
  <c r="BP473" i="23916"/>
  <c r="GK471" i="23916"/>
  <c r="GJ473" i="23916"/>
  <c r="FU471" i="23916"/>
  <c r="FT473" i="23916"/>
  <c r="GA486" i="23916"/>
  <c r="FY486" i="23916"/>
  <c r="BS484" i="23916"/>
  <c r="BT482" i="23916"/>
  <c r="BS488" i="23916"/>
  <c r="BS485" i="23916"/>
  <c r="GL480" i="23916"/>
  <c r="GM480" i="23916" s="1"/>
  <c r="FW480" i="23916"/>
  <c r="EG482" i="23916"/>
  <c r="EH480" i="23916"/>
  <c r="DQ482" i="23916"/>
  <c r="DR480" i="23916"/>
  <c r="CO482" i="23916"/>
  <c r="CP480" i="23916"/>
  <c r="FE461" i="23916"/>
  <c r="G466" i="23916"/>
  <c r="G461" i="23916"/>
  <c r="FQ418" i="23916"/>
  <c r="BK737" i="23916"/>
  <c r="BL367" i="23916"/>
  <c r="FW361" i="23916"/>
  <c r="T421" i="23916"/>
  <c r="BS737" i="23916"/>
  <c r="BT367" i="23916"/>
  <c r="BD324" i="23916"/>
  <c r="BC328" i="23916"/>
  <c r="BD328" i="23916" s="1"/>
  <c r="BC325" i="23916"/>
  <c r="BC343" i="23916"/>
  <c r="BC327" i="23916"/>
  <c r="CY740" i="23916"/>
  <c r="CZ300" i="23916"/>
  <c r="CY301" i="23916"/>
  <c r="CI740" i="23916"/>
  <c r="CJ300" i="23916"/>
  <c r="CI301" i="23916"/>
  <c r="EX301" i="23916"/>
  <c r="AU301" i="23916"/>
  <c r="AV300" i="23916"/>
  <c r="AE301" i="23916"/>
  <c r="AF300" i="23916"/>
  <c r="O301" i="23916"/>
  <c r="P301" i="23916" s="1"/>
  <c r="P300" i="23916"/>
  <c r="EL294" i="23916"/>
  <c r="ED294" i="23916"/>
  <c r="FZ294" i="23916"/>
  <c r="CF294" i="23916"/>
  <c r="FZ306" i="23916"/>
  <c r="GC500" i="23916"/>
  <c r="DU753" i="23916"/>
  <c r="DV497" i="23916"/>
  <c r="BA753" i="23916"/>
  <c r="BA754" i="23916" s="1"/>
  <c r="GC477" i="23916"/>
  <c r="AR466" i="23916"/>
  <c r="AJ461" i="23916"/>
  <c r="Q425" i="23916"/>
  <c r="Z425" i="23916" s="1"/>
  <c r="BA434" i="23916"/>
  <c r="BA430" i="23916"/>
  <c r="BB428" i="23916"/>
  <c r="P421" i="23916"/>
  <c r="AP422" i="23916"/>
  <c r="AH421" i="23916"/>
  <c r="FK413" i="23916"/>
  <c r="FJ425" i="23916"/>
  <c r="FU374" i="23916"/>
  <c r="FT376" i="23916"/>
  <c r="FX739" i="23916"/>
  <c r="FY359" i="23916"/>
  <c r="BW737" i="23916"/>
  <c r="BX367" i="23916"/>
  <c r="AS340" i="23916"/>
  <c r="AT340" i="23916" s="1"/>
  <c r="AS339" i="23916"/>
  <c r="AT339" i="23916" s="1"/>
  <c r="DU312" i="23916"/>
  <c r="DU309" i="23916"/>
  <c r="DU308" i="23916"/>
  <c r="CO312" i="23916"/>
  <c r="CP306" i="23916"/>
  <c r="CO309" i="23916"/>
  <c r="CO308" i="23916"/>
  <c r="CP308" i="23916" s="1"/>
  <c r="BI312" i="23916"/>
  <c r="BJ306" i="23916"/>
  <c r="BI309" i="23916"/>
  <c r="BI308" i="23916"/>
  <c r="BJ308" i="23916" s="1"/>
  <c r="AB306" i="23916"/>
  <c r="AA309" i="23916"/>
  <c r="AA308" i="23916"/>
  <c r="EL302" i="23916"/>
  <c r="ET302" i="23916"/>
  <c r="GF537" i="23916"/>
  <c r="GG537" i="23916" s="1"/>
  <c r="GG274" i="23916"/>
  <c r="GI274" i="23916"/>
  <c r="FP537" i="23916"/>
  <c r="FQ537" i="23916" s="1"/>
  <c r="FQ274" i="23916"/>
  <c r="CM264" i="23916"/>
  <c r="CN263" i="23916"/>
  <c r="DA484" i="23916"/>
  <c r="DA488" i="23916"/>
  <c r="DB482" i="23916"/>
  <c r="DA485" i="23916"/>
  <c r="FK461" i="23916"/>
  <c r="AR421" i="23916"/>
  <c r="AB421" i="23916"/>
  <c r="BS401" i="23916"/>
  <c r="BS396" i="23916"/>
  <c r="BT394" i="23916"/>
  <c r="BK401" i="23916"/>
  <c r="BK396" i="23916"/>
  <c r="BL394" i="23916"/>
  <c r="BC401" i="23916"/>
  <c r="BC396" i="23916"/>
  <c r="BD394" i="23916"/>
  <c r="AU401" i="23916"/>
  <c r="AV401" i="23916" s="1"/>
  <c r="AU396" i="23916"/>
  <c r="AV394" i="23916"/>
  <c r="AZ324" i="23916"/>
  <c r="AY328" i="23916"/>
  <c r="AZ328" i="23916" s="1"/>
  <c r="AY325" i="23916"/>
  <c r="AY343" i="23916"/>
  <c r="AY327" i="23916"/>
  <c r="AZ327" i="23916" s="1"/>
  <c r="FR324" i="23916"/>
  <c r="DT306" i="23916"/>
  <c r="DS309" i="23916"/>
  <c r="DS308" i="23916"/>
  <c r="DS312" i="23916"/>
  <c r="CF306" i="23916"/>
  <c r="CE309" i="23916"/>
  <c r="CE308" i="23916"/>
  <c r="CE312" i="23916"/>
  <c r="FZ300" i="23916"/>
  <c r="DF302" i="23916"/>
  <c r="CD302" i="23916"/>
  <c r="EQ791" i="23916"/>
  <c r="EO740" i="23916"/>
  <c r="EO301" i="23916"/>
  <c r="EP300" i="23916"/>
  <c r="EA791" i="23916"/>
  <c r="DY740" i="23916"/>
  <c r="DY301" i="23916"/>
  <c r="DZ300" i="23916"/>
  <c r="AP300" i="23916"/>
  <c r="AO301" i="23916"/>
  <c r="Z300" i="23916"/>
  <c r="Y301" i="23916"/>
  <c r="FS297" i="23916"/>
  <c r="FL306" i="23916"/>
  <c r="FM288" i="23916"/>
  <c r="CW753" i="23916"/>
  <c r="CW754" i="23916" s="1"/>
  <c r="CX497" i="23916"/>
  <c r="DW487" i="23916"/>
  <c r="DW531" i="23916" s="1"/>
  <c r="DW9" i="23916"/>
  <c r="CZ482" i="23916"/>
  <c r="CY485" i="23916"/>
  <c r="CY484" i="23916"/>
  <c r="CY488" i="23916"/>
  <c r="AT485" i="23916"/>
  <c r="AS487" i="23916"/>
  <c r="AT509" i="23916"/>
  <c r="AN461" i="23916"/>
  <c r="BN428" i="23916"/>
  <c r="BM434" i="23916"/>
  <c r="BM430" i="23916"/>
  <c r="Z418" i="23916"/>
  <c r="L422" i="23916"/>
  <c r="AC425" i="23916"/>
  <c r="AC421" i="23916"/>
  <c r="AD421" i="23916" s="1"/>
  <c r="AC422" i="23916"/>
  <c r="AD422" i="23916" s="1"/>
  <c r="AD413" i="23916"/>
  <c r="FL425" i="23916"/>
  <c r="FM413" i="23916"/>
  <c r="BO401" i="23916"/>
  <c r="BP401" i="23916" s="1"/>
  <c r="BO396" i="23916"/>
  <c r="BP394" i="23916"/>
  <c r="FQ361" i="23916"/>
  <c r="BE345" i="23916"/>
  <c r="BF345" i="23916" s="1"/>
  <c r="BE346" i="23916"/>
  <c r="BF343" i="23916"/>
  <c r="AW345" i="23916"/>
  <c r="AX345" i="23916" s="1"/>
  <c r="AX343" i="23916"/>
  <c r="AW346" i="23916"/>
  <c r="EM312" i="23916"/>
  <c r="EM308" i="23916"/>
  <c r="EN306" i="23916"/>
  <c r="EM309" i="23916"/>
  <c r="DI309" i="23916"/>
  <c r="DI312" i="23916"/>
  <c r="DI308" i="23916"/>
  <c r="CC306" i="23916"/>
  <c r="AM309" i="23916"/>
  <c r="AM308" i="23916"/>
  <c r="AN308" i="23916" s="1"/>
  <c r="AN306" i="23916"/>
  <c r="G308" i="23916"/>
  <c r="G309" i="23916"/>
  <c r="ER302" i="23916"/>
  <c r="EJ302" i="23916"/>
  <c r="FN301" i="23916"/>
  <c r="BA301" i="23916"/>
  <c r="BB301" i="23916" s="1"/>
  <c r="BB300" i="23916"/>
  <c r="CH297" i="23916"/>
  <c r="BZ297" i="23916"/>
  <c r="FR537" i="23916"/>
  <c r="FS537" i="23916" s="1"/>
  <c r="FS274" i="23916"/>
  <c r="EA770" i="23916"/>
  <c r="EB263" i="23916"/>
  <c r="EA264" i="23916"/>
  <c r="GJ259" i="23916"/>
  <c r="DS265" i="23916"/>
  <c r="DT259" i="23916"/>
  <c r="GB259" i="23916"/>
  <c r="CM265" i="23916"/>
  <c r="CN259" i="23916"/>
  <c r="FT259" i="23916"/>
  <c r="BG265" i="23916"/>
  <c r="BH259" i="23916"/>
  <c r="AX422" i="23916"/>
  <c r="CZ297" i="23916"/>
  <c r="CI728" i="23916"/>
  <c r="N308" i="23916"/>
  <c r="E315" i="23916"/>
  <c r="E311" i="23916"/>
  <c r="GC290" i="23916"/>
  <c r="FJ309" i="23916"/>
  <c r="DU265" i="23916"/>
  <c r="DV259" i="23916"/>
  <c r="CZ259" i="23916"/>
  <c r="BT259" i="23916"/>
  <c r="GM267" i="23916"/>
  <c r="BE270" i="23916"/>
  <c r="BE241" i="23916"/>
  <c r="BF240" i="23916"/>
  <c r="EO270" i="23916"/>
  <c r="EO241" i="23916"/>
  <c r="EP240" i="23916"/>
  <c r="DQ270" i="23916"/>
  <c r="DQ241" i="23916"/>
  <c r="DR240" i="23916"/>
  <c r="DA270" i="23916"/>
  <c r="DA241" i="23916"/>
  <c r="DB240" i="23916"/>
  <c r="CK270" i="23916"/>
  <c r="CK241" i="23916"/>
  <c r="CL240" i="23916"/>
  <c r="BU270" i="23916"/>
  <c r="BU241" i="23916"/>
  <c r="BV240" i="23916"/>
  <c r="GD496" i="23916"/>
  <c r="GH494" i="23916"/>
  <c r="GI237" i="23916"/>
  <c r="FR494" i="23916"/>
  <c r="FS237" i="23916"/>
  <c r="GK493" i="23916"/>
  <c r="FU493" i="23916"/>
  <c r="CH301" i="23916"/>
  <c r="BK728" i="23916"/>
  <c r="BG740" i="23916"/>
  <c r="BH300" i="23916"/>
  <c r="BG301" i="23916"/>
  <c r="BH301" i="23916" s="1"/>
  <c r="EA265" i="23916"/>
  <c r="EB259" i="23916"/>
  <c r="GL259" i="23916"/>
  <c r="DN259" i="23916"/>
  <c r="CR259" i="23916"/>
  <c r="CQ265" i="23916"/>
  <c r="CH259" i="23916"/>
  <c r="CG265" i="23916"/>
  <c r="DX270" i="23916"/>
  <c r="DX241" i="23916"/>
  <c r="DX263" i="23916" s="1"/>
  <c r="DX264" i="23916" s="1"/>
  <c r="AX494" i="23916"/>
  <c r="AW497" i="23916"/>
  <c r="AG430" i="23916"/>
  <c r="AG434" i="23916"/>
  <c r="GI302" i="23916"/>
  <c r="GL294" i="23916"/>
  <c r="GE295" i="23916"/>
  <c r="FP300" i="23916"/>
  <c r="DW315" i="23916"/>
  <c r="DW311" i="23916"/>
  <c r="DW524" i="23916" s="1"/>
  <c r="DH308" i="23916"/>
  <c r="DB301" i="23916"/>
  <c r="AK311" i="23916"/>
  <c r="AL311" i="23916" s="1"/>
  <c r="AL309" i="23916"/>
  <c r="AK315" i="23916"/>
  <c r="AL315" i="23916" s="1"/>
  <c r="U311" i="23916"/>
  <c r="V309" i="23916"/>
  <c r="U315" i="23916"/>
  <c r="FF306" i="23916"/>
  <c r="BQ750" i="23916"/>
  <c r="BQ751" i="23916" s="1"/>
  <c r="BR501" i="23916"/>
  <c r="EB494" i="23916"/>
  <c r="ED259" i="23916"/>
  <c r="BY750" i="23916"/>
  <c r="BY751" i="23916" s="1"/>
  <c r="BZ501" i="23916"/>
  <c r="AS750" i="23916"/>
  <c r="AS751" i="23916" s="1"/>
  <c r="AT501" i="23916"/>
  <c r="GH267" i="23916"/>
  <c r="GI267" i="23916" s="1"/>
  <c r="GJ501" i="23916"/>
  <c r="GK257" i="23916"/>
  <c r="FT501" i="23916"/>
  <c r="FW501" i="23916" s="1"/>
  <c r="FU257" i="23916"/>
  <c r="BI247" i="23916"/>
  <c r="BI246" i="23916"/>
  <c r="BI204" i="23916"/>
  <c r="BS155" i="23916"/>
  <c r="BT135" i="23916"/>
  <c r="BS154" i="23916"/>
  <c r="BS156" i="23916" s="1"/>
  <c r="CD35" i="23916"/>
  <c r="CC92" i="23916"/>
  <c r="DK273" i="23916"/>
  <c r="DK276" i="23916"/>
  <c r="DK272" i="23916"/>
  <c r="DL270" i="23916"/>
  <c r="GM493" i="23916"/>
  <c r="FU214" i="23916"/>
  <c r="FR229" i="23916"/>
  <c r="FS214" i="23916"/>
  <c r="EX171" i="23916"/>
  <c r="BY171" i="23916"/>
  <c r="BZ171" i="23916" s="1"/>
  <c r="BZ166" i="23916"/>
  <c r="CZ148" i="23916"/>
  <c r="GN150" i="23916"/>
  <c r="GO149" i="23916"/>
  <c r="GC145" i="23916"/>
  <c r="GB149" i="23916"/>
  <c r="GE145" i="23916"/>
  <c r="EW115" i="23916"/>
  <c r="EV115" i="23916"/>
  <c r="GE69" i="23916"/>
  <c r="GD78" i="23916"/>
  <c r="FW52" i="23916"/>
  <c r="CD53" i="23916"/>
  <c r="CC64" i="23916"/>
  <c r="BN53" i="23916"/>
  <c r="BM64" i="23916"/>
  <c r="GH736" i="23916"/>
  <c r="GI39" i="23916"/>
  <c r="EO736" i="23916"/>
  <c r="EP39" i="23916"/>
  <c r="BO71" i="23916"/>
  <c r="BP32" i="23916"/>
  <c r="BO44" i="23916"/>
  <c r="BO45" i="23916" s="1"/>
  <c r="FV32" i="23916"/>
  <c r="FU252" i="23916"/>
  <c r="AQ273" i="23916"/>
  <c r="AQ276" i="23916"/>
  <c r="AR276" i="23916" s="1"/>
  <c r="AQ272" i="23916"/>
  <c r="AR272" i="23916" s="1"/>
  <c r="AR270" i="23916"/>
  <c r="CN241" i="23916"/>
  <c r="EI273" i="23916"/>
  <c r="EI276" i="23916"/>
  <c r="EJ270" i="23916"/>
  <c r="EI272" i="23916"/>
  <c r="DC273" i="23916"/>
  <c r="DC276" i="23916"/>
  <c r="DC272" i="23916"/>
  <c r="DD272" i="23916" s="1"/>
  <c r="DD270" i="23916"/>
  <c r="BX270" i="23916"/>
  <c r="BW273" i="23916"/>
  <c r="BW276" i="23916"/>
  <c r="BW272" i="23916"/>
  <c r="GI493" i="23916"/>
  <c r="GE221" i="23916"/>
  <c r="CG174" i="23916"/>
  <c r="CH168" i="23916"/>
  <c r="BG495" i="23916"/>
  <c r="BH495" i="23916" s="1"/>
  <c r="BH148" i="23916"/>
  <c r="FT148" i="23916"/>
  <c r="GD150" i="23916"/>
  <c r="GE149" i="23916"/>
  <c r="FZ149" i="23916"/>
  <c r="GA145" i="23916"/>
  <c r="FX104" i="23916"/>
  <c r="BX104" i="23916"/>
  <c r="BW110" i="23916"/>
  <c r="BX110" i="23916" s="1"/>
  <c r="GN104" i="23916"/>
  <c r="EJ104" i="23916"/>
  <c r="EI110" i="23916"/>
  <c r="GJ104" i="23916"/>
  <c r="DT104" i="23916"/>
  <c r="DS110" i="23916"/>
  <c r="GF104" i="23916"/>
  <c r="DD104" i="23916"/>
  <c r="DC110" i="23916"/>
  <c r="BG497" i="23916"/>
  <c r="GE52" i="23916"/>
  <c r="GB70" i="23916"/>
  <c r="GB60" i="23916"/>
  <c r="GC52" i="23916"/>
  <c r="EE736" i="23916"/>
  <c r="EF39" i="23916"/>
  <c r="CG44" i="23916"/>
  <c r="CG45" i="23916" s="1"/>
  <c r="CG71" i="23916"/>
  <c r="CG73" i="23916" s="1"/>
  <c r="CP32" i="23916"/>
  <c r="CH32" i="23916"/>
  <c r="BQ44" i="23916"/>
  <c r="BQ45" i="23916" s="1"/>
  <c r="BQ71" i="23916"/>
  <c r="BR32" i="23916"/>
  <c r="CE171" i="23916"/>
  <c r="FZ166" i="23916"/>
  <c r="CF166" i="23916"/>
  <c r="BX168" i="23916"/>
  <c r="BW174" i="23916"/>
  <c r="EG171" i="23916"/>
  <c r="EH171" i="23916" s="1"/>
  <c r="EH166" i="23916"/>
  <c r="BF171" i="23916"/>
  <c r="FU145" i="23916"/>
  <c r="FT149" i="23916"/>
  <c r="CQ140" i="23916"/>
  <c r="CQ135" i="23916"/>
  <c r="CQ134" i="23916"/>
  <c r="CQ139" i="23916"/>
  <c r="CQ141" i="23916"/>
  <c r="CQ142" i="23916" s="1"/>
  <c r="CR129" i="23916"/>
  <c r="GB104" i="23916"/>
  <c r="CM110" i="23916"/>
  <c r="CN110" i="23916" s="1"/>
  <c r="CN104" i="23916"/>
  <c r="BC122" i="23916"/>
  <c r="BC118" i="23916"/>
  <c r="BD116" i="23916"/>
  <c r="DO122" i="23916"/>
  <c r="DP122" i="23916" s="1"/>
  <c r="DO118" i="23916"/>
  <c r="DP116" i="23916"/>
  <c r="DH115" i="23916"/>
  <c r="CY726" i="23916"/>
  <c r="CZ119" i="23916"/>
  <c r="FQ104" i="23916"/>
  <c r="FP110" i="23916"/>
  <c r="FQ110" i="23916" s="1"/>
  <c r="EW92" i="23916"/>
  <c r="GO83" i="23916"/>
  <c r="GG83" i="23916"/>
  <c r="GI86" i="23916"/>
  <c r="GH113" i="23916"/>
  <c r="GH87" i="23916"/>
  <c r="FY102" i="23916"/>
  <c r="GM83" i="23916"/>
  <c r="BR78" i="23916"/>
  <c r="EO735" i="23916"/>
  <c r="EP60" i="23916"/>
  <c r="GL735" i="23916"/>
  <c r="GM60" i="23916"/>
  <c r="GC75" i="23916"/>
  <c r="GE75" i="23916"/>
  <c r="GO71" i="23916"/>
  <c r="CQ37" i="23916"/>
  <c r="CR37" i="23916" s="1"/>
  <c r="CS28" i="23916"/>
  <c r="CR34" i="23916"/>
  <c r="CQ35" i="23916"/>
  <c r="BS71" i="23916"/>
  <c r="BT32" i="23916"/>
  <c r="BS44" i="23916"/>
  <c r="BS45" i="23916" s="1"/>
  <c r="BL68" i="23916"/>
  <c r="BJ171" i="23916"/>
  <c r="BC495" i="23916"/>
  <c r="BD148" i="23916"/>
  <c r="DG518" i="23916"/>
  <c r="DH118" i="23916"/>
  <c r="GG103" i="23916"/>
  <c r="CN78" i="23916"/>
  <c r="CV78" i="23916"/>
  <c r="GF494" i="23916"/>
  <c r="GG237" i="23916"/>
  <c r="AS199" i="23916"/>
  <c r="BN171" i="23916"/>
  <c r="BQ176" i="23916"/>
  <c r="BQ180" i="23916"/>
  <c r="BQ177" i="23916"/>
  <c r="GF495" i="23916"/>
  <c r="GG495" i="23916" s="1"/>
  <c r="GG148" i="23916"/>
  <c r="GK137" i="23916"/>
  <c r="CM155" i="23916"/>
  <c r="CM153" i="23916"/>
  <c r="CN135" i="23916"/>
  <c r="CM154" i="23916"/>
  <c r="CM156" i="23916" s="1"/>
  <c r="CE155" i="23916"/>
  <c r="CF135" i="23916"/>
  <c r="CE154" i="23916"/>
  <c r="BW155" i="23916"/>
  <c r="BX135" i="23916"/>
  <c r="BW154" i="23916"/>
  <c r="BW156" i="23916" s="1"/>
  <c r="BO155" i="23916"/>
  <c r="BP135" i="23916"/>
  <c r="BO154" i="23916"/>
  <c r="BO156" i="23916" s="1"/>
  <c r="CM118" i="23916"/>
  <c r="CM122" i="23916"/>
  <c r="CN116" i="23916"/>
  <c r="EV110" i="23916"/>
  <c r="EW110" i="23916"/>
  <c r="AS113" i="23916"/>
  <c r="AT106" i="23916"/>
  <c r="GN106" i="23916"/>
  <c r="GO106" i="23916" s="1"/>
  <c r="GO105" i="23916"/>
  <c r="DU110" i="23916"/>
  <c r="DV104" i="23916"/>
  <c r="DM110" i="23916"/>
  <c r="DN110" i="23916" s="1"/>
  <c r="DN104" i="23916"/>
  <c r="CG116" i="23916"/>
  <c r="CG115" i="23916"/>
  <c r="CG119" i="23916"/>
  <c r="GD113" i="23916"/>
  <c r="GD87" i="23916"/>
  <c r="FX86" i="23916"/>
  <c r="CD68" i="23916"/>
  <c r="CC73" i="23916"/>
  <c r="GR54" i="23916"/>
  <c r="GP72" i="23916"/>
  <c r="GQ72" i="23916" s="1"/>
  <c r="GQ54" i="23916"/>
  <c r="CD56" i="23916"/>
  <c r="CC93" i="23916"/>
  <c r="BN56" i="23916"/>
  <c r="BM93" i="23916"/>
  <c r="FP494" i="23916"/>
  <c r="FQ494" i="23916" s="1"/>
  <c r="FQ237" i="23916"/>
  <c r="EC270" i="23916"/>
  <c r="EC241" i="23916"/>
  <c r="ED240" i="23916"/>
  <c r="CY270" i="23916"/>
  <c r="CZ240" i="23916"/>
  <c r="CY241" i="23916"/>
  <c r="BI216" i="23916"/>
  <c r="BK208" i="23916"/>
  <c r="BI229" i="23916"/>
  <c r="GD495" i="23916"/>
  <c r="GE148" i="23916"/>
  <c r="CA153" i="23916"/>
  <c r="BK495" i="23916"/>
  <c r="BL148" i="23916"/>
  <c r="GS130" i="23916"/>
  <c r="GT130" i="23916"/>
  <c r="CJ109" i="23916"/>
  <c r="GE83" i="23916"/>
  <c r="EL70" i="23916"/>
  <c r="FQ411" i="23916"/>
  <c r="BY393" i="23916"/>
  <c r="BY394" i="23916"/>
  <c r="BY400" i="23916"/>
  <c r="BJ376" i="23916"/>
  <c r="CV302" i="23916"/>
  <c r="FV294" i="23916"/>
  <c r="ER301" i="23916"/>
  <c r="EJ301" i="23916"/>
  <c r="EC306" i="23916"/>
  <c r="DN290" i="23916"/>
  <c r="BR290" i="23916"/>
  <c r="AX308" i="23916"/>
  <c r="GM257" i="23916"/>
  <c r="GJ494" i="23916"/>
  <c r="GK494" i="23916" s="1"/>
  <c r="GK237" i="23916"/>
  <c r="GB494" i="23916"/>
  <c r="GC237" i="23916"/>
  <c r="CR494" i="23916"/>
  <c r="BM176" i="23916"/>
  <c r="BM180" i="23916"/>
  <c r="BM177" i="23916"/>
  <c r="BN174" i="23916"/>
  <c r="BR171" i="23916"/>
  <c r="EP171" i="23916"/>
  <c r="DV495" i="23916"/>
  <c r="CD110" i="23916"/>
  <c r="CA726" i="23916"/>
  <c r="CB119" i="23916"/>
  <c r="BL115" i="23916"/>
  <c r="DS726" i="23916"/>
  <c r="DT119" i="23916"/>
  <c r="GK102" i="23916"/>
  <c r="DF78" i="23916"/>
  <c r="EV196" i="23916"/>
  <c r="EW196" i="23916"/>
  <c r="BK174" i="23916"/>
  <c r="BL168" i="23916"/>
  <c r="CN171" i="23916"/>
  <c r="EK171" i="23916"/>
  <c r="EL166" i="23916"/>
  <c r="FZ743" i="23916"/>
  <c r="GA137" i="23916"/>
  <c r="AW116" i="23916"/>
  <c r="AX113" i="23916"/>
  <c r="AW115" i="23916"/>
  <c r="AX115" i="23916" s="1"/>
  <c r="AW119" i="23916"/>
  <c r="AX119" i="23916" s="1"/>
  <c r="BS504" i="23916"/>
  <c r="BT104" i="23916"/>
  <c r="BS110" i="23916"/>
  <c r="BT110" i="23916" s="1"/>
  <c r="BQ113" i="23916"/>
  <c r="BR106" i="23916"/>
  <c r="BG726" i="23916"/>
  <c r="BH119" i="23916"/>
  <c r="BA113" i="23916"/>
  <c r="BB106" i="23916"/>
  <c r="EG110" i="23916"/>
  <c r="EH110" i="23916" s="1"/>
  <c r="EH104" i="23916"/>
  <c r="DR106" i="23916"/>
  <c r="DQ113" i="23916"/>
  <c r="DA110" i="23916"/>
  <c r="DB110" i="23916" s="1"/>
  <c r="DB104" i="23916"/>
  <c r="FU106" i="23916"/>
  <c r="CL78" i="23916"/>
  <c r="CF58" i="23916"/>
  <c r="GF78" i="23916"/>
  <c r="GG69" i="23916"/>
  <c r="FW202" i="23916"/>
  <c r="DV171" i="23916"/>
  <c r="CC122" i="23916"/>
  <c r="CC118" i="23916"/>
  <c r="BM122" i="23916"/>
  <c r="BM118" i="23916"/>
  <c r="DX122" i="23916"/>
  <c r="DX118" i="23916"/>
  <c r="DX518" i="23916" s="1"/>
  <c r="CV109" i="23916"/>
  <c r="BS180" i="23916"/>
  <c r="BS177" i="23916"/>
  <c r="BT174" i="23916"/>
  <c r="BS176" i="23916"/>
  <c r="DP115" i="23916"/>
  <c r="EN241" i="23916"/>
  <c r="CY518" i="23916"/>
  <c r="EX706" i="23916"/>
  <c r="EP706" i="23916"/>
  <c r="CQ695" i="23916"/>
  <c r="CR695" i="23916" s="1"/>
  <c r="CQ694" i="23916"/>
  <c r="CQ693" i="23916"/>
  <c r="CQ662" i="23916"/>
  <c r="CR662" i="23916" s="1"/>
  <c r="CR659" i="23916"/>
  <c r="GB681" i="23916"/>
  <c r="GB679" i="23916"/>
  <c r="GB675" i="23916"/>
  <c r="GD663" i="23916"/>
  <c r="GE663" i="23916" s="1"/>
  <c r="GC657" i="23916"/>
  <c r="FL681" i="23916"/>
  <c r="FL675" i="23916"/>
  <c r="FN663" i="23916"/>
  <c r="FM657" i="23916"/>
  <c r="BS694" i="23916"/>
  <c r="BS682" i="23916"/>
  <c r="BS681" i="23916"/>
  <c r="BS663" i="23916"/>
  <c r="GL681" i="23916"/>
  <c r="GL679" i="23916"/>
  <c r="GL675" i="23916"/>
  <c r="GM691" i="23916"/>
  <c r="DV649" i="23916"/>
  <c r="DU650" i="23916"/>
  <c r="DV650" i="23916" s="1"/>
  <c r="DT649" i="23916"/>
  <c r="DS650" i="23916"/>
  <c r="DT650" i="23916" s="1"/>
  <c r="EB672" i="23916"/>
  <c r="FU674" i="23916"/>
  <c r="EF649" i="23916"/>
  <c r="EE650" i="23916"/>
  <c r="EF650" i="23916" s="1"/>
  <c r="DM673" i="23916"/>
  <c r="GJ689" i="23916"/>
  <c r="GK689" i="23916" s="1"/>
  <c r="FN635" i="23916"/>
  <c r="CX634" i="23916"/>
  <c r="CW635" i="23916"/>
  <c r="BB634" i="23916"/>
  <c r="BA635" i="23916"/>
  <c r="V634" i="23916"/>
  <c r="U635" i="23916"/>
  <c r="AK679" i="23916"/>
  <c r="AL679" i="23916" s="1"/>
  <c r="DN695" i="23916"/>
  <c r="DP672" i="23916"/>
  <c r="EW630" i="23916"/>
  <c r="EV630" i="23916"/>
  <c r="EI734" i="23916"/>
  <c r="EI706" i="23916"/>
  <c r="ER704" i="23916"/>
  <c r="EJ704" i="23916"/>
  <c r="CM695" i="23916"/>
  <c r="CM694" i="23916"/>
  <c r="CM693" i="23916"/>
  <c r="CM662" i="23916"/>
  <c r="CN662" i="23916" s="1"/>
  <c r="CN659" i="23916"/>
  <c r="U679" i="23916"/>
  <c r="V679" i="23916" s="1"/>
  <c r="R681" i="23916"/>
  <c r="EJ690" i="23916"/>
  <c r="DN685" i="23916"/>
  <c r="FH679" i="23916"/>
  <c r="FH681" i="23916"/>
  <c r="FI681" i="23916" s="1"/>
  <c r="FJ663" i="23916"/>
  <c r="FK663" i="23916" s="1"/>
  <c r="FH678" i="23916"/>
  <c r="FH675" i="23916"/>
  <c r="FI675" i="23916" s="1"/>
  <c r="FI657" i="23916"/>
  <c r="FU690" i="23916"/>
  <c r="CW695" i="23916"/>
  <c r="CW694" i="23916"/>
  <c r="CW693" i="23916"/>
  <c r="CW662" i="23916"/>
  <c r="CX662" i="23916" s="1"/>
  <c r="CX659" i="23916"/>
  <c r="DO681" i="23916"/>
  <c r="DP681" i="23916" s="1"/>
  <c r="DO679" i="23916"/>
  <c r="DP679" i="23916" s="1"/>
  <c r="DO678" i="23916"/>
  <c r="DP678" i="23916" s="1"/>
  <c r="DO675" i="23916"/>
  <c r="DP675" i="23916" s="1"/>
  <c r="DP657" i="23916"/>
  <c r="DO660" i="23916"/>
  <c r="BT673" i="23916"/>
  <c r="AU679" i="23916"/>
  <c r="AU678" i="23916"/>
  <c r="AV678" i="23916" s="1"/>
  <c r="AU681" i="23916"/>
  <c r="AU677" i="23916"/>
  <c r="AU676" i="23916"/>
  <c r="AU663" i="23916"/>
  <c r="AV663" i="23916" s="1"/>
  <c r="AU672" i="23916"/>
  <c r="AU673" i="23916"/>
  <c r="BD657" i="23916"/>
  <c r="AV657" i="23916"/>
  <c r="AU640" i="23916"/>
  <c r="AB679" i="23916"/>
  <c r="L676" i="23916"/>
  <c r="EN685" i="23916"/>
  <c r="GH681" i="23916"/>
  <c r="GH679" i="23916"/>
  <c r="GH675" i="23916"/>
  <c r="GH678" i="23916"/>
  <c r="GI657" i="23916"/>
  <c r="GJ662" i="23916"/>
  <c r="GK662" i="23916" s="1"/>
  <c r="FS691" i="23916"/>
  <c r="CN690" i="23916"/>
  <c r="GH672" i="23916"/>
  <c r="GI672" i="23916" s="1"/>
  <c r="DW674" i="23916"/>
  <c r="FU689" i="23916"/>
  <c r="FL673" i="23916"/>
  <c r="FI686" i="23916"/>
  <c r="EV640" i="23916"/>
  <c r="BW682" i="23916"/>
  <c r="BX682" i="23916" s="1"/>
  <c r="BW681" i="23916"/>
  <c r="BX681" i="23916" s="1"/>
  <c r="BW663" i="23916"/>
  <c r="BX663" i="23916" s="1"/>
  <c r="BX660" i="23916"/>
  <c r="EL650" i="23916"/>
  <c r="DN649" i="23916"/>
  <c r="DM650" i="23916"/>
  <c r="GA634" i="23916"/>
  <c r="FZ635" i="23916"/>
  <c r="GA635" i="23916" s="1"/>
  <c r="BX706" i="23916"/>
  <c r="DZ706" i="23916"/>
  <c r="BR706" i="23916"/>
  <c r="CH715" i="23916"/>
  <c r="EA734" i="23916"/>
  <c r="EA706" i="23916"/>
  <c r="EB706" i="23916" s="1"/>
  <c r="EB704" i="23916"/>
  <c r="EI695" i="23916"/>
  <c r="EI694" i="23916"/>
  <c r="EJ694" i="23916" s="1"/>
  <c r="EI693" i="23916"/>
  <c r="EJ693" i="23916" s="1"/>
  <c r="EI662" i="23916"/>
  <c r="EJ662" i="23916" s="1"/>
  <c r="EJ659" i="23916"/>
  <c r="DO695" i="23916"/>
  <c r="DO694" i="23916"/>
  <c r="DO693" i="23916"/>
  <c r="DO662" i="23916"/>
  <c r="DP659" i="23916"/>
  <c r="CY695" i="23916"/>
  <c r="CY694" i="23916"/>
  <c r="CZ694" i="23916" s="1"/>
  <c r="CY693" i="23916"/>
  <c r="CZ693" i="23916" s="1"/>
  <c r="CY662" i="23916"/>
  <c r="CZ662" i="23916" s="1"/>
  <c r="CZ659" i="23916"/>
  <c r="CI695" i="23916"/>
  <c r="CJ695" i="23916" s="1"/>
  <c r="CI694" i="23916"/>
  <c r="CJ694" i="23916" s="1"/>
  <c r="CI693" i="23916"/>
  <c r="CJ693" i="23916" s="1"/>
  <c r="CI662" i="23916"/>
  <c r="CJ662" i="23916" s="1"/>
  <c r="CJ659" i="23916"/>
  <c r="BI694" i="23916"/>
  <c r="BI682" i="23916"/>
  <c r="BJ682" i="23916" s="1"/>
  <c r="BI681" i="23916"/>
  <c r="BJ681" i="23916" s="1"/>
  <c r="BI663" i="23916"/>
  <c r="BJ663" i="23916" s="1"/>
  <c r="EK681" i="23916"/>
  <c r="EL681" i="23916" s="1"/>
  <c r="EK676" i="23916"/>
  <c r="EL676" i="23916" s="1"/>
  <c r="EK679" i="23916"/>
  <c r="EL679" i="23916" s="1"/>
  <c r="EK677" i="23916"/>
  <c r="EK675" i="23916"/>
  <c r="EL675" i="23916" s="1"/>
  <c r="EK674" i="23916"/>
  <c r="EL674" i="23916" s="1"/>
  <c r="EK673" i="23916"/>
  <c r="EK672" i="23916"/>
  <c r="EK660" i="23916"/>
  <c r="EL657" i="23916"/>
  <c r="DU681" i="23916"/>
  <c r="DV681" i="23916" s="1"/>
  <c r="DU679" i="23916"/>
  <c r="DV679" i="23916" s="1"/>
  <c r="DU678" i="23916"/>
  <c r="DU675" i="23916"/>
  <c r="DV675" i="23916" s="1"/>
  <c r="DU660" i="23916"/>
  <c r="DV657" i="23916"/>
  <c r="DE681" i="23916"/>
  <c r="DE679" i="23916"/>
  <c r="DE675" i="23916"/>
  <c r="DE660" i="23916"/>
  <c r="DF657" i="23916"/>
  <c r="CO679" i="23916"/>
  <c r="CP679" i="23916" s="1"/>
  <c r="CO675" i="23916"/>
  <c r="CP675" i="23916" s="1"/>
  <c r="CO660" i="23916"/>
  <c r="CP657" i="23916"/>
  <c r="BY676" i="23916"/>
  <c r="BZ676" i="23916" s="1"/>
  <c r="BY679" i="23916"/>
  <c r="BZ679" i="23916" s="1"/>
  <c r="BY677" i="23916"/>
  <c r="BZ677" i="23916" s="1"/>
  <c r="BY675" i="23916"/>
  <c r="BZ675" i="23916" s="1"/>
  <c r="BY674" i="23916"/>
  <c r="BZ674" i="23916" s="1"/>
  <c r="BY673" i="23916"/>
  <c r="BZ673" i="23916" s="1"/>
  <c r="BY672" i="23916"/>
  <c r="BZ672" i="23916" s="1"/>
  <c r="BY660" i="23916"/>
  <c r="BZ657" i="23916"/>
  <c r="BV676" i="23916"/>
  <c r="BQ679" i="23916"/>
  <c r="BR679" i="23916" s="1"/>
  <c r="BJ677" i="23916"/>
  <c r="BF679" i="23916"/>
  <c r="AD672" i="23916"/>
  <c r="AD679" i="23916"/>
  <c r="Z676" i="23916"/>
  <c r="V681" i="23916"/>
  <c r="N679" i="23916"/>
  <c r="EJ689" i="23916"/>
  <c r="EJ691" i="23916"/>
  <c r="DV685" i="23916"/>
  <c r="DJ690" i="23916"/>
  <c r="CT685" i="23916"/>
  <c r="CL686" i="23916"/>
  <c r="GA674" i="23916"/>
  <c r="BY694" i="23916"/>
  <c r="BY693" i="23916"/>
  <c r="BZ693" i="23916" s="1"/>
  <c r="BZ659" i="23916"/>
  <c r="BY662" i="23916"/>
  <c r="BZ662" i="23916" s="1"/>
  <c r="DW695" i="23916"/>
  <c r="DW694" i="23916"/>
  <c r="DW693" i="23916"/>
  <c r="DW662" i="23916"/>
  <c r="FT681" i="23916"/>
  <c r="FU681" i="23916" s="1"/>
  <c r="FT679" i="23916"/>
  <c r="FV663" i="23916"/>
  <c r="FT678" i="23916"/>
  <c r="FT675" i="23916"/>
  <c r="FU675" i="23916" s="1"/>
  <c r="FU657" i="23916"/>
  <c r="FF663" i="23916"/>
  <c r="FM656" i="23916"/>
  <c r="FL653" i="23916"/>
  <c r="FO653" i="23916" s="1"/>
  <c r="FL633" i="23916"/>
  <c r="GB690" i="23916"/>
  <c r="GC690" i="23916" s="1"/>
  <c r="FS662" i="23916"/>
  <c r="FK662" i="23916"/>
  <c r="FI693" i="23916"/>
  <c r="EP691" i="23916"/>
  <c r="EH685" i="23916"/>
  <c r="EH689" i="23916"/>
  <c r="DZ691" i="23916"/>
  <c r="DH691" i="23916"/>
  <c r="CR685" i="23916"/>
  <c r="CJ686" i="23916"/>
  <c r="CJ690" i="23916"/>
  <c r="FU662" i="23916"/>
  <c r="EC695" i="23916"/>
  <c r="ED695" i="23916" s="1"/>
  <c r="EC694" i="23916"/>
  <c r="ED694" i="23916" s="1"/>
  <c r="EC693" i="23916"/>
  <c r="ED693" i="23916" s="1"/>
  <c r="EC662" i="23916"/>
  <c r="ED659" i="23916"/>
  <c r="CO695" i="23916"/>
  <c r="CO694" i="23916"/>
  <c r="CO693" i="23916"/>
  <c r="CP659" i="23916"/>
  <c r="CO662" i="23916"/>
  <c r="BK694" i="23916"/>
  <c r="BK682" i="23916"/>
  <c r="BL682" i="23916" s="1"/>
  <c r="BK681" i="23916"/>
  <c r="BL681" i="23916" s="1"/>
  <c r="BK663" i="23916"/>
  <c r="BL663" i="23916" s="1"/>
  <c r="EM679" i="23916"/>
  <c r="EM678" i="23916"/>
  <c r="EM677" i="23916"/>
  <c r="EN677" i="23916" s="1"/>
  <c r="EM681" i="23916"/>
  <c r="EM676" i="23916"/>
  <c r="EN676" i="23916" s="1"/>
  <c r="EM672" i="23916"/>
  <c r="EM675" i="23916"/>
  <c r="EN675" i="23916" s="1"/>
  <c r="EM674" i="23916"/>
  <c r="EN674" i="23916" s="1"/>
  <c r="EM673" i="23916"/>
  <c r="EN657" i="23916"/>
  <c r="EM660" i="23916"/>
  <c r="DK681" i="23916"/>
  <c r="DK679" i="23916"/>
  <c r="DK678" i="23916"/>
  <c r="DK675" i="23916"/>
  <c r="DL657" i="23916"/>
  <c r="DK660" i="23916"/>
  <c r="CE679" i="23916"/>
  <c r="CF679" i="23916" s="1"/>
  <c r="CE678" i="23916"/>
  <c r="CF678" i="23916" s="1"/>
  <c r="CE677" i="23916"/>
  <c r="CF677" i="23916" s="1"/>
  <c r="CE676" i="23916"/>
  <c r="CF676" i="23916" s="1"/>
  <c r="CE675" i="23916"/>
  <c r="CF675" i="23916" s="1"/>
  <c r="CE674" i="23916"/>
  <c r="CF674" i="23916" s="1"/>
  <c r="CE673" i="23916"/>
  <c r="CF673" i="23916" s="1"/>
  <c r="CE672" i="23916"/>
  <c r="CF672" i="23916" s="1"/>
  <c r="CF657" i="23916"/>
  <c r="CE660" i="23916"/>
  <c r="CE640" i="23916"/>
  <c r="CF640" i="23916" s="1"/>
  <c r="BT674" i="23916"/>
  <c r="BP674" i="23916"/>
  <c r="BO678" i="23916"/>
  <c r="BP678" i="23916" s="1"/>
  <c r="BK678" i="23916"/>
  <c r="BL678" i="23916" s="1"/>
  <c r="BD673" i="23916"/>
  <c r="BD679" i="23916"/>
  <c r="AQ679" i="23916"/>
  <c r="AR679" i="23916" s="1"/>
  <c r="AQ678" i="23916"/>
  <c r="AR678" i="23916" s="1"/>
  <c r="AQ681" i="23916"/>
  <c r="AR681" i="23916" s="1"/>
  <c r="AQ677" i="23916"/>
  <c r="AR677" i="23916" s="1"/>
  <c r="AQ676" i="23916"/>
  <c r="AR676" i="23916" s="1"/>
  <c r="AQ672" i="23916"/>
  <c r="AR672" i="23916" s="1"/>
  <c r="AQ663" i="23916"/>
  <c r="AR663" i="23916" s="1"/>
  <c r="AQ673" i="23916"/>
  <c r="AR673" i="23916" s="1"/>
  <c r="AR657" i="23916"/>
  <c r="AQ640" i="23916"/>
  <c r="AR640" i="23916" s="1"/>
  <c r="L677" i="23916"/>
  <c r="EN690" i="23916"/>
  <c r="DR685" i="23916"/>
  <c r="DF690" i="23916"/>
  <c r="CP685" i="23916"/>
  <c r="CH687" i="23916"/>
  <c r="CH690" i="23916"/>
  <c r="GD681" i="23916"/>
  <c r="GE681" i="23916" s="1"/>
  <c r="GD679" i="23916"/>
  <c r="GE679" i="23916" s="1"/>
  <c r="GD675" i="23916"/>
  <c r="GE675" i="23916" s="1"/>
  <c r="GD678" i="23916"/>
  <c r="GF663" i="23916"/>
  <c r="GG663" i="23916" s="1"/>
  <c r="GE657" i="23916"/>
  <c r="FN681" i="23916"/>
  <c r="FO681" i="23916" s="1"/>
  <c r="FN679" i="23916"/>
  <c r="FN675" i="23916"/>
  <c r="FO675" i="23916" s="1"/>
  <c r="FN678" i="23916"/>
  <c r="FO657" i="23916"/>
  <c r="C663" i="23916"/>
  <c r="C666" i="23916" s="1"/>
  <c r="GN662" i="23916"/>
  <c r="GE691" i="23916"/>
  <c r="FY662" i="23916"/>
  <c r="FS693" i="23916"/>
  <c r="FO690" i="23916"/>
  <c r="EL685" i="23916"/>
  <c r="ED690" i="23916"/>
  <c r="DD685" i="23916"/>
  <c r="CV690" i="23916"/>
  <c r="CN691" i="23916"/>
  <c r="CF687" i="23916"/>
  <c r="EO662" i="23916"/>
  <c r="EP662" i="23916" s="1"/>
  <c r="EH694" i="23916"/>
  <c r="DY662" i="23916"/>
  <c r="EH662" i="23916" s="1"/>
  <c r="DS682" i="23916"/>
  <c r="DT660" i="23916"/>
  <c r="DT678" i="23916"/>
  <c r="DB649" i="23916"/>
  <c r="DA650" i="23916"/>
  <c r="DB648" i="23916"/>
  <c r="GA645" i="23916"/>
  <c r="FM645" i="23916"/>
  <c r="EC676" i="23916"/>
  <c r="ED676" i="23916" s="1"/>
  <c r="DT673" i="23916"/>
  <c r="DT677" i="23916"/>
  <c r="DT688" i="23916"/>
  <c r="DX676" i="23916"/>
  <c r="DK674" i="23916"/>
  <c r="DL674" i="23916" s="1"/>
  <c r="DL689" i="23916"/>
  <c r="CZ672" i="23916"/>
  <c r="CZ688" i="23916"/>
  <c r="CU674" i="23916"/>
  <c r="DD674" i="23916" s="1"/>
  <c r="CV686" i="23916"/>
  <c r="CR673" i="23916"/>
  <c r="CR677" i="23916"/>
  <c r="CR689" i="23916"/>
  <c r="CM672" i="23916"/>
  <c r="CN672" i="23916" s="1"/>
  <c r="CN687" i="23916"/>
  <c r="GL676" i="23916"/>
  <c r="GM689" i="23916"/>
  <c r="GH673" i="23916"/>
  <c r="GI673" i="23916" s="1"/>
  <c r="GI689" i="23916"/>
  <c r="FU648" i="23916"/>
  <c r="FM648" i="23916"/>
  <c r="AW663" i="23916"/>
  <c r="AX677" i="23916"/>
  <c r="AH676" i="23916"/>
  <c r="AG679" i="23916"/>
  <c r="AH679" i="23916" s="1"/>
  <c r="FW648" i="23916"/>
  <c r="GD686" i="23916"/>
  <c r="GE686" i="23916" s="1"/>
  <c r="GD689" i="23916"/>
  <c r="GD688" i="23916"/>
  <c r="GD687" i="23916"/>
  <c r="GD673" i="23916"/>
  <c r="GE673" i="23916" s="1"/>
  <c r="GD677" i="23916"/>
  <c r="GD672" i="23916"/>
  <c r="GD676" i="23916"/>
  <c r="GG676" i="23916" s="1"/>
  <c r="GE644" i="23916"/>
  <c r="EB649" i="23916"/>
  <c r="EA650" i="23916"/>
  <c r="EJ650" i="23916" s="1"/>
  <c r="EB674" i="23916"/>
  <c r="EB686" i="23916"/>
  <c r="DW672" i="23916"/>
  <c r="FT672" i="23916"/>
  <c r="FU686" i="23916"/>
  <c r="FQ689" i="23916"/>
  <c r="FL676" i="23916"/>
  <c r="FM676" i="23916" s="1"/>
  <c r="FL677" i="23916"/>
  <c r="FM688" i="23916"/>
  <c r="FH673" i="23916"/>
  <c r="FI673" i="23916" s="1"/>
  <c r="FI687" i="23916"/>
  <c r="EJ640" i="23916"/>
  <c r="ER640" i="23916"/>
  <c r="DO640" i="23916"/>
  <c r="DP640" i="23916" s="1"/>
  <c r="CZ640" i="23916"/>
  <c r="FS650" i="23916"/>
  <c r="FG649" i="23916"/>
  <c r="FF650" i="23916"/>
  <c r="FG650" i="23916" s="1"/>
  <c r="FO656" i="23916"/>
  <c r="DJ693" i="23916"/>
  <c r="GD695" i="23916"/>
  <c r="GE695" i="23916" s="1"/>
  <c r="GD693" i="23916"/>
  <c r="GD694" i="23916"/>
  <c r="GE659" i="23916"/>
  <c r="DB695" i="23916"/>
  <c r="CT693" i="23916"/>
  <c r="FZ695" i="23916"/>
  <c r="FZ693" i="23916"/>
  <c r="FZ694" i="23916"/>
  <c r="GA659" i="23916"/>
  <c r="CL695" i="23916"/>
  <c r="CD693" i="23916"/>
  <c r="BX672" i="23916"/>
  <c r="BX679" i="23916"/>
  <c r="BZ650" i="23916"/>
  <c r="DF649" i="23916"/>
  <c r="DE650" i="23916"/>
  <c r="DF650" i="23916" s="1"/>
  <c r="DN648" i="23916"/>
  <c r="FY648" i="23916"/>
  <c r="EE672" i="23916"/>
  <c r="EF672" i="23916" s="1"/>
  <c r="EF687" i="23916"/>
  <c r="DM676" i="23916"/>
  <c r="DN676" i="23916" s="1"/>
  <c r="DN688" i="23916"/>
  <c r="DJ687" i="23916"/>
  <c r="DE673" i="23916"/>
  <c r="DF673" i="23916" s="1"/>
  <c r="DF686" i="23916"/>
  <c r="DA672" i="23916"/>
  <c r="DB672" i="23916" s="1"/>
  <c r="DA676" i="23916"/>
  <c r="DB689" i="23916"/>
  <c r="CX688" i="23916"/>
  <c r="CS674" i="23916"/>
  <c r="CT687" i="23916"/>
  <c r="CO673" i="23916"/>
  <c r="CP673" i="23916" s="1"/>
  <c r="CP686" i="23916"/>
  <c r="GM645" i="23916"/>
  <c r="GN687" i="23916"/>
  <c r="GO687" i="23916" s="1"/>
  <c r="GG687" i="23916"/>
  <c r="GI648" i="23916"/>
  <c r="FO685" i="23916"/>
  <c r="GI636" i="23916"/>
  <c r="GM634" i="23916"/>
  <c r="GL635" i="23916"/>
  <c r="FW634" i="23916"/>
  <c r="FV635" i="23916"/>
  <c r="FG634" i="23916"/>
  <c r="FF635" i="23916"/>
  <c r="FG635" i="23916" s="1"/>
  <c r="EL634" i="23916"/>
  <c r="EK635" i="23916"/>
  <c r="EL635" i="23916" s="1"/>
  <c r="DV634" i="23916"/>
  <c r="DU635" i="23916"/>
  <c r="DV635" i="23916" s="1"/>
  <c r="DF634" i="23916"/>
  <c r="DE635" i="23916"/>
  <c r="DF635" i="23916" s="1"/>
  <c r="CP634" i="23916"/>
  <c r="CO635" i="23916"/>
  <c r="BZ634" i="23916"/>
  <c r="BY635" i="23916"/>
  <c r="BZ635" i="23916" s="1"/>
  <c r="BJ634" i="23916"/>
  <c r="BI635" i="23916"/>
  <c r="AT634" i="23916"/>
  <c r="AS635" i="23916"/>
  <c r="AD634" i="23916"/>
  <c r="AC635" i="23916"/>
  <c r="N634" i="23916"/>
  <c r="M635" i="23916"/>
  <c r="BB673" i="23916"/>
  <c r="BA679" i="23916"/>
  <c r="BB679" i="23916" s="1"/>
  <c r="AT672" i="23916"/>
  <c r="AT676" i="23916"/>
  <c r="AK663" i="23916"/>
  <c r="AL663" i="23916" s="1"/>
  <c r="AL677" i="23916"/>
  <c r="EI682" i="23916"/>
  <c r="EJ682" i="23916" s="1"/>
  <c r="EJ660" i="23916"/>
  <c r="EJ675" i="23916"/>
  <c r="EJ677" i="23916"/>
  <c r="EB681" i="23916"/>
  <c r="DV694" i="23916"/>
  <c r="DN693" i="23916"/>
  <c r="DH679" i="23916"/>
  <c r="CB694" i="23916"/>
  <c r="FO648" i="23916"/>
  <c r="CF650" i="23916"/>
  <c r="BP650" i="23916"/>
  <c r="AZ650" i="23916"/>
  <c r="AJ650" i="23916"/>
  <c r="T650" i="23916"/>
  <c r="EJ648" i="23916"/>
  <c r="DU674" i="23916"/>
  <c r="DV674" i="23916" s="1"/>
  <c r="DV687" i="23916"/>
  <c r="DP645" i="23916"/>
  <c r="DO674" i="23916"/>
  <c r="DP674" i="23916" s="1"/>
  <c r="DP689" i="23916"/>
  <c r="FW688" i="23916"/>
  <c r="FR672" i="23916"/>
  <c r="FS687" i="23916"/>
  <c r="FN674" i="23916"/>
  <c r="FO674" i="23916" s="1"/>
  <c r="FN673" i="23916"/>
  <c r="FO673" i="23916" s="1"/>
  <c r="FO686" i="23916"/>
  <c r="FK689" i="23916"/>
  <c r="FF673" i="23916"/>
  <c r="FG673" i="23916" s="1"/>
  <c r="BY640" i="23916"/>
  <c r="BZ640" i="23916" s="1"/>
  <c r="BJ640" i="23916"/>
  <c r="DW640" i="23916"/>
  <c r="FK636" i="23916"/>
  <c r="ES631" i="23916"/>
  <c r="ET631" i="23916" s="1"/>
  <c r="ES636" i="23916"/>
  <c r="ET636" i="23916" s="1"/>
  <c r="ES634" i="23916"/>
  <c r="EU632" i="23916"/>
  <c r="ET632" i="23916"/>
  <c r="GO610" i="23916"/>
  <c r="DZ645" i="23916"/>
  <c r="GJ635" i="23916"/>
  <c r="GK635" i="23916" s="1"/>
  <c r="GK634" i="23916"/>
  <c r="FT635" i="23916"/>
  <c r="FU634" i="23916"/>
  <c r="FI631" i="23916"/>
  <c r="DE640" i="23916"/>
  <c r="DF640" i="23916" s="1"/>
  <c r="DH635" i="23916"/>
  <c r="CB635" i="23916"/>
  <c r="AV635" i="23916"/>
  <c r="FY649" i="23916"/>
  <c r="FX650" i="23916"/>
  <c r="FY650" i="23916" s="1"/>
  <c r="FI649" i="23916"/>
  <c r="FH650" i="23916"/>
  <c r="FI650" i="23916" s="1"/>
  <c r="DL635" i="23916"/>
  <c r="CF635" i="23916"/>
  <c r="AZ635" i="23916"/>
  <c r="T635" i="23916"/>
  <c r="FM692" i="23916"/>
  <c r="EQ720" i="23916"/>
  <c r="ES609" i="23916"/>
  <c r="ER609" i="23916"/>
  <c r="ES611" i="23916"/>
  <c r="GI590" i="23916"/>
  <c r="FS590" i="23916"/>
  <c r="GG599" i="23916"/>
  <c r="ED596" i="23916"/>
  <c r="DH596" i="23916"/>
  <c r="GP627" i="23916"/>
  <c r="EX627" i="23916"/>
  <c r="GJ596" i="23916"/>
  <c r="GK596" i="23916" s="1"/>
  <c r="GF596" i="23916"/>
  <c r="GG596" i="23916" s="1"/>
  <c r="GB596" i="23916"/>
  <c r="GC596" i="23916" s="1"/>
  <c r="AN606" i="23916"/>
  <c r="ET598" i="23916"/>
  <c r="GL596" i="23916"/>
  <c r="GM596" i="23916" s="1"/>
  <c r="AG666" i="23916"/>
  <c r="AH666" i="23916" s="1"/>
  <c r="Q666" i="23916"/>
  <c r="FW599" i="23916"/>
  <c r="FF669" i="23916"/>
  <c r="FG669" i="23916" s="1"/>
  <c r="GC554" i="23916"/>
  <c r="FS552" i="23916"/>
  <c r="Y614" i="23916"/>
  <c r="Y553" i="23916"/>
  <c r="AH553" i="23916" s="1"/>
  <c r="Z541" i="23916"/>
  <c r="GE552" i="23916"/>
  <c r="GA546" i="23916"/>
  <c r="BN552" i="23916"/>
  <c r="AG618" i="23916"/>
  <c r="AG620" i="23916"/>
  <c r="AH614" i="23916"/>
  <c r="AG589" i="23916"/>
  <c r="FH666" i="23916"/>
  <c r="FH541" i="23916"/>
  <c r="EM753" i="23916"/>
  <c r="EM754" i="23916" s="1"/>
  <c r="EN497" i="23916"/>
  <c r="DW753" i="23916"/>
  <c r="DW754" i="23916" s="1"/>
  <c r="DG753" i="23916"/>
  <c r="DG754" i="23916" s="1"/>
  <c r="DH497" i="23916"/>
  <c r="AP538" i="23916"/>
  <c r="AO541" i="23916"/>
  <c r="K614" i="23916"/>
  <c r="K553" i="23916"/>
  <c r="L541" i="23916"/>
  <c r="FN741" i="23916"/>
  <c r="FN538" i="23916"/>
  <c r="FO536" i="23916"/>
  <c r="EW547" i="23916"/>
  <c r="EV547" i="23916"/>
  <c r="FL541" i="23916"/>
  <c r="FM538" i="23916"/>
  <c r="GG509" i="23916"/>
  <c r="AL538" i="23916"/>
  <c r="AK541" i="23916"/>
  <c r="FJ741" i="23916"/>
  <c r="FJ553" i="23916"/>
  <c r="FJ538" i="23916"/>
  <c r="FK536" i="23916"/>
  <c r="DQ497" i="23916"/>
  <c r="EG745" i="23916"/>
  <c r="DQ745" i="23916"/>
  <c r="DA745" i="23916"/>
  <c r="CK745" i="23916"/>
  <c r="BU745" i="23916"/>
  <c r="CC482" i="23916"/>
  <c r="CD473" i="23916"/>
  <c r="BM482" i="23916"/>
  <c r="BN473" i="23916"/>
  <c r="GL473" i="23916"/>
  <c r="GM471" i="23916"/>
  <c r="FV473" i="23916"/>
  <c r="FW471" i="23916"/>
  <c r="BS751" i="23916"/>
  <c r="AY753" i="23916"/>
  <c r="AY754" i="23916" s="1"/>
  <c r="GC480" i="23916"/>
  <c r="EN480" i="23916"/>
  <c r="EM482" i="23916"/>
  <c r="DT480" i="23916"/>
  <c r="DS482" i="23916"/>
  <c r="CV480" i="23916"/>
  <c r="CU482" i="23916"/>
  <c r="ET472" i="23916"/>
  <c r="EU472" i="23916"/>
  <c r="AT466" i="23916"/>
  <c r="AD466" i="23916"/>
  <c r="AJ458" i="23916"/>
  <c r="BU737" i="23916"/>
  <c r="BV367" i="23916"/>
  <c r="BB367" i="23916"/>
  <c r="FV738" i="23916"/>
  <c r="FW358" i="23916"/>
  <c r="FV367" i="23916"/>
  <c r="FU477" i="23916"/>
  <c r="BG482" i="23916"/>
  <c r="BH473" i="23916"/>
  <c r="GG471" i="23916"/>
  <c r="GF473" i="23916"/>
  <c r="DS751" i="23916"/>
  <c r="DC751" i="23916"/>
  <c r="CM751" i="23916"/>
  <c r="BW751" i="23916"/>
  <c r="BG751" i="23916"/>
  <c r="EW484" i="23916"/>
  <c r="BK509" i="23916"/>
  <c r="BK484" i="23916"/>
  <c r="BL482" i="23916"/>
  <c r="BK488" i="23916"/>
  <c r="BK485" i="23916"/>
  <c r="GH480" i="23916"/>
  <c r="GI480" i="23916" s="1"/>
  <c r="FR480" i="23916"/>
  <c r="FS480" i="23916" s="1"/>
  <c r="ED480" i="23916"/>
  <c r="EC482" i="23916"/>
  <c r="DM482" i="23916"/>
  <c r="DN480" i="23916"/>
  <c r="AR465" i="23916"/>
  <c r="AB465" i="23916"/>
  <c r="L465" i="23916"/>
  <c r="AL458" i="23916"/>
  <c r="C466" i="23916"/>
  <c r="C461" i="23916"/>
  <c r="BV422" i="23916"/>
  <c r="BB422" i="23916"/>
  <c r="FM418" i="23916"/>
  <c r="AX411" i="23916"/>
  <c r="AP411" i="23916"/>
  <c r="FQ408" i="23916"/>
  <c r="FN413" i="23916"/>
  <c r="FO408" i="23916"/>
  <c r="BG737" i="23916"/>
  <c r="BH367" i="23916"/>
  <c r="BQ357" i="23916"/>
  <c r="BO368" i="23916"/>
  <c r="BO364" i="23916"/>
  <c r="FS361" i="23916"/>
  <c r="GZ478" i="23916"/>
  <c r="GY478" i="23916"/>
  <c r="AZ485" i="23916"/>
  <c r="AY487" i="23916"/>
  <c r="AR485" i="23916"/>
  <c r="AQ487" i="23916"/>
  <c r="BE459" i="23916"/>
  <c r="BE458" i="23916"/>
  <c r="BF458" i="23916" s="1"/>
  <c r="BE465" i="23916"/>
  <c r="BF465" i="23916" s="1"/>
  <c r="BF456" i="23916"/>
  <c r="BL425" i="23916"/>
  <c r="BK427" i="23916"/>
  <c r="BL427" i="23916" s="1"/>
  <c r="BK428" i="23916"/>
  <c r="BD425" i="23916"/>
  <c r="BC427" i="23916"/>
  <c r="BC428" i="23916"/>
  <c r="AV425" i="23916"/>
  <c r="AU427" i="23916"/>
  <c r="AV427" i="23916" s="1"/>
  <c r="AU428" i="23916"/>
  <c r="C427" i="23916"/>
  <c r="C428" i="23916"/>
  <c r="FV413" i="23916"/>
  <c r="FS375" i="23916"/>
  <c r="FQ375" i="23916"/>
  <c r="FS359" i="23916"/>
  <c r="AV324" i="23916"/>
  <c r="AU328" i="23916"/>
  <c r="AV328" i="23916" s="1"/>
  <c r="AU325" i="23916"/>
  <c r="AU327" i="23916"/>
  <c r="AV327" i="23916" s="1"/>
  <c r="AU343" i="23916"/>
  <c r="CQ740" i="23916"/>
  <c r="CR300" i="23916"/>
  <c r="CQ301" i="23916"/>
  <c r="CR301" i="23916" s="1"/>
  <c r="BS740" i="23916"/>
  <c r="BT300" i="23916"/>
  <c r="BS301" i="23916"/>
  <c r="EX300" i="23916"/>
  <c r="AZ300" i="23916"/>
  <c r="AQ301" i="23916"/>
  <c r="AR300" i="23916"/>
  <c r="AA301" i="23916"/>
  <c r="AB301" i="23916" s="1"/>
  <c r="AB300" i="23916"/>
  <c r="K301" i="23916"/>
  <c r="L301" i="23916" s="1"/>
  <c r="L300" i="23916"/>
  <c r="DZ294" i="23916"/>
  <c r="DJ294" i="23916"/>
  <c r="CB294" i="23916"/>
  <c r="GB300" i="23916"/>
  <c r="GB303" i="23916"/>
  <c r="GC293" i="23916"/>
  <c r="CD290" i="23916"/>
  <c r="GL306" i="23916"/>
  <c r="GM288" i="23916"/>
  <c r="FR306" i="23916"/>
  <c r="FS288" i="23916"/>
  <c r="GO500" i="23916"/>
  <c r="FY500" i="23916"/>
  <c r="DE753" i="23916"/>
  <c r="DE754" i="23916" s="1"/>
  <c r="DF497" i="23916"/>
  <c r="FW477" i="23916"/>
  <c r="AQ530" i="23916"/>
  <c r="AR461" i="23916"/>
  <c r="T466" i="23916"/>
  <c r="BD456" i="23916"/>
  <c r="BC465" i="23916"/>
  <c r="BD465" i="23916" s="1"/>
  <c r="BC459" i="23916"/>
  <c r="BC458" i="23916"/>
  <c r="BD458" i="23916" s="1"/>
  <c r="FK417" i="23916"/>
  <c r="BQ434" i="23916"/>
  <c r="BQ430" i="23916"/>
  <c r="BR428" i="23916"/>
  <c r="AF425" i="23916"/>
  <c r="AE427" i="23916"/>
  <c r="AF427" i="23916" s="1"/>
  <c r="AE428" i="23916"/>
  <c r="P425" i="23916"/>
  <c r="O427" i="23916"/>
  <c r="O428" i="23916"/>
  <c r="AP421" i="23916"/>
  <c r="FF413" i="23916"/>
  <c r="BM393" i="23916"/>
  <c r="BN393" i="23916" s="1"/>
  <c r="BN391" i="23916"/>
  <c r="BM394" i="23916"/>
  <c r="BM400" i="23916"/>
  <c r="BN400" i="23916" s="1"/>
  <c r="BM402" i="23916"/>
  <c r="FR376" i="23916"/>
  <c r="FS374" i="23916"/>
  <c r="FQ359" i="23916"/>
  <c r="FP370" i="23916"/>
  <c r="FQ370" i="23916" s="1"/>
  <c r="FB309" i="23916"/>
  <c r="FB308" i="23916"/>
  <c r="DM306" i="23916"/>
  <c r="CG312" i="23916"/>
  <c r="CG309" i="23916"/>
  <c r="CG308" i="23916"/>
  <c r="BB306" i="23916"/>
  <c r="BA309" i="23916"/>
  <c r="BA312" i="23916"/>
  <c r="BB312" i="23916" s="1"/>
  <c r="BA308" i="23916"/>
  <c r="BB308" i="23916" s="1"/>
  <c r="S309" i="23916"/>
  <c r="S308" i="23916"/>
  <c r="T306" i="23916"/>
  <c r="EH302" i="23916"/>
  <c r="DR302" i="23916"/>
  <c r="FI302" i="23916"/>
  <c r="EV503" i="23916"/>
  <c r="EN503" i="23916"/>
  <c r="DH503" i="23916"/>
  <c r="GQ295" i="23916"/>
  <c r="AJ290" i="23916"/>
  <c r="T290" i="23916"/>
  <c r="GB537" i="23916"/>
  <c r="GC537" i="23916" s="1"/>
  <c r="GC274" i="23916"/>
  <c r="GE274" i="23916"/>
  <c r="DK264" i="23916"/>
  <c r="DL263" i="23916"/>
  <c r="CE264" i="23916"/>
  <c r="CF263" i="23916"/>
  <c r="BB458" i="23916"/>
  <c r="K427" i="23916"/>
  <c r="L427" i="23916" s="1"/>
  <c r="K428" i="23916"/>
  <c r="L425" i="23916"/>
  <c r="BL393" i="23916"/>
  <c r="FT738" i="23916"/>
  <c r="FT363" i="23916"/>
  <c r="FT369" i="23916"/>
  <c r="FT367" i="23916"/>
  <c r="FU358" i="23916"/>
  <c r="FS358" i="23916"/>
  <c r="FR367" i="23916"/>
  <c r="BG340" i="23916"/>
  <c r="BH325" i="23916"/>
  <c r="BG339" i="23916"/>
  <c r="GN312" i="23916"/>
  <c r="GO306" i="23916"/>
  <c r="GN309" i="23916"/>
  <c r="EO308" i="23916"/>
  <c r="EO309" i="23916"/>
  <c r="EO312" i="23916"/>
  <c r="DL306" i="23916"/>
  <c r="DK309" i="23916"/>
  <c r="DK308" i="23916"/>
  <c r="DL308" i="23916" s="1"/>
  <c r="DK312" i="23916"/>
  <c r="BW309" i="23916"/>
  <c r="BW308" i="23916"/>
  <c r="BW312" i="23916"/>
  <c r="BJ302" i="23916"/>
  <c r="EM791" i="23916"/>
  <c r="EK740" i="23916"/>
  <c r="ET300" i="23916"/>
  <c r="EK301" i="23916"/>
  <c r="EL300" i="23916"/>
  <c r="DU740" i="23916"/>
  <c r="DU301" i="23916"/>
  <c r="DV301" i="23916" s="1"/>
  <c r="DV300" i="23916"/>
  <c r="AT302" i="23916"/>
  <c r="AD302" i="23916"/>
  <c r="N302" i="23916"/>
  <c r="AL300" i="23916"/>
  <c r="AK301" i="23916"/>
  <c r="AL301" i="23916" s="1"/>
  <c r="V300" i="23916"/>
  <c r="U301" i="23916"/>
  <c r="V301" i="23916" s="1"/>
  <c r="GI297" i="23916"/>
  <c r="CJ503" i="23916"/>
  <c r="FH306" i="23916"/>
  <c r="FI288" i="23916"/>
  <c r="CG497" i="23916"/>
  <c r="AW509" i="23916"/>
  <c r="AW484" i="23916"/>
  <c r="AX484" i="23916" s="1"/>
  <c r="AW488" i="23916"/>
  <c r="AX488" i="23916" s="1"/>
  <c r="AX482" i="23916"/>
  <c r="AW485" i="23916"/>
  <c r="AU530" i="23916"/>
  <c r="AV530" i="23916" s="1"/>
  <c r="AV461" i="23916"/>
  <c r="AF466" i="23916"/>
  <c r="BR418" i="23916"/>
  <c r="FL421" i="23916"/>
  <c r="AX421" i="23916"/>
  <c r="AN422" i="23916"/>
  <c r="X422" i="23916"/>
  <c r="FU409" i="23916"/>
  <c r="M425" i="23916"/>
  <c r="M421" i="23916"/>
  <c r="N413" i="23916"/>
  <c r="FI413" i="23916"/>
  <c r="BP400" i="23916"/>
  <c r="AS393" i="23916"/>
  <c r="AT393" i="23916" s="1"/>
  <c r="AT391" i="23916"/>
  <c r="AS394" i="23916"/>
  <c r="AS400" i="23916"/>
  <c r="AT400" i="23916" s="1"/>
  <c r="FU361" i="23916"/>
  <c r="AQ368" i="23916"/>
  <c r="AR368" i="23916" s="1"/>
  <c r="AQ364" i="23916"/>
  <c r="AQ403" i="23916" s="1"/>
  <c r="AR403" i="23916" s="1"/>
  <c r="AS357" i="23916"/>
  <c r="AR363" i="23916"/>
  <c r="EE312" i="23916"/>
  <c r="EE309" i="23916"/>
  <c r="EE308" i="23916"/>
  <c r="EF308" i="23916" s="1"/>
  <c r="EF306" i="23916"/>
  <c r="DA306" i="23916"/>
  <c r="BN306" i="23916"/>
  <c r="BM309" i="23916"/>
  <c r="BM312" i="23916"/>
  <c r="BM308" i="23916"/>
  <c r="AE309" i="23916"/>
  <c r="AF306" i="23916"/>
  <c r="AE308" i="23916"/>
  <c r="GZ301" i="23916"/>
  <c r="GY301" i="23916"/>
  <c r="FO302" i="23916"/>
  <c r="FJ301" i="23916"/>
  <c r="EP297" i="23916"/>
  <c r="DZ297" i="23916"/>
  <c r="DJ297" i="23916"/>
  <c r="EL503" i="23916"/>
  <c r="DV503" i="23916"/>
  <c r="DF503" i="23916"/>
  <c r="BR294" i="23916"/>
  <c r="BJ294" i="23916"/>
  <c r="FT294" i="23916"/>
  <c r="FU294" i="23916" s="1"/>
  <c r="FR290" i="23916"/>
  <c r="CA306" i="23916"/>
  <c r="CA300" i="23916"/>
  <c r="CA302" i="23916"/>
  <c r="CB302" i="23916" s="1"/>
  <c r="CA290" i="23916"/>
  <c r="CJ288" i="23916"/>
  <c r="CB288" i="23916"/>
  <c r="FX288" i="23916"/>
  <c r="EM770" i="23916"/>
  <c r="EN263" i="23916"/>
  <c r="EM264" i="23916"/>
  <c r="EN264" i="23916" s="1"/>
  <c r="EF259" i="23916"/>
  <c r="EE265" i="23916"/>
  <c r="CU265" i="23916"/>
  <c r="CV259" i="23916"/>
  <c r="GD259" i="23916"/>
  <c r="BO265" i="23916"/>
  <c r="BP265" i="23916" s="1"/>
  <c r="FV259" i="23916"/>
  <c r="BP259" i="23916"/>
  <c r="GF308" i="23916"/>
  <c r="GD302" i="23916"/>
  <c r="GE302" i="23916" s="1"/>
  <c r="GO302" i="23916"/>
  <c r="GK297" i="23916"/>
  <c r="CP290" i="23916"/>
  <c r="BN301" i="23916"/>
  <c r="AO315" i="23916"/>
  <c r="AP315" i="23916" s="1"/>
  <c r="AP309" i="23916"/>
  <c r="AO311" i="23916"/>
  <c r="AP311" i="23916" s="1"/>
  <c r="Y315" i="23916"/>
  <c r="Z309" i="23916"/>
  <c r="Y311" i="23916"/>
  <c r="M311" i="23916"/>
  <c r="N311" i="23916" s="1"/>
  <c r="M315" i="23916"/>
  <c r="N315" i="23916" s="1"/>
  <c r="N309" i="23916"/>
  <c r="GG288" i="23916"/>
  <c r="FU290" i="23916"/>
  <c r="EW286" i="23916"/>
  <c r="EV286" i="23916"/>
  <c r="EQ297" i="23916"/>
  <c r="ER296" i="23916"/>
  <c r="EQ294" i="23916"/>
  <c r="ER293" i="23916"/>
  <c r="EQ303" i="23916"/>
  <c r="ER303" i="23916" s="1"/>
  <c r="DU750" i="23916"/>
  <c r="DU751" i="23916" s="1"/>
  <c r="DV501" i="23916"/>
  <c r="CO750" i="23916"/>
  <c r="CO751" i="23916" s="1"/>
  <c r="CP501" i="23916"/>
  <c r="BI750" i="23916"/>
  <c r="BI751" i="23916" s="1"/>
  <c r="BJ501" i="23916"/>
  <c r="GP258" i="23916"/>
  <c r="BA270" i="23916"/>
  <c r="BB240" i="23916"/>
  <c r="BA241" i="23916"/>
  <c r="BA263" i="23916" s="1"/>
  <c r="EG270" i="23916"/>
  <c r="EG241" i="23916"/>
  <c r="EH240" i="23916"/>
  <c r="DM270" i="23916"/>
  <c r="DM241" i="23916"/>
  <c r="DN240" i="23916"/>
  <c r="CW270" i="23916"/>
  <c r="CW241" i="23916"/>
  <c r="CX240" i="23916"/>
  <c r="CG270" i="23916"/>
  <c r="CG241" i="23916"/>
  <c r="CH240" i="23916"/>
  <c r="BQ270" i="23916"/>
  <c r="BQ241" i="23916"/>
  <c r="BQ265" i="23916" s="1"/>
  <c r="BR240" i="23916"/>
  <c r="FZ496" i="23916"/>
  <c r="GC496" i="23916" s="1"/>
  <c r="GD494" i="23916"/>
  <c r="GE494" i="23916" s="1"/>
  <c r="GE237" i="23916"/>
  <c r="EX267" i="23916"/>
  <c r="EP267" i="23916"/>
  <c r="DZ267" i="23916"/>
  <c r="GG493" i="23916"/>
  <c r="CV297" i="23916"/>
  <c r="FT740" i="23916"/>
  <c r="FT301" i="23916"/>
  <c r="DP308" i="23916"/>
  <c r="DJ301" i="23916"/>
  <c r="CY315" i="23916"/>
  <c r="CY311" i="23916"/>
  <c r="BS306" i="23916"/>
  <c r="GC288" i="23916"/>
  <c r="BU290" i="23916"/>
  <c r="BV290" i="23916" s="1"/>
  <c r="DM750" i="23916"/>
  <c r="DM751" i="23916" s="1"/>
  <c r="DN501" i="23916"/>
  <c r="BL259" i="23916"/>
  <c r="BK265" i="23916"/>
  <c r="BA265" i="23916"/>
  <c r="BB259" i="23916"/>
  <c r="GM258" i="23916"/>
  <c r="EV267" i="23916"/>
  <c r="EN267" i="23916"/>
  <c r="AP428" i="23916"/>
  <c r="AO434" i="23916"/>
  <c r="AP434" i="23916" s="1"/>
  <c r="AO430" i="23916"/>
  <c r="AP430" i="23916" s="1"/>
  <c r="FR302" i="23916"/>
  <c r="GB297" i="23916"/>
  <c r="BP301" i="23916"/>
  <c r="GH294" i="23916"/>
  <c r="FH300" i="23916"/>
  <c r="DG315" i="23916"/>
  <c r="DG311" i="23916"/>
  <c r="DH309" i="23916"/>
  <c r="FV288" i="23916"/>
  <c r="EH259" i="23916"/>
  <c r="DH259" i="23916"/>
  <c r="DG265" i="23916"/>
  <c r="CX259" i="23916"/>
  <c r="CW265" i="23916"/>
  <c r="GO267" i="23916"/>
  <c r="EJ267" i="23916"/>
  <c r="ER267" i="23916"/>
  <c r="DV267" i="23916"/>
  <c r="DF259" i="23916"/>
  <c r="DE265" i="23916"/>
  <c r="AT214" i="23916"/>
  <c r="AU208" i="23916"/>
  <c r="AS229" i="23916"/>
  <c r="AT229" i="23916" s="1"/>
  <c r="BK155" i="23916"/>
  <c r="BL135" i="23916"/>
  <c r="BK154" i="23916"/>
  <c r="GN87" i="23916"/>
  <c r="GN113" i="23916"/>
  <c r="GO86" i="23916"/>
  <c r="BV35" i="23916"/>
  <c r="BU92" i="23916"/>
  <c r="AY276" i="23916"/>
  <c r="AZ276" i="23916" s="1"/>
  <c r="AZ270" i="23916"/>
  <c r="AY273" i="23916"/>
  <c r="AY272" i="23916"/>
  <c r="EA276" i="23916"/>
  <c r="EA272" i="23916"/>
  <c r="EB270" i="23916"/>
  <c r="EA273" i="23916"/>
  <c r="FZ240" i="23916"/>
  <c r="BP270" i="23916"/>
  <c r="BO273" i="23916"/>
  <c r="BO276" i="23916"/>
  <c r="BO272" i="23916"/>
  <c r="BP272" i="23916" s="1"/>
  <c r="FZ750" i="23916"/>
  <c r="GA501" i="23916"/>
  <c r="GN496" i="23916"/>
  <c r="FX496" i="23916"/>
  <c r="CK174" i="23916"/>
  <c r="CL168" i="23916"/>
  <c r="BU171" i="23916"/>
  <c r="BV171" i="23916" s="1"/>
  <c r="BV166" i="23916"/>
  <c r="GJ150" i="23916"/>
  <c r="GK150" i="23916" s="1"/>
  <c r="GK149" i="23916"/>
  <c r="GA69" i="23916"/>
  <c r="ET57" i="23916"/>
  <c r="EU57" i="23916"/>
  <c r="BZ53" i="23916"/>
  <c r="BY64" i="23916"/>
  <c r="FX53" i="23916"/>
  <c r="BJ53" i="23916"/>
  <c r="BI64" i="23916"/>
  <c r="FT53" i="23916"/>
  <c r="GD736" i="23916"/>
  <c r="GE39" i="23916"/>
  <c r="CM71" i="23916"/>
  <c r="CV32" i="23916"/>
  <c r="CN32" i="23916"/>
  <c r="CM44" i="23916"/>
  <c r="CM45" i="23916" s="1"/>
  <c r="GB32" i="23916"/>
  <c r="FN263" i="23916"/>
  <c r="FN264" i="23916" s="1"/>
  <c r="FN265" i="23916"/>
  <c r="BX241" i="23916"/>
  <c r="GJ496" i="23916"/>
  <c r="FT496" i="23916"/>
  <c r="FW221" i="23916"/>
  <c r="BY174" i="23916"/>
  <c r="BZ168" i="23916"/>
  <c r="BC171" i="23916"/>
  <c r="BL171" i="23916" s="1"/>
  <c r="BD166" i="23916"/>
  <c r="CE495" i="23916"/>
  <c r="FZ148" i="23916"/>
  <c r="CF148" i="23916"/>
  <c r="AQ495" i="23916"/>
  <c r="AR148" i="23916"/>
  <c r="FP148" i="23916"/>
  <c r="FV149" i="23916"/>
  <c r="FW145" i="23916"/>
  <c r="AQ113" i="23916"/>
  <c r="AR106" i="23916"/>
  <c r="CQ110" i="23916"/>
  <c r="CR104" i="23916"/>
  <c r="BO110" i="23916"/>
  <c r="FV104" i="23916"/>
  <c r="BP104" i="23916"/>
  <c r="EE110" i="23916"/>
  <c r="EF110" i="23916" s="1"/>
  <c r="EF104" i="23916"/>
  <c r="DO110" i="23916"/>
  <c r="DP110" i="23916" s="1"/>
  <c r="DP104" i="23916"/>
  <c r="CY110" i="23916"/>
  <c r="CZ110" i="23916" s="1"/>
  <c r="CZ104" i="23916"/>
  <c r="BG745" i="23916"/>
  <c r="FX70" i="23916"/>
  <c r="FX60" i="23916"/>
  <c r="FY52" i="23916"/>
  <c r="EA736" i="23916"/>
  <c r="EB39" i="23916"/>
  <c r="CC71" i="23916"/>
  <c r="CD71" i="23916" s="1"/>
  <c r="CC44" i="23916"/>
  <c r="CC45" i="23916" s="1"/>
  <c r="CD32" i="23916"/>
  <c r="BM71" i="23916"/>
  <c r="BN71" i="23916" s="1"/>
  <c r="BM44" i="23916"/>
  <c r="BM45" i="23916" s="1"/>
  <c r="BN32" i="23916"/>
  <c r="FT32" i="23916"/>
  <c r="CI180" i="23916"/>
  <c r="CI177" i="23916"/>
  <c r="CJ174" i="23916"/>
  <c r="CI176" i="23916"/>
  <c r="GA167" i="23916"/>
  <c r="FZ168" i="23916"/>
  <c r="FX168" i="23916"/>
  <c r="FY168" i="23916" s="1"/>
  <c r="FY167" i="23916"/>
  <c r="AT174" i="23916"/>
  <c r="AS176" i="23916"/>
  <c r="AT176" i="23916" s="1"/>
  <c r="AS180" i="23916"/>
  <c r="AT180" i="23916" s="1"/>
  <c r="AS177" i="23916"/>
  <c r="DQ171" i="23916"/>
  <c r="DR171" i="23916" s="1"/>
  <c r="DR166" i="23916"/>
  <c r="EA168" i="23916"/>
  <c r="EA166" i="23916"/>
  <c r="GL167" i="23916"/>
  <c r="EB167" i="23916"/>
  <c r="DM174" i="23916"/>
  <c r="DN168" i="23916"/>
  <c r="CW174" i="23916"/>
  <c r="CX168" i="23916"/>
  <c r="GJ495" i="23916"/>
  <c r="GK148" i="23916"/>
  <c r="AZ148" i="23916"/>
  <c r="GL743" i="23916"/>
  <c r="GM137" i="23916"/>
  <c r="CQ118" i="23916"/>
  <c r="CZ118" i="23916" s="1"/>
  <c r="CQ122" i="23916"/>
  <c r="CR116" i="23916"/>
  <c r="BS118" i="23916"/>
  <c r="BS122" i="23916"/>
  <c r="BT116" i="23916"/>
  <c r="DG726" i="23916"/>
  <c r="DH119" i="23916"/>
  <c r="GM106" i="23916"/>
  <c r="FS86" i="23916"/>
  <c r="FR87" i="23916"/>
  <c r="CH68" i="23916"/>
  <c r="EV50" i="23916"/>
  <c r="EW50" i="23916"/>
  <c r="EK736" i="23916"/>
  <c r="EL39" i="23916"/>
  <c r="EC736" i="23916"/>
  <c r="ED39" i="23916"/>
  <c r="CI73" i="23916"/>
  <c r="CJ68" i="23916"/>
  <c r="BK71" i="23916"/>
  <c r="BL71" i="23916" s="1"/>
  <c r="BL32" i="23916"/>
  <c r="BK44" i="23916"/>
  <c r="BK45" i="23916" s="1"/>
  <c r="GO288" i="23916"/>
  <c r="EM166" i="23916"/>
  <c r="EM168" i="23916"/>
  <c r="EN167" i="23916"/>
  <c r="CS174" i="23916"/>
  <c r="CT168" i="23916"/>
  <c r="GL495" i="23916"/>
  <c r="GM495" i="23916" s="1"/>
  <c r="GM148" i="23916"/>
  <c r="BS153" i="23916"/>
  <c r="DP109" i="23916"/>
  <c r="CI118" i="23916"/>
  <c r="CI122" i="23916"/>
  <c r="CJ116" i="23916"/>
  <c r="GI78" i="23916"/>
  <c r="EM273" i="23916"/>
  <c r="EM276" i="23916"/>
  <c r="EM272" i="23916"/>
  <c r="EN270" i="23916"/>
  <c r="AU180" i="23916"/>
  <c r="AV180" i="23916" s="1"/>
  <c r="AU177" i="23916"/>
  <c r="AV174" i="23916"/>
  <c r="AU176" i="23916"/>
  <c r="AV176" i="23916" s="1"/>
  <c r="CP171" i="23916"/>
  <c r="DX180" i="23916"/>
  <c r="DX176" i="23916"/>
  <c r="DX177" i="23916"/>
  <c r="EH168" i="23916"/>
  <c r="EG174" i="23916"/>
  <c r="DS168" i="23916"/>
  <c r="DS166" i="23916"/>
  <c r="GJ167" i="23916"/>
  <c r="DT167" i="23916"/>
  <c r="DC168" i="23916"/>
  <c r="DC166" i="23916"/>
  <c r="GF167" i="23916"/>
  <c r="DD167" i="23916"/>
  <c r="CM180" i="23916"/>
  <c r="CN174" i="23916"/>
  <c r="CM177" i="23916"/>
  <c r="CM176" i="23916"/>
  <c r="BG118" i="23916"/>
  <c r="BG122" i="23916"/>
  <c r="BG123" i="23916"/>
  <c r="BH116" i="23916"/>
  <c r="FN116" i="23916"/>
  <c r="FN115" i="23916"/>
  <c r="FN119" i="23916"/>
  <c r="CM726" i="23916"/>
  <c r="CN119" i="23916"/>
  <c r="CE726" i="23916"/>
  <c r="CF119" i="23916"/>
  <c r="EK110" i="23916"/>
  <c r="EL104" i="23916"/>
  <c r="EC110" i="23916"/>
  <c r="ED110" i="23916" s="1"/>
  <c r="ED104" i="23916"/>
  <c r="DE113" i="23916"/>
  <c r="DF106" i="23916"/>
  <c r="CW113" i="23916"/>
  <c r="CX106" i="23916"/>
  <c r="GI83" i="23916"/>
  <c r="CO90" i="23916"/>
  <c r="EL78" i="23916"/>
  <c r="BN68" i="23916"/>
  <c r="GN60" i="23916"/>
  <c r="CR53" i="23916"/>
  <c r="CI64" i="23916"/>
  <c r="CJ53" i="23916"/>
  <c r="BS64" i="23916"/>
  <c r="BT53" i="23916"/>
  <c r="FZ60" i="23916"/>
  <c r="GF501" i="23916"/>
  <c r="GG257" i="23916"/>
  <c r="ED267" i="23916"/>
  <c r="CI270" i="23916"/>
  <c r="CJ240" i="23916"/>
  <c r="CI241" i="23916"/>
  <c r="CI265" i="23916" s="1"/>
  <c r="CA495" i="23916"/>
  <c r="CB148" i="23916"/>
  <c r="EI122" i="23916"/>
  <c r="EI118" i="23916"/>
  <c r="EJ116" i="23916"/>
  <c r="DL115" i="23916"/>
  <c r="FW103" i="23916"/>
  <c r="GK71" i="23916"/>
  <c r="BF427" i="23916"/>
  <c r="BI393" i="23916"/>
  <c r="BJ391" i="23916"/>
  <c r="BI394" i="23916"/>
  <c r="BI400" i="23916"/>
  <c r="EV301" i="23916"/>
  <c r="FM297" i="23916"/>
  <c r="CN294" i="23916"/>
  <c r="GI295" i="23916"/>
  <c r="DD301" i="23916"/>
  <c r="BJ300" i="23916"/>
  <c r="FP290" i="23916"/>
  <c r="FQ290" i="23916" s="1"/>
  <c r="EX285" i="23916"/>
  <c r="GR285" i="23916"/>
  <c r="GL750" i="23916"/>
  <c r="GM501" i="23916"/>
  <c r="FQ257" i="23916"/>
  <c r="EK270" i="23916"/>
  <c r="EK241" i="23916"/>
  <c r="EL240" i="23916"/>
  <c r="GN240" i="23916"/>
  <c r="FX494" i="23916"/>
  <c r="FY494" i="23916" s="1"/>
  <c r="FY237" i="23916"/>
  <c r="FS202" i="23916"/>
  <c r="CP168" i="23916"/>
  <c r="CD166" i="23916"/>
  <c r="FS168" i="23916"/>
  <c r="DZ166" i="23916"/>
  <c r="DA174" i="23916"/>
  <c r="DB168" i="23916"/>
  <c r="GA132" i="23916"/>
  <c r="CZ109" i="23916"/>
  <c r="BK118" i="23916"/>
  <c r="BK122" i="23916"/>
  <c r="BL116" i="23916"/>
  <c r="CJ78" i="23916"/>
  <c r="BL166" i="23916"/>
  <c r="EK174" i="23916"/>
  <c r="EL168" i="23916"/>
  <c r="DO166" i="23916"/>
  <c r="DO168" i="23916"/>
  <c r="DP167" i="23916"/>
  <c r="CY166" i="23916"/>
  <c r="CY168" i="23916"/>
  <c r="CZ167" i="23916"/>
  <c r="BE176" i="23916"/>
  <c r="BF176" i="23916" s="1"/>
  <c r="BE180" i="23916"/>
  <c r="BF180" i="23916" s="1"/>
  <c r="BE177" i="23916"/>
  <c r="BF174" i="23916"/>
  <c r="GE164" i="23916"/>
  <c r="CO116" i="23916"/>
  <c r="CP113" i="23916"/>
  <c r="CO115" i="23916"/>
  <c r="CP115" i="23916" s="1"/>
  <c r="CO119" i="23916"/>
  <c r="BD104" i="23916"/>
  <c r="BC110" i="23916"/>
  <c r="BD110" i="23916" s="1"/>
  <c r="EO110" i="23916"/>
  <c r="EP110" i="23916" s="1"/>
  <c r="EP104" i="23916"/>
  <c r="DZ106" i="23916"/>
  <c r="DY113" i="23916"/>
  <c r="DI110" i="23916"/>
  <c r="DJ110" i="23916" s="1"/>
  <c r="DJ104" i="23916"/>
  <c r="CT106" i="23916"/>
  <c r="CS113" i="23916"/>
  <c r="GM86" i="23916"/>
  <c r="GL113" i="23916"/>
  <c r="GL87" i="23916"/>
  <c r="GB86" i="23916"/>
  <c r="BP58" i="23916"/>
  <c r="FZ53" i="23916"/>
  <c r="GM52" i="23916"/>
  <c r="FV60" i="23916"/>
  <c r="BY93" i="23916"/>
  <c r="BZ56" i="23916"/>
  <c r="BI93" i="23916"/>
  <c r="BJ56" i="23916"/>
  <c r="FZ70" i="23916"/>
  <c r="GA70" i="23916" s="1"/>
  <c r="GN78" i="23916"/>
  <c r="GO69" i="23916"/>
  <c r="BN113" i="23916"/>
  <c r="CF109" i="23916"/>
  <c r="BV68" i="23916"/>
  <c r="FI662" i="23916"/>
  <c r="FH669" i="23916"/>
  <c r="FV695" i="23916"/>
  <c r="FW695" i="23916" s="1"/>
  <c r="FV693" i="23916"/>
  <c r="FW693" i="23916" s="1"/>
  <c r="FV694" i="23916"/>
  <c r="FW659" i="23916"/>
  <c r="DG695" i="23916"/>
  <c r="DH695" i="23916" s="1"/>
  <c r="DG694" i="23916"/>
  <c r="DH694" i="23916" s="1"/>
  <c r="DG693" i="23916"/>
  <c r="DH693" i="23916" s="1"/>
  <c r="DG662" i="23916"/>
  <c r="DH659" i="23916"/>
  <c r="BU682" i="23916"/>
  <c r="BU681" i="23916"/>
  <c r="BU663" i="23916"/>
  <c r="FV660" i="23916"/>
  <c r="CW679" i="23916"/>
  <c r="CX679" i="23916" s="1"/>
  <c r="CW678" i="23916"/>
  <c r="CW675" i="23916"/>
  <c r="CW660" i="23916"/>
  <c r="CX657" i="23916"/>
  <c r="GJ690" i="23916"/>
  <c r="GK690" i="23916" s="1"/>
  <c r="GJ691" i="23916"/>
  <c r="GK691" i="23916" s="1"/>
  <c r="GL662" i="23916"/>
  <c r="GM662" i="23916" s="1"/>
  <c r="GK655" i="23916"/>
  <c r="GJ657" i="23916"/>
  <c r="GM657" i="23916" s="1"/>
  <c r="GJ653" i="23916"/>
  <c r="BD672" i="23916"/>
  <c r="AY681" i="23916"/>
  <c r="AY679" i="23916"/>
  <c r="AZ679" i="23916" s="1"/>
  <c r="AY678" i="23916"/>
  <c r="AZ678" i="23916" s="1"/>
  <c r="AY677" i="23916"/>
  <c r="AZ677" i="23916" s="1"/>
  <c r="AY676" i="23916"/>
  <c r="AZ676" i="23916" s="1"/>
  <c r="AY663" i="23916"/>
  <c r="AY673" i="23916"/>
  <c r="AZ673" i="23916" s="1"/>
  <c r="AY672" i="23916"/>
  <c r="AZ672" i="23916" s="1"/>
  <c r="BH657" i="23916"/>
  <c r="AZ657" i="23916"/>
  <c r="AY640" i="23916"/>
  <c r="FV679" i="23916"/>
  <c r="FW679" i="23916" s="1"/>
  <c r="FV675" i="23916"/>
  <c r="FW675" i="23916" s="1"/>
  <c r="FV678" i="23916"/>
  <c r="FX663" i="23916"/>
  <c r="FY663" i="23916" s="1"/>
  <c r="FW657" i="23916"/>
  <c r="CN685" i="23916"/>
  <c r="GN694" i="23916"/>
  <c r="GN695" i="23916"/>
  <c r="GO695" i="23916" s="1"/>
  <c r="GN693" i="23916"/>
  <c r="GO659" i="23916"/>
  <c r="EC673" i="23916"/>
  <c r="ED673" i="23916" s="1"/>
  <c r="DL672" i="23916"/>
  <c r="CN677" i="23916"/>
  <c r="GM687" i="23916"/>
  <c r="DW673" i="23916"/>
  <c r="FO649" i="23916"/>
  <c r="FN650" i="23916"/>
  <c r="FO650" i="23916" s="1"/>
  <c r="FS648" i="23916"/>
  <c r="GE648" i="23916"/>
  <c r="EF674" i="23916"/>
  <c r="CT672" i="23916"/>
  <c r="GG672" i="23916"/>
  <c r="CH634" i="23916"/>
  <c r="CG635" i="23916"/>
  <c r="CH635" i="23916" s="1"/>
  <c r="DN659" i="23916"/>
  <c r="DV676" i="23916"/>
  <c r="FV676" i="23916"/>
  <c r="FW676" i="23916" s="1"/>
  <c r="AX715" i="23916"/>
  <c r="DS695" i="23916"/>
  <c r="DS694" i="23916"/>
  <c r="DS693" i="23916"/>
  <c r="DS662" i="23916"/>
  <c r="DT659" i="23916"/>
  <c r="DC695" i="23916"/>
  <c r="DC694" i="23916"/>
  <c r="DC693" i="23916"/>
  <c r="DC662" i="23916"/>
  <c r="DD659" i="23916"/>
  <c r="BQ694" i="23916"/>
  <c r="BQ682" i="23916"/>
  <c r="BR682" i="23916" s="1"/>
  <c r="BQ681" i="23916"/>
  <c r="BR681" i="23916" s="1"/>
  <c r="BQ663" i="23916"/>
  <c r="BR663" i="23916" s="1"/>
  <c r="DY681" i="23916"/>
  <c r="DY679" i="23916"/>
  <c r="DY678" i="23916"/>
  <c r="DY675" i="23916"/>
  <c r="DY660" i="23916"/>
  <c r="DZ657" i="23916"/>
  <c r="DI681" i="23916"/>
  <c r="DI679" i="23916"/>
  <c r="DI678" i="23916"/>
  <c r="DI675" i="23916"/>
  <c r="DI660" i="23916"/>
  <c r="DJ657" i="23916"/>
  <c r="CS679" i="23916"/>
  <c r="CS678" i="23916"/>
  <c r="CS675" i="23916"/>
  <c r="CS660" i="23916"/>
  <c r="CT657" i="23916"/>
  <c r="CC679" i="23916"/>
  <c r="CD679" i="23916" s="1"/>
  <c r="CC678" i="23916"/>
  <c r="CC677" i="23916"/>
  <c r="CD677" i="23916" s="1"/>
  <c r="CC676" i="23916"/>
  <c r="CD676" i="23916" s="1"/>
  <c r="CC675" i="23916"/>
  <c r="CD675" i="23916" s="1"/>
  <c r="CC674" i="23916"/>
  <c r="CD674" i="23916" s="1"/>
  <c r="CC673" i="23916"/>
  <c r="CD673" i="23916" s="1"/>
  <c r="CC672" i="23916"/>
  <c r="CD672" i="23916" s="1"/>
  <c r="CC660" i="23916"/>
  <c r="CD657" i="23916"/>
  <c r="CL685" i="23916"/>
  <c r="FX679" i="23916"/>
  <c r="FY679" i="23916" s="1"/>
  <c r="FZ663" i="23916"/>
  <c r="FX678" i="23916"/>
  <c r="FY678" i="23916" s="1"/>
  <c r="FX675" i="23916"/>
  <c r="FY675" i="23916" s="1"/>
  <c r="FY657" i="23916"/>
  <c r="FE673" i="23916"/>
  <c r="FQ656" i="23916"/>
  <c r="FP653" i="23916"/>
  <c r="FP633" i="23916"/>
  <c r="FM693" i="23916"/>
  <c r="EP687" i="23916"/>
  <c r="EK695" i="23916"/>
  <c r="EK694" i="23916"/>
  <c r="EL694" i="23916" s="1"/>
  <c r="EK693" i="23916"/>
  <c r="EL693" i="23916" s="1"/>
  <c r="EL659" i="23916"/>
  <c r="EK662" i="23916"/>
  <c r="EL662" i="23916" s="1"/>
  <c r="BL677" i="23916"/>
  <c r="AE679" i="23916"/>
  <c r="AF679" i="23916" s="1"/>
  <c r="AE678" i="23916"/>
  <c r="AE681" i="23916"/>
  <c r="AF681" i="23916" s="1"/>
  <c r="AE677" i="23916"/>
  <c r="AF677" i="23916" s="1"/>
  <c r="AE676" i="23916"/>
  <c r="AF676" i="23916" s="1"/>
  <c r="AE663" i="23916"/>
  <c r="AF663" i="23916" s="1"/>
  <c r="AE672" i="23916"/>
  <c r="AF672" i="23916" s="1"/>
  <c r="AE673" i="23916"/>
  <c r="AF673" i="23916" s="1"/>
  <c r="AF657" i="23916"/>
  <c r="GB674" i="23916"/>
  <c r="GC674" i="23916" s="1"/>
  <c r="GE690" i="23916"/>
  <c r="FO693" i="23916"/>
  <c r="FK690" i="23916"/>
  <c r="CV685" i="23916"/>
  <c r="DT681" i="23916"/>
  <c r="CU673" i="23916"/>
  <c r="CV673" i="23916" s="1"/>
  <c r="CV689" i="23916"/>
  <c r="CR688" i="23916"/>
  <c r="CM674" i="23916"/>
  <c r="CN674" i="23916" s="1"/>
  <c r="GL673" i="23916"/>
  <c r="GE631" i="23916"/>
  <c r="BN673" i="23916"/>
  <c r="AH672" i="23916"/>
  <c r="DZ650" i="23916"/>
  <c r="FX677" i="23916"/>
  <c r="FY677" i="23916" s="1"/>
  <c r="FU676" i="23916"/>
  <c r="FM687" i="23916"/>
  <c r="CM640" i="23916"/>
  <c r="CN640" i="23916" s="1"/>
  <c r="FW649" i="23916"/>
  <c r="FK692" i="23916"/>
  <c r="DI662" i="23916"/>
  <c r="DJ662" i="23916" s="1"/>
  <c r="CS662" i="23916"/>
  <c r="CT662" i="23916" s="1"/>
  <c r="BX678" i="23916"/>
  <c r="FS685" i="23916"/>
  <c r="CN706" i="23916"/>
  <c r="CJ706" i="23916"/>
  <c r="BT706" i="23916"/>
  <c r="T715" i="23916"/>
  <c r="DV706" i="23916"/>
  <c r="CD706" i="23916"/>
  <c r="CT715" i="23916"/>
  <c r="CD715" i="23916"/>
  <c r="CG734" i="23916"/>
  <c r="CG706" i="23916"/>
  <c r="CH706" i="23916" s="1"/>
  <c r="CH704" i="23916"/>
  <c r="AZ715" i="23916"/>
  <c r="EH706" i="23916"/>
  <c r="EE695" i="23916"/>
  <c r="EF695" i="23916" s="1"/>
  <c r="EE694" i="23916"/>
  <c r="EF694" i="23916" s="1"/>
  <c r="EE693" i="23916"/>
  <c r="EF693" i="23916" s="1"/>
  <c r="EE662" i="23916"/>
  <c r="EF659" i="23916"/>
  <c r="DK695" i="23916"/>
  <c r="DK694" i="23916"/>
  <c r="DL694" i="23916" s="1"/>
  <c r="DK693" i="23916"/>
  <c r="DK662" i="23916"/>
  <c r="DL662" i="23916" s="1"/>
  <c r="DL659" i="23916"/>
  <c r="CU695" i="23916"/>
  <c r="CV695" i="23916" s="1"/>
  <c r="CU694" i="23916"/>
  <c r="CV694" i="23916" s="1"/>
  <c r="CU693" i="23916"/>
  <c r="CV693" i="23916" s="1"/>
  <c r="CU662" i="23916"/>
  <c r="CV659" i="23916"/>
  <c r="CE695" i="23916"/>
  <c r="CF695" i="23916" s="1"/>
  <c r="CE694" i="23916"/>
  <c r="CF694" i="23916" s="1"/>
  <c r="CE693" i="23916"/>
  <c r="CE662" i="23916"/>
  <c r="CF662" i="23916" s="1"/>
  <c r="CF659" i="23916"/>
  <c r="DX695" i="23916"/>
  <c r="DX694" i="23916"/>
  <c r="DX693" i="23916"/>
  <c r="DX662" i="23916"/>
  <c r="EG681" i="23916"/>
  <c r="EH681" i="23916" s="1"/>
  <c r="EG676" i="23916"/>
  <c r="EH676" i="23916" s="1"/>
  <c r="EG679" i="23916"/>
  <c r="EG677" i="23916"/>
  <c r="EH677" i="23916" s="1"/>
  <c r="EG675" i="23916"/>
  <c r="EG674" i="23916"/>
  <c r="EH674" i="23916" s="1"/>
  <c r="EG673" i="23916"/>
  <c r="EH673" i="23916" s="1"/>
  <c r="EG672" i="23916"/>
  <c r="EG660" i="23916"/>
  <c r="EH657" i="23916"/>
  <c r="DQ681" i="23916"/>
  <c r="DR681" i="23916" s="1"/>
  <c r="DQ679" i="23916"/>
  <c r="DR679" i="23916" s="1"/>
  <c r="DQ675" i="23916"/>
  <c r="DQ660" i="23916"/>
  <c r="DS663" i="23916" s="1"/>
  <c r="DR657" i="23916"/>
  <c r="DA681" i="23916"/>
  <c r="DA679" i="23916"/>
  <c r="DB679" i="23916" s="1"/>
  <c r="DA675" i="23916"/>
  <c r="DB675" i="23916" s="1"/>
  <c r="DA660" i="23916"/>
  <c r="DB657" i="23916"/>
  <c r="CK676" i="23916"/>
  <c r="CL676" i="23916" s="1"/>
  <c r="CK679" i="23916"/>
  <c r="CL679" i="23916" s="1"/>
  <c r="CK677" i="23916"/>
  <c r="CL677" i="23916" s="1"/>
  <c r="CK675" i="23916"/>
  <c r="CK674" i="23916"/>
  <c r="CL674" i="23916" s="1"/>
  <c r="CK673" i="23916"/>
  <c r="CK672" i="23916"/>
  <c r="CL672" i="23916" s="1"/>
  <c r="CK660" i="23916"/>
  <c r="CL657" i="23916"/>
  <c r="BV672" i="23916"/>
  <c r="BV677" i="23916"/>
  <c r="BR676" i="23916"/>
  <c r="BJ672" i="23916"/>
  <c r="BF676" i="23916"/>
  <c r="AD676" i="23916"/>
  <c r="Z673" i="23916"/>
  <c r="Z681" i="23916"/>
  <c r="N673" i="23916"/>
  <c r="EJ688" i="23916"/>
  <c r="EB685" i="23916"/>
  <c r="DN691" i="23916"/>
  <c r="DB685" i="23916"/>
  <c r="CL687" i="23916"/>
  <c r="CL691" i="23916"/>
  <c r="DY672" i="23916"/>
  <c r="DZ672" i="23916" s="1"/>
  <c r="DY677" i="23916"/>
  <c r="DZ689" i="23916"/>
  <c r="GL674" i="23916"/>
  <c r="GF681" i="23916"/>
  <c r="GG681" i="23916" s="1"/>
  <c r="GF679" i="23916"/>
  <c r="GG679" i="23916" s="1"/>
  <c r="GH663" i="23916"/>
  <c r="GF675" i="23916"/>
  <c r="GG675" i="23916" s="1"/>
  <c r="GF678" i="23916"/>
  <c r="GG678" i="23916" s="1"/>
  <c r="GG657" i="23916"/>
  <c r="FP657" i="23916"/>
  <c r="FS657" i="23916" s="1"/>
  <c r="FE672" i="23916"/>
  <c r="DX681" i="23916"/>
  <c r="DX679" i="23916"/>
  <c r="DX678" i="23916"/>
  <c r="DX675" i="23916"/>
  <c r="DX660" i="23916"/>
  <c r="GN690" i="23916"/>
  <c r="GN691" i="23916"/>
  <c r="GO691" i="23916" s="1"/>
  <c r="GO655" i="23916"/>
  <c r="GN657" i="23916"/>
  <c r="GN653" i="23916"/>
  <c r="GO653" i="23916" s="1"/>
  <c r="GF690" i="23916"/>
  <c r="GG690" i="23916" s="1"/>
  <c r="FU691" i="23916"/>
  <c r="FP690" i="23916"/>
  <c r="FQ690" i="23916" s="1"/>
  <c r="FM690" i="23916"/>
  <c r="EP688" i="23916"/>
  <c r="EH686" i="23916"/>
  <c r="CJ687" i="23916"/>
  <c r="FM662" i="23916"/>
  <c r="DQ695" i="23916"/>
  <c r="DR695" i="23916" s="1"/>
  <c r="DQ694" i="23916"/>
  <c r="DR694" i="23916" s="1"/>
  <c r="DQ693" i="23916"/>
  <c r="DR693" i="23916" s="1"/>
  <c r="DR659" i="23916"/>
  <c r="GH659" i="23916"/>
  <c r="DQ662" i="23916"/>
  <c r="CG695" i="23916"/>
  <c r="CH695" i="23916" s="1"/>
  <c r="CG694" i="23916"/>
  <c r="CH694" i="23916" s="1"/>
  <c r="CG693" i="23916"/>
  <c r="CH693" i="23916" s="1"/>
  <c r="CG662" i="23916"/>
  <c r="CH659" i="23916"/>
  <c r="BG694" i="23916"/>
  <c r="BG682" i="23916"/>
  <c r="BH682" i="23916" s="1"/>
  <c r="BG681" i="23916"/>
  <c r="BH681" i="23916" s="1"/>
  <c r="BG663" i="23916"/>
  <c r="BH663" i="23916" s="1"/>
  <c r="EE681" i="23916"/>
  <c r="EF681" i="23916" s="1"/>
  <c r="EE679" i="23916"/>
  <c r="EF679" i="23916" s="1"/>
  <c r="EE678" i="23916"/>
  <c r="EF678" i="23916" s="1"/>
  <c r="EE675" i="23916"/>
  <c r="EF675" i="23916" s="1"/>
  <c r="EF657" i="23916"/>
  <c r="EE660" i="23916"/>
  <c r="DC679" i="23916"/>
  <c r="DD679" i="23916" s="1"/>
  <c r="DC678" i="23916"/>
  <c r="DD678" i="23916" s="1"/>
  <c r="DC681" i="23916"/>
  <c r="DC675" i="23916"/>
  <c r="DD675" i="23916" s="1"/>
  <c r="DD657" i="23916"/>
  <c r="DC660" i="23916"/>
  <c r="CA679" i="23916"/>
  <c r="CB679" i="23916" s="1"/>
  <c r="CA678" i="23916"/>
  <c r="CB678" i="23916" s="1"/>
  <c r="CA677" i="23916"/>
  <c r="CB677" i="23916" s="1"/>
  <c r="CA676" i="23916"/>
  <c r="CB676" i="23916" s="1"/>
  <c r="CA672" i="23916"/>
  <c r="CB672" i="23916" s="1"/>
  <c r="CA675" i="23916"/>
  <c r="CB675" i="23916" s="1"/>
  <c r="CA674" i="23916"/>
  <c r="CB674" i="23916" s="1"/>
  <c r="CA673" i="23916"/>
  <c r="CB673" i="23916" s="1"/>
  <c r="CA660" i="23916"/>
  <c r="CB657" i="23916"/>
  <c r="CA640" i="23916"/>
  <c r="BL672" i="23916"/>
  <c r="BH672" i="23916"/>
  <c r="BH679" i="23916"/>
  <c r="BD676" i="23916"/>
  <c r="BD681" i="23916"/>
  <c r="AM681" i="23916"/>
  <c r="AM679" i="23916"/>
  <c r="AN679" i="23916" s="1"/>
  <c r="AM678" i="23916"/>
  <c r="AM677" i="23916"/>
  <c r="AN677" i="23916" s="1"/>
  <c r="AM676" i="23916"/>
  <c r="AN676" i="23916" s="1"/>
  <c r="AM673" i="23916"/>
  <c r="AN673" i="23916" s="1"/>
  <c r="AM663" i="23916"/>
  <c r="AM672" i="23916"/>
  <c r="AN657" i="23916"/>
  <c r="AB663" i="23916"/>
  <c r="AB681" i="23916"/>
  <c r="X663" i="23916"/>
  <c r="W678" i="23916"/>
  <c r="X678" i="23916" s="1"/>
  <c r="T673" i="23916"/>
  <c r="T678" i="23916"/>
  <c r="P672" i="23916"/>
  <c r="L681" i="23916"/>
  <c r="DR690" i="23916"/>
  <c r="DL691" i="23916"/>
  <c r="CH688" i="23916"/>
  <c r="BW694" i="23916"/>
  <c r="BX694" i="23916" s="1"/>
  <c r="BW693" i="23916"/>
  <c r="BX693" i="23916" s="1"/>
  <c r="BW662" i="23916"/>
  <c r="BX662" i="23916" s="1"/>
  <c r="BX659" i="23916"/>
  <c r="FZ681" i="23916"/>
  <c r="FZ679" i="23916"/>
  <c r="GA679" i="23916" s="1"/>
  <c r="FZ675" i="23916"/>
  <c r="GA675" i="23916" s="1"/>
  <c r="FZ678" i="23916"/>
  <c r="GA678" i="23916" s="1"/>
  <c r="GB663" i="23916"/>
  <c r="GC663" i="23916" s="1"/>
  <c r="GA657" i="23916"/>
  <c r="FJ679" i="23916"/>
  <c r="FK679" i="23916" s="1"/>
  <c r="FJ675" i="23916"/>
  <c r="FK675" i="23916" s="1"/>
  <c r="FJ681" i="23916"/>
  <c r="FK681" i="23916" s="1"/>
  <c r="FJ678" i="23916"/>
  <c r="FK678" i="23916" s="1"/>
  <c r="FK657" i="23916"/>
  <c r="FL663" i="23916"/>
  <c r="GL690" i="23916"/>
  <c r="GM690" i="23916" s="1"/>
  <c r="GI691" i="23916"/>
  <c r="GC662" i="23916"/>
  <c r="FV690" i="23916"/>
  <c r="FW690" i="23916" s="1"/>
  <c r="FR690" i="23916"/>
  <c r="FS690" i="23916" s="1"/>
  <c r="FK691" i="23916"/>
  <c r="EL686" i="23916"/>
  <c r="ED691" i="23916"/>
  <c r="DP685" i="23916"/>
  <c r="CF689" i="23916"/>
  <c r="CF688" i="23916"/>
  <c r="EP693" i="23916"/>
  <c r="GL695" i="23916"/>
  <c r="GM695" i="23916" s="1"/>
  <c r="GL694" i="23916"/>
  <c r="GM694" i="23916" s="1"/>
  <c r="GL693" i="23916"/>
  <c r="GM693" i="23916" s="1"/>
  <c r="GM659" i="23916"/>
  <c r="EH695" i="23916"/>
  <c r="DZ693" i="23916"/>
  <c r="DT657" i="23916"/>
  <c r="DT679" i="23916"/>
  <c r="CT649" i="23916"/>
  <c r="CS650" i="23916"/>
  <c r="CT650" i="23916" s="1"/>
  <c r="DZ648" i="23916"/>
  <c r="EC672" i="23916"/>
  <c r="ED672" i="23916" s="1"/>
  <c r="EC677" i="23916"/>
  <c r="ED677" i="23916" s="1"/>
  <c r="ED689" i="23916"/>
  <c r="DT674" i="23916"/>
  <c r="DN645" i="23916"/>
  <c r="DX672" i="23916"/>
  <c r="DK676" i="23916"/>
  <c r="DL686" i="23916"/>
  <c r="DH674" i="23916"/>
  <c r="DH686" i="23916"/>
  <c r="DC676" i="23916"/>
  <c r="DD676" i="23916" s="1"/>
  <c r="DD688" i="23916"/>
  <c r="CU676" i="23916"/>
  <c r="CV676" i="23916" s="1"/>
  <c r="CR674" i="23916"/>
  <c r="CR686" i="23916"/>
  <c r="CM676" i="23916"/>
  <c r="CN676" i="23916" s="1"/>
  <c r="CN688" i="23916"/>
  <c r="GG645" i="23916"/>
  <c r="GL677" i="23916"/>
  <c r="GM686" i="23916"/>
  <c r="GH677" i="23916"/>
  <c r="GI677" i="23916" s="1"/>
  <c r="GI686" i="23916"/>
  <c r="GJ685" i="23916"/>
  <c r="GK685" i="23916" s="1"/>
  <c r="FW631" i="23916"/>
  <c r="BM694" i="23916"/>
  <c r="BM682" i="23916"/>
  <c r="BN682" i="23916" s="1"/>
  <c r="BM681" i="23916"/>
  <c r="BN681" i="23916" s="1"/>
  <c r="BM663" i="23916"/>
  <c r="BN663" i="23916" s="1"/>
  <c r="FT660" i="23916"/>
  <c r="BM679" i="23916"/>
  <c r="BN679" i="23916" s="1"/>
  <c r="AX672" i="23916"/>
  <c r="AO663" i="23916"/>
  <c r="AP663" i="23916" s="1"/>
  <c r="AP679" i="23916"/>
  <c r="AH673" i="23916"/>
  <c r="AH681" i="23916"/>
  <c r="CB650" i="23916"/>
  <c r="BL650" i="23916"/>
  <c r="AV650" i="23916"/>
  <c r="AF650" i="23916"/>
  <c r="GB688" i="23916"/>
  <c r="GC688" i="23916" s="1"/>
  <c r="GB687" i="23916"/>
  <c r="GC687" i="23916" s="1"/>
  <c r="GB686" i="23916"/>
  <c r="GC686" i="23916" s="1"/>
  <c r="GB689" i="23916"/>
  <c r="GC689" i="23916" s="1"/>
  <c r="GB677" i="23916"/>
  <c r="GB673" i="23916"/>
  <c r="GC673" i="23916" s="1"/>
  <c r="GB672" i="23916"/>
  <c r="GC672" i="23916" s="1"/>
  <c r="GB676" i="23916"/>
  <c r="GC676" i="23916" s="1"/>
  <c r="GC644" i="23916"/>
  <c r="FZ677" i="23916"/>
  <c r="GA677" i="23916" s="1"/>
  <c r="FX674" i="23916"/>
  <c r="FY674" i="23916" s="1"/>
  <c r="FY686" i="23916"/>
  <c r="EB645" i="23916"/>
  <c r="EB676" i="23916"/>
  <c r="EB687" i="23916"/>
  <c r="DW676" i="23916"/>
  <c r="EF676" i="23916" s="1"/>
  <c r="FT673" i="23916"/>
  <c r="FU673" i="23916" s="1"/>
  <c r="FQ686" i="23916"/>
  <c r="FL672" i="23916"/>
  <c r="FM672" i="23916" s="1"/>
  <c r="FH676" i="23916"/>
  <c r="FI676" i="23916" s="1"/>
  <c r="FH677" i="23916"/>
  <c r="FI677" i="23916" s="1"/>
  <c r="EE640" i="23916"/>
  <c r="EF640" i="23916" s="1"/>
  <c r="DK640" i="23916"/>
  <c r="DL640" i="23916" s="1"/>
  <c r="CU640" i="23916"/>
  <c r="CV640" i="23916" s="1"/>
  <c r="GI650" i="23916"/>
  <c r="FS649" i="23916"/>
  <c r="FK649" i="23916"/>
  <c r="FJ650" i="23916"/>
  <c r="FK650" i="23916" s="1"/>
  <c r="GF695" i="23916"/>
  <c r="GF694" i="23916"/>
  <c r="GG694" i="23916" s="1"/>
  <c r="GF693" i="23916"/>
  <c r="GG693" i="23916" s="1"/>
  <c r="GG659" i="23916"/>
  <c r="DJ694" i="23916"/>
  <c r="GB694" i="23916"/>
  <c r="GB695" i="23916"/>
  <c r="GC695" i="23916" s="1"/>
  <c r="GB693" i="23916"/>
  <c r="GC693" i="23916" s="1"/>
  <c r="GC659" i="23916"/>
  <c r="CT694" i="23916"/>
  <c r="FX695" i="23916"/>
  <c r="FX694" i="23916"/>
  <c r="FY694" i="23916" s="1"/>
  <c r="FX693" i="23916"/>
  <c r="FY693" i="23916" s="1"/>
  <c r="FY659" i="23916"/>
  <c r="CD694" i="23916"/>
  <c r="BX673" i="23916"/>
  <c r="BX676" i="23916"/>
  <c r="BJ650" i="23916"/>
  <c r="EN649" i="23916"/>
  <c r="CX649" i="23916"/>
  <c r="CW650" i="23916"/>
  <c r="CX650" i="23916" s="1"/>
  <c r="EL648" i="23916"/>
  <c r="DF648" i="23916"/>
  <c r="GC685" i="23916"/>
  <c r="EN645" i="23916"/>
  <c r="EE673" i="23916"/>
  <c r="EF688" i="23916"/>
  <c r="DV645" i="23916"/>
  <c r="DQ677" i="23916"/>
  <c r="DR677" i="23916" s="1"/>
  <c r="DM672" i="23916"/>
  <c r="DN672" i="23916" s="1"/>
  <c r="DM677" i="23916"/>
  <c r="DN677" i="23916" s="1"/>
  <c r="DN689" i="23916"/>
  <c r="DI676" i="23916"/>
  <c r="DJ676" i="23916" s="1"/>
  <c r="DJ688" i="23916"/>
  <c r="DE674" i="23916"/>
  <c r="DF674" i="23916" s="1"/>
  <c r="DF687" i="23916"/>
  <c r="DA673" i="23916"/>
  <c r="DB673" i="23916" s="1"/>
  <c r="DB686" i="23916"/>
  <c r="CW672" i="23916"/>
  <c r="CX672" i="23916" s="1"/>
  <c r="CW677" i="23916"/>
  <c r="CX677" i="23916" s="1"/>
  <c r="CX689" i="23916"/>
  <c r="CS676" i="23916"/>
  <c r="CT676" i="23916" s="1"/>
  <c r="CT688" i="23916"/>
  <c r="CO674" i="23916"/>
  <c r="CP674" i="23916" s="1"/>
  <c r="CP687" i="23916"/>
  <c r="GI645" i="23916"/>
  <c r="GN688" i="23916"/>
  <c r="GO688" i="23916" s="1"/>
  <c r="GJ688" i="23916"/>
  <c r="GK688" i="23916" s="1"/>
  <c r="GF677" i="23916"/>
  <c r="GG677" i="23916" s="1"/>
  <c r="GG688" i="23916"/>
  <c r="GI685" i="23916"/>
  <c r="FK685" i="23916"/>
  <c r="GA636" i="23916"/>
  <c r="GI634" i="23916"/>
  <c r="GH635" i="23916"/>
  <c r="GI635" i="23916" s="1"/>
  <c r="FR635" i="23916"/>
  <c r="EH634" i="23916"/>
  <c r="EG635" i="23916"/>
  <c r="EH635" i="23916" s="1"/>
  <c r="DR634" i="23916"/>
  <c r="DQ635" i="23916"/>
  <c r="DR635" i="23916" s="1"/>
  <c r="DB634" i="23916"/>
  <c r="DA635" i="23916"/>
  <c r="DB635" i="23916" s="1"/>
  <c r="CL634" i="23916"/>
  <c r="CK635" i="23916"/>
  <c r="CL635" i="23916" s="1"/>
  <c r="BV634" i="23916"/>
  <c r="BU635" i="23916"/>
  <c r="BF634" i="23916"/>
  <c r="BE635" i="23916"/>
  <c r="AP634" i="23916"/>
  <c r="AO635" i="23916"/>
  <c r="Z634" i="23916"/>
  <c r="Y635" i="23916"/>
  <c r="BB681" i="23916"/>
  <c r="AT673" i="23916"/>
  <c r="AL676" i="23916"/>
  <c r="EJ672" i="23916"/>
  <c r="EI678" i="23916"/>
  <c r="EJ678" i="23916" s="1"/>
  <c r="EB675" i="23916"/>
  <c r="DU662" i="23916"/>
  <c r="DV662" i="23916" s="1"/>
  <c r="DV695" i="23916"/>
  <c r="DN694" i="23916"/>
  <c r="DH675" i="23916"/>
  <c r="CY682" i="23916"/>
  <c r="CZ682" i="23916" s="1"/>
  <c r="CY681" i="23916"/>
  <c r="CZ681" i="23916" s="1"/>
  <c r="CZ660" i="23916"/>
  <c r="CZ679" i="23916"/>
  <c r="CQ678" i="23916"/>
  <c r="CR678" i="23916" s="1"/>
  <c r="CJ672" i="23916"/>
  <c r="CJ676" i="23916"/>
  <c r="EH650" i="23916"/>
  <c r="DU677" i="23916"/>
  <c r="DV688" i="23916"/>
  <c r="DO676" i="23916"/>
  <c r="DP676" i="23916" s="1"/>
  <c r="DP686" i="23916"/>
  <c r="FV674" i="23916"/>
  <c r="FW674" i="23916" s="1"/>
  <c r="FW689" i="23916"/>
  <c r="FR677" i="23916"/>
  <c r="FU677" i="23916" s="1"/>
  <c r="FS688" i="23916"/>
  <c r="FN676" i="23916"/>
  <c r="FO676" i="23916" s="1"/>
  <c r="FO687" i="23916"/>
  <c r="FJ673" i="23916"/>
  <c r="FJ677" i="23916"/>
  <c r="FK677" i="23916" s="1"/>
  <c r="FK686" i="23916"/>
  <c r="FF674" i="23916"/>
  <c r="FG674" i="23916" s="1"/>
  <c r="BV640" i="23916"/>
  <c r="FV640" i="23916"/>
  <c r="FW640" i="23916" s="1"/>
  <c r="BF640" i="23916"/>
  <c r="FR640" i="23916"/>
  <c r="FS640" i="23916" s="1"/>
  <c r="Z650" i="23916"/>
  <c r="DL650" i="23916"/>
  <c r="CV650" i="23916"/>
  <c r="DM640" i="23916"/>
  <c r="DN640" i="23916" s="1"/>
  <c r="CZ635" i="23916"/>
  <c r="BT635" i="23916"/>
  <c r="AN635" i="23916"/>
  <c r="GF635" i="23916"/>
  <c r="GG635" i="23916" s="1"/>
  <c r="GG634" i="23916"/>
  <c r="GK631" i="23916"/>
  <c r="CX615" i="23916"/>
  <c r="CP615" i="23916"/>
  <c r="DJ645" i="23916"/>
  <c r="AM640" i="23916"/>
  <c r="GK636" i="23916"/>
  <c r="FU636" i="23916"/>
  <c r="FL606" i="23916"/>
  <c r="EL645" i="23916"/>
  <c r="CZ650" i="23916"/>
  <c r="CO640" i="23916"/>
  <c r="CP640" i="23916" s="1"/>
  <c r="FI680" i="23916"/>
  <c r="FS601" i="23916"/>
  <c r="FU601" i="23916"/>
  <c r="BK599" i="23916"/>
  <c r="BR599" i="23916"/>
  <c r="BJ599" i="23916"/>
  <c r="GA599" i="23916"/>
  <c r="CX596" i="23916"/>
  <c r="EC640" i="23916"/>
  <c r="ED640" i="23916" s="1"/>
  <c r="GB635" i="23916"/>
  <c r="GC635" i="23916" s="1"/>
  <c r="GC634" i="23916"/>
  <c r="FM636" i="23916"/>
  <c r="AP606" i="23916"/>
  <c r="CJ598" i="23916"/>
  <c r="FX598" i="23916"/>
  <c r="FY598" i="23916" s="1"/>
  <c r="GG594" i="23916"/>
  <c r="GE590" i="23916"/>
  <c r="FO590" i="23916"/>
  <c r="FK588" i="23916"/>
  <c r="FJ590" i="23916"/>
  <c r="GC590" i="23916"/>
  <c r="FK599" i="23916"/>
  <c r="GO590" i="23916"/>
  <c r="GC599" i="23916"/>
  <c r="GG590" i="23916"/>
  <c r="GM594" i="23916"/>
  <c r="AB615" i="23916"/>
  <c r="FL615" i="23916"/>
  <c r="FM615" i="23916" s="1"/>
  <c r="L615" i="23916"/>
  <c r="FH615" i="23916"/>
  <c r="GK554" i="23916"/>
  <c r="GC552" i="23916"/>
  <c r="EM552" i="23916"/>
  <c r="EN552" i="23916" s="1"/>
  <c r="GE616" i="23916"/>
  <c r="FQ631" i="23916"/>
  <c r="ER590" i="23916"/>
  <c r="GK552" i="23916"/>
  <c r="EQ554" i="23916"/>
  <c r="EP554" i="23916"/>
  <c r="DF552" i="23916"/>
  <c r="CL552" i="23916"/>
  <c r="U614" i="23916"/>
  <c r="V541" i="23916"/>
  <c r="U553" i="23916"/>
  <c r="GI594" i="23916"/>
  <c r="GC549" i="23916"/>
  <c r="GN547" i="23916"/>
  <c r="EI753" i="23916"/>
  <c r="EI754" i="23916" s="1"/>
  <c r="EJ497" i="23916"/>
  <c r="DS497" i="23916"/>
  <c r="EB497" i="23916" s="1"/>
  <c r="DC497" i="23916"/>
  <c r="DL497" i="23916" s="1"/>
  <c r="CM497" i="23916"/>
  <c r="CV497" i="23916" s="1"/>
  <c r="GI549" i="23916"/>
  <c r="S614" i="23916"/>
  <c r="S553" i="23916"/>
  <c r="T541" i="23916"/>
  <c r="K666" i="23916"/>
  <c r="I614" i="23916"/>
  <c r="I553" i="23916"/>
  <c r="I566" i="23916" s="1"/>
  <c r="FL566" i="23916"/>
  <c r="FM553" i="23916"/>
  <c r="GC509" i="23916"/>
  <c r="W666" i="23916"/>
  <c r="X666" i="23916" s="1"/>
  <c r="W541" i="23916"/>
  <c r="X538" i="23916"/>
  <c r="G614" i="23916"/>
  <c r="G553" i="23916"/>
  <c r="G566" i="23916" s="1"/>
  <c r="GI509" i="23916"/>
  <c r="DA497" i="23916"/>
  <c r="DM745" i="23916"/>
  <c r="CW745" i="23916"/>
  <c r="CG745" i="23916"/>
  <c r="BQ745" i="23916"/>
  <c r="BY482" i="23916"/>
  <c r="BZ473" i="23916"/>
  <c r="BI482" i="23916"/>
  <c r="BJ473" i="23916"/>
  <c r="GH473" i="23916"/>
  <c r="GI471" i="23916"/>
  <c r="FR473" i="23916"/>
  <c r="FS471" i="23916"/>
  <c r="BD388" i="23916"/>
  <c r="GO480" i="23916"/>
  <c r="FY480" i="23916"/>
  <c r="EI482" i="23916"/>
  <c r="EJ480" i="23916"/>
  <c r="DP480" i="23916"/>
  <c r="DO482" i="23916"/>
  <c r="CN480" i="23916"/>
  <c r="CM482" i="23916"/>
  <c r="ES505" i="23916"/>
  <c r="ET505" i="23916" s="1"/>
  <c r="ET476" i="23916"/>
  <c r="ES480" i="23916"/>
  <c r="ET480" i="23916" s="1"/>
  <c r="EU476" i="23916"/>
  <c r="EA751" i="23916"/>
  <c r="AP466" i="23916"/>
  <c r="Z466" i="23916"/>
  <c r="AP465" i="23916"/>
  <c r="AV458" i="23916"/>
  <c r="AF458" i="23916"/>
  <c r="M461" i="23916"/>
  <c r="M466" i="23916"/>
  <c r="N466" i="23916" s="1"/>
  <c r="N459" i="23916"/>
  <c r="BR421" i="23916"/>
  <c r="FW418" i="23916"/>
  <c r="FG418" i="23916"/>
  <c r="BQ737" i="23916"/>
  <c r="BR367" i="23916"/>
  <c r="FS505" i="23916"/>
  <c r="CN473" i="23916"/>
  <c r="CE482" i="23916"/>
  <c r="CF473" i="23916"/>
  <c r="FP482" i="23916"/>
  <c r="FQ473" i="23916"/>
  <c r="GC471" i="23916"/>
  <c r="GB473" i="23916"/>
  <c r="CJ482" i="23916"/>
  <c r="CI485" i="23916"/>
  <c r="CI484" i="23916"/>
  <c r="CJ484" i="23916" s="1"/>
  <c r="CI488" i="23916"/>
  <c r="BC482" i="23916"/>
  <c r="GD480" i="23916"/>
  <c r="GE480" i="23916" s="1"/>
  <c r="EO482" i="23916"/>
  <c r="EP480" i="23916"/>
  <c r="DY482" i="23916"/>
  <c r="DZ480" i="23916"/>
  <c r="DE482" i="23916"/>
  <c r="DF480" i="23916"/>
  <c r="BB477" i="23916"/>
  <c r="BA480" i="23916"/>
  <c r="BJ477" i="23916"/>
  <c r="EM751" i="23916"/>
  <c r="AN465" i="23916"/>
  <c r="X465" i="23916"/>
  <c r="AX458" i="23916"/>
  <c r="AH458" i="23916"/>
  <c r="O461" i="23916"/>
  <c r="P461" i="23916" s="1"/>
  <c r="P459" i="23916"/>
  <c r="O466" i="23916"/>
  <c r="P466" i="23916" s="1"/>
  <c r="BR422" i="23916"/>
  <c r="FH418" i="23916"/>
  <c r="FI418" i="23916" s="1"/>
  <c r="AZ367" i="23916"/>
  <c r="FV739" i="23916"/>
  <c r="FW359" i="23916"/>
  <c r="GG477" i="23916"/>
  <c r="BF428" i="23916"/>
  <c r="BE434" i="23916"/>
  <c r="BF434" i="23916" s="1"/>
  <c r="BE430" i="23916"/>
  <c r="FL422" i="23916"/>
  <c r="FM422" i="23916" s="1"/>
  <c r="AJ422" i="23916"/>
  <c r="T422" i="23916"/>
  <c r="FD425" i="23916"/>
  <c r="FD422" i="23916"/>
  <c r="FE422" i="23916" s="1"/>
  <c r="FE413" i="23916"/>
  <c r="FR413" i="23916"/>
  <c r="CO740" i="23916"/>
  <c r="CO301" i="23916"/>
  <c r="CP301" i="23916" s="1"/>
  <c r="CP300" i="23916"/>
  <c r="BK740" i="23916"/>
  <c r="BK301" i="23916"/>
  <c r="DY791" i="23916"/>
  <c r="DW740" i="23916"/>
  <c r="DW301" i="23916"/>
  <c r="EF301" i="23916" s="1"/>
  <c r="AM301" i="23916"/>
  <c r="AN301" i="23916" s="1"/>
  <c r="AN300" i="23916"/>
  <c r="W301" i="23916"/>
  <c r="X301" i="23916" s="1"/>
  <c r="X300" i="23916"/>
  <c r="FU297" i="23916"/>
  <c r="GJ294" i="23916"/>
  <c r="GK294" i="23916" s="1"/>
  <c r="DV294" i="23916"/>
  <c r="GF294" i="23916"/>
  <c r="DF294" i="23916"/>
  <c r="FX294" i="23916"/>
  <c r="FY294" i="23916" s="1"/>
  <c r="BX294" i="23916"/>
  <c r="DJ290" i="23916"/>
  <c r="CT290" i="23916"/>
  <c r="GH306" i="23916"/>
  <c r="GI288" i="23916"/>
  <c r="EU287" i="23916"/>
  <c r="EU288" i="23916" s="1"/>
  <c r="ET287" i="23916"/>
  <c r="FU274" i="23916"/>
  <c r="GK500" i="23916"/>
  <c r="FU500" i="23916"/>
  <c r="CO753" i="23916"/>
  <c r="CO754" i="23916" s="1"/>
  <c r="CP497" i="23916"/>
  <c r="FG461" i="23916"/>
  <c r="AB466" i="23916"/>
  <c r="T461" i="23916"/>
  <c r="P422" i="23916"/>
  <c r="FJ422" i="23916"/>
  <c r="FK422" i="23916" s="1"/>
  <c r="FJ421" i="23916"/>
  <c r="FK421" i="23916" s="1"/>
  <c r="BR425" i="23916"/>
  <c r="AS434" i="23916"/>
  <c r="AS430" i="23916"/>
  <c r="Z422" i="23916"/>
  <c r="FP425" i="23916"/>
  <c r="FQ413" i="23916"/>
  <c r="FY374" i="23916"/>
  <c r="FX376" i="23916"/>
  <c r="FT739" i="23916"/>
  <c r="FU359" i="23916"/>
  <c r="FT370" i="23916"/>
  <c r="BI345" i="23916"/>
  <c r="BI346" i="23916"/>
  <c r="BA345" i="23916"/>
  <c r="BB345" i="23916" s="1"/>
  <c r="BA346" i="23916"/>
  <c r="BB343" i="23916"/>
  <c r="EJ306" i="23916"/>
  <c r="EI312" i="23916"/>
  <c r="EI309" i="23916"/>
  <c r="EI308" i="23916"/>
  <c r="DE312" i="23916"/>
  <c r="DF306" i="23916"/>
  <c r="DE309" i="23916"/>
  <c r="DE308" i="23916"/>
  <c r="DF308" i="23916" s="1"/>
  <c r="BY306" i="23916"/>
  <c r="AR306" i="23916"/>
  <c r="AQ309" i="23916"/>
  <c r="AQ308" i="23916"/>
  <c r="AQ312" i="23916"/>
  <c r="AZ306" i="23916"/>
  <c r="L306" i="23916"/>
  <c r="K308" i="23916"/>
  <c r="L308" i="23916" s="1"/>
  <c r="K309" i="23916"/>
  <c r="DN302" i="23916"/>
  <c r="BF302" i="23916"/>
  <c r="ER503" i="23916"/>
  <c r="EJ503" i="23916"/>
  <c r="DT503" i="23916"/>
  <c r="DD503" i="23916"/>
  <c r="CN503" i="23916"/>
  <c r="AV290" i="23916"/>
  <c r="AF290" i="23916"/>
  <c r="BV288" i="23916"/>
  <c r="BU306" i="23916"/>
  <c r="GZ537" i="23916"/>
  <c r="GO537" i="23916"/>
  <c r="FX537" i="23916"/>
  <c r="FY537" i="23916" s="1"/>
  <c r="DC264" i="23916"/>
  <c r="DD264" i="23916" s="1"/>
  <c r="DD263" i="23916"/>
  <c r="BW264" i="23916"/>
  <c r="DI484" i="23916"/>
  <c r="DJ484" i="23916" s="1"/>
  <c r="DI488" i="23916"/>
  <c r="DJ482" i="23916"/>
  <c r="DI485" i="23916"/>
  <c r="CS484" i="23916"/>
  <c r="CS488" i="23916"/>
  <c r="CT482" i="23916"/>
  <c r="CS485" i="23916"/>
  <c r="BN480" i="23916"/>
  <c r="BV428" i="23916"/>
  <c r="BU434" i="23916"/>
  <c r="BV434" i="23916" s="1"/>
  <c r="BU430" i="23916"/>
  <c r="FT422" i="23916"/>
  <c r="FU417" i="23916"/>
  <c r="AR422" i="23916"/>
  <c r="AA427" i="23916"/>
  <c r="AB427" i="23916" s="1"/>
  <c r="AA428" i="23916"/>
  <c r="AB425" i="23916"/>
  <c r="FT425" i="23916"/>
  <c r="FU413" i="23916"/>
  <c r="AQ401" i="23916"/>
  <c r="AR401" i="23916" s="1"/>
  <c r="AQ396" i="23916"/>
  <c r="AR394" i="23916"/>
  <c r="FP394" i="23916"/>
  <c r="BV388" i="23916"/>
  <c r="BM371" i="23916"/>
  <c r="BI737" i="23916"/>
  <c r="BJ367" i="23916"/>
  <c r="FP369" i="23916"/>
  <c r="FQ369" i="23916" s="1"/>
  <c r="FP367" i="23916"/>
  <c r="FQ367" i="23916" s="1"/>
  <c r="FQ358" i="23916"/>
  <c r="BH328" i="23916"/>
  <c r="GJ312" i="23916"/>
  <c r="GK306" i="23916"/>
  <c r="GJ309" i="23916"/>
  <c r="EG306" i="23916"/>
  <c r="DD306" i="23916"/>
  <c r="DC309" i="23916"/>
  <c r="DC308" i="23916"/>
  <c r="DD308" i="23916" s="1"/>
  <c r="DC312" i="23916"/>
  <c r="BO306" i="23916"/>
  <c r="FR300" i="23916"/>
  <c r="FU300" i="23916" s="1"/>
  <c r="DB302" i="23916"/>
  <c r="CH302" i="23916"/>
  <c r="GL300" i="23916"/>
  <c r="EI791" i="23916"/>
  <c r="EG740" i="23916"/>
  <c r="EG301" i="23916"/>
  <c r="EH301" i="23916" s="1"/>
  <c r="EH300" i="23916"/>
  <c r="DQ740" i="23916"/>
  <c r="DQ301" i="23916"/>
  <c r="DR301" i="23916" s="1"/>
  <c r="DR300" i="23916"/>
  <c r="AP302" i="23916"/>
  <c r="Z302" i="23916"/>
  <c r="AX300" i="23916"/>
  <c r="AW301" i="23916"/>
  <c r="AX301" i="23916" s="1"/>
  <c r="AH300" i="23916"/>
  <c r="AG301" i="23916"/>
  <c r="AH301" i="23916" s="1"/>
  <c r="R300" i="23916"/>
  <c r="Q301" i="23916"/>
  <c r="R301" i="23916" s="1"/>
  <c r="GE297" i="23916"/>
  <c r="FW296" i="23916"/>
  <c r="FV297" i="23916"/>
  <c r="FW297" i="23916" s="1"/>
  <c r="FD306" i="23916"/>
  <c r="FD302" i="23916"/>
  <c r="FE302" i="23916" s="1"/>
  <c r="FD300" i="23916"/>
  <c r="FD290" i="23916"/>
  <c r="FE290" i="23916" s="1"/>
  <c r="FE288" i="23916"/>
  <c r="EC753" i="23916"/>
  <c r="EC754" i="23916" s="1"/>
  <c r="ED497" i="23916"/>
  <c r="BQ497" i="23916"/>
  <c r="DH482" i="23916"/>
  <c r="DG485" i="23916"/>
  <c r="DG484" i="23916"/>
  <c r="DH484" i="23916" s="1"/>
  <c r="DG488" i="23916"/>
  <c r="CR482" i="23916"/>
  <c r="CQ485" i="23916"/>
  <c r="CQ484" i="23916"/>
  <c r="CQ488" i="23916"/>
  <c r="GK477" i="23916"/>
  <c r="AN466" i="23916"/>
  <c r="X461" i="23916"/>
  <c r="AN421" i="23916"/>
  <c r="X421" i="23916"/>
  <c r="G427" i="23916"/>
  <c r="G428" i="23916"/>
  <c r="FQ409" i="23916"/>
  <c r="AK425" i="23916"/>
  <c r="AK421" i="23916"/>
  <c r="AL421" i="23916" s="1"/>
  <c r="AK422" i="23916"/>
  <c r="AL422" i="23916" s="1"/>
  <c r="AL413" i="23916"/>
  <c r="E425" i="23916"/>
  <c r="E421" i="23916"/>
  <c r="BH393" i="23916"/>
  <c r="BQ391" i="23916"/>
  <c r="BR376" i="23916"/>
  <c r="BQ388" i="23916"/>
  <c r="BR388" i="23916" s="1"/>
  <c r="FP376" i="23916"/>
  <c r="FP400" i="23916" s="1"/>
  <c r="FQ400" i="23916" s="1"/>
  <c r="BK368" i="23916"/>
  <c r="BK357" i="23916"/>
  <c r="BK364" i="23916" s="1"/>
  <c r="BE340" i="23916"/>
  <c r="BF340" i="23916" s="1"/>
  <c r="BE339" i="23916"/>
  <c r="BF325" i="23916"/>
  <c r="AW340" i="23916"/>
  <c r="AX340" i="23916" s="1"/>
  <c r="AW339" i="23916"/>
  <c r="AX339" i="23916" s="1"/>
  <c r="AX325" i="23916"/>
  <c r="FQ321" i="23916"/>
  <c r="FP324" i="23916"/>
  <c r="DX312" i="23916"/>
  <c r="DX308" i="23916"/>
  <c r="DX309" i="23916"/>
  <c r="CS306" i="23916"/>
  <c r="BF306" i="23916"/>
  <c r="BE309" i="23916"/>
  <c r="BE308" i="23916"/>
  <c r="BF308" i="23916" s="1"/>
  <c r="BE312" i="23916"/>
  <c r="BF312" i="23916" s="1"/>
  <c r="W309" i="23916"/>
  <c r="W308" i="23916"/>
  <c r="X308" i="23916" s="1"/>
  <c r="X306" i="23916"/>
  <c r="FK302" i="23916"/>
  <c r="FG300" i="23916"/>
  <c r="FF301" i="23916"/>
  <c r="EL297" i="23916"/>
  <c r="DV297" i="23916"/>
  <c r="DF297" i="23916"/>
  <c r="EH503" i="23916"/>
  <c r="DR503" i="23916"/>
  <c r="DB503" i="23916"/>
  <c r="GD290" i="23916"/>
  <c r="BC306" i="23916"/>
  <c r="BC300" i="23916"/>
  <c r="BC290" i="23916"/>
  <c r="BL288" i="23916"/>
  <c r="BD288" i="23916"/>
  <c r="BC302" i="23916"/>
  <c r="BD302" i="23916" s="1"/>
  <c r="GQ537" i="23916"/>
  <c r="CQ264" i="23916"/>
  <c r="EI770" i="23916"/>
  <c r="EJ263" i="23916"/>
  <c r="EI264" i="23916"/>
  <c r="EJ264" i="23916" s="1"/>
  <c r="DT263" i="23916"/>
  <c r="DS264" i="23916"/>
  <c r="DT264" i="23916" s="1"/>
  <c r="EN259" i="23916"/>
  <c r="EM265" i="23916"/>
  <c r="GF259" i="23916"/>
  <c r="DC265" i="23916"/>
  <c r="DD259" i="23916"/>
  <c r="FX259" i="23916"/>
  <c r="BW265" i="23916"/>
  <c r="BX259" i="23916"/>
  <c r="FP259" i="23916"/>
  <c r="AQ265" i="23916"/>
  <c r="AR265" i="23916" s="1"/>
  <c r="AR259" i="23916"/>
  <c r="FP302" i="23916"/>
  <c r="FQ302" i="23916" s="1"/>
  <c r="GO297" i="23916"/>
  <c r="GV295" i="23916"/>
  <c r="GU295" i="23916"/>
  <c r="EK306" i="23916"/>
  <c r="CV301" i="23916"/>
  <c r="CD301" i="23916"/>
  <c r="BN300" i="23916"/>
  <c r="FL290" i="23916"/>
  <c r="FM290" i="23916" s="1"/>
  <c r="GP286" i="23916"/>
  <c r="GM500" i="23916"/>
  <c r="FW500" i="23916"/>
  <c r="AW270" i="23916"/>
  <c r="AW241" i="23916"/>
  <c r="AX240" i="23916"/>
  <c r="FP240" i="23916"/>
  <c r="DY270" i="23916"/>
  <c r="DY241" i="23916"/>
  <c r="DZ240" i="23916"/>
  <c r="DI270" i="23916"/>
  <c r="DI241" i="23916"/>
  <c r="DJ240" i="23916"/>
  <c r="CS270" i="23916"/>
  <c r="CS241" i="23916"/>
  <c r="CT240" i="23916"/>
  <c r="CC270" i="23916"/>
  <c r="CC241" i="23916"/>
  <c r="CD240" i="23916"/>
  <c r="BM270" i="23916"/>
  <c r="BM241" i="23916"/>
  <c r="BN240" i="23916"/>
  <c r="GL496" i="23916"/>
  <c r="FV496" i="23916"/>
  <c r="FZ494" i="23916"/>
  <c r="GA237" i="23916"/>
  <c r="EP494" i="23916"/>
  <c r="EO497" i="23916"/>
  <c r="DZ494" i="23916"/>
  <c r="DY497" i="23916"/>
  <c r="DL494" i="23916"/>
  <c r="CV494" i="23916"/>
  <c r="CF494" i="23916"/>
  <c r="BP494" i="23916"/>
  <c r="GC493" i="23916"/>
  <c r="BG348" i="23916"/>
  <c r="BG352" i="23916"/>
  <c r="FZ302" i="23916"/>
  <c r="GC302" i="23916" s="1"/>
  <c r="GM295" i="23916"/>
  <c r="FL300" i="23916"/>
  <c r="DO315" i="23916"/>
  <c r="DP315" i="23916" s="1"/>
  <c r="DO311" i="23916"/>
  <c r="DP309" i="23916"/>
  <c r="CY728" i="23916"/>
  <c r="AT308" i="23916"/>
  <c r="AD308" i="23916"/>
  <c r="Q315" i="23916"/>
  <c r="R309" i="23916"/>
  <c r="Q311" i="23916"/>
  <c r="FU288" i="23916"/>
  <c r="FT306" i="23916"/>
  <c r="FO288" i="23916"/>
  <c r="CG750" i="23916"/>
  <c r="CG751" i="23916" s="1"/>
  <c r="CH501" i="23916"/>
  <c r="FW258" i="23916"/>
  <c r="EN494" i="23916"/>
  <c r="DJ494" i="23916"/>
  <c r="DI497" i="23916"/>
  <c r="CT494" i="23916"/>
  <c r="CS497" i="23916"/>
  <c r="CD494" i="23916"/>
  <c r="CC497" i="23916"/>
  <c r="BN494" i="23916"/>
  <c r="BM497" i="23916"/>
  <c r="BG204" i="23916"/>
  <c r="BG247" i="23916"/>
  <c r="BG246" i="23916"/>
  <c r="AH427" i="23916"/>
  <c r="BP300" i="23916"/>
  <c r="GD294" i="23916"/>
  <c r="GE294" i="23916" s="1"/>
  <c r="GI303" i="23916"/>
  <c r="DG728" i="23916"/>
  <c r="DH312" i="23916"/>
  <c r="BX301" i="23916"/>
  <c r="GK288" i="23916"/>
  <c r="EG750" i="23916"/>
  <c r="EG751" i="23916" s="1"/>
  <c r="EH501" i="23916"/>
  <c r="CB259" i="23916"/>
  <c r="CA265" i="23916"/>
  <c r="BR259" i="23916"/>
  <c r="GG267" i="23916"/>
  <c r="EJ494" i="23916"/>
  <c r="DV494" i="23916"/>
  <c r="DF494" i="23916"/>
  <c r="CP494" i="23916"/>
  <c r="BZ494" i="23916"/>
  <c r="BJ494" i="23916"/>
  <c r="BG232" i="23916"/>
  <c r="EO265" i="23916"/>
  <c r="EP259" i="23916"/>
  <c r="DP259" i="23916"/>
  <c r="DO265" i="23916"/>
  <c r="GA258" i="23916"/>
  <c r="FZ260" i="23916"/>
  <c r="BZ259" i="23916"/>
  <c r="BY265" i="23916"/>
  <c r="AS265" i="23916"/>
  <c r="AT265" i="23916" s="1"/>
  <c r="AT259" i="23916"/>
  <c r="GI500" i="23916"/>
  <c r="GA500" i="23916"/>
  <c r="FS500" i="23916"/>
  <c r="EE276" i="23916"/>
  <c r="EE272" i="23916"/>
  <c r="EE273" i="23916"/>
  <c r="GB501" i="23916"/>
  <c r="GE501" i="23916" s="1"/>
  <c r="GC257" i="23916"/>
  <c r="AS218" i="23916"/>
  <c r="AT218" i="23916" s="1"/>
  <c r="BI197" i="23916"/>
  <c r="BI200" i="23916" s="1"/>
  <c r="BK189" i="23916"/>
  <c r="BI228" i="23916"/>
  <c r="BH171" i="23916"/>
  <c r="CI155" i="23916"/>
  <c r="CJ135" i="23916"/>
  <c r="CI154" i="23916"/>
  <c r="FU134" i="23916"/>
  <c r="FV129" i="23916"/>
  <c r="GJ87" i="23916"/>
  <c r="GJ113" i="23916"/>
  <c r="GK86" i="23916"/>
  <c r="CP35" i="23916"/>
  <c r="CO92" i="23916"/>
  <c r="BN35" i="23916"/>
  <c r="BM92" i="23916"/>
  <c r="BO263" i="23916"/>
  <c r="BP241" i="23916"/>
  <c r="GD240" i="23916"/>
  <c r="CF270" i="23916"/>
  <c r="CE273" i="23916"/>
  <c r="CE276" i="23916"/>
  <c r="CE272" i="23916"/>
  <c r="CF272" i="23916" s="1"/>
  <c r="FW493" i="23916"/>
  <c r="FR189" i="23916"/>
  <c r="FP228" i="23916"/>
  <c r="FQ195" i="23916"/>
  <c r="CC174" i="23916"/>
  <c r="CD168" i="23916"/>
  <c r="FW165" i="23916"/>
  <c r="FY165" i="23916"/>
  <c r="GF150" i="23916"/>
  <c r="GG150" i="23916" s="1"/>
  <c r="GG149" i="23916"/>
  <c r="FW69" i="23916"/>
  <c r="BG93" i="23916"/>
  <c r="BH56" i="23916"/>
  <c r="CL53" i="23916"/>
  <c r="CK64" i="23916"/>
  <c r="CT53" i="23916"/>
  <c r="BV53" i="23916"/>
  <c r="BU64" i="23916"/>
  <c r="FT55" i="23916"/>
  <c r="FU49" i="23916"/>
  <c r="FT56" i="23916"/>
  <c r="FU56" i="23916" s="1"/>
  <c r="FZ736" i="23916"/>
  <c r="GA39" i="23916"/>
  <c r="CE71" i="23916"/>
  <c r="CF32" i="23916"/>
  <c r="CE44" i="23916"/>
  <c r="CE45" i="23916" s="1"/>
  <c r="FZ32" i="23916"/>
  <c r="FW257" i="23916"/>
  <c r="FN276" i="23916"/>
  <c r="FN725" i="23916" s="1"/>
  <c r="FN272" i="23916"/>
  <c r="FN273" i="23916"/>
  <c r="DT241" i="23916"/>
  <c r="BG263" i="23916"/>
  <c r="BH241" i="23916"/>
  <c r="DS273" i="23916"/>
  <c r="DS276" i="23916"/>
  <c r="DS272" i="23916"/>
  <c r="DT272" i="23916" s="1"/>
  <c r="DT270" i="23916"/>
  <c r="CN270" i="23916"/>
  <c r="CM273" i="23916"/>
  <c r="CM276" i="23916"/>
  <c r="CM272" i="23916"/>
  <c r="BH270" i="23916"/>
  <c r="BG273" i="23916"/>
  <c r="BG276" i="23916"/>
  <c r="BG272" i="23916"/>
  <c r="BH272" i="23916" s="1"/>
  <c r="GD750" i="23916"/>
  <c r="ET215" i="23916"/>
  <c r="EU215" i="23916"/>
  <c r="GQ209" i="23916"/>
  <c r="GR209" i="23916"/>
  <c r="FX189" i="23916"/>
  <c r="FW195" i="23916"/>
  <c r="FV197" i="23916"/>
  <c r="GQ192" i="23916"/>
  <c r="GR192" i="23916"/>
  <c r="BI174" i="23916"/>
  <c r="BR174" i="23916" s="1"/>
  <c r="BJ168" i="23916"/>
  <c r="AU171" i="23916"/>
  <c r="AV171" i="23916" s="1"/>
  <c r="AV166" i="23916"/>
  <c r="BW495" i="23916"/>
  <c r="BW497" i="23916" s="1"/>
  <c r="BX148" i="23916"/>
  <c r="FX148" i="23916"/>
  <c r="GM149" i="23916"/>
  <c r="GL150" i="23916"/>
  <c r="GM150" i="23916" s="1"/>
  <c r="FR149" i="23916"/>
  <c r="FS145" i="23916"/>
  <c r="CJ104" i="23916"/>
  <c r="CI110" i="23916"/>
  <c r="CJ110" i="23916" s="1"/>
  <c r="FT104" i="23916"/>
  <c r="BG110" i="23916"/>
  <c r="BH110" i="23916" s="1"/>
  <c r="BH104" i="23916"/>
  <c r="EA110" i="23916"/>
  <c r="EB110" i="23916" s="1"/>
  <c r="GL104" i="23916"/>
  <c r="EB104" i="23916"/>
  <c r="DK110" i="23916"/>
  <c r="DL110" i="23916" s="1"/>
  <c r="DL104" i="23916"/>
  <c r="GH104" i="23916"/>
  <c r="CU110" i="23916"/>
  <c r="CV110" i="23916" s="1"/>
  <c r="CV104" i="23916"/>
  <c r="GD104" i="23916"/>
  <c r="AS497" i="23916"/>
  <c r="BB497" i="23916" s="1"/>
  <c r="FT62" i="23916"/>
  <c r="FU52" i="23916"/>
  <c r="FT70" i="23916"/>
  <c r="FU70" i="23916" s="1"/>
  <c r="FT60" i="23916"/>
  <c r="EM736" i="23916"/>
  <c r="EN39" i="23916"/>
  <c r="BY44" i="23916"/>
  <c r="BY45" i="23916" s="1"/>
  <c r="BZ32" i="23916"/>
  <c r="BY71" i="23916"/>
  <c r="BI44" i="23916"/>
  <c r="BI45" i="23916" s="1"/>
  <c r="BJ32" i="23916"/>
  <c r="BI71" i="23916"/>
  <c r="GV33" i="23916"/>
  <c r="GU33" i="23916"/>
  <c r="GN70" i="23916"/>
  <c r="GO70" i="23916" s="1"/>
  <c r="GO31" i="23916"/>
  <c r="GE258" i="23916"/>
  <c r="GC202" i="23916"/>
  <c r="GE202" i="23916"/>
  <c r="AY180" i="23916"/>
  <c r="AZ180" i="23916" s="1"/>
  <c r="AZ174" i="23916"/>
  <c r="AY177" i="23916"/>
  <c r="AY176" i="23916"/>
  <c r="AZ176" i="23916" s="1"/>
  <c r="BW171" i="23916"/>
  <c r="BX171" i="23916" s="1"/>
  <c r="FX166" i="23916"/>
  <c r="BX166" i="23916"/>
  <c r="FT168" i="23916"/>
  <c r="FU168" i="23916" s="1"/>
  <c r="DA171" i="23916"/>
  <c r="DB171" i="23916" s="1"/>
  <c r="DB166" i="23916"/>
  <c r="ES495" i="23916"/>
  <c r="ET495" i="23916" s="1"/>
  <c r="ET148" i="23916"/>
  <c r="EU148" i="23916"/>
  <c r="FY145" i="23916"/>
  <c r="FR495" i="23916"/>
  <c r="FS148" i="23916"/>
  <c r="FV743" i="23916"/>
  <c r="FW137" i="23916"/>
  <c r="CU118" i="23916"/>
  <c r="CV116" i="23916"/>
  <c r="CU122" i="23916"/>
  <c r="BV113" i="23916"/>
  <c r="BU116" i="23916"/>
  <c r="BU115" i="23916"/>
  <c r="BV115" i="23916" s="1"/>
  <c r="BU119" i="23916"/>
  <c r="AZ106" i="23916"/>
  <c r="CQ726" i="23916"/>
  <c r="CR119" i="23916"/>
  <c r="BS726" i="23916"/>
  <c r="BT119" i="23916"/>
  <c r="DW122" i="23916"/>
  <c r="DW118" i="23916"/>
  <c r="DW518" i="23916" s="1"/>
  <c r="DO726" i="23916"/>
  <c r="DP119" i="23916"/>
  <c r="FV106" i="23916"/>
  <c r="FW106" i="23916" s="1"/>
  <c r="GO102" i="23916"/>
  <c r="DR78" i="23916"/>
  <c r="DB78" i="23916"/>
  <c r="BR68" i="23916"/>
  <c r="BQ73" i="23916"/>
  <c r="BG76" i="23916"/>
  <c r="BH76" i="23916" s="1"/>
  <c r="BG79" i="23916"/>
  <c r="BH79" i="23916" s="1"/>
  <c r="BH73" i="23916"/>
  <c r="GG71" i="23916"/>
  <c r="CI71" i="23916"/>
  <c r="CR32" i="23916"/>
  <c r="CJ32" i="23916"/>
  <c r="CI44" i="23916"/>
  <c r="CI45" i="23916" s="1"/>
  <c r="CA73" i="23916"/>
  <c r="CB68" i="23916"/>
  <c r="BS171" i="23916"/>
  <c r="BT171" i="23916" s="1"/>
  <c r="BT166" i="23916"/>
  <c r="BH168" i="23916"/>
  <c r="BG174" i="23916"/>
  <c r="CI153" i="23916"/>
  <c r="BS495" i="23916"/>
  <c r="BT148" i="23916"/>
  <c r="CE518" i="23916"/>
  <c r="BT109" i="23916"/>
  <c r="CI726" i="23916"/>
  <c r="CJ119" i="23916"/>
  <c r="EA122" i="23916"/>
  <c r="EB122" i="23916" s="1"/>
  <c r="EA118" i="23916"/>
  <c r="EB116" i="23916"/>
  <c r="DC118" i="23916"/>
  <c r="DC122" i="23916"/>
  <c r="DD116" i="23916"/>
  <c r="CU726" i="23916"/>
  <c r="CV119" i="23916"/>
  <c r="BZ68" i="23916"/>
  <c r="CJ58" i="23916"/>
  <c r="DW270" i="23916"/>
  <c r="DW241" i="23916"/>
  <c r="EF241" i="23916" s="1"/>
  <c r="CH166" i="23916"/>
  <c r="AQ171" i="23916"/>
  <c r="AR171" i="23916" s="1"/>
  <c r="AR166" i="23916"/>
  <c r="FP166" i="23916"/>
  <c r="CN168" i="23916"/>
  <c r="CB104" i="23916"/>
  <c r="CA110" i="23916"/>
  <c r="CB110" i="23916" s="1"/>
  <c r="BY113" i="23916"/>
  <c r="BZ106" i="23916"/>
  <c r="BO726" i="23916"/>
  <c r="BP119" i="23916"/>
  <c r="DU113" i="23916"/>
  <c r="DV106" i="23916"/>
  <c r="DM113" i="23916"/>
  <c r="DN106" i="23916"/>
  <c r="GF106" i="23916"/>
  <c r="GG106" i="23916" s="1"/>
  <c r="GG105" i="23916"/>
  <c r="FR106" i="23916"/>
  <c r="FS106" i="23916" s="1"/>
  <c r="GA103" i="23916"/>
  <c r="GW91" i="23916"/>
  <c r="GX91" i="23916"/>
  <c r="FP113" i="23916"/>
  <c r="CL56" i="23916"/>
  <c r="CK93" i="23916"/>
  <c r="BV56" i="23916"/>
  <c r="BU93" i="23916"/>
  <c r="GJ736" i="23916"/>
  <c r="GK39" i="23916"/>
  <c r="GB736" i="23916"/>
  <c r="GC39" i="23916"/>
  <c r="FT736" i="23916"/>
  <c r="FT43" i="23916"/>
  <c r="FU39" i="23916"/>
  <c r="FT68" i="23916"/>
  <c r="ED494" i="23916"/>
  <c r="BS270" i="23916"/>
  <c r="BT240" i="23916"/>
  <c r="BS241" i="23916"/>
  <c r="BD494" i="23916"/>
  <c r="BP171" i="23916"/>
  <c r="GH495" i="23916"/>
  <c r="GI495" i="23916" s="1"/>
  <c r="GI148" i="23916"/>
  <c r="AU495" i="23916"/>
  <c r="AV148" i="23916"/>
  <c r="FW132" i="23916"/>
  <c r="ER115" i="23916"/>
  <c r="EJ115" i="23916"/>
  <c r="DK118" i="23916"/>
  <c r="DK122" i="23916"/>
  <c r="DL116" i="23916"/>
  <c r="DV78" i="23916"/>
  <c r="CP78" i="23916"/>
  <c r="BP78" i="23916"/>
  <c r="BZ388" i="23916"/>
  <c r="CB297" i="23916"/>
  <c r="EB302" i="23916"/>
  <c r="ED302" i="23916" s="1"/>
  <c r="EF302" i="23916" s="1"/>
  <c r="CJ294" i="23916"/>
  <c r="GK300" i="23916"/>
  <c r="DT301" i="23916"/>
  <c r="BJ301" i="23916"/>
  <c r="AW315" i="23916"/>
  <c r="AX309" i="23916"/>
  <c r="AW311" i="23916"/>
  <c r="AH308" i="23916"/>
  <c r="GO290" i="23916"/>
  <c r="FH290" i="23916"/>
  <c r="FI290" i="23916" s="1"/>
  <c r="GN494" i="23916"/>
  <c r="GO494" i="23916" s="1"/>
  <c r="GO237" i="23916"/>
  <c r="ET267" i="23916"/>
  <c r="EL267" i="23916"/>
  <c r="FT494" i="23916"/>
  <c r="FU494" i="23916" s="1"/>
  <c r="FU237" i="23916"/>
  <c r="BL494" i="23916"/>
  <c r="CA171" i="23916"/>
  <c r="CB171" i="23916" s="1"/>
  <c r="CB166" i="23916"/>
  <c r="CP174" i="23916"/>
  <c r="CO176" i="23916"/>
  <c r="CO180" i="23916"/>
  <c r="CO177" i="23916"/>
  <c r="CD171" i="23916"/>
  <c r="GB168" i="23916"/>
  <c r="GC168" i="23916" s="1"/>
  <c r="GC167" i="23916"/>
  <c r="BD109" i="23916"/>
  <c r="CB115" i="23916"/>
  <c r="BN110" i="23916"/>
  <c r="BK726" i="23916"/>
  <c r="BL119" i="23916"/>
  <c r="BZ78" i="23916"/>
  <c r="BT58" i="23916"/>
  <c r="BL253" i="23916"/>
  <c r="BD253" i="23916"/>
  <c r="DW180" i="23916"/>
  <c r="DW727" i="23916" s="1"/>
  <c r="DW177" i="23916"/>
  <c r="DW176" i="23916"/>
  <c r="GC166" i="23916"/>
  <c r="FS165" i="23916"/>
  <c r="EU165" i="23916"/>
  <c r="ET165" i="23916"/>
  <c r="GA164" i="23916"/>
  <c r="FT135" i="23916"/>
  <c r="FT153" i="23916" s="1"/>
  <c r="BW118" i="23916"/>
  <c r="BW122" i="23916"/>
  <c r="BX116" i="23916"/>
  <c r="BX115" i="23916"/>
  <c r="EH106" i="23916"/>
  <c r="EG113" i="23916"/>
  <c r="DQ110" i="23916"/>
  <c r="DR110" i="23916" s="1"/>
  <c r="DR104" i="23916"/>
  <c r="DB106" i="23916"/>
  <c r="DA113" i="23916"/>
  <c r="GB106" i="23916"/>
  <c r="GC106" i="23916" s="1"/>
  <c r="GC105" i="23916"/>
  <c r="FZ106" i="23916"/>
  <c r="FW86" i="23916"/>
  <c r="FV113" i="23916"/>
  <c r="FV87" i="23916"/>
  <c r="FT86" i="23916"/>
  <c r="DZ78" i="23916"/>
  <c r="BV78" i="23916"/>
  <c r="GG60" i="23916"/>
  <c r="CO58" i="23916"/>
  <c r="CP58" i="23916" s="1"/>
  <c r="CP55" i="23916"/>
  <c r="CQ49" i="23916"/>
  <c r="CB35" i="23916"/>
  <c r="CA92" i="23916"/>
  <c r="FV70" i="23916"/>
  <c r="FW70" i="23916" s="1"/>
  <c r="FX736" i="23916"/>
  <c r="FY39" i="23916"/>
  <c r="BB174" i="23916"/>
  <c r="BA176" i="23916"/>
  <c r="BB176" i="23916" s="1"/>
  <c r="BA180" i="23916"/>
  <c r="BB180" i="23916" s="1"/>
  <c r="BA177" i="23916"/>
  <c r="DF171" i="23916"/>
  <c r="CC726" i="23916"/>
  <c r="CD119" i="23916"/>
  <c r="BM726" i="23916"/>
  <c r="BN119" i="23916"/>
  <c r="EB115" i="23916"/>
  <c r="BP109" i="23916"/>
  <c r="CL68" i="23916"/>
  <c r="GM75" i="23916"/>
  <c r="DJ166" i="23916"/>
  <c r="AU518" i="23916"/>
  <c r="AV118" i="23916"/>
  <c r="CR240" i="23916"/>
  <c r="EE122" i="23916"/>
  <c r="EE118" i="23916"/>
  <c r="EF116" i="23916"/>
  <c r="CZ116" i="23916"/>
  <c r="GI75" i="23916"/>
  <c r="BK381" i="23916" l="1"/>
  <c r="BK379" i="23916"/>
  <c r="BK371" i="23916"/>
  <c r="BK402" i="23916"/>
  <c r="BK382" i="23916"/>
  <c r="BK403" i="23916"/>
  <c r="EV288" i="23916"/>
  <c r="EU296" i="23916"/>
  <c r="EU293" i="23916"/>
  <c r="EU290" i="23916"/>
  <c r="EV290" i="23916" s="1"/>
  <c r="CI266" i="23916"/>
  <c r="CJ265" i="23916"/>
  <c r="BW753" i="23916"/>
  <c r="BW754" i="23916" s="1"/>
  <c r="CG79" i="23916"/>
  <c r="CG76" i="23916"/>
  <c r="CP73" i="23916"/>
  <c r="CG74" i="23916"/>
  <c r="FV109" i="23916"/>
  <c r="BW518" i="23916"/>
  <c r="CF518" i="23916" s="1"/>
  <c r="BX118" i="23916"/>
  <c r="DK518" i="23916"/>
  <c r="DL118" i="23916"/>
  <c r="DU115" i="23916"/>
  <c r="DV115" i="23916" s="1"/>
  <c r="DV113" i="23916"/>
  <c r="DU116" i="23916"/>
  <c r="DU119" i="23916"/>
  <c r="GH110" i="23916"/>
  <c r="GI104" i="23916"/>
  <c r="GT209" i="23916"/>
  <c r="GS209" i="23916"/>
  <c r="CM725" i="23916"/>
  <c r="CN276" i="23916"/>
  <c r="FV134" i="23916"/>
  <c r="FW129" i="23916"/>
  <c r="FV140" i="23916"/>
  <c r="FV139" i="23916"/>
  <c r="CA266" i="23916"/>
  <c r="CB266" i="23916" s="1"/>
  <c r="AX270" i="23916"/>
  <c r="AW273" i="23916"/>
  <c r="AW276" i="23916"/>
  <c r="AX276" i="23916" s="1"/>
  <c r="AW272" i="23916"/>
  <c r="AX272" i="23916" s="1"/>
  <c r="DC266" i="23916"/>
  <c r="DD265" i="23916"/>
  <c r="BD290" i="23916"/>
  <c r="BL290" i="23916"/>
  <c r="GE290" i="23916"/>
  <c r="GG290" i="23916"/>
  <c r="X309" i="23916"/>
  <c r="W311" i="23916"/>
  <c r="W315" i="23916"/>
  <c r="AL425" i="23916"/>
  <c r="AK428" i="23916"/>
  <c r="AK427" i="23916"/>
  <c r="AT425" i="23916"/>
  <c r="EG308" i="23916"/>
  <c r="EH308" i="23916" s="1"/>
  <c r="EH306" i="23916"/>
  <c r="EG309" i="23916"/>
  <c r="EG312" i="23916"/>
  <c r="BU431" i="23916"/>
  <c r="BV430" i="23916"/>
  <c r="DJ485" i="23916"/>
  <c r="DI487" i="23916"/>
  <c r="DI9" i="23916"/>
  <c r="AZ309" i="23916"/>
  <c r="AR309" i="23916"/>
  <c r="AQ311" i="23916"/>
  <c r="AQ315" i="23916"/>
  <c r="EI315" i="23916"/>
  <c r="EJ309" i="23916"/>
  <c r="EI311" i="23916"/>
  <c r="BB346" i="23916"/>
  <c r="BA352" i="23916"/>
  <c r="BA348" i="23916"/>
  <c r="DE484" i="23916"/>
  <c r="DE488" i="23916"/>
  <c r="DF482" i="23916"/>
  <c r="DE485" i="23916"/>
  <c r="FP485" i="23916"/>
  <c r="FP484" i="23916"/>
  <c r="FQ484" i="23916" s="1"/>
  <c r="FP488" i="23916"/>
  <c r="FQ482" i="23916"/>
  <c r="FP509" i="23916"/>
  <c r="S566" i="23916"/>
  <c r="T553" i="23916"/>
  <c r="DL676" i="23916"/>
  <c r="GH695" i="23916"/>
  <c r="GI695" i="23916" s="1"/>
  <c r="GH693" i="23916"/>
  <c r="GI693" i="23916" s="1"/>
  <c r="GH694" i="23916"/>
  <c r="GI694" i="23916" s="1"/>
  <c r="GI659" i="23916"/>
  <c r="DZ679" i="23916"/>
  <c r="GM87" i="23916"/>
  <c r="GL109" i="23916"/>
  <c r="CY171" i="23916"/>
  <c r="CZ171" i="23916" s="1"/>
  <c r="CZ166" i="23916"/>
  <c r="DA176" i="23916"/>
  <c r="DA180" i="23916"/>
  <c r="DA177" i="23916"/>
  <c r="DB174" i="23916"/>
  <c r="DS171" i="23916"/>
  <c r="GJ166" i="23916"/>
  <c r="DT166" i="23916"/>
  <c r="CI76" i="23916"/>
  <c r="CI79" i="23916"/>
  <c r="CJ73" i="23916"/>
  <c r="EX50" i="23916"/>
  <c r="BS518" i="23916"/>
  <c r="BT118" i="23916"/>
  <c r="FX735" i="23916"/>
  <c r="FY60" i="23916"/>
  <c r="FY53" i="23916"/>
  <c r="DG266" i="23916"/>
  <c r="FS302" i="23916"/>
  <c r="EH241" i="23916"/>
  <c r="EG263" i="23916"/>
  <c r="FY288" i="23916"/>
  <c r="FX306" i="23916"/>
  <c r="FX290" i="23916"/>
  <c r="FX300" i="23916"/>
  <c r="FX302" i="23916"/>
  <c r="AX509" i="23916"/>
  <c r="FR388" i="23916"/>
  <c r="FR391" i="23916"/>
  <c r="FS376" i="23916"/>
  <c r="BM509" i="23916"/>
  <c r="BN482" i="23916"/>
  <c r="BM488" i="23916"/>
  <c r="BM485" i="23916"/>
  <c r="BM484" i="23916"/>
  <c r="CJ675" i="23916"/>
  <c r="L663" i="23916"/>
  <c r="DE682" i="23916"/>
  <c r="DF660" i="23916"/>
  <c r="DE663" i="23916"/>
  <c r="DP695" i="23916"/>
  <c r="CP706" i="23916"/>
  <c r="DZ171" i="23916"/>
  <c r="FP119" i="23916"/>
  <c r="FQ113" i="23916"/>
  <c r="FP116" i="23916"/>
  <c r="FP115" i="23916"/>
  <c r="FQ115" i="23916" s="1"/>
  <c r="EE518" i="23916"/>
  <c r="EF118" i="23916"/>
  <c r="DA116" i="23916"/>
  <c r="DB113" i="23916"/>
  <c r="DA115" i="23916"/>
  <c r="DA119" i="23916"/>
  <c r="EG115" i="23916"/>
  <c r="EH113" i="23916"/>
  <c r="EG116" i="23916"/>
  <c r="EG119" i="23916"/>
  <c r="CO727" i="23916"/>
  <c r="GY91" i="23916"/>
  <c r="DN113" i="23916"/>
  <c r="DM116" i="23916"/>
  <c r="DM115" i="23916"/>
  <c r="DM119" i="23916"/>
  <c r="BY116" i="23916"/>
  <c r="BZ113" i="23916"/>
  <c r="BY115" i="23916"/>
  <c r="BY119" i="23916"/>
  <c r="EF122" i="23916"/>
  <c r="BB177" i="23916"/>
  <c r="BA179" i="23916"/>
  <c r="BA183" i="23916"/>
  <c r="FT87" i="23916"/>
  <c r="FT113" i="23916"/>
  <c r="FU86" i="23916"/>
  <c r="GA106" i="23916"/>
  <c r="FZ113" i="23916"/>
  <c r="AW524" i="23916"/>
  <c r="AX524" i="23916" s="1"/>
  <c r="AX311" i="23916"/>
  <c r="FV141" i="23916"/>
  <c r="BS263" i="23916"/>
  <c r="BT241" i="23916"/>
  <c r="FU68" i="23916"/>
  <c r="DW276" i="23916"/>
  <c r="DW725" i="23916" s="1"/>
  <c r="DW732" i="23916" s="1"/>
  <c r="DW272" i="23916"/>
  <c r="DW273" i="23916"/>
  <c r="BG180" i="23916"/>
  <c r="BH174" i="23916"/>
  <c r="BG177" i="23916"/>
  <c r="BG176" i="23916"/>
  <c r="BH176" i="23916" s="1"/>
  <c r="GP50" i="23916"/>
  <c r="BU726" i="23916"/>
  <c r="BV119" i="23916"/>
  <c r="CU518" i="23916"/>
  <c r="CV118" i="23916"/>
  <c r="EU495" i="23916"/>
  <c r="EV495" i="23916" s="1"/>
  <c r="EW148" i="23916"/>
  <c r="EV148" i="23916"/>
  <c r="GP148" i="23916"/>
  <c r="AY179" i="23916"/>
  <c r="AY183" i="23916"/>
  <c r="AZ177" i="23916"/>
  <c r="BJ71" i="23916"/>
  <c r="BI73" i="23916"/>
  <c r="GS192" i="23916"/>
  <c r="GT192" i="23916"/>
  <c r="FY189" i="23916"/>
  <c r="FX205" i="23916"/>
  <c r="EW215" i="23916"/>
  <c r="EV215" i="23916"/>
  <c r="CN272" i="23916"/>
  <c r="FT58" i="23916"/>
  <c r="FU58" i="23916" s="1"/>
  <c r="FU55" i="23916"/>
  <c r="FV49" i="23916"/>
  <c r="FV78" i="23916"/>
  <c r="CC176" i="23916"/>
  <c r="CD176" i="23916" s="1"/>
  <c r="CC180" i="23916"/>
  <c r="CC177" i="23916"/>
  <c r="CD174" i="23916"/>
  <c r="CE725" i="23916"/>
  <c r="CF276" i="23916"/>
  <c r="GK87" i="23916"/>
  <c r="GJ109" i="23916"/>
  <c r="BK195" i="23916"/>
  <c r="BK199" i="23916"/>
  <c r="BK205" i="23916"/>
  <c r="EF272" i="23916"/>
  <c r="CC753" i="23916"/>
  <c r="CC754" i="23916" s="1"/>
  <c r="CD497" i="23916"/>
  <c r="DI753" i="23916"/>
  <c r="DI754" i="23916" s="1"/>
  <c r="DJ497" i="23916"/>
  <c r="EO753" i="23916"/>
  <c r="EO754" i="23916" s="1"/>
  <c r="EP497" i="23916"/>
  <c r="GA494" i="23916"/>
  <c r="BN241" i="23916"/>
  <c r="BM265" i="23916"/>
  <c r="BM263" i="23916"/>
  <c r="CD270" i="23916"/>
  <c r="CC273" i="23916"/>
  <c r="CC276" i="23916"/>
  <c r="CC272" i="23916"/>
  <c r="DZ241" i="23916"/>
  <c r="DY263" i="23916"/>
  <c r="AW263" i="23916"/>
  <c r="AW265" i="23916"/>
  <c r="AX265" i="23916" s="1"/>
  <c r="EL306" i="23916"/>
  <c r="EK308" i="23916"/>
  <c r="EK312" i="23916"/>
  <c r="EK309" i="23916"/>
  <c r="FQ259" i="23916"/>
  <c r="FP260" i="23916"/>
  <c r="FQ260" i="23916" s="1"/>
  <c r="GA537" i="23916"/>
  <c r="FO290" i="23916"/>
  <c r="BE315" i="23916"/>
  <c r="BF315" i="23916" s="1"/>
  <c r="BF309" i="23916"/>
  <c r="BE311" i="23916"/>
  <c r="BF339" i="23916"/>
  <c r="CR485" i="23916"/>
  <c r="CQ487" i="23916"/>
  <c r="CQ9" i="23916"/>
  <c r="CR9" i="23916" s="1"/>
  <c r="DH485" i="23916"/>
  <c r="DG487" i="23916"/>
  <c r="DG9" i="23916"/>
  <c r="GL740" i="23916"/>
  <c r="GM300" i="23916"/>
  <c r="GL301" i="23916"/>
  <c r="GO300" i="23916"/>
  <c r="BP306" i="23916"/>
  <c r="BO309" i="23916"/>
  <c r="BO308" i="23916"/>
  <c r="BP308" i="23916" s="1"/>
  <c r="BO312" i="23916"/>
  <c r="GJ728" i="23916"/>
  <c r="FQ394" i="23916"/>
  <c r="FP401" i="23916"/>
  <c r="FQ401" i="23916" s="1"/>
  <c r="FP396" i="23916"/>
  <c r="FQ396" i="23916" s="1"/>
  <c r="AA434" i="23916"/>
  <c r="AA430" i="23916"/>
  <c r="AB428" i="23916"/>
  <c r="BV306" i="23916"/>
  <c r="BU309" i="23916"/>
  <c r="BU312" i="23916"/>
  <c r="BU308" i="23916"/>
  <c r="BV308" i="23916" s="1"/>
  <c r="AZ308" i="23916"/>
  <c r="AR308" i="23916"/>
  <c r="ER308" i="23916"/>
  <c r="EJ308" i="23916"/>
  <c r="FX391" i="23916"/>
  <c r="FY376" i="23916"/>
  <c r="FX388" i="23916"/>
  <c r="FP428" i="23916"/>
  <c r="FP427" i="23916"/>
  <c r="GH312" i="23916"/>
  <c r="GK312" i="23916" s="1"/>
  <c r="GH309" i="23916"/>
  <c r="GH308" i="23916"/>
  <c r="GI306" i="23916"/>
  <c r="CI731" i="23916"/>
  <c r="CJ488" i="23916"/>
  <c r="N461" i="23916"/>
  <c r="V461" i="23916"/>
  <c r="EI485" i="23916"/>
  <c r="EI484" i="23916"/>
  <c r="EI488" i="23916"/>
  <c r="EJ482" i="23916"/>
  <c r="G669" i="23916"/>
  <c r="G668" i="23916"/>
  <c r="G617" i="23916"/>
  <c r="FL669" i="23916"/>
  <c r="FL668" i="23916"/>
  <c r="GZ547" i="23916"/>
  <c r="GO547" i="23916"/>
  <c r="GN552" i="23916"/>
  <c r="GO552" i="23916" s="1"/>
  <c r="DV677" i="23916"/>
  <c r="Z635" i="23916"/>
  <c r="Y678" i="23916"/>
  <c r="BF635" i="23916"/>
  <c r="BE678" i="23916"/>
  <c r="GG695" i="23916"/>
  <c r="GC677" i="23916"/>
  <c r="AN663" i="23916"/>
  <c r="AM666" i="23916"/>
  <c r="AN678" i="23916"/>
  <c r="CB640" i="23916"/>
  <c r="CJ640" i="23916"/>
  <c r="CH662" i="23916"/>
  <c r="DR662" i="23916"/>
  <c r="GN681" i="23916"/>
  <c r="GO681" i="23916" s="1"/>
  <c r="GN679" i="23916"/>
  <c r="GO679" i="23916" s="1"/>
  <c r="GN678" i="23916"/>
  <c r="GN675" i="23916"/>
  <c r="GO675" i="23916" s="1"/>
  <c r="GO657" i="23916"/>
  <c r="GN677" i="23916"/>
  <c r="GO677" i="23916" s="1"/>
  <c r="GN673" i="23916"/>
  <c r="GO673" i="23916" s="1"/>
  <c r="GN676" i="23916"/>
  <c r="GO676" i="23916" s="1"/>
  <c r="GN672" i="23916"/>
  <c r="GO672" i="23916" s="1"/>
  <c r="GN674" i="23916"/>
  <c r="GO674" i="23916" s="1"/>
  <c r="GO690" i="23916"/>
  <c r="DZ677" i="23916"/>
  <c r="CL673" i="23916"/>
  <c r="CK678" i="23916"/>
  <c r="CL678" i="23916" s="1"/>
  <c r="DA682" i="23916"/>
  <c r="DA663" i="23916"/>
  <c r="DB660" i="23916"/>
  <c r="GD660" i="23916"/>
  <c r="DQ678" i="23916"/>
  <c r="DR678" i="23916" s="1"/>
  <c r="EG682" i="23916"/>
  <c r="EG663" i="23916"/>
  <c r="EH660" i="23916"/>
  <c r="GL660" i="23916"/>
  <c r="EH675" i="23916"/>
  <c r="CF693" i="23916"/>
  <c r="CV662" i="23916"/>
  <c r="DL695" i="23916"/>
  <c r="DD640" i="23916"/>
  <c r="BD663" i="23916"/>
  <c r="GA663" i="23916"/>
  <c r="CT675" i="23916"/>
  <c r="DI682" i="23916"/>
  <c r="DJ682" i="23916" s="1"/>
  <c r="DI663" i="23916"/>
  <c r="DJ663" i="23916" s="1"/>
  <c r="DJ660" i="23916"/>
  <c r="GF660" i="23916"/>
  <c r="DJ681" i="23916"/>
  <c r="DZ678" i="23916"/>
  <c r="DD662" i="23916"/>
  <c r="DT695" i="23916"/>
  <c r="GO693" i="23916"/>
  <c r="BV682" i="23916"/>
  <c r="CR241" i="23916"/>
  <c r="GB87" i="23916"/>
  <c r="GB113" i="23916"/>
  <c r="GC86" i="23916"/>
  <c r="CT113" i="23916"/>
  <c r="CS116" i="23916"/>
  <c r="CS115" i="23916"/>
  <c r="CS119" i="23916"/>
  <c r="DZ113" i="23916"/>
  <c r="DY115" i="23916"/>
  <c r="DY116" i="23916"/>
  <c r="DY119" i="23916"/>
  <c r="BE183" i="23916"/>
  <c r="BE179" i="23916"/>
  <c r="BF177" i="23916"/>
  <c r="CY174" i="23916"/>
  <c r="CZ168" i="23916"/>
  <c r="DO171" i="23916"/>
  <c r="DP166" i="23916"/>
  <c r="BK518" i="23916"/>
  <c r="BL118" i="23916"/>
  <c r="EL241" i="23916"/>
  <c r="EK263" i="23916"/>
  <c r="EK265" i="23916"/>
  <c r="CB495" i="23916"/>
  <c r="CA745" i="23916"/>
  <c r="CA497" i="23916"/>
  <c r="CI273" i="23916"/>
  <c r="CI276" i="23916"/>
  <c r="CI272" i="23916"/>
  <c r="CJ270" i="23916"/>
  <c r="FZ735" i="23916"/>
  <c r="GA60" i="23916"/>
  <c r="CW116" i="23916"/>
  <c r="CX113" i="23916"/>
  <c r="CW115" i="23916"/>
  <c r="CX115" i="23916" s="1"/>
  <c r="CW119" i="23916"/>
  <c r="FN732" i="23916"/>
  <c r="FN726" i="23916"/>
  <c r="CM183" i="23916"/>
  <c r="CM179" i="23916"/>
  <c r="CM184" i="23916"/>
  <c r="GF168" i="23916"/>
  <c r="GG167" i="23916"/>
  <c r="GJ168" i="23916"/>
  <c r="GK167" i="23916"/>
  <c r="EN273" i="23916"/>
  <c r="EM275" i="23916"/>
  <c r="EM279" i="23916"/>
  <c r="EM8" i="23916"/>
  <c r="CS176" i="23916"/>
  <c r="CS180" i="23916"/>
  <c r="CS177" i="23916"/>
  <c r="CT174" i="23916"/>
  <c r="FR113" i="23916"/>
  <c r="GA168" i="23916"/>
  <c r="CI183" i="23916"/>
  <c r="CI179" i="23916"/>
  <c r="CI184" i="23916"/>
  <c r="CR110" i="23916"/>
  <c r="FV174" i="23916"/>
  <c r="FW149" i="23916"/>
  <c r="FV150" i="23916"/>
  <c r="AR495" i="23916"/>
  <c r="AQ497" i="23916"/>
  <c r="EW57" i="23916"/>
  <c r="EV57" i="23916"/>
  <c r="EB272" i="23916"/>
  <c r="DH315" i="23916"/>
  <c r="GC297" i="23916"/>
  <c r="GB306" i="23916"/>
  <c r="BT306" i="23916"/>
  <c r="BS312" i="23916"/>
  <c r="BS309" i="23916"/>
  <c r="BS308" i="23916"/>
  <c r="BT308" i="23916" s="1"/>
  <c r="GF745" i="23916"/>
  <c r="CH241" i="23916"/>
  <c r="CG263" i="23916"/>
  <c r="CW273" i="23916"/>
  <c r="CW272" i="23916"/>
  <c r="CX270" i="23916"/>
  <c r="CW276" i="23916"/>
  <c r="ER294" i="23916"/>
  <c r="Z311" i="23916"/>
  <c r="GE259" i="23916"/>
  <c r="GD260" i="23916"/>
  <c r="GE537" i="23916"/>
  <c r="CB290" i="23916"/>
  <c r="CJ290" i="23916"/>
  <c r="FS290" i="23916"/>
  <c r="BM315" i="23916"/>
  <c r="BN315" i="23916" s="1"/>
  <c r="BN309" i="23916"/>
  <c r="BM311" i="23916"/>
  <c r="AS363" i="23916"/>
  <c r="AT357" i="23916"/>
  <c r="AS369" i="23916"/>
  <c r="AT369" i="23916" s="1"/>
  <c r="AS370" i="23916"/>
  <c r="AT370" i="23916" s="1"/>
  <c r="FH425" i="23916"/>
  <c r="FM421" i="23916"/>
  <c r="FH309" i="23916"/>
  <c r="FH308" i="23916"/>
  <c r="FI306" i="23916"/>
  <c r="BW728" i="23916"/>
  <c r="BX312" i="23916"/>
  <c r="DK728" i="23916"/>
  <c r="DL312" i="23916"/>
  <c r="EO728" i="23916"/>
  <c r="EP312" i="23916"/>
  <c r="GN311" i="23916"/>
  <c r="GN315" i="23916"/>
  <c r="FT368" i="23916"/>
  <c r="FT364" i="23916"/>
  <c r="FV357" i="23916"/>
  <c r="K434" i="23916"/>
  <c r="K430" i="23916"/>
  <c r="L428" i="23916"/>
  <c r="CF264" i="23916"/>
  <c r="T308" i="23916"/>
  <c r="BA315" i="23916"/>
  <c r="BB315" i="23916" s="1"/>
  <c r="BA311" i="23916"/>
  <c r="BB309" i="23916"/>
  <c r="CG315" i="23916"/>
  <c r="CG311" i="23916"/>
  <c r="FB315" i="23916"/>
  <c r="FB311" i="23916"/>
  <c r="BN394" i="23916"/>
  <c r="BM401" i="23916"/>
  <c r="BM403" i="23916"/>
  <c r="BM396" i="23916"/>
  <c r="AE434" i="23916"/>
  <c r="AE430" i="23916"/>
  <c r="AF428" i="23916"/>
  <c r="BQ431" i="23916"/>
  <c r="BD459" i="23916"/>
  <c r="BC461" i="23916"/>
  <c r="FR459" i="23916"/>
  <c r="BC466" i="23916"/>
  <c r="BD466" i="23916" s="1"/>
  <c r="GL312" i="23916"/>
  <c r="GL309" i="23916"/>
  <c r="GL308" i="23916"/>
  <c r="GM306" i="23916"/>
  <c r="GB740" i="23916"/>
  <c r="GB301" i="23916"/>
  <c r="GC300" i="23916"/>
  <c r="AU434" i="23916"/>
  <c r="AU430" i="23916"/>
  <c r="AV428" i="23916"/>
  <c r="BD427" i="23916"/>
  <c r="BE461" i="23916"/>
  <c r="BF459" i="23916"/>
  <c r="BE466" i="23916"/>
  <c r="BF466" i="23916" s="1"/>
  <c r="BQ363" i="23916"/>
  <c r="BQ369" i="23916"/>
  <c r="BQ370" i="23916"/>
  <c r="FO413" i="23916"/>
  <c r="FN425" i="23916"/>
  <c r="FN422" i="23916"/>
  <c r="FN421" i="23916"/>
  <c r="BK731" i="23916"/>
  <c r="GF482" i="23916"/>
  <c r="GG473" i="23916"/>
  <c r="FJ566" i="23916"/>
  <c r="FK553" i="23916"/>
  <c r="AK666" i="23916"/>
  <c r="AL666" i="23916" s="1"/>
  <c r="AO614" i="23916"/>
  <c r="AO553" i="23916"/>
  <c r="AP541" i="23916"/>
  <c r="CJ679" i="23916"/>
  <c r="AD635" i="23916"/>
  <c r="AC678" i="23916"/>
  <c r="BJ635" i="23916"/>
  <c r="BI678" i="23916"/>
  <c r="CP635" i="23916"/>
  <c r="GM635" i="23916"/>
  <c r="GE693" i="23916"/>
  <c r="GE677" i="23916"/>
  <c r="GE689" i="23916"/>
  <c r="DB650" i="23916"/>
  <c r="GO662" i="23916"/>
  <c r="DL681" i="23916"/>
  <c r="EN681" i="23916"/>
  <c r="CP662" i="23916"/>
  <c r="CP695" i="23916"/>
  <c r="BZ694" i="23916"/>
  <c r="BY678" i="23916"/>
  <c r="CO682" i="23916"/>
  <c r="CO681" i="23916"/>
  <c r="CP660" i="23916"/>
  <c r="CO663" i="23916"/>
  <c r="DF679" i="23916"/>
  <c r="CZ695" i="23916"/>
  <c r="DP694" i="23916"/>
  <c r="DN650" i="23916"/>
  <c r="EN640" i="23916"/>
  <c r="GJ663" i="23916"/>
  <c r="GK663" i="23916" s="1"/>
  <c r="GI681" i="23916"/>
  <c r="AV640" i="23916"/>
  <c r="BD640" i="23916"/>
  <c r="AV672" i="23916"/>
  <c r="AV681" i="23916"/>
  <c r="BH677" i="23916"/>
  <c r="CX695" i="23916"/>
  <c r="CN695" i="23916"/>
  <c r="BB635" i="23916"/>
  <c r="BA678" i="23916"/>
  <c r="DN673" i="23916"/>
  <c r="GL678" i="23916"/>
  <c r="BT663" i="23916"/>
  <c r="EN650" i="23916"/>
  <c r="FM675" i="23916"/>
  <c r="GB678" i="23916"/>
  <c r="GC678" i="23916" s="1"/>
  <c r="GC681" i="23916"/>
  <c r="CR694" i="23916"/>
  <c r="BT176" i="23916"/>
  <c r="BM518" i="23916"/>
  <c r="CC518" i="23916"/>
  <c r="GO495" i="23916"/>
  <c r="GG78" i="23916"/>
  <c r="DQ115" i="23916"/>
  <c r="DR113" i="23916"/>
  <c r="DQ116" i="23916"/>
  <c r="DQ119" i="23916"/>
  <c r="BK180" i="23916"/>
  <c r="BK177" i="23916"/>
  <c r="BL174" i="23916"/>
  <c r="BK176" i="23916"/>
  <c r="BL176" i="23916" s="1"/>
  <c r="BM184" i="23916"/>
  <c r="BM179" i="23916"/>
  <c r="BN177" i="23916"/>
  <c r="BM183" i="23916"/>
  <c r="BI219" i="23916"/>
  <c r="GS54" i="23916"/>
  <c r="GT54" i="23916"/>
  <c r="GR72" i="23916"/>
  <c r="GS72" i="23916" s="1"/>
  <c r="FX87" i="23916"/>
  <c r="FX113" i="23916"/>
  <c r="FY86" i="23916"/>
  <c r="GA86" i="23916"/>
  <c r="FY106" i="23916"/>
  <c r="CG123" i="23916"/>
  <c r="CH116" i="23916"/>
  <c r="CG122" i="23916"/>
  <c r="CG118" i="23916"/>
  <c r="DV110" i="23916"/>
  <c r="CE156" i="23916"/>
  <c r="BK73" i="23916"/>
  <c r="BT71" i="23916"/>
  <c r="GC70" i="23916"/>
  <c r="GE70" i="23916"/>
  <c r="DD110" i="23916"/>
  <c r="GO104" i="23916"/>
  <c r="GN110" i="23916"/>
  <c r="GH497" i="23916"/>
  <c r="BW725" i="23916"/>
  <c r="BX276" i="23916"/>
  <c r="BP71" i="23916"/>
  <c r="BO73" i="23916"/>
  <c r="GL497" i="23916"/>
  <c r="DL272" i="23916"/>
  <c r="V315" i="23916"/>
  <c r="GM294" i="23916"/>
  <c r="GO294" i="23916"/>
  <c r="DX276" i="23916"/>
  <c r="DX272" i="23916"/>
  <c r="DX273" i="23916"/>
  <c r="GI494" i="23916"/>
  <c r="BV270" i="23916"/>
  <c r="BU273" i="23916"/>
  <c r="BU276" i="23916"/>
  <c r="BU272" i="23916"/>
  <c r="DR241" i="23916"/>
  <c r="DQ263" i="23916"/>
  <c r="DQ265" i="23916"/>
  <c r="EP270" i="23916"/>
  <c r="EO273" i="23916"/>
  <c r="EO276" i="23916"/>
  <c r="EO272" i="23916"/>
  <c r="FK306" i="23916"/>
  <c r="FU259" i="23916"/>
  <c r="FT260" i="23916"/>
  <c r="GI537" i="23916"/>
  <c r="EN309" i="23916"/>
  <c r="EM315" i="23916"/>
  <c r="EM311" i="23916"/>
  <c r="AX346" i="23916"/>
  <c r="AW348" i="23916"/>
  <c r="AW352" i="23916"/>
  <c r="AX352" i="23916" s="1"/>
  <c r="BF346" i="23916"/>
  <c r="BE348" i="23916"/>
  <c r="BE352" i="23916"/>
  <c r="X466" i="23916"/>
  <c r="AS531" i="23916"/>
  <c r="AT487" i="23916"/>
  <c r="CZ485" i="23916"/>
  <c r="CY487" i="23916"/>
  <c r="CY9" i="23916"/>
  <c r="CZ9" i="23916" s="1"/>
  <c r="DZ301" i="23916"/>
  <c r="EP301" i="23916"/>
  <c r="CF308" i="23916"/>
  <c r="DT308" i="23916"/>
  <c r="DB485" i="23916"/>
  <c r="DA487" i="23916"/>
  <c r="DA9" i="23916"/>
  <c r="BI728" i="23916"/>
  <c r="BJ312" i="23916"/>
  <c r="CO728" i="23916"/>
  <c r="CP312" i="23916"/>
  <c r="DU728" i="23916"/>
  <c r="FT391" i="23916"/>
  <c r="FU376" i="23916"/>
  <c r="FT382" i="23916"/>
  <c r="FT388" i="23916"/>
  <c r="FU388" i="23916" s="1"/>
  <c r="BC340" i="23916"/>
  <c r="BD325" i="23916"/>
  <c r="BC339" i="23916"/>
  <c r="BT485" i="23916"/>
  <c r="BS487" i="23916"/>
  <c r="GJ482" i="23916"/>
  <c r="GK473" i="23916"/>
  <c r="DC485" i="23916"/>
  <c r="DD482" i="23916"/>
  <c r="DC484" i="23916"/>
  <c r="DC488" i="23916"/>
  <c r="GG480" i="23916"/>
  <c r="BQ509" i="23916"/>
  <c r="BQ488" i="23916"/>
  <c r="BQ485" i="23916"/>
  <c r="BR482" i="23916"/>
  <c r="BQ484" i="23916"/>
  <c r="BU753" i="23916"/>
  <c r="BU754" i="23916" s="1"/>
  <c r="BV497" i="23916"/>
  <c r="EG754" i="23916"/>
  <c r="FI553" i="23916"/>
  <c r="AC566" i="23916"/>
  <c r="AD553" i="23916"/>
  <c r="FY552" i="23916"/>
  <c r="DR640" i="23916"/>
  <c r="FQ650" i="23916"/>
  <c r="GR644" i="23916"/>
  <c r="GQ644" i="23916"/>
  <c r="FU640" i="23916"/>
  <c r="GV647" i="23916"/>
  <c r="GU647" i="23916"/>
  <c r="CJ678" i="23916"/>
  <c r="DH682" i="23916"/>
  <c r="EB682" i="23916"/>
  <c r="AT663" i="23916"/>
  <c r="FY676" i="23916"/>
  <c r="BP663" i="23916"/>
  <c r="FY690" i="23916"/>
  <c r="EP672" i="23916"/>
  <c r="EP676" i="23916"/>
  <c r="EP681" i="23916"/>
  <c r="EN694" i="23916"/>
  <c r="CQ663" i="23916"/>
  <c r="CR663" i="23916" s="1"/>
  <c r="AL635" i="23916"/>
  <c r="AK678" i="23916"/>
  <c r="AL678" i="23916" s="1"/>
  <c r="GE635" i="23916"/>
  <c r="CX673" i="23916"/>
  <c r="CN673" i="23916"/>
  <c r="GK695" i="23916"/>
  <c r="BH673" i="23916"/>
  <c r="CV678" i="23916"/>
  <c r="EC682" i="23916"/>
  <c r="ED660" i="23916"/>
  <c r="EC663" i="23916"/>
  <c r="ED681" i="23916"/>
  <c r="EB694" i="23916"/>
  <c r="CR272" i="23916"/>
  <c r="DJ171" i="23916"/>
  <c r="FV64" i="23916"/>
  <c r="FW53" i="23916"/>
  <c r="DI116" i="23916"/>
  <c r="DJ113" i="23916"/>
  <c r="DI115" i="23916"/>
  <c r="DJ115" i="23916" s="1"/>
  <c r="DI119" i="23916"/>
  <c r="EP113" i="23916"/>
  <c r="EO116" i="23916"/>
  <c r="EO115" i="23916"/>
  <c r="EP115" i="23916" s="1"/>
  <c r="EO119" i="23916"/>
  <c r="AZ171" i="23916"/>
  <c r="FS253" i="23916"/>
  <c r="FU253" i="23916"/>
  <c r="BF115" i="23916"/>
  <c r="AQ179" i="23916"/>
  <c r="AQ183" i="23916"/>
  <c r="AR177" i="23916"/>
  <c r="AH311" i="23916"/>
  <c r="AQ525" i="23916"/>
  <c r="AR348" i="23916"/>
  <c r="AQ349" i="23916"/>
  <c r="DI176" i="23916"/>
  <c r="DJ176" i="23916" s="1"/>
  <c r="DI180" i="23916"/>
  <c r="DI177" i="23916"/>
  <c r="DJ174" i="23916"/>
  <c r="BC273" i="23916"/>
  <c r="BC276" i="23916"/>
  <c r="BC272" i="23916"/>
  <c r="BD270" i="23916"/>
  <c r="FX750" i="23916"/>
  <c r="FY501" i="23916"/>
  <c r="CP79" i="23916"/>
  <c r="EL113" i="23916"/>
  <c r="EK116" i="23916"/>
  <c r="EK115" i="23916"/>
  <c r="EK119" i="23916"/>
  <c r="AY518" i="23916"/>
  <c r="CV168" i="23916"/>
  <c r="CU174" i="23916"/>
  <c r="DL168" i="23916"/>
  <c r="DK174" i="23916"/>
  <c r="BU727" i="23916"/>
  <c r="BV180" i="23916"/>
  <c r="AS230" i="23916"/>
  <c r="AT228" i="23916"/>
  <c r="AU273" i="23916"/>
  <c r="AU276" i="23916"/>
  <c r="AV276" i="23916" s="1"/>
  <c r="AU272" i="23916"/>
  <c r="AV272" i="23916" s="1"/>
  <c r="AV270" i="23916"/>
  <c r="DQ176" i="23916"/>
  <c r="DR176" i="23916" s="1"/>
  <c r="DQ180" i="23916"/>
  <c r="DQ177" i="23916"/>
  <c r="DR174" i="23916"/>
  <c r="BS73" i="23916"/>
  <c r="CB71" i="23916"/>
  <c r="CL113" i="23916"/>
  <c r="CK116" i="23916"/>
  <c r="CK115" i="23916"/>
  <c r="CL115" i="23916" s="1"/>
  <c r="CK119" i="23916"/>
  <c r="AZ495" i="23916"/>
  <c r="DV174" i="23916"/>
  <c r="DU176" i="23916"/>
  <c r="DU180" i="23916"/>
  <c r="DU177" i="23916"/>
  <c r="EI174" i="23916"/>
  <c r="EJ168" i="23916"/>
  <c r="BO727" i="23916"/>
  <c r="BP180" i="23916"/>
  <c r="DH270" i="23916"/>
  <c r="DG273" i="23916"/>
  <c r="DG276" i="23916"/>
  <c r="DG272" i="23916"/>
  <c r="CL71" i="23916"/>
  <c r="CK73" i="23916"/>
  <c r="CT71" i="23916"/>
  <c r="EN110" i="23916"/>
  <c r="CF110" i="23916"/>
  <c r="BP495" i="23916"/>
  <c r="BO745" i="23916"/>
  <c r="BO497" i="23916"/>
  <c r="GI501" i="23916"/>
  <c r="CV273" i="23916"/>
  <c r="CU275" i="23916"/>
  <c r="CU279" i="23916"/>
  <c r="CU8" i="23916"/>
  <c r="GG87" i="23916"/>
  <c r="GF109" i="23916"/>
  <c r="AU265" i="23916"/>
  <c r="AV265" i="23916" s="1"/>
  <c r="CR306" i="23916"/>
  <c r="CQ312" i="23916"/>
  <c r="CQ309" i="23916"/>
  <c r="CQ308" i="23916"/>
  <c r="CZ306" i="23916"/>
  <c r="BG315" i="23916"/>
  <c r="BH315" i="23916" s="1"/>
  <c r="BG311" i="23916"/>
  <c r="BH309" i="23916"/>
  <c r="BK524" i="23916"/>
  <c r="BJ241" i="23916"/>
  <c r="BI263" i="23916"/>
  <c r="BZ241" i="23916"/>
  <c r="BY263" i="23916"/>
  <c r="CP241" i="23916"/>
  <c r="CO263" i="23916"/>
  <c r="DF241" i="23916"/>
  <c r="DE263" i="23916"/>
  <c r="DV241" i="23916"/>
  <c r="DU263" i="23916"/>
  <c r="AT270" i="23916"/>
  <c r="AS273" i="23916"/>
  <c r="AS276" i="23916"/>
  <c r="AT276" i="23916" s="1"/>
  <c r="AS272" i="23916"/>
  <c r="AT272" i="23916" s="1"/>
  <c r="BI265" i="23916"/>
  <c r="BJ265" i="23916" s="1"/>
  <c r="EI774" i="23916"/>
  <c r="EJ265" i="23916"/>
  <c r="EI266" i="23916"/>
  <c r="FS259" i="23916"/>
  <c r="FR265" i="23916"/>
  <c r="FR260" i="23916"/>
  <c r="CE266" i="23916"/>
  <c r="CF265" i="23916"/>
  <c r="FK290" i="23916"/>
  <c r="AV309" i="23916"/>
  <c r="AU311" i="23916"/>
  <c r="AU315" i="23916"/>
  <c r="CK315" i="23916"/>
  <c r="CK311" i="23916"/>
  <c r="DQ315" i="23916"/>
  <c r="DR309" i="23916"/>
  <c r="DQ311" i="23916"/>
  <c r="BA393" i="23916"/>
  <c r="BB393" i="23916" s="1"/>
  <c r="BB391" i="23916"/>
  <c r="BA394" i="23916"/>
  <c r="BA400" i="23916"/>
  <c r="BB400" i="23916" s="1"/>
  <c r="V421" i="23916"/>
  <c r="FP312" i="23916"/>
  <c r="FQ306" i="23916"/>
  <c r="FP309" i="23916"/>
  <c r="FP308" i="23916"/>
  <c r="FQ308" i="23916" s="1"/>
  <c r="AD301" i="23916"/>
  <c r="ED301" i="23916"/>
  <c r="I315" i="23916"/>
  <c r="I311" i="23916"/>
  <c r="BX401" i="23916"/>
  <c r="BO434" i="23916"/>
  <c r="BO430" i="23916"/>
  <c r="BP428" i="23916"/>
  <c r="BX427" i="23916"/>
  <c r="I434" i="23916"/>
  <c r="I430" i="23916"/>
  <c r="AJ308" i="23916"/>
  <c r="BQ315" i="23916"/>
  <c r="BR309" i="23916"/>
  <c r="BQ311" i="23916"/>
  <c r="CW315" i="23916"/>
  <c r="CX309" i="23916"/>
  <c r="CW311" i="23916"/>
  <c r="EB308" i="23916"/>
  <c r="AT346" i="23916"/>
  <c r="AS352" i="23916"/>
  <c r="AT352" i="23916" s="1"/>
  <c r="AS348" i="23916"/>
  <c r="FX737" i="23916"/>
  <c r="FY367" i="23916"/>
  <c r="BF394" i="23916"/>
  <c r="BE396" i="23916"/>
  <c r="BE401" i="23916"/>
  <c r="BJ427" i="23916"/>
  <c r="BR427" i="23916"/>
  <c r="AX434" i="23916"/>
  <c r="BY754" i="23916"/>
  <c r="BT425" i="23916"/>
  <c r="BS427" i="23916"/>
  <c r="BT427" i="23916" s="1"/>
  <c r="BS428" i="23916"/>
  <c r="L461" i="23916"/>
  <c r="EK484" i="23916"/>
  <c r="EK488" i="23916"/>
  <c r="EL482" i="23916"/>
  <c r="EK485" i="23916"/>
  <c r="CA731" i="23916"/>
  <c r="CB488" i="23916"/>
  <c r="FX482" i="23916"/>
  <c r="FY473" i="23916"/>
  <c r="BM380" i="23916"/>
  <c r="V466" i="23916"/>
  <c r="BE509" i="23916"/>
  <c r="BF482" i="23916"/>
  <c r="BE484" i="23916"/>
  <c r="BF484" i="23916" s="1"/>
  <c r="BE488" i="23916"/>
  <c r="BF488" i="23916" s="1"/>
  <c r="BE485" i="23916"/>
  <c r="FF614" i="23916"/>
  <c r="C620" i="23916"/>
  <c r="C618" i="23916"/>
  <c r="C589" i="23916"/>
  <c r="AA620" i="23916"/>
  <c r="AB614" i="23916"/>
  <c r="AA618" i="23916"/>
  <c r="AA589" i="23916"/>
  <c r="R553" i="23916"/>
  <c r="GA552" i="23916"/>
  <c r="GE596" i="23916"/>
  <c r="EU610" i="23916"/>
  <c r="ET610" i="23916"/>
  <c r="FI635" i="23916"/>
  <c r="GO635" i="23916"/>
  <c r="EL640" i="23916"/>
  <c r="FW672" i="23916"/>
  <c r="EX656" i="23916"/>
  <c r="GP656" i="23916"/>
  <c r="EW633" i="23916"/>
  <c r="EX633" i="23916" s="1"/>
  <c r="ED635" i="23916"/>
  <c r="AJ663" i="23916"/>
  <c r="AI666" i="23916"/>
  <c r="AJ666" i="23916" s="1"/>
  <c r="DF662" i="23916"/>
  <c r="DF695" i="23916"/>
  <c r="CH672" i="23916"/>
  <c r="CH676" i="23916"/>
  <c r="DN679" i="23916"/>
  <c r="GL263" i="23916"/>
  <c r="FW673" i="23916"/>
  <c r="DV640" i="23916"/>
  <c r="ET296" i="23916"/>
  <c r="ES294" i="23916"/>
  <c r="ET294" i="23916" s="1"/>
  <c r="ES297" i="23916"/>
  <c r="EV165" i="23916"/>
  <c r="EW165" i="23916"/>
  <c r="EX165" i="23916" s="1"/>
  <c r="EA518" i="23916"/>
  <c r="EB118" i="23916"/>
  <c r="BQ79" i="23916"/>
  <c r="BR73" i="23916"/>
  <c r="BQ76" i="23916"/>
  <c r="FY166" i="23916"/>
  <c r="FR174" i="23916"/>
  <c r="FS149" i="23916"/>
  <c r="FR150" i="23916"/>
  <c r="FS150" i="23916" s="1"/>
  <c r="EO774" i="23916"/>
  <c r="EO266" i="23916"/>
  <c r="EQ265" i="23916"/>
  <c r="R311" i="23916"/>
  <c r="FV749" i="23916"/>
  <c r="FV751" i="23916" s="1"/>
  <c r="FW496" i="23916"/>
  <c r="DI263" i="23916"/>
  <c r="DJ241" i="23916"/>
  <c r="DI265" i="23916"/>
  <c r="E428" i="23916"/>
  <c r="E427" i="23916"/>
  <c r="DC728" i="23916"/>
  <c r="DD312" i="23916"/>
  <c r="EP482" i="23916"/>
  <c r="EO484" i="23916"/>
  <c r="EO488" i="23916"/>
  <c r="EO485" i="23916"/>
  <c r="BB113" i="23916"/>
  <c r="BA116" i="23916"/>
  <c r="BA115" i="23916"/>
  <c r="BA119" i="23916"/>
  <c r="BS506" i="23916"/>
  <c r="AW122" i="23916"/>
  <c r="AX116" i="23916"/>
  <c r="AW118" i="23916"/>
  <c r="EL171" i="23916"/>
  <c r="ET171" i="23916"/>
  <c r="EX196" i="23916"/>
  <c r="GP196" i="23916"/>
  <c r="BM727" i="23916"/>
  <c r="BN180" i="23916"/>
  <c r="FW294" i="23916"/>
  <c r="GV130" i="23916"/>
  <c r="GU130" i="23916"/>
  <c r="BL495" i="23916"/>
  <c r="BK745" i="23916"/>
  <c r="BK497" i="23916"/>
  <c r="CZ241" i="23916"/>
  <c r="CY263" i="23916"/>
  <c r="ED241" i="23916"/>
  <c r="EC265" i="23916"/>
  <c r="EC263" i="23916"/>
  <c r="CC79" i="23916"/>
  <c r="CC76" i="23916"/>
  <c r="GE87" i="23916"/>
  <c r="GD109" i="23916"/>
  <c r="CG726" i="23916"/>
  <c r="CH119" i="23916"/>
  <c r="AT113" i="23916"/>
  <c r="AS116" i="23916"/>
  <c r="AS115" i="23916"/>
  <c r="AT115" i="23916" s="1"/>
  <c r="AS119" i="23916"/>
  <c r="AT119" i="23916" s="1"/>
  <c r="CM518" i="23916"/>
  <c r="CN118" i="23916"/>
  <c r="BD495" i="23916"/>
  <c r="BC497" i="23916"/>
  <c r="CR35" i="23916"/>
  <c r="CQ92" i="23916"/>
  <c r="GI87" i="23916"/>
  <c r="GH109" i="23916"/>
  <c r="GI109" i="23916" s="1"/>
  <c r="BR71" i="23916"/>
  <c r="CH71" i="23916"/>
  <c r="CP71" i="23916"/>
  <c r="GK104" i="23916"/>
  <c r="GJ110" i="23916"/>
  <c r="GK110" i="23916" s="1"/>
  <c r="FZ174" i="23916"/>
  <c r="FZ150" i="23916"/>
  <c r="BW275" i="23916"/>
  <c r="BX273" i="23916"/>
  <c r="BW279" i="23916"/>
  <c r="DC725" i="23916"/>
  <c r="DD276" i="23916"/>
  <c r="EI725" i="23916"/>
  <c r="EJ276" i="23916"/>
  <c r="FW32" i="23916"/>
  <c r="FV71" i="23916"/>
  <c r="DK725" i="23916"/>
  <c r="DL276" i="23916"/>
  <c r="FT750" i="23916"/>
  <c r="FU501" i="23916"/>
  <c r="AW753" i="23916"/>
  <c r="AW754" i="23916" s="1"/>
  <c r="AX497" i="23916"/>
  <c r="CG266" i="23916"/>
  <c r="CH265" i="23916"/>
  <c r="EA774" i="23916"/>
  <c r="EB265" i="23916"/>
  <c r="EA266" i="23916"/>
  <c r="EB266" i="23916" s="1"/>
  <c r="GJ497" i="23916"/>
  <c r="FS494" i="23916"/>
  <c r="GD749" i="23916"/>
  <c r="GD751" i="23916" s="1"/>
  <c r="GE496" i="23916"/>
  <c r="DA263" i="23916"/>
  <c r="DB241" i="23916"/>
  <c r="DA265" i="23916"/>
  <c r="DQ273" i="23916"/>
  <c r="DQ276" i="23916"/>
  <c r="DR270" i="23916"/>
  <c r="DQ272" i="23916"/>
  <c r="BS265" i="23916"/>
  <c r="BT265" i="23916" s="1"/>
  <c r="DT265" i="23916"/>
  <c r="DS266" i="23916"/>
  <c r="FG290" i="23916"/>
  <c r="DI728" i="23916"/>
  <c r="BO397" i="23916"/>
  <c r="BP396" i="23916"/>
  <c r="FL428" i="23916"/>
  <c r="FL427" i="23916"/>
  <c r="FM425" i="23916"/>
  <c r="AD425" i="23916"/>
  <c r="AC428" i="23916"/>
  <c r="AC427" i="23916"/>
  <c r="BM431" i="23916"/>
  <c r="BN430" i="23916"/>
  <c r="FL309" i="23916"/>
  <c r="FL308" i="23916"/>
  <c r="FM306" i="23916"/>
  <c r="AP301" i="23916"/>
  <c r="CE315" i="23916"/>
  <c r="CF309" i="23916"/>
  <c r="CE311" i="23916"/>
  <c r="DS315" i="23916"/>
  <c r="DS311" i="23916"/>
  <c r="DT309" i="23916"/>
  <c r="AZ343" i="23916"/>
  <c r="AY345" i="23916"/>
  <c r="AY346" i="23916"/>
  <c r="BH343" i="23916"/>
  <c r="BA529" i="23916"/>
  <c r="BA431" i="23916"/>
  <c r="BB430" i="23916"/>
  <c r="GA294" i="23916"/>
  <c r="AV301" i="23916"/>
  <c r="CO484" i="23916"/>
  <c r="CO488" i="23916"/>
  <c r="CP482" i="23916"/>
  <c r="CO485" i="23916"/>
  <c r="EH482" i="23916"/>
  <c r="EG484" i="23916"/>
  <c r="EG488" i="23916"/>
  <c r="EG485" i="23916"/>
  <c r="BS731" i="23916"/>
  <c r="BT488" i="23916"/>
  <c r="GY484" i="23916"/>
  <c r="AM566" i="23916"/>
  <c r="FF666" i="23916"/>
  <c r="FG666" i="23916" s="1"/>
  <c r="FF541" i="23916"/>
  <c r="FG538" i="23916"/>
  <c r="AI566" i="23916"/>
  <c r="AJ553" i="23916"/>
  <c r="AC618" i="23916"/>
  <c r="AC620" i="23916"/>
  <c r="AD614" i="23916"/>
  <c r="AC589" i="23916"/>
  <c r="FL607" i="23916"/>
  <c r="GQ588" i="23916"/>
  <c r="GR588" i="23916"/>
  <c r="CJ674" i="23916"/>
  <c r="R635" i="23916"/>
  <c r="Q678" i="23916"/>
  <c r="R678" i="23916" s="1"/>
  <c r="AX635" i="23916"/>
  <c r="AW678" i="23916"/>
  <c r="CD635" i="23916"/>
  <c r="DJ635" i="23916"/>
  <c r="EP635" i="23916"/>
  <c r="CT673" i="23916"/>
  <c r="DF672" i="23916"/>
  <c r="EW648" i="23916"/>
  <c r="EX648" i="23916" s="1"/>
  <c r="EW645" i="23916"/>
  <c r="EX645" i="23916" s="1"/>
  <c r="EX643" i="23916"/>
  <c r="GP643" i="23916"/>
  <c r="GM688" i="23916"/>
  <c r="DT676" i="23916"/>
  <c r="BP681" i="23916"/>
  <c r="EP673" i="23916"/>
  <c r="EP677" i="23916"/>
  <c r="EN695" i="23916"/>
  <c r="GK693" i="23916"/>
  <c r="CU682" i="23916"/>
  <c r="CU681" i="23916"/>
  <c r="CU663" i="23916"/>
  <c r="CV660" i="23916"/>
  <c r="EB695" i="23916"/>
  <c r="CQ275" i="23916"/>
  <c r="CR273" i="23916"/>
  <c r="CQ279" i="23916"/>
  <c r="CQ8" i="23916"/>
  <c r="CR8" i="23916" s="1"/>
  <c r="CD115" i="23916"/>
  <c r="EM726" i="23916"/>
  <c r="EN119" i="23916"/>
  <c r="EC176" i="23916"/>
  <c r="ED176" i="23916" s="1"/>
  <c r="ED174" i="23916"/>
  <c r="EC180" i="23916"/>
  <c r="EC177" i="23916"/>
  <c r="DS518" i="23916"/>
  <c r="DT118" i="23916"/>
  <c r="BF116" i="23916"/>
  <c r="BE122" i="23916"/>
  <c r="BE118" i="23916"/>
  <c r="BN118" i="23916" s="1"/>
  <c r="EF168" i="23916"/>
  <c r="EE174" i="23916"/>
  <c r="CJ171" i="23916"/>
  <c r="DP241" i="23916"/>
  <c r="DO263" i="23916"/>
  <c r="CB241" i="23916"/>
  <c r="CA263" i="23916"/>
  <c r="FT78" i="23916"/>
  <c r="FU78" i="23916" s="1"/>
  <c r="DY176" i="23916"/>
  <c r="DZ176" i="23916" s="1"/>
  <c r="DY177" i="23916"/>
  <c r="DY180" i="23916"/>
  <c r="DZ174" i="23916"/>
  <c r="BK273" i="23916"/>
  <c r="BK276" i="23916"/>
  <c r="BK272" i="23916"/>
  <c r="BL272" i="23916" s="1"/>
  <c r="BL270" i="23916"/>
  <c r="FW168" i="23916"/>
  <c r="FR497" i="23916"/>
  <c r="BP176" i="23916"/>
  <c r="CE180" i="23916"/>
  <c r="CF174" i="23916"/>
  <c r="CE177" i="23916"/>
  <c r="CE176" i="23916"/>
  <c r="BD177" i="23916"/>
  <c r="BC183" i="23916"/>
  <c r="BC179" i="23916"/>
  <c r="AQ244" i="23916"/>
  <c r="AR244" i="23916" s="1"/>
  <c r="AR232" i="23916"/>
  <c r="AQ245" i="23916"/>
  <c r="AR245" i="23916" s="1"/>
  <c r="BV71" i="23916"/>
  <c r="BU73" i="23916"/>
  <c r="CD73" i="23916" s="1"/>
  <c r="FR110" i="23916"/>
  <c r="FS110" i="23916" s="1"/>
  <c r="FS104" i="23916"/>
  <c r="FZ110" i="23916"/>
  <c r="GA104" i="23916"/>
  <c r="BX71" i="23916"/>
  <c r="BW73" i="23916"/>
  <c r="FQ177" i="23916"/>
  <c r="FP179" i="23916"/>
  <c r="FQ179" i="23916" s="1"/>
  <c r="FP183" i="23916"/>
  <c r="CR495" i="23916"/>
  <c r="CZ495" i="23916"/>
  <c r="CQ745" i="23916"/>
  <c r="CQ497" i="23916"/>
  <c r="GT211" i="23916"/>
  <c r="GS211" i="23916"/>
  <c r="GD497" i="23916"/>
  <c r="CU725" i="23916"/>
  <c r="CV276" i="23916"/>
  <c r="GC294" i="23916"/>
  <c r="AX394" i="23916"/>
  <c r="AW401" i="23916"/>
  <c r="AX401" i="23916" s="1"/>
  <c r="AW396" i="23916"/>
  <c r="AR246" i="23916"/>
  <c r="AQ248" i="23916"/>
  <c r="AR248" i="23916" s="1"/>
  <c r="BE753" i="23916"/>
  <c r="BE754" i="23916" s="1"/>
  <c r="BF497" i="23916"/>
  <c r="GK267" i="23916"/>
  <c r="FN315" i="23916"/>
  <c r="FN311" i="23916"/>
  <c r="FO309" i="23916"/>
  <c r="BG728" i="23916"/>
  <c r="BH312" i="23916"/>
  <c r="GN497" i="23916"/>
  <c r="FW494" i="23916"/>
  <c r="GH751" i="23916"/>
  <c r="BI273" i="23916"/>
  <c r="BI276" i="23916"/>
  <c r="BJ270" i="23916"/>
  <c r="BI272" i="23916"/>
  <c r="BY273" i="23916"/>
  <c r="BY276" i="23916"/>
  <c r="BZ270" i="23916"/>
  <c r="BY272" i="23916"/>
  <c r="CO273" i="23916"/>
  <c r="CO272" i="23916"/>
  <c r="CO276" i="23916"/>
  <c r="CP270" i="23916"/>
  <c r="DF270" i="23916"/>
  <c r="DE273" i="23916"/>
  <c r="DE276" i="23916"/>
  <c r="DE272" i="23916"/>
  <c r="DF272" i="23916" s="1"/>
  <c r="DV270" i="23916"/>
  <c r="DU273" i="23916"/>
  <c r="DU276" i="23916"/>
  <c r="DU272" i="23916"/>
  <c r="CO266" i="23916"/>
  <c r="CP266" i="23916" s="1"/>
  <c r="CP265" i="23916"/>
  <c r="GO259" i="23916"/>
  <c r="GN260" i="23916"/>
  <c r="DY265" i="23916"/>
  <c r="AZ265" i="23916"/>
  <c r="V425" i="23916"/>
  <c r="U428" i="23916"/>
  <c r="U427" i="23916"/>
  <c r="AM434" i="23916"/>
  <c r="AN434" i="23916" s="1"/>
  <c r="AM430" i="23916"/>
  <c r="AN430" i="23916" s="1"/>
  <c r="AN428" i="23916"/>
  <c r="DM754" i="23916"/>
  <c r="CU728" i="23916"/>
  <c r="DY728" i="23916"/>
  <c r="DZ312" i="23916"/>
  <c r="GF311" i="23916"/>
  <c r="GF315" i="23916"/>
  <c r="BG434" i="23916"/>
  <c r="BG430" i="23916"/>
  <c r="BH428" i="23916"/>
  <c r="C311" i="23916"/>
  <c r="C315" i="23916"/>
  <c r="AJ309" i="23916"/>
  <c r="AI311" i="23916"/>
  <c r="AI315" i="23916"/>
  <c r="BQ728" i="23916"/>
  <c r="BR312" i="23916"/>
  <c r="CW728" i="23916"/>
  <c r="CX312" i="23916"/>
  <c r="EA315" i="23916"/>
  <c r="EB315" i="23916" s="1"/>
  <c r="EB309" i="23916"/>
  <c r="EA311" i="23916"/>
  <c r="FV391" i="23916"/>
  <c r="FW376" i="23916"/>
  <c r="FV388" i="23916"/>
  <c r="FW388" i="23916" s="1"/>
  <c r="BV394" i="23916"/>
  <c r="BU396" i="23916"/>
  <c r="BU401" i="23916"/>
  <c r="BV401" i="23916" s="1"/>
  <c r="AY397" i="23916"/>
  <c r="AZ396" i="23916"/>
  <c r="BI434" i="23916"/>
  <c r="BJ434" i="23916" s="1"/>
  <c r="BI430" i="23916"/>
  <c r="BR430" i="23916" s="1"/>
  <c r="BJ428" i="23916"/>
  <c r="GD312" i="23916"/>
  <c r="GD309" i="23916"/>
  <c r="GG309" i="23916" s="1"/>
  <c r="GD308" i="23916"/>
  <c r="GE306" i="23916"/>
  <c r="T301" i="23916"/>
  <c r="AI434" i="23916"/>
  <c r="AJ434" i="23916" s="1"/>
  <c r="AI430" i="23916"/>
  <c r="AJ430" i="23916" s="1"/>
  <c r="AJ428" i="23916"/>
  <c r="Y430" i="23916"/>
  <c r="Y434" i="23916"/>
  <c r="CW484" i="23916"/>
  <c r="CX484" i="23916" s="1"/>
  <c r="CW488" i="23916"/>
  <c r="CX482" i="23916"/>
  <c r="CW485" i="23916"/>
  <c r="BW484" i="23916"/>
  <c r="BX482" i="23916"/>
  <c r="BW488" i="23916"/>
  <c r="BW485" i="23916"/>
  <c r="DK485" i="23916"/>
  <c r="DL482" i="23916"/>
  <c r="DK484" i="23916"/>
  <c r="DL484" i="23916" s="1"/>
  <c r="DK488" i="23916"/>
  <c r="FU480" i="23916"/>
  <c r="CK484" i="23916"/>
  <c r="CK488" i="23916"/>
  <c r="CL482" i="23916"/>
  <c r="CK485" i="23916"/>
  <c r="CL497" i="23916"/>
  <c r="AE614" i="23916"/>
  <c r="FL614" i="23916" s="1"/>
  <c r="AE553" i="23916"/>
  <c r="AF541" i="23916"/>
  <c r="T666" i="23916"/>
  <c r="Q669" i="23916"/>
  <c r="Q668" i="23916"/>
  <c r="R668" i="23916" s="1"/>
  <c r="Q617" i="23916"/>
  <c r="R566" i="23916"/>
  <c r="GI596" i="23916"/>
  <c r="CJ677" i="23916"/>
  <c r="CV672" i="23916"/>
  <c r="CH640" i="23916"/>
  <c r="CH677" i="23916"/>
  <c r="DM682" i="23916"/>
  <c r="DN682" i="23916" s="1"/>
  <c r="DN660" i="23916"/>
  <c r="DM663" i="23916"/>
  <c r="DN663" i="23916" s="1"/>
  <c r="DN681" i="23916"/>
  <c r="GH263" i="23916"/>
  <c r="GG673" i="23916"/>
  <c r="DD672" i="23916"/>
  <c r="DC518" i="23916"/>
  <c r="DD118" i="23916"/>
  <c r="CA76" i="23916"/>
  <c r="CA79" i="23916"/>
  <c r="CB73" i="23916"/>
  <c r="AS753" i="23916"/>
  <c r="AS754" i="23916" s="1"/>
  <c r="AT497" i="23916"/>
  <c r="FU104" i="23916"/>
  <c r="FT110" i="23916"/>
  <c r="FU110" i="23916" s="1"/>
  <c r="FX495" i="23916"/>
  <c r="FY148" i="23916"/>
  <c r="CE275" i="23916"/>
  <c r="CF273" i="23916"/>
  <c r="CE279" i="23916"/>
  <c r="CF279" i="23916" s="1"/>
  <c r="EE725" i="23916"/>
  <c r="EF276" i="23916"/>
  <c r="FM300" i="23916"/>
  <c r="FL301" i="23916"/>
  <c r="FM301" i="23916" s="1"/>
  <c r="BN270" i="23916"/>
  <c r="BM273" i="23916"/>
  <c r="BM276" i="23916"/>
  <c r="BM272" i="23916"/>
  <c r="I668" i="23916"/>
  <c r="I669" i="23916"/>
  <c r="I617" i="23916"/>
  <c r="BT599" i="23916"/>
  <c r="BL599" i="23916"/>
  <c r="EE682" i="23916"/>
  <c r="EE663" i="23916"/>
  <c r="EF660" i="23916"/>
  <c r="DX682" i="23916"/>
  <c r="EH672" i="23916"/>
  <c r="FQ633" i="23916"/>
  <c r="FS633" i="23916"/>
  <c r="FP634" i="23916"/>
  <c r="CC682" i="23916"/>
  <c r="CD682" i="23916" s="1"/>
  <c r="CC681" i="23916"/>
  <c r="CD681" i="23916" s="1"/>
  <c r="CC663" i="23916"/>
  <c r="CD663" i="23916" s="1"/>
  <c r="CD660" i="23916"/>
  <c r="FX660" i="23916"/>
  <c r="CT678" i="23916"/>
  <c r="DD693" i="23916"/>
  <c r="CW682" i="23916"/>
  <c r="CX682" i="23916" s="1"/>
  <c r="CW681" i="23916"/>
  <c r="CX681" i="23916" s="1"/>
  <c r="CX660" i="23916"/>
  <c r="CW663" i="23916"/>
  <c r="CX663" i="23916" s="1"/>
  <c r="CO123" i="23916"/>
  <c r="CP116" i="23916"/>
  <c r="CO122" i="23916"/>
  <c r="CO7" i="23916"/>
  <c r="CO118" i="23916"/>
  <c r="EL270" i="23916"/>
  <c r="EK273" i="23916"/>
  <c r="EK276" i="23916"/>
  <c r="EK272" i="23916"/>
  <c r="BJ400" i="23916"/>
  <c r="EI518" i="23916"/>
  <c r="EJ118" i="23916"/>
  <c r="DX183" i="23916"/>
  <c r="DX179" i="23916"/>
  <c r="DX519" i="23916" s="1"/>
  <c r="CI727" i="23916"/>
  <c r="BD171" i="23916"/>
  <c r="FZ270" i="23916"/>
  <c r="FZ241" i="23916"/>
  <c r="GA240" i="23916"/>
  <c r="GN119" i="23916"/>
  <c r="GO113" i="23916"/>
  <c r="GN116" i="23916"/>
  <c r="GN115" i="23916"/>
  <c r="DE266" i="23916"/>
  <c r="DF265" i="23916"/>
  <c r="FV306" i="23916"/>
  <c r="FW288" i="23916"/>
  <c r="FV300" i="23916"/>
  <c r="FV290" i="23916"/>
  <c r="FW290" i="23916" s="1"/>
  <c r="BR241" i="23916"/>
  <c r="BQ263" i="23916"/>
  <c r="CG273" i="23916"/>
  <c r="CG276" i="23916"/>
  <c r="CH270" i="23916"/>
  <c r="CG272" i="23916"/>
  <c r="CH272" i="23916" s="1"/>
  <c r="BA273" i="23916"/>
  <c r="BA276" i="23916"/>
  <c r="BB276" i="23916" s="1"/>
  <c r="BA272" i="23916"/>
  <c r="BB272" i="23916" s="1"/>
  <c r="BB270" i="23916"/>
  <c r="AF309" i="23916"/>
  <c r="AE311" i="23916"/>
  <c r="AF311" i="23916" s="1"/>
  <c r="AE315" i="23916"/>
  <c r="AF315" i="23916" s="1"/>
  <c r="EF309" i="23916"/>
  <c r="EE315" i="23916"/>
  <c r="EF315" i="23916" s="1"/>
  <c r="EE311" i="23916"/>
  <c r="AQ381" i="23916"/>
  <c r="AR381" i="23916" s="1"/>
  <c r="AQ379" i="23916"/>
  <c r="AR364" i="23916"/>
  <c r="AQ402" i="23916"/>
  <c r="AR402" i="23916" s="1"/>
  <c r="AQ371" i="23916"/>
  <c r="AR371" i="23916" s="1"/>
  <c r="AQ382" i="23916"/>
  <c r="AR382" i="23916" s="1"/>
  <c r="BX308" i="23916"/>
  <c r="EO315" i="23916"/>
  <c r="EP309" i="23916"/>
  <c r="EO311" i="23916"/>
  <c r="T309" i="23916"/>
  <c r="S311" i="23916"/>
  <c r="S315" i="23916"/>
  <c r="CG728" i="23916"/>
  <c r="BT301" i="23916"/>
  <c r="AU340" i="23916"/>
  <c r="AV340" i="23916" s="1"/>
  <c r="AV325" i="23916"/>
  <c r="AU339" i="23916"/>
  <c r="AV339" i="23916" s="1"/>
  <c r="FW413" i="23916"/>
  <c r="FV425" i="23916"/>
  <c r="FV422" i="23916"/>
  <c r="FW422" i="23916" s="1"/>
  <c r="FV421" i="23916"/>
  <c r="FW421" i="23916" s="1"/>
  <c r="AQ531" i="23916"/>
  <c r="AR487" i="23916"/>
  <c r="CU485" i="23916"/>
  <c r="CV482" i="23916"/>
  <c r="CU484" i="23916"/>
  <c r="CU488" i="23916"/>
  <c r="EN482" i="23916"/>
  <c r="EM485" i="23916"/>
  <c r="EM484" i="23916"/>
  <c r="EM488" i="23916"/>
  <c r="FV482" i="23916"/>
  <c r="FW473" i="23916"/>
  <c r="DQ753" i="23916"/>
  <c r="DQ754" i="23916" s="1"/>
  <c r="DR497" i="23916"/>
  <c r="GA694" i="23916"/>
  <c r="CE682" i="23916"/>
  <c r="CF682" i="23916" s="1"/>
  <c r="CE681" i="23916"/>
  <c r="CF681" i="23916" s="1"/>
  <c r="CE663" i="23916"/>
  <c r="CF663" i="23916" s="1"/>
  <c r="CF660" i="23916"/>
  <c r="DL675" i="23916"/>
  <c r="EM682" i="23916"/>
  <c r="EN682" i="23916" s="1"/>
  <c r="EM663" i="23916"/>
  <c r="EN663" i="23916" s="1"/>
  <c r="EN660" i="23916"/>
  <c r="DF681" i="23916"/>
  <c r="EK682" i="23916"/>
  <c r="EL682" i="23916" s="1"/>
  <c r="EL660" i="23916"/>
  <c r="EK663" i="23916"/>
  <c r="EL663" i="23916" s="1"/>
  <c r="DX520" i="23916"/>
  <c r="CQ62" i="23916"/>
  <c r="CR49" i="23916"/>
  <c r="CQ64" i="23916"/>
  <c r="CQ65" i="23916"/>
  <c r="CQ55" i="23916"/>
  <c r="CQ63" i="23916"/>
  <c r="CQ68" i="23916"/>
  <c r="FV116" i="23916"/>
  <c r="FV119" i="23916"/>
  <c r="FW113" i="23916"/>
  <c r="FV115" i="23916"/>
  <c r="BS273" i="23916"/>
  <c r="BS276" i="23916"/>
  <c r="BS272" i="23916"/>
  <c r="BT272" i="23916" s="1"/>
  <c r="BT270" i="23916"/>
  <c r="BT495" i="23916"/>
  <c r="BS745" i="23916"/>
  <c r="BS497" i="23916"/>
  <c r="CJ71" i="23916"/>
  <c r="CR71" i="23916"/>
  <c r="BQ74" i="23916"/>
  <c r="BV116" i="23916"/>
  <c r="BU122" i="23916"/>
  <c r="BU118" i="23916"/>
  <c r="FX149" i="23916"/>
  <c r="GD110" i="23916"/>
  <c r="GE104" i="23916"/>
  <c r="BG275" i="23916"/>
  <c r="BH273" i="23916"/>
  <c r="BG280" i="23916"/>
  <c r="BG279" i="23916"/>
  <c r="CM275" i="23916"/>
  <c r="CN273" i="23916"/>
  <c r="CM279" i="23916"/>
  <c r="CN279" i="23916" s="1"/>
  <c r="DS725" i="23916"/>
  <c r="DT276" i="23916"/>
  <c r="CF71" i="23916"/>
  <c r="CE73" i="23916"/>
  <c r="FQ228" i="23916"/>
  <c r="FP230" i="23916"/>
  <c r="EE275" i="23916"/>
  <c r="EF273" i="23916"/>
  <c r="EE279" i="23916"/>
  <c r="EE8" i="23916"/>
  <c r="BY266" i="23916"/>
  <c r="BZ266" i="23916" s="1"/>
  <c r="BZ265" i="23916"/>
  <c r="DP265" i="23916"/>
  <c r="DO266" i="23916"/>
  <c r="DP266" i="23916" s="1"/>
  <c r="BG248" i="23916"/>
  <c r="BM753" i="23916"/>
  <c r="BM754" i="23916" s="1"/>
  <c r="BN497" i="23916"/>
  <c r="CS753" i="23916"/>
  <c r="CS754" i="23916" s="1"/>
  <c r="CT497" i="23916"/>
  <c r="DO524" i="23916"/>
  <c r="DP311" i="23916"/>
  <c r="BG525" i="23916"/>
  <c r="BG349" i="23916"/>
  <c r="DY753" i="23916"/>
  <c r="DY754" i="23916" s="1"/>
  <c r="DZ497" i="23916"/>
  <c r="GL749" i="23916"/>
  <c r="GL751" i="23916" s="1"/>
  <c r="GM496" i="23916"/>
  <c r="CS263" i="23916"/>
  <c r="CT241" i="23916"/>
  <c r="CS265" i="23916"/>
  <c r="DI273" i="23916"/>
  <c r="DI276" i="23916"/>
  <c r="DJ270" i="23916"/>
  <c r="DI272" i="23916"/>
  <c r="FP270" i="23916"/>
  <c r="FQ240" i="23916"/>
  <c r="FP241" i="23916"/>
  <c r="FP265" i="23916" s="1"/>
  <c r="FQ265" i="23916" s="1"/>
  <c r="GQ286" i="23916"/>
  <c r="GX295" i="23916"/>
  <c r="GW295" i="23916"/>
  <c r="BW266" i="23916"/>
  <c r="BX266" i="23916" s="1"/>
  <c r="BX265" i="23916"/>
  <c r="GG259" i="23916"/>
  <c r="BD300" i="23916"/>
  <c r="BC301" i="23916"/>
  <c r="BD301" i="23916" s="1"/>
  <c r="CT306" i="23916"/>
  <c r="CS309" i="23916"/>
  <c r="CS312" i="23916"/>
  <c r="CS308" i="23916"/>
  <c r="CT308" i="23916" s="1"/>
  <c r="FP328" i="23916"/>
  <c r="FQ328" i="23916" s="1"/>
  <c r="FP325" i="23916"/>
  <c r="FQ324" i="23916"/>
  <c r="FP327" i="23916"/>
  <c r="FQ327" i="23916" s="1"/>
  <c r="FP343" i="23916"/>
  <c r="FQ376" i="23916"/>
  <c r="FP388" i="23916"/>
  <c r="FQ388" i="23916" s="1"/>
  <c r="BQ393" i="23916"/>
  <c r="BR393" i="23916" s="1"/>
  <c r="BR391" i="23916"/>
  <c r="BQ394" i="23916"/>
  <c r="BQ400" i="23916"/>
  <c r="BR400" i="23916" s="1"/>
  <c r="CQ731" i="23916"/>
  <c r="CR488" i="23916"/>
  <c r="DG731" i="23916"/>
  <c r="DH488" i="23916"/>
  <c r="BQ753" i="23916"/>
  <c r="BQ754" i="23916" s="1"/>
  <c r="BR497" i="23916"/>
  <c r="GJ311" i="23916"/>
  <c r="GK309" i="23916"/>
  <c r="GJ315" i="23916"/>
  <c r="AQ397" i="23916"/>
  <c r="AR396" i="23916"/>
  <c r="FT428" i="23916"/>
  <c r="FT427" i="23916"/>
  <c r="EI728" i="23916"/>
  <c r="EJ312" i="23916"/>
  <c r="EW287" i="23916"/>
  <c r="EV287" i="23916"/>
  <c r="GG294" i="23916"/>
  <c r="BL300" i="23916"/>
  <c r="FD427" i="23916"/>
  <c r="FE427" i="23916" s="1"/>
  <c r="FD428" i="23916"/>
  <c r="FE425" i="23916"/>
  <c r="BE529" i="23916"/>
  <c r="BE431" i="23916"/>
  <c r="BF430" i="23916"/>
  <c r="BB480" i="23916"/>
  <c r="BJ480" i="23916"/>
  <c r="BA482" i="23916"/>
  <c r="CJ485" i="23916"/>
  <c r="CI487" i="23916"/>
  <c r="GB482" i="23916"/>
  <c r="GC473" i="23916"/>
  <c r="DA753" i="23916"/>
  <c r="DA754" i="23916" s="1"/>
  <c r="DB497" i="23916"/>
  <c r="I620" i="23916"/>
  <c r="I618" i="23916"/>
  <c r="R618" i="23916" s="1"/>
  <c r="I589" i="23916"/>
  <c r="R589" i="23916" s="1"/>
  <c r="S620" i="23916"/>
  <c r="T614" i="23916"/>
  <c r="S618" i="23916"/>
  <c r="S589" i="23916"/>
  <c r="DC753" i="23916"/>
  <c r="DC754" i="23916" s="1"/>
  <c r="DD497" i="23916"/>
  <c r="FK590" i="23916"/>
  <c r="FJ606" i="23916"/>
  <c r="FJ607" i="23916"/>
  <c r="FK673" i="23916"/>
  <c r="AP635" i="23916"/>
  <c r="AO678" i="23916"/>
  <c r="BV635" i="23916"/>
  <c r="BU678" i="23916"/>
  <c r="CD678" i="23916" s="1"/>
  <c r="FY695" i="23916"/>
  <c r="AN681" i="23916"/>
  <c r="CA682" i="23916"/>
  <c r="CB682" i="23916" s="1"/>
  <c r="CA681" i="23916"/>
  <c r="CB681" i="23916" s="1"/>
  <c r="CA663" i="23916"/>
  <c r="CB663" i="23916" s="1"/>
  <c r="CB660" i="23916"/>
  <c r="DD681" i="23916"/>
  <c r="CK682" i="23916"/>
  <c r="CL682" i="23916" s="1"/>
  <c r="CK681" i="23916"/>
  <c r="CL681" i="23916" s="1"/>
  <c r="CK663" i="23916"/>
  <c r="CL663" i="23916" s="1"/>
  <c r="CL660" i="23916"/>
  <c r="FZ660" i="23916"/>
  <c r="CL675" i="23916"/>
  <c r="DA678" i="23916"/>
  <c r="DB678" i="23916" s="1"/>
  <c r="DQ682" i="23916"/>
  <c r="DR682" i="23916" s="1"/>
  <c r="DQ663" i="23916"/>
  <c r="DR663" i="23916" s="1"/>
  <c r="DR660" i="23916"/>
  <c r="GH660" i="23916"/>
  <c r="EG678" i="23916"/>
  <c r="EH678" i="23916" s="1"/>
  <c r="DL693" i="23916"/>
  <c r="EF662" i="23916"/>
  <c r="DB662" i="23916"/>
  <c r="AF678" i="23916"/>
  <c r="EL695" i="23916"/>
  <c r="FQ653" i="23916"/>
  <c r="FS653" i="23916"/>
  <c r="CT679" i="23916"/>
  <c r="DJ678" i="23916"/>
  <c r="DY682" i="23916"/>
  <c r="DZ682" i="23916" s="1"/>
  <c r="DY663" i="23916"/>
  <c r="DZ660" i="23916"/>
  <c r="GJ660" i="23916"/>
  <c r="DZ681" i="23916"/>
  <c r="DD694" i="23916"/>
  <c r="DT693" i="23916"/>
  <c r="FO672" i="23916"/>
  <c r="DR676" i="23916"/>
  <c r="DZ694" i="23916"/>
  <c r="GO694" i="23916"/>
  <c r="FW678" i="23916"/>
  <c r="AZ663" i="23916"/>
  <c r="GK653" i="23916"/>
  <c r="GM653" i="23916"/>
  <c r="CX675" i="23916"/>
  <c r="BV663" i="23916"/>
  <c r="DH662" i="23916"/>
  <c r="FI669" i="23916"/>
  <c r="GA53" i="23916"/>
  <c r="GC53" i="23916"/>
  <c r="GL116" i="23916"/>
  <c r="GL119" i="23916"/>
  <c r="GM113" i="23916"/>
  <c r="GL115" i="23916"/>
  <c r="CO726" i="23916"/>
  <c r="CP119" i="23916"/>
  <c r="EL174" i="23916"/>
  <c r="EK177" i="23916"/>
  <c r="EK180" i="23916"/>
  <c r="EK176" i="23916"/>
  <c r="GN270" i="23916"/>
  <c r="GO240" i="23916"/>
  <c r="GN241" i="23916"/>
  <c r="GT285" i="23916"/>
  <c r="GS285" i="23916"/>
  <c r="EJ122" i="23916"/>
  <c r="CJ241" i="23916"/>
  <c r="CI263" i="23916"/>
  <c r="GN735" i="23916"/>
  <c r="GO60" i="23916"/>
  <c r="GI106" i="23916"/>
  <c r="DF113" i="23916"/>
  <c r="DE116" i="23916"/>
  <c r="DE115" i="23916"/>
  <c r="DF115" i="23916" s="1"/>
  <c r="DE119" i="23916"/>
  <c r="EL110" i="23916"/>
  <c r="ET110" i="23916"/>
  <c r="FN118" i="23916"/>
  <c r="FN122" i="23916"/>
  <c r="BG518" i="23916"/>
  <c r="BH118" i="23916"/>
  <c r="CM727" i="23916"/>
  <c r="CN180" i="23916"/>
  <c r="DD168" i="23916"/>
  <c r="DC174" i="23916"/>
  <c r="DT168" i="23916"/>
  <c r="DS174" i="23916"/>
  <c r="EN272" i="23916"/>
  <c r="GE106" i="23916"/>
  <c r="CI518" i="23916"/>
  <c r="CJ118" i="23916"/>
  <c r="EN168" i="23916"/>
  <c r="EM174" i="23916"/>
  <c r="CI74" i="23916"/>
  <c r="CQ518" i="23916"/>
  <c r="CR118" i="23916"/>
  <c r="EA171" i="23916"/>
  <c r="EB171" i="23916" s="1"/>
  <c r="GL166" i="23916"/>
  <c r="EB166" i="23916"/>
  <c r="AT177" i="23916"/>
  <c r="AS179" i="23916"/>
  <c r="AS183" i="23916"/>
  <c r="FT71" i="23916"/>
  <c r="FU71" i="23916" s="1"/>
  <c r="FT44" i="23916"/>
  <c r="FU32" i="23916"/>
  <c r="FT34" i="23916"/>
  <c r="FY70" i="23916"/>
  <c r="BP110" i="23916"/>
  <c r="AQ119" i="23916"/>
  <c r="AQ116" i="23916"/>
  <c r="AQ115" i="23916"/>
  <c r="AR113" i="23916"/>
  <c r="AZ113" i="23916"/>
  <c r="FP495" i="23916"/>
  <c r="FQ495" i="23916" s="1"/>
  <c r="FQ148" i="23916"/>
  <c r="FZ495" i="23916"/>
  <c r="GA495" i="23916" s="1"/>
  <c r="GA148" i="23916"/>
  <c r="GJ749" i="23916"/>
  <c r="GK496" i="23916"/>
  <c r="GB71" i="23916"/>
  <c r="GC32" i="23916"/>
  <c r="GE32" i="23916"/>
  <c r="CN71" i="23916"/>
  <c r="CM73" i="23916"/>
  <c r="CV71" i="23916"/>
  <c r="FU53" i="23916"/>
  <c r="FT64" i="23916"/>
  <c r="GN749" i="23916"/>
  <c r="GO496" i="23916"/>
  <c r="BO725" i="23916"/>
  <c r="BP276" i="23916"/>
  <c r="EA275" i="23916"/>
  <c r="EB273" i="23916"/>
  <c r="EA279" i="23916"/>
  <c r="EA8" i="23916"/>
  <c r="AZ272" i="23916"/>
  <c r="GO87" i="23916"/>
  <c r="GN109" i="23916"/>
  <c r="GO109" i="23916" s="1"/>
  <c r="GI294" i="23916"/>
  <c r="CY524" i="23916"/>
  <c r="BQ273" i="23916"/>
  <c r="BQ276" i="23916"/>
  <c r="BR270" i="23916"/>
  <c r="BQ272" i="23916"/>
  <c r="BR272" i="23916" s="1"/>
  <c r="DN241" i="23916"/>
  <c r="DM263" i="23916"/>
  <c r="EG273" i="23916"/>
  <c r="EH270" i="23916"/>
  <c r="EG276" i="23916"/>
  <c r="EG272" i="23916"/>
  <c r="GR258" i="23916"/>
  <c r="GQ258" i="23916"/>
  <c r="GR286" i="23916"/>
  <c r="EX286" i="23916"/>
  <c r="Z315" i="23916"/>
  <c r="FV265" i="23916"/>
  <c r="FW259" i="23916"/>
  <c r="FV260" i="23916"/>
  <c r="CU266" i="23916"/>
  <c r="CV265" i="23916"/>
  <c r="CA740" i="23916"/>
  <c r="CB300" i="23916"/>
  <c r="CA301" i="23916"/>
  <c r="CB301" i="23916" s="1"/>
  <c r="BN308" i="23916"/>
  <c r="DB306" i="23916"/>
  <c r="DA309" i="23916"/>
  <c r="DA312" i="23916"/>
  <c r="DA308" i="23916"/>
  <c r="DB308" i="23916" s="1"/>
  <c r="EE728" i="23916"/>
  <c r="EF312" i="23916"/>
  <c r="N421" i="23916"/>
  <c r="CG753" i="23916"/>
  <c r="CG754" i="23916" s="1"/>
  <c r="CH497" i="23916"/>
  <c r="EL301" i="23916"/>
  <c r="ET301" i="23916"/>
  <c r="BW315" i="23916"/>
  <c r="BW311" i="23916"/>
  <c r="BX309" i="23916"/>
  <c r="DK315" i="23916"/>
  <c r="DL309" i="23916"/>
  <c r="DK311" i="23916"/>
  <c r="EP306" i="23916"/>
  <c r="GN728" i="23916"/>
  <c r="GO312" i="23916"/>
  <c r="FS367" i="23916"/>
  <c r="FT737" i="23916"/>
  <c r="FU367" i="23916"/>
  <c r="DL264" i="23916"/>
  <c r="DM312" i="23916"/>
  <c r="DM309" i="23916"/>
  <c r="DN306" i="23916"/>
  <c r="DM308" i="23916"/>
  <c r="DN308" i="23916" s="1"/>
  <c r="P427" i="23916"/>
  <c r="FR312" i="23916"/>
  <c r="FR308" i="23916"/>
  <c r="FS308" i="23916" s="1"/>
  <c r="FS306" i="23916"/>
  <c r="AZ301" i="23916"/>
  <c r="AR301" i="23916"/>
  <c r="C434" i="23916"/>
  <c r="C430" i="23916"/>
  <c r="BK434" i="23916"/>
  <c r="BK430" i="23916"/>
  <c r="BL428" i="23916"/>
  <c r="BO381" i="23916"/>
  <c r="BO379" i="23916"/>
  <c r="BO402" i="23916"/>
  <c r="BO382" i="23916"/>
  <c r="BO371" i="23916"/>
  <c r="DM484" i="23916"/>
  <c r="DN484" i="23916" s="1"/>
  <c r="DM488" i="23916"/>
  <c r="DN482" i="23916"/>
  <c r="DM485" i="23916"/>
  <c r="FV737" i="23916"/>
  <c r="FW367" i="23916"/>
  <c r="FK418" i="23916"/>
  <c r="AK614" i="23916"/>
  <c r="AL541" i="23916"/>
  <c r="AK553" i="23916"/>
  <c r="FL747" i="23916"/>
  <c r="K566" i="23916"/>
  <c r="L553" i="23916"/>
  <c r="AO666" i="23916"/>
  <c r="AP666" i="23916" s="1"/>
  <c r="FI538" i="23916"/>
  <c r="Y618" i="23916"/>
  <c r="Z618" i="23916" s="1"/>
  <c r="Y620" i="23916"/>
  <c r="Z620" i="23916" s="1"/>
  <c r="Z614" i="23916"/>
  <c r="Y589" i="23916"/>
  <c r="Z589" i="23916" s="1"/>
  <c r="GR627" i="23916"/>
  <c r="GQ627" i="23916"/>
  <c r="EU636" i="23916"/>
  <c r="EV636" i="23916" s="1"/>
  <c r="EU634" i="23916"/>
  <c r="EV632" i="23916"/>
  <c r="EW632" i="23916"/>
  <c r="EU631" i="23916"/>
  <c r="EV631" i="23916" s="1"/>
  <c r="CZ678" i="23916"/>
  <c r="EI663" i="23916"/>
  <c r="N635" i="23916"/>
  <c r="M678" i="23916"/>
  <c r="N678" i="23916" s="1"/>
  <c r="AT635" i="23916"/>
  <c r="AS678" i="23916"/>
  <c r="AT678" i="23916" s="1"/>
  <c r="FW635" i="23916"/>
  <c r="DB676" i="23916"/>
  <c r="GA693" i="23916"/>
  <c r="GE676" i="23916"/>
  <c r="GE687" i="23916"/>
  <c r="AX663" i="23916"/>
  <c r="BF663" i="23916"/>
  <c r="DZ662" i="23916"/>
  <c r="GE678" i="23916"/>
  <c r="BH678" i="23916"/>
  <c r="BT678" i="23916"/>
  <c r="DL678" i="23916"/>
  <c r="EN672" i="23916"/>
  <c r="EN678" i="23916"/>
  <c r="CP693" i="23916"/>
  <c r="ED662" i="23916"/>
  <c r="FG663" i="23916"/>
  <c r="FF668" i="23916"/>
  <c r="FG668" i="23916" s="1"/>
  <c r="FW663" i="23916"/>
  <c r="BY682" i="23916"/>
  <c r="BZ682" i="23916" s="1"/>
  <c r="BY681" i="23916"/>
  <c r="BZ681" i="23916" s="1"/>
  <c r="BZ660" i="23916"/>
  <c r="BY663" i="23916"/>
  <c r="BZ663" i="23916" s="1"/>
  <c r="CO678" i="23916"/>
  <c r="DF675" i="23916"/>
  <c r="EL672" i="23916"/>
  <c r="EL677" i="23916"/>
  <c r="DP662" i="23916"/>
  <c r="EJ695" i="23916"/>
  <c r="FM673" i="23916"/>
  <c r="GI675" i="23916"/>
  <c r="AV676" i="23916"/>
  <c r="AV679" i="23916"/>
  <c r="DO682" i="23916"/>
  <c r="DP682" i="23916" s="1"/>
  <c r="DO663" i="23916"/>
  <c r="DP660" i="23916"/>
  <c r="CX693" i="23916"/>
  <c r="CN693" i="23916"/>
  <c r="DV672" i="23916"/>
  <c r="V635" i="23916"/>
  <c r="U678" i="23916"/>
  <c r="V678" i="23916" s="1"/>
  <c r="CX635" i="23916"/>
  <c r="BT682" i="23916"/>
  <c r="FM681" i="23916"/>
  <c r="GC675" i="23916"/>
  <c r="BS183" i="23916"/>
  <c r="BT177" i="23916"/>
  <c r="BS179" i="23916"/>
  <c r="BS184" i="23916"/>
  <c r="BN116" i="23916"/>
  <c r="CD116" i="23916"/>
  <c r="BQ116" i="23916"/>
  <c r="BR113" i="23916"/>
  <c r="BQ115" i="23916"/>
  <c r="BQ119" i="23916"/>
  <c r="BN176" i="23916"/>
  <c r="GC494" i="23916"/>
  <c r="ED306" i="23916"/>
  <c r="EC308" i="23916"/>
  <c r="ED308" i="23916" s="1"/>
  <c r="EC312" i="23916"/>
  <c r="EC309" i="23916"/>
  <c r="BY396" i="23916"/>
  <c r="BY401" i="23916"/>
  <c r="BZ394" i="23916"/>
  <c r="BK224" i="23916"/>
  <c r="BK225" i="23916" s="1"/>
  <c r="BK214" i="23916"/>
  <c r="BK223" i="23916"/>
  <c r="EC273" i="23916"/>
  <c r="EC276" i="23916"/>
  <c r="EC272" i="23916"/>
  <c r="ED272" i="23916" s="1"/>
  <c r="ED270" i="23916"/>
  <c r="CC74" i="23916"/>
  <c r="GD116" i="23916"/>
  <c r="GE113" i="23916"/>
  <c r="GD119" i="23916"/>
  <c r="GD115" i="23916"/>
  <c r="CH115" i="23916"/>
  <c r="EX110" i="23916"/>
  <c r="CM7" i="23916"/>
  <c r="BQ184" i="23916"/>
  <c r="BQ179" i="23916"/>
  <c r="BQ183" i="23916"/>
  <c r="GG494" i="23916"/>
  <c r="GH116" i="23916"/>
  <c r="GH119" i="23916"/>
  <c r="GH115" i="23916"/>
  <c r="BC518" i="23916"/>
  <c r="BD118" i="23916"/>
  <c r="GC104" i="23916"/>
  <c r="GB110" i="23916"/>
  <c r="GC110" i="23916" s="1"/>
  <c r="CR134" i="23916"/>
  <c r="CS129" i="23916"/>
  <c r="FT174" i="23916"/>
  <c r="FT150" i="23916"/>
  <c r="FU149" i="23916"/>
  <c r="FZ171" i="23916"/>
  <c r="GA166" i="23916"/>
  <c r="GG104" i="23916"/>
  <c r="GF110" i="23916"/>
  <c r="GG110" i="23916" s="1"/>
  <c r="EJ110" i="23916"/>
  <c r="ER110" i="23916"/>
  <c r="FT495" i="23916"/>
  <c r="FU495" i="23916" s="1"/>
  <c r="FU148" i="23916"/>
  <c r="CH174" i="23916"/>
  <c r="CG176" i="23916"/>
  <c r="CP176" i="23916" s="1"/>
  <c r="CG180" i="23916"/>
  <c r="CG177" i="23916"/>
  <c r="GH745" i="23916"/>
  <c r="DC275" i="23916"/>
  <c r="DC279" i="23916"/>
  <c r="DD279" i="23916" s="1"/>
  <c r="DD273" i="23916"/>
  <c r="DC8" i="23916"/>
  <c r="DD8" i="23916" s="1"/>
  <c r="EI275" i="23916"/>
  <c r="EJ273" i="23916"/>
  <c r="EI279" i="23916"/>
  <c r="EJ279" i="23916" s="1"/>
  <c r="EI8" i="23916"/>
  <c r="EJ8" i="23916" s="1"/>
  <c r="GO150" i="23916"/>
  <c r="FU229" i="23916"/>
  <c r="FS229" i="23916"/>
  <c r="GL745" i="23916"/>
  <c r="DK275" i="23916"/>
  <c r="DK279" i="23916"/>
  <c r="DL279" i="23916" s="1"/>
  <c r="DL273" i="23916"/>
  <c r="DK8" i="23916"/>
  <c r="DL8" i="23916" s="1"/>
  <c r="BI248" i="23916"/>
  <c r="V311" i="23916"/>
  <c r="FP301" i="23916"/>
  <c r="FQ301" i="23916" s="1"/>
  <c r="FQ300" i="23916"/>
  <c r="AH434" i="23916"/>
  <c r="DM265" i="23916"/>
  <c r="FT497" i="23916"/>
  <c r="GJ745" i="23916"/>
  <c r="CK263" i="23916"/>
  <c r="CL241" i="23916"/>
  <c r="CK265" i="23916"/>
  <c r="DA273" i="23916"/>
  <c r="DA276" i="23916"/>
  <c r="DA272" i="23916"/>
  <c r="DB270" i="23916"/>
  <c r="BE265" i="23916"/>
  <c r="BF265" i="23916" s="1"/>
  <c r="BE263" i="23916"/>
  <c r="DV265" i="23916"/>
  <c r="DU266" i="23916"/>
  <c r="CM266" i="23916"/>
  <c r="CN266" i="23916" s="1"/>
  <c r="CN265" i="23916"/>
  <c r="GK259" i="23916"/>
  <c r="GJ260" i="23916"/>
  <c r="FO301" i="23916"/>
  <c r="G315" i="23916"/>
  <c r="G311" i="23916"/>
  <c r="AN309" i="23916"/>
  <c r="AM311" i="23916"/>
  <c r="AN311" i="23916" s="1"/>
  <c r="AM315" i="23916"/>
  <c r="AN315" i="23916" s="1"/>
  <c r="DI315" i="23916"/>
  <c r="DJ309" i="23916"/>
  <c r="DI311" i="23916"/>
  <c r="EN308" i="23916"/>
  <c r="EV308" i="23916"/>
  <c r="BN434" i="23916"/>
  <c r="CY731" i="23916"/>
  <c r="CZ488" i="23916"/>
  <c r="FZ740" i="23916"/>
  <c r="FZ301" i="23916"/>
  <c r="GA300" i="23916"/>
  <c r="AY340" i="23916"/>
  <c r="AZ340" i="23916" s="1"/>
  <c r="AZ325" i="23916"/>
  <c r="AY339" i="23916"/>
  <c r="AZ339" i="23916" s="1"/>
  <c r="AU397" i="23916"/>
  <c r="AV397" i="23916" s="1"/>
  <c r="AV396" i="23916"/>
  <c r="BC397" i="23916"/>
  <c r="BD396" i="23916"/>
  <c r="BK397" i="23916"/>
  <c r="BL397" i="23916" s="1"/>
  <c r="BL396" i="23916"/>
  <c r="BS397" i="23916"/>
  <c r="BT396" i="23916"/>
  <c r="DA731" i="23916"/>
  <c r="DB488" i="23916"/>
  <c r="CN264" i="23916"/>
  <c r="AB308" i="23916"/>
  <c r="BI315" i="23916"/>
  <c r="BJ315" i="23916" s="1"/>
  <c r="BJ309" i="23916"/>
  <c r="BI311" i="23916"/>
  <c r="CO315" i="23916"/>
  <c r="CP315" i="23916" s="1"/>
  <c r="CP309" i="23916"/>
  <c r="CO311" i="23916"/>
  <c r="DU315" i="23916"/>
  <c r="DV309" i="23916"/>
  <c r="DU311" i="23916"/>
  <c r="BB434" i="23916"/>
  <c r="GA288" i="23916"/>
  <c r="BD327" i="23916"/>
  <c r="FT482" i="23916"/>
  <c r="FU473" i="23916"/>
  <c r="FZ482" i="23916"/>
  <c r="GA473" i="23916"/>
  <c r="EH497" i="23916"/>
  <c r="AM620" i="23916"/>
  <c r="AN614" i="23916"/>
  <c r="AM618" i="23916"/>
  <c r="AM589" i="23916"/>
  <c r="FN614" i="23916"/>
  <c r="AI620" i="23916"/>
  <c r="AJ620" i="23916" s="1"/>
  <c r="AJ614" i="23916"/>
  <c r="AI618" i="23916"/>
  <c r="AJ618" i="23916" s="1"/>
  <c r="AI589" i="23916"/>
  <c r="AJ589" i="23916" s="1"/>
  <c r="R614" i="23916"/>
  <c r="AG669" i="23916"/>
  <c r="AG668" i="23916"/>
  <c r="AG617" i="23916"/>
  <c r="AG607" i="23916"/>
  <c r="FY616" i="23916"/>
  <c r="GA616" i="23916"/>
  <c r="FO615" i="23916"/>
  <c r="EX588" i="23916"/>
  <c r="GG650" i="23916"/>
  <c r="FK676" i="23916"/>
  <c r="CJ660" i="23916"/>
  <c r="GM685" i="23916"/>
  <c r="CX674" i="23916"/>
  <c r="DJ673" i="23916"/>
  <c r="ED674" i="23916"/>
  <c r="FR678" i="23916"/>
  <c r="CN678" i="23916"/>
  <c r="BP682" i="23916"/>
  <c r="GE674" i="23916"/>
  <c r="EP674" i="23916"/>
  <c r="EO678" i="23916"/>
  <c r="EP678" i="23916" s="1"/>
  <c r="EN662" i="23916"/>
  <c r="CR682" i="23916"/>
  <c r="DN635" i="23916"/>
  <c r="CP677" i="23916"/>
  <c r="DF677" i="23916"/>
  <c r="DD673" i="23916"/>
  <c r="GK694" i="23916"/>
  <c r="FH668" i="23916"/>
  <c r="FI668" i="23916" s="1"/>
  <c r="FI663" i="23916"/>
  <c r="BJ679" i="23916"/>
  <c r="ED678" i="23916"/>
  <c r="EB662" i="23916"/>
  <c r="CR270" i="23916"/>
  <c r="EM122" i="23916"/>
  <c r="EN122" i="23916" s="1"/>
  <c r="EM118" i="23916"/>
  <c r="EN116" i="23916"/>
  <c r="DG174" i="23916"/>
  <c r="DH168" i="23916"/>
  <c r="FR171" i="23916"/>
  <c r="FS166" i="23916"/>
  <c r="CQ180" i="23916"/>
  <c r="CQ177" i="23916"/>
  <c r="CR174" i="23916"/>
  <c r="CQ176" i="23916"/>
  <c r="CR176" i="23916" s="1"/>
  <c r="DT122" i="23916"/>
  <c r="CA518" i="23916"/>
  <c r="CB118" i="23916"/>
  <c r="EE171" i="23916"/>
  <c r="EF171" i="23916" s="1"/>
  <c r="EF166" i="23916"/>
  <c r="GN750" i="23916"/>
  <c r="GO501" i="23916"/>
  <c r="AH315" i="23916"/>
  <c r="BD263" i="23916"/>
  <c r="BC264" i="23916"/>
  <c r="GM494" i="23916"/>
  <c r="EU75" i="23916"/>
  <c r="EV75" i="23916" s="1"/>
  <c r="EW36" i="23916"/>
  <c r="EV36" i="23916"/>
  <c r="CP76" i="23916"/>
  <c r="EW103" i="23916"/>
  <c r="EV103" i="23916"/>
  <c r="EC115" i="23916"/>
  <c r="ED115" i="23916" s="1"/>
  <c r="ED113" i="23916"/>
  <c r="EC116" i="23916"/>
  <c r="EC119" i="23916"/>
  <c r="BI116" i="23916"/>
  <c r="BJ113" i="23916"/>
  <c r="BI115" i="23916"/>
  <c r="BJ115" i="23916" s="1"/>
  <c r="BI119" i="23916"/>
  <c r="GE167" i="23916"/>
  <c r="GD168" i="23916"/>
  <c r="GI167" i="23916"/>
  <c r="GH168" i="23916"/>
  <c r="AU195" i="23916"/>
  <c r="AV189" i="23916"/>
  <c r="AU199" i="23916"/>
  <c r="AU205" i="23916"/>
  <c r="AV263" i="23916"/>
  <c r="AU264" i="23916"/>
  <c r="AV264" i="23916" s="1"/>
  <c r="CJ495" i="23916"/>
  <c r="CI745" i="23916"/>
  <c r="CI497" i="23916"/>
  <c r="DF174" i="23916"/>
  <c r="DE176" i="23916"/>
  <c r="DE180" i="23916"/>
  <c r="DE177" i="23916"/>
  <c r="GN168" i="23916"/>
  <c r="GO167" i="23916"/>
  <c r="BO183" i="23916"/>
  <c r="BO179" i="23916"/>
  <c r="BO184" i="23916"/>
  <c r="BP177" i="23916"/>
  <c r="BD180" i="23916"/>
  <c r="DH241" i="23916"/>
  <c r="DG263" i="23916"/>
  <c r="DH110" i="23916"/>
  <c r="FZ497" i="23916"/>
  <c r="FX71" i="23916"/>
  <c r="FY71" i="23916" s="1"/>
  <c r="FY32" i="23916"/>
  <c r="FP727" i="23916"/>
  <c r="FQ180" i="23916"/>
  <c r="CH171" i="23916"/>
  <c r="CV272" i="23916"/>
  <c r="AZ264" i="23916"/>
  <c r="BC265" i="23916"/>
  <c r="BD265" i="23916" s="1"/>
  <c r="FP745" i="23916"/>
  <c r="AR247" i="23916"/>
  <c r="DX265" i="23916"/>
  <c r="DX266" i="23916" s="1"/>
  <c r="FO306" i="23916"/>
  <c r="AD315" i="23916"/>
  <c r="AS524" i="23916"/>
  <c r="AT524" i="23916" s="1"/>
  <c r="AT311" i="23916"/>
  <c r="FX497" i="23916"/>
  <c r="GN745" i="23916"/>
  <c r="FT270" i="23916"/>
  <c r="FU240" i="23916"/>
  <c r="FT241" i="23916"/>
  <c r="FY240" i="23916"/>
  <c r="FX241" i="23916"/>
  <c r="GC240" i="23916"/>
  <c r="GB241" i="23916"/>
  <c r="GG240" i="23916"/>
  <c r="GF241" i="23916"/>
  <c r="GJ270" i="23916"/>
  <c r="GK240" i="23916"/>
  <c r="GJ241" i="23916"/>
  <c r="AS264" i="23916"/>
  <c r="AT264" i="23916" s="1"/>
  <c r="AT263" i="23916"/>
  <c r="GG302" i="23916"/>
  <c r="FZ265" i="23916"/>
  <c r="GA259" i="23916"/>
  <c r="GH265" i="23916"/>
  <c r="GI259" i="23916"/>
  <c r="GH260" i="23916"/>
  <c r="FG302" i="23916"/>
  <c r="AV308" i="23916"/>
  <c r="DR308" i="23916"/>
  <c r="BH327" i="23916"/>
  <c r="W434" i="23916"/>
  <c r="W430" i="23916"/>
  <c r="X428" i="23916"/>
  <c r="AN427" i="23916"/>
  <c r="EX272" i="23916"/>
  <c r="AT301" i="23916"/>
  <c r="GD740" i="23916"/>
  <c r="GD301" i="23916"/>
  <c r="GE300" i="23916"/>
  <c r="GG300" i="23916"/>
  <c r="DY315" i="23916"/>
  <c r="DZ315" i="23916" s="1"/>
  <c r="DZ309" i="23916"/>
  <c r="DY311" i="23916"/>
  <c r="GG306" i="23916"/>
  <c r="AY434" i="23916"/>
  <c r="AY430" i="23916"/>
  <c r="AZ428" i="23916"/>
  <c r="BH427" i="23916"/>
  <c r="FU537" i="23916"/>
  <c r="BR308" i="23916"/>
  <c r="CX308" i="23916"/>
  <c r="BF400" i="23916"/>
  <c r="BF393" i="23916"/>
  <c r="AZ401" i="23916"/>
  <c r="BZ497" i="23916"/>
  <c r="DH301" i="23916"/>
  <c r="FT346" i="23916"/>
  <c r="FT345" i="23916"/>
  <c r="BG397" i="23916"/>
  <c r="BH396" i="23916"/>
  <c r="S434" i="23916"/>
  <c r="T434" i="23916" s="1"/>
  <c r="S430" i="23916"/>
  <c r="T430" i="23916" s="1"/>
  <c r="T428" i="23916"/>
  <c r="AJ427" i="23916"/>
  <c r="AU487" i="23916"/>
  <c r="AV485" i="23916"/>
  <c r="CB485" i="23916"/>
  <c r="CA487" i="23916"/>
  <c r="GN482" i="23916"/>
  <c r="GO473" i="23916"/>
  <c r="GK480" i="23916"/>
  <c r="ES473" i="23916"/>
  <c r="EU471" i="23916"/>
  <c r="ET471" i="23916"/>
  <c r="GD482" i="23916"/>
  <c r="GE473" i="23916"/>
  <c r="BU488" i="23916"/>
  <c r="BU485" i="23916"/>
  <c r="BU484" i="23916"/>
  <c r="BV484" i="23916" s="1"/>
  <c r="BV482" i="23916"/>
  <c r="AE666" i="23916"/>
  <c r="AF666" i="23916" s="1"/>
  <c r="E669" i="23916"/>
  <c r="E668" i="23916"/>
  <c r="E617" i="23916"/>
  <c r="GQ13" i="23916"/>
  <c r="GS13" i="23916"/>
  <c r="M566" i="23916"/>
  <c r="N553" i="23916"/>
  <c r="GO596" i="23916"/>
  <c r="EU596" i="23916"/>
  <c r="EV596" i="23916" s="1"/>
  <c r="EV594" i="23916"/>
  <c r="GT629" i="23916"/>
  <c r="GS629" i="23916"/>
  <c r="GR503" i="23916"/>
  <c r="GS503" i="23916" s="1"/>
  <c r="FY635" i="23916"/>
  <c r="CX640" i="23916"/>
  <c r="BR635" i="23916"/>
  <c r="BQ678" i="23916"/>
  <c r="BR678" i="23916" s="1"/>
  <c r="GG689" i="23916"/>
  <c r="FW650" i="23916"/>
  <c r="DT675" i="23916"/>
  <c r="BH676" i="23916"/>
  <c r="DF693" i="23916"/>
  <c r="CH674" i="23916"/>
  <c r="CG678" i="23916"/>
  <c r="CH678" i="23916" s="1"/>
  <c r="DN675" i="23916"/>
  <c r="FW241" i="23916"/>
  <c r="FV263" i="23916"/>
  <c r="FS240" i="23916"/>
  <c r="AB666" i="23916"/>
  <c r="GG496" i="23916"/>
  <c r="FU302" i="23916"/>
  <c r="FT735" i="23916"/>
  <c r="FT63" i="23916"/>
  <c r="FU60" i="23916"/>
  <c r="GL110" i="23916"/>
  <c r="GM110" i="23916" s="1"/>
  <c r="GM104" i="23916"/>
  <c r="BG725" i="23916"/>
  <c r="BH276" i="23916"/>
  <c r="BH263" i="23916"/>
  <c r="BG264" i="23916"/>
  <c r="BH264" i="23916" s="1"/>
  <c r="BP263" i="23916"/>
  <c r="BO264" i="23916"/>
  <c r="GB750" i="23916"/>
  <c r="GC501" i="23916"/>
  <c r="DY273" i="23916"/>
  <c r="DY276" i="23916"/>
  <c r="DY272" i="23916"/>
  <c r="DZ272" i="23916" s="1"/>
  <c r="DZ270" i="23916"/>
  <c r="FE300" i="23916"/>
  <c r="FD301" i="23916"/>
  <c r="FE301" i="23916" s="1"/>
  <c r="CT485" i="23916"/>
  <c r="CS487" i="23916"/>
  <c r="CS9" i="23916"/>
  <c r="CT9" i="23916" s="1"/>
  <c r="BX263" i="23916"/>
  <c r="DE315" i="23916"/>
  <c r="DF315" i="23916" s="1"/>
  <c r="DF309" i="23916"/>
  <c r="DE311" i="23916"/>
  <c r="DP482" i="23916"/>
  <c r="DO485" i="23916"/>
  <c r="DO484" i="23916"/>
  <c r="DP484" i="23916" s="1"/>
  <c r="DO488" i="23916"/>
  <c r="GH482" i="23916"/>
  <c r="GI473" i="23916"/>
  <c r="BY488" i="23916"/>
  <c r="BZ482" i="23916"/>
  <c r="BY485" i="23916"/>
  <c r="BY484" i="23916"/>
  <c r="BZ484" i="23916" s="1"/>
  <c r="G618" i="23916"/>
  <c r="G620" i="23916"/>
  <c r="G589" i="23916"/>
  <c r="CM753" i="23916"/>
  <c r="CM754" i="23916" s="1"/>
  <c r="U618" i="23916"/>
  <c r="U620" i="23916"/>
  <c r="V614" i="23916"/>
  <c r="U589" i="23916"/>
  <c r="ES554" i="23916"/>
  <c r="ER554" i="23916"/>
  <c r="EQ546" i="23916"/>
  <c r="DJ675" i="23916"/>
  <c r="DT662" i="23916"/>
  <c r="AZ640" i="23916"/>
  <c r="BH640" i="23916"/>
  <c r="FV681" i="23916"/>
  <c r="FW681" i="23916" s="1"/>
  <c r="FV682" i="23916"/>
  <c r="FW682" i="23916" s="1"/>
  <c r="FW660" i="23916"/>
  <c r="BJ393" i="23916"/>
  <c r="DC171" i="23916"/>
  <c r="GF166" i="23916"/>
  <c r="DD166" i="23916"/>
  <c r="CX174" i="23916"/>
  <c r="CW176" i="23916"/>
  <c r="CX176" i="23916" s="1"/>
  <c r="CW180" i="23916"/>
  <c r="CW177" i="23916"/>
  <c r="GM167" i="23916"/>
  <c r="GL168" i="23916"/>
  <c r="FV110" i="23916"/>
  <c r="FW110" i="23916" s="1"/>
  <c r="FW104" i="23916"/>
  <c r="FT749" i="23916"/>
  <c r="FT751" i="23916" s="1"/>
  <c r="FU496" i="23916"/>
  <c r="FX749" i="23916"/>
  <c r="FX751" i="23916" s="1"/>
  <c r="FY496" i="23916"/>
  <c r="EA725" i="23916"/>
  <c r="EB276" i="23916"/>
  <c r="FI300" i="23916"/>
  <c r="FH301" i="23916"/>
  <c r="FI301" i="23916" s="1"/>
  <c r="BB265" i="23916"/>
  <c r="AW487" i="23916"/>
  <c r="AX485" i="23916"/>
  <c r="O434" i="23916"/>
  <c r="O430" i="23916"/>
  <c r="P430" i="23916" s="1"/>
  <c r="P428" i="23916"/>
  <c r="BR434" i="23916"/>
  <c r="FP530" i="23916"/>
  <c r="FQ530" i="23916" s="1"/>
  <c r="AR530" i="23916"/>
  <c r="AZ530" i="23916"/>
  <c r="EX547" i="23916"/>
  <c r="GP547" i="23916"/>
  <c r="Z553" i="23916"/>
  <c r="Y566" i="23916"/>
  <c r="ES720" i="23916"/>
  <c r="ET609" i="23916"/>
  <c r="EU611" i="23916"/>
  <c r="EU609" i="23916"/>
  <c r="GI678" i="23916"/>
  <c r="BT681" i="23916"/>
  <c r="FU135" i="23916"/>
  <c r="FT154" i="23916"/>
  <c r="FT156" i="23916" s="1"/>
  <c r="FT155" i="23916"/>
  <c r="DW183" i="23916"/>
  <c r="DW179" i="23916"/>
  <c r="DW519" i="23916" s="1"/>
  <c r="DW520" i="23916" s="1"/>
  <c r="CO184" i="23916"/>
  <c r="CP177" i="23916"/>
  <c r="CO179" i="23916"/>
  <c r="CO183" i="23916"/>
  <c r="AX315" i="23916"/>
  <c r="CA74" i="23916"/>
  <c r="AV518" i="23916"/>
  <c r="AV495" i="23916"/>
  <c r="AU497" i="23916"/>
  <c r="FP171" i="23916"/>
  <c r="FQ171" i="23916" s="1"/>
  <c r="FQ166" i="23916"/>
  <c r="DW263" i="23916"/>
  <c r="DW265" i="23916"/>
  <c r="DW266" i="23916" s="1"/>
  <c r="CF118" i="23916"/>
  <c r="DW7" i="23916"/>
  <c r="GW33" i="23916"/>
  <c r="GX33" i="23916"/>
  <c r="BZ71" i="23916"/>
  <c r="BY73" i="23916"/>
  <c r="CH73" i="23916" s="1"/>
  <c r="BX495" i="23916"/>
  <c r="BW745" i="23916"/>
  <c r="BJ174" i="23916"/>
  <c r="BI176" i="23916"/>
  <c r="BJ176" i="23916" s="1"/>
  <c r="BI180" i="23916"/>
  <c r="BI177" i="23916"/>
  <c r="BR177" i="23916" s="1"/>
  <c r="DS275" i="23916"/>
  <c r="DS279" i="23916"/>
  <c r="DT279" i="23916" s="1"/>
  <c r="DT273" i="23916"/>
  <c r="DS8" i="23916"/>
  <c r="DT8" i="23916" s="1"/>
  <c r="FN275" i="23916"/>
  <c r="FN280" i="23916"/>
  <c r="FN279" i="23916"/>
  <c r="GA32" i="23916"/>
  <c r="FZ71" i="23916"/>
  <c r="GA71" i="23916" s="1"/>
  <c r="FR199" i="23916"/>
  <c r="FS189" i="23916"/>
  <c r="FR195" i="23916"/>
  <c r="FR205" i="23916"/>
  <c r="FU189" i="23916"/>
  <c r="GD270" i="23916"/>
  <c r="GD241" i="23916"/>
  <c r="GD265" i="23916" s="1"/>
  <c r="GE240" i="23916"/>
  <c r="GJ119" i="23916"/>
  <c r="GK113" i="23916"/>
  <c r="GJ116" i="23916"/>
  <c r="GJ115" i="23916"/>
  <c r="GK115" i="23916" s="1"/>
  <c r="CI156" i="23916"/>
  <c r="BI230" i="23916"/>
  <c r="EF270" i="23916"/>
  <c r="BG244" i="23916"/>
  <c r="BG245" i="23916"/>
  <c r="FT312" i="23916"/>
  <c r="FU306" i="23916"/>
  <c r="FT309" i="23916"/>
  <c r="FT308" i="23916"/>
  <c r="FU308" i="23916" s="1"/>
  <c r="R315" i="23916"/>
  <c r="GA302" i="23916"/>
  <c r="CC263" i="23916"/>
  <c r="CD241" i="23916"/>
  <c r="CC265" i="23916"/>
  <c r="CT270" i="23916"/>
  <c r="CS273" i="23916"/>
  <c r="CS272" i="23916"/>
  <c r="CS276" i="23916"/>
  <c r="FY297" i="23916"/>
  <c r="FX265" i="23916"/>
  <c r="FY259" i="23916"/>
  <c r="FX260" i="23916"/>
  <c r="FY260" i="23916" s="1"/>
  <c r="EM774" i="23916"/>
  <c r="EN265" i="23916"/>
  <c r="EM266" i="23916"/>
  <c r="BC312" i="23916"/>
  <c r="BC308" i="23916"/>
  <c r="BD306" i="23916"/>
  <c r="BC309" i="23916"/>
  <c r="BL306" i="23916"/>
  <c r="DX311" i="23916"/>
  <c r="DX524" i="23916" s="1"/>
  <c r="DX315" i="23916"/>
  <c r="BI363" i="23916"/>
  <c r="BK369" i="23916"/>
  <c r="BK370" i="23916"/>
  <c r="G430" i="23916"/>
  <c r="G434" i="23916"/>
  <c r="CR484" i="23916"/>
  <c r="FD309" i="23916"/>
  <c r="FD308" i="23916"/>
  <c r="FE308" i="23916" s="1"/>
  <c r="FE306" i="23916"/>
  <c r="FV302" i="23916"/>
  <c r="FW302" i="23916" s="1"/>
  <c r="FR301" i="23916"/>
  <c r="FS301" i="23916" s="1"/>
  <c r="FS300" i="23916"/>
  <c r="DC315" i="23916"/>
  <c r="DC311" i="23916"/>
  <c r="DD309" i="23916"/>
  <c r="CS731" i="23916"/>
  <c r="CT488" i="23916"/>
  <c r="DI731" i="23916"/>
  <c r="DJ488" i="23916"/>
  <c r="L309" i="23916"/>
  <c r="K311" i="23916"/>
  <c r="L311" i="23916" s="1"/>
  <c r="K315" i="23916"/>
  <c r="L315" i="23916" s="1"/>
  <c r="AR312" i="23916"/>
  <c r="AZ312" i="23916"/>
  <c r="BY312" i="23916"/>
  <c r="BZ306" i="23916"/>
  <c r="BY309" i="23916"/>
  <c r="CH309" i="23916" s="1"/>
  <c r="BY308" i="23916"/>
  <c r="BZ308" i="23916" s="1"/>
  <c r="DE728" i="23916"/>
  <c r="DF312" i="23916"/>
  <c r="BI352" i="23916"/>
  <c r="BI348" i="23916"/>
  <c r="AS529" i="23916"/>
  <c r="AS431" i="23916"/>
  <c r="AT431" i="23916" s="1"/>
  <c r="FS413" i="23916"/>
  <c r="FR425" i="23916"/>
  <c r="FR421" i="23916"/>
  <c r="FR422" i="23916"/>
  <c r="FS422" i="23916" s="1"/>
  <c r="AT422" i="23916"/>
  <c r="DZ482" i="23916"/>
  <c r="DY488" i="23916"/>
  <c r="DY484" i="23916"/>
  <c r="DY485" i="23916"/>
  <c r="BC509" i="23916"/>
  <c r="BD482" i="23916"/>
  <c r="BC485" i="23916"/>
  <c r="BC484" i="23916"/>
  <c r="BD484" i="23916" s="1"/>
  <c r="BC488" i="23916"/>
  <c r="BD488" i="23916" s="1"/>
  <c r="CE485" i="23916"/>
  <c r="CF482" i="23916"/>
  <c r="CE484" i="23916"/>
  <c r="CF484" i="23916" s="1"/>
  <c r="CE488" i="23916"/>
  <c r="EU505" i="23916"/>
  <c r="EV505" i="23916" s="1"/>
  <c r="EU480" i="23916"/>
  <c r="EV480" i="23916" s="1"/>
  <c r="EV476" i="23916"/>
  <c r="EW476" i="23916"/>
  <c r="GP476" i="23916"/>
  <c r="CM485" i="23916"/>
  <c r="CN482" i="23916"/>
  <c r="CM484" i="23916"/>
  <c r="CM488" i="23916"/>
  <c r="FR482" i="23916"/>
  <c r="FS473" i="23916"/>
  <c r="BI509" i="23916"/>
  <c r="BI488" i="23916"/>
  <c r="BI485" i="23916"/>
  <c r="BJ482" i="23916"/>
  <c r="BI484" i="23916"/>
  <c r="W614" i="23916"/>
  <c r="FJ614" i="23916" s="1"/>
  <c r="W553" i="23916"/>
  <c r="X541" i="23916"/>
  <c r="L666" i="23916"/>
  <c r="DS753" i="23916"/>
  <c r="DS754" i="23916" s="1"/>
  <c r="DT497" i="23916"/>
  <c r="U566" i="23916"/>
  <c r="V553" i="23916"/>
  <c r="FI615" i="23916"/>
  <c r="FQ615" i="23916"/>
  <c r="CY663" i="23916"/>
  <c r="CZ663" i="23916" s="1"/>
  <c r="EF673" i="23916"/>
  <c r="GC694" i="23916"/>
  <c r="FT694" i="23916"/>
  <c r="FU694" i="23916" s="1"/>
  <c r="FT682" i="23916"/>
  <c r="FU682" i="23916" s="1"/>
  <c r="FU660" i="23916"/>
  <c r="FM663" i="23916"/>
  <c r="AN672" i="23916"/>
  <c r="DC682" i="23916"/>
  <c r="DD682" i="23916" s="1"/>
  <c r="DC663" i="23916"/>
  <c r="DD663" i="23916" s="1"/>
  <c r="DD660" i="23916"/>
  <c r="FP679" i="23916"/>
  <c r="FQ679" i="23916" s="1"/>
  <c r="FP681" i="23916"/>
  <c r="FQ681" i="23916" s="1"/>
  <c r="FR663" i="23916"/>
  <c r="FP675" i="23916"/>
  <c r="FQ675" i="23916" s="1"/>
  <c r="FQ657" i="23916"/>
  <c r="FP676" i="23916"/>
  <c r="FQ676" i="23916" s="1"/>
  <c r="FP672" i="23916"/>
  <c r="FQ672" i="23916" s="1"/>
  <c r="FP674" i="23916"/>
  <c r="FQ674" i="23916" s="1"/>
  <c r="FP677" i="23916"/>
  <c r="FQ677" i="23916" s="1"/>
  <c r="FP673" i="23916"/>
  <c r="GI663" i="23916"/>
  <c r="DR675" i="23916"/>
  <c r="EH679" i="23916"/>
  <c r="BV679" i="23916"/>
  <c r="CS682" i="23916"/>
  <c r="CT682" i="23916" s="1"/>
  <c r="CS681" i="23916"/>
  <c r="CT681" i="23916" s="1"/>
  <c r="CS663" i="23916"/>
  <c r="CT663" i="23916" s="1"/>
  <c r="CT660" i="23916"/>
  <c r="GB660" i="23916"/>
  <c r="DJ679" i="23916"/>
  <c r="DZ675" i="23916"/>
  <c r="DD695" i="23916"/>
  <c r="DT694" i="23916"/>
  <c r="AZ681" i="23916"/>
  <c r="GJ681" i="23916"/>
  <c r="GK681" i="23916" s="1"/>
  <c r="GJ679" i="23916"/>
  <c r="GK679" i="23916" s="1"/>
  <c r="GL663" i="23916"/>
  <c r="GM663" i="23916" s="1"/>
  <c r="GJ678" i="23916"/>
  <c r="GK678" i="23916" s="1"/>
  <c r="GJ675" i="23916"/>
  <c r="GK675" i="23916" s="1"/>
  <c r="GK657" i="23916"/>
  <c r="GJ677" i="23916"/>
  <c r="GK677" i="23916" s="1"/>
  <c r="GJ674" i="23916"/>
  <c r="GK674" i="23916" s="1"/>
  <c r="GJ673" i="23916"/>
  <c r="GK673" i="23916" s="1"/>
  <c r="GJ672" i="23916"/>
  <c r="GJ676" i="23916"/>
  <c r="GK676" i="23916" s="1"/>
  <c r="CX678" i="23916"/>
  <c r="BV681" i="23916"/>
  <c r="FW694" i="23916"/>
  <c r="FV735" i="23916"/>
  <c r="FV63" i="23916"/>
  <c r="FW60" i="23916"/>
  <c r="DO174" i="23916"/>
  <c r="DP168" i="23916"/>
  <c r="CX301" i="23916"/>
  <c r="BI396" i="23916"/>
  <c r="BJ394" i="23916"/>
  <c r="BI401" i="23916"/>
  <c r="GF750" i="23916"/>
  <c r="GG501" i="23916"/>
  <c r="BM73" i="23916"/>
  <c r="CN176" i="23916"/>
  <c r="EG176" i="23916"/>
  <c r="EH176" i="23916" s="1"/>
  <c r="EG180" i="23916"/>
  <c r="EG177" i="23916"/>
  <c r="EH174" i="23916"/>
  <c r="AV177" i="23916"/>
  <c r="AU183" i="23916"/>
  <c r="AU179" i="23916"/>
  <c r="EM725" i="23916"/>
  <c r="EN276" i="23916"/>
  <c r="EM171" i="23916"/>
  <c r="EN166" i="23916"/>
  <c r="FS87" i="23916"/>
  <c r="FR109" i="23916"/>
  <c r="FS109" i="23916" s="1"/>
  <c r="GK495" i="23916"/>
  <c r="DN174" i="23916"/>
  <c r="DM176" i="23916"/>
  <c r="DN176" i="23916" s="1"/>
  <c r="DM180" i="23916"/>
  <c r="DM177" i="23916"/>
  <c r="EA174" i="23916"/>
  <c r="EB168" i="23916"/>
  <c r="CF495" i="23916"/>
  <c r="CE745" i="23916"/>
  <c r="CN495" i="23916"/>
  <c r="CE497" i="23916"/>
  <c r="BZ174" i="23916"/>
  <c r="BY176" i="23916"/>
  <c r="BZ176" i="23916" s="1"/>
  <c r="BY180" i="23916"/>
  <c r="BY177" i="23916"/>
  <c r="FZ78" i="23916"/>
  <c r="CK176" i="23916"/>
  <c r="CL176" i="23916" s="1"/>
  <c r="CK180" i="23916"/>
  <c r="CK177" i="23916"/>
  <c r="CL174" i="23916"/>
  <c r="BO275" i="23916"/>
  <c r="BP273" i="23916"/>
  <c r="BO279" i="23916"/>
  <c r="BP279" i="23916" s="1"/>
  <c r="AY275" i="23916"/>
  <c r="AZ273" i="23916"/>
  <c r="AY279" i="23916"/>
  <c r="BK156" i="23916"/>
  <c r="AU223" i="23916"/>
  <c r="AU224" i="23916"/>
  <c r="AU214" i="23916"/>
  <c r="AV208" i="23916"/>
  <c r="CW266" i="23916"/>
  <c r="CX266" i="23916" s="1"/>
  <c r="CX265" i="23916"/>
  <c r="EG265" i="23916"/>
  <c r="EP265" i="23916" s="1"/>
  <c r="DG524" i="23916"/>
  <c r="DH311" i="23916"/>
  <c r="FU301" i="23916"/>
  <c r="GF497" i="23916"/>
  <c r="FZ749" i="23916"/>
  <c r="FZ751" i="23916" s="1"/>
  <c r="GA496" i="23916"/>
  <c r="CX241" i="23916"/>
  <c r="CW263" i="23916"/>
  <c r="DN270" i="23916"/>
  <c r="DM273" i="23916"/>
  <c r="DM276" i="23916"/>
  <c r="DM272" i="23916"/>
  <c r="DN272" i="23916" s="1"/>
  <c r="BA264" i="23916"/>
  <c r="BB264" i="23916" s="1"/>
  <c r="BB263" i="23916"/>
  <c r="ER297" i="23916"/>
  <c r="EQ306" i="23916"/>
  <c r="EE774" i="23916"/>
  <c r="EF265" i="23916"/>
  <c r="EE266" i="23916"/>
  <c r="EF266" i="23916" s="1"/>
  <c r="CB306" i="23916"/>
  <c r="CA312" i="23916"/>
  <c r="CA309" i="23916"/>
  <c r="CA308" i="23916"/>
  <c r="CJ306" i="23916"/>
  <c r="FK300" i="23916"/>
  <c r="AF308" i="23916"/>
  <c r="BM728" i="23916"/>
  <c r="BN312" i="23916"/>
  <c r="AS396" i="23916"/>
  <c r="AS401" i="23916"/>
  <c r="AT401" i="23916" s="1"/>
  <c r="AT394" i="23916"/>
  <c r="N425" i="23916"/>
  <c r="M428" i="23916"/>
  <c r="M427" i="23916"/>
  <c r="N427" i="23916" s="1"/>
  <c r="CJ302" i="23916"/>
  <c r="BX306" i="23916"/>
  <c r="EP308" i="23916"/>
  <c r="EX308" i="23916"/>
  <c r="BH339" i="23916"/>
  <c r="CH306" i="23916"/>
  <c r="FG413" i="23916"/>
  <c r="FF425" i="23916"/>
  <c r="FF422" i="23916"/>
  <c r="FG422" i="23916" s="1"/>
  <c r="GF260" i="23916"/>
  <c r="GG260" i="23916" s="1"/>
  <c r="AV343" i="23916"/>
  <c r="AU345" i="23916"/>
  <c r="AV345" i="23916" s="1"/>
  <c r="AU346" i="23916"/>
  <c r="BC434" i="23916"/>
  <c r="BD434" i="23916" s="1"/>
  <c r="BC430" i="23916"/>
  <c r="BD428" i="23916"/>
  <c r="AY531" i="23916"/>
  <c r="AZ487" i="23916"/>
  <c r="EC484" i="23916"/>
  <c r="EC488" i="23916"/>
  <c r="ED482" i="23916"/>
  <c r="EC485" i="23916"/>
  <c r="BL485" i="23916"/>
  <c r="BK487" i="23916"/>
  <c r="BT509" i="23916"/>
  <c r="BL509" i="23916"/>
  <c r="BG509" i="23916"/>
  <c r="BG484" i="23916"/>
  <c r="BH484" i="23916" s="1"/>
  <c r="BG488" i="23916"/>
  <c r="BH482" i="23916"/>
  <c r="BG485" i="23916"/>
  <c r="AT421" i="23916"/>
  <c r="EW472" i="23916"/>
  <c r="EX472" i="23916" s="1"/>
  <c r="EV472" i="23916"/>
  <c r="DS485" i="23916"/>
  <c r="DT482" i="23916"/>
  <c r="DS484" i="23916"/>
  <c r="DT484" i="23916" s="1"/>
  <c r="DS488" i="23916"/>
  <c r="GL482" i="23916"/>
  <c r="GM473" i="23916"/>
  <c r="CC484" i="23916"/>
  <c r="CD484" i="23916" s="1"/>
  <c r="CC488" i="23916"/>
  <c r="CD482" i="23916"/>
  <c r="CC485" i="23916"/>
  <c r="FJ666" i="23916"/>
  <c r="FK666" i="23916" s="1"/>
  <c r="FJ541" i="23916"/>
  <c r="FK538" i="23916"/>
  <c r="FL666" i="23916"/>
  <c r="FM666" i="23916" s="1"/>
  <c r="FN666" i="23916"/>
  <c r="FN541" i="23916"/>
  <c r="FO538" i="23916"/>
  <c r="FN553" i="23916"/>
  <c r="K620" i="23916"/>
  <c r="L620" i="23916" s="1"/>
  <c r="L614" i="23916"/>
  <c r="K618" i="23916"/>
  <c r="L618" i="23916" s="1"/>
  <c r="K589" i="23916"/>
  <c r="L589" i="23916" s="1"/>
  <c r="FH747" i="23916"/>
  <c r="FI541" i="23916"/>
  <c r="AH620" i="23916"/>
  <c r="R666" i="23916"/>
  <c r="Z666" i="23916"/>
  <c r="ES615" i="23916"/>
  <c r="ET615" i="23916" s="1"/>
  <c r="ET611" i="23916"/>
  <c r="ES590" i="23916"/>
  <c r="FU635" i="23916"/>
  <c r="ET634" i="23916"/>
  <c r="ES635" i="23916"/>
  <c r="ET635" i="23916" s="1"/>
  <c r="CT674" i="23916"/>
  <c r="GA695" i="23916"/>
  <c r="GE694" i="23916"/>
  <c r="GA650" i="23916"/>
  <c r="FM677" i="23916"/>
  <c r="FU672" i="23916"/>
  <c r="EB650" i="23916"/>
  <c r="GE672" i="23916"/>
  <c r="GE688" i="23916"/>
  <c r="CV674" i="23916"/>
  <c r="GI690" i="23916"/>
  <c r="FP663" i="23916"/>
  <c r="FQ663" i="23916" s="1"/>
  <c r="DK682" i="23916"/>
  <c r="DL682" i="23916" s="1"/>
  <c r="DK663" i="23916"/>
  <c r="DL663" i="23916" s="1"/>
  <c r="DL660" i="23916"/>
  <c r="DL679" i="23916"/>
  <c r="EN673" i="23916"/>
  <c r="EN679" i="23916"/>
  <c r="CP694" i="23916"/>
  <c r="FM633" i="23916"/>
  <c r="FL634" i="23916"/>
  <c r="FO633" i="23916"/>
  <c r="FU679" i="23916"/>
  <c r="DE678" i="23916"/>
  <c r="DF678" i="23916" s="1"/>
  <c r="DU682" i="23916"/>
  <c r="DV682" i="23916" s="1"/>
  <c r="DV660" i="23916"/>
  <c r="DX663" i="23916" s="1"/>
  <c r="DU663" i="23916"/>
  <c r="DV663" i="23916" s="1"/>
  <c r="EL673" i="23916"/>
  <c r="EK678" i="23916"/>
  <c r="EL678" i="23916" s="1"/>
  <c r="DP693" i="23916"/>
  <c r="DZ695" i="23916"/>
  <c r="GI679" i="23916"/>
  <c r="AV673" i="23916"/>
  <c r="AV677" i="23916"/>
  <c r="BD678" i="23916"/>
  <c r="CX694" i="23916"/>
  <c r="FI679" i="23916"/>
  <c r="CN694" i="23916"/>
  <c r="ER706" i="23916"/>
  <c r="EJ706" i="23916"/>
  <c r="EX630" i="23916"/>
  <c r="GP630" i="23916"/>
  <c r="CJ673" i="23916"/>
  <c r="DJ672" i="23916"/>
  <c r="GN663" i="23916"/>
  <c r="GO663" i="23916" s="1"/>
  <c r="GM681" i="23916"/>
  <c r="FO663" i="23916"/>
  <c r="GC679" i="23916"/>
  <c r="CR693" i="23916"/>
  <c r="BS727" i="23916"/>
  <c r="BT180" i="23916"/>
  <c r="BZ391" i="23916"/>
  <c r="CY276" i="23916"/>
  <c r="CZ270" i="23916"/>
  <c r="CY273" i="23916"/>
  <c r="CY272" i="23916"/>
  <c r="CZ272" i="23916" s="1"/>
  <c r="GE86" i="23916"/>
  <c r="CH113" i="23916"/>
  <c r="BQ727" i="23916"/>
  <c r="BR180" i="23916"/>
  <c r="AS247" i="23916"/>
  <c r="AT247" i="23916" s="1"/>
  <c r="AS246" i="23916"/>
  <c r="AT199" i="23916"/>
  <c r="AS204" i="23916"/>
  <c r="DH518" i="23916"/>
  <c r="CS42" i="23916"/>
  <c r="CS41" i="23916"/>
  <c r="CS34" i="23916"/>
  <c r="CS35" i="23916" s="1"/>
  <c r="CT28" i="23916"/>
  <c r="CS44" i="23916"/>
  <c r="CS45" i="23916" s="1"/>
  <c r="CS43" i="23916"/>
  <c r="DO518" i="23916"/>
  <c r="DP118" i="23916"/>
  <c r="CQ155" i="23916"/>
  <c r="CR135" i="23916"/>
  <c r="CQ154" i="23916"/>
  <c r="CQ156" i="23916" s="1"/>
  <c r="CQ153" i="23916"/>
  <c r="BW180" i="23916"/>
  <c r="BX174" i="23916"/>
  <c r="BW177" i="23916"/>
  <c r="BW176" i="23916"/>
  <c r="BX176" i="23916" s="1"/>
  <c r="CF171" i="23916"/>
  <c r="GB735" i="23916"/>
  <c r="GC60" i="23916"/>
  <c r="BG753" i="23916"/>
  <c r="BG754" i="23916" s="1"/>
  <c r="BH497" i="23916"/>
  <c r="DT110" i="23916"/>
  <c r="FY104" i="23916"/>
  <c r="FX110" i="23916"/>
  <c r="FY110" i="23916" s="1"/>
  <c r="BX272" i="23916"/>
  <c r="ER272" i="23916"/>
  <c r="EJ272" i="23916"/>
  <c r="AQ275" i="23916"/>
  <c r="AQ280" i="23916"/>
  <c r="AR280" i="23916" s="1"/>
  <c r="AQ279" i="23916"/>
  <c r="AR279" i="23916" s="1"/>
  <c r="AR273" i="23916"/>
  <c r="GB174" i="23916"/>
  <c r="GB150" i="23916"/>
  <c r="GC149" i="23916"/>
  <c r="GJ750" i="23916"/>
  <c r="GK501" i="23916"/>
  <c r="FG306" i="23916"/>
  <c r="FF309" i="23916"/>
  <c r="FF308" i="23916"/>
  <c r="FG308" i="23916" s="1"/>
  <c r="AH430" i="23916"/>
  <c r="CQ266" i="23916"/>
  <c r="CR266" i="23916" s="1"/>
  <c r="CR265" i="23916"/>
  <c r="GL265" i="23916"/>
  <c r="GM259" i="23916"/>
  <c r="GL260" i="23916"/>
  <c r="FT745" i="23916"/>
  <c r="BV241" i="23916"/>
  <c r="BU263" i="23916"/>
  <c r="BU265" i="23916"/>
  <c r="BV265" i="23916" s="1"/>
  <c r="CL270" i="23916"/>
  <c r="CK273" i="23916"/>
  <c r="CK276" i="23916"/>
  <c r="CK272" i="23916"/>
  <c r="CL272" i="23916" s="1"/>
  <c r="EP241" i="23916"/>
  <c r="EO263" i="23916"/>
  <c r="BF270" i="23916"/>
  <c r="BE273" i="23916"/>
  <c r="BE276" i="23916"/>
  <c r="BF276" i="23916" s="1"/>
  <c r="BE272" i="23916"/>
  <c r="BF272" i="23916" s="1"/>
  <c r="CY265" i="23916"/>
  <c r="FJ311" i="23916"/>
  <c r="FJ315" i="23916"/>
  <c r="FK309" i="23916"/>
  <c r="BH265" i="23916"/>
  <c r="GB265" i="23916"/>
  <c r="GC259" i="23916"/>
  <c r="GB260" i="23916"/>
  <c r="GC260" i="23916" s="1"/>
  <c r="EB264" i="23916"/>
  <c r="FO300" i="23916"/>
  <c r="CD306" i="23916"/>
  <c r="CC309" i="23916"/>
  <c r="CC312" i="23916"/>
  <c r="CC308" i="23916"/>
  <c r="CD308" i="23916" s="1"/>
  <c r="DJ306" i="23916"/>
  <c r="EM728" i="23916"/>
  <c r="EN312" i="23916"/>
  <c r="BO403" i="23916"/>
  <c r="CZ484" i="23916"/>
  <c r="Z301" i="23916"/>
  <c r="BL302" i="23916"/>
  <c r="CE728" i="23916"/>
  <c r="CF312" i="23916"/>
  <c r="DS728" i="23916"/>
  <c r="DT312" i="23916"/>
  <c r="FR328" i="23916"/>
  <c r="FS328" i="23916" s="1"/>
  <c r="FR325" i="23916"/>
  <c r="FS324" i="23916"/>
  <c r="FR343" i="23916"/>
  <c r="FR327" i="23916"/>
  <c r="FS327" i="23916" s="1"/>
  <c r="BD401" i="23916"/>
  <c r="BL401" i="23916"/>
  <c r="BT401" i="23916"/>
  <c r="DB484" i="23916"/>
  <c r="AB309" i="23916"/>
  <c r="AA311" i="23916"/>
  <c r="AB311" i="23916" s="1"/>
  <c r="AA315" i="23916"/>
  <c r="AB315" i="23916" s="1"/>
  <c r="DV306" i="23916"/>
  <c r="FJ427" i="23916"/>
  <c r="FK425" i="23916"/>
  <c r="FJ428" i="23916"/>
  <c r="Q428" i="23916"/>
  <c r="R425" i="23916"/>
  <c r="Q427" i="23916"/>
  <c r="R427" i="23916" s="1"/>
  <c r="DU754" i="23916"/>
  <c r="FZ312" i="23916"/>
  <c r="FZ309" i="23916"/>
  <c r="FZ308" i="23916"/>
  <c r="GA306" i="23916"/>
  <c r="AF301" i="23916"/>
  <c r="CZ301" i="23916"/>
  <c r="BD343" i="23916"/>
  <c r="BC345" i="23916"/>
  <c r="BD345" i="23916" s="1"/>
  <c r="BC346" i="23916"/>
  <c r="DQ484" i="23916"/>
  <c r="DR484" i="23916" s="1"/>
  <c r="DQ488" i="23916"/>
  <c r="DR482" i="23916"/>
  <c r="DQ485" i="23916"/>
  <c r="BT484" i="23916"/>
  <c r="BO509" i="23916"/>
  <c r="BO484" i="23916"/>
  <c r="BP484" i="23916" s="1"/>
  <c r="BO488" i="23916"/>
  <c r="BP482" i="23916"/>
  <c r="BO485" i="23916"/>
  <c r="EA485" i="23916"/>
  <c r="EA484" i="23916"/>
  <c r="EB484" i="23916" s="1"/>
  <c r="EA488" i="23916"/>
  <c r="EB482" i="23916"/>
  <c r="CG484" i="23916"/>
  <c r="CH484" i="23916" s="1"/>
  <c r="CG488" i="23916"/>
  <c r="CH482" i="23916"/>
  <c r="CG485" i="23916"/>
  <c r="O614" i="23916"/>
  <c r="O553" i="23916"/>
  <c r="P541" i="23916"/>
  <c r="R620" i="23916"/>
  <c r="FD747" i="23916"/>
  <c r="FD614" i="23916"/>
  <c r="FE541" i="23916"/>
  <c r="FK615" i="23916"/>
  <c r="ET596" i="23916"/>
  <c r="EX628" i="23916"/>
  <c r="GP628" i="23916"/>
  <c r="GX593" i="23916"/>
  <c r="GW593" i="23916"/>
  <c r="GA598" i="23916"/>
  <c r="GC598" i="23916"/>
  <c r="FO677" i="23916"/>
  <c r="DV673" i="23916"/>
  <c r="CJ663" i="23916"/>
  <c r="DG663" i="23916"/>
  <c r="DH663" i="23916" s="1"/>
  <c r="EA663" i="23916"/>
  <c r="EB663" i="23916" s="1"/>
  <c r="AT679" i="23916"/>
  <c r="AH635" i="23916"/>
  <c r="AG678" i="23916"/>
  <c r="AH678" i="23916" s="1"/>
  <c r="BN635" i="23916"/>
  <c r="BM678" i="23916"/>
  <c r="BN678" i="23916" s="1"/>
  <c r="CT635" i="23916"/>
  <c r="DZ635" i="23916"/>
  <c r="GG686" i="23916"/>
  <c r="DN674" i="23916"/>
  <c r="DT640" i="23916"/>
  <c r="DJ650" i="23916"/>
  <c r="FS681" i="23916"/>
  <c r="CM682" i="23916"/>
  <c r="CN682" i="23916" s="1"/>
  <c r="CM681" i="23916"/>
  <c r="CN681" i="23916" s="1"/>
  <c r="CM663" i="23916"/>
  <c r="CN663" i="23916" s="1"/>
  <c r="CN660" i="23916"/>
  <c r="CN679" i="23916"/>
  <c r="EO682" i="23916"/>
  <c r="EP682" i="23916" s="1"/>
  <c r="EO663" i="23916"/>
  <c r="EP663" i="23916" s="1"/>
  <c r="EP660" i="23916"/>
  <c r="GN660" i="23916"/>
  <c r="EP675" i="23916"/>
  <c r="EP679" i="23916"/>
  <c r="EN693" i="23916"/>
  <c r="DH681" i="23916"/>
  <c r="CT677" i="23916"/>
  <c r="ED650" i="23916"/>
  <c r="GK659" i="23916"/>
  <c r="FF678" i="23916"/>
  <c r="FG678" i="23916" s="1"/>
  <c r="BD677" i="23916"/>
  <c r="CV675" i="23916"/>
  <c r="ED679" i="23916"/>
  <c r="EB693" i="23916"/>
  <c r="CQ725" i="23916"/>
  <c r="CR276" i="23916"/>
  <c r="FX78" i="23916"/>
  <c r="FY78" i="23916" s="1"/>
  <c r="DZ110" i="23916"/>
  <c r="DG171" i="23916"/>
  <c r="DH171" i="23916" s="1"/>
  <c r="DH166" i="23916"/>
  <c r="AW183" i="23916"/>
  <c r="AW179" i="23916"/>
  <c r="AX177" i="23916"/>
  <c r="BF119" i="23916"/>
  <c r="CN306" i="23916"/>
  <c r="CM309" i="23916"/>
  <c r="CM308" i="23916"/>
  <c r="CN308" i="23916" s="1"/>
  <c r="CM312" i="23916"/>
  <c r="CV312" i="23916" s="1"/>
  <c r="DP270" i="23916"/>
  <c r="DO273" i="23916"/>
  <c r="DO276" i="23916"/>
  <c r="DO272" i="23916"/>
  <c r="DP272" i="23916" s="1"/>
  <c r="CA273" i="23916"/>
  <c r="CA276" i="23916"/>
  <c r="CA272" i="23916"/>
  <c r="CB272" i="23916" s="1"/>
  <c r="CB270" i="23916"/>
  <c r="GB78" i="23916"/>
  <c r="GC78" i="23916" s="1"/>
  <c r="DF110" i="23916"/>
  <c r="BL110" i="23916"/>
  <c r="CU171" i="23916"/>
  <c r="CV171" i="23916" s="1"/>
  <c r="GD166" i="23916"/>
  <c r="CV166" i="23916"/>
  <c r="DK171" i="23916"/>
  <c r="DL171" i="23916" s="1"/>
  <c r="GH166" i="23916"/>
  <c r="DL166" i="23916"/>
  <c r="EO177" i="23916"/>
  <c r="EO180" i="23916"/>
  <c r="EP174" i="23916"/>
  <c r="EO176" i="23916"/>
  <c r="BU184" i="23916"/>
  <c r="BU179" i="23916"/>
  <c r="BV177" i="23916"/>
  <c r="BU183" i="23916"/>
  <c r="CA180" i="23916"/>
  <c r="CA177" i="23916"/>
  <c r="CB174" i="23916"/>
  <c r="CA176" i="23916"/>
  <c r="CB176" i="23916" s="1"/>
  <c r="BK263" i="23916"/>
  <c r="BL241" i="23916"/>
  <c r="GM70" i="23916"/>
  <c r="GL78" i="23916"/>
  <c r="GM78" i="23916" s="1"/>
  <c r="FR745" i="23916"/>
  <c r="BO518" i="23916"/>
  <c r="BP118" i="23916"/>
  <c r="EI171" i="23916"/>
  <c r="GN166" i="23916"/>
  <c r="EJ166" i="23916"/>
  <c r="BP174" i="23916"/>
  <c r="BD176" i="23916"/>
  <c r="GI150" i="23916"/>
  <c r="FV495" i="23916"/>
  <c r="FW148" i="23916"/>
  <c r="GT190" i="23916"/>
  <c r="GS190" i="23916"/>
  <c r="GB495" i="23916"/>
  <c r="GE495" i="23916" s="1"/>
  <c r="GC148" i="23916"/>
  <c r="GD745" i="23916"/>
  <c r="GF113" i="23916"/>
  <c r="FU218" i="23916"/>
  <c r="AD311" i="23916"/>
  <c r="FX745" i="23916"/>
  <c r="FR751" i="23916"/>
  <c r="CI524" i="23916"/>
  <c r="DK266" i="23916"/>
  <c r="DL266" i="23916" s="1"/>
  <c r="DL265" i="23916"/>
  <c r="BF301" i="23916"/>
  <c r="P309" i="23916"/>
  <c r="O311" i="23916"/>
  <c r="P311" i="23916" s="1"/>
  <c r="O315" i="23916"/>
  <c r="P315" i="23916" s="1"/>
  <c r="CK728" i="23916"/>
  <c r="CL312" i="23916"/>
  <c r="DQ728" i="23916"/>
  <c r="DR312" i="23916"/>
  <c r="X427" i="23916"/>
  <c r="EV272" i="23916"/>
  <c r="CU315" i="23916"/>
  <c r="CV309" i="23916"/>
  <c r="CU311" i="23916"/>
  <c r="GF728" i="23916"/>
  <c r="GG312" i="23916"/>
  <c r="BW397" i="23916"/>
  <c r="BX396" i="23916"/>
  <c r="AQ434" i="23916"/>
  <c r="AR434" i="23916" s="1"/>
  <c r="AQ430" i="23916"/>
  <c r="AR428" i="23916"/>
  <c r="BW434" i="23916"/>
  <c r="BX434" i="23916" s="1"/>
  <c r="BW430" i="23916"/>
  <c r="BX428" i="23916"/>
  <c r="EA728" i="23916"/>
  <c r="EB312" i="23916"/>
  <c r="BB339" i="23916"/>
  <c r="BV400" i="23916"/>
  <c r="BV393" i="23916"/>
  <c r="AW529" i="23916"/>
  <c r="AW431" i="23916"/>
  <c r="AX431" i="23916" s="1"/>
  <c r="AX430" i="23916"/>
  <c r="AJ301" i="23916"/>
  <c r="FT339" i="23916"/>
  <c r="FT340" i="23916"/>
  <c r="T427" i="23916"/>
  <c r="Z427" i="23916"/>
  <c r="BI754" i="23916"/>
  <c r="L466" i="23916"/>
  <c r="DU484" i="23916"/>
  <c r="DV484" i="23916" s="1"/>
  <c r="DU488" i="23916"/>
  <c r="DV482" i="23916"/>
  <c r="DU485" i="23916"/>
  <c r="AV509" i="23916"/>
  <c r="EF482" i="23916"/>
  <c r="EE485" i="23916"/>
  <c r="EE484" i="23916"/>
  <c r="EF484" i="23916" s="1"/>
  <c r="EE488" i="23916"/>
  <c r="ER473" i="23916"/>
  <c r="EQ482" i="23916"/>
  <c r="GS477" i="23916"/>
  <c r="GT477" i="23916"/>
  <c r="FB747" i="23916"/>
  <c r="FB614" i="23916"/>
  <c r="C669" i="23916"/>
  <c r="C668" i="23916"/>
  <c r="C617" i="23916"/>
  <c r="FF617" i="23916" s="1"/>
  <c r="FG617" i="23916" s="1"/>
  <c r="AA566" i="23916"/>
  <c r="AB553" i="23916"/>
  <c r="E620" i="23916"/>
  <c r="E618" i="23916"/>
  <c r="E589" i="23916"/>
  <c r="M618" i="23916"/>
  <c r="M620" i="23916"/>
  <c r="N620" i="23916" s="1"/>
  <c r="N614" i="23916"/>
  <c r="M589" i="23916"/>
  <c r="N589" i="23916" s="1"/>
  <c r="GA554" i="23916"/>
  <c r="EW599" i="23916"/>
  <c r="FM590" i="23916"/>
  <c r="FM650" i="23916"/>
  <c r="GK649" i="23916"/>
  <c r="GJ650" i="23916"/>
  <c r="GM649" i="23916"/>
  <c r="DR650" i="23916"/>
  <c r="DW682" i="23916"/>
  <c r="DW663" i="23916"/>
  <c r="DF694" i="23916"/>
  <c r="CG682" i="23916"/>
  <c r="CH682" i="23916" s="1"/>
  <c r="CG681" i="23916"/>
  <c r="CH681" i="23916" s="1"/>
  <c r="CH660" i="23916"/>
  <c r="CG663" i="23916"/>
  <c r="CH663" i="23916" s="1"/>
  <c r="CH675" i="23916"/>
  <c r="CH679" i="23916"/>
  <c r="DM678" i="23916"/>
  <c r="DN678" i="23916" s="1"/>
  <c r="GM240" i="23916"/>
  <c r="FS241" i="23916"/>
  <c r="FR263" i="23916"/>
  <c r="GB751" i="23916"/>
  <c r="FI674" i="23916"/>
  <c r="GF751" i="23916"/>
  <c r="ES303" i="23916"/>
  <c r="ET303" i="23916" s="1"/>
  <c r="ET293" i="23916"/>
  <c r="FJ620" i="23916" l="1"/>
  <c r="FJ618" i="23916"/>
  <c r="FJ589" i="23916"/>
  <c r="CT35" i="23916"/>
  <c r="CS92" i="23916"/>
  <c r="FM614" i="23916"/>
  <c r="FL618" i="23916"/>
  <c r="FM618" i="23916" s="1"/>
  <c r="FL620" i="23916"/>
  <c r="FM620" i="23916" s="1"/>
  <c r="FL589" i="23916"/>
  <c r="FM589" i="23916" s="1"/>
  <c r="GD266" i="23916"/>
  <c r="GE265" i="23916"/>
  <c r="FR264" i="23916"/>
  <c r="N618" i="23916"/>
  <c r="DU731" i="23916"/>
  <c r="DV488" i="23916"/>
  <c r="BX397" i="23916"/>
  <c r="GF119" i="23916"/>
  <c r="GG113" i="23916"/>
  <c r="GF116" i="23916"/>
  <c r="GF115" i="23916"/>
  <c r="GG115" i="23916" s="1"/>
  <c r="FW495" i="23916"/>
  <c r="FV745" i="23916"/>
  <c r="FV497" i="23916"/>
  <c r="BP518" i="23916"/>
  <c r="CA183" i="23916"/>
  <c r="CB177" i="23916"/>
  <c r="CA179" i="23916"/>
  <c r="CA184" i="23916"/>
  <c r="BU519" i="23916"/>
  <c r="BV179" i="23916"/>
  <c r="EO727" i="23916"/>
  <c r="EP180" i="23916"/>
  <c r="DO725" i="23916"/>
  <c r="DP276" i="23916"/>
  <c r="GQ628" i="23916"/>
  <c r="GR628" i="23916"/>
  <c r="CG487" i="23916"/>
  <c r="CH485" i="23916"/>
  <c r="BP485" i="23916"/>
  <c r="BO487" i="23916"/>
  <c r="BX509" i="23916"/>
  <c r="BP509" i="23916"/>
  <c r="DQ731" i="23916"/>
  <c r="DR488" i="23916"/>
  <c r="CC728" i="23916"/>
  <c r="CD312" i="23916"/>
  <c r="CY266" i="23916"/>
  <c r="CZ266" i="23916" s="1"/>
  <c r="CZ265" i="23916"/>
  <c r="CK725" i="23916"/>
  <c r="CL276" i="23916"/>
  <c r="BU264" i="23916"/>
  <c r="BV263" i="23916"/>
  <c r="GC150" i="23916"/>
  <c r="GB171" i="23916"/>
  <c r="GC171" i="23916" s="1"/>
  <c r="CY725" i="23916"/>
  <c r="CZ276" i="23916"/>
  <c r="FL635" i="23916"/>
  <c r="FM634" i="23916"/>
  <c r="FL679" i="23916"/>
  <c r="FO634" i="23916"/>
  <c r="ET590" i="23916"/>
  <c r="FN747" i="23916"/>
  <c r="FO541" i="23916"/>
  <c r="FJ747" i="23916"/>
  <c r="FK541" i="23916"/>
  <c r="CC731" i="23916"/>
  <c r="CD488" i="23916"/>
  <c r="DS731" i="23916"/>
  <c r="DT488" i="23916"/>
  <c r="GP472" i="23916"/>
  <c r="BH485" i="23916"/>
  <c r="BG487" i="23916"/>
  <c r="BH509" i="23916"/>
  <c r="BK531" i="23916"/>
  <c r="EC731" i="23916"/>
  <c r="ED488" i="23916"/>
  <c r="AZ531" i="23916"/>
  <c r="AU348" i="23916"/>
  <c r="AU352" i="23916"/>
  <c r="AV352" i="23916" s="1"/>
  <c r="AV346" i="23916"/>
  <c r="AT396" i="23916"/>
  <c r="AS397" i="23916"/>
  <c r="AT397" i="23916" s="1"/>
  <c r="CA728" i="23916"/>
  <c r="CB312" i="23916"/>
  <c r="CJ312" i="23916"/>
  <c r="CK184" i="23916"/>
  <c r="CK179" i="23916"/>
  <c r="CL177" i="23916"/>
  <c r="CK183" i="23916"/>
  <c r="BY184" i="23916"/>
  <c r="BZ177" i="23916"/>
  <c r="BY179" i="23916"/>
  <c r="BY183" i="23916"/>
  <c r="CE753" i="23916"/>
  <c r="CE754" i="23916" s="1"/>
  <c r="CF497" i="23916"/>
  <c r="CN484" i="23916"/>
  <c r="EW505" i="23916"/>
  <c r="EX505" i="23916" s="1"/>
  <c r="EX476" i="23916"/>
  <c r="GR476" i="23916"/>
  <c r="EW480" i="23916"/>
  <c r="EX480" i="23916" s="1"/>
  <c r="CE731" i="23916"/>
  <c r="CF488" i="23916"/>
  <c r="BD509" i="23916"/>
  <c r="FS425" i="23916"/>
  <c r="FR427" i="23916"/>
  <c r="FS427" i="23916" s="1"/>
  <c r="FR428" i="23916"/>
  <c r="AT529" i="23916"/>
  <c r="BY728" i="23916"/>
  <c r="BZ312" i="23916"/>
  <c r="DD315" i="23916"/>
  <c r="BD312" i="23916"/>
  <c r="BL312" i="23916"/>
  <c r="CS725" i="23916"/>
  <c r="CT276" i="23916"/>
  <c r="CC266" i="23916"/>
  <c r="CD266" i="23916" s="1"/>
  <c r="CD265" i="23916"/>
  <c r="FT728" i="23916"/>
  <c r="FU312" i="23916"/>
  <c r="BI232" i="23916"/>
  <c r="GD273" i="23916"/>
  <c r="GD276" i="23916"/>
  <c r="GD272" i="23916"/>
  <c r="DS523" i="23916"/>
  <c r="DT275" i="23916"/>
  <c r="CW727" i="23916"/>
  <c r="CX180" i="23916"/>
  <c r="GF171" i="23916"/>
  <c r="GG166" i="23916"/>
  <c r="V620" i="23916"/>
  <c r="BY731" i="23916"/>
  <c r="BZ488" i="23916"/>
  <c r="DE524" i="23916"/>
  <c r="DF311" i="23916"/>
  <c r="DY725" i="23916"/>
  <c r="DZ276" i="23916"/>
  <c r="BP264" i="23916"/>
  <c r="M669" i="23916"/>
  <c r="N669" i="23916" s="1"/>
  <c r="M668" i="23916"/>
  <c r="N668" i="23916" s="1"/>
  <c r="M617" i="23916"/>
  <c r="N617" i="23916" s="1"/>
  <c r="N566" i="23916"/>
  <c r="GD484" i="23916"/>
  <c r="GD488" i="23916"/>
  <c r="GE482" i="23916"/>
  <c r="GD485" i="23916"/>
  <c r="CA531" i="23916"/>
  <c r="CB487" i="23916"/>
  <c r="FI422" i="23916"/>
  <c r="AZ434" i="23916"/>
  <c r="GE301" i="23916"/>
  <c r="GG301" i="23916"/>
  <c r="GG241" i="23916"/>
  <c r="GF263" i="23916"/>
  <c r="FX270" i="23916"/>
  <c r="FZ753" i="23916"/>
  <c r="FZ754" i="23916" s="1"/>
  <c r="GA497" i="23916"/>
  <c r="DE727" i="23916"/>
  <c r="DF180" i="23916"/>
  <c r="GI168" i="23916"/>
  <c r="GH174" i="23916"/>
  <c r="BI732" i="23916"/>
  <c r="BI726" i="23916"/>
  <c r="BJ119" i="23916"/>
  <c r="EC726" i="23916"/>
  <c r="ED119" i="23916"/>
  <c r="GP36" i="23916"/>
  <c r="EX36" i="23916"/>
  <c r="EW75" i="23916"/>
  <c r="EX75" i="23916" s="1"/>
  <c r="CQ727" i="23916"/>
  <c r="CQ732" i="23916" s="1"/>
  <c r="CR180" i="23916"/>
  <c r="DG180" i="23916"/>
  <c r="DG177" i="23916"/>
  <c r="DH174" i="23916"/>
  <c r="DG176" i="23916"/>
  <c r="EM518" i="23916"/>
  <c r="EN118" i="23916"/>
  <c r="FN620" i="23916"/>
  <c r="FO620" i="23916" s="1"/>
  <c r="FN618" i="23916"/>
  <c r="FO618" i="23916" s="1"/>
  <c r="FO614" i="23916"/>
  <c r="FN589" i="23916"/>
  <c r="FO589" i="23916" s="1"/>
  <c r="CO524" i="23916"/>
  <c r="CP311" i="23916"/>
  <c r="CK266" i="23916"/>
  <c r="CL266" i="23916" s="1"/>
  <c r="CL265" i="23916"/>
  <c r="FT753" i="23916"/>
  <c r="FT754" i="23916" s="1"/>
  <c r="FU497" i="23916"/>
  <c r="DK523" i="23916"/>
  <c r="DL275" i="23916"/>
  <c r="CG184" i="23916"/>
  <c r="CH177" i="23916"/>
  <c r="CG179" i="23916"/>
  <c r="CG183" i="23916"/>
  <c r="BD518" i="23916"/>
  <c r="GH122" i="23916"/>
  <c r="GI116" i="23916"/>
  <c r="GH118" i="23916"/>
  <c r="BY397" i="23916"/>
  <c r="BR115" i="23916"/>
  <c r="GM679" i="23916"/>
  <c r="DP663" i="23916"/>
  <c r="EJ663" i="23916"/>
  <c r="AK566" i="23916"/>
  <c r="AL553" i="23916"/>
  <c r="DM728" i="23916"/>
  <c r="DN312" i="23916"/>
  <c r="GT286" i="23916"/>
  <c r="GS286" i="23916"/>
  <c r="EH272" i="23916"/>
  <c r="DN263" i="23916"/>
  <c r="DM264" i="23916"/>
  <c r="BQ725" i="23916"/>
  <c r="BR276" i="23916"/>
  <c r="BL265" i="23916"/>
  <c r="GJ751" i="23916"/>
  <c r="AQ118" i="23916"/>
  <c r="AR116" i="23916"/>
  <c r="AQ122" i="23916"/>
  <c r="AZ116" i="23916"/>
  <c r="FT37" i="23916"/>
  <c r="FU37" i="23916" s="1"/>
  <c r="FV28" i="23916"/>
  <c r="FU34" i="23916"/>
  <c r="FT35" i="23916"/>
  <c r="FU35" i="23916" s="1"/>
  <c r="CJ176" i="23916"/>
  <c r="CR518" i="23916"/>
  <c r="DS180" i="23916"/>
  <c r="DT174" i="23916"/>
  <c r="DS177" i="23916"/>
  <c r="DS176" i="23916"/>
  <c r="DE726" i="23916"/>
  <c r="DF119" i="23916"/>
  <c r="CJ263" i="23916"/>
  <c r="CI264" i="23916"/>
  <c r="CR263" i="23916"/>
  <c r="GN273" i="23916"/>
  <c r="GN276" i="23916"/>
  <c r="GN272" i="23916"/>
  <c r="T589" i="23916"/>
  <c r="BA509" i="23916"/>
  <c r="BA484" i="23916"/>
  <c r="BB484" i="23916" s="1"/>
  <c r="BA488" i="23916"/>
  <c r="BB488" i="23916" s="1"/>
  <c r="BB482" i="23916"/>
  <c r="BA485" i="23916"/>
  <c r="BF431" i="23916"/>
  <c r="BX264" i="23916"/>
  <c r="BR394" i="23916"/>
  <c r="BQ396" i="23916"/>
  <c r="BQ401" i="23916"/>
  <c r="BR401" i="23916" s="1"/>
  <c r="CS728" i="23916"/>
  <c r="CT312" i="23916"/>
  <c r="FQ270" i="23916"/>
  <c r="FP273" i="23916"/>
  <c r="FP276" i="23916"/>
  <c r="FP272" i="23916"/>
  <c r="FQ272" i="23916" s="1"/>
  <c r="DJ273" i="23916"/>
  <c r="DI279" i="23916"/>
  <c r="DI275" i="23916"/>
  <c r="DI8" i="23916"/>
  <c r="FP232" i="23916"/>
  <c r="FQ230" i="23916"/>
  <c r="GE110" i="23916"/>
  <c r="CQ73" i="23916"/>
  <c r="CR68" i="23916"/>
  <c r="DV678" i="23916"/>
  <c r="AH589" i="23916"/>
  <c r="EN484" i="23916"/>
  <c r="EV484" i="23916"/>
  <c r="CV484" i="23916"/>
  <c r="AR531" i="23916"/>
  <c r="T311" i="23916"/>
  <c r="EE524" i="23916"/>
  <c r="EF311" i="23916"/>
  <c r="CG725" i="23916"/>
  <c r="CH276" i="23916"/>
  <c r="FZ273" i="23916"/>
  <c r="FZ276" i="23916"/>
  <c r="GA270" i="23916"/>
  <c r="FZ272" i="23916"/>
  <c r="EJ518" i="23916"/>
  <c r="EK279" i="23916"/>
  <c r="EL273" i="23916"/>
  <c r="EK275" i="23916"/>
  <c r="EK8" i="23916"/>
  <c r="CE523" i="23916"/>
  <c r="CF275" i="23916"/>
  <c r="GH264" i="23916"/>
  <c r="GI263" i="23916"/>
  <c r="R617" i="23916"/>
  <c r="CL485" i="23916"/>
  <c r="CK487" i="23916"/>
  <c r="DK487" i="23916"/>
  <c r="DL485" i="23916"/>
  <c r="DK9" i="23916"/>
  <c r="BX484" i="23916"/>
  <c r="AZ397" i="23916"/>
  <c r="AJ315" i="23916"/>
  <c r="U430" i="23916"/>
  <c r="U434" i="23916"/>
  <c r="V428" i="23916"/>
  <c r="GO260" i="23916"/>
  <c r="CO279" i="23916"/>
  <c r="CO275" i="23916"/>
  <c r="CP273" i="23916"/>
  <c r="CO8" i="23916"/>
  <c r="CP8" i="23916" s="1"/>
  <c r="BZ273" i="23916"/>
  <c r="BY279" i="23916"/>
  <c r="BY275" i="23916"/>
  <c r="BJ273" i="23916"/>
  <c r="BI280" i="23916"/>
  <c r="BI279" i="23916"/>
  <c r="BI275" i="23916"/>
  <c r="FP497" i="23916"/>
  <c r="GA110" i="23916"/>
  <c r="BC519" i="23916"/>
  <c r="BD179" i="23916"/>
  <c r="CE183" i="23916"/>
  <c r="CE179" i="23916"/>
  <c r="CE184" i="23916"/>
  <c r="CF177" i="23916"/>
  <c r="FR753" i="23916"/>
  <c r="FR754" i="23916" s="1"/>
  <c r="FS497" i="23916"/>
  <c r="BK725" i="23916"/>
  <c r="BL276" i="23916"/>
  <c r="DZ177" i="23916"/>
  <c r="DY183" i="23916"/>
  <c r="DY179" i="23916"/>
  <c r="EE180" i="23916"/>
  <c r="EE177" i="23916"/>
  <c r="EE176" i="23916"/>
  <c r="EF176" i="23916" s="1"/>
  <c r="EF174" i="23916"/>
  <c r="EC727" i="23916"/>
  <c r="ED180" i="23916"/>
  <c r="EG731" i="23916"/>
  <c r="EH488" i="23916"/>
  <c r="DV308" i="23916"/>
  <c r="CE524" i="23916"/>
  <c r="CF311" i="23916"/>
  <c r="BN431" i="23916"/>
  <c r="BP397" i="23916"/>
  <c r="DT266" i="23916"/>
  <c r="FW71" i="23916"/>
  <c r="EC774" i="23916"/>
  <c r="ED265" i="23916"/>
  <c r="EC266" i="23916"/>
  <c r="ED266" i="23916" s="1"/>
  <c r="BB115" i="23916"/>
  <c r="EO731" i="23916"/>
  <c r="EP488" i="23916"/>
  <c r="FR176" i="23916"/>
  <c r="FS176" i="23916" s="1"/>
  <c r="FS174" i="23916"/>
  <c r="FR180" i="23916"/>
  <c r="FR177" i="23916"/>
  <c r="GP165" i="23916"/>
  <c r="GL264" i="23916"/>
  <c r="AB618" i="23916"/>
  <c r="BE487" i="23916"/>
  <c r="BF485" i="23916"/>
  <c r="BF509" i="23916"/>
  <c r="EK487" i="23916"/>
  <c r="EL485" i="23916"/>
  <c r="EK9" i="23916"/>
  <c r="BF401" i="23916"/>
  <c r="CX315" i="23916"/>
  <c r="DR315" i="23916"/>
  <c r="AV315" i="23916"/>
  <c r="FS265" i="23916"/>
  <c r="BG524" i="23916"/>
  <c r="BH311" i="23916"/>
  <c r="CQ315" i="23916"/>
  <c r="CQ311" i="23916"/>
  <c r="CR309" i="23916"/>
  <c r="CZ309" i="23916"/>
  <c r="GG109" i="23916"/>
  <c r="FZ745" i="23916"/>
  <c r="EI176" i="23916"/>
  <c r="EI180" i="23916"/>
  <c r="EJ174" i="23916"/>
  <c r="EI177" i="23916"/>
  <c r="CL116" i="23916"/>
  <c r="CK122" i="23916"/>
  <c r="CK118" i="23916"/>
  <c r="DK180" i="23916"/>
  <c r="DL174" i="23916"/>
  <c r="DK177" i="23916"/>
  <c r="DK176" i="23916"/>
  <c r="EK7" i="23916"/>
  <c r="EL116" i="23916"/>
  <c r="EK122" i="23916"/>
  <c r="EK118" i="23916"/>
  <c r="BC275" i="23916"/>
  <c r="BC279" i="23916"/>
  <c r="BD273" i="23916"/>
  <c r="EO726" i="23916"/>
  <c r="EP119" i="23916"/>
  <c r="DI726" i="23916"/>
  <c r="DJ119" i="23916"/>
  <c r="ED682" i="23916"/>
  <c r="FS675" i="23916"/>
  <c r="GW647" i="23916"/>
  <c r="GX647" i="23916"/>
  <c r="BQ487" i="23916"/>
  <c r="BR485" i="23916"/>
  <c r="DC731" i="23916"/>
  <c r="DD488" i="23916"/>
  <c r="BD339" i="23916"/>
  <c r="FT402" i="23916"/>
  <c r="FT400" i="23916"/>
  <c r="FU391" i="23916"/>
  <c r="FT394" i="23916"/>
  <c r="FT393" i="23916"/>
  <c r="DA531" i="23916"/>
  <c r="DB487" i="23916"/>
  <c r="BF352" i="23916"/>
  <c r="AW525" i="23916"/>
  <c r="AW349" i="23916"/>
  <c r="AX349" i="23916" s="1"/>
  <c r="AX348" i="23916"/>
  <c r="EO725" i="23916"/>
  <c r="EO732" i="23916" s="1"/>
  <c r="EP276" i="23916"/>
  <c r="DR263" i="23916"/>
  <c r="DQ264" i="23916"/>
  <c r="BU279" i="23916"/>
  <c r="BV273" i="23916"/>
  <c r="BU275" i="23916"/>
  <c r="EX115" i="23916"/>
  <c r="BR176" i="23916"/>
  <c r="DQ726" i="23916"/>
  <c r="DR119" i="23916"/>
  <c r="BB678" i="23916"/>
  <c r="CP682" i="23916"/>
  <c r="BJ678" i="23916"/>
  <c r="AP553" i="23916"/>
  <c r="AO566" i="23916"/>
  <c r="FJ669" i="23916"/>
  <c r="FK669" i="23916" s="1"/>
  <c r="FJ668" i="23916"/>
  <c r="FK668" i="23916" s="1"/>
  <c r="FK566" i="23916"/>
  <c r="BL488" i="23916"/>
  <c r="FN427" i="23916"/>
  <c r="FO427" i="23916" s="1"/>
  <c r="FN428" i="23916"/>
  <c r="FO425" i="23916"/>
  <c r="BE530" i="23916"/>
  <c r="BF530" i="23916" s="1"/>
  <c r="BE462" i="23916"/>
  <c r="BF462" i="23916" s="1"/>
  <c r="BF461" i="23916"/>
  <c r="AV434" i="23916"/>
  <c r="AF434" i="23916"/>
  <c r="BA524" i="23916"/>
  <c r="BB311" i="23916"/>
  <c r="FT381" i="23916"/>
  <c r="FT371" i="23916"/>
  <c r="FT379" i="23916"/>
  <c r="FH428" i="23916"/>
  <c r="FI425" i="23916"/>
  <c r="FH427" i="23916"/>
  <c r="AT363" i="23916"/>
  <c r="AS368" i="23916"/>
  <c r="AT368" i="23916" s="1"/>
  <c r="AS364" i="23916"/>
  <c r="AU357" i="23916"/>
  <c r="GE260" i="23916"/>
  <c r="BS728" i="23916"/>
  <c r="BT312" i="23916"/>
  <c r="CI519" i="23916"/>
  <c r="CJ179" i="23916"/>
  <c r="FR116" i="23916"/>
  <c r="FS113" i="23916"/>
  <c r="FR119" i="23916"/>
  <c r="FR115" i="23916"/>
  <c r="FS115" i="23916" s="1"/>
  <c r="CT176" i="23916"/>
  <c r="EM523" i="23916"/>
  <c r="EN275" i="23916"/>
  <c r="CM519" i="23916"/>
  <c r="CN179" i="23916"/>
  <c r="CW726" i="23916"/>
  <c r="CX119" i="23916"/>
  <c r="CJ272" i="23916"/>
  <c r="DP171" i="23916"/>
  <c r="BE519" i="23916"/>
  <c r="BF179" i="23916"/>
  <c r="DZ115" i="23916"/>
  <c r="CT116" i="23916"/>
  <c r="CS122" i="23916"/>
  <c r="CS7" i="23916"/>
  <c r="CS118" i="23916"/>
  <c r="GC87" i="23916"/>
  <c r="GB109" i="23916"/>
  <c r="GC109" i="23916" s="1"/>
  <c r="GF682" i="23916"/>
  <c r="GG660" i="23916"/>
  <c r="GM673" i="23916"/>
  <c r="EH663" i="23916"/>
  <c r="GD682" i="23916"/>
  <c r="GE682" i="23916" s="1"/>
  <c r="GE660" i="23916"/>
  <c r="AN666" i="23916"/>
  <c r="EI731" i="23916"/>
  <c r="EJ488" i="23916"/>
  <c r="GI308" i="23916"/>
  <c r="GK308" i="23916"/>
  <c r="FQ427" i="23916"/>
  <c r="BU728" i="23916"/>
  <c r="BV312" i="23916"/>
  <c r="FU422" i="23916"/>
  <c r="BO315" i="23916"/>
  <c r="BP315" i="23916" s="1"/>
  <c r="BP309" i="23916"/>
  <c r="BO311" i="23916"/>
  <c r="FG301" i="23916"/>
  <c r="EL308" i="23916"/>
  <c r="ET308" i="23916"/>
  <c r="DY770" i="23916"/>
  <c r="DZ263" i="23916"/>
  <c r="DY264" i="23916"/>
  <c r="DZ264" i="23916" s="1"/>
  <c r="CC279" i="23916"/>
  <c r="CD279" i="23916" s="1"/>
  <c r="CD273" i="23916"/>
  <c r="CC275" i="23916"/>
  <c r="BK197" i="23916"/>
  <c r="BK200" i="23916" s="1"/>
  <c r="BM189" i="23916"/>
  <c r="BK228" i="23916"/>
  <c r="EW495" i="23916"/>
  <c r="EX495" i="23916" s="1"/>
  <c r="EX148" i="23916"/>
  <c r="CV518" i="23916"/>
  <c r="BG183" i="23916"/>
  <c r="BG179" i="23916"/>
  <c r="BG184" i="23916"/>
  <c r="BH177" i="23916"/>
  <c r="BA519" i="23916"/>
  <c r="BB179" i="23916"/>
  <c r="BZ115" i="23916"/>
  <c r="DN115" i="23916"/>
  <c r="EG726" i="23916"/>
  <c r="EH119" i="23916"/>
  <c r="DA726" i="23916"/>
  <c r="DB119" i="23916"/>
  <c r="DF682" i="23916"/>
  <c r="FS672" i="23916"/>
  <c r="FS388" i="23916"/>
  <c r="FX312" i="23916"/>
  <c r="FY306" i="23916"/>
  <c r="FX309" i="23916"/>
  <c r="FX308" i="23916"/>
  <c r="GJ171" i="23916"/>
  <c r="GK166" i="23916"/>
  <c r="DA727" i="23916"/>
  <c r="DB180" i="23916"/>
  <c r="GM109" i="23916"/>
  <c r="FP731" i="23916"/>
  <c r="FQ488" i="23916"/>
  <c r="BA525" i="23916"/>
  <c r="BA349" i="23916"/>
  <c r="BB348" i="23916"/>
  <c r="EG315" i="23916"/>
  <c r="EH315" i="23916" s="1"/>
  <c r="EH309" i="23916"/>
  <c r="EG311" i="23916"/>
  <c r="AL427" i="23916"/>
  <c r="AT427" i="23916"/>
  <c r="X311" i="23916"/>
  <c r="CB265" i="23916"/>
  <c r="CJ266" i="23916"/>
  <c r="EU303" i="23916"/>
  <c r="EV303" i="23916" s="1"/>
  <c r="EV293" i="23916"/>
  <c r="BR265" i="23916"/>
  <c r="AA669" i="23916"/>
  <c r="AA668" i="23916"/>
  <c r="AA617" i="23916"/>
  <c r="AB566" i="23916"/>
  <c r="AA607" i="23916"/>
  <c r="FB620" i="23916"/>
  <c r="FB618" i="23916"/>
  <c r="FB589" i="23916"/>
  <c r="EQ483" i="23916"/>
  <c r="EQ485" i="23916" s="1"/>
  <c r="EQ488" i="23916"/>
  <c r="ER482" i="23916"/>
  <c r="EF485" i="23916"/>
  <c r="EE487" i="23916"/>
  <c r="EE9" i="23916"/>
  <c r="EF9" i="23916" s="1"/>
  <c r="AQ529" i="23916"/>
  <c r="AR430" i="23916"/>
  <c r="AQ431" i="23916"/>
  <c r="CV315" i="23916"/>
  <c r="GN171" i="23916"/>
  <c r="GO166" i="23916"/>
  <c r="BL263" i="23916"/>
  <c r="BK264" i="23916"/>
  <c r="BL264" i="23916" s="1"/>
  <c r="CA727" i="23916"/>
  <c r="CB180" i="23916"/>
  <c r="CA732" i="23916"/>
  <c r="EO183" i="23916"/>
  <c r="EO179" i="23916"/>
  <c r="EP177" i="23916"/>
  <c r="CA725" i="23916"/>
  <c r="CB276" i="23916"/>
  <c r="DO275" i="23916"/>
  <c r="DP273" i="23916"/>
  <c r="DO279" i="23916"/>
  <c r="DO8" i="23916"/>
  <c r="CM315" i="23916"/>
  <c r="CN315" i="23916" s="1"/>
  <c r="CM311" i="23916"/>
  <c r="CN309" i="23916"/>
  <c r="AW519" i="23916"/>
  <c r="AX179" i="23916"/>
  <c r="GN682" i="23916"/>
  <c r="GO682" i="23916" s="1"/>
  <c r="GO660" i="23916"/>
  <c r="EA731" i="23916"/>
  <c r="EB488" i="23916"/>
  <c r="FZ311" i="23916"/>
  <c r="FZ315" i="23916"/>
  <c r="GA309" i="23916"/>
  <c r="FK427" i="23916"/>
  <c r="FR339" i="23916"/>
  <c r="FR340" i="23916"/>
  <c r="CC315" i="23916"/>
  <c r="CD309" i="23916"/>
  <c r="CC311" i="23916"/>
  <c r="EO770" i="23916"/>
  <c r="EP263" i="23916"/>
  <c r="EO264" i="23916"/>
  <c r="CK279" i="23916"/>
  <c r="CL279" i="23916" s="1"/>
  <c r="CL273" i="23916"/>
  <c r="CK275" i="23916"/>
  <c r="GL266" i="23916"/>
  <c r="GB180" i="23916"/>
  <c r="GB177" i="23916"/>
  <c r="GC174" i="23916"/>
  <c r="GB176" i="23916"/>
  <c r="AQ523" i="23916"/>
  <c r="AR275" i="23916"/>
  <c r="BW183" i="23916"/>
  <c r="BW179" i="23916"/>
  <c r="BW184" i="23916"/>
  <c r="BX177" i="23916"/>
  <c r="DP518" i="23916"/>
  <c r="FO666" i="23916"/>
  <c r="ED484" i="23916"/>
  <c r="FF427" i="23916"/>
  <c r="FG427" i="23916" s="1"/>
  <c r="FG425" i="23916"/>
  <c r="FF428" i="23916"/>
  <c r="EQ307" i="23916"/>
  <c r="EQ312" i="23916"/>
  <c r="ER306" i="23916"/>
  <c r="CX263" i="23916"/>
  <c r="CW264" i="23916"/>
  <c r="GF753" i="23916"/>
  <c r="GF754" i="23916" s="1"/>
  <c r="GG497" i="23916"/>
  <c r="DH524" i="23916"/>
  <c r="CK727" i="23916"/>
  <c r="CL180" i="23916"/>
  <c r="BY727" i="23916"/>
  <c r="BZ180" i="23916"/>
  <c r="EA180" i="23916"/>
  <c r="EA177" i="23916"/>
  <c r="EB174" i="23916"/>
  <c r="EA176" i="23916"/>
  <c r="EB176" i="23916" s="1"/>
  <c r="AU519" i="23916"/>
  <c r="AV179" i="23916"/>
  <c r="EG183" i="23916"/>
  <c r="EH183" i="23916" s="1"/>
  <c r="EG179" i="23916"/>
  <c r="EH177" i="23916"/>
  <c r="BM79" i="23916"/>
  <c r="BN79" i="23916" s="1"/>
  <c r="BN73" i="23916"/>
  <c r="BM76" i="23916"/>
  <c r="BN76" i="23916" s="1"/>
  <c r="BM74" i="23916"/>
  <c r="GB682" i="23916"/>
  <c r="GC682" i="23916" s="1"/>
  <c r="GC660" i="23916"/>
  <c r="DY487" i="23916"/>
  <c r="DZ485" i="23916"/>
  <c r="DY9" i="23916"/>
  <c r="BI525" i="23916"/>
  <c r="BI349" i="23916"/>
  <c r="BI357" i="23916"/>
  <c r="BC315" i="23916"/>
  <c r="BC311" i="23916"/>
  <c r="BD309" i="23916"/>
  <c r="BL309" i="23916"/>
  <c r="EN266" i="23916"/>
  <c r="CT272" i="23916"/>
  <c r="GJ726" i="23916"/>
  <c r="GK119" i="23916"/>
  <c r="FS199" i="23916"/>
  <c r="FU199" i="23916"/>
  <c r="FR204" i="23916"/>
  <c r="BI184" i="23916"/>
  <c r="BJ177" i="23916"/>
  <c r="BI179" i="23916"/>
  <c r="BI183" i="23916"/>
  <c r="GZ33" i="23916"/>
  <c r="GY33" i="23916"/>
  <c r="EU720" i="23916"/>
  <c r="EV609" i="23916"/>
  <c r="Y669" i="23916"/>
  <c r="Z669" i="23916" s="1"/>
  <c r="Y668" i="23916"/>
  <c r="Z668" i="23916" s="1"/>
  <c r="Y617" i="23916"/>
  <c r="Z617" i="23916" s="1"/>
  <c r="Z566" i="23916"/>
  <c r="Y607" i="23916"/>
  <c r="AW531" i="23916"/>
  <c r="AX487" i="23916"/>
  <c r="GM168" i="23916"/>
  <c r="GL174" i="23916"/>
  <c r="DD171" i="23916"/>
  <c r="EU554" i="23916"/>
  <c r="ET554" i="23916"/>
  <c r="ES546" i="23916"/>
  <c r="V618" i="23916"/>
  <c r="DP485" i="23916"/>
  <c r="DO487" i="23916"/>
  <c r="DO9" i="23916"/>
  <c r="CS531" i="23916"/>
  <c r="CT487" i="23916"/>
  <c r="DY279" i="23916"/>
  <c r="DY275" i="23916"/>
  <c r="DZ273" i="23916"/>
  <c r="DY8" i="23916"/>
  <c r="BV485" i="23916"/>
  <c r="BU487" i="23916"/>
  <c r="BH397" i="23916"/>
  <c r="CV308" i="23916"/>
  <c r="GI260" i="23916"/>
  <c r="GH270" i="23916"/>
  <c r="FZ266" i="23916"/>
  <c r="GA265" i="23916"/>
  <c r="GK241" i="23916"/>
  <c r="GJ263" i="23916"/>
  <c r="GM263" i="23916" s="1"/>
  <c r="GB270" i="23916"/>
  <c r="FU241" i="23916"/>
  <c r="FT263" i="23916"/>
  <c r="FX753" i="23916"/>
  <c r="FX754" i="23916" s="1"/>
  <c r="FY497" i="23916"/>
  <c r="DF176" i="23916"/>
  <c r="AU204" i="23916"/>
  <c r="AV199" i="23916"/>
  <c r="AU247" i="23916"/>
  <c r="AV247" i="23916" s="1"/>
  <c r="AU246" i="23916"/>
  <c r="EC7" i="23916"/>
  <c r="EC118" i="23916"/>
  <c r="EC122" i="23916"/>
  <c r="ED116" i="23916"/>
  <c r="EX103" i="23916"/>
  <c r="GP103" i="23916"/>
  <c r="AH668" i="23916"/>
  <c r="FT485" i="23916"/>
  <c r="FT484" i="23916"/>
  <c r="FT488" i="23916"/>
  <c r="FU482" i="23916"/>
  <c r="FT509" i="23916"/>
  <c r="DU524" i="23916"/>
  <c r="GJ265" i="23916"/>
  <c r="GM265" i="23916" s="1"/>
  <c r="DB272" i="23916"/>
  <c r="DN265" i="23916"/>
  <c r="DM266" i="23916"/>
  <c r="DN266" i="23916" s="1"/>
  <c r="EI523" i="23916"/>
  <c r="EJ275" i="23916"/>
  <c r="CG727" i="23916"/>
  <c r="CH180" i="23916"/>
  <c r="FU150" i="23916"/>
  <c r="FT171" i="23916"/>
  <c r="FU171" i="23916" s="1"/>
  <c r="GI115" i="23916"/>
  <c r="GD122" i="23916"/>
  <c r="GD118" i="23916"/>
  <c r="EC725" i="23916"/>
  <c r="ED276" i="23916"/>
  <c r="BM208" i="23916"/>
  <c r="BK229" i="23916"/>
  <c r="BK216" i="23916"/>
  <c r="EC315" i="23916"/>
  <c r="ED315" i="23916" s="1"/>
  <c r="EC311" i="23916"/>
  <c r="ED309" i="23916"/>
  <c r="EU635" i="23916"/>
  <c r="EV635" i="23916" s="1"/>
  <c r="EV634" i="23916"/>
  <c r="GT627" i="23916"/>
  <c r="GS627" i="23916"/>
  <c r="K669" i="23916"/>
  <c r="L669" i="23916" s="1"/>
  <c r="K668" i="23916"/>
  <c r="L668" i="23916" s="1"/>
  <c r="K617" i="23916"/>
  <c r="L566" i="23916"/>
  <c r="DM731" i="23916"/>
  <c r="DN488" i="23916"/>
  <c r="CH308" i="23916"/>
  <c r="DK524" i="23916"/>
  <c r="DL311" i="23916"/>
  <c r="BW524" i="23916"/>
  <c r="BX311" i="23916"/>
  <c r="DA728" i="23916"/>
  <c r="DB312" i="23916"/>
  <c r="FK301" i="23916"/>
  <c r="FV266" i="23916"/>
  <c r="EG725" i="23916"/>
  <c r="EH276" i="23916"/>
  <c r="BR273" i="23916"/>
  <c r="BQ279" i="23916"/>
  <c r="BR279" i="23916" s="1"/>
  <c r="BQ275" i="23916"/>
  <c r="EB8" i="23916"/>
  <c r="EA523" i="23916"/>
  <c r="EB275" i="23916"/>
  <c r="GN751" i="23916"/>
  <c r="CM76" i="23916"/>
  <c r="CM79" i="23916"/>
  <c r="CN73" i="23916"/>
  <c r="CM74" i="23916"/>
  <c r="AR119" i="23916"/>
  <c r="AZ119" i="23916"/>
  <c r="GL171" i="23916"/>
  <c r="GM171" i="23916" s="1"/>
  <c r="GM166" i="23916"/>
  <c r="CI90" i="23916"/>
  <c r="CJ74" i="23916"/>
  <c r="CI91" i="23916"/>
  <c r="CI123" i="23916"/>
  <c r="CJ518" i="23916"/>
  <c r="CI520" i="23916"/>
  <c r="GU285" i="23916"/>
  <c r="GV285" i="23916"/>
  <c r="ET176" i="23916"/>
  <c r="EL176" i="23916"/>
  <c r="GL726" i="23916"/>
  <c r="GM119" i="23916"/>
  <c r="GJ682" i="23916"/>
  <c r="GK682" i="23916" s="1"/>
  <c r="GK660" i="23916"/>
  <c r="FZ682" i="23916"/>
  <c r="GA682" i="23916" s="1"/>
  <c r="GA660" i="23916"/>
  <c r="AP678" i="23916"/>
  <c r="T618" i="23916"/>
  <c r="GB485" i="23916"/>
  <c r="GB484" i="23916"/>
  <c r="GB488" i="23916"/>
  <c r="GC482" i="23916"/>
  <c r="BF529" i="23916"/>
  <c r="GR287" i="23916"/>
  <c r="EX287" i="23916"/>
  <c r="EW288" i="23916"/>
  <c r="FU427" i="23916"/>
  <c r="AR397" i="23916"/>
  <c r="GJ524" i="23916"/>
  <c r="FP339" i="23916"/>
  <c r="FQ339" i="23916" s="1"/>
  <c r="FP340" i="23916"/>
  <c r="FQ340" i="23916" s="1"/>
  <c r="CS315" i="23916"/>
  <c r="CT315" i="23916" s="1"/>
  <c r="CT309" i="23916"/>
  <c r="CS311" i="23916"/>
  <c r="DJ272" i="23916"/>
  <c r="CS266" i="23916"/>
  <c r="CT266" i="23916" s="1"/>
  <c r="CT265" i="23916"/>
  <c r="FX174" i="23916"/>
  <c r="FX150" i="23916"/>
  <c r="FY149" i="23916"/>
  <c r="BS753" i="23916"/>
  <c r="BS754" i="23916" s="1"/>
  <c r="BS508" i="23916"/>
  <c r="BT497" i="23916"/>
  <c r="EN485" i="23916"/>
  <c r="EM487" i="23916"/>
  <c r="EM9" i="23916"/>
  <c r="EN9" i="23916" s="1"/>
  <c r="CH312" i="23916"/>
  <c r="BA279" i="23916"/>
  <c r="BB273" i="23916"/>
  <c r="BA275" i="23916"/>
  <c r="CH273" i="23916"/>
  <c r="CG279" i="23916"/>
  <c r="CH279" i="23916" s="1"/>
  <c r="CG275" i="23916"/>
  <c r="FV740" i="23916"/>
  <c r="FW300" i="23916"/>
  <c r="FV301" i="23916"/>
  <c r="FW301" i="23916" s="1"/>
  <c r="DF266" i="23916"/>
  <c r="GN726" i="23916"/>
  <c r="GO119" i="23916"/>
  <c r="FX681" i="23916"/>
  <c r="FX682" i="23916"/>
  <c r="FY682" i="23916" s="1"/>
  <c r="FY660" i="23916"/>
  <c r="EF663" i="23916"/>
  <c r="BN272" i="23916"/>
  <c r="DD518" i="23916"/>
  <c r="GI241" i="23916"/>
  <c r="AE566" i="23916"/>
  <c r="AF553" i="23916"/>
  <c r="DK731" i="23916"/>
  <c r="DL488" i="23916"/>
  <c r="BX485" i="23916"/>
  <c r="BW487" i="23916"/>
  <c r="CW487" i="23916"/>
  <c r="CX485" i="23916"/>
  <c r="CW9" i="23916"/>
  <c r="BI431" i="23916"/>
  <c r="BJ431" i="23916" s="1"/>
  <c r="BJ430" i="23916"/>
  <c r="EA524" i="23916"/>
  <c r="EB311" i="23916"/>
  <c r="AJ311" i="23916"/>
  <c r="DV272" i="23916"/>
  <c r="BZ272" i="23916"/>
  <c r="BJ272" i="23916"/>
  <c r="GU211" i="23916"/>
  <c r="GV211" i="23916"/>
  <c r="BW76" i="23916"/>
  <c r="BW79" i="23916"/>
  <c r="BX73" i="23916"/>
  <c r="BW74" i="23916"/>
  <c r="BK275" i="23916"/>
  <c r="BK279" i="23916"/>
  <c r="BL279" i="23916" s="1"/>
  <c r="BL273" i="23916"/>
  <c r="DP263" i="23916"/>
  <c r="DO264" i="23916"/>
  <c r="CV663" i="23916"/>
  <c r="FS679" i="23916"/>
  <c r="GP648" i="23916"/>
  <c r="GQ648" i="23916" s="1"/>
  <c r="GR643" i="23916"/>
  <c r="GQ643" i="23916"/>
  <c r="GP645" i="23916"/>
  <c r="GQ645" i="23916" s="1"/>
  <c r="FS676" i="23916"/>
  <c r="AD620" i="23916"/>
  <c r="AI669" i="23916"/>
  <c r="AJ669" i="23916" s="1"/>
  <c r="AI668" i="23916"/>
  <c r="AJ668" i="23916" s="1"/>
  <c r="AI617" i="23916"/>
  <c r="AJ566" i="23916"/>
  <c r="AI607" i="23916"/>
  <c r="AJ607" i="23916" s="1"/>
  <c r="AN553" i="23916"/>
  <c r="EH484" i="23916"/>
  <c r="CO731" i="23916"/>
  <c r="CP488" i="23916"/>
  <c r="FM308" i="23916"/>
  <c r="FO308" i="23916"/>
  <c r="AD427" i="23916"/>
  <c r="FM427" i="23916"/>
  <c r="DJ312" i="23916"/>
  <c r="DQ725" i="23916"/>
  <c r="DR276" i="23916"/>
  <c r="DA264" i="23916"/>
  <c r="DB263" i="23916"/>
  <c r="GJ753" i="23916"/>
  <c r="GJ754" i="23916" s="1"/>
  <c r="GK497" i="23916"/>
  <c r="FZ176" i="23916"/>
  <c r="GA174" i="23916"/>
  <c r="FZ180" i="23916"/>
  <c r="FZ177" i="23916"/>
  <c r="AS122" i="23916"/>
  <c r="AT116" i="23916"/>
  <c r="AS118" i="23916"/>
  <c r="CG732" i="23916"/>
  <c r="BK753" i="23916"/>
  <c r="BK754" i="23916" s="1"/>
  <c r="BL497" i="23916"/>
  <c r="BA122" i="23916"/>
  <c r="BA118" i="23916"/>
  <c r="BB116" i="23916"/>
  <c r="EP484" i="23916"/>
  <c r="DI264" i="23916"/>
  <c r="DJ264" i="23916" s="1"/>
  <c r="DJ263" i="23916"/>
  <c r="GM241" i="23916"/>
  <c r="FX485" i="23916"/>
  <c r="FX484" i="23916"/>
  <c r="FX488" i="23916"/>
  <c r="FY482" i="23916"/>
  <c r="FX509" i="23916"/>
  <c r="BS434" i="23916"/>
  <c r="BT434" i="23916" s="1"/>
  <c r="BS430" i="23916"/>
  <c r="BT428" i="23916"/>
  <c r="BF396" i="23916"/>
  <c r="BE397" i="23916"/>
  <c r="BQ524" i="23916"/>
  <c r="BR311" i="23916"/>
  <c r="BP430" i="23916"/>
  <c r="BO431" i="23916"/>
  <c r="FP311" i="23916"/>
  <c r="FQ311" i="23916" s="1"/>
  <c r="FP315" i="23916"/>
  <c r="FQ315" i="23916" s="1"/>
  <c r="FQ309" i="23916"/>
  <c r="CK524" i="23916"/>
  <c r="CL311" i="23916"/>
  <c r="AU524" i="23916"/>
  <c r="AV524" i="23916" s="1"/>
  <c r="AV311" i="23916"/>
  <c r="AS279" i="23916"/>
  <c r="AT279" i="23916" s="1"/>
  <c r="AT273" i="23916"/>
  <c r="AS275" i="23916"/>
  <c r="DF263" i="23916"/>
  <c r="DE264" i="23916"/>
  <c r="DF264" i="23916" s="1"/>
  <c r="BZ263" i="23916"/>
  <c r="BY264" i="23916"/>
  <c r="CQ728" i="23916"/>
  <c r="CR312" i="23916"/>
  <c r="CZ312" i="23916"/>
  <c r="CU523" i="23916"/>
  <c r="CV275" i="23916"/>
  <c r="BO753" i="23916"/>
  <c r="BO754" i="23916" s="1"/>
  <c r="BP497" i="23916"/>
  <c r="DH272" i="23916"/>
  <c r="DV177" i="23916"/>
  <c r="DU183" i="23916"/>
  <c r="DU179" i="23916"/>
  <c r="DQ183" i="23916"/>
  <c r="DQ179" i="23916"/>
  <c r="DR177" i="23916"/>
  <c r="AT230" i="23916"/>
  <c r="AS232" i="23916"/>
  <c r="AR349" i="23916"/>
  <c r="CJ681" i="23916"/>
  <c r="FS674" i="23916"/>
  <c r="GS644" i="23916"/>
  <c r="GT644" i="23916"/>
  <c r="BQ731" i="23916"/>
  <c r="BR488" i="23916"/>
  <c r="DD484" i="23916"/>
  <c r="GJ485" i="23916"/>
  <c r="GJ484" i="23916"/>
  <c r="GJ488" i="23916"/>
  <c r="GK482" i="23916"/>
  <c r="DV312" i="23916"/>
  <c r="BE525" i="23916"/>
  <c r="BE349" i="23916"/>
  <c r="BF349" i="23916" s="1"/>
  <c r="BF348" i="23916"/>
  <c r="DJ308" i="23916"/>
  <c r="FT265" i="23916"/>
  <c r="FW265" i="23916" s="1"/>
  <c r="EO279" i="23916"/>
  <c r="EO275" i="23916"/>
  <c r="EP273" i="23916"/>
  <c r="EO8" i="23916"/>
  <c r="BO76" i="23916"/>
  <c r="BP76" i="23916" s="1"/>
  <c r="BO79" i="23916"/>
  <c r="BP79" i="23916" s="1"/>
  <c r="BP73" i="23916"/>
  <c r="BO74" i="23916"/>
  <c r="GH753" i="23916"/>
  <c r="GH754" i="23916" s="1"/>
  <c r="GI497" i="23916"/>
  <c r="GV54" i="23916"/>
  <c r="GU54" i="23916"/>
  <c r="GT72" i="23916"/>
  <c r="GU72" i="23916" s="1"/>
  <c r="DR116" i="23916"/>
  <c r="DQ7" i="23916"/>
  <c r="DQ118" i="23916"/>
  <c r="DQ122" i="23916"/>
  <c r="GM678" i="23916"/>
  <c r="CP663" i="23916"/>
  <c r="BZ678" i="23916"/>
  <c r="AH618" i="23916"/>
  <c r="AO618" i="23916"/>
  <c r="AP618" i="23916" s="1"/>
  <c r="AO620" i="23916"/>
  <c r="AP620" i="23916" s="1"/>
  <c r="AP614" i="23916"/>
  <c r="AO589" i="23916"/>
  <c r="AP589" i="23916" s="1"/>
  <c r="BR363" i="23916"/>
  <c r="BQ368" i="23916"/>
  <c r="BQ364" i="23916"/>
  <c r="BQ403" i="23916" s="1"/>
  <c r="BS357" i="23916"/>
  <c r="GM308" i="23916"/>
  <c r="GO308" i="23916"/>
  <c r="FR461" i="23916"/>
  <c r="FR466" i="23916"/>
  <c r="BR431" i="23916"/>
  <c r="BN396" i="23916"/>
  <c r="BM397" i="23916"/>
  <c r="BN397" i="23916" s="1"/>
  <c r="L430" i="23916"/>
  <c r="GN524" i="23916"/>
  <c r="FI308" i="23916"/>
  <c r="FK308" i="23916"/>
  <c r="BM524" i="23916"/>
  <c r="BN311" i="23916"/>
  <c r="CX272" i="23916"/>
  <c r="AQ753" i="23916"/>
  <c r="AQ754" i="23916" s="1"/>
  <c r="AR497" i="23916"/>
  <c r="AZ497" i="23916"/>
  <c r="FV176" i="23916"/>
  <c r="FW174" i="23916"/>
  <c r="FV180" i="23916"/>
  <c r="FV177" i="23916"/>
  <c r="CJ177" i="23916"/>
  <c r="EN8" i="23916"/>
  <c r="GG168" i="23916"/>
  <c r="GF174" i="23916"/>
  <c r="CI725" i="23916"/>
  <c r="CJ276" i="23916"/>
  <c r="CI732" i="23916"/>
  <c r="EH682" i="23916"/>
  <c r="BF678" i="23916"/>
  <c r="FM566" i="23916"/>
  <c r="ER484" i="23916"/>
  <c r="EJ484" i="23916"/>
  <c r="GH311" i="23916"/>
  <c r="GK311" i="23916" s="1"/>
  <c r="GH315" i="23916"/>
  <c r="GI315" i="23916" s="1"/>
  <c r="GI309" i="23916"/>
  <c r="FQ425" i="23916"/>
  <c r="BU315" i="23916"/>
  <c r="BV315" i="23916" s="1"/>
  <c r="BV309" i="23916"/>
  <c r="BU311" i="23916"/>
  <c r="BE524" i="23916"/>
  <c r="BF311" i="23916"/>
  <c r="BK204" i="23916"/>
  <c r="BK247" i="23916"/>
  <c r="BK246" i="23916"/>
  <c r="GK109" i="23916"/>
  <c r="FW78" i="23916"/>
  <c r="BI79" i="23916"/>
  <c r="BJ79" i="23916" s="1"/>
  <c r="BJ73" i="23916"/>
  <c r="BI76" i="23916"/>
  <c r="BJ76" i="23916" s="1"/>
  <c r="BI74" i="23916"/>
  <c r="AY519" i="23916"/>
  <c r="AY520" i="23916" s="1"/>
  <c r="AZ179" i="23916"/>
  <c r="BT263" i="23916"/>
  <c r="BS264" i="23916"/>
  <c r="BT264" i="23916" s="1"/>
  <c r="FT119" i="23916"/>
  <c r="FU113" i="23916"/>
  <c r="FT116" i="23916"/>
  <c r="FT115" i="23916"/>
  <c r="FU115" i="23916" s="1"/>
  <c r="DM7" i="23916"/>
  <c r="DM118" i="23916"/>
  <c r="DM122" i="23916"/>
  <c r="DN116" i="23916"/>
  <c r="EH116" i="23916"/>
  <c r="EG7" i="23916"/>
  <c r="EG118" i="23916"/>
  <c r="EG122" i="23916"/>
  <c r="DB115" i="23916"/>
  <c r="EF518" i="23916"/>
  <c r="FP732" i="23916"/>
  <c r="FP726" i="23916"/>
  <c r="FQ119" i="23916"/>
  <c r="FU678" i="23916"/>
  <c r="BN484" i="23916"/>
  <c r="BN509" i="23916"/>
  <c r="BV509" i="23916"/>
  <c r="FY302" i="23916"/>
  <c r="DH265" i="23916"/>
  <c r="BT518" i="23916"/>
  <c r="CJ79" i="23916"/>
  <c r="DT171" i="23916"/>
  <c r="DB176" i="23916"/>
  <c r="S669" i="23916"/>
  <c r="T669" i="23916" s="1"/>
  <c r="S668" i="23916"/>
  <c r="T668" i="23916" s="1"/>
  <c r="S617" i="23916"/>
  <c r="T566" i="23916"/>
  <c r="S607" i="23916"/>
  <c r="DE731" i="23916"/>
  <c r="DF488" i="23916"/>
  <c r="BB352" i="23916"/>
  <c r="EJ315" i="23916"/>
  <c r="AK430" i="23916"/>
  <c r="AK434" i="23916"/>
  <c r="AL428" i="23916"/>
  <c r="AT428" i="23916"/>
  <c r="FW134" i="23916"/>
  <c r="FX129" i="23916"/>
  <c r="GI110" i="23916"/>
  <c r="BX518" i="23916"/>
  <c r="CG90" i="23916"/>
  <c r="CG91" i="23916"/>
  <c r="CP74" i="23916"/>
  <c r="DT663" i="23916"/>
  <c r="EU297" i="23916"/>
  <c r="EV296" i="23916"/>
  <c r="EU294" i="23916"/>
  <c r="EV294" i="23916" s="1"/>
  <c r="DU487" i="23916"/>
  <c r="DV485" i="23916"/>
  <c r="DU9" i="23916"/>
  <c r="BX430" i="23916"/>
  <c r="BW431" i="23916"/>
  <c r="BX431" i="23916" s="1"/>
  <c r="GU190" i="23916"/>
  <c r="GV190" i="23916"/>
  <c r="EJ171" i="23916"/>
  <c r="ER171" i="23916"/>
  <c r="EP176" i="23916"/>
  <c r="EX176" i="23916"/>
  <c r="GD171" i="23916"/>
  <c r="GE171" i="23916" s="1"/>
  <c r="GE166" i="23916"/>
  <c r="CA275" i="23916"/>
  <c r="CA279" i="23916"/>
  <c r="CB273" i="23916"/>
  <c r="GZ593" i="23916"/>
  <c r="GY593" i="23916"/>
  <c r="FD620" i="23916"/>
  <c r="FE620" i="23916" s="1"/>
  <c r="FE614" i="23916"/>
  <c r="FD618" i="23916"/>
  <c r="FE618" i="23916" s="1"/>
  <c r="FD589" i="23916"/>
  <c r="FE589" i="23916" s="1"/>
  <c r="O566" i="23916"/>
  <c r="P553" i="23916"/>
  <c r="CG731" i="23916"/>
  <c r="CH488" i="23916"/>
  <c r="BO731" i="23916"/>
  <c r="BP488" i="23916"/>
  <c r="DR485" i="23916"/>
  <c r="DQ487" i="23916"/>
  <c r="DQ9" i="23916"/>
  <c r="DR9" i="23916" s="1"/>
  <c r="BD346" i="23916"/>
  <c r="BC348" i="23916"/>
  <c r="BC352" i="23916"/>
  <c r="BD352" i="23916" s="1"/>
  <c r="FZ728" i="23916"/>
  <c r="GA312" i="23916"/>
  <c r="R428" i="23916"/>
  <c r="Q430" i="23916"/>
  <c r="R430" i="23916" s="1"/>
  <c r="Q434" i="23916"/>
  <c r="R434" i="23916" s="1"/>
  <c r="FF311" i="23916"/>
  <c r="FF315" i="23916"/>
  <c r="FG309" i="23916"/>
  <c r="CT34" i="23916"/>
  <c r="CU28" i="23916"/>
  <c r="CS37" i="23916"/>
  <c r="CT37" i="23916" s="1"/>
  <c r="CY275" i="23916"/>
  <c r="CZ273" i="23916"/>
  <c r="CY279" i="23916"/>
  <c r="CZ279" i="23916" s="1"/>
  <c r="CY8" i="23916"/>
  <c r="CZ8" i="23916" s="1"/>
  <c r="FN566" i="23916"/>
  <c r="FO553" i="23916"/>
  <c r="CD485" i="23916"/>
  <c r="CC487" i="23916"/>
  <c r="BG731" i="23916"/>
  <c r="BH488" i="23916"/>
  <c r="EC487" i="23916"/>
  <c r="ED485" i="23916"/>
  <c r="EC9" i="23916"/>
  <c r="ED9" i="23916" s="1"/>
  <c r="BC529" i="23916"/>
  <c r="BD430" i="23916"/>
  <c r="BC431" i="23916"/>
  <c r="CB308" i="23916"/>
  <c r="CJ308" i="23916"/>
  <c r="DM725" i="23916"/>
  <c r="DN276" i="23916"/>
  <c r="EG774" i="23916"/>
  <c r="EH265" i="23916"/>
  <c r="EG266" i="23916"/>
  <c r="AU229" i="23916"/>
  <c r="AV229" i="23916" s="1"/>
  <c r="AW208" i="23916"/>
  <c r="AV214" i="23916"/>
  <c r="AY523" i="23916"/>
  <c r="AZ275" i="23916"/>
  <c r="BO523" i="23916"/>
  <c r="BP275" i="23916"/>
  <c r="DN177" i="23916"/>
  <c r="DM183" i="23916"/>
  <c r="DM179" i="23916"/>
  <c r="EN171" i="23916"/>
  <c r="EV171" i="23916"/>
  <c r="EG727" i="23916"/>
  <c r="EH180" i="23916"/>
  <c r="DO180" i="23916"/>
  <c r="DO177" i="23916"/>
  <c r="DP174" i="23916"/>
  <c r="DO176" i="23916"/>
  <c r="DP176" i="23916" s="1"/>
  <c r="GK672" i="23916"/>
  <c r="GM672" i="23916"/>
  <c r="FQ673" i="23916"/>
  <c r="FS673" i="23916"/>
  <c r="FS663" i="23916"/>
  <c r="W566" i="23916"/>
  <c r="X553" i="23916"/>
  <c r="BI487" i="23916"/>
  <c r="BJ485" i="23916"/>
  <c r="FR484" i="23916"/>
  <c r="FS484" i="23916" s="1"/>
  <c r="FR488" i="23916"/>
  <c r="FS482" i="23916"/>
  <c r="FR485" i="23916"/>
  <c r="FR509" i="23916"/>
  <c r="CM487" i="23916"/>
  <c r="CN485" i="23916"/>
  <c r="CM9" i="23916"/>
  <c r="CN9" i="23916" s="1"/>
  <c r="BD485" i="23916"/>
  <c r="BC487" i="23916"/>
  <c r="DZ484" i="23916"/>
  <c r="BY315" i="23916"/>
  <c r="BZ315" i="23916" s="1"/>
  <c r="BZ309" i="23916"/>
  <c r="BY311" i="23916"/>
  <c r="FD311" i="23916"/>
  <c r="FE311" i="23916" s="1"/>
  <c r="FE309" i="23916"/>
  <c r="FD315" i="23916"/>
  <c r="FE315" i="23916" s="1"/>
  <c r="FY265" i="23916"/>
  <c r="FX266" i="23916"/>
  <c r="FY266" i="23916" s="1"/>
  <c r="CS279" i="23916"/>
  <c r="CT279" i="23916" s="1"/>
  <c r="CT273" i="23916"/>
  <c r="CS275" i="23916"/>
  <c r="CS8" i="23916"/>
  <c r="CT8" i="23916" s="1"/>
  <c r="CC264" i="23916"/>
  <c r="CD264" i="23916" s="1"/>
  <c r="CD263" i="23916"/>
  <c r="FT311" i="23916"/>
  <c r="FT315" i="23916"/>
  <c r="BI727" i="23916"/>
  <c r="BJ180" i="23916"/>
  <c r="AU753" i="23916"/>
  <c r="AU754" i="23916" s="1"/>
  <c r="AV497" i="23916"/>
  <c r="CO519" i="23916"/>
  <c r="CP179" i="23916"/>
  <c r="EV611" i="23916"/>
  <c r="EU615" i="23916"/>
  <c r="EV615" i="23916" s="1"/>
  <c r="EU590" i="23916"/>
  <c r="V589" i="23916"/>
  <c r="CN497" i="23916"/>
  <c r="BY487" i="23916"/>
  <c r="BZ485" i="23916"/>
  <c r="GH484" i="23916"/>
  <c r="GH488" i="23916"/>
  <c r="GI482" i="23916"/>
  <c r="GH485" i="23916"/>
  <c r="BU731" i="23916"/>
  <c r="BV488" i="23916"/>
  <c r="EU473" i="23916"/>
  <c r="EW471" i="23916"/>
  <c r="EV471" i="23916"/>
  <c r="DY524" i="23916"/>
  <c r="DZ311" i="23916"/>
  <c r="X430" i="23916"/>
  <c r="CL308" i="23916"/>
  <c r="GF270" i="23916"/>
  <c r="FY241" i="23916"/>
  <c r="FX263" i="23916"/>
  <c r="DH263" i="23916"/>
  <c r="DG264" i="23916"/>
  <c r="GO168" i="23916"/>
  <c r="GN174" i="23916"/>
  <c r="GE168" i="23916"/>
  <c r="GD174" i="23916"/>
  <c r="FS171" i="23916"/>
  <c r="AH607" i="23916"/>
  <c r="AH669" i="23916"/>
  <c r="DI524" i="23916"/>
  <c r="BE264" i="23916"/>
  <c r="BF263" i="23916"/>
  <c r="DA725" i="23916"/>
  <c r="DA732" i="23916" s="1"/>
  <c r="DB276" i="23916"/>
  <c r="CK264" i="23916"/>
  <c r="CL264" i="23916" s="1"/>
  <c r="CL263" i="23916"/>
  <c r="DC523" i="23916"/>
  <c r="DD275" i="23916"/>
  <c r="CH176" i="23916"/>
  <c r="FT180" i="23916"/>
  <c r="FT177" i="23916"/>
  <c r="FU174" i="23916"/>
  <c r="FT176" i="23916"/>
  <c r="FU176" i="23916" s="1"/>
  <c r="GH726" i="23916"/>
  <c r="GI119" i="23916"/>
  <c r="CN7" i="23916"/>
  <c r="CC90" i="23916"/>
  <c r="CC91" i="23916"/>
  <c r="CC123" i="23916"/>
  <c r="EC279" i="23916"/>
  <c r="EC275" i="23916"/>
  <c r="ED273" i="23916"/>
  <c r="EC8" i="23916"/>
  <c r="BK218" i="23916"/>
  <c r="EC728" i="23916"/>
  <c r="ED312" i="23916"/>
  <c r="BQ123" i="23916"/>
  <c r="BR116" i="23916"/>
  <c r="BQ122" i="23916"/>
  <c r="BQ118" i="23916"/>
  <c r="BS519" i="23916"/>
  <c r="FM541" i="23916"/>
  <c r="AK618" i="23916"/>
  <c r="AL618" i="23916" s="1"/>
  <c r="AK620" i="23916"/>
  <c r="AL620" i="23916" s="1"/>
  <c r="AL614" i="23916"/>
  <c r="AK589" i="23916"/>
  <c r="AL589" i="23916" s="1"/>
  <c r="BL484" i="23916"/>
  <c r="BL430" i="23916"/>
  <c r="BK431" i="23916"/>
  <c r="BL431" i="23916" s="1"/>
  <c r="FR728" i="23916"/>
  <c r="FS312" i="23916"/>
  <c r="BX315" i="23916"/>
  <c r="DA315" i="23916"/>
  <c r="DB315" i="23916" s="1"/>
  <c r="DB309" i="23916"/>
  <c r="DA311" i="23916"/>
  <c r="CV266" i="23916"/>
  <c r="EB279" i="23916"/>
  <c r="GC71" i="23916"/>
  <c r="GE71" i="23916"/>
  <c r="AS519" i="23916"/>
  <c r="AT179" i="23916"/>
  <c r="EM176" i="23916"/>
  <c r="EM180" i="23916"/>
  <c r="EN174" i="23916"/>
  <c r="EM177" i="23916"/>
  <c r="DC180" i="23916"/>
  <c r="DD174" i="23916"/>
  <c r="DC177" i="23916"/>
  <c r="DC176" i="23916"/>
  <c r="DE122" i="23916"/>
  <c r="DF116" i="23916"/>
  <c r="DE7" i="23916"/>
  <c r="DE118" i="23916"/>
  <c r="GO241" i="23916"/>
  <c r="GN263" i="23916"/>
  <c r="EK727" i="23916"/>
  <c r="EL180" i="23916"/>
  <c r="GL122" i="23916"/>
  <c r="GL118" i="23916"/>
  <c r="GM116" i="23916"/>
  <c r="GM674" i="23916"/>
  <c r="CI531" i="23916"/>
  <c r="CJ487" i="23916"/>
  <c r="FU425" i="23916"/>
  <c r="FQ343" i="23916"/>
  <c r="FP346" i="23916"/>
  <c r="FP345" i="23916"/>
  <c r="FQ345" i="23916" s="1"/>
  <c r="FQ241" i="23916"/>
  <c r="FP263" i="23916"/>
  <c r="FT349" i="23916"/>
  <c r="DP524" i="23916"/>
  <c r="EE523" i="23916"/>
  <c r="CE76" i="23916"/>
  <c r="CF76" i="23916" s="1"/>
  <c r="CE79" i="23916"/>
  <c r="CF79" i="23916" s="1"/>
  <c r="CF73" i="23916"/>
  <c r="CE74" i="23916"/>
  <c r="CM8" i="23916"/>
  <c r="CN8" i="23916" s="1"/>
  <c r="CM523" i="23916"/>
  <c r="CN275" i="23916"/>
  <c r="BG523" i="23916"/>
  <c r="BH275" i="23916"/>
  <c r="BU518" i="23916"/>
  <c r="BV118" i="23916"/>
  <c r="BQ90" i="23916"/>
  <c r="BR74" i="23916"/>
  <c r="BQ91" i="23916"/>
  <c r="BS725" i="23916"/>
  <c r="BT276" i="23916"/>
  <c r="BS732" i="23916"/>
  <c r="FV726" i="23916"/>
  <c r="FW119" i="23916"/>
  <c r="CS49" i="23916"/>
  <c r="CQ58" i="23916"/>
  <c r="CR58" i="23916" s="1"/>
  <c r="CR55" i="23916"/>
  <c r="CQ56" i="23916"/>
  <c r="DT682" i="23916"/>
  <c r="FV484" i="23916"/>
  <c r="FW484" i="23916" s="1"/>
  <c r="FV488" i="23916"/>
  <c r="FW482" i="23916"/>
  <c r="FV485" i="23916"/>
  <c r="FV509" i="23916"/>
  <c r="CU487" i="23916"/>
  <c r="CV485" i="23916"/>
  <c r="CU9" i="23916"/>
  <c r="CV9" i="23916" s="1"/>
  <c r="EO524" i="23916"/>
  <c r="EP311" i="23916"/>
  <c r="AQ380" i="23916"/>
  <c r="AR380" i="23916" s="1"/>
  <c r="AR379" i="23916"/>
  <c r="BQ264" i="23916"/>
  <c r="BR263" i="23916"/>
  <c r="GO115" i="23916"/>
  <c r="CJ180" i="23916"/>
  <c r="EL272" i="23916"/>
  <c r="ET272" i="23916"/>
  <c r="CO518" i="23916"/>
  <c r="CP118" i="23916"/>
  <c r="FP635" i="23916"/>
  <c r="FQ634" i="23916"/>
  <c r="FS634" i="23916"/>
  <c r="EF682" i="23916"/>
  <c r="BM725" i="23916"/>
  <c r="BN276" i="23916"/>
  <c r="BM732" i="23916"/>
  <c r="FY495" i="23916"/>
  <c r="R669" i="23916"/>
  <c r="AE620" i="23916"/>
  <c r="AF614" i="23916"/>
  <c r="AE618" i="23916"/>
  <c r="AN618" i="23916" s="1"/>
  <c r="AE589" i="23916"/>
  <c r="AN589" i="23916" s="1"/>
  <c r="CK731" i="23916"/>
  <c r="CL488" i="23916"/>
  <c r="BW731" i="23916"/>
  <c r="BX488" i="23916"/>
  <c r="Z430" i="23916"/>
  <c r="GD311" i="23916"/>
  <c r="GD315" i="23916"/>
  <c r="GG315" i="23916" s="1"/>
  <c r="BV396" i="23916"/>
  <c r="BU397" i="23916"/>
  <c r="BV397" i="23916" s="1"/>
  <c r="BH430" i="23916"/>
  <c r="BG431" i="23916"/>
  <c r="GF524" i="23916"/>
  <c r="GG311" i="23916"/>
  <c r="GN265" i="23916"/>
  <c r="DU725" i="23916"/>
  <c r="DV276" i="23916"/>
  <c r="DE725" i="23916"/>
  <c r="DE732" i="23916" s="1"/>
  <c r="DF276" i="23916"/>
  <c r="CO725" i="23916"/>
  <c r="CO732" i="23916" s="1"/>
  <c r="CP276" i="23916"/>
  <c r="CQ753" i="23916"/>
  <c r="CQ754" i="23916" s="1"/>
  <c r="CR497" i="23916"/>
  <c r="CZ497" i="23916"/>
  <c r="CE727" i="23916"/>
  <c r="CF180" i="23916"/>
  <c r="CE732" i="23916"/>
  <c r="BE518" i="23916"/>
  <c r="BF118" i="23916"/>
  <c r="DT518" i="23916"/>
  <c r="CQ523" i="23916"/>
  <c r="CV681" i="23916"/>
  <c r="FU663" i="23916"/>
  <c r="GS588" i="23916"/>
  <c r="GT588" i="23916"/>
  <c r="AD618" i="23916"/>
  <c r="AM669" i="23916"/>
  <c r="AM668" i="23916"/>
  <c r="AM617" i="23916"/>
  <c r="AN566" i="23916"/>
  <c r="AM607" i="23916"/>
  <c r="CP484" i="23916"/>
  <c r="BB431" i="23916"/>
  <c r="AY348" i="23916"/>
  <c r="AZ346" i="23916"/>
  <c r="AY352" i="23916"/>
  <c r="BH346" i="23916"/>
  <c r="DS524" i="23916"/>
  <c r="DT311" i="23916"/>
  <c r="CF315" i="23916"/>
  <c r="FL311" i="23916"/>
  <c r="FM311" i="23916" s="1"/>
  <c r="FM309" i="23916"/>
  <c r="FL315" i="23916"/>
  <c r="FM315" i="23916" s="1"/>
  <c r="AC430" i="23916"/>
  <c r="AD430" i="23916" s="1"/>
  <c r="AD428" i="23916"/>
  <c r="AC434" i="23916"/>
  <c r="AD434" i="23916" s="1"/>
  <c r="FL430" i="23916"/>
  <c r="FL434" i="23916"/>
  <c r="FM428" i="23916"/>
  <c r="DR273" i="23916"/>
  <c r="DQ279" i="23916"/>
  <c r="DR279" i="23916" s="1"/>
  <c r="DQ275" i="23916"/>
  <c r="DQ8" i="23916"/>
  <c r="DR8" i="23916" s="1"/>
  <c r="CH266" i="23916"/>
  <c r="BW523" i="23916"/>
  <c r="BX275" i="23916"/>
  <c r="CN518" i="23916"/>
  <c r="CM520" i="23916"/>
  <c r="GE109" i="23916"/>
  <c r="CZ263" i="23916"/>
  <c r="CY264" i="23916"/>
  <c r="CZ264" i="23916" s="1"/>
  <c r="GW130" i="23916"/>
  <c r="GX130" i="23916"/>
  <c r="GQ196" i="23916"/>
  <c r="GR196" i="23916"/>
  <c r="AW518" i="23916"/>
  <c r="AX118" i="23916"/>
  <c r="E430" i="23916"/>
  <c r="E434" i="23916"/>
  <c r="EQ774" i="23916"/>
  <c r="ER265" i="23916"/>
  <c r="ES265" i="23916"/>
  <c r="EQ266" i="23916"/>
  <c r="EV610" i="23916"/>
  <c r="EK731" i="23916"/>
  <c r="EL488" i="23916"/>
  <c r="AS525" i="23916"/>
  <c r="AS349" i="23916"/>
  <c r="AT349" i="23916" s="1"/>
  <c r="AT348" i="23916"/>
  <c r="CW524" i="23916"/>
  <c r="CX311" i="23916"/>
  <c r="BP434" i="23916"/>
  <c r="DQ524" i="23916"/>
  <c r="DR311" i="23916"/>
  <c r="CL309" i="23916"/>
  <c r="CF266" i="23916"/>
  <c r="CV8" i="23916"/>
  <c r="DG725" i="23916"/>
  <c r="DH276" i="23916"/>
  <c r="DU727" i="23916"/>
  <c r="DV180" i="23916"/>
  <c r="CK732" i="23916"/>
  <c r="CK726" i="23916"/>
  <c r="CL119" i="23916"/>
  <c r="DQ727" i="23916"/>
  <c r="DR180" i="23916"/>
  <c r="CU180" i="23916"/>
  <c r="CV174" i="23916"/>
  <c r="CU177" i="23916"/>
  <c r="CU176" i="23916"/>
  <c r="CV176" i="23916" s="1"/>
  <c r="EK726" i="23916"/>
  <c r="EL119" i="23916"/>
  <c r="BD272" i="23916"/>
  <c r="DI179" i="23916"/>
  <c r="DJ177" i="23916"/>
  <c r="DI183" i="23916"/>
  <c r="EO7" i="23916"/>
  <c r="EO122" i="23916"/>
  <c r="EP122" i="23916" s="1"/>
  <c r="EO118" i="23916"/>
  <c r="EP116" i="23916"/>
  <c r="ED663" i="23916"/>
  <c r="AC669" i="23916"/>
  <c r="AC668" i="23916"/>
  <c r="AC617" i="23916"/>
  <c r="AD566" i="23916"/>
  <c r="AC607" i="23916"/>
  <c r="BR484" i="23916"/>
  <c r="BR509" i="23916"/>
  <c r="BZ509" i="23916"/>
  <c r="BS531" i="23916"/>
  <c r="BT487" i="23916"/>
  <c r="BD340" i="23916"/>
  <c r="AT531" i="23916"/>
  <c r="EM524" i="23916"/>
  <c r="EN311" i="23916"/>
  <c r="BV272" i="23916"/>
  <c r="GE150" i="23916"/>
  <c r="FX119" i="23916"/>
  <c r="FY113" i="23916"/>
  <c r="FX116" i="23916"/>
  <c r="FX115" i="23916"/>
  <c r="FY115" i="23916" s="1"/>
  <c r="BZ393" i="23916"/>
  <c r="BM519" i="23916"/>
  <c r="BM520" i="23916" s="1"/>
  <c r="BN179" i="23916"/>
  <c r="BK183" i="23916"/>
  <c r="BL177" i="23916"/>
  <c r="BK179" i="23916"/>
  <c r="BK184" i="23916"/>
  <c r="CD118" i="23916"/>
  <c r="GM676" i="23916"/>
  <c r="AD678" i="23916"/>
  <c r="FI666" i="23916"/>
  <c r="GF485" i="23916"/>
  <c r="GF484" i="23916"/>
  <c r="GG484" i="23916" s="1"/>
  <c r="GF488" i="23916"/>
  <c r="GG482" i="23916"/>
  <c r="FO421" i="23916"/>
  <c r="FQ421" i="23916"/>
  <c r="GC301" i="23916"/>
  <c r="GL311" i="23916"/>
  <c r="GM309" i="23916"/>
  <c r="GL315" i="23916"/>
  <c r="GM315" i="23916" s="1"/>
  <c r="BC530" i="23916"/>
  <c r="BC462" i="23916"/>
  <c r="BD461" i="23916"/>
  <c r="FR309" i="23916"/>
  <c r="L434" i="23916"/>
  <c r="FH311" i="23916"/>
  <c r="FI311" i="23916" s="1"/>
  <c r="FI309" i="23916"/>
  <c r="FH315" i="23916"/>
  <c r="FI315" i="23916" s="1"/>
  <c r="CW279" i="23916"/>
  <c r="CX279" i="23916" s="1"/>
  <c r="CW275" i="23916"/>
  <c r="CX273" i="23916"/>
  <c r="CW8" i="23916"/>
  <c r="CX8" i="23916" s="1"/>
  <c r="GB312" i="23916"/>
  <c r="GC306" i="23916"/>
  <c r="GB309" i="23916"/>
  <c r="GB308" i="23916"/>
  <c r="GC308" i="23916" s="1"/>
  <c r="CS179" i="23916"/>
  <c r="CT177" i="23916"/>
  <c r="CS183" i="23916"/>
  <c r="EN279" i="23916"/>
  <c r="CN177" i="23916"/>
  <c r="CI275" i="23916"/>
  <c r="CR275" i="23916" s="1"/>
  <c r="CI279" i="23916"/>
  <c r="CJ279" i="23916" s="1"/>
  <c r="CJ273" i="23916"/>
  <c r="EK774" i="23916"/>
  <c r="EL265" i="23916"/>
  <c r="EK266" i="23916"/>
  <c r="EL266" i="23916" s="1"/>
  <c r="BL518" i="23916"/>
  <c r="CY180" i="23916"/>
  <c r="CY177" i="23916"/>
  <c r="CZ174" i="23916"/>
  <c r="CY176" i="23916"/>
  <c r="CZ176" i="23916" s="1"/>
  <c r="DY726" i="23916"/>
  <c r="DZ119" i="23916"/>
  <c r="CS726" i="23916"/>
  <c r="CT119" i="23916"/>
  <c r="GL682" i="23916"/>
  <c r="GM682" i="23916" s="1"/>
  <c r="GM660" i="23916"/>
  <c r="DB663" i="23916"/>
  <c r="FM668" i="23916"/>
  <c r="EJ485" i="23916"/>
  <c r="EI487" i="23916"/>
  <c r="EI9" i="23916"/>
  <c r="GH728" i="23916"/>
  <c r="GI312" i="23916"/>
  <c r="FP430" i="23916"/>
  <c r="FP434" i="23916"/>
  <c r="FQ428" i="23916"/>
  <c r="FX400" i="23916"/>
  <c r="FY391" i="23916"/>
  <c r="FX394" i="23916"/>
  <c r="FX393" i="23916"/>
  <c r="AB430" i="23916"/>
  <c r="BO728" i="23916"/>
  <c r="BP312" i="23916"/>
  <c r="BO732" i="23916"/>
  <c r="DH9" i="23916"/>
  <c r="CQ531" i="23916"/>
  <c r="CR487" i="23916"/>
  <c r="EK315" i="23916"/>
  <c r="EL315" i="23916" s="1"/>
  <c r="EK311" i="23916"/>
  <c r="EL309" i="23916"/>
  <c r="CD272" i="23916"/>
  <c r="BM264" i="23916"/>
  <c r="BN264" i="23916" s="1"/>
  <c r="BN263" i="23916"/>
  <c r="GA260" i="23916"/>
  <c r="CC184" i="23916"/>
  <c r="CC179" i="23916"/>
  <c r="CD177" i="23916"/>
  <c r="CC183" i="23916"/>
  <c r="FV65" i="23916"/>
  <c r="FV55" i="23916"/>
  <c r="FV56" i="23916" s="1"/>
  <c r="FW56" i="23916" s="1"/>
  <c r="FW49" i="23916"/>
  <c r="FV62" i="23916"/>
  <c r="GQ148" i="23916"/>
  <c r="GR148" i="23916"/>
  <c r="FS495" i="23916"/>
  <c r="GQ50" i="23916"/>
  <c r="GR50" i="23916"/>
  <c r="BG727" i="23916"/>
  <c r="BH180" i="23916"/>
  <c r="BG732" i="23916"/>
  <c r="DW275" i="23916"/>
  <c r="DW523" i="23916" s="1"/>
  <c r="DW279" i="23916"/>
  <c r="DW8" i="23916"/>
  <c r="DX8" i="23916" s="1"/>
  <c r="FZ116" i="23916"/>
  <c r="FZ119" i="23916"/>
  <c r="GA113" i="23916"/>
  <c r="FZ115" i="23916"/>
  <c r="GA115" i="23916" s="1"/>
  <c r="FU87" i="23916"/>
  <c r="FT109" i="23916"/>
  <c r="FU109" i="23916" s="1"/>
  <c r="BZ116" i="23916"/>
  <c r="BY122" i="23916"/>
  <c r="BY118" i="23916"/>
  <c r="CP180" i="23916"/>
  <c r="DF663" i="23916"/>
  <c r="BM487" i="23916"/>
  <c r="BN485" i="23916"/>
  <c r="BH340" i="23916"/>
  <c r="FX740" i="23916"/>
  <c r="FX301" i="23916"/>
  <c r="FY301" i="23916" s="1"/>
  <c r="FY300" i="23916"/>
  <c r="EG770" i="23916"/>
  <c r="EH263" i="23916"/>
  <c r="EG264" i="23916"/>
  <c r="EH264" i="23916" s="1"/>
  <c r="DH266" i="23916"/>
  <c r="CJ76" i="23916"/>
  <c r="FQ509" i="23916"/>
  <c r="FQ485" i="23916"/>
  <c r="FP487" i="23916"/>
  <c r="FQ487" i="23916" s="1"/>
  <c r="DF484" i="23916"/>
  <c r="AR315" i="23916"/>
  <c r="AZ315" i="23916"/>
  <c r="DJ9" i="23916"/>
  <c r="BV431" i="23916"/>
  <c r="AW279" i="23916"/>
  <c r="AX279" i="23916" s="1"/>
  <c r="AW275" i="23916"/>
  <c r="AX273" i="23916"/>
  <c r="FV135" i="23916"/>
  <c r="DU726" i="23916"/>
  <c r="DV119" i="23916"/>
  <c r="FW109" i="23916"/>
  <c r="BK380" i="23916"/>
  <c r="GK650" i="23916"/>
  <c r="GM650" i="23916"/>
  <c r="EW598" i="23916"/>
  <c r="EX599" i="23916"/>
  <c r="EW594" i="23916"/>
  <c r="GP599" i="23916"/>
  <c r="GU477" i="23916"/>
  <c r="GV477" i="23916"/>
  <c r="EE731" i="23916"/>
  <c r="EF488" i="23916"/>
  <c r="AX529" i="23916"/>
  <c r="CU524" i="23916"/>
  <c r="CV311" i="23916"/>
  <c r="GC495" i="23916"/>
  <c r="GB745" i="23916"/>
  <c r="GB497" i="23916"/>
  <c r="GH171" i="23916"/>
  <c r="GI171" i="23916" s="1"/>
  <c r="GI166" i="23916"/>
  <c r="CM728" i="23916"/>
  <c r="CM732" i="23916" s="1"/>
  <c r="CN312" i="23916"/>
  <c r="O620" i="23916"/>
  <c r="P620" i="23916" s="1"/>
  <c r="P614" i="23916"/>
  <c r="O618" i="23916"/>
  <c r="P618" i="23916" s="1"/>
  <c r="O589" i="23916"/>
  <c r="P589" i="23916" s="1"/>
  <c r="EB485" i="23916"/>
  <c r="EA487" i="23916"/>
  <c r="EA9" i="23916"/>
  <c r="FK428" i="23916"/>
  <c r="FJ434" i="23916"/>
  <c r="FJ430" i="23916"/>
  <c r="FR346" i="23916"/>
  <c r="FS343" i="23916"/>
  <c r="FR345" i="23916"/>
  <c r="FS345" i="23916" s="1"/>
  <c r="GB266" i="23916"/>
  <c r="GC266" i="23916" s="1"/>
  <c r="GC265" i="23916"/>
  <c r="FK311" i="23916"/>
  <c r="BE279" i="23916"/>
  <c r="BF279" i="23916" s="1"/>
  <c r="BF273" i="23916"/>
  <c r="BE275" i="23916"/>
  <c r="GM260" i="23916"/>
  <c r="GL270" i="23916"/>
  <c r="BW727" i="23916"/>
  <c r="BX180" i="23916"/>
  <c r="BW732" i="23916"/>
  <c r="AS248" i="23916"/>
  <c r="AT248" i="23916" s="1"/>
  <c r="AT246" i="23916"/>
  <c r="GR630" i="23916"/>
  <c r="GQ630" i="23916"/>
  <c r="FH614" i="23916"/>
  <c r="GL484" i="23916"/>
  <c r="GM484" i="23916" s="1"/>
  <c r="GL488" i="23916"/>
  <c r="GM482" i="23916"/>
  <c r="GL485" i="23916"/>
  <c r="DS487" i="23916"/>
  <c r="DT485" i="23916"/>
  <c r="DS9" i="23916"/>
  <c r="DT9" i="23916" s="1"/>
  <c r="M430" i="23916"/>
  <c r="N430" i="23916" s="1"/>
  <c r="N428" i="23916"/>
  <c r="M434" i="23916"/>
  <c r="N434" i="23916" s="1"/>
  <c r="CA315" i="23916"/>
  <c r="CA311" i="23916"/>
  <c r="CB309" i="23916"/>
  <c r="CJ309" i="23916"/>
  <c r="DM279" i="23916"/>
  <c r="DN273" i="23916"/>
  <c r="DM275" i="23916"/>
  <c r="DM8" i="23916"/>
  <c r="AU218" i="23916"/>
  <c r="AV218" i="23916" s="1"/>
  <c r="AZ279" i="23916"/>
  <c r="GA78" i="23916"/>
  <c r="DM727" i="23916"/>
  <c r="DN180" i="23916"/>
  <c r="BI397" i="23916"/>
  <c r="U669" i="23916"/>
  <c r="V669" i="23916" s="1"/>
  <c r="U668" i="23916"/>
  <c r="V668" i="23916" s="1"/>
  <c r="U617" i="23916"/>
  <c r="V617" i="23916" s="1"/>
  <c r="V566" i="23916"/>
  <c r="U607" i="23916"/>
  <c r="W620" i="23916"/>
  <c r="X620" i="23916" s="1"/>
  <c r="X614" i="23916"/>
  <c r="W618" i="23916"/>
  <c r="X618" i="23916" s="1"/>
  <c r="W589" i="23916"/>
  <c r="X589" i="23916" s="1"/>
  <c r="BI731" i="23916"/>
  <c r="BJ488" i="23916"/>
  <c r="CM731" i="23916"/>
  <c r="CN488" i="23916"/>
  <c r="GP505" i="23916"/>
  <c r="GQ505" i="23916" s="1"/>
  <c r="GP480" i="23916"/>
  <c r="GQ480" i="23916" s="1"/>
  <c r="GQ476" i="23916"/>
  <c r="CE487" i="23916"/>
  <c r="CF485" i="23916"/>
  <c r="DY731" i="23916"/>
  <c r="DZ488" i="23916"/>
  <c r="FS421" i="23916"/>
  <c r="FU421" i="23916"/>
  <c r="DC524" i="23916"/>
  <c r="DD311" i="23916"/>
  <c r="BD308" i="23916"/>
  <c r="BL308" i="23916"/>
  <c r="GJ118" i="23916"/>
  <c r="GK116" i="23916"/>
  <c r="GJ122" i="23916"/>
  <c r="GK122" i="23916" s="1"/>
  <c r="GE241" i="23916"/>
  <c r="GD263" i="23916"/>
  <c r="FS195" i="23916"/>
  <c r="FR228" i="23916"/>
  <c r="FU195" i="23916"/>
  <c r="BY79" i="23916"/>
  <c r="BZ79" i="23916" s="1"/>
  <c r="BZ73" i="23916"/>
  <c r="BY76" i="23916"/>
  <c r="BZ76" i="23916" s="1"/>
  <c r="BY74" i="23916"/>
  <c r="BY123" i="23916" s="1"/>
  <c r="DW264" i="23916"/>
  <c r="EF264" i="23916" s="1"/>
  <c r="EF263" i="23916"/>
  <c r="CA90" i="23916"/>
  <c r="CA91" i="23916"/>
  <c r="CA123" i="23916"/>
  <c r="GQ547" i="23916"/>
  <c r="GS547" i="23916"/>
  <c r="P434" i="23916"/>
  <c r="CX177" i="23916"/>
  <c r="CW179" i="23916"/>
  <c r="CW183" i="23916"/>
  <c r="GO78" i="23916"/>
  <c r="EQ616" i="23916"/>
  <c r="ER616" i="23916" s="1"/>
  <c r="EQ552" i="23916"/>
  <c r="ER552" i="23916" s="1"/>
  <c r="ER546" i="23916"/>
  <c r="DO731" i="23916"/>
  <c r="DP488" i="23916"/>
  <c r="FW263" i="23916"/>
  <c r="FV264" i="23916"/>
  <c r="GV629" i="23916"/>
  <c r="GU629" i="23916"/>
  <c r="GT503" i="23916"/>
  <c r="GU503" i="23916" s="1"/>
  <c r="ES482" i="23916"/>
  <c r="ET473" i="23916"/>
  <c r="GN485" i="23916"/>
  <c r="GN484" i="23916"/>
  <c r="GN488" i="23916"/>
  <c r="GO482" i="23916"/>
  <c r="AU531" i="23916"/>
  <c r="AV487" i="23916"/>
  <c r="FT352" i="23916"/>
  <c r="FT348" i="23916"/>
  <c r="FT525" i="23916" s="1"/>
  <c r="AY529" i="23916"/>
  <c r="AZ430" i="23916"/>
  <c r="AY431" i="23916"/>
  <c r="X434" i="23916"/>
  <c r="GH266" i="23916"/>
  <c r="GK270" i="23916"/>
  <c r="GJ273" i="23916"/>
  <c r="GJ276" i="23916"/>
  <c r="GJ272" i="23916"/>
  <c r="GC241" i="23916"/>
  <c r="GB263" i="23916"/>
  <c r="FT273" i="23916"/>
  <c r="FT276" i="23916"/>
  <c r="FT272" i="23916"/>
  <c r="FN247" i="23916"/>
  <c r="BO519" i="23916"/>
  <c r="BP179" i="23916"/>
  <c r="DF177" i="23916"/>
  <c r="DE179" i="23916"/>
  <c r="DE183" i="23916"/>
  <c r="CI753" i="23916"/>
  <c r="CI754" i="23916" s="1"/>
  <c r="CJ497" i="23916"/>
  <c r="AU228" i="23916"/>
  <c r="AV195" i="23916"/>
  <c r="AW189" i="23916"/>
  <c r="BI123" i="23916"/>
  <c r="BJ116" i="23916"/>
  <c r="BI122" i="23916"/>
  <c r="BI118" i="23916"/>
  <c r="BD264" i="23916"/>
  <c r="CB518" i="23916"/>
  <c r="CQ183" i="23916"/>
  <c r="CR177" i="23916"/>
  <c r="CQ179" i="23916"/>
  <c r="CQ184" i="23916"/>
  <c r="CQ7" i="23916"/>
  <c r="AH566" i="23916"/>
  <c r="FZ484" i="23916"/>
  <c r="GA484" i="23916" s="1"/>
  <c r="FZ488" i="23916"/>
  <c r="GA482" i="23916"/>
  <c r="FZ485" i="23916"/>
  <c r="BI524" i="23916"/>
  <c r="BJ311" i="23916"/>
  <c r="BT397" i="23916"/>
  <c r="BD397" i="23916"/>
  <c r="GK260" i="23916"/>
  <c r="DA279" i="23916"/>
  <c r="DB279" i="23916" s="1"/>
  <c r="DB273" i="23916"/>
  <c r="DA275" i="23916"/>
  <c r="DA8" i="23916"/>
  <c r="DB8" i="23916" s="1"/>
  <c r="CS140" i="23916"/>
  <c r="CS139" i="23916"/>
  <c r="CS141" i="23916"/>
  <c r="CS142" i="23916" s="1"/>
  <c r="CT129" i="23916"/>
  <c r="CS134" i="23916"/>
  <c r="CS135" i="23916" s="1"/>
  <c r="GI113" i="23916"/>
  <c r="BQ519" i="23916"/>
  <c r="BR179" i="23916"/>
  <c r="GD726" i="23916"/>
  <c r="BZ401" i="23916"/>
  <c r="BQ732" i="23916"/>
  <c r="BQ726" i="23916"/>
  <c r="BR119" i="23916"/>
  <c r="CP678" i="23916"/>
  <c r="EW631" i="23916"/>
  <c r="EX631" i="23916" s="1"/>
  <c r="GP632" i="23916"/>
  <c r="EW636" i="23916"/>
  <c r="EX636" i="23916" s="1"/>
  <c r="EW634" i="23916"/>
  <c r="EX632" i="23916"/>
  <c r="DM487" i="23916"/>
  <c r="DN485" i="23916"/>
  <c r="DM9" i="23916"/>
  <c r="BO380" i="23916"/>
  <c r="BL434" i="23916"/>
  <c r="DM315" i="23916"/>
  <c r="DN315" i="23916" s="1"/>
  <c r="DN309" i="23916"/>
  <c r="DM311" i="23916"/>
  <c r="DL315" i="23916"/>
  <c r="FW260" i="23916"/>
  <c r="FV270" i="23916"/>
  <c r="GS258" i="23916"/>
  <c r="GT258" i="23916"/>
  <c r="EG279" i="23916"/>
  <c r="EH279" i="23916" s="1"/>
  <c r="EG275" i="23916"/>
  <c r="EH273" i="23916"/>
  <c r="EG8" i="23916"/>
  <c r="EH8" i="23916" s="1"/>
  <c r="AR115" i="23916"/>
  <c r="AZ115" i="23916"/>
  <c r="BH518" i="23916"/>
  <c r="EL177" i="23916"/>
  <c r="EK183" i="23916"/>
  <c r="EK179" i="23916"/>
  <c r="GM115" i="23916"/>
  <c r="DZ663" i="23916"/>
  <c r="GH682" i="23916"/>
  <c r="GI682" i="23916" s="1"/>
  <c r="GI660" i="23916"/>
  <c r="BV678" i="23916"/>
  <c r="FS677" i="23916"/>
  <c r="T620" i="23916"/>
  <c r="FD430" i="23916"/>
  <c r="FE430" i="23916" s="1"/>
  <c r="FD434" i="23916"/>
  <c r="FE434" i="23916" s="1"/>
  <c r="FE428" i="23916"/>
  <c r="GP287" i="23916"/>
  <c r="GQ287" i="23916" s="1"/>
  <c r="FT430" i="23916"/>
  <c r="FT434" i="23916"/>
  <c r="FU428" i="23916"/>
  <c r="GK315" i="23916"/>
  <c r="GF265" i="23916"/>
  <c r="GZ295" i="23916"/>
  <c r="GY295" i="23916"/>
  <c r="DI725" i="23916"/>
  <c r="DJ276" i="23916"/>
  <c r="CS264" i="23916"/>
  <c r="CT264" i="23916" s="1"/>
  <c r="CT263" i="23916"/>
  <c r="EF279" i="23916"/>
  <c r="BH279" i="23916"/>
  <c r="BS275" i="23916"/>
  <c r="BS279" i="23916"/>
  <c r="BT279" i="23916" s="1"/>
  <c r="BT273" i="23916"/>
  <c r="FV122" i="23916"/>
  <c r="FW116" i="23916"/>
  <c r="FV118" i="23916"/>
  <c r="CZ518" i="23916"/>
  <c r="EM731" i="23916"/>
  <c r="EN488" i="23916"/>
  <c r="CU731" i="23916"/>
  <c r="CV488" i="23916"/>
  <c r="FW425" i="23916"/>
  <c r="FV428" i="23916"/>
  <c r="FV427" i="23916"/>
  <c r="FW427" i="23916" s="1"/>
  <c r="T315" i="23916"/>
  <c r="FV312" i="23916"/>
  <c r="FV309" i="23916"/>
  <c r="FV308" i="23916"/>
  <c r="FW308" i="23916" s="1"/>
  <c r="FW306" i="23916"/>
  <c r="GN118" i="23916"/>
  <c r="GO116" i="23916"/>
  <c r="GN122" i="23916"/>
  <c r="GO122" i="23916" s="1"/>
  <c r="GA241" i="23916"/>
  <c r="FZ263" i="23916"/>
  <c r="EK725" i="23916"/>
  <c r="EL276" i="23916"/>
  <c r="CP7" i="23916"/>
  <c r="GM677" i="23916"/>
  <c r="BM279" i="23916"/>
  <c r="BN279" i="23916" s="1"/>
  <c r="BN273" i="23916"/>
  <c r="BM275" i="23916"/>
  <c r="CL484" i="23916"/>
  <c r="CW731" i="23916"/>
  <c r="CX488" i="23916"/>
  <c r="Z428" i="23916"/>
  <c r="GD728" i="23916"/>
  <c r="GE312" i="23916"/>
  <c r="FV394" i="23916"/>
  <c r="FW391" i="23916"/>
  <c r="FV400" i="23916"/>
  <c r="FW400" i="23916" s="1"/>
  <c r="FV393" i="23916"/>
  <c r="FW393" i="23916" s="1"/>
  <c r="BH434" i="23916"/>
  <c r="V427" i="23916"/>
  <c r="DY774" i="23916"/>
  <c r="DZ265" i="23916"/>
  <c r="DY266" i="23916"/>
  <c r="DU279" i="23916"/>
  <c r="DV279" i="23916" s="1"/>
  <c r="DV273" i="23916"/>
  <c r="DU275" i="23916"/>
  <c r="DU8" i="23916"/>
  <c r="DV8" i="23916" s="1"/>
  <c r="DE279" i="23916"/>
  <c r="DF279" i="23916" s="1"/>
  <c r="DF273" i="23916"/>
  <c r="DE275" i="23916"/>
  <c r="DE8" i="23916"/>
  <c r="DF8" i="23916" s="1"/>
  <c r="CP272" i="23916"/>
  <c r="BY725" i="23916"/>
  <c r="BZ276" i="23916"/>
  <c r="BI725" i="23916"/>
  <c r="BJ276" i="23916"/>
  <c r="GN753" i="23916"/>
  <c r="GN754" i="23916" s="1"/>
  <c r="GO497" i="23916"/>
  <c r="FN246" i="23916"/>
  <c r="FN248" i="23916" s="1"/>
  <c r="AX396" i="23916"/>
  <c r="AW397" i="23916"/>
  <c r="AX397" i="23916" s="1"/>
  <c r="GD753" i="23916"/>
  <c r="GD754" i="23916" s="1"/>
  <c r="GE497" i="23916"/>
  <c r="BU79" i="23916"/>
  <c r="BV79" i="23916" s="1"/>
  <c r="BV73" i="23916"/>
  <c r="BU76" i="23916"/>
  <c r="BV76" i="23916" s="1"/>
  <c r="BU74" i="23916"/>
  <c r="CF176" i="23916"/>
  <c r="DY727" i="23916"/>
  <c r="DZ180" i="23916"/>
  <c r="CB263" i="23916"/>
  <c r="CA264" i="23916"/>
  <c r="CB264" i="23916" s="1"/>
  <c r="EC183" i="23916"/>
  <c r="ED183" i="23916" s="1"/>
  <c r="EC179" i="23916"/>
  <c r="ED177" i="23916"/>
  <c r="CR279" i="23916"/>
  <c r="CV682" i="23916"/>
  <c r="AX678" i="23916"/>
  <c r="CJ682" i="23916"/>
  <c r="AD589" i="23916"/>
  <c r="FF747" i="23916"/>
  <c r="FG541" i="23916"/>
  <c r="EG487" i="23916"/>
  <c r="EH485" i="23916"/>
  <c r="EG9" i="23916"/>
  <c r="EH9" i="23916" s="1"/>
  <c r="CO487" i="23916"/>
  <c r="CP485" i="23916"/>
  <c r="CO9" i="23916"/>
  <c r="CP9" i="23916" s="1"/>
  <c r="BB529" i="23916"/>
  <c r="AZ345" i="23916"/>
  <c r="BH345" i="23916"/>
  <c r="DT315" i="23916"/>
  <c r="DR272" i="23916"/>
  <c r="DA266" i="23916"/>
  <c r="DB266" i="23916" s="1"/>
  <c r="DB265" i="23916"/>
  <c r="GE78" i="23916"/>
  <c r="BX279" i="23916"/>
  <c r="GA149" i="23916"/>
  <c r="BC753" i="23916"/>
  <c r="BC754" i="23916" s="1"/>
  <c r="BD497" i="23916"/>
  <c r="EC770" i="23916"/>
  <c r="ED263" i="23916"/>
  <c r="EC264" i="23916"/>
  <c r="BB119" i="23916"/>
  <c r="EO487" i="23916"/>
  <c r="EP485" i="23916"/>
  <c r="EO9" i="23916"/>
  <c r="EP9" i="23916" s="1"/>
  <c r="DI266" i="23916"/>
  <c r="DJ266" i="23916" s="1"/>
  <c r="DJ265" i="23916"/>
  <c r="EP266" i="23916"/>
  <c r="BR76" i="23916"/>
  <c r="EB518" i="23916"/>
  <c r="ET297" i="23916"/>
  <c r="ES306" i="23916"/>
  <c r="GR656" i="23916"/>
  <c r="GQ656" i="23916"/>
  <c r="GP633" i="23916"/>
  <c r="GQ633" i="23916" s="1"/>
  <c r="EU722" i="23916"/>
  <c r="AB589" i="23916"/>
  <c r="AB620" i="23916"/>
  <c r="FF620" i="23916"/>
  <c r="FG620" i="23916" s="1"/>
  <c r="FF618" i="23916"/>
  <c r="FG618" i="23916" s="1"/>
  <c r="FG614" i="23916"/>
  <c r="FF589" i="23916"/>
  <c r="FG589" i="23916" s="1"/>
  <c r="EL484" i="23916"/>
  <c r="ET484" i="23916"/>
  <c r="BR315" i="23916"/>
  <c r="FP728" i="23916"/>
  <c r="FQ312" i="23916"/>
  <c r="BA396" i="23916"/>
  <c r="BA401" i="23916"/>
  <c r="BB401" i="23916" s="1"/>
  <c r="BB394" i="23916"/>
  <c r="CL315" i="23916"/>
  <c r="FS260" i="23916"/>
  <c r="FR270" i="23916"/>
  <c r="EJ266" i="23916"/>
  <c r="DV263" i="23916"/>
  <c r="DU264" i="23916"/>
  <c r="DV264" i="23916" s="1"/>
  <c r="CP263" i="23916"/>
  <c r="CO264" i="23916"/>
  <c r="BI264" i="23916"/>
  <c r="BJ264" i="23916" s="1"/>
  <c r="BJ263" i="23916"/>
  <c r="CR308" i="23916"/>
  <c r="CZ308" i="23916"/>
  <c r="CV279" i="23916"/>
  <c r="CK79" i="23916"/>
  <c r="CL79" i="23916" s="1"/>
  <c r="CL73" i="23916"/>
  <c r="CK76" i="23916"/>
  <c r="CL76" i="23916" s="1"/>
  <c r="CK74" i="23916"/>
  <c r="DG275" i="23916"/>
  <c r="DH273" i="23916"/>
  <c r="DG279" i="23916"/>
  <c r="DH279" i="23916" s="1"/>
  <c r="DG8" i="23916"/>
  <c r="DH8" i="23916" s="1"/>
  <c r="DV176" i="23916"/>
  <c r="BS76" i="23916"/>
  <c r="CB76" i="23916" s="1"/>
  <c r="BS79" i="23916"/>
  <c r="BT73" i="23916"/>
  <c r="BS74" i="23916"/>
  <c r="AV273" i="23916"/>
  <c r="AU275" i="23916"/>
  <c r="AU279" i="23916"/>
  <c r="AV279" i="23916" s="1"/>
  <c r="EL115" i="23916"/>
  <c r="ET115" i="23916"/>
  <c r="BD276" i="23916"/>
  <c r="DI727" i="23916"/>
  <c r="DJ180" i="23916"/>
  <c r="AR525" i="23916"/>
  <c r="AQ519" i="23916"/>
  <c r="AR179" i="23916"/>
  <c r="DI122" i="23916"/>
  <c r="DJ116" i="23916"/>
  <c r="DI7" i="23916"/>
  <c r="DI118" i="23916"/>
  <c r="DC487" i="23916"/>
  <c r="DD485" i="23916"/>
  <c r="DC9" i="23916"/>
  <c r="DD9" i="23916" s="1"/>
  <c r="CJ301" i="23916"/>
  <c r="DB9" i="23916"/>
  <c r="CY531" i="23916"/>
  <c r="CZ487" i="23916"/>
  <c r="EN315" i="23916"/>
  <c r="FU260" i="23916"/>
  <c r="EP272" i="23916"/>
  <c r="DR265" i="23916"/>
  <c r="DQ266" i="23916"/>
  <c r="DR266" i="23916" s="1"/>
  <c r="BU725" i="23916"/>
  <c r="BV276" i="23916"/>
  <c r="DX275" i="23916"/>
  <c r="DX523" i="23916" s="1"/>
  <c r="DX279" i="23916"/>
  <c r="GL753" i="23916"/>
  <c r="GL754" i="23916" s="1"/>
  <c r="GM497" i="23916"/>
  <c r="GO110" i="23916"/>
  <c r="BK76" i="23916"/>
  <c r="BL76" i="23916" s="1"/>
  <c r="BK79" i="23916"/>
  <c r="BL79" i="23916" s="1"/>
  <c r="BL73" i="23916"/>
  <c r="BK74" i="23916"/>
  <c r="CG518" i="23916"/>
  <c r="CH118" i="23916"/>
  <c r="FY87" i="23916"/>
  <c r="FX109" i="23916"/>
  <c r="GA87" i="23916"/>
  <c r="BI233" i="23916"/>
  <c r="BJ233" i="23916" s="1"/>
  <c r="BZ400" i="23916"/>
  <c r="BK727" i="23916"/>
  <c r="BL180" i="23916"/>
  <c r="BK732" i="23916"/>
  <c r="DR115" i="23916"/>
  <c r="CD518" i="23916"/>
  <c r="FI678" i="23916"/>
  <c r="CP681" i="23916"/>
  <c r="EX484" i="23916"/>
  <c r="FO422" i="23916"/>
  <c r="FQ422" i="23916"/>
  <c r="AU529" i="23916"/>
  <c r="AV430" i="23916"/>
  <c r="AU431" i="23916"/>
  <c r="AV431" i="23916" s="1"/>
  <c r="GL728" i="23916"/>
  <c r="GM312" i="23916"/>
  <c r="AF430" i="23916"/>
  <c r="BN401" i="23916"/>
  <c r="CG524" i="23916"/>
  <c r="CH311" i="23916"/>
  <c r="FV363" i="23916"/>
  <c r="FW357" i="23916"/>
  <c r="FV369" i="23916"/>
  <c r="FW369" i="23916" s="1"/>
  <c r="FV370" i="23916"/>
  <c r="FW370" i="23916" s="1"/>
  <c r="GO309" i="23916"/>
  <c r="GG308" i="23916"/>
  <c r="CW725" i="23916"/>
  <c r="CW732" i="23916" s="1"/>
  <c r="CX276" i="23916"/>
  <c r="CH263" i="23916"/>
  <c r="CG264" i="23916"/>
  <c r="CH264" i="23916" s="1"/>
  <c r="BS315" i="23916"/>
  <c r="BT315" i="23916" s="1"/>
  <c r="BS311" i="23916"/>
  <c r="BT309" i="23916"/>
  <c r="GP57" i="23916"/>
  <c r="EX57" i="23916"/>
  <c r="FW150" i="23916"/>
  <c r="FV171" i="23916"/>
  <c r="FW171" i="23916" s="1"/>
  <c r="CS727" i="23916"/>
  <c r="CT180" i="23916"/>
  <c r="GK168" i="23916"/>
  <c r="GJ174" i="23916"/>
  <c r="CW122" i="23916"/>
  <c r="CW7" i="23916"/>
  <c r="CX116" i="23916"/>
  <c r="CW118" i="23916"/>
  <c r="CA753" i="23916"/>
  <c r="CA754" i="23916" s="1"/>
  <c r="CB497" i="23916"/>
  <c r="EK770" i="23916"/>
  <c r="EL263" i="23916"/>
  <c r="EK264" i="23916"/>
  <c r="EL264" i="23916" s="1"/>
  <c r="DZ116" i="23916"/>
  <c r="DY7" i="23916"/>
  <c r="DY122" i="23916"/>
  <c r="DZ122" i="23916" s="1"/>
  <c r="DY118" i="23916"/>
  <c r="CT115" i="23916"/>
  <c r="GB119" i="23916"/>
  <c r="GC113" i="23916"/>
  <c r="GB116" i="23916"/>
  <c r="GB115" i="23916"/>
  <c r="GC115" i="23916" s="1"/>
  <c r="DB681" i="23916"/>
  <c r="DB682" i="23916"/>
  <c r="GO678" i="23916"/>
  <c r="Z678" i="23916"/>
  <c r="FM669" i="23916"/>
  <c r="FY388" i="23916"/>
  <c r="CT484" i="23916"/>
  <c r="AB434" i="23916"/>
  <c r="GM301" i="23916"/>
  <c r="GO301" i="23916"/>
  <c r="DG531" i="23916"/>
  <c r="DH487" i="23916"/>
  <c r="EK728" i="23916"/>
  <c r="EL312" i="23916"/>
  <c r="AW264" i="23916"/>
  <c r="AX264" i="23916" s="1"/>
  <c r="AX263" i="23916"/>
  <c r="CC725" i="23916"/>
  <c r="CD276" i="23916"/>
  <c r="BN265" i="23916"/>
  <c r="CC727" i="23916"/>
  <c r="CD180" i="23916"/>
  <c r="CC732" i="23916"/>
  <c r="GP215" i="23916"/>
  <c r="EX215" i="23916"/>
  <c r="GV192" i="23916"/>
  <c r="GU192" i="23916"/>
  <c r="BU732" i="23916"/>
  <c r="FT73" i="23916"/>
  <c r="BY732" i="23916"/>
  <c r="BY726" i="23916"/>
  <c r="BZ119" i="23916"/>
  <c r="DM726" i="23916"/>
  <c r="DN119" i="23916"/>
  <c r="EH115" i="23916"/>
  <c r="DA122" i="23916"/>
  <c r="DB116" i="23916"/>
  <c r="DA7" i="23916"/>
  <c r="DA118" i="23916"/>
  <c r="FP118" i="23916"/>
  <c r="FQ118" i="23916" s="1"/>
  <c r="FQ116" i="23916"/>
  <c r="FP122" i="23916"/>
  <c r="GM675" i="23916"/>
  <c r="BM731" i="23916"/>
  <c r="BN488" i="23916"/>
  <c r="FR394" i="23916"/>
  <c r="FS391" i="23916"/>
  <c r="FR400" i="23916"/>
  <c r="FS400" i="23916" s="1"/>
  <c r="FR393" i="23916"/>
  <c r="FS393" i="23916" s="1"/>
  <c r="FY290" i="23916"/>
  <c r="GA290" i="23916"/>
  <c r="DA179" i="23916"/>
  <c r="DB177" i="23916"/>
  <c r="DA183" i="23916"/>
  <c r="DE487" i="23916"/>
  <c r="DF485" i="23916"/>
  <c r="DE9" i="23916"/>
  <c r="DF9" i="23916" s="1"/>
  <c r="BL301" i="23916"/>
  <c r="EI524" i="23916"/>
  <c r="EJ311" i="23916"/>
  <c r="AQ524" i="23916"/>
  <c r="AR311" i="23916"/>
  <c r="AZ311" i="23916"/>
  <c r="DI531" i="23916"/>
  <c r="DJ487" i="23916"/>
  <c r="EG728" i="23916"/>
  <c r="EH312" i="23916"/>
  <c r="X315" i="23916"/>
  <c r="DD266" i="23916"/>
  <c r="GU209" i="23916"/>
  <c r="GV209" i="23916"/>
  <c r="DU7" i="23916"/>
  <c r="DV116" i="23916"/>
  <c r="DU122" i="23916"/>
  <c r="DV122" i="23916" s="1"/>
  <c r="DU118" i="23916"/>
  <c r="DL518" i="23916"/>
  <c r="FW87" i="23916"/>
  <c r="CH76" i="23916"/>
  <c r="BX497" i="23916"/>
  <c r="CS155" i="23916" l="1"/>
  <c r="CT135" i="23916"/>
  <c r="CS153" i="23916"/>
  <c r="CS154" i="23916"/>
  <c r="CS184" i="23916"/>
  <c r="ER485" i="23916"/>
  <c r="EQ487" i="23916"/>
  <c r="EQ9" i="23916"/>
  <c r="ER9" i="23916" s="1"/>
  <c r="EJ524" i="23916"/>
  <c r="DE531" i="23916"/>
  <c r="DF487" i="23916"/>
  <c r="GX192" i="23916"/>
  <c r="GW192" i="23916"/>
  <c r="GB726" i="23916"/>
  <c r="GC119" i="23916"/>
  <c r="DY11" i="23916"/>
  <c r="DZ7" i="23916"/>
  <c r="CW11" i="23916"/>
  <c r="CX7" i="23916"/>
  <c r="FV364" i="23916"/>
  <c r="FX357" i="23916"/>
  <c r="FV368" i="23916"/>
  <c r="FW368" i="23916" s="1"/>
  <c r="FW363" i="23916"/>
  <c r="DC531" i="23916"/>
  <c r="DD487" i="23916"/>
  <c r="BS90" i="23916"/>
  <c r="BT74" i="23916"/>
  <c r="BS91" i="23916"/>
  <c r="BS123" i="23916"/>
  <c r="FR273" i="23916"/>
  <c r="FR276" i="23916"/>
  <c r="FS270" i="23916"/>
  <c r="FR272" i="23916"/>
  <c r="FS272" i="23916" s="1"/>
  <c r="DE523" i="23916"/>
  <c r="DF275" i="23916"/>
  <c r="CO11" i="23916"/>
  <c r="FV311" i="23916"/>
  <c r="FW309" i="23916"/>
  <c r="FV315" i="23916"/>
  <c r="FW315" i="23916" s="1"/>
  <c r="FW428" i="23916"/>
  <c r="FV434" i="23916"/>
  <c r="FW434" i="23916" s="1"/>
  <c r="FV430" i="23916"/>
  <c r="FW430" i="23916" s="1"/>
  <c r="DI732" i="23916"/>
  <c r="EL183" i="23916"/>
  <c r="EG523" i="23916"/>
  <c r="EH275" i="23916"/>
  <c r="DM524" i="23916"/>
  <c r="DN311" i="23916"/>
  <c r="EX634" i="23916"/>
  <c r="EW635" i="23916"/>
  <c r="EX635" i="23916" s="1"/>
  <c r="DV315" i="23916"/>
  <c r="CQ519" i="23916"/>
  <c r="CR179" i="23916"/>
  <c r="FU270" i="23916"/>
  <c r="GJ725" i="23916"/>
  <c r="AZ529" i="23916"/>
  <c r="FR529" i="23916"/>
  <c r="AV531" i="23916"/>
  <c r="GO485" i="23916"/>
  <c r="GN487" i="23916"/>
  <c r="GN9" i="23916"/>
  <c r="GE263" i="23916"/>
  <c r="GD264" i="23916"/>
  <c r="DM523" i="23916"/>
  <c r="DN275" i="23916"/>
  <c r="GL731" i="23916"/>
  <c r="GM488" i="23916"/>
  <c r="GS630" i="23916"/>
  <c r="GT630" i="23916"/>
  <c r="BE523" i="23916"/>
  <c r="BF275" i="23916"/>
  <c r="GW477" i="23916"/>
  <c r="GX477" i="23916"/>
  <c r="AW523" i="23916"/>
  <c r="AX275" i="23916"/>
  <c r="GP495" i="23916"/>
  <c r="GQ495" i="23916" s="1"/>
  <c r="CC519" i="23916"/>
  <c r="CD179" i="23916"/>
  <c r="FY393" i="23916"/>
  <c r="CY727" i="23916"/>
  <c r="CZ180" i="23916"/>
  <c r="GB728" i="23916"/>
  <c r="GC312" i="23916"/>
  <c r="FX726" i="23916"/>
  <c r="FY119" i="23916"/>
  <c r="EN524" i="23916"/>
  <c r="EO11" i="23916"/>
  <c r="EP7" i="23916"/>
  <c r="DI519" i="23916"/>
  <c r="DJ179" i="23916"/>
  <c r="CU727" i="23916"/>
  <c r="CU732" i="23916" s="1"/>
  <c r="CV180" i="23916"/>
  <c r="DR524" i="23916"/>
  <c r="AX518" i="23916"/>
  <c r="AW520" i="23916"/>
  <c r="CD79" i="23916"/>
  <c r="FM434" i="23916"/>
  <c r="AZ352" i="23916"/>
  <c r="BH352" i="23916"/>
  <c r="GD524" i="23916"/>
  <c r="FV487" i="23916"/>
  <c r="FW485" i="23916"/>
  <c r="CS55" i="23916"/>
  <c r="CS62" i="23916"/>
  <c r="CS64" i="23916"/>
  <c r="CS56" i="23916"/>
  <c r="CT49" i="23916"/>
  <c r="CS65" i="23916"/>
  <c r="CS63" i="23916"/>
  <c r="CS68" i="23916"/>
  <c r="FQ263" i="23916"/>
  <c r="FP264" i="23916"/>
  <c r="FQ264" i="23916" s="1"/>
  <c r="GM122" i="23916"/>
  <c r="GN264" i="23916"/>
  <c r="GO264" i="23916" s="1"/>
  <c r="GO263" i="23916"/>
  <c r="DC183" i="23916"/>
  <c r="DC179" i="23916"/>
  <c r="DD177" i="23916"/>
  <c r="DC7" i="23916"/>
  <c r="AT519" i="23916"/>
  <c r="ED8" i="23916"/>
  <c r="FU177" i="23916"/>
  <c r="FT184" i="23916"/>
  <c r="FT179" i="23916"/>
  <c r="FT183" i="23916"/>
  <c r="DC526" i="23916"/>
  <c r="DD523" i="23916"/>
  <c r="GN180" i="23916"/>
  <c r="GN177" i="23916"/>
  <c r="GO174" i="23916"/>
  <c r="GN176" i="23916"/>
  <c r="FX264" i="23916"/>
  <c r="FY264" i="23916" s="1"/>
  <c r="FY263" i="23916"/>
  <c r="EW473" i="23916"/>
  <c r="EX471" i="23916"/>
  <c r="GH487" i="23916"/>
  <c r="GI485" i="23916"/>
  <c r="GH9" i="23916"/>
  <c r="BI531" i="23916"/>
  <c r="DM519" i="23916"/>
  <c r="DN179" i="23916"/>
  <c r="BD529" i="23916"/>
  <c r="CU41" i="23916"/>
  <c r="CU44" i="23916"/>
  <c r="CU45" i="23916" s="1"/>
  <c r="CU42" i="23916"/>
  <c r="CU34" i="23916"/>
  <c r="CV28" i="23916"/>
  <c r="CU43" i="23916"/>
  <c r="CU35" i="23916"/>
  <c r="FG311" i="23916"/>
  <c r="BC525" i="23916"/>
  <c r="BD348" i="23916"/>
  <c r="BC349" i="23916"/>
  <c r="GW190" i="23916"/>
  <c r="GX190" i="23916"/>
  <c r="EV297" i="23916"/>
  <c r="EU306" i="23916"/>
  <c r="AL430" i="23916"/>
  <c r="AT430" i="23916"/>
  <c r="EG11" i="23916"/>
  <c r="EH7" i="23916"/>
  <c r="DN122" i="23916"/>
  <c r="BI90" i="23916"/>
  <c r="BJ74" i="23916"/>
  <c r="BI91" i="23916"/>
  <c r="BU524" i="23916"/>
  <c r="BV311" i="23916"/>
  <c r="FV727" i="23916"/>
  <c r="FW180" i="23916"/>
  <c r="GW54" i="23916"/>
  <c r="GX54" i="23916"/>
  <c r="GV72" i="23916"/>
  <c r="GW72" i="23916" s="1"/>
  <c r="EP279" i="23916"/>
  <c r="DQ732" i="23916"/>
  <c r="AJ617" i="23916"/>
  <c r="DP264" i="23916"/>
  <c r="BX79" i="23916"/>
  <c r="FO315" i="23916"/>
  <c r="CX9" i="23916"/>
  <c r="AE669" i="23916"/>
  <c r="AE668" i="23916"/>
  <c r="AE617" i="23916"/>
  <c r="AF566" i="23916"/>
  <c r="AE607" i="23916"/>
  <c r="GC484" i="23916"/>
  <c r="GX285" i="23916"/>
  <c r="GW285" i="23916"/>
  <c r="CN79" i="23916"/>
  <c r="EA526" i="23916"/>
  <c r="EB523" i="23916"/>
  <c r="DL524" i="23916"/>
  <c r="FU509" i="23916"/>
  <c r="FU485" i="23916"/>
  <c r="FT487" i="23916"/>
  <c r="EC11" i="23916"/>
  <c r="ED7" i="23916"/>
  <c r="DZ279" i="23916"/>
  <c r="DP9" i="23916"/>
  <c r="DX9" i="23916"/>
  <c r="ES616" i="23916"/>
  <c r="ET616" i="23916" s="1"/>
  <c r="ES552" i="23916"/>
  <c r="ET552" i="23916" s="1"/>
  <c r="ET546" i="23916"/>
  <c r="GL176" i="23916"/>
  <c r="GM174" i="23916"/>
  <c r="GL180" i="23916"/>
  <c r="GL177" i="23916"/>
  <c r="BG363" i="23916"/>
  <c r="BI370" i="23916"/>
  <c r="BI369" i="23916"/>
  <c r="BR357" i="23916"/>
  <c r="DY531" i="23916"/>
  <c r="DZ487" i="23916"/>
  <c r="BM90" i="23916"/>
  <c r="BN74" i="23916"/>
  <c r="BM91" i="23916"/>
  <c r="BM123" i="23916"/>
  <c r="EA183" i="23916"/>
  <c r="EA179" i="23916"/>
  <c r="EB177" i="23916"/>
  <c r="EA7" i="23916"/>
  <c r="CX264" i="23916"/>
  <c r="ER307" i="23916"/>
  <c r="BW519" i="23916"/>
  <c r="BX179" i="23916"/>
  <c r="GC176" i="23916"/>
  <c r="FS340" i="23916"/>
  <c r="DP279" i="23916"/>
  <c r="EP183" i="23916"/>
  <c r="GO171" i="23916"/>
  <c r="FP529" i="23916"/>
  <c r="AR529" i="23916"/>
  <c r="BB525" i="23916"/>
  <c r="FY308" i="23916"/>
  <c r="CC523" i="23916"/>
  <c r="CD275" i="23916"/>
  <c r="FR732" i="23916"/>
  <c r="FR726" i="23916"/>
  <c r="FS119" i="23916"/>
  <c r="AU363" i="23916"/>
  <c r="AV357" i="23916"/>
  <c r="AU369" i="23916"/>
  <c r="AV369" i="23916" s="1"/>
  <c r="AU370" i="23916"/>
  <c r="AV370" i="23916" s="1"/>
  <c r="FI427" i="23916"/>
  <c r="FT380" i="23916"/>
  <c r="FO428" i="23916"/>
  <c r="FN434" i="23916"/>
  <c r="FO434" i="23916" s="1"/>
  <c r="FN430" i="23916"/>
  <c r="FO430" i="23916" s="1"/>
  <c r="DB531" i="23916"/>
  <c r="FU400" i="23916"/>
  <c r="BD279" i="23916"/>
  <c r="EL122" i="23916"/>
  <c r="DL176" i="23916"/>
  <c r="CK518" i="23916"/>
  <c r="CL118" i="23916"/>
  <c r="EI183" i="23916"/>
  <c r="EJ183" i="23916" s="1"/>
  <c r="EI179" i="23916"/>
  <c r="EJ177" i="23916"/>
  <c r="EI7" i="23916"/>
  <c r="CQ524" i="23916"/>
  <c r="CR311" i="23916"/>
  <c r="CZ311" i="23916"/>
  <c r="FR183" i="23916"/>
  <c r="FR179" i="23916"/>
  <c r="FS179" i="23916" s="1"/>
  <c r="FS177" i="23916"/>
  <c r="EE727" i="23916"/>
  <c r="EE732" i="23916" s="1"/>
  <c r="EF180" i="23916"/>
  <c r="BD519" i="23916"/>
  <c r="BI523" i="23916"/>
  <c r="BJ275" i="23916"/>
  <c r="BY523" i="23916"/>
  <c r="BZ275" i="23916"/>
  <c r="V430" i="23916"/>
  <c r="CK531" i="23916"/>
  <c r="CL487" i="23916"/>
  <c r="EL8" i="23916"/>
  <c r="EP315" i="23916"/>
  <c r="FQ232" i="23916"/>
  <c r="FP244" i="23916"/>
  <c r="FQ244" i="23916" s="1"/>
  <c r="FP245" i="23916"/>
  <c r="FQ245" i="23916" s="1"/>
  <c r="DJ8" i="23916"/>
  <c r="BR396" i="23916"/>
  <c r="BQ397" i="23916"/>
  <c r="GN725" i="23916"/>
  <c r="DS727" i="23916"/>
  <c r="DS732" i="23916" s="1"/>
  <c r="DT180" i="23916"/>
  <c r="AQ518" i="23916"/>
  <c r="AR118" i="23916"/>
  <c r="AZ118" i="23916"/>
  <c r="AK669" i="23916"/>
  <c r="AL669" i="23916" s="1"/>
  <c r="AK668" i="23916"/>
  <c r="AL668" i="23916" s="1"/>
  <c r="AK617" i="23916"/>
  <c r="AL617" i="23916" s="1"/>
  <c r="AL566" i="23916"/>
  <c r="AK607" i="23916"/>
  <c r="AL607" i="23916" s="1"/>
  <c r="BC520" i="23916"/>
  <c r="CG519" i="23916"/>
  <c r="CH179" i="23916"/>
  <c r="DK526" i="23916"/>
  <c r="DL526" i="23916" s="1"/>
  <c r="DL523" i="23916"/>
  <c r="DJ315" i="23916"/>
  <c r="AH617" i="23916"/>
  <c r="DH176" i="23916"/>
  <c r="GP75" i="23916"/>
  <c r="GQ75" i="23916" s="1"/>
  <c r="GQ36" i="23916"/>
  <c r="GR36" i="23916"/>
  <c r="GF264" i="23916"/>
  <c r="GG264" i="23916" s="1"/>
  <c r="GG263" i="23916"/>
  <c r="GD487" i="23916"/>
  <c r="GE485" i="23916"/>
  <c r="GD9" i="23916"/>
  <c r="DF524" i="23916"/>
  <c r="BI244" i="23916"/>
  <c r="BI245" i="23916"/>
  <c r="CS732" i="23916"/>
  <c r="FS428" i="23916"/>
  <c r="FR434" i="23916"/>
  <c r="FS434" i="23916" s="1"/>
  <c r="FR430" i="23916"/>
  <c r="FS430" i="23916" s="1"/>
  <c r="GR505" i="23916"/>
  <c r="GS505" i="23916" s="1"/>
  <c r="GR480" i="23916"/>
  <c r="GS480" i="23916" s="1"/>
  <c r="GS476" i="23916"/>
  <c r="GT476" i="23916"/>
  <c r="AU525" i="23916"/>
  <c r="AV348" i="23916"/>
  <c r="AU349" i="23916"/>
  <c r="AV349" i="23916" s="1"/>
  <c r="GR472" i="23916"/>
  <c r="GQ472" i="23916"/>
  <c r="GA308" i="23916"/>
  <c r="CA519" i="23916"/>
  <c r="CB179" i="23916"/>
  <c r="GF726" i="23916"/>
  <c r="GG119" i="23916"/>
  <c r="DU11" i="23916"/>
  <c r="DV7" i="23916"/>
  <c r="FT76" i="23916"/>
  <c r="FU76" i="23916" s="1"/>
  <c r="FT79" i="23916"/>
  <c r="FU79" i="23916" s="1"/>
  <c r="FU73" i="23916"/>
  <c r="FT74" i="23916"/>
  <c r="FU74" i="23916" s="1"/>
  <c r="BS524" i="23916"/>
  <c r="BT311" i="23916"/>
  <c r="AV529" i="23916"/>
  <c r="DI518" i="23916"/>
  <c r="DJ118" i="23916"/>
  <c r="DG523" i="23916"/>
  <c r="DH275" i="23916"/>
  <c r="BB396" i="23916"/>
  <c r="BA397" i="23916"/>
  <c r="GS656" i="23916"/>
  <c r="GT656" i="23916"/>
  <c r="GR633" i="23916"/>
  <c r="GS633" i="23916" s="1"/>
  <c r="EO531" i="23916"/>
  <c r="EP487" i="23916"/>
  <c r="DU523" i="23916"/>
  <c r="DV275" i="23916"/>
  <c r="DZ266" i="23916"/>
  <c r="GN518" i="23916"/>
  <c r="GO118" i="23916"/>
  <c r="FV728" i="23916"/>
  <c r="FW312" i="23916"/>
  <c r="FV273" i="23916"/>
  <c r="FV276" i="23916"/>
  <c r="FW270" i="23916"/>
  <c r="FV272" i="23916"/>
  <c r="FW272" i="23916" s="1"/>
  <c r="DM531" i="23916"/>
  <c r="DN487" i="23916"/>
  <c r="GE119" i="23916"/>
  <c r="FZ487" i="23916"/>
  <c r="GA485" i="23916"/>
  <c r="AV228" i="23916"/>
  <c r="AU230" i="23916"/>
  <c r="FU272" i="23916"/>
  <c r="GB264" i="23916"/>
  <c r="GC263" i="23916"/>
  <c r="GJ275" i="23916"/>
  <c r="GJ279" i="23916"/>
  <c r="GJ8" i="23916"/>
  <c r="GX629" i="23916"/>
  <c r="GW629" i="23916"/>
  <c r="GV503" i="23916"/>
  <c r="GW503" i="23916" s="1"/>
  <c r="CW519" i="23916"/>
  <c r="CX179" i="23916"/>
  <c r="CB74" i="23916"/>
  <c r="BY90" i="23916"/>
  <c r="BZ74" i="23916"/>
  <c r="BY91" i="23916"/>
  <c r="DD524" i="23916"/>
  <c r="BJ396" i="23916"/>
  <c r="DS531" i="23916"/>
  <c r="DT487" i="23916"/>
  <c r="GB753" i="23916"/>
  <c r="GB754" i="23916" s="1"/>
  <c r="GC497" i="23916"/>
  <c r="EX598" i="23916"/>
  <c r="GP598" i="23916"/>
  <c r="GQ598" i="23916" s="1"/>
  <c r="BY518" i="23916"/>
  <c r="BZ118" i="23916"/>
  <c r="FZ726" i="23916"/>
  <c r="GA119" i="23916"/>
  <c r="FY394" i="23916"/>
  <c r="FX401" i="23916"/>
  <c r="FX396" i="23916"/>
  <c r="BD462" i="23916"/>
  <c r="FR462" i="23916"/>
  <c r="GL524" i="23916"/>
  <c r="GM311" i="23916"/>
  <c r="GG485" i="23916"/>
  <c r="GF487" i="23916"/>
  <c r="GF9" i="23916"/>
  <c r="GG9" i="23916" s="1"/>
  <c r="AD617" i="23916"/>
  <c r="ER266" i="23916"/>
  <c r="GT196" i="23916"/>
  <c r="GS196" i="23916"/>
  <c r="FM430" i="23916"/>
  <c r="AN607" i="23916"/>
  <c r="AN669" i="23916"/>
  <c r="GU588" i="23916"/>
  <c r="GV588" i="23916"/>
  <c r="GG524" i="23916"/>
  <c r="AF620" i="23916"/>
  <c r="CP518" i="23916"/>
  <c r="CO520" i="23916"/>
  <c r="CQ93" i="23916"/>
  <c r="CR56" i="23916"/>
  <c r="BH523" i="23916"/>
  <c r="BG526" i="23916"/>
  <c r="CE90" i="23916"/>
  <c r="CF74" i="23916"/>
  <c r="CE123" i="23916"/>
  <c r="CE91" i="23916"/>
  <c r="EF275" i="23916"/>
  <c r="EM727" i="23916"/>
  <c r="EM732" i="23916" s="1"/>
  <c r="EN180" i="23916"/>
  <c r="DA524" i="23916"/>
  <c r="DB311" i="23916"/>
  <c r="BQ518" i="23916"/>
  <c r="BR118" i="23916"/>
  <c r="GE115" i="23916"/>
  <c r="FT727" i="23916"/>
  <c r="FU180" i="23916"/>
  <c r="GA301" i="23916"/>
  <c r="EU482" i="23916"/>
  <c r="EV473" i="23916"/>
  <c r="BY531" i="23916"/>
  <c r="BZ487" i="23916"/>
  <c r="EV590" i="23916"/>
  <c r="BY524" i="23916"/>
  <c r="BZ311" i="23916"/>
  <c r="BC531" i="23916"/>
  <c r="BD487" i="23916"/>
  <c r="CM531" i="23916"/>
  <c r="CN487" i="23916"/>
  <c r="FR731" i="23916"/>
  <c r="FS488" i="23916"/>
  <c r="DN183" i="23916"/>
  <c r="BP523" i="23916"/>
  <c r="AX208" i="23916"/>
  <c r="AW224" i="23916"/>
  <c r="AW214" i="23916"/>
  <c r="AW218" i="23916" s="1"/>
  <c r="AX218" i="23916" s="1"/>
  <c r="AW223" i="23916"/>
  <c r="FN669" i="23916"/>
  <c r="FO669" i="23916" s="1"/>
  <c r="FN668" i="23916"/>
  <c r="FO668" i="23916" s="1"/>
  <c r="FO566" i="23916"/>
  <c r="FN607" i="23916"/>
  <c r="FK315" i="23916"/>
  <c r="CA523" i="23916"/>
  <c r="CB275" i="23916"/>
  <c r="DV9" i="23916"/>
  <c r="CH74" i="23916"/>
  <c r="BS520" i="23916"/>
  <c r="DM518" i="23916"/>
  <c r="DN118" i="23916"/>
  <c r="FT123" i="23916"/>
  <c r="FT118" i="23916"/>
  <c r="FU116" i="23916"/>
  <c r="FT122" i="23916"/>
  <c r="DR122" i="23916"/>
  <c r="BO90" i="23916"/>
  <c r="BP74" i="23916"/>
  <c r="BO91" i="23916"/>
  <c r="BO123" i="23916"/>
  <c r="EP8" i="23916"/>
  <c r="GJ731" i="23916"/>
  <c r="GK488" i="23916"/>
  <c r="FP349" i="23916"/>
  <c r="FQ349" i="23916" s="1"/>
  <c r="DU519" i="23916"/>
  <c r="DV179" i="23916"/>
  <c r="BR524" i="23916"/>
  <c r="BT430" i="23916"/>
  <c r="BS431" i="23916"/>
  <c r="BT431" i="23916" s="1"/>
  <c r="FX731" i="23916"/>
  <c r="FY488" i="23916"/>
  <c r="BR79" i="23916"/>
  <c r="FZ183" i="23916"/>
  <c r="FZ179" i="23916"/>
  <c r="BK523" i="23916"/>
  <c r="BL275" i="23916"/>
  <c r="BX76" i="23916"/>
  <c r="FY681" i="23916"/>
  <c r="GA681" i="23916"/>
  <c r="CG523" i="23916"/>
  <c r="CH275" i="23916"/>
  <c r="BA523" i="23916"/>
  <c r="BB275" i="23916"/>
  <c r="FY150" i="23916"/>
  <c r="FX171" i="23916"/>
  <c r="EX288" i="23916"/>
  <c r="EW293" i="23916"/>
  <c r="EW296" i="23916"/>
  <c r="GP288" i="23916"/>
  <c r="EW290" i="23916"/>
  <c r="EX290" i="23916" s="1"/>
  <c r="GC485" i="23916"/>
  <c r="GB487" i="23916"/>
  <c r="GB9" i="23916"/>
  <c r="GC9" i="23916" s="1"/>
  <c r="CN76" i="23916"/>
  <c r="BK219" i="23916"/>
  <c r="EC732" i="23916"/>
  <c r="EI526" i="23916"/>
  <c r="EJ526" i="23916" s="1"/>
  <c r="EJ523" i="23916"/>
  <c r="GJ266" i="23916"/>
  <c r="GK266" i="23916" s="1"/>
  <c r="GK265" i="23916"/>
  <c r="GC270" i="23916"/>
  <c r="GB273" i="23916"/>
  <c r="GB276" i="23916"/>
  <c r="GB272" i="23916"/>
  <c r="GC272" i="23916" s="1"/>
  <c r="GA266" i="23916"/>
  <c r="DZ8" i="23916"/>
  <c r="DO531" i="23916"/>
  <c r="DP487" i="23916"/>
  <c r="EW611" i="23916"/>
  <c r="BI519" i="23916"/>
  <c r="BJ179" i="23916"/>
  <c r="BI364" i="23916"/>
  <c r="BJ525" i="23916"/>
  <c r="EG519" i="23916"/>
  <c r="EH179" i="23916"/>
  <c r="AV519" i="23916"/>
  <c r="AU520" i="23916"/>
  <c r="EA727" i="23916"/>
  <c r="EA732" i="23916" s="1"/>
  <c r="EB180" i="23916"/>
  <c r="EQ309" i="23916"/>
  <c r="GM266" i="23916"/>
  <c r="CC524" i="23916"/>
  <c r="CD311" i="23916"/>
  <c r="FS339" i="23916"/>
  <c r="FZ524" i="23916"/>
  <c r="GA311" i="23916"/>
  <c r="CM524" i="23916"/>
  <c r="CN311" i="23916"/>
  <c r="EQ731" i="23916"/>
  <c r="ER488" i="23916"/>
  <c r="AB617" i="23916"/>
  <c r="FL617" i="23916"/>
  <c r="FX311" i="23916"/>
  <c r="FX315" i="23916"/>
  <c r="FY315" i="23916" s="1"/>
  <c r="FY309" i="23916"/>
  <c r="BG519" i="23916"/>
  <c r="BH179" i="23916"/>
  <c r="BK230" i="23916"/>
  <c r="BF519" i="23916"/>
  <c r="EM526" i="23916"/>
  <c r="EN523" i="23916"/>
  <c r="AT364" i="23916"/>
  <c r="AS381" i="23916"/>
  <c r="AT381" i="23916" s="1"/>
  <c r="AS379" i="23916"/>
  <c r="AS382" i="23916"/>
  <c r="AT382" i="23916" s="1"/>
  <c r="AS371" i="23916"/>
  <c r="AT371" i="23916" s="1"/>
  <c r="AS402" i="23916"/>
  <c r="AT402" i="23916" s="1"/>
  <c r="AS403" i="23916"/>
  <c r="AT403" i="23916" s="1"/>
  <c r="BB524" i="23916"/>
  <c r="BV279" i="23916"/>
  <c r="AX525" i="23916"/>
  <c r="FU393" i="23916"/>
  <c r="DK183" i="23916"/>
  <c r="DK179" i="23916"/>
  <c r="DL177" i="23916"/>
  <c r="DK7" i="23916"/>
  <c r="CR315" i="23916"/>
  <c r="CZ315" i="23916"/>
  <c r="EL9" i="23916"/>
  <c r="FR727" i="23916"/>
  <c r="FS180" i="23916"/>
  <c r="DY519" i="23916"/>
  <c r="DZ179" i="23916"/>
  <c r="CE519" i="23916"/>
  <c r="CF179" i="23916"/>
  <c r="BJ279" i="23916"/>
  <c r="BZ279" i="23916"/>
  <c r="DL9" i="23916"/>
  <c r="EK523" i="23916"/>
  <c r="EL275" i="23916"/>
  <c r="CQ76" i="23916"/>
  <c r="CR76" i="23916" s="1"/>
  <c r="CQ79" i="23916"/>
  <c r="CR79" i="23916" s="1"/>
  <c r="CR73" i="23916"/>
  <c r="DI523" i="23916"/>
  <c r="DJ275" i="23916"/>
  <c r="BA487" i="23916"/>
  <c r="BB485" i="23916"/>
  <c r="BB509" i="23916"/>
  <c r="GN275" i="23916"/>
  <c r="GN279" i="23916"/>
  <c r="GN8" i="23916"/>
  <c r="CJ264" i="23916"/>
  <c r="CR264" i="23916"/>
  <c r="DT176" i="23916"/>
  <c r="DN264" i="23916"/>
  <c r="GV286" i="23916"/>
  <c r="GU286" i="23916"/>
  <c r="BZ397" i="23916"/>
  <c r="GG171" i="23916"/>
  <c r="DW11" i="23916"/>
  <c r="GE270" i="23916"/>
  <c r="BJ509" i="23916"/>
  <c r="FM679" i="23916"/>
  <c r="FO679" i="23916"/>
  <c r="CY732" i="23916"/>
  <c r="BV264" i="23916"/>
  <c r="CG531" i="23916"/>
  <c r="CH487" i="23916"/>
  <c r="GE266" i="23916"/>
  <c r="DU518" i="23916"/>
  <c r="DV118" i="23916"/>
  <c r="FP524" i="23916"/>
  <c r="FQ524" i="23916" s="1"/>
  <c r="AR524" i="23916"/>
  <c r="AZ524" i="23916"/>
  <c r="DA518" i="23916"/>
  <c r="DB118" i="23916"/>
  <c r="GQ215" i="23916"/>
  <c r="GR215" i="23916"/>
  <c r="DH531" i="23916"/>
  <c r="GB118" i="23916"/>
  <c r="GC116" i="23916"/>
  <c r="GB122" i="23916"/>
  <c r="GB7" i="23916"/>
  <c r="DY518" i="23916"/>
  <c r="DZ118" i="23916"/>
  <c r="CW518" i="23916"/>
  <c r="CX118" i="23916"/>
  <c r="CH524" i="23916"/>
  <c r="CH518" i="23916"/>
  <c r="CG520" i="23916"/>
  <c r="DX574" i="23916"/>
  <c r="DX526" i="23916"/>
  <c r="DX533" i="23916" s="1"/>
  <c r="DI11" i="23916"/>
  <c r="DJ7" i="23916"/>
  <c r="AU523" i="23916"/>
  <c r="AV275" i="23916"/>
  <c r="BT79" i="23916"/>
  <c r="CK90" i="23916"/>
  <c r="CL74" i="23916"/>
  <c r="CK91" i="23916"/>
  <c r="ET306" i="23916"/>
  <c r="ES307" i="23916"/>
  <c r="ET307" i="23916" s="1"/>
  <c r="ES312" i="23916"/>
  <c r="EG531" i="23916"/>
  <c r="EH487" i="23916"/>
  <c r="FV403" i="23916"/>
  <c r="FV401" i="23916"/>
  <c r="FV396" i="23916"/>
  <c r="FW394" i="23916"/>
  <c r="BM523" i="23916"/>
  <c r="BN275" i="23916"/>
  <c r="EK732" i="23916"/>
  <c r="BS523" i="23916"/>
  <c r="BT275" i="23916"/>
  <c r="FU434" i="23916"/>
  <c r="GQ632" i="23916"/>
  <c r="GP631" i="23916"/>
  <c r="GQ631" i="23916" s="1"/>
  <c r="GP636" i="23916"/>
  <c r="GQ636" i="23916" s="1"/>
  <c r="GP634" i="23916"/>
  <c r="GR632" i="23916"/>
  <c r="CT134" i="23916"/>
  <c r="CU129" i="23916"/>
  <c r="CQ11" i="23916"/>
  <c r="CR7" i="23916"/>
  <c r="FT725" i="23916"/>
  <c r="FU276" i="23916"/>
  <c r="AZ431" i="23916"/>
  <c r="FR431" i="23916"/>
  <c r="GN731" i="23916"/>
  <c r="GO488" i="23916"/>
  <c r="ES483" i="23916"/>
  <c r="ES485" i="23916" s="1"/>
  <c r="ES488" i="23916"/>
  <c r="ET482" i="23916"/>
  <c r="FU228" i="23916"/>
  <c r="FR230" i="23916"/>
  <c r="FS228" i="23916"/>
  <c r="GJ518" i="23916"/>
  <c r="GK118" i="23916"/>
  <c r="DN279" i="23916"/>
  <c r="CA524" i="23916"/>
  <c r="CB311" i="23916"/>
  <c r="CJ311" i="23916"/>
  <c r="GL487" i="23916"/>
  <c r="GM485" i="23916"/>
  <c r="GL9" i="23916"/>
  <c r="FI614" i="23916"/>
  <c r="FH620" i="23916"/>
  <c r="FI620" i="23916" s="1"/>
  <c r="FH618" i="23916"/>
  <c r="FI618" i="23916" s="1"/>
  <c r="FH589" i="23916"/>
  <c r="FI589" i="23916" s="1"/>
  <c r="GL273" i="23916"/>
  <c r="GL276" i="23916"/>
  <c r="GO276" i="23916" s="1"/>
  <c r="GM270" i="23916"/>
  <c r="GL272" i="23916"/>
  <c r="GM272" i="23916" s="1"/>
  <c r="FR352" i="23916"/>
  <c r="FR348" i="23916"/>
  <c r="FS346" i="23916"/>
  <c r="EB9" i="23916"/>
  <c r="GR599" i="23916"/>
  <c r="GQ599" i="23916"/>
  <c r="FW135" i="23916"/>
  <c r="FV155" i="23916"/>
  <c r="FV154" i="23916"/>
  <c r="FV153" i="23916"/>
  <c r="BM531" i="23916"/>
  <c r="BN487" i="23916"/>
  <c r="FZ122" i="23916"/>
  <c r="GA116" i="23916"/>
  <c r="FZ118" i="23916"/>
  <c r="DW526" i="23916"/>
  <c r="DW533" i="23916" s="1"/>
  <c r="GT50" i="23916"/>
  <c r="GS50" i="23916"/>
  <c r="GR495" i="23916"/>
  <c r="GS495" i="23916" s="1"/>
  <c r="GT148" i="23916"/>
  <c r="GS148" i="23916"/>
  <c r="CR531" i="23916"/>
  <c r="FQ434" i="23916"/>
  <c r="EJ9" i="23916"/>
  <c r="CI523" i="23916"/>
  <c r="CJ275" i="23916"/>
  <c r="GB311" i="23916"/>
  <c r="GC309" i="23916"/>
  <c r="GB315" i="23916"/>
  <c r="GC315" i="23916" s="1"/>
  <c r="FR311" i="23916"/>
  <c r="FS311" i="23916" s="1"/>
  <c r="FR315" i="23916"/>
  <c r="FS315" i="23916" s="1"/>
  <c r="FS309" i="23916"/>
  <c r="BD530" i="23916"/>
  <c r="FR530" i="23916"/>
  <c r="FX118" i="23916"/>
  <c r="FY116" i="23916"/>
  <c r="FX122" i="23916"/>
  <c r="BT531" i="23916"/>
  <c r="AD668" i="23916"/>
  <c r="EO518" i="23916"/>
  <c r="EP118" i="23916"/>
  <c r="CU183" i="23916"/>
  <c r="CU179" i="23916"/>
  <c r="CV177" i="23916"/>
  <c r="CU7" i="23916"/>
  <c r="AT525" i="23916"/>
  <c r="ES774" i="23916"/>
  <c r="ES266" i="23916"/>
  <c r="ET265" i="23916"/>
  <c r="EU265" i="23916"/>
  <c r="BW526" i="23916"/>
  <c r="BX523" i="23916"/>
  <c r="DT524" i="23916"/>
  <c r="AY525" i="23916"/>
  <c r="AZ348" i="23916"/>
  <c r="AY349" i="23916"/>
  <c r="BH348" i="23916"/>
  <c r="CQ526" i="23916"/>
  <c r="CR523" i="23916"/>
  <c r="DU732" i="23916"/>
  <c r="FT431" i="23916"/>
  <c r="FU431" i="23916" s="1"/>
  <c r="BH431" i="23916"/>
  <c r="GE315" i="23916"/>
  <c r="AF589" i="23916"/>
  <c r="CU531" i="23916"/>
  <c r="CV487" i="23916"/>
  <c r="FV731" i="23916"/>
  <c r="FW488" i="23916"/>
  <c r="EE526" i="23916"/>
  <c r="EF526" i="23916" s="1"/>
  <c r="EF523" i="23916"/>
  <c r="GL518" i="23916"/>
  <c r="GM118" i="23916"/>
  <c r="DE518" i="23916"/>
  <c r="DF118" i="23916"/>
  <c r="DC727" i="23916"/>
  <c r="DC732" i="23916" s="1"/>
  <c r="DD180" i="23916"/>
  <c r="EN176" i="23916"/>
  <c r="EV176" i="23916"/>
  <c r="EC523" i="23916"/>
  <c r="ED275" i="23916"/>
  <c r="CM11" i="23916"/>
  <c r="BF264" i="23916"/>
  <c r="GD176" i="23916"/>
  <c r="GE176" i="23916" s="1"/>
  <c r="GE174" i="23916"/>
  <c r="GD180" i="23916"/>
  <c r="GD177" i="23916"/>
  <c r="DH264" i="23916"/>
  <c r="GG270" i="23916"/>
  <c r="GF273" i="23916"/>
  <c r="GF276" i="23916"/>
  <c r="GF272" i="23916"/>
  <c r="GG272" i="23916" s="1"/>
  <c r="DZ524" i="23916"/>
  <c r="GH731" i="23916"/>
  <c r="GI488" i="23916"/>
  <c r="CP519" i="23916"/>
  <c r="FU309" i="23916"/>
  <c r="FS509" i="23916"/>
  <c r="W669" i="23916"/>
  <c r="X669" i="23916" s="1"/>
  <c r="W668" i="23916"/>
  <c r="W617" i="23916"/>
  <c r="X617" i="23916" s="1"/>
  <c r="X566" i="23916"/>
  <c r="W607" i="23916"/>
  <c r="DP177" i="23916"/>
  <c r="DO183" i="23916"/>
  <c r="DO179" i="23916"/>
  <c r="DO7" i="23916"/>
  <c r="BD431" i="23916"/>
  <c r="CC531" i="23916"/>
  <c r="CD487" i="23916"/>
  <c r="CY523" i="23916"/>
  <c r="CZ275" i="23916"/>
  <c r="O669" i="23916"/>
  <c r="P669" i="23916" s="1"/>
  <c r="O668" i="23916"/>
  <c r="P668" i="23916" s="1"/>
  <c r="O617" i="23916"/>
  <c r="P617" i="23916" s="1"/>
  <c r="P566" i="23916"/>
  <c r="CH79" i="23916"/>
  <c r="EH122" i="23916"/>
  <c r="DM11" i="23916"/>
  <c r="DN7" i="23916"/>
  <c r="BK248" i="23916"/>
  <c r="GH524" i="23916"/>
  <c r="GI311" i="23916"/>
  <c r="FW176" i="23916"/>
  <c r="GO311" i="23916"/>
  <c r="CH315" i="23916"/>
  <c r="BS363" i="23916"/>
  <c r="BT357" i="23916"/>
  <c r="BS369" i="23916"/>
  <c r="BT369" i="23916" s="1"/>
  <c r="BS370" i="23916"/>
  <c r="BT370" i="23916" s="1"/>
  <c r="DQ518" i="23916"/>
  <c r="DR118" i="23916"/>
  <c r="FU265" i="23916"/>
  <c r="FT266" i="23916"/>
  <c r="FU266" i="23916" s="1"/>
  <c r="BF525" i="23916"/>
  <c r="GK484" i="23916"/>
  <c r="AT232" i="23916"/>
  <c r="AS244" i="23916"/>
  <c r="AT244" i="23916" s="1"/>
  <c r="AS245" i="23916"/>
  <c r="AT245" i="23916" s="1"/>
  <c r="DQ519" i="23916"/>
  <c r="DR179" i="23916"/>
  <c r="DV183" i="23916"/>
  <c r="AS280" i="23916"/>
  <c r="AT280" i="23916" s="1"/>
  <c r="CL524" i="23916"/>
  <c r="FV431" i="23916"/>
  <c r="FW431" i="23916" s="1"/>
  <c r="BP431" i="23916"/>
  <c r="BF397" i="23916"/>
  <c r="FY484" i="23916"/>
  <c r="BA518" i="23916"/>
  <c r="BB118" i="23916"/>
  <c r="AS518" i="23916"/>
  <c r="AT118" i="23916"/>
  <c r="FZ727" i="23916"/>
  <c r="DB264" i="23916"/>
  <c r="BW90" i="23916"/>
  <c r="BX74" i="23916"/>
  <c r="BW91" i="23916"/>
  <c r="BW123" i="23916"/>
  <c r="GX211" i="23916"/>
  <c r="GW211" i="23916"/>
  <c r="GE308" i="23916"/>
  <c r="CW531" i="23916"/>
  <c r="CX487" i="23916"/>
  <c r="BS511" i="23916"/>
  <c r="BS510" i="23916"/>
  <c r="FX180" i="23916"/>
  <c r="FX177" i="23916"/>
  <c r="FY174" i="23916"/>
  <c r="FX176" i="23916"/>
  <c r="FY176" i="23916" s="1"/>
  <c r="CM90" i="23916"/>
  <c r="CN74" i="23916"/>
  <c r="CM91" i="23916"/>
  <c r="CM123" i="23916"/>
  <c r="BQ523" i="23916"/>
  <c r="BR275" i="23916"/>
  <c r="L617" i="23916"/>
  <c r="GV627" i="23916"/>
  <c r="GU627" i="23916"/>
  <c r="EC524" i="23916"/>
  <c r="ED311" i="23916"/>
  <c r="GE116" i="23916"/>
  <c r="DV311" i="23916"/>
  <c r="FT731" i="23916"/>
  <c r="FU488" i="23916"/>
  <c r="ED122" i="23916"/>
  <c r="AV246" i="23916"/>
  <c r="AU248" i="23916"/>
  <c r="AV248" i="23916" s="1"/>
  <c r="GJ264" i="23916"/>
  <c r="GK264" i="23916" s="1"/>
  <c r="GK263" i="23916"/>
  <c r="GH273" i="23916"/>
  <c r="GK273" i="23916" s="1"/>
  <c r="GH276" i="23916"/>
  <c r="GI270" i="23916"/>
  <c r="GH272" i="23916"/>
  <c r="GI272" i="23916" s="1"/>
  <c r="FT397" i="23916"/>
  <c r="EU546" i="23916"/>
  <c r="EW554" i="23916"/>
  <c r="EV554" i="23916"/>
  <c r="BC524" i="23916"/>
  <c r="BD311" i="23916"/>
  <c r="BL311" i="23916"/>
  <c r="BI368" i="23916"/>
  <c r="BR368" i="23916" s="1"/>
  <c r="DZ9" i="23916"/>
  <c r="FG428" i="23916"/>
  <c r="FF434" i="23916"/>
  <c r="FG434" i="23916" s="1"/>
  <c r="FF430" i="23916"/>
  <c r="FG430" i="23916" s="1"/>
  <c r="GC177" i="23916"/>
  <c r="GB179" i="23916"/>
  <c r="GB183" i="23916"/>
  <c r="CK523" i="23916"/>
  <c r="CL275" i="23916"/>
  <c r="EP264" i="23916"/>
  <c r="FP431" i="23916"/>
  <c r="FQ431" i="23916" s="1"/>
  <c r="AR431" i="23916"/>
  <c r="EE531" i="23916"/>
  <c r="EF487" i="23916"/>
  <c r="AB668" i="23916"/>
  <c r="BB519" i="23916"/>
  <c r="BM205" i="23916"/>
  <c r="BM195" i="23916"/>
  <c r="BM199" i="23916" s="1"/>
  <c r="BO524" i="23916"/>
  <c r="BO526" i="23916" s="1"/>
  <c r="BP526" i="23916" s="1"/>
  <c r="BP311" i="23916"/>
  <c r="CS518" i="23916"/>
  <c r="CT118" i="23916"/>
  <c r="FR122" i="23916"/>
  <c r="FS116" i="23916"/>
  <c r="FR118" i="23916"/>
  <c r="FS118" i="23916" s="1"/>
  <c r="FH430" i="23916"/>
  <c r="FI430" i="23916" s="1"/>
  <c r="FH434" i="23916"/>
  <c r="FI434" i="23916" s="1"/>
  <c r="FI428" i="23916"/>
  <c r="AO669" i="23916"/>
  <c r="AP669" i="23916" s="1"/>
  <c r="AO668" i="23916"/>
  <c r="AP668" i="23916" s="1"/>
  <c r="AO617" i="23916"/>
  <c r="AP617" i="23916" s="1"/>
  <c r="AP566" i="23916"/>
  <c r="AO607" i="23916"/>
  <c r="AP607" i="23916" s="1"/>
  <c r="FU394" i="23916"/>
  <c r="FT403" i="23916"/>
  <c r="FT401" i="23916"/>
  <c r="FT396" i="23916"/>
  <c r="BQ531" i="23916"/>
  <c r="BR487" i="23916"/>
  <c r="BC523" i="23916"/>
  <c r="BD275" i="23916"/>
  <c r="EK11" i="23916"/>
  <c r="EL7" i="23916"/>
  <c r="EI727" i="23916"/>
  <c r="EI732" i="23916" s="1"/>
  <c r="EJ180" i="23916"/>
  <c r="GM264" i="23916"/>
  <c r="CD76" i="23916"/>
  <c r="DZ183" i="23916"/>
  <c r="FP753" i="23916"/>
  <c r="FP754" i="23916" s="1"/>
  <c r="FQ497" i="23916"/>
  <c r="CO523" i="23916"/>
  <c r="CP275" i="23916"/>
  <c r="CE526" i="23916"/>
  <c r="CF526" i="23916" s="1"/>
  <c r="CF523" i="23916"/>
  <c r="FZ725" i="23916"/>
  <c r="CQ74" i="23916"/>
  <c r="DJ279" i="23916"/>
  <c r="FP725" i="23916"/>
  <c r="FQ276" i="23916"/>
  <c r="GO270" i="23916"/>
  <c r="DS183" i="23916"/>
  <c r="DT183" i="23916" s="1"/>
  <c r="DS179" i="23916"/>
  <c r="DT177" i="23916"/>
  <c r="DS7" i="23916"/>
  <c r="BZ396" i="23916"/>
  <c r="GI122" i="23916"/>
  <c r="CP524" i="23916"/>
  <c r="DG183" i="23916"/>
  <c r="DH177" i="23916"/>
  <c r="DG179" i="23916"/>
  <c r="DG7" i="23916"/>
  <c r="GH176" i="23916"/>
  <c r="GI174" i="23916"/>
  <c r="GH180" i="23916"/>
  <c r="GH177" i="23916"/>
  <c r="GD731" i="23916"/>
  <c r="GE488" i="23916"/>
  <c r="DY732" i="23916"/>
  <c r="GD725" i="23916"/>
  <c r="GE276" i="23916"/>
  <c r="BY519" i="23916"/>
  <c r="BZ179" i="23916"/>
  <c r="BL487" i="23916"/>
  <c r="BG531" i="23916"/>
  <c r="BH487" i="23916"/>
  <c r="BO531" i="23916"/>
  <c r="BP487" i="23916"/>
  <c r="GT628" i="23916"/>
  <c r="GS628" i="23916"/>
  <c r="BV519" i="23916"/>
  <c r="FV753" i="23916"/>
  <c r="FV754" i="23916" s="1"/>
  <c r="FW497" i="23916"/>
  <c r="GF118" i="23916"/>
  <c r="GG116" i="23916"/>
  <c r="GF122" i="23916"/>
  <c r="GG122" i="23916" s="1"/>
  <c r="FX397" i="23916"/>
  <c r="FS264" i="23916"/>
  <c r="GP471" i="23916"/>
  <c r="FK614" i="23916"/>
  <c r="GX209" i="23916"/>
  <c r="GW209" i="23916"/>
  <c r="DJ531" i="23916"/>
  <c r="DA519" i="23916"/>
  <c r="DB179" i="23916"/>
  <c r="FR401" i="23916"/>
  <c r="FS401" i="23916" s="1"/>
  <c r="FR396" i="23916"/>
  <c r="FS396" i="23916" s="1"/>
  <c r="FS394" i="23916"/>
  <c r="DA11" i="23916"/>
  <c r="DB7" i="23916"/>
  <c r="GJ180" i="23916"/>
  <c r="GJ177" i="23916"/>
  <c r="GK174" i="23916"/>
  <c r="GJ176" i="23916"/>
  <c r="GK176" i="23916" s="1"/>
  <c r="GQ57" i="23916"/>
  <c r="GR57" i="23916"/>
  <c r="FY109" i="23916"/>
  <c r="GA109" i="23916"/>
  <c r="BK90" i="23916"/>
  <c r="BL74" i="23916"/>
  <c r="BK91" i="23916"/>
  <c r="BK123" i="23916"/>
  <c r="CZ531" i="23916"/>
  <c r="AR519" i="23916"/>
  <c r="FP519" i="23916"/>
  <c r="BT76" i="23916"/>
  <c r="CP264" i="23916"/>
  <c r="ED264" i="23916"/>
  <c r="CO531" i="23916"/>
  <c r="CP487" i="23916"/>
  <c r="EC519" i="23916"/>
  <c r="ED179" i="23916"/>
  <c r="BU90" i="23916"/>
  <c r="BV74" i="23916"/>
  <c r="BU91" i="23916"/>
  <c r="BU123" i="23916"/>
  <c r="FZ264" i="23916"/>
  <c r="GA264" i="23916" s="1"/>
  <c r="GA263" i="23916"/>
  <c r="FV518" i="23916"/>
  <c r="FW118" i="23916"/>
  <c r="GF266" i="23916"/>
  <c r="GG266" i="23916" s="1"/>
  <c r="GG265" i="23916"/>
  <c r="FU430" i="23916"/>
  <c r="EK519" i="23916"/>
  <c r="EL179" i="23916"/>
  <c r="GV258" i="23916"/>
  <c r="GU258" i="23916"/>
  <c r="DN9" i="23916"/>
  <c r="DA523" i="23916"/>
  <c r="DB275" i="23916"/>
  <c r="BJ524" i="23916"/>
  <c r="FZ731" i="23916"/>
  <c r="GA488" i="23916"/>
  <c r="BI518" i="23916"/>
  <c r="BJ118" i="23916"/>
  <c r="AW205" i="23916"/>
  <c r="AX189" i="23916"/>
  <c r="AW195" i="23916"/>
  <c r="AW199" i="23916" s="1"/>
  <c r="DE519" i="23916"/>
  <c r="DF179" i="23916"/>
  <c r="BP519" i="23916"/>
  <c r="FU273" i="23916"/>
  <c r="FT275" i="23916"/>
  <c r="FT279" i="23916"/>
  <c r="GK272" i="23916"/>
  <c r="GI265" i="23916"/>
  <c r="GO484" i="23916"/>
  <c r="GZ484" i="23916"/>
  <c r="CE531" i="23916"/>
  <c r="CF487" i="23916"/>
  <c r="DN8" i="23916"/>
  <c r="CB315" i="23916"/>
  <c r="CJ315" i="23916"/>
  <c r="FK430" i="23916"/>
  <c r="EA531" i="23916"/>
  <c r="EB487" i="23916"/>
  <c r="CV524" i="23916"/>
  <c r="EX594" i="23916"/>
  <c r="EW596" i="23916"/>
  <c r="GP594" i="23916"/>
  <c r="GQ594" i="23916" s="1"/>
  <c r="FW55" i="23916"/>
  <c r="FX49" i="23916"/>
  <c r="FV58" i="23916"/>
  <c r="FW58" i="23916" s="1"/>
  <c r="EK524" i="23916"/>
  <c r="EL311" i="23916"/>
  <c r="FY400" i="23916"/>
  <c r="FQ430" i="23916"/>
  <c r="EI531" i="23916"/>
  <c r="EJ487" i="23916"/>
  <c r="CY183" i="23916"/>
  <c r="CZ177" i="23916"/>
  <c r="CY179" i="23916"/>
  <c r="CY7" i="23916"/>
  <c r="CS519" i="23916"/>
  <c r="CT179" i="23916"/>
  <c r="CW523" i="23916"/>
  <c r="CX275" i="23916"/>
  <c r="GF731" i="23916"/>
  <c r="GG488" i="23916"/>
  <c r="BK519" i="23916"/>
  <c r="BL179" i="23916"/>
  <c r="BN519" i="23916"/>
  <c r="AD669" i="23916"/>
  <c r="CX524" i="23916"/>
  <c r="EW610" i="23916"/>
  <c r="GZ130" i="23916"/>
  <c r="GY130" i="23916"/>
  <c r="DQ523" i="23916"/>
  <c r="DR275" i="23916"/>
  <c r="AN617" i="23916"/>
  <c r="BF518" i="23916"/>
  <c r="BE520" i="23916"/>
  <c r="GN266" i="23916"/>
  <c r="GO266" i="23916" s="1"/>
  <c r="GO265" i="23916"/>
  <c r="GE309" i="23916"/>
  <c r="AF618" i="23916"/>
  <c r="CB79" i="23916"/>
  <c r="FQ635" i="23916"/>
  <c r="FS635" i="23916"/>
  <c r="FP678" i="23916"/>
  <c r="BR264" i="23916"/>
  <c r="FW509" i="23916"/>
  <c r="BV518" i="23916"/>
  <c r="BU520" i="23916"/>
  <c r="CM526" i="23916"/>
  <c r="CN526" i="23916" s="1"/>
  <c r="CN523" i="23916"/>
  <c r="EF8" i="23916"/>
  <c r="FP352" i="23916"/>
  <c r="FQ352" i="23916" s="1"/>
  <c r="FP348" i="23916"/>
  <c r="FQ348" i="23916" s="1"/>
  <c r="FQ346" i="23916"/>
  <c r="CJ531" i="23916"/>
  <c r="DE11" i="23916"/>
  <c r="DF7" i="23916"/>
  <c r="DD176" i="23916"/>
  <c r="EN177" i="23916"/>
  <c r="EM183" i="23916"/>
  <c r="EM179" i="23916"/>
  <c r="EM7" i="23916"/>
  <c r="BT179" i="23916"/>
  <c r="ED279" i="23916"/>
  <c r="CD74" i="23916"/>
  <c r="DJ311" i="23916"/>
  <c r="GI484" i="23916"/>
  <c r="FT524" i="23916"/>
  <c r="FU311" i="23916"/>
  <c r="CS523" i="23916"/>
  <c r="CT275" i="23916"/>
  <c r="FR487" i="23916"/>
  <c r="FS487" i="23916" s="1"/>
  <c r="FS485" i="23916"/>
  <c r="DO727" i="23916"/>
  <c r="DO732" i="23916" s="1"/>
  <c r="DP180" i="23916"/>
  <c r="AZ523" i="23916"/>
  <c r="AY526" i="23916"/>
  <c r="FR523" i="23916"/>
  <c r="EH266" i="23916"/>
  <c r="DM732" i="23916"/>
  <c r="EC531" i="23916"/>
  <c r="ED487" i="23916"/>
  <c r="FG315" i="23916"/>
  <c r="DQ531" i="23916"/>
  <c r="DR487" i="23916"/>
  <c r="CB279" i="23916"/>
  <c r="DU531" i="23916"/>
  <c r="DV487" i="23916"/>
  <c r="FX134" i="23916"/>
  <c r="FX135" i="23916" s="1"/>
  <c r="FY129" i="23916"/>
  <c r="FX140" i="23916"/>
  <c r="FX141" i="23916"/>
  <c r="FX139" i="23916"/>
  <c r="AL434" i="23916"/>
  <c r="AT434" i="23916"/>
  <c r="FJ617" i="23916"/>
  <c r="T617" i="23916"/>
  <c r="EG518" i="23916"/>
  <c r="EH118" i="23916"/>
  <c r="FT732" i="23916"/>
  <c r="FT726" i="23916"/>
  <c r="FU119" i="23916"/>
  <c r="FR519" i="23916"/>
  <c r="AZ519" i="23916"/>
  <c r="BF524" i="23916"/>
  <c r="GF180" i="23916"/>
  <c r="GF177" i="23916"/>
  <c r="GF7" i="23916" s="1"/>
  <c r="GG174" i="23916"/>
  <c r="GF176" i="23916"/>
  <c r="GG176" i="23916" s="1"/>
  <c r="FV183" i="23916"/>
  <c r="FV184" i="23916"/>
  <c r="FV179" i="23916"/>
  <c r="FW177" i="23916"/>
  <c r="BN524" i="23916"/>
  <c r="GO524" i="23916"/>
  <c r="BR364" i="23916"/>
  <c r="BQ381" i="23916"/>
  <c r="BQ379" i="23916"/>
  <c r="BQ371" i="23916"/>
  <c r="BQ382" i="23916"/>
  <c r="BQ402" i="23916"/>
  <c r="BN518" i="23916"/>
  <c r="DQ11" i="23916"/>
  <c r="DR7" i="23916"/>
  <c r="EO523" i="23916"/>
  <c r="EP275" i="23916"/>
  <c r="GK485" i="23916"/>
  <c r="GJ487" i="23916"/>
  <c r="GJ9" i="23916"/>
  <c r="GK9" i="23916" s="1"/>
  <c r="GV644" i="23916"/>
  <c r="GU644" i="23916"/>
  <c r="DR183" i="23916"/>
  <c r="CU526" i="23916"/>
  <c r="CV526" i="23916" s="1"/>
  <c r="CV523" i="23916"/>
  <c r="BZ264" i="23916"/>
  <c r="AS523" i="23916"/>
  <c r="AT275" i="23916"/>
  <c r="FY509" i="23916"/>
  <c r="GA509" i="23916"/>
  <c r="FY485" i="23916"/>
  <c r="FX487" i="23916"/>
  <c r="GT643" i="23916"/>
  <c r="GR648" i="23916"/>
  <c r="GS648" i="23916" s="1"/>
  <c r="GR645" i="23916"/>
  <c r="GS645" i="23916" s="1"/>
  <c r="GS643" i="23916"/>
  <c r="EB524" i="23916"/>
  <c r="Z434" i="23916"/>
  <c r="BW531" i="23916"/>
  <c r="BX487" i="23916"/>
  <c r="BB279" i="23916"/>
  <c r="EM531" i="23916"/>
  <c r="EN487" i="23916"/>
  <c r="CS524" i="23916"/>
  <c r="CT311" i="23916"/>
  <c r="FP397" i="23916"/>
  <c r="FQ397" i="23916" s="1"/>
  <c r="GT287" i="23916"/>
  <c r="GS287" i="23916"/>
  <c r="GB731" i="23916"/>
  <c r="GC488" i="23916"/>
  <c r="EG732" i="23916"/>
  <c r="BM218" i="23916"/>
  <c r="BM214" i="23916"/>
  <c r="BM223" i="23916"/>
  <c r="BM224" i="23916"/>
  <c r="BM225" i="23916" s="1"/>
  <c r="GD518" i="23916"/>
  <c r="GE118" i="23916"/>
  <c r="DV524" i="23916"/>
  <c r="FU484" i="23916"/>
  <c r="GR103" i="23916"/>
  <c r="GQ103" i="23916"/>
  <c r="EC518" i="23916"/>
  <c r="ED118" i="23916"/>
  <c r="FT264" i="23916"/>
  <c r="FU264" i="23916" s="1"/>
  <c r="FU263" i="23916"/>
  <c r="BU531" i="23916"/>
  <c r="BV487" i="23916"/>
  <c r="DY523" i="23916"/>
  <c r="DZ275" i="23916"/>
  <c r="CT531" i="23916"/>
  <c r="AX531" i="23916"/>
  <c r="EW609" i="23916"/>
  <c r="BD315" i="23916"/>
  <c r="BL315" i="23916"/>
  <c r="BJ401" i="23916"/>
  <c r="EQ728" i="23916"/>
  <c r="ER312" i="23916"/>
  <c r="AR523" i="23916"/>
  <c r="FP523" i="23916"/>
  <c r="AQ526" i="23916"/>
  <c r="AR526" i="23916" s="1"/>
  <c r="GB727" i="23916"/>
  <c r="GC180" i="23916"/>
  <c r="CD315" i="23916"/>
  <c r="AX519" i="23916"/>
  <c r="DP8" i="23916"/>
  <c r="DO523" i="23916"/>
  <c r="DP275" i="23916"/>
  <c r="EO519" i="23916"/>
  <c r="EP179" i="23916"/>
  <c r="ER483" i="23916"/>
  <c r="AB669" i="23916"/>
  <c r="EG524" i="23916"/>
  <c r="EP524" i="23916" s="1"/>
  <c r="EH311" i="23916"/>
  <c r="BB349" i="23916"/>
  <c r="GK171" i="23916"/>
  <c r="FX728" i="23916"/>
  <c r="FY312" i="23916"/>
  <c r="GG682" i="23916"/>
  <c r="CS11" i="23916"/>
  <c r="CT7" i="23916"/>
  <c r="CN519" i="23916"/>
  <c r="GO315" i="23916"/>
  <c r="BU523" i="23916"/>
  <c r="BV275" i="23916"/>
  <c r="DR264" i="23916"/>
  <c r="GZ647" i="23916"/>
  <c r="GY647" i="23916"/>
  <c r="EK518" i="23916"/>
  <c r="EL118" i="23916"/>
  <c r="DK727" i="23916"/>
  <c r="DK732" i="23916" s="1"/>
  <c r="DL180" i="23916"/>
  <c r="CK123" i="23916"/>
  <c r="ER176" i="23916"/>
  <c r="EJ176" i="23916"/>
  <c r="BH524" i="23916"/>
  <c r="EK531" i="23916"/>
  <c r="EL487" i="23916"/>
  <c r="BE531" i="23916"/>
  <c r="BF487" i="23916"/>
  <c r="GQ165" i="23916"/>
  <c r="GR165" i="23916"/>
  <c r="GA150" i="23916"/>
  <c r="CF524" i="23916"/>
  <c r="EF177" i="23916"/>
  <c r="EE183" i="23916"/>
  <c r="EF183" i="23916" s="1"/>
  <c r="EE179" i="23916"/>
  <c r="EE7" i="23916"/>
  <c r="FO311" i="23916"/>
  <c r="CP279" i="23916"/>
  <c r="V434" i="23916"/>
  <c r="DK531" i="23916"/>
  <c r="DL487" i="23916"/>
  <c r="EL279" i="23916"/>
  <c r="FZ275" i="23916"/>
  <c r="FZ279" i="23916"/>
  <c r="GA273" i="23916"/>
  <c r="EF524" i="23916"/>
  <c r="FP531" i="23916"/>
  <c r="FW115" i="23916"/>
  <c r="FQ273" i="23916"/>
  <c r="FP275" i="23916"/>
  <c r="FQ275" i="23916" s="1"/>
  <c r="FP280" i="23916"/>
  <c r="FQ280" i="23916" s="1"/>
  <c r="FP279" i="23916"/>
  <c r="FQ279" i="23916" s="1"/>
  <c r="GO272" i="23916"/>
  <c r="GR288" i="23916"/>
  <c r="FW28" i="23916"/>
  <c r="FV35" i="23916"/>
  <c r="FW35" i="23916" s="1"/>
  <c r="FV34" i="23916"/>
  <c r="FV68" i="23916"/>
  <c r="FV41" i="23916"/>
  <c r="FV42" i="23916"/>
  <c r="FV43" i="23916"/>
  <c r="FV44" i="23916"/>
  <c r="GH518" i="23916"/>
  <c r="GI118" i="23916"/>
  <c r="DV266" i="23916"/>
  <c r="AN620" i="23916"/>
  <c r="EN518" i="23916"/>
  <c r="DG727" i="23916"/>
  <c r="DG732" i="23916" s="1"/>
  <c r="DH180" i="23916"/>
  <c r="FY270" i="23916"/>
  <c r="FX273" i="23916"/>
  <c r="FX276" i="23916"/>
  <c r="GA276" i="23916" s="1"/>
  <c r="FX272" i="23916"/>
  <c r="FY272" i="23916" s="1"/>
  <c r="CB531" i="23916"/>
  <c r="GE484" i="23916"/>
  <c r="DS526" i="23916"/>
  <c r="DT526" i="23916" s="1"/>
  <c r="DT523" i="23916"/>
  <c r="GD275" i="23916"/>
  <c r="GD279" i="23916"/>
  <c r="GE273" i="23916"/>
  <c r="GD8" i="23916"/>
  <c r="BJ484" i="23916"/>
  <c r="CK519" i="23916"/>
  <c r="CL179" i="23916"/>
  <c r="BL531" i="23916"/>
  <c r="FM635" i="23916"/>
  <c r="FL678" i="23916"/>
  <c r="FO635" i="23916"/>
  <c r="BO520" i="23916"/>
  <c r="FS263" i="23916"/>
  <c r="FK618" i="23916"/>
  <c r="FX154" i="23916" l="1"/>
  <c r="FY135" i="23916"/>
  <c r="FX155" i="23916"/>
  <c r="FX153" i="23916"/>
  <c r="BM247" i="23916"/>
  <c r="BM246" i="23916"/>
  <c r="BM204" i="23916"/>
  <c r="ES487" i="23916"/>
  <c r="ET485" i="23916"/>
  <c r="ES9" i="23916"/>
  <c r="ET9" i="23916" s="1"/>
  <c r="AW247" i="23916"/>
  <c r="AW246" i="23916"/>
  <c r="AW204" i="23916"/>
  <c r="AX199" i="23916"/>
  <c r="FM678" i="23916"/>
  <c r="FO678" i="23916"/>
  <c r="FY273" i="23916"/>
  <c r="FX275" i="23916"/>
  <c r="FX279" i="23916"/>
  <c r="FV73" i="23916"/>
  <c r="FW68" i="23916"/>
  <c r="GR296" i="23916"/>
  <c r="GR293" i="23916"/>
  <c r="GS288" i="23916"/>
  <c r="GR290" i="23916"/>
  <c r="DL531" i="23916"/>
  <c r="BF531" i="23916"/>
  <c r="BU526" i="23916"/>
  <c r="BU533" i="23916" s="1"/>
  <c r="BV523" i="23916"/>
  <c r="EP519" i="23916"/>
  <c r="DZ523" i="23916"/>
  <c r="DY526" i="23916"/>
  <c r="GS103" i="23916"/>
  <c r="GT103" i="23916"/>
  <c r="BM216" i="23916"/>
  <c r="BM229" i="23916"/>
  <c r="BO208" i="23916"/>
  <c r="EN531" i="23916"/>
  <c r="FX531" i="23916"/>
  <c r="FY487" i="23916"/>
  <c r="GJ531" i="23916"/>
  <c r="GK487" i="23916"/>
  <c r="GF727" i="23916"/>
  <c r="GG180" i="23916"/>
  <c r="EH518" i="23916"/>
  <c r="EG520" i="23916"/>
  <c r="DV531" i="23916"/>
  <c r="BV520" i="23916"/>
  <c r="FQ678" i="23916"/>
  <c r="FS678" i="23916"/>
  <c r="BF520" i="23916"/>
  <c r="BL519" i="23916"/>
  <c r="BK520" i="23916"/>
  <c r="CW526" i="23916"/>
  <c r="CX526" i="23916" s="1"/>
  <c r="CX523" i="23916"/>
  <c r="FT523" i="23916"/>
  <c r="GW258" i="23916"/>
  <c r="GX258" i="23916"/>
  <c r="GT57" i="23916"/>
  <c r="GS57" i="23916"/>
  <c r="DA14" i="23916"/>
  <c r="DB11" i="23916"/>
  <c r="GF518" i="23916"/>
  <c r="GG118" i="23916"/>
  <c r="BZ519" i="23916"/>
  <c r="GH727" i="23916"/>
  <c r="GI180" i="23916"/>
  <c r="DT7" i="23916"/>
  <c r="DS11" i="23916"/>
  <c r="CO526" i="23916"/>
  <c r="CP523" i="23916"/>
  <c r="FU396" i="23916"/>
  <c r="CT518" i="23916"/>
  <c r="CS520" i="23916"/>
  <c r="EF531" i="23916"/>
  <c r="EU616" i="23916"/>
  <c r="EV616" i="23916" s="1"/>
  <c r="EV546" i="23916"/>
  <c r="GH725" i="23916"/>
  <c r="GI276" i="23916"/>
  <c r="FH617" i="23916"/>
  <c r="FI617" i="23916" s="1"/>
  <c r="FY177" i="23916"/>
  <c r="FX184" i="23916"/>
  <c r="FX179" i="23916"/>
  <c r="FX183" i="23916"/>
  <c r="BB518" i="23916"/>
  <c r="BA520" i="23916"/>
  <c r="FR518" i="23916"/>
  <c r="DR518" i="23916"/>
  <c r="DQ520" i="23916"/>
  <c r="BS368" i="23916"/>
  <c r="BT368" i="23916" s="1"/>
  <c r="BS364" i="23916"/>
  <c r="BT363" i="23916"/>
  <c r="BU357" i="23916"/>
  <c r="CD531" i="23916"/>
  <c r="DO519" i="23916"/>
  <c r="DP179" i="23916"/>
  <c r="CV531" i="23916"/>
  <c r="AZ525" i="23916"/>
  <c r="FR525" i="23916"/>
  <c r="BH525" i="23916"/>
  <c r="BX526" i="23916"/>
  <c r="GB524" i="23916"/>
  <c r="GC311" i="23916"/>
  <c r="GU148" i="23916"/>
  <c r="GV148" i="23916"/>
  <c r="GU50" i="23916"/>
  <c r="GV50" i="23916"/>
  <c r="BN531" i="23916"/>
  <c r="CB524" i="23916"/>
  <c r="CJ524" i="23916"/>
  <c r="CU140" i="23916"/>
  <c r="CU134" i="23916"/>
  <c r="CU135" i="23916" s="1"/>
  <c r="CU139" i="23916"/>
  <c r="CV129" i="23916"/>
  <c r="CU141" i="23916"/>
  <c r="CU142" i="23916" s="1"/>
  <c r="FW401" i="23916"/>
  <c r="ES309" i="23916"/>
  <c r="DX692" i="23916"/>
  <c r="DX680" i="23916"/>
  <c r="DX579" i="23916"/>
  <c r="DX583" i="23916"/>
  <c r="DX582" i="23916"/>
  <c r="DX580" i="23916"/>
  <c r="DX578" i="23916"/>
  <c r="DX576" i="23916"/>
  <c r="DX555" i="23916"/>
  <c r="DX536" i="23916"/>
  <c r="DX606" i="23916"/>
  <c r="DX581" i="23916"/>
  <c r="DX571" i="23916"/>
  <c r="DX573" i="23916"/>
  <c r="DX572" i="23916"/>
  <c r="DX575" i="23916"/>
  <c r="CX518" i="23916"/>
  <c r="CW520" i="23916"/>
  <c r="BA531" i="23916"/>
  <c r="BB487" i="23916"/>
  <c r="CF519" i="23916"/>
  <c r="CE520" i="23916"/>
  <c r="DL7" i="23916"/>
  <c r="DK11" i="23916"/>
  <c r="FX524" i="23916"/>
  <c r="FY311" i="23916"/>
  <c r="AV520" i="23916"/>
  <c r="EH519" i="23916"/>
  <c r="DP531" i="23916"/>
  <c r="GB725" i="23916"/>
  <c r="GB732" i="23916" s="1"/>
  <c r="GC276" i="23916"/>
  <c r="FY171" i="23916"/>
  <c r="GA171" i="23916"/>
  <c r="FZ519" i="23916"/>
  <c r="GA179" i="23916"/>
  <c r="FT518" i="23916"/>
  <c r="FU118" i="23916"/>
  <c r="BT520" i="23916"/>
  <c r="CA526" i="23916"/>
  <c r="CB523" i="23916"/>
  <c r="BD531" i="23916"/>
  <c r="BZ531" i="23916"/>
  <c r="BR518" i="23916"/>
  <c r="BQ520" i="23916"/>
  <c r="BZ518" i="23916"/>
  <c r="BY520" i="23916"/>
  <c r="AV230" i="23916"/>
  <c r="AU232" i="23916"/>
  <c r="EP531" i="23916"/>
  <c r="BB397" i="23916"/>
  <c r="FR397" i="23916"/>
  <c r="FS397" i="23916" s="1"/>
  <c r="FK620" i="23916"/>
  <c r="CB519" i="23916"/>
  <c r="CA520" i="23916"/>
  <c r="CH519" i="23916"/>
  <c r="BY526" i="23916"/>
  <c r="BZ523" i="23916"/>
  <c r="CR524" i="23916"/>
  <c r="CZ524" i="23916"/>
  <c r="EI519" i="23916"/>
  <c r="EJ179" i="23916"/>
  <c r="CJ519" i="23916"/>
  <c r="GA315" i="23916"/>
  <c r="BX519" i="23916"/>
  <c r="BW520" i="23916"/>
  <c r="EB7" i="23916"/>
  <c r="EA11" i="23916"/>
  <c r="EB183" i="23916"/>
  <c r="BR369" i="23916"/>
  <c r="GL179" i="23916"/>
  <c r="GL183" i="23916"/>
  <c r="GM177" i="23916"/>
  <c r="GL7" i="23916"/>
  <c r="EC14" i="23916"/>
  <c r="ED11" i="23916"/>
  <c r="EB526" i="23916"/>
  <c r="BV524" i="23916"/>
  <c r="BD525" i="23916"/>
  <c r="GI9" i="23916"/>
  <c r="EW482" i="23916"/>
  <c r="EX473" i="23916"/>
  <c r="DC519" i="23916"/>
  <c r="DD179" i="23916"/>
  <c r="FV531" i="23916"/>
  <c r="FW487" i="23916"/>
  <c r="AX520" i="23916"/>
  <c r="DJ519" i="23916"/>
  <c r="FK434" i="23916"/>
  <c r="DM526" i="23916"/>
  <c r="DN523" i="23916"/>
  <c r="GO9" i="23916"/>
  <c r="GI266" i="23916"/>
  <c r="DN524" i="23916"/>
  <c r="FR725" i="23916"/>
  <c r="FS276" i="23916"/>
  <c r="BN520" i="23916"/>
  <c r="CS156" i="23916"/>
  <c r="CL519" i="23916"/>
  <c r="FW34" i="23916"/>
  <c r="FX28" i="23916"/>
  <c r="FV37" i="23916"/>
  <c r="FW37" i="23916" s="1"/>
  <c r="FZ523" i="23916"/>
  <c r="GA275" i="23916"/>
  <c r="EE11" i="23916"/>
  <c r="EF7" i="23916"/>
  <c r="GT165" i="23916"/>
  <c r="GS165" i="23916"/>
  <c r="GW644" i="23916"/>
  <c r="GX644" i="23916"/>
  <c r="DQ14" i="23916"/>
  <c r="DR11" i="23916"/>
  <c r="FS523" i="23916"/>
  <c r="EM519" i="23916"/>
  <c r="EN179" i="23916"/>
  <c r="DQ526" i="23916"/>
  <c r="DR523" i="23916"/>
  <c r="GP610" i="23916"/>
  <c r="EX610" i="23916"/>
  <c r="EW722" i="23916"/>
  <c r="CY519" i="23916"/>
  <c r="CZ179" i="23916"/>
  <c r="EJ531" i="23916"/>
  <c r="EL524" i="23916"/>
  <c r="CF531" i="23916"/>
  <c r="DF519" i="23916"/>
  <c r="DA526" i="23916"/>
  <c r="DB523" i="23916"/>
  <c r="CP531" i="23916"/>
  <c r="FQ519" i="23916"/>
  <c r="GJ183" i="23916"/>
  <c r="GK177" i="23916"/>
  <c r="GJ179" i="23916"/>
  <c r="GJ7" i="23916"/>
  <c r="GP473" i="23916"/>
  <c r="GR471" i="23916"/>
  <c r="GQ471" i="23916"/>
  <c r="GU628" i="23916"/>
  <c r="GV628" i="23916"/>
  <c r="BH531" i="23916"/>
  <c r="DG519" i="23916"/>
  <c r="DH179" i="23916"/>
  <c r="CQ90" i="23916"/>
  <c r="CR74" i="23916"/>
  <c r="CQ91" i="23916"/>
  <c r="CQ123" i="23916"/>
  <c r="BD523" i="23916"/>
  <c r="BC526" i="23916"/>
  <c r="FU401" i="23916"/>
  <c r="CK526" i="23916"/>
  <c r="CL523" i="23916"/>
  <c r="BD524" i="23916"/>
  <c r="BL524" i="23916"/>
  <c r="FU397" i="23916"/>
  <c r="GH275" i="23916"/>
  <c r="GH279" i="23916"/>
  <c r="GI273" i="23916"/>
  <c r="GH8" i="23916"/>
  <c r="ED524" i="23916"/>
  <c r="BQ526" i="23916"/>
  <c r="BR523" i="23916"/>
  <c r="FX727" i="23916"/>
  <c r="FY180" i="23916"/>
  <c r="GZ211" i="23916"/>
  <c r="GY211" i="23916"/>
  <c r="GI524" i="23916"/>
  <c r="DP183" i="23916"/>
  <c r="EC526" i="23916"/>
  <c r="ED523" i="23916"/>
  <c r="GM518" i="23916"/>
  <c r="EU774" i="23916"/>
  <c r="EV265" i="23916"/>
  <c r="EU266" i="23916"/>
  <c r="EW265" i="23916"/>
  <c r="EP518" i="23916"/>
  <c r="EO520" i="23916"/>
  <c r="FS530" i="23916"/>
  <c r="DW692" i="23916"/>
  <c r="DW680" i="23916"/>
  <c r="DW583" i="23916"/>
  <c r="DW582" i="23916"/>
  <c r="DW580" i="23916"/>
  <c r="DW578" i="23916"/>
  <c r="DW576" i="23916"/>
  <c r="DW555" i="23916"/>
  <c r="DW579" i="23916"/>
  <c r="DW536" i="23916"/>
  <c r="DW606" i="23916"/>
  <c r="DW571" i="23916"/>
  <c r="DW581" i="23916"/>
  <c r="DW575" i="23916"/>
  <c r="DW573" i="23916"/>
  <c r="DW572" i="23916"/>
  <c r="FS348" i="23916"/>
  <c r="GL725" i="23916"/>
  <c r="GM276" i="23916"/>
  <c r="GL531" i="23916"/>
  <c r="GM487" i="23916"/>
  <c r="FT232" i="23916"/>
  <c r="FS230" i="23916"/>
  <c r="FU230" i="23916"/>
  <c r="FR232" i="23916"/>
  <c r="BM526" i="23916"/>
  <c r="BN523" i="23916"/>
  <c r="FW403" i="23916"/>
  <c r="ES728" i="23916"/>
  <c r="ET312" i="23916"/>
  <c r="AU526" i="23916"/>
  <c r="AV526" i="23916" s="1"/>
  <c r="AV523" i="23916"/>
  <c r="DX577" i="23916"/>
  <c r="DB518" i="23916"/>
  <c r="DA520" i="23916"/>
  <c r="DW14" i="23916"/>
  <c r="BH519" i="23916"/>
  <c r="BG520" i="23916"/>
  <c r="FM617" i="23916"/>
  <c r="EQ315" i="23916"/>
  <c r="ER315" i="23916" s="1"/>
  <c r="ER309" i="23916"/>
  <c r="EQ311" i="23916"/>
  <c r="BJ519" i="23916"/>
  <c r="GC273" i="23916"/>
  <c r="GB275" i="23916"/>
  <c r="GB279" i="23916"/>
  <c r="GC279" i="23916" s="1"/>
  <c r="GB8" i="23916"/>
  <c r="GC8" i="23916" s="1"/>
  <c r="BK233" i="23916"/>
  <c r="BL233" i="23916" s="1"/>
  <c r="GQ288" i="23916"/>
  <c r="GP290" i="23916"/>
  <c r="GQ290" i="23916" s="1"/>
  <c r="CG526" i="23916"/>
  <c r="CH526" i="23916" s="1"/>
  <c r="CH523" i="23916"/>
  <c r="GW588" i="23916"/>
  <c r="GX588" i="23916"/>
  <c r="GU196" i="23916"/>
  <c r="GV196" i="23916"/>
  <c r="FY396" i="23916"/>
  <c r="DT531" i="23916"/>
  <c r="GZ629" i="23916"/>
  <c r="GY629" i="23916"/>
  <c r="GX503" i="23916"/>
  <c r="GK279" i="23916"/>
  <c r="DJ518" i="23916"/>
  <c r="DI520" i="23916"/>
  <c r="BT524" i="23916"/>
  <c r="GE9" i="23916"/>
  <c r="BD520" i="23916"/>
  <c r="BC533" i="23916"/>
  <c r="BC574" i="23916" s="1"/>
  <c r="AR518" i="23916"/>
  <c r="FP518" i="23916"/>
  <c r="AQ520" i="23916"/>
  <c r="AZ518" i="23916"/>
  <c r="GA272" i="23916"/>
  <c r="CL531" i="23916"/>
  <c r="EJ7" i="23916"/>
  <c r="EI11" i="23916"/>
  <c r="BR370" i="23916"/>
  <c r="GL727" i="23916"/>
  <c r="GM180" i="23916"/>
  <c r="FT531" i="23916"/>
  <c r="FU487" i="23916"/>
  <c r="GY285" i="23916"/>
  <c r="GZ285" i="23916"/>
  <c r="AF617" i="23916"/>
  <c r="FN617" i="23916"/>
  <c r="FO617" i="23916" s="1"/>
  <c r="EU307" i="23916"/>
  <c r="EV307" i="23916" s="1"/>
  <c r="EU312" i="23916"/>
  <c r="EV306" i="23916"/>
  <c r="EU309" i="23916"/>
  <c r="CU37" i="23916"/>
  <c r="CV37" i="23916" s="1"/>
  <c r="CW28" i="23916"/>
  <c r="CV34" i="23916"/>
  <c r="DN519" i="23916"/>
  <c r="GN183" i="23916"/>
  <c r="GO183" i="23916" s="1"/>
  <c r="GO177" i="23916"/>
  <c r="GN179" i="23916"/>
  <c r="GN7" i="23916"/>
  <c r="FT519" i="23916"/>
  <c r="FU179" i="23916"/>
  <c r="BT519" i="23916"/>
  <c r="DD7" i="23916"/>
  <c r="DC11" i="23916"/>
  <c r="GE311" i="23916"/>
  <c r="AW526" i="23916"/>
  <c r="AX526" i="23916" s="1"/>
  <c r="AX523" i="23916"/>
  <c r="BJ397" i="23916"/>
  <c r="GN531" i="23916"/>
  <c r="GO487" i="23916"/>
  <c r="FS529" i="23916"/>
  <c r="GK276" i="23916"/>
  <c r="CR519" i="23916"/>
  <c r="CQ520" i="23916"/>
  <c r="DE526" i="23916"/>
  <c r="DF526" i="23916" s="1"/>
  <c r="DF523" i="23916"/>
  <c r="FR275" i="23916"/>
  <c r="FS275" i="23916" s="1"/>
  <c r="FR280" i="23916"/>
  <c r="FS280" i="23916" s="1"/>
  <c r="FR279" i="23916"/>
  <c r="FS279" i="23916" s="1"/>
  <c r="FS273" i="23916"/>
  <c r="CW14" i="23916"/>
  <c r="CX11" i="23916"/>
  <c r="DF531" i="23916"/>
  <c r="BO533" i="23916"/>
  <c r="BO573" i="23916" s="1"/>
  <c r="BP520" i="23916"/>
  <c r="EL531" i="23916"/>
  <c r="CT11" i="23916"/>
  <c r="CS14" i="23916"/>
  <c r="EH524" i="23916"/>
  <c r="DP523" i="23916"/>
  <c r="DO526" i="23916"/>
  <c r="FQ523" i="23916"/>
  <c r="EW720" i="23916"/>
  <c r="EX609" i="23916"/>
  <c r="GP609" i="23916"/>
  <c r="BV531" i="23916"/>
  <c r="ED518" i="23916"/>
  <c r="EC520" i="23916"/>
  <c r="CT524" i="23916"/>
  <c r="GT648" i="23916"/>
  <c r="GU648" i="23916" s="1"/>
  <c r="GU643" i="23916"/>
  <c r="GV643" i="23916"/>
  <c r="GT645" i="23916"/>
  <c r="GU645" i="23916" s="1"/>
  <c r="AS526" i="23916"/>
  <c r="AT526" i="23916" s="1"/>
  <c r="AT523" i="23916"/>
  <c r="BQ380" i="23916"/>
  <c r="FV519" i="23916"/>
  <c r="FW179" i="23916"/>
  <c r="FS519" i="23916"/>
  <c r="FK617" i="23916"/>
  <c r="FY134" i="23916"/>
  <c r="FZ129" i="23916"/>
  <c r="ED531" i="23916"/>
  <c r="AZ526" i="23916"/>
  <c r="CS526" i="23916"/>
  <c r="CT526" i="23916" s="1"/>
  <c r="CT523" i="23916"/>
  <c r="EN183" i="23916"/>
  <c r="DE14" i="23916"/>
  <c r="DF11" i="23916"/>
  <c r="CT519" i="23916"/>
  <c r="EX596" i="23916"/>
  <c r="GP596" i="23916"/>
  <c r="GQ596" i="23916" s="1"/>
  <c r="FU279" i="23916"/>
  <c r="AX195" i="23916"/>
  <c r="AW228" i="23916"/>
  <c r="AY189" i="23916"/>
  <c r="EL519" i="23916"/>
  <c r="GJ727" i="23916"/>
  <c r="GK180" i="23916"/>
  <c r="DB519" i="23916"/>
  <c r="GI176" i="23916"/>
  <c r="BO575" i="23916"/>
  <c r="BP524" i="23916"/>
  <c r="BX524" i="23916"/>
  <c r="CX531" i="23916"/>
  <c r="AT518" i="23916"/>
  <c r="AS520" i="23916"/>
  <c r="DR519" i="23916"/>
  <c r="DM14" i="23916"/>
  <c r="DN11" i="23916"/>
  <c r="CY526" i="23916"/>
  <c r="CZ526" i="23916" s="1"/>
  <c r="CZ523" i="23916"/>
  <c r="DO11" i="23916"/>
  <c r="DP7" i="23916"/>
  <c r="DX7" i="23916"/>
  <c r="X668" i="23916"/>
  <c r="GF725" i="23916"/>
  <c r="GF732" i="23916" s="1"/>
  <c r="GG276" i="23916"/>
  <c r="GD183" i="23916"/>
  <c r="GD179" i="23916"/>
  <c r="GE177" i="23916"/>
  <c r="GD7" i="23916"/>
  <c r="GG7" i="23916" s="1"/>
  <c r="AZ349" i="23916"/>
  <c r="FR349" i="23916"/>
  <c r="FS349" i="23916" s="1"/>
  <c r="BH349" i="23916"/>
  <c r="CU519" i="23916"/>
  <c r="CV179" i="23916"/>
  <c r="CI526" i="23916"/>
  <c r="CJ523" i="23916"/>
  <c r="DW574" i="23916"/>
  <c r="DW577" i="23916" s="1"/>
  <c r="FV156" i="23916"/>
  <c r="GT599" i="23916"/>
  <c r="GS599" i="23916"/>
  <c r="GR598" i="23916"/>
  <c r="GS598" i="23916" s="1"/>
  <c r="GR594" i="23916"/>
  <c r="FS352" i="23916"/>
  <c r="GL275" i="23916"/>
  <c r="GL279" i="23916"/>
  <c r="GM279" i="23916" s="1"/>
  <c r="GM273" i="23916"/>
  <c r="GL8" i="23916"/>
  <c r="GM8" i="23916" s="1"/>
  <c r="ES731" i="23916"/>
  <c r="ET488" i="23916"/>
  <c r="FS431" i="23916"/>
  <c r="GR636" i="23916"/>
  <c r="GS636" i="23916" s="1"/>
  <c r="GR634" i="23916"/>
  <c r="GT632" i="23916"/>
  <c r="GR631" i="23916"/>
  <c r="GS631" i="23916" s="1"/>
  <c r="GS632" i="23916"/>
  <c r="BS526" i="23916"/>
  <c r="BS533" i="23916" s="1"/>
  <c r="BT523" i="23916"/>
  <c r="CG533" i="23916"/>
  <c r="CG573" i="23916" s="1"/>
  <c r="CH520" i="23916"/>
  <c r="DZ518" i="23916"/>
  <c r="DY520" i="23916"/>
  <c r="GB518" i="23916"/>
  <c r="GE518" i="23916" s="1"/>
  <c r="GC118" i="23916"/>
  <c r="GT215" i="23916"/>
  <c r="GS215" i="23916"/>
  <c r="DV518" i="23916"/>
  <c r="DU520" i="23916"/>
  <c r="CH531" i="23916"/>
  <c r="GX286" i="23916"/>
  <c r="GW286" i="23916"/>
  <c r="GN523" i="23916"/>
  <c r="GO275" i="23916"/>
  <c r="DI526" i="23916"/>
  <c r="DJ526" i="23916" s="1"/>
  <c r="DJ523" i="23916"/>
  <c r="DZ519" i="23916"/>
  <c r="FR524" i="23916"/>
  <c r="AT379" i="23916"/>
  <c r="AS380" i="23916"/>
  <c r="AT380" i="23916" s="1"/>
  <c r="EN526" i="23916"/>
  <c r="BK232" i="23916"/>
  <c r="CN524" i="23916"/>
  <c r="EW615" i="23916"/>
  <c r="EX615" i="23916" s="1"/>
  <c r="EX611" i="23916"/>
  <c r="EW590" i="23916"/>
  <c r="GP611" i="23916"/>
  <c r="GB531" i="23916"/>
  <c r="GC487" i="23916"/>
  <c r="EX296" i="23916"/>
  <c r="EW294" i="23916"/>
  <c r="EW297" i="23916"/>
  <c r="GP296" i="23916"/>
  <c r="GK524" i="23916"/>
  <c r="BK526" i="23916"/>
  <c r="BL526" i="23916" s="1"/>
  <c r="BL523" i="23916"/>
  <c r="CN531" i="23916"/>
  <c r="BZ524" i="23916"/>
  <c r="EU483" i="23916"/>
  <c r="EV482" i="23916"/>
  <c r="EU488" i="23916"/>
  <c r="DB524" i="23916"/>
  <c r="BH526" i="23916"/>
  <c r="GM524" i="23916"/>
  <c r="FY401" i="23916"/>
  <c r="CX519" i="23916"/>
  <c r="GC264" i="23916"/>
  <c r="DN531" i="23916"/>
  <c r="FV725" i="23916"/>
  <c r="FW276" i="23916"/>
  <c r="FV732" i="23916"/>
  <c r="DU526" i="23916"/>
  <c r="DV526" i="23916" s="1"/>
  <c r="DV523" i="23916"/>
  <c r="GV656" i="23916"/>
  <c r="GU656" i="23916"/>
  <c r="GT633" i="23916"/>
  <c r="GU633" i="23916" s="1"/>
  <c r="AV525" i="23916"/>
  <c r="FP525" i="23916"/>
  <c r="GE272" i="23916"/>
  <c r="GT36" i="23916"/>
  <c r="GR75" i="23916"/>
  <c r="GS75" i="23916" s="1"/>
  <c r="GS36" i="23916"/>
  <c r="BR397" i="23916"/>
  <c r="FV397" i="23916"/>
  <c r="FW397" i="23916" s="1"/>
  <c r="BI526" i="23916"/>
  <c r="BJ523" i="23916"/>
  <c r="CC526" i="23916"/>
  <c r="CD526" i="23916" s="1"/>
  <c r="CD523" i="23916"/>
  <c r="DZ531" i="23916"/>
  <c r="BG357" i="23916"/>
  <c r="BG368" i="23916"/>
  <c r="BG364" i="23916"/>
  <c r="BP363" i="23916"/>
  <c r="AF668" i="23916"/>
  <c r="GZ54" i="23916"/>
  <c r="GY54" i="23916"/>
  <c r="GX72" i="23916"/>
  <c r="EG14" i="23916"/>
  <c r="EH11" i="23916"/>
  <c r="BD349" i="23916"/>
  <c r="CV35" i="23916"/>
  <c r="CU92" i="23916"/>
  <c r="BJ487" i="23916"/>
  <c r="GH531" i="23916"/>
  <c r="GI487" i="23916"/>
  <c r="GN727" i="23916"/>
  <c r="GN732" i="23916" s="1"/>
  <c r="GO180" i="23916"/>
  <c r="DD526" i="23916"/>
  <c r="CS58" i="23916"/>
  <c r="CT58" i="23916" s="1"/>
  <c r="CT55" i="23916"/>
  <c r="CU49" i="23916"/>
  <c r="GE524" i="23916"/>
  <c r="EO14" i="23916"/>
  <c r="EP11" i="23916"/>
  <c r="CD519" i="23916"/>
  <c r="CC520" i="23916"/>
  <c r="GZ477" i="23916"/>
  <c r="GY477" i="23916"/>
  <c r="BE526" i="23916"/>
  <c r="BF526" i="23916" s="1"/>
  <c r="BF523" i="23916"/>
  <c r="GE264" i="23916"/>
  <c r="GJ732" i="23916"/>
  <c r="EH523" i="23916"/>
  <c r="EG526" i="23916"/>
  <c r="EH526" i="23916" s="1"/>
  <c r="FV524" i="23916"/>
  <c r="FW311" i="23916"/>
  <c r="FY357" i="23916"/>
  <c r="FX363" i="23916"/>
  <c r="FX369" i="23916"/>
  <c r="FY369" i="23916" s="1"/>
  <c r="FX370" i="23916"/>
  <c r="FY370" i="23916" s="1"/>
  <c r="EQ531" i="23916"/>
  <c r="ER487" i="23916"/>
  <c r="AY533" i="23916"/>
  <c r="GE8" i="23916"/>
  <c r="GD523" i="23916"/>
  <c r="GE275" i="23916"/>
  <c r="FX725" i="23916"/>
  <c r="FY276" i="23916"/>
  <c r="GI518" i="23916"/>
  <c r="FQ531" i="23916"/>
  <c r="GA279" i="23916"/>
  <c r="EE519" i="23916"/>
  <c r="EF179" i="23916"/>
  <c r="EL518" i="23916"/>
  <c r="EK520" i="23916"/>
  <c r="GV287" i="23916"/>
  <c r="GU287" i="23916"/>
  <c r="GT288" i="23916"/>
  <c r="BX531" i="23916"/>
  <c r="EP523" i="23916"/>
  <c r="EO526" i="23916"/>
  <c r="GF183" i="23916"/>
  <c r="GG183" i="23916" s="1"/>
  <c r="GG177" i="23916"/>
  <c r="GF179" i="23916"/>
  <c r="DR531" i="23916"/>
  <c r="EM11" i="23916"/>
  <c r="EN7" i="23916"/>
  <c r="CY11" i="23916"/>
  <c r="CZ7" i="23916"/>
  <c r="FX55" i="23916"/>
  <c r="FY49" i="23916"/>
  <c r="FX56" i="23916"/>
  <c r="FY56" i="23916" s="1"/>
  <c r="FX65" i="23916"/>
  <c r="FX62" i="23916"/>
  <c r="FX64" i="23916"/>
  <c r="FX63" i="23916"/>
  <c r="EB531" i="23916"/>
  <c r="BJ518" i="23916"/>
  <c r="BI520" i="23916"/>
  <c r="FW518" i="23916"/>
  <c r="FV520" i="23916"/>
  <c r="ED519" i="23916"/>
  <c r="GY209" i="23916"/>
  <c r="GZ209" i="23916"/>
  <c r="FY397" i="23916"/>
  <c r="BO581" i="23916"/>
  <c r="BP531" i="23916"/>
  <c r="GH179" i="23916"/>
  <c r="GI177" i="23916"/>
  <c r="GH183" i="23916"/>
  <c r="GI183" i="23916" s="1"/>
  <c r="GH7" i="23916"/>
  <c r="DG11" i="23916"/>
  <c r="DH7" i="23916"/>
  <c r="DS519" i="23916"/>
  <c r="DT179" i="23916"/>
  <c r="FZ732" i="23916"/>
  <c r="EK14" i="23916"/>
  <c r="EL11" i="23916"/>
  <c r="BR531" i="23916"/>
  <c r="BM228" i="23916"/>
  <c r="BM197" i="23916"/>
  <c r="BM200" i="23916" s="1"/>
  <c r="BO189" i="23916"/>
  <c r="GB519" i="23916"/>
  <c r="GC179" i="23916"/>
  <c r="EX554" i="23916"/>
  <c r="EW546" i="23916"/>
  <c r="GP546" i="23916" s="1"/>
  <c r="GX627" i="23916"/>
  <c r="GW627" i="23916"/>
  <c r="GA180" i="23916"/>
  <c r="GG273" i="23916"/>
  <c r="GF275" i="23916"/>
  <c r="GF279" i="23916"/>
  <c r="GG279" i="23916" s="1"/>
  <c r="GF8" i="23916"/>
  <c r="GG8" i="23916" s="1"/>
  <c r="GD727" i="23916"/>
  <c r="GD732" i="23916" s="1"/>
  <c r="GE180" i="23916"/>
  <c r="CM14" i="23916"/>
  <c r="CN11" i="23916"/>
  <c r="DF518" i="23916"/>
  <c r="DE520" i="23916"/>
  <c r="CR526" i="23916"/>
  <c r="CM533" i="23916"/>
  <c r="CM575" i="23916" s="1"/>
  <c r="ET266" i="23916"/>
  <c r="CV7" i="23916"/>
  <c r="CU11" i="23916"/>
  <c r="FX518" i="23916"/>
  <c r="FY118" i="23916"/>
  <c r="FZ518" i="23916"/>
  <c r="GA118" i="23916"/>
  <c r="GM9" i="23916"/>
  <c r="GK518" i="23916"/>
  <c r="FW264" i="23916"/>
  <c r="ET483" i="23916"/>
  <c r="CQ14" i="23916"/>
  <c r="CR11" i="23916"/>
  <c r="GQ634" i="23916"/>
  <c r="GP635" i="23916"/>
  <c r="GQ635" i="23916" s="1"/>
  <c r="FW396" i="23916"/>
  <c r="EH531" i="23916"/>
  <c r="DJ11" i="23916"/>
  <c r="DI14" i="23916"/>
  <c r="GC7" i="23916"/>
  <c r="GB11" i="23916"/>
  <c r="FK589" i="23916"/>
  <c r="GO8" i="23916"/>
  <c r="GO273" i="23916"/>
  <c r="EK526" i="23916"/>
  <c r="EL526" i="23916" s="1"/>
  <c r="EL523" i="23916"/>
  <c r="DK519" i="23916"/>
  <c r="DL179" i="23916"/>
  <c r="CD524" i="23916"/>
  <c r="BI381" i="23916"/>
  <c r="BI379" i="23916"/>
  <c r="BI382" i="23916"/>
  <c r="BI371" i="23916"/>
  <c r="BI402" i="23916"/>
  <c r="BR402" i="23916" s="1"/>
  <c r="BI403" i="23916"/>
  <c r="FW266" i="23916"/>
  <c r="EW303" i="23916"/>
  <c r="EX303" i="23916" s="1"/>
  <c r="EX293" i="23916"/>
  <c r="GP293" i="23916"/>
  <c r="BB523" i="23916"/>
  <c r="BA526" i="23916"/>
  <c r="BB526" i="23916" s="1"/>
  <c r="GA177" i="23916"/>
  <c r="DV519" i="23916"/>
  <c r="DN518" i="23916"/>
  <c r="DM520" i="23916"/>
  <c r="AX214" i="23916"/>
  <c r="AW229" i="23916"/>
  <c r="AX229" i="23916" s="1"/>
  <c r="AY208" i="23916"/>
  <c r="FU315" i="23916"/>
  <c r="CO533" i="23916"/>
  <c r="CO581" i="23916" s="1"/>
  <c r="CP520" i="23916"/>
  <c r="GF531" i="23916"/>
  <c r="GG487" i="23916"/>
  <c r="GJ523" i="23916"/>
  <c r="GK275" i="23916"/>
  <c r="FZ531" i="23916"/>
  <c r="GA487" i="23916"/>
  <c r="FV275" i="23916"/>
  <c r="FV279" i="23916"/>
  <c r="FW279" i="23916" s="1"/>
  <c r="FW273" i="23916"/>
  <c r="GO518" i="23916"/>
  <c r="DG526" i="23916"/>
  <c r="DH526" i="23916" s="1"/>
  <c r="DH523" i="23916"/>
  <c r="DU14" i="23916"/>
  <c r="DV11" i="23916"/>
  <c r="GT472" i="23916"/>
  <c r="GT495" i="23916" s="1"/>
  <c r="GU495" i="23916" s="1"/>
  <c r="GS472" i="23916"/>
  <c r="GT505" i="23916"/>
  <c r="GU505" i="23916" s="1"/>
  <c r="GU476" i="23916"/>
  <c r="GT480" i="23916"/>
  <c r="GU480" i="23916" s="1"/>
  <c r="GV476" i="23916"/>
  <c r="GD531" i="23916"/>
  <c r="GE487" i="23916"/>
  <c r="GI264" i="23916"/>
  <c r="CL518" i="23916"/>
  <c r="CK520" i="23916"/>
  <c r="AW357" i="23916"/>
  <c r="AU368" i="23916"/>
  <c r="AV368" i="23916" s="1"/>
  <c r="AU364" i="23916"/>
  <c r="AV363" i="23916"/>
  <c r="FQ529" i="23916"/>
  <c r="EA519" i="23916"/>
  <c r="EB179" i="23916"/>
  <c r="GM176" i="23916"/>
  <c r="AF669" i="23916"/>
  <c r="GA176" i="23916"/>
  <c r="GZ190" i="23916"/>
  <c r="GY190" i="23916"/>
  <c r="BJ531" i="23916"/>
  <c r="GO176" i="23916"/>
  <c r="DJ524" i="23916"/>
  <c r="CT68" i="23916"/>
  <c r="CS74" i="23916"/>
  <c r="CS73" i="23916"/>
  <c r="CS93" i="23916"/>
  <c r="CT56" i="23916"/>
  <c r="AN668" i="23916"/>
  <c r="FX732" i="23916"/>
  <c r="GV630" i="23916"/>
  <c r="GU630" i="23916"/>
  <c r="BR519" i="23916"/>
  <c r="CO14" i="23916"/>
  <c r="CP11" i="23916"/>
  <c r="DD531" i="23916"/>
  <c r="FW364" i="23916"/>
  <c r="FV381" i="23916"/>
  <c r="FW381" i="23916" s="1"/>
  <c r="FV371" i="23916"/>
  <c r="FW371" i="23916" s="1"/>
  <c r="FV379" i="23916"/>
  <c r="FV382" i="23916"/>
  <c r="FW382" i="23916" s="1"/>
  <c r="FV402" i="23916"/>
  <c r="FW402" i="23916" s="1"/>
  <c r="DY14" i="23916"/>
  <c r="DZ11" i="23916"/>
  <c r="GZ192" i="23916"/>
  <c r="GY192" i="23916"/>
  <c r="GP616" i="23916" l="1"/>
  <c r="GQ616" i="23916" s="1"/>
  <c r="GP554" i="23916"/>
  <c r="GQ546" i="23916"/>
  <c r="CU155" i="23916"/>
  <c r="CU153" i="23916"/>
  <c r="CV135" i="23916"/>
  <c r="CU154" i="23916"/>
  <c r="CU184" i="23916"/>
  <c r="BU692" i="23916"/>
  <c r="BU680" i="23916"/>
  <c r="BU579" i="23916"/>
  <c r="BU578" i="23916"/>
  <c r="BU576" i="23916"/>
  <c r="BU583" i="23916"/>
  <c r="BU582" i="23916"/>
  <c r="BU555" i="23916"/>
  <c r="BU536" i="23916"/>
  <c r="BU606" i="23916"/>
  <c r="BU572" i="23916"/>
  <c r="BU571" i="23916"/>
  <c r="BU574" i="23916"/>
  <c r="BU573" i="23916"/>
  <c r="BU575" i="23916"/>
  <c r="BU581" i="23916"/>
  <c r="BS692" i="23916"/>
  <c r="BS680" i="23916"/>
  <c r="BS583" i="23916"/>
  <c r="BS582" i="23916"/>
  <c r="BS555" i="23916"/>
  <c r="BS579" i="23916"/>
  <c r="BS578" i="23916"/>
  <c r="BS576" i="23916"/>
  <c r="BS536" i="23916"/>
  <c r="BS606" i="23916"/>
  <c r="BS571" i="23916"/>
  <c r="BS572" i="23916"/>
  <c r="BS581" i="23916"/>
  <c r="BS573" i="23916"/>
  <c r="BS575" i="23916"/>
  <c r="BS574" i="23916"/>
  <c r="CP14" i="23916"/>
  <c r="GW630" i="23916"/>
  <c r="GX630" i="23916"/>
  <c r="DV14" i="23916"/>
  <c r="CO573" i="23916"/>
  <c r="CP573" i="23916" s="1"/>
  <c r="DL519" i="23916"/>
  <c r="DK520" i="23916"/>
  <c r="GA518" i="23916"/>
  <c r="FZ520" i="23916"/>
  <c r="GF523" i="23916"/>
  <c r="GG275" i="23916"/>
  <c r="DG14" i="23916"/>
  <c r="DH11" i="23916"/>
  <c r="FX58" i="23916"/>
  <c r="FY58" i="23916" s="1"/>
  <c r="FY55" i="23916"/>
  <c r="FZ49" i="23916"/>
  <c r="EM14" i="23916"/>
  <c r="EN11" i="23916"/>
  <c r="GX287" i="23916"/>
  <c r="GW287" i="23916"/>
  <c r="CC573" i="23916"/>
  <c r="CD573" i="23916" s="1"/>
  <c r="CC533" i="23916"/>
  <c r="CD520" i="23916"/>
  <c r="CU62" i="23916"/>
  <c r="CV49" i="23916"/>
  <c r="CU64" i="23916"/>
  <c r="CU65" i="23916"/>
  <c r="CU55" i="23916"/>
  <c r="CU63" i="23916"/>
  <c r="CU68" i="23916"/>
  <c r="GT75" i="23916"/>
  <c r="GU75" i="23916" s="1"/>
  <c r="GU36" i="23916"/>
  <c r="GV36" i="23916"/>
  <c r="EX294" i="23916"/>
  <c r="GP294" i="23916"/>
  <c r="GQ294" i="23916" s="1"/>
  <c r="GP615" i="23916"/>
  <c r="GQ615" i="23916" s="1"/>
  <c r="GQ611" i="23916"/>
  <c r="GP590" i="23916"/>
  <c r="FS524" i="23916"/>
  <c r="CG581" i="23916"/>
  <c r="DY533" i="23916"/>
  <c r="DZ520" i="23916"/>
  <c r="GR635" i="23916"/>
  <c r="GS635" i="23916" s="1"/>
  <c r="GS634" i="23916"/>
  <c r="GS594" i="23916"/>
  <c r="GR596" i="23916"/>
  <c r="GS596" i="23916" s="1"/>
  <c r="GD519" i="23916"/>
  <c r="GE179" i="23916"/>
  <c r="DO14" i="23916"/>
  <c r="DP11" i="23916"/>
  <c r="AY195" i="23916"/>
  <c r="AY199" i="23916"/>
  <c r="AY205" i="23916"/>
  <c r="BH189" i="23916"/>
  <c r="AZ189" i="23916"/>
  <c r="FW519" i="23916"/>
  <c r="DP526" i="23916"/>
  <c r="GO531" i="23916"/>
  <c r="GN519" i="23916"/>
  <c r="GO179" i="23916"/>
  <c r="DA573" i="23916"/>
  <c r="DA533" i="23916"/>
  <c r="DB520" i="23916"/>
  <c r="FU232" i="23916"/>
  <c r="FT244" i="23916"/>
  <c r="FT245" i="23916"/>
  <c r="FT280" i="23916"/>
  <c r="FU280" i="23916" s="1"/>
  <c r="GL732" i="23916"/>
  <c r="DW741" i="23916"/>
  <c r="DW618" i="23916"/>
  <c r="DW538" i="23916"/>
  <c r="EO533" i="23916"/>
  <c r="EP520" i="23916"/>
  <c r="EV266" i="23916"/>
  <c r="GT471" i="23916"/>
  <c r="GS471" i="23916"/>
  <c r="GR473" i="23916"/>
  <c r="DB526" i="23916"/>
  <c r="DR526" i="23916"/>
  <c r="FW531" i="23916"/>
  <c r="EX482" i="23916"/>
  <c r="EW483" i="23916"/>
  <c r="EW488" i="23916"/>
  <c r="EW485" i="23916"/>
  <c r="ED14" i="23916"/>
  <c r="BW533" i="23916"/>
  <c r="BX520" i="23916"/>
  <c r="CA573" i="23916"/>
  <c r="CB573" i="23916" s="1"/>
  <c r="CA533" i="23916"/>
  <c r="CB520" i="23916"/>
  <c r="CJ520" i="23916"/>
  <c r="AU244" i="23916"/>
  <c r="AV244" i="23916" s="1"/>
  <c r="AV232" i="23916"/>
  <c r="AU245" i="23916"/>
  <c r="AV245" i="23916" s="1"/>
  <c r="AU280" i="23916"/>
  <c r="AV280" i="23916" s="1"/>
  <c r="BY533" i="23916"/>
  <c r="BZ520" i="23916"/>
  <c r="AU533" i="23916"/>
  <c r="DX618" i="23916"/>
  <c r="DX538" i="23916"/>
  <c r="BS381" i="23916"/>
  <c r="BT381" i="23916" s="1"/>
  <c r="BS379" i="23916"/>
  <c r="BT364" i="23916"/>
  <c r="BS382" i="23916"/>
  <c r="BT382" i="23916" s="1"/>
  <c r="BS402" i="23916"/>
  <c r="BT402" i="23916" s="1"/>
  <c r="BS371" i="23916"/>
  <c r="BT371" i="23916" s="1"/>
  <c r="BS403" i="23916"/>
  <c r="BT403" i="23916" s="1"/>
  <c r="CP526" i="23916"/>
  <c r="DB14" i="23916"/>
  <c r="GY258" i="23916"/>
  <c r="GZ258" i="23916"/>
  <c r="DZ526" i="23916"/>
  <c r="GS290" i="23916"/>
  <c r="GR297" i="23916"/>
  <c r="GR294" i="23916"/>
  <c r="GS294" i="23916" s="1"/>
  <c r="GS296" i="23916"/>
  <c r="FY279" i="23916"/>
  <c r="AW248" i="23916"/>
  <c r="AX248" i="23916" s="1"/>
  <c r="AX246" i="23916"/>
  <c r="FP246" i="23916"/>
  <c r="ES531" i="23916"/>
  <c r="ET487" i="23916"/>
  <c r="FT247" i="23916"/>
  <c r="FV380" i="23916"/>
  <c r="FW380" i="23916" s="1"/>
  <c r="FW379" i="23916"/>
  <c r="CS79" i="23916"/>
  <c r="CT79" i="23916" s="1"/>
  <c r="CT73" i="23916"/>
  <c r="CS76" i="23916"/>
  <c r="CT76" i="23916" s="1"/>
  <c r="AW363" i="23916"/>
  <c r="AX357" i="23916"/>
  <c r="AW370" i="23916"/>
  <c r="AX370" i="23916" s="1"/>
  <c r="AW369" i="23916"/>
  <c r="AX369" i="23916" s="1"/>
  <c r="GV505" i="23916"/>
  <c r="GW505" i="23916" s="1"/>
  <c r="GX476" i="23916"/>
  <c r="GV480" i="23916"/>
  <c r="GW480" i="23916" s="1"/>
  <c r="GW476" i="23916"/>
  <c r="GA531" i="23916"/>
  <c r="GG531" i="23916"/>
  <c r="DM573" i="23916"/>
  <c r="DM533" i="23916"/>
  <c r="DN520" i="23916"/>
  <c r="DJ14" i="23916"/>
  <c r="DE533" i="23916"/>
  <c r="DE573" i="23916"/>
  <c r="DF520" i="23916"/>
  <c r="CN14" i="23916"/>
  <c r="BM230" i="23916"/>
  <c r="GH11" i="23916"/>
  <c r="GI7" i="23916"/>
  <c r="GH519" i="23916"/>
  <c r="GI179" i="23916"/>
  <c r="BI533" i="23916"/>
  <c r="BJ520" i="23916"/>
  <c r="EP526" i="23916"/>
  <c r="EK533" i="23916"/>
  <c r="EL520" i="23916"/>
  <c r="EF519" i="23916"/>
  <c r="EE520" i="23916"/>
  <c r="AY692" i="23916"/>
  <c r="AY680" i="23916"/>
  <c r="AY583" i="23916"/>
  <c r="AY582" i="23916"/>
  <c r="AY555" i="23916"/>
  <c r="AY578" i="23916"/>
  <c r="AY536" i="23916"/>
  <c r="AY606" i="23916"/>
  <c r="AY575" i="23916"/>
  <c r="AZ575" i="23916" s="1"/>
  <c r="AY581" i="23916"/>
  <c r="AY571" i="23916"/>
  <c r="AY573" i="23916"/>
  <c r="AY579" i="23916"/>
  <c r="AY572" i="23916"/>
  <c r="AY574" i="23916"/>
  <c r="FW524" i="23916"/>
  <c r="EP14" i="23916"/>
  <c r="BG381" i="23916"/>
  <c r="BG379" i="23916"/>
  <c r="BG402" i="23916"/>
  <c r="BG371" i="23916"/>
  <c r="BG382" i="23916"/>
  <c r="BG403" i="23916"/>
  <c r="BP364" i="23916"/>
  <c r="EV483" i="23916"/>
  <c r="GP483" i="23916"/>
  <c r="CM581" i="23916"/>
  <c r="EX590" i="23916"/>
  <c r="GY286" i="23916"/>
  <c r="GZ286" i="23916"/>
  <c r="DU533" i="23916"/>
  <c r="DV520" i="23916"/>
  <c r="GU215" i="23916"/>
  <c r="GV215" i="23916"/>
  <c r="CG692" i="23916"/>
  <c r="CG680" i="23916"/>
  <c r="CG579" i="23916"/>
  <c r="CG578" i="23916"/>
  <c r="CG580" i="23916"/>
  <c r="CG576" i="23916"/>
  <c r="CG536" i="23916"/>
  <c r="CG583" i="23916"/>
  <c r="CG582" i="23916"/>
  <c r="CG555" i="23916"/>
  <c r="CH533" i="23916"/>
  <c r="CG606" i="23916"/>
  <c r="CG575" i="23916"/>
  <c r="CG571" i="23916"/>
  <c r="AS573" i="23916"/>
  <c r="AT573" i="23916" s="1"/>
  <c r="AS533" i="23916"/>
  <c r="AT520" i="23916"/>
  <c r="AW230" i="23916"/>
  <c r="AX228" i="23916"/>
  <c r="DF14" i="23916"/>
  <c r="EC573" i="23916"/>
  <c r="EC533" i="23916"/>
  <c r="ED520" i="23916"/>
  <c r="CT14" i="23916"/>
  <c r="CX14" i="23916"/>
  <c r="CQ573" i="23916"/>
  <c r="CQ533" i="23916"/>
  <c r="CR520" i="23916"/>
  <c r="EV309" i="23916"/>
  <c r="EU315" i="23916"/>
  <c r="EV315" i="23916" s="1"/>
  <c r="EU311" i="23916"/>
  <c r="GX288" i="23916"/>
  <c r="GX290" i="23916" s="1"/>
  <c r="AQ533" i="23916"/>
  <c r="AR520" i="23916"/>
  <c r="AZ520" i="23916"/>
  <c r="BC692" i="23916"/>
  <c r="BC680" i="23916"/>
  <c r="BC583" i="23916"/>
  <c r="BC582" i="23916"/>
  <c r="BC555" i="23916"/>
  <c r="BC578" i="23916"/>
  <c r="BC536" i="23916"/>
  <c r="BD533" i="23916"/>
  <c r="BC606" i="23916"/>
  <c r="BC571" i="23916"/>
  <c r="BC579" i="23916"/>
  <c r="BC572" i="23916"/>
  <c r="GX196" i="23916"/>
  <c r="GW196" i="23916"/>
  <c r="GY588" i="23916"/>
  <c r="GZ588" i="23916"/>
  <c r="CG574" i="23916"/>
  <c r="DX11" i="23916"/>
  <c r="FS232" i="23916"/>
  <c r="FR244" i="23916"/>
  <c r="FS244" i="23916" s="1"/>
  <c r="FR245" i="23916"/>
  <c r="FS245" i="23916" s="1"/>
  <c r="BR526" i="23916"/>
  <c r="GI8" i="23916"/>
  <c r="GH523" i="23916"/>
  <c r="GI275" i="23916"/>
  <c r="BC575" i="23916"/>
  <c r="BD575" i="23916" s="1"/>
  <c r="GX628" i="23916"/>
  <c r="GW628" i="23916"/>
  <c r="GP482" i="23916"/>
  <c r="GQ473" i="23916"/>
  <c r="GK183" i="23916"/>
  <c r="FR526" i="23916"/>
  <c r="EE14" i="23916"/>
  <c r="EF11" i="23916"/>
  <c r="FX68" i="23916"/>
  <c r="FX35" i="23916"/>
  <c r="FY35" i="23916" s="1"/>
  <c r="FX34" i="23916"/>
  <c r="FY28" i="23916"/>
  <c r="FX41" i="23916"/>
  <c r="FX42" i="23916"/>
  <c r="FX43" i="23916"/>
  <c r="FX44" i="23916"/>
  <c r="GM183" i="23916"/>
  <c r="BC581" i="23916"/>
  <c r="FU518" i="23916"/>
  <c r="FT520" i="23916"/>
  <c r="CE573" i="23916"/>
  <c r="CE533" i="23916"/>
  <c r="CF520" i="23916"/>
  <c r="CN520" i="23916"/>
  <c r="BB531" i="23916"/>
  <c r="FR531" i="23916"/>
  <c r="FS525" i="23916"/>
  <c r="FU525" i="23916"/>
  <c r="FS518" i="23916"/>
  <c r="FR520" i="23916"/>
  <c r="CO574" i="23916"/>
  <c r="GG518" i="23916"/>
  <c r="GK531" i="23916"/>
  <c r="BM219" i="23916"/>
  <c r="AX247" i="23916"/>
  <c r="FP247" i="23916"/>
  <c r="FQ247" i="23916" s="1"/>
  <c r="DZ14" i="23916"/>
  <c r="CS90" i="23916"/>
  <c r="CT74" i="23916"/>
  <c r="CS91" i="23916"/>
  <c r="CS123" i="23916"/>
  <c r="CK533" i="23916"/>
  <c r="CL520" i="23916"/>
  <c r="GV472" i="23916"/>
  <c r="GU472" i="23916"/>
  <c r="AY223" i="23916"/>
  <c r="AY224" i="23916"/>
  <c r="AY225" i="23916" s="1"/>
  <c r="AY214" i="23916"/>
  <c r="AY218" i="23916" s="1"/>
  <c r="AZ208" i="23916"/>
  <c r="BH208" i="23916"/>
  <c r="GP303" i="23916"/>
  <c r="GQ303" i="23916" s="1"/>
  <c r="GQ293" i="23916"/>
  <c r="GP300" i="23916"/>
  <c r="BR403" i="23916"/>
  <c r="BI380" i="23916"/>
  <c r="FY518" i="23916"/>
  <c r="GZ627" i="23916"/>
  <c r="GY627" i="23916"/>
  <c r="GC519" i="23916"/>
  <c r="EL14" i="23916"/>
  <c r="DT519" i="23916"/>
  <c r="DS520" i="23916"/>
  <c r="CY14" i="23916"/>
  <c r="CZ11" i="23916"/>
  <c r="GT296" i="23916"/>
  <c r="GT293" i="23916"/>
  <c r="GU288" i="23916"/>
  <c r="GT290" i="23916"/>
  <c r="GU290" i="23916" s="1"/>
  <c r="FY363" i="23916"/>
  <c r="FX368" i="23916"/>
  <c r="FY368" i="23916" s="1"/>
  <c r="FX364" i="23916"/>
  <c r="EH14" i="23916"/>
  <c r="BP368" i="23916"/>
  <c r="BJ526" i="23916"/>
  <c r="FQ525" i="23916"/>
  <c r="EU731" i="23916"/>
  <c r="EV488" i="23916"/>
  <c r="GP302" i="23916"/>
  <c r="GQ296" i="23916"/>
  <c r="GP297" i="23916"/>
  <c r="BK244" i="23916"/>
  <c r="BK245" i="23916"/>
  <c r="BK280" i="23916"/>
  <c r="GL523" i="23916"/>
  <c r="GM275" i="23916"/>
  <c r="CV519" i="23916"/>
  <c r="CU520" i="23916"/>
  <c r="GD11" i="23916"/>
  <c r="GE7" i="23916"/>
  <c r="DN14" i="23916"/>
  <c r="FZ135" i="23916"/>
  <c r="GA129" i="23916"/>
  <c r="FZ134" i="23916"/>
  <c r="FZ139" i="23916"/>
  <c r="FZ140" i="23916"/>
  <c r="FZ141" i="23916"/>
  <c r="BR379" i="23916"/>
  <c r="GP720" i="23916"/>
  <c r="GR609" i="23916"/>
  <c r="GQ609" i="23916"/>
  <c r="GR611" i="23916"/>
  <c r="FP526" i="23916"/>
  <c r="FQ526" i="23916" s="1"/>
  <c r="DC14" i="23916"/>
  <c r="DD11" i="23916"/>
  <c r="FU519" i="23916"/>
  <c r="EI14" i="23916"/>
  <c r="EJ11" i="23916"/>
  <c r="FQ518" i="23916"/>
  <c r="FP520" i="23916"/>
  <c r="GB523" i="23916"/>
  <c r="GC275" i="23916"/>
  <c r="EQ524" i="23916"/>
  <c r="ER311" i="23916"/>
  <c r="BG533" i="23916"/>
  <c r="BH520" i="23916"/>
  <c r="GM531" i="23916"/>
  <c r="BD526" i="23916"/>
  <c r="DH519" i="23916"/>
  <c r="DG520" i="23916"/>
  <c r="GK7" i="23916"/>
  <c r="GJ11" i="23916"/>
  <c r="GR610" i="23916"/>
  <c r="GQ610" i="23916"/>
  <c r="GP722" i="23916"/>
  <c r="DR14" i="23916"/>
  <c r="AW533" i="23916"/>
  <c r="DD519" i="23916"/>
  <c r="DC520" i="23916"/>
  <c r="GL11" i="23916"/>
  <c r="GM7" i="23916"/>
  <c r="GL519" i="23916"/>
  <c r="GM179" i="23916"/>
  <c r="EA14" i="23916"/>
  <c r="EB11" i="23916"/>
  <c r="EJ519" i="23916"/>
  <c r="EI520" i="23916"/>
  <c r="CG572" i="23916"/>
  <c r="FY524" i="23916"/>
  <c r="GO279" i="23916"/>
  <c r="ES315" i="23916"/>
  <c r="ET315" i="23916" s="1"/>
  <c r="ES311" i="23916"/>
  <c r="ET309" i="23916"/>
  <c r="GV495" i="23916"/>
  <c r="GW495" i="23916" s="1"/>
  <c r="GX148" i="23916"/>
  <c r="GW148" i="23916"/>
  <c r="GC524" i="23916"/>
  <c r="BU363" i="23916"/>
  <c r="BV357" i="23916"/>
  <c r="BU369" i="23916"/>
  <c r="BV369" i="23916" s="1"/>
  <c r="BU370" i="23916"/>
  <c r="BV370" i="23916" s="1"/>
  <c r="DQ533" i="23916"/>
  <c r="DR520" i="23916"/>
  <c r="BA573" i="23916"/>
  <c r="BB573" i="23916" s="1"/>
  <c r="BA533" i="23916"/>
  <c r="BA581" i="23916" s="1"/>
  <c r="BB520" i="23916"/>
  <c r="FX519" i="23916"/>
  <c r="FY179" i="23916"/>
  <c r="DS14" i="23916"/>
  <c r="DT11" i="23916"/>
  <c r="FU275" i="23916"/>
  <c r="FU524" i="23916"/>
  <c r="EG533" i="23916"/>
  <c r="EH520" i="23916"/>
  <c r="BO223" i="23916"/>
  <c r="FV208" i="23916"/>
  <c r="BO224" i="23916"/>
  <c r="BO225" i="23916" s="1"/>
  <c r="BO214" i="23916"/>
  <c r="BP208" i="23916"/>
  <c r="GV103" i="23916"/>
  <c r="GU103" i="23916"/>
  <c r="BV526" i="23916"/>
  <c r="FV79" i="23916"/>
  <c r="FW79" i="23916" s="1"/>
  <c r="FW73" i="23916"/>
  <c r="FV76" i="23916"/>
  <c r="FW76" i="23916" s="1"/>
  <c r="FX523" i="23916"/>
  <c r="FY275" i="23916"/>
  <c r="GF11" i="23916"/>
  <c r="EB519" i="23916"/>
  <c r="EA520" i="23916"/>
  <c r="AU381" i="23916"/>
  <c r="AV381" i="23916" s="1"/>
  <c r="AU379" i="23916"/>
  <c r="AV364" i="23916"/>
  <c r="AU371" i="23916"/>
  <c r="AV371" i="23916" s="1"/>
  <c r="AU402" i="23916"/>
  <c r="AV402" i="23916" s="1"/>
  <c r="AU382" i="23916"/>
  <c r="AV382" i="23916" s="1"/>
  <c r="AU403" i="23916"/>
  <c r="AV403" i="23916" s="1"/>
  <c r="GE531" i="23916"/>
  <c r="FV523" i="23916"/>
  <c r="FW275" i="23916"/>
  <c r="GJ526" i="23916"/>
  <c r="GK523" i="23916"/>
  <c r="CO692" i="23916"/>
  <c r="CP692" i="23916" s="1"/>
  <c r="CO680" i="23916"/>
  <c r="CP680" i="23916" s="1"/>
  <c r="CO579" i="23916"/>
  <c r="CP579" i="23916" s="1"/>
  <c r="CO578" i="23916"/>
  <c r="CP578" i="23916" s="1"/>
  <c r="CO580" i="23916"/>
  <c r="CO576" i="23916"/>
  <c r="CP576" i="23916" s="1"/>
  <c r="CO583" i="23916"/>
  <c r="CP583" i="23916" s="1"/>
  <c r="CO582" i="23916"/>
  <c r="CP582" i="23916" s="1"/>
  <c r="CO536" i="23916"/>
  <c r="CO555" i="23916"/>
  <c r="CP555" i="23916" s="1"/>
  <c r="CP533" i="23916"/>
  <c r="CO606" i="23916"/>
  <c r="CP606" i="23916" s="1"/>
  <c r="CO571" i="23916"/>
  <c r="CP571" i="23916" s="1"/>
  <c r="CO575" i="23916"/>
  <c r="CP575" i="23916" s="1"/>
  <c r="CO572" i="23916"/>
  <c r="CP572" i="23916" s="1"/>
  <c r="GB14" i="23916"/>
  <c r="GC11" i="23916"/>
  <c r="CR14" i="23916"/>
  <c r="CU14" i="23916"/>
  <c r="CV11" i="23916"/>
  <c r="CM692" i="23916"/>
  <c r="CM680" i="23916"/>
  <c r="CM583" i="23916"/>
  <c r="CM582" i="23916"/>
  <c r="CM580" i="23916"/>
  <c r="CM576" i="23916"/>
  <c r="CM555" i="23916"/>
  <c r="CM579" i="23916"/>
  <c r="CM578" i="23916"/>
  <c r="CM536" i="23916"/>
  <c r="CN533" i="23916"/>
  <c r="CM606" i="23916"/>
  <c r="CM571" i="23916"/>
  <c r="CM574" i="23916"/>
  <c r="CM573" i="23916"/>
  <c r="CN573" i="23916" s="1"/>
  <c r="CM572" i="23916"/>
  <c r="EW616" i="23916"/>
  <c r="EX616" i="23916" s="1"/>
  <c r="EX546" i="23916"/>
  <c r="BO195" i="23916"/>
  <c r="BO205" i="23916"/>
  <c r="BP189" i="23916"/>
  <c r="GF519" i="23916"/>
  <c r="GF520" i="23916" s="1"/>
  <c r="GG179" i="23916"/>
  <c r="BR381" i="23916"/>
  <c r="GD526" i="23916"/>
  <c r="GE523" i="23916"/>
  <c r="ER531" i="23916"/>
  <c r="GI531" i="23916"/>
  <c r="GZ72" i="23916"/>
  <c r="GY72" i="23916"/>
  <c r="BP357" i="23916"/>
  <c r="BG369" i="23916"/>
  <c r="BG370" i="23916"/>
  <c r="GW656" i="23916"/>
  <c r="GX656" i="23916"/>
  <c r="GV633" i="23916"/>
  <c r="GW633" i="23916" s="1"/>
  <c r="EU485" i="23916"/>
  <c r="EX297" i="23916"/>
  <c r="EW306" i="23916"/>
  <c r="GC531" i="23916"/>
  <c r="GN526" i="23916"/>
  <c r="GO523" i="23916"/>
  <c r="GC518" i="23916"/>
  <c r="GB520" i="23916"/>
  <c r="BT526" i="23916"/>
  <c r="GU632" i="23916"/>
  <c r="GT631" i="23916"/>
  <c r="GU631" i="23916" s="1"/>
  <c r="GT636" i="23916"/>
  <c r="GU636" i="23916" s="1"/>
  <c r="GT634" i="23916"/>
  <c r="GV632" i="23916"/>
  <c r="GT598" i="23916"/>
  <c r="GU598" i="23916" s="1"/>
  <c r="GV599" i="23916"/>
  <c r="GU599" i="23916"/>
  <c r="GT594" i="23916"/>
  <c r="CJ526" i="23916"/>
  <c r="CI533" i="23916"/>
  <c r="GV648" i="23916"/>
  <c r="GW648" i="23916" s="1"/>
  <c r="GX643" i="23916"/>
  <c r="GV645" i="23916"/>
  <c r="GW645" i="23916" s="1"/>
  <c r="GW643" i="23916"/>
  <c r="BO692" i="23916"/>
  <c r="BO680" i="23916"/>
  <c r="BO583" i="23916"/>
  <c r="BO582" i="23916"/>
  <c r="BO555" i="23916"/>
  <c r="BO579" i="23916"/>
  <c r="BO578" i="23916"/>
  <c r="BO576" i="23916"/>
  <c r="BO536" i="23916"/>
  <c r="BP533" i="23916"/>
  <c r="BO606" i="23916"/>
  <c r="BO571" i="23916"/>
  <c r="BO572" i="23916"/>
  <c r="BO574" i="23916"/>
  <c r="GN11" i="23916"/>
  <c r="GO7" i="23916"/>
  <c r="CW44" i="23916"/>
  <c r="CW45" i="23916" s="1"/>
  <c r="CW34" i="23916"/>
  <c r="CX28" i="23916"/>
  <c r="CW41" i="23916"/>
  <c r="CW42" i="23916"/>
  <c r="CW43" i="23916"/>
  <c r="EU728" i="23916"/>
  <c r="EV312" i="23916"/>
  <c r="FT533" i="23916"/>
  <c r="FT581" i="23916" s="1"/>
  <c r="FU531" i="23916"/>
  <c r="BC573" i="23916"/>
  <c r="DI533" i="23916"/>
  <c r="DI573" i="23916" s="1"/>
  <c r="DJ573" i="23916" s="1"/>
  <c r="DJ520" i="23916"/>
  <c r="GZ503" i="23916"/>
  <c r="GY503" i="23916"/>
  <c r="DX14" i="23916"/>
  <c r="BN526" i="23916"/>
  <c r="BM533" i="23916"/>
  <c r="BV533" i="23916" s="1"/>
  <c r="EW774" i="23916"/>
  <c r="EX265" i="23916"/>
  <c r="EW266" i="23916"/>
  <c r="ED526" i="23916"/>
  <c r="GI279" i="23916"/>
  <c r="CL526" i="23916"/>
  <c r="GJ519" i="23916"/>
  <c r="GK179" i="23916"/>
  <c r="CZ519" i="23916"/>
  <c r="CY520" i="23916"/>
  <c r="EN519" i="23916"/>
  <c r="EM520" i="23916"/>
  <c r="BR371" i="23916"/>
  <c r="GZ644" i="23916"/>
  <c r="GY644" i="23916"/>
  <c r="GU165" i="23916"/>
  <c r="GV165" i="23916"/>
  <c r="FZ526" i="23916"/>
  <c r="GA523" i="23916"/>
  <c r="GE279" i="23916"/>
  <c r="DN526" i="23916"/>
  <c r="BC576" i="23916"/>
  <c r="BZ526" i="23916"/>
  <c r="GK8" i="23916"/>
  <c r="BQ573" i="23916"/>
  <c r="BQ533" i="23916"/>
  <c r="BR520" i="23916"/>
  <c r="CB526" i="23916"/>
  <c r="GA519" i="23916"/>
  <c r="GA524" i="23916"/>
  <c r="DK14" i="23916"/>
  <c r="DL11" i="23916"/>
  <c r="CW533" i="23916"/>
  <c r="CW573" i="23916"/>
  <c r="CX573" i="23916" s="1"/>
  <c r="CX520" i="23916"/>
  <c r="CW129" i="23916"/>
  <c r="CV134" i="23916"/>
  <c r="GX50" i="23916"/>
  <c r="GW50" i="23916"/>
  <c r="AY576" i="23916"/>
  <c r="DP519" i="23916"/>
  <c r="DO520" i="23916"/>
  <c r="GH732" i="23916"/>
  <c r="CS573" i="23916"/>
  <c r="CS533" i="23916"/>
  <c r="CT520" i="23916"/>
  <c r="GU57" i="23916"/>
  <c r="GV57" i="23916"/>
  <c r="FT526" i="23916"/>
  <c r="FU526" i="23916" s="1"/>
  <c r="FU523" i="23916"/>
  <c r="BL520" i="23916"/>
  <c r="BK533" i="23916"/>
  <c r="BT533" i="23916" s="1"/>
  <c r="BE533" i="23916"/>
  <c r="BR382" i="23916"/>
  <c r="FY531" i="23916"/>
  <c r="GR303" i="23916"/>
  <c r="GS303" i="23916" s="1"/>
  <c r="GS293" i="23916"/>
  <c r="FV74" i="23916"/>
  <c r="BM248" i="23916"/>
  <c r="FT246" i="23916"/>
  <c r="GV288" i="23916"/>
  <c r="FX156" i="23916"/>
  <c r="GZ290" i="23916" l="1"/>
  <c r="AZ218" i="23916"/>
  <c r="BH218" i="23916"/>
  <c r="BK573" i="23916"/>
  <c r="BL573" i="23916" s="1"/>
  <c r="GX57" i="23916"/>
  <c r="GW57" i="23916"/>
  <c r="CS692" i="23916"/>
  <c r="CS680" i="23916"/>
  <c r="CS580" i="23916"/>
  <c r="CS576" i="23916"/>
  <c r="CS578" i="23916"/>
  <c r="CS555" i="23916"/>
  <c r="CS579" i="23916"/>
  <c r="CS536" i="23916"/>
  <c r="CS583" i="23916"/>
  <c r="CS582" i="23916"/>
  <c r="CT533" i="23916"/>
  <c r="CS606" i="23916"/>
  <c r="CS581" i="23916"/>
  <c r="CS572" i="23916"/>
  <c r="CS574" i="23916"/>
  <c r="CS571" i="23916"/>
  <c r="CS575" i="23916"/>
  <c r="DL14" i="23916"/>
  <c r="GU634" i="23916"/>
  <c r="GT635" i="23916"/>
  <c r="GU635" i="23916" s="1"/>
  <c r="EV485" i="23916"/>
  <c r="EU487" i="23916"/>
  <c r="EU9" i="23916"/>
  <c r="EV9" i="23916" s="1"/>
  <c r="BP370" i="23916"/>
  <c r="CM577" i="23916"/>
  <c r="CM741" i="23916"/>
  <c r="CM618" i="23916"/>
  <c r="CM538" i="23916"/>
  <c r="GC14" i="23916"/>
  <c r="GF14" i="23916"/>
  <c r="GG11" i="23916"/>
  <c r="GW103" i="23916"/>
  <c r="GX103" i="23916"/>
  <c r="EI533" i="23916"/>
  <c r="EI573" i="23916"/>
  <c r="EJ520" i="23916"/>
  <c r="EB14" i="23916"/>
  <c r="GJ14" i="23916"/>
  <c r="GK11" i="23916"/>
  <c r="ER524" i="23916"/>
  <c r="DD14" i="23916"/>
  <c r="GQ297" i="23916"/>
  <c r="GP306" i="23916"/>
  <c r="FX381" i="23916"/>
  <c r="FY381" i="23916" s="1"/>
  <c r="FY364" i="23916"/>
  <c r="FX371" i="23916"/>
  <c r="FY371" i="23916" s="1"/>
  <c r="FX379" i="23916"/>
  <c r="FX382" i="23916"/>
  <c r="FY382" i="23916" s="1"/>
  <c r="FX402" i="23916"/>
  <c r="FY402" i="23916" s="1"/>
  <c r="FX403" i="23916"/>
  <c r="FY403" i="23916" s="1"/>
  <c r="GX472" i="23916"/>
  <c r="GW472" i="23916"/>
  <c r="BM233" i="23916"/>
  <c r="BN233" i="23916" s="1"/>
  <c r="FR533" i="23916"/>
  <c r="FS520" i="23916"/>
  <c r="EF14" i="23916"/>
  <c r="GP488" i="23916"/>
  <c r="GQ482" i="23916"/>
  <c r="GP485" i="23916"/>
  <c r="CG577" i="23916"/>
  <c r="BC538" i="23916"/>
  <c r="EU524" i="23916"/>
  <c r="EV311" i="23916"/>
  <c r="CQ692" i="23916"/>
  <c r="CQ680" i="23916"/>
  <c r="CQ583" i="23916"/>
  <c r="CQ582" i="23916"/>
  <c r="CQ578" i="23916"/>
  <c r="CQ555" i="23916"/>
  <c r="CQ579" i="23916"/>
  <c r="CQ580" i="23916"/>
  <c r="CQ576" i="23916"/>
  <c r="CQ536" i="23916"/>
  <c r="CR533" i="23916"/>
  <c r="CQ606" i="23916"/>
  <c r="CQ571" i="23916"/>
  <c r="CQ581" i="23916"/>
  <c r="CQ574" i="23916"/>
  <c r="CQ572" i="23916"/>
  <c r="CQ575" i="23916"/>
  <c r="CG741" i="23916"/>
  <c r="CG618" i="23916"/>
  <c r="CG538" i="23916"/>
  <c r="CH579" i="23916"/>
  <c r="BP382" i="23916"/>
  <c r="BG380" i="23916"/>
  <c r="BP379" i="23916"/>
  <c r="DN573" i="23916"/>
  <c r="AX363" i="23916"/>
  <c r="AY357" i="23916"/>
  <c r="AW368" i="23916"/>
  <c r="AX368" i="23916" s="1"/>
  <c r="AW364" i="23916"/>
  <c r="FP363" i="23916"/>
  <c r="GS297" i="23916"/>
  <c r="GR306" i="23916"/>
  <c r="BY692" i="23916"/>
  <c r="BY680" i="23916"/>
  <c r="BY579" i="23916"/>
  <c r="BY578" i="23916"/>
  <c r="BY580" i="23916"/>
  <c r="BY576" i="23916"/>
  <c r="BY583" i="23916"/>
  <c r="BY582" i="23916"/>
  <c r="BY555" i="23916"/>
  <c r="BZ533" i="23916"/>
  <c r="BY536" i="23916"/>
  <c r="CH536" i="23916" s="1"/>
  <c r="BY606" i="23916"/>
  <c r="BY572" i="23916"/>
  <c r="BY581" i="23916"/>
  <c r="BY575" i="23916"/>
  <c r="BY571" i="23916"/>
  <c r="BY574" i="23916"/>
  <c r="CH574" i="23916" s="1"/>
  <c r="EX483" i="23916"/>
  <c r="DW742" i="23916"/>
  <c r="DW17" i="23916"/>
  <c r="FU245" i="23916"/>
  <c r="DA692" i="23916"/>
  <c r="DB692" i="23916" s="1"/>
  <c r="DA680" i="23916"/>
  <c r="DB680" i="23916" s="1"/>
  <c r="DA580" i="23916"/>
  <c r="DA576" i="23916"/>
  <c r="DB576" i="23916" s="1"/>
  <c r="DA578" i="23916"/>
  <c r="DB578" i="23916" s="1"/>
  <c r="DA583" i="23916"/>
  <c r="DB583" i="23916" s="1"/>
  <c r="DA582" i="23916"/>
  <c r="DB582" i="23916" s="1"/>
  <c r="DA579" i="23916"/>
  <c r="DB579" i="23916" s="1"/>
  <c r="DA555" i="23916"/>
  <c r="DB555" i="23916" s="1"/>
  <c r="DA536" i="23916"/>
  <c r="DB533" i="23916"/>
  <c r="DA606" i="23916"/>
  <c r="DB606" i="23916" s="1"/>
  <c r="DA581" i="23916"/>
  <c r="DB581" i="23916" s="1"/>
  <c r="DA572" i="23916"/>
  <c r="DB572" i="23916" s="1"/>
  <c r="DA571" i="23916"/>
  <c r="DB571" i="23916" s="1"/>
  <c r="DA574" i="23916"/>
  <c r="DA575" i="23916"/>
  <c r="DB575" i="23916" s="1"/>
  <c r="GO519" i="23916"/>
  <c r="GN520" i="23916"/>
  <c r="GE519" i="23916"/>
  <c r="GD520" i="23916"/>
  <c r="CH581" i="23916"/>
  <c r="GX36" i="23916"/>
  <c r="GV75" i="23916"/>
  <c r="GW75" i="23916" s="1"/>
  <c r="GW36" i="23916"/>
  <c r="CC692" i="23916"/>
  <c r="CD692" i="23916" s="1"/>
  <c r="CC680" i="23916"/>
  <c r="CD680" i="23916" s="1"/>
  <c r="CC580" i="23916"/>
  <c r="CC576" i="23916"/>
  <c r="CD576" i="23916" s="1"/>
  <c r="CC578" i="23916"/>
  <c r="CD578" i="23916" s="1"/>
  <c r="CC579" i="23916"/>
  <c r="CD579" i="23916" s="1"/>
  <c r="CC536" i="23916"/>
  <c r="CC583" i="23916"/>
  <c r="CD583" i="23916" s="1"/>
  <c r="CC582" i="23916"/>
  <c r="CD582" i="23916" s="1"/>
  <c r="CD533" i="23916"/>
  <c r="CC555" i="23916"/>
  <c r="CD555" i="23916" s="1"/>
  <c r="CC606" i="23916"/>
  <c r="CD606" i="23916" s="1"/>
  <c r="CC571" i="23916"/>
  <c r="CD571" i="23916" s="1"/>
  <c r="CC572" i="23916"/>
  <c r="CD572" i="23916" s="1"/>
  <c r="CC575" i="23916"/>
  <c r="CD575" i="23916" s="1"/>
  <c r="CC581" i="23916"/>
  <c r="CD581" i="23916" s="1"/>
  <c r="CC574" i="23916"/>
  <c r="DH14" i="23916"/>
  <c r="FZ573" i="23916"/>
  <c r="FZ533" i="23916"/>
  <c r="CP581" i="23916"/>
  <c r="BV581" i="23916"/>
  <c r="BE692" i="23916"/>
  <c r="BE680" i="23916"/>
  <c r="BE578" i="23916"/>
  <c r="BE583" i="23916"/>
  <c r="BE582" i="23916"/>
  <c r="BE555" i="23916"/>
  <c r="BF533" i="23916"/>
  <c r="BE536" i="23916"/>
  <c r="BE606" i="23916"/>
  <c r="BE579" i="23916"/>
  <c r="BE571" i="23916"/>
  <c r="BE575" i="23916"/>
  <c r="BF575" i="23916" s="1"/>
  <c r="BE572" i="23916"/>
  <c r="BE576" i="23916"/>
  <c r="BE581" i="23916"/>
  <c r="BE574" i="23916"/>
  <c r="BE573" i="23916"/>
  <c r="GZ50" i="23916"/>
  <c r="GY50" i="23916"/>
  <c r="GX165" i="23916"/>
  <c r="GW165" i="23916"/>
  <c r="BM692" i="23916"/>
  <c r="BN692" i="23916" s="1"/>
  <c r="BM680" i="23916"/>
  <c r="BN680" i="23916" s="1"/>
  <c r="BM579" i="23916"/>
  <c r="BN579" i="23916" s="1"/>
  <c r="BM578" i="23916"/>
  <c r="BN578" i="23916" s="1"/>
  <c r="BM576" i="23916"/>
  <c r="BN576" i="23916" s="1"/>
  <c r="BM555" i="23916"/>
  <c r="BN555" i="23916" s="1"/>
  <c r="BM583" i="23916"/>
  <c r="BM582" i="23916"/>
  <c r="BN582" i="23916" s="1"/>
  <c r="BN533" i="23916"/>
  <c r="BM536" i="23916"/>
  <c r="BM606" i="23916"/>
  <c r="BM571" i="23916"/>
  <c r="BN571" i="23916" s="1"/>
  <c r="BM573" i="23916"/>
  <c r="BN573" i="23916" s="1"/>
  <c r="BM572" i="23916"/>
  <c r="BN572" i="23916" s="1"/>
  <c r="BM575" i="23916"/>
  <c r="BM581" i="23916"/>
  <c r="BN581" i="23916" s="1"/>
  <c r="BM574" i="23916"/>
  <c r="DI692" i="23916"/>
  <c r="DJ692" i="23916" s="1"/>
  <c r="DI680" i="23916"/>
  <c r="DJ680" i="23916" s="1"/>
  <c r="DI579" i="23916"/>
  <c r="DJ579" i="23916" s="1"/>
  <c r="DI578" i="23916"/>
  <c r="DJ578" i="23916" s="1"/>
  <c r="DI580" i="23916"/>
  <c r="DI576" i="23916"/>
  <c r="DJ576" i="23916" s="1"/>
  <c r="DI555" i="23916"/>
  <c r="DJ555" i="23916" s="1"/>
  <c r="DI536" i="23916"/>
  <c r="DI583" i="23916"/>
  <c r="DJ583" i="23916" s="1"/>
  <c r="DI582" i="23916"/>
  <c r="DJ582" i="23916" s="1"/>
  <c r="DJ533" i="23916"/>
  <c r="DI606" i="23916"/>
  <c r="DJ606" i="23916" s="1"/>
  <c r="DI575" i="23916"/>
  <c r="DJ575" i="23916" s="1"/>
  <c r="DI581" i="23916"/>
  <c r="DJ581" i="23916" s="1"/>
  <c r="DI572" i="23916"/>
  <c r="DJ572" i="23916" s="1"/>
  <c r="DI571" i="23916"/>
  <c r="DJ571" i="23916" s="1"/>
  <c r="DI574" i="23916"/>
  <c r="FT692" i="23916"/>
  <c r="FT680" i="23916"/>
  <c r="FT582" i="23916"/>
  <c r="FU582" i="23916" s="1"/>
  <c r="FT580" i="23916"/>
  <c r="FT578" i="23916"/>
  <c r="FT583" i="23916"/>
  <c r="FT579" i="23916"/>
  <c r="FT536" i="23916"/>
  <c r="FU533" i="23916"/>
  <c r="FT555" i="23916"/>
  <c r="FT606" i="23916"/>
  <c r="FT576" i="23916"/>
  <c r="FT575" i="23916"/>
  <c r="CX34" i="23916"/>
  <c r="CW37" i="23916"/>
  <c r="CX37" i="23916" s="1"/>
  <c r="CY28" i="23916"/>
  <c r="GN14" i="23916"/>
  <c r="GO11" i="23916"/>
  <c r="CI692" i="23916"/>
  <c r="CI680" i="23916"/>
  <c r="CI583" i="23916"/>
  <c r="CI582" i="23916"/>
  <c r="CI578" i="23916"/>
  <c r="CI555" i="23916"/>
  <c r="CI579" i="23916"/>
  <c r="CI580" i="23916"/>
  <c r="CI536" i="23916"/>
  <c r="CI576" i="23916"/>
  <c r="CJ533" i="23916"/>
  <c r="CI606" i="23916"/>
  <c r="CI571" i="23916"/>
  <c r="CI575" i="23916"/>
  <c r="CI573" i="23916"/>
  <c r="CJ573" i="23916" s="1"/>
  <c r="CI572" i="23916"/>
  <c r="CI581" i="23916"/>
  <c r="CI574" i="23916"/>
  <c r="GX599" i="23916"/>
  <c r="GW599" i="23916"/>
  <c r="GV598" i="23916"/>
  <c r="GW598" i="23916" s="1"/>
  <c r="GV594" i="23916"/>
  <c r="BP369" i="23916"/>
  <c r="BO228" i="23916"/>
  <c r="BP195" i="23916"/>
  <c r="BO197" i="23916"/>
  <c r="BO200" i="23916" s="1"/>
  <c r="BP200" i="23916" s="1"/>
  <c r="BQ189" i="23916"/>
  <c r="EA533" i="23916"/>
  <c r="EB520" i="23916"/>
  <c r="EG692" i="23916"/>
  <c r="EG680" i="23916"/>
  <c r="EG579" i="23916"/>
  <c r="EG578" i="23916"/>
  <c r="EG536" i="23916"/>
  <c r="EG583" i="23916"/>
  <c r="EG582" i="23916"/>
  <c r="EG580" i="23916"/>
  <c r="EG555" i="23916"/>
  <c r="EG576" i="23916"/>
  <c r="EH533" i="23916"/>
  <c r="EG606" i="23916"/>
  <c r="EG572" i="23916"/>
  <c r="EG574" i="23916"/>
  <c r="EG581" i="23916"/>
  <c r="EG571" i="23916"/>
  <c r="EG575" i="23916"/>
  <c r="FY519" i="23916"/>
  <c r="GL14" i="23916"/>
  <c r="GM11" i="23916"/>
  <c r="AW692" i="23916"/>
  <c r="AX692" i="23916" s="1"/>
  <c r="AW680" i="23916"/>
  <c r="AX680" i="23916" s="1"/>
  <c r="AW578" i="23916"/>
  <c r="AX578" i="23916" s="1"/>
  <c r="AW555" i="23916"/>
  <c r="AX555" i="23916" s="1"/>
  <c r="AW583" i="23916"/>
  <c r="AX583" i="23916" s="1"/>
  <c r="AW582" i="23916"/>
  <c r="AX582" i="23916" s="1"/>
  <c r="AX533" i="23916"/>
  <c r="AW536" i="23916"/>
  <c r="AW606" i="23916"/>
  <c r="AX606" i="23916" s="1"/>
  <c r="AW579" i="23916"/>
  <c r="AX579" i="23916" s="1"/>
  <c r="AW571" i="23916"/>
  <c r="AX571" i="23916" s="1"/>
  <c r="AW572" i="23916"/>
  <c r="AX572" i="23916" s="1"/>
  <c r="AW576" i="23916"/>
  <c r="AX576" i="23916" s="1"/>
  <c r="AW581" i="23916"/>
  <c r="AX581" i="23916" s="1"/>
  <c r="AW573" i="23916"/>
  <c r="AX573" i="23916" s="1"/>
  <c r="AW574" i="23916"/>
  <c r="BG692" i="23916"/>
  <c r="BH692" i="23916" s="1"/>
  <c r="BG680" i="23916"/>
  <c r="BH680" i="23916" s="1"/>
  <c r="BG583" i="23916"/>
  <c r="BH583" i="23916" s="1"/>
  <c r="BG582" i="23916"/>
  <c r="BH582" i="23916" s="1"/>
  <c r="BG555" i="23916"/>
  <c r="BH555" i="23916" s="1"/>
  <c r="BG579" i="23916"/>
  <c r="BH579" i="23916" s="1"/>
  <c r="BG578" i="23916"/>
  <c r="BH578" i="23916" s="1"/>
  <c r="BG536" i="23916"/>
  <c r="BH533" i="23916"/>
  <c r="BG606" i="23916"/>
  <c r="BH606" i="23916" s="1"/>
  <c r="BG576" i="23916"/>
  <c r="BH576" i="23916" s="1"/>
  <c r="BG571" i="23916"/>
  <c r="BH571" i="23916" s="1"/>
  <c r="BG574" i="23916"/>
  <c r="BH574" i="23916" s="1"/>
  <c r="BG575" i="23916"/>
  <c r="BG577" i="23916"/>
  <c r="BG581" i="23916"/>
  <c r="BG572" i="23916"/>
  <c r="BH572" i="23916" s="1"/>
  <c r="GR720" i="23916"/>
  <c r="GS609" i="23916"/>
  <c r="GT611" i="23916"/>
  <c r="GT609" i="23916"/>
  <c r="GA135" i="23916"/>
  <c r="FZ155" i="23916"/>
  <c r="FZ154" i="23916"/>
  <c r="FZ153" i="23916"/>
  <c r="FZ184" i="23916"/>
  <c r="GT303" i="23916"/>
  <c r="GU303" i="23916" s="1"/>
  <c r="GU293" i="23916"/>
  <c r="DS533" i="23916"/>
  <c r="DS573" i="23916" s="1"/>
  <c r="DT573" i="23916" s="1"/>
  <c r="DT520" i="23916"/>
  <c r="GR791" i="23916"/>
  <c r="GP740" i="23916"/>
  <c r="GQ300" i="23916"/>
  <c r="GP301" i="23916"/>
  <c r="GS300" i="23916"/>
  <c r="FT573" i="23916"/>
  <c r="FU520" i="23916"/>
  <c r="FX73" i="23916"/>
  <c r="FX74" i="23916" s="1"/>
  <c r="FY68" i="23916"/>
  <c r="FS526" i="23916"/>
  <c r="GH526" i="23916"/>
  <c r="GI523" i="23916"/>
  <c r="BD578" i="23916"/>
  <c r="AQ692" i="23916"/>
  <c r="AR692" i="23916" s="1"/>
  <c r="AQ680" i="23916"/>
  <c r="AR680" i="23916" s="1"/>
  <c r="AQ583" i="23916"/>
  <c r="AR583" i="23916" s="1"/>
  <c r="AQ582" i="23916"/>
  <c r="AR582" i="23916" s="1"/>
  <c r="AQ555" i="23916"/>
  <c r="AR555" i="23916" s="1"/>
  <c r="AQ578" i="23916"/>
  <c r="AR578" i="23916" s="1"/>
  <c r="AQ536" i="23916"/>
  <c r="AR533" i="23916"/>
  <c r="AQ606" i="23916"/>
  <c r="AR606" i="23916" s="1"/>
  <c r="AQ576" i="23916"/>
  <c r="AR576" i="23916" s="1"/>
  <c r="AQ581" i="23916"/>
  <c r="AR581" i="23916" s="1"/>
  <c r="AQ572" i="23916"/>
  <c r="AR572" i="23916" s="1"/>
  <c r="AQ579" i="23916"/>
  <c r="AR579" i="23916" s="1"/>
  <c r="AQ574" i="23916"/>
  <c r="AQ571" i="23916"/>
  <c r="AR571" i="23916" s="1"/>
  <c r="CR573" i="23916"/>
  <c r="BR380" i="23916"/>
  <c r="AX230" i="23916"/>
  <c r="AW232" i="23916"/>
  <c r="CH571" i="23916"/>
  <c r="CH555" i="23916"/>
  <c r="CH576" i="23916"/>
  <c r="CH680" i="23916"/>
  <c r="BP371" i="23916"/>
  <c r="BP381" i="23916"/>
  <c r="AZ606" i="23916"/>
  <c r="AZ555" i="23916"/>
  <c r="AZ692" i="23916"/>
  <c r="GI519" i="23916"/>
  <c r="GH520" i="23916"/>
  <c r="BM232" i="23916"/>
  <c r="DF573" i="23916"/>
  <c r="ET531" i="23916"/>
  <c r="BS380" i="23916"/>
  <c r="BT380" i="23916" s="1"/>
  <c r="BT379" i="23916"/>
  <c r="AU692" i="23916"/>
  <c r="AV692" i="23916" s="1"/>
  <c r="AU680" i="23916"/>
  <c r="AV680" i="23916" s="1"/>
  <c r="AU583" i="23916"/>
  <c r="AV583" i="23916" s="1"/>
  <c r="AU582" i="23916"/>
  <c r="AV582" i="23916" s="1"/>
  <c r="AU555" i="23916"/>
  <c r="AV555" i="23916" s="1"/>
  <c r="AU578" i="23916"/>
  <c r="AV578" i="23916" s="1"/>
  <c r="AU536" i="23916"/>
  <c r="BD536" i="23916" s="1"/>
  <c r="AV533" i="23916"/>
  <c r="AU606" i="23916"/>
  <c r="AV606" i="23916" s="1"/>
  <c r="AU571" i="23916"/>
  <c r="AV571" i="23916" s="1"/>
  <c r="AU579" i="23916"/>
  <c r="AV579" i="23916" s="1"/>
  <c r="AU572" i="23916"/>
  <c r="AV572" i="23916" s="1"/>
  <c r="AU581" i="23916"/>
  <c r="AV581" i="23916" s="1"/>
  <c r="AU573" i="23916"/>
  <c r="AV573" i="23916" s="1"/>
  <c r="AU574" i="23916"/>
  <c r="AU576" i="23916"/>
  <c r="AV576" i="23916" s="1"/>
  <c r="GT473" i="23916"/>
  <c r="GV471" i="23916"/>
  <c r="GU471" i="23916"/>
  <c r="EO692" i="23916"/>
  <c r="EP692" i="23916" s="1"/>
  <c r="EO680" i="23916"/>
  <c r="EP680" i="23916" s="1"/>
  <c r="EO579" i="23916"/>
  <c r="EP579" i="23916" s="1"/>
  <c r="EO536" i="23916"/>
  <c r="EO576" i="23916"/>
  <c r="EP576" i="23916" s="1"/>
  <c r="EO578" i="23916"/>
  <c r="EP578" i="23916" s="1"/>
  <c r="EO583" i="23916"/>
  <c r="EP583" i="23916" s="1"/>
  <c r="EO582" i="23916"/>
  <c r="EP582" i="23916" s="1"/>
  <c r="EO580" i="23916"/>
  <c r="EP580" i="23916" s="1"/>
  <c r="EP533" i="23916"/>
  <c r="EO606" i="23916"/>
  <c r="EP606" i="23916" s="1"/>
  <c r="EO555" i="23916"/>
  <c r="EP555" i="23916" s="1"/>
  <c r="EO575" i="23916"/>
  <c r="EP575" i="23916" s="1"/>
  <c r="EO581" i="23916"/>
  <c r="EP581" i="23916" s="1"/>
  <c r="EO574" i="23916"/>
  <c r="EO571" i="23916"/>
  <c r="EP571" i="23916" s="1"/>
  <c r="EO572" i="23916"/>
  <c r="EP572" i="23916" s="1"/>
  <c r="FU244" i="23916"/>
  <c r="DB573" i="23916"/>
  <c r="AY204" i="23916"/>
  <c r="AY247" i="23916"/>
  <c r="AY246" i="23916"/>
  <c r="AZ199" i="23916"/>
  <c r="BH199" i="23916"/>
  <c r="CW49" i="23916"/>
  <c r="CV55" i="23916"/>
  <c r="CU58" i="23916"/>
  <c r="CV58" i="23916" s="1"/>
  <c r="CU56" i="23916"/>
  <c r="BT574" i="23916"/>
  <c r="BS577" i="23916"/>
  <c r="BS741" i="23916"/>
  <c r="BS618" i="23916"/>
  <c r="BS538" i="23916"/>
  <c r="BV575" i="23916"/>
  <c r="BV572" i="23916"/>
  <c r="BV555" i="23916"/>
  <c r="BV578" i="23916"/>
  <c r="GV296" i="23916"/>
  <c r="GV293" i="23916"/>
  <c r="GW288" i="23916"/>
  <c r="GV290" i="23916"/>
  <c r="GW290" i="23916" s="1"/>
  <c r="FW74" i="23916"/>
  <c r="FV123" i="23916"/>
  <c r="BK692" i="23916"/>
  <c r="BL692" i="23916" s="1"/>
  <c r="BK680" i="23916"/>
  <c r="BL680" i="23916" s="1"/>
  <c r="BK583" i="23916"/>
  <c r="BL583" i="23916" s="1"/>
  <c r="BK582" i="23916"/>
  <c r="BL582" i="23916" s="1"/>
  <c r="BK555" i="23916"/>
  <c r="BL555" i="23916" s="1"/>
  <c r="BK579" i="23916"/>
  <c r="BL579" i="23916" s="1"/>
  <c r="BK578" i="23916"/>
  <c r="BL578" i="23916" s="1"/>
  <c r="BK576" i="23916"/>
  <c r="BL576" i="23916" s="1"/>
  <c r="BK536" i="23916"/>
  <c r="BT536" i="23916" s="1"/>
  <c r="BL533" i="23916"/>
  <c r="BK606" i="23916"/>
  <c r="BL606" i="23916" s="1"/>
  <c r="BK571" i="23916"/>
  <c r="BL571" i="23916" s="1"/>
  <c r="BK575" i="23916"/>
  <c r="BL575" i="23916" s="1"/>
  <c r="BK581" i="23916"/>
  <c r="BL581" i="23916" s="1"/>
  <c r="BK572" i="23916"/>
  <c r="BL572" i="23916" s="1"/>
  <c r="BK574" i="23916"/>
  <c r="AZ576" i="23916"/>
  <c r="CW692" i="23916"/>
  <c r="CX692" i="23916" s="1"/>
  <c r="CW680" i="23916"/>
  <c r="CX680" i="23916" s="1"/>
  <c r="CW579" i="23916"/>
  <c r="CX579" i="23916" s="1"/>
  <c r="CW578" i="23916"/>
  <c r="CX578" i="23916" s="1"/>
  <c r="CW580" i="23916"/>
  <c r="CW576" i="23916"/>
  <c r="CX576" i="23916" s="1"/>
  <c r="CW536" i="23916"/>
  <c r="CW583" i="23916"/>
  <c r="CX583" i="23916" s="1"/>
  <c r="CW582" i="23916"/>
  <c r="CX582" i="23916" s="1"/>
  <c r="CW555" i="23916"/>
  <c r="CX555" i="23916" s="1"/>
  <c r="CX533" i="23916"/>
  <c r="CW606" i="23916"/>
  <c r="CX606" i="23916" s="1"/>
  <c r="CW575" i="23916"/>
  <c r="CX575" i="23916" s="1"/>
  <c r="CW574" i="23916"/>
  <c r="CW572" i="23916"/>
  <c r="CX572" i="23916" s="1"/>
  <c r="CW571" i="23916"/>
  <c r="CX571" i="23916" s="1"/>
  <c r="CW581" i="23916"/>
  <c r="CX581" i="23916" s="1"/>
  <c r="CY573" i="23916"/>
  <c r="CZ573" i="23916" s="1"/>
  <c r="CY533" i="23916"/>
  <c r="CZ520" i="23916"/>
  <c r="GK519" i="23916"/>
  <c r="GJ520" i="23916"/>
  <c r="EX266" i="23916"/>
  <c r="BD573" i="23916"/>
  <c r="CW35" i="23916"/>
  <c r="BP574" i="23916"/>
  <c r="BO577" i="23916"/>
  <c r="BP579" i="23916"/>
  <c r="BP680" i="23916"/>
  <c r="GZ643" i="23916"/>
  <c r="GX645" i="23916"/>
  <c r="GX648" i="23916"/>
  <c r="GY643" i="23916"/>
  <c r="GC520" i="23916"/>
  <c r="EW307" i="23916"/>
  <c r="EX306" i="23916"/>
  <c r="EW312" i="23916"/>
  <c r="GZ656" i="23916"/>
  <c r="GY656" i="23916"/>
  <c r="GX633" i="23916"/>
  <c r="CO741" i="23916"/>
  <c r="CO618" i="23916"/>
  <c r="CP536" i="23916"/>
  <c r="CO538" i="23916"/>
  <c r="FX526" i="23916"/>
  <c r="FY523" i="23916"/>
  <c r="BO229" i="23916"/>
  <c r="BP229" i="23916" s="1"/>
  <c r="BQ208" i="23916"/>
  <c r="BO216" i="23916"/>
  <c r="BP214" i="23916"/>
  <c r="FW208" i="23916"/>
  <c r="FV223" i="23916"/>
  <c r="FV224" i="23916"/>
  <c r="EG573" i="23916"/>
  <c r="DT14" i="23916"/>
  <c r="DQ692" i="23916"/>
  <c r="DR692" i="23916" s="1"/>
  <c r="DQ680" i="23916"/>
  <c r="DR680" i="23916" s="1"/>
  <c r="DQ579" i="23916"/>
  <c r="DR579" i="23916" s="1"/>
  <c r="DQ578" i="23916"/>
  <c r="DR578" i="23916" s="1"/>
  <c r="DQ583" i="23916"/>
  <c r="DR583" i="23916" s="1"/>
  <c r="DQ582" i="23916"/>
  <c r="DR582" i="23916" s="1"/>
  <c r="DQ580" i="23916"/>
  <c r="DR580" i="23916" s="1"/>
  <c r="DQ555" i="23916"/>
  <c r="DR555" i="23916" s="1"/>
  <c r="DQ536" i="23916"/>
  <c r="DQ576" i="23916"/>
  <c r="DR576" i="23916" s="1"/>
  <c r="DR533" i="23916"/>
  <c r="DQ606" i="23916"/>
  <c r="DR606" i="23916" s="1"/>
  <c r="DQ575" i="23916"/>
  <c r="DR575" i="23916" s="1"/>
  <c r="DQ581" i="23916"/>
  <c r="DR581" i="23916" s="1"/>
  <c r="DQ574" i="23916"/>
  <c r="DQ571" i="23916"/>
  <c r="DR571" i="23916" s="1"/>
  <c r="DQ572" i="23916"/>
  <c r="DR572" i="23916" s="1"/>
  <c r="ES524" i="23916"/>
  <c r="ET311" i="23916"/>
  <c r="DC573" i="23916"/>
  <c r="DC533" i="23916"/>
  <c r="DD520" i="23916"/>
  <c r="GT722" i="23916"/>
  <c r="GT610" i="23916"/>
  <c r="GS610" i="23916"/>
  <c r="DG533" i="23916"/>
  <c r="DH520" i="23916"/>
  <c r="BG573" i="23916"/>
  <c r="GB526" i="23916"/>
  <c r="GC526" i="23916" s="1"/>
  <c r="GC523" i="23916"/>
  <c r="FT572" i="23916"/>
  <c r="GD14" i="23916"/>
  <c r="GE11" i="23916"/>
  <c r="GQ302" i="23916"/>
  <c r="GS302" i="23916"/>
  <c r="GT294" i="23916"/>
  <c r="GU294" i="23916" s="1"/>
  <c r="GU296" i="23916"/>
  <c r="GT297" i="23916"/>
  <c r="CZ14" i="23916"/>
  <c r="FX520" i="23916"/>
  <c r="AY229" i="23916"/>
  <c r="BA208" i="23916"/>
  <c r="BH214" i="23916"/>
  <c r="AZ214" i="23916"/>
  <c r="AY216" i="23916"/>
  <c r="CK692" i="23916"/>
  <c r="CL692" i="23916" s="1"/>
  <c r="CK680" i="23916"/>
  <c r="CL680" i="23916" s="1"/>
  <c r="CK580" i="23916"/>
  <c r="CK576" i="23916"/>
  <c r="CL576" i="23916" s="1"/>
  <c r="CK578" i="23916"/>
  <c r="CL578" i="23916" s="1"/>
  <c r="CK583" i="23916"/>
  <c r="CL583" i="23916" s="1"/>
  <c r="CK582" i="23916"/>
  <c r="CL582" i="23916" s="1"/>
  <c r="CK555" i="23916"/>
  <c r="CL555" i="23916" s="1"/>
  <c r="CK536" i="23916"/>
  <c r="CK579" i="23916"/>
  <c r="CL579" i="23916" s="1"/>
  <c r="CL533" i="23916"/>
  <c r="CK606" i="23916"/>
  <c r="CL606" i="23916" s="1"/>
  <c r="CK575" i="23916"/>
  <c r="CL575" i="23916" s="1"/>
  <c r="CK572" i="23916"/>
  <c r="CL572" i="23916" s="1"/>
  <c r="CK581" i="23916"/>
  <c r="CL581" i="23916" s="1"/>
  <c r="CK574" i="23916"/>
  <c r="CK571" i="23916"/>
  <c r="CL571" i="23916" s="1"/>
  <c r="FR581" i="23916"/>
  <c r="FU581" i="23916" s="1"/>
  <c r="FS531" i="23916"/>
  <c r="GY628" i="23916"/>
  <c r="GZ628" i="23916"/>
  <c r="GZ196" i="23916"/>
  <c r="GY196" i="23916"/>
  <c r="BD606" i="23916"/>
  <c r="BD555" i="23916"/>
  <c r="BD692" i="23916"/>
  <c r="AQ573" i="23916"/>
  <c r="AR573" i="23916" s="1"/>
  <c r="CH575" i="23916"/>
  <c r="CH582" i="23916"/>
  <c r="CH692" i="23916"/>
  <c r="DU692" i="23916"/>
  <c r="DU680" i="23916"/>
  <c r="DU579" i="23916"/>
  <c r="DU583" i="23916"/>
  <c r="DU582" i="23916"/>
  <c r="DU580" i="23916"/>
  <c r="DU536" i="23916"/>
  <c r="DU555" i="23916"/>
  <c r="DU576" i="23916"/>
  <c r="DU578" i="23916"/>
  <c r="DV533" i="23916"/>
  <c r="DU606" i="23916"/>
  <c r="DU575" i="23916"/>
  <c r="DU571" i="23916"/>
  <c r="DU574" i="23916"/>
  <c r="DU581" i="23916"/>
  <c r="DU572" i="23916"/>
  <c r="BP402" i="23916"/>
  <c r="AZ574" i="23916"/>
  <c r="AZ577" i="23916" s="1"/>
  <c r="AY577" i="23916"/>
  <c r="AZ571" i="23916"/>
  <c r="AZ533" i="23916"/>
  <c r="AZ582" i="23916"/>
  <c r="EE573" i="23916"/>
  <c r="EF573" i="23916" s="1"/>
  <c r="EE533" i="23916"/>
  <c r="EF520" i="23916"/>
  <c r="EK692" i="23916"/>
  <c r="EK680" i="23916"/>
  <c r="EK579" i="23916"/>
  <c r="EK583" i="23916"/>
  <c r="EK582" i="23916"/>
  <c r="EK580" i="23916"/>
  <c r="EK555" i="23916"/>
  <c r="EK576" i="23916"/>
  <c r="EK536" i="23916"/>
  <c r="EK578" i="23916"/>
  <c r="EL533" i="23916"/>
  <c r="EK606" i="23916"/>
  <c r="EK575" i="23916"/>
  <c r="EK572" i="23916"/>
  <c r="EK571" i="23916"/>
  <c r="EK574" i="23916"/>
  <c r="EK581" i="23916"/>
  <c r="BI692" i="23916"/>
  <c r="BI680" i="23916"/>
  <c r="BI579" i="23916"/>
  <c r="BI578" i="23916"/>
  <c r="BI583" i="23916"/>
  <c r="BI582" i="23916"/>
  <c r="BI555" i="23916"/>
  <c r="BJ533" i="23916"/>
  <c r="BI536" i="23916"/>
  <c r="BI606" i="23916"/>
  <c r="BI575" i="23916"/>
  <c r="BI576" i="23916"/>
  <c r="BI574" i="23916"/>
  <c r="BI571" i="23916"/>
  <c r="BI581" i="23916"/>
  <c r="BJ581" i="23916" s="1"/>
  <c r="BI572" i="23916"/>
  <c r="DE692" i="23916"/>
  <c r="DF692" i="23916" s="1"/>
  <c r="DE680" i="23916"/>
  <c r="DF680" i="23916" s="1"/>
  <c r="DE579" i="23916"/>
  <c r="DF579" i="23916" s="1"/>
  <c r="DE578" i="23916"/>
  <c r="DF578" i="23916" s="1"/>
  <c r="DE580" i="23916"/>
  <c r="DE576" i="23916"/>
  <c r="DF576" i="23916" s="1"/>
  <c r="DE583" i="23916"/>
  <c r="DF583" i="23916" s="1"/>
  <c r="DE582" i="23916"/>
  <c r="DF582" i="23916" s="1"/>
  <c r="DE536" i="23916"/>
  <c r="DE555" i="23916"/>
  <c r="DF555" i="23916" s="1"/>
  <c r="DF533" i="23916"/>
  <c r="DE606" i="23916"/>
  <c r="DF606" i="23916" s="1"/>
  <c r="DE575" i="23916"/>
  <c r="DF575" i="23916" s="1"/>
  <c r="DE572" i="23916"/>
  <c r="DF572" i="23916" s="1"/>
  <c r="DE571" i="23916"/>
  <c r="DF571" i="23916" s="1"/>
  <c r="DE581" i="23916"/>
  <c r="DF581" i="23916" s="1"/>
  <c r="DE574" i="23916"/>
  <c r="FQ246" i="23916"/>
  <c r="FP248" i="23916"/>
  <c r="FQ248" i="23916" s="1"/>
  <c r="BW692" i="23916"/>
  <c r="BX692" i="23916" s="1"/>
  <c r="BW680" i="23916"/>
  <c r="BX680" i="23916" s="1"/>
  <c r="BW583" i="23916"/>
  <c r="BX583" i="23916" s="1"/>
  <c r="BW582" i="23916"/>
  <c r="BX582" i="23916" s="1"/>
  <c r="BW580" i="23916"/>
  <c r="BW576" i="23916"/>
  <c r="BX576" i="23916" s="1"/>
  <c r="BW555" i="23916"/>
  <c r="BX555" i="23916" s="1"/>
  <c r="BW579" i="23916"/>
  <c r="BX579" i="23916" s="1"/>
  <c r="BW578" i="23916"/>
  <c r="BX578" i="23916" s="1"/>
  <c r="BW536" i="23916"/>
  <c r="BX533" i="23916"/>
  <c r="BW606" i="23916"/>
  <c r="BX606" i="23916" s="1"/>
  <c r="BW571" i="23916"/>
  <c r="BX571" i="23916" s="1"/>
  <c r="BW575" i="23916"/>
  <c r="BX575" i="23916" s="1"/>
  <c r="BW574" i="23916"/>
  <c r="BW572" i="23916"/>
  <c r="BX572" i="23916" s="1"/>
  <c r="BW581" i="23916"/>
  <c r="BX581" i="23916" s="1"/>
  <c r="EW487" i="23916"/>
  <c r="EX485" i="23916"/>
  <c r="EW9" i="23916"/>
  <c r="EX9" i="23916" s="1"/>
  <c r="EO573" i="23916"/>
  <c r="EP573" i="23916" s="1"/>
  <c r="AY228" i="23916"/>
  <c r="BA189" i="23916"/>
  <c r="AZ195" i="23916"/>
  <c r="AY197" i="23916"/>
  <c r="AY200" i="23916" s="1"/>
  <c r="BH200" i="23916" s="1"/>
  <c r="BH195" i="23916"/>
  <c r="DP14" i="23916"/>
  <c r="DY692" i="23916"/>
  <c r="DZ692" i="23916" s="1"/>
  <c r="DY680" i="23916"/>
  <c r="DZ680" i="23916" s="1"/>
  <c r="DY579" i="23916"/>
  <c r="DZ579" i="23916" s="1"/>
  <c r="DY555" i="23916"/>
  <c r="DZ555" i="23916" s="1"/>
  <c r="DY536" i="23916"/>
  <c r="DY576" i="23916"/>
  <c r="DZ576" i="23916" s="1"/>
  <c r="DY578" i="23916"/>
  <c r="DZ578" i="23916" s="1"/>
  <c r="DY583" i="23916"/>
  <c r="DZ583" i="23916" s="1"/>
  <c r="DY582" i="23916"/>
  <c r="DZ582" i="23916" s="1"/>
  <c r="DY580" i="23916"/>
  <c r="DZ580" i="23916" s="1"/>
  <c r="DZ533" i="23916"/>
  <c r="DY606" i="23916"/>
  <c r="DZ606" i="23916" s="1"/>
  <c r="DY575" i="23916"/>
  <c r="DZ575" i="23916" s="1"/>
  <c r="DY574" i="23916"/>
  <c r="DY571" i="23916"/>
  <c r="DZ571" i="23916" s="1"/>
  <c r="DY572" i="23916"/>
  <c r="DZ572" i="23916" s="1"/>
  <c r="DY581" i="23916"/>
  <c r="DZ581" i="23916" s="1"/>
  <c r="EN14" i="23916"/>
  <c r="GZ630" i="23916"/>
  <c r="GY630" i="23916"/>
  <c r="BC577" i="23916"/>
  <c r="BT575" i="23916"/>
  <c r="BT571" i="23916"/>
  <c r="BT576" i="23916"/>
  <c r="BT582" i="23916"/>
  <c r="BV573" i="23916"/>
  <c r="BV606" i="23916"/>
  <c r="BV582" i="23916"/>
  <c r="BV579" i="23916"/>
  <c r="CU156" i="23916"/>
  <c r="GR554" i="23916"/>
  <c r="GQ554" i="23916"/>
  <c r="FT248" i="23916"/>
  <c r="FT574" i="23916"/>
  <c r="DO573" i="23916"/>
  <c r="DO533" i="23916"/>
  <c r="DP520" i="23916"/>
  <c r="CW140" i="23916"/>
  <c r="CX129" i="23916"/>
  <c r="CW139" i="23916"/>
  <c r="CW141" i="23916"/>
  <c r="CW142" i="23916" s="1"/>
  <c r="CW135" i="23916"/>
  <c r="CW134" i="23916"/>
  <c r="BQ692" i="23916"/>
  <c r="BR692" i="23916" s="1"/>
  <c r="BQ680" i="23916"/>
  <c r="BR680" i="23916" s="1"/>
  <c r="BQ579" i="23916"/>
  <c r="BR579" i="23916" s="1"/>
  <c r="BQ578" i="23916"/>
  <c r="BR578" i="23916" s="1"/>
  <c r="BQ576" i="23916"/>
  <c r="BR576" i="23916" s="1"/>
  <c r="BQ583" i="23916"/>
  <c r="BR583" i="23916" s="1"/>
  <c r="BQ582" i="23916"/>
  <c r="BR582" i="23916" s="1"/>
  <c r="BQ555" i="23916"/>
  <c r="BR555" i="23916" s="1"/>
  <c r="BR533" i="23916"/>
  <c r="BQ536" i="23916"/>
  <c r="BQ606" i="23916"/>
  <c r="BR606" i="23916" s="1"/>
  <c r="BQ575" i="23916"/>
  <c r="BR575" i="23916" s="1"/>
  <c r="BQ572" i="23916"/>
  <c r="BR572" i="23916" s="1"/>
  <c r="BQ574" i="23916"/>
  <c r="BQ571" i="23916"/>
  <c r="BR571" i="23916" s="1"/>
  <c r="BQ581" i="23916"/>
  <c r="BR581" i="23916" s="1"/>
  <c r="BD576" i="23916"/>
  <c r="GA526" i="23916"/>
  <c r="EM573" i="23916"/>
  <c r="EN573" i="23916" s="1"/>
  <c r="EM533" i="23916"/>
  <c r="EN520" i="23916"/>
  <c r="BP572" i="23916"/>
  <c r="BO741" i="23916"/>
  <c r="BO618" i="23916"/>
  <c r="BP536" i="23916"/>
  <c r="BO538" i="23916"/>
  <c r="BP555" i="23916"/>
  <c r="BP692" i="23916"/>
  <c r="GU594" i="23916"/>
  <c r="GT596" i="23916"/>
  <c r="GU596" i="23916" s="1"/>
  <c r="GV636" i="23916"/>
  <c r="GW636" i="23916" s="1"/>
  <c r="GV634" i="23916"/>
  <c r="GX632" i="23916"/>
  <c r="GW632" i="23916"/>
  <c r="GV631" i="23916"/>
  <c r="GW631" i="23916" s="1"/>
  <c r="GE526" i="23916"/>
  <c r="GG519" i="23916"/>
  <c r="BO199" i="23916"/>
  <c r="CV14" i="23916"/>
  <c r="FV526" i="23916"/>
  <c r="FW523" i="23916"/>
  <c r="AU380" i="23916"/>
  <c r="AV380" i="23916" s="1"/>
  <c r="AV379" i="23916"/>
  <c r="BO218" i="23916"/>
  <c r="BP218" i="23916" s="1"/>
  <c r="BA692" i="23916"/>
  <c r="BA680" i="23916"/>
  <c r="BA578" i="23916"/>
  <c r="BA583" i="23916"/>
  <c r="BA582" i="23916"/>
  <c r="BA555" i="23916"/>
  <c r="BB533" i="23916"/>
  <c r="BA536" i="23916"/>
  <c r="BA606" i="23916"/>
  <c r="BA579" i="23916"/>
  <c r="BA576" i="23916"/>
  <c r="BA572" i="23916"/>
  <c r="BA575" i="23916"/>
  <c r="BB575" i="23916" s="1"/>
  <c r="BA574" i="23916"/>
  <c r="BA571" i="23916"/>
  <c r="DQ573" i="23916"/>
  <c r="DR573" i="23916" s="1"/>
  <c r="BV363" i="23916"/>
  <c r="BU368" i="23916"/>
  <c r="BV368" i="23916" s="1"/>
  <c r="BU364" i="23916"/>
  <c r="BW357" i="23916"/>
  <c r="GX495" i="23916"/>
  <c r="GY148" i="23916"/>
  <c r="GZ148" i="23916"/>
  <c r="CH572" i="23916"/>
  <c r="GM519" i="23916"/>
  <c r="GL520" i="23916"/>
  <c r="GR722" i="23916"/>
  <c r="FP533" i="23916"/>
  <c r="FP573" i="23916" s="1"/>
  <c r="FQ573" i="23916" s="1"/>
  <c r="FQ520" i="23916"/>
  <c r="EJ14" i="23916"/>
  <c r="GR615" i="23916"/>
  <c r="GS615" i="23916" s="1"/>
  <c r="GS611" i="23916"/>
  <c r="GR590" i="23916"/>
  <c r="GA134" i="23916"/>
  <c r="GB129" i="23916"/>
  <c r="CU533" i="23916"/>
  <c r="CV520" i="23916"/>
  <c r="GL526" i="23916"/>
  <c r="GM526" i="23916" s="1"/>
  <c r="GM523" i="23916"/>
  <c r="FW520" i="23916"/>
  <c r="CK573" i="23916"/>
  <c r="CL573" i="23916" s="1"/>
  <c r="CP574" i="23916"/>
  <c r="CO577" i="23916"/>
  <c r="CP577" i="23916" s="1"/>
  <c r="CE692" i="23916"/>
  <c r="CF692" i="23916" s="1"/>
  <c r="CE680" i="23916"/>
  <c r="CF680" i="23916" s="1"/>
  <c r="CE583" i="23916"/>
  <c r="CF583" i="23916" s="1"/>
  <c r="CE582" i="23916"/>
  <c r="CF582" i="23916" s="1"/>
  <c r="CE580" i="23916"/>
  <c r="CE576" i="23916"/>
  <c r="CF576" i="23916" s="1"/>
  <c r="CE555" i="23916"/>
  <c r="CF555" i="23916" s="1"/>
  <c r="CE579" i="23916"/>
  <c r="CF579" i="23916" s="1"/>
  <c r="CE578" i="23916"/>
  <c r="CF578" i="23916" s="1"/>
  <c r="CE536" i="23916"/>
  <c r="CN536" i="23916" s="1"/>
  <c r="CF533" i="23916"/>
  <c r="CE606" i="23916"/>
  <c r="CF606" i="23916" s="1"/>
  <c r="CE571" i="23916"/>
  <c r="CF571" i="23916" s="1"/>
  <c r="CE575" i="23916"/>
  <c r="CE574" i="23916"/>
  <c r="CN574" i="23916" s="1"/>
  <c r="CE572" i="23916"/>
  <c r="CF572" i="23916" s="1"/>
  <c r="CE581" i="23916"/>
  <c r="CF581" i="23916" s="1"/>
  <c r="FT571" i="23916"/>
  <c r="FX37" i="23916"/>
  <c r="FY37" i="23916" s="1"/>
  <c r="FZ28" i="23916"/>
  <c r="FY34" i="23916"/>
  <c r="BD572" i="23916"/>
  <c r="BD582" i="23916"/>
  <c r="GZ288" i="23916"/>
  <c r="GX296" i="23916"/>
  <c r="GX293" i="23916"/>
  <c r="GY288" i="23916"/>
  <c r="EC692" i="23916"/>
  <c r="ED692" i="23916" s="1"/>
  <c r="EC680" i="23916"/>
  <c r="ED680" i="23916" s="1"/>
  <c r="EC579" i="23916"/>
  <c r="ED579" i="23916" s="1"/>
  <c r="EC576" i="23916"/>
  <c r="ED576" i="23916" s="1"/>
  <c r="EC578" i="23916"/>
  <c r="ED578" i="23916" s="1"/>
  <c r="EC583" i="23916"/>
  <c r="ED583" i="23916" s="1"/>
  <c r="EC582" i="23916"/>
  <c r="ED582" i="23916" s="1"/>
  <c r="EC580" i="23916"/>
  <c r="ED580" i="23916" s="1"/>
  <c r="EC536" i="23916"/>
  <c r="EC555" i="23916"/>
  <c r="ED555" i="23916" s="1"/>
  <c r="ED533" i="23916"/>
  <c r="EC606" i="23916"/>
  <c r="ED606" i="23916" s="1"/>
  <c r="EC571" i="23916"/>
  <c r="ED571" i="23916" s="1"/>
  <c r="EC581" i="23916"/>
  <c r="ED581" i="23916" s="1"/>
  <c r="EC572" i="23916"/>
  <c r="ED572" i="23916" s="1"/>
  <c r="EC575" i="23916"/>
  <c r="ED575" i="23916" s="1"/>
  <c r="EC574" i="23916"/>
  <c r="AS692" i="23916"/>
  <c r="AT692" i="23916" s="1"/>
  <c r="AS680" i="23916"/>
  <c r="AT680" i="23916" s="1"/>
  <c r="AS578" i="23916"/>
  <c r="AT578" i="23916" s="1"/>
  <c r="AS583" i="23916"/>
  <c r="AT583" i="23916" s="1"/>
  <c r="AS582" i="23916"/>
  <c r="AT582" i="23916" s="1"/>
  <c r="AS555" i="23916"/>
  <c r="AT555" i="23916" s="1"/>
  <c r="AT533" i="23916"/>
  <c r="AS536" i="23916"/>
  <c r="AS606" i="23916"/>
  <c r="AT606" i="23916" s="1"/>
  <c r="AS579" i="23916"/>
  <c r="AT579" i="23916" s="1"/>
  <c r="AS581" i="23916"/>
  <c r="AT581" i="23916" s="1"/>
  <c r="AS576" i="23916"/>
  <c r="AT576" i="23916" s="1"/>
  <c r="AS572" i="23916"/>
  <c r="AT572" i="23916" s="1"/>
  <c r="AS571" i="23916"/>
  <c r="AT571" i="23916" s="1"/>
  <c r="AS574" i="23916"/>
  <c r="CH606" i="23916"/>
  <c r="CH583" i="23916"/>
  <c r="CH578" i="23916"/>
  <c r="GX215" i="23916"/>
  <c r="GW215" i="23916"/>
  <c r="DU573" i="23916"/>
  <c r="DV573" i="23916" s="1"/>
  <c r="GP484" i="23916"/>
  <c r="GQ483" i="23916"/>
  <c r="BP403" i="23916"/>
  <c r="AZ572" i="23916"/>
  <c r="AZ581" i="23916"/>
  <c r="AZ536" i="23916"/>
  <c r="AY538" i="23916"/>
  <c r="AZ583" i="23916"/>
  <c r="EK573" i="23916"/>
  <c r="EL573" i="23916" s="1"/>
  <c r="BI573" i="23916"/>
  <c r="BJ573" i="23916" s="1"/>
  <c r="GH14" i="23916"/>
  <c r="GI11" i="23916"/>
  <c r="DM692" i="23916"/>
  <c r="DN692" i="23916" s="1"/>
  <c r="DM680" i="23916"/>
  <c r="DN680" i="23916" s="1"/>
  <c r="DM579" i="23916"/>
  <c r="DN579" i="23916" s="1"/>
  <c r="DM576" i="23916"/>
  <c r="DN576" i="23916" s="1"/>
  <c r="DM536" i="23916"/>
  <c r="DM578" i="23916"/>
  <c r="DN578" i="23916" s="1"/>
  <c r="DM583" i="23916"/>
  <c r="DN583" i="23916" s="1"/>
  <c r="DM582" i="23916"/>
  <c r="DN582" i="23916" s="1"/>
  <c r="DM580" i="23916"/>
  <c r="DN580" i="23916" s="1"/>
  <c r="DM555" i="23916"/>
  <c r="DN555" i="23916" s="1"/>
  <c r="DN533" i="23916"/>
  <c r="DM606" i="23916"/>
  <c r="DN606" i="23916" s="1"/>
  <c r="DM575" i="23916"/>
  <c r="DN575" i="23916" s="1"/>
  <c r="DM581" i="23916"/>
  <c r="DN581" i="23916" s="1"/>
  <c r="DM571" i="23916"/>
  <c r="DN571" i="23916" s="1"/>
  <c r="DM572" i="23916"/>
  <c r="DN572" i="23916" s="1"/>
  <c r="DM574" i="23916"/>
  <c r="GX505" i="23916"/>
  <c r="GZ476" i="23916"/>
  <c r="GY476" i="23916"/>
  <c r="GX480" i="23916"/>
  <c r="DX666" i="23916"/>
  <c r="DX541" i="23916"/>
  <c r="DX511" i="23916"/>
  <c r="DX504" i="23916" s="1"/>
  <c r="DX506" i="23916" s="1"/>
  <c r="DX508" i="23916" s="1"/>
  <c r="DX510" i="23916" s="1"/>
  <c r="BY573" i="23916"/>
  <c r="CA692" i="23916"/>
  <c r="CB692" i="23916" s="1"/>
  <c r="CA680" i="23916"/>
  <c r="CB680" i="23916" s="1"/>
  <c r="CA583" i="23916"/>
  <c r="CB583" i="23916" s="1"/>
  <c r="CA582" i="23916"/>
  <c r="CB582" i="23916" s="1"/>
  <c r="CA578" i="23916"/>
  <c r="CB578" i="23916" s="1"/>
  <c r="CA555" i="23916"/>
  <c r="CB555" i="23916" s="1"/>
  <c r="CA579" i="23916"/>
  <c r="CB579" i="23916" s="1"/>
  <c r="CA580" i="23916"/>
  <c r="CA576" i="23916"/>
  <c r="CB576" i="23916" s="1"/>
  <c r="CA536" i="23916"/>
  <c r="CB533" i="23916"/>
  <c r="CA606" i="23916"/>
  <c r="CB606" i="23916" s="1"/>
  <c r="CA571" i="23916"/>
  <c r="CB571" i="23916" s="1"/>
  <c r="CA581" i="23916"/>
  <c r="CB581" i="23916" s="1"/>
  <c r="CA572" i="23916"/>
  <c r="CB572" i="23916" s="1"/>
  <c r="CA575" i="23916"/>
  <c r="CB575" i="23916" s="1"/>
  <c r="CA574" i="23916"/>
  <c r="BW573" i="23916"/>
  <c r="BX573" i="23916" s="1"/>
  <c r="EW731" i="23916"/>
  <c r="EX488" i="23916"/>
  <c r="GR482" i="23916"/>
  <c r="GS473" i="23916"/>
  <c r="DW666" i="23916"/>
  <c r="DW541" i="23916"/>
  <c r="DW511" i="23916"/>
  <c r="DW504" i="23916" s="1"/>
  <c r="DW506" i="23916" s="1"/>
  <c r="DW508" i="23916" s="1"/>
  <c r="DW510" i="23916" s="1"/>
  <c r="DW12" i="23916"/>
  <c r="DY573" i="23916"/>
  <c r="DZ573" i="23916" s="1"/>
  <c r="GQ590" i="23916"/>
  <c r="CU73" i="23916"/>
  <c r="CU74" i="23916" s="1"/>
  <c r="CV68" i="23916"/>
  <c r="GZ287" i="23916"/>
  <c r="GY287" i="23916"/>
  <c r="FZ56" i="23916"/>
  <c r="GA56" i="23916" s="1"/>
  <c r="FZ65" i="23916"/>
  <c r="GA49" i="23916"/>
  <c r="FZ55" i="23916"/>
  <c r="FZ62" i="23916"/>
  <c r="FZ63" i="23916"/>
  <c r="FZ64" i="23916"/>
  <c r="GF526" i="23916"/>
  <c r="GG526" i="23916" s="1"/>
  <c r="GG523" i="23916"/>
  <c r="DK573" i="23916"/>
  <c r="DL573" i="23916" s="1"/>
  <c r="DK533" i="23916"/>
  <c r="DL520" i="23916"/>
  <c r="BT573" i="23916"/>
  <c r="BT606" i="23916"/>
  <c r="BT578" i="23916"/>
  <c r="BT583" i="23916"/>
  <c r="BU577" i="23916"/>
  <c r="BV574" i="23916"/>
  <c r="BU741" i="23916"/>
  <c r="BU618" i="23916"/>
  <c r="BV536" i="23916"/>
  <c r="BU538" i="23916"/>
  <c r="BV583" i="23916"/>
  <c r="BV680" i="23916"/>
  <c r="CU90" i="23916" l="1"/>
  <c r="CV74" i="23916"/>
  <c r="CU91" i="23916"/>
  <c r="CU123" i="23916"/>
  <c r="FY74" i="23916"/>
  <c r="FX123" i="23916"/>
  <c r="DK692" i="23916"/>
  <c r="DK680" i="23916"/>
  <c r="DK583" i="23916"/>
  <c r="DK582" i="23916"/>
  <c r="DK555" i="23916"/>
  <c r="DK580" i="23916"/>
  <c r="DK576" i="23916"/>
  <c r="DK578" i="23916"/>
  <c r="DK579" i="23916"/>
  <c r="DK536" i="23916"/>
  <c r="DL533" i="23916"/>
  <c r="DK606" i="23916"/>
  <c r="DL606" i="23916" s="1"/>
  <c r="DK571" i="23916"/>
  <c r="DK575" i="23916"/>
  <c r="DK574" i="23916"/>
  <c r="DK581" i="23916"/>
  <c r="DL581" i="23916" s="1"/>
  <c r="DK572" i="23916"/>
  <c r="GA55" i="23916"/>
  <c r="GB49" i="23916"/>
  <c r="FZ58" i="23916"/>
  <c r="GA58" i="23916" s="1"/>
  <c r="BZ573" i="23916"/>
  <c r="CH573" i="23916"/>
  <c r="GZ480" i="23916"/>
  <c r="GY480" i="23916"/>
  <c r="DM577" i="23916"/>
  <c r="DN574" i="23916"/>
  <c r="DM741" i="23916"/>
  <c r="DM618" i="23916"/>
  <c r="DN536" i="23916"/>
  <c r="DM538" i="23916"/>
  <c r="AT536" i="23916"/>
  <c r="AS538" i="23916"/>
  <c r="EC577" i="23916"/>
  <c r="ED574" i="23916"/>
  <c r="EC741" i="23916"/>
  <c r="EC618" i="23916"/>
  <c r="ED536" i="23916"/>
  <c r="EC538" i="23916"/>
  <c r="GB134" i="23916"/>
  <c r="GB135" i="23916" s="1"/>
  <c r="GC129" i="23916"/>
  <c r="GB140" i="23916"/>
  <c r="GB139" i="23916"/>
  <c r="GB141" i="23916"/>
  <c r="BA577" i="23916"/>
  <c r="BB574" i="23916"/>
  <c r="BB579" i="23916"/>
  <c r="BB555" i="23916"/>
  <c r="BB680" i="23916"/>
  <c r="BO204" i="23916"/>
  <c r="BP199" i="23916"/>
  <c r="BO247" i="23916"/>
  <c r="BO246" i="23916"/>
  <c r="BO742" i="23916"/>
  <c r="EM692" i="23916"/>
  <c r="EM680" i="23916"/>
  <c r="EM583" i="23916"/>
  <c r="EM582" i="23916"/>
  <c r="EM580" i="23916"/>
  <c r="EM578" i="23916"/>
  <c r="EM576" i="23916"/>
  <c r="EM579" i="23916"/>
  <c r="EM536" i="23916"/>
  <c r="EN533" i="23916"/>
  <c r="EM606" i="23916"/>
  <c r="EM555" i="23916"/>
  <c r="EM574" i="23916"/>
  <c r="EM571" i="23916"/>
  <c r="EM575" i="23916"/>
  <c r="EM581" i="23916"/>
  <c r="EM572" i="23916"/>
  <c r="CY129" i="23916"/>
  <c r="CX134" i="23916"/>
  <c r="DY741" i="23916"/>
  <c r="DY618" i="23916"/>
  <c r="DZ536" i="23916"/>
  <c r="DY538" i="23916"/>
  <c r="DF574" i="23916"/>
  <c r="DE577" i="23916"/>
  <c r="DE741" i="23916"/>
  <c r="DE618" i="23916"/>
  <c r="DF536" i="23916"/>
  <c r="DE538" i="23916"/>
  <c r="BI577" i="23916"/>
  <c r="BJ574" i="23916"/>
  <c r="BI741" i="23916"/>
  <c r="BI618" i="23916"/>
  <c r="BJ536" i="23916"/>
  <c r="BI538" i="23916"/>
  <c r="BJ583" i="23916"/>
  <c r="BJ692" i="23916"/>
  <c r="EL572" i="23916"/>
  <c r="EL578" i="23916"/>
  <c r="EL580" i="23916"/>
  <c r="EL680" i="23916"/>
  <c r="CN581" i="23916"/>
  <c r="DV571" i="23916"/>
  <c r="DV578" i="23916"/>
  <c r="DV580" i="23916"/>
  <c r="DV680" i="23916"/>
  <c r="CK577" i="23916"/>
  <c r="CL574" i="23916"/>
  <c r="BH216" i="23916"/>
  <c r="AY219" i="23916"/>
  <c r="BH219" i="23916" s="1"/>
  <c r="AZ229" i="23916"/>
  <c r="BH229" i="23916"/>
  <c r="GU297" i="23916"/>
  <c r="GT306" i="23916"/>
  <c r="BH573" i="23916"/>
  <c r="BP573" i="23916"/>
  <c r="DC692" i="23916"/>
  <c r="DC680" i="23916"/>
  <c r="DC583" i="23916"/>
  <c r="DC582" i="23916"/>
  <c r="DC580" i="23916"/>
  <c r="DC576" i="23916"/>
  <c r="DC555" i="23916"/>
  <c r="DC579" i="23916"/>
  <c r="DC578" i="23916"/>
  <c r="DC536" i="23916"/>
  <c r="DD533" i="23916"/>
  <c r="DC606" i="23916"/>
  <c r="DC571" i="23916"/>
  <c r="DC574" i="23916"/>
  <c r="DC575" i="23916"/>
  <c r="DC581" i="23916"/>
  <c r="DC572" i="23916"/>
  <c r="DQ741" i="23916"/>
  <c r="DQ618" i="23916"/>
  <c r="DQ538" i="23916"/>
  <c r="DR536" i="23916"/>
  <c r="CN579" i="23916"/>
  <c r="GZ645" i="23916"/>
  <c r="GY645" i="23916"/>
  <c r="CX574" i="23916"/>
  <c r="CW577" i="23916"/>
  <c r="CX577" i="23916" s="1"/>
  <c r="GV297" i="23916"/>
  <c r="GV294" i="23916"/>
  <c r="GW294" i="23916" s="1"/>
  <c r="GW296" i="23916"/>
  <c r="BS666" i="23916"/>
  <c r="BS541" i="23916"/>
  <c r="BT572" i="23916"/>
  <c r="EO577" i="23916"/>
  <c r="EP574" i="23916"/>
  <c r="GX471" i="23916"/>
  <c r="GW471" i="23916"/>
  <c r="GV473" i="23916"/>
  <c r="AZ573" i="23916"/>
  <c r="GM14" i="23916"/>
  <c r="EH575" i="23916"/>
  <c r="EH572" i="23916"/>
  <c r="EH555" i="23916"/>
  <c r="EG741" i="23916"/>
  <c r="EG618" i="23916"/>
  <c r="EH536" i="23916"/>
  <c r="EG538" i="23916"/>
  <c r="EH692" i="23916"/>
  <c r="CN692" i="23916"/>
  <c r="GX598" i="23916"/>
  <c r="GZ599" i="23916"/>
  <c r="GY599" i="23916"/>
  <c r="GX594" i="23916"/>
  <c r="CJ579" i="23916"/>
  <c r="CJ583" i="23916"/>
  <c r="BP578" i="23916"/>
  <c r="GO14" i="23916"/>
  <c r="BN575" i="23916"/>
  <c r="BN606" i="23916"/>
  <c r="BN583" i="23916"/>
  <c r="GY165" i="23916"/>
  <c r="GZ165" i="23916"/>
  <c r="CT573" i="23916"/>
  <c r="BF576" i="23916"/>
  <c r="BF579" i="23916"/>
  <c r="BF555" i="23916"/>
  <c r="BF680" i="23916"/>
  <c r="BV576" i="23916"/>
  <c r="BT579" i="23916"/>
  <c r="FZ692" i="23916"/>
  <c r="FZ680" i="23916"/>
  <c r="FZ579" i="23916"/>
  <c r="FZ582" i="23916"/>
  <c r="FZ583" i="23916"/>
  <c r="FZ576" i="23916"/>
  <c r="FZ580" i="23916"/>
  <c r="FZ536" i="23916"/>
  <c r="FZ578" i="23916"/>
  <c r="FZ555" i="23916"/>
  <c r="FZ606" i="23916"/>
  <c r="FZ575" i="23916"/>
  <c r="FZ571" i="23916"/>
  <c r="FZ581" i="23916"/>
  <c r="FZ574" i="23916"/>
  <c r="FZ572" i="23916"/>
  <c r="CC577" i="23916"/>
  <c r="CD577" i="23916" s="1"/>
  <c r="CD574" i="23916"/>
  <c r="GN533" i="23916"/>
  <c r="GN573" i="23916"/>
  <c r="GO520" i="23916"/>
  <c r="DA577" i="23916"/>
  <c r="DB574" i="23916"/>
  <c r="BZ581" i="23916"/>
  <c r="BZ576" i="23916"/>
  <c r="BZ680" i="23916"/>
  <c r="FQ363" i="23916"/>
  <c r="FP368" i="23916"/>
  <c r="FQ368" i="23916" s="1"/>
  <c r="FP364" i="23916"/>
  <c r="FR357" i="23916"/>
  <c r="AZ579" i="23916"/>
  <c r="CR575" i="23916"/>
  <c r="CR571" i="23916"/>
  <c r="CR576" i="23916"/>
  <c r="CR578" i="23916"/>
  <c r="CR692" i="23916"/>
  <c r="BC666" i="23916"/>
  <c r="BC541" i="23916"/>
  <c r="BC511" i="23916"/>
  <c r="EI692" i="23916"/>
  <c r="EI680" i="23916"/>
  <c r="EI583" i="23916"/>
  <c r="EI582" i="23916"/>
  <c r="EI580" i="23916"/>
  <c r="EI578" i="23916"/>
  <c r="EI576" i="23916"/>
  <c r="EI555" i="23916"/>
  <c r="EI536" i="23916"/>
  <c r="EI579" i="23916"/>
  <c r="EJ533" i="23916"/>
  <c r="EI606" i="23916"/>
  <c r="EI571" i="23916"/>
  <c r="EI575" i="23916"/>
  <c r="EI574" i="23916"/>
  <c r="EI581" i="23916"/>
  <c r="EI572" i="23916"/>
  <c r="EU531" i="23916"/>
  <c r="EV487" i="23916"/>
  <c r="BP582" i="23916"/>
  <c r="CS577" i="23916"/>
  <c r="CT577" i="23916" s="1"/>
  <c r="CT574" i="23916"/>
  <c r="CT579" i="23916"/>
  <c r="BU666" i="23916"/>
  <c r="BU541" i="23916"/>
  <c r="BU511" i="23916"/>
  <c r="BV577" i="23916"/>
  <c r="GZ215" i="23916"/>
  <c r="GY215" i="23916"/>
  <c r="AS577" i="23916"/>
  <c r="AT574" i="23916"/>
  <c r="AT577" i="23916" s="1"/>
  <c r="GA28" i="23916"/>
  <c r="FZ34" i="23916"/>
  <c r="FZ68" i="23916"/>
  <c r="FZ42" i="23916"/>
  <c r="FZ41" i="23916"/>
  <c r="FZ43" i="23916"/>
  <c r="FZ44" i="23916"/>
  <c r="FP692" i="23916"/>
  <c r="FQ692" i="23916" s="1"/>
  <c r="FP680" i="23916"/>
  <c r="FQ680" i="23916" s="1"/>
  <c r="FP583" i="23916"/>
  <c r="FQ583" i="23916" s="1"/>
  <c r="FP578" i="23916"/>
  <c r="FQ578" i="23916" s="1"/>
  <c r="FP536" i="23916"/>
  <c r="FP582" i="23916"/>
  <c r="FQ582" i="23916" s="1"/>
  <c r="FQ533" i="23916"/>
  <c r="FP555" i="23916"/>
  <c r="FQ555" i="23916" s="1"/>
  <c r="FP606" i="23916"/>
  <c r="FQ606" i="23916" s="1"/>
  <c r="FP574" i="23916"/>
  <c r="FP579" i="23916"/>
  <c r="FQ579" i="23916" s="1"/>
  <c r="FP572" i="23916"/>
  <c r="FQ572" i="23916" s="1"/>
  <c r="FP581" i="23916"/>
  <c r="FQ581" i="23916" s="1"/>
  <c r="FP576" i="23916"/>
  <c r="FQ576" i="23916" s="1"/>
  <c r="FP571" i="23916"/>
  <c r="FQ571" i="23916" s="1"/>
  <c r="GY495" i="23916"/>
  <c r="GZ495" i="23916"/>
  <c r="BB606" i="23916"/>
  <c r="BB582" i="23916"/>
  <c r="BB692" i="23916"/>
  <c r="CW155" i="23916"/>
  <c r="CX135" i="23916"/>
  <c r="CW153" i="23916"/>
  <c r="CW154" i="23916"/>
  <c r="CW156" i="23916" s="1"/>
  <c r="CW184" i="23916"/>
  <c r="FT577" i="23916"/>
  <c r="GS554" i="23916"/>
  <c r="GT554" i="23916"/>
  <c r="GR546" i="23916"/>
  <c r="BJ572" i="23916"/>
  <c r="BJ576" i="23916"/>
  <c r="BJ578" i="23916"/>
  <c r="EL581" i="23916"/>
  <c r="EL575" i="23916"/>
  <c r="EK741" i="23916"/>
  <c r="EK618" i="23916"/>
  <c r="EL536" i="23916"/>
  <c r="EK538" i="23916"/>
  <c r="EL582" i="23916"/>
  <c r="EL692" i="23916"/>
  <c r="DV572" i="23916"/>
  <c r="DV575" i="23916"/>
  <c r="DV576" i="23916"/>
  <c r="DV582" i="23916"/>
  <c r="DV692" i="23916"/>
  <c r="FX533" i="23916"/>
  <c r="FX573" i="23916"/>
  <c r="FY520" i="23916"/>
  <c r="GV610" i="23916"/>
  <c r="GU610" i="23916"/>
  <c r="BP216" i="23916"/>
  <c r="BO219" i="23916"/>
  <c r="FY526" i="23916"/>
  <c r="CO742" i="23916"/>
  <c r="CP618" i="23916"/>
  <c r="CO17" i="23916"/>
  <c r="CP17" i="23916" s="1"/>
  <c r="CN606" i="23916"/>
  <c r="EX307" i="23916"/>
  <c r="GP307" i="23916"/>
  <c r="GB533" i="23916"/>
  <c r="AZ246" i="23916"/>
  <c r="AY248" i="23916"/>
  <c r="BH246" i="23916"/>
  <c r="GT482" i="23916"/>
  <c r="GU473" i="23916"/>
  <c r="AX232" i="23916"/>
  <c r="AW244" i="23916"/>
  <c r="AX244" i="23916" s="1"/>
  <c r="AW245" i="23916"/>
  <c r="AX245" i="23916" s="1"/>
  <c r="AW280" i="23916"/>
  <c r="AX280" i="23916" s="1"/>
  <c r="BD680" i="23916"/>
  <c r="GI526" i="23916"/>
  <c r="DS692" i="23916"/>
  <c r="DT692" i="23916" s="1"/>
  <c r="DS680" i="23916"/>
  <c r="DT680" i="23916" s="1"/>
  <c r="DS583" i="23916"/>
  <c r="DT583" i="23916" s="1"/>
  <c r="DS582" i="23916"/>
  <c r="DT582" i="23916" s="1"/>
  <c r="DS580" i="23916"/>
  <c r="DT580" i="23916" s="1"/>
  <c r="DS578" i="23916"/>
  <c r="DT578" i="23916" s="1"/>
  <c r="DS576" i="23916"/>
  <c r="DT576" i="23916" s="1"/>
  <c r="DS555" i="23916"/>
  <c r="DT555" i="23916" s="1"/>
  <c r="DS579" i="23916"/>
  <c r="DT579" i="23916" s="1"/>
  <c r="DS536" i="23916"/>
  <c r="DT533" i="23916"/>
  <c r="DS606" i="23916"/>
  <c r="DT606" i="23916" s="1"/>
  <c r="DS571" i="23916"/>
  <c r="DT571" i="23916" s="1"/>
  <c r="DS575" i="23916"/>
  <c r="DT575" i="23916" s="1"/>
  <c r="DS574" i="23916"/>
  <c r="DS581" i="23916"/>
  <c r="DT581" i="23916" s="1"/>
  <c r="DS572" i="23916"/>
  <c r="DT572" i="23916" s="1"/>
  <c r="BH575" i="23916"/>
  <c r="BP575" i="23916"/>
  <c r="EH571" i="23916"/>
  <c r="EH606" i="23916"/>
  <c r="EH580" i="23916"/>
  <c r="EH578" i="23916"/>
  <c r="CN578" i="23916"/>
  <c r="GW594" i="23916"/>
  <c r="GV596" i="23916"/>
  <c r="GW596" i="23916" s="1"/>
  <c r="CI577" i="23916"/>
  <c r="CJ574" i="23916"/>
  <c r="CJ575" i="23916"/>
  <c r="CJ576" i="23916"/>
  <c r="CJ555" i="23916"/>
  <c r="CJ680" i="23916"/>
  <c r="BP606" i="23916"/>
  <c r="CY43" i="23916"/>
  <c r="CY42" i="23916"/>
  <c r="CY44" i="23916"/>
  <c r="CY45" i="23916" s="1"/>
  <c r="CY34" i="23916"/>
  <c r="CZ28" i="23916"/>
  <c r="CY35" i="23916"/>
  <c r="CY41" i="23916"/>
  <c r="FT741" i="23916"/>
  <c r="FT538" i="23916"/>
  <c r="FU536" i="23916"/>
  <c r="DJ574" i="23916"/>
  <c r="DI577" i="23916"/>
  <c r="DJ577" i="23916" s="1"/>
  <c r="BM741" i="23916"/>
  <c r="BM618" i="23916"/>
  <c r="BN536" i="23916"/>
  <c r="BM538" i="23916"/>
  <c r="BV538" i="23916" s="1"/>
  <c r="BF573" i="23916"/>
  <c r="BF572" i="23916"/>
  <c r="BF606" i="23916"/>
  <c r="BF582" i="23916"/>
  <c r="BF692" i="23916"/>
  <c r="BV571" i="23916"/>
  <c r="BT581" i="23916"/>
  <c r="GD573" i="23916"/>
  <c r="GD533" i="23916"/>
  <c r="GE520" i="23916"/>
  <c r="BZ574" i="23916"/>
  <c r="BY577" i="23916"/>
  <c r="BZ572" i="23916"/>
  <c r="BZ555" i="23916"/>
  <c r="BZ692" i="23916"/>
  <c r="AX364" i="23916"/>
  <c r="AW379" i="23916"/>
  <c r="AW382" i="23916"/>
  <c r="AX382" i="23916" s="1"/>
  <c r="AW381" i="23916"/>
  <c r="AX381" i="23916" s="1"/>
  <c r="AW371" i="23916"/>
  <c r="AX371" i="23916" s="1"/>
  <c r="AW402" i="23916"/>
  <c r="AX402" i="23916" s="1"/>
  <c r="AW403" i="23916"/>
  <c r="AX403" i="23916" s="1"/>
  <c r="CG742" i="23916"/>
  <c r="CR572" i="23916"/>
  <c r="CR606" i="23916"/>
  <c r="CR582" i="23916"/>
  <c r="GP487" i="23916"/>
  <c r="GQ485" i="23916"/>
  <c r="GP9" i="23916"/>
  <c r="GQ9" i="23916" s="1"/>
  <c r="FR692" i="23916"/>
  <c r="FS692" i="23916" s="1"/>
  <c r="FR680" i="23916"/>
  <c r="FS680" i="23916" s="1"/>
  <c r="FR582" i="23916"/>
  <c r="FS582" i="23916" s="1"/>
  <c r="FR583" i="23916"/>
  <c r="FS583" i="23916" s="1"/>
  <c r="FR578" i="23916"/>
  <c r="FS578" i="23916" s="1"/>
  <c r="FR536" i="23916"/>
  <c r="FS533" i="23916"/>
  <c r="FR555" i="23916"/>
  <c r="FS555" i="23916" s="1"/>
  <c r="FR606" i="23916"/>
  <c r="FS606" i="23916" s="1"/>
  <c r="FR580" i="23916"/>
  <c r="FS580" i="23916" s="1"/>
  <c r="FR574" i="23916"/>
  <c r="FR579" i="23916"/>
  <c r="FS579" i="23916" s="1"/>
  <c r="FR572" i="23916"/>
  <c r="FS572" i="23916" s="1"/>
  <c r="FR575" i="23916"/>
  <c r="FS575" i="23916" s="1"/>
  <c r="FR571" i="23916"/>
  <c r="FS571" i="23916" s="1"/>
  <c r="FR576" i="23916"/>
  <c r="FS576" i="23916" s="1"/>
  <c r="GY103" i="23916"/>
  <c r="GZ103" i="23916"/>
  <c r="GG14" i="23916"/>
  <c r="CN680" i="23916"/>
  <c r="CM742" i="23916"/>
  <c r="CM17" i="23916"/>
  <c r="CN17" i="23916" s="1"/>
  <c r="BP576" i="23916"/>
  <c r="BP577" i="23916" s="1"/>
  <c r="CT572" i="23916"/>
  <c r="CT582" i="23916"/>
  <c r="CT555" i="23916"/>
  <c r="CT680" i="23916"/>
  <c r="GY57" i="23916"/>
  <c r="GZ57" i="23916"/>
  <c r="BB581" i="23916"/>
  <c r="CA741" i="23916"/>
  <c r="CA618" i="23916"/>
  <c r="CB536" i="23916"/>
  <c r="CA538" i="23916"/>
  <c r="DX667" i="23916"/>
  <c r="DX614" i="23916"/>
  <c r="DX553" i="23916"/>
  <c r="DX566" i="23916" s="1"/>
  <c r="GS484" i="23916"/>
  <c r="GQ484" i="23916"/>
  <c r="GX303" i="23916"/>
  <c r="GY293" i="23916"/>
  <c r="GZ293" i="23916"/>
  <c r="CF574" i="23916"/>
  <c r="CE577" i="23916"/>
  <c r="CU692" i="23916"/>
  <c r="CV692" i="23916" s="1"/>
  <c r="CU680" i="23916"/>
  <c r="CV680" i="23916" s="1"/>
  <c r="CU583" i="23916"/>
  <c r="CV583" i="23916" s="1"/>
  <c r="CU582" i="23916"/>
  <c r="CV582" i="23916" s="1"/>
  <c r="CU580" i="23916"/>
  <c r="CU576" i="23916"/>
  <c r="CV576" i="23916" s="1"/>
  <c r="CU555" i="23916"/>
  <c r="CV555" i="23916" s="1"/>
  <c r="CU579" i="23916"/>
  <c r="CV579" i="23916" s="1"/>
  <c r="CU578" i="23916"/>
  <c r="CV578" i="23916" s="1"/>
  <c r="CU536" i="23916"/>
  <c r="CV533" i="23916"/>
  <c r="CU606" i="23916"/>
  <c r="CV606" i="23916" s="1"/>
  <c r="CU571" i="23916"/>
  <c r="CV571" i="23916" s="1"/>
  <c r="CU574" i="23916"/>
  <c r="CU575" i="23916"/>
  <c r="CV575" i="23916" s="1"/>
  <c r="CU581" i="23916"/>
  <c r="CV581" i="23916" s="1"/>
  <c r="CU572" i="23916"/>
  <c r="CV572" i="23916" s="1"/>
  <c r="GS590" i="23916"/>
  <c r="BW363" i="23916"/>
  <c r="BX357" i="23916"/>
  <c r="BW370" i="23916"/>
  <c r="BX370" i="23916" s="1"/>
  <c r="BW369" i="23916"/>
  <c r="BX369" i="23916" s="1"/>
  <c r="BB572" i="23916"/>
  <c r="BB536" i="23916"/>
  <c r="BA538" i="23916"/>
  <c r="BB583" i="23916"/>
  <c r="FW526" i="23916"/>
  <c r="FV533" i="23916"/>
  <c r="CN583" i="23916"/>
  <c r="GY632" i="23916"/>
  <c r="GX631" i="23916"/>
  <c r="GZ632" i="23916"/>
  <c r="GX636" i="23916"/>
  <c r="GX634" i="23916"/>
  <c r="BO666" i="23916"/>
  <c r="BO541" i="23916"/>
  <c r="BO511" i="23916"/>
  <c r="BQ577" i="23916"/>
  <c r="BR574" i="23916"/>
  <c r="BR577" i="23916" s="1"/>
  <c r="BQ741" i="23916"/>
  <c r="BQ618" i="23916"/>
  <c r="BR536" i="23916"/>
  <c r="BQ538" i="23916"/>
  <c r="BA205" i="23916"/>
  <c r="BB189" i="23916"/>
  <c r="BA199" i="23916"/>
  <c r="BA195" i="23916"/>
  <c r="BJ189" i="23916"/>
  <c r="BX574" i="23916"/>
  <c r="BW577" i="23916"/>
  <c r="BX577" i="23916" s="1"/>
  <c r="BJ575" i="23916"/>
  <c r="BJ555" i="23916"/>
  <c r="BJ579" i="23916"/>
  <c r="EK577" i="23916"/>
  <c r="EL577" i="23916" s="1"/>
  <c r="EL574" i="23916"/>
  <c r="EL606" i="23916"/>
  <c r="EL576" i="23916"/>
  <c r="EL583" i="23916"/>
  <c r="DV581" i="23916"/>
  <c r="DV606" i="23916"/>
  <c r="DV555" i="23916"/>
  <c r="DV583" i="23916"/>
  <c r="FS581" i="23916"/>
  <c r="GE14" i="23916"/>
  <c r="DG692" i="23916"/>
  <c r="DG680" i="23916"/>
  <c r="DG583" i="23916"/>
  <c r="DG582" i="23916"/>
  <c r="DG555" i="23916"/>
  <c r="DG580" i="23916"/>
  <c r="DG576" i="23916"/>
  <c r="DG578" i="23916"/>
  <c r="DG536" i="23916"/>
  <c r="DG579" i="23916"/>
  <c r="DH533" i="23916"/>
  <c r="DG606" i="23916"/>
  <c r="DG571" i="23916"/>
  <c r="DG575" i="23916"/>
  <c r="DG581" i="23916"/>
  <c r="DG574" i="23916"/>
  <c r="DG572" i="23916"/>
  <c r="DQ577" i="23916"/>
  <c r="DR577" i="23916" s="1"/>
  <c r="DR574" i="23916"/>
  <c r="BQ224" i="23916"/>
  <c r="BQ225" i="23916" s="1"/>
  <c r="BR208" i="23916"/>
  <c r="BQ223" i="23916"/>
  <c r="BQ214" i="23916"/>
  <c r="CN572" i="23916"/>
  <c r="EW728" i="23916"/>
  <c r="EX312" i="23916"/>
  <c r="GO526" i="23916"/>
  <c r="BK741" i="23916"/>
  <c r="BK618" i="23916"/>
  <c r="BL536" i="23916"/>
  <c r="BK538" i="23916"/>
  <c r="BT692" i="23916"/>
  <c r="BS742" i="23916"/>
  <c r="BT618" i="23916"/>
  <c r="BT577" i="23916"/>
  <c r="CW55" i="23916"/>
  <c r="CW56" i="23916" s="1"/>
  <c r="CW62" i="23916"/>
  <c r="CW64" i="23916"/>
  <c r="CX49" i="23916"/>
  <c r="CW65" i="23916"/>
  <c r="CW63" i="23916"/>
  <c r="CW68" i="23916"/>
  <c r="AZ247" i="23916"/>
  <c r="BH247" i="23916"/>
  <c r="GH533" i="23916"/>
  <c r="GH573" i="23916" s="1"/>
  <c r="GI520" i="23916"/>
  <c r="AR536" i="23916"/>
  <c r="AQ538" i="23916"/>
  <c r="FX76" i="23916"/>
  <c r="FY76" i="23916" s="1"/>
  <c r="FY73" i="23916"/>
  <c r="FX79" i="23916"/>
  <c r="FY79" i="23916" s="1"/>
  <c r="GQ301" i="23916"/>
  <c r="GS301" i="23916"/>
  <c r="GT720" i="23916"/>
  <c r="GV609" i="23916"/>
  <c r="GU609" i="23916"/>
  <c r="GV611" i="23916"/>
  <c r="BH577" i="23916"/>
  <c r="EH581" i="23916"/>
  <c r="EH582" i="23916"/>
  <c r="EH579" i="23916"/>
  <c r="EA692" i="23916"/>
  <c r="EB692" i="23916" s="1"/>
  <c r="EA680" i="23916"/>
  <c r="EB680" i="23916" s="1"/>
  <c r="EA583" i="23916"/>
  <c r="EB583" i="23916" s="1"/>
  <c r="EA582" i="23916"/>
  <c r="EB582" i="23916" s="1"/>
  <c r="EA580" i="23916"/>
  <c r="EB580" i="23916" s="1"/>
  <c r="EA578" i="23916"/>
  <c r="EB578" i="23916" s="1"/>
  <c r="EA576" i="23916"/>
  <c r="EB576" i="23916" s="1"/>
  <c r="EA555" i="23916"/>
  <c r="EB555" i="23916" s="1"/>
  <c r="EA579" i="23916"/>
  <c r="EB579" i="23916" s="1"/>
  <c r="EA536" i="23916"/>
  <c r="EB533" i="23916"/>
  <c r="EA606" i="23916"/>
  <c r="EB606" i="23916" s="1"/>
  <c r="EA571" i="23916"/>
  <c r="EB571" i="23916" s="1"/>
  <c r="EA574" i="23916"/>
  <c r="EA575" i="23916"/>
  <c r="EB575" i="23916" s="1"/>
  <c r="EA581" i="23916"/>
  <c r="EB581" i="23916" s="1"/>
  <c r="EA572" i="23916"/>
  <c r="EB572" i="23916" s="1"/>
  <c r="CN571" i="23916"/>
  <c r="BP228" i="23916"/>
  <c r="BO230" i="23916"/>
  <c r="CJ581" i="23916"/>
  <c r="CJ571" i="23916"/>
  <c r="CI741" i="23916"/>
  <c r="CI618" i="23916"/>
  <c r="CJ536" i="23916"/>
  <c r="CI538" i="23916"/>
  <c r="CJ578" i="23916"/>
  <c r="CJ692" i="23916"/>
  <c r="FU606" i="23916"/>
  <c r="FU579" i="23916"/>
  <c r="DI741" i="23916"/>
  <c r="DI618" i="23916"/>
  <c r="DI538" i="23916"/>
  <c r="DJ536" i="23916"/>
  <c r="BM577" i="23916"/>
  <c r="BN574" i="23916"/>
  <c r="BN577" i="23916" s="1"/>
  <c r="BE577" i="23916"/>
  <c r="BF574" i="23916"/>
  <c r="BF577" i="23916" s="1"/>
  <c r="BF536" i="23916"/>
  <c r="BE538" i="23916"/>
  <c r="BF583" i="23916"/>
  <c r="CC741" i="23916"/>
  <c r="CC618" i="23916"/>
  <c r="CC538" i="23916"/>
  <c r="CD536" i="23916"/>
  <c r="DA741" i="23916"/>
  <c r="DA618" i="23916"/>
  <c r="DA538" i="23916"/>
  <c r="DB536" i="23916"/>
  <c r="BZ571" i="23916"/>
  <c r="BZ606" i="23916"/>
  <c r="BZ582" i="23916"/>
  <c r="BZ578" i="23916"/>
  <c r="GR312" i="23916"/>
  <c r="GS306" i="23916"/>
  <c r="AZ680" i="23916"/>
  <c r="CQ577" i="23916"/>
  <c r="CR577" i="23916" s="1"/>
  <c r="CR574" i="23916"/>
  <c r="CR579" i="23916"/>
  <c r="CR583" i="23916"/>
  <c r="EV524" i="23916"/>
  <c r="BD579" i="23916"/>
  <c r="BD581" i="23916"/>
  <c r="FR573" i="23916"/>
  <c r="FS573" i="23916" s="1"/>
  <c r="GZ472" i="23916"/>
  <c r="GY472" i="23916"/>
  <c r="FY379" i="23916"/>
  <c r="FX380" i="23916"/>
  <c r="FY380" i="23916" s="1"/>
  <c r="GP312" i="23916"/>
  <c r="GP309" i="23916"/>
  <c r="GQ306" i="23916"/>
  <c r="GK14" i="23916"/>
  <c r="GK526" i="23916"/>
  <c r="CN576" i="23916"/>
  <c r="BP571" i="23916"/>
  <c r="CT575" i="23916"/>
  <c r="CT581" i="23916"/>
  <c r="CT583" i="23916"/>
  <c r="CT578" i="23916"/>
  <c r="CT692" i="23916"/>
  <c r="GG520" i="23916"/>
  <c r="GY290" i="23916"/>
  <c r="BU742" i="23916"/>
  <c r="BV618" i="23916"/>
  <c r="CU76" i="23916"/>
  <c r="CV76" i="23916" s="1"/>
  <c r="CU79" i="23916"/>
  <c r="CV79" i="23916" s="1"/>
  <c r="CV73" i="23916"/>
  <c r="DW747" i="23916"/>
  <c r="DW667" i="23916"/>
  <c r="DW614" i="23916"/>
  <c r="DW553" i="23916"/>
  <c r="DW566" i="23916" s="1"/>
  <c r="DW15" i="23916"/>
  <c r="GR485" i="23916"/>
  <c r="GR488" i="23916"/>
  <c r="GS482" i="23916"/>
  <c r="GR483" i="23916"/>
  <c r="CA577" i="23916"/>
  <c r="CB577" i="23916" s="1"/>
  <c r="CB574" i="23916"/>
  <c r="GZ505" i="23916"/>
  <c r="GY505" i="23916"/>
  <c r="GI14" i="23916"/>
  <c r="AY666" i="23916"/>
  <c r="AY541" i="23916"/>
  <c r="AZ538" i="23916"/>
  <c r="AY511" i="23916"/>
  <c r="GZ296" i="23916"/>
  <c r="GX294" i="23916"/>
  <c r="GY296" i="23916"/>
  <c r="GX297" i="23916"/>
  <c r="FU571" i="23916"/>
  <c r="CF575" i="23916"/>
  <c r="CN575" i="23916"/>
  <c r="CE741" i="23916"/>
  <c r="CE618" i="23916"/>
  <c r="CF536" i="23916"/>
  <c r="CE538" i="23916"/>
  <c r="CU573" i="23916"/>
  <c r="CV573" i="23916" s="1"/>
  <c r="GL533" i="23916"/>
  <c r="GM520" i="23916"/>
  <c r="BV364" i="23916"/>
  <c r="BU382" i="23916"/>
  <c r="BV382" i="23916" s="1"/>
  <c r="BU381" i="23916"/>
  <c r="BV381" i="23916" s="1"/>
  <c r="BU379" i="23916"/>
  <c r="BU371" i="23916"/>
  <c r="BV371" i="23916" s="1"/>
  <c r="BU402" i="23916"/>
  <c r="BV402" i="23916" s="1"/>
  <c r="BU403" i="23916"/>
  <c r="BV403" i="23916" s="1"/>
  <c r="BB571" i="23916"/>
  <c r="BB576" i="23916"/>
  <c r="BB578" i="23916"/>
  <c r="CN555" i="23916"/>
  <c r="GV635" i="23916"/>
  <c r="GW635" i="23916" s="1"/>
  <c r="GW634" i="23916"/>
  <c r="DO692" i="23916"/>
  <c r="DP692" i="23916" s="1"/>
  <c r="DO680" i="23916"/>
  <c r="DP680" i="23916" s="1"/>
  <c r="DO583" i="23916"/>
  <c r="DP583" i="23916" s="1"/>
  <c r="DO582" i="23916"/>
  <c r="DP582" i="23916" s="1"/>
  <c r="DO580" i="23916"/>
  <c r="DP580" i="23916" s="1"/>
  <c r="DO578" i="23916"/>
  <c r="DP578" i="23916" s="1"/>
  <c r="DO576" i="23916"/>
  <c r="DP576" i="23916" s="1"/>
  <c r="DO555" i="23916"/>
  <c r="DP555" i="23916" s="1"/>
  <c r="DO536" i="23916"/>
  <c r="DO579" i="23916"/>
  <c r="DP579" i="23916" s="1"/>
  <c r="DP533" i="23916"/>
  <c r="DO606" i="23916"/>
  <c r="DP606" i="23916" s="1"/>
  <c r="DO571" i="23916"/>
  <c r="DP571" i="23916" s="1"/>
  <c r="DO575" i="23916"/>
  <c r="DP575" i="23916" s="1"/>
  <c r="DO574" i="23916"/>
  <c r="DO581" i="23916"/>
  <c r="DP581" i="23916" s="1"/>
  <c r="DO572" i="23916"/>
  <c r="DP572" i="23916" s="1"/>
  <c r="DY577" i="23916"/>
  <c r="DZ577" i="23916" s="1"/>
  <c r="DZ574" i="23916"/>
  <c r="AZ228" i="23916"/>
  <c r="AY230" i="23916"/>
  <c r="BH228" i="23916"/>
  <c r="EW531" i="23916"/>
  <c r="EX487" i="23916"/>
  <c r="BW741" i="23916"/>
  <c r="BW618" i="23916"/>
  <c r="BX536" i="23916"/>
  <c r="BW538" i="23916"/>
  <c r="BJ571" i="23916"/>
  <c r="BJ606" i="23916"/>
  <c r="BJ582" i="23916"/>
  <c r="BJ680" i="23916"/>
  <c r="EL571" i="23916"/>
  <c r="EL555" i="23916"/>
  <c r="EL579" i="23916"/>
  <c r="EE692" i="23916"/>
  <c r="EF692" i="23916" s="1"/>
  <c r="EE680" i="23916"/>
  <c r="EF680" i="23916" s="1"/>
  <c r="EE583" i="23916"/>
  <c r="EF583" i="23916" s="1"/>
  <c r="EE582" i="23916"/>
  <c r="EF582" i="23916" s="1"/>
  <c r="EE580" i="23916"/>
  <c r="EF580" i="23916" s="1"/>
  <c r="EE578" i="23916"/>
  <c r="EF578" i="23916" s="1"/>
  <c r="EE576" i="23916"/>
  <c r="EF576" i="23916" s="1"/>
  <c r="EE555" i="23916"/>
  <c r="EF555" i="23916" s="1"/>
  <c r="EE579" i="23916"/>
  <c r="EF579" i="23916" s="1"/>
  <c r="EE536" i="23916"/>
  <c r="EF533" i="23916"/>
  <c r="EE606" i="23916"/>
  <c r="EF606" i="23916" s="1"/>
  <c r="EE571" i="23916"/>
  <c r="EF571" i="23916" s="1"/>
  <c r="EE575" i="23916"/>
  <c r="EF575" i="23916" s="1"/>
  <c r="EE574" i="23916"/>
  <c r="EE581" i="23916"/>
  <c r="EF581" i="23916" s="1"/>
  <c r="EE572" i="23916"/>
  <c r="EF572" i="23916" s="1"/>
  <c r="DU577" i="23916"/>
  <c r="DV577" i="23916" s="1"/>
  <c r="DV574" i="23916"/>
  <c r="DU741" i="23916"/>
  <c r="DU618" i="23916"/>
  <c r="DV536" i="23916"/>
  <c r="DU538" i="23916"/>
  <c r="DV579" i="23916"/>
  <c r="CK741" i="23916"/>
  <c r="CK618" i="23916"/>
  <c r="CK538" i="23916"/>
  <c r="CL536" i="23916"/>
  <c r="BA224" i="23916"/>
  <c r="BA225" i="23916" s="1"/>
  <c r="BB208" i="23916"/>
  <c r="BA223" i="23916"/>
  <c r="BA214" i="23916"/>
  <c r="BA218" i="23916"/>
  <c r="BJ208" i="23916"/>
  <c r="DG573" i="23916"/>
  <c r="DH573" i="23916" s="1"/>
  <c r="ET524" i="23916"/>
  <c r="EH573" i="23916"/>
  <c r="CO666" i="23916"/>
  <c r="CP538" i="23916"/>
  <c r="CO541" i="23916"/>
  <c r="CO511" i="23916"/>
  <c r="CO12" i="23916"/>
  <c r="CN582" i="23916"/>
  <c r="GZ633" i="23916"/>
  <c r="GY633" i="23916"/>
  <c r="EW309" i="23916"/>
  <c r="GY648" i="23916"/>
  <c r="GZ648" i="23916"/>
  <c r="CX35" i="23916"/>
  <c r="CW92" i="23916"/>
  <c r="GJ533" i="23916"/>
  <c r="GJ573" i="23916"/>
  <c r="GK520" i="23916"/>
  <c r="CY692" i="23916"/>
  <c r="CZ692" i="23916" s="1"/>
  <c r="CY680" i="23916"/>
  <c r="CZ680" i="23916" s="1"/>
  <c r="CY583" i="23916"/>
  <c r="CZ583" i="23916" s="1"/>
  <c r="CY582" i="23916"/>
  <c r="CZ582" i="23916" s="1"/>
  <c r="CY578" i="23916"/>
  <c r="CZ578" i="23916" s="1"/>
  <c r="CY555" i="23916"/>
  <c r="CZ555" i="23916" s="1"/>
  <c r="CY579" i="23916"/>
  <c r="CZ579" i="23916" s="1"/>
  <c r="CY576" i="23916"/>
  <c r="CZ576" i="23916" s="1"/>
  <c r="CY536" i="23916"/>
  <c r="CY580" i="23916"/>
  <c r="CZ533" i="23916"/>
  <c r="CY606" i="23916"/>
  <c r="CZ606" i="23916" s="1"/>
  <c r="CY571" i="23916"/>
  <c r="CZ571" i="23916" s="1"/>
  <c r="CY575" i="23916"/>
  <c r="CZ575" i="23916" s="1"/>
  <c r="CY581" i="23916"/>
  <c r="CZ581" i="23916" s="1"/>
  <c r="CY574" i="23916"/>
  <c r="CY572" i="23916"/>
  <c r="CZ572" i="23916" s="1"/>
  <c r="CW741" i="23916"/>
  <c r="CW618" i="23916"/>
  <c r="CX536" i="23916"/>
  <c r="CW538" i="23916"/>
  <c r="BL574" i="23916"/>
  <c r="BL577" i="23916" s="1"/>
  <c r="BK577" i="23916"/>
  <c r="GV303" i="23916"/>
  <c r="GW303" i="23916" s="1"/>
  <c r="GW293" i="23916"/>
  <c r="BT555" i="23916"/>
  <c r="CU93" i="23916"/>
  <c r="CV56" i="23916"/>
  <c r="EO741" i="23916"/>
  <c r="EO618" i="23916"/>
  <c r="EP536" i="23916"/>
  <c r="EO538" i="23916"/>
  <c r="AU577" i="23916"/>
  <c r="AV574" i="23916"/>
  <c r="AV577" i="23916" s="1"/>
  <c r="BD574" i="23916"/>
  <c r="BD577" i="23916" s="1"/>
  <c r="AV536" i="23916"/>
  <c r="AU538" i="23916"/>
  <c r="BM244" i="23916"/>
  <c r="BM245" i="23916"/>
  <c r="BM280" i="23916"/>
  <c r="AQ577" i="23916"/>
  <c r="AR574" i="23916"/>
  <c r="AR577" i="23916" s="1"/>
  <c r="BD571" i="23916"/>
  <c r="FZ156" i="23916"/>
  <c r="GT615" i="23916"/>
  <c r="GU615" i="23916" s="1"/>
  <c r="GU611" i="23916"/>
  <c r="GT590" i="23916"/>
  <c r="BH581" i="23916"/>
  <c r="BP581" i="23916"/>
  <c r="BG741" i="23916"/>
  <c r="BH536" i="23916"/>
  <c r="BG538" i="23916"/>
  <c r="BP538" i="23916" s="1"/>
  <c r="AW577" i="23916"/>
  <c r="AX574" i="23916"/>
  <c r="AX577" i="23916" s="1"/>
  <c r="AX536" i="23916"/>
  <c r="AW538" i="23916"/>
  <c r="EG577" i="23916"/>
  <c r="EH577" i="23916" s="1"/>
  <c r="EH574" i="23916"/>
  <c r="EH576" i="23916"/>
  <c r="EH583" i="23916"/>
  <c r="EH680" i="23916"/>
  <c r="EA573" i="23916"/>
  <c r="EB573" i="23916" s="1"/>
  <c r="BQ205" i="23916"/>
  <c r="BR189" i="23916"/>
  <c r="BQ199" i="23916"/>
  <c r="BQ195" i="23916"/>
  <c r="CJ572" i="23916"/>
  <c r="CJ606" i="23916"/>
  <c r="CJ582" i="23916"/>
  <c r="BP583" i="23916"/>
  <c r="FU555" i="23916"/>
  <c r="FU583" i="23916"/>
  <c r="FU680" i="23916"/>
  <c r="BF581" i="23916"/>
  <c r="BF571" i="23916"/>
  <c r="BF578" i="23916"/>
  <c r="BV692" i="23916"/>
  <c r="BT680" i="23916"/>
  <c r="GA520" i="23916"/>
  <c r="GX75" i="23916"/>
  <c r="GY36" i="23916"/>
  <c r="GZ36" i="23916"/>
  <c r="BZ575" i="23916"/>
  <c r="BY741" i="23916"/>
  <c r="BY618" i="23916"/>
  <c r="CH618" i="23916" s="1"/>
  <c r="BZ536" i="23916"/>
  <c r="BY538" i="23916"/>
  <c r="BZ583" i="23916"/>
  <c r="BZ579" i="23916"/>
  <c r="AY363" i="23916"/>
  <c r="AZ357" i="23916"/>
  <c r="AY369" i="23916"/>
  <c r="AY370" i="23916"/>
  <c r="BH357" i="23916"/>
  <c r="AZ578" i="23916"/>
  <c r="BP380" i="23916"/>
  <c r="CG666" i="23916"/>
  <c r="CH538" i="23916"/>
  <c r="CG541" i="23916"/>
  <c r="CG511" i="23916"/>
  <c r="ED573" i="23916"/>
  <c r="CR581" i="23916"/>
  <c r="CQ741" i="23916"/>
  <c r="CQ618" i="23916"/>
  <c r="CR536" i="23916"/>
  <c r="CQ538" i="23916"/>
  <c r="CR555" i="23916"/>
  <c r="CR680" i="23916"/>
  <c r="BD583" i="23916"/>
  <c r="CH577" i="23916"/>
  <c r="GP731" i="23916"/>
  <c r="GQ488" i="23916"/>
  <c r="CF573" i="23916"/>
  <c r="EJ573" i="23916"/>
  <c r="CM666" i="23916"/>
  <c r="CM541" i="23916"/>
  <c r="CN538" i="23916"/>
  <c r="CM511" i="23916"/>
  <c r="CM12" i="23916"/>
  <c r="CN577" i="23916"/>
  <c r="BR573" i="23916"/>
  <c r="CT571" i="23916"/>
  <c r="CT606" i="23916"/>
  <c r="CS741" i="23916"/>
  <c r="CS618" i="23916"/>
  <c r="CS538" i="23916"/>
  <c r="CT536" i="23916"/>
  <c r="CT576" i="23916"/>
  <c r="GF533" i="23916"/>
  <c r="CW93" i="23916" l="1"/>
  <c r="CX56" i="23916"/>
  <c r="GC135" i="23916"/>
  <c r="GB154" i="23916"/>
  <c r="GB156" i="23916" s="1"/>
  <c r="GB155" i="23916"/>
  <c r="GB153" i="23916"/>
  <c r="GB184" i="23916"/>
  <c r="CQ742" i="23916"/>
  <c r="CR618" i="23916"/>
  <c r="CQ17" i="23916"/>
  <c r="CR17" i="23916" s="1"/>
  <c r="CG504" i="23916"/>
  <c r="AY368" i="23916"/>
  <c r="AY364" i="23916"/>
  <c r="BA357" i="23916"/>
  <c r="AZ363" i="23916"/>
  <c r="BH363" i="23916"/>
  <c r="BQ197" i="23916"/>
  <c r="BQ200" i="23916" s="1"/>
  <c r="BR200" i="23916" s="1"/>
  <c r="BR195" i="23916"/>
  <c r="BS189" i="23916"/>
  <c r="BQ228" i="23916"/>
  <c r="GU590" i="23916"/>
  <c r="EO666" i="23916"/>
  <c r="EO541" i="23916"/>
  <c r="EP538" i="23916"/>
  <c r="EO511" i="23916"/>
  <c r="EO12" i="23916"/>
  <c r="CY577" i="23916"/>
  <c r="CZ577" i="23916" s="1"/>
  <c r="CZ574" i="23916"/>
  <c r="CP511" i="23916"/>
  <c r="CO504" i="23916"/>
  <c r="BB214" i="23916"/>
  <c r="BC208" i="23916"/>
  <c r="BA216" i="23916"/>
  <c r="BA229" i="23916"/>
  <c r="BJ214" i="23916"/>
  <c r="EX531" i="23916"/>
  <c r="DP574" i="23916"/>
  <c r="DO577" i="23916"/>
  <c r="BV379" i="23916"/>
  <c r="BU380" i="23916"/>
  <c r="BV380" i="23916" s="1"/>
  <c r="CE666" i="23916"/>
  <c r="CE541" i="23916"/>
  <c r="CF538" i="23916"/>
  <c r="CE511" i="23916"/>
  <c r="GR731" i="23916"/>
  <c r="GS488" i="23916"/>
  <c r="DW669" i="23916"/>
  <c r="DW668" i="23916"/>
  <c r="DW617" i="23916"/>
  <c r="DW607" i="23916"/>
  <c r="DA742" i="23916"/>
  <c r="DB618" i="23916"/>
  <c r="DA17" i="23916"/>
  <c r="CC742" i="23916"/>
  <c r="CD618" i="23916"/>
  <c r="AQ666" i="23916"/>
  <c r="AR666" i="23916" s="1"/>
  <c r="AQ541" i="23916"/>
  <c r="AR538" i="23916"/>
  <c r="AQ511" i="23916"/>
  <c r="CX68" i="23916"/>
  <c r="CW74" i="23916"/>
  <c r="CW73" i="23916"/>
  <c r="BK666" i="23916"/>
  <c r="BL666" i="23916" s="1"/>
  <c r="BK541" i="23916"/>
  <c r="BL538" i="23916"/>
  <c r="BK511" i="23916"/>
  <c r="DH575" i="23916"/>
  <c r="DH579" i="23916"/>
  <c r="DH680" i="23916"/>
  <c r="BC189" i="23916"/>
  <c r="BA197" i="23916"/>
  <c r="BA200" i="23916" s="1"/>
  <c r="BJ200" i="23916" s="1"/>
  <c r="BB195" i="23916"/>
  <c r="BA228" i="23916"/>
  <c r="BJ195" i="23916"/>
  <c r="BQ742" i="23916"/>
  <c r="BR618" i="23916"/>
  <c r="BO504" i="23916"/>
  <c r="GZ631" i="23916"/>
  <c r="GY631" i="23916"/>
  <c r="FV692" i="23916"/>
  <c r="FW692" i="23916" s="1"/>
  <c r="FV680" i="23916"/>
  <c r="FW680" i="23916" s="1"/>
  <c r="FV579" i="23916"/>
  <c r="FW579" i="23916" s="1"/>
  <c r="FV583" i="23916"/>
  <c r="FW583" i="23916" s="1"/>
  <c r="FV582" i="23916"/>
  <c r="FW582" i="23916" s="1"/>
  <c r="FV578" i="23916"/>
  <c r="FW578" i="23916" s="1"/>
  <c r="FV576" i="23916"/>
  <c r="FW576" i="23916" s="1"/>
  <c r="FV536" i="23916"/>
  <c r="FV580" i="23916"/>
  <c r="FW580" i="23916" s="1"/>
  <c r="FW533" i="23916"/>
  <c r="FV555" i="23916"/>
  <c r="FW555" i="23916" s="1"/>
  <c r="FV606" i="23916"/>
  <c r="FW606" i="23916" s="1"/>
  <c r="FV571" i="23916"/>
  <c r="FW571" i="23916" s="1"/>
  <c r="FV572" i="23916"/>
  <c r="FW572" i="23916" s="1"/>
  <c r="FV575" i="23916"/>
  <c r="FW575" i="23916" s="1"/>
  <c r="FV581" i="23916"/>
  <c r="FW581" i="23916" s="1"/>
  <c r="FV573" i="23916"/>
  <c r="FW573" i="23916" s="1"/>
  <c r="FV574" i="23916"/>
  <c r="CV574" i="23916"/>
  <c r="CU577" i="23916"/>
  <c r="CV577" i="23916" s="1"/>
  <c r="CU741" i="23916"/>
  <c r="CU618" i="23916"/>
  <c r="CV536" i="23916"/>
  <c r="CU538" i="23916"/>
  <c r="FR741" i="23916"/>
  <c r="FR538" i="23916"/>
  <c r="FS536" i="23916"/>
  <c r="GP531" i="23916"/>
  <c r="GQ487" i="23916"/>
  <c r="BZ577" i="23916"/>
  <c r="GD692" i="23916"/>
  <c r="GD680" i="23916"/>
  <c r="GD579" i="23916"/>
  <c r="GD583" i="23916"/>
  <c r="GD580" i="23916"/>
  <c r="GD578" i="23916"/>
  <c r="GD536" i="23916"/>
  <c r="GD576" i="23916"/>
  <c r="GE533" i="23916"/>
  <c r="GD582" i="23916"/>
  <c r="GE582" i="23916" s="1"/>
  <c r="GD555" i="23916"/>
  <c r="GD606" i="23916"/>
  <c r="GD575" i="23916"/>
  <c r="GD571" i="23916"/>
  <c r="GD581" i="23916"/>
  <c r="GD574" i="23916"/>
  <c r="GD572" i="23916"/>
  <c r="BM742" i="23916"/>
  <c r="FU580" i="23916"/>
  <c r="FU576" i="23916"/>
  <c r="CY37" i="23916"/>
  <c r="CZ37" i="23916" s="1"/>
  <c r="DA28" i="23916"/>
  <c r="CZ34" i="23916"/>
  <c r="DS741" i="23916"/>
  <c r="DS618" i="23916"/>
  <c r="DT536" i="23916"/>
  <c r="DS538" i="23916"/>
  <c r="AZ248" i="23916"/>
  <c r="BH248" i="23916"/>
  <c r="DD573" i="23916"/>
  <c r="EK742" i="23916"/>
  <c r="EL618" i="23916"/>
  <c r="EK17" i="23916"/>
  <c r="GU554" i="23916"/>
  <c r="GT546" i="23916"/>
  <c r="GV554" i="23916"/>
  <c r="FP741" i="23916"/>
  <c r="FP538" i="23916"/>
  <c r="FQ536" i="23916"/>
  <c r="EV531" i="23916"/>
  <c r="EJ575" i="23916"/>
  <c r="EJ579" i="23916"/>
  <c r="EJ578" i="23916"/>
  <c r="EJ680" i="23916"/>
  <c r="BC614" i="23916"/>
  <c r="BC553" i="23916"/>
  <c r="GN692" i="23916"/>
  <c r="GN680" i="23916"/>
  <c r="GN583" i="23916"/>
  <c r="GN580" i="23916"/>
  <c r="GN578" i="23916"/>
  <c r="GN576" i="23916"/>
  <c r="GN536" i="23916"/>
  <c r="GN579" i="23916"/>
  <c r="GO533" i="23916"/>
  <c r="GN582" i="23916"/>
  <c r="GN555" i="23916"/>
  <c r="GN606" i="23916"/>
  <c r="GN575" i="23916"/>
  <c r="GN571" i="23916"/>
  <c r="GN574" i="23916"/>
  <c r="GN581" i="23916"/>
  <c r="GN572" i="23916"/>
  <c r="FZ577" i="23916"/>
  <c r="FZ741" i="23916"/>
  <c r="FZ618" i="23916"/>
  <c r="FZ538" i="23916"/>
  <c r="GA582" i="23916"/>
  <c r="FU692" i="23916"/>
  <c r="GZ594" i="23916"/>
  <c r="GY594" i="23916"/>
  <c r="GX596" i="23916"/>
  <c r="EG742" i="23916"/>
  <c r="EH618" i="23916"/>
  <c r="EG17" i="23916"/>
  <c r="BS747" i="23916"/>
  <c r="BS667" i="23916"/>
  <c r="BS614" i="23916"/>
  <c r="BS553" i="23916"/>
  <c r="BT541" i="23916"/>
  <c r="DQ666" i="23916"/>
  <c r="DR538" i="23916"/>
  <c r="DQ541" i="23916"/>
  <c r="DQ511" i="23916"/>
  <c r="DQ12" i="23916"/>
  <c r="DD581" i="23916"/>
  <c r="DD606" i="23916"/>
  <c r="DD579" i="23916"/>
  <c r="DD582" i="23916"/>
  <c r="BI742" i="23916"/>
  <c r="DE666" i="23916"/>
  <c r="DF538" i="23916"/>
  <c r="DE541" i="23916"/>
  <c r="DE511" i="23916"/>
  <c r="DE12" i="23916"/>
  <c r="DF577" i="23916"/>
  <c r="DY742" i="23916"/>
  <c r="DZ618" i="23916"/>
  <c r="DY17" i="23916"/>
  <c r="CY140" i="23916"/>
  <c r="CY134" i="23916"/>
  <c r="CY139" i="23916"/>
  <c r="CY141" i="23916"/>
  <c r="CY142" i="23916" s="1"/>
  <c r="CZ129" i="23916"/>
  <c r="EN571" i="23916"/>
  <c r="EN578" i="23916"/>
  <c r="EN680" i="23916"/>
  <c r="BP246" i="23916"/>
  <c r="BO248" i="23916"/>
  <c r="BP248" i="23916" s="1"/>
  <c r="ED577" i="23916"/>
  <c r="DN577" i="23916"/>
  <c r="DL572" i="23916"/>
  <c r="DL571" i="23916"/>
  <c r="DL579" i="23916"/>
  <c r="DL555" i="23916"/>
  <c r="DL692" i="23916"/>
  <c r="CS666" i="23916"/>
  <c r="CT538" i="23916"/>
  <c r="CS541" i="23916"/>
  <c r="CS511" i="23916"/>
  <c r="CS12" i="23916"/>
  <c r="CN511" i="23916"/>
  <c r="CM504" i="23916"/>
  <c r="CG747" i="23916"/>
  <c r="CG667" i="23916"/>
  <c r="CG614" i="23916"/>
  <c r="CG553" i="23916"/>
  <c r="AZ370" i="23916"/>
  <c r="BH370" i="23916"/>
  <c r="BY742" i="23916"/>
  <c r="BZ618" i="23916"/>
  <c r="BQ247" i="23916"/>
  <c r="BR247" i="23916" s="1"/>
  <c r="BQ246" i="23916"/>
  <c r="BQ204" i="23916"/>
  <c r="BR199" i="23916"/>
  <c r="CW742" i="23916"/>
  <c r="CX618" i="23916"/>
  <c r="CW17" i="23916"/>
  <c r="CX17" i="23916" s="1"/>
  <c r="GK573" i="23916"/>
  <c r="CO747" i="23916"/>
  <c r="CO667" i="23916"/>
  <c r="CP667" i="23916" s="1"/>
  <c r="CO614" i="23916"/>
  <c r="CP541" i="23916"/>
  <c r="CO553" i="23916"/>
  <c r="CO15" i="23916"/>
  <c r="CK666" i="23916"/>
  <c r="CL538" i="23916"/>
  <c r="CK541" i="23916"/>
  <c r="CK511" i="23916"/>
  <c r="DU666" i="23916"/>
  <c r="DV538" i="23916"/>
  <c r="DU541" i="23916"/>
  <c r="DU511" i="23916"/>
  <c r="DU12" i="23916"/>
  <c r="EF574" i="23916"/>
  <c r="EE577" i="23916"/>
  <c r="EF577" i="23916" s="1"/>
  <c r="BW742" i="23916"/>
  <c r="BX618" i="23916"/>
  <c r="GL692" i="23916"/>
  <c r="GL680" i="23916"/>
  <c r="GL579" i="23916"/>
  <c r="GL583" i="23916"/>
  <c r="GL578" i="23916"/>
  <c r="GL576" i="23916"/>
  <c r="GL536" i="23916"/>
  <c r="GL580" i="23916"/>
  <c r="GM533" i="23916"/>
  <c r="GL582" i="23916"/>
  <c r="GM582" i="23916" s="1"/>
  <c r="GL555" i="23916"/>
  <c r="GL606" i="23916"/>
  <c r="GL571" i="23916"/>
  <c r="GL575" i="23916"/>
  <c r="GL581" i="23916"/>
  <c r="GL572" i="23916"/>
  <c r="GL574" i="23916"/>
  <c r="GZ294" i="23916"/>
  <c r="GY294" i="23916"/>
  <c r="AY614" i="23916"/>
  <c r="AY553" i="23916"/>
  <c r="AZ541" i="23916"/>
  <c r="GS485" i="23916"/>
  <c r="GR487" i="23916"/>
  <c r="GR9" i="23916"/>
  <c r="GS9" i="23916" s="1"/>
  <c r="DW799" i="23916"/>
  <c r="DW622" i="23916"/>
  <c r="DW620" i="23916"/>
  <c r="DW589" i="23916"/>
  <c r="DW16" i="23916"/>
  <c r="DW721" i="23916"/>
  <c r="GR728" i="23916"/>
  <c r="GS312" i="23916"/>
  <c r="CI666" i="23916"/>
  <c r="CI541" i="23916"/>
  <c r="CJ538" i="23916"/>
  <c r="CI511" i="23916"/>
  <c r="EB574" i="23916"/>
  <c r="EA577" i="23916"/>
  <c r="EA741" i="23916"/>
  <c r="EA618" i="23916"/>
  <c r="EB536" i="23916"/>
  <c r="EA538" i="23916"/>
  <c r="GV720" i="23916"/>
  <c r="GW609" i="23916"/>
  <c r="GX611" i="23916"/>
  <c r="GX609" i="23916"/>
  <c r="BQ216" i="23916"/>
  <c r="BR214" i="23916"/>
  <c r="BS208" i="23916"/>
  <c r="BQ229" i="23916"/>
  <c r="BR229" i="23916" s="1"/>
  <c r="DH572" i="23916"/>
  <c r="DH571" i="23916"/>
  <c r="DG741" i="23916"/>
  <c r="DG618" i="23916"/>
  <c r="DH536" i="23916"/>
  <c r="DG538" i="23916"/>
  <c r="DH555" i="23916"/>
  <c r="DH692" i="23916"/>
  <c r="GY634" i="23916"/>
  <c r="GX635" i="23916"/>
  <c r="GZ634" i="23916"/>
  <c r="BY357" i="23916"/>
  <c r="BW368" i="23916"/>
  <c r="BX368" i="23916" s="1"/>
  <c r="BW364" i="23916"/>
  <c r="BX363" i="23916"/>
  <c r="DX669" i="23916"/>
  <c r="DX668" i="23916"/>
  <c r="DX617" i="23916"/>
  <c r="DX607" i="23916"/>
  <c r="CA666" i="23916"/>
  <c r="CB666" i="23916" s="1"/>
  <c r="CA541" i="23916"/>
  <c r="CB538" i="23916"/>
  <c r="CA511" i="23916"/>
  <c r="GT488" i="23916"/>
  <c r="GU482" i="23916"/>
  <c r="GT483" i="23916"/>
  <c r="GT485" i="23916" s="1"/>
  <c r="FY573" i="23916"/>
  <c r="FZ73" i="23916"/>
  <c r="FZ74" i="23916" s="1"/>
  <c r="GA68" i="23916"/>
  <c r="EJ572" i="23916"/>
  <c r="EJ571" i="23916"/>
  <c r="EI741" i="23916"/>
  <c r="EI618" i="23916"/>
  <c r="EJ536" i="23916"/>
  <c r="EI538" i="23916"/>
  <c r="EJ580" i="23916"/>
  <c r="EJ692" i="23916"/>
  <c r="FU357" i="23916"/>
  <c r="FS357" i="23916"/>
  <c r="FR363" i="23916"/>
  <c r="FR369" i="23916"/>
  <c r="FR370" i="23916"/>
  <c r="DB577" i="23916"/>
  <c r="FU578" i="23916"/>
  <c r="GV482" i="23916"/>
  <c r="GW473" i="23916"/>
  <c r="EP577" i="23916"/>
  <c r="BT666" i="23916"/>
  <c r="GW297" i="23916"/>
  <c r="GV306" i="23916"/>
  <c r="DQ742" i="23916"/>
  <c r="DR618" i="23916"/>
  <c r="DQ17" i="23916"/>
  <c r="DD575" i="23916"/>
  <c r="DD555" i="23916"/>
  <c r="DD583" i="23916"/>
  <c r="EN572" i="23916"/>
  <c r="EN574" i="23916"/>
  <c r="EM577" i="23916"/>
  <c r="EN577" i="23916" s="1"/>
  <c r="EM741" i="23916"/>
  <c r="EM618" i="23916"/>
  <c r="EM538" i="23916"/>
  <c r="EN536" i="23916"/>
  <c r="EN580" i="23916"/>
  <c r="EN692" i="23916"/>
  <c r="BP247" i="23916"/>
  <c r="EC742" i="23916"/>
  <c r="ED618" i="23916"/>
  <c r="EC17" i="23916"/>
  <c r="AS666" i="23916"/>
  <c r="AT666" i="23916" s="1"/>
  <c r="AT538" i="23916"/>
  <c r="AS541" i="23916"/>
  <c r="AS511" i="23916"/>
  <c r="DM742" i="23916"/>
  <c r="DN618" i="23916"/>
  <c r="DM17" i="23916"/>
  <c r="DL578" i="23916"/>
  <c r="DL582" i="23916"/>
  <c r="GF692" i="23916"/>
  <c r="GG692" i="23916" s="1"/>
  <c r="GF680" i="23916"/>
  <c r="GG680" i="23916" s="1"/>
  <c r="GF583" i="23916"/>
  <c r="GG583" i="23916" s="1"/>
  <c r="GF580" i="23916"/>
  <c r="GG580" i="23916" s="1"/>
  <c r="GF578" i="23916"/>
  <c r="GG578" i="23916" s="1"/>
  <c r="GF576" i="23916"/>
  <c r="GG576" i="23916" s="1"/>
  <c r="GF536" i="23916"/>
  <c r="GF579" i="23916"/>
  <c r="GG579" i="23916" s="1"/>
  <c r="GG533" i="23916"/>
  <c r="GF606" i="23916"/>
  <c r="GG606" i="23916" s="1"/>
  <c r="GF582" i="23916"/>
  <c r="GF555" i="23916"/>
  <c r="GG555" i="23916" s="1"/>
  <c r="GF575" i="23916"/>
  <c r="GG575" i="23916" s="1"/>
  <c r="GF581" i="23916"/>
  <c r="GG581" i="23916" s="1"/>
  <c r="GF571" i="23916"/>
  <c r="GG571" i="23916" s="1"/>
  <c r="GF572" i="23916"/>
  <c r="GG572" i="23916" s="1"/>
  <c r="GF573" i="23916"/>
  <c r="GG573" i="23916" s="1"/>
  <c r="GF574" i="23916"/>
  <c r="CS742" i="23916"/>
  <c r="CT618" i="23916"/>
  <c r="CS17" i="23916"/>
  <c r="CT17" i="23916" s="1"/>
  <c r="CQ666" i="23916"/>
  <c r="CR666" i="23916" s="1"/>
  <c r="CQ541" i="23916"/>
  <c r="CR538" i="23916"/>
  <c r="CQ511" i="23916"/>
  <c r="CQ12" i="23916"/>
  <c r="AZ369" i="23916"/>
  <c r="BH369" i="23916"/>
  <c r="GZ75" i="23916"/>
  <c r="GY75" i="23916"/>
  <c r="EO742" i="23916"/>
  <c r="EP618" i="23916"/>
  <c r="EO17" i="23916"/>
  <c r="EP17" i="23916" s="1"/>
  <c r="GJ692" i="23916"/>
  <c r="GJ680" i="23916"/>
  <c r="GJ580" i="23916"/>
  <c r="GJ578" i="23916"/>
  <c r="GJ576" i="23916"/>
  <c r="GJ579" i="23916"/>
  <c r="GJ536" i="23916"/>
  <c r="GJ583" i="23916"/>
  <c r="GK533" i="23916"/>
  <c r="GJ555" i="23916"/>
  <c r="GJ606" i="23916"/>
  <c r="GJ582" i="23916"/>
  <c r="GJ575" i="23916"/>
  <c r="GJ571" i="23916"/>
  <c r="GJ581" i="23916"/>
  <c r="GJ574" i="23916"/>
  <c r="GJ572" i="23916"/>
  <c r="CK742" i="23916"/>
  <c r="CL618" i="23916"/>
  <c r="EE741" i="23916"/>
  <c r="EE618" i="23916"/>
  <c r="EE538" i="23916"/>
  <c r="EF536" i="23916"/>
  <c r="AZ230" i="23916"/>
  <c r="BH230" i="23916"/>
  <c r="AY232" i="23916"/>
  <c r="DO741" i="23916"/>
  <c r="DO618" i="23916"/>
  <c r="DP536" i="23916"/>
  <c r="DO538" i="23916"/>
  <c r="GL573" i="23916"/>
  <c r="GM573" i="23916" s="1"/>
  <c r="CE742" i="23916"/>
  <c r="CF618" i="23916"/>
  <c r="AZ666" i="23916"/>
  <c r="GS483" i="23916"/>
  <c r="GP311" i="23916"/>
  <c r="GP315" i="23916"/>
  <c r="GQ315" i="23916" s="1"/>
  <c r="GQ309" i="23916"/>
  <c r="DI666" i="23916"/>
  <c r="DJ538" i="23916"/>
  <c r="DI541" i="23916"/>
  <c r="DI511" i="23916"/>
  <c r="DI12" i="23916"/>
  <c r="BK742" i="23916"/>
  <c r="BQ218" i="23916"/>
  <c r="BR218" i="23916" s="1"/>
  <c r="DG577" i="23916"/>
  <c r="DH577" i="23916" s="1"/>
  <c r="DH574" i="23916"/>
  <c r="DH606" i="23916"/>
  <c r="DH578" i="23916"/>
  <c r="DH582" i="23916"/>
  <c r="BB199" i="23916"/>
  <c r="BA247" i="23916"/>
  <c r="BA246" i="23916"/>
  <c r="BA204" i="23916"/>
  <c r="BJ199" i="23916"/>
  <c r="BQ666" i="23916"/>
  <c r="BR538" i="23916"/>
  <c r="BQ541" i="23916"/>
  <c r="BQ511" i="23916"/>
  <c r="BO747" i="23916"/>
  <c r="BO667" i="23916"/>
  <c r="BO614" i="23916"/>
  <c r="BO553" i="23916"/>
  <c r="GZ636" i="23916"/>
  <c r="GY636" i="23916"/>
  <c r="CF577" i="23916"/>
  <c r="GZ303" i="23916"/>
  <c r="GY303" i="23916"/>
  <c r="GA573" i="23916"/>
  <c r="BM666" i="23916"/>
  <c r="BV666" i="23916" s="1"/>
  <c r="BN538" i="23916"/>
  <c r="BM541" i="23916"/>
  <c r="BM511" i="23916"/>
  <c r="BV511" i="23916" s="1"/>
  <c r="FT666" i="23916"/>
  <c r="FT553" i="23916"/>
  <c r="FT541" i="23916"/>
  <c r="FU538" i="23916"/>
  <c r="FT511" i="23916"/>
  <c r="CZ35" i="23916"/>
  <c r="CY92" i="23916"/>
  <c r="GB692" i="23916"/>
  <c r="GC692" i="23916" s="1"/>
  <c r="GB680" i="23916"/>
  <c r="GC680" i="23916" s="1"/>
  <c r="GB580" i="23916"/>
  <c r="GC580" i="23916" s="1"/>
  <c r="GB578" i="23916"/>
  <c r="GC578" i="23916" s="1"/>
  <c r="GB576" i="23916"/>
  <c r="GC576" i="23916" s="1"/>
  <c r="GB536" i="23916"/>
  <c r="GB579" i="23916"/>
  <c r="GC579" i="23916" s="1"/>
  <c r="GB583" i="23916"/>
  <c r="GC583" i="23916" s="1"/>
  <c r="GC533" i="23916"/>
  <c r="GB555" i="23916"/>
  <c r="GC555" i="23916" s="1"/>
  <c r="GB582" i="23916"/>
  <c r="GC582" i="23916" s="1"/>
  <c r="GB606" i="23916"/>
  <c r="GC606" i="23916" s="1"/>
  <c r="GB572" i="23916"/>
  <c r="GC572" i="23916" s="1"/>
  <c r="GB575" i="23916"/>
  <c r="GC575" i="23916" s="1"/>
  <c r="GB581" i="23916"/>
  <c r="GC581" i="23916" s="1"/>
  <c r="GB571" i="23916"/>
  <c r="GC571" i="23916" s="1"/>
  <c r="GB574" i="23916"/>
  <c r="GB573" i="23916"/>
  <c r="GC573" i="23916" s="1"/>
  <c r="BO233" i="23916"/>
  <c r="BP233" i="23916" s="1"/>
  <c r="BP219" i="23916"/>
  <c r="GX610" i="23916"/>
  <c r="GW610" i="23916"/>
  <c r="FX692" i="23916"/>
  <c r="FY692" i="23916" s="1"/>
  <c r="FX680" i="23916"/>
  <c r="FY680" i="23916" s="1"/>
  <c r="FX583" i="23916"/>
  <c r="FY583" i="23916" s="1"/>
  <c r="FX580" i="23916"/>
  <c r="FY580" i="23916" s="1"/>
  <c r="FX578" i="23916"/>
  <c r="FY578" i="23916" s="1"/>
  <c r="FX576" i="23916"/>
  <c r="FY576" i="23916" s="1"/>
  <c r="FX582" i="23916"/>
  <c r="FY582" i="23916" s="1"/>
  <c r="FX536" i="23916"/>
  <c r="FX579" i="23916"/>
  <c r="FY579" i="23916" s="1"/>
  <c r="FY533" i="23916"/>
  <c r="FX606" i="23916"/>
  <c r="FY606" i="23916" s="1"/>
  <c r="FX555" i="23916"/>
  <c r="FY555" i="23916" s="1"/>
  <c r="FX581" i="23916"/>
  <c r="FY581" i="23916" s="1"/>
  <c r="FX575" i="23916"/>
  <c r="FY575" i="23916" s="1"/>
  <c r="FX571" i="23916"/>
  <c r="FY571" i="23916" s="1"/>
  <c r="FX572" i="23916"/>
  <c r="FY572" i="23916" s="1"/>
  <c r="FX574" i="23916"/>
  <c r="GA574" i="23916" s="1"/>
  <c r="EK666" i="23916"/>
  <c r="EK541" i="23916"/>
  <c r="EL538" i="23916"/>
  <c r="EK511" i="23916"/>
  <c r="EK12" i="23916"/>
  <c r="GA34" i="23916"/>
  <c r="GB28" i="23916"/>
  <c r="FZ37" i="23916"/>
  <c r="GA37" i="23916" s="1"/>
  <c r="BU504" i="23916"/>
  <c r="EJ581" i="23916"/>
  <c r="EJ606" i="23916"/>
  <c r="EJ555" i="23916"/>
  <c r="EJ582" i="23916"/>
  <c r="BC504" i="23916"/>
  <c r="FQ364" i="23916"/>
  <c r="FP379" i="23916"/>
  <c r="FP371" i="23916"/>
  <c r="FQ371" i="23916" s="1"/>
  <c r="FP402" i="23916"/>
  <c r="FQ402" i="23916" s="1"/>
  <c r="FP381" i="23916"/>
  <c r="FQ381" i="23916" s="1"/>
  <c r="FP403" i="23916"/>
  <c r="FQ403" i="23916" s="1"/>
  <c r="FP382" i="23916"/>
  <c r="FQ382" i="23916" s="1"/>
  <c r="GA571" i="23916"/>
  <c r="GA533" i="23916"/>
  <c r="GA576" i="23916"/>
  <c r="GA680" i="23916"/>
  <c r="FU575" i="23916"/>
  <c r="EG666" i="23916"/>
  <c r="EG541" i="23916"/>
  <c r="EH538" i="23916"/>
  <c r="EG511" i="23916"/>
  <c r="EG12" i="23916"/>
  <c r="DD574" i="23916"/>
  <c r="DC577" i="23916"/>
  <c r="DD577" i="23916" s="1"/>
  <c r="DC741" i="23916"/>
  <c r="DC618" i="23916"/>
  <c r="DD536" i="23916"/>
  <c r="DC538" i="23916"/>
  <c r="DD576" i="23916"/>
  <c r="DD680" i="23916"/>
  <c r="FU572" i="23916"/>
  <c r="CL577" i="23916"/>
  <c r="BI666" i="23916"/>
  <c r="BJ538" i="23916"/>
  <c r="BI541" i="23916"/>
  <c r="BI511" i="23916"/>
  <c r="BJ577" i="23916"/>
  <c r="DE742" i="23916"/>
  <c r="DF618" i="23916"/>
  <c r="DE17" i="23916"/>
  <c r="DF17" i="23916" s="1"/>
  <c r="DY666" i="23916"/>
  <c r="DZ666" i="23916" s="1"/>
  <c r="DY541" i="23916"/>
  <c r="DZ538" i="23916"/>
  <c r="DY511" i="23916"/>
  <c r="DY12" i="23916"/>
  <c r="DP573" i="23916"/>
  <c r="EN581" i="23916"/>
  <c r="EN555" i="23916"/>
  <c r="EN579" i="23916"/>
  <c r="EN582" i="23916"/>
  <c r="GC134" i="23916"/>
  <c r="GD129" i="23916"/>
  <c r="GB55" i="23916"/>
  <c r="GB56" i="23916" s="1"/>
  <c r="GC56" i="23916" s="1"/>
  <c r="GC49" i="23916"/>
  <c r="GB65" i="23916"/>
  <c r="GB64" i="23916"/>
  <c r="GB62" i="23916"/>
  <c r="GB63" i="23916"/>
  <c r="DK577" i="23916"/>
  <c r="DL574" i="23916"/>
  <c r="DL576" i="23916"/>
  <c r="DL583" i="23916"/>
  <c r="CM747" i="23916"/>
  <c r="CM667" i="23916"/>
  <c r="CM614" i="23916"/>
  <c r="CM553" i="23916"/>
  <c r="CN541" i="23916"/>
  <c r="CM15" i="23916"/>
  <c r="BY666" i="23916"/>
  <c r="BZ666" i="23916" s="1"/>
  <c r="BZ538" i="23916"/>
  <c r="BY541" i="23916"/>
  <c r="BY511" i="23916"/>
  <c r="AW666" i="23916"/>
  <c r="AX666" i="23916" s="1"/>
  <c r="AX538" i="23916"/>
  <c r="AW541" i="23916"/>
  <c r="AW511" i="23916"/>
  <c r="BG666" i="23916"/>
  <c r="BH666" i="23916" s="1"/>
  <c r="BG541" i="23916"/>
  <c r="BH538" i="23916"/>
  <c r="BG511" i="23916"/>
  <c r="BP511" i="23916" s="1"/>
  <c r="AU666" i="23916"/>
  <c r="AV666" i="23916" s="1"/>
  <c r="AU541" i="23916"/>
  <c r="BD541" i="23916" s="1"/>
  <c r="AV538" i="23916"/>
  <c r="AU511" i="23916"/>
  <c r="CW666" i="23916"/>
  <c r="CX666" i="23916" s="1"/>
  <c r="CX538" i="23916"/>
  <c r="CW541" i="23916"/>
  <c r="CW511" i="23916"/>
  <c r="CW12" i="23916"/>
  <c r="CY741" i="23916"/>
  <c r="CY618" i="23916"/>
  <c r="CZ536" i="23916"/>
  <c r="CY538" i="23916"/>
  <c r="EW315" i="23916"/>
  <c r="EX315" i="23916" s="1"/>
  <c r="EX309" i="23916"/>
  <c r="EW311" i="23916"/>
  <c r="CP666" i="23916"/>
  <c r="BB218" i="23916"/>
  <c r="BJ218" i="23916"/>
  <c r="DU742" i="23916"/>
  <c r="DV618" i="23916"/>
  <c r="DU17" i="23916"/>
  <c r="DV17" i="23916" s="1"/>
  <c r="BW666" i="23916"/>
  <c r="BX666" i="23916" s="1"/>
  <c r="BW541" i="23916"/>
  <c r="BX538" i="23916"/>
  <c r="BW511" i="23916"/>
  <c r="GY297" i="23916"/>
  <c r="GZ297" i="23916"/>
  <c r="GX306" i="23916"/>
  <c r="AZ511" i="23916"/>
  <c r="AY504" i="23916"/>
  <c r="GP728" i="23916"/>
  <c r="GQ312" i="23916"/>
  <c r="DA666" i="23916"/>
  <c r="DB666" i="23916" s="1"/>
  <c r="DB538" i="23916"/>
  <c r="DA541" i="23916"/>
  <c r="DA511" i="23916"/>
  <c r="DA12" i="23916"/>
  <c r="CC666" i="23916"/>
  <c r="CD666" i="23916" s="1"/>
  <c r="CD538" i="23916"/>
  <c r="CC541" i="23916"/>
  <c r="CC511" i="23916"/>
  <c r="BE666" i="23916"/>
  <c r="BF666" i="23916" s="1"/>
  <c r="BF538" i="23916"/>
  <c r="BE541" i="23916"/>
  <c r="BE511" i="23916"/>
  <c r="DI742" i="23916"/>
  <c r="DJ618" i="23916"/>
  <c r="DI17" i="23916"/>
  <c r="DJ17" i="23916" s="1"/>
  <c r="CI742" i="23916"/>
  <c r="CJ618" i="23916"/>
  <c r="BP230" i="23916"/>
  <c r="BO232" i="23916"/>
  <c r="GV615" i="23916"/>
  <c r="GW615" i="23916" s="1"/>
  <c r="GW611" i="23916"/>
  <c r="GV590" i="23916"/>
  <c r="GH692" i="23916"/>
  <c r="GI692" i="23916" s="1"/>
  <c r="GH680" i="23916"/>
  <c r="GI680" i="23916" s="1"/>
  <c r="GH579" i="23916"/>
  <c r="GI579" i="23916" s="1"/>
  <c r="GH583" i="23916"/>
  <c r="GI583" i="23916" s="1"/>
  <c r="GH580" i="23916"/>
  <c r="GI580" i="23916" s="1"/>
  <c r="GH578" i="23916"/>
  <c r="GI578" i="23916" s="1"/>
  <c r="GH576" i="23916"/>
  <c r="GI576" i="23916" s="1"/>
  <c r="GH536" i="23916"/>
  <c r="GI533" i="23916"/>
  <c r="GH582" i="23916"/>
  <c r="GI582" i="23916" s="1"/>
  <c r="GH555" i="23916"/>
  <c r="GI555" i="23916" s="1"/>
  <c r="GH606" i="23916"/>
  <c r="GI606" i="23916" s="1"/>
  <c r="GH575" i="23916"/>
  <c r="GI575" i="23916" s="1"/>
  <c r="GH571" i="23916"/>
  <c r="GI571" i="23916" s="1"/>
  <c r="GH581" i="23916"/>
  <c r="GI581" i="23916" s="1"/>
  <c r="GH574" i="23916"/>
  <c r="GH572" i="23916"/>
  <c r="GI572" i="23916" s="1"/>
  <c r="CW58" i="23916"/>
  <c r="CX58" i="23916" s="1"/>
  <c r="CX55" i="23916"/>
  <c r="CY49" i="23916"/>
  <c r="DH581" i="23916"/>
  <c r="DH576" i="23916"/>
  <c r="DH583" i="23916"/>
  <c r="BP666" i="23916"/>
  <c r="BA666" i="23916"/>
  <c r="BB666" i="23916" s="1"/>
  <c r="BB538" i="23916"/>
  <c r="BA541" i="23916"/>
  <c r="BA511" i="23916"/>
  <c r="DX589" i="23916"/>
  <c r="DX622" i="23916"/>
  <c r="DX543" i="23916" s="1"/>
  <c r="DX544" i="23916" s="1"/>
  <c r="DX620" i="23916"/>
  <c r="CA742" i="23916"/>
  <c r="CB618" i="23916"/>
  <c r="CN618" i="23916"/>
  <c r="FR577" i="23916"/>
  <c r="FS577" i="23916" s="1"/>
  <c r="FS574" i="23916"/>
  <c r="AX379" i="23916"/>
  <c r="AW380" i="23916"/>
  <c r="AX380" i="23916" s="1"/>
  <c r="CJ577" i="23916"/>
  <c r="DT574" i="23916"/>
  <c r="DS577" i="23916"/>
  <c r="DT577" i="23916" s="1"/>
  <c r="GP308" i="23916"/>
  <c r="GQ307" i="23916"/>
  <c r="GV722" i="23916"/>
  <c r="GR616" i="23916"/>
  <c r="GS616" i="23916" s="1"/>
  <c r="GS546" i="23916"/>
  <c r="FU574" i="23916"/>
  <c r="FP577" i="23916"/>
  <c r="FQ574" i="23916"/>
  <c r="FQ577" i="23916" s="1"/>
  <c r="FZ35" i="23916"/>
  <c r="GA35" i="23916" s="1"/>
  <c r="BU747" i="23916"/>
  <c r="BU667" i="23916"/>
  <c r="BU614" i="23916"/>
  <c r="BV541" i="23916"/>
  <c r="BU553" i="23916"/>
  <c r="EJ574" i="23916"/>
  <c r="EI577" i="23916"/>
  <c r="EJ577" i="23916" s="1"/>
  <c r="EJ576" i="23916"/>
  <c r="EJ583" i="23916"/>
  <c r="BD538" i="23916"/>
  <c r="GO573" i="23916"/>
  <c r="GA572" i="23916"/>
  <c r="GA575" i="23916"/>
  <c r="GA578" i="23916"/>
  <c r="GA583" i="23916"/>
  <c r="GA692" i="23916"/>
  <c r="GZ598" i="23916"/>
  <c r="GY598" i="23916"/>
  <c r="FU573" i="23916"/>
  <c r="GZ471" i="23916"/>
  <c r="GX473" i="23916"/>
  <c r="GY471" i="23916"/>
  <c r="BT538" i="23916"/>
  <c r="DD572" i="23916"/>
  <c r="DD571" i="23916"/>
  <c r="DD578" i="23916"/>
  <c r="DD692" i="23916"/>
  <c r="GU306" i="23916"/>
  <c r="GT312" i="23916"/>
  <c r="EN575" i="23916"/>
  <c r="EN606" i="23916"/>
  <c r="EN576" i="23916"/>
  <c r="EN583" i="23916"/>
  <c r="BB577" i="23916"/>
  <c r="EC666" i="23916"/>
  <c r="ED666" i="23916" s="1"/>
  <c r="EC541" i="23916"/>
  <c r="ED538" i="23916"/>
  <c r="EC511" i="23916"/>
  <c r="EC12" i="23916"/>
  <c r="DM666" i="23916"/>
  <c r="DN666" i="23916" s="1"/>
  <c r="DN538" i="23916"/>
  <c r="DM541" i="23916"/>
  <c r="DM511" i="23916"/>
  <c r="DM12" i="23916"/>
  <c r="DL575" i="23916"/>
  <c r="DK741" i="23916"/>
  <c r="DK618" i="23916"/>
  <c r="DL536" i="23916"/>
  <c r="DK538" i="23916"/>
  <c r="DL680" i="23916"/>
  <c r="GT487" i="23916" l="1"/>
  <c r="GU485" i="23916"/>
  <c r="GT9" i="23916"/>
  <c r="GU9" i="23916" s="1"/>
  <c r="GA74" i="23916"/>
  <c r="FZ123" i="23916"/>
  <c r="DK666" i="23916"/>
  <c r="DK541" i="23916"/>
  <c r="DL538" i="23916"/>
  <c r="DK511" i="23916"/>
  <c r="DK12" i="23916"/>
  <c r="ED511" i="23916"/>
  <c r="EC504" i="23916"/>
  <c r="GZ473" i="23916"/>
  <c r="GX482" i="23916"/>
  <c r="GY473" i="23916"/>
  <c r="GR308" i="23916"/>
  <c r="GQ308" i="23916"/>
  <c r="CC747" i="23916"/>
  <c r="CC667" i="23916"/>
  <c r="CD667" i="23916" s="1"/>
  <c r="CC614" i="23916"/>
  <c r="CD541" i="23916"/>
  <c r="CC553" i="23916"/>
  <c r="AY506" i="23916"/>
  <c r="EW524" i="23916"/>
  <c r="EX311" i="23916"/>
  <c r="CX511" i="23916"/>
  <c r="CW504" i="23916"/>
  <c r="BG747" i="23916"/>
  <c r="BG667" i="23916"/>
  <c r="BG614" i="23916"/>
  <c r="BG553" i="23916"/>
  <c r="BH541" i="23916"/>
  <c r="AW614" i="23916"/>
  <c r="AX541" i="23916"/>
  <c r="AW553" i="23916"/>
  <c r="BY747" i="23916"/>
  <c r="BY667" i="23916"/>
  <c r="BY614" i="23916"/>
  <c r="BZ541" i="23916"/>
  <c r="BY553" i="23916"/>
  <c r="CH666" i="23916"/>
  <c r="CM566" i="23916"/>
  <c r="BJ511" i="23916"/>
  <c r="BI504" i="23916"/>
  <c r="EH511" i="23916"/>
  <c r="EG504" i="23916"/>
  <c r="FU577" i="23916"/>
  <c r="EK747" i="23916"/>
  <c r="EK667" i="23916"/>
  <c r="EK614" i="23916"/>
  <c r="EL541" i="23916"/>
  <c r="EK553" i="23916"/>
  <c r="EK15" i="23916"/>
  <c r="FX741" i="23916"/>
  <c r="FX618" i="23916"/>
  <c r="FX538" i="23916"/>
  <c r="FY536" i="23916"/>
  <c r="FT566" i="23916"/>
  <c r="BM747" i="23916"/>
  <c r="BM667" i="23916"/>
  <c r="BM614" i="23916"/>
  <c r="BN541" i="23916"/>
  <c r="BM553" i="23916"/>
  <c r="BO566" i="23916"/>
  <c r="BP553" i="23916"/>
  <c r="BR511" i="23916"/>
  <c r="BQ504" i="23916"/>
  <c r="BB247" i="23916"/>
  <c r="BJ247" i="23916"/>
  <c r="DI747" i="23916"/>
  <c r="DI667" i="23916"/>
  <c r="DI614" i="23916"/>
  <c r="DJ541" i="23916"/>
  <c r="DI553" i="23916"/>
  <c r="DI15" i="23916"/>
  <c r="GK574" i="23916"/>
  <c r="GJ577" i="23916"/>
  <c r="GK582" i="23916"/>
  <c r="GK583" i="23916"/>
  <c r="GK578" i="23916"/>
  <c r="CR511" i="23916"/>
  <c r="CQ504" i="23916"/>
  <c r="GG574" i="23916"/>
  <c r="GF577" i="23916"/>
  <c r="DN17" i="23916"/>
  <c r="AS614" i="23916"/>
  <c r="AT541" i="23916"/>
  <c r="AS553" i="23916"/>
  <c r="EM742" i="23916"/>
  <c r="EN618" i="23916"/>
  <c r="EM17" i="23916"/>
  <c r="DR17" i="23916"/>
  <c r="GW482" i="23916"/>
  <c r="GV485" i="23916"/>
  <c r="GV488" i="23916"/>
  <c r="GV483" i="23916"/>
  <c r="GA555" i="23916"/>
  <c r="FS369" i="23916"/>
  <c r="FU369" i="23916"/>
  <c r="BD666" i="23916"/>
  <c r="BY363" i="23916"/>
  <c r="BZ357" i="23916"/>
  <c r="BY370" i="23916"/>
  <c r="BZ370" i="23916" s="1"/>
  <c r="BY369" i="23916"/>
  <c r="BZ369" i="23916" s="1"/>
  <c r="DG742" i="23916"/>
  <c r="DH618" i="23916"/>
  <c r="DG17" i="23916"/>
  <c r="GX720" i="23916"/>
  <c r="GZ609" i="23916"/>
  <c r="GY609" i="23916"/>
  <c r="EA666" i="23916"/>
  <c r="EA541" i="23916"/>
  <c r="EB538" i="23916"/>
  <c r="EA511" i="23916"/>
  <c r="EA12" i="23916"/>
  <c r="EB577" i="23916"/>
  <c r="CI747" i="23916"/>
  <c r="CI667" i="23916"/>
  <c r="CI614" i="23916"/>
  <c r="CI553" i="23916"/>
  <c r="CJ541" i="23916"/>
  <c r="GR531" i="23916"/>
  <c r="GS487" i="23916"/>
  <c r="AY566" i="23916"/>
  <c r="GL577" i="23916"/>
  <c r="GM574" i="23916"/>
  <c r="GM571" i="23916"/>
  <c r="GM578" i="23916"/>
  <c r="GM692" i="23916"/>
  <c r="CK747" i="23916"/>
  <c r="CK667" i="23916"/>
  <c r="CL667" i="23916" s="1"/>
  <c r="CK614" i="23916"/>
  <c r="CL541" i="23916"/>
  <c r="CK553" i="23916"/>
  <c r="CO799" i="23916"/>
  <c r="CO622" i="23916"/>
  <c r="CO620" i="23916"/>
  <c r="CP614" i="23916"/>
  <c r="CO589" i="23916"/>
  <c r="CO16" i="23916"/>
  <c r="CP16" i="23916" s="1"/>
  <c r="CO721" i="23916"/>
  <c r="CH667" i="23916"/>
  <c r="CT666" i="23916"/>
  <c r="GZ596" i="23916"/>
  <c r="GY596" i="23916"/>
  <c r="GO572" i="23916"/>
  <c r="GO575" i="23916"/>
  <c r="GO578" i="23916"/>
  <c r="GO692" i="23916"/>
  <c r="BC799" i="23916"/>
  <c r="BC622" i="23916"/>
  <c r="BC620" i="23916"/>
  <c r="BC618" i="23916"/>
  <c r="BC589" i="23916"/>
  <c r="BC721" i="23916"/>
  <c r="FP666" i="23916"/>
  <c r="FQ666" i="23916" s="1"/>
  <c r="FP553" i="23916"/>
  <c r="FP541" i="23916"/>
  <c r="FQ538" i="23916"/>
  <c r="FP511" i="23916"/>
  <c r="FQ511" i="23916" s="1"/>
  <c r="DA42" i="23916"/>
  <c r="DA41" i="23916"/>
  <c r="DA34" i="23916"/>
  <c r="DA35" i="23916" s="1"/>
  <c r="DB28" i="23916"/>
  <c r="DA44" i="23916"/>
  <c r="DA45" i="23916" s="1"/>
  <c r="DA43" i="23916"/>
  <c r="GE581" i="23916"/>
  <c r="GE555" i="23916"/>
  <c r="GD741" i="23916"/>
  <c r="GD618" i="23916"/>
  <c r="GD538" i="23916"/>
  <c r="GE536" i="23916"/>
  <c r="GE579" i="23916"/>
  <c r="BA230" i="23916"/>
  <c r="BB228" i="23916"/>
  <c r="BJ228" i="23916"/>
  <c r="CW79" i="23916"/>
  <c r="CX79" i="23916" s="1"/>
  <c r="CX73" i="23916"/>
  <c r="CW76" i="23916"/>
  <c r="CX76" i="23916" s="1"/>
  <c r="BJ216" i="23916"/>
  <c r="BA219" i="23916"/>
  <c r="BJ219" i="23916" s="1"/>
  <c r="EP511" i="23916"/>
  <c r="EO504" i="23916"/>
  <c r="AY381" i="23916"/>
  <c r="AY379" i="23916"/>
  <c r="AZ364" i="23916"/>
  <c r="AY371" i="23916"/>
  <c r="AY382" i="23916"/>
  <c r="AY402" i="23916"/>
  <c r="AY403" i="23916"/>
  <c r="BH364" i="23916"/>
  <c r="BV553" i="23916"/>
  <c r="BU566" i="23916"/>
  <c r="DB511" i="23916"/>
  <c r="DA504" i="23916"/>
  <c r="BX511" i="23916"/>
  <c r="BW504" i="23916"/>
  <c r="CY742" i="23916"/>
  <c r="CZ618" i="23916"/>
  <c r="CY17" i="23916"/>
  <c r="CZ17" i="23916" s="1"/>
  <c r="CW747" i="23916"/>
  <c r="CW667" i="23916"/>
  <c r="CX667" i="23916" s="1"/>
  <c r="CW614" i="23916"/>
  <c r="CX541" i="23916"/>
  <c r="CW553" i="23916"/>
  <c r="CW15" i="23916"/>
  <c r="AV511" i="23916"/>
  <c r="AU504" i="23916"/>
  <c r="CM799" i="23916"/>
  <c r="CM622" i="23916"/>
  <c r="CM620" i="23916"/>
  <c r="CM589" i="23916"/>
  <c r="CM16" i="23916"/>
  <c r="CN16" i="23916" s="1"/>
  <c r="CM721" i="23916"/>
  <c r="DY747" i="23916"/>
  <c r="DY667" i="23916"/>
  <c r="DY614" i="23916"/>
  <c r="DZ541" i="23916"/>
  <c r="DY553" i="23916"/>
  <c r="DY15" i="23916"/>
  <c r="BI747" i="23916"/>
  <c r="BI667" i="23916"/>
  <c r="BI614" i="23916"/>
  <c r="BJ541" i="23916"/>
  <c r="BI553" i="23916"/>
  <c r="DC666" i="23916"/>
  <c r="DC541" i="23916"/>
  <c r="DD538" i="23916"/>
  <c r="DC511" i="23916"/>
  <c r="DC12" i="23916"/>
  <c r="BD504" i="23916"/>
  <c r="BC506" i="23916"/>
  <c r="EL666" i="23916"/>
  <c r="GZ610" i="23916"/>
  <c r="GY610" i="23916"/>
  <c r="GB741" i="23916"/>
  <c r="GB618" i="23916"/>
  <c r="GB538" i="23916"/>
  <c r="GC536" i="23916"/>
  <c r="FT504" i="23916"/>
  <c r="BO799" i="23916"/>
  <c r="BO622" i="23916"/>
  <c r="BO620" i="23916"/>
  <c r="BP614" i="23916"/>
  <c r="BO589" i="23916"/>
  <c r="BO721" i="23916"/>
  <c r="BQ747" i="23916"/>
  <c r="BQ667" i="23916"/>
  <c r="BQ614" i="23916"/>
  <c r="BR541" i="23916"/>
  <c r="BQ553" i="23916"/>
  <c r="DO666" i="23916"/>
  <c r="DO541" i="23916"/>
  <c r="DP538" i="23916"/>
  <c r="DO511" i="23916"/>
  <c r="DO12" i="23916"/>
  <c r="AY244" i="23916"/>
  <c r="AZ232" i="23916"/>
  <c r="AY245" i="23916"/>
  <c r="BH232" i="23916"/>
  <c r="AY280" i="23916"/>
  <c r="GK581" i="23916"/>
  <c r="GK606" i="23916"/>
  <c r="GJ741" i="23916"/>
  <c r="GJ618" i="23916"/>
  <c r="GJ538" i="23916"/>
  <c r="GK536" i="23916"/>
  <c r="GK580" i="23916"/>
  <c r="GA581" i="23916"/>
  <c r="FR364" i="23916"/>
  <c r="FR368" i="23916"/>
  <c r="FS363" i="23916"/>
  <c r="FU363" i="23916"/>
  <c r="EI742" i="23916"/>
  <c r="EJ618" i="23916"/>
  <c r="EI17" i="23916"/>
  <c r="GT731" i="23916"/>
  <c r="GU488" i="23916"/>
  <c r="CA747" i="23916"/>
  <c r="CA667" i="23916"/>
  <c r="CB667" i="23916" s="1"/>
  <c r="CA614" i="23916"/>
  <c r="CA553" i="23916"/>
  <c r="CB541" i="23916"/>
  <c r="DX568" i="23916"/>
  <c r="DX603" i="23916" s="1"/>
  <c r="BS224" i="23916"/>
  <c r="BS225" i="23916" s="1"/>
  <c r="BS214" i="23916"/>
  <c r="BS218" i="23916" s="1"/>
  <c r="BT218" i="23916" s="1"/>
  <c r="BS223" i="23916"/>
  <c r="BT208" i="23916"/>
  <c r="GZ611" i="23916"/>
  <c r="GX615" i="23916"/>
  <c r="GY611" i="23916"/>
  <c r="GX590" i="23916"/>
  <c r="CJ666" i="23916"/>
  <c r="DW543" i="23916"/>
  <c r="DW18" i="23916"/>
  <c r="AY799" i="23916"/>
  <c r="AY622" i="23916"/>
  <c r="AY620" i="23916"/>
  <c r="AZ614" i="23916"/>
  <c r="AY618" i="23916"/>
  <c r="AY589" i="23916"/>
  <c r="AY721" i="23916"/>
  <c r="GM572" i="23916"/>
  <c r="GM606" i="23916"/>
  <c r="GM580" i="23916"/>
  <c r="GM583" i="23916"/>
  <c r="DV666" i="23916"/>
  <c r="CG566" i="23916"/>
  <c r="CH553" i="23916"/>
  <c r="CT511" i="23916"/>
  <c r="CS504" i="23916"/>
  <c r="DZ17" i="23916"/>
  <c r="DF666" i="23916"/>
  <c r="DR666" i="23916"/>
  <c r="BS566" i="23916"/>
  <c r="EH17" i="23916"/>
  <c r="GA536" i="23916"/>
  <c r="GA606" i="23916"/>
  <c r="GO581" i="23916"/>
  <c r="GO606" i="23916"/>
  <c r="GO579" i="23916"/>
  <c r="GO580" i="23916"/>
  <c r="EL17" i="23916"/>
  <c r="DS742" i="23916"/>
  <c r="DT618" i="23916"/>
  <c r="DS17" i="23916"/>
  <c r="DT17" i="23916" s="1"/>
  <c r="GE571" i="23916"/>
  <c r="GE578" i="23916"/>
  <c r="GE680" i="23916"/>
  <c r="GQ531" i="23916"/>
  <c r="CU666" i="23916"/>
  <c r="CV666" i="23916" s="1"/>
  <c r="CU541" i="23916"/>
  <c r="CV538" i="23916"/>
  <c r="CU511" i="23916"/>
  <c r="CU12" i="23916"/>
  <c r="FV741" i="23916"/>
  <c r="FV618" i="23916"/>
  <c r="FV538" i="23916"/>
  <c r="FW536" i="23916"/>
  <c r="BK747" i="23916"/>
  <c r="BK667" i="23916"/>
  <c r="BK614" i="23916"/>
  <c r="BK553" i="23916"/>
  <c r="BT553" i="23916" s="1"/>
  <c r="BL541" i="23916"/>
  <c r="CW90" i="23916"/>
  <c r="CX74" i="23916"/>
  <c r="CW91" i="23916"/>
  <c r="CW123" i="23916"/>
  <c r="AQ614" i="23916"/>
  <c r="AQ553" i="23916"/>
  <c r="AZ553" i="23916" s="1"/>
  <c r="AR541" i="23916"/>
  <c r="DB17" i="23916"/>
  <c r="CE747" i="23916"/>
  <c r="CE667" i="23916"/>
  <c r="CE614" i="23916"/>
  <c r="CN614" i="23916" s="1"/>
  <c r="CE553" i="23916"/>
  <c r="CF541" i="23916"/>
  <c r="BC224" i="23916"/>
  <c r="BC225" i="23916" s="1"/>
  <c r="BC214" i="23916"/>
  <c r="BC218" i="23916" s="1"/>
  <c r="BC223" i="23916"/>
  <c r="BD208" i="23916"/>
  <c r="BL208" i="23916"/>
  <c r="BQ230" i="23916"/>
  <c r="BR228" i="23916"/>
  <c r="AZ368" i="23916"/>
  <c r="BH368" i="23916"/>
  <c r="DK742" i="23916"/>
  <c r="DL618" i="23916"/>
  <c r="DK17" i="23916"/>
  <c r="DN511" i="23916"/>
  <c r="DM504" i="23916"/>
  <c r="EC747" i="23916"/>
  <c r="EC667" i="23916"/>
  <c r="EC614" i="23916"/>
  <c r="ED541" i="23916"/>
  <c r="EC553" i="23916"/>
  <c r="EC15" i="23916"/>
  <c r="BB511" i="23916"/>
  <c r="BA504" i="23916"/>
  <c r="BO244" i="23916"/>
  <c r="BP244" i="23916" s="1"/>
  <c r="BP232" i="23916"/>
  <c r="BO245" i="23916"/>
  <c r="BP245" i="23916" s="1"/>
  <c r="BO280" i="23916"/>
  <c r="BP280" i="23916" s="1"/>
  <c r="BF511" i="23916"/>
  <c r="BE504" i="23916"/>
  <c r="DA747" i="23916"/>
  <c r="DA667" i="23916"/>
  <c r="DA614" i="23916"/>
  <c r="DB541" i="23916"/>
  <c r="DA553" i="23916"/>
  <c r="DA15" i="23916"/>
  <c r="GZ306" i="23916"/>
  <c r="GX312" i="23916"/>
  <c r="GY306" i="23916"/>
  <c r="BH511" i="23916"/>
  <c r="BG504" i="23916"/>
  <c r="CN667" i="23916"/>
  <c r="GB58" i="23916"/>
  <c r="GC58" i="23916" s="1"/>
  <c r="GC55" i="23916"/>
  <c r="GD49" i="23916"/>
  <c r="EG747" i="23916"/>
  <c r="EG667" i="23916"/>
  <c r="EH667" i="23916" s="1"/>
  <c r="EG614" i="23916"/>
  <c r="EH541" i="23916"/>
  <c r="EG553" i="23916"/>
  <c r="EG15" i="23916"/>
  <c r="BD511" i="23916"/>
  <c r="GB68" i="23916"/>
  <c r="GB34" i="23916"/>
  <c r="GB35" i="23916"/>
  <c r="GC35" i="23916" s="1"/>
  <c r="GC28" i="23916"/>
  <c r="GB41" i="23916"/>
  <c r="GB42" i="23916"/>
  <c r="GB43" i="23916"/>
  <c r="GB44" i="23916"/>
  <c r="EL511" i="23916"/>
  <c r="EK504" i="23916"/>
  <c r="GX722" i="23916"/>
  <c r="GC574" i="23916"/>
  <c r="GB577" i="23916"/>
  <c r="GC577" i="23916" s="1"/>
  <c r="BN666" i="23916"/>
  <c r="BP541" i="23916"/>
  <c r="DJ666" i="23916"/>
  <c r="GP524" i="23916"/>
  <c r="GQ311" i="23916"/>
  <c r="EE666" i="23916"/>
  <c r="EF666" i="23916" s="1"/>
  <c r="EE541" i="23916"/>
  <c r="EF538" i="23916"/>
  <c r="EE511" i="23916"/>
  <c r="EE12" i="23916"/>
  <c r="GK571" i="23916"/>
  <c r="GK555" i="23916"/>
  <c r="GK579" i="23916"/>
  <c r="GK680" i="23916"/>
  <c r="CQ747" i="23916"/>
  <c r="CQ667" i="23916"/>
  <c r="CR667" i="23916" s="1"/>
  <c r="CQ614" i="23916"/>
  <c r="CQ553" i="23916"/>
  <c r="CR541" i="23916"/>
  <c r="CQ15" i="23916"/>
  <c r="GA579" i="23916"/>
  <c r="GU483" i="23916"/>
  <c r="GE573" i="23916"/>
  <c r="BW381" i="23916"/>
  <c r="BX381" i="23916" s="1"/>
  <c r="BW379" i="23916"/>
  <c r="BX364" i="23916"/>
  <c r="BW371" i="23916"/>
  <c r="BX371" i="23916" s="1"/>
  <c r="BW402" i="23916"/>
  <c r="BX402" i="23916" s="1"/>
  <c r="BW382" i="23916"/>
  <c r="BX382" i="23916" s="1"/>
  <c r="BW403" i="23916"/>
  <c r="BX403" i="23916" s="1"/>
  <c r="GY635" i="23916"/>
  <c r="GZ635" i="23916"/>
  <c r="DG666" i="23916"/>
  <c r="DG541" i="23916"/>
  <c r="DH538" i="23916"/>
  <c r="DG511" i="23916"/>
  <c r="DG12" i="23916"/>
  <c r="EA742" i="23916"/>
  <c r="EB618" i="23916"/>
  <c r="EA17" i="23916"/>
  <c r="EB17" i="23916" s="1"/>
  <c r="CJ511" i="23916"/>
  <c r="CI504" i="23916"/>
  <c r="GM581" i="23916"/>
  <c r="GM555" i="23916"/>
  <c r="GL741" i="23916"/>
  <c r="GL618" i="23916"/>
  <c r="GL538" i="23916"/>
  <c r="GM536" i="23916"/>
  <c r="GM579" i="23916"/>
  <c r="DV511" i="23916"/>
  <c r="DU504" i="23916"/>
  <c r="CL666" i="23916"/>
  <c r="CP553" i="23916"/>
  <c r="CO566" i="23916"/>
  <c r="BQ248" i="23916"/>
  <c r="BR248" i="23916" s="1"/>
  <c r="BR246" i="23916"/>
  <c r="CH541" i="23916"/>
  <c r="CM506" i="23916"/>
  <c r="CS747" i="23916"/>
  <c r="CS667" i="23916"/>
  <c r="CT667" i="23916" s="1"/>
  <c r="CS614" i="23916"/>
  <c r="CT541" i="23916"/>
  <c r="CS553" i="23916"/>
  <c r="CS15" i="23916"/>
  <c r="CZ134" i="23916"/>
  <c r="DA129" i="23916"/>
  <c r="DF511" i="23916"/>
  <c r="DE504" i="23916"/>
  <c r="DR511" i="23916"/>
  <c r="DQ504" i="23916"/>
  <c r="BS799" i="23916"/>
  <c r="BS622" i="23916"/>
  <c r="BS620" i="23916"/>
  <c r="BT614" i="23916"/>
  <c r="BS589" i="23916"/>
  <c r="BS721" i="23916"/>
  <c r="FZ666" i="23916"/>
  <c r="FZ541" i="23916"/>
  <c r="GA538" i="23916"/>
  <c r="FZ511" i="23916"/>
  <c r="GO574" i="23916"/>
  <c r="GN577" i="23916"/>
  <c r="GO577" i="23916" s="1"/>
  <c r="GO555" i="23916"/>
  <c r="GN741" i="23916"/>
  <c r="GN618" i="23916"/>
  <c r="GN538" i="23916"/>
  <c r="GO536" i="23916"/>
  <c r="GO583" i="23916"/>
  <c r="GW554" i="23916"/>
  <c r="GV546" i="23916"/>
  <c r="GX554" i="23916"/>
  <c r="GE572" i="23916"/>
  <c r="GE575" i="23916"/>
  <c r="GE580" i="23916"/>
  <c r="GE692" i="23916"/>
  <c r="CF666" i="23916"/>
  <c r="DP577" i="23916"/>
  <c r="EO747" i="23916"/>
  <c r="EO667" i="23916"/>
  <c r="EP667" i="23916" s="1"/>
  <c r="EO614" i="23916"/>
  <c r="EP541" i="23916"/>
  <c r="EO553" i="23916"/>
  <c r="EO15" i="23916"/>
  <c r="BS195" i="23916"/>
  <c r="BT189" i="23916"/>
  <c r="BS199" i="23916"/>
  <c r="BS205" i="23916"/>
  <c r="CG506" i="23916"/>
  <c r="DM747" i="23916"/>
  <c r="DM667" i="23916"/>
  <c r="DM614" i="23916"/>
  <c r="DN541" i="23916"/>
  <c r="DM553" i="23916"/>
  <c r="DM15" i="23916"/>
  <c r="GT728" i="23916"/>
  <c r="GU312" i="23916"/>
  <c r="BU799" i="23916"/>
  <c r="BU622" i="23916"/>
  <c r="BU620" i="23916"/>
  <c r="BV614" i="23916"/>
  <c r="BU589" i="23916"/>
  <c r="BU721" i="23916"/>
  <c r="BA614" i="23916"/>
  <c r="BB541" i="23916"/>
  <c r="BA553" i="23916"/>
  <c r="CY62" i="23916"/>
  <c r="CZ49" i="23916"/>
  <c r="CY64" i="23916"/>
  <c r="CY65" i="23916"/>
  <c r="CY55" i="23916"/>
  <c r="CY63" i="23916"/>
  <c r="CY68" i="23916"/>
  <c r="GH577" i="23916"/>
  <c r="GI577" i="23916" s="1"/>
  <c r="GI574" i="23916"/>
  <c r="GH741" i="23916"/>
  <c r="GH618" i="23916"/>
  <c r="GH538" i="23916"/>
  <c r="GI536" i="23916"/>
  <c r="GW590" i="23916"/>
  <c r="BE614" i="23916"/>
  <c r="BF541" i="23916"/>
  <c r="BE553" i="23916"/>
  <c r="CD511" i="23916"/>
  <c r="CC504" i="23916"/>
  <c r="BW747" i="23916"/>
  <c r="BW667" i="23916"/>
  <c r="BX667" i="23916" s="1"/>
  <c r="BW614" i="23916"/>
  <c r="BW553" i="23916"/>
  <c r="BX541" i="23916"/>
  <c r="CY666" i="23916"/>
  <c r="CZ666" i="23916" s="1"/>
  <c r="CY541" i="23916"/>
  <c r="CZ538" i="23916"/>
  <c r="CY511" i="23916"/>
  <c r="CY12" i="23916"/>
  <c r="AU614" i="23916"/>
  <c r="AU553" i="23916"/>
  <c r="AV541" i="23916"/>
  <c r="AX511" i="23916"/>
  <c r="AW504" i="23916"/>
  <c r="BZ511" i="23916"/>
  <c r="BY504" i="23916"/>
  <c r="DL577" i="23916"/>
  <c r="GD134" i="23916"/>
  <c r="GD141" i="23916"/>
  <c r="GE129" i="23916"/>
  <c r="GD139" i="23916"/>
  <c r="GD140" i="23916"/>
  <c r="DZ511" i="23916"/>
  <c r="DY504" i="23916"/>
  <c r="BJ666" i="23916"/>
  <c r="DC742" i="23916"/>
  <c r="DD618" i="23916"/>
  <c r="DC17" i="23916"/>
  <c r="EH666" i="23916"/>
  <c r="FQ379" i="23916"/>
  <c r="FQ380" i="23916" s="1"/>
  <c r="FP380" i="23916"/>
  <c r="BU506" i="23916"/>
  <c r="FY574" i="23916"/>
  <c r="FX577" i="23916"/>
  <c r="FT747" i="23916"/>
  <c r="FT614" i="23916"/>
  <c r="BN511" i="23916"/>
  <c r="BM504" i="23916"/>
  <c r="BR666" i="23916"/>
  <c r="BA248" i="23916"/>
  <c r="BB246" i="23916"/>
  <c r="BJ246" i="23916"/>
  <c r="DJ511" i="23916"/>
  <c r="DI504" i="23916"/>
  <c r="DO742" i="23916"/>
  <c r="DP618" i="23916"/>
  <c r="DO17" i="23916"/>
  <c r="EE742" i="23916"/>
  <c r="EF618" i="23916"/>
  <c r="EE17" i="23916"/>
  <c r="EF17" i="23916" s="1"/>
  <c r="GK572" i="23916"/>
  <c r="GK575" i="23916"/>
  <c r="GK576" i="23916"/>
  <c r="GK692" i="23916"/>
  <c r="GG582" i="23916"/>
  <c r="GF741" i="23916"/>
  <c r="GF618" i="23916"/>
  <c r="GF538" i="23916"/>
  <c r="GG536" i="23916"/>
  <c r="AT511" i="23916"/>
  <c r="AS504" i="23916"/>
  <c r="ED17" i="23916"/>
  <c r="EM666" i="23916"/>
  <c r="EN666" i="23916" s="1"/>
  <c r="EM541" i="23916"/>
  <c r="EN538" i="23916"/>
  <c r="EM511" i="23916"/>
  <c r="EM12" i="23916"/>
  <c r="GV312" i="23916"/>
  <c r="GW306" i="23916"/>
  <c r="GA580" i="23916"/>
  <c r="FS370" i="23916"/>
  <c r="FU370" i="23916"/>
  <c r="EI666" i="23916"/>
  <c r="EJ666" i="23916" s="1"/>
  <c r="EI541" i="23916"/>
  <c r="EJ538" i="23916"/>
  <c r="EI511" i="23916"/>
  <c r="EI12" i="23916"/>
  <c r="FZ79" i="23916"/>
  <c r="GA79" i="23916" s="1"/>
  <c r="GA73" i="23916"/>
  <c r="FZ76" i="23916"/>
  <c r="GA76" i="23916" s="1"/>
  <c r="CB511" i="23916"/>
  <c r="CA504" i="23916"/>
  <c r="BR216" i="23916"/>
  <c r="BQ219" i="23916"/>
  <c r="GM575" i="23916"/>
  <c r="GM576" i="23916"/>
  <c r="GM680" i="23916"/>
  <c r="DU747" i="23916"/>
  <c r="DU667" i="23916"/>
  <c r="DV667" i="23916" s="1"/>
  <c r="DU614" i="23916"/>
  <c r="DV541" i="23916"/>
  <c r="DU553" i="23916"/>
  <c r="DU15" i="23916"/>
  <c r="CL511" i="23916"/>
  <c r="CK504" i="23916"/>
  <c r="CG799" i="23916"/>
  <c r="CG622" i="23916"/>
  <c r="CG620" i="23916"/>
  <c r="CH614" i="23916"/>
  <c r="CG589" i="23916"/>
  <c r="CG721" i="23916"/>
  <c r="CY135" i="23916"/>
  <c r="DE747" i="23916"/>
  <c r="DE667" i="23916"/>
  <c r="DF667" i="23916" s="1"/>
  <c r="DE614" i="23916"/>
  <c r="DF541" i="23916"/>
  <c r="DE553" i="23916"/>
  <c r="DE15" i="23916"/>
  <c r="DQ747" i="23916"/>
  <c r="DQ667" i="23916"/>
  <c r="DR667" i="23916" s="1"/>
  <c r="DQ614" i="23916"/>
  <c r="DR541" i="23916"/>
  <c r="DQ553" i="23916"/>
  <c r="DQ15" i="23916"/>
  <c r="FZ742" i="23916"/>
  <c r="GA618" i="23916"/>
  <c r="GA577" i="23916"/>
  <c r="GO571" i="23916"/>
  <c r="GO582" i="23916"/>
  <c r="GO576" i="23916"/>
  <c r="GO680" i="23916"/>
  <c r="BC566" i="23916"/>
  <c r="BD553" i="23916"/>
  <c r="GT616" i="23916"/>
  <c r="GU616" i="23916" s="1"/>
  <c r="GU546" i="23916"/>
  <c r="DS666" i="23916"/>
  <c r="DT666" i="23916" s="1"/>
  <c r="DS541" i="23916"/>
  <c r="DT538" i="23916"/>
  <c r="DS511" i="23916"/>
  <c r="DS12" i="23916"/>
  <c r="GD577" i="23916"/>
  <c r="GE577" i="23916" s="1"/>
  <c r="GE574" i="23916"/>
  <c r="GE606" i="23916"/>
  <c r="GE576" i="23916"/>
  <c r="GE583" i="23916"/>
  <c r="FR666" i="23916"/>
  <c r="FS666" i="23916" s="1"/>
  <c r="FR553" i="23916"/>
  <c r="FU553" i="23916" s="1"/>
  <c r="FR541" i="23916"/>
  <c r="FS538" i="23916"/>
  <c r="FR511" i="23916"/>
  <c r="FU511" i="23916" s="1"/>
  <c r="CU742" i="23916"/>
  <c r="CV618" i="23916"/>
  <c r="CU17" i="23916"/>
  <c r="CV17" i="23916" s="1"/>
  <c r="FV577" i="23916"/>
  <c r="FW577" i="23916" s="1"/>
  <c r="FW574" i="23916"/>
  <c r="BP504" i="23916"/>
  <c r="BO506" i="23916"/>
  <c r="BC195" i="23916"/>
  <c r="BC199" i="23916" s="1"/>
  <c r="BD189" i="23916"/>
  <c r="BC205" i="23916"/>
  <c r="BL189" i="23916"/>
  <c r="BL511" i="23916"/>
  <c r="BK504" i="23916"/>
  <c r="BT511" i="23916"/>
  <c r="AR511" i="23916"/>
  <c r="AQ504" i="23916"/>
  <c r="CF511" i="23916"/>
  <c r="CE504" i="23916"/>
  <c r="CN504" i="23916" s="1"/>
  <c r="BB229" i="23916"/>
  <c r="BJ229" i="23916"/>
  <c r="CP504" i="23916"/>
  <c r="CO506" i="23916"/>
  <c r="EP666" i="23916"/>
  <c r="BA363" i="23916"/>
  <c r="BB357" i="23916"/>
  <c r="BA369" i="23916"/>
  <c r="BA370" i="23916"/>
  <c r="BJ357" i="23916"/>
  <c r="CH511" i="23916"/>
  <c r="CN666" i="23916"/>
  <c r="GI573" i="23916"/>
  <c r="BD218" i="23916" l="1"/>
  <c r="BL218" i="23916"/>
  <c r="DB35" i="23916"/>
  <c r="DA92" i="23916"/>
  <c r="BC204" i="23916"/>
  <c r="BC247" i="23916"/>
  <c r="BC246" i="23916"/>
  <c r="BD199" i="23916"/>
  <c r="BL199" i="23916"/>
  <c r="BL504" i="23916"/>
  <c r="BK506" i="23916"/>
  <c r="BT504" i="23916"/>
  <c r="BO508" i="23916"/>
  <c r="DS747" i="23916"/>
  <c r="DS667" i="23916"/>
  <c r="DS614" i="23916"/>
  <c r="DS553" i="23916"/>
  <c r="DT541" i="23916"/>
  <c r="DS15" i="23916"/>
  <c r="BC669" i="23916"/>
  <c r="BC668" i="23916"/>
  <c r="BC617" i="23916"/>
  <c r="BC607" i="23916"/>
  <c r="DQ799" i="23916"/>
  <c r="DQ622" i="23916"/>
  <c r="DQ620" i="23916"/>
  <c r="DR614" i="23916"/>
  <c r="DQ589" i="23916"/>
  <c r="DQ16" i="23916"/>
  <c r="DQ721" i="23916"/>
  <c r="DV553" i="23916"/>
  <c r="DU566" i="23916"/>
  <c r="GV728" i="23916"/>
  <c r="GW312" i="23916"/>
  <c r="EM747" i="23916"/>
  <c r="EM667" i="23916"/>
  <c r="EM614" i="23916"/>
  <c r="EM553" i="23916"/>
  <c r="EN541" i="23916"/>
  <c r="EM15" i="23916"/>
  <c r="AT504" i="23916"/>
  <c r="AS506" i="23916"/>
  <c r="GF742" i="23916"/>
  <c r="GG618" i="23916"/>
  <c r="GF17" i="23916"/>
  <c r="BN504" i="23916"/>
  <c r="BM506" i="23916"/>
  <c r="BV504" i="23916"/>
  <c r="DD17" i="23916"/>
  <c r="DZ504" i="23916"/>
  <c r="DY506" i="23916"/>
  <c r="BW566" i="23916"/>
  <c r="BX553" i="23916"/>
  <c r="CD504" i="23916"/>
  <c r="CC506" i="23916"/>
  <c r="BA566" i="23916"/>
  <c r="BB553" i="23916"/>
  <c r="DM566" i="23916"/>
  <c r="DN553" i="23916"/>
  <c r="DN667" i="23916"/>
  <c r="BS197" i="23916"/>
  <c r="BS200" i="23916" s="1"/>
  <c r="BT200" i="23916" s="1"/>
  <c r="BU189" i="23916"/>
  <c r="BS228" i="23916"/>
  <c r="BT195" i="23916"/>
  <c r="GN742" i="23916"/>
  <c r="GO618" i="23916"/>
  <c r="GN17" i="23916"/>
  <c r="DR504" i="23916"/>
  <c r="DQ506" i="23916"/>
  <c r="DA140" i="23916"/>
  <c r="DA139" i="23916"/>
  <c r="DA141" i="23916"/>
  <c r="DA142" i="23916" s="1"/>
  <c r="DA134" i="23916"/>
  <c r="DB129" i="23916"/>
  <c r="CS566" i="23916"/>
  <c r="CT553" i="23916"/>
  <c r="DH666" i="23916"/>
  <c r="EL504" i="23916"/>
  <c r="EK506" i="23916"/>
  <c r="GB37" i="23916"/>
  <c r="GC37" i="23916" s="1"/>
  <c r="GD28" i="23916"/>
  <c r="GC34" i="23916"/>
  <c r="EH553" i="23916"/>
  <c r="EG566" i="23916"/>
  <c r="BF504" i="23916"/>
  <c r="BE506" i="23916"/>
  <c r="EC799" i="23916"/>
  <c r="EC622" i="23916"/>
  <c r="EC620" i="23916"/>
  <c r="ED614" i="23916"/>
  <c r="EC589" i="23916"/>
  <c r="EC16" i="23916"/>
  <c r="EC721" i="23916"/>
  <c r="AR614" i="23916"/>
  <c r="AQ620" i="23916"/>
  <c r="AR620" i="23916" s="1"/>
  <c r="AQ618" i="23916"/>
  <c r="AR618" i="23916" s="1"/>
  <c r="AQ589" i="23916"/>
  <c r="AR589" i="23916" s="1"/>
  <c r="BK799" i="23916"/>
  <c r="BK622" i="23916"/>
  <c r="BL614" i="23916"/>
  <c r="BK620" i="23916"/>
  <c r="BL620" i="23916" s="1"/>
  <c r="BK589" i="23916"/>
  <c r="BL589" i="23916" s="1"/>
  <c r="BK721" i="23916"/>
  <c r="FV666" i="23916"/>
  <c r="FW666" i="23916" s="1"/>
  <c r="FV541" i="23916"/>
  <c r="FW538" i="23916"/>
  <c r="FV553" i="23916"/>
  <c r="FV511" i="23916"/>
  <c r="CV511" i="23916"/>
  <c r="CU504" i="23916"/>
  <c r="AZ622" i="23916"/>
  <c r="AY543" i="23916"/>
  <c r="AY544" i="23916" s="1"/>
  <c r="EJ17" i="23916"/>
  <c r="DP666" i="23916"/>
  <c r="BO543" i="23916"/>
  <c r="BO544" i="23916" s="1"/>
  <c r="BC508" i="23916"/>
  <c r="AV504" i="23916"/>
  <c r="AU506" i="23916"/>
  <c r="CW566" i="23916"/>
  <c r="CX553" i="23916"/>
  <c r="BX504" i="23916"/>
  <c r="BW506" i="23916"/>
  <c r="BU669" i="23916"/>
  <c r="BU668" i="23916"/>
  <c r="BU617" i="23916"/>
  <c r="BU607" i="23916"/>
  <c r="AZ402" i="23916"/>
  <c r="BH402" i="23916"/>
  <c r="AY380" i="23916"/>
  <c r="AZ379" i="23916"/>
  <c r="BH379" i="23916"/>
  <c r="CP622" i="23916"/>
  <c r="CO543" i="23916"/>
  <c r="CO544" i="23916" s="1"/>
  <c r="CO18" i="23916"/>
  <c r="CP18" i="23916" s="1"/>
  <c r="GM577" i="23916"/>
  <c r="GS531" i="23916"/>
  <c r="CI799" i="23916"/>
  <c r="CI622" i="23916"/>
  <c r="CI620" i="23916"/>
  <c r="CJ614" i="23916"/>
  <c r="CI589" i="23916"/>
  <c r="CI721" i="23916"/>
  <c r="EB666" i="23916"/>
  <c r="GW483" i="23916"/>
  <c r="AT553" i="23916"/>
  <c r="AS566" i="23916"/>
  <c r="GG577" i="23916"/>
  <c r="BM566" i="23916"/>
  <c r="BN553" i="23916"/>
  <c r="FX666" i="23916"/>
  <c r="FY666" i="23916" s="1"/>
  <c r="FX541" i="23916"/>
  <c r="FY538" i="23916"/>
  <c r="FX511" i="23916"/>
  <c r="EL553" i="23916"/>
  <c r="EK566" i="23916"/>
  <c r="EL667" i="23916"/>
  <c r="CM669" i="23916"/>
  <c r="CM668" i="23916"/>
  <c r="CM617" i="23916"/>
  <c r="CM607" i="23916"/>
  <c r="AW566" i="23916"/>
  <c r="AX553" i="23916"/>
  <c r="EX524" i="23916"/>
  <c r="CC566" i="23916"/>
  <c r="CD553" i="23916"/>
  <c r="GZ482" i="23916"/>
  <c r="GY482" i="23916"/>
  <c r="GX488" i="23916"/>
  <c r="GX483" i="23916"/>
  <c r="GX485" i="23916" s="1"/>
  <c r="DL666" i="23916"/>
  <c r="BB363" i="23916"/>
  <c r="BA368" i="23916"/>
  <c r="BA364" i="23916"/>
  <c r="BC357" i="23916"/>
  <c r="BJ363" i="23916"/>
  <c r="FP504" i="23916"/>
  <c r="FQ504" i="23916" s="1"/>
  <c r="AR504" i="23916"/>
  <c r="AQ506" i="23916"/>
  <c r="FR747" i="23916"/>
  <c r="FR614" i="23916"/>
  <c r="FS541" i="23916"/>
  <c r="DR553" i="23916"/>
  <c r="DQ566" i="23916"/>
  <c r="DF553" i="23916"/>
  <c r="DE566" i="23916"/>
  <c r="CL504" i="23916"/>
  <c r="CK506" i="23916"/>
  <c r="BR219" i="23916"/>
  <c r="BQ233" i="23916"/>
  <c r="BR233" i="23916" s="1"/>
  <c r="EJ511" i="23916"/>
  <c r="EI504" i="23916"/>
  <c r="DJ504" i="23916"/>
  <c r="DI506" i="23916"/>
  <c r="FY577" i="23916"/>
  <c r="BZ504" i="23916"/>
  <c r="BY506" i="23916"/>
  <c r="CZ511" i="23916"/>
  <c r="CY504" i="23916"/>
  <c r="BW799" i="23916"/>
  <c r="BW622" i="23916"/>
  <c r="BX614" i="23916"/>
  <c r="BW620" i="23916"/>
  <c r="BX620" i="23916" s="1"/>
  <c r="BW589" i="23916"/>
  <c r="BX589" i="23916" s="1"/>
  <c r="BW721" i="23916"/>
  <c r="BE799" i="23916"/>
  <c r="BE618" i="23916"/>
  <c r="BE622" i="23916"/>
  <c r="BE620" i="23916"/>
  <c r="BF614" i="23916"/>
  <c r="BE589" i="23916"/>
  <c r="BE721" i="23916"/>
  <c r="DA49" i="23916"/>
  <c r="CZ55" i="23916"/>
  <c r="CY58" i="23916"/>
  <c r="CZ58" i="23916" s="1"/>
  <c r="CY56" i="23916"/>
  <c r="BS204" i="23916"/>
  <c r="BT199" i="23916"/>
  <c r="BS247" i="23916"/>
  <c r="BS246" i="23916"/>
  <c r="EO799" i="23916"/>
  <c r="EO622" i="23916"/>
  <c r="EO620" i="23916"/>
  <c r="EP614" i="23916"/>
  <c r="EO589" i="23916"/>
  <c r="EO16" i="23916"/>
  <c r="EO721" i="23916"/>
  <c r="GA511" i="23916"/>
  <c r="FZ504" i="23916"/>
  <c r="BT620" i="23916"/>
  <c r="CM508" i="23916"/>
  <c r="DV504" i="23916"/>
  <c r="DU506" i="23916"/>
  <c r="GL666" i="23916"/>
  <c r="GL541" i="23916"/>
  <c r="GM538" i="23916"/>
  <c r="GL511" i="23916"/>
  <c r="GL12" i="23916"/>
  <c r="DH511" i="23916"/>
  <c r="DG504" i="23916"/>
  <c r="BW380" i="23916"/>
  <c r="BX380" i="23916" s="1"/>
  <c r="BX379" i="23916"/>
  <c r="EE747" i="23916"/>
  <c r="EE667" i="23916"/>
  <c r="EF667" i="23916" s="1"/>
  <c r="EE614" i="23916"/>
  <c r="EE553" i="23916"/>
  <c r="EF541" i="23916"/>
  <c r="EE15" i="23916"/>
  <c r="GQ524" i="23916"/>
  <c r="GB73" i="23916"/>
  <c r="GC68" i="23916"/>
  <c r="GB74" i="23916"/>
  <c r="DA799" i="23916"/>
  <c r="DA622" i="23916"/>
  <c r="DA620" i="23916"/>
  <c r="DB614" i="23916"/>
  <c r="DA589" i="23916"/>
  <c r="DA16" i="23916"/>
  <c r="DA721" i="23916"/>
  <c r="EC566" i="23916"/>
  <c r="ED553" i="23916"/>
  <c r="ED667" i="23916"/>
  <c r="DL17" i="23916"/>
  <c r="CE566" i="23916"/>
  <c r="CF553" i="23916"/>
  <c r="FV742" i="23916"/>
  <c r="CG669" i="23916"/>
  <c r="CG668" i="23916"/>
  <c r="CG617" i="23916"/>
  <c r="CG607" i="23916"/>
  <c r="AZ618" i="23916"/>
  <c r="GY590" i="23916"/>
  <c r="GZ590" i="23916"/>
  <c r="FS368" i="23916"/>
  <c r="FU368" i="23916"/>
  <c r="AZ245" i="23916"/>
  <c r="BH245" i="23916"/>
  <c r="DP511" i="23916"/>
  <c r="DO504" i="23916"/>
  <c r="BQ799" i="23916"/>
  <c r="BQ622" i="23916"/>
  <c r="BQ620" i="23916"/>
  <c r="BR614" i="23916"/>
  <c r="BQ589" i="23916"/>
  <c r="BQ721" i="23916"/>
  <c r="DC747" i="23916"/>
  <c r="DC667" i="23916"/>
  <c r="DC614" i="23916"/>
  <c r="DC553" i="23916"/>
  <c r="DD541" i="23916"/>
  <c r="DC15" i="23916"/>
  <c r="BJ553" i="23916"/>
  <c r="BI566" i="23916"/>
  <c r="AZ382" i="23916"/>
  <c r="BH382" i="23916"/>
  <c r="AZ381" i="23916"/>
  <c r="BH381" i="23916"/>
  <c r="FP747" i="23916"/>
  <c r="FP614" i="23916"/>
  <c r="FQ541" i="23916"/>
  <c r="BD622" i="23916"/>
  <c r="BC543" i="23916"/>
  <c r="BC544" i="23916" s="1"/>
  <c r="CP589" i="23916"/>
  <c r="CK799" i="23916"/>
  <c r="CK622" i="23916"/>
  <c r="CK620" i="23916"/>
  <c r="CL614" i="23916"/>
  <c r="CK589" i="23916"/>
  <c r="CK721" i="23916"/>
  <c r="CJ667" i="23916"/>
  <c r="EB511" i="23916"/>
  <c r="EA504" i="23916"/>
  <c r="DH17" i="23916"/>
  <c r="GV731" i="23916"/>
  <c r="GW488" i="23916"/>
  <c r="EN17" i="23916"/>
  <c r="DI799" i="23916"/>
  <c r="DI622" i="23916"/>
  <c r="DI620" i="23916"/>
  <c r="DJ620" i="23916" s="1"/>
  <c r="DJ614" i="23916"/>
  <c r="DI589" i="23916"/>
  <c r="DJ589" i="23916" s="1"/>
  <c r="DI16" i="23916"/>
  <c r="DJ16" i="23916" s="1"/>
  <c r="DI721" i="23916"/>
  <c r="FX742" i="23916"/>
  <c r="FY618" i="23916"/>
  <c r="BJ504" i="23916"/>
  <c r="BI506" i="23916"/>
  <c r="BY799" i="23916"/>
  <c r="BY622" i="23916"/>
  <c r="BY620" i="23916"/>
  <c r="BZ614" i="23916"/>
  <c r="BY589" i="23916"/>
  <c r="BZ589" i="23916" s="1"/>
  <c r="BY721" i="23916"/>
  <c r="BG566" i="23916"/>
  <c r="BH553" i="23916"/>
  <c r="CX504" i="23916"/>
  <c r="CW506" i="23916"/>
  <c r="AZ506" i="23916"/>
  <c r="AY508" i="23916"/>
  <c r="DL511" i="23916"/>
  <c r="DK504" i="23916"/>
  <c r="BB370" i="23916"/>
  <c r="BJ370" i="23916"/>
  <c r="BC197" i="23916"/>
  <c r="BC200" i="23916" s="1"/>
  <c r="BL200" i="23916" s="1"/>
  <c r="BC228" i="23916"/>
  <c r="BD195" i="23916"/>
  <c r="BE189" i="23916"/>
  <c r="BL195" i="23916"/>
  <c r="FR566" i="23916"/>
  <c r="FS553" i="23916"/>
  <c r="DT511" i="23916"/>
  <c r="DS504" i="23916"/>
  <c r="CY155" i="23916"/>
  <c r="CY153" i="23916"/>
  <c r="CZ135" i="23916"/>
  <c r="CY154" i="23916"/>
  <c r="CY156" i="23916" s="1"/>
  <c r="CY184" i="23916"/>
  <c r="CH620" i="23916"/>
  <c r="EN511" i="23916"/>
  <c r="EM504" i="23916"/>
  <c r="DP17" i="23916"/>
  <c r="DX17" i="23916"/>
  <c r="BB248" i="23916"/>
  <c r="BJ248" i="23916"/>
  <c r="FU541" i="23916"/>
  <c r="GE134" i="23916"/>
  <c r="GF129" i="23916"/>
  <c r="AU566" i="23916"/>
  <c r="AV553" i="23916"/>
  <c r="GH666" i="23916"/>
  <c r="GH541" i="23916"/>
  <c r="GI538" i="23916"/>
  <c r="GH511" i="23916"/>
  <c r="GH12" i="23916"/>
  <c r="BA799" i="23916"/>
  <c r="BA618" i="23916"/>
  <c r="BA622" i="23916"/>
  <c r="BA620" i="23916"/>
  <c r="BB614" i="23916"/>
  <c r="BA589" i="23916"/>
  <c r="BA721" i="23916"/>
  <c r="CH506" i="23916"/>
  <c r="CG508" i="23916"/>
  <c r="EO566" i="23916"/>
  <c r="EP553" i="23916"/>
  <c r="GY554" i="23916"/>
  <c r="GZ554" i="23916"/>
  <c r="GX546" i="23916"/>
  <c r="BT622" i="23916"/>
  <c r="BS543" i="23916"/>
  <c r="BS544" i="23916" s="1"/>
  <c r="DF504" i="23916"/>
  <c r="DE506" i="23916"/>
  <c r="CS799" i="23916"/>
  <c r="CS622" i="23916"/>
  <c r="CS620" i="23916"/>
  <c r="CT620" i="23916" s="1"/>
  <c r="CT614" i="23916"/>
  <c r="CS589" i="23916"/>
  <c r="CT589" i="23916" s="1"/>
  <c r="CS16" i="23916"/>
  <c r="CT16" i="23916" s="1"/>
  <c r="CS721" i="23916"/>
  <c r="CO669" i="23916"/>
  <c r="CP669" i="23916" s="1"/>
  <c r="CO668" i="23916"/>
  <c r="CP668" i="23916" s="1"/>
  <c r="CO617" i="23916"/>
  <c r="CP617" i="23916" s="1"/>
  <c r="CP566" i="23916"/>
  <c r="CO568" i="23916"/>
  <c r="CO603" i="23916" s="1"/>
  <c r="CO607" i="23916"/>
  <c r="CP607" i="23916" s="1"/>
  <c r="GL742" i="23916"/>
  <c r="GM618" i="23916"/>
  <c r="GL17" i="23916"/>
  <c r="CQ566" i="23916"/>
  <c r="CR553" i="23916"/>
  <c r="GD65" i="23916"/>
  <c r="GD55" i="23916"/>
  <c r="GD56" i="23916" s="1"/>
  <c r="GE49" i="23916"/>
  <c r="GD62" i="23916"/>
  <c r="GD64" i="23916"/>
  <c r="GD63" i="23916"/>
  <c r="BH504" i="23916"/>
  <c r="BG506" i="23916"/>
  <c r="GX728" i="23916"/>
  <c r="GZ312" i="23916"/>
  <c r="GY312" i="23916"/>
  <c r="DB667" i="23916"/>
  <c r="BB504" i="23916"/>
  <c r="BA506" i="23916"/>
  <c r="CE799" i="23916"/>
  <c r="CE622" i="23916"/>
  <c r="CE620" i="23916"/>
  <c r="CF620" i="23916" s="1"/>
  <c r="CF614" i="23916"/>
  <c r="CE589" i="23916"/>
  <c r="CF589" i="23916" s="1"/>
  <c r="CE721" i="23916"/>
  <c r="CU747" i="23916"/>
  <c r="CU667" i="23916"/>
  <c r="CV667" i="23916" s="1"/>
  <c r="CU614" i="23916"/>
  <c r="CU553" i="23916"/>
  <c r="CV541" i="23916"/>
  <c r="CU15" i="23916"/>
  <c r="BS669" i="23916"/>
  <c r="BS668" i="23916"/>
  <c r="BS617" i="23916"/>
  <c r="BS568" i="23916"/>
  <c r="BS603" i="23916" s="1"/>
  <c r="BS607" i="23916"/>
  <c r="CT504" i="23916"/>
  <c r="CS506" i="23916"/>
  <c r="CA566" i="23916"/>
  <c r="CB553" i="23916"/>
  <c r="FS364" i="23916"/>
  <c r="FR381" i="23916"/>
  <c r="FR371" i="23916"/>
  <c r="FR379" i="23916"/>
  <c r="FR382" i="23916"/>
  <c r="FU364" i="23916"/>
  <c r="FR402" i="23916"/>
  <c r="FR403" i="23916"/>
  <c r="GJ666" i="23916"/>
  <c r="GJ541" i="23916"/>
  <c r="GK538" i="23916"/>
  <c r="GJ511" i="23916"/>
  <c r="GJ12" i="23916"/>
  <c r="FU666" i="23916"/>
  <c r="GB666" i="23916"/>
  <c r="GC666" i="23916" s="1"/>
  <c r="GB541" i="23916"/>
  <c r="GC538" i="23916"/>
  <c r="GB511" i="23916"/>
  <c r="GB12" i="23916"/>
  <c r="DD666" i="23916"/>
  <c r="DY799" i="23916"/>
  <c r="DY622" i="23916"/>
  <c r="DY620" i="23916"/>
  <c r="DZ620" i="23916" s="1"/>
  <c r="DZ614" i="23916"/>
  <c r="DY589" i="23916"/>
  <c r="DZ589" i="23916" s="1"/>
  <c r="DY16" i="23916"/>
  <c r="DZ16" i="23916" s="1"/>
  <c r="DY721" i="23916"/>
  <c r="CN622" i="23916"/>
  <c r="CM543" i="23916"/>
  <c r="CM544" i="23916" s="1"/>
  <c r="CM18" i="23916"/>
  <c r="CN18" i="23916" s="1"/>
  <c r="CW799" i="23916"/>
  <c r="CW622" i="23916"/>
  <c r="CW620" i="23916"/>
  <c r="CX620" i="23916" s="1"/>
  <c r="CX614" i="23916"/>
  <c r="CW589" i="23916"/>
  <c r="CX589" i="23916" s="1"/>
  <c r="CW16" i="23916"/>
  <c r="CX16" i="23916" s="1"/>
  <c r="CW721" i="23916"/>
  <c r="DB504" i="23916"/>
  <c r="DA506" i="23916"/>
  <c r="AZ371" i="23916"/>
  <c r="BH371" i="23916"/>
  <c r="EP504" i="23916"/>
  <c r="EO506" i="23916"/>
  <c r="GD666" i="23916"/>
  <c r="GD541" i="23916"/>
  <c r="GE538" i="23916"/>
  <c r="GD511" i="23916"/>
  <c r="GD12" i="23916"/>
  <c r="FP566" i="23916"/>
  <c r="FQ553" i="23916"/>
  <c r="BL618" i="23916"/>
  <c r="AY669" i="23916"/>
  <c r="AY668" i="23916"/>
  <c r="AY617" i="23916"/>
  <c r="AY568" i="23916"/>
  <c r="AY603" i="23916" s="1"/>
  <c r="AY607" i="23916"/>
  <c r="GW485" i="23916"/>
  <c r="GV487" i="23916"/>
  <c r="GV9" i="23916"/>
  <c r="GW9" i="23916" s="1"/>
  <c r="AS620" i="23916"/>
  <c r="AT620" i="23916" s="1"/>
  <c r="AS618" i="23916"/>
  <c r="AT618" i="23916" s="1"/>
  <c r="AT614" i="23916"/>
  <c r="AS589" i="23916"/>
  <c r="AT589" i="23916" s="1"/>
  <c r="CR504" i="23916"/>
  <c r="CQ506" i="23916"/>
  <c r="DJ667" i="23916"/>
  <c r="BO669" i="23916"/>
  <c r="BO668" i="23916"/>
  <c r="BO617" i="23916"/>
  <c r="BO568" i="23916"/>
  <c r="BO603" i="23916" s="1"/>
  <c r="BP566" i="23916"/>
  <c r="BO607" i="23916"/>
  <c r="BM799" i="23916"/>
  <c r="BM622" i="23916"/>
  <c r="BM620" i="23916"/>
  <c r="BN620" i="23916" s="1"/>
  <c r="BN614" i="23916"/>
  <c r="BM589" i="23916"/>
  <c r="BN589" i="23916" s="1"/>
  <c r="BM721" i="23916"/>
  <c r="FT669" i="23916"/>
  <c r="FT668" i="23916"/>
  <c r="FU566" i="23916"/>
  <c r="FT607" i="23916"/>
  <c r="BZ667" i="23916"/>
  <c r="AW618" i="23916"/>
  <c r="AX618" i="23916" s="1"/>
  <c r="AW620" i="23916"/>
  <c r="AX620" i="23916" s="1"/>
  <c r="AX614" i="23916"/>
  <c r="AW589" i="23916"/>
  <c r="AX589" i="23916" s="1"/>
  <c r="BG799" i="23916"/>
  <c r="BG622" i="23916"/>
  <c r="BP622" i="23916" s="1"/>
  <c r="BH614" i="23916"/>
  <c r="BG620" i="23916"/>
  <c r="BH620" i="23916" s="1"/>
  <c r="BG618" i="23916"/>
  <c r="BG589" i="23916"/>
  <c r="BH589" i="23916" s="1"/>
  <c r="BG721" i="23916"/>
  <c r="AZ504" i="23916"/>
  <c r="CC799" i="23916"/>
  <c r="CC622" i="23916"/>
  <c r="CC620" i="23916"/>
  <c r="CD620" i="23916" s="1"/>
  <c r="CD614" i="23916"/>
  <c r="CC589" i="23916"/>
  <c r="CD589" i="23916" s="1"/>
  <c r="CC721" i="23916"/>
  <c r="GT308" i="23916"/>
  <c r="GS308" i="23916"/>
  <c r="GR307" i="23916"/>
  <c r="ED504" i="23916"/>
  <c r="EC506" i="23916"/>
  <c r="BB369" i="23916"/>
  <c r="BJ369" i="23916"/>
  <c r="CP506" i="23916"/>
  <c r="CO508" i="23916"/>
  <c r="CF504" i="23916"/>
  <c r="CE506" i="23916"/>
  <c r="FS511" i="23916"/>
  <c r="FR504" i="23916"/>
  <c r="DE799" i="23916"/>
  <c r="DE622" i="23916"/>
  <c r="DE620" i="23916"/>
  <c r="DF620" i="23916" s="1"/>
  <c r="DF614" i="23916"/>
  <c r="DE589" i="23916"/>
  <c r="DF589" i="23916" s="1"/>
  <c r="DE16" i="23916"/>
  <c r="DF16" i="23916" s="1"/>
  <c r="DE721" i="23916"/>
  <c r="CH622" i="23916"/>
  <c r="CG543" i="23916"/>
  <c r="CG544" i="23916" s="1"/>
  <c r="DU799" i="23916"/>
  <c r="DU622" i="23916"/>
  <c r="DU620" i="23916"/>
  <c r="DV620" i="23916" s="1"/>
  <c r="DV614" i="23916"/>
  <c r="DU589" i="23916"/>
  <c r="DU16" i="23916"/>
  <c r="DU721" i="23916"/>
  <c r="CB504" i="23916"/>
  <c r="CA506" i="23916"/>
  <c r="EI747" i="23916"/>
  <c r="EI667" i="23916"/>
  <c r="EI614" i="23916"/>
  <c r="EI553" i="23916"/>
  <c r="EJ541" i="23916"/>
  <c r="EI15" i="23916"/>
  <c r="GF666" i="23916"/>
  <c r="GG666" i="23916" s="1"/>
  <c r="GF541" i="23916"/>
  <c r="GG538" i="23916"/>
  <c r="GF511" i="23916"/>
  <c r="GF12" i="23916"/>
  <c r="FT799" i="23916"/>
  <c r="FT620" i="23916"/>
  <c r="FU614" i="23916"/>
  <c r="FT618" i="23916"/>
  <c r="FW618" i="23916" s="1"/>
  <c r="FT589" i="23916"/>
  <c r="FT721" i="23916"/>
  <c r="BV506" i="23916"/>
  <c r="BU508" i="23916"/>
  <c r="GD135" i="23916"/>
  <c r="AX504" i="23916"/>
  <c r="AW506" i="23916"/>
  <c r="AV614" i="23916"/>
  <c r="AU618" i="23916"/>
  <c r="AV618" i="23916" s="1"/>
  <c r="AU620" i="23916"/>
  <c r="AV620" i="23916" s="1"/>
  <c r="AU589" i="23916"/>
  <c r="AV589" i="23916" s="1"/>
  <c r="CY747" i="23916"/>
  <c r="CY667" i="23916"/>
  <c r="CZ667" i="23916" s="1"/>
  <c r="CY614" i="23916"/>
  <c r="CY553" i="23916"/>
  <c r="CZ541" i="23916"/>
  <c r="CY15" i="23916"/>
  <c r="BF553" i="23916"/>
  <c r="BE566" i="23916"/>
  <c r="GH742" i="23916"/>
  <c r="GI618" i="23916"/>
  <c r="GH17" i="23916"/>
  <c r="GI17" i="23916" s="1"/>
  <c r="CY73" i="23916"/>
  <c r="CZ68" i="23916"/>
  <c r="BV622" i="23916"/>
  <c r="BU543" i="23916"/>
  <c r="BU544" i="23916" s="1"/>
  <c r="DM799" i="23916"/>
  <c r="DM622" i="23916"/>
  <c r="DM620" i="23916"/>
  <c r="DN620" i="23916" s="1"/>
  <c r="DN614" i="23916"/>
  <c r="DM589" i="23916"/>
  <c r="DN589" i="23916" s="1"/>
  <c r="DM16" i="23916"/>
  <c r="DN16" i="23916" s="1"/>
  <c r="DM721" i="23916"/>
  <c r="CH504" i="23916"/>
  <c r="GV616" i="23916"/>
  <c r="GW616" i="23916" s="1"/>
  <c r="GW546" i="23916"/>
  <c r="GV552" i="23916"/>
  <c r="GN666" i="23916"/>
  <c r="GO666" i="23916" s="1"/>
  <c r="GN541" i="23916"/>
  <c r="GO538" i="23916"/>
  <c r="GN511" i="23916"/>
  <c r="GN12" i="23916"/>
  <c r="FZ747" i="23916"/>
  <c r="FZ667" i="23916"/>
  <c r="FZ614" i="23916"/>
  <c r="GA541" i="23916"/>
  <c r="FZ553" i="23916"/>
  <c r="BT589" i="23916"/>
  <c r="CJ504" i="23916"/>
  <c r="CI506" i="23916"/>
  <c r="DG747" i="23916"/>
  <c r="DG667" i="23916"/>
  <c r="DG614" i="23916"/>
  <c r="DG553" i="23916"/>
  <c r="DH541" i="23916"/>
  <c r="DG15" i="23916"/>
  <c r="CQ799" i="23916"/>
  <c r="CQ622" i="23916"/>
  <c r="CR614" i="23916"/>
  <c r="CQ620" i="23916"/>
  <c r="CR620" i="23916" s="1"/>
  <c r="CQ589" i="23916"/>
  <c r="CR589" i="23916" s="1"/>
  <c r="CQ16" i="23916"/>
  <c r="CR16" i="23916" s="1"/>
  <c r="CQ721" i="23916"/>
  <c r="EF511" i="23916"/>
  <c r="EE504" i="23916"/>
  <c r="EG799" i="23916"/>
  <c r="EG622" i="23916"/>
  <c r="EG620" i="23916"/>
  <c r="EH620" i="23916" s="1"/>
  <c r="EH614" i="23916"/>
  <c r="EG589" i="23916"/>
  <c r="EH589" i="23916" s="1"/>
  <c r="EG16" i="23916"/>
  <c r="EH16" i="23916" s="1"/>
  <c r="EG721" i="23916"/>
  <c r="DB553" i="23916"/>
  <c r="DA566" i="23916"/>
  <c r="DN504" i="23916"/>
  <c r="DM506" i="23916"/>
  <c r="BR230" i="23916"/>
  <c r="BQ232" i="23916"/>
  <c r="BC216" i="23916"/>
  <c r="BC229" i="23916"/>
  <c r="BE208" i="23916"/>
  <c r="BD214" i="23916"/>
  <c r="BL214" i="23916"/>
  <c r="CF667" i="23916"/>
  <c r="AQ566" i="23916"/>
  <c r="AR553" i="23916"/>
  <c r="BK566" i="23916"/>
  <c r="BT566" i="23916" s="1"/>
  <c r="BL553" i="23916"/>
  <c r="FR620" i="23916"/>
  <c r="AZ620" i="23916"/>
  <c r="DW544" i="23916"/>
  <c r="DW568" i="23916"/>
  <c r="DW603" i="23916" s="1"/>
  <c r="GZ615" i="23916"/>
  <c r="GY615" i="23916"/>
  <c r="BU208" i="23916"/>
  <c r="BS229" i="23916"/>
  <c r="BT229" i="23916" s="1"/>
  <c r="BT214" i="23916"/>
  <c r="BS216" i="23916"/>
  <c r="CA799" i="23916"/>
  <c r="CA622" i="23916"/>
  <c r="CB614" i="23916"/>
  <c r="CA620" i="23916"/>
  <c r="CB620" i="23916" s="1"/>
  <c r="CA589" i="23916"/>
  <c r="CB589" i="23916" s="1"/>
  <c r="CA721" i="23916"/>
  <c r="GJ742" i="23916"/>
  <c r="GK618" i="23916"/>
  <c r="GJ17" i="23916"/>
  <c r="GK17" i="23916" s="1"/>
  <c r="AZ280" i="23916"/>
  <c r="BH280" i="23916"/>
  <c r="AZ244" i="23916"/>
  <c r="BH244" i="23916"/>
  <c r="DO747" i="23916"/>
  <c r="DO667" i="23916"/>
  <c r="DP667" i="23916" s="1"/>
  <c r="DO614" i="23916"/>
  <c r="DO553" i="23916"/>
  <c r="DP541" i="23916"/>
  <c r="DO15" i="23916"/>
  <c r="BQ566" i="23916"/>
  <c r="BR553" i="23916"/>
  <c r="BP620" i="23916"/>
  <c r="FU504" i="23916"/>
  <c r="FT506" i="23916"/>
  <c r="GB742" i="23916"/>
  <c r="GC618" i="23916"/>
  <c r="GB17" i="23916"/>
  <c r="GC17" i="23916" s="1"/>
  <c r="DD511" i="23916"/>
  <c r="DC504" i="23916"/>
  <c r="BI799" i="23916"/>
  <c r="BI622" i="23916"/>
  <c r="BI620" i="23916"/>
  <c r="BJ620" i="23916" s="1"/>
  <c r="BJ614" i="23916"/>
  <c r="BI589" i="23916"/>
  <c r="BJ589" i="23916" s="1"/>
  <c r="BI721" i="23916"/>
  <c r="DY566" i="23916"/>
  <c r="DZ553" i="23916"/>
  <c r="DZ667" i="23916"/>
  <c r="CN589" i="23916"/>
  <c r="AZ403" i="23916"/>
  <c r="BH403" i="23916"/>
  <c r="BB230" i="23916"/>
  <c r="BJ230" i="23916"/>
  <c r="BA232" i="23916"/>
  <c r="GD742" i="23916"/>
  <c r="GE618" i="23916"/>
  <c r="GD17" i="23916"/>
  <c r="GE17" i="23916" s="1"/>
  <c r="DB34" i="23916"/>
  <c r="DC28" i="23916"/>
  <c r="DA37" i="23916"/>
  <c r="DB37" i="23916" s="1"/>
  <c r="BD614" i="23916"/>
  <c r="CP620" i="23916"/>
  <c r="CL553" i="23916"/>
  <c r="CK566" i="23916"/>
  <c r="CI566" i="23916"/>
  <c r="CJ553" i="23916"/>
  <c r="EA747" i="23916"/>
  <c r="EA667" i="23916"/>
  <c r="EB667" i="23916" s="1"/>
  <c r="EA614" i="23916"/>
  <c r="EA553" i="23916"/>
  <c r="EB541" i="23916"/>
  <c r="EA15" i="23916"/>
  <c r="BZ363" i="23916"/>
  <c r="BY368" i="23916"/>
  <c r="BZ368" i="23916" s="1"/>
  <c r="BY364" i="23916"/>
  <c r="GK577" i="23916"/>
  <c r="DI566" i="23916"/>
  <c r="DJ553" i="23916"/>
  <c r="BR504" i="23916"/>
  <c r="BQ506" i="23916"/>
  <c r="EK799" i="23916"/>
  <c r="EK622" i="23916"/>
  <c r="EK620" i="23916"/>
  <c r="EL620" i="23916" s="1"/>
  <c r="EL614" i="23916"/>
  <c r="EK589" i="23916"/>
  <c r="EL589" i="23916" s="1"/>
  <c r="EK16" i="23916"/>
  <c r="EL16" i="23916" s="1"/>
  <c r="EK721" i="23916"/>
  <c r="EH504" i="23916"/>
  <c r="EG506" i="23916"/>
  <c r="CN553" i="23916"/>
  <c r="BZ553" i="23916"/>
  <c r="BY566" i="23916"/>
  <c r="DK747" i="23916"/>
  <c r="DK667" i="23916"/>
  <c r="DL667" i="23916" s="1"/>
  <c r="DK614" i="23916"/>
  <c r="DK553" i="23916"/>
  <c r="DL541" i="23916"/>
  <c r="DK15" i="23916"/>
  <c r="GT531" i="23916"/>
  <c r="GU487" i="23916"/>
  <c r="GE56" i="23916" l="1"/>
  <c r="GD93" i="23916"/>
  <c r="GX487" i="23916"/>
  <c r="GY485" i="23916"/>
  <c r="GZ485" i="23916"/>
  <c r="GX9" i="23916"/>
  <c r="EL622" i="23916"/>
  <c r="EK543" i="23916"/>
  <c r="EK18" i="23916"/>
  <c r="DC41" i="23916"/>
  <c r="DC44" i="23916"/>
  <c r="DC45" i="23916" s="1"/>
  <c r="DC42" i="23916"/>
  <c r="DC34" i="23916"/>
  <c r="DD28" i="23916"/>
  <c r="DC43" i="23916"/>
  <c r="AQ669" i="23916"/>
  <c r="AR669" i="23916" s="1"/>
  <c r="AQ668" i="23916"/>
  <c r="AR668" i="23916" s="1"/>
  <c r="AQ617" i="23916"/>
  <c r="AR566" i="23916"/>
  <c r="AQ607" i="23916"/>
  <c r="AR607" i="23916" s="1"/>
  <c r="BF208" i="23916"/>
  <c r="BE214" i="23916"/>
  <c r="BE223" i="23916"/>
  <c r="BE218" i="23916"/>
  <c r="BE224" i="23916"/>
  <c r="BE225" i="23916" s="1"/>
  <c r="BN208" i="23916"/>
  <c r="DA669" i="23916"/>
  <c r="DA668" i="23916"/>
  <c r="DA617" i="23916"/>
  <c r="DB566" i="23916"/>
  <c r="DA607" i="23916"/>
  <c r="CR622" i="23916"/>
  <c r="CQ543" i="23916"/>
  <c r="CQ544" i="23916" s="1"/>
  <c r="CQ18" i="23916"/>
  <c r="CR18" i="23916" s="1"/>
  <c r="FZ566" i="23916"/>
  <c r="GN747" i="23916"/>
  <c r="GN667" i="23916"/>
  <c r="GN614" i="23916"/>
  <c r="GN553" i="23916"/>
  <c r="GO541" i="23916"/>
  <c r="GN15" i="23916"/>
  <c r="CY566" i="23916"/>
  <c r="CZ553" i="23916"/>
  <c r="AX506" i="23916"/>
  <c r="AW508" i="23916"/>
  <c r="GG511" i="23916"/>
  <c r="GF504" i="23916"/>
  <c r="EI566" i="23916"/>
  <c r="EJ553" i="23916"/>
  <c r="CB506" i="23916"/>
  <c r="CA508" i="23916"/>
  <c r="DV589" i="23916"/>
  <c r="DF622" i="23916"/>
  <c r="DE543" i="23916"/>
  <c r="DE544" i="23916" s="1"/>
  <c r="DE18" i="23916"/>
  <c r="DF18" i="23916" s="1"/>
  <c r="CF506" i="23916"/>
  <c r="CE508" i="23916"/>
  <c r="GS307" i="23916"/>
  <c r="GR309" i="23916"/>
  <c r="BG742" i="23916"/>
  <c r="BH618" i="23916"/>
  <c r="BP618" i="23916"/>
  <c r="CR506" i="23916"/>
  <c r="CQ508" i="23916"/>
  <c r="AZ617" i="23916"/>
  <c r="BD618" i="23916"/>
  <c r="GE511" i="23916"/>
  <c r="GD504" i="23916"/>
  <c r="CX622" i="23916"/>
  <c r="CW543" i="23916"/>
  <c r="CW544" i="23916" s="1"/>
  <c r="CW18" i="23916"/>
  <c r="CX18" i="23916" s="1"/>
  <c r="GB747" i="23916"/>
  <c r="GB667" i="23916"/>
  <c r="GC667" i="23916" s="1"/>
  <c r="GB614" i="23916"/>
  <c r="GB553" i="23916"/>
  <c r="GC541" i="23916"/>
  <c r="GB15" i="23916"/>
  <c r="GK666" i="23916"/>
  <c r="FS381" i="23916"/>
  <c r="FU381" i="23916"/>
  <c r="CU566" i="23916"/>
  <c r="CV553" i="23916"/>
  <c r="CF622" i="23916"/>
  <c r="CE543" i="23916"/>
  <c r="CE544" i="23916" s="1"/>
  <c r="BH506" i="23916"/>
  <c r="BG508" i="23916"/>
  <c r="CH508" i="23916"/>
  <c r="CG510" i="23916"/>
  <c r="BB589" i="23916"/>
  <c r="BB618" i="23916"/>
  <c r="BJ618" i="23916"/>
  <c r="FR669" i="23916"/>
  <c r="FR668" i="23916"/>
  <c r="FS566" i="23916"/>
  <c r="FR607" i="23916"/>
  <c r="BD228" i="23916"/>
  <c r="BC230" i="23916"/>
  <c r="BL228" i="23916"/>
  <c r="DL504" i="23916"/>
  <c r="DK506" i="23916"/>
  <c r="CX506" i="23916"/>
  <c r="CW508" i="23916"/>
  <c r="BZ622" i="23916"/>
  <c r="BY543" i="23916"/>
  <c r="BY544" i="23916" s="1"/>
  <c r="CL622" i="23916"/>
  <c r="CK543" i="23916"/>
  <c r="CK544" i="23916" s="1"/>
  <c r="DD667" i="23916"/>
  <c r="BR589" i="23916"/>
  <c r="DB589" i="23916"/>
  <c r="GL747" i="23916"/>
  <c r="GL667" i="23916"/>
  <c r="GL614" i="23916"/>
  <c r="GM541" i="23916"/>
  <c r="GL553" i="23916"/>
  <c r="GL15" i="23916"/>
  <c r="FZ506" i="23916"/>
  <c r="EP589" i="23916"/>
  <c r="DA55" i="23916"/>
  <c r="DA62" i="23916"/>
  <c r="DA64" i="23916"/>
  <c r="DA56" i="23916"/>
  <c r="DB49" i="23916"/>
  <c r="DA65" i="23916"/>
  <c r="DA63" i="23916"/>
  <c r="DA68" i="23916"/>
  <c r="BF620" i="23916"/>
  <c r="BX622" i="23916"/>
  <c r="BW543" i="23916"/>
  <c r="BW544" i="23916" s="1"/>
  <c r="BZ506" i="23916"/>
  <c r="BY508" i="23916"/>
  <c r="FR799" i="23916"/>
  <c r="FR618" i="23916"/>
  <c r="FS614" i="23916"/>
  <c r="FR589" i="23916"/>
  <c r="BB368" i="23916"/>
  <c r="BJ368" i="23916"/>
  <c r="CM568" i="23916"/>
  <c r="CM603" i="23916" s="1"/>
  <c r="CJ622" i="23916"/>
  <c r="CI543" i="23916"/>
  <c r="CI544" i="23916" s="1"/>
  <c r="BD620" i="23916"/>
  <c r="BU568" i="23916"/>
  <c r="BU603" i="23916" s="1"/>
  <c r="BX506" i="23916"/>
  <c r="BW508" i="23916"/>
  <c r="AV506" i="23916"/>
  <c r="AU508" i="23916"/>
  <c r="BD506" i="23916"/>
  <c r="CV504" i="23916"/>
  <c r="CU506" i="23916"/>
  <c r="BL622" i="23916"/>
  <c r="BK543" i="23916"/>
  <c r="BK544" i="23916" s="1"/>
  <c r="ED589" i="23916"/>
  <c r="EL506" i="23916"/>
  <c r="EK508" i="23916"/>
  <c r="CS669" i="23916"/>
  <c r="CS668" i="23916"/>
  <c r="CS617" i="23916"/>
  <c r="CT566" i="23916"/>
  <c r="CS607" i="23916"/>
  <c r="BV589" i="23916"/>
  <c r="AT506" i="23916"/>
  <c r="AS508" i="23916"/>
  <c r="DR589" i="23916"/>
  <c r="DT667" i="23916"/>
  <c r="EH506" i="23916"/>
  <c r="EG508" i="23916"/>
  <c r="DI669" i="23916"/>
  <c r="DJ669" i="23916" s="1"/>
  <c r="DI668" i="23916"/>
  <c r="DJ668" i="23916" s="1"/>
  <c r="DI617" i="23916"/>
  <c r="DJ617" i="23916" s="1"/>
  <c r="DJ566" i="23916"/>
  <c r="DI607" i="23916"/>
  <c r="DJ607" i="23916" s="1"/>
  <c r="EA566" i="23916"/>
  <c r="EB553" i="23916"/>
  <c r="BB232" i="23916"/>
  <c r="BA244" i="23916"/>
  <c r="BA245" i="23916"/>
  <c r="BA280" i="23916"/>
  <c r="BJ232" i="23916"/>
  <c r="DD504" i="23916"/>
  <c r="DC506" i="23916"/>
  <c r="CB622" i="23916"/>
  <c r="CA543" i="23916"/>
  <c r="CA544" i="23916" s="1"/>
  <c r="BD229" i="23916"/>
  <c r="BL229" i="23916"/>
  <c r="EF504" i="23916"/>
  <c r="EE506" i="23916"/>
  <c r="DG566" i="23916"/>
  <c r="DH553" i="23916"/>
  <c r="CJ506" i="23916"/>
  <c r="CI508" i="23916"/>
  <c r="DN622" i="23916"/>
  <c r="DM543" i="23916"/>
  <c r="DM18" i="23916"/>
  <c r="DN18" i="23916" s="1"/>
  <c r="CY799" i="23916"/>
  <c r="CY622" i="23916"/>
  <c r="CY620" i="23916"/>
  <c r="CZ620" i="23916" s="1"/>
  <c r="CZ614" i="23916"/>
  <c r="CY589" i="23916"/>
  <c r="CZ589" i="23916" s="1"/>
  <c r="CY16" i="23916"/>
  <c r="CZ16" i="23916" s="1"/>
  <c r="CY721" i="23916"/>
  <c r="FU620" i="23916"/>
  <c r="EI799" i="23916"/>
  <c r="EI622" i="23916"/>
  <c r="EJ614" i="23916"/>
  <c r="EI620" i="23916"/>
  <c r="EI589" i="23916"/>
  <c r="EI16" i="23916"/>
  <c r="EI721" i="23916"/>
  <c r="FU668" i="23916"/>
  <c r="AZ607" i="23916"/>
  <c r="AZ668" i="23916"/>
  <c r="EP506" i="23916"/>
  <c r="EO508" i="23916"/>
  <c r="DB506" i="23916"/>
  <c r="DA508" i="23916"/>
  <c r="GK511" i="23916"/>
  <c r="GJ504" i="23916"/>
  <c r="FS382" i="23916"/>
  <c r="FU382" i="23916"/>
  <c r="CT506" i="23916"/>
  <c r="CS508" i="23916"/>
  <c r="CU799" i="23916"/>
  <c r="CU622" i="23916"/>
  <c r="CU620" i="23916"/>
  <c r="CV620" i="23916" s="1"/>
  <c r="CV614" i="23916"/>
  <c r="CU589" i="23916"/>
  <c r="CV589" i="23916" s="1"/>
  <c r="CU16" i="23916"/>
  <c r="CV16" i="23916" s="1"/>
  <c r="CU721" i="23916"/>
  <c r="CT622" i="23916"/>
  <c r="CS543" i="23916"/>
  <c r="CS544" i="23916" s="1"/>
  <c r="CS18" i="23916"/>
  <c r="CT18" i="23916" s="1"/>
  <c r="GH747" i="23916"/>
  <c r="GH667" i="23916"/>
  <c r="GH614" i="23916"/>
  <c r="GI541" i="23916"/>
  <c r="GH553" i="23916"/>
  <c r="GH15" i="23916"/>
  <c r="AU669" i="23916"/>
  <c r="AV669" i="23916" s="1"/>
  <c r="AU668" i="23916"/>
  <c r="AV668" i="23916" s="1"/>
  <c r="AU617" i="23916"/>
  <c r="AV617" i="23916" s="1"/>
  <c r="AV566" i="23916"/>
  <c r="AU607" i="23916"/>
  <c r="AV607" i="23916" s="1"/>
  <c r="EN504" i="23916"/>
  <c r="EM506" i="23916"/>
  <c r="DT504" i="23916"/>
  <c r="DS506" i="23916"/>
  <c r="EB504" i="23916"/>
  <c r="EA506" i="23916"/>
  <c r="CL589" i="23916"/>
  <c r="BD589" i="23916"/>
  <c r="BI669" i="23916"/>
  <c r="BI668" i="23916"/>
  <c r="BI617" i="23916"/>
  <c r="BJ566" i="23916"/>
  <c r="BI607" i="23916"/>
  <c r="DP504" i="23916"/>
  <c r="DO506" i="23916"/>
  <c r="CG568" i="23916"/>
  <c r="CG603" i="23916" s="1"/>
  <c r="CE669" i="23916"/>
  <c r="CE668" i="23916"/>
  <c r="CE617" i="23916"/>
  <c r="CE568" i="23916"/>
  <c r="CE603" i="23916" s="1"/>
  <c r="CF566" i="23916"/>
  <c r="CE607" i="23916"/>
  <c r="EC669" i="23916"/>
  <c r="EC668" i="23916"/>
  <c r="EC617" i="23916"/>
  <c r="ED566" i="23916"/>
  <c r="EC607" i="23916"/>
  <c r="GC74" i="23916"/>
  <c r="GB123" i="23916"/>
  <c r="EE566" i="23916"/>
  <c r="EF553" i="23916"/>
  <c r="GM666" i="23916"/>
  <c r="CN508" i="23916"/>
  <c r="CM510" i="23916"/>
  <c r="BT246" i="23916"/>
  <c r="BS248" i="23916"/>
  <c r="BT248" i="23916" s="1"/>
  <c r="CY93" i="23916"/>
  <c r="CZ56" i="23916"/>
  <c r="BF622" i="23916"/>
  <c r="BE543" i="23916"/>
  <c r="BE544" i="23916" s="1"/>
  <c r="EJ504" i="23916"/>
  <c r="EI506" i="23916"/>
  <c r="CL506" i="23916"/>
  <c r="CK508" i="23916"/>
  <c r="DQ669" i="23916"/>
  <c r="DR669" i="23916" s="1"/>
  <c r="DQ668" i="23916"/>
  <c r="DR668" i="23916" s="1"/>
  <c r="DQ617" i="23916"/>
  <c r="DR617" i="23916" s="1"/>
  <c r="DR566" i="23916"/>
  <c r="DQ607" i="23916"/>
  <c r="DR607" i="23916" s="1"/>
  <c r="GX731" i="23916"/>
  <c r="GY488" i="23916"/>
  <c r="GZ488" i="23916"/>
  <c r="CC669" i="23916"/>
  <c r="CD669" i="23916" s="1"/>
  <c r="CC668" i="23916"/>
  <c r="CD668" i="23916" s="1"/>
  <c r="CC617" i="23916"/>
  <c r="CD617" i="23916" s="1"/>
  <c r="CD566" i="23916"/>
  <c r="CC607" i="23916"/>
  <c r="CD607" i="23916" s="1"/>
  <c r="AW669" i="23916"/>
  <c r="AX669" i="23916" s="1"/>
  <c r="AW668" i="23916"/>
  <c r="AX668" i="23916" s="1"/>
  <c r="AW617" i="23916"/>
  <c r="AX617" i="23916" s="1"/>
  <c r="AX566" i="23916"/>
  <c r="AW607" i="23916"/>
  <c r="AX607" i="23916" s="1"/>
  <c r="CN617" i="23916"/>
  <c r="EK669" i="23916"/>
  <c r="EL669" i="23916" s="1"/>
  <c r="EK668" i="23916"/>
  <c r="EL668" i="23916" s="1"/>
  <c r="EK617" i="23916"/>
  <c r="EL566" i="23916"/>
  <c r="EK568" i="23916"/>
  <c r="EK607" i="23916"/>
  <c r="EL607" i="23916" s="1"/>
  <c r="FX747" i="23916"/>
  <c r="FX667" i="23916"/>
  <c r="FY667" i="23916" s="1"/>
  <c r="FX614" i="23916"/>
  <c r="FX553" i="23916"/>
  <c r="FY541" i="23916"/>
  <c r="BM669" i="23916"/>
  <c r="BM668" i="23916"/>
  <c r="BM617" i="23916"/>
  <c r="BV617" i="23916" s="1"/>
  <c r="BN566" i="23916"/>
  <c r="BM607" i="23916"/>
  <c r="CJ589" i="23916"/>
  <c r="FV747" i="23916"/>
  <c r="FV667" i="23916"/>
  <c r="FW667" i="23916" s="1"/>
  <c r="FV614" i="23916"/>
  <c r="FW541" i="23916"/>
  <c r="BF506" i="23916"/>
  <c r="BE508" i="23916"/>
  <c r="GA666" i="23916"/>
  <c r="GG17" i="23916"/>
  <c r="EM566" i="23916"/>
  <c r="EN553" i="23916"/>
  <c r="CH589" i="23916"/>
  <c r="BD607" i="23916"/>
  <c r="BD668" i="23916"/>
  <c r="BL506" i="23916"/>
  <c r="BK508" i="23916"/>
  <c r="BT506" i="23916"/>
  <c r="BD246" i="23916"/>
  <c r="BC248" i="23916"/>
  <c r="BL246" i="23916"/>
  <c r="GU531" i="23916"/>
  <c r="DK566" i="23916"/>
  <c r="DL553" i="23916"/>
  <c r="BY669" i="23916"/>
  <c r="BZ669" i="23916" s="1"/>
  <c r="BY668" i="23916"/>
  <c r="BY617" i="23916"/>
  <c r="BZ566" i="23916"/>
  <c r="BY568" i="23916"/>
  <c r="BY603" i="23916" s="1"/>
  <c r="BY607" i="23916"/>
  <c r="BR506" i="23916"/>
  <c r="BQ508" i="23916"/>
  <c r="EA799" i="23916"/>
  <c r="EA622" i="23916"/>
  <c r="EA620" i="23916"/>
  <c r="EB614" i="23916"/>
  <c r="EA589" i="23916"/>
  <c r="EA16" i="23916"/>
  <c r="EA721" i="23916"/>
  <c r="CI669" i="23916"/>
  <c r="CI668" i="23916"/>
  <c r="CI617" i="23916"/>
  <c r="CI568" i="23916"/>
  <c r="CI603" i="23916" s="1"/>
  <c r="CJ566" i="23916"/>
  <c r="CI607" i="23916"/>
  <c r="DY669" i="23916"/>
  <c r="DZ669" i="23916" s="1"/>
  <c r="DY668" i="23916"/>
  <c r="DZ668" i="23916" s="1"/>
  <c r="DY617" i="23916"/>
  <c r="DZ617" i="23916" s="1"/>
  <c r="DZ566" i="23916"/>
  <c r="DY607" i="23916"/>
  <c r="DZ607" i="23916" s="1"/>
  <c r="FT508" i="23916"/>
  <c r="BQ669" i="23916"/>
  <c r="BR669" i="23916" s="1"/>
  <c r="BQ668" i="23916"/>
  <c r="BR668" i="23916" s="1"/>
  <c r="BQ617" i="23916"/>
  <c r="BR617" i="23916" s="1"/>
  <c r="BR566" i="23916"/>
  <c r="BQ607" i="23916"/>
  <c r="BR607" i="23916" s="1"/>
  <c r="DO566" i="23916"/>
  <c r="DP553" i="23916"/>
  <c r="BV208" i="23916"/>
  <c r="BU218" i="23916"/>
  <c r="BV218" i="23916" s="1"/>
  <c r="BU214" i="23916"/>
  <c r="BU223" i="23916"/>
  <c r="BU224" i="23916"/>
  <c r="BU225" i="23916" s="1"/>
  <c r="BK669" i="23916"/>
  <c r="BL669" i="23916" s="1"/>
  <c r="BK668" i="23916"/>
  <c r="BL668" i="23916" s="1"/>
  <c r="BK617" i="23916"/>
  <c r="BL617" i="23916" s="1"/>
  <c r="BK568" i="23916"/>
  <c r="BK603" i="23916" s="1"/>
  <c r="BL566" i="23916"/>
  <c r="BK607" i="23916"/>
  <c r="BL607" i="23916" s="1"/>
  <c r="BL216" i="23916"/>
  <c r="BC219" i="23916"/>
  <c r="BL219" i="23916" s="1"/>
  <c r="DN506" i="23916"/>
  <c r="DM508" i="23916"/>
  <c r="DG799" i="23916"/>
  <c r="DG622" i="23916"/>
  <c r="DH614" i="23916"/>
  <c r="DG620" i="23916"/>
  <c r="DH620" i="23916" s="1"/>
  <c r="DG589" i="23916"/>
  <c r="DH589" i="23916" s="1"/>
  <c r="DG16" i="23916"/>
  <c r="DH16" i="23916" s="1"/>
  <c r="DG721" i="23916"/>
  <c r="FZ799" i="23916"/>
  <c r="FZ620" i="23916"/>
  <c r="GA614" i="23916"/>
  <c r="FZ589" i="23916"/>
  <c r="FZ721" i="23916"/>
  <c r="GO511" i="23916"/>
  <c r="GN504" i="23916"/>
  <c r="CY76" i="23916"/>
  <c r="CZ76" i="23916" s="1"/>
  <c r="CY79" i="23916"/>
  <c r="CZ79" i="23916" s="1"/>
  <c r="CZ73" i="23916"/>
  <c r="GE135" i="23916"/>
  <c r="GD154" i="23916"/>
  <c r="GD156" i="23916" s="1"/>
  <c r="GD153" i="23916"/>
  <c r="GD155" i="23916"/>
  <c r="GD184" i="23916"/>
  <c r="FU589" i="23916"/>
  <c r="GF747" i="23916"/>
  <c r="GF667" i="23916"/>
  <c r="GF614" i="23916"/>
  <c r="GF553" i="23916"/>
  <c r="GG541" i="23916"/>
  <c r="GF15" i="23916"/>
  <c r="EJ667" i="23916"/>
  <c r="FS504" i="23916"/>
  <c r="FR506" i="23916"/>
  <c r="CP508" i="23916"/>
  <c r="CO510" i="23916"/>
  <c r="CP510" i="23916" s="1"/>
  <c r="ED506" i="23916"/>
  <c r="EC508" i="23916"/>
  <c r="GU308" i="23916"/>
  <c r="GV308" i="23916"/>
  <c r="GT307" i="23916"/>
  <c r="FU607" i="23916"/>
  <c r="FU669" i="23916"/>
  <c r="AZ566" i="23916"/>
  <c r="AZ669" i="23916"/>
  <c r="FP669" i="23916"/>
  <c r="FQ669" i="23916" s="1"/>
  <c r="FP668" i="23916"/>
  <c r="FQ668" i="23916" s="1"/>
  <c r="FQ566" i="23916"/>
  <c r="FP607" i="23916"/>
  <c r="FQ607" i="23916" s="1"/>
  <c r="GD747" i="23916"/>
  <c r="GD667" i="23916"/>
  <c r="GE667" i="23916" s="1"/>
  <c r="GD614" i="23916"/>
  <c r="GD553" i="23916"/>
  <c r="GE541" i="23916"/>
  <c r="GD15" i="23916"/>
  <c r="DZ622" i="23916"/>
  <c r="DY543" i="23916"/>
  <c r="DY568" i="23916" s="1"/>
  <c r="DY18" i="23916"/>
  <c r="GC511" i="23916"/>
  <c r="GB504" i="23916"/>
  <c r="FS403" i="23916"/>
  <c r="FU403" i="23916"/>
  <c r="FR380" i="23916"/>
  <c r="FS379" i="23916"/>
  <c r="FU379" i="23916"/>
  <c r="BT617" i="23916"/>
  <c r="BB506" i="23916"/>
  <c r="BA508" i="23916"/>
  <c r="GE55" i="23916"/>
  <c r="GF49" i="23916"/>
  <c r="GD58" i="23916"/>
  <c r="GE58" i="23916" s="1"/>
  <c r="CQ669" i="23916"/>
  <c r="CR669" i="23916" s="1"/>
  <c r="CQ668" i="23916"/>
  <c r="CR668" i="23916" s="1"/>
  <c r="CQ617" i="23916"/>
  <c r="CR617" i="23916" s="1"/>
  <c r="CQ568" i="23916"/>
  <c r="CQ603" i="23916" s="1"/>
  <c r="CR566" i="23916"/>
  <c r="CQ607" i="23916"/>
  <c r="CR607" i="23916" s="1"/>
  <c r="BV620" i="23916"/>
  <c r="BB620" i="23916"/>
  <c r="GI666" i="23916"/>
  <c r="GF134" i="23916"/>
  <c r="GG129" i="23916"/>
  <c r="GF139" i="23916"/>
  <c r="GG139" i="23916" s="1"/>
  <c r="GF141" i="23916"/>
  <c r="GG141" i="23916" s="1"/>
  <c r="GF140" i="23916"/>
  <c r="GG140" i="23916" s="1"/>
  <c r="BE205" i="23916"/>
  <c r="BE199" i="23916"/>
  <c r="BF189" i="23916"/>
  <c r="BE195" i="23916"/>
  <c r="BN189" i="23916"/>
  <c r="AY510" i="23916"/>
  <c r="BJ506" i="23916"/>
  <c r="BI508" i="23916"/>
  <c r="DC566" i="23916"/>
  <c r="DD553" i="23916"/>
  <c r="BP589" i="23916"/>
  <c r="BR620" i="23916"/>
  <c r="CH566" i="23916"/>
  <c r="DB620" i="23916"/>
  <c r="EE799" i="23916"/>
  <c r="EE622" i="23916"/>
  <c r="EE620" i="23916"/>
  <c r="EF620" i="23916" s="1"/>
  <c r="EF614" i="23916"/>
  <c r="EE589" i="23916"/>
  <c r="EF589" i="23916" s="1"/>
  <c r="EE16" i="23916"/>
  <c r="EF16" i="23916" s="1"/>
  <c r="EE721" i="23916"/>
  <c r="GM511" i="23916"/>
  <c r="GL504" i="23916"/>
  <c r="CN506" i="23916"/>
  <c r="EP620" i="23916"/>
  <c r="BT247" i="23916"/>
  <c r="BF589" i="23916"/>
  <c r="BF618" i="23916"/>
  <c r="BN618" i="23916"/>
  <c r="CZ504" i="23916"/>
  <c r="CY506" i="23916"/>
  <c r="AR506" i="23916"/>
  <c r="FP506" i="23916"/>
  <c r="AQ508" i="23916"/>
  <c r="AZ508" i="23916" s="1"/>
  <c r="BC363" i="23916"/>
  <c r="BD357" i="23916"/>
  <c r="BC370" i="23916"/>
  <c r="BC369" i="23916"/>
  <c r="BL357" i="23916"/>
  <c r="CN607" i="23916"/>
  <c r="CN668" i="23916"/>
  <c r="BV607" i="23916"/>
  <c r="BV668" i="23916"/>
  <c r="CN620" i="23916"/>
  <c r="FW511" i="23916"/>
  <c r="FV504" i="23916"/>
  <c r="ED620" i="23916"/>
  <c r="GE28" i="23916"/>
  <c r="GD68" i="23916"/>
  <c r="GD34" i="23916"/>
  <c r="GD35" i="23916" s="1"/>
  <c r="GD44" i="23916"/>
  <c r="GD41" i="23916"/>
  <c r="GD42" i="23916"/>
  <c r="GD43" i="23916"/>
  <c r="DB134" i="23916"/>
  <c r="DC129" i="23916"/>
  <c r="GO17" i="23916"/>
  <c r="BT228" i="23916"/>
  <c r="BS230" i="23916"/>
  <c r="BA669" i="23916"/>
  <c r="BA668" i="23916"/>
  <c r="BA617" i="23916"/>
  <c r="BB566" i="23916"/>
  <c r="BA607" i="23916"/>
  <c r="BW669" i="23916"/>
  <c r="BX669" i="23916" s="1"/>
  <c r="BW668" i="23916"/>
  <c r="BX668" i="23916" s="1"/>
  <c r="BW617" i="23916"/>
  <c r="BX617" i="23916" s="1"/>
  <c r="BW568" i="23916"/>
  <c r="BW603" i="23916" s="1"/>
  <c r="BX566" i="23916"/>
  <c r="BW607" i="23916"/>
  <c r="BX607" i="23916" s="1"/>
  <c r="EM799" i="23916"/>
  <c r="EM622" i="23916"/>
  <c r="EN614" i="23916"/>
  <c r="EM620" i="23916"/>
  <c r="EN620" i="23916" s="1"/>
  <c r="EM589" i="23916"/>
  <c r="EM16" i="23916"/>
  <c r="EN16" i="23916" s="1"/>
  <c r="EM721" i="23916"/>
  <c r="DR620" i="23916"/>
  <c r="BD566" i="23916"/>
  <c r="BD669" i="23916"/>
  <c r="DS566" i="23916"/>
  <c r="DT553" i="23916"/>
  <c r="BP508" i="23916"/>
  <c r="BO510" i="23916"/>
  <c r="BD247" i="23916"/>
  <c r="BL247" i="23916"/>
  <c r="DK799" i="23916"/>
  <c r="DK622" i="23916"/>
  <c r="DK620" i="23916"/>
  <c r="DL614" i="23916"/>
  <c r="DK589" i="23916"/>
  <c r="DK16" i="23916"/>
  <c r="DK721" i="23916"/>
  <c r="BZ364" i="23916"/>
  <c r="BY381" i="23916"/>
  <c r="BZ381" i="23916" s="1"/>
  <c r="BY379" i="23916"/>
  <c r="BY382" i="23916"/>
  <c r="BZ382" i="23916" s="1"/>
  <c r="BY371" i="23916"/>
  <c r="BZ371" i="23916" s="1"/>
  <c r="BY402" i="23916"/>
  <c r="BZ402" i="23916" s="1"/>
  <c r="BY403" i="23916"/>
  <c r="BZ403" i="23916" s="1"/>
  <c r="CK669" i="23916"/>
  <c r="CL669" i="23916" s="1"/>
  <c r="CK668" i="23916"/>
  <c r="CL668" i="23916" s="1"/>
  <c r="CK617" i="23916"/>
  <c r="CL617" i="23916" s="1"/>
  <c r="CK568" i="23916"/>
  <c r="CK603" i="23916" s="1"/>
  <c r="CL566" i="23916"/>
  <c r="CK607" i="23916"/>
  <c r="CL607" i="23916" s="1"/>
  <c r="BJ622" i="23916"/>
  <c r="BI543" i="23916"/>
  <c r="BI544" i="23916" s="1"/>
  <c r="DO799" i="23916"/>
  <c r="DO622" i="23916"/>
  <c r="DO620" i="23916"/>
  <c r="DP620" i="23916" s="1"/>
  <c r="DP614" i="23916"/>
  <c r="DO589" i="23916"/>
  <c r="DP589" i="23916" s="1"/>
  <c r="DO16" i="23916"/>
  <c r="DO721" i="23916"/>
  <c r="BT216" i="23916"/>
  <c r="BS219" i="23916"/>
  <c r="BR232" i="23916"/>
  <c r="BQ244" i="23916"/>
  <c r="BR244" i="23916" s="1"/>
  <c r="BQ245" i="23916"/>
  <c r="BR245" i="23916" s="1"/>
  <c r="BQ280" i="23916"/>
  <c r="BR280" i="23916" s="1"/>
  <c r="EH622" i="23916"/>
  <c r="EG543" i="23916"/>
  <c r="EG18" i="23916"/>
  <c r="EH18" i="23916" s="1"/>
  <c r="DH667" i="23916"/>
  <c r="GA667" i="23916"/>
  <c r="CY74" i="23916"/>
  <c r="BE669" i="23916"/>
  <c r="BF669" i="23916" s="1"/>
  <c r="BE668" i="23916"/>
  <c r="BF668" i="23916" s="1"/>
  <c r="BE617" i="23916"/>
  <c r="BF617" i="23916" s="1"/>
  <c r="BE568" i="23916"/>
  <c r="BE603" i="23916" s="1"/>
  <c r="BF566" i="23916"/>
  <c r="BE607" i="23916"/>
  <c r="BF607" i="23916" s="1"/>
  <c r="BU510" i="23916"/>
  <c r="FT742" i="23916"/>
  <c r="FU618" i="23916"/>
  <c r="DV16" i="23916"/>
  <c r="DV622" i="23916"/>
  <c r="DU543" i="23916"/>
  <c r="DU18" i="23916"/>
  <c r="DV18" i="23916" s="1"/>
  <c r="CD622" i="23916"/>
  <c r="CC543" i="23916"/>
  <c r="CC544" i="23916" s="1"/>
  <c r="BH622" i="23916"/>
  <c r="BG543" i="23916"/>
  <c r="BG544" i="23916" s="1"/>
  <c r="BN622" i="23916"/>
  <c r="BM543" i="23916"/>
  <c r="BM544" i="23916" s="1"/>
  <c r="GV531" i="23916"/>
  <c r="GW487" i="23916"/>
  <c r="GE666" i="23916"/>
  <c r="GB544" i="23916"/>
  <c r="GJ747" i="23916"/>
  <c r="GJ667" i="23916"/>
  <c r="GK667" i="23916" s="1"/>
  <c r="GJ614" i="23916"/>
  <c r="GK541" i="23916"/>
  <c r="GJ553" i="23916"/>
  <c r="GJ15" i="23916"/>
  <c r="FS402" i="23916"/>
  <c r="FU402" i="23916"/>
  <c r="FS371" i="23916"/>
  <c r="FU371" i="23916"/>
  <c r="CA669" i="23916"/>
  <c r="CB669" i="23916" s="1"/>
  <c r="CA668" i="23916"/>
  <c r="CB668" i="23916" s="1"/>
  <c r="CA617" i="23916"/>
  <c r="CB617" i="23916" s="1"/>
  <c r="CA568" i="23916"/>
  <c r="CA603" i="23916" s="1"/>
  <c r="CB566" i="23916"/>
  <c r="CA607" i="23916"/>
  <c r="CB607" i="23916" s="1"/>
  <c r="BT607" i="23916"/>
  <c r="BT668" i="23916"/>
  <c r="GM17" i="23916"/>
  <c r="DF506" i="23916"/>
  <c r="DE508" i="23916"/>
  <c r="GX616" i="23916"/>
  <c r="GZ546" i="23916"/>
  <c r="GX552" i="23916"/>
  <c r="GY546" i="23916"/>
  <c r="EO669" i="23916"/>
  <c r="EO668" i="23916"/>
  <c r="EO617" i="23916"/>
  <c r="EP566" i="23916"/>
  <c r="EO607" i="23916"/>
  <c r="BB622" i="23916"/>
  <c r="BA543" i="23916"/>
  <c r="BA544" i="23916" s="1"/>
  <c r="FR544" i="23916" s="1"/>
  <c r="GI511" i="23916"/>
  <c r="GH504" i="23916"/>
  <c r="BG669" i="23916"/>
  <c r="BH669" i="23916" s="1"/>
  <c r="BG668" i="23916"/>
  <c r="BH668" i="23916" s="1"/>
  <c r="BG617" i="23916"/>
  <c r="BP617" i="23916" s="1"/>
  <c r="BG568" i="23916"/>
  <c r="BG603" i="23916" s="1"/>
  <c r="BH566" i="23916"/>
  <c r="BG607" i="23916"/>
  <c r="BH607" i="23916" s="1"/>
  <c r="BZ620" i="23916"/>
  <c r="DJ622" i="23916"/>
  <c r="DI543" i="23916"/>
  <c r="DI544" i="23916" s="1"/>
  <c r="DI18" i="23916"/>
  <c r="CL620" i="23916"/>
  <c r="FP620" i="23916"/>
  <c r="FQ620" i="23916" s="1"/>
  <c r="FQ614" i="23916"/>
  <c r="FP618" i="23916"/>
  <c r="FQ618" i="23916" s="1"/>
  <c r="FP589" i="23916"/>
  <c r="FQ589" i="23916" s="1"/>
  <c r="DC799" i="23916"/>
  <c r="DC622" i="23916"/>
  <c r="DD614" i="23916"/>
  <c r="DC620" i="23916"/>
  <c r="DD620" i="23916" s="1"/>
  <c r="DC589" i="23916"/>
  <c r="DD589" i="23916" s="1"/>
  <c r="DC16" i="23916"/>
  <c r="DD16" i="23916" s="1"/>
  <c r="DC721" i="23916"/>
  <c r="BR622" i="23916"/>
  <c r="BQ543" i="23916"/>
  <c r="BQ544" i="23916" s="1"/>
  <c r="FV544" i="23916" s="1"/>
  <c r="CH617" i="23916"/>
  <c r="DB16" i="23916"/>
  <c r="DB622" i="23916"/>
  <c r="DA543" i="23916"/>
  <c r="DA544" i="23916" s="1"/>
  <c r="DA18" i="23916"/>
  <c r="DB18" i="23916" s="1"/>
  <c r="GB76" i="23916"/>
  <c r="GC76" i="23916" s="1"/>
  <c r="GB79" i="23916"/>
  <c r="GC79" i="23916" s="1"/>
  <c r="GC73" i="23916"/>
  <c r="DH504" i="23916"/>
  <c r="DG506" i="23916"/>
  <c r="DV506" i="23916"/>
  <c r="DU508" i="23916"/>
  <c r="EP16" i="23916"/>
  <c r="EP622" i="23916"/>
  <c r="EO543" i="23916"/>
  <c r="EO18" i="23916"/>
  <c r="EP18" i="23916" s="1"/>
  <c r="DJ506" i="23916"/>
  <c r="DI508" i="23916"/>
  <c r="DE669" i="23916"/>
  <c r="DF669" i="23916" s="1"/>
  <c r="DE668" i="23916"/>
  <c r="DE617" i="23916"/>
  <c r="DF566" i="23916"/>
  <c r="DE568" i="23916"/>
  <c r="DE603" i="23916" s="1"/>
  <c r="DE607" i="23916"/>
  <c r="BB364" i="23916"/>
  <c r="BA381" i="23916"/>
  <c r="BA379" i="23916"/>
  <c r="BA371" i="23916"/>
  <c r="BA382" i="23916"/>
  <c r="BA402" i="23916"/>
  <c r="BA403" i="23916"/>
  <c r="BJ364" i="23916"/>
  <c r="GZ483" i="23916"/>
  <c r="GY483" i="23916"/>
  <c r="CN566" i="23916"/>
  <c r="CN669" i="23916"/>
  <c r="FY511" i="23916"/>
  <c r="FX504" i="23916"/>
  <c r="AS669" i="23916"/>
  <c r="AT669" i="23916" s="1"/>
  <c r="AS668" i="23916"/>
  <c r="AT668" i="23916" s="1"/>
  <c r="AS617" i="23916"/>
  <c r="AT617" i="23916" s="1"/>
  <c r="AT566" i="23916"/>
  <c r="AS607" i="23916"/>
  <c r="AT607" i="23916" s="1"/>
  <c r="CJ620" i="23916"/>
  <c r="AZ380" i="23916"/>
  <c r="BH380" i="23916"/>
  <c r="BV566" i="23916"/>
  <c r="BV669" i="23916"/>
  <c r="CW669" i="23916"/>
  <c r="CX669" i="23916" s="1"/>
  <c r="CW668" i="23916"/>
  <c r="CX668" i="23916" s="1"/>
  <c r="CW617" i="23916"/>
  <c r="CX617" i="23916" s="1"/>
  <c r="CX566" i="23916"/>
  <c r="CW568" i="23916"/>
  <c r="CW603" i="23916" s="1"/>
  <c r="CW607" i="23916"/>
  <c r="CX607" i="23916" s="1"/>
  <c r="BD508" i="23916"/>
  <c r="BC510" i="23916"/>
  <c r="AZ589" i="23916"/>
  <c r="FV566" i="23916"/>
  <c r="FW553" i="23916"/>
  <c r="ED16" i="23916"/>
  <c r="ED622" i="23916"/>
  <c r="EC543" i="23916"/>
  <c r="EC18" i="23916"/>
  <c r="ED18" i="23916" s="1"/>
  <c r="EG669" i="23916"/>
  <c r="EH669" i="23916" s="1"/>
  <c r="EG668" i="23916"/>
  <c r="EH668" i="23916" s="1"/>
  <c r="EG617" i="23916"/>
  <c r="EH617" i="23916" s="1"/>
  <c r="EH566" i="23916"/>
  <c r="EG568" i="23916"/>
  <c r="EG607" i="23916"/>
  <c r="EH607" i="23916" s="1"/>
  <c r="DA135" i="23916"/>
  <c r="DR506" i="23916"/>
  <c r="DQ508" i="23916"/>
  <c r="BU205" i="23916"/>
  <c r="BU199" i="23916"/>
  <c r="BV189" i="23916"/>
  <c r="BU195" i="23916"/>
  <c r="DM669" i="23916"/>
  <c r="DN669" i="23916" s="1"/>
  <c r="DM668" i="23916"/>
  <c r="DN668" i="23916" s="1"/>
  <c r="DM617" i="23916"/>
  <c r="DN617" i="23916" s="1"/>
  <c r="DN566" i="23916"/>
  <c r="DM568" i="23916"/>
  <c r="DM607" i="23916"/>
  <c r="DN607" i="23916" s="1"/>
  <c r="CD506" i="23916"/>
  <c r="CC508" i="23916"/>
  <c r="DZ506" i="23916"/>
  <c r="DY508" i="23916"/>
  <c r="BN506" i="23916"/>
  <c r="BM508" i="23916"/>
  <c r="EN667" i="23916"/>
  <c r="DU669" i="23916"/>
  <c r="DV669" i="23916" s="1"/>
  <c r="DU668" i="23916"/>
  <c r="DV668" i="23916" s="1"/>
  <c r="DU617" i="23916"/>
  <c r="DV566" i="23916"/>
  <c r="DU568" i="23916"/>
  <c r="DU607" i="23916"/>
  <c r="DV607" i="23916" s="1"/>
  <c r="DR16" i="23916"/>
  <c r="DR622" i="23916"/>
  <c r="DQ543" i="23916"/>
  <c r="DQ18" i="23916"/>
  <c r="DR18" i="23916" s="1"/>
  <c r="BC568" i="23916"/>
  <c r="BC603" i="23916" s="1"/>
  <c r="DS799" i="23916"/>
  <c r="DS622" i="23916"/>
  <c r="DT614" i="23916"/>
  <c r="DS620" i="23916"/>
  <c r="DT620" i="23916" s="1"/>
  <c r="DS589" i="23916"/>
  <c r="DT589" i="23916" s="1"/>
  <c r="DS16" i="23916"/>
  <c r="DT16" i="23916" s="1"/>
  <c r="DS721" i="23916"/>
  <c r="BP506" i="23916"/>
  <c r="FR622" i="23916" l="1"/>
  <c r="FS622" i="23916" s="1"/>
  <c r="FR543" i="23916"/>
  <c r="FR568" i="23916" s="1"/>
  <c r="FR603" i="23916" s="1"/>
  <c r="GE35" i="23916"/>
  <c r="GD92" i="23916"/>
  <c r="FV622" i="23916"/>
  <c r="FV543" i="23916"/>
  <c r="DY603" i="23916"/>
  <c r="DV617" i="23916"/>
  <c r="BN508" i="23916"/>
  <c r="BM510" i="23916"/>
  <c r="CD508" i="23916"/>
  <c r="CC510" i="23916"/>
  <c r="CD510" i="23916" s="1"/>
  <c r="BV195" i="23916"/>
  <c r="BU228" i="23916"/>
  <c r="BU197" i="23916"/>
  <c r="BU200" i="23916" s="1"/>
  <c r="BV200" i="23916" s="1"/>
  <c r="BW189" i="23916"/>
  <c r="BB402" i="23916"/>
  <c r="BJ402" i="23916"/>
  <c r="BB381" i="23916"/>
  <c r="BJ381" i="23916"/>
  <c r="DJ508" i="23916"/>
  <c r="DI510" i="23916"/>
  <c r="DH506" i="23916"/>
  <c r="DG508" i="23916"/>
  <c r="DJ18" i="23916"/>
  <c r="GZ616" i="23916"/>
  <c r="GY616" i="23916"/>
  <c r="FT544" i="23916"/>
  <c r="DP16" i="23916"/>
  <c r="DX16" i="23916"/>
  <c r="DP622" i="23916"/>
  <c r="DO543" i="23916"/>
  <c r="DO18" i="23916"/>
  <c r="EN589" i="23916"/>
  <c r="BA568" i="23916"/>
  <c r="BA603" i="23916" s="1"/>
  <c r="BB669" i="23916"/>
  <c r="DC140" i="23916"/>
  <c r="DC135" i="23916"/>
  <c r="DC134" i="23916"/>
  <c r="DC139" i="23916"/>
  <c r="DD129" i="23916"/>
  <c r="DC141" i="23916"/>
  <c r="DC142" i="23916" s="1"/>
  <c r="BD370" i="23916"/>
  <c r="BL370" i="23916"/>
  <c r="FQ506" i="23916"/>
  <c r="FP508" i="23916"/>
  <c r="AY717" i="23916"/>
  <c r="GF55" i="23916"/>
  <c r="GF56" i="23916" s="1"/>
  <c r="GG49" i="23916"/>
  <c r="GF62" i="23916"/>
  <c r="GG62" i="23916" s="1"/>
  <c r="GF64" i="23916"/>
  <c r="GG64" i="23916" s="1"/>
  <c r="GF63" i="23916"/>
  <c r="GG63" i="23916" s="1"/>
  <c r="GF65" i="23916"/>
  <c r="GG65" i="23916" s="1"/>
  <c r="DZ18" i="23916"/>
  <c r="GG667" i="23916"/>
  <c r="BQ568" i="23916"/>
  <c r="BQ603" i="23916" s="1"/>
  <c r="CJ617" i="23916"/>
  <c r="EB16" i="23916"/>
  <c r="EB622" i="23916"/>
  <c r="EA543" i="23916"/>
  <c r="EA18" i="23916"/>
  <c r="BZ607" i="23916"/>
  <c r="BZ668" i="23916"/>
  <c r="BD248" i="23916"/>
  <c r="BL248" i="23916"/>
  <c r="BF508" i="23916"/>
  <c r="BE510" i="23916"/>
  <c r="BM568" i="23916"/>
  <c r="BM603" i="23916" s="1"/>
  <c r="EL617" i="23916"/>
  <c r="CL508" i="23916"/>
  <c r="CK510" i="23916"/>
  <c r="CL510" i="23916" s="1"/>
  <c r="CF607" i="23916"/>
  <c r="CF668" i="23916"/>
  <c r="DP506" i="23916"/>
  <c r="DO508" i="23916"/>
  <c r="DT506" i="23916"/>
  <c r="DS508" i="23916"/>
  <c r="GH799" i="23916"/>
  <c r="GH620" i="23916"/>
  <c r="GI614" i="23916"/>
  <c r="GH16" i="23916"/>
  <c r="GH589" i="23916"/>
  <c r="GH721" i="23916"/>
  <c r="DN543" i="23916"/>
  <c r="DM544" i="23916"/>
  <c r="DN544" i="23916" s="1"/>
  <c r="DD506" i="23916"/>
  <c r="DC508" i="23916"/>
  <c r="BB245" i="23916"/>
  <c r="BJ245" i="23916"/>
  <c r="EA669" i="23916"/>
  <c r="EA668" i="23916"/>
  <c r="EA617" i="23916"/>
  <c r="EA568" i="23916"/>
  <c r="EB566" i="23916"/>
  <c r="EA607" i="23916"/>
  <c r="AT508" i="23916"/>
  <c r="AS510" i="23916"/>
  <c r="AT510" i="23916" s="1"/>
  <c r="CT669" i="23916"/>
  <c r="FS589" i="23916"/>
  <c r="BZ508" i="23916"/>
  <c r="BY510" i="23916"/>
  <c r="DA58" i="23916"/>
  <c r="DB58" i="23916" s="1"/>
  <c r="DB55" i="23916"/>
  <c r="DC49" i="23916"/>
  <c r="GM667" i="23916"/>
  <c r="CH607" i="23916"/>
  <c r="BD230" i="23916"/>
  <c r="BL230" i="23916"/>
  <c r="BC232" i="23916"/>
  <c r="BH508" i="23916"/>
  <c r="BG510" i="23916"/>
  <c r="GB566" i="23916"/>
  <c r="GC553" i="23916"/>
  <c r="CR508" i="23916"/>
  <c r="CQ510" i="23916"/>
  <c r="CY669" i="23916"/>
  <c r="CZ669" i="23916" s="1"/>
  <c r="CY668" i="23916"/>
  <c r="CZ668" i="23916" s="1"/>
  <c r="CY617" i="23916"/>
  <c r="CZ617" i="23916" s="1"/>
  <c r="CZ566" i="23916"/>
  <c r="CY607" i="23916"/>
  <c r="CZ607" i="23916" s="1"/>
  <c r="GN799" i="23916"/>
  <c r="GO614" i="23916"/>
  <c r="GN620" i="23916"/>
  <c r="GN589" i="23916"/>
  <c r="GN16" i="23916"/>
  <c r="GN721" i="23916"/>
  <c r="FZ669" i="23916"/>
  <c r="FZ668" i="23916"/>
  <c r="FZ617" i="23916"/>
  <c r="FZ607" i="23916"/>
  <c r="DB607" i="23916"/>
  <c r="DB668" i="23916"/>
  <c r="EL543" i="23916"/>
  <c r="EK544" i="23916"/>
  <c r="DR508" i="23916"/>
  <c r="DQ510" i="23916"/>
  <c r="DR510" i="23916" s="1"/>
  <c r="EH568" i="23916"/>
  <c r="EG603" i="23916"/>
  <c r="BC717" i="23916"/>
  <c r="BB382" i="23916"/>
  <c r="BJ382" i="23916"/>
  <c r="DF617" i="23916"/>
  <c r="DD622" i="23916"/>
  <c r="DC543" i="23916"/>
  <c r="DC544" i="23916" s="1"/>
  <c r="DC18" i="23916"/>
  <c r="EP617" i="23916"/>
  <c r="DF508" i="23916"/>
  <c r="DE510" i="23916"/>
  <c r="GJ566" i="23916"/>
  <c r="GK553" i="23916"/>
  <c r="GW531" i="23916"/>
  <c r="DV543" i="23916"/>
  <c r="DU544" i="23916"/>
  <c r="DV544" i="23916" s="1"/>
  <c r="BS233" i="23916"/>
  <c r="BT233" i="23916" s="1"/>
  <c r="BT219" i="23916"/>
  <c r="DL620" i="23916"/>
  <c r="BT230" i="23916"/>
  <c r="BS232" i="23916"/>
  <c r="DC669" i="23916"/>
  <c r="DC668" i="23916"/>
  <c r="DC617" i="23916"/>
  <c r="DC568" i="23916"/>
  <c r="DC603" i="23916" s="1"/>
  <c r="DD566" i="23916"/>
  <c r="DC607" i="23916"/>
  <c r="GG134" i="23916"/>
  <c r="GH129" i="23916"/>
  <c r="DZ543" i="23916"/>
  <c r="DY544" i="23916"/>
  <c r="GD566" i="23916"/>
  <c r="GE553" i="23916"/>
  <c r="ED508" i="23916"/>
  <c r="EC510" i="23916"/>
  <c r="FS506" i="23916"/>
  <c r="FR508" i="23916"/>
  <c r="DN508" i="23916"/>
  <c r="DM510" i="23916"/>
  <c r="DN510" i="23916" s="1"/>
  <c r="BU216" i="23916"/>
  <c r="BV214" i="23916"/>
  <c r="BU229" i="23916"/>
  <c r="FV214" i="23916"/>
  <c r="BW208" i="23916"/>
  <c r="FU508" i="23916"/>
  <c r="FT510" i="23916"/>
  <c r="CJ607" i="23916"/>
  <c r="CJ668" i="23916"/>
  <c r="EB589" i="23916"/>
  <c r="EM669" i="23916"/>
  <c r="EM668" i="23916"/>
  <c r="EM617" i="23916"/>
  <c r="EN566" i="23916"/>
  <c r="EM607" i="23916"/>
  <c r="BN617" i="23916"/>
  <c r="FX566" i="23916"/>
  <c r="FY553" i="23916"/>
  <c r="ED617" i="23916"/>
  <c r="CF669" i="23916"/>
  <c r="BJ617" i="23916"/>
  <c r="GI667" i="23916"/>
  <c r="CT508" i="23916"/>
  <c r="CS510" i="23916"/>
  <c r="CT510" i="23916" s="1"/>
  <c r="GK504" i="23916"/>
  <c r="GJ506" i="23916"/>
  <c r="EP508" i="23916"/>
  <c r="EO510" i="23916"/>
  <c r="BP668" i="23916"/>
  <c r="EJ16" i="23916"/>
  <c r="EJ622" i="23916"/>
  <c r="EI543" i="23916"/>
  <c r="EI18" i="23916"/>
  <c r="EJ18" i="23916" s="1"/>
  <c r="CZ622" i="23916"/>
  <c r="CY543" i="23916"/>
  <c r="CY544" i="23916" s="1"/>
  <c r="CY18" i="23916"/>
  <c r="CZ18" i="23916" s="1"/>
  <c r="DG669" i="23916"/>
  <c r="DH669" i="23916" s="1"/>
  <c r="DG668" i="23916"/>
  <c r="DH668" i="23916" s="1"/>
  <c r="DG617" i="23916"/>
  <c r="DH617" i="23916" s="1"/>
  <c r="DH566" i="23916"/>
  <c r="DG607" i="23916"/>
  <c r="DH607" i="23916" s="1"/>
  <c r="BB244" i="23916"/>
  <c r="BJ244" i="23916"/>
  <c r="CS568" i="23916"/>
  <c r="CS603" i="23916" s="1"/>
  <c r="EL508" i="23916"/>
  <c r="EK510" i="23916"/>
  <c r="EL510" i="23916" s="1"/>
  <c r="AV508" i="23916"/>
  <c r="AU510" i="23916"/>
  <c r="AV510" i="23916" s="1"/>
  <c r="DB68" i="23916"/>
  <c r="DA74" i="23916"/>
  <c r="DA73" i="23916"/>
  <c r="DA93" i="23916"/>
  <c r="DB56" i="23916"/>
  <c r="GL566" i="23916"/>
  <c r="GM553" i="23916"/>
  <c r="DL506" i="23916"/>
  <c r="DK508" i="23916"/>
  <c r="FS668" i="23916"/>
  <c r="CU669" i="23916"/>
  <c r="CV669" i="23916" s="1"/>
  <c r="CU668" i="23916"/>
  <c r="CV668" i="23916" s="1"/>
  <c r="CU617" i="23916"/>
  <c r="CV617" i="23916" s="1"/>
  <c r="CV566" i="23916"/>
  <c r="CU607" i="23916"/>
  <c r="CV607" i="23916" s="1"/>
  <c r="GB799" i="23916"/>
  <c r="GC614" i="23916"/>
  <c r="GB620" i="23916"/>
  <c r="GC620" i="23916" s="1"/>
  <c r="GB16" i="23916"/>
  <c r="GC16" i="23916" s="1"/>
  <c r="GB589" i="23916"/>
  <c r="GC589" i="23916" s="1"/>
  <c r="GB721" i="23916"/>
  <c r="CF508" i="23916"/>
  <c r="CE510" i="23916"/>
  <c r="AX508" i="23916"/>
  <c r="AW510" i="23916"/>
  <c r="AX510" i="23916" s="1"/>
  <c r="GO667" i="23916"/>
  <c r="DB669" i="23916"/>
  <c r="BF218" i="23916"/>
  <c r="BN218" i="23916"/>
  <c r="GZ487" i="23916"/>
  <c r="GX531" i="23916"/>
  <c r="GY487" i="23916"/>
  <c r="DT622" i="23916"/>
  <c r="DS543" i="23916"/>
  <c r="DS18" i="23916"/>
  <c r="DT18" i="23916" s="1"/>
  <c r="DR543" i="23916"/>
  <c r="DQ544" i="23916"/>
  <c r="DR544" i="23916" s="1"/>
  <c r="DV568" i="23916"/>
  <c r="DU603" i="23916"/>
  <c r="DZ508" i="23916"/>
  <c r="DY510" i="23916"/>
  <c r="DZ510" i="23916" s="1"/>
  <c r="BU247" i="23916"/>
  <c r="BU246" i="23916"/>
  <c r="BU204" i="23916"/>
  <c r="BV199" i="23916"/>
  <c r="BB371" i="23916"/>
  <c r="BJ371" i="23916"/>
  <c r="DF607" i="23916"/>
  <c r="DF668" i="23916"/>
  <c r="DV508" i="23916"/>
  <c r="DU510" i="23916"/>
  <c r="DV510" i="23916" s="1"/>
  <c r="GI504" i="23916"/>
  <c r="GH506" i="23916"/>
  <c r="EP607" i="23916"/>
  <c r="EP668" i="23916"/>
  <c r="GZ552" i="23916"/>
  <c r="GY552" i="23916"/>
  <c r="GB622" i="23916"/>
  <c r="GB543" i="23916"/>
  <c r="BV510" i="23916"/>
  <c r="CY90" i="23916"/>
  <c r="CZ74" i="23916"/>
  <c r="CY123" i="23916"/>
  <c r="CY91" i="23916"/>
  <c r="BZ379" i="23916"/>
  <c r="BY380" i="23916"/>
  <c r="BZ380" i="23916" s="1"/>
  <c r="DL16" i="23916"/>
  <c r="DL622" i="23916"/>
  <c r="DK543" i="23916"/>
  <c r="DK544" i="23916" s="1"/>
  <c r="DK18" i="23916"/>
  <c r="DL18" i="23916" s="1"/>
  <c r="DS669" i="23916"/>
  <c r="DS668" i="23916"/>
  <c r="DS617" i="23916"/>
  <c r="DS568" i="23916"/>
  <c r="DT566" i="23916"/>
  <c r="DS607" i="23916"/>
  <c r="BB617" i="23916"/>
  <c r="GE34" i="23916"/>
  <c r="GF28" i="23916"/>
  <c r="GD37" i="23916"/>
  <c r="GE37" i="23916" s="1"/>
  <c r="BE357" i="23916"/>
  <c r="BC368" i="23916"/>
  <c r="BC364" i="23916"/>
  <c r="BD363" i="23916"/>
  <c r="BL363" i="23916"/>
  <c r="CZ506" i="23916"/>
  <c r="CY508" i="23916"/>
  <c r="EF622" i="23916"/>
  <c r="EE543" i="23916"/>
  <c r="EE18" i="23916"/>
  <c r="EF18" i="23916" s="1"/>
  <c r="BJ508" i="23916"/>
  <c r="BI510" i="23916"/>
  <c r="BE247" i="23916"/>
  <c r="BE246" i="23916"/>
  <c r="BE204" i="23916"/>
  <c r="BF199" i="23916"/>
  <c r="BN199" i="23916"/>
  <c r="BB508" i="23916"/>
  <c r="BA510" i="23916"/>
  <c r="GC504" i="23916"/>
  <c r="GB506" i="23916"/>
  <c r="GD799" i="23916"/>
  <c r="GD620" i="23916"/>
  <c r="GE620" i="23916" s="1"/>
  <c r="GE614" i="23916"/>
  <c r="GD16" i="23916"/>
  <c r="GE16" i="23916" s="1"/>
  <c r="GD589" i="23916"/>
  <c r="GE589" i="23916" s="1"/>
  <c r="GD721" i="23916"/>
  <c r="GU307" i="23916"/>
  <c r="GT309" i="23916"/>
  <c r="GF566" i="23916"/>
  <c r="GG553" i="23916"/>
  <c r="DO669" i="23916"/>
  <c r="DP669" i="23916" s="1"/>
  <c r="DO668" i="23916"/>
  <c r="DP668" i="23916" s="1"/>
  <c r="DO617" i="23916"/>
  <c r="DP617" i="23916" s="1"/>
  <c r="DO568" i="23916"/>
  <c r="DP566" i="23916"/>
  <c r="DO607" i="23916"/>
  <c r="DP607" i="23916" s="1"/>
  <c r="FU506" i="23916"/>
  <c r="CJ669" i="23916"/>
  <c r="BR508" i="23916"/>
  <c r="BQ510" i="23916"/>
  <c r="BR510" i="23916" s="1"/>
  <c r="BN607" i="23916"/>
  <c r="BN668" i="23916"/>
  <c r="FX799" i="23916"/>
  <c r="FY614" i="23916"/>
  <c r="FX620" i="23916"/>
  <c r="GA620" i="23916" s="1"/>
  <c r="FX589" i="23916"/>
  <c r="FX721" i="23916"/>
  <c r="EK603" i="23916"/>
  <c r="EJ506" i="23916"/>
  <c r="EI508" i="23916"/>
  <c r="ED607" i="23916"/>
  <c r="ED668" i="23916"/>
  <c r="CH669" i="23916"/>
  <c r="BJ607" i="23916"/>
  <c r="BJ668" i="23916"/>
  <c r="EB506" i="23916"/>
  <c r="EA508" i="23916"/>
  <c r="EN506" i="23916"/>
  <c r="EM508" i="23916"/>
  <c r="GH566" i="23916"/>
  <c r="GI553" i="23916"/>
  <c r="BP607" i="23916"/>
  <c r="EJ589" i="23916"/>
  <c r="CJ508" i="23916"/>
  <c r="CI510" i="23916"/>
  <c r="EF506" i="23916"/>
  <c r="EE508" i="23916"/>
  <c r="BD617" i="23916"/>
  <c r="CT617" i="23916"/>
  <c r="CV506" i="23916"/>
  <c r="CU508" i="23916"/>
  <c r="FS618" i="23916"/>
  <c r="FX544" i="23916"/>
  <c r="FZ508" i="23916"/>
  <c r="FS607" i="23916"/>
  <c r="FS669" i="23916"/>
  <c r="CH510" i="23916"/>
  <c r="FZ544" i="23916"/>
  <c r="BT669" i="23916"/>
  <c r="EI669" i="23916"/>
  <c r="EJ669" i="23916" s="1"/>
  <c r="EI668" i="23916"/>
  <c r="EJ668" i="23916" s="1"/>
  <c r="EI617" i="23916"/>
  <c r="EJ617" i="23916" s="1"/>
  <c r="EI568" i="23916"/>
  <c r="EJ566" i="23916"/>
  <c r="EI607" i="23916"/>
  <c r="EJ607" i="23916" s="1"/>
  <c r="DA568" i="23916"/>
  <c r="DA603" i="23916" s="1"/>
  <c r="FS620" i="23916"/>
  <c r="DC37" i="23916"/>
  <c r="DD37" i="23916" s="1"/>
  <c r="DE28" i="23916"/>
  <c r="DD34" i="23916"/>
  <c r="GY9" i="23916"/>
  <c r="GZ9" i="23916"/>
  <c r="DN568" i="23916"/>
  <c r="DM603" i="23916"/>
  <c r="DA155" i="23916"/>
  <c r="DB135" i="23916"/>
  <c r="DA153" i="23916"/>
  <c r="DA154" i="23916"/>
  <c r="DA184" i="23916"/>
  <c r="ED543" i="23916"/>
  <c r="EC544" i="23916"/>
  <c r="ED544" i="23916" s="1"/>
  <c r="FV669" i="23916"/>
  <c r="FW669" i="23916" s="1"/>
  <c r="FV668" i="23916"/>
  <c r="FW668" i="23916" s="1"/>
  <c r="FV617" i="23916"/>
  <c r="FW617" i="23916" s="1"/>
  <c r="FW566" i="23916"/>
  <c r="FV568" i="23916"/>
  <c r="FV603" i="23916" s="1"/>
  <c r="FV607" i="23916"/>
  <c r="FW607" i="23916" s="1"/>
  <c r="FY504" i="23916"/>
  <c r="FX506" i="23916"/>
  <c r="BB403" i="23916"/>
  <c r="BJ403" i="23916"/>
  <c r="BB379" i="23916"/>
  <c r="BA380" i="23916"/>
  <c r="BJ379" i="23916"/>
  <c r="EP543" i="23916"/>
  <c r="EO544" i="23916"/>
  <c r="EP544" i="23916" s="1"/>
  <c r="BH617" i="23916"/>
  <c r="FT617" i="23916"/>
  <c r="EO568" i="23916"/>
  <c r="EP669" i="23916"/>
  <c r="GJ799" i="23916"/>
  <c r="GJ620" i="23916"/>
  <c r="GK620" i="23916" s="1"/>
  <c r="GK614" i="23916"/>
  <c r="GJ589" i="23916"/>
  <c r="GK589" i="23916" s="1"/>
  <c r="GJ16" i="23916"/>
  <c r="GK16" i="23916" s="1"/>
  <c r="GJ721" i="23916"/>
  <c r="BV508" i="23916"/>
  <c r="EH543" i="23916"/>
  <c r="EG544" i="23916"/>
  <c r="EH544" i="23916" s="1"/>
  <c r="DL589" i="23916"/>
  <c r="BP510" i="23916"/>
  <c r="EN622" i="23916"/>
  <c r="EM543" i="23916"/>
  <c r="EM18" i="23916"/>
  <c r="EN18" i="23916" s="1"/>
  <c r="BB607" i="23916"/>
  <c r="BB668" i="23916"/>
  <c r="GD73" i="23916"/>
  <c r="GD74" i="23916" s="1"/>
  <c r="GE68" i="23916"/>
  <c r="FW504" i="23916"/>
  <c r="FV506" i="23916"/>
  <c r="BD369" i="23916"/>
  <c r="BL369" i="23916"/>
  <c r="AR508" i="23916"/>
  <c r="AQ510" i="23916"/>
  <c r="AR510" i="23916" s="1"/>
  <c r="GM504" i="23916"/>
  <c r="GL506" i="23916"/>
  <c r="BF195" i="23916"/>
  <c r="BE228" i="23916"/>
  <c r="BE197" i="23916"/>
  <c r="BE200" i="23916" s="1"/>
  <c r="BN200" i="23916" s="1"/>
  <c r="BN195" i="23916"/>
  <c r="GF135" i="23916"/>
  <c r="FS380" i="23916"/>
  <c r="FU380" i="23916"/>
  <c r="BP669" i="23916"/>
  <c r="GW308" i="23916"/>
  <c r="GX308" i="23916"/>
  <c r="GV307" i="23916"/>
  <c r="GF799" i="23916"/>
  <c r="GF620" i="23916"/>
  <c r="GG620" i="23916" s="1"/>
  <c r="GG614" i="23916"/>
  <c r="GF16" i="23916"/>
  <c r="GG16" i="23916" s="1"/>
  <c r="GF589" i="23916"/>
  <c r="GG589" i="23916" s="1"/>
  <c r="GF721" i="23916"/>
  <c r="GO504" i="23916"/>
  <c r="GN506" i="23916"/>
  <c r="DH622" i="23916"/>
  <c r="DG543" i="23916"/>
  <c r="DG544" i="23916" s="1"/>
  <c r="DG18" i="23916"/>
  <c r="DH18" i="23916" s="1"/>
  <c r="EB620" i="23916"/>
  <c r="BZ617" i="23916"/>
  <c r="DK669" i="23916"/>
  <c r="DL669" i="23916" s="1"/>
  <c r="DK668" i="23916"/>
  <c r="DL668" i="23916" s="1"/>
  <c r="DK617" i="23916"/>
  <c r="DL617" i="23916" s="1"/>
  <c r="DK568" i="23916"/>
  <c r="DK603" i="23916" s="1"/>
  <c r="DL566" i="23916"/>
  <c r="DK607" i="23916"/>
  <c r="DL607" i="23916" s="1"/>
  <c r="BL508" i="23916"/>
  <c r="BK510" i="23916"/>
  <c r="BT508" i="23916"/>
  <c r="FV799" i="23916"/>
  <c r="FV620" i="23916"/>
  <c r="FW620" i="23916" s="1"/>
  <c r="FW614" i="23916"/>
  <c r="FV589" i="23916"/>
  <c r="FW589" i="23916" s="1"/>
  <c r="FV721" i="23916"/>
  <c r="BN669" i="23916"/>
  <c r="CC568" i="23916"/>
  <c r="CC603" i="23916" s="1"/>
  <c r="DQ568" i="23916"/>
  <c r="CN510" i="23916"/>
  <c r="EE669" i="23916"/>
  <c r="EF669" i="23916" s="1"/>
  <c r="EE668" i="23916"/>
  <c r="EF668" i="23916" s="1"/>
  <c r="EE617" i="23916"/>
  <c r="EF617" i="23916" s="1"/>
  <c r="EE568" i="23916"/>
  <c r="EF566" i="23916"/>
  <c r="EE607" i="23916"/>
  <c r="EF607" i="23916" s="1"/>
  <c r="EC568" i="23916"/>
  <c r="ED669" i="23916"/>
  <c r="CF617" i="23916"/>
  <c r="BI568" i="23916"/>
  <c r="BI603" i="23916" s="1"/>
  <c r="BJ669" i="23916"/>
  <c r="CV622" i="23916"/>
  <c r="CU543" i="23916"/>
  <c r="CU544" i="23916" s="1"/>
  <c r="GD544" i="23916" s="1"/>
  <c r="CU18" i="23916"/>
  <c r="CV18" i="23916" s="1"/>
  <c r="DB508" i="23916"/>
  <c r="DA510" i="23916"/>
  <c r="DB510" i="23916" s="1"/>
  <c r="EJ620" i="23916"/>
  <c r="BB280" i="23916"/>
  <c r="BJ280" i="23916"/>
  <c r="DI568" i="23916"/>
  <c r="DI603" i="23916" s="1"/>
  <c r="EH508" i="23916"/>
  <c r="EG510" i="23916"/>
  <c r="EH510" i="23916" s="1"/>
  <c r="CT607" i="23916"/>
  <c r="CT668" i="23916"/>
  <c r="BX508" i="23916"/>
  <c r="BW510" i="23916"/>
  <c r="BX510" i="23916" s="1"/>
  <c r="GA504" i="23916"/>
  <c r="GL799" i="23916"/>
  <c r="GL620" i="23916"/>
  <c r="GM620" i="23916" s="1"/>
  <c r="GM614" i="23916"/>
  <c r="GL16" i="23916"/>
  <c r="GM16" i="23916" s="1"/>
  <c r="GL589" i="23916"/>
  <c r="GL721" i="23916"/>
  <c r="CH668" i="23916"/>
  <c r="CX508" i="23916"/>
  <c r="CW510" i="23916"/>
  <c r="CX510" i="23916" s="1"/>
  <c r="GE504" i="23916"/>
  <c r="GD506" i="23916"/>
  <c r="FR617" i="23916"/>
  <c r="FS617" i="23916" s="1"/>
  <c r="GR311" i="23916"/>
  <c r="GS309" i="23916"/>
  <c r="GR315" i="23916"/>
  <c r="GS315" i="23916" s="1"/>
  <c r="CB508" i="23916"/>
  <c r="CA510" i="23916"/>
  <c r="CB510" i="23916" s="1"/>
  <c r="GG504" i="23916"/>
  <c r="GF506" i="23916"/>
  <c r="GN566" i="23916"/>
  <c r="GO553" i="23916"/>
  <c r="GA553" i="23916"/>
  <c r="DB617" i="23916"/>
  <c r="BF214" i="23916"/>
  <c r="BE229" i="23916"/>
  <c r="BE216" i="23916"/>
  <c r="BN214" i="23916"/>
  <c r="AR617" i="23916"/>
  <c r="FP617" i="23916"/>
  <c r="FQ617" i="23916" s="1"/>
  <c r="DC35" i="23916"/>
  <c r="EL18" i="23916"/>
  <c r="GG56" i="23916" l="1"/>
  <c r="GF93" i="23916"/>
  <c r="GG93" i="23916" s="1"/>
  <c r="GE74" i="23916"/>
  <c r="GD91" i="23916"/>
  <c r="GD90" i="23916"/>
  <c r="GD123" i="23916"/>
  <c r="BF229" i="23916"/>
  <c r="BN229" i="23916"/>
  <c r="GR524" i="23916"/>
  <c r="GS311" i="23916"/>
  <c r="GM589" i="23916"/>
  <c r="EF568" i="23916"/>
  <c r="EE603" i="23916"/>
  <c r="GZ308" i="23916"/>
  <c r="GY308" i="23916"/>
  <c r="GX307" i="23916"/>
  <c r="BE230" i="23916"/>
  <c r="BF228" i="23916"/>
  <c r="BN228" i="23916"/>
  <c r="FW506" i="23916"/>
  <c r="FV508" i="23916"/>
  <c r="EN543" i="23916"/>
  <c r="EM544" i="23916"/>
  <c r="BB380" i="23916"/>
  <c r="BJ380" i="23916"/>
  <c r="FY506" i="23916"/>
  <c r="FX508" i="23916"/>
  <c r="DE44" i="23916"/>
  <c r="DE45" i="23916" s="1"/>
  <c r="DE34" i="23916"/>
  <c r="DF28" i="23916"/>
  <c r="DE41" i="23916"/>
  <c r="DE42" i="23916"/>
  <c r="DE43" i="23916"/>
  <c r="GA506" i="23916"/>
  <c r="EJ508" i="23916"/>
  <c r="EI510" i="23916"/>
  <c r="BE248" i="23916"/>
  <c r="BF246" i="23916"/>
  <c r="BN246" i="23916"/>
  <c r="FR246" i="23916"/>
  <c r="BD368" i="23916"/>
  <c r="BL368" i="23916"/>
  <c r="DT568" i="23916"/>
  <c r="DS603" i="23916"/>
  <c r="GB18" i="23916"/>
  <c r="GC18" i="23916" s="1"/>
  <c r="BV247" i="23916"/>
  <c r="FV247" i="23916"/>
  <c r="FW247" i="23916" s="1"/>
  <c r="DT543" i="23916"/>
  <c r="DS544" i="23916"/>
  <c r="DA79" i="23916"/>
  <c r="DB79" i="23916" s="1"/>
  <c r="DB73" i="23916"/>
  <c r="DA76" i="23916"/>
  <c r="DB76" i="23916" s="1"/>
  <c r="DG568" i="23916"/>
  <c r="DG603" i="23916" s="1"/>
  <c r="EJ543" i="23916"/>
  <c r="EI544" i="23916"/>
  <c r="EP510" i="23916"/>
  <c r="EN617" i="23916"/>
  <c r="BW223" i="23916"/>
  <c r="BW224" i="23916"/>
  <c r="BW225" i="23916" s="1"/>
  <c r="BW214" i="23916"/>
  <c r="BW218" i="23916" s="1"/>
  <c r="BX218" i="23916" s="1"/>
  <c r="BX208" i="23916"/>
  <c r="BV216" i="23916"/>
  <c r="BU219" i="23916"/>
  <c r="GD669" i="23916"/>
  <c r="GD668" i="23916"/>
  <c r="GD617" i="23916"/>
  <c r="GE566" i="23916"/>
  <c r="GD607" i="23916"/>
  <c r="DD617" i="23916"/>
  <c r="BD510" i="23916"/>
  <c r="CY568" i="23916"/>
  <c r="CY603" i="23916" s="1"/>
  <c r="CR510" i="23916"/>
  <c r="BG717" i="23916"/>
  <c r="BH510" i="23916"/>
  <c r="DC62" i="23916"/>
  <c r="DD49" i="23916"/>
  <c r="DC64" i="23916"/>
  <c r="DC65" i="23916"/>
  <c r="DC55" i="23916"/>
  <c r="DC63" i="23916"/>
  <c r="DC68" i="23916"/>
  <c r="EB617" i="23916"/>
  <c r="EB543" i="23916"/>
  <c r="EA544" i="23916"/>
  <c r="DE129" i="23916"/>
  <c r="DD134" i="23916"/>
  <c r="GN669" i="23916"/>
  <c r="GN668" i="23916"/>
  <c r="GN617" i="23916"/>
  <c r="GO566" i="23916"/>
  <c r="GN607" i="23916"/>
  <c r="ED568" i="23916"/>
  <c r="EC603" i="23916"/>
  <c r="DR568" i="23916"/>
  <c r="DQ603" i="23916"/>
  <c r="GG135" i="23916"/>
  <c r="GF154" i="23916"/>
  <c r="GF155" i="23916"/>
  <c r="GG155" i="23916" s="1"/>
  <c r="GF153" i="23916"/>
  <c r="GG153" i="23916" s="1"/>
  <c r="GF184" i="23916"/>
  <c r="GG184" i="23916" s="1"/>
  <c r="FX622" i="23916"/>
  <c r="FY622" i="23916" s="1"/>
  <c r="FX543" i="23916"/>
  <c r="CJ510" i="23916"/>
  <c r="EB508" i="23916"/>
  <c r="EA510" i="23916"/>
  <c r="FY589" i="23916"/>
  <c r="DP568" i="23916"/>
  <c r="DO603" i="23916"/>
  <c r="GA589" i="23916"/>
  <c r="GT311" i="23916"/>
  <c r="GU309" i="23916"/>
  <c r="GT315" i="23916"/>
  <c r="GU315" i="23916" s="1"/>
  <c r="GC506" i="23916"/>
  <c r="GB508" i="23916"/>
  <c r="BF247" i="23916"/>
  <c r="BN247" i="23916"/>
  <c r="FR247" i="23916"/>
  <c r="EF543" i="23916"/>
  <c r="EE544" i="23916"/>
  <c r="EF544" i="23916" s="1"/>
  <c r="BE363" i="23916"/>
  <c r="BF357" i="23916"/>
  <c r="BE369" i="23916"/>
  <c r="BE370" i="23916"/>
  <c r="BN357" i="23916"/>
  <c r="DT617" i="23916"/>
  <c r="GI506" i="23916"/>
  <c r="GH508" i="23916"/>
  <c r="CU568" i="23916"/>
  <c r="CU603" i="23916" s="1"/>
  <c r="GL669" i="23916"/>
  <c r="GL668" i="23916"/>
  <c r="GL617" i="23916"/>
  <c r="GM566" i="23916"/>
  <c r="GL607" i="23916"/>
  <c r="DA90" i="23916"/>
  <c r="DB74" i="23916"/>
  <c r="DA91" i="23916"/>
  <c r="DA123" i="23916"/>
  <c r="EN607" i="23916"/>
  <c r="EN668" i="23916"/>
  <c r="FV216" i="23916"/>
  <c r="FV219" i="23916" s="1"/>
  <c r="FX208" i="23916"/>
  <c r="FW214" i="23916"/>
  <c r="FV218" i="23916"/>
  <c r="FW218" i="23916" s="1"/>
  <c r="ED510" i="23916"/>
  <c r="DZ544" i="23916"/>
  <c r="DD607" i="23916"/>
  <c r="DD668" i="23916"/>
  <c r="GO16" i="23916"/>
  <c r="EB607" i="23916"/>
  <c r="EB668" i="23916"/>
  <c r="DD508" i="23916"/>
  <c r="DC510" i="23916"/>
  <c r="GI620" i="23916"/>
  <c r="DP508" i="23916"/>
  <c r="DO510" i="23916"/>
  <c r="BE717" i="23916"/>
  <c r="BF510" i="23916"/>
  <c r="FQ508" i="23916"/>
  <c r="FP510" i="23916"/>
  <c r="FQ510" i="23916" s="1"/>
  <c r="DC155" i="23916"/>
  <c r="DC153" i="23916"/>
  <c r="DD135" i="23916"/>
  <c r="DC154" i="23916"/>
  <c r="DC184" i="23916"/>
  <c r="DJ510" i="23916"/>
  <c r="FV228" i="23916"/>
  <c r="BU230" i="23916"/>
  <c r="BV228" i="23916"/>
  <c r="BM717" i="23916"/>
  <c r="BN510" i="23916"/>
  <c r="DZ568" i="23916"/>
  <c r="GG506" i="23916"/>
  <c r="GF508" i="23916"/>
  <c r="GE506" i="23916"/>
  <c r="GD508" i="23916"/>
  <c r="BK717" i="23916"/>
  <c r="BL510" i="23916"/>
  <c r="BT510" i="23916"/>
  <c r="GM506" i="23916"/>
  <c r="GL508" i="23916"/>
  <c r="EP568" i="23916"/>
  <c r="EO603" i="23916"/>
  <c r="EJ568" i="23916"/>
  <c r="EI603" i="23916"/>
  <c r="GH669" i="23916"/>
  <c r="GH668" i="23916"/>
  <c r="GI668" i="23916" s="1"/>
  <c r="GH617" i="23916"/>
  <c r="GI566" i="23916"/>
  <c r="GH607" i="23916"/>
  <c r="GI607" i="23916" s="1"/>
  <c r="FY620" i="23916"/>
  <c r="BI717" i="23916"/>
  <c r="BJ510" i="23916"/>
  <c r="DT607" i="23916"/>
  <c r="DT668" i="23916"/>
  <c r="DL508" i="23916"/>
  <c r="DK510" i="23916"/>
  <c r="GK506" i="23916"/>
  <c r="GJ508" i="23916"/>
  <c r="EN669" i="23916"/>
  <c r="FT717" i="23916"/>
  <c r="FV229" i="23916"/>
  <c r="FW229" i="23916" s="1"/>
  <c r="BV229" i="23916"/>
  <c r="DD669" i="23916"/>
  <c r="GJ669" i="23916"/>
  <c r="GK669" i="23916" s="1"/>
  <c r="GJ668" i="23916"/>
  <c r="GK668" i="23916" s="1"/>
  <c r="GJ617" i="23916"/>
  <c r="GK617" i="23916" s="1"/>
  <c r="GK566" i="23916"/>
  <c r="GJ607" i="23916"/>
  <c r="GK607" i="23916" s="1"/>
  <c r="DD18" i="23916"/>
  <c r="EL544" i="23916"/>
  <c r="GO589" i="23916"/>
  <c r="BC244" i="23916"/>
  <c r="BD232" i="23916"/>
  <c r="BC245" i="23916"/>
  <c r="BC280" i="23916"/>
  <c r="BL232" i="23916"/>
  <c r="EB669" i="23916"/>
  <c r="GI589" i="23916"/>
  <c r="GF58" i="23916"/>
  <c r="GG58" i="23916" s="1"/>
  <c r="GH49" i="23916"/>
  <c r="GG55" i="23916"/>
  <c r="DP18" i="23916"/>
  <c r="DX18" i="23916"/>
  <c r="DD35" i="23916"/>
  <c r="DC92" i="23916"/>
  <c r="BN216" i="23916"/>
  <c r="BE219" i="23916"/>
  <c r="BN219" i="23916" s="1"/>
  <c r="GD622" i="23916"/>
  <c r="GD543" i="23916"/>
  <c r="GD568" i="23916" s="1"/>
  <c r="GD603" i="23916" s="1"/>
  <c r="GO506" i="23916"/>
  <c r="GN508" i="23916"/>
  <c r="GW307" i="23916"/>
  <c r="GV309" i="23916"/>
  <c r="GD79" i="23916"/>
  <c r="GE79" i="23916" s="1"/>
  <c r="GE73" i="23916"/>
  <c r="GD76" i="23916"/>
  <c r="GE76" i="23916" s="1"/>
  <c r="FU617" i="23916"/>
  <c r="DA156" i="23916"/>
  <c r="FZ622" i="23916"/>
  <c r="GA622" i="23916" s="1"/>
  <c r="FZ543" i="23916"/>
  <c r="FZ568" i="23916" s="1"/>
  <c r="FZ603" i="23916" s="1"/>
  <c r="GA508" i="23916"/>
  <c r="FZ510" i="23916"/>
  <c r="CV508" i="23916"/>
  <c r="CU510" i="23916"/>
  <c r="CV510" i="23916" s="1"/>
  <c r="EF508" i="23916"/>
  <c r="EE510" i="23916"/>
  <c r="EF510" i="23916" s="1"/>
  <c r="EN508" i="23916"/>
  <c r="EM510" i="23916"/>
  <c r="EL568" i="23916"/>
  <c r="GF669" i="23916"/>
  <c r="GG669" i="23916" s="1"/>
  <c r="GF668" i="23916"/>
  <c r="GG668" i="23916" s="1"/>
  <c r="GF617" i="23916"/>
  <c r="GG617" i="23916" s="1"/>
  <c r="GG566" i="23916"/>
  <c r="GF607" i="23916"/>
  <c r="GG607" i="23916" s="1"/>
  <c r="BA717" i="23916"/>
  <c r="BB510" i="23916"/>
  <c r="CZ508" i="23916"/>
  <c r="CY510" i="23916"/>
  <c r="CZ510" i="23916" s="1"/>
  <c r="BC381" i="23916"/>
  <c r="BC379" i="23916"/>
  <c r="BD364" i="23916"/>
  <c r="BC382" i="23916"/>
  <c r="BC371" i="23916"/>
  <c r="BC402" i="23916"/>
  <c r="BC403" i="23916"/>
  <c r="BL364" i="23916"/>
  <c r="GF68" i="23916"/>
  <c r="GF34" i="23916"/>
  <c r="GF35" i="23916"/>
  <c r="GG28" i="23916"/>
  <c r="GF42" i="23916"/>
  <c r="GG42" i="23916" s="1"/>
  <c r="GF41" i="23916"/>
  <c r="GG41" i="23916" s="1"/>
  <c r="GF44" i="23916"/>
  <c r="GG44" i="23916" s="1"/>
  <c r="GF43" i="23916"/>
  <c r="GG43" i="23916" s="1"/>
  <c r="DT669" i="23916"/>
  <c r="BU248" i="23916"/>
  <c r="BV248" i="23916" s="1"/>
  <c r="BV246" i="23916"/>
  <c r="FV246" i="23916"/>
  <c r="GY531" i="23916"/>
  <c r="GZ531" i="23916"/>
  <c r="CF510" i="23916"/>
  <c r="FX669" i="23916"/>
  <c r="FY669" i="23916" s="1"/>
  <c r="FX668" i="23916"/>
  <c r="FY668" i="23916" s="1"/>
  <c r="FX617" i="23916"/>
  <c r="FY617" i="23916" s="1"/>
  <c r="FY566" i="23916"/>
  <c r="FX568" i="23916"/>
  <c r="FX603" i="23916" s="1"/>
  <c r="FX607" i="23916"/>
  <c r="FY607" i="23916" s="1"/>
  <c r="EM568" i="23916"/>
  <c r="FS508" i="23916"/>
  <c r="FR510" i="23916"/>
  <c r="FS510" i="23916" s="1"/>
  <c r="GH135" i="23916"/>
  <c r="GI129" i="23916"/>
  <c r="GH134" i="23916"/>
  <c r="GH139" i="23916"/>
  <c r="GI139" i="23916" s="1"/>
  <c r="GH140" i="23916"/>
  <c r="GI140" i="23916" s="1"/>
  <c r="GH141" i="23916"/>
  <c r="GI141" i="23916" s="1"/>
  <c r="BS244" i="23916"/>
  <c r="BT244" i="23916" s="1"/>
  <c r="BT232" i="23916"/>
  <c r="BS245" i="23916"/>
  <c r="BT245" i="23916" s="1"/>
  <c r="BS280" i="23916"/>
  <c r="BT280" i="23916" s="1"/>
  <c r="DF510" i="23916"/>
  <c r="GF544" i="23916"/>
  <c r="GA566" i="23916"/>
  <c r="GA669" i="23916"/>
  <c r="GO620" i="23916"/>
  <c r="GB669" i="23916"/>
  <c r="GC669" i="23916" s="1"/>
  <c r="GB668" i="23916"/>
  <c r="GC668" i="23916" s="1"/>
  <c r="GB617" i="23916"/>
  <c r="GC617" i="23916" s="1"/>
  <c r="GC566" i="23916"/>
  <c r="GB568" i="23916"/>
  <c r="GB603" i="23916" s="1"/>
  <c r="GB607" i="23916"/>
  <c r="GC607" i="23916" s="1"/>
  <c r="BZ510" i="23916"/>
  <c r="EB568" i="23916"/>
  <c r="EA603" i="23916"/>
  <c r="GI16" i="23916"/>
  <c r="DT508" i="23916"/>
  <c r="DS510" i="23916"/>
  <c r="DT510" i="23916" s="1"/>
  <c r="EB18" i="23916"/>
  <c r="AZ510" i="23916"/>
  <c r="DP543" i="23916"/>
  <c r="DO544" i="23916"/>
  <c r="DP544" i="23916" s="1"/>
  <c r="FT622" i="23916"/>
  <c r="FU622" i="23916" s="1"/>
  <c r="FT543" i="23916"/>
  <c r="FT568" i="23916" s="1"/>
  <c r="FT603" i="23916" s="1"/>
  <c r="DH508" i="23916"/>
  <c r="DG510" i="23916"/>
  <c r="DH510" i="23916" s="1"/>
  <c r="BW195" i="23916"/>
  <c r="BW199" i="23916"/>
  <c r="BW205" i="23916"/>
  <c r="BX189" i="23916"/>
  <c r="FW622" i="23916"/>
  <c r="GI134" i="23916" l="1"/>
  <c r="GJ129" i="23916"/>
  <c r="FV248" i="23916"/>
  <c r="FW248" i="23916" s="1"/>
  <c r="FW246" i="23916"/>
  <c r="BD382" i="23916"/>
  <c r="BL382" i="23916"/>
  <c r="GE622" i="23916"/>
  <c r="GD18" i="23916"/>
  <c r="GE18" i="23916" s="1"/>
  <c r="GI49" i="23916"/>
  <c r="GH55" i="23916"/>
  <c r="GH62" i="23916"/>
  <c r="GI62" i="23916" s="1"/>
  <c r="GH65" i="23916"/>
  <c r="GI65" i="23916" s="1"/>
  <c r="GH64" i="23916"/>
  <c r="GI64" i="23916" s="1"/>
  <c r="GH63" i="23916"/>
  <c r="GI63" i="23916" s="1"/>
  <c r="BD244" i="23916"/>
  <c r="BL244" i="23916"/>
  <c r="DL510" i="23916"/>
  <c r="GI669" i="23916"/>
  <c r="GG508" i="23916"/>
  <c r="GF510" i="23916"/>
  <c r="GM617" i="23916"/>
  <c r="GI508" i="23916"/>
  <c r="GH510" i="23916"/>
  <c r="BN363" i="23916"/>
  <c r="BF363" i="23916"/>
  <c r="BE368" i="23916"/>
  <c r="BE364" i="23916"/>
  <c r="GO617" i="23916"/>
  <c r="DE140" i="23916"/>
  <c r="DF129" i="23916"/>
  <c r="DE139" i="23916"/>
  <c r="DE141" i="23916"/>
  <c r="DE142" i="23916" s="1"/>
  <c r="DE134" i="23916"/>
  <c r="DE135" i="23916"/>
  <c r="DC73" i="23916"/>
  <c r="DC74" i="23916" s="1"/>
  <c r="DD68" i="23916"/>
  <c r="BV219" i="23916"/>
  <c r="BU233" i="23916"/>
  <c r="BV233" i="23916" s="1"/>
  <c r="GJ544" i="23916"/>
  <c r="DT544" i="23916"/>
  <c r="GZ307" i="23916"/>
  <c r="GY307" i="23916"/>
  <c r="GX309" i="23916"/>
  <c r="BW204" i="23916"/>
  <c r="BX199" i="23916"/>
  <c r="BW247" i="23916"/>
  <c r="BW246" i="23916"/>
  <c r="EN568" i="23916"/>
  <c r="EM603" i="23916"/>
  <c r="GF92" i="23916"/>
  <c r="GG92" i="23916" s="1"/>
  <c r="GG35" i="23916"/>
  <c r="BD403" i="23916"/>
  <c r="BL403" i="23916"/>
  <c r="GA510" i="23916"/>
  <c r="GO508" i="23916"/>
  <c r="GN510" i="23916"/>
  <c r="BD280" i="23916"/>
  <c r="BL280" i="23916"/>
  <c r="GM508" i="23916"/>
  <c r="GL510" i="23916"/>
  <c r="DD510" i="23916"/>
  <c r="FY208" i="23916"/>
  <c r="FX223" i="23916"/>
  <c r="FX224" i="23916"/>
  <c r="GM607" i="23916"/>
  <c r="GM668" i="23916"/>
  <c r="BF370" i="23916"/>
  <c r="BN370" i="23916"/>
  <c r="GO607" i="23916"/>
  <c r="GO668" i="23916"/>
  <c r="GL544" i="23916"/>
  <c r="EB544" i="23916"/>
  <c r="GE617" i="23916"/>
  <c r="GC622" i="23916"/>
  <c r="BF248" i="23916"/>
  <c r="BN248" i="23916"/>
  <c r="FY508" i="23916"/>
  <c r="FX510" i="23916"/>
  <c r="EN544" i="23916"/>
  <c r="GI135" i="23916"/>
  <c r="GH154" i="23916"/>
  <c r="GH153" i="23916"/>
  <c r="GI153" i="23916" s="1"/>
  <c r="GH155" i="23916"/>
  <c r="GI155" i="23916" s="1"/>
  <c r="GH184" i="23916"/>
  <c r="GI184" i="23916" s="1"/>
  <c r="GF37" i="23916"/>
  <c r="GG37" i="23916" s="1"/>
  <c r="GH28" i="23916"/>
  <c r="GG34" i="23916"/>
  <c r="BD402" i="23916"/>
  <c r="BL402" i="23916"/>
  <c r="BC380" i="23916"/>
  <c r="BD379" i="23916"/>
  <c r="BL379" i="23916"/>
  <c r="BD245" i="23916"/>
  <c r="BL245" i="23916"/>
  <c r="GA668" i="23916"/>
  <c r="GK508" i="23916"/>
  <c r="GJ510" i="23916"/>
  <c r="GK510" i="23916" s="1"/>
  <c r="GI617" i="23916"/>
  <c r="GE508" i="23916"/>
  <c r="GD510" i="23916"/>
  <c r="BV230" i="23916"/>
  <c r="BU232" i="23916"/>
  <c r="DC156" i="23916"/>
  <c r="DP510" i="23916"/>
  <c r="GA617" i="23916"/>
  <c r="FV233" i="23916"/>
  <c r="FW233" i="23916" s="1"/>
  <c r="FW219" i="23916"/>
  <c r="GM669" i="23916"/>
  <c r="GH544" i="23916"/>
  <c r="BF369" i="23916"/>
  <c r="BN369" i="23916"/>
  <c r="GC508" i="23916"/>
  <c r="GB510" i="23916"/>
  <c r="GC510" i="23916" s="1"/>
  <c r="GT524" i="23916"/>
  <c r="GU311" i="23916"/>
  <c r="GO669" i="23916"/>
  <c r="DD55" i="23916"/>
  <c r="DC58" i="23916"/>
  <c r="DD58" i="23916" s="1"/>
  <c r="DE49" i="23916"/>
  <c r="DC56" i="23916"/>
  <c r="GE607" i="23916"/>
  <c r="GE668" i="23916"/>
  <c r="GN544" i="23916"/>
  <c r="EJ544" i="23916"/>
  <c r="FR248" i="23916"/>
  <c r="FS246" i="23916"/>
  <c r="FU246" i="23916"/>
  <c r="EJ510" i="23916"/>
  <c r="DF34" i="23916"/>
  <c r="DE37" i="23916"/>
  <c r="DF37" i="23916" s="1"/>
  <c r="DG28" i="23916"/>
  <c r="BW228" i="23916"/>
  <c r="BX195" i="23916"/>
  <c r="BW197" i="23916"/>
  <c r="BW200" i="23916" s="1"/>
  <c r="BX200" i="23916" s="1"/>
  <c r="BY189" i="23916"/>
  <c r="GF622" i="23916"/>
  <c r="GG544" i="23916"/>
  <c r="GF543" i="23916"/>
  <c r="GF73" i="23916"/>
  <c r="GG68" i="23916"/>
  <c r="GF74" i="23916"/>
  <c r="BD371" i="23916"/>
  <c r="BL371" i="23916"/>
  <c r="BD381" i="23916"/>
  <c r="BL381" i="23916"/>
  <c r="EN510" i="23916"/>
  <c r="GV311" i="23916"/>
  <c r="GW309" i="23916"/>
  <c r="GV315" i="23916"/>
  <c r="GW315" i="23916" s="1"/>
  <c r="GA607" i="23916"/>
  <c r="FU510" i="23916"/>
  <c r="FV230" i="23916"/>
  <c r="FW228" i="23916"/>
  <c r="FS247" i="23916"/>
  <c r="FU247" i="23916"/>
  <c r="EB510" i="23916"/>
  <c r="GG154" i="23916"/>
  <c r="GF156" i="23916"/>
  <c r="GG156" i="23916" s="1"/>
  <c r="GE669" i="23916"/>
  <c r="BW229" i="23916"/>
  <c r="BX229" i="23916" s="1"/>
  <c r="BX214" i="23916"/>
  <c r="BY208" i="23916"/>
  <c r="BW216" i="23916"/>
  <c r="DE35" i="23916"/>
  <c r="FW508" i="23916"/>
  <c r="FV510" i="23916"/>
  <c r="FW510" i="23916" s="1"/>
  <c r="BF230" i="23916"/>
  <c r="BN230" i="23916"/>
  <c r="BE232" i="23916"/>
  <c r="GS524" i="23916"/>
  <c r="DC90" i="23916" l="1"/>
  <c r="DD74" i="23916"/>
  <c r="DC91" i="23916"/>
  <c r="DC123" i="23916"/>
  <c r="BX216" i="23916"/>
  <c r="BW219" i="23916"/>
  <c r="GV524" i="23916"/>
  <c r="GW311" i="23916"/>
  <c r="GF76" i="23916"/>
  <c r="GG76" i="23916" s="1"/>
  <c r="GF79" i="23916"/>
  <c r="GG79" i="23916" s="1"/>
  <c r="GG73" i="23916"/>
  <c r="BY205" i="23916"/>
  <c r="BZ189" i="23916"/>
  <c r="BY199" i="23916"/>
  <c r="BY195" i="23916"/>
  <c r="DG43" i="23916"/>
  <c r="DG42" i="23916"/>
  <c r="DG44" i="23916"/>
  <c r="DG45" i="23916" s="1"/>
  <c r="DG34" i="23916"/>
  <c r="DG35" i="23916" s="1"/>
  <c r="DH28" i="23916"/>
  <c r="DG41" i="23916"/>
  <c r="GN622" i="23916"/>
  <c r="GO544" i="23916"/>
  <c r="GN543" i="23916"/>
  <c r="DE55" i="23916"/>
  <c r="DE62" i="23916"/>
  <c r="DE64" i="23916"/>
  <c r="DE56" i="23916"/>
  <c r="DF49" i="23916"/>
  <c r="DE65" i="23916"/>
  <c r="DE63" i="23916"/>
  <c r="DE68" i="23916"/>
  <c r="GE510" i="23916"/>
  <c r="BF364" i="23916"/>
  <c r="BE382" i="23916"/>
  <c r="BE381" i="23916"/>
  <c r="BE379" i="23916"/>
  <c r="BE371" i="23916"/>
  <c r="BE402" i="23916"/>
  <c r="BN364" i="23916"/>
  <c r="BE403" i="23916"/>
  <c r="GI510" i="23916"/>
  <c r="BY224" i="23916"/>
  <c r="BY225" i="23916" s="1"/>
  <c r="BZ208" i="23916"/>
  <c r="BY223" i="23916"/>
  <c r="BY218" i="23916"/>
  <c r="BZ218" i="23916" s="1"/>
  <c r="BY214" i="23916"/>
  <c r="GG543" i="23916"/>
  <c r="GF568" i="23916"/>
  <c r="GU524" i="23916"/>
  <c r="BV232" i="23916"/>
  <c r="BU244" i="23916"/>
  <c r="BV244" i="23916" s="1"/>
  <c r="BU245" i="23916"/>
  <c r="BV245" i="23916" s="1"/>
  <c r="BU280" i="23916"/>
  <c r="BV280" i="23916" s="1"/>
  <c r="GL622" i="23916"/>
  <c r="GL543" i="23916"/>
  <c r="GM544" i="23916"/>
  <c r="GM510" i="23916"/>
  <c r="GO510" i="23916"/>
  <c r="DE155" i="23916"/>
  <c r="DF135" i="23916"/>
  <c r="DE153" i="23916"/>
  <c r="DE154" i="23916"/>
  <c r="DE184" i="23916"/>
  <c r="BF368" i="23916"/>
  <c r="BN368" i="23916"/>
  <c r="GI55" i="23916"/>
  <c r="GH58" i="23916"/>
  <c r="GI58" i="23916" s="1"/>
  <c r="GJ49" i="23916"/>
  <c r="BF232" i="23916"/>
  <c r="BE244" i="23916"/>
  <c r="BE245" i="23916"/>
  <c r="BE280" i="23916"/>
  <c r="BN232" i="23916"/>
  <c r="GG74" i="23916"/>
  <c r="GF90" i="23916"/>
  <c r="GG90" i="23916" s="1"/>
  <c r="GF91" i="23916"/>
  <c r="GG91" i="23916" s="1"/>
  <c r="GF123" i="23916"/>
  <c r="GG123" i="23916" s="1"/>
  <c r="FS248" i="23916"/>
  <c r="FU248" i="23916"/>
  <c r="GH622" i="23916"/>
  <c r="GH543" i="23916"/>
  <c r="GI544" i="23916"/>
  <c r="BD380" i="23916"/>
  <c r="BL380" i="23916"/>
  <c r="GI28" i="23916"/>
  <c r="GH41" i="23916"/>
  <c r="GI41" i="23916" s="1"/>
  <c r="GH68" i="23916"/>
  <c r="GH34" i="23916"/>
  <c r="GH35" i="23916" s="1"/>
  <c r="GH44" i="23916"/>
  <c r="GI44" i="23916" s="1"/>
  <c r="GH42" i="23916"/>
  <c r="GI42" i="23916" s="1"/>
  <c r="GH43" i="23916"/>
  <c r="GI43" i="23916" s="1"/>
  <c r="FY510" i="23916"/>
  <c r="BX246" i="23916"/>
  <c r="BW248" i="23916"/>
  <c r="BX248" i="23916" s="1"/>
  <c r="DG129" i="23916"/>
  <c r="DF134" i="23916"/>
  <c r="GJ134" i="23916"/>
  <c r="GK129" i="23916"/>
  <c r="GJ135" i="23916"/>
  <c r="GJ141" i="23916"/>
  <c r="GK141" i="23916" s="1"/>
  <c r="GJ139" i="23916"/>
  <c r="GK139" i="23916" s="1"/>
  <c r="GJ140" i="23916"/>
  <c r="GK140" i="23916" s="1"/>
  <c r="DF35" i="23916"/>
  <c r="DE92" i="23916"/>
  <c r="FW230" i="23916"/>
  <c r="FV232" i="23916"/>
  <c r="GG622" i="23916"/>
  <c r="GF18" i="23916"/>
  <c r="GG18" i="23916" s="1"/>
  <c r="BX228" i="23916"/>
  <c r="BW230" i="23916"/>
  <c r="DC93" i="23916"/>
  <c r="DD56" i="23916"/>
  <c r="GH156" i="23916"/>
  <c r="GI156" i="23916" s="1"/>
  <c r="GI154" i="23916"/>
  <c r="BX247" i="23916"/>
  <c r="GX311" i="23916"/>
  <c r="GX315" i="23916"/>
  <c r="GY309" i="23916"/>
  <c r="GZ309" i="23916"/>
  <c r="GJ622" i="23916"/>
  <c r="GK544" i="23916"/>
  <c r="GJ543" i="23916"/>
  <c r="DC76" i="23916"/>
  <c r="DD76" i="23916" s="1"/>
  <c r="DC79" i="23916"/>
  <c r="DD79" i="23916" s="1"/>
  <c r="DD73" i="23916"/>
  <c r="GG510" i="23916"/>
  <c r="GH56" i="23916"/>
  <c r="GI35" i="23916" l="1"/>
  <c r="GH92" i="23916"/>
  <c r="GI92" i="23916" s="1"/>
  <c r="DH35" i="23916"/>
  <c r="DG92" i="23916"/>
  <c r="GK543" i="23916"/>
  <c r="GJ568" i="23916"/>
  <c r="BF244" i="23916"/>
  <c r="BN244" i="23916"/>
  <c r="DE156" i="23916"/>
  <c r="GM622" i="23916"/>
  <c r="GL18" i="23916"/>
  <c r="BF403" i="23916"/>
  <c r="BN403" i="23916"/>
  <c r="BF379" i="23916"/>
  <c r="BE380" i="23916"/>
  <c r="BN379" i="23916"/>
  <c r="DE58" i="23916"/>
  <c r="DF58" i="23916" s="1"/>
  <c r="DF55" i="23916"/>
  <c r="DG49" i="23916"/>
  <c r="BY197" i="23916"/>
  <c r="BY200" i="23916" s="1"/>
  <c r="BZ200" i="23916" s="1"/>
  <c r="BZ195" i="23916"/>
  <c r="CA189" i="23916"/>
  <c r="BY228" i="23916"/>
  <c r="GY315" i="23916"/>
  <c r="GZ315" i="23916"/>
  <c r="BX230" i="23916"/>
  <c r="BW232" i="23916"/>
  <c r="FW232" i="23916"/>
  <c r="FV244" i="23916"/>
  <c r="FW244" i="23916" s="1"/>
  <c r="FV245" i="23916"/>
  <c r="FW245" i="23916" s="1"/>
  <c r="FV280" i="23916"/>
  <c r="FW280" i="23916" s="1"/>
  <c r="GK135" i="23916"/>
  <c r="GJ154" i="23916"/>
  <c r="GJ153" i="23916"/>
  <c r="GK153" i="23916" s="1"/>
  <c r="GJ155" i="23916"/>
  <c r="GK155" i="23916" s="1"/>
  <c r="GJ184" i="23916"/>
  <c r="GK184" i="23916" s="1"/>
  <c r="DG140" i="23916"/>
  <c r="DG135" i="23916"/>
  <c r="DG134" i="23916"/>
  <c r="DG139" i="23916"/>
  <c r="DG141" i="23916"/>
  <c r="DG142" i="23916" s="1"/>
  <c r="DH129" i="23916"/>
  <c r="GI34" i="23916"/>
  <c r="GJ28" i="23916"/>
  <c r="GH37" i="23916"/>
  <c r="GI37" i="23916" s="1"/>
  <c r="GI543" i="23916"/>
  <c r="GH568" i="23916"/>
  <c r="BY216" i="23916"/>
  <c r="BZ214" i="23916"/>
  <c r="CA208" i="23916"/>
  <c r="BY229" i="23916"/>
  <c r="BZ229" i="23916" s="1"/>
  <c r="BF381" i="23916"/>
  <c r="BN381" i="23916"/>
  <c r="DF68" i="23916"/>
  <c r="DE73" i="23916"/>
  <c r="DE74" i="23916" s="1"/>
  <c r="DE93" i="23916"/>
  <c r="DF56" i="23916"/>
  <c r="GO543" i="23916"/>
  <c r="GN568" i="23916"/>
  <c r="BY247" i="23916"/>
  <c r="BY246" i="23916"/>
  <c r="BY204" i="23916"/>
  <c r="BZ199" i="23916"/>
  <c r="GW524" i="23916"/>
  <c r="GK622" i="23916"/>
  <c r="GJ18" i="23916"/>
  <c r="GX524" i="23916"/>
  <c r="GY311" i="23916"/>
  <c r="GZ311" i="23916"/>
  <c r="GH73" i="23916"/>
  <c r="GI68" i="23916"/>
  <c r="GI622" i="23916"/>
  <c r="GH18" i="23916"/>
  <c r="GI18" i="23916" s="1"/>
  <c r="BF280" i="23916"/>
  <c r="BN280" i="23916"/>
  <c r="GJ55" i="23916"/>
  <c r="GJ56" i="23916"/>
  <c r="GK49" i="23916"/>
  <c r="GJ65" i="23916"/>
  <c r="GK65" i="23916" s="1"/>
  <c r="GJ63" i="23916"/>
  <c r="GK63" i="23916" s="1"/>
  <c r="GJ62" i="23916"/>
  <c r="GK62" i="23916" s="1"/>
  <c r="GJ64" i="23916"/>
  <c r="GK64" i="23916" s="1"/>
  <c r="BF402" i="23916"/>
  <c r="BN402" i="23916"/>
  <c r="BF382" i="23916"/>
  <c r="BN382" i="23916"/>
  <c r="BW233" i="23916"/>
  <c r="BX233" i="23916" s="1"/>
  <c r="BX219" i="23916"/>
  <c r="GI56" i="23916"/>
  <c r="GH93" i="23916"/>
  <c r="GI93" i="23916" s="1"/>
  <c r="GK134" i="23916"/>
  <c r="GL129" i="23916"/>
  <c r="BF245" i="23916"/>
  <c r="BN245" i="23916"/>
  <c r="GM543" i="23916"/>
  <c r="GL568" i="23916"/>
  <c r="GG568" i="23916"/>
  <c r="GF603" i="23916"/>
  <c r="BF371" i="23916"/>
  <c r="BN371" i="23916"/>
  <c r="GO622" i="23916"/>
  <c r="GN18" i="23916"/>
  <c r="GO18" i="23916" s="1"/>
  <c r="DG37" i="23916"/>
  <c r="DH37" i="23916" s="1"/>
  <c r="DI28" i="23916"/>
  <c r="DH34" i="23916"/>
  <c r="DE90" i="23916" l="1"/>
  <c r="DF74" i="23916"/>
  <c r="DE91" i="23916"/>
  <c r="DE123" i="23916"/>
  <c r="DI42" i="23916"/>
  <c r="DI35" i="23916"/>
  <c r="DI41" i="23916"/>
  <c r="DI34" i="23916"/>
  <c r="DJ28" i="23916"/>
  <c r="DI44" i="23916"/>
  <c r="DI45" i="23916" s="1"/>
  <c r="DI43" i="23916"/>
  <c r="GM568" i="23916"/>
  <c r="GL603" i="23916"/>
  <c r="GL135" i="23916"/>
  <c r="GM129" i="23916"/>
  <c r="GL134" i="23916"/>
  <c r="GL139" i="23916"/>
  <c r="GM139" i="23916" s="1"/>
  <c r="GL140" i="23916"/>
  <c r="GM140" i="23916" s="1"/>
  <c r="GL141" i="23916"/>
  <c r="GM141" i="23916" s="1"/>
  <c r="GJ58" i="23916"/>
  <c r="GK58" i="23916" s="1"/>
  <c r="GL49" i="23916"/>
  <c r="GK55" i="23916"/>
  <c r="GI568" i="23916"/>
  <c r="GH603" i="23916"/>
  <c r="DH134" i="23916"/>
  <c r="DI129" i="23916"/>
  <c r="BW244" i="23916"/>
  <c r="BX244" i="23916" s="1"/>
  <c r="BX232" i="23916"/>
  <c r="BW245" i="23916"/>
  <c r="BX245" i="23916" s="1"/>
  <c r="BW280" i="23916"/>
  <c r="BX280" i="23916" s="1"/>
  <c r="BY248" i="23916"/>
  <c r="BZ248" i="23916" s="1"/>
  <c r="BZ246" i="23916"/>
  <c r="CA224" i="23916"/>
  <c r="CA225" i="23916" s="1"/>
  <c r="CA214" i="23916"/>
  <c r="CA223" i="23916"/>
  <c r="CB208" i="23916"/>
  <c r="DG155" i="23916"/>
  <c r="DG153" i="23916"/>
  <c r="DH135" i="23916"/>
  <c r="DG154" i="23916"/>
  <c r="DG156" i="23916" s="1"/>
  <c r="DG184" i="23916"/>
  <c r="BY230" i="23916"/>
  <c r="BZ228" i="23916"/>
  <c r="DG62" i="23916"/>
  <c r="DH49" i="23916"/>
  <c r="DG64" i="23916"/>
  <c r="DG65" i="23916"/>
  <c r="DG55" i="23916"/>
  <c r="DG63" i="23916"/>
  <c r="DG68" i="23916"/>
  <c r="BF380" i="23916"/>
  <c r="BN380" i="23916"/>
  <c r="GM18" i="23916"/>
  <c r="GH79" i="23916"/>
  <c r="GI79" i="23916" s="1"/>
  <c r="GI73" i="23916"/>
  <c r="GH76" i="23916"/>
  <c r="GI76" i="23916" s="1"/>
  <c r="GZ524" i="23916"/>
  <c r="GY524" i="23916"/>
  <c r="BZ247" i="23916"/>
  <c r="GK154" i="23916"/>
  <c r="GJ156" i="23916"/>
  <c r="GK156" i="23916" s="1"/>
  <c r="CA195" i="23916"/>
  <c r="CB189" i="23916"/>
  <c r="CA199" i="23916"/>
  <c r="CA205" i="23916"/>
  <c r="GK568" i="23916"/>
  <c r="GJ603" i="23916"/>
  <c r="GK56" i="23916"/>
  <c r="GJ93" i="23916"/>
  <c r="GK93" i="23916" s="1"/>
  <c r="GH74" i="23916"/>
  <c r="GK18" i="23916"/>
  <c r="GO568" i="23916"/>
  <c r="GN603" i="23916"/>
  <c r="DE79" i="23916"/>
  <c r="DF79" i="23916" s="1"/>
  <c r="DF73" i="23916"/>
  <c r="DE76" i="23916"/>
  <c r="DF76" i="23916" s="1"/>
  <c r="BZ216" i="23916"/>
  <c r="BY219" i="23916"/>
  <c r="GJ68" i="23916"/>
  <c r="GJ34" i="23916"/>
  <c r="GK28" i="23916"/>
  <c r="GJ35" i="23916"/>
  <c r="GJ42" i="23916"/>
  <c r="GK42" i="23916" s="1"/>
  <c r="GJ41" i="23916"/>
  <c r="GK41" i="23916" s="1"/>
  <c r="GJ44" i="23916"/>
  <c r="GK44" i="23916" s="1"/>
  <c r="GJ43" i="23916"/>
  <c r="GK43" i="23916" s="1"/>
  <c r="GJ37" i="23916" l="1"/>
  <c r="GK37" i="23916" s="1"/>
  <c r="GL28" i="23916"/>
  <c r="GK34" i="23916"/>
  <c r="CA204" i="23916"/>
  <c r="CB199" i="23916"/>
  <c r="CA247" i="23916"/>
  <c r="CA246" i="23916"/>
  <c r="DJ34" i="23916"/>
  <c r="DK28" i="23916"/>
  <c r="DI37" i="23916"/>
  <c r="DJ37" i="23916" s="1"/>
  <c r="GJ73" i="23916"/>
  <c r="GK68" i="23916"/>
  <c r="DG73" i="23916"/>
  <c r="DH68" i="23916"/>
  <c r="DI140" i="23916"/>
  <c r="DI139" i="23916"/>
  <c r="DI141" i="23916"/>
  <c r="DI142" i="23916" s="1"/>
  <c r="DJ129" i="23916"/>
  <c r="DI134" i="23916"/>
  <c r="GM135" i="23916"/>
  <c r="GL154" i="23916"/>
  <c r="GL153" i="23916"/>
  <c r="GM153" i="23916" s="1"/>
  <c r="GL155" i="23916"/>
  <c r="GM155" i="23916" s="1"/>
  <c r="GL184" i="23916"/>
  <c r="GM184" i="23916" s="1"/>
  <c r="BZ230" i="23916"/>
  <c r="BY232" i="23916"/>
  <c r="CC208" i="23916"/>
  <c r="CA229" i="23916"/>
  <c r="CB229" i="23916" s="1"/>
  <c r="CA216" i="23916"/>
  <c r="CB214" i="23916"/>
  <c r="GL56" i="23916"/>
  <c r="GM49" i="23916"/>
  <c r="GL55" i="23916"/>
  <c r="GL64" i="23916"/>
  <c r="GM64" i="23916" s="1"/>
  <c r="GL65" i="23916"/>
  <c r="GM65" i="23916" s="1"/>
  <c r="GL63" i="23916"/>
  <c r="GM63" i="23916" s="1"/>
  <c r="GL62" i="23916"/>
  <c r="GM62" i="23916" s="1"/>
  <c r="DJ35" i="23916"/>
  <c r="DI92" i="23916"/>
  <c r="GJ92" i="23916"/>
  <c r="GK92" i="23916" s="1"/>
  <c r="GK35" i="23916"/>
  <c r="BZ219" i="23916"/>
  <c r="BY233" i="23916"/>
  <c r="BZ233" i="23916" s="1"/>
  <c r="GI74" i="23916"/>
  <c r="GH90" i="23916"/>
  <c r="GI90" i="23916" s="1"/>
  <c r="GH91" i="23916"/>
  <c r="GI91" i="23916" s="1"/>
  <c r="GH123" i="23916"/>
  <c r="GI123" i="23916" s="1"/>
  <c r="CA197" i="23916"/>
  <c r="CA200" i="23916" s="1"/>
  <c r="CB200" i="23916" s="1"/>
  <c r="CC189" i="23916"/>
  <c r="CA228" i="23916"/>
  <c r="CB195" i="23916"/>
  <c r="DI49" i="23916"/>
  <c r="DG58" i="23916"/>
  <c r="DH58" i="23916" s="1"/>
  <c r="DH55" i="23916"/>
  <c r="DG56" i="23916"/>
  <c r="CA218" i="23916"/>
  <c r="CB218" i="23916" s="1"/>
  <c r="GM134" i="23916"/>
  <c r="GN129" i="23916"/>
  <c r="DG93" i="23916" l="1"/>
  <c r="DH56" i="23916"/>
  <c r="GJ76" i="23916"/>
  <c r="GK76" i="23916" s="1"/>
  <c r="GJ79" i="23916"/>
  <c r="GK79" i="23916" s="1"/>
  <c r="GK73" i="23916"/>
  <c r="DJ134" i="23916"/>
  <c r="DK129" i="23916"/>
  <c r="DI55" i="23916"/>
  <c r="DI62" i="23916"/>
  <c r="DI64" i="23916"/>
  <c r="DI56" i="23916"/>
  <c r="DJ49" i="23916"/>
  <c r="DI65" i="23916"/>
  <c r="DI63" i="23916"/>
  <c r="DI68" i="23916"/>
  <c r="GL156" i="23916"/>
  <c r="GM156" i="23916" s="1"/>
  <c r="GM154" i="23916"/>
  <c r="DG76" i="23916"/>
  <c r="DH76" i="23916" s="1"/>
  <c r="DG79" i="23916"/>
  <c r="DH79" i="23916" s="1"/>
  <c r="DH73" i="23916"/>
  <c r="CD208" i="23916"/>
  <c r="CC218" i="23916"/>
  <c r="CD218" i="23916" s="1"/>
  <c r="CC214" i="23916"/>
  <c r="CC223" i="23916"/>
  <c r="CC224" i="23916"/>
  <c r="CC225" i="23916" s="1"/>
  <c r="GN134" i="23916"/>
  <c r="GO129" i="23916"/>
  <c r="GN135" i="23916"/>
  <c r="GN139" i="23916"/>
  <c r="GO139" i="23916" s="1"/>
  <c r="GN141" i="23916"/>
  <c r="GO141" i="23916" s="1"/>
  <c r="GN140" i="23916"/>
  <c r="GO140" i="23916" s="1"/>
  <c r="CB228" i="23916"/>
  <c r="CA230" i="23916"/>
  <c r="DG74" i="23916"/>
  <c r="CB247" i="23916"/>
  <c r="GL41" i="23916"/>
  <c r="GM41" i="23916" s="1"/>
  <c r="GM28" i="23916"/>
  <c r="GL34" i="23916"/>
  <c r="GL35" i="23916" s="1"/>
  <c r="GL68" i="23916"/>
  <c r="GL44" i="23916"/>
  <c r="GM44" i="23916" s="1"/>
  <c r="GL42" i="23916"/>
  <c r="GM42" i="23916" s="1"/>
  <c r="GL43" i="23916"/>
  <c r="GM43" i="23916" s="1"/>
  <c r="GM56" i="23916"/>
  <c r="GL93" i="23916"/>
  <c r="GM93" i="23916" s="1"/>
  <c r="CB246" i="23916"/>
  <c r="CA248" i="23916"/>
  <c r="CB248" i="23916" s="1"/>
  <c r="BZ232" i="23916"/>
  <c r="BY244" i="23916"/>
  <c r="BZ244" i="23916" s="1"/>
  <c r="BY245" i="23916"/>
  <c r="BZ245" i="23916" s="1"/>
  <c r="BY280" i="23916"/>
  <c r="BZ280" i="23916" s="1"/>
  <c r="CC205" i="23916"/>
  <c r="CD189" i="23916"/>
  <c r="CC195" i="23916"/>
  <c r="CC199" i="23916" s="1"/>
  <c r="GM55" i="23916"/>
  <c r="GL58" i="23916"/>
  <c r="GM58" i="23916" s="1"/>
  <c r="GN49" i="23916"/>
  <c r="CB216" i="23916"/>
  <c r="CA219" i="23916"/>
  <c r="DI135" i="23916"/>
  <c r="GJ74" i="23916"/>
  <c r="DK41" i="23916"/>
  <c r="DK44" i="23916"/>
  <c r="DK45" i="23916" s="1"/>
  <c r="DK42" i="23916"/>
  <c r="DK34" i="23916"/>
  <c r="DL28" i="23916"/>
  <c r="DK43" i="23916"/>
  <c r="CC247" i="23916" l="1"/>
  <c r="CC246" i="23916"/>
  <c r="CC204" i="23916"/>
  <c r="CD199" i="23916"/>
  <c r="GM35" i="23916"/>
  <c r="GL92" i="23916"/>
  <c r="GM92" i="23916" s="1"/>
  <c r="CA233" i="23916"/>
  <c r="CB233" i="23916" s="1"/>
  <c r="CB219" i="23916"/>
  <c r="CC216" i="23916"/>
  <c r="CD214" i="23916"/>
  <c r="FX214" i="23916"/>
  <c r="CC229" i="23916"/>
  <c r="CE208" i="23916"/>
  <c r="DI58" i="23916"/>
  <c r="DJ58" i="23916" s="1"/>
  <c r="DJ55" i="23916"/>
  <c r="DK49" i="23916"/>
  <c r="DK37" i="23916"/>
  <c r="DL37" i="23916" s="1"/>
  <c r="DM28" i="23916"/>
  <c r="DL34" i="23916"/>
  <c r="CD195" i="23916"/>
  <c r="CC228" i="23916"/>
  <c r="FX195" i="23916"/>
  <c r="CC197" i="23916"/>
  <c r="CC200" i="23916" s="1"/>
  <c r="CD200" i="23916" s="1"/>
  <c r="CE189" i="23916"/>
  <c r="DG90" i="23916"/>
  <c r="DH74" i="23916"/>
  <c r="DG123" i="23916"/>
  <c r="DG91" i="23916"/>
  <c r="GO134" i="23916"/>
  <c r="GP129" i="23916"/>
  <c r="DJ68" i="23916"/>
  <c r="DI73" i="23916"/>
  <c r="DI74" i="23916" s="1"/>
  <c r="DI93" i="23916"/>
  <c r="DJ56" i="23916"/>
  <c r="DK140" i="23916"/>
  <c r="DK135" i="23916"/>
  <c r="DK134" i="23916"/>
  <c r="DK139" i="23916"/>
  <c r="DL129" i="23916"/>
  <c r="DK141" i="23916"/>
  <c r="DK142" i="23916" s="1"/>
  <c r="DK35" i="23916"/>
  <c r="GK74" i="23916"/>
  <c r="GJ90" i="23916"/>
  <c r="GK90" i="23916" s="1"/>
  <c r="GJ91" i="23916"/>
  <c r="GK91" i="23916" s="1"/>
  <c r="GJ123" i="23916"/>
  <c r="GK123" i="23916" s="1"/>
  <c r="GN55" i="23916"/>
  <c r="GO49" i="23916"/>
  <c r="GN56" i="23916"/>
  <c r="GN65" i="23916"/>
  <c r="GO65" i="23916" s="1"/>
  <c r="GN64" i="23916"/>
  <c r="GO64" i="23916" s="1"/>
  <c r="GN62" i="23916"/>
  <c r="GO62" i="23916" s="1"/>
  <c r="GN63" i="23916"/>
  <c r="GO63" i="23916" s="1"/>
  <c r="GL73" i="23916"/>
  <c r="GM68" i="23916"/>
  <c r="CB230" i="23916"/>
  <c r="CA232" i="23916"/>
  <c r="DI155" i="23916"/>
  <c r="DJ135" i="23916"/>
  <c r="DI153" i="23916"/>
  <c r="DI154" i="23916"/>
  <c r="DI156" i="23916" s="1"/>
  <c r="DI184" i="23916"/>
  <c r="GM34" i="23916"/>
  <c r="GN28" i="23916"/>
  <c r="GL37" i="23916"/>
  <c r="GM37" i="23916" s="1"/>
  <c r="GO135" i="23916"/>
  <c r="GN153" i="23916"/>
  <c r="GO153" i="23916" s="1"/>
  <c r="GN155" i="23916"/>
  <c r="GO155" i="23916" s="1"/>
  <c r="GN154" i="23916"/>
  <c r="GN184" i="23916"/>
  <c r="GO184" i="23916" s="1"/>
  <c r="DI90" i="23916" l="1"/>
  <c r="DJ74" i="23916"/>
  <c r="DI91" i="23916"/>
  <c r="DI123" i="23916"/>
  <c r="CE195" i="23916"/>
  <c r="CE199" i="23916" s="1"/>
  <c r="CE205" i="23916"/>
  <c r="CF189" i="23916"/>
  <c r="DK62" i="23916"/>
  <c r="DK56" i="23916"/>
  <c r="DL49" i="23916"/>
  <c r="DK64" i="23916"/>
  <c r="DK55" i="23916"/>
  <c r="DK65" i="23916"/>
  <c r="DK63" i="23916"/>
  <c r="DK68" i="23916"/>
  <c r="FX229" i="23916"/>
  <c r="FY229" i="23916" s="1"/>
  <c r="CD229" i="23916"/>
  <c r="GO154" i="23916"/>
  <c r="GN156" i="23916"/>
  <c r="GO156" i="23916" s="1"/>
  <c r="CA244" i="23916"/>
  <c r="CB244" i="23916" s="1"/>
  <c r="CB232" i="23916"/>
  <c r="CA245" i="23916"/>
  <c r="CB245" i="23916" s="1"/>
  <c r="CA280" i="23916"/>
  <c r="CB280" i="23916" s="1"/>
  <c r="GN58" i="23916"/>
  <c r="GO58" i="23916" s="1"/>
  <c r="GP49" i="23916"/>
  <c r="GO55" i="23916"/>
  <c r="FX216" i="23916"/>
  <c r="FX219" i="23916" s="1"/>
  <c r="FY214" i="23916"/>
  <c r="FZ208" i="23916"/>
  <c r="FX218" i="23916"/>
  <c r="FY218" i="23916" s="1"/>
  <c r="GL79" i="23916"/>
  <c r="GM79" i="23916" s="1"/>
  <c r="GM73" i="23916"/>
  <c r="GL76" i="23916"/>
  <c r="GM76" i="23916" s="1"/>
  <c r="GN68" i="23916"/>
  <c r="GN34" i="23916"/>
  <c r="GO28" i="23916"/>
  <c r="GN44" i="23916"/>
  <c r="GO44" i="23916" s="1"/>
  <c r="GN41" i="23916"/>
  <c r="GO41" i="23916" s="1"/>
  <c r="GN43" i="23916"/>
  <c r="GO43" i="23916" s="1"/>
  <c r="GN42" i="23916"/>
  <c r="GL74" i="23916"/>
  <c r="DL35" i="23916"/>
  <c r="DK92" i="23916"/>
  <c r="DM129" i="23916"/>
  <c r="DL134" i="23916"/>
  <c r="GQ129" i="23916"/>
  <c r="FZ189" i="23916"/>
  <c r="FY195" i="23916"/>
  <c r="FX197" i="23916"/>
  <c r="FX199" i="23916"/>
  <c r="DM43" i="23916"/>
  <c r="DN43" i="23916" s="1"/>
  <c r="DM35" i="23916"/>
  <c r="DM44" i="23916"/>
  <c r="DM34" i="23916"/>
  <c r="DM42" i="23916"/>
  <c r="DN42" i="23916" s="1"/>
  <c r="DN28" i="23916"/>
  <c r="DM41" i="23916"/>
  <c r="DN41" i="23916" s="1"/>
  <c r="CC248" i="23916"/>
  <c r="CD248" i="23916" s="1"/>
  <c r="CD246" i="23916"/>
  <c r="FX246" i="23916"/>
  <c r="GO56" i="23916"/>
  <c r="GN93" i="23916"/>
  <c r="GO93" i="23916" s="1"/>
  <c r="DK155" i="23916"/>
  <c r="DK153" i="23916"/>
  <c r="DL135" i="23916"/>
  <c r="DK154" i="23916"/>
  <c r="DK184" i="23916"/>
  <c r="DI79" i="23916"/>
  <c r="DJ79" i="23916" s="1"/>
  <c r="DJ73" i="23916"/>
  <c r="DI76" i="23916"/>
  <c r="DJ76" i="23916" s="1"/>
  <c r="FX228" i="23916"/>
  <c r="CC230" i="23916"/>
  <c r="CD228" i="23916"/>
  <c r="CE223" i="23916"/>
  <c r="CE224" i="23916"/>
  <c r="CE225" i="23916" s="1"/>
  <c r="CE214" i="23916"/>
  <c r="CF208" i="23916"/>
  <c r="CD216" i="23916"/>
  <c r="CC219" i="23916"/>
  <c r="CD247" i="23916"/>
  <c r="FX247" i="23916"/>
  <c r="FY247" i="23916" s="1"/>
  <c r="CE204" i="23916" l="1"/>
  <c r="CF199" i="23916"/>
  <c r="CE247" i="23916"/>
  <c r="CE246" i="23916"/>
  <c r="CE229" i="23916"/>
  <c r="CF229" i="23916" s="1"/>
  <c r="CE216" i="23916"/>
  <c r="CG208" i="23916"/>
  <c r="CF214" i="23916"/>
  <c r="DK156" i="23916"/>
  <c r="GA189" i="23916"/>
  <c r="FZ205" i="23916"/>
  <c r="GM74" i="23916"/>
  <c r="GL91" i="23916"/>
  <c r="GM91" i="23916" s="1"/>
  <c r="GL90" i="23916"/>
  <c r="GM90" i="23916" s="1"/>
  <c r="GL123" i="23916"/>
  <c r="GM123" i="23916" s="1"/>
  <c r="GN73" i="23916"/>
  <c r="GN74" i="23916" s="1"/>
  <c r="GO68" i="23916"/>
  <c r="GN37" i="23916"/>
  <c r="GO37" i="23916" s="1"/>
  <c r="GP28" i="23916"/>
  <c r="GO34" i="23916"/>
  <c r="CD219" i="23916"/>
  <c r="CC233" i="23916"/>
  <c r="CD233" i="23916" s="1"/>
  <c r="CE218" i="23916"/>
  <c r="CF218" i="23916" s="1"/>
  <c r="DN34" i="23916"/>
  <c r="DM37" i="23916"/>
  <c r="DN37" i="23916" s="1"/>
  <c r="DO28" i="23916"/>
  <c r="FY199" i="23916"/>
  <c r="FX204" i="23916"/>
  <c r="DN129" i="23916"/>
  <c r="DM140" i="23916"/>
  <c r="DN140" i="23916" s="1"/>
  <c r="DM141" i="23916"/>
  <c r="DM139" i="23916"/>
  <c r="DN139" i="23916" s="1"/>
  <c r="DM134" i="23916"/>
  <c r="DM135" i="23916"/>
  <c r="GO42" i="23916"/>
  <c r="GZ42" i="23916"/>
  <c r="GA208" i="23916"/>
  <c r="FZ223" i="23916"/>
  <c r="FZ224" i="23916"/>
  <c r="GQ49" i="23916"/>
  <c r="GP65" i="23916"/>
  <c r="GQ65" i="23916" s="1"/>
  <c r="DK93" i="23916"/>
  <c r="DL56" i="23916"/>
  <c r="FY228" i="23916"/>
  <c r="FX230" i="23916"/>
  <c r="DM92" i="23916"/>
  <c r="DN92" i="23916" s="1"/>
  <c r="DN35" i="23916"/>
  <c r="CD230" i="23916"/>
  <c r="CC232" i="23916"/>
  <c r="FY246" i="23916"/>
  <c r="FX248" i="23916"/>
  <c r="FY248" i="23916" s="1"/>
  <c r="DN44" i="23916"/>
  <c r="DM45" i="23916"/>
  <c r="DN45" i="23916" s="1"/>
  <c r="GN35" i="23916"/>
  <c r="DM49" i="23916"/>
  <c r="DL55" i="23916"/>
  <c r="DK58" i="23916"/>
  <c r="DL58" i="23916" s="1"/>
  <c r="FY219" i="23916"/>
  <c r="FX233" i="23916"/>
  <c r="FY233" i="23916" s="1"/>
  <c r="DK73" i="23916"/>
  <c r="DL68" i="23916"/>
  <c r="CE228" i="23916"/>
  <c r="CF195" i="23916"/>
  <c r="CG189" i="23916"/>
  <c r="CE197" i="23916"/>
  <c r="CE200" i="23916" s="1"/>
  <c r="CF200" i="23916" s="1"/>
  <c r="GO74" i="23916" l="1"/>
  <c r="GN90" i="23916"/>
  <c r="GO90" i="23916" s="1"/>
  <c r="GN91" i="23916"/>
  <c r="GN123" i="23916"/>
  <c r="GO123" i="23916" s="1"/>
  <c r="CF228" i="23916"/>
  <c r="CE230" i="23916"/>
  <c r="GN92" i="23916"/>
  <c r="GO92" i="23916" s="1"/>
  <c r="GO35" i="23916"/>
  <c r="DM154" i="23916"/>
  <c r="DN135" i="23916"/>
  <c r="DM155" i="23916"/>
  <c r="DN155" i="23916" s="1"/>
  <c r="DM153" i="23916"/>
  <c r="DN153" i="23916" s="1"/>
  <c r="DM184" i="23916"/>
  <c r="DN184" i="23916" s="1"/>
  <c r="DO41" i="23916"/>
  <c r="DP41" i="23916" s="1"/>
  <c r="DO42" i="23916"/>
  <c r="DP42" i="23916" s="1"/>
  <c r="DO44" i="23916"/>
  <c r="DO34" i="23916"/>
  <c r="DP28" i="23916"/>
  <c r="DO35" i="23916"/>
  <c r="DO43" i="23916"/>
  <c r="DP43" i="23916" s="1"/>
  <c r="CF246" i="23916"/>
  <c r="CE248" i="23916"/>
  <c r="CF248" i="23916" s="1"/>
  <c r="CG205" i="23916"/>
  <c r="CH189" i="23916"/>
  <c r="CG199" i="23916"/>
  <c r="CG195" i="23916"/>
  <c r="DK76" i="23916"/>
  <c r="DL76" i="23916" s="1"/>
  <c r="DK79" i="23916"/>
  <c r="DL79" i="23916" s="1"/>
  <c r="DL73" i="23916"/>
  <c r="CD232" i="23916"/>
  <c r="CC244" i="23916"/>
  <c r="CD244" i="23916" s="1"/>
  <c r="CC245" i="23916"/>
  <c r="CD245" i="23916" s="1"/>
  <c r="CC280" i="23916"/>
  <c r="CD280" i="23916" s="1"/>
  <c r="DO129" i="23916"/>
  <c r="DN134" i="23916"/>
  <c r="CG224" i="23916"/>
  <c r="CG225" i="23916" s="1"/>
  <c r="CH208" i="23916"/>
  <c r="CG223" i="23916"/>
  <c r="CG214" i="23916"/>
  <c r="CG218" i="23916" s="1"/>
  <c r="CH218" i="23916" s="1"/>
  <c r="CF247" i="23916"/>
  <c r="DK74" i="23916"/>
  <c r="FY230" i="23916"/>
  <c r="FX232" i="23916"/>
  <c r="CF216" i="23916"/>
  <c r="CE219" i="23916"/>
  <c r="DM55" i="23916"/>
  <c r="DM64" i="23916"/>
  <c r="DN64" i="23916" s="1"/>
  <c r="DM62" i="23916"/>
  <c r="DN62" i="23916" s="1"/>
  <c r="DM65" i="23916"/>
  <c r="DN65" i="23916" s="1"/>
  <c r="DN49" i="23916"/>
  <c r="DM56" i="23916"/>
  <c r="DM63" i="23916"/>
  <c r="DN63" i="23916" s="1"/>
  <c r="DM68" i="23916"/>
  <c r="DM142" i="23916"/>
  <c r="DN142" i="23916" s="1"/>
  <c r="DN141" i="23916"/>
  <c r="GQ28" i="23916"/>
  <c r="GP68" i="23916"/>
  <c r="GN76" i="23916"/>
  <c r="GO76" i="23916" s="1"/>
  <c r="GO73" i="23916"/>
  <c r="GN79" i="23916"/>
  <c r="GO79" i="23916" s="1"/>
  <c r="DN68" i="23916" l="1"/>
  <c r="DM73" i="23916"/>
  <c r="CG247" i="23916"/>
  <c r="CG246" i="23916"/>
  <c r="CG204" i="23916"/>
  <c r="CH199" i="23916"/>
  <c r="DK90" i="23916"/>
  <c r="DL74" i="23916"/>
  <c r="DK91" i="23916"/>
  <c r="DK123" i="23916"/>
  <c r="GO91" i="23916"/>
  <c r="GZ91" i="23916"/>
  <c r="DM93" i="23916"/>
  <c r="DN93" i="23916" s="1"/>
  <c r="DN56" i="23916"/>
  <c r="FY232" i="23916"/>
  <c r="FX244" i="23916"/>
  <c r="FY244" i="23916" s="1"/>
  <c r="FX245" i="23916"/>
  <c r="FY245" i="23916" s="1"/>
  <c r="FX280" i="23916"/>
  <c r="FY280" i="23916" s="1"/>
  <c r="DO37" i="23916"/>
  <c r="DP37" i="23916" s="1"/>
  <c r="DP34" i="23916"/>
  <c r="DQ28" i="23916"/>
  <c r="CF230" i="23916"/>
  <c r="CE232" i="23916"/>
  <c r="CE233" i="23916"/>
  <c r="CF233" i="23916" s="1"/>
  <c r="CF219" i="23916"/>
  <c r="CG216" i="23916"/>
  <c r="CH214" i="23916"/>
  <c r="CI208" i="23916"/>
  <c r="CG229" i="23916"/>
  <c r="CH229" i="23916" s="1"/>
  <c r="DP35" i="23916"/>
  <c r="DO92" i="23916"/>
  <c r="DP92" i="23916" s="1"/>
  <c r="GQ68" i="23916"/>
  <c r="DM58" i="23916"/>
  <c r="DN58" i="23916" s="1"/>
  <c r="DN55" i="23916"/>
  <c r="DO49" i="23916"/>
  <c r="DO134" i="23916"/>
  <c r="DO135" i="23916" s="1"/>
  <c r="DO141" i="23916"/>
  <c r="DO139" i="23916"/>
  <c r="DP139" i="23916" s="1"/>
  <c r="DO140" i="23916"/>
  <c r="DP140" i="23916" s="1"/>
  <c r="DP129" i="23916"/>
  <c r="CG197" i="23916"/>
  <c r="CG200" i="23916" s="1"/>
  <c r="CH200" i="23916" s="1"/>
  <c r="CH195" i="23916"/>
  <c r="CI189" i="23916"/>
  <c r="CG228" i="23916"/>
  <c r="DO45" i="23916"/>
  <c r="DP45" i="23916" s="1"/>
  <c r="DP44" i="23916"/>
  <c r="DN154" i="23916"/>
  <c r="DM156" i="23916"/>
  <c r="DN156" i="23916" s="1"/>
  <c r="DO153" i="23916" l="1"/>
  <c r="DP153" i="23916" s="1"/>
  <c r="DO155" i="23916"/>
  <c r="DP155" i="23916" s="1"/>
  <c r="DO154" i="23916"/>
  <c r="DP135" i="23916"/>
  <c r="DO184" i="23916"/>
  <c r="DP184" i="23916" s="1"/>
  <c r="DO65" i="23916"/>
  <c r="DP65" i="23916" s="1"/>
  <c r="DO56" i="23916"/>
  <c r="DO64" i="23916"/>
  <c r="DP64" i="23916" s="1"/>
  <c r="DO62" i="23916"/>
  <c r="DP62" i="23916" s="1"/>
  <c r="DO55" i="23916"/>
  <c r="DP49" i="23916"/>
  <c r="DO63" i="23916"/>
  <c r="DP63" i="23916" s="1"/>
  <c r="DO68" i="23916"/>
  <c r="CI195" i="23916"/>
  <c r="CJ189" i="23916"/>
  <c r="CI205" i="23916"/>
  <c r="CH216" i="23916"/>
  <c r="CG219" i="23916"/>
  <c r="CH247" i="23916"/>
  <c r="DM79" i="23916"/>
  <c r="DN79" i="23916" s="1"/>
  <c r="DN73" i="23916"/>
  <c r="DM76" i="23916"/>
  <c r="DN76" i="23916" s="1"/>
  <c r="DP141" i="23916"/>
  <c r="DO142" i="23916"/>
  <c r="DP142" i="23916" s="1"/>
  <c r="CI224" i="23916"/>
  <c r="CI225" i="23916" s="1"/>
  <c r="CI214" i="23916"/>
  <c r="CI223" i="23916"/>
  <c r="CJ208" i="23916"/>
  <c r="DQ43" i="23916"/>
  <c r="DR43" i="23916" s="1"/>
  <c r="DQ35" i="23916"/>
  <c r="DQ44" i="23916"/>
  <c r="DR28" i="23916"/>
  <c r="DQ34" i="23916"/>
  <c r="DQ42" i="23916"/>
  <c r="DR42" i="23916" s="1"/>
  <c r="DQ41" i="23916"/>
  <c r="DR41" i="23916" s="1"/>
  <c r="DM74" i="23916"/>
  <c r="CG230" i="23916"/>
  <c r="CH228" i="23916"/>
  <c r="DP134" i="23916"/>
  <c r="DQ129" i="23916"/>
  <c r="CE244" i="23916"/>
  <c r="CF244" i="23916" s="1"/>
  <c r="CF232" i="23916"/>
  <c r="CE245" i="23916"/>
  <c r="CF245" i="23916" s="1"/>
  <c r="CE280" i="23916"/>
  <c r="CF280" i="23916" s="1"/>
  <c r="CG248" i="23916"/>
  <c r="CH248" i="23916" s="1"/>
  <c r="CH246" i="23916"/>
  <c r="DR44" i="23916" l="1"/>
  <c r="DQ45" i="23916"/>
  <c r="DR45" i="23916" s="1"/>
  <c r="CH219" i="23916"/>
  <c r="CG233" i="23916"/>
  <c r="CH233" i="23916" s="1"/>
  <c r="CH230" i="23916"/>
  <c r="CG232" i="23916"/>
  <c r="DQ92" i="23916"/>
  <c r="DR92" i="23916" s="1"/>
  <c r="DR35" i="23916"/>
  <c r="CK208" i="23916"/>
  <c r="CI229" i="23916"/>
  <c r="CJ229" i="23916" s="1"/>
  <c r="CJ214" i="23916"/>
  <c r="CI216" i="23916"/>
  <c r="DO156" i="23916"/>
  <c r="DP156" i="23916" s="1"/>
  <c r="DP154" i="23916"/>
  <c r="DQ140" i="23916"/>
  <c r="DR140" i="23916" s="1"/>
  <c r="DQ141" i="23916"/>
  <c r="DQ139" i="23916"/>
  <c r="DR139" i="23916" s="1"/>
  <c r="DQ135" i="23916"/>
  <c r="DR129" i="23916"/>
  <c r="DQ134" i="23916"/>
  <c r="DN74" i="23916"/>
  <c r="DM90" i="23916"/>
  <c r="DN90" i="23916" s="1"/>
  <c r="DM91" i="23916"/>
  <c r="DN91" i="23916" s="1"/>
  <c r="DM123" i="23916"/>
  <c r="DN123" i="23916" s="1"/>
  <c r="DS28" i="23916"/>
  <c r="DR34" i="23916"/>
  <c r="DQ37" i="23916"/>
  <c r="DR37" i="23916" s="1"/>
  <c r="CI218" i="23916"/>
  <c r="CJ218" i="23916" s="1"/>
  <c r="CI197" i="23916"/>
  <c r="CI200" i="23916" s="1"/>
  <c r="CJ200" i="23916" s="1"/>
  <c r="CK189" i="23916"/>
  <c r="CI228" i="23916"/>
  <c r="CJ195" i="23916"/>
  <c r="DP55" i="23916"/>
  <c r="DQ49" i="23916"/>
  <c r="DO58" i="23916"/>
  <c r="DP58" i="23916" s="1"/>
  <c r="DP56" i="23916"/>
  <c r="DO93" i="23916"/>
  <c r="DP93" i="23916" s="1"/>
  <c r="CI199" i="23916"/>
  <c r="DO74" i="23916"/>
  <c r="DO73" i="23916"/>
  <c r="DP68" i="23916"/>
  <c r="DQ154" i="23916" l="1"/>
  <c r="DR135" i="23916"/>
  <c r="DQ155" i="23916"/>
  <c r="DR155" i="23916" s="1"/>
  <c r="DQ153" i="23916"/>
  <c r="DR153" i="23916" s="1"/>
  <c r="DQ184" i="23916"/>
  <c r="DR184" i="23916" s="1"/>
  <c r="DO90" i="23916"/>
  <c r="DP90" i="23916" s="1"/>
  <c r="DP74" i="23916"/>
  <c r="DO91" i="23916"/>
  <c r="DP91" i="23916" s="1"/>
  <c r="DO123" i="23916"/>
  <c r="DP123" i="23916" s="1"/>
  <c r="CJ228" i="23916"/>
  <c r="CI230" i="23916"/>
  <c r="CI204" i="23916"/>
  <c r="CJ199" i="23916"/>
  <c r="CI247" i="23916"/>
  <c r="CI246" i="23916"/>
  <c r="DQ55" i="23916"/>
  <c r="DQ64" i="23916"/>
  <c r="DR64" i="23916" s="1"/>
  <c r="DQ62" i="23916"/>
  <c r="DR62" i="23916" s="1"/>
  <c r="DR49" i="23916"/>
  <c r="DQ65" i="23916"/>
  <c r="DR65" i="23916" s="1"/>
  <c r="DQ56" i="23916"/>
  <c r="DQ63" i="23916"/>
  <c r="DR63" i="23916" s="1"/>
  <c r="DQ68" i="23916"/>
  <c r="CK205" i="23916"/>
  <c r="CK199" i="23916"/>
  <c r="CL189" i="23916"/>
  <c r="CK195" i="23916"/>
  <c r="CH232" i="23916"/>
  <c r="CG244" i="23916"/>
  <c r="CH244" i="23916" s="1"/>
  <c r="CG245" i="23916"/>
  <c r="CH245" i="23916" s="1"/>
  <c r="CG280" i="23916"/>
  <c r="CH280" i="23916" s="1"/>
  <c r="DS41" i="23916"/>
  <c r="DT41" i="23916" s="1"/>
  <c r="DT28" i="23916"/>
  <c r="DS42" i="23916"/>
  <c r="DT42" i="23916" s="1"/>
  <c r="DS44" i="23916"/>
  <c r="DS34" i="23916"/>
  <c r="DS35" i="23916" s="1"/>
  <c r="DS43" i="23916"/>
  <c r="DT43" i="23916" s="1"/>
  <c r="CL208" i="23916"/>
  <c r="CK218" i="23916"/>
  <c r="CL218" i="23916" s="1"/>
  <c r="CK214" i="23916"/>
  <c r="CK223" i="23916"/>
  <c r="CK224" i="23916"/>
  <c r="CK225" i="23916" s="1"/>
  <c r="DO76" i="23916"/>
  <c r="DP76" i="23916" s="1"/>
  <c r="DO79" i="23916"/>
  <c r="DP79" i="23916" s="1"/>
  <c r="DP73" i="23916"/>
  <c r="DR134" i="23916"/>
  <c r="DS129" i="23916"/>
  <c r="DQ142" i="23916"/>
  <c r="DR142" i="23916" s="1"/>
  <c r="DR141" i="23916"/>
  <c r="CJ216" i="23916"/>
  <c r="CI219" i="23916"/>
  <c r="DT35" i="23916" l="1"/>
  <c r="DS92" i="23916"/>
  <c r="DT92" i="23916" s="1"/>
  <c r="DR68" i="23916"/>
  <c r="DQ74" i="23916"/>
  <c r="DQ73" i="23916"/>
  <c r="CK216" i="23916"/>
  <c r="CL214" i="23916"/>
  <c r="CK229" i="23916"/>
  <c r="FZ214" i="23916"/>
  <c r="CM208" i="23916"/>
  <c r="CL195" i="23916"/>
  <c r="CK228" i="23916"/>
  <c r="CK197" i="23916"/>
  <c r="CK200" i="23916" s="1"/>
  <c r="CL200" i="23916" s="1"/>
  <c r="CM189" i="23916"/>
  <c r="FZ195" i="23916"/>
  <c r="DQ58" i="23916"/>
  <c r="DR58" i="23916" s="1"/>
  <c r="DR55" i="23916"/>
  <c r="DS49" i="23916"/>
  <c r="CI233" i="23916"/>
  <c r="CJ233" i="23916" s="1"/>
  <c r="CJ219" i="23916"/>
  <c r="DS134" i="23916"/>
  <c r="DS141" i="23916"/>
  <c r="DS139" i="23916"/>
  <c r="DT139" i="23916" s="1"/>
  <c r="DT129" i="23916"/>
  <c r="DS140" i="23916"/>
  <c r="DT140" i="23916" s="1"/>
  <c r="CJ246" i="23916"/>
  <c r="CI248" i="23916"/>
  <c r="CJ248" i="23916" s="1"/>
  <c r="DS37" i="23916"/>
  <c r="DT37" i="23916" s="1"/>
  <c r="DU28" i="23916"/>
  <c r="DT34" i="23916"/>
  <c r="CK247" i="23916"/>
  <c r="CL247" i="23916" s="1"/>
  <c r="CK246" i="23916"/>
  <c r="CK204" i="23916"/>
  <c r="CL199" i="23916"/>
  <c r="CJ247" i="23916"/>
  <c r="FZ247" i="23916"/>
  <c r="GA247" i="23916" s="1"/>
  <c r="CJ230" i="23916"/>
  <c r="CI232" i="23916"/>
  <c r="DS45" i="23916"/>
  <c r="DT45" i="23916" s="1"/>
  <c r="DT44" i="23916"/>
  <c r="DQ93" i="23916"/>
  <c r="DR93" i="23916" s="1"/>
  <c r="DR56" i="23916"/>
  <c r="DR154" i="23916"/>
  <c r="DQ156" i="23916"/>
  <c r="DR156" i="23916" s="1"/>
  <c r="DU43" i="23916" l="1"/>
  <c r="DV43" i="23916" s="1"/>
  <c r="DU44" i="23916"/>
  <c r="DU34" i="23916"/>
  <c r="DU42" i="23916"/>
  <c r="DV42" i="23916" s="1"/>
  <c r="DV28" i="23916"/>
  <c r="DU41" i="23916"/>
  <c r="DV41" i="23916" s="1"/>
  <c r="FZ197" i="23916"/>
  <c r="GA195" i="23916"/>
  <c r="GB189" i="23916"/>
  <c r="FZ199" i="23916"/>
  <c r="FZ228" i="23916"/>
  <c r="CK230" i="23916"/>
  <c r="CL228" i="23916"/>
  <c r="FZ229" i="23916"/>
  <c r="GA229" i="23916" s="1"/>
  <c r="CL229" i="23916"/>
  <c r="DR74" i="23916"/>
  <c r="DQ90" i="23916"/>
  <c r="DR90" i="23916" s="1"/>
  <c r="DQ91" i="23916"/>
  <c r="DR91" i="23916" s="1"/>
  <c r="DQ123" i="23916"/>
  <c r="DR123" i="23916" s="1"/>
  <c r="CK248" i="23916"/>
  <c r="CL248" i="23916" s="1"/>
  <c r="CL246" i="23916"/>
  <c r="DU129" i="23916"/>
  <c r="DT134" i="23916"/>
  <c r="DT49" i="23916"/>
  <c r="DS65" i="23916"/>
  <c r="DT65" i="23916" s="1"/>
  <c r="DS64" i="23916"/>
  <c r="DT64" i="23916" s="1"/>
  <c r="DS62" i="23916"/>
  <c r="DT62" i="23916" s="1"/>
  <c r="DS55" i="23916"/>
  <c r="DS63" i="23916"/>
  <c r="DT63" i="23916" s="1"/>
  <c r="DS68" i="23916"/>
  <c r="CM195" i="23916"/>
  <c r="CM199" i="23916" s="1"/>
  <c r="CM205" i="23916"/>
  <c r="CN189" i="23916"/>
  <c r="CM223" i="23916"/>
  <c r="CM224" i="23916"/>
  <c r="CM225" i="23916" s="1"/>
  <c r="CM214" i="23916"/>
  <c r="CM218" i="23916" s="1"/>
  <c r="CN218" i="23916" s="1"/>
  <c r="CN208" i="23916"/>
  <c r="CL216" i="23916"/>
  <c r="CK219" i="23916"/>
  <c r="DT141" i="23916"/>
  <c r="DS142" i="23916"/>
  <c r="DT142" i="23916" s="1"/>
  <c r="CI244" i="23916"/>
  <c r="CJ244" i="23916" s="1"/>
  <c r="CJ232" i="23916"/>
  <c r="CI245" i="23916"/>
  <c r="CJ245" i="23916" s="1"/>
  <c r="CI280" i="23916"/>
  <c r="CJ280" i="23916" s="1"/>
  <c r="FZ246" i="23916"/>
  <c r="DS135" i="23916"/>
  <c r="FZ216" i="23916"/>
  <c r="FZ219" i="23916" s="1"/>
  <c r="GB208" i="23916"/>
  <c r="GA214" i="23916"/>
  <c r="FZ218" i="23916"/>
  <c r="GA218" i="23916" s="1"/>
  <c r="DQ79" i="23916"/>
  <c r="DR79" i="23916" s="1"/>
  <c r="DR73" i="23916"/>
  <c r="DQ76" i="23916"/>
  <c r="DR76" i="23916" s="1"/>
  <c r="CM204" i="23916" l="1"/>
  <c r="CN199" i="23916"/>
  <c r="CM247" i="23916"/>
  <c r="CM246" i="23916"/>
  <c r="DS58" i="23916"/>
  <c r="DT58" i="23916" s="1"/>
  <c r="DT55" i="23916"/>
  <c r="DU49" i="23916"/>
  <c r="GC189" i="23916"/>
  <c r="GB205" i="23916"/>
  <c r="GC208" i="23916"/>
  <c r="GB223" i="23916"/>
  <c r="GB224" i="23916"/>
  <c r="DS56" i="23916"/>
  <c r="DV129" i="23916"/>
  <c r="DU140" i="23916"/>
  <c r="DV140" i="23916" s="1"/>
  <c r="DU141" i="23916"/>
  <c r="DU139" i="23916"/>
  <c r="DV139" i="23916" s="1"/>
  <c r="DU134" i="23916"/>
  <c r="GA199" i="23916"/>
  <c r="FZ204" i="23916"/>
  <c r="DV34" i="23916"/>
  <c r="DX28" i="23916" s="1"/>
  <c r="DU37" i="23916"/>
  <c r="DV37" i="23916" s="1"/>
  <c r="DW28" i="23916"/>
  <c r="DV44" i="23916"/>
  <c r="DU45" i="23916"/>
  <c r="DV45" i="23916" s="1"/>
  <c r="DS153" i="23916"/>
  <c r="DT153" i="23916" s="1"/>
  <c r="DS155" i="23916"/>
  <c r="DT155" i="23916" s="1"/>
  <c r="DS154" i="23916"/>
  <c r="DT135" i="23916"/>
  <c r="DS184" i="23916"/>
  <c r="DT184" i="23916" s="1"/>
  <c r="CL219" i="23916"/>
  <c r="CK233" i="23916"/>
  <c r="CL233" i="23916" s="1"/>
  <c r="CM228" i="23916"/>
  <c r="CN195" i="23916"/>
  <c r="CO189" i="23916"/>
  <c r="CM197" i="23916"/>
  <c r="CM200" i="23916" s="1"/>
  <c r="CN200" i="23916" s="1"/>
  <c r="CL230" i="23916"/>
  <c r="CK232" i="23916"/>
  <c r="DU35" i="23916"/>
  <c r="FZ233" i="23916"/>
  <c r="GA233" i="23916" s="1"/>
  <c r="GA219" i="23916"/>
  <c r="CM229" i="23916"/>
  <c r="CN229" i="23916" s="1"/>
  <c r="CN214" i="23916"/>
  <c r="CM216" i="23916"/>
  <c r="CO208" i="23916"/>
  <c r="FZ248" i="23916"/>
  <c r="GA248" i="23916" s="1"/>
  <c r="GA246" i="23916"/>
  <c r="DS74" i="23916"/>
  <c r="DS73" i="23916"/>
  <c r="DT68" i="23916"/>
  <c r="FZ230" i="23916"/>
  <c r="GA228" i="23916"/>
  <c r="DW129" i="23916" l="1"/>
  <c r="DV134" i="23916"/>
  <c r="DX129" i="23916" s="1"/>
  <c r="CN246" i="23916"/>
  <c r="CM248" i="23916"/>
  <c r="CN248" i="23916" s="1"/>
  <c r="GA230" i="23916"/>
  <c r="FZ232" i="23916"/>
  <c r="DU92" i="23916"/>
  <c r="DV92" i="23916" s="1"/>
  <c r="DV35" i="23916"/>
  <c r="DS156" i="23916"/>
  <c r="DT156" i="23916" s="1"/>
  <c r="DT154" i="23916"/>
  <c r="DT56" i="23916"/>
  <c r="DS93" i="23916"/>
  <c r="DT93" i="23916" s="1"/>
  <c r="DU55" i="23916"/>
  <c r="DU64" i="23916"/>
  <c r="DV64" i="23916" s="1"/>
  <c r="DU62" i="23916"/>
  <c r="DV62" i="23916" s="1"/>
  <c r="DU65" i="23916"/>
  <c r="DV65" i="23916" s="1"/>
  <c r="DV49" i="23916"/>
  <c r="DU56" i="23916"/>
  <c r="DU63" i="23916"/>
  <c r="DV63" i="23916" s="1"/>
  <c r="DU68" i="23916"/>
  <c r="CN247" i="23916"/>
  <c r="DS90" i="23916"/>
  <c r="DT90" i="23916" s="1"/>
  <c r="DT74" i="23916"/>
  <c r="DS91" i="23916"/>
  <c r="DT91" i="23916" s="1"/>
  <c r="DS123" i="23916"/>
  <c r="DT123" i="23916" s="1"/>
  <c r="CN216" i="23916"/>
  <c r="CM219" i="23916"/>
  <c r="CN228" i="23916"/>
  <c r="CM230" i="23916"/>
  <c r="DX42" i="23916"/>
  <c r="DX41" i="23916"/>
  <c r="DX35" i="23916"/>
  <c r="DX92" i="23916" s="1"/>
  <c r="DX44" i="23916"/>
  <c r="DX45" i="23916" s="1"/>
  <c r="DX34" i="23916"/>
  <c r="DX37" i="23916" s="1"/>
  <c r="DX43" i="23916"/>
  <c r="CL232" i="23916"/>
  <c r="CK244" i="23916"/>
  <c r="CL244" i="23916" s="1"/>
  <c r="CK245" i="23916"/>
  <c r="CL245" i="23916" s="1"/>
  <c r="CK280" i="23916"/>
  <c r="CL280" i="23916" s="1"/>
  <c r="CO205" i="23916"/>
  <c r="CP189" i="23916"/>
  <c r="CO195" i="23916"/>
  <c r="CO199" i="23916" s="1"/>
  <c r="DW41" i="23916"/>
  <c r="DW35" i="23916"/>
  <c r="DW92" i="23916" s="1"/>
  <c r="DW42" i="23916"/>
  <c r="DW44" i="23916"/>
  <c r="DW45" i="23916" s="1"/>
  <c r="DW34" i="23916"/>
  <c r="DW43" i="23916"/>
  <c r="DU142" i="23916"/>
  <c r="DV142" i="23916" s="1"/>
  <c r="DV141" i="23916"/>
  <c r="DS76" i="23916"/>
  <c r="DT76" i="23916" s="1"/>
  <c r="DS79" i="23916"/>
  <c r="DT79" i="23916" s="1"/>
  <c r="DT73" i="23916"/>
  <c r="CO224" i="23916"/>
  <c r="CO225" i="23916" s="1"/>
  <c r="CP208" i="23916"/>
  <c r="CO223" i="23916"/>
  <c r="CO218" i="23916"/>
  <c r="CP218" i="23916" s="1"/>
  <c r="CO214" i="23916"/>
  <c r="DU135" i="23916"/>
  <c r="CO247" i="23916" l="1"/>
  <c r="CO246" i="23916"/>
  <c r="CO204" i="23916"/>
  <c r="CP199" i="23916"/>
  <c r="DU93" i="23916"/>
  <c r="DV93" i="23916" s="1"/>
  <c r="DV56" i="23916"/>
  <c r="GA232" i="23916"/>
  <c r="FZ244" i="23916"/>
  <c r="GA244" i="23916" s="1"/>
  <c r="FZ245" i="23916"/>
  <c r="GA245" i="23916" s="1"/>
  <c r="FZ280" i="23916"/>
  <c r="GA280" i="23916" s="1"/>
  <c r="DU154" i="23916"/>
  <c r="DV135" i="23916"/>
  <c r="DU155" i="23916"/>
  <c r="DV155" i="23916" s="1"/>
  <c r="DU153" i="23916"/>
  <c r="DV153" i="23916" s="1"/>
  <c r="DU184" i="23916"/>
  <c r="DV184" i="23916" s="1"/>
  <c r="DU58" i="23916"/>
  <c r="DV58" i="23916" s="1"/>
  <c r="DV55" i="23916"/>
  <c r="DX49" i="23916" s="1"/>
  <c r="DW49" i="23916"/>
  <c r="CO197" i="23916"/>
  <c r="CO200" i="23916" s="1"/>
  <c r="CP200" i="23916" s="1"/>
  <c r="CP195" i="23916"/>
  <c r="CQ189" i="23916"/>
  <c r="CO228" i="23916"/>
  <c r="CN230" i="23916"/>
  <c r="CM232" i="23916"/>
  <c r="CO216" i="23916"/>
  <c r="CP214" i="23916"/>
  <c r="CQ208" i="23916"/>
  <c r="CO229" i="23916"/>
  <c r="CP229" i="23916" s="1"/>
  <c r="DW37" i="23916"/>
  <c r="DY28" i="23916"/>
  <c r="CM233" i="23916"/>
  <c r="CN233" i="23916" s="1"/>
  <c r="CN219" i="23916"/>
  <c r="DV68" i="23916"/>
  <c r="DU73" i="23916"/>
  <c r="DX141" i="23916"/>
  <c r="DX142" i="23916" s="1"/>
  <c r="DX139" i="23916"/>
  <c r="DX134" i="23916"/>
  <c r="DX135" i="23916" s="1"/>
  <c r="DX140" i="23916"/>
  <c r="DW134" i="23916"/>
  <c r="DY129" i="23916" s="1"/>
  <c r="DW141" i="23916"/>
  <c r="DW142" i="23916" s="1"/>
  <c r="DW139" i="23916"/>
  <c r="DW140" i="23916"/>
  <c r="DX155" i="23916" l="1"/>
  <c r="DX153" i="23916"/>
  <c r="DX154" i="23916"/>
  <c r="DX156" i="23916" s="1"/>
  <c r="DX184" i="23916"/>
  <c r="DU79" i="23916"/>
  <c r="DV79" i="23916" s="1"/>
  <c r="DV73" i="23916"/>
  <c r="DU76" i="23916"/>
  <c r="DV76" i="23916" s="1"/>
  <c r="CQ224" i="23916"/>
  <c r="CQ225" i="23916" s="1"/>
  <c r="CQ218" i="23916"/>
  <c r="CR218" i="23916" s="1"/>
  <c r="CQ214" i="23916"/>
  <c r="CR208" i="23916"/>
  <c r="CQ223" i="23916"/>
  <c r="DU74" i="23916"/>
  <c r="DY43" i="23916"/>
  <c r="DZ43" i="23916" s="1"/>
  <c r="DY44" i="23916"/>
  <c r="DY34" i="23916"/>
  <c r="DY42" i="23916"/>
  <c r="DZ42" i="23916" s="1"/>
  <c r="DZ28" i="23916"/>
  <c r="DY41" i="23916"/>
  <c r="DZ41" i="23916" s="1"/>
  <c r="DY35" i="23916"/>
  <c r="DV154" i="23916"/>
  <c r="DU156" i="23916"/>
  <c r="DV156" i="23916" s="1"/>
  <c r="DW135" i="23916"/>
  <c r="CP216" i="23916"/>
  <c r="CO219" i="23916"/>
  <c r="CO230" i="23916"/>
  <c r="CP228" i="23916"/>
  <c r="DW55" i="23916"/>
  <c r="DW65" i="23916"/>
  <c r="DW56" i="23916"/>
  <c r="DW93" i="23916" s="1"/>
  <c r="DW64" i="23916"/>
  <c r="DW62" i="23916"/>
  <c r="DW63" i="23916"/>
  <c r="DW68" i="23916"/>
  <c r="CO248" i="23916"/>
  <c r="CP248" i="23916" s="1"/>
  <c r="CP246" i="23916"/>
  <c r="DY140" i="23916"/>
  <c r="DZ140" i="23916" s="1"/>
  <c r="DY141" i="23916"/>
  <c r="DY139" i="23916"/>
  <c r="DZ139" i="23916" s="1"/>
  <c r="DZ129" i="23916"/>
  <c r="DY135" i="23916"/>
  <c r="DY134" i="23916"/>
  <c r="CM244" i="23916"/>
  <c r="CN244" i="23916" s="1"/>
  <c r="CN232" i="23916"/>
  <c r="CM245" i="23916"/>
  <c r="CN245" i="23916" s="1"/>
  <c r="CM280" i="23916"/>
  <c r="CN280" i="23916" s="1"/>
  <c r="CQ195" i="23916"/>
  <c r="CR189" i="23916"/>
  <c r="CQ205" i="23916"/>
  <c r="DX65" i="23916"/>
  <c r="DX63" i="23916"/>
  <c r="DX55" i="23916"/>
  <c r="DX58" i="23916" s="1"/>
  <c r="DX64" i="23916"/>
  <c r="DX62" i="23916"/>
  <c r="DX68" i="23916"/>
  <c r="CP247" i="23916"/>
  <c r="DY154" i="23916" l="1"/>
  <c r="DZ135" i="23916"/>
  <c r="DY155" i="23916"/>
  <c r="DZ155" i="23916" s="1"/>
  <c r="DY153" i="23916"/>
  <c r="DZ153" i="23916" s="1"/>
  <c r="DY184" i="23916"/>
  <c r="DZ184" i="23916" s="1"/>
  <c r="DW73" i="23916"/>
  <c r="CP219" i="23916"/>
  <c r="CO233" i="23916"/>
  <c r="CP233" i="23916" s="1"/>
  <c r="CS208" i="23916"/>
  <c r="CQ229" i="23916"/>
  <c r="CR229" i="23916" s="1"/>
  <c r="CQ216" i="23916"/>
  <c r="CR214" i="23916"/>
  <c r="DZ44" i="23916"/>
  <c r="DY45" i="23916"/>
  <c r="DZ45" i="23916" s="1"/>
  <c r="CQ197" i="23916"/>
  <c r="CQ200" i="23916" s="1"/>
  <c r="CR200" i="23916" s="1"/>
  <c r="CS189" i="23916"/>
  <c r="CQ228" i="23916"/>
  <c r="CR195" i="23916"/>
  <c r="DY49" i="23916"/>
  <c r="DW58" i="23916"/>
  <c r="DY92" i="23916"/>
  <c r="DZ92" i="23916" s="1"/>
  <c r="DZ35" i="23916"/>
  <c r="DV74" i="23916"/>
  <c r="DU90" i="23916"/>
  <c r="DV90" i="23916" s="1"/>
  <c r="DU91" i="23916"/>
  <c r="DV91" i="23916" s="1"/>
  <c r="DU123" i="23916"/>
  <c r="DV123" i="23916" s="1"/>
  <c r="CP230" i="23916"/>
  <c r="CO232" i="23916"/>
  <c r="DX74" i="23916"/>
  <c r="DX73" i="23916"/>
  <c r="DX56" i="23916"/>
  <c r="DX93" i="23916" s="1"/>
  <c r="CQ199" i="23916"/>
  <c r="DZ134" i="23916"/>
  <c r="EA129" i="23916"/>
  <c r="DY142" i="23916"/>
  <c r="DZ142" i="23916" s="1"/>
  <c r="DZ141" i="23916"/>
  <c r="DW153" i="23916"/>
  <c r="DW155" i="23916"/>
  <c r="DW154" i="23916"/>
  <c r="DW184" i="23916"/>
  <c r="DZ34" i="23916"/>
  <c r="EA28" i="23916"/>
  <c r="DY37" i="23916"/>
  <c r="DZ37" i="23916" s="1"/>
  <c r="DX90" i="23916" l="1"/>
  <c r="DX91" i="23916"/>
  <c r="DX123" i="23916"/>
  <c r="EA41" i="23916"/>
  <c r="EB41" i="23916" s="1"/>
  <c r="EB28" i="23916"/>
  <c r="EA44" i="23916"/>
  <c r="EA34" i="23916"/>
  <c r="EA35" i="23916"/>
  <c r="EA42" i="23916"/>
  <c r="EB42" i="23916" s="1"/>
  <c r="EA43" i="23916"/>
  <c r="EB43" i="23916" s="1"/>
  <c r="EA135" i="23916"/>
  <c r="EA134" i="23916"/>
  <c r="EA141" i="23916"/>
  <c r="EA139" i="23916"/>
  <c r="EB139" i="23916" s="1"/>
  <c r="EA140" i="23916"/>
  <c r="EB140" i="23916" s="1"/>
  <c r="EB129" i="23916"/>
  <c r="DX76" i="23916"/>
  <c r="DX79" i="23916"/>
  <c r="DY64" i="23916"/>
  <c r="DZ64" i="23916" s="1"/>
  <c r="DY62" i="23916"/>
  <c r="DZ62" i="23916" s="1"/>
  <c r="DY65" i="23916"/>
  <c r="DZ65" i="23916" s="1"/>
  <c r="DY56" i="23916"/>
  <c r="DY55" i="23916"/>
  <c r="DZ49" i="23916"/>
  <c r="DY63" i="23916"/>
  <c r="DZ63" i="23916" s="1"/>
  <c r="DY68" i="23916"/>
  <c r="CR216" i="23916"/>
  <c r="CQ219" i="23916"/>
  <c r="DW76" i="23916"/>
  <c r="DW79" i="23916"/>
  <c r="CQ204" i="23916"/>
  <c r="CR199" i="23916"/>
  <c r="CQ247" i="23916"/>
  <c r="CQ246" i="23916"/>
  <c r="CP232" i="23916"/>
  <c r="CO244" i="23916"/>
  <c r="CP244" i="23916" s="1"/>
  <c r="CO245" i="23916"/>
  <c r="CP245" i="23916" s="1"/>
  <c r="CO280" i="23916"/>
  <c r="CP280" i="23916" s="1"/>
  <c r="CR228" i="23916"/>
  <c r="CQ230" i="23916"/>
  <c r="CS218" i="23916"/>
  <c r="CT218" i="23916" s="1"/>
  <c r="CS214" i="23916"/>
  <c r="CS223" i="23916"/>
  <c r="CS224" i="23916"/>
  <c r="CS225" i="23916" s="1"/>
  <c r="CT208" i="23916"/>
  <c r="DW74" i="23916"/>
  <c r="DW156" i="23916"/>
  <c r="CS205" i="23916"/>
  <c r="CS199" i="23916"/>
  <c r="CT189" i="23916"/>
  <c r="CS195" i="23916"/>
  <c r="DZ154" i="23916"/>
  <c r="DY156" i="23916"/>
  <c r="DZ156" i="23916" s="1"/>
  <c r="EA45" i="23916" l="1"/>
  <c r="EB45" i="23916" s="1"/>
  <c r="EB44" i="23916"/>
  <c r="CS247" i="23916"/>
  <c r="CT247" i="23916" s="1"/>
  <c r="CS246" i="23916"/>
  <c r="CS204" i="23916"/>
  <c r="CT199" i="23916"/>
  <c r="DW90" i="23916"/>
  <c r="DW91" i="23916"/>
  <c r="DW123" i="23916"/>
  <c r="CS216" i="23916"/>
  <c r="CT214" i="23916"/>
  <c r="GB214" i="23916"/>
  <c r="CS229" i="23916"/>
  <c r="CU208" i="23916"/>
  <c r="DY58" i="23916"/>
  <c r="DZ58" i="23916" s="1"/>
  <c r="DZ55" i="23916"/>
  <c r="EA49" i="23916"/>
  <c r="EA153" i="23916"/>
  <c r="EB153" i="23916" s="1"/>
  <c r="EA155" i="23916"/>
  <c r="EB155" i="23916" s="1"/>
  <c r="EA154" i="23916"/>
  <c r="EB135" i="23916"/>
  <c r="EA184" i="23916"/>
  <c r="EB184" i="23916" s="1"/>
  <c r="EA37" i="23916"/>
  <c r="EB37" i="23916" s="1"/>
  <c r="EB34" i="23916"/>
  <c r="EC28" i="23916"/>
  <c r="DY93" i="23916"/>
  <c r="DZ93" i="23916" s="1"/>
  <c r="DZ56" i="23916"/>
  <c r="GB195" i="23916"/>
  <c r="CT195" i="23916"/>
  <c r="CS228" i="23916"/>
  <c r="CS197" i="23916"/>
  <c r="CS200" i="23916" s="1"/>
  <c r="CT200" i="23916" s="1"/>
  <c r="CU189" i="23916"/>
  <c r="CR247" i="23916"/>
  <c r="GB247" i="23916"/>
  <c r="GC247" i="23916" s="1"/>
  <c r="EB141" i="23916"/>
  <c r="EA142" i="23916"/>
  <c r="EB142" i="23916" s="1"/>
  <c r="CR246" i="23916"/>
  <c r="CQ248" i="23916"/>
  <c r="CR248" i="23916" s="1"/>
  <c r="GB246" i="23916"/>
  <c r="DZ68" i="23916"/>
  <c r="DY74" i="23916"/>
  <c r="DY73" i="23916"/>
  <c r="CR230" i="23916"/>
  <c r="CQ232" i="23916"/>
  <c r="CQ233" i="23916"/>
  <c r="CR233" i="23916" s="1"/>
  <c r="CR219" i="23916"/>
  <c r="EC129" i="23916"/>
  <c r="EB134" i="23916"/>
  <c r="EA92" i="23916"/>
  <c r="EB92" i="23916" s="1"/>
  <c r="EB35" i="23916"/>
  <c r="EC140" i="23916" l="1"/>
  <c r="ED140" i="23916" s="1"/>
  <c r="ED129" i="23916"/>
  <c r="EC141" i="23916"/>
  <c r="EC139" i="23916"/>
  <c r="ED139" i="23916" s="1"/>
  <c r="EC134" i="23916"/>
  <c r="CU195" i="23916"/>
  <c r="CU205" i="23916"/>
  <c r="CV189" i="23916"/>
  <c r="GC195" i="23916"/>
  <c r="GB197" i="23916"/>
  <c r="GD189" i="23916"/>
  <c r="GB199" i="23916"/>
  <c r="EA156" i="23916"/>
  <c r="EB156" i="23916" s="1"/>
  <c r="EB154" i="23916"/>
  <c r="GC214" i="23916"/>
  <c r="GD208" i="23916"/>
  <c r="GB216" i="23916"/>
  <c r="GB219" i="23916" s="1"/>
  <c r="GB218" i="23916"/>
  <c r="GC218" i="23916" s="1"/>
  <c r="CS248" i="23916"/>
  <c r="CT248" i="23916" s="1"/>
  <c r="CT246" i="23916"/>
  <c r="GC246" i="23916"/>
  <c r="GB248" i="23916"/>
  <c r="GC248" i="23916" s="1"/>
  <c r="DY79" i="23916"/>
  <c r="DZ79" i="23916" s="1"/>
  <c r="DZ73" i="23916"/>
  <c r="DY76" i="23916"/>
  <c r="DZ76" i="23916" s="1"/>
  <c r="GB228" i="23916"/>
  <c r="CS230" i="23916"/>
  <c r="CT228" i="23916"/>
  <c r="CU223" i="23916"/>
  <c r="CU214" i="23916"/>
  <c r="CU224" i="23916"/>
  <c r="CU225" i="23916" s="1"/>
  <c r="CU218" i="23916"/>
  <c r="CV218" i="23916" s="1"/>
  <c r="CV208" i="23916"/>
  <c r="CT216" i="23916"/>
  <c r="CS219" i="23916"/>
  <c r="CQ244" i="23916"/>
  <c r="CR244" i="23916" s="1"/>
  <c r="CR232" i="23916"/>
  <c r="CQ245" i="23916"/>
  <c r="CR245" i="23916" s="1"/>
  <c r="CQ280" i="23916"/>
  <c r="CR280" i="23916" s="1"/>
  <c r="DZ74" i="23916"/>
  <c r="DY90" i="23916"/>
  <c r="DZ90" i="23916" s="1"/>
  <c r="DY91" i="23916"/>
  <c r="DZ91" i="23916" s="1"/>
  <c r="DY123" i="23916"/>
  <c r="DZ123" i="23916" s="1"/>
  <c r="ED28" i="23916"/>
  <c r="EC35" i="23916"/>
  <c r="EC44" i="23916"/>
  <c r="EC34" i="23916"/>
  <c r="EC41" i="23916"/>
  <c r="ED41" i="23916" s="1"/>
  <c r="EC42" i="23916"/>
  <c r="ED42" i="23916" s="1"/>
  <c r="EC43" i="23916"/>
  <c r="ED43" i="23916" s="1"/>
  <c r="EA65" i="23916"/>
  <c r="EB65" i="23916" s="1"/>
  <c r="EB49" i="23916"/>
  <c r="EA64" i="23916"/>
  <c r="EB64" i="23916" s="1"/>
  <c r="EA55" i="23916"/>
  <c r="EA63" i="23916"/>
  <c r="EB63" i="23916" s="1"/>
  <c r="EA62" i="23916"/>
  <c r="EB62" i="23916" s="1"/>
  <c r="EA68" i="23916"/>
  <c r="GB229" i="23916"/>
  <c r="GC229" i="23916" s="1"/>
  <c r="CT229" i="23916"/>
  <c r="EC49" i="23916" l="1"/>
  <c r="EB55" i="23916"/>
  <c r="EA58" i="23916"/>
  <c r="EB58" i="23916" s="1"/>
  <c r="GC219" i="23916"/>
  <c r="GB233" i="23916"/>
  <c r="GC233" i="23916" s="1"/>
  <c r="EA74" i="23916"/>
  <c r="EA73" i="23916"/>
  <c r="EB68" i="23916"/>
  <c r="EE28" i="23916"/>
  <c r="EC37" i="23916"/>
  <c r="ED37" i="23916" s="1"/>
  <c r="ED34" i="23916"/>
  <c r="CT219" i="23916"/>
  <c r="CS233" i="23916"/>
  <c r="CT233" i="23916" s="1"/>
  <c r="GE208" i="23916"/>
  <c r="GD223" i="23916"/>
  <c r="GD224" i="23916"/>
  <c r="GC199" i="23916"/>
  <c r="GB204" i="23916"/>
  <c r="CU228" i="23916"/>
  <c r="CV195" i="23916"/>
  <c r="CU197" i="23916"/>
  <c r="CU200" i="23916" s="1"/>
  <c r="CV200" i="23916" s="1"/>
  <c r="CW189" i="23916"/>
  <c r="EC142" i="23916"/>
  <c r="ED142" i="23916" s="1"/>
  <c r="ED141" i="23916"/>
  <c r="EA56" i="23916"/>
  <c r="ED44" i="23916"/>
  <c r="EC45" i="23916"/>
  <c r="ED45" i="23916" s="1"/>
  <c r="CT230" i="23916"/>
  <c r="CS232" i="23916"/>
  <c r="GE189" i="23916"/>
  <c r="GD205" i="23916"/>
  <c r="ED134" i="23916"/>
  <c r="EE129" i="23916"/>
  <c r="EC92" i="23916"/>
  <c r="ED92" i="23916" s="1"/>
  <c r="ED35" i="23916"/>
  <c r="CV214" i="23916"/>
  <c r="CU229" i="23916"/>
  <c r="CV229" i="23916" s="1"/>
  <c r="CW208" i="23916"/>
  <c r="CU216" i="23916"/>
  <c r="GC228" i="23916"/>
  <c r="GB230" i="23916"/>
  <c r="CU199" i="23916"/>
  <c r="EC135" i="23916"/>
  <c r="GC230" i="23916" l="1"/>
  <c r="GB232" i="23916"/>
  <c r="EE134" i="23916"/>
  <c r="EE135" i="23916" s="1"/>
  <c r="EF129" i="23916"/>
  <c r="EE141" i="23916"/>
  <c r="EE139" i="23916"/>
  <c r="EF139" i="23916" s="1"/>
  <c r="EE140" i="23916"/>
  <c r="EF140" i="23916" s="1"/>
  <c r="CV228" i="23916"/>
  <c r="CU230" i="23916"/>
  <c r="CT232" i="23916"/>
  <c r="CS244" i="23916"/>
  <c r="CT244" i="23916" s="1"/>
  <c r="CS245" i="23916"/>
  <c r="CT245" i="23916" s="1"/>
  <c r="CS280" i="23916"/>
  <c r="CT280" i="23916" s="1"/>
  <c r="CW205" i="23916"/>
  <c r="CX189" i="23916"/>
  <c r="CW199" i="23916"/>
  <c r="CW195" i="23916"/>
  <c r="EA76" i="23916"/>
  <c r="EB76" i="23916" s="1"/>
  <c r="EA79" i="23916"/>
  <c r="EB79" i="23916" s="1"/>
  <c r="EB73" i="23916"/>
  <c r="EC154" i="23916"/>
  <c r="ED135" i="23916"/>
  <c r="EC155" i="23916"/>
  <c r="ED155" i="23916" s="1"/>
  <c r="EC153" i="23916"/>
  <c r="ED153" i="23916" s="1"/>
  <c r="EC184" i="23916"/>
  <c r="ED184" i="23916" s="1"/>
  <c r="CV216" i="23916"/>
  <c r="CU219" i="23916"/>
  <c r="EA93" i="23916"/>
  <c r="EB93" i="23916" s="1"/>
  <c r="EB56" i="23916"/>
  <c r="EA90" i="23916"/>
  <c r="EB90" i="23916" s="1"/>
  <c r="EB74" i="23916"/>
  <c r="EA91" i="23916"/>
  <c r="EB91" i="23916" s="1"/>
  <c r="EA123" i="23916"/>
  <c r="EB123" i="23916" s="1"/>
  <c r="CU204" i="23916"/>
  <c r="CV199" i="23916"/>
  <c r="CU247" i="23916"/>
  <c r="CU246" i="23916"/>
  <c r="CW224" i="23916"/>
  <c r="CW225" i="23916" s="1"/>
  <c r="CW223" i="23916"/>
  <c r="CW214" i="23916"/>
  <c r="CW218" i="23916" s="1"/>
  <c r="CX218" i="23916" s="1"/>
  <c r="CX208" i="23916"/>
  <c r="EE41" i="23916"/>
  <c r="EF41" i="23916" s="1"/>
  <c r="EE44" i="23916"/>
  <c r="EF28" i="23916"/>
  <c r="EE34" i="23916"/>
  <c r="EE35" i="23916"/>
  <c r="EE42" i="23916"/>
  <c r="EF42" i="23916" s="1"/>
  <c r="EE43" i="23916"/>
  <c r="EF43" i="23916" s="1"/>
  <c r="ED49" i="23916"/>
  <c r="EC55" i="23916"/>
  <c r="EC64" i="23916"/>
  <c r="ED64" i="23916" s="1"/>
  <c r="EC65" i="23916"/>
  <c r="ED65" i="23916" s="1"/>
  <c r="EC56" i="23916"/>
  <c r="EC63" i="23916"/>
  <c r="ED63" i="23916" s="1"/>
  <c r="EC62" i="23916"/>
  <c r="ED62" i="23916" s="1"/>
  <c r="EC68" i="23916"/>
  <c r="EE153" i="23916" l="1"/>
  <c r="EF153" i="23916" s="1"/>
  <c r="EE155" i="23916"/>
  <c r="EF155" i="23916" s="1"/>
  <c r="EE154" i="23916"/>
  <c r="EF135" i="23916"/>
  <c r="EE184" i="23916"/>
  <c r="EF184" i="23916" s="1"/>
  <c r="EC58" i="23916"/>
  <c r="ED58" i="23916" s="1"/>
  <c r="EE49" i="23916"/>
  <c r="ED55" i="23916"/>
  <c r="EF35" i="23916"/>
  <c r="EE92" i="23916"/>
  <c r="EF92" i="23916" s="1"/>
  <c r="CV246" i="23916"/>
  <c r="CU248" i="23916"/>
  <c r="CV248" i="23916" s="1"/>
  <c r="ED154" i="23916"/>
  <c r="EC156" i="23916"/>
  <c r="ED156" i="23916" s="1"/>
  <c r="CW197" i="23916"/>
  <c r="CW200" i="23916" s="1"/>
  <c r="CX200" i="23916" s="1"/>
  <c r="CX195" i="23916"/>
  <c r="CY189" i="23916"/>
  <c r="CW228" i="23916"/>
  <c r="EC93" i="23916"/>
  <c r="ED93" i="23916" s="1"/>
  <c r="ED56" i="23916"/>
  <c r="EE37" i="23916"/>
  <c r="EF37" i="23916" s="1"/>
  <c r="EG28" i="23916"/>
  <c r="EF34" i="23916"/>
  <c r="CV247" i="23916"/>
  <c r="CW247" i="23916"/>
  <c r="CX247" i="23916" s="1"/>
  <c r="CW246" i="23916"/>
  <c r="CW204" i="23916"/>
  <c r="CX199" i="23916"/>
  <c r="CV230" i="23916"/>
  <c r="CU232" i="23916"/>
  <c r="EF141" i="23916"/>
  <c r="EE142" i="23916"/>
  <c r="EF142" i="23916" s="1"/>
  <c r="GC232" i="23916"/>
  <c r="GB244" i="23916"/>
  <c r="GC244" i="23916" s="1"/>
  <c r="GB245" i="23916"/>
  <c r="GC245" i="23916" s="1"/>
  <c r="GB280" i="23916"/>
  <c r="GC280" i="23916" s="1"/>
  <c r="ED68" i="23916"/>
  <c r="EC73" i="23916"/>
  <c r="CU233" i="23916"/>
  <c r="CV233" i="23916" s="1"/>
  <c r="CV219" i="23916"/>
  <c r="EE45" i="23916"/>
  <c r="EF45" i="23916" s="1"/>
  <c r="EF44" i="23916"/>
  <c r="CW216" i="23916"/>
  <c r="CX214" i="23916"/>
  <c r="CY208" i="23916"/>
  <c r="CW229" i="23916"/>
  <c r="CX229" i="23916" s="1"/>
  <c r="EF134" i="23916"/>
  <c r="EG129" i="23916"/>
  <c r="EG140" i="23916" l="1"/>
  <c r="EH140" i="23916" s="1"/>
  <c r="EG141" i="23916"/>
  <c r="EG139" i="23916"/>
  <c r="EH139" i="23916" s="1"/>
  <c r="EH129" i="23916"/>
  <c r="EG134" i="23916"/>
  <c r="CW248" i="23916"/>
  <c r="CX248" i="23916" s="1"/>
  <c r="CX246" i="23916"/>
  <c r="CX216" i="23916"/>
  <c r="CW219" i="23916"/>
  <c r="EG35" i="23916"/>
  <c r="EG44" i="23916"/>
  <c r="EG34" i="23916"/>
  <c r="EH28" i="23916"/>
  <c r="EG41" i="23916"/>
  <c r="EH41" i="23916" s="1"/>
  <c r="EG42" i="23916"/>
  <c r="EH42" i="23916" s="1"/>
  <c r="EG43" i="23916"/>
  <c r="EH43" i="23916" s="1"/>
  <c r="CW230" i="23916"/>
  <c r="CX228" i="23916"/>
  <c r="EE65" i="23916"/>
  <c r="EF65" i="23916" s="1"/>
  <c r="EE64" i="23916"/>
  <c r="EF64" i="23916" s="1"/>
  <c r="EF49" i="23916"/>
  <c r="EE55" i="23916"/>
  <c r="EE56" i="23916" s="1"/>
  <c r="EE63" i="23916"/>
  <c r="EF63" i="23916" s="1"/>
  <c r="EE62" i="23916"/>
  <c r="EF62" i="23916" s="1"/>
  <c r="EE68" i="23916"/>
  <c r="EE156" i="23916"/>
  <c r="EF156" i="23916" s="1"/>
  <c r="EF154" i="23916"/>
  <c r="EC79" i="23916"/>
  <c r="ED79" i="23916" s="1"/>
  <c r="ED73" i="23916"/>
  <c r="EC76" i="23916"/>
  <c r="ED76" i="23916" s="1"/>
  <c r="CY195" i="23916"/>
  <c r="CZ189" i="23916"/>
  <c r="CY199" i="23916"/>
  <c r="CY205" i="23916"/>
  <c r="CZ208" i="23916"/>
  <c r="CY224" i="23916"/>
  <c r="CY225" i="23916" s="1"/>
  <c r="CY218" i="23916"/>
  <c r="CZ218" i="23916" s="1"/>
  <c r="CY223" i="23916"/>
  <c r="CY214" i="23916"/>
  <c r="EC74" i="23916"/>
  <c r="CU244" i="23916"/>
  <c r="CV244" i="23916" s="1"/>
  <c r="CV232" i="23916"/>
  <c r="CU245" i="23916"/>
  <c r="CV245" i="23916" s="1"/>
  <c r="CU280" i="23916"/>
  <c r="CV280" i="23916" s="1"/>
  <c r="EF56" i="23916" l="1"/>
  <c r="EE93" i="23916"/>
  <c r="EF93" i="23916" s="1"/>
  <c r="DA208" i="23916"/>
  <c r="CY229" i="23916"/>
  <c r="CZ229" i="23916" s="1"/>
  <c r="CZ214" i="23916"/>
  <c r="CY216" i="23916"/>
  <c r="EE74" i="23916"/>
  <c r="EE73" i="23916"/>
  <c r="EF68" i="23916"/>
  <c r="EH44" i="23916"/>
  <c r="EG45" i="23916"/>
  <c r="EH45" i="23916" s="1"/>
  <c r="CX230" i="23916"/>
  <c r="CW232" i="23916"/>
  <c r="EG92" i="23916"/>
  <c r="EH92" i="23916" s="1"/>
  <c r="EH35" i="23916"/>
  <c r="CY197" i="23916"/>
  <c r="CY200" i="23916" s="1"/>
  <c r="CZ200" i="23916" s="1"/>
  <c r="DA189" i="23916"/>
  <c r="CY228" i="23916"/>
  <c r="CZ195" i="23916"/>
  <c r="CX219" i="23916"/>
  <c r="CW233" i="23916"/>
  <c r="CX233" i="23916" s="1"/>
  <c r="EH134" i="23916"/>
  <c r="EI129" i="23916"/>
  <c r="EG142" i="23916"/>
  <c r="EH142" i="23916" s="1"/>
  <c r="EH141" i="23916"/>
  <c r="ED74" i="23916"/>
  <c r="EC90" i="23916"/>
  <c r="ED90" i="23916" s="1"/>
  <c r="EC91" i="23916"/>
  <c r="ED91" i="23916" s="1"/>
  <c r="EC123" i="23916"/>
  <c r="ED123" i="23916" s="1"/>
  <c r="CY204" i="23916"/>
  <c r="CZ199" i="23916"/>
  <c r="CY247" i="23916"/>
  <c r="CY246" i="23916"/>
  <c r="EF55" i="23916"/>
  <c r="EG49" i="23916"/>
  <c r="EE58" i="23916"/>
  <c r="EF58" i="23916" s="1"/>
  <c r="EH34" i="23916"/>
  <c r="EI28" i="23916"/>
  <c r="EG37" i="23916"/>
  <c r="EH37" i="23916" s="1"/>
  <c r="EG135" i="23916"/>
  <c r="EG55" i="23916" l="1"/>
  <c r="EG56" i="23916" s="1"/>
  <c r="EG64" i="23916"/>
  <c r="EH64" i="23916" s="1"/>
  <c r="EG65" i="23916"/>
  <c r="EH65" i="23916" s="1"/>
  <c r="EH49" i="23916"/>
  <c r="EG62" i="23916"/>
  <c r="EH62" i="23916" s="1"/>
  <c r="EG63" i="23916"/>
  <c r="EH63" i="23916" s="1"/>
  <c r="EG68" i="23916"/>
  <c r="EI135" i="23916"/>
  <c r="EI134" i="23916"/>
  <c r="EI141" i="23916"/>
  <c r="EI139" i="23916"/>
  <c r="EI140" i="23916"/>
  <c r="EJ140" i="23916" s="1"/>
  <c r="EJ129" i="23916"/>
  <c r="EE76" i="23916"/>
  <c r="EF76" i="23916" s="1"/>
  <c r="EE79" i="23916"/>
  <c r="EF79" i="23916" s="1"/>
  <c r="EF73" i="23916"/>
  <c r="EI41" i="23916"/>
  <c r="EJ28" i="23916"/>
  <c r="EI44" i="23916"/>
  <c r="EI34" i="23916"/>
  <c r="EI35" i="23916"/>
  <c r="EI42" i="23916"/>
  <c r="EJ42" i="23916" s="1"/>
  <c r="EI43" i="23916"/>
  <c r="EJ43" i="23916" s="1"/>
  <c r="CZ228" i="23916"/>
  <c r="CY230" i="23916"/>
  <c r="EE90" i="23916"/>
  <c r="EF90" i="23916" s="1"/>
  <c r="EF74" i="23916"/>
  <c r="EE91" i="23916"/>
  <c r="EF91" i="23916" s="1"/>
  <c r="EE123" i="23916"/>
  <c r="EF123" i="23916" s="1"/>
  <c r="DA214" i="23916"/>
  <c r="DA218" i="23916"/>
  <c r="DB218" i="23916" s="1"/>
  <c r="DA223" i="23916"/>
  <c r="DB208" i="23916"/>
  <c r="DA224" i="23916"/>
  <c r="DA225" i="23916" s="1"/>
  <c r="CZ246" i="23916"/>
  <c r="CY248" i="23916"/>
  <c r="CZ248" i="23916" s="1"/>
  <c r="DA205" i="23916"/>
  <c r="DA199" i="23916"/>
  <c r="DB189" i="23916"/>
  <c r="DA195" i="23916"/>
  <c r="CX232" i="23916"/>
  <c r="CW244" i="23916"/>
  <c r="CX244" i="23916" s="1"/>
  <c r="CW245" i="23916"/>
  <c r="CX245" i="23916" s="1"/>
  <c r="CW280" i="23916"/>
  <c r="CX280" i="23916" s="1"/>
  <c r="CZ216" i="23916"/>
  <c r="CY219" i="23916"/>
  <c r="EG154" i="23916"/>
  <c r="EH135" i="23916"/>
  <c r="EG155" i="23916"/>
  <c r="EH155" i="23916" s="1"/>
  <c r="EG153" i="23916"/>
  <c r="EH153" i="23916" s="1"/>
  <c r="EG184" i="23916"/>
  <c r="EH184" i="23916" s="1"/>
  <c r="CZ247" i="23916"/>
  <c r="EG93" i="23916" l="1"/>
  <c r="EH93" i="23916" s="1"/>
  <c r="EH56" i="23916"/>
  <c r="CZ230" i="23916"/>
  <c r="CY232" i="23916"/>
  <c r="EJ141" i="23916"/>
  <c r="EI142" i="23916"/>
  <c r="EJ142" i="23916" s="1"/>
  <c r="EH154" i="23916"/>
  <c r="EG156" i="23916"/>
  <c r="EH156" i="23916" s="1"/>
  <c r="DA216" i="23916"/>
  <c r="DA229" i="23916"/>
  <c r="DB214" i="23916"/>
  <c r="DC208" i="23916"/>
  <c r="GD214" i="23916"/>
  <c r="EJ139" i="23916"/>
  <c r="EQ139" i="23916"/>
  <c r="ER139" i="23916" s="1"/>
  <c r="EH68" i="23916"/>
  <c r="EG73" i="23916"/>
  <c r="CY233" i="23916"/>
  <c r="CZ233" i="23916" s="1"/>
  <c r="CZ219" i="23916"/>
  <c r="ER41" i="23916"/>
  <c r="EJ41" i="23916"/>
  <c r="EI37" i="23916"/>
  <c r="EJ37" i="23916" s="1"/>
  <c r="EJ34" i="23916"/>
  <c r="EK28" i="23916"/>
  <c r="EK129" i="23916"/>
  <c r="EJ134" i="23916"/>
  <c r="DA247" i="23916"/>
  <c r="DA246" i="23916"/>
  <c r="DB199" i="23916"/>
  <c r="DA204" i="23916"/>
  <c r="EJ35" i="23916"/>
  <c r="EI92" i="23916"/>
  <c r="GD195" i="23916"/>
  <c r="DB195" i="23916"/>
  <c r="DA228" i="23916"/>
  <c r="DA197" i="23916"/>
  <c r="DA200" i="23916" s="1"/>
  <c r="DB200" i="23916" s="1"/>
  <c r="DC189" i="23916"/>
  <c r="EI45" i="23916"/>
  <c r="EJ44" i="23916"/>
  <c r="EI153" i="23916"/>
  <c r="EI155" i="23916"/>
  <c r="EJ155" i="23916" s="1"/>
  <c r="EI154" i="23916"/>
  <c r="EJ135" i="23916"/>
  <c r="EI184" i="23916"/>
  <c r="EJ184" i="23916" s="1"/>
  <c r="EG58" i="23916"/>
  <c r="EH58" i="23916" s="1"/>
  <c r="EH55" i="23916"/>
  <c r="EI49" i="23916"/>
  <c r="DC195" i="23916" l="1"/>
  <c r="DC199" i="23916"/>
  <c r="DC205" i="23916"/>
  <c r="DD189" i="23916"/>
  <c r="EG79" i="23916"/>
  <c r="EH79" i="23916" s="1"/>
  <c r="EH73" i="23916"/>
  <c r="EG76" i="23916"/>
  <c r="EH76" i="23916" s="1"/>
  <c r="EI156" i="23916"/>
  <c r="EJ156" i="23916" s="1"/>
  <c r="EJ154" i="23916"/>
  <c r="EJ45" i="23916"/>
  <c r="ER45" i="23916"/>
  <c r="EK140" i="23916"/>
  <c r="EL140" i="23916" s="1"/>
  <c r="EL129" i="23916"/>
  <c r="EK141" i="23916"/>
  <c r="EK139" i="23916"/>
  <c r="EK134" i="23916"/>
  <c r="EK135" i="23916"/>
  <c r="ER153" i="23916"/>
  <c r="EJ153" i="23916"/>
  <c r="EJ92" i="23916"/>
  <c r="ER92" i="23916"/>
  <c r="DA248" i="23916"/>
  <c r="DB248" i="23916" s="1"/>
  <c r="DB246" i="23916"/>
  <c r="GD246" i="23916"/>
  <c r="EL28" i="23916"/>
  <c r="EK35" i="23916"/>
  <c r="EK44" i="23916"/>
  <c r="EK34" i="23916"/>
  <c r="EK41" i="23916"/>
  <c r="EK42" i="23916"/>
  <c r="EL42" i="23916" s="1"/>
  <c r="EK43" i="23916"/>
  <c r="EL43" i="23916" s="1"/>
  <c r="EG74" i="23916"/>
  <c r="GD216" i="23916"/>
  <c r="GD219" i="23916" s="1"/>
  <c r="GE219" i="23916" s="1"/>
  <c r="GE214" i="23916"/>
  <c r="GF208" i="23916"/>
  <c r="GD218" i="23916"/>
  <c r="GE218" i="23916" s="1"/>
  <c r="DB216" i="23916"/>
  <c r="DA219" i="23916"/>
  <c r="GE195" i="23916"/>
  <c r="GD197" i="23916"/>
  <c r="GF189" i="23916"/>
  <c r="GD199" i="23916"/>
  <c r="GD229" i="23916"/>
  <c r="GE229" i="23916" s="1"/>
  <c r="DB229" i="23916"/>
  <c r="EI65" i="23916"/>
  <c r="EJ65" i="23916" s="1"/>
  <c r="EJ49" i="23916"/>
  <c r="EI64" i="23916"/>
  <c r="EJ64" i="23916" s="1"/>
  <c r="EI55" i="23916"/>
  <c r="EI63" i="23916"/>
  <c r="EJ63" i="23916" s="1"/>
  <c r="EI62" i="23916"/>
  <c r="EJ62" i="23916" s="1"/>
  <c r="EI68" i="23916"/>
  <c r="GD228" i="23916"/>
  <c r="DA230" i="23916"/>
  <c r="DB228" i="23916"/>
  <c r="DB247" i="23916"/>
  <c r="GD247" i="23916"/>
  <c r="GE247" i="23916" s="1"/>
  <c r="DC223" i="23916"/>
  <c r="DD208" i="23916"/>
  <c r="DC224" i="23916"/>
  <c r="DC225" i="23916" s="1"/>
  <c r="DC218" i="23916"/>
  <c r="DD218" i="23916" s="1"/>
  <c r="DC214" i="23916"/>
  <c r="CY244" i="23916"/>
  <c r="CZ244" i="23916" s="1"/>
  <c r="CZ232" i="23916"/>
  <c r="CY245" i="23916"/>
  <c r="CZ245" i="23916" s="1"/>
  <c r="CY280" i="23916"/>
  <c r="CZ280" i="23916" s="1"/>
  <c r="GD230" i="23916" l="1"/>
  <c r="GE228" i="23916"/>
  <c r="EK92" i="23916"/>
  <c r="EL35" i="23916"/>
  <c r="DB230" i="23916"/>
  <c r="DA232" i="23916"/>
  <c r="GE199" i="23916"/>
  <c r="GD204" i="23916"/>
  <c r="DB219" i="23916"/>
  <c r="DA233" i="23916"/>
  <c r="DB233" i="23916" s="1"/>
  <c r="EL44" i="23916"/>
  <c r="EK45" i="23916"/>
  <c r="ES139" i="23916"/>
  <c r="ET139" i="23916" s="1"/>
  <c r="EL139" i="23916"/>
  <c r="GG189" i="23916"/>
  <c r="GF205" i="23916"/>
  <c r="GG205" i="23916" s="1"/>
  <c r="EK142" i="23916"/>
  <c r="EL142" i="23916" s="1"/>
  <c r="EL141" i="23916"/>
  <c r="DC204" i="23916"/>
  <c r="DD199" i="23916"/>
  <c r="DC247" i="23916"/>
  <c r="DC246" i="23916"/>
  <c r="EI74" i="23916"/>
  <c r="EI73" i="23916"/>
  <c r="EJ68" i="23916"/>
  <c r="EH74" i="23916"/>
  <c r="EG90" i="23916"/>
  <c r="EH90" i="23916" s="1"/>
  <c r="EG91" i="23916"/>
  <c r="EH91" i="23916" s="1"/>
  <c r="EG123" i="23916"/>
  <c r="EH123" i="23916" s="1"/>
  <c r="EL41" i="23916"/>
  <c r="ET41" i="23916"/>
  <c r="EK154" i="23916"/>
  <c r="EL135" i="23916"/>
  <c r="EK155" i="23916"/>
  <c r="EL155" i="23916" s="1"/>
  <c r="EK153" i="23916"/>
  <c r="EK184" i="23916"/>
  <c r="EL184" i="23916" s="1"/>
  <c r="EK49" i="23916"/>
  <c r="EJ55" i="23916"/>
  <c r="EI58" i="23916"/>
  <c r="EJ58" i="23916" s="1"/>
  <c r="DC229" i="23916"/>
  <c r="DD229" i="23916" s="1"/>
  <c r="DD214" i="23916"/>
  <c r="DE208" i="23916"/>
  <c r="DC216" i="23916"/>
  <c r="EI56" i="23916"/>
  <c r="GG208" i="23916"/>
  <c r="GF223" i="23916"/>
  <c r="GG223" i="23916" s="1"/>
  <c r="GF224" i="23916"/>
  <c r="GG224" i="23916" s="1"/>
  <c r="EM28" i="23916"/>
  <c r="EK37" i="23916"/>
  <c r="EL37" i="23916" s="1"/>
  <c r="EL34" i="23916"/>
  <c r="GD248" i="23916"/>
  <c r="GE248" i="23916" s="1"/>
  <c r="GE246" i="23916"/>
  <c r="EL134" i="23916"/>
  <c r="EM129" i="23916"/>
  <c r="DC228" i="23916"/>
  <c r="DD195" i="23916"/>
  <c r="DC197" i="23916"/>
  <c r="DC200" i="23916" s="1"/>
  <c r="DD200" i="23916" s="1"/>
  <c r="DE189" i="23916"/>
  <c r="EL92" i="23916" l="1"/>
  <c r="ET92" i="23916"/>
  <c r="DE224" i="23916"/>
  <c r="DE225" i="23916" s="1"/>
  <c r="DE214" i="23916"/>
  <c r="DE223" i="23916"/>
  <c r="DE218" i="23916"/>
  <c r="DF218" i="23916" s="1"/>
  <c r="DF208" i="23916"/>
  <c r="DD246" i="23916"/>
  <c r="DC248" i="23916"/>
  <c r="DD248" i="23916" s="1"/>
  <c r="EM41" i="23916"/>
  <c r="EM44" i="23916"/>
  <c r="EN28" i="23916"/>
  <c r="EM34" i="23916"/>
  <c r="EM42" i="23916"/>
  <c r="EN42" i="23916" s="1"/>
  <c r="EM43" i="23916"/>
  <c r="EN43" i="23916" s="1"/>
  <c r="DB232" i="23916"/>
  <c r="DA244" i="23916"/>
  <c r="DB244" i="23916" s="1"/>
  <c r="DA245" i="23916"/>
  <c r="DB245" i="23916" s="1"/>
  <c r="DA280" i="23916"/>
  <c r="DB280" i="23916" s="1"/>
  <c r="DD228" i="23916"/>
  <c r="DC230" i="23916"/>
  <c r="EI93" i="23916"/>
  <c r="EJ93" i="23916" s="1"/>
  <c r="EJ56" i="23916"/>
  <c r="EL154" i="23916"/>
  <c r="EK156" i="23916"/>
  <c r="EL156" i="23916" s="1"/>
  <c r="EI76" i="23916"/>
  <c r="EJ76" i="23916" s="1"/>
  <c r="EI79" i="23916"/>
  <c r="EJ79" i="23916" s="1"/>
  <c r="EJ73" i="23916"/>
  <c r="EL49" i="23916"/>
  <c r="EK55" i="23916"/>
  <c r="EK64" i="23916"/>
  <c r="EL64" i="23916" s="1"/>
  <c r="EK65" i="23916"/>
  <c r="EL65" i="23916" s="1"/>
  <c r="EK62" i="23916"/>
  <c r="EL62" i="23916" s="1"/>
  <c r="EK63" i="23916"/>
  <c r="EL63" i="23916" s="1"/>
  <c r="EK68" i="23916"/>
  <c r="DD247" i="23916"/>
  <c r="DE205" i="23916"/>
  <c r="DF189" i="23916"/>
  <c r="DE195" i="23916"/>
  <c r="EM135" i="23916"/>
  <c r="EM134" i="23916"/>
  <c r="EN129" i="23916"/>
  <c r="EM141" i="23916"/>
  <c r="EM139" i="23916"/>
  <c r="EM140" i="23916"/>
  <c r="EN140" i="23916" s="1"/>
  <c r="DD216" i="23916"/>
  <c r="DC219" i="23916"/>
  <c r="EL153" i="23916"/>
  <c r="ET153" i="23916"/>
  <c r="EI90" i="23916"/>
  <c r="EJ74" i="23916"/>
  <c r="EI91" i="23916"/>
  <c r="EJ91" i="23916" s="1"/>
  <c r="EI123" i="23916"/>
  <c r="EJ123" i="23916" s="1"/>
  <c r="EL45" i="23916"/>
  <c r="ET45" i="23916"/>
  <c r="GE230" i="23916"/>
  <c r="GD232" i="23916"/>
  <c r="DE197" i="23916" l="1"/>
  <c r="DE200" i="23916" s="1"/>
  <c r="DF200" i="23916" s="1"/>
  <c r="DF195" i="23916"/>
  <c r="DG189" i="23916"/>
  <c r="DE228" i="23916"/>
  <c r="EN139" i="23916"/>
  <c r="EU139" i="23916"/>
  <c r="EV139" i="23916" s="1"/>
  <c r="EM153" i="23916"/>
  <c r="EM155" i="23916"/>
  <c r="EN155" i="23916" s="1"/>
  <c r="EM154" i="23916"/>
  <c r="EN135" i="23916"/>
  <c r="EM184" i="23916"/>
  <c r="EN184" i="23916" s="1"/>
  <c r="EL68" i="23916"/>
  <c r="EK73" i="23916"/>
  <c r="EM37" i="23916"/>
  <c r="EN37" i="23916" s="1"/>
  <c r="EO28" i="23916"/>
  <c r="EN34" i="23916"/>
  <c r="DE216" i="23916"/>
  <c r="DG208" i="23916"/>
  <c r="DE229" i="23916"/>
  <c r="DF229" i="23916" s="1"/>
  <c r="DF214" i="23916"/>
  <c r="GE232" i="23916"/>
  <c r="GD244" i="23916"/>
  <c r="GE244" i="23916" s="1"/>
  <c r="GD245" i="23916"/>
  <c r="GE245" i="23916" s="1"/>
  <c r="GD280" i="23916"/>
  <c r="GE280" i="23916" s="1"/>
  <c r="EJ90" i="23916"/>
  <c r="ER90" i="23916"/>
  <c r="DE199" i="23916"/>
  <c r="EK58" i="23916"/>
  <c r="EL58" i="23916" s="1"/>
  <c r="EM49" i="23916"/>
  <c r="EL55" i="23916"/>
  <c r="EM45" i="23916"/>
  <c r="EN44" i="23916"/>
  <c r="DC233" i="23916"/>
  <c r="DD233" i="23916" s="1"/>
  <c r="DD219" i="23916"/>
  <c r="EN141" i="23916"/>
  <c r="EM142" i="23916"/>
  <c r="EN142" i="23916" s="1"/>
  <c r="EN134" i="23916"/>
  <c r="EO129" i="23916"/>
  <c r="EK56" i="23916"/>
  <c r="DD230" i="23916"/>
  <c r="DC232" i="23916"/>
  <c r="EM35" i="23916"/>
  <c r="EN41" i="23916"/>
  <c r="EV41" i="23916"/>
  <c r="DG195" i="23916" l="1"/>
  <c r="DH189" i="23916"/>
  <c r="DG199" i="23916"/>
  <c r="DG205" i="23916"/>
  <c r="EN35" i="23916"/>
  <c r="EM92" i="23916"/>
  <c r="EK93" i="23916"/>
  <c r="EL93" i="23916" s="1"/>
  <c r="EL56" i="23916"/>
  <c r="EN45" i="23916"/>
  <c r="EV45" i="23916"/>
  <c r="DE247" i="23916"/>
  <c r="DE246" i="23916"/>
  <c r="DE204" i="23916"/>
  <c r="DF199" i="23916"/>
  <c r="EO35" i="23916"/>
  <c r="EO44" i="23916"/>
  <c r="EO34" i="23916"/>
  <c r="EP28" i="23916"/>
  <c r="EO41" i="23916"/>
  <c r="EO42" i="23916"/>
  <c r="EO43" i="23916"/>
  <c r="EP43" i="23916" s="1"/>
  <c r="DE230" i="23916"/>
  <c r="DF228" i="23916"/>
  <c r="DC244" i="23916"/>
  <c r="DD244" i="23916" s="1"/>
  <c r="DD232" i="23916"/>
  <c r="DC245" i="23916"/>
  <c r="DD245" i="23916" s="1"/>
  <c r="DC280" i="23916"/>
  <c r="DD280" i="23916" s="1"/>
  <c r="EO140" i="23916"/>
  <c r="EO141" i="23916"/>
  <c r="EO139" i="23916"/>
  <c r="EP129" i="23916"/>
  <c r="EO134" i="23916"/>
  <c r="EO135" i="23916" s="1"/>
  <c r="DH208" i="23916"/>
  <c r="DG224" i="23916"/>
  <c r="DG225" i="23916" s="1"/>
  <c r="DG218" i="23916"/>
  <c r="DH218" i="23916" s="1"/>
  <c r="DG223" i="23916"/>
  <c r="DG214" i="23916"/>
  <c r="EN153" i="23916"/>
  <c r="EV153" i="23916"/>
  <c r="EM65" i="23916"/>
  <c r="EN65" i="23916" s="1"/>
  <c r="EM64" i="23916"/>
  <c r="EN64" i="23916" s="1"/>
  <c r="EN49" i="23916"/>
  <c r="EM55" i="23916"/>
  <c r="EM62" i="23916"/>
  <c r="EN62" i="23916" s="1"/>
  <c r="EM63" i="23916"/>
  <c r="EN63" i="23916" s="1"/>
  <c r="EM68" i="23916"/>
  <c r="DF216" i="23916"/>
  <c r="DE219" i="23916"/>
  <c r="EK79" i="23916"/>
  <c r="EL79" i="23916" s="1"/>
  <c r="EL73" i="23916"/>
  <c r="EK76" i="23916"/>
  <c r="EL76" i="23916" s="1"/>
  <c r="EK74" i="23916"/>
  <c r="EM156" i="23916"/>
  <c r="EN156" i="23916" s="1"/>
  <c r="EN154" i="23916"/>
  <c r="EO154" i="23916" l="1"/>
  <c r="EP135" i="23916"/>
  <c r="EO155" i="23916"/>
  <c r="EO153" i="23916"/>
  <c r="EO184" i="23916"/>
  <c r="EP184" i="23916" s="1"/>
  <c r="DG204" i="23916"/>
  <c r="DH199" i="23916"/>
  <c r="DG247" i="23916"/>
  <c r="DH247" i="23916" s="1"/>
  <c r="DG246" i="23916"/>
  <c r="EW139" i="23916"/>
  <c r="EX139" i="23916" s="1"/>
  <c r="EP139" i="23916"/>
  <c r="DF230" i="23916"/>
  <c r="DE232" i="23916"/>
  <c r="EO92" i="23916"/>
  <c r="EP35" i="23916"/>
  <c r="EM73" i="23916"/>
  <c r="EN68" i="23916"/>
  <c r="EO142" i="23916"/>
  <c r="EP141" i="23916"/>
  <c r="EP140" i="23916"/>
  <c r="EQ140" i="23916"/>
  <c r="EQ42" i="23916"/>
  <c r="EP42" i="23916"/>
  <c r="EP34" i="23916"/>
  <c r="EQ28" i="23916"/>
  <c r="EO37" i="23916"/>
  <c r="EP37" i="23916" s="1"/>
  <c r="EN55" i="23916"/>
  <c r="EO49" i="23916"/>
  <c r="EM58" i="23916"/>
  <c r="EN58" i="23916" s="1"/>
  <c r="DF247" i="23916"/>
  <c r="EP134" i="23916"/>
  <c r="EQ129" i="23916"/>
  <c r="EN92" i="23916"/>
  <c r="EV92" i="23916"/>
  <c r="EL74" i="23916"/>
  <c r="EK90" i="23916"/>
  <c r="EK91" i="23916"/>
  <c r="EL91" i="23916" s="1"/>
  <c r="EK123" i="23916"/>
  <c r="EL123" i="23916" s="1"/>
  <c r="DF219" i="23916"/>
  <c r="DE233" i="23916"/>
  <c r="DF233" i="23916" s="1"/>
  <c r="EM56" i="23916"/>
  <c r="DI208" i="23916"/>
  <c r="DG229" i="23916"/>
  <c r="DH229" i="23916" s="1"/>
  <c r="DH214" i="23916"/>
  <c r="DG216" i="23916"/>
  <c r="EX41" i="23916"/>
  <c r="EP41" i="23916"/>
  <c r="EP44" i="23916"/>
  <c r="EO45" i="23916"/>
  <c r="DE248" i="23916"/>
  <c r="DF248" i="23916" s="1"/>
  <c r="DF246" i="23916"/>
  <c r="DG197" i="23916"/>
  <c r="DG200" i="23916" s="1"/>
  <c r="DH200" i="23916" s="1"/>
  <c r="DI189" i="23916"/>
  <c r="DG228" i="23916"/>
  <c r="DH195" i="23916"/>
  <c r="EP45" i="23916" l="1"/>
  <c r="EX45" i="23916"/>
  <c r="DH216" i="23916"/>
  <c r="DG219" i="23916"/>
  <c r="EN56" i="23916"/>
  <c r="EM93" i="23916"/>
  <c r="EN93" i="23916" s="1"/>
  <c r="ES42" i="23916"/>
  <c r="EQ31" i="23916"/>
  <c r="ER42" i="23916"/>
  <c r="EP142" i="23916"/>
  <c r="EQ142" i="23916"/>
  <c r="EQ132" i="23916" s="1"/>
  <c r="EP153" i="23916"/>
  <c r="EX153" i="23916"/>
  <c r="EL90" i="23916"/>
  <c r="ET90" i="23916"/>
  <c r="EQ131" i="23916"/>
  <c r="ER129" i="23916"/>
  <c r="EQ133" i="23916"/>
  <c r="EQ29" i="23916"/>
  <c r="ER28" i="23916"/>
  <c r="EQ32" i="23916"/>
  <c r="ES140" i="23916"/>
  <c r="ER140" i="23916"/>
  <c r="EP92" i="23916"/>
  <c r="EX92" i="23916"/>
  <c r="EQ155" i="23916"/>
  <c r="EP155" i="23916"/>
  <c r="DH228" i="23916"/>
  <c r="DG230" i="23916"/>
  <c r="EO55" i="23916"/>
  <c r="EO64" i="23916"/>
  <c r="EO65" i="23916"/>
  <c r="EP65" i="23916" s="1"/>
  <c r="EO56" i="23916"/>
  <c r="EP49" i="23916"/>
  <c r="EO62" i="23916"/>
  <c r="EO63" i="23916"/>
  <c r="EP63" i="23916" s="1"/>
  <c r="EO68" i="23916"/>
  <c r="EM76" i="23916"/>
  <c r="EN76" i="23916" s="1"/>
  <c r="EM79" i="23916"/>
  <c r="EN79" i="23916" s="1"/>
  <c r="EN73" i="23916"/>
  <c r="DF232" i="23916"/>
  <c r="DE244" i="23916"/>
  <c r="DF244" i="23916" s="1"/>
  <c r="DE245" i="23916"/>
  <c r="DF245" i="23916" s="1"/>
  <c r="DE280" i="23916"/>
  <c r="DF280" i="23916" s="1"/>
  <c r="DI205" i="23916"/>
  <c r="DI199" i="23916"/>
  <c r="DJ189" i="23916"/>
  <c r="DI195" i="23916"/>
  <c r="DI214" i="23916"/>
  <c r="DI218" i="23916"/>
  <c r="DJ218" i="23916" s="1"/>
  <c r="DI223" i="23916"/>
  <c r="DI224" i="23916"/>
  <c r="DI225" i="23916" s="1"/>
  <c r="DJ208" i="23916"/>
  <c r="EM74" i="23916"/>
  <c r="DH246" i="23916"/>
  <c r="DG248" i="23916"/>
  <c r="DH248" i="23916" s="1"/>
  <c r="EP154" i="23916"/>
  <c r="EO156" i="23916"/>
  <c r="EP156" i="23916" s="1"/>
  <c r="EQ154" i="23916"/>
  <c r="EQ141" i="23916" l="1"/>
  <c r="ER141" i="23916" s="1"/>
  <c r="ER132" i="23916"/>
  <c r="EQ134" i="23916"/>
  <c r="DI216" i="23916"/>
  <c r="DI229" i="23916"/>
  <c r="DJ214" i="23916"/>
  <c r="DK208" i="23916"/>
  <c r="GF214" i="23916"/>
  <c r="EO58" i="23916"/>
  <c r="EP58" i="23916" s="1"/>
  <c r="EQ49" i="23916"/>
  <c r="EP55" i="23916"/>
  <c r="ER155" i="23916"/>
  <c r="ES155" i="23916"/>
  <c r="ET140" i="23916"/>
  <c r="EU140" i="23916"/>
  <c r="EQ69" i="23916"/>
  <c r="ER29" i="23916"/>
  <c r="EQ39" i="23916"/>
  <c r="ER31" i="23916"/>
  <c r="DG233" i="23916"/>
  <c r="DH233" i="23916" s="1"/>
  <c r="DH219" i="23916"/>
  <c r="ES154" i="23916"/>
  <c r="EQ156" i="23916"/>
  <c r="ER156" i="23916" s="1"/>
  <c r="ER154" i="23916"/>
  <c r="DJ195" i="23916"/>
  <c r="DI228" i="23916"/>
  <c r="DI197" i="23916"/>
  <c r="DI200" i="23916" s="1"/>
  <c r="DJ200" i="23916" s="1"/>
  <c r="DK189" i="23916"/>
  <c r="GF195" i="23916"/>
  <c r="EP68" i="23916"/>
  <c r="EO73" i="23916"/>
  <c r="EO93" i="23916"/>
  <c r="EP56" i="23916"/>
  <c r="DH230" i="23916"/>
  <c r="DG232" i="23916"/>
  <c r="ER32" i="23916"/>
  <c r="EQ44" i="23916"/>
  <c r="ER44" i="23916" s="1"/>
  <c r="EQ34" i="23916"/>
  <c r="ES142" i="23916"/>
  <c r="ER142" i="23916"/>
  <c r="ET42" i="23916"/>
  <c r="EU42" i="23916"/>
  <c r="EM90" i="23916"/>
  <c r="EN74" i="23916"/>
  <c r="EM91" i="23916"/>
  <c r="EN91" i="23916" s="1"/>
  <c r="EM123" i="23916"/>
  <c r="EN123" i="23916" s="1"/>
  <c r="EQ137" i="23916"/>
  <c r="ER131" i="23916"/>
  <c r="DI247" i="23916"/>
  <c r="DI246" i="23916"/>
  <c r="DI204" i="23916"/>
  <c r="DJ199" i="23916"/>
  <c r="EP62" i="23916"/>
  <c r="EQ62" i="23916"/>
  <c r="EP64" i="23916"/>
  <c r="EQ64" i="23916"/>
  <c r="ER133" i="23916"/>
  <c r="DI248" i="23916" l="1"/>
  <c r="DJ248" i="23916" s="1"/>
  <c r="DJ246" i="23916"/>
  <c r="GF246" i="23916"/>
  <c r="EN90" i="23916"/>
  <c r="EV90" i="23916"/>
  <c r="DK195" i="23916"/>
  <c r="DK199" i="23916" s="1"/>
  <c r="DK205" i="23916"/>
  <c r="DL189" i="23916"/>
  <c r="ES64" i="23916"/>
  <c r="EQ53" i="23916"/>
  <c r="ER64" i="23916"/>
  <c r="EQ37" i="23916"/>
  <c r="ER37" i="23916" s="1"/>
  <c r="ER34" i="23916"/>
  <c r="ES28" i="23916"/>
  <c r="EQ35" i="23916"/>
  <c r="GF228" i="23916"/>
  <c r="DI230" i="23916"/>
  <c r="DJ228" i="23916"/>
  <c r="ET154" i="23916"/>
  <c r="ES156" i="23916"/>
  <c r="ET156" i="23916" s="1"/>
  <c r="EU154" i="23916"/>
  <c r="DK223" i="23916"/>
  <c r="DL208" i="23916"/>
  <c r="DK224" i="23916"/>
  <c r="DK225" i="23916" s="1"/>
  <c r="DK214" i="23916"/>
  <c r="ES129" i="23916"/>
  <c r="ER134" i="23916"/>
  <c r="EQ135" i="23916"/>
  <c r="EQ52" i="23916"/>
  <c r="EQ55" i="23916" s="1"/>
  <c r="ES62" i="23916"/>
  <c r="ER62" i="23916"/>
  <c r="EU155" i="23916"/>
  <c r="ET155" i="23916"/>
  <c r="DG244" i="23916"/>
  <c r="DH244" i="23916" s="1"/>
  <c r="DH232" i="23916"/>
  <c r="DG245" i="23916"/>
  <c r="DH245" i="23916" s="1"/>
  <c r="DG280" i="23916"/>
  <c r="DH280" i="23916" s="1"/>
  <c r="EP93" i="23916"/>
  <c r="EQ93" i="23916"/>
  <c r="GH189" i="23916"/>
  <c r="GG195" i="23916"/>
  <c r="GF197" i="23916"/>
  <c r="GG197" i="23916" s="1"/>
  <c r="GF199" i="23916"/>
  <c r="ER49" i="23916"/>
  <c r="EQ65" i="23916"/>
  <c r="ER65" i="23916" s="1"/>
  <c r="EQ68" i="23916"/>
  <c r="EQ743" i="23916"/>
  <c r="ER137" i="23916"/>
  <c r="EO79" i="23916"/>
  <c r="EP79" i="23916" s="1"/>
  <c r="EP73" i="23916"/>
  <c r="EO76" i="23916"/>
  <c r="EP76" i="23916" s="1"/>
  <c r="ER69" i="23916"/>
  <c r="GF229" i="23916"/>
  <c r="GG229" i="23916" s="1"/>
  <c r="DJ229" i="23916"/>
  <c r="DJ247" i="23916"/>
  <c r="GF247" i="23916"/>
  <c r="GG247" i="23916" s="1"/>
  <c r="EW42" i="23916"/>
  <c r="EV42" i="23916"/>
  <c r="ET142" i="23916"/>
  <c r="EU142" i="23916"/>
  <c r="EO74" i="23916"/>
  <c r="EQ736" i="23916"/>
  <c r="ER39" i="23916"/>
  <c r="EQ43" i="23916"/>
  <c r="ER43" i="23916" s="1"/>
  <c r="EW140" i="23916"/>
  <c r="EX140" i="23916" s="1"/>
  <c r="EV140" i="23916"/>
  <c r="GG214" i="23916"/>
  <c r="GH208" i="23916"/>
  <c r="GF216" i="23916"/>
  <c r="GF218" i="23916"/>
  <c r="GG218" i="23916" s="1"/>
  <c r="DJ216" i="23916"/>
  <c r="DI219" i="23916"/>
  <c r="DK204" i="23916" l="1"/>
  <c r="DL199" i="23916"/>
  <c r="DK247" i="23916"/>
  <c r="DK246" i="23916"/>
  <c r="ER55" i="23916"/>
  <c r="ES49" i="23916"/>
  <c r="ES68" i="23916" s="1"/>
  <c r="EQ58" i="23916"/>
  <c r="ER58" i="23916" s="1"/>
  <c r="EQ56" i="23916"/>
  <c r="ER56" i="23916" s="1"/>
  <c r="DJ219" i="23916"/>
  <c r="DI233" i="23916"/>
  <c r="DJ233" i="23916" s="1"/>
  <c r="EX42" i="23916"/>
  <c r="ES32" i="23916"/>
  <c r="ET28" i="23916"/>
  <c r="ES29" i="23916"/>
  <c r="ES34" i="23916"/>
  <c r="ES31" i="23916"/>
  <c r="ER53" i="23916"/>
  <c r="EQ71" i="23916"/>
  <c r="ER71" i="23916" s="1"/>
  <c r="GI208" i="23916"/>
  <c r="GH223" i="23916"/>
  <c r="GI223" i="23916" s="1"/>
  <c r="GH224" i="23916"/>
  <c r="GI224" i="23916" s="1"/>
  <c r="EW142" i="23916"/>
  <c r="EX142" i="23916" s="1"/>
  <c r="EV142" i="23916"/>
  <c r="GF219" i="23916"/>
  <c r="GG219" i="23916" s="1"/>
  <c r="GG216" i="23916"/>
  <c r="EP74" i="23916"/>
  <c r="EO90" i="23916"/>
  <c r="EO91" i="23916"/>
  <c r="EO123" i="23916"/>
  <c r="EP123" i="23916" s="1"/>
  <c r="ET62" i="23916"/>
  <c r="EU62" i="23916"/>
  <c r="ES52" i="23916"/>
  <c r="ES133" i="23916"/>
  <c r="ES132" i="23916"/>
  <c r="ES131" i="23916"/>
  <c r="ES134" i="23916" s="1"/>
  <c r="ET129" i="23916"/>
  <c r="EW154" i="23916"/>
  <c r="EU156" i="23916"/>
  <c r="EV156" i="23916" s="1"/>
  <c r="EV154" i="23916"/>
  <c r="DJ230" i="23916"/>
  <c r="DI232" i="23916"/>
  <c r="ET64" i="23916"/>
  <c r="ES53" i="23916"/>
  <c r="ET53" i="23916" s="1"/>
  <c r="EU64" i="23916"/>
  <c r="GG246" i="23916"/>
  <c r="GF248" i="23916"/>
  <c r="GG248" i="23916" s="1"/>
  <c r="ER68" i="23916"/>
  <c r="GI189" i="23916"/>
  <c r="GH205" i="23916"/>
  <c r="GI205" i="23916" s="1"/>
  <c r="ER52" i="23916"/>
  <c r="EQ60" i="23916"/>
  <c r="EQ70" i="23916"/>
  <c r="DK229" i="23916"/>
  <c r="DL229" i="23916" s="1"/>
  <c r="DL214" i="23916"/>
  <c r="DK216" i="23916"/>
  <c r="DM208" i="23916"/>
  <c r="GG228" i="23916"/>
  <c r="GF230" i="23916"/>
  <c r="DK228" i="23916"/>
  <c r="DL195" i="23916"/>
  <c r="DM189" i="23916"/>
  <c r="DK197" i="23916"/>
  <c r="DK200" i="23916" s="1"/>
  <c r="DL200" i="23916" s="1"/>
  <c r="GG199" i="23916"/>
  <c r="GF204" i="23916"/>
  <c r="GG204" i="23916" s="1"/>
  <c r="ES93" i="23916"/>
  <c r="ER93" i="23916"/>
  <c r="EQ85" i="23916"/>
  <c r="EV155" i="23916"/>
  <c r="EW155" i="23916"/>
  <c r="EQ145" i="23916"/>
  <c r="ER135" i="23916"/>
  <c r="EQ147" i="23916"/>
  <c r="EQ146" i="23916"/>
  <c r="DK218" i="23916"/>
  <c r="DL218" i="23916" s="1"/>
  <c r="ER35" i="23916"/>
  <c r="EQ84" i="23916"/>
  <c r="ET134" i="23916" l="1"/>
  <c r="EU129" i="23916"/>
  <c r="ES135" i="23916"/>
  <c r="ET68" i="23916"/>
  <c r="ET93" i="23916"/>
  <c r="EU93" i="23916"/>
  <c r="ER145" i="23916"/>
  <c r="EQ149" i="23916"/>
  <c r="ER85" i="23916"/>
  <c r="EQ102" i="23916"/>
  <c r="ER102" i="23916" s="1"/>
  <c r="DL228" i="23916"/>
  <c r="DK230" i="23916"/>
  <c r="DL216" i="23916"/>
  <c r="DK219" i="23916"/>
  <c r="EQ735" i="23916"/>
  <c r="EQ63" i="23916"/>
  <c r="ER63" i="23916" s="1"/>
  <c r="ER60" i="23916"/>
  <c r="EW62" i="23916"/>
  <c r="EV62" i="23916"/>
  <c r="EP90" i="23916"/>
  <c r="EX90" i="23916"/>
  <c r="DL246" i="23916"/>
  <c r="DK248" i="23916"/>
  <c r="DL248" i="23916" s="1"/>
  <c r="EX155" i="23916"/>
  <c r="ER146" i="23916"/>
  <c r="GG230" i="23916"/>
  <c r="GF232" i="23916"/>
  <c r="ET132" i="23916"/>
  <c r="ES141" i="23916"/>
  <c r="ET141" i="23916" s="1"/>
  <c r="ET31" i="23916"/>
  <c r="ES70" i="23916"/>
  <c r="ET70" i="23916" s="1"/>
  <c r="DL247" i="23916"/>
  <c r="EQ164" i="23916"/>
  <c r="ER164" i="23916" s="1"/>
  <c r="ER147" i="23916"/>
  <c r="DJ232" i="23916"/>
  <c r="DI244" i="23916"/>
  <c r="DJ244" i="23916" s="1"/>
  <c r="DI245" i="23916"/>
  <c r="DJ245" i="23916" s="1"/>
  <c r="DI280" i="23916"/>
  <c r="DJ280" i="23916" s="1"/>
  <c r="ET131" i="23916"/>
  <c r="ES137" i="23916"/>
  <c r="ET133" i="23916"/>
  <c r="ET34" i="23916"/>
  <c r="EU28" i="23916"/>
  <c r="ES37" i="23916"/>
  <c r="ET37" i="23916" s="1"/>
  <c r="ES35" i="23916"/>
  <c r="ET49" i="23916"/>
  <c r="ES55" i="23916"/>
  <c r="ES56" i="23916"/>
  <c r="ET56" i="23916" s="1"/>
  <c r="ES65" i="23916"/>
  <c r="ET65" i="23916" s="1"/>
  <c r="ER84" i="23916"/>
  <c r="DM199" i="23916"/>
  <c r="DM205" i="23916"/>
  <c r="DN205" i="23916" s="1"/>
  <c r="DN189" i="23916"/>
  <c r="DM195" i="23916"/>
  <c r="DM224" i="23916"/>
  <c r="DM214" i="23916"/>
  <c r="DM218" i="23916"/>
  <c r="DN218" i="23916" s="1"/>
  <c r="DM223" i="23916"/>
  <c r="DN223" i="23916" s="1"/>
  <c r="DN208" i="23916"/>
  <c r="ER70" i="23916"/>
  <c r="EQ78" i="23916"/>
  <c r="ER78" i="23916" s="1"/>
  <c r="EQ73" i="23916"/>
  <c r="EW64" i="23916"/>
  <c r="EV64" i="23916"/>
  <c r="EX154" i="23916"/>
  <c r="EW156" i="23916"/>
  <c r="EX156" i="23916" s="1"/>
  <c r="ET52" i="23916"/>
  <c r="ES60" i="23916"/>
  <c r="EQ91" i="23916"/>
  <c r="EP91" i="23916"/>
  <c r="ES39" i="23916"/>
  <c r="ES69" i="23916"/>
  <c r="ET29" i="23916"/>
  <c r="ES44" i="23916"/>
  <c r="ET44" i="23916" s="1"/>
  <c r="ET32" i="23916"/>
  <c r="ES71" i="23916"/>
  <c r="ET71" i="23916" s="1"/>
  <c r="ES735" i="23916" l="1"/>
  <c r="ES63" i="23916"/>
  <c r="ET63" i="23916" s="1"/>
  <c r="ET60" i="23916"/>
  <c r="ES58" i="23916"/>
  <c r="ET58" i="23916" s="1"/>
  <c r="EU49" i="23916"/>
  <c r="ET55" i="23916"/>
  <c r="EU68" i="23916"/>
  <c r="EU29" i="23916"/>
  <c r="EV28" i="23916"/>
  <c r="EU32" i="23916"/>
  <c r="EU31" i="23916"/>
  <c r="EX62" i="23916"/>
  <c r="ES85" i="23916"/>
  <c r="ES78" i="23916"/>
  <c r="ET78" i="23916" s="1"/>
  <c r="ET69" i="23916"/>
  <c r="ES91" i="23916"/>
  <c r="ER91" i="23916"/>
  <c r="EX64" i="23916"/>
  <c r="DM216" i="23916"/>
  <c r="DN214" i="23916"/>
  <c r="DO208" i="23916"/>
  <c r="DM229" i="23916"/>
  <c r="DN229" i="23916" s="1"/>
  <c r="ES743" i="23916"/>
  <c r="ET137" i="23916"/>
  <c r="DK233" i="23916"/>
  <c r="DL233" i="23916" s="1"/>
  <c r="DL219" i="23916"/>
  <c r="ER149" i="23916"/>
  <c r="EQ150" i="23916"/>
  <c r="ET135" i="23916"/>
  <c r="ES145" i="23916"/>
  <c r="ES147" i="23916"/>
  <c r="ES146" i="23916"/>
  <c r="EQ76" i="23916"/>
  <c r="ER76" i="23916" s="1"/>
  <c r="EQ79" i="23916"/>
  <c r="ER79" i="23916" s="1"/>
  <c r="ER73" i="23916"/>
  <c r="EQ74" i="23916"/>
  <c r="EQ83" i="23916" s="1"/>
  <c r="DN224" i="23916"/>
  <c r="DM225" i="23916"/>
  <c r="DN225" i="23916" s="1"/>
  <c r="DM204" i="23916"/>
  <c r="DN204" i="23916" s="1"/>
  <c r="DM247" i="23916"/>
  <c r="DM246" i="23916"/>
  <c r="DN199" i="23916"/>
  <c r="ET35" i="23916"/>
  <c r="ES84" i="23916"/>
  <c r="GG232" i="23916"/>
  <c r="GF244" i="23916"/>
  <c r="GG244" i="23916" s="1"/>
  <c r="GF245" i="23916"/>
  <c r="GG245" i="23916" s="1"/>
  <c r="GF280" i="23916"/>
  <c r="GG280" i="23916" s="1"/>
  <c r="ES73" i="23916"/>
  <c r="EU131" i="23916"/>
  <c r="EV129" i="23916"/>
  <c r="EU132" i="23916"/>
  <c r="EU133" i="23916"/>
  <c r="ES736" i="23916"/>
  <c r="ET39" i="23916"/>
  <c r="ES43" i="23916"/>
  <c r="ET43" i="23916" s="1"/>
  <c r="DN195" i="23916"/>
  <c r="DM197" i="23916"/>
  <c r="DO189" i="23916"/>
  <c r="DM228" i="23916"/>
  <c r="DL230" i="23916"/>
  <c r="DK232" i="23916"/>
  <c r="EW93" i="23916"/>
  <c r="EV93" i="23916"/>
  <c r="ER83" i="23916" l="1"/>
  <c r="EX93" i="23916"/>
  <c r="DM230" i="23916"/>
  <c r="DN228" i="23916"/>
  <c r="EU141" i="23916"/>
  <c r="EV141" i="23916" s="1"/>
  <c r="EV132" i="23916"/>
  <c r="ES149" i="23916"/>
  <c r="ET145" i="23916"/>
  <c r="DN216" i="23916"/>
  <c r="DM219" i="23916"/>
  <c r="ES102" i="23916"/>
  <c r="ET102" i="23916" s="1"/>
  <c r="ET85" i="23916"/>
  <c r="EU44" i="23916"/>
  <c r="EV44" i="23916" s="1"/>
  <c r="EV32" i="23916"/>
  <c r="EU34" i="23916"/>
  <c r="DK244" i="23916"/>
  <c r="DL244" i="23916" s="1"/>
  <c r="DL232" i="23916"/>
  <c r="DK245" i="23916"/>
  <c r="DL245" i="23916" s="1"/>
  <c r="DK280" i="23916"/>
  <c r="DL280" i="23916" s="1"/>
  <c r="DO205" i="23916"/>
  <c r="DP205" i="23916" s="1"/>
  <c r="DO195" i="23916"/>
  <c r="DP189" i="23916"/>
  <c r="ES79" i="23916"/>
  <c r="ET79" i="23916" s="1"/>
  <c r="ET73" i="23916"/>
  <c r="ES76" i="23916"/>
  <c r="ET76" i="23916" s="1"/>
  <c r="ES74" i="23916"/>
  <c r="ES83" i="23916" s="1"/>
  <c r="DM248" i="23916"/>
  <c r="DN248" i="23916" s="1"/>
  <c r="DN246" i="23916"/>
  <c r="ET91" i="23916"/>
  <c r="EU91" i="23916"/>
  <c r="EV68" i="23916"/>
  <c r="DN197" i="23916"/>
  <c r="DM200" i="23916"/>
  <c r="DN200" i="23916" s="1"/>
  <c r="EU137" i="23916"/>
  <c r="EV131" i="23916"/>
  <c r="ET84" i="23916"/>
  <c r="DN247" i="23916"/>
  <c r="EQ82" i="23916"/>
  <c r="ER74" i="23916"/>
  <c r="ET146" i="23916"/>
  <c r="EQ166" i="23916"/>
  <c r="ER150" i="23916"/>
  <c r="DO223" i="23916"/>
  <c r="DP223" i="23916" s="1"/>
  <c r="DO218" i="23916"/>
  <c r="DP218" i="23916" s="1"/>
  <c r="DO214" i="23916"/>
  <c r="DO224" i="23916"/>
  <c r="DP208" i="23916"/>
  <c r="EV133" i="23916"/>
  <c r="EU134" i="23916"/>
  <c r="ES164" i="23916"/>
  <c r="ET164" i="23916" s="1"/>
  <c r="ET147" i="23916"/>
  <c r="EV31" i="23916"/>
  <c r="EU69" i="23916"/>
  <c r="EV29" i="23916"/>
  <c r="EU39" i="23916"/>
  <c r="EV49" i="23916"/>
  <c r="EU65" i="23916"/>
  <c r="EV65" i="23916" s="1"/>
  <c r="EU52" i="23916"/>
  <c r="EU70" i="23916" s="1"/>
  <c r="EV70" i="23916" s="1"/>
  <c r="EU53" i="23916"/>
  <c r="ET83" i="23916" l="1"/>
  <c r="EV53" i="23916"/>
  <c r="EU55" i="23916"/>
  <c r="EV134" i="23916"/>
  <c r="EW129" i="23916"/>
  <c r="EU135" i="23916"/>
  <c r="DO225" i="23916"/>
  <c r="DP225" i="23916" s="1"/>
  <c r="DP224" i="23916"/>
  <c r="EV52" i="23916"/>
  <c r="EU60" i="23916"/>
  <c r="EU78" i="23916"/>
  <c r="EV78" i="23916" s="1"/>
  <c r="EV69" i="23916"/>
  <c r="DP214" i="23916"/>
  <c r="DQ208" i="23916"/>
  <c r="DO229" i="23916"/>
  <c r="DP229" i="23916" s="1"/>
  <c r="DO216" i="23916"/>
  <c r="EU743" i="23916"/>
  <c r="EV137" i="23916"/>
  <c r="EU73" i="23916"/>
  <c r="ET74" i="23916"/>
  <c r="ES82" i="23916"/>
  <c r="EQ167" i="23916"/>
  <c r="ER166" i="23916"/>
  <c r="EQ86" i="23916"/>
  <c r="ER82" i="23916"/>
  <c r="DP195" i="23916"/>
  <c r="DQ189" i="23916"/>
  <c r="DO228" i="23916"/>
  <c r="DO197" i="23916"/>
  <c r="EU37" i="23916"/>
  <c r="EV37" i="23916" s="1"/>
  <c r="EV34" i="23916"/>
  <c r="EW28" i="23916"/>
  <c r="EU35" i="23916"/>
  <c r="EU71" i="23916"/>
  <c r="EV71" i="23916" s="1"/>
  <c r="DN219" i="23916"/>
  <c r="DM233" i="23916"/>
  <c r="DN233" i="23916" s="1"/>
  <c r="ES150" i="23916"/>
  <c r="ET149" i="23916"/>
  <c r="EU736" i="23916"/>
  <c r="EU43" i="23916"/>
  <c r="EV43" i="23916" s="1"/>
  <c r="EV39" i="23916"/>
  <c r="EW91" i="23916"/>
  <c r="EV91" i="23916"/>
  <c r="DO199" i="23916"/>
  <c r="DN230" i="23916"/>
  <c r="DM232" i="23916"/>
  <c r="EX91" i="23916" l="1"/>
  <c r="DQ195" i="23916"/>
  <c r="DR189" i="23916"/>
  <c r="DQ205" i="23916"/>
  <c r="DR205" i="23916" s="1"/>
  <c r="ER86" i="23916"/>
  <c r="EQ87" i="23916"/>
  <c r="ET82" i="23916"/>
  <c r="ES86" i="23916"/>
  <c r="EU735" i="23916"/>
  <c r="EU63" i="23916"/>
  <c r="EV63" i="23916" s="1"/>
  <c r="EV60" i="23916"/>
  <c r="EV135" i="23916"/>
  <c r="EU145" i="23916"/>
  <c r="EU147" i="23916"/>
  <c r="EU146" i="23916"/>
  <c r="DP199" i="23916"/>
  <c r="DO247" i="23916"/>
  <c r="DO246" i="23916"/>
  <c r="DO204" i="23916"/>
  <c r="DP204" i="23916" s="1"/>
  <c r="ET150" i="23916"/>
  <c r="ES166" i="23916"/>
  <c r="DP216" i="23916"/>
  <c r="DO219" i="23916"/>
  <c r="EW133" i="23916"/>
  <c r="EW132" i="23916"/>
  <c r="EW135" i="23916"/>
  <c r="EX129" i="23916"/>
  <c r="EW134" i="23916"/>
  <c r="EX134" i="23916" s="1"/>
  <c r="EW131" i="23916"/>
  <c r="EV35" i="23916"/>
  <c r="EU84" i="23916"/>
  <c r="DP197" i="23916"/>
  <c r="DO200" i="23916"/>
  <c r="DP200" i="23916" s="1"/>
  <c r="EQ168" i="23916"/>
  <c r="ER167" i="23916"/>
  <c r="EU76" i="23916"/>
  <c r="EV76" i="23916" s="1"/>
  <c r="EU79" i="23916"/>
  <c r="EV79" i="23916" s="1"/>
  <c r="EV73" i="23916"/>
  <c r="EU74" i="23916"/>
  <c r="DN232" i="23916"/>
  <c r="DM244" i="23916"/>
  <c r="DN244" i="23916" s="1"/>
  <c r="DM245" i="23916"/>
  <c r="DN245" i="23916" s="1"/>
  <c r="DM280" i="23916"/>
  <c r="DN280" i="23916" s="1"/>
  <c r="EW32" i="23916"/>
  <c r="EX28" i="23916"/>
  <c r="EW29" i="23916"/>
  <c r="EW34" i="23916" s="1"/>
  <c r="EW31" i="23916"/>
  <c r="DP228" i="23916"/>
  <c r="DO230" i="23916"/>
  <c r="DQ224" i="23916"/>
  <c r="DQ218" i="23916"/>
  <c r="DR218" i="23916" s="1"/>
  <c r="DQ223" i="23916"/>
  <c r="DR223" i="23916" s="1"/>
  <c r="DR208" i="23916"/>
  <c r="DQ214" i="23916"/>
  <c r="EV55" i="23916"/>
  <c r="EW49" i="23916"/>
  <c r="EU58" i="23916"/>
  <c r="EV58" i="23916" s="1"/>
  <c r="EU56" i="23916"/>
  <c r="EX34" i="23916" l="1"/>
  <c r="EW37" i="23916"/>
  <c r="EX37" i="23916" s="1"/>
  <c r="EW35" i="23916"/>
  <c r="EV74" i="23916"/>
  <c r="EU82" i="23916"/>
  <c r="EU83" i="23916"/>
  <c r="EX133" i="23916"/>
  <c r="GP133" i="23916"/>
  <c r="ES87" i="23916"/>
  <c r="ET86" i="23916"/>
  <c r="EV56" i="23916"/>
  <c r="EU85" i="23916"/>
  <c r="DQ216" i="23916"/>
  <c r="DR214" i="23916"/>
  <c r="GH214" i="23916"/>
  <c r="DQ229" i="23916"/>
  <c r="DS208" i="23916"/>
  <c r="EX31" i="23916"/>
  <c r="GP31" i="23916"/>
  <c r="EV84" i="23916"/>
  <c r="DO233" i="23916"/>
  <c r="DP233" i="23916" s="1"/>
  <c r="DP219" i="23916"/>
  <c r="EV146" i="23916"/>
  <c r="DR195" i="23916"/>
  <c r="GH195" i="23916"/>
  <c r="DQ197" i="23916"/>
  <c r="DQ228" i="23916"/>
  <c r="DS189" i="23916"/>
  <c r="DR224" i="23916"/>
  <c r="DQ225" i="23916"/>
  <c r="DR225" i="23916" s="1"/>
  <c r="EW39" i="23916"/>
  <c r="EW69" i="23916"/>
  <c r="EX29" i="23916"/>
  <c r="GP29" i="23916"/>
  <c r="ER168" i="23916"/>
  <c r="EQ174" i="23916"/>
  <c r="EX135" i="23916"/>
  <c r="EW145" i="23916"/>
  <c r="EW147" i="23916"/>
  <c r="EW146" i="23916"/>
  <c r="EX146" i="23916" s="1"/>
  <c r="DP246" i="23916"/>
  <c r="DO248" i="23916"/>
  <c r="DP248" i="23916" s="1"/>
  <c r="EV147" i="23916"/>
  <c r="EU164" i="23916"/>
  <c r="EV164" i="23916" s="1"/>
  <c r="GP147" i="23916"/>
  <c r="EQ101" i="23916"/>
  <c r="ER87" i="23916"/>
  <c r="EQ104" i="23916"/>
  <c r="EX49" i="23916"/>
  <c r="EW65" i="23916"/>
  <c r="EX65" i="23916" s="1"/>
  <c r="EW52" i="23916"/>
  <c r="EW70" i="23916" s="1"/>
  <c r="EX70" i="23916" s="1"/>
  <c r="EW53" i="23916"/>
  <c r="DP230" i="23916"/>
  <c r="DO232" i="23916"/>
  <c r="EW68" i="23916"/>
  <c r="EW44" i="23916"/>
  <c r="EX44" i="23916" s="1"/>
  <c r="EX32" i="23916"/>
  <c r="EW71" i="23916"/>
  <c r="EX71" i="23916" s="1"/>
  <c r="GP32" i="23916"/>
  <c r="EX131" i="23916"/>
  <c r="EW137" i="23916"/>
  <c r="GP131" i="23916"/>
  <c r="EX132" i="23916"/>
  <c r="EW141" i="23916"/>
  <c r="EX141" i="23916" s="1"/>
  <c r="GP132" i="23916"/>
  <c r="ES167" i="23916"/>
  <c r="ET166" i="23916"/>
  <c r="DP247" i="23916"/>
  <c r="EV145" i="23916"/>
  <c r="EU149" i="23916"/>
  <c r="GP145" i="23916"/>
  <c r="DQ199" i="23916"/>
  <c r="EV149" i="23916" l="1"/>
  <c r="EU150" i="23916"/>
  <c r="EQ177" i="23916"/>
  <c r="EQ180" i="23916"/>
  <c r="ER174" i="23916"/>
  <c r="EQ175" i="23916"/>
  <c r="EW78" i="23916"/>
  <c r="EX78" i="23916" s="1"/>
  <c r="EX69" i="23916"/>
  <c r="DS205" i="23916"/>
  <c r="DT205" i="23916" s="1"/>
  <c r="DS199" i="23916"/>
  <c r="DS195" i="23916"/>
  <c r="DT189" i="23916"/>
  <c r="GH216" i="23916"/>
  <c r="GI214" i="23916"/>
  <c r="GJ208" i="23916"/>
  <c r="GH218" i="23916"/>
  <c r="GI218" i="23916" s="1"/>
  <c r="GP140" i="23916"/>
  <c r="GQ133" i="23916"/>
  <c r="GP44" i="23916"/>
  <c r="GQ32" i="23916"/>
  <c r="EX68" i="23916"/>
  <c r="EW73" i="23916"/>
  <c r="EW74" i="23916"/>
  <c r="EX53" i="23916"/>
  <c r="GP53" i="23916"/>
  <c r="ER101" i="23916"/>
  <c r="EW164" i="23916"/>
  <c r="EX164" i="23916" s="1"/>
  <c r="EX147" i="23916"/>
  <c r="EW736" i="23916"/>
  <c r="EX39" i="23916"/>
  <c r="EW43" i="23916"/>
  <c r="EX43" i="23916" s="1"/>
  <c r="GH228" i="23916"/>
  <c r="DQ230" i="23916"/>
  <c r="DR228" i="23916"/>
  <c r="GP146" i="23916"/>
  <c r="EX35" i="23916"/>
  <c r="EW84" i="23916"/>
  <c r="DQ204" i="23916"/>
  <c r="DR204" i="23916" s="1"/>
  <c r="DQ247" i="23916"/>
  <c r="DQ246" i="23916"/>
  <c r="DR199" i="23916"/>
  <c r="ET167" i="23916"/>
  <c r="ES168" i="23916"/>
  <c r="GQ131" i="23916"/>
  <c r="GP139" i="23916"/>
  <c r="GP137" i="23916"/>
  <c r="GP134" i="23916"/>
  <c r="DO244" i="23916"/>
  <c r="DP244" i="23916" s="1"/>
  <c r="DP232" i="23916"/>
  <c r="DO245" i="23916"/>
  <c r="DP245" i="23916" s="1"/>
  <c r="DO280" i="23916"/>
  <c r="DP280" i="23916" s="1"/>
  <c r="EX52" i="23916"/>
  <c r="EW60" i="23916"/>
  <c r="GP52" i="23916"/>
  <c r="EW55" i="23916"/>
  <c r="GQ147" i="23916"/>
  <c r="GP164" i="23916"/>
  <c r="GQ164" i="23916" s="1"/>
  <c r="EW149" i="23916"/>
  <c r="EX145" i="23916"/>
  <c r="GP69" i="23916"/>
  <c r="GP39" i="23916"/>
  <c r="GQ29" i="23916"/>
  <c r="GP41" i="23916"/>
  <c r="GP34" i="23916"/>
  <c r="DR197" i="23916"/>
  <c r="DQ200" i="23916"/>
  <c r="DR200" i="23916" s="1"/>
  <c r="DS223" i="23916"/>
  <c r="DT223" i="23916" s="1"/>
  <c r="DS214" i="23916"/>
  <c r="DS218" i="23916"/>
  <c r="DT218" i="23916" s="1"/>
  <c r="DT208" i="23916"/>
  <c r="DS224" i="23916"/>
  <c r="DR216" i="23916"/>
  <c r="DQ219" i="23916"/>
  <c r="EV83" i="23916"/>
  <c r="GP149" i="23916"/>
  <c r="GQ145" i="23916"/>
  <c r="GP141" i="23916"/>
  <c r="GQ141" i="23916" s="1"/>
  <c r="GQ132" i="23916"/>
  <c r="EW743" i="23916"/>
  <c r="EX137" i="23916"/>
  <c r="EQ105" i="23916"/>
  <c r="ER104" i="23916"/>
  <c r="GH197" i="23916"/>
  <c r="GI197" i="23916" s="1"/>
  <c r="GI195" i="23916"/>
  <c r="GJ189" i="23916"/>
  <c r="GH199" i="23916"/>
  <c r="GP70" i="23916"/>
  <c r="GQ70" i="23916" s="1"/>
  <c r="GP42" i="23916"/>
  <c r="GQ31" i="23916"/>
  <c r="GH229" i="23916"/>
  <c r="GI229" i="23916" s="1"/>
  <c r="DR229" i="23916"/>
  <c r="EV85" i="23916"/>
  <c r="EU102" i="23916"/>
  <c r="EV102" i="23916" s="1"/>
  <c r="ET87" i="23916"/>
  <c r="ES101" i="23916"/>
  <c r="ET101" i="23916" s="1"/>
  <c r="ES104" i="23916"/>
  <c r="EU86" i="23916"/>
  <c r="EV82" i="23916"/>
  <c r="EV86" i="23916" l="1"/>
  <c r="EU87" i="23916"/>
  <c r="GH204" i="23916"/>
  <c r="GI204" i="23916" s="1"/>
  <c r="GI199" i="23916"/>
  <c r="GP150" i="23916"/>
  <c r="GQ150" i="23916" s="1"/>
  <c r="GQ149" i="23916"/>
  <c r="DR219" i="23916"/>
  <c r="DQ233" i="23916"/>
  <c r="DR233" i="23916" s="1"/>
  <c r="EW150" i="23916"/>
  <c r="EX149" i="23916"/>
  <c r="EW58" i="23916"/>
  <c r="EX58" i="23916" s="1"/>
  <c r="EX55" i="23916"/>
  <c r="EW56" i="23916"/>
  <c r="GQ134" i="23916"/>
  <c r="GR129" i="23916"/>
  <c r="GP135" i="23916"/>
  <c r="DQ248" i="23916"/>
  <c r="DR248" i="23916" s="1"/>
  <c r="DR246" i="23916"/>
  <c r="GH246" i="23916"/>
  <c r="GH230" i="23916"/>
  <c r="GI228" i="23916"/>
  <c r="GP64" i="23916"/>
  <c r="GQ53" i="23916"/>
  <c r="DT199" i="23916"/>
  <c r="DS247" i="23916"/>
  <c r="DS246" i="23916"/>
  <c r="DS204" i="23916"/>
  <c r="DT204" i="23916" s="1"/>
  <c r="EQ183" i="23916"/>
  <c r="ER183" i="23916" s="1"/>
  <c r="EQ179" i="23916"/>
  <c r="EQ184" i="23916"/>
  <c r="ER184" i="23916" s="1"/>
  <c r="ER177" i="23916"/>
  <c r="ET104" i="23916"/>
  <c r="ES105" i="23916"/>
  <c r="GK189" i="23916"/>
  <c r="GJ205" i="23916"/>
  <c r="GK205" i="23916" s="1"/>
  <c r="GP736" i="23916"/>
  <c r="GQ39" i="23916"/>
  <c r="GP43" i="23916"/>
  <c r="GQ52" i="23916"/>
  <c r="GP62" i="23916"/>
  <c r="GP60" i="23916"/>
  <c r="GP55" i="23916"/>
  <c r="GP743" i="23916"/>
  <c r="GQ137" i="23916"/>
  <c r="ET168" i="23916"/>
  <c r="ES174" i="23916"/>
  <c r="DR247" i="23916"/>
  <c r="GH247" i="23916"/>
  <c r="GI247" i="23916" s="1"/>
  <c r="GQ146" i="23916"/>
  <c r="GP154" i="23916"/>
  <c r="GR140" i="23916"/>
  <c r="GQ140" i="23916"/>
  <c r="GH219" i="23916"/>
  <c r="GI219" i="23916" s="1"/>
  <c r="GI216" i="23916"/>
  <c r="ER175" i="23916"/>
  <c r="EU166" i="23916"/>
  <c r="EV150" i="23916"/>
  <c r="GS42" i="23916"/>
  <c r="GQ42" i="23916"/>
  <c r="EQ106" i="23916"/>
  <c r="ER105" i="23916"/>
  <c r="DS225" i="23916"/>
  <c r="DT225" i="23916" s="1"/>
  <c r="DT224" i="23916"/>
  <c r="DT214" i="23916"/>
  <c r="DS229" i="23916"/>
  <c r="DT229" i="23916" s="1"/>
  <c r="DS216" i="23916"/>
  <c r="DU208" i="23916"/>
  <c r="GQ34" i="23916"/>
  <c r="GR28" i="23916"/>
  <c r="GP37" i="23916"/>
  <c r="GQ37" i="23916" s="1"/>
  <c r="GP35" i="23916"/>
  <c r="GQ35" i="23916" s="1"/>
  <c r="GQ69" i="23916"/>
  <c r="GP78" i="23916"/>
  <c r="GQ78" i="23916" s="1"/>
  <c r="GP73" i="23916"/>
  <c r="EW735" i="23916"/>
  <c r="EW63" i="23916"/>
  <c r="EX63" i="23916" s="1"/>
  <c r="EX60" i="23916"/>
  <c r="GQ139" i="23916"/>
  <c r="GR139" i="23916"/>
  <c r="EX74" i="23916"/>
  <c r="EW82" i="23916"/>
  <c r="EW83" i="23916"/>
  <c r="GP71" i="23916"/>
  <c r="GQ71" i="23916" s="1"/>
  <c r="GR41" i="23916"/>
  <c r="GQ41" i="23916"/>
  <c r="EX84" i="23916"/>
  <c r="GP84" i="23916"/>
  <c r="DR230" i="23916"/>
  <c r="DQ232" i="23916"/>
  <c r="EW79" i="23916"/>
  <c r="EX79" i="23916" s="1"/>
  <c r="EX73" i="23916"/>
  <c r="EW76" i="23916"/>
  <c r="EX76" i="23916" s="1"/>
  <c r="GQ44" i="23916"/>
  <c r="GR44" i="23916"/>
  <c r="GK208" i="23916"/>
  <c r="GJ223" i="23916"/>
  <c r="GK223" i="23916" s="1"/>
  <c r="GJ224" i="23916"/>
  <c r="GK224" i="23916" s="1"/>
  <c r="DT195" i="23916"/>
  <c r="DS228" i="23916"/>
  <c r="DS197" i="23916"/>
  <c r="DU189" i="23916"/>
  <c r="EQ727" i="23916"/>
  <c r="ER180" i="23916"/>
  <c r="GT41" i="23916" l="1"/>
  <c r="GS41" i="23916"/>
  <c r="GS28" i="23916"/>
  <c r="GR31" i="23916"/>
  <c r="GR29" i="23916"/>
  <c r="GR32" i="23916"/>
  <c r="GT140" i="23916"/>
  <c r="GS140" i="23916"/>
  <c r="ES106" i="23916"/>
  <c r="ET105" i="23916"/>
  <c r="EQ519" i="23916"/>
  <c r="ER179" i="23916"/>
  <c r="DT247" i="23916"/>
  <c r="EX56" i="23916"/>
  <c r="EW85" i="23916"/>
  <c r="EX150" i="23916"/>
  <c r="EW166" i="23916"/>
  <c r="DU199" i="23916"/>
  <c r="DU205" i="23916"/>
  <c r="DV205" i="23916" s="1"/>
  <c r="DU195" i="23916"/>
  <c r="DV189" i="23916"/>
  <c r="GS44" i="23916"/>
  <c r="GT44" i="23916"/>
  <c r="GP92" i="23916"/>
  <c r="GQ84" i="23916"/>
  <c r="GR154" i="23916"/>
  <c r="GQ154" i="23916"/>
  <c r="ET174" i="23916"/>
  <c r="ES180" i="23916"/>
  <c r="ES175" i="23916"/>
  <c r="ES177" i="23916" s="1"/>
  <c r="GQ55" i="23916"/>
  <c r="GP58" i="23916"/>
  <c r="GQ58" i="23916" s="1"/>
  <c r="GR49" i="23916"/>
  <c r="GP56" i="23916"/>
  <c r="GQ56" i="23916" s="1"/>
  <c r="GR43" i="23916"/>
  <c r="GQ43" i="23916"/>
  <c r="GI230" i="23916"/>
  <c r="GH232" i="23916"/>
  <c r="GQ135" i="23916"/>
  <c r="GP155" i="23916"/>
  <c r="GP153" i="23916"/>
  <c r="EU101" i="23916"/>
  <c r="EV87" i="23916"/>
  <c r="EU104" i="23916"/>
  <c r="DT197" i="23916"/>
  <c r="DS200" i="23916"/>
  <c r="DT200" i="23916" s="1"/>
  <c r="DR232" i="23916"/>
  <c r="DQ244" i="23916"/>
  <c r="DR244" i="23916" s="1"/>
  <c r="DQ245" i="23916"/>
  <c r="DR245" i="23916" s="1"/>
  <c r="DQ280" i="23916"/>
  <c r="DR280" i="23916" s="1"/>
  <c r="EX83" i="23916"/>
  <c r="GP83" i="23916"/>
  <c r="GT139" i="23916"/>
  <c r="GS139" i="23916"/>
  <c r="DU224" i="23916"/>
  <c r="DU214" i="23916"/>
  <c r="DU218" i="23916"/>
  <c r="DV218" i="23916" s="1"/>
  <c r="DV208" i="23916"/>
  <c r="DU223" i="23916"/>
  <c r="DV223" i="23916" s="1"/>
  <c r="ER106" i="23916"/>
  <c r="EQ113" i="23916"/>
  <c r="EU167" i="23916"/>
  <c r="EV166" i="23916"/>
  <c r="GP166" i="23916"/>
  <c r="GP735" i="23916"/>
  <c r="GQ60" i="23916"/>
  <c r="GP63" i="23916"/>
  <c r="GQ63" i="23916" s="1"/>
  <c r="GH248" i="23916"/>
  <c r="GI248" i="23916" s="1"/>
  <c r="GI246" i="23916"/>
  <c r="GS129" i="23916"/>
  <c r="GR133" i="23916"/>
  <c r="GS133" i="23916" s="1"/>
  <c r="GR131" i="23916"/>
  <c r="GR132" i="23916"/>
  <c r="DT228" i="23916"/>
  <c r="DS230" i="23916"/>
  <c r="EX82" i="23916"/>
  <c r="EW86" i="23916"/>
  <c r="GP82" i="23916"/>
  <c r="GP79" i="23916"/>
  <c r="GQ79" i="23916" s="1"/>
  <c r="GQ73" i="23916"/>
  <c r="GP76" i="23916"/>
  <c r="GQ76" i="23916" s="1"/>
  <c r="GP74" i="23916"/>
  <c r="GQ74" i="23916" s="1"/>
  <c r="DT216" i="23916"/>
  <c r="DS219" i="23916"/>
  <c r="GR62" i="23916"/>
  <c r="GQ62" i="23916"/>
  <c r="DT246" i="23916"/>
  <c r="DS248" i="23916"/>
  <c r="DT248" i="23916" s="1"/>
  <c r="GQ64" i="23916"/>
  <c r="GR64" i="23916"/>
  <c r="ES184" i="23916" l="1"/>
  <c r="ET184" i="23916" s="1"/>
  <c r="ET177" i="23916"/>
  <c r="ES183" i="23916"/>
  <c r="ET183" i="23916" s="1"/>
  <c r="ES179" i="23916"/>
  <c r="GS62" i="23916"/>
  <c r="GT62" i="23916"/>
  <c r="GR52" i="23916"/>
  <c r="EW87" i="23916"/>
  <c r="EX86" i="23916"/>
  <c r="GS132" i="23916"/>
  <c r="GR141" i="23916"/>
  <c r="GS141" i="23916" s="1"/>
  <c r="DU216" i="23916"/>
  <c r="DV214" i="23916"/>
  <c r="DX208" i="23916" s="1"/>
  <c r="DW208" i="23916"/>
  <c r="DU229" i="23916"/>
  <c r="DV229" i="23916" s="1"/>
  <c r="GQ83" i="23916"/>
  <c r="GP91" i="23916"/>
  <c r="EU105" i="23916"/>
  <c r="EV104" i="23916"/>
  <c r="GQ155" i="23916"/>
  <c r="GR155" i="23916"/>
  <c r="GS49" i="23916"/>
  <c r="GR65" i="23916"/>
  <c r="GS65" i="23916" s="1"/>
  <c r="ES727" i="23916"/>
  <c r="ET180" i="23916"/>
  <c r="GS154" i="23916"/>
  <c r="GT154" i="23916"/>
  <c r="GV44" i="23916"/>
  <c r="GU44" i="23916"/>
  <c r="ET106" i="23916"/>
  <c r="ES113" i="23916"/>
  <c r="GS29" i="23916"/>
  <c r="GR69" i="23916"/>
  <c r="GR39" i="23916"/>
  <c r="GR34" i="23916"/>
  <c r="DS233" i="23916"/>
  <c r="DT233" i="23916" s="1"/>
  <c r="DT219" i="23916"/>
  <c r="GS131" i="23916"/>
  <c r="GR137" i="23916"/>
  <c r="GR134" i="23916"/>
  <c r="EU168" i="23916"/>
  <c r="EV167" i="23916"/>
  <c r="DV224" i="23916"/>
  <c r="DU225" i="23916"/>
  <c r="DV225" i="23916" s="1"/>
  <c r="GP156" i="23916"/>
  <c r="GQ156" i="23916" s="1"/>
  <c r="DU204" i="23916"/>
  <c r="DV204" i="23916" s="1"/>
  <c r="DU247" i="23916"/>
  <c r="DU246" i="23916"/>
  <c r="DV199" i="23916"/>
  <c r="EW102" i="23916"/>
  <c r="EX102" i="23916" s="1"/>
  <c r="EX85" i="23916"/>
  <c r="GP85" i="23916"/>
  <c r="GS31" i="23916"/>
  <c r="GR68" i="23916"/>
  <c r="GT64" i="23916"/>
  <c r="GS64" i="23916"/>
  <c r="GR53" i="23916"/>
  <c r="GS53" i="23916" s="1"/>
  <c r="DT230" i="23916"/>
  <c r="DS232" i="23916"/>
  <c r="EQ119" i="23916"/>
  <c r="ER113" i="23916"/>
  <c r="EQ114" i="23916"/>
  <c r="EV101" i="23916"/>
  <c r="GI232" i="23916"/>
  <c r="GH244" i="23916"/>
  <c r="GI244" i="23916" s="1"/>
  <c r="GH245" i="23916"/>
  <c r="GI245" i="23916" s="1"/>
  <c r="GH280" i="23916"/>
  <c r="GI280" i="23916" s="1"/>
  <c r="GT43" i="23916"/>
  <c r="GS43" i="23916"/>
  <c r="ER519" i="23916"/>
  <c r="GV140" i="23916"/>
  <c r="GU140" i="23916"/>
  <c r="GQ82" i="23916"/>
  <c r="GP90" i="23916"/>
  <c r="GP86" i="23916"/>
  <c r="GP171" i="23916"/>
  <c r="GQ166" i="23916"/>
  <c r="GV139" i="23916"/>
  <c r="GU139" i="23916"/>
  <c r="GR153" i="23916"/>
  <c r="GQ153" i="23916"/>
  <c r="ET175" i="23916"/>
  <c r="GQ92" i="23916"/>
  <c r="GR92" i="23916"/>
  <c r="DV195" i="23916"/>
  <c r="DX189" i="23916" s="1"/>
  <c r="DU197" i="23916"/>
  <c r="DW189" i="23916"/>
  <c r="DU228" i="23916"/>
  <c r="EW167" i="23916"/>
  <c r="EX166" i="23916"/>
  <c r="GR71" i="23916"/>
  <c r="GS71" i="23916" s="1"/>
  <c r="GS32" i="23916"/>
  <c r="GV41" i="23916"/>
  <c r="GU41" i="23916"/>
  <c r="GQ86" i="23916" l="1"/>
  <c r="GP87" i="23916"/>
  <c r="GQ87" i="23916" s="1"/>
  <c r="GU64" i="23916"/>
  <c r="GV64" i="23916"/>
  <c r="DU248" i="23916"/>
  <c r="DV248" i="23916" s="1"/>
  <c r="DV246" i="23916"/>
  <c r="GS69" i="23916"/>
  <c r="GT155" i="23916"/>
  <c r="GS155" i="23916"/>
  <c r="EU106" i="23916"/>
  <c r="EV105" i="23916"/>
  <c r="DW223" i="23916"/>
  <c r="DW218" i="23916"/>
  <c r="DW214" i="23916"/>
  <c r="DW224" i="23916"/>
  <c r="DW225" i="23916" s="1"/>
  <c r="GS52" i="23916"/>
  <c r="GR60" i="23916"/>
  <c r="DW205" i="23916"/>
  <c r="DW199" i="23916"/>
  <c r="DW195" i="23916"/>
  <c r="GS153" i="23916"/>
  <c r="GT153" i="23916"/>
  <c r="GQ171" i="23916"/>
  <c r="GR171" i="23916"/>
  <c r="ER114" i="23916"/>
  <c r="DS244" i="23916"/>
  <c r="DT244" i="23916" s="1"/>
  <c r="DT232" i="23916"/>
  <c r="DS245" i="23916"/>
  <c r="DT245" i="23916" s="1"/>
  <c r="DS280" i="23916"/>
  <c r="DT280" i="23916" s="1"/>
  <c r="GR70" i="23916"/>
  <c r="GS70" i="23916" s="1"/>
  <c r="GR736" i="23916"/>
  <c r="GS39" i="23916"/>
  <c r="GT156" i="23916"/>
  <c r="GV154" i="23916"/>
  <c r="GU154" i="23916"/>
  <c r="GR55" i="23916"/>
  <c r="EX87" i="23916"/>
  <c r="EW101" i="23916"/>
  <c r="EW104" i="23916"/>
  <c r="ES519" i="23916"/>
  <c r="ET179" i="23916"/>
  <c r="DV197" i="23916"/>
  <c r="DU200" i="23916"/>
  <c r="DV200" i="23916" s="1"/>
  <c r="GX140" i="23916"/>
  <c r="GW140" i="23916"/>
  <c r="GV43" i="23916"/>
  <c r="GU43" i="23916"/>
  <c r="GW41" i="23916"/>
  <c r="GX41" i="23916"/>
  <c r="EX167" i="23916"/>
  <c r="EW168" i="23916"/>
  <c r="DX199" i="23916"/>
  <c r="DX195" i="23916"/>
  <c r="DX205" i="23916"/>
  <c r="GX139" i="23916"/>
  <c r="GW139" i="23916"/>
  <c r="GR90" i="23916"/>
  <c r="GQ90" i="23916"/>
  <c r="EQ116" i="23916"/>
  <c r="GR73" i="23916"/>
  <c r="GS68" i="23916"/>
  <c r="DV247" i="23916"/>
  <c r="GS134" i="23916"/>
  <c r="GT129" i="23916"/>
  <c r="GR135" i="23916"/>
  <c r="GX44" i="23916"/>
  <c r="GW44" i="23916"/>
  <c r="GQ91" i="23916"/>
  <c r="GS91" i="23916"/>
  <c r="DX224" i="23916"/>
  <c r="DX225" i="23916" s="1"/>
  <c r="DX223" i="23916"/>
  <c r="DX214" i="23916"/>
  <c r="DX218" i="23916"/>
  <c r="GV62" i="23916"/>
  <c r="GU62" i="23916"/>
  <c r="GQ85" i="23916"/>
  <c r="GP93" i="23916"/>
  <c r="GP102" i="23916"/>
  <c r="GQ102" i="23916" s="1"/>
  <c r="EV168" i="23916"/>
  <c r="EU174" i="23916"/>
  <c r="DU230" i="23916"/>
  <c r="DV228" i="23916"/>
  <c r="GT92" i="23916"/>
  <c r="GS92" i="23916"/>
  <c r="EQ726" i="23916"/>
  <c r="ER119" i="23916"/>
  <c r="GP167" i="23916"/>
  <c r="GR743" i="23916"/>
  <c r="GS137" i="23916"/>
  <c r="GR37" i="23916"/>
  <c r="GS37" i="23916" s="1"/>
  <c r="GT28" i="23916"/>
  <c r="GS34" i="23916"/>
  <c r="GR35" i="23916"/>
  <c r="GS35" i="23916" s="1"/>
  <c r="ES114" i="23916"/>
  <c r="ET114" i="23916" s="1"/>
  <c r="ET113" i="23916"/>
  <c r="ES119" i="23916"/>
  <c r="GR156" i="23916"/>
  <c r="GS156" i="23916" s="1"/>
  <c r="DV216" i="23916"/>
  <c r="DU219" i="23916"/>
  <c r="GS135" i="23916" l="1"/>
  <c r="GR146" i="23916"/>
  <c r="GS146" i="23916" s="1"/>
  <c r="GY139" i="23916"/>
  <c r="GZ139" i="23916"/>
  <c r="GV153" i="23916"/>
  <c r="GU153" i="23916"/>
  <c r="EV106" i="23916"/>
  <c r="EU113" i="23916"/>
  <c r="GT32" i="23916"/>
  <c r="GT34" i="23916" s="1"/>
  <c r="GT29" i="23916"/>
  <c r="GT31" i="23916"/>
  <c r="GU28" i="23916"/>
  <c r="GQ167" i="23916"/>
  <c r="GP168" i="23916"/>
  <c r="GR84" i="23916"/>
  <c r="GS84" i="23916" s="1"/>
  <c r="EU177" i="23916"/>
  <c r="EU180" i="23916"/>
  <c r="EV174" i="23916"/>
  <c r="EU175" i="23916"/>
  <c r="GY44" i="23916"/>
  <c r="GZ44" i="23916"/>
  <c r="GR76" i="23916"/>
  <c r="GS76" i="23916" s="1"/>
  <c r="GR79" i="23916"/>
  <c r="GS79" i="23916" s="1"/>
  <c r="GS73" i="23916"/>
  <c r="DX247" i="23916"/>
  <c r="DX246" i="23916"/>
  <c r="DX248" i="23916" s="1"/>
  <c r="DX204" i="23916"/>
  <c r="GY41" i="23916"/>
  <c r="GZ41" i="23916"/>
  <c r="GW154" i="23916"/>
  <c r="GX154" i="23916"/>
  <c r="DW228" i="23916"/>
  <c r="DW197" i="23916"/>
  <c r="DW200" i="23916" s="1"/>
  <c r="DY189" i="23916"/>
  <c r="GR735" i="23916"/>
  <c r="GR63" i="23916"/>
  <c r="GS63" i="23916" s="1"/>
  <c r="GS60" i="23916"/>
  <c r="GU155" i="23916"/>
  <c r="GV155" i="23916"/>
  <c r="GR58" i="23916"/>
  <c r="GS58" i="23916" s="1"/>
  <c r="GT49" i="23916"/>
  <c r="GS55" i="23916"/>
  <c r="GR56" i="23916"/>
  <c r="GS56" i="23916" s="1"/>
  <c r="ES116" i="23916"/>
  <c r="DX229" i="23916"/>
  <c r="DX216" i="23916"/>
  <c r="DX219" i="23916" s="1"/>
  <c r="GT132" i="23916"/>
  <c r="GT131" i="23916"/>
  <c r="GT133" i="23916"/>
  <c r="GU133" i="23916" s="1"/>
  <c r="GU129" i="23916"/>
  <c r="GR74" i="23916"/>
  <c r="EX168" i="23916"/>
  <c r="EW174" i="23916"/>
  <c r="EX104" i="23916"/>
  <c r="EW105" i="23916"/>
  <c r="GP104" i="23916"/>
  <c r="GR145" i="23916"/>
  <c r="GR78" i="23916"/>
  <c r="GS78" i="23916" s="1"/>
  <c r="GX64" i="23916"/>
  <c r="GW64" i="23916"/>
  <c r="GU92" i="23916"/>
  <c r="GV92" i="23916"/>
  <c r="EQ122" i="23916"/>
  <c r="ER122" i="23916" s="1"/>
  <c r="EQ118" i="23916"/>
  <c r="ER116" i="23916"/>
  <c r="EQ123" i="23916"/>
  <c r="ER123" i="23916" s="1"/>
  <c r="EQ7" i="23916"/>
  <c r="GZ140" i="23916"/>
  <c r="GY140" i="23916"/>
  <c r="ET519" i="23916"/>
  <c r="GU156" i="23916"/>
  <c r="DW247" i="23916"/>
  <c r="DW246" i="23916"/>
  <c r="DW204" i="23916"/>
  <c r="DV219" i="23916"/>
  <c r="DU233" i="23916"/>
  <c r="DV233" i="23916" s="1"/>
  <c r="ES726" i="23916"/>
  <c r="ET119" i="23916"/>
  <c r="DV230" i="23916"/>
  <c r="DU232" i="23916"/>
  <c r="GR93" i="23916"/>
  <c r="GQ93" i="23916"/>
  <c r="GW62" i="23916"/>
  <c r="GX62" i="23916"/>
  <c r="GR82" i="23916"/>
  <c r="GS90" i="23916"/>
  <c r="GT90" i="23916"/>
  <c r="DX228" i="23916"/>
  <c r="DX230" i="23916" s="1"/>
  <c r="DX197" i="23916"/>
  <c r="DX200" i="23916" s="1"/>
  <c r="GX43" i="23916"/>
  <c r="GW43" i="23916"/>
  <c r="EX101" i="23916"/>
  <c r="GP101" i="23916"/>
  <c r="GT171" i="23916"/>
  <c r="GS171" i="23916"/>
  <c r="DW229" i="23916"/>
  <c r="DY208" i="23916"/>
  <c r="DW216" i="23916"/>
  <c r="DW219" i="23916" s="1"/>
  <c r="DW233" i="23916" s="1"/>
  <c r="GR147" i="23916"/>
  <c r="GU34" i="23916" l="1"/>
  <c r="GV28" i="23916"/>
  <c r="GT37" i="23916"/>
  <c r="GU37" i="23916" s="1"/>
  <c r="GT35" i="23916"/>
  <c r="GP109" i="23916"/>
  <c r="GQ101" i="23916"/>
  <c r="GS82" i="23916"/>
  <c r="EQ518" i="23916"/>
  <c r="ER118" i="23916"/>
  <c r="ES123" i="23916"/>
  <c r="ET123" i="23916" s="1"/>
  <c r="ET116" i="23916"/>
  <c r="ES7" i="23916"/>
  <c r="ES118" i="23916"/>
  <c r="ES122" i="23916"/>
  <c r="ET122" i="23916" s="1"/>
  <c r="GU49" i="23916"/>
  <c r="GT65" i="23916"/>
  <c r="GU65" i="23916" s="1"/>
  <c r="GT53" i="23916"/>
  <c r="GU53" i="23916" s="1"/>
  <c r="GT52" i="23916"/>
  <c r="GT55" i="23916" s="1"/>
  <c r="DY199" i="23916"/>
  <c r="DY195" i="23916"/>
  <c r="DY205" i="23916"/>
  <c r="DZ205" i="23916" s="1"/>
  <c r="DZ189" i="23916"/>
  <c r="GZ154" i="23916"/>
  <c r="GY154" i="23916"/>
  <c r="EV177" i="23916"/>
  <c r="EU183" i="23916"/>
  <c r="EV183" i="23916" s="1"/>
  <c r="EU179" i="23916"/>
  <c r="EU184" i="23916"/>
  <c r="EV184" i="23916" s="1"/>
  <c r="GR164" i="23916"/>
  <c r="GS164" i="23916" s="1"/>
  <c r="GS147" i="23916"/>
  <c r="GS93" i="23916"/>
  <c r="GR85" i="23916"/>
  <c r="GT93" i="23916"/>
  <c r="ER7" i="23916"/>
  <c r="GS145" i="23916"/>
  <c r="GR149" i="23916"/>
  <c r="EW180" i="23916"/>
  <c r="EX174" i="23916"/>
  <c r="EW175" i="23916"/>
  <c r="EX175" i="23916" s="1"/>
  <c r="GT134" i="23916"/>
  <c r="GT141" i="23916"/>
  <c r="GU141" i="23916" s="1"/>
  <c r="GU132" i="23916"/>
  <c r="EV175" i="23916"/>
  <c r="GP175" i="23916"/>
  <c r="GT69" i="23916"/>
  <c r="GT39" i="23916"/>
  <c r="GU29" i="23916"/>
  <c r="GV90" i="23916"/>
  <c r="GU90" i="23916"/>
  <c r="GZ62" i="23916"/>
  <c r="GY62" i="23916"/>
  <c r="DV232" i="23916"/>
  <c r="DU244" i="23916"/>
  <c r="DV244" i="23916" s="1"/>
  <c r="DU245" i="23916"/>
  <c r="DV245" i="23916" s="1"/>
  <c r="DU280" i="23916"/>
  <c r="DV280" i="23916" s="1"/>
  <c r="DW248" i="23916"/>
  <c r="GX92" i="23916"/>
  <c r="GW92" i="23916"/>
  <c r="GP110" i="23916"/>
  <c r="GQ104" i="23916"/>
  <c r="DX233" i="23916"/>
  <c r="GX155" i="23916"/>
  <c r="GX156" i="23916" s="1"/>
  <c r="GW155" i="23916"/>
  <c r="DW230" i="23916"/>
  <c r="GQ168" i="23916"/>
  <c r="GP174" i="23916"/>
  <c r="GT68" i="23916"/>
  <c r="GT71" i="23916"/>
  <c r="GU71" i="23916" s="1"/>
  <c r="GU32" i="23916"/>
  <c r="DY224" i="23916"/>
  <c r="DY218" i="23916"/>
  <c r="DZ218" i="23916" s="1"/>
  <c r="DY214" i="23916"/>
  <c r="DZ208" i="23916"/>
  <c r="DY223" i="23916"/>
  <c r="DZ223" i="23916" s="1"/>
  <c r="GU171" i="23916"/>
  <c r="GV171" i="23916"/>
  <c r="GZ43" i="23916"/>
  <c r="GY43" i="23916"/>
  <c r="DX232" i="23916"/>
  <c r="GY64" i="23916"/>
  <c r="GZ64" i="23916"/>
  <c r="EW106" i="23916"/>
  <c r="EX105" i="23916"/>
  <c r="GP105" i="23916"/>
  <c r="GR83" i="23916"/>
  <c r="GS83" i="23916" s="1"/>
  <c r="GS74" i="23916"/>
  <c r="GU131" i="23916"/>
  <c r="GT137" i="23916"/>
  <c r="GV156" i="23916"/>
  <c r="GW156" i="23916" s="1"/>
  <c r="EU727" i="23916"/>
  <c r="EV180" i="23916"/>
  <c r="GT70" i="23916"/>
  <c r="GU70" i="23916" s="1"/>
  <c r="GU31" i="23916"/>
  <c r="EU119" i="23916"/>
  <c r="EV113" i="23916"/>
  <c r="EU114" i="23916"/>
  <c r="EU116" i="23916" s="1"/>
  <c r="GW153" i="23916"/>
  <c r="GX153" i="23916"/>
  <c r="EU122" i="23916" l="1"/>
  <c r="EV122" i="23916" s="1"/>
  <c r="EU118" i="23916"/>
  <c r="EU7" i="23916"/>
  <c r="EV116" i="23916"/>
  <c r="EU123" i="23916"/>
  <c r="EV123" i="23916" s="1"/>
  <c r="GY156" i="23916"/>
  <c r="GZ156" i="23916"/>
  <c r="GU55" i="23916"/>
  <c r="GT58" i="23916"/>
  <c r="GU58" i="23916" s="1"/>
  <c r="GV49" i="23916"/>
  <c r="GT56" i="23916"/>
  <c r="GU56" i="23916" s="1"/>
  <c r="GT74" i="23916"/>
  <c r="GT73" i="23916"/>
  <c r="GU68" i="23916"/>
  <c r="GY92" i="23916"/>
  <c r="GZ92" i="23916"/>
  <c r="GW90" i="23916"/>
  <c r="GX90" i="23916"/>
  <c r="GP176" i="23916"/>
  <c r="GQ175" i="23916"/>
  <c r="GU134" i="23916"/>
  <c r="GV129" i="23916"/>
  <c r="GT135" i="23916"/>
  <c r="EW177" i="23916"/>
  <c r="DZ195" i="23916"/>
  <c r="DY197" i="23916"/>
  <c r="DY228" i="23916"/>
  <c r="GJ195" i="23916"/>
  <c r="EA189" i="23916"/>
  <c r="GU35" i="23916"/>
  <c r="GT84" i="23916"/>
  <c r="GU84" i="23916" s="1"/>
  <c r="EU726" i="23916"/>
  <c r="EV119" i="23916"/>
  <c r="EX106" i="23916"/>
  <c r="EW113" i="23916"/>
  <c r="DZ224" i="23916"/>
  <c r="DY225" i="23916"/>
  <c r="DZ225" i="23916" s="1"/>
  <c r="GQ174" i="23916"/>
  <c r="GP180" i="23916"/>
  <c r="GP177" i="23916"/>
  <c r="GQ110" i="23916"/>
  <c r="GR110" i="23916"/>
  <c r="GR150" i="23916"/>
  <c r="GS149" i="23916"/>
  <c r="GV93" i="23916"/>
  <c r="GU93" i="23916"/>
  <c r="GT85" i="23916"/>
  <c r="DY204" i="23916"/>
  <c r="DZ204" i="23916" s="1"/>
  <c r="DY247" i="23916"/>
  <c r="DY246" i="23916"/>
  <c r="DZ199" i="23916"/>
  <c r="GR86" i="23916"/>
  <c r="EV114" i="23916"/>
  <c r="DX244" i="23916"/>
  <c r="DX245" i="23916"/>
  <c r="DX280" i="23916"/>
  <c r="GX171" i="23916"/>
  <c r="GW171" i="23916"/>
  <c r="DY216" i="23916"/>
  <c r="DZ214" i="23916"/>
  <c r="DY229" i="23916"/>
  <c r="EA208" i="23916"/>
  <c r="GJ214" i="23916"/>
  <c r="GY155" i="23916"/>
  <c r="GZ155" i="23916"/>
  <c r="GT736" i="23916"/>
  <c r="GU39" i="23916"/>
  <c r="GR102" i="23916"/>
  <c r="GS102" i="23916" s="1"/>
  <c r="GS85" i="23916"/>
  <c r="ES518" i="23916"/>
  <c r="ET118" i="23916"/>
  <c r="GV68" i="23916"/>
  <c r="GW28" i="23916"/>
  <c r="GV32" i="23916"/>
  <c r="GV29" i="23916"/>
  <c r="GV31" i="23916"/>
  <c r="GZ153" i="23916"/>
  <c r="GY153" i="23916"/>
  <c r="GT743" i="23916"/>
  <c r="GU137" i="23916"/>
  <c r="GQ105" i="23916"/>
  <c r="GP106" i="23916"/>
  <c r="DW232" i="23916"/>
  <c r="GU69" i="23916"/>
  <c r="GT78" i="23916"/>
  <c r="GU78" i="23916" s="1"/>
  <c r="EW727" i="23916"/>
  <c r="EX180" i="23916"/>
  <c r="EU519" i="23916"/>
  <c r="EV179" i="23916"/>
  <c r="GU52" i="23916"/>
  <c r="GT60" i="23916"/>
  <c r="ET7" i="23916"/>
  <c r="ER518" i="23916"/>
  <c r="EQ520" i="23916"/>
  <c r="GQ109" i="23916"/>
  <c r="GR109" i="23916"/>
  <c r="GT109" i="23916" l="1"/>
  <c r="GS109" i="23916"/>
  <c r="GW31" i="23916"/>
  <c r="ET518" i="23916"/>
  <c r="ES520" i="23916"/>
  <c r="GK214" i="23916"/>
  <c r="GL208" i="23916"/>
  <c r="GJ216" i="23916"/>
  <c r="GJ218" i="23916"/>
  <c r="GK218" i="23916" s="1"/>
  <c r="DZ216" i="23916"/>
  <c r="DY219" i="23916"/>
  <c r="DZ247" i="23916"/>
  <c r="GJ247" i="23916"/>
  <c r="GK247" i="23916" s="1"/>
  <c r="GW93" i="23916"/>
  <c r="GX93" i="23916"/>
  <c r="GT110" i="23916"/>
  <c r="GS110" i="23916"/>
  <c r="DZ197" i="23916"/>
  <c r="DY200" i="23916"/>
  <c r="DZ200" i="23916" s="1"/>
  <c r="GW129" i="23916"/>
  <c r="GV133" i="23916"/>
  <c r="GW133" i="23916" s="1"/>
  <c r="GV131" i="23916"/>
  <c r="GV132" i="23916"/>
  <c r="GZ90" i="23916"/>
  <c r="GY90" i="23916"/>
  <c r="GU74" i="23916"/>
  <c r="GT83" i="23916"/>
  <c r="GU83" i="23916" s="1"/>
  <c r="GT82" i="23916"/>
  <c r="GQ106" i="23916"/>
  <c r="GP113" i="23916"/>
  <c r="GV69" i="23916"/>
  <c r="GV39" i="23916"/>
  <c r="GW29" i="23916"/>
  <c r="GV34" i="23916"/>
  <c r="EA223" i="23916"/>
  <c r="EB223" i="23916" s="1"/>
  <c r="EA214" i="23916"/>
  <c r="EA224" i="23916"/>
  <c r="EB208" i="23916"/>
  <c r="GR87" i="23916"/>
  <c r="GS86" i="23916"/>
  <c r="EA205" i="23916"/>
  <c r="EB205" i="23916" s="1"/>
  <c r="EA195" i="23916"/>
  <c r="EB189" i="23916"/>
  <c r="EV7" i="23916"/>
  <c r="ER520" i="23916"/>
  <c r="EV519" i="23916"/>
  <c r="GW32" i="23916"/>
  <c r="GW68" i="23916"/>
  <c r="GJ229" i="23916"/>
  <c r="GK229" i="23916" s="1"/>
  <c r="DZ229" i="23916"/>
  <c r="GU85" i="23916"/>
  <c r="GT102" i="23916"/>
  <c r="GU102" i="23916" s="1"/>
  <c r="GS150" i="23916"/>
  <c r="GR166" i="23916"/>
  <c r="GP179" i="23916"/>
  <c r="GP183" i="23916"/>
  <c r="GQ183" i="23916" s="1"/>
  <c r="GQ177" i="23916"/>
  <c r="GP184" i="23916"/>
  <c r="GQ184" i="23916" s="1"/>
  <c r="GL189" i="23916"/>
  <c r="GK195" i="23916"/>
  <c r="GJ197" i="23916"/>
  <c r="GK197" i="23916" s="1"/>
  <c r="GJ199" i="23916"/>
  <c r="EW184" i="23916"/>
  <c r="EX184" i="23916" s="1"/>
  <c r="EW183" i="23916"/>
  <c r="EX183" i="23916" s="1"/>
  <c r="EW179" i="23916"/>
  <c r="EX177" i="23916"/>
  <c r="GW49" i="23916"/>
  <c r="GV65" i="23916"/>
  <c r="GW65" i="23916" s="1"/>
  <c r="GV53" i="23916"/>
  <c r="GW53" i="23916" s="1"/>
  <c r="GV52" i="23916"/>
  <c r="EU518" i="23916"/>
  <c r="EV118" i="23916"/>
  <c r="GT735" i="23916"/>
  <c r="GU60" i="23916"/>
  <c r="GT63" i="23916"/>
  <c r="GU63" i="23916" s="1"/>
  <c r="DW244" i="23916"/>
  <c r="DW245" i="23916"/>
  <c r="DW280" i="23916"/>
  <c r="GZ171" i="23916"/>
  <c r="GY171" i="23916"/>
  <c r="DY248" i="23916"/>
  <c r="DZ248" i="23916" s="1"/>
  <c r="DZ246" i="23916"/>
  <c r="GJ246" i="23916"/>
  <c r="GP727" i="23916"/>
  <c r="GQ180" i="23916"/>
  <c r="EW114" i="23916"/>
  <c r="EX113" i="23916"/>
  <c r="EW119" i="23916"/>
  <c r="GJ228" i="23916"/>
  <c r="DY230" i="23916"/>
  <c r="DZ228" i="23916"/>
  <c r="GU135" i="23916"/>
  <c r="GT146" i="23916"/>
  <c r="GU146" i="23916" s="1"/>
  <c r="GT147" i="23916"/>
  <c r="GT145" i="23916"/>
  <c r="GQ176" i="23916"/>
  <c r="GR176" i="23916"/>
  <c r="GT79" i="23916"/>
  <c r="GU79" i="23916" s="1"/>
  <c r="GU73" i="23916"/>
  <c r="GT76" i="23916"/>
  <c r="GU76" i="23916" s="1"/>
  <c r="GS176" i="23916" l="1"/>
  <c r="GT176" i="23916"/>
  <c r="GK228" i="23916"/>
  <c r="GJ230" i="23916"/>
  <c r="EX114" i="23916"/>
  <c r="GP114" i="23916"/>
  <c r="EV518" i="23916"/>
  <c r="EU520" i="23916"/>
  <c r="EW519" i="23916"/>
  <c r="EX179" i="23916"/>
  <c r="GR101" i="23916"/>
  <c r="GS101" i="23916" s="1"/>
  <c r="GS87" i="23916"/>
  <c r="GW131" i="23916"/>
  <c r="GV137" i="23916"/>
  <c r="GV134" i="23916"/>
  <c r="GR104" i="23916"/>
  <c r="EW116" i="23916"/>
  <c r="GW52" i="23916"/>
  <c r="GV60" i="23916"/>
  <c r="GV71" i="23916"/>
  <c r="GW71" i="23916" s="1"/>
  <c r="EB214" i="23916"/>
  <c r="EA229" i="23916"/>
  <c r="EB229" i="23916" s="1"/>
  <c r="EC208" i="23916"/>
  <c r="EA216" i="23916"/>
  <c r="GV736" i="23916"/>
  <c r="GW39" i="23916"/>
  <c r="GU82" i="23916"/>
  <c r="GT86" i="23916"/>
  <c r="GU110" i="23916"/>
  <c r="GV110" i="23916"/>
  <c r="ET520" i="23916"/>
  <c r="GV70" i="23916"/>
  <c r="GT149" i="23916"/>
  <c r="GU145" i="23916"/>
  <c r="EW726" i="23916"/>
  <c r="EX119" i="23916"/>
  <c r="GV55" i="23916"/>
  <c r="GM189" i="23916"/>
  <c r="GL205" i="23916"/>
  <c r="GM205" i="23916" s="1"/>
  <c r="GP519" i="23916"/>
  <c r="GQ179" i="23916"/>
  <c r="EB195" i="23916"/>
  <c r="EA228" i="23916"/>
  <c r="EC189" i="23916"/>
  <c r="EA197" i="23916"/>
  <c r="EA225" i="23916"/>
  <c r="EB225" i="23916" s="1"/>
  <c r="EB224" i="23916"/>
  <c r="GV78" i="23916"/>
  <c r="GW78" i="23916" s="1"/>
  <c r="GW69" i="23916"/>
  <c r="GZ93" i="23916"/>
  <c r="GY93" i="23916"/>
  <c r="GJ219" i="23916"/>
  <c r="GK219" i="23916" s="1"/>
  <c r="GK216" i="23916"/>
  <c r="GU147" i="23916"/>
  <c r="GT164" i="23916"/>
  <c r="GU164" i="23916" s="1"/>
  <c r="DZ230" i="23916"/>
  <c r="DY232" i="23916"/>
  <c r="GK246" i="23916"/>
  <c r="GJ248" i="23916"/>
  <c r="GK248" i="23916" s="1"/>
  <c r="GK199" i="23916"/>
  <c r="GJ204" i="23916"/>
  <c r="GK204" i="23916" s="1"/>
  <c r="GR167" i="23916"/>
  <c r="GS166" i="23916"/>
  <c r="EA199" i="23916"/>
  <c r="EA218" i="23916"/>
  <c r="EB218" i="23916" s="1"/>
  <c r="GV37" i="23916"/>
  <c r="GW37" i="23916" s="1"/>
  <c r="GX28" i="23916"/>
  <c r="GW34" i="23916"/>
  <c r="GV35" i="23916"/>
  <c r="GP116" i="23916"/>
  <c r="GP119" i="23916"/>
  <c r="GQ113" i="23916"/>
  <c r="GW132" i="23916"/>
  <c r="GV141" i="23916"/>
  <c r="GW141" i="23916" s="1"/>
  <c r="DZ219" i="23916"/>
  <c r="DY233" i="23916"/>
  <c r="DZ233" i="23916" s="1"/>
  <c r="GM208" i="23916"/>
  <c r="GL224" i="23916"/>
  <c r="GM224" i="23916" s="1"/>
  <c r="GL223" i="23916"/>
  <c r="GM223" i="23916" s="1"/>
  <c r="GU109" i="23916"/>
  <c r="GV109" i="23916"/>
  <c r="GW35" i="23916" l="1"/>
  <c r="GV84" i="23916"/>
  <c r="GW84" i="23916" s="1"/>
  <c r="DZ232" i="23916"/>
  <c r="DY244" i="23916"/>
  <c r="DZ244" i="23916" s="1"/>
  <c r="DY245" i="23916"/>
  <c r="DZ245" i="23916" s="1"/>
  <c r="DY280" i="23916"/>
  <c r="DZ280" i="23916" s="1"/>
  <c r="EB228" i="23916"/>
  <c r="EA230" i="23916"/>
  <c r="GW70" i="23916"/>
  <c r="GV73" i="23916"/>
  <c r="EC224" i="23916"/>
  <c r="EC214" i="23916"/>
  <c r="ED208" i="23916"/>
  <c r="EC223" i="23916"/>
  <c r="ED223" i="23916" s="1"/>
  <c r="GV735" i="23916"/>
  <c r="GV63" i="23916"/>
  <c r="GW63" i="23916" s="1"/>
  <c r="GW60" i="23916"/>
  <c r="GW134" i="23916"/>
  <c r="GX129" i="23916"/>
  <c r="GV135" i="23916"/>
  <c r="GK230" i="23916"/>
  <c r="GJ232" i="23916"/>
  <c r="EB199" i="23916"/>
  <c r="EA247" i="23916"/>
  <c r="EA246" i="23916"/>
  <c r="EA204" i="23916"/>
  <c r="EB204" i="23916" s="1"/>
  <c r="GX110" i="23916"/>
  <c r="GW110" i="23916"/>
  <c r="GV743" i="23916"/>
  <c r="GW137" i="23916"/>
  <c r="GP726" i="23916"/>
  <c r="GQ119" i="23916"/>
  <c r="GX32" i="23916"/>
  <c r="GX29" i="23916"/>
  <c r="GX34" i="23916" s="1"/>
  <c r="GZ28" i="23916"/>
  <c r="GY28" i="23916"/>
  <c r="GX31" i="23916"/>
  <c r="EB197" i="23916"/>
  <c r="EA200" i="23916"/>
  <c r="EB200" i="23916" s="1"/>
  <c r="EW123" i="23916"/>
  <c r="EX123" i="23916" s="1"/>
  <c r="EW7" i="23916"/>
  <c r="EW118" i="23916"/>
  <c r="EX116" i="23916"/>
  <c r="EW122" i="23916"/>
  <c r="EX122" i="23916" s="1"/>
  <c r="EX519" i="23916"/>
  <c r="GP115" i="23916"/>
  <c r="GQ114" i="23916"/>
  <c r="GV176" i="23916"/>
  <c r="GU176" i="23916"/>
  <c r="GX109" i="23916"/>
  <c r="GW109" i="23916"/>
  <c r="GP123" i="23916"/>
  <c r="GQ123" i="23916" s="1"/>
  <c r="GP122" i="23916"/>
  <c r="GQ122" i="23916" s="1"/>
  <c r="GP7" i="23916"/>
  <c r="GQ116" i="23916"/>
  <c r="GP118" i="23916"/>
  <c r="GR168" i="23916"/>
  <c r="GS167" i="23916"/>
  <c r="EC195" i="23916"/>
  <c r="EC205" i="23916"/>
  <c r="ED205" i="23916" s="1"/>
  <c r="ED189" i="23916"/>
  <c r="GQ519" i="23916"/>
  <c r="GV58" i="23916"/>
  <c r="GW58" i="23916" s="1"/>
  <c r="GX49" i="23916"/>
  <c r="GW55" i="23916"/>
  <c r="GV56" i="23916"/>
  <c r="GT150" i="23916"/>
  <c r="GU149" i="23916"/>
  <c r="GU86" i="23916"/>
  <c r="GT87" i="23916"/>
  <c r="EB216" i="23916"/>
  <c r="EA219" i="23916"/>
  <c r="GR105" i="23916"/>
  <c r="GS104" i="23916"/>
  <c r="EV520" i="23916"/>
  <c r="GZ34" i="23916" l="1"/>
  <c r="GY34" i="23916"/>
  <c r="GX37" i="23916"/>
  <c r="GX35" i="23916"/>
  <c r="GP518" i="23916"/>
  <c r="GQ118" i="23916"/>
  <c r="GW176" i="23916"/>
  <c r="GX176" i="23916"/>
  <c r="EX7" i="23916"/>
  <c r="GY31" i="23916"/>
  <c r="GZ31" i="23916"/>
  <c r="EB246" i="23916"/>
  <c r="EA248" i="23916"/>
  <c r="EB248" i="23916" s="1"/>
  <c r="EB230" i="23916"/>
  <c r="EA232" i="23916"/>
  <c r="GU87" i="23916"/>
  <c r="GT101" i="23916"/>
  <c r="GU101" i="23916" s="1"/>
  <c r="GT104" i="23916"/>
  <c r="GU150" i="23916"/>
  <c r="GT166" i="23916"/>
  <c r="GY49" i="23916"/>
  <c r="GZ49" i="23916"/>
  <c r="GX65" i="23916"/>
  <c r="GX53" i="23916"/>
  <c r="GX52" i="23916"/>
  <c r="GX55" i="23916" s="1"/>
  <c r="ED195" i="23916"/>
  <c r="EE189" i="23916"/>
  <c r="EC197" i="23916"/>
  <c r="EC228" i="23916"/>
  <c r="EB247" i="23916"/>
  <c r="ED224" i="23916"/>
  <c r="EC225" i="23916"/>
  <c r="ED225" i="23916" s="1"/>
  <c r="GR106" i="23916"/>
  <c r="GS105" i="23916"/>
  <c r="GQ7" i="23916"/>
  <c r="GZ109" i="23916"/>
  <c r="GY109" i="23916"/>
  <c r="GQ115" i="23916"/>
  <c r="GR115" i="23916"/>
  <c r="GX68" i="23916"/>
  <c r="GX69" i="23916"/>
  <c r="GX39" i="23916"/>
  <c r="GY29" i="23916"/>
  <c r="GZ29" i="23916"/>
  <c r="GZ110" i="23916"/>
  <c r="GY110" i="23916"/>
  <c r="GW135" i="23916"/>
  <c r="GV146" i="23916"/>
  <c r="GW146" i="23916" s="1"/>
  <c r="GV147" i="23916"/>
  <c r="GV145" i="23916"/>
  <c r="EC216" i="23916"/>
  <c r="ED214" i="23916"/>
  <c r="EE208" i="23916"/>
  <c r="EC229" i="23916"/>
  <c r="ED229" i="23916" s="1"/>
  <c r="GV76" i="23916"/>
  <c r="GW76" i="23916" s="1"/>
  <c r="GW73" i="23916"/>
  <c r="GV79" i="23916"/>
  <c r="GW79" i="23916" s="1"/>
  <c r="GV74" i="23916"/>
  <c r="EA233" i="23916"/>
  <c r="EB233" i="23916" s="1"/>
  <c r="EB219" i="23916"/>
  <c r="GW56" i="23916"/>
  <c r="GV85" i="23916"/>
  <c r="EC199" i="23916"/>
  <c r="GS168" i="23916"/>
  <c r="GR174" i="23916"/>
  <c r="EW518" i="23916"/>
  <c r="EX118" i="23916"/>
  <c r="GX71" i="23916"/>
  <c r="GY32" i="23916"/>
  <c r="GZ32" i="23916"/>
  <c r="GK232" i="23916"/>
  <c r="GJ244" i="23916"/>
  <c r="GK244" i="23916" s="1"/>
  <c r="GJ245" i="23916"/>
  <c r="GK245" i="23916" s="1"/>
  <c r="GJ280" i="23916"/>
  <c r="GK280" i="23916" s="1"/>
  <c r="GX132" i="23916"/>
  <c r="GX131" i="23916"/>
  <c r="GZ129" i="23916"/>
  <c r="GX133" i="23916"/>
  <c r="GY129" i="23916"/>
  <c r="EC218" i="23916"/>
  <c r="ED218" i="23916" s="1"/>
  <c r="GZ55" i="23916" l="1"/>
  <c r="GY55" i="23916"/>
  <c r="GX58" i="23916"/>
  <c r="GX56" i="23916"/>
  <c r="GZ133" i="23916"/>
  <c r="GY133" i="23916"/>
  <c r="GX141" i="23916"/>
  <c r="GY132" i="23916"/>
  <c r="GZ132" i="23916"/>
  <c r="EC204" i="23916"/>
  <c r="ED204" i="23916" s="1"/>
  <c r="EC247" i="23916"/>
  <c r="EC246" i="23916"/>
  <c r="ED199" i="23916"/>
  <c r="ED216" i="23916"/>
  <c r="EC219" i="23916"/>
  <c r="GZ68" i="23916"/>
  <c r="GY68" i="23916"/>
  <c r="GS106" i="23916"/>
  <c r="GR113" i="23916"/>
  <c r="GU166" i="23916"/>
  <c r="GT167" i="23916"/>
  <c r="GY176" i="23916"/>
  <c r="GZ176" i="23916"/>
  <c r="GY35" i="23916"/>
  <c r="GZ35" i="23916"/>
  <c r="GX84" i="23916"/>
  <c r="EX518" i="23916"/>
  <c r="EW520" i="23916"/>
  <c r="GV102" i="23916"/>
  <c r="GW102" i="23916" s="1"/>
  <c r="GW85" i="23916"/>
  <c r="GW74" i="23916"/>
  <c r="GV83" i="23916"/>
  <c r="GW83" i="23916" s="1"/>
  <c r="GV82" i="23916"/>
  <c r="GW145" i="23916"/>
  <c r="GV149" i="23916"/>
  <c r="GS115" i="23916"/>
  <c r="GT115" i="23916"/>
  <c r="EC230" i="23916"/>
  <c r="ED228" i="23916"/>
  <c r="GY52" i="23916"/>
  <c r="GZ52" i="23916"/>
  <c r="GX60" i="23916"/>
  <c r="EA244" i="23916"/>
  <c r="EB244" i="23916" s="1"/>
  <c r="EB232" i="23916"/>
  <c r="EA245" i="23916"/>
  <c r="EB245" i="23916" s="1"/>
  <c r="EA280" i="23916"/>
  <c r="EB280" i="23916" s="1"/>
  <c r="GX70" i="23916"/>
  <c r="GZ37" i="23916"/>
  <c r="GY37" i="23916"/>
  <c r="GX134" i="23916"/>
  <c r="GY131" i="23916"/>
  <c r="GZ131" i="23916"/>
  <c r="GX137" i="23916"/>
  <c r="GR180" i="23916"/>
  <c r="GS174" i="23916"/>
  <c r="GR177" i="23916"/>
  <c r="GR175" i="23916"/>
  <c r="GS175" i="23916" s="1"/>
  <c r="EE223" i="23916"/>
  <c r="EF223" i="23916" s="1"/>
  <c r="EE218" i="23916"/>
  <c r="EF218" i="23916" s="1"/>
  <c r="EE214" i="23916"/>
  <c r="EF208" i="23916"/>
  <c r="EE224" i="23916"/>
  <c r="GV164" i="23916"/>
  <c r="GW164" i="23916" s="1"/>
  <c r="GW147" i="23916"/>
  <c r="GX736" i="23916"/>
  <c r="GY39" i="23916"/>
  <c r="GZ39" i="23916"/>
  <c r="ED197" i="23916"/>
  <c r="EC200" i="23916"/>
  <c r="ED200" i="23916" s="1"/>
  <c r="GY53" i="23916"/>
  <c r="GZ53" i="23916"/>
  <c r="GU104" i="23916"/>
  <c r="GT105" i="23916"/>
  <c r="GZ71" i="23916"/>
  <c r="GY71" i="23916"/>
  <c r="GY69" i="23916"/>
  <c r="GX78" i="23916"/>
  <c r="GZ69" i="23916"/>
  <c r="EE205" i="23916"/>
  <c r="EF205" i="23916" s="1"/>
  <c r="EE195" i="23916"/>
  <c r="EE199" i="23916"/>
  <c r="EF189" i="23916"/>
  <c r="GY65" i="23916"/>
  <c r="GZ65" i="23916"/>
  <c r="GQ518" i="23916"/>
  <c r="GP520" i="23916"/>
  <c r="GQ520" i="23916" l="1"/>
  <c r="EF195" i="23916"/>
  <c r="EE228" i="23916"/>
  <c r="EE197" i="23916"/>
  <c r="EG189" i="23916"/>
  <c r="EF214" i="23916"/>
  <c r="EE229" i="23916"/>
  <c r="EF229" i="23916" s="1"/>
  <c r="EG208" i="23916"/>
  <c r="EE216" i="23916"/>
  <c r="GX743" i="23916"/>
  <c r="GZ137" i="23916"/>
  <c r="GY137" i="23916"/>
  <c r="GU115" i="23916"/>
  <c r="GV115" i="23916"/>
  <c r="GV86" i="23916"/>
  <c r="GW82" i="23916"/>
  <c r="GZ84" i="23916"/>
  <c r="GY84" i="23916"/>
  <c r="EC248" i="23916"/>
  <c r="ED248" i="23916" s="1"/>
  <c r="ED246" i="23916"/>
  <c r="GY56" i="23916"/>
  <c r="GZ56" i="23916"/>
  <c r="GX85" i="23916"/>
  <c r="GR184" i="23916"/>
  <c r="GS184" i="23916" s="1"/>
  <c r="GR183" i="23916"/>
  <c r="GS183" i="23916" s="1"/>
  <c r="GR179" i="23916"/>
  <c r="GS177" i="23916"/>
  <c r="EX520" i="23916"/>
  <c r="GU167" i="23916"/>
  <c r="GT168" i="23916"/>
  <c r="ED219" i="23916"/>
  <c r="EC233" i="23916"/>
  <c r="ED233" i="23916" s="1"/>
  <c r="ED247" i="23916"/>
  <c r="GZ141" i="23916"/>
  <c r="GY141" i="23916"/>
  <c r="GZ58" i="23916"/>
  <c r="GY58" i="23916"/>
  <c r="EF199" i="23916"/>
  <c r="EE247" i="23916"/>
  <c r="EF247" i="23916" s="1"/>
  <c r="EE246" i="23916"/>
  <c r="EE204" i="23916"/>
  <c r="EF204" i="23916" s="1"/>
  <c r="EE225" i="23916"/>
  <c r="EF225" i="23916" s="1"/>
  <c r="EF224" i="23916"/>
  <c r="GY70" i="23916"/>
  <c r="GZ70" i="23916"/>
  <c r="GV150" i="23916"/>
  <c r="GW149" i="23916"/>
  <c r="GX73" i="23916"/>
  <c r="GY78" i="23916"/>
  <c r="GZ78" i="23916"/>
  <c r="GU105" i="23916"/>
  <c r="GT106" i="23916"/>
  <c r="GR727" i="23916"/>
  <c r="GS180" i="23916"/>
  <c r="GZ134" i="23916"/>
  <c r="GY134" i="23916"/>
  <c r="GX135" i="23916"/>
  <c r="GX735" i="23916"/>
  <c r="GY60" i="23916"/>
  <c r="GZ60" i="23916"/>
  <c r="GX63" i="23916"/>
  <c r="ED230" i="23916"/>
  <c r="EC232" i="23916"/>
  <c r="GR119" i="23916"/>
  <c r="GR114" i="23916"/>
  <c r="GS114" i="23916" s="1"/>
  <c r="GS113" i="23916"/>
  <c r="GR726" i="23916" l="1"/>
  <c r="GS119" i="23916"/>
  <c r="GZ63" i="23916"/>
  <c r="GY63" i="23916"/>
  <c r="GY135" i="23916"/>
  <c r="GZ135" i="23916"/>
  <c r="GX146" i="23916"/>
  <c r="GX147" i="23916"/>
  <c r="GX145" i="23916"/>
  <c r="GX115" i="23916"/>
  <c r="GW115" i="23916"/>
  <c r="GR116" i="23916"/>
  <c r="ED232" i="23916"/>
  <c r="EC244" i="23916"/>
  <c r="ED244" i="23916" s="1"/>
  <c r="EC245" i="23916"/>
  <c r="ED245" i="23916" s="1"/>
  <c r="EC280" i="23916"/>
  <c r="ED280" i="23916" s="1"/>
  <c r="GU106" i="23916"/>
  <c r="GT113" i="23916"/>
  <c r="GX79" i="23916"/>
  <c r="GY73" i="23916"/>
  <c r="GZ73" i="23916"/>
  <c r="GX76" i="23916"/>
  <c r="GX74" i="23916"/>
  <c r="GU168" i="23916"/>
  <c r="GT174" i="23916"/>
  <c r="EF216" i="23916"/>
  <c r="EE219" i="23916"/>
  <c r="EG195" i="23916"/>
  <c r="EH189" i="23916"/>
  <c r="EG205" i="23916"/>
  <c r="EH205" i="23916" s="1"/>
  <c r="EF246" i="23916"/>
  <c r="EE248" i="23916"/>
  <c r="EF248" i="23916" s="1"/>
  <c r="GZ85" i="23916"/>
  <c r="GY85" i="23916"/>
  <c r="GX102" i="23916"/>
  <c r="EG224" i="23916"/>
  <c r="EG214" i="23916"/>
  <c r="EG223" i="23916"/>
  <c r="EH223" i="23916" s="1"/>
  <c r="EH208" i="23916"/>
  <c r="EF197" i="23916"/>
  <c r="EE200" i="23916"/>
  <c r="EF200" i="23916" s="1"/>
  <c r="GW150" i="23916"/>
  <c r="GV166" i="23916"/>
  <c r="GR519" i="23916"/>
  <c r="GS179" i="23916"/>
  <c r="GV87" i="23916"/>
  <c r="GW86" i="23916"/>
  <c r="EF228" i="23916"/>
  <c r="EE230" i="23916"/>
  <c r="EF230" i="23916" l="1"/>
  <c r="EE232" i="23916"/>
  <c r="GV101" i="23916"/>
  <c r="GW101" i="23916" s="1"/>
  <c r="GW87" i="23916"/>
  <c r="GV104" i="23916"/>
  <c r="EH224" i="23916"/>
  <c r="EG225" i="23916"/>
  <c r="EH225" i="23916" s="1"/>
  <c r="EH195" i="23916"/>
  <c r="GL195" i="23916"/>
  <c r="EG197" i="23916"/>
  <c r="EG228" i="23916"/>
  <c r="EI189" i="23916"/>
  <c r="GY74" i="23916"/>
  <c r="GZ74" i="23916"/>
  <c r="GX83" i="23916"/>
  <c r="GX82" i="23916"/>
  <c r="GY79" i="23916"/>
  <c r="GZ79" i="23916"/>
  <c r="GZ146" i="23916"/>
  <c r="GY146" i="23916"/>
  <c r="EG216" i="23916"/>
  <c r="EH214" i="23916"/>
  <c r="GL214" i="23916"/>
  <c r="EG229" i="23916"/>
  <c r="EI208" i="23916"/>
  <c r="GZ102" i="23916"/>
  <c r="GY102" i="23916"/>
  <c r="EG199" i="23916"/>
  <c r="GU174" i="23916"/>
  <c r="GT175" i="23916"/>
  <c r="GU175" i="23916" s="1"/>
  <c r="GT180" i="23916"/>
  <c r="GZ76" i="23916"/>
  <c r="GY76" i="23916"/>
  <c r="GT116" i="23916"/>
  <c r="GT114" i="23916"/>
  <c r="GU114" i="23916" s="1"/>
  <c r="GU113" i="23916"/>
  <c r="GT119" i="23916"/>
  <c r="GZ115" i="23916"/>
  <c r="GY115" i="23916"/>
  <c r="GS519" i="23916"/>
  <c r="EG218" i="23916"/>
  <c r="EH218" i="23916" s="1"/>
  <c r="GZ145" i="23916"/>
  <c r="GX149" i="23916"/>
  <c r="GY145" i="23916"/>
  <c r="GV167" i="23916"/>
  <c r="GW166" i="23916"/>
  <c r="EE233" i="23916"/>
  <c r="EF233" i="23916" s="1"/>
  <c r="EF219" i="23916"/>
  <c r="GR118" i="23916"/>
  <c r="GR123" i="23916"/>
  <c r="GS123" i="23916" s="1"/>
  <c r="GR122" i="23916"/>
  <c r="GS122" i="23916" s="1"/>
  <c r="GS116" i="23916"/>
  <c r="GR7" i="23916"/>
  <c r="GY147" i="23916"/>
  <c r="GX164" i="23916"/>
  <c r="GZ147" i="23916"/>
  <c r="GS7" i="23916" l="1"/>
  <c r="GR518" i="23916"/>
  <c r="GS118" i="23916"/>
  <c r="GV168" i="23916"/>
  <c r="GW167" i="23916"/>
  <c r="GU116" i="23916"/>
  <c r="GT123" i="23916"/>
  <c r="GU123" i="23916" s="1"/>
  <c r="GT122" i="23916"/>
  <c r="GU122" i="23916" s="1"/>
  <c r="GT118" i="23916"/>
  <c r="GT727" i="23916"/>
  <c r="GU180" i="23916"/>
  <c r="GL216" i="23916"/>
  <c r="GM214" i="23916"/>
  <c r="GN208" i="23916"/>
  <c r="GL218" i="23916"/>
  <c r="GM218" i="23916" s="1"/>
  <c r="GY83" i="23916"/>
  <c r="GZ83" i="23916"/>
  <c r="GL228" i="23916"/>
  <c r="EG230" i="23916"/>
  <c r="EH228" i="23916"/>
  <c r="GT726" i="23916"/>
  <c r="GU119" i="23916"/>
  <c r="EH197" i="23916"/>
  <c r="EG200" i="23916"/>
  <c r="EH200" i="23916" s="1"/>
  <c r="EE244" i="23916"/>
  <c r="EF244" i="23916" s="1"/>
  <c r="EF232" i="23916"/>
  <c r="EE245" i="23916"/>
  <c r="EF245" i="23916" s="1"/>
  <c r="EE280" i="23916"/>
  <c r="EF280" i="23916" s="1"/>
  <c r="GZ164" i="23916"/>
  <c r="GY164" i="23916"/>
  <c r="GZ149" i="23916"/>
  <c r="GY149" i="23916"/>
  <c r="GX150" i="23916"/>
  <c r="EI223" i="23916"/>
  <c r="EJ223" i="23916" s="1"/>
  <c r="EI214" i="23916"/>
  <c r="EI218" i="23916" s="1"/>
  <c r="EJ218" i="23916" s="1"/>
  <c r="EJ208" i="23916"/>
  <c r="EI224" i="23916"/>
  <c r="EH216" i="23916"/>
  <c r="EG219" i="23916"/>
  <c r="GL197" i="23916"/>
  <c r="GM197" i="23916" s="1"/>
  <c r="GM195" i="23916"/>
  <c r="GN189" i="23916"/>
  <c r="GL199" i="23916"/>
  <c r="GV105" i="23916"/>
  <c r="GW104" i="23916"/>
  <c r="GT177" i="23916"/>
  <c r="EG204" i="23916"/>
  <c r="EH204" i="23916" s="1"/>
  <c r="EG247" i="23916"/>
  <c r="EG246" i="23916"/>
  <c r="EH199" i="23916"/>
  <c r="GL229" i="23916"/>
  <c r="GM229" i="23916" s="1"/>
  <c r="EH229" i="23916"/>
  <c r="GY82" i="23916"/>
  <c r="GZ82" i="23916"/>
  <c r="GX86" i="23916"/>
  <c r="EI205" i="23916"/>
  <c r="EJ205" i="23916" s="1"/>
  <c r="EJ189" i="23916"/>
  <c r="EI195" i="23916"/>
  <c r="EI199" i="23916" s="1"/>
  <c r="EJ199" i="23916" l="1"/>
  <c r="EI247" i="23916"/>
  <c r="EI246" i="23916"/>
  <c r="EI204" i="23916"/>
  <c r="EJ204" i="23916" s="1"/>
  <c r="GY86" i="23916"/>
  <c r="GZ86" i="23916"/>
  <c r="GX87" i="23916"/>
  <c r="GL204" i="23916"/>
  <c r="GM204" i="23916" s="1"/>
  <c r="GM199" i="23916"/>
  <c r="EH219" i="23916"/>
  <c r="EG233" i="23916"/>
  <c r="EH233" i="23916" s="1"/>
  <c r="GZ150" i="23916"/>
  <c r="GY150" i="23916"/>
  <c r="GX166" i="23916"/>
  <c r="GL230" i="23916"/>
  <c r="GM228" i="23916"/>
  <c r="GO208" i="23916"/>
  <c r="GN223" i="23916"/>
  <c r="GO223" i="23916" s="1"/>
  <c r="GN224" i="23916"/>
  <c r="GO224" i="23916" s="1"/>
  <c r="GU177" i="23916"/>
  <c r="GT179" i="23916"/>
  <c r="GT184" i="23916"/>
  <c r="GU184" i="23916" s="1"/>
  <c r="GT183" i="23916"/>
  <c r="GU183" i="23916" s="1"/>
  <c r="GO189" i="23916"/>
  <c r="GN205" i="23916"/>
  <c r="GO205" i="23916" s="1"/>
  <c r="GT518" i="23916"/>
  <c r="GU118" i="23916"/>
  <c r="GS518" i="23916"/>
  <c r="GR520" i="23916"/>
  <c r="EG248" i="23916"/>
  <c r="EH248" i="23916" s="1"/>
  <c r="EH246" i="23916"/>
  <c r="GL246" i="23916"/>
  <c r="EI225" i="23916"/>
  <c r="EJ225" i="23916" s="1"/>
  <c r="EJ224" i="23916"/>
  <c r="EJ214" i="23916"/>
  <c r="EI229" i="23916"/>
  <c r="EJ229" i="23916" s="1"/>
  <c r="EK208" i="23916"/>
  <c r="EI216" i="23916"/>
  <c r="GL219" i="23916"/>
  <c r="GM219" i="23916" s="1"/>
  <c r="GM216" i="23916"/>
  <c r="GT7" i="23916"/>
  <c r="EJ195" i="23916"/>
  <c r="EI228" i="23916"/>
  <c r="EK189" i="23916"/>
  <c r="EI197" i="23916"/>
  <c r="EH247" i="23916"/>
  <c r="GL247" i="23916"/>
  <c r="GM247" i="23916" s="1"/>
  <c r="GV106" i="23916"/>
  <c r="GW105" i="23916"/>
  <c r="EH230" i="23916"/>
  <c r="EG232" i="23916"/>
  <c r="GW168" i="23916"/>
  <c r="GV174" i="23916"/>
  <c r="EH232" i="23916" l="1"/>
  <c r="EG244" i="23916"/>
  <c r="EH244" i="23916" s="1"/>
  <c r="EG245" i="23916"/>
  <c r="EH245" i="23916" s="1"/>
  <c r="EG280" i="23916"/>
  <c r="EH280" i="23916" s="1"/>
  <c r="GW106" i="23916"/>
  <c r="GV113" i="23916"/>
  <c r="EK195" i="23916"/>
  <c r="EK205" i="23916"/>
  <c r="EL205" i="23916" s="1"/>
  <c r="EL189" i="23916"/>
  <c r="GL248" i="23916"/>
  <c r="GM248" i="23916" s="1"/>
  <c r="GM246" i="23916"/>
  <c r="GM230" i="23916"/>
  <c r="GL232" i="23916"/>
  <c r="GY87" i="23916"/>
  <c r="GX101" i="23916"/>
  <c r="GZ87" i="23916"/>
  <c r="GX104" i="23916"/>
  <c r="EJ228" i="23916"/>
  <c r="EI230" i="23916"/>
  <c r="GT519" i="23916"/>
  <c r="GU179" i="23916"/>
  <c r="GZ166" i="23916"/>
  <c r="GY166" i="23916"/>
  <c r="GX167" i="23916"/>
  <c r="EJ246" i="23916"/>
  <c r="EI248" i="23916"/>
  <c r="EJ248" i="23916" s="1"/>
  <c r="GV175" i="23916"/>
  <c r="GW175" i="23916" s="1"/>
  <c r="GV180" i="23916"/>
  <c r="GW174" i="23916"/>
  <c r="EJ216" i="23916"/>
  <c r="EI219" i="23916"/>
  <c r="EJ247" i="23916"/>
  <c r="EJ197" i="23916"/>
  <c r="EI200" i="23916"/>
  <c r="EJ200" i="23916" s="1"/>
  <c r="GU7" i="23916"/>
  <c r="EK224" i="23916"/>
  <c r="EK218" i="23916"/>
  <c r="EL218" i="23916" s="1"/>
  <c r="EK214" i="23916"/>
  <c r="EL208" i="23916"/>
  <c r="EK223" i="23916"/>
  <c r="EL223" i="23916" s="1"/>
  <c r="GS520" i="23916"/>
  <c r="GU518" i="23916"/>
  <c r="GT520" i="23916"/>
  <c r="EI233" i="23916" l="1"/>
  <c r="EJ233" i="23916" s="1"/>
  <c r="EJ219" i="23916"/>
  <c r="GV727" i="23916"/>
  <c r="GW180" i="23916"/>
  <c r="GY104" i="23916"/>
  <c r="GZ104" i="23916"/>
  <c r="GX105" i="23916"/>
  <c r="GM232" i="23916"/>
  <c r="GL244" i="23916"/>
  <c r="GM244" i="23916" s="1"/>
  <c r="GL245" i="23916"/>
  <c r="GM245" i="23916" s="1"/>
  <c r="GL280" i="23916"/>
  <c r="GM280" i="23916" s="1"/>
  <c r="EL224" i="23916"/>
  <c r="EK225" i="23916"/>
  <c r="EL225" i="23916" s="1"/>
  <c r="GZ167" i="23916"/>
  <c r="GY167" i="23916"/>
  <c r="GX168" i="23916"/>
  <c r="GU519" i="23916"/>
  <c r="EL195" i="23916"/>
  <c r="EM189" i="23916"/>
  <c r="EK197" i="23916"/>
  <c r="EK228" i="23916"/>
  <c r="GU520" i="23916"/>
  <c r="EK216" i="23916"/>
  <c r="EL214" i="23916"/>
  <c r="EM208" i="23916"/>
  <c r="EK229" i="23916"/>
  <c r="EL229" i="23916" s="1"/>
  <c r="GV177" i="23916"/>
  <c r="EJ230" i="23916"/>
  <c r="EI232" i="23916"/>
  <c r="GZ101" i="23916"/>
  <c r="GY101" i="23916"/>
  <c r="GV119" i="23916"/>
  <c r="GV114" i="23916"/>
  <c r="GW114" i="23916" s="1"/>
  <c r="GW113" i="23916"/>
  <c r="EK199" i="23916"/>
  <c r="EK204" i="23916" l="1"/>
  <c r="EL204" i="23916" s="1"/>
  <c r="EK247" i="23916"/>
  <c r="EK246" i="23916"/>
  <c r="EL199" i="23916"/>
  <c r="GV726" i="23916"/>
  <c r="GW119" i="23916"/>
  <c r="EM223" i="23916"/>
  <c r="EN223" i="23916" s="1"/>
  <c r="EM224" i="23916"/>
  <c r="EN208" i="23916"/>
  <c r="EM214" i="23916"/>
  <c r="EM205" i="23916"/>
  <c r="EN205" i="23916" s="1"/>
  <c r="EM195" i="23916"/>
  <c r="EM199" i="23916"/>
  <c r="EN189" i="23916"/>
  <c r="GZ168" i="23916"/>
  <c r="GY168" i="23916"/>
  <c r="GX174" i="23916"/>
  <c r="GZ105" i="23916"/>
  <c r="GY105" i="23916"/>
  <c r="GX106" i="23916"/>
  <c r="GV184" i="23916"/>
  <c r="GW184" i="23916" s="1"/>
  <c r="GV183" i="23916"/>
  <c r="GW183" i="23916" s="1"/>
  <c r="GW177" i="23916"/>
  <c r="GV179" i="23916"/>
  <c r="EL216" i="23916"/>
  <c r="EK219" i="23916"/>
  <c r="EK230" i="23916"/>
  <c r="EL228" i="23916"/>
  <c r="GV116" i="23916"/>
  <c r="EI244" i="23916"/>
  <c r="EJ244" i="23916" s="1"/>
  <c r="EJ232" i="23916"/>
  <c r="EI245" i="23916"/>
  <c r="EI280" i="23916"/>
  <c r="EJ280" i="23916" s="1"/>
  <c r="EL197" i="23916"/>
  <c r="EK200" i="23916"/>
  <c r="EL200" i="23916" s="1"/>
  <c r="GV118" i="23916" l="1"/>
  <c r="GV7" i="23916"/>
  <c r="GW116" i="23916"/>
  <c r="GV123" i="23916"/>
  <c r="GW123" i="23916" s="1"/>
  <c r="GV122" i="23916"/>
  <c r="GW122" i="23916" s="1"/>
  <c r="GX175" i="23916"/>
  <c r="GZ174" i="23916"/>
  <c r="GX180" i="23916"/>
  <c r="GY174" i="23916"/>
  <c r="GX177" i="23916"/>
  <c r="EN199" i="23916"/>
  <c r="EM247" i="23916"/>
  <c r="EN247" i="23916" s="1"/>
  <c r="EM246" i="23916"/>
  <c r="EM204" i="23916"/>
  <c r="EN204" i="23916" s="1"/>
  <c r="EN214" i="23916"/>
  <c r="EM229" i="23916"/>
  <c r="EN229" i="23916" s="1"/>
  <c r="EO208" i="23916"/>
  <c r="EM216" i="23916"/>
  <c r="EJ245" i="23916"/>
  <c r="ER245" i="23916"/>
  <c r="GV519" i="23916"/>
  <c r="GW179" i="23916"/>
  <c r="GZ106" i="23916"/>
  <c r="GY106" i="23916"/>
  <c r="GX113" i="23916"/>
  <c r="EK248" i="23916"/>
  <c r="EL248" i="23916" s="1"/>
  <c r="EL246" i="23916"/>
  <c r="EL230" i="23916"/>
  <c r="EK232" i="23916"/>
  <c r="EN195" i="23916"/>
  <c r="EM228" i="23916"/>
  <c r="EM197" i="23916"/>
  <c r="EO189" i="23916"/>
  <c r="EM225" i="23916"/>
  <c r="EN225" i="23916" s="1"/>
  <c r="EN224" i="23916"/>
  <c r="EL247" i="23916"/>
  <c r="EL219" i="23916"/>
  <c r="EK233" i="23916"/>
  <c r="EL233" i="23916" s="1"/>
  <c r="EM218" i="23916"/>
  <c r="EN218" i="23916" s="1"/>
  <c r="GX727" i="23916" l="1"/>
  <c r="GZ180" i="23916"/>
  <c r="GY180" i="23916"/>
  <c r="EO195" i="23916"/>
  <c r="EO199" i="23916" s="1"/>
  <c r="EO205" i="23916"/>
  <c r="EP189" i="23916"/>
  <c r="EL232" i="23916"/>
  <c r="EK244" i="23916"/>
  <c r="EL244" i="23916" s="1"/>
  <c r="EK245" i="23916"/>
  <c r="EK280" i="23916"/>
  <c r="EL280" i="23916" s="1"/>
  <c r="EN197" i="23916"/>
  <c r="EM200" i="23916"/>
  <c r="EN200" i="23916" s="1"/>
  <c r="EN216" i="23916"/>
  <c r="EM219" i="23916"/>
  <c r="GX179" i="23916"/>
  <c r="GY177" i="23916"/>
  <c r="GZ177" i="23916"/>
  <c r="GX184" i="23916"/>
  <c r="GX183" i="23916"/>
  <c r="GZ175" i="23916"/>
  <c r="GY175" i="23916"/>
  <c r="GW7" i="23916"/>
  <c r="EN228" i="23916"/>
  <c r="EM230" i="23916"/>
  <c r="GZ113" i="23916"/>
  <c r="GX114" i="23916"/>
  <c r="GY113" i="23916"/>
  <c r="GX119" i="23916"/>
  <c r="GW519" i="23916"/>
  <c r="EO224" i="23916"/>
  <c r="EO214" i="23916"/>
  <c r="EO218" i="23916" s="1"/>
  <c r="EP218" i="23916" s="1"/>
  <c r="EP208" i="23916"/>
  <c r="EO223" i="23916"/>
  <c r="EN246" i="23916"/>
  <c r="EM248" i="23916"/>
  <c r="EN248" i="23916" s="1"/>
  <c r="GV518" i="23916"/>
  <c r="GW118" i="23916"/>
  <c r="EO204" i="23916" l="1"/>
  <c r="EP204" i="23916" s="1"/>
  <c r="EO247" i="23916"/>
  <c r="EO246" i="23916"/>
  <c r="EP199" i="23916"/>
  <c r="GZ114" i="23916"/>
  <c r="GY114" i="23916"/>
  <c r="GW518" i="23916"/>
  <c r="GV520" i="23916"/>
  <c r="EP224" i="23916"/>
  <c r="EO225" i="23916"/>
  <c r="EN230" i="23916"/>
  <c r="EM232" i="23916"/>
  <c r="EL245" i="23916"/>
  <c r="ET245" i="23916"/>
  <c r="EQ205" i="23916"/>
  <c r="EP205" i="23916"/>
  <c r="GX116" i="23916"/>
  <c r="GZ183" i="23916"/>
  <c r="GY183" i="23916"/>
  <c r="GX519" i="23916"/>
  <c r="GZ179" i="23916"/>
  <c r="GY179" i="23916"/>
  <c r="EO216" i="23916"/>
  <c r="EP214" i="23916"/>
  <c r="EQ208" i="23916"/>
  <c r="EO229" i="23916"/>
  <c r="GN214" i="23916"/>
  <c r="EO197" i="23916"/>
  <c r="EQ189" i="23916"/>
  <c r="EO228" i="23916"/>
  <c r="GN195" i="23916"/>
  <c r="EP195" i="23916"/>
  <c r="EQ223" i="23916"/>
  <c r="EP223" i="23916"/>
  <c r="GX726" i="23916"/>
  <c r="GZ119" i="23916"/>
  <c r="GY119" i="23916"/>
  <c r="GY184" i="23916"/>
  <c r="GZ184" i="23916"/>
  <c r="EM233" i="23916"/>
  <c r="EN233" i="23916" s="1"/>
  <c r="EN219" i="23916"/>
  <c r="GN228" i="23916" l="1"/>
  <c r="EO230" i="23916"/>
  <c r="EP228" i="23916"/>
  <c r="GN229" i="23916"/>
  <c r="GO229" i="23916" s="1"/>
  <c r="EP229" i="23916"/>
  <c r="ER223" i="23916"/>
  <c r="ES223" i="23916"/>
  <c r="ER189" i="23916"/>
  <c r="EQ191" i="23916"/>
  <c r="EQ193" i="23916"/>
  <c r="ER208" i="23916"/>
  <c r="EQ210" i="23916"/>
  <c r="GZ116" i="23916"/>
  <c r="GX123" i="23916"/>
  <c r="GX122" i="23916"/>
  <c r="GX7" i="23916"/>
  <c r="GY116" i="23916"/>
  <c r="GX118" i="23916"/>
  <c r="EQ225" i="23916"/>
  <c r="EP225" i="23916"/>
  <c r="EQ246" i="23916"/>
  <c r="EO248" i="23916"/>
  <c r="EP248" i="23916" s="1"/>
  <c r="EP246" i="23916"/>
  <c r="GN246" i="23916"/>
  <c r="EP197" i="23916"/>
  <c r="EO200" i="23916"/>
  <c r="EP200" i="23916" s="1"/>
  <c r="GY519" i="23916"/>
  <c r="GZ519" i="23916"/>
  <c r="EM244" i="23916"/>
  <c r="EN244" i="23916" s="1"/>
  <c r="EN232" i="23916"/>
  <c r="EM245" i="23916"/>
  <c r="EM280" i="23916"/>
  <c r="EN280" i="23916" s="1"/>
  <c r="EQ247" i="23916"/>
  <c r="EP247" i="23916"/>
  <c r="GN247" i="23916"/>
  <c r="GO247" i="23916" s="1"/>
  <c r="GP189" i="23916"/>
  <c r="GO195" i="23916"/>
  <c r="GN197" i="23916"/>
  <c r="GO197" i="23916" s="1"/>
  <c r="GN199" i="23916"/>
  <c r="GO214" i="23916"/>
  <c r="GP208" i="23916"/>
  <c r="GN216" i="23916"/>
  <c r="GN218" i="23916"/>
  <c r="GO218" i="23916" s="1"/>
  <c r="EP216" i="23916"/>
  <c r="EO219" i="23916"/>
  <c r="ER205" i="23916"/>
  <c r="ES205" i="23916"/>
  <c r="GW520" i="23916"/>
  <c r="GN219" i="23916" l="1"/>
  <c r="GO219" i="23916" s="1"/>
  <c r="GO216" i="23916"/>
  <c r="ER225" i="23916"/>
  <c r="ES225" i="23916"/>
  <c r="GY122" i="23916"/>
  <c r="GZ122" i="23916"/>
  <c r="EQ212" i="23916"/>
  <c r="ER193" i="23916"/>
  <c r="EQ195" i="23916"/>
  <c r="EP219" i="23916"/>
  <c r="EO233" i="23916"/>
  <c r="EP233" i="23916" s="1"/>
  <c r="GQ208" i="23916"/>
  <c r="ER247" i="23916"/>
  <c r="ES247" i="23916"/>
  <c r="GX518" i="23916"/>
  <c r="GY118" i="23916"/>
  <c r="GZ118" i="23916"/>
  <c r="GY123" i="23916"/>
  <c r="GZ123" i="23916"/>
  <c r="ER191" i="23916"/>
  <c r="EQ202" i="23916"/>
  <c r="ER202" i="23916" s="1"/>
  <c r="EU223" i="23916"/>
  <c r="ET223" i="23916"/>
  <c r="GQ189" i="23916"/>
  <c r="ER246" i="23916"/>
  <c r="EQ248" i="23916"/>
  <c r="ER248" i="23916" s="1"/>
  <c r="ES246" i="23916"/>
  <c r="EP230" i="23916"/>
  <c r="EO232" i="23916"/>
  <c r="EU205" i="23916"/>
  <c r="ET205" i="23916"/>
  <c r="GO199" i="23916"/>
  <c r="GN204" i="23916"/>
  <c r="GO204" i="23916" s="1"/>
  <c r="EN245" i="23916"/>
  <c r="EV245" i="23916"/>
  <c r="GO246" i="23916"/>
  <c r="GN248" i="23916"/>
  <c r="GO248" i="23916" s="1"/>
  <c r="GY7" i="23916"/>
  <c r="GZ7" i="23916"/>
  <c r="ER210" i="23916"/>
  <c r="EQ221" i="23916"/>
  <c r="ER221" i="23916" s="1"/>
  <c r="GO228" i="23916"/>
  <c r="GN230" i="23916"/>
  <c r="EV205" i="23916" l="1"/>
  <c r="EW205" i="23916"/>
  <c r="EX205" i="23916" s="1"/>
  <c r="EU246" i="23916"/>
  <c r="ES248" i="23916"/>
  <c r="ET248" i="23916" s="1"/>
  <c r="ET246" i="23916"/>
  <c r="EU225" i="23916"/>
  <c r="ET225" i="23916"/>
  <c r="GO230" i="23916"/>
  <c r="GN232" i="23916"/>
  <c r="EP232" i="23916"/>
  <c r="EO244" i="23916"/>
  <c r="EO245" i="23916"/>
  <c r="EO280" i="23916"/>
  <c r="EP280" i="23916" s="1"/>
  <c r="ER195" i="23916"/>
  <c r="ES189" i="23916"/>
  <c r="EQ228" i="23916"/>
  <c r="EQ197" i="23916"/>
  <c r="EQ199" i="23916"/>
  <c r="EQ214" i="23916"/>
  <c r="EQ224" i="23916"/>
  <c r="ER224" i="23916" s="1"/>
  <c r="ER212" i="23916"/>
  <c r="EU247" i="23916"/>
  <c r="ET247" i="23916"/>
  <c r="EV223" i="23916"/>
  <c r="EW223" i="23916"/>
  <c r="EX223" i="23916" s="1"/>
  <c r="GY518" i="23916"/>
  <c r="GX520" i="23916"/>
  <c r="GZ518" i="23916"/>
  <c r="GZ520" i="23916" l="1"/>
  <c r="GY520" i="23916"/>
  <c r="ER199" i="23916"/>
  <c r="EQ238" i="23916"/>
  <c r="EQ204" i="23916"/>
  <c r="ER204" i="23916" s="1"/>
  <c r="EQ239" i="23916"/>
  <c r="ER197" i="23916"/>
  <c r="EQ200" i="23916"/>
  <c r="ER200" i="23916" s="1"/>
  <c r="GO232" i="23916"/>
  <c r="GN244" i="23916"/>
  <c r="GO244" i="23916" s="1"/>
  <c r="GN245" i="23916"/>
  <c r="GO245" i="23916" s="1"/>
  <c r="GN280" i="23916"/>
  <c r="GO280" i="23916" s="1"/>
  <c r="EV225" i="23916"/>
  <c r="EW225" i="23916"/>
  <c r="EX225" i="23916" s="1"/>
  <c r="EV246" i="23916"/>
  <c r="EU248" i="23916"/>
  <c r="EV248" i="23916" s="1"/>
  <c r="EW246" i="23916"/>
  <c r="EQ229" i="23916"/>
  <c r="ER229" i="23916" s="1"/>
  <c r="ES208" i="23916"/>
  <c r="EQ216" i="23916"/>
  <c r="ER214" i="23916"/>
  <c r="EQ218" i="23916"/>
  <c r="ER228" i="23916"/>
  <c r="EQ230" i="23916"/>
  <c r="ER230" i="23916" s="1"/>
  <c r="EP245" i="23916"/>
  <c r="EX245" i="23916"/>
  <c r="EV247" i="23916"/>
  <c r="EW247" i="23916"/>
  <c r="ES191" i="23916"/>
  <c r="ET189" i="23916"/>
  <c r="ES193" i="23916"/>
  <c r="EQ244" i="23916"/>
  <c r="EP244" i="23916"/>
  <c r="ER244" i="23916" l="1"/>
  <c r="ES244" i="23916"/>
  <c r="EQ236" i="23916"/>
  <c r="EX247" i="23916"/>
  <c r="ER216" i="23916"/>
  <c r="EQ219" i="23916"/>
  <c r="EW248" i="23916"/>
  <c r="EX248" i="23916" s="1"/>
  <c r="EX246" i="23916"/>
  <c r="EQ257" i="23916"/>
  <c r="ER239" i="23916"/>
  <c r="ES195" i="23916"/>
  <c r="ET193" i="23916"/>
  <c r="ES212" i="23916"/>
  <c r="ES210" i="23916"/>
  <c r="ET208" i="23916"/>
  <c r="GP247" i="23916"/>
  <c r="EQ232" i="23916"/>
  <c r="ER218" i="23916"/>
  <c r="EQ496" i="23916"/>
  <c r="ER238" i="23916"/>
  <c r="ET191" i="23916"/>
  <c r="ES202" i="23916"/>
  <c r="ET202" i="23916" s="1"/>
  <c r="GP246" i="23916"/>
  <c r="GR247" i="23916" l="1"/>
  <c r="GQ247" i="23916"/>
  <c r="EQ749" i="23916"/>
  <c r="ER496" i="23916"/>
  <c r="ES197" i="23916"/>
  <c r="ES228" i="23916"/>
  <c r="EU189" i="23916"/>
  <c r="ET195" i="23916"/>
  <c r="ES199" i="23916"/>
  <c r="EQ501" i="23916"/>
  <c r="ER257" i="23916"/>
  <c r="EQ233" i="23916"/>
  <c r="ER233" i="23916" s="1"/>
  <c r="ER219" i="23916"/>
  <c r="EQ493" i="23916"/>
  <c r="ER236" i="23916"/>
  <c r="ET210" i="23916"/>
  <c r="ES221" i="23916"/>
  <c r="ET221" i="23916" s="1"/>
  <c r="EU244" i="23916"/>
  <c r="ET244" i="23916"/>
  <c r="GR246" i="23916"/>
  <c r="GP248" i="23916"/>
  <c r="GQ248" i="23916" s="1"/>
  <c r="GQ246" i="23916"/>
  <c r="EQ237" i="23916"/>
  <c r="ER232" i="23916"/>
  <c r="ES224" i="23916"/>
  <c r="ET224" i="23916" s="1"/>
  <c r="ES214" i="23916"/>
  <c r="ET212" i="23916"/>
  <c r="EQ494" i="23916" l="1"/>
  <c r="ER494" i="23916" s="1"/>
  <c r="ER237" i="23916"/>
  <c r="EQ256" i="23916"/>
  <c r="ES216" i="23916"/>
  <c r="ET214" i="23916"/>
  <c r="EU208" i="23916"/>
  <c r="ES229" i="23916"/>
  <c r="ET229" i="23916" s="1"/>
  <c r="ES218" i="23916"/>
  <c r="EV189" i="23916"/>
  <c r="EU191" i="23916"/>
  <c r="EU193" i="23916"/>
  <c r="EV244" i="23916"/>
  <c r="EW244" i="23916"/>
  <c r="EQ745" i="23916"/>
  <c r="EQ497" i="23916"/>
  <c r="ER493" i="23916"/>
  <c r="EQ750" i="23916"/>
  <c r="EQ751" i="23916" s="1"/>
  <c r="ER501" i="23916"/>
  <c r="ES230" i="23916"/>
  <c r="ET228" i="23916"/>
  <c r="GS246" i="23916"/>
  <c r="GR248" i="23916"/>
  <c r="GS248" i="23916" s="1"/>
  <c r="GT246" i="23916"/>
  <c r="EQ240" i="23916"/>
  <c r="ET199" i="23916"/>
  <c r="ES238" i="23916"/>
  <c r="ES239" i="23916"/>
  <c r="ES204" i="23916"/>
  <c r="ET204" i="23916" s="1"/>
  <c r="ET197" i="23916"/>
  <c r="ES200" i="23916"/>
  <c r="ET200" i="23916" s="1"/>
  <c r="GS247" i="23916"/>
  <c r="GT247" i="23916"/>
  <c r="ES496" i="23916" l="1"/>
  <c r="ET238" i="23916"/>
  <c r="GV246" i="23916"/>
  <c r="GT248" i="23916"/>
  <c r="GU248" i="23916" s="1"/>
  <c r="GU246" i="23916"/>
  <c r="ET230" i="23916"/>
  <c r="ES236" i="23916"/>
  <c r="EQ753" i="23916"/>
  <c r="EQ754" i="23916" s="1"/>
  <c r="ER497" i="23916"/>
  <c r="EQ500" i="23916"/>
  <c r="ER256" i="23916"/>
  <c r="EV208" i="23916"/>
  <c r="EU212" i="23916"/>
  <c r="EU210" i="23916"/>
  <c r="GV247" i="23916"/>
  <c r="GU247" i="23916"/>
  <c r="ER240" i="23916"/>
  <c r="EQ241" i="23916"/>
  <c r="EV193" i="23916"/>
  <c r="EU195" i="23916"/>
  <c r="ES257" i="23916"/>
  <c r="ET239" i="23916"/>
  <c r="EX244" i="23916"/>
  <c r="EV191" i="23916"/>
  <c r="EU202" i="23916"/>
  <c r="EV202" i="23916" s="1"/>
  <c r="ET218" i="23916"/>
  <c r="ES232" i="23916"/>
  <c r="ET216" i="23916"/>
  <c r="ES219" i="23916"/>
  <c r="ET219" i="23916" l="1"/>
  <c r="ES233" i="23916"/>
  <c r="ET233" i="23916" s="1"/>
  <c r="EV210" i="23916"/>
  <c r="EU221" i="23916"/>
  <c r="EV221" i="23916" s="1"/>
  <c r="ET232" i="23916"/>
  <c r="ES237" i="23916"/>
  <c r="ER241" i="23916"/>
  <c r="EQ259" i="23916"/>
  <c r="EV212" i="23916"/>
  <c r="EU214" i="23916"/>
  <c r="EU224" i="23916"/>
  <c r="EV224" i="23916" s="1"/>
  <c r="ER500" i="23916"/>
  <c r="ES501" i="23916"/>
  <c r="ET257" i="23916"/>
  <c r="EV195" i="23916"/>
  <c r="EU228" i="23916"/>
  <c r="EU197" i="23916"/>
  <c r="EW189" i="23916"/>
  <c r="EU199" i="23916"/>
  <c r="GW247" i="23916"/>
  <c r="GX247" i="23916"/>
  <c r="EQ263" i="23916"/>
  <c r="ES493" i="23916"/>
  <c r="ES256" i="23916"/>
  <c r="ES240" i="23916"/>
  <c r="ET236" i="23916"/>
  <c r="GW246" i="23916"/>
  <c r="GV248" i="23916"/>
  <c r="GW248" i="23916" s="1"/>
  <c r="GX246" i="23916"/>
  <c r="ES749" i="23916"/>
  <c r="ET496" i="23916"/>
  <c r="ET493" i="23916" l="1"/>
  <c r="EV228" i="23916"/>
  <c r="EU229" i="23916"/>
  <c r="EV229" i="23916" s="1"/>
  <c r="EW208" i="23916"/>
  <c r="EV214" i="23916"/>
  <c r="EU216" i="23916"/>
  <c r="EU218" i="23916"/>
  <c r="ES494" i="23916"/>
  <c r="ET494" i="23916" s="1"/>
  <c r="ET237" i="23916"/>
  <c r="GZ246" i="23916"/>
  <c r="GX248" i="23916"/>
  <c r="GY246" i="23916"/>
  <c r="EQ770" i="23916"/>
  <c r="ER263" i="23916"/>
  <c r="EQ264" i="23916"/>
  <c r="ER264" i="23916" s="1"/>
  <c r="EV199" i="23916"/>
  <c r="EU239" i="23916"/>
  <c r="EU238" i="23916"/>
  <c r="EU204" i="23916"/>
  <c r="EV204" i="23916" s="1"/>
  <c r="ES241" i="23916"/>
  <c r="ET240" i="23916"/>
  <c r="EW191" i="23916"/>
  <c r="EX189" i="23916"/>
  <c r="EW193" i="23916"/>
  <c r="ER259" i="23916"/>
  <c r="EQ260" i="23916"/>
  <c r="ES500" i="23916"/>
  <c r="ES263" i="23916"/>
  <c r="ET256" i="23916"/>
  <c r="GZ247" i="23916"/>
  <c r="GY247" i="23916"/>
  <c r="EV197" i="23916"/>
  <c r="EU200" i="23916"/>
  <c r="EV200" i="23916" s="1"/>
  <c r="ES750" i="23916"/>
  <c r="ES751" i="23916" s="1"/>
  <c r="ET501" i="23916"/>
  <c r="ER260" i="23916" l="1"/>
  <c r="EQ270" i="23916"/>
  <c r="GY248" i="23916"/>
  <c r="GZ248" i="23916"/>
  <c r="ES770" i="23916"/>
  <c r="ES264" i="23916"/>
  <c r="ET264" i="23916" s="1"/>
  <c r="ET263" i="23916"/>
  <c r="EU496" i="23916"/>
  <c r="EV238" i="23916"/>
  <c r="EW212" i="23916"/>
  <c r="EW210" i="23916"/>
  <c r="EX208" i="23916"/>
  <c r="ES497" i="23916"/>
  <c r="ET500" i="23916"/>
  <c r="ET241" i="23916"/>
  <c r="ES259" i="23916"/>
  <c r="EU257" i="23916"/>
  <c r="EV239" i="23916"/>
  <c r="EU232" i="23916"/>
  <c r="EV218" i="23916"/>
  <c r="EW195" i="23916"/>
  <c r="EX193" i="23916"/>
  <c r="GP193" i="23916"/>
  <c r="EX191" i="23916"/>
  <c r="EW202" i="23916"/>
  <c r="EX202" i="23916" s="1"/>
  <c r="GP191" i="23916"/>
  <c r="EV216" i="23916"/>
  <c r="EU219" i="23916"/>
  <c r="EU230" i="23916"/>
  <c r="ES745" i="23916"/>
  <c r="GQ191" i="23916" l="1"/>
  <c r="GP205" i="23916"/>
  <c r="GP202" i="23916"/>
  <c r="GQ202" i="23916" s="1"/>
  <c r="EU237" i="23916"/>
  <c r="EV232" i="23916"/>
  <c r="ET259" i="23916"/>
  <c r="ES260" i="23916"/>
  <c r="ES753" i="23916"/>
  <c r="ES754" i="23916" s="1"/>
  <c r="ET497" i="23916"/>
  <c r="EU749" i="23916"/>
  <c r="EV496" i="23916"/>
  <c r="EV230" i="23916"/>
  <c r="EU236" i="23916"/>
  <c r="GP195" i="23916"/>
  <c r="EW197" i="23916"/>
  <c r="EW228" i="23916"/>
  <c r="EX195" i="23916"/>
  <c r="EW199" i="23916"/>
  <c r="EU233" i="23916"/>
  <c r="EV233" i="23916" s="1"/>
  <c r="EV219" i="23916"/>
  <c r="EX210" i="23916"/>
  <c r="EW221" i="23916"/>
  <c r="EX221" i="23916" s="1"/>
  <c r="GP210" i="23916"/>
  <c r="EQ276" i="23916"/>
  <c r="ER270" i="23916"/>
  <c r="EQ271" i="23916"/>
  <c r="GQ193" i="23916"/>
  <c r="EU501" i="23916"/>
  <c r="EV257" i="23916"/>
  <c r="EW224" i="23916"/>
  <c r="EX224" i="23916" s="1"/>
  <c r="EW214" i="23916"/>
  <c r="EX212" i="23916"/>
  <c r="GP212" i="23916"/>
  <c r="GQ212" i="23916" l="1"/>
  <c r="GP224" i="23916"/>
  <c r="GQ224" i="23916" s="1"/>
  <c r="EQ725" i="23916"/>
  <c r="EQ732" i="23916" s="1"/>
  <c r="ER276" i="23916"/>
  <c r="GP228" i="23916"/>
  <c r="EX228" i="23916"/>
  <c r="EU493" i="23916"/>
  <c r="EU256" i="23916"/>
  <c r="EV236" i="23916"/>
  <c r="EU240" i="23916"/>
  <c r="ET260" i="23916"/>
  <c r="ES270" i="23916"/>
  <c r="EU494" i="23916"/>
  <c r="EV494" i="23916" s="1"/>
  <c r="EV237" i="23916"/>
  <c r="EU750" i="23916"/>
  <c r="EV501" i="23916"/>
  <c r="ER271" i="23916"/>
  <c r="EQ509" i="23916"/>
  <c r="GQ210" i="23916"/>
  <c r="GP223" i="23916"/>
  <c r="GP221" i="23916"/>
  <c r="GQ221" i="23916" s="1"/>
  <c r="EX197" i="23916"/>
  <c r="EW200" i="23916"/>
  <c r="EX200" i="23916" s="1"/>
  <c r="EW216" i="23916"/>
  <c r="GP214" i="23916"/>
  <c r="EX214" i="23916"/>
  <c r="EW229" i="23916"/>
  <c r="EW218" i="23916"/>
  <c r="EQ273" i="23916"/>
  <c r="EX199" i="23916"/>
  <c r="EW238" i="23916"/>
  <c r="EW239" i="23916"/>
  <c r="EW204" i="23916"/>
  <c r="EX204" i="23916" s="1"/>
  <c r="GP197" i="23916"/>
  <c r="GQ197" i="23916" s="1"/>
  <c r="GQ195" i="23916"/>
  <c r="GR189" i="23916"/>
  <c r="GP199" i="23916"/>
  <c r="GR205" i="23916"/>
  <c r="GQ205" i="23916"/>
  <c r="EU751" i="23916"/>
  <c r="GS189" i="23916" l="1"/>
  <c r="GR191" i="23916"/>
  <c r="GR193" i="23916"/>
  <c r="EW257" i="23916"/>
  <c r="EX239" i="23916"/>
  <c r="GP239" i="23916"/>
  <c r="EX218" i="23916"/>
  <c r="EW232" i="23916"/>
  <c r="EX216" i="23916"/>
  <c r="EW219" i="23916"/>
  <c r="GR223" i="23916"/>
  <c r="GQ223" i="23916"/>
  <c r="EU745" i="23916"/>
  <c r="EU497" i="23916"/>
  <c r="EV493" i="23916"/>
  <c r="EW496" i="23916"/>
  <c r="EX238" i="23916"/>
  <c r="GP238" i="23916"/>
  <c r="GP229" i="23916"/>
  <c r="GQ229" i="23916" s="1"/>
  <c r="EX229" i="23916"/>
  <c r="EV240" i="23916"/>
  <c r="EU241" i="23916"/>
  <c r="GS205" i="23916"/>
  <c r="GT205" i="23916"/>
  <c r="ER509" i="23916"/>
  <c r="ET270" i="23916"/>
  <c r="ES273" i="23916"/>
  <c r="ES276" i="23916"/>
  <c r="ES271" i="23916"/>
  <c r="EW230" i="23916"/>
  <c r="GQ199" i="23916"/>
  <c r="GP204" i="23916"/>
  <c r="GQ204" i="23916" s="1"/>
  <c r="EQ275" i="23916"/>
  <c r="ER273" i="23916"/>
  <c r="EQ280" i="23916"/>
  <c r="ER280" i="23916" s="1"/>
  <c r="EQ279" i="23916"/>
  <c r="ER279" i="23916" s="1"/>
  <c r="EQ8" i="23916"/>
  <c r="GP216" i="23916"/>
  <c r="GQ214" i="23916"/>
  <c r="GR208" i="23916"/>
  <c r="GP218" i="23916"/>
  <c r="GQ218" i="23916" s="1"/>
  <c r="EU500" i="23916"/>
  <c r="EU263" i="23916"/>
  <c r="EV256" i="23916"/>
  <c r="GP230" i="23916"/>
  <c r="GQ228" i="23916"/>
  <c r="GQ230" i="23916" l="1"/>
  <c r="GP232" i="23916"/>
  <c r="GQ232" i="23916" s="1"/>
  <c r="EU770" i="23916"/>
  <c r="EV263" i="23916"/>
  <c r="EU264" i="23916"/>
  <c r="EV264" i="23916" s="1"/>
  <c r="ES280" i="23916"/>
  <c r="ET280" i="23916" s="1"/>
  <c r="ES279" i="23916"/>
  <c r="ET279" i="23916" s="1"/>
  <c r="ET273" i="23916"/>
  <c r="ES275" i="23916"/>
  <c r="ES8" i="23916"/>
  <c r="EV241" i="23916"/>
  <c r="EU259" i="23916"/>
  <c r="GS223" i="23916"/>
  <c r="GT223" i="23916"/>
  <c r="GS193" i="23916"/>
  <c r="GR195" i="23916"/>
  <c r="EV500" i="23916"/>
  <c r="GP219" i="23916"/>
  <c r="GQ219" i="23916" s="1"/>
  <c r="GQ216" i="23916"/>
  <c r="EX230" i="23916"/>
  <c r="EW236" i="23916"/>
  <c r="GV205" i="23916"/>
  <c r="GU205" i="23916"/>
  <c r="GP496" i="23916"/>
  <c r="GQ238" i="23916"/>
  <c r="EU753" i="23916"/>
  <c r="EU754" i="23916" s="1"/>
  <c r="EV497" i="23916"/>
  <c r="EX219" i="23916"/>
  <c r="EW233" i="23916"/>
  <c r="EX233" i="23916" s="1"/>
  <c r="GP257" i="23916"/>
  <c r="GQ239" i="23916"/>
  <c r="ER8" i="23916"/>
  <c r="EQ11" i="23916"/>
  <c r="EQ523" i="23916"/>
  <c r="ER275" i="23916"/>
  <c r="ET271" i="23916"/>
  <c r="ES509" i="23916"/>
  <c r="GS191" i="23916"/>
  <c r="GR202" i="23916"/>
  <c r="GS202" i="23916" s="1"/>
  <c r="GR210" i="23916"/>
  <c r="GS208" i="23916"/>
  <c r="GR212" i="23916"/>
  <c r="ES725" i="23916"/>
  <c r="ES732" i="23916" s="1"/>
  <c r="ET276" i="23916"/>
  <c r="EW749" i="23916"/>
  <c r="EX496" i="23916"/>
  <c r="EX232" i="23916"/>
  <c r="EW237" i="23916"/>
  <c r="EW501" i="23916"/>
  <c r="EX257" i="23916"/>
  <c r="EW494" i="23916" l="1"/>
  <c r="EX494" i="23916" s="1"/>
  <c r="EX237" i="23916"/>
  <c r="GP237" i="23916"/>
  <c r="EQ526" i="23916"/>
  <c r="ER523" i="23916"/>
  <c r="GP501" i="23916"/>
  <c r="GQ257" i="23916"/>
  <c r="GP749" i="23916"/>
  <c r="GQ496" i="23916"/>
  <c r="GS210" i="23916"/>
  <c r="GR221" i="23916"/>
  <c r="GS221" i="23916" s="1"/>
  <c r="ET509" i="23916"/>
  <c r="EQ14" i="23916"/>
  <c r="ER11" i="23916"/>
  <c r="GR228" i="23916"/>
  <c r="GS195" i="23916"/>
  <c r="GT189" i="23916"/>
  <c r="GR197" i="23916"/>
  <c r="GS197" i="23916" s="1"/>
  <c r="GR199" i="23916"/>
  <c r="GV223" i="23916"/>
  <c r="GU223" i="23916"/>
  <c r="ET8" i="23916"/>
  <c r="ES11" i="23916"/>
  <c r="GR224" i="23916"/>
  <c r="GS224" i="23916" s="1"/>
  <c r="GR214" i="23916"/>
  <c r="GS212" i="23916"/>
  <c r="GW205" i="23916"/>
  <c r="GX205" i="23916"/>
  <c r="ES523" i="23916"/>
  <c r="ET275" i="23916"/>
  <c r="EW750" i="23916"/>
  <c r="EX501" i="23916"/>
  <c r="EW751" i="23916"/>
  <c r="EW493" i="23916"/>
  <c r="EW256" i="23916"/>
  <c r="EW240" i="23916"/>
  <c r="EX236" i="23916"/>
  <c r="GP236" i="23916"/>
  <c r="EV259" i="23916"/>
  <c r="EU260" i="23916"/>
  <c r="EW241" i="23916" l="1"/>
  <c r="EX240" i="23916"/>
  <c r="GP240" i="23916"/>
  <c r="GZ205" i="23916"/>
  <c r="GY205" i="23916"/>
  <c r="GX223" i="23916"/>
  <c r="GW223" i="23916"/>
  <c r="EW500" i="23916"/>
  <c r="EW263" i="23916"/>
  <c r="EX256" i="23916"/>
  <c r="GP256" i="23916"/>
  <c r="ES14" i="23916"/>
  <c r="ET11" i="23916"/>
  <c r="GS199" i="23916"/>
  <c r="GR238" i="23916"/>
  <c r="GR239" i="23916"/>
  <c r="GR204" i="23916"/>
  <c r="GS204" i="23916" s="1"/>
  <c r="GS228" i="23916"/>
  <c r="GP750" i="23916"/>
  <c r="GQ501" i="23916"/>
  <c r="GP494" i="23916"/>
  <c r="GQ494" i="23916" s="1"/>
  <c r="GP245" i="23916"/>
  <c r="GQ237" i="23916"/>
  <c r="GP493" i="23916"/>
  <c r="GQ236" i="23916"/>
  <c r="GP244" i="23916"/>
  <c r="EW745" i="23916"/>
  <c r="EW497" i="23916"/>
  <c r="EX493" i="23916"/>
  <c r="EV260" i="23916"/>
  <c r="EU270" i="23916"/>
  <c r="ES526" i="23916"/>
  <c r="ET523" i="23916"/>
  <c r="GR229" i="23916"/>
  <c r="GS229" i="23916" s="1"/>
  <c r="GS214" i="23916"/>
  <c r="GT208" i="23916"/>
  <c r="GR216" i="23916"/>
  <c r="GR218" i="23916"/>
  <c r="GS218" i="23916" s="1"/>
  <c r="GT191" i="23916"/>
  <c r="GU189" i="23916"/>
  <c r="GT193" i="23916"/>
  <c r="ER14" i="23916"/>
  <c r="GP751" i="23916"/>
  <c r="ER526" i="23916"/>
  <c r="EQ533" i="23916"/>
  <c r="EQ692" i="23916" l="1"/>
  <c r="ER692" i="23916" s="1"/>
  <c r="EQ680" i="23916"/>
  <c r="ER680" i="23916" s="1"/>
  <c r="EQ582" i="23916"/>
  <c r="ER582" i="23916" s="1"/>
  <c r="EQ580" i="23916"/>
  <c r="ER580" i="23916" s="1"/>
  <c r="EQ578" i="23916"/>
  <c r="ER578" i="23916" s="1"/>
  <c r="EQ576" i="23916"/>
  <c r="ER576" i="23916" s="1"/>
  <c r="EQ583" i="23916"/>
  <c r="ER583" i="23916" s="1"/>
  <c r="EQ579" i="23916"/>
  <c r="ER579" i="23916" s="1"/>
  <c r="EQ536" i="23916"/>
  <c r="ER533" i="23916"/>
  <c r="EQ606" i="23916"/>
  <c r="ER606" i="23916" s="1"/>
  <c r="EQ555" i="23916"/>
  <c r="ER555" i="23916" s="1"/>
  <c r="EQ581" i="23916"/>
  <c r="ER581" i="23916" s="1"/>
  <c r="EQ575" i="23916"/>
  <c r="ER575" i="23916" s="1"/>
  <c r="EQ572" i="23916"/>
  <c r="ER572" i="23916" s="1"/>
  <c r="EQ571" i="23916"/>
  <c r="ER571" i="23916" s="1"/>
  <c r="EQ573" i="23916"/>
  <c r="ER573" i="23916" s="1"/>
  <c r="EQ574" i="23916"/>
  <c r="EW753" i="23916"/>
  <c r="EW754" i="23916" s="1"/>
  <c r="EX497" i="23916"/>
  <c r="GP745" i="23916"/>
  <c r="GQ493" i="23916"/>
  <c r="GP497" i="23916"/>
  <c r="GP241" i="23916"/>
  <c r="GQ241" i="23916" s="1"/>
  <c r="GQ240" i="23916"/>
  <c r="GT195" i="23916"/>
  <c r="GU193" i="23916"/>
  <c r="EU276" i="23916"/>
  <c r="EV270" i="23916"/>
  <c r="EU271" i="23916"/>
  <c r="GR257" i="23916"/>
  <c r="GS239" i="23916"/>
  <c r="ET14" i="23916"/>
  <c r="GZ223" i="23916"/>
  <c r="GY223" i="23916"/>
  <c r="GR219" i="23916"/>
  <c r="GS219" i="23916" s="1"/>
  <c r="GS216" i="23916"/>
  <c r="GR244" i="23916"/>
  <c r="GQ244" i="23916"/>
  <c r="GR245" i="23916"/>
  <c r="GQ245" i="23916"/>
  <c r="GR230" i="23916"/>
  <c r="GR496" i="23916"/>
  <c r="GS238" i="23916"/>
  <c r="EW770" i="23916"/>
  <c r="EW264" i="23916"/>
  <c r="EX264" i="23916" s="1"/>
  <c r="EX263" i="23916"/>
  <c r="EX241" i="23916"/>
  <c r="EW259" i="23916"/>
  <c r="GU191" i="23916"/>
  <c r="GT202" i="23916"/>
  <c r="GU202" i="23916" s="1"/>
  <c r="GU208" i="23916"/>
  <c r="GT212" i="23916"/>
  <c r="GT210" i="23916"/>
  <c r="ET526" i="23916"/>
  <c r="ES533" i="23916"/>
  <c r="GP500" i="23916"/>
  <c r="GQ256" i="23916"/>
  <c r="GP267" i="23916"/>
  <c r="GP263" i="23916"/>
  <c r="EX500" i="23916"/>
  <c r="GP264" i="23916" l="1"/>
  <c r="GQ264" i="23916" s="1"/>
  <c r="GQ263" i="23916"/>
  <c r="ES692" i="23916"/>
  <c r="ET692" i="23916" s="1"/>
  <c r="ES680" i="23916"/>
  <c r="ET680" i="23916" s="1"/>
  <c r="ES579" i="23916"/>
  <c r="ET579" i="23916" s="1"/>
  <c r="ES583" i="23916"/>
  <c r="ET583" i="23916" s="1"/>
  <c r="ES576" i="23916"/>
  <c r="ET576" i="23916" s="1"/>
  <c r="ES536" i="23916"/>
  <c r="ES578" i="23916"/>
  <c r="ET578" i="23916" s="1"/>
  <c r="ES582" i="23916"/>
  <c r="ET582" i="23916" s="1"/>
  <c r="ES580" i="23916"/>
  <c r="ET580" i="23916" s="1"/>
  <c r="ET533" i="23916"/>
  <c r="ES606" i="23916"/>
  <c r="ET606" i="23916" s="1"/>
  <c r="ES555" i="23916"/>
  <c r="ET555" i="23916" s="1"/>
  <c r="ES581" i="23916"/>
  <c r="ET581" i="23916" s="1"/>
  <c r="ES575" i="23916"/>
  <c r="ET575" i="23916" s="1"/>
  <c r="ES572" i="23916"/>
  <c r="ET572" i="23916" s="1"/>
  <c r="ES571" i="23916"/>
  <c r="ET571" i="23916" s="1"/>
  <c r="ES573" i="23916"/>
  <c r="ET573" i="23916" s="1"/>
  <c r="ES574" i="23916"/>
  <c r="EX259" i="23916"/>
  <c r="GP259" i="23916"/>
  <c r="EW260" i="23916"/>
  <c r="EV271" i="23916"/>
  <c r="EU509" i="23916"/>
  <c r="GR267" i="23916"/>
  <c r="GQ267" i="23916"/>
  <c r="GS245" i="23916"/>
  <c r="GT245" i="23916"/>
  <c r="GU210" i="23916"/>
  <c r="GT221" i="23916"/>
  <c r="GU221" i="23916" s="1"/>
  <c r="GR749" i="23916"/>
  <c r="GS496" i="23916"/>
  <c r="EU273" i="23916"/>
  <c r="ER574" i="23916"/>
  <c r="EQ577" i="23916"/>
  <c r="ER577" i="23916" s="1"/>
  <c r="GQ500" i="23916"/>
  <c r="GT214" i="23916"/>
  <c r="GT224" i="23916"/>
  <c r="GU224" i="23916" s="1"/>
  <c r="GU212" i="23916"/>
  <c r="GS230" i="23916"/>
  <c r="GR232" i="23916"/>
  <c r="GS244" i="23916"/>
  <c r="GR236" i="23916"/>
  <c r="GT244" i="23916"/>
  <c r="GR501" i="23916"/>
  <c r="GS257" i="23916"/>
  <c r="EU725" i="23916"/>
  <c r="EU732" i="23916" s="1"/>
  <c r="EV276" i="23916"/>
  <c r="GT197" i="23916"/>
  <c r="GU197" i="23916" s="1"/>
  <c r="GV189" i="23916"/>
  <c r="GT228" i="23916"/>
  <c r="GU195" i="23916"/>
  <c r="GT199" i="23916"/>
  <c r="GP753" i="23916"/>
  <c r="GP754" i="23916" s="1"/>
  <c r="GQ497" i="23916"/>
  <c r="EQ741" i="23916"/>
  <c r="EQ618" i="23916"/>
  <c r="ER536" i="23916"/>
  <c r="EQ538" i="23916"/>
  <c r="GV244" i="23916" l="1"/>
  <c r="GU244" i="23916"/>
  <c r="GT216" i="23916"/>
  <c r="GT229" i="23916"/>
  <c r="GU229" i="23916" s="1"/>
  <c r="GU214" i="23916"/>
  <c r="GV208" i="23916"/>
  <c r="GT218" i="23916"/>
  <c r="GU218" i="23916" s="1"/>
  <c r="ES577" i="23916"/>
  <c r="ET577" i="23916" s="1"/>
  <c r="ET574" i="23916"/>
  <c r="ES741" i="23916"/>
  <c r="ES618" i="23916"/>
  <c r="ES538" i="23916"/>
  <c r="ET536" i="23916"/>
  <c r="EQ742" i="23916"/>
  <c r="EQ622" i="23916"/>
  <c r="ER618" i="23916"/>
  <c r="EQ17" i="23916"/>
  <c r="ER17" i="23916" s="1"/>
  <c r="GT230" i="23916"/>
  <c r="GU228" i="23916"/>
  <c r="GR493" i="23916"/>
  <c r="GS236" i="23916"/>
  <c r="EV273" i="23916"/>
  <c r="EU275" i="23916"/>
  <c r="EU280" i="23916"/>
  <c r="EV280" i="23916" s="1"/>
  <c r="EU279" i="23916"/>
  <c r="EV279" i="23916" s="1"/>
  <c r="EU8" i="23916"/>
  <c r="GS267" i="23916"/>
  <c r="GT267" i="23916"/>
  <c r="EX260" i="23916"/>
  <c r="EW270" i="23916"/>
  <c r="GW189" i="23916"/>
  <c r="GV191" i="23916"/>
  <c r="GV193" i="23916"/>
  <c r="GV245" i="23916"/>
  <c r="GU245" i="23916"/>
  <c r="GP265" i="23916"/>
  <c r="GQ259" i="23916"/>
  <c r="GP260" i="23916"/>
  <c r="EQ541" i="23916"/>
  <c r="ER538" i="23916"/>
  <c r="EQ511" i="23916"/>
  <c r="EQ12" i="23916"/>
  <c r="GU199" i="23916"/>
  <c r="GT238" i="23916"/>
  <c r="GT239" i="23916"/>
  <c r="GT204" i="23916"/>
  <c r="GU204" i="23916" s="1"/>
  <c r="GR750" i="23916"/>
  <c r="GS501" i="23916"/>
  <c r="GS232" i="23916"/>
  <c r="GR237" i="23916"/>
  <c r="GR751" i="23916"/>
  <c r="EV509" i="23916"/>
  <c r="GR494" i="23916" l="1"/>
  <c r="GS494" i="23916" s="1"/>
  <c r="GS237" i="23916"/>
  <c r="GP266" i="23916"/>
  <c r="GQ266" i="23916" s="1"/>
  <c r="GQ265" i="23916"/>
  <c r="GR265" i="23916"/>
  <c r="GW191" i="23916"/>
  <c r="GV202" i="23916"/>
  <c r="GW202" i="23916" s="1"/>
  <c r="EV8" i="23916"/>
  <c r="EU11" i="23916"/>
  <c r="ER622" i="23916"/>
  <c r="EQ543" i="23916"/>
  <c r="ER543" i="23916" s="1"/>
  <c r="EQ18" i="23916"/>
  <c r="ER18" i="23916" s="1"/>
  <c r="ES742" i="23916"/>
  <c r="ES622" i="23916"/>
  <c r="ET618" i="23916"/>
  <c r="ES17" i="23916"/>
  <c r="ET17" i="23916" s="1"/>
  <c r="GT219" i="23916"/>
  <c r="GU219" i="23916" s="1"/>
  <c r="GU216" i="23916"/>
  <c r="GT257" i="23916"/>
  <c r="GU239" i="23916"/>
  <c r="ER511" i="23916"/>
  <c r="EQ504" i="23916"/>
  <c r="GV267" i="23916"/>
  <c r="GU267" i="23916"/>
  <c r="GR240" i="23916"/>
  <c r="GU230" i="23916"/>
  <c r="GT232" i="23916"/>
  <c r="GV212" i="23916"/>
  <c r="GV210" i="23916"/>
  <c r="GW208" i="23916"/>
  <c r="GT236" i="23916"/>
  <c r="GT496" i="23916"/>
  <c r="GU238" i="23916"/>
  <c r="GQ260" i="23916"/>
  <c r="GP270" i="23916"/>
  <c r="GW245" i="23916"/>
  <c r="GX245" i="23916"/>
  <c r="GR256" i="23916"/>
  <c r="EQ614" i="23916"/>
  <c r="EQ553" i="23916"/>
  <c r="EQ544" i="23916"/>
  <c r="ER541" i="23916"/>
  <c r="EQ15" i="23916"/>
  <c r="GW193" i="23916"/>
  <c r="GV195" i="23916"/>
  <c r="EX270" i="23916"/>
  <c r="EW276" i="23916"/>
  <c r="EW271" i="23916"/>
  <c r="EU523" i="23916"/>
  <c r="EV275" i="23916"/>
  <c r="GR745" i="23916"/>
  <c r="GR497" i="23916"/>
  <c r="GS493" i="23916"/>
  <c r="ET538" i="23916"/>
  <c r="ES541" i="23916"/>
  <c r="ES511" i="23916"/>
  <c r="ES12" i="23916"/>
  <c r="GW244" i="23916"/>
  <c r="GX244" i="23916"/>
  <c r="GR753" i="23916" l="1"/>
  <c r="GR754" i="23916" s="1"/>
  <c r="GS497" i="23916"/>
  <c r="EX271" i="23916"/>
  <c r="EW509" i="23916"/>
  <c r="GP271" i="23916"/>
  <c r="GV228" i="23916"/>
  <c r="GW195" i="23916"/>
  <c r="GX189" i="23916"/>
  <c r="GV197" i="23916"/>
  <c r="GW197" i="23916" s="1"/>
  <c r="GV199" i="23916"/>
  <c r="EQ799" i="23916"/>
  <c r="EQ620" i="23916"/>
  <c r="ER620" i="23916" s="1"/>
  <c r="ER614" i="23916"/>
  <c r="EQ589" i="23916"/>
  <c r="ER589" i="23916" s="1"/>
  <c r="EQ16" i="23916"/>
  <c r="ER16" i="23916" s="1"/>
  <c r="EQ721" i="23916"/>
  <c r="GZ245" i="23916"/>
  <c r="GY245" i="23916"/>
  <c r="EW725" i="23916"/>
  <c r="EW732" i="23916" s="1"/>
  <c r="EX276" i="23916"/>
  <c r="GT749" i="23916"/>
  <c r="GU496" i="23916"/>
  <c r="GW210" i="23916"/>
  <c r="GV221" i="23916"/>
  <c r="GW221" i="23916" s="1"/>
  <c r="GW267" i="23916"/>
  <c r="GX267" i="23916"/>
  <c r="GT501" i="23916"/>
  <c r="GU257" i="23916"/>
  <c r="GZ244" i="23916"/>
  <c r="GY244" i="23916"/>
  <c r="ET511" i="23916"/>
  <c r="ES504" i="23916"/>
  <c r="ER544" i="23916"/>
  <c r="GP273" i="23916"/>
  <c r="GP276" i="23916"/>
  <c r="GQ270" i="23916"/>
  <c r="GT493" i="23916"/>
  <c r="GU236" i="23916"/>
  <c r="GW212" i="23916"/>
  <c r="GV214" i="23916"/>
  <c r="GV224" i="23916"/>
  <c r="GW224" i="23916" s="1"/>
  <c r="GS240" i="23916"/>
  <c r="GR241" i="23916"/>
  <c r="GS241" i="23916" s="1"/>
  <c r="ER504" i="23916"/>
  <c r="EQ506" i="23916"/>
  <c r="ET622" i="23916"/>
  <c r="ES543" i="23916"/>
  <c r="ET543" i="23916" s="1"/>
  <c r="ES18" i="23916"/>
  <c r="ET18" i="23916" s="1"/>
  <c r="ES614" i="23916"/>
  <c r="ES544" i="23916"/>
  <c r="ET544" i="23916" s="1"/>
  <c r="ET541" i="23916"/>
  <c r="ES553" i="23916"/>
  <c r="ES15" i="23916"/>
  <c r="EU526" i="23916"/>
  <c r="EV523" i="23916"/>
  <c r="EW273" i="23916"/>
  <c r="EQ566" i="23916"/>
  <c r="ER553" i="23916"/>
  <c r="GR500" i="23916"/>
  <c r="GR263" i="23916"/>
  <c r="GS256" i="23916"/>
  <c r="GT237" i="23916"/>
  <c r="GT240" i="23916" s="1"/>
  <c r="GU232" i="23916"/>
  <c r="EU14" i="23916"/>
  <c r="EV11" i="23916"/>
  <c r="GR774" i="23916"/>
  <c r="GT265" i="23916"/>
  <c r="GR266" i="23916"/>
  <c r="GS265" i="23916"/>
  <c r="GT241" i="23916" l="1"/>
  <c r="GU241" i="23916" s="1"/>
  <c r="GU240" i="23916"/>
  <c r="GT774" i="23916"/>
  <c r="GT266" i="23916"/>
  <c r="GU265" i="23916"/>
  <c r="GV265" i="23916"/>
  <c r="EV14" i="23916"/>
  <c r="EV526" i="23916"/>
  <c r="EU533" i="23916"/>
  <c r="ER506" i="23916"/>
  <c r="EQ508" i="23916"/>
  <c r="GP725" i="23916"/>
  <c r="GP732" i="23916" s="1"/>
  <c r="GQ276" i="23916"/>
  <c r="ET504" i="23916"/>
  <c r="ES506" i="23916"/>
  <c r="GW199" i="23916"/>
  <c r="GV239" i="23916"/>
  <c r="GV238" i="23916"/>
  <c r="GV204" i="23916"/>
  <c r="GW204" i="23916" s="1"/>
  <c r="GW228" i="23916"/>
  <c r="GT256" i="23916"/>
  <c r="GR770" i="23916"/>
  <c r="GR264" i="23916"/>
  <c r="GS264" i="23916" s="1"/>
  <c r="GS263" i="23916"/>
  <c r="EQ654" i="23916"/>
  <c r="EQ617" i="23916"/>
  <c r="ER617" i="23916" s="1"/>
  <c r="EQ568" i="23916"/>
  <c r="ER568" i="23916" s="1"/>
  <c r="ER566" i="23916"/>
  <c r="EQ655" i="23916"/>
  <c r="EQ607" i="23916"/>
  <c r="ER607" i="23916" s="1"/>
  <c r="GP275" i="23916"/>
  <c r="GP280" i="23916"/>
  <c r="GQ280" i="23916" s="1"/>
  <c r="GP279" i="23916"/>
  <c r="GQ279" i="23916" s="1"/>
  <c r="GQ273" i="23916"/>
  <c r="GP8" i="23916"/>
  <c r="GP272" i="23916"/>
  <c r="GQ271" i="23916"/>
  <c r="EW280" i="23916"/>
  <c r="EX280" i="23916" s="1"/>
  <c r="EW279" i="23916"/>
  <c r="EX279" i="23916" s="1"/>
  <c r="EW275" i="23916"/>
  <c r="EX273" i="23916"/>
  <c r="EW8" i="23916"/>
  <c r="ES799" i="23916"/>
  <c r="ES620" i="23916"/>
  <c r="ET620" i="23916" s="1"/>
  <c r="ET614" i="23916"/>
  <c r="ES589" i="23916"/>
  <c r="ET589" i="23916" s="1"/>
  <c r="ES16" i="23916"/>
  <c r="ET16" i="23916" s="1"/>
  <c r="ES721" i="23916"/>
  <c r="GV229" i="23916"/>
  <c r="GW229" i="23916" s="1"/>
  <c r="GW214" i="23916"/>
  <c r="GX208" i="23916"/>
  <c r="GV216" i="23916"/>
  <c r="GV218" i="23916"/>
  <c r="GW218" i="23916" s="1"/>
  <c r="GU493" i="23916"/>
  <c r="GT497" i="23916"/>
  <c r="GT750" i="23916"/>
  <c r="GT751" i="23916" s="1"/>
  <c r="GU501" i="23916"/>
  <c r="GX191" i="23916"/>
  <c r="GZ189" i="23916"/>
  <c r="GY189" i="23916"/>
  <c r="GX193" i="23916"/>
  <c r="GP509" i="23916"/>
  <c r="EX509" i="23916"/>
  <c r="GR259" i="23916"/>
  <c r="GS266" i="23916"/>
  <c r="GT494" i="23916"/>
  <c r="GU494" i="23916" s="1"/>
  <c r="GU237" i="23916"/>
  <c r="GS500" i="23916"/>
  <c r="ES566" i="23916"/>
  <c r="ET553" i="23916"/>
  <c r="GZ267" i="23916"/>
  <c r="GY267" i="23916"/>
  <c r="GV230" i="23916" l="1"/>
  <c r="GV257" i="23916"/>
  <c r="GW239" i="23916"/>
  <c r="EU692" i="23916"/>
  <c r="EV692" i="23916" s="1"/>
  <c r="EU680" i="23916"/>
  <c r="EV680" i="23916" s="1"/>
  <c r="EU582" i="23916"/>
  <c r="EV582" i="23916" s="1"/>
  <c r="EU580" i="23916"/>
  <c r="EV580" i="23916" s="1"/>
  <c r="EU578" i="23916"/>
  <c r="EV578" i="23916" s="1"/>
  <c r="EU576" i="23916"/>
  <c r="EV576" i="23916" s="1"/>
  <c r="EU536" i="23916"/>
  <c r="EU583" i="23916"/>
  <c r="EV583" i="23916" s="1"/>
  <c r="EU579" i="23916"/>
  <c r="EV579" i="23916" s="1"/>
  <c r="EV533" i="23916"/>
  <c r="EU606" i="23916"/>
  <c r="EV606" i="23916" s="1"/>
  <c r="EU555" i="23916"/>
  <c r="EV555" i="23916" s="1"/>
  <c r="EU575" i="23916"/>
  <c r="EV575" i="23916" s="1"/>
  <c r="EU581" i="23916"/>
  <c r="EV581" i="23916" s="1"/>
  <c r="EU572" i="23916"/>
  <c r="EV572" i="23916" s="1"/>
  <c r="EU571" i="23916"/>
  <c r="EV571" i="23916" s="1"/>
  <c r="EU573" i="23916"/>
  <c r="EV573" i="23916" s="1"/>
  <c r="EU574" i="23916"/>
  <c r="GV774" i="23916"/>
  <c r="GX265" i="23916"/>
  <c r="GV266" i="23916"/>
  <c r="GW265" i="23916"/>
  <c r="GS259" i="23916"/>
  <c r="GR260" i="23916"/>
  <c r="GQ509" i="23916"/>
  <c r="GT753" i="23916"/>
  <c r="GT754" i="23916" s="1"/>
  <c r="GU497" i="23916"/>
  <c r="GV219" i="23916"/>
  <c r="GW219" i="23916" s="1"/>
  <c r="GW216" i="23916"/>
  <c r="EW523" i="23916"/>
  <c r="EX275" i="23916"/>
  <c r="GQ272" i="23916"/>
  <c r="GR272" i="23916"/>
  <c r="EQ691" i="23916"/>
  <c r="ER691" i="23916" s="1"/>
  <c r="EQ690" i="23916"/>
  <c r="ER690" i="23916" s="1"/>
  <c r="EQ659" i="23916"/>
  <c r="EQ657" i="23916"/>
  <c r="ES655" i="23916"/>
  <c r="EQ653" i="23916"/>
  <c r="ER653" i="23916" s="1"/>
  <c r="ER655" i="23916"/>
  <c r="EQ603" i="23916"/>
  <c r="EQ688" i="23916"/>
  <c r="ER688" i="23916" s="1"/>
  <c r="EQ686" i="23916"/>
  <c r="ER686" i="23916" s="1"/>
  <c r="EQ649" i="23916"/>
  <c r="EQ689" i="23916"/>
  <c r="ER689" i="23916" s="1"/>
  <c r="EQ685" i="23916"/>
  <c r="ER685" i="23916" s="1"/>
  <c r="EQ687" i="23916"/>
  <c r="ER687" i="23916" s="1"/>
  <c r="ER654" i="23916"/>
  <c r="ES654" i="23916"/>
  <c r="GX195" i="23916"/>
  <c r="GZ193" i="23916"/>
  <c r="GY193" i="23916"/>
  <c r="GZ191" i="23916"/>
  <c r="GY191" i="23916"/>
  <c r="GX202" i="23916"/>
  <c r="GY208" i="23916"/>
  <c r="GX212" i="23916"/>
  <c r="GX210" i="23916"/>
  <c r="GZ208" i="23916"/>
  <c r="ET506" i="23916"/>
  <c r="ES508" i="23916"/>
  <c r="ER508" i="23916"/>
  <c r="EQ510" i="23916"/>
  <c r="ER510" i="23916" s="1"/>
  <c r="GU266" i="23916"/>
  <c r="GT259" i="23916"/>
  <c r="GU259" i="23916" s="1"/>
  <c r="ES617" i="23916"/>
  <c r="ET617" i="23916" s="1"/>
  <c r="ET566" i="23916"/>
  <c r="ES568" i="23916"/>
  <c r="ET568" i="23916" s="1"/>
  <c r="ES607" i="23916"/>
  <c r="ET607" i="23916" s="1"/>
  <c r="GT745" i="23916"/>
  <c r="EX8" i="23916"/>
  <c r="EW11" i="23916"/>
  <c r="GQ8" i="23916"/>
  <c r="GP11" i="23916"/>
  <c r="GP523" i="23916"/>
  <c r="GQ275" i="23916"/>
  <c r="GT500" i="23916"/>
  <c r="GU256" i="23916"/>
  <c r="GT263" i="23916"/>
  <c r="GV496" i="23916"/>
  <c r="GW238" i="23916"/>
  <c r="GV749" i="23916" l="1"/>
  <c r="GW496" i="23916"/>
  <c r="GU500" i="23916"/>
  <c r="ET654" i="23916"/>
  <c r="EQ679" i="23916"/>
  <c r="ER679" i="23916" s="1"/>
  <c r="EQ678" i="23916"/>
  <c r="ER678" i="23916" s="1"/>
  <c r="EQ675" i="23916"/>
  <c r="ER675" i="23916" s="1"/>
  <c r="ER657" i="23916"/>
  <c r="EQ660" i="23916"/>
  <c r="EQ673" i="23916"/>
  <c r="ER673" i="23916" s="1"/>
  <c r="EQ674" i="23916"/>
  <c r="ER674" i="23916" s="1"/>
  <c r="EQ677" i="23916"/>
  <c r="ER677" i="23916" s="1"/>
  <c r="EQ672" i="23916"/>
  <c r="ER672" i="23916" s="1"/>
  <c r="EQ676" i="23916"/>
  <c r="ER676" i="23916" s="1"/>
  <c r="GT272" i="23916"/>
  <c r="GS272" i="23916"/>
  <c r="GW266" i="23916"/>
  <c r="GT260" i="23916"/>
  <c r="EW14" i="23916"/>
  <c r="EX11" i="23916"/>
  <c r="GZ210" i="23916"/>
  <c r="GY210" i="23916"/>
  <c r="GX221" i="23916"/>
  <c r="GZ202" i="23916"/>
  <c r="GY202" i="23916"/>
  <c r="ER649" i="23916"/>
  <c r="EQ650" i="23916"/>
  <c r="ER650" i="23916" s="1"/>
  <c r="EQ695" i="23916"/>
  <c r="ER695" i="23916" s="1"/>
  <c r="EQ694" i="23916"/>
  <c r="ER694" i="23916" s="1"/>
  <c r="EQ693" i="23916"/>
  <c r="ER693" i="23916" s="1"/>
  <c r="EQ662" i="23916"/>
  <c r="ER659" i="23916"/>
  <c r="GS260" i="23916"/>
  <c r="GR270" i="23916"/>
  <c r="GX774" i="23916"/>
  <c r="GX266" i="23916"/>
  <c r="GY265" i="23916"/>
  <c r="GZ265" i="23916"/>
  <c r="GT770" i="23916"/>
  <c r="GT264" i="23916"/>
  <c r="GU264" i="23916" s="1"/>
  <c r="GU263" i="23916"/>
  <c r="GP526" i="23916"/>
  <c r="GQ523" i="23916"/>
  <c r="ET508" i="23916"/>
  <c r="ES510" i="23916"/>
  <c r="ET510" i="23916" s="1"/>
  <c r="GZ212" i="23916"/>
  <c r="GX214" i="23916"/>
  <c r="GY212" i="23916"/>
  <c r="GX224" i="23916"/>
  <c r="EU741" i="23916"/>
  <c r="EU618" i="23916"/>
  <c r="EV536" i="23916"/>
  <c r="EU538" i="23916"/>
  <c r="GV501" i="23916"/>
  <c r="GW257" i="23916"/>
  <c r="GP14" i="23916"/>
  <c r="GQ11" i="23916"/>
  <c r="GZ195" i="23916"/>
  <c r="GX197" i="23916"/>
  <c r="GX228" i="23916"/>
  <c r="GY195" i="23916"/>
  <c r="GX199" i="23916"/>
  <c r="ES691" i="23916"/>
  <c r="ET691" i="23916" s="1"/>
  <c r="ES690" i="23916"/>
  <c r="ET690" i="23916" s="1"/>
  <c r="ES657" i="23916"/>
  <c r="ES653" i="23916"/>
  <c r="ET653" i="23916" s="1"/>
  <c r="ET655" i="23916"/>
  <c r="ES659" i="23916"/>
  <c r="ES603" i="23916"/>
  <c r="ES687" i="23916"/>
  <c r="ET687" i="23916" s="1"/>
  <c r="ES688" i="23916"/>
  <c r="ET688" i="23916" s="1"/>
  <c r="ES685" i="23916"/>
  <c r="ET685" i="23916" s="1"/>
  <c r="ES686" i="23916"/>
  <c r="ET686" i="23916" s="1"/>
  <c r="ES689" i="23916"/>
  <c r="ET689" i="23916" s="1"/>
  <c r="ES649" i="23916"/>
  <c r="EX523" i="23916"/>
  <c r="EW526" i="23916"/>
  <c r="EV574" i="23916"/>
  <c r="EU577" i="23916"/>
  <c r="EV577" i="23916" s="1"/>
  <c r="GW230" i="23916"/>
  <c r="GV236" i="23916"/>
  <c r="GV232" i="23916"/>
  <c r="GW232" i="23916" l="1"/>
  <c r="GV237" i="23916"/>
  <c r="ES695" i="23916"/>
  <c r="ET695" i="23916" s="1"/>
  <c r="ES694" i="23916"/>
  <c r="ET694" i="23916" s="1"/>
  <c r="ES693" i="23916"/>
  <c r="ET693" i="23916" s="1"/>
  <c r="ES662" i="23916"/>
  <c r="ET659" i="23916"/>
  <c r="ES679" i="23916"/>
  <c r="ET679" i="23916" s="1"/>
  <c r="ES678" i="23916"/>
  <c r="ET678" i="23916" s="1"/>
  <c r="ES675" i="23916"/>
  <c r="ET675" i="23916" s="1"/>
  <c r="ES660" i="23916"/>
  <c r="ET657" i="23916"/>
  <c r="ES674" i="23916"/>
  <c r="ET674" i="23916" s="1"/>
  <c r="ES672" i="23916"/>
  <c r="ET672" i="23916" s="1"/>
  <c r="ES676" i="23916"/>
  <c r="ET676" i="23916" s="1"/>
  <c r="ES673" i="23916"/>
  <c r="ET673" i="23916" s="1"/>
  <c r="ES677" i="23916"/>
  <c r="ET677" i="23916" s="1"/>
  <c r="GV750" i="23916"/>
  <c r="GW501" i="23916"/>
  <c r="GX216" i="23916"/>
  <c r="GX229" i="23916"/>
  <c r="GY214" i="23916"/>
  <c r="GZ214" i="23916"/>
  <c r="GX218" i="23916"/>
  <c r="GZ266" i="23916"/>
  <c r="GY266" i="23916"/>
  <c r="GV493" i="23916"/>
  <c r="GW236" i="23916"/>
  <c r="GV240" i="23916"/>
  <c r="GV256" i="23916"/>
  <c r="ET649" i="23916"/>
  <c r="ES650" i="23916"/>
  <c r="ET650" i="23916" s="1"/>
  <c r="GZ228" i="23916"/>
  <c r="GX230" i="23916"/>
  <c r="GY228" i="23916"/>
  <c r="EU541" i="23916"/>
  <c r="EV538" i="23916"/>
  <c r="EU511" i="23916"/>
  <c r="EU12" i="23916"/>
  <c r="GQ526" i="23916"/>
  <c r="GP533" i="23916"/>
  <c r="ER662" i="23916"/>
  <c r="EQ669" i="23916"/>
  <c r="ER669" i="23916" s="1"/>
  <c r="GY221" i="23916"/>
  <c r="GZ221" i="23916"/>
  <c r="EQ682" i="23916"/>
  <c r="ER682" i="23916" s="1"/>
  <c r="EQ681" i="23916"/>
  <c r="ER681" i="23916" s="1"/>
  <c r="EQ663" i="23916"/>
  <c r="ER660" i="23916"/>
  <c r="EX526" i="23916"/>
  <c r="EW533" i="23916"/>
  <c r="GY197" i="23916"/>
  <c r="GZ197" i="23916"/>
  <c r="GQ14" i="23916"/>
  <c r="GZ224" i="23916"/>
  <c r="GY224" i="23916"/>
  <c r="GR271" i="23916"/>
  <c r="GR273" i="23916" s="1"/>
  <c r="GS270" i="23916"/>
  <c r="GR276" i="23916"/>
  <c r="EX14" i="23916"/>
  <c r="GZ199" i="23916"/>
  <c r="GY199" i="23916"/>
  <c r="GX238" i="23916"/>
  <c r="GX239" i="23916"/>
  <c r="GX204" i="23916"/>
  <c r="EU742" i="23916"/>
  <c r="EU622" i="23916"/>
  <c r="EV618" i="23916"/>
  <c r="EU17" i="23916"/>
  <c r="EV17" i="23916" s="1"/>
  <c r="GU260" i="23916"/>
  <c r="GT270" i="23916"/>
  <c r="GV272" i="23916"/>
  <c r="GU272" i="23916"/>
  <c r="GV751" i="23916"/>
  <c r="GR275" i="23916" l="1"/>
  <c r="GS273" i="23916"/>
  <c r="GR280" i="23916"/>
  <c r="GS280" i="23916" s="1"/>
  <c r="GR279" i="23916"/>
  <c r="GS279" i="23916" s="1"/>
  <c r="GR8" i="23916"/>
  <c r="GR725" i="23916"/>
  <c r="GR732" i="23916" s="1"/>
  <c r="GS276" i="23916"/>
  <c r="GP692" i="23916"/>
  <c r="GQ692" i="23916" s="1"/>
  <c r="GP680" i="23916"/>
  <c r="GQ680" i="23916" s="1"/>
  <c r="GP579" i="23916"/>
  <c r="GQ579" i="23916" s="1"/>
  <c r="GP583" i="23916"/>
  <c r="GQ583" i="23916" s="1"/>
  <c r="GP576" i="23916"/>
  <c r="GQ576" i="23916" s="1"/>
  <c r="GP580" i="23916"/>
  <c r="GQ580" i="23916" s="1"/>
  <c r="GP536" i="23916"/>
  <c r="GP578" i="23916"/>
  <c r="GQ578" i="23916" s="1"/>
  <c r="GQ533" i="23916"/>
  <c r="GP582" i="23916"/>
  <c r="GQ582" i="23916" s="1"/>
  <c r="GP555" i="23916"/>
  <c r="GQ555" i="23916" s="1"/>
  <c r="GP606" i="23916"/>
  <c r="GQ606" i="23916" s="1"/>
  <c r="GP581" i="23916"/>
  <c r="GQ581" i="23916" s="1"/>
  <c r="GP575" i="23916"/>
  <c r="GQ575" i="23916" s="1"/>
  <c r="GP572" i="23916"/>
  <c r="GQ572" i="23916" s="1"/>
  <c r="GP571" i="23916"/>
  <c r="GQ571" i="23916" s="1"/>
  <c r="GP573" i="23916"/>
  <c r="GQ573" i="23916" s="1"/>
  <c r="GP574" i="23916"/>
  <c r="GW493" i="23916"/>
  <c r="GY218" i="23916"/>
  <c r="GZ218" i="23916"/>
  <c r="GZ216" i="23916"/>
  <c r="GX219" i="23916"/>
  <c r="GY216" i="23916"/>
  <c r="GY204" i="23916"/>
  <c r="GZ204" i="23916"/>
  <c r="ER663" i="23916"/>
  <c r="EQ666" i="23916"/>
  <c r="ER666" i="23916" s="1"/>
  <c r="EQ747" i="23916"/>
  <c r="EQ667" i="23916"/>
  <c r="ER667" i="23916" s="1"/>
  <c r="EQ668" i="23916"/>
  <c r="ER668" i="23916" s="1"/>
  <c r="EU614" i="23916"/>
  <c r="EU553" i="23916"/>
  <c r="EV541" i="23916"/>
  <c r="EU15" i="23916"/>
  <c r="GY230" i="23916"/>
  <c r="GZ230" i="23916"/>
  <c r="GX236" i="23916"/>
  <c r="GX232" i="23916"/>
  <c r="GV500" i="23916"/>
  <c r="GW256" i="23916"/>
  <c r="ES682" i="23916"/>
  <c r="ET682" i="23916" s="1"/>
  <c r="ES681" i="23916"/>
  <c r="ET681" i="23916" s="1"/>
  <c r="ET660" i="23916"/>
  <c r="ES663" i="23916"/>
  <c r="GX272" i="23916"/>
  <c r="GW272" i="23916"/>
  <c r="GX257" i="23916"/>
  <c r="GZ239" i="23916"/>
  <c r="GY239" i="23916"/>
  <c r="EW692" i="23916"/>
  <c r="EX692" i="23916" s="1"/>
  <c r="EW680" i="23916"/>
  <c r="EX680" i="23916" s="1"/>
  <c r="EW579" i="23916"/>
  <c r="EX579" i="23916" s="1"/>
  <c r="EW583" i="23916"/>
  <c r="EX583" i="23916" s="1"/>
  <c r="EW578" i="23916"/>
  <c r="EX578" i="23916" s="1"/>
  <c r="EW536" i="23916"/>
  <c r="EW582" i="23916"/>
  <c r="EX582" i="23916" s="1"/>
  <c r="EW580" i="23916"/>
  <c r="EX580" i="23916" s="1"/>
  <c r="EW576" i="23916"/>
  <c r="EX576" i="23916" s="1"/>
  <c r="EX533" i="23916"/>
  <c r="EW606" i="23916"/>
  <c r="EX606" i="23916" s="1"/>
  <c r="EW555" i="23916"/>
  <c r="EX555" i="23916" s="1"/>
  <c r="EW581" i="23916"/>
  <c r="EX581" i="23916" s="1"/>
  <c r="EW575" i="23916"/>
  <c r="EX575" i="23916" s="1"/>
  <c r="EW572" i="23916"/>
  <c r="EX572" i="23916" s="1"/>
  <c r="EW571" i="23916"/>
  <c r="EX571" i="23916" s="1"/>
  <c r="EW573" i="23916"/>
  <c r="EX573" i="23916" s="1"/>
  <c r="EW574" i="23916"/>
  <c r="GW240" i="23916"/>
  <c r="GV241" i="23916"/>
  <c r="GV263" i="23916" s="1"/>
  <c r="ET662" i="23916"/>
  <c r="ES669" i="23916"/>
  <c r="ET669" i="23916" s="1"/>
  <c r="GV494" i="23916"/>
  <c r="GW494" i="23916" s="1"/>
  <c r="GW237" i="23916"/>
  <c r="GU270" i="23916"/>
  <c r="GT276" i="23916"/>
  <c r="GT271" i="23916"/>
  <c r="EV622" i="23916"/>
  <c r="EU543" i="23916"/>
  <c r="EV543" i="23916" s="1"/>
  <c r="EU18" i="23916"/>
  <c r="EV18" i="23916" s="1"/>
  <c r="GX496" i="23916"/>
  <c r="GZ238" i="23916"/>
  <c r="GY238" i="23916"/>
  <c r="GS271" i="23916"/>
  <c r="GR509" i="23916"/>
  <c r="EV511" i="23916"/>
  <c r="EU504" i="23916"/>
  <c r="GZ229" i="23916"/>
  <c r="GY229" i="23916"/>
  <c r="GV770" i="23916" l="1"/>
  <c r="GV264" i="23916"/>
  <c r="GW264" i="23916" s="1"/>
  <c r="GW263" i="23916"/>
  <c r="GU271" i="23916"/>
  <c r="GT509" i="23916"/>
  <c r="GZ272" i="23916"/>
  <c r="GY272" i="23916"/>
  <c r="GW500" i="23916"/>
  <c r="EV553" i="23916"/>
  <c r="GZ219" i="23916"/>
  <c r="GY219" i="23916"/>
  <c r="EV504" i="23916"/>
  <c r="EU506" i="23916"/>
  <c r="GT725" i="23916"/>
  <c r="GT732" i="23916" s="1"/>
  <c r="GU276" i="23916"/>
  <c r="ET663" i="23916"/>
  <c r="ES666" i="23916"/>
  <c r="ET666" i="23916" s="1"/>
  <c r="ES667" i="23916"/>
  <c r="ET667" i="23916" s="1"/>
  <c r="ES747" i="23916"/>
  <c r="ES668" i="23916"/>
  <c r="ET668" i="23916" s="1"/>
  <c r="GX237" i="23916"/>
  <c r="GZ232" i="23916"/>
  <c r="GY232" i="23916"/>
  <c r="EU799" i="23916"/>
  <c r="EU620" i="23916"/>
  <c r="EV620" i="23916" s="1"/>
  <c r="EV614" i="23916"/>
  <c r="EU16" i="23916"/>
  <c r="EV16" i="23916" s="1"/>
  <c r="EU589" i="23916"/>
  <c r="EV589" i="23916" s="1"/>
  <c r="EU721" i="23916"/>
  <c r="GV497" i="23916"/>
  <c r="EW577" i="23916"/>
  <c r="EX577" i="23916" s="1"/>
  <c r="EX574" i="23916"/>
  <c r="EW741" i="23916"/>
  <c r="EW618" i="23916"/>
  <c r="EX536" i="23916"/>
  <c r="EW538" i="23916"/>
  <c r="GX501" i="23916"/>
  <c r="GZ257" i="23916"/>
  <c r="GY257" i="23916"/>
  <c r="GX493" i="23916"/>
  <c r="GX240" i="23916"/>
  <c r="GY236" i="23916"/>
  <c r="GZ236" i="23916"/>
  <c r="GX256" i="23916"/>
  <c r="GV745" i="23916"/>
  <c r="GP741" i="23916"/>
  <c r="GP618" i="23916"/>
  <c r="GP538" i="23916"/>
  <c r="GQ536" i="23916"/>
  <c r="GS509" i="23916"/>
  <c r="GX749" i="23916"/>
  <c r="GZ496" i="23916"/>
  <c r="GY496" i="23916"/>
  <c r="GT273" i="23916"/>
  <c r="GW241" i="23916"/>
  <c r="GV259" i="23916"/>
  <c r="EU544" i="23916"/>
  <c r="GP577" i="23916"/>
  <c r="GQ577" i="23916" s="1"/>
  <c r="GQ574" i="23916"/>
  <c r="GS8" i="23916"/>
  <c r="GR11" i="23916"/>
  <c r="GR523" i="23916"/>
  <c r="GS275" i="23916"/>
  <c r="GW259" i="23916" l="1"/>
  <c r="GV260" i="23916"/>
  <c r="EW742" i="23916"/>
  <c r="EW622" i="23916"/>
  <c r="EX618" i="23916"/>
  <c r="EW17" i="23916"/>
  <c r="EX17" i="23916" s="1"/>
  <c r="GV753" i="23916"/>
  <c r="GV754" i="23916" s="1"/>
  <c r="GW497" i="23916"/>
  <c r="GX241" i="23916"/>
  <c r="GY240" i="23916"/>
  <c r="GZ240" i="23916"/>
  <c r="GX750" i="23916"/>
  <c r="GX751" i="23916" s="1"/>
  <c r="GZ501" i="23916"/>
  <c r="GY501" i="23916"/>
  <c r="GX494" i="23916"/>
  <c r="GZ237" i="23916"/>
  <c r="GY237" i="23916"/>
  <c r="EV506" i="23916"/>
  <c r="EU508" i="23916"/>
  <c r="GR526" i="23916"/>
  <c r="GS523" i="23916"/>
  <c r="GT275" i="23916"/>
  <c r="GT280" i="23916"/>
  <c r="GU280" i="23916" s="1"/>
  <c r="GT279" i="23916"/>
  <c r="GU279" i="23916" s="1"/>
  <c r="GU273" i="23916"/>
  <c r="GT8" i="23916"/>
  <c r="GP541" i="23916"/>
  <c r="GQ538" i="23916"/>
  <c r="GP511" i="23916"/>
  <c r="GP12" i="23916"/>
  <c r="GX500" i="23916"/>
  <c r="GZ256" i="23916"/>
  <c r="GY256" i="23916"/>
  <c r="GX263" i="23916"/>
  <c r="GX745" i="23916"/>
  <c r="GZ493" i="23916"/>
  <c r="GY493" i="23916"/>
  <c r="GX497" i="23916"/>
  <c r="EW541" i="23916"/>
  <c r="EX538" i="23916"/>
  <c r="EW511" i="23916"/>
  <c r="EW12" i="23916"/>
  <c r="GS11" i="23916"/>
  <c r="GR14" i="23916"/>
  <c r="EV544" i="23916"/>
  <c r="GP742" i="23916"/>
  <c r="GQ618" i="23916"/>
  <c r="GP17" i="23916"/>
  <c r="GQ17" i="23916" s="1"/>
  <c r="GU509" i="23916"/>
  <c r="GQ511" i="23916" l="1"/>
  <c r="GP504" i="23916"/>
  <c r="EX622" i="23916"/>
  <c r="EW543" i="23916"/>
  <c r="EX543" i="23916" s="1"/>
  <c r="EW18" i="23916"/>
  <c r="EX18" i="23916" s="1"/>
  <c r="GS14" i="23916"/>
  <c r="EX511" i="23916"/>
  <c r="EW504" i="23916"/>
  <c r="GU8" i="23916"/>
  <c r="GT11" i="23916"/>
  <c r="GT523" i="23916"/>
  <c r="GU275" i="23916"/>
  <c r="EV508" i="23916"/>
  <c r="EU510" i="23916"/>
  <c r="GY494" i="23916"/>
  <c r="GZ494" i="23916"/>
  <c r="GX753" i="23916"/>
  <c r="GX754" i="23916" s="1"/>
  <c r="GZ497" i="23916"/>
  <c r="GY497" i="23916"/>
  <c r="GZ500" i="23916"/>
  <c r="GY500" i="23916"/>
  <c r="GP614" i="23916"/>
  <c r="GQ541" i="23916"/>
  <c r="GP553" i="23916"/>
  <c r="GP15" i="23916"/>
  <c r="GW260" i="23916"/>
  <c r="GV270" i="23916"/>
  <c r="EW614" i="23916"/>
  <c r="EW544" i="23916"/>
  <c r="EX541" i="23916"/>
  <c r="EW553" i="23916"/>
  <c r="EW15" i="23916"/>
  <c r="GX770" i="23916"/>
  <c r="GZ263" i="23916"/>
  <c r="GX264" i="23916"/>
  <c r="GY263" i="23916"/>
  <c r="GS526" i="23916"/>
  <c r="GR533" i="23916"/>
  <c r="GZ241" i="23916"/>
  <c r="GY241" i="23916"/>
  <c r="GX259" i="23916"/>
  <c r="EW799" i="23916" l="1"/>
  <c r="EW620" i="23916"/>
  <c r="EX620" i="23916" s="1"/>
  <c r="EX614" i="23916"/>
  <c r="EW16" i="23916"/>
  <c r="EX16" i="23916" s="1"/>
  <c r="EW589" i="23916"/>
  <c r="EX589" i="23916" s="1"/>
  <c r="EW721" i="23916"/>
  <c r="GP799" i="23916"/>
  <c r="GP620" i="23916"/>
  <c r="GQ620" i="23916" s="1"/>
  <c r="GQ614" i="23916"/>
  <c r="GP16" i="23916"/>
  <c r="GQ16" i="23916" s="1"/>
  <c r="GP589" i="23916"/>
  <c r="GQ589" i="23916" s="1"/>
  <c r="GP721" i="23916"/>
  <c r="GT526" i="23916"/>
  <c r="GU523" i="23916"/>
  <c r="GZ264" i="23916"/>
  <c r="GY264" i="23916"/>
  <c r="EX553" i="23916"/>
  <c r="EU548" i="23916"/>
  <c r="EV510" i="23916"/>
  <c r="GT14" i="23916"/>
  <c r="GU11" i="23916"/>
  <c r="GR692" i="23916"/>
  <c r="GS692" i="23916" s="1"/>
  <c r="GR680" i="23916"/>
  <c r="GS680" i="23916" s="1"/>
  <c r="GR582" i="23916"/>
  <c r="GS582" i="23916" s="1"/>
  <c r="GR580" i="23916"/>
  <c r="GS580" i="23916" s="1"/>
  <c r="GR578" i="23916"/>
  <c r="GS578" i="23916" s="1"/>
  <c r="GR576" i="23916"/>
  <c r="GS576" i="23916" s="1"/>
  <c r="GR536" i="23916"/>
  <c r="GR583" i="23916"/>
  <c r="GS583" i="23916" s="1"/>
  <c r="GR579" i="23916"/>
  <c r="GS579" i="23916" s="1"/>
  <c r="GS533" i="23916"/>
  <c r="GR606" i="23916"/>
  <c r="GS606" i="23916" s="1"/>
  <c r="GR555" i="23916"/>
  <c r="GS555" i="23916" s="1"/>
  <c r="GR581" i="23916"/>
  <c r="GS581" i="23916" s="1"/>
  <c r="GR575" i="23916"/>
  <c r="GS575" i="23916" s="1"/>
  <c r="GR572" i="23916"/>
  <c r="GS572" i="23916" s="1"/>
  <c r="GR571" i="23916"/>
  <c r="GS571" i="23916" s="1"/>
  <c r="GR573" i="23916"/>
  <c r="GS573" i="23916" s="1"/>
  <c r="GR574" i="23916"/>
  <c r="GQ553" i="23916"/>
  <c r="GQ504" i="23916"/>
  <c r="GP506" i="23916"/>
  <c r="GY259" i="23916"/>
  <c r="GZ259" i="23916"/>
  <c r="GX260" i="23916"/>
  <c r="EX544" i="23916"/>
  <c r="GP544" i="23916"/>
  <c r="GV271" i="23916"/>
  <c r="GV276" i="23916"/>
  <c r="GW270" i="23916"/>
  <c r="EX504" i="23916"/>
  <c r="EW506" i="23916"/>
  <c r="GW271" i="23916" l="1"/>
  <c r="GV509" i="23916"/>
  <c r="EV548" i="23916"/>
  <c r="EU552" i="23916"/>
  <c r="GV273" i="23916"/>
  <c r="GP622" i="23916"/>
  <c r="GP543" i="23916"/>
  <c r="GQ543" i="23916" s="1"/>
  <c r="GQ544" i="23916"/>
  <c r="GR741" i="23916"/>
  <c r="GR618" i="23916"/>
  <c r="GR538" i="23916"/>
  <c r="GS536" i="23916"/>
  <c r="GU14" i="23916"/>
  <c r="GQ506" i="23916"/>
  <c r="GP508" i="23916"/>
  <c r="GS574" i="23916"/>
  <c r="GR577" i="23916"/>
  <c r="GS577" i="23916" s="1"/>
  <c r="GU526" i="23916"/>
  <c r="GT533" i="23916"/>
  <c r="EX506" i="23916"/>
  <c r="EW508" i="23916"/>
  <c r="GV725" i="23916"/>
  <c r="GV732" i="23916" s="1"/>
  <c r="GW276" i="23916"/>
  <c r="GZ260" i="23916"/>
  <c r="GY260" i="23916"/>
  <c r="GX270" i="23916"/>
  <c r="GZ270" i="23916" l="1"/>
  <c r="GX276" i="23916"/>
  <c r="GX271" i="23916"/>
  <c r="GY270" i="23916"/>
  <c r="GR553" i="23916"/>
  <c r="GS538" i="23916"/>
  <c r="GR541" i="23916"/>
  <c r="GR511" i="23916"/>
  <c r="GR12" i="23916"/>
  <c r="EX508" i="23916"/>
  <c r="EW510" i="23916"/>
  <c r="GR742" i="23916"/>
  <c r="GS618" i="23916"/>
  <c r="GR622" i="23916"/>
  <c r="GR17" i="23916"/>
  <c r="GS17" i="23916" s="1"/>
  <c r="GQ622" i="23916"/>
  <c r="GP18" i="23916"/>
  <c r="GQ18" i="23916" s="1"/>
  <c r="GW273" i="23916"/>
  <c r="GV275" i="23916"/>
  <c r="GV280" i="23916"/>
  <c r="GW280" i="23916" s="1"/>
  <c r="GV279" i="23916"/>
  <c r="GW279" i="23916" s="1"/>
  <c r="GV8" i="23916"/>
  <c r="GW509" i="23916"/>
  <c r="GT692" i="23916"/>
  <c r="GU692" i="23916" s="1"/>
  <c r="GT680" i="23916"/>
  <c r="GU680" i="23916" s="1"/>
  <c r="GT579" i="23916"/>
  <c r="GU579" i="23916" s="1"/>
  <c r="GT583" i="23916"/>
  <c r="GU583" i="23916" s="1"/>
  <c r="GT582" i="23916"/>
  <c r="GU582" i="23916" s="1"/>
  <c r="GT580" i="23916"/>
  <c r="GU580" i="23916" s="1"/>
  <c r="GT578" i="23916"/>
  <c r="GU578" i="23916" s="1"/>
  <c r="GT576" i="23916"/>
  <c r="GU576" i="23916" s="1"/>
  <c r="GT536" i="23916"/>
  <c r="GU533" i="23916"/>
  <c r="GT606" i="23916"/>
  <c r="GU606" i="23916" s="1"/>
  <c r="GT555" i="23916"/>
  <c r="GU555" i="23916" s="1"/>
  <c r="GT581" i="23916"/>
  <c r="GU581" i="23916" s="1"/>
  <c r="GT575" i="23916"/>
  <c r="GU575" i="23916" s="1"/>
  <c r="GT571" i="23916"/>
  <c r="GU571" i="23916" s="1"/>
  <c r="GT572" i="23916"/>
  <c r="GU572" i="23916" s="1"/>
  <c r="GT573" i="23916"/>
  <c r="GU573" i="23916" s="1"/>
  <c r="GT574" i="23916"/>
  <c r="GQ508" i="23916"/>
  <c r="GP510" i="23916"/>
  <c r="GQ510" i="23916" s="1"/>
  <c r="EV552" i="23916"/>
  <c r="EU566" i="23916"/>
  <c r="GS553" i="23916" l="1"/>
  <c r="GS511" i="23916"/>
  <c r="GR504" i="23916"/>
  <c r="GZ271" i="23916"/>
  <c r="GY271" i="23916"/>
  <c r="GX509" i="23916"/>
  <c r="EU617" i="23916"/>
  <c r="EV617" i="23916" s="1"/>
  <c r="EU568" i="23916"/>
  <c r="EV568" i="23916" s="1"/>
  <c r="EV566" i="23916"/>
  <c r="EU607" i="23916"/>
  <c r="EV607" i="23916" s="1"/>
  <c r="EU654" i="23916"/>
  <c r="EU655" i="23916"/>
  <c r="GT577" i="23916"/>
  <c r="GU577" i="23916" s="1"/>
  <c r="GU574" i="23916"/>
  <c r="GV523" i="23916"/>
  <c r="GW275" i="23916"/>
  <c r="EW548" i="23916"/>
  <c r="EX510" i="23916"/>
  <c r="GR614" i="23916"/>
  <c r="GS541" i="23916"/>
  <c r="GR15" i="23916"/>
  <c r="GX725" i="23916"/>
  <c r="GX732" i="23916" s="1"/>
  <c r="GZ276" i="23916"/>
  <c r="GY276" i="23916"/>
  <c r="GT741" i="23916"/>
  <c r="GT618" i="23916"/>
  <c r="GU536" i="23916"/>
  <c r="GT538" i="23916"/>
  <c r="GW8" i="23916"/>
  <c r="GV11" i="23916"/>
  <c r="GS622" i="23916"/>
  <c r="GR543" i="23916"/>
  <c r="GS543" i="23916" s="1"/>
  <c r="GR18" i="23916"/>
  <c r="GS18" i="23916" s="1"/>
  <c r="GX273" i="23916"/>
  <c r="GX275" i="23916" l="1"/>
  <c r="GX280" i="23916"/>
  <c r="GX279" i="23916"/>
  <c r="GZ273" i="23916"/>
  <c r="GY273" i="23916"/>
  <c r="GX8" i="23916"/>
  <c r="GV14" i="23916"/>
  <c r="GW11" i="23916"/>
  <c r="GT742" i="23916"/>
  <c r="GT622" i="23916"/>
  <c r="GU618" i="23916"/>
  <c r="GT17" i="23916"/>
  <c r="GU17" i="23916" s="1"/>
  <c r="GR799" i="23916"/>
  <c r="GS614" i="23916"/>
  <c r="GR620" i="23916"/>
  <c r="GS620" i="23916" s="1"/>
  <c r="GR16" i="23916"/>
  <c r="GS16" i="23916" s="1"/>
  <c r="GR589" i="23916"/>
  <c r="GS589" i="23916" s="1"/>
  <c r="GR721" i="23916"/>
  <c r="EX548" i="23916"/>
  <c r="EW552" i="23916"/>
  <c r="GP548" i="23916"/>
  <c r="GS504" i="23916"/>
  <c r="GR506" i="23916"/>
  <c r="EU691" i="23916"/>
  <c r="EV691" i="23916" s="1"/>
  <c r="EU690" i="23916"/>
  <c r="EV690" i="23916" s="1"/>
  <c r="EU659" i="23916"/>
  <c r="EU657" i="23916"/>
  <c r="EU653" i="23916"/>
  <c r="EV653" i="23916" s="1"/>
  <c r="EV655" i="23916"/>
  <c r="EU603" i="23916"/>
  <c r="EU688" i="23916"/>
  <c r="EV688" i="23916" s="1"/>
  <c r="EU687" i="23916"/>
  <c r="EV687" i="23916" s="1"/>
  <c r="EU686" i="23916"/>
  <c r="EV686" i="23916" s="1"/>
  <c r="EU689" i="23916"/>
  <c r="EV689" i="23916" s="1"/>
  <c r="EU685" i="23916"/>
  <c r="EV685" i="23916" s="1"/>
  <c r="EU649" i="23916"/>
  <c r="GZ509" i="23916"/>
  <c r="GY509" i="23916"/>
  <c r="GT553" i="23916"/>
  <c r="GT541" i="23916"/>
  <c r="GU538" i="23916"/>
  <c r="GT511" i="23916"/>
  <c r="GT12" i="23916"/>
  <c r="GV526" i="23916"/>
  <c r="GW523" i="23916"/>
  <c r="EV654" i="23916"/>
  <c r="GR544" i="23916"/>
  <c r="GS544" i="23916" s="1"/>
  <c r="GU511" i="23916" l="1"/>
  <c r="GT504" i="23916"/>
  <c r="EU679" i="23916"/>
  <c r="EV679" i="23916" s="1"/>
  <c r="EU678" i="23916"/>
  <c r="EV678" i="23916" s="1"/>
  <c r="EU675" i="23916"/>
  <c r="EV675" i="23916" s="1"/>
  <c r="EV657" i="23916"/>
  <c r="EU660" i="23916"/>
  <c r="EU673" i="23916"/>
  <c r="EV673" i="23916" s="1"/>
  <c r="EU677" i="23916"/>
  <c r="EV677" i="23916" s="1"/>
  <c r="EU672" i="23916"/>
  <c r="EV672" i="23916" s="1"/>
  <c r="EU676" i="23916"/>
  <c r="EV676" i="23916" s="1"/>
  <c r="EU674" i="23916"/>
  <c r="EV674" i="23916" s="1"/>
  <c r="GS506" i="23916"/>
  <c r="GR508" i="23916"/>
  <c r="GW526" i="23916"/>
  <c r="GV533" i="23916"/>
  <c r="EU695" i="23916"/>
  <c r="EV695" i="23916" s="1"/>
  <c r="EU694" i="23916"/>
  <c r="EV694" i="23916" s="1"/>
  <c r="EU693" i="23916"/>
  <c r="EV693" i="23916" s="1"/>
  <c r="EU662" i="23916"/>
  <c r="EV659" i="23916"/>
  <c r="GU622" i="23916"/>
  <c r="GT543" i="23916"/>
  <c r="GU543" i="23916" s="1"/>
  <c r="GT18" i="23916"/>
  <c r="GU18" i="23916" s="1"/>
  <c r="GW14" i="23916"/>
  <c r="GY279" i="23916"/>
  <c r="GZ279" i="23916"/>
  <c r="GT614" i="23916"/>
  <c r="GT544" i="23916"/>
  <c r="GU544" i="23916" s="1"/>
  <c r="GU541" i="23916"/>
  <c r="GT15" i="23916"/>
  <c r="EV649" i="23916"/>
  <c r="EU650" i="23916"/>
  <c r="EV650" i="23916" s="1"/>
  <c r="GQ548" i="23916"/>
  <c r="GP552" i="23916"/>
  <c r="GZ8" i="23916"/>
  <c r="GY8" i="23916"/>
  <c r="GX11" i="23916"/>
  <c r="GZ280" i="23916"/>
  <c r="GY280" i="23916"/>
  <c r="GU553" i="23916"/>
  <c r="EX552" i="23916"/>
  <c r="EW566" i="23916"/>
  <c r="GX523" i="23916"/>
  <c r="GZ275" i="23916"/>
  <c r="GY275" i="23916"/>
  <c r="GX526" i="23916" l="1"/>
  <c r="GZ523" i="23916"/>
  <c r="GY523" i="23916"/>
  <c r="EV662" i="23916"/>
  <c r="EU669" i="23916"/>
  <c r="EV669" i="23916" s="1"/>
  <c r="GV692" i="23916"/>
  <c r="GW692" i="23916" s="1"/>
  <c r="GV680" i="23916"/>
  <c r="GW680" i="23916" s="1"/>
  <c r="GV583" i="23916"/>
  <c r="GW583" i="23916" s="1"/>
  <c r="GV580" i="23916"/>
  <c r="GW580" i="23916" s="1"/>
  <c r="GV578" i="23916"/>
  <c r="GW578" i="23916" s="1"/>
  <c r="GV576" i="23916"/>
  <c r="GW576" i="23916" s="1"/>
  <c r="GV536" i="23916"/>
  <c r="GV582" i="23916"/>
  <c r="GW582" i="23916" s="1"/>
  <c r="GV579" i="23916"/>
  <c r="GW579" i="23916" s="1"/>
  <c r="GW533" i="23916"/>
  <c r="GV606" i="23916"/>
  <c r="GW606" i="23916" s="1"/>
  <c r="GV555" i="23916"/>
  <c r="GW555" i="23916" s="1"/>
  <c r="GV581" i="23916"/>
  <c r="GW581" i="23916" s="1"/>
  <c r="GV575" i="23916"/>
  <c r="GW575" i="23916" s="1"/>
  <c r="GV572" i="23916"/>
  <c r="GW572" i="23916" s="1"/>
  <c r="GV571" i="23916"/>
  <c r="GW571" i="23916" s="1"/>
  <c r="GV573" i="23916"/>
  <c r="GW573" i="23916" s="1"/>
  <c r="GV574" i="23916"/>
  <c r="EW617" i="23916"/>
  <c r="EX617" i="23916" s="1"/>
  <c r="EX566" i="23916"/>
  <c r="EW568" i="23916"/>
  <c r="EX568" i="23916" s="1"/>
  <c r="EW607" i="23916"/>
  <c r="EX607" i="23916" s="1"/>
  <c r="EW655" i="23916"/>
  <c r="EW654" i="23916"/>
  <c r="GT799" i="23916"/>
  <c r="GT620" i="23916"/>
  <c r="GU620" i="23916" s="1"/>
  <c r="GU614" i="23916"/>
  <c r="GT16" i="23916"/>
  <c r="GU16" i="23916" s="1"/>
  <c r="GT589" i="23916"/>
  <c r="GU589" i="23916" s="1"/>
  <c r="GT721" i="23916"/>
  <c r="EU682" i="23916"/>
  <c r="EV682" i="23916" s="1"/>
  <c r="EU681" i="23916"/>
  <c r="EV681" i="23916" s="1"/>
  <c r="EU663" i="23916"/>
  <c r="EV660" i="23916"/>
  <c r="GQ552" i="23916"/>
  <c r="GP566" i="23916"/>
  <c r="GS508" i="23916"/>
  <c r="GR510" i="23916"/>
  <c r="GU504" i="23916"/>
  <c r="GT506" i="23916"/>
  <c r="GX14" i="23916"/>
  <c r="GZ11" i="23916"/>
  <c r="GY11" i="23916"/>
  <c r="GU506" i="23916" l="1"/>
  <c r="GT508" i="23916"/>
  <c r="GP617" i="23916"/>
  <c r="GQ617" i="23916" s="1"/>
  <c r="GP568" i="23916"/>
  <c r="GQ568" i="23916" s="1"/>
  <c r="GQ566" i="23916"/>
  <c r="GP607" i="23916"/>
  <c r="GQ607" i="23916" s="1"/>
  <c r="GP654" i="23916"/>
  <c r="EX654" i="23916"/>
  <c r="GW574" i="23916"/>
  <c r="GV577" i="23916"/>
  <c r="GW577" i="23916" s="1"/>
  <c r="EW691" i="23916"/>
  <c r="EX691" i="23916" s="1"/>
  <c r="EW690" i="23916"/>
  <c r="EX690" i="23916" s="1"/>
  <c r="EW657" i="23916"/>
  <c r="EW653" i="23916"/>
  <c r="EX653" i="23916" s="1"/>
  <c r="EX655" i="23916"/>
  <c r="EW659" i="23916"/>
  <c r="GP655" i="23916"/>
  <c r="EW603" i="23916"/>
  <c r="EW686" i="23916"/>
  <c r="EX686" i="23916" s="1"/>
  <c r="EW689" i="23916"/>
  <c r="EX689" i="23916" s="1"/>
  <c r="EW688" i="23916"/>
  <c r="EX688" i="23916" s="1"/>
  <c r="EW687" i="23916"/>
  <c r="EX687" i="23916" s="1"/>
  <c r="EW685" i="23916"/>
  <c r="EX685" i="23916" s="1"/>
  <c r="EW649" i="23916"/>
  <c r="GR717" i="23916"/>
  <c r="GR548" i="23916"/>
  <c r="GS510" i="23916"/>
  <c r="GY526" i="23916"/>
  <c r="GZ526" i="23916"/>
  <c r="GX533" i="23916"/>
  <c r="GZ14" i="23916"/>
  <c r="GY14" i="23916"/>
  <c r="EV663" i="23916"/>
  <c r="EU666" i="23916"/>
  <c r="EV666" i="23916" s="1"/>
  <c r="EU747" i="23916"/>
  <c r="EU667" i="23916"/>
  <c r="EV667" i="23916" s="1"/>
  <c r="EU668" i="23916"/>
  <c r="EV668" i="23916" s="1"/>
  <c r="GV741" i="23916"/>
  <c r="GV618" i="23916"/>
  <c r="GV538" i="23916"/>
  <c r="GW536" i="23916"/>
  <c r="GX692" i="23916" l="1"/>
  <c r="GX680" i="23916"/>
  <c r="GX579" i="23916"/>
  <c r="GX582" i="23916"/>
  <c r="GX583" i="23916"/>
  <c r="GX580" i="23916"/>
  <c r="GX578" i="23916"/>
  <c r="GZ533" i="23916"/>
  <c r="GX536" i="23916"/>
  <c r="GX576" i="23916"/>
  <c r="GY533" i="23916"/>
  <c r="GX606" i="23916"/>
  <c r="GX555" i="23916"/>
  <c r="GX581" i="23916"/>
  <c r="GX575" i="23916"/>
  <c r="GX572" i="23916"/>
  <c r="GX571" i="23916"/>
  <c r="GX573" i="23916"/>
  <c r="GX574" i="23916"/>
  <c r="GS548" i="23916"/>
  <c r="GR552" i="23916"/>
  <c r="GW538" i="23916"/>
  <c r="GV553" i="23916"/>
  <c r="GV541" i="23916"/>
  <c r="GV511" i="23916"/>
  <c r="GV12" i="23916"/>
  <c r="GP691" i="23916"/>
  <c r="GQ691" i="23916" s="1"/>
  <c r="GP690" i="23916"/>
  <c r="GQ690" i="23916" s="1"/>
  <c r="GQ655" i="23916"/>
  <c r="GP657" i="23916"/>
  <c r="GP653" i="23916"/>
  <c r="GQ653" i="23916" s="1"/>
  <c r="GP603" i="23916"/>
  <c r="GP662" i="23916"/>
  <c r="GP688" i="23916"/>
  <c r="GQ688" i="23916" s="1"/>
  <c r="GP687" i="23916"/>
  <c r="GQ687" i="23916" s="1"/>
  <c r="GP686" i="23916"/>
  <c r="GQ686" i="23916" s="1"/>
  <c r="GP689" i="23916"/>
  <c r="GQ689" i="23916" s="1"/>
  <c r="GP685" i="23916"/>
  <c r="GQ685" i="23916" s="1"/>
  <c r="GP649" i="23916"/>
  <c r="EW679" i="23916"/>
  <c r="EX679" i="23916" s="1"/>
  <c r="EW678" i="23916"/>
  <c r="EX678" i="23916" s="1"/>
  <c r="EW675" i="23916"/>
  <c r="EX675" i="23916" s="1"/>
  <c r="EW660" i="23916"/>
  <c r="EX657" i="23916"/>
  <c r="EW673" i="23916"/>
  <c r="EX673" i="23916" s="1"/>
  <c r="EW676" i="23916"/>
  <c r="EX676" i="23916" s="1"/>
  <c r="EW672" i="23916"/>
  <c r="EX672" i="23916" s="1"/>
  <c r="EW677" i="23916"/>
  <c r="EX677" i="23916" s="1"/>
  <c r="EW674" i="23916"/>
  <c r="EX674" i="23916" s="1"/>
  <c r="GV742" i="23916"/>
  <c r="GW618" i="23916"/>
  <c r="GV622" i="23916"/>
  <c r="GV17" i="23916"/>
  <c r="GW17" i="23916" s="1"/>
  <c r="EX649" i="23916"/>
  <c r="EW650" i="23916"/>
  <c r="EX650" i="23916" s="1"/>
  <c r="EW695" i="23916"/>
  <c r="EX695" i="23916" s="1"/>
  <c r="EW694" i="23916"/>
  <c r="EX694" i="23916" s="1"/>
  <c r="EW693" i="23916"/>
  <c r="EX693" i="23916" s="1"/>
  <c r="EX659" i="23916"/>
  <c r="GP659" i="23916"/>
  <c r="EW662" i="23916"/>
  <c r="GU508" i="23916"/>
  <c r="GT510" i="23916"/>
  <c r="GQ654" i="23916"/>
  <c r="GP695" i="23916" l="1"/>
  <c r="GQ695" i="23916" s="1"/>
  <c r="GP693" i="23916"/>
  <c r="GQ693" i="23916" s="1"/>
  <c r="GP694" i="23916"/>
  <c r="GQ694" i="23916" s="1"/>
  <c r="GQ659" i="23916"/>
  <c r="GW622" i="23916"/>
  <c r="GV543" i="23916"/>
  <c r="GW543" i="23916" s="1"/>
  <c r="GV18" i="23916"/>
  <c r="GW18" i="23916" s="1"/>
  <c r="GZ572" i="23916"/>
  <c r="GY572" i="23916"/>
  <c r="GZ606" i="23916"/>
  <c r="GY606" i="23916"/>
  <c r="GY582" i="23916"/>
  <c r="GZ582" i="23916"/>
  <c r="GT717" i="23916"/>
  <c r="GT548" i="23916"/>
  <c r="GU510" i="23916"/>
  <c r="EW682" i="23916"/>
  <c r="EX682" i="23916" s="1"/>
  <c r="EW681" i="23916"/>
  <c r="EX681" i="23916" s="1"/>
  <c r="EW663" i="23916"/>
  <c r="EX660" i="23916"/>
  <c r="GP660" i="23916"/>
  <c r="GQ649" i="23916"/>
  <c r="GP650" i="23916"/>
  <c r="GQ650" i="23916" s="1"/>
  <c r="GW511" i="23916"/>
  <c r="GV504" i="23916"/>
  <c r="GZ574" i="23916"/>
  <c r="GX577" i="23916"/>
  <c r="GY574" i="23916"/>
  <c r="GY575" i="23916"/>
  <c r="GZ575" i="23916"/>
  <c r="GZ578" i="23916"/>
  <c r="GY578" i="23916"/>
  <c r="GZ579" i="23916"/>
  <c r="GY579" i="23916"/>
  <c r="GP681" i="23916"/>
  <c r="GQ681" i="23916" s="1"/>
  <c r="GP679" i="23916"/>
  <c r="GQ679" i="23916" s="1"/>
  <c r="GP675" i="23916"/>
  <c r="GQ675" i="23916" s="1"/>
  <c r="GP678" i="23916"/>
  <c r="GQ678" i="23916" s="1"/>
  <c r="GQ657" i="23916"/>
  <c r="GP676" i="23916"/>
  <c r="GQ676" i="23916" s="1"/>
  <c r="GP674" i="23916"/>
  <c r="GQ674" i="23916" s="1"/>
  <c r="GP673" i="23916"/>
  <c r="GQ673" i="23916" s="1"/>
  <c r="GP677" i="23916"/>
  <c r="GQ677" i="23916" s="1"/>
  <c r="GP663" i="23916"/>
  <c r="GP672" i="23916"/>
  <c r="GQ672" i="23916" s="1"/>
  <c r="GV614" i="23916"/>
  <c r="GV544" i="23916"/>
  <c r="GW544" i="23916" s="1"/>
  <c r="GW541" i="23916"/>
  <c r="GV15" i="23916"/>
  <c r="GZ573" i="23916"/>
  <c r="GY573" i="23916"/>
  <c r="GY581" i="23916"/>
  <c r="GZ581" i="23916"/>
  <c r="GZ576" i="23916"/>
  <c r="GY576" i="23916"/>
  <c r="GZ580" i="23916"/>
  <c r="GY580" i="23916"/>
  <c r="GY680" i="23916"/>
  <c r="GZ680" i="23916"/>
  <c r="EX662" i="23916"/>
  <c r="EW669" i="23916"/>
  <c r="EX669" i="23916" s="1"/>
  <c r="GQ662" i="23916"/>
  <c r="GP669" i="23916"/>
  <c r="GQ669" i="23916" s="1"/>
  <c r="GV566" i="23916"/>
  <c r="GW553" i="23916"/>
  <c r="GS552" i="23916"/>
  <c r="GR566" i="23916"/>
  <c r="GZ571" i="23916"/>
  <c r="GY571" i="23916"/>
  <c r="GZ555" i="23916"/>
  <c r="GY555" i="23916"/>
  <c r="GX741" i="23916"/>
  <c r="GX618" i="23916"/>
  <c r="GY536" i="23916"/>
  <c r="GZ536" i="23916"/>
  <c r="GX538" i="23916"/>
  <c r="GY583" i="23916"/>
  <c r="GZ583" i="23916"/>
  <c r="GZ692" i="23916"/>
  <c r="GY692" i="23916"/>
  <c r="GX742" i="23916" l="1"/>
  <c r="GX622" i="23916"/>
  <c r="GZ618" i="23916"/>
  <c r="GY618" i="23916"/>
  <c r="GX17" i="23916"/>
  <c r="GZ538" i="23916"/>
  <c r="GX553" i="23916"/>
  <c r="GX541" i="23916"/>
  <c r="GY538" i="23916"/>
  <c r="GX511" i="23916"/>
  <c r="GX12" i="23916"/>
  <c r="GV617" i="23916"/>
  <c r="GV568" i="23916"/>
  <c r="GV607" i="23916"/>
  <c r="GZ577" i="23916"/>
  <c r="GY577" i="23916"/>
  <c r="EX663" i="23916"/>
  <c r="EW666" i="23916"/>
  <c r="EX666" i="23916" s="1"/>
  <c r="EW747" i="23916"/>
  <c r="EW667" i="23916"/>
  <c r="EX667" i="23916" s="1"/>
  <c r="EW668" i="23916"/>
  <c r="EX668" i="23916" s="1"/>
  <c r="GU548" i="23916"/>
  <c r="GW548" i="23916"/>
  <c r="GT552" i="23916"/>
  <c r="GR617" i="23916"/>
  <c r="GS617" i="23916" s="1"/>
  <c r="GS566" i="23916"/>
  <c r="GR568" i="23916"/>
  <c r="GS568" i="23916" s="1"/>
  <c r="GR607" i="23916"/>
  <c r="GS607" i="23916" s="1"/>
  <c r="GR655" i="23916"/>
  <c r="GR654" i="23916"/>
  <c r="GV799" i="23916"/>
  <c r="GV620" i="23916"/>
  <c r="GW620" i="23916" s="1"/>
  <c r="GW614" i="23916"/>
  <c r="GV16" i="23916"/>
  <c r="GW16" i="23916" s="1"/>
  <c r="GV589" i="23916"/>
  <c r="GW589" i="23916" s="1"/>
  <c r="GV721" i="23916"/>
  <c r="GQ663" i="23916"/>
  <c r="GP666" i="23916"/>
  <c r="GQ666" i="23916" s="1"/>
  <c r="GP747" i="23916"/>
  <c r="GP667" i="23916"/>
  <c r="GQ667" i="23916" s="1"/>
  <c r="GP668" i="23916"/>
  <c r="GQ668" i="23916" s="1"/>
  <c r="GW504" i="23916"/>
  <c r="GV506" i="23916"/>
  <c r="GP682" i="23916"/>
  <c r="GQ682" i="23916" s="1"/>
  <c r="GQ660" i="23916"/>
  <c r="GR690" i="23916" l="1"/>
  <c r="GS690" i="23916" s="1"/>
  <c r="GR691" i="23916"/>
  <c r="GS691" i="23916" s="1"/>
  <c r="GS655" i="23916"/>
  <c r="GR657" i="23916"/>
  <c r="GR653" i="23916"/>
  <c r="GS653" i="23916" s="1"/>
  <c r="GR659" i="23916"/>
  <c r="GR603" i="23916"/>
  <c r="GR686" i="23916"/>
  <c r="GS686" i="23916" s="1"/>
  <c r="GR689" i="23916"/>
  <c r="GS689" i="23916" s="1"/>
  <c r="GR688" i="23916"/>
  <c r="GS688" i="23916" s="1"/>
  <c r="GR687" i="23916"/>
  <c r="GS687" i="23916" s="1"/>
  <c r="GR685" i="23916"/>
  <c r="GS685" i="23916" s="1"/>
  <c r="GR649" i="23916"/>
  <c r="GR662" i="23916"/>
  <c r="GZ511" i="23916"/>
  <c r="GY511" i="23916"/>
  <c r="GX504" i="23916"/>
  <c r="GW506" i="23916"/>
  <c r="GV508" i="23916"/>
  <c r="GX614" i="23916"/>
  <c r="GY541" i="23916"/>
  <c r="GZ541" i="23916"/>
  <c r="GX15" i="23916"/>
  <c r="GZ622" i="23916"/>
  <c r="GY622" i="23916"/>
  <c r="GX543" i="23916"/>
  <c r="GX544" i="23916" s="1"/>
  <c r="GX18" i="23916"/>
  <c r="GS654" i="23916"/>
  <c r="GU552" i="23916"/>
  <c r="GW552" i="23916"/>
  <c r="GT566" i="23916"/>
  <c r="GX566" i="23916"/>
  <c r="GZ553" i="23916"/>
  <c r="GY553" i="23916"/>
  <c r="GZ17" i="23916"/>
  <c r="GY17" i="23916"/>
  <c r="GZ544" i="23916" l="1"/>
  <c r="GY544" i="23916"/>
  <c r="GT617" i="23916"/>
  <c r="GT568" i="23916"/>
  <c r="GU566" i="23916"/>
  <c r="GT607" i="23916"/>
  <c r="GW566" i="23916"/>
  <c r="GT654" i="23916"/>
  <c r="GZ504" i="23916"/>
  <c r="GY504" i="23916"/>
  <c r="GX506" i="23916"/>
  <c r="GS662" i="23916"/>
  <c r="GR669" i="23916"/>
  <c r="GS669" i="23916" s="1"/>
  <c r="GT655" i="23916"/>
  <c r="GZ18" i="23916"/>
  <c r="GY18" i="23916"/>
  <c r="GX799" i="23916"/>
  <c r="GZ614" i="23916"/>
  <c r="GX620" i="23916"/>
  <c r="GY614" i="23916"/>
  <c r="GX16" i="23916"/>
  <c r="GX589" i="23916"/>
  <c r="GX721" i="23916"/>
  <c r="GW508" i="23916"/>
  <c r="GV510" i="23916"/>
  <c r="GS649" i="23916"/>
  <c r="GR650" i="23916"/>
  <c r="GS650" i="23916" s="1"/>
  <c r="GR694" i="23916"/>
  <c r="GS694" i="23916" s="1"/>
  <c r="GR695" i="23916"/>
  <c r="GS695" i="23916" s="1"/>
  <c r="GR693" i="23916"/>
  <c r="GS693" i="23916" s="1"/>
  <c r="GS659" i="23916"/>
  <c r="GY543" i="23916"/>
  <c r="GZ543" i="23916"/>
  <c r="GX617" i="23916"/>
  <c r="GZ566" i="23916"/>
  <c r="GX568" i="23916"/>
  <c r="GY566" i="23916"/>
  <c r="GX607" i="23916"/>
  <c r="GR681" i="23916"/>
  <c r="GS681" i="23916" s="1"/>
  <c r="GR679" i="23916"/>
  <c r="GS679" i="23916" s="1"/>
  <c r="GR675" i="23916"/>
  <c r="GS675" i="23916" s="1"/>
  <c r="GS657" i="23916"/>
  <c r="GR678" i="23916"/>
  <c r="GS678" i="23916" s="1"/>
  <c r="GR660" i="23916"/>
  <c r="GR674" i="23916"/>
  <c r="GS674" i="23916" s="1"/>
  <c r="GR672" i="23916"/>
  <c r="GS672" i="23916" s="1"/>
  <c r="GR677" i="23916"/>
  <c r="GS677" i="23916" s="1"/>
  <c r="GR676" i="23916"/>
  <c r="GS676" i="23916" s="1"/>
  <c r="GR673" i="23916"/>
  <c r="GS673" i="23916" s="1"/>
  <c r="GR663" i="23916"/>
  <c r="GZ568" i="23916" l="1"/>
  <c r="GY568" i="23916"/>
  <c r="GZ589" i="23916"/>
  <c r="GY589" i="23916"/>
  <c r="GT691" i="23916"/>
  <c r="GU691" i="23916" s="1"/>
  <c r="GT690" i="23916"/>
  <c r="GU690" i="23916" s="1"/>
  <c r="GT659" i="23916"/>
  <c r="GV655" i="23916"/>
  <c r="GV662" i="23916" s="1"/>
  <c r="GT657" i="23916"/>
  <c r="GU655" i="23916"/>
  <c r="GT653" i="23916"/>
  <c r="GU653" i="23916" s="1"/>
  <c r="GT603" i="23916"/>
  <c r="GT687" i="23916"/>
  <c r="GU687" i="23916" s="1"/>
  <c r="GT686" i="23916"/>
  <c r="GU686" i="23916" s="1"/>
  <c r="GT689" i="23916"/>
  <c r="GU689" i="23916" s="1"/>
  <c r="GT688" i="23916"/>
  <c r="GU688" i="23916" s="1"/>
  <c r="GT685" i="23916"/>
  <c r="GU685" i="23916" s="1"/>
  <c r="GT649" i="23916"/>
  <c r="GT662" i="23916"/>
  <c r="GU607" i="23916"/>
  <c r="GW607" i="23916"/>
  <c r="GS663" i="23916"/>
  <c r="GR666" i="23916"/>
  <c r="GS666" i="23916" s="1"/>
  <c r="GR747" i="23916"/>
  <c r="GR667" i="23916"/>
  <c r="GS667" i="23916" s="1"/>
  <c r="GR668" i="23916"/>
  <c r="GS668" i="23916" s="1"/>
  <c r="GV717" i="23916"/>
  <c r="GW510" i="23916"/>
  <c r="GY16" i="23916"/>
  <c r="GZ16" i="23916"/>
  <c r="GY607" i="23916"/>
  <c r="GZ607" i="23916"/>
  <c r="GZ617" i="23916"/>
  <c r="GY617" i="23916"/>
  <c r="GV654" i="23916"/>
  <c r="GU654" i="23916"/>
  <c r="GU568" i="23916"/>
  <c r="GW568" i="23916"/>
  <c r="GR682" i="23916"/>
  <c r="GS682" i="23916" s="1"/>
  <c r="GS660" i="23916"/>
  <c r="GZ620" i="23916"/>
  <c r="GY620" i="23916"/>
  <c r="GY506" i="23916"/>
  <c r="GZ506" i="23916"/>
  <c r="GX508" i="23916"/>
  <c r="GU617" i="23916"/>
  <c r="GW617" i="23916"/>
  <c r="GW662" i="23916" l="1"/>
  <c r="GV669" i="23916"/>
  <c r="GX654" i="23916"/>
  <c r="GW654" i="23916"/>
  <c r="GU662" i="23916"/>
  <c r="GT669" i="23916"/>
  <c r="GU669" i="23916" s="1"/>
  <c r="GT695" i="23916"/>
  <c r="GU695" i="23916" s="1"/>
  <c r="GT693" i="23916"/>
  <c r="GU693" i="23916" s="1"/>
  <c r="GT694" i="23916"/>
  <c r="GU694" i="23916" s="1"/>
  <c r="GU659" i="23916"/>
  <c r="GU649" i="23916"/>
  <c r="GT650" i="23916"/>
  <c r="GU650" i="23916" s="1"/>
  <c r="GZ508" i="23916"/>
  <c r="GY508" i="23916"/>
  <c r="GX510" i="23916"/>
  <c r="GT681" i="23916"/>
  <c r="GU681" i="23916" s="1"/>
  <c r="GT679" i="23916"/>
  <c r="GU679" i="23916" s="1"/>
  <c r="GT675" i="23916"/>
  <c r="GU675" i="23916" s="1"/>
  <c r="GT678" i="23916"/>
  <c r="GU678" i="23916" s="1"/>
  <c r="GU657" i="23916"/>
  <c r="GT660" i="23916"/>
  <c r="GT676" i="23916"/>
  <c r="GU676" i="23916" s="1"/>
  <c r="GT677" i="23916"/>
  <c r="GU677" i="23916" s="1"/>
  <c r="GT674" i="23916"/>
  <c r="GU674" i="23916" s="1"/>
  <c r="GT673" i="23916"/>
  <c r="GU673" i="23916" s="1"/>
  <c r="GT672" i="23916"/>
  <c r="GU672" i="23916" s="1"/>
  <c r="GT663" i="23916"/>
  <c r="GV690" i="23916"/>
  <c r="GW690" i="23916" s="1"/>
  <c r="GV691" i="23916"/>
  <c r="GW691" i="23916" s="1"/>
  <c r="GV659" i="23916"/>
  <c r="GW655" i="23916"/>
  <c r="GV653" i="23916"/>
  <c r="GW653" i="23916" s="1"/>
  <c r="GV657" i="23916"/>
  <c r="GV663" i="23916" s="1"/>
  <c r="GX655" i="23916"/>
  <c r="GV603" i="23916"/>
  <c r="GV686" i="23916"/>
  <c r="GW686" i="23916" s="1"/>
  <c r="GV689" i="23916"/>
  <c r="GW689" i="23916" s="1"/>
  <c r="GV688" i="23916"/>
  <c r="GW688" i="23916" s="1"/>
  <c r="GV687" i="23916"/>
  <c r="GW687" i="23916" s="1"/>
  <c r="GV685" i="23916"/>
  <c r="GW685" i="23916" s="1"/>
  <c r="GV649" i="23916"/>
  <c r="GW663" i="23916" l="1"/>
  <c r="GV666" i="23916"/>
  <c r="GV747" i="23916"/>
  <c r="GV667" i="23916"/>
  <c r="GV668" i="23916"/>
  <c r="GX691" i="23916"/>
  <c r="GX690" i="23916"/>
  <c r="GX659" i="23916"/>
  <c r="GZ655" i="23916"/>
  <c r="GX657" i="23916"/>
  <c r="GY655" i="23916"/>
  <c r="GX653" i="23916"/>
  <c r="GX603" i="23916"/>
  <c r="GX688" i="23916"/>
  <c r="GX687" i="23916"/>
  <c r="GX686" i="23916"/>
  <c r="GX689" i="23916"/>
  <c r="GX685" i="23916"/>
  <c r="GX649" i="23916"/>
  <c r="GV694" i="23916"/>
  <c r="GW694" i="23916" s="1"/>
  <c r="GV695" i="23916"/>
  <c r="GW695" i="23916" s="1"/>
  <c r="GV693" i="23916"/>
  <c r="GW693" i="23916" s="1"/>
  <c r="GW659" i="23916"/>
  <c r="GU663" i="23916"/>
  <c r="GT666" i="23916"/>
  <c r="GU666" i="23916" s="1"/>
  <c r="GT747" i="23916"/>
  <c r="GT667" i="23916"/>
  <c r="GU667" i="23916" s="1"/>
  <c r="GT668" i="23916"/>
  <c r="GU668" i="23916" s="1"/>
  <c r="GW649" i="23916"/>
  <c r="GV650" i="23916"/>
  <c r="GW650" i="23916" s="1"/>
  <c r="GV681" i="23916"/>
  <c r="GW681" i="23916" s="1"/>
  <c r="GV679" i="23916"/>
  <c r="GW679" i="23916" s="1"/>
  <c r="GX663" i="23916"/>
  <c r="GV675" i="23916"/>
  <c r="GW675" i="23916" s="1"/>
  <c r="GV678" i="23916"/>
  <c r="GW678" i="23916" s="1"/>
  <c r="GW657" i="23916"/>
  <c r="GV660" i="23916"/>
  <c r="GV676" i="23916"/>
  <c r="GW676" i="23916" s="1"/>
  <c r="GV674" i="23916"/>
  <c r="GW674" i="23916" s="1"/>
  <c r="GV677" i="23916"/>
  <c r="GW677" i="23916" s="1"/>
  <c r="GV672" i="23916"/>
  <c r="GW672" i="23916" s="1"/>
  <c r="GV673" i="23916"/>
  <c r="GW673" i="23916" s="1"/>
  <c r="GX662" i="23916"/>
  <c r="GX717" i="23916"/>
  <c r="GZ510" i="23916"/>
  <c r="GY510" i="23916"/>
  <c r="GZ654" i="23916"/>
  <c r="GY654" i="23916"/>
  <c r="GT682" i="23916"/>
  <c r="GU682" i="23916" s="1"/>
  <c r="GU660" i="23916"/>
  <c r="GW669" i="23916"/>
  <c r="GZ686" i="23916" l="1"/>
  <c r="GY686" i="23916"/>
  <c r="GZ653" i="23916"/>
  <c r="GY653" i="23916"/>
  <c r="GX695" i="23916"/>
  <c r="GX693" i="23916"/>
  <c r="GX694" i="23916"/>
  <c r="GZ659" i="23916"/>
  <c r="GY659" i="23916"/>
  <c r="GW667" i="23916"/>
  <c r="GZ662" i="23916"/>
  <c r="GY662" i="23916"/>
  <c r="GX669" i="23916"/>
  <c r="GZ649" i="23916"/>
  <c r="GY649" i="23916"/>
  <c r="GX650" i="23916"/>
  <c r="GZ687" i="23916"/>
  <c r="GY687" i="23916"/>
  <c r="GZ690" i="23916"/>
  <c r="GY690" i="23916"/>
  <c r="GY685" i="23916"/>
  <c r="GZ685" i="23916"/>
  <c r="GZ688" i="23916"/>
  <c r="GY688" i="23916"/>
  <c r="GX681" i="23916"/>
  <c r="GX679" i="23916"/>
  <c r="GX675" i="23916"/>
  <c r="GZ657" i="23916"/>
  <c r="GX678" i="23916"/>
  <c r="GY657" i="23916"/>
  <c r="GX660" i="23916"/>
  <c r="GX673" i="23916"/>
  <c r="GX672" i="23916"/>
  <c r="GX677" i="23916"/>
  <c r="GX676" i="23916"/>
  <c r="GX674" i="23916"/>
  <c r="GZ691" i="23916"/>
  <c r="GY691" i="23916"/>
  <c r="GW666" i="23916"/>
  <c r="GV682" i="23916"/>
  <c r="GW682" i="23916" s="1"/>
  <c r="GW660" i="23916"/>
  <c r="GZ663" i="23916"/>
  <c r="GY663" i="23916"/>
  <c r="GX666" i="23916"/>
  <c r="GX747" i="23916"/>
  <c r="GX667" i="23916"/>
  <c r="GX668" i="23916"/>
  <c r="GY689" i="23916"/>
  <c r="GZ689" i="23916"/>
  <c r="GW668" i="23916"/>
  <c r="GZ666" i="23916" l="1"/>
  <c r="GY666" i="23916"/>
  <c r="GY674" i="23916"/>
  <c r="GZ674" i="23916"/>
  <c r="GZ673" i="23916"/>
  <c r="GY673" i="23916"/>
  <c r="GZ650" i="23916"/>
  <c r="GY650" i="23916"/>
  <c r="GY668" i="23916"/>
  <c r="GZ668" i="23916"/>
  <c r="GZ676" i="23916"/>
  <c r="GY676" i="23916"/>
  <c r="GX682" i="23916"/>
  <c r="GZ660" i="23916"/>
  <c r="GY660" i="23916"/>
  <c r="GZ675" i="23916"/>
  <c r="GY675" i="23916"/>
  <c r="GY694" i="23916"/>
  <c r="GZ694" i="23916"/>
  <c r="GZ667" i="23916"/>
  <c r="GY667" i="23916"/>
  <c r="GZ677" i="23916"/>
  <c r="GY677" i="23916"/>
  <c r="GZ679" i="23916"/>
  <c r="GY679" i="23916"/>
  <c r="GZ693" i="23916"/>
  <c r="GY693" i="23916"/>
  <c r="GZ672" i="23916"/>
  <c r="GY672" i="23916"/>
  <c r="GY678" i="23916"/>
  <c r="GZ678" i="23916"/>
  <c r="GZ681" i="23916"/>
  <c r="GY681" i="23916"/>
  <c r="GZ669" i="23916"/>
  <c r="GY669" i="23916"/>
  <c r="GY695" i="23916"/>
  <c r="GZ695" i="23916"/>
  <c r="GY682" i="23916" l="1"/>
  <c r="GZ682" i="23916"/>
  <c r="AF9" i="24158" l="1"/>
  <c r="AF8" i="24158"/>
  <c r="AF7" i="24158"/>
  <c r="AF6" i="24158"/>
  <c r="AE9" i="24158"/>
  <c r="AE8" i="24158"/>
  <c r="AE7" i="24158"/>
  <c r="AE6" i="24158"/>
  <c r="U2" i="24158" l="1"/>
  <c r="T2" i="24158"/>
  <c r="U9" i="24158" l="1"/>
  <c r="T9" i="24158"/>
  <c r="T7" i="24158" l="1"/>
  <c r="U7" i="24158" l="1"/>
  <c r="U8" i="24158" s="1"/>
  <c r="AG8" i="24158" l="1"/>
  <c r="EL493" i="24142" l="1"/>
  <c r="EK493" i="24142"/>
  <c r="EK230" i="24142"/>
  <c r="EL210" i="24142"/>
  <c r="EK210" i="24142"/>
  <c r="EL209" i="24142"/>
  <c r="EK209" i="24142"/>
  <c r="EL208" i="24142"/>
  <c r="EK208" i="24142"/>
  <c r="EK22" i="24142"/>
  <c r="EK18" i="24142"/>
  <c r="EL16" i="24142"/>
  <c r="EK16" i="24142"/>
  <c r="EL15" i="24142"/>
  <c r="EK15" i="24142"/>
  <c r="EL13" i="24142"/>
  <c r="EK13" i="24142"/>
  <c r="EL5" i="24142"/>
  <c r="EL478" i="24142" s="1"/>
  <c r="EK5" i="24142"/>
  <c r="EK58" i="24142" s="1"/>
  <c r="ED493" i="24142"/>
  <c r="EC493" i="24142"/>
  <c r="ED210" i="24142"/>
  <c r="EC210" i="24142"/>
  <c r="ED209" i="24142"/>
  <c r="EC209" i="24142"/>
  <c r="ED208" i="24142"/>
  <c r="EC208" i="24142"/>
  <c r="ED16" i="24142"/>
  <c r="EC16" i="24142"/>
  <c r="ED15" i="24142"/>
  <c r="EC15" i="24142"/>
  <c r="ED13" i="24142"/>
  <c r="EC13" i="24142"/>
  <c r="ED5" i="24142"/>
  <c r="ED58" i="24142" s="1"/>
  <c r="EC5" i="24142"/>
  <c r="EC478" i="24142" s="1"/>
  <c r="DA493" i="24142"/>
  <c r="CZ493" i="24142"/>
  <c r="CY493" i="24142"/>
  <c r="CX493" i="24142"/>
  <c r="CW493" i="24142"/>
  <c r="CV493" i="24142"/>
  <c r="CU493" i="24142"/>
  <c r="CT493" i="24142"/>
  <c r="CZ230" i="24142"/>
  <c r="CX230" i="24142"/>
  <c r="CV230" i="24142"/>
  <c r="CT230" i="24142"/>
  <c r="CZ210" i="24142"/>
  <c r="CX210" i="24142"/>
  <c r="CV210" i="24142"/>
  <c r="CT210" i="24142"/>
  <c r="CZ209" i="24142"/>
  <c r="CX209" i="24142"/>
  <c r="CV209" i="24142"/>
  <c r="CT209" i="24142"/>
  <c r="CZ208" i="24142"/>
  <c r="CX208" i="24142"/>
  <c r="CV208" i="24142"/>
  <c r="CT208" i="24142"/>
  <c r="CZ22" i="24142"/>
  <c r="CX22" i="24142"/>
  <c r="CV22" i="24142"/>
  <c r="CT22" i="24142"/>
  <c r="CZ18" i="24142"/>
  <c r="CX18" i="24142"/>
  <c r="CV18" i="24142"/>
  <c r="CT18" i="24142"/>
  <c r="DA16" i="24142"/>
  <c r="CZ16" i="24142"/>
  <c r="CY16" i="24142"/>
  <c r="CX16" i="24142"/>
  <c r="CW16" i="24142"/>
  <c r="CV16" i="24142"/>
  <c r="CU16" i="24142"/>
  <c r="CT16" i="24142"/>
  <c r="DA15" i="24142"/>
  <c r="CZ15" i="24142"/>
  <c r="CY15" i="24142"/>
  <c r="CX15" i="24142"/>
  <c r="CW15" i="24142"/>
  <c r="CV15" i="24142"/>
  <c r="CU15" i="24142"/>
  <c r="CT15" i="24142"/>
  <c r="DA13" i="24142"/>
  <c r="CZ13" i="24142"/>
  <c r="CY13" i="24142"/>
  <c r="CX13" i="24142"/>
  <c r="CW13" i="24142"/>
  <c r="CV13" i="24142"/>
  <c r="CU13" i="24142"/>
  <c r="CT13" i="24142"/>
  <c r="DA5" i="24142"/>
  <c r="CZ5" i="24142"/>
  <c r="CY5" i="24142"/>
  <c r="CX5" i="24142"/>
  <c r="CW5" i="24142"/>
  <c r="CV5" i="24142"/>
  <c r="CU5" i="24142"/>
  <c r="CT5" i="24142"/>
  <c r="EL148" i="23917"/>
  <c r="EK148" i="23917"/>
  <c r="EL147" i="23917"/>
  <c r="EK147" i="23917"/>
  <c r="EL146" i="23917"/>
  <c r="EK146" i="23917"/>
  <c r="EK42" i="23917"/>
  <c r="EK41" i="23917"/>
  <c r="EK40" i="23917"/>
  <c r="EK25" i="23917"/>
  <c r="EK18" i="23917"/>
  <c r="EL16" i="23917"/>
  <c r="EK16" i="23917"/>
  <c r="EL15" i="23917"/>
  <c r="EK15" i="23917"/>
  <c r="EL13" i="23917"/>
  <c r="EK13" i="23917"/>
  <c r="EL5" i="23917"/>
  <c r="EL325" i="23917" s="1"/>
  <c r="EK5" i="23917"/>
  <c r="ED148" i="23917"/>
  <c r="EC148" i="23917"/>
  <c r="ED147" i="23917"/>
  <c r="EC147" i="23917"/>
  <c r="ED146" i="23917"/>
  <c r="EC146" i="23917"/>
  <c r="ED16" i="23917"/>
  <c r="EC16" i="23917"/>
  <c r="ED15" i="23917"/>
  <c r="EC15" i="23917"/>
  <c r="ED13" i="23917"/>
  <c r="EC13" i="23917"/>
  <c r="ED5" i="23917"/>
  <c r="ED544" i="23917" s="1"/>
  <c r="EC5" i="23917"/>
  <c r="EC325" i="23917" s="1"/>
  <c r="CZ554" i="23917"/>
  <c r="CX554" i="23917"/>
  <c r="CV554" i="23917"/>
  <c r="CT554" i="23917"/>
  <c r="CZ254" i="23917"/>
  <c r="CX254" i="23917"/>
  <c r="CV254" i="23917"/>
  <c r="CT254" i="23917"/>
  <c r="CZ244" i="23917"/>
  <c r="CX244" i="23917"/>
  <c r="CV244" i="23917"/>
  <c r="CT244" i="23917"/>
  <c r="CZ148" i="23917"/>
  <c r="CX148" i="23917"/>
  <c r="CV148" i="23917"/>
  <c r="CT148" i="23917"/>
  <c r="CZ147" i="23917"/>
  <c r="CX147" i="23917"/>
  <c r="CV147" i="23917"/>
  <c r="CT147" i="23917"/>
  <c r="CZ146" i="23917"/>
  <c r="CX146" i="23917"/>
  <c r="CV146" i="23917"/>
  <c r="CT146" i="23917"/>
  <c r="CZ42" i="23917"/>
  <c r="CX42" i="23917"/>
  <c r="CV42" i="23917"/>
  <c r="CT42" i="23917"/>
  <c r="CZ41" i="23917"/>
  <c r="CX41" i="23917"/>
  <c r="CV41" i="23917"/>
  <c r="CT41" i="23917"/>
  <c r="CZ25" i="23917"/>
  <c r="CX25" i="23917"/>
  <c r="CV25" i="23917"/>
  <c r="CT25" i="23917"/>
  <c r="CZ18" i="23917"/>
  <c r="CX18" i="23917"/>
  <c r="CV18" i="23917"/>
  <c r="CT18" i="23917"/>
  <c r="DA16" i="23917"/>
  <c r="CZ16" i="23917"/>
  <c r="CY16" i="23917"/>
  <c r="CX16" i="23917"/>
  <c r="CW16" i="23917"/>
  <c r="CV16" i="23917"/>
  <c r="CU16" i="23917"/>
  <c r="CT16" i="23917"/>
  <c r="DA15" i="23917"/>
  <c r="CZ15" i="23917"/>
  <c r="CY15" i="23917"/>
  <c r="CX15" i="23917"/>
  <c r="CW15" i="23917"/>
  <c r="CV15" i="23917"/>
  <c r="CU15" i="23917"/>
  <c r="CT15" i="23917"/>
  <c r="CZ13" i="23917"/>
  <c r="CX13" i="23917"/>
  <c r="CV13" i="23917"/>
  <c r="CT13" i="23917"/>
  <c r="DA5" i="23917"/>
  <c r="CZ5" i="23917"/>
  <c r="CZ544" i="23917" s="1"/>
  <c r="CY5" i="23917"/>
  <c r="CY161" i="23917" s="1"/>
  <c r="CX5" i="23917"/>
  <c r="CX161" i="23917" s="1"/>
  <c r="CW5" i="23917"/>
  <c r="CV5" i="23917"/>
  <c r="CV544" i="23917" s="1"/>
  <c r="CU5" i="23917"/>
  <c r="CU161" i="23917" s="1"/>
  <c r="CT5" i="23917"/>
  <c r="CT161" i="23917" s="1"/>
  <c r="EC237" i="23917" l="1"/>
  <c r="EC365" i="23917"/>
  <c r="EC446" i="23917"/>
  <c r="EC508" i="23917"/>
  <c r="EK325" i="23917"/>
  <c r="EK544" i="23917"/>
  <c r="EK508" i="23917"/>
  <c r="EK471" i="23917"/>
  <c r="EK446" i="23917"/>
  <c r="EK407" i="23917"/>
  <c r="EK365" i="23917"/>
  <c r="EK286" i="23917"/>
  <c r="EK237" i="23917"/>
  <c r="EK108" i="23917"/>
  <c r="EC108" i="23917"/>
  <c r="EC286" i="23917"/>
  <c r="EC407" i="23917"/>
  <c r="EC471" i="23917"/>
  <c r="EC544" i="23917"/>
  <c r="EL58" i="24142"/>
  <c r="EK98" i="24142"/>
  <c r="EK135" i="24142"/>
  <c r="EK171" i="24142"/>
  <c r="EK223" i="24142"/>
  <c r="EK260" i="24142"/>
  <c r="EK299" i="24142"/>
  <c r="EK341" i="24142"/>
  <c r="EK380" i="24142"/>
  <c r="EK405" i="24142"/>
  <c r="EK442" i="24142"/>
  <c r="EK478" i="24142"/>
  <c r="EC58" i="24142"/>
  <c r="EL98" i="24142"/>
  <c r="EL135" i="24142"/>
  <c r="EL171" i="24142"/>
  <c r="EL223" i="24142"/>
  <c r="EL260" i="24142"/>
  <c r="EL299" i="24142"/>
  <c r="EL341" i="24142"/>
  <c r="EL380" i="24142"/>
  <c r="EL405" i="24142"/>
  <c r="EL442" i="24142"/>
  <c r="ED98" i="24142"/>
  <c r="ED135" i="24142"/>
  <c r="ED171" i="24142"/>
  <c r="ED223" i="24142"/>
  <c r="ED260" i="24142"/>
  <c r="ED299" i="24142"/>
  <c r="ED341" i="24142"/>
  <c r="ED380" i="24142"/>
  <c r="ED405" i="24142"/>
  <c r="ED442" i="24142"/>
  <c r="ED478" i="24142"/>
  <c r="EC98" i="24142"/>
  <c r="EC135" i="24142"/>
  <c r="EC171" i="24142"/>
  <c r="EC223" i="24142"/>
  <c r="EC260" i="24142"/>
  <c r="EC299" i="24142"/>
  <c r="EC341" i="24142"/>
  <c r="EC380" i="24142"/>
  <c r="EC405" i="24142"/>
  <c r="EC442" i="24142"/>
  <c r="CU478" i="24142"/>
  <c r="CU442" i="24142"/>
  <c r="CU405" i="24142"/>
  <c r="CU380" i="24142"/>
  <c r="CU341" i="24142"/>
  <c r="CU299" i="24142"/>
  <c r="CU260" i="24142"/>
  <c r="CU223" i="24142"/>
  <c r="CU171" i="24142"/>
  <c r="CU135" i="24142"/>
  <c r="CW478" i="24142"/>
  <c r="CW442" i="24142"/>
  <c r="CW405" i="24142"/>
  <c r="CW380" i="24142"/>
  <c r="CW341" i="24142"/>
  <c r="CW299" i="24142"/>
  <c r="CW260" i="24142"/>
  <c r="CW223" i="24142"/>
  <c r="CW171" i="24142"/>
  <c r="CW135" i="24142"/>
  <c r="CY478" i="24142"/>
  <c r="CY442" i="24142"/>
  <c r="CY405" i="24142"/>
  <c r="CY380" i="24142"/>
  <c r="CY341" i="24142"/>
  <c r="CY299" i="24142"/>
  <c r="CY260" i="24142"/>
  <c r="CY223" i="24142"/>
  <c r="CY171" i="24142"/>
  <c r="CY135" i="24142"/>
  <c r="DA478" i="24142"/>
  <c r="DA442" i="24142"/>
  <c r="DA405" i="24142"/>
  <c r="DA380" i="24142"/>
  <c r="DA341" i="24142"/>
  <c r="DA299" i="24142"/>
  <c r="DA260" i="24142"/>
  <c r="DA223" i="24142"/>
  <c r="DA171" i="24142"/>
  <c r="DA135" i="24142"/>
  <c r="CU58" i="24142"/>
  <c r="CW58" i="24142"/>
  <c r="CY58" i="24142"/>
  <c r="DA58" i="24142"/>
  <c r="CU98" i="24142"/>
  <c r="CY98" i="24142"/>
  <c r="CT478" i="24142"/>
  <c r="CT442" i="24142"/>
  <c r="CT405" i="24142"/>
  <c r="CT380" i="24142"/>
  <c r="CT341" i="24142"/>
  <c r="CT299" i="24142"/>
  <c r="CT260" i="24142"/>
  <c r="CT223" i="24142"/>
  <c r="CT171" i="24142"/>
  <c r="CT135" i="24142"/>
  <c r="CT98" i="24142"/>
  <c r="CV478" i="24142"/>
  <c r="CV442" i="24142"/>
  <c r="CV405" i="24142"/>
  <c r="CV380" i="24142"/>
  <c r="CV341" i="24142"/>
  <c r="CV299" i="24142"/>
  <c r="CV260" i="24142"/>
  <c r="CV223" i="24142"/>
  <c r="CV171" i="24142"/>
  <c r="CV135" i="24142"/>
  <c r="CV98" i="24142"/>
  <c r="CX478" i="24142"/>
  <c r="CX442" i="24142"/>
  <c r="CX405" i="24142"/>
  <c r="CX380" i="24142"/>
  <c r="CX341" i="24142"/>
  <c r="CX299" i="24142"/>
  <c r="CX260" i="24142"/>
  <c r="CX223" i="24142"/>
  <c r="CX171" i="24142"/>
  <c r="CX135" i="24142"/>
  <c r="CX98" i="24142"/>
  <c r="CZ478" i="24142"/>
  <c r="CZ442" i="24142"/>
  <c r="CZ405" i="24142"/>
  <c r="CZ380" i="24142"/>
  <c r="CZ341" i="24142"/>
  <c r="CZ299" i="24142"/>
  <c r="CZ260" i="24142"/>
  <c r="CZ223" i="24142"/>
  <c r="CZ171" i="24142"/>
  <c r="CZ135" i="24142"/>
  <c r="CZ98" i="24142"/>
  <c r="CT58" i="24142"/>
  <c r="CV58" i="24142"/>
  <c r="CX58" i="24142"/>
  <c r="CZ58" i="24142"/>
  <c r="CW98" i="24142"/>
  <c r="DA98" i="24142"/>
  <c r="EK67" i="23917"/>
  <c r="EL108" i="23917"/>
  <c r="EK161" i="23917"/>
  <c r="EK194" i="23917"/>
  <c r="EL237" i="23917"/>
  <c r="EL286" i="23917"/>
  <c r="EL365" i="23917"/>
  <c r="EL407" i="23917"/>
  <c r="EL446" i="23917"/>
  <c r="EL471" i="23917"/>
  <c r="EL508" i="23917"/>
  <c r="EL544" i="23917"/>
  <c r="EL67" i="23917"/>
  <c r="EL161" i="23917"/>
  <c r="EL194" i="23917"/>
  <c r="ED67" i="23917"/>
  <c r="ED161" i="23917"/>
  <c r="ED194" i="23917"/>
  <c r="ED325" i="23917"/>
  <c r="EC67" i="23917"/>
  <c r="ED108" i="23917"/>
  <c r="EC161" i="23917"/>
  <c r="EC194" i="23917"/>
  <c r="ED237" i="23917"/>
  <c r="ED286" i="23917"/>
  <c r="ED365" i="23917"/>
  <c r="ED407" i="23917"/>
  <c r="ED446" i="23917"/>
  <c r="ED471" i="23917"/>
  <c r="ED508" i="23917"/>
  <c r="CW544" i="23917"/>
  <c r="CW508" i="23917"/>
  <c r="CW471" i="23917"/>
  <c r="CW446" i="23917"/>
  <c r="CW407" i="23917"/>
  <c r="CW365" i="23917"/>
  <c r="CW325" i="23917"/>
  <c r="CW286" i="23917"/>
  <c r="CW237" i="23917"/>
  <c r="CW194" i="23917"/>
  <c r="DA544" i="23917"/>
  <c r="DA508" i="23917"/>
  <c r="DA471" i="23917"/>
  <c r="DA446" i="23917"/>
  <c r="DA407" i="23917"/>
  <c r="DA365" i="23917"/>
  <c r="DA325" i="23917"/>
  <c r="DA286" i="23917"/>
  <c r="DA237" i="23917"/>
  <c r="DA194" i="23917"/>
  <c r="CW67" i="23917"/>
  <c r="DA67" i="23917"/>
  <c r="DA108" i="23917"/>
  <c r="CW161" i="23917"/>
  <c r="DA161" i="23917"/>
  <c r="CT194" i="23917"/>
  <c r="CX194" i="23917"/>
  <c r="CT237" i="23917"/>
  <c r="CX237" i="23917"/>
  <c r="CT286" i="23917"/>
  <c r="CX286" i="23917"/>
  <c r="CT325" i="23917"/>
  <c r="CX325" i="23917"/>
  <c r="CT365" i="23917"/>
  <c r="CX365" i="23917"/>
  <c r="CT407" i="23917"/>
  <c r="CX407" i="23917"/>
  <c r="CT446" i="23917"/>
  <c r="CX446" i="23917"/>
  <c r="CT471" i="23917"/>
  <c r="CX471" i="23917"/>
  <c r="CT508" i="23917"/>
  <c r="CX508" i="23917"/>
  <c r="CT544" i="23917"/>
  <c r="CX544" i="23917"/>
  <c r="CU544" i="23917"/>
  <c r="CU508" i="23917"/>
  <c r="CU471" i="23917"/>
  <c r="CU446" i="23917"/>
  <c r="CU407" i="23917"/>
  <c r="CU365" i="23917"/>
  <c r="CU325" i="23917"/>
  <c r="CU286" i="23917"/>
  <c r="CU237" i="23917"/>
  <c r="CU194" i="23917"/>
  <c r="CY544" i="23917"/>
  <c r="CY508" i="23917"/>
  <c r="CY471" i="23917"/>
  <c r="CY446" i="23917"/>
  <c r="CY407" i="23917"/>
  <c r="CY365" i="23917"/>
  <c r="CY325" i="23917"/>
  <c r="CY286" i="23917"/>
  <c r="CY237" i="23917"/>
  <c r="CY194" i="23917"/>
  <c r="CU67" i="23917"/>
  <c r="CY67" i="23917"/>
  <c r="CU108" i="23917"/>
  <c r="CW108" i="23917"/>
  <c r="CY108" i="23917"/>
  <c r="CT67" i="23917"/>
  <c r="CV67" i="23917"/>
  <c r="CX67" i="23917"/>
  <c r="CZ67" i="23917"/>
  <c r="CT108" i="23917"/>
  <c r="CV108" i="23917"/>
  <c r="CX108" i="23917"/>
  <c r="CZ108" i="23917"/>
  <c r="CV161" i="23917"/>
  <c r="CZ161" i="23917"/>
  <c r="CV194" i="23917"/>
  <c r="CZ194" i="23917"/>
  <c r="CV237" i="23917"/>
  <c r="CZ237" i="23917"/>
  <c r="CV286" i="23917"/>
  <c r="CZ286" i="23917"/>
  <c r="CV325" i="23917"/>
  <c r="CZ325" i="23917"/>
  <c r="CV365" i="23917"/>
  <c r="CZ365" i="23917"/>
  <c r="CV407" i="23917"/>
  <c r="CZ407" i="23917"/>
  <c r="CV446" i="23917"/>
  <c r="CZ446" i="23917"/>
  <c r="CV471" i="23917"/>
  <c r="CZ471" i="23917"/>
  <c r="CV508" i="23917"/>
  <c r="CZ508" i="23917"/>
  <c r="EC42" i="23917" l="1"/>
  <c r="EC41" i="23917"/>
  <c r="EC554" i="23917"/>
  <c r="EC230" i="24142"/>
  <c r="EL42" i="23917"/>
  <c r="EL41" i="23917"/>
  <c r="EL40" i="23917"/>
  <c r="EK21" i="23917"/>
  <c r="EL230" i="24142"/>
  <c r="EL3" i="24142" l="1"/>
  <c r="EL3" i="23917"/>
  <c r="EL22" i="24142"/>
  <c r="EL25" i="23917"/>
  <c r="EC244" i="23917"/>
  <c r="EC18" i="24142"/>
  <c r="EC18" i="23917"/>
  <c r="ED3" i="24142"/>
  <c r="ED3" i="23917"/>
  <c r="EL4" i="24142"/>
  <c r="EL4" i="23917"/>
  <c r="EL18" i="24142"/>
  <c r="EL18" i="23917"/>
  <c r="EC254" i="23917"/>
  <c r="EC22" i="24142"/>
  <c r="EC25" i="23917"/>
  <c r="ED4" i="24142"/>
  <c r="ED4" i="23917"/>
  <c r="DA42" i="23917"/>
  <c r="CY42" i="23917"/>
  <c r="CW42" i="23917"/>
  <c r="CU42" i="23917"/>
  <c r="DA41" i="23917"/>
  <c r="CY41" i="23917"/>
  <c r="CW41" i="23917"/>
  <c r="CU41" i="23917"/>
  <c r="CZ21" i="23917"/>
  <c r="CX21" i="23917"/>
  <c r="CV21" i="23917"/>
  <c r="CT21" i="23917"/>
  <c r="DA13" i="23917"/>
  <c r="CY13" i="23917"/>
  <c r="CW13" i="23917"/>
  <c r="CU13" i="23917"/>
  <c r="DA554" i="23917"/>
  <c r="CY554" i="23917"/>
  <c r="CW554" i="23917"/>
  <c r="CU554" i="23917"/>
  <c r="DA230" i="24142"/>
  <c r="CY230" i="24142"/>
  <c r="CW230" i="24142"/>
  <c r="CU230" i="24142"/>
  <c r="CT166" i="23917"/>
  <c r="CT257" i="23917"/>
  <c r="DA254" i="23917"/>
  <c r="CY254" i="23917"/>
  <c r="CW254" i="23917"/>
  <c r="CU254" i="23917"/>
  <c r="DA244" i="23917"/>
  <c r="CY244" i="23917"/>
  <c r="CW244" i="23917"/>
  <c r="CU244" i="23917"/>
  <c r="CW3" i="24142" l="1"/>
  <c r="CW3" i="23917"/>
  <c r="DA3" i="24142"/>
  <c r="DA3" i="23917"/>
  <c r="CW4" i="24142"/>
  <c r="CW4" i="23917"/>
  <c r="DA4" i="24142"/>
  <c r="DA4" i="23917"/>
  <c r="CW257" i="23917"/>
  <c r="CV257" i="23917"/>
  <c r="CV227" i="24142"/>
  <c r="CV165" i="23917"/>
  <c r="CW166" i="23917"/>
  <c r="CV166" i="23917"/>
  <c r="CV241" i="24142"/>
  <c r="CV177" i="23917"/>
  <c r="CV242" i="24142"/>
  <c r="CV178" i="23917"/>
  <c r="CW208" i="24142"/>
  <c r="CW146" i="23917"/>
  <c r="DA208" i="24142"/>
  <c r="DA146" i="23917"/>
  <c r="CW209" i="24142"/>
  <c r="CW147" i="23917"/>
  <c r="DA209" i="24142"/>
  <c r="DA147" i="23917"/>
  <c r="DA210" i="24142"/>
  <c r="DA148" i="23917"/>
  <c r="CW18" i="24142"/>
  <c r="CW18" i="23917"/>
  <c r="DA18" i="24142"/>
  <c r="DA18" i="23917"/>
  <c r="CW22" i="24142"/>
  <c r="CW25" i="23917"/>
  <c r="DA22" i="24142"/>
  <c r="DA25" i="23917"/>
  <c r="EC21" i="23917"/>
  <c r="ED57" i="24142"/>
  <c r="ED97" i="24142"/>
  <c r="ED134" i="24142"/>
  <c r="ED170" i="24142"/>
  <c r="ED222" i="24142"/>
  <c r="ED259" i="24142"/>
  <c r="ED298" i="24142"/>
  <c r="ED340" i="24142"/>
  <c r="ED379" i="24142"/>
  <c r="ED404" i="24142"/>
  <c r="ED441" i="24142"/>
  <c r="ED477" i="24142"/>
  <c r="EL477" i="24142"/>
  <c r="EL57" i="24142"/>
  <c r="EL97" i="24142"/>
  <c r="EL134" i="24142"/>
  <c r="EL170" i="24142"/>
  <c r="EL222" i="24142"/>
  <c r="EL259" i="24142"/>
  <c r="EL298" i="24142"/>
  <c r="EL340" i="24142"/>
  <c r="EL379" i="24142"/>
  <c r="EL404" i="24142"/>
  <c r="EL441" i="24142"/>
  <c r="ED323" i="23917"/>
  <c r="ED235" i="23917"/>
  <c r="ED363" i="23917"/>
  <c r="ED444" i="23917"/>
  <c r="ED506" i="23917"/>
  <c r="ED65" i="23917"/>
  <c r="ED159" i="23917"/>
  <c r="ED192" i="23917"/>
  <c r="ED106" i="23917"/>
  <c r="ED284" i="23917"/>
  <c r="ED405" i="23917"/>
  <c r="ED469" i="23917"/>
  <c r="ED542" i="23917"/>
  <c r="EL323" i="23917"/>
  <c r="EL542" i="23917"/>
  <c r="EL506" i="23917"/>
  <c r="EL469" i="23917"/>
  <c r="EL444" i="23917"/>
  <c r="EL405" i="23917"/>
  <c r="EL363" i="23917"/>
  <c r="EL284" i="23917"/>
  <c r="EL235" i="23917"/>
  <c r="EL106" i="23917"/>
  <c r="EL65" i="23917"/>
  <c r="EL159" i="23917"/>
  <c r="EL192" i="23917"/>
  <c r="CU3" i="24142"/>
  <c r="CU3" i="23917"/>
  <c r="CY3" i="24142"/>
  <c r="CY3" i="23917"/>
  <c r="CU4" i="24142"/>
  <c r="CU4" i="23917"/>
  <c r="CY4" i="24142"/>
  <c r="CY4" i="23917"/>
  <c r="CT227" i="24142"/>
  <c r="CT165" i="23917"/>
  <c r="CT241" i="24142"/>
  <c r="CT177" i="23917"/>
  <c r="CT242" i="24142"/>
  <c r="CT178" i="23917"/>
  <c r="CU208" i="24142"/>
  <c r="CU146" i="23917"/>
  <c r="CY208" i="24142"/>
  <c r="CY146" i="23917"/>
  <c r="CU209" i="24142"/>
  <c r="CU147" i="23917"/>
  <c r="CY209" i="24142"/>
  <c r="CY147" i="23917"/>
  <c r="CY210" i="24142"/>
  <c r="CY148" i="23917"/>
  <c r="CU18" i="24142"/>
  <c r="CU18" i="23917"/>
  <c r="CY18" i="24142"/>
  <c r="CY18" i="23917"/>
  <c r="CU22" i="24142"/>
  <c r="CU25" i="23917"/>
  <c r="CY22" i="24142"/>
  <c r="CY25" i="23917"/>
  <c r="ED543" i="23917"/>
  <c r="ED66" i="23917"/>
  <c r="ED160" i="23917"/>
  <c r="ED193" i="23917"/>
  <c r="ED324" i="23917"/>
  <c r="ED107" i="23917"/>
  <c r="ED236" i="23917"/>
  <c r="ED285" i="23917"/>
  <c r="ED364" i="23917"/>
  <c r="ED406" i="23917"/>
  <c r="ED445" i="23917"/>
  <c r="ED470" i="23917"/>
  <c r="ED507" i="23917"/>
  <c r="EL324" i="23917"/>
  <c r="EL107" i="23917"/>
  <c r="EL236" i="23917"/>
  <c r="EL285" i="23917"/>
  <c r="EL364" i="23917"/>
  <c r="EL406" i="23917"/>
  <c r="EL445" i="23917"/>
  <c r="EL470" i="23917"/>
  <c r="EL507" i="23917"/>
  <c r="EL543" i="23917"/>
  <c r="EL66" i="23917"/>
  <c r="EL160" i="23917"/>
  <c r="EL193" i="23917"/>
  <c r="ED476" i="24142"/>
  <c r="ED56" i="24142"/>
  <c r="ED96" i="24142"/>
  <c r="ED133" i="24142"/>
  <c r="ED169" i="24142"/>
  <c r="ED221" i="24142"/>
  <c r="ED258" i="24142"/>
  <c r="ED297" i="24142"/>
  <c r="ED339" i="24142"/>
  <c r="ED378" i="24142"/>
  <c r="ED403" i="24142"/>
  <c r="ED440" i="24142"/>
  <c r="EL56" i="24142"/>
  <c r="EL96" i="24142"/>
  <c r="EL133" i="24142"/>
  <c r="EL169" i="24142"/>
  <c r="EL221" i="24142"/>
  <c r="EL258" i="24142"/>
  <c r="EL297" i="24142"/>
  <c r="EL339" i="24142"/>
  <c r="EL378" i="24142"/>
  <c r="EL403" i="24142"/>
  <c r="EL440" i="24142"/>
  <c r="EL476" i="24142"/>
  <c r="CU257" i="23917"/>
  <c r="CU166" i="23917"/>
  <c r="CT272" i="23917"/>
  <c r="CV272" i="23917"/>
  <c r="CW241" i="24142" l="1"/>
  <c r="CW177" i="23917"/>
  <c r="CY477" i="24142"/>
  <c r="CY404" i="24142"/>
  <c r="CY340" i="24142"/>
  <c r="CY259" i="24142"/>
  <c r="CY170" i="24142"/>
  <c r="CY97" i="24142"/>
  <c r="CY57" i="24142"/>
  <c r="CY441" i="24142"/>
  <c r="CY379" i="24142"/>
  <c r="CY298" i="24142"/>
  <c r="CY222" i="24142"/>
  <c r="CY134" i="24142"/>
  <c r="CU477" i="24142"/>
  <c r="CU404" i="24142"/>
  <c r="CU340" i="24142"/>
  <c r="CU259" i="24142"/>
  <c r="CU170" i="24142"/>
  <c r="CU441" i="24142"/>
  <c r="CU379" i="24142"/>
  <c r="CU298" i="24142"/>
  <c r="CU222" i="24142"/>
  <c r="CU134" i="24142"/>
  <c r="CU57" i="24142"/>
  <c r="CU97" i="24142"/>
  <c r="CY476" i="24142"/>
  <c r="CY403" i="24142"/>
  <c r="CY339" i="24142"/>
  <c r="CY258" i="24142"/>
  <c r="CY169" i="24142"/>
  <c r="CY56" i="24142"/>
  <c r="CY96" i="24142"/>
  <c r="CY440" i="24142"/>
  <c r="CY378" i="24142"/>
  <c r="CY297" i="24142"/>
  <c r="CY221" i="24142"/>
  <c r="CY133" i="24142"/>
  <c r="CU476" i="24142"/>
  <c r="CU403" i="24142"/>
  <c r="CU339" i="24142"/>
  <c r="CU258" i="24142"/>
  <c r="CU169" i="24142"/>
  <c r="CU440" i="24142"/>
  <c r="CU378" i="24142"/>
  <c r="CU297" i="24142"/>
  <c r="CU221" i="24142"/>
  <c r="CU133" i="24142"/>
  <c r="CU56" i="24142"/>
  <c r="CU96" i="24142"/>
  <c r="DA160" i="23917"/>
  <c r="DA507" i="23917"/>
  <c r="DA445" i="23917"/>
  <c r="DA364" i="23917"/>
  <c r="DA285" i="23917"/>
  <c r="DA193" i="23917"/>
  <c r="DA107" i="23917"/>
  <c r="DA66" i="23917"/>
  <c r="DA543" i="23917"/>
  <c r="DA470" i="23917"/>
  <c r="DA406" i="23917"/>
  <c r="DA324" i="23917"/>
  <c r="DA236" i="23917"/>
  <c r="CW507" i="23917"/>
  <c r="CW445" i="23917"/>
  <c r="CW364" i="23917"/>
  <c r="CW285" i="23917"/>
  <c r="CW66" i="23917"/>
  <c r="CW543" i="23917"/>
  <c r="CW470" i="23917"/>
  <c r="CW406" i="23917"/>
  <c r="CW324" i="23917"/>
  <c r="CW236" i="23917"/>
  <c r="CW107" i="23917"/>
  <c r="CW160" i="23917"/>
  <c r="CW193" i="23917"/>
  <c r="DA192" i="23917"/>
  <c r="DA65" i="23917"/>
  <c r="DA159" i="23917"/>
  <c r="DA542" i="23917"/>
  <c r="DA469" i="23917"/>
  <c r="DA405" i="23917"/>
  <c r="DA323" i="23917"/>
  <c r="DA235" i="23917"/>
  <c r="DA506" i="23917"/>
  <c r="DA444" i="23917"/>
  <c r="DA363" i="23917"/>
  <c r="DA284" i="23917"/>
  <c r="DA106" i="23917"/>
  <c r="CW542" i="23917"/>
  <c r="CW469" i="23917"/>
  <c r="CW405" i="23917"/>
  <c r="CW323" i="23917"/>
  <c r="CW235" i="23917"/>
  <c r="CW106" i="23917"/>
  <c r="CW192" i="23917"/>
  <c r="CW506" i="23917"/>
  <c r="CW444" i="23917"/>
  <c r="CW363" i="23917"/>
  <c r="CW284" i="23917"/>
  <c r="CW159" i="23917"/>
  <c r="CW65" i="23917"/>
  <c r="CW227" i="24142"/>
  <c r="CW165" i="23917"/>
  <c r="CU242" i="24142"/>
  <c r="CU178" i="23917"/>
  <c r="CU241" i="24142"/>
  <c r="CU177" i="23917"/>
  <c r="CU227" i="24142"/>
  <c r="CU165" i="23917"/>
  <c r="CY543" i="23917"/>
  <c r="CY160" i="23917"/>
  <c r="CY193" i="23917"/>
  <c r="CY364" i="23917"/>
  <c r="CY445" i="23917"/>
  <c r="CY507" i="23917"/>
  <c r="CY66" i="23917"/>
  <c r="CY107" i="23917"/>
  <c r="CY236" i="23917"/>
  <c r="CY285" i="23917"/>
  <c r="CY324" i="23917"/>
  <c r="CY406" i="23917"/>
  <c r="CY470" i="23917"/>
  <c r="CU193" i="23917"/>
  <c r="CU66" i="23917"/>
  <c r="CU107" i="23917"/>
  <c r="CU160" i="23917"/>
  <c r="CU236" i="23917"/>
  <c r="CU285" i="23917"/>
  <c r="CU324" i="23917"/>
  <c r="CU364" i="23917"/>
  <c r="CU406" i="23917"/>
  <c r="CU445" i="23917"/>
  <c r="CU470" i="23917"/>
  <c r="CU507" i="23917"/>
  <c r="CU543" i="23917"/>
  <c r="CY542" i="23917"/>
  <c r="CY192" i="23917"/>
  <c r="CY235" i="23917"/>
  <c r="CY284" i="23917"/>
  <c r="CY323" i="23917"/>
  <c r="CY363" i="23917"/>
  <c r="CY405" i="23917"/>
  <c r="CY444" i="23917"/>
  <c r="CY469" i="23917"/>
  <c r="CY506" i="23917"/>
  <c r="CY65" i="23917"/>
  <c r="CY106" i="23917"/>
  <c r="CY159" i="23917"/>
  <c r="CU192" i="23917"/>
  <c r="CU235" i="23917"/>
  <c r="CU284" i="23917"/>
  <c r="CU323" i="23917"/>
  <c r="CU363" i="23917"/>
  <c r="CU405" i="23917"/>
  <c r="CU444" i="23917"/>
  <c r="CU469" i="23917"/>
  <c r="CU506" i="23917"/>
  <c r="CU542" i="23917"/>
  <c r="CU65" i="23917"/>
  <c r="CU106" i="23917"/>
  <c r="CU159" i="23917"/>
  <c r="CW242" i="24142"/>
  <c r="CW178" i="23917"/>
  <c r="DA441" i="24142"/>
  <c r="DA379" i="24142"/>
  <c r="DA298" i="24142"/>
  <c r="DA222" i="24142"/>
  <c r="DA134" i="24142"/>
  <c r="DA57" i="24142"/>
  <c r="DA97" i="24142"/>
  <c r="DA477" i="24142"/>
  <c r="DA404" i="24142"/>
  <c r="DA340" i="24142"/>
  <c r="DA259" i="24142"/>
  <c r="DA170" i="24142"/>
  <c r="CW441" i="24142"/>
  <c r="CW379" i="24142"/>
  <c r="CW298" i="24142"/>
  <c r="CW222" i="24142"/>
  <c r="CW134" i="24142"/>
  <c r="CW477" i="24142"/>
  <c r="CW404" i="24142"/>
  <c r="CW340" i="24142"/>
  <c r="CW259" i="24142"/>
  <c r="CW170" i="24142"/>
  <c r="CW57" i="24142"/>
  <c r="CW97" i="24142"/>
  <c r="DA440" i="24142"/>
  <c r="DA378" i="24142"/>
  <c r="DA297" i="24142"/>
  <c r="DA221" i="24142"/>
  <c r="DA133" i="24142"/>
  <c r="DA56" i="24142"/>
  <c r="DA96" i="24142"/>
  <c r="DA476" i="24142"/>
  <c r="DA403" i="24142"/>
  <c r="DA339" i="24142"/>
  <c r="DA258" i="24142"/>
  <c r="DA169" i="24142"/>
  <c r="CW440" i="24142"/>
  <c r="CW378" i="24142"/>
  <c r="CW297" i="24142"/>
  <c r="CW221" i="24142"/>
  <c r="CW133" i="24142"/>
  <c r="CW476" i="24142"/>
  <c r="CW403" i="24142"/>
  <c r="CW339" i="24142"/>
  <c r="CW258" i="24142"/>
  <c r="CW169" i="24142"/>
  <c r="CW56" i="24142"/>
  <c r="CW96" i="24142"/>
  <c r="S2" i="24158" l="1"/>
  <c r="R2" i="24158"/>
  <c r="Q2" i="24158"/>
  <c r="P2" i="24158"/>
  <c r="O2" i="24158"/>
  <c r="M2" i="24158"/>
  <c r="L2" i="24158"/>
  <c r="K2" i="24158"/>
  <c r="J2" i="24158"/>
  <c r="I2" i="24158"/>
  <c r="H2" i="24158"/>
  <c r="G2" i="24158"/>
  <c r="F2" i="24158"/>
  <c r="E2" i="24158"/>
  <c r="D2" i="24158"/>
  <c r="C2" i="24158"/>
  <c r="B2" i="24158"/>
  <c r="A496" i="24142"/>
  <c r="EM493" i="24142"/>
  <c r="EJ493" i="24142"/>
  <c r="EI493" i="24142"/>
  <c r="EH493" i="24142"/>
  <c r="EG493" i="24142"/>
  <c r="EF493" i="24142"/>
  <c r="EE493" i="24142"/>
  <c r="EB493" i="24142"/>
  <c r="EA493" i="24142"/>
  <c r="DZ493" i="24142"/>
  <c r="DY493" i="24142"/>
  <c r="DX493" i="24142"/>
  <c r="DW493" i="24142"/>
  <c r="DV493" i="24142"/>
  <c r="DU493" i="24142"/>
  <c r="DT493" i="24142"/>
  <c r="DS493" i="24142"/>
  <c r="DR493" i="24142"/>
  <c r="DQ493" i="24142"/>
  <c r="DP493" i="24142"/>
  <c r="DO493" i="24142"/>
  <c r="DN493" i="24142"/>
  <c r="DM493" i="24142"/>
  <c r="DL493" i="24142"/>
  <c r="DK493" i="24142"/>
  <c r="DJ493" i="24142"/>
  <c r="DI493" i="24142"/>
  <c r="DH493" i="24142"/>
  <c r="DG493" i="24142"/>
  <c r="DF493" i="24142"/>
  <c r="DE493" i="24142"/>
  <c r="DD493" i="24142"/>
  <c r="DC493" i="24142"/>
  <c r="A494" i="24142"/>
  <c r="CS493" i="24142"/>
  <c r="CR493" i="24142"/>
  <c r="CQ493" i="24142"/>
  <c r="CP493" i="24142"/>
  <c r="CO493" i="24142"/>
  <c r="CN493" i="24142"/>
  <c r="CM493" i="24142"/>
  <c r="CL493" i="24142"/>
  <c r="CK493" i="24142"/>
  <c r="CJ493" i="24142"/>
  <c r="CI493" i="24142"/>
  <c r="CH493" i="24142"/>
  <c r="CG493" i="24142"/>
  <c r="CF493" i="24142"/>
  <c r="CE493" i="24142"/>
  <c r="CD493" i="24142"/>
  <c r="CC493" i="24142"/>
  <c r="CB493" i="24142"/>
  <c r="CA493" i="24142"/>
  <c r="BZ493" i="24142"/>
  <c r="BY493" i="24142"/>
  <c r="BX493" i="24142"/>
  <c r="BW493" i="24142"/>
  <c r="BV493" i="24142"/>
  <c r="BU493" i="24142"/>
  <c r="BT493" i="24142"/>
  <c r="BS493" i="24142"/>
  <c r="BR493" i="24142"/>
  <c r="BQ493" i="24142"/>
  <c r="BP493" i="24142"/>
  <c r="BO493" i="24142"/>
  <c r="BN493" i="24142"/>
  <c r="BM493" i="24142"/>
  <c r="BL493" i="24142"/>
  <c r="BK493" i="24142"/>
  <c r="BJ493" i="24142"/>
  <c r="BI493" i="24142"/>
  <c r="BH493" i="24142"/>
  <c r="BG493" i="24142"/>
  <c r="BF493" i="24142"/>
  <c r="BE493" i="24142"/>
  <c r="BD493" i="24142"/>
  <c r="BC493" i="24142"/>
  <c r="BB493" i="24142"/>
  <c r="BA493" i="24142"/>
  <c r="AZ493" i="24142"/>
  <c r="AY493" i="24142"/>
  <c r="AX493" i="24142"/>
  <c r="AW493" i="24142"/>
  <c r="AV493" i="24142"/>
  <c r="AU493" i="24142"/>
  <c r="AT493" i="24142"/>
  <c r="AS493" i="24142"/>
  <c r="AR493" i="24142"/>
  <c r="AQ493" i="24142"/>
  <c r="AP493" i="24142"/>
  <c r="AO493" i="24142"/>
  <c r="AN493" i="24142"/>
  <c r="AM493" i="24142"/>
  <c r="AL493" i="24142"/>
  <c r="AK493" i="24142"/>
  <c r="AJ493" i="24142"/>
  <c r="AI493" i="24142"/>
  <c r="AH493" i="24142"/>
  <c r="AG493" i="24142"/>
  <c r="AF493" i="24142"/>
  <c r="AE493" i="24142"/>
  <c r="AD493" i="24142"/>
  <c r="AC493" i="24142"/>
  <c r="AB493" i="24142"/>
  <c r="AA493" i="24142"/>
  <c r="Z493" i="24142"/>
  <c r="Y493" i="24142"/>
  <c r="X493" i="24142"/>
  <c r="W493" i="24142"/>
  <c r="V493" i="24142"/>
  <c r="U493" i="24142"/>
  <c r="T493" i="24142"/>
  <c r="S493" i="24142"/>
  <c r="R493" i="24142"/>
  <c r="Q493" i="24142"/>
  <c r="P493" i="24142"/>
  <c r="O493" i="24142"/>
  <c r="N493" i="24142"/>
  <c r="M493" i="24142"/>
  <c r="L493" i="24142"/>
  <c r="K493" i="24142"/>
  <c r="J493" i="24142"/>
  <c r="I493" i="24142"/>
  <c r="H493" i="24142"/>
  <c r="G493" i="24142"/>
  <c r="F493" i="24142"/>
  <c r="E493" i="24142"/>
  <c r="D493" i="24142"/>
  <c r="C493" i="24142"/>
  <c r="B493" i="24142"/>
  <c r="A493" i="24142"/>
  <c r="A492" i="24142"/>
  <c r="CN491" i="24142"/>
  <c r="CL491" i="24142"/>
  <c r="CJ491" i="24142"/>
  <c r="CH491" i="24142"/>
  <c r="CF491" i="24142"/>
  <c r="CD491" i="24142"/>
  <c r="CB491" i="24142"/>
  <c r="CA491" i="24142"/>
  <c r="BZ491" i="24142"/>
  <c r="BX491" i="24142"/>
  <c r="BV491" i="24142"/>
  <c r="BT491" i="24142"/>
  <c r="BR491" i="24142"/>
  <c r="BP491" i="24142"/>
  <c r="BN491" i="24142"/>
  <c r="BL491" i="24142"/>
  <c r="BJ491" i="24142"/>
  <c r="BH491" i="24142"/>
  <c r="BF491" i="24142"/>
  <c r="BD491" i="24142"/>
  <c r="BB491" i="24142"/>
  <c r="AZ491" i="24142"/>
  <c r="AX491" i="24142"/>
  <c r="AV491" i="24142"/>
  <c r="AT491" i="24142"/>
  <c r="AR491" i="24142"/>
  <c r="AP491" i="24142"/>
  <c r="AN491" i="24142"/>
  <c r="AL491" i="24142"/>
  <c r="AJ491" i="24142"/>
  <c r="AH491" i="24142"/>
  <c r="AF491" i="24142"/>
  <c r="AD491" i="24142"/>
  <c r="AB491" i="24142"/>
  <c r="Z491" i="24142"/>
  <c r="X491" i="24142"/>
  <c r="V491" i="24142"/>
  <c r="T491" i="24142"/>
  <c r="R491" i="24142"/>
  <c r="P491" i="24142"/>
  <c r="N491" i="24142"/>
  <c r="L491" i="24142"/>
  <c r="J491" i="24142"/>
  <c r="H491" i="24142"/>
  <c r="F491" i="24142"/>
  <c r="D491" i="24142"/>
  <c r="B491" i="24142"/>
  <c r="A491" i="24142"/>
  <c r="A490" i="24142"/>
  <c r="A488" i="24142"/>
  <c r="A487" i="24142"/>
  <c r="CN486" i="24142"/>
  <c r="CL486" i="24142"/>
  <c r="CJ486" i="24142"/>
  <c r="CH486" i="24142"/>
  <c r="CF486" i="24142"/>
  <c r="CD486" i="24142"/>
  <c r="CB486" i="24142"/>
  <c r="CA486" i="24142"/>
  <c r="BZ486" i="24142"/>
  <c r="BX486" i="24142"/>
  <c r="BV486" i="24142"/>
  <c r="BT486" i="24142"/>
  <c r="BR486" i="24142"/>
  <c r="BP486" i="24142"/>
  <c r="BN486" i="24142"/>
  <c r="BL486" i="24142"/>
  <c r="BJ486" i="24142"/>
  <c r="BH486" i="24142"/>
  <c r="BF486" i="24142"/>
  <c r="BD486" i="24142"/>
  <c r="BB486" i="24142"/>
  <c r="AZ486" i="24142"/>
  <c r="AX486" i="24142"/>
  <c r="AV486" i="24142"/>
  <c r="AT486" i="24142"/>
  <c r="AR486" i="24142"/>
  <c r="AP486" i="24142"/>
  <c r="AN486" i="24142"/>
  <c r="AL486" i="24142"/>
  <c r="AJ486" i="24142"/>
  <c r="AH486" i="24142"/>
  <c r="AF486" i="24142"/>
  <c r="AD486" i="24142"/>
  <c r="AB486" i="24142"/>
  <c r="Z486" i="24142"/>
  <c r="X486" i="24142"/>
  <c r="V486" i="24142"/>
  <c r="T486" i="24142"/>
  <c r="R486" i="24142"/>
  <c r="P486" i="24142"/>
  <c r="N486" i="24142"/>
  <c r="L486" i="24142"/>
  <c r="J486" i="24142"/>
  <c r="H486" i="24142"/>
  <c r="F486" i="24142"/>
  <c r="D486" i="24142"/>
  <c r="B486" i="24142"/>
  <c r="A486" i="24142"/>
  <c r="A485" i="24142"/>
  <c r="CN483" i="24142"/>
  <c r="CL483" i="24142"/>
  <c r="CJ483" i="24142"/>
  <c r="CH483" i="24142"/>
  <c r="CF483" i="24142"/>
  <c r="CD483" i="24142"/>
  <c r="CB483" i="24142"/>
  <c r="CA483" i="24142"/>
  <c r="BZ483" i="24142"/>
  <c r="BX483" i="24142"/>
  <c r="BV483" i="24142"/>
  <c r="BT483" i="24142"/>
  <c r="BR483" i="24142"/>
  <c r="BP483" i="24142"/>
  <c r="BN483" i="24142"/>
  <c r="BL483" i="24142"/>
  <c r="BJ483" i="24142"/>
  <c r="BH483" i="24142"/>
  <c r="BF483" i="24142"/>
  <c r="BD483" i="24142"/>
  <c r="BB483" i="24142"/>
  <c r="AZ483" i="24142"/>
  <c r="AX483" i="24142"/>
  <c r="AV483" i="24142"/>
  <c r="AT483" i="24142"/>
  <c r="AR483" i="24142"/>
  <c r="AP483" i="24142"/>
  <c r="A483" i="24142"/>
  <c r="CP482" i="24142"/>
  <c r="CN482" i="24142"/>
  <c r="CL482" i="24142"/>
  <c r="CJ482" i="24142"/>
  <c r="CH482" i="24142"/>
  <c r="CF482" i="24142"/>
  <c r="CD482" i="24142"/>
  <c r="CB482" i="24142"/>
  <c r="CA482" i="24142"/>
  <c r="BZ482" i="24142"/>
  <c r="BX482" i="24142"/>
  <c r="BV482" i="24142"/>
  <c r="BT482" i="24142"/>
  <c r="BR482" i="24142"/>
  <c r="BP482" i="24142"/>
  <c r="BN482" i="24142"/>
  <c r="BL482" i="24142"/>
  <c r="BJ482" i="24142"/>
  <c r="BH482" i="24142"/>
  <c r="BF482" i="24142"/>
  <c r="BD482" i="24142"/>
  <c r="BB482" i="24142"/>
  <c r="AZ482" i="24142"/>
  <c r="AX482" i="24142"/>
  <c r="AV482" i="24142"/>
  <c r="AT482" i="24142"/>
  <c r="AR482" i="24142"/>
  <c r="AP482" i="24142"/>
  <c r="AN482" i="24142"/>
  <c r="AL482" i="24142"/>
  <c r="AJ482" i="24142"/>
  <c r="AH482" i="24142"/>
  <c r="AF482" i="24142"/>
  <c r="AD482" i="24142"/>
  <c r="AB482" i="24142"/>
  <c r="Z482" i="24142"/>
  <c r="X482" i="24142"/>
  <c r="V482" i="24142"/>
  <c r="T482" i="24142"/>
  <c r="R482" i="24142"/>
  <c r="P482" i="24142"/>
  <c r="N482" i="24142"/>
  <c r="L482" i="24142"/>
  <c r="J482" i="24142"/>
  <c r="H482" i="24142"/>
  <c r="F482" i="24142"/>
  <c r="D482" i="24142"/>
  <c r="B482" i="24142"/>
  <c r="A482" i="24142"/>
  <c r="F481" i="24142"/>
  <c r="D481" i="24142"/>
  <c r="B481" i="24142"/>
  <c r="A481" i="24142"/>
  <c r="A480" i="24142"/>
  <c r="A476" i="24142"/>
  <c r="A471" i="24142"/>
  <c r="A469" i="24142"/>
  <c r="A468" i="24142"/>
  <c r="A467" i="24142"/>
  <c r="A466" i="24142"/>
  <c r="A464" i="24142"/>
  <c r="A463" i="24142"/>
  <c r="A462" i="24142"/>
  <c r="I460" i="24142"/>
  <c r="H460" i="24142"/>
  <c r="G460" i="24142"/>
  <c r="F460" i="24142"/>
  <c r="E460" i="24142"/>
  <c r="D460" i="24142"/>
  <c r="A457" i="24142"/>
  <c r="A456" i="24142"/>
  <c r="A455" i="24142"/>
  <c r="A454" i="24142"/>
  <c r="H455" i="24142"/>
  <c r="F455" i="24142"/>
  <c r="D455" i="24142"/>
  <c r="D454" i="24142"/>
  <c r="A452" i="24142"/>
  <c r="A451" i="24142"/>
  <c r="A450" i="24142"/>
  <c r="A449" i="24142"/>
  <c r="A448" i="24142"/>
  <c r="A447" i="24142"/>
  <c r="H451" i="24142"/>
  <c r="F451" i="24142"/>
  <c r="D451" i="24142"/>
  <c r="H449" i="24142"/>
  <c r="F449" i="24142"/>
  <c r="D449" i="24142"/>
  <c r="H448" i="24142"/>
  <c r="F448" i="24142"/>
  <c r="D448" i="24142"/>
  <c r="H445" i="24142"/>
  <c r="F445" i="24142"/>
  <c r="D445" i="24142"/>
  <c r="A445" i="24142"/>
  <c r="A444" i="24142"/>
  <c r="A440" i="24142"/>
  <c r="A435" i="24142"/>
  <c r="A433" i="24142"/>
  <c r="A432" i="24142"/>
  <c r="A431" i="24142"/>
  <c r="A429" i="24142"/>
  <c r="A427" i="24142"/>
  <c r="A421" i="24142"/>
  <c r="A420" i="24142"/>
  <c r="Z419" i="24142"/>
  <c r="X419" i="24142"/>
  <c r="V419" i="24142"/>
  <c r="T419" i="24142"/>
  <c r="R419" i="24142"/>
  <c r="P419" i="24142"/>
  <c r="N419" i="24142"/>
  <c r="L419" i="24142"/>
  <c r="J419" i="24142"/>
  <c r="H419" i="24142"/>
  <c r="F419" i="24142"/>
  <c r="D419" i="24142"/>
  <c r="B419" i="24142"/>
  <c r="A419" i="24142"/>
  <c r="A418" i="24142"/>
  <c r="A416" i="24142"/>
  <c r="Z415" i="24142"/>
  <c r="X415" i="24142"/>
  <c r="V415" i="24142"/>
  <c r="T415" i="24142"/>
  <c r="R415" i="24142"/>
  <c r="P415" i="24142"/>
  <c r="N415" i="24142"/>
  <c r="J415" i="24142"/>
  <c r="H415" i="24142"/>
  <c r="F415" i="24142"/>
  <c r="D415" i="24142"/>
  <c r="B415" i="24142"/>
  <c r="A415" i="24142"/>
  <c r="Z414" i="24142"/>
  <c r="X414" i="24142"/>
  <c r="V414" i="24142"/>
  <c r="T414" i="24142"/>
  <c r="R414" i="24142"/>
  <c r="P414" i="24142"/>
  <c r="N414" i="24142"/>
  <c r="L414" i="24142"/>
  <c r="J414" i="24142"/>
  <c r="H414" i="24142"/>
  <c r="F414" i="24142"/>
  <c r="D414" i="24142"/>
  <c r="B414" i="24142"/>
  <c r="A414" i="24142"/>
  <c r="A413" i="24142"/>
  <c r="A411" i="24142"/>
  <c r="Z410" i="24142"/>
  <c r="X410" i="24142"/>
  <c r="V410" i="24142"/>
  <c r="T410" i="24142"/>
  <c r="P410" i="24142"/>
  <c r="N410" i="24142"/>
  <c r="L410" i="24142"/>
  <c r="J410" i="24142"/>
  <c r="H410" i="24142"/>
  <c r="F410" i="24142"/>
  <c r="D410" i="24142"/>
  <c r="B410" i="24142"/>
  <c r="A410" i="24142"/>
  <c r="A409" i="24142"/>
  <c r="Z408" i="24142"/>
  <c r="X408" i="24142"/>
  <c r="V408" i="24142"/>
  <c r="T408" i="24142"/>
  <c r="R408" i="24142"/>
  <c r="P408" i="24142"/>
  <c r="N408" i="24142"/>
  <c r="L408" i="24142"/>
  <c r="J408" i="24142"/>
  <c r="H408" i="24142"/>
  <c r="F408" i="24142"/>
  <c r="D408" i="24142"/>
  <c r="B408" i="24142"/>
  <c r="A408" i="24142"/>
  <c r="A403" i="24142"/>
  <c r="A398" i="24142"/>
  <c r="A396" i="24142"/>
  <c r="A395" i="24142"/>
  <c r="A394" i="24142"/>
  <c r="A393" i="24142"/>
  <c r="A392" i="24142"/>
  <c r="A391" i="24142"/>
  <c r="DG383" i="24142"/>
  <c r="A389" i="24142"/>
  <c r="AB388" i="24142"/>
  <c r="Z388" i="24142"/>
  <c r="X388" i="24142"/>
  <c r="V388" i="24142"/>
  <c r="T388" i="24142"/>
  <c r="R388" i="24142"/>
  <c r="P388" i="24142"/>
  <c r="N388" i="24142"/>
  <c r="L388" i="24142"/>
  <c r="J388" i="24142"/>
  <c r="H388" i="24142"/>
  <c r="F388" i="24142"/>
  <c r="D388" i="24142"/>
  <c r="B388" i="24142"/>
  <c r="A388" i="24142"/>
  <c r="A387" i="24142"/>
  <c r="Z386" i="24142"/>
  <c r="X386" i="24142"/>
  <c r="T386" i="24142"/>
  <c r="H386" i="24142"/>
  <c r="F386" i="24142"/>
  <c r="D386" i="24142"/>
  <c r="A386" i="24142"/>
  <c r="A385" i="24142"/>
  <c r="A384" i="24142"/>
  <c r="R383" i="24142"/>
  <c r="A383" i="24142"/>
  <c r="A378" i="24142"/>
  <c r="A373" i="24142"/>
  <c r="A371" i="24142"/>
  <c r="A370" i="24142"/>
  <c r="A368" i="24142"/>
  <c r="A367" i="24142"/>
  <c r="A366" i="24142"/>
  <c r="A365" i="24142"/>
  <c r="A363" i="24142"/>
  <c r="A362" i="24142"/>
  <c r="A361" i="24142"/>
  <c r="A360" i="24142"/>
  <c r="A354" i="24142"/>
  <c r="A353" i="24142"/>
  <c r="AB352" i="24142"/>
  <c r="Z352" i="24142"/>
  <c r="X352" i="24142"/>
  <c r="V352" i="24142"/>
  <c r="T352" i="24142"/>
  <c r="R352" i="24142"/>
  <c r="P352" i="24142"/>
  <c r="N352" i="24142"/>
  <c r="L352" i="24142"/>
  <c r="J352" i="24142"/>
  <c r="H352" i="24142"/>
  <c r="F352" i="24142"/>
  <c r="D352" i="24142"/>
  <c r="B352" i="24142"/>
  <c r="A352" i="24142"/>
  <c r="A351" i="24142"/>
  <c r="AB349" i="24142"/>
  <c r="Z349" i="24142"/>
  <c r="X349" i="24142"/>
  <c r="V349" i="24142"/>
  <c r="T349" i="24142"/>
  <c r="R349" i="24142"/>
  <c r="P349" i="24142"/>
  <c r="N349" i="24142"/>
  <c r="L349" i="24142"/>
  <c r="J349" i="24142"/>
  <c r="H349" i="24142"/>
  <c r="F349" i="24142"/>
  <c r="D349" i="24142"/>
  <c r="B349" i="24142"/>
  <c r="A349" i="24142"/>
  <c r="A346" i="24142"/>
  <c r="AB345" i="24142"/>
  <c r="Z345" i="24142"/>
  <c r="X345" i="24142"/>
  <c r="V345" i="24142"/>
  <c r="T345" i="24142"/>
  <c r="R345" i="24142"/>
  <c r="P345" i="24142"/>
  <c r="N345" i="24142"/>
  <c r="L345" i="24142"/>
  <c r="J345" i="24142"/>
  <c r="H345" i="24142"/>
  <c r="F345" i="24142"/>
  <c r="D345" i="24142"/>
  <c r="B345" i="24142"/>
  <c r="A345" i="24142"/>
  <c r="A344" i="24142"/>
  <c r="A339" i="24142"/>
  <c r="A334" i="24142"/>
  <c r="A332" i="24142"/>
  <c r="A331" i="24142"/>
  <c r="A330" i="24142"/>
  <c r="A328" i="24142"/>
  <c r="A327" i="24142"/>
  <c r="A325" i="24142"/>
  <c r="A324" i="24142"/>
  <c r="A319" i="24142"/>
  <c r="A318" i="24142"/>
  <c r="L317" i="24142"/>
  <c r="J317" i="24142"/>
  <c r="H317" i="24142"/>
  <c r="F317" i="24142"/>
  <c r="D317" i="24142"/>
  <c r="B317" i="24142"/>
  <c r="A317" i="24142"/>
  <c r="A316" i="24142"/>
  <c r="A314" i="24142"/>
  <c r="L313" i="24142"/>
  <c r="J313" i="24142"/>
  <c r="H313" i="24142"/>
  <c r="F313" i="24142"/>
  <c r="D313" i="24142"/>
  <c r="B313" i="24142"/>
  <c r="A313" i="24142"/>
  <c r="A312" i="24142"/>
  <c r="A311" i="24142"/>
  <c r="L310" i="24142"/>
  <c r="J310" i="24142"/>
  <c r="H310" i="24142"/>
  <c r="F310" i="24142"/>
  <c r="D310" i="24142"/>
  <c r="B310" i="24142"/>
  <c r="A310" i="24142"/>
  <c r="L309" i="24142"/>
  <c r="J309" i="24142"/>
  <c r="H309" i="24142"/>
  <c r="F309" i="24142"/>
  <c r="D309" i="24142"/>
  <c r="B309" i="24142"/>
  <c r="A309" i="24142"/>
  <c r="A308" i="24142"/>
  <c r="A306" i="24142"/>
  <c r="H305" i="24142"/>
  <c r="F305" i="24142"/>
  <c r="D305" i="24142"/>
  <c r="A305" i="24142"/>
  <c r="L304" i="24142"/>
  <c r="J304" i="24142"/>
  <c r="H304" i="24142"/>
  <c r="F304" i="24142"/>
  <c r="D304" i="24142"/>
  <c r="B304" i="24142"/>
  <c r="A304" i="24142"/>
  <c r="A303" i="24142"/>
  <c r="L302" i="24142"/>
  <c r="J302" i="24142"/>
  <c r="H302" i="24142"/>
  <c r="F302" i="24142"/>
  <c r="D302" i="24142"/>
  <c r="B302" i="24142"/>
  <c r="A302" i="24142"/>
  <c r="A301" i="24142"/>
  <c r="A297" i="24142"/>
  <c r="A292" i="24142"/>
  <c r="A290" i="24142"/>
  <c r="A289" i="24142"/>
  <c r="A288" i="24142"/>
  <c r="A286" i="24142"/>
  <c r="A284" i="24142"/>
  <c r="A283" i="24142"/>
  <c r="A278" i="24142"/>
  <c r="A277" i="24142"/>
  <c r="A276" i="24142"/>
  <c r="A275" i="24142"/>
  <c r="CN276" i="24142"/>
  <c r="CL276" i="24142"/>
  <c r="CJ276" i="24142"/>
  <c r="CH276" i="24142"/>
  <c r="CF276" i="24142"/>
  <c r="CD276" i="24142"/>
  <c r="CB276" i="24142"/>
  <c r="CA276" i="24142"/>
  <c r="BZ276" i="24142"/>
  <c r="BX276" i="24142"/>
  <c r="BV276" i="24142"/>
  <c r="BT276" i="24142"/>
  <c r="BR276" i="24142"/>
  <c r="BP276" i="24142"/>
  <c r="BN276" i="24142"/>
  <c r="BL276" i="24142"/>
  <c r="BJ276" i="24142"/>
  <c r="BH276" i="24142"/>
  <c r="BF276" i="24142"/>
  <c r="BD276" i="24142"/>
  <c r="BB276" i="24142"/>
  <c r="AZ276" i="24142"/>
  <c r="AX276" i="24142"/>
  <c r="AV276" i="24142"/>
  <c r="AT276" i="24142"/>
  <c r="AR276" i="24142"/>
  <c r="AP276" i="24142"/>
  <c r="AN276" i="24142"/>
  <c r="AL276" i="24142"/>
  <c r="AJ276" i="24142"/>
  <c r="AH276" i="24142"/>
  <c r="AF276" i="24142"/>
  <c r="AD276" i="24142"/>
  <c r="AB276" i="24142"/>
  <c r="Z276" i="24142"/>
  <c r="X276" i="24142"/>
  <c r="V276" i="24142"/>
  <c r="T276" i="24142"/>
  <c r="R276" i="24142"/>
  <c r="P276" i="24142"/>
  <c r="N276" i="24142"/>
  <c r="L276" i="24142"/>
  <c r="J276" i="24142"/>
  <c r="H276" i="24142"/>
  <c r="F276" i="24142"/>
  <c r="D276" i="24142"/>
  <c r="A273" i="24142"/>
  <c r="A272" i="24142"/>
  <c r="A271" i="24142"/>
  <c r="A270" i="24142"/>
  <c r="A269" i="24142"/>
  <c r="A268" i="24142"/>
  <c r="AT272" i="24142"/>
  <c r="AR272" i="24142"/>
  <c r="AP272" i="24142"/>
  <c r="AN272" i="24142"/>
  <c r="AL272" i="24142"/>
  <c r="AJ272" i="24142"/>
  <c r="V272" i="24142"/>
  <c r="T272" i="24142"/>
  <c r="R272" i="24142"/>
  <c r="P272" i="24142"/>
  <c r="N272" i="24142"/>
  <c r="L272" i="24142"/>
  <c r="J272" i="24142"/>
  <c r="H272" i="24142"/>
  <c r="F272" i="24142"/>
  <c r="D272" i="24142"/>
  <c r="CN269" i="24142"/>
  <c r="CL269" i="24142"/>
  <c r="CJ269" i="24142"/>
  <c r="CH269" i="24142"/>
  <c r="CF269" i="24142"/>
  <c r="CD269" i="24142"/>
  <c r="CB269" i="24142"/>
  <c r="CA269" i="24142"/>
  <c r="BZ269" i="24142"/>
  <c r="BX269" i="24142"/>
  <c r="BV269" i="24142"/>
  <c r="BT269" i="24142"/>
  <c r="BR269" i="24142"/>
  <c r="BP269" i="24142"/>
  <c r="BN269" i="24142"/>
  <c r="BL269" i="24142"/>
  <c r="BJ269" i="24142"/>
  <c r="BH269" i="24142"/>
  <c r="BF269" i="24142"/>
  <c r="BD269" i="24142"/>
  <c r="BB269" i="24142"/>
  <c r="AZ269" i="24142"/>
  <c r="AX269" i="24142"/>
  <c r="AV269" i="24142"/>
  <c r="AN269" i="24142"/>
  <c r="AL269" i="24142"/>
  <c r="AJ269" i="24142"/>
  <c r="AH269" i="24142"/>
  <c r="AF269" i="24142"/>
  <c r="AD269" i="24142"/>
  <c r="AB269" i="24142"/>
  <c r="Z269" i="24142"/>
  <c r="P269" i="24142"/>
  <c r="N269" i="24142"/>
  <c r="L269" i="24142"/>
  <c r="J269" i="24142"/>
  <c r="H269" i="24142"/>
  <c r="F269" i="24142"/>
  <c r="D269" i="24142"/>
  <c r="A266" i="24142"/>
  <c r="A265" i="24142"/>
  <c r="A264" i="24142"/>
  <c r="A263" i="24142"/>
  <c r="A262" i="24142"/>
  <c r="CN265" i="24142"/>
  <c r="CL265" i="24142"/>
  <c r="CJ265" i="24142"/>
  <c r="CH265" i="24142"/>
  <c r="CF265" i="24142"/>
  <c r="CD265" i="24142"/>
  <c r="CB265" i="24142"/>
  <c r="CA265" i="24142"/>
  <c r="BZ265" i="24142"/>
  <c r="BX265" i="24142"/>
  <c r="BV265" i="24142"/>
  <c r="BT265" i="24142"/>
  <c r="BR265" i="24142"/>
  <c r="BP265" i="24142"/>
  <c r="BN265" i="24142"/>
  <c r="BL265" i="24142"/>
  <c r="BJ265" i="24142"/>
  <c r="BH265" i="24142"/>
  <c r="BF265" i="24142"/>
  <c r="BD265" i="24142"/>
  <c r="BB265" i="24142"/>
  <c r="AZ265" i="24142"/>
  <c r="AX265" i="24142"/>
  <c r="AV265" i="24142"/>
  <c r="AT265" i="24142"/>
  <c r="AR265" i="24142"/>
  <c r="AP265" i="24142"/>
  <c r="AN265" i="24142"/>
  <c r="AL265" i="24142"/>
  <c r="AJ265" i="24142"/>
  <c r="AH265" i="24142"/>
  <c r="AF265" i="24142"/>
  <c r="AB265" i="24142"/>
  <c r="Z265" i="24142"/>
  <c r="X265" i="24142"/>
  <c r="V265" i="24142"/>
  <c r="T265" i="24142"/>
  <c r="R265" i="24142"/>
  <c r="P265" i="24142"/>
  <c r="N265" i="24142"/>
  <c r="L265" i="24142"/>
  <c r="H265" i="24142"/>
  <c r="D265" i="24142"/>
  <c r="CN264" i="24142"/>
  <c r="CL264" i="24142"/>
  <c r="CJ264" i="24142"/>
  <c r="CH264" i="24142"/>
  <c r="CF264" i="24142"/>
  <c r="CD264" i="24142"/>
  <c r="CB264" i="24142"/>
  <c r="CA264" i="24142"/>
  <c r="BZ264" i="24142"/>
  <c r="BX264" i="24142"/>
  <c r="BV264" i="24142"/>
  <c r="BT264" i="24142"/>
  <c r="BR264" i="24142"/>
  <c r="BP264" i="24142"/>
  <c r="BN264" i="24142"/>
  <c r="BL264" i="24142"/>
  <c r="BJ264" i="24142"/>
  <c r="BH264" i="24142"/>
  <c r="BF264" i="24142"/>
  <c r="BD264" i="24142"/>
  <c r="BB264" i="24142"/>
  <c r="AZ264" i="24142"/>
  <c r="AX264" i="24142"/>
  <c r="AV264" i="24142"/>
  <c r="AT264" i="24142"/>
  <c r="AR264" i="24142"/>
  <c r="AP264" i="24142"/>
  <c r="AN264" i="24142"/>
  <c r="AL264" i="24142"/>
  <c r="AJ264" i="24142"/>
  <c r="AH264" i="24142"/>
  <c r="AF264" i="24142"/>
  <c r="AD264" i="24142"/>
  <c r="AB264" i="24142"/>
  <c r="Z264" i="24142"/>
  <c r="V264" i="24142"/>
  <c r="T264" i="24142"/>
  <c r="R264" i="24142"/>
  <c r="P264" i="24142"/>
  <c r="N264" i="24142"/>
  <c r="L264" i="24142"/>
  <c r="J264" i="24142"/>
  <c r="H264" i="24142"/>
  <c r="F264" i="24142"/>
  <c r="D264" i="24142"/>
  <c r="CN263" i="24142"/>
  <c r="CL263" i="24142"/>
  <c r="CJ263" i="24142"/>
  <c r="CH263" i="24142"/>
  <c r="CF263" i="24142"/>
  <c r="CD263" i="24142"/>
  <c r="CB263" i="24142"/>
  <c r="CA263" i="24142"/>
  <c r="BZ263" i="24142"/>
  <c r="BX263" i="24142"/>
  <c r="BV263" i="24142"/>
  <c r="BT263" i="24142"/>
  <c r="BR263" i="24142"/>
  <c r="BP263" i="24142"/>
  <c r="BN263" i="24142"/>
  <c r="BL263" i="24142"/>
  <c r="BJ263" i="24142"/>
  <c r="BH263" i="24142"/>
  <c r="BF263" i="24142"/>
  <c r="BD263" i="24142"/>
  <c r="BB263" i="24142"/>
  <c r="AZ263" i="24142"/>
  <c r="AX263" i="24142"/>
  <c r="AV263" i="24142"/>
  <c r="AT263" i="24142"/>
  <c r="AR263" i="24142"/>
  <c r="AP263" i="24142"/>
  <c r="AN263" i="24142"/>
  <c r="AL263" i="24142"/>
  <c r="AJ263" i="24142"/>
  <c r="AH263" i="24142"/>
  <c r="AF263" i="24142"/>
  <c r="AD263" i="24142"/>
  <c r="AB263" i="24142"/>
  <c r="Z263" i="24142"/>
  <c r="X263" i="24142"/>
  <c r="V263" i="24142"/>
  <c r="T263" i="24142"/>
  <c r="R263" i="24142"/>
  <c r="P263" i="24142"/>
  <c r="N263" i="24142"/>
  <c r="L263" i="24142"/>
  <c r="J263" i="24142"/>
  <c r="H263" i="24142"/>
  <c r="F263" i="24142"/>
  <c r="D263" i="24142"/>
  <c r="A258" i="24142"/>
  <c r="A253" i="24142"/>
  <c r="DR251" i="24142"/>
  <c r="DP251" i="24142"/>
  <c r="DN251" i="24142"/>
  <c r="DL251" i="24142"/>
  <c r="DJ251" i="24142"/>
  <c r="DH251" i="24142"/>
  <c r="DF251" i="24142"/>
  <c r="DD251" i="24142"/>
  <c r="DR250" i="24142"/>
  <c r="DP250" i="24142"/>
  <c r="DN250" i="24142"/>
  <c r="DL250" i="24142"/>
  <c r="DJ250" i="24142"/>
  <c r="DH250" i="24142"/>
  <c r="DF250" i="24142"/>
  <c r="DD250" i="24142"/>
  <c r="BO251" i="24142"/>
  <c r="BM251" i="24142"/>
  <c r="BK251" i="24142"/>
  <c r="BI251" i="24142"/>
  <c r="BG251" i="24142"/>
  <c r="BE251" i="24142"/>
  <c r="BC251" i="24142"/>
  <c r="BA251" i="24142"/>
  <c r="AY251" i="24142"/>
  <c r="AW251" i="24142"/>
  <c r="AU251" i="24142"/>
  <c r="AS251" i="24142"/>
  <c r="AQ251" i="24142"/>
  <c r="AO251" i="24142"/>
  <c r="AM251" i="24142"/>
  <c r="AK251" i="24142"/>
  <c r="AI251" i="24142"/>
  <c r="AG251" i="24142"/>
  <c r="AE251" i="24142"/>
  <c r="AC251" i="24142"/>
  <c r="AA251" i="24142"/>
  <c r="Y251" i="24142"/>
  <c r="W251" i="24142"/>
  <c r="U251" i="24142"/>
  <c r="S251" i="24142"/>
  <c r="Q251" i="24142"/>
  <c r="O251" i="24142"/>
  <c r="M251" i="24142"/>
  <c r="K251" i="24142"/>
  <c r="I251" i="24142"/>
  <c r="G251" i="24142"/>
  <c r="E251" i="24142"/>
  <c r="C251" i="24142"/>
  <c r="A251" i="24142"/>
  <c r="BO250" i="24142"/>
  <c r="BM250" i="24142"/>
  <c r="BK250" i="24142"/>
  <c r="BI250" i="24142"/>
  <c r="BG250" i="24142"/>
  <c r="BE250" i="24142"/>
  <c r="BC250" i="24142"/>
  <c r="BA250" i="24142"/>
  <c r="AY250" i="24142"/>
  <c r="AW250" i="24142"/>
  <c r="AU250" i="24142"/>
  <c r="AS250" i="24142"/>
  <c r="AQ250" i="24142"/>
  <c r="AO250" i="24142"/>
  <c r="AM250" i="24142"/>
  <c r="AK250" i="24142"/>
  <c r="AI250" i="24142"/>
  <c r="AG250" i="24142"/>
  <c r="AE250" i="24142"/>
  <c r="AC250" i="24142"/>
  <c r="AA250" i="24142"/>
  <c r="Y250" i="24142"/>
  <c r="W250" i="24142"/>
  <c r="U250" i="24142"/>
  <c r="S250" i="24142"/>
  <c r="Q250" i="24142"/>
  <c r="O250" i="24142"/>
  <c r="M250" i="24142"/>
  <c r="K250" i="24142"/>
  <c r="I250" i="24142"/>
  <c r="G250" i="24142"/>
  <c r="E250" i="24142"/>
  <c r="C250" i="24142"/>
  <c r="A250" i="24142"/>
  <c r="A249" i="24142"/>
  <c r="DR247" i="24142"/>
  <c r="DP247" i="24142"/>
  <c r="DN247" i="24142"/>
  <c r="DL247" i="24142"/>
  <c r="DJ247" i="24142"/>
  <c r="DH247" i="24142"/>
  <c r="DF247" i="24142"/>
  <c r="DE247" i="24142"/>
  <c r="DD247" i="24142"/>
  <c r="DC247" i="24142"/>
  <c r="DR246" i="24142"/>
  <c r="DP246" i="24142"/>
  <c r="DO246" i="24142"/>
  <c r="DN246" i="24142"/>
  <c r="DM246" i="24142"/>
  <c r="DL246" i="24142"/>
  <c r="DK246" i="24142"/>
  <c r="DJ246" i="24142"/>
  <c r="DI246" i="24142"/>
  <c r="DH246" i="24142"/>
  <c r="DG246" i="24142"/>
  <c r="DF246" i="24142"/>
  <c r="DE246" i="24142"/>
  <c r="DD246" i="24142"/>
  <c r="DC246" i="24142"/>
  <c r="DG245" i="24142"/>
  <c r="I247" i="24142"/>
  <c r="G247" i="24142"/>
  <c r="E247" i="24142"/>
  <c r="C247" i="24142"/>
  <c r="A247" i="24142"/>
  <c r="CN246" i="24142"/>
  <c r="CL246" i="24142"/>
  <c r="CJ246" i="24142"/>
  <c r="CH246" i="24142"/>
  <c r="CF246" i="24142"/>
  <c r="CD246" i="24142"/>
  <c r="CB246" i="24142"/>
  <c r="CA246" i="24142"/>
  <c r="BZ246" i="24142"/>
  <c r="BX246" i="24142"/>
  <c r="BV246" i="24142"/>
  <c r="BT246" i="24142"/>
  <c r="BR246" i="24142"/>
  <c r="BP246" i="24142"/>
  <c r="BO246" i="24142"/>
  <c r="BN246" i="24142"/>
  <c r="BM246" i="24142"/>
  <c r="BL246" i="24142"/>
  <c r="BK246" i="24142"/>
  <c r="BJ246" i="24142"/>
  <c r="BI246" i="24142"/>
  <c r="BH246" i="24142"/>
  <c r="BG246" i="24142"/>
  <c r="BF246" i="24142"/>
  <c r="BE246" i="24142"/>
  <c r="BD246" i="24142"/>
  <c r="BC246" i="24142"/>
  <c r="BB246" i="24142"/>
  <c r="AZ246" i="24142"/>
  <c r="AX246" i="24142"/>
  <c r="AV246" i="24142"/>
  <c r="AU246" i="24142"/>
  <c r="AT246" i="24142"/>
  <c r="AS246" i="24142"/>
  <c r="AR246" i="24142"/>
  <c r="AQ246" i="24142"/>
  <c r="AP246" i="24142"/>
  <c r="AO246" i="24142"/>
  <c r="AN246" i="24142"/>
  <c r="AM246" i="24142"/>
  <c r="AL246" i="24142"/>
  <c r="AK246" i="24142"/>
  <c r="AJ246" i="24142"/>
  <c r="AI246" i="24142"/>
  <c r="AH246" i="24142"/>
  <c r="AG246" i="24142"/>
  <c r="AF246" i="24142"/>
  <c r="AE246" i="24142"/>
  <c r="AD246" i="24142"/>
  <c r="AC246" i="24142"/>
  <c r="AB246" i="24142"/>
  <c r="AA246" i="24142"/>
  <c r="Z246" i="24142"/>
  <c r="Y246" i="24142"/>
  <c r="X246" i="24142"/>
  <c r="W246" i="24142"/>
  <c r="V246" i="24142"/>
  <c r="U246" i="24142"/>
  <c r="T246" i="24142"/>
  <c r="S246" i="24142"/>
  <c r="R246" i="24142"/>
  <c r="Q246" i="24142"/>
  <c r="P246" i="24142"/>
  <c r="O246" i="24142"/>
  <c r="N246" i="24142"/>
  <c r="M246" i="24142"/>
  <c r="L246" i="24142"/>
  <c r="K246" i="24142"/>
  <c r="J246" i="24142"/>
  <c r="I246" i="24142"/>
  <c r="H246" i="24142"/>
  <c r="G246" i="24142"/>
  <c r="F246" i="24142"/>
  <c r="E246" i="24142"/>
  <c r="D246" i="24142"/>
  <c r="C246" i="24142"/>
  <c r="B246" i="24142"/>
  <c r="A246" i="24142"/>
  <c r="A245" i="24142"/>
  <c r="CN244" i="24142"/>
  <c r="CL244" i="24142"/>
  <c r="CJ244" i="24142"/>
  <c r="CH244" i="24142"/>
  <c r="CF244" i="24142"/>
  <c r="CD244" i="24142"/>
  <c r="CB244" i="24142"/>
  <c r="CA244" i="24142"/>
  <c r="BZ244" i="24142"/>
  <c r="BX244" i="24142"/>
  <c r="BV244" i="24142"/>
  <c r="BT244" i="24142"/>
  <c r="BR244" i="24142"/>
  <c r="BP244" i="24142"/>
  <c r="BN244" i="24142"/>
  <c r="BL244" i="24142"/>
  <c r="BJ244" i="24142"/>
  <c r="BH244" i="24142"/>
  <c r="BF244" i="24142"/>
  <c r="BD244" i="24142"/>
  <c r="BB244" i="24142"/>
  <c r="AZ244" i="24142"/>
  <c r="AX244" i="24142"/>
  <c r="AV244" i="24142"/>
  <c r="AT244" i="24142"/>
  <c r="AR244" i="24142"/>
  <c r="AP244" i="24142"/>
  <c r="AN244" i="24142"/>
  <c r="AL244" i="24142"/>
  <c r="AJ244" i="24142"/>
  <c r="AH244" i="24142"/>
  <c r="AF244" i="24142"/>
  <c r="AD244" i="24142"/>
  <c r="AB244" i="24142"/>
  <c r="Z244" i="24142"/>
  <c r="X244" i="24142"/>
  <c r="V244" i="24142"/>
  <c r="T244" i="24142"/>
  <c r="R244" i="24142"/>
  <c r="P244" i="24142"/>
  <c r="N244" i="24142"/>
  <c r="L244" i="24142"/>
  <c r="J244" i="24142"/>
  <c r="H244" i="24142"/>
  <c r="F244" i="24142"/>
  <c r="D244" i="24142"/>
  <c r="B244" i="24142"/>
  <c r="A244" i="24142"/>
  <c r="CN243" i="24142"/>
  <c r="CL243" i="24142"/>
  <c r="CJ243" i="24142"/>
  <c r="CH243" i="24142"/>
  <c r="CF243" i="24142"/>
  <c r="CD243" i="24142"/>
  <c r="CB243" i="24142"/>
  <c r="CA243" i="24142"/>
  <c r="BZ243" i="24142"/>
  <c r="BX243" i="24142"/>
  <c r="BV243" i="24142"/>
  <c r="BT243" i="24142"/>
  <c r="BR243" i="24142"/>
  <c r="BP243" i="24142"/>
  <c r="BN243" i="24142"/>
  <c r="BL243" i="24142"/>
  <c r="BJ243" i="24142"/>
  <c r="BH243" i="24142"/>
  <c r="BF243" i="24142"/>
  <c r="BD243" i="24142"/>
  <c r="BB243" i="24142"/>
  <c r="AZ243" i="24142"/>
  <c r="AX243" i="24142"/>
  <c r="AV243" i="24142"/>
  <c r="AT243" i="24142"/>
  <c r="AR243" i="24142"/>
  <c r="AP243" i="24142"/>
  <c r="AN243" i="24142"/>
  <c r="AL243" i="24142"/>
  <c r="AJ243" i="24142"/>
  <c r="AH243" i="24142"/>
  <c r="AF243" i="24142"/>
  <c r="AD243" i="24142"/>
  <c r="AB243" i="24142"/>
  <c r="Z243" i="24142"/>
  <c r="X243" i="24142"/>
  <c r="V243" i="24142"/>
  <c r="T243" i="24142"/>
  <c r="R243" i="24142"/>
  <c r="P243" i="24142"/>
  <c r="N243" i="24142"/>
  <c r="L243" i="24142"/>
  <c r="J243" i="24142"/>
  <c r="H243" i="24142"/>
  <c r="F243" i="24142"/>
  <c r="D243" i="24142"/>
  <c r="B243" i="24142"/>
  <c r="A243" i="24142"/>
  <c r="CN242" i="24142"/>
  <c r="CL242" i="24142"/>
  <c r="CJ242" i="24142"/>
  <c r="CH242" i="24142"/>
  <c r="CF242" i="24142"/>
  <c r="CD242" i="24142"/>
  <c r="CB242" i="24142"/>
  <c r="CA242" i="24142"/>
  <c r="BZ242" i="24142"/>
  <c r="BX242" i="24142"/>
  <c r="BV242" i="24142"/>
  <c r="BT242" i="24142"/>
  <c r="BR242" i="24142"/>
  <c r="BP242" i="24142"/>
  <c r="BN242" i="24142"/>
  <c r="BL242" i="24142"/>
  <c r="BJ242" i="24142"/>
  <c r="BH242" i="24142"/>
  <c r="BF242" i="24142"/>
  <c r="BD242" i="24142"/>
  <c r="BB242" i="24142"/>
  <c r="AZ242" i="24142"/>
  <c r="AX242" i="24142"/>
  <c r="AV242" i="24142"/>
  <c r="AT242" i="24142"/>
  <c r="AR242" i="24142"/>
  <c r="AP242" i="24142"/>
  <c r="AN242" i="24142"/>
  <c r="AL242" i="24142"/>
  <c r="AJ242" i="24142"/>
  <c r="AH242" i="24142"/>
  <c r="AF242" i="24142"/>
  <c r="AD242" i="24142"/>
  <c r="AB242" i="24142"/>
  <c r="Z242" i="24142"/>
  <c r="X242" i="24142"/>
  <c r="V242" i="24142"/>
  <c r="T242" i="24142"/>
  <c r="R242" i="24142"/>
  <c r="P242" i="24142"/>
  <c r="N242" i="24142"/>
  <c r="L242" i="24142"/>
  <c r="J242" i="24142"/>
  <c r="H242" i="24142"/>
  <c r="F242" i="24142"/>
  <c r="D242" i="24142"/>
  <c r="B242" i="24142"/>
  <c r="A242" i="24142"/>
  <c r="CN241" i="24142"/>
  <c r="CL241" i="24142"/>
  <c r="CJ241" i="24142"/>
  <c r="CH241" i="24142"/>
  <c r="CF241" i="24142"/>
  <c r="CD241" i="24142"/>
  <c r="CB241" i="24142"/>
  <c r="CA241" i="24142"/>
  <c r="BZ241" i="24142"/>
  <c r="BX241" i="24142"/>
  <c r="BV241" i="24142"/>
  <c r="BT241" i="24142"/>
  <c r="BR241" i="24142"/>
  <c r="BP241" i="24142"/>
  <c r="BN241" i="24142"/>
  <c r="BL241" i="24142"/>
  <c r="BJ241" i="24142"/>
  <c r="BH241" i="24142"/>
  <c r="BF241" i="24142"/>
  <c r="BD241" i="24142"/>
  <c r="BB241" i="24142"/>
  <c r="AZ241" i="24142"/>
  <c r="AX241" i="24142"/>
  <c r="AV241" i="24142"/>
  <c r="AT241" i="24142"/>
  <c r="AR241" i="24142"/>
  <c r="AP241" i="24142"/>
  <c r="AN241" i="24142"/>
  <c r="AL241" i="24142"/>
  <c r="AJ241" i="24142"/>
  <c r="AH241" i="24142"/>
  <c r="AF241" i="24142"/>
  <c r="AD241" i="24142"/>
  <c r="AB241" i="24142"/>
  <c r="Z241" i="24142"/>
  <c r="X241" i="24142"/>
  <c r="V241" i="24142"/>
  <c r="T241" i="24142"/>
  <c r="R241" i="24142"/>
  <c r="P241" i="24142"/>
  <c r="N241" i="24142"/>
  <c r="L241" i="24142"/>
  <c r="J241" i="24142"/>
  <c r="H241" i="24142"/>
  <c r="F241" i="24142"/>
  <c r="D241" i="24142"/>
  <c r="B241" i="24142"/>
  <c r="A241" i="24142"/>
  <c r="J240" i="24142"/>
  <c r="A240" i="24142"/>
  <c r="A239" i="24142"/>
  <c r="DR237" i="24142"/>
  <c r="DP237" i="24142"/>
  <c r="DN237" i="24142"/>
  <c r="DL237" i="24142"/>
  <c r="DJ237" i="24142"/>
  <c r="DH237" i="24142"/>
  <c r="DF237" i="24142"/>
  <c r="DD237" i="24142"/>
  <c r="DR236" i="24142"/>
  <c r="DP236" i="24142"/>
  <c r="DN236" i="24142"/>
  <c r="DL236" i="24142"/>
  <c r="DJ236" i="24142"/>
  <c r="DH236" i="24142"/>
  <c r="DF236" i="24142"/>
  <c r="DD236" i="24142"/>
  <c r="BO237" i="24142"/>
  <c r="BM237" i="24142"/>
  <c r="BK237" i="24142"/>
  <c r="BI237" i="24142"/>
  <c r="BG237" i="24142"/>
  <c r="BE237" i="24142"/>
  <c r="BC237" i="24142"/>
  <c r="BA237" i="24142"/>
  <c r="AY237" i="24142"/>
  <c r="AW237" i="24142"/>
  <c r="AU237" i="24142"/>
  <c r="AS237" i="24142"/>
  <c r="AQ237" i="24142"/>
  <c r="AO237" i="24142"/>
  <c r="AM237" i="24142"/>
  <c r="AK237" i="24142"/>
  <c r="AI237" i="24142"/>
  <c r="AG237" i="24142"/>
  <c r="AE237" i="24142"/>
  <c r="AC237" i="24142"/>
  <c r="AA237" i="24142"/>
  <c r="Y237" i="24142"/>
  <c r="W237" i="24142"/>
  <c r="U237" i="24142"/>
  <c r="S237" i="24142"/>
  <c r="Q237" i="24142"/>
  <c r="O237" i="24142"/>
  <c r="M237" i="24142"/>
  <c r="K237" i="24142"/>
  <c r="I237" i="24142"/>
  <c r="G237" i="24142"/>
  <c r="E237" i="24142"/>
  <c r="C237" i="24142"/>
  <c r="A237" i="24142"/>
  <c r="BO236" i="24142"/>
  <c r="BM236" i="24142"/>
  <c r="BK236" i="24142"/>
  <c r="BI236" i="24142"/>
  <c r="BG236" i="24142"/>
  <c r="BE236" i="24142"/>
  <c r="BC236" i="24142"/>
  <c r="BA236" i="24142"/>
  <c r="AY236" i="24142"/>
  <c r="AW236" i="24142"/>
  <c r="AU236" i="24142"/>
  <c r="AS236" i="24142"/>
  <c r="AQ236" i="24142"/>
  <c r="AO236" i="24142"/>
  <c r="AM236" i="24142"/>
  <c r="AK236" i="24142"/>
  <c r="AI236" i="24142"/>
  <c r="AG236" i="24142"/>
  <c r="AE236" i="24142"/>
  <c r="AC236" i="24142"/>
  <c r="AA236" i="24142"/>
  <c r="Y236" i="24142"/>
  <c r="W236" i="24142"/>
  <c r="U236" i="24142"/>
  <c r="S236" i="24142"/>
  <c r="Q236" i="24142"/>
  <c r="O236" i="24142"/>
  <c r="M236" i="24142"/>
  <c r="K236" i="24142"/>
  <c r="I236" i="24142"/>
  <c r="G236" i="24142"/>
  <c r="E236" i="24142"/>
  <c r="C236" i="24142"/>
  <c r="A236" i="24142"/>
  <c r="A235" i="24142"/>
  <c r="DR233" i="24142"/>
  <c r="DP233" i="24142"/>
  <c r="DN233" i="24142"/>
  <c r="DL233" i="24142"/>
  <c r="DJ233" i="24142"/>
  <c r="DH233" i="24142"/>
  <c r="DF233" i="24142"/>
  <c r="DE233" i="24142"/>
  <c r="DD233" i="24142"/>
  <c r="DC233" i="24142"/>
  <c r="DJ232" i="24142"/>
  <c r="DH232" i="24142"/>
  <c r="DG232" i="24142"/>
  <c r="DF232" i="24142"/>
  <c r="DE232" i="24142"/>
  <c r="DD232" i="24142"/>
  <c r="DC232" i="24142"/>
  <c r="DG231" i="24142"/>
  <c r="EI230" i="24142"/>
  <c r="EG230" i="24142"/>
  <c r="EE230" i="24142"/>
  <c r="DD230" i="24142"/>
  <c r="DC230" i="24142"/>
  <c r="BO233" i="24142"/>
  <c r="BM233" i="24142"/>
  <c r="BK233" i="24142"/>
  <c r="BI233" i="24142"/>
  <c r="BG233" i="24142"/>
  <c r="BE233" i="24142"/>
  <c r="BC233" i="24142"/>
  <c r="BA233" i="24142"/>
  <c r="AY233" i="24142"/>
  <c r="AW233" i="24142"/>
  <c r="AU233" i="24142"/>
  <c r="AS233" i="24142"/>
  <c r="AQ233" i="24142"/>
  <c r="AO233" i="24142"/>
  <c r="AM233" i="24142"/>
  <c r="AK233" i="24142"/>
  <c r="AI233" i="24142"/>
  <c r="AG233" i="24142"/>
  <c r="AE233" i="24142"/>
  <c r="AC233" i="24142"/>
  <c r="AA233" i="24142"/>
  <c r="Y233" i="24142"/>
  <c r="W233" i="24142"/>
  <c r="U233" i="24142"/>
  <c r="S233" i="24142"/>
  <c r="Q233" i="24142"/>
  <c r="O233" i="24142"/>
  <c r="M233" i="24142"/>
  <c r="K233" i="24142"/>
  <c r="I233" i="24142"/>
  <c r="G233" i="24142"/>
  <c r="E233" i="24142"/>
  <c r="C233" i="24142"/>
  <c r="A233" i="24142"/>
  <c r="CN232" i="24142"/>
  <c r="CL232" i="24142"/>
  <c r="CJ232" i="24142"/>
  <c r="CH232" i="24142"/>
  <c r="CF232" i="24142"/>
  <c r="CD232" i="24142"/>
  <c r="CB232" i="24142"/>
  <c r="CA232" i="24142"/>
  <c r="BZ232" i="24142"/>
  <c r="BX232" i="24142"/>
  <c r="BV232" i="24142"/>
  <c r="BT232" i="24142"/>
  <c r="BR232" i="24142"/>
  <c r="BP232" i="24142"/>
  <c r="BO232" i="24142"/>
  <c r="BN232" i="24142"/>
  <c r="BM232" i="24142"/>
  <c r="BL232" i="24142"/>
  <c r="BK232" i="24142"/>
  <c r="BJ232" i="24142"/>
  <c r="BI232" i="24142"/>
  <c r="BH232" i="24142"/>
  <c r="BG232" i="24142"/>
  <c r="BF232" i="24142"/>
  <c r="BE232" i="24142"/>
  <c r="BD232" i="24142"/>
  <c r="BC232" i="24142"/>
  <c r="BB232" i="24142"/>
  <c r="BA232" i="24142"/>
  <c r="AZ232" i="24142"/>
  <c r="AY232" i="24142"/>
  <c r="AX232" i="24142"/>
  <c r="AW232" i="24142"/>
  <c r="AV232" i="24142"/>
  <c r="AU232" i="24142"/>
  <c r="AT232" i="24142"/>
  <c r="AS232" i="24142"/>
  <c r="AR232" i="24142"/>
  <c r="AQ232" i="24142"/>
  <c r="AP232" i="24142"/>
  <c r="AO232" i="24142"/>
  <c r="AN232" i="24142"/>
  <c r="AM232" i="24142"/>
  <c r="AL232" i="24142"/>
  <c r="AK232" i="24142"/>
  <c r="AJ232" i="24142"/>
  <c r="AI232" i="24142"/>
  <c r="AH232" i="24142"/>
  <c r="AG232" i="24142"/>
  <c r="AF232" i="24142"/>
  <c r="AE232" i="24142"/>
  <c r="AD232" i="24142"/>
  <c r="AC232" i="24142"/>
  <c r="AB232" i="24142"/>
  <c r="AA232" i="24142"/>
  <c r="Z232" i="24142"/>
  <c r="Y232" i="24142"/>
  <c r="X232" i="24142"/>
  <c r="W232" i="24142"/>
  <c r="V232" i="24142"/>
  <c r="U232" i="24142"/>
  <c r="T232" i="24142"/>
  <c r="S232" i="24142"/>
  <c r="R232" i="24142"/>
  <c r="Q232" i="24142"/>
  <c r="P232" i="24142"/>
  <c r="O232" i="24142"/>
  <c r="N232" i="24142"/>
  <c r="M232" i="24142"/>
  <c r="L232" i="24142"/>
  <c r="K232" i="24142"/>
  <c r="J232" i="24142"/>
  <c r="I232" i="24142"/>
  <c r="H232" i="24142"/>
  <c r="G232" i="24142"/>
  <c r="F232" i="24142"/>
  <c r="E232" i="24142"/>
  <c r="D232" i="24142"/>
  <c r="C232" i="24142"/>
  <c r="B232" i="24142"/>
  <c r="A232" i="24142"/>
  <c r="A231" i="24142"/>
  <c r="CR230" i="24142"/>
  <c r="CP230" i="24142"/>
  <c r="CN230" i="24142"/>
  <c r="CL230" i="24142"/>
  <c r="CJ230" i="24142"/>
  <c r="CH230" i="24142"/>
  <c r="CF230" i="24142"/>
  <c r="CD230" i="24142"/>
  <c r="CB230" i="24142"/>
  <c r="CA230" i="24142"/>
  <c r="BZ230" i="24142"/>
  <c r="BX230" i="24142"/>
  <c r="BV230" i="24142"/>
  <c r="BT230" i="24142"/>
  <c r="BR230" i="24142"/>
  <c r="BP230" i="24142"/>
  <c r="BO230" i="24142"/>
  <c r="BN230" i="24142"/>
  <c r="BM230" i="24142"/>
  <c r="BL230" i="24142"/>
  <c r="BK230" i="24142"/>
  <c r="BJ230" i="24142"/>
  <c r="BI230" i="24142"/>
  <c r="BH230" i="24142"/>
  <c r="BG230" i="24142"/>
  <c r="BF230" i="24142"/>
  <c r="BE230" i="24142"/>
  <c r="BD230" i="24142"/>
  <c r="BC230" i="24142"/>
  <c r="BB230" i="24142"/>
  <c r="BA230" i="24142"/>
  <c r="AZ230" i="24142"/>
  <c r="AY230" i="24142"/>
  <c r="AX230" i="24142"/>
  <c r="AW230" i="24142"/>
  <c r="AV230" i="24142"/>
  <c r="AU230" i="24142"/>
  <c r="AT230" i="24142"/>
  <c r="AS230" i="24142"/>
  <c r="AR230" i="24142"/>
  <c r="AQ230" i="24142"/>
  <c r="AP230" i="24142"/>
  <c r="AO230" i="24142"/>
  <c r="AN230" i="24142"/>
  <c r="AM230" i="24142"/>
  <c r="AL230" i="24142"/>
  <c r="AK230" i="24142"/>
  <c r="AJ230" i="24142"/>
  <c r="AI230" i="24142"/>
  <c r="AH230" i="24142"/>
  <c r="AG230" i="24142"/>
  <c r="AF230" i="24142"/>
  <c r="AE230" i="24142"/>
  <c r="AD230" i="24142"/>
  <c r="AC230" i="24142"/>
  <c r="AB230" i="24142"/>
  <c r="AA230" i="24142"/>
  <c r="Z230" i="24142"/>
  <c r="Y230" i="24142"/>
  <c r="X230" i="24142"/>
  <c r="W230" i="24142"/>
  <c r="V230" i="24142"/>
  <c r="U230" i="24142"/>
  <c r="T230" i="24142"/>
  <c r="S230" i="24142"/>
  <c r="R230" i="24142"/>
  <c r="Q230" i="24142"/>
  <c r="P230" i="24142"/>
  <c r="O230" i="24142"/>
  <c r="N230" i="24142"/>
  <c r="M230" i="24142"/>
  <c r="L230" i="24142"/>
  <c r="K230" i="24142"/>
  <c r="J230" i="24142"/>
  <c r="I230" i="24142"/>
  <c r="H230" i="24142"/>
  <c r="G230" i="24142"/>
  <c r="F230" i="24142"/>
  <c r="E230" i="24142"/>
  <c r="D230" i="24142"/>
  <c r="C230" i="24142"/>
  <c r="B230" i="24142"/>
  <c r="A230" i="24142"/>
  <c r="CN229" i="24142"/>
  <c r="CL229" i="24142"/>
  <c r="CJ229" i="24142"/>
  <c r="CH229" i="24142"/>
  <c r="CF229" i="24142"/>
  <c r="CD229" i="24142"/>
  <c r="CB229" i="24142"/>
  <c r="CA229" i="24142"/>
  <c r="BZ229" i="24142"/>
  <c r="BX229" i="24142"/>
  <c r="BV229" i="24142"/>
  <c r="BT229" i="24142"/>
  <c r="BR229" i="24142"/>
  <c r="BP229" i="24142"/>
  <c r="BN229" i="24142"/>
  <c r="BL229" i="24142"/>
  <c r="BJ229" i="24142"/>
  <c r="BH229" i="24142"/>
  <c r="BF229" i="24142"/>
  <c r="BD229" i="24142"/>
  <c r="BB229" i="24142"/>
  <c r="AZ229" i="24142"/>
  <c r="AX229" i="24142"/>
  <c r="AV229" i="24142"/>
  <c r="AT229" i="24142"/>
  <c r="AR229" i="24142"/>
  <c r="AP229" i="24142"/>
  <c r="AN229" i="24142"/>
  <c r="AL229" i="24142"/>
  <c r="AJ229" i="24142"/>
  <c r="AH229" i="24142"/>
  <c r="AF229" i="24142"/>
  <c r="AD229" i="24142"/>
  <c r="AB229" i="24142"/>
  <c r="Z229" i="24142"/>
  <c r="X229" i="24142"/>
  <c r="V229" i="24142"/>
  <c r="T229" i="24142"/>
  <c r="R229" i="24142"/>
  <c r="P229" i="24142"/>
  <c r="N229" i="24142"/>
  <c r="L229" i="24142"/>
  <c r="J229" i="24142"/>
  <c r="H229" i="24142"/>
  <c r="F229" i="24142"/>
  <c r="D229" i="24142"/>
  <c r="B229" i="24142"/>
  <c r="A229" i="24142"/>
  <c r="CN228" i="24142"/>
  <c r="CL228" i="24142"/>
  <c r="CJ228" i="24142"/>
  <c r="CH228" i="24142"/>
  <c r="CF228" i="24142"/>
  <c r="CD228" i="24142"/>
  <c r="CB228" i="24142"/>
  <c r="CA228" i="24142"/>
  <c r="BZ228" i="24142"/>
  <c r="BX228" i="24142"/>
  <c r="BV228" i="24142"/>
  <c r="BT228" i="24142"/>
  <c r="BR228" i="24142"/>
  <c r="BP228" i="24142"/>
  <c r="BN228" i="24142"/>
  <c r="BL228" i="24142"/>
  <c r="BJ228" i="24142"/>
  <c r="BH228" i="24142"/>
  <c r="BF228" i="24142"/>
  <c r="BD228" i="24142"/>
  <c r="BB228" i="24142"/>
  <c r="AZ228" i="24142"/>
  <c r="AX228" i="24142"/>
  <c r="AV228" i="24142"/>
  <c r="AT228" i="24142"/>
  <c r="AR228" i="24142"/>
  <c r="AP228" i="24142"/>
  <c r="AN228" i="24142"/>
  <c r="AL228" i="24142"/>
  <c r="AJ228" i="24142"/>
  <c r="AH228" i="24142"/>
  <c r="AF228" i="24142"/>
  <c r="AD228" i="24142"/>
  <c r="AB228" i="24142"/>
  <c r="Z228" i="24142"/>
  <c r="X228" i="24142"/>
  <c r="V228" i="24142"/>
  <c r="T228" i="24142"/>
  <c r="R228" i="24142"/>
  <c r="P228" i="24142"/>
  <c r="N228" i="24142"/>
  <c r="L228" i="24142"/>
  <c r="J228" i="24142"/>
  <c r="H228" i="24142"/>
  <c r="F228" i="24142"/>
  <c r="D228" i="24142"/>
  <c r="B228" i="24142"/>
  <c r="A228" i="24142"/>
  <c r="CN227" i="24142"/>
  <c r="CL227" i="24142"/>
  <c r="CJ227" i="24142"/>
  <c r="CH227" i="24142"/>
  <c r="CF227" i="24142"/>
  <c r="CD227" i="24142"/>
  <c r="CB227" i="24142"/>
  <c r="CA227" i="24142"/>
  <c r="BZ227" i="24142"/>
  <c r="BX227" i="24142"/>
  <c r="BV227" i="24142"/>
  <c r="BT227" i="24142"/>
  <c r="BR227" i="24142"/>
  <c r="BP227" i="24142"/>
  <c r="BN227" i="24142"/>
  <c r="BL227" i="24142"/>
  <c r="BJ227" i="24142"/>
  <c r="BH227" i="24142"/>
  <c r="BF227" i="24142"/>
  <c r="BD227" i="24142"/>
  <c r="BB227" i="24142"/>
  <c r="AZ227" i="24142"/>
  <c r="AX227" i="24142"/>
  <c r="AV227" i="24142"/>
  <c r="AT227" i="24142"/>
  <c r="AR227" i="24142"/>
  <c r="AP227" i="24142"/>
  <c r="AN227" i="24142"/>
  <c r="AL227" i="24142"/>
  <c r="AJ227" i="24142"/>
  <c r="AH227" i="24142"/>
  <c r="AF227" i="24142"/>
  <c r="AD227" i="24142"/>
  <c r="AB227" i="24142"/>
  <c r="Z227" i="24142"/>
  <c r="X227" i="24142"/>
  <c r="V227" i="24142"/>
  <c r="T227" i="24142"/>
  <c r="R227" i="24142"/>
  <c r="P227" i="24142"/>
  <c r="N227" i="24142"/>
  <c r="L227" i="24142"/>
  <c r="J227" i="24142"/>
  <c r="H227" i="24142"/>
  <c r="F227" i="24142"/>
  <c r="D227" i="24142"/>
  <c r="B227" i="24142"/>
  <c r="A227" i="24142"/>
  <c r="J226" i="24142"/>
  <c r="A226" i="24142"/>
  <c r="A225" i="24142"/>
  <c r="A221" i="24142"/>
  <c r="A216" i="24142"/>
  <c r="A214" i="24142"/>
  <c r="A213" i="24142"/>
  <c r="A212" i="24142"/>
  <c r="EM210" i="24142"/>
  <c r="EJ210" i="24142"/>
  <c r="EI210" i="24142"/>
  <c r="EH210" i="24142"/>
  <c r="EG210" i="24142"/>
  <c r="EF210" i="24142"/>
  <c r="EE210" i="24142"/>
  <c r="EB210" i="24142"/>
  <c r="EA210" i="24142"/>
  <c r="DZ210" i="24142"/>
  <c r="DY210" i="24142"/>
  <c r="DX210" i="24142"/>
  <c r="DW210" i="24142"/>
  <c r="DV210" i="24142"/>
  <c r="DU210" i="24142"/>
  <c r="DT210" i="24142"/>
  <c r="DS210" i="24142"/>
  <c r="DR210" i="24142"/>
  <c r="DQ210" i="24142"/>
  <c r="EM209" i="24142"/>
  <c r="EJ209" i="24142"/>
  <c r="EI209" i="24142"/>
  <c r="EH209" i="24142"/>
  <c r="EG209" i="24142"/>
  <c r="EF209" i="24142"/>
  <c r="EE209" i="24142"/>
  <c r="EB209" i="24142"/>
  <c r="EA209" i="24142"/>
  <c r="DZ209" i="24142"/>
  <c r="DY209" i="24142"/>
  <c r="DX209" i="24142"/>
  <c r="DW209" i="24142"/>
  <c r="DV209" i="24142"/>
  <c r="DU209" i="24142"/>
  <c r="DT209" i="24142"/>
  <c r="DS209" i="24142"/>
  <c r="DR209" i="24142"/>
  <c r="DQ209" i="24142"/>
  <c r="EM208" i="24142"/>
  <c r="EJ208" i="24142"/>
  <c r="EI208" i="24142"/>
  <c r="EH208" i="24142"/>
  <c r="EG208" i="24142"/>
  <c r="EF208" i="24142"/>
  <c r="EE208" i="24142"/>
  <c r="EB208" i="24142"/>
  <c r="EA208" i="24142"/>
  <c r="DZ208" i="24142"/>
  <c r="DY208" i="24142"/>
  <c r="DX208" i="24142"/>
  <c r="DW208" i="24142"/>
  <c r="DV208" i="24142"/>
  <c r="DU208" i="24142"/>
  <c r="DT208" i="24142"/>
  <c r="DS208" i="24142"/>
  <c r="DR208" i="24142"/>
  <c r="DQ208" i="24142"/>
  <c r="CR210" i="24142"/>
  <c r="CP210" i="24142"/>
  <c r="A210" i="24142"/>
  <c r="CR209" i="24142"/>
  <c r="CP209" i="24142"/>
  <c r="CN209" i="24142"/>
  <c r="CL209" i="24142"/>
  <c r="CJ209" i="24142"/>
  <c r="CH209" i="24142"/>
  <c r="CF209" i="24142"/>
  <c r="CD209" i="24142"/>
  <c r="CB209" i="24142"/>
  <c r="CA209" i="24142"/>
  <c r="BZ209" i="24142"/>
  <c r="BX209" i="24142"/>
  <c r="BV209" i="24142"/>
  <c r="BT209" i="24142"/>
  <c r="BR209" i="24142"/>
  <c r="BP209" i="24142"/>
  <c r="BN209" i="24142"/>
  <c r="BL209" i="24142"/>
  <c r="BJ209" i="24142"/>
  <c r="BH209" i="24142"/>
  <c r="BF209" i="24142"/>
  <c r="BD209" i="24142"/>
  <c r="BB209" i="24142"/>
  <c r="AZ209" i="24142"/>
  <c r="AX209" i="24142"/>
  <c r="AV209" i="24142"/>
  <c r="AT209" i="24142"/>
  <c r="AR209" i="24142"/>
  <c r="AP209" i="24142"/>
  <c r="AN209" i="24142"/>
  <c r="AL209" i="24142"/>
  <c r="AJ209" i="24142"/>
  <c r="AH209" i="24142"/>
  <c r="AF209" i="24142"/>
  <c r="AD209" i="24142"/>
  <c r="AB209" i="24142"/>
  <c r="Z209" i="24142"/>
  <c r="X209" i="24142"/>
  <c r="V209" i="24142"/>
  <c r="T209" i="24142"/>
  <c r="R209" i="24142"/>
  <c r="P209" i="24142"/>
  <c r="N209" i="24142"/>
  <c r="L209" i="24142"/>
  <c r="J209" i="24142"/>
  <c r="H209" i="24142"/>
  <c r="D209" i="24142"/>
  <c r="B209" i="24142"/>
  <c r="A209" i="24142"/>
  <c r="CR208" i="24142"/>
  <c r="CP208" i="24142"/>
  <c r="CN208" i="24142"/>
  <c r="CL208" i="24142"/>
  <c r="CJ208" i="24142"/>
  <c r="CH208" i="24142"/>
  <c r="CF208" i="24142"/>
  <c r="CD208" i="24142"/>
  <c r="CB208" i="24142"/>
  <c r="CA208" i="24142"/>
  <c r="BZ208" i="24142"/>
  <c r="BX208" i="24142"/>
  <c r="BV208" i="24142"/>
  <c r="BT208" i="24142"/>
  <c r="BR208" i="24142"/>
  <c r="BP208" i="24142"/>
  <c r="BN208" i="24142"/>
  <c r="BL208" i="24142"/>
  <c r="BJ208" i="24142"/>
  <c r="BH208" i="24142"/>
  <c r="BF208" i="24142"/>
  <c r="BD208" i="24142"/>
  <c r="BB208" i="24142"/>
  <c r="AZ208" i="24142"/>
  <c r="AX208" i="24142"/>
  <c r="AV208" i="24142"/>
  <c r="AT208" i="24142"/>
  <c r="AR208" i="24142"/>
  <c r="AP208" i="24142"/>
  <c r="AN208" i="24142"/>
  <c r="AL208" i="24142"/>
  <c r="AJ208" i="24142"/>
  <c r="AH208" i="24142"/>
  <c r="AF208" i="24142"/>
  <c r="AD208" i="24142"/>
  <c r="AB208" i="24142"/>
  <c r="Z208" i="24142"/>
  <c r="X208" i="24142"/>
  <c r="V208" i="24142"/>
  <c r="T208" i="24142"/>
  <c r="R208" i="24142"/>
  <c r="P208" i="24142"/>
  <c r="N208" i="24142"/>
  <c r="L208" i="24142"/>
  <c r="J208" i="24142"/>
  <c r="H208" i="24142"/>
  <c r="D208" i="24142"/>
  <c r="B208" i="24142"/>
  <c r="A208" i="24142"/>
  <c r="A205" i="24142"/>
  <c r="A204" i="24142"/>
  <c r="A201" i="24142"/>
  <c r="A200" i="24142"/>
  <c r="DR196" i="24142"/>
  <c r="DP196" i="24142"/>
  <c r="DN196" i="24142"/>
  <c r="DL196" i="24142"/>
  <c r="DJ196" i="24142"/>
  <c r="DH196" i="24142"/>
  <c r="DF196" i="24142"/>
  <c r="DE196" i="24142"/>
  <c r="DD196" i="24142"/>
  <c r="DC196" i="24142"/>
  <c r="DR195" i="24142"/>
  <c r="DP195" i="24142"/>
  <c r="DN195" i="24142"/>
  <c r="DL195" i="24142"/>
  <c r="DJ195" i="24142"/>
  <c r="DH195" i="24142"/>
  <c r="DF195" i="24142"/>
  <c r="DE195" i="24142"/>
  <c r="DD195" i="24142"/>
  <c r="DC195" i="24142"/>
  <c r="I196" i="24142"/>
  <c r="G196" i="24142"/>
  <c r="E196" i="24142"/>
  <c r="C196" i="24142"/>
  <c r="BO195" i="24142"/>
  <c r="BM195" i="24142"/>
  <c r="BK195" i="24142"/>
  <c r="BI195" i="24142"/>
  <c r="BG195" i="24142"/>
  <c r="BE195" i="24142"/>
  <c r="BC195" i="24142"/>
  <c r="BA195" i="24142"/>
  <c r="AY195" i="24142"/>
  <c r="AW195" i="24142"/>
  <c r="AU195" i="24142"/>
  <c r="AS195" i="24142"/>
  <c r="AQ195" i="24142"/>
  <c r="AO195" i="24142"/>
  <c r="AM195" i="24142"/>
  <c r="AK195" i="24142"/>
  <c r="AI195" i="24142"/>
  <c r="AG195" i="24142"/>
  <c r="AE195" i="24142"/>
  <c r="AC195" i="24142"/>
  <c r="AA195" i="24142"/>
  <c r="Y195" i="24142"/>
  <c r="W195" i="24142"/>
  <c r="U195" i="24142"/>
  <c r="S195" i="24142"/>
  <c r="Q195" i="24142"/>
  <c r="O195" i="24142"/>
  <c r="M195" i="24142"/>
  <c r="K195" i="24142"/>
  <c r="I195" i="24142"/>
  <c r="G195" i="24142"/>
  <c r="E195" i="24142"/>
  <c r="C195" i="24142"/>
  <c r="A189" i="24142"/>
  <c r="A188" i="24142"/>
  <c r="CN187" i="24142"/>
  <c r="CL187" i="24142"/>
  <c r="CJ187" i="24142"/>
  <c r="CH187" i="24142"/>
  <c r="CF187" i="24142"/>
  <c r="CD187" i="24142"/>
  <c r="CB187" i="24142"/>
  <c r="CA187" i="24142"/>
  <c r="BZ187" i="24142"/>
  <c r="BX187" i="24142"/>
  <c r="BV187" i="24142"/>
  <c r="BT187" i="24142"/>
  <c r="BR187" i="24142"/>
  <c r="BP187" i="24142"/>
  <c r="BN187" i="24142"/>
  <c r="BL187" i="24142"/>
  <c r="BJ187" i="24142"/>
  <c r="BH187" i="24142"/>
  <c r="BF187" i="24142"/>
  <c r="BD187" i="24142"/>
  <c r="BB187" i="24142"/>
  <c r="AZ187" i="24142"/>
  <c r="AX187" i="24142"/>
  <c r="AV187" i="24142"/>
  <c r="AT187" i="24142"/>
  <c r="AR187" i="24142"/>
  <c r="AP187" i="24142"/>
  <c r="AN187" i="24142"/>
  <c r="AL187" i="24142"/>
  <c r="AJ187" i="24142"/>
  <c r="AH187" i="24142"/>
  <c r="AF187" i="24142"/>
  <c r="AD187" i="24142"/>
  <c r="AB187" i="24142"/>
  <c r="Z187" i="24142"/>
  <c r="X187" i="24142"/>
  <c r="V187" i="24142"/>
  <c r="T187" i="24142"/>
  <c r="R187" i="24142"/>
  <c r="P187" i="24142"/>
  <c r="N187" i="24142"/>
  <c r="L187" i="24142"/>
  <c r="J187" i="24142"/>
  <c r="H187" i="24142"/>
  <c r="F187" i="24142"/>
  <c r="D187" i="24142"/>
  <c r="A187" i="24142"/>
  <c r="A186" i="24142"/>
  <c r="CN184" i="24142"/>
  <c r="CL184" i="24142"/>
  <c r="CJ184" i="24142"/>
  <c r="CH184" i="24142"/>
  <c r="CF184" i="24142"/>
  <c r="CD184" i="24142"/>
  <c r="CB184" i="24142"/>
  <c r="CA184" i="24142"/>
  <c r="BZ184" i="24142"/>
  <c r="BX184" i="24142"/>
  <c r="BV184" i="24142"/>
  <c r="BT184" i="24142"/>
  <c r="BR184" i="24142"/>
  <c r="BP184" i="24142"/>
  <c r="BN184" i="24142"/>
  <c r="BL184" i="24142"/>
  <c r="BJ184" i="24142"/>
  <c r="BH184" i="24142"/>
  <c r="BF184" i="24142"/>
  <c r="BD184" i="24142"/>
  <c r="BB184" i="24142"/>
  <c r="AZ184" i="24142"/>
  <c r="AX184" i="24142"/>
  <c r="AV184" i="24142"/>
  <c r="AT184" i="24142"/>
  <c r="AR184" i="24142"/>
  <c r="AP184" i="24142"/>
  <c r="AN184" i="24142"/>
  <c r="AL184" i="24142"/>
  <c r="AJ184" i="24142"/>
  <c r="AH184" i="24142"/>
  <c r="AF184" i="24142"/>
  <c r="AD184" i="24142"/>
  <c r="AB184" i="24142"/>
  <c r="Z184" i="24142"/>
  <c r="X184" i="24142"/>
  <c r="V184" i="24142"/>
  <c r="T184" i="24142"/>
  <c r="R184" i="24142"/>
  <c r="P184" i="24142"/>
  <c r="N184" i="24142"/>
  <c r="L184" i="24142"/>
  <c r="J184" i="24142"/>
  <c r="H184" i="24142"/>
  <c r="F184" i="24142"/>
  <c r="D184" i="24142"/>
  <c r="B184" i="24142"/>
  <c r="A184" i="24142"/>
  <c r="A183" i="24142"/>
  <c r="A182" i="24142"/>
  <c r="CN180" i="24142"/>
  <c r="CL180" i="24142"/>
  <c r="CJ180" i="24142"/>
  <c r="CH180" i="24142"/>
  <c r="CF180" i="24142"/>
  <c r="CD180" i="24142"/>
  <c r="CB180" i="24142"/>
  <c r="CA180" i="24142"/>
  <c r="BZ180" i="24142"/>
  <c r="BX180" i="24142"/>
  <c r="BV180" i="24142"/>
  <c r="BT180" i="24142"/>
  <c r="BR180" i="24142"/>
  <c r="BP180" i="24142"/>
  <c r="BN180" i="24142"/>
  <c r="BL180" i="24142"/>
  <c r="BJ180" i="24142"/>
  <c r="BH180" i="24142"/>
  <c r="BF180" i="24142"/>
  <c r="BD180" i="24142"/>
  <c r="BB180" i="24142"/>
  <c r="AZ180" i="24142"/>
  <c r="AX180" i="24142"/>
  <c r="AV180" i="24142"/>
  <c r="AT180" i="24142"/>
  <c r="AR180" i="24142"/>
  <c r="AP180" i="24142"/>
  <c r="AN180" i="24142"/>
  <c r="AL180" i="24142"/>
  <c r="AJ180" i="24142"/>
  <c r="AH180" i="24142"/>
  <c r="AF180" i="24142"/>
  <c r="AD180" i="24142"/>
  <c r="AB180" i="24142"/>
  <c r="Z180" i="24142"/>
  <c r="X180" i="24142"/>
  <c r="V180" i="24142"/>
  <c r="T180" i="24142"/>
  <c r="R180" i="24142"/>
  <c r="P180" i="24142"/>
  <c r="N180" i="24142"/>
  <c r="L180" i="24142"/>
  <c r="J180" i="24142"/>
  <c r="H180" i="24142"/>
  <c r="F180" i="24142"/>
  <c r="D180" i="24142"/>
  <c r="B180" i="24142"/>
  <c r="A180" i="24142"/>
  <c r="DE174" i="24142"/>
  <c r="A177" i="24142"/>
  <c r="CN176" i="24142"/>
  <c r="CL176" i="24142"/>
  <c r="CJ176" i="24142"/>
  <c r="CH176" i="24142"/>
  <c r="CF176" i="24142"/>
  <c r="CD176" i="24142"/>
  <c r="CB176" i="24142"/>
  <c r="CA176" i="24142"/>
  <c r="BZ176" i="24142"/>
  <c r="BX176" i="24142"/>
  <c r="BV176" i="24142"/>
  <c r="BT176" i="24142"/>
  <c r="BR176" i="24142"/>
  <c r="BP176" i="24142"/>
  <c r="BN176" i="24142"/>
  <c r="BL176" i="24142"/>
  <c r="BJ176" i="24142"/>
  <c r="BH176" i="24142"/>
  <c r="BF176" i="24142"/>
  <c r="BD176" i="24142"/>
  <c r="BB176" i="24142"/>
  <c r="AZ176" i="24142"/>
  <c r="AX176" i="24142"/>
  <c r="AV176" i="24142"/>
  <c r="AT176" i="24142"/>
  <c r="AR176" i="24142"/>
  <c r="AP176" i="24142"/>
  <c r="AN176" i="24142"/>
  <c r="AL176" i="24142"/>
  <c r="AJ176" i="24142"/>
  <c r="AH176" i="24142"/>
  <c r="AF176" i="24142"/>
  <c r="AD176" i="24142"/>
  <c r="AB176" i="24142"/>
  <c r="Z176" i="24142"/>
  <c r="X176" i="24142"/>
  <c r="V176" i="24142"/>
  <c r="T176" i="24142"/>
  <c r="R176" i="24142"/>
  <c r="P176" i="24142"/>
  <c r="N176" i="24142"/>
  <c r="L176" i="24142"/>
  <c r="J176" i="24142"/>
  <c r="H176" i="24142"/>
  <c r="F176" i="24142"/>
  <c r="D176" i="24142"/>
  <c r="B176" i="24142"/>
  <c r="A176" i="24142"/>
  <c r="A175" i="24142"/>
  <c r="CN174" i="24142"/>
  <c r="CL174" i="24142"/>
  <c r="CJ174" i="24142"/>
  <c r="CH174" i="24142"/>
  <c r="CF174" i="24142"/>
  <c r="CD174" i="24142"/>
  <c r="CB174" i="24142"/>
  <c r="CA174" i="24142"/>
  <c r="BZ174" i="24142"/>
  <c r="BX174" i="24142"/>
  <c r="BV174" i="24142"/>
  <c r="BT174" i="24142"/>
  <c r="BR174" i="24142"/>
  <c r="BP174" i="24142"/>
  <c r="BN174" i="24142"/>
  <c r="BL174" i="24142"/>
  <c r="BJ174" i="24142"/>
  <c r="BH174" i="24142"/>
  <c r="BF174" i="24142"/>
  <c r="BD174" i="24142"/>
  <c r="BB174" i="24142"/>
  <c r="AZ174" i="24142"/>
  <c r="AX174" i="24142"/>
  <c r="AV174" i="24142"/>
  <c r="AT174" i="24142"/>
  <c r="AR174" i="24142"/>
  <c r="AP174" i="24142"/>
  <c r="AN174" i="24142"/>
  <c r="AL174" i="24142"/>
  <c r="AJ174" i="24142"/>
  <c r="AH174" i="24142"/>
  <c r="AF174" i="24142"/>
  <c r="AD174" i="24142"/>
  <c r="AB174" i="24142"/>
  <c r="Z174" i="24142"/>
  <c r="X174" i="24142"/>
  <c r="V174" i="24142"/>
  <c r="T174" i="24142"/>
  <c r="R174" i="24142"/>
  <c r="P174" i="24142"/>
  <c r="N174" i="24142"/>
  <c r="L174" i="24142"/>
  <c r="J174" i="24142"/>
  <c r="H174" i="24142"/>
  <c r="F174" i="24142"/>
  <c r="D174" i="24142"/>
  <c r="B174" i="24142"/>
  <c r="A174" i="24142"/>
  <c r="A169" i="24142"/>
  <c r="A164" i="24142"/>
  <c r="A162" i="24142"/>
  <c r="A161" i="24142"/>
  <c r="DR159" i="24142"/>
  <c r="DP159" i="24142"/>
  <c r="DN159" i="24142"/>
  <c r="DL159" i="24142"/>
  <c r="DJ159" i="24142"/>
  <c r="DH159" i="24142"/>
  <c r="DF159" i="24142"/>
  <c r="DD159" i="24142"/>
  <c r="BO159" i="24142"/>
  <c r="BM159" i="24142"/>
  <c r="BK159" i="24142"/>
  <c r="BI159" i="24142"/>
  <c r="BG159" i="24142"/>
  <c r="BE159" i="24142"/>
  <c r="BC159" i="24142"/>
  <c r="BA159" i="24142"/>
  <c r="AY159" i="24142"/>
  <c r="AW159" i="24142"/>
  <c r="AU159" i="24142"/>
  <c r="AS159" i="24142"/>
  <c r="AQ159" i="24142"/>
  <c r="AO159" i="24142"/>
  <c r="AM159" i="24142"/>
  <c r="AK159" i="24142"/>
  <c r="AI159" i="24142"/>
  <c r="AG159" i="24142"/>
  <c r="AE159" i="24142"/>
  <c r="AC159" i="24142"/>
  <c r="AA159" i="24142"/>
  <c r="Y159" i="24142"/>
  <c r="W159" i="24142"/>
  <c r="U159" i="24142"/>
  <c r="S159" i="24142"/>
  <c r="Q159" i="24142"/>
  <c r="O159" i="24142"/>
  <c r="M159" i="24142"/>
  <c r="K159" i="24142"/>
  <c r="I159" i="24142"/>
  <c r="G159" i="24142"/>
  <c r="E159" i="24142"/>
  <c r="C159" i="24142"/>
  <c r="A159" i="24142"/>
  <c r="A158" i="24142"/>
  <c r="A153" i="24142"/>
  <c r="A152" i="24142"/>
  <c r="CN151" i="24142"/>
  <c r="CL151" i="24142"/>
  <c r="CJ151" i="24142"/>
  <c r="CH151" i="24142"/>
  <c r="CF151" i="24142"/>
  <c r="CD151" i="24142"/>
  <c r="CB151" i="24142"/>
  <c r="CA151" i="24142"/>
  <c r="BZ151" i="24142"/>
  <c r="BX151" i="24142"/>
  <c r="BV151" i="24142"/>
  <c r="BT151" i="24142"/>
  <c r="BR151" i="24142"/>
  <c r="BP151" i="24142"/>
  <c r="BN151" i="24142"/>
  <c r="BL151" i="24142"/>
  <c r="BJ151" i="24142"/>
  <c r="BH151" i="24142"/>
  <c r="BF151" i="24142"/>
  <c r="BD151" i="24142"/>
  <c r="BB151" i="24142"/>
  <c r="AZ151" i="24142"/>
  <c r="AX151" i="24142"/>
  <c r="AV151" i="24142"/>
  <c r="AT151" i="24142"/>
  <c r="AR151" i="24142"/>
  <c r="AP151" i="24142"/>
  <c r="AN151" i="24142"/>
  <c r="AL151" i="24142"/>
  <c r="AJ151" i="24142"/>
  <c r="AH151" i="24142"/>
  <c r="AF151" i="24142"/>
  <c r="AD151" i="24142"/>
  <c r="AB151" i="24142"/>
  <c r="Z151" i="24142"/>
  <c r="X151" i="24142"/>
  <c r="V151" i="24142"/>
  <c r="T151" i="24142"/>
  <c r="R151" i="24142"/>
  <c r="P151" i="24142"/>
  <c r="N151" i="24142"/>
  <c r="L151" i="24142"/>
  <c r="J151" i="24142"/>
  <c r="H151" i="24142"/>
  <c r="F151" i="24142"/>
  <c r="D151" i="24142"/>
  <c r="B151" i="24142"/>
  <c r="A151" i="24142"/>
  <c r="A150" i="24142"/>
  <c r="A148" i="24142"/>
  <c r="AR147" i="24142"/>
  <c r="AP147" i="24142"/>
  <c r="AN147" i="24142"/>
  <c r="AL147" i="24142"/>
  <c r="AJ147" i="24142"/>
  <c r="T147" i="24142"/>
  <c r="R147" i="24142"/>
  <c r="P147" i="24142"/>
  <c r="N147" i="24142"/>
  <c r="L147" i="24142"/>
  <c r="H147" i="24142"/>
  <c r="F147" i="24142"/>
  <c r="D147" i="24142"/>
  <c r="B147" i="24142"/>
  <c r="A147" i="24142"/>
  <c r="A146" i="24142"/>
  <c r="AP145" i="24142"/>
  <c r="AJ145" i="24142"/>
  <c r="A145" i="24142"/>
  <c r="A144" i="24142"/>
  <c r="CN141" i="24142"/>
  <c r="CL141" i="24142"/>
  <c r="CJ141" i="24142"/>
  <c r="CH141" i="24142"/>
  <c r="CF141" i="24142"/>
  <c r="CD141" i="24142"/>
  <c r="CB141" i="24142"/>
  <c r="CA141" i="24142"/>
  <c r="BZ141" i="24142"/>
  <c r="BX141" i="24142"/>
  <c r="BV141" i="24142"/>
  <c r="BT141" i="24142"/>
  <c r="BR141" i="24142"/>
  <c r="BP141" i="24142"/>
  <c r="BN141" i="24142"/>
  <c r="BL141" i="24142"/>
  <c r="BJ141" i="24142"/>
  <c r="BH141" i="24142"/>
  <c r="BF141" i="24142"/>
  <c r="BD141" i="24142"/>
  <c r="BB141" i="24142"/>
  <c r="AZ141" i="24142"/>
  <c r="AX141" i="24142"/>
  <c r="AV141" i="24142"/>
  <c r="AT141" i="24142"/>
  <c r="AR141" i="24142"/>
  <c r="AP141" i="24142"/>
  <c r="AN141" i="24142"/>
  <c r="AL141" i="24142"/>
  <c r="AJ141" i="24142"/>
  <c r="AH141" i="24142"/>
  <c r="AF141" i="24142"/>
  <c r="AD141" i="24142"/>
  <c r="AB141" i="24142"/>
  <c r="Z141" i="24142"/>
  <c r="X141" i="24142"/>
  <c r="V141" i="24142"/>
  <c r="T141" i="24142"/>
  <c r="R141" i="24142"/>
  <c r="P141" i="24142"/>
  <c r="N141" i="24142"/>
  <c r="L141" i="24142"/>
  <c r="J141" i="24142"/>
  <c r="H141" i="24142"/>
  <c r="F141" i="24142"/>
  <c r="D141" i="24142"/>
  <c r="B141" i="24142"/>
  <c r="A141" i="24142"/>
  <c r="A140" i="24142"/>
  <c r="CN139" i="24142"/>
  <c r="CL139" i="24142"/>
  <c r="CJ139" i="24142"/>
  <c r="CH139" i="24142"/>
  <c r="CF139" i="24142"/>
  <c r="CD139" i="24142"/>
  <c r="CB139" i="24142"/>
  <c r="CA139" i="24142"/>
  <c r="BZ139" i="24142"/>
  <c r="BX139" i="24142"/>
  <c r="BV139" i="24142"/>
  <c r="BT139" i="24142"/>
  <c r="BR139" i="24142"/>
  <c r="BP139" i="24142"/>
  <c r="BN139" i="24142"/>
  <c r="BL139" i="24142"/>
  <c r="BJ139" i="24142"/>
  <c r="BH139" i="24142"/>
  <c r="BF139" i="24142"/>
  <c r="BD139" i="24142"/>
  <c r="BB139" i="24142"/>
  <c r="AZ139" i="24142"/>
  <c r="AX139" i="24142"/>
  <c r="AV139" i="24142"/>
  <c r="AT139" i="24142"/>
  <c r="AR139" i="24142"/>
  <c r="AP139" i="24142"/>
  <c r="AN139" i="24142"/>
  <c r="AL139" i="24142"/>
  <c r="AJ139" i="24142"/>
  <c r="AH139" i="24142"/>
  <c r="AF139" i="24142"/>
  <c r="AD139" i="24142"/>
  <c r="AB139" i="24142"/>
  <c r="Z139" i="24142"/>
  <c r="X139" i="24142"/>
  <c r="V139" i="24142"/>
  <c r="T139" i="24142"/>
  <c r="R139" i="24142"/>
  <c r="P139" i="24142"/>
  <c r="N139" i="24142"/>
  <c r="L139" i="24142"/>
  <c r="J139" i="24142"/>
  <c r="H139" i="24142"/>
  <c r="F139" i="24142"/>
  <c r="D139" i="24142"/>
  <c r="B139" i="24142"/>
  <c r="A139" i="24142"/>
  <c r="CN138" i="24142"/>
  <c r="CL138" i="24142"/>
  <c r="CJ138" i="24142"/>
  <c r="CH138" i="24142"/>
  <c r="CF138" i="24142"/>
  <c r="CD138" i="24142"/>
  <c r="CB138" i="24142"/>
  <c r="CA138" i="24142"/>
  <c r="BZ138" i="24142"/>
  <c r="BX138" i="24142"/>
  <c r="BV138" i="24142"/>
  <c r="BT138" i="24142"/>
  <c r="BR138" i="24142"/>
  <c r="BP138" i="24142"/>
  <c r="BN138" i="24142"/>
  <c r="BL138" i="24142"/>
  <c r="BJ138" i="24142"/>
  <c r="BH138" i="24142"/>
  <c r="BF138" i="24142"/>
  <c r="BD138" i="24142"/>
  <c r="BB138" i="24142"/>
  <c r="AZ138" i="24142"/>
  <c r="AX138" i="24142"/>
  <c r="AV138" i="24142"/>
  <c r="AP138" i="24142"/>
  <c r="A138" i="24142"/>
  <c r="A133" i="24142"/>
  <c r="A128" i="24142"/>
  <c r="A126" i="24142"/>
  <c r="A125" i="24142"/>
  <c r="A124" i="24142"/>
  <c r="DR122" i="24142"/>
  <c r="DP122" i="24142"/>
  <c r="DN122" i="24142"/>
  <c r="DL122" i="24142"/>
  <c r="DJ122" i="24142"/>
  <c r="DH122" i="24142"/>
  <c r="DF122" i="24142"/>
  <c r="DD122" i="24142"/>
  <c r="BO122" i="24142"/>
  <c r="BM122" i="24142"/>
  <c r="BK122" i="24142"/>
  <c r="BI122" i="24142"/>
  <c r="BG122" i="24142"/>
  <c r="BE122" i="24142"/>
  <c r="BC122" i="24142"/>
  <c r="BA122" i="24142"/>
  <c r="AY122" i="24142"/>
  <c r="AW122" i="24142"/>
  <c r="AU122" i="24142"/>
  <c r="AS122" i="24142"/>
  <c r="AQ122" i="24142"/>
  <c r="AO122" i="24142"/>
  <c r="AM122" i="24142"/>
  <c r="AK122" i="24142"/>
  <c r="AI122" i="24142"/>
  <c r="AG122" i="24142"/>
  <c r="AE122" i="24142"/>
  <c r="AC122" i="24142"/>
  <c r="AA122" i="24142"/>
  <c r="Y122" i="24142"/>
  <c r="W122" i="24142"/>
  <c r="U122" i="24142"/>
  <c r="S122" i="24142"/>
  <c r="Q122" i="24142"/>
  <c r="O122" i="24142"/>
  <c r="M122" i="24142"/>
  <c r="K122" i="24142"/>
  <c r="I122" i="24142"/>
  <c r="G122" i="24142"/>
  <c r="E122" i="24142"/>
  <c r="C122" i="24142"/>
  <c r="A122" i="24142"/>
  <c r="A116" i="24142"/>
  <c r="A115" i="24142"/>
  <c r="CN114" i="24142"/>
  <c r="CL114" i="24142"/>
  <c r="CJ114" i="24142"/>
  <c r="CH114" i="24142"/>
  <c r="CF114" i="24142"/>
  <c r="CD114" i="24142"/>
  <c r="CB114" i="24142"/>
  <c r="CA114" i="24142"/>
  <c r="BZ114" i="24142"/>
  <c r="BX114" i="24142"/>
  <c r="BV114" i="24142"/>
  <c r="BT114" i="24142"/>
  <c r="BR114" i="24142"/>
  <c r="BP114" i="24142"/>
  <c r="BN114" i="24142"/>
  <c r="BL114" i="24142"/>
  <c r="BJ114" i="24142"/>
  <c r="BH114" i="24142"/>
  <c r="BF114" i="24142"/>
  <c r="BD114" i="24142"/>
  <c r="BB114" i="24142"/>
  <c r="AZ114" i="24142"/>
  <c r="AX114" i="24142"/>
  <c r="AV114" i="24142"/>
  <c r="AT114" i="24142"/>
  <c r="AR114" i="24142"/>
  <c r="AP114" i="24142"/>
  <c r="AN114" i="24142"/>
  <c r="AL114" i="24142"/>
  <c r="AJ114" i="24142"/>
  <c r="AH114" i="24142"/>
  <c r="AF114" i="24142"/>
  <c r="AD114" i="24142"/>
  <c r="AB114" i="24142"/>
  <c r="Z114" i="24142"/>
  <c r="X114" i="24142"/>
  <c r="V114" i="24142"/>
  <c r="T114" i="24142"/>
  <c r="R114" i="24142"/>
  <c r="P114" i="24142"/>
  <c r="N114" i="24142"/>
  <c r="L114" i="24142"/>
  <c r="J114" i="24142"/>
  <c r="H114" i="24142"/>
  <c r="F114" i="24142"/>
  <c r="D114" i="24142"/>
  <c r="B114" i="24142"/>
  <c r="A114" i="24142"/>
  <c r="A113" i="24142"/>
  <c r="A111" i="24142"/>
  <c r="A110" i="24142"/>
  <c r="AJ109" i="24142"/>
  <c r="A109" i="24142"/>
  <c r="A108" i="24142"/>
  <c r="CN107" i="24142"/>
  <c r="CL107" i="24142"/>
  <c r="CJ107" i="24142"/>
  <c r="CH107" i="24142"/>
  <c r="CF107" i="24142"/>
  <c r="CD107" i="24142"/>
  <c r="CB107" i="24142"/>
  <c r="CA107" i="24142"/>
  <c r="BZ107" i="24142"/>
  <c r="BX107" i="24142"/>
  <c r="BV107" i="24142"/>
  <c r="BT107" i="24142"/>
  <c r="BR107" i="24142"/>
  <c r="BP107" i="24142"/>
  <c r="BN107" i="24142"/>
  <c r="BL107" i="24142"/>
  <c r="BJ107" i="24142"/>
  <c r="BH107" i="24142"/>
  <c r="BF107" i="24142"/>
  <c r="BD107" i="24142"/>
  <c r="BB107" i="24142"/>
  <c r="AZ107" i="24142"/>
  <c r="AX107" i="24142"/>
  <c r="AV107" i="24142"/>
  <c r="AT107" i="24142"/>
  <c r="AR107" i="24142"/>
  <c r="AP107" i="24142"/>
  <c r="AN107" i="24142"/>
  <c r="AL107" i="24142"/>
  <c r="AJ107" i="24142"/>
  <c r="AH107" i="24142"/>
  <c r="AF107" i="24142"/>
  <c r="AD107" i="24142"/>
  <c r="AB107" i="24142"/>
  <c r="Z107" i="24142"/>
  <c r="X107" i="24142"/>
  <c r="V107" i="24142"/>
  <c r="T107" i="24142"/>
  <c r="R107" i="24142"/>
  <c r="P107" i="24142"/>
  <c r="N107" i="24142"/>
  <c r="L107" i="24142"/>
  <c r="J107" i="24142"/>
  <c r="H107" i="24142"/>
  <c r="F107" i="24142"/>
  <c r="D107" i="24142"/>
  <c r="B107" i="24142"/>
  <c r="A107" i="24142"/>
  <c r="CN104" i="24142"/>
  <c r="CL104" i="24142"/>
  <c r="CJ104" i="24142"/>
  <c r="CH104" i="24142"/>
  <c r="CF104" i="24142"/>
  <c r="CD104" i="24142"/>
  <c r="CB104" i="24142"/>
  <c r="CA104" i="24142"/>
  <c r="BZ104" i="24142"/>
  <c r="BX104" i="24142"/>
  <c r="BV104" i="24142"/>
  <c r="BT104" i="24142"/>
  <c r="BR104" i="24142"/>
  <c r="BP104" i="24142"/>
  <c r="BN104" i="24142"/>
  <c r="BL104" i="24142"/>
  <c r="BJ104" i="24142"/>
  <c r="BH104" i="24142"/>
  <c r="BF104" i="24142"/>
  <c r="BD104" i="24142"/>
  <c r="BB104" i="24142"/>
  <c r="AZ104" i="24142"/>
  <c r="AX104" i="24142"/>
  <c r="AV104" i="24142"/>
  <c r="AT104" i="24142"/>
  <c r="AR104" i="24142"/>
  <c r="AP104" i="24142"/>
  <c r="AN104" i="24142"/>
  <c r="AL104" i="24142"/>
  <c r="AJ104" i="24142"/>
  <c r="AH104" i="24142"/>
  <c r="AF104" i="24142"/>
  <c r="AD104" i="24142"/>
  <c r="AB104" i="24142"/>
  <c r="Z104" i="24142"/>
  <c r="X104" i="24142"/>
  <c r="V104" i="24142"/>
  <c r="T104" i="24142"/>
  <c r="R104" i="24142"/>
  <c r="P104" i="24142"/>
  <c r="N104" i="24142"/>
  <c r="L104" i="24142"/>
  <c r="J104" i="24142"/>
  <c r="H104" i="24142"/>
  <c r="F104" i="24142"/>
  <c r="D104" i="24142"/>
  <c r="B104" i="24142"/>
  <c r="A104" i="24142"/>
  <c r="CN103" i="24142"/>
  <c r="CL103" i="24142"/>
  <c r="CJ103" i="24142"/>
  <c r="CH103" i="24142"/>
  <c r="CF103" i="24142"/>
  <c r="CD103" i="24142"/>
  <c r="CB103" i="24142"/>
  <c r="CA103" i="24142"/>
  <c r="BZ103" i="24142"/>
  <c r="BX103" i="24142"/>
  <c r="BV103" i="24142"/>
  <c r="BT103" i="24142"/>
  <c r="BR103" i="24142"/>
  <c r="BP103" i="24142"/>
  <c r="BN103" i="24142"/>
  <c r="BL103" i="24142"/>
  <c r="BJ103" i="24142"/>
  <c r="BH103" i="24142"/>
  <c r="BF103" i="24142"/>
  <c r="BD103" i="24142"/>
  <c r="BB103" i="24142"/>
  <c r="AZ103" i="24142"/>
  <c r="AX103" i="24142"/>
  <c r="AV103" i="24142"/>
  <c r="AT103" i="24142"/>
  <c r="AR103" i="24142"/>
  <c r="AP103" i="24142"/>
  <c r="AN103" i="24142"/>
  <c r="AL103" i="24142"/>
  <c r="AJ103" i="24142"/>
  <c r="AH103" i="24142"/>
  <c r="AF103" i="24142"/>
  <c r="AD103" i="24142"/>
  <c r="AB103" i="24142"/>
  <c r="Z103" i="24142"/>
  <c r="X103" i="24142"/>
  <c r="V103" i="24142"/>
  <c r="T103" i="24142"/>
  <c r="R103" i="24142"/>
  <c r="P103" i="24142"/>
  <c r="N103" i="24142"/>
  <c r="L103" i="24142"/>
  <c r="J103" i="24142"/>
  <c r="H103" i="24142"/>
  <c r="F103" i="24142"/>
  <c r="D103" i="24142"/>
  <c r="B103" i="24142"/>
  <c r="A103" i="24142"/>
  <c r="A102" i="24142"/>
  <c r="CN101" i="24142"/>
  <c r="CL101" i="24142"/>
  <c r="CJ101" i="24142"/>
  <c r="CH101" i="24142"/>
  <c r="CF101" i="24142"/>
  <c r="CD101" i="24142"/>
  <c r="CB101" i="24142"/>
  <c r="CA101" i="24142"/>
  <c r="BZ101" i="24142"/>
  <c r="BX101" i="24142"/>
  <c r="BV101" i="24142"/>
  <c r="BT101" i="24142"/>
  <c r="BR101" i="24142"/>
  <c r="BP101" i="24142"/>
  <c r="BN101" i="24142"/>
  <c r="BL101" i="24142"/>
  <c r="BJ101" i="24142"/>
  <c r="BH101" i="24142"/>
  <c r="BF101" i="24142"/>
  <c r="BD101" i="24142"/>
  <c r="BB101" i="24142"/>
  <c r="AZ101" i="24142"/>
  <c r="AX101" i="24142"/>
  <c r="AV101" i="24142"/>
  <c r="AT101" i="24142"/>
  <c r="AR101" i="24142"/>
  <c r="AP101" i="24142"/>
  <c r="AN101" i="24142"/>
  <c r="AL101" i="24142"/>
  <c r="AJ101" i="24142"/>
  <c r="AH101" i="24142"/>
  <c r="AF101" i="24142"/>
  <c r="AD101" i="24142"/>
  <c r="AB101" i="24142"/>
  <c r="Z101" i="24142"/>
  <c r="X101" i="24142"/>
  <c r="V101" i="24142"/>
  <c r="T101" i="24142"/>
  <c r="R101" i="24142"/>
  <c r="P101" i="24142"/>
  <c r="N101" i="24142"/>
  <c r="L101" i="24142"/>
  <c r="H101" i="24142"/>
  <c r="F101" i="24142"/>
  <c r="D101" i="24142"/>
  <c r="B101" i="24142"/>
  <c r="A101" i="24142"/>
  <c r="A96" i="24142"/>
  <c r="A91" i="24142"/>
  <c r="A89" i="24142"/>
  <c r="A88" i="24142"/>
  <c r="A87" i="24142"/>
  <c r="A86" i="24142"/>
  <c r="A84" i="24142"/>
  <c r="A83" i="24142"/>
  <c r="A82" i="24142"/>
  <c r="A81" i="24142"/>
  <c r="BO75" i="24142"/>
  <c r="BM75" i="24142"/>
  <c r="BK75" i="24142"/>
  <c r="BI75" i="24142"/>
  <c r="BG75" i="24142"/>
  <c r="BE75" i="24142"/>
  <c r="BC75" i="24142"/>
  <c r="BA75" i="24142"/>
  <c r="AY75" i="24142"/>
  <c r="AW75" i="24142"/>
  <c r="AU75" i="24142"/>
  <c r="AS75" i="24142"/>
  <c r="AQ75" i="24142"/>
  <c r="DD75" i="24142"/>
  <c r="DC75" i="24142"/>
  <c r="DC70" i="24142"/>
  <c r="A78" i="24142"/>
  <c r="A76" i="24142"/>
  <c r="AO75" i="24142"/>
  <c r="AM75" i="24142"/>
  <c r="AK75" i="24142"/>
  <c r="AI75" i="24142"/>
  <c r="AG75" i="24142"/>
  <c r="AE75" i="24142"/>
  <c r="AC75" i="24142"/>
  <c r="AA75" i="24142"/>
  <c r="Y75" i="24142"/>
  <c r="X75" i="24142"/>
  <c r="W75" i="24142"/>
  <c r="V75" i="24142"/>
  <c r="U75" i="24142"/>
  <c r="T75" i="24142"/>
  <c r="S75" i="24142"/>
  <c r="R75" i="24142"/>
  <c r="Q75" i="24142"/>
  <c r="P75" i="24142"/>
  <c r="O75" i="24142"/>
  <c r="N75" i="24142"/>
  <c r="M75" i="24142"/>
  <c r="L75" i="24142"/>
  <c r="K75" i="24142"/>
  <c r="J75" i="24142"/>
  <c r="I75" i="24142"/>
  <c r="H75" i="24142"/>
  <c r="G75" i="24142"/>
  <c r="F75" i="24142"/>
  <c r="E75" i="24142"/>
  <c r="D75" i="24142"/>
  <c r="C75" i="24142"/>
  <c r="B75" i="24142"/>
  <c r="A75" i="24142"/>
  <c r="A74" i="24142"/>
  <c r="A73" i="24142"/>
  <c r="A72" i="24142"/>
  <c r="A71" i="24142"/>
  <c r="A70" i="24142"/>
  <c r="A69" i="24142"/>
  <c r="A68" i="24142"/>
  <c r="A67" i="24142"/>
  <c r="A66" i="24142"/>
  <c r="DU62" i="24142"/>
  <c r="DQ62" i="24142"/>
  <c r="DO62" i="24142"/>
  <c r="CN62" i="24142"/>
  <c r="CL62" i="24142"/>
  <c r="CJ62" i="24142"/>
  <c r="CH62" i="24142"/>
  <c r="CF62" i="24142"/>
  <c r="CD62" i="24142"/>
  <c r="CB62" i="24142"/>
  <c r="CA62" i="24142"/>
  <c r="BZ62" i="24142"/>
  <c r="BX62" i="24142"/>
  <c r="BV62" i="24142"/>
  <c r="BT62" i="24142"/>
  <c r="BR62" i="24142"/>
  <c r="BP62" i="24142"/>
  <c r="BN62" i="24142"/>
  <c r="BL62" i="24142"/>
  <c r="BJ62" i="24142"/>
  <c r="BH62" i="24142"/>
  <c r="BF62" i="24142"/>
  <c r="BD62" i="24142"/>
  <c r="BB62" i="24142"/>
  <c r="AZ62" i="24142"/>
  <c r="AX62" i="24142"/>
  <c r="AV62" i="24142"/>
  <c r="AT62" i="24142"/>
  <c r="AP62" i="24142"/>
  <c r="AN62" i="24142"/>
  <c r="AL62" i="24142"/>
  <c r="AJ62" i="24142"/>
  <c r="AH62" i="24142"/>
  <c r="AF62" i="24142"/>
  <c r="AD62" i="24142"/>
  <c r="AB62" i="24142"/>
  <c r="Z62" i="24142"/>
  <c r="X62" i="24142"/>
  <c r="V62" i="24142"/>
  <c r="T62" i="24142"/>
  <c r="R62" i="24142"/>
  <c r="P62" i="24142"/>
  <c r="N62" i="24142"/>
  <c r="L62" i="24142"/>
  <c r="J62" i="24142"/>
  <c r="H62" i="24142"/>
  <c r="F62" i="24142"/>
  <c r="D62" i="24142"/>
  <c r="B62" i="24142"/>
  <c r="A62" i="24142"/>
  <c r="CN61" i="24142"/>
  <c r="CL61" i="24142"/>
  <c r="CJ61" i="24142"/>
  <c r="CH61" i="24142"/>
  <c r="CF61" i="24142"/>
  <c r="CD61" i="24142"/>
  <c r="CB61" i="24142"/>
  <c r="CA61" i="24142"/>
  <c r="BZ61" i="24142"/>
  <c r="BX61" i="24142"/>
  <c r="BV61" i="24142"/>
  <c r="BT61" i="24142"/>
  <c r="BR61" i="24142"/>
  <c r="BP61" i="24142"/>
  <c r="BN61" i="24142"/>
  <c r="BL61" i="24142"/>
  <c r="BJ61" i="24142"/>
  <c r="BH61" i="24142"/>
  <c r="BF61" i="24142"/>
  <c r="BD61" i="24142"/>
  <c r="BB61" i="24142"/>
  <c r="AZ61" i="24142"/>
  <c r="AX61" i="24142"/>
  <c r="AV61" i="24142"/>
  <c r="AT61" i="24142"/>
  <c r="AR61" i="24142"/>
  <c r="AP61" i="24142"/>
  <c r="AN61" i="24142"/>
  <c r="AL61" i="24142"/>
  <c r="AJ61" i="24142"/>
  <c r="AH61" i="24142"/>
  <c r="AF61" i="24142"/>
  <c r="AD61" i="24142"/>
  <c r="AB61" i="24142"/>
  <c r="Z61" i="24142"/>
  <c r="X61" i="24142"/>
  <c r="V61" i="24142"/>
  <c r="T61" i="24142"/>
  <c r="R61" i="24142"/>
  <c r="P61" i="24142"/>
  <c r="N61" i="24142"/>
  <c r="L61" i="24142"/>
  <c r="J61" i="24142"/>
  <c r="H61" i="24142"/>
  <c r="F61" i="24142"/>
  <c r="D61" i="24142"/>
  <c r="B61" i="24142"/>
  <c r="A61" i="24142"/>
  <c r="A56" i="24142"/>
  <c r="CN48" i="24142"/>
  <c r="CL48" i="24142"/>
  <c r="CJ48" i="24142"/>
  <c r="CH48" i="24142"/>
  <c r="CF48" i="24142"/>
  <c r="CD48" i="24142"/>
  <c r="CB48" i="24142"/>
  <c r="CA48" i="24142"/>
  <c r="BZ48" i="24142"/>
  <c r="BX48" i="24142"/>
  <c r="BV48" i="24142"/>
  <c r="BT48" i="24142"/>
  <c r="BR48" i="24142"/>
  <c r="BP48" i="24142"/>
  <c r="BN48" i="24142"/>
  <c r="BL48" i="24142"/>
  <c r="BJ48" i="24142"/>
  <c r="BH48" i="24142"/>
  <c r="BF48" i="24142"/>
  <c r="BD48" i="24142"/>
  <c r="BB48" i="24142"/>
  <c r="AZ48" i="24142"/>
  <c r="AX48" i="24142"/>
  <c r="AV48" i="24142"/>
  <c r="AT48" i="24142"/>
  <c r="AR48" i="24142"/>
  <c r="AP48" i="24142"/>
  <c r="AN48" i="24142"/>
  <c r="AL48" i="24142"/>
  <c r="AJ48" i="24142"/>
  <c r="AH48" i="24142"/>
  <c r="AF48" i="24142"/>
  <c r="AD48" i="24142"/>
  <c r="AB48" i="24142"/>
  <c r="Z48" i="24142"/>
  <c r="X48" i="24142"/>
  <c r="V48" i="24142"/>
  <c r="T48" i="24142"/>
  <c r="R48" i="24142"/>
  <c r="P48" i="24142"/>
  <c r="N48" i="24142"/>
  <c r="L48" i="24142"/>
  <c r="J48" i="24142"/>
  <c r="H48" i="24142"/>
  <c r="F48" i="24142"/>
  <c r="D48" i="24142"/>
  <c r="B48" i="24142"/>
  <c r="DG43" i="24142"/>
  <c r="DE43" i="24142"/>
  <c r="DD43" i="24142"/>
  <c r="DC43" i="24142"/>
  <c r="A45" i="24142"/>
  <c r="A44" i="24142"/>
  <c r="Y43" i="24142"/>
  <c r="W43" i="24142"/>
  <c r="U43" i="24142"/>
  <c r="S43" i="24142"/>
  <c r="Q43" i="24142"/>
  <c r="O43" i="24142"/>
  <c r="M43" i="24142"/>
  <c r="K43" i="24142"/>
  <c r="I43" i="24142"/>
  <c r="H43" i="24142"/>
  <c r="G43" i="24142"/>
  <c r="F43" i="24142"/>
  <c r="E43" i="24142"/>
  <c r="D43" i="24142"/>
  <c r="C43" i="24142"/>
  <c r="B43" i="24142"/>
  <c r="A43" i="24142"/>
  <c r="A42" i="24142"/>
  <c r="CN33" i="24142"/>
  <c r="CL33" i="24142"/>
  <c r="CJ33" i="24142"/>
  <c r="CH33" i="24142"/>
  <c r="CF33" i="24142"/>
  <c r="CD33" i="24142"/>
  <c r="CB33" i="24142"/>
  <c r="BZ33" i="24142"/>
  <c r="BX33" i="24142"/>
  <c r="BV33" i="24142"/>
  <c r="BT33" i="24142"/>
  <c r="BR33" i="24142"/>
  <c r="BP33" i="24142"/>
  <c r="BN33" i="24142"/>
  <c r="BL33" i="24142"/>
  <c r="BJ33" i="24142"/>
  <c r="BH33" i="24142"/>
  <c r="BF33" i="24142"/>
  <c r="BD33" i="24142"/>
  <c r="BB33" i="24142"/>
  <c r="AZ33" i="24142"/>
  <c r="AX33" i="24142"/>
  <c r="AV33" i="24142"/>
  <c r="AT33" i="24142"/>
  <c r="AR33" i="24142"/>
  <c r="AP33" i="24142"/>
  <c r="AN33" i="24142"/>
  <c r="AL33" i="24142"/>
  <c r="AJ33" i="24142"/>
  <c r="AH33" i="24142"/>
  <c r="AD33" i="24142"/>
  <c r="AB33" i="24142"/>
  <c r="Z33" i="24142"/>
  <c r="X33" i="24142"/>
  <c r="V33" i="24142"/>
  <c r="T33" i="24142"/>
  <c r="R33" i="24142"/>
  <c r="P33" i="24142"/>
  <c r="N33" i="24142"/>
  <c r="L33" i="24142"/>
  <c r="J33" i="24142"/>
  <c r="H33" i="24142"/>
  <c r="F33" i="24142"/>
  <c r="D33" i="24142"/>
  <c r="B33" i="24142"/>
  <c r="CA33" i="24142"/>
  <c r="DU25" i="24142"/>
  <c r="DQ25" i="24142"/>
  <c r="DO25" i="24142"/>
  <c r="CN25" i="24142"/>
  <c r="CL25" i="24142"/>
  <c r="CJ25" i="24142"/>
  <c r="CH25" i="24142"/>
  <c r="CF25" i="24142"/>
  <c r="CD25" i="24142"/>
  <c r="CB25" i="24142"/>
  <c r="BZ25" i="24142"/>
  <c r="BX25" i="24142"/>
  <c r="BV25" i="24142"/>
  <c r="BT25" i="24142"/>
  <c r="BR25" i="24142"/>
  <c r="BP25" i="24142"/>
  <c r="BN25" i="24142"/>
  <c r="BL25" i="24142"/>
  <c r="BJ25" i="24142"/>
  <c r="BH25" i="24142"/>
  <c r="BF25" i="24142"/>
  <c r="BD25" i="24142"/>
  <c r="BB25" i="24142"/>
  <c r="AZ25" i="24142"/>
  <c r="AX25" i="24142"/>
  <c r="AV25" i="24142"/>
  <c r="AT25" i="24142"/>
  <c r="AP25" i="24142"/>
  <c r="CA25" i="24142"/>
  <c r="H25" i="24142"/>
  <c r="F25" i="24142"/>
  <c r="D25" i="24142"/>
  <c r="B25" i="24142"/>
  <c r="AN25" i="24142"/>
  <c r="AL25" i="24142"/>
  <c r="AJ25" i="24142"/>
  <c r="AH25" i="24142"/>
  <c r="AF25" i="24142"/>
  <c r="AD25" i="24142"/>
  <c r="AB25" i="24142"/>
  <c r="Z25" i="24142"/>
  <c r="X25" i="24142"/>
  <c r="V25" i="24142"/>
  <c r="T25" i="24142"/>
  <c r="R25" i="24142"/>
  <c r="P25" i="24142"/>
  <c r="N25" i="24142"/>
  <c r="L25" i="24142"/>
  <c r="J25" i="24142"/>
  <c r="A25" i="24142"/>
  <c r="H22" i="24142"/>
  <c r="F22" i="24142"/>
  <c r="D22" i="24142"/>
  <c r="B22" i="24142"/>
  <c r="EI22" i="24142"/>
  <c r="EG22" i="24142"/>
  <c r="EE22" i="24142"/>
  <c r="DJ22" i="24142"/>
  <c r="DI22" i="24142"/>
  <c r="DH22" i="24142"/>
  <c r="DG22" i="24142"/>
  <c r="DF22" i="24142"/>
  <c r="DE22" i="24142"/>
  <c r="DD22" i="24142"/>
  <c r="DC22" i="24142"/>
  <c r="CR22" i="24142"/>
  <c r="CP22" i="24142"/>
  <c r="CN22" i="24142"/>
  <c r="CL22" i="24142"/>
  <c r="CJ22" i="24142"/>
  <c r="CH22" i="24142"/>
  <c r="CF22" i="24142"/>
  <c r="CD22" i="24142"/>
  <c r="CB22" i="24142"/>
  <c r="CA22" i="24142"/>
  <c r="BZ22" i="24142"/>
  <c r="BX22" i="24142"/>
  <c r="BV22" i="24142"/>
  <c r="BT22" i="24142"/>
  <c r="BR22" i="24142"/>
  <c r="BP22" i="24142"/>
  <c r="BN22" i="24142"/>
  <c r="BL22" i="24142"/>
  <c r="BJ22" i="24142"/>
  <c r="BH22" i="24142"/>
  <c r="BF22" i="24142"/>
  <c r="BD22" i="24142"/>
  <c r="BB22" i="24142"/>
  <c r="AZ22" i="24142"/>
  <c r="AX22" i="24142"/>
  <c r="AV22" i="24142"/>
  <c r="AT22" i="24142"/>
  <c r="AR22" i="24142"/>
  <c r="AP22" i="24142"/>
  <c r="AN22" i="24142"/>
  <c r="AL22" i="24142"/>
  <c r="AJ22" i="24142"/>
  <c r="AH22" i="24142"/>
  <c r="AF22" i="24142"/>
  <c r="AD22" i="24142"/>
  <c r="AC22" i="24142"/>
  <c r="AB22" i="24142"/>
  <c r="AA22" i="24142"/>
  <c r="Z22" i="24142"/>
  <c r="Y22" i="24142"/>
  <c r="X22" i="24142"/>
  <c r="W22" i="24142"/>
  <c r="V22" i="24142"/>
  <c r="U22" i="24142"/>
  <c r="T22" i="24142"/>
  <c r="S22" i="24142"/>
  <c r="R22" i="24142"/>
  <c r="Q22" i="24142"/>
  <c r="P22" i="24142"/>
  <c r="O22" i="24142"/>
  <c r="N22" i="24142"/>
  <c r="M22" i="24142"/>
  <c r="L22" i="24142"/>
  <c r="K22" i="24142"/>
  <c r="J22" i="24142"/>
  <c r="EI18" i="24142"/>
  <c r="EI16" i="24142"/>
  <c r="EI15" i="24142"/>
  <c r="EI13" i="24142"/>
  <c r="EG18" i="24142"/>
  <c r="EG16" i="24142"/>
  <c r="EG15" i="24142"/>
  <c r="EG13" i="24142"/>
  <c r="EE18" i="24142"/>
  <c r="EE16" i="24142"/>
  <c r="EE15" i="24142"/>
  <c r="EE13" i="24142"/>
  <c r="EA16" i="24142"/>
  <c r="EA15" i="24142"/>
  <c r="EA13" i="24142"/>
  <c r="DY16" i="24142"/>
  <c r="DY15" i="24142"/>
  <c r="DY13" i="24142"/>
  <c r="DW16" i="24142"/>
  <c r="DW15" i="24142"/>
  <c r="DW13" i="24142"/>
  <c r="DU16" i="24142"/>
  <c r="DU15" i="24142"/>
  <c r="DU13" i="24142"/>
  <c r="DS16" i="24142"/>
  <c r="DS15" i="24142"/>
  <c r="DS13" i="24142"/>
  <c r="DQ16" i="24142"/>
  <c r="DQ15" i="24142"/>
  <c r="DQ13" i="24142"/>
  <c r="DO16" i="24142"/>
  <c r="DO15" i="24142"/>
  <c r="DO13" i="24142"/>
  <c r="CR18" i="24142"/>
  <c r="CR16" i="24142"/>
  <c r="CR15" i="24142"/>
  <c r="CR13" i="24142"/>
  <c r="CP18" i="24142"/>
  <c r="CP16" i="24142"/>
  <c r="CP15" i="24142"/>
  <c r="CP13" i="24142"/>
  <c r="CN18" i="24142"/>
  <c r="CN16" i="24142"/>
  <c r="CN15" i="24142"/>
  <c r="CN13" i="24142"/>
  <c r="CL18" i="24142"/>
  <c r="CL16" i="24142"/>
  <c r="CL15" i="24142"/>
  <c r="CL13" i="24142"/>
  <c r="CJ18" i="24142"/>
  <c r="CJ16" i="24142"/>
  <c r="CJ15" i="24142"/>
  <c r="CJ13" i="24142"/>
  <c r="CH18" i="24142"/>
  <c r="CH16" i="24142"/>
  <c r="CH15" i="24142"/>
  <c r="CH13" i="24142"/>
  <c r="CF18" i="24142"/>
  <c r="CF16" i="24142"/>
  <c r="CF15" i="24142"/>
  <c r="CF13" i="24142"/>
  <c r="CD18" i="24142"/>
  <c r="CD16" i="24142"/>
  <c r="CD15" i="24142"/>
  <c r="CD13" i="24142"/>
  <c r="CB18" i="24142"/>
  <c r="CB16" i="24142"/>
  <c r="CB15" i="24142"/>
  <c r="CB13" i="24142"/>
  <c r="BZ18" i="24142"/>
  <c r="BZ16" i="24142"/>
  <c r="BZ15" i="24142"/>
  <c r="BZ13" i="24142"/>
  <c r="BX18" i="24142"/>
  <c r="BX16" i="24142"/>
  <c r="BX15" i="24142"/>
  <c r="BX13" i="24142"/>
  <c r="BV18" i="24142"/>
  <c r="BV16" i="24142"/>
  <c r="BV15" i="24142"/>
  <c r="BV13" i="24142"/>
  <c r="BT18" i="24142"/>
  <c r="BT16" i="24142"/>
  <c r="BT15" i="24142"/>
  <c r="BT13" i="24142"/>
  <c r="BR18" i="24142"/>
  <c r="BR16" i="24142"/>
  <c r="BR15" i="24142"/>
  <c r="BR13" i="24142"/>
  <c r="BP18" i="24142"/>
  <c r="BP16" i="24142"/>
  <c r="BP15" i="24142"/>
  <c r="BP13" i="24142"/>
  <c r="BN18" i="24142"/>
  <c r="BN16" i="24142"/>
  <c r="BN15" i="24142"/>
  <c r="BN13" i="24142"/>
  <c r="BL18" i="24142"/>
  <c r="BL16" i="24142"/>
  <c r="BL15" i="24142"/>
  <c r="BL13" i="24142"/>
  <c r="BJ18" i="24142"/>
  <c r="BJ16" i="24142"/>
  <c r="BJ15" i="24142"/>
  <c r="BJ13" i="24142"/>
  <c r="BH18" i="24142"/>
  <c r="BH16" i="24142"/>
  <c r="BH15" i="24142"/>
  <c r="BH13" i="24142"/>
  <c r="BF18" i="24142"/>
  <c r="BF16" i="24142"/>
  <c r="BF15" i="24142"/>
  <c r="BF13" i="24142"/>
  <c r="BD18" i="24142"/>
  <c r="BD16" i="24142"/>
  <c r="BD15" i="24142"/>
  <c r="BD13" i="24142"/>
  <c r="BB18" i="24142"/>
  <c r="BB16" i="24142"/>
  <c r="BB15" i="24142"/>
  <c r="BB13" i="24142"/>
  <c r="AZ18" i="24142"/>
  <c r="AZ16" i="24142"/>
  <c r="AZ15" i="24142"/>
  <c r="AZ13" i="24142"/>
  <c r="AX18" i="24142"/>
  <c r="AX16" i="24142"/>
  <c r="AX15" i="24142"/>
  <c r="AX13" i="24142"/>
  <c r="AV18" i="24142"/>
  <c r="AV16" i="24142"/>
  <c r="AV15" i="24142"/>
  <c r="AV13" i="24142"/>
  <c r="AT18" i="24142"/>
  <c r="AT16" i="24142"/>
  <c r="AT15" i="24142"/>
  <c r="AT13" i="24142"/>
  <c r="AR18" i="24142"/>
  <c r="AR16" i="24142"/>
  <c r="AR15" i="24142"/>
  <c r="AR13" i="24142"/>
  <c r="AP18" i="24142"/>
  <c r="AP16" i="24142"/>
  <c r="AP15" i="24142"/>
  <c r="AP13" i="24142"/>
  <c r="EH16" i="24142"/>
  <c r="EH15" i="24142"/>
  <c r="EH13" i="24142"/>
  <c r="EF16" i="24142"/>
  <c r="EF15" i="24142"/>
  <c r="EF13" i="24142"/>
  <c r="EB16" i="24142"/>
  <c r="EB15" i="24142"/>
  <c r="EB13" i="24142"/>
  <c r="DZ16" i="24142"/>
  <c r="DZ15" i="24142"/>
  <c r="DZ13" i="24142"/>
  <c r="DX16" i="24142"/>
  <c r="DX15" i="24142"/>
  <c r="DX13" i="24142"/>
  <c r="DV16" i="24142"/>
  <c r="DV15" i="24142"/>
  <c r="DV13" i="24142"/>
  <c r="DT16" i="24142"/>
  <c r="DT15" i="24142"/>
  <c r="DT13" i="24142"/>
  <c r="DR16" i="24142"/>
  <c r="DR15" i="24142"/>
  <c r="DR13" i="24142"/>
  <c r="DP16" i="24142"/>
  <c r="DP15" i="24142"/>
  <c r="DP13" i="24142"/>
  <c r="CS16" i="24142"/>
  <c r="CS15" i="24142"/>
  <c r="CS13" i="24142"/>
  <c r="CQ16" i="24142"/>
  <c r="CQ15" i="24142"/>
  <c r="CQ13" i="24142"/>
  <c r="CO16" i="24142"/>
  <c r="CO15" i="24142"/>
  <c r="CO13" i="24142"/>
  <c r="CM16" i="24142"/>
  <c r="CM15" i="24142"/>
  <c r="CM13" i="24142"/>
  <c r="CK16" i="24142"/>
  <c r="CK15" i="24142"/>
  <c r="CK13" i="24142"/>
  <c r="CI16" i="24142"/>
  <c r="CI15" i="24142"/>
  <c r="CI13" i="24142"/>
  <c r="CG16" i="24142"/>
  <c r="CG15" i="24142"/>
  <c r="CG13" i="24142"/>
  <c r="CE16" i="24142"/>
  <c r="CE15" i="24142"/>
  <c r="CE13" i="24142"/>
  <c r="CC16" i="24142"/>
  <c r="CC15" i="24142"/>
  <c r="CC13" i="24142"/>
  <c r="CA18" i="24142"/>
  <c r="CA16" i="24142"/>
  <c r="CA15" i="24142"/>
  <c r="CA13" i="24142"/>
  <c r="BY16" i="24142"/>
  <c r="BY15" i="24142"/>
  <c r="BY13" i="24142"/>
  <c r="BW16" i="24142"/>
  <c r="BW15" i="24142"/>
  <c r="BW13" i="24142"/>
  <c r="BU16" i="24142"/>
  <c r="BU15" i="24142"/>
  <c r="BU13" i="24142"/>
  <c r="BS16" i="24142"/>
  <c r="BS15" i="24142"/>
  <c r="BS13" i="24142"/>
  <c r="BQ16" i="24142"/>
  <c r="BQ15" i="24142"/>
  <c r="BQ13" i="24142"/>
  <c r="BO16" i="24142"/>
  <c r="BO15" i="24142"/>
  <c r="BO13" i="24142"/>
  <c r="BM16" i="24142"/>
  <c r="BM15" i="24142"/>
  <c r="BM13" i="24142"/>
  <c r="BK16" i="24142"/>
  <c r="BK15" i="24142"/>
  <c r="BK13" i="24142"/>
  <c r="BI16" i="24142"/>
  <c r="BI15" i="24142"/>
  <c r="BI13" i="24142"/>
  <c r="BG16" i="24142"/>
  <c r="BG15" i="24142"/>
  <c r="BG13" i="24142"/>
  <c r="BE16" i="24142"/>
  <c r="BE15" i="24142"/>
  <c r="BE13" i="24142"/>
  <c r="BC16" i="24142"/>
  <c r="BC15" i="24142"/>
  <c r="BC13" i="24142"/>
  <c r="BA16" i="24142"/>
  <c r="BA15" i="24142"/>
  <c r="BA13" i="24142"/>
  <c r="AY16" i="24142"/>
  <c r="AY15" i="24142"/>
  <c r="AY13" i="24142"/>
  <c r="AW16" i="24142"/>
  <c r="AW15" i="24142"/>
  <c r="AW13" i="24142"/>
  <c r="AU16" i="24142"/>
  <c r="AU15" i="24142"/>
  <c r="AU13" i="24142"/>
  <c r="AS16" i="24142"/>
  <c r="AS15" i="24142"/>
  <c r="AS13" i="24142"/>
  <c r="AQ18" i="24142"/>
  <c r="AQ16" i="24142"/>
  <c r="AQ15" i="24142"/>
  <c r="AQ13" i="24142"/>
  <c r="A18" i="24142"/>
  <c r="B12" i="24142"/>
  <c r="A16" i="24142"/>
  <c r="A15" i="24142"/>
  <c r="EM16" i="24142"/>
  <c r="EJ16" i="24142"/>
  <c r="EM15" i="24142"/>
  <c r="EJ15" i="24142"/>
  <c r="EJ13" i="24142"/>
  <c r="DN16" i="24142"/>
  <c r="DM16" i="24142"/>
  <c r="DL16" i="24142"/>
  <c r="DK16" i="24142"/>
  <c r="DJ16" i="24142"/>
  <c r="DI16" i="24142"/>
  <c r="DH16" i="24142"/>
  <c r="DG16" i="24142"/>
  <c r="DN15" i="24142"/>
  <c r="DM15" i="24142"/>
  <c r="DL15" i="24142"/>
  <c r="DK15" i="24142"/>
  <c r="DJ15" i="24142"/>
  <c r="DI15" i="24142"/>
  <c r="DH15" i="24142"/>
  <c r="DG15" i="24142"/>
  <c r="DN13" i="24142"/>
  <c r="DM13" i="24142"/>
  <c r="DL13" i="24142"/>
  <c r="DK13" i="24142"/>
  <c r="DJ13" i="24142"/>
  <c r="DI13" i="24142"/>
  <c r="DH13" i="24142"/>
  <c r="AO16" i="24142"/>
  <c r="AN16" i="24142"/>
  <c r="AM16" i="24142"/>
  <c r="AL16" i="24142"/>
  <c r="AK16" i="24142"/>
  <c r="AJ16" i="24142"/>
  <c r="AI16" i="24142"/>
  <c r="AH16" i="24142"/>
  <c r="AG16" i="24142"/>
  <c r="AF16" i="24142"/>
  <c r="AE16" i="24142"/>
  <c r="AD16" i="24142"/>
  <c r="AC16" i="24142"/>
  <c r="AB16" i="24142"/>
  <c r="AA16" i="24142"/>
  <c r="Z16" i="24142"/>
  <c r="Y16" i="24142"/>
  <c r="X16" i="24142"/>
  <c r="W16" i="24142"/>
  <c r="V16" i="24142"/>
  <c r="U16" i="24142"/>
  <c r="T16" i="24142"/>
  <c r="S16" i="24142"/>
  <c r="R16" i="24142"/>
  <c r="Q16" i="24142"/>
  <c r="P16" i="24142"/>
  <c r="O16" i="24142"/>
  <c r="N16" i="24142"/>
  <c r="M16" i="24142"/>
  <c r="L16" i="24142"/>
  <c r="K16" i="24142"/>
  <c r="J16" i="24142"/>
  <c r="AO15" i="24142"/>
  <c r="AN15" i="24142"/>
  <c r="AM15" i="24142"/>
  <c r="AL15" i="24142"/>
  <c r="AK15" i="24142"/>
  <c r="AJ15" i="24142"/>
  <c r="AI15" i="24142"/>
  <c r="AH15" i="24142"/>
  <c r="AG15" i="24142"/>
  <c r="AF15" i="24142"/>
  <c r="AE15" i="24142"/>
  <c r="AD15" i="24142"/>
  <c r="AC15" i="24142"/>
  <c r="AB15" i="24142"/>
  <c r="AA15" i="24142"/>
  <c r="Z15" i="24142"/>
  <c r="Y15" i="24142"/>
  <c r="X15" i="24142"/>
  <c r="W15" i="24142"/>
  <c r="V15" i="24142"/>
  <c r="U15" i="24142"/>
  <c r="T15" i="24142"/>
  <c r="S15" i="24142"/>
  <c r="R15" i="24142"/>
  <c r="Q15" i="24142"/>
  <c r="P15" i="24142"/>
  <c r="O15" i="24142"/>
  <c r="N15" i="24142"/>
  <c r="M15" i="24142"/>
  <c r="L15" i="24142"/>
  <c r="K15" i="24142"/>
  <c r="J15" i="24142"/>
  <c r="AO13" i="24142"/>
  <c r="AN13" i="24142"/>
  <c r="AM13" i="24142"/>
  <c r="AL13" i="24142"/>
  <c r="AK13" i="24142"/>
  <c r="AJ13" i="24142"/>
  <c r="AI13" i="24142"/>
  <c r="AH13" i="24142"/>
  <c r="AG13" i="24142"/>
  <c r="AF13" i="24142"/>
  <c r="AE13" i="24142"/>
  <c r="AD13" i="24142"/>
  <c r="AC13" i="24142"/>
  <c r="AB13" i="24142"/>
  <c r="AA13" i="24142"/>
  <c r="Z13" i="24142"/>
  <c r="Y13" i="24142"/>
  <c r="X13" i="24142"/>
  <c r="W13" i="24142"/>
  <c r="V13" i="24142"/>
  <c r="U13" i="24142"/>
  <c r="T13" i="24142"/>
  <c r="S13" i="24142"/>
  <c r="R13" i="24142"/>
  <c r="Q13" i="24142"/>
  <c r="P13" i="24142"/>
  <c r="O13" i="24142"/>
  <c r="N13" i="24142"/>
  <c r="M13" i="24142"/>
  <c r="EM5" i="24142"/>
  <c r="EJ5" i="24142"/>
  <c r="EJ58" i="24142" s="1"/>
  <c r="EI5" i="24142"/>
  <c r="EI58" i="24142" s="1"/>
  <c r="EH5" i="24142"/>
  <c r="EH58" i="24142" s="1"/>
  <c r="EG5" i="24142"/>
  <c r="EF5" i="24142"/>
  <c r="EF58" i="24142" s="1"/>
  <c r="EE5" i="24142"/>
  <c r="EE58" i="24142" s="1"/>
  <c r="EB5" i="24142"/>
  <c r="EB58" i="24142" s="1"/>
  <c r="EA5" i="24142"/>
  <c r="EA58" i="24142" s="1"/>
  <c r="DZ5" i="24142"/>
  <c r="DZ58" i="24142" s="1"/>
  <c r="DY5" i="24142"/>
  <c r="DX5" i="24142"/>
  <c r="DX58" i="24142" s="1"/>
  <c r="DW5" i="24142"/>
  <c r="DW58" i="24142" s="1"/>
  <c r="DV5" i="24142"/>
  <c r="DV58" i="24142" s="1"/>
  <c r="DU5" i="24142"/>
  <c r="DT5" i="24142"/>
  <c r="DT58" i="24142" s="1"/>
  <c r="DS5" i="24142"/>
  <c r="DS58" i="24142" s="1"/>
  <c r="DR5" i="24142"/>
  <c r="DR58" i="24142" s="1"/>
  <c r="DQ5" i="24142"/>
  <c r="DP5" i="24142"/>
  <c r="DP58" i="24142" s="1"/>
  <c r="DO5" i="24142"/>
  <c r="DO58" i="24142" s="1"/>
  <c r="DN5" i="24142"/>
  <c r="DN58" i="24142" s="1"/>
  <c r="DM5" i="24142"/>
  <c r="DL5" i="24142"/>
  <c r="DL58" i="24142" s="1"/>
  <c r="DK5" i="24142"/>
  <c r="DK58" i="24142" s="1"/>
  <c r="DJ5" i="24142"/>
  <c r="DJ58" i="24142" s="1"/>
  <c r="DI5" i="24142"/>
  <c r="DH5" i="24142"/>
  <c r="DH58" i="24142" s="1"/>
  <c r="DG5" i="24142"/>
  <c r="DG58" i="24142" s="1"/>
  <c r="DF5" i="24142"/>
  <c r="DF58" i="24142" s="1"/>
  <c r="DE5" i="24142"/>
  <c r="DD5" i="24142"/>
  <c r="DD58" i="24142" s="1"/>
  <c r="DC5" i="24142"/>
  <c r="DC58" i="24142" s="1"/>
  <c r="CS5" i="24142"/>
  <c r="CS58" i="24142" s="1"/>
  <c r="CR5" i="24142"/>
  <c r="CQ5" i="24142"/>
  <c r="CQ58" i="24142" s="1"/>
  <c r="CP5" i="24142"/>
  <c r="CP58" i="24142" s="1"/>
  <c r="CO5" i="24142"/>
  <c r="CO58" i="24142" s="1"/>
  <c r="CN5" i="24142"/>
  <c r="CM5" i="24142"/>
  <c r="CM58" i="24142" s="1"/>
  <c r="CL5" i="24142"/>
  <c r="CL58" i="24142" s="1"/>
  <c r="CK5" i="24142"/>
  <c r="CK58" i="24142" s="1"/>
  <c r="CJ5" i="24142"/>
  <c r="CI5" i="24142"/>
  <c r="CI58" i="24142" s="1"/>
  <c r="CH5" i="24142"/>
  <c r="CH58" i="24142" s="1"/>
  <c r="CG5" i="24142"/>
  <c r="CG58" i="24142" s="1"/>
  <c r="CF5" i="24142"/>
  <c r="CE5" i="24142"/>
  <c r="CE58" i="24142" s="1"/>
  <c r="CD5" i="24142"/>
  <c r="CD58" i="24142" s="1"/>
  <c r="CC5" i="24142"/>
  <c r="CC58" i="24142" s="1"/>
  <c r="CB5" i="24142"/>
  <c r="CA5" i="24142"/>
  <c r="CA58" i="24142" s="1"/>
  <c r="BZ5" i="24142"/>
  <c r="BZ58" i="24142" s="1"/>
  <c r="BY5" i="24142"/>
  <c r="BY58" i="24142" s="1"/>
  <c r="BX5" i="24142"/>
  <c r="BW5" i="24142"/>
  <c r="BW58" i="24142" s="1"/>
  <c r="BV5" i="24142"/>
  <c r="BV58" i="24142" s="1"/>
  <c r="BU5" i="24142"/>
  <c r="BU58" i="24142" s="1"/>
  <c r="BT5" i="24142"/>
  <c r="BS5" i="24142"/>
  <c r="BS58" i="24142" s="1"/>
  <c r="BR5" i="24142"/>
  <c r="BR58" i="24142" s="1"/>
  <c r="BQ5" i="24142"/>
  <c r="BQ58" i="24142" s="1"/>
  <c r="BP5" i="24142"/>
  <c r="BO5" i="24142"/>
  <c r="BO58" i="24142" s="1"/>
  <c r="BN5" i="24142"/>
  <c r="BN58" i="24142" s="1"/>
  <c r="BM5" i="24142"/>
  <c r="BM58" i="24142" s="1"/>
  <c r="BL5" i="24142"/>
  <c r="BK5" i="24142"/>
  <c r="BK58" i="24142" s="1"/>
  <c r="BJ5" i="24142"/>
  <c r="BJ58" i="24142" s="1"/>
  <c r="BI5" i="24142"/>
  <c r="BI58" i="24142" s="1"/>
  <c r="BH5" i="24142"/>
  <c r="BG5" i="24142"/>
  <c r="BG58" i="24142" s="1"/>
  <c r="BF5" i="24142"/>
  <c r="BF58" i="24142" s="1"/>
  <c r="BE5" i="24142"/>
  <c r="BE58" i="24142" s="1"/>
  <c r="BD5" i="24142"/>
  <c r="BC5" i="24142"/>
  <c r="BC58" i="24142" s="1"/>
  <c r="BB5" i="24142"/>
  <c r="BB58" i="24142" s="1"/>
  <c r="BA5" i="24142"/>
  <c r="BA58" i="24142" s="1"/>
  <c r="AZ5" i="24142"/>
  <c r="AY5" i="24142"/>
  <c r="AY58" i="24142" s="1"/>
  <c r="AX5" i="24142"/>
  <c r="AX58" i="24142" s="1"/>
  <c r="AW5" i="24142"/>
  <c r="AW58" i="24142" s="1"/>
  <c r="AV5" i="24142"/>
  <c r="AU5" i="24142"/>
  <c r="AU58" i="24142" s="1"/>
  <c r="AT5" i="24142"/>
  <c r="AT58" i="24142" s="1"/>
  <c r="AS5" i="24142"/>
  <c r="AS58" i="24142" s="1"/>
  <c r="AR5" i="24142"/>
  <c r="AQ5" i="24142"/>
  <c r="AQ58" i="24142" s="1"/>
  <c r="AP5" i="24142"/>
  <c r="AP58" i="24142" s="1"/>
  <c r="AO5" i="24142"/>
  <c r="AO58" i="24142" s="1"/>
  <c r="AN5" i="24142"/>
  <c r="AM5" i="24142"/>
  <c r="AM58" i="24142" s="1"/>
  <c r="AL5" i="24142"/>
  <c r="AL58" i="24142" s="1"/>
  <c r="AK5" i="24142"/>
  <c r="AK58" i="24142" s="1"/>
  <c r="AJ5" i="24142"/>
  <c r="AI5" i="24142"/>
  <c r="AI58" i="24142" s="1"/>
  <c r="AH5" i="24142"/>
  <c r="AH58" i="24142" s="1"/>
  <c r="AG5" i="24142"/>
  <c r="AG58" i="24142" s="1"/>
  <c r="AF5" i="24142"/>
  <c r="AE5" i="24142"/>
  <c r="AE58" i="24142" s="1"/>
  <c r="AD5" i="24142"/>
  <c r="AD58" i="24142" s="1"/>
  <c r="AC5" i="24142"/>
  <c r="AC58" i="24142" s="1"/>
  <c r="AB5" i="24142"/>
  <c r="AA5" i="24142"/>
  <c r="AA58" i="24142" s="1"/>
  <c r="Z5" i="24142"/>
  <c r="Z58" i="24142" s="1"/>
  <c r="Y5" i="24142"/>
  <c r="Y58" i="24142" s="1"/>
  <c r="X5" i="24142"/>
  <c r="W5" i="24142"/>
  <c r="W58" i="24142" s="1"/>
  <c r="V5" i="24142"/>
  <c r="V58" i="24142" s="1"/>
  <c r="U5" i="24142"/>
  <c r="U58" i="24142" s="1"/>
  <c r="T5" i="24142"/>
  <c r="S5" i="24142"/>
  <c r="S58" i="24142" s="1"/>
  <c r="R5" i="24142"/>
  <c r="R58" i="24142" s="1"/>
  <c r="Q5" i="24142"/>
  <c r="Q58" i="24142" s="1"/>
  <c r="P5" i="24142"/>
  <c r="O5" i="24142"/>
  <c r="O58" i="24142" s="1"/>
  <c r="N5" i="24142"/>
  <c r="N58" i="24142" s="1"/>
  <c r="M5" i="24142"/>
  <c r="M58" i="24142" s="1"/>
  <c r="L5" i="24142"/>
  <c r="K5" i="24142"/>
  <c r="K58" i="24142" s="1"/>
  <c r="J5" i="24142"/>
  <c r="J58" i="24142" s="1"/>
  <c r="I5" i="24142"/>
  <c r="I58" i="24142" s="1"/>
  <c r="H5" i="24142"/>
  <c r="G5" i="24142"/>
  <c r="G58" i="24142" s="1"/>
  <c r="F5" i="24142"/>
  <c r="F58" i="24142" s="1"/>
  <c r="E5" i="24142"/>
  <c r="E58" i="24142" s="1"/>
  <c r="D5" i="24142"/>
  <c r="C5" i="24142"/>
  <c r="C58" i="24142" s="1"/>
  <c r="B5" i="24142"/>
  <c r="B58" i="24142" s="1"/>
  <c r="EM4" i="24142"/>
  <c r="EM3" i="24142"/>
  <c r="EM56" i="24142" s="1"/>
  <c r="A1" i="24142"/>
  <c r="A94" i="24142" s="1"/>
  <c r="A563" i="23917"/>
  <c r="CN558" i="23917"/>
  <c r="CL558" i="23917"/>
  <c r="CJ558" i="23917"/>
  <c r="CH558" i="23917"/>
  <c r="CF558" i="23917"/>
  <c r="CD558" i="23917"/>
  <c r="CB558" i="23917"/>
  <c r="BZ558" i="23917"/>
  <c r="BX558" i="23917"/>
  <c r="BV558" i="23917"/>
  <c r="BT558" i="23917"/>
  <c r="BR558" i="23917"/>
  <c r="BP558" i="23917"/>
  <c r="BN558" i="23917"/>
  <c r="BL558" i="23917"/>
  <c r="BJ558" i="23917"/>
  <c r="BH558" i="23917"/>
  <c r="BF558" i="23917"/>
  <c r="BD558" i="23917"/>
  <c r="BB558" i="23917"/>
  <c r="AZ558" i="23917"/>
  <c r="AX558" i="23917"/>
  <c r="AV558" i="23917"/>
  <c r="AT558" i="23917"/>
  <c r="AR558" i="23917"/>
  <c r="AP558" i="23917"/>
  <c r="AN558" i="23917"/>
  <c r="AL558" i="23917"/>
  <c r="AJ558" i="23917"/>
  <c r="AH558" i="23917"/>
  <c r="AF558" i="23917"/>
  <c r="AD558" i="23917"/>
  <c r="AB558" i="23917"/>
  <c r="Z558" i="23917"/>
  <c r="X558" i="23917"/>
  <c r="V558" i="23917"/>
  <c r="T558" i="23917"/>
  <c r="R558" i="23917"/>
  <c r="P558" i="23917"/>
  <c r="N558" i="23917"/>
  <c r="L558" i="23917"/>
  <c r="J558" i="23917"/>
  <c r="H558" i="23917"/>
  <c r="F558" i="23917"/>
  <c r="D558" i="23917"/>
  <c r="B558" i="23917"/>
  <c r="CA558" i="23917"/>
  <c r="A560" i="23917"/>
  <c r="A559" i="23917"/>
  <c r="A558" i="23917"/>
  <c r="A557" i="23917"/>
  <c r="EE554" i="23917"/>
  <c r="DD554" i="23917"/>
  <c r="DC554" i="23917"/>
  <c r="A555" i="23917"/>
  <c r="CR554" i="23917"/>
  <c r="CP554" i="23917"/>
  <c r="CN554" i="23917"/>
  <c r="CL554" i="23917"/>
  <c r="CJ554" i="23917"/>
  <c r="CH554" i="23917"/>
  <c r="CF554" i="23917"/>
  <c r="CD554" i="23917"/>
  <c r="CB554" i="23917"/>
  <c r="CA554" i="23917"/>
  <c r="BZ554" i="23917"/>
  <c r="BX554" i="23917"/>
  <c r="BV554" i="23917"/>
  <c r="BT554" i="23917"/>
  <c r="BR554" i="23917"/>
  <c r="BP554" i="23917"/>
  <c r="BN554" i="23917"/>
  <c r="BL554" i="23917"/>
  <c r="BJ554" i="23917"/>
  <c r="BH554" i="23917"/>
  <c r="BF554" i="23917"/>
  <c r="BD554" i="23917"/>
  <c r="BB554" i="23917"/>
  <c r="AZ554" i="23917"/>
  <c r="AX554" i="23917"/>
  <c r="AV554" i="23917"/>
  <c r="AT554" i="23917"/>
  <c r="AR554" i="23917"/>
  <c r="AP554" i="23917"/>
  <c r="AN554" i="23917"/>
  <c r="AL554" i="23917"/>
  <c r="AJ554" i="23917"/>
  <c r="AH554" i="23917"/>
  <c r="AF554" i="23917"/>
  <c r="AD554" i="23917"/>
  <c r="AB554" i="23917"/>
  <c r="Z554" i="23917"/>
  <c r="Y554" i="23917"/>
  <c r="X554" i="23917"/>
  <c r="W554" i="23917"/>
  <c r="V554" i="23917"/>
  <c r="U554" i="23917"/>
  <c r="T554" i="23917"/>
  <c r="S554" i="23917"/>
  <c r="R554" i="23917"/>
  <c r="Q554" i="23917"/>
  <c r="P554" i="23917"/>
  <c r="O554" i="23917"/>
  <c r="N554" i="23917"/>
  <c r="M554" i="23917"/>
  <c r="L554" i="23917"/>
  <c r="K554" i="23917"/>
  <c r="J554" i="23917"/>
  <c r="I554" i="23917"/>
  <c r="G554" i="23917"/>
  <c r="E554" i="23917"/>
  <c r="C554" i="23917"/>
  <c r="B554" i="23917"/>
  <c r="A554" i="23917"/>
  <c r="A553" i="23917"/>
  <c r="CN552" i="23917"/>
  <c r="CL552" i="23917"/>
  <c r="CJ552" i="23917"/>
  <c r="CH552" i="23917"/>
  <c r="CF552" i="23917"/>
  <c r="CD552" i="23917"/>
  <c r="CB552" i="23917"/>
  <c r="CA552" i="23917"/>
  <c r="BZ552" i="23917"/>
  <c r="BX552" i="23917"/>
  <c r="BV552" i="23917"/>
  <c r="BT552" i="23917"/>
  <c r="BR552" i="23917"/>
  <c r="BP552" i="23917"/>
  <c r="BN552" i="23917"/>
  <c r="BL552" i="23917"/>
  <c r="BJ552" i="23917"/>
  <c r="BH552" i="23917"/>
  <c r="BF552" i="23917"/>
  <c r="BD552" i="23917"/>
  <c r="BB552" i="23917"/>
  <c r="AZ552" i="23917"/>
  <c r="AX552" i="23917"/>
  <c r="AV552" i="23917"/>
  <c r="AT552" i="23917"/>
  <c r="AR552" i="23917"/>
  <c r="AP552" i="23917"/>
  <c r="AN552" i="23917"/>
  <c r="AL552" i="23917"/>
  <c r="AJ552" i="23917"/>
  <c r="AH552" i="23917"/>
  <c r="AF552" i="23917"/>
  <c r="AD552" i="23917"/>
  <c r="AB552" i="23917"/>
  <c r="Z552" i="23917"/>
  <c r="X552" i="23917"/>
  <c r="V552" i="23917"/>
  <c r="T552" i="23917"/>
  <c r="R552" i="23917"/>
  <c r="P552" i="23917"/>
  <c r="N552" i="23917"/>
  <c r="L552" i="23917"/>
  <c r="J552" i="23917"/>
  <c r="H552" i="23917"/>
  <c r="F552" i="23917"/>
  <c r="D552" i="23917"/>
  <c r="B552" i="23917"/>
  <c r="A552" i="23917"/>
  <c r="A551" i="23917"/>
  <c r="CN549" i="23917"/>
  <c r="CL549" i="23917"/>
  <c r="CJ549" i="23917"/>
  <c r="CH549" i="23917"/>
  <c r="CF549" i="23917"/>
  <c r="CD549" i="23917"/>
  <c r="CB549" i="23917"/>
  <c r="CA549" i="23917"/>
  <c r="BZ549" i="23917"/>
  <c r="BX549" i="23917"/>
  <c r="BV549" i="23917"/>
  <c r="BT549" i="23917"/>
  <c r="BR549" i="23917"/>
  <c r="BP549" i="23917"/>
  <c r="BN549" i="23917"/>
  <c r="BL549" i="23917"/>
  <c r="BJ549" i="23917"/>
  <c r="BH549" i="23917"/>
  <c r="BF549" i="23917"/>
  <c r="BD549" i="23917"/>
  <c r="BB549" i="23917"/>
  <c r="AZ549" i="23917"/>
  <c r="AX549" i="23917"/>
  <c r="AV549" i="23917"/>
  <c r="AT549" i="23917"/>
  <c r="AR549" i="23917"/>
  <c r="AP549" i="23917"/>
  <c r="A549" i="23917"/>
  <c r="CP548" i="23917"/>
  <c r="CN548" i="23917"/>
  <c r="CL548" i="23917"/>
  <c r="CJ548" i="23917"/>
  <c r="CH548" i="23917"/>
  <c r="CF548" i="23917"/>
  <c r="CD548" i="23917"/>
  <c r="CB548" i="23917"/>
  <c r="CA548" i="23917"/>
  <c r="BZ548" i="23917"/>
  <c r="BX548" i="23917"/>
  <c r="BV548" i="23917"/>
  <c r="BT548" i="23917"/>
  <c r="BR548" i="23917"/>
  <c r="BP548" i="23917"/>
  <c r="BN548" i="23917"/>
  <c r="BL548" i="23917"/>
  <c r="BJ548" i="23917"/>
  <c r="BH548" i="23917"/>
  <c r="BF548" i="23917"/>
  <c r="BD548" i="23917"/>
  <c r="BB548" i="23917"/>
  <c r="AZ548" i="23917"/>
  <c r="AX548" i="23917"/>
  <c r="AV548" i="23917"/>
  <c r="AT548" i="23917"/>
  <c r="AR548" i="23917"/>
  <c r="AP548" i="23917"/>
  <c r="AN548" i="23917"/>
  <c r="AL548" i="23917"/>
  <c r="AJ548" i="23917"/>
  <c r="AH548" i="23917"/>
  <c r="AF548" i="23917"/>
  <c r="AD548" i="23917"/>
  <c r="AB548" i="23917"/>
  <c r="Z548" i="23917"/>
  <c r="X548" i="23917"/>
  <c r="V548" i="23917"/>
  <c r="T548" i="23917"/>
  <c r="R548" i="23917"/>
  <c r="P548" i="23917"/>
  <c r="N548" i="23917"/>
  <c r="L548" i="23917"/>
  <c r="J548" i="23917"/>
  <c r="H548" i="23917"/>
  <c r="F548" i="23917"/>
  <c r="D548" i="23917"/>
  <c r="B548" i="23917"/>
  <c r="A548" i="23917"/>
  <c r="F547" i="23917"/>
  <c r="D547" i="23917"/>
  <c r="B547" i="23917"/>
  <c r="A547" i="23917"/>
  <c r="A546" i="23917"/>
  <c r="DF544" i="23917"/>
  <c r="A542" i="23917"/>
  <c r="A537" i="23917"/>
  <c r="A535" i="23917"/>
  <c r="A534" i="23917"/>
  <c r="A533" i="23917"/>
  <c r="A532" i="23917"/>
  <c r="A530" i="23917"/>
  <c r="A529" i="23917"/>
  <c r="A528" i="23917"/>
  <c r="I526" i="23917"/>
  <c r="H526" i="23917"/>
  <c r="G526" i="23917"/>
  <c r="F526" i="23917"/>
  <c r="E526" i="23917"/>
  <c r="D526" i="23917"/>
  <c r="A523" i="23917"/>
  <c r="A522" i="23917"/>
  <c r="A521" i="23917"/>
  <c r="A520" i="23917"/>
  <c r="H521" i="23917"/>
  <c r="F521" i="23917"/>
  <c r="D521" i="23917"/>
  <c r="D520" i="23917"/>
  <c r="A518" i="23917"/>
  <c r="A517" i="23917"/>
  <c r="A516" i="23917"/>
  <c r="A515" i="23917"/>
  <c r="A514" i="23917"/>
  <c r="A513" i="23917"/>
  <c r="H517" i="23917"/>
  <c r="F517" i="23917"/>
  <c r="D517" i="23917"/>
  <c r="H515" i="23917"/>
  <c r="F515" i="23917"/>
  <c r="D515" i="23917"/>
  <c r="H514" i="23917"/>
  <c r="F514" i="23917"/>
  <c r="D514" i="23917"/>
  <c r="H511" i="23917"/>
  <c r="F511" i="23917"/>
  <c r="D511" i="23917"/>
  <c r="A511" i="23917"/>
  <c r="A510" i="23917"/>
  <c r="DF508" i="23917"/>
  <c r="A506" i="23917"/>
  <c r="A501" i="23917"/>
  <c r="A499" i="23917"/>
  <c r="A498" i="23917"/>
  <c r="A497" i="23917"/>
  <c r="A495" i="23917"/>
  <c r="A493" i="23917"/>
  <c r="A487" i="23917"/>
  <c r="A486" i="23917"/>
  <c r="Z485" i="23917"/>
  <c r="X485" i="23917"/>
  <c r="V485" i="23917"/>
  <c r="T485" i="23917"/>
  <c r="R485" i="23917"/>
  <c r="P485" i="23917"/>
  <c r="N485" i="23917"/>
  <c r="L485" i="23917"/>
  <c r="J485" i="23917"/>
  <c r="H485" i="23917"/>
  <c r="F485" i="23917"/>
  <c r="D485" i="23917"/>
  <c r="B485" i="23917"/>
  <c r="A485" i="23917"/>
  <c r="A484" i="23917"/>
  <c r="A482" i="23917"/>
  <c r="Z481" i="23917"/>
  <c r="X481" i="23917"/>
  <c r="V481" i="23917"/>
  <c r="T481" i="23917"/>
  <c r="R481" i="23917"/>
  <c r="P481" i="23917"/>
  <c r="N481" i="23917"/>
  <c r="J481" i="23917"/>
  <c r="H481" i="23917"/>
  <c r="F481" i="23917"/>
  <c r="D481" i="23917"/>
  <c r="B481" i="23917"/>
  <c r="A481" i="23917"/>
  <c r="Z480" i="23917"/>
  <c r="X480" i="23917"/>
  <c r="V480" i="23917"/>
  <c r="T480" i="23917"/>
  <c r="R480" i="23917"/>
  <c r="P480" i="23917"/>
  <c r="N480" i="23917"/>
  <c r="L480" i="23917"/>
  <c r="J480" i="23917"/>
  <c r="H480" i="23917"/>
  <c r="F480" i="23917"/>
  <c r="D480" i="23917"/>
  <c r="B480" i="23917"/>
  <c r="A480" i="23917"/>
  <c r="A477" i="23917"/>
  <c r="Z476" i="23917"/>
  <c r="X476" i="23917"/>
  <c r="V476" i="23917"/>
  <c r="T476" i="23917"/>
  <c r="P476" i="23917"/>
  <c r="N476" i="23917"/>
  <c r="L476" i="23917"/>
  <c r="J476" i="23917"/>
  <c r="H476" i="23917"/>
  <c r="F476" i="23917"/>
  <c r="D476" i="23917"/>
  <c r="B476" i="23917"/>
  <c r="A476" i="23917"/>
  <c r="A475" i="23917"/>
  <c r="Z474" i="23917"/>
  <c r="X474" i="23917"/>
  <c r="V474" i="23917"/>
  <c r="T474" i="23917"/>
  <c r="R474" i="23917"/>
  <c r="P474" i="23917"/>
  <c r="N474" i="23917"/>
  <c r="L474" i="23917"/>
  <c r="J474" i="23917"/>
  <c r="H474" i="23917"/>
  <c r="F474" i="23917"/>
  <c r="D474" i="23917"/>
  <c r="B474" i="23917"/>
  <c r="A474" i="23917"/>
  <c r="DF471" i="23917"/>
  <c r="A469" i="23917"/>
  <c r="A464" i="23917"/>
  <c r="A462" i="23917"/>
  <c r="A461" i="23917"/>
  <c r="A460" i="23917"/>
  <c r="A459" i="23917"/>
  <c r="A458" i="23917"/>
  <c r="A457" i="23917"/>
  <c r="DG449" i="23917"/>
  <c r="A455" i="23917"/>
  <c r="AB454" i="23917"/>
  <c r="Z454" i="23917"/>
  <c r="X454" i="23917"/>
  <c r="V454" i="23917"/>
  <c r="T454" i="23917"/>
  <c r="R454" i="23917"/>
  <c r="P454" i="23917"/>
  <c r="N454" i="23917"/>
  <c r="L454" i="23917"/>
  <c r="J454" i="23917"/>
  <c r="H454" i="23917"/>
  <c r="F454" i="23917"/>
  <c r="D454" i="23917"/>
  <c r="B454" i="23917"/>
  <c r="A454" i="23917"/>
  <c r="A453" i="23917"/>
  <c r="Z452" i="23917"/>
  <c r="X452" i="23917"/>
  <c r="T452" i="23917"/>
  <c r="H452" i="23917"/>
  <c r="F452" i="23917"/>
  <c r="D452" i="23917"/>
  <c r="A452" i="23917"/>
  <c r="A451" i="23917"/>
  <c r="A450" i="23917"/>
  <c r="R449" i="23917"/>
  <c r="A449" i="23917"/>
  <c r="DF446" i="23917"/>
  <c r="A444" i="23917"/>
  <c r="A439" i="23917"/>
  <c r="A437" i="23917"/>
  <c r="A436" i="23917"/>
  <c r="A434" i="23917"/>
  <c r="A433" i="23917"/>
  <c r="A432" i="23917"/>
  <c r="A431" i="23917"/>
  <c r="A429" i="23917"/>
  <c r="A428" i="23917"/>
  <c r="A427" i="23917"/>
  <c r="A426" i="23917"/>
  <c r="A420" i="23917"/>
  <c r="A419" i="23917"/>
  <c r="AB418" i="23917"/>
  <c r="Z418" i="23917"/>
  <c r="X418" i="23917"/>
  <c r="V418" i="23917"/>
  <c r="T418" i="23917"/>
  <c r="R418" i="23917"/>
  <c r="P418" i="23917"/>
  <c r="N418" i="23917"/>
  <c r="L418" i="23917"/>
  <c r="J418" i="23917"/>
  <c r="H418" i="23917"/>
  <c r="F418" i="23917"/>
  <c r="D418" i="23917"/>
  <c r="B418" i="23917"/>
  <c r="A418" i="23917"/>
  <c r="A417" i="23917"/>
  <c r="AB415" i="23917"/>
  <c r="Z415" i="23917"/>
  <c r="X415" i="23917"/>
  <c r="V415" i="23917"/>
  <c r="T415" i="23917"/>
  <c r="R415" i="23917"/>
  <c r="P415" i="23917"/>
  <c r="N415" i="23917"/>
  <c r="L415" i="23917"/>
  <c r="J415" i="23917"/>
  <c r="H415" i="23917"/>
  <c r="F415" i="23917"/>
  <c r="D415" i="23917"/>
  <c r="B415" i="23917"/>
  <c r="A415" i="23917"/>
  <c r="A412" i="23917"/>
  <c r="AB411" i="23917"/>
  <c r="Z411" i="23917"/>
  <c r="X411" i="23917"/>
  <c r="V411" i="23917"/>
  <c r="T411" i="23917"/>
  <c r="R411" i="23917"/>
  <c r="P411" i="23917"/>
  <c r="N411" i="23917"/>
  <c r="L411" i="23917"/>
  <c r="J411" i="23917"/>
  <c r="H411" i="23917"/>
  <c r="F411" i="23917"/>
  <c r="D411" i="23917"/>
  <c r="B411" i="23917"/>
  <c r="A411" i="23917"/>
  <c r="A410" i="23917"/>
  <c r="DF407" i="23917"/>
  <c r="A405" i="23917"/>
  <c r="A400" i="23917"/>
  <c r="M398" i="23917"/>
  <c r="A398" i="23917"/>
  <c r="M397" i="23917"/>
  <c r="A397" i="23917"/>
  <c r="A396" i="23917"/>
  <c r="M394" i="23917"/>
  <c r="A394" i="23917"/>
  <c r="M393" i="23917"/>
  <c r="A393" i="23917"/>
  <c r="M391" i="23917"/>
  <c r="A391" i="23917"/>
  <c r="A390" i="23917"/>
  <c r="M385" i="23917"/>
  <c r="A385" i="23917"/>
  <c r="M384" i="23917"/>
  <c r="A384" i="23917"/>
  <c r="M383" i="23917"/>
  <c r="L383" i="23917"/>
  <c r="J383" i="23917"/>
  <c r="H383" i="23917"/>
  <c r="F383" i="23917"/>
  <c r="D383" i="23917"/>
  <c r="B383" i="23917"/>
  <c r="A383" i="23917"/>
  <c r="M382" i="23917"/>
  <c r="A382" i="23917"/>
  <c r="M380" i="23917"/>
  <c r="A380" i="23917"/>
  <c r="M379" i="23917"/>
  <c r="L379" i="23917"/>
  <c r="J379" i="23917"/>
  <c r="H379" i="23917"/>
  <c r="F379" i="23917"/>
  <c r="D379" i="23917"/>
  <c r="B379" i="23917"/>
  <c r="A379" i="23917"/>
  <c r="M378" i="23917"/>
  <c r="A378" i="23917"/>
  <c r="M377" i="23917"/>
  <c r="A377" i="23917"/>
  <c r="M376" i="23917"/>
  <c r="L376" i="23917"/>
  <c r="J376" i="23917"/>
  <c r="H376" i="23917"/>
  <c r="F376" i="23917"/>
  <c r="D376" i="23917"/>
  <c r="B376" i="23917"/>
  <c r="A376" i="23917"/>
  <c r="M375" i="23917"/>
  <c r="L375" i="23917"/>
  <c r="J375" i="23917"/>
  <c r="H375" i="23917"/>
  <c r="F375" i="23917"/>
  <c r="D375" i="23917"/>
  <c r="B375" i="23917"/>
  <c r="A375" i="23917"/>
  <c r="A374" i="23917"/>
  <c r="M372" i="23917"/>
  <c r="A372" i="23917"/>
  <c r="M371" i="23917"/>
  <c r="H371" i="23917"/>
  <c r="F371" i="23917"/>
  <c r="D371" i="23917"/>
  <c r="A371" i="23917"/>
  <c r="M370" i="23917"/>
  <c r="L370" i="23917"/>
  <c r="J370" i="23917"/>
  <c r="H370" i="23917"/>
  <c r="F370" i="23917"/>
  <c r="D370" i="23917"/>
  <c r="B370" i="23917"/>
  <c r="A370" i="23917"/>
  <c r="M369" i="23917"/>
  <c r="A369" i="23917"/>
  <c r="M368" i="23917"/>
  <c r="L368" i="23917"/>
  <c r="J368" i="23917"/>
  <c r="H368" i="23917"/>
  <c r="F368" i="23917"/>
  <c r="D368" i="23917"/>
  <c r="B368" i="23917"/>
  <c r="A368" i="23917"/>
  <c r="A367" i="23917"/>
  <c r="DF365" i="23917"/>
  <c r="A363" i="23917"/>
  <c r="A358" i="23917"/>
  <c r="A356" i="23917"/>
  <c r="A355" i="23917"/>
  <c r="A354" i="23917"/>
  <c r="A352" i="23917"/>
  <c r="A350" i="23917"/>
  <c r="A349" i="23917"/>
  <c r="CN341" i="23917"/>
  <c r="CL341" i="23917"/>
  <c r="CJ341" i="23917"/>
  <c r="CH341" i="23917"/>
  <c r="CF341" i="23917"/>
  <c r="CD341" i="23917"/>
  <c r="CB341" i="23917"/>
  <c r="BZ341" i="23917"/>
  <c r="BX341" i="23917"/>
  <c r="BV341" i="23917"/>
  <c r="BT341" i="23917"/>
  <c r="BR341" i="23917"/>
  <c r="BP341" i="23917"/>
  <c r="BN341" i="23917"/>
  <c r="BL341" i="23917"/>
  <c r="BJ341" i="23917"/>
  <c r="BH341" i="23917"/>
  <c r="BF341" i="23917"/>
  <c r="BD341" i="23917"/>
  <c r="BB341" i="23917"/>
  <c r="AZ341" i="23917"/>
  <c r="AX341" i="23917"/>
  <c r="AV341" i="23917"/>
  <c r="AT341" i="23917"/>
  <c r="AR341" i="23917"/>
  <c r="AP341" i="23917"/>
  <c r="AN341" i="23917"/>
  <c r="AL341" i="23917"/>
  <c r="AJ341" i="23917"/>
  <c r="AH341" i="23917"/>
  <c r="AF341" i="23917"/>
  <c r="AD341" i="23917"/>
  <c r="AB341" i="23917"/>
  <c r="Z341" i="23917"/>
  <c r="X341" i="23917"/>
  <c r="V341" i="23917"/>
  <c r="T341" i="23917"/>
  <c r="R341" i="23917"/>
  <c r="P341" i="23917"/>
  <c r="N341" i="23917"/>
  <c r="L341" i="23917"/>
  <c r="J341" i="23917"/>
  <c r="H341" i="23917"/>
  <c r="F341" i="23917"/>
  <c r="D341" i="23917"/>
  <c r="CA341" i="23917"/>
  <c r="A343" i="23917"/>
  <c r="A342" i="23917"/>
  <c r="A341" i="23917"/>
  <c r="A340" i="23917"/>
  <c r="A338" i="23917"/>
  <c r="A337" i="23917"/>
  <c r="A336" i="23917"/>
  <c r="A335" i="23917"/>
  <c r="A334" i="23917"/>
  <c r="A333" i="23917"/>
  <c r="AT337" i="23917"/>
  <c r="AR337" i="23917"/>
  <c r="AP337" i="23917"/>
  <c r="AN337" i="23917"/>
  <c r="AL337" i="23917"/>
  <c r="AJ337" i="23917"/>
  <c r="V337" i="23917"/>
  <c r="T337" i="23917"/>
  <c r="R337" i="23917"/>
  <c r="P337" i="23917"/>
  <c r="N337" i="23917"/>
  <c r="L337" i="23917"/>
  <c r="J337" i="23917"/>
  <c r="H337" i="23917"/>
  <c r="F337" i="23917"/>
  <c r="D337" i="23917"/>
  <c r="CN334" i="23917"/>
  <c r="CL334" i="23917"/>
  <c r="CJ334" i="23917"/>
  <c r="CH334" i="23917"/>
  <c r="CF334" i="23917"/>
  <c r="CD334" i="23917"/>
  <c r="CB334" i="23917"/>
  <c r="CA334" i="23917"/>
  <c r="BZ334" i="23917"/>
  <c r="BX334" i="23917"/>
  <c r="BV334" i="23917"/>
  <c r="BT334" i="23917"/>
  <c r="BR334" i="23917"/>
  <c r="BP334" i="23917"/>
  <c r="BN334" i="23917"/>
  <c r="BL334" i="23917"/>
  <c r="BJ334" i="23917"/>
  <c r="BH334" i="23917"/>
  <c r="BF334" i="23917"/>
  <c r="BD334" i="23917"/>
  <c r="BB334" i="23917"/>
  <c r="AZ334" i="23917"/>
  <c r="AX334" i="23917"/>
  <c r="AV334" i="23917"/>
  <c r="AN334" i="23917"/>
  <c r="AL334" i="23917"/>
  <c r="AJ334" i="23917"/>
  <c r="AH334" i="23917"/>
  <c r="AF334" i="23917"/>
  <c r="AD334" i="23917"/>
  <c r="AB334" i="23917"/>
  <c r="Z334" i="23917"/>
  <c r="P334" i="23917"/>
  <c r="N334" i="23917"/>
  <c r="L334" i="23917"/>
  <c r="J334" i="23917"/>
  <c r="H334" i="23917"/>
  <c r="F334" i="23917"/>
  <c r="D334" i="23917"/>
  <c r="A331" i="23917"/>
  <c r="A330" i="23917"/>
  <c r="A329" i="23917"/>
  <c r="A328" i="23917"/>
  <c r="A327" i="23917"/>
  <c r="CN330" i="23917"/>
  <c r="CL330" i="23917"/>
  <c r="CJ330" i="23917"/>
  <c r="CH330" i="23917"/>
  <c r="CF330" i="23917"/>
  <c r="CD330" i="23917"/>
  <c r="CB330" i="23917"/>
  <c r="CA330" i="23917"/>
  <c r="BZ330" i="23917"/>
  <c r="BX330" i="23917"/>
  <c r="BV330" i="23917"/>
  <c r="BT330" i="23917"/>
  <c r="BR330" i="23917"/>
  <c r="BP330" i="23917"/>
  <c r="BN330" i="23917"/>
  <c r="BL330" i="23917"/>
  <c r="BJ330" i="23917"/>
  <c r="BH330" i="23917"/>
  <c r="BF330" i="23917"/>
  <c r="BD330" i="23917"/>
  <c r="BB330" i="23917"/>
  <c r="AZ330" i="23917"/>
  <c r="AX330" i="23917"/>
  <c r="AV330" i="23917"/>
  <c r="AT330" i="23917"/>
  <c r="AR330" i="23917"/>
  <c r="AP330" i="23917"/>
  <c r="AN330" i="23917"/>
  <c r="AL330" i="23917"/>
  <c r="AJ330" i="23917"/>
  <c r="AH330" i="23917"/>
  <c r="AF330" i="23917"/>
  <c r="AB330" i="23917"/>
  <c r="Z330" i="23917"/>
  <c r="X330" i="23917"/>
  <c r="V330" i="23917"/>
  <c r="T330" i="23917"/>
  <c r="R330" i="23917"/>
  <c r="P330" i="23917"/>
  <c r="N330" i="23917"/>
  <c r="L330" i="23917"/>
  <c r="H330" i="23917"/>
  <c r="D330" i="23917"/>
  <c r="CN329" i="23917"/>
  <c r="CL329" i="23917"/>
  <c r="CJ329" i="23917"/>
  <c r="CH329" i="23917"/>
  <c r="CF329" i="23917"/>
  <c r="CD329" i="23917"/>
  <c r="CB329" i="23917"/>
  <c r="CA329" i="23917"/>
  <c r="BZ329" i="23917"/>
  <c r="BX329" i="23917"/>
  <c r="BV329" i="23917"/>
  <c r="BT329" i="23917"/>
  <c r="BR329" i="23917"/>
  <c r="BP329" i="23917"/>
  <c r="BN329" i="23917"/>
  <c r="BL329" i="23917"/>
  <c r="BJ329" i="23917"/>
  <c r="BH329" i="23917"/>
  <c r="BF329" i="23917"/>
  <c r="BD329" i="23917"/>
  <c r="BB329" i="23917"/>
  <c r="AZ329" i="23917"/>
  <c r="AX329" i="23917"/>
  <c r="AV329" i="23917"/>
  <c r="AT329" i="23917"/>
  <c r="AR329" i="23917"/>
  <c r="AP329" i="23917"/>
  <c r="AN329" i="23917"/>
  <c r="AL329" i="23917"/>
  <c r="AJ329" i="23917"/>
  <c r="AH329" i="23917"/>
  <c r="AF329" i="23917"/>
  <c r="AD329" i="23917"/>
  <c r="AB329" i="23917"/>
  <c r="Z329" i="23917"/>
  <c r="V329" i="23917"/>
  <c r="T329" i="23917"/>
  <c r="R329" i="23917"/>
  <c r="P329" i="23917"/>
  <c r="N329" i="23917"/>
  <c r="L329" i="23917"/>
  <c r="J329" i="23917"/>
  <c r="H329" i="23917"/>
  <c r="F329" i="23917"/>
  <c r="D329" i="23917"/>
  <c r="CN328" i="23917"/>
  <c r="CL328" i="23917"/>
  <c r="CJ328" i="23917"/>
  <c r="CH328" i="23917"/>
  <c r="CF328" i="23917"/>
  <c r="CD328" i="23917"/>
  <c r="CB328" i="23917"/>
  <c r="CA328" i="23917"/>
  <c r="BZ328" i="23917"/>
  <c r="BX328" i="23917"/>
  <c r="BV328" i="23917"/>
  <c r="BT328" i="23917"/>
  <c r="BR328" i="23917"/>
  <c r="BP328" i="23917"/>
  <c r="BN328" i="23917"/>
  <c r="BL328" i="23917"/>
  <c r="BJ328" i="23917"/>
  <c r="BH328" i="23917"/>
  <c r="BF328" i="23917"/>
  <c r="BD328" i="23917"/>
  <c r="BB328" i="23917"/>
  <c r="AZ328" i="23917"/>
  <c r="AX328" i="23917"/>
  <c r="AV328" i="23917"/>
  <c r="AT328" i="23917"/>
  <c r="AR328" i="23917"/>
  <c r="AP328" i="23917"/>
  <c r="AN328" i="23917"/>
  <c r="AL328" i="23917"/>
  <c r="AJ328" i="23917"/>
  <c r="AH328" i="23917"/>
  <c r="AF328" i="23917"/>
  <c r="AD328" i="23917"/>
  <c r="AB328" i="23917"/>
  <c r="Z328" i="23917"/>
  <c r="X328" i="23917"/>
  <c r="V328" i="23917"/>
  <c r="T328" i="23917"/>
  <c r="R328" i="23917"/>
  <c r="P328" i="23917"/>
  <c r="N328" i="23917"/>
  <c r="L328" i="23917"/>
  <c r="J328" i="23917"/>
  <c r="H328" i="23917"/>
  <c r="F328" i="23917"/>
  <c r="D328" i="23917"/>
  <c r="DF325" i="23917"/>
  <c r="A323" i="23917"/>
  <c r="A318" i="23917"/>
  <c r="A316" i="23917"/>
  <c r="A315" i="23917"/>
  <c r="DR313" i="23917"/>
  <c r="DP313" i="23917"/>
  <c r="DN313" i="23917"/>
  <c r="DL313" i="23917"/>
  <c r="DJ313" i="23917"/>
  <c r="DH313" i="23917"/>
  <c r="DF313" i="23917"/>
  <c r="DD313" i="23917"/>
  <c r="BO313" i="23917"/>
  <c r="BM313" i="23917"/>
  <c r="BK313" i="23917"/>
  <c r="BI313" i="23917"/>
  <c r="BG313" i="23917"/>
  <c r="BE313" i="23917"/>
  <c r="BC313" i="23917"/>
  <c r="BA313" i="23917"/>
  <c r="AY313" i="23917"/>
  <c r="AW313" i="23917"/>
  <c r="AU313" i="23917"/>
  <c r="AS313" i="23917"/>
  <c r="AQ313" i="23917"/>
  <c r="AO313" i="23917"/>
  <c r="AM313" i="23917"/>
  <c r="AK313" i="23917"/>
  <c r="AI313" i="23917"/>
  <c r="AG313" i="23917"/>
  <c r="AE313" i="23917"/>
  <c r="AC313" i="23917"/>
  <c r="AA313" i="23917"/>
  <c r="Y313" i="23917"/>
  <c r="W313" i="23917"/>
  <c r="U313" i="23917"/>
  <c r="S313" i="23917"/>
  <c r="Q313" i="23917"/>
  <c r="O313" i="23917"/>
  <c r="M313" i="23917"/>
  <c r="K313" i="23917"/>
  <c r="I313" i="23917"/>
  <c r="G313" i="23917"/>
  <c r="E313" i="23917"/>
  <c r="C313" i="23917"/>
  <c r="A313" i="23917"/>
  <c r="A312" i="23917"/>
  <c r="AP310" i="23917"/>
  <c r="AN310" i="23917"/>
  <c r="AL310" i="23917"/>
  <c r="AJ310" i="23917"/>
  <c r="AH310" i="23917"/>
  <c r="AF310" i="23917"/>
  <c r="AD310" i="23917"/>
  <c r="AB310" i="23917"/>
  <c r="Z310" i="23917"/>
  <c r="X310" i="23917"/>
  <c r="V310" i="23917"/>
  <c r="T310" i="23917"/>
  <c r="R310" i="23917"/>
  <c r="P310" i="23917"/>
  <c r="N310" i="23917"/>
  <c r="L310" i="23917"/>
  <c r="J310" i="23917"/>
  <c r="A310" i="23917"/>
  <c r="CN302" i="23917"/>
  <c r="CL302" i="23917"/>
  <c r="CJ302" i="23917"/>
  <c r="CH302" i="23917"/>
  <c r="CF302" i="23917"/>
  <c r="CD302" i="23917"/>
  <c r="CB302" i="23917"/>
  <c r="BZ302" i="23917"/>
  <c r="BX302" i="23917"/>
  <c r="BV302" i="23917"/>
  <c r="BT302" i="23917"/>
  <c r="BR302" i="23917"/>
  <c r="BP302" i="23917"/>
  <c r="BN302" i="23917"/>
  <c r="BL302" i="23917"/>
  <c r="BJ302" i="23917"/>
  <c r="BH302" i="23917"/>
  <c r="BF302" i="23917"/>
  <c r="BD302" i="23917"/>
  <c r="BB302" i="23917"/>
  <c r="AZ302" i="23917"/>
  <c r="AX302" i="23917"/>
  <c r="AV302" i="23917"/>
  <c r="AT302" i="23917"/>
  <c r="AR302" i="23917"/>
  <c r="AP302" i="23917"/>
  <c r="AN302" i="23917"/>
  <c r="AL302" i="23917"/>
  <c r="AJ302" i="23917"/>
  <c r="AH302" i="23917"/>
  <c r="AF302" i="23917"/>
  <c r="AD302" i="23917"/>
  <c r="AB302" i="23917"/>
  <c r="Z302" i="23917"/>
  <c r="X302" i="23917"/>
  <c r="V302" i="23917"/>
  <c r="T302" i="23917"/>
  <c r="R302" i="23917"/>
  <c r="P302" i="23917"/>
  <c r="N302" i="23917"/>
  <c r="L302" i="23917"/>
  <c r="J302" i="23917"/>
  <c r="H302" i="23917"/>
  <c r="F302" i="23917"/>
  <c r="D302" i="23917"/>
  <c r="B302" i="23917"/>
  <c r="CA302" i="23917"/>
  <c r="A304" i="23917"/>
  <c r="A303" i="23917"/>
  <c r="A302" i="23917"/>
  <c r="A301" i="23917"/>
  <c r="A299" i="23917"/>
  <c r="AR298" i="23917"/>
  <c r="AP298" i="23917"/>
  <c r="AN298" i="23917"/>
  <c r="AL298" i="23917"/>
  <c r="AJ298" i="23917"/>
  <c r="T298" i="23917"/>
  <c r="R298" i="23917"/>
  <c r="P298" i="23917"/>
  <c r="N298" i="23917"/>
  <c r="L298" i="23917"/>
  <c r="H298" i="23917"/>
  <c r="F298" i="23917"/>
  <c r="D298" i="23917"/>
  <c r="B298" i="23917"/>
  <c r="A298" i="23917"/>
  <c r="A297" i="23917"/>
  <c r="AP296" i="23917"/>
  <c r="AJ296" i="23917"/>
  <c r="A296" i="23917"/>
  <c r="A295" i="23917"/>
  <c r="CN292" i="23917"/>
  <c r="CL292" i="23917"/>
  <c r="CJ292" i="23917"/>
  <c r="CH292" i="23917"/>
  <c r="CF292" i="23917"/>
  <c r="CD292" i="23917"/>
  <c r="CB292" i="23917"/>
  <c r="CA292" i="23917"/>
  <c r="BZ292" i="23917"/>
  <c r="BX292" i="23917"/>
  <c r="BV292" i="23917"/>
  <c r="BT292" i="23917"/>
  <c r="BR292" i="23917"/>
  <c r="BP292" i="23917"/>
  <c r="BN292" i="23917"/>
  <c r="BL292" i="23917"/>
  <c r="BJ292" i="23917"/>
  <c r="BH292" i="23917"/>
  <c r="BF292" i="23917"/>
  <c r="BD292" i="23917"/>
  <c r="BB292" i="23917"/>
  <c r="AZ292" i="23917"/>
  <c r="AX292" i="23917"/>
  <c r="AV292" i="23917"/>
  <c r="AT292" i="23917"/>
  <c r="AR292" i="23917"/>
  <c r="AP292" i="23917"/>
  <c r="AN292" i="23917"/>
  <c r="AL292" i="23917"/>
  <c r="AJ292" i="23917"/>
  <c r="AH292" i="23917"/>
  <c r="AF292" i="23917"/>
  <c r="AD292" i="23917"/>
  <c r="AB292" i="23917"/>
  <c r="Z292" i="23917"/>
  <c r="X292" i="23917"/>
  <c r="V292" i="23917"/>
  <c r="T292" i="23917"/>
  <c r="R292" i="23917"/>
  <c r="P292" i="23917"/>
  <c r="N292" i="23917"/>
  <c r="L292" i="23917"/>
  <c r="J292" i="23917"/>
  <c r="H292" i="23917"/>
  <c r="F292" i="23917"/>
  <c r="D292" i="23917"/>
  <c r="B292" i="23917"/>
  <c r="A292" i="23917"/>
  <c r="A291" i="23917"/>
  <c r="CN290" i="23917"/>
  <c r="CL290" i="23917"/>
  <c r="CJ290" i="23917"/>
  <c r="CH290" i="23917"/>
  <c r="CF290" i="23917"/>
  <c r="CD290" i="23917"/>
  <c r="CB290" i="23917"/>
  <c r="CA290" i="23917"/>
  <c r="BZ290" i="23917"/>
  <c r="BX290" i="23917"/>
  <c r="BV290" i="23917"/>
  <c r="BT290" i="23917"/>
  <c r="BR290" i="23917"/>
  <c r="BP290" i="23917"/>
  <c r="BN290" i="23917"/>
  <c r="BL290" i="23917"/>
  <c r="BJ290" i="23917"/>
  <c r="BH290" i="23917"/>
  <c r="BF290" i="23917"/>
  <c r="BD290" i="23917"/>
  <c r="BB290" i="23917"/>
  <c r="AZ290" i="23917"/>
  <c r="AX290" i="23917"/>
  <c r="AV290" i="23917"/>
  <c r="AT290" i="23917"/>
  <c r="AR290" i="23917"/>
  <c r="AP290" i="23917"/>
  <c r="AN290" i="23917"/>
  <c r="AL290" i="23917"/>
  <c r="AJ290" i="23917"/>
  <c r="AH290" i="23917"/>
  <c r="AF290" i="23917"/>
  <c r="AD290" i="23917"/>
  <c r="AB290" i="23917"/>
  <c r="Z290" i="23917"/>
  <c r="X290" i="23917"/>
  <c r="V290" i="23917"/>
  <c r="T290" i="23917"/>
  <c r="R290" i="23917"/>
  <c r="P290" i="23917"/>
  <c r="N290" i="23917"/>
  <c r="L290" i="23917"/>
  <c r="J290" i="23917"/>
  <c r="H290" i="23917"/>
  <c r="F290" i="23917"/>
  <c r="D290" i="23917"/>
  <c r="B290" i="23917"/>
  <c r="A290" i="23917"/>
  <c r="CN289" i="23917"/>
  <c r="CL289" i="23917"/>
  <c r="CJ289" i="23917"/>
  <c r="CH289" i="23917"/>
  <c r="CF289" i="23917"/>
  <c r="CD289" i="23917"/>
  <c r="CB289" i="23917"/>
  <c r="CA289" i="23917"/>
  <c r="BZ289" i="23917"/>
  <c r="BX289" i="23917"/>
  <c r="BV289" i="23917"/>
  <c r="BT289" i="23917"/>
  <c r="BR289" i="23917"/>
  <c r="BP289" i="23917"/>
  <c r="BN289" i="23917"/>
  <c r="BL289" i="23917"/>
  <c r="BJ289" i="23917"/>
  <c r="BH289" i="23917"/>
  <c r="BF289" i="23917"/>
  <c r="BD289" i="23917"/>
  <c r="BB289" i="23917"/>
  <c r="AZ289" i="23917"/>
  <c r="AX289" i="23917"/>
  <c r="AV289" i="23917"/>
  <c r="AP289" i="23917"/>
  <c r="A289" i="23917"/>
  <c r="DF286" i="23917"/>
  <c r="A284" i="23917"/>
  <c r="A279" i="23917"/>
  <c r="A277" i="23917"/>
  <c r="A276" i="23917"/>
  <c r="A274" i="23917"/>
  <c r="A273" i="23917"/>
  <c r="A272" i="23917"/>
  <c r="A271" i="23917"/>
  <c r="A270" i="23917"/>
  <c r="A269" i="23917"/>
  <c r="A268" i="23917"/>
  <c r="A267" i="23917"/>
  <c r="A265" i="23917"/>
  <c r="A264" i="23917"/>
  <c r="A263" i="23917"/>
  <c r="A262" i="23917"/>
  <c r="DR265" i="23917"/>
  <c r="DP265" i="23917"/>
  <c r="DN265" i="23917"/>
  <c r="DL265" i="23917"/>
  <c r="DJ265" i="23917"/>
  <c r="DH265" i="23917"/>
  <c r="DR264" i="23917"/>
  <c r="DP264" i="23917"/>
  <c r="DN264" i="23917"/>
  <c r="DL264" i="23917"/>
  <c r="DJ264" i="23917"/>
  <c r="DH264" i="23917"/>
  <c r="DR263" i="23917"/>
  <c r="DP263" i="23917"/>
  <c r="DN263" i="23917"/>
  <c r="DL263" i="23917"/>
  <c r="DJ263" i="23917"/>
  <c r="DH263" i="23917"/>
  <c r="BO265" i="23917"/>
  <c r="BM265" i="23917"/>
  <c r="BK265" i="23917"/>
  <c r="BI265" i="23917"/>
  <c r="BG265" i="23917"/>
  <c r="BE265" i="23917"/>
  <c r="BC265" i="23917"/>
  <c r="BA265" i="23917"/>
  <c r="AY265" i="23917"/>
  <c r="AW265" i="23917"/>
  <c r="AU265" i="23917"/>
  <c r="AS265" i="23917"/>
  <c r="AQ265" i="23917"/>
  <c r="AO265" i="23917"/>
  <c r="AM265" i="23917"/>
  <c r="AK265" i="23917"/>
  <c r="AI265" i="23917"/>
  <c r="AG265" i="23917"/>
  <c r="AE265" i="23917"/>
  <c r="AC265" i="23917"/>
  <c r="AA265" i="23917"/>
  <c r="Y265" i="23917"/>
  <c r="W265" i="23917"/>
  <c r="U265" i="23917"/>
  <c r="S265" i="23917"/>
  <c r="Q265" i="23917"/>
  <c r="O265" i="23917"/>
  <c r="M265" i="23917"/>
  <c r="K265" i="23917"/>
  <c r="BO264" i="23917"/>
  <c r="BM264" i="23917"/>
  <c r="BK264" i="23917"/>
  <c r="BI264" i="23917"/>
  <c r="BG264" i="23917"/>
  <c r="BE264" i="23917"/>
  <c r="BC264" i="23917"/>
  <c r="BA264" i="23917"/>
  <c r="AY264" i="23917"/>
  <c r="AW264" i="23917"/>
  <c r="AU264" i="23917"/>
  <c r="AS264" i="23917"/>
  <c r="AQ264" i="23917"/>
  <c r="AO264" i="23917"/>
  <c r="AM264" i="23917"/>
  <c r="AK264" i="23917"/>
  <c r="AI264" i="23917"/>
  <c r="AG264" i="23917"/>
  <c r="AE264" i="23917"/>
  <c r="AC264" i="23917"/>
  <c r="AA264" i="23917"/>
  <c r="Y264" i="23917"/>
  <c r="W264" i="23917"/>
  <c r="U264" i="23917"/>
  <c r="S264" i="23917"/>
  <c r="Q264" i="23917"/>
  <c r="O264" i="23917"/>
  <c r="M264" i="23917"/>
  <c r="K264" i="23917"/>
  <c r="BO263" i="23917"/>
  <c r="BM263" i="23917"/>
  <c r="BK263" i="23917"/>
  <c r="BI263" i="23917"/>
  <c r="BG263" i="23917"/>
  <c r="BE263" i="23917"/>
  <c r="BC263" i="23917"/>
  <c r="BA263" i="23917"/>
  <c r="AY263" i="23917"/>
  <c r="AW263" i="23917"/>
  <c r="AU263" i="23917"/>
  <c r="AS263" i="23917"/>
  <c r="AQ263" i="23917"/>
  <c r="AO263" i="23917"/>
  <c r="AM263" i="23917"/>
  <c r="AK263" i="23917"/>
  <c r="AI263" i="23917"/>
  <c r="AG263" i="23917"/>
  <c r="AE263" i="23917"/>
  <c r="AC263" i="23917"/>
  <c r="AA263" i="23917"/>
  <c r="Y263" i="23917"/>
  <c r="W263" i="23917"/>
  <c r="U263" i="23917"/>
  <c r="S263" i="23917"/>
  <c r="Q263" i="23917"/>
  <c r="O263" i="23917"/>
  <c r="M263" i="23917"/>
  <c r="K263" i="23917"/>
  <c r="A260" i="23917"/>
  <c r="A259" i="23917"/>
  <c r="A258" i="23917"/>
  <c r="A257" i="23917"/>
  <c r="A256" i="23917"/>
  <c r="A255" i="23917"/>
  <c r="A254" i="23917"/>
  <c r="A253" i="23917"/>
  <c r="A252" i="23917"/>
  <c r="CN259" i="23917"/>
  <c r="CL259" i="23917"/>
  <c r="CJ259" i="23917"/>
  <c r="CH259" i="23917"/>
  <c r="CF259" i="23917"/>
  <c r="CD259" i="23917"/>
  <c r="CB259" i="23917"/>
  <c r="CA259" i="23917"/>
  <c r="BZ259" i="23917"/>
  <c r="BX259" i="23917"/>
  <c r="BV259" i="23917"/>
  <c r="BT259" i="23917"/>
  <c r="BR259" i="23917"/>
  <c r="BP259" i="23917"/>
  <c r="BN259" i="23917"/>
  <c r="BL259" i="23917"/>
  <c r="BJ259" i="23917"/>
  <c r="BH259" i="23917"/>
  <c r="BF259" i="23917"/>
  <c r="BD259" i="23917"/>
  <c r="BB259" i="23917"/>
  <c r="AZ259" i="23917"/>
  <c r="AX259" i="23917"/>
  <c r="AV259" i="23917"/>
  <c r="AT259" i="23917"/>
  <c r="AR259" i="23917"/>
  <c r="AP259" i="23917"/>
  <c r="AN259" i="23917"/>
  <c r="AL259" i="23917"/>
  <c r="AJ259" i="23917"/>
  <c r="AH259" i="23917"/>
  <c r="AF259" i="23917"/>
  <c r="AD259" i="23917"/>
  <c r="AB259" i="23917"/>
  <c r="Z259" i="23917"/>
  <c r="X259" i="23917"/>
  <c r="V259" i="23917"/>
  <c r="T259" i="23917"/>
  <c r="R259" i="23917"/>
  <c r="P259" i="23917"/>
  <c r="N259" i="23917"/>
  <c r="L259" i="23917"/>
  <c r="J259" i="23917"/>
  <c r="CN257" i="23917"/>
  <c r="CL257" i="23917"/>
  <c r="CJ257" i="23917"/>
  <c r="CH257" i="23917"/>
  <c r="CF257" i="23917"/>
  <c r="CD257" i="23917"/>
  <c r="CB257" i="23917"/>
  <c r="CA257" i="23917"/>
  <c r="BZ257" i="23917"/>
  <c r="BX257" i="23917"/>
  <c r="BV257" i="23917"/>
  <c r="BT257" i="23917"/>
  <c r="BR257" i="23917"/>
  <c r="BP257" i="23917"/>
  <c r="BN257" i="23917"/>
  <c r="BL257" i="23917"/>
  <c r="BJ257" i="23917"/>
  <c r="BH257" i="23917"/>
  <c r="BF257" i="23917"/>
  <c r="BD257" i="23917"/>
  <c r="BB257" i="23917"/>
  <c r="AZ257" i="23917"/>
  <c r="AX257" i="23917"/>
  <c r="AV257" i="23917"/>
  <c r="AT257" i="23917"/>
  <c r="AR257" i="23917"/>
  <c r="AQ257" i="23917"/>
  <c r="AP257" i="23917"/>
  <c r="AO257" i="23917"/>
  <c r="AN257" i="23917"/>
  <c r="AM257" i="23917"/>
  <c r="AL257" i="23917"/>
  <c r="AK257" i="23917"/>
  <c r="AJ257" i="23917"/>
  <c r="AI257" i="23917"/>
  <c r="AH257" i="23917"/>
  <c r="AG257" i="23917"/>
  <c r="AF257" i="23917"/>
  <c r="AE257" i="23917"/>
  <c r="AD257" i="23917"/>
  <c r="AC257" i="23917"/>
  <c r="AB257" i="23917"/>
  <c r="AA257" i="23917"/>
  <c r="Z257" i="23917"/>
  <c r="Y257" i="23917"/>
  <c r="X257" i="23917"/>
  <c r="W257" i="23917"/>
  <c r="V257" i="23917"/>
  <c r="U257" i="23917"/>
  <c r="T257" i="23917"/>
  <c r="S257" i="23917"/>
  <c r="R257" i="23917"/>
  <c r="Q257" i="23917"/>
  <c r="P257" i="23917"/>
  <c r="O257" i="23917"/>
  <c r="N257" i="23917"/>
  <c r="M257" i="23917"/>
  <c r="L257" i="23917"/>
  <c r="K257" i="23917"/>
  <c r="J257" i="23917"/>
  <c r="CN256" i="23917"/>
  <c r="CL256" i="23917"/>
  <c r="CJ256" i="23917"/>
  <c r="CH256" i="23917"/>
  <c r="CF256" i="23917"/>
  <c r="CD256" i="23917"/>
  <c r="CB256" i="23917"/>
  <c r="CA256" i="23917"/>
  <c r="BZ256" i="23917"/>
  <c r="BX256" i="23917"/>
  <c r="BV256" i="23917"/>
  <c r="BT256" i="23917"/>
  <c r="BR256" i="23917"/>
  <c r="BP256" i="23917"/>
  <c r="BN256" i="23917"/>
  <c r="BL256" i="23917"/>
  <c r="BJ256" i="23917"/>
  <c r="BH256" i="23917"/>
  <c r="BF256" i="23917"/>
  <c r="BD256" i="23917"/>
  <c r="BB256" i="23917"/>
  <c r="AZ256" i="23917"/>
  <c r="AX256" i="23917"/>
  <c r="AV256" i="23917"/>
  <c r="AT256" i="23917"/>
  <c r="AR256" i="23917"/>
  <c r="CB255" i="23917"/>
  <c r="CA255" i="23917"/>
  <c r="BZ255" i="23917"/>
  <c r="BX255" i="23917"/>
  <c r="BV255" i="23917"/>
  <c r="BT255" i="23917"/>
  <c r="BR255" i="23917"/>
  <c r="BP255" i="23917"/>
  <c r="BN255" i="23917"/>
  <c r="BL255" i="23917"/>
  <c r="BJ255" i="23917"/>
  <c r="BH255" i="23917"/>
  <c r="BF255" i="23917"/>
  <c r="BD255" i="23917"/>
  <c r="BB255" i="23917"/>
  <c r="AZ255" i="23917"/>
  <c r="AX255" i="23917"/>
  <c r="AV255" i="23917"/>
  <c r="AT255" i="23917"/>
  <c r="AR255" i="23917"/>
  <c r="CN254" i="23917"/>
  <c r="CL254" i="23917"/>
  <c r="CJ254" i="23917"/>
  <c r="CH254" i="23917"/>
  <c r="CF254" i="23917"/>
  <c r="CD254" i="23917"/>
  <c r="CB254" i="23917"/>
  <c r="CA254" i="23917"/>
  <c r="BZ254" i="23917"/>
  <c r="BX254" i="23917"/>
  <c r="BV254" i="23917"/>
  <c r="BT254" i="23917"/>
  <c r="BR254" i="23917"/>
  <c r="BP254" i="23917"/>
  <c r="BN254" i="23917"/>
  <c r="BL254" i="23917"/>
  <c r="BJ254" i="23917"/>
  <c r="BH254" i="23917"/>
  <c r="BF254" i="23917"/>
  <c r="BD254" i="23917"/>
  <c r="BB254" i="23917"/>
  <c r="AZ254" i="23917"/>
  <c r="AX254" i="23917"/>
  <c r="AV254" i="23917"/>
  <c r="AT254" i="23917"/>
  <c r="AR254" i="23917"/>
  <c r="A250" i="23917"/>
  <c r="A249" i="23917"/>
  <c r="A248" i="23917"/>
  <c r="A247" i="23917"/>
  <c r="DR250" i="23917"/>
  <c r="DP250" i="23917"/>
  <c r="DN250" i="23917"/>
  <c r="DL250" i="23917"/>
  <c r="DJ250" i="23917"/>
  <c r="DH250" i="23917"/>
  <c r="DR249" i="23917"/>
  <c r="DP249" i="23917"/>
  <c r="DN249" i="23917"/>
  <c r="DL249" i="23917"/>
  <c r="DJ249" i="23917"/>
  <c r="DH249" i="23917"/>
  <c r="DR248" i="23917"/>
  <c r="DP248" i="23917"/>
  <c r="DN248" i="23917"/>
  <c r="DL248" i="23917"/>
  <c r="DJ248" i="23917"/>
  <c r="DH248" i="23917"/>
  <c r="BO250" i="23917"/>
  <c r="BM250" i="23917"/>
  <c r="BK250" i="23917"/>
  <c r="BI250" i="23917"/>
  <c r="BG250" i="23917"/>
  <c r="BE250" i="23917"/>
  <c r="BC250" i="23917"/>
  <c r="BA250" i="23917"/>
  <c r="AY250" i="23917"/>
  <c r="AW250" i="23917"/>
  <c r="AU250" i="23917"/>
  <c r="AS250" i="23917"/>
  <c r="AQ250" i="23917"/>
  <c r="AO250" i="23917"/>
  <c r="AM250" i="23917"/>
  <c r="AK250" i="23917"/>
  <c r="AI250" i="23917"/>
  <c r="AG250" i="23917"/>
  <c r="AE250" i="23917"/>
  <c r="AC250" i="23917"/>
  <c r="AA250" i="23917"/>
  <c r="Y250" i="23917"/>
  <c r="W250" i="23917"/>
  <c r="U250" i="23917"/>
  <c r="S250" i="23917"/>
  <c r="Q250" i="23917"/>
  <c r="O250" i="23917"/>
  <c r="M250" i="23917"/>
  <c r="K250" i="23917"/>
  <c r="BO249" i="23917"/>
  <c r="BM249" i="23917"/>
  <c r="BK249" i="23917"/>
  <c r="BI249" i="23917"/>
  <c r="BG249" i="23917"/>
  <c r="BE249" i="23917"/>
  <c r="BC249" i="23917"/>
  <c r="BA249" i="23917"/>
  <c r="AY249" i="23917"/>
  <c r="AW249" i="23917"/>
  <c r="AU249" i="23917"/>
  <c r="AS249" i="23917"/>
  <c r="AQ249" i="23917"/>
  <c r="AO249" i="23917"/>
  <c r="AM249" i="23917"/>
  <c r="AK249" i="23917"/>
  <c r="AI249" i="23917"/>
  <c r="AG249" i="23917"/>
  <c r="AE249" i="23917"/>
  <c r="AC249" i="23917"/>
  <c r="AA249" i="23917"/>
  <c r="Y249" i="23917"/>
  <c r="W249" i="23917"/>
  <c r="U249" i="23917"/>
  <c r="S249" i="23917"/>
  <c r="Q249" i="23917"/>
  <c r="O249" i="23917"/>
  <c r="M249" i="23917"/>
  <c r="K249" i="23917"/>
  <c r="BO248" i="23917"/>
  <c r="BM248" i="23917"/>
  <c r="BK248" i="23917"/>
  <c r="BI248" i="23917"/>
  <c r="BG248" i="23917"/>
  <c r="BE248" i="23917"/>
  <c r="BC248" i="23917"/>
  <c r="BA248" i="23917"/>
  <c r="AY248" i="23917"/>
  <c r="AW248" i="23917"/>
  <c r="AU248" i="23917"/>
  <c r="AS248" i="23917"/>
  <c r="AQ248" i="23917"/>
  <c r="AO248" i="23917"/>
  <c r="AM248" i="23917"/>
  <c r="AK248" i="23917"/>
  <c r="AI248" i="23917"/>
  <c r="AG248" i="23917"/>
  <c r="AE248" i="23917"/>
  <c r="AC248" i="23917"/>
  <c r="AA248" i="23917"/>
  <c r="Y248" i="23917"/>
  <c r="W248" i="23917"/>
  <c r="U248" i="23917"/>
  <c r="S248" i="23917"/>
  <c r="Q248" i="23917"/>
  <c r="O248" i="23917"/>
  <c r="M248" i="23917"/>
  <c r="K248" i="23917"/>
  <c r="A245" i="23917"/>
  <c r="A244" i="23917"/>
  <c r="A243" i="23917"/>
  <c r="A242" i="23917"/>
  <c r="A241" i="23917"/>
  <c r="A240" i="23917"/>
  <c r="A239" i="23917"/>
  <c r="AP245" i="23917"/>
  <c r="AN245" i="23917"/>
  <c r="AL245" i="23917"/>
  <c r="AJ245" i="23917"/>
  <c r="AH245" i="23917"/>
  <c r="AF245" i="23917"/>
  <c r="AD245" i="23917"/>
  <c r="AB245" i="23917"/>
  <c r="Z245" i="23917"/>
  <c r="X245" i="23917"/>
  <c r="V245" i="23917"/>
  <c r="T245" i="23917"/>
  <c r="R245" i="23917"/>
  <c r="P245" i="23917"/>
  <c r="N245" i="23917"/>
  <c r="L245" i="23917"/>
  <c r="J245" i="23917"/>
  <c r="CR244" i="23917"/>
  <c r="CP244" i="23917"/>
  <c r="CN244" i="23917"/>
  <c r="CL244" i="23917"/>
  <c r="CJ244" i="23917"/>
  <c r="CH244" i="23917"/>
  <c r="CF244" i="23917"/>
  <c r="CD244" i="23917"/>
  <c r="CB244" i="23917"/>
  <c r="CA244" i="23917"/>
  <c r="BZ244" i="23917"/>
  <c r="BX244" i="23917"/>
  <c r="BV244" i="23917"/>
  <c r="BT244" i="23917"/>
  <c r="BR244" i="23917"/>
  <c r="BP244" i="23917"/>
  <c r="BN244" i="23917"/>
  <c r="BL244" i="23917"/>
  <c r="BJ244" i="23917"/>
  <c r="BH244" i="23917"/>
  <c r="BF244" i="23917"/>
  <c r="BD244" i="23917"/>
  <c r="BB244" i="23917"/>
  <c r="AZ244" i="23917"/>
  <c r="AX244" i="23917"/>
  <c r="AV244" i="23917"/>
  <c r="AT244" i="23917"/>
  <c r="AR244" i="23917"/>
  <c r="AQ244" i="23917"/>
  <c r="AP244" i="23917"/>
  <c r="AO244" i="23917"/>
  <c r="AN244" i="23917"/>
  <c r="AM244" i="23917"/>
  <c r="AL244" i="23917"/>
  <c r="AK244" i="23917"/>
  <c r="AJ244" i="23917"/>
  <c r="AI244" i="23917"/>
  <c r="AH244" i="23917"/>
  <c r="AG244" i="23917"/>
  <c r="AF244" i="23917"/>
  <c r="AE244" i="23917"/>
  <c r="AD244" i="23917"/>
  <c r="AC244" i="23917"/>
  <c r="AB244" i="23917"/>
  <c r="AA244" i="23917"/>
  <c r="Z244" i="23917"/>
  <c r="Y244" i="23917"/>
  <c r="X244" i="23917"/>
  <c r="W244" i="23917"/>
  <c r="V244" i="23917"/>
  <c r="U244" i="23917"/>
  <c r="T244" i="23917"/>
  <c r="S244" i="23917"/>
  <c r="R244" i="23917"/>
  <c r="Q244" i="23917"/>
  <c r="P244" i="23917"/>
  <c r="O244" i="23917"/>
  <c r="N244" i="23917"/>
  <c r="M244" i="23917"/>
  <c r="L244" i="23917"/>
  <c r="K244" i="23917"/>
  <c r="J244" i="23917"/>
  <c r="CN243" i="23917"/>
  <c r="CL243" i="23917"/>
  <c r="CJ243" i="23917"/>
  <c r="CH243" i="23917"/>
  <c r="CF243" i="23917"/>
  <c r="CD243" i="23917"/>
  <c r="CB243" i="23917"/>
  <c r="CA243" i="23917"/>
  <c r="BZ243" i="23917"/>
  <c r="BX243" i="23917"/>
  <c r="BV243" i="23917"/>
  <c r="BT243" i="23917"/>
  <c r="BR243" i="23917"/>
  <c r="BP243" i="23917"/>
  <c r="BN243" i="23917"/>
  <c r="BL243" i="23917"/>
  <c r="BJ243" i="23917"/>
  <c r="BH243" i="23917"/>
  <c r="BF243" i="23917"/>
  <c r="BD243" i="23917"/>
  <c r="BB243" i="23917"/>
  <c r="AZ243" i="23917"/>
  <c r="AX243" i="23917"/>
  <c r="AV243" i="23917"/>
  <c r="AT243" i="23917"/>
  <c r="AR243" i="23917"/>
  <c r="CB242" i="23917"/>
  <c r="CA242" i="23917"/>
  <c r="BZ242" i="23917"/>
  <c r="BX242" i="23917"/>
  <c r="BV242" i="23917"/>
  <c r="BT242" i="23917"/>
  <c r="BR242" i="23917"/>
  <c r="BP242" i="23917"/>
  <c r="BN242" i="23917"/>
  <c r="BL242" i="23917"/>
  <c r="BJ242" i="23917"/>
  <c r="BH242" i="23917"/>
  <c r="BF242" i="23917"/>
  <c r="BD242" i="23917"/>
  <c r="BB242" i="23917"/>
  <c r="AZ242" i="23917"/>
  <c r="AX242" i="23917"/>
  <c r="AV242" i="23917"/>
  <c r="AT242" i="23917"/>
  <c r="AR242" i="23917"/>
  <c r="AP242" i="23917"/>
  <c r="AN242" i="23917"/>
  <c r="AL242" i="23917"/>
  <c r="AJ242" i="23917"/>
  <c r="AH242" i="23917"/>
  <c r="AF242" i="23917"/>
  <c r="AD242" i="23917"/>
  <c r="AB242" i="23917"/>
  <c r="Z242" i="23917"/>
  <c r="X242" i="23917"/>
  <c r="V242" i="23917"/>
  <c r="T242" i="23917"/>
  <c r="R242" i="23917"/>
  <c r="P242" i="23917"/>
  <c r="N242" i="23917"/>
  <c r="L242" i="23917"/>
  <c r="J242" i="23917"/>
  <c r="CN241" i="23917"/>
  <c r="CL241" i="23917"/>
  <c r="CJ241" i="23917"/>
  <c r="CH241" i="23917"/>
  <c r="CF241" i="23917"/>
  <c r="CD241" i="23917"/>
  <c r="CB241" i="23917"/>
  <c r="CA241" i="23917"/>
  <c r="BZ241" i="23917"/>
  <c r="BX241" i="23917"/>
  <c r="BV241" i="23917"/>
  <c r="BT241" i="23917"/>
  <c r="BR241" i="23917"/>
  <c r="BP241" i="23917"/>
  <c r="BN241" i="23917"/>
  <c r="BL241" i="23917"/>
  <c r="BJ241" i="23917"/>
  <c r="BH241" i="23917"/>
  <c r="BF241" i="23917"/>
  <c r="BD241" i="23917"/>
  <c r="BB241" i="23917"/>
  <c r="AZ241" i="23917"/>
  <c r="AX241" i="23917"/>
  <c r="AV241" i="23917"/>
  <c r="AT241" i="23917"/>
  <c r="AR241" i="23917"/>
  <c r="AP241" i="23917"/>
  <c r="AN241" i="23917"/>
  <c r="AL241" i="23917"/>
  <c r="AJ241" i="23917"/>
  <c r="AH241" i="23917"/>
  <c r="AF241" i="23917"/>
  <c r="AD241" i="23917"/>
  <c r="AB241" i="23917"/>
  <c r="Z241" i="23917"/>
  <c r="X241" i="23917"/>
  <c r="V241" i="23917"/>
  <c r="T241" i="23917"/>
  <c r="R241" i="23917"/>
  <c r="P241" i="23917"/>
  <c r="N241" i="23917"/>
  <c r="L241" i="23917"/>
  <c r="J241" i="23917"/>
  <c r="J240" i="23917"/>
  <c r="DF237" i="23917"/>
  <c r="A235" i="23917"/>
  <c r="A230" i="23917"/>
  <c r="A228" i="23917"/>
  <c r="A227" i="23917"/>
  <c r="A226" i="23917"/>
  <c r="DR224" i="23917"/>
  <c r="DP224" i="23917"/>
  <c r="DN224" i="23917"/>
  <c r="DL224" i="23917"/>
  <c r="DJ224" i="23917"/>
  <c r="DH224" i="23917"/>
  <c r="DF224" i="23917"/>
  <c r="DD224" i="23917"/>
  <c r="BO224" i="23917"/>
  <c r="BM224" i="23917"/>
  <c r="BK224" i="23917"/>
  <c r="BI224" i="23917"/>
  <c r="BG224" i="23917"/>
  <c r="BE224" i="23917"/>
  <c r="BC224" i="23917"/>
  <c r="BA224" i="23917"/>
  <c r="AY224" i="23917"/>
  <c r="AW224" i="23917"/>
  <c r="AU224" i="23917"/>
  <c r="AS224" i="23917"/>
  <c r="AQ224" i="23917"/>
  <c r="AO224" i="23917"/>
  <c r="AM224" i="23917"/>
  <c r="AK224" i="23917"/>
  <c r="AI224" i="23917"/>
  <c r="AG224" i="23917"/>
  <c r="AE224" i="23917"/>
  <c r="AC224" i="23917"/>
  <c r="AA224" i="23917"/>
  <c r="Y224" i="23917"/>
  <c r="W224" i="23917"/>
  <c r="U224" i="23917"/>
  <c r="S224" i="23917"/>
  <c r="Q224" i="23917"/>
  <c r="O224" i="23917"/>
  <c r="M224" i="23917"/>
  <c r="K224" i="23917"/>
  <c r="I224" i="23917"/>
  <c r="G224" i="23917"/>
  <c r="E224" i="23917"/>
  <c r="C224" i="23917"/>
  <c r="A224" i="23917"/>
  <c r="AP219" i="23917"/>
  <c r="AN219" i="23917"/>
  <c r="AL219" i="23917"/>
  <c r="AJ219" i="23917"/>
  <c r="AH219" i="23917"/>
  <c r="AF219" i="23917"/>
  <c r="AD219" i="23917"/>
  <c r="AB219" i="23917"/>
  <c r="Z219" i="23917"/>
  <c r="X219" i="23917"/>
  <c r="V219" i="23917"/>
  <c r="T219" i="23917"/>
  <c r="R219" i="23917"/>
  <c r="P219" i="23917"/>
  <c r="N219" i="23917"/>
  <c r="L219" i="23917"/>
  <c r="J219" i="23917"/>
  <c r="CN210" i="23917"/>
  <c r="CL210" i="23917"/>
  <c r="CJ210" i="23917"/>
  <c r="CH210" i="23917"/>
  <c r="CF210" i="23917"/>
  <c r="CD210" i="23917"/>
  <c r="CB210" i="23917"/>
  <c r="BZ210" i="23917"/>
  <c r="BX210" i="23917"/>
  <c r="BV210" i="23917"/>
  <c r="BT210" i="23917"/>
  <c r="BR210" i="23917"/>
  <c r="BP210" i="23917"/>
  <c r="BN210" i="23917"/>
  <c r="BL210" i="23917"/>
  <c r="BJ210" i="23917"/>
  <c r="BH210" i="23917"/>
  <c r="BF210" i="23917"/>
  <c r="BD210" i="23917"/>
  <c r="BB210" i="23917"/>
  <c r="AZ210" i="23917"/>
  <c r="AX210" i="23917"/>
  <c r="AV210" i="23917"/>
  <c r="AT210" i="23917"/>
  <c r="AR210" i="23917"/>
  <c r="AP210" i="23917"/>
  <c r="AN210" i="23917"/>
  <c r="AL210" i="23917"/>
  <c r="AJ210" i="23917"/>
  <c r="AH210" i="23917"/>
  <c r="AF210" i="23917"/>
  <c r="AD210" i="23917"/>
  <c r="AB210" i="23917"/>
  <c r="Z210" i="23917"/>
  <c r="X210" i="23917"/>
  <c r="V210" i="23917"/>
  <c r="T210" i="23917"/>
  <c r="R210" i="23917"/>
  <c r="P210" i="23917"/>
  <c r="N210" i="23917"/>
  <c r="L210" i="23917"/>
  <c r="J210" i="23917"/>
  <c r="H210" i="23917"/>
  <c r="F210" i="23917"/>
  <c r="D210" i="23917"/>
  <c r="B210" i="23917"/>
  <c r="CA210" i="23917"/>
  <c r="A212" i="23917"/>
  <c r="A211" i="23917"/>
  <c r="A210" i="23917"/>
  <c r="A209" i="23917"/>
  <c r="A207" i="23917"/>
  <c r="A206" i="23917"/>
  <c r="AJ205" i="23917"/>
  <c r="A205" i="23917"/>
  <c r="A204" i="23917"/>
  <c r="CN203" i="23917"/>
  <c r="CL203" i="23917"/>
  <c r="CJ203" i="23917"/>
  <c r="CH203" i="23917"/>
  <c r="CF203" i="23917"/>
  <c r="CD203" i="23917"/>
  <c r="CB203" i="23917"/>
  <c r="CA203" i="23917"/>
  <c r="BZ203" i="23917"/>
  <c r="BX203" i="23917"/>
  <c r="BV203" i="23917"/>
  <c r="BT203" i="23917"/>
  <c r="BR203" i="23917"/>
  <c r="BP203" i="23917"/>
  <c r="BN203" i="23917"/>
  <c r="BL203" i="23917"/>
  <c r="BJ203" i="23917"/>
  <c r="BH203" i="23917"/>
  <c r="BF203" i="23917"/>
  <c r="BD203" i="23917"/>
  <c r="BB203" i="23917"/>
  <c r="AZ203" i="23917"/>
  <c r="AX203" i="23917"/>
  <c r="AV203" i="23917"/>
  <c r="AT203" i="23917"/>
  <c r="AR203" i="23917"/>
  <c r="AP203" i="23917"/>
  <c r="AN203" i="23917"/>
  <c r="AL203" i="23917"/>
  <c r="AJ203" i="23917"/>
  <c r="AH203" i="23917"/>
  <c r="AF203" i="23917"/>
  <c r="AD203" i="23917"/>
  <c r="AB203" i="23917"/>
  <c r="Z203" i="23917"/>
  <c r="X203" i="23917"/>
  <c r="V203" i="23917"/>
  <c r="T203" i="23917"/>
  <c r="R203" i="23917"/>
  <c r="P203" i="23917"/>
  <c r="N203" i="23917"/>
  <c r="L203" i="23917"/>
  <c r="J203" i="23917"/>
  <c r="H203" i="23917"/>
  <c r="F203" i="23917"/>
  <c r="D203" i="23917"/>
  <c r="B203" i="23917"/>
  <c r="A203" i="23917"/>
  <c r="CN200" i="23917"/>
  <c r="CL200" i="23917"/>
  <c r="CJ200" i="23917"/>
  <c r="CH200" i="23917"/>
  <c r="CF200" i="23917"/>
  <c r="CD200" i="23917"/>
  <c r="CB200" i="23917"/>
  <c r="CA200" i="23917"/>
  <c r="BZ200" i="23917"/>
  <c r="BX200" i="23917"/>
  <c r="BV200" i="23917"/>
  <c r="BT200" i="23917"/>
  <c r="BR200" i="23917"/>
  <c r="BP200" i="23917"/>
  <c r="BN200" i="23917"/>
  <c r="BL200" i="23917"/>
  <c r="BJ200" i="23917"/>
  <c r="BH200" i="23917"/>
  <c r="BF200" i="23917"/>
  <c r="BD200" i="23917"/>
  <c r="BB200" i="23917"/>
  <c r="AZ200" i="23917"/>
  <c r="AX200" i="23917"/>
  <c r="AV200" i="23917"/>
  <c r="AT200" i="23917"/>
  <c r="AR200" i="23917"/>
  <c r="AP200" i="23917"/>
  <c r="AN200" i="23917"/>
  <c r="AL200" i="23917"/>
  <c r="AJ200" i="23917"/>
  <c r="AH200" i="23917"/>
  <c r="AF200" i="23917"/>
  <c r="AD200" i="23917"/>
  <c r="AB200" i="23917"/>
  <c r="Z200" i="23917"/>
  <c r="X200" i="23917"/>
  <c r="V200" i="23917"/>
  <c r="T200" i="23917"/>
  <c r="R200" i="23917"/>
  <c r="P200" i="23917"/>
  <c r="N200" i="23917"/>
  <c r="L200" i="23917"/>
  <c r="J200" i="23917"/>
  <c r="H200" i="23917"/>
  <c r="F200" i="23917"/>
  <c r="D200" i="23917"/>
  <c r="B200" i="23917"/>
  <c r="A200" i="23917"/>
  <c r="CN199" i="23917"/>
  <c r="CL199" i="23917"/>
  <c r="CJ199" i="23917"/>
  <c r="CH199" i="23917"/>
  <c r="CF199" i="23917"/>
  <c r="CD199" i="23917"/>
  <c r="CB199" i="23917"/>
  <c r="CA199" i="23917"/>
  <c r="BZ199" i="23917"/>
  <c r="BX199" i="23917"/>
  <c r="BV199" i="23917"/>
  <c r="BT199" i="23917"/>
  <c r="BR199" i="23917"/>
  <c r="BP199" i="23917"/>
  <c r="BN199" i="23917"/>
  <c r="BL199" i="23917"/>
  <c r="BJ199" i="23917"/>
  <c r="BH199" i="23917"/>
  <c r="BF199" i="23917"/>
  <c r="BD199" i="23917"/>
  <c r="BB199" i="23917"/>
  <c r="AZ199" i="23917"/>
  <c r="AX199" i="23917"/>
  <c r="AV199" i="23917"/>
  <c r="AT199" i="23917"/>
  <c r="AR199" i="23917"/>
  <c r="AP199" i="23917"/>
  <c r="AN199" i="23917"/>
  <c r="AL199" i="23917"/>
  <c r="AJ199" i="23917"/>
  <c r="AH199" i="23917"/>
  <c r="AF199" i="23917"/>
  <c r="AD199" i="23917"/>
  <c r="AB199" i="23917"/>
  <c r="Z199" i="23917"/>
  <c r="X199" i="23917"/>
  <c r="V199" i="23917"/>
  <c r="T199" i="23917"/>
  <c r="R199" i="23917"/>
  <c r="P199" i="23917"/>
  <c r="N199" i="23917"/>
  <c r="L199" i="23917"/>
  <c r="J199" i="23917"/>
  <c r="H199" i="23917"/>
  <c r="F199" i="23917"/>
  <c r="D199" i="23917"/>
  <c r="B199" i="23917"/>
  <c r="A199" i="23917"/>
  <c r="A198" i="23917"/>
  <c r="CN197" i="23917"/>
  <c r="CL197" i="23917"/>
  <c r="CJ197" i="23917"/>
  <c r="CH197" i="23917"/>
  <c r="CF197" i="23917"/>
  <c r="CD197" i="23917"/>
  <c r="CB197" i="23917"/>
  <c r="CA197" i="23917"/>
  <c r="BZ197" i="23917"/>
  <c r="BX197" i="23917"/>
  <c r="BV197" i="23917"/>
  <c r="BT197" i="23917"/>
  <c r="BR197" i="23917"/>
  <c r="BP197" i="23917"/>
  <c r="BN197" i="23917"/>
  <c r="BL197" i="23917"/>
  <c r="BJ197" i="23917"/>
  <c r="BH197" i="23917"/>
  <c r="BF197" i="23917"/>
  <c r="BD197" i="23917"/>
  <c r="BB197" i="23917"/>
  <c r="AZ197" i="23917"/>
  <c r="AX197" i="23917"/>
  <c r="AV197" i="23917"/>
  <c r="AT197" i="23917"/>
  <c r="AR197" i="23917"/>
  <c r="AP197" i="23917"/>
  <c r="AN197" i="23917"/>
  <c r="AL197" i="23917"/>
  <c r="AJ197" i="23917"/>
  <c r="AH197" i="23917"/>
  <c r="AF197" i="23917"/>
  <c r="AD197" i="23917"/>
  <c r="AB197" i="23917"/>
  <c r="Z197" i="23917"/>
  <c r="X197" i="23917"/>
  <c r="V197" i="23917"/>
  <c r="T197" i="23917"/>
  <c r="R197" i="23917"/>
  <c r="P197" i="23917"/>
  <c r="N197" i="23917"/>
  <c r="L197" i="23917"/>
  <c r="H197" i="23917"/>
  <c r="F197" i="23917"/>
  <c r="D197" i="23917"/>
  <c r="B197" i="23917"/>
  <c r="A197" i="23917"/>
  <c r="DF194" i="23917"/>
  <c r="A192" i="23917"/>
  <c r="A187" i="23917"/>
  <c r="DR185" i="23917"/>
  <c r="DP185" i="23917"/>
  <c r="DN185" i="23917"/>
  <c r="DL185" i="23917"/>
  <c r="DJ185" i="23917"/>
  <c r="DH185" i="23917"/>
  <c r="DF185" i="23917"/>
  <c r="DD185" i="23917"/>
  <c r="DR184" i="23917"/>
  <c r="DP184" i="23917"/>
  <c r="DN184" i="23917"/>
  <c r="DL184" i="23917"/>
  <c r="DJ184" i="23917"/>
  <c r="DH184" i="23917"/>
  <c r="DF184" i="23917"/>
  <c r="DD184" i="23917"/>
  <c r="BO185" i="23917"/>
  <c r="BM185" i="23917"/>
  <c r="BK185" i="23917"/>
  <c r="BI185" i="23917"/>
  <c r="BG185" i="23917"/>
  <c r="BE185" i="23917"/>
  <c r="BC185" i="23917"/>
  <c r="BA185" i="23917"/>
  <c r="AY185" i="23917"/>
  <c r="AW185" i="23917"/>
  <c r="AU185" i="23917"/>
  <c r="AS185" i="23917"/>
  <c r="AQ185" i="23917"/>
  <c r="AO185" i="23917"/>
  <c r="AM185" i="23917"/>
  <c r="AK185" i="23917"/>
  <c r="AI185" i="23917"/>
  <c r="AG185" i="23917"/>
  <c r="AE185" i="23917"/>
  <c r="AC185" i="23917"/>
  <c r="AA185" i="23917"/>
  <c r="Y185" i="23917"/>
  <c r="W185" i="23917"/>
  <c r="U185" i="23917"/>
  <c r="S185" i="23917"/>
  <c r="Q185" i="23917"/>
  <c r="O185" i="23917"/>
  <c r="M185" i="23917"/>
  <c r="K185" i="23917"/>
  <c r="I185" i="23917"/>
  <c r="G185" i="23917"/>
  <c r="E185" i="23917"/>
  <c r="C185" i="23917"/>
  <c r="A185" i="23917"/>
  <c r="BO184" i="23917"/>
  <c r="BM184" i="23917"/>
  <c r="BK184" i="23917"/>
  <c r="BI184" i="23917"/>
  <c r="BG184" i="23917"/>
  <c r="BE184" i="23917"/>
  <c r="BC184" i="23917"/>
  <c r="BA184" i="23917"/>
  <c r="AY184" i="23917"/>
  <c r="AW184" i="23917"/>
  <c r="AU184" i="23917"/>
  <c r="AS184" i="23917"/>
  <c r="AQ184" i="23917"/>
  <c r="AO184" i="23917"/>
  <c r="AM184" i="23917"/>
  <c r="AK184" i="23917"/>
  <c r="AI184" i="23917"/>
  <c r="AG184" i="23917"/>
  <c r="AE184" i="23917"/>
  <c r="AC184" i="23917"/>
  <c r="AA184" i="23917"/>
  <c r="Y184" i="23917"/>
  <c r="W184" i="23917"/>
  <c r="U184" i="23917"/>
  <c r="S184" i="23917"/>
  <c r="Q184" i="23917"/>
  <c r="O184" i="23917"/>
  <c r="M184" i="23917"/>
  <c r="K184" i="23917"/>
  <c r="I184" i="23917"/>
  <c r="G184" i="23917"/>
  <c r="E184" i="23917"/>
  <c r="C184" i="23917"/>
  <c r="A184" i="23917"/>
  <c r="A183" i="23917"/>
  <c r="DG181" i="23917"/>
  <c r="A181" i="23917"/>
  <c r="CN180" i="23917"/>
  <c r="CL180" i="23917"/>
  <c r="CJ180" i="23917"/>
  <c r="CH180" i="23917"/>
  <c r="CF180" i="23917"/>
  <c r="CD180" i="23917"/>
  <c r="CB180" i="23917"/>
  <c r="CA180" i="23917"/>
  <c r="BZ180" i="23917"/>
  <c r="BX180" i="23917"/>
  <c r="BV180" i="23917"/>
  <c r="BT180" i="23917"/>
  <c r="BR180" i="23917"/>
  <c r="BP180" i="23917"/>
  <c r="BN180" i="23917"/>
  <c r="BL180" i="23917"/>
  <c r="BJ180" i="23917"/>
  <c r="BH180" i="23917"/>
  <c r="BF180" i="23917"/>
  <c r="BD180" i="23917"/>
  <c r="BB180" i="23917"/>
  <c r="AZ180" i="23917"/>
  <c r="AX180" i="23917"/>
  <c r="AV180" i="23917"/>
  <c r="AT180" i="23917"/>
  <c r="AR180" i="23917"/>
  <c r="AP180" i="23917"/>
  <c r="AN180" i="23917"/>
  <c r="AL180" i="23917"/>
  <c r="AJ180" i="23917"/>
  <c r="AH180" i="23917"/>
  <c r="AF180" i="23917"/>
  <c r="AD180" i="23917"/>
  <c r="AB180" i="23917"/>
  <c r="Z180" i="23917"/>
  <c r="X180" i="23917"/>
  <c r="V180" i="23917"/>
  <c r="T180" i="23917"/>
  <c r="R180" i="23917"/>
  <c r="P180" i="23917"/>
  <c r="N180" i="23917"/>
  <c r="L180" i="23917"/>
  <c r="J180" i="23917"/>
  <c r="H180" i="23917"/>
  <c r="F180" i="23917"/>
  <c r="D180" i="23917"/>
  <c r="B180" i="23917"/>
  <c r="A180" i="23917"/>
  <c r="CN179" i="23917"/>
  <c r="CL179" i="23917"/>
  <c r="CJ179" i="23917"/>
  <c r="CH179" i="23917"/>
  <c r="CF179" i="23917"/>
  <c r="CD179" i="23917"/>
  <c r="CB179" i="23917"/>
  <c r="CA179" i="23917"/>
  <c r="BZ179" i="23917"/>
  <c r="BX179" i="23917"/>
  <c r="BV179" i="23917"/>
  <c r="BT179" i="23917"/>
  <c r="BR179" i="23917"/>
  <c r="BP179" i="23917"/>
  <c r="BN179" i="23917"/>
  <c r="BL179" i="23917"/>
  <c r="BJ179" i="23917"/>
  <c r="BH179" i="23917"/>
  <c r="BF179" i="23917"/>
  <c r="BD179" i="23917"/>
  <c r="BB179" i="23917"/>
  <c r="AZ179" i="23917"/>
  <c r="AX179" i="23917"/>
  <c r="AV179" i="23917"/>
  <c r="AT179" i="23917"/>
  <c r="AR179" i="23917"/>
  <c r="AP179" i="23917"/>
  <c r="AN179" i="23917"/>
  <c r="AL179" i="23917"/>
  <c r="AJ179" i="23917"/>
  <c r="AH179" i="23917"/>
  <c r="AF179" i="23917"/>
  <c r="AD179" i="23917"/>
  <c r="AB179" i="23917"/>
  <c r="Z179" i="23917"/>
  <c r="X179" i="23917"/>
  <c r="V179" i="23917"/>
  <c r="T179" i="23917"/>
  <c r="R179" i="23917"/>
  <c r="P179" i="23917"/>
  <c r="N179" i="23917"/>
  <c r="L179" i="23917"/>
  <c r="J179" i="23917"/>
  <c r="H179" i="23917"/>
  <c r="F179" i="23917"/>
  <c r="D179" i="23917"/>
  <c r="B179" i="23917"/>
  <c r="A179" i="23917"/>
  <c r="CN178" i="23917"/>
  <c r="CL178" i="23917"/>
  <c r="CJ178" i="23917"/>
  <c r="CH178" i="23917"/>
  <c r="CF178" i="23917"/>
  <c r="CD178" i="23917"/>
  <c r="CB178" i="23917"/>
  <c r="CA178" i="23917"/>
  <c r="BZ178" i="23917"/>
  <c r="BX178" i="23917"/>
  <c r="BV178" i="23917"/>
  <c r="BT178" i="23917"/>
  <c r="BR178" i="23917"/>
  <c r="BP178" i="23917"/>
  <c r="BN178" i="23917"/>
  <c r="BL178" i="23917"/>
  <c r="BJ178" i="23917"/>
  <c r="BH178" i="23917"/>
  <c r="BF178" i="23917"/>
  <c r="BD178" i="23917"/>
  <c r="BB178" i="23917"/>
  <c r="AZ178" i="23917"/>
  <c r="AX178" i="23917"/>
  <c r="AV178" i="23917"/>
  <c r="AT178" i="23917"/>
  <c r="AR178" i="23917"/>
  <c r="AP178" i="23917"/>
  <c r="AN178" i="23917"/>
  <c r="AL178" i="23917"/>
  <c r="AJ178" i="23917"/>
  <c r="AH178" i="23917"/>
  <c r="AF178" i="23917"/>
  <c r="AD178" i="23917"/>
  <c r="AB178" i="23917"/>
  <c r="Z178" i="23917"/>
  <c r="X178" i="23917"/>
  <c r="V178" i="23917"/>
  <c r="T178" i="23917"/>
  <c r="R178" i="23917"/>
  <c r="P178" i="23917"/>
  <c r="N178" i="23917"/>
  <c r="L178" i="23917"/>
  <c r="J178" i="23917"/>
  <c r="H178" i="23917"/>
  <c r="F178" i="23917"/>
  <c r="D178" i="23917"/>
  <c r="B178" i="23917"/>
  <c r="A178" i="23917"/>
  <c r="CN177" i="23917"/>
  <c r="CL177" i="23917"/>
  <c r="CJ177" i="23917"/>
  <c r="CH177" i="23917"/>
  <c r="CF177" i="23917"/>
  <c r="CD177" i="23917"/>
  <c r="CB177" i="23917"/>
  <c r="CA177" i="23917"/>
  <c r="BZ177" i="23917"/>
  <c r="BX177" i="23917"/>
  <c r="BV177" i="23917"/>
  <c r="BT177" i="23917"/>
  <c r="BR177" i="23917"/>
  <c r="BP177" i="23917"/>
  <c r="BN177" i="23917"/>
  <c r="BL177" i="23917"/>
  <c r="BJ177" i="23917"/>
  <c r="BH177" i="23917"/>
  <c r="BF177" i="23917"/>
  <c r="BD177" i="23917"/>
  <c r="BB177" i="23917"/>
  <c r="AZ177" i="23917"/>
  <c r="AX177" i="23917"/>
  <c r="AV177" i="23917"/>
  <c r="AT177" i="23917"/>
  <c r="AR177" i="23917"/>
  <c r="AP177" i="23917"/>
  <c r="AN177" i="23917"/>
  <c r="AL177" i="23917"/>
  <c r="AJ177" i="23917"/>
  <c r="AH177" i="23917"/>
  <c r="AF177" i="23917"/>
  <c r="AD177" i="23917"/>
  <c r="AB177" i="23917"/>
  <c r="Z177" i="23917"/>
  <c r="X177" i="23917"/>
  <c r="V177" i="23917"/>
  <c r="T177" i="23917"/>
  <c r="R177" i="23917"/>
  <c r="P177" i="23917"/>
  <c r="N177" i="23917"/>
  <c r="L177" i="23917"/>
  <c r="J177" i="23917"/>
  <c r="H177" i="23917"/>
  <c r="F177" i="23917"/>
  <c r="D177" i="23917"/>
  <c r="B177" i="23917"/>
  <c r="A177" i="23917"/>
  <c r="J176" i="23917"/>
  <c r="A176" i="23917"/>
  <c r="A175" i="23917"/>
  <c r="DR173" i="23917"/>
  <c r="DP173" i="23917"/>
  <c r="DN173" i="23917"/>
  <c r="DL173" i="23917"/>
  <c r="DJ173" i="23917"/>
  <c r="DH173" i="23917"/>
  <c r="DF173" i="23917"/>
  <c r="DD173" i="23917"/>
  <c r="DR172" i="23917"/>
  <c r="DP172" i="23917"/>
  <c r="DN172" i="23917"/>
  <c r="DL172" i="23917"/>
  <c r="DJ172" i="23917"/>
  <c r="DH172" i="23917"/>
  <c r="DF172" i="23917"/>
  <c r="DD172" i="23917"/>
  <c r="BO173" i="23917"/>
  <c r="BM173" i="23917"/>
  <c r="BK173" i="23917"/>
  <c r="BI173" i="23917"/>
  <c r="BG173" i="23917"/>
  <c r="BE173" i="23917"/>
  <c r="BC173" i="23917"/>
  <c r="BA173" i="23917"/>
  <c r="AY173" i="23917"/>
  <c r="AW173" i="23917"/>
  <c r="AU173" i="23917"/>
  <c r="AS173" i="23917"/>
  <c r="AQ173" i="23917"/>
  <c r="AO173" i="23917"/>
  <c r="AM173" i="23917"/>
  <c r="AK173" i="23917"/>
  <c r="AI173" i="23917"/>
  <c r="AG173" i="23917"/>
  <c r="AE173" i="23917"/>
  <c r="AC173" i="23917"/>
  <c r="AA173" i="23917"/>
  <c r="Y173" i="23917"/>
  <c r="W173" i="23917"/>
  <c r="U173" i="23917"/>
  <c r="S173" i="23917"/>
  <c r="Q173" i="23917"/>
  <c r="O173" i="23917"/>
  <c r="M173" i="23917"/>
  <c r="K173" i="23917"/>
  <c r="I173" i="23917"/>
  <c r="G173" i="23917"/>
  <c r="E173" i="23917"/>
  <c r="C173" i="23917"/>
  <c r="A173" i="23917"/>
  <c r="BO172" i="23917"/>
  <c r="BM172" i="23917"/>
  <c r="BK172" i="23917"/>
  <c r="BI172" i="23917"/>
  <c r="BG172" i="23917"/>
  <c r="BE172" i="23917"/>
  <c r="BC172" i="23917"/>
  <c r="BA172" i="23917"/>
  <c r="AY172" i="23917"/>
  <c r="AW172" i="23917"/>
  <c r="AU172" i="23917"/>
  <c r="AS172" i="23917"/>
  <c r="AQ172" i="23917"/>
  <c r="AO172" i="23917"/>
  <c r="AM172" i="23917"/>
  <c r="AK172" i="23917"/>
  <c r="AI172" i="23917"/>
  <c r="AG172" i="23917"/>
  <c r="AE172" i="23917"/>
  <c r="AC172" i="23917"/>
  <c r="AA172" i="23917"/>
  <c r="Y172" i="23917"/>
  <c r="W172" i="23917"/>
  <c r="U172" i="23917"/>
  <c r="S172" i="23917"/>
  <c r="Q172" i="23917"/>
  <c r="O172" i="23917"/>
  <c r="M172" i="23917"/>
  <c r="K172" i="23917"/>
  <c r="I172" i="23917"/>
  <c r="G172" i="23917"/>
  <c r="E172" i="23917"/>
  <c r="C172" i="23917"/>
  <c r="A172" i="23917"/>
  <c r="A171" i="23917"/>
  <c r="DG169" i="23917"/>
  <c r="A169" i="23917"/>
  <c r="CN168" i="23917"/>
  <c r="CL168" i="23917"/>
  <c r="CJ168" i="23917"/>
  <c r="CH168" i="23917"/>
  <c r="CF168" i="23917"/>
  <c r="CD168" i="23917"/>
  <c r="CB168" i="23917"/>
  <c r="CA168" i="23917"/>
  <c r="BZ168" i="23917"/>
  <c r="BX168" i="23917"/>
  <c r="BV168" i="23917"/>
  <c r="BT168" i="23917"/>
  <c r="BR168" i="23917"/>
  <c r="BP168" i="23917"/>
  <c r="BN168" i="23917"/>
  <c r="BL168" i="23917"/>
  <c r="BJ168" i="23917"/>
  <c r="BH168" i="23917"/>
  <c r="BF168" i="23917"/>
  <c r="BD168" i="23917"/>
  <c r="BB168" i="23917"/>
  <c r="AZ168" i="23917"/>
  <c r="AX168" i="23917"/>
  <c r="AV168" i="23917"/>
  <c r="AT168" i="23917"/>
  <c r="AR168" i="23917"/>
  <c r="AP168" i="23917"/>
  <c r="AN168" i="23917"/>
  <c r="AL168" i="23917"/>
  <c r="AJ168" i="23917"/>
  <c r="AH168" i="23917"/>
  <c r="AF168" i="23917"/>
  <c r="AD168" i="23917"/>
  <c r="AB168" i="23917"/>
  <c r="Z168" i="23917"/>
  <c r="X168" i="23917"/>
  <c r="V168" i="23917"/>
  <c r="T168" i="23917"/>
  <c r="R168" i="23917"/>
  <c r="P168" i="23917"/>
  <c r="N168" i="23917"/>
  <c r="L168" i="23917"/>
  <c r="J168" i="23917"/>
  <c r="H168" i="23917"/>
  <c r="F168" i="23917"/>
  <c r="D168" i="23917"/>
  <c r="B168" i="23917"/>
  <c r="A168" i="23917"/>
  <c r="CN167" i="23917"/>
  <c r="CL167" i="23917"/>
  <c r="CJ167" i="23917"/>
  <c r="CH167" i="23917"/>
  <c r="CF167" i="23917"/>
  <c r="CD167" i="23917"/>
  <c r="CB167" i="23917"/>
  <c r="CA167" i="23917"/>
  <c r="BZ167" i="23917"/>
  <c r="BX167" i="23917"/>
  <c r="BV167" i="23917"/>
  <c r="BT167" i="23917"/>
  <c r="BR167" i="23917"/>
  <c r="BP167" i="23917"/>
  <c r="BN167" i="23917"/>
  <c r="BL167" i="23917"/>
  <c r="BJ167" i="23917"/>
  <c r="BH167" i="23917"/>
  <c r="BF167" i="23917"/>
  <c r="BD167" i="23917"/>
  <c r="BB167" i="23917"/>
  <c r="AZ167" i="23917"/>
  <c r="AX167" i="23917"/>
  <c r="AV167" i="23917"/>
  <c r="AT167" i="23917"/>
  <c r="AR167" i="23917"/>
  <c r="AP167" i="23917"/>
  <c r="AN167" i="23917"/>
  <c r="AL167" i="23917"/>
  <c r="AJ167" i="23917"/>
  <c r="AH167" i="23917"/>
  <c r="AF167" i="23917"/>
  <c r="AD167" i="23917"/>
  <c r="AB167" i="23917"/>
  <c r="Z167" i="23917"/>
  <c r="X167" i="23917"/>
  <c r="V167" i="23917"/>
  <c r="T167" i="23917"/>
  <c r="R167" i="23917"/>
  <c r="P167" i="23917"/>
  <c r="N167" i="23917"/>
  <c r="L167" i="23917"/>
  <c r="J167" i="23917"/>
  <c r="H167" i="23917"/>
  <c r="F167" i="23917"/>
  <c r="D167" i="23917"/>
  <c r="B167" i="23917"/>
  <c r="A167" i="23917"/>
  <c r="CN166" i="23917"/>
  <c r="CL166" i="23917"/>
  <c r="CJ166" i="23917"/>
  <c r="CH166" i="23917"/>
  <c r="CF166" i="23917"/>
  <c r="CD166" i="23917"/>
  <c r="CB166" i="23917"/>
  <c r="CA166" i="23917"/>
  <c r="BZ166" i="23917"/>
  <c r="BX166" i="23917"/>
  <c r="BV166" i="23917"/>
  <c r="BT166" i="23917"/>
  <c r="BR166" i="23917"/>
  <c r="BP166" i="23917"/>
  <c r="BN166" i="23917"/>
  <c r="BL166" i="23917"/>
  <c r="BJ166" i="23917"/>
  <c r="BH166" i="23917"/>
  <c r="BF166" i="23917"/>
  <c r="BD166" i="23917"/>
  <c r="BB166" i="23917"/>
  <c r="AZ166" i="23917"/>
  <c r="AX166" i="23917"/>
  <c r="AV166" i="23917"/>
  <c r="AT166" i="23917"/>
  <c r="AR166" i="23917"/>
  <c r="AP166" i="23917"/>
  <c r="AN166" i="23917"/>
  <c r="AL166" i="23917"/>
  <c r="AJ166" i="23917"/>
  <c r="AH166" i="23917"/>
  <c r="AF166" i="23917"/>
  <c r="AD166" i="23917"/>
  <c r="AB166" i="23917"/>
  <c r="Z166" i="23917"/>
  <c r="X166" i="23917"/>
  <c r="V166" i="23917"/>
  <c r="T166" i="23917"/>
  <c r="R166" i="23917"/>
  <c r="P166" i="23917"/>
  <c r="N166" i="23917"/>
  <c r="L166" i="23917"/>
  <c r="J166" i="23917"/>
  <c r="H166" i="23917"/>
  <c r="F166" i="23917"/>
  <c r="D166" i="23917"/>
  <c r="B166" i="23917"/>
  <c r="A166" i="23917"/>
  <c r="CN165" i="23917"/>
  <c r="CL165" i="23917"/>
  <c r="CJ165" i="23917"/>
  <c r="CH165" i="23917"/>
  <c r="CF165" i="23917"/>
  <c r="CD165" i="23917"/>
  <c r="CB165" i="23917"/>
  <c r="CA165" i="23917"/>
  <c r="BZ165" i="23917"/>
  <c r="BX165" i="23917"/>
  <c r="BV165" i="23917"/>
  <c r="BT165" i="23917"/>
  <c r="BR165" i="23917"/>
  <c r="BP165" i="23917"/>
  <c r="BN165" i="23917"/>
  <c r="BL165" i="23917"/>
  <c r="BJ165" i="23917"/>
  <c r="BH165" i="23917"/>
  <c r="BF165" i="23917"/>
  <c r="BD165" i="23917"/>
  <c r="BB165" i="23917"/>
  <c r="AZ165" i="23917"/>
  <c r="AX165" i="23917"/>
  <c r="AV165" i="23917"/>
  <c r="AT165" i="23917"/>
  <c r="AR165" i="23917"/>
  <c r="AP165" i="23917"/>
  <c r="AN165" i="23917"/>
  <c r="AL165" i="23917"/>
  <c r="AJ165" i="23917"/>
  <c r="AH165" i="23917"/>
  <c r="AF165" i="23917"/>
  <c r="AD165" i="23917"/>
  <c r="AB165" i="23917"/>
  <c r="Z165" i="23917"/>
  <c r="X165" i="23917"/>
  <c r="V165" i="23917"/>
  <c r="T165" i="23917"/>
  <c r="R165" i="23917"/>
  <c r="P165" i="23917"/>
  <c r="N165" i="23917"/>
  <c r="L165" i="23917"/>
  <c r="J165" i="23917"/>
  <c r="H165" i="23917"/>
  <c r="F165" i="23917"/>
  <c r="D165" i="23917"/>
  <c r="B165" i="23917"/>
  <c r="A165" i="23917"/>
  <c r="J164" i="23917"/>
  <c r="A164" i="23917"/>
  <c r="A163" i="23917"/>
  <c r="DF161" i="23917"/>
  <c r="A159" i="23917"/>
  <c r="A154" i="23917"/>
  <c r="A152" i="23917"/>
  <c r="A151" i="23917"/>
  <c r="A150" i="23917"/>
  <c r="EM148" i="23917"/>
  <c r="EJ148" i="23917"/>
  <c r="EI148" i="23917"/>
  <c r="EH148" i="23917"/>
  <c r="EG148" i="23917"/>
  <c r="EF148" i="23917"/>
  <c r="EE148" i="23917"/>
  <c r="EB148" i="23917"/>
  <c r="EA148" i="23917"/>
  <c r="DZ148" i="23917"/>
  <c r="DY148" i="23917"/>
  <c r="DX148" i="23917"/>
  <c r="DW148" i="23917"/>
  <c r="DV148" i="23917"/>
  <c r="DU148" i="23917"/>
  <c r="DT148" i="23917"/>
  <c r="DS148" i="23917"/>
  <c r="DR148" i="23917"/>
  <c r="DQ148" i="23917"/>
  <c r="EM147" i="23917"/>
  <c r="EJ147" i="23917"/>
  <c r="EI147" i="23917"/>
  <c r="EH147" i="23917"/>
  <c r="EG147" i="23917"/>
  <c r="EF147" i="23917"/>
  <c r="EE147" i="23917"/>
  <c r="EB147" i="23917"/>
  <c r="EA147" i="23917"/>
  <c r="DZ147" i="23917"/>
  <c r="DY147" i="23917"/>
  <c r="DX147" i="23917"/>
  <c r="DW147" i="23917"/>
  <c r="DV147" i="23917"/>
  <c r="DU147" i="23917"/>
  <c r="DT147" i="23917"/>
  <c r="DS147" i="23917"/>
  <c r="DR147" i="23917"/>
  <c r="DQ147" i="23917"/>
  <c r="EM146" i="23917"/>
  <c r="EJ146" i="23917"/>
  <c r="EI146" i="23917"/>
  <c r="EH146" i="23917"/>
  <c r="EG146" i="23917"/>
  <c r="EF146" i="23917"/>
  <c r="EE146" i="23917"/>
  <c r="EB146" i="23917"/>
  <c r="EA146" i="23917"/>
  <c r="DZ146" i="23917"/>
  <c r="DY146" i="23917"/>
  <c r="DX146" i="23917"/>
  <c r="DW146" i="23917"/>
  <c r="DV146" i="23917"/>
  <c r="DU146" i="23917"/>
  <c r="DT146" i="23917"/>
  <c r="DS146" i="23917"/>
  <c r="DR146" i="23917"/>
  <c r="DQ146" i="23917"/>
  <c r="CR148" i="23917"/>
  <c r="CP148" i="23917"/>
  <c r="A148" i="23917"/>
  <c r="CR147" i="23917"/>
  <c r="CP147" i="23917"/>
  <c r="CN147" i="23917"/>
  <c r="CL147" i="23917"/>
  <c r="CJ147" i="23917"/>
  <c r="CH147" i="23917"/>
  <c r="CF147" i="23917"/>
  <c r="CD147" i="23917"/>
  <c r="CB147" i="23917"/>
  <c r="CA147" i="23917"/>
  <c r="BZ147" i="23917"/>
  <c r="BX147" i="23917"/>
  <c r="BV147" i="23917"/>
  <c r="BT147" i="23917"/>
  <c r="BR147" i="23917"/>
  <c r="BP147" i="23917"/>
  <c r="BN147" i="23917"/>
  <c r="BL147" i="23917"/>
  <c r="BJ147" i="23917"/>
  <c r="BH147" i="23917"/>
  <c r="BF147" i="23917"/>
  <c r="BD147" i="23917"/>
  <c r="BB147" i="23917"/>
  <c r="AZ147" i="23917"/>
  <c r="AX147" i="23917"/>
  <c r="AV147" i="23917"/>
  <c r="AT147" i="23917"/>
  <c r="AR147" i="23917"/>
  <c r="AP147" i="23917"/>
  <c r="AN147" i="23917"/>
  <c r="AL147" i="23917"/>
  <c r="AJ147" i="23917"/>
  <c r="AH147" i="23917"/>
  <c r="AF147" i="23917"/>
  <c r="AD147" i="23917"/>
  <c r="AB147" i="23917"/>
  <c r="Z147" i="23917"/>
  <c r="X147" i="23917"/>
  <c r="V147" i="23917"/>
  <c r="T147" i="23917"/>
  <c r="R147" i="23917"/>
  <c r="P147" i="23917"/>
  <c r="N147" i="23917"/>
  <c r="L147" i="23917"/>
  <c r="J147" i="23917"/>
  <c r="H147" i="23917"/>
  <c r="D147" i="23917"/>
  <c r="B147" i="23917"/>
  <c r="A147" i="23917"/>
  <c r="CR146" i="23917"/>
  <c r="CP146" i="23917"/>
  <c r="CN146" i="23917"/>
  <c r="CL146" i="23917"/>
  <c r="CJ146" i="23917"/>
  <c r="CH146" i="23917"/>
  <c r="CF146" i="23917"/>
  <c r="CD146" i="23917"/>
  <c r="CB146" i="23917"/>
  <c r="CA146" i="23917"/>
  <c r="BZ146" i="23917"/>
  <c r="BX146" i="23917"/>
  <c r="BV146" i="23917"/>
  <c r="BT146" i="23917"/>
  <c r="BR146" i="23917"/>
  <c r="BP146" i="23917"/>
  <c r="BN146" i="23917"/>
  <c r="BL146" i="23917"/>
  <c r="BJ146" i="23917"/>
  <c r="BH146" i="23917"/>
  <c r="BF146" i="23917"/>
  <c r="BD146" i="23917"/>
  <c r="BB146" i="23917"/>
  <c r="AZ146" i="23917"/>
  <c r="AX146" i="23917"/>
  <c r="AV146" i="23917"/>
  <c r="AT146" i="23917"/>
  <c r="AR146" i="23917"/>
  <c r="AP146" i="23917"/>
  <c r="AN146" i="23917"/>
  <c r="AL146" i="23917"/>
  <c r="AJ146" i="23917"/>
  <c r="AH146" i="23917"/>
  <c r="AF146" i="23917"/>
  <c r="AD146" i="23917"/>
  <c r="AB146" i="23917"/>
  <c r="Z146" i="23917"/>
  <c r="X146" i="23917"/>
  <c r="V146" i="23917"/>
  <c r="T146" i="23917"/>
  <c r="R146" i="23917"/>
  <c r="P146" i="23917"/>
  <c r="N146" i="23917"/>
  <c r="L146" i="23917"/>
  <c r="J146" i="23917"/>
  <c r="H146" i="23917"/>
  <c r="D146" i="23917"/>
  <c r="B146" i="23917"/>
  <c r="A146" i="23917"/>
  <c r="A143" i="23917"/>
  <c r="A142" i="23917"/>
  <c r="A139" i="23917"/>
  <c r="A138" i="23917"/>
  <c r="DG134" i="23917"/>
  <c r="DG133" i="23917"/>
  <c r="CN124" i="23917"/>
  <c r="CL124" i="23917"/>
  <c r="CJ124" i="23917"/>
  <c r="CH124" i="23917"/>
  <c r="CF124" i="23917"/>
  <c r="CD124" i="23917"/>
  <c r="CB124" i="23917"/>
  <c r="BZ124" i="23917"/>
  <c r="BX124" i="23917"/>
  <c r="BV124" i="23917"/>
  <c r="BT124" i="23917"/>
  <c r="BR124" i="23917"/>
  <c r="BP124" i="23917"/>
  <c r="BN124" i="23917"/>
  <c r="BL124" i="23917"/>
  <c r="BJ124" i="23917"/>
  <c r="BH124" i="23917"/>
  <c r="BF124" i="23917"/>
  <c r="BD124" i="23917"/>
  <c r="BB124" i="23917"/>
  <c r="AZ124" i="23917"/>
  <c r="AX124" i="23917"/>
  <c r="AV124" i="23917"/>
  <c r="AT124" i="23917"/>
  <c r="AR124" i="23917"/>
  <c r="AP124" i="23917"/>
  <c r="AN124" i="23917"/>
  <c r="AL124" i="23917"/>
  <c r="AJ124" i="23917"/>
  <c r="AH124" i="23917"/>
  <c r="AF124" i="23917"/>
  <c r="AD124" i="23917"/>
  <c r="AB124" i="23917"/>
  <c r="Z124" i="23917"/>
  <c r="X124" i="23917"/>
  <c r="V124" i="23917"/>
  <c r="T124" i="23917"/>
  <c r="R124" i="23917"/>
  <c r="P124" i="23917"/>
  <c r="N124" i="23917"/>
  <c r="L124" i="23917"/>
  <c r="J124" i="23917"/>
  <c r="H124" i="23917"/>
  <c r="F124" i="23917"/>
  <c r="D124" i="23917"/>
  <c r="CA124" i="23917"/>
  <c r="A126" i="23917"/>
  <c r="A125" i="23917"/>
  <c r="A124" i="23917"/>
  <c r="A123" i="23917"/>
  <c r="CN121" i="23917"/>
  <c r="CL121" i="23917"/>
  <c r="CJ121" i="23917"/>
  <c r="CH121" i="23917"/>
  <c r="CF121" i="23917"/>
  <c r="CD121" i="23917"/>
  <c r="CB121" i="23917"/>
  <c r="CA121" i="23917"/>
  <c r="BZ121" i="23917"/>
  <c r="BX121" i="23917"/>
  <c r="BV121" i="23917"/>
  <c r="BT121" i="23917"/>
  <c r="BR121" i="23917"/>
  <c r="BP121" i="23917"/>
  <c r="BN121" i="23917"/>
  <c r="BL121" i="23917"/>
  <c r="BJ121" i="23917"/>
  <c r="BH121" i="23917"/>
  <c r="BF121" i="23917"/>
  <c r="BD121" i="23917"/>
  <c r="BB121" i="23917"/>
  <c r="AZ121" i="23917"/>
  <c r="AX121" i="23917"/>
  <c r="AV121" i="23917"/>
  <c r="AT121" i="23917"/>
  <c r="AR121" i="23917"/>
  <c r="AP121" i="23917"/>
  <c r="AN121" i="23917"/>
  <c r="AL121" i="23917"/>
  <c r="AJ121" i="23917"/>
  <c r="AH121" i="23917"/>
  <c r="AF121" i="23917"/>
  <c r="AD121" i="23917"/>
  <c r="AB121" i="23917"/>
  <c r="Z121" i="23917"/>
  <c r="X121" i="23917"/>
  <c r="V121" i="23917"/>
  <c r="T121" i="23917"/>
  <c r="R121" i="23917"/>
  <c r="P121" i="23917"/>
  <c r="N121" i="23917"/>
  <c r="L121" i="23917"/>
  <c r="J121" i="23917"/>
  <c r="H121" i="23917"/>
  <c r="F121" i="23917"/>
  <c r="D121" i="23917"/>
  <c r="B121" i="23917"/>
  <c r="A121" i="23917"/>
  <c r="A120" i="23917"/>
  <c r="A119" i="23917"/>
  <c r="CN117" i="23917"/>
  <c r="CL117" i="23917"/>
  <c r="CJ117" i="23917"/>
  <c r="CH117" i="23917"/>
  <c r="CF117" i="23917"/>
  <c r="CD117" i="23917"/>
  <c r="CB117" i="23917"/>
  <c r="CA117" i="23917"/>
  <c r="BZ117" i="23917"/>
  <c r="BX117" i="23917"/>
  <c r="BV117" i="23917"/>
  <c r="BT117" i="23917"/>
  <c r="BR117" i="23917"/>
  <c r="BP117" i="23917"/>
  <c r="BN117" i="23917"/>
  <c r="BL117" i="23917"/>
  <c r="BJ117" i="23917"/>
  <c r="BH117" i="23917"/>
  <c r="BF117" i="23917"/>
  <c r="BD117" i="23917"/>
  <c r="BB117" i="23917"/>
  <c r="AZ117" i="23917"/>
  <c r="AX117" i="23917"/>
  <c r="AV117" i="23917"/>
  <c r="AT117" i="23917"/>
  <c r="AR117" i="23917"/>
  <c r="AP117" i="23917"/>
  <c r="AN117" i="23917"/>
  <c r="AL117" i="23917"/>
  <c r="AJ117" i="23917"/>
  <c r="AH117" i="23917"/>
  <c r="AF117" i="23917"/>
  <c r="AD117" i="23917"/>
  <c r="AB117" i="23917"/>
  <c r="Z117" i="23917"/>
  <c r="X117" i="23917"/>
  <c r="V117" i="23917"/>
  <c r="T117" i="23917"/>
  <c r="R117" i="23917"/>
  <c r="P117" i="23917"/>
  <c r="N117" i="23917"/>
  <c r="L117" i="23917"/>
  <c r="J117" i="23917"/>
  <c r="H117" i="23917"/>
  <c r="F117" i="23917"/>
  <c r="D117" i="23917"/>
  <c r="B117" i="23917"/>
  <c r="A117" i="23917"/>
  <c r="DE111" i="23917"/>
  <c r="A114" i="23917"/>
  <c r="CN113" i="23917"/>
  <c r="CL113" i="23917"/>
  <c r="CJ113" i="23917"/>
  <c r="CH113" i="23917"/>
  <c r="CF113" i="23917"/>
  <c r="CD113" i="23917"/>
  <c r="CB113" i="23917"/>
  <c r="CA113" i="23917"/>
  <c r="BZ113" i="23917"/>
  <c r="BX113" i="23917"/>
  <c r="BV113" i="23917"/>
  <c r="BT113" i="23917"/>
  <c r="BR113" i="23917"/>
  <c r="BP113" i="23917"/>
  <c r="BN113" i="23917"/>
  <c r="BL113" i="23917"/>
  <c r="BJ113" i="23917"/>
  <c r="BH113" i="23917"/>
  <c r="BF113" i="23917"/>
  <c r="BD113" i="23917"/>
  <c r="BB113" i="23917"/>
  <c r="AZ113" i="23917"/>
  <c r="AX113" i="23917"/>
  <c r="AV113" i="23917"/>
  <c r="AT113" i="23917"/>
  <c r="AR113" i="23917"/>
  <c r="AP113" i="23917"/>
  <c r="AN113" i="23917"/>
  <c r="AL113" i="23917"/>
  <c r="AJ113" i="23917"/>
  <c r="AH113" i="23917"/>
  <c r="AF113" i="23917"/>
  <c r="AD113" i="23917"/>
  <c r="AB113" i="23917"/>
  <c r="Z113" i="23917"/>
  <c r="X113" i="23917"/>
  <c r="V113" i="23917"/>
  <c r="T113" i="23917"/>
  <c r="R113" i="23917"/>
  <c r="P113" i="23917"/>
  <c r="N113" i="23917"/>
  <c r="L113" i="23917"/>
  <c r="J113" i="23917"/>
  <c r="H113" i="23917"/>
  <c r="F113" i="23917"/>
  <c r="D113" i="23917"/>
  <c r="B113" i="23917"/>
  <c r="A113" i="23917"/>
  <c r="A112" i="23917"/>
  <c r="CN111" i="23917"/>
  <c r="CL111" i="23917"/>
  <c r="CJ111" i="23917"/>
  <c r="CH111" i="23917"/>
  <c r="CF111" i="23917"/>
  <c r="CD111" i="23917"/>
  <c r="CB111" i="23917"/>
  <c r="CA111" i="23917"/>
  <c r="BZ111" i="23917"/>
  <c r="BX111" i="23917"/>
  <c r="BV111" i="23917"/>
  <c r="BT111" i="23917"/>
  <c r="BR111" i="23917"/>
  <c r="BP111" i="23917"/>
  <c r="BN111" i="23917"/>
  <c r="BL111" i="23917"/>
  <c r="BJ111" i="23917"/>
  <c r="BH111" i="23917"/>
  <c r="BF111" i="23917"/>
  <c r="BD111" i="23917"/>
  <c r="BB111" i="23917"/>
  <c r="AZ111" i="23917"/>
  <c r="AX111" i="23917"/>
  <c r="AV111" i="23917"/>
  <c r="AT111" i="23917"/>
  <c r="AR111" i="23917"/>
  <c r="AP111" i="23917"/>
  <c r="AN111" i="23917"/>
  <c r="AL111" i="23917"/>
  <c r="AJ111" i="23917"/>
  <c r="AH111" i="23917"/>
  <c r="AF111" i="23917"/>
  <c r="AD111" i="23917"/>
  <c r="AB111" i="23917"/>
  <c r="Z111" i="23917"/>
  <c r="X111" i="23917"/>
  <c r="V111" i="23917"/>
  <c r="T111" i="23917"/>
  <c r="R111" i="23917"/>
  <c r="P111" i="23917"/>
  <c r="N111" i="23917"/>
  <c r="L111" i="23917"/>
  <c r="J111" i="23917"/>
  <c r="H111" i="23917"/>
  <c r="F111" i="23917"/>
  <c r="D111" i="23917"/>
  <c r="B111" i="23917"/>
  <c r="A111" i="23917"/>
  <c r="DF108" i="23917"/>
  <c r="A106" i="23917"/>
  <c r="A101" i="23917"/>
  <c r="DE99" i="23917"/>
  <c r="DD99" i="23917"/>
  <c r="DC99" i="23917"/>
  <c r="Y99" i="23917"/>
  <c r="W99" i="23917"/>
  <c r="U99" i="23917"/>
  <c r="S99" i="23917"/>
  <c r="Q99" i="23917"/>
  <c r="O99" i="23917"/>
  <c r="M99" i="23917"/>
  <c r="K99" i="23917"/>
  <c r="I99" i="23917"/>
  <c r="H99" i="23917"/>
  <c r="G99" i="23917"/>
  <c r="F99" i="23917"/>
  <c r="E99" i="23917"/>
  <c r="D99" i="23917"/>
  <c r="C99" i="23917"/>
  <c r="B99" i="23917"/>
  <c r="A99" i="23917"/>
  <c r="A98" i="23917"/>
  <c r="A97" i="23917"/>
  <c r="A96" i="23917"/>
  <c r="A95" i="23917"/>
  <c r="A94" i="23917"/>
  <c r="A93" i="23917"/>
  <c r="DE91" i="23917"/>
  <c r="DD91" i="23917"/>
  <c r="DC91" i="23917"/>
  <c r="I91" i="23917"/>
  <c r="H91" i="23917"/>
  <c r="G91" i="23917"/>
  <c r="F91" i="23917"/>
  <c r="E91" i="23917"/>
  <c r="D91" i="23917"/>
  <c r="C91" i="23917"/>
  <c r="B91" i="23917"/>
  <c r="A91" i="23917"/>
  <c r="A90" i="23917"/>
  <c r="A89" i="23917"/>
  <c r="A88" i="23917"/>
  <c r="I87" i="23917"/>
  <c r="H87" i="23917"/>
  <c r="G87" i="23917"/>
  <c r="F87" i="23917"/>
  <c r="E87" i="23917"/>
  <c r="D87" i="23917"/>
  <c r="C87" i="23917"/>
  <c r="B87" i="23917"/>
  <c r="A87" i="23917"/>
  <c r="A86" i="23917"/>
  <c r="A85" i="23917"/>
  <c r="DC78" i="23917"/>
  <c r="A82" i="23917"/>
  <c r="A80" i="23917"/>
  <c r="A79" i="23917"/>
  <c r="A78" i="23917"/>
  <c r="A77" i="23917"/>
  <c r="A76" i="23917"/>
  <c r="A75" i="23917"/>
  <c r="A74" i="23917"/>
  <c r="DU71" i="23917"/>
  <c r="DQ71" i="23917"/>
  <c r="DO71" i="23917"/>
  <c r="CN71" i="23917"/>
  <c r="CL71" i="23917"/>
  <c r="CJ71" i="23917"/>
  <c r="CH71" i="23917"/>
  <c r="CF71" i="23917"/>
  <c r="CD71" i="23917"/>
  <c r="CB71" i="23917"/>
  <c r="CA71" i="23917"/>
  <c r="BZ71" i="23917"/>
  <c r="BX71" i="23917"/>
  <c r="BV71" i="23917"/>
  <c r="BT71" i="23917"/>
  <c r="BR71" i="23917"/>
  <c r="BP71" i="23917"/>
  <c r="BN71" i="23917"/>
  <c r="BL71" i="23917"/>
  <c r="BJ71" i="23917"/>
  <c r="BH71" i="23917"/>
  <c r="BF71" i="23917"/>
  <c r="BD71" i="23917"/>
  <c r="BB71" i="23917"/>
  <c r="AZ71" i="23917"/>
  <c r="AX71" i="23917"/>
  <c r="AV71" i="23917"/>
  <c r="AT71" i="23917"/>
  <c r="AP71" i="23917"/>
  <c r="AN71" i="23917"/>
  <c r="AL71" i="23917"/>
  <c r="AJ71" i="23917"/>
  <c r="AH71" i="23917"/>
  <c r="AF71" i="23917"/>
  <c r="AD71" i="23917"/>
  <c r="AB71" i="23917"/>
  <c r="Z71" i="23917"/>
  <c r="X71" i="23917"/>
  <c r="V71" i="23917"/>
  <c r="T71" i="23917"/>
  <c r="R71" i="23917"/>
  <c r="P71" i="23917"/>
  <c r="N71" i="23917"/>
  <c r="L71" i="23917"/>
  <c r="J71" i="23917"/>
  <c r="H71" i="23917"/>
  <c r="F71" i="23917"/>
  <c r="D71" i="23917"/>
  <c r="B71" i="23917"/>
  <c r="A71" i="23917"/>
  <c r="CN70" i="23917"/>
  <c r="CL70" i="23917"/>
  <c r="CJ70" i="23917"/>
  <c r="CH70" i="23917"/>
  <c r="CF70" i="23917"/>
  <c r="CD70" i="23917"/>
  <c r="CB70" i="23917"/>
  <c r="CA70" i="23917"/>
  <c r="BZ70" i="23917"/>
  <c r="BX70" i="23917"/>
  <c r="BV70" i="23917"/>
  <c r="BT70" i="23917"/>
  <c r="BR70" i="23917"/>
  <c r="BP70" i="23917"/>
  <c r="BN70" i="23917"/>
  <c r="BL70" i="23917"/>
  <c r="BJ70" i="23917"/>
  <c r="BH70" i="23917"/>
  <c r="BF70" i="23917"/>
  <c r="BD70" i="23917"/>
  <c r="BB70" i="23917"/>
  <c r="AZ70" i="23917"/>
  <c r="AX70" i="23917"/>
  <c r="AV70" i="23917"/>
  <c r="AT70" i="23917"/>
  <c r="AR70" i="23917"/>
  <c r="AP70" i="23917"/>
  <c r="AN70" i="23917"/>
  <c r="AL70" i="23917"/>
  <c r="AJ70" i="23917"/>
  <c r="AH70" i="23917"/>
  <c r="AF70" i="23917"/>
  <c r="AD70" i="23917"/>
  <c r="AB70" i="23917"/>
  <c r="Z70" i="23917"/>
  <c r="X70" i="23917"/>
  <c r="V70" i="23917"/>
  <c r="T70" i="23917"/>
  <c r="R70" i="23917"/>
  <c r="P70" i="23917"/>
  <c r="N70" i="23917"/>
  <c r="L70" i="23917"/>
  <c r="J70" i="23917"/>
  <c r="H70" i="23917"/>
  <c r="F70" i="23917"/>
  <c r="D70" i="23917"/>
  <c r="B70" i="23917"/>
  <c r="A70" i="23917"/>
  <c r="DF67" i="23917"/>
  <c r="A65" i="23917"/>
  <c r="CN57" i="23917"/>
  <c r="CL57" i="23917"/>
  <c r="CJ57" i="23917"/>
  <c r="CH57" i="23917"/>
  <c r="CF57" i="23917"/>
  <c r="CD57" i="23917"/>
  <c r="CB57" i="23917"/>
  <c r="CA57" i="23917"/>
  <c r="BZ57" i="23917"/>
  <c r="BX57" i="23917"/>
  <c r="BV57" i="23917"/>
  <c r="BT57" i="23917"/>
  <c r="BR57" i="23917"/>
  <c r="BP57" i="23917"/>
  <c r="BN57" i="23917"/>
  <c r="BL57" i="23917"/>
  <c r="BJ57" i="23917"/>
  <c r="BH57" i="23917"/>
  <c r="BF57" i="23917"/>
  <c r="BD57" i="23917"/>
  <c r="BB57" i="23917"/>
  <c r="AZ57" i="23917"/>
  <c r="AX57" i="23917"/>
  <c r="AV57" i="23917"/>
  <c r="AT57" i="23917"/>
  <c r="AR57" i="23917"/>
  <c r="AP57" i="23917"/>
  <c r="AN57" i="23917"/>
  <c r="AL57" i="23917"/>
  <c r="AJ57" i="23917"/>
  <c r="AH57" i="23917"/>
  <c r="AF57" i="23917"/>
  <c r="AD57" i="23917"/>
  <c r="AB57" i="23917"/>
  <c r="Z57" i="23917"/>
  <c r="X57" i="23917"/>
  <c r="V57" i="23917"/>
  <c r="T57" i="23917"/>
  <c r="R57" i="23917"/>
  <c r="P57" i="23917"/>
  <c r="N57" i="23917"/>
  <c r="L57" i="23917"/>
  <c r="J57" i="23917"/>
  <c r="H57" i="23917"/>
  <c r="F57" i="23917"/>
  <c r="D57" i="23917"/>
  <c r="B57" i="23917"/>
  <c r="DG52" i="23917"/>
  <c r="DE52" i="23917"/>
  <c r="DD52" i="23917"/>
  <c r="DC52" i="23917"/>
  <c r="A54" i="23917"/>
  <c r="A53" i="23917"/>
  <c r="Y52" i="23917"/>
  <c r="W52" i="23917"/>
  <c r="U52" i="23917"/>
  <c r="S52" i="23917"/>
  <c r="Q52" i="23917"/>
  <c r="O52" i="23917"/>
  <c r="M52" i="23917"/>
  <c r="K52" i="23917"/>
  <c r="I52" i="23917"/>
  <c r="H52" i="23917"/>
  <c r="G52" i="23917"/>
  <c r="F52" i="23917"/>
  <c r="E52" i="23917"/>
  <c r="D52" i="23917"/>
  <c r="C52" i="23917"/>
  <c r="B52" i="23917"/>
  <c r="A52" i="23917"/>
  <c r="A51" i="23917"/>
  <c r="EI42" i="23917"/>
  <c r="EI41" i="23917"/>
  <c r="EI40" i="23917"/>
  <c r="EG42" i="23917"/>
  <c r="EG41" i="23917"/>
  <c r="EG40" i="23917"/>
  <c r="EE42" i="23917"/>
  <c r="EE41" i="23917"/>
  <c r="EE40" i="23917"/>
  <c r="CR42" i="23917"/>
  <c r="CR41" i="23917"/>
  <c r="CP42" i="23917"/>
  <c r="CP41" i="23917"/>
  <c r="CN42" i="23917"/>
  <c r="CN41" i="23917"/>
  <c r="CN39" i="23917"/>
  <c r="CL42" i="23917"/>
  <c r="CL41" i="23917"/>
  <c r="CL40" i="23917"/>
  <c r="CL39" i="23917"/>
  <c r="CJ42" i="23917"/>
  <c r="CJ40" i="23917"/>
  <c r="CJ39" i="23917"/>
  <c r="CH42" i="23917"/>
  <c r="CH41" i="23917"/>
  <c r="CH40" i="23917"/>
  <c r="CH39" i="23917"/>
  <c r="CF42" i="23917"/>
  <c r="CF41" i="23917"/>
  <c r="CF40" i="23917"/>
  <c r="CF39" i="23917"/>
  <c r="CD42" i="23917"/>
  <c r="CD41" i="23917"/>
  <c r="CD40" i="23917"/>
  <c r="CD39" i="23917"/>
  <c r="CB42" i="23917"/>
  <c r="CB41" i="23917"/>
  <c r="CB40" i="23917"/>
  <c r="CB39" i="23917"/>
  <c r="BZ42" i="23917"/>
  <c r="BZ41" i="23917"/>
  <c r="BZ40" i="23917"/>
  <c r="BZ39" i="23917"/>
  <c r="BX42" i="23917"/>
  <c r="BX41" i="23917"/>
  <c r="BX40" i="23917"/>
  <c r="BX39" i="23917"/>
  <c r="BV42" i="23917"/>
  <c r="BV41" i="23917"/>
  <c r="BV40" i="23917"/>
  <c r="BV39" i="23917"/>
  <c r="BT42" i="23917"/>
  <c r="BT41" i="23917"/>
  <c r="BT40" i="23917"/>
  <c r="BT39" i="23917"/>
  <c r="BR42" i="23917"/>
  <c r="BR41" i="23917"/>
  <c r="BR40" i="23917"/>
  <c r="BR39" i="23917"/>
  <c r="BP42" i="23917"/>
  <c r="BP41" i="23917"/>
  <c r="BP40" i="23917"/>
  <c r="BP39" i="23917"/>
  <c r="BN42" i="23917"/>
  <c r="BN41" i="23917"/>
  <c r="BN40" i="23917"/>
  <c r="BN39" i="23917"/>
  <c r="BL42" i="23917"/>
  <c r="BL41" i="23917"/>
  <c r="BL40" i="23917"/>
  <c r="BL39" i="23917"/>
  <c r="BJ42" i="23917"/>
  <c r="BJ41" i="23917"/>
  <c r="BJ40" i="23917"/>
  <c r="BJ39" i="23917"/>
  <c r="BH42" i="23917"/>
  <c r="BH40" i="23917"/>
  <c r="BH39" i="23917"/>
  <c r="BF42" i="23917"/>
  <c r="BF41" i="23917"/>
  <c r="BF40" i="23917"/>
  <c r="BF39" i="23917"/>
  <c r="BD42" i="23917"/>
  <c r="BD40" i="23917"/>
  <c r="BD39" i="23917"/>
  <c r="BB42" i="23917"/>
  <c r="BB40" i="23917"/>
  <c r="BB39" i="23917"/>
  <c r="AZ42" i="23917"/>
  <c r="AZ40" i="23917"/>
  <c r="AZ39" i="23917"/>
  <c r="AX42" i="23917"/>
  <c r="AX40" i="23917"/>
  <c r="AX39" i="23917"/>
  <c r="AV42" i="23917"/>
  <c r="AV40" i="23917"/>
  <c r="AV39" i="23917"/>
  <c r="AT42" i="23917"/>
  <c r="AT40" i="23917"/>
  <c r="AT39" i="23917"/>
  <c r="AR42" i="23917"/>
  <c r="AR40" i="23917"/>
  <c r="AR39" i="23917"/>
  <c r="AP42" i="23917"/>
  <c r="AP40" i="23917"/>
  <c r="AP39" i="23917"/>
  <c r="CA42" i="23917"/>
  <c r="CA41" i="23917"/>
  <c r="CA40" i="23917"/>
  <c r="CA39" i="23917"/>
  <c r="A44" i="23917"/>
  <c r="A43" i="23917"/>
  <c r="AN42" i="23917"/>
  <c r="AL42" i="23917"/>
  <c r="AJ42" i="23917"/>
  <c r="AH42" i="23917"/>
  <c r="AF42" i="23917"/>
  <c r="AD42" i="23917"/>
  <c r="AB42" i="23917"/>
  <c r="Z42" i="23917"/>
  <c r="X42" i="23917"/>
  <c r="V42" i="23917"/>
  <c r="T42" i="23917"/>
  <c r="R42" i="23917"/>
  <c r="Q42" i="23917"/>
  <c r="P42" i="23917"/>
  <c r="O42" i="23917"/>
  <c r="N42" i="23917"/>
  <c r="M42" i="23917"/>
  <c r="L42" i="23917"/>
  <c r="K42" i="23917"/>
  <c r="J42" i="23917"/>
  <c r="I42" i="23917"/>
  <c r="H42" i="23917"/>
  <c r="G42" i="23917"/>
  <c r="F42" i="23917"/>
  <c r="E42" i="23917"/>
  <c r="D42" i="23917"/>
  <c r="C42" i="23917"/>
  <c r="B42" i="23917"/>
  <c r="A42" i="23917"/>
  <c r="AB41" i="23917"/>
  <c r="X41" i="23917"/>
  <c r="V41" i="23917"/>
  <c r="R41" i="23917"/>
  <c r="P41" i="23917"/>
  <c r="N41" i="23917"/>
  <c r="L41" i="23917"/>
  <c r="F41" i="23917"/>
  <c r="D41" i="23917"/>
  <c r="B41" i="23917"/>
  <c r="A41" i="23917"/>
  <c r="AN40" i="23917"/>
  <c r="AL40" i="23917"/>
  <c r="AJ40" i="23917"/>
  <c r="AH40" i="23917"/>
  <c r="AF40" i="23917"/>
  <c r="AD40" i="23917"/>
  <c r="AB40" i="23917"/>
  <c r="Z40" i="23917"/>
  <c r="X40" i="23917"/>
  <c r="V40" i="23917"/>
  <c r="T40" i="23917"/>
  <c r="R40" i="23917"/>
  <c r="P40" i="23917"/>
  <c r="N40" i="23917"/>
  <c r="L40" i="23917"/>
  <c r="J40" i="23917"/>
  <c r="H40" i="23917"/>
  <c r="F40" i="23917"/>
  <c r="D40" i="23917"/>
  <c r="B40" i="23917"/>
  <c r="A40" i="23917"/>
  <c r="DH42" i="23917"/>
  <c r="DG42" i="23917"/>
  <c r="DF42" i="23917"/>
  <c r="DE42" i="23917"/>
  <c r="DD42" i="23917"/>
  <c r="DC42" i="23917"/>
  <c r="AN39" i="23917"/>
  <c r="AL39" i="23917"/>
  <c r="AJ39" i="23917"/>
  <c r="AH39" i="23917"/>
  <c r="AD39" i="23917"/>
  <c r="AB39" i="23917"/>
  <c r="Z39" i="23917"/>
  <c r="X39" i="23917"/>
  <c r="V39" i="23917"/>
  <c r="T39" i="23917"/>
  <c r="R39" i="23917"/>
  <c r="P39" i="23917"/>
  <c r="N39" i="23917"/>
  <c r="L39" i="23917"/>
  <c r="J39" i="23917"/>
  <c r="H39" i="23917"/>
  <c r="F39" i="23917"/>
  <c r="D39" i="23917"/>
  <c r="B39" i="23917"/>
  <c r="DU28" i="23917"/>
  <c r="DQ28" i="23917"/>
  <c r="DO28" i="23917"/>
  <c r="CN28" i="23917"/>
  <c r="CL28" i="23917"/>
  <c r="CJ28" i="23917"/>
  <c r="CH28" i="23917"/>
  <c r="CF28" i="23917"/>
  <c r="CD28" i="23917"/>
  <c r="CB28" i="23917"/>
  <c r="BZ28" i="23917"/>
  <c r="BX28" i="23917"/>
  <c r="BV28" i="23917"/>
  <c r="BT28" i="23917"/>
  <c r="BR28" i="23917"/>
  <c r="BP28" i="23917"/>
  <c r="BN28" i="23917"/>
  <c r="BL28" i="23917"/>
  <c r="BJ28" i="23917"/>
  <c r="BH28" i="23917"/>
  <c r="BF28" i="23917"/>
  <c r="BD28" i="23917"/>
  <c r="BB28" i="23917"/>
  <c r="AZ28" i="23917"/>
  <c r="AX28" i="23917"/>
  <c r="AV28" i="23917"/>
  <c r="AT28" i="23917"/>
  <c r="AP28" i="23917"/>
  <c r="CA28" i="23917"/>
  <c r="A29" i="23917"/>
  <c r="AN28" i="23917"/>
  <c r="AL28" i="23917"/>
  <c r="AJ28" i="23917"/>
  <c r="AH28" i="23917"/>
  <c r="AF28" i="23917"/>
  <c r="AD28" i="23917"/>
  <c r="AB28" i="23917"/>
  <c r="Z28" i="23917"/>
  <c r="X28" i="23917"/>
  <c r="V28" i="23917"/>
  <c r="T28" i="23917"/>
  <c r="R28" i="23917"/>
  <c r="P28" i="23917"/>
  <c r="N28" i="23917"/>
  <c r="L28" i="23917"/>
  <c r="J28" i="23917"/>
  <c r="H28" i="23917"/>
  <c r="F28" i="23917"/>
  <c r="D28" i="23917"/>
  <c r="B28" i="23917"/>
  <c r="A28" i="23917"/>
  <c r="EI25" i="23917"/>
  <c r="EG25" i="23917"/>
  <c r="EE25" i="23917"/>
  <c r="DJ25" i="23917"/>
  <c r="DI25" i="23917"/>
  <c r="DH25" i="23917"/>
  <c r="DG25" i="23917"/>
  <c r="DF25" i="23917"/>
  <c r="DE25" i="23917"/>
  <c r="DD25" i="23917"/>
  <c r="DC25" i="23917"/>
  <c r="A26" i="23917"/>
  <c r="CR25" i="23917"/>
  <c r="CP25" i="23917"/>
  <c r="CN25" i="23917"/>
  <c r="CL25" i="23917"/>
  <c r="CJ25" i="23917"/>
  <c r="CH25" i="23917"/>
  <c r="CF25" i="23917"/>
  <c r="CD25" i="23917"/>
  <c r="CB25" i="23917"/>
  <c r="CA25" i="23917"/>
  <c r="BZ25" i="23917"/>
  <c r="BX25" i="23917"/>
  <c r="BV25" i="23917"/>
  <c r="BT25" i="23917"/>
  <c r="BR25" i="23917"/>
  <c r="BP25" i="23917"/>
  <c r="BN25" i="23917"/>
  <c r="BL25" i="23917"/>
  <c r="BJ25" i="23917"/>
  <c r="BH25" i="23917"/>
  <c r="BF25" i="23917"/>
  <c r="BD25" i="23917"/>
  <c r="BB25" i="23917"/>
  <c r="AZ25" i="23917"/>
  <c r="AX25" i="23917"/>
  <c r="AV25" i="23917"/>
  <c r="AT25" i="23917"/>
  <c r="AR25" i="23917"/>
  <c r="AP25" i="23917"/>
  <c r="AN25" i="23917"/>
  <c r="AL25" i="23917"/>
  <c r="AJ25" i="23917"/>
  <c r="AH25" i="23917"/>
  <c r="AF25" i="23917"/>
  <c r="AD25" i="23917"/>
  <c r="AC25" i="23917"/>
  <c r="AB25" i="23917"/>
  <c r="AA25" i="23917"/>
  <c r="Z25" i="23917"/>
  <c r="Y25" i="23917"/>
  <c r="X25" i="23917"/>
  <c r="W25" i="23917"/>
  <c r="V25" i="23917"/>
  <c r="U25" i="23917"/>
  <c r="T25" i="23917"/>
  <c r="S25" i="23917"/>
  <c r="R25" i="23917"/>
  <c r="Q25" i="23917"/>
  <c r="P25" i="23917"/>
  <c r="O25" i="23917"/>
  <c r="N25" i="23917"/>
  <c r="M25" i="23917"/>
  <c r="L25" i="23917"/>
  <c r="K25" i="23917"/>
  <c r="J25" i="23917"/>
  <c r="I25" i="23917"/>
  <c r="H25" i="23917"/>
  <c r="G25" i="23917"/>
  <c r="F25" i="23917"/>
  <c r="E25" i="23917"/>
  <c r="D25" i="23917"/>
  <c r="C25" i="23917"/>
  <c r="B25" i="23917"/>
  <c r="A25" i="23917"/>
  <c r="A22" i="23917"/>
  <c r="A21" i="23917"/>
  <c r="EI18" i="23917"/>
  <c r="EG18" i="23917"/>
  <c r="EE18" i="23917"/>
  <c r="DN18" i="23917"/>
  <c r="DM18" i="23917"/>
  <c r="DL18" i="23917"/>
  <c r="DK18" i="23917"/>
  <c r="DJ18" i="23917"/>
  <c r="DI18" i="23917"/>
  <c r="DH18" i="23917"/>
  <c r="DG18" i="23917"/>
  <c r="DF18" i="23917"/>
  <c r="DE18" i="23917"/>
  <c r="DD18" i="23917"/>
  <c r="DC18" i="23917"/>
  <c r="EM16" i="23917"/>
  <c r="EJ16" i="23917"/>
  <c r="EI16" i="23917"/>
  <c r="EH16" i="23917"/>
  <c r="EG16" i="23917"/>
  <c r="EF16" i="23917"/>
  <c r="EE16" i="23917"/>
  <c r="EB16" i="23917"/>
  <c r="EA16" i="23917"/>
  <c r="DZ16" i="23917"/>
  <c r="DY16" i="23917"/>
  <c r="DX16" i="23917"/>
  <c r="DW16" i="23917"/>
  <c r="DV16" i="23917"/>
  <c r="DU16" i="23917"/>
  <c r="DT16" i="23917"/>
  <c r="DS16" i="23917"/>
  <c r="DR16" i="23917"/>
  <c r="DQ16" i="23917"/>
  <c r="DP16" i="23917"/>
  <c r="DO16" i="23917"/>
  <c r="DN16" i="23917"/>
  <c r="DM16" i="23917"/>
  <c r="DL16" i="23917"/>
  <c r="DK16" i="23917"/>
  <c r="DJ16" i="23917"/>
  <c r="DI16" i="23917"/>
  <c r="DH16" i="23917"/>
  <c r="DG16" i="23917"/>
  <c r="EM15" i="23917"/>
  <c r="EJ15" i="23917"/>
  <c r="EI15" i="23917"/>
  <c r="EH15" i="23917"/>
  <c r="EG15" i="23917"/>
  <c r="EF15" i="23917"/>
  <c r="EE15" i="23917"/>
  <c r="EB15" i="23917"/>
  <c r="EA15" i="23917"/>
  <c r="DZ15" i="23917"/>
  <c r="DY15" i="23917"/>
  <c r="DX15" i="23917"/>
  <c r="DW15" i="23917"/>
  <c r="DV15" i="23917"/>
  <c r="DU15" i="23917"/>
  <c r="DT15" i="23917"/>
  <c r="DS15" i="23917"/>
  <c r="DR15" i="23917"/>
  <c r="DQ15" i="23917"/>
  <c r="DP15" i="23917"/>
  <c r="DO15" i="23917"/>
  <c r="DN15" i="23917"/>
  <c r="DM15" i="23917"/>
  <c r="DL15" i="23917"/>
  <c r="DK15" i="23917"/>
  <c r="DJ15" i="23917"/>
  <c r="DI15" i="23917"/>
  <c r="DH15" i="23917"/>
  <c r="DG15" i="23917"/>
  <c r="EM13" i="23917"/>
  <c r="EJ13" i="23917"/>
  <c r="EI13" i="23917"/>
  <c r="EH13" i="23917"/>
  <c r="EG13" i="23917"/>
  <c r="EF13" i="23917"/>
  <c r="EE13" i="23917"/>
  <c r="EB13" i="23917"/>
  <c r="EA13" i="23917"/>
  <c r="DZ13" i="23917"/>
  <c r="DY13" i="23917"/>
  <c r="DX13" i="23917"/>
  <c r="DW13" i="23917"/>
  <c r="DV13" i="23917"/>
  <c r="DU13" i="23917"/>
  <c r="DT13" i="23917"/>
  <c r="DS13" i="23917"/>
  <c r="DR13" i="23917"/>
  <c r="DQ13" i="23917"/>
  <c r="DP13" i="23917"/>
  <c r="DO13" i="23917"/>
  <c r="DN13" i="23917"/>
  <c r="DM13" i="23917"/>
  <c r="DL13" i="23917"/>
  <c r="DK13" i="23917"/>
  <c r="DJ13" i="23917"/>
  <c r="DI13" i="23917"/>
  <c r="A19" i="23917"/>
  <c r="CR18" i="23917"/>
  <c r="CP18" i="23917"/>
  <c r="CN18" i="23917"/>
  <c r="CL18" i="23917"/>
  <c r="CJ18" i="23917"/>
  <c r="CH18" i="23917"/>
  <c r="CF18" i="23917"/>
  <c r="CD18" i="23917"/>
  <c r="CB18" i="23917"/>
  <c r="CA18" i="23917"/>
  <c r="BZ18" i="23917"/>
  <c r="BX18" i="23917"/>
  <c r="BV18" i="23917"/>
  <c r="BT18" i="23917"/>
  <c r="BR18" i="23917"/>
  <c r="BP18" i="23917"/>
  <c r="BN18" i="23917"/>
  <c r="BL18" i="23917"/>
  <c r="BJ18" i="23917"/>
  <c r="BH18" i="23917"/>
  <c r="BF18" i="23917"/>
  <c r="BD18" i="23917"/>
  <c r="BB18" i="23917"/>
  <c r="AZ18" i="23917"/>
  <c r="AX18" i="23917"/>
  <c r="AV18" i="23917"/>
  <c r="AT18" i="23917"/>
  <c r="AR18" i="23917"/>
  <c r="AQ18" i="23917"/>
  <c r="AP18" i="23917"/>
  <c r="AO18" i="23917"/>
  <c r="AN18" i="23917"/>
  <c r="AM18" i="23917"/>
  <c r="AL18" i="23917"/>
  <c r="AK18" i="23917"/>
  <c r="AJ18" i="23917"/>
  <c r="AI18" i="23917"/>
  <c r="AH18" i="23917"/>
  <c r="AG18" i="23917"/>
  <c r="AF18" i="23917"/>
  <c r="AE18" i="23917"/>
  <c r="AD18" i="23917"/>
  <c r="AC18" i="23917"/>
  <c r="AB18" i="23917"/>
  <c r="AA18" i="23917"/>
  <c r="Z18" i="23917"/>
  <c r="Y18" i="23917"/>
  <c r="X18" i="23917"/>
  <c r="W18" i="23917"/>
  <c r="V18" i="23917"/>
  <c r="U18" i="23917"/>
  <c r="T18" i="23917"/>
  <c r="S18" i="23917"/>
  <c r="R18" i="23917"/>
  <c r="Q18" i="23917"/>
  <c r="P18" i="23917"/>
  <c r="O18" i="23917"/>
  <c r="N18" i="23917"/>
  <c r="M18" i="23917"/>
  <c r="L18" i="23917"/>
  <c r="K18" i="23917"/>
  <c r="J18" i="23917"/>
  <c r="I18" i="23917"/>
  <c r="H18" i="23917"/>
  <c r="G18" i="23917"/>
  <c r="F18" i="23917"/>
  <c r="E18" i="23917"/>
  <c r="D18" i="23917"/>
  <c r="C18" i="23917"/>
  <c r="B18" i="23917"/>
  <c r="A18" i="23917"/>
  <c r="A17" i="23917"/>
  <c r="CS16" i="23917"/>
  <c r="CR16" i="23917"/>
  <c r="CQ16" i="23917"/>
  <c r="CP16" i="23917"/>
  <c r="CO16" i="23917"/>
  <c r="CN16" i="23917"/>
  <c r="CM16" i="23917"/>
  <c r="CL16" i="23917"/>
  <c r="CK16" i="23917"/>
  <c r="CJ16" i="23917"/>
  <c r="CI16" i="23917"/>
  <c r="CH16" i="23917"/>
  <c r="CG16" i="23917"/>
  <c r="CF16" i="23917"/>
  <c r="CE16" i="23917"/>
  <c r="CD16" i="23917"/>
  <c r="CC16" i="23917"/>
  <c r="CB16" i="23917"/>
  <c r="CA16" i="23917"/>
  <c r="BZ16" i="23917"/>
  <c r="BY16" i="23917"/>
  <c r="BX16" i="23917"/>
  <c r="BW16" i="23917"/>
  <c r="BV16" i="23917"/>
  <c r="BU16" i="23917"/>
  <c r="BT16" i="23917"/>
  <c r="BS16" i="23917"/>
  <c r="BR16" i="23917"/>
  <c r="BQ16" i="23917"/>
  <c r="BP16" i="23917"/>
  <c r="BO16" i="23917"/>
  <c r="BN16" i="23917"/>
  <c r="BM16" i="23917"/>
  <c r="BL16" i="23917"/>
  <c r="BK16" i="23917"/>
  <c r="BJ16" i="23917"/>
  <c r="BI16" i="23917"/>
  <c r="BH16" i="23917"/>
  <c r="BG16" i="23917"/>
  <c r="BF16" i="23917"/>
  <c r="BE16" i="23917"/>
  <c r="BD16" i="23917"/>
  <c r="BC16" i="23917"/>
  <c r="BB16" i="23917"/>
  <c r="BA16" i="23917"/>
  <c r="AZ16" i="23917"/>
  <c r="AY16" i="23917"/>
  <c r="AX16" i="23917"/>
  <c r="AW16" i="23917"/>
  <c r="AV16" i="23917"/>
  <c r="AU16" i="23917"/>
  <c r="AT16" i="23917"/>
  <c r="AS16" i="23917"/>
  <c r="AR16" i="23917"/>
  <c r="AQ16" i="23917"/>
  <c r="AP16" i="23917"/>
  <c r="AO16" i="23917"/>
  <c r="AN16" i="23917"/>
  <c r="AM16" i="23917"/>
  <c r="AL16" i="23917"/>
  <c r="AK16" i="23917"/>
  <c r="AJ16" i="23917"/>
  <c r="AI16" i="23917"/>
  <c r="AH16" i="23917"/>
  <c r="AG16" i="23917"/>
  <c r="AF16" i="23917"/>
  <c r="AE16" i="23917"/>
  <c r="AD16" i="23917"/>
  <c r="AC16" i="23917"/>
  <c r="AB16" i="23917"/>
  <c r="AA16" i="23917"/>
  <c r="Z16" i="23917"/>
  <c r="Y16" i="23917"/>
  <c r="X16" i="23917"/>
  <c r="W16" i="23917"/>
  <c r="V16" i="23917"/>
  <c r="U16" i="23917"/>
  <c r="T16" i="23917"/>
  <c r="S16" i="23917"/>
  <c r="R16" i="23917"/>
  <c r="Q16" i="23917"/>
  <c r="P16" i="23917"/>
  <c r="O16" i="23917"/>
  <c r="N16" i="23917"/>
  <c r="M16" i="23917"/>
  <c r="L16" i="23917"/>
  <c r="K16" i="23917"/>
  <c r="J16" i="23917"/>
  <c r="A16" i="23917"/>
  <c r="CS15" i="23917"/>
  <c r="CR15" i="23917"/>
  <c r="CQ15" i="23917"/>
  <c r="CP15" i="23917"/>
  <c r="CO15" i="23917"/>
  <c r="CN15" i="23917"/>
  <c r="CM15" i="23917"/>
  <c r="CL15" i="23917"/>
  <c r="CK15" i="23917"/>
  <c r="CJ15" i="23917"/>
  <c r="CI15" i="23917"/>
  <c r="CH15" i="23917"/>
  <c r="CG15" i="23917"/>
  <c r="CF15" i="23917"/>
  <c r="CE15" i="23917"/>
  <c r="CD15" i="23917"/>
  <c r="CC15" i="23917"/>
  <c r="CB15" i="23917"/>
  <c r="CA15" i="23917"/>
  <c r="BZ15" i="23917"/>
  <c r="BY15" i="23917"/>
  <c r="BX15" i="23917"/>
  <c r="BW15" i="23917"/>
  <c r="BV15" i="23917"/>
  <c r="BU15" i="23917"/>
  <c r="BT15" i="23917"/>
  <c r="BS15" i="23917"/>
  <c r="BR15" i="23917"/>
  <c r="BQ15" i="23917"/>
  <c r="BP15" i="23917"/>
  <c r="BO15" i="23917"/>
  <c r="BN15" i="23917"/>
  <c r="BM15" i="23917"/>
  <c r="BL15" i="23917"/>
  <c r="BK15" i="23917"/>
  <c r="BJ15" i="23917"/>
  <c r="BI15" i="23917"/>
  <c r="BH15" i="23917"/>
  <c r="BG15" i="23917"/>
  <c r="BF15" i="23917"/>
  <c r="BE15" i="23917"/>
  <c r="BD15" i="23917"/>
  <c r="BC15" i="23917"/>
  <c r="BB15" i="23917"/>
  <c r="BA15" i="23917"/>
  <c r="AZ15" i="23917"/>
  <c r="AY15" i="23917"/>
  <c r="AX15" i="23917"/>
  <c r="AW15" i="23917"/>
  <c r="AV15" i="23917"/>
  <c r="AU15" i="23917"/>
  <c r="AT15" i="23917"/>
  <c r="AS15" i="23917"/>
  <c r="AR15" i="23917"/>
  <c r="AQ15" i="23917"/>
  <c r="AP15" i="23917"/>
  <c r="AO15" i="23917"/>
  <c r="AN15" i="23917"/>
  <c r="AM15" i="23917"/>
  <c r="AL15" i="23917"/>
  <c r="AK15" i="23917"/>
  <c r="AJ15" i="23917"/>
  <c r="AI15" i="23917"/>
  <c r="AH15" i="23917"/>
  <c r="AG15" i="23917"/>
  <c r="AF15" i="23917"/>
  <c r="AE15" i="23917"/>
  <c r="AD15" i="23917"/>
  <c r="AC15" i="23917"/>
  <c r="AB15" i="23917"/>
  <c r="AA15" i="23917"/>
  <c r="Z15" i="23917"/>
  <c r="Y15" i="23917"/>
  <c r="X15" i="23917"/>
  <c r="W15" i="23917"/>
  <c r="V15" i="23917"/>
  <c r="U15" i="23917"/>
  <c r="T15" i="23917"/>
  <c r="S15" i="23917"/>
  <c r="R15" i="23917"/>
  <c r="Q15" i="23917"/>
  <c r="P15" i="23917"/>
  <c r="O15" i="23917"/>
  <c r="N15" i="23917"/>
  <c r="M15" i="23917"/>
  <c r="L15" i="23917"/>
  <c r="K15" i="23917"/>
  <c r="J15" i="23917"/>
  <c r="A15" i="23917"/>
  <c r="A14" i="23917"/>
  <c r="CR13" i="23917"/>
  <c r="CP13" i="23917"/>
  <c r="CN13" i="23917"/>
  <c r="CL13" i="23917"/>
  <c r="CJ13" i="23917"/>
  <c r="CH13" i="23917"/>
  <c r="CF13" i="23917"/>
  <c r="CD13" i="23917"/>
  <c r="CB13" i="23917"/>
  <c r="CA13" i="23917"/>
  <c r="BZ13" i="23917"/>
  <c r="BX13" i="23917"/>
  <c r="BV13" i="23917"/>
  <c r="BT13" i="23917"/>
  <c r="BR13" i="23917"/>
  <c r="BP13" i="23917"/>
  <c r="BO13" i="23917"/>
  <c r="BN13" i="23917"/>
  <c r="BM13" i="23917"/>
  <c r="BL13" i="23917"/>
  <c r="BK13" i="23917"/>
  <c r="BJ13" i="23917"/>
  <c r="BI13" i="23917"/>
  <c r="BH13" i="23917"/>
  <c r="BG13" i="23917"/>
  <c r="BF13" i="23917"/>
  <c r="BE13" i="23917"/>
  <c r="BD13" i="23917"/>
  <c r="BC13" i="23917"/>
  <c r="BB13" i="23917"/>
  <c r="BA13" i="23917"/>
  <c r="AZ13" i="23917"/>
  <c r="AY13" i="23917"/>
  <c r="AX13" i="23917"/>
  <c r="AW13" i="23917"/>
  <c r="AV13" i="23917"/>
  <c r="AU13" i="23917"/>
  <c r="AT13" i="23917"/>
  <c r="AS13" i="23917"/>
  <c r="AR13" i="23917"/>
  <c r="AQ13" i="23917"/>
  <c r="AP13" i="23917"/>
  <c r="AO13" i="23917"/>
  <c r="AN13" i="23917"/>
  <c r="AM13" i="23917"/>
  <c r="AL13" i="23917"/>
  <c r="AK13" i="23917"/>
  <c r="AJ13" i="23917"/>
  <c r="AI13" i="23917"/>
  <c r="AH13" i="23917"/>
  <c r="AG13" i="23917"/>
  <c r="AF13" i="23917"/>
  <c r="AE13" i="23917"/>
  <c r="AD13" i="23917"/>
  <c r="AC13" i="23917"/>
  <c r="AB13" i="23917"/>
  <c r="AA13" i="23917"/>
  <c r="Z13" i="23917"/>
  <c r="Y13" i="23917"/>
  <c r="X13" i="23917"/>
  <c r="W13" i="23917"/>
  <c r="V13" i="23917"/>
  <c r="U13" i="23917"/>
  <c r="T13" i="23917"/>
  <c r="S13" i="23917"/>
  <c r="R13" i="23917"/>
  <c r="Q13" i="23917"/>
  <c r="P13" i="23917"/>
  <c r="O13" i="23917"/>
  <c r="N13" i="23917"/>
  <c r="A13" i="23917"/>
  <c r="A12" i="23917"/>
  <c r="A11" i="23917"/>
  <c r="A10" i="23917"/>
  <c r="A9" i="23917"/>
  <c r="A8" i="23917"/>
  <c r="EM5" i="23917"/>
  <c r="EJ5" i="23917"/>
  <c r="EI5" i="23917"/>
  <c r="EH5" i="23917"/>
  <c r="EG5" i="23917"/>
  <c r="EF5" i="23917"/>
  <c r="EE5" i="23917"/>
  <c r="EB5" i="23917"/>
  <c r="EA5" i="23917"/>
  <c r="DZ5" i="23917"/>
  <c r="DY5" i="23917"/>
  <c r="DX5" i="23917"/>
  <c r="DW5" i="23917"/>
  <c r="DV5" i="23917"/>
  <c r="DU5" i="23917"/>
  <c r="DT5" i="23917"/>
  <c r="DS5" i="23917"/>
  <c r="DR5" i="23917"/>
  <c r="DQ5" i="23917"/>
  <c r="DP5" i="23917"/>
  <c r="DO5" i="23917"/>
  <c r="DN5" i="23917"/>
  <c r="DM5" i="23917"/>
  <c r="DL5" i="23917"/>
  <c r="DK5" i="23917"/>
  <c r="DJ5" i="23917"/>
  <c r="DI5" i="23917"/>
  <c r="DH5" i="23917"/>
  <c r="DG5" i="23917"/>
  <c r="DF5" i="23917"/>
  <c r="DE5" i="23917"/>
  <c r="DD5" i="23917"/>
  <c r="DC5" i="23917"/>
  <c r="CS5" i="23917"/>
  <c r="CR5" i="23917"/>
  <c r="CQ5" i="23917"/>
  <c r="CP5" i="23917"/>
  <c r="CO5" i="23917"/>
  <c r="CN5" i="23917"/>
  <c r="CM5" i="23917"/>
  <c r="CL5" i="23917"/>
  <c r="CK5" i="23917"/>
  <c r="CJ5" i="23917"/>
  <c r="CI5" i="23917"/>
  <c r="CH5" i="23917"/>
  <c r="CG5" i="23917"/>
  <c r="CF5" i="23917"/>
  <c r="CE5" i="23917"/>
  <c r="CD5" i="23917"/>
  <c r="CC5" i="23917"/>
  <c r="CB5" i="23917"/>
  <c r="CA5" i="23917"/>
  <c r="BZ5" i="23917"/>
  <c r="BY5" i="23917"/>
  <c r="BX5" i="23917"/>
  <c r="BW5" i="23917"/>
  <c r="BV5" i="23917"/>
  <c r="BU5" i="23917"/>
  <c r="BT5" i="23917"/>
  <c r="BS5" i="23917"/>
  <c r="BR5" i="23917"/>
  <c r="BQ5" i="23917"/>
  <c r="BP5" i="23917"/>
  <c r="BO5" i="23917"/>
  <c r="BN5" i="23917"/>
  <c r="BM5" i="23917"/>
  <c r="BL5" i="23917"/>
  <c r="BK5" i="23917"/>
  <c r="BJ5" i="23917"/>
  <c r="BI5" i="23917"/>
  <c r="BH5" i="23917"/>
  <c r="BG5" i="23917"/>
  <c r="BF5" i="23917"/>
  <c r="BE5" i="23917"/>
  <c r="BD5" i="23917"/>
  <c r="BC5" i="23917"/>
  <c r="BB5" i="23917"/>
  <c r="BA5" i="23917"/>
  <c r="AZ5" i="23917"/>
  <c r="AY5" i="23917"/>
  <c r="AX5" i="23917"/>
  <c r="AW5" i="23917"/>
  <c r="AV5" i="23917"/>
  <c r="AU5" i="23917"/>
  <c r="AT5" i="23917"/>
  <c r="AS5" i="23917"/>
  <c r="AR5" i="23917"/>
  <c r="AQ5" i="23917"/>
  <c r="AP5" i="23917"/>
  <c r="AO5" i="23917"/>
  <c r="AN5" i="23917"/>
  <c r="AM5" i="23917"/>
  <c r="AL5" i="23917"/>
  <c r="AK5" i="23917"/>
  <c r="AJ5" i="23917"/>
  <c r="AI5" i="23917"/>
  <c r="AH5" i="23917"/>
  <c r="AG5" i="23917"/>
  <c r="AF5" i="23917"/>
  <c r="AE5" i="23917"/>
  <c r="AD5" i="23917"/>
  <c r="AC5" i="23917"/>
  <c r="AB5" i="23917"/>
  <c r="AA5" i="23917"/>
  <c r="Z5" i="23917"/>
  <c r="Y5" i="23917"/>
  <c r="X5" i="23917"/>
  <c r="W5" i="23917"/>
  <c r="V5" i="23917"/>
  <c r="U5" i="23917"/>
  <c r="T5" i="23917"/>
  <c r="S5" i="23917"/>
  <c r="R5" i="23917"/>
  <c r="Q5" i="23917"/>
  <c r="P5" i="23917"/>
  <c r="O5" i="23917"/>
  <c r="N5" i="23917"/>
  <c r="M5" i="23917"/>
  <c r="L5" i="23917"/>
  <c r="K5" i="23917"/>
  <c r="J5" i="23917"/>
  <c r="I5" i="23917"/>
  <c r="H5" i="23917"/>
  <c r="G5" i="23917"/>
  <c r="F5" i="23917"/>
  <c r="E5" i="23917"/>
  <c r="D5" i="23917"/>
  <c r="C5" i="23917"/>
  <c r="B5" i="23917"/>
  <c r="EM4" i="23917"/>
  <c r="EM3" i="23917"/>
  <c r="EM65" i="23917" s="1"/>
  <c r="A1" i="23917"/>
  <c r="X99" i="23917"/>
  <c r="V99" i="23917"/>
  <c r="T99" i="23917"/>
  <c r="R99" i="23917"/>
  <c r="P99" i="23917"/>
  <c r="N99" i="23917"/>
  <c r="L99" i="23917"/>
  <c r="J99" i="23917"/>
  <c r="H98" i="23917"/>
  <c r="F89" i="24142"/>
  <c r="B89" i="24142"/>
  <c r="G89" i="24142"/>
  <c r="DF99" i="23917"/>
  <c r="V96" i="23917"/>
  <c r="R96" i="23917"/>
  <c r="N96" i="23917"/>
  <c r="J96" i="23917"/>
  <c r="H96" i="23917"/>
  <c r="F96" i="23917"/>
  <c r="D96" i="23917"/>
  <c r="B96" i="23917"/>
  <c r="V95" i="23917"/>
  <c r="R95" i="23917"/>
  <c r="N95" i="23917"/>
  <c r="L95" i="23917"/>
  <c r="J95" i="23917"/>
  <c r="H95" i="23917"/>
  <c r="F95" i="23917"/>
  <c r="D95" i="23917"/>
  <c r="B95" i="23917"/>
  <c r="X85" i="24142"/>
  <c r="V85" i="24142"/>
  <c r="T85" i="24142"/>
  <c r="R85" i="24142"/>
  <c r="P85" i="24142"/>
  <c r="L85" i="24142"/>
  <c r="J85" i="24142"/>
  <c r="F85" i="24142"/>
  <c r="D85" i="24142"/>
  <c r="B85" i="24142"/>
  <c r="X94" i="23917"/>
  <c r="V94" i="23917"/>
  <c r="R94" i="23917"/>
  <c r="N94" i="23917"/>
  <c r="L94" i="23917"/>
  <c r="H94" i="23917"/>
  <c r="D94" i="23917"/>
  <c r="C94" i="23917"/>
  <c r="DF91" i="23917"/>
  <c r="DF43" i="24142"/>
  <c r="DH43" i="24142"/>
  <c r="DK71" i="23917"/>
  <c r="DG71" i="23917"/>
  <c r="DC71" i="23917"/>
  <c r="CM61" i="24142"/>
  <c r="CK71" i="23917"/>
  <c r="CK61" i="24142"/>
  <c r="CI61" i="24142"/>
  <c r="CG71" i="23917"/>
  <c r="CG61" i="24142"/>
  <c r="CE61" i="24142"/>
  <c r="BY71" i="23917"/>
  <c r="BW71" i="23917"/>
  <c r="BU71" i="23917"/>
  <c r="BS71" i="23917"/>
  <c r="BO71" i="23917"/>
  <c r="BO61" i="24142"/>
  <c r="BM61" i="24142"/>
  <c r="BK71" i="23917"/>
  <c r="BK61" i="24142"/>
  <c r="BI61" i="24142"/>
  <c r="BG71" i="23917"/>
  <c r="BG61" i="24142"/>
  <c r="BE61" i="24142"/>
  <c r="BC71" i="23917"/>
  <c r="BC61" i="24142"/>
  <c r="BA61" i="24142"/>
  <c r="AY71" i="23917"/>
  <c r="AY61" i="24142"/>
  <c r="AW61" i="24142"/>
  <c r="AU71" i="23917"/>
  <c r="AU61" i="24142"/>
  <c r="AO71" i="23917"/>
  <c r="AO61" i="24142"/>
  <c r="AM71" i="23917"/>
  <c r="AM61" i="24142"/>
  <c r="AK71" i="23917"/>
  <c r="AK61" i="24142"/>
  <c r="AI71" i="23917"/>
  <c r="AI61" i="24142"/>
  <c r="AG71" i="23917"/>
  <c r="AG61" i="24142"/>
  <c r="AE71" i="23917"/>
  <c r="AE61" i="24142"/>
  <c r="AC71" i="23917"/>
  <c r="AC61" i="24142"/>
  <c r="AA71" i="23917"/>
  <c r="AA61" i="24142"/>
  <c r="Y71" i="23917"/>
  <c r="Y61" i="24142"/>
  <c r="W71" i="23917"/>
  <c r="W61" i="24142"/>
  <c r="U71" i="23917"/>
  <c r="U61" i="24142"/>
  <c r="S71" i="23917"/>
  <c r="S61" i="24142"/>
  <c r="Q71" i="23917"/>
  <c r="Q61" i="24142"/>
  <c r="O71" i="23917"/>
  <c r="O61" i="24142"/>
  <c r="M71" i="23917"/>
  <c r="M61" i="24142"/>
  <c r="K71" i="23917"/>
  <c r="K61" i="24142"/>
  <c r="I71" i="23917"/>
  <c r="I61" i="24142"/>
  <c r="G71" i="23917"/>
  <c r="G61" i="24142"/>
  <c r="E71" i="23917"/>
  <c r="E61" i="24142"/>
  <c r="C71" i="23917"/>
  <c r="C61" i="24142"/>
  <c r="AS61" i="24142"/>
  <c r="AQ61" i="24142"/>
  <c r="DY71" i="23917"/>
  <c r="DW71" i="23917"/>
  <c r="DW70" i="23917"/>
  <c r="DU70" i="23917"/>
  <c r="DQ70" i="23917"/>
  <c r="DO70" i="23917"/>
  <c r="DK70" i="23917"/>
  <c r="DG70" i="23917"/>
  <c r="DC70" i="23917"/>
  <c r="CO71" i="23917"/>
  <c r="CO61" i="24142"/>
  <c r="DY48" i="24142"/>
  <c r="DU48" i="24142"/>
  <c r="DQ48" i="24142"/>
  <c r="DM48" i="24142"/>
  <c r="DI48" i="24142"/>
  <c r="DE48" i="24142"/>
  <c r="CO48" i="24142"/>
  <c r="CM48" i="24142"/>
  <c r="CK48" i="24142"/>
  <c r="CI48" i="24142"/>
  <c r="CG48" i="24142"/>
  <c r="CE48" i="24142"/>
  <c r="CC48" i="24142"/>
  <c r="BW48" i="24142"/>
  <c r="BU48" i="24142"/>
  <c r="BS48" i="24142"/>
  <c r="BO48" i="24142"/>
  <c r="BM48" i="24142"/>
  <c r="BK48" i="24142"/>
  <c r="BI48" i="24142"/>
  <c r="BG48" i="24142"/>
  <c r="BE48" i="24142"/>
  <c r="BC48" i="24142"/>
  <c r="BA48" i="24142"/>
  <c r="AY48" i="24142"/>
  <c r="AW48" i="24142"/>
  <c r="AU48" i="24142"/>
  <c r="AS48" i="24142"/>
  <c r="AQ48" i="24142"/>
  <c r="AO48" i="24142"/>
  <c r="AM48" i="24142"/>
  <c r="AK48" i="24142"/>
  <c r="AI48" i="24142"/>
  <c r="AG48" i="24142"/>
  <c r="AE48" i="24142"/>
  <c r="AC48" i="24142"/>
  <c r="AA48" i="24142"/>
  <c r="Y48" i="24142"/>
  <c r="W48" i="24142"/>
  <c r="U48" i="24142"/>
  <c r="S48" i="24142"/>
  <c r="Q48" i="24142"/>
  <c r="O48" i="24142"/>
  <c r="M48" i="24142"/>
  <c r="K48" i="24142"/>
  <c r="I48" i="24142"/>
  <c r="G48" i="24142"/>
  <c r="E48" i="24142"/>
  <c r="C48" i="24142"/>
  <c r="A77" i="24142"/>
  <c r="DD70" i="24142"/>
  <c r="CL43" i="23917"/>
  <c r="CB43" i="23917"/>
  <c r="CA43" i="23917"/>
  <c r="BZ43" i="23917"/>
  <c r="BX43" i="23917"/>
  <c r="BR43" i="23917"/>
  <c r="BP43" i="23917"/>
  <c r="BN43" i="23917"/>
  <c r="BL43" i="23917"/>
  <c r="BJ43" i="23917"/>
  <c r="BF43" i="23917"/>
  <c r="AB43" i="23917"/>
  <c r="X43" i="23917"/>
  <c r="V43" i="23917"/>
  <c r="R43" i="23917"/>
  <c r="P43" i="23917"/>
  <c r="F43" i="23917"/>
  <c r="D43" i="23917"/>
  <c r="B43" i="23917"/>
  <c r="EH42" i="23917"/>
  <c r="EH41" i="23917"/>
  <c r="EH40" i="23917"/>
  <c r="EF42" i="23917"/>
  <c r="EF41" i="23917"/>
  <c r="CS42" i="23917"/>
  <c r="CQ42" i="23917"/>
  <c r="CQ41" i="23917"/>
  <c r="CO42" i="23917"/>
  <c r="CO41" i="23917"/>
  <c r="CO33" i="24142"/>
  <c r="CM42" i="23917"/>
  <c r="CM41" i="23917"/>
  <c r="CM40" i="23917"/>
  <c r="CM33" i="24142"/>
  <c r="CK42" i="23917"/>
  <c r="CK40" i="23917"/>
  <c r="CK33" i="24142"/>
  <c r="CI42" i="23917"/>
  <c r="CI41" i="23917"/>
  <c r="CI40" i="23917"/>
  <c r="CI33" i="24142"/>
  <c r="CG42" i="23917"/>
  <c r="CG41" i="23917"/>
  <c r="CG40" i="23917"/>
  <c r="CG33" i="24142"/>
  <c r="CE42" i="23917"/>
  <c r="CE41" i="23917"/>
  <c r="CE40" i="23917"/>
  <c r="CE33" i="24142"/>
  <c r="CC42" i="23917"/>
  <c r="CC41" i="23917"/>
  <c r="CC40" i="23917"/>
  <c r="BY42" i="23917"/>
  <c r="BY41" i="23917"/>
  <c r="BY40" i="23917"/>
  <c r="BW42" i="23917"/>
  <c r="BW41" i="23917"/>
  <c r="BW40" i="23917"/>
  <c r="BW33" i="24142"/>
  <c r="BU42" i="23917"/>
  <c r="BU41" i="23917"/>
  <c r="BU40" i="23917"/>
  <c r="BU33" i="24142"/>
  <c r="BS42" i="23917"/>
  <c r="BS41" i="23917"/>
  <c r="BS40" i="23917"/>
  <c r="BQ42" i="23917"/>
  <c r="BQ40" i="23917"/>
  <c r="BQ33" i="24142"/>
  <c r="BO42" i="23917"/>
  <c r="BO41" i="23917"/>
  <c r="BO40" i="23917"/>
  <c r="BO33" i="24142"/>
  <c r="BM42" i="23917"/>
  <c r="BM40" i="23917"/>
  <c r="BM33" i="24142"/>
  <c r="BK42" i="23917"/>
  <c r="BK40" i="23917"/>
  <c r="BK33" i="24142"/>
  <c r="BI42" i="23917"/>
  <c r="BI40" i="23917"/>
  <c r="BI33" i="24142"/>
  <c r="BG42" i="23917"/>
  <c r="BG40" i="23917"/>
  <c r="BG33" i="24142"/>
  <c r="BE42" i="23917"/>
  <c r="BE40" i="23917"/>
  <c r="BE33" i="24142"/>
  <c r="BC42" i="23917"/>
  <c r="BC40" i="23917"/>
  <c r="BC33" i="24142"/>
  <c r="BA42" i="23917"/>
  <c r="BA40" i="23917"/>
  <c r="BA33" i="24142"/>
  <c r="AY42" i="23917"/>
  <c r="AY40" i="23917"/>
  <c r="AY33" i="24142"/>
  <c r="AW42" i="23917"/>
  <c r="AW40" i="23917"/>
  <c r="AW33" i="24142"/>
  <c r="AU42" i="23917"/>
  <c r="AU40" i="23917"/>
  <c r="AU33" i="24142"/>
  <c r="AS42" i="23917"/>
  <c r="AS40" i="23917"/>
  <c r="AS33" i="24142"/>
  <c r="AQ42" i="23917"/>
  <c r="AQ40" i="23917"/>
  <c r="AQ33" i="24142"/>
  <c r="AO42" i="23917"/>
  <c r="AO40" i="23917"/>
  <c r="AM42" i="23917"/>
  <c r="AM40" i="23917"/>
  <c r="AM33" i="24142"/>
  <c r="AK42" i="23917"/>
  <c r="AK40" i="23917"/>
  <c r="AK33" i="24142"/>
  <c r="AI42" i="23917"/>
  <c r="AI40" i="23917"/>
  <c r="AI33" i="24142"/>
  <c r="AG42" i="23917"/>
  <c r="AG40" i="23917"/>
  <c r="AE42" i="23917"/>
  <c r="AE40" i="23917"/>
  <c r="AE33" i="24142"/>
  <c r="AC42" i="23917"/>
  <c r="AC40" i="23917"/>
  <c r="AC33" i="24142"/>
  <c r="AA42" i="23917"/>
  <c r="AA40" i="23917"/>
  <c r="AA33" i="24142"/>
  <c r="Y42" i="23917"/>
  <c r="Y41" i="23917"/>
  <c r="Y40" i="23917"/>
  <c r="Y33" i="24142"/>
  <c r="W42" i="23917"/>
  <c r="W41" i="23917"/>
  <c r="W40" i="23917"/>
  <c r="W33" i="24142"/>
  <c r="U42" i="23917"/>
  <c r="U40" i="23917"/>
  <c r="U33" i="24142"/>
  <c r="S42" i="23917"/>
  <c r="S40" i="23917"/>
  <c r="S33" i="24142"/>
  <c r="Q40" i="23917"/>
  <c r="Q33" i="24142"/>
  <c r="O41" i="23917"/>
  <c r="O40" i="23917"/>
  <c r="O33" i="24142"/>
  <c r="M41" i="23917"/>
  <c r="M40" i="23917"/>
  <c r="M33" i="24142"/>
  <c r="K40" i="23917"/>
  <c r="K33" i="24142"/>
  <c r="I40" i="23917"/>
  <c r="I33" i="24142"/>
  <c r="G40" i="23917"/>
  <c r="G33" i="24142"/>
  <c r="E40" i="23917"/>
  <c r="E33" i="24142"/>
  <c r="C40" i="23917"/>
  <c r="C33" i="24142"/>
  <c r="EM42" i="23917"/>
  <c r="DX42" i="23917"/>
  <c r="DU42" i="23917"/>
  <c r="DT42" i="23917"/>
  <c r="DQ42" i="23917"/>
  <c r="DP42" i="23917"/>
  <c r="DL42" i="23917"/>
  <c r="DJ42" i="23917"/>
  <c r="DQ41" i="23917"/>
  <c r="DW40" i="23917"/>
  <c r="DS40" i="23917"/>
  <c r="DO40" i="23917"/>
  <c r="DD40" i="23917"/>
  <c r="CO40" i="23917"/>
  <c r="EJ42" i="23917"/>
  <c r="EJ41" i="23917"/>
  <c r="EJ40" i="23917"/>
  <c r="DY39" i="23917"/>
  <c r="DW33" i="24142"/>
  <c r="DS33" i="24142"/>
  <c r="DO33" i="24142"/>
  <c r="DG33" i="24142"/>
  <c r="DC33" i="24142"/>
  <c r="DK33" i="24142"/>
  <c r="EJ22" i="24142"/>
  <c r="EH22" i="24142"/>
  <c r="EF22" i="24142"/>
  <c r="CM22" i="24142"/>
  <c r="CK22" i="24142"/>
  <c r="CI22" i="24142"/>
  <c r="CG22" i="24142"/>
  <c r="CE22" i="24142"/>
  <c r="BY25" i="23917"/>
  <c r="BU25" i="23917"/>
  <c r="BO22" i="24142"/>
  <c r="BM22" i="24142"/>
  <c r="BK22" i="24142"/>
  <c r="BI22" i="24142"/>
  <c r="BG22" i="24142"/>
  <c r="BE22" i="24142"/>
  <c r="BC22" i="24142"/>
  <c r="BA22" i="24142"/>
  <c r="AY22" i="24142"/>
  <c r="AW22" i="24142"/>
  <c r="AU22" i="24142"/>
  <c r="AS22" i="24142"/>
  <c r="AQ22" i="24142"/>
  <c r="AO22" i="24142"/>
  <c r="AM22" i="24142"/>
  <c r="AK22" i="24142"/>
  <c r="AI22" i="24142"/>
  <c r="AG22" i="24142"/>
  <c r="AE22" i="24142"/>
  <c r="CS22" i="24142"/>
  <c r="CQ22" i="24142"/>
  <c r="CO22" i="24142"/>
  <c r="EG21" i="23917"/>
  <c r="DA21" i="23917"/>
  <c r="CY21" i="23917"/>
  <c r="CW21" i="23917"/>
  <c r="BX21" i="23917"/>
  <c r="BT21" i="23917"/>
  <c r="BR21" i="23917"/>
  <c r="BP21" i="23917"/>
  <c r="BN21" i="23917"/>
  <c r="BL21" i="23917"/>
  <c r="BH21" i="23917"/>
  <c r="BB21" i="23917"/>
  <c r="AV21" i="23917"/>
  <c r="AP21" i="23917"/>
  <c r="AL21" i="23917"/>
  <c r="AQ21" i="23917"/>
  <c r="CA21" i="23917"/>
  <c r="BZ21" i="23917"/>
  <c r="AB21" i="23917"/>
  <c r="V21" i="23917"/>
  <c r="R21" i="23917"/>
  <c r="P21" i="23917"/>
  <c r="N21" i="23917"/>
  <c r="J21" i="23917"/>
  <c r="D21" i="23917"/>
  <c r="B21" i="23917"/>
  <c r="EJ18" i="24142"/>
  <c r="EH18" i="24142"/>
  <c r="EF18" i="24142"/>
  <c r="DY18" i="24142"/>
  <c r="DW18" i="24142"/>
  <c r="DU18" i="24142"/>
  <c r="DS18" i="24142"/>
  <c r="DQ18" i="24142"/>
  <c r="DO18" i="24142"/>
  <c r="CS18" i="24142"/>
  <c r="CQ18" i="24142"/>
  <c r="CO18" i="24142"/>
  <c r="CM18" i="24142"/>
  <c r="CK18" i="24142"/>
  <c r="CI18" i="24142"/>
  <c r="CG18" i="24142"/>
  <c r="CE18" i="24142"/>
  <c r="CC18" i="24142"/>
  <c r="BW18" i="24142"/>
  <c r="BS18" i="24142"/>
  <c r="BO18" i="24142"/>
  <c r="BM18" i="24142"/>
  <c r="BK18" i="24142"/>
  <c r="BI18" i="24142"/>
  <c r="BG18" i="24142"/>
  <c r="BE18" i="24142"/>
  <c r="BC18" i="24142"/>
  <c r="BA18" i="24142"/>
  <c r="AY18" i="24142"/>
  <c r="AW18" i="24142"/>
  <c r="AU18" i="24142"/>
  <c r="AS18" i="24142"/>
  <c r="CS13" i="23917"/>
  <c r="CQ13" i="23917"/>
  <c r="CO13" i="23917"/>
  <c r="CM13" i="23917"/>
  <c r="CK13" i="23917"/>
  <c r="CI13" i="23917"/>
  <c r="CG13" i="23917"/>
  <c r="CE13" i="23917"/>
  <c r="CC13" i="23917"/>
  <c r="BY13" i="23917"/>
  <c r="BW13" i="23917"/>
  <c r="BU13" i="23917"/>
  <c r="BS13" i="23917"/>
  <c r="BQ13" i="23917"/>
  <c r="Z21" i="23917"/>
  <c r="CS554" i="23917"/>
  <c r="CQ554" i="23917"/>
  <c r="CO554" i="23917"/>
  <c r="CM554" i="23917"/>
  <c r="CK554" i="23917"/>
  <c r="CI554" i="23917"/>
  <c r="CG554" i="23917"/>
  <c r="CE554" i="23917"/>
  <c r="CC554" i="23917"/>
  <c r="CC486" i="24142"/>
  <c r="BY554" i="23917"/>
  <c r="BW554" i="23917"/>
  <c r="BW486" i="24142"/>
  <c r="BU554" i="23917"/>
  <c r="BS554" i="23917"/>
  <c r="BS486" i="24142"/>
  <c r="BQ554" i="23917"/>
  <c r="BO554" i="23917"/>
  <c r="BM554" i="23917"/>
  <c r="BK554" i="23917"/>
  <c r="BI554" i="23917"/>
  <c r="BG554" i="23917"/>
  <c r="BE554" i="23917"/>
  <c r="BC554" i="23917"/>
  <c r="BA554" i="23917"/>
  <c r="AY554" i="23917"/>
  <c r="AW554" i="23917"/>
  <c r="AU554" i="23917"/>
  <c r="AS554" i="23917"/>
  <c r="AQ554" i="23917"/>
  <c r="AO554" i="23917"/>
  <c r="AM554" i="23917"/>
  <c r="AK554" i="23917"/>
  <c r="AI554" i="23917"/>
  <c r="AG554" i="23917"/>
  <c r="AE554" i="23917"/>
  <c r="AC554" i="23917"/>
  <c r="AA554" i="23917"/>
  <c r="H554" i="23917"/>
  <c r="F554" i="23917"/>
  <c r="ED554" i="23917"/>
  <c r="DY554" i="23917"/>
  <c r="DW554" i="23917"/>
  <c r="DU554" i="23917"/>
  <c r="DS554" i="23917"/>
  <c r="DQ554" i="23917"/>
  <c r="DO554" i="23917"/>
  <c r="DM554" i="23917"/>
  <c r="DK554" i="23917"/>
  <c r="DI554" i="23917"/>
  <c r="DG554" i="23917"/>
  <c r="B16" i="24142"/>
  <c r="EM13" i="24142"/>
  <c r="K317" i="24142"/>
  <c r="I317" i="24142"/>
  <c r="I310" i="24142"/>
  <c r="K304" i="24142"/>
  <c r="I304" i="24142"/>
  <c r="B12" i="23917"/>
  <c r="EG290" i="24142"/>
  <c r="BQ271" i="24142"/>
  <c r="CM266" i="24142"/>
  <c r="BY264" i="24142"/>
  <c r="BU264" i="24142"/>
  <c r="BQ264" i="24142"/>
  <c r="CO187" i="24142"/>
  <c r="CM187" i="24142"/>
  <c r="CK187" i="24142"/>
  <c r="CD21" i="23917"/>
  <c r="BW187" i="24142"/>
  <c r="BS187" i="24142"/>
  <c r="BO187" i="24142"/>
  <c r="BM187" i="24142"/>
  <c r="BK187" i="24142"/>
  <c r="BI187" i="24142"/>
  <c r="BC187" i="24142"/>
  <c r="BA187" i="24142"/>
  <c r="AY187" i="24142"/>
  <c r="AW187" i="24142"/>
  <c r="AT21" i="23917"/>
  <c r="AQ187" i="24142"/>
  <c r="AM187" i="24142"/>
  <c r="AI187" i="24142"/>
  <c r="AE187" i="24142"/>
  <c r="AA187" i="24142"/>
  <c r="W187" i="24142"/>
  <c r="S187" i="24142"/>
  <c r="O187" i="24142"/>
  <c r="I187" i="24142"/>
  <c r="CI187" i="24142"/>
  <c r="CG187" i="24142"/>
  <c r="CE187" i="24142"/>
  <c r="BG187" i="24142"/>
  <c r="BE187" i="24142"/>
  <c r="AU187" i="24142"/>
  <c r="G187" i="24142"/>
  <c r="E187" i="24142"/>
  <c r="DY187" i="24142"/>
  <c r="DW187" i="24142"/>
  <c r="DU187" i="24142"/>
  <c r="DS187" i="24142"/>
  <c r="DQ187" i="24142"/>
  <c r="DO187" i="24142"/>
  <c r="DM187" i="24142"/>
  <c r="DK187" i="24142"/>
  <c r="DI187" i="24142"/>
  <c r="DG187" i="24142"/>
  <c r="DC187" i="24142"/>
  <c r="CM184" i="24142"/>
  <c r="CM180" i="24142"/>
  <c r="CK184" i="24142"/>
  <c r="CK180" i="24142"/>
  <c r="CI184" i="24142"/>
  <c r="CI180" i="24142"/>
  <c r="CG184" i="24142"/>
  <c r="CG180" i="24142"/>
  <c r="CE184" i="24142"/>
  <c r="CE180" i="24142"/>
  <c r="CC180" i="24142"/>
  <c r="BY180" i="24142"/>
  <c r="BW180" i="24142"/>
  <c r="BU180" i="24142"/>
  <c r="BS180" i="24142"/>
  <c r="BQ180" i="24142"/>
  <c r="BO184" i="24142"/>
  <c r="BO180" i="24142"/>
  <c r="BM184" i="24142"/>
  <c r="BM180" i="24142"/>
  <c r="BK184" i="24142"/>
  <c r="BK180" i="24142"/>
  <c r="BI184" i="24142"/>
  <c r="BI180" i="24142"/>
  <c r="BG184" i="24142"/>
  <c r="BG180" i="24142"/>
  <c r="BE184" i="24142"/>
  <c r="BE180" i="24142"/>
  <c r="BC184" i="24142"/>
  <c r="BC180" i="24142"/>
  <c r="BA184" i="24142"/>
  <c r="BA180" i="24142"/>
  <c r="AY184" i="24142"/>
  <c r="AY180" i="24142"/>
  <c r="AW184" i="24142"/>
  <c r="AW180" i="24142"/>
  <c r="AU184" i="24142"/>
  <c r="AU180" i="24142"/>
  <c r="AS184" i="24142"/>
  <c r="AS180" i="24142"/>
  <c r="AQ184" i="24142"/>
  <c r="AQ180" i="24142"/>
  <c r="AO184" i="24142"/>
  <c r="AO180" i="24142"/>
  <c r="AM184" i="24142"/>
  <c r="AM180" i="24142"/>
  <c r="AK184" i="24142"/>
  <c r="AK180" i="24142"/>
  <c r="AI184" i="24142"/>
  <c r="AI180" i="24142"/>
  <c r="AG184" i="24142"/>
  <c r="AG180" i="24142"/>
  <c r="AE184" i="24142"/>
  <c r="AE180" i="24142"/>
  <c r="AC184" i="24142"/>
  <c r="AC180" i="24142"/>
  <c r="AA184" i="24142"/>
  <c r="AA180" i="24142"/>
  <c r="Y184" i="24142"/>
  <c r="Y180" i="24142"/>
  <c r="W184" i="24142"/>
  <c r="W180" i="24142"/>
  <c r="U184" i="24142"/>
  <c r="U180" i="24142"/>
  <c r="S184" i="24142"/>
  <c r="S180" i="24142"/>
  <c r="Q184" i="24142"/>
  <c r="Q180" i="24142"/>
  <c r="O184" i="24142"/>
  <c r="O180" i="24142"/>
  <c r="M184" i="24142"/>
  <c r="M180" i="24142"/>
  <c r="K184" i="24142"/>
  <c r="K180" i="24142"/>
  <c r="I184" i="24142"/>
  <c r="I180" i="24142"/>
  <c r="G184" i="24142"/>
  <c r="G180" i="24142"/>
  <c r="E184" i="24142"/>
  <c r="E180" i="24142"/>
  <c r="C184" i="24142"/>
  <c r="C180" i="24142"/>
  <c r="CN118" i="23917"/>
  <c r="CL118" i="23917"/>
  <c r="CH118" i="23917"/>
  <c r="CD118" i="23917"/>
  <c r="BX118" i="23917"/>
  <c r="BP118" i="23917"/>
  <c r="BN118" i="23917"/>
  <c r="BL118" i="23917"/>
  <c r="BB118" i="23917"/>
  <c r="AZ118" i="23917"/>
  <c r="AX118" i="23917"/>
  <c r="AT118" i="23917"/>
  <c r="AR118" i="23917"/>
  <c r="AP118" i="23917"/>
  <c r="AL118" i="23917"/>
  <c r="AJ118" i="23917"/>
  <c r="AH118" i="23917"/>
  <c r="AD118" i="23917"/>
  <c r="AB118" i="23917"/>
  <c r="Z118" i="23917"/>
  <c r="V118" i="23917"/>
  <c r="T118" i="23917"/>
  <c r="R118" i="23917"/>
  <c r="N118" i="23917"/>
  <c r="L118" i="23917"/>
  <c r="J118" i="23917"/>
  <c r="F118" i="23917"/>
  <c r="D118" i="23917"/>
  <c r="B118" i="23917"/>
  <c r="CB118" i="23917"/>
  <c r="A181" i="24142"/>
  <c r="DY180" i="24142"/>
  <c r="DW180" i="24142"/>
  <c r="DU180" i="24142"/>
  <c r="DS180" i="24142"/>
  <c r="DQ180" i="24142"/>
  <c r="DM180" i="24142"/>
  <c r="DK180" i="24142"/>
  <c r="DI180" i="24142"/>
  <c r="DG180" i="24142"/>
  <c r="DE180" i="24142"/>
  <c r="DC180" i="24142"/>
  <c r="CO184" i="24142"/>
  <c r="CO180" i="24142"/>
  <c r="CS209" i="24142"/>
  <c r="CS208" i="24142"/>
  <c r="CQ209" i="24142"/>
  <c r="CQ208" i="24142"/>
  <c r="CJ148" i="23917"/>
  <c r="CF148" i="23917"/>
  <c r="CB148" i="23917"/>
  <c r="BZ210" i="24142"/>
  <c r="BV148" i="23917"/>
  <c r="BR148" i="23917"/>
  <c r="CM209" i="24142"/>
  <c r="CM208" i="24142"/>
  <c r="CK209" i="24142"/>
  <c r="CK208" i="24142"/>
  <c r="CI209" i="24142"/>
  <c r="CI208" i="24142"/>
  <c r="CG209" i="24142"/>
  <c r="CG208" i="24142"/>
  <c r="CE209" i="24142"/>
  <c r="CE208" i="24142"/>
  <c r="CC209" i="24142"/>
  <c r="BY209" i="24142"/>
  <c r="BW209" i="24142"/>
  <c r="BU209" i="24142"/>
  <c r="BS209" i="24142"/>
  <c r="BQ209" i="24142"/>
  <c r="BO209" i="24142"/>
  <c r="BO208" i="24142"/>
  <c r="BM209" i="24142"/>
  <c r="BM208" i="24142"/>
  <c r="BK209" i="24142"/>
  <c r="BK208" i="24142"/>
  <c r="BI209" i="24142"/>
  <c r="BI208" i="24142"/>
  <c r="BG209" i="24142"/>
  <c r="BG208" i="24142"/>
  <c r="BE209" i="24142"/>
  <c r="BE208" i="24142"/>
  <c r="BC209" i="24142"/>
  <c r="BC208" i="24142"/>
  <c r="BA209" i="24142"/>
  <c r="BA208" i="24142"/>
  <c r="AY209" i="24142"/>
  <c r="AY208" i="24142"/>
  <c r="AW209" i="24142"/>
  <c r="AW208" i="24142"/>
  <c r="AU209" i="24142"/>
  <c r="AU208" i="24142"/>
  <c r="AS209" i="24142"/>
  <c r="AS208" i="24142"/>
  <c r="AQ209" i="24142"/>
  <c r="AQ208" i="24142"/>
  <c r="AO209" i="24142"/>
  <c r="AO208" i="24142"/>
  <c r="AM209" i="24142"/>
  <c r="AM208" i="24142"/>
  <c r="AK209" i="24142"/>
  <c r="AK208" i="24142"/>
  <c r="AI209" i="24142"/>
  <c r="AI208" i="24142"/>
  <c r="AG209" i="24142"/>
  <c r="AG208" i="24142"/>
  <c r="AE209" i="24142"/>
  <c r="AE208" i="24142"/>
  <c r="AC209" i="24142"/>
  <c r="AC208" i="24142"/>
  <c r="AA209" i="24142"/>
  <c r="AA208" i="24142"/>
  <c r="Y209" i="24142"/>
  <c r="Y208" i="24142"/>
  <c r="W209" i="24142"/>
  <c r="W208" i="24142"/>
  <c r="U209" i="24142"/>
  <c r="U208" i="24142"/>
  <c r="S209" i="24142"/>
  <c r="S208" i="24142"/>
  <c r="Q209" i="24142"/>
  <c r="Q208" i="24142"/>
  <c r="M209" i="24142"/>
  <c r="M208" i="24142"/>
  <c r="K209" i="24142"/>
  <c r="K208" i="24142"/>
  <c r="I209" i="24142"/>
  <c r="I208" i="24142"/>
  <c r="C209" i="24142"/>
  <c r="C208" i="24142"/>
  <c r="DM147" i="23917"/>
  <c r="DI147" i="23917"/>
  <c r="DG209" i="24142"/>
  <c r="DC147" i="23917"/>
  <c r="E209" i="24142"/>
  <c r="E208" i="24142"/>
  <c r="I176" i="24142"/>
  <c r="I174" i="24142"/>
  <c r="G176" i="24142"/>
  <c r="G174" i="24142"/>
  <c r="E176" i="24142"/>
  <c r="E174" i="24142"/>
  <c r="C176" i="24142"/>
  <c r="C174" i="24142"/>
  <c r="CM176" i="24142"/>
  <c r="CM174" i="24142"/>
  <c r="CK176" i="24142"/>
  <c r="CK174" i="24142"/>
  <c r="CI176" i="24142"/>
  <c r="CI174" i="24142"/>
  <c r="CG176" i="24142"/>
  <c r="CG174" i="24142"/>
  <c r="CE176" i="24142"/>
  <c r="CE174" i="24142"/>
  <c r="CC176" i="24142"/>
  <c r="BY174" i="24142"/>
  <c r="BW176" i="24142"/>
  <c r="BU174" i="24142"/>
  <c r="BS176" i="24142"/>
  <c r="BQ174" i="24142"/>
  <c r="BO176" i="24142"/>
  <c r="BO174" i="24142"/>
  <c r="BM176" i="24142"/>
  <c r="BM174" i="24142"/>
  <c r="BK176" i="24142"/>
  <c r="BK174" i="24142"/>
  <c r="BI176" i="24142"/>
  <c r="BI174" i="24142"/>
  <c r="BG176" i="24142"/>
  <c r="BG174" i="24142"/>
  <c r="BE176" i="24142"/>
  <c r="BE174" i="24142"/>
  <c r="BC176" i="24142"/>
  <c r="BC174" i="24142"/>
  <c r="BA176" i="24142"/>
  <c r="BA174" i="24142"/>
  <c r="AY176" i="24142"/>
  <c r="AY174" i="24142"/>
  <c r="AW174" i="24142"/>
  <c r="AU176" i="24142"/>
  <c r="AS174" i="24142"/>
  <c r="AQ176" i="24142"/>
  <c r="AO174" i="24142"/>
  <c r="AM176" i="24142"/>
  <c r="AK174" i="24142"/>
  <c r="AI176" i="24142"/>
  <c r="AG174" i="24142"/>
  <c r="AE176" i="24142"/>
  <c r="AC174" i="24142"/>
  <c r="AA176" i="24142"/>
  <c r="Y174" i="24142"/>
  <c r="W176" i="24142"/>
  <c r="U174" i="24142"/>
  <c r="S176" i="24142"/>
  <c r="Q174" i="24142"/>
  <c r="O176" i="24142"/>
  <c r="M174" i="24142"/>
  <c r="K176" i="24142"/>
  <c r="DY181" i="24142"/>
  <c r="DW181" i="24142"/>
  <c r="DU181" i="24142"/>
  <c r="DS181" i="24142"/>
  <c r="DQ181" i="24142"/>
  <c r="DO181" i="24142"/>
  <c r="DM181" i="24142"/>
  <c r="DK181" i="24142"/>
  <c r="DI181" i="24142"/>
  <c r="DG181" i="24142"/>
  <c r="DE181" i="24142"/>
  <c r="DY176" i="24142"/>
  <c r="DU176" i="24142"/>
  <c r="DQ176" i="24142"/>
  <c r="DM176" i="24142"/>
  <c r="DI176" i="24142"/>
  <c r="DE176" i="24142"/>
  <c r="DY174" i="24142"/>
  <c r="DW174" i="24142"/>
  <c r="DU174" i="24142"/>
  <c r="DS174" i="24142"/>
  <c r="DQ174" i="24142"/>
  <c r="DO174" i="24142"/>
  <c r="DM174" i="24142"/>
  <c r="DK174" i="24142"/>
  <c r="DI174" i="24142"/>
  <c r="DG174" i="24142"/>
  <c r="CO176" i="24142"/>
  <c r="CO174" i="24142"/>
  <c r="J184" i="23917"/>
  <c r="J251" i="24142"/>
  <c r="BZ249" i="24142"/>
  <c r="DQ246" i="24142"/>
  <c r="DQ244" i="24142"/>
  <c r="DQ242" i="24142"/>
  <c r="DQ243" i="24142"/>
  <c r="DQ241" i="24142"/>
  <c r="CM246" i="24142"/>
  <c r="CM244" i="24142"/>
  <c r="CM242" i="24142"/>
  <c r="CM243" i="24142"/>
  <c r="CM241" i="24142"/>
  <c r="CK246" i="24142"/>
  <c r="CK244" i="24142"/>
  <c r="CK242" i="24142"/>
  <c r="CK243" i="24142"/>
  <c r="CK241" i="24142"/>
  <c r="CI246" i="24142"/>
  <c r="CI244" i="24142"/>
  <c r="CI242" i="24142"/>
  <c r="CI243" i="24142"/>
  <c r="CI241" i="24142"/>
  <c r="CG246" i="24142"/>
  <c r="CG244" i="24142"/>
  <c r="CG242" i="24142"/>
  <c r="CG243" i="24142"/>
  <c r="CG241" i="24142"/>
  <c r="CE246" i="24142"/>
  <c r="CE244" i="24142"/>
  <c r="CE242" i="24142"/>
  <c r="CE243" i="24142"/>
  <c r="CE241" i="24142"/>
  <c r="CC246" i="24142"/>
  <c r="CC243" i="24142"/>
  <c r="BY246" i="24142"/>
  <c r="BY243" i="24142"/>
  <c r="BW246" i="24142"/>
  <c r="BW244" i="24142"/>
  <c r="BW243" i="24142"/>
  <c r="BU246" i="24142"/>
  <c r="BU244" i="24142"/>
  <c r="BU243" i="24142"/>
  <c r="BS246" i="24142"/>
  <c r="BS244" i="24142"/>
  <c r="BS243" i="24142"/>
  <c r="BQ246" i="24142"/>
  <c r="BQ244" i="24142"/>
  <c r="BQ243" i="24142"/>
  <c r="BA246" i="24142"/>
  <c r="BA244" i="24142"/>
  <c r="BA242" i="24142"/>
  <c r="BA243" i="24142"/>
  <c r="BA241" i="24142"/>
  <c r="AY246" i="24142"/>
  <c r="AY244" i="24142"/>
  <c r="AY242" i="24142"/>
  <c r="AY243" i="24142"/>
  <c r="AY241" i="24142"/>
  <c r="AW246" i="24142"/>
  <c r="AW244" i="24142"/>
  <c r="AW242" i="24142"/>
  <c r="AW243" i="24142"/>
  <c r="AW241" i="24142"/>
  <c r="CQ246" i="24142"/>
  <c r="CO246" i="24142"/>
  <c r="BO244" i="24142"/>
  <c r="BO242" i="24142"/>
  <c r="BO243" i="24142"/>
  <c r="BO241" i="24142"/>
  <c r="BM244" i="24142"/>
  <c r="BM242" i="24142"/>
  <c r="BM243" i="24142"/>
  <c r="BM241" i="24142"/>
  <c r="BK244" i="24142"/>
  <c r="BK242" i="24142"/>
  <c r="BK243" i="24142"/>
  <c r="BK241" i="24142"/>
  <c r="BI244" i="24142"/>
  <c r="BI242" i="24142"/>
  <c r="BI243" i="24142"/>
  <c r="BI241" i="24142"/>
  <c r="BG244" i="24142"/>
  <c r="BG242" i="24142"/>
  <c r="BG243" i="24142"/>
  <c r="BG241" i="24142"/>
  <c r="BE244" i="24142"/>
  <c r="BE242" i="24142"/>
  <c r="BE243" i="24142"/>
  <c r="BE241" i="24142"/>
  <c r="BC244" i="24142"/>
  <c r="BC242" i="24142"/>
  <c r="BC243" i="24142"/>
  <c r="BC241" i="24142"/>
  <c r="AU244" i="24142"/>
  <c r="AU242" i="24142"/>
  <c r="AU243" i="24142"/>
  <c r="AU241" i="24142"/>
  <c r="AS244" i="24142"/>
  <c r="AS242" i="24142"/>
  <c r="AS243" i="24142"/>
  <c r="AS241" i="24142"/>
  <c r="AQ244" i="24142"/>
  <c r="AQ242" i="24142"/>
  <c r="AQ243" i="24142"/>
  <c r="AQ241" i="24142"/>
  <c r="AO244" i="24142"/>
  <c r="AO242" i="24142"/>
  <c r="AO243" i="24142"/>
  <c r="AO241" i="24142"/>
  <c r="AM244" i="24142"/>
  <c r="AM242" i="24142"/>
  <c r="AM243" i="24142"/>
  <c r="AM241" i="24142"/>
  <c r="AK244" i="24142"/>
  <c r="AK242" i="24142"/>
  <c r="AK243" i="24142"/>
  <c r="AK241" i="24142"/>
  <c r="AI244" i="24142"/>
  <c r="AI242" i="24142"/>
  <c r="AI243" i="24142"/>
  <c r="AI241" i="24142"/>
  <c r="AG244" i="24142"/>
  <c r="AG242" i="24142"/>
  <c r="AG243" i="24142"/>
  <c r="AG241" i="24142"/>
  <c r="AE244" i="24142"/>
  <c r="AE242" i="24142"/>
  <c r="AE243" i="24142"/>
  <c r="AE241" i="24142"/>
  <c r="AC244" i="24142"/>
  <c r="AC242" i="24142"/>
  <c r="AC243" i="24142"/>
  <c r="AC241" i="24142"/>
  <c r="AA244" i="24142"/>
  <c r="AA242" i="24142"/>
  <c r="AA243" i="24142"/>
  <c r="AA241" i="24142"/>
  <c r="Y244" i="24142"/>
  <c r="Y242" i="24142"/>
  <c r="Y243" i="24142"/>
  <c r="Y241" i="24142"/>
  <c r="W244" i="24142"/>
  <c r="W242" i="24142"/>
  <c r="W243" i="24142"/>
  <c r="W241" i="24142"/>
  <c r="U244" i="24142"/>
  <c r="U242" i="24142"/>
  <c r="U243" i="24142"/>
  <c r="U241" i="24142"/>
  <c r="S244" i="24142"/>
  <c r="S242" i="24142"/>
  <c r="S243" i="24142"/>
  <c r="S241" i="24142"/>
  <c r="Q244" i="24142"/>
  <c r="Q242" i="24142"/>
  <c r="Q243" i="24142"/>
  <c r="Q241" i="24142"/>
  <c r="O244" i="24142"/>
  <c r="O242" i="24142"/>
  <c r="O243" i="24142"/>
  <c r="O241" i="24142"/>
  <c r="M244" i="24142"/>
  <c r="M242" i="24142"/>
  <c r="M243" i="24142"/>
  <c r="M241" i="24142"/>
  <c r="K244" i="24142"/>
  <c r="K242" i="24142"/>
  <c r="K243" i="24142"/>
  <c r="K241" i="24142"/>
  <c r="I244" i="24142"/>
  <c r="I242" i="24142"/>
  <c r="I243" i="24142"/>
  <c r="I241" i="24142"/>
  <c r="G244" i="24142"/>
  <c r="G242" i="24142"/>
  <c r="G243" i="24142"/>
  <c r="G241" i="24142"/>
  <c r="E244" i="24142"/>
  <c r="E242" i="24142"/>
  <c r="E243" i="24142"/>
  <c r="E241" i="24142"/>
  <c r="C244" i="24142"/>
  <c r="C242" i="24142"/>
  <c r="C243" i="24142"/>
  <c r="C241" i="24142"/>
  <c r="DY244" i="24142"/>
  <c r="DW244" i="24142"/>
  <c r="DU244" i="24142"/>
  <c r="DS244" i="24142"/>
  <c r="DY242" i="24142"/>
  <c r="DW178" i="23917"/>
  <c r="DS178" i="23917"/>
  <c r="DY243" i="24142"/>
  <c r="DW243" i="24142"/>
  <c r="DU243" i="24142"/>
  <c r="DS243" i="24142"/>
  <c r="DY241" i="24142"/>
  <c r="DW241" i="24142"/>
  <c r="DU241" i="24142"/>
  <c r="DS241" i="24142"/>
  <c r="DM244" i="24142"/>
  <c r="DK244" i="24142"/>
  <c r="DI244" i="24142"/>
  <c r="DO242" i="24142"/>
  <c r="DK242" i="24142"/>
  <c r="DI242" i="24142"/>
  <c r="DO243" i="24142"/>
  <c r="DM243" i="24142"/>
  <c r="DK243" i="24142"/>
  <c r="DI243" i="24142"/>
  <c r="DO241" i="24142"/>
  <c r="DM177" i="23917"/>
  <c r="DK241" i="24142"/>
  <c r="DI177" i="23917"/>
  <c r="DE244" i="24142"/>
  <c r="DE242" i="24142"/>
  <c r="DG243" i="24142"/>
  <c r="DE243" i="24142"/>
  <c r="DE177" i="23917"/>
  <c r="DC180" i="23917"/>
  <c r="DC242" i="24142"/>
  <c r="DC243" i="24142"/>
  <c r="DC241" i="24142"/>
  <c r="DC240" i="24142"/>
  <c r="L240" i="24142"/>
  <c r="J237" i="24142"/>
  <c r="BZ235" i="24142"/>
  <c r="BX235" i="24142"/>
  <c r="BV235" i="24142"/>
  <c r="BT235" i="24142"/>
  <c r="BR235" i="24142"/>
  <c r="BP235" i="24142"/>
  <c r="BN235" i="24142"/>
  <c r="BL235" i="24142"/>
  <c r="BJ235" i="24142"/>
  <c r="BH235" i="24142"/>
  <c r="BF235" i="24142"/>
  <c r="BD235" i="24142"/>
  <c r="BB235" i="24142"/>
  <c r="AZ235" i="24142"/>
  <c r="AX235" i="24142"/>
  <c r="AV235" i="24142"/>
  <c r="AT235" i="24142"/>
  <c r="AR235" i="24142"/>
  <c r="AP235" i="24142"/>
  <c r="AN235" i="24142"/>
  <c r="AL235" i="24142"/>
  <c r="AJ235" i="24142"/>
  <c r="AH235" i="24142"/>
  <c r="AF235" i="24142"/>
  <c r="AD235" i="24142"/>
  <c r="AB235" i="24142"/>
  <c r="Z235" i="24142"/>
  <c r="X235" i="24142"/>
  <c r="V235" i="24142"/>
  <c r="T235" i="24142"/>
  <c r="R235" i="24142"/>
  <c r="P235" i="24142"/>
  <c r="N235" i="24142"/>
  <c r="L235" i="24142"/>
  <c r="J235" i="24142"/>
  <c r="H235" i="24142"/>
  <c r="F235" i="24142"/>
  <c r="D235" i="24142"/>
  <c r="B235" i="24142"/>
  <c r="DQ232" i="24142"/>
  <c r="DQ230" i="24142"/>
  <c r="DQ228" i="24142"/>
  <c r="DQ166" i="23917"/>
  <c r="DQ229" i="24142"/>
  <c r="DO228" i="24142"/>
  <c r="DO229" i="24142"/>
  <c r="DM232" i="24142"/>
  <c r="DM230" i="24142"/>
  <c r="DM228" i="24142"/>
  <c r="DM166" i="23917"/>
  <c r="DM229" i="24142"/>
  <c r="DK228" i="24142"/>
  <c r="DK229" i="24142"/>
  <c r="DI232" i="24142"/>
  <c r="DI230" i="24142"/>
  <c r="DI228" i="24142"/>
  <c r="DI166" i="23917"/>
  <c r="DR228" i="24142"/>
  <c r="DP228" i="24142"/>
  <c r="DN228" i="24142"/>
  <c r="DL228" i="24142"/>
  <c r="CM232" i="24142"/>
  <c r="CM230" i="24142"/>
  <c r="CM228" i="24142"/>
  <c r="CM166" i="23917"/>
  <c r="CM229" i="24142"/>
  <c r="CK232" i="24142"/>
  <c r="CK230" i="24142"/>
  <c r="CK228" i="24142"/>
  <c r="CK166" i="23917"/>
  <c r="CK229" i="24142"/>
  <c r="CI232" i="24142"/>
  <c r="CI230" i="24142"/>
  <c r="CI228" i="24142"/>
  <c r="CI166" i="23917"/>
  <c r="CI229" i="24142"/>
  <c r="CG232" i="24142"/>
  <c r="CG230" i="24142"/>
  <c r="CG228" i="24142"/>
  <c r="CG166" i="23917"/>
  <c r="CG229" i="24142"/>
  <c r="CE232" i="24142"/>
  <c r="CE230" i="24142"/>
  <c r="CE228" i="24142"/>
  <c r="CE166" i="23917"/>
  <c r="CE229" i="24142"/>
  <c r="CC232" i="24142"/>
  <c r="CC230" i="24142"/>
  <c r="CC166" i="23917"/>
  <c r="CC227" i="24142"/>
  <c r="BY232" i="24142"/>
  <c r="BY230" i="24142"/>
  <c r="BY166" i="23917"/>
  <c r="BY227" i="24142"/>
  <c r="BW232" i="24142"/>
  <c r="BW230" i="24142"/>
  <c r="BW166" i="23917"/>
  <c r="BW227" i="24142"/>
  <c r="BU232" i="24142"/>
  <c r="BU230" i="24142"/>
  <c r="BU166" i="23917"/>
  <c r="BU227" i="24142"/>
  <c r="BS232" i="24142"/>
  <c r="BS230" i="24142"/>
  <c r="BS166" i="23917"/>
  <c r="BS227" i="24142"/>
  <c r="BQ232" i="24142"/>
  <c r="BQ230" i="24142"/>
  <c r="BQ166" i="23917"/>
  <c r="BQ227" i="24142"/>
  <c r="CO232" i="24142"/>
  <c r="EJ230" i="24142"/>
  <c r="EH230" i="24142"/>
  <c r="EF230" i="24142"/>
  <c r="CS230" i="24142"/>
  <c r="CQ230" i="24142"/>
  <c r="CO230" i="24142"/>
  <c r="CO166" i="23917"/>
  <c r="CR166" i="23917"/>
  <c r="CP166" i="23917"/>
  <c r="BO228" i="24142"/>
  <c r="BO166" i="23917"/>
  <c r="BO229" i="24142"/>
  <c r="BM228" i="24142"/>
  <c r="BM166" i="23917"/>
  <c r="BM229" i="24142"/>
  <c r="BK228" i="24142"/>
  <c r="BK166" i="23917"/>
  <c r="BK229" i="24142"/>
  <c r="BI228" i="24142"/>
  <c r="BI166" i="23917"/>
  <c r="BI229" i="24142"/>
  <c r="BG228" i="24142"/>
  <c r="BG166" i="23917"/>
  <c r="BG229" i="24142"/>
  <c r="BE228" i="24142"/>
  <c r="BE166" i="23917"/>
  <c r="BE229" i="24142"/>
  <c r="BC228" i="24142"/>
  <c r="BC166" i="23917"/>
  <c r="BC229" i="24142"/>
  <c r="BA228" i="24142"/>
  <c r="BA166" i="23917"/>
  <c r="BA229" i="24142"/>
  <c r="AY228" i="24142"/>
  <c r="AY166" i="23917"/>
  <c r="AY229" i="24142"/>
  <c r="AW228" i="24142"/>
  <c r="AW166" i="23917"/>
  <c r="AW229" i="24142"/>
  <c r="AU228" i="24142"/>
  <c r="AU166" i="23917"/>
  <c r="AU229" i="24142"/>
  <c r="AS228" i="24142"/>
  <c r="AS166" i="23917"/>
  <c r="AS229" i="24142"/>
  <c r="AQ228" i="24142"/>
  <c r="AQ166" i="23917"/>
  <c r="AQ229" i="24142"/>
  <c r="AO228" i="24142"/>
  <c r="AO166" i="23917"/>
  <c r="AO229" i="24142"/>
  <c r="AM228" i="24142"/>
  <c r="AM166" i="23917"/>
  <c r="AM229" i="24142"/>
  <c r="AK228" i="24142"/>
  <c r="AK166" i="23917"/>
  <c r="AK229" i="24142"/>
  <c r="AI228" i="24142"/>
  <c r="AI166" i="23917"/>
  <c r="AI229" i="24142"/>
  <c r="AG228" i="24142"/>
  <c r="AG166" i="23917"/>
  <c r="AG229" i="24142"/>
  <c r="AE228" i="24142"/>
  <c r="AE166" i="23917"/>
  <c r="AE229" i="24142"/>
  <c r="AC228" i="24142"/>
  <c r="AC166" i="23917"/>
  <c r="AC229" i="24142"/>
  <c r="AA228" i="24142"/>
  <c r="AA166" i="23917"/>
  <c r="AA229" i="24142"/>
  <c r="Y228" i="24142"/>
  <c r="Y166" i="23917"/>
  <c r="Y229" i="24142"/>
  <c r="W228" i="24142"/>
  <c r="W166" i="23917"/>
  <c r="W229" i="24142"/>
  <c r="U228" i="24142"/>
  <c r="U166" i="23917"/>
  <c r="U229" i="24142"/>
  <c r="S228" i="24142"/>
  <c r="S166" i="23917"/>
  <c r="S229" i="24142"/>
  <c r="Q228" i="24142"/>
  <c r="Q166" i="23917"/>
  <c r="Q229" i="24142"/>
  <c r="O228" i="24142"/>
  <c r="O166" i="23917"/>
  <c r="O229" i="24142"/>
  <c r="M228" i="24142"/>
  <c r="M166" i="23917"/>
  <c r="M229" i="24142"/>
  <c r="K228" i="24142"/>
  <c r="K166" i="23917"/>
  <c r="K229" i="24142"/>
  <c r="I228" i="24142"/>
  <c r="I166" i="23917"/>
  <c r="I229" i="24142"/>
  <c r="G228" i="24142"/>
  <c r="G166" i="23917"/>
  <c r="G229" i="24142"/>
  <c r="E228" i="24142"/>
  <c r="E166" i="23917"/>
  <c r="E229" i="24142"/>
  <c r="C228" i="24142"/>
  <c r="C166" i="23917"/>
  <c r="C229" i="24142"/>
  <c r="DW228" i="24142"/>
  <c r="DS228" i="24142"/>
  <c r="EA166" i="23917"/>
  <c r="DY166" i="23917"/>
  <c r="DW166" i="23917"/>
  <c r="DU166" i="23917"/>
  <c r="DS166" i="23917"/>
  <c r="DW229" i="24142"/>
  <c r="DS229" i="24142"/>
  <c r="DE230" i="24142"/>
  <c r="DE228" i="24142"/>
  <c r="DE166" i="23917"/>
  <c r="DE229" i="24142"/>
  <c r="DF166" i="23917"/>
  <c r="CC151" i="24142"/>
  <c r="BY151" i="24142"/>
  <c r="BW151" i="24142"/>
  <c r="BU151" i="24142"/>
  <c r="BS151" i="24142"/>
  <c r="BQ151" i="24142"/>
  <c r="AW151" i="24142"/>
  <c r="AU151" i="24142"/>
  <c r="AS151" i="24142"/>
  <c r="AQ151" i="24142"/>
  <c r="AO151" i="24142"/>
  <c r="AM151" i="24142"/>
  <c r="AK151" i="24142"/>
  <c r="AI151" i="24142"/>
  <c r="AG151" i="24142"/>
  <c r="AE151" i="24142"/>
  <c r="AC151" i="24142"/>
  <c r="AA151" i="24142"/>
  <c r="Y151" i="24142"/>
  <c r="W151" i="24142"/>
  <c r="U151" i="24142"/>
  <c r="S151" i="24142"/>
  <c r="Q151" i="24142"/>
  <c r="O151" i="24142"/>
  <c r="M151" i="24142"/>
  <c r="K151" i="24142"/>
  <c r="CH295" i="23917"/>
  <c r="AQ310" i="23917"/>
  <c r="AO310" i="23917"/>
  <c r="AM310" i="23917"/>
  <c r="AK310" i="23917"/>
  <c r="AI310" i="23917"/>
  <c r="AG310" i="23917"/>
  <c r="AE310" i="23917"/>
  <c r="AC310" i="23917"/>
  <c r="AA310" i="23917"/>
  <c r="Y310" i="23917"/>
  <c r="W310" i="23917"/>
  <c r="U310" i="23917"/>
  <c r="S310" i="23917"/>
  <c r="Q310" i="23917"/>
  <c r="O310" i="23917"/>
  <c r="M310" i="23917"/>
  <c r="K310" i="23917"/>
  <c r="CC114" i="24142"/>
  <c r="BY114" i="24142"/>
  <c r="BW114" i="24142"/>
  <c r="BU114" i="24142"/>
  <c r="BS114" i="24142"/>
  <c r="BQ114" i="24142"/>
  <c r="AQ107" i="24142"/>
  <c r="AM107" i="24142"/>
  <c r="AI107" i="24142"/>
  <c r="AE107" i="24142"/>
  <c r="AA107" i="24142"/>
  <c r="W107" i="24142"/>
  <c r="S107" i="24142"/>
  <c r="O107" i="24142"/>
  <c r="K107" i="24142"/>
  <c r="CA204" i="23917"/>
  <c r="CC107" i="24142"/>
  <c r="BY107" i="24142"/>
  <c r="BU107" i="24142"/>
  <c r="BS107" i="24142"/>
  <c r="BQ107" i="24142"/>
  <c r="AW107" i="24142"/>
  <c r="AU107" i="24142"/>
  <c r="CA125" i="24142"/>
  <c r="CC104" i="24142"/>
  <c r="CC103" i="24142"/>
  <c r="CC101" i="24142"/>
  <c r="BY104" i="24142"/>
  <c r="BY103" i="24142"/>
  <c r="BY101" i="24142"/>
  <c r="BW104" i="24142"/>
  <c r="BW103" i="24142"/>
  <c r="BU104" i="24142"/>
  <c r="BU103" i="24142"/>
  <c r="BS104" i="24142"/>
  <c r="BS103" i="24142"/>
  <c r="BS101" i="24142"/>
  <c r="BQ104" i="24142"/>
  <c r="BQ103" i="24142"/>
  <c r="BQ101" i="24142"/>
  <c r="AU101" i="24142"/>
  <c r="AS104" i="24142"/>
  <c r="AS103" i="24142"/>
  <c r="AS101" i="24142"/>
  <c r="AQ104" i="24142"/>
  <c r="AQ103" i="24142"/>
  <c r="AM101" i="24142"/>
  <c r="AK104" i="24142"/>
  <c r="AK103" i="24142"/>
  <c r="AK101" i="24142"/>
  <c r="AI104" i="24142"/>
  <c r="AI103" i="24142"/>
  <c r="AE101" i="24142"/>
  <c r="AC104" i="24142"/>
  <c r="AC103" i="24142"/>
  <c r="AC101" i="24142"/>
  <c r="AA104" i="24142"/>
  <c r="AA103" i="24142"/>
  <c r="W101" i="24142"/>
  <c r="U104" i="24142"/>
  <c r="U103" i="24142"/>
  <c r="U101" i="24142"/>
  <c r="S104" i="24142"/>
  <c r="S103" i="24142"/>
  <c r="O101" i="24142"/>
  <c r="M104" i="24142"/>
  <c r="M103" i="24142"/>
  <c r="M101" i="24142"/>
  <c r="K104" i="24142"/>
  <c r="K103" i="24142"/>
  <c r="CJ102" i="24142"/>
  <c r="CH102" i="24142"/>
  <c r="CB102" i="24142"/>
  <c r="CU272" i="23917"/>
  <c r="CA272" i="23917"/>
  <c r="BZ272" i="23917"/>
  <c r="BX272" i="23917"/>
  <c r="BV272" i="23917"/>
  <c r="BT272" i="23917"/>
  <c r="BR272" i="23917"/>
  <c r="BP272" i="23917"/>
  <c r="BN272" i="23917"/>
  <c r="BL272" i="23917"/>
  <c r="BJ272" i="23917"/>
  <c r="BH272" i="23917"/>
  <c r="BF272" i="23917"/>
  <c r="BD272" i="23917"/>
  <c r="BB272" i="23917"/>
  <c r="AZ272" i="23917"/>
  <c r="AX272" i="23917"/>
  <c r="AV272" i="23917"/>
  <c r="AT272" i="23917"/>
  <c r="AR272" i="23917"/>
  <c r="AP272" i="23917"/>
  <c r="AN272" i="23917"/>
  <c r="AL272" i="23917"/>
  <c r="AJ272" i="23917"/>
  <c r="AH272" i="23917"/>
  <c r="AF272" i="23917"/>
  <c r="AD272" i="23917"/>
  <c r="AB272" i="23917"/>
  <c r="Z272" i="23917"/>
  <c r="X272" i="23917"/>
  <c r="V272" i="23917"/>
  <c r="T272" i="23917"/>
  <c r="R272" i="23917"/>
  <c r="P272" i="23917"/>
  <c r="N272" i="23917"/>
  <c r="L272" i="23917"/>
  <c r="J272" i="23917"/>
  <c r="CN271" i="23917"/>
  <c r="CA271" i="23917"/>
  <c r="BZ271" i="23917"/>
  <c r="BX271" i="23917"/>
  <c r="BV271" i="23917"/>
  <c r="BT271" i="23917"/>
  <c r="BR271" i="23917"/>
  <c r="BP271" i="23917"/>
  <c r="BN271" i="23917"/>
  <c r="BL271" i="23917"/>
  <c r="BJ271" i="23917"/>
  <c r="BH271" i="23917"/>
  <c r="BF271" i="23917"/>
  <c r="BD271" i="23917"/>
  <c r="BB271" i="23917"/>
  <c r="AZ271" i="23917"/>
  <c r="AX271" i="23917"/>
  <c r="AV271" i="23917"/>
  <c r="AT271" i="23917"/>
  <c r="AR271" i="23917"/>
  <c r="CA270" i="23917"/>
  <c r="BZ270" i="23917"/>
  <c r="BX270" i="23917"/>
  <c r="BV270" i="23917"/>
  <c r="BT270" i="23917"/>
  <c r="BR270" i="23917"/>
  <c r="BP270" i="23917"/>
  <c r="BN270" i="23917"/>
  <c r="BL270" i="23917"/>
  <c r="BJ270" i="23917"/>
  <c r="BH270" i="23917"/>
  <c r="BF270" i="23917"/>
  <c r="BD270" i="23917"/>
  <c r="BB270" i="23917"/>
  <c r="AZ270" i="23917"/>
  <c r="AX270" i="23917"/>
  <c r="AV270" i="23917"/>
  <c r="AT270" i="23917"/>
  <c r="AR270" i="23917"/>
  <c r="CN269" i="23917"/>
  <c r="CL269" i="23917"/>
  <c r="CJ269" i="23917"/>
  <c r="CH269" i="23917"/>
  <c r="CF269" i="23917"/>
  <c r="CD269" i="23917"/>
  <c r="CB269" i="23917"/>
  <c r="BZ269" i="23917"/>
  <c r="BX269" i="23917"/>
  <c r="BV269" i="23917"/>
  <c r="BT269" i="23917"/>
  <c r="BR269" i="23917"/>
  <c r="BP269" i="23917"/>
  <c r="BN269" i="23917"/>
  <c r="BL269" i="23917"/>
  <c r="BJ269" i="23917"/>
  <c r="BH269" i="23917"/>
  <c r="BF269" i="23917"/>
  <c r="BD269" i="23917"/>
  <c r="BB269" i="23917"/>
  <c r="BA269" i="23917"/>
  <c r="AZ269" i="23917"/>
  <c r="AX269" i="23917"/>
  <c r="AV269" i="23917"/>
  <c r="AT269" i="23917"/>
  <c r="AR269" i="23917"/>
  <c r="CA262" i="23917"/>
  <c r="CM259" i="23917"/>
  <c r="CM257" i="23917"/>
  <c r="CM256" i="23917"/>
  <c r="CM254" i="23917"/>
  <c r="CK259" i="23917"/>
  <c r="CK257" i="23917"/>
  <c r="CK256" i="23917"/>
  <c r="CK254" i="23917"/>
  <c r="CI259" i="23917"/>
  <c r="CI257" i="23917"/>
  <c r="CI256" i="23917"/>
  <c r="CI254" i="23917"/>
  <c r="CG259" i="23917"/>
  <c r="CG257" i="23917"/>
  <c r="CG256" i="23917"/>
  <c r="CG254" i="23917"/>
  <c r="CE259" i="23917"/>
  <c r="CE257" i="23917"/>
  <c r="CE256" i="23917"/>
  <c r="CE254" i="23917"/>
  <c r="CC259" i="23917"/>
  <c r="CC257" i="23917"/>
  <c r="CC256" i="23917"/>
  <c r="CC255" i="23917"/>
  <c r="CC254" i="23917"/>
  <c r="BY259" i="23917"/>
  <c r="BY257" i="23917"/>
  <c r="BY256" i="23917"/>
  <c r="BY255" i="23917"/>
  <c r="BY254" i="23917"/>
  <c r="BW259" i="23917"/>
  <c r="BW257" i="23917"/>
  <c r="BW256" i="23917"/>
  <c r="BW255" i="23917"/>
  <c r="BW254" i="23917"/>
  <c r="BU259" i="23917"/>
  <c r="BU257" i="23917"/>
  <c r="BU256" i="23917"/>
  <c r="BU255" i="23917"/>
  <c r="BU254" i="23917"/>
  <c r="BS259" i="23917"/>
  <c r="BS257" i="23917"/>
  <c r="BS256" i="23917"/>
  <c r="BS255" i="23917"/>
  <c r="BS254" i="23917"/>
  <c r="BQ259" i="23917"/>
  <c r="BQ257" i="23917"/>
  <c r="BQ256" i="23917"/>
  <c r="BQ255" i="23917"/>
  <c r="BQ254" i="23917"/>
  <c r="BO259" i="23917"/>
  <c r="BO257" i="23917"/>
  <c r="BO256" i="23917"/>
  <c r="BO255" i="23917"/>
  <c r="BM259" i="23917"/>
  <c r="BM257" i="23917"/>
  <c r="BM256" i="23917"/>
  <c r="BM255" i="23917"/>
  <c r="BK259" i="23917"/>
  <c r="BK257" i="23917"/>
  <c r="BK256" i="23917"/>
  <c r="BK255" i="23917"/>
  <c r="BI259" i="23917"/>
  <c r="BI257" i="23917"/>
  <c r="BI256" i="23917"/>
  <c r="BI255" i="23917"/>
  <c r="BG259" i="23917"/>
  <c r="BG257" i="23917"/>
  <c r="BG256" i="23917"/>
  <c r="BG255" i="23917"/>
  <c r="BE259" i="23917"/>
  <c r="BE257" i="23917"/>
  <c r="BE256" i="23917"/>
  <c r="BE255" i="23917"/>
  <c r="BC259" i="23917"/>
  <c r="BC257" i="23917"/>
  <c r="BC256" i="23917"/>
  <c r="BC255" i="23917"/>
  <c r="BA259" i="23917"/>
  <c r="BA257" i="23917"/>
  <c r="BA256" i="23917"/>
  <c r="BA255" i="23917"/>
  <c r="AY259" i="23917"/>
  <c r="AY257" i="23917"/>
  <c r="AW259" i="23917"/>
  <c r="AW257" i="23917"/>
  <c r="AU259" i="23917"/>
  <c r="AU257" i="23917"/>
  <c r="AS259" i="23917"/>
  <c r="AS257" i="23917"/>
  <c r="AQ259" i="23917"/>
  <c r="AO259" i="23917"/>
  <c r="AM259" i="23917"/>
  <c r="AK259" i="23917"/>
  <c r="AI259" i="23917"/>
  <c r="AG259" i="23917"/>
  <c r="AE259" i="23917"/>
  <c r="AC259" i="23917"/>
  <c r="AA259" i="23917"/>
  <c r="Y259" i="23917"/>
  <c r="W259" i="23917"/>
  <c r="U259" i="23917"/>
  <c r="S259" i="23917"/>
  <c r="Q259" i="23917"/>
  <c r="O259" i="23917"/>
  <c r="M259" i="23917"/>
  <c r="K259" i="23917"/>
  <c r="DY259" i="23917"/>
  <c r="DW259" i="23917"/>
  <c r="DU259" i="23917"/>
  <c r="DS259" i="23917"/>
  <c r="DQ259" i="23917"/>
  <c r="DM259" i="23917"/>
  <c r="DI259" i="23917"/>
  <c r="DY257" i="23917"/>
  <c r="DW257" i="23917"/>
  <c r="DU257" i="23917"/>
  <c r="DS257" i="23917"/>
  <c r="DQ257" i="23917"/>
  <c r="DO257" i="23917"/>
  <c r="DM257" i="23917"/>
  <c r="DK257" i="23917"/>
  <c r="DI257" i="23917"/>
  <c r="DG257" i="23917"/>
  <c r="DQ256" i="23917"/>
  <c r="DW255" i="23917"/>
  <c r="DU255" i="23917"/>
  <c r="DS255" i="23917"/>
  <c r="DQ255" i="23917"/>
  <c r="CP259" i="23917"/>
  <c r="CO259" i="23917"/>
  <c r="CO257" i="23917"/>
  <c r="CO256" i="23917"/>
  <c r="CN255" i="23917"/>
  <c r="CL255" i="23917"/>
  <c r="CJ255" i="23917"/>
  <c r="CH255" i="23917"/>
  <c r="CF255" i="23917"/>
  <c r="CD255" i="23917"/>
  <c r="AQ255" i="23917"/>
  <c r="AO255" i="23917"/>
  <c r="AM255" i="23917"/>
  <c r="AK255" i="23917"/>
  <c r="AI255" i="23917"/>
  <c r="AG255" i="23917"/>
  <c r="AE255" i="23917"/>
  <c r="AC255" i="23917"/>
  <c r="AA255" i="23917"/>
  <c r="Y255" i="23917"/>
  <c r="W255" i="23917"/>
  <c r="U255" i="23917"/>
  <c r="S255" i="23917"/>
  <c r="Q255" i="23917"/>
  <c r="O255" i="23917"/>
  <c r="M255" i="23917"/>
  <c r="K255" i="23917"/>
  <c r="CO254" i="23917"/>
  <c r="DW254" i="23917"/>
  <c r="CQ254" i="23917"/>
  <c r="BO254" i="23917"/>
  <c r="BM254" i="23917"/>
  <c r="BK254" i="23917"/>
  <c r="BI254" i="23917"/>
  <c r="BG254" i="23917"/>
  <c r="BE254" i="23917"/>
  <c r="BC254" i="23917"/>
  <c r="BA254" i="23917"/>
  <c r="DS254" i="23917"/>
  <c r="DQ254" i="23917"/>
  <c r="J250" i="23917"/>
  <c r="J249" i="23917"/>
  <c r="CA247" i="23917"/>
  <c r="CM244" i="23917"/>
  <c r="CM243" i="23917"/>
  <c r="CM241" i="23917"/>
  <c r="CK244" i="23917"/>
  <c r="CK243" i="23917"/>
  <c r="CK241" i="23917"/>
  <c r="CI244" i="23917"/>
  <c r="CI243" i="23917"/>
  <c r="CI241" i="23917"/>
  <c r="CG244" i="23917"/>
  <c r="CG243" i="23917"/>
  <c r="CG241" i="23917"/>
  <c r="CE244" i="23917"/>
  <c r="CE243" i="23917"/>
  <c r="CE241" i="23917"/>
  <c r="CC244" i="23917"/>
  <c r="CC243" i="23917"/>
  <c r="CC242" i="23917"/>
  <c r="CC241" i="23917"/>
  <c r="BY244" i="23917"/>
  <c r="BY243" i="23917"/>
  <c r="BY242" i="23917"/>
  <c r="BY241" i="23917"/>
  <c r="BW244" i="23917"/>
  <c r="BW243" i="23917"/>
  <c r="BW242" i="23917"/>
  <c r="BW241" i="23917"/>
  <c r="BU244" i="23917"/>
  <c r="BU243" i="23917"/>
  <c r="BU242" i="23917"/>
  <c r="BU241" i="23917"/>
  <c r="BS244" i="23917"/>
  <c r="BS243" i="23917"/>
  <c r="BS242" i="23917"/>
  <c r="BS241" i="23917"/>
  <c r="BQ244" i="23917"/>
  <c r="BQ243" i="23917"/>
  <c r="BQ242" i="23917"/>
  <c r="BQ241" i="23917"/>
  <c r="BO244" i="23917"/>
  <c r="BO243" i="23917"/>
  <c r="BO242" i="23917"/>
  <c r="BM244" i="23917"/>
  <c r="BM243" i="23917"/>
  <c r="BM242" i="23917"/>
  <c r="BK244" i="23917"/>
  <c r="BK243" i="23917"/>
  <c r="BK242" i="23917"/>
  <c r="BI244" i="23917"/>
  <c r="BI243" i="23917"/>
  <c r="BI242" i="23917"/>
  <c r="BG244" i="23917"/>
  <c r="BG243" i="23917"/>
  <c r="BG242" i="23917"/>
  <c r="BE244" i="23917"/>
  <c r="BE243" i="23917"/>
  <c r="BE242" i="23917"/>
  <c r="BC244" i="23917"/>
  <c r="BC243" i="23917"/>
  <c r="BC242" i="23917"/>
  <c r="BA244" i="23917"/>
  <c r="BA243" i="23917"/>
  <c r="BA242" i="23917"/>
  <c r="AY244" i="23917"/>
  <c r="AY242" i="23917"/>
  <c r="AW244" i="23917"/>
  <c r="AW242" i="23917"/>
  <c r="AU244" i="23917"/>
  <c r="AU242" i="23917"/>
  <c r="AS244" i="23917"/>
  <c r="AS242" i="23917"/>
  <c r="AQ219" i="23917"/>
  <c r="CS244" i="23917"/>
  <c r="CQ244" i="23917"/>
  <c r="CO244" i="23917"/>
  <c r="CO243" i="23917"/>
  <c r="CO241" i="23917"/>
  <c r="J243" i="23917"/>
  <c r="DY243" i="23917"/>
  <c r="DU243" i="23917"/>
  <c r="DQ243" i="23917"/>
  <c r="DW242" i="23917"/>
  <c r="DS242" i="23917"/>
  <c r="DM242" i="23917"/>
  <c r="DI242" i="23917"/>
  <c r="CN242" i="23917"/>
  <c r="CJ242" i="23917"/>
  <c r="CI242" i="23917"/>
  <c r="CF242" i="23917"/>
  <c r="AQ242" i="23917"/>
  <c r="AO242" i="23917"/>
  <c r="AM242" i="23917"/>
  <c r="AK242" i="23917"/>
  <c r="AI242" i="23917"/>
  <c r="AG242" i="23917"/>
  <c r="AE242" i="23917"/>
  <c r="AC242" i="23917"/>
  <c r="AA242" i="23917"/>
  <c r="Y242" i="23917"/>
  <c r="W242" i="23917"/>
  <c r="U242" i="23917"/>
  <c r="S242" i="23917"/>
  <c r="Q242" i="23917"/>
  <c r="O242" i="23917"/>
  <c r="M242" i="23917"/>
  <c r="K242" i="23917"/>
  <c r="DY241" i="23917"/>
  <c r="DU241" i="23917"/>
  <c r="BO241" i="23917"/>
  <c r="BK241" i="23917"/>
  <c r="BI241" i="23917"/>
  <c r="BG241" i="23917"/>
  <c r="BE241" i="23917"/>
  <c r="BC241" i="23917"/>
  <c r="BA241" i="23917"/>
  <c r="AY241" i="23917"/>
  <c r="AW241" i="23917"/>
  <c r="AU241" i="23917"/>
  <c r="AS241" i="23917"/>
  <c r="AQ241" i="23917"/>
  <c r="AO241" i="23917"/>
  <c r="AM241" i="23917"/>
  <c r="AK241" i="23917"/>
  <c r="AI241" i="23917"/>
  <c r="AG241" i="23917"/>
  <c r="AE241" i="23917"/>
  <c r="AC241" i="23917"/>
  <c r="AA241" i="23917"/>
  <c r="Y241" i="23917"/>
  <c r="W241" i="23917"/>
  <c r="U241" i="23917"/>
  <c r="S241" i="23917"/>
  <c r="Q241" i="23917"/>
  <c r="O241" i="23917"/>
  <c r="M241" i="23917"/>
  <c r="K241" i="23917"/>
  <c r="K240" i="23917"/>
  <c r="DG240" i="23917"/>
  <c r="AT240" i="23917"/>
  <c r="AP243" i="23917"/>
  <c r="AN249" i="23917"/>
  <c r="AF249" i="23917"/>
  <c r="Z243" i="23917"/>
  <c r="X249" i="23917"/>
  <c r="R243" i="23917"/>
  <c r="P249" i="23917"/>
  <c r="CO3" i="24142"/>
  <c r="ED230" i="24142" l="1"/>
  <c r="CW210" i="24142"/>
  <c r="CW148" i="23917"/>
  <c r="BW481" i="24142"/>
  <c r="DF230" i="24142"/>
  <c r="DT166" i="23917"/>
  <c r="DV166" i="23917"/>
  <c r="DX166" i="23917"/>
  <c r="DZ166" i="23917"/>
  <c r="EB166" i="23917"/>
  <c r="CU210" i="24142"/>
  <c r="CU148" i="23917"/>
  <c r="CC21" i="23917"/>
  <c r="DN40" i="23917"/>
  <c r="DR40" i="23917"/>
  <c r="DV40" i="23917"/>
  <c r="DL41" i="23917"/>
  <c r="CM255" i="23917"/>
  <c r="EA244" i="23917"/>
  <c r="ED244" i="23917"/>
  <c r="DX255" i="23917"/>
  <c r="CE255" i="23917"/>
  <c r="BI269" i="23917"/>
  <c r="BK269" i="23917"/>
  <c r="BQ269" i="23917"/>
  <c r="BS269" i="23917"/>
  <c r="BU269" i="23917"/>
  <c r="BW269" i="23917"/>
  <c r="BY269" i="23917"/>
  <c r="DD240" i="24142"/>
  <c r="DD241" i="24142"/>
  <c r="DD243" i="24142"/>
  <c r="DD242" i="24142"/>
  <c r="DD244" i="24142"/>
  <c r="DF243" i="24142"/>
  <c r="DT243" i="24142"/>
  <c r="DV243" i="24142"/>
  <c r="DX243" i="24142"/>
  <c r="DZ243" i="24142"/>
  <c r="DT244" i="24142"/>
  <c r="DV244" i="24142"/>
  <c r="DX244" i="24142"/>
  <c r="DZ244" i="24142"/>
  <c r="BY271" i="24142"/>
  <c r="CL338" i="23917"/>
  <c r="DN554" i="23917"/>
  <c r="DP554" i="23917"/>
  <c r="DR554" i="23917"/>
  <c r="DT554" i="23917"/>
  <c r="DV554" i="23917"/>
  <c r="DX554" i="23917"/>
  <c r="DZ554" i="23917"/>
  <c r="EA18" i="24142"/>
  <c r="AM21" i="23917"/>
  <c r="AY21" i="23917"/>
  <c r="BE21" i="23917"/>
  <c r="BK21" i="23917"/>
  <c r="DF40" i="23917"/>
  <c r="DT41" i="23917"/>
  <c r="DX41" i="23917"/>
  <c r="DJ40" i="23917"/>
  <c r="ED41" i="23917"/>
  <c r="EB42" i="23917"/>
  <c r="ED42" i="23917"/>
  <c r="C85" i="24142"/>
  <c r="CK242" i="23917"/>
  <c r="N269" i="23917"/>
  <c r="N254" i="23917"/>
  <c r="V269" i="23917"/>
  <c r="V254" i="23917"/>
  <c r="Z269" i="23917"/>
  <c r="Z254" i="23917"/>
  <c r="AH269" i="23917"/>
  <c r="AH254" i="23917"/>
  <c r="AL269" i="23917"/>
  <c r="AL254" i="23917"/>
  <c r="AP269" i="23917"/>
  <c r="AP254" i="23917"/>
  <c r="N256" i="23917"/>
  <c r="N258" i="23917"/>
  <c r="N220" i="23917"/>
  <c r="V256" i="23917"/>
  <c r="V258" i="23917"/>
  <c r="V220" i="23917"/>
  <c r="Z258" i="23917"/>
  <c r="Z220" i="23917"/>
  <c r="AI258" i="23917"/>
  <c r="AH258" i="23917"/>
  <c r="AH220" i="23917"/>
  <c r="AL256" i="23917"/>
  <c r="AL258" i="23917"/>
  <c r="AL220" i="23917"/>
  <c r="AQ258" i="23917"/>
  <c r="AP258" i="23917"/>
  <c r="AP220" i="23917"/>
  <c r="BE271" i="23917"/>
  <c r="BC205" i="23917"/>
  <c r="BB109" i="24142"/>
  <c r="BB205" i="23917"/>
  <c r="BF109" i="24142"/>
  <c r="BF205" i="23917"/>
  <c r="BO205" i="23917"/>
  <c r="BN109" i="24142"/>
  <c r="BN205" i="23917"/>
  <c r="BW109" i="24142"/>
  <c r="BV109" i="24142"/>
  <c r="BV205" i="23917"/>
  <c r="G205" i="23917"/>
  <c r="F109" i="24142"/>
  <c r="F205" i="23917"/>
  <c r="H109" i="24142"/>
  <c r="H205" i="23917"/>
  <c r="O109" i="24142"/>
  <c r="N109" i="24142"/>
  <c r="N205" i="23917"/>
  <c r="X109" i="24142"/>
  <c r="X205" i="23917"/>
  <c r="AF109" i="24142"/>
  <c r="AF205" i="23917"/>
  <c r="AL109" i="24142"/>
  <c r="AL205" i="23917"/>
  <c r="AU109" i="24142"/>
  <c r="AT109" i="24142"/>
  <c r="AT205" i="23917"/>
  <c r="B138" i="24142"/>
  <c r="B289" i="23917"/>
  <c r="K289" i="23917"/>
  <c r="J138" i="24142"/>
  <c r="J289" i="23917"/>
  <c r="R138" i="24142"/>
  <c r="R289" i="23917"/>
  <c r="AQ138" i="24142"/>
  <c r="AH138" i="24142"/>
  <c r="AH289" i="23917"/>
  <c r="H145" i="24142"/>
  <c r="H296" i="23917"/>
  <c r="M145" i="24142"/>
  <c r="L145" i="24142"/>
  <c r="L296" i="23917"/>
  <c r="AX145" i="24142"/>
  <c r="AX296" i="23917"/>
  <c r="AZ145" i="24142"/>
  <c r="AZ296" i="23917"/>
  <c r="BD145" i="24142"/>
  <c r="BD296" i="23917"/>
  <c r="BH145" i="24142"/>
  <c r="BH296" i="23917"/>
  <c r="DU145" i="24142"/>
  <c r="BN145" i="24142"/>
  <c r="BN296" i="23917"/>
  <c r="BT145" i="24142"/>
  <c r="BT296" i="23917"/>
  <c r="BX145" i="24142"/>
  <c r="BX296" i="23917"/>
  <c r="CB145" i="24142"/>
  <c r="CB296" i="23917"/>
  <c r="CF145" i="24142"/>
  <c r="CF296" i="23917"/>
  <c r="CH145" i="24142"/>
  <c r="CH296" i="23917"/>
  <c r="CL145" i="24142"/>
  <c r="CL296" i="23917"/>
  <c r="P145" i="24142"/>
  <c r="P296" i="23917"/>
  <c r="AR145" i="24142"/>
  <c r="AR296" i="23917"/>
  <c r="H249" i="24142"/>
  <c r="I249" i="24142"/>
  <c r="P249" i="24142"/>
  <c r="Q249" i="24142"/>
  <c r="X249" i="24142"/>
  <c r="Y249" i="24142"/>
  <c r="AF249" i="24142"/>
  <c r="AG249" i="24142"/>
  <c r="AN249" i="24142"/>
  <c r="AO249" i="24142"/>
  <c r="AV249" i="24142"/>
  <c r="AW249" i="24142"/>
  <c r="AZ249" i="24142"/>
  <c r="BA249" i="24142"/>
  <c r="BH249" i="24142"/>
  <c r="BI249" i="24142"/>
  <c r="BL249" i="24142"/>
  <c r="BM249" i="24142"/>
  <c r="BP249" i="24142"/>
  <c r="BX249" i="24142"/>
  <c r="DC174" i="24142"/>
  <c r="DD174" i="24142"/>
  <c r="B187" i="24142"/>
  <c r="B124" i="23917"/>
  <c r="DE187" i="24142"/>
  <c r="AD331" i="23917"/>
  <c r="AD265" i="24142"/>
  <c r="AD330" i="23917"/>
  <c r="AD271" i="24142"/>
  <c r="AD336" i="23917"/>
  <c r="AE336" i="23917"/>
  <c r="AZ271" i="24142"/>
  <c r="AZ336" i="23917"/>
  <c r="BD271" i="24142"/>
  <c r="BD336" i="23917"/>
  <c r="BE336" i="23917"/>
  <c r="BN271" i="24142"/>
  <c r="BN336" i="23917"/>
  <c r="CN271" i="24142"/>
  <c r="CN336" i="23917"/>
  <c r="CO336" i="23917"/>
  <c r="R269" i="24142"/>
  <c r="R334" i="23917"/>
  <c r="AP271" i="24142"/>
  <c r="AP336" i="23917"/>
  <c r="AT271" i="24142"/>
  <c r="AT336" i="23917"/>
  <c r="I21" i="23917"/>
  <c r="B305" i="24142"/>
  <c r="B371" i="23917"/>
  <c r="C371" i="23917"/>
  <c r="D312" i="24142"/>
  <c r="D378" i="23917"/>
  <c r="H312" i="24142"/>
  <c r="H378" i="23917"/>
  <c r="DG378" i="23917"/>
  <c r="L312" i="24142"/>
  <c r="L378" i="23917"/>
  <c r="P384" i="24142"/>
  <c r="P450" i="23917"/>
  <c r="Y452" i="23917"/>
  <c r="P386" i="24142"/>
  <c r="P452" i="23917"/>
  <c r="R384" i="24142"/>
  <c r="R450" i="23917"/>
  <c r="AA452" i="23917"/>
  <c r="R386" i="24142"/>
  <c r="R452" i="23917"/>
  <c r="T387" i="24142"/>
  <c r="T453" i="23917"/>
  <c r="V385" i="24142"/>
  <c r="V451" i="23917"/>
  <c r="V387" i="24142"/>
  <c r="V453" i="23917"/>
  <c r="Z387" i="24142"/>
  <c r="Z453" i="23917"/>
  <c r="AB385" i="24142"/>
  <c r="AB451" i="23917"/>
  <c r="DK385" i="24142"/>
  <c r="AB387" i="24142"/>
  <c r="AB453" i="23917"/>
  <c r="D344" i="24142"/>
  <c r="D410" i="23917"/>
  <c r="H344" i="24142"/>
  <c r="H410" i="23917"/>
  <c r="L344" i="24142"/>
  <c r="L410" i="23917"/>
  <c r="P344" i="24142"/>
  <c r="P410" i="23917"/>
  <c r="T344" i="24142"/>
  <c r="T410" i="23917"/>
  <c r="X344" i="24142"/>
  <c r="X410" i="23917"/>
  <c r="AB344" i="24142"/>
  <c r="AB410" i="23917"/>
  <c r="CG242" i="23917"/>
  <c r="J268" i="23917"/>
  <c r="J253" i="23917"/>
  <c r="J269" i="23917"/>
  <c r="J254" i="23917"/>
  <c r="R269" i="23917"/>
  <c r="R254" i="23917"/>
  <c r="AD269" i="23917"/>
  <c r="AD254" i="23917"/>
  <c r="DV255" i="23917"/>
  <c r="J258" i="23917"/>
  <c r="J220" i="23917"/>
  <c r="S220" i="23917"/>
  <c r="R258" i="23917"/>
  <c r="R220" i="23917"/>
  <c r="AD256" i="23917"/>
  <c r="AD258" i="23917"/>
  <c r="AD220" i="23917"/>
  <c r="BM269" i="23917"/>
  <c r="BO269" i="23917"/>
  <c r="AY205" i="23917"/>
  <c r="AX109" i="24142"/>
  <c r="AX205" i="23917"/>
  <c r="BJ109" i="24142"/>
  <c r="BJ205" i="23917"/>
  <c r="BR109" i="24142"/>
  <c r="BR205" i="23917"/>
  <c r="BZ109" i="24142"/>
  <c r="BZ205" i="23917"/>
  <c r="CC109" i="24142"/>
  <c r="CB109" i="24142"/>
  <c r="CB205" i="23917"/>
  <c r="CG205" i="23917"/>
  <c r="CF109" i="24142"/>
  <c r="CF205" i="23917"/>
  <c r="CJ109" i="24142"/>
  <c r="CJ205" i="23917"/>
  <c r="CO109" i="24142"/>
  <c r="CN109" i="24142"/>
  <c r="CN205" i="23917"/>
  <c r="P109" i="24142"/>
  <c r="P205" i="23917"/>
  <c r="V109" i="24142"/>
  <c r="V205" i="23917"/>
  <c r="AE109" i="24142"/>
  <c r="AD109" i="24142"/>
  <c r="AD205" i="23917"/>
  <c r="AN109" i="24142"/>
  <c r="AN205" i="23917"/>
  <c r="I205" i="23917"/>
  <c r="G289" i="23917"/>
  <c r="F138" i="24142"/>
  <c r="F289" i="23917"/>
  <c r="N138" i="24142"/>
  <c r="N289" i="23917"/>
  <c r="V138" i="24142"/>
  <c r="V289" i="23917"/>
  <c r="Z138" i="24142"/>
  <c r="Z289" i="23917"/>
  <c r="AD138" i="24142"/>
  <c r="AD289" i="23917"/>
  <c r="AL138" i="24142"/>
  <c r="AL289" i="23917"/>
  <c r="BA289" i="23917"/>
  <c r="AR138" i="24142"/>
  <c r="AR289" i="23917"/>
  <c r="S145" i="24142"/>
  <c r="J145" i="24142"/>
  <c r="J296" i="23917"/>
  <c r="DO145" i="24142"/>
  <c r="AT145" i="24142"/>
  <c r="AT296" i="23917"/>
  <c r="AV145" i="24142"/>
  <c r="AV296" i="23917"/>
  <c r="BB145" i="24142"/>
  <c r="BB296" i="23917"/>
  <c r="BF145" i="24142"/>
  <c r="BF296" i="23917"/>
  <c r="BJ145" i="24142"/>
  <c r="BJ296" i="23917"/>
  <c r="BL145" i="24142"/>
  <c r="BL296" i="23917"/>
  <c r="BP145" i="24142"/>
  <c r="BP296" i="23917"/>
  <c r="BR145" i="24142"/>
  <c r="BR296" i="23917"/>
  <c r="DW145" i="24142"/>
  <c r="BV145" i="24142"/>
  <c r="BV296" i="23917"/>
  <c r="BZ145" i="24142"/>
  <c r="BZ296" i="23917"/>
  <c r="CD145" i="24142"/>
  <c r="CD296" i="23917"/>
  <c r="CJ145" i="24142"/>
  <c r="CJ296" i="23917"/>
  <c r="CN145" i="24142"/>
  <c r="CN296" i="23917"/>
  <c r="R145" i="24142"/>
  <c r="R296" i="23917"/>
  <c r="D249" i="24142"/>
  <c r="E249" i="24142"/>
  <c r="L249" i="24142"/>
  <c r="M249" i="24142"/>
  <c r="T249" i="24142"/>
  <c r="U249" i="24142"/>
  <c r="AB249" i="24142"/>
  <c r="AC249" i="24142"/>
  <c r="AJ249" i="24142"/>
  <c r="AK249" i="24142"/>
  <c r="AR249" i="24142"/>
  <c r="AS249" i="24142"/>
  <c r="BD249" i="24142"/>
  <c r="BE249" i="24142"/>
  <c r="BT249" i="24142"/>
  <c r="BU249" i="24142"/>
  <c r="X269" i="24142"/>
  <c r="X334" i="23917"/>
  <c r="Y269" i="24142"/>
  <c r="X271" i="24142"/>
  <c r="X336" i="23917"/>
  <c r="BT271" i="24142"/>
  <c r="BT336" i="23917"/>
  <c r="BU271" i="24142"/>
  <c r="CH271" i="24142"/>
  <c r="CH336" i="23917"/>
  <c r="D271" i="24142"/>
  <c r="D336" i="23917"/>
  <c r="N271" i="24142"/>
  <c r="N336" i="23917"/>
  <c r="T269" i="24142"/>
  <c r="T334" i="23917"/>
  <c r="AR270" i="24142"/>
  <c r="AR271" i="24142"/>
  <c r="AR336" i="23917"/>
  <c r="Z272" i="24142"/>
  <c r="Z337" i="23917"/>
  <c r="AF272" i="24142"/>
  <c r="AF337" i="23917"/>
  <c r="AG337" i="23917"/>
  <c r="AI240" i="23917"/>
  <c r="CD270" i="23917"/>
  <c r="CD242" i="23917"/>
  <c r="CH270" i="23917"/>
  <c r="CH242" i="23917"/>
  <c r="CL270" i="23917"/>
  <c r="CL242" i="23917"/>
  <c r="Q253" i="23917"/>
  <c r="Y253" i="23917"/>
  <c r="AG253" i="23917"/>
  <c r="AO253" i="23917"/>
  <c r="M254" i="23917"/>
  <c r="L254" i="23917"/>
  <c r="Q254" i="23917"/>
  <c r="P254" i="23917"/>
  <c r="U254" i="23917"/>
  <c r="T254" i="23917"/>
  <c r="Y254" i="23917"/>
  <c r="X254" i="23917"/>
  <c r="AC254" i="23917"/>
  <c r="AB254" i="23917"/>
  <c r="AG254" i="23917"/>
  <c r="AF254" i="23917"/>
  <c r="AS254" i="23917"/>
  <c r="AJ254" i="23917"/>
  <c r="AW254" i="23917"/>
  <c r="AN254" i="23917"/>
  <c r="K270" i="23917"/>
  <c r="J255" i="23917"/>
  <c r="L270" i="23917"/>
  <c r="L255" i="23917"/>
  <c r="N270" i="23917"/>
  <c r="N255" i="23917"/>
  <c r="Q270" i="23917"/>
  <c r="P255" i="23917"/>
  <c r="R270" i="23917"/>
  <c r="R255" i="23917"/>
  <c r="T270" i="23917"/>
  <c r="T255" i="23917"/>
  <c r="V270" i="23917"/>
  <c r="V255" i="23917"/>
  <c r="X270" i="23917"/>
  <c r="X255" i="23917"/>
  <c r="Z270" i="23917"/>
  <c r="Z255" i="23917"/>
  <c r="AB270" i="23917"/>
  <c r="AB255" i="23917"/>
  <c r="AD270" i="23917"/>
  <c r="AD255" i="23917"/>
  <c r="AF270" i="23917"/>
  <c r="AF255" i="23917"/>
  <c r="AH270" i="23917"/>
  <c r="AH255" i="23917"/>
  <c r="AJ270" i="23917"/>
  <c r="AJ255" i="23917"/>
  <c r="AL270" i="23917"/>
  <c r="AL255" i="23917"/>
  <c r="AN270" i="23917"/>
  <c r="AN255" i="23917"/>
  <c r="AP270" i="23917"/>
  <c r="AP255" i="23917"/>
  <c r="L258" i="23917"/>
  <c r="L220" i="23917"/>
  <c r="Q220" i="23917"/>
  <c r="P258" i="23917"/>
  <c r="P220" i="23917"/>
  <c r="T258" i="23917"/>
  <c r="T220" i="23917"/>
  <c r="X258" i="23917"/>
  <c r="X220" i="23917"/>
  <c r="AB258" i="23917"/>
  <c r="AB220" i="23917"/>
  <c r="AG220" i="23917"/>
  <c r="AF258" i="23917"/>
  <c r="AF220" i="23917"/>
  <c r="AJ258" i="23917"/>
  <c r="AJ220" i="23917"/>
  <c r="AN258" i="23917"/>
  <c r="AN220" i="23917"/>
  <c r="CI255" i="23917"/>
  <c r="AO260" i="23917"/>
  <c r="BE269" i="23917"/>
  <c r="BA271" i="23917"/>
  <c r="BI271" i="23917"/>
  <c r="BK271" i="23917"/>
  <c r="BM271" i="23917"/>
  <c r="BO271" i="23917"/>
  <c r="BQ271" i="23917"/>
  <c r="BS271" i="23917"/>
  <c r="BU271" i="23917"/>
  <c r="BW271" i="23917"/>
  <c r="BY271" i="23917"/>
  <c r="DQ271" i="23917"/>
  <c r="J101" i="24142"/>
  <c r="J197" i="23917"/>
  <c r="DQ109" i="24142"/>
  <c r="AV109" i="24142"/>
  <c r="AV205" i="23917"/>
  <c r="BA205" i="23917"/>
  <c r="AZ109" i="24142"/>
  <c r="AZ205" i="23917"/>
  <c r="BD109" i="24142"/>
  <c r="BD205" i="23917"/>
  <c r="BI205" i="23917"/>
  <c r="BH109" i="24142"/>
  <c r="BH205" i="23917"/>
  <c r="BL109" i="24142"/>
  <c r="BL205" i="23917"/>
  <c r="BQ205" i="23917"/>
  <c r="BP109" i="24142"/>
  <c r="BP205" i="23917"/>
  <c r="BT109" i="24142"/>
  <c r="BT205" i="23917"/>
  <c r="BY205" i="23917"/>
  <c r="BX109" i="24142"/>
  <c r="BX205" i="23917"/>
  <c r="CA109" i="24142"/>
  <c r="CA205" i="23917"/>
  <c r="CD109" i="24142"/>
  <c r="CD205" i="23917"/>
  <c r="CI205" i="23917"/>
  <c r="CH109" i="24142"/>
  <c r="CH205" i="23917"/>
  <c r="CL109" i="24142"/>
  <c r="CL205" i="23917"/>
  <c r="CP109" i="24142"/>
  <c r="B109" i="24142"/>
  <c r="B205" i="23917"/>
  <c r="D109" i="24142"/>
  <c r="D205" i="23917"/>
  <c r="H110" i="24142"/>
  <c r="J109" i="24142"/>
  <c r="J205" i="23917"/>
  <c r="L109" i="24142"/>
  <c r="L205" i="23917"/>
  <c r="R109" i="24142"/>
  <c r="R205" i="23917"/>
  <c r="T109" i="24142"/>
  <c r="T205" i="23917"/>
  <c r="X110" i="24142"/>
  <c r="Z109" i="24142"/>
  <c r="Z205" i="23917"/>
  <c r="AB109" i="24142"/>
  <c r="AB205" i="23917"/>
  <c r="AH109" i="24142"/>
  <c r="AH205" i="23917"/>
  <c r="AN110" i="24142"/>
  <c r="AP109" i="24142"/>
  <c r="AP205" i="23917"/>
  <c r="AR109" i="24142"/>
  <c r="AR205" i="23917"/>
  <c r="M205" i="23917"/>
  <c r="AC205" i="23917"/>
  <c r="AS205" i="23917"/>
  <c r="D138" i="24142"/>
  <c r="D289" i="23917"/>
  <c r="H291" i="23917"/>
  <c r="H138" i="24142"/>
  <c r="H289" i="23917"/>
  <c r="L138" i="24142"/>
  <c r="L289" i="23917"/>
  <c r="P291" i="23917"/>
  <c r="P138" i="24142"/>
  <c r="P289" i="23917"/>
  <c r="T138" i="24142"/>
  <c r="T289" i="23917"/>
  <c r="X291" i="23917"/>
  <c r="X138" i="24142"/>
  <c r="X289" i="23917"/>
  <c r="AB138" i="24142"/>
  <c r="AB289" i="23917"/>
  <c r="AF291" i="23917"/>
  <c r="AF138" i="24142"/>
  <c r="AF289" i="23917"/>
  <c r="AJ138" i="24142"/>
  <c r="AJ289" i="23917"/>
  <c r="AN291" i="23917"/>
  <c r="AN138" i="24142"/>
  <c r="AN289" i="23917"/>
  <c r="AT138" i="24142"/>
  <c r="AT289" i="23917"/>
  <c r="I145" i="24142"/>
  <c r="AS145" i="24142"/>
  <c r="AW145" i="24142"/>
  <c r="BA145" i="24142"/>
  <c r="BE145" i="24142"/>
  <c r="BI145" i="24142"/>
  <c r="BM145" i="24142"/>
  <c r="BQ145" i="24142"/>
  <c r="BU145" i="24142"/>
  <c r="BY145" i="24142"/>
  <c r="CA145" i="24142"/>
  <c r="CA296" i="23917"/>
  <c r="CE145" i="24142"/>
  <c r="CI145" i="24142"/>
  <c r="CM145" i="24142"/>
  <c r="AT147" i="24142"/>
  <c r="AT298" i="23917"/>
  <c r="C296" i="23917"/>
  <c r="B145" i="24142"/>
  <c r="B296" i="23917"/>
  <c r="D145" i="24142"/>
  <c r="D296" i="23917"/>
  <c r="D146" i="24142"/>
  <c r="AL145" i="24142"/>
  <c r="AL296" i="23917"/>
  <c r="AL146" i="24142"/>
  <c r="J147" i="24142"/>
  <c r="J298" i="23917"/>
  <c r="S147" i="24142"/>
  <c r="V147" i="24142"/>
  <c r="V298" i="23917"/>
  <c r="Z147" i="24142"/>
  <c r="Z298" i="23917"/>
  <c r="AD147" i="24142"/>
  <c r="AD298" i="23917"/>
  <c r="AH147" i="24142"/>
  <c r="AH298" i="23917"/>
  <c r="B249" i="24142"/>
  <c r="F249" i="24142"/>
  <c r="J249" i="24142"/>
  <c r="N249" i="24142"/>
  <c r="R249" i="24142"/>
  <c r="V249" i="24142"/>
  <c r="Z249" i="24142"/>
  <c r="AD249" i="24142"/>
  <c r="AH249" i="24142"/>
  <c r="AL249" i="24142"/>
  <c r="AP249" i="24142"/>
  <c r="AT249" i="24142"/>
  <c r="AX249" i="24142"/>
  <c r="BB249" i="24142"/>
  <c r="BF249" i="24142"/>
  <c r="BJ249" i="24142"/>
  <c r="BN249" i="24142"/>
  <c r="BR249" i="24142"/>
  <c r="BS249" i="24142"/>
  <c r="BV249" i="24142"/>
  <c r="BW249" i="24142"/>
  <c r="B204" i="24142"/>
  <c r="B175" i="24142"/>
  <c r="B112" i="23917"/>
  <c r="B142" i="23917"/>
  <c r="G175" i="24142"/>
  <c r="F204" i="24142"/>
  <c r="F175" i="24142"/>
  <c r="F112" i="23917"/>
  <c r="F142" i="23917"/>
  <c r="J204" i="24142"/>
  <c r="J175" i="24142"/>
  <c r="J112" i="23917"/>
  <c r="J142" i="23917"/>
  <c r="N204" i="24142"/>
  <c r="N175" i="24142"/>
  <c r="N112" i="23917"/>
  <c r="N142" i="23917"/>
  <c r="R204" i="24142"/>
  <c r="R175" i="24142"/>
  <c r="R112" i="23917"/>
  <c r="R142" i="23917"/>
  <c r="V204" i="24142"/>
  <c r="V175" i="24142"/>
  <c r="V112" i="23917"/>
  <c r="V142" i="23917"/>
  <c r="Z204" i="24142"/>
  <c r="Z175" i="24142"/>
  <c r="Z112" i="23917"/>
  <c r="Z142" i="23917"/>
  <c r="AD204" i="24142"/>
  <c r="AD175" i="24142"/>
  <c r="AD112" i="23917"/>
  <c r="AD142" i="23917"/>
  <c r="AH204" i="24142"/>
  <c r="AH175" i="24142"/>
  <c r="AH112" i="23917"/>
  <c r="AH142" i="23917"/>
  <c r="AL204" i="24142"/>
  <c r="AL175" i="24142"/>
  <c r="AL112" i="23917"/>
  <c r="AL142" i="23917"/>
  <c r="AP204" i="24142"/>
  <c r="AP175" i="24142"/>
  <c r="AP112" i="23917"/>
  <c r="AP142" i="23917"/>
  <c r="AT204" i="24142"/>
  <c r="AT175" i="24142"/>
  <c r="AT112" i="23917"/>
  <c r="AT142" i="23917"/>
  <c r="AX204" i="24142"/>
  <c r="AX175" i="24142"/>
  <c r="AX112" i="23917"/>
  <c r="AX142" i="23917"/>
  <c r="BB204" i="24142"/>
  <c r="BB175" i="24142"/>
  <c r="BB112" i="23917"/>
  <c r="BB142" i="23917"/>
  <c r="BF204" i="24142"/>
  <c r="BF175" i="24142"/>
  <c r="BF112" i="23917"/>
  <c r="BF142" i="23917"/>
  <c r="BJ204" i="24142"/>
  <c r="BJ175" i="24142"/>
  <c r="BJ112" i="23917"/>
  <c r="BJ142" i="23917"/>
  <c r="BN204" i="24142"/>
  <c r="BN175" i="24142"/>
  <c r="BN112" i="23917"/>
  <c r="BN142" i="23917"/>
  <c r="BR204" i="24142"/>
  <c r="BR175" i="24142"/>
  <c r="BR112" i="23917"/>
  <c r="BR142" i="23917"/>
  <c r="BV204" i="24142"/>
  <c r="BV175" i="24142"/>
  <c r="BV112" i="23917"/>
  <c r="BV142" i="23917"/>
  <c r="BZ204" i="24142"/>
  <c r="BZ175" i="24142"/>
  <c r="BZ112" i="23917"/>
  <c r="BZ142" i="23917"/>
  <c r="CB204" i="24142"/>
  <c r="CB175" i="24142"/>
  <c r="CB112" i="23917"/>
  <c r="CB142" i="23917"/>
  <c r="CF204" i="24142"/>
  <c r="CF175" i="24142"/>
  <c r="CF112" i="23917"/>
  <c r="CF142" i="23917"/>
  <c r="CK175" i="24142"/>
  <c r="CJ204" i="24142"/>
  <c r="CJ175" i="24142"/>
  <c r="CJ112" i="23917"/>
  <c r="CJ142" i="23917"/>
  <c r="CN204" i="24142"/>
  <c r="CN175" i="24142"/>
  <c r="CN112" i="23917"/>
  <c r="CN142" i="23917"/>
  <c r="F208" i="24142"/>
  <c r="F146" i="23917"/>
  <c r="O208" i="24142"/>
  <c r="G208" i="24142"/>
  <c r="BZ182" i="24142"/>
  <c r="BZ119" i="23917"/>
  <c r="CB182" i="24142"/>
  <c r="CB119" i="23917"/>
  <c r="C182" i="24142"/>
  <c r="B182" i="24142"/>
  <c r="B119" i="23917"/>
  <c r="DE182" i="24142"/>
  <c r="D182" i="24142"/>
  <c r="D119" i="23917"/>
  <c r="G182" i="24142"/>
  <c r="F182" i="24142"/>
  <c r="F119" i="23917"/>
  <c r="H182" i="24142"/>
  <c r="H119" i="23917"/>
  <c r="K182" i="24142"/>
  <c r="J182" i="24142"/>
  <c r="J119" i="23917"/>
  <c r="L182" i="24142"/>
  <c r="L119" i="23917"/>
  <c r="O182" i="24142"/>
  <c r="N182" i="24142"/>
  <c r="N119" i="23917"/>
  <c r="P182" i="24142"/>
  <c r="P119" i="23917"/>
  <c r="S182" i="24142"/>
  <c r="R182" i="24142"/>
  <c r="R119" i="23917"/>
  <c r="DI182" i="24142"/>
  <c r="U182" i="24142"/>
  <c r="T182" i="24142"/>
  <c r="T119" i="23917"/>
  <c r="W182" i="24142"/>
  <c r="V182" i="24142"/>
  <c r="V119" i="23917"/>
  <c r="Y182" i="24142"/>
  <c r="X182" i="24142"/>
  <c r="X119" i="23917"/>
  <c r="AA182" i="24142"/>
  <c r="Z182" i="24142"/>
  <c r="Z119" i="23917"/>
  <c r="AC182" i="24142"/>
  <c r="AB182" i="24142"/>
  <c r="AB119" i="23917"/>
  <c r="AE182" i="24142"/>
  <c r="AD182" i="24142"/>
  <c r="AD119" i="23917"/>
  <c r="AG182" i="24142"/>
  <c r="AF182" i="24142"/>
  <c r="AF119" i="23917"/>
  <c r="AI182" i="24142"/>
  <c r="AH182" i="24142"/>
  <c r="AH119" i="23917"/>
  <c r="DM182" i="24142"/>
  <c r="AJ182" i="24142"/>
  <c r="AJ119" i="23917"/>
  <c r="AM182" i="24142"/>
  <c r="AL182" i="24142"/>
  <c r="AL119" i="23917"/>
  <c r="AN182" i="24142"/>
  <c r="AN119" i="23917"/>
  <c r="AQ182" i="24142"/>
  <c r="AP182" i="24142"/>
  <c r="AP119" i="23917"/>
  <c r="AR182" i="24142"/>
  <c r="AR119" i="23917"/>
  <c r="AU182" i="24142"/>
  <c r="AT182" i="24142"/>
  <c r="AT119" i="23917"/>
  <c r="AV182" i="24142"/>
  <c r="AV119" i="23917"/>
  <c r="AY182" i="24142"/>
  <c r="AX182" i="24142"/>
  <c r="AX119" i="23917"/>
  <c r="DQ182" i="24142"/>
  <c r="BA182" i="24142"/>
  <c r="AZ182" i="24142"/>
  <c r="AZ119" i="23917"/>
  <c r="BC182" i="24142"/>
  <c r="BB182" i="24142"/>
  <c r="BB119" i="23917"/>
  <c r="BE182" i="24142"/>
  <c r="BD182" i="24142"/>
  <c r="BD119" i="23917"/>
  <c r="BG182" i="24142"/>
  <c r="BF182" i="24142"/>
  <c r="BF119" i="23917"/>
  <c r="BI182" i="24142"/>
  <c r="BH182" i="24142"/>
  <c r="BH119" i="23917"/>
  <c r="BK182" i="24142"/>
  <c r="BJ182" i="24142"/>
  <c r="BJ119" i="23917"/>
  <c r="BM182" i="24142"/>
  <c r="BL182" i="24142"/>
  <c r="BL119" i="23917"/>
  <c r="BO182" i="24142"/>
  <c r="BN182" i="24142"/>
  <c r="BN119" i="23917"/>
  <c r="DU182" i="24142"/>
  <c r="BQ119" i="23917"/>
  <c r="BP182" i="24142"/>
  <c r="BP119" i="23917"/>
  <c r="BR182" i="24142"/>
  <c r="BR119" i="23917"/>
  <c r="BT182" i="24142"/>
  <c r="BT119" i="23917"/>
  <c r="BV182" i="24142"/>
  <c r="BV119" i="23917"/>
  <c r="BY119" i="23917"/>
  <c r="BX182" i="24142"/>
  <c r="BX119" i="23917"/>
  <c r="CE182" i="24142"/>
  <c r="CD182" i="24142"/>
  <c r="CD119" i="23917"/>
  <c r="DY182" i="24142"/>
  <c r="CG182" i="24142"/>
  <c r="CF182" i="24142"/>
  <c r="CF119" i="23917"/>
  <c r="CH182" i="24142"/>
  <c r="CH119" i="23917"/>
  <c r="CJ182" i="24142"/>
  <c r="CJ119" i="23917"/>
  <c r="CM182" i="24142"/>
  <c r="CL182" i="24142"/>
  <c r="CL119" i="23917"/>
  <c r="CN182" i="24142"/>
  <c r="CN119" i="23917"/>
  <c r="BG21" i="23917"/>
  <c r="Y329" i="23917"/>
  <c r="X264" i="24142"/>
  <c r="X329" i="23917"/>
  <c r="W331" i="23917"/>
  <c r="BS266" i="24142"/>
  <c r="AA269" i="24142"/>
  <c r="V271" i="24142"/>
  <c r="V336" i="23917"/>
  <c r="AF271" i="24142"/>
  <c r="AF336" i="23917"/>
  <c r="BF271" i="24142"/>
  <c r="BF336" i="23917"/>
  <c r="BI336" i="23917"/>
  <c r="BL271" i="24142"/>
  <c r="BL336" i="23917"/>
  <c r="BV271" i="24142"/>
  <c r="BV336" i="23917"/>
  <c r="CA271" i="24142"/>
  <c r="CA336" i="23917"/>
  <c r="CC271" i="24142"/>
  <c r="CF271" i="24142"/>
  <c r="CF336" i="23917"/>
  <c r="CD338" i="23917"/>
  <c r="CE337" i="23917"/>
  <c r="F271" i="24142"/>
  <c r="F336" i="23917"/>
  <c r="DG336" i="23917"/>
  <c r="L271" i="24142"/>
  <c r="L336" i="23917"/>
  <c r="T271" i="24142"/>
  <c r="T336" i="23917"/>
  <c r="DI336" i="23917"/>
  <c r="AP269" i="24142"/>
  <c r="AP334" i="23917"/>
  <c r="AY269" i="24142"/>
  <c r="X272" i="24142"/>
  <c r="X337" i="23917"/>
  <c r="Y337" i="23917"/>
  <c r="AH272" i="24142"/>
  <c r="AH337" i="23917"/>
  <c r="AH270" i="24142"/>
  <c r="B303" i="24142"/>
  <c r="B369" i="23917"/>
  <c r="G303" i="24142"/>
  <c r="F303" i="24142"/>
  <c r="F369" i="23917"/>
  <c r="J303" i="24142"/>
  <c r="J369" i="23917"/>
  <c r="K371" i="23917"/>
  <c r="J305" i="24142"/>
  <c r="J371" i="23917"/>
  <c r="DK453" i="23917"/>
  <c r="D384" i="24142"/>
  <c r="D450" i="23917"/>
  <c r="F384" i="24142"/>
  <c r="F450" i="23917"/>
  <c r="I450" i="23917"/>
  <c r="H384" i="24142"/>
  <c r="H450" i="23917"/>
  <c r="T384" i="24142"/>
  <c r="T450" i="23917"/>
  <c r="X384" i="24142"/>
  <c r="X450" i="23917"/>
  <c r="Z384" i="24142"/>
  <c r="Z450" i="23917"/>
  <c r="B384" i="24142"/>
  <c r="B450" i="23917"/>
  <c r="B386" i="24142"/>
  <c r="B452" i="23917"/>
  <c r="D387" i="24142"/>
  <c r="D453" i="23917"/>
  <c r="E387" i="24142"/>
  <c r="H387" i="24142"/>
  <c r="H453" i="23917"/>
  <c r="J385" i="24142"/>
  <c r="J451" i="23917"/>
  <c r="J387" i="24142"/>
  <c r="J453" i="23917"/>
  <c r="L385" i="24142"/>
  <c r="L451" i="23917"/>
  <c r="L387" i="24142"/>
  <c r="L453" i="23917"/>
  <c r="N385" i="24142"/>
  <c r="N451" i="23917"/>
  <c r="N387" i="24142"/>
  <c r="N453" i="23917"/>
  <c r="K451" i="23917"/>
  <c r="S451" i="23917"/>
  <c r="P392" i="24142"/>
  <c r="B409" i="24142"/>
  <c r="B429" i="24142"/>
  <c r="B495" i="23917"/>
  <c r="B475" i="23917"/>
  <c r="F411" i="24142"/>
  <c r="F409" i="24142"/>
  <c r="F429" i="24142"/>
  <c r="F495" i="23917"/>
  <c r="F475" i="23917"/>
  <c r="J409" i="24142"/>
  <c r="J429" i="24142"/>
  <c r="J495" i="23917"/>
  <c r="J475" i="23917"/>
  <c r="N411" i="24142"/>
  <c r="N409" i="24142"/>
  <c r="N429" i="24142"/>
  <c r="N495" i="23917"/>
  <c r="N475" i="23917"/>
  <c r="R409" i="24142"/>
  <c r="R429" i="24142"/>
  <c r="R495" i="23917"/>
  <c r="R475" i="23917"/>
  <c r="V409" i="24142"/>
  <c r="V429" i="24142"/>
  <c r="V495" i="23917"/>
  <c r="V475" i="23917"/>
  <c r="Z409" i="24142"/>
  <c r="Z429" i="24142"/>
  <c r="Z495" i="23917"/>
  <c r="Z475" i="23917"/>
  <c r="L415" i="24142"/>
  <c r="L481" i="23917"/>
  <c r="D450" i="24142"/>
  <c r="D516" i="23917"/>
  <c r="I516" i="23917"/>
  <c r="H450" i="24142"/>
  <c r="H516" i="23917"/>
  <c r="H481" i="24142"/>
  <c r="H547" i="23917"/>
  <c r="DL554" i="23917"/>
  <c r="K487" i="24142"/>
  <c r="B487" i="24142"/>
  <c r="B553" i="23917"/>
  <c r="AK21" i="23917"/>
  <c r="EI21" i="23917"/>
  <c r="EL21" i="23917"/>
  <c r="J41" i="23917"/>
  <c r="AA43" i="23917"/>
  <c r="Z41" i="23917"/>
  <c r="AG41" i="23917"/>
  <c r="AF41" i="23917"/>
  <c r="AK41" i="23917"/>
  <c r="AJ41" i="23917"/>
  <c r="AO41" i="23917"/>
  <c r="AN41" i="23917"/>
  <c r="AR43" i="23917"/>
  <c r="AR41" i="23917"/>
  <c r="AW41" i="23917"/>
  <c r="AV41" i="23917"/>
  <c r="BA41" i="23917"/>
  <c r="AZ41" i="23917"/>
  <c r="BM41" i="23917"/>
  <c r="BD41" i="23917"/>
  <c r="CJ41" i="23917"/>
  <c r="BU43" i="23917"/>
  <c r="T145" i="24142"/>
  <c r="T296" i="23917"/>
  <c r="V145" i="24142"/>
  <c r="V296" i="23917"/>
  <c r="X145" i="24142"/>
  <c r="X296" i="23917"/>
  <c r="Z145" i="24142"/>
  <c r="Z296" i="23917"/>
  <c r="AK145" i="24142"/>
  <c r="AB145" i="24142"/>
  <c r="AB296" i="23917"/>
  <c r="AD145" i="24142"/>
  <c r="AD296" i="23917"/>
  <c r="AF145" i="24142"/>
  <c r="AF296" i="23917"/>
  <c r="AH145" i="24142"/>
  <c r="AH296" i="23917"/>
  <c r="G145" i="24142"/>
  <c r="F145" i="24142"/>
  <c r="F296" i="23917"/>
  <c r="N145" i="24142"/>
  <c r="N296" i="23917"/>
  <c r="AN145" i="24142"/>
  <c r="AN296" i="23917"/>
  <c r="O145" i="24142"/>
  <c r="X147" i="24142"/>
  <c r="X298" i="23917"/>
  <c r="AK147" i="24142"/>
  <c r="AB147" i="24142"/>
  <c r="AB298" i="23917"/>
  <c r="AF147" i="24142"/>
  <c r="AF298" i="23917"/>
  <c r="DG197" i="24142"/>
  <c r="D204" i="24142"/>
  <c r="D175" i="24142"/>
  <c r="D142" i="23917"/>
  <c r="D112" i="23917"/>
  <c r="H204" i="24142"/>
  <c r="H175" i="24142"/>
  <c r="H142" i="23917"/>
  <c r="H112" i="23917"/>
  <c r="L177" i="24142"/>
  <c r="L204" i="24142"/>
  <c r="L175" i="24142"/>
  <c r="L142" i="23917"/>
  <c r="L112" i="23917"/>
  <c r="P204" i="24142"/>
  <c r="P175" i="24142"/>
  <c r="P142" i="23917"/>
  <c r="P112" i="23917"/>
  <c r="T177" i="24142"/>
  <c r="T204" i="24142"/>
  <c r="T175" i="24142"/>
  <c r="T142" i="23917"/>
  <c r="T112" i="23917"/>
  <c r="X204" i="24142"/>
  <c r="X175" i="24142"/>
  <c r="X142" i="23917"/>
  <c r="X112" i="23917"/>
  <c r="AB177" i="24142"/>
  <c r="AB204" i="24142"/>
  <c r="AB175" i="24142"/>
  <c r="AB142" i="23917"/>
  <c r="AB112" i="23917"/>
  <c r="AF204" i="24142"/>
  <c r="AF175" i="24142"/>
  <c r="AF142" i="23917"/>
  <c r="AF112" i="23917"/>
  <c r="AJ177" i="24142"/>
  <c r="AJ204" i="24142"/>
  <c r="AJ175" i="24142"/>
  <c r="AJ142" i="23917"/>
  <c r="AJ112" i="23917"/>
  <c r="AN204" i="24142"/>
  <c r="AN175" i="24142"/>
  <c r="AN142" i="23917"/>
  <c r="AN112" i="23917"/>
  <c r="AR177" i="24142"/>
  <c r="AR204" i="24142"/>
  <c r="AR175" i="24142"/>
  <c r="AR142" i="23917"/>
  <c r="AR112" i="23917"/>
  <c r="AV204" i="24142"/>
  <c r="AV175" i="24142"/>
  <c r="AV142" i="23917"/>
  <c r="AV112" i="23917"/>
  <c r="AZ177" i="24142"/>
  <c r="AZ204" i="24142"/>
  <c r="AZ175" i="24142"/>
  <c r="AZ142" i="23917"/>
  <c r="AZ112" i="23917"/>
  <c r="BD204" i="24142"/>
  <c r="BD175" i="24142"/>
  <c r="BD142" i="23917"/>
  <c r="BD112" i="23917"/>
  <c r="BH177" i="24142"/>
  <c r="BH204" i="24142"/>
  <c r="BH175" i="24142"/>
  <c r="BH142" i="23917"/>
  <c r="BH112" i="23917"/>
  <c r="BL204" i="24142"/>
  <c r="BL175" i="24142"/>
  <c r="BL142" i="23917"/>
  <c r="BL112" i="23917"/>
  <c r="BP177" i="24142"/>
  <c r="BP204" i="24142"/>
  <c r="BP175" i="24142"/>
  <c r="BP142" i="23917"/>
  <c r="BP112" i="23917"/>
  <c r="BT204" i="24142"/>
  <c r="BT175" i="24142"/>
  <c r="BT142" i="23917"/>
  <c r="BT112" i="23917"/>
  <c r="BX177" i="24142"/>
  <c r="BX204" i="24142"/>
  <c r="BX175" i="24142"/>
  <c r="BX142" i="23917"/>
  <c r="BX112" i="23917"/>
  <c r="CA204" i="24142"/>
  <c r="CA175" i="24142"/>
  <c r="CA142" i="23917"/>
  <c r="CA112" i="23917"/>
  <c r="CD204" i="24142"/>
  <c r="CD175" i="24142"/>
  <c r="CD142" i="23917"/>
  <c r="CD112" i="23917"/>
  <c r="CH204" i="24142"/>
  <c r="CH175" i="24142"/>
  <c r="CH142" i="23917"/>
  <c r="CH112" i="23917"/>
  <c r="CL204" i="24142"/>
  <c r="CL175" i="24142"/>
  <c r="CL142" i="23917"/>
  <c r="CL112" i="23917"/>
  <c r="F209" i="24142"/>
  <c r="F147" i="23917"/>
  <c r="CA182" i="24142"/>
  <c r="CA119" i="23917"/>
  <c r="F265" i="24142"/>
  <c r="F330" i="23917"/>
  <c r="J265" i="24142"/>
  <c r="J330" i="23917"/>
  <c r="S330" i="23917"/>
  <c r="V269" i="24142"/>
  <c r="V334" i="23917"/>
  <c r="Z271" i="24142"/>
  <c r="Z336" i="23917"/>
  <c r="AB271" i="24142"/>
  <c r="AB336" i="23917"/>
  <c r="AH271" i="24142"/>
  <c r="AH336" i="23917"/>
  <c r="AJ271" i="24142"/>
  <c r="AJ336" i="23917"/>
  <c r="AV271" i="24142"/>
  <c r="AV336" i="23917"/>
  <c r="DQ336" i="23917"/>
  <c r="AX271" i="24142"/>
  <c r="AX336" i="23917"/>
  <c r="BB271" i="24142"/>
  <c r="BB336" i="23917"/>
  <c r="BH271" i="24142"/>
  <c r="BH336" i="23917"/>
  <c r="BJ271" i="24142"/>
  <c r="BJ336" i="23917"/>
  <c r="BP271" i="24142"/>
  <c r="BP336" i="23917"/>
  <c r="BR271" i="24142"/>
  <c r="BR336" i="23917"/>
  <c r="BX271" i="24142"/>
  <c r="BX336" i="23917"/>
  <c r="BZ271" i="24142"/>
  <c r="BZ336" i="23917"/>
  <c r="CB271" i="24142"/>
  <c r="CB336" i="23917"/>
  <c r="CD271" i="24142"/>
  <c r="CD336" i="23917"/>
  <c r="CJ271" i="24142"/>
  <c r="CJ336" i="23917"/>
  <c r="CL271" i="24142"/>
  <c r="CL336" i="23917"/>
  <c r="I271" i="24142"/>
  <c r="H271" i="24142"/>
  <c r="H336" i="23917"/>
  <c r="J271" i="24142"/>
  <c r="J336" i="23917"/>
  <c r="P271" i="24142"/>
  <c r="P336" i="23917"/>
  <c r="R335" i="23917"/>
  <c r="R271" i="24142"/>
  <c r="R336" i="23917"/>
  <c r="AL271" i="24142"/>
  <c r="AL336" i="23917"/>
  <c r="AO271" i="24142"/>
  <c r="AN271" i="24142"/>
  <c r="AN336" i="23917"/>
  <c r="AR269" i="24142"/>
  <c r="AR334" i="23917"/>
  <c r="AT269" i="24142"/>
  <c r="AT334" i="23917"/>
  <c r="AB272" i="24142"/>
  <c r="AB337" i="23917"/>
  <c r="AD272" i="24142"/>
  <c r="AD337" i="23917"/>
  <c r="D303" i="24142"/>
  <c r="D369" i="23917"/>
  <c r="H372" i="23917"/>
  <c r="H303" i="24142"/>
  <c r="H369" i="23917"/>
  <c r="L303" i="24142"/>
  <c r="L369" i="23917"/>
  <c r="L305" i="24142"/>
  <c r="L371" i="23917"/>
  <c r="B377" i="23917"/>
  <c r="B312" i="24142"/>
  <c r="B378" i="23917"/>
  <c r="F312" i="24142"/>
  <c r="F378" i="23917"/>
  <c r="J377" i="23917"/>
  <c r="J312" i="24142"/>
  <c r="J378" i="23917"/>
  <c r="K312" i="24142"/>
  <c r="E385" i="24142"/>
  <c r="D385" i="24142"/>
  <c r="D451" i="23917"/>
  <c r="F385" i="24142"/>
  <c r="F451" i="23917"/>
  <c r="H385" i="24142"/>
  <c r="H451" i="23917"/>
  <c r="T385" i="24142"/>
  <c r="T451" i="23917"/>
  <c r="X385" i="24142"/>
  <c r="X451" i="23917"/>
  <c r="Z385" i="24142"/>
  <c r="Z451" i="23917"/>
  <c r="B385" i="24142"/>
  <c r="B451" i="23917"/>
  <c r="B387" i="24142"/>
  <c r="B453" i="23917"/>
  <c r="F387" i="24142"/>
  <c r="F453" i="23917"/>
  <c r="J384" i="24142"/>
  <c r="J450" i="23917"/>
  <c r="J386" i="24142"/>
  <c r="J452" i="23917"/>
  <c r="L384" i="24142"/>
  <c r="L450" i="23917"/>
  <c r="U386" i="24142"/>
  <c r="L386" i="24142"/>
  <c r="L452" i="23917"/>
  <c r="N384" i="24142"/>
  <c r="N450" i="23917"/>
  <c r="O386" i="24142"/>
  <c r="N386" i="24142"/>
  <c r="N452" i="23917"/>
  <c r="P385" i="24142"/>
  <c r="P451" i="23917"/>
  <c r="P387" i="24142"/>
  <c r="P453" i="23917"/>
  <c r="R385" i="24142"/>
  <c r="R451" i="23917"/>
  <c r="R387" i="24142"/>
  <c r="R453" i="23917"/>
  <c r="V384" i="24142"/>
  <c r="V450" i="23917"/>
  <c r="W452" i="23917"/>
  <c r="V386" i="24142"/>
  <c r="V452" i="23917"/>
  <c r="X387" i="24142"/>
  <c r="X453" i="23917"/>
  <c r="AB384" i="24142"/>
  <c r="AB450" i="23917"/>
  <c r="DK386" i="24142"/>
  <c r="AB386" i="24142"/>
  <c r="AB452" i="23917"/>
  <c r="DE344" i="24142"/>
  <c r="B344" i="24142"/>
  <c r="B410" i="23917"/>
  <c r="F344" i="24142"/>
  <c r="F410" i="23917"/>
  <c r="J344" i="24142"/>
  <c r="J410" i="23917"/>
  <c r="N344" i="24142"/>
  <c r="N410" i="23917"/>
  <c r="R344" i="24142"/>
  <c r="R410" i="23917"/>
  <c r="V344" i="24142"/>
  <c r="V410" i="23917"/>
  <c r="Z344" i="24142"/>
  <c r="Z410" i="23917"/>
  <c r="DK344" i="24142"/>
  <c r="D429" i="24142"/>
  <c r="D409" i="24142"/>
  <c r="D495" i="23917"/>
  <c r="D475" i="23917"/>
  <c r="H429" i="24142"/>
  <c r="H409" i="24142"/>
  <c r="H495" i="23917"/>
  <c r="H475" i="23917"/>
  <c r="L429" i="24142"/>
  <c r="L409" i="24142"/>
  <c r="L475" i="23917"/>
  <c r="L495" i="23917"/>
  <c r="P411" i="24142"/>
  <c r="P429" i="24142"/>
  <c r="P409" i="24142"/>
  <c r="P495" i="23917"/>
  <c r="P475" i="23917"/>
  <c r="T429" i="24142"/>
  <c r="T409" i="24142"/>
  <c r="T475" i="23917"/>
  <c r="T495" i="23917"/>
  <c r="X411" i="24142"/>
  <c r="X429" i="24142"/>
  <c r="X409" i="24142"/>
  <c r="X495" i="23917"/>
  <c r="X475" i="23917"/>
  <c r="R410" i="24142"/>
  <c r="R476" i="23917"/>
  <c r="M415" i="24142"/>
  <c r="F450" i="24142"/>
  <c r="F516" i="23917"/>
  <c r="DE554" i="23917"/>
  <c r="D554" i="23917"/>
  <c r="EH554" i="23917"/>
  <c r="EG554" i="23917"/>
  <c r="AG43" i="23917"/>
  <c r="AF33" i="24142"/>
  <c r="AF39" i="23917"/>
  <c r="DD41" i="23917"/>
  <c r="H43" i="23917"/>
  <c r="H41" i="23917"/>
  <c r="AC41" i="23917"/>
  <c r="T41" i="23917"/>
  <c r="AD41" i="23917"/>
  <c r="AI41" i="23917"/>
  <c r="AH41" i="23917"/>
  <c r="AL43" i="23917"/>
  <c r="AL41" i="23917"/>
  <c r="AP41" i="23917"/>
  <c r="AT41" i="23917"/>
  <c r="BG41" i="23917"/>
  <c r="AX41" i="23917"/>
  <c r="BB43" i="23917"/>
  <c r="BB41" i="23917"/>
  <c r="BH43" i="23917"/>
  <c r="BH41" i="23917"/>
  <c r="G41" i="23917"/>
  <c r="BW43" i="23917"/>
  <c r="AR25" i="24142"/>
  <c r="AR62" i="24142"/>
  <c r="Q94" i="23917"/>
  <c r="I96" i="23917"/>
  <c r="M96" i="23917"/>
  <c r="Q96" i="23917"/>
  <c r="Y96" i="23917"/>
  <c r="K94" i="23917"/>
  <c r="AR28" i="23917"/>
  <c r="AR71" i="23917"/>
  <c r="CO198" i="23917"/>
  <c r="CF34" i="24142"/>
  <c r="B125" i="24142"/>
  <c r="B227" i="23917"/>
  <c r="J125" i="24142"/>
  <c r="J227" i="23917"/>
  <c r="R125" i="24142"/>
  <c r="R227" i="23917"/>
  <c r="Z125" i="24142"/>
  <c r="Z227" i="23917"/>
  <c r="AH125" i="24142"/>
  <c r="AH227" i="23917"/>
  <c r="AP125" i="24142"/>
  <c r="AP227" i="23917"/>
  <c r="AX125" i="24142"/>
  <c r="AX227" i="23917"/>
  <c r="BF125" i="24142"/>
  <c r="BF227" i="23917"/>
  <c r="BN125" i="24142"/>
  <c r="BN227" i="23917"/>
  <c r="BV125" i="24142"/>
  <c r="BV227" i="23917"/>
  <c r="DC108" i="24142"/>
  <c r="DC204" i="23917"/>
  <c r="DK108" i="24142"/>
  <c r="DK204" i="23917"/>
  <c r="DS108" i="24142"/>
  <c r="DS204" i="23917"/>
  <c r="E3" i="24142"/>
  <c r="E56" i="24142" s="1"/>
  <c r="E3" i="23917"/>
  <c r="E542" i="23917" s="1"/>
  <c r="I3" i="24142"/>
  <c r="I3" i="23917"/>
  <c r="I506" i="23917" s="1"/>
  <c r="M3" i="24142"/>
  <c r="M56" i="24142" s="1"/>
  <c r="M3" i="23917"/>
  <c r="M542" i="23917" s="1"/>
  <c r="Q3" i="24142"/>
  <c r="Q3" i="23917"/>
  <c r="Q506" i="23917" s="1"/>
  <c r="U3" i="24142"/>
  <c r="U56" i="24142" s="1"/>
  <c r="U3" i="23917"/>
  <c r="U542" i="23917" s="1"/>
  <c r="Y3" i="24142"/>
  <c r="Y3" i="23917"/>
  <c r="Y506" i="23917" s="1"/>
  <c r="AC3" i="24142"/>
  <c r="AC96" i="24142" s="1"/>
  <c r="AC3" i="23917"/>
  <c r="AC542" i="23917" s="1"/>
  <c r="AG3" i="24142"/>
  <c r="AG3" i="23917"/>
  <c r="AG506" i="23917" s="1"/>
  <c r="AK3" i="24142"/>
  <c r="AK56" i="24142" s="1"/>
  <c r="AK3" i="23917"/>
  <c r="AK542" i="23917" s="1"/>
  <c r="AO3" i="24142"/>
  <c r="AO3" i="23917"/>
  <c r="AO506" i="23917" s="1"/>
  <c r="AS3" i="24142"/>
  <c r="AS403" i="24142" s="1"/>
  <c r="AS3" i="23917"/>
  <c r="AS542" i="23917" s="1"/>
  <c r="AW3" i="24142"/>
  <c r="AW3" i="23917"/>
  <c r="AW506" i="23917" s="1"/>
  <c r="BA3" i="24142"/>
  <c r="BA56" i="24142" s="1"/>
  <c r="BA3" i="23917"/>
  <c r="BA542" i="23917" s="1"/>
  <c r="BE3" i="24142"/>
  <c r="BE3" i="23917"/>
  <c r="BE506" i="23917" s="1"/>
  <c r="BI3" i="24142"/>
  <c r="BI96" i="24142" s="1"/>
  <c r="BI3" i="23917"/>
  <c r="BI542" i="23917" s="1"/>
  <c r="BM3" i="24142"/>
  <c r="BM3" i="23917"/>
  <c r="BM506" i="23917" s="1"/>
  <c r="BQ3" i="24142"/>
  <c r="BQ56" i="24142" s="1"/>
  <c r="BQ3" i="23917"/>
  <c r="BQ542" i="23917" s="1"/>
  <c r="BU3" i="24142"/>
  <c r="BU3" i="23917"/>
  <c r="BU506" i="23917" s="1"/>
  <c r="BY3" i="24142"/>
  <c r="BY133" i="24142" s="1"/>
  <c r="BY3" i="23917"/>
  <c r="BY542" i="23917" s="1"/>
  <c r="CE3" i="24142"/>
  <c r="CE3" i="23917"/>
  <c r="CE506" i="23917" s="1"/>
  <c r="CI3" i="24142"/>
  <c r="CI297" i="24142" s="1"/>
  <c r="CI3" i="23917"/>
  <c r="CI542" i="23917" s="1"/>
  <c r="CS3" i="24142"/>
  <c r="CS3" i="23917"/>
  <c r="CS506" i="23917" s="1"/>
  <c r="DF3" i="24142"/>
  <c r="DF56" i="24142" s="1"/>
  <c r="DF3" i="23917"/>
  <c r="DF542" i="23917" s="1"/>
  <c r="DJ3" i="24142"/>
  <c r="DJ3" i="23917"/>
  <c r="DJ506" i="23917" s="1"/>
  <c r="DN3" i="24142"/>
  <c r="DN297" i="24142" s="1"/>
  <c r="DN3" i="23917"/>
  <c r="DN542" i="23917" s="1"/>
  <c r="DR3" i="24142"/>
  <c r="DR3" i="23917"/>
  <c r="DR506" i="23917" s="1"/>
  <c r="DV3" i="24142"/>
  <c r="DV258" i="24142" s="1"/>
  <c r="DV3" i="23917"/>
  <c r="DV542" i="23917" s="1"/>
  <c r="DZ3" i="24142"/>
  <c r="DZ3" i="23917"/>
  <c r="DZ506" i="23917" s="1"/>
  <c r="EH3" i="24142"/>
  <c r="EH221" i="24142" s="1"/>
  <c r="EH3" i="23917"/>
  <c r="EH506" i="23917" s="1"/>
  <c r="S240" i="23917"/>
  <c r="DG244" i="23917"/>
  <c r="DT243" i="23917"/>
  <c r="DS243" i="23917"/>
  <c r="DO272" i="23917"/>
  <c r="DO244" i="23917"/>
  <c r="DW272" i="23917"/>
  <c r="DW244" i="23917"/>
  <c r="Q245" i="23917"/>
  <c r="Q219" i="23917"/>
  <c r="Y245" i="23917"/>
  <c r="Y219" i="23917"/>
  <c r="AG245" i="23917"/>
  <c r="AG219" i="23917"/>
  <c r="T247" i="23917"/>
  <c r="AB247" i="23917"/>
  <c r="AJ247" i="23917"/>
  <c r="AR247" i="23917"/>
  <c r="AZ247" i="23917"/>
  <c r="BD247" i="23917"/>
  <c r="BL247" i="23917"/>
  <c r="BT247" i="23917"/>
  <c r="X253" i="23917"/>
  <c r="AK253" i="23917"/>
  <c r="AJ253" i="23917"/>
  <c r="P270" i="23917"/>
  <c r="CP272" i="23917"/>
  <c r="CX257" i="23917"/>
  <c r="CP257" i="23917"/>
  <c r="DX256" i="23917"/>
  <c r="DW256" i="23917"/>
  <c r="DL259" i="23917"/>
  <c r="DK259" i="23917"/>
  <c r="S258" i="23917"/>
  <c r="M260" i="23917"/>
  <c r="L260" i="23917"/>
  <c r="AC260" i="23917"/>
  <c r="AB260" i="23917"/>
  <c r="AR262" i="23917"/>
  <c r="AZ262" i="23917"/>
  <c r="BL262" i="23917"/>
  <c r="BT262" i="23917"/>
  <c r="CH262" i="23917"/>
  <c r="BG269" i="23917"/>
  <c r="BC271" i="23917"/>
  <c r="CN272" i="23917"/>
  <c r="CW272" i="23917"/>
  <c r="DY271" i="23917"/>
  <c r="AR276" i="23917"/>
  <c r="AV276" i="23917"/>
  <c r="DI101" i="24142"/>
  <c r="DI197" i="23917"/>
  <c r="DN101" i="24142"/>
  <c r="DN197" i="23917"/>
  <c r="DP101" i="24142"/>
  <c r="DP197" i="23917"/>
  <c r="DR101" i="24142"/>
  <c r="DR197" i="23917"/>
  <c r="DT101" i="24142"/>
  <c r="DT197" i="23917"/>
  <c r="DV101" i="24142"/>
  <c r="DV197" i="23917"/>
  <c r="DX101" i="24142"/>
  <c r="DX197" i="23917"/>
  <c r="DZ101" i="24142"/>
  <c r="DZ197" i="23917"/>
  <c r="DD103" i="24142"/>
  <c r="DD199" i="23917"/>
  <c r="DF103" i="24142"/>
  <c r="DF199" i="23917"/>
  <c r="DH103" i="24142"/>
  <c r="DH199" i="23917"/>
  <c r="DJ103" i="24142"/>
  <c r="DJ199" i="23917"/>
  <c r="DL103" i="24142"/>
  <c r="DL199" i="23917"/>
  <c r="DN103" i="24142"/>
  <c r="DN199" i="23917"/>
  <c r="DP103" i="24142"/>
  <c r="DP199" i="23917"/>
  <c r="DR103" i="24142"/>
  <c r="DR199" i="23917"/>
  <c r="DT103" i="24142"/>
  <c r="DT199" i="23917"/>
  <c r="DV103" i="24142"/>
  <c r="DV199" i="23917"/>
  <c r="DX103" i="24142"/>
  <c r="DX199" i="23917"/>
  <c r="DZ103" i="24142"/>
  <c r="DZ199" i="23917"/>
  <c r="D102" i="24142"/>
  <c r="D198" i="23917"/>
  <c r="H102" i="24142"/>
  <c r="H198" i="23917"/>
  <c r="L102" i="24142"/>
  <c r="L198" i="23917"/>
  <c r="P102" i="24142"/>
  <c r="P198" i="23917"/>
  <c r="T102" i="24142"/>
  <c r="T198" i="23917"/>
  <c r="X102" i="24142"/>
  <c r="X198" i="23917"/>
  <c r="AB102" i="24142"/>
  <c r="AB198" i="23917"/>
  <c r="AF102" i="24142"/>
  <c r="AF198" i="23917"/>
  <c r="AJ102" i="24142"/>
  <c r="AJ198" i="23917"/>
  <c r="AN102" i="24142"/>
  <c r="AN198" i="23917"/>
  <c r="AR102" i="24142"/>
  <c r="AR198" i="23917"/>
  <c r="AV102" i="24142"/>
  <c r="AV198" i="23917"/>
  <c r="AZ102" i="24142"/>
  <c r="AZ198" i="23917"/>
  <c r="BD102" i="24142"/>
  <c r="BD198" i="23917"/>
  <c r="BH102" i="24142"/>
  <c r="BH198" i="23917"/>
  <c r="BL102" i="24142"/>
  <c r="BL198" i="23917"/>
  <c r="BQ198" i="23917"/>
  <c r="BP102" i="24142"/>
  <c r="BP198" i="23917"/>
  <c r="BT102" i="24142"/>
  <c r="BT198" i="23917"/>
  <c r="BX102" i="24142"/>
  <c r="BX198" i="23917"/>
  <c r="C101" i="24142"/>
  <c r="C197" i="23917"/>
  <c r="E103" i="24142"/>
  <c r="E199" i="23917"/>
  <c r="E104" i="24142"/>
  <c r="E200" i="23917"/>
  <c r="G102" i="24142"/>
  <c r="G198" i="23917"/>
  <c r="I101" i="24142"/>
  <c r="I197" i="23917"/>
  <c r="AY101" i="24142"/>
  <c r="AY197" i="23917"/>
  <c r="AY103" i="24142"/>
  <c r="AY199" i="23917"/>
  <c r="AY104" i="24142"/>
  <c r="AY200" i="23917"/>
  <c r="BA103" i="24142"/>
  <c r="BA199" i="23917"/>
  <c r="BA104" i="24142"/>
  <c r="BA200" i="23917"/>
  <c r="BC102" i="24142"/>
  <c r="BC198" i="23917"/>
  <c r="BE101" i="24142"/>
  <c r="BE197" i="23917"/>
  <c r="BG101" i="24142"/>
  <c r="BG197" i="23917"/>
  <c r="BG103" i="24142"/>
  <c r="BG199" i="23917"/>
  <c r="BG104" i="24142"/>
  <c r="BG200" i="23917"/>
  <c r="BI103" i="24142"/>
  <c r="BI199" i="23917"/>
  <c r="BI104" i="24142"/>
  <c r="BI200" i="23917"/>
  <c r="BK102" i="24142"/>
  <c r="BK198" i="23917"/>
  <c r="BM101" i="24142"/>
  <c r="BM197" i="23917"/>
  <c r="BO101" i="24142"/>
  <c r="BO197" i="23917"/>
  <c r="BO103" i="24142"/>
  <c r="BO199" i="23917"/>
  <c r="BO104" i="24142"/>
  <c r="BO200" i="23917"/>
  <c r="CE103" i="24142"/>
  <c r="CE199" i="23917"/>
  <c r="CE104" i="24142"/>
  <c r="CE200" i="23917"/>
  <c r="CG103" i="24142"/>
  <c r="CG199" i="23917"/>
  <c r="CG104" i="24142"/>
  <c r="CG200" i="23917"/>
  <c r="CI103" i="24142"/>
  <c r="CI199" i="23917"/>
  <c r="CI104" i="24142"/>
  <c r="CI200" i="23917"/>
  <c r="CK103" i="24142"/>
  <c r="CK199" i="23917"/>
  <c r="CK104" i="24142"/>
  <c r="CK200" i="23917"/>
  <c r="CM103" i="24142"/>
  <c r="CM199" i="23917"/>
  <c r="CM104" i="24142"/>
  <c r="CM200" i="23917"/>
  <c r="AY107" i="24142"/>
  <c r="AY203" i="23917"/>
  <c r="BC107" i="24142"/>
  <c r="BC203" i="23917"/>
  <c r="BG107" i="24142"/>
  <c r="BG203" i="23917"/>
  <c r="BK107" i="24142"/>
  <c r="BK203" i="23917"/>
  <c r="BO107" i="24142"/>
  <c r="BO203" i="23917"/>
  <c r="CG107" i="24142"/>
  <c r="CG203" i="23917"/>
  <c r="CK107" i="24142"/>
  <c r="CK203" i="23917"/>
  <c r="DE107" i="24142"/>
  <c r="DE203" i="23917"/>
  <c r="DI107" i="24142"/>
  <c r="DI203" i="23917"/>
  <c r="DM107" i="24142"/>
  <c r="DM203" i="23917"/>
  <c r="DQ107" i="24142"/>
  <c r="DQ203" i="23917"/>
  <c r="DU107" i="24142"/>
  <c r="DU203" i="23917"/>
  <c r="DY107" i="24142"/>
  <c r="DY203" i="23917"/>
  <c r="DG108" i="24142"/>
  <c r="DG204" i="23917"/>
  <c r="DO108" i="24142"/>
  <c r="DO204" i="23917"/>
  <c r="DW108" i="24142"/>
  <c r="DW204" i="23917"/>
  <c r="DE109" i="24142"/>
  <c r="DE205" i="23917"/>
  <c r="DM109" i="24142"/>
  <c r="DM205" i="23917"/>
  <c r="DU109" i="24142"/>
  <c r="DU205" i="23917"/>
  <c r="AJ108" i="24142"/>
  <c r="AJ204" i="23917"/>
  <c r="AV108" i="24142"/>
  <c r="AV204" i="23917"/>
  <c r="AX108" i="24142"/>
  <c r="AX204" i="23917"/>
  <c r="AZ108" i="24142"/>
  <c r="AZ204" i="23917"/>
  <c r="BB108" i="24142"/>
  <c r="BB204" i="23917"/>
  <c r="BD108" i="24142"/>
  <c r="BD204" i="23917"/>
  <c r="BF108" i="24142"/>
  <c r="BF204" i="23917"/>
  <c r="BH108" i="24142"/>
  <c r="BH204" i="23917"/>
  <c r="BJ108" i="24142"/>
  <c r="BJ204" i="23917"/>
  <c r="BL108" i="24142"/>
  <c r="BL204" i="23917"/>
  <c r="BN108" i="24142"/>
  <c r="BN204" i="23917"/>
  <c r="BP108" i="24142"/>
  <c r="BP204" i="23917"/>
  <c r="BR108" i="24142"/>
  <c r="BR204" i="23917"/>
  <c r="BT108" i="24142"/>
  <c r="BT204" i="23917"/>
  <c r="BV108" i="24142"/>
  <c r="BV204" i="23917"/>
  <c r="BX108" i="24142"/>
  <c r="BX204" i="23917"/>
  <c r="BZ108" i="24142"/>
  <c r="BZ204" i="23917"/>
  <c r="BC109" i="24142"/>
  <c r="BG109" i="24142"/>
  <c r="BG205" i="23917"/>
  <c r="BK109" i="24142"/>
  <c r="BK205" i="23917"/>
  <c r="BO109" i="24142"/>
  <c r="CG109" i="24142"/>
  <c r="CK109" i="24142"/>
  <c r="CK205" i="23917"/>
  <c r="C109" i="24142"/>
  <c r="C205" i="23917"/>
  <c r="F108" i="24142"/>
  <c r="F204" i="23917"/>
  <c r="H108" i="24142"/>
  <c r="H204" i="23917"/>
  <c r="H206" i="23917"/>
  <c r="N108" i="24142"/>
  <c r="N204" i="23917"/>
  <c r="P108" i="24142"/>
  <c r="P204" i="23917"/>
  <c r="V108" i="24142"/>
  <c r="V204" i="23917"/>
  <c r="X108" i="24142"/>
  <c r="X204" i="23917"/>
  <c r="AD108" i="24142"/>
  <c r="AD204" i="23917"/>
  <c r="AF108" i="24142"/>
  <c r="AF204" i="23917"/>
  <c r="AF110" i="24142"/>
  <c r="AL108" i="24142"/>
  <c r="AL204" i="23917"/>
  <c r="AN108" i="24142"/>
  <c r="AN204" i="23917"/>
  <c r="AN206" i="23917"/>
  <c r="AP110" i="24142"/>
  <c r="AP206" i="23917"/>
  <c r="AT108" i="24142"/>
  <c r="AT204" i="23917"/>
  <c r="E109" i="24142"/>
  <c r="E205" i="23917"/>
  <c r="G107" i="24142"/>
  <c r="G203" i="23917"/>
  <c r="I109" i="24142"/>
  <c r="F125" i="24142"/>
  <c r="F227" i="23917"/>
  <c r="N125" i="24142"/>
  <c r="V125" i="24142"/>
  <c r="V227" i="23917"/>
  <c r="AD125" i="24142"/>
  <c r="AD227" i="23917"/>
  <c r="AL125" i="24142"/>
  <c r="AL227" i="23917"/>
  <c r="AT125" i="24142"/>
  <c r="AT227" i="23917"/>
  <c r="BB125" i="24142"/>
  <c r="BB227" i="23917"/>
  <c r="BJ125" i="24142"/>
  <c r="BR125" i="24142"/>
  <c r="BR227" i="23917"/>
  <c r="BZ125" i="24142"/>
  <c r="BZ227" i="23917"/>
  <c r="DD114" i="24142"/>
  <c r="DD210" i="23917"/>
  <c r="DF114" i="24142"/>
  <c r="DF210" i="23917"/>
  <c r="DH114" i="24142"/>
  <c r="DH210" i="23917"/>
  <c r="DJ114" i="24142"/>
  <c r="DJ210" i="23917"/>
  <c r="DL114" i="24142"/>
  <c r="DL210" i="23917"/>
  <c r="DN114" i="24142"/>
  <c r="DN210" i="23917"/>
  <c r="DP114" i="24142"/>
  <c r="DP210" i="23917"/>
  <c r="DR114" i="24142"/>
  <c r="DR210" i="23917"/>
  <c r="DT114" i="24142"/>
  <c r="DT210" i="23917"/>
  <c r="DV114" i="24142"/>
  <c r="DV210" i="23917"/>
  <c r="DX114" i="24142"/>
  <c r="DX210" i="23917"/>
  <c r="DZ114" i="24142"/>
  <c r="DZ210" i="23917"/>
  <c r="G114" i="24142"/>
  <c r="G210" i="23917"/>
  <c r="BA114" i="24142"/>
  <c r="BA210" i="23917"/>
  <c r="CI114" i="24142"/>
  <c r="CI210" i="23917"/>
  <c r="C114" i="24142"/>
  <c r="C210" i="23917"/>
  <c r="BA21" i="23917"/>
  <c r="AZ21" i="23917"/>
  <c r="BC114" i="24142"/>
  <c r="BC210" i="23917"/>
  <c r="BE114" i="24142"/>
  <c r="BE210" i="23917"/>
  <c r="BG114" i="24142"/>
  <c r="BG210" i="23917"/>
  <c r="BI114" i="24142"/>
  <c r="BI210" i="23917"/>
  <c r="BK114" i="24142"/>
  <c r="BK210" i="23917"/>
  <c r="BM114" i="24142"/>
  <c r="BM210" i="23917"/>
  <c r="BO114" i="24142"/>
  <c r="BO210" i="23917"/>
  <c r="CE114" i="24142"/>
  <c r="CE210" i="23917"/>
  <c r="CK114" i="24142"/>
  <c r="CK210" i="23917"/>
  <c r="CM114" i="24142"/>
  <c r="CM210" i="23917"/>
  <c r="E138" i="24142"/>
  <c r="E289" i="23917"/>
  <c r="P140" i="24142"/>
  <c r="AF140" i="24142"/>
  <c r="DQ138" i="24142"/>
  <c r="DQ289" i="23917"/>
  <c r="DU138" i="24142"/>
  <c r="DU289" i="23917"/>
  <c r="DY138" i="24142"/>
  <c r="DY289" i="23917"/>
  <c r="DD139" i="24142"/>
  <c r="DD290" i="23917"/>
  <c r="DF139" i="24142"/>
  <c r="DF290" i="23917"/>
  <c r="DH139" i="24142"/>
  <c r="DH290" i="23917"/>
  <c r="DJ139" i="24142"/>
  <c r="DJ290" i="23917"/>
  <c r="DL139" i="24142"/>
  <c r="DL290" i="23917"/>
  <c r="DN139" i="24142"/>
  <c r="DN290" i="23917"/>
  <c r="DP139" i="24142"/>
  <c r="DP290" i="23917"/>
  <c r="DR139" i="24142"/>
  <c r="DR290" i="23917"/>
  <c r="DT139" i="24142"/>
  <c r="DT290" i="23917"/>
  <c r="DV139" i="24142"/>
  <c r="DV290" i="23917"/>
  <c r="DX139" i="24142"/>
  <c r="DX290" i="23917"/>
  <c r="DZ139" i="24142"/>
  <c r="DZ290" i="23917"/>
  <c r="B140" i="24142"/>
  <c r="B291" i="23917"/>
  <c r="R140" i="24142"/>
  <c r="R291" i="23917"/>
  <c r="AH140" i="24142"/>
  <c r="AH291" i="23917"/>
  <c r="AP140" i="24142"/>
  <c r="AP291" i="23917"/>
  <c r="AV140" i="24142"/>
  <c r="AV291" i="23917"/>
  <c r="AZ140" i="24142"/>
  <c r="AZ291" i="23917"/>
  <c r="BD140" i="24142"/>
  <c r="BD291" i="23917"/>
  <c r="BH140" i="24142"/>
  <c r="BH291" i="23917"/>
  <c r="BL140" i="24142"/>
  <c r="BL291" i="23917"/>
  <c r="BP140" i="24142"/>
  <c r="BP291" i="23917"/>
  <c r="BT140" i="24142"/>
  <c r="BT291" i="23917"/>
  <c r="BX140" i="24142"/>
  <c r="BX291" i="23917"/>
  <c r="C141" i="24142"/>
  <c r="C292" i="23917"/>
  <c r="G139" i="24142"/>
  <c r="G290" i="23917"/>
  <c r="G141" i="24142"/>
  <c r="G292" i="23917"/>
  <c r="AY138" i="24142"/>
  <c r="AY289" i="23917"/>
  <c r="BA139" i="24142"/>
  <c r="BA290" i="23917"/>
  <c r="BA141" i="24142"/>
  <c r="BA292" i="23917"/>
  <c r="BE138" i="24142"/>
  <c r="BE289" i="23917"/>
  <c r="BG138" i="24142"/>
  <c r="BG289" i="23917"/>
  <c r="BI138" i="24142"/>
  <c r="BI289" i="23917"/>
  <c r="BK138" i="24142"/>
  <c r="BK289" i="23917"/>
  <c r="BM138" i="24142"/>
  <c r="BM289" i="23917"/>
  <c r="BO138" i="24142"/>
  <c r="BO289" i="23917"/>
  <c r="CE138" i="24142"/>
  <c r="CE289" i="23917"/>
  <c r="CG138" i="24142"/>
  <c r="CG289" i="23917"/>
  <c r="CI138" i="24142"/>
  <c r="CI289" i="23917"/>
  <c r="CK138" i="24142"/>
  <c r="CK289" i="23917"/>
  <c r="CM138" i="24142"/>
  <c r="CM289" i="23917"/>
  <c r="H144" i="24142"/>
  <c r="H295" i="23917"/>
  <c r="L144" i="24142"/>
  <c r="L295" i="23917"/>
  <c r="I296" i="23917"/>
  <c r="K145" i="24142"/>
  <c r="K296" i="23917"/>
  <c r="L146" i="24142"/>
  <c r="L297" i="23917"/>
  <c r="V144" i="24142"/>
  <c r="V295" i="23917"/>
  <c r="X144" i="24142"/>
  <c r="X295" i="23917"/>
  <c r="Z144" i="24142"/>
  <c r="Z295" i="23917"/>
  <c r="AB144" i="24142"/>
  <c r="AB295" i="23917"/>
  <c r="AD144" i="24142"/>
  <c r="AD295" i="23917"/>
  <c r="AF144" i="24142"/>
  <c r="AF295" i="23917"/>
  <c r="AH144" i="24142"/>
  <c r="AH295" i="23917"/>
  <c r="AJ144" i="24142"/>
  <c r="AJ295" i="23917"/>
  <c r="AT144" i="24142"/>
  <c r="AT295" i="23917"/>
  <c r="AX144" i="24142"/>
  <c r="AX295" i="23917"/>
  <c r="BB144" i="24142"/>
  <c r="BB295" i="23917"/>
  <c r="BF144" i="24142"/>
  <c r="BF295" i="23917"/>
  <c r="BJ144" i="24142"/>
  <c r="BJ295" i="23917"/>
  <c r="BN144" i="24142"/>
  <c r="BN295" i="23917"/>
  <c r="BR144" i="24142"/>
  <c r="BR295" i="23917"/>
  <c r="BV144" i="24142"/>
  <c r="BV295" i="23917"/>
  <c r="BZ144" i="24142"/>
  <c r="BZ295" i="23917"/>
  <c r="DQ145" i="24142"/>
  <c r="DQ296" i="23917"/>
  <c r="DS145" i="24142"/>
  <c r="DS296" i="23917"/>
  <c r="DU296" i="23917"/>
  <c r="DY145" i="24142"/>
  <c r="DY296" i="23917"/>
  <c r="AS147" i="24142"/>
  <c r="AS298" i="23917"/>
  <c r="AU147" i="24142"/>
  <c r="AU298" i="23917"/>
  <c r="DK145" i="24142"/>
  <c r="DK296" i="23917"/>
  <c r="DM145" i="24142"/>
  <c r="DM296" i="23917"/>
  <c r="DC147" i="24142"/>
  <c r="DC298" i="23917"/>
  <c r="DE147" i="24142"/>
  <c r="DE298" i="23917"/>
  <c r="DG147" i="24142"/>
  <c r="DG298" i="23917"/>
  <c r="T146" i="24142"/>
  <c r="T297" i="23917"/>
  <c r="AK296" i="23917"/>
  <c r="AQ145" i="24142"/>
  <c r="AQ296" i="23917"/>
  <c r="B144" i="24142"/>
  <c r="B295" i="23917"/>
  <c r="D144" i="24142"/>
  <c r="D295" i="23917"/>
  <c r="G296" i="23917"/>
  <c r="P144" i="24142"/>
  <c r="P295" i="23917"/>
  <c r="R144" i="24142"/>
  <c r="R295" i="23917"/>
  <c r="AL144" i="24142"/>
  <c r="AL295" i="23917"/>
  <c r="AO145" i="24142"/>
  <c r="AO296" i="23917"/>
  <c r="AR144" i="24142"/>
  <c r="AR295" i="23917"/>
  <c r="E147" i="24142"/>
  <c r="E298" i="23917"/>
  <c r="DD151" i="24142"/>
  <c r="DD302" i="23917"/>
  <c r="DF151" i="24142"/>
  <c r="DF302" i="23917"/>
  <c r="DH151" i="24142"/>
  <c r="DH302" i="23917"/>
  <c r="DJ151" i="24142"/>
  <c r="DJ302" i="23917"/>
  <c r="DL151" i="24142"/>
  <c r="DL302" i="23917"/>
  <c r="DN151" i="24142"/>
  <c r="DN302" i="23917"/>
  <c r="DP151" i="24142"/>
  <c r="DP302" i="23917"/>
  <c r="DR151" i="24142"/>
  <c r="DR302" i="23917"/>
  <c r="DT151" i="24142"/>
  <c r="DT302" i="23917"/>
  <c r="DV151" i="24142"/>
  <c r="DV302" i="23917"/>
  <c r="DX151" i="24142"/>
  <c r="DX302" i="23917"/>
  <c r="DZ151" i="24142"/>
  <c r="DZ302" i="23917"/>
  <c r="CI151" i="24142"/>
  <c r="CI302" i="23917"/>
  <c r="DC226" i="24142"/>
  <c r="DC164" i="23917"/>
  <c r="DC229" i="24142"/>
  <c r="DC167" i="23917"/>
  <c r="DC228" i="24142"/>
  <c r="DC168" i="23917"/>
  <c r="DG227" i="24142"/>
  <c r="DG165" i="23917"/>
  <c r="DG229" i="24142"/>
  <c r="DG167" i="23917"/>
  <c r="DJ166" i="23917"/>
  <c r="DG166" i="23917"/>
  <c r="DG228" i="24142"/>
  <c r="DG168" i="23917"/>
  <c r="DS227" i="24142"/>
  <c r="DS165" i="23917"/>
  <c r="DW227" i="24142"/>
  <c r="DW165" i="23917"/>
  <c r="DU229" i="24142"/>
  <c r="DU167" i="23917"/>
  <c r="DY229" i="24142"/>
  <c r="DY167" i="23917"/>
  <c r="DU228" i="24142"/>
  <c r="DU168" i="23917"/>
  <c r="DY228" i="24142"/>
  <c r="DY168" i="23917"/>
  <c r="C227" i="24142"/>
  <c r="C165" i="23917"/>
  <c r="E227" i="24142"/>
  <c r="E165" i="23917"/>
  <c r="G227" i="24142"/>
  <c r="G165" i="23917"/>
  <c r="I227" i="24142"/>
  <c r="I165" i="23917"/>
  <c r="K227" i="24142"/>
  <c r="K165" i="23917"/>
  <c r="M227" i="24142"/>
  <c r="M165" i="23917"/>
  <c r="O227" i="24142"/>
  <c r="O165" i="23917"/>
  <c r="Q227" i="24142"/>
  <c r="Q165" i="23917"/>
  <c r="S227" i="24142"/>
  <c r="S165" i="23917"/>
  <c r="U227" i="24142"/>
  <c r="U165" i="23917"/>
  <c r="W227" i="24142"/>
  <c r="W165" i="23917"/>
  <c r="Y227" i="24142"/>
  <c r="Y165" i="23917"/>
  <c r="AA227" i="24142"/>
  <c r="AA165" i="23917"/>
  <c r="AC227" i="24142"/>
  <c r="AC165" i="23917"/>
  <c r="AE227" i="24142"/>
  <c r="AE165" i="23917"/>
  <c r="AG227" i="24142"/>
  <c r="AG165" i="23917"/>
  <c r="AI227" i="24142"/>
  <c r="AI165" i="23917"/>
  <c r="AK227" i="24142"/>
  <c r="AK165" i="23917"/>
  <c r="AM227" i="24142"/>
  <c r="AM165" i="23917"/>
  <c r="AO227" i="24142"/>
  <c r="AO165" i="23917"/>
  <c r="AQ227" i="24142"/>
  <c r="AQ165" i="23917"/>
  <c r="AS227" i="24142"/>
  <c r="AS165" i="23917"/>
  <c r="AU227" i="24142"/>
  <c r="AU165" i="23917"/>
  <c r="AW227" i="24142"/>
  <c r="AW165" i="23917"/>
  <c r="AY227" i="24142"/>
  <c r="AY165" i="23917"/>
  <c r="BA227" i="24142"/>
  <c r="BA165" i="23917"/>
  <c r="BC227" i="24142"/>
  <c r="BC165" i="23917"/>
  <c r="BE227" i="24142"/>
  <c r="BE165" i="23917"/>
  <c r="BG227" i="24142"/>
  <c r="BG165" i="23917"/>
  <c r="BI227" i="24142"/>
  <c r="BI165" i="23917"/>
  <c r="BK227" i="24142"/>
  <c r="BK165" i="23917"/>
  <c r="BM227" i="24142"/>
  <c r="BM165" i="23917"/>
  <c r="BO227" i="24142"/>
  <c r="BO165" i="23917"/>
  <c r="CP227" i="24142"/>
  <c r="CP165" i="23917"/>
  <c r="CR227" i="24142"/>
  <c r="CR165" i="23917"/>
  <c r="DV230" i="24142"/>
  <c r="DU230" i="24142"/>
  <c r="EM230" i="24142"/>
  <c r="DY230" i="24142"/>
  <c r="J231" i="24142"/>
  <c r="J169" i="23917"/>
  <c r="J133" i="23917"/>
  <c r="DT232" i="24142"/>
  <c r="DS232" i="24142"/>
  <c r="DX232" i="24142"/>
  <c r="DW232" i="24142"/>
  <c r="CE227" i="24142"/>
  <c r="CE165" i="23917"/>
  <c r="CG227" i="24142"/>
  <c r="CG165" i="23917"/>
  <c r="CI227" i="24142"/>
  <c r="CI165" i="23917"/>
  <c r="CK227" i="24142"/>
  <c r="CK165" i="23917"/>
  <c r="CM227" i="24142"/>
  <c r="CM165" i="23917"/>
  <c r="DL229" i="24142"/>
  <c r="DL167" i="23917"/>
  <c r="DN229" i="24142"/>
  <c r="DN167" i="23917"/>
  <c r="DP229" i="24142"/>
  <c r="DP167" i="23917"/>
  <c r="DR229" i="24142"/>
  <c r="DR167" i="23917"/>
  <c r="DG233" i="24142"/>
  <c r="DG195" i="24142"/>
  <c r="DI227" i="24142"/>
  <c r="DI165" i="23917"/>
  <c r="DK227" i="24142"/>
  <c r="DK165" i="23917"/>
  <c r="DN166" i="23917"/>
  <c r="DK166" i="23917"/>
  <c r="DN230" i="24142"/>
  <c r="DK230" i="24142"/>
  <c r="DM227" i="24142"/>
  <c r="DM165" i="23917"/>
  <c r="DO227" i="24142"/>
  <c r="DO165" i="23917"/>
  <c r="DR166" i="23917"/>
  <c r="DO166" i="23917"/>
  <c r="DR230" i="24142"/>
  <c r="DO230" i="24142"/>
  <c r="DQ227" i="24142"/>
  <c r="DQ165" i="23917"/>
  <c r="C235" i="24142"/>
  <c r="C171" i="23917"/>
  <c r="E235" i="24142"/>
  <c r="E171" i="23917"/>
  <c r="G235" i="24142"/>
  <c r="G171" i="23917"/>
  <c r="I235" i="24142"/>
  <c r="I171" i="23917"/>
  <c r="K235" i="24142"/>
  <c r="K171" i="23917"/>
  <c r="M235" i="24142"/>
  <c r="M171" i="23917"/>
  <c r="O235" i="24142"/>
  <c r="O171" i="23917"/>
  <c r="Q235" i="24142"/>
  <c r="Q171" i="23917"/>
  <c r="S235" i="24142"/>
  <c r="S171" i="23917"/>
  <c r="U235" i="24142"/>
  <c r="U171" i="23917"/>
  <c r="W235" i="24142"/>
  <c r="W171" i="23917"/>
  <c r="Y235" i="24142"/>
  <c r="Y171" i="23917"/>
  <c r="AA235" i="24142"/>
  <c r="AA171" i="23917"/>
  <c r="AC235" i="24142"/>
  <c r="AC171" i="23917"/>
  <c r="AE235" i="24142"/>
  <c r="AE171" i="23917"/>
  <c r="AG235" i="24142"/>
  <c r="AG171" i="23917"/>
  <c r="AI235" i="24142"/>
  <c r="AI171" i="23917"/>
  <c r="AK235" i="24142"/>
  <c r="AK171" i="23917"/>
  <c r="AM235" i="24142"/>
  <c r="AM171" i="23917"/>
  <c r="AO235" i="24142"/>
  <c r="AO171" i="23917"/>
  <c r="AQ235" i="24142"/>
  <c r="AQ171" i="23917"/>
  <c r="AS235" i="24142"/>
  <c r="AS171" i="23917"/>
  <c r="AU235" i="24142"/>
  <c r="AU171" i="23917"/>
  <c r="AW235" i="24142"/>
  <c r="AW171" i="23917"/>
  <c r="AY235" i="24142"/>
  <c r="AY171" i="23917"/>
  <c r="BA235" i="24142"/>
  <c r="BA171" i="23917"/>
  <c r="BC235" i="24142"/>
  <c r="BC171" i="23917"/>
  <c r="BE235" i="24142"/>
  <c r="BE171" i="23917"/>
  <c r="BG235" i="24142"/>
  <c r="BG171" i="23917"/>
  <c r="BI235" i="24142"/>
  <c r="BI171" i="23917"/>
  <c r="BK235" i="24142"/>
  <c r="BK171" i="23917"/>
  <c r="BM235" i="24142"/>
  <c r="BM171" i="23917"/>
  <c r="BO235" i="24142"/>
  <c r="BO171" i="23917"/>
  <c r="C3" i="24142"/>
  <c r="C3" i="23917"/>
  <c r="G3" i="24142"/>
  <c r="G339" i="24142" s="1"/>
  <c r="G3" i="23917"/>
  <c r="G363" i="23917" s="1"/>
  <c r="K3" i="24142"/>
  <c r="K3" i="23917"/>
  <c r="O3" i="24142"/>
  <c r="O440" i="24142" s="1"/>
  <c r="O3" i="23917"/>
  <c r="O106" i="23917" s="1"/>
  <c r="S3" i="24142"/>
  <c r="S3" i="23917"/>
  <c r="W3" i="24142"/>
  <c r="W339" i="24142" s="1"/>
  <c r="W3" i="23917"/>
  <c r="W506" i="23917" s="1"/>
  <c r="AA3" i="24142"/>
  <c r="AA3" i="23917"/>
  <c r="AE3" i="24142"/>
  <c r="AE440" i="24142" s="1"/>
  <c r="AE3" i="23917"/>
  <c r="AE323" i="23917" s="1"/>
  <c r="AI3" i="24142"/>
  <c r="AI3" i="23917"/>
  <c r="AM3" i="24142"/>
  <c r="AM339" i="24142" s="1"/>
  <c r="AM3" i="23917"/>
  <c r="AM506" i="23917" s="1"/>
  <c r="AQ3" i="24142"/>
  <c r="AQ3" i="23917"/>
  <c r="AU3" i="24142"/>
  <c r="AU440" i="24142" s="1"/>
  <c r="AU3" i="23917"/>
  <c r="AU469" i="23917" s="1"/>
  <c r="AY3" i="24142"/>
  <c r="AY3" i="23917"/>
  <c r="BC3" i="24142"/>
  <c r="BC297" i="24142" s="1"/>
  <c r="BC3" i="23917"/>
  <c r="BC192" i="23917" s="1"/>
  <c r="BG3" i="24142"/>
  <c r="BG3" i="23917"/>
  <c r="BK3" i="24142"/>
  <c r="BK258" i="24142" s="1"/>
  <c r="BK3" i="23917"/>
  <c r="BK469" i="23917" s="1"/>
  <c r="BO3" i="24142"/>
  <c r="BO3" i="23917"/>
  <c r="BS3" i="24142"/>
  <c r="BS440" i="24142" s="1"/>
  <c r="BS3" i="23917"/>
  <c r="BS405" i="23917" s="1"/>
  <c r="BW3" i="24142"/>
  <c r="BW3" i="23917"/>
  <c r="CA3" i="24142"/>
  <c r="CA403" i="24142" s="1"/>
  <c r="CA3" i="23917"/>
  <c r="CA106" i="23917" s="1"/>
  <c r="CC3" i="24142"/>
  <c r="CC3" i="23917"/>
  <c r="CC542" i="23917" s="1"/>
  <c r="CG3" i="24142"/>
  <c r="CG297" i="24142" s="1"/>
  <c r="CG3" i="23917"/>
  <c r="CG506" i="23917" s="1"/>
  <c r="CK3" i="24142"/>
  <c r="CK3" i="23917"/>
  <c r="CK542" i="23917" s="1"/>
  <c r="CM3" i="24142"/>
  <c r="CM476" i="24142" s="1"/>
  <c r="CM3" i="23917"/>
  <c r="CM284" i="23917" s="1"/>
  <c r="CQ3" i="24142"/>
  <c r="CQ3" i="23917"/>
  <c r="DD3" i="24142"/>
  <c r="DD403" i="24142" s="1"/>
  <c r="DD3" i="23917"/>
  <c r="DD444" i="23917" s="1"/>
  <c r="DH3" i="24142"/>
  <c r="DH3" i="23917"/>
  <c r="DL3" i="24142"/>
  <c r="DL339" i="24142" s="1"/>
  <c r="DL3" i="23917"/>
  <c r="DL405" i="23917" s="1"/>
  <c r="DP3" i="24142"/>
  <c r="DP3" i="23917"/>
  <c r="DT3" i="24142"/>
  <c r="DT169" i="24142" s="1"/>
  <c r="DT3" i="23917"/>
  <c r="DT159" i="23917" s="1"/>
  <c r="DX3" i="24142"/>
  <c r="DX3" i="23917"/>
  <c r="EB3" i="24142"/>
  <c r="EB476" i="24142" s="1"/>
  <c r="EB3" i="23917"/>
  <c r="EB542" i="23917" s="1"/>
  <c r="EF3" i="24142"/>
  <c r="EF3" i="23917"/>
  <c r="EJ3" i="24142"/>
  <c r="EJ221" i="24142" s="1"/>
  <c r="EJ3" i="23917"/>
  <c r="EJ469" i="23917" s="1"/>
  <c r="N268" i="23917"/>
  <c r="N240" i="23917"/>
  <c r="R268" i="23917"/>
  <c r="R240" i="23917"/>
  <c r="V268" i="23917"/>
  <c r="V240" i="23917"/>
  <c r="Z268" i="23917"/>
  <c r="Z240" i="23917"/>
  <c r="AD268" i="23917"/>
  <c r="AD240" i="23917"/>
  <c r="AH268" i="23917"/>
  <c r="AH240" i="23917"/>
  <c r="AL268" i="23917"/>
  <c r="AL240" i="23917"/>
  <c r="AP268" i="23917"/>
  <c r="AP240" i="23917"/>
  <c r="DH241" i="23917"/>
  <c r="DG241" i="23917"/>
  <c r="DL241" i="23917"/>
  <c r="DK241" i="23917"/>
  <c r="DP241" i="23917"/>
  <c r="DO241" i="23917"/>
  <c r="DS247" i="23917"/>
  <c r="DS241" i="23917"/>
  <c r="DH242" i="23917"/>
  <c r="DG242" i="23917"/>
  <c r="DL242" i="23917"/>
  <c r="DK242" i="23917"/>
  <c r="DK272" i="23917"/>
  <c r="DK244" i="23917"/>
  <c r="DP242" i="23917"/>
  <c r="DO242" i="23917"/>
  <c r="DV243" i="23917"/>
  <c r="DS272" i="23917"/>
  <c r="DS244" i="23917"/>
  <c r="AH243" i="23917"/>
  <c r="M245" i="23917"/>
  <c r="M219" i="23917"/>
  <c r="U245" i="23917"/>
  <c r="U219" i="23917"/>
  <c r="AC245" i="23917"/>
  <c r="AC219" i="23917"/>
  <c r="AK245" i="23917"/>
  <c r="AK219" i="23917"/>
  <c r="AO245" i="23917"/>
  <c r="AO219" i="23917"/>
  <c r="AS219" i="23917"/>
  <c r="AR245" i="23917"/>
  <c r="AR219" i="23917"/>
  <c r="L247" i="23917"/>
  <c r="P247" i="23917"/>
  <c r="X247" i="23917"/>
  <c r="AF247" i="23917"/>
  <c r="AN247" i="23917"/>
  <c r="AV247" i="23917"/>
  <c r="BH247" i="23917"/>
  <c r="BP247" i="23917"/>
  <c r="BX247" i="23917"/>
  <c r="M253" i="23917"/>
  <c r="L253" i="23917"/>
  <c r="U253" i="23917"/>
  <c r="T253" i="23917"/>
  <c r="AC253" i="23917"/>
  <c r="AB253" i="23917"/>
  <c r="AF253" i="23917"/>
  <c r="AR264" i="23917"/>
  <c r="AR253" i="23917"/>
  <c r="DT254" i="23917"/>
  <c r="O270" i="23917"/>
  <c r="AI270" i="23917"/>
  <c r="DT255" i="23917"/>
  <c r="DT256" i="23917"/>
  <c r="DS256" i="23917"/>
  <c r="DH259" i="23917"/>
  <c r="DG259" i="23917"/>
  <c r="DP259" i="23917"/>
  <c r="DO259" i="23917"/>
  <c r="K258" i="23917"/>
  <c r="K220" i="23917"/>
  <c r="AA258" i="23917"/>
  <c r="AA220" i="23917"/>
  <c r="AI220" i="23917"/>
  <c r="AQ220" i="23917"/>
  <c r="U260" i="23917"/>
  <c r="T260" i="23917"/>
  <c r="AK260" i="23917"/>
  <c r="AJ260" i="23917"/>
  <c r="AV262" i="23917"/>
  <c r="BD262" i="23917"/>
  <c r="BH262" i="23917"/>
  <c r="BP262" i="23917"/>
  <c r="BX262" i="23917"/>
  <c r="CD262" i="23917"/>
  <c r="BC269" i="23917"/>
  <c r="BG271" i="23917"/>
  <c r="C4" i="24142"/>
  <c r="C4" i="23917"/>
  <c r="E4" i="24142"/>
  <c r="E4" i="23917"/>
  <c r="E285" i="23917" s="1"/>
  <c r="G4" i="24142"/>
  <c r="G134" i="24142" s="1"/>
  <c r="G4" i="23917"/>
  <c r="I4" i="24142"/>
  <c r="I4" i="23917"/>
  <c r="I470" i="23917" s="1"/>
  <c r="K4" i="24142"/>
  <c r="K441" i="24142" s="1"/>
  <c r="K4" i="23917"/>
  <c r="K66" i="23917" s="1"/>
  <c r="M4" i="24142"/>
  <c r="M4" i="23917"/>
  <c r="O4" i="24142"/>
  <c r="O379" i="24142" s="1"/>
  <c r="O4" i="23917"/>
  <c r="O66" i="23917" s="1"/>
  <c r="Q4" i="24142"/>
  <c r="Q4" i="23917"/>
  <c r="Q193" i="23917" s="1"/>
  <c r="S4" i="24142"/>
  <c r="S222" i="24142" s="1"/>
  <c r="S4" i="23917"/>
  <c r="U4" i="24142"/>
  <c r="U4" i="23917"/>
  <c r="U445" i="23917" s="1"/>
  <c r="W4" i="24142"/>
  <c r="W477" i="24142" s="1"/>
  <c r="W4" i="23917"/>
  <c r="Y4" i="24142"/>
  <c r="Y4" i="23917"/>
  <c r="Y324" i="23917" s="1"/>
  <c r="AA4" i="24142"/>
  <c r="AA441" i="24142" s="1"/>
  <c r="AA4" i="23917"/>
  <c r="AA66" i="23917" s="1"/>
  <c r="AC4" i="24142"/>
  <c r="AC4" i="23917"/>
  <c r="AC507" i="23917" s="1"/>
  <c r="AE4" i="24142"/>
  <c r="AE259" i="24142" s="1"/>
  <c r="AE4" i="23917"/>
  <c r="AE66" i="23917" s="1"/>
  <c r="AG4" i="24142"/>
  <c r="AG4" i="23917"/>
  <c r="AG160" i="23917" s="1"/>
  <c r="AI4" i="24142"/>
  <c r="AI379" i="24142" s="1"/>
  <c r="AI4" i="23917"/>
  <c r="AK4" i="24142"/>
  <c r="AK4" i="23917"/>
  <c r="AK285" i="23917" s="1"/>
  <c r="AM4" i="24142"/>
  <c r="AM477" i="24142" s="1"/>
  <c r="AM4" i="23917"/>
  <c r="AO4" i="24142"/>
  <c r="AO4" i="23917"/>
  <c r="AO470" i="23917" s="1"/>
  <c r="AQ4" i="24142"/>
  <c r="AQ298" i="24142" s="1"/>
  <c r="AQ4" i="23917"/>
  <c r="AQ66" i="23917" s="1"/>
  <c r="AS4" i="24142"/>
  <c r="AS4" i="23917"/>
  <c r="AS364" i="23917" s="1"/>
  <c r="AU4" i="24142"/>
  <c r="AU170" i="24142" s="1"/>
  <c r="AU4" i="23917"/>
  <c r="AU66" i="23917" s="1"/>
  <c r="AW4" i="24142"/>
  <c r="AW4" i="23917"/>
  <c r="AW543" i="23917" s="1"/>
  <c r="AY4" i="24142"/>
  <c r="AY379" i="24142" s="1"/>
  <c r="AY4" i="23917"/>
  <c r="BA4" i="24142"/>
  <c r="BA4" i="23917"/>
  <c r="BA66" i="23917" s="1"/>
  <c r="BC4" i="24142"/>
  <c r="BC340" i="24142" s="1"/>
  <c r="BC4" i="23917"/>
  <c r="BE4" i="24142"/>
  <c r="BE4" i="23917"/>
  <c r="BE285" i="23917" s="1"/>
  <c r="BG4" i="24142"/>
  <c r="BG97" i="24142" s="1"/>
  <c r="BG4" i="23917"/>
  <c r="BG66" i="23917" s="1"/>
  <c r="BI4" i="24142"/>
  <c r="BI4" i="23917"/>
  <c r="BI507" i="23917" s="1"/>
  <c r="BK4" i="24142"/>
  <c r="BK379" i="24142" s="1"/>
  <c r="BK4" i="23917"/>
  <c r="BK66" i="23917" s="1"/>
  <c r="BM4" i="24142"/>
  <c r="BM4" i="23917"/>
  <c r="BM160" i="23917" s="1"/>
  <c r="BO4" i="24142"/>
  <c r="BO379" i="24142" s="1"/>
  <c r="BO4" i="23917"/>
  <c r="BQ4" i="24142"/>
  <c r="BQ4" i="23917"/>
  <c r="BQ324" i="23917" s="1"/>
  <c r="BS4" i="24142"/>
  <c r="BS134" i="24142" s="1"/>
  <c r="BS4" i="23917"/>
  <c r="BU4" i="24142"/>
  <c r="BU4" i="23917"/>
  <c r="BU107" i="23917" s="1"/>
  <c r="BW4" i="24142"/>
  <c r="BW441" i="24142" s="1"/>
  <c r="BW4" i="23917"/>
  <c r="BW66" i="23917" s="1"/>
  <c r="BY4" i="24142"/>
  <c r="BY4" i="23917"/>
  <c r="BY364" i="23917" s="1"/>
  <c r="CA4" i="24142"/>
  <c r="CA379" i="24142" s="1"/>
  <c r="CA4" i="23917"/>
  <c r="CA66" i="23917" s="1"/>
  <c r="CC4" i="24142"/>
  <c r="CC4" i="23917"/>
  <c r="CC543" i="23917" s="1"/>
  <c r="CE4" i="24142"/>
  <c r="CE222" i="24142" s="1"/>
  <c r="CE4" i="23917"/>
  <c r="CG4" i="24142"/>
  <c r="CG4" i="23917"/>
  <c r="CG66" i="23917" s="1"/>
  <c r="CI4" i="24142"/>
  <c r="CI477" i="24142" s="1"/>
  <c r="CI4" i="23917"/>
  <c r="CK4" i="24142"/>
  <c r="CK4" i="23917"/>
  <c r="CK285" i="23917" s="1"/>
  <c r="CM4" i="24142"/>
  <c r="CM441" i="24142" s="1"/>
  <c r="CM4" i="23917"/>
  <c r="CM66" i="23917" s="1"/>
  <c r="CO4" i="24142"/>
  <c r="CO4" i="23917"/>
  <c r="CO193" i="23917" s="1"/>
  <c r="CQ4" i="24142"/>
  <c r="CQ259" i="24142" s="1"/>
  <c r="CQ4" i="23917"/>
  <c r="CQ66" i="23917" s="1"/>
  <c r="CS4" i="24142"/>
  <c r="CS4" i="23917"/>
  <c r="CS406" i="23917" s="1"/>
  <c r="DD4" i="24142"/>
  <c r="DD57" i="24142" s="1"/>
  <c r="DD4" i="23917"/>
  <c r="DF4" i="24142"/>
  <c r="DF4" i="23917"/>
  <c r="DH4" i="24142"/>
  <c r="DH57" i="24142" s="1"/>
  <c r="DH4" i="23917"/>
  <c r="DJ4" i="24142"/>
  <c r="DJ4" i="23917"/>
  <c r="DJ107" i="23917" s="1"/>
  <c r="DL4" i="24142"/>
  <c r="DL57" i="24142" s="1"/>
  <c r="DL4" i="23917"/>
  <c r="DN4" i="24142"/>
  <c r="DN4" i="23917"/>
  <c r="DN445" i="23917" s="1"/>
  <c r="DP4" i="24142"/>
  <c r="DP57" i="24142" s="1"/>
  <c r="DP4" i="23917"/>
  <c r="DR4" i="24142"/>
  <c r="DR4" i="23917"/>
  <c r="DR470" i="23917" s="1"/>
  <c r="DT4" i="24142"/>
  <c r="DT57" i="24142" s="1"/>
  <c r="DT4" i="23917"/>
  <c r="DV4" i="24142"/>
  <c r="DV4" i="23917"/>
  <c r="DV364" i="23917" s="1"/>
  <c r="DX4" i="24142"/>
  <c r="DX57" i="24142" s="1"/>
  <c r="DX4" i="23917"/>
  <c r="DZ4" i="24142"/>
  <c r="DZ4" i="23917"/>
  <c r="DZ507" i="23917" s="1"/>
  <c r="EB4" i="24142"/>
  <c r="EB57" i="24142" s="1"/>
  <c r="EB4" i="23917"/>
  <c r="EF4" i="24142"/>
  <c r="EF57" i="24142" s="1"/>
  <c r="EF4" i="23917"/>
  <c r="EH4" i="24142"/>
  <c r="EH441" i="24142" s="1"/>
  <c r="EH4" i="23917"/>
  <c r="EJ4" i="24142"/>
  <c r="EJ4" i="23917"/>
  <c r="L250" i="23917"/>
  <c r="L240" i="23917"/>
  <c r="Q240" i="23917"/>
  <c r="P240" i="23917"/>
  <c r="T250" i="23917"/>
  <c r="T240" i="23917"/>
  <c r="Y240" i="23917"/>
  <c r="X240" i="23917"/>
  <c r="AB250" i="23917"/>
  <c r="AB240" i="23917"/>
  <c r="AG240" i="23917"/>
  <c r="AF240" i="23917"/>
  <c r="AJ250" i="23917"/>
  <c r="AJ240" i="23917"/>
  <c r="AO240" i="23917"/>
  <c r="AN240" i="23917"/>
  <c r="AR250" i="23917"/>
  <c r="AR240" i="23917"/>
  <c r="DJ241" i="23917"/>
  <c r="DI241" i="23917"/>
  <c r="DN241" i="23917"/>
  <c r="DM241" i="23917"/>
  <c r="DR241" i="23917"/>
  <c r="DQ241" i="23917"/>
  <c r="AA240" i="23917"/>
  <c r="AQ240" i="23917"/>
  <c r="DW269" i="23917"/>
  <c r="DW241" i="23917"/>
  <c r="DJ244" i="23917"/>
  <c r="DI244" i="23917"/>
  <c r="DM244" i="23917"/>
  <c r="DQ270" i="23917"/>
  <c r="DQ242" i="23917"/>
  <c r="DU270" i="23917"/>
  <c r="DU242" i="23917"/>
  <c r="DX243" i="23917"/>
  <c r="DW243" i="23917"/>
  <c r="DZ243" i="23917"/>
  <c r="DR244" i="23917"/>
  <c r="DQ244" i="23917"/>
  <c r="DV244" i="23917"/>
  <c r="DU244" i="23917"/>
  <c r="DZ244" i="23917"/>
  <c r="DY244" i="23917"/>
  <c r="K245" i="23917"/>
  <c r="K219" i="23917"/>
  <c r="O245" i="23917"/>
  <c r="O219" i="23917"/>
  <c r="S245" i="23917"/>
  <c r="S219" i="23917"/>
  <c r="W245" i="23917"/>
  <c r="W219" i="23917"/>
  <c r="AA245" i="23917"/>
  <c r="AA219" i="23917"/>
  <c r="AE245" i="23917"/>
  <c r="AE219" i="23917"/>
  <c r="AI245" i="23917"/>
  <c r="AI219" i="23917"/>
  <c r="AM245" i="23917"/>
  <c r="AM219" i="23917"/>
  <c r="J247" i="23917"/>
  <c r="N247" i="23917"/>
  <c r="R247" i="23917"/>
  <c r="V247" i="23917"/>
  <c r="Z247" i="23917"/>
  <c r="AD247" i="23917"/>
  <c r="AH247" i="23917"/>
  <c r="AL247" i="23917"/>
  <c r="AP247" i="23917"/>
  <c r="AT247" i="23917"/>
  <c r="AX247" i="23917"/>
  <c r="BB247" i="23917"/>
  <c r="BF247" i="23917"/>
  <c r="BJ247" i="23917"/>
  <c r="BN247" i="23917"/>
  <c r="BR247" i="23917"/>
  <c r="BV247" i="23917"/>
  <c r="BZ247" i="23917"/>
  <c r="L249" i="23917"/>
  <c r="T249" i="23917"/>
  <c r="AB249" i="23917"/>
  <c r="AJ249" i="23917"/>
  <c r="AR249" i="23917"/>
  <c r="N253" i="23917"/>
  <c r="R253" i="23917"/>
  <c r="V253" i="23917"/>
  <c r="Z253" i="23917"/>
  <c r="AD253" i="23917"/>
  <c r="AH253" i="23917"/>
  <c r="AL253" i="23917"/>
  <c r="AP253" i="23917"/>
  <c r="DV254" i="23917"/>
  <c r="DU254" i="23917"/>
  <c r="DZ254" i="23917"/>
  <c r="DY254" i="23917"/>
  <c r="DX254" i="23917"/>
  <c r="CS257" i="23917"/>
  <c r="CZ257" i="23917"/>
  <c r="CR257" i="23917"/>
  <c r="DV256" i="23917"/>
  <c r="DU256" i="23917"/>
  <c r="DZ256" i="23917"/>
  <c r="DY256" i="23917"/>
  <c r="DH257" i="23917"/>
  <c r="DJ257" i="23917"/>
  <c r="DL257" i="23917"/>
  <c r="DN257" i="23917"/>
  <c r="DP257" i="23917"/>
  <c r="DR257" i="23917"/>
  <c r="DT257" i="23917"/>
  <c r="DV257" i="23917"/>
  <c r="DX257" i="23917"/>
  <c r="DZ257" i="23917"/>
  <c r="L256" i="23917"/>
  <c r="T256" i="23917"/>
  <c r="Y258" i="23917"/>
  <c r="Y220" i="23917"/>
  <c r="AB256" i="23917"/>
  <c r="AG258" i="23917"/>
  <c r="AJ256" i="23917"/>
  <c r="AO258" i="23917"/>
  <c r="AO220" i="23917"/>
  <c r="Q260" i="23917"/>
  <c r="P260" i="23917"/>
  <c r="X260" i="23917"/>
  <c r="AF260" i="23917"/>
  <c r="AN260" i="23917"/>
  <c r="AT262" i="23917"/>
  <c r="AX262" i="23917"/>
  <c r="BB262" i="23917"/>
  <c r="BF262" i="23917"/>
  <c r="BJ262" i="23917"/>
  <c r="BN262" i="23917"/>
  <c r="BR262" i="23917"/>
  <c r="BV262" i="23917"/>
  <c r="BZ262" i="23917"/>
  <c r="CF262" i="23917"/>
  <c r="BA270" i="23917"/>
  <c r="BC270" i="23917"/>
  <c r="BE270" i="23917"/>
  <c r="BG270" i="23917"/>
  <c r="BI270" i="23917"/>
  <c r="BK270" i="23917"/>
  <c r="BM270" i="23917"/>
  <c r="BO270" i="23917"/>
  <c r="BQ270" i="23917"/>
  <c r="BS270" i="23917"/>
  <c r="BU270" i="23917"/>
  <c r="BW270" i="23917"/>
  <c r="BY270" i="23917"/>
  <c r="K272" i="23917"/>
  <c r="M272" i="23917"/>
  <c r="O272" i="23917"/>
  <c r="Q272" i="23917"/>
  <c r="S272" i="23917"/>
  <c r="U272" i="23917"/>
  <c r="W272" i="23917"/>
  <c r="Y272" i="23917"/>
  <c r="AA272" i="23917"/>
  <c r="AC272" i="23917"/>
  <c r="AE272" i="23917"/>
  <c r="AG272" i="23917"/>
  <c r="AI272" i="23917"/>
  <c r="AK272" i="23917"/>
  <c r="AM272" i="23917"/>
  <c r="AO272" i="23917"/>
  <c r="AQ272" i="23917"/>
  <c r="AS272" i="23917"/>
  <c r="AU272" i="23917"/>
  <c r="AW272" i="23917"/>
  <c r="AY272" i="23917"/>
  <c r="BA272" i="23917"/>
  <c r="BC272" i="23917"/>
  <c r="BE272" i="23917"/>
  <c r="BG272" i="23917"/>
  <c r="BI272" i="23917"/>
  <c r="BK272" i="23917"/>
  <c r="BM272" i="23917"/>
  <c r="BO272" i="23917"/>
  <c r="BQ272" i="23917"/>
  <c r="BS272" i="23917"/>
  <c r="BU272" i="23917"/>
  <c r="BW272" i="23917"/>
  <c r="BY272" i="23917"/>
  <c r="DU271" i="23917"/>
  <c r="AT276" i="23917"/>
  <c r="AX276" i="23917"/>
  <c r="BZ276" i="23917"/>
  <c r="DE101" i="24142"/>
  <c r="DE197" i="23917"/>
  <c r="DK101" i="24142"/>
  <c r="DK197" i="23917"/>
  <c r="DM101" i="24142"/>
  <c r="DM197" i="23917"/>
  <c r="DO101" i="24142"/>
  <c r="DO197" i="23917"/>
  <c r="DQ101" i="24142"/>
  <c r="DQ197" i="23917"/>
  <c r="DS101" i="24142"/>
  <c r="DS197" i="23917"/>
  <c r="DU101" i="24142"/>
  <c r="DU197" i="23917"/>
  <c r="DW101" i="24142"/>
  <c r="DW197" i="23917"/>
  <c r="DY101" i="24142"/>
  <c r="DY197" i="23917"/>
  <c r="DC103" i="24142"/>
  <c r="DC199" i="23917"/>
  <c r="DE103" i="24142"/>
  <c r="DE199" i="23917"/>
  <c r="DG103" i="24142"/>
  <c r="DG199" i="23917"/>
  <c r="DI103" i="24142"/>
  <c r="DI199" i="23917"/>
  <c r="DK103" i="24142"/>
  <c r="DK199" i="23917"/>
  <c r="DM103" i="24142"/>
  <c r="DM199" i="23917"/>
  <c r="DO103" i="24142"/>
  <c r="DO199" i="23917"/>
  <c r="DQ103" i="24142"/>
  <c r="DQ199" i="23917"/>
  <c r="DS103" i="24142"/>
  <c r="DS199" i="23917"/>
  <c r="DU103" i="24142"/>
  <c r="DU199" i="23917"/>
  <c r="DW103" i="24142"/>
  <c r="DW199" i="23917"/>
  <c r="DY103" i="24142"/>
  <c r="DY199" i="23917"/>
  <c r="DE108" i="24142"/>
  <c r="DE204" i="23917"/>
  <c r="DI108" i="24142"/>
  <c r="DI204" i="23917"/>
  <c r="DM108" i="24142"/>
  <c r="DM204" i="23917"/>
  <c r="B102" i="24142"/>
  <c r="B198" i="23917"/>
  <c r="F102" i="24142"/>
  <c r="F198" i="23917"/>
  <c r="N102" i="24142"/>
  <c r="N198" i="23917"/>
  <c r="R102" i="24142"/>
  <c r="R198" i="23917"/>
  <c r="V102" i="24142"/>
  <c r="V198" i="23917"/>
  <c r="Z102" i="24142"/>
  <c r="Z198" i="23917"/>
  <c r="AD102" i="24142"/>
  <c r="AD198" i="23917"/>
  <c r="AH102" i="24142"/>
  <c r="AH198" i="23917"/>
  <c r="AL102" i="24142"/>
  <c r="AL198" i="23917"/>
  <c r="AP102" i="24142"/>
  <c r="AP198" i="23917"/>
  <c r="AT102" i="24142"/>
  <c r="AT198" i="23917"/>
  <c r="AX102" i="24142"/>
  <c r="AX198" i="23917"/>
  <c r="BB102" i="24142"/>
  <c r="BB198" i="23917"/>
  <c r="BF102" i="24142"/>
  <c r="BF198" i="23917"/>
  <c r="BJ102" i="24142"/>
  <c r="BJ198" i="23917"/>
  <c r="BN102" i="24142"/>
  <c r="BN198" i="23917"/>
  <c r="BR102" i="24142"/>
  <c r="BR198" i="23917"/>
  <c r="BV102" i="24142"/>
  <c r="BV198" i="23917"/>
  <c r="BZ102" i="24142"/>
  <c r="BZ198" i="23917"/>
  <c r="C103" i="24142"/>
  <c r="C199" i="23917"/>
  <c r="C104" i="24142"/>
  <c r="C200" i="23917"/>
  <c r="G101" i="24142"/>
  <c r="G197" i="23917"/>
  <c r="G103" i="24142"/>
  <c r="G199" i="23917"/>
  <c r="G104" i="24142"/>
  <c r="G200" i="23917"/>
  <c r="I103" i="24142"/>
  <c r="I199" i="23917"/>
  <c r="I104" i="24142"/>
  <c r="I200" i="23917"/>
  <c r="AI102" i="24142"/>
  <c r="BA101" i="24142"/>
  <c r="BA197" i="23917"/>
  <c r="BC101" i="24142"/>
  <c r="BC197" i="23917"/>
  <c r="BC103" i="24142"/>
  <c r="BC199" i="23917"/>
  <c r="BC104" i="24142"/>
  <c r="BC200" i="23917"/>
  <c r="BE103" i="24142"/>
  <c r="BE199" i="23917"/>
  <c r="BE104" i="24142"/>
  <c r="BE200" i="23917"/>
  <c r="BI101" i="24142"/>
  <c r="BI197" i="23917"/>
  <c r="BK101" i="24142"/>
  <c r="BK197" i="23917"/>
  <c r="BK103" i="24142"/>
  <c r="BK199" i="23917"/>
  <c r="BK104" i="24142"/>
  <c r="BK200" i="23917"/>
  <c r="BM103" i="24142"/>
  <c r="BM199" i="23917"/>
  <c r="BM104" i="24142"/>
  <c r="BM200" i="23917"/>
  <c r="BW102" i="24142"/>
  <c r="CE101" i="24142"/>
  <c r="CE197" i="23917"/>
  <c r="CG101" i="24142"/>
  <c r="CG197" i="23917"/>
  <c r="CI101" i="24142"/>
  <c r="CI197" i="23917"/>
  <c r="CK101" i="24142"/>
  <c r="CK197" i="23917"/>
  <c r="CM101" i="24142"/>
  <c r="CM197" i="23917"/>
  <c r="D125" i="24142"/>
  <c r="D227" i="23917"/>
  <c r="H125" i="24142"/>
  <c r="H227" i="23917"/>
  <c r="L125" i="24142"/>
  <c r="L227" i="23917"/>
  <c r="P125" i="24142"/>
  <c r="P227" i="23917"/>
  <c r="T125" i="24142"/>
  <c r="T227" i="23917"/>
  <c r="X125" i="24142"/>
  <c r="X227" i="23917"/>
  <c r="AB125" i="24142"/>
  <c r="AB227" i="23917"/>
  <c r="AF125" i="24142"/>
  <c r="AF227" i="23917"/>
  <c r="AJ125" i="24142"/>
  <c r="AJ227" i="23917"/>
  <c r="AN125" i="24142"/>
  <c r="AN227" i="23917"/>
  <c r="AR125" i="24142"/>
  <c r="AR227" i="23917"/>
  <c r="AV125" i="24142"/>
  <c r="AV227" i="23917"/>
  <c r="AZ125" i="24142"/>
  <c r="AZ227" i="23917"/>
  <c r="BD125" i="24142"/>
  <c r="BD227" i="23917"/>
  <c r="BH125" i="24142"/>
  <c r="BH227" i="23917"/>
  <c r="BL125" i="24142"/>
  <c r="BL227" i="23917"/>
  <c r="BP125" i="24142"/>
  <c r="BP227" i="23917"/>
  <c r="BT125" i="24142"/>
  <c r="BT227" i="23917"/>
  <c r="BX125" i="24142"/>
  <c r="BX227" i="23917"/>
  <c r="BA107" i="24142"/>
  <c r="BA203" i="23917"/>
  <c r="BE107" i="24142"/>
  <c r="BE203" i="23917"/>
  <c r="BI107" i="24142"/>
  <c r="BI203" i="23917"/>
  <c r="BM107" i="24142"/>
  <c r="BM203" i="23917"/>
  <c r="CE107" i="24142"/>
  <c r="CE203" i="23917"/>
  <c r="CI107" i="24142"/>
  <c r="CI203" i="23917"/>
  <c r="CM107" i="24142"/>
  <c r="CM203" i="23917"/>
  <c r="DC107" i="24142"/>
  <c r="DC203" i="23917"/>
  <c r="DG107" i="24142"/>
  <c r="DG203" i="23917"/>
  <c r="DK107" i="24142"/>
  <c r="DK203" i="23917"/>
  <c r="DO107" i="24142"/>
  <c r="DO203" i="23917"/>
  <c r="DS107" i="24142"/>
  <c r="DS203" i="23917"/>
  <c r="DW107" i="24142"/>
  <c r="DW203" i="23917"/>
  <c r="DC205" i="23917"/>
  <c r="DI109" i="24142"/>
  <c r="DI205" i="23917"/>
  <c r="DY109" i="24142"/>
  <c r="DY205" i="23917"/>
  <c r="AU108" i="24142"/>
  <c r="BS108" i="24142"/>
  <c r="BW108" i="24142"/>
  <c r="CL108" i="24142"/>
  <c r="CL204" i="23917"/>
  <c r="BA109" i="24142"/>
  <c r="BE109" i="24142"/>
  <c r="BE205" i="23917"/>
  <c r="BM109" i="24142"/>
  <c r="BM205" i="23917"/>
  <c r="CE109" i="24142"/>
  <c r="CE205" i="23917"/>
  <c r="CI109" i="24142"/>
  <c r="CM109" i="24142"/>
  <c r="CM205" i="23917"/>
  <c r="B108" i="24142"/>
  <c r="B204" i="23917"/>
  <c r="D108" i="24142"/>
  <c r="D204" i="23917"/>
  <c r="D110" i="24142"/>
  <c r="D206" i="23917"/>
  <c r="G109" i="24142"/>
  <c r="J108" i="24142"/>
  <c r="J204" i="23917"/>
  <c r="L108" i="24142"/>
  <c r="L204" i="23917"/>
  <c r="M110" i="24142"/>
  <c r="L110" i="24142"/>
  <c r="L206" i="23917"/>
  <c r="R108" i="24142"/>
  <c r="R204" i="23917"/>
  <c r="T108" i="24142"/>
  <c r="T204" i="23917"/>
  <c r="U110" i="24142"/>
  <c r="T110" i="24142"/>
  <c r="T206" i="23917"/>
  <c r="Z108" i="24142"/>
  <c r="Z204" i="23917"/>
  <c r="AB108" i="24142"/>
  <c r="AB204" i="23917"/>
  <c r="AC110" i="24142"/>
  <c r="AB110" i="24142"/>
  <c r="AB206" i="23917"/>
  <c r="AH108" i="24142"/>
  <c r="AH204" i="23917"/>
  <c r="AJ110" i="24142"/>
  <c r="AJ206" i="23917"/>
  <c r="AP108" i="24142"/>
  <c r="AP204" i="23917"/>
  <c r="AR108" i="24142"/>
  <c r="AR204" i="23917"/>
  <c r="AS110" i="24142"/>
  <c r="AR110" i="24142"/>
  <c r="AR206" i="23917"/>
  <c r="C107" i="24142"/>
  <c r="C203" i="23917"/>
  <c r="E107" i="24142"/>
  <c r="E203" i="23917"/>
  <c r="I107" i="24142"/>
  <c r="I203" i="23917"/>
  <c r="K108" i="24142"/>
  <c r="S204" i="23917"/>
  <c r="AA108" i="24142"/>
  <c r="AI204" i="23917"/>
  <c r="AQ108" i="24142"/>
  <c r="DC114" i="24142"/>
  <c r="DC210" i="23917"/>
  <c r="DE114" i="24142"/>
  <c r="DE210" i="23917"/>
  <c r="DG114" i="24142"/>
  <c r="DG210" i="23917"/>
  <c r="DI114" i="24142"/>
  <c r="DI210" i="23917"/>
  <c r="DK114" i="24142"/>
  <c r="DK210" i="23917"/>
  <c r="DM114" i="24142"/>
  <c r="DM210" i="23917"/>
  <c r="DO114" i="24142"/>
  <c r="DO210" i="23917"/>
  <c r="DQ114" i="24142"/>
  <c r="DQ210" i="23917"/>
  <c r="DS114" i="24142"/>
  <c r="DS210" i="23917"/>
  <c r="DU114" i="24142"/>
  <c r="DU210" i="23917"/>
  <c r="DW114" i="24142"/>
  <c r="DW210" i="23917"/>
  <c r="DY114" i="24142"/>
  <c r="DY210" i="23917"/>
  <c r="E114" i="24142"/>
  <c r="E210" i="23917"/>
  <c r="AY114" i="24142"/>
  <c r="AY210" i="23917"/>
  <c r="CG114" i="24142"/>
  <c r="CG210" i="23917"/>
  <c r="I114" i="24142"/>
  <c r="I210" i="23917"/>
  <c r="K114" i="24142"/>
  <c r="K210" i="23917"/>
  <c r="M114" i="24142"/>
  <c r="M210" i="23917"/>
  <c r="O114" i="24142"/>
  <c r="O210" i="23917"/>
  <c r="Q114" i="24142"/>
  <c r="Q210" i="23917"/>
  <c r="S114" i="24142"/>
  <c r="S210" i="23917"/>
  <c r="U114" i="24142"/>
  <c r="U210" i="23917"/>
  <c r="W114" i="24142"/>
  <c r="W210" i="23917"/>
  <c r="Y114" i="24142"/>
  <c r="Y210" i="23917"/>
  <c r="AA114" i="24142"/>
  <c r="AA210" i="23917"/>
  <c r="AC114" i="24142"/>
  <c r="AC210" i="23917"/>
  <c r="AE114" i="24142"/>
  <c r="AE210" i="23917"/>
  <c r="AG114" i="24142"/>
  <c r="AG210" i="23917"/>
  <c r="AI114" i="24142"/>
  <c r="AI210" i="23917"/>
  <c r="AK114" i="24142"/>
  <c r="AK210" i="23917"/>
  <c r="AM114" i="24142"/>
  <c r="AM210" i="23917"/>
  <c r="AO114" i="24142"/>
  <c r="AO210" i="23917"/>
  <c r="AQ114" i="24142"/>
  <c r="AQ210" i="23917"/>
  <c r="AS114" i="24142"/>
  <c r="AS210" i="23917"/>
  <c r="AU114" i="24142"/>
  <c r="AU210" i="23917"/>
  <c r="AW114" i="24142"/>
  <c r="AW210" i="23917"/>
  <c r="C138" i="24142"/>
  <c r="C289" i="23917"/>
  <c r="G138" i="24142"/>
  <c r="DO138" i="24142"/>
  <c r="DO289" i="23917"/>
  <c r="DS138" i="24142"/>
  <c r="DS289" i="23917"/>
  <c r="DW138" i="24142"/>
  <c r="DW289" i="23917"/>
  <c r="DC139" i="24142"/>
  <c r="DC290" i="23917"/>
  <c r="DE139" i="24142"/>
  <c r="DE290" i="23917"/>
  <c r="DG139" i="24142"/>
  <c r="DG290" i="23917"/>
  <c r="DI139" i="24142"/>
  <c r="DI290" i="23917"/>
  <c r="DK139" i="24142"/>
  <c r="DK290" i="23917"/>
  <c r="DM139" i="24142"/>
  <c r="DM290" i="23917"/>
  <c r="DO139" i="24142"/>
  <c r="DO290" i="23917"/>
  <c r="DQ139" i="24142"/>
  <c r="DQ290" i="23917"/>
  <c r="DS139" i="24142"/>
  <c r="DS290" i="23917"/>
  <c r="DU139" i="24142"/>
  <c r="DU290" i="23917"/>
  <c r="DW139" i="24142"/>
  <c r="DW290" i="23917"/>
  <c r="DY139" i="24142"/>
  <c r="DY290" i="23917"/>
  <c r="DC144" i="24142"/>
  <c r="DC295" i="23917"/>
  <c r="DG144" i="24142"/>
  <c r="DG295" i="23917"/>
  <c r="DK144" i="24142"/>
  <c r="DK295" i="23917"/>
  <c r="DO144" i="24142"/>
  <c r="DO295" i="23917"/>
  <c r="DS144" i="24142"/>
  <c r="DS295" i="23917"/>
  <c r="DW144" i="24142"/>
  <c r="DW295" i="23917"/>
  <c r="DC141" i="24142"/>
  <c r="DC292" i="23917"/>
  <c r="F140" i="24142"/>
  <c r="F291" i="23917"/>
  <c r="N140" i="24142"/>
  <c r="N291" i="23917"/>
  <c r="V140" i="24142"/>
  <c r="V291" i="23917"/>
  <c r="AL140" i="24142"/>
  <c r="AL291" i="23917"/>
  <c r="AT140" i="24142"/>
  <c r="AT291" i="23917"/>
  <c r="AX140" i="24142"/>
  <c r="AX291" i="23917"/>
  <c r="BB140" i="24142"/>
  <c r="BB291" i="23917"/>
  <c r="BF140" i="24142"/>
  <c r="BF291" i="23917"/>
  <c r="BJ140" i="24142"/>
  <c r="BJ291" i="23917"/>
  <c r="BN140" i="24142"/>
  <c r="BN291" i="23917"/>
  <c r="BR140" i="24142"/>
  <c r="BR291" i="23917"/>
  <c r="BV140" i="24142"/>
  <c r="BV291" i="23917"/>
  <c r="BZ140" i="24142"/>
  <c r="BZ291" i="23917"/>
  <c r="C139" i="24142"/>
  <c r="C290" i="23917"/>
  <c r="E139" i="24142"/>
  <c r="E290" i="23917"/>
  <c r="E141" i="24142"/>
  <c r="E292" i="23917"/>
  <c r="I139" i="24142"/>
  <c r="I290" i="23917"/>
  <c r="I141" i="24142"/>
  <c r="I292" i="23917"/>
  <c r="AY139" i="24142"/>
  <c r="AY290" i="23917"/>
  <c r="AY141" i="24142"/>
  <c r="AY292" i="23917"/>
  <c r="BC139" i="24142"/>
  <c r="BC290" i="23917"/>
  <c r="BC141" i="24142"/>
  <c r="BC292" i="23917"/>
  <c r="BE139" i="24142"/>
  <c r="BE290" i="23917"/>
  <c r="BE141" i="24142"/>
  <c r="BE292" i="23917"/>
  <c r="BG139" i="24142"/>
  <c r="BG290" i="23917"/>
  <c r="BG141" i="24142"/>
  <c r="BG292" i="23917"/>
  <c r="BI139" i="24142"/>
  <c r="BI290" i="23917"/>
  <c r="BI141" i="24142"/>
  <c r="BI292" i="23917"/>
  <c r="BK139" i="24142"/>
  <c r="BK290" i="23917"/>
  <c r="BK141" i="24142"/>
  <c r="BK292" i="23917"/>
  <c r="BM139" i="24142"/>
  <c r="BM290" i="23917"/>
  <c r="BM141" i="24142"/>
  <c r="BM292" i="23917"/>
  <c r="BO139" i="24142"/>
  <c r="BO290" i="23917"/>
  <c r="BO141" i="24142"/>
  <c r="BO292" i="23917"/>
  <c r="CE139" i="24142"/>
  <c r="CE290" i="23917"/>
  <c r="CE141" i="24142"/>
  <c r="CE292" i="23917"/>
  <c r="CG139" i="24142"/>
  <c r="CG290" i="23917"/>
  <c r="CG141" i="24142"/>
  <c r="CG292" i="23917"/>
  <c r="CI139" i="24142"/>
  <c r="CI290" i="23917"/>
  <c r="CI141" i="24142"/>
  <c r="CI292" i="23917"/>
  <c r="CK139" i="24142"/>
  <c r="CK290" i="23917"/>
  <c r="CK141" i="24142"/>
  <c r="CK292" i="23917"/>
  <c r="CM139" i="24142"/>
  <c r="CM290" i="23917"/>
  <c r="CM141" i="24142"/>
  <c r="CM292" i="23917"/>
  <c r="J144" i="24142"/>
  <c r="J295" i="23917"/>
  <c r="S296" i="23917"/>
  <c r="M296" i="23917"/>
  <c r="J146" i="24142"/>
  <c r="J297" i="23917"/>
  <c r="T144" i="24142"/>
  <c r="T295" i="23917"/>
  <c r="AP144" i="24142"/>
  <c r="AP295" i="23917"/>
  <c r="AV144" i="24142"/>
  <c r="AV295" i="23917"/>
  <c r="AZ144" i="24142"/>
  <c r="AZ295" i="23917"/>
  <c r="BD144" i="24142"/>
  <c r="BD295" i="23917"/>
  <c r="BH144" i="24142"/>
  <c r="BH295" i="23917"/>
  <c r="BL144" i="24142"/>
  <c r="BL295" i="23917"/>
  <c r="BQ144" i="24142"/>
  <c r="BP144" i="24142"/>
  <c r="BP295" i="23917"/>
  <c r="BT144" i="24142"/>
  <c r="BT295" i="23917"/>
  <c r="BY144" i="24142"/>
  <c r="BX144" i="24142"/>
  <c r="BX295" i="23917"/>
  <c r="AU145" i="24142"/>
  <c r="AU296" i="23917"/>
  <c r="AW296" i="23917"/>
  <c r="AY145" i="24142"/>
  <c r="AY296" i="23917"/>
  <c r="BC145" i="24142"/>
  <c r="BC296" i="23917"/>
  <c r="BE296" i="23917"/>
  <c r="BG145" i="24142"/>
  <c r="BG296" i="23917"/>
  <c r="BK145" i="24142"/>
  <c r="BK296" i="23917"/>
  <c r="BM296" i="23917"/>
  <c r="BO145" i="24142"/>
  <c r="BO296" i="23917"/>
  <c r="CG145" i="24142"/>
  <c r="CG296" i="23917"/>
  <c r="CI296" i="23917"/>
  <c r="CK145" i="24142"/>
  <c r="CK296" i="23917"/>
  <c r="AT146" i="24142"/>
  <c r="DI145" i="24142"/>
  <c r="DI296" i="23917"/>
  <c r="U145" i="24142"/>
  <c r="U296" i="23917"/>
  <c r="W145" i="24142"/>
  <c r="W296" i="23917"/>
  <c r="Y145" i="24142"/>
  <c r="Y296" i="23917"/>
  <c r="AA145" i="24142"/>
  <c r="AA296" i="23917"/>
  <c r="AC145" i="24142"/>
  <c r="AC296" i="23917"/>
  <c r="AE145" i="24142"/>
  <c r="AE296" i="23917"/>
  <c r="AG145" i="24142"/>
  <c r="AG296" i="23917"/>
  <c r="AI145" i="24142"/>
  <c r="AI296" i="23917"/>
  <c r="E145" i="24142"/>
  <c r="E296" i="23917"/>
  <c r="F144" i="24142"/>
  <c r="F295" i="23917"/>
  <c r="N144" i="24142"/>
  <c r="N295" i="23917"/>
  <c r="C147" i="24142"/>
  <c r="C298" i="23917"/>
  <c r="G147" i="24142"/>
  <c r="G298" i="23917"/>
  <c r="M147" i="24142"/>
  <c r="M298" i="23917"/>
  <c r="O147" i="24142"/>
  <c r="O298" i="23917"/>
  <c r="DU227" i="24142"/>
  <c r="DU165" i="23917"/>
  <c r="DY227" i="24142"/>
  <c r="DY165" i="23917"/>
  <c r="DG241" i="24142"/>
  <c r="DG242" i="24142"/>
  <c r="DG244" i="24142"/>
  <c r="DM242" i="24142"/>
  <c r="DO244" i="24142"/>
  <c r="DU242" i="24142"/>
  <c r="CP241" i="24142"/>
  <c r="CR241" i="24142"/>
  <c r="J245" i="24142"/>
  <c r="DT246" i="24142"/>
  <c r="DS246" i="24142"/>
  <c r="DX246" i="24142"/>
  <c r="DW246" i="24142"/>
  <c r="DG247" i="24142"/>
  <c r="DG196" i="24142"/>
  <c r="C204" i="24142"/>
  <c r="C175" i="24142"/>
  <c r="AY204" i="24142"/>
  <c r="BG204" i="24142"/>
  <c r="BG175" i="24142"/>
  <c r="CK204" i="24142"/>
  <c r="DC176" i="24142"/>
  <c r="DG176" i="24142"/>
  <c r="DK176" i="24142"/>
  <c r="DO176" i="24142"/>
  <c r="DS176" i="24142"/>
  <c r="DW176" i="24142"/>
  <c r="DC181" i="24142"/>
  <c r="F210" i="24142"/>
  <c r="DC208" i="24142"/>
  <c r="DG208" i="24142"/>
  <c r="DK208" i="24142"/>
  <c r="DO208" i="24142"/>
  <c r="DK209" i="24142"/>
  <c r="DO209" i="24142"/>
  <c r="B210" i="24142"/>
  <c r="H210" i="24142"/>
  <c r="L210" i="24142"/>
  <c r="P210" i="24142"/>
  <c r="T210" i="24142"/>
  <c r="X210" i="24142"/>
  <c r="AB210" i="24142"/>
  <c r="AF210" i="24142"/>
  <c r="AJ210" i="24142"/>
  <c r="AN210" i="24142"/>
  <c r="AR210" i="24142"/>
  <c r="AV210" i="24142"/>
  <c r="AZ210" i="24142"/>
  <c r="BD210" i="24142"/>
  <c r="BH210" i="24142"/>
  <c r="BL210" i="24142"/>
  <c r="BQ148" i="23917"/>
  <c r="BP210" i="24142"/>
  <c r="BU148" i="23917"/>
  <c r="BT210" i="24142"/>
  <c r="BY148" i="23917"/>
  <c r="BX210" i="24142"/>
  <c r="DO180" i="24142"/>
  <c r="DC182" i="24142"/>
  <c r="DG182" i="24142"/>
  <c r="DK182" i="24142"/>
  <c r="DO182" i="24142"/>
  <c r="DS182" i="24142"/>
  <c r="DW182" i="24142"/>
  <c r="H181" i="24142"/>
  <c r="P181" i="24142"/>
  <c r="X181" i="24142"/>
  <c r="AF181" i="24142"/>
  <c r="AN181" i="24142"/>
  <c r="AV181" i="24142"/>
  <c r="BD181" i="24142"/>
  <c r="BF181" i="24142"/>
  <c r="BH181" i="24142"/>
  <c r="BJ181" i="24142"/>
  <c r="BT181" i="24142"/>
  <c r="DE263" i="24142"/>
  <c r="DE328" i="23917"/>
  <c r="DI263" i="24142"/>
  <c r="DI328" i="23917"/>
  <c r="DM263" i="24142"/>
  <c r="DM328" i="23917"/>
  <c r="DQ263" i="24142"/>
  <c r="DQ328" i="23917"/>
  <c r="DU263" i="24142"/>
  <c r="DU328" i="23917"/>
  <c r="DY263" i="24142"/>
  <c r="DY328" i="23917"/>
  <c r="DE264" i="24142"/>
  <c r="DE329" i="23917"/>
  <c r="DK264" i="24142"/>
  <c r="DK329" i="23917"/>
  <c r="DO264" i="24142"/>
  <c r="DO329" i="23917"/>
  <c r="DU264" i="24142"/>
  <c r="DU329" i="23917"/>
  <c r="DY264" i="24142"/>
  <c r="DY329" i="23917"/>
  <c r="E263" i="24142"/>
  <c r="E328" i="23917"/>
  <c r="G263" i="24142"/>
  <c r="G328" i="23917"/>
  <c r="I263" i="24142"/>
  <c r="I328" i="23917"/>
  <c r="K263" i="24142"/>
  <c r="K328" i="23917"/>
  <c r="AC264" i="24142"/>
  <c r="AC329" i="23917"/>
  <c r="AE264" i="24142"/>
  <c r="AE329" i="23917"/>
  <c r="E265" i="24142"/>
  <c r="E330" i="23917"/>
  <c r="I265" i="24142"/>
  <c r="I330" i="23917"/>
  <c r="K265" i="24142"/>
  <c r="K330" i="23917"/>
  <c r="M264" i="24142"/>
  <c r="M329" i="23917"/>
  <c r="O263" i="24142"/>
  <c r="O328" i="23917"/>
  <c r="Q263" i="24142"/>
  <c r="Q328" i="23917"/>
  <c r="Q265" i="24142"/>
  <c r="Q330" i="23917"/>
  <c r="S264" i="24142"/>
  <c r="S329" i="23917"/>
  <c r="U263" i="24142"/>
  <c r="U328" i="23917"/>
  <c r="U265" i="24142"/>
  <c r="U330" i="23917"/>
  <c r="W264" i="24142"/>
  <c r="W329" i="23917"/>
  <c r="Y263" i="24142"/>
  <c r="Y328" i="23917"/>
  <c r="AA263" i="24142"/>
  <c r="AA328" i="23917"/>
  <c r="AA265" i="24142"/>
  <c r="AA330" i="23917"/>
  <c r="AD266" i="24142"/>
  <c r="AG263" i="24142"/>
  <c r="AG328" i="23917"/>
  <c r="AI263" i="24142"/>
  <c r="AI328" i="23917"/>
  <c r="AI265" i="24142"/>
  <c r="AI330" i="23917"/>
  <c r="AK264" i="24142"/>
  <c r="AK329" i="23917"/>
  <c r="AM263" i="24142"/>
  <c r="AM328" i="23917"/>
  <c r="AM265" i="24142"/>
  <c r="AM330" i="23917"/>
  <c r="AO264" i="24142"/>
  <c r="AO329" i="23917"/>
  <c r="AQ263" i="24142"/>
  <c r="AQ328" i="23917"/>
  <c r="AQ265" i="24142"/>
  <c r="AQ330" i="23917"/>
  <c r="AS264" i="24142"/>
  <c r="AS329" i="23917"/>
  <c r="AU263" i="24142"/>
  <c r="AU328" i="23917"/>
  <c r="AU265" i="24142"/>
  <c r="AU330" i="23917"/>
  <c r="AW264" i="24142"/>
  <c r="AW329" i="23917"/>
  <c r="AY263" i="24142"/>
  <c r="AY328" i="23917"/>
  <c r="AY265" i="24142"/>
  <c r="AY330" i="23917"/>
  <c r="BA264" i="24142"/>
  <c r="BA329" i="23917"/>
  <c r="BC263" i="24142"/>
  <c r="BC328" i="23917"/>
  <c r="BC265" i="24142"/>
  <c r="BC330" i="23917"/>
  <c r="BE264" i="24142"/>
  <c r="BE329" i="23917"/>
  <c r="BG263" i="24142"/>
  <c r="BG328" i="23917"/>
  <c r="BG265" i="24142"/>
  <c r="BG330" i="23917"/>
  <c r="BI264" i="24142"/>
  <c r="BI329" i="23917"/>
  <c r="BK263" i="24142"/>
  <c r="BK328" i="23917"/>
  <c r="BK265" i="24142"/>
  <c r="BK330" i="23917"/>
  <c r="BM264" i="24142"/>
  <c r="BM329" i="23917"/>
  <c r="BO263" i="24142"/>
  <c r="BO328" i="23917"/>
  <c r="BO265" i="24142"/>
  <c r="BO330" i="23917"/>
  <c r="CE264" i="24142"/>
  <c r="CE329" i="23917"/>
  <c r="CG263" i="24142"/>
  <c r="CG328" i="23917"/>
  <c r="CG265" i="24142"/>
  <c r="CG330" i="23917"/>
  <c r="CI264" i="24142"/>
  <c r="CI329" i="23917"/>
  <c r="CK263" i="24142"/>
  <c r="CK328" i="23917"/>
  <c r="CK265" i="24142"/>
  <c r="CK330" i="23917"/>
  <c r="CM264" i="24142"/>
  <c r="CM329" i="23917"/>
  <c r="DM265" i="24142"/>
  <c r="DM330" i="23917"/>
  <c r="DS265" i="24142"/>
  <c r="DS330" i="23917"/>
  <c r="DU265" i="24142"/>
  <c r="DU330" i="23917"/>
  <c r="D266" i="24142"/>
  <c r="D331" i="23917"/>
  <c r="L266" i="24142"/>
  <c r="L331" i="23917"/>
  <c r="P266" i="24142"/>
  <c r="P331" i="23917"/>
  <c r="T266" i="24142"/>
  <c r="T331" i="23917"/>
  <c r="AA266" i="24142"/>
  <c r="AA331" i="23917"/>
  <c r="AF266" i="24142"/>
  <c r="AF331" i="23917"/>
  <c r="AI266" i="24142"/>
  <c r="AI331" i="23917"/>
  <c r="AL266" i="24142"/>
  <c r="AL331" i="23917"/>
  <c r="AP266" i="24142"/>
  <c r="AP331" i="23917"/>
  <c r="AR266" i="24142"/>
  <c r="AR331" i="23917"/>
  <c r="AX266" i="24142"/>
  <c r="AX331" i="23917"/>
  <c r="AZ266" i="24142"/>
  <c r="AZ331" i="23917"/>
  <c r="BC266" i="24142"/>
  <c r="BC331" i="23917"/>
  <c r="BF266" i="24142"/>
  <c r="BF331" i="23917"/>
  <c r="BH266" i="24142"/>
  <c r="BH331" i="23917"/>
  <c r="BK266" i="24142"/>
  <c r="BK331" i="23917"/>
  <c r="BN266" i="24142"/>
  <c r="BN331" i="23917"/>
  <c r="BP266" i="24142"/>
  <c r="BP331" i="23917"/>
  <c r="BV266" i="24142"/>
  <c r="BV331" i="23917"/>
  <c r="BX266" i="24142"/>
  <c r="BX331" i="23917"/>
  <c r="CL266" i="24142"/>
  <c r="CL331" i="23917"/>
  <c r="BR286" i="24142"/>
  <c r="BR352" i="23917"/>
  <c r="BZ286" i="24142"/>
  <c r="BZ352" i="23917"/>
  <c r="Y334" i="23917"/>
  <c r="AG269" i="24142"/>
  <c r="AG334" i="23917"/>
  <c r="AU269" i="24142"/>
  <c r="AU334" i="23917"/>
  <c r="BC269" i="24142"/>
  <c r="BC334" i="23917"/>
  <c r="BG269" i="24142"/>
  <c r="BG334" i="23917"/>
  <c r="BK269" i="24142"/>
  <c r="BK334" i="23917"/>
  <c r="BO269" i="24142"/>
  <c r="BO334" i="23917"/>
  <c r="CG269" i="24142"/>
  <c r="CG334" i="23917"/>
  <c r="CK269" i="24142"/>
  <c r="CK334" i="23917"/>
  <c r="DG269" i="24142"/>
  <c r="DG334" i="23917"/>
  <c r="DK269" i="24142"/>
  <c r="DK334" i="23917"/>
  <c r="DO269" i="24142"/>
  <c r="DO334" i="23917"/>
  <c r="DQ269" i="24142"/>
  <c r="DQ334" i="23917"/>
  <c r="DW269" i="24142"/>
  <c r="DW334" i="23917"/>
  <c r="DY269" i="24142"/>
  <c r="DY334" i="23917"/>
  <c r="V270" i="24142"/>
  <c r="V335" i="23917"/>
  <c r="AD270" i="24142"/>
  <c r="AD335" i="23917"/>
  <c r="Y271" i="24142"/>
  <c r="Y336" i="23917"/>
  <c r="AA271" i="24142"/>
  <c r="AA336" i="23917"/>
  <c r="AI271" i="24142"/>
  <c r="AI336" i="23917"/>
  <c r="AV270" i="24142"/>
  <c r="AV335" i="23917"/>
  <c r="AZ270" i="24142"/>
  <c r="AZ335" i="23917"/>
  <c r="AW271" i="24142"/>
  <c r="AW336" i="23917"/>
  <c r="BI271" i="24142"/>
  <c r="DU271" i="24142"/>
  <c r="DU336" i="23917"/>
  <c r="CK271" i="24142"/>
  <c r="CK336" i="23917"/>
  <c r="AV272" i="24142"/>
  <c r="AV337" i="23917"/>
  <c r="AY272" i="24142"/>
  <c r="AY337" i="23917"/>
  <c r="BB272" i="24142"/>
  <c r="BB337" i="23917"/>
  <c r="BD272" i="24142"/>
  <c r="BD337" i="23917"/>
  <c r="BG272" i="24142"/>
  <c r="BG337" i="23917"/>
  <c r="BJ272" i="24142"/>
  <c r="BJ337" i="23917"/>
  <c r="BL272" i="24142"/>
  <c r="BL337" i="23917"/>
  <c r="BO272" i="24142"/>
  <c r="BO337" i="23917"/>
  <c r="BR272" i="24142"/>
  <c r="BR337" i="23917"/>
  <c r="BT272" i="24142"/>
  <c r="BT337" i="23917"/>
  <c r="BZ272" i="24142"/>
  <c r="BZ337" i="23917"/>
  <c r="CB272" i="24142"/>
  <c r="CB337" i="23917"/>
  <c r="CH272" i="24142"/>
  <c r="CH337" i="23917"/>
  <c r="CJ273" i="24142"/>
  <c r="CJ272" i="24142"/>
  <c r="CJ337" i="23917"/>
  <c r="CM272" i="24142"/>
  <c r="CM337" i="23917"/>
  <c r="E271" i="24142"/>
  <c r="E336" i="23917"/>
  <c r="J270" i="24142"/>
  <c r="J335" i="23917"/>
  <c r="DG271" i="24142"/>
  <c r="S269" i="24142"/>
  <c r="S334" i="23917"/>
  <c r="T273" i="24142"/>
  <c r="T338" i="23917"/>
  <c r="AN270" i="24142"/>
  <c r="AN335" i="23917"/>
  <c r="AR335" i="23917"/>
  <c r="E272" i="24142"/>
  <c r="E337" i="23917"/>
  <c r="G271" i="24142"/>
  <c r="G336" i="23917"/>
  <c r="I269" i="24142"/>
  <c r="I334" i="23917"/>
  <c r="K269" i="24142"/>
  <c r="K334" i="23917"/>
  <c r="K272" i="24142"/>
  <c r="K337" i="23917"/>
  <c r="M272" i="24142"/>
  <c r="M337" i="23917"/>
  <c r="O271" i="24142"/>
  <c r="O336" i="23917"/>
  <c r="Q269" i="24142"/>
  <c r="Q334" i="23917"/>
  <c r="S271" i="24142"/>
  <c r="S336" i="23917"/>
  <c r="U272" i="24142"/>
  <c r="U337" i="23917"/>
  <c r="Z290" i="24142"/>
  <c r="Z356" i="23917"/>
  <c r="AC272" i="24142"/>
  <c r="AC337" i="23917"/>
  <c r="AH290" i="24142"/>
  <c r="AH356" i="23917"/>
  <c r="AM269" i="24142"/>
  <c r="AM334" i="23917"/>
  <c r="AS272" i="24142"/>
  <c r="AS337" i="23917"/>
  <c r="DE272" i="24142"/>
  <c r="DE337" i="23917"/>
  <c r="DI272" i="24142"/>
  <c r="DI337" i="23917"/>
  <c r="I273" i="24142"/>
  <c r="I338" i="23917"/>
  <c r="D273" i="24142"/>
  <c r="D338" i="23917"/>
  <c r="H273" i="24142"/>
  <c r="H338" i="23917"/>
  <c r="L273" i="24142"/>
  <c r="L338" i="23917"/>
  <c r="N273" i="24142"/>
  <c r="N338" i="23917"/>
  <c r="AL273" i="24142"/>
  <c r="AL338" i="23917"/>
  <c r="AP338" i="23917"/>
  <c r="AX273" i="24142"/>
  <c r="AX338" i="23917"/>
  <c r="BF338" i="23917"/>
  <c r="BN273" i="24142"/>
  <c r="BN338" i="23917"/>
  <c r="BW273" i="24142"/>
  <c r="BV338" i="23917"/>
  <c r="DE276" i="24142"/>
  <c r="DE341" i="23917"/>
  <c r="DK276" i="24142"/>
  <c r="DK341" i="23917"/>
  <c r="DM276" i="24142"/>
  <c r="DM341" i="23917"/>
  <c r="DS276" i="24142"/>
  <c r="DS341" i="23917"/>
  <c r="DU276" i="24142"/>
  <c r="DU341" i="23917"/>
  <c r="G276" i="24142"/>
  <c r="G341" i="23917"/>
  <c r="E276" i="24142"/>
  <c r="E341" i="23917"/>
  <c r="AY276" i="24142"/>
  <c r="AY341" i="23917"/>
  <c r="BA276" i="24142"/>
  <c r="BA341" i="23917"/>
  <c r="BC276" i="24142"/>
  <c r="BC341" i="23917"/>
  <c r="BE276" i="24142"/>
  <c r="BE341" i="23917"/>
  <c r="BG276" i="24142"/>
  <c r="BG341" i="23917"/>
  <c r="BI276" i="24142"/>
  <c r="BI341" i="23917"/>
  <c r="BK276" i="24142"/>
  <c r="BK341" i="23917"/>
  <c r="BM276" i="24142"/>
  <c r="BM341" i="23917"/>
  <c r="BO276" i="24142"/>
  <c r="BO341" i="23917"/>
  <c r="CE276" i="24142"/>
  <c r="CE341" i="23917"/>
  <c r="CG276" i="24142"/>
  <c r="CG341" i="23917"/>
  <c r="CI276" i="24142"/>
  <c r="CI341" i="23917"/>
  <c r="CK276" i="24142"/>
  <c r="CK341" i="23917"/>
  <c r="CM276" i="24142"/>
  <c r="CM341" i="23917"/>
  <c r="DC303" i="24142"/>
  <c r="DC369" i="23917"/>
  <c r="B306" i="24142"/>
  <c r="B372" i="23917"/>
  <c r="DG303" i="24142"/>
  <c r="DG369" i="23917"/>
  <c r="C303" i="24142"/>
  <c r="C369" i="23917"/>
  <c r="DE305" i="24142"/>
  <c r="DE371" i="23917"/>
  <c r="E302" i="24142"/>
  <c r="E368" i="23917"/>
  <c r="E305" i="24142"/>
  <c r="E371" i="23917"/>
  <c r="G304" i="24142"/>
  <c r="G370" i="23917"/>
  <c r="DD302" i="24142"/>
  <c r="DD368" i="23917"/>
  <c r="DF302" i="24142"/>
  <c r="DF368" i="23917"/>
  <c r="DC305" i="24142"/>
  <c r="DC371" i="23917"/>
  <c r="DC304" i="24142"/>
  <c r="DC370" i="23917"/>
  <c r="DE304" i="24142"/>
  <c r="DE370" i="23917"/>
  <c r="DG304" i="24142"/>
  <c r="DG370" i="23917"/>
  <c r="DD309" i="24142"/>
  <c r="DD375" i="23917"/>
  <c r="DF309" i="24142"/>
  <c r="DF375" i="23917"/>
  <c r="DC310" i="24142"/>
  <c r="DC376" i="23917"/>
  <c r="DG310" i="24142"/>
  <c r="DG376" i="23917"/>
  <c r="DC313" i="24142"/>
  <c r="DC379" i="23917"/>
  <c r="DE313" i="24142"/>
  <c r="DE379" i="23917"/>
  <c r="DG313" i="24142"/>
  <c r="DG379" i="23917"/>
  <c r="DC312" i="24142"/>
  <c r="DC378" i="23917"/>
  <c r="E312" i="24142"/>
  <c r="E378" i="23917"/>
  <c r="DG312" i="24142"/>
  <c r="C309" i="24142"/>
  <c r="C375" i="23917"/>
  <c r="C312" i="24142"/>
  <c r="C378" i="23917"/>
  <c r="E309" i="24142"/>
  <c r="E375" i="23917"/>
  <c r="E313" i="24142"/>
  <c r="E379" i="23917"/>
  <c r="G310" i="24142"/>
  <c r="G376" i="23917"/>
  <c r="D314" i="24142"/>
  <c r="D380" i="23917"/>
  <c r="H314" i="24142"/>
  <c r="H380" i="23917"/>
  <c r="L314" i="24142"/>
  <c r="L380" i="23917"/>
  <c r="DE317" i="24142"/>
  <c r="DE383" i="23917"/>
  <c r="DD383" i="24142"/>
  <c r="DD449" i="23917"/>
  <c r="DE384" i="24142"/>
  <c r="DE450" i="23917"/>
  <c r="DK384" i="24142"/>
  <c r="DK450" i="23917"/>
  <c r="DG385" i="24142"/>
  <c r="DG451" i="23917"/>
  <c r="DE386" i="24142"/>
  <c r="DE452" i="23917"/>
  <c r="DC387" i="24142"/>
  <c r="DC453" i="23917"/>
  <c r="DE388" i="24142"/>
  <c r="DE454" i="23917"/>
  <c r="DI388" i="24142"/>
  <c r="DI454" i="23917"/>
  <c r="E384" i="24142"/>
  <c r="E450" i="23917"/>
  <c r="I384" i="24142"/>
  <c r="I386" i="24142"/>
  <c r="I452" i="23917"/>
  <c r="C386" i="24142"/>
  <c r="C452" i="23917"/>
  <c r="DE387" i="24142"/>
  <c r="DE453" i="23917"/>
  <c r="Y386" i="24142"/>
  <c r="AA386" i="24142"/>
  <c r="C388" i="24142"/>
  <c r="C454" i="23917"/>
  <c r="E388" i="24142"/>
  <c r="E454" i="23917"/>
  <c r="G388" i="24142"/>
  <c r="G454" i="23917"/>
  <c r="M387" i="24142"/>
  <c r="M453" i="23917"/>
  <c r="O388" i="24142"/>
  <c r="O454" i="23917"/>
  <c r="S385" i="24142"/>
  <c r="U387" i="24142"/>
  <c r="U453" i="23917"/>
  <c r="W388" i="24142"/>
  <c r="W454" i="23917"/>
  <c r="AA388" i="24142"/>
  <c r="AA454" i="23917"/>
  <c r="AC388" i="24142"/>
  <c r="AC454" i="23917"/>
  <c r="P458" i="23917"/>
  <c r="AB392" i="24142"/>
  <c r="DC345" i="24142"/>
  <c r="DC411" i="23917"/>
  <c r="DG345" i="24142"/>
  <c r="DG411" i="23917"/>
  <c r="DK345" i="24142"/>
  <c r="DK411" i="23917"/>
  <c r="E345" i="24142"/>
  <c r="E411" i="23917"/>
  <c r="I345" i="24142"/>
  <c r="I411" i="23917"/>
  <c r="M345" i="24142"/>
  <c r="M411" i="23917"/>
  <c r="Q345" i="24142"/>
  <c r="Q411" i="23917"/>
  <c r="U345" i="24142"/>
  <c r="U411" i="23917"/>
  <c r="Y345" i="24142"/>
  <c r="Y411" i="23917"/>
  <c r="AC345" i="24142"/>
  <c r="AC411" i="23917"/>
  <c r="E349" i="24142"/>
  <c r="E415" i="23917"/>
  <c r="I349" i="24142"/>
  <c r="I415" i="23917"/>
  <c r="M349" i="24142"/>
  <c r="M415" i="23917"/>
  <c r="Q349" i="24142"/>
  <c r="Q415" i="23917"/>
  <c r="U349" i="24142"/>
  <c r="U415" i="23917"/>
  <c r="Y349" i="24142"/>
  <c r="Y415" i="23917"/>
  <c r="AC349" i="24142"/>
  <c r="AC415" i="23917"/>
  <c r="DD349" i="24142"/>
  <c r="DD415" i="23917"/>
  <c r="DF349" i="24142"/>
  <c r="DF415" i="23917"/>
  <c r="DH349" i="24142"/>
  <c r="DH415" i="23917"/>
  <c r="DJ349" i="24142"/>
  <c r="DJ415" i="23917"/>
  <c r="DL349" i="24142"/>
  <c r="DL415" i="23917"/>
  <c r="DD352" i="24142"/>
  <c r="DD418" i="23917"/>
  <c r="DF352" i="24142"/>
  <c r="DF418" i="23917"/>
  <c r="DH352" i="24142"/>
  <c r="DH418" i="23917"/>
  <c r="DJ352" i="24142"/>
  <c r="DJ418" i="23917"/>
  <c r="DL352" i="24142"/>
  <c r="DL418" i="23917"/>
  <c r="S408" i="24142"/>
  <c r="S474" i="23917"/>
  <c r="DE408" i="24142"/>
  <c r="DE474" i="23917"/>
  <c r="DI408" i="24142"/>
  <c r="DI474" i="23917"/>
  <c r="DE429" i="24142"/>
  <c r="DE409" i="24142"/>
  <c r="DE495" i="23917"/>
  <c r="DE475" i="23917"/>
  <c r="DE410" i="24142"/>
  <c r="DE476" i="23917"/>
  <c r="DI410" i="24142"/>
  <c r="DI476" i="23917"/>
  <c r="DC429" i="24142"/>
  <c r="DC409" i="24142"/>
  <c r="DC495" i="23917"/>
  <c r="DC475" i="23917"/>
  <c r="D411" i="24142"/>
  <c r="D477" i="23917"/>
  <c r="I429" i="24142"/>
  <c r="DG429" i="24142"/>
  <c r="DG409" i="24142"/>
  <c r="DG495" i="23917"/>
  <c r="DG475" i="23917"/>
  <c r="T411" i="24142"/>
  <c r="T477" i="23917"/>
  <c r="X477" i="23917"/>
  <c r="C410" i="24142"/>
  <c r="C476" i="23917"/>
  <c r="E410" i="24142"/>
  <c r="E476" i="23917"/>
  <c r="G410" i="24142"/>
  <c r="G476" i="23917"/>
  <c r="I410" i="24142"/>
  <c r="I476" i="23917"/>
  <c r="K410" i="24142"/>
  <c r="K476" i="23917"/>
  <c r="M410" i="24142"/>
  <c r="M476" i="23917"/>
  <c r="O410" i="24142"/>
  <c r="O476" i="23917"/>
  <c r="AA410" i="24142"/>
  <c r="AA476" i="23917"/>
  <c r="U410" i="24142"/>
  <c r="U476" i="23917"/>
  <c r="W410" i="24142"/>
  <c r="W476" i="23917"/>
  <c r="Y410" i="24142"/>
  <c r="Y476" i="23917"/>
  <c r="K414" i="24142"/>
  <c r="K480" i="23917"/>
  <c r="DC414" i="24142"/>
  <c r="DC480" i="23917"/>
  <c r="DG414" i="24142"/>
  <c r="DG480" i="23917"/>
  <c r="DE415" i="24142"/>
  <c r="DE481" i="23917"/>
  <c r="DJ415" i="24142"/>
  <c r="DJ481" i="23917"/>
  <c r="C415" i="24142"/>
  <c r="C481" i="23917"/>
  <c r="G414" i="24142"/>
  <c r="G480" i="23917"/>
  <c r="I414" i="24142"/>
  <c r="I480" i="23917"/>
  <c r="O414" i="24142"/>
  <c r="O480" i="23917"/>
  <c r="Q414" i="24142"/>
  <c r="Q480" i="23917"/>
  <c r="S414" i="24142"/>
  <c r="S480" i="23917"/>
  <c r="U414" i="24142"/>
  <c r="U480" i="23917"/>
  <c r="W414" i="24142"/>
  <c r="W480" i="23917"/>
  <c r="Y414" i="24142"/>
  <c r="Y480" i="23917"/>
  <c r="AA414" i="24142"/>
  <c r="AA480" i="23917"/>
  <c r="C416" i="24142"/>
  <c r="C482" i="23917"/>
  <c r="F416" i="24142"/>
  <c r="F482" i="23917"/>
  <c r="H416" i="24142"/>
  <c r="H482" i="23917"/>
  <c r="K416" i="24142"/>
  <c r="K482" i="23917"/>
  <c r="R416" i="24142"/>
  <c r="R482" i="23917"/>
  <c r="T416" i="24142"/>
  <c r="T482" i="23917"/>
  <c r="W416" i="24142"/>
  <c r="W482" i="23917"/>
  <c r="Z416" i="24142"/>
  <c r="Z482" i="23917"/>
  <c r="DD419" i="24142"/>
  <c r="DD485" i="23917"/>
  <c r="DG419" i="24142"/>
  <c r="DG485" i="23917"/>
  <c r="C419" i="24142"/>
  <c r="C485" i="23917"/>
  <c r="E419" i="24142"/>
  <c r="E485" i="23917"/>
  <c r="G419" i="24142"/>
  <c r="G485" i="23917"/>
  <c r="I419" i="24142"/>
  <c r="I485" i="23917"/>
  <c r="K419" i="24142"/>
  <c r="K485" i="23917"/>
  <c r="M419" i="24142"/>
  <c r="M485" i="23917"/>
  <c r="O419" i="24142"/>
  <c r="O485" i="23917"/>
  <c r="Q419" i="24142"/>
  <c r="Q485" i="23917"/>
  <c r="S419" i="24142"/>
  <c r="S485" i="23917"/>
  <c r="U419" i="24142"/>
  <c r="U485" i="23917"/>
  <c r="W419" i="24142"/>
  <c r="W485" i="23917"/>
  <c r="Y419" i="24142"/>
  <c r="Y485" i="23917"/>
  <c r="AA419" i="24142"/>
  <c r="AA485" i="23917"/>
  <c r="G445" i="24142"/>
  <c r="G511" i="23917"/>
  <c r="D452" i="24142"/>
  <c r="D518" i="23917"/>
  <c r="I450" i="24142"/>
  <c r="E449" i="24142"/>
  <c r="E515" i="23917"/>
  <c r="G448" i="24142"/>
  <c r="G514" i="23917"/>
  <c r="G451" i="24142"/>
  <c r="G517" i="23917"/>
  <c r="I449" i="24142"/>
  <c r="I515" i="23917"/>
  <c r="DE448" i="24142"/>
  <c r="DE514" i="23917"/>
  <c r="DE451" i="24142"/>
  <c r="DE517" i="23917"/>
  <c r="D467" i="24142"/>
  <c r="D533" i="23917"/>
  <c r="F467" i="24142"/>
  <c r="F533" i="23917"/>
  <c r="H467" i="24142"/>
  <c r="H533" i="23917"/>
  <c r="D468" i="24142"/>
  <c r="D534" i="23917"/>
  <c r="F468" i="24142"/>
  <c r="F534" i="23917"/>
  <c r="H468" i="24142"/>
  <c r="H534" i="23917"/>
  <c r="DE455" i="24142"/>
  <c r="DE521" i="23917"/>
  <c r="D457" i="24142"/>
  <c r="D523" i="23917"/>
  <c r="D463" i="24142"/>
  <c r="D529" i="23917"/>
  <c r="L481" i="24142"/>
  <c r="L547" i="23917"/>
  <c r="P481" i="24142"/>
  <c r="P547" i="23917"/>
  <c r="T481" i="24142"/>
  <c r="T547" i="23917"/>
  <c r="X481" i="24142"/>
  <c r="X547" i="23917"/>
  <c r="AB481" i="24142"/>
  <c r="AB547" i="23917"/>
  <c r="AF481" i="24142"/>
  <c r="AF547" i="23917"/>
  <c r="AJ481" i="24142"/>
  <c r="AJ547" i="23917"/>
  <c r="AN481" i="24142"/>
  <c r="AN547" i="23917"/>
  <c r="AR481" i="24142"/>
  <c r="AR547" i="23917"/>
  <c r="AV481" i="24142"/>
  <c r="AV547" i="23917"/>
  <c r="AZ481" i="24142"/>
  <c r="AZ547" i="23917"/>
  <c r="BD481" i="24142"/>
  <c r="BD547" i="23917"/>
  <c r="BH481" i="24142"/>
  <c r="BH547" i="23917"/>
  <c r="BL481" i="24142"/>
  <c r="BL547" i="23917"/>
  <c r="BP481" i="24142"/>
  <c r="BP547" i="23917"/>
  <c r="BT481" i="24142"/>
  <c r="BT547" i="23917"/>
  <c r="BX481" i="24142"/>
  <c r="BX547" i="23917"/>
  <c r="CQ482" i="24142"/>
  <c r="CQ548" i="23917"/>
  <c r="CS482" i="24142"/>
  <c r="CS548" i="23917"/>
  <c r="DD481" i="24142"/>
  <c r="DD547" i="23917"/>
  <c r="C482" i="24142"/>
  <c r="C548" i="23917"/>
  <c r="E482" i="24142"/>
  <c r="E548" i="23917"/>
  <c r="G482" i="24142"/>
  <c r="G548" i="23917"/>
  <c r="K481" i="24142"/>
  <c r="K547" i="23917"/>
  <c r="M482" i="24142"/>
  <c r="M548" i="23917"/>
  <c r="O482" i="24142"/>
  <c r="O548" i="23917"/>
  <c r="S481" i="24142"/>
  <c r="S547" i="23917"/>
  <c r="U482" i="24142"/>
  <c r="U548" i="23917"/>
  <c r="W482" i="24142"/>
  <c r="W548" i="23917"/>
  <c r="AA481" i="24142"/>
  <c r="AA547" i="23917"/>
  <c r="AC482" i="24142"/>
  <c r="AC548" i="23917"/>
  <c r="AE482" i="24142"/>
  <c r="AE548" i="23917"/>
  <c r="AI481" i="24142"/>
  <c r="AI547" i="23917"/>
  <c r="AK482" i="24142"/>
  <c r="AK548" i="23917"/>
  <c r="AM482" i="24142"/>
  <c r="AM548" i="23917"/>
  <c r="DE482" i="24142"/>
  <c r="DE548" i="23917"/>
  <c r="DI482" i="24142"/>
  <c r="DI548" i="23917"/>
  <c r="DM482" i="24142"/>
  <c r="DM548" i="23917"/>
  <c r="DQ482" i="24142"/>
  <c r="DQ548" i="23917"/>
  <c r="DU482" i="24142"/>
  <c r="DU548" i="23917"/>
  <c r="DY482" i="24142"/>
  <c r="DY548" i="23917"/>
  <c r="B483" i="24142"/>
  <c r="B549" i="23917"/>
  <c r="F483" i="24142"/>
  <c r="F549" i="23917"/>
  <c r="N483" i="24142"/>
  <c r="N549" i="23917"/>
  <c r="V483" i="24142"/>
  <c r="V549" i="23917"/>
  <c r="AD483" i="24142"/>
  <c r="AD549" i="23917"/>
  <c r="AL483" i="24142"/>
  <c r="AL549" i="23917"/>
  <c r="AQ482" i="24142"/>
  <c r="AQ548" i="23917"/>
  <c r="AU481" i="24142"/>
  <c r="AU547" i="23917"/>
  <c r="AY481" i="24142"/>
  <c r="AY547" i="23917"/>
  <c r="AY483" i="24142"/>
  <c r="AY549" i="23917"/>
  <c r="BA483" i="24142"/>
  <c r="BA549" i="23917"/>
  <c r="BC482" i="24142"/>
  <c r="BC548" i="23917"/>
  <c r="BE482" i="24142"/>
  <c r="BE548" i="23917"/>
  <c r="BG481" i="24142"/>
  <c r="BG547" i="23917"/>
  <c r="BG483" i="24142"/>
  <c r="BG549" i="23917"/>
  <c r="BI483" i="24142"/>
  <c r="BI549" i="23917"/>
  <c r="BK482" i="24142"/>
  <c r="BK548" i="23917"/>
  <c r="BM482" i="24142"/>
  <c r="BM548" i="23917"/>
  <c r="BO481" i="24142"/>
  <c r="BO547" i="23917"/>
  <c r="BO483" i="24142"/>
  <c r="BO549" i="23917"/>
  <c r="CE483" i="24142"/>
  <c r="CE549" i="23917"/>
  <c r="CG483" i="24142"/>
  <c r="CG549" i="23917"/>
  <c r="CI483" i="24142"/>
  <c r="CI549" i="23917"/>
  <c r="CK483" i="24142"/>
  <c r="CK549" i="23917"/>
  <c r="CM483" i="24142"/>
  <c r="CM549" i="23917"/>
  <c r="C486" i="24142"/>
  <c r="C552" i="23917"/>
  <c r="K486" i="24142"/>
  <c r="K552" i="23917"/>
  <c r="O486" i="24142"/>
  <c r="O552" i="23917"/>
  <c r="S486" i="24142"/>
  <c r="S552" i="23917"/>
  <c r="W486" i="24142"/>
  <c r="W552" i="23917"/>
  <c r="DC486" i="24142"/>
  <c r="DC552" i="23917"/>
  <c r="DG486" i="24142"/>
  <c r="DG552" i="23917"/>
  <c r="DI486" i="24142"/>
  <c r="DI552" i="23917"/>
  <c r="DK486" i="24142"/>
  <c r="DK552" i="23917"/>
  <c r="DM486" i="24142"/>
  <c r="DM552" i="23917"/>
  <c r="DO486" i="24142"/>
  <c r="DO552" i="23917"/>
  <c r="DQ486" i="24142"/>
  <c r="DQ552" i="23917"/>
  <c r="DS486" i="24142"/>
  <c r="DS552" i="23917"/>
  <c r="DU486" i="24142"/>
  <c r="DU552" i="23917"/>
  <c r="DW486" i="24142"/>
  <c r="DW552" i="23917"/>
  <c r="DY486" i="24142"/>
  <c r="DY552" i="23917"/>
  <c r="DG487" i="24142"/>
  <c r="DG553" i="23917"/>
  <c r="DK487" i="24142"/>
  <c r="DK553" i="23917"/>
  <c r="DS487" i="24142"/>
  <c r="DS553" i="23917"/>
  <c r="DJ554" i="23917"/>
  <c r="K553" i="23917"/>
  <c r="G486" i="24142"/>
  <c r="G552" i="23917"/>
  <c r="L487" i="24142"/>
  <c r="L553" i="23917"/>
  <c r="N487" i="24142"/>
  <c r="N553" i="23917"/>
  <c r="Q487" i="24142"/>
  <c r="Q553" i="23917"/>
  <c r="S487" i="24142"/>
  <c r="S553" i="23917"/>
  <c r="Y487" i="24142"/>
  <c r="Y553" i="23917"/>
  <c r="AB487" i="24142"/>
  <c r="AB553" i="23917"/>
  <c r="AF487" i="24142"/>
  <c r="AF553" i="23917"/>
  <c r="AJ487" i="24142"/>
  <c r="AJ553" i="23917"/>
  <c r="AN487" i="24142"/>
  <c r="AN553" i="23917"/>
  <c r="AR487" i="24142"/>
  <c r="AR553" i="23917"/>
  <c r="AV487" i="24142"/>
  <c r="AV553" i="23917"/>
  <c r="AZ487" i="24142"/>
  <c r="AZ553" i="23917"/>
  <c r="BD487" i="24142"/>
  <c r="BD553" i="23917"/>
  <c r="BH487" i="24142"/>
  <c r="BH553" i="23917"/>
  <c r="BL487" i="24142"/>
  <c r="BL553" i="23917"/>
  <c r="BP487" i="24142"/>
  <c r="BP553" i="23917"/>
  <c r="BT487" i="24142"/>
  <c r="BT553" i="23917"/>
  <c r="BX487" i="24142"/>
  <c r="BX553" i="23917"/>
  <c r="CA488" i="24142"/>
  <c r="CA487" i="24142"/>
  <c r="CA553" i="23917"/>
  <c r="CD487" i="24142"/>
  <c r="CD553" i="23917"/>
  <c r="CH487" i="24142"/>
  <c r="CH553" i="23917"/>
  <c r="CL487" i="24142"/>
  <c r="CL553" i="23917"/>
  <c r="AE486" i="24142"/>
  <c r="AE552" i="23917"/>
  <c r="AG486" i="24142"/>
  <c r="AG552" i="23917"/>
  <c r="AI486" i="24142"/>
  <c r="AI552" i="23917"/>
  <c r="AK486" i="24142"/>
  <c r="AK552" i="23917"/>
  <c r="AU486" i="24142"/>
  <c r="AU552" i="23917"/>
  <c r="AW486" i="24142"/>
  <c r="AW552" i="23917"/>
  <c r="AY486" i="24142"/>
  <c r="AY552" i="23917"/>
  <c r="BA486" i="24142"/>
  <c r="BA552" i="23917"/>
  <c r="BK486" i="24142"/>
  <c r="BK552" i="23917"/>
  <c r="BM486" i="24142"/>
  <c r="BM552" i="23917"/>
  <c r="BO486" i="24142"/>
  <c r="BO552" i="23917"/>
  <c r="DE486" i="24142"/>
  <c r="DE552" i="23917"/>
  <c r="CE486" i="24142"/>
  <c r="CE552" i="23917"/>
  <c r="CI486" i="24142"/>
  <c r="CI552" i="23917"/>
  <c r="CM486" i="24142"/>
  <c r="CM552" i="23917"/>
  <c r="DD491" i="24142"/>
  <c r="DD558" i="23917"/>
  <c r="DF491" i="24142"/>
  <c r="DF558" i="23917"/>
  <c r="DH491" i="24142"/>
  <c r="DH558" i="23917"/>
  <c r="DJ491" i="24142"/>
  <c r="DJ558" i="23917"/>
  <c r="DL491" i="24142"/>
  <c r="DL558" i="23917"/>
  <c r="DN491" i="24142"/>
  <c r="DN558" i="23917"/>
  <c r="DP491" i="24142"/>
  <c r="DP558" i="23917"/>
  <c r="DR491" i="24142"/>
  <c r="DR558" i="23917"/>
  <c r="DT491" i="24142"/>
  <c r="DT558" i="23917"/>
  <c r="DV491" i="24142"/>
  <c r="DV558" i="23917"/>
  <c r="DX491" i="24142"/>
  <c r="DX558" i="23917"/>
  <c r="DZ491" i="24142"/>
  <c r="DZ558" i="23917"/>
  <c r="G491" i="24142"/>
  <c r="G558" i="23917"/>
  <c r="AA491" i="24142"/>
  <c r="AA558" i="23917"/>
  <c r="C491" i="24142"/>
  <c r="C558" i="23917"/>
  <c r="AK491" i="24142"/>
  <c r="AK558" i="23917"/>
  <c r="AM491" i="24142"/>
  <c r="AM558" i="23917"/>
  <c r="AO491" i="24142"/>
  <c r="AO558" i="23917"/>
  <c r="AQ491" i="24142"/>
  <c r="AQ558" i="23917"/>
  <c r="AS491" i="24142"/>
  <c r="AS558" i="23917"/>
  <c r="AU491" i="24142"/>
  <c r="AU558" i="23917"/>
  <c r="AW491" i="24142"/>
  <c r="AW558" i="23917"/>
  <c r="AY491" i="24142"/>
  <c r="AY558" i="23917"/>
  <c r="BA491" i="24142"/>
  <c r="BA558" i="23917"/>
  <c r="BC491" i="24142"/>
  <c r="BC558" i="23917"/>
  <c r="BE491" i="24142"/>
  <c r="BE558" i="23917"/>
  <c r="BG491" i="24142"/>
  <c r="BG558" i="23917"/>
  <c r="BI491" i="24142"/>
  <c r="BI558" i="23917"/>
  <c r="BK491" i="24142"/>
  <c r="BK558" i="23917"/>
  <c r="BM491" i="24142"/>
  <c r="BM558" i="23917"/>
  <c r="BO491" i="24142"/>
  <c r="BO558" i="23917"/>
  <c r="CE491" i="24142"/>
  <c r="CE558" i="23917"/>
  <c r="CG491" i="24142"/>
  <c r="CG558" i="23917"/>
  <c r="CI491" i="24142"/>
  <c r="CI558" i="23917"/>
  <c r="CK491" i="24142"/>
  <c r="CK558" i="23917"/>
  <c r="CM491" i="24142"/>
  <c r="CM558" i="23917"/>
  <c r="M21" i="23917"/>
  <c r="U21" i="23917"/>
  <c r="Y21" i="23917"/>
  <c r="AG21" i="23917"/>
  <c r="AO21" i="23917"/>
  <c r="AS21" i="23917"/>
  <c r="BW21" i="23917"/>
  <c r="CL21" i="23917"/>
  <c r="CU21" i="23917"/>
  <c r="EF21" i="23917"/>
  <c r="DM22" i="24142"/>
  <c r="DQ22" i="24142"/>
  <c r="DU22" i="24142"/>
  <c r="DY22" i="24142"/>
  <c r="BS21" i="23917"/>
  <c r="CS40" i="23917"/>
  <c r="CT40" i="23917"/>
  <c r="M43" i="23917"/>
  <c r="Y43" i="23917"/>
  <c r="DC48" i="24142"/>
  <c r="DG48" i="24142"/>
  <c r="DK48" i="24142"/>
  <c r="DO48" i="24142"/>
  <c r="DS48" i="24142"/>
  <c r="DW48" i="24142"/>
  <c r="DE61" i="24142"/>
  <c r="DI61" i="24142"/>
  <c r="DM61" i="24142"/>
  <c r="DS61" i="24142"/>
  <c r="DY61" i="24142"/>
  <c r="DV62" i="24142"/>
  <c r="DV25" i="24142"/>
  <c r="DX62" i="24142"/>
  <c r="DX25" i="24142"/>
  <c r="DZ62" i="24142"/>
  <c r="DZ25" i="24142"/>
  <c r="AQ25" i="24142"/>
  <c r="AQ62" i="24142"/>
  <c r="AS25" i="24142"/>
  <c r="AS62" i="24142"/>
  <c r="AW25" i="24142"/>
  <c r="AW62" i="24142"/>
  <c r="BA25" i="24142"/>
  <c r="BA62" i="24142"/>
  <c r="BE25" i="24142"/>
  <c r="BE62" i="24142"/>
  <c r="BI25" i="24142"/>
  <c r="BI62" i="24142"/>
  <c r="BM25" i="24142"/>
  <c r="BM62" i="24142"/>
  <c r="CE62" i="24142"/>
  <c r="CE25" i="24142"/>
  <c r="CI62" i="24142"/>
  <c r="CI25" i="24142"/>
  <c r="CM62" i="24142"/>
  <c r="CM25" i="24142"/>
  <c r="DE25" i="24142"/>
  <c r="DE62" i="24142"/>
  <c r="DI25" i="24142"/>
  <c r="DI62" i="24142"/>
  <c r="DM25" i="24142"/>
  <c r="DM62" i="24142"/>
  <c r="DS62" i="24142"/>
  <c r="DS25" i="24142"/>
  <c r="G94" i="23917"/>
  <c r="U94" i="23917"/>
  <c r="O85" i="24142"/>
  <c r="N85" i="24142"/>
  <c r="U96" i="23917"/>
  <c r="D89" i="24142"/>
  <c r="AS18" i="23917"/>
  <c r="AU18" i="23917"/>
  <c r="AW18" i="23917"/>
  <c r="AY18" i="23917"/>
  <c r="BA18" i="23917"/>
  <c r="BC18" i="23917"/>
  <c r="BE18" i="23917"/>
  <c r="BG18" i="23917"/>
  <c r="BI18" i="23917"/>
  <c r="BK18" i="23917"/>
  <c r="BM18" i="23917"/>
  <c r="BO18" i="23917"/>
  <c r="CE18" i="23917"/>
  <c r="CG18" i="23917"/>
  <c r="CI18" i="23917"/>
  <c r="CK18" i="23917"/>
  <c r="CM18" i="23917"/>
  <c r="DO18" i="23917"/>
  <c r="DQ18" i="23917"/>
  <c r="DS18" i="23917"/>
  <c r="DU18" i="23917"/>
  <c r="DW18" i="23917"/>
  <c r="DY18" i="23917"/>
  <c r="EF18" i="23917"/>
  <c r="EH18" i="23917"/>
  <c r="EJ18" i="23917"/>
  <c r="H21" i="23917"/>
  <c r="L21" i="23917"/>
  <c r="T21" i="23917"/>
  <c r="X21" i="23917"/>
  <c r="AD21" i="23917"/>
  <c r="AF21" i="23917"/>
  <c r="AH21" i="23917"/>
  <c r="AJ21" i="23917"/>
  <c r="AN21" i="23917"/>
  <c r="AR21" i="23917"/>
  <c r="AX21" i="23917"/>
  <c r="BD21" i="23917"/>
  <c r="BF21" i="23917"/>
  <c r="BJ21" i="23917"/>
  <c r="BV21" i="23917"/>
  <c r="CP21" i="23917"/>
  <c r="AE25" i="23917"/>
  <c r="AG25" i="23917"/>
  <c r="AI25" i="23917"/>
  <c r="AK25" i="23917"/>
  <c r="AM25" i="23917"/>
  <c r="AO25" i="23917"/>
  <c r="AQ25" i="23917"/>
  <c r="AS25" i="23917"/>
  <c r="AU25" i="23917"/>
  <c r="AW25" i="23917"/>
  <c r="AY25" i="23917"/>
  <c r="BA25" i="23917"/>
  <c r="BC25" i="23917"/>
  <c r="BE25" i="23917"/>
  <c r="BG25" i="23917"/>
  <c r="BI25" i="23917"/>
  <c r="BK25" i="23917"/>
  <c r="BM25" i="23917"/>
  <c r="BO25" i="23917"/>
  <c r="CE25" i="23917"/>
  <c r="CG25" i="23917"/>
  <c r="CI25" i="23917"/>
  <c r="CK25" i="23917"/>
  <c r="CM25" i="23917"/>
  <c r="CE28" i="23917"/>
  <c r="CI28" i="23917"/>
  <c r="CM28" i="23917"/>
  <c r="DZ28" i="23917"/>
  <c r="DS28" i="23917"/>
  <c r="DW28" i="23917"/>
  <c r="C39" i="23917"/>
  <c r="E39" i="23917"/>
  <c r="G39" i="23917"/>
  <c r="I39" i="23917"/>
  <c r="K39" i="23917"/>
  <c r="M39" i="23917"/>
  <c r="O39" i="23917"/>
  <c r="Q39" i="23917"/>
  <c r="S39" i="23917"/>
  <c r="U39" i="23917"/>
  <c r="W39" i="23917"/>
  <c r="Y39" i="23917"/>
  <c r="AA39" i="23917"/>
  <c r="AC39" i="23917"/>
  <c r="AE39" i="23917"/>
  <c r="AI39" i="23917"/>
  <c r="AK39" i="23917"/>
  <c r="AM39" i="23917"/>
  <c r="AQ39" i="23917"/>
  <c r="AS39" i="23917"/>
  <c r="AU39" i="23917"/>
  <c r="AW39" i="23917"/>
  <c r="AY39" i="23917"/>
  <c r="BA39" i="23917"/>
  <c r="BC39" i="23917"/>
  <c r="BE39" i="23917"/>
  <c r="BG39" i="23917"/>
  <c r="BI39" i="23917"/>
  <c r="BK39" i="23917"/>
  <c r="BM39" i="23917"/>
  <c r="BO39" i="23917"/>
  <c r="CE39" i="23917"/>
  <c r="CG39" i="23917"/>
  <c r="CI39" i="23917"/>
  <c r="CK39" i="23917"/>
  <c r="CM39" i="23917"/>
  <c r="BT43" i="23917"/>
  <c r="BV43" i="23917"/>
  <c r="CN40" i="23917"/>
  <c r="DO42" i="23917"/>
  <c r="DQ40" i="23917"/>
  <c r="DS42" i="23917"/>
  <c r="DU40" i="23917"/>
  <c r="DW42" i="23917"/>
  <c r="DF52" i="23917"/>
  <c r="DH52" i="23917"/>
  <c r="C57" i="23917"/>
  <c r="E57" i="23917"/>
  <c r="G57" i="23917"/>
  <c r="I57" i="23917"/>
  <c r="K57" i="23917"/>
  <c r="M57" i="23917"/>
  <c r="O57" i="23917"/>
  <c r="Q57" i="23917"/>
  <c r="S57" i="23917"/>
  <c r="U57" i="23917"/>
  <c r="W57" i="23917"/>
  <c r="Y57" i="23917"/>
  <c r="AA57" i="23917"/>
  <c r="AC57" i="23917"/>
  <c r="AE57" i="23917"/>
  <c r="AG57" i="23917"/>
  <c r="AI57" i="23917"/>
  <c r="AK57" i="23917"/>
  <c r="AM57" i="23917"/>
  <c r="AO57" i="23917"/>
  <c r="AQ57" i="23917"/>
  <c r="AS57" i="23917"/>
  <c r="AU57" i="23917"/>
  <c r="AW57" i="23917"/>
  <c r="AY57" i="23917"/>
  <c r="BA57" i="23917"/>
  <c r="BC57" i="23917"/>
  <c r="BE57" i="23917"/>
  <c r="BG57" i="23917"/>
  <c r="BI57" i="23917"/>
  <c r="BK57" i="23917"/>
  <c r="BM57" i="23917"/>
  <c r="BO57" i="23917"/>
  <c r="CE57" i="23917"/>
  <c r="CG57" i="23917"/>
  <c r="CI57" i="23917"/>
  <c r="CK57" i="23917"/>
  <c r="CM57" i="23917"/>
  <c r="DC57" i="23917"/>
  <c r="DE57" i="23917"/>
  <c r="DG57" i="23917"/>
  <c r="DI57" i="23917"/>
  <c r="DK57" i="23917"/>
  <c r="DM57" i="23917"/>
  <c r="DO57" i="23917"/>
  <c r="DQ57" i="23917"/>
  <c r="DS57" i="23917"/>
  <c r="DU57" i="23917"/>
  <c r="DW57" i="23917"/>
  <c r="DY57" i="23917"/>
  <c r="C70" i="23917"/>
  <c r="E70" i="23917"/>
  <c r="G70" i="23917"/>
  <c r="I70" i="23917"/>
  <c r="K70" i="23917"/>
  <c r="M70" i="23917"/>
  <c r="O70" i="23917"/>
  <c r="Q70" i="23917"/>
  <c r="S70" i="23917"/>
  <c r="U70" i="23917"/>
  <c r="W70" i="23917"/>
  <c r="Y70" i="23917"/>
  <c r="AA70" i="23917"/>
  <c r="AC70" i="23917"/>
  <c r="AE70" i="23917"/>
  <c r="AG70" i="23917"/>
  <c r="AI70" i="23917"/>
  <c r="AK70" i="23917"/>
  <c r="AM70" i="23917"/>
  <c r="AO70" i="23917"/>
  <c r="AQ70" i="23917"/>
  <c r="AS70" i="23917"/>
  <c r="AU70" i="23917"/>
  <c r="AW70" i="23917"/>
  <c r="AY70" i="23917"/>
  <c r="BA70" i="23917"/>
  <c r="BC70" i="23917"/>
  <c r="BE70" i="23917"/>
  <c r="BG70" i="23917"/>
  <c r="BI70" i="23917"/>
  <c r="BK70" i="23917"/>
  <c r="BM70" i="23917"/>
  <c r="BO70" i="23917"/>
  <c r="CE70" i="23917"/>
  <c r="CG70" i="23917"/>
  <c r="CI70" i="23917"/>
  <c r="CK70" i="23917"/>
  <c r="CM70" i="23917"/>
  <c r="AQ71" i="23917"/>
  <c r="AS71" i="23917"/>
  <c r="AW71" i="23917"/>
  <c r="BA71" i="23917"/>
  <c r="BE71" i="23917"/>
  <c r="BI71" i="23917"/>
  <c r="BM71" i="23917"/>
  <c r="CE71" i="23917"/>
  <c r="CI71" i="23917"/>
  <c r="CM71" i="23917"/>
  <c r="DE70" i="23917"/>
  <c r="DI70" i="23917"/>
  <c r="DM70" i="23917"/>
  <c r="DS70" i="23917"/>
  <c r="DY70" i="23917"/>
  <c r="DE71" i="23917"/>
  <c r="DI71" i="23917"/>
  <c r="DM71" i="23917"/>
  <c r="DS71" i="23917"/>
  <c r="DD78" i="23917"/>
  <c r="B94" i="23917"/>
  <c r="F94" i="23917"/>
  <c r="J94" i="23917"/>
  <c r="P94" i="23917"/>
  <c r="T94" i="23917"/>
  <c r="L96" i="23917"/>
  <c r="P96" i="23917"/>
  <c r="T96" i="23917"/>
  <c r="X96" i="23917"/>
  <c r="B98" i="23917"/>
  <c r="D98" i="23917"/>
  <c r="F98" i="23917"/>
  <c r="C111" i="23917"/>
  <c r="E111" i="23917"/>
  <c r="G111" i="23917"/>
  <c r="I111" i="23917"/>
  <c r="AY111" i="23917"/>
  <c r="BA111" i="23917"/>
  <c r="BC111" i="23917"/>
  <c r="BE111" i="23917"/>
  <c r="BG111" i="23917"/>
  <c r="BI111" i="23917"/>
  <c r="BK111" i="23917"/>
  <c r="BM111" i="23917"/>
  <c r="BO111" i="23917"/>
  <c r="CE111" i="23917"/>
  <c r="CG111" i="23917"/>
  <c r="CI111" i="23917"/>
  <c r="CK111" i="23917"/>
  <c r="CM111" i="23917"/>
  <c r="C112" i="23917"/>
  <c r="G112" i="23917"/>
  <c r="BG112" i="23917"/>
  <c r="CK112" i="23917"/>
  <c r="C113" i="23917"/>
  <c r="E113" i="23917"/>
  <c r="G113" i="23917"/>
  <c r="I113" i="23917"/>
  <c r="AY113" i="23917"/>
  <c r="BA113" i="23917"/>
  <c r="BC113" i="23917"/>
  <c r="BE113" i="23917"/>
  <c r="BG113" i="23917"/>
  <c r="BI113" i="23917"/>
  <c r="BK113" i="23917"/>
  <c r="BM113" i="23917"/>
  <c r="BO113" i="23917"/>
  <c r="CE113" i="23917"/>
  <c r="CG113" i="23917"/>
  <c r="CI113" i="23917"/>
  <c r="CK113" i="23917"/>
  <c r="CM113" i="23917"/>
  <c r="L114" i="23917"/>
  <c r="T114" i="23917"/>
  <c r="AB114" i="23917"/>
  <c r="AJ114" i="23917"/>
  <c r="AR114" i="23917"/>
  <c r="DD111" i="23917"/>
  <c r="H118" i="23917"/>
  <c r="P118" i="23917"/>
  <c r="X118" i="23917"/>
  <c r="AF118" i="23917"/>
  <c r="AN118" i="23917"/>
  <c r="AV118" i="23917"/>
  <c r="BD118" i="23917"/>
  <c r="BF118" i="23917"/>
  <c r="BH118" i="23917"/>
  <c r="BJ118" i="23917"/>
  <c r="BT118" i="23917"/>
  <c r="C119" i="23917"/>
  <c r="G119" i="23917"/>
  <c r="K119" i="23917"/>
  <c r="O119" i="23917"/>
  <c r="S119" i="23917"/>
  <c r="U119" i="23917"/>
  <c r="W119" i="23917"/>
  <c r="Y119" i="23917"/>
  <c r="AA119" i="23917"/>
  <c r="AC119" i="23917"/>
  <c r="AE119" i="23917"/>
  <c r="AG119" i="23917"/>
  <c r="AI119" i="23917"/>
  <c r="AM119" i="23917"/>
  <c r="AQ119" i="23917"/>
  <c r="AU119" i="23917"/>
  <c r="AY119" i="23917"/>
  <c r="BA119" i="23917"/>
  <c r="BC119" i="23917"/>
  <c r="BE119" i="23917"/>
  <c r="BG119" i="23917"/>
  <c r="BI119" i="23917"/>
  <c r="BK119" i="23917"/>
  <c r="BM119" i="23917"/>
  <c r="BO119" i="23917"/>
  <c r="CE119" i="23917"/>
  <c r="CG119" i="23917"/>
  <c r="CM119" i="23917"/>
  <c r="CG124" i="23917"/>
  <c r="CK124" i="23917"/>
  <c r="DC124" i="23917"/>
  <c r="DE124" i="23917"/>
  <c r="DG124" i="23917"/>
  <c r="DI124" i="23917"/>
  <c r="DK124" i="23917"/>
  <c r="DM124" i="23917"/>
  <c r="DO124" i="23917"/>
  <c r="DQ124" i="23917"/>
  <c r="DS124" i="23917"/>
  <c r="DU124" i="23917"/>
  <c r="DY124" i="23917"/>
  <c r="C146" i="23917"/>
  <c r="E146" i="23917"/>
  <c r="I146" i="23917"/>
  <c r="K146" i="23917"/>
  <c r="M146" i="23917"/>
  <c r="Q146" i="23917"/>
  <c r="S146" i="23917"/>
  <c r="U146" i="23917"/>
  <c r="W146" i="23917"/>
  <c r="Y146" i="23917"/>
  <c r="AA146" i="23917"/>
  <c r="AC146" i="23917"/>
  <c r="AE146" i="23917"/>
  <c r="AG146" i="23917"/>
  <c r="AI146" i="23917"/>
  <c r="AK146" i="23917"/>
  <c r="AM146" i="23917"/>
  <c r="AO146" i="23917"/>
  <c r="AQ146" i="23917"/>
  <c r="AS146" i="23917"/>
  <c r="AU146" i="23917"/>
  <c r="AW146" i="23917"/>
  <c r="AY146" i="23917"/>
  <c r="BA146" i="23917"/>
  <c r="BC146" i="23917"/>
  <c r="BE146" i="23917"/>
  <c r="BG146" i="23917"/>
  <c r="BI146" i="23917"/>
  <c r="BK146" i="23917"/>
  <c r="BM146" i="23917"/>
  <c r="BO146" i="23917"/>
  <c r="CE146" i="23917"/>
  <c r="CG146" i="23917"/>
  <c r="CI146" i="23917"/>
  <c r="CK146" i="23917"/>
  <c r="CM146" i="23917"/>
  <c r="C147" i="23917"/>
  <c r="E147" i="23917"/>
  <c r="I147" i="23917"/>
  <c r="K147" i="23917"/>
  <c r="M147" i="23917"/>
  <c r="Q147" i="23917"/>
  <c r="S147" i="23917"/>
  <c r="U147" i="23917"/>
  <c r="W147" i="23917"/>
  <c r="Y147" i="23917"/>
  <c r="AA147" i="23917"/>
  <c r="AC147" i="23917"/>
  <c r="AE147" i="23917"/>
  <c r="AG147" i="23917"/>
  <c r="AI147" i="23917"/>
  <c r="AK147" i="23917"/>
  <c r="AM147" i="23917"/>
  <c r="AO147" i="23917"/>
  <c r="AQ147" i="23917"/>
  <c r="AS147" i="23917"/>
  <c r="AU147" i="23917"/>
  <c r="AW147" i="23917"/>
  <c r="AY147" i="23917"/>
  <c r="BA147" i="23917"/>
  <c r="BC147" i="23917"/>
  <c r="BE147" i="23917"/>
  <c r="BG147" i="23917"/>
  <c r="BI147" i="23917"/>
  <c r="BK147" i="23917"/>
  <c r="BM147" i="23917"/>
  <c r="BO147" i="23917"/>
  <c r="CE147" i="23917"/>
  <c r="CG147" i="23917"/>
  <c r="CI147" i="23917"/>
  <c r="CK147" i="23917"/>
  <c r="CM147" i="23917"/>
  <c r="BZ148" i="23917"/>
  <c r="DG147" i="23917"/>
  <c r="DK147" i="23917"/>
  <c r="DO147" i="23917"/>
  <c r="C167" i="23917"/>
  <c r="E167" i="23917"/>
  <c r="G167" i="23917"/>
  <c r="I167" i="23917"/>
  <c r="K167" i="23917"/>
  <c r="M167" i="23917"/>
  <c r="O167" i="23917"/>
  <c r="Q167" i="23917"/>
  <c r="S167" i="23917"/>
  <c r="U167" i="23917"/>
  <c r="W167" i="23917"/>
  <c r="Y167" i="23917"/>
  <c r="AA167" i="23917"/>
  <c r="AC167" i="23917"/>
  <c r="AE167" i="23917"/>
  <c r="AG167" i="23917"/>
  <c r="AI167" i="23917"/>
  <c r="AK167" i="23917"/>
  <c r="AM167" i="23917"/>
  <c r="AO167" i="23917"/>
  <c r="AQ167" i="23917"/>
  <c r="AS167" i="23917"/>
  <c r="AU167" i="23917"/>
  <c r="AW167" i="23917"/>
  <c r="AY167" i="23917"/>
  <c r="BA167" i="23917"/>
  <c r="BC167" i="23917"/>
  <c r="BE167" i="23917"/>
  <c r="BG167" i="23917"/>
  <c r="BI167" i="23917"/>
  <c r="BK167" i="23917"/>
  <c r="BM167" i="23917"/>
  <c r="BO167" i="23917"/>
  <c r="CE167" i="23917"/>
  <c r="CG167" i="23917"/>
  <c r="CI167" i="23917"/>
  <c r="CK167" i="23917"/>
  <c r="CM167" i="23917"/>
  <c r="C168" i="23917"/>
  <c r="E168" i="23917"/>
  <c r="G168" i="23917"/>
  <c r="I168" i="23917"/>
  <c r="K168" i="23917"/>
  <c r="M168" i="23917"/>
  <c r="O168" i="23917"/>
  <c r="Q168" i="23917"/>
  <c r="S168" i="23917"/>
  <c r="U168" i="23917"/>
  <c r="W168" i="23917"/>
  <c r="Y168" i="23917"/>
  <c r="AA168" i="23917"/>
  <c r="AC168" i="23917"/>
  <c r="AE168" i="23917"/>
  <c r="AG168" i="23917"/>
  <c r="AI168" i="23917"/>
  <c r="AK168" i="23917"/>
  <c r="AM168" i="23917"/>
  <c r="AO168" i="23917"/>
  <c r="AQ168" i="23917"/>
  <c r="AS168" i="23917"/>
  <c r="AU168" i="23917"/>
  <c r="AW168" i="23917"/>
  <c r="AY168" i="23917"/>
  <c r="BA168" i="23917"/>
  <c r="BC168" i="23917"/>
  <c r="BE168" i="23917"/>
  <c r="BG168" i="23917"/>
  <c r="BI168" i="23917"/>
  <c r="BK168" i="23917"/>
  <c r="BM168" i="23917"/>
  <c r="BO168" i="23917"/>
  <c r="CE168" i="23917"/>
  <c r="CG168" i="23917"/>
  <c r="CI168" i="23917"/>
  <c r="CK168" i="23917"/>
  <c r="CM168" i="23917"/>
  <c r="DL168" i="23917"/>
  <c r="DN168" i="23917"/>
  <c r="DP168" i="23917"/>
  <c r="DR168" i="23917"/>
  <c r="B171" i="23917"/>
  <c r="D171" i="23917"/>
  <c r="F171" i="23917"/>
  <c r="H171" i="23917"/>
  <c r="J171" i="23917"/>
  <c r="L171" i="23917"/>
  <c r="N171" i="23917"/>
  <c r="P171" i="23917"/>
  <c r="R171" i="23917"/>
  <c r="T171" i="23917"/>
  <c r="V171" i="23917"/>
  <c r="X171" i="23917"/>
  <c r="Z171" i="23917"/>
  <c r="AB171" i="23917"/>
  <c r="AD171" i="23917"/>
  <c r="AF171" i="23917"/>
  <c r="AH171" i="23917"/>
  <c r="AJ171" i="23917"/>
  <c r="AL171" i="23917"/>
  <c r="AN171" i="23917"/>
  <c r="AP171" i="23917"/>
  <c r="AR171" i="23917"/>
  <c r="AT171" i="23917"/>
  <c r="AV171" i="23917"/>
  <c r="AX171" i="23917"/>
  <c r="AZ171" i="23917"/>
  <c r="BB171" i="23917"/>
  <c r="BD171" i="23917"/>
  <c r="BF171" i="23917"/>
  <c r="BH171" i="23917"/>
  <c r="BJ171" i="23917"/>
  <c r="BL171" i="23917"/>
  <c r="BN171" i="23917"/>
  <c r="BP171" i="23917"/>
  <c r="BT171" i="23917"/>
  <c r="BX171" i="23917"/>
  <c r="J173" i="23917"/>
  <c r="J181" i="23917"/>
  <c r="DC176" i="23917"/>
  <c r="DC177" i="23917"/>
  <c r="DG177" i="23917"/>
  <c r="DK177" i="23917"/>
  <c r="DO177" i="23917"/>
  <c r="DQ177" i="23917"/>
  <c r="DS177" i="23917"/>
  <c r="DU177" i="23917"/>
  <c r="DW177" i="23917"/>
  <c r="DY177" i="23917"/>
  <c r="DC178" i="23917"/>
  <c r="DE178" i="23917"/>
  <c r="DG178" i="23917"/>
  <c r="DI178" i="23917"/>
  <c r="DK178" i="23917"/>
  <c r="DM178" i="23917"/>
  <c r="DO178" i="23917"/>
  <c r="DQ178" i="23917"/>
  <c r="DU178" i="23917"/>
  <c r="DY178" i="23917"/>
  <c r="DC179" i="23917"/>
  <c r="DE179" i="23917"/>
  <c r="DG179" i="23917"/>
  <c r="DI179" i="23917"/>
  <c r="DK179" i="23917"/>
  <c r="DM179" i="23917"/>
  <c r="DO179" i="23917"/>
  <c r="DQ179" i="23917"/>
  <c r="DS179" i="23917"/>
  <c r="DU179" i="23917"/>
  <c r="DW179" i="23917"/>
  <c r="DY179" i="23917"/>
  <c r="DE180" i="23917"/>
  <c r="DG180" i="23917"/>
  <c r="DI180" i="23917"/>
  <c r="DK180" i="23917"/>
  <c r="DM180" i="23917"/>
  <c r="DO180" i="23917"/>
  <c r="DQ180" i="23917"/>
  <c r="DS180" i="23917"/>
  <c r="DU180" i="23917"/>
  <c r="DW180" i="23917"/>
  <c r="DY180" i="23917"/>
  <c r="E183" i="23917"/>
  <c r="I183" i="23917"/>
  <c r="M183" i="23917"/>
  <c r="Q183" i="23917"/>
  <c r="U183" i="23917"/>
  <c r="Y183" i="23917"/>
  <c r="AC183" i="23917"/>
  <c r="AG183" i="23917"/>
  <c r="AK183" i="23917"/>
  <c r="AO183" i="23917"/>
  <c r="AS183" i="23917"/>
  <c r="AW183" i="23917"/>
  <c r="BA183" i="23917"/>
  <c r="BI183" i="23917"/>
  <c r="BM183" i="23917"/>
  <c r="BR183" i="23917"/>
  <c r="BV183" i="23917"/>
  <c r="BZ183" i="23917"/>
  <c r="N146" i="24142"/>
  <c r="N297" i="23917"/>
  <c r="P146" i="24142"/>
  <c r="AJ146" i="24142"/>
  <c r="AJ297" i="23917"/>
  <c r="AM145" i="24142"/>
  <c r="AM296" i="23917"/>
  <c r="AN144" i="24142"/>
  <c r="AN295" i="23917"/>
  <c r="AP146" i="24142"/>
  <c r="AP297" i="23917"/>
  <c r="AR146" i="24142"/>
  <c r="AR297" i="23917"/>
  <c r="I147" i="24142"/>
  <c r="I298" i="23917"/>
  <c r="K147" i="24142"/>
  <c r="K298" i="23917"/>
  <c r="O296" i="23917"/>
  <c r="Q147" i="24142"/>
  <c r="Q298" i="23917"/>
  <c r="U147" i="24142"/>
  <c r="U298" i="23917"/>
  <c r="X146" i="24142"/>
  <c r="X297" i="23917"/>
  <c r="AO147" i="24142"/>
  <c r="AO298" i="23917"/>
  <c r="DC151" i="24142"/>
  <c r="DC302" i="23917"/>
  <c r="DE151" i="24142"/>
  <c r="DE302" i="23917"/>
  <c r="DG151" i="24142"/>
  <c r="DG302" i="23917"/>
  <c r="DI151" i="24142"/>
  <c r="DI302" i="23917"/>
  <c r="DK151" i="24142"/>
  <c r="DK302" i="23917"/>
  <c r="DM151" i="24142"/>
  <c r="DM302" i="23917"/>
  <c r="DO151" i="24142"/>
  <c r="DO302" i="23917"/>
  <c r="DQ151" i="24142"/>
  <c r="DQ302" i="23917"/>
  <c r="DS151" i="24142"/>
  <c r="DS302" i="23917"/>
  <c r="DU151" i="24142"/>
  <c r="DU302" i="23917"/>
  <c r="DW151" i="24142"/>
  <c r="DW302" i="23917"/>
  <c r="DY151" i="24142"/>
  <c r="DY302" i="23917"/>
  <c r="CG151" i="24142"/>
  <c r="CG302" i="23917"/>
  <c r="C151" i="24142"/>
  <c r="C302" i="23917"/>
  <c r="E151" i="24142"/>
  <c r="E302" i="23917"/>
  <c r="G151" i="24142"/>
  <c r="G302" i="23917"/>
  <c r="I151" i="24142"/>
  <c r="I302" i="23917"/>
  <c r="AY151" i="24142"/>
  <c r="AY302" i="23917"/>
  <c r="BA151" i="24142"/>
  <c r="BA302" i="23917"/>
  <c r="BC151" i="24142"/>
  <c r="BC302" i="23917"/>
  <c r="BE151" i="24142"/>
  <c r="BE302" i="23917"/>
  <c r="BG151" i="24142"/>
  <c r="BG302" i="23917"/>
  <c r="BI151" i="24142"/>
  <c r="BI302" i="23917"/>
  <c r="BK151" i="24142"/>
  <c r="BK302" i="23917"/>
  <c r="BM151" i="24142"/>
  <c r="BM302" i="23917"/>
  <c r="BO151" i="24142"/>
  <c r="BO302" i="23917"/>
  <c r="CE151" i="24142"/>
  <c r="CE302" i="23917"/>
  <c r="CK151" i="24142"/>
  <c r="CK302" i="23917"/>
  <c r="CM151" i="24142"/>
  <c r="CM302" i="23917"/>
  <c r="DC227" i="24142"/>
  <c r="DE227" i="24142"/>
  <c r="DH230" i="24142"/>
  <c r="DG230" i="24142"/>
  <c r="CQ166" i="23917"/>
  <c r="CX166" i="23917"/>
  <c r="CS166" i="23917"/>
  <c r="DT230" i="24142"/>
  <c r="DS230" i="24142"/>
  <c r="DX230" i="24142"/>
  <c r="DW230" i="24142"/>
  <c r="DV232" i="24142"/>
  <c r="DU232" i="24142"/>
  <c r="DZ232" i="24142"/>
  <c r="DY232" i="24142"/>
  <c r="DI226" i="24142"/>
  <c r="DI229" i="24142"/>
  <c r="DN232" i="24142"/>
  <c r="DK232" i="24142"/>
  <c r="DR232" i="24142"/>
  <c r="DO232" i="24142"/>
  <c r="DC244" i="24142"/>
  <c r="DE241" i="24142"/>
  <c r="DI241" i="24142"/>
  <c r="DM241" i="24142"/>
  <c r="DS242" i="24142"/>
  <c r="DW242" i="24142"/>
  <c r="CP242" i="24142"/>
  <c r="CR242" i="24142"/>
  <c r="DV246" i="24142"/>
  <c r="DU246" i="24142"/>
  <c r="DZ246" i="24142"/>
  <c r="DY246" i="24142"/>
  <c r="J250" i="24142"/>
  <c r="DE208" i="24142"/>
  <c r="DI208" i="24142"/>
  <c r="DM208" i="24142"/>
  <c r="DC209" i="24142"/>
  <c r="DI209" i="24142"/>
  <c r="DM209" i="24142"/>
  <c r="D210" i="24142"/>
  <c r="J210" i="24142"/>
  <c r="N210" i="24142"/>
  <c r="R210" i="24142"/>
  <c r="V210" i="24142"/>
  <c r="Z210" i="24142"/>
  <c r="AD210" i="24142"/>
  <c r="AH210" i="24142"/>
  <c r="AL210" i="24142"/>
  <c r="AP210" i="24142"/>
  <c r="AT210" i="24142"/>
  <c r="AX210" i="24142"/>
  <c r="BB210" i="24142"/>
  <c r="BF210" i="24142"/>
  <c r="BJ210" i="24142"/>
  <c r="BN210" i="24142"/>
  <c r="BS210" i="24142"/>
  <c r="BR210" i="24142"/>
  <c r="BW210" i="24142"/>
  <c r="BV210" i="24142"/>
  <c r="BZ181" i="24142"/>
  <c r="B181" i="24142"/>
  <c r="D181" i="24142"/>
  <c r="F181" i="24142"/>
  <c r="J181" i="24142"/>
  <c r="L181" i="24142"/>
  <c r="N181" i="24142"/>
  <c r="R181" i="24142"/>
  <c r="T181" i="24142"/>
  <c r="V181" i="24142"/>
  <c r="Z181" i="24142"/>
  <c r="AB181" i="24142"/>
  <c r="AD181" i="24142"/>
  <c r="AH181" i="24142"/>
  <c r="AJ181" i="24142"/>
  <c r="AL181" i="24142"/>
  <c r="AP181" i="24142"/>
  <c r="AR181" i="24142"/>
  <c r="AT181" i="24142"/>
  <c r="AX181" i="24142"/>
  <c r="AZ181" i="24142"/>
  <c r="BB181" i="24142"/>
  <c r="BL181" i="24142"/>
  <c r="BN181" i="24142"/>
  <c r="BP181" i="24142"/>
  <c r="BR181" i="24142"/>
  <c r="BV181" i="24142"/>
  <c r="BX181" i="24142"/>
  <c r="DG263" i="24142"/>
  <c r="DG328" i="23917"/>
  <c r="DK263" i="24142"/>
  <c r="DK328" i="23917"/>
  <c r="DO263" i="24142"/>
  <c r="DO328" i="23917"/>
  <c r="DS263" i="24142"/>
  <c r="DS328" i="23917"/>
  <c r="DW263" i="24142"/>
  <c r="DW328" i="23917"/>
  <c r="DG264" i="24142"/>
  <c r="DG329" i="23917"/>
  <c r="DM264" i="24142"/>
  <c r="DM329" i="23917"/>
  <c r="DQ264" i="24142"/>
  <c r="DQ329" i="23917"/>
  <c r="DS264" i="24142"/>
  <c r="DS329" i="23917"/>
  <c r="DW264" i="24142"/>
  <c r="DW329" i="23917"/>
  <c r="E264" i="24142"/>
  <c r="E329" i="23917"/>
  <c r="G264" i="24142"/>
  <c r="G329" i="23917"/>
  <c r="I264" i="24142"/>
  <c r="I329" i="23917"/>
  <c r="K264" i="24142"/>
  <c r="K329" i="23917"/>
  <c r="AC263" i="24142"/>
  <c r="AC328" i="23917"/>
  <c r="AE263" i="24142"/>
  <c r="AE328" i="23917"/>
  <c r="J266" i="24142"/>
  <c r="J331" i="23917"/>
  <c r="M263" i="24142"/>
  <c r="M328" i="23917"/>
  <c r="M265" i="24142"/>
  <c r="M330" i="23917"/>
  <c r="O264" i="24142"/>
  <c r="O329" i="23917"/>
  <c r="Q264" i="24142"/>
  <c r="Q329" i="23917"/>
  <c r="S263" i="24142"/>
  <c r="S328" i="23917"/>
  <c r="S265" i="24142"/>
  <c r="U264" i="24142"/>
  <c r="U329" i="23917"/>
  <c r="W263" i="24142"/>
  <c r="W328" i="23917"/>
  <c r="W265" i="24142"/>
  <c r="W330" i="23917"/>
  <c r="Y265" i="24142"/>
  <c r="Y330" i="23917"/>
  <c r="AA264" i="24142"/>
  <c r="AA329" i="23917"/>
  <c r="AC265" i="24142"/>
  <c r="AC330" i="23917"/>
  <c r="AE265" i="24142"/>
  <c r="AE330" i="23917"/>
  <c r="AG265" i="24142"/>
  <c r="AG330" i="23917"/>
  <c r="AI264" i="24142"/>
  <c r="AI329" i="23917"/>
  <c r="AK263" i="24142"/>
  <c r="AK328" i="23917"/>
  <c r="AK265" i="24142"/>
  <c r="AK330" i="23917"/>
  <c r="AM264" i="24142"/>
  <c r="AM329" i="23917"/>
  <c r="AO263" i="24142"/>
  <c r="AO328" i="23917"/>
  <c r="AO265" i="24142"/>
  <c r="AO330" i="23917"/>
  <c r="AQ264" i="24142"/>
  <c r="AQ329" i="23917"/>
  <c r="AS263" i="24142"/>
  <c r="AS328" i="23917"/>
  <c r="AS265" i="24142"/>
  <c r="AS330" i="23917"/>
  <c r="AU264" i="24142"/>
  <c r="AU329" i="23917"/>
  <c r="AW263" i="24142"/>
  <c r="AW328" i="23917"/>
  <c r="AW265" i="24142"/>
  <c r="AW330" i="23917"/>
  <c r="AY264" i="24142"/>
  <c r="AY329" i="23917"/>
  <c r="BA263" i="24142"/>
  <c r="BA328" i="23917"/>
  <c r="BA265" i="24142"/>
  <c r="BA330" i="23917"/>
  <c r="BC264" i="24142"/>
  <c r="BC329" i="23917"/>
  <c r="BE263" i="24142"/>
  <c r="BE328" i="23917"/>
  <c r="BE265" i="24142"/>
  <c r="BE330" i="23917"/>
  <c r="BG264" i="24142"/>
  <c r="BG329" i="23917"/>
  <c r="BI263" i="24142"/>
  <c r="BI328" i="23917"/>
  <c r="BI265" i="24142"/>
  <c r="BI330" i="23917"/>
  <c r="BK264" i="24142"/>
  <c r="BK329" i="23917"/>
  <c r="BM263" i="24142"/>
  <c r="BM328" i="23917"/>
  <c r="BM265" i="24142"/>
  <c r="BM330" i="23917"/>
  <c r="BO264" i="24142"/>
  <c r="BO329" i="23917"/>
  <c r="CE263" i="24142"/>
  <c r="CE328" i="23917"/>
  <c r="CE265" i="24142"/>
  <c r="CE330" i="23917"/>
  <c r="CG264" i="24142"/>
  <c r="CG329" i="23917"/>
  <c r="CI263" i="24142"/>
  <c r="CI328" i="23917"/>
  <c r="CI265" i="24142"/>
  <c r="CI330" i="23917"/>
  <c r="CK264" i="24142"/>
  <c r="CK329" i="23917"/>
  <c r="CM263" i="24142"/>
  <c r="CM328" i="23917"/>
  <c r="CM265" i="24142"/>
  <c r="CM330" i="23917"/>
  <c r="DI265" i="24142"/>
  <c r="DI330" i="23917"/>
  <c r="DO265" i="24142"/>
  <c r="DO330" i="23917"/>
  <c r="DQ265" i="24142"/>
  <c r="DQ330" i="23917"/>
  <c r="DW265" i="24142"/>
  <c r="DW330" i="23917"/>
  <c r="DY265" i="24142"/>
  <c r="DY330" i="23917"/>
  <c r="H266" i="24142"/>
  <c r="H331" i="23917"/>
  <c r="N266" i="24142"/>
  <c r="N331" i="23917"/>
  <c r="R266" i="24142"/>
  <c r="R331" i="23917"/>
  <c r="V266" i="24142"/>
  <c r="V331" i="23917"/>
  <c r="Z266" i="24142"/>
  <c r="Z331" i="23917"/>
  <c r="AB266" i="24142"/>
  <c r="AB331" i="23917"/>
  <c r="AH266" i="24142"/>
  <c r="AH331" i="23917"/>
  <c r="AJ266" i="24142"/>
  <c r="AJ331" i="23917"/>
  <c r="AN266" i="24142"/>
  <c r="AN331" i="23917"/>
  <c r="AT266" i="24142"/>
  <c r="AT331" i="23917"/>
  <c r="AV266" i="24142"/>
  <c r="AV331" i="23917"/>
  <c r="BB266" i="24142"/>
  <c r="BB331" i="23917"/>
  <c r="BD266" i="24142"/>
  <c r="BD331" i="23917"/>
  <c r="BJ266" i="24142"/>
  <c r="BJ331" i="23917"/>
  <c r="BL266" i="24142"/>
  <c r="BL331" i="23917"/>
  <c r="BR266" i="24142"/>
  <c r="BR331" i="23917"/>
  <c r="BT266" i="24142"/>
  <c r="BT331" i="23917"/>
  <c r="BZ266" i="24142"/>
  <c r="BZ331" i="23917"/>
  <c r="AA334" i="23917"/>
  <c r="AI269" i="24142"/>
  <c r="AI334" i="23917"/>
  <c r="AW269" i="24142"/>
  <c r="AW334" i="23917"/>
  <c r="BA269" i="24142"/>
  <c r="BA334" i="23917"/>
  <c r="BE269" i="24142"/>
  <c r="BE334" i="23917"/>
  <c r="BI269" i="24142"/>
  <c r="BI334" i="23917"/>
  <c r="BM269" i="24142"/>
  <c r="BM334" i="23917"/>
  <c r="CE269" i="24142"/>
  <c r="CE334" i="23917"/>
  <c r="CI269" i="24142"/>
  <c r="CI334" i="23917"/>
  <c r="CM269" i="24142"/>
  <c r="CM334" i="23917"/>
  <c r="DE269" i="24142"/>
  <c r="DE334" i="23917"/>
  <c r="DM269" i="24142"/>
  <c r="DM334" i="23917"/>
  <c r="DS269" i="24142"/>
  <c r="DS334" i="23917"/>
  <c r="DU269" i="24142"/>
  <c r="DU334" i="23917"/>
  <c r="DI271" i="24142"/>
  <c r="Z270" i="24142"/>
  <c r="Z335" i="23917"/>
  <c r="AH335" i="23917"/>
  <c r="W271" i="24142"/>
  <c r="W336" i="23917"/>
  <c r="AC271" i="24142"/>
  <c r="AC336" i="23917"/>
  <c r="AE271" i="24142"/>
  <c r="BH270" i="24142"/>
  <c r="BH335" i="23917"/>
  <c r="BP270" i="24142"/>
  <c r="BP335" i="23917"/>
  <c r="BX270" i="24142"/>
  <c r="BX335" i="23917"/>
  <c r="BE271" i="24142"/>
  <c r="BM271" i="24142"/>
  <c r="BM336" i="23917"/>
  <c r="DY271" i="24142"/>
  <c r="DY336" i="23917"/>
  <c r="CG271" i="24142"/>
  <c r="CG336" i="23917"/>
  <c r="AU272" i="24142"/>
  <c r="AU337" i="23917"/>
  <c r="AX272" i="24142"/>
  <c r="AX337" i="23917"/>
  <c r="AZ272" i="24142"/>
  <c r="AZ337" i="23917"/>
  <c r="BF272" i="24142"/>
  <c r="BF337" i="23917"/>
  <c r="BH272" i="24142"/>
  <c r="BH337" i="23917"/>
  <c r="BN272" i="24142"/>
  <c r="BN337" i="23917"/>
  <c r="BP272" i="24142"/>
  <c r="BP337" i="23917"/>
  <c r="BV272" i="24142"/>
  <c r="BV337" i="23917"/>
  <c r="BX272" i="24142"/>
  <c r="BX337" i="23917"/>
  <c r="CA272" i="24142"/>
  <c r="CA337" i="23917"/>
  <c r="CD272" i="24142"/>
  <c r="CD337" i="23917"/>
  <c r="CF273" i="24142"/>
  <c r="CF272" i="24142"/>
  <c r="CF337" i="23917"/>
  <c r="CL272" i="24142"/>
  <c r="CL337" i="23917"/>
  <c r="F270" i="24142"/>
  <c r="F335" i="23917"/>
  <c r="I336" i="23917"/>
  <c r="Q271" i="24142"/>
  <c r="Q336" i="23917"/>
  <c r="R270" i="24142"/>
  <c r="T270" i="24142"/>
  <c r="T335" i="23917"/>
  <c r="AL270" i="24142"/>
  <c r="AL335" i="23917"/>
  <c r="AO336" i="23917"/>
  <c r="AP270" i="24142"/>
  <c r="E269" i="24142"/>
  <c r="E334" i="23917"/>
  <c r="G269" i="24142"/>
  <c r="G334" i="23917"/>
  <c r="G272" i="24142"/>
  <c r="G337" i="23917"/>
  <c r="I272" i="24142"/>
  <c r="I337" i="23917"/>
  <c r="K271" i="24142"/>
  <c r="K336" i="23917"/>
  <c r="M269" i="24142"/>
  <c r="M334" i="23917"/>
  <c r="O269" i="24142"/>
  <c r="O334" i="23917"/>
  <c r="O272" i="24142"/>
  <c r="O337" i="23917"/>
  <c r="Q272" i="24142"/>
  <c r="Q337" i="23917"/>
  <c r="S272" i="24142"/>
  <c r="S337" i="23917"/>
  <c r="W272" i="24142"/>
  <c r="W337" i="23917"/>
  <c r="Y272" i="24142"/>
  <c r="AK269" i="24142"/>
  <c r="AK334" i="23917"/>
  <c r="AO269" i="24142"/>
  <c r="AO334" i="23917"/>
  <c r="DG272" i="24142"/>
  <c r="DG337" i="23917"/>
  <c r="DM272" i="24142"/>
  <c r="DM337" i="23917"/>
  <c r="F273" i="24142"/>
  <c r="F338" i="23917"/>
  <c r="J273" i="24142"/>
  <c r="J338" i="23917"/>
  <c r="P273" i="24142"/>
  <c r="P338" i="23917"/>
  <c r="R273" i="24142"/>
  <c r="R338" i="23917"/>
  <c r="AD273" i="24142"/>
  <c r="AD338" i="23917"/>
  <c r="AJ273" i="24142"/>
  <c r="AJ338" i="23917"/>
  <c r="AN273" i="24142"/>
  <c r="AN338" i="23917"/>
  <c r="AT273" i="24142"/>
  <c r="AT338" i="23917"/>
  <c r="CH338" i="23917"/>
  <c r="DG276" i="24142"/>
  <c r="DG341" i="23917"/>
  <c r="DI276" i="24142"/>
  <c r="DI341" i="23917"/>
  <c r="DO276" i="24142"/>
  <c r="DO341" i="23917"/>
  <c r="DQ276" i="24142"/>
  <c r="DQ341" i="23917"/>
  <c r="DW276" i="24142"/>
  <c r="DW341" i="23917"/>
  <c r="DY276" i="24142"/>
  <c r="DY341" i="23917"/>
  <c r="I276" i="24142"/>
  <c r="I341" i="23917"/>
  <c r="E303" i="24142"/>
  <c r="E369" i="23917"/>
  <c r="H306" i="24142"/>
  <c r="L306" i="24142"/>
  <c r="L372" i="23917"/>
  <c r="C302" i="24142"/>
  <c r="C368" i="23917"/>
  <c r="C304" i="24142"/>
  <c r="C370" i="23917"/>
  <c r="C305" i="24142"/>
  <c r="E304" i="24142"/>
  <c r="E370" i="23917"/>
  <c r="G302" i="24142"/>
  <c r="G368" i="23917"/>
  <c r="DG305" i="24142"/>
  <c r="DG371" i="23917"/>
  <c r="DC302" i="24142"/>
  <c r="DC368" i="23917"/>
  <c r="DE302" i="24142"/>
  <c r="DE368" i="23917"/>
  <c r="DG302" i="24142"/>
  <c r="DG368" i="23917"/>
  <c r="DC309" i="24142"/>
  <c r="DC375" i="23917"/>
  <c r="DE309" i="24142"/>
  <c r="DE375" i="23917"/>
  <c r="DG309" i="24142"/>
  <c r="DG375" i="23917"/>
  <c r="DE310" i="24142"/>
  <c r="DE376" i="23917"/>
  <c r="DE312" i="24142"/>
  <c r="B311" i="24142"/>
  <c r="G312" i="24142"/>
  <c r="G378" i="23917"/>
  <c r="C310" i="24142"/>
  <c r="C376" i="23917"/>
  <c r="C313" i="24142"/>
  <c r="C379" i="23917"/>
  <c r="E310" i="24142"/>
  <c r="E376" i="23917"/>
  <c r="G309" i="24142"/>
  <c r="G375" i="23917"/>
  <c r="G313" i="24142"/>
  <c r="G379" i="23917"/>
  <c r="B314" i="24142"/>
  <c r="B380" i="23917"/>
  <c r="F314" i="24142"/>
  <c r="F380" i="23917"/>
  <c r="K314" i="24142"/>
  <c r="J314" i="24142"/>
  <c r="J380" i="23917"/>
  <c r="DC317" i="24142"/>
  <c r="DC383" i="23917"/>
  <c r="DG317" i="24142"/>
  <c r="DG383" i="23917"/>
  <c r="C317" i="24142"/>
  <c r="C383" i="23917"/>
  <c r="E317" i="24142"/>
  <c r="E383" i="23917"/>
  <c r="G317" i="24142"/>
  <c r="G383" i="23917"/>
  <c r="DC383" i="24142"/>
  <c r="DC449" i="23917"/>
  <c r="DC384" i="24142"/>
  <c r="DC450" i="23917"/>
  <c r="DI384" i="24142"/>
  <c r="DI450" i="23917"/>
  <c r="DK451" i="23917"/>
  <c r="DI386" i="24142"/>
  <c r="DI452" i="23917"/>
  <c r="DG387" i="24142"/>
  <c r="DG453" i="23917"/>
  <c r="DC388" i="24142"/>
  <c r="DC454" i="23917"/>
  <c r="DG388" i="24142"/>
  <c r="DG454" i="23917"/>
  <c r="DK388" i="24142"/>
  <c r="DK454" i="23917"/>
  <c r="I385" i="24142"/>
  <c r="I451" i="23917"/>
  <c r="DC386" i="24142"/>
  <c r="E386" i="24142"/>
  <c r="E452" i="23917"/>
  <c r="DG452" i="23917"/>
  <c r="O452" i="23917"/>
  <c r="P383" i="24142"/>
  <c r="P449" i="23917"/>
  <c r="W386" i="24142"/>
  <c r="DK452" i="23917"/>
  <c r="C385" i="24142"/>
  <c r="C451" i="23917"/>
  <c r="G386" i="24142"/>
  <c r="G452" i="23917"/>
  <c r="I388" i="24142"/>
  <c r="I454" i="23917"/>
  <c r="K388" i="24142"/>
  <c r="K454" i="23917"/>
  <c r="M388" i="24142"/>
  <c r="M454" i="23917"/>
  <c r="Q388" i="24142"/>
  <c r="Q454" i="23917"/>
  <c r="S388" i="24142"/>
  <c r="S454" i="23917"/>
  <c r="U388" i="24142"/>
  <c r="U454" i="23917"/>
  <c r="Y388" i="24142"/>
  <c r="Y454" i="23917"/>
  <c r="AC387" i="24142"/>
  <c r="AC453" i="23917"/>
  <c r="P389" i="24142"/>
  <c r="P455" i="23917"/>
  <c r="H392" i="24142"/>
  <c r="H458" i="23917"/>
  <c r="T392" i="24142"/>
  <c r="T458" i="23917"/>
  <c r="DE410" i="23917"/>
  <c r="DI344" i="24142"/>
  <c r="DI410" i="23917"/>
  <c r="DE345" i="24142"/>
  <c r="DE411" i="23917"/>
  <c r="DI345" i="24142"/>
  <c r="DI411" i="23917"/>
  <c r="C345" i="24142"/>
  <c r="C411" i="23917"/>
  <c r="G345" i="24142"/>
  <c r="G411" i="23917"/>
  <c r="K345" i="24142"/>
  <c r="K411" i="23917"/>
  <c r="O345" i="24142"/>
  <c r="O411" i="23917"/>
  <c r="S345" i="24142"/>
  <c r="S411" i="23917"/>
  <c r="W345" i="24142"/>
  <c r="W411" i="23917"/>
  <c r="AA345" i="24142"/>
  <c r="AA411" i="23917"/>
  <c r="C349" i="24142"/>
  <c r="C415" i="23917"/>
  <c r="G349" i="24142"/>
  <c r="G415" i="23917"/>
  <c r="K349" i="24142"/>
  <c r="K415" i="23917"/>
  <c r="O349" i="24142"/>
  <c r="O415" i="23917"/>
  <c r="S349" i="24142"/>
  <c r="S415" i="23917"/>
  <c r="W349" i="24142"/>
  <c r="W415" i="23917"/>
  <c r="AA349" i="24142"/>
  <c r="AA415" i="23917"/>
  <c r="DC349" i="24142"/>
  <c r="DC415" i="23917"/>
  <c r="DE349" i="24142"/>
  <c r="DE415" i="23917"/>
  <c r="DG349" i="24142"/>
  <c r="DG415" i="23917"/>
  <c r="DI349" i="24142"/>
  <c r="DI415" i="23917"/>
  <c r="DK349" i="24142"/>
  <c r="DK415" i="23917"/>
  <c r="DC352" i="24142"/>
  <c r="DC418" i="23917"/>
  <c r="DE352" i="24142"/>
  <c r="DE418" i="23917"/>
  <c r="DG352" i="24142"/>
  <c r="DG418" i="23917"/>
  <c r="DI352" i="24142"/>
  <c r="DI418" i="23917"/>
  <c r="DK352" i="24142"/>
  <c r="DK418" i="23917"/>
  <c r="C352" i="24142"/>
  <c r="C418" i="23917"/>
  <c r="E352" i="24142"/>
  <c r="E418" i="23917"/>
  <c r="G352" i="24142"/>
  <c r="G418" i="23917"/>
  <c r="I352" i="24142"/>
  <c r="I418" i="23917"/>
  <c r="K352" i="24142"/>
  <c r="K418" i="23917"/>
  <c r="M352" i="24142"/>
  <c r="M418" i="23917"/>
  <c r="O352" i="24142"/>
  <c r="O418" i="23917"/>
  <c r="Q352" i="24142"/>
  <c r="Q418" i="23917"/>
  <c r="S352" i="24142"/>
  <c r="S418" i="23917"/>
  <c r="U352" i="24142"/>
  <c r="U418" i="23917"/>
  <c r="W352" i="24142"/>
  <c r="W418" i="23917"/>
  <c r="Y352" i="24142"/>
  <c r="Y418" i="23917"/>
  <c r="AA352" i="24142"/>
  <c r="AA418" i="23917"/>
  <c r="AC352" i="24142"/>
  <c r="AC418" i="23917"/>
  <c r="Q408" i="24142"/>
  <c r="Q474" i="23917"/>
  <c r="DC408" i="24142"/>
  <c r="DC474" i="23917"/>
  <c r="DG408" i="24142"/>
  <c r="DG474" i="23917"/>
  <c r="DI409" i="24142"/>
  <c r="DI475" i="23917"/>
  <c r="DC410" i="24142"/>
  <c r="DC476" i="23917"/>
  <c r="DG410" i="24142"/>
  <c r="DG476" i="23917"/>
  <c r="C429" i="24142"/>
  <c r="C409" i="24142"/>
  <c r="C475" i="23917"/>
  <c r="C495" i="23917"/>
  <c r="F477" i="23917"/>
  <c r="K429" i="24142"/>
  <c r="K409" i="24142"/>
  <c r="K475" i="23917"/>
  <c r="K495" i="23917"/>
  <c r="N477" i="23917"/>
  <c r="S429" i="24142"/>
  <c r="S409" i="24142"/>
  <c r="S475" i="23917"/>
  <c r="S495" i="23917"/>
  <c r="W429" i="24142"/>
  <c r="W409" i="24142"/>
  <c r="W475" i="23917"/>
  <c r="W495" i="23917"/>
  <c r="AA409" i="24142"/>
  <c r="AA495" i="23917"/>
  <c r="C408" i="24142"/>
  <c r="C474" i="23917"/>
  <c r="E408" i="24142"/>
  <c r="E474" i="23917"/>
  <c r="G408" i="24142"/>
  <c r="G474" i="23917"/>
  <c r="I408" i="24142"/>
  <c r="I474" i="23917"/>
  <c r="K408" i="24142"/>
  <c r="K474" i="23917"/>
  <c r="M408" i="24142"/>
  <c r="M474" i="23917"/>
  <c r="O408" i="24142"/>
  <c r="O474" i="23917"/>
  <c r="Q410" i="24142"/>
  <c r="Q476" i="23917"/>
  <c r="U408" i="24142"/>
  <c r="U474" i="23917"/>
  <c r="W408" i="24142"/>
  <c r="W474" i="23917"/>
  <c r="Y408" i="24142"/>
  <c r="Y474" i="23917"/>
  <c r="AA408" i="24142"/>
  <c r="AA474" i="23917"/>
  <c r="M414" i="24142"/>
  <c r="M480" i="23917"/>
  <c r="DE414" i="24142"/>
  <c r="DE480" i="23917"/>
  <c r="DI414" i="24142"/>
  <c r="DI480" i="23917"/>
  <c r="DG415" i="24142"/>
  <c r="DG481" i="23917"/>
  <c r="DI415" i="24142"/>
  <c r="DI481" i="23917"/>
  <c r="C414" i="24142"/>
  <c r="C480" i="23917"/>
  <c r="E414" i="24142"/>
  <c r="E480" i="23917"/>
  <c r="G415" i="24142"/>
  <c r="G481" i="23917"/>
  <c r="K415" i="24142"/>
  <c r="K481" i="23917"/>
  <c r="M481" i="23917"/>
  <c r="O415" i="24142"/>
  <c r="O481" i="23917"/>
  <c r="Q415" i="24142"/>
  <c r="Q481" i="23917"/>
  <c r="S415" i="24142"/>
  <c r="S481" i="23917"/>
  <c r="U415" i="24142"/>
  <c r="U481" i="23917"/>
  <c r="W415" i="24142"/>
  <c r="W481" i="23917"/>
  <c r="Y415" i="24142"/>
  <c r="Y481" i="23917"/>
  <c r="AA415" i="24142"/>
  <c r="AA481" i="23917"/>
  <c r="B416" i="24142"/>
  <c r="B482" i="23917"/>
  <c r="D416" i="24142"/>
  <c r="D482" i="23917"/>
  <c r="J416" i="24142"/>
  <c r="J482" i="23917"/>
  <c r="N416" i="24142"/>
  <c r="N482" i="23917"/>
  <c r="P416" i="24142"/>
  <c r="P482" i="23917"/>
  <c r="V416" i="24142"/>
  <c r="V482" i="23917"/>
  <c r="X416" i="24142"/>
  <c r="X482" i="23917"/>
  <c r="DC419" i="24142"/>
  <c r="DC485" i="23917"/>
  <c r="DE419" i="24142"/>
  <c r="DE485" i="23917"/>
  <c r="DI419" i="24142"/>
  <c r="DI485" i="23917"/>
  <c r="E445" i="24142"/>
  <c r="E511" i="23917"/>
  <c r="I445" i="24142"/>
  <c r="I511" i="23917"/>
  <c r="DE445" i="24142"/>
  <c r="DE511" i="23917"/>
  <c r="F452" i="24142"/>
  <c r="F518" i="23917"/>
  <c r="E448" i="24142"/>
  <c r="E514" i="23917"/>
  <c r="E451" i="24142"/>
  <c r="E517" i="23917"/>
  <c r="G449" i="24142"/>
  <c r="G515" i="23917"/>
  <c r="I448" i="24142"/>
  <c r="I514" i="23917"/>
  <c r="I451" i="24142"/>
  <c r="I517" i="23917"/>
  <c r="DE449" i="24142"/>
  <c r="DE515" i="23917"/>
  <c r="D456" i="24142"/>
  <c r="D522" i="23917"/>
  <c r="E455" i="24142"/>
  <c r="E521" i="23917"/>
  <c r="G455" i="24142"/>
  <c r="G521" i="23917"/>
  <c r="I455" i="24142"/>
  <c r="I521" i="23917"/>
  <c r="J481" i="24142"/>
  <c r="J547" i="23917"/>
  <c r="N481" i="24142"/>
  <c r="N547" i="23917"/>
  <c r="R481" i="24142"/>
  <c r="R547" i="23917"/>
  <c r="V481" i="24142"/>
  <c r="V547" i="23917"/>
  <c r="Z481" i="24142"/>
  <c r="Z547" i="23917"/>
  <c r="AD481" i="24142"/>
  <c r="AD547" i="23917"/>
  <c r="AH481" i="24142"/>
  <c r="AH547" i="23917"/>
  <c r="AL481" i="24142"/>
  <c r="AL547" i="23917"/>
  <c r="AP481" i="24142"/>
  <c r="AP547" i="23917"/>
  <c r="AT481" i="24142"/>
  <c r="AT547" i="23917"/>
  <c r="AX481" i="24142"/>
  <c r="AX547" i="23917"/>
  <c r="BB481" i="24142"/>
  <c r="BB547" i="23917"/>
  <c r="BF481" i="24142"/>
  <c r="BF547" i="23917"/>
  <c r="BJ481" i="24142"/>
  <c r="BJ547" i="23917"/>
  <c r="BN481" i="24142"/>
  <c r="BN547" i="23917"/>
  <c r="BR481" i="24142"/>
  <c r="BR547" i="23917"/>
  <c r="BV481" i="24142"/>
  <c r="BV547" i="23917"/>
  <c r="BZ481" i="24142"/>
  <c r="BZ547" i="23917"/>
  <c r="CG481" i="24142"/>
  <c r="CR482" i="24142"/>
  <c r="CR548" i="23917"/>
  <c r="DC481" i="24142"/>
  <c r="DC547" i="23917"/>
  <c r="C481" i="24142"/>
  <c r="C547" i="23917"/>
  <c r="E481" i="24142"/>
  <c r="E547" i="23917"/>
  <c r="G481" i="24142"/>
  <c r="G547" i="23917"/>
  <c r="I482" i="24142"/>
  <c r="I548" i="23917"/>
  <c r="K482" i="24142"/>
  <c r="K548" i="23917"/>
  <c r="Q482" i="24142"/>
  <c r="Q548" i="23917"/>
  <c r="S482" i="24142"/>
  <c r="S548" i="23917"/>
  <c r="Y482" i="24142"/>
  <c r="Y548" i="23917"/>
  <c r="AA482" i="24142"/>
  <c r="AA548" i="23917"/>
  <c r="AG482" i="24142"/>
  <c r="AG548" i="23917"/>
  <c r="AI482" i="24142"/>
  <c r="AI548" i="23917"/>
  <c r="AO482" i="24142"/>
  <c r="AO548" i="23917"/>
  <c r="DC482" i="24142"/>
  <c r="DC548" i="23917"/>
  <c r="DG482" i="24142"/>
  <c r="DG548" i="23917"/>
  <c r="DK482" i="24142"/>
  <c r="DK548" i="23917"/>
  <c r="DO482" i="24142"/>
  <c r="DO548" i="23917"/>
  <c r="DS482" i="24142"/>
  <c r="DS548" i="23917"/>
  <c r="DW482" i="24142"/>
  <c r="DW548" i="23917"/>
  <c r="D483" i="24142"/>
  <c r="D549" i="23917"/>
  <c r="AS482" i="24142"/>
  <c r="AS548" i="23917"/>
  <c r="AU482" i="24142"/>
  <c r="AU548" i="23917"/>
  <c r="AW482" i="24142"/>
  <c r="AW548" i="23917"/>
  <c r="AY482" i="24142"/>
  <c r="AY548" i="23917"/>
  <c r="BA482" i="24142"/>
  <c r="BA548" i="23917"/>
  <c r="BC483" i="24142"/>
  <c r="BC549" i="23917"/>
  <c r="BE483" i="24142"/>
  <c r="BE549" i="23917"/>
  <c r="BG482" i="24142"/>
  <c r="BG548" i="23917"/>
  <c r="BI482" i="24142"/>
  <c r="BI548" i="23917"/>
  <c r="BK483" i="24142"/>
  <c r="BK549" i="23917"/>
  <c r="BM483" i="24142"/>
  <c r="BM549" i="23917"/>
  <c r="BO482" i="24142"/>
  <c r="BO548" i="23917"/>
  <c r="CE482" i="24142"/>
  <c r="CE548" i="23917"/>
  <c r="CG482" i="24142"/>
  <c r="CG548" i="23917"/>
  <c r="CI482" i="24142"/>
  <c r="CI548" i="23917"/>
  <c r="CK482" i="24142"/>
  <c r="CK548" i="23917"/>
  <c r="CM482" i="24142"/>
  <c r="CM548" i="23917"/>
  <c r="I486" i="24142"/>
  <c r="I552" i="23917"/>
  <c r="M486" i="24142"/>
  <c r="M552" i="23917"/>
  <c r="Q486" i="24142"/>
  <c r="Q552" i="23917"/>
  <c r="U486" i="24142"/>
  <c r="U552" i="23917"/>
  <c r="Y486" i="24142"/>
  <c r="Y552" i="23917"/>
  <c r="DI487" i="24142"/>
  <c r="DI553" i="23917"/>
  <c r="EB554" i="23917"/>
  <c r="E486" i="24142"/>
  <c r="E552" i="23917"/>
  <c r="J487" i="24142"/>
  <c r="J553" i="23917"/>
  <c r="P487" i="24142"/>
  <c r="P553" i="23917"/>
  <c r="R487" i="24142"/>
  <c r="R553" i="23917"/>
  <c r="T487" i="24142"/>
  <c r="T553" i="23917"/>
  <c r="V487" i="24142"/>
  <c r="V553" i="23917"/>
  <c r="X487" i="24142"/>
  <c r="X553" i="23917"/>
  <c r="Z487" i="24142"/>
  <c r="Z553" i="23917"/>
  <c r="AD487" i="24142"/>
  <c r="AD553" i="23917"/>
  <c r="AH487" i="24142"/>
  <c r="AH553" i="23917"/>
  <c r="AL487" i="24142"/>
  <c r="AL553" i="23917"/>
  <c r="AP487" i="24142"/>
  <c r="AP553" i="23917"/>
  <c r="AT487" i="24142"/>
  <c r="AT553" i="23917"/>
  <c r="AX487" i="24142"/>
  <c r="AX553" i="23917"/>
  <c r="BB487" i="24142"/>
  <c r="BB553" i="23917"/>
  <c r="BF487" i="24142"/>
  <c r="BF553" i="23917"/>
  <c r="BJ487" i="24142"/>
  <c r="BJ553" i="23917"/>
  <c r="BN487" i="24142"/>
  <c r="BN553" i="23917"/>
  <c r="BR487" i="24142"/>
  <c r="BR553" i="23917"/>
  <c r="BV487" i="24142"/>
  <c r="BV553" i="23917"/>
  <c r="BZ487" i="24142"/>
  <c r="BZ553" i="23917"/>
  <c r="CC487" i="24142"/>
  <c r="CB487" i="24142"/>
  <c r="CB553" i="23917"/>
  <c r="CF487" i="24142"/>
  <c r="CF553" i="23917"/>
  <c r="CJ487" i="24142"/>
  <c r="CJ553" i="23917"/>
  <c r="D487" i="24142"/>
  <c r="D553" i="23917"/>
  <c r="F487" i="24142"/>
  <c r="F553" i="23917"/>
  <c r="H487" i="24142"/>
  <c r="H553" i="23917"/>
  <c r="AA486" i="24142"/>
  <c r="AA552" i="23917"/>
  <c r="AC486" i="24142"/>
  <c r="AC552" i="23917"/>
  <c r="AM486" i="24142"/>
  <c r="AM552" i="23917"/>
  <c r="AO486" i="24142"/>
  <c r="AO552" i="23917"/>
  <c r="AQ486" i="24142"/>
  <c r="AQ552" i="23917"/>
  <c r="AS486" i="24142"/>
  <c r="AS552" i="23917"/>
  <c r="BC486" i="24142"/>
  <c r="BC552" i="23917"/>
  <c r="BE486" i="24142"/>
  <c r="BE552" i="23917"/>
  <c r="BG486" i="24142"/>
  <c r="BG552" i="23917"/>
  <c r="BI486" i="24142"/>
  <c r="BI552" i="23917"/>
  <c r="CG486" i="24142"/>
  <c r="CG552" i="23917"/>
  <c r="CK486" i="24142"/>
  <c r="CK552" i="23917"/>
  <c r="DC491" i="24142"/>
  <c r="DC558" i="23917"/>
  <c r="DE491" i="24142"/>
  <c r="DE558" i="23917"/>
  <c r="DG491" i="24142"/>
  <c r="DG558" i="23917"/>
  <c r="DI491" i="24142"/>
  <c r="DI558" i="23917"/>
  <c r="DK491" i="24142"/>
  <c r="DK558" i="23917"/>
  <c r="DM491" i="24142"/>
  <c r="DM558" i="23917"/>
  <c r="DO491" i="24142"/>
  <c r="DO558" i="23917"/>
  <c r="DQ491" i="24142"/>
  <c r="DQ558" i="23917"/>
  <c r="DS491" i="24142"/>
  <c r="DS558" i="23917"/>
  <c r="DU491" i="24142"/>
  <c r="DU558" i="23917"/>
  <c r="DW491" i="24142"/>
  <c r="DW558" i="23917"/>
  <c r="DY491" i="24142"/>
  <c r="DY558" i="23917"/>
  <c r="E491" i="24142"/>
  <c r="E558" i="23917"/>
  <c r="Y491" i="24142"/>
  <c r="Y558" i="23917"/>
  <c r="I491" i="24142"/>
  <c r="I558" i="23917"/>
  <c r="K491" i="24142"/>
  <c r="K558" i="23917"/>
  <c r="M491" i="24142"/>
  <c r="M558" i="23917"/>
  <c r="O491" i="24142"/>
  <c r="O558" i="23917"/>
  <c r="Q491" i="24142"/>
  <c r="Q558" i="23917"/>
  <c r="S491" i="24142"/>
  <c r="S558" i="23917"/>
  <c r="U491" i="24142"/>
  <c r="U558" i="23917"/>
  <c r="W491" i="24142"/>
  <c r="W558" i="23917"/>
  <c r="AC491" i="24142"/>
  <c r="AC558" i="23917"/>
  <c r="AE491" i="24142"/>
  <c r="AE558" i="23917"/>
  <c r="AG491" i="24142"/>
  <c r="AG558" i="23917"/>
  <c r="AI491" i="24142"/>
  <c r="AI558" i="23917"/>
  <c r="C21" i="23917"/>
  <c r="K21" i="23917"/>
  <c r="S21" i="23917"/>
  <c r="W21" i="23917"/>
  <c r="AC21" i="23917"/>
  <c r="AW21" i="23917"/>
  <c r="BM21" i="23917"/>
  <c r="BQ21" i="23917"/>
  <c r="BU21" i="23917"/>
  <c r="BY21" i="23917"/>
  <c r="EH21" i="23917"/>
  <c r="DK22" i="24142"/>
  <c r="DO22" i="24142"/>
  <c r="DS22" i="24142"/>
  <c r="DW22" i="24142"/>
  <c r="DE43" i="23917"/>
  <c r="DE33" i="24142"/>
  <c r="DI43" i="23917"/>
  <c r="DI33" i="24142"/>
  <c r="DM33" i="24142"/>
  <c r="DQ43" i="23917"/>
  <c r="DQ33" i="24142"/>
  <c r="DQ34" i="24142" s="1"/>
  <c r="DU43" i="23917"/>
  <c r="DU33" i="24142"/>
  <c r="DU34" i="24142" s="1"/>
  <c r="DY43" i="23917"/>
  <c r="DY33" i="24142"/>
  <c r="DY34" i="24142" s="1"/>
  <c r="DH40" i="23917"/>
  <c r="DH41" i="23917"/>
  <c r="DL40" i="23917"/>
  <c r="DP40" i="23917"/>
  <c r="DT40" i="23917"/>
  <c r="DX40" i="23917"/>
  <c r="DJ41" i="23917"/>
  <c r="DR41" i="23917"/>
  <c r="DV41" i="23917"/>
  <c r="DZ41" i="23917"/>
  <c r="DN42" i="23917"/>
  <c r="DR42" i="23917"/>
  <c r="DV42" i="23917"/>
  <c r="DZ42" i="23917"/>
  <c r="O43" i="23917"/>
  <c r="AW47" i="23917"/>
  <c r="DC61" i="24142"/>
  <c r="DG61" i="24142"/>
  <c r="DK61" i="24142"/>
  <c r="DO61" i="24142"/>
  <c r="DQ61" i="24142"/>
  <c r="DU61" i="24142"/>
  <c r="DW61" i="24142"/>
  <c r="DW62" i="24142"/>
  <c r="DW25" i="24142"/>
  <c r="DY25" i="24142"/>
  <c r="DY62" i="24142"/>
  <c r="C25" i="24142"/>
  <c r="C62" i="24142"/>
  <c r="E62" i="24142"/>
  <c r="E25" i="24142"/>
  <c r="G25" i="24142"/>
  <c r="G62" i="24142"/>
  <c r="I62" i="24142"/>
  <c r="I25" i="24142"/>
  <c r="K62" i="24142"/>
  <c r="K25" i="24142"/>
  <c r="M62" i="24142"/>
  <c r="M25" i="24142"/>
  <c r="O62" i="24142"/>
  <c r="O25" i="24142"/>
  <c r="Q62" i="24142"/>
  <c r="Q25" i="24142"/>
  <c r="S62" i="24142"/>
  <c r="S25" i="24142"/>
  <c r="U62" i="24142"/>
  <c r="U25" i="24142"/>
  <c r="W62" i="24142"/>
  <c r="W25" i="24142"/>
  <c r="Y62" i="24142"/>
  <c r="Y25" i="24142"/>
  <c r="AA62" i="24142"/>
  <c r="AA25" i="24142"/>
  <c r="AC62" i="24142"/>
  <c r="AC25" i="24142"/>
  <c r="AE62" i="24142"/>
  <c r="AE25" i="24142"/>
  <c r="AG62" i="24142"/>
  <c r="AG25" i="24142"/>
  <c r="AI62" i="24142"/>
  <c r="AI25" i="24142"/>
  <c r="AK62" i="24142"/>
  <c r="AK25" i="24142"/>
  <c r="AM62" i="24142"/>
  <c r="AM25" i="24142"/>
  <c r="AO62" i="24142"/>
  <c r="AO25" i="24142"/>
  <c r="AU25" i="24142"/>
  <c r="AU62" i="24142"/>
  <c r="AY25" i="24142"/>
  <c r="AY62" i="24142"/>
  <c r="BC25" i="24142"/>
  <c r="BC62" i="24142"/>
  <c r="BG25" i="24142"/>
  <c r="BG62" i="24142"/>
  <c r="BK25" i="24142"/>
  <c r="BK62" i="24142"/>
  <c r="BO25" i="24142"/>
  <c r="BO62" i="24142"/>
  <c r="CG25" i="24142"/>
  <c r="CG62" i="24142"/>
  <c r="CK25" i="24142"/>
  <c r="CK62" i="24142"/>
  <c r="DC25" i="24142"/>
  <c r="DC62" i="24142"/>
  <c r="DG25" i="24142"/>
  <c r="DG62" i="24142"/>
  <c r="DK25" i="24142"/>
  <c r="DK62" i="24142"/>
  <c r="DR62" i="24142"/>
  <c r="DR25" i="24142"/>
  <c r="E94" i="23917"/>
  <c r="S94" i="23917"/>
  <c r="W94" i="23917"/>
  <c r="I85" i="24142"/>
  <c r="H85" i="24142"/>
  <c r="Q95" i="23917"/>
  <c r="U95" i="23917"/>
  <c r="Y95" i="23917"/>
  <c r="E96" i="23917"/>
  <c r="K96" i="23917"/>
  <c r="O96" i="23917"/>
  <c r="H89" i="24142"/>
  <c r="B16" i="23917"/>
  <c r="CQ18" i="23917"/>
  <c r="CS18" i="23917"/>
  <c r="CR21" i="23917"/>
  <c r="EE21" i="23917"/>
  <c r="CQ25" i="23917"/>
  <c r="CS25" i="23917"/>
  <c r="DK25" i="23917"/>
  <c r="DM25" i="23917"/>
  <c r="DO25" i="23917"/>
  <c r="DQ25" i="23917"/>
  <c r="DS25" i="23917"/>
  <c r="DU25" i="23917"/>
  <c r="DW25" i="23917"/>
  <c r="DY25" i="23917"/>
  <c r="EF25" i="23917"/>
  <c r="EH25" i="23917"/>
  <c r="EJ25" i="23917"/>
  <c r="C28" i="23917"/>
  <c r="E28" i="23917"/>
  <c r="G28" i="23917"/>
  <c r="I28" i="23917"/>
  <c r="K28" i="23917"/>
  <c r="M28" i="23917"/>
  <c r="O28" i="23917"/>
  <c r="Q28" i="23917"/>
  <c r="S28" i="23917"/>
  <c r="U28" i="23917"/>
  <c r="W28" i="23917"/>
  <c r="Y28" i="23917"/>
  <c r="AA28" i="23917"/>
  <c r="AC28" i="23917"/>
  <c r="AE28" i="23917"/>
  <c r="AG28" i="23917"/>
  <c r="AI28" i="23917"/>
  <c r="AK28" i="23917"/>
  <c r="AM28" i="23917"/>
  <c r="AO28" i="23917"/>
  <c r="DC28" i="23917"/>
  <c r="DE28" i="23917"/>
  <c r="DG28" i="23917"/>
  <c r="DI28" i="23917"/>
  <c r="DK28" i="23917"/>
  <c r="DM28" i="23917"/>
  <c r="AQ28" i="23917"/>
  <c r="AS28" i="23917"/>
  <c r="AU28" i="23917"/>
  <c r="AW28" i="23917"/>
  <c r="AY28" i="23917"/>
  <c r="BA28" i="23917"/>
  <c r="BC28" i="23917"/>
  <c r="BE28" i="23917"/>
  <c r="BG28" i="23917"/>
  <c r="BI28" i="23917"/>
  <c r="BK28" i="23917"/>
  <c r="BM28" i="23917"/>
  <c r="BO28" i="23917"/>
  <c r="CG28" i="23917"/>
  <c r="CK28" i="23917"/>
  <c r="DR28" i="23917"/>
  <c r="DV28" i="23917"/>
  <c r="DX28" i="23917"/>
  <c r="DY28" i="23917"/>
  <c r="DC39" i="23917"/>
  <c r="DE39" i="23917"/>
  <c r="DG39" i="23917"/>
  <c r="DI39" i="23917"/>
  <c r="DK39" i="23917"/>
  <c r="DM39" i="23917"/>
  <c r="DC40" i="23917"/>
  <c r="DE40" i="23917"/>
  <c r="DG40" i="23917"/>
  <c r="DI40" i="23917"/>
  <c r="DK40" i="23917"/>
  <c r="DM40" i="23917"/>
  <c r="DE41" i="23917"/>
  <c r="DG41" i="23917"/>
  <c r="DI41" i="23917"/>
  <c r="DK41" i="23917"/>
  <c r="DI42" i="23917"/>
  <c r="DK42" i="23917"/>
  <c r="DM42" i="23917"/>
  <c r="L43" i="23917"/>
  <c r="N43" i="23917"/>
  <c r="AF43" i="23917"/>
  <c r="DO39" i="23917"/>
  <c r="DO41" i="23917"/>
  <c r="DQ39" i="23917"/>
  <c r="DS39" i="23917"/>
  <c r="DS41" i="23917"/>
  <c r="DU39" i="23917"/>
  <c r="DU41" i="23917"/>
  <c r="DW39" i="23917"/>
  <c r="DW41" i="23917"/>
  <c r="DY40" i="23917"/>
  <c r="DY42" i="23917"/>
  <c r="DR71" i="23917"/>
  <c r="DV71" i="23917"/>
  <c r="DX71" i="23917"/>
  <c r="DZ71" i="23917"/>
  <c r="A81" i="23917"/>
  <c r="P95" i="23917"/>
  <c r="T95" i="23917"/>
  <c r="X95" i="23917"/>
  <c r="G98" i="23917"/>
  <c r="BH114" i="23917"/>
  <c r="BX114" i="23917"/>
  <c r="DC111" i="23917"/>
  <c r="DG111" i="23917"/>
  <c r="DI111" i="23917"/>
  <c r="DK111" i="23917"/>
  <c r="DM111" i="23917"/>
  <c r="DO111" i="23917"/>
  <c r="DQ111" i="23917"/>
  <c r="DS111" i="23917"/>
  <c r="DU111" i="23917"/>
  <c r="DW111" i="23917"/>
  <c r="DY111" i="23917"/>
  <c r="DC113" i="23917"/>
  <c r="DE113" i="23917"/>
  <c r="DG113" i="23917"/>
  <c r="DI113" i="23917"/>
  <c r="DK113" i="23917"/>
  <c r="DM113" i="23917"/>
  <c r="DO113" i="23917"/>
  <c r="DQ113" i="23917"/>
  <c r="DS113" i="23917"/>
  <c r="DU113" i="23917"/>
  <c r="DW113" i="23917"/>
  <c r="DY113" i="23917"/>
  <c r="C117" i="23917"/>
  <c r="E117" i="23917"/>
  <c r="G117" i="23917"/>
  <c r="I117" i="23917"/>
  <c r="K117" i="23917"/>
  <c r="M117" i="23917"/>
  <c r="O117" i="23917"/>
  <c r="Q117" i="23917"/>
  <c r="S117" i="23917"/>
  <c r="U117" i="23917"/>
  <c r="W117" i="23917"/>
  <c r="Y117" i="23917"/>
  <c r="AA117" i="23917"/>
  <c r="AC117" i="23917"/>
  <c r="AE117" i="23917"/>
  <c r="AG117" i="23917"/>
  <c r="AI117" i="23917"/>
  <c r="AK117" i="23917"/>
  <c r="AM117" i="23917"/>
  <c r="AO117" i="23917"/>
  <c r="AQ117" i="23917"/>
  <c r="AS117" i="23917"/>
  <c r="AU117" i="23917"/>
  <c r="AW117" i="23917"/>
  <c r="AY117" i="23917"/>
  <c r="BA117" i="23917"/>
  <c r="BC117" i="23917"/>
  <c r="BE117" i="23917"/>
  <c r="BG117" i="23917"/>
  <c r="BI117" i="23917"/>
  <c r="BK117" i="23917"/>
  <c r="BM117" i="23917"/>
  <c r="BO117" i="23917"/>
  <c r="CE117" i="23917"/>
  <c r="CG117" i="23917"/>
  <c r="CI117" i="23917"/>
  <c r="CK117" i="23917"/>
  <c r="CM117" i="23917"/>
  <c r="A118" i="23917"/>
  <c r="BR118" i="23917"/>
  <c r="BV118" i="23917"/>
  <c r="BZ118" i="23917"/>
  <c r="C121" i="23917"/>
  <c r="E121" i="23917"/>
  <c r="G121" i="23917"/>
  <c r="I121" i="23917"/>
  <c r="K121" i="23917"/>
  <c r="M121" i="23917"/>
  <c r="O121" i="23917"/>
  <c r="Q121" i="23917"/>
  <c r="S121" i="23917"/>
  <c r="U121" i="23917"/>
  <c r="W121" i="23917"/>
  <c r="Y121" i="23917"/>
  <c r="AA121" i="23917"/>
  <c r="AC121" i="23917"/>
  <c r="AE121" i="23917"/>
  <c r="AG121" i="23917"/>
  <c r="AI121" i="23917"/>
  <c r="AK121" i="23917"/>
  <c r="AM121" i="23917"/>
  <c r="AO121" i="23917"/>
  <c r="AQ121" i="23917"/>
  <c r="AS121" i="23917"/>
  <c r="AU121" i="23917"/>
  <c r="AW121" i="23917"/>
  <c r="AY121" i="23917"/>
  <c r="BA121" i="23917"/>
  <c r="BC121" i="23917"/>
  <c r="BE121" i="23917"/>
  <c r="BG121" i="23917"/>
  <c r="BI121" i="23917"/>
  <c r="BK121" i="23917"/>
  <c r="BM121" i="23917"/>
  <c r="BO121" i="23917"/>
  <c r="CE121" i="23917"/>
  <c r="CG121" i="23917"/>
  <c r="CI121" i="23917"/>
  <c r="CK121" i="23917"/>
  <c r="CM121" i="23917"/>
  <c r="DC117" i="23917"/>
  <c r="DE117" i="23917"/>
  <c r="DG117" i="23917"/>
  <c r="DI117" i="23917"/>
  <c r="DK117" i="23917"/>
  <c r="DM117" i="23917"/>
  <c r="DO117" i="23917"/>
  <c r="DQ117" i="23917"/>
  <c r="DS117" i="23917"/>
  <c r="DU117" i="23917"/>
  <c r="DW117" i="23917"/>
  <c r="DY117" i="23917"/>
  <c r="DC118" i="23917"/>
  <c r="DE118" i="23917"/>
  <c r="DG118" i="23917"/>
  <c r="DI118" i="23917"/>
  <c r="DK118" i="23917"/>
  <c r="DM118" i="23917"/>
  <c r="DO118" i="23917"/>
  <c r="DQ118" i="23917"/>
  <c r="DS118" i="23917"/>
  <c r="DU118" i="23917"/>
  <c r="DW118" i="23917"/>
  <c r="DY118" i="23917"/>
  <c r="DC119" i="23917"/>
  <c r="DE119" i="23917"/>
  <c r="DG119" i="23917"/>
  <c r="DK119" i="23917"/>
  <c r="DM119" i="23917"/>
  <c r="DO119" i="23917"/>
  <c r="DS119" i="23917"/>
  <c r="DU119" i="23917"/>
  <c r="DW119" i="23917"/>
  <c r="E124" i="23917"/>
  <c r="G124" i="23917"/>
  <c r="I124" i="23917"/>
  <c r="AY124" i="23917"/>
  <c r="BA124" i="23917"/>
  <c r="BC124" i="23917"/>
  <c r="BE124" i="23917"/>
  <c r="BG124" i="23917"/>
  <c r="BI124" i="23917"/>
  <c r="BK124" i="23917"/>
  <c r="BM124" i="23917"/>
  <c r="BO124" i="23917"/>
  <c r="CE124" i="23917"/>
  <c r="CI124" i="23917"/>
  <c r="CM124" i="23917"/>
  <c r="DW124" i="23917"/>
  <c r="J134" i="23917"/>
  <c r="DG135" i="23917"/>
  <c r="C142" i="23917"/>
  <c r="BG142" i="23917"/>
  <c r="CQ146" i="23917"/>
  <c r="CS146" i="23917"/>
  <c r="CQ147" i="23917"/>
  <c r="CS147" i="23917"/>
  <c r="B148" i="23917"/>
  <c r="D148" i="23917"/>
  <c r="F148" i="23917"/>
  <c r="H148" i="23917"/>
  <c r="J148" i="23917"/>
  <c r="L148" i="23917"/>
  <c r="N148" i="23917"/>
  <c r="P148" i="23917"/>
  <c r="R148" i="23917"/>
  <c r="T148" i="23917"/>
  <c r="V148" i="23917"/>
  <c r="X148" i="23917"/>
  <c r="Z148" i="23917"/>
  <c r="AB148" i="23917"/>
  <c r="AD148" i="23917"/>
  <c r="AF148" i="23917"/>
  <c r="AH148" i="23917"/>
  <c r="AJ148" i="23917"/>
  <c r="AL148" i="23917"/>
  <c r="AN148" i="23917"/>
  <c r="AP148" i="23917"/>
  <c r="AR148" i="23917"/>
  <c r="AT148" i="23917"/>
  <c r="AV148" i="23917"/>
  <c r="AX148" i="23917"/>
  <c r="AZ148" i="23917"/>
  <c r="BB148" i="23917"/>
  <c r="BD148" i="23917"/>
  <c r="BF148" i="23917"/>
  <c r="BH148" i="23917"/>
  <c r="BJ148" i="23917"/>
  <c r="BL148" i="23917"/>
  <c r="BN148" i="23917"/>
  <c r="BP148" i="23917"/>
  <c r="BT148" i="23917"/>
  <c r="BX148" i="23917"/>
  <c r="DC146" i="23917"/>
  <c r="DE146" i="23917"/>
  <c r="DG146" i="23917"/>
  <c r="DI146" i="23917"/>
  <c r="DK146" i="23917"/>
  <c r="DM146" i="23917"/>
  <c r="DO146" i="23917"/>
  <c r="DI164" i="23917"/>
  <c r="DC165" i="23917"/>
  <c r="DE165" i="23917"/>
  <c r="DC166" i="23917"/>
  <c r="DE167" i="23917"/>
  <c r="DI167" i="23917"/>
  <c r="DK167" i="23917"/>
  <c r="DM167" i="23917"/>
  <c r="DO167" i="23917"/>
  <c r="DQ167" i="23917"/>
  <c r="DS167" i="23917"/>
  <c r="DW167" i="23917"/>
  <c r="DE168" i="23917"/>
  <c r="DI168" i="23917"/>
  <c r="DK168" i="23917"/>
  <c r="DM168" i="23917"/>
  <c r="DO168" i="23917"/>
  <c r="DQ168" i="23917"/>
  <c r="DS168" i="23917"/>
  <c r="DW168" i="23917"/>
  <c r="BR171" i="23917"/>
  <c r="BV171" i="23917"/>
  <c r="BZ171" i="23917"/>
  <c r="L176" i="23917"/>
  <c r="C177" i="23917"/>
  <c r="E177" i="23917"/>
  <c r="G177" i="23917"/>
  <c r="I177" i="23917"/>
  <c r="K177" i="23917"/>
  <c r="M177" i="23917"/>
  <c r="O177" i="23917"/>
  <c r="Q177" i="23917"/>
  <c r="S177" i="23917"/>
  <c r="U177" i="23917"/>
  <c r="W177" i="23917"/>
  <c r="Y177" i="23917"/>
  <c r="AA177" i="23917"/>
  <c r="AC177" i="23917"/>
  <c r="AE177" i="23917"/>
  <c r="AG177" i="23917"/>
  <c r="AI177" i="23917"/>
  <c r="AK177" i="23917"/>
  <c r="AM177" i="23917"/>
  <c r="AO177" i="23917"/>
  <c r="AQ177" i="23917"/>
  <c r="AS177" i="23917"/>
  <c r="AU177" i="23917"/>
  <c r="AW177" i="23917"/>
  <c r="AY177" i="23917"/>
  <c r="BA177" i="23917"/>
  <c r="BC177" i="23917"/>
  <c r="BE177" i="23917"/>
  <c r="BG177" i="23917"/>
  <c r="BI177" i="23917"/>
  <c r="BK177" i="23917"/>
  <c r="BM177" i="23917"/>
  <c r="BO177" i="23917"/>
  <c r="CE177" i="23917"/>
  <c r="CG177" i="23917"/>
  <c r="CI177" i="23917"/>
  <c r="CK177" i="23917"/>
  <c r="CM177" i="23917"/>
  <c r="CP177" i="23917"/>
  <c r="CR177" i="23917"/>
  <c r="C178" i="23917"/>
  <c r="E178" i="23917"/>
  <c r="G178" i="23917"/>
  <c r="I178" i="23917"/>
  <c r="K178" i="23917"/>
  <c r="M178" i="23917"/>
  <c r="O178" i="23917"/>
  <c r="Q178" i="23917"/>
  <c r="S178" i="23917"/>
  <c r="U178" i="23917"/>
  <c r="W178" i="23917"/>
  <c r="Y178" i="23917"/>
  <c r="AA178" i="23917"/>
  <c r="AC178" i="23917"/>
  <c r="AE178" i="23917"/>
  <c r="AG178" i="23917"/>
  <c r="AI178" i="23917"/>
  <c r="AK178" i="23917"/>
  <c r="AM178" i="23917"/>
  <c r="AO178" i="23917"/>
  <c r="AQ178" i="23917"/>
  <c r="AS178" i="23917"/>
  <c r="AU178" i="23917"/>
  <c r="AW178" i="23917"/>
  <c r="AY178" i="23917"/>
  <c r="BA178" i="23917"/>
  <c r="BC178" i="23917"/>
  <c r="BE178" i="23917"/>
  <c r="BG178" i="23917"/>
  <c r="BI178" i="23917"/>
  <c r="BK178" i="23917"/>
  <c r="BM178" i="23917"/>
  <c r="BO178" i="23917"/>
  <c r="CE178" i="23917"/>
  <c r="CG178" i="23917"/>
  <c r="CI178" i="23917"/>
  <c r="CK178" i="23917"/>
  <c r="CM178" i="23917"/>
  <c r="CP178" i="23917"/>
  <c r="CR178" i="23917"/>
  <c r="C179" i="23917"/>
  <c r="E179" i="23917"/>
  <c r="G179" i="23917"/>
  <c r="I179" i="23917"/>
  <c r="K179" i="23917"/>
  <c r="M179" i="23917"/>
  <c r="O179" i="23917"/>
  <c r="Q179" i="23917"/>
  <c r="S179" i="23917"/>
  <c r="U179" i="23917"/>
  <c r="W179" i="23917"/>
  <c r="Y179" i="23917"/>
  <c r="AA179" i="23917"/>
  <c r="AC179" i="23917"/>
  <c r="AE179" i="23917"/>
  <c r="AG179" i="23917"/>
  <c r="AI179" i="23917"/>
  <c r="AK179" i="23917"/>
  <c r="AM179" i="23917"/>
  <c r="AO179" i="23917"/>
  <c r="AQ179" i="23917"/>
  <c r="AS179" i="23917"/>
  <c r="AU179" i="23917"/>
  <c r="AW179" i="23917"/>
  <c r="AY179" i="23917"/>
  <c r="BA179" i="23917"/>
  <c r="BC179" i="23917"/>
  <c r="BE179" i="23917"/>
  <c r="BG179" i="23917"/>
  <c r="BI179" i="23917"/>
  <c r="BK179" i="23917"/>
  <c r="BM179" i="23917"/>
  <c r="BO179" i="23917"/>
  <c r="CE179" i="23917"/>
  <c r="CG179" i="23917"/>
  <c r="CI179" i="23917"/>
  <c r="CK179" i="23917"/>
  <c r="CM179" i="23917"/>
  <c r="C180" i="23917"/>
  <c r="E180" i="23917"/>
  <c r="G180" i="23917"/>
  <c r="I180" i="23917"/>
  <c r="K180" i="23917"/>
  <c r="M180" i="23917"/>
  <c r="O180" i="23917"/>
  <c r="Q180" i="23917"/>
  <c r="S180" i="23917"/>
  <c r="U180" i="23917"/>
  <c r="W180" i="23917"/>
  <c r="Y180" i="23917"/>
  <c r="AA180" i="23917"/>
  <c r="AC180" i="23917"/>
  <c r="AE180" i="23917"/>
  <c r="AG180" i="23917"/>
  <c r="AI180" i="23917"/>
  <c r="AK180" i="23917"/>
  <c r="AM180" i="23917"/>
  <c r="AO180" i="23917"/>
  <c r="AQ180" i="23917"/>
  <c r="AS180" i="23917"/>
  <c r="AU180" i="23917"/>
  <c r="AW180" i="23917"/>
  <c r="AY180" i="23917"/>
  <c r="BA180" i="23917"/>
  <c r="BC180" i="23917"/>
  <c r="BE180" i="23917"/>
  <c r="BG180" i="23917"/>
  <c r="BI180" i="23917"/>
  <c r="BK180" i="23917"/>
  <c r="BM180" i="23917"/>
  <c r="BO180" i="23917"/>
  <c r="CE180" i="23917"/>
  <c r="CG180" i="23917"/>
  <c r="CI180" i="23917"/>
  <c r="CK180" i="23917"/>
  <c r="CM180" i="23917"/>
  <c r="DD176" i="23917"/>
  <c r="DD177" i="23917"/>
  <c r="DD178" i="23917"/>
  <c r="DD179" i="23917"/>
  <c r="DF179" i="23917"/>
  <c r="DT179" i="23917"/>
  <c r="DV179" i="23917"/>
  <c r="DX179" i="23917"/>
  <c r="DZ179" i="23917"/>
  <c r="DD180" i="23917"/>
  <c r="DT180" i="23917"/>
  <c r="DV180" i="23917"/>
  <c r="DX180" i="23917"/>
  <c r="DZ180" i="23917"/>
  <c r="B183" i="23917"/>
  <c r="D183" i="23917"/>
  <c r="F183" i="23917"/>
  <c r="H183" i="23917"/>
  <c r="J183" i="23917"/>
  <c r="L183" i="23917"/>
  <c r="N183" i="23917"/>
  <c r="P183" i="23917"/>
  <c r="R183" i="23917"/>
  <c r="T183" i="23917"/>
  <c r="V183" i="23917"/>
  <c r="X183" i="23917"/>
  <c r="Z183" i="23917"/>
  <c r="AB183" i="23917"/>
  <c r="AD183" i="23917"/>
  <c r="AF183" i="23917"/>
  <c r="AH183" i="23917"/>
  <c r="AJ183" i="23917"/>
  <c r="AL183" i="23917"/>
  <c r="AN183" i="23917"/>
  <c r="AP183" i="23917"/>
  <c r="AR183" i="23917"/>
  <c r="AT183" i="23917"/>
  <c r="AV183" i="23917"/>
  <c r="AX183" i="23917"/>
  <c r="AZ183" i="23917"/>
  <c r="BB183" i="23917"/>
  <c r="BD183" i="23917"/>
  <c r="BF183" i="23917"/>
  <c r="BH183" i="23917"/>
  <c r="BJ183" i="23917"/>
  <c r="BL183" i="23917"/>
  <c r="BN183" i="23917"/>
  <c r="BP183" i="23917"/>
  <c r="BT183" i="23917"/>
  <c r="BX183" i="23917"/>
  <c r="J185" i="23917"/>
  <c r="CL34" i="24142"/>
  <c r="B34" i="24142"/>
  <c r="D34" i="24142"/>
  <c r="F34" i="24142"/>
  <c r="L34" i="24142"/>
  <c r="N34" i="24142"/>
  <c r="P34" i="24142"/>
  <c r="R34" i="24142"/>
  <c r="V34" i="24142"/>
  <c r="X34" i="24142"/>
  <c r="Z34" i="24142"/>
  <c r="AB34" i="24142"/>
  <c r="AD34" i="24142"/>
  <c r="AR34" i="24142"/>
  <c r="BF34" i="24142"/>
  <c r="BJ34" i="24142"/>
  <c r="BL34" i="24142"/>
  <c r="BN34" i="24142"/>
  <c r="BP34" i="24142"/>
  <c r="BR34" i="24142"/>
  <c r="BT34" i="24142"/>
  <c r="BV34" i="24142"/>
  <c r="BX34" i="24142"/>
  <c r="BZ34" i="24142"/>
  <c r="CA276" i="23917"/>
  <c r="CC269" i="23917"/>
  <c r="CE269" i="23917"/>
  <c r="CG269" i="23917"/>
  <c r="CI269" i="23917"/>
  <c r="CK269" i="23917"/>
  <c r="CM269" i="23917"/>
  <c r="DW102" i="24142"/>
  <c r="CK198" i="23917"/>
  <c r="BQ235" i="24142"/>
  <c r="BQ171" i="23917"/>
  <c r="BS235" i="24142"/>
  <c r="BS171" i="23917"/>
  <c r="BU235" i="24142"/>
  <c r="BU171" i="23917"/>
  <c r="BW235" i="24142"/>
  <c r="BW171" i="23917"/>
  <c r="BY235" i="24142"/>
  <c r="BY171" i="23917"/>
  <c r="CA235" i="24142"/>
  <c r="CA171" i="23917"/>
  <c r="BQ241" i="24142"/>
  <c r="BQ177" i="23917"/>
  <c r="BQ242" i="24142"/>
  <c r="BQ178" i="23917"/>
  <c r="BS241" i="24142"/>
  <c r="BS177" i="23917"/>
  <c r="BS242" i="24142"/>
  <c r="BS178" i="23917"/>
  <c r="BU241" i="24142"/>
  <c r="BU177" i="23917"/>
  <c r="BU242" i="24142"/>
  <c r="BU178" i="23917"/>
  <c r="BW241" i="24142"/>
  <c r="BW177" i="23917"/>
  <c r="BW242" i="24142"/>
  <c r="BW178" i="23917"/>
  <c r="BY241" i="24142"/>
  <c r="BY177" i="23917"/>
  <c r="BY242" i="24142"/>
  <c r="BY178" i="23917"/>
  <c r="CC241" i="24142"/>
  <c r="CC177" i="23917"/>
  <c r="CC242" i="24142"/>
  <c r="CC178" i="23917"/>
  <c r="K142" i="23917"/>
  <c r="K112" i="23917"/>
  <c r="AA142" i="23917"/>
  <c r="AA112" i="23917"/>
  <c r="AI112" i="23917"/>
  <c r="AQ142" i="23917"/>
  <c r="AQ112" i="23917"/>
  <c r="K174" i="24142"/>
  <c r="K111" i="23917"/>
  <c r="M176" i="24142"/>
  <c r="M113" i="23917"/>
  <c r="O174" i="24142"/>
  <c r="O111" i="23917"/>
  <c r="Q176" i="24142"/>
  <c r="Q113" i="23917"/>
  <c r="S174" i="24142"/>
  <c r="S111" i="23917"/>
  <c r="U176" i="24142"/>
  <c r="U113" i="23917"/>
  <c r="W174" i="24142"/>
  <c r="W111" i="23917"/>
  <c r="Y176" i="24142"/>
  <c r="Y113" i="23917"/>
  <c r="AA174" i="24142"/>
  <c r="AA111" i="23917"/>
  <c r="AC176" i="24142"/>
  <c r="AC113" i="23917"/>
  <c r="AE174" i="24142"/>
  <c r="AE111" i="23917"/>
  <c r="AG176" i="24142"/>
  <c r="AG113" i="23917"/>
  <c r="AI174" i="24142"/>
  <c r="AI111" i="23917"/>
  <c r="AK176" i="24142"/>
  <c r="AK113" i="23917"/>
  <c r="AM174" i="24142"/>
  <c r="AM111" i="23917"/>
  <c r="AO176" i="24142"/>
  <c r="AO113" i="23917"/>
  <c r="AQ174" i="24142"/>
  <c r="AQ111" i="23917"/>
  <c r="AS176" i="24142"/>
  <c r="AS113" i="23917"/>
  <c r="AU174" i="24142"/>
  <c r="AU111" i="23917"/>
  <c r="AW176" i="24142"/>
  <c r="AW113" i="23917"/>
  <c r="BQ176" i="24142"/>
  <c r="BQ113" i="23917"/>
  <c r="BS174" i="24142"/>
  <c r="BS111" i="23917"/>
  <c r="BU176" i="24142"/>
  <c r="BU113" i="23917"/>
  <c r="BW174" i="24142"/>
  <c r="BW111" i="23917"/>
  <c r="BY176" i="24142"/>
  <c r="BY113" i="23917"/>
  <c r="CC174" i="24142"/>
  <c r="CC111" i="23917"/>
  <c r="CC182" i="24142"/>
  <c r="CC119" i="23917"/>
  <c r="BQ182" i="24142"/>
  <c r="BS182" i="24142"/>
  <c r="BS119" i="23917"/>
  <c r="BW182" i="24142"/>
  <c r="BW119" i="23917"/>
  <c r="AS187" i="24142"/>
  <c r="AS124" i="23917"/>
  <c r="CC187" i="24142"/>
  <c r="CC124" i="23917"/>
  <c r="M187" i="24142"/>
  <c r="M124" i="23917"/>
  <c r="Q187" i="24142"/>
  <c r="Q124" i="23917"/>
  <c r="U187" i="24142"/>
  <c r="U124" i="23917"/>
  <c r="Y187" i="24142"/>
  <c r="Y124" i="23917"/>
  <c r="AC187" i="24142"/>
  <c r="AC124" i="23917"/>
  <c r="AG187" i="24142"/>
  <c r="AG124" i="23917"/>
  <c r="AK187" i="24142"/>
  <c r="AK124" i="23917"/>
  <c r="AO187" i="24142"/>
  <c r="AO124" i="23917"/>
  <c r="BQ187" i="24142"/>
  <c r="BQ124" i="23917"/>
  <c r="BU187" i="24142"/>
  <c r="BU124" i="23917"/>
  <c r="BY187" i="24142"/>
  <c r="BY124" i="23917"/>
  <c r="CA290" i="24142"/>
  <c r="CD290" i="24142"/>
  <c r="CH34" i="24142"/>
  <c r="CH43" i="23917"/>
  <c r="BQ61" i="24142"/>
  <c r="BQ70" i="23917"/>
  <c r="BQ71" i="23917"/>
  <c r="BQ28" i="23917"/>
  <c r="BU61" i="24142"/>
  <c r="BU70" i="23917"/>
  <c r="BY61" i="24142"/>
  <c r="BY70" i="23917"/>
  <c r="BU39" i="23917"/>
  <c r="CB247" i="23917"/>
  <c r="CF102" i="24142"/>
  <c r="CF198" i="23917"/>
  <c r="O103" i="24142"/>
  <c r="O199" i="23917"/>
  <c r="O104" i="24142"/>
  <c r="O200" i="23917"/>
  <c r="Q103" i="24142"/>
  <c r="Q199" i="23917"/>
  <c r="Q104" i="24142"/>
  <c r="Q200" i="23917"/>
  <c r="W103" i="24142"/>
  <c r="W199" i="23917"/>
  <c r="W104" i="24142"/>
  <c r="W200" i="23917"/>
  <c r="Y103" i="24142"/>
  <c r="Y199" i="23917"/>
  <c r="Y104" i="24142"/>
  <c r="Y200" i="23917"/>
  <c r="AE103" i="24142"/>
  <c r="AE199" i="23917"/>
  <c r="AE104" i="24142"/>
  <c r="AE200" i="23917"/>
  <c r="AG103" i="24142"/>
  <c r="AG199" i="23917"/>
  <c r="AG104" i="24142"/>
  <c r="AG200" i="23917"/>
  <c r="AM103" i="24142"/>
  <c r="AM199" i="23917"/>
  <c r="AM104" i="24142"/>
  <c r="AM200" i="23917"/>
  <c r="AO103" i="24142"/>
  <c r="AO199" i="23917"/>
  <c r="AO104" i="24142"/>
  <c r="AO200" i="23917"/>
  <c r="AU103" i="24142"/>
  <c r="AU199" i="23917"/>
  <c r="AU104" i="24142"/>
  <c r="AU200" i="23917"/>
  <c r="AW103" i="24142"/>
  <c r="AW199" i="23917"/>
  <c r="AW104" i="24142"/>
  <c r="AW200" i="23917"/>
  <c r="BW107" i="24142"/>
  <c r="BW203" i="23917"/>
  <c r="CE266" i="24142"/>
  <c r="BS61" i="24142"/>
  <c r="BS70" i="23917"/>
  <c r="BW61" i="24142"/>
  <c r="BW70" i="23917"/>
  <c r="CC61" i="24142"/>
  <c r="CC70" i="23917"/>
  <c r="CC71" i="23917"/>
  <c r="CC28" i="23917"/>
  <c r="CH272" i="23917"/>
  <c r="CI272" i="23917"/>
  <c r="O108" i="24142"/>
  <c r="O204" i="23917"/>
  <c r="U107" i="24142"/>
  <c r="U203" i="23917"/>
  <c r="W108" i="24142"/>
  <c r="W204" i="23917"/>
  <c r="AA204" i="23917"/>
  <c r="AE108" i="24142"/>
  <c r="AE204" i="23917"/>
  <c r="AK107" i="24142"/>
  <c r="AK203" i="23917"/>
  <c r="AM108" i="24142"/>
  <c r="AM204" i="23917"/>
  <c r="K138" i="24142"/>
  <c r="AA289" i="23917"/>
  <c r="AA138" i="24142"/>
  <c r="O290" i="23917"/>
  <c r="O139" i="24142"/>
  <c r="Y290" i="23917"/>
  <c r="Y139" i="24142"/>
  <c r="AE290" i="23917"/>
  <c r="AE139" i="24142"/>
  <c r="AO290" i="23917"/>
  <c r="AO139" i="24142"/>
  <c r="AW290" i="23917"/>
  <c r="AW139" i="24142"/>
  <c r="BQ290" i="23917"/>
  <c r="BQ139" i="24142"/>
  <c r="BS290" i="23917"/>
  <c r="BS139" i="24142"/>
  <c r="BU290" i="23917"/>
  <c r="BU139" i="24142"/>
  <c r="BW290" i="23917"/>
  <c r="BW139" i="24142"/>
  <c r="BY290" i="23917"/>
  <c r="BY139" i="24142"/>
  <c r="CC290" i="23917"/>
  <c r="CC139" i="24142"/>
  <c r="CC244" i="24142"/>
  <c r="CC180" i="23917"/>
  <c r="CJ249" i="24142"/>
  <c r="CJ183" i="23917"/>
  <c r="CD488" i="24142"/>
  <c r="CD555" i="23917"/>
  <c r="M111" i="23917"/>
  <c r="Q111" i="23917"/>
  <c r="U111" i="23917"/>
  <c r="Y111" i="23917"/>
  <c r="AC111" i="23917"/>
  <c r="AG111" i="23917"/>
  <c r="AK111" i="23917"/>
  <c r="AO111" i="23917"/>
  <c r="AS111" i="23917"/>
  <c r="AW111" i="23917"/>
  <c r="BQ111" i="23917"/>
  <c r="BU111" i="23917"/>
  <c r="BY111" i="23917"/>
  <c r="K113" i="23917"/>
  <c r="O113" i="23917"/>
  <c r="S113" i="23917"/>
  <c r="W113" i="23917"/>
  <c r="AA113" i="23917"/>
  <c r="AE113" i="23917"/>
  <c r="AI113" i="23917"/>
  <c r="AM113" i="23917"/>
  <c r="AQ113" i="23917"/>
  <c r="AU113" i="23917"/>
  <c r="BS113" i="23917"/>
  <c r="BW113" i="23917"/>
  <c r="CC113" i="23917"/>
  <c r="BQ179" i="23917"/>
  <c r="BS179" i="23917"/>
  <c r="BU179" i="23917"/>
  <c r="BW179" i="23917"/>
  <c r="BY179" i="23917"/>
  <c r="CC179" i="23917"/>
  <c r="BQ180" i="23917"/>
  <c r="BS180" i="23917"/>
  <c r="BU180" i="23917"/>
  <c r="BW180" i="23917"/>
  <c r="CD272" i="23917"/>
  <c r="CE272" i="23917"/>
  <c r="CL272" i="23917"/>
  <c r="CM272" i="23917"/>
  <c r="M107" i="24142"/>
  <c r="M203" i="23917"/>
  <c r="Q107" i="24142"/>
  <c r="Q203" i="23917"/>
  <c r="S108" i="24142"/>
  <c r="Y107" i="24142"/>
  <c r="Y203" i="23917"/>
  <c r="AC107" i="24142"/>
  <c r="AC203" i="23917"/>
  <c r="AG107" i="24142"/>
  <c r="AG203" i="23917"/>
  <c r="AO107" i="24142"/>
  <c r="AO203" i="23917"/>
  <c r="AS107" i="24142"/>
  <c r="AS203" i="23917"/>
  <c r="BW125" i="24142"/>
  <c r="BW227" i="23917"/>
  <c r="S289" i="23917"/>
  <c r="S138" i="24142"/>
  <c r="AQ289" i="23917"/>
  <c r="S290" i="23917"/>
  <c r="S139" i="24142"/>
  <c r="U290" i="23917"/>
  <c r="U139" i="24142"/>
  <c r="AI290" i="23917"/>
  <c r="AI139" i="24142"/>
  <c r="AK290" i="23917"/>
  <c r="AK139" i="24142"/>
  <c r="AS290" i="23917"/>
  <c r="AS139" i="24142"/>
  <c r="BY244" i="24142"/>
  <c r="BY180" i="23917"/>
  <c r="CB249" i="24142"/>
  <c r="CC249" i="24142"/>
  <c r="CB183" i="23917"/>
  <c r="CF249" i="24142"/>
  <c r="CG249" i="24142"/>
  <c r="CF183" i="23917"/>
  <c r="CQ272" i="23917"/>
  <c r="CB272" i="23917"/>
  <c r="CC272" i="23917"/>
  <c r="CF272" i="23917"/>
  <c r="CG272" i="23917"/>
  <c r="CJ272" i="23917"/>
  <c r="CK272" i="23917"/>
  <c r="AU204" i="23917"/>
  <c r="AW108" i="24142"/>
  <c r="AW204" i="23917"/>
  <c r="BQ108" i="24142"/>
  <c r="BQ204" i="23917"/>
  <c r="BU108" i="24142"/>
  <c r="BU204" i="23917"/>
  <c r="BW204" i="23917"/>
  <c r="BY108" i="24142"/>
  <c r="BY204" i="23917"/>
  <c r="CD249" i="24142"/>
  <c r="CD183" i="23917"/>
  <c r="CE249" i="24142"/>
  <c r="CH249" i="24142"/>
  <c r="CH183" i="23917"/>
  <c r="CI249" i="24142"/>
  <c r="CL249" i="24142"/>
  <c r="CL183" i="23917"/>
  <c r="CM249" i="24142"/>
  <c r="BQ270" i="24142"/>
  <c r="BQ335" i="23917"/>
  <c r="BY270" i="24142"/>
  <c r="BY335" i="23917"/>
  <c r="CD356" i="23917"/>
  <c r="BQ25" i="23917"/>
  <c r="BQ22" i="24142"/>
  <c r="BS25" i="23917"/>
  <c r="BS22" i="24142"/>
  <c r="BW25" i="23917"/>
  <c r="BW22" i="24142"/>
  <c r="CC25" i="23917"/>
  <c r="CC22" i="24142"/>
  <c r="BS33" i="24142"/>
  <c r="BS39" i="23917"/>
  <c r="BY33" i="24142"/>
  <c r="BY39" i="23917"/>
  <c r="CC33" i="24142"/>
  <c r="CC39" i="23917"/>
  <c r="CE43" i="23917"/>
  <c r="CD43" i="23917"/>
  <c r="BQ48" i="24142"/>
  <c r="BQ57" i="23917"/>
  <c r="BY48" i="24142"/>
  <c r="BY57" i="23917"/>
  <c r="BQ25" i="24142"/>
  <c r="BQ62" i="24142"/>
  <c r="BU25" i="24142"/>
  <c r="BU28" i="23917"/>
  <c r="BU62" i="24142"/>
  <c r="BY25" i="24142"/>
  <c r="BY62" i="24142"/>
  <c r="BY28" i="23917"/>
  <c r="BW39" i="23917"/>
  <c r="BU57" i="23917"/>
  <c r="CF144" i="24142"/>
  <c r="O124" i="23917"/>
  <c r="S124" i="23917"/>
  <c r="W124" i="23917"/>
  <c r="AA124" i="23917"/>
  <c r="AE124" i="23917"/>
  <c r="AI124" i="23917"/>
  <c r="AM124" i="23917"/>
  <c r="AQ124" i="23917"/>
  <c r="AW124" i="23917"/>
  <c r="BS124" i="23917"/>
  <c r="BW124" i="23917"/>
  <c r="CB198" i="23917"/>
  <c r="CJ198" i="23917"/>
  <c r="BS199" i="23917"/>
  <c r="BU199" i="23917"/>
  <c r="BS200" i="23917"/>
  <c r="BU200" i="23917"/>
  <c r="AU203" i="23917"/>
  <c r="BS203" i="23917"/>
  <c r="CC203" i="23917"/>
  <c r="CA227" i="23917"/>
  <c r="BM241" i="23917"/>
  <c r="AQ245" i="23917"/>
  <c r="CD271" i="23917"/>
  <c r="CE271" i="23917"/>
  <c r="CL271" i="23917"/>
  <c r="CM271" i="23917"/>
  <c r="BQ102" i="24142"/>
  <c r="CD102" i="24142"/>
  <c r="CL102" i="24142"/>
  <c r="Q101" i="24142"/>
  <c r="Q197" i="23917"/>
  <c r="W102" i="24142"/>
  <c r="W198" i="23917"/>
  <c r="Y101" i="24142"/>
  <c r="Y197" i="23917"/>
  <c r="AA101" i="24142"/>
  <c r="AA197" i="23917"/>
  <c r="AG101" i="24142"/>
  <c r="AG197" i="23917"/>
  <c r="AI101" i="24142"/>
  <c r="AI197" i="23917"/>
  <c r="AU102" i="24142"/>
  <c r="AU198" i="23917"/>
  <c r="AW101" i="24142"/>
  <c r="AW197" i="23917"/>
  <c r="BS102" i="24142"/>
  <c r="BS198" i="23917"/>
  <c r="BU101" i="24142"/>
  <c r="BU197" i="23917"/>
  <c r="CD108" i="24142"/>
  <c r="CD204" i="23917"/>
  <c r="CH108" i="24142"/>
  <c r="CH204" i="23917"/>
  <c r="BQ109" i="24142"/>
  <c r="CJ111" i="24142"/>
  <c r="CJ207" i="23917"/>
  <c r="S109" i="24142"/>
  <c r="S205" i="23917"/>
  <c r="AA109" i="24142"/>
  <c r="AA205" i="23917"/>
  <c r="M109" i="24142"/>
  <c r="Y109" i="24142"/>
  <c r="Y205" i="23917"/>
  <c r="AK109" i="24142"/>
  <c r="AK205" i="23917"/>
  <c r="AO109" i="24142"/>
  <c r="AO205" i="23917"/>
  <c r="AS109" i="24142"/>
  <c r="BQ228" i="24142"/>
  <c r="BQ168" i="23917"/>
  <c r="BS229" i="24142"/>
  <c r="BS167" i="23917"/>
  <c r="BU228" i="24142"/>
  <c r="BU168" i="23917"/>
  <c r="BW229" i="24142"/>
  <c r="BW167" i="23917"/>
  <c r="BY228" i="24142"/>
  <c r="BY168" i="23917"/>
  <c r="CC229" i="24142"/>
  <c r="CC167" i="23917"/>
  <c r="CC228" i="24142"/>
  <c r="CC168" i="23917"/>
  <c r="CF235" i="24142"/>
  <c r="CF171" i="23917"/>
  <c r="CO235" i="24142"/>
  <c r="CF181" i="24142"/>
  <c r="CJ181" i="24142"/>
  <c r="BS184" i="24142"/>
  <c r="BS121" i="23917"/>
  <c r="BW184" i="24142"/>
  <c r="BW121" i="23917"/>
  <c r="CC184" i="24142"/>
  <c r="CC121" i="23917"/>
  <c r="BQ263" i="24142"/>
  <c r="BQ328" i="23917"/>
  <c r="BS264" i="24142"/>
  <c r="BS329" i="23917"/>
  <c r="BU265" i="24142"/>
  <c r="BU330" i="23917"/>
  <c r="BY263" i="24142"/>
  <c r="BY328" i="23917"/>
  <c r="CC264" i="24142"/>
  <c r="CC329" i="23917"/>
  <c r="CB266" i="24142"/>
  <c r="CB331" i="23917"/>
  <c r="CH266" i="24142"/>
  <c r="CH331" i="23917"/>
  <c r="CL286" i="24142"/>
  <c r="BY18" i="24142"/>
  <c r="BY18" i="23917"/>
  <c r="CG21" i="23917"/>
  <c r="CF21" i="23917"/>
  <c r="BS57" i="23917"/>
  <c r="CC57" i="23917"/>
  <c r="CF118" i="23917"/>
  <c r="CJ118" i="23917"/>
  <c r="CD198" i="23917"/>
  <c r="CL198" i="23917"/>
  <c r="CB271" i="23917"/>
  <c r="CC271" i="23917"/>
  <c r="CF271" i="23917"/>
  <c r="CG271" i="23917"/>
  <c r="CJ271" i="23917"/>
  <c r="CK271" i="23917"/>
  <c r="CB108" i="24142"/>
  <c r="CB204" i="23917"/>
  <c r="CF108" i="24142"/>
  <c r="CF204" i="23917"/>
  <c r="CO204" i="23917"/>
  <c r="CJ108" i="24142"/>
  <c r="CJ204" i="23917"/>
  <c r="M289" i="23917"/>
  <c r="M138" i="24142"/>
  <c r="U289" i="23917"/>
  <c r="U138" i="24142"/>
  <c r="AC289" i="23917"/>
  <c r="AC138" i="24142"/>
  <c r="AK289" i="23917"/>
  <c r="AK138" i="24142"/>
  <c r="CA291" i="23917"/>
  <c r="CA140" i="24142"/>
  <c r="CD140" i="24142"/>
  <c r="CD291" i="23917"/>
  <c r="CH140" i="24142"/>
  <c r="CH291" i="23917"/>
  <c r="CL140" i="24142"/>
  <c r="CL291" i="23917"/>
  <c r="K290" i="23917"/>
  <c r="K139" i="24142"/>
  <c r="M290" i="23917"/>
  <c r="M139" i="24142"/>
  <c r="M141" i="24142"/>
  <c r="M292" i="23917"/>
  <c r="Q290" i="23917"/>
  <c r="Q139" i="24142"/>
  <c r="Q141" i="24142"/>
  <c r="Q292" i="23917"/>
  <c r="S141" i="24142"/>
  <c r="S292" i="23917"/>
  <c r="W290" i="23917"/>
  <c r="W139" i="24142"/>
  <c r="W141" i="24142"/>
  <c r="W292" i="23917"/>
  <c r="AA290" i="23917"/>
  <c r="AA139" i="24142"/>
  <c r="AC290" i="23917"/>
  <c r="AC139" i="24142"/>
  <c r="AC141" i="24142"/>
  <c r="AC292" i="23917"/>
  <c r="AG290" i="23917"/>
  <c r="AG139" i="24142"/>
  <c r="AG141" i="24142"/>
  <c r="AG292" i="23917"/>
  <c r="AI141" i="24142"/>
  <c r="AI292" i="23917"/>
  <c r="AM290" i="23917"/>
  <c r="AM139" i="24142"/>
  <c r="AM141" i="24142"/>
  <c r="AM292" i="23917"/>
  <c r="AQ290" i="23917"/>
  <c r="AQ139" i="24142"/>
  <c r="AQ141" i="24142"/>
  <c r="AQ292" i="23917"/>
  <c r="AU290" i="23917"/>
  <c r="AU139" i="24142"/>
  <c r="AU141" i="24142"/>
  <c r="AU292" i="23917"/>
  <c r="BQ289" i="23917"/>
  <c r="BQ138" i="24142"/>
  <c r="BS289" i="23917"/>
  <c r="BS138" i="24142"/>
  <c r="BU289" i="23917"/>
  <c r="BU138" i="24142"/>
  <c r="BW289" i="23917"/>
  <c r="BW138" i="24142"/>
  <c r="BY289" i="23917"/>
  <c r="BY138" i="24142"/>
  <c r="CC289" i="23917"/>
  <c r="CC138" i="24142"/>
  <c r="BQ295" i="23917"/>
  <c r="BU144" i="24142"/>
  <c r="BU295" i="23917"/>
  <c r="CA144" i="24142"/>
  <c r="CA295" i="23917"/>
  <c r="CD144" i="24142"/>
  <c r="CH144" i="24142"/>
  <c r="CL144" i="24142"/>
  <c r="BQ296" i="23917"/>
  <c r="BS145" i="24142"/>
  <c r="BS296" i="23917"/>
  <c r="BW145" i="24142"/>
  <c r="BW296" i="23917"/>
  <c r="BY296" i="23917"/>
  <c r="CC145" i="24142"/>
  <c r="CC296" i="23917"/>
  <c r="CD235" i="24142"/>
  <c r="CD171" i="23917"/>
  <c r="CH235" i="24142"/>
  <c r="CH171" i="23917"/>
  <c r="CL235" i="24142"/>
  <c r="CL171" i="23917"/>
  <c r="BQ249" i="24142"/>
  <c r="BQ183" i="23917"/>
  <c r="BU183" i="23917"/>
  <c r="BY249" i="24142"/>
  <c r="BY183" i="23917"/>
  <c r="CA249" i="24142"/>
  <c r="CA183" i="23917"/>
  <c r="CC183" i="23917"/>
  <c r="K204" i="24142"/>
  <c r="K175" i="24142"/>
  <c r="S204" i="24142"/>
  <c r="AA204" i="24142"/>
  <c r="AA175" i="24142"/>
  <c r="AQ204" i="24142"/>
  <c r="AQ175" i="24142"/>
  <c r="CC204" i="24142"/>
  <c r="BQ208" i="24142"/>
  <c r="BQ146" i="23917"/>
  <c r="BS208" i="24142"/>
  <c r="BS146" i="23917"/>
  <c r="BU208" i="24142"/>
  <c r="BU146" i="23917"/>
  <c r="BW208" i="24142"/>
  <c r="BW146" i="23917"/>
  <c r="BY208" i="24142"/>
  <c r="BY146" i="23917"/>
  <c r="CC208" i="24142"/>
  <c r="CC146" i="23917"/>
  <c r="BQ210" i="24142"/>
  <c r="BU210" i="24142"/>
  <c r="BY210" i="24142"/>
  <c r="CA210" i="24142"/>
  <c r="CA148" i="23917"/>
  <c r="CD210" i="24142"/>
  <c r="CH210" i="24142"/>
  <c r="CL210" i="24142"/>
  <c r="CO181" i="24142"/>
  <c r="CA181" i="24142"/>
  <c r="CA118" i="23917"/>
  <c r="CJ266" i="24142"/>
  <c r="CJ331" i="23917"/>
  <c r="BS269" i="24142"/>
  <c r="BS334" i="23917"/>
  <c r="BW269" i="24142"/>
  <c r="BW334" i="23917"/>
  <c r="CC269" i="24142"/>
  <c r="CC334" i="23917"/>
  <c r="CG270" i="24142"/>
  <c r="CG335" i="23917"/>
  <c r="BS272" i="24142"/>
  <c r="BS337" i="23917"/>
  <c r="CF338" i="23917"/>
  <c r="CH273" i="24142"/>
  <c r="S276" i="24142"/>
  <c r="S341" i="23917"/>
  <c r="U276" i="24142"/>
  <c r="U341" i="23917"/>
  <c r="W276" i="24142"/>
  <c r="W341" i="23917"/>
  <c r="Y276" i="24142"/>
  <c r="Y341" i="23917"/>
  <c r="AA276" i="24142"/>
  <c r="AA341" i="23917"/>
  <c r="AC276" i="24142"/>
  <c r="AC341" i="23917"/>
  <c r="AE276" i="24142"/>
  <c r="AE341" i="23917"/>
  <c r="AG276" i="24142"/>
  <c r="AG341" i="23917"/>
  <c r="AI276" i="24142"/>
  <c r="AI341" i="23917"/>
  <c r="AK276" i="24142"/>
  <c r="AK341" i="23917"/>
  <c r="AM276" i="24142"/>
  <c r="AM341" i="23917"/>
  <c r="AO276" i="24142"/>
  <c r="AO341" i="23917"/>
  <c r="AQ276" i="24142"/>
  <c r="AQ341" i="23917"/>
  <c r="AS276" i="24142"/>
  <c r="AS341" i="23917"/>
  <c r="AU276" i="24142"/>
  <c r="AU341" i="23917"/>
  <c r="AW276" i="24142"/>
  <c r="AW341" i="23917"/>
  <c r="BQ276" i="24142"/>
  <c r="BQ341" i="23917"/>
  <c r="BS276" i="24142"/>
  <c r="BS341" i="23917"/>
  <c r="BU276" i="24142"/>
  <c r="BU341" i="23917"/>
  <c r="BW276" i="24142"/>
  <c r="BW341" i="23917"/>
  <c r="BY276" i="24142"/>
  <c r="BY341" i="23917"/>
  <c r="CC276" i="24142"/>
  <c r="CC341" i="23917"/>
  <c r="I302" i="24142"/>
  <c r="I368" i="23917"/>
  <c r="K302" i="24142"/>
  <c r="K368" i="23917"/>
  <c r="K305" i="24142"/>
  <c r="I312" i="24142"/>
  <c r="I378" i="23917"/>
  <c r="I309" i="24142"/>
  <c r="I375" i="23917"/>
  <c r="I313" i="24142"/>
  <c r="I379" i="23917"/>
  <c r="K310" i="24142"/>
  <c r="K376" i="23917"/>
  <c r="K313" i="24142"/>
  <c r="K379" i="23917"/>
  <c r="I314" i="24142"/>
  <c r="I380" i="23917"/>
  <c r="CA481" i="24142"/>
  <c r="CA547" i="23917"/>
  <c r="CD481" i="24142"/>
  <c r="CD547" i="23917"/>
  <c r="CH481" i="24142"/>
  <c r="CH547" i="23917"/>
  <c r="CL481" i="24142"/>
  <c r="CL547" i="23917"/>
  <c r="BQ482" i="24142"/>
  <c r="BQ548" i="23917"/>
  <c r="BS483" i="24142"/>
  <c r="BS549" i="23917"/>
  <c r="BU483" i="24142"/>
  <c r="BU549" i="23917"/>
  <c r="BW482" i="24142"/>
  <c r="BW548" i="23917"/>
  <c r="BY482" i="24142"/>
  <c r="BY548" i="23917"/>
  <c r="CC482" i="24142"/>
  <c r="CC548" i="23917"/>
  <c r="BQ487" i="24142"/>
  <c r="BQ553" i="23917"/>
  <c r="BY487" i="24142"/>
  <c r="BY553" i="23917"/>
  <c r="CA555" i="23917"/>
  <c r="BQ486" i="24142"/>
  <c r="BQ552" i="23917"/>
  <c r="BU486" i="24142"/>
  <c r="BU552" i="23917"/>
  <c r="BY486" i="24142"/>
  <c r="BY552" i="23917"/>
  <c r="BQ491" i="24142"/>
  <c r="BQ558" i="23917"/>
  <c r="BS491" i="24142"/>
  <c r="BS558" i="23917"/>
  <c r="BU491" i="24142"/>
  <c r="BU558" i="23917"/>
  <c r="BW491" i="24142"/>
  <c r="BW558" i="23917"/>
  <c r="BY491" i="24142"/>
  <c r="BY558" i="23917"/>
  <c r="CC491" i="24142"/>
  <c r="CC558" i="23917"/>
  <c r="BS25" i="24142"/>
  <c r="BS62" i="24142"/>
  <c r="BW25" i="24142"/>
  <c r="BW62" i="24142"/>
  <c r="CC25" i="24142"/>
  <c r="CC62" i="24142"/>
  <c r="BS28" i="23917"/>
  <c r="BW28" i="23917"/>
  <c r="BQ39" i="23917"/>
  <c r="CF43" i="23917"/>
  <c r="AU124" i="23917"/>
  <c r="CD148" i="23917"/>
  <c r="CH148" i="23917"/>
  <c r="CL148" i="23917"/>
  <c r="K199" i="23917"/>
  <c r="M199" i="23917"/>
  <c r="S199" i="23917"/>
  <c r="U199" i="23917"/>
  <c r="AA199" i="23917"/>
  <c r="AC199" i="23917"/>
  <c r="AI199" i="23917"/>
  <c r="AK199" i="23917"/>
  <c r="AQ199" i="23917"/>
  <c r="AS199" i="23917"/>
  <c r="BQ199" i="23917"/>
  <c r="BW199" i="23917"/>
  <c r="BY199" i="23917"/>
  <c r="CC199" i="23917"/>
  <c r="K200" i="23917"/>
  <c r="M200" i="23917"/>
  <c r="S200" i="23917"/>
  <c r="U200" i="23917"/>
  <c r="AA200" i="23917"/>
  <c r="AC200" i="23917"/>
  <c r="AI200" i="23917"/>
  <c r="AK200" i="23917"/>
  <c r="AQ200" i="23917"/>
  <c r="AS200" i="23917"/>
  <c r="BQ200" i="23917"/>
  <c r="BW200" i="23917"/>
  <c r="BY200" i="23917"/>
  <c r="CC200" i="23917"/>
  <c r="K203" i="23917"/>
  <c r="O203" i="23917"/>
  <c r="S203" i="23917"/>
  <c r="W203" i="23917"/>
  <c r="AA203" i="23917"/>
  <c r="AE203" i="23917"/>
  <c r="AI203" i="23917"/>
  <c r="AM203" i="23917"/>
  <c r="AQ203" i="23917"/>
  <c r="AW203" i="23917"/>
  <c r="BQ203" i="23917"/>
  <c r="BU203" i="23917"/>
  <c r="BY203" i="23917"/>
  <c r="BQ210" i="23917"/>
  <c r="BS210" i="23917"/>
  <c r="BU210" i="23917"/>
  <c r="BW210" i="23917"/>
  <c r="BY210" i="23917"/>
  <c r="CC210" i="23917"/>
  <c r="AS245" i="23917"/>
  <c r="CA269" i="23917"/>
  <c r="CD295" i="23917"/>
  <c r="CL295" i="23917"/>
  <c r="K302" i="23917"/>
  <c r="O302" i="23917"/>
  <c r="S302" i="23917"/>
  <c r="W302" i="23917"/>
  <c r="AA302" i="23917"/>
  <c r="AE302" i="23917"/>
  <c r="AI302" i="23917"/>
  <c r="AM302" i="23917"/>
  <c r="AQ302" i="23917"/>
  <c r="AU302" i="23917"/>
  <c r="BQ302" i="23917"/>
  <c r="BU302" i="23917"/>
  <c r="BY302" i="23917"/>
  <c r="CC302" i="23917"/>
  <c r="CM331" i="23917"/>
  <c r="CL352" i="23917"/>
  <c r="CG547" i="23917"/>
  <c r="CB270" i="23917"/>
  <c r="CC270" i="23917"/>
  <c r="CH271" i="23917"/>
  <c r="CI271" i="23917"/>
  <c r="BU102" i="24142"/>
  <c r="BU198" i="23917"/>
  <c r="CA102" i="24142"/>
  <c r="CA198" i="23917"/>
  <c r="O102" i="24142"/>
  <c r="O198" i="23917"/>
  <c r="AE102" i="24142"/>
  <c r="AE198" i="23917"/>
  <c r="AM102" i="24142"/>
  <c r="AM198" i="23917"/>
  <c r="AO101" i="24142"/>
  <c r="AO197" i="23917"/>
  <c r="AQ101" i="24142"/>
  <c r="AQ197" i="23917"/>
  <c r="BW101" i="24142"/>
  <c r="BW197" i="23917"/>
  <c r="AW109" i="24142"/>
  <c r="AW205" i="23917"/>
  <c r="BU109" i="24142"/>
  <c r="BU205" i="23917"/>
  <c r="CB111" i="24142"/>
  <c r="CB207" i="23917"/>
  <c r="K109" i="24142"/>
  <c r="K205" i="23917"/>
  <c r="AI109" i="24142"/>
  <c r="AI205" i="23917"/>
  <c r="Q109" i="24142"/>
  <c r="Q205" i="23917"/>
  <c r="U109" i="24142"/>
  <c r="U205" i="23917"/>
  <c r="AG109" i="24142"/>
  <c r="AG205" i="23917"/>
  <c r="BQ229" i="24142"/>
  <c r="BQ167" i="23917"/>
  <c r="BS228" i="24142"/>
  <c r="BS168" i="23917"/>
  <c r="BU229" i="24142"/>
  <c r="BU167" i="23917"/>
  <c r="BW228" i="24142"/>
  <c r="BW168" i="23917"/>
  <c r="BY229" i="24142"/>
  <c r="BY167" i="23917"/>
  <c r="CB235" i="24142"/>
  <c r="CB171" i="23917"/>
  <c r="CJ235" i="24142"/>
  <c r="CJ171" i="23917"/>
  <c r="CH181" i="24142"/>
  <c r="CL181" i="24142"/>
  <c r="BQ184" i="24142"/>
  <c r="BQ121" i="23917"/>
  <c r="BU184" i="24142"/>
  <c r="BU121" i="23917"/>
  <c r="BY184" i="24142"/>
  <c r="BY121" i="23917"/>
  <c r="BQ265" i="24142"/>
  <c r="BQ330" i="23917"/>
  <c r="BU263" i="24142"/>
  <c r="BU328" i="23917"/>
  <c r="BW264" i="24142"/>
  <c r="BW329" i="23917"/>
  <c r="BY265" i="24142"/>
  <c r="BY330" i="23917"/>
  <c r="CE331" i="23917"/>
  <c r="BQ18" i="24142"/>
  <c r="BQ18" i="23917"/>
  <c r="BU18" i="24142"/>
  <c r="BU18" i="23917"/>
  <c r="CC43" i="23917"/>
  <c r="CB34" i="24142"/>
  <c r="BW57" i="23917"/>
  <c r="CH198" i="23917"/>
  <c r="M302" i="23917"/>
  <c r="Q302" i="23917"/>
  <c r="U302" i="23917"/>
  <c r="Y302" i="23917"/>
  <c r="AC302" i="23917"/>
  <c r="AG302" i="23917"/>
  <c r="AK302" i="23917"/>
  <c r="AO302" i="23917"/>
  <c r="AS302" i="23917"/>
  <c r="AW302" i="23917"/>
  <c r="BS302" i="23917"/>
  <c r="BW302" i="23917"/>
  <c r="BU22" i="24142"/>
  <c r="BY22" i="24142"/>
  <c r="CA108" i="24142"/>
  <c r="CL125" i="24142"/>
  <c r="CB140" i="24142"/>
  <c r="CB291" i="23917"/>
  <c r="CF140" i="24142"/>
  <c r="CF291" i="23917"/>
  <c r="CJ140" i="24142"/>
  <c r="CJ291" i="23917"/>
  <c r="K141" i="24142"/>
  <c r="K292" i="23917"/>
  <c r="O141" i="24142"/>
  <c r="O292" i="23917"/>
  <c r="U141" i="24142"/>
  <c r="U292" i="23917"/>
  <c r="Y141" i="24142"/>
  <c r="Y292" i="23917"/>
  <c r="AA141" i="24142"/>
  <c r="AA292" i="23917"/>
  <c r="AE141" i="24142"/>
  <c r="AE292" i="23917"/>
  <c r="AK141" i="24142"/>
  <c r="AK292" i="23917"/>
  <c r="AO141" i="24142"/>
  <c r="AO292" i="23917"/>
  <c r="AS141" i="24142"/>
  <c r="AS292" i="23917"/>
  <c r="AW141" i="24142"/>
  <c r="AW292" i="23917"/>
  <c r="BQ141" i="24142"/>
  <c r="BQ292" i="23917"/>
  <c r="BS141" i="24142"/>
  <c r="BS292" i="23917"/>
  <c r="BU141" i="24142"/>
  <c r="BU292" i="23917"/>
  <c r="BW141" i="24142"/>
  <c r="BW292" i="23917"/>
  <c r="BY141" i="24142"/>
  <c r="BY292" i="23917"/>
  <c r="CC141" i="24142"/>
  <c r="CC292" i="23917"/>
  <c r="CB144" i="24142"/>
  <c r="CJ144" i="24142"/>
  <c r="CB210" i="24142"/>
  <c r="CF210" i="24142"/>
  <c r="CJ210" i="24142"/>
  <c r="CB181" i="24142"/>
  <c r="CD181" i="24142"/>
  <c r="BS263" i="24142"/>
  <c r="BS328" i="23917"/>
  <c r="BS265" i="24142"/>
  <c r="BS330" i="23917"/>
  <c r="BW263" i="24142"/>
  <c r="BW328" i="23917"/>
  <c r="BW265" i="24142"/>
  <c r="BW330" i="23917"/>
  <c r="CC263" i="24142"/>
  <c r="CC328" i="23917"/>
  <c r="CC265" i="24142"/>
  <c r="CC330" i="23917"/>
  <c r="CA266" i="24142"/>
  <c r="CD266" i="24142"/>
  <c r="CD331" i="23917"/>
  <c r="CF266" i="24142"/>
  <c r="CF331" i="23917"/>
  <c r="BQ269" i="24142"/>
  <c r="BQ334" i="23917"/>
  <c r="BU269" i="24142"/>
  <c r="BU334" i="23917"/>
  <c r="BY269" i="24142"/>
  <c r="BY334" i="23917"/>
  <c r="CB270" i="24142"/>
  <c r="CF270" i="24142"/>
  <c r="CF335" i="23917"/>
  <c r="CJ270" i="24142"/>
  <c r="CJ335" i="23917"/>
  <c r="CO270" i="24142"/>
  <c r="BW272" i="24142"/>
  <c r="BW337" i="23917"/>
  <c r="CB273" i="24142"/>
  <c r="BW338" i="23917"/>
  <c r="CD273" i="24142"/>
  <c r="CL273" i="24142"/>
  <c r="K276" i="24142"/>
  <c r="K341" i="23917"/>
  <c r="M276" i="24142"/>
  <c r="M341" i="23917"/>
  <c r="O276" i="24142"/>
  <c r="O341" i="23917"/>
  <c r="Q276" i="24142"/>
  <c r="Q341" i="23917"/>
  <c r="I305" i="24142"/>
  <c r="I371" i="23917"/>
  <c r="K309" i="24142"/>
  <c r="K375" i="23917"/>
  <c r="CB481" i="24142"/>
  <c r="CB547" i="23917"/>
  <c r="CF481" i="24142"/>
  <c r="CF547" i="23917"/>
  <c r="CJ481" i="24142"/>
  <c r="CJ547" i="23917"/>
  <c r="BQ483" i="24142"/>
  <c r="BQ549" i="23917"/>
  <c r="BS482" i="24142"/>
  <c r="BS548" i="23917"/>
  <c r="BU482" i="24142"/>
  <c r="BU548" i="23917"/>
  <c r="BW483" i="24142"/>
  <c r="BW549" i="23917"/>
  <c r="BY483" i="24142"/>
  <c r="BY549" i="23917"/>
  <c r="CC483" i="24142"/>
  <c r="CC549" i="23917"/>
  <c r="CK21" i="23917"/>
  <c r="CO21" i="23917"/>
  <c r="CS21" i="23917"/>
  <c r="CG43" i="23917"/>
  <c r="BS18" i="23917"/>
  <c r="BW18" i="23917"/>
  <c r="CC18" i="23917"/>
  <c r="CB21" i="23917"/>
  <c r="CJ21" i="23917"/>
  <c r="BQ117" i="23917"/>
  <c r="BS117" i="23917"/>
  <c r="BU117" i="23917"/>
  <c r="BW117" i="23917"/>
  <c r="BY117" i="23917"/>
  <c r="CC117" i="23917"/>
  <c r="BQ147" i="23917"/>
  <c r="BS147" i="23917"/>
  <c r="BU147" i="23917"/>
  <c r="BW147" i="23917"/>
  <c r="BY147" i="23917"/>
  <c r="CC147" i="23917"/>
  <c r="BW148" i="23917"/>
  <c r="BQ165" i="23917"/>
  <c r="BS165" i="23917"/>
  <c r="BU165" i="23917"/>
  <c r="BW165" i="23917"/>
  <c r="BY165" i="23917"/>
  <c r="CC165" i="23917"/>
  <c r="M197" i="23917"/>
  <c r="O197" i="23917"/>
  <c r="U197" i="23917"/>
  <c r="W197" i="23917"/>
  <c r="AC197" i="23917"/>
  <c r="AE197" i="23917"/>
  <c r="AK197" i="23917"/>
  <c r="AM197" i="23917"/>
  <c r="AS197" i="23917"/>
  <c r="AU197" i="23917"/>
  <c r="BQ197" i="23917"/>
  <c r="BS197" i="23917"/>
  <c r="BY197" i="23917"/>
  <c r="CC197" i="23917"/>
  <c r="AI198" i="23917"/>
  <c r="BW198" i="23917"/>
  <c r="O205" i="23917"/>
  <c r="AE205" i="23917"/>
  <c r="AU205" i="23917"/>
  <c r="BW205" i="23917"/>
  <c r="CC205" i="23917"/>
  <c r="M206" i="23917"/>
  <c r="U206" i="23917"/>
  <c r="AC206" i="23917"/>
  <c r="AS206" i="23917"/>
  <c r="CL227" i="23917"/>
  <c r="CB262" i="23917"/>
  <c r="CB295" i="23917"/>
  <c r="CF295" i="23917"/>
  <c r="CJ295" i="23917"/>
  <c r="BQ329" i="23917"/>
  <c r="BU329" i="23917"/>
  <c r="BY329" i="23917"/>
  <c r="BS331" i="23917"/>
  <c r="CA331" i="23917"/>
  <c r="BQ336" i="23917"/>
  <c r="BY336" i="23917"/>
  <c r="CC336" i="23917"/>
  <c r="CB338" i="23917"/>
  <c r="CJ338" i="23917"/>
  <c r="I370" i="23917"/>
  <c r="K370" i="23917"/>
  <c r="I376" i="23917"/>
  <c r="K378" i="23917"/>
  <c r="I383" i="23917"/>
  <c r="K383" i="23917"/>
  <c r="BW547" i="23917"/>
  <c r="BS552" i="23917"/>
  <c r="BW552" i="23917"/>
  <c r="CC552" i="23917"/>
  <c r="CC553" i="23917"/>
  <c r="CD34" i="24142"/>
  <c r="EG356" i="23917"/>
  <c r="EE290" i="24142"/>
  <c r="EE356" i="23917"/>
  <c r="CN247" i="23917"/>
  <c r="CQ259" i="23917"/>
  <c r="CN262" i="23917"/>
  <c r="CO269" i="23917"/>
  <c r="CO271" i="23917"/>
  <c r="CO272" i="23917"/>
  <c r="CO101" i="24142"/>
  <c r="CO197" i="23917"/>
  <c r="CO104" i="24142"/>
  <c r="CO200" i="23917"/>
  <c r="CN125" i="24142"/>
  <c r="CN227" i="23917"/>
  <c r="CO107" i="24142"/>
  <c r="CO203" i="23917"/>
  <c r="CN144" i="24142"/>
  <c r="CN295" i="23917"/>
  <c r="EA227" i="24142"/>
  <c r="EA165" i="23917"/>
  <c r="CO171" i="23917"/>
  <c r="CO241" i="24142"/>
  <c r="CO177" i="23917"/>
  <c r="CO209" i="24142"/>
  <c r="CO147" i="23917"/>
  <c r="CO263" i="24142"/>
  <c r="CO328" i="23917"/>
  <c r="CP264" i="24142"/>
  <c r="CP329" i="23917"/>
  <c r="CO269" i="24142"/>
  <c r="CO334" i="23917"/>
  <c r="CP271" i="24142"/>
  <c r="CN481" i="24142"/>
  <c r="CN547" i="23917"/>
  <c r="CN487" i="24142"/>
  <c r="CN553" i="23917"/>
  <c r="CO18" i="23917"/>
  <c r="EA18" i="23917"/>
  <c r="EA41" i="23917"/>
  <c r="CO111" i="23917"/>
  <c r="CO117" i="23917"/>
  <c r="CO121" i="23917"/>
  <c r="CT259" i="23917"/>
  <c r="CN102" i="24142"/>
  <c r="CN198" i="23917"/>
  <c r="CN108" i="24142"/>
  <c r="CN204" i="23917"/>
  <c r="CO114" i="24142"/>
  <c r="CO210" i="23917"/>
  <c r="CO141" i="24142"/>
  <c r="CO292" i="23917"/>
  <c r="CO145" i="24142"/>
  <c r="CO296" i="23917"/>
  <c r="CO151" i="24142"/>
  <c r="CO302" i="23917"/>
  <c r="CO228" i="24142"/>
  <c r="CO168" i="23917"/>
  <c r="EB230" i="24142"/>
  <c r="EA230" i="24142"/>
  <c r="EA241" i="24142"/>
  <c r="EA177" i="23917"/>
  <c r="CO243" i="24142"/>
  <c r="CO179" i="23917"/>
  <c r="CN249" i="24142"/>
  <c r="CN183" i="23917"/>
  <c r="CP182" i="24142"/>
  <c r="CN181" i="24142"/>
  <c r="CP263" i="24142"/>
  <c r="CP328" i="23917"/>
  <c r="CO265" i="24142"/>
  <c r="CO330" i="23917"/>
  <c r="CO276" i="24142"/>
  <c r="CO341" i="23917"/>
  <c r="CP481" i="24142"/>
  <c r="CP547" i="23917"/>
  <c r="CO482" i="24142"/>
  <c r="CO548" i="23917"/>
  <c r="CO483" i="24142"/>
  <c r="CO549" i="23917"/>
  <c r="CP486" i="24142"/>
  <c r="CP552" i="23917"/>
  <c r="CO491" i="24142"/>
  <c r="CO558" i="23917"/>
  <c r="EA22" i="24142"/>
  <c r="CO3" i="23917"/>
  <c r="CO506" i="23917" s="1"/>
  <c r="CR40" i="23917"/>
  <c r="EA42" i="23917"/>
  <c r="CO57" i="23917"/>
  <c r="CO70" i="23917"/>
  <c r="CO124" i="23917"/>
  <c r="CP254" i="23917"/>
  <c r="CO103" i="24142"/>
  <c r="CO199" i="23917"/>
  <c r="CO108" i="24142"/>
  <c r="CO138" i="24142"/>
  <c r="CO289" i="23917"/>
  <c r="CN140" i="24142"/>
  <c r="CN291" i="23917"/>
  <c r="CP145" i="24142"/>
  <c r="CP296" i="23917"/>
  <c r="CO227" i="24142"/>
  <c r="CO165" i="23917"/>
  <c r="CO242" i="24142"/>
  <c r="CO178" i="23917"/>
  <c r="CP246" i="24142"/>
  <c r="CN210" i="24142"/>
  <c r="CN148" i="23917"/>
  <c r="CP265" i="24142"/>
  <c r="CP330" i="23917"/>
  <c r="EA482" i="24142"/>
  <c r="CO486" i="24142"/>
  <c r="CO552" i="23917"/>
  <c r="CP48" i="24142"/>
  <c r="CN21" i="23917"/>
  <c r="CO25" i="23917"/>
  <c r="CO39" i="23917"/>
  <c r="CP57" i="23917"/>
  <c r="CO113" i="23917"/>
  <c r="CO139" i="24142"/>
  <c r="CO290" i="23917"/>
  <c r="CO229" i="24142"/>
  <c r="CO167" i="23917"/>
  <c r="CN235" i="24142"/>
  <c r="CN171" i="23917"/>
  <c r="CO244" i="24142"/>
  <c r="CO180" i="23917"/>
  <c r="CO175" i="24142"/>
  <c r="CO208" i="24142"/>
  <c r="CO146" i="23917"/>
  <c r="CO264" i="24142"/>
  <c r="CO329" i="23917"/>
  <c r="CN266" i="24142"/>
  <c r="CN331" i="23917"/>
  <c r="CN270" i="24142"/>
  <c r="CN335" i="23917"/>
  <c r="CO271" i="24142"/>
  <c r="CN272" i="24142"/>
  <c r="CN337" i="23917"/>
  <c r="EA554" i="23917"/>
  <c r="EA25" i="23917"/>
  <c r="CP40" i="23917"/>
  <c r="CP119" i="23917"/>
  <c r="CO28" i="23917"/>
  <c r="CO62" i="24142"/>
  <c r="CO25" i="24142"/>
  <c r="M403" i="24142"/>
  <c r="Q258" i="24142"/>
  <c r="Y378" i="24142"/>
  <c r="AK297" i="24142"/>
  <c r="AW258" i="24142"/>
  <c r="BE378" i="24142"/>
  <c r="BI133" i="24142"/>
  <c r="BM133" i="24142"/>
  <c r="BU339" i="24142"/>
  <c r="BY403" i="24142"/>
  <c r="CC440" i="24142"/>
  <c r="CC403" i="24142"/>
  <c r="CC339" i="24142"/>
  <c r="CC221" i="24142"/>
  <c r="CC169" i="24142"/>
  <c r="CC96" i="24142"/>
  <c r="CG403" i="24142"/>
  <c r="CG133" i="24142"/>
  <c r="CK440" i="24142"/>
  <c r="CK476" i="24142"/>
  <c r="CK339" i="24142"/>
  <c r="CK221" i="24142"/>
  <c r="CK169" i="24142"/>
  <c r="CK96" i="24142"/>
  <c r="CO440" i="24142"/>
  <c r="CO403" i="24142"/>
  <c r="CO476" i="24142"/>
  <c r="CO378" i="24142"/>
  <c r="CO339" i="24142"/>
  <c r="CO297" i="24142"/>
  <c r="CO221" i="24142"/>
  <c r="CO258" i="24142"/>
  <c r="CO169" i="24142"/>
  <c r="CO133" i="24142"/>
  <c r="CO96" i="24142"/>
  <c r="CS221" i="24142"/>
  <c r="DJ440" i="24142"/>
  <c r="DJ169" i="24142"/>
  <c r="DR403" i="24142"/>
  <c r="DR96" i="24142"/>
  <c r="DZ339" i="24142"/>
  <c r="D442" i="24142"/>
  <c r="D405" i="24142"/>
  <c r="D478" i="24142"/>
  <c r="D380" i="24142"/>
  <c r="D341" i="24142"/>
  <c r="D299" i="24142"/>
  <c r="D223" i="24142"/>
  <c r="D260" i="24142"/>
  <c r="D171" i="24142"/>
  <c r="D135" i="24142"/>
  <c r="D98" i="24142"/>
  <c r="H442" i="24142"/>
  <c r="H405" i="24142"/>
  <c r="H478" i="24142"/>
  <c r="H380" i="24142"/>
  <c r="H341" i="24142"/>
  <c r="H299" i="24142"/>
  <c r="H223" i="24142"/>
  <c r="H260" i="24142"/>
  <c r="H171" i="24142"/>
  <c r="H135" i="24142"/>
  <c r="H98" i="24142"/>
  <c r="L442" i="24142"/>
  <c r="L405" i="24142"/>
  <c r="L478" i="24142"/>
  <c r="L380" i="24142"/>
  <c r="L341" i="24142"/>
  <c r="L299" i="24142"/>
  <c r="L223" i="24142"/>
  <c r="L260" i="24142"/>
  <c r="L171" i="24142"/>
  <c r="L135" i="24142"/>
  <c r="L98" i="24142"/>
  <c r="P442" i="24142"/>
  <c r="P478" i="24142"/>
  <c r="P405" i="24142"/>
  <c r="P380" i="24142"/>
  <c r="P341" i="24142"/>
  <c r="P299" i="24142"/>
  <c r="P223" i="24142"/>
  <c r="P260" i="24142"/>
  <c r="P171" i="24142"/>
  <c r="P135" i="24142"/>
  <c r="P98" i="24142"/>
  <c r="T442" i="24142"/>
  <c r="T405" i="24142"/>
  <c r="T478" i="24142"/>
  <c r="T380" i="24142"/>
  <c r="T341" i="24142"/>
  <c r="T299" i="24142"/>
  <c r="T223" i="24142"/>
  <c r="T260" i="24142"/>
  <c r="T171" i="24142"/>
  <c r="T135" i="24142"/>
  <c r="T98" i="24142"/>
  <c r="X442" i="24142"/>
  <c r="X405" i="24142"/>
  <c r="X478" i="24142"/>
  <c r="X380" i="24142"/>
  <c r="X341" i="24142"/>
  <c r="X299" i="24142"/>
  <c r="X223" i="24142"/>
  <c r="X260" i="24142"/>
  <c r="X171" i="24142"/>
  <c r="X135" i="24142"/>
  <c r="X98" i="24142"/>
  <c r="AB442" i="24142"/>
  <c r="AB405" i="24142"/>
  <c r="AB478" i="24142"/>
  <c r="AB380" i="24142"/>
  <c r="AB341" i="24142"/>
  <c r="AB299" i="24142"/>
  <c r="AB223" i="24142"/>
  <c r="AB260" i="24142"/>
  <c r="AB171" i="24142"/>
  <c r="AB135" i="24142"/>
  <c r="AB98" i="24142"/>
  <c r="AF442" i="24142"/>
  <c r="AF478" i="24142"/>
  <c r="AF405" i="24142"/>
  <c r="AF380" i="24142"/>
  <c r="AF341" i="24142"/>
  <c r="AF299" i="24142"/>
  <c r="AF223" i="24142"/>
  <c r="AF260" i="24142"/>
  <c r="AF171" i="24142"/>
  <c r="AF135" i="24142"/>
  <c r="AF98" i="24142"/>
  <c r="AJ442" i="24142"/>
  <c r="AJ405" i="24142"/>
  <c r="AJ478" i="24142"/>
  <c r="AJ380" i="24142"/>
  <c r="AJ341" i="24142"/>
  <c r="AJ299" i="24142"/>
  <c r="AJ223" i="24142"/>
  <c r="AJ260" i="24142"/>
  <c r="AJ171" i="24142"/>
  <c r="AJ135" i="24142"/>
  <c r="AJ98" i="24142"/>
  <c r="AN442" i="24142"/>
  <c r="AN405" i="24142"/>
  <c r="AN478" i="24142"/>
  <c r="AN380" i="24142"/>
  <c r="AN341" i="24142"/>
  <c r="AN299" i="24142"/>
  <c r="AN223" i="24142"/>
  <c r="AN260" i="24142"/>
  <c r="AN171" i="24142"/>
  <c r="AN135" i="24142"/>
  <c r="AN98" i="24142"/>
  <c r="AR442" i="24142"/>
  <c r="AR405" i="24142"/>
  <c r="AR478" i="24142"/>
  <c r="AR380" i="24142"/>
  <c r="AR341" i="24142"/>
  <c r="AR299" i="24142"/>
  <c r="AR223" i="24142"/>
  <c r="AR260" i="24142"/>
  <c r="AR171" i="24142"/>
  <c r="AR135" i="24142"/>
  <c r="AR98" i="24142"/>
  <c r="AV442" i="24142"/>
  <c r="AV478" i="24142"/>
  <c r="AV405" i="24142"/>
  <c r="AV380" i="24142"/>
  <c r="AV341" i="24142"/>
  <c r="AV299" i="24142"/>
  <c r="AV223" i="24142"/>
  <c r="AV260" i="24142"/>
  <c r="AV171" i="24142"/>
  <c r="AV135" i="24142"/>
  <c r="AV98" i="24142"/>
  <c r="AZ442" i="24142"/>
  <c r="AZ405" i="24142"/>
  <c r="AZ478" i="24142"/>
  <c r="AZ380" i="24142"/>
  <c r="AZ341" i="24142"/>
  <c r="AZ299" i="24142"/>
  <c r="AZ223" i="24142"/>
  <c r="AZ260" i="24142"/>
  <c r="AZ171" i="24142"/>
  <c r="AZ135" i="24142"/>
  <c r="AZ98" i="24142"/>
  <c r="BD405" i="24142"/>
  <c r="BD478" i="24142"/>
  <c r="BD442" i="24142"/>
  <c r="BD380" i="24142"/>
  <c r="BD341" i="24142"/>
  <c r="BD299" i="24142"/>
  <c r="BD223" i="24142"/>
  <c r="BD260" i="24142"/>
  <c r="BD171" i="24142"/>
  <c r="BD135" i="24142"/>
  <c r="BD98" i="24142"/>
  <c r="BH442" i="24142"/>
  <c r="BH405" i="24142"/>
  <c r="BH478" i="24142"/>
  <c r="BH380" i="24142"/>
  <c r="BH341" i="24142"/>
  <c r="BH299" i="24142"/>
  <c r="BH223" i="24142"/>
  <c r="BH260" i="24142"/>
  <c r="BH171" i="24142"/>
  <c r="BH135" i="24142"/>
  <c r="BH98" i="24142"/>
  <c r="BL442" i="24142"/>
  <c r="BL478" i="24142"/>
  <c r="BL405" i="24142"/>
  <c r="BL380" i="24142"/>
  <c r="BL341" i="24142"/>
  <c r="BL299" i="24142"/>
  <c r="BL223" i="24142"/>
  <c r="BL260" i="24142"/>
  <c r="BL171" i="24142"/>
  <c r="BL135" i="24142"/>
  <c r="BL98" i="24142"/>
  <c r="BP442" i="24142"/>
  <c r="BP405" i="24142"/>
  <c r="BP478" i="24142"/>
  <c r="BP380" i="24142"/>
  <c r="BP341" i="24142"/>
  <c r="BP299" i="24142"/>
  <c r="BP223" i="24142"/>
  <c r="BP260" i="24142"/>
  <c r="BP171" i="24142"/>
  <c r="BP135" i="24142"/>
  <c r="BP98" i="24142"/>
  <c r="BT442" i="24142"/>
  <c r="BT405" i="24142"/>
  <c r="BT478" i="24142"/>
  <c r="BT380" i="24142"/>
  <c r="BT341" i="24142"/>
  <c r="BT299" i="24142"/>
  <c r="BT223" i="24142"/>
  <c r="BT260" i="24142"/>
  <c r="BT171" i="24142"/>
  <c r="BT135" i="24142"/>
  <c r="BT98" i="24142"/>
  <c r="BX442" i="24142"/>
  <c r="BX405" i="24142"/>
  <c r="BX478" i="24142"/>
  <c r="BX380" i="24142"/>
  <c r="BX341" i="24142"/>
  <c r="BX299" i="24142"/>
  <c r="BX223" i="24142"/>
  <c r="BX260" i="24142"/>
  <c r="BX171" i="24142"/>
  <c r="BX135" i="24142"/>
  <c r="BX98" i="24142"/>
  <c r="CB442" i="24142"/>
  <c r="CB478" i="24142"/>
  <c r="CB405" i="24142"/>
  <c r="CB380" i="24142"/>
  <c r="CB341" i="24142"/>
  <c r="CB299" i="24142"/>
  <c r="CB223" i="24142"/>
  <c r="CB260" i="24142"/>
  <c r="CB171" i="24142"/>
  <c r="CB135" i="24142"/>
  <c r="CB98" i="24142"/>
  <c r="CF442" i="24142"/>
  <c r="CF405" i="24142"/>
  <c r="CF478" i="24142"/>
  <c r="CF380" i="24142"/>
  <c r="CF341" i="24142"/>
  <c r="CF299" i="24142"/>
  <c r="CF223" i="24142"/>
  <c r="CF260" i="24142"/>
  <c r="CF171" i="24142"/>
  <c r="CF135" i="24142"/>
  <c r="CF98" i="24142"/>
  <c r="CJ442" i="24142"/>
  <c r="CJ405" i="24142"/>
  <c r="CJ478" i="24142"/>
  <c r="CJ380" i="24142"/>
  <c r="CJ341" i="24142"/>
  <c r="CJ299" i="24142"/>
  <c r="CJ223" i="24142"/>
  <c r="CJ260" i="24142"/>
  <c r="CJ171" i="24142"/>
  <c r="CJ135" i="24142"/>
  <c r="CJ98" i="24142"/>
  <c r="CN442" i="24142"/>
  <c r="CN405" i="24142"/>
  <c r="CN478" i="24142"/>
  <c r="CN380" i="24142"/>
  <c r="CN341" i="24142"/>
  <c r="CN299" i="24142"/>
  <c r="CN223" i="24142"/>
  <c r="CN260" i="24142"/>
  <c r="CN171" i="24142"/>
  <c r="CN135" i="24142"/>
  <c r="CN98" i="24142"/>
  <c r="CR442" i="24142"/>
  <c r="CR478" i="24142"/>
  <c r="CR405" i="24142"/>
  <c r="CR380" i="24142"/>
  <c r="CR341" i="24142"/>
  <c r="CR299" i="24142"/>
  <c r="CR223" i="24142"/>
  <c r="CR260" i="24142"/>
  <c r="CR171" i="24142"/>
  <c r="CR135" i="24142"/>
  <c r="CR98" i="24142"/>
  <c r="DE442" i="24142"/>
  <c r="DE405" i="24142"/>
  <c r="DE478" i="24142"/>
  <c r="DE380" i="24142"/>
  <c r="DE341" i="24142"/>
  <c r="DE299" i="24142"/>
  <c r="DE223" i="24142"/>
  <c r="DE260" i="24142"/>
  <c r="DE171" i="24142"/>
  <c r="DE135" i="24142"/>
  <c r="DE98" i="24142"/>
  <c r="DI442" i="24142"/>
  <c r="DI405" i="24142"/>
  <c r="DI478" i="24142"/>
  <c r="DI380" i="24142"/>
  <c r="DI341" i="24142"/>
  <c r="DI299" i="24142"/>
  <c r="DI223" i="24142"/>
  <c r="DI260" i="24142"/>
  <c r="DI171" i="24142"/>
  <c r="DI135" i="24142"/>
  <c r="DI98" i="24142"/>
  <c r="DM442" i="24142"/>
  <c r="DM405" i="24142"/>
  <c r="DM478" i="24142"/>
  <c r="DM380" i="24142"/>
  <c r="DM341" i="24142"/>
  <c r="DM299" i="24142"/>
  <c r="DM223" i="24142"/>
  <c r="DM260" i="24142"/>
  <c r="DM171" i="24142"/>
  <c r="DM135" i="24142"/>
  <c r="DM98" i="24142"/>
  <c r="DQ442" i="24142"/>
  <c r="DQ478" i="24142"/>
  <c r="DQ405" i="24142"/>
  <c r="DQ380" i="24142"/>
  <c r="DQ341" i="24142"/>
  <c r="DQ299" i="24142"/>
  <c r="DQ223" i="24142"/>
  <c r="DQ260" i="24142"/>
  <c r="DQ171" i="24142"/>
  <c r="DQ135" i="24142"/>
  <c r="DQ98" i="24142"/>
  <c r="DU442" i="24142"/>
  <c r="DU405" i="24142"/>
  <c r="DU478" i="24142"/>
  <c r="DU380" i="24142"/>
  <c r="DU341" i="24142"/>
  <c r="DU299" i="24142"/>
  <c r="DU223" i="24142"/>
  <c r="DU260" i="24142"/>
  <c r="DU171" i="24142"/>
  <c r="DU135" i="24142"/>
  <c r="DU98" i="24142"/>
  <c r="DY442" i="24142"/>
  <c r="DY405" i="24142"/>
  <c r="DY478" i="24142"/>
  <c r="DY380" i="24142"/>
  <c r="DY341" i="24142"/>
  <c r="DY299" i="24142"/>
  <c r="DY223" i="24142"/>
  <c r="DY260" i="24142"/>
  <c r="DY171" i="24142"/>
  <c r="DY135" i="24142"/>
  <c r="DY98" i="24142"/>
  <c r="EG442" i="24142"/>
  <c r="EG478" i="24142"/>
  <c r="EG405" i="24142"/>
  <c r="EG380" i="24142"/>
  <c r="EG341" i="24142"/>
  <c r="EG299" i="24142"/>
  <c r="EG223" i="24142"/>
  <c r="EG260" i="24142"/>
  <c r="EG171" i="24142"/>
  <c r="EG135" i="24142"/>
  <c r="EG98" i="24142"/>
  <c r="EM442" i="24142"/>
  <c r="EM405" i="24142"/>
  <c r="EM478" i="24142"/>
  <c r="EM380" i="24142"/>
  <c r="EM341" i="24142"/>
  <c r="EM299" i="24142"/>
  <c r="EM223" i="24142"/>
  <c r="EM260" i="24142"/>
  <c r="EM171" i="24142"/>
  <c r="EM135" i="24142"/>
  <c r="EM98" i="24142"/>
  <c r="BM57" i="24142"/>
  <c r="S96" i="24142"/>
  <c r="AY96" i="24142"/>
  <c r="A438" i="24142"/>
  <c r="A474" i="24142"/>
  <c r="A401" i="24142"/>
  <c r="A376" i="24142"/>
  <c r="A337" i="24142"/>
  <c r="A295" i="24142"/>
  <c r="A256" i="24142"/>
  <c r="A219" i="24142"/>
  <c r="A167" i="24142"/>
  <c r="A131" i="24142"/>
  <c r="EM477" i="24142"/>
  <c r="EM441" i="24142"/>
  <c r="EM404" i="24142"/>
  <c r="EM379" i="24142"/>
  <c r="EM340" i="24142"/>
  <c r="EM298" i="24142"/>
  <c r="EM259" i="24142"/>
  <c r="EM222" i="24142"/>
  <c r="EM134" i="24142"/>
  <c r="EM97" i="24142"/>
  <c r="EM170" i="24142"/>
  <c r="E404" i="24142"/>
  <c r="I477" i="24142"/>
  <c r="I170" i="24142"/>
  <c r="M222" i="24142"/>
  <c r="Q340" i="24142"/>
  <c r="U404" i="24142"/>
  <c r="Y477" i="24142"/>
  <c r="Y170" i="24142"/>
  <c r="AC222" i="24142"/>
  <c r="AG340" i="24142"/>
  <c r="AK379" i="24142"/>
  <c r="AO477" i="24142"/>
  <c r="AO170" i="24142"/>
  <c r="AS222" i="24142"/>
  <c r="AW477" i="24142"/>
  <c r="AW340" i="24142"/>
  <c r="AW170" i="24142"/>
  <c r="BA379" i="24142"/>
  <c r="BA222" i="24142"/>
  <c r="BE477" i="24142"/>
  <c r="BE340" i="24142"/>
  <c r="BE170" i="24142"/>
  <c r="BI404" i="24142"/>
  <c r="BI222" i="24142"/>
  <c r="BM477" i="24142"/>
  <c r="BM340" i="24142"/>
  <c r="BM170" i="24142"/>
  <c r="BQ379" i="24142"/>
  <c r="BQ222" i="24142"/>
  <c r="BU477" i="24142"/>
  <c r="BU340" i="24142"/>
  <c r="BU170" i="24142"/>
  <c r="BY404" i="24142"/>
  <c r="BY222" i="24142"/>
  <c r="CC477" i="24142"/>
  <c r="CC340" i="24142"/>
  <c r="CC170" i="24142"/>
  <c r="CG379" i="24142"/>
  <c r="CG222" i="24142"/>
  <c r="CK477" i="24142"/>
  <c r="CK340" i="24142"/>
  <c r="CK170" i="24142"/>
  <c r="CO404" i="24142"/>
  <c r="CO222" i="24142"/>
  <c r="CS477" i="24142"/>
  <c r="CS340" i="24142"/>
  <c r="CS170" i="24142"/>
  <c r="DF379" i="24142"/>
  <c r="DF222" i="24142"/>
  <c r="DJ477" i="24142"/>
  <c r="DJ340" i="24142"/>
  <c r="DJ170" i="24142"/>
  <c r="DN404" i="24142"/>
  <c r="DN222" i="24142"/>
  <c r="DR477" i="24142"/>
  <c r="DR340" i="24142"/>
  <c r="DR170" i="24142"/>
  <c r="DV404" i="24142"/>
  <c r="DV222" i="24142"/>
  <c r="DV97" i="24142"/>
  <c r="DZ379" i="24142"/>
  <c r="DZ259" i="24142"/>
  <c r="EH134" i="24142"/>
  <c r="E478" i="24142"/>
  <c r="E442" i="24142"/>
  <c r="E405" i="24142"/>
  <c r="E380" i="24142"/>
  <c r="E341" i="24142"/>
  <c r="E299" i="24142"/>
  <c r="E223" i="24142"/>
  <c r="E260" i="24142"/>
  <c r="E171" i="24142"/>
  <c r="E135" i="24142"/>
  <c r="E98" i="24142"/>
  <c r="I478" i="24142"/>
  <c r="I442" i="24142"/>
  <c r="I405" i="24142"/>
  <c r="I380" i="24142"/>
  <c r="I341" i="24142"/>
  <c r="I299" i="24142"/>
  <c r="I223" i="24142"/>
  <c r="I260" i="24142"/>
  <c r="I171" i="24142"/>
  <c r="I135" i="24142"/>
  <c r="I98" i="24142"/>
  <c r="M478" i="24142"/>
  <c r="M442" i="24142"/>
  <c r="M405" i="24142"/>
  <c r="M380" i="24142"/>
  <c r="M341" i="24142"/>
  <c r="M299" i="24142"/>
  <c r="M223" i="24142"/>
  <c r="M260" i="24142"/>
  <c r="M135" i="24142"/>
  <c r="M98" i="24142"/>
  <c r="M171" i="24142"/>
  <c r="Q478" i="24142"/>
  <c r="Q442" i="24142"/>
  <c r="Q405" i="24142"/>
  <c r="Q380" i="24142"/>
  <c r="Q341" i="24142"/>
  <c r="Q299" i="24142"/>
  <c r="Q223" i="24142"/>
  <c r="Q260" i="24142"/>
  <c r="Q171" i="24142"/>
  <c r="Q135" i="24142"/>
  <c r="Q98" i="24142"/>
  <c r="U478" i="24142"/>
  <c r="U442" i="24142"/>
  <c r="U405" i="24142"/>
  <c r="U380" i="24142"/>
  <c r="U341" i="24142"/>
  <c r="U299" i="24142"/>
  <c r="U223" i="24142"/>
  <c r="U260" i="24142"/>
  <c r="U171" i="24142"/>
  <c r="U135" i="24142"/>
  <c r="U98" i="24142"/>
  <c r="Y478" i="24142"/>
  <c r="Y442" i="24142"/>
  <c r="Y405" i="24142"/>
  <c r="Y380" i="24142"/>
  <c r="Y341" i="24142"/>
  <c r="Y299" i="24142"/>
  <c r="Y223" i="24142"/>
  <c r="Y260" i="24142"/>
  <c r="Y171" i="24142"/>
  <c r="Y135" i="24142"/>
  <c r="Y98" i="24142"/>
  <c r="AC478" i="24142"/>
  <c r="AC442" i="24142"/>
  <c r="AC405" i="24142"/>
  <c r="AC380" i="24142"/>
  <c r="AC341" i="24142"/>
  <c r="AC299" i="24142"/>
  <c r="AC223" i="24142"/>
  <c r="AC260" i="24142"/>
  <c r="AC135" i="24142"/>
  <c r="AC98" i="24142"/>
  <c r="AC171" i="24142"/>
  <c r="AG478" i="24142"/>
  <c r="AG442" i="24142"/>
  <c r="AG405" i="24142"/>
  <c r="AG380" i="24142"/>
  <c r="AG341" i="24142"/>
  <c r="AG299" i="24142"/>
  <c r="AG223" i="24142"/>
  <c r="AG260" i="24142"/>
  <c r="AG171" i="24142"/>
  <c r="AG135" i="24142"/>
  <c r="AG98" i="24142"/>
  <c r="AK478" i="24142"/>
  <c r="AK442" i="24142"/>
  <c r="AK405" i="24142"/>
  <c r="AK380" i="24142"/>
  <c r="AK341" i="24142"/>
  <c r="AK299" i="24142"/>
  <c r="AK223" i="24142"/>
  <c r="AK260" i="24142"/>
  <c r="AK171" i="24142"/>
  <c r="AK135" i="24142"/>
  <c r="AK98" i="24142"/>
  <c r="AO478" i="24142"/>
  <c r="AO442" i="24142"/>
  <c r="AO405" i="24142"/>
  <c r="AO380" i="24142"/>
  <c r="AO341" i="24142"/>
  <c r="AO299" i="24142"/>
  <c r="AO223" i="24142"/>
  <c r="AO260" i="24142"/>
  <c r="AO171" i="24142"/>
  <c r="AO135" i="24142"/>
  <c r="AO98" i="24142"/>
  <c r="AS478" i="24142"/>
  <c r="AS442" i="24142"/>
  <c r="AS405" i="24142"/>
  <c r="AS380" i="24142"/>
  <c r="AS341" i="24142"/>
  <c r="AS299" i="24142"/>
  <c r="AS223" i="24142"/>
  <c r="AS260" i="24142"/>
  <c r="AS135" i="24142"/>
  <c r="AS98" i="24142"/>
  <c r="AS171" i="24142"/>
  <c r="AW478" i="24142"/>
  <c r="AW442" i="24142"/>
  <c r="AW405" i="24142"/>
  <c r="AW380" i="24142"/>
  <c r="AW341" i="24142"/>
  <c r="AW299" i="24142"/>
  <c r="AW223" i="24142"/>
  <c r="AW260" i="24142"/>
  <c r="AW171" i="24142"/>
  <c r="AW135" i="24142"/>
  <c r="AW98" i="24142"/>
  <c r="BA478" i="24142"/>
  <c r="BA442" i="24142"/>
  <c r="BA405" i="24142"/>
  <c r="BA380" i="24142"/>
  <c r="BA341" i="24142"/>
  <c r="BA299" i="24142"/>
  <c r="BA223" i="24142"/>
  <c r="BA260" i="24142"/>
  <c r="BA171" i="24142"/>
  <c r="BA135" i="24142"/>
  <c r="BA98" i="24142"/>
  <c r="BE478" i="24142"/>
  <c r="BE442" i="24142"/>
  <c r="BE405" i="24142"/>
  <c r="BE380" i="24142"/>
  <c r="BE341" i="24142"/>
  <c r="BE299" i="24142"/>
  <c r="BE223" i="24142"/>
  <c r="BE260" i="24142"/>
  <c r="BE171" i="24142"/>
  <c r="BE135" i="24142"/>
  <c r="BE98" i="24142"/>
  <c r="BI478" i="24142"/>
  <c r="BI442" i="24142"/>
  <c r="BI405" i="24142"/>
  <c r="BI380" i="24142"/>
  <c r="BI341" i="24142"/>
  <c r="BI299" i="24142"/>
  <c r="BI223" i="24142"/>
  <c r="BI260" i="24142"/>
  <c r="BI135" i="24142"/>
  <c r="BI98" i="24142"/>
  <c r="BI171" i="24142"/>
  <c r="BM478" i="24142"/>
  <c r="BM442" i="24142"/>
  <c r="BM405" i="24142"/>
  <c r="BM380" i="24142"/>
  <c r="BM341" i="24142"/>
  <c r="BM299" i="24142"/>
  <c r="BM223" i="24142"/>
  <c r="BM260" i="24142"/>
  <c r="BM171" i="24142"/>
  <c r="BM135" i="24142"/>
  <c r="BM98" i="24142"/>
  <c r="BQ478" i="24142"/>
  <c r="BQ442" i="24142"/>
  <c r="BQ405" i="24142"/>
  <c r="BQ380" i="24142"/>
  <c r="BQ341" i="24142"/>
  <c r="BQ299" i="24142"/>
  <c r="BQ223" i="24142"/>
  <c r="BQ260" i="24142"/>
  <c r="BQ171" i="24142"/>
  <c r="BQ135" i="24142"/>
  <c r="BQ98" i="24142"/>
  <c r="BU478" i="24142"/>
  <c r="BU442" i="24142"/>
  <c r="BU405" i="24142"/>
  <c r="BU380" i="24142"/>
  <c r="BU341" i="24142"/>
  <c r="BU299" i="24142"/>
  <c r="BU223" i="24142"/>
  <c r="BU260" i="24142"/>
  <c r="BU171" i="24142"/>
  <c r="BU135" i="24142"/>
  <c r="BU98" i="24142"/>
  <c r="BY478" i="24142"/>
  <c r="BY442" i="24142"/>
  <c r="BY405" i="24142"/>
  <c r="BY380" i="24142"/>
  <c r="BY341" i="24142"/>
  <c r="BY299" i="24142"/>
  <c r="BY223" i="24142"/>
  <c r="BY260" i="24142"/>
  <c r="BY135" i="24142"/>
  <c r="BY98" i="24142"/>
  <c r="BY171" i="24142"/>
  <c r="CC478" i="24142"/>
  <c r="CC442" i="24142"/>
  <c r="CC405" i="24142"/>
  <c r="CC380" i="24142"/>
  <c r="CC341" i="24142"/>
  <c r="CC299" i="24142"/>
  <c r="CC223" i="24142"/>
  <c r="CC260" i="24142"/>
  <c r="CC171" i="24142"/>
  <c r="CC135" i="24142"/>
  <c r="CC98" i="24142"/>
  <c r="CG478" i="24142"/>
  <c r="CG442" i="24142"/>
  <c r="CG405" i="24142"/>
  <c r="CG380" i="24142"/>
  <c r="CG341" i="24142"/>
  <c r="CG299" i="24142"/>
  <c r="CG223" i="24142"/>
  <c r="CG260" i="24142"/>
  <c r="CG171" i="24142"/>
  <c r="CG135" i="24142"/>
  <c r="CG98" i="24142"/>
  <c r="CK478" i="24142"/>
  <c r="CK442" i="24142"/>
  <c r="CK405" i="24142"/>
  <c r="CK380" i="24142"/>
  <c r="CK341" i="24142"/>
  <c r="CK299" i="24142"/>
  <c r="CK223" i="24142"/>
  <c r="CK260" i="24142"/>
  <c r="CK171" i="24142"/>
  <c r="CK135" i="24142"/>
  <c r="CK98" i="24142"/>
  <c r="CO478" i="24142"/>
  <c r="CO442" i="24142"/>
  <c r="CO405" i="24142"/>
  <c r="CO380" i="24142"/>
  <c r="CO341" i="24142"/>
  <c r="CO299" i="24142"/>
  <c r="CO223" i="24142"/>
  <c r="CO260" i="24142"/>
  <c r="CO135" i="24142"/>
  <c r="CO98" i="24142"/>
  <c r="CO171" i="24142"/>
  <c r="CS478" i="24142"/>
  <c r="CS442" i="24142"/>
  <c r="CS405" i="24142"/>
  <c r="CS380" i="24142"/>
  <c r="CS341" i="24142"/>
  <c r="CS299" i="24142"/>
  <c r="CS223" i="24142"/>
  <c r="CS260" i="24142"/>
  <c r="CS171" i="24142"/>
  <c r="CS135" i="24142"/>
  <c r="CS98" i="24142"/>
  <c r="DF478" i="24142"/>
  <c r="DF442" i="24142"/>
  <c r="DF405" i="24142"/>
  <c r="DF380" i="24142"/>
  <c r="DF341" i="24142"/>
  <c r="DF299" i="24142"/>
  <c r="DF223" i="24142"/>
  <c r="DF260" i="24142"/>
  <c r="DF171" i="24142"/>
  <c r="DF135" i="24142"/>
  <c r="DF98" i="24142"/>
  <c r="DJ478" i="24142"/>
  <c r="DJ442" i="24142"/>
  <c r="DJ405" i="24142"/>
  <c r="DJ380" i="24142"/>
  <c r="DJ341" i="24142"/>
  <c r="DJ299" i="24142"/>
  <c r="DJ223" i="24142"/>
  <c r="DJ260" i="24142"/>
  <c r="DJ171" i="24142"/>
  <c r="DJ135" i="24142"/>
  <c r="DJ98" i="24142"/>
  <c r="DN478" i="24142"/>
  <c r="DN442" i="24142"/>
  <c r="DN405" i="24142"/>
  <c r="DN380" i="24142"/>
  <c r="DN341" i="24142"/>
  <c r="DN299" i="24142"/>
  <c r="DN223" i="24142"/>
  <c r="DN260" i="24142"/>
  <c r="DN135" i="24142"/>
  <c r="DN98" i="24142"/>
  <c r="DN171" i="24142"/>
  <c r="DR478" i="24142"/>
  <c r="DR442" i="24142"/>
  <c r="DR405" i="24142"/>
  <c r="DR380" i="24142"/>
  <c r="DR341" i="24142"/>
  <c r="DR299" i="24142"/>
  <c r="DR223" i="24142"/>
  <c r="DR260" i="24142"/>
  <c r="DR171" i="24142"/>
  <c r="DR135" i="24142"/>
  <c r="DR98" i="24142"/>
  <c r="DV478" i="24142"/>
  <c r="DV442" i="24142"/>
  <c r="DV405" i="24142"/>
  <c r="DV380" i="24142"/>
  <c r="DV341" i="24142"/>
  <c r="DV299" i="24142"/>
  <c r="DV223" i="24142"/>
  <c r="DV260" i="24142"/>
  <c r="DV171" i="24142"/>
  <c r="DV135" i="24142"/>
  <c r="DV98" i="24142"/>
  <c r="DZ478" i="24142"/>
  <c r="DZ442" i="24142"/>
  <c r="DZ405" i="24142"/>
  <c r="DZ380" i="24142"/>
  <c r="DZ341" i="24142"/>
  <c r="DZ299" i="24142"/>
  <c r="DZ223" i="24142"/>
  <c r="DZ260" i="24142"/>
  <c r="DZ171" i="24142"/>
  <c r="DZ135" i="24142"/>
  <c r="DZ98" i="24142"/>
  <c r="EH478" i="24142"/>
  <c r="EH442" i="24142"/>
  <c r="EH405" i="24142"/>
  <c r="EH380" i="24142"/>
  <c r="EH341" i="24142"/>
  <c r="EH299" i="24142"/>
  <c r="EH223" i="24142"/>
  <c r="EH260" i="24142"/>
  <c r="EH171" i="24142"/>
  <c r="EH135" i="24142"/>
  <c r="EH98" i="24142"/>
  <c r="A54" i="24142"/>
  <c r="Y97" i="24142"/>
  <c r="EJ403" i="24142"/>
  <c r="G440" i="24142"/>
  <c r="G169" i="24142"/>
  <c r="K476" i="24142"/>
  <c r="K403" i="24142"/>
  <c r="K339" i="24142"/>
  <c r="K258" i="24142"/>
  <c r="K169" i="24142"/>
  <c r="O339" i="24142"/>
  <c r="S476" i="24142"/>
  <c r="S403" i="24142"/>
  <c r="S339" i="24142"/>
  <c r="S258" i="24142"/>
  <c r="S169" i="24142"/>
  <c r="W440" i="24142"/>
  <c r="W169" i="24142"/>
  <c r="AA476" i="24142"/>
  <c r="AA403" i="24142"/>
  <c r="AA339" i="24142"/>
  <c r="AA258" i="24142"/>
  <c r="AA169" i="24142"/>
  <c r="AE339" i="24142"/>
  <c r="AI476" i="24142"/>
  <c r="AI403" i="24142"/>
  <c r="AI339" i="24142"/>
  <c r="AI258" i="24142"/>
  <c r="AI169" i="24142"/>
  <c r="AM440" i="24142"/>
  <c r="AM169" i="24142"/>
  <c r="AQ476" i="24142"/>
  <c r="AQ339" i="24142"/>
  <c r="AQ403" i="24142"/>
  <c r="AQ258" i="24142"/>
  <c r="AQ169" i="24142"/>
  <c r="AU297" i="24142"/>
  <c r="AY476" i="24142"/>
  <c r="AY403" i="24142"/>
  <c r="AY339" i="24142"/>
  <c r="AY258" i="24142"/>
  <c r="AY169" i="24142"/>
  <c r="BC440" i="24142"/>
  <c r="BC169" i="24142"/>
  <c r="BG440" i="24142"/>
  <c r="BG339" i="24142"/>
  <c r="BG403" i="24142"/>
  <c r="BG221" i="24142"/>
  <c r="BG133" i="24142"/>
  <c r="BK403" i="24142"/>
  <c r="BK96" i="24142"/>
  <c r="BO440" i="24142"/>
  <c r="BO378" i="24142"/>
  <c r="BO297" i="24142"/>
  <c r="BO221" i="24142"/>
  <c r="BO133" i="24142"/>
  <c r="BS297" i="24142"/>
  <c r="BW440" i="24142"/>
  <c r="BW378" i="24142"/>
  <c r="BW297" i="24142"/>
  <c r="BW221" i="24142"/>
  <c r="BW133" i="24142"/>
  <c r="CA258" i="24142"/>
  <c r="CE378" i="24142"/>
  <c r="CE221" i="24142"/>
  <c r="CI440" i="24142"/>
  <c r="CM339" i="24142"/>
  <c r="CQ476" i="24142"/>
  <c r="CQ339" i="24142"/>
  <c r="CQ378" i="24142"/>
  <c r="CQ221" i="24142"/>
  <c r="CQ133" i="24142"/>
  <c r="DD258" i="24142"/>
  <c r="DH476" i="24142"/>
  <c r="DH339" i="24142"/>
  <c r="DH378" i="24142"/>
  <c r="DH258" i="24142"/>
  <c r="DH133" i="24142"/>
  <c r="DL476" i="24142"/>
  <c r="DL221" i="24142"/>
  <c r="DP476" i="24142"/>
  <c r="DP339" i="24142"/>
  <c r="DP378" i="24142"/>
  <c r="DP258" i="24142"/>
  <c r="DP133" i="24142"/>
  <c r="DT378" i="24142"/>
  <c r="DT96" i="24142"/>
  <c r="DX476" i="24142"/>
  <c r="DX403" i="24142"/>
  <c r="DX297" i="24142"/>
  <c r="DX258" i="24142"/>
  <c r="DX133" i="24142"/>
  <c r="EF476" i="24142"/>
  <c r="EF403" i="24142"/>
  <c r="EF297" i="24142"/>
  <c r="EF258" i="24142"/>
  <c r="EF133" i="24142"/>
  <c r="B478" i="24142"/>
  <c r="B442" i="24142"/>
  <c r="B380" i="24142"/>
  <c r="B405" i="24142"/>
  <c r="B341" i="24142"/>
  <c r="B299" i="24142"/>
  <c r="B171" i="24142"/>
  <c r="B260" i="24142"/>
  <c r="B223" i="24142"/>
  <c r="B135" i="24142"/>
  <c r="B98" i="24142"/>
  <c r="F442" i="24142"/>
  <c r="F478" i="24142"/>
  <c r="F380" i="24142"/>
  <c r="F405" i="24142"/>
  <c r="F341" i="24142"/>
  <c r="F299" i="24142"/>
  <c r="F171" i="24142"/>
  <c r="F260" i="24142"/>
  <c r="F223" i="24142"/>
  <c r="F135" i="24142"/>
  <c r="F98" i="24142"/>
  <c r="J478" i="24142"/>
  <c r="J442" i="24142"/>
  <c r="J380" i="24142"/>
  <c r="J405" i="24142"/>
  <c r="J341" i="24142"/>
  <c r="J299" i="24142"/>
  <c r="J171" i="24142"/>
  <c r="J260" i="24142"/>
  <c r="J223" i="24142"/>
  <c r="J135" i="24142"/>
  <c r="J98" i="24142"/>
  <c r="N442" i="24142"/>
  <c r="N478" i="24142"/>
  <c r="N380" i="24142"/>
  <c r="N405" i="24142"/>
  <c r="N341" i="24142"/>
  <c r="N299" i="24142"/>
  <c r="N171" i="24142"/>
  <c r="N260" i="24142"/>
  <c r="N223" i="24142"/>
  <c r="N135" i="24142"/>
  <c r="N98" i="24142"/>
  <c r="R478" i="24142"/>
  <c r="R442" i="24142"/>
  <c r="R405" i="24142"/>
  <c r="R380" i="24142"/>
  <c r="R341" i="24142"/>
  <c r="R299" i="24142"/>
  <c r="R171" i="24142"/>
  <c r="R260" i="24142"/>
  <c r="R223" i="24142"/>
  <c r="R135" i="24142"/>
  <c r="R98" i="24142"/>
  <c r="V442" i="24142"/>
  <c r="V478" i="24142"/>
  <c r="V405" i="24142"/>
  <c r="V380" i="24142"/>
  <c r="V341" i="24142"/>
  <c r="V299" i="24142"/>
  <c r="V171" i="24142"/>
  <c r="V260" i="24142"/>
  <c r="V223" i="24142"/>
  <c r="V135" i="24142"/>
  <c r="V98" i="24142"/>
  <c r="Z478" i="24142"/>
  <c r="Z442" i="24142"/>
  <c r="Z405" i="24142"/>
  <c r="Z380" i="24142"/>
  <c r="Z341" i="24142"/>
  <c r="Z299" i="24142"/>
  <c r="Z171" i="24142"/>
  <c r="Z260" i="24142"/>
  <c r="Z223" i="24142"/>
  <c r="Z135" i="24142"/>
  <c r="Z98" i="24142"/>
  <c r="AD442" i="24142"/>
  <c r="AD478" i="24142"/>
  <c r="AD405" i="24142"/>
  <c r="AD380" i="24142"/>
  <c r="AD341" i="24142"/>
  <c r="AD299" i="24142"/>
  <c r="AD171" i="24142"/>
  <c r="AD260" i="24142"/>
  <c r="AD223" i="24142"/>
  <c r="AD135" i="24142"/>
  <c r="AD98" i="24142"/>
  <c r="AH478" i="24142"/>
  <c r="AH442" i="24142"/>
  <c r="AH405" i="24142"/>
  <c r="AH380" i="24142"/>
  <c r="AH341" i="24142"/>
  <c r="AH299" i="24142"/>
  <c r="AH171" i="24142"/>
  <c r="AH260" i="24142"/>
  <c r="AH223" i="24142"/>
  <c r="AH135" i="24142"/>
  <c r="AH98" i="24142"/>
  <c r="AL442" i="24142"/>
  <c r="AL478" i="24142"/>
  <c r="AL405" i="24142"/>
  <c r="AL380" i="24142"/>
  <c r="AL341" i="24142"/>
  <c r="AL299" i="24142"/>
  <c r="AL171" i="24142"/>
  <c r="AL260" i="24142"/>
  <c r="AL223" i="24142"/>
  <c r="AL135" i="24142"/>
  <c r="AL98" i="24142"/>
  <c r="AP478" i="24142"/>
  <c r="AP442" i="24142"/>
  <c r="AP405" i="24142"/>
  <c r="AP380" i="24142"/>
  <c r="AP341" i="24142"/>
  <c r="AP299" i="24142"/>
  <c r="AP171" i="24142"/>
  <c r="AP260" i="24142"/>
  <c r="AP223" i="24142"/>
  <c r="AP135" i="24142"/>
  <c r="AP98" i="24142"/>
  <c r="AT442" i="24142"/>
  <c r="AT478" i="24142"/>
  <c r="AT405" i="24142"/>
  <c r="AT380" i="24142"/>
  <c r="AT341" i="24142"/>
  <c r="AT299" i="24142"/>
  <c r="AT171" i="24142"/>
  <c r="AT260" i="24142"/>
  <c r="AT223" i="24142"/>
  <c r="AT135" i="24142"/>
  <c r="AT98" i="24142"/>
  <c r="AX478" i="24142"/>
  <c r="AX442" i="24142"/>
  <c r="AX405" i="24142"/>
  <c r="AX380" i="24142"/>
  <c r="AX341" i="24142"/>
  <c r="AX299" i="24142"/>
  <c r="AX171" i="24142"/>
  <c r="AX260" i="24142"/>
  <c r="AX223" i="24142"/>
  <c r="AX135" i="24142"/>
  <c r="AX98" i="24142"/>
  <c r="BB442" i="24142"/>
  <c r="BB478" i="24142"/>
  <c r="BB405" i="24142"/>
  <c r="BB380" i="24142"/>
  <c r="BB341" i="24142"/>
  <c r="BB299" i="24142"/>
  <c r="BB171" i="24142"/>
  <c r="BB260" i="24142"/>
  <c r="BB223" i="24142"/>
  <c r="BB135" i="24142"/>
  <c r="BB98" i="24142"/>
  <c r="BF442" i="24142"/>
  <c r="BF478" i="24142"/>
  <c r="BF405" i="24142"/>
  <c r="BF380" i="24142"/>
  <c r="BF341" i="24142"/>
  <c r="BF299" i="24142"/>
  <c r="BF171" i="24142"/>
  <c r="BF260" i="24142"/>
  <c r="BF223" i="24142"/>
  <c r="BF135" i="24142"/>
  <c r="BF98" i="24142"/>
  <c r="BJ442" i="24142"/>
  <c r="BJ478" i="24142"/>
  <c r="BJ405" i="24142"/>
  <c r="BJ380" i="24142"/>
  <c r="BJ341" i="24142"/>
  <c r="BJ299" i="24142"/>
  <c r="BJ171" i="24142"/>
  <c r="BJ260" i="24142"/>
  <c r="BJ223" i="24142"/>
  <c r="BJ135" i="24142"/>
  <c r="BJ98" i="24142"/>
  <c r="BN442" i="24142"/>
  <c r="BN478" i="24142"/>
  <c r="BN405" i="24142"/>
  <c r="BN380" i="24142"/>
  <c r="BN341" i="24142"/>
  <c r="BN299" i="24142"/>
  <c r="BN171" i="24142"/>
  <c r="BN260" i="24142"/>
  <c r="BN223" i="24142"/>
  <c r="BN135" i="24142"/>
  <c r="BN98" i="24142"/>
  <c r="BR442" i="24142"/>
  <c r="BR478" i="24142"/>
  <c r="BR405" i="24142"/>
  <c r="BR380" i="24142"/>
  <c r="BR341" i="24142"/>
  <c r="BR299" i="24142"/>
  <c r="BR171" i="24142"/>
  <c r="BR260" i="24142"/>
  <c r="BR223" i="24142"/>
  <c r="BR135" i="24142"/>
  <c r="BR98" i="24142"/>
  <c r="BV442" i="24142"/>
  <c r="BV478" i="24142"/>
  <c r="BV405" i="24142"/>
  <c r="BV380" i="24142"/>
  <c r="BV341" i="24142"/>
  <c r="BV299" i="24142"/>
  <c r="BV171" i="24142"/>
  <c r="BV260" i="24142"/>
  <c r="BV223" i="24142"/>
  <c r="BV135" i="24142"/>
  <c r="BV98" i="24142"/>
  <c r="BZ442" i="24142"/>
  <c r="BZ478" i="24142"/>
  <c r="BZ405" i="24142"/>
  <c r="BZ380" i="24142"/>
  <c r="BZ341" i="24142"/>
  <c r="BZ299" i="24142"/>
  <c r="BZ171" i="24142"/>
  <c r="BZ260" i="24142"/>
  <c r="BZ223" i="24142"/>
  <c r="BZ135" i="24142"/>
  <c r="BZ98" i="24142"/>
  <c r="CD442" i="24142"/>
  <c r="CD478" i="24142"/>
  <c r="CD405" i="24142"/>
  <c r="CD380" i="24142"/>
  <c r="CD341" i="24142"/>
  <c r="CD299" i="24142"/>
  <c r="CD171" i="24142"/>
  <c r="CD260" i="24142"/>
  <c r="CD223" i="24142"/>
  <c r="CD135" i="24142"/>
  <c r="CD98" i="24142"/>
  <c r="CH442" i="24142"/>
  <c r="CH478" i="24142"/>
  <c r="CH405" i="24142"/>
  <c r="CH380" i="24142"/>
  <c r="CH341" i="24142"/>
  <c r="CH299" i="24142"/>
  <c r="CH171" i="24142"/>
  <c r="CH260" i="24142"/>
  <c r="CH223" i="24142"/>
  <c r="CH135" i="24142"/>
  <c r="CH98" i="24142"/>
  <c r="CL442" i="24142"/>
  <c r="CL478" i="24142"/>
  <c r="CL405" i="24142"/>
  <c r="CL380" i="24142"/>
  <c r="CL341" i="24142"/>
  <c r="CL299" i="24142"/>
  <c r="CL171" i="24142"/>
  <c r="CL260" i="24142"/>
  <c r="CL223" i="24142"/>
  <c r="CL135" i="24142"/>
  <c r="CL98" i="24142"/>
  <c r="CP442" i="24142"/>
  <c r="CP478" i="24142"/>
  <c r="CP405" i="24142"/>
  <c r="CP380" i="24142"/>
  <c r="CP341" i="24142"/>
  <c r="CP299" i="24142"/>
  <c r="CP171" i="24142"/>
  <c r="CP260" i="24142"/>
  <c r="CP223" i="24142"/>
  <c r="CP135" i="24142"/>
  <c r="CP98" i="24142"/>
  <c r="DC442" i="24142"/>
  <c r="DC478" i="24142"/>
  <c r="DC405" i="24142"/>
  <c r="DC380" i="24142"/>
  <c r="DC341" i="24142"/>
  <c r="DC299" i="24142"/>
  <c r="DC171" i="24142"/>
  <c r="DC260" i="24142"/>
  <c r="DC223" i="24142"/>
  <c r="DC135" i="24142"/>
  <c r="DC98" i="24142"/>
  <c r="DG442" i="24142"/>
  <c r="DG478" i="24142"/>
  <c r="DG405" i="24142"/>
  <c r="DG380" i="24142"/>
  <c r="DG341" i="24142"/>
  <c r="DG299" i="24142"/>
  <c r="DG171" i="24142"/>
  <c r="DG260" i="24142"/>
  <c r="DG223" i="24142"/>
  <c r="DG135" i="24142"/>
  <c r="DG98" i="24142"/>
  <c r="DK442" i="24142"/>
  <c r="DK478" i="24142"/>
  <c r="DK405" i="24142"/>
  <c r="DK380" i="24142"/>
  <c r="DK341" i="24142"/>
  <c r="DK299" i="24142"/>
  <c r="DK171" i="24142"/>
  <c r="DK260" i="24142"/>
  <c r="DK223" i="24142"/>
  <c r="DK135" i="24142"/>
  <c r="DK98" i="24142"/>
  <c r="DO442" i="24142"/>
  <c r="DO478" i="24142"/>
  <c r="DO405" i="24142"/>
  <c r="DO380" i="24142"/>
  <c r="DO341" i="24142"/>
  <c r="DO299" i="24142"/>
  <c r="DO171" i="24142"/>
  <c r="DO260" i="24142"/>
  <c r="DO223" i="24142"/>
  <c r="DO135" i="24142"/>
  <c r="DO98" i="24142"/>
  <c r="DS442" i="24142"/>
  <c r="DS478" i="24142"/>
  <c r="DS405" i="24142"/>
  <c r="DS380" i="24142"/>
  <c r="DS341" i="24142"/>
  <c r="DS299" i="24142"/>
  <c r="DS171" i="24142"/>
  <c r="DS260" i="24142"/>
  <c r="DS223" i="24142"/>
  <c r="DS135" i="24142"/>
  <c r="DS98" i="24142"/>
  <c r="DW442" i="24142"/>
  <c r="DW478" i="24142"/>
  <c r="DW405" i="24142"/>
  <c r="DW380" i="24142"/>
  <c r="DW341" i="24142"/>
  <c r="DW299" i="24142"/>
  <c r="DW171" i="24142"/>
  <c r="DW260" i="24142"/>
  <c r="DW223" i="24142"/>
  <c r="DW135" i="24142"/>
  <c r="DW98" i="24142"/>
  <c r="EA442" i="24142"/>
  <c r="EA478" i="24142"/>
  <c r="EA405" i="24142"/>
  <c r="EA380" i="24142"/>
  <c r="EA341" i="24142"/>
  <c r="EA299" i="24142"/>
  <c r="EA171" i="24142"/>
  <c r="EA260" i="24142"/>
  <c r="EA223" i="24142"/>
  <c r="EA135" i="24142"/>
  <c r="EA98" i="24142"/>
  <c r="EE442" i="24142"/>
  <c r="EE478" i="24142"/>
  <c r="EE405" i="24142"/>
  <c r="EE380" i="24142"/>
  <c r="EE341" i="24142"/>
  <c r="EE299" i="24142"/>
  <c r="EE171" i="24142"/>
  <c r="EE260" i="24142"/>
  <c r="EE223" i="24142"/>
  <c r="EE135" i="24142"/>
  <c r="EE98" i="24142"/>
  <c r="EI442" i="24142"/>
  <c r="EI478" i="24142"/>
  <c r="EI405" i="24142"/>
  <c r="EI380" i="24142"/>
  <c r="EI341" i="24142"/>
  <c r="EI299" i="24142"/>
  <c r="EI171" i="24142"/>
  <c r="EI260" i="24142"/>
  <c r="EI223" i="24142"/>
  <c r="EI135" i="24142"/>
  <c r="EI98" i="24142"/>
  <c r="EM57" i="24142"/>
  <c r="EJ96" i="24142"/>
  <c r="AA96" i="24142"/>
  <c r="BI97" i="24142"/>
  <c r="EM476" i="24142"/>
  <c r="EM440" i="24142"/>
  <c r="EM403" i="24142"/>
  <c r="EM378" i="24142"/>
  <c r="EM339" i="24142"/>
  <c r="EM297" i="24142"/>
  <c r="EM221" i="24142"/>
  <c r="EM258" i="24142"/>
  <c r="EM169" i="24142"/>
  <c r="EM133" i="24142"/>
  <c r="G340" i="24142"/>
  <c r="K97" i="24142"/>
  <c r="S379" i="24142"/>
  <c r="W134" i="24142"/>
  <c r="AE404" i="24142"/>
  <c r="AI222" i="24142"/>
  <c r="AQ441" i="24142"/>
  <c r="AU259" i="24142"/>
  <c r="BC477" i="24142"/>
  <c r="BG298" i="24142"/>
  <c r="BK170" i="24142"/>
  <c r="BS340" i="24142"/>
  <c r="BW97" i="24142"/>
  <c r="CE379" i="24142"/>
  <c r="CI134" i="24142"/>
  <c r="CQ379" i="24142"/>
  <c r="DD404" i="24142"/>
  <c r="DD170" i="24142"/>
  <c r="DH222" i="24142"/>
  <c r="DL298" i="24142"/>
  <c r="DP441" i="24142"/>
  <c r="DP97" i="24142"/>
  <c r="DT259" i="24142"/>
  <c r="DX379" i="24142"/>
  <c r="EB477" i="24142"/>
  <c r="EB134" i="24142"/>
  <c r="EF441" i="24142"/>
  <c r="EF298" i="24142"/>
  <c r="EF97" i="24142"/>
  <c r="C478" i="24142"/>
  <c r="C442" i="24142"/>
  <c r="C380" i="24142"/>
  <c r="C341" i="24142"/>
  <c r="C299" i="24142"/>
  <c r="C405" i="24142"/>
  <c r="C260" i="24142"/>
  <c r="C223" i="24142"/>
  <c r="C135" i="24142"/>
  <c r="C98" i="24142"/>
  <c r="C171" i="24142"/>
  <c r="G478" i="24142"/>
  <c r="G442" i="24142"/>
  <c r="G405" i="24142"/>
  <c r="G380" i="24142"/>
  <c r="G341" i="24142"/>
  <c r="G299" i="24142"/>
  <c r="G260" i="24142"/>
  <c r="G223" i="24142"/>
  <c r="G171" i="24142"/>
  <c r="G135" i="24142"/>
  <c r="G98" i="24142"/>
  <c r="K478" i="24142"/>
  <c r="K442" i="24142"/>
  <c r="K380" i="24142"/>
  <c r="K341" i="24142"/>
  <c r="K299" i="24142"/>
  <c r="K405" i="24142"/>
  <c r="K260" i="24142"/>
  <c r="K223" i="24142"/>
  <c r="K135" i="24142"/>
  <c r="K98" i="24142"/>
  <c r="K171" i="24142"/>
  <c r="O478" i="24142"/>
  <c r="O442" i="24142"/>
  <c r="O405" i="24142"/>
  <c r="O380" i="24142"/>
  <c r="O341" i="24142"/>
  <c r="O299" i="24142"/>
  <c r="O260" i="24142"/>
  <c r="O223" i="24142"/>
  <c r="O135" i="24142"/>
  <c r="O98" i="24142"/>
  <c r="O171" i="24142"/>
  <c r="S478" i="24142"/>
  <c r="S442" i="24142"/>
  <c r="S405" i="24142"/>
  <c r="S380" i="24142"/>
  <c r="S341" i="24142"/>
  <c r="S299" i="24142"/>
  <c r="S260" i="24142"/>
  <c r="S223" i="24142"/>
  <c r="S135" i="24142"/>
  <c r="S98" i="24142"/>
  <c r="S171" i="24142"/>
  <c r="W478" i="24142"/>
  <c r="W442" i="24142"/>
  <c r="W380" i="24142"/>
  <c r="W341" i="24142"/>
  <c r="W299" i="24142"/>
  <c r="W405" i="24142"/>
  <c r="W260" i="24142"/>
  <c r="W223" i="24142"/>
  <c r="W171" i="24142"/>
  <c r="W135" i="24142"/>
  <c r="W98" i="24142"/>
  <c r="AA478" i="24142"/>
  <c r="AA442" i="24142"/>
  <c r="AA405" i="24142"/>
  <c r="AA380" i="24142"/>
  <c r="AA341" i="24142"/>
  <c r="AA299" i="24142"/>
  <c r="AA260" i="24142"/>
  <c r="AA223" i="24142"/>
  <c r="AA135" i="24142"/>
  <c r="AA98" i="24142"/>
  <c r="AA171" i="24142"/>
  <c r="AE478" i="24142"/>
  <c r="AE442" i="24142"/>
  <c r="AE405" i="24142"/>
  <c r="AE380" i="24142"/>
  <c r="AE341" i="24142"/>
  <c r="AE299" i="24142"/>
  <c r="AE260" i="24142"/>
  <c r="AE223" i="24142"/>
  <c r="AE135" i="24142"/>
  <c r="AE98" i="24142"/>
  <c r="AE171" i="24142"/>
  <c r="AI478" i="24142"/>
  <c r="AI442" i="24142"/>
  <c r="AI405" i="24142"/>
  <c r="AI380" i="24142"/>
  <c r="AI341" i="24142"/>
  <c r="AI299" i="24142"/>
  <c r="AI260" i="24142"/>
  <c r="AI223" i="24142"/>
  <c r="AI135" i="24142"/>
  <c r="AI98" i="24142"/>
  <c r="AI171" i="24142"/>
  <c r="AM478" i="24142"/>
  <c r="AM442" i="24142"/>
  <c r="AM380" i="24142"/>
  <c r="AM405" i="24142"/>
  <c r="AM341" i="24142"/>
  <c r="AM299" i="24142"/>
  <c r="AM260" i="24142"/>
  <c r="AM223" i="24142"/>
  <c r="AM171" i="24142"/>
  <c r="AM135" i="24142"/>
  <c r="AM98" i="24142"/>
  <c r="AQ478" i="24142"/>
  <c r="AQ442" i="24142"/>
  <c r="AQ405" i="24142"/>
  <c r="AQ380" i="24142"/>
  <c r="AQ341" i="24142"/>
  <c r="AQ299" i="24142"/>
  <c r="AQ260" i="24142"/>
  <c r="AQ223" i="24142"/>
  <c r="AQ135" i="24142"/>
  <c r="AQ98" i="24142"/>
  <c r="AQ171" i="24142"/>
  <c r="AU478" i="24142"/>
  <c r="AU442" i="24142"/>
  <c r="AU405" i="24142"/>
  <c r="AU380" i="24142"/>
  <c r="AU341" i="24142"/>
  <c r="AU299" i="24142"/>
  <c r="AU260" i="24142"/>
  <c r="AU223" i="24142"/>
  <c r="AU135" i="24142"/>
  <c r="AU98" i="24142"/>
  <c r="AU171" i="24142"/>
  <c r="AY478" i="24142"/>
  <c r="AY442" i="24142"/>
  <c r="AY405" i="24142"/>
  <c r="AY380" i="24142"/>
  <c r="AY341" i="24142"/>
  <c r="AY299" i="24142"/>
  <c r="AY260" i="24142"/>
  <c r="AY223" i="24142"/>
  <c r="AY135" i="24142"/>
  <c r="AY98" i="24142"/>
  <c r="AY171" i="24142"/>
  <c r="BC478" i="24142"/>
  <c r="BC442" i="24142"/>
  <c r="BC380" i="24142"/>
  <c r="BC341" i="24142"/>
  <c r="BC299" i="24142"/>
  <c r="BC405" i="24142"/>
  <c r="BC260" i="24142"/>
  <c r="BC223" i="24142"/>
  <c r="BC171" i="24142"/>
  <c r="BC135" i="24142"/>
  <c r="BC98" i="24142"/>
  <c r="BG478" i="24142"/>
  <c r="BG442" i="24142"/>
  <c r="BG405" i="24142"/>
  <c r="BG380" i="24142"/>
  <c r="BG341" i="24142"/>
  <c r="BG299" i="24142"/>
  <c r="BG260" i="24142"/>
  <c r="BG223" i="24142"/>
  <c r="BG135" i="24142"/>
  <c r="BG98" i="24142"/>
  <c r="BG171" i="24142"/>
  <c r="BK478" i="24142"/>
  <c r="BK442" i="24142"/>
  <c r="BK405" i="24142"/>
  <c r="BK380" i="24142"/>
  <c r="BK341" i="24142"/>
  <c r="BK299" i="24142"/>
  <c r="BK260" i="24142"/>
  <c r="BK223" i="24142"/>
  <c r="BK135" i="24142"/>
  <c r="BK98" i="24142"/>
  <c r="BK171" i="24142"/>
  <c r="BO478" i="24142"/>
  <c r="BO442" i="24142"/>
  <c r="BO405" i="24142"/>
  <c r="BO380" i="24142"/>
  <c r="BO341" i="24142"/>
  <c r="BO299" i="24142"/>
  <c r="BO260" i="24142"/>
  <c r="BO223" i="24142"/>
  <c r="BO135" i="24142"/>
  <c r="BO98" i="24142"/>
  <c r="BO171" i="24142"/>
  <c r="BS478" i="24142"/>
  <c r="BS442" i="24142"/>
  <c r="BS380" i="24142"/>
  <c r="BS341" i="24142"/>
  <c r="BS299" i="24142"/>
  <c r="BS405" i="24142"/>
  <c r="BS260" i="24142"/>
  <c r="BS223" i="24142"/>
  <c r="BS171" i="24142"/>
  <c r="BS135" i="24142"/>
  <c r="BS98" i="24142"/>
  <c r="BW478" i="24142"/>
  <c r="BW442" i="24142"/>
  <c r="BW405" i="24142"/>
  <c r="BW380" i="24142"/>
  <c r="BW341" i="24142"/>
  <c r="BW299" i="24142"/>
  <c r="BW260" i="24142"/>
  <c r="BW223" i="24142"/>
  <c r="BW135" i="24142"/>
  <c r="BW98" i="24142"/>
  <c r="BW171" i="24142"/>
  <c r="CA478" i="24142"/>
  <c r="CA442" i="24142"/>
  <c r="CA405" i="24142"/>
  <c r="CA380" i="24142"/>
  <c r="CA341" i="24142"/>
  <c r="CA299" i="24142"/>
  <c r="CA260" i="24142"/>
  <c r="CA223" i="24142"/>
  <c r="CA135" i="24142"/>
  <c r="CA98" i="24142"/>
  <c r="CA171" i="24142"/>
  <c r="CE478" i="24142"/>
  <c r="CE442" i="24142"/>
  <c r="CE405" i="24142"/>
  <c r="CE380" i="24142"/>
  <c r="CE341" i="24142"/>
  <c r="CE299" i="24142"/>
  <c r="CE260" i="24142"/>
  <c r="CE223" i="24142"/>
  <c r="CE135" i="24142"/>
  <c r="CE98" i="24142"/>
  <c r="CE171" i="24142"/>
  <c r="CI478" i="24142"/>
  <c r="CI442" i="24142"/>
  <c r="CI380" i="24142"/>
  <c r="CI341" i="24142"/>
  <c r="CI299" i="24142"/>
  <c r="CI405" i="24142"/>
  <c r="CI260" i="24142"/>
  <c r="CI223" i="24142"/>
  <c r="CI171" i="24142"/>
  <c r="CI135" i="24142"/>
  <c r="CI98" i="24142"/>
  <c r="CM478" i="24142"/>
  <c r="CM442" i="24142"/>
  <c r="CM405" i="24142"/>
  <c r="CM380" i="24142"/>
  <c r="CM341" i="24142"/>
  <c r="CM299" i="24142"/>
  <c r="CM260" i="24142"/>
  <c r="CM223" i="24142"/>
  <c r="CM135" i="24142"/>
  <c r="CM98" i="24142"/>
  <c r="CM171" i="24142"/>
  <c r="CQ478" i="24142"/>
  <c r="CQ442" i="24142"/>
  <c r="CQ405" i="24142"/>
  <c r="CQ380" i="24142"/>
  <c r="CQ341" i="24142"/>
  <c r="CQ299" i="24142"/>
  <c r="CQ260" i="24142"/>
  <c r="CQ223" i="24142"/>
  <c r="CQ135" i="24142"/>
  <c r="CQ98" i="24142"/>
  <c r="CQ171" i="24142"/>
  <c r="DD478" i="24142"/>
  <c r="DD442" i="24142"/>
  <c r="DD405" i="24142"/>
  <c r="DD380" i="24142"/>
  <c r="DD341" i="24142"/>
  <c r="DD299" i="24142"/>
  <c r="DD260" i="24142"/>
  <c r="DD223" i="24142"/>
  <c r="DD135" i="24142"/>
  <c r="DD98" i="24142"/>
  <c r="DD171" i="24142"/>
  <c r="DH478" i="24142"/>
  <c r="DH442" i="24142"/>
  <c r="DH380" i="24142"/>
  <c r="DH405" i="24142"/>
  <c r="DH341" i="24142"/>
  <c r="DH299" i="24142"/>
  <c r="DH260" i="24142"/>
  <c r="DH223" i="24142"/>
  <c r="DH171" i="24142"/>
  <c r="DH135" i="24142"/>
  <c r="DH98" i="24142"/>
  <c r="DL478" i="24142"/>
  <c r="DL442" i="24142"/>
  <c r="DL405" i="24142"/>
  <c r="DL380" i="24142"/>
  <c r="DL341" i="24142"/>
  <c r="DL299" i="24142"/>
  <c r="DL260" i="24142"/>
  <c r="DL223" i="24142"/>
  <c r="DL135" i="24142"/>
  <c r="DL98" i="24142"/>
  <c r="DL171" i="24142"/>
  <c r="DP478" i="24142"/>
  <c r="DP442" i="24142"/>
  <c r="DP405" i="24142"/>
  <c r="DP380" i="24142"/>
  <c r="DP341" i="24142"/>
  <c r="DP299" i="24142"/>
  <c r="DP260" i="24142"/>
  <c r="DP223" i="24142"/>
  <c r="DP135" i="24142"/>
  <c r="DP98" i="24142"/>
  <c r="DP171" i="24142"/>
  <c r="DT478" i="24142"/>
  <c r="DT442" i="24142"/>
  <c r="DT405" i="24142"/>
  <c r="DT380" i="24142"/>
  <c r="DT341" i="24142"/>
  <c r="DT299" i="24142"/>
  <c r="DT260" i="24142"/>
  <c r="DT223" i="24142"/>
  <c r="DT135" i="24142"/>
  <c r="DT98" i="24142"/>
  <c r="DT171" i="24142"/>
  <c r="DX478" i="24142"/>
  <c r="DX442" i="24142"/>
  <c r="DX380" i="24142"/>
  <c r="DX341" i="24142"/>
  <c r="DX299" i="24142"/>
  <c r="DX405" i="24142"/>
  <c r="DX260" i="24142"/>
  <c r="DX223" i="24142"/>
  <c r="DX171" i="24142"/>
  <c r="DX135" i="24142"/>
  <c r="DX98" i="24142"/>
  <c r="EB478" i="24142"/>
  <c r="EB442" i="24142"/>
  <c r="EB405" i="24142"/>
  <c r="EB380" i="24142"/>
  <c r="EB341" i="24142"/>
  <c r="EB299" i="24142"/>
  <c r="EB260" i="24142"/>
  <c r="EB223" i="24142"/>
  <c r="EB135" i="24142"/>
  <c r="EB98" i="24142"/>
  <c r="EB171" i="24142"/>
  <c r="EF478" i="24142"/>
  <c r="EF442" i="24142"/>
  <c r="EF405" i="24142"/>
  <c r="EF380" i="24142"/>
  <c r="EF341" i="24142"/>
  <c r="EF299" i="24142"/>
  <c r="EF260" i="24142"/>
  <c r="EF223" i="24142"/>
  <c r="EF135" i="24142"/>
  <c r="EF98" i="24142"/>
  <c r="EF171" i="24142"/>
  <c r="EJ478" i="24142"/>
  <c r="EJ442" i="24142"/>
  <c r="EJ405" i="24142"/>
  <c r="EJ380" i="24142"/>
  <c r="EJ341" i="24142"/>
  <c r="EJ299" i="24142"/>
  <c r="EJ260" i="24142"/>
  <c r="EJ223" i="24142"/>
  <c r="EJ135" i="24142"/>
  <c r="EJ98" i="24142"/>
  <c r="EJ171" i="24142"/>
  <c r="AC56" i="24142"/>
  <c r="BI56" i="24142"/>
  <c r="CG56" i="24142"/>
  <c r="CO56" i="24142"/>
  <c r="D58" i="24142"/>
  <c r="H58" i="24142"/>
  <c r="L58" i="24142"/>
  <c r="P58" i="24142"/>
  <c r="T58" i="24142"/>
  <c r="X58" i="24142"/>
  <c r="AB58" i="24142"/>
  <c r="AF58" i="24142"/>
  <c r="AJ58" i="24142"/>
  <c r="AN58" i="24142"/>
  <c r="AR58" i="24142"/>
  <c r="AV58" i="24142"/>
  <c r="AZ58" i="24142"/>
  <c r="BD58" i="24142"/>
  <c r="BH58" i="24142"/>
  <c r="BL58" i="24142"/>
  <c r="BP58" i="24142"/>
  <c r="BT58" i="24142"/>
  <c r="BX58" i="24142"/>
  <c r="CB58" i="24142"/>
  <c r="CF58" i="24142"/>
  <c r="CJ58" i="24142"/>
  <c r="CN58" i="24142"/>
  <c r="CR58" i="24142"/>
  <c r="DE58" i="24142"/>
  <c r="DI58" i="24142"/>
  <c r="DM58" i="24142"/>
  <c r="DQ58" i="24142"/>
  <c r="DU58" i="24142"/>
  <c r="DY58" i="24142"/>
  <c r="EG58" i="24142"/>
  <c r="EM58" i="24142"/>
  <c r="EM96" i="24142"/>
  <c r="Q97" i="24142"/>
  <c r="AW97" i="24142"/>
  <c r="BM96" i="24142"/>
  <c r="CO97" i="24142"/>
  <c r="A540" i="23917"/>
  <c r="A504" i="23917"/>
  <c r="A467" i="23917"/>
  <c r="A442" i="23917"/>
  <c r="A403" i="23917"/>
  <c r="A361" i="23917"/>
  <c r="A321" i="23917"/>
  <c r="A282" i="23917"/>
  <c r="A233" i="23917"/>
  <c r="A190" i="23917"/>
  <c r="A157" i="23917"/>
  <c r="A104" i="23917"/>
  <c r="A63" i="23917"/>
  <c r="EM543" i="23917"/>
  <c r="EM507" i="23917"/>
  <c r="EM470" i="23917"/>
  <c r="EM445" i="23917"/>
  <c r="EM406" i="23917"/>
  <c r="EM364" i="23917"/>
  <c r="EM324" i="23917"/>
  <c r="EM285" i="23917"/>
  <c r="EM193" i="23917"/>
  <c r="EM236" i="23917"/>
  <c r="EM107" i="23917"/>
  <c r="EM66" i="23917"/>
  <c r="EM160" i="23917"/>
  <c r="M364" i="23917"/>
  <c r="U66" i="23917"/>
  <c r="AG406" i="23917"/>
  <c r="AO107" i="23917"/>
  <c r="BA445" i="23917"/>
  <c r="BI193" i="23917"/>
  <c r="BU470" i="23917"/>
  <c r="CC193" i="23917"/>
  <c r="CO507" i="23917"/>
  <c r="DF324" i="23917"/>
  <c r="DN285" i="23917"/>
  <c r="DR107" i="23917"/>
  <c r="DV107" i="23917"/>
  <c r="DZ364" i="23917"/>
  <c r="EH543" i="23917"/>
  <c r="EH507" i="23917"/>
  <c r="EH470" i="23917"/>
  <c r="EH445" i="23917"/>
  <c r="EH406" i="23917"/>
  <c r="EH364" i="23917"/>
  <c r="EH285" i="23917"/>
  <c r="EH324" i="23917"/>
  <c r="EH236" i="23917"/>
  <c r="EH193" i="23917"/>
  <c r="EH107" i="23917"/>
  <c r="EH66" i="23917"/>
  <c r="EH160" i="23917"/>
  <c r="E544" i="23917"/>
  <c r="E508" i="23917"/>
  <c r="E471" i="23917"/>
  <c r="E446" i="23917"/>
  <c r="E407" i="23917"/>
  <c r="E365" i="23917"/>
  <c r="E286" i="23917"/>
  <c r="E325" i="23917"/>
  <c r="E194" i="23917"/>
  <c r="E237" i="23917"/>
  <c r="E108" i="23917"/>
  <c r="E67" i="23917"/>
  <c r="E161" i="23917"/>
  <c r="I544" i="23917"/>
  <c r="I508" i="23917"/>
  <c r="I471" i="23917"/>
  <c r="I446" i="23917"/>
  <c r="I407" i="23917"/>
  <c r="I365" i="23917"/>
  <c r="I286" i="23917"/>
  <c r="I325" i="23917"/>
  <c r="I237" i="23917"/>
  <c r="I194" i="23917"/>
  <c r="I108" i="23917"/>
  <c r="I67" i="23917"/>
  <c r="I161" i="23917"/>
  <c r="M544" i="23917"/>
  <c r="M508" i="23917"/>
  <c r="M471" i="23917"/>
  <c r="M446" i="23917"/>
  <c r="M407" i="23917"/>
  <c r="M365" i="23917"/>
  <c r="M325" i="23917"/>
  <c r="M286" i="23917"/>
  <c r="M237" i="23917"/>
  <c r="M194" i="23917"/>
  <c r="M108" i="23917"/>
  <c r="M67" i="23917"/>
  <c r="M161" i="23917"/>
  <c r="Q544" i="23917"/>
  <c r="Q508" i="23917"/>
  <c r="Q471" i="23917"/>
  <c r="Q446" i="23917"/>
  <c r="Q407" i="23917"/>
  <c r="Q365" i="23917"/>
  <c r="Q286" i="23917"/>
  <c r="Q325" i="23917"/>
  <c r="Q237" i="23917"/>
  <c r="Q194" i="23917"/>
  <c r="Q108" i="23917"/>
  <c r="Q67" i="23917"/>
  <c r="Q161" i="23917"/>
  <c r="U544" i="23917"/>
  <c r="U508" i="23917"/>
  <c r="U471" i="23917"/>
  <c r="U446" i="23917"/>
  <c r="U407" i="23917"/>
  <c r="U365" i="23917"/>
  <c r="U286" i="23917"/>
  <c r="U237" i="23917"/>
  <c r="U325" i="23917"/>
  <c r="U194" i="23917"/>
  <c r="U108" i="23917"/>
  <c r="U67" i="23917"/>
  <c r="U161" i="23917"/>
  <c r="Y544" i="23917"/>
  <c r="Y508" i="23917"/>
  <c r="Y471" i="23917"/>
  <c r="Y446" i="23917"/>
  <c r="Y407" i="23917"/>
  <c r="Y365" i="23917"/>
  <c r="Y286" i="23917"/>
  <c r="Y237" i="23917"/>
  <c r="Y325" i="23917"/>
  <c r="Y194" i="23917"/>
  <c r="Y161" i="23917"/>
  <c r="Y108" i="23917"/>
  <c r="Y67" i="23917"/>
  <c r="AC544" i="23917"/>
  <c r="AC508" i="23917"/>
  <c r="AC471" i="23917"/>
  <c r="AC446" i="23917"/>
  <c r="AC407" i="23917"/>
  <c r="AC365" i="23917"/>
  <c r="AC325" i="23917"/>
  <c r="AC286" i="23917"/>
  <c r="AC237" i="23917"/>
  <c r="AC194" i="23917"/>
  <c r="AC108" i="23917"/>
  <c r="AC67" i="23917"/>
  <c r="AC161" i="23917"/>
  <c r="AG544" i="23917"/>
  <c r="AG508" i="23917"/>
  <c r="AG471" i="23917"/>
  <c r="AG446" i="23917"/>
  <c r="AG407" i="23917"/>
  <c r="AG365" i="23917"/>
  <c r="AG286" i="23917"/>
  <c r="AG325" i="23917"/>
  <c r="AG237" i="23917"/>
  <c r="AG194" i="23917"/>
  <c r="AG108" i="23917"/>
  <c r="AG67" i="23917"/>
  <c r="AG161" i="23917"/>
  <c r="AK544" i="23917"/>
  <c r="AK508" i="23917"/>
  <c r="AK446" i="23917"/>
  <c r="AK471" i="23917"/>
  <c r="AK407" i="23917"/>
  <c r="AK365" i="23917"/>
  <c r="AK286" i="23917"/>
  <c r="AK237" i="23917"/>
  <c r="AK325" i="23917"/>
  <c r="AK194" i="23917"/>
  <c r="AK108" i="23917"/>
  <c r="AK67" i="23917"/>
  <c r="AK161" i="23917"/>
  <c r="AO544" i="23917"/>
  <c r="AO508" i="23917"/>
  <c r="AO446" i="23917"/>
  <c r="AO471" i="23917"/>
  <c r="AO407" i="23917"/>
  <c r="AO365" i="23917"/>
  <c r="AO286" i="23917"/>
  <c r="AO237" i="23917"/>
  <c r="AO325" i="23917"/>
  <c r="AO194" i="23917"/>
  <c r="AO161" i="23917"/>
  <c r="AO108" i="23917"/>
  <c r="AO67" i="23917"/>
  <c r="AS544" i="23917"/>
  <c r="AS508" i="23917"/>
  <c r="AS446" i="23917"/>
  <c r="AS471" i="23917"/>
  <c r="AS407" i="23917"/>
  <c r="AS365" i="23917"/>
  <c r="AS325" i="23917"/>
  <c r="AS286" i="23917"/>
  <c r="AS237" i="23917"/>
  <c r="AS194" i="23917"/>
  <c r="AS108" i="23917"/>
  <c r="AS67" i="23917"/>
  <c r="AS161" i="23917"/>
  <c r="AW544" i="23917"/>
  <c r="AW508" i="23917"/>
  <c r="AW446" i="23917"/>
  <c r="AW471" i="23917"/>
  <c r="AW407" i="23917"/>
  <c r="AW365" i="23917"/>
  <c r="AW286" i="23917"/>
  <c r="AW325" i="23917"/>
  <c r="AW237" i="23917"/>
  <c r="AW194" i="23917"/>
  <c r="AW108" i="23917"/>
  <c r="AW67" i="23917"/>
  <c r="AW161" i="23917"/>
  <c r="BA544" i="23917"/>
  <c r="BA508" i="23917"/>
  <c r="BA446" i="23917"/>
  <c r="BA471" i="23917"/>
  <c r="BA407" i="23917"/>
  <c r="BA365" i="23917"/>
  <c r="BA286" i="23917"/>
  <c r="BA237" i="23917"/>
  <c r="BA325" i="23917"/>
  <c r="BA194" i="23917"/>
  <c r="BA108" i="23917"/>
  <c r="BA67" i="23917"/>
  <c r="BA161" i="23917"/>
  <c r="BE544" i="23917"/>
  <c r="BE508" i="23917"/>
  <c r="BE446" i="23917"/>
  <c r="BE471" i="23917"/>
  <c r="BE407" i="23917"/>
  <c r="BE365" i="23917"/>
  <c r="BE286" i="23917"/>
  <c r="BE237" i="23917"/>
  <c r="BE325" i="23917"/>
  <c r="BE194" i="23917"/>
  <c r="BE161" i="23917"/>
  <c r="BE108" i="23917"/>
  <c r="BE67" i="23917"/>
  <c r="BI544" i="23917"/>
  <c r="BI508" i="23917"/>
  <c r="BI471" i="23917"/>
  <c r="BI446" i="23917"/>
  <c r="BI407" i="23917"/>
  <c r="BI365" i="23917"/>
  <c r="BI325" i="23917"/>
  <c r="BI286" i="23917"/>
  <c r="BI237" i="23917"/>
  <c r="BI194" i="23917"/>
  <c r="BI108" i="23917"/>
  <c r="BI67" i="23917"/>
  <c r="BI161" i="23917"/>
  <c r="BM544" i="23917"/>
  <c r="BM508" i="23917"/>
  <c r="BM471" i="23917"/>
  <c r="BM446" i="23917"/>
  <c r="BM407" i="23917"/>
  <c r="BM365" i="23917"/>
  <c r="BM286" i="23917"/>
  <c r="BM325" i="23917"/>
  <c r="BM237" i="23917"/>
  <c r="BM194" i="23917"/>
  <c r="BM108" i="23917"/>
  <c r="BM67" i="23917"/>
  <c r="BM161" i="23917"/>
  <c r="BQ544" i="23917"/>
  <c r="BQ508" i="23917"/>
  <c r="BQ471" i="23917"/>
  <c r="BQ446" i="23917"/>
  <c r="BQ407" i="23917"/>
  <c r="BQ365" i="23917"/>
  <c r="BQ286" i="23917"/>
  <c r="BQ237" i="23917"/>
  <c r="BQ325" i="23917"/>
  <c r="BQ194" i="23917"/>
  <c r="BQ108" i="23917"/>
  <c r="BQ67" i="23917"/>
  <c r="BQ161" i="23917"/>
  <c r="BU544" i="23917"/>
  <c r="BU508" i="23917"/>
  <c r="BU471" i="23917"/>
  <c r="BU446" i="23917"/>
  <c r="BU407" i="23917"/>
  <c r="BU365" i="23917"/>
  <c r="BU286" i="23917"/>
  <c r="BU237" i="23917"/>
  <c r="BU325" i="23917"/>
  <c r="BU194" i="23917"/>
  <c r="BU161" i="23917"/>
  <c r="BU108" i="23917"/>
  <c r="BU67" i="23917"/>
  <c r="BY544" i="23917"/>
  <c r="BY508" i="23917"/>
  <c r="BY471" i="23917"/>
  <c r="BY446" i="23917"/>
  <c r="BY407" i="23917"/>
  <c r="BY365" i="23917"/>
  <c r="BY325" i="23917"/>
  <c r="BY286" i="23917"/>
  <c r="BY237" i="23917"/>
  <c r="BY194" i="23917"/>
  <c r="BY108" i="23917"/>
  <c r="BY67" i="23917"/>
  <c r="BY161" i="23917"/>
  <c r="CC544" i="23917"/>
  <c r="CC508" i="23917"/>
  <c r="CC471" i="23917"/>
  <c r="CC446" i="23917"/>
  <c r="CC407" i="23917"/>
  <c r="CC365" i="23917"/>
  <c r="CC286" i="23917"/>
  <c r="CC325" i="23917"/>
  <c r="CC237" i="23917"/>
  <c r="CC194" i="23917"/>
  <c r="CC108" i="23917"/>
  <c r="CC67" i="23917"/>
  <c r="CC161" i="23917"/>
  <c r="CG544" i="23917"/>
  <c r="CG508" i="23917"/>
  <c r="CG471" i="23917"/>
  <c r="CG446" i="23917"/>
  <c r="CG407" i="23917"/>
  <c r="CG365" i="23917"/>
  <c r="CG286" i="23917"/>
  <c r="CG237" i="23917"/>
  <c r="CG325" i="23917"/>
  <c r="CG194" i="23917"/>
  <c r="CG108" i="23917"/>
  <c r="CG67" i="23917"/>
  <c r="CG161" i="23917"/>
  <c r="CK544" i="23917"/>
  <c r="CK508" i="23917"/>
  <c r="CK471" i="23917"/>
  <c r="CK446" i="23917"/>
  <c r="CK407" i="23917"/>
  <c r="CK365" i="23917"/>
  <c r="CK286" i="23917"/>
  <c r="CK237" i="23917"/>
  <c r="CK325" i="23917"/>
  <c r="CK194" i="23917"/>
  <c r="CK161" i="23917"/>
  <c r="CK108" i="23917"/>
  <c r="CK67" i="23917"/>
  <c r="CO544" i="23917"/>
  <c r="CO508" i="23917"/>
  <c r="CO471" i="23917"/>
  <c r="CO446" i="23917"/>
  <c r="CO407" i="23917"/>
  <c r="CO365" i="23917"/>
  <c r="CO325" i="23917"/>
  <c r="CO286" i="23917"/>
  <c r="CO237" i="23917"/>
  <c r="CO194" i="23917"/>
  <c r="CO108" i="23917"/>
  <c r="CO67" i="23917"/>
  <c r="CO161" i="23917"/>
  <c r="CS544" i="23917"/>
  <c r="CS508" i="23917"/>
  <c r="CS471" i="23917"/>
  <c r="CS446" i="23917"/>
  <c r="CS407" i="23917"/>
  <c r="CS365" i="23917"/>
  <c r="CS286" i="23917"/>
  <c r="CS325" i="23917"/>
  <c r="CS237" i="23917"/>
  <c r="CS194" i="23917"/>
  <c r="CS108" i="23917"/>
  <c r="CS67" i="23917"/>
  <c r="CS161" i="23917"/>
  <c r="DJ544" i="23917"/>
  <c r="DJ508" i="23917"/>
  <c r="DJ471" i="23917"/>
  <c r="DJ446" i="23917"/>
  <c r="DJ407" i="23917"/>
  <c r="DJ365" i="23917"/>
  <c r="DJ286" i="23917"/>
  <c r="DJ237" i="23917"/>
  <c r="DJ325" i="23917"/>
  <c r="DJ194" i="23917"/>
  <c r="DJ161" i="23917"/>
  <c r="DJ108" i="23917"/>
  <c r="DJ67" i="23917"/>
  <c r="DN544" i="23917"/>
  <c r="DN508" i="23917"/>
  <c r="DN471" i="23917"/>
  <c r="DN446" i="23917"/>
  <c r="DN407" i="23917"/>
  <c r="DN365" i="23917"/>
  <c r="DN325" i="23917"/>
  <c r="DN286" i="23917"/>
  <c r="DN237" i="23917"/>
  <c r="DN194" i="23917"/>
  <c r="DN108" i="23917"/>
  <c r="DN67" i="23917"/>
  <c r="DN161" i="23917"/>
  <c r="DR544" i="23917"/>
  <c r="DR508" i="23917"/>
  <c r="DR471" i="23917"/>
  <c r="DR446" i="23917"/>
  <c r="DR407" i="23917"/>
  <c r="DR365" i="23917"/>
  <c r="DR286" i="23917"/>
  <c r="DR325" i="23917"/>
  <c r="DR237" i="23917"/>
  <c r="DR194" i="23917"/>
  <c r="DR108" i="23917"/>
  <c r="DR67" i="23917"/>
  <c r="DR161" i="23917"/>
  <c r="DV544" i="23917"/>
  <c r="DV508" i="23917"/>
  <c r="DV471" i="23917"/>
  <c r="DV446" i="23917"/>
  <c r="DV407" i="23917"/>
  <c r="DV365" i="23917"/>
  <c r="DV286" i="23917"/>
  <c r="DV237" i="23917"/>
  <c r="DV325" i="23917"/>
  <c r="DV194" i="23917"/>
  <c r="DV108" i="23917"/>
  <c r="DV67" i="23917"/>
  <c r="DV161" i="23917"/>
  <c r="DZ544" i="23917"/>
  <c r="DZ508" i="23917"/>
  <c r="DZ471" i="23917"/>
  <c r="DZ446" i="23917"/>
  <c r="DZ407" i="23917"/>
  <c r="DZ365" i="23917"/>
  <c r="DZ286" i="23917"/>
  <c r="DZ237" i="23917"/>
  <c r="DZ325" i="23917"/>
  <c r="DZ194" i="23917"/>
  <c r="DZ161" i="23917"/>
  <c r="DZ108" i="23917"/>
  <c r="DZ67" i="23917"/>
  <c r="EH508" i="23917"/>
  <c r="EH544" i="23917"/>
  <c r="EH471" i="23917"/>
  <c r="EH446" i="23917"/>
  <c r="EH407" i="23917"/>
  <c r="EH365" i="23917"/>
  <c r="EH286" i="23917"/>
  <c r="EH325" i="23917"/>
  <c r="EH237" i="23917"/>
  <c r="EH194" i="23917"/>
  <c r="EH108" i="23917"/>
  <c r="EH67" i="23917"/>
  <c r="EH161" i="23917"/>
  <c r="EJ106" i="23917"/>
  <c r="C444" i="23917"/>
  <c r="C235" i="23917"/>
  <c r="C159" i="23917"/>
  <c r="G542" i="23917"/>
  <c r="K542" i="23917"/>
  <c r="K363" i="23917"/>
  <c r="K284" i="23917"/>
  <c r="K65" i="23917"/>
  <c r="O323" i="23917"/>
  <c r="S444" i="23917"/>
  <c r="S235" i="23917"/>
  <c r="S159" i="23917"/>
  <c r="AA542" i="23917"/>
  <c r="AA405" i="23917"/>
  <c r="AA284" i="23917"/>
  <c r="AA65" i="23917"/>
  <c r="AE469" i="23917"/>
  <c r="AI444" i="23917"/>
  <c r="AI235" i="23917"/>
  <c r="AI159" i="23917"/>
  <c r="AM192" i="23917"/>
  <c r="AQ542" i="23917"/>
  <c r="AQ405" i="23917"/>
  <c r="AQ284" i="23917"/>
  <c r="AQ65" i="23917"/>
  <c r="AY444" i="23917"/>
  <c r="AY363" i="23917"/>
  <c r="AY159" i="23917"/>
  <c r="BC405" i="23917"/>
  <c r="BG542" i="23917"/>
  <c r="BG405" i="23917"/>
  <c r="BG284" i="23917"/>
  <c r="BG65" i="23917"/>
  <c r="BK106" i="23917"/>
  <c r="BO444" i="23917"/>
  <c r="BO363" i="23917"/>
  <c r="BO159" i="23917"/>
  <c r="BS506" i="23917"/>
  <c r="BW542" i="23917"/>
  <c r="BW405" i="23917"/>
  <c r="BW284" i="23917"/>
  <c r="BW65" i="23917"/>
  <c r="CA235" i="23917"/>
  <c r="CE542" i="23917"/>
  <c r="CE444" i="23917"/>
  <c r="CE405" i="23917"/>
  <c r="CE363" i="23917"/>
  <c r="CE284" i="23917"/>
  <c r="CE159" i="23917"/>
  <c r="CE65" i="23917"/>
  <c r="CI506" i="23917"/>
  <c r="CI469" i="23917"/>
  <c r="CI405" i="23917"/>
  <c r="CI235" i="23917"/>
  <c r="CI192" i="23917"/>
  <c r="CI106" i="23917"/>
  <c r="CM405" i="23917"/>
  <c r="CQ469" i="23917"/>
  <c r="CQ235" i="23917"/>
  <c r="CQ106" i="23917"/>
  <c r="DD159" i="23917"/>
  <c r="DH506" i="23917"/>
  <c r="DH405" i="23917"/>
  <c r="DH192" i="23917"/>
  <c r="DL542" i="23917"/>
  <c r="DP469" i="23917"/>
  <c r="DP235" i="23917"/>
  <c r="DP106" i="23917"/>
  <c r="DT363" i="23917"/>
  <c r="DX506" i="23917"/>
  <c r="DX405" i="23917"/>
  <c r="DX192" i="23917"/>
  <c r="EB65" i="23917"/>
  <c r="EF469" i="23917"/>
  <c r="EF235" i="23917"/>
  <c r="EF106" i="23917"/>
  <c r="B544" i="23917"/>
  <c r="B508" i="23917"/>
  <c r="B446" i="23917"/>
  <c r="B471" i="23917"/>
  <c r="B407" i="23917"/>
  <c r="B325" i="23917"/>
  <c r="B365" i="23917"/>
  <c r="B237" i="23917"/>
  <c r="B286" i="23917"/>
  <c r="B194" i="23917"/>
  <c r="B161" i="23917"/>
  <c r="B108" i="23917"/>
  <c r="B67" i="23917"/>
  <c r="F544" i="23917"/>
  <c r="F508" i="23917"/>
  <c r="F446" i="23917"/>
  <c r="F471" i="23917"/>
  <c r="F325" i="23917"/>
  <c r="F407" i="23917"/>
  <c r="F365" i="23917"/>
  <c r="F237" i="23917"/>
  <c r="F286" i="23917"/>
  <c r="F194" i="23917"/>
  <c r="F161" i="23917"/>
  <c r="F108" i="23917"/>
  <c r="F67" i="23917"/>
  <c r="J544" i="23917"/>
  <c r="J508" i="23917"/>
  <c r="J446" i="23917"/>
  <c r="J471" i="23917"/>
  <c r="J407" i="23917"/>
  <c r="J325" i="23917"/>
  <c r="J365" i="23917"/>
  <c r="J237" i="23917"/>
  <c r="J286" i="23917"/>
  <c r="J194" i="23917"/>
  <c r="J161" i="23917"/>
  <c r="J108" i="23917"/>
  <c r="J67" i="23917"/>
  <c r="N544" i="23917"/>
  <c r="N508" i="23917"/>
  <c r="N446" i="23917"/>
  <c r="N471" i="23917"/>
  <c r="N325" i="23917"/>
  <c r="N407" i="23917"/>
  <c r="N365" i="23917"/>
  <c r="N237" i="23917"/>
  <c r="N286" i="23917"/>
  <c r="N194" i="23917"/>
  <c r="N161" i="23917"/>
  <c r="N108" i="23917"/>
  <c r="N67" i="23917"/>
  <c r="R544" i="23917"/>
  <c r="R508" i="23917"/>
  <c r="R446" i="23917"/>
  <c r="R471" i="23917"/>
  <c r="R407" i="23917"/>
  <c r="R325" i="23917"/>
  <c r="R365" i="23917"/>
  <c r="R237" i="23917"/>
  <c r="R286" i="23917"/>
  <c r="R194" i="23917"/>
  <c r="R161" i="23917"/>
  <c r="R108" i="23917"/>
  <c r="R67" i="23917"/>
  <c r="V544" i="23917"/>
  <c r="V508" i="23917"/>
  <c r="V446" i="23917"/>
  <c r="V471" i="23917"/>
  <c r="V325" i="23917"/>
  <c r="V407" i="23917"/>
  <c r="V365" i="23917"/>
  <c r="V237" i="23917"/>
  <c r="V286" i="23917"/>
  <c r="V194" i="23917"/>
  <c r="V161" i="23917"/>
  <c r="V108" i="23917"/>
  <c r="V67" i="23917"/>
  <c r="Z544" i="23917"/>
  <c r="Z508" i="23917"/>
  <c r="Z446" i="23917"/>
  <c r="Z471" i="23917"/>
  <c r="Z407" i="23917"/>
  <c r="Z325" i="23917"/>
  <c r="Z365" i="23917"/>
  <c r="Z237" i="23917"/>
  <c r="Z286" i="23917"/>
  <c r="Z194" i="23917"/>
  <c r="Z161" i="23917"/>
  <c r="Z108" i="23917"/>
  <c r="Z67" i="23917"/>
  <c r="AD544" i="23917"/>
  <c r="AD508" i="23917"/>
  <c r="AD446" i="23917"/>
  <c r="AD471" i="23917"/>
  <c r="AD325" i="23917"/>
  <c r="AD407" i="23917"/>
  <c r="AD365" i="23917"/>
  <c r="AD237" i="23917"/>
  <c r="AD286" i="23917"/>
  <c r="AD194" i="23917"/>
  <c r="AD161" i="23917"/>
  <c r="AD108" i="23917"/>
  <c r="AD67" i="23917"/>
  <c r="AH544" i="23917"/>
  <c r="AH508" i="23917"/>
  <c r="AH446" i="23917"/>
  <c r="AH471" i="23917"/>
  <c r="AH407" i="23917"/>
  <c r="AH325" i="23917"/>
  <c r="AH365" i="23917"/>
  <c r="AH237" i="23917"/>
  <c r="AH286" i="23917"/>
  <c r="AH194" i="23917"/>
  <c r="AH161" i="23917"/>
  <c r="AH108" i="23917"/>
  <c r="AH67" i="23917"/>
  <c r="AL544" i="23917"/>
  <c r="AL508" i="23917"/>
  <c r="AL446" i="23917"/>
  <c r="AL471" i="23917"/>
  <c r="AL325" i="23917"/>
  <c r="AL407" i="23917"/>
  <c r="AL365" i="23917"/>
  <c r="AL237" i="23917"/>
  <c r="AL286" i="23917"/>
  <c r="AL194" i="23917"/>
  <c r="AL161" i="23917"/>
  <c r="AL108" i="23917"/>
  <c r="AL67" i="23917"/>
  <c r="AP544" i="23917"/>
  <c r="AP508" i="23917"/>
  <c r="AP446" i="23917"/>
  <c r="AP471" i="23917"/>
  <c r="AP407" i="23917"/>
  <c r="AP325" i="23917"/>
  <c r="AP365" i="23917"/>
  <c r="AP237" i="23917"/>
  <c r="AP286" i="23917"/>
  <c r="AP194" i="23917"/>
  <c r="AP161" i="23917"/>
  <c r="AP108" i="23917"/>
  <c r="AP67" i="23917"/>
  <c r="AT544" i="23917"/>
  <c r="AT508" i="23917"/>
  <c r="AT446" i="23917"/>
  <c r="AT471" i="23917"/>
  <c r="AT325" i="23917"/>
  <c r="AT407" i="23917"/>
  <c r="AT365" i="23917"/>
  <c r="AT237" i="23917"/>
  <c r="AT286" i="23917"/>
  <c r="AT194" i="23917"/>
  <c r="AT161" i="23917"/>
  <c r="AT108" i="23917"/>
  <c r="AT67" i="23917"/>
  <c r="AX544" i="23917"/>
  <c r="AX508" i="23917"/>
  <c r="AX446" i="23917"/>
  <c r="AX471" i="23917"/>
  <c r="AX407" i="23917"/>
  <c r="AX325" i="23917"/>
  <c r="AX365" i="23917"/>
  <c r="AX237" i="23917"/>
  <c r="AX286" i="23917"/>
  <c r="AX194" i="23917"/>
  <c r="AX161" i="23917"/>
  <c r="AX108" i="23917"/>
  <c r="AX67" i="23917"/>
  <c r="BB544" i="23917"/>
  <c r="BB508" i="23917"/>
  <c r="BB446" i="23917"/>
  <c r="BB471" i="23917"/>
  <c r="BB325" i="23917"/>
  <c r="BB407" i="23917"/>
  <c r="BB365" i="23917"/>
  <c r="BB237" i="23917"/>
  <c r="BB286" i="23917"/>
  <c r="BB194" i="23917"/>
  <c r="BB161" i="23917"/>
  <c r="BB108" i="23917"/>
  <c r="BB67" i="23917"/>
  <c r="BF544" i="23917"/>
  <c r="BF508" i="23917"/>
  <c r="BF446" i="23917"/>
  <c r="BF471" i="23917"/>
  <c r="BF407" i="23917"/>
  <c r="BF325" i="23917"/>
  <c r="BF365" i="23917"/>
  <c r="BF237" i="23917"/>
  <c r="BF286" i="23917"/>
  <c r="BF194" i="23917"/>
  <c r="BF161" i="23917"/>
  <c r="BF108" i="23917"/>
  <c r="BF67" i="23917"/>
  <c r="BJ544" i="23917"/>
  <c r="BJ508" i="23917"/>
  <c r="BJ446" i="23917"/>
  <c r="BJ471" i="23917"/>
  <c r="BJ325" i="23917"/>
  <c r="BJ407" i="23917"/>
  <c r="BJ365" i="23917"/>
  <c r="BJ237" i="23917"/>
  <c r="BJ286" i="23917"/>
  <c r="BJ194" i="23917"/>
  <c r="BJ161" i="23917"/>
  <c r="BJ108" i="23917"/>
  <c r="BJ67" i="23917"/>
  <c r="BN544" i="23917"/>
  <c r="BN508" i="23917"/>
  <c r="BN446" i="23917"/>
  <c r="BN471" i="23917"/>
  <c r="BN407" i="23917"/>
  <c r="BN325" i="23917"/>
  <c r="BN365" i="23917"/>
  <c r="BN237" i="23917"/>
  <c r="BN286" i="23917"/>
  <c r="BN194" i="23917"/>
  <c r="BN161" i="23917"/>
  <c r="BN108" i="23917"/>
  <c r="BN67" i="23917"/>
  <c r="BR544" i="23917"/>
  <c r="BR508" i="23917"/>
  <c r="BR471" i="23917"/>
  <c r="BR446" i="23917"/>
  <c r="BR325" i="23917"/>
  <c r="BR407" i="23917"/>
  <c r="BR365" i="23917"/>
  <c r="BR237" i="23917"/>
  <c r="BR286" i="23917"/>
  <c r="BR194" i="23917"/>
  <c r="BR161" i="23917"/>
  <c r="BR108" i="23917"/>
  <c r="BR67" i="23917"/>
  <c r="BV544" i="23917"/>
  <c r="BV508" i="23917"/>
  <c r="BV446" i="23917"/>
  <c r="BV471" i="23917"/>
  <c r="BV407" i="23917"/>
  <c r="BV325" i="23917"/>
  <c r="BV365" i="23917"/>
  <c r="BV237" i="23917"/>
  <c r="BV286" i="23917"/>
  <c r="BV194" i="23917"/>
  <c r="BV161" i="23917"/>
  <c r="BV108" i="23917"/>
  <c r="BV67" i="23917"/>
  <c r="BZ544" i="23917"/>
  <c r="BZ508" i="23917"/>
  <c r="BZ446" i="23917"/>
  <c r="BZ471" i="23917"/>
  <c r="BZ325" i="23917"/>
  <c r="BZ407" i="23917"/>
  <c r="BZ365" i="23917"/>
  <c r="BZ237" i="23917"/>
  <c r="BZ286" i="23917"/>
  <c r="BZ194" i="23917"/>
  <c r="BZ161" i="23917"/>
  <c r="BZ108" i="23917"/>
  <c r="BZ67" i="23917"/>
  <c r="CD544" i="23917"/>
  <c r="CD508" i="23917"/>
  <c r="CD446" i="23917"/>
  <c r="CD471" i="23917"/>
  <c r="CD407" i="23917"/>
  <c r="CD325" i="23917"/>
  <c r="CD365" i="23917"/>
  <c r="CD237" i="23917"/>
  <c r="CD286" i="23917"/>
  <c r="CD194" i="23917"/>
  <c r="CD161" i="23917"/>
  <c r="CD108" i="23917"/>
  <c r="CD67" i="23917"/>
  <c r="CH544" i="23917"/>
  <c r="CH508" i="23917"/>
  <c r="CH471" i="23917"/>
  <c r="CH446" i="23917"/>
  <c r="CH325" i="23917"/>
  <c r="CH407" i="23917"/>
  <c r="CH365" i="23917"/>
  <c r="CH237" i="23917"/>
  <c r="CH286" i="23917"/>
  <c r="CH194" i="23917"/>
  <c r="CH161" i="23917"/>
  <c r="CH108" i="23917"/>
  <c r="CH67" i="23917"/>
  <c r="CL544" i="23917"/>
  <c r="CL508" i="23917"/>
  <c r="CL446" i="23917"/>
  <c r="CL471" i="23917"/>
  <c r="CL407" i="23917"/>
  <c r="CL325" i="23917"/>
  <c r="CL365" i="23917"/>
  <c r="CL237" i="23917"/>
  <c r="CL286" i="23917"/>
  <c r="CL194" i="23917"/>
  <c r="CL161" i="23917"/>
  <c r="CL108" i="23917"/>
  <c r="CL67" i="23917"/>
  <c r="CP544" i="23917"/>
  <c r="CP508" i="23917"/>
  <c r="CP446" i="23917"/>
  <c r="CP471" i="23917"/>
  <c r="CP325" i="23917"/>
  <c r="CP407" i="23917"/>
  <c r="CP365" i="23917"/>
  <c r="CP237" i="23917"/>
  <c r="CP286" i="23917"/>
  <c r="CP194" i="23917"/>
  <c r="CP161" i="23917"/>
  <c r="CP108" i="23917"/>
  <c r="CP67" i="23917"/>
  <c r="DC544" i="23917"/>
  <c r="DC508" i="23917"/>
  <c r="DC446" i="23917"/>
  <c r="DC471" i="23917"/>
  <c r="DC407" i="23917"/>
  <c r="DC325" i="23917"/>
  <c r="DC365" i="23917"/>
  <c r="DC237" i="23917"/>
  <c r="DC286" i="23917"/>
  <c r="DC194" i="23917"/>
  <c r="DC161" i="23917"/>
  <c r="DC108" i="23917"/>
  <c r="DC67" i="23917"/>
  <c r="DG544" i="23917"/>
  <c r="DG508" i="23917"/>
  <c r="DG446" i="23917"/>
  <c r="DG471" i="23917"/>
  <c r="DG325" i="23917"/>
  <c r="DG407" i="23917"/>
  <c r="DG365" i="23917"/>
  <c r="DG237" i="23917"/>
  <c r="DG286" i="23917"/>
  <c r="DG194" i="23917"/>
  <c r="DG161" i="23917"/>
  <c r="DG108" i="23917"/>
  <c r="DG67" i="23917"/>
  <c r="DK544" i="23917"/>
  <c r="DK508" i="23917"/>
  <c r="DK471" i="23917"/>
  <c r="DK446" i="23917"/>
  <c r="DK325" i="23917"/>
  <c r="DK365" i="23917"/>
  <c r="DK407" i="23917"/>
  <c r="DK237" i="23917"/>
  <c r="DK286" i="23917"/>
  <c r="DK194" i="23917"/>
  <c r="DK161" i="23917"/>
  <c r="DK108" i="23917"/>
  <c r="DK67" i="23917"/>
  <c r="DO544" i="23917"/>
  <c r="DO508" i="23917"/>
  <c r="DO446" i="23917"/>
  <c r="DO471" i="23917"/>
  <c r="DO325" i="23917"/>
  <c r="DO407" i="23917"/>
  <c r="DO365" i="23917"/>
  <c r="DO237" i="23917"/>
  <c r="DO286" i="23917"/>
  <c r="DO194" i="23917"/>
  <c r="DO161" i="23917"/>
  <c r="DO108" i="23917"/>
  <c r="DO67" i="23917"/>
  <c r="DS544" i="23917"/>
  <c r="DS508" i="23917"/>
  <c r="DS446" i="23917"/>
  <c r="DS471" i="23917"/>
  <c r="DS325" i="23917"/>
  <c r="DS365" i="23917"/>
  <c r="DS407" i="23917"/>
  <c r="DS237" i="23917"/>
  <c r="DS286" i="23917"/>
  <c r="DS194" i="23917"/>
  <c r="DS161" i="23917"/>
  <c r="DS108" i="23917"/>
  <c r="DS67" i="23917"/>
  <c r="DW544" i="23917"/>
  <c r="DW508" i="23917"/>
  <c r="DW446" i="23917"/>
  <c r="DW471" i="23917"/>
  <c r="DW325" i="23917"/>
  <c r="DW407" i="23917"/>
  <c r="DW365" i="23917"/>
  <c r="DW237" i="23917"/>
  <c r="DW286" i="23917"/>
  <c r="DW194" i="23917"/>
  <c r="DW161" i="23917"/>
  <c r="DW108" i="23917"/>
  <c r="DW67" i="23917"/>
  <c r="EA544" i="23917"/>
  <c r="EA508" i="23917"/>
  <c r="EA471" i="23917"/>
  <c r="EA446" i="23917"/>
  <c r="EA325" i="23917"/>
  <c r="EA407" i="23917"/>
  <c r="EA365" i="23917"/>
  <c r="EA237" i="23917"/>
  <c r="EA286" i="23917"/>
  <c r="EA194" i="23917"/>
  <c r="EA161" i="23917"/>
  <c r="EA108" i="23917"/>
  <c r="EA67" i="23917"/>
  <c r="EE544" i="23917"/>
  <c r="EE508" i="23917"/>
  <c r="EE446" i="23917"/>
  <c r="EE471" i="23917"/>
  <c r="EE407" i="23917"/>
  <c r="EE325" i="23917"/>
  <c r="EE365" i="23917"/>
  <c r="EE237" i="23917"/>
  <c r="EE286" i="23917"/>
  <c r="EE194" i="23917"/>
  <c r="EE161" i="23917"/>
  <c r="EE108" i="23917"/>
  <c r="EE67" i="23917"/>
  <c r="EI544" i="23917"/>
  <c r="EI508" i="23917"/>
  <c r="EI446" i="23917"/>
  <c r="EI471" i="23917"/>
  <c r="EI325" i="23917"/>
  <c r="EI365" i="23917"/>
  <c r="EI407" i="23917"/>
  <c r="EI237" i="23917"/>
  <c r="EI286" i="23917"/>
  <c r="EI194" i="23917"/>
  <c r="EI161" i="23917"/>
  <c r="EI108" i="23917"/>
  <c r="EI67" i="23917"/>
  <c r="EM542" i="23917"/>
  <c r="EM506" i="23917"/>
  <c r="EM469" i="23917"/>
  <c r="EM444" i="23917"/>
  <c r="EM363" i="23917"/>
  <c r="EM405" i="23917"/>
  <c r="EM323" i="23917"/>
  <c r="EM284" i="23917"/>
  <c r="EM192" i="23917"/>
  <c r="EM159" i="23917"/>
  <c r="EM235" i="23917"/>
  <c r="EM106" i="23917"/>
  <c r="C543" i="23917"/>
  <c r="C470" i="23917"/>
  <c r="C406" i="23917"/>
  <c r="C324" i="23917"/>
  <c r="C193" i="23917"/>
  <c r="C236" i="23917"/>
  <c r="G543" i="23917"/>
  <c r="G470" i="23917"/>
  <c r="G406" i="23917"/>
  <c r="G324" i="23917"/>
  <c r="G193" i="23917"/>
  <c r="G160" i="23917"/>
  <c r="G236" i="23917"/>
  <c r="G107" i="23917"/>
  <c r="K543" i="23917"/>
  <c r="K507" i="23917"/>
  <c r="K470" i="23917"/>
  <c r="K445" i="23917"/>
  <c r="K364" i="23917"/>
  <c r="K406" i="23917"/>
  <c r="K324" i="23917"/>
  <c r="K285" i="23917"/>
  <c r="K236" i="23917"/>
  <c r="K193" i="23917"/>
  <c r="K160" i="23917"/>
  <c r="K107" i="23917"/>
  <c r="O543" i="23917"/>
  <c r="O507" i="23917"/>
  <c r="O470" i="23917"/>
  <c r="O445" i="23917"/>
  <c r="O364" i="23917"/>
  <c r="O406" i="23917"/>
  <c r="O324" i="23917"/>
  <c r="O285" i="23917"/>
  <c r="O193" i="23917"/>
  <c r="O160" i="23917"/>
  <c r="O236" i="23917"/>
  <c r="O107" i="23917"/>
  <c r="S543" i="23917"/>
  <c r="S507" i="23917"/>
  <c r="S470" i="23917"/>
  <c r="S445" i="23917"/>
  <c r="S406" i="23917"/>
  <c r="S364" i="23917"/>
  <c r="S324" i="23917"/>
  <c r="S285" i="23917"/>
  <c r="S193" i="23917"/>
  <c r="S160" i="23917"/>
  <c r="S236" i="23917"/>
  <c r="S107" i="23917"/>
  <c r="W543" i="23917"/>
  <c r="W507" i="23917"/>
  <c r="W470" i="23917"/>
  <c r="W445" i="23917"/>
  <c r="W406" i="23917"/>
  <c r="W364" i="23917"/>
  <c r="W324" i="23917"/>
  <c r="W285" i="23917"/>
  <c r="W193" i="23917"/>
  <c r="W160" i="23917"/>
  <c r="W236" i="23917"/>
  <c r="W107" i="23917"/>
  <c r="AA543" i="23917"/>
  <c r="AA507" i="23917"/>
  <c r="AA470" i="23917"/>
  <c r="AA445" i="23917"/>
  <c r="AA364" i="23917"/>
  <c r="AA406" i="23917"/>
  <c r="AA324" i="23917"/>
  <c r="AA285" i="23917"/>
  <c r="AA236" i="23917"/>
  <c r="AA193" i="23917"/>
  <c r="AA160" i="23917"/>
  <c r="AA107" i="23917"/>
  <c r="AE543" i="23917"/>
  <c r="AE507" i="23917"/>
  <c r="AE470" i="23917"/>
  <c r="AE445" i="23917"/>
  <c r="AE406" i="23917"/>
  <c r="AE364" i="23917"/>
  <c r="AE324" i="23917"/>
  <c r="AE285" i="23917"/>
  <c r="AE193" i="23917"/>
  <c r="AE160" i="23917"/>
  <c r="AE236" i="23917"/>
  <c r="AE107" i="23917"/>
  <c r="AI543" i="23917"/>
  <c r="AI507" i="23917"/>
  <c r="AI470" i="23917"/>
  <c r="AI445" i="23917"/>
  <c r="AI364" i="23917"/>
  <c r="AI406" i="23917"/>
  <c r="AI324" i="23917"/>
  <c r="AI285" i="23917"/>
  <c r="AI193" i="23917"/>
  <c r="AI160" i="23917"/>
  <c r="AI236" i="23917"/>
  <c r="AI107" i="23917"/>
  <c r="AM543" i="23917"/>
  <c r="AM507" i="23917"/>
  <c r="AM470" i="23917"/>
  <c r="AM445" i="23917"/>
  <c r="AM406" i="23917"/>
  <c r="AM364" i="23917"/>
  <c r="AM324" i="23917"/>
  <c r="AM285" i="23917"/>
  <c r="AM193" i="23917"/>
  <c r="AM160" i="23917"/>
  <c r="AM236" i="23917"/>
  <c r="AM107" i="23917"/>
  <c r="AQ543" i="23917"/>
  <c r="AQ507" i="23917"/>
  <c r="AQ470" i="23917"/>
  <c r="AQ445" i="23917"/>
  <c r="AQ364" i="23917"/>
  <c r="AQ406" i="23917"/>
  <c r="AQ324" i="23917"/>
  <c r="AQ285" i="23917"/>
  <c r="AQ236" i="23917"/>
  <c r="AQ193" i="23917"/>
  <c r="AQ160" i="23917"/>
  <c r="AQ107" i="23917"/>
  <c r="AU543" i="23917"/>
  <c r="AU507" i="23917"/>
  <c r="AU470" i="23917"/>
  <c r="AU445" i="23917"/>
  <c r="AU406" i="23917"/>
  <c r="AU364" i="23917"/>
  <c r="AU285" i="23917"/>
  <c r="AU324" i="23917"/>
  <c r="AU193" i="23917"/>
  <c r="AU160" i="23917"/>
  <c r="AU236" i="23917"/>
  <c r="AU107" i="23917"/>
  <c r="AY543" i="23917"/>
  <c r="AY507" i="23917"/>
  <c r="AY470" i="23917"/>
  <c r="AY445" i="23917"/>
  <c r="AY364" i="23917"/>
  <c r="AY406" i="23917"/>
  <c r="AY324" i="23917"/>
  <c r="AY285" i="23917"/>
  <c r="AY193" i="23917"/>
  <c r="AY160" i="23917"/>
  <c r="AY236" i="23917"/>
  <c r="AY107" i="23917"/>
  <c r="BC543" i="23917"/>
  <c r="BC507" i="23917"/>
  <c r="BC470" i="23917"/>
  <c r="BC445" i="23917"/>
  <c r="BC406" i="23917"/>
  <c r="BC364" i="23917"/>
  <c r="BC324" i="23917"/>
  <c r="BC285" i="23917"/>
  <c r="BC193" i="23917"/>
  <c r="BC160" i="23917"/>
  <c r="BC236" i="23917"/>
  <c r="BC107" i="23917"/>
  <c r="BG543" i="23917"/>
  <c r="BG507" i="23917"/>
  <c r="BG470" i="23917"/>
  <c r="BG445" i="23917"/>
  <c r="BG364" i="23917"/>
  <c r="BG406" i="23917"/>
  <c r="BG324" i="23917"/>
  <c r="BG285" i="23917"/>
  <c r="BG236" i="23917"/>
  <c r="BG193" i="23917"/>
  <c r="BG160" i="23917"/>
  <c r="BG107" i="23917"/>
  <c r="BK543" i="23917"/>
  <c r="BK507" i="23917"/>
  <c r="BK470" i="23917"/>
  <c r="BK445" i="23917"/>
  <c r="BK406" i="23917"/>
  <c r="BK364" i="23917"/>
  <c r="BK285" i="23917"/>
  <c r="BK324" i="23917"/>
  <c r="BK193" i="23917"/>
  <c r="BK160" i="23917"/>
  <c r="BK236" i="23917"/>
  <c r="BK107" i="23917"/>
  <c r="BO543" i="23917"/>
  <c r="BO507" i="23917"/>
  <c r="BO470" i="23917"/>
  <c r="BO445" i="23917"/>
  <c r="BO364" i="23917"/>
  <c r="BO406" i="23917"/>
  <c r="BO324" i="23917"/>
  <c r="BO285" i="23917"/>
  <c r="BO193" i="23917"/>
  <c r="BO160" i="23917"/>
  <c r="BO236" i="23917"/>
  <c r="BO107" i="23917"/>
  <c r="BS543" i="23917"/>
  <c r="BS507" i="23917"/>
  <c r="BS470" i="23917"/>
  <c r="BS445" i="23917"/>
  <c r="BS406" i="23917"/>
  <c r="BS364" i="23917"/>
  <c r="BS324" i="23917"/>
  <c r="BS285" i="23917"/>
  <c r="BS193" i="23917"/>
  <c r="BS160" i="23917"/>
  <c r="BS236" i="23917"/>
  <c r="BS107" i="23917"/>
  <c r="BW543" i="23917"/>
  <c r="BW507" i="23917"/>
  <c r="BW470" i="23917"/>
  <c r="BW445" i="23917"/>
  <c r="BW364" i="23917"/>
  <c r="BW406" i="23917"/>
  <c r="BW324" i="23917"/>
  <c r="BW285" i="23917"/>
  <c r="BW236" i="23917"/>
  <c r="BW193" i="23917"/>
  <c r="BW160" i="23917"/>
  <c r="BW107" i="23917"/>
  <c r="CA543" i="23917"/>
  <c r="CA507" i="23917"/>
  <c r="CA470" i="23917"/>
  <c r="CA445" i="23917"/>
  <c r="CA406" i="23917"/>
  <c r="CA364" i="23917"/>
  <c r="CA285" i="23917"/>
  <c r="CA324" i="23917"/>
  <c r="CA193" i="23917"/>
  <c r="CA160" i="23917"/>
  <c r="CA236" i="23917"/>
  <c r="CA107" i="23917"/>
  <c r="CE543" i="23917"/>
  <c r="CE507" i="23917"/>
  <c r="CE470" i="23917"/>
  <c r="CE445" i="23917"/>
  <c r="CE364" i="23917"/>
  <c r="CE406" i="23917"/>
  <c r="CE324" i="23917"/>
  <c r="CE285" i="23917"/>
  <c r="CE193" i="23917"/>
  <c r="CE160" i="23917"/>
  <c r="CE236" i="23917"/>
  <c r="CE107" i="23917"/>
  <c r="CI543" i="23917"/>
  <c r="CI507" i="23917"/>
  <c r="CI470" i="23917"/>
  <c r="CI445" i="23917"/>
  <c r="CI406" i="23917"/>
  <c r="CI364" i="23917"/>
  <c r="CI324" i="23917"/>
  <c r="CI285" i="23917"/>
  <c r="CI193" i="23917"/>
  <c r="CI160" i="23917"/>
  <c r="CI236" i="23917"/>
  <c r="CI107" i="23917"/>
  <c r="CM543" i="23917"/>
  <c r="CM507" i="23917"/>
  <c r="CM470" i="23917"/>
  <c r="CM445" i="23917"/>
  <c r="CM364" i="23917"/>
  <c r="CM406" i="23917"/>
  <c r="CM324" i="23917"/>
  <c r="CM285" i="23917"/>
  <c r="CM236" i="23917"/>
  <c r="CM193" i="23917"/>
  <c r="CM160" i="23917"/>
  <c r="CM107" i="23917"/>
  <c r="CQ543" i="23917"/>
  <c r="CQ507" i="23917"/>
  <c r="CQ470" i="23917"/>
  <c r="CQ445" i="23917"/>
  <c r="CQ406" i="23917"/>
  <c r="CQ364" i="23917"/>
  <c r="CQ285" i="23917"/>
  <c r="CQ324" i="23917"/>
  <c r="CQ193" i="23917"/>
  <c r="CQ160" i="23917"/>
  <c r="CQ236" i="23917"/>
  <c r="CQ107" i="23917"/>
  <c r="DD543" i="23917"/>
  <c r="DD507" i="23917"/>
  <c r="DD470" i="23917"/>
  <c r="DD445" i="23917"/>
  <c r="DD364" i="23917"/>
  <c r="DD406" i="23917"/>
  <c r="DD324" i="23917"/>
  <c r="DD285" i="23917"/>
  <c r="DD193" i="23917"/>
  <c r="DD160" i="23917"/>
  <c r="DD236" i="23917"/>
  <c r="DD107" i="23917"/>
  <c r="DH543" i="23917"/>
  <c r="DH507" i="23917"/>
  <c r="DH470" i="23917"/>
  <c r="DH445" i="23917"/>
  <c r="DH406" i="23917"/>
  <c r="DH364" i="23917"/>
  <c r="DH324" i="23917"/>
  <c r="DH285" i="23917"/>
  <c r="DH193" i="23917"/>
  <c r="DH160" i="23917"/>
  <c r="DH236" i="23917"/>
  <c r="DH107" i="23917"/>
  <c r="DL543" i="23917"/>
  <c r="DL507" i="23917"/>
  <c r="DL470" i="23917"/>
  <c r="DL445" i="23917"/>
  <c r="DL364" i="23917"/>
  <c r="DL406" i="23917"/>
  <c r="DL324" i="23917"/>
  <c r="DL285" i="23917"/>
  <c r="DL236" i="23917"/>
  <c r="DL193" i="23917"/>
  <c r="DL160" i="23917"/>
  <c r="DL107" i="23917"/>
  <c r="DL66" i="23917"/>
  <c r="DP543" i="23917"/>
  <c r="DP507" i="23917"/>
  <c r="DP470" i="23917"/>
  <c r="DP445" i="23917"/>
  <c r="DP406" i="23917"/>
  <c r="DP364" i="23917"/>
  <c r="DP285" i="23917"/>
  <c r="DP324" i="23917"/>
  <c r="DP193" i="23917"/>
  <c r="DP160" i="23917"/>
  <c r="DP236" i="23917"/>
  <c r="DP107" i="23917"/>
  <c r="DP66" i="23917"/>
  <c r="DT543" i="23917"/>
  <c r="DT507" i="23917"/>
  <c r="DT470" i="23917"/>
  <c r="DT445" i="23917"/>
  <c r="DT364" i="23917"/>
  <c r="DT406" i="23917"/>
  <c r="DT324" i="23917"/>
  <c r="DT285" i="23917"/>
  <c r="DT193" i="23917"/>
  <c r="DT160" i="23917"/>
  <c r="DT236" i="23917"/>
  <c r="DT107" i="23917"/>
  <c r="DT66" i="23917"/>
  <c r="DX543" i="23917"/>
  <c r="DX507" i="23917"/>
  <c r="DX470" i="23917"/>
  <c r="DX445" i="23917"/>
  <c r="DX406" i="23917"/>
  <c r="DX364" i="23917"/>
  <c r="DX324" i="23917"/>
  <c r="DX285" i="23917"/>
  <c r="DX193" i="23917"/>
  <c r="DX160" i="23917"/>
  <c r="DX236" i="23917"/>
  <c r="DX107" i="23917"/>
  <c r="DX66" i="23917"/>
  <c r="EB543" i="23917"/>
  <c r="EB507" i="23917"/>
  <c r="EB470" i="23917"/>
  <c r="EB445" i="23917"/>
  <c r="EB364" i="23917"/>
  <c r="EB406" i="23917"/>
  <c r="EB324" i="23917"/>
  <c r="EB285" i="23917"/>
  <c r="EB236" i="23917"/>
  <c r="EB193" i="23917"/>
  <c r="EB160" i="23917"/>
  <c r="EB107" i="23917"/>
  <c r="EB66" i="23917"/>
  <c r="EF543" i="23917"/>
  <c r="EF507" i="23917"/>
  <c r="EF470" i="23917"/>
  <c r="EF445" i="23917"/>
  <c r="EF406" i="23917"/>
  <c r="EF364" i="23917"/>
  <c r="EF285" i="23917"/>
  <c r="EF324" i="23917"/>
  <c r="EF236" i="23917"/>
  <c r="EF193" i="23917"/>
  <c r="EF160" i="23917"/>
  <c r="EF107" i="23917"/>
  <c r="EF66" i="23917"/>
  <c r="C544" i="23917"/>
  <c r="C508" i="23917"/>
  <c r="C471" i="23917"/>
  <c r="C446" i="23917"/>
  <c r="C365" i="23917"/>
  <c r="C407" i="23917"/>
  <c r="C325" i="23917"/>
  <c r="C286" i="23917"/>
  <c r="C237" i="23917"/>
  <c r="C194" i="23917"/>
  <c r="C161" i="23917"/>
  <c r="C108" i="23917"/>
  <c r="C67" i="23917"/>
  <c r="G544" i="23917"/>
  <c r="G508" i="23917"/>
  <c r="G471" i="23917"/>
  <c r="G446" i="23917"/>
  <c r="G407" i="23917"/>
  <c r="G365" i="23917"/>
  <c r="G325" i="23917"/>
  <c r="G286" i="23917"/>
  <c r="G237" i="23917"/>
  <c r="G194" i="23917"/>
  <c r="G161" i="23917"/>
  <c r="G108" i="23917"/>
  <c r="G67" i="23917"/>
  <c r="K544" i="23917"/>
  <c r="K508" i="23917"/>
  <c r="K471" i="23917"/>
  <c r="K446" i="23917"/>
  <c r="K365" i="23917"/>
  <c r="K407" i="23917"/>
  <c r="K325" i="23917"/>
  <c r="K286" i="23917"/>
  <c r="K237" i="23917"/>
  <c r="K194" i="23917"/>
  <c r="K161" i="23917"/>
  <c r="K108" i="23917"/>
  <c r="K67" i="23917"/>
  <c r="O544" i="23917"/>
  <c r="O508" i="23917"/>
  <c r="O471" i="23917"/>
  <c r="O446" i="23917"/>
  <c r="O407" i="23917"/>
  <c r="O365" i="23917"/>
  <c r="O286" i="23917"/>
  <c r="O325" i="23917"/>
  <c r="O237" i="23917"/>
  <c r="O194" i="23917"/>
  <c r="O161" i="23917"/>
  <c r="O108" i="23917"/>
  <c r="O67" i="23917"/>
  <c r="S544" i="23917"/>
  <c r="S508" i="23917"/>
  <c r="S471" i="23917"/>
  <c r="S446" i="23917"/>
  <c r="S365" i="23917"/>
  <c r="S407" i="23917"/>
  <c r="S325" i="23917"/>
  <c r="S286" i="23917"/>
  <c r="S237" i="23917"/>
  <c r="S194" i="23917"/>
  <c r="S161" i="23917"/>
  <c r="S108" i="23917"/>
  <c r="S67" i="23917"/>
  <c r="W544" i="23917"/>
  <c r="W508" i="23917"/>
  <c r="W471" i="23917"/>
  <c r="W446" i="23917"/>
  <c r="W407" i="23917"/>
  <c r="W365" i="23917"/>
  <c r="W325" i="23917"/>
  <c r="W286" i="23917"/>
  <c r="W237" i="23917"/>
  <c r="W194" i="23917"/>
  <c r="W161" i="23917"/>
  <c r="W108" i="23917"/>
  <c r="W67" i="23917"/>
  <c r="AA544" i="23917"/>
  <c r="AA508" i="23917"/>
  <c r="AA471" i="23917"/>
  <c r="AA446" i="23917"/>
  <c r="AA365" i="23917"/>
  <c r="AA407" i="23917"/>
  <c r="AA325" i="23917"/>
  <c r="AA286" i="23917"/>
  <c r="AA237" i="23917"/>
  <c r="AA194" i="23917"/>
  <c r="AA161" i="23917"/>
  <c r="AA108" i="23917"/>
  <c r="AA67" i="23917"/>
  <c r="AE544" i="23917"/>
  <c r="AE508" i="23917"/>
  <c r="AE471" i="23917"/>
  <c r="AE446" i="23917"/>
  <c r="AE407" i="23917"/>
  <c r="AE365" i="23917"/>
  <c r="AE286" i="23917"/>
  <c r="AE325" i="23917"/>
  <c r="AE237" i="23917"/>
  <c r="AE194" i="23917"/>
  <c r="AE161" i="23917"/>
  <c r="AE108" i="23917"/>
  <c r="AE67" i="23917"/>
  <c r="AI544" i="23917"/>
  <c r="AI508" i="23917"/>
  <c r="AI471" i="23917"/>
  <c r="AI446" i="23917"/>
  <c r="AI365" i="23917"/>
  <c r="AI407" i="23917"/>
  <c r="AI325" i="23917"/>
  <c r="AI286" i="23917"/>
  <c r="AI237" i="23917"/>
  <c r="AI194" i="23917"/>
  <c r="AI161" i="23917"/>
  <c r="AI108" i="23917"/>
  <c r="AI67" i="23917"/>
  <c r="AM544" i="23917"/>
  <c r="AM508" i="23917"/>
  <c r="AM471" i="23917"/>
  <c r="AM446" i="23917"/>
  <c r="AM407" i="23917"/>
  <c r="AM365" i="23917"/>
  <c r="AM325" i="23917"/>
  <c r="AM286" i="23917"/>
  <c r="AM237" i="23917"/>
  <c r="AM194" i="23917"/>
  <c r="AM161" i="23917"/>
  <c r="AM108" i="23917"/>
  <c r="AM67" i="23917"/>
  <c r="AQ544" i="23917"/>
  <c r="AQ508" i="23917"/>
  <c r="AQ471" i="23917"/>
  <c r="AQ446" i="23917"/>
  <c r="AQ365" i="23917"/>
  <c r="AQ407" i="23917"/>
  <c r="AQ325" i="23917"/>
  <c r="AQ286" i="23917"/>
  <c r="AQ237" i="23917"/>
  <c r="AQ194" i="23917"/>
  <c r="AQ161" i="23917"/>
  <c r="AQ108" i="23917"/>
  <c r="AQ67" i="23917"/>
  <c r="AU544" i="23917"/>
  <c r="AU508" i="23917"/>
  <c r="AU471" i="23917"/>
  <c r="AU446" i="23917"/>
  <c r="AU407" i="23917"/>
  <c r="AU365" i="23917"/>
  <c r="AU286" i="23917"/>
  <c r="AU325" i="23917"/>
  <c r="AU237" i="23917"/>
  <c r="AU194" i="23917"/>
  <c r="AU161" i="23917"/>
  <c r="AU108" i="23917"/>
  <c r="AU67" i="23917"/>
  <c r="AY544" i="23917"/>
  <c r="AY508" i="23917"/>
  <c r="AY471" i="23917"/>
  <c r="AY446" i="23917"/>
  <c r="AY365" i="23917"/>
  <c r="AY407" i="23917"/>
  <c r="AY325" i="23917"/>
  <c r="AY286" i="23917"/>
  <c r="AY237" i="23917"/>
  <c r="AY194" i="23917"/>
  <c r="AY161" i="23917"/>
  <c r="AY108" i="23917"/>
  <c r="AY67" i="23917"/>
  <c r="BC544" i="23917"/>
  <c r="BC508" i="23917"/>
  <c r="BC471" i="23917"/>
  <c r="BC446" i="23917"/>
  <c r="BC407" i="23917"/>
  <c r="BC365" i="23917"/>
  <c r="BC325" i="23917"/>
  <c r="BC286" i="23917"/>
  <c r="BC237" i="23917"/>
  <c r="BC194" i="23917"/>
  <c r="BC161" i="23917"/>
  <c r="BC108" i="23917"/>
  <c r="BC67" i="23917"/>
  <c r="BG544" i="23917"/>
  <c r="BG508" i="23917"/>
  <c r="BG471" i="23917"/>
  <c r="BG446" i="23917"/>
  <c r="BG365" i="23917"/>
  <c r="BG407" i="23917"/>
  <c r="BG325" i="23917"/>
  <c r="BG286" i="23917"/>
  <c r="BG237" i="23917"/>
  <c r="BG194" i="23917"/>
  <c r="BG161" i="23917"/>
  <c r="BG108" i="23917"/>
  <c r="BG67" i="23917"/>
  <c r="BK544" i="23917"/>
  <c r="BK508" i="23917"/>
  <c r="BK471" i="23917"/>
  <c r="BK446" i="23917"/>
  <c r="BK407" i="23917"/>
  <c r="BK365" i="23917"/>
  <c r="BK286" i="23917"/>
  <c r="BK325" i="23917"/>
  <c r="BK237" i="23917"/>
  <c r="BK194" i="23917"/>
  <c r="BK161" i="23917"/>
  <c r="BK108" i="23917"/>
  <c r="BK67" i="23917"/>
  <c r="BO544" i="23917"/>
  <c r="BO508" i="23917"/>
  <c r="BO471" i="23917"/>
  <c r="BO446" i="23917"/>
  <c r="BO365" i="23917"/>
  <c r="BO407" i="23917"/>
  <c r="BO325" i="23917"/>
  <c r="BO286" i="23917"/>
  <c r="BO237" i="23917"/>
  <c r="BO194" i="23917"/>
  <c r="BO161" i="23917"/>
  <c r="BO108" i="23917"/>
  <c r="BO67" i="23917"/>
  <c r="BS544" i="23917"/>
  <c r="BS508" i="23917"/>
  <c r="BS471" i="23917"/>
  <c r="BS446" i="23917"/>
  <c r="BS407" i="23917"/>
  <c r="BS365" i="23917"/>
  <c r="BS325" i="23917"/>
  <c r="BS286" i="23917"/>
  <c r="BS237" i="23917"/>
  <c r="BS194" i="23917"/>
  <c r="BS161" i="23917"/>
  <c r="BS108" i="23917"/>
  <c r="BS67" i="23917"/>
  <c r="BW544" i="23917"/>
  <c r="BW508" i="23917"/>
  <c r="BW471" i="23917"/>
  <c r="BW446" i="23917"/>
  <c r="BW365" i="23917"/>
  <c r="BW407" i="23917"/>
  <c r="BW325" i="23917"/>
  <c r="BW286" i="23917"/>
  <c r="BW237" i="23917"/>
  <c r="BW194" i="23917"/>
  <c r="BW161" i="23917"/>
  <c r="BW108" i="23917"/>
  <c r="BW67" i="23917"/>
  <c r="CA544" i="23917"/>
  <c r="CA508" i="23917"/>
  <c r="CA471" i="23917"/>
  <c r="CA446" i="23917"/>
  <c r="CA407" i="23917"/>
  <c r="CA365" i="23917"/>
  <c r="CA286" i="23917"/>
  <c r="CA325" i="23917"/>
  <c r="CA237" i="23917"/>
  <c r="CA194" i="23917"/>
  <c r="CA161" i="23917"/>
  <c r="CA108" i="23917"/>
  <c r="CA67" i="23917"/>
  <c r="CE544" i="23917"/>
  <c r="CE508" i="23917"/>
  <c r="CE471" i="23917"/>
  <c r="CE446" i="23917"/>
  <c r="CE365" i="23917"/>
  <c r="CE407" i="23917"/>
  <c r="CE325" i="23917"/>
  <c r="CE286" i="23917"/>
  <c r="CE237" i="23917"/>
  <c r="CE194" i="23917"/>
  <c r="CE161" i="23917"/>
  <c r="CE108" i="23917"/>
  <c r="CE67" i="23917"/>
  <c r="CI544" i="23917"/>
  <c r="CI508" i="23917"/>
  <c r="CI471" i="23917"/>
  <c r="CI446" i="23917"/>
  <c r="CI407" i="23917"/>
  <c r="CI365" i="23917"/>
  <c r="CI325" i="23917"/>
  <c r="CI286" i="23917"/>
  <c r="CI237" i="23917"/>
  <c r="CI194" i="23917"/>
  <c r="CI161" i="23917"/>
  <c r="CI108" i="23917"/>
  <c r="CI67" i="23917"/>
  <c r="CM544" i="23917"/>
  <c r="CM508" i="23917"/>
  <c r="CM471" i="23917"/>
  <c r="CM446" i="23917"/>
  <c r="CM365" i="23917"/>
  <c r="CM407" i="23917"/>
  <c r="CM325" i="23917"/>
  <c r="CM286" i="23917"/>
  <c r="CM237" i="23917"/>
  <c r="CM194" i="23917"/>
  <c r="CM161" i="23917"/>
  <c r="CM108" i="23917"/>
  <c r="CM67" i="23917"/>
  <c r="CQ544" i="23917"/>
  <c r="CQ508" i="23917"/>
  <c r="CQ471" i="23917"/>
  <c r="CQ446" i="23917"/>
  <c r="CQ407" i="23917"/>
  <c r="CQ365" i="23917"/>
  <c r="CQ286" i="23917"/>
  <c r="CQ325" i="23917"/>
  <c r="CQ237" i="23917"/>
  <c r="CQ194" i="23917"/>
  <c r="CQ161" i="23917"/>
  <c r="CQ108" i="23917"/>
  <c r="CQ67" i="23917"/>
  <c r="DD544" i="23917"/>
  <c r="DD508" i="23917"/>
  <c r="DD471" i="23917"/>
  <c r="DD446" i="23917"/>
  <c r="DD365" i="23917"/>
  <c r="DD407" i="23917"/>
  <c r="DD325" i="23917"/>
  <c r="DD286" i="23917"/>
  <c r="DD237" i="23917"/>
  <c r="DD194" i="23917"/>
  <c r="DD161" i="23917"/>
  <c r="DD108" i="23917"/>
  <c r="DD67" i="23917"/>
  <c r="DH544" i="23917"/>
  <c r="DH508" i="23917"/>
  <c r="DH471" i="23917"/>
  <c r="DH446" i="23917"/>
  <c r="DH407" i="23917"/>
  <c r="DH365" i="23917"/>
  <c r="DH325" i="23917"/>
  <c r="DH286" i="23917"/>
  <c r="DH237" i="23917"/>
  <c r="DH194" i="23917"/>
  <c r="DH161" i="23917"/>
  <c r="DH108" i="23917"/>
  <c r="DH67" i="23917"/>
  <c r="DL544" i="23917"/>
  <c r="DL508" i="23917"/>
  <c r="DL471" i="23917"/>
  <c r="DL446" i="23917"/>
  <c r="DL365" i="23917"/>
  <c r="DL407" i="23917"/>
  <c r="DL325" i="23917"/>
  <c r="DL286" i="23917"/>
  <c r="DL237" i="23917"/>
  <c r="DL194" i="23917"/>
  <c r="DL161" i="23917"/>
  <c r="DL108" i="23917"/>
  <c r="DL67" i="23917"/>
  <c r="DP544" i="23917"/>
  <c r="DP508" i="23917"/>
  <c r="DP471" i="23917"/>
  <c r="DP446" i="23917"/>
  <c r="DP407" i="23917"/>
  <c r="DP365" i="23917"/>
  <c r="DP286" i="23917"/>
  <c r="DP325" i="23917"/>
  <c r="DP237" i="23917"/>
  <c r="DP194" i="23917"/>
  <c r="DP161" i="23917"/>
  <c r="DP108" i="23917"/>
  <c r="DP67" i="23917"/>
  <c r="DT544" i="23917"/>
  <c r="DT508" i="23917"/>
  <c r="DT471" i="23917"/>
  <c r="DT446" i="23917"/>
  <c r="DT407" i="23917"/>
  <c r="DT365" i="23917"/>
  <c r="DT325" i="23917"/>
  <c r="DT286" i="23917"/>
  <c r="DT237" i="23917"/>
  <c r="DT194" i="23917"/>
  <c r="DT161" i="23917"/>
  <c r="DT108" i="23917"/>
  <c r="DT67" i="23917"/>
  <c r="DX544" i="23917"/>
  <c r="DX508" i="23917"/>
  <c r="DX471" i="23917"/>
  <c r="DX446" i="23917"/>
  <c r="DX407" i="23917"/>
  <c r="DX365" i="23917"/>
  <c r="DX325" i="23917"/>
  <c r="DX286" i="23917"/>
  <c r="DX237" i="23917"/>
  <c r="DX194" i="23917"/>
  <c r="DX161" i="23917"/>
  <c r="DX108" i="23917"/>
  <c r="DX67" i="23917"/>
  <c r="EB544" i="23917"/>
  <c r="EB508" i="23917"/>
  <c r="EB471" i="23917"/>
  <c r="EB446" i="23917"/>
  <c r="EB407" i="23917"/>
  <c r="EB365" i="23917"/>
  <c r="EB325" i="23917"/>
  <c r="EB286" i="23917"/>
  <c r="EB237" i="23917"/>
  <c r="EB194" i="23917"/>
  <c r="EB161" i="23917"/>
  <c r="EB108" i="23917"/>
  <c r="EB67" i="23917"/>
  <c r="EF544" i="23917"/>
  <c r="EF508" i="23917"/>
  <c r="EF471" i="23917"/>
  <c r="EF446" i="23917"/>
  <c r="EF407" i="23917"/>
  <c r="EF365" i="23917"/>
  <c r="EF286" i="23917"/>
  <c r="EF325" i="23917"/>
  <c r="EF237" i="23917"/>
  <c r="EF194" i="23917"/>
  <c r="EF161" i="23917"/>
  <c r="EF108" i="23917"/>
  <c r="EF67" i="23917"/>
  <c r="EJ544" i="23917"/>
  <c r="EJ508" i="23917"/>
  <c r="EJ471" i="23917"/>
  <c r="EJ446" i="23917"/>
  <c r="EJ407" i="23917"/>
  <c r="EJ365" i="23917"/>
  <c r="EJ325" i="23917"/>
  <c r="EJ286" i="23917"/>
  <c r="EJ237" i="23917"/>
  <c r="EJ194" i="23917"/>
  <c r="EJ161" i="23917"/>
  <c r="EJ108" i="23917"/>
  <c r="EJ67" i="23917"/>
  <c r="C66" i="23917"/>
  <c r="S66" i="23917"/>
  <c r="AI66" i="23917"/>
  <c r="AY66" i="23917"/>
  <c r="BO66" i="23917"/>
  <c r="CE66" i="23917"/>
  <c r="DD66" i="23917"/>
  <c r="EJ543" i="23917"/>
  <c r="EJ507" i="23917"/>
  <c r="EJ470" i="23917"/>
  <c r="EJ445" i="23917"/>
  <c r="EJ406" i="23917"/>
  <c r="EJ364" i="23917"/>
  <c r="EJ324" i="23917"/>
  <c r="EJ285" i="23917"/>
  <c r="EJ236" i="23917"/>
  <c r="EJ193" i="23917"/>
  <c r="EJ107" i="23917"/>
  <c r="EJ66" i="23917"/>
  <c r="EJ160" i="23917"/>
  <c r="E506" i="23917"/>
  <c r="E444" i="23917"/>
  <c r="E363" i="23917"/>
  <c r="E284" i="23917"/>
  <c r="E192" i="23917"/>
  <c r="E65" i="23917"/>
  <c r="I542" i="23917"/>
  <c r="I469" i="23917"/>
  <c r="I405" i="23917"/>
  <c r="I323" i="23917"/>
  <c r="I235" i="23917"/>
  <c r="I159" i="23917"/>
  <c r="I65" i="23917"/>
  <c r="M506" i="23917"/>
  <c r="M444" i="23917"/>
  <c r="M363" i="23917"/>
  <c r="M284" i="23917"/>
  <c r="M192" i="23917"/>
  <c r="M106" i="23917"/>
  <c r="Q542" i="23917"/>
  <c r="Q469" i="23917"/>
  <c r="Q405" i="23917"/>
  <c r="Q323" i="23917"/>
  <c r="Q235" i="23917"/>
  <c r="Q106" i="23917"/>
  <c r="Q159" i="23917"/>
  <c r="U506" i="23917"/>
  <c r="U444" i="23917"/>
  <c r="U363" i="23917"/>
  <c r="U284" i="23917"/>
  <c r="U192" i="23917"/>
  <c r="U65" i="23917"/>
  <c r="Y542" i="23917"/>
  <c r="Y469" i="23917"/>
  <c r="Y405" i="23917"/>
  <c r="Y323" i="23917"/>
  <c r="Y235" i="23917"/>
  <c r="Y159" i="23917"/>
  <c r="Y65" i="23917"/>
  <c r="AC506" i="23917"/>
  <c r="AC444" i="23917"/>
  <c r="AC363" i="23917"/>
  <c r="AC284" i="23917"/>
  <c r="AC192" i="23917"/>
  <c r="AC106" i="23917"/>
  <c r="AG542" i="23917"/>
  <c r="AG469" i="23917"/>
  <c r="AG405" i="23917"/>
  <c r="AG323" i="23917"/>
  <c r="AG235" i="23917"/>
  <c r="AG106" i="23917"/>
  <c r="AG159" i="23917"/>
  <c r="AK506" i="23917"/>
  <c r="AK444" i="23917"/>
  <c r="AK363" i="23917"/>
  <c r="AK284" i="23917"/>
  <c r="AK192" i="23917"/>
  <c r="AK65" i="23917"/>
  <c r="AO542" i="23917"/>
  <c r="AO469" i="23917"/>
  <c r="AO405" i="23917"/>
  <c r="AO323" i="23917"/>
  <c r="AO235" i="23917"/>
  <c r="AO159" i="23917"/>
  <c r="AO65" i="23917"/>
  <c r="AS506" i="23917"/>
  <c r="AS444" i="23917"/>
  <c r="AS363" i="23917"/>
  <c r="AS284" i="23917"/>
  <c r="AS192" i="23917"/>
  <c r="AS65" i="23917"/>
  <c r="AW542" i="23917"/>
  <c r="AW469" i="23917"/>
  <c r="AW405" i="23917"/>
  <c r="AW284" i="23917"/>
  <c r="AW235" i="23917"/>
  <c r="AW159" i="23917"/>
  <c r="AW65" i="23917"/>
  <c r="BA506" i="23917"/>
  <c r="BA444" i="23917"/>
  <c r="BA363" i="23917"/>
  <c r="BA323" i="23917"/>
  <c r="BA192" i="23917"/>
  <c r="BA65" i="23917"/>
  <c r="BE542" i="23917"/>
  <c r="BE469" i="23917"/>
  <c r="BE405" i="23917"/>
  <c r="BE323" i="23917"/>
  <c r="BE235" i="23917"/>
  <c r="BE159" i="23917"/>
  <c r="BE65" i="23917"/>
  <c r="BI506" i="23917"/>
  <c r="BI444" i="23917"/>
  <c r="BI363" i="23917"/>
  <c r="BI284" i="23917"/>
  <c r="BI192" i="23917"/>
  <c r="BI65" i="23917"/>
  <c r="BM542" i="23917"/>
  <c r="BM469" i="23917"/>
  <c r="BM405" i="23917"/>
  <c r="BM284" i="23917"/>
  <c r="BM235" i="23917"/>
  <c r="BM159" i="23917"/>
  <c r="BM65" i="23917"/>
  <c r="BQ506" i="23917"/>
  <c r="BQ444" i="23917"/>
  <c r="BQ363" i="23917"/>
  <c r="BQ323" i="23917"/>
  <c r="BQ192" i="23917"/>
  <c r="BQ65" i="23917"/>
  <c r="BU542" i="23917"/>
  <c r="BU469" i="23917"/>
  <c r="BU405" i="23917"/>
  <c r="BU323" i="23917"/>
  <c r="BU235" i="23917"/>
  <c r="BU159" i="23917"/>
  <c r="BU65" i="23917"/>
  <c r="BY506" i="23917"/>
  <c r="BY444" i="23917"/>
  <c r="BY363" i="23917"/>
  <c r="BY284" i="23917"/>
  <c r="BY192" i="23917"/>
  <c r="BY65" i="23917"/>
  <c r="CC506" i="23917"/>
  <c r="CC444" i="23917"/>
  <c r="CC363" i="23917"/>
  <c r="CC323" i="23917"/>
  <c r="CC192" i="23917"/>
  <c r="CC106" i="23917"/>
  <c r="CG469" i="23917"/>
  <c r="CG106" i="23917"/>
  <c r="CK506" i="23917"/>
  <c r="CK444" i="23917"/>
  <c r="CK363" i="23917"/>
  <c r="CK284" i="23917"/>
  <c r="CK192" i="23917"/>
  <c r="CK106" i="23917"/>
  <c r="CO323" i="23917"/>
  <c r="CS542" i="23917"/>
  <c r="CS469" i="23917"/>
  <c r="CS405" i="23917"/>
  <c r="CS284" i="23917"/>
  <c r="CS235" i="23917"/>
  <c r="CS159" i="23917"/>
  <c r="CS65" i="23917"/>
  <c r="DF506" i="23917"/>
  <c r="DF444" i="23917"/>
  <c r="DF363" i="23917"/>
  <c r="DF323" i="23917"/>
  <c r="DF192" i="23917"/>
  <c r="DF65" i="23917"/>
  <c r="DJ542" i="23917"/>
  <c r="DJ469" i="23917"/>
  <c r="DJ405" i="23917"/>
  <c r="DJ323" i="23917"/>
  <c r="DJ235" i="23917"/>
  <c r="DJ159" i="23917"/>
  <c r="DJ65" i="23917"/>
  <c r="DN506" i="23917"/>
  <c r="DN444" i="23917"/>
  <c r="DN363" i="23917"/>
  <c r="DN284" i="23917"/>
  <c r="DN192" i="23917"/>
  <c r="DN65" i="23917"/>
  <c r="DR542" i="23917"/>
  <c r="DR469" i="23917"/>
  <c r="DR405" i="23917"/>
  <c r="DR284" i="23917"/>
  <c r="DR235" i="23917"/>
  <c r="DR159" i="23917"/>
  <c r="DR65" i="23917"/>
  <c r="DV506" i="23917"/>
  <c r="DV444" i="23917"/>
  <c r="DV363" i="23917"/>
  <c r="DV323" i="23917"/>
  <c r="DV192" i="23917"/>
  <c r="DV65" i="23917"/>
  <c r="DZ542" i="23917"/>
  <c r="DZ469" i="23917"/>
  <c r="DZ405" i="23917"/>
  <c r="DZ323" i="23917"/>
  <c r="DZ235" i="23917"/>
  <c r="DZ159" i="23917"/>
  <c r="DZ65" i="23917"/>
  <c r="EH542" i="23917"/>
  <c r="EH469" i="23917"/>
  <c r="EH405" i="23917"/>
  <c r="EH284" i="23917"/>
  <c r="EH235" i="23917"/>
  <c r="EH159" i="23917"/>
  <c r="EH65" i="23917"/>
  <c r="D544" i="23917"/>
  <c r="D508" i="23917"/>
  <c r="D471" i="23917"/>
  <c r="D446" i="23917"/>
  <c r="D407" i="23917"/>
  <c r="D365" i="23917"/>
  <c r="D286" i="23917"/>
  <c r="D325" i="23917"/>
  <c r="D237" i="23917"/>
  <c r="D194" i="23917"/>
  <c r="D108" i="23917"/>
  <c r="D67" i="23917"/>
  <c r="D161" i="23917"/>
  <c r="H544" i="23917"/>
  <c r="H508" i="23917"/>
  <c r="H471" i="23917"/>
  <c r="H446" i="23917"/>
  <c r="H407" i="23917"/>
  <c r="H365" i="23917"/>
  <c r="H325" i="23917"/>
  <c r="H286" i="23917"/>
  <c r="H237" i="23917"/>
  <c r="H194" i="23917"/>
  <c r="H161" i="23917"/>
  <c r="H108" i="23917"/>
  <c r="H67" i="23917"/>
  <c r="L544" i="23917"/>
  <c r="L508" i="23917"/>
  <c r="L471" i="23917"/>
  <c r="L446" i="23917"/>
  <c r="L407" i="23917"/>
  <c r="L365" i="23917"/>
  <c r="L325" i="23917"/>
  <c r="L286" i="23917"/>
  <c r="L237" i="23917"/>
  <c r="L194" i="23917"/>
  <c r="L108" i="23917"/>
  <c r="L67" i="23917"/>
  <c r="L161" i="23917"/>
  <c r="P544" i="23917"/>
  <c r="P508" i="23917"/>
  <c r="P471" i="23917"/>
  <c r="P446" i="23917"/>
  <c r="P407" i="23917"/>
  <c r="P365" i="23917"/>
  <c r="P286" i="23917"/>
  <c r="P325" i="23917"/>
  <c r="P237" i="23917"/>
  <c r="P194" i="23917"/>
  <c r="P161" i="23917"/>
  <c r="P108" i="23917"/>
  <c r="P67" i="23917"/>
  <c r="T544" i="23917"/>
  <c r="T508" i="23917"/>
  <c r="T471" i="23917"/>
  <c r="T446" i="23917"/>
  <c r="T407" i="23917"/>
  <c r="T365" i="23917"/>
  <c r="T286" i="23917"/>
  <c r="T325" i="23917"/>
  <c r="T237" i="23917"/>
  <c r="T194" i="23917"/>
  <c r="T108" i="23917"/>
  <c r="T67" i="23917"/>
  <c r="T161" i="23917"/>
  <c r="X544" i="23917"/>
  <c r="X508" i="23917"/>
  <c r="X471" i="23917"/>
  <c r="X446" i="23917"/>
  <c r="X407" i="23917"/>
  <c r="X365" i="23917"/>
  <c r="X325" i="23917"/>
  <c r="X286" i="23917"/>
  <c r="X237" i="23917"/>
  <c r="X194" i="23917"/>
  <c r="X161" i="23917"/>
  <c r="X108" i="23917"/>
  <c r="X67" i="23917"/>
  <c r="AB544" i="23917"/>
  <c r="AB508" i="23917"/>
  <c r="AB471" i="23917"/>
  <c r="AB446" i="23917"/>
  <c r="AB407" i="23917"/>
  <c r="AB365" i="23917"/>
  <c r="AB325" i="23917"/>
  <c r="AB286" i="23917"/>
  <c r="AB237" i="23917"/>
  <c r="AB194" i="23917"/>
  <c r="AB161" i="23917"/>
  <c r="AB108" i="23917"/>
  <c r="AB67" i="23917"/>
  <c r="AF544" i="23917"/>
  <c r="AF508" i="23917"/>
  <c r="AF471" i="23917"/>
  <c r="AF446" i="23917"/>
  <c r="AF407" i="23917"/>
  <c r="AF365" i="23917"/>
  <c r="AF286" i="23917"/>
  <c r="AF325" i="23917"/>
  <c r="AF237" i="23917"/>
  <c r="AF194" i="23917"/>
  <c r="AF161" i="23917"/>
  <c r="AF108" i="23917"/>
  <c r="AF67" i="23917"/>
  <c r="AJ544" i="23917"/>
  <c r="AJ508" i="23917"/>
  <c r="AJ471" i="23917"/>
  <c r="AJ446" i="23917"/>
  <c r="AJ407" i="23917"/>
  <c r="AJ365" i="23917"/>
  <c r="AJ286" i="23917"/>
  <c r="AJ325" i="23917"/>
  <c r="AJ237" i="23917"/>
  <c r="AJ194" i="23917"/>
  <c r="AJ161" i="23917"/>
  <c r="AJ108" i="23917"/>
  <c r="AJ67" i="23917"/>
  <c r="AN544" i="23917"/>
  <c r="AN508" i="23917"/>
  <c r="AN471" i="23917"/>
  <c r="AN446" i="23917"/>
  <c r="AN407" i="23917"/>
  <c r="AN365" i="23917"/>
  <c r="AN325" i="23917"/>
  <c r="AN286" i="23917"/>
  <c r="AN237" i="23917"/>
  <c r="AN194" i="23917"/>
  <c r="AN161" i="23917"/>
  <c r="AN108" i="23917"/>
  <c r="AN67" i="23917"/>
  <c r="AR544" i="23917"/>
  <c r="AR508" i="23917"/>
  <c r="AR471" i="23917"/>
  <c r="AR446" i="23917"/>
  <c r="AR407" i="23917"/>
  <c r="AR365" i="23917"/>
  <c r="AR325" i="23917"/>
  <c r="AR286" i="23917"/>
  <c r="AR237" i="23917"/>
  <c r="AR194" i="23917"/>
  <c r="AR161" i="23917"/>
  <c r="AR108" i="23917"/>
  <c r="AR67" i="23917"/>
  <c r="AV544" i="23917"/>
  <c r="AV508" i="23917"/>
  <c r="AV471" i="23917"/>
  <c r="AV446" i="23917"/>
  <c r="AV407" i="23917"/>
  <c r="AV365" i="23917"/>
  <c r="AV286" i="23917"/>
  <c r="AV325" i="23917"/>
  <c r="AV237" i="23917"/>
  <c r="AV194" i="23917"/>
  <c r="AV161" i="23917"/>
  <c r="AV108" i="23917"/>
  <c r="AV67" i="23917"/>
  <c r="AZ544" i="23917"/>
  <c r="AZ508" i="23917"/>
  <c r="AZ471" i="23917"/>
  <c r="AZ446" i="23917"/>
  <c r="AZ407" i="23917"/>
  <c r="AZ365" i="23917"/>
  <c r="AZ286" i="23917"/>
  <c r="AZ325" i="23917"/>
  <c r="AZ237" i="23917"/>
  <c r="AZ194" i="23917"/>
  <c r="AZ161" i="23917"/>
  <c r="AZ108" i="23917"/>
  <c r="AZ67" i="23917"/>
  <c r="BD544" i="23917"/>
  <c r="BD508" i="23917"/>
  <c r="BD471" i="23917"/>
  <c r="BD446" i="23917"/>
  <c r="BD407" i="23917"/>
  <c r="BD365" i="23917"/>
  <c r="BD325" i="23917"/>
  <c r="BD286" i="23917"/>
  <c r="BD237" i="23917"/>
  <c r="BD194" i="23917"/>
  <c r="BD161" i="23917"/>
  <c r="BD108" i="23917"/>
  <c r="BD67" i="23917"/>
  <c r="BH544" i="23917"/>
  <c r="BH508" i="23917"/>
  <c r="BH471" i="23917"/>
  <c r="BH446" i="23917"/>
  <c r="BH407" i="23917"/>
  <c r="BH365" i="23917"/>
  <c r="BH325" i="23917"/>
  <c r="BH286" i="23917"/>
  <c r="BH237" i="23917"/>
  <c r="BH194" i="23917"/>
  <c r="BH161" i="23917"/>
  <c r="BH108" i="23917"/>
  <c r="BH67" i="23917"/>
  <c r="BL544" i="23917"/>
  <c r="BL508" i="23917"/>
  <c r="BL471" i="23917"/>
  <c r="BL446" i="23917"/>
  <c r="BL407" i="23917"/>
  <c r="BL365" i="23917"/>
  <c r="BL286" i="23917"/>
  <c r="BL325" i="23917"/>
  <c r="BL237" i="23917"/>
  <c r="BL194" i="23917"/>
  <c r="BL161" i="23917"/>
  <c r="BL108" i="23917"/>
  <c r="BL67" i="23917"/>
  <c r="BP544" i="23917"/>
  <c r="BP508" i="23917"/>
  <c r="BP471" i="23917"/>
  <c r="BP446" i="23917"/>
  <c r="BP407" i="23917"/>
  <c r="BP365" i="23917"/>
  <c r="BP286" i="23917"/>
  <c r="BP325" i="23917"/>
  <c r="BP237" i="23917"/>
  <c r="BP194" i="23917"/>
  <c r="BP161" i="23917"/>
  <c r="BP108" i="23917"/>
  <c r="BP67" i="23917"/>
  <c r="BT544" i="23917"/>
  <c r="BT508" i="23917"/>
  <c r="BT471" i="23917"/>
  <c r="BT446" i="23917"/>
  <c r="BT407" i="23917"/>
  <c r="BT365" i="23917"/>
  <c r="BT325" i="23917"/>
  <c r="BT286" i="23917"/>
  <c r="BT237" i="23917"/>
  <c r="BT194" i="23917"/>
  <c r="BT161" i="23917"/>
  <c r="BT108" i="23917"/>
  <c r="BT67" i="23917"/>
  <c r="BX544" i="23917"/>
  <c r="BX508" i="23917"/>
  <c r="BX471" i="23917"/>
  <c r="BX446" i="23917"/>
  <c r="BX407" i="23917"/>
  <c r="BX365" i="23917"/>
  <c r="BX325" i="23917"/>
  <c r="BX286" i="23917"/>
  <c r="BX237" i="23917"/>
  <c r="BX194" i="23917"/>
  <c r="BX161" i="23917"/>
  <c r="BX108" i="23917"/>
  <c r="BX67" i="23917"/>
  <c r="CB544" i="23917"/>
  <c r="CB508" i="23917"/>
  <c r="CB471" i="23917"/>
  <c r="CB446" i="23917"/>
  <c r="CB407" i="23917"/>
  <c r="CB365" i="23917"/>
  <c r="CB286" i="23917"/>
  <c r="CB325" i="23917"/>
  <c r="CB237" i="23917"/>
  <c r="CB194" i="23917"/>
  <c r="CB161" i="23917"/>
  <c r="CB108" i="23917"/>
  <c r="CB67" i="23917"/>
  <c r="CF544" i="23917"/>
  <c r="CF508" i="23917"/>
  <c r="CF471" i="23917"/>
  <c r="CF446" i="23917"/>
  <c r="CF407" i="23917"/>
  <c r="CF365" i="23917"/>
  <c r="CF286" i="23917"/>
  <c r="CF325" i="23917"/>
  <c r="CF237" i="23917"/>
  <c r="CF194" i="23917"/>
  <c r="CF161" i="23917"/>
  <c r="CF108" i="23917"/>
  <c r="CF67" i="23917"/>
  <c r="CJ544" i="23917"/>
  <c r="CJ508" i="23917"/>
  <c r="CJ471" i="23917"/>
  <c r="CJ446" i="23917"/>
  <c r="CJ407" i="23917"/>
  <c r="CJ365" i="23917"/>
  <c r="CJ325" i="23917"/>
  <c r="CJ286" i="23917"/>
  <c r="CJ237" i="23917"/>
  <c r="CJ194" i="23917"/>
  <c r="CJ161" i="23917"/>
  <c r="CJ108" i="23917"/>
  <c r="CJ67" i="23917"/>
  <c r="CN544" i="23917"/>
  <c r="CN508" i="23917"/>
  <c r="CN471" i="23917"/>
  <c r="CN446" i="23917"/>
  <c r="CN407" i="23917"/>
  <c r="CN365" i="23917"/>
  <c r="CN325" i="23917"/>
  <c r="CN286" i="23917"/>
  <c r="CN237" i="23917"/>
  <c r="CN194" i="23917"/>
  <c r="CN161" i="23917"/>
  <c r="CN108" i="23917"/>
  <c r="CN67" i="23917"/>
  <c r="CR544" i="23917"/>
  <c r="CR508" i="23917"/>
  <c r="CR471" i="23917"/>
  <c r="CR446" i="23917"/>
  <c r="CR407" i="23917"/>
  <c r="CR365" i="23917"/>
  <c r="CR286" i="23917"/>
  <c r="CR325" i="23917"/>
  <c r="CR237" i="23917"/>
  <c r="CR194" i="23917"/>
  <c r="CR161" i="23917"/>
  <c r="CR108" i="23917"/>
  <c r="CR67" i="23917"/>
  <c r="DE544" i="23917"/>
  <c r="DE508" i="23917"/>
  <c r="DE471" i="23917"/>
  <c r="DE446" i="23917"/>
  <c r="DE407" i="23917"/>
  <c r="DE365" i="23917"/>
  <c r="DE286" i="23917"/>
  <c r="DE325" i="23917"/>
  <c r="DE237" i="23917"/>
  <c r="DE194" i="23917"/>
  <c r="DE161" i="23917"/>
  <c r="DE108" i="23917"/>
  <c r="DE67" i="23917"/>
  <c r="DI544" i="23917"/>
  <c r="DI508" i="23917"/>
  <c r="DI471" i="23917"/>
  <c r="DI446" i="23917"/>
  <c r="DI407" i="23917"/>
  <c r="DI365" i="23917"/>
  <c r="DI325" i="23917"/>
  <c r="DI286" i="23917"/>
  <c r="DI237" i="23917"/>
  <c r="DI194" i="23917"/>
  <c r="DI161" i="23917"/>
  <c r="DI108" i="23917"/>
  <c r="DI67" i="23917"/>
  <c r="DM544" i="23917"/>
  <c r="DM508" i="23917"/>
  <c r="DM471" i="23917"/>
  <c r="DM446" i="23917"/>
  <c r="DM407" i="23917"/>
  <c r="DM365" i="23917"/>
  <c r="DM325" i="23917"/>
  <c r="DM286" i="23917"/>
  <c r="DM237" i="23917"/>
  <c r="DM194" i="23917"/>
  <c r="DM161" i="23917"/>
  <c r="DM108" i="23917"/>
  <c r="DM67" i="23917"/>
  <c r="DQ544" i="23917"/>
  <c r="DQ508" i="23917"/>
  <c r="DQ471" i="23917"/>
  <c r="DQ446" i="23917"/>
  <c r="DQ407" i="23917"/>
  <c r="DQ365" i="23917"/>
  <c r="DQ286" i="23917"/>
  <c r="DQ325" i="23917"/>
  <c r="DQ237" i="23917"/>
  <c r="DQ194" i="23917"/>
  <c r="DQ161" i="23917"/>
  <c r="DQ108" i="23917"/>
  <c r="DQ67" i="23917"/>
  <c r="DU544" i="23917"/>
  <c r="DU508" i="23917"/>
  <c r="DU471" i="23917"/>
  <c r="DU446" i="23917"/>
  <c r="DU407" i="23917"/>
  <c r="DU365" i="23917"/>
  <c r="DU286" i="23917"/>
  <c r="DU325" i="23917"/>
  <c r="DU237" i="23917"/>
  <c r="DU194" i="23917"/>
  <c r="DU161" i="23917"/>
  <c r="DU108" i="23917"/>
  <c r="DU67" i="23917"/>
  <c r="DY544" i="23917"/>
  <c r="DY508" i="23917"/>
  <c r="DY471" i="23917"/>
  <c r="DY446" i="23917"/>
  <c r="DY407" i="23917"/>
  <c r="DY365" i="23917"/>
  <c r="DY325" i="23917"/>
  <c r="DY286" i="23917"/>
  <c r="DY237" i="23917"/>
  <c r="DY194" i="23917"/>
  <c r="DY161" i="23917"/>
  <c r="DY108" i="23917"/>
  <c r="DY67" i="23917"/>
  <c r="EG544" i="23917"/>
  <c r="EG508" i="23917"/>
  <c r="EG471" i="23917"/>
  <c r="EG446" i="23917"/>
  <c r="EG407" i="23917"/>
  <c r="EG365" i="23917"/>
  <c r="EG286" i="23917"/>
  <c r="EG325" i="23917"/>
  <c r="EG237" i="23917"/>
  <c r="EG194" i="23917"/>
  <c r="EG161" i="23917"/>
  <c r="EG108" i="23917"/>
  <c r="EG67" i="23917"/>
  <c r="EM544" i="23917"/>
  <c r="EM508" i="23917"/>
  <c r="EM471" i="23917"/>
  <c r="EM446" i="23917"/>
  <c r="EM407" i="23917"/>
  <c r="EM365" i="23917"/>
  <c r="EM286" i="23917"/>
  <c r="EM325" i="23917"/>
  <c r="EM237" i="23917"/>
  <c r="EM194" i="23917"/>
  <c r="EM161" i="23917"/>
  <c r="EM108" i="23917"/>
  <c r="EM67" i="23917"/>
  <c r="G66" i="23917"/>
  <c r="W66" i="23917"/>
  <c r="AM66" i="23917"/>
  <c r="BC66" i="23917"/>
  <c r="BS66" i="23917"/>
  <c r="CI66" i="23917"/>
  <c r="DH66" i="23917"/>
  <c r="Y270" i="23917"/>
  <c r="AG270" i="23917"/>
  <c r="AK270" i="23917"/>
  <c r="AO270" i="23917"/>
  <c r="O256" i="23917"/>
  <c r="N263" i="23917"/>
  <c r="W256" i="23917"/>
  <c r="V263" i="23917"/>
  <c r="AE256" i="23917"/>
  <c r="AD263" i="23917"/>
  <c r="AM256" i="23917"/>
  <c r="AL263" i="23917"/>
  <c r="AU256" i="23917"/>
  <c r="O268" i="23917"/>
  <c r="W268" i="23917"/>
  <c r="AE268" i="23917"/>
  <c r="AM268" i="23917"/>
  <c r="CE270" i="23917"/>
  <c r="CM270" i="23917"/>
  <c r="K269" i="23917"/>
  <c r="S269" i="23917"/>
  <c r="AA269" i="23917"/>
  <c r="AI269" i="23917"/>
  <c r="AY269" i="23917"/>
  <c r="AQ269" i="23917"/>
  <c r="AA270" i="23917"/>
  <c r="AQ270" i="23917"/>
  <c r="AE270" i="23917"/>
  <c r="AM270" i="23917"/>
  <c r="S268" i="23917"/>
  <c r="AA268" i="23917"/>
  <c r="AI268" i="23917"/>
  <c r="AQ268" i="23917"/>
  <c r="CI270" i="23917"/>
  <c r="K268" i="23917"/>
  <c r="O269" i="23917"/>
  <c r="W269" i="23917"/>
  <c r="AD276" i="23917"/>
  <c r="AE269" i="23917"/>
  <c r="AU269" i="23917"/>
  <c r="AM269" i="23917"/>
  <c r="L263" i="23917"/>
  <c r="M256" i="23917"/>
  <c r="U256" i="23917"/>
  <c r="AB263" i="23917"/>
  <c r="AC256" i="23917"/>
  <c r="AS256" i="23917"/>
  <c r="AJ263" i="23917"/>
  <c r="AK256" i="23917"/>
  <c r="R260" i="23917"/>
  <c r="AD260" i="23917"/>
  <c r="AH260" i="23917"/>
  <c r="J262" i="23917"/>
  <c r="N262" i="23917"/>
  <c r="R262" i="23917"/>
  <c r="V262" i="23917"/>
  <c r="Z262" i="23917"/>
  <c r="AD262" i="23917"/>
  <c r="AH262" i="23917"/>
  <c r="AL262" i="23917"/>
  <c r="AP262" i="23917"/>
  <c r="AR263" i="23917"/>
  <c r="DQ269" i="23917"/>
  <c r="DY269" i="23917"/>
  <c r="N243" i="23917"/>
  <c r="DI247" i="23917"/>
  <c r="AT250" i="23917"/>
  <c r="DG253" i="23917"/>
  <c r="W240" i="23917"/>
  <c r="AM240" i="23917"/>
  <c r="AU240" i="23917"/>
  <c r="DN242" i="23917"/>
  <c r="DN244" i="23917"/>
  <c r="DV242" i="23917"/>
  <c r="DO243" i="23917"/>
  <c r="DT244" i="23917"/>
  <c r="EB244" i="23917"/>
  <c r="K243" i="23917"/>
  <c r="AI243" i="23917"/>
  <c r="AQ243" i="23917"/>
  <c r="CO242" i="23917"/>
  <c r="AY243" i="23917"/>
  <c r="M247" i="23917"/>
  <c r="Q247" i="23917"/>
  <c r="U247" i="23917"/>
  <c r="Y247" i="23917"/>
  <c r="AC247" i="23917"/>
  <c r="AG247" i="23917"/>
  <c r="AK247" i="23917"/>
  <c r="AO247" i="23917"/>
  <c r="AS247" i="23917"/>
  <c r="AW247" i="23917"/>
  <c r="BA247" i="23917"/>
  <c r="BE247" i="23917"/>
  <c r="BI247" i="23917"/>
  <c r="BM247" i="23917"/>
  <c r="BQ247" i="23917"/>
  <c r="BU247" i="23917"/>
  <c r="BY247" i="23917"/>
  <c r="CC247" i="23917"/>
  <c r="CG247" i="23917"/>
  <c r="CK247" i="23917"/>
  <c r="DG249" i="23917"/>
  <c r="P250" i="23917"/>
  <c r="R249" i="23917"/>
  <c r="X250" i="23917"/>
  <c r="Z249" i="23917"/>
  <c r="AF250" i="23917"/>
  <c r="AH249" i="23917"/>
  <c r="AN250" i="23917"/>
  <c r="AP249" i="23917"/>
  <c r="K253" i="23917"/>
  <c r="O253" i="23917"/>
  <c r="S253" i="23917"/>
  <c r="W253" i="23917"/>
  <c r="AA253" i="23917"/>
  <c r="AE253" i="23917"/>
  <c r="AI253" i="23917"/>
  <c r="AM253" i="23917"/>
  <c r="AQ253" i="23917"/>
  <c r="DG254" i="23917"/>
  <c r="DK254" i="23917"/>
  <c r="DO254" i="23917"/>
  <c r="K254" i="23917"/>
  <c r="O254" i="23917"/>
  <c r="S254" i="23917"/>
  <c r="W254" i="23917"/>
  <c r="AA254" i="23917"/>
  <c r="AE254" i="23917"/>
  <c r="AI254" i="23917"/>
  <c r="AM254" i="23917"/>
  <c r="AQ254" i="23917"/>
  <c r="AU254" i="23917"/>
  <c r="AY254" i="23917"/>
  <c r="J256" i="23917"/>
  <c r="AH256" i="23917"/>
  <c r="AP256" i="23917"/>
  <c r="CO255" i="23917"/>
  <c r="CQ257" i="23917"/>
  <c r="DI255" i="23917"/>
  <c r="DM255" i="23917"/>
  <c r="DY255" i="23917"/>
  <c r="DJ259" i="23917"/>
  <c r="DN259" i="23917"/>
  <c r="DR259" i="23917"/>
  <c r="DV259" i="23917"/>
  <c r="DZ259" i="23917"/>
  <c r="AS255" i="23917"/>
  <c r="AW255" i="23917"/>
  <c r="CK255" i="23917"/>
  <c r="AY262" i="23917"/>
  <c r="BC262" i="23917"/>
  <c r="BG262" i="23917"/>
  <c r="BK262" i="23917"/>
  <c r="BO262" i="23917"/>
  <c r="BS262" i="23917"/>
  <c r="BW262" i="23917"/>
  <c r="CE262" i="23917"/>
  <c r="CI262" i="23917"/>
  <c r="DT262" i="23917"/>
  <c r="DX262" i="23917"/>
  <c r="J265" i="23917"/>
  <c r="L265" i="23917"/>
  <c r="N265" i="23917"/>
  <c r="R265" i="23917"/>
  <c r="T265" i="23917"/>
  <c r="V265" i="23917"/>
  <c r="Z265" i="23917"/>
  <c r="AB265" i="23917"/>
  <c r="AD265" i="23917"/>
  <c r="AH265" i="23917"/>
  <c r="AJ265" i="23917"/>
  <c r="AL265" i="23917"/>
  <c r="AP265" i="23917"/>
  <c r="AR265" i="23917"/>
  <c r="L268" i="23917"/>
  <c r="T268" i="23917"/>
  <c r="AB268" i="23917"/>
  <c r="AJ268" i="23917"/>
  <c r="AR268" i="23917"/>
  <c r="L269" i="23917"/>
  <c r="P269" i="23917"/>
  <c r="T269" i="23917"/>
  <c r="X269" i="23917"/>
  <c r="AB269" i="23917"/>
  <c r="AF269" i="23917"/>
  <c r="AJ269" i="23917"/>
  <c r="AN269" i="23917"/>
  <c r="CF270" i="23917"/>
  <c r="CJ270" i="23917"/>
  <c r="CN270" i="23917"/>
  <c r="AJ271" i="23917"/>
  <c r="DH240" i="23917"/>
  <c r="DX241" i="23917"/>
  <c r="AF243" i="23917"/>
  <c r="AN243" i="23917"/>
  <c r="CH247" i="23917"/>
  <c r="DK247" i="23917"/>
  <c r="DW247" i="23917"/>
  <c r="DG250" i="23917"/>
  <c r="R250" i="23917"/>
  <c r="Z250" i="23917"/>
  <c r="AH250" i="23917"/>
  <c r="AP250" i="23917"/>
  <c r="AS253" i="23917"/>
  <c r="L262" i="23917"/>
  <c r="P262" i="23917"/>
  <c r="T262" i="23917"/>
  <c r="X262" i="23917"/>
  <c r="AB262" i="23917"/>
  <c r="AF262" i="23917"/>
  <c r="AJ262" i="23917"/>
  <c r="AN262" i="23917"/>
  <c r="CJ262" i="23917"/>
  <c r="J264" i="23917"/>
  <c r="L264" i="23917"/>
  <c r="N264" i="23917"/>
  <c r="P264" i="23917"/>
  <c r="R264" i="23917"/>
  <c r="T264" i="23917"/>
  <c r="V264" i="23917"/>
  <c r="X264" i="23917"/>
  <c r="Z264" i="23917"/>
  <c r="AB264" i="23917"/>
  <c r="AD264" i="23917"/>
  <c r="AF264" i="23917"/>
  <c r="AH264" i="23917"/>
  <c r="AJ264" i="23917"/>
  <c r="AL264" i="23917"/>
  <c r="AN264" i="23917"/>
  <c r="AP264" i="23917"/>
  <c r="DG269" i="23917"/>
  <c r="DO269" i="23917"/>
  <c r="DS269" i="23917"/>
  <c r="DT241" i="23917"/>
  <c r="V243" i="23917"/>
  <c r="AD243" i="23917"/>
  <c r="AL243" i="23917"/>
  <c r="DM247" i="23917"/>
  <c r="DU247" i="23917"/>
  <c r="N250" i="23917"/>
  <c r="V250" i="23917"/>
  <c r="AD250" i="23917"/>
  <c r="AL250" i="23917"/>
  <c r="O240" i="23917"/>
  <c r="AE240" i="23917"/>
  <c r="DZ241" i="23917"/>
  <c r="DJ242" i="23917"/>
  <c r="DR242" i="23917"/>
  <c r="DP244" i="23917"/>
  <c r="DX244" i="23917"/>
  <c r="S243" i="23917"/>
  <c r="AA243" i="23917"/>
  <c r="CO247" i="23917"/>
  <c r="DK243" i="23917"/>
  <c r="X243" i="23917"/>
  <c r="CD247" i="23917"/>
  <c r="CL247" i="23917"/>
  <c r="DG247" i="23917"/>
  <c r="DO247" i="23917"/>
  <c r="M240" i="23917"/>
  <c r="U240" i="23917"/>
  <c r="AC240" i="23917"/>
  <c r="AK240" i="23917"/>
  <c r="AS240" i="23917"/>
  <c r="DV241" i="23917"/>
  <c r="DH244" i="23917"/>
  <c r="DL244" i="23917"/>
  <c r="DT242" i="23917"/>
  <c r="DX242" i="23917"/>
  <c r="AK243" i="23917"/>
  <c r="CE242" i="23917"/>
  <c r="CM242" i="23917"/>
  <c r="K247" i="23917"/>
  <c r="O247" i="23917"/>
  <c r="S247" i="23917"/>
  <c r="W247" i="23917"/>
  <c r="AA247" i="23917"/>
  <c r="AE247" i="23917"/>
  <c r="AI247" i="23917"/>
  <c r="AM247" i="23917"/>
  <c r="AQ247" i="23917"/>
  <c r="AU247" i="23917"/>
  <c r="AY247" i="23917"/>
  <c r="BC247" i="23917"/>
  <c r="BG247" i="23917"/>
  <c r="BK247" i="23917"/>
  <c r="BO247" i="23917"/>
  <c r="BS247" i="23917"/>
  <c r="BW247" i="23917"/>
  <c r="N249" i="23917"/>
  <c r="V249" i="23917"/>
  <c r="AD249" i="23917"/>
  <c r="AL249" i="23917"/>
  <c r="AT249" i="23917"/>
  <c r="DI254" i="23917"/>
  <c r="AK254" i="23917"/>
  <c r="AO254" i="23917"/>
  <c r="X256" i="23917"/>
  <c r="AN256" i="23917"/>
  <c r="DG255" i="23917"/>
  <c r="DT259" i="23917"/>
  <c r="DX259" i="23917"/>
  <c r="AU255" i="23917"/>
  <c r="AY255" i="23917"/>
  <c r="CG255" i="23917"/>
  <c r="AS262" i="23917"/>
  <c r="BA262" i="23917"/>
  <c r="BE262" i="23917"/>
  <c r="BI262" i="23917"/>
  <c r="BM262" i="23917"/>
  <c r="BQ262" i="23917"/>
  <c r="BU262" i="23917"/>
  <c r="BY262" i="23917"/>
  <c r="CC262" i="23917"/>
  <c r="CG262" i="23917"/>
  <c r="CO262" i="23917"/>
  <c r="DV262" i="23917"/>
  <c r="DZ230" i="24142"/>
  <c r="DH166" i="23917"/>
  <c r="DL166" i="23917"/>
  <c r="DL232" i="24142"/>
  <c r="DP166" i="23917"/>
  <c r="DP232" i="24142"/>
  <c r="CP232" i="24142"/>
  <c r="DJ230" i="24142"/>
  <c r="DD166" i="23917"/>
  <c r="DL230" i="24142"/>
  <c r="DP230" i="24142"/>
  <c r="EA246" i="24142"/>
  <c r="CS246" i="24142"/>
  <c r="DG21" i="23917"/>
  <c r="DW21" i="23917"/>
  <c r="CH21" i="23917"/>
  <c r="J289" i="24142"/>
  <c r="O21" i="23917"/>
  <c r="CM21" i="23917"/>
  <c r="CE21" i="23917"/>
  <c r="DM21" i="23917"/>
  <c r="DQ21" i="23917"/>
  <c r="DU21" i="23917"/>
  <c r="BC21" i="23917"/>
  <c r="AU21" i="23917"/>
  <c r="EF554" i="23917"/>
  <c r="DF554" i="23917"/>
  <c r="DH554" i="23917"/>
  <c r="E21" i="23917"/>
  <c r="Q21" i="23917"/>
  <c r="BO21" i="23917"/>
  <c r="Q43" i="23917"/>
  <c r="AM43" i="23917"/>
  <c r="BC43" i="23917"/>
  <c r="AI21" i="23917"/>
  <c r="AA21" i="23917"/>
  <c r="BI21" i="23917"/>
  <c r="BQ43" i="23917"/>
  <c r="E43" i="23917"/>
  <c r="DZ40" i="23917"/>
  <c r="I41" i="23917"/>
  <c r="Q41" i="23917"/>
  <c r="C43" i="23917"/>
  <c r="AN34" i="24142"/>
  <c r="BD43" i="23917"/>
  <c r="BO43" i="23917"/>
  <c r="BY43" i="23917"/>
  <c r="CI43" i="23917"/>
  <c r="C41" i="23917"/>
  <c r="K41" i="23917"/>
  <c r="S41" i="23917"/>
  <c r="AA41" i="23917"/>
  <c r="AE41" i="23917"/>
  <c r="AM41" i="23917"/>
  <c r="AQ41" i="23917"/>
  <c r="AU41" i="23917"/>
  <c r="AY41" i="23917"/>
  <c r="BC41" i="23917"/>
  <c r="BK41" i="23917"/>
  <c r="CK41" i="23917"/>
  <c r="CQ40" i="23917"/>
  <c r="CS41" i="23917"/>
  <c r="T34" i="24142"/>
  <c r="AZ34" i="24142"/>
  <c r="BK43" i="23917"/>
  <c r="EJ21" i="23917"/>
  <c r="EB41" i="23917"/>
  <c r="E41" i="23917"/>
  <c r="DO34" i="24142"/>
  <c r="AV34" i="24142"/>
  <c r="BG43" i="23917"/>
  <c r="AE21" i="23917"/>
  <c r="U41" i="23917"/>
  <c r="AS41" i="23917"/>
  <c r="BE41" i="23917"/>
  <c r="BI41" i="23917"/>
  <c r="BQ41" i="23917"/>
  <c r="G43" i="23917"/>
  <c r="W43" i="23917"/>
  <c r="BS43" i="23917"/>
  <c r="CM43" i="23917"/>
  <c r="F89" i="23917"/>
  <c r="N89" i="23917"/>
  <c r="Z89" i="23917"/>
  <c r="DI95" i="23917"/>
  <c r="DI85" i="24142"/>
  <c r="DI94" i="23917"/>
  <c r="BZ85" i="24142"/>
  <c r="BZ95" i="23917"/>
  <c r="BZ94" i="23917"/>
  <c r="CH99" i="23917"/>
  <c r="DG88" i="24142"/>
  <c r="DI89" i="23917"/>
  <c r="L89" i="23917"/>
  <c r="X89" i="23917"/>
  <c r="DE85" i="24142"/>
  <c r="DE95" i="23917"/>
  <c r="DE94" i="23917"/>
  <c r="BV99" i="23917"/>
  <c r="L88" i="24142"/>
  <c r="X91" i="23917"/>
  <c r="X88" i="24142"/>
  <c r="AB89" i="23917"/>
  <c r="BP99" i="23917"/>
  <c r="AR95" i="23917"/>
  <c r="AR94" i="23917"/>
  <c r="AR85" i="24142"/>
  <c r="AV95" i="23917"/>
  <c r="AV85" i="24142"/>
  <c r="AV94" i="23917"/>
  <c r="AZ95" i="23917"/>
  <c r="AZ94" i="23917"/>
  <c r="BD95" i="23917"/>
  <c r="BH85" i="24142"/>
  <c r="BL85" i="24142"/>
  <c r="BL94" i="23917"/>
  <c r="BP95" i="23917"/>
  <c r="BP94" i="23917"/>
  <c r="BT95" i="23917"/>
  <c r="BX85" i="24142"/>
  <c r="CF95" i="23917"/>
  <c r="CF94" i="23917"/>
  <c r="AJ95" i="23917"/>
  <c r="AJ96" i="23917"/>
  <c r="AJ94" i="23917"/>
  <c r="AJ85" i="24142"/>
  <c r="BH96" i="23917"/>
  <c r="BR96" i="23917"/>
  <c r="BZ96" i="23917"/>
  <c r="CF96" i="23917"/>
  <c r="CN96" i="23917"/>
  <c r="F88" i="24142"/>
  <c r="J89" i="23917"/>
  <c r="DM85" i="24142"/>
  <c r="DM95" i="23917"/>
  <c r="DM94" i="23917"/>
  <c r="DQ85" i="24142"/>
  <c r="DQ95" i="23917"/>
  <c r="DQ94" i="23917"/>
  <c r="DM96" i="23917"/>
  <c r="DQ96" i="23917"/>
  <c r="DU96" i="23917"/>
  <c r="DY96" i="23917"/>
  <c r="AL96" i="23917"/>
  <c r="AL95" i="23917"/>
  <c r="BT96" i="23917"/>
  <c r="CA96" i="23917"/>
  <c r="DU85" i="24142"/>
  <c r="DU95" i="23917"/>
  <c r="DU94" i="23917"/>
  <c r="DY95" i="23917"/>
  <c r="DY85" i="24142"/>
  <c r="DY94" i="23917"/>
  <c r="AP95" i="23917"/>
  <c r="AP85" i="24142"/>
  <c r="AP94" i="23917"/>
  <c r="BF94" i="23917"/>
  <c r="BJ95" i="23917"/>
  <c r="CA95" i="23917"/>
  <c r="CA85" i="24142"/>
  <c r="CA94" i="23917"/>
  <c r="BR94" i="23917"/>
  <c r="BV95" i="23917"/>
  <c r="AV96" i="23917"/>
  <c r="BL96" i="23917"/>
  <c r="BV96" i="23917"/>
  <c r="CJ95" i="23917"/>
  <c r="CJ85" i="24142"/>
  <c r="CJ94" i="23917"/>
  <c r="H88" i="24142"/>
  <c r="H89" i="23917"/>
  <c r="AP96" i="23917"/>
  <c r="BX96" i="23917"/>
  <c r="I94" i="23917"/>
  <c r="Y94" i="23917"/>
  <c r="M85" i="24142"/>
  <c r="U85" i="24142"/>
  <c r="E95" i="23917"/>
  <c r="M95" i="23917"/>
  <c r="O94" i="23917"/>
  <c r="G85" i="24142"/>
  <c r="W85" i="24142"/>
  <c r="G95" i="23917"/>
  <c r="O95" i="23917"/>
  <c r="W95" i="23917"/>
  <c r="Q85" i="24142"/>
  <c r="Y85" i="24142"/>
  <c r="I95" i="23917"/>
  <c r="M94" i="23917"/>
  <c r="E85" i="24142"/>
  <c r="K85" i="24142"/>
  <c r="S85" i="24142"/>
  <c r="C95" i="23917"/>
  <c r="K95" i="23917"/>
  <c r="S95" i="23917"/>
  <c r="C96" i="23917"/>
  <c r="S96" i="23917"/>
  <c r="G96" i="23917"/>
  <c r="W96" i="23917"/>
  <c r="DZ324" i="23917" l="1"/>
  <c r="DV160" i="23917"/>
  <c r="DV507" i="23917"/>
  <c r="DN66" i="23917"/>
  <c r="DJ470" i="23917"/>
  <c r="CG445" i="23917"/>
  <c r="BM406" i="23917"/>
  <c r="Q507" i="23917"/>
  <c r="EJ56" i="24142"/>
  <c r="DT339" i="24142"/>
  <c r="DL96" i="24142"/>
  <c r="DL403" i="24142"/>
  <c r="DD169" i="24142"/>
  <c r="DD476" i="24142"/>
  <c r="CM258" i="24142"/>
  <c r="CA169" i="24142"/>
  <c r="CA440" i="24142"/>
  <c r="BS258" i="24142"/>
  <c r="BK297" i="24142"/>
  <c r="BC96" i="24142"/>
  <c r="BC403" i="24142"/>
  <c r="AU258" i="24142"/>
  <c r="AM403" i="24142"/>
  <c r="AE258" i="24142"/>
  <c r="W403" i="24142"/>
  <c r="O258" i="24142"/>
  <c r="G403" i="24142"/>
  <c r="EJ339" i="24142"/>
  <c r="AE56" i="24142"/>
  <c r="CG378" i="24142"/>
  <c r="DZ66" i="23917"/>
  <c r="DZ445" i="23917"/>
  <c r="DV236" i="23917"/>
  <c r="DR285" i="23917"/>
  <c r="CS160" i="23917"/>
  <c r="AW193" i="23917"/>
  <c r="AC193" i="23917"/>
  <c r="I107" i="23917"/>
  <c r="DT221" i="24142"/>
  <c r="DT476" i="24142"/>
  <c r="DL169" i="24142"/>
  <c r="DD339" i="24142"/>
  <c r="CM96" i="24142"/>
  <c r="CM403" i="24142"/>
  <c r="CA297" i="24142"/>
  <c r="BS96" i="24142"/>
  <c r="BS403" i="24142"/>
  <c r="BK169" i="24142"/>
  <c r="BK440" i="24142"/>
  <c r="BC258" i="24142"/>
  <c r="AU403" i="24142"/>
  <c r="AM258" i="24142"/>
  <c r="AE403" i="24142"/>
  <c r="W258" i="24142"/>
  <c r="O403" i="24142"/>
  <c r="G258" i="24142"/>
  <c r="EJ169" i="24142"/>
  <c r="EJ476" i="24142"/>
  <c r="CG258" i="24142"/>
  <c r="DZ193" i="23917"/>
  <c r="EB339" i="24142"/>
  <c r="DD96" i="24142"/>
  <c r="CM169" i="24142"/>
  <c r="CA96" i="24142"/>
  <c r="BS169" i="24142"/>
  <c r="AU169" i="24142"/>
  <c r="AE169" i="24142"/>
  <c r="O169" i="24142"/>
  <c r="EB169" i="24142"/>
  <c r="EB96" i="24142"/>
  <c r="EB378" i="24142"/>
  <c r="EB221" i="24142"/>
  <c r="CG235" i="23917"/>
  <c r="CG542" i="23917"/>
  <c r="EB284" i="23917"/>
  <c r="DT444" i="23917"/>
  <c r="DL65" i="23917"/>
  <c r="DD363" i="23917"/>
  <c r="CM542" i="23917"/>
  <c r="CA469" i="23917"/>
  <c r="BK235" i="23917"/>
  <c r="BC506" i="23917"/>
  <c r="AU106" i="23917"/>
  <c r="AM363" i="23917"/>
  <c r="W192" i="23917"/>
  <c r="O469" i="23917"/>
  <c r="EJ323" i="23917"/>
  <c r="DV56" i="24142"/>
  <c r="EB259" i="24142"/>
  <c r="DX134" i="24142"/>
  <c r="DX441" i="24142"/>
  <c r="DT298" i="24142"/>
  <c r="DP222" i="24142"/>
  <c r="DL170" i="24142"/>
  <c r="DL379" i="24142"/>
  <c r="DH298" i="24142"/>
  <c r="DD134" i="24142"/>
  <c r="DD477" i="24142"/>
  <c r="CM97" i="24142"/>
  <c r="CI340" i="24142"/>
  <c r="CA170" i="24142"/>
  <c r="BW298" i="24142"/>
  <c r="BS477" i="24142"/>
  <c r="BK259" i="24142"/>
  <c r="BG441" i="24142"/>
  <c r="AY222" i="24142"/>
  <c r="AU379" i="24142"/>
  <c r="AM134" i="24142"/>
  <c r="AA97" i="24142"/>
  <c r="W340" i="24142"/>
  <c r="O170" i="24142"/>
  <c r="K298" i="24142"/>
  <c r="G477" i="24142"/>
  <c r="EH298" i="24142"/>
  <c r="DF378" i="24142"/>
  <c r="AC133" i="24142"/>
  <c r="E297" i="24142"/>
  <c r="CG284" i="23917"/>
  <c r="EB405" i="23917"/>
  <c r="DL284" i="23917"/>
  <c r="CM65" i="23917"/>
  <c r="BS192" i="23917"/>
  <c r="AU235" i="23917"/>
  <c r="AE106" i="23917"/>
  <c r="W363" i="23917"/>
  <c r="G192" i="23917"/>
  <c r="DN56" i="24142"/>
  <c r="BY56" i="24142"/>
  <c r="AS56" i="24142"/>
  <c r="EB340" i="24142"/>
  <c r="DX222" i="24142"/>
  <c r="DT170" i="24142"/>
  <c r="DT379" i="24142"/>
  <c r="DP298" i="24142"/>
  <c r="DL134" i="24142"/>
  <c r="DL477" i="24142"/>
  <c r="DH379" i="24142"/>
  <c r="DD259" i="24142"/>
  <c r="CQ97" i="24142"/>
  <c r="CM298" i="24142"/>
  <c r="CA259" i="24142"/>
  <c r="BO222" i="24142"/>
  <c r="BC134" i="24142"/>
  <c r="AQ97" i="24142"/>
  <c r="AM340" i="24142"/>
  <c r="AE170" i="24142"/>
  <c r="AA298" i="24142"/>
  <c r="O259" i="24142"/>
  <c r="CI169" i="24142"/>
  <c r="BQ258" i="24142"/>
  <c r="CG159" i="23917"/>
  <c r="CG405" i="23917"/>
  <c r="EB170" i="24142"/>
  <c r="EB379" i="24142"/>
  <c r="DX298" i="24142"/>
  <c r="DT134" i="24142"/>
  <c r="DT477" i="24142"/>
  <c r="DP379" i="24142"/>
  <c r="DL259" i="24142"/>
  <c r="DH134" i="24142"/>
  <c r="DH441" i="24142"/>
  <c r="DD340" i="24142"/>
  <c r="EA40" i="23917"/>
  <c r="EM40" i="23917"/>
  <c r="CT265" i="24142"/>
  <c r="CT330" i="23917"/>
  <c r="CT264" i="24142"/>
  <c r="CT329" i="23917"/>
  <c r="CT48" i="24142"/>
  <c r="CT57" i="23917"/>
  <c r="CT182" i="24142"/>
  <c r="CT119" i="23917"/>
  <c r="CT486" i="24142"/>
  <c r="CT552" i="23917"/>
  <c r="CX242" i="24142"/>
  <c r="CX178" i="23917"/>
  <c r="DA166" i="23917"/>
  <c r="CZ166" i="23917"/>
  <c r="CZ241" i="24142"/>
  <c r="CZ177" i="23917"/>
  <c r="CX241" i="24142"/>
  <c r="CX177" i="23917"/>
  <c r="CZ227" i="24142"/>
  <c r="CZ165" i="23917"/>
  <c r="AF34" i="24142"/>
  <c r="ED18" i="24142"/>
  <c r="ED18" i="23917"/>
  <c r="EK290" i="24142"/>
  <c r="EK356" i="23917"/>
  <c r="CT263" i="24142"/>
  <c r="CT328" i="23917"/>
  <c r="CT482" i="24142"/>
  <c r="CT548" i="23917"/>
  <c r="CZ242" i="24142"/>
  <c r="CZ178" i="23917"/>
  <c r="CX227" i="24142"/>
  <c r="CX165" i="23917"/>
  <c r="ED22" i="24142"/>
  <c r="ED25" i="23917"/>
  <c r="DZ543" i="23917"/>
  <c r="DZ470" i="23917"/>
  <c r="DZ406" i="23917"/>
  <c r="DZ285" i="23917"/>
  <c r="DZ236" i="23917"/>
  <c r="DZ107" i="23917"/>
  <c r="DZ160" i="23917"/>
  <c r="DV445" i="23917"/>
  <c r="DV324" i="23917"/>
  <c r="DV193" i="23917"/>
  <c r="DV66" i="23917"/>
  <c r="DR543" i="23917"/>
  <c r="DR406" i="23917"/>
  <c r="DR193" i="23917"/>
  <c r="DR160" i="23917"/>
  <c r="DN507" i="23917"/>
  <c r="DN364" i="23917"/>
  <c r="DN193" i="23917"/>
  <c r="DJ543" i="23917"/>
  <c r="DJ406" i="23917"/>
  <c r="DJ236" i="23917"/>
  <c r="DJ160" i="23917"/>
  <c r="DJ285" i="23917"/>
  <c r="DF507" i="23917"/>
  <c r="DF364" i="23917"/>
  <c r="DF193" i="23917"/>
  <c r="DF445" i="23917"/>
  <c r="DF66" i="23917"/>
  <c r="CS470" i="23917"/>
  <c r="CS285" i="23917"/>
  <c r="CS107" i="23917"/>
  <c r="CS543" i="23917"/>
  <c r="CS193" i="23917"/>
  <c r="CO445" i="23917"/>
  <c r="CO285" i="23917"/>
  <c r="CO66" i="23917"/>
  <c r="CO364" i="23917"/>
  <c r="CK543" i="23917"/>
  <c r="CK406" i="23917"/>
  <c r="CK236" i="23917"/>
  <c r="CK160" i="23917"/>
  <c r="CK470" i="23917"/>
  <c r="CK107" i="23917"/>
  <c r="CG507" i="23917"/>
  <c r="CG364" i="23917"/>
  <c r="CG193" i="23917"/>
  <c r="CG324" i="23917"/>
  <c r="CC470" i="23917"/>
  <c r="CC285" i="23917"/>
  <c r="CC107" i="23917"/>
  <c r="CC406" i="23917"/>
  <c r="CC160" i="23917"/>
  <c r="BY445" i="23917"/>
  <c r="BY285" i="23917"/>
  <c r="BY66" i="23917"/>
  <c r="BY507" i="23917"/>
  <c r="BY193" i="23917"/>
  <c r="BU543" i="23917"/>
  <c r="BU406" i="23917"/>
  <c r="BU236" i="23917"/>
  <c r="BU160" i="23917"/>
  <c r="BU285" i="23917"/>
  <c r="BQ507" i="23917"/>
  <c r="BQ364" i="23917"/>
  <c r="BQ193" i="23917"/>
  <c r="BQ445" i="23917"/>
  <c r="BQ66" i="23917"/>
  <c r="BM470" i="23917"/>
  <c r="BM285" i="23917"/>
  <c r="BM107" i="23917"/>
  <c r="BM543" i="23917"/>
  <c r="BM193" i="23917"/>
  <c r="BI445" i="23917"/>
  <c r="BI285" i="23917"/>
  <c r="BI66" i="23917"/>
  <c r="BI364" i="23917"/>
  <c r="BE543" i="23917"/>
  <c r="BE406" i="23917"/>
  <c r="BE236" i="23917"/>
  <c r="BE160" i="23917"/>
  <c r="BE470" i="23917"/>
  <c r="BE107" i="23917"/>
  <c r="BA507" i="23917"/>
  <c r="BA364" i="23917"/>
  <c r="BA193" i="23917"/>
  <c r="BA324" i="23917"/>
  <c r="AW470" i="23917"/>
  <c r="AW285" i="23917"/>
  <c r="AW107" i="23917"/>
  <c r="AW406" i="23917"/>
  <c r="AW160" i="23917"/>
  <c r="AS445" i="23917"/>
  <c r="AS285" i="23917"/>
  <c r="AS66" i="23917"/>
  <c r="AS507" i="23917"/>
  <c r="AS193" i="23917"/>
  <c r="AO543" i="23917"/>
  <c r="AO406" i="23917"/>
  <c r="AO236" i="23917"/>
  <c r="AO160" i="23917"/>
  <c r="AO324" i="23917"/>
  <c r="AK543" i="23917"/>
  <c r="AK364" i="23917"/>
  <c r="AK193" i="23917"/>
  <c r="AK445" i="23917"/>
  <c r="AK66" i="23917"/>
  <c r="AG470" i="23917"/>
  <c r="AG324" i="23917"/>
  <c r="AG107" i="23917"/>
  <c r="AG507" i="23917"/>
  <c r="AG193" i="23917"/>
  <c r="AC445" i="23917"/>
  <c r="AC285" i="23917"/>
  <c r="AC107" i="23917"/>
  <c r="AC364" i="23917"/>
  <c r="Y543" i="23917"/>
  <c r="Y406" i="23917"/>
  <c r="Y236" i="23917"/>
  <c r="Y160" i="23917"/>
  <c r="Y470" i="23917"/>
  <c r="Y107" i="23917"/>
  <c r="U543" i="23917"/>
  <c r="U364" i="23917"/>
  <c r="U193" i="23917"/>
  <c r="U285" i="23917"/>
  <c r="Q470" i="23917"/>
  <c r="Q324" i="23917"/>
  <c r="Q107" i="23917"/>
  <c r="Q406" i="23917"/>
  <c r="Q160" i="23917"/>
  <c r="M445" i="23917"/>
  <c r="M285" i="23917"/>
  <c r="M107" i="23917"/>
  <c r="M507" i="23917"/>
  <c r="M193" i="23917"/>
  <c r="I543" i="23917"/>
  <c r="I406" i="23917"/>
  <c r="I236" i="23917"/>
  <c r="I160" i="23917"/>
  <c r="I324" i="23917"/>
  <c r="G507" i="23917"/>
  <c r="G445" i="23917"/>
  <c r="G364" i="23917"/>
  <c r="G285" i="23917"/>
  <c r="E543" i="23917"/>
  <c r="E364" i="23917"/>
  <c r="E193" i="23917"/>
  <c r="E445" i="23917"/>
  <c r="E66" i="23917"/>
  <c r="C507" i="23917"/>
  <c r="C445" i="23917"/>
  <c r="C364" i="23917"/>
  <c r="C285" i="23917"/>
  <c r="C160" i="23917"/>
  <c r="C107" i="23917"/>
  <c r="EJ506" i="23917"/>
  <c r="EJ542" i="23917"/>
  <c r="EJ363" i="23917"/>
  <c r="EJ192" i="23917"/>
  <c r="EF542" i="23917"/>
  <c r="EF506" i="23917"/>
  <c r="EF405" i="23917"/>
  <c r="EF192" i="23917"/>
  <c r="EB506" i="23917"/>
  <c r="EB444" i="23917"/>
  <c r="EB363" i="23917"/>
  <c r="EB159" i="23917"/>
  <c r="DX542" i="23917"/>
  <c r="DX469" i="23917"/>
  <c r="DX235" i="23917"/>
  <c r="DX106" i="23917"/>
  <c r="DT506" i="23917"/>
  <c r="DT542" i="23917"/>
  <c r="DT405" i="23917"/>
  <c r="DT284" i="23917"/>
  <c r="DT65" i="23917"/>
  <c r="DP542" i="23917"/>
  <c r="DP506" i="23917"/>
  <c r="DP405" i="23917"/>
  <c r="DP192" i="23917"/>
  <c r="DL506" i="23917"/>
  <c r="DL444" i="23917"/>
  <c r="DL363" i="23917"/>
  <c r="DL159" i="23917"/>
  <c r="DH542" i="23917"/>
  <c r="DH469" i="23917"/>
  <c r="DH235" i="23917"/>
  <c r="DH106" i="23917"/>
  <c r="DD506" i="23917"/>
  <c r="DD542" i="23917"/>
  <c r="DD405" i="23917"/>
  <c r="DD284" i="23917"/>
  <c r="DD65" i="23917"/>
  <c r="CQ542" i="23917"/>
  <c r="CQ506" i="23917"/>
  <c r="CQ405" i="23917"/>
  <c r="CQ192" i="23917"/>
  <c r="CM506" i="23917"/>
  <c r="CM444" i="23917"/>
  <c r="CM363" i="23917"/>
  <c r="CM159" i="23917"/>
  <c r="CA542" i="23917"/>
  <c r="CA506" i="23917"/>
  <c r="CA405" i="23917"/>
  <c r="CA192" i="23917"/>
  <c r="BW506" i="23917"/>
  <c r="BW444" i="23917"/>
  <c r="BW363" i="23917"/>
  <c r="BW159" i="23917"/>
  <c r="BS542" i="23917"/>
  <c r="BS469" i="23917"/>
  <c r="BS235" i="23917"/>
  <c r="BS106" i="23917"/>
  <c r="BO506" i="23917"/>
  <c r="BO542" i="23917"/>
  <c r="BO405" i="23917"/>
  <c r="BO284" i="23917"/>
  <c r="BO65" i="23917"/>
  <c r="BK542" i="23917"/>
  <c r="BK506" i="23917"/>
  <c r="BK405" i="23917"/>
  <c r="BK192" i="23917"/>
  <c r="BG506" i="23917"/>
  <c r="BG444" i="23917"/>
  <c r="BG363" i="23917"/>
  <c r="BG159" i="23917"/>
  <c r="BC542" i="23917"/>
  <c r="BC469" i="23917"/>
  <c r="BC235" i="23917"/>
  <c r="BC106" i="23917"/>
  <c r="AY506" i="23917"/>
  <c r="AY542" i="23917"/>
  <c r="AY405" i="23917"/>
  <c r="AY284" i="23917"/>
  <c r="AY65" i="23917"/>
  <c r="AU542" i="23917"/>
  <c r="AU506" i="23917"/>
  <c r="AU405" i="23917"/>
  <c r="AU192" i="23917"/>
  <c r="AQ506" i="23917"/>
  <c r="AQ444" i="23917"/>
  <c r="AQ235" i="23917"/>
  <c r="AQ159" i="23917"/>
  <c r="AM542" i="23917"/>
  <c r="AM469" i="23917"/>
  <c r="AM323" i="23917"/>
  <c r="AM106" i="23917"/>
  <c r="AI506" i="23917"/>
  <c r="AI542" i="23917"/>
  <c r="AI405" i="23917"/>
  <c r="AI284" i="23917"/>
  <c r="AI65" i="23917"/>
  <c r="AE542" i="23917"/>
  <c r="AE506" i="23917"/>
  <c r="AE363" i="23917"/>
  <c r="AE192" i="23917"/>
  <c r="AA506" i="23917"/>
  <c r="AA444" i="23917"/>
  <c r="AA235" i="23917"/>
  <c r="AA159" i="23917"/>
  <c r="W542" i="23917"/>
  <c r="W469" i="23917"/>
  <c r="W323" i="23917"/>
  <c r="W106" i="23917"/>
  <c r="S506" i="23917"/>
  <c r="S542" i="23917"/>
  <c r="S405" i="23917"/>
  <c r="S284" i="23917"/>
  <c r="S65" i="23917"/>
  <c r="O542" i="23917"/>
  <c r="O506" i="23917"/>
  <c r="O363" i="23917"/>
  <c r="O192" i="23917"/>
  <c r="K506" i="23917"/>
  <c r="K444" i="23917"/>
  <c r="K235" i="23917"/>
  <c r="K159" i="23917"/>
  <c r="G506" i="23917"/>
  <c r="G469" i="23917"/>
  <c r="G323" i="23917"/>
  <c r="G106" i="23917"/>
  <c r="C506" i="23917"/>
  <c r="C542" i="23917"/>
  <c r="C405" i="23917"/>
  <c r="C284" i="23917"/>
  <c r="C65" i="23917"/>
  <c r="CO106" i="23917"/>
  <c r="CO469" i="23917"/>
  <c r="EF222" i="24142"/>
  <c r="EF379" i="24142"/>
  <c r="EA21" i="23917"/>
  <c r="ED21" i="23917"/>
  <c r="EC257" i="23917"/>
  <c r="AW262" i="23917"/>
  <c r="CA356" i="23917"/>
  <c r="DI34" i="24142"/>
  <c r="DE34" i="24142"/>
  <c r="CK249" i="24142"/>
  <c r="CK183" i="23917"/>
  <c r="CD352" i="23917"/>
  <c r="AK110" i="24142"/>
  <c r="AK206" i="23917"/>
  <c r="AT43" i="23917"/>
  <c r="AT34" i="24142"/>
  <c r="AP43" i="23917"/>
  <c r="AP34" i="24142"/>
  <c r="AE43" i="23917"/>
  <c r="AD43" i="23917"/>
  <c r="DP41" i="23917"/>
  <c r="DM43" i="23917"/>
  <c r="DN41" i="23917"/>
  <c r="DM41" i="23917"/>
  <c r="H452" i="24142"/>
  <c r="I409" i="24142"/>
  <c r="I495" i="23917"/>
  <c r="DG386" i="24142"/>
  <c r="DC452" i="23917"/>
  <c r="DK336" i="23917"/>
  <c r="DE147" i="23917"/>
  <c r="DE209" i="24142"/>
  <c r="D177" i="24142"/>
  <c r="D114" i="23917"/>
  <c r="CK43" i="23917"/>
  <c r="CJ43" i="23917"/>
  <c r="K43" i="23917"/>
  <c r="J43" i="23917"/>
  <c r="J34" i="24142"/>
  <c r="DC451" i="23917"/>
  <c r="BF273" i="24142"/>
  <c r="AH273" i="24142"/>
  <c r="AP273" i="24142"/>
  <c r="CP336" i="23917"/>
  <c r="CO182" i="24142"/>
  <c r="CO119" i="23917"/>
  <c r="CI182" i="24142"/>
  <c r="CI119" i="23917"/>
  <c r="BU182" i="24142"/>
  <c r="BU119" i="23917"/>
  <c r="AW182" i="24142"/>
  <c r="AW119" i="23917"/>
  <c r="AS182" i="24142"/>
  <c r="AS119" i="23917"/>
  <c r="AO182" i="24142"/>
  <c r="AO119" i="23917"/>
  <c r="AK182" i="24142"/>
  <c r="AK119" i="23917"/>
  <c r="Q182" i="24142"/>
  <c r="Q119" i="23917"/>
  <c r="M182" i="24142"/>
  <c r="M119" i="23917"/>
  <c r="I182" i="24142"/>
  <c r="I119" i="23917"/>
  <c r="E182" i="24142"/>
  <c r="E119" i="23917"/>
  <c r="CO112" i="23917"/>
  <c r="CO204" i="24142"/>
  <c r="CO142" i="23917"/>
  <c r="CC112" i="23917"/>
  <c r="CC175" i="24142"/>
  <c r="BO175" i="24142"/>
  <c r="BO112" i="23917"/>
  <c r="BO142" i="23917"/>
  <c r="AY175" i="24142"/>
  <c r="AY112" i="23917"/>
  <c r="AY142" i="23917"/>
  <c r="AI142" i="23917"/>
  <c r="AI175" i="24142"/>
  <c r="S142" i="23917"/>
  <c r="S175" i="24142"/>
  <c r="BO249" i="24142"/>
  <c r="BO183" i="23917"/>
  <c r="BK249" i="24142"/>
  <c r="BK183" i="23917"/>
  <c r="BG249" i="24142"/>
  <c r="BG183" i="23917"/>
  <c r="BC249" i="24142"/>
  <c r="BC183" i="23917"/>
  <c r="AY249" i="24142"/>
  <c r="AY183" i="23917"/>
  <c r="AU249" i="24142"/>
  <c r="AU183" i="23917"/>
  <c r="AQ249" i="24142"/>
  <c r="AQ183" i="23917"/>
  <c r="AM249" i="24142"/>
  <c r="AM183" i="23917"/>
  <c r="AI249" i="24142"/>
  <c r="AI183" i="23917"/>
  <c r="AE249" i="24142"/>
  <c r="AE183" i="23917"/>
  <c r="AA249" i="24142"/>
  <c r="AA183" i="23917"/>
  <c r="W249" i="24142"/>
  <c r="W183" i="23917"/>
  <c r="S249" i="24142"/>
  <c r="S183" i="23917"/>
  <c r="O249" i="24142"/>
  <c r="O183" i="23917"/>
  <c r="K249" i="24142"/>
  <c r="K183" i="23917"/>
  <c r="G249" i="24142"/>
  <c r="G183" i="23917"/>
  <c r="C249" i="24142"/>
  <c r="C183" i="23917"/>
  <c r="AT297" i="23917"/>
  <c r="H297" i="23917"/>
  <c r="Z291" i="23917"/>
  <c r="J291" i="23917"/>
  <c r="AF206" i="23917"/>
  <c r="P206" i="23917"/>
  <c r="DC109" i="24142"/>
  <c r="Y260" i="23917"/>
  <c r="AG260" i="23917"/>
  <c r="CJ247" i="23917"/>
  <c r="Z338" i="23917"/>
  <c r="N335" i="23917"/>
  <c r="R297" i="23917"/>
  <c r="AD291" i="23917"/>
  <c r="N227" i="23917"/>
  <c r="BS109" i="24142"/>
  <c r="BS205" i="23917"/>
  <c r="CL99" i="23917"/>
  <c r="S43" i="23917"/>
  <c r="AU43" i="23917"/>
  <c r="I43" i="23917"/>
  <c r="AF256" i="23917"/>
  <c r="P256" i="23917"/>
  <c r="DK269" i="23917"/>
  <c r="T271" i="23917"/>
  <c r="AN268" i="23917"/>
  <c r="AF268" i="23917"/>
  <c r="X268" i="23917"/>
  <c r="P268" i="23917"/>
  <c r="AN265" i="23917"/>
  <c r="AF265" i="23917"/>
  <c r="X265" i="23917"/>
  <c r="P265" i="23917"/>
  <c r="CM262" i="23917"/>
  <c r="AU262" i="23917"/>
  <c r="T263" i="23917"/>
  <c r="DP272" i="23917"/>
  <c r="AU270" i="23917"/>
  <c r="S270" i="23917"/>
  <c r="AY270" i="23917"/>
  <c r="AP276" i="23917"/>
  <c r="Z276" i="23917"/>
  <c r="CL276" i="23917"/>
  <c r="AW270" i="23917"/>
  <c r="AS270" i="23917"/>
  <c r="AC270" i="23917"/>
  <c r="U270" i="23917"/>
  <c r="EH106" i="23917"/>
  <c r="EH192" i="23917"/>
  <c r="EH323" i="23917"/>
  <c r="EH363" i="23917"/>
  <c r="EH444" i="23917"/>
  <c r="DZ106" i="23917"/>
  <c r="DZ192" i="23917"/>
  <c r="DZ284" i="23917"/>
  <c r="DZ363" i="23917"/>
  <c r="DZ444" i="23917"/>
  <c r="DV159" i="23917"/>
  <c r="DV106" i="23917"/>
  <c r="DV235" i="23917"/>
  <c r="DV284" i="23917"/>
  <c r="DV405" i="23917"/>
  <c r="DV469" i="23917"/>
  <c r="DR106" i="23917"/>
  <c r="DR192" i="23917"/>
  <c r="DR323" i="23917"/>
  <c r="DR363" i="23917"/>
  <c r="DR444" i="23917"/>
  <c r="DN159" i="23917"/>
  <c r="DN106" i="23917"/>
  <c r="DN235" i="23917"/>
  <c r="DN323" i="23917"/>
  <c r="DN405" i="23917"/>
  <c r="DN469" i="23917"/>
  <c r="DJ106" i="23917"/>
  <c r="DJ192" i="23917"/>
  <c r="DJ284" i="23917"/>
  <c r="DJ363" i="23917"/>
  <c r="DJ444" i="23917"/>
  <c r="DF159" i="23917"/>
  <c r="DF106" i="23917"/>
  <c r="DF235" i="23917"/>
  <c r="DF284" i="23917"/>
  <c r="DF405" i="23917"/>
  <c r="DF469" i="23917"/>
  <c r="CS106" i="23917"/>
  <c r="CS192" i="23917"/>
  <c r="CS323" i="23917"/>
  <c r="CS363" i="23917"/>
  <c r="CS444" i="23917"/>
  <c r="CO159" i="23917"/>
  <c r="CO235" i="23917"/>
  <c r="CO405" i="23917"/>
  <c r="CO542" i="23917"/>
  <c r="BY159" i="23917"/>
  <c r="BY106" i="23917"/>
  <c r="BY235" i="23917"/>
  <c r="BY323" i="23917"/>
  <c r="BY405" i="23917"/>
  <c r="BY469" i="23917"/>
  <c r="BU106" i="23917"/>
  <c r="BU192" i="23917"/>
  <c r="BU284" i="23917"/>
  <c r="BU363" i="23917"/>
  <c r="BU444" i="23917"/>
  <c r="BQ159" i="23917"/>
  <c r="BQ106" i="23917"/>
  <c r="BQ235" i="23917"/>
  <c r="BQ284" i="23917"/>
  <c r="BQ405" i="23917"/>
  <c r="BQ469" i="23917"/>
  <c r="BM106" i="23917"/>
  <c r="BM192" i="23917"/>
  <c r="BM323" i="23917"/>
  <c r="BM363" i="23917"/>
  <c r="BM444" i="23917"/>
  <c r="BI159" i="23917"/>
  <c r="BI106" i="23917"/>
  <c r="BI235" i="23917"/>
  <c r="BI323" i="23917"/>
  <c r="BI405" i="23917"/>
  <c r="BI469" i="23917"/>
  <c r="BE106" i="23917"/>
  <c r="BE192" i="23917"/>
  <c r="BE284" i="23917"/>
  <c r="BE363" i="23917"/>
  <c r="BE444" i="23917"/>
  <c r="BA159" i="23917"/>
  <c r="BA106" i="23917"/>
  <c r="BA235" i="23917"/>
  <c r="BA284" i="23917"/>
  <c r="BA405" i="23917"/>
  <c r="BA469" i="23917"/>
  <c r="AW106" i="23917"/>
  <c r="AW192" i="23917"/>
  <c r="AW323" i="23917"/>
  <c r="AW363" i="23917"/>
  <c r="AW444" i="23917"/>
  <c r="AS159" i="23917"/>
  <c r="AS106" i="23917"/>
  <c r="AS235" i="23917"/>
  <c r="AS323" i="23917"/>
  <c r="AS405" i="23917"/>
  <c r="AS469" i="23917"/>
  <c r="AO106" i="23917"/>
  <c r="AO192" i="23917"/>
  <c r="AO284" i="23917"/>
  <c r="AO363" i="23917"/>
  <c r="AO444" i="23917"/>
  <c r="AK159" i="23917"/>
  <c r="AK106" i="23917"/>
  <c r="AK235" i="23917"/>
  <c r="AK323" i="23917"/>
  <c r="AK405" i="23917"/>
  <c r="AK469" i="23917"/>
  <c r="AG65" i="23917"/>
  <c r="AG192" i="23917"/>
  <c r="AG284" i="23917"/>
  <c r="AG363" i="23917"/>
  <c r="AG444" i="23917"/>
  <c r="AC65" i="23917"/>
  <c r="AC159" i="23917"/>
  <c r="AC235" i="23917"/>
  <c r="AC323" i="23917"/>
  <c r="AC405" i="23917"/>
  <c r="AC469" i="23917"/>
  <c r="Y106" i="23917"/>
  <c r="Y192" i="23917"/>
  <c r="Y284" i="23917"/>
  <c r="Y363" i="23917"/>
  <c r="Y444" i="23917"/>
  <c r="U159" i="23917"/>
  <c r="U106" i="23917"/>
  <c r="U235" i="23917"/>
  <c r="U323" i="23917"/>
  <c r="U405" i="23917"/>
  <c r="U469" i="23917"/>
  <c r="Q65" i="23917"/>
  <c r="Q192" i="23917"/>
  <c r="Q284" i="23917"/>
  <c r="Q363" i="23917"/>
  <c r="Q444" i="23917"/>
  <c r="M65" i="23917"/>
  <c r="M159" i="23917"/>
  <c r="M235" i="23917"/>
  <c r="M323" i="23917"/>
  <c r="M405" i="23917"/>
  <c r="M469" i="23917"/>
  <c r="I106" i="23917"/>
  <c r="I192" i="23917"/>
  <c r="I284" i="23917"/>
  <c r="I363" i="23917"/>
  <c r="I444" i="23917"/>
  <c r="E159" i="23917"/>
  <c r="E106" i="23917"/>
  <c r="E235" i="23917"/>
  <c r="E323" i="23917"/>
  <c r="E405" i="23917"/>
  <c r="E469" i="23917"/>
  <c r="CI65" i="23917"/>
  <c r="CI159" i="23917"/>
  <c r="CI284" i="23917"/>
  <c r="CI363" i="23917"/>
  <c r="CI323" i="23917"/>
  <c r="CI444" i="23917"/>
  <c r="CE106" i="23917"/>
  <c r="CE192" i="23917"/>
  <c r="CE235" i="23917"/>
  <c r="CE323" i="23917"/>
  <c r="CE469" i="23917"/>
  <c r="CP205" i="23917"/>
  <c r="CO205" i="23917"/>
  <c r="CO102" i="24142"/>
  <c r="BU336" i="23917"/>
  <c r="AI204" i="24142"/>
  <c r="CI183" i="23917"/>
  <c r="BW183" i="23917"/>
  <c r="BS183" i="23917"/>
  <c r="BU296" i="23917"/>
  <c r="BY295" i="23917"/>
  <c r="CJ34" i="24142"/>
  <c r="AC109" i="24142"/>
  <c r="BY109" i="24142"/>
  <c r="CG295" i="23917"/>
  <c r="CG144" i="24142"/>
  <c r="BS204" i="23917"/>
  <c r="AI108" i="24142"/>
  <c r="AQ204" i="23917"/>
  <c r="K204" i="23917"/>
  <c r="BY182" i="24142"/>
  <c r="CC142" i="23917"/>
  <c r="S112" i="23917"/>
  <c r="BH34" i="24142"/>
  <c r="BB34" i="24142"/>
  <c r="AL34" i="24142"/>
  <c r="H34" i="24142"/>
  <c r="CK142" i="23917"/>
  <c r="G142" i="23917"/>
  <c r="DY119" i="23917"/>
  <c r="DQ119" i="23917"/>
  <c r="DI119" i="23917"/>
  <c r="BP114" i="23917"/>
  <c r="AZ114" i="23917"/>
  <c r="Z43" i="23917"/>
  <c r="DC41" i="23917"/>
  <c r="BS481" i="24142"/>
  <c r="BS547" i="23917"/>
  <c r="EA548" i="23917"/>
  <c r="H518" i="23917"/>
  <c r="DK410" i="23917"/>
  <c r="E453" i="23917"/>
  <c r="U452" i="23917"/>
  <c r="E451" i="23917"/>
  <c r="DC385" i="24142"/>
  <c r="J311" i="24142"/>
  <c r="AG272" i="24142"/>
  <c r="N270" i="24142"/>
  <c r="DQ271" i="24142"/>
  <c r="DK271" i="24142"/>
  <c r="BW331" i="23917"/>
  <c r="BW266" i="24142"/>
  <c r="AK298" i="23917"/>
  <c r="BE183" i="23917"/>
  <c r="O146" i="23917"/>
  <c r="G146" i="23917"/>
  <c r="P477" i="23917"/>
  <c r="I475" i="23917"/>
  <c r="K385" i="24142"/>
  <c r="DK387" i="24142"/>
  <c r="G369" i="23917"/>
  <c r="AH338" i="23917"/>
  <c r="Z273" i="24142"/>
  <c r="CE272" i="24142"/>
  <c r="AY334" i="23917"/>
  <c r="W266" i="24142"/>
  <c r="Y264" i="24142"/>
  <c r="BO204" i="24142"/>
  <c r="G204" i="24142"/>
  <c r="S298" i="23917"/>
  <c r="C145" i="24142"/>
  <c r="CM296" i="23917"/>
  <c r="CE296" i="23917"/>
  <c r="BI296" i="23917"/>
  <c r="BA296" i="23917"/>
  <c r="AS296" i="23917"/>
  <c r="AD140" i="24142"/>
  <c r="BA138" i="24142"/>
  <c r="CL111" i="24142"/>
  <c r="CL207" i="23917"/>
  <c r="BI109" i="24142"/>
  <c r="DQ205" i="23917"/>
  <c r="AQ102" i="24142"/>
  <c r="AQ198" i="23917"/>
  <c r="AA102" i="24142"/>
  <c r="AA198" i="23917"/>
  <c r="CL262" i="23917"/>
  <c r="Q258" i="23917"/>
  <c r="DV543" i="23917"/>
  <c r="DV470" i="23917"/>
  <c r="DV406" i="23917"/>
  <c r="DV285" i="23917"/>
  <c r="DR507" i="23917"/>
  <c r="DR445" i="23917"/>
  <c r="DR364" i="23917"/>
  <c r="DR324" i="23917"/>
  <c r="DR236" i="23917"/>
  <c r="DR66" i="23917"/>
  <c r="DN543" i="23917"/>
  <c r="DN470" i="23917"/>
  <c r="DN406" i="23917"/>
  <c r="DN324" i="23917"/>
  <c r="DN236" i="23917"/>
  <c r="DN107" i="23917"/>
  <c r="DN160" i="23917"/>
  <c r="DJ507" i="23917"/>
  <c r="DJ445" i="23917"/>
  <c r="DJ364" i="23917"/>
  <c r="DJ324" i="23917"/>
  <c r="DJ193" i="23917"/>
  <c r="DJ66" i="23917"/>
  <c r="DF543" i="23917"/>
  <c r="DF470" i="23917"/>
  <c r="DF406" i="23917"/>
  <c r="DF285" i="23917"/>
  <c r="DF236" i="23917"/>
  <c r="DF107" i="23917"/>
  <c r="DF160" i="23917"/>
  <c r="CS507" i="23917"/>
  <c r="CS445" i="23917"/>
  <c r="CS364" i="23917"/>
  <c r="CS324" i="23917"/>
  <c r="CS236" i="23917"/>
  <c r="CS66" i="23917"/>
  <c r="CO543" i="23917"/>
  <c r="CO470" i="23917"/>
  <c r="CO406" i="23917"/>
  <c r="CO324" i="23917"/>
  <c r="CO236" i="23917"/>
  <c r="CO107" i="23917"/>
  <c r="CO160" i="23917"/>
  <c r="CK507" i="23917"/>
  <c r="CK445" i="23917"/>
  <c r="CK364" i="23917"/>
  <c r="CK324" i="23917"/>
  <c r="CK193" i="23917"/>
  <c r="CK66" i="23917"/>
  <c r="CG543" i="23917"/>
  <c r="CG470" i="23917"/>
  <c r="CG406" i="23917"/>
  <c r="CG285" i="23917"/>
  <c r="CG236" i="23917"/>
  <c r="CG107" i="23917"/>
  <c r="CG160" i="23917"/>
  <c r="CC507" i="23917"/>
  <c r="CC445" i="23917"/>
  <c r="CC364" i="23917"/>
  <c r="CC324" i="23917"/>
  <c r="CC236" i="23917"/>
  <c r="CC66" i="23917"/>
  <c r="BY543" i="23917"/>
  <c r="BY470" i="23917"/>
  <c r="BY406" i="23917"/>
  <c r="BY324" i="23917"/>
  <c r="BY236" i="23917"/>
  <c r="BY107" i="23917"/>
  <c r="BY160" i="23917"/>
  <c r="BU507" i="23917"/>
  <c r="BU445" i="23917"/>
  <c r="BU364" i="23917"/>
  <c r="BU324" i="23917"/>
  <c r="BU193" i="23917"/>
  <c r="BU66" i="23917"/>
  <c r="BQ543" i="23917"/>
  <c r="BQ470" i="23917"/>
  <c r="BQ406" i="23917"/>
  <c r="BQ285" i="23917"/>
  <c r="BQ236" i="23917"/>
  <c r="BQ107" i="23917"/>
  <c r="BQ160" i="23917"/>
  <c r="BM507" i="23917"/>
  <c r="BM445" i="23917"/>
  <c r="BM364" i="23917"/>
  <c r="BM324" i="23917"/>
  <c r="BM236" i="23917"/>
  <c r="BM66" i="23917"/>
  <c r="BI543" i="23917"/>
  <c r="BI470" i="23917"/>
  <c r="BI406" i="23917"/>
  <c r="BI324" i="23917"/>
  <c r="BI236" i="23917"/>
  <c r="BI107" i="23917"/>
  <c r="BI160" i="23917"/>
  <c r="BE507" i="23917"/>
  <c r="BE445" i="23917"/>
  <c r="BE364" i="23917"/>
  <c r="BE324" i="23917"/>
  <c r="BE193" i="23917"/>
  <c r="BE66" i="23917"/>
  <c r="BA543" i="23917"/>
  <c r="BA470" i="23917"/>
  <c r="BA406" i="23917"/>
  <c r="BA285" i="23917"/>
  <c r="BA236" i="23917"/>
  <c r="BA107" i="23917"/>
  <c r="BA160" i="23917"/>
  <c r="AW507" i="23917"/>
  <c r="AW445" i="23917"/>
  <c r="AW364" i="23917"/>
  <c r="AW324" i="23917"/>
  <c r="AW236" i="23917"/>
  <c r="AW66" i="23917"/>
  <c r="AS543" i="23917"/>
  <c r="AS470" i="23917"/>
  <c r="AS406" i="23917"/>
  <c r="AS324" i="23917"/>
  <c r="AS236" i="23917"/>
  <c r="AS107" i="23917"/>
  <c r="AS160" i="23917"/>
  <c r="AO507" i="23917"/>
  <c r="AO445" i="23917"/>
  <c r="AO364" i="23917"/>
  <c r="AO285" i="23917"/>
  <c r="AO193" i="23917"/>
  <c r="AO66" i="23917"/>
  <c r="AK507" i="23917"/>
  <c r="AK470" i="23917"/>
  <c r="AK406" i="23917"/>
  <c r="AK324" i="23917"/>
  <c r="AK236" i="23917"/>
  <c r="AK107" i="23917"/>
  <c r="AK160" i="23917"/>
  <c r="AG543" i="23917"/>
  <c r="AG445" i="23917"/>
  <c r="AG364" i="23917"/>
  <c r="AG285" i="23917"/>
  <c r="AG236" i="23917"/>
  <c r="AG66" i="23917"/>
  <c r="AC543" i="23917"/>
  <c r="AC470" i="23917"/>
  <c r="AC406" i="23917"/>
  <c r="AC324" i="23917"/>
  <c r="AC236" i="23917"/>
  <c r="AC160" i="23917"/>
  <c r="AC66" i="23917"/>
  <c r="Y507" i="23917"/>
  <c r="Y445" i="23917"/>
  <c r="Y364" i="23917"/>
  <c r="Y285" i="23917"/>
  <c r="Y193" i="23917"/>
  <c r="Y66" i="23917"/>
  <c r="U507" i="23917"/>
  <c r="U470" i="23917"/>
  <c r="U406" i="23917"/>
  <c r="U324" i="23917"/>
  <c r="U236" i="23917"/>
  <c r="U107" i="23917"/>
  <c r="U160" i="23917"/>
  <c r="Q543" i="23917"/>
  <c r="Q445" i="23917"/>
  <c r="Q364" i="23917"/>
  <c r="Q285" i="23917"/>
  <c r="Q236" i="23917"/>
  <c r="Q66" i="23917"/>
  <c r="M543" i="23917"/>
  <c r="M470" i="23917"/>
  <c r="M406" i="23917"/>
  <c r="M324" i="23917"/>
  <c r="M236" i="23917"/>
  <c r="M160" i="23917"/>
  <c r="M66" i="23917"/>
  <c r="I507" i="23917"/>
  <c r="I445" i="23917"/>
  <c r="I364" i="23917"/>
  <c r="I285" i="23917"/>
  <c r="I193" i="23917"/>
  <c r="I66" i="23917"/>
  <c r="E507" i="23917"/>
  <c r="E470" i="23917"/>
  <c r="E406" i="23917"/>
  <c r="E324" i="23917"/>
  <c r="E236" i="23917"/>
  <c r="E107" i="23917"/>
  <c r="E160" i="23917"/>
  <c r="W270" i="23917"/>
  <c r="M270" i="23917"/>
  <c r="AN253" i="23917"/>
  <c r="EJ440" i="24142"/>
  <c r="EJ378" i="24142"/>
  <c r="EJ297" i="24142"/>
  <c r="EJ258" i="24142"/>
  <c r="EJ133" i="24142"/>
  <c r="EF56" i="24142"/>
  <c r="EF440" i="24142"/>
  <c r="EF378" i="24142"/>
  <c r="EF339" i="24142"/>
  <c r="EF169" i="24142"/>
  <c r="EF221" i="24142"/>
  <c r="EF96" i="24142"/>
  <c r="EB56" i="24142"/>
  <c r="EB440" i="24142"/>
  <c r="EB403" i="24142"/>
  <c r="EB297" i="24142"/>
  <c r="EB258" i="24142"/>
  <c r="EB133" i="24142"/>
  <c r="DX56" i="24142"/>
  <c r="DX440" i="24142"/>
  <c r="DX378" i="24142"/>
  <c r="DX339" i="24142"/>
  <c r="DX169" i="24142"/>
  <c r="DX221" i="24142"/>
  <c r="DX96" i="24142"/>
  <c r="DT56" i="24142"/>
  <c r="DT440" i="24142"/>
  <c r="DT403" i="24142"/>
  <c r="DT297" i="24142"/>
  <c r="DT258" i="24142"/>
  <c r="DT133" i="24142"/>
  <c r="DP56" i="24142"/>
  <c r="DP440" i="24142"/>
  <c r="DP403" i="24142"/>
  <c r="DP297" i="24142"/>
  <c r="DP169" i="24142"/>
  <c r="DP221" i="24142"/>
  <c r="DP96" i="24142"/>
  <c r="DL56" i="24142"/>
  <c r="DL440" i="24142"/>
  <c r="DL378" i="24142"/>
  <c r="DL297" i="24142"/>
  <c r="DL258" i="24142"/>
  <c r="DL133" i="24142"/>
  <c r="DH56" i="24142"/>
  <c r="DH440" i="24142"/>
  <c r="DH403" i="24142"/>
  <c r="DH297" i="24142"/>
  <c r="DH169" i="24142"/>
  <c r="DH221" i="24142"/>
  <c r="DH96" i="24142"/>
  <c r="DD56" i="24142"/>
  <c r="DD440" i="24142"/>
  <c r="DD378" i="24142"/>
  <c r="DD297" i="24142"/>
  <c r="DD221" i="24142"/>
  <c r="DD133" i="24142"/>
  <c r="CQ56" i="24142"/>
  <c r="CQ440" i="24142"/>
  <c r="CQ403" i="24142"/>
  <c r="CQ297" i="24142"/>
  <c r="CQ258" i="24142"/>
  <c r="CQ169" i="24142"/>
  <c r="CQ96" i="24142"/>
  <c r="CM56" i="24142"/>
  <c r="CM440" i="24142"/>
  <c r="CM378" i="24142"/>
  <c r="CM297" i="24142"/>
  <c r="CM221" i="24142"/>
  <c r="CM133" i="24142"/>
  <c r="CK403" i="24142"/>
  <c r="CK378" i="24142"/>
  <c r="CK297" i="24142"/>
  <c r="CK258" i="24142"/>
  <c r="CK133" i="24142"/>
  <c r="CK56" i="24142"/>
  <c r="CG440" i="24142"/>
  <c r="CG476" i="24142"/>
  <c r="CG339" i="24142"/>
  <c r="CG221" i="24142"/>
  <c r="CG169" i="24142"/>
  <c r="CG96" i="24142"/>
  <c r="CC476" i="24142"/>
  <c r="CC378" i="24142"/>
  <c r="CC297" i="24142"/>
  <c r="CC258" i="24142"/>
  <c r="CC133" i="24142"/>
  <c r="CC56" i="24142"/>
  <c r="CA56" i="24142"/>
  <c r="CA476" i="24142"/>
  <c r="CA339" i="24142"/>
  <c r="CA378" i="24142"/>
  <c r="CA221" i="24142"/>
  <c r="CA133" i="24142"/>
  <c r="BW56" i="24142"/>
  <c r="BW476" i="24142"/>
  <c r="BW403" i="24142"/>
  <c r="BW339" i="24142"/>
  <c r="BW258" i="24142"/>
  <c r="BW169" i="24142"/>
  <c r="BW96" i="24142"/>
  <c r="BS56" i="24142"/>
  <c r="BS476" i="24142"/>
  <c r="BS339" i="24142"/>
  <c r="BS378" i="24142"/>
  <c r="BS221" i="24142"/>
  <c r="BS133" i="24142"/>
  <c r="BO56" i="24142"/>
  <c r="BO476" i="24142"/>
  <c r="BO403" i="24142"/>
  <c r="BO339" i="24142"/>
  <c r="BO258" i="24142"/>
  <c r="BO169" i="24142"/>
  <c r="BO96" i="24142"/>
  <c r="BK56" i="24142"/>
  <c r="BK476" i="24142"/>
  <c r="BK339" i="24142"/>
  <c r="BK378" i="24142"/>
  <c r="BK221" i="24142"/>
  <c r="BK133" i="24142"/>
  <c r="BG56" i="24142"/>
  <c r="BG476" i="24142"/>
  <c r="BG378" i="24142"/>
  <c r="BG297" i="24142"/>
  <c r="BG258" i="24142"/>
  <c r="BG169" i="24142"/>
  <c r="BG96" i="24142"/>
  <c r="BC56" i="24142"/>
  <c r="BC476" i="24142"/>
  <c r="BC339" i="24142"/>
  <c r="BC378" i="24142"/>
  <c r="BC221" i="24142"/>
  <c r="BC133" i="24142"/>
  <c r="AY56" i="24142"/>
  <c r="AY440" i="24142"/>
  <c r="AY378" i="24142"/>
  <c r="AY297" i="24142"/>
  <c r="AY221" i="24142"/>
  <c r="AY133" i="24142"/>
  <c r="AU96" i="24142"/>
  <c r="AU56" i="24142"/>
  <c r="AU476" i="24142"/>
  <c r="AU339" i="24142"/>
  <c r="AU378" i="24142"/>
  <c r="AU221" i="24142"/>
  <c r="AU133" i="24142"/>
  <c r="AQ56" i="24142"/>
  <c r="AQ440" i="24142"/>
  <c r="AQ297" i="24142"/>
  <c r="AQ378" i="24142"/>
  <c r="AQ221" i="24142"/>
  <c r="AQ133" i="24142"/>
  <c r="AQ96" i="24142"/>
  <c r="AM56" i="24142"/>
  <c r="AM476" i="24142"/>
  <c r="AM378" i="24142"/>
  <c r="AM297" i="24142"/>
  <c r="AM221" i="24142"/>
  <c r="AM133" i="24142"/>
  <c r="AM96" i="24142"/>
  <c r="AI56" i="24142"/>
  <c r="AI96" i="24142"/>
  <c r="AI440" i="24142"/>
  <c r="AI378" i="24142"/>
  <c r="AI297" i="24142"/>
  <c r="AI221" i="24142"/>
  <c r="AI133" i="24142"/>
  <c r="AE96" i="24142"/>
  <c r="AE476" i="24142"/>
  <c r="AE378" i="24142"/>
  <c r="AE297" i="24142"/>
  <c r="AE221" i="24142"/>
  <c r="AE133" i="24142"/>
  <c r="AA56" i="24142"/>
  <c r="AA440" i="24142"/>
  <c r="AA378" i="24142"/>
  <c r="AA297" i="24142"/>
  <c r="AA221" i="24142"/>
  <c r="AA133" i="24142"/>
  <c r="W56" i="24142"/>
  <c r="W476" i="24142"/>
  <c r="W378" i="24142"/>
  <c r="W297" i="24142"/>
  <c r="W221" i="24142"/>
  <c r="W133" i="24142"/>
  <c r="W96" i="24142"/>
  <c r="S56" i="24142"/>
  <c r="S440" i="24142"/>
  <c r="S378" i="24142"/>
  <c r="S297" i="24142"/>
  <c r="S221" i="24142"/>
  <c r="S133" i="24142"/>
  <c r="O96" i="24142"/>
  <c r="O56" i="24142"/>
  <c r="O476" i="24142"/>
  <c r="O378" i="24142"/>
  <c r="O297" i="24142"/>
  <c r="O221" i="24142"/>
  <c r="O133" i="24142"/>
  <c r="K56" i="24142"/>
  <c r="K440" i="24142"/>
  <c r="K378" i="24142"/>
  <c r="K297" i="24142"/>
  <c r="K221" i="24142"/>
  <c r="K133" i="24142"/>
  <c r="K96" i="24142"/>
  <c r="G56" i="24142"/>
  <c r="G476" i="24142"/>
  <c r="G378" i="24142"/>
  <c r="G297" i="24142"/>
  <c r="G221" i="24142"/>
  <c r="G133" i="24142"/>
  <c r="G96" i="24142"/>
  <c r="AL297" i="23917"/>
  <c r="R146" i="24142"/>
  <c r="D297" i="23917"/>
  <c r="DW296" i="23917"/>
  <c r="DO296" i="23917"/>
  <c r="H146" i="24142"/>
  <c r="Z140" i="24142"/>
  <c r="J140" i="24142"/>
  <c r="AN140" i="24142"/>
  <c r="X140" i="24142"/>
  <c r="H140" i="24142"/>
  <c r="BS125" i="24142"/>
  <c r="BS227" i="23917"/>
  <c r="X206" i="23917"/>
  <c r="P110" i="24142"/>
  <c r="AY109" i="24142"/>
  <c r="J270" i="23917"/>
  <c r="P253" i="23917"/>
  <c r="DF41" i="23917"/>
  <c r="AA429" i="24142"/>
  <c r="AA475" i="23917"/>
  <c r="DI429" i="24142"/>
  <c r="DI495" i="23917"/>
  <c r="CF247" i="23917"/>
  <c r="AB458" i="23917"/>
  <c r="DE378" i="23917"/>
  <c r="BV273" i="24142"/>
  <c r="AP335" i="23917"/>
  <c r="K187" i="24142"/>
  <c r="K124" i="23917"/>
  <c r="P297" i="23917"/>
  <c r="BJ227" i="23917"/>
  <c r="AM109" i="24142"/>
  <c r="AM205" i="23917"/>
  <c r="EI554" i="23917"/>
  <c r="CY166" i="23917"/>
  <c r="EC166" i="23917"/>
  <c r="DY41" i="23917"/>
  <c r="EM41" i="23917"/>
  <c r="CM183" i="23917"/>
  <c r="CM286" i="24142"/>
  <c r="CD86" i="23917"/>
  <c r="K380" i="23917"/>
  <c r="BS148" i="23917"/>
  <c r="CB335" i="23917"/>
  <c r="CE183" i="23917"/>
  <c r="EJ477" i="24142"/>
  <c r="EJ404" i="24142"/>
  <c r="EJ340" i="24142"/>
  <c r="EJ259" i="24142"/>
  <c r="EJ170" i="24142"/>
  <c r="EJ441" i="24142"/>
  <c r="EJ298" i="24142"/>
  <c r="EJ134" i="24142"/>
  <c r="EJ379" i="24142"/>
  <c r="EJ57" i="24142"/>
  <c r="EH57" i="24142"/>
  <c r="EH477" i="24142"/>
  <c r="EH404" i="24142"/>
  <c r="EH340" i="24142"/>
  <c r="EH222" i="24142"/>
  <c r="EH170" i="24142"/>
  <c r="EH97" i="24142"/>
  <c r="DZ57" i="24142"/>
  <c r="DZ477" i="24142"/>
  <c r="DZ404" i="24142"/>
  <c r="DZ340" i="24142"/>
  <c r="DZ222" i="24142"/>
  <c r="DZ170" i="24142"/>
  <c r="DZ97" i="24142"/>
  <c r="DV57" i="24142"/>
  <c r="DV441" i="24142"/>
  <c r="DV379" i="24142"/>
  <c r="DV298" i="24142"/>
  <c r="DV259" i="24142"/>
  <c r="DV134" i="24142"/>
  <c r="DR97" i="24142"/>
  <c r="DR57" i="24142"/>
  <c r="DR441" i="24142"/>
  <c r="DR379" i="24142"/>
  <c r="DR298" i="24142"/>
  <c r="DR259" i="24142"/>
  <c r="DR134" i="24142"/>
  <c r="DN57" i="24142"/>
  <c r="DN441" i="24142"/>
  <c r="DN379" i="24142"/>
  <c r="DN298" i="24142"/>
  <c r="DN259" i="24142"/>
  <c r="DN170" i="24142"/>
  <c r="DJ57" i="24142"/>
  <c r="DJ441" i="24142"/>
  <c r="DJ379" i="24142"/>
  <c r="DJ298" i="24142"/>
  <c r="DJ259" i="24142"/>
  <c r="DJ134" i="24142"/>
  <c r="DJ97" i="24142"/>
  <c r="DF57" i="24142"/>
  <c r="DF441" i="24142"/>
  <c r="DF340" i="24142"/>
  <c r="DF404" i="24142"/>
  <c r="DF259" i="24142"/>
  <c r="DF134" i="24142"/>
  <c r="DF97" i="24142"/>
  <c r="CS97" i="24142"/>
  <c r="CS57" i="24142"/>
  <c r="CS441" i="24142"/>
  <c r="CS379" i="24142"/>
  <c r="CS298" i="24142"/>
  <c r="CS259" i="24142"/>
  <c r="CS134" i="24142"/>
  <c r="CQ57" i="24142"/>
  <c r="CQ441" i="24142"/>
  <c r="CQ404" i="24142"/>
  <c r="CQ298" i="24142"/>
  <c r="CQ222" i="24142"/>
  <c r="CO57" i="24142"/>
  <c r="CO441" i="24142"/>
  <c r="CO379" i="24142"/>
  <c r="CO298" i="24142"/>
  <c r="CO259" i="24142"/>
  <c r="CO134" i="24142"/>
  <c r="CM57" i="24142"/>
  <c r="CM477" i="24142"/>
  <c r="CM404" i="24142"/>
  <c r="CM340" i="24142"/>
  <c r="CM259" i="24142"/>
  <c r="CM134" i="24142"/>
  <c r="CM170" i="24142"/>
  <c r="CK57" i="24142"/>
  <c r="CK441" i="24142"/>
  <c r="CK404" i="24142"/>
  <c r="CK298" i="24142"/>
  <c r="CK259" i="24142"/>
  <c r="CK134" i="24142"/>
  <c r="CI57" i="24142"/>
  <c r="CI441" i="24142"/>
  <c r="CI379" i="24142"/>
  <c r="CI298" i="24142"/>
  <c r="CI222" i="24142"/>
  <c r="CI97" i="24142"/>
  <c r="CG57" i="24142"/>
  <c r="CG441" i="24142"/>
  <c r="CG404" i="24142"/>
  <c r="CG298" i="24142"/>
  <c r="CG259" i="24142"/>
  <c r="CG134" i="24142"/>
  <c r="CE57" i="24142"/>
  <c r="CE477" i="24142"/>
  <c r="CE404" i="24142"/>
  <c r="CE340" i="24142"/>
  <c r="CE259" i="24142"/>
  <c r="CE134" i="24142"/>
  <c r="CE170" i="24142"/>
  <c r="CC97" i="24142"/>
  <c r="CC57" i="24142"/>
  <c r="CC441" i="24142"/>
  <c r="CC379" i="24142"/>
  <c r="CC298" i="24142"/>
  <c r="CC259" i="24142"/>
  <c r="CC134" i="24142"/>
  <c r="CA57" i="24142"/>
  <c r="CA441" i="24142"/>
  <c r="CA340" i="24142"/>
  <c r="CA404" i="24142"/>
  <c r="CA222" i="24142"/>
  <c r="CA97" i="24142"/>
  <c r="BY57" i="24142"/>
  <c r="BY441" i="24142"/>
  <c r="BY379" i="24142"/>
  <c r="BY298" i="24142"/>
  <c r="BY259" i="24142"/>
  <c r="BY134" i="24142"/>
  <c r="BW57" i="24142"/>
  <c r="BW477" i="24142"/>
  <c r="BW404" i="24142"/>
  <c r="BW340" i="24142"/>
  <c r="BW259" i="24142"/>
  <c r="BW134" i="24142"/>
  <c r="BW170" i="24142"/>
  <c r="BU57" i="24142"/>
  <c r="BU441" i="24142"/>
  <c r="BU404" i="24142"/>
  <c r="BU298" i="24142"/>
  <c r="BU259" i="24142"/>
  <c r="BU134" i="24142"/>
  <c r="BU97" i="24142"/>
  <c r="BS57" i="24142"/>
  <c r="BS441" i="24142"/>
  <c r="BS379" i="24142"/>
  <c r="BS298" i="24142"/>
  <c r="BS222" i="24142"/>
  <c r="BS97" i="24142"/>
  <c r="BQ57" i="24142"/>
  <c r="BQ441" i="24142"/>
  <c r="BQ404" i="24142"/>
  <c r="BQ298" i="24142"/>
  <c r="BQ259" i="24142"/>
  <c r="BQ134" i="24142"/>
  <c r="BQ97" i="24142"/>
  <c r="BO57" i="24142"/>
  <c r="BO477" i="24142"/>
  <c r="BO404" i="24142"/>
  <c r="BO340" i="24142"/>
  <c r="BO259" i="24142"/>
  <c r="BO134" i="24142"/>
  <c r="BO170" i="24142"/>
  <c r="BM97" i="24142"/>
  <c r="BM441" i="24142"/>
  <c r="BM379" i="24142"/>
  <c r="BM298" i="24142"/>
  <c r="BM259" i="24142"/>
  <c r="BM134" i="24142"/>
  <c r="BK57" i="24142"/>
  <c r="BK441" i="24142"/>
  <c r="BK340" i="24142"/>
  <c r="BK404" i="24142"/>
  <c r="BK222" i="24142"/>
  <c r="BK97" i="24142"/>
  <c r="BI57" i="24142"/>
  <c r="BI441" i="24142"/>
  <c r="BI379" i="24142"/>
  <c r="BI298" i="24142"/>
  <c r="BI259" i="24142"/>
  <c r="BI134" i="24142"/>
  <c r="BG57" i="24142"/>
  <c r="BG477" i="24142"/>
  <c r="BG404" i="24142"/>
  <c r="BG340" i="24142"/>
  <c r="BG259" i="24142"/>
  <c r="BG134" i="24142"/>
  <c r="BG170" i="24142"/>
  <c r="BE97" i="24142"/>
  <c r="BE57" i="24142"/>
  <c r="BE441" i="24142"/>
  <c r="BE404" i="24142"/>
  <c r="BE298" i="24142"/>
  <c r="BE259" i="24142"/>
  <c r="BE134" i="24142"/>
  <c r="BC57" i="24142"/>
  <c r="BC441" i="24142"/>
  <c r="BC379" i="24142"/>
  <c r="BC298" i="24142"/>
  <c r="BC222" i="24142"/>
  <c r="BC97" i="24142"/>
  <c r="BA57" i="24142"/>
  <c r="BA441" i="24142"/>
  <c r="BA404" i="24142"/>
  <c r="BA298" i="24142"/>
  <c r="BA259" i="24142"/>
  <c r="BA134" i="24142"/>
  <c r="BA97" i="24142"/>
  <c r="AY57" i="24142"/>
  <c r="AY477" i="24142"/>
  <c r="AY404" i="24142"/>
  <c r="AY340" i="24142"/>
  <c r="AY259" i="24142"/>
  <c r="AY134" i="24142"/>
  <c r="AY170" i="24142"/>
  <c r="AW57" i="24142"/>
  <c r="AW441" i="24142"/>
  <c r="AW379" i="24142"/>
  <c r="AW298" i="24142"/>
  <c r="AW259" i="24142"/>
  <c r="AW134" i="24142"/>
  <c r="AU57" i="24142"/>
  <c r="AU441" i="24142"/>
  <c r="AU340" i="24142"/>
  <c r="AU404" i="24142"/>
  <c r="AU222" i="24142"/>
  <c r="AU97" i="24142"/>
  <c r="AS97" i="24142"/>
  <c r="AS441" i="24142"/>
  <c r="AS379" i="24142"/>
  <c r="AS298" i="24142"/>
  <c r="AS57" i="24142"/>
  <c r="AS477" i="24142"/>
  <c r="AS340" i="24142"/>
  <c r="AS259" i="24142"/>
  <c r="AS134" i="24142"/>
  <c r="AQ57" i="24142"/>
  <c r="AQ477" i="24142"/>
  <c r="AQ404" i="24142"/>
  <c r="AQ340" i="24142"/>
  <c r="AQ259" i="24142"/>
  <c r="AQ134" i="24142"/>
  <c r="AQ170" i="24142"/>
  <c r="AO57" i="24142"/>
  <c r="AO441" i="24142"/>
  <c r="AO340" i="24142"/>
  <c r="AO379" i="24142"/>
  <c r="AO259" i="24142"/>
  <c r="AO134" i="24142"/>
  <c r="AO404" i="24142"/>
  <c r="AO222" i="24142"/>
  <c r="AM57" i="24142"/>
  <c r="AM441" i="24142"/>
  <c r="AM379" i="24142"/>
  <c r="AM298" i="24142"/>
  <c r="AM222" i="24142"/>
  <c r="AM97" i="24142"/>
  <c r="AK57" i="24142"/>
  <c r="AK441" i="24142"/>
  <c r="AK340" i="24142"/>
  <c r="AK404" i="24142"/>
  <c r="AK259" i="24142"/>
  <c r="AK134" i="24142"/>
  <c r="AK477" i="24142"/>
  <c r="AK298" i="24142"/>
  <c r="AK170" i="24142"/>
  <c r="AI57" i="24142"/>
  <c r="AI477" i="24142"/>
  <c r="AI404" i="24142"/>
  <c r="AI340" i="24142"/>
  <c r="AI259" i="24142"/>
  <c r="AI134" i="24142"/>
  <c r="AI170" i="24142"/>
  <c r="AG57" i="24142"/>
  <c r="AG441" i="24142"/>
  <c r="AG379" i="24142"/>
  <c r="AG298" i="24142"/>
  <c r="AG259" i="24142"/>
  <c r="AG134" i="24142"/>
  <c r="AG404" i="24142"/>
  <c r="AG222" i="24142"/>
  <c r="AE57" i="24142"/>
  <c r="AE441" i="24142"/>
  <c r="AE379" i="24142"/>
  <c r="AE298" i="24142"/>
  <c r="AE222" i="24142"/>
  <c r="AE97" i="24142"/>
  <c r="AC97" i="24142"/>
  <c r="AC57" i="24142"/>
  <c r="AC441" i="24142"/>
  <c r="AC379" i="24142"/>
  <c r="AC298" i="24142"/>
  <c r="AC259" i="24142"/>
  <c r="AC134" i="24142"/>
  <c r="AC477" i="24142"/>
  <c r="AC340" i="24142"/>
  <c r="AC170" i="24142"/>
  <c r="AA57" i="24142"/>
  <c r="AA477" i="24142"/>
  <c r="AA404" i="24142"/>
  <c r="AA340" i="24142"/>
  <c r="AA259" i="24142"/>
  <c r="AA134" i="24142"/>
  <c r="AA170" i="24142"/>
  <c r="Y57" i="24142"/>
  <c r="Y441" i="24142"/>
  <c r="Y379" i="24142"/>
  <c r="Y298" i="24142"/>
  <c r="Y259" i="24142"/>
  <c r="Y134" i="24142"/>
  <c r="Y404" i="24142"/>
  <c r="Y222" i="24142"/>
  <c r="W57" i="24142"/>
  <c r="W441" i="24142"/>
  <c r="W379" i="24142"/>
  <c r="W298" i="24142"/>
  <c r="W222" i="24142"/>
  <c r="W97" i="24142"/>
  <c r="U57" i="24142"/>
  <c r="U441" i="24142"/>
  <c r="U379" i="24142"/>
  <c r="U298" i="24142"/>
  <c r="U259" i="24142"/>
  <c r="U134" i="24142"/>
  <c r="U477" i="24142"/>
  <c r="U340" i="24142"/>
  <c r="U170" i="24142"/>
  <c r="U97" i="24142"/>
  <c r="S57" i="24142"/>
  <c r="S477" i="24142"/>
  <c r="S404" i="24142"/>
  <c r="S340" i="24142"/>
  <c r="S259" i="24142"/>
  <c r="S134" i="24142"/>
  <c r="S170" i="24142"/>
  <c r="Q57" i="24142"/>
  <c r="Q441" i="24142"/>
  <c r="Q379" i="24142"/>
  <c r="Q298" i="24142"/>
  <c r="Q259" i="24142"/>
  <c r="Q134" i="24142"/>
  <c r="Q404" i="24142"/>
  <c r="Q222" i="24142"/>
  <c r="O57" i="24142"/>
  <c r="O441" i="24142"/>
  <c r="O340" i="24142"/>
  <c r="O404" i="24142"/>
  <c r="O222" i="24142"/>
  <c r="O97" i="24142"/>
  <c r="M97" i="24142"/>
  <c r="M441" i="24142"/>
  <c r="M379" i="24142"/>
  <c r="M298" i="24142"/>
  <c r="M259" i="24142"/>
  <c r="M134" i="24142"/>
  <c r="M477" i="24142"/>
  <c r="M340" i="24142"/>
  <c r="M170" i="24142"/>
  <c r="K57" i="24142"/>
  <c r="K477" i="24142"/>
  <c r="K404" i="24142"/>
  <c r="K340" i="24142"/>
  <c r="K259" i="24142"/>
  <c r="K134" i="24142"/>
  <c r="K170" i="24142"/>
  <c r="I57" i="24142"/>
  <c r="I441" i="24142"/>
  <c r="I379" i="24142"/>
  <c r="I298" i="24142"/>
  <c r="I259" i="24142"/>
  <c r="I134" i="24142"/>
  <c r="I404" i="24142"/>
  <c r="I222" i="24142"/>
  <c r="G57" i="24142"/>
  <c r="G441" i="24142"/>
  <c r="G379" i="24142"/>
  <c r="G298" i="24142"/>
  <c r="G222" i="24142"/>
  <c r="G97" i="24142"/>
  <c r="E57" i="24142"/>
  <c r="E441" i="24142"/>
  <c r="E379" i="24142"/>
  <c r="E298" i="24142"/>
  <c r="E259" i="24142"/>
  <c r="E134" i="24142"/>
  <c r="E477" i="24142"/>
  <c r="E340" i="24142"/>
  <c r="E170" i="24142"/>
  <c r="EH476" i="24142"/>
  <c r="EH378" i="24142"/>
  <c r="EH297" i="24142"/>
  <c r="EH258" i="24142"/>
  <c r="EH133" i="24142"/>
  <c r="EH440" i="24142"/>
  <c r="EH339" i="24142"/>
  <c r="EH169" i="24142"/>
  <c r="DZ403" i="24142"/>
  <c r="DZ378" i="24142"/>
  <c r="DZ297" i="24142"/>
  <c r="DZ258" i="24142"/>
  <c r="DZ133" i="24142"/>
  <c r="DZ476" i="24142"/>
  <c r="DZ221" i="24142"/>
  <c r="DZ96" i="24142"/>
  <c r="DV440" i="24142"/>
  <c r="DV476" i="24142"/>
  <c r="DV339" i="24142"/>
  <c r="DV221" i="24142"/>
  <c r="DV169" i="24142"/>
  <c r="DV96" i="24142"/>
  <c r="DV403" i="24142"/>
  <c r="DV297" i="24142"/>
  <c r="DV133" i="24142"/>
  <c r="DR476" i="24142"/>
  <c r="DR378" i="24142"/>
  <c r="DR297" i="24142"/>
  <c r="DR258" i="24142"/>
  <c r="DR133" i="24142"/>
  <c r="DR440" i="24142"/>
  <c r="DR339" i="24142"/>
  <c r="DR169" i="24142"/>
  <c r="DN440" i="24142"/>
  <c r="DN476" i="24142"/>
  <c r="DN339" i="24142"/>
  <c r="DN221" i="24142"/>
  <c r="DN169" i="24142"/>
  <c r="DN96" i="24142"/>
  <c r="DN378" i="24142"/>
  <c r="DN258" i="24142"/>
  <c r="DJ403" i="24142"/>
  <c r="DJ378" i="24142"/>
  <c r="DJ297" i="24142"/>
  <c r="DJ258" i="24142"/>
  <c r="DJ133" i="24142"/>
  <c r="DJ476" i="24142"/>
  <c r="DJ221" i="24142"/>
  <c r="DJ96" i="24142"/>
  <c r="DF440" i="24142"/>
  <c r="DF476" i="24142"/>
  <c r="DF339" i="24142"/>
  <c r="DF221" i="24142"/>
  <c r="DF169" i="24142"/>
  <c r="DF96" i="24142"/>
  <c r="DF403" i="24142"/>
  <c r="DF297" i="24142"/>
  <c r="DF133" i="24142"/>
  <c r="CS476" i="24142"/>
  <c r="CS378" i="24142"/>
  <c r="CS297" i="24142"/>
  <c r="CS258" i="24142"/>
  <c r="CS133" i="24142"/>
  <c r="CS440" i="24142"/>
  <c r="CS339" i="24142"/>
  <c r="CS169" i="24142"/>
  <c r="CI56" i="24142"/>
  <c r="CI476" i="24142"/>
  <c r="CI339" i="24142"/>
  <c r="CI378" i="24142"/>
  <c r="CI221" i="24142"/>
  <c r="CI133" i="24142"/>
  <c r="CE56" i="24142"/>
  <c r="CE476" i="24142"/>
  <c r="CE403" i="24142"/>
  <c r="CE339" i="24142"/>
  <c r="CE258" i="24142"/>
  <c r="CE169" i="24142"/>
  <c r="CE96" i="24142"/>
  <c r="BY440" i="24142"/>
  <c r="BY476" i="24142"/>
  <c r="BY339" i="24142"/>
  <c r="BY221" i="24142"/>
  <c r="BY169" i="24142"/>
  <c r="BY96" i="24142"/>
  <c r="BY378" i="24142"/>
  <c r="BY258" i="24142"/>
  <c r="BU403" i="24142"/>
  <c r="BU378" i="24142"/>
  <c r="BU297" i="24142"/>
  <c r="BU258" i="24142"/>
  <c r="BU133" i="24142"/>
  <c r="BU476" i="24142"/>
  <c r="BU221" i="24142"/>
  <c r="BU96" i="24142"/>
  <c r="BQ440" i="24142"/>
  <c r="BQ476" i="24142"/>
  <c r="BQ339" i="24142"/>
  <c r="BQ221" i="24142"/>
  <c r="BQ169" i="24142"/>
  <c r="BQ96" i="24142"/>
  <c r="BQ403" i="24142"/>
  <c r="BQ297" i="24142"/>
  <c r="BQ133" i="24142"/>
  <c r="BM440" i="24142"/>
  <c r="BM403" i="24142"/>
  <c r="BM476" i="24142"/>
  <c r="BM339" i="24142"/>
  <c r="BM221" i="24142"/>
  <c r="BM169" i="24142"/>
  <c r="BM378" i="24142"/>
  <c r="BM258" i="24142"/>
  <c r="BI440" i="24142"/>
  <c r="BI476" i="24142"/>
  <c r="BI339" i="24142"/>
  <c r="BI221" i="24142"/>
  <c r="BI169" i="24142"/>
  <c r="BI378" i="24142"/>
  <c r="BI258" i="24142"/>
  <c r="BI297" i="24142"/>
  <c r="BE440" i="24142"/>
  <c r="BE476" i="24142"/>
  <c r="BE339" i="24142"/>
  <c r="BE221" i="24142"/>
  <c r="BE169" i="24142"/>
  <c r="BE403" i="24142"/>
  <c r="BE297" i="24142"/>
  <c r="BE133" i="24142"/>
  <c r="BE258" i="24142"/>
  <c r="BA440" i="24142"/>
  <c r="BA476" i="24142"/>
  <c r="BA339" i="24142"/>
  <c r="BA221" i="24142"/>
  <c r="BA169" i="24142"/>
  <c r="BA378" i="24142"/>
  <c r="BA258" i="24142"/>
  <c r="BA403" i="24142"/>
  <c r="BA133" i="24142"/>
  <c r="BA96" i="24142"/>
  <c r="AW440" i="24142"/>
  <c r="AW403" i="24142"/>
  <c r="AW339" i="24142"/>
  <c r="AW221" i="24142"/>
  <c r="AW169" i="24142"/>
  <c r="AW476" i="24142"/>
  <c r="AW297" i="24142"/>
  <c r="AW133" i="24142"/>
  <c r="AW378" i="24142"/>
  <c r="AS440" i="24142"/>
  <c r="AS476" i="24142"/>
  <c r="AS339" i="24142"/>
  <c r="AS221" i="24142"/>
  <c r="AS169" i="24142"/>
  <c r="AS378" i="24142"/>
  <c r="AS258" i="24142"/>
  <c r="AS297" i="24142"/>
  <c r="AO440" i="24142"/>
  <c r="AO476" i="24142"/>
  <c r="AO339" i="24142"/>
  <c r="AO221" i="24142"/>
  <c r="AO169" i="24142"/>
  <c r="AO403" i="24142"/>
  <c r="AO297" i="24142"/>
  <c r="AO133" i="24142"/>
  <c r="AO96" i="24142"/>
  <c r="AO258" i="24142"/>
  <c r="AK440" i="24142"/>
  <c r="AK476" i="24142"/>
  <c r="AK339" i="24142"/>
  <c r="AK221" i="24142"/>
  <c r="AK169" i="24142"/>
  <c r="AK378" i="24142"/>
  <c r="AK258" i="24142"/>
  <c r="AK403" i="24142"/>
  <c r="AK133" i="24142"/>
  <c r="AK96" i="24142"/>
  <c r="AG440" i="24142"/>
  <c r="AG403" i="24142"/>
  <c r="AG339" i="24142"/>
  <c r="AG221" i="24142"/>
  <c r="AG169" i="24142"/>
  <c r="AG476" i="24142"/>
  <c r="AG297" i="24142"/>
  <c r="AG133" i="24142"/>
  <c r="AG378" i="24142"/>
  <c r="AG96" i="24142"/>
  <c r="AC440" i="24142"/>
  <c r="AC476" i="24142"/>
  <c r="AC339" i="24142"/>
  <c r="AC221" i="24142"/>
  <c r="AC169" i="24142"/>
  <c r="AC378" i="24142"/>
  <c r="AC258" i="24142"/>
  <c r="AC297" i="24142"/>
  <c r="Y440" i="24142"/>
  <c r="Y476" i="24142"/>
  <c r="Y339" i="24142"/>
  <c r="Y221" i="24142"/>
  <c r="Y169" i="24142"/>
  <c r="Y403" i="24142"/>
  <c r="Y297" i="24142"/>
  <c r="Y133" i="24142"/>
  <c r="Y96" i="24142"/>
  <c r="Y258" i="24142"/>
  <c r="U440" i="24142"/>
  <c r="U476" i="24142"/>
  <c r="U339" i="24142"/>
  <c r="U221" i="24142"/>
  <c r="U169" i="24142"/>
  <c r="U378" i="24142"/>
  <c r="U258" i="24142"/>
  <c r="U403" i="24142"/>
  <c r="U133" i="24142"/>
  <c r="U96" i="24142"/>
  <c r="Q440" i="24142"/>
  <c r="Q403" i="24142"/>
  <c r="Q339" i="24142"/>
  <c r="Q221" i="24142"/>
  <c r="Q169" i="24142"/>
  <c r="Q476" i="24142"/>
  <c r="Q297" i="24142"/>
  <c r="Q133" i="24142"/>
  <c r="Q378" i="24142"/>
  <c r="M440" i="24142"/>
  <c r="M476" i="24142"/>
  <c r="M339" i="24142"/>
  <c r="M221" i="24142"/>
  <c r="M169" i="24142"/>
  <c r="M378" i="24142"/>
  <c r="M258" i="24142"/>
  <c r="M297" i="24142"/>
  <c r="I403" i="24142"/>
  <c r="I440" i="24142"/>
  <c r="I339" i="24142"/>
  <c r="I221" i="24142"/>
  <c r="I169" i="24142"/>
  <c r="I476" i="24142"/>
  <c r="I297" i="24142"/>
  <c r="I133" i="24142"/>
  <c r="I96" i="24142"/>
  <c r="I258" i="24142"/>
  <c r="E403" i="24142"/>
  <c r="E476" i="24142"/>
  <c r="E339" i="24142"/>
  <c r="E221" i="24142"/>
  <c r="E169" i="24142"/>
  <c r="E378" i="24142"/>
  <c r="E258" i="24142"/>
  <c r="E440" i="24142"/>
  <c r="E133" i="24142"/>
  <c r="E96" i="24142"/>
  <c r="CK65" i="23917"/>
  <c r="CK159" i="23917"/>
  <c r="CK235" i="23917"/>
  <c r="CK323" i="23917"/>
  <c r="CK405" i="23917"/>
  <c r="CK469" i="23917"/>
  <c r="CG65" i="23917"/>
  <c r="CG192" i="23917"/>
  <c r="CG323" i="23917"/>
  <c r="CG363" i="23917"/>
  <c r="CG444" i="23917"/>
  <c r="CC65" i="23917"/>
  <c r="CC159" i="23917"/>
  <c r="CC235" i="23917"/>
  <c r="CC284" i="23917"/>
  <c r="CC405" i="23917"/>
  <c r="CC469" i="23917"/>
  <c r="EF65" i="23917"/>
  <c r="EF159" i="23917"/>
  <c r="EF284" i="23917"/>
  <c r="EF363" i="23917"/>
  <c r="EF323" i="23917"/>
  <c r="EF444" i="23917"/>
  <c r="EB106" i="23917"/>
  <c r="EB192" i="23917"/>
  <c r="EB235" i="23917"/>
  <c r="EB323" i="23917"/>
  <c r="EB469" i="23917"/>
  <c r="DX65" i="23917"/>
  <c r="DX159" i="23917"/>
  <c r="DX284" i="23917"/>
  <c r="DX363" i="23917"/>
  <c r="DX323" i="23917"/>
  <c r="DX444" i="23917"/>
  <c r="DT106" i="23917"/>
  <c r="DT192" i="23917"/>
  <c r="DT235" i="23917"/>
  <c r="DT323" i="23917"/>
  <c r="DT469" i="23917"/>
  <c r="DP65" i="23917"/>
  <c r="DP159" i="23917"/>
  <c r="DP284" i="23917"/>
  <c r="DP363" i="23917"/>
  <c r="DP323" i="23917"/>
  <c r="DP444" i="23917"/>
  <c r="DL106" i="23917"/>
  <c r="DL192" i="23917"/>
  <c r="DL235" i="23917"/>
  <c r="DL323" i="23917"/>
  <c r="DL469" i="23917"/>
  <c r="DH65" i="23917"/>
  <c r="DH159" i="23917"/>
  <c r="DH284" i="23917"/>
  <c r="DH363" i="23917"/>
  <c r="DH323" i="23917"/>
  <c r="DH444" i="23917"/>
  <c r="DD106" i="23917"/>
  <c r="DD192" i="23917"/>
  <c r="DD235" i="23917"/>
  <c r="DD323" i="23917"/>
  <c r="DD469" i="23917"/>
  <c r="CQ65" i="23917"/>
  <c r="CQ159" i="23917"/>
  <c r="CQ284" i="23917"/>
  <c r="CQ363" i="23917"/>
  <c r="CQ323" i="23917"/>
  <c r="CQ444" i="23917"/>
  <c r="CM106" i="23917"/>
  <c r="CM192" i="23917"/>
  <c r="CM235" i="23917"/>
  <c r="CM323" i="23917"/>
  <c r="CM469" i="23917"/>
  <c r="CA65" i="23917"/>
  <c r="CA159" i="23917"/>
  <c r="CA284" i="23917"/>
  <c r="CA363" i="23917"/>
  <c r="CA323" i="23917"/>
  <c r="CA444" i="23917"/>
  <c r="BW106" i="23917"/>
  <c r="BW192" i="23917"/>
  <c r="BW235" i="23917"/>
  <c r="BW323" i="23917"/>
  <c r="BW469" i="23917"/>
  <c r="BS65" i="23917"/>
  <c r="BS159" i="23917"/>
  <c r="BS284" i="23917"/>
  <c r="BS363" i="23917"/>
  <c r="BS323" i="23917"/>
  <c r="BS444" i="23917"/>
  <c r="BO106" i="23917"/>
  <c r="BO192" i="23917"/>
  <c r="BO235" i="23917"/>
  <c r="BO323" i="23917"/>
  <c r="BO469" i="23917"/>
  <c r="BK65" i="23917"/>
  <c r="BK159" i="23917"/>
  <c r="BK284" i="23917"/>
  <c r="BK363" i="23917"/>
  <c r="BK323" i="23917"/>
  <c r="BK444" i="23917"/>
  <c r="BG106" i="23917"/>
  <c r="BG192" i="23917"/>
  <c r="BG235" i="23917"/>
  <c r="BG323" i="23917"/>
  <c r="BG469" i="23917"/>
  <c r="BC65" i="23917"/>
  <c r="BC159" i="23917"/>
  <c r="BC284" i="23917"/>
  <c r="BC363" i="23917"/>
  <c r="BC323" i="23917"/>
  <c r="BC444" i="23917"/>
  <c r="AY106" i="23917"/>
  <c r="AY192" i="23917"/>
  <c r="AY235" i="23917"/>
  <c r="AY323" i="23917"/>
  <c r="AY469" i="23917"/>
  <c r="AU65" i="23917"/>
  <c r="AU159" i="23917"/>
  <c r="AU284" i="23917"/>
  <c r="AU363" i="23917"/>
  <c r="AU323" i="23917"/>
  <c r="AU444" i="23917"/>
  <c r="AQ106" i="23917"/>
  <c r="AQ192" i="23917"/>
  <c r="AQ323" i="23917"/>
  <c r="AQ363" i="23917"/>
  <c r="AQ469" i="23917"/>
  <c r="AM65" i="23917"/>
  <c r="AM159" i="23917"/>
  <c r="AM284" i="23917"/>
  <c r="AM235" i="23917"/>
  <c r="AM405" i="23917"/>
  <c r="AM444" i="23917"/>
  <c r="AI106" i="23917"/>
  <c r="AI192" i="23917"/>
  <c r="AI323" i="23917"/>
  <c r="AI363" i="23917"/>
  <c r="AI469" i="23917"/>
  <c r="AE65" i="23917"/>
  <c r="AE159" i="23917"/>
  <c r="AE284" i="23917"/>
  <c r="AE235" i="23917"/>
  <c r="AE405" i="23917"/>
  <c r="AE444" i="23917"/>
  <c r="AA106" i="23917"/>
  <c r="AA192" i="23917"/>
  <c r="AA323" i="23917"/>
  <c r="AA363" i="23917"/>
  <c r="AA469" i="23917"/>
  <c r="W65" i="23917"/>
  <c r="W159" i="23917"/>
  <c r="W284" i="23917"/>
  <c r="W235" i="23917"/>
  <c r="W405" i="23917"/>
  <c r="W444" i="23917"/>
  <c r="S106" i="23917"/>
  <c r="S192" i="23917"/>
  <c r="S323" i="23917"/>
  <c r="S363" i="23917"/>
  <c r="S469" i="23917"/>
  <c r="O65" i="23917"/>
  <c r="O159" i="23917"/>
  <c r="O284" i="23917"/>
  <c r="O235" i="23917"/>
  <c r="O405" i="23917"/>
  <c r="O444" i="23917"/>
  <c r="K106" i="23917"/>
  <c r="K192" i="23917"/>
  <c r="K323" i="23917"/>
  <c r="K405" i="23917"/>
  <c r="K469" i="23917"/>
  <c r="G65" i="23917"/>
  <c r="G159" i="23917"/>
  <c r="G284" i="23917"/>
  <c r="G235" i="23917"/>
  <c r="G405" i="23917"/>
  <c r="G444" i="23917"/>
  <c r="C106" i="23917"/>
  <c r="C192" i="23917"/>
  <c r="C323" i="23917"/>
  <c r="C363" i="23917"/>
  <c r="C469" i="23917"/>
  <c r="EJ65" i="23917"/>
  <c r="EJ159" i="23917"/>
  <c r="EJ284" i="23917"/>
  <c r="EJ235" i="23917"/>
  <c r="EJ405" i="23917"/>
  <c r="EJ444" i="23917"/>
  <c r="DN97" i="24142"/>
  <c r="BY97" i="24142"/>
  <c r="BE96" i="24142"/>
  <c r="AS96" i="24142"/>
  <c r="AG97" i="24142"/>
  <c r="M96" i="24142"/>
  <c r="EH56" i="24142"/>
  <c r="DZ56" i="24142"/>
  <c r="DR56" i="24142"/>
  <c r="DJ56" i="24142"/>
  <c r="CS56" i="24142"/>
  <c r="BU56" i="24142"/>
  <c r="BM56" i="24142"/>
  <c r="BE56" i="24142"/>
  <c r="AW56" i="24142"/>
  <c r="AO56" i="24142"/>
  <c r="AG56" i="24142"/>
  <c r="Y56" i="24142"/>
  <c r="Q56" i="24142"/>
  <c r="I56" i="24142"/>
  <c r="EF170" i="24142"/>
  <c r="EF134" i="24142"/>
  <c r="EF259" i="24142"/>
  <c r="EF340" i="24142"/>
  <c r="EF404" i="24142"/>
  <c r="EF477" i="24142"/>
  <c r="EB97" i="24142"/>
  <c r="EB222" i="24142"/>
  <c r="EB298" i="24142"/>
  <c r="EB404" i="24142"/>
  <c r="EB441" i="24142"/>
  <c r="DX97" i="24142"/>
  <c r="DX170" i="24142"/>
  <c r="DX259" i="24142"/>
  <c r="DX340" i="24142"/>
  <c r="DX404" i="24142"/>
  <c r="DX477" i="24142"/>
  <c r="DT97" i="24142"/>
  <c r="DT222" i="24142"/>
  <c r="DT404" i="24142"/>
  <c r="DT340" i="24142"/>
  <c r="DT441" i="24142"/>
  <c r="DP170" i="24142"/>
  <c r="DP134" i="24142"/>
  <c r="DP259" i="24142"/>
  <c r="DP340" i="24142"/>
  <c r="DP404" i="24142"/>
  <c r="DP477" i="24142"/>
  <c r="DL97" i="24142"/>
  <c r="DL222" i="24142"/>
  <c r="DL404" i="24142"/>
  <c r="DL340" i="24142"/>
  <c r="DL441" i="24142"/>
  <c r="DH97" i="24142"/>
  <c r="DH170" i="24142"/>
  <c r="DH259" i="24142"/>
  <c r="DH340" i="24142"/>
  <c r="DH404" i="24142"/>
  <c r="DH477" i="24142"/>
  <c r="DD97" i="24142"/>
  <c r="DD222" i="24142"/>
  <c r="DD298" i="24142"/>
  <c r="DD379" i="24142"/>
  <c r="DD441" i="24142"/>
  <c r="CQ170" i="24142"/>
  <c r="CQ134" i="24142"/>
  <c r="CQ340" i="24142"/>
  <c r="CQ477" i="24142"/>
  <c r="CM222" i="24142"/>
  <c r="CM379" i="24142"/>
  <c r="CI170" i="24142"/>
  <c r="CI259" i="24142"/>
  <c r="CI404" i="24142"/>
  <c r="CE97" i="24142"/>
  <c r="CE298" i="24142"/>
  <c r="CE441" i="24142"/>
  <c r="CA134" i="24142"/>
  <c r="CA298" i="24142"/>
  <c r="CA477" i="24142"/>
  <c r="BW222" i="24142"/>
  <c r="BW379" i="24142"/>
  <c r="BS170" i="24142"/>
  <c r="BS259" i="24142"/>
  <c r="BS404" i="24142"/>
  <c r="BO97" i="24142"/>
  <c r="BO298" i="24142"/>
  <c r="BO441" i="24142"/>
  <c r="BK134" i="24142"/>
  <c r="BK298" i="24142"/>
  <c r="BK477" i="24142"/>
  <c r="BG222" i="24142"/>
  <c r="BG379" i="24142"/>
  <c r="BC170" i="24142"/>
  <c r="BC259" i="24142"/>
  <c r="BC404" i="24142"/>
  <c r="AY97" i="24142"/>
  <c r="AY298" i="24142"/>
  <c r="AY441" i="24142"/>
  <c r="AU134" i="24142"/>
  <c r="AU298" i="24142"/>
  <c r="AU477" i="24142"/>
  <c r="AQ222" i="24142"/>
  <c r="AQ379" i="24142"/>
  <c r="AM170" i="24142"/>
  <c r="AM259" i="24142"/>
  <c r="AM404" i="24142"/>
  <c r="AI97" i="24142"/>
  <c r="AI298" i="24142"/>
  <c r="AI441" i="24142"/>
  <c r="AE134" i="24142"/>
  <c r="AE340" i="24142"/>
  <c r="AE477" i="24142"/>
  <c r="AA222" i="24142"/>
  <c r="AA379" i="24142"/>
  <c r="W170" i="24142"/>
  <c r="W259" i="24142"/>
  <c r="W404" i="24142"/>
  <c r="S97" i="24142"/>
  <c r="S298" i="24142"/>
  <c r="S441" i="24142"/>
  <c r="O134" i="24142"/>
  <c r="O298" i="24142"/>
  <c r="O477" i="24142"/>
  <c r="K222" i="24142"/>
  <c r="K379" i="24142"/>
  <c r="G170" i="24142"/>
  <c r="G259" i="24142"/>
  <c r="G404" i="24142"/>
  <c r="CK97" i="24142"/>
  <c r="AW96" i="24142"/>
  <c r="AK97" i="24142"/>
  <c r="Q96" i="24142"/>
  <c r="E97" i="24142"/>
  <c r="CI96" i="24142"/>
  <c r="CI258" i="24142"/>
  <c r="CI403" i="24142"/>
  <c r="CE133" i="24142"/>
  <c r="CE297" i="24142"/>
  <c r="CE440" i="24142"/>
  <c r="CG97" i="24142"/>
  <c r="AO97" i="24142"/>
  <c r="I97" i="24142"/>
  <c r="EH259" i="24142"/>
  <c r="EH379" i="24142"/>
  <c r="DZ134" i="24142"/>
  <c r="DZ298" i="24142"/>
  <c r="DZ441" i="24142"/>
  <c r="DV170" i="24142"/>
  <c r="DV340" i="24142"/>
  <c r="DV477" i="24142"/>
  <c r="DR222" i="24142"/>
  <c r="DR404" i="24142"/>
  <c r="DN134" i="24142"/>
  <c r="DN340" i="24142"/>
  <c r="DN477" i="24142"/>
  <c r="DJ222" i="24142"/>
  <c r="DJ404" i="24142"/>
  <c r="DF170" i="24142"/>
  <c r="DF298" i="24142"/>
  <c r="DF477" i="24142"/>
  <c r="CS222" i="24142"/>
  <c r="CS404" i="24142"/>
  <c r="CO170" i="24142"/>
  <c r="CO340" i="24142"/>
  <c r="CO477" i="24142"/>
  <c r="CK222" i="24142"/>
  <c r="CK379" i="24142"/>
  <c r="CG170" i="24142"/>
  <c r="CG340" i="24142"/>
  <c r="CG477" i="24142"/>
  <c r="CC222" i="24142"/>
  <c r="CC404" i="24142"/>
  <c r="BY170" i="24142"/>
  <c r="BY340" i="24142"/>
  <c r="BY477" i="24142"/>
  <c r="BU222" i="24142"/>
  <c r="BU379" i="24142"/>
  <c r="BQ170" i="24142"/>
  <c r="BQ340" i="24142"/>
  <c r="BQ477" i="24142"/>
  <c r="BM222" i="24142"/>
  <c r="BM404" i="24142"/>
  <c r="BI170" i="24142"/>
  <c r="BI340" i="24142"/>
  <c r="BI477" i="24142"/>
  <c r="BE222" i="24142"/>
  <c r="BE379" i="24142"/>
  <c r="BA170" i="24142"/>
  <c r="BA340" i="24142"/>
  <c r="BA477" i="24142"/>
  <c r="AW222" i="24142"/>
  <c r="AW404" i="24142"/>
  <c r="AS170" i="24142"/>
  <c r="AS404" i="24142"/>
  <c r="AO298" i="24142"/>
  <c r="AK222" i="24142"/>
  <c r="AG170" i="24142"/>
  <c r="AG477" i="24142"/>
  <c r="AC404" i="24142"/>
  <c r="Y340" i="24142"/>
  <c r="U222" i="24142"/>
  <c r="Q170" i="24142"/>
  <c r="Q477" i="24142"/>
  <c r="M404" i="24142"/>
  <c r="I340" i="24142"/>
  <c r="E222" i="24142"/>
  <c r="EJ97" i="24142"/>
  <c r="M57" i="24142"/>
  <c r="EH96" i="24142"/>
  <c r="EH403" i="24142"/>
  <c r="DZ169" i="24142"/>
  <c r="DZ440" i="24142"/>
  <c r="DV378" i="24142"/>
  <c r="DR221" i="24142"/>
  <c r="DN133" i="24142"/>
  <c r="DN403" i="24142"/>
  <c r="DJ339" i="24142"/>
  <c r="DF258" i="24142"/>
  <c r="CS96" i="24142"/>
  <c r="CS403" i="24142"/>
  <c r="BY297" i="24142"/>
  <c r="BU169" i="24142"/>
  <c r="BU440" i="24142"/>
  <c r="BQ378" i="24142"/>
  <c r="BM297" i="24142"/>
  <c r="BI403" i="24142"/>
  <c r="BA297" i="24142"/>
  <c r="AS133" i="24142"/>
  <c r="AO378" i="24142"/>
  <c r="AG258" i="24142"/>
  <c r="AC403" i="24142"/>
  <c r="U297" i="24142"/>
  <c r="M133" i="24142"/>
  <c r="I378" i="24142"/>
  <c r="EJ222" i="24142"/>
  <c r="BO85" i="24142"/>
  <c r="BN85" i="24142"/>
  <c r="AI96" i="23917"/>
  <c r="AH96" i="23917"/>
  <c r="AC95" i="23917"/>
  <c r="AB95" i="23917"/>
  <c r="AC99" i="23917"/>
  <c r="AB99" i="23917"/>
  <c r="DM82" i="24142"/>
  <c r="DM86" i="23917"/>
  <c r="DT85" i="24142"/>
  <c r="DS85" i="24142"/>
  <c r="DI89" i="24142"/>
  <c r="DI98" i="23917"/>
  <c r="DJ99" i="23917"/>
  <c r="DI99" i="23917"/>
  <c r="DH96" i="23917"/>
  <c r="DG96" i="23917"/>
  <c r="R89" i="24142"/>
  <c r="R98" i="23917"/>
  <c r="J89" i="24142"/>
  <c r="J98" i="23917"/>
  <c r="L83" i="24142"/>
  <c r="L87" i="23917"/>
  <c r="DE89" i="24142"/>
  <c r="DE98" i="23917"/>
  <c r="BE96" i="23917"/>
  <c r="BD96" i="23917"/>
  <c r="AG85" i="24142"/>
  <c r="AF85" i="24142"/>
  <c r="AA99" i="23917"/>
  <c r="Z99" i="23917"/>
  <c r="BW94" i="23917"/>
  <c r="BV94" i="23917"/>
  <c r="BO94" i="23917"/>
  <c r="BN94" i="23917"/>
  <c r="BG95" i="23917"/>
  <c r="BF95" i="23917"/>
  <c r="BC95" i="23917"/>
  <c r="BB95" i="23917"/>
  <c r="AU96" i="23917"/>
  <c r="AT96" i="23917"/>
  <c r="X89" i="24142"/>
  <c r="X98" i="23917"/>
  <c r="V82" i="24142"/>
  <c r="V86" i="23917"/>
  <c r="V83" i="24142"/>
  <c r="V87" i="23917"/>
  <c r="S89" i="23917"/>
  <c r="R89" i="23917"/>
  <c r="N82" i="24142"/>
  <c r="N86" i="23917"/>
  <c r="F82" i="24142"/>
  <c r="F86" i="23917"/>
  <c r="DC89" i="24142"/>
  <c r="DC98" i="23917"/>
  <c r="BU85" i="24142"/>
  <c r="BT85" i="24142"/>
  <c r="U91" i="23917"/>
  <c r="T91" i="23917"/>
  <c r="AB82" i="24142"/>
  <c r="AB86" i="23917"/>
  <c r="BV89" i="24142"/>
  <c r="BV98" i="23917"/>
  <c r="DP62" i="24142"/>
  <c r="DP25" i="24142"/>
  <c r="DP71" i="23917"/>
  <c r="DP28" i="23917"/>
  <c r="DP61" i="24142"/>
  <c r="DP70" i="23917"/>
  <c r="DJ62" i="24142"/>
  <c r="DJ25" i="24142"/>
  <c r="DJ71" i="23917"/>
  <c r="DJ28" i="23917"/>
  <c r="DX43" i="23917"/>
  <c r="DW43" i="23917"/>
  <c r="DH43" i="23917"/>
  <c r="DG43" i="23917"/>
  <c r="EM18" i="24142"/>
  <c r="EM18" i="23917"/>
  <c r="AK43" i="23917"/>
  <c r="AJ43" i="23917"/>
  <c r="AY43" i="23917"/>
  <c r="AX43" i="23917"/>
  <c r="AI43" i="23917"/>
  <c r="AH43" i="23917"/>
  <c r="DV33" i="24142"/>
  <c r="DV39" i="23917"/>
  <c r="DF33" i="24142"/>
  <c r="DF39" i="23917"/>
  <c r="DM487" i="24142"/>
  <c r="DM553" i="23917"/>
  <c r="T483" i="24142"/>
  <c r="T549" i="23917"/>
  <c r="DW488" i="24142"/>
  <c r="DW555" i="23917"/>
  <c r="DG488" i="24142"/>
  <c r="DG555" i="23917"/>
  <c r="CI487" i="24142"/>
  <c r="CI553" i="23917"/>
  <c r="AQ487" i="24142"/>
  <c r="AQ553" i="23917"/>
  <c r="DE487" i="24142"/>
  <c r="DE553" i="23917"/>
  <c r="DI488" i="24142"/>
  <c r="DI555" i="23917"/>
  <c r="BL488" i="24142"/>
  <c r="BL555" i="23917"/>
  <c r="AV488" i="24142"/>
  <c r="AV555" i="23917"/>
  <c r="AF488" i="24142"/>
  <c r="AF555" i="23917"/>
  <c r="BC487" i="24142"/>
  <c r="BC553" i="23917"/>
  <c r="G487" i="24142"/>
  <c r="G553" i="23917"/>
  <c r="DC487" i="24142"/>
  <c r="DC553" i="23917"/>
  <c r="BA481" i="24142"/>
  <c r="BA547" i="23917"/>
  <c r="DO481" i="24142"/>
  <c r="DO547" i="23917"/>
  <c r="CL490" i="24142"/>
  <c r="CL557" i="23917"/>
  <c r="BI488" i="24142"/>
  <c r="BI555" i="23917"/>
  <c r="BA488" i="24142"/>
  <c r="BA555" i="23917"/>
  <c r="AS488" i="24142"/>
  <c r="AS555" i="23917"/>
  <c r="AK488" i="24142"/>
  <c r="AK555" i="23917"/>
  <c r="AD490" i="24142"/>
  <c r="AD557" i="23917"/>
  <c r="N490" i="24142"/>
  <c r="N557" i="23917"/>
  <c r="E463" i="24142"/>
  <c r="E529" i="23917"/>
  <c r="DE452" i="24142"/>
  <c r="DE518" i="23917"/>
  <c r="DC416" i="24142"/>
  <c r="DC482" i="23917"/>
  <c r="DC392" i="24142"/>
  <c r="DC458" i="23917"/>
  <c r="N395" i="24142"/>
  <c r="N461" i="23917"/>
  <c r="N394" i="24142"/>
  <c r="N460" i="23917"/>
  <c r="V392" i="24142"/>
  <c r="V458" i="23917"/>
  <c r="N392" i="24142"/>
  <c r="N458" i="23917"/>
  <c r="F392" i="24142"/>
  <c r="F458" i="23917"/>
  <c r="R389" i="24142"/>
  <c r="R455" i="23917"/>
  <c r="AA387" i="24142"/>
  <c r="AA453" i="23917"/>
  <c r="W387" i="24142"/>
  <c r="W453" i="23917"/>
  <c r="S387" i="24142"/>
  <c r="S453" i="23917"/>
  <c r="O387" i="24142"/>
  <c r="O453" i="23917"/>
  <c r="K387" i="24142"/>
  <c r="K453" i="23917"/>
  <c r="C387" i="24142"/>
  <c r="C453" i="23917"/>
  <c r="DI387" i="24142"/>
  <c r="DI453" i="23917"/>
  <c r="DE385" i="24142"/>
  <c r="DE451" i="23917"/>
  <c r="R290" i="24142"/>
  <c r="R356" i="23917"/>
  <c r="BL273" i="24142"/>
  <c r="BL338" i="23917"/>
  <c r="BD273" i="24142"/>
  <c r="BD338" i="23917"/>
  <c r="AV273" i="24142"/>
  <c r="AV338" i="23917"/>
  <c r="AF273" i="24142"/>
  <c r="AF338" i="23917"/>
  <c r="X273" i="24142"/>
  <c r="X338" i="23917"/>
  <c r="DO272" i="24142"/>
  <c r="DO337" i="23917"/>
  <c r="AQ272" i="24142"/>
  <c r="AQ337" i="23917"/>
  <c r="AM272" i="24142"/>
  <c r="AM337" i="23917"/>
  <c r="AI272" i="24142"/>
  <c r="AI337" i="23917"/>
  <c r="AA272" i="24142"/>
  <c r="AA337" i="23917"/>
  <c r="AT270" i="24142"/>
  <c r="AT335" i="23917"/>
  <c r="CK272" i="24142"/>
  <c r="CK337" i="23917"/>
  <c r="BM272" i="24142"/>
  <c r="BM337" i="23917"/>
  <c r="BE272" i="24142"/>
  <c r="BE337" i="23917"/>
  <c r="AW272" i="24142"/>
  <c r="AW337" i="23917"/>
  <c r="AG271" i="24142"/>
  <c r="AG336" i="23917"/>
  <c r="AF270" i="24142"/>
  <c r="AF335" i="23917"/>
  <c r="X270" i="24142"/>
  <c r="X335" i="23917"/>
  <c r="DV269" i="24142"/>
  <c r="DV334" i="23917"/>
  <c r="BV490" i="24142"/>
  <c r="BV557" i="23917"/>
  <c r="BN490" i="24142"/>
  <c r="BN557" i="23917"/>
  <c r="BF490" i="24142"/>
  <c r="BF557" i="23917"/>
  <c r="AX490" i="24142"/>
  <c r="AX557" i="23917"/>
  <c r="AP490" i="24142"/>
  <c r="AP557" i="23917"/>
  <c r="AI488" i="24142"/>
  <c r="AI555" i="23917"/>
  <c r="W488" i="24142"/>
  <c r="W555" i="23917"/>
  <c r="AA483" i="24142"/>
  <c r="AA549" i="23917"/>
  <c r="K483" i="24142"/>
  <c r="K549" i="23917"/>
  <c r="DU483" i="24142"/>
  <c r="DU549" i="23917"/>
  <c r="DQ483" i="24142"/>
  <c r="DQ549" i="23917"/>
  <c r="DM483" i="24142"/>
  <c r="DM549" i="23917"/>
  <c r="DI483" i="24142"/>
  <c r="DI549" i="23917"/>
  <c r="L416" i="24142"/>
  <c r="L482" i="23917"/>
  <c r="E415" i="24142"/>
  <c r="E481" i="23917"/>
  <c r="H411" i="24142"/>
  <c r="H477" i="23917"/>
  <c r="U429" i="24142"/>
  <c r="U409" i="24142"/>
  <c r="U475" i="23917"/>
  <c r="U495" i="23917"/>
  <c r="DD410" i="24142"/>
  <c r="DD476" i="23917"/>
  <c r="DD408" i="24142"/>
  <c r="DD474" i="23917"/>
  <c r="V346" i="24142"/>
  <c r="V412" i="23917"/>
  <c r="N346" i="24142"/>
  <c r="N412" i="23917"/>
  <c r="F346" i="24142"/>
  <c r="F412" i="23917"/>
  <c r="AA344" i="24142"/>
  <c r="AA410" i="23917"/>
  <c r="S344" i="24142"/>
  <c r="S410" i="23917"/>
  <c r="K344" i="24142"/>
  <c r="K410" i="23917"/>
  <c r="C344" i="24142"/>
  <c r="C410" i="23917"/>
  <c r="AC392" i="24142"/>
  <c r="AC458" i="23917"/>
  <c r="Q392" i="24142"/>
  <c r="Q458" i="23917"/>
  <c r="Y384" i="24142"/>
  <c r="Y450" i="23917"/>
  <c r="S386" i="24142"/>
  <c r="S452" i="23917"/>
  <c r="M384" i="24142"/>
  <c r="M450" i="23917"/>
  <c r="DD387" i="24142"/>
  <c r="DD453" i="23917"/>
  <c r="C306" i="24142"/>
  <c r="C372" i="23917"/>
  <c r="DG273" i="24142"/>
  <c r="DG338" i="23917"/>
  <c r="DJ272" i="24142"/>
  <c r="DJ337" i="23917"/>
  <c r="AQ271" i="24142"/>
  <c r="AQ336" i="23917"/>
  <c r="AK271" i="24142"/>
  <c r="AK336" i="23917"/>
  <c r="CM271" i="24142"/>
  <c r="CM336" i="23917"/>
  <c r="CE271" i="24142"/>
  <c r="CE336" i="23917"/>
  <c r="BO271" i="24142"/>
  <c r="BO336" i="23917"/>
  <c r="BG271" i="24142"/>
  <c r="BG336" i="23917"/>
  <c r="AY271" i="24142"/>
  <c r="AY336" i="23917"/>
  <c r="CL270" i="24142"/>
  <c r="CL335" i="23917"/>
  <c r="BV270" i="24142"/>
  <c r="BV335" i="23917"/>
  <c r="BN270" i="24142"/>
  <c r="BN335" i="23917"/>
  <c r="BF270" i="24142"/>
  <c r="BF335" i="23917"/>
  <c r="AX270" i="24142"/>
  <c r="AX335" i="23917"/>
  <c r="DS271" i="24142"/>
  <c r="DS336" i="23917"/>
  <c r="DI269" i="24142"/>
  <c r="DI334" i="23917"/>
  <c r="W269" i="24142"/>
  <c r="W334" i="23917"/>
  <c r="AM483" i="24142"/>
  <c r="AM549" i="23917"/>
  <c r="W483" i="24142"/>
  <c r="W549" i="23917"/>
  <c r="G483" i="24142"/>
  <c r="G549" i="23917"/>
  <c r="EA481" i="24142"/>
  <c r="BM481" i="24142"/>
  <c r="BM547" i="23917"/>
  <c r="BE481" i="24142"/>
  <c r="BE547" i="23917"/>
  <c r="AW481" i="24142"/>
  <c r="AW547" i="23917"/>
  <c r="AO481" i="24142"/>
  <c r="AO547" i="23917"/>
  <c r="AF483" i="24142"/>
  <c r="AF549" i="23917"/>
  <c r="Y481" i="24142"/>
  <c r="Y547" i="23917"/>
  <c r="P483" i="24142"/>
  <c r="P549" i="23917"/>
  <c r="DE481" i="24142"/>
  <c r="DE547" i="23917"/>
  <c r="H483" i="24142"/>
  <c r="H549" i="23917"/>
  <c r="E454" i="24142"/>
  <c r="E520" i="23917"/>
  <c r="DH419" i="24142"/>
  <c r="DH485" i="23917"/>
  <c r="DE432" i="24142"/>
  <c r="DE498" i="23917"/>
  <c r="DI416" i="24142"/>
  <c r="DI482" i="23917"/>
  <c r="M429" i="24142"/>
  <c r="M409" i="24142"/>
  <c r="M475" i="23917"/>
  <c r="M495" i="23917"/>
  <c r="DG344" i="24142"/>
  <c r="DG410" i="23917"/>
  <c r="DG395" i="24142"/>
  <c r="DG461" i="23917"/>
  <c r="P395" i="24142"/>
  <c r="P461" i="23917"/>
  <c r="P394" i="24142"/>
  <c r="P460" i="23917"/>
  <c r="X392" i="24142"/>
  <c r="X458" i="23917"/>
  <c r="D392" i="24142"/>
  <c r="D458" i="23917"/>
  <c r="P366" i="24142"/>
  <c r="P432" i="23917"/>
  <c r="Y387" i="24142"/>
  <c r="Y453" i="23917"/>
  <c r="Q387" i="24142"/>
  <c r="Q453" i="23917"/>
  <c r="I387" i="24142"/>
  <c r="I453" i="23917"/>
  <c r="DC314" i="24142"/>
  <c r="DC380" i="23917"/>
  <c r="G305" i="24142"/>
  <c r="G371" i="23917"/>
  <c r="BR275" i="24142"/>
  <c r="BR340" i="23917"/>
  <c r="AL275" i="24142"/>
  <c r="AL340" i="23917"/>
  <c r="N275" i="24142"/>
  <c r="N340" i="23917"/>
  <c r="DQ289" i="24142"/>
  <c r="DQ355" i="23917"/>
  <c r="DE289" i="24142"/>
  <c r="DE355" i="23917"/>
  <c r="BJ289" i="24142"/>
  <c r="BJ355" i="23917"/>
  <c r="BB289" i="24142"/>
  <c r="BB355" i="23917"/>
  <c r="AT289" i="24142"/>
  <c r="AT355" i="23917"/>
  <c r="AP289" i="24142"/>
  <c r="AP355" i="23917"/>
  <c r="AH289" i="24142"/>
  <c r="AH355" i="23917"/>
  <c r="V289" i="24142"/>
  <c r="V355" i="23917"/>
  <c r="R289" i="24142"/>
  <c r="R355" i="23917"/>
  <c r="DU290" i="24142"/>
  <c r="DU356" i="23917"/>
  <c r="DS289" i="24142"/>
  <c r="DS355" i="23917"/>
  <c r="U271" i="24142"/>
  <c r="U336" i="23917"/>
  <c r="DK286" i="24142"/>
  <c r="DK352" i="23917"/>
  <c r="BK488" i="24142"/>
  <c r="BK555" i="23917"/>
  <c r="BC488" i="24142"/>
  <c r="BC555" i="23917"/>
  <c r="AU488" i="24142"/>
  <c r="AU555" i="23917"/>
  <c r="AE488" i="24142"/>
  <c r="AE555" i="23917"/>
  <c r="U488" i="24142"/>
  <c r="U555" i="23917"/>
  <c r="AI483" i="24142"/>
  <c r="AI549" i="23917"/>
  <c r="R490" i="24142"/>
  <c r="R557" i="23917"/>
  <c r="DX482" i="24142"/>
  <c r="DX548" i="23917"/>
  <c r="DH482" i="24142"/>
  <c r="DH548" i="23917"/>
  <c r="DE450" i="24142"/>
  <c r="DE516" i="23917"/>
  <c r="E450" i="24142"/>
  <c r="E516" i="23917"/>
  <c r="DD414" i="24142"/>
  <c r="DD480" i="23917"/>
  <c r="Z411" i="24142"/>
  <c r="Z477" i="23917"/>
  <c r="R411" i="24142"/>
  <c r="R477" i="23917"/>
  <c r="B411" i="24142"/>
  <c r="B477" i="23917"/>
  <c r="S410" i="24142"/>
  <c r="S476" i="23917"/>
  <c r="G429" i="24142"/>
  <c r="G409" i="24142"/>
  <c r="G475" i="23917"/>
  <c r="G495" i="23917"/>
  <c r="Q429" i="24142"/>
  <c r="Q409" i="24142"/>
  <c r="Q475" i="23917"/>
  <c r="Q495" i="23917"/>
  <c r="DF408" i="24142"/>
  <c r="DF474" i="23917"/>
  <c r="X346" i="24142"/>
  <c r="X412" i="23917"/>
  <c r="P346" i="24142"/>
  <c r="P412" i="23917"/>
  <c r="H346" i="24142"/>
  <c r="H412" i="23917"/>
  <c r="AC344" i="24142"/>
  <c r="AC410" i="23917"/>
  <c r="U344" i="24142"/>
  <c r="U410" i="23917"/>
  <c r="M344" i="24142"/>
  <c r="M410" i="23917"/>
  <c r="E344" i="24142"/>
  <c r="E410" i="23917"/>
  <c r="DH345" i="24142"/>
  <c r="DH411" i="23917"/>
  <c r="AA384" i="24142"/>
  <c r="AA450" i="23917"/>
  <c r="S384" i="24142"/>
  <c r="S450" i="23917"/>
  <c r="O384" i="24142"/>
  <c r="O450" i="23917"/>
  <c r="K384" i="24142"/>
  <c r="K450" i="23917"/>
  <c r="C384" i="24142"/>
  <c r="C450" i="23917"/>
  <c r="DD384" i="24142"/>
  <c r="DD450" i="23917"/>
  <c r="L311" i="24142"/>
  <c r="L377" i="23917"/>
  <c r="D311" i="24142"/>
  <c r="D377" i="23917"/>
  <c r="J306" i="24142"/>
  <c r="J372" i="23917"/>
  <c r="BY290" i="24142"/>
  <c r="BX290" i="24142"/>
  <c r="BX356" i="23917"/>
  <c r="BQ290" i="24142"/>
  <c r="BP290" i="24142"/>
  <c r="BP356" i="23917"/>
  <c r="DU273" i="24142"/>
  <c r="DU338" i="23917"/>
  <c r="DM273" i="24142"/>
  <c r="DM338" i="23917"/>
  <c r="AQ269" i="24142"/>
  <c r="AQ334" i="23917"/>
  <c r="L270" i="24142"/>
  <c r="L335" i="23917"/>
  <c r="D270" i="24142"/>
  <c r="D335" i="23917"/>
  <c r="DM271" i="24142"/>
  <c r="DM336" i="23917"/>
  <c r="BJ286" i="24142"/>
  <c r="BJ352" i="23917"/>
  <c r="BB286" i="24142"/>
  <c r="BB352" i="23917"/>
  <c r="AT286" i="24142"/>
  <c r="AT352" i="23917"/>
  <c r="AL286" i="24142"/>
  <c r="AL352" i="23917"/>
  <c r="Z286" i="24142"/>
  <c r="Z352" i="23917"/>
  <c r="R286" i="24142"/>
  <c r="R352" i="23917"/>
  <c r="DK265" i="24142"/>
  <c r="DK330" i="23917"/>
  <c r="DE433" i="24142"/>
  <c r="DE499" i="23917"/>
  <c r="X432" i="24142"/>
  <c r="X498" i="23917"/>
  <c r="X433" i="24142"/>
  <c r="X499" i="23917"/>
  <c r="P432" i="24142"/>
  <c r="P498" i="23917"/>
  <c r="DJ411" i="24142"/>
  <c r="DJ477" i="23917"/>
  <c r="B327" i="24142"/>
  <c r="B393" i="23917"/>
  <c r="AB290" i="24142"/>
  <c r="AB356" i="23917"/>
  <c r="BO290" i="24142"/>
  <c r="BO356" i="23917"/>
  <c r="BM266" i="24142"/>
  <c r="BM331" i="23917"/>
  <c r="AW266" i="24142"/>
  <c r="AW331" i="23917"/>
  <c r="DM266" i="24142"/>
  <c r="DM331" i="23917"/>
  <c r="AJ289" i="24142"/>
  <c r="AJ355" i="23917"/>
  <c r="AJ286" i="24142"/>
  <c r="AJ352" i="23917"/>
  <c r="AB289" i="24142"/>
  <c r="AB355" i="23917"/>
  <c r="AC266" i="24142"/>
  <c r="AC331" i="23917"/>
  <c r="P289" i="24142"/>
  <c r="P355" i="23917"/>
  <c r="P286" i="24142"/>
  <c r="P352" i="23917"/>
  <c r="P290" i="24142"/>
  <c r="P356" i="23917"/>
  <c r="D289" i="24142"/>
  <c r="D355" i="23917"/>
  <c r="E266" i="24142"/>
  <c r="E331" i="23917"/>
  <c r="D290" i="24142"/>
  <c r="D356" i="23917"/>
  <c r="AM266" i="24142"/>
  <c r="AM331" i="23917"/>
  <c r="AD289" i="24142"/>
  <c r="AD355" i="23917"/>
  <c r="G265" i="24142"/>
  <c r="G330" i="23917"/>
  <c r="O265" i="24142"/>
  <c r="O330" i="23917"/>
  <c r="BP213" i="24142"/>
  <c r="BP151" i="23917"/>
  <c r="BA181" i="24142"/>
  <c r="BA118" i="23917"/>
  <c r="AK181" i="24142"/>
  <c r="AK118" i="23917"/>
  <c r="U181" i="24142"/>
  <c r="U118" i="23917"/>
  <c r="E181" i="24142"/>
  <c r="E118" i="23917"/>
  <c r="BV183" i="24142"/>
  <c r="BV120" i="23917"/>
  <c r="BF183" i="24142"/>
  <c r="BF120" i="23917"/>
  <c r="AP183" i="24142"/>
  <c r="AP120" i="23917"/>
  <c r="Z183" i="24142"/>
  <c r="Z120" i="23917"/>
  <c r="J183" i="24142"/>
  <c r="J120" i="23917"/>
  <c r="B177" i="24142"/>
  <c r="B114" i="23917"/>
  <c r="BZ177" i="24142"/>
  <c r="BZ114" i="23917"/>
  <c r="BR177" i="24142"/>
  <c r="BR114" i="23917"/>
  <c r="BJ177" i="24142"/>
  <c r="BJ114" i="23917"/>
  <c r="BB177" i="24142"/>
  <c r="BB114" i="23917"/>
  <c r="AT177" i="24142"/>
  <c r="AT114" i="23917"/>
  <c r="AL177" i="24142"/>
  <c r="AL114" i="23917"/>
  <c r="AD177" i="24142"/>
  <c r="AD114" i="23917"/>
  <c r="V177" i="24142"/>
  <c r="V114" i="23917"/>
  <c r="N177" i="24142"/>
  <c r="N114" i="23917"/>
  <c r="I204" i="24142"/>
  <c r="I175" i="24142"/>
  <c r="I142" i="23917"/>
  <c r="I112" i="23917"/>
  <c r="DU175" i="24142"/>
  <c r="DU204" i="24142"/>
  <c r="DU112" i="23917"/>
  <c r="DU142" i="23917"/>
  <c r="DM175" i="24142"/>
  <c r="DM204" i="24142"/>
  <c r="DM112" i="23917"/>
  <c r="DM142" i="23917"/>
  <c r="DE175" i="24142"/>
  <c r="DE204" i="24142"/>
  <c r="DE112" i="23917"/>
  <c r="DE142" i="23917"/>
  <c r="G452" i="24142"/>
  <c r="G518" i="23917"/>
  <c r="DI433" i="24142"/>
  <c r="DI499" i="23917"/>
  <c r="O411" i="24142"/>
  <c r="O477" i="23917"/>
  <c r="N432" i="24142"/>
  <c r="N498" i="23917"/>
  <c r="G411" i="24142"/>
  <c r="G477" i="23917"/>
  <c r="F432" i="24142"/>
  <c r="F498" i="23917"/>
  <c r="DI346" i="24142"/>
  <c r="DI412" i="23917"/>
  <c r="N383" i="24142"/>
  <c r="N449" i="23917"/>
  <c r="H328" i="24142"/>
  <c r="H394" i="23917"/>
  <c r="DZ272" i="24142"/>
  <c r="DZ337" i="23917"/>
  <c r="AF290" i="24142"/>
  <c r="AF356" i="23917"/>
  <c r="DJ271" i="24142"/>
  <c r="DJ336" i="23917"/>
  <c r="BC290" i="24142"/>
  <c r="BC356" i="23917"/>
  <c r="BW342" i="23917"/>
  <c r="BV277" i="24142"/>
  <c r="BV342" i="23917"/>
  <c r="DU266" i="24142"/>
  <c r="DU331" i="23917"/>
  <c r="BP275" i="24142"/>
  <c r="BP340" i="23917"/>
  <c r="BQ352" i="23917"/>
  <c r="BP286" i="24142"/>
  <c r="BP352" i="23917"/>
  <c r="AZ289" i="24142"/>
  <c r="AZ355" i="23917"/>
  <c r="AZ286" i="24142"/>
  <c r="AZ352" i="23917"/>
  <c r="AG264" i="24142"/>
  <c r="AG329" i="23917"/>
  <c r="DV264" i="24142"/>
  <c r="DV329" i="23917"/>
  <c r="DF264" i="24142"/>
  <c r="DF329" i="23917"/>
  <c r="DF263" i="24142"/>
  <c r="DF328" i="23917"/>
  <c r="DJ21" i="23917"/>
  <c r="DI21" i="23917"/>
  <c r="G21" i="23917"/>
  <c r="F21" i="23917"/>
  <c r="DT187" i="24142"/>
  <c r="DT124" i="23917"/>
  <c r="DL187" i="24142"/>
  <c r="DL124" i="23917"/>
  <c r="DD187" i="24142"/>
  <c r="DD124" i="23917"/>
  <c r="BO181" i="24142"/>
  <c r="BO118" i="23917"/>
  <c r="AY181" i="24142"/>
  <c r="AY118" i="23917"/>
  <c r="AI181" i="24142"/>
  <c r="AI118" i="23917"/>
  <c r="W183" i="24142"/>
  <c r="W120" i="23917"/>
  <c r="O183" i="24142"/>
  <c r="O120" i="23917"/>
  <c r="G183" i="24142"/>
  <c r="G120" i="23917"/>
  <c r="BP183" i="24142"/>
  <c r="BP120" i="23917"/>
  <c r="AZ183" i="24142"/>
  <c r="AZ120" i="23917"/>
  <c r="AJ183" i="24142"/>
  <c r="AJ120" i="23917"/>
  <c r="T183" i="24142"/>
  <c r="T120" i="23917"/>
  <c r="D183" i="24142"/>
  <c r="D120" i="23917"/>
  <c r="BZ183" i="24142"/>
  <c r="BZ120" i="23917"/>
  <c r="DX180" i="24142"/>
  <c r="DX117" i="23917"/>
  <c r="DP180" i="24142"/>
  <c r="DP117" i="23917"/>
  <c r="DH180" i="24142"/>
  <c r="DH117" i="23917"/>
  <c r="O209" i="24142"/>
  <c r="O147" i="23917"/>
  <c r="DZ176" i="24142"/>
  <c r="DZ113" i="23917"/>
  <c r="DR176" i="24142"/>
  <c r="DR113" i="23917"/>
  <c r="DJ176" i="24142"/>
  <c r="DJ113" i="23917"/>
  <c r="DV174" i="24142"/>
  <c r="DV111" i="23917"/>
  <c r="DN174" i="24142"/>
  <c r="DN111" i="23917"/>
  <c r="DG432" i="24142"/>
  <c r="DG498" i="23917"/>
  <c r="T418" i="24142"/>
  <c r="T484" i="23917"/>
  <c r="D432" i="24142"/>
  <c r="D498" i="23917"/>
  <c r="D433" i="24142"/>
  <c r="D499" i="23917"/>
  <c r="DF387" i="24142"/>
  <c r="DF453" i="23917"/>
  <c r="DC327" i="24142"/>
  <c r="DC393" i="23917"/>
  <c r="AD290" i="24142"/>
  <c r="AD356" i="23917"/>
  <c r="DX272" i="24142"/>
  <c r="DX337" i="23917"/>
  <c r="AZ290" i="24142"/>
  <c r="AZ356" i="23917"/>
  <c r="X289" i="24142"/>
  <c r="X355" i="23917"/>
  <c r="BT289" i="24142"/>
  <c r="BT355" i="23917"/>
  <c r="BT286" i="24142"/>
  <c r="BT352" i="23917"/>
  <c r="BD289" i="24142"/>
  <c r="BD355" i="23917"/>
  <c r="BD286" i="24142"/>
  <c r="BD352" i="23917"/>
  <c r="AO266" i="24142"/>
  <c r="AO331" i="23917"/>
  <c r="AN275" i="24142"/>
  <c r="AN340" i="23917"/>
  <c r="AA342" i="23917"/>
  <c r="Z277" i="24142"/>
  <c r="Z342" i="23917"/>
  <c r="DI266" i="24142"/>
  <c r="DI331" i="23917"/>
  <c r="U266" i="24142"/>
  <c r="U331" i="23917"/>
  <c r="T290" i="24142"/>
  <c r="T356" i="23917"/>
  <c r="L289" i="24142"/>
  <c r="L355" i="23917"/>
  <c r="L286" i="24142"/>
  <c r="L352" i="23917"/>
  <c r="S266" i="24142"/>
  <c r="S331" i="23917"/>
  <c r="K290" i="24142"/>
  <c r="J290" i="24142"/>
  <c r="DP264" i="24142"/>
  <c r="DP329" i="23917"/>
  <c r="C187" i="24142"/>
  <c r="C124" i="23917"/>
  <c r="CK182" i="24142"/>
  <c r="CK119" i="23917"/>
  <c r="BE181" i="24142"/>
  <c r="BE118" i="23917"/>
  <c r="AO181" i="24142"/>
  <c r="AO118" i="23917"/>
  <c r="Y181" i="24142"/>
  <c r="Y118" i="23917"/>
  <c r="I181" i="24142"/>
  <c r="I118" i="23917"/>
  <c r="DI210" i="24142"/>
  <c r="DI148" i="23917"/>
  <c r="H177" i="24142"/>
  <c r="H114" i="23917"/>
  <c r="BT177" i="24142"/>
  <c r="BT114" i="23917"/>
  <c r="BD177" i="24142"/>
  <c r="BD114" i="23917"/>
  <c r="AN177" i="24142"/>
  <c r="AN114" i="23917"/>
  <c r="X177" i="24142"/>
  <c r="X114" i="23917"/>
  <c r="E204" i="24142"/>
  <c r="E175" i="24142"/>
  <c r="E142" i="23917"/>
  <c r="E112" i="23917"/>
  <c r="DW175" i="24142"/>
  <c r="DW204" i="24142"/>
  <c r="DW112" i="23917"/>
  <c r="DW142" i="23917"/>
  <c r="DO175" i="24142"/>
  <c r="DO204" i="24142"/>
  <c r="DO112" i="23917"/>
  <c r="DO142" i="23917"/>
  <c r="DG175" i="24142"/>
  <c r="DG204" i="24142"/>
  <c r="DG112" i="23917"/>
  <c r="DG142" i="23917"/>
  <c r="E456" i="24142"/>
  <c r="E522" i="23917"/>
  <c r="H463" i="24142"/>
  <c r="H529" i="23917"/>
  <c r="I454" i="24142"/>
  <c r="I520" i="23917"/>
  <c r="L327" i="24142"/>
  <c r="L393" i="23917"/>
  <c r="X290" i="24142"/>
  <c r="X356" i="23917"/>
  <c r="BK290" i="24142"/>
  <c r="BK356" i="23917"/>
  <c r="DO289" i="24142"/>
  <c r="DO355" i="23917"/>
  <c r="BX289" i="24142"/>
  <c r="BX355" i="23917"/>
  <c r="BX286" i="24142"/>
  <c r="BX352" i="23917"/>
  <c r="J7" i="24158"/>
  <c r="BN278" i="24142"/>
  <c r="BN12" i="24142"/>
  <c r="BN343" i="23917"/>
  <c r="DS266" i="24142"/>
  <c r="DS331" i="23917"/>
  <c r="BH286" i="24142"/>
  <c r="BH352" i="23917"/>
  <c r="B7" i="24158"/>
  <c r="AX278" i="24142"/>
  <c r="AX12" i="24142"/>
  <c r="AX343" i="23917"/>
  <c r="AS266" i="24142"/>
  <c r="AS331" i="23917"/>
  <c r="AR290" i="24142"/>
  <c r="AR356" i="23917"/>
  <c r="AG266" i="24142"/>
  <c r="AG331" i="23917"/>
  <c r="X266" i="24142"/>
  <c r="X331" i="23917"/>
  <c r="R278" i="24142"/>
  <c r="R12" i="24142"/>
  <c r="R343" i="23917"/>
  <c r="R344" i="23917" s="1"/>
  <c r="H289" i="24142"/>
  <c r="H355" i="23917"/>
  <c r="H286" i="24142"/>
  <c r="H352" i="23917"/>
  <c r="H275" i="24142"/>
  <c r="H340" i="23917"/>
  <c r="DT264" i="24142"/>
  <c r="DT329" i="23917"/>
  <c r="DX263" i="24142"/>
  <c r="DX328" i="23917"/>
  <c r="DP263" i="24142"/>
  <c r="DP328" i="23917"/>
  <c r="DH263" i="24142"/>
  <c r="DH328" i="23917"/>
  <c r="DV187" i="24142"/>
  <c r="DV124" i="23917"/>
  <c r="DN187" i="24142"/>
  <c r="DN124" i="23917"/>
  <c r="DF187" i="24142"/>
  <c r="DF124" i="23917"/>
  <c r="L213" i="24142"/>
  <c r="L151" i="23917"/>
  <c r="BK181" i="24142"/>
  <c r="BK118" i="23917"/>
  <c r="AU181" i="24142"/>
  <c r="AU118" i="23917"/>
  <c r="AE181" i="24142"/>
  <c r="AE118" i="23917"/>
  <c r="O181" i="24142"/>
  <c r="O118" i="23917"/>
  <c r="BL183" i="24142"/>
  <c r="BL120" i="23917"/>
  <c r="DV182" i="24142"/>
  <c r="DV119" i="23917"/>
  <c r="DN182" i="24142"/>
  <c r="DN119" i="23917"/>
  <c r="DF182" i="24142"/>
  <c r="DF119" i="23917"/>
  <c r="DV180" i="24142"/>
  <c r="DV117" i="23917"/>
  <c r="DJ180" i="24142"/>
  <c r="DJ117" i="23917"/>
  <c r="DP208" i="24142"/>
  <c r="DP146" i="23917"/>
  <c r="DH208" i="24142"/>
  <c r="DH146" i="23917"/>
  <c r="CM204" i="24142"/>
  <c r="CM175" i="24142"/>
  <c r="CM142" i="23917"/>
  <c r="CM112" i="23917"/>
  <c r="CG204" i="24142"/>
  <c r="CG175" i="24142"/>
  <c r="CG142" i="23917"/>
  <c r="CG112" i="23917"/>
  <c r="BK204" i="24142"/>
  <c r="BK175" i="24142"/>
  <c r="BK142" i="23917"/>
  <c r="BK112" i="23917"/>
  <c r="BE204" i="24142"/>
  <c r="BE175" i="24142"/>
  <c r="BE142" i="23917"/>
  <c r="BE112" i="23917"/>
  <c r="BA204" i="24142"/>
  <c r="BA175" i="24142"/>
  <c r="BA142" i="23917"/>
  <c r="BA112" i="23917"/>
  <c r="DX174" i="24142"/>
  <c r="DX111" i="23917"/>
  <c r="DP174" i="24142"/>
  <c r="DP111" i="23917"/>
  <c r="DH174" i="24142"/>
  <c r="DH111" i="23917"/>
  <c r="DH209" i="24142"/>
  <c r="DH147" i="23917"/>
  <c r="DV241" i="24142"/>
  <c r="DV177" i="23917"/>
  <c r="DJ242" i="24142"/>
  <c r="DJ178" i="23917"/>
  <c r="DH241" i="24142"/>
  <c r="DH177" i="23917"/>
  <c r="DH229" i="24142"/>
  <c r="DH167" i="23917"/>
  <c r="AQ144" i="24142"/>
  <c r="AQ295" i="23917"/>
  <c r="BC140" i="24142"/>
  <c r="BC291" i="23917"/>
  <c r="DI138" i="24142"/>
  <c r="DI289" i="23917"/>
  <c r="DZ181" i="24142"/>
  <c r="DZ118" i="23917"/>
  <c r="DR181" i="24142"/>
  <c r="DR118" i="23917"/>
  <c r="DJ181" i="24142"/>
  <c r="DJ118" i="23917"/>
  <c r="DT241" i="24142"/>
  <c r="DT177" i="23917"/>
  <c r="DP242" i="24142"/>
  <c r="DP178" i="23917"/>
  <c r="DL241" i="24142"/>
  <c r="DL177" i="23917"/>
  <c r="DG240" i="24142"/>
  <c r="DG176" i="23917"/>
  <c r="DC245" i="24142"/>
  <c r="DC134" i="23917"/>
  <c r="DC181" i="23917"/>
  <c r="DP227" i="24142"/>
  <c r="DP165" i="23917"/>
  <c r="DL227" i="24142"/>
  <c r="DL165" i="23917"/>
  <c r="DT229" i="24142"/>
  <c r="DT167" i="23917"/>
  <c r="AS148" i="24142"/>
  <c r="AS299" i="23917"/>
  <c r="AM147" i="24142"/>
  <c r="AM298" i="23917"/>
  <c r="AE147" i="24142"/>
  <c r="AE298" i="23917"/>
  <c r="W147" i="24142"/>
  <c r="W298" i="23917"/>
  <c r="AF146" i="24142"/>
  <c r="AF297" i="23917"/>
  <c r="B146" i="24142"/>
  <c r="B297" i="23917"/>
  <c r="DM147" i="24142"/>
  <c r="DM298" i="23917"/>
  <c r="DE145" i="24142"/>
  <c r="DE296" i="23917"/>
  <c r="BA140" i="24142"/>
  <c r="BA291" i="23917"/>
  <c r="DO140" i="24142"/>
  <c r="DO291" i="23917"/>
  <c r="DG140" i="24142"/>
  <c r="DG291" i="23917"/>
  <c r="DX181" i="24142"/>
  <c r="DX118" i="23917"/>
  <c r="DP181" i="24142"/>
  <c r="DP118" i="23917"/>
  <c r="DH181" i="24142"/>
  <c r="DH118" i="23917"/>
  <c r="DR241" i="24142"/>
  <c r="DR177" i="23917"/>
  <c r="DY249" i="24142"/>
  <c r="DY183" i="23917"/>
  <c r="DO249" i="24142"/>
  <c r="DO183" i="23917"/>
  <c r="DI237" i="24142"/>
  <c r="DI173" i="23917"/>
  <c r="DH228" i="24142"/>
  <c r="DH168" i="23917"/>
  <c r="DC150" i="24142"/>
  <c r="DC301" i="23917"/>
  <c r="AF148" i="24142"/>
  <c r="AF299" i="23917"/>
  <c r="AQ146" i="24142"/>
  <c r="AQ297" i="23917"/>
  <c r="BG140" i="24142"/>
  <c r="BG291" i="23917"/>
  <c r="I138" i="24142"/>
  <c r="I289" i="23917"/>
  <c r="DG138" i="24142"/>
  <c r="DG289" i="23917"/>
  <c r="BP186" i="24142"/>
  <c r="BP123" i="23917"/>
  <c r="BI177" i="24142"/>
  <c r="BI114" i="23917"/>
  <c r="AZ186" i="24142"/>
  <c r="AZ123" i="23917"/>
  <c r="AJ186" i="24142"/>
  <c r="AJ123" i="23917"/>
  <c r="T186" i="24142"/>
  <c r="T123" i="23917"/>
  <c r="E177" i="24142"/>
  <c r="E114" i="23917"/>
  <c r="D186" i="24142"/>
  <c r="D123" i="23917"/>
  <c r="DW249" i="24142"/>
  <c r="DW183" i="23917"/>
  <c r="DJ243" i="24142"/>
  <c r="DJ179" i="23917"/>
  <c r="DJ249" i="24142"/>
  <c r="DJ183" i="23917"/>
  <c r="DC249" i="24142"/>
  <c r="DC183" i="23917"/>
  <c r="L251" i="24142"/>
  <c r="L185" i="23917"/>
  <c r="DK235" i="24142"/>
  <c r="DK171" i="23917"/>
  <c r="DC235" i="24142"/>
  <c r="DC171" i="23917"/>
  <c r="CS227" i="24142"/>
  <c r="CS165" i="23917"/>
  <c r="DT228" i="24142"/>
  <c r="DT168" i="23917"/>
  <c r="DV229" i="24142"/>
  <c r="DV167" i="23917"/>
  <c r="DF229" i="24142"/>
  <c r="DF167" i="23917"/>
  <c r="DD229" i="24142"/>
  <c r="DD167" i="23917"/>
  <c r="AN150" i="24142"/>
  <c r="AN301" i="23917"/>
  <c r="AT162" i="24142"/>
  <c r="AT316" i="23917"/>
  <c r="AL162" i="24142"/>
  <c r="AL316" i="23917"/>
  <c r="N162" i="24142"/>
  <c r="N316" i="23917"/>
  <c r="AG147" i="24142"/>
  <c r="AG298" i="23917"/>
  <c r="Y147" i="24142"/>
  <c r="Y298" i="23917"/>
  <c r="O144" i="24142"/>
  <c r="O295" i="23917"/>
  <c r="AN146" i="24142"/>
  <c r="AN297" i="23917"/>
  <c r="AD146" i="24142"/>
  <c r="AD297" i="23917"/>
  <c r="V146" i="24142"/>
  <c r="V297" i="23917"/>
  <c r="DK147" i="24142"/>
  <c r="DK298" i="23917"/>
  <c r="DC145" i="24142"/>
  <c r="DC296" i="23917"/>
  <c r="DU144" i="24142"/>
  <c r="DU295" i="23917"/>
  <c r="DM144" i="24142"/>
  <c r="DM295" i="23917"/>
  <c r="DE144" i="24142"/>
  <c r="DE295" i="23917"/>
  <c r="BT147" i="24142"/>
  <c r="BT298" i="23917"/>
  <c r="BL147" i="24142"/>
  <c r="BL298" i="23917"/>
  <c r="BD147" i="24142"/>
  <c r="BD298" i="23917"/>
  <c r="AV147" i="24142"/>
  <c r="AV298" i="23917"/>
  <c r="BO144" i="24142"/>
  <c r="BO295" i="23917"/>
  <c r="BG144" i="24142"/>
  <c r="BG295" i="23917"/>
  <c r="AY144" i="24142"/>
  <c r="AY295" i="23917"/>
  <c r="K144" i="24142"/>
  <c r="K295" i="23917"/>
  <c r="BE140" i="24142"/>
  <c r="BE291" i="23917"/>
  <c r="AJ140" i="24142"/>
  <c r="AJ291" i="23917"/>
  <c r="T140" i="24142"/>
  <c r="T291" i="23917"/>
  <c r="D140" i="24142"/>
  <c r="D291" i="23917"/>
  <c r="DU140" i="24142"/>
  <c r="DU291" i="23917"/>
  <c r="DZ138" i="24142"/>
  <c r="DZ289" i="23917"/>
  <c r="DR138" i="24142"/>
  <c r="DR289" i="23917"/>
  <c r="DK237" i="24142"/>
  <c r="DK173" i="23917"/>
  <c r="AQ148" i="24142"/>
  <c r="AQ299" i="23917"/>
  <c r="U148" i="24142"/>
  <c r="U299" i="23917"/>
  <c r="V110" i="24142"/>
  <c r="V206" i="23917"/>
  <c r="F110" i="24142"/>
  <c r="F206" i="23917"/>
  <c r="BX110" i="24142"/>
  <c r="BX206" i="23917"/>
  <c r="BP110" i="24142"/>
  <c r="BP206" i="23917"/>
  <c r="BH110" i="24142"/>
  <c r="BH206" i="23917"/>
  <c r="AZ110" i="24142"/>
  <c r="AZ206" i="23917"/>
  <c r="BM102" i="24142"/>
  <c r="BM198" i="23917"/>
  <c r="E102" i="24142"/>
  <c r="E198" i="23917"/>
  <c r="DS102" i="24142"/>
  <c r="DS198" i="23917"/>
  <c r="DK102" i="24142"/>
  <c r="DK198" i="23917"/>
  <c r="DK270" i="23917"/>
  <c r="DK255" i="23917"/>
  <c r="DM269" i="23917"/>
  <c r="DM254" i="23917"/>
  <c r="DG243" i="23917"/>
  <c r="P243" i="23917"/>
  <c r="DY247" i="23917"/>
  <c r="DY242" i="23917"/>
  <c r="AI148" i="24142"/>
  <c r="AI299" i="23917"/>
  <c r="AA148" i="24142"/>
  <c r="AA299" i="23917"/>
  <c r="AM148" i="24142"/>
  <c r="AM299" i="23917"/>
  <c r="S148" i="24142"/>
  <c r="S299" i="23917"/>
  <c r="C148" i="24142"/>
  <c r="C299" i="23917"/>
  <c r="DG148" i="24142"/>
  <c r="DG299" i="23917"/>
  <c r="AU148" i="24142"/>
  <c r="AU299" i="23917"/>
  <c r="DZ145" i="24142"/>
  <c r="DZ296" i="23917"/>
  <c r="DV145" i="24142"/>
  <c r="DV296" i="23917"/>
  <c r="DR145" i="24142"/>
  <c r="DR296" i="23917"/>
  <c r="BN146" i="24142"/>
  <c r="BN297" i="23917"/>
  <c r="BN148" i="24142"/>
  <c r="BN299" i="23917"/>
  <c r="BG147" i="24142"/>
  <c r="BG298" i="23917"/>
  <c r="AX146" i="24142"/>
  <c r="AX297" i="23917"/>
  <c r="AX148" i="24142"/>
  <c r="AX299" i="23917"/>
  <c r="AB150" i="24142"/>
  <c r="AB301" i="23917"/>
  <c r="Y148" i="24142"/>
  <c r="Y299" i="23917"/>
  <c r="L150" i="24142"/>
  <c r="L301" i="23917"/>
  <c r="DG111" i="24142"/>
  <c r="DG207" i="23917"/>
  <c r="AT248" i="23917"/>
  <c r="DI233" i="24142"/>
  <c r="DI195" i="24142"/>
  <c r="DK226" i="24142"/>
  <c r="DK164" i="23917"/>
  <c r="Y146" i="24142"/>
  <c r="Y297" i="23917"/>
  <c r="AR162" i="24142"/>
  <c r="AR316" i="23917"/>
  <c r="P162" i="24142"/>
  <c r="P316" i="23917"/>
  <c r="N150" i="24142"/>
  <c r="N301" i="23917"/>
  <c r="K148" i="24142"/>
  <c r="K299" i="23917"/>
  <c r="AR126" i="24142"/>
  <c r="AR228" i="23917"/>
  <c r="AB126" i="24142"/>
  <c r="AB228" i="23917"/>
  <c r="L126" i="24142"/>
  <c r="L228" i="23917"/>
  <c r="I110" i="24142"/>
  <c r="I206" i="23917"/>
  <c r="AL110" i="24142"/>
  <c r="AL206" i="23917"/>
  <c r="Z110" i="24142"/>
  <c r="Z206" i="23917"/>
  <c r="J110" i="24142"/>
  <c r="J206" i="23917"/>
  <c r="BV110" i="24142"/>
  <c r="BV206" i="23917"/>
  <c r="BN110" i="24142"/>
  <c r="BN206" i="23917"/>
  <c r="BF110" i="24142"/>
  <c r="BF206" i="23917"/>
  <c r="AX110" i="24142"/>
  <c r="AX206" i="23917"/>
  <c r="DT107" i="24142"/>
  <c r="DT203" i="23917"/>
  <c r="DL107" i="24142"/>
  <c r="DL203" i="23917"/>
  <c r="DD107" i="24142"/>
  <c r="DD203" i="23917"/>
  <c r="BA102" i="24142"/>
  <c r="BA198" i="23917"/>
  <c r="DQ102" i="24142"/>
  <c r="DQ198" i="23917"/>
  <c r="DI102" i="24142"/>
  <c r="DI198" i="23917"/>
  <c r="DC101" i="24142"/>
  <c r="DC197" i="23917"/>
  <c r="DV272" i="23917"/>
  <c r="DU272" i="23917"/>
  <c r="DJ272" i="23917"/>
  <c r="DI272" i="23917"/>
  <c r="DT270" i="23917"/>
  <c r="DS270" i="23917"/>
  <c r="CS272" i="23917"/>
  <c r="CR272" i="23917"/>
  <c r="AC271" i="23917"/>
  <c r="AB271" i="23917"/>
  <c r="M271" i="23917"/>
  <c r="L271" i="23917"/>
  <c r="AK258" i="23917"/>
  <c r="AK220" i="23917"/>
  <c r="U258" i="23917"/>
  <c r="U220" i="23917"/>
  <c r="Z271" i="23917"/>
  <c r="Z256" i="23917"/>
  <c r="AP248" i="23917"/>
  <c r="Z248" i="23917"/>
  <c r="J248" i="23917"/>
  <c r="DX235" i="24142"/>
  <c r="DX171" i="23917"/>
  <c r="AD150" i="24142"/>
  <c r="AD301" i="23917"/>
  <c r="V150" i="24142"/>
  <c r="V301" i="23917"/>
  <c r="U146" i="24142"/>
  <c r="U297" i="23917"/>
  <c r="BZ148" i="24142"/>
  <c r="BZ299" i="23917"/>
  <c r="BJ146" i="24142"/>
  <c r="BJ297" i="23917"/>
  <c r="BJ148" i="24142"/>
  <c r="BJ299" i="23917"/>
  <c r="BC147" i="24142"/>
  <c r="BC298" i="23917"/>
  <c r="C108" i="24142"/>
  <c r="C204" i="23917"/>
  <c r="DI111" i="24142"/>
  <c r="DI207" i="23917"/>
  <c r="DS109" i="24142"/>
  <c r="DS205" i="23917"/>
  <c r="DK109" i="24142"/>
  <c r="DK205" i="23917"/>
  <c r="DY108" i="24142"/>
  <c r="DY204" i="23917"/>
  <c r="DQ108" i="24142"/>
  <c r="DQ204" i="23917"/>
  <c r="E101" i="24142"/>
  <c r="E197" i="23917"/>
  <c r="DX271" i="23917"/>
  <c r="DW271" i="23917"/>
  <c r="AQ260" i="23917"/>
  <c r="AP260" i="23917"/>
  <c r="AA260" i="23917"/>
  <c r="Z260" i="23917"/>
  <c r="K260" i="23917"/>
  <c r="J260" i="23917"/>
  <c r="AE258" i="23917"/>
  <c r="AE220" i="23917"/>
  <c r="O258" i="23917"/>
  <c r="O220" i="23917"/>
  <c r="AH113" i="24142"/>
  <c r="AH209" i="23917"/>
  <c r="R113" i="24142"/>
  <c r="R209" i="23917"/>
  <c r="B113" i="24142"/>
  <c r="B209" i="23917"/>
  <c r="BI111" i="24142"/>
  <c r="BI207" i="23917"/>
  <c r="BA111" i="24142"/>
  <c r="BA207" i="23917"/>
  <c r="DL108" i="24142"/>
  <c r="DL204" i="23917"/>
  <c r="AM276" i="23917"/>
  <c r="AL276" i="23917"/>
  <c r="W276" i="23917"/>
  <c r="V276" i="23917"/>
  <c r="O276" i="23917"/>
  <c r="N276" i="23917"/>
  <c r="AO126" i="24142"/>
  <c r="AO228" i="23917"/>
  <c r="AL113" i="24142"/>
  <c r="AL209" i="23917"/>
  <c r="X113" i="24142"/>
  <c r="X209" i="23917"/>
  <c r="H113" i="24142"/>
  <c r="H209" i="23917"/>
  <c r="AR113" i="24142"/>
  <c r="AR209" i="23917"/>
  <c r="Z113" i="24142"/>
  <c r="Z209" i="23917"/>
  <c r="T113" i="24142"/>
  <c r="T209" i="23917"/>
  <c r="J113" i="24142"/>
  <c r="J209" i="23917"/>
  <c r="D113" i="24142"/>
  <c r="D209" i="23917"/>
  <c r="BT113" i="24142"/>
  <c r="BT209" i="23917"/>
  <c r="BL113" i="24142"/>
  <c r="BL209" i="23917"/>
  <c r="BD113" i="24142"/>
  <c r="BD209" i="23917"/>
  <c r="AV113" i="24142"/>
  <c r="AV209" i="23917"/>
  <c r="AT113" i="24142"/>
  <c r="AT209" i="23917"/>
  <c r="AP126" i="24142"/>
  <c r="AP228" i="23917"/>
  <c r="AN113" i="24142"/>
  <c r="AN209" i="23917"/>
  <c r="AF113" i="24142"/>
  <c r="AF209" i="23917"/>
  <c r="I126" i="24142"/>
  <c r="I228" i="23917"/>
  <c r="F113" i="24142"/>
  <c r="F209" i="23917"/>
  <c r="BR113" i="24142"/>
  <c r="BR209" i="23917"/>
  <c r="BK111" i="24142"/>
  <c r="BK207" i="23917"/>
  <c r="BB113" i="24142"/>
  <c r="BB209" i="23917"/>
  <c r="BM125" i="24142"/>
  <c r="BM227" i="23917"/>
  <c r="BE125" i="24142"/>
  <c r="BE227" i="23917"/>
  <c r="AW125" i="24142"/>
  <c r="AW227" i="23917"/>
  <c r="AO125" i="24142"/>
  <c r="AO227" i="23917"/>
  <c r="AG125" i="24142"/>
  <c r="AG227" i="23917"/>
  <c r="Y125" i="24142"/>
  <c r="Y227" i="23917"/>
  <c r="Q125" i="24142"/>
  <c r="Q227" i="23917"/>
  <c r="I125" i="24142"/>
  <c r="I227" i="23917"/>
  <c r="CU259" i="23917"/>
  <c r="CV259" i="23917"/>
  <c r="BD34" i="24142"/>
  <c r="AJ34" i="24142"/>
  <c r="I89" i="24142"/>
  <c r="I98" i="23917"/>
  <c r="DL62" i="24142"/>
  <c r="DL25" i="24142"/>
  <c r="DL71" i="23917"/>
  <c r="DL28" i="23917"/>
  <c r="DD62" i="24142"/>
  <c r="DD25" i="24142"/>
  <c r="DD71" i="23917"/>
  <c r="DD28" i="23917"/>
  <c r="DZ61" i="24142"/>
  <c r="DZ70" i="23917"/>
  <c r="DD61" i="24142"/>
  <c r="DD70" i="23917"/>
  <c r="DX48" i="24142"/>
  <c r="DX57" i="23917"/>
  <c r="DT48" i="24142"/>
  <c r="DT57" i="23917"/>
  <c r="DP48" i="24142"/>
  <c r="DP57" i="23917"/>
  <c r="DL48" i="24142"/>
  <c r="DL57" i="23917"/>
  <c r="DH48" i="24142"/>
  <c r="DH57" i="23917"/>
  <c r="DD48" i="24142"/>
  <c r="DD57" i="23917"/>
  <c r="DX22" i="24142"/>
  <c r="DX25" i="23917"/>
  <c r="DT22" i="24142"/>
  <c r="DT25" i="23917"/>
  <c r="DP22" i="24142"/>
  <c r="DP25" i="23917"/>
  <c r="DL22" i="24142"/>
  <c r="DL25" i="23917"/>
  <c r="DZ18" i="24142"/>
  <c r="DZ18" i="23917"/>
  <c r="DV18" i="24142"/>
  <c r="DV18" i="23917"/>
  <c r="DR18" i="24142"/>
  <c r="DR18" i="23917"/>
  <c r="BA487" i="24142"/>
  <c r="BA553" i="23917"/>
  <c r="H488" i="24142"/>
  <c r="H555" i="23917"/>
  <c r="E487" i="24142"/>
  <c r="E553" i="23917"/>
  <c r="CG487" i="24142"/>
  <c r="CG553" i="23917"/>
  <c r="BZ488" i="24142"/>
  <c r="BZ555" i="23917"/>
  <c r="BR488" i="24142"/>
  <c r="BR555" i="23917"/>
  <c r="BJ488" i="24142"/>
  <c r="BJ555" i="23917"/>
  <c r="BB488" i="24142"/>
  <c r="BB555" i="23917"/>
  <c r="AT488" i="24142"/>
  <c r="AT555" i="23917"/>
  <c r="AL488" i="24142"/>
  <c r="AL555" i="23917"/>
  <c r="AD488" i="24142"/>
  <c r="AD555" i="23917"/>
  <c r="X488" i="24142"/>
  <c r="X555" i="23917"/>
  <c r="T488" i="24142"/>
  <c r="T555" i="23917"/>
  <c r="P488" i="24142"/>
  <c r="P555" i="23917"/>
  <c r="J488" i="24142"/>
  <c r="J555" i="23917"/>
  <c r="DW487" i="24142"/>
  <c r="DW553" i="23917"/>
  <c r="DJ487" i="24142"/>
  <c r="DJ553" i="23917"/>
  <c r="DX486" i="24142"/>
  <c r="DX552" i="23917"/>
  <c r="DT486" i="24142"/>
  <c r="DT552" i="23917"/>
  <c r="DP486" i="24142"/>
  <c r="DP552" i="23917"/>
  <c r="DL486" i="24142"/>
  <c r="DL552" i="23917"/>
  <c r="DH486" i="24142"/>
  <c r="DH552" i="23917"/>
  <c r="BC481" i="24142"/>
  <c r="BC547" i="23917"/>
  <c r="AH483" i="24142"/>
  <c r="AH549" i="23917"/>
  <c r="R483" i="24142"/>
  <c r="R549" i="23917"/>
  <c r="DL482" i="24142"/>
  <c r="DL548" i="23917"/>
  <c r="AM481" i="24142"/>
  <c r="AM547" i="23917"/>
  <c r="W481" i="24142"/>
  <c r="W547" i="23917"/>
  <c r="I468" i="24142"/>
  <c r="I534" i="23917"/>
  <c r="E468" i="24142"/>
  <c r="E534" i="23917"/>
  <c r="G467" i="24142"/>
  <c r="G533" i="23917"/>
  <c r="H454" i="24142"/>
  <c r="H520" i="23917"/>
  <c r="DF419" i="24142"/>
  <c r="DF485" i="23917"/>
  <c r="Y416" i="24142"/>
  <c r="Y482" i="23917"/>
  <c r="Q416" i="24142"/>
  <c r="Q482" i="23917"/>
  <c r="DJ414" i="24142"/>
  <c r="DJ480" i="23917"/>
  <c r="DJ429" i="24142"/>
  <c r="DJ409" i="24142"/>
  <c r="DJ475" i="23917"/>
  <c r="DJ495" i="23917"/>
  <c r="DJ345" i="24142"/>
  <c r="DJ411" i="23917"/>
  <c r="DL386" i="24142"/>
  <c r="DL452" i="23917"/>
  <c r="DH386" i="24142"/>
  <c r="DH452" i="23917"/>
  <c r="DL388" i="24142"/>
  <c r="DL454" i="23917"/>
  <c r="DD388" i="24142"/>
  <c r="DD454" i="23917"/>
  <c r="C314" i="24142"/>
  <c r="C380" i="23917"/>
  <c r="DD313" i="24142"/>
  <c r="DD379" i="23917"/>
  <c r="DE314" i="24142"/>
  <c r="DE380" i="23917"/>
  <c r="DD304" i="24142"/>
  <c r="DD370" i="23917"/>
  <c r="DT276" i="24142"/>
  <c r="DT341" i="23917"/>
  <c r="DL276" i="24142"/>
  <c r="DL341" i="23917"/>
  <c r="BZ273" i="24142"/>
  <c r="BZ338" i="23917"/>
  <c r="BJ273" i="24142"/>
  <c r="BJ338" i="23917"/>
  <c r="AU273" i="24142"/>
  <c r="AU338" i="23917"/>
  <c r="M273" i="24142"/>
  <c r="M338" i="23917"/>
  <c r="G273" i="24142"/>
  <c r="G338" i="23917"/>
  <c r="DU272" i="24142"/>
  <c r="DU337" i="23917"/>
  <c r="AM270" i="24142"/>
  <c r="AM335" i="23917"/>
  <c r="G270" i="24142"/>
  <c r="G335" i="23917"/>
  <c r="DW272" i="24142"/>
  <c r="DW337" i="23917"/>
  <c r="BP273" i="24142"/>
  <c r="BP338" i="23917"/>
  <c r="BK272" i="24142"/>
  <c r="BK337" i="23917"/>
  <c r="BF290" i="24142"/>
  <c r="BF356" i="23917"/>
  <c r="AX290" i="24142"/>
  <c r="AX356" i="23917"/>
  <c r="BL270" i="24142"/>
  <c r="BL335" i="23917"/>
  <c r="AW270" i="24142"/>
  <c r="AW335" i="23917"/>
  <c r="AA270" i="24142"/>
  <c r="AA335" i="23917"/>
  <c r="DN269" i="24142"/>
  <c r="DN334" i="23917"/>
  <c r="DF269" i="24142"/>
  <c r="DF334" i="23917"/>
  <c r="BO266" i="24142"/>
  <c r="BO331" i="23917"/>
  <c r="BG266" i="24142"/>
  <c r="BG331" i="23917"/>
  <c r="AY266" i="24142"/>
  <c r="AY331" i="23917"/>
  <c r="AQ266" i="24142"/>
  <c r="AQ331" i="23917"/>
  <c r="Z275" i="24142"/>
  <c r="Z340" i="23917"/>
  <c r="R275" i="24142"/>
  <c r="R340" i="23917"/>
  <c r="DZ265" i="24142"/>
  <c r="DZ330" i="23917"/>
  <c r="DR265" i="24142"/>
  <c r="DR330" i="23917"/>
  <c r="DX264" i="24142"/>
  <c r="DX329" i="23917"/>
  <c r="DH264" i="24142"/>
  <c r="DH329" i="23917"/>
  <c r="DZ263" i="24142"/>
  <c r="DZ328" i="23917"/>
  <c r="DR263" i="24142"/>
  <c r="DR328" i="23917"/>
  <c r="DJ263" i="24142"/>
  <c r="DJ328" i="23917"/>
  <c r="BR183" i="24142"/>
  <c r="BR120" i="23917"/>
  <c r="AT183" i="24142"/>
  <c r="AT120" i="23917"/>
  <c r="AD183" i="24142"/>
  <c r="AD120" i="23917"/>
  <c r="N183" i="24142"/>
  <c r="N120" i="23917"/>
  <c r="BO210" i="24142"/>
  <c r="BO148" i="23917"/>
  <c r="BK210" i="24142"/>
  <c r="BK148" i="23917"/>
  <c r="BG210" i="24142"/>
  <c r="BG148" i="23917"/>
  <c r="BC210" i="24142"/>
  <c r="BC148" i="23917"/>
  <c r="AY210" i="24142"/>
  <c r="AY148" i="23917"/>
  <c r="AU210" i="24142"/>
  <c r="AU148" i="23917"/>
  <c r="AQ210" i="24142"/>
  <c r="AQ148" i="23917"/>
  <c r="AM210" i="24142"/>
  <c r="AM148" i="23917"/>
  <c r="AI210" i="24142"/>
  <c r="AI148" i="23917"/>
  <c r="AE210" i="24142"/>
  <c r="AE148" i="23917"/>
  <c r="AA210" i="24142"/>
  <c r="AA148" i="23917"/>
  <c r="W210" i="24142"/>
  <c r="W148" i="23917"/>
  <c r="S210" i="24142"/>
  <c r="S148" i="23917"/>
  <c r="O210" i="24142"/>
  <c r="O148" i="23917"/>
  <c r="K210" i="24142"/>
  <c r="K148" i="23917"/>
  <c r="E210" i="24142"/>
  <c r="E148" i="23917"/>
  <c r="DN209" i="24142"/>
  <c r="DN147" i="23917"/>
  <c r="DJ209" i="24142"/>
  <c r="DJ147" i="23917"/>
  <c r="DD209" i="24142"/>
  <c r="DD147" i="23917"/>
  <c r="DN208" i="24142"/>
  <c r="DN146" i="23917"/>
  <c r="DJ208" i="24142"/>
  <c r="DJ146" i="23917"/>
  <c r="DF208" i="24142"/>
  <c r="DF146" i="23917"/>
  <c r="DF209" i="24142"/>
  <c r="DF147" i="23917"/>
  <c r="CS242" i="24142"/>
  <c r="CS178" i="23917"/>
  <c r="DP244" i="24142"/>
  <c r="DP180" i="23917"/>
  <c r="DL244" i="24142"/>
  <c r="DL180" i="23917"/>
  <c r="DN243" i="24142"/>
  <c r="DN179" i="23917"/>
  <c r="DF242" i="24142"/>
  <c r="DF178" i="23917"/>
  <c r="DE249" i="24142"/>
  <c r="DE183" i="23917"/>
  <c r="DF244" i="24142"/>
  <c r="DF180" i="23917"/>
  <c r="AN148" i="24142"/>
  <c r="AN299" i="23917"/>
  <c r="E89" i="24142"/>
  <c r="E98" i="23917"/>
  <c r="DT62" i="24142"/>
  <c r="DT25" i="24142"/>
  <c r="DT71" i="23917"/>
  <c r="DT28" i="23917"/>
  <c r="CV40" i="23917"/>
  <c r="CU40" i="23917"/>
  <c r="DW34" i="24142"/>
  <c r="DG34" i="24142"/>
  <c r="EM22" i="24142"/>
  <c r="EM25" i="23917"/>
  <c r="DV22" i="24142"/>
  <c r="DV25" i="23917"/>
  <c r="DR22" i="24142"/>
  <c r="DR25" i="23917"/>
  <c r="DN22" i="24142"/>
  <c r="DN25" i="23917"/>
  <c r="DF486" i="24142"/>
  <c r="DF552" i="23917"/>
  <c r="BI487" i="24142"/>
  <c r="BI553" i="23917"/>
  <c r="AC487" i="24142"/>
  <c r="AC553" i="23917"/>
  <c r="DY487" i="24142"/>
  <c r="DY553" i="23917"/>
  <c r="DU487" i="24142"/>
  <c r="DU553" i="23917"/>
  <c r="BM487" i="24142"/>
  <c r="BM553" i="23917"/>
  <c r="BE487" i="24142"/>
  <c r="BE553" i="23917"/>
  <c r="AW487" i="24142"/>
  <c r="AW553" i="23917"/>
  <c r="AO487" i="24142"/>
  <c r="AO553" i="23917"/>
  <c r="AG487" i="24142"/>
  <c r="AG553" i="23917"/>
  <c r="W487" i="24142"/>
  <c r="W553" i="23917"/>
  <c r="N488" i="24142"/>
  <c r="N555" i="23917"/>
  <c r="AU483" i="24142"/>
  <c r="AU549" i="23917"/>
  <c r="DV482" i="24142"/>
  <c r="DV548" i="23917"/>
  <c r="DN482" i="24142"/>
  <c r="DN548" i="23917"/>
  <c r="DF482" i="24142"/>
  <c r="DF548" i="23917"/>
  <c r="F469" i="24142"/>
  <c r="F535" i="23917"/>
  <c r="E452" i="24142"/>
  <c r="E518" i="23917"/>
  <c r="O416" i="24142"/>
  <c r="O482" i="23917"/>
  <c r="DH415" i="24142"/>
  <c r="DH481" i="23917"/>
  <c r="DD429" i="24142"/>
  <c r="DD409" i="24142"/>
  <c r="DD475" i="23917"/>
  <c r="DD495" i="23917"/>
  <c r="DJ410" i="24142"/>
  <c r="DJ476" i="23917"/>
  <c r="DF429" i="24142"/>
  <c r="DF409" i="24142"/>
  <c r="DF475" i="23917"/>
  <c r="DF495" i="23917"/>
  <c r="DE411" i="24142"/>
  <c r="DE477" i="23917"/>
  <c r="DJ388" i="24142"/>
  <c r="DJ454" i="23917"/>
  <c r="DF386" i="24142"/>
  <c r="DF452" i="23917"/>
  <c r="DD312" i="24142"/>
  <c r="DD378" i="23917"/>
  <c r="DF305" i="24142"/>
  <c r="DF371" i="23917"/>
  <c r="DX276" i="24142"/>
  <c r="DX341" i="23917"/>
  <c r="DP276" i="24142"/>
  <c r="DP341" i="23917"/>
  <c r="DH276" i="24142"/>
  <c r="DH341" i="23917"/>
  <c r="BO273" i="24142"/>
  <c r="BO338" i="23917"/>
  <c r="AY273" i="24142"/>
  <c r="AY338" i="23917"/>
  <c r="AM273" i="24142"/>
  <c r="AM338" i="23917"/>
  <c r="AA273" i="24142"/>
  <c r="AA338" i="23917"/>
  <c r="O273" i="24142"/>
  <c r="O338" i="23917"/>
  <c r="DQ272" i="24142"/>
  <c r="DQ337" i="23917"/>
  <c r="K270" i="24142"/>
  <c r="K335" i="23917"/>
  <c r="BT273" i="24142"/>
  <c r="BT338" i="23917"/>
  <c r="BJ290" i="24142"/>
  <c r="BJ356" i="23917"/>
  <c r="BI270" i="24142"/>
  <c r="BI335" i="23917"/>
  <c r="W270" i="24142"/>
  <c r="W335" i="23917"/>
  <c r="DT269" i="24142"/>
  <c r="DT334" i="23917"/>
  <c r="CL289" i="24142"/>
  <c r="CL355" i="23917"/>
  <c r="BN275" i="24142"/>
  <c r="BN340" i="23917"/>
  <c r="AX275" i="24142"/>
  <c r="AX340" i="23917"/>
  <c r="AP275" i="24142"/>
  <c r="AP340" i="23917"/>
  <c r="DV265" i="24142"/>
  <c r="DV330" i="23917"/>
  <c r="DR264" i="24142"/>
  <c r="DR329" i="23917"/>
  <c r="BT183" i="24142"/>
  <c r="BT120" i="23917"/>
  <c r="AV183" i="24142"/>
  <c r="AV120" i="23917"/>
  <c r="AF183" i="24142"/>
  <c r="AF120" i="23917"/>
  <c r="P183" i="24142"/>
  <c r="P120" i="23917"/>
  <c r="DX182" i="24142"/>
  <c r="DX119" i="23917"/>
  <c r="DT182" i="24142"/>
  <c r="DT119" i="23917"/>
  <c r="DP182" i="24142"/>
  <c r="DP119" i="23917"/>
  <c r="DL182" i="24142"/>
  <c r="DL119" i="23917"/>
  <c r="DH182" i="24142"/>
  <c r="DH119" i="23917"/>
  <c r="DD182" i="24142"/>
  <c r="DD119" i="23917"/>
  <c r="DR180" i="24142"/>
  <c r="DR117" i="23917"/>
  <c r="BM210" i="24142"/>
  <c r="BM148" i="23917"/>
  <c r="BI210" i="24142"/>
  <c r="BI148" i="23917"/>
  <c r="BE210" i="24142"/>
  <c r="BE148" i="23917"/>
  <c r="BA210" i="24142"/>
  <c r="BA148" i="23917"/>
  <c r="AW210" i="24142"/>
  <c r="AW148" i="23917"/>
  <c r="AS210" i="24142"/>
  <c r="AS148" i="23917"/>
  <c r="AO210" i="24142"/>
  <c r="AO148" i="23917"/>
  <c r="AK210" i="24142"/>
  <c r="AK148" i="23917"/>
  <c r="AG210" i="24142"/>
  <c r="AG148" i="23917"/>
  <c r="AC210" i="24142"/>
  <c r="AC148" i="23917"/>
  <c r="Y210" i="24142"/>
  <c r="Y148" i="23917"/>
  <c r="U210" i="24142"/>
  <c r="U148" i="23917"/>
  <c r="Q210" i="24142"/>
  <c r="Q148" i="23917"/>
  <c r="M210" i="24142"/>
  <c r="M148" i="23917"/>
  <c r="I210" i="24142"/>
  <c r="I148" i="23917"/>
  <c r="C210" i="24142"/>
  <c r="C148" i="23917"/>
  <c r="DP209" i="24142"/>
  <c r="DP147" i="23917"/>
  <c r="DL209" i="24142"/>
  <c r="DL147" i="23917"/>
  <c r="DO210" i="24142"/>
  <c r="DO148" i="23917"/>
  <c r="DK210" i="24142"/>
  <c r="DK148" i="23917"/>
  <c r="DG210" i="24142"/>
  <c r="DG148" i="23917"/>
  <c r="DC210" i="24142"/>
  <c r="DC148" i="23917"/>
  <c r="G210" i="24142"/>
  <c r="G148" i="23917"/>
  <c r="DD181" i="24142"/>
  <c r="DD118" i="23917"/>
  <c r="DX176" i="24142"/>
  <c r="DX113" i="23917"/>
  <c r="DT176" i="24142"/>
  <c r="DT113" i="23917"/>
  <c r="DP176" i="24142"/>
  <c r="DP113" i="23917"/>
  <c r="DL176" i="24142"/>
  <c r="DL113" i="23917"/>
  <c r="DH176" i="24142"/>
  <c r="DH113" i="23917"/>
  <c r="DD176" i="24142"/>
  <c r="DD113" i="23917"/>
  <c r="J247" i="24142"/>
  <c r="J196" i="24142"/>
  <c r="DV242" i="24142"/>
  <c r="DV178" i="23917"/>
  <c r="DR244" i="24142"/>
  <c r="DR180" i="23917"/>
  <c r="DY235" i="24142"/>
  <c r="DY171" i="23917"/>
  <c r="DU235" i="24142"/>
  <c r="DU171" i="23917"/>
  <c r="P148" i="24142"/>
  <c r="P299" i="23917"/>
  <c r="AD148" i="24142"/>
  <c r="AD299" i="23917"/>
  <c r="V148" i="24142"/>
  <c r="V299" i="23917"/>
  <c r="G144" i="24142"/>
  <c r="G295" i="23917"/>
  <c r="DH147" i="24142"/>
  <c r="DH298" i="23917"/>
  <c r="DD147" i="24142"/>
  <c r="DD298" i="23917"/>
  <c r="DL145" i="24142"/>
  <c r="DL296" i="23917"/>
  <c r="AU146" i="24142"/>
  <c r="AU297" i="23917"/>
  <c r="BM144" i="24142"/>
  <c r="BM295" i="23917"/>
  <c r="BE144" i="24142"/>
  <c r="BE295" i="23917"/>
  <c r="AW144" i="24142"/>
  <c r="AW295" i="23917"/>
  <c r="AI144" i="24142"/>
  <c r="AI295" i="23917"/>
  <c r="AE144" i="24142"/>
  <c r="AE295" i="23917"/>
  <c r="AA144" i="24142"/>
  <c r="AA295" i="23917"/>
  <c r="W144" i="24142"/>
  <c r="W295" i="23917"/>
  <c r="DG146" i="24142"/>
  <c r="DG297" i="23917"/>
  <c r="DD141" i="24142"/>
  <c r="DD292" i="23917"/>
  <c r="DX138" i="24142"/>
  <c r="DX289" i="23917"/>
  <c r="G108" i="24142"/>
  <c r="G204" i="23917"/>
  <c r="AP111" i="24142"/>
  <c r="AP207" i="23917"/>
  <c r="AH111" i="24142"/>
  <c r="AH207" i="23917"/>
  <c r="AB111" i="24142"/>
  <c r="AB207" i="23917"/>
  <c r="R111" i="24142"/>
  <c r="R207" i="23917"/>
  <c r="L111" i="24142"/>
  <c r="L207" i="23917"/>
  <c r="E110" i="24142"/>
  <c r="E206" i="23917"/>
  <c r="B111" i="24142"/>
  <c r="B207" i="23917"/>
  <c r="BX111" i="24142"/>
  <c r="BX207" i="23917"/>
  <c r="BP111" i="24142"/>
  <c r="BP207" i="23917"/>
  <c r="BH111" i="24142"/>
  <c r="BH207" i="23917"/>
  <c r="AZ111" i="24142"/>
  <c r="AZ207" i="23917"/>
  <c r="BM108" i="24142"/>
  <c r="BM204" i="23917"/>
  <c r="BI108" i="24142"/>
  <c r="BI204" i="23917"/>
  <c r="BE108" i="24142"/>
  <c r="BE204" i="23917"/>
  <c r="BA108" i="24142"/>
  <c r="BA204" i="23917"/>
  <c r="BO102" i="24142"/>
  <c r="BO198" i="23917"/>
  <c r="AY102" i="24142"/>
  <c r="AY198" i="23917"/>
  <c r="DE102" i="24142"/>
  <c r="DE198" i="23917"/>
  <c r="DJ108" i="24142"/>
  <c r="DJ204" i="23917"/>
  <c r="BW276" i="23917"/>
  <c r="BV276" i="23917"/>
  <c r="BO276" i="23917"/>
  <c r="BN276" i="23917"/>
  <c r="BG276" i="23917"/>
  <c r="BF276" i="23917"/>
  <c r="DQ262" i="23917"/>
  <c r="DA257" i="23917"/>
  <c r="AS243" i="23917"/>
  <c r="AJ243" i="23917"/>
  <c r="U243" i="23917"/>
  <c r="T243" i="23917"/>
  <c r="DR227" i="24142"/>
  <c r="DR165" i="23917"/>
  <c r="DN227" i="24142"/>
  <c r="DN165" i="23917"/>
  <c r="L226" i="24142"/>
  <c r="L164" i="23917"/>
  <c r="DZ228" i="24142"/>
  <c r="DZ168" i="23917"/>
  <c r="DX227" i="24142"/>
  <c r="DX165" i="23917"/>
  <c r="DT227" i="24142"/>
  <c r="DT165" i="23917"/>
  <c r="DH227" i="24142"/>
  <c r="DH165" i="23917"/>
  <c r="AR148" i="24142"/>
  <c r="AR299" i="23917"/>
  <c r="AL148" i="24142"/>
  <c r="AL299" i="23917"/>
  <c r="R148" i="24142"/>
  <c r="R299" i="23917"/>
  <c r="E146" i="24142"/>
  <c r="E297" i="23917"/>
  <c r="C144" i="24142"/>
  <c r="C295" i="23917"/>
  <c r="DP145" i="24142"/>
  <c r="DP296" i="23917"/>
  <c r="BV147" i="24142"/>
  <c r="BV298" i="23917"/>
  <c r="BN147" i="24142"/>
  <c r="BN298" i="23917"/>
  <c r="BF147" i="24142"/>
  <c r="BF298" i="23917"/>
  <c r="AX147" i="24142"/>
  <c r="AX298" i="23917"/>
  <c r="AK144" i="24142"/>
  <c r="AK295" i="23917"/>
  <c r="AB148" i="24142"/>
  <c r="AB299" i="23917"/>
  <c r="L162" i="24142"/>
  <c r="L316" i="23917"/>
  <c r="L148" i="24142"/>
  <c r="L299" i="23917"/>
  <c r="BC125" i="24142"/>
  <c r="BC227" i="23917"/>
  <c r="AM125" i="24142"/>
  <c r="AM227" i="23917"/>
  <c r="W125" i="24142"/>
  <c r="W227" i="23917"/>
  <c r="G125" i="24142"/>
  <c r="G227" i="23917"/>
  <c r="AN126" i="24142"/>
  <c r="AN228" i="23917"/>
  <c r="AL111" i="24142"/>
  <c r="AL207" i="23917"/>
  <c r="AF111" i="24142"/>
  <c r="AF207" i="23917"/>
  <c r="X126" i="24142"/>
  <c r="X228" i="23917"/>
  <c r="V111" i="24142"/>
  <c r="V207" i="23917"/>
  <c r="P111" i="24142"/>
  <c r="P207" i="23917"/>
  <c r="H126" i="24142"/>
  <c r="H228" i="23917"/>
  <c r="F111" i="24142"/>
  <c r="F207" i="23917"/>
  <c r="BV111" i="24142"/>
  <c r="BV207" i="23917"/>
  <c r="BF111" i="24142"/>
  <c r="BF207" i="23917"/>
  <c r="DH108" i="24142"/>
  <c r="DH204" i="23917"/>
  <c r="DV107" i="24142"/>
  <c r="DV203" i="23917"/>
  <c r="DN107" i="24142"/>
  <c r="DN203" i="23917"/>
  <c r="DF107" i="24142"/>
  <c r="DF203" i="23917"/>
  <c r="DL101" i="24142"/>
  <c r="DL197" i="23917"/>
  <c r="BU276" i="23917"/>
  <c r="BT276" i="23917"/>
  <c r="BM276" i="23917"/>
  <c r="BL276" i="23917"/>
  <c r="BE276" i="23917"/>
  <c r="BD276" i="23917"/>
  <c r="DS262" i="23917"/>
  <c r="CY257" i="23917"/>
  <c r="BG125" i="24142"/>
  <c r="BG227" i="23917"/>
  <c r="AQ125" i="24142"/>
  <c r="AQ227" i="23917"/>
  <c r="AA125" i="24142"/>
  <c r="AA227" i="23917"/>
  <c r="K125" i="24142"/>
  <c r="K227" i="23917"/>
  <c r="AT82" i="24142"/>
  <c r="AT86" i="23917"/>
  <c r="AI94" i="23917"/>
  <c r="AH94" i="23917"/>
  <c r="DL95" i="23917"/>
  <c r="DK95" i="23917"/>
  <c r="DH95" i="23917"/>
  <c r="DG95" i="23917"/>
  <c r="DC82" i="24142"/>
  <c r="DC86" i="23917"/>
  <c r="DD85" i="24142"/>
  <c r="DC85" i="24142"/>
  <c r="V89" i="24142"/>
  <c r="V98" i="23917"/>
  <c r="N89" i="24142"/>
  <c r="N98" i="23917"/>
  <c r="X82" i="24142"/>
  <c r="X86" i="23917"/>
  <c r="U89" i="23917"/>
  <c r="T89" i="23917"/>
  <c r="H82" i="24142"/>
  <c r="H86" i="23917"/>
  <c r="AO96" i="23917"/>
  <c r="AN96" i="23917"/>
  <c r="AG95" i="23917"/>
  <c r="AF95" i="23917"/>
  <c r="AA95" i="23917"/>
  <c r="Z95" i="23917"/>
  <c r="BF82" i="24142"/>
  <c r="BF86" i="23917"/>
  <c r="BC85" i="24142"/>
  <c r="BB85" i="24142"/>
  <c r="AY94" i="23917"/>
  <c r="AX94" i="23917"/>
  <c r="AU95" i="23917"/>
  <c r="AT95" i="23917"/>
  <c r="BK96" i="23917"/>
  <c r="BJ96" i="23917"/>
  <c r="AM85" i="24142"/>
  <c r="AL85" i="24142"/>
  <c r="AE94" i="23917"/>
  <c r="AD94" i="23917"/>
  <c r="AE85" i="24142"/>
  <c r="AD85" i="24142"/>
  <c r="AE96" i="23917"/>
  <c r="AD96" i="23917"/>
  <c r="N83" i="24142"/>
  <c r="N87" i="23917"/>
  <c r="BY94" i="23917"/>
  <c r="BX94" i="23917"/>
  <c r="BI94" i="23917"/>
  <c r="BH94" i="23917"/>
  <c r="BE85" i="24142"/>
  <c r="BD85" i="24142"/>
  <c r="BP89" i="24142"/>
  <c r="BP98" i="23917"/>
  <c r="AB83" i="24142"/>
  <c r="AB87" i="23917"/>
  <c r="Z82" i="24142"/>
  <c r="Z86" i="23917"/>
  <c r="Z83" i="24142"/>
  <c r="Z87" i="23917"/>
  <c r="DT61" i="24142"/>
  <c r="DT70" i="23917"/>
  <c r="DL61" i="24142"/>
  <c r="DL70" i="23917"/>
  <c r="DN61" i="24142"/>
  <c r="DN70" i="23917"/>
  <c r="DP43" i="23917"/>
  <c r="DO43" i="23917"/>
  <c r="DX33" i="24142"/>
  <c r="DX39" i="23917"/>
  <c r="DP33" i="24142"/>
  <c r="DP39" i="23917"/>
  <c r="DH33" i="24142"/>
  <c r="DH39" i="23917"/>
  <c r="AO33" i="24142"/>
  <c r="AO39" i="23917"/>
  <c r="DN33" i="24142"/>
  <c r="DN39" i="23917"/>
  <c r="DZ22" i="24142"/>
  <c r="DZ25" i="23917"/>
  <c r="AS43" i="23917"/>
  <c r="AJ483" i="24142"/>
  <c r="AJ549" i="23917"/>
  <c r="AK481" i="24142"/>
  <c r="AK547" i="23917"/>
  <c r="U481" i="24142"/>
  <c r="U547" i="23917"/>
  <c r="DO488" i="24142"/>
  <c r="DO555" i="23917"/>
  <c r="B488" i="24142"/>
  <c r="B555" i="23917"/>
  <c r="BG487" i="24142"/>
  <c r="BG553" i="23917"/>
  <c r="AA487" i="24142"/>
  <c r="AA553" i="23917"/>
  <c r="DY488" i="24142"/>
  <c r="DY555" i="23917"/>
  <c r="BT488" i="24142"/>
  <c r="BT555" i="23917"/>
  <c r="AM487" i="24142"/>
  <c r="AM553" i="23917"/>
  <c r="E483" i="24142"/>
  <c r="E549" i="23917"/>
  <c r="DG481" i="24142"/>
  <c r="DG547" i="23917"/>
  <c r="DE82" i="24142"/>
  <c r="DE86" i="23917"/>
  <c r="BQ96" i="23917"/>
  <c r="BP96" i="23917"/>
  <c r="BG96" i="23917"/>
  <c r="BF96" i="23917"/>
  <c r="AY96" i="23917"/>
  <c r="AX96" i="23917"/>
  <c r="AI95" i="23917"/>
  <c r="AH95" i="23917"/>
  <c r="AI85" i="24142"/>
  <c r="AH85" i="24142"/>
  <c r="AC85" i="24142"/>
  <c r="AB85" i="24142"/>
  <c r="AC94" i="23917"/>
  <c r="AB94" i="23917"/>
  <c r="AC96" i="23917"/>
  <c r="AB96" i="23917"/>
  <c r="DG82" i="24142"/>
  <c r="DG86" i="23917"/>
  <c r="DH85" i="24142"/>
  <c r="DG85" i="24142"/>
  <c r="DH94" i="23917"/>
  <c r="DG94" i="23917"/>
  <c r="DD94" i="23917"/>
  <c r="DC94" i="23917"/>
  <c r="DD95" i="23917"/>
  <c r="DC95" i="23917"/>
  <c r="DJ96" i="23917"/>
  <c r="DI96" i="23917"/>
  <c r="DH99" i="23917"/>
  <c r="DG99" i="23917"/>
  <c r="DG89" i="24142"/>
  <c r="DG98" i="23917"/>
  <c r="AR82" i="24142"/>
  <c r="AR86" i="23917"/>
  <c r="X83" i="24142"/>
  <c r="X87" i="23917"/>
  <c r="T82" i="24142"/>
  <c r="T86" i="23917"/>
  <c r="T83" i="24142"/>
  <c r="T87" i="23917"/>
  <c r="L82" i="24142"/>
  <c r="L86" i="23917"/>
  <c r="DF96" i="23917"/>
  <c r="DE96" i="23917"/>
  <c r="AO94" i="23917"/>
  <c r="AN94" i="23917"/>
  <c r="AO85" i="24142"/>
  <c r="AN85" i="24142"/>
  <c r="AO95" i="23917"/>
  <c r="AN95" i="23917"/>
  <c r="AG94" i="23917"/>
  <c r="AF94" i="23917"/>
  <c r="AG96" i="23917"/>
  <c r="AF96" i="23917"/>
  <c r="AA94" i="23917"/>
  <c r="Z94" i="23917"/>
  <c r="AA85" i="24142"/>
  <c r="Z85" i="24142"/>
  <c r="AA96" i="23917"/>
  <c r="Z96" i="23917"/>
  <c r="BW85" i="24142"/>
  <c r="BV85" i="24142"/>
  <c r="BR82" i="24142"/>
  <c r="BR86" i="23917"/>
  <c r="BS85" i="24142"/>
  <c r="BR85" i="24142"/>
  <c r="BS95" i="23917"/>
  <c r="BR95" i="23917"/>
  <c r="BK94" i="23917"/>
  <c r="BJ94" i="23917"/>
  <c r="BK85" i="24142"/>
  <c r="BJ85" i="24142"/>
  <c r="BG85" i="24142"/>
  <c r="BF85" i="24142"/>
  <c r="BC94" i="23917"/>
  <c r="BB94" i="23917"/>
  <c r="AY95" i="23917"/>
  <c r="AX95" i="23917"/>
  <c r="AY85" i="24142"/>
  <c r="AX85" i="24142"/>
  <c r="AU94" i="23917"/>
  <c r="AT94" i="23917"/>
  <c r="AU85" i="24142"/>
  <c r="AT85" i="24142"/>
  <c r="BC96" i="23917"/>
  <c r="BB96" i="23917"/>
  <c r="AM94" i="23917"/>
  <c r="AL94" i="23917"/>
  <c r="AE95" i="23917"/>
  <c r="AD95" i="23917"/>
  <c r="T89" i="24142"/>
  <c r="T98" i="23917"/>
  <c r="P89" i="24142"/>
  <c r="P98" i="23917"/>
  <c r="L89" i="24142"/>
  <c r="L98" i="23917"/>
  <c r="W89" i="23917"/>
  <c r="V89" i="23917"/>
  <c r="R82" i="24142"/>
  <c r="R86" i="23917"/>
  <c r="R83" i="24142"/>
  <c r="R87" i="23917"/>
  <c r="J82" i="24142"/>
  <c r="J86" i="23917"/>
  <c r="J83" i="24142"/>
  <c r="J87" i="23917"/>
  <c r="DD96" i="23917"/>
  <c r="DC96" i="23917"/>
  <c r="BA96" i="23917"/>
  <c r="AZ96" i="23917"/>
  <c r="AS96" i="23917"/>
  <c r="AR96" i="23917"/>
  <c r="BY95" i="23917"/>
  <c r="BX95" i="23917"/>
  <c r="BU94" i="23917"/>
  <c r="BT94" i="23917"/>
  <c r="BQ85" i="24142"/>
  <c r="BP85" i="24142"/>
  <c r="BM95" i="23917"/>
  <c r="BL95" i="23917"/>
  <c r="BI95" i="23917"/>
  <c r="BH95" i="23917"/>
  <c r="BE94" i="23917"/>
  <c r="BD94" i="23917"/>
  <c r="BA85" i="24142"/>
  <c r="AZ85" i="24142"/>
  <c r="U88" i="24142"/>
  <c r="T88" i="24142"/>
  <c r="BX89" i="24142"/>
  <c r="BX98" i="23917"/>
  <c r="BY99" i="23917"/>
  <c r="BX99" i="23917"/>
  <c r="M91" i="23917"/>
  <c r="L91" i="23917"/>
  <c r="DI83" i="24142"/>
  <c r="DI87" i="23917"/>
  <c r="DG83" i="24142"/>
  <c r="DG87" i="23917"/>
  <c r="DI82" i="24142"/>
  <c r="DI86" i="23917"/>
  <c r="DX61" i="24142"/>
  <c r="DX70" i="23917"/>
  <c r="DH61" i="24142"/>
  <c r="DH70" i="23917"/>
  <c r="DV61" i="24142"/>
  <c r="DV70" i="23917"/>
  <c r="DN62" i="24142"/>
  <c r="DN25" i="24142"/>
  <c r="DN71" i="23917"/>
  <c r="DN28" i="23917"/>
  <c r="DR61" i="24142"/>
  <c r="DR70" i="23917"/>
  <c r="DJ61" i="24142"/>
  <c r="DJ70" i="23917"/>
  <c r="AW43" i="23917"/>
  <c r="AV43" i="23917"/>
  <c r="DT43" i="23917"/>
  <c r="DS43" i="23917"/>
  <c r="DL43" i="23917"/>
  <c r="DK43" i="23917"/>
  <c r="DD43" i="23917"/>
  <c r="DC43" i="23917"/>
  <c r="DT33" i="24142"/>
  <c r="DT39" i="23917"/>
  <c r="DL33" i="24142"/>
  <c r="DL39" i="23917"/>
  <c r="DD33" i="24142"/>
  <c r="DD39" i="23917"/>
  <c r="BA43" i="23917"/>
  <c r="AZ43" i="23917"/>
  <c r="U43" i="23917"/>
  <c r="T43" i="23917"/>
  <c r="AO43" i="23917"/>
  <c r="AN43" i="23917"/>
  <c r="AG33" i="24142"/>
  <c r="AG39" i="23917"/>
  <c r="DZ33" i="24142"/>
  <c r="DZ39" i="23917"/>
  <c r="DR33" i="24142"/>
  <c r="DR39" i="23917"/>
  <c r="DJ33" i="24142"/>
  <c r="DJ39" i="23917"/>
  <c r="DQ487" i="24142"/>
  <c r="DQ553" i="23917"/>
  <c r="AB483" i="24142"/>
  <c r="AB549" i="23917"/>
  <c r="L483" i="24142"/>
  <c r="L549" i="23917"/>
  <c r="AC481" i="24142"/>
  <c r="AC547" i="23917"/>
  <c r="M481" i="24142"/>
  <c r="M547" i="23917"/>
  <c r="DS488" i="24142"/>
  <c r="DS555" i="23917"/>
  <c r="DK488" i="24142"/>
  <c r="DK555" i="23917"/>
  <c r="F488" i="24142"/>
  <c r="F555" i="23917"/>
  <c r="CM487" i="24142"/>
  <c r="CM553" i="23917"/>
  <c r="CE487" i="24142"/>
  <c r="CE553" i="23917"/>
  <c r="BO487" i="24142"/>
  <c r="BO553" i="23917"/>
  <c r="AY487" i="24142"/>
  <c r="AY553" i="23917"/>
  <c r="AI487" i="24142"/>
  <c r="AI553" i="23917"/>
  <c r="I487" i="24142"/>
  <c r="I553" i="23917"/>
  <c r="DU488" i="24142"/>
  <c r="DU555" i="23917"/>
  <c r="BX488" i="24142"/>
  <c r="BX555" i="23917"/>
  <c r="BP488" i="24142"/>
  <c r="BP555" i="23917"/>
  <c r="BD488" i="24142"/>
  <c r="BD555" i="23917"/>
  <c r="AN488" i="24142"/>
  <c r="AN555" i="23917"/>
  <c r="D488" i="24142"/>
  <c r="D555" i="23917"/>
  <c r="BK487" i="24142"/>
  <c r="BK553" i="23917"/>
  <c r="AU487" i="24142"/>
  <c r="AU553" i="23917"/>
  <c r="AE487" i="24142"/>
  <c r="AE553" i="23917"/>
  <c r="C487" i="24142"/>
  <c r="C553" i="23917"/>
  <c r="BI481" i="24142"/>
  <c r="BI547" i="23917"/>
  <c r="AS481" i="24142"/>
  <c r="AS547" i="23917"/>
  <c r="DS481" i="24142"/>
  <c r="DS547" i="23917"/>
  <c r="DK481" i="24142"/>
  <c r="DK547" i="23917"/>
  <c r="BH490" i="24142"/>
  <c r="BH557" i="23917"/>
  <c r="AZ490" i="24142"/>
  <c r="AZ557" i="23917"/>
  <c r="AR490" i="24142"/>
  <c r="AR557" i="23917"/>
  <c r="AE483" i="24142"/>
  <c r="AE549" i="23917"/>
  <c r="O483" i="24142"/>
  <c r="O549" i="23917"/>
  <c r="C483" i="24142"/>
  <c r="C549" i="23917"/>
  <c r="DG416" i="24142"/>
  <c r="DG482" i="23917"/>
  <c r="DK392" i="24142"/>
  <c r="DK458" i="23917"/>
  <c r="R395" i="24142"/>
  <c r="R461" i="23917"/>
  <c r="R394" i="24142"/>
  <c r="R460" i="23917"/>
  <c r="Z392" i="24142"/>
  <c r="Z458" i="23917"/>
  <c r="R392" i="24142"/>
  <c r="R458" i="23917"/>
  <c r="J392" i="24142"/>
  <c r="J458" i="23917"/>
  <c r="B392" i="24142"/>
  <c r="B458" i="23917"/>
  <c r="AC385" i="24142"/>
  <c r="AC451" i="23917"/>
  <c r="Y385" i="24142"/>
  <c r="Y451" i="23917"/>
  <c r="U385" i="24142"/>
  <c r="U451" i="23917"/>
  <c r="Q385" i="24142"/>
  <c r="Q451" i="23917"/>
  <c r="M385" i="24142"/>
  <c r="M451" i="23917"/>
  <c r="G387" i="24142"/>
  <c r="G453" i="23917"/>
  <c r="DI385" i="24142"/>
  <c r="DI451" i="23917"/>
  <c r="DG384" i="24142"/>
  <c r="DG450" i="23917"/>
  <c r="AP290" i="24142"/>
  <c r="AP356" i="23917"/>
  <c r="BH273" i="24142"/>
  <c r="BH338" i="23917"/>
  <c r="AZ273" i="24142"/>
  <c r="AZ338" i="23917"/>
  <c r="AR273" i="24142"/>
  <c r="AR338" i="23917"/>
  <c r="AB273" i="24142"/>
  <c r="AB338" i="23917"/>
  <c r="DS272" i="24142"/>
  <c r="DS337" i="23917"/>
  <c r="DK272" i="24142"/>
  <c r="DK337" i="23917"/>
  <c r="AO272" i="24142"/>
  <c r="AO337" i="23917"/>
  <c r="AK272" i="24142"/>
  <c r="AK337" i="23917"/>
  <c r="AE272" i="24142"/>
  <c r="AE337" i="23917"/>
  <c r="U269" i="24142"/>
  <c r="U334" i="23917"/>
  <c r="CG272" i="24142"/>
  <c r="CG337" i="23917"/>
  <c r="BI272" i="24142"/>
  <c r="BI337" i="23917"/>
  <c r="BA272" i="24142"/>
  <c r="BA337" i="23917"/>
  <c r="AJ270" i="24142"/>
  <c r="AJ335" i="23917"/>
  <c r="AB270" i="24142"/>
  <c r="AB335" i="23917"/>
  <c r="DZ269" i="24142"/>
  <c r="DZ334" i="23917"/>
  <c r="AE269" i="24142"/>
  <c r="AE334" i="23917"/>
  <c r="BO488" i="24142"/>
  <c r="BO555" i="23917"/>
  <c r="BG488" i="24142"/>
  <c r="BG555" i="23917"/>
  <c r="AY488" i="24142"/>
  <c r="AY555" i="23917"/>
  <c r="AQ488" i="24142"/>
  <c r="AQ555" i="23917"/>
  <c r="AA488" i="24142"/>
  <c r="AA555" i="23917"/>
  <c r="Z490" i="24142"/>
  <c r="Z557" i="23917"/>
  <c r="J490" i="24142"/>
  <c r="J557" i="23917"/>
  <c r="DE467" i="24142"/>
  <c r="DE533" i="23917"/>
  <c r="I415" i="24142"/>
  <c r="I481" i="23917"/>
  <c r="DC415" i="24142"/>
  <c r="DC481" i="23917"/>
  <c r="L411" i="24142"/>
  <c r="L477" i="23917"/>
  <c r="DH410" i="24142"/>
  <c r="DH476" i="23917"/>
  <c r="DH408" i="24142"/>
  <c r="DH474" i="23917"/>
  <c r="Z346" i="24142"/>
  <c r="Z412" i="23917"/>
  <c r="R346" i="24142"/>
  <c r="R412" i="23917"/>
  <c r="J346" i="24142"/>
  <c r="J412" i="23917"/>
  <c r="B346" i="24142"/>
  <c r="B412" i="23917"/>
  <c r="W344" i="24142"/>
  <c r="W410" i="23917"/>
  <c r="O344" i="24142"/>
  <c r="O410" i="23917"/>
  <c r="G344" i="24142"/>
  <c r="G410" i="23917"/>
  <c r="DL344" i="24142"/>
  <c r="DL410" i="23917"/>
  <c r="U392" i="24142"/>
  <c r="U458" i="23917"/>
  <c r="AC384" i="24142"/>
  <c r="AC450" i="23917"/>
  <c r="U384" i="24142"/>
  <c r="U450" i="23917"/>
  <c r="Q384" i="24142"/>
  <c r="Q450" i="23917"/>
  <c r="K386" i="24142"/>
  <c r="K452" i="23917"/>
  <c r="DH387" i="24142"/>
  <c r="DH453" i="23917"/>
  <c r="DD317" i="24142"/>
  <c r="DD383" i="23917"/>
  <c r="F311" i="24142"/>
  <c r="F377" i="23917"/>
  <c r="DD310" i="24142"/>
  <c r="DD376" i="23917"/>
  <c r="D306" i="24142"/>
  <c r="D372" i="23917"/>
  <c r="BW356" i="23917"/>
  <c r="BV290" i="24142"/>
  <c r="BV356" i="23917"/>
  <c r="BV289" i="24142"/>
  <c r="BV355" i="23917"/>
  <c r="DF272" i="24142"/>
  <c r="DF337" i="23917"/>
  <c r="AS271" i="24142"/>
  <c r="AS336" i="23917"/>
  <c r="AM271" i="24142"/>
  <c r="AM336" i="23917"/>
  <c r="CI271" i="24142"/>
  <c r="CI336" i="23917"/>
  <c r="BK271" i="24142"/>
  <c r="BK336" i="23917"/>
  <c r="BC271" i="24142"/>
  <c r="BC336" i="23917"/>
  <c r="AU271" i="24142"/>
  <c r="AU336" i="23917"/>
  <c r="BZ270" i="24142"/>
  <c r="BZ335" i="23917"/>
  <c r="BR270" i="24142"/>
  <c r="BR335" i="23917"/>
  <c r="BJ270" i="24142"/>
  <c r="BJ335" i="23917"/>
  <c r="BB270" i="24142"/>
  <c r="BB335" i="23917"/>
  <c r="AI270" i="24142"/>
  <c r="AI335" i="23917"/>
  <c r="DW271" i="24142"/>
  <c r="DW336" i="23917"/>
  <c r="DO271" i="24142"/>
  <c r="DO336" i="23917"/>
  <c r="AC269" i="24142"/>
  <c r="AC334" i="23917"/>
  <c r="AL490" i="24142"/>
  <c r="AL557" i="23917"/>
  <c r="V490" i="24142"/>
  <c r="V557" i="23917"/>
  <c r="DD483" i="24142"/>
  <c r="DD549" i="23917"/>
  <c r="AN483" i="24142"/>
  <c r="AN549" i="23917"/>
  <c r="AG481" i="24142"/>
  <c r="AG547" i="23917"/>
  <c r="X483" i="24142"/>
  <c r="X549" i="23917"/>
  <c r="Q481" i="24142"/>
  <c r="Q547" i="23917"/>
  <c r="I481" i="24142"/>
  <c r="I547" i="23917"/>
  <c r="DI432" i="24142"/>
  <c r="DI498" i="23917"/>
  <c r="DE416" i="24142"/>
  <c r="DE482" i="23917"/>
  <c r="E429" i="24142"/>
  <c r="E409" i="24142"/>
  <c r="E475" i="23917"/>
  <c r="E495" i="23917"/>
  <c r="DK346" i="24142"/>
  <c r="DK412" i="23917"/>
  <c r="DC344" i="24142"/>
  <c r="DC410" i="23917"/>
  <c r="DC395" i="24142"/>
  <c r="DC461" i="23917"/>
  <c r="P393" i="24142"/>
  <c r="P459" i="23917"/>
  <c r="L392" i="24142"/>
  <c r="L458" i="23917"/>
  <c r="AA385" i="24142"/>
  <c r="AA451" i="23917"/>
  <c r="W385" i="24142"/>
  <c r="W451" i="23917"/>
  <c r="O385" i="24142"/>
  <c r="O451" i="23917"/>
  <c r="G385" i="24142"/>
  <c r="G451" i="23917"/>
  <c r="DG314" i="24142"/>
  <c r="DG380" i="23917"/>
  <c r="DE303" i="24142"/>
  <c r="DE369" i="23917"/>
  <c r="CI340" i="23917"/>
  <c r="BZ275" i="24142"/>
  <c r="BZ340" i="23917"/>
  <c r="AT275" i="24142"/>
  <c r="AT340" i="23917"/>
  <c r="V275" i="24142"/>
  <c r="V340" i="23917"/>
  <c r="BN289" i="24142"/>
  <c r="BN355" i="23917"/>
  <c r="BF289" i="24142"/>
  <c r="BF355" i="23917"/>
  <c r="AX289" i="24142"/>
  <c r="AX355" i="23917"/>
  <c r="AR289" i="24142"/>
  <c r="AR355" i="23917"/>
  <c r="AL289" i="24142"/>
  <c r="AL355" i="23917"/>
  <c r="Z289" i="24142"/>
  <c r="Z355" i="23917"/>
  <c r="T289" i="24142"/>
  <c r="T355" i="23917"/>
  <c r="N289" i="24142"/>
  <c r="N355" i="23917"/>
  <c r="V273" i="24142"/>
  <c r="V338" i="23917"/>
  <c r="M271" i="24142"/>
  <c r="M336" i="23917"/>
  <c r="DG286" i="24142"/>
  <c r="DG352" i="23917"/>
  <c r="BR490" i="24142"/>
  <c r="BR557" i="23917"/>
  <c r="BJ490" i="24142"/>
  <c r="BJ557" i="23917"/>
  <c r="BB490" i="24142"/>
  <c r="BB557" i="23917"/>
  <c r="AT490" i="24142"/>
  <c r="AT557" i="23917"/>
  <c r="AM488" i="24142"/>
  <c r="AM555" i="23917"/>
  <c r="Y488" i="24142"/>
  <c r="Y555" i="23917"/>
  <c r="Q488" i="24142"/>
  <c r="Q555" i="23917"/>
  <c r="AH490" i="24142"/>
  <c r="AH557" i="23917"/>
  <c r="AQ483" i="24142"/>
  <c r="AQ549" i="23917"/>
  <c r="S483" i="24142"/>
  <c r="S549" i="23917"/>
  <c r="DP482" i="24142"/>
  <c r="DP548" i="23917"/>
  <c r="G450" i="24142"/>
  <c r="G516" i="23917"/>
  <c r="DH414" i="24142"/>
  <c r="DH480" i="23917"/>
  <c r="V411" i="24142"/>
  <c r="V477" i="23917"/>
  <c r="J411" i="24142"/>
  <c r="J477" i="23917"/>
  <c r="Y429" i="24142"/>
  <c r="Y409" i="24142"/>
  <c r="Y475" i="23917"/>
  <c r="Y495" i="23917"/>
  <c r="O429" i="24142"/>
  <c r="O409" i="24142"/>
  <c r="O475" i="23917"/>
  <c r="O495" i="23917"/>
  <c r="DJ408" i="24142"/>
  <c r="DJ474" i="23917"/>
  <c r="AB346" i="24142"/>
  <c r="AB412" i="23917"/>
  <c r="T346" i="24142"/>
  <c r="T412" i="23917"/>
  <c r="L346" i="24142"/>
  <c r="L412" i="23917"/>
  <c r="D346" i="24142"/>
  <c r="D412" i="23917"/>
  <c r="Y344" i="24142"/>
  <c r="Y410" i="23917"/>
  <c r="Q344" i="24142"/>
  <c r="Q410" i="23917"/>
  <c r="I344" i="24142"/>
  <c r="I410" i="23917"/>
  <c r="DL345" i="24142"/>
  <c r="DL411" i="23917"/>
  <c r="DD345" i="24142"/>
  <c r="DD411" i="23917"/>
  <c r="AC386" i="24142"/>
  <c r="AC452" i="23917"/>
  <c r="W384" i="24142"/>
  <c r="W450" i="23917"/>
  <c r="Q386" i="24142"/>
  <c r="Q452" i="23917"/>
  <c r="M386" i="24142"/>
  <c r="M452" i="23917"/>
  <c r="G384" i="24142"/>
  <c r="G450" i="23917"/>
  <c r="DL384" i="24142"/>
  <c r="DL450" i="23917"/>
  <c r="DF317" i="24142"/>
  <c r="DF383" i="23917"/>
  <c r="H311" i="24142"/>
  <c r="H377" i="23917"/>
  <c r="DF310" i="24142"/>
  <c r="DF376" i="23917"/>
  <c r="F306" i="24142"/>
  <c r="F372" i="23917"/>
  <c r="BU290" i="24142"/>
  <c r="BT290" i="24142"/>
  <c r="BT356" i="23917"/>
  <c r="DY273" i="24142"/>
  <c r="DY338" i="23917"/>
  <c r="DQ273" i="24142"/>
  <c r="DQ338" i="23917"/>
  <c r="DE273" i="24142"/>
  <c r="DE338" i="23917"/>
  <c r="DH272" i="24142"/>
  <c r="DH337" i="23917"/>
  <c r="AS269" i="24142"/>
  <c r="AS334" i="23917"/>
  <c r="P270" i="24142"/>
  <c r="P335" i="23917"/>
  <c r="H270" i="24142"/>
  <c r="H335" i="23917"/>
  <c r="BA271" i="24142"/>
  <c r="BA336" i="23917"/>
  <c r="DE271" i="24142"/>
  <c r="DE336" i="23917"/>
  <c r="BN286" i="24142"/>
  <c r="BN352" i="23917"/>
  <c r="BF286" i="24142"/>
  <c r="BF352" i="23917"/>
  <c r="AX286" i="24142"/>
  <c r="AX352" i="23917"/>
  <c r="AP286" i="24142"/>
  <c r="AP352" i="23917"/>
  <c r="AH286" i="24142"/>
  <c r="AH352" i="23917"/>
  <c r="V286" i="24142"/>
  <c r="V352" i="23917"/>
  <c r="N286" i="24142"/>
  <c r="N352" i="23917"/>
  <c r="DG265" i="24142"/>
  <c r="DG330" i="23917"/>
  <c r="DC432" i="24142"/>
  <c r="DC498" i="23917"/>
  <c r="X418" i="24142"/>
  <c r="X484" i="23917"/>
  <c r="Y411" i="24142"/>
  <c r="Y477" i="23917"/>
  <c r="P418" i="24142"/>
  <c r="P484" i="23917"/>
  <c r="P433" i="24142"/>
  <c r="P499" i="23917"/>
  <c r="DC328" i="24142"/>
  <c r="DC394" i="23917"/>
  <c r="B316" i="24142"/>
  <c r="B382" i="23917"/>
  <c r="B328" i="24142"/>
  <c r="B394" i="23917"/>
  <c r="S270" i="24142"/>
  <c r="S335" i="23917"/>
  <c r="BL289" i="24142"/>
  <c r="BL355" i="23917"/>
  <c r="BL286" i="24142"/>
  <c r="BL352" i="23917"/>
  <c r="AV289" i="24142"/>
  <c r="AV355" i="23917"/>
  <c r="AV286" i="24142"/>
  <c r="AV352" i="23917"/>
  <c r="AJ275" i="24142"/>
  <c r="AJ340" i="23917"/>
  <c r="AK266" i="24142"/>
  <c r="AK331" i="23917"/>
  <c r="AJ290" i="24142"/>
  <c r="AJ356" i="23917"/>
  <c r="DK266" i="24142"/>
  <c r="DK331" i="23917"/>
  <c r="AB286" i="24142"/>
  <c r="AB352" i="23917"/>
  <c r="Q266" i="24142"/>
  <c r="Q331" i="23917"/>
  <c r="P275" i="24142"/>
  <c r="P340" i="23917"/>
  <c r="DE266" i="24142"/>
  <c r="DE331" i="23917"/>
  <c r="D275" i="24142"/>
  <c r="D340" i="23917"/>
  <c r="D286" i="24142"/>
  <c r="D352" i="23917"/>
  <c r="AE266" i="24142"/>
  <c r="AE331" i="23917"/>
  <c r="AD286" i="24142"/>
  <c r="AD352" i="23917"/>
  <c r="AD275" i="24142"/>
  <c r="AD340" i="23917"/>
  <c r="DE265" i="24142"/>
  <c r="DE330" i="23917"/>
  <c r="F266" i="24142"/>
  <c r="F331" i="23917"/>
  <c r="BX213" i="24142"/>
  <c r="BX151" i="23917"/>
  <c r="BU183" i="24142"/>
  <c r="BI181" i="24142"/>
  <c r="BI118" i="23917"/>
  <c r="AS181" i="24142"/>
  <c r="AS118" i="23917"/>
  <c r="AC181" i="24142"/>
  <c r="AC118" i="23917"/>
  <c r="M181" i="24142"/>
  <c r="M118" i="23917"/>
  <c r="BN183" i="24142"/>
  <c r="BN120" i="23917"/>
  <c r="AX183" i="24142"/>
  <c r="AX120" i="23917"/>
  <c r="AH183" i="24142"/>
  <c r="AH120" i="23917"/>
  <c r="R183" i="24142"/>
  <c r="R120" i="23917"/>
  <c r="B183" i="24142"/>
  <c r="B120" i="23917"/>
  <c r="F177" i="24142"/>
  <c r="F114" i="23917"/>
  <c r="BV177" i="24142"/>
  <c r="BV114" i="23917"/>
  <c r="BN177" i="24142"/>
  <c r="BN114" i="23917"/>
  <c r="BF177" i="24142"/>
  <c r="BF114" i="23917"/>
  <c r="AX177" i="24142"/>
  <c r="AX114" i="23917"/>
  <c r="AP177" i="24142"/>
  <c r="AP114" i="23917"/>
  <c r="AH177" i="24142"/>
  <c r="AH114" i="23917"/>
  <c r="Z177" i="24142"/>
  <c r="Z114" i="23917"/>
  <c r="R177" i="24142"/>
  <c r="R114" i="23917"/>
  <c r="J177" i="24142"/>
  <c r="J114" i="23917"/>
  <c r="DY175" i="24142"/>
  <c r="DY204" i="24142"/>
  <c r="DY112" i="23917"/>
  <c r="DY142" i="23917"/>
  <c r="DQ175" i="24142"/>
  <c r="DQ204" i="24142"/>
  <c r="DQ112" i="23917"/>
  <c r="DQ142" i="23917"/>
  <c r="DI175" i="24142"/>
  <c r="DI204" i="24142"/>
  <c r="DI112" i="23917"/>
  <c r="DI142" i="23917"/>
  <c r="F454" i="24142"/>
  <c r="F520" i="23917"/>
  <c r="N433" i="24142"/>
  <c r="N499" i="23917"/>
  <c r="N418" i="24142"/>
  <c r="N484" i="23917"/>
  <c r="F433" i="24142"/>
  <c r="F499" i="23917"/>
  <c r="F418" i="24142"/>
  <c r="F484" i="23917"/>
  <c r="DH411" i="24142"/>
  <c r="DH477" i="23917"/>
  <c r="DE346" i="24142"/>
  <c r="DE412" i="23917"/>
  <c r="H316" i="24142"/>
  <c r="H382" i="23917"/>
  <c r="H327" i="24142"/>
  <c r="H393" i="23917"/>
  <c r="BA270" i="24142"/>
  <c r="BA335" i="23917"/>
  <c r="BL290" i="24142"/>
  <c r="BL356" i="23917"/>
  <c r="AV290" i="24142"/>
  <c r="AV356" i="23917"/>
  <c r="BV278" i="24142"/>
  <c r="BV12" i="24142"/>
  <c r="BV343" i="23917"/>
  <c r="BP289" i="24142"/>
  <c r="BP355" i="23917"/>
  <c r="DQ266" i="24142"/>
  <c r="DQ331" i="23917"/>
  <c r="BA266" i="24142"/>
  <c r="BA331" i="23917"/>
  <c r="W290" i="24142"/>
  <c r="W356" i="23917"/>
  <c r="DL264" i="24142"/>
  <c r="DL329" i="23917"/>
  <c r="DX187" i="24142"/>
  <c r="DX124" i="23917"/>
  <c r="DP187" i="24142"/>
  <c r="DP124" i="23917"/>
  <c r="DH187" i="24142"/>
  <c r="DH124" i="23917"/>
  <c r="BH213" i="24142"/>
  <c r="BH151" i="23917"/>
  <c r="AR213" i="24142"/>
  <c r="AR151" i="23917"/>
  <c r="AB213" i="24142"/>
  <c r="AB151" i="23917"/>
  <c r="BG181" i="24142"/>
  <c r="BG118" i="23917"/>
  <c r="AQ181" i="24142"/>
  <c r="AQ118" i="23917"/>
  <c r="AA181" i="24142"/>
  <c r="AA118" i="23917"/>
  <c r="S181" i="24142"/>
  <c r="S118" i="23917"/>
  <c r="K181" i="24142"/>
  <c r="K118" i="23917"/>
  <c r="C181" i="24142"/>
  <c r="C118" i="23917"/>
  <c r="BX183" i="24142"/>
  <c r="BX120" i="23917"/>
  <c r="BH183" i="24142"/>
  <c r="BH120" i="23917"/>
  <c r="AR183" i="24142"/>
  <c r="AR120" i="23917"/>
  <c r="AB183" i="24142"/>
  <c r="AB120" i="23917"/>
  <c r="L183" i="24142"/>
  <c r="L120" i="23917"/>
  <c r="DT180" i="24142"/>
  <c r="DT117" i="23917"/>
  <c r="DL180" i="24142"/>
  <c r="DL117" i="23917"/>
  <c r="DD180" i="24142"/>
  <c r="DD117" i="23917"/>
  <c r="G209" i="24142"/>
  <c r="G147" i="23917"/>
  <c r="DV176" i="24142"/>
  <c r="DV113" i="23917"/>
  <c r="DN176" i="24142"/>
  <c r="DN113" i="23917"/>
  <c r="DF176" i="24142"/>
  <c r="DF113" i="23917"/>
  <c r="DZ174" i="24142"/>
  <c r="DZ111" i="23917"/>
  <c r="DR174" i="24142"/>
  <c r="DR111" i="23917"/>
  <c r="DJ174" i="24142"/>
  <c r="DJ111" i="23917"/>
  <c r="DQ249" i="24142"/>
  <c r="DQ183" i="23917"/>
  <c r="T432" i="24142"/>
  <c r="T498" i="23917"/>
  <c r="T433" i="24142"/>
  <c r="T499" i="23917"/>
  <c r="D418" i="24142"/>
  <c r="D484" i="23917"/>
  <c r="DF411" i="24142"/>
  <c r="DF477" i="23917"/>
  <c r="DG290" i="24142"/>
  <c r="DG356" i="23917"/>
  <c r="DW273" i="24142"/>
  <c r="DW338" i="23917"/>
  <c r="BG290" i="24142"/>
  <c r="BG356" i="23917"/>
  <c r="BT275" i="24142"/>
  <c r="BT340" i="23917"/>
  <c r="BE266" i="24142"/>
  <c r="BE331" i="23917"/>
  <c r="AN289" i="24142"/>
  <c r="AN355" i="23917"/>
  <c r="AN286" i="24142"/>
  <c r="AN352" i="23917"/>
  <c r="AN290" i="24142"/>
  <c r="AN356" i="23917"/>
  <c r="Z278" i="24142"/>
  <c r="Z12" i="24142"/>
  <c r="Z343" i="23917"/>
  <c r="Z344" i="23917" s="1"/>
  <c r="T275" i="24142"/>
  <c r="T340" i="23917"/>
  <c r="T286" i="24142"/>
  <c r="T352" i="23917"/>
  <c r="L275" i="24142"/>
  <c r="L340" i="23917"/>
  <c r="M266" i="24142"/>
  <c r="M331" i="23917"/>
  <c r="L290" i="24142"/>
  <c r="L356" i="23917"/>
  <c r="K266" i="24142"/>
  <c r="K331" i="23917"/>
  <c r="K286" i="24142"/>
  <c r="J286" i="24142"/>
  <c r="DG266" i="24142"/>
  <c r="DG331" i="23917"/>
  <c r="S275" i="24142"/>
  <c r="J275" i="24142"/>
  <c r="J340" i="23917"/>
  <c r="BM181" i="24142"/>
  <c r="BM118" i="23917"/>
  <c r="AW181" i="24142"/>
  <c r="AW118" i="23917"/>
  <c r="AG181" i="24142"/>
  <c r="AG118" i="23917"/>
  <c r="Q181" i="24142"/>
  <c r="Q118" i="23917"/>
  <c r="DM210" i="24142"/>
  <c r="DM148" i="23917"/>
  <c r="DE210" i="24142"/>
  <c r="DE148" i="23917"/>
  <c r="BL177" i="24142"/>
  <c r="BL114" i="23917"/>
  <c r="AV177" i="24142"/>
  <c r="AV114" i="23917"/>
  <c r="AF177" i="24142"/>
  <c r="AF114" i="23917"/>
  <c r="P177" i="24142"/>
  <c r="P114" i="23917"/>
  <c r="DS175" i="24142"/>
  <c r="DS204" i="24142"/>
  <c r="DS112" i="23917"/>
  <c r="DS142" i="23917"/>
  <c r="DK175" i="24142"/>
  <c r="DK204" i="24142"/>
  <c r="DK112" i="23917"/>
  <c r="DK142" i="23917"/>
  <c r="DC175" i="24142"/>
  <c r="DC204" i="24142"/>
  <c r="DC112" i="23917"/>
  <c r="DC142" i="23917"/>
  <c r="H456" i="24142"/>
  <c r="H522" i="23917"/>
  <c r="H457" i="24142"/>
  <c r="H523" i="23917"/>
  <c r="DG433" i="24142"/>
  <c r="DG499" i="23917"/>
  <c r="DC411" i="24142"/>
  <c r="DC477" i="23917"/>
  <c r="C311" i="24142"/>
  <c r="C377" i="23917"/>
  <c r="DC306" i="24142"/>
  <c r="DC372" i="23917"/>
  <c r="L328" i="24142"/>
  <c r="L394" i="23917"/>
  <c r="L316" i="24142"/>
  <c r="L382" i="23917"/>
  <c r="AI290" i="24142"/>
  <c r="AI356" i="23917"/>
  <c r="BD290" i="24142"/>
  <c r="BD356" i="23917"/>
  <c r="BX275" i="24142"/>
  <c r="BX340" i="23917"/>
  <c r="BN277" i="24142"/>
  <c r="BN342" i="23917"/>
  <c r="BH289" i="24142"/>
  <c r="BH355" i="23917"/>
  <c r="BI266" i="24142"/>
  <c r="BI331" i="23917"/>
  <c r="AX277" i="24142"/>
  <c r="AX342" i="23917"/>
  <c r="DO266" i="24142"/>
  <c r="DO331" i="23917"/>
  <c r="AR286" i="24142"/>
  <c r="AR352" i="23917"/>
  <c r="AF289" i="24142"/>
  <c r="AF355" i="23917"/>
  <c r="AF286" i="24142"/>
  <c r="AF352" i="23917"/>
  <c r="R277" i="24142"/>
  <c r="R342" i="23917"/>
  <c r="I266" i="24142"/>
  <c r="I331" i="23917"/>
  <c r="H290" i="24142"/>
  <c r="H356" i="23917"/>
  <c r="DI264" i="24142"/>
  <c r="DI329" i="23917"/>
  <c r="DT263" i="24142"/>
  <c r="DT328" i="23917"/>
  <c r="DL263" i="24142"/>
  <c r="DL328" i="23917"/>
  <c r="DZ187" i="24142"/>
  <c r="DZ124" i="23917"/>
  <c r="DR187" i="24142"/>
  <c r="DR124" i="23917"/>
  <c r="DJ187" i="24142"/>
  <c r="DJ124" i="23917"/>
  <c r="D213" i="24142"/>
  <c r="D151" i="23917"/>
  <c r="BC181" i="24142"/>
  <c r="BC118" i="23917"/>
  <c r="AM181" i="24142"/>
  <c r="AM118" i="23917"/>
  <c r="W181" i="24142"/>
  <c r="W118" i="23917"/>
  <c r="G181" i="24142"/>
  <c r="G118" i="23917"/>
  <c r="BD183" i="24142"/>
  <c r="BD120" i="23917"/>
  <c r="DZ182" i="24142"/>
  <c r="DZ119" i="23917"/>
  <c r="DR182" i="24142"/>
  <c r="DR119" i="23917"/>
  <c r="DJ182" i="24142"/>
  <c r="DJ119" i="23917"/>
  <c r="DZ180" i="24142"/>
  <c r="DZ117" i="23917"/>
  <c r="DN180" i="24142"/>
  <c r="DN117" i="23917"/>
  <c r="DF180" i="24142"/>
  <c r="DF117" i="23917"/>
  <c r="DL208" i="24142"/>
  <c r="DL146" i="23917"/>
  <c r="DD208" i="24142"/>
  <c r="DD146" i="23917"/>
  <c r="CI204" i="24142"/>
  <c r="CI175" i="24142"/>
  <c r="CI142" i="23917"/>
  <c r="CI112" i="23917"/>
  <c r="CE204" i="24142"/>
  <c r="CE175" i="24142"/>
  <c r="CE142" i="23917"/>
  <c r="CE112" i="23917"/>
  <c r="BM204" i="24142"/>
  <c r="BM175" i="24142"/>
  <c r="BM142" i="23917"/>
  <c r="BM112" i="23917"/>
  <c r="BI204" i="24142"/>
  <c r="BI175" i="24142"/>
  <c r="BI142" i="23917"/>
  <c r="BI112" i="23917"/>
  <c r="BC204" i="24142"/>
  <c r="BC175" i="24142"/>
  <c r="BC142" i="23917"/>
  <c r="BC112" i="23917"/>
  <c r="DT174" i="24142"/>
  <c r="DT111" i="23917"/>
  <c r="DL174" i="24142"/>
  <c r="DL111" i="23917"/>
  <c r="DR243" i="24142"/>
  <c r="DR179" i="23917"/>
  <c r="CS241" i="24142"/>
  <c r="CS177" i="23917"/>
  <c r="DT181" i="24142"/>
  <c r="DT118" i="23917"/>
  <c r="DL181" i="24142"/>
  <c r="DL118" i="23917"/>
  <c r="DU249" i="24142"/>
  <c r="DU183" i="23917"/>
  <c r="DN249" i="24142"/>
  <c r="DN183" i="23917"/>
  <c r="DG226" i="24142"/>
  <c r="DG164" i="23917"/>
  <c r="AM144" i="24142"/>
  <c r="AM295" i="23917"/>
  <c r="BK140" i="24142"/>
  <c r="BK291" i="23917"/>
  <c r="G140" i="24142"/>
  <c r="G291" i="23917"/>
  <c r="DM138" i="24142"/>
  <c r="DM289" i="23917"/>
  <c r="DE138" i="24142"/>
  <c r="DE289" i="23917"/>
  <c r="DS249" i="24142"/>
  <c r="DS183" i="23917"/>
  <c r="DR242" i="24142"/>
  <c r="DR178" i="23917"/>
  <c r="DH243" i="24142"/>
  <c r="DH179" i="23917"/>
  <c r="DK249" i="24142"/>
  <c r="DK183" i="23917"/>
  <c r="DC250" i="24142"/>
  <c r="DC184" i="23917"/>
  <c r="DC251" i="24142"/>
  <c r="DC185" i="23917"/>
  <c r="DJ229" i="24142"/>
  <c r="DJ167" i="23917"/>
  <c r="DX229" i="24142"/>
  <c r="DX167" i="23917"/>
  <c r="DF228" i="24142"/>
  <c r="DF168" i="23917"/>
  <c r="D162" i="24142"/>
  <c r="D316" i="23917"/>
  <c r="E148" i="24142"/>
  <c r="E299" i="23917"/>
  <c r="AQ147" i="24142"/>
  <c r="AQ298" i="23917"/>
  <c r="AI147" i="24142"/>
  <c r="AI298" i="23917"/>
  <c r="AA147" i="24142"/>
  <c r="AA298" i="23917"/>
  <c r="M146" i="24142"/>
  <c r="M297" i="23917"/>
  <c r="AB146" i="24142"/>
  <c r="AB297" i="23917"/>
  <c r="DI147" i="24142"/>
  <c r="DI298" i="23917"/>
  <c r="AS144" i="24142"/>
  <c r="AS295" i="23917"/>
  <c r="BI140" i="24142"/>
  <c r="BI291" i="23917"/>
  <c r="DS140" i="24142"/>
  <c r="DS291" i="23917"/>
  <c r="DK140" i="24142"/>
  <c r="DK291" i="23917"/>
  <c r="DC140" i="24142"/>
  <c r="DC291" i="23917"/>
  <c r="CQ241" i="24142"/>
  <c r="CQ177" i="23917"/>
  <c r="DZ241" i="24142"/>
  <c r="DZ177" i="23917"/>
  <c r="DP241" i="24142"/>
  <c r="DP177" i="23917"/>
  <c r="DJ241" i="24142"/>
  <c r="DJ177" i="23917"/>
  <c r="DH249" i="24142"/>
  <c r="DH183" i="23917"/>
  <c r="J233" i="24142"/>
  <c r="J195" i="24142"/>
  <c r="DJ227" i="24142"/>
  <c r="DJ165" i="23917"/>
  <c r="DC231" i="24142"/>
  <c r="DC169" i="23917"/>
  <c r="DC133" i="23917"/>
  <c r="L231" i="24142"/>
  <c r="L169" i="23917"/>
  <c r="L133" i="23917"/>
  <c r="DF227" i="24142"/>
  <c r="DF165" i="23917"/>
  <c r="AJ148" i="24142"/>
  <c r="AJ299" i="23917"/>
  <c r="H148" i="24142"/>
  <c r="H299" i="23917"/>
  <c r="Q145" i="24142"/>
  <c r="Q296" i="23917"/>
  <c r="U144" i="24142"/>
  <c r="U295" i="23917"/>
  <c r="BO140" i="24142"/>
  <c r="BO291" i="23917"/>
  <c r="AY140" i="24142"/>
  <c r="AY291" i="23917"/>
  <c r="DK138" i="24142"/>
  <c r="DK289" i="23917"/>
  <c r="DC138" i="24142"/>
  <c r="DC289" i="23917"/>
  <c r="DV181" i="24142"/>
  <c r="DV118" i="23917"/>
  <c r="DN181" i="24142"/>
  <c r="DN118" i="23917"/>
  <c r="DF181" i="24142"/>
  <c r="DF118" i="23917"/>
  <c r="BX186" i="24142"/>
  <c r="BX123" i="23917"/>
  <c r="BH186" i="24142"/>
  <c r="BH123" i="23917"/>
  <c r="BA177" i="24142"/>
  <c r="BA114" i="23917"/>
  <c r="AR186" i="24142"/>
  <c r="AR123" i="23917"/>
  <c r="AB186" i="24142"/>
  <c r="AB123" i="23917"/>
  <c r="L186" i="24142"/>
  <c r="L123" i="23917"/>
  <c r="DZ242" i="24142"/>
  <c r="DZ178" i="23917"/>
  <c r="DX241" i="24142"/>
  <c r="DX177" i="23917"/>
  <c r="DL242" i="24142"/>
  <c r="DL178" i="23917"/>
  <c r="DN241" i="24142"/>
  <c r="DN177" i="23917"/>
  <c r="DF241" i="24142"/>
  <c r="DF177" i="23917"/>
  <c r="L245" i="24142"/>
  <c r="L134" i="23917"/>
  <c r="L181" i="23917"/>
  <c r="L250" i="24142"/>
  <c r="L184" i="23917"/>
  <c r="DO235" i="24142"/>
  <c r="DO171" i="23917"/>
  <c r="DG235" i="24142"/>
  <c r="DG171" i="23917"/>
  <c r="DJ228" i="24142"/>
  <c r="DJ168" i="23917"/>
  <c r="DX228" i="24142"/>
  <c r="DX168" i="23917"/>
  <c r="DZ229" i="24142"/>
  <c r="DZ167" i="23917"/>
  <c r="DD228" i="24142"/>
  <c r="DD168" i="23917"/>
  <c r="DD226" i="24142"/>
  <c r="DD164" i="23917"/>
  <c r="P150" i="24142"/>
  <c r="P301" i="23917"/>
  <c r="AP162" i="24142"/>
  <c r="AP316" i="23917"/>
  <c r="R162" i="24142"/>
  <c r="R316" i="23917"/>
  <c r="J162" i="24142"/>
  <c r="J316" i="23917"/>
  <c r="G148" i="24142"/>
  <c r="G299" i="23917"/>
  <c r="AC147" i="24142"/>
  <c r="AC298" i="23917"/>
  <c r="S144" i="24142"/>
  <c r="S295" i="23917"/>
  <c r="M144" i="24142"/>
  <c r="M295" i="23917"/>
  <c r="AH146" i="24142"/>
  <c r="AH297" i="23917"/>
  <c r="Z146" i="24142"/>
  <c r="Z297" i="23917"/>
  <c r="F146" i="24142"/>
  <c r="F297" i="23917"/>
  <c r="DG145" i="24142"/>
  <c r="DG296" i="23917"/>
  <c r="DY144" i="24142"/>
  <c r="DY295" i="23917"/>
  <c r="DQ144" i="24142"/>
  <c r="DQ295" i="23917"/>
  <c r="DI144" i="24142"/>
  <c r="DI295" i="23917"/>
  <c r="BX147" i="24142"/>
  <c r="BX298" i="23917"/>
  <c r="BP147" i="24142"/>
  <c r="BP298" i="23917"/>
  <c r="BH147" i="24142"/>
  <c r="BH298" i="23917"/>
  <c r="AZ147" i="24142"/>
  <c r="AZ298" i="23917"/>
  <c r="BK144" i="24142"/>
  <c r="BK295" i="23917"/>
  <c r="BC144" i="24142"/>
  <c r="BC295" i="23917"/>
  <c r="I146" i="24142"/>
  <c r="I297" i="23917"/>
  <c r="BM140" i="24142"/>
  <c r="BM291" i="23917"/>
  <c r="BC138" i="24142"/>
  <c r="BC289" i="23917"/>
  <c r="AR140" i="24142"/>
  <c r="AR291" i="23917"/>
  <c r="AB140" i="24142"/>
  <c r="AB291" i="23917"/>
  <c r="L140" i="24142"/>
  <c r="L291" i="23917"/>
  <c r="DQ140" i="24142"/>
  <c r="DQ291" i="23917"/>
  <c r="DV138" i="24142"/>
  <c r="DV289" i="23917"/>
  <c r="AP150" i="24142"/>
  <c r="AP301" i="23917"/>
  <c r="T150" i="24142"/>
  <c r="T301" i="23917"/>
  <c r="I140" i="24142"/>
  <c r="I291" i="23917"/>
  <c r="I108" i="24142"/>
  <c r="I204" i="23917"/>
  <c r="AD110" i="24142"/>
  <c r="AD206" i="23917"/>
  <c r="N110" i="24142"/>
  <c r="N206" i="23917"/>
  <c r="BT110" i="24142"/>
  <c r="BT206" i="23917"/>
  <c r="BL110" i="24142"/>
  <c r="BL206" i="23917"/>
  <c r="BD110" i="24142"/>
  <c r="BD206" i="23917"/>
  <c r="AV110" i="24142"/>
  <c r="AV206" i="23917"/>
  <c r="BE102" i="24142"/>
  <c r="BE198" i="23917"/>
  <c r="J102" i="24142"/>
  <c r="J198" i="23917"/>
  <c r="DE104" i="24142"/>
  <c r="DE200" i="23917"/>
  <c r="DO102" i="24142"/>
  <c r="DO198" i="23917"/>
  <c r="DO270" i="23917"/>
  <c r="DO255" i="23917"/>
  <c r="AH150" i="24142"/>
  <c r="AH301" i="23917"/>
  <c r="Z150" i="24142"/>
  <c r="Z301" i="23917"/>
  <c r="AL150" i="24142"/>
  <c r="AL301" i="23917"/>
  <c r="R150" i="24142"/>
  <c r="R301" i="23917"/>
  <c r="B150" i="24142"/>
  <c r="B301" i="23917"/>
  <c r="DC148" i="24142"/>
  <c r="DC299" i="23917"/>
  <c r="AT150" i="24142"/>
  <c r="AT301" i="23917"/>
  <c r="DX145" i="24142"/>
  <c r="DX296" i="23917"/>
  <c r="DT145" i="24142"/>
  <c r="DT296" i="23917"/>
  <c r="BV146" i="24142"/>
  <c r="BV297" i="23917"/>
  <c r="BV148" i="24142"/>
  <c r="BV299" i="23917"/>
  <c r="BO147" i="24142"/>
  <c r="BO298" i="23917"/>
  <c r="BF146" i="24142"/>
  <c r="BF297" i="23917"/>
  <c r="BF148" i="24142"/>
  <c r="BF299" i="23917"/>
  <c r="AY147" i="24142"/>
  <c r="AY298" i="23917"/>
  <c r="AC148" i="24142"/>
  <c r="AC299" i="23917"/>
  <c r="X150" i="24142"/>
  <c r="X301" i="23917"/>
  <c r="M148" i="24142"/>
  <c r="M299" i="23917"/>
  <c r="DK111" i="24142"/>
  <c r="DK207" i="23917"/>
  <c r="DC111" i="24142"/>
  <c r="DC207" i="23917"/>
  <c r="AT245" i="23917"/>
  <c r="AT219" i="23917"/>
  <c r="DJ231" i="24142"/>
  <c r="DJ169" i="23917"/>
  <c r="DJ133" i="23917"/>
  <c r="X162" i="24142"/>
  <c r="X316" i="23917"/>
  <c r="AS146" i="24142"/>
  <c r="AS297" i="23917"/>
  <c r="Q146" i="24142"/>
  <c r="Q297" i="23917"/>
  <c r="O148" i="24142"/>
  <c r="O299" i="23917"/>
  <c r="J150" i="24142"/>
  <c r="J301" i="23917"/>
  <c r="AJ126" i="24142"/>
  <c r="AJ228" i="23917"/>
  <c r="T126" i="24142"/>
  <c r="T228" i="23917"/>
  <c r="D126" i="24142"/>
  <c r="D228" i="23917"/>
  <c r="E108" i="24142"/>
  <c r="E204" i="23917"/>
  <c r="AT110" i="24142"/>
  <c r="AT206" i="23917"/>
  <c r="AH110" i="24142"/>
  <c r="AH206" i="23917"/>
  <c r="R110" i="24142"/>
  <c r="R206" i="23917"/>
  <c r="B110" i="24142"/>
  <c r="B206" i="23917"/>
  <c r="BZ110" i="24142"/>
  <c r="BZ206" i="23917"/>
  <c r="BR110" i="24142"/>
  <c r="BR206" i="23917"/>
  <c r="BJ110" i="24142"/>
  <c r="BJ206" i="23917"/>
  <c r="BB110" i="24142"/>
  <c r="BB206" i="23917"/>
  <c r="DX107" i="24142"/>
  <c r="DX203" i="23917"/>
  <c r="DP107" i="24142"/>
  <c r="DP203" i="23917"/>
  <c r="DH107" i="24142"/>
  <c r="DH203" i="23917"/>
  <c r="BI102" i="24142"/>
  <c r="BI198" i="23917"/>
  <c r="DU102" i="24142"/>
  <c r="DU198" i="23917"/>
  <c r="DM102" i="24142"/>
  <c r="DM198" i="23917"/>
  <c r="DG101" i="24142"/>
  <c r="DG197" i="23917"/>
  <c r="DZ272" i="23917"/>
  <c r="DY272" i="23917"/>
  <c r="DR272" i="23917"/>
  <c r="DQ272" i="23917"/>
  <c r="DX270" i="23917"/>
  <c r="DW270" i="23917"/>
  <c r="DG265" i="23917"/>
  <c r="AC258" i="23917"/>
  <c r="AC220" i="23917"/>
  <c r="M258" i="23917"/>
  <c r="M220" i="23917"/>
  <c r="R271" i="23917"/>
  <c r="R256" i="23917"/>
  <c r="AR248" i="23917"/>
  <c r="AJ248" i="23917"/>
  <c r="AB248" i="23917"/>
  <c r="T248" i="23917"/>
  <c r="L248" i="23917"/>
  <c r="AH248" i="23917"/>
  <c r="R248" i="23917"/>
  <c r="DT247" i="23917"/>
  <c r="DQ247" i="23917"/>
  <c r="AE148" i="24142"/>
  <c r="AE299" i="23917"/>
  <c r="W148" i="24142"/>
  <c r="W299" i="23917"/>
  <c r="T162" i="24142"/>
  <c r="T316" i="23917"/>
  <c r="BZ146" i="24142"/>
  <c r="BZ297" i="23917"/>
  <c r="BR146" i="24142"/>
  <c r="BR297" i="23917"/>
  <c r="BR148" i="24142"/>
  <c r="BR299" i="23917"/>
  <c r="BK147" i="24142"/>
  <c r="BK298" i="23917"/>
  <c r="BB146" i="24142"/>
  <c r="BB297" i="23917"/>
  <c r="BB148" i="24142"/>
  <c r="BB299" i="23917"/>
  <c r="DM111" i="24142"/>
  <c r="DM207" i="23917"/>
  <c r="DE111" i="24142"/>
  <c r="DE207" i="23917"/>
  <c r="DW109" i="24142"/>
  <c r="DW205" i="23917"/>
  <c r="DO109" i="24142"/>
  <c r="DO205" i="23917"/>
  <c r="DG109" i="24142"/>
  <c r="DG205" i="23917"/>
  <c r="DU108" i="24142"/>
  <c r="DU204" i="23917"/>
  <c r="C102" i="24142"/>
  <c r="C198" i="23917"/>
  <c r="DT271" i="23917"/>
  <c r="DS271" i="23917"/>
  <c r="DX269" i="23917"/>
  <c r="DU269" i="23917"/>
  <c r="AM260" i="23917"/>
  <c r="AL260" i="23917"/>
  <c r="W260" i="23917"/>
  <c r="V260" i="23917"/>
  <c r="O260" i="23917"/>
  <c r="N260" i="23917"/>
  <c r="AM258" i="23917"/>
  <c r="AM220" i="23917"/>
  <c r="W258" i="23917"/>
  <c r="W220" i="23917"/>
  <c r="AR258" i="23917"/>
  <c r="AR220" i="23917"/>
  <c r="AP113" i="24142"/>
  <c r="AP209" i="23917"/>
  <c r="AB113" i="24142"/>
  <c r="AB209" i="23917"/>
  <c r="L113" i="24142"/>
  <c r="L209" i="23917"/>
  <c r="C111" i="24142"/>
  <c r="C207" i="23917"/>
  <c r="BX113" i="24142"/>
  <c r="BX209" i="23917"/>
  <c r="BP113" i="24142"/>
  <c r="BP209" i="23917"/>
  <c r="BH113" i="24142"/>
  <c r="BH209" i="23917"/>
  <c r="AZ113" i="24142"/>
  <c r="AZ209" i="23917"/>
  <c r="AJ113" i="24142"/>
  <c r="AJ209" i="23917"/>
  <c r="AD113" i="24142"/>
  <c r="AD209" i="23917"/>
  <c r="N113" i="24142"/>
  <c r="N209" i="23917"/>
  <c r="I111" i="24142"/>
  <c r="I207" i="23917"/>
  <c r="BV113" i="24142"/>
  <c r="BV209" i="23917"/>
  <c r="BF113" i="24142"/>
  <c r="BF209" i="23917"/>
  <c r="E111" i="24142"/>
  <c r="E207" i="23917"/>
  <c r="BM111" i="24142"/>
  <c r="BM207" i="23917"/>
  <c r="BE111" i="24142"/>
  <c r="BE207" i="23917"/>
  <c r="AI276" i="23917"/>
  <c r="AH276" i="23917"/>
  <c r="S276" i="23917"/>
  <c r="R276" i="23917"/>
  <c r="K276" i="23917"/>
  <c r="J276" i="23917"/>
  <c r="V113" i="24142"/>
  <c r="V209" i="23917"/>
  <c r="P113" i="24142"/>
  <c r="P209" i="23917"/>
  <c r="G111" i="24142"/>
  <c r="G207" i="23917"/>
  <c r="BJ113" i="24142"/>
  <c r="BJ209" i="23917"/>
  <c r="BC111" i="24142"/>
  <c r="BC207" i="23917"/>
  <c r="DP108" i="24142"/>
  <c r="DP204" i="23917"/>
  <c r="BI125" i="24142"/>
  <c r="BI227" i="23917"/>
  <c r="BA125" i="24142"/>
  <c r="BA227" i="23917"/>
  <c r="AS125" i="24142"/>
  <c r="AS227" i="23917"/>
  <c r="AK125" i="24142"/>
  <c r="AK227" i="23917"/>
  <c r="AC125" i="24142"/>
  <c r="AC227" i="23917"/>
  <c r="U125" i="24142"/>
  <c r="U227" i="23917"/>
  <c r="M125" i="24142"/>
  <c r="M227" i="23917"/>
  <c r="E125" i="24142"/>
  <c r="E227" i="23917"/>
  <c r="CR246" i="24142"/>
  <c r="CT246" i="24142"/>
  <c r="CG183" i="23917"/>
  <c r="CK102" i="24142"/>
  <c r="AX34" i="24142"/>
  <c r="AH34" i="24142"/>
  <c r="C89" i="24142"/>
  <c r="C98" i="23917"/>
  <c r="DH62" i="24142"/>
  <c r="DH25" i="24142"/>
  <c r="DH71" i="23917"/>
  <c r="DH28" i="23917"/>
  <c r="DZ48" i="24142"/>
  <c r="DZ57" i="23917"/>
  <c r="DV48" i="24142"/>
  <c r="DV57" i="23917"/>
  <c r="DR48" i="24142"/>
  <c r="DR57" i="23917"/>
  <c r="DN48" i="24142"/>
  <c r="DN57" i="23917"/>
  <c r="DJ48" i="24142"/>
  <c r="DJ57" i="23917"/>
  <c r="DF48" i="24142"/>
  <c r="DF57" i="23917"/>
  <c r="DX18" i="24142"/>
  <c r="DX18" i="23917"/>
  <c r="DT18" i="24142"/>
  <c r="DT18" i="23917"/>
  <c r="DP18" i="24142"/>
  <c r="DP18" i="23917"/>
  <c r="AK487" i="24142"/>
  <c r="AK553" i="23917"/>
  <c r="O487" i="24142"/>
  <c r="O553" i="23917"/>
  <c r="CK487" i="24142"/>
  <c r="CK553" i="23917"/>
  <c r="BV488" i="24142"/>
  <c r="BV555" i="23917"/>
  <c r="BN488" i="24142"/>
  <c r="BN555" i="23917"/>
  <c r="BF488" i="24142"/>
  <c r="BF555" i="23917"/>
  <c r="AX488" i="24142"/>
  <c r="AX555" i="23917"/>
  <c r="AP488" i="24142"/>
  <c r="AP555" i="23917"/>
  <c r="AH488" i="24142"/>
  <c r="AH555" i="23917"/>
  <c r="Z488" i="24142"/>
  <c r="Z555" i="23917"/>
  <c r="V488" i="24142"/>
  <c r="V555" i="23917"/>
  <c r="R488" i="24142"/>
  <c r="R555" i="23917"/>
  <c r="M487" i="24142"/>
  <c r="M553" i="23917"/>
  <c r="DO487" i="24142"/>
  <c r="DO553" i="23917"/>
  <c r="DZ486" i="24142"/>
  <c r="DZ552" i="23917"/>
  <c r="DV486" i="24142"/>
  <c r="DV552" i="23917"/>
  <c r="DR486" i="24142"/>
  <c r="DR552" i="23917"/>
  <c r="DN486" i="24142"/>
  <c r="DN552" i="23917"/>
  <c r="DJ486" i="24142"/>
  <c r="DJ552" i="23917"/>
  <c r="DD486" i="24142"/>
  <c r="DD552" i="23917"/>
  <c r="BK481" i="24142"/>
  <c r="BK547" i="23917"/>
  <c r="AQ481" i="24142"/>
  <c r="AQ547" i="23917"/>
  <c r="Z483" i="24142"/>
  <c r="Z549" i="23917"/>
  <c r="J483" i="24142"/>
  <c r="J549" i="23917"/>
  <c r="DT482" i="24142"/>
  <c r="DT548" i="23917"/>
  <c r="DD482" i="24142"/>
  <c r="DD548" i="23917"/>
  <c r="AE481" i="24142"/>
  <c r="AE547" i="23917"/>
  <c r="O481" i="24142"/>
  <c r="O547" i="23917"/>
  <c r="DC483" i="24142"/>
  <c r="DC549" i="23917"/>
  <c r="DU481" i="24142"/>
  <c r="DU547" i="23917"/>
  <c r="DQ481" i="24142"/>
  <c r="DQ547" i="23917"/>
  <c r="DM481" i="24142"/>
  <c r="DM547" i="23917"/>
  <c r="DI481" i="24142"/>
  <c r="DI547" i="23917"/>
  <c r="D464" i="24142"/>
  <c r="D530" i="23917"/>
  <c r="G468" i="24142"/>
  <c r="G534" i="23917"/>
  <c r="I467" i="24142"/>
  <c r="I533" i="23917"/>
  <c r="E467" i="24142"/>
  <c r="E533" i="23917"/>
  <c r="DE468" i="24142"/>
  <c r="DE534" i="23917"/>
  <c r="DJ419" i="24142"/>
  <c r="DJ485" i="23917"/>
  <c r="AA416" i="24142"/>
  <c r="AA482" i="23917"/>
  <c r="S416" i="24142"/>
  <c r="S482" i="23917"/>
  <c r="G416" i="24142"/>
  <c r="G482" i="23917"/>
  <c r="DF414" i="24142"/>
  <c r="DF480" i="23917"/>
  <c r="DG411" i="24142"/>
  <c r="DG477" i="23917"/>
  <c r="DF345" i="24142"/>
  <c r="DF411" i="23917"/>
  <c r="I392" i="24142"/>
  <c r="I458" i="23917"/>
  <c r="N389" i="24142"/>
  <c r="N455" i="23917"/>
  <c r="DD386" i="24142"/>
  <c r="DD452" i="23917"/>
  <c r="DH388" i="24142"/>
  <c r="DH454" i="23917"/>
  <c r="DJ386" i="24142"/>
  <c r="DJ452" i="23917"/>
  <c r="DD385" i="24142"/>
  <c r="DD451" i="23917"/>
  <c r="DC394" i="24142"/>
  <c r="DC460" i="23917"/>
  <c r="G314" i="24142"/>
  <c r="G380" i="23917"/>
  <c r="DF313" i="24142"/>
  <c r="DF379" i="23917"/>
  <c r="DF312" i="24142"/>
  <c r="DF378" i="23917"/>
  <c r="DF304" i="24142"/>
  <c r="DF370" i="23917"/>
  <c r="DZ276" i="24142"/>
  <c r="DZ341" i="23917"/>
  <c r="DR276" i="24142"/>
  <c r="DR341" i="23917"/>
  <c r="DJ276" i="24142"/>
  <c r="DJ341" i="23917"/>
  <c r="BR273" i="24142"/>
  <c r="BR338" i="23917"/>
  <c r="BB273" i="24142"/>
  <c r="BB338" i="23917"/>
  <c r="S273" i="24142"/>
  <c r="S338" i="23917"/>
  <c r="K273" i="24142"/>
  <c r="K338" i="23917"/>
  <c r="E273" i="24142"/>
  <c r="E338" i="23917"/>
  <c r="AQ270" i="24142"/>
  <c r="AQ335" i="23917"/>
  <c r="O270" i="24142"/>
  <c r="O335" i="23917"/>
  <c r="CI272" i="24142"/>
  <c r="CI337" i="23917"/>
  <c r="BX273" i="24142"/>
  <c r="BX338" i="23917"/>
  <c r="BN290" i="24142"/>
  <c r="BN356" i="23917"/>
  <c r="BH290" i="24142"/>
  <c r="BH356" i="23917"/>
  <c r="BC272" i="24142"/>
  <c r="BC337" i="23917"/>
  <c r="BT270" i="24142"/>
  <c r="BT335" i="23917"/>
  <c r="BD270" i="24142"/>
  <c r="BD335" i="23917"/>
  <c r="DL271" i="24142"/>
  <c r="DL336" i="23917"/>
  <c r="DX269" i="24142"/>
  <c r="DX334" i="23917"/>
  <c r="DP269" i="24142"/>
  <c r="DP334" i="23917"/>
  <c r="DH269" i="24142"/>
  <c r="DH334" i="23917"/>
  <c r="BV286" i="24142"/>
  <c r="BV352" i="23917"/>
  <c r="BZ289" i="24142"/>
  <c r="BZ355" i="23917"/>
  <c r="BR289" i="24142"/>
  <c r="BR355" i="23917"/>
  <c r="AT290" i="24142"/>
  <c r="AT356" i="23917"/>
  <c r="AH275" i="24142"/>
  <c r="AH340" i="23917"/>
  <c r="V290" i="24142"/>
  <c r="V356" i="23917"/>
  <c r="N290" i="24142"/>
  <c r="N356" i="23917"/>
  <c r="DT265" i="24142"/>
  <c r="DT330" i="23917"/>
  <c r="DZ264" i="24142"/>
  <c r="DZ329" i="23917"/>
  <c r="DN264" i="24142"/>
  <c r="DN329" i="23917"/>
  <c r="DV263" i="24142"/>
  <c r="DV328" i="23917"/>
  <c r="DN263" i="24142"/>
  <c r="DN328" i="23917"/>
  <c r="BB183" i="24142"/>
  <c r="BB120" i="23917"/>
  <c r="AL183" i="24142"/>
  <c r="AL120" i="23917"/>
  <c r="V183" i="24142"/>
  <c r="V120" i="23917"/>
  <c r="F183" i="24142"/>
  <c r="F120" i="23917"/>
  <c r="DF174" i="24142"/>
  <c r="DF111" i="23917"/>
  <c r="CQ242" i="24142"/>
  <c r="CQ178" i="23917"/>
  <c r="DX242" i="24142"/>
  <c r="DX178" i="23917"/>
  <c r="DT242" i="24142"/>
  <c r="DT178" i="23917"/>
  <c r="DN244" i="24142"/>
  <c r="DN180" i="23917"/>
  <c r="DP243" i="24142"/>
  <c r="DP179" i="23917"/>
  <c r="DL243" i="24142"/>
  <c r="DL179" i="23917"/>
  <c r="DM249" i="24142"/>
  <c r="DM183" i="23917"/>
  <c r="DI249" i="24142"/>
  <c r="DI183" i="23917"/>
  <c r="DI231" i="24142"/>
  <c r="DI169" i="23917"/>
  <c r="DI133" i="23917"/>
  <c r="DE235" i="24142"/>
  <c r="DE171" i="23917"/>
  <c r="DD227" i="24142"/>
  <c r="DD165" i="23917"/>
  <c r="AJ162" i="24142"/>
  <c r="AJ316" i="23917"/>
  <c r="DF62" i="24142"/>
  <c r="DF25" i="24142"/>
  <c r="DF71" i="23917"/>
  <c r="DF28" i="23917"/>
  <c r="DF61" i="24142"/>
  <c r="DF70" i="23917"/>
  <c r="DS34" i="24142"/>
  <c r="DK34" i="24142"/>
  <c r="DC34" i="24142"/>
  <c r="AS487" i="24142"/>
  <c r="AS553" i="23917"/>
  <c r="CL488" i="24142"/>
  <c r="CL555" i="23917"/>
  <c r="BH488" i="24142"/>
  <c r="BH555" i="23917"/>
  <c r="AZ488" i="24142"/>
  <c r="AZ555" i="23917"/>
  <c r="AR488" i="24142"/>
  <c r="AR555" i="23917"/>
  <c r="AJ488" i="24142"/>
  <c r="AJ555" i="23917"/>
  <c r="AB488" i="24142"/>
  <c r="AB555" i="23917"/>
  <c r="U487" i="24142"/>
  <c r="U553" i="23917"/>
  <c r="L488" i="24142"/>
  <c r="L555" i="23917"/>
  <c r="DL487" i="24142"/>
  <c r="DL553" i="23917"/>
  <c r="DZ482" i="24142"/>
  <c r="DZ548" i="23917"/>
  <c r="DR482" i="24142"/>
  <c r="DR548" i="23917"/>
  <c r="DJ482" i="24142"/>
  <c r="DJ548" i="23917"/>
  <c r="H469" i="24142"/>
  <c r="H535" i="23917"/>
  <c r="D469" i="24142"/>
  <c r="D535" i="23917"/>
  <c r="DH429" i="24142"/>
  <c r="DH409" i="24142"/>
  <c r="DH475" i="23917"/>
  <c r="DH495" i="23917"/>
  <c r="DF410" i="24142"/>
  <c r="DF476" i="23917"/>
  <c r="DI411" i="24142"/>
  <c r="DI477" i="23917"/>
  <c r="DF388" i="24142"/>
  <c r="DF454" i="23917"/>
  <c r="DF384" i="24142"/>
  <c r="DF450" i="23917"/>
  <c r="E314" i="24142"/>
  <c r="E380" i="23917"/>
  <c r="DD305" i="24142"/>
  <c r="DD371" i="23917"/>
  <c r="DD303" i="24142"/>
  <c r="DD369" i="23917"/>
  <c r="DV276" i="24142"/>
  <c r="DV341" i="23917"/>
  <c r="DN276" i="24142"/>
  <c r="DN341" i="23917"/>
  <c r="DF276" i="24142"/>
  <c r="DF341" i="23917"/>
  <c r="BG273" i="24142"/>
  <c r="BG338" i="23917"/>
  <c r="AQ273" i="24142"/>
  <c r="AQ338" i="23917"/>
  <c r="AI273" i="24142"/>
  <c r="AI338" i="23917"/>
  <c r="Q273" i="24142"/>
  <c r="Q338" i="23917"/>
  <c r="DY272" i="24142"/>
  <c r="DY337" i="23917"/>
  <c r="U273" i="24142"/>
  <c r="U338" i="23917"/>
  <c r="BZ290" i="24142"/>
  <c r="BZ356" i="23917"/>
  <c r="BR290" i="24142"/>
  <c r="BR356" i="23917"/>
  <c r="BB290" i="24142"/>
  <c r="BB356" i="23917"/>
  <c r="AE270" i="24142"/>
  <c r="AE335" i="23917"/>
  <c r="DR269" i="24142"/>
  <c r="DR334" i="23917"/>
  <c r="BV275" i="24142"/>
  <c r="BV340" i="23917"/>
  <c r="BF275" i="24142"/>
  <c r="BF340" i="23917"/>
  <c r="AU266" i="24142"/>
  <c r="AU331" i="23917"/>
  <c r="AL290" i="24142"/>
  <c r="AL356" i="23917"/>
  <c r="DX265" i="24142"/>
  <c r="DX330" i="23917"/>
  <c r="DP265" i="24142"/>
  <c r="DP330" i="23917"/>
  <c r="BJ183" i="24142"/>
  <c r="BJ120" i="23917"/>
  <c r="AN183" i="24142"/>
  <c r="AN120" i="23917"/>
  <c r="X183" i="24142"/>
  <c r="X120" i="23917"/>
  <c r="H183" i="24142"/>
  <c r="H120" i="23917"/>
  <c r="DH244" i="24142"/>
  <c r="DH180" i="23917"/>
  <c r="DN242" i="24142"/>
  <c r="DN178" i="23917"/>
  <c r="DJ244" i="24142"/>
  <c r="DJ180" i="23917"/>
  <c r="DH242" i="24142"/>
  <c r="DH178" i="23917"/>
  <c r="DG249" i="24142"/>
  <c r="DG183" i="23917"/>
  <c r="DZ227" i="24142"/>
  <c r="DZ165" i="23917"/>
  <c r="DV227" i="24142"/>
  <c r="DV165" i="23917"/>
  <c r="AH148" i="24142"/>
  <c r="AH299" i="23917"/>
  <c r="Z148" i="24142"/>
  <c r="Z299" i="23917"/>
  <c r="N148" i="24142"/>
  <c r="N299" i="23917"/>
  <c r="F148" i="24142"/>
  <c r="F299" i="23917"/>
  <c r="DF147" i="24142"/>
  <c r="DF298" i="23917"/>
  <c r="DN145" i="24142"/>
  <c r="DN296" i="23917"/>
  <c r="AT148" i="24142"/>
  <c r="AT299" i="23917"/>
  <c r="BI144" i="24142"/>
  <c r="BI295" i="23917"/>
  <c r="BA144" i="24142"/>
  <c r="BA295" i="23917"/>
  <c r="AP148" i="24142"/>
  <c r="AP299" i="23917"/>
  <c r="AG144" i="24142"/>
  <c r="AG295" i="23917"/>
  <c r="AC144" i="24142"/>
  <c r="AC295" i="23917"/>
  <c r="Y144" i="24142"/>
  <c r="Y295" i="23917"/>
  <c r="T148" i="24142"/>
  <c r="T299" i="23917"/>
  <c r="J148" i="24142"/>
  <c r="J299" i="23917"/>
  <c r="C140" i="24142"/>
  <c r="C291" i="23917"/>
  <c r="DD144" i="24142"/>
  <c r="DD295" i="23917"/>
  <c r="DT138" i="24142"/>
  <c r="DT289" i="23917"/>
  <c r="AR111" i="24142"/>
  <c r="AR207" i="23917"/>
  <c r="Z111" i="24142"/>
  <c r="Z207" i="23917"/>
  <c r="T111" i="24142"/>
  <c r="T207" i="23917"/>
  <c r="J111" i="24142"/>
  <c r="J207" i="23917"/>
  <c r="D111" i="24142"/>
  <c r="D207" i="23917"/>
  <c r="BT111" i="24142"/>
  <c r="BT207" i="23917"/>
  <c r="BL111" i="24142"/>
  <c r="BL207" i="23917"/>
  <c r="BD111" i="24142"/>
  <c r="BD207" i="23917"/>
  <c r="AV111" i="24142"/>
  <c r="AV207" i="23917"/>
  <c r="BO108" i="24142"/>
  <c r="BO204" i="23917"/>
  <c r="BK108" i="24142"/>
  <c r="BK204" i="23917"/>
  <c r="BG108" i="24142"/>
  <c r="BG204" i="23917"/>
  <c r="BC108" i="24142"/>
  <c r="BC204" i="23917"/>
  <c r="AY108" i="24142"/>
  <c r="AY204" i="23917"/>
  <c r="DD109" i="24142"/>
  <c r="DD205" i="23917"/>
  <c r="BG102" i="24142"/>
  <c r="BG198" i="23917"/>
  <c r="DN108" i="24142"/>
  <c r="DN204" i="23917"/>
  <c r="DF108" i="24142"/>
  <c r="DF204" i="23917"/>
  <c r="BS276" i="23917"/>
  <c r="BR276" i="23917"/>
  <c r="BK276" i="23917"/>
  <c r="BJ276" i="23917"/>
  <c r="BC276" i="23917"/>
  <c r="BB276" i="23917"/>
  <c r="DU262" i="23917"/>
  <c r="AC243" i="23917"/>
  <c r="AB243" i="23917"/>
  <c r="M243" i="23917"/>
  <c r="L243" i="23917"/>
  <c r="DN272" i="23917"/>
  <c r="DM272" i="23917"/>
  <c r="DQ235" i="24142"/>
  <c r="DQ171" i="23917"/>
  <c r="DM235" i="24142"/>
  <c r="DM171" i="23917"/>
  <c r="DI235" i="24142"/>
  <c r="DI171" i="23917"/>
  <c r="CQ227" i="24142"/>
  <c r="CQ165" i="23917"/>
  <c r="DV228" i="24142"/>
  <c r="DV168" i="23917"/>
  <c r="DW235" i="24142"/>
  <c r="DW171" i="23917"/>
  <c r="DS235" i="24142"/>
  <c r="DS171" i="23917"/>
  <c r="DC237" i="24142"/>
  <c r="DC173" i="23917"/>
  <c r="D148" i="24142"/>
  <c r="D299" i="23917"/>
  <c r="S146" i="24142"/>
  <c r="S297" i="23917"/>
  <c r="Q144" i="24142"/>
  <c r="Q295" i="23917"/>
  <c r="E144" i="24142"/>
  <c r="E295" i="23917"/>
  <c r="B148" i="24142"/>
  <c r="B299" i="23917"/>
  <c r="BZ147" i="24142"/>
  <c r="BZ298" i="23917"/>
  <c r="BR147" i="24142"/>
  <c r="BR298" i="23917"/>
  <c r="BJ147" i="24142"/>
  <c r="BJ298" i="23917"/>
  <c r="BB147" i="24142"/>
  <c r="BB298" i="23917"/>
  <c r="AU144" i="24142"/>
  <c r="AU295" i="23917"/>
  <c r="AO144" i="24142"/>
  <c r="AO295" i="23917"/>
  <c r="X148" i="24142"/>
  <c r="X299" i="23917"/>
  <c r="H162" i="24142"/>
  <c r="H316" i="23917"/>
  <c r="I144" i="24142"/>
  <c r="I295" i="23917"/>
  <c r="AS310" i="23917"/>
  <c r="AR310" i="23917"/>
  <c r="BK125" i="24142"/>
  <c r="BK227" i="23917"/>
  <c r="AU125" i="24142"/>
  <c r="AU227" i="23917"/>
  <c r="AE125" i="24142"/>
  <c r="AE227" i="23917"/>
  <c r="O125" i="24142"/>
  <c r="O227" i="23917"/>
  <c r="AT111" i="24142"/>
  <c r="AT207" i="23917"/>
  <c r="AN111" i="24142"/>
  <c r="AN207" i="23917"/>
  <c r="AF126" i="24142"/>
  <c r="AF228" i="23917"/>
  <c r="AD111" i="24142"/>
  <c r="AD207" i="23917"/>
  <c r="X111" i="24142"/>
  <c r="X207" i="23917"/>
  <c r="P126" i="24142"/>
  <c r="P228" i="23917"/>
  <c r="N111" i="24142"/>
  <c r="N207" i="23917"/>
  <c r="H111" i="24142"/>
  <c r="H207" i="23917"/>
  <c r="BZ111" i="24142"/>
  <c r="BZ207" i="23917"/>
  <c r="BR111" i="24142"/>
  <c r="BR207" i="23917"/>
  <c r="BJ111" i="24142"/>
  <c r="BJ207" i="23917"/>
  <c r="BB111" i="24142"/>
  <c r="BB207" i="23917"/>
  <c r="AJ111" i="24142"/>
  <c r="AJ207" i="23917"/>
  <c r="DF109" i="24142"/>
  <c r="DF205" i="23917"/>
  <c r="DZ107" i="24142"/>
  <c r="DZ203" i="23917"/>
  <c r="DR107" i="24142"/>
  <c r="DR203" i="23917"/>
  <c r="DJ107" i="24142"/>
  <c r="DJ203" i="23917"/>
  <c r="I102" i="24142"/>
  <c r="I198" i="23917"/>
  <c r="BY276" i="23917"/>
  <c r="BX276" i="23917"/>
  <c r="BQ276" i="23917"/>
  <c r="BP276" i="23917"/>
  <c r="BI276" i="23917"/>
  <c r="BH276" i="23917"/>
  <c r="BA276" i="23917"/>
  <c r="AZ276" i="23917"/>
  <c r="DW262" i="23917"/>
  <c r="DH272" i="23917"/>
  <c r="DG272" i="23917"/>
  <c r="DD108" i="24142"/>
  <c r="DD204" i="23917"/>
  <c r="BO125" i="24142"/>
  <c r="BO227" i="23917"/>
  <c r="AY125" i="24142"/>
  <c r="AY227" i="23917"/>
  <c r="AI125" i="24142"/>
  <c r="AI227" i="23917"/>
  <c r="S125" i="24142"/>
  <c r="S227" i="23917"/>
  <c r="C125" i="24142"/>
  <c r="C227" i="23917"/>
  <c r="DY289" i="24142"/>
  <c r="CK227" i="23917"/>
  <c r="CM289" i="24142"/>
  <c r="CF110" i="24142"/>
  <c r="DW200" i="23917"/>
  <c r="CO65" i="23917"/>
  <c r="CO192" i="23917"/>
  <c r="CO284" i="23917"/>
  <c r="CO363" i="23917"/>
  <c r="CO444" i="23917"/>
  <c r="CO207" i="23917"/>
  <c r="CO118" i="23917"/>
  <c r="CO335" i="23917"/>
  <c r="CD286" i="24142"/>
  <c r="DW198" i="23917"/>
  <c r="CE183" i="24142"/>
  <c r="DW147" i="24142"/>
  <c r="CM95" i="23917"/>
  <c r="CL95" i="23917"/>
  <c r="CC85" i="24142"/>
  <c r="CB85" i="24142"/>
  <c r="CK96" i="23917"/>
  <c r="CJ96" i="23917"/>
  <c r="CC96" i="23917"/>
  <c r="CB96" i="23917"/>
  <c r="CI85" i="24142"/>
  <c r="CH85" i="24142"/>
  <c r="CI95" i="23917"/>
  <c r="CH95" i="23917"/>
  <c r="CE94" i="23917"/>
  <c r="CD94" i="23917"/>
  <c r="CI96" i="23917"/>
  <c r="CH96" i="23917"/>
  <c r="CG85" i="24142"/>
  <c r="CF85" i="24142"/>
  <c r="CL89" i="24142"/>
  <c r="CL98" i="23917"/>
  <c r="CH89" i="24142"/>
  <c r="CH98" i="23917"/>
  <c r="CH488" i="24142"/>
  <c r="CH555" i="23917"/>
  <c r="BW487" i="24142"/>
  <c r="BW553" i="23917"/>
  <c r="BS487" i="24142"/>
  <c r="BS553" i="23917"/>
  <c r="CJ488" i="24142"/>
  <c r="CJ555" i="23917"/>
  <c r="CB488" i="24142"/>
  <c r="CB555" i="23917"/>
  <c r="BQ481" i="24142"/>
  <c r="BQ547" i="23917"/>
  <c r="CM488" i="24142"/>
  <c r="CM555" i="23917"/>
  <c r="CE488" i="24142"/>
  <c r="CE555" i="23917"/>
  <c r="K303" i="24142"/>
  <c r="K369" i="23917"/>
  <c r="CC272" i="24142"/>
  <c r="CC337" i="23917"/>
  <c r="BU272" i="24142"/>
  <c r="BU337" i="23917"/>
  <c r="CL290" i="24142"/>
  <c r="CL356" i="23917"/>
  <c r="CH289" i="24142"/>
  <c r="CH355" i="23917"/>
  <c r="CA273" i="24142"/>
  <c r="CA338" i="23917"/>
  <c r="BW271" i="24142"/>
  <c r="BW336" i="23917"/>
  <c r="CD270" i="24142"/>
  <c r="CD335" i="23917"/>
  <c r="CA492" i="24142"/>
  <c r="CA559" i="23917"/>
  <c r="CI481" i="24142"/>
  <c r="CI547" i="23917"/>
  <c r="BU481" i="24142"/>
  <c r="BU547" i="23917"/>
  <c r="CI275" i="24142"/>
  <c r="BS488" i="24142"/>
  <c r="BS555" i="23917"/>
  <c r="CD275" i="24142"/>
  <c r="CD340" i="23917"/>
  <c r="CJ290" i="24142"/>
  <c r="CJ356" i="23917"/>
  <c r="CB290" i="24142"/>
  <c r="CB356" i="23917"/>
  <c r="BU356" i="23917"/>
  <c r="BY273" i="24142"/>
  <c r="BY338" i="23917"/>
  <c r="CH278" i="24142"/>
  <c r="CH343" i="23917"/>
  <c r="CH12" i="24142"/>
  <c r="CB289" i="24142"/>
  <c r="CB355" i="23917"/>
  <c r="CB286" i="24142"/>
  <c r="CB352" i="23917"/>
  <c r="CI181" i="24142"/>
  <c r="CI118" i="23917"/>
  <c r="BU120" i="23917"/>
  <c r="CH177" i="24142"/>
  <c r="CH114" i="23917"/>
  <c r="I306" i="24142"/>
  <c r="I372" i="23917"/>
  <c r="DY266" i="24142"/>
  <c r="DY331" i="23917"/>
  <c r="CF275" i="24142"/>
  <c r="CF340" i="23917"/>
  <c r="CF286" i="24142"/>
  <c r="CF352" i="23917"/>
  <c r="BQ266" i="24142"/>
  <c r="BQ331" i="23917"/>
  <c r="BW181" i="24142"/>
  <c r="BW118" i="23917"/>
  <c r="CG273" i="24142"/>
  <c r="CG338" i="23917"/>
  <c r="CJ289" i="24142"/>
  <c r="CJ355" i="23917"/>
  <c r="CJ286" i="24142"/>
  <c r="CJ352" i="23917"/>
  <c r="BU266" i="24142"/>
  <c r="BU331" i="23917"/>
  <c r="S340" i="23917"/>
  <c r="CM181" i="24142"/>
  <c r="CM118" i="23917"/>
  <c r="CE181" i="24142"/>
  <c r="CE118" i="23917"/>
  <c r="CF177" i="24142"/>
  <c r="CF114" i="23917"/>
  <c r="K311" i="24142"/>
  <c r="K377" i="23917"/>
  <c r="BY266" i="24142"/>
  <c r="BY331" i="23917"/>
  <c r="CK181" i="24142"/>
  <c r="CK118" i="23917"/>
  <c r="BS181" i="24142"/>
  <c r="BS118" i="23917"/>
  <c r="CB183" i="24142"/>
  <c r="CB120" i="23917"/>
  <c r="BY204" i="24142"/>
  <c r="BY175" i="24142"/>
  <c r="BY142" i="23917"/>
  <c r="BY112" i="23917"/>
  <c r="BU204" i="24142"/>
  <c r="BU175" i="24142"/>
  <c r="BU112" i="23917"/>
  <c r="BU142" i="23917"/>
  <c r="BQ204" i="24142"/>
  <c r="BQ175" i="24142"/>
  <c r="BQ112" i="23917"/>
  <c r="BQ142" i="23917"/>
  <c r="AU204" i="24142"/>
  <c r="AU175" i="24142"/>
  <c r="AU142" i="23917"/>
  <c r="AU112" i="23917"/>
  <c r="AO204" i="24142"/>
  <c r="AO175" i="24142"/>
  <c r="AO142" i="23917"/>
  <c r="AO112" i="23917"/>
  <c r="AK204" i="24142"/>
  <c r="AK175" i="24142"/>
  <c r="AK112" i="23917"/>
  <c r="AK142" i="23917"/>
  <c r="AE204" i="24142"/>
  <c r="AE175" i="24142"/>
  <c r="AE142" i="23917"/>
  <c r="AE112" i="23917"/>
  <c r="Y204" i="24142"/>
  <c r="Y175" i="24142"/>
  <c r="Y142" i="23917"/>
  <c r="Y112" i="23917"/>
  <c r="U204" i="24142"/>
  <c r="U175" i="24142"/>
  <c r="U142" i="23917"/>
  <c r="U112" i="23917"/>
  <c r="O204" i="24142"/>
  <c r="O175" i="24142"/>
  <c r="O142" i="23917"/>
  <c r="O112" i="23917"/>
  <c r="CK140" i="24142"/>
  <c r="CK291" i="23917"/>
  <c r="BS291" i="23917"/>
  <c r="BS140" i="24142"/>
  <c r="AS289" i="23917"/>
  <c r="AS138" i="24142"/>
  <c r="AE291" i="23917"/>
  <c r="AE140" i="24142"/>
  <c r="O291" i="23917"/>
  <c r="O140" i="24142"/>
  <c r="BY291" i="23917"/>
  <c r="BY140" i="24142"/>
  <c r="AI289" i="23917"/>
  <c r="AI138" i="24142"/>
  <c r="DW140" i="24142"/>
  <c r="DW291" i="23917"/>
  <c r="CG140" i="24142"/>
  <c r="CG291" i="23917"/>
  <c r="AQ291" i="23917"/>
  <c r="AQ140" i="24142"/>
  <c r="AG289" i="23917"/>
  <c r="AG138" i="24142"/>
  <c r="Q289" i="23917"/>
  <c r="Q138" i="24142"/>
  <c r="BY177" i="24142"/>
  <c r="BY114" i="23917"/>
  <c r="AS177" i="24142"/>
  <c r="AS114" i="23917"/>
  <c r="AC177" i="24142"/>
  <c r="AC114" i="23917"/>
  <c r="M177" i="24142"/>
  <c r="M114" i="23917"/>
  <c r="CA148" i="24142"/>
  <c r="CA299" i="23917"/>
  <c r="CJ147" i="24142"/>
  <c r="CJ298" i="23917"/>
  <c r="CB147" i="24142"/>
  <c r="CB298" i="23917"/>
  <c r="CI144" i="24142"/>
  <c r="CI295" i="23917"/>
  <c r="BW144" i="24142"/>
  <c r="BW295" i="23917"/>
  <c r="CM140" i="24142"/>
  <c r="CM291" i="23917"/>
  <c r="BU291" i="23917"/>
  <c r="BU140" i="24142"/>
  <c r="AW291" i="23917"/>
  <c r="AW140" i="24142"/>
  <c r="AM289" i="23917"/>
  <c r="AM138" i="24142"/>
  <c r="W289" i="23917"/>
  <c r="W138" i="24142"/>
  <c r="CL146" i="24142"/>
  <c r="CL297" i="23917"/>
  <c r="CL148" i="24142"/>
  <c r="CL299" i="23917"/>
  <c r="CE147" i="24142"/>
  <c r="CE298" i="23917"/>
  <c r="AO108" i="24142"/>
  <c r="AO204" i="23917"/>
  <c r="Y108" i="24142"/>
  <c r="Y204" i="23917"/>
  <c r="Q108" i="24142"/>
  <c r="Q204" i="23917"/>
  <c r="CJ110" i="24142"/>
  <c r="CJ206" i="23917"/>
  <c r="CB110" i="24142"/>
  <c r="CB206" i="23917"/>
  <c r="AO102" i="24142"/>
  <c r="AO198" i="23917"/>
  <c r="Y102" i="24142"/>
  <c r="Y198" i="23917"/>
  <c r="Q102" i="24142"/>
  <c r="Q198" i="23917"/>
  <c r="CH146" i="24142"/>
  <c r="CH297" i="23917"/>
  <c r="CH148" i="24142"/>
  <c r="CH299" i="23917"/>
  <c r="AQ109" i="24142"/>
  <c r="AQ205" i="23917"/>
  <c r="AK108" i="24142"/>
  <c r="AK204" i="23917"/>
  <c r="AC108" i="24142"/>
  <c r="AC204" i="23917"/>
  <c r="U108" i="24142"/>
  <c r="U204" i="23917"/>
  <c r="M108" i="24142"/>
  <c r="M204" i="23917"/>
  <c r="CH110" i="24142"/>
  <c r="CH206" i="23917"/>
  <c r="CI102" i="24142"/>
  <c r="CI198" i="23917"/>
  <c r="AS102" i="24142"/>
  <c r="AS198" i="23917"/>
  <c r="AC102" i="24142"/>
  <c r="AC198" i="23917"/>
  <c r="M102" i="24142"/>
  <c r="M198" i="23917"/>
  <c r="AQ111" i="24142"/>
  <c r="AQ207" i="23917"/>
  <c r="AC111" i="24142"/>
  <c r="AC207" i="23917"/>
  <c r="M111" i="24142"/>
  <c r="M207" i="23917"/>
  <c r="CG111" i="24142"/>
  <c r="CG207" i="23917"/>
  <c r="BY111" i="24142"/>
  <c r="BY207" i="23917"/>
  <c r="BQ111" i="24142"/>
  <c r="BQ207" i="23917"/>
  <c r="AK111" i="24142"/>
  <c r="AK207" i="23917"/>
  <c r="CI276" i="23917"/>
  <c r="CH276" i="23917"/>
  <c r="AM111" i="24142"/>
  <c r="AM207" i="23917"/>
  <c r="Y111" i="24142"/>
  <c r="Y207" i="23917"/>
  <c r="CJ209" i="23917"/>
  <c r="CJ113" i="24142"/>
  <c r="CB209" i="23917"/>
  <c r="CB113" i="24142"/>
  <c r="W111" i="24142"/>
  <c r="W207" i="23917"/>
  <c r="Q111" i="24142"/>
  <c r="Q207" i="23917"/>
  <c r="CH113" i="24142"/>
  <c r="CH209" i="23917"/>
  <c r="BS111" i="24142"/>
  <c r="BS207" i="23917"/>
  <c r="CA110" i="24142"/>
  <c r="CA206" i="23917"/>
  <c r="CC125" i="24142"/>
  <c r="CC227" i="23917"/>
  <c r="BU125" i="24142"/>
  <c r="BU227" i="23917"/>
  <c r="CM273" i="24142"/>
  <c r="CM338" i="23917"/>
  <c r="CE273" i="24142"/>
  <c r="CE338" i="23917"/>
  <c r="CD289" i="24142"/>
  <c r="CD355" i="23917"/>
  <c r="CA289" i="24142"/>
  <c r="CA355" i="23917"/>
  <c r="CD183" i="24142"/>
  <c r="CD120" i="23917"/>
  <c r="CK210" i="24142"/>
  <c r="CK148" i="23917"/>
  <c r="CG210" i="24142"/>
  <c r="CG148" i="23917"/>
  <c r="CC210" i="24142"/>
  <c r="CC148" i="23917"/>
  <c r="CK144" i="24142"/>
  <c r="CK295" i="23917"/>
  <c r="CC144" i="24142"/>
  <c r="CC295" i="23917"/>
  <c r="CC276" i="23917"/>
  <c r="CB276" i="23917"/>
  <c r="CC235" i="24142"/>
  <c r="CC171" i="23917"/>
  <c r="CA490" i="24142"/>
  <c r="CA557" i="23917"/>
  <c r="CE481" i="24142"/>
  <c r="CE547" i="23917"/>
  <c r="CI273" i="24142"/>
  <c r="CI338" i="23917"/>
  <c r="CQ210" i="24142"/>
  <c r="CQ148" i="23917"/>
  <c r="CM210" i="24142"/>
  <c r="CM148" i="23917"/>
  <c r="CI210" i="24142"/>
  <c r="CI148" i="23917"/>
  <c r="CE210" i="24142"/>
  <c r="CE148" i="23917"/>
  <c r="CI235" i="24142"/>
  <c r="CI171" i="23917"/>
  <c r="CA147" i="24142"/>
  <c r="CA298" i="23917"/>
  <c r="CL147" i="24142"/>
  <c r="CL298" i="23917"/>
  <c r="CH147" i="24142"/>
  <c r="CH298" i="23917"/>
  <c r="CD147" i="24142"/>
  <c r="CD298" i="23917"/>
  <c r="CH125" i="24142"/>
  <c r="CH227" i="23917"/>
  <c r="CK108" i="24142"/>
  <c r="CK204" i="23917"/>
  <c r="CH275" i="24142"/>
  <c r="CH340" i="23917"/>
  <c r="CI108" i="24142"/>
  <c r="CI204" i="23917"/>
  <c r="CE108" i="24142"/>
  <c r="CE204" i="23917"/>
  <c r="CM94" i="23917"/>
  <c r="CL94" i="23917"/>
  <c r="CM85" i="24142"/>
  <c r="CL85" i="24142"/>
  <c r="CM96" i="23917"/>
  <c r="CL96" i="23917"/>
  <c r="CE96" i="23917"/>
  <c r="CD96" i="23917"/>
  <c r="CC94" i="23917"/>
  <c r="CB94" i="23917"/>
  <c r="CC95" i="23917"/>
  <c r="CB95" i="23917"/>
  <c r="CI94" i="23917"/>
  <c r="CH94" i="23917"/>
  <c r="CD82" i="24142"/>
  <c r="CE95" i="23917"/>
  <c r="CD95" i="23917"/>
  <c r="CE85" i="24142"/>
  <c r="CD85" i="24142"/>
  <c r="CK481" i="24142"/>
  <c r="CK547" i="23917"/>
  <c r="BU487" i="24142"/>
  <c r="BU553" i="23917"/>
  <c r="DY481" i="24142"/>
  <c r="DY547" i="23917"/>
  <c r="CF488" i="24142"/>
  <c r="CF555" i="23917"/>
  <c r="BY481" i="24142"/>
  <c r="BY547" i="23917"/>
  <c r="DW481" i="24142"/>
  <c r="DW547" i="23917"/>
  <c r="CD490" i="24142"/>
  <c r="CD557" i="23917"/>
  <c r="BY272" i="24142"/>
  <c r="BY337" i="23917"/>
  <c r="BQ272" i="24142"/>
  <c r="BQ337" i="23917"/>
  <c r="CA270" i="24142"/>
  <c r="CA335" i="23917"/>
  <c r="BW488" i="24142"/>
  <c r="BW555" i="23917"/>
  <c r="BW290" i="24142"/>
  <c r="BS271" i="24142"/>
  <c r="BS336" i="23917"/>
  <c r="CH270" i="24142"/>
  <c r="CH335" i="23917"/>
  <c r="CA17" i="23917"/>
  <c r="CA494" i="24142"/>
  <c r="CA560" i="23917"/>
  <c r="CA17" i="24142"/>
  <c r="CC481" i="24142"/>
  <c r="CC547" i="23917"/>
  <c r="DY290" i="24142"/>
  <c r="DY356" i="23917"/>
  <c r="DW289" i="24142"/>
  <c r="DW355" i="23917"/>
  <c r="I303" i="24142"/>
  <c r="I369" i="23917"/>
  <c r="CL275" i="24142"/>
  <c r="CL340" i="23917"/>
  <c r="CF290" i="24142"/>
  <c r="CF356" i="23917"/>
  <c r="BY356" i="23917"/>
  <c r="BQ356" i="23917"/>
  <c r="CH277" i="24142"/>
  <c r="CH342" i="23917"/>
  <c r="CC266" i="24142"/>
  <c r="CC331" i="23917"/>
  <c r="CB275" i="24142"/>
  <c r="CB340" i="23917"/>
  <c r="BY181" i="24142"/>
  <c r="BY118" i="23917"/>
  <c r="BQ181" i="24142"/>
  <c r="BQ118" i="23917"/>
  <c r="CH183" i="24142"/>
  <c r="CH120" i="23917"/>
  <c r="CA183" i="24142"/>
  <c r="CA120" i="23917"/>
  <c r="CL177" i="24142"/>
  <c r="CL114" i="23917"/>
  <c r="CD177" i="24142"/>
  <c r="CD114" i="23917"/>
  <c r="CF289" i="24142"/>
  <c r="CF355" i="23917"/>
  <c r="CG266" i="24142"/>
  <c r="CG331" i="23917"/>
  <c r="BW277" i="24142"/>
  <c r="BW275" i="24142"/>
  <c r="BW340" i="23917"/>
  <c r="BQ286" i="24142"/>
  <c r="CG181" i="24142"/>
  <c r="CG118" i="23917"/>
  <c r="DW290" i="24142"/>
  <c r="DW356" i="23917"/>
  <c r="CK266" i="24142"/>
  <c r="CK331" i="23917"/>
  <c r="CJ275" i="24142"/>
  <c r="CJ340" i="23917"/>
  <c r="AA277" i="24142"/>
  <c r="AA275" i="24142"/>
  <c r="AA340" i="23917"/>
  <c r="BU181" i="24142"/>
  <c r="BU118" i="23917"/>
  <c r="CJ177" i="24142"/>
  <c r="CJ114" i="23917"/>
  <c r="CB177" i="24142"/>
  <c r="CB114" i="23917"/>
  <c r="CK273" i="24142"/>
  <c r="CK338" i="23917"/>
  <c r="DW266" i="24142"/>
  <c r="DW331" i="23917"/>
  <c r="CC181" i="24142"/>
  <c r="CC118" i="23917"/>
  <c r="CF183" i="24142"/>
  <c r="CF120" i="23917"/>
  <c r="CS210" i="24142"/>
  <c r="CS148" i="23917"/>
  <c r="CA177" i="24142"/>
  <c r="CA114" i="23917"/>
  <c r="BW204" i="24142"/>
  <c r="BW175" i="24142"/>
  <c r="BW112" i="23917"/>
  <c r="BW142" i="23917"/>
  <c r="BS204" i="24142"/>
  <c r="BS175" i="24142"/>
  <c r="BS142" i="23917"/>
  <c r="BS112" i="23917"/>
  <c r="AW204" i="24142"/>
  <c r="AW175" i="24142"/>
  <c r="AW142" i="23917"/>
  <c r="AW112" i="23917"/>
  <c r="AS204" i="24142"/>
  <c r="AS175" i="24142"/>
  <c r="AS142" i="23917"/>
  <c r="AS112" i="23917"/>
  <c r="AM204" i="24142"/>
  <c r="AM175" i="24142"/>
  <c r="AM142" i="23917"/>
  <c r="AM112" i="23917"/>
  <c r="AG204" i="24142"/>
  <c r="AG175" i="24142"/>
  <c r="AG112" i="23917"/>
  <c r="AG142" i="23917"/>
  <c r="AC204" i="24142"/>
  <c r="AC175" i="24142"/>
  <c r="AC112" i="23917"/>
  <c r="AC142" i="23917"/>
  <c r="W204" i="24142"/>
  <c r="W175" i="24142"/>
  <c r="W142" i="23917"/>
  <c r="W112" i="23917"/>
  <c r="Q204" i="24142"/>
  <c r="Q175" i="24142"/>
  <c r="Q142" i="23917"/>
  <c r="Q112" i="23917"/>
  <c r="M204" i="24142"/>
  <c r="M175" i="24142"/>
  <c r="M112" i="23917"/>
  <c r="M142" i="23917"/>
  <c r="CC140" i="24142"/>
  <c r="CC291" i="23917"/>
  <c r="AU291" i="23917"/>
  <c r="AU140" i="24142"/>
  <c r="AM291" i="23917"/>
  <c r="AM140" i="24142"/>
  <c r="W291" i="23917"/>
  <c r="W140" i="24142"/>
  <c r="CI140" i="24142"/>
  <c r="CI291" i="23917"/>
  <c r="BQ291" i="23917"/>
  <c r="BQ140" i="24142"/>
  <c r="BW291" i="23917"/>
  <c r="BW140" i="24142"/>
  <c r="AW289" i="23917"/>
  <c r="AW138" i="24142"/>
  <c r="AO289" i="23917"/>
  <c r="AO138" i="24142"/>
  <c r="Y289" i="23917"/>
  <c r="Y138" i="24142"/>
  <c r="BQ177" i="24142"/>
  <c r="BQ114" i="23917"/>
  <c r="AK177" i="24142"/>
  <c r="AK114" i="23917"/>
  <c r="U177" i="24142"/>
  <c r="U114" i="23917"/>
  <c r="CF298" i="23917"/>
  <c r="CF147" i="24142"/>
  <c r="DW298" i="23917"/>
  <c r="CM144" i="24142"/>
  <c r="CM295" i="23917"/>
  <c r="CE144" i="24142"/>
  <c r="CE295" i="23917"/>
  <c r="BS144" i="24142"/>
  <c r="BS295" i="23917"/>
  <c r="CE140" i="24142"/>
  <c r="CE291" i="23917"/>
  <c r="AU289" i="23917"/>
  <c r="AU138" i="24142"/>
  <c r="AE289" i="23917"/>
  <c r="AE138" i="24142"/>
  <c r="O289" i="23917"/>
  <c r="O138" i="24142"/>
  <c r="DY140" i="24142"/>
  <c r="DY291" i="23917"/>
  <c r="CM147" i="24142"/>
  <c r="CM298" i="23917"/>
  <c r="CD146" i="24142"/>
  <c r="CD297" i="23917"/>
  <c r="CD148" i="24142"/>
  <c r="CD299" i="23917"/>
  <c r="AO291" i="23917"/>
  <c r="AO140" i="24142"/>
  <c r="AG291" i="23917"/>
  <c r="AG140" i="24142"/>
  <c r="Y291" i="23917"/>
  <c r="Y140" i="24142"/>
  <c r="Q291" i="23917"/>
  <c r="Q140" i="24142"/>
  <c r="AG108" i="24142"/>
  <c r="AG204" i="23917"/>
  <c r="W109" i="24142"/>
  <c r="W205" i="23917"/>
  <c r="AW102" i="24142"/>
  <c r="AW198" i="23917"/>
  <c r="AG102" i="24142"/>
  <c r="AG198" i="23917"/>
  <c r="S101" i="24142"/>
  <c r="S197" i="23917"/>
  <c r="K101" i="24142"/>
  <c r="K197" i="23917"/>
  <c r="BW147" i="24142"/>
  <c r="BW298" i="23917"/>
  <c r="CC102" i="24142"/>
  <c r="CC198" i="23917"/>
  <c r="CI147" i="24142"/>
  <c r="CI298" i="23917"/>
  <c r="AS108" i="24142"/>
  <c r="AS204" i="23917"/>
  <c r="AO110" i="24142"/>
  <c r="AO206" i="23917"/>
  <c r="AG110" i="24142"/>
  <c r="AG206" i="23917"/>
  <c r="Y110" i="24142"/>
  <c r="Y206" i="23917"/>
  <c r="Q110" i="24142"/>
  <c r="Q206" i="23917"/>
  <c r="CL110" i="24142"/>
  <c r="CL206" i="23917"/>
  <c r="CD110" i="24142"/>
  <c r="CD206" i="23917"/>
  <c r="BY102" i="24142"/>
  <c r="BY198" i="23917"/>
  <c r="AK102" i="24142"/>
  <c r="AK198" i="23917"/>
  <c r="U102" i="24142"/>
  <c r="U198" i="23917"/>
  <c r="DY102" i="24142"/>
  <c r="DY198" i="23917"/>
  <c r="BS147" i="24142"/>
  <c r="BS298" i="23917"/>
  <c r="CG102" i="24142"/>
  <c r="CG198" i="23917"/>
  <c r="AI111" i="24142"/>
  <c r="AI207" i="23917"/>
  <c r="S111" i="24142"/>
  <c r="S207" i="23917"/>
  <c r="CF113" i="24142"/>
  <c r="CF209" i="23917"/>
  <c r="AE111" i="24142"/>
  <c r="AE207" i="23917"/>
  <c r="O111" i="24142"/>
  <c r="O207" i="23917"/>
  <c r="CL113" i="24142"/>
  <c r="CL209" i="23917"/>
  <c r="AS111" i="24142"/>
  <c r="AS207" i="23917"/>
  <c r="AA111" i="24142"/>
  <c r="AA207" i="23917"/>
  <c r="U111" i="24142"/>
  <c r="U207" i="23917"/>
  <c r="K111" i="24142"/>
  <c r="K207" i="23917"/>
  <c r="CK111" i="24142"/>
  <c r="CK207" i="23917"/>
  <c r="CC111" i="24142"/>
  <c r="CC207" i="23917"/>
  <c r="BU111" i="24142"/>
  <c r="BU207" i="23917"/>
  <c r="AW111" i="24142"/>
  <c r="AW207" i="23917"/>
  <c r="CE276" i="23917"/>
  <c r="CD276" i="23917"/>
  <c r="AU111" i="24142"/>
  <c r="AU207" i="23917"/>
  <c r="AO111" i="24142"/>
  <c r="AO207" i="23917"/>
  <c r="AG111" i="24142"/>
  <c r="AG207" i="23917"/>
  <c r="CI111" i="24142"/>
  <c r="CI207" i="23917"/>
  <c r="CA111" i="24142"/>
  <c r="CA207" i="23917"/>
  <c r="CG125" i="24142"/>
  <c r="CG227" i="23917"/>
  <c r="BY125" i="24142"/>
  <c r="BY227" i="23917"/>
  <c r="BQ125" i="24142"/>
  <c r="BQ227" i="23917"/>
  <c r="CH290" i="24142"/>
  <c r="CH356" i="23917"/>
  <c r="CC273" i="24142"/>
  <c r="CC338" i="23917"/>
  <c r="CA286" i="24142"/>
  <c r="CA352" i="23917"/>
  <c r="CJ183" i="24142"/>
  <c r="CJ120" i="23917"/>
  <c r="CM125" i="24142"/>
  <c r="CM227" i="23917"/>
  <c r="CE286" i="24142"/>
  <c r="CE352" i="23917"/>
  <c r="CK235" i="24142"/>
  <c r="CK171" i="23917"/>
  <c r="CB227" i="23917"/>
  <c r="CB125" i="24142"/>
  <c r="CM481" i="24142"/>
  <c r="CM547" i="23917"/>
  <c r="CH286" i="24142"/>
  <c r="CH352" i="23917"/>
  <c r="CM235" i="24142"/>
  <c r="CM171" i="23917"/>
  <c r="CE235" i="24142"/>
  <c r="CE171" i="23917"/>
  <c r="CF111" i="24142"/>
  <c r="CF207" i="23917"/>
  <c r="CG108" i="24142"/>
  <c r="CG204" i="23917"/>
  <c r="CC108" i="24142"/>
  <c r="CC204" i="23917"/>
  <c r="CD125" i="24142"/>
  <c r="CD227" i="23917"/>
  <c r="CM352" i="23917"/>
  <c r="CI266" i="24142"/>
  <c r="CI331" i="23917"/>
  <c r="CL183" i="24142"/>
  <c r="CL120" i="23917"/>
  <c r="CG235" i="24142"/>
  <c r="CG171" i="23917"/>
  <c r="CH111" i="24142"/>
  <c r="CH207" i="23917"/>
  <c r="CM108" i="24142"/>
  <c r="CM204" i="23917"/>
  <c r="CJ125" i="24142"/>
  <c r="CJ227" i="23917"/>
  <c r="CF125" i="24142"/>
  <c r="CF227" i="23917"/>
  <c r="CM102" i="24142"/>
  <c r="CM198" i="23917"/>
  <c r="CE102" i="24142"/>
  <c r="CE198" i="23917"/>
  <c r="EH290" i="24142"/>
  <c r="EH356" i="23917"/>
  <c r="EI356" i="23917"/>
  <c r="EI290" i="24142"/>
  <c r="EA109" i="24142"/>
  <c r="EA205" i="23917"/>
  <c r="EA145" i="24142"/>
  <c r="EA296" i="23917"/>
  <c r="EA547" i="23917"/>
  <c r="CQ271" i="24142"/>
  <c r="CQ336" i="23917"/>
  <c r="CR481" i="24142"/>
  <c r="CR547" i="23917"/>
  <c r="CR265" i="24142"/>
  <c r="CR330" i="23917"/>
  <c r="CR264" i="24142"/>
  <c r="CR329" i="23917"/>
  <c r="CN177" i="24142"/>
  <c r="CN114" i="23917"/>
  <c r="CN286" i="24142"/>
  <c r="CN352" i="23917"/>
  <c r="CN147" i="24142"/>
  <c r="CN298" i="23917"/>
  <c r="EA257" i="23917"/>
  <c r="CO111" i="24142"/>
  <c r="CO125" i="24142"/>
  <c r="CO227" i="23917"/>
  <c r="CR48" i="24142"/>
  <c r="CR57" i="23917"/>
  <c r="CN111" i="24142"/>
  <c r="CN207" i="23917"/>
  <c r="CS254" i="23917"/>
  <c r="CR254" i="23917"/>
  <c r="CR263" i="24142"/>
  <c r="CR328" i="23917"/>
  <c r="CO210" i="24142"/>
  <c r="CO148" i="23917"/>
  <c r="CP488" i="24142"/>
  <c r="CP555" i="23917"/>
  <c r="CP487" i="24142"/>
  <c r="CP553" i="23917"/>
  <c r="CQ486" i="24142"/>
  <c r="CQ552" i="23917"/>
  <c r="CN488" i="24142"/>
  <c r="CN555" i="23917"/>
  <c r="CO272" i="24142"/>
  <c r="CO337" i="23917"/>
  <c r="CN290" i="24142"/>
  <c r="CN356" i="23917"/>
  <c r="CQ264" i="24142"/>
  <c r="CQ329" i="23917"/>
  <c r="CQ265" i="24142"/>
  <c r="CQ330" i="23917"/>
  <c r="CQ266" i="24142"/>
  <c r="CQ331" i="23917"/>
  <c r="CN289" i="24142"/>
  <c r="CN355" i="23917"/>
  <c r="EA242" i="24142"/>
  <c r="EA178" i="23917"/>
  <c r="CN110" i="24142"/>
  <c r="CN206" i="23917"/>
  <c r="CN113" i="24142"/>
  <c r="CN209" i="23917"/>
  <c r="CN273" i="24142"/>
  <c r="CN338" i="23917"/>
  <c r="CQ145" i="24142"/>
  <c r="CQ296" i="23917"/>
  <c r="CR182" i="24142"/>
  <c r="CR119" i="23917"/>
  <c r="CO249" i="24142"/>
  <c r="CO183" i="23917"/>
  <c r="ED254" i="23917"/>
  <c r="CR486" i="24142"/>
  <c r="CR552" i="23917"/>
  <c r="EB227" i="24142"/>
  <c r="EB165" i="23917"/>
  <c r="CR259" i="23917"/>
  <c r="CS259" i="23917"/>
  <c r="CR271" i="24142"/>
  <c r="CS48" i="24142"/>
  <c r="CS57" i="23917"/>
  <c r="EA486" i="24142"/>
  <c r="EA552" i="23917"/>
  <c r="CS486" i="24142"/>
  <c r="CS552" i="23917"/>
  <c r="CQ481" i="24142"/>
  <c r="CQ547" i="23917"/>
  <c r="EA263" i="24142"/>
  <c r="EA328" i="23917"/>
  <c r="CQ263" i="24142"/>
  <c r="CQ328" i="23917"/>
  <c r="CP286" i="24142"/>
  <c r="CP352" i="23917"/>
  <c r="CN275" i="24142"/>
  <c r="CN340" i="23917"/>
  <c r="CO140" i="24142"/>
  <c r="CO291" i="23917"/>
  <c r="EB241" i="24142"/>
  <c r="EB177" i="23917"/>
  <c r="CP140" i="24142"/>
  <c r="CP291" i="23917"/>
  <c r="CR109" i="24142"/>
  <c r="CR205" i="23917"/>
  <c r="CP266" i="24142"/>
  <c r="CP331" i="23917"/>
  <c r="EA182" i="24142"/>
  <c r="EA119" i="23917"/>
  <c r="EB18" i="24142"/>
  <c r="EB18" i="23917"/>
  <c r="CO487" i="24142"/>
  <c r="CO553" i="23917"/>
  <c r="CQ48" i="24142"/>
  <c r="CQ57" i="23917"/>
  <c r="EB22" i="24142"/>
  <c r="EB25" i="23917"/>
  <c r="CO43" i="23917"/>
  <c r="CN34" i="24142"/>
  <c r="CN43" i="23917"/>
  <c r="EB482" i="24142"/>
  <c r="EB548" i="23917"/>
  <c r="CP483" i="24142"/>
  <c r="CP549" i="23917"/>
  <c r="CO273" i="24142"/>
  <c r="CO338" i="23917"/>
  <c r="EA264" i="24142"/>
  <c r="EA329" i="23917"/>
  <c r="CO266" i="24142"/>
  <c r="CO331" i="23917"/>
  <c r="CN183" i="24142"/>
  <c r="CN120" i="23917"/>
  <c r="CQ182" i="24142"/>
  <c r="CQ119" i="23917"/>
  <c r="CP125" i="24142"/>
  <c r="CP227" i="23917"/>
  <c r="CQ109" i="24142"/>
  <c r="CQ205" i="23917"/>
  <c r="CR145" i="24142"/>
  <c r="CR296" i="23917"/>
  <c r="CO481" i="24142"/>
  <c r="CO547" i="23917"/>
  <c r="CO144" i="24142"/>
  <c r="CO295" i="23917"/>
  <c r="CN88" i="24142"/>
  <c r="CO85" i="24142"/>
  <c r="CN85" i="24142"/>
  <c r="CO95" i="23917"/>
  <c r="CN95" i="23917"/>
  <c r="CO94" i="23917"/>
  <c r="CN94" i="23917"/>
  <c r="DN269" i="23917"/>
  <c r="DH243" i="23917"/>
  <c r="DG248" i="23917"/>
  <c r="DG310" i="23917"/>
  <c r="AA271" i="23917"/>
  <c r="DR270" i="23917"/>
  <c r="DZ247" i="23917"/>
  <c r="BV88" i="24142"/>
  <c r="BV89" i="23917"/>
  <c r="AL89" i="23917"/>
  <c r="BY96" i="23917"/>
  <c r="AQ96" i="23917"/>
  <c r="DY88" i="24142"/>
  <c r="DY89" i="23917"/>
  <c r="DZ96" i="23917"/>
  <c r="BT99" i="23917"/>
  <c r="AZ99" i="23917"/>
  <c r="BT89" i="23917"/>
  <c r="BT88" i="24142"/>
  <c r="CK95" i="23917"/>
  <c r="AW96" i="23917"/>
  <c r="BW95" i="23917"/>
  <c r="BS94" i="23917"/>
  <c r="AQ85" i="24142"/>
  <c r="BZ88" i="24142"/>
  <c r="BZ89" i="23917"/>
  <c r="AX89" i="23917"/>
  <c r="AM95" i="23917"/>
  <c r="DN95" i="23917"/>
  <c r="BF99" i="23917"/>
  <c r="AP99" i="23917"/>
  <c r="BD89" i="23917"/>
  <c r="BD88" i="24142"/>
  <c r="BI96" i="23917"/>
  <c r="AK94" i="23917"/>
  <c r="CG94" i="23917"/>
  <c r="BY85" i="24142"/>
  <c r="BQ95" i="23917"/>
  <c r="BM85" i="24142"/>
  <c r="BI85" i="24142"/>
  <c r="BA95" i="23917"/>
  <c r="AW85" i="24142"/>
  <c r="AS85" i="24142"/>
  <c r="AA89" i="23917"/>
  <c r="DZ94" i="23917"/>
  <c r="DJ94" i="23917"/>
  <c r="AQ43" i="23917"/>
  <c r="DE21" i="23917"/>
  <c r="EB246" i="24142"/>
  <c r="CQ232" i="24142"/>
  <c r="DG264" i="23917"/>
  <c r="DH255" i="23917"/>
  <c r="P263" i="23917"/>
  <c r="Q256" i="23917"/>
  <c r="DI262" i="23917"/>
  <c r="DJ254" i="23917"/>
  <c r="CM247" i="23917"/>
  <c r="AL271" i="23917"/>
  <c r="AU243" i="23917"/>
  <c r="AM243" i="23917"/>
  <c r="DM243" i="23917"/>
  <c r="DK276" i="23917"/>
  <c r="AO262" i="23917"/>
  <c r="Y262" i="23917"/>
  <c r="AV240" i="23917"/>
  <c r="U271" i="23917"/>
  <c r="CG270" i="23917"/>
  <c r="AC269" i="23917"/>
  <c r="AB276" i="23917"/>
  <c r="M269" i="23917"/>
  <c r="AG268" i="23917"/>
  <c r="Q268" i="23917"/>
  <c r="DN255" i="23917"/>
  <c r="DO256" i="23917"/>
  <c r="AQ256" i="23917"/>
  <c r="AP263" i="23917"/>
  <c r="AY256" i="23917"/>
  <c r="DG256" i="23917"/>
  <c r="K256" i="23917"/>
  <c r="J263" i="23917"/>
  <c r="DP254" i="23917"/>
  <c r="DR254" i="23917"/>
  <c r="DO262" i="23917"/>
  <c r="DH253" i="23917"/>
  <c r="N271" i="23917"/>
  <c r="O243" i="23917"/>
  <c r="DR269" i="23917"/>
  <c r="DQ276" i="23917"/>
  <c r="AQ262" i="23917"/>
  <c r="AA262" i="23917"/>
  <c r="K262" i="23917"/>
  <c r="AE260" i="23917"/>
  <c r="AQ276" i="23917"/>
  <c r="AA276" i="23917"/>
  <c r="J88" i="24142"/>
  <c r="BJ88" i="24142"/>
  <c r="BJ89" i="23917"/>
  <c r="DU88" i="24142"/>
  <c r="DU89" i="23917"/>
  <c r="CN99" i="23917"/>
  <c r="BL99" i="23917"/>
  <c r="AV99" i="23917"/>
  <c r="BH89" i="23917"/>
  <c r="BH88" i="24142"/>
  <c r="Y89" i="23917"/>
  <c r="CK85" i="24142"/>
  <c r="AQ95" i="23917"/>
  <c r="CA99" i="23917"/>
  <c r="DN85" i="24142"/>
  <c r="CM99" i="23917"/>
  <c r="BB99" i="23917"/>
  <c r="BX89" i="23917"/>
  <c r="BX88" i="24142"/>
  <c r="AV89" i="23917"/>
  <c r="G89" i="23917"/>
  <c r="BS96" i="23917"/>
  <c r="CG95" i="23917"/>
  <c r="AW95" i="23917"/>
  <c r="AS94" i="23917"/>
  <c r="AC89" i="23917"/>
  <c r="DF94" i="23917"/>
  <c r="DG89" i="23917"/>
  <c r="DV43" i="23917"/>
  <c r="DZ43" i="23917"/>
  <c r="DX21" i="23917"/>
  <c r="DH21" i="23917"/>
  <c r="AW256" i="23917"/>
  <c r="AN263" i="23917"/>
  <c r="AO256" i="23917"/>
  <c r="CE247" i="23917"/>
  <c r="EE244" i="23917"/>
  <c r="AD271" i="23917"/>
  <c r="AE243" i="23917"/>
  <c r="DH269" i="23917"/>
  <c r="AK262" i="23917"/>
  <c r="U262" i="23917"/>
  <c r="DX247" i="23917"/>
  <c r="AW243" i="23917"/>
  <c r="AO243" i="23917"/>
  <c r="AN271" i="23917"/>
  <c r="AW269" i="23917"/>
  <c r="AO269" i="23917"/>
  <c r="AN276" i="23917"/>
  <c r="Y269" i="23917"/>
  <c r="X276" i="23917"/>
  <c r="AS268" i="23917"/>
  <c r="AC268" i="23917"/>
  <c r="M268" i="23917"/>
  <c r="L274" i="23917"/>
  <c r="DJ255" i="23917"/>
  <c r="AI256" i="23917"/>
  <c r="AH263" i="23917"/>
  <c r="DM256" i="23917"/>
  <c r="DL254" i="23917"/>
  <c r="DK262" i="23917"/>
  <c r="DP243" i="23917"/>
  <c r="DR243" i="23917"/>
  <c r="DO271" i="23917"/>
  <c r="AM262" i="23917"/>
  <c r="W262" i="23917"/>
  <c r="DV271" i="23917"/>
  <c r="DV270" i="23917"/>
  <c r="DL272" i="23917"/>
  <c r="AY276" i="23917"/>
  <c r="AH271" i="23917"/>
  <c r="DE89" i="23917"/>
  <c r="DE88" i="24142"/>
  <c r="CJ89" i="23917"/>
  <c r="CJ88" i="24142"/>
  <c r="BB89" i="23917"/>
  <c r="DQ88" i="24142"/>
  <c r="DQ89" i="23917"/>
  <c r="AZ89" i="23917"/>
  <c r="BM96" i="23917"/>
  <c r="CN89" i="23917"/>
  <c r="BU96" i="23917"/>
  <c r="DN94" i="23917"/>
  <c r="BR99" i="23917"/>
  <c r="AN89" i="23917"/>
  <c r="G88" i="24142"/>
  <c r="CG96" i="23917"/>
  <c r="AK96" i="23917"/>
  <c r="AS95" i="23917"/>
  <c r="Z91" i="23917"/>
  <c r="Z88" i="24142"/>
  <c r="DZ85" i="24142"/>
  <c r="DF95" i="23917"/>
  <c r="DJ89" i="23917"/>
  <c r="DJ85" i="24142"/>
  <c r="DN43" i="23917"/>
  <c r="DR43" i="23917"/>
  <c r="DN21" i="23917"/>
  <c r="CI21" i="23917"/>
  <c r="CQ21" i="23917"/>
  <c r="DR255" i="23917"/>
  <c r="DP255" i="23917"/>
  <c r="AF263" i="23917"/>
  <c r="AG256" i="23917"/>
  <c r="DP247" i="23917"/>
  <c r="Y243" i="23917"/>
  <c r="DV247" i="23917"/>
  <c r="V271" i="23917"/>
  <c r="W243" i="23917"/>
  <c r="DI243" i="23917"/>
  <c r="DT269" i="23917"/>
  <c r="AG262" i="23917"/>
  <c r="Q262" i="23917"/>
  <c r="DL247" i="23917"/>
  <c r="AG243" i="23917"/>
  <c r="AF271" i="23917"/>
  <c r="AS271" i="23917"/>
  <c r="AK271" i="23917"/>
  <c r="CO270" i="23917"/>
  <c r="AS269" i="23917"/>
  <c r="AK269" i="23917"/>
  <c r="AJ276" i="23917"/>
  <c r="U269" i="23917"/>
  <c r="AO268" i="23917"/>
  <c r="Y268" i="23917"/>
  <c r="EB257" i="23917"/>
  <c r="AA256" i="23917"/>
  <c r="DK256" i="23917"/>
  <c r="Z263" i="23917"/>
  <c r="DH254" i="23917"/>
  <c r="DG262" i="23917"/>
  <c r="DR247" i="23917"/>
  <c r="DZ269" i="23917"/>
  <c r="DI269" i="23917"/>
  <c r="AI262" i="23917"/>
  <c r="S262" i="23917"/>
  <c r="AT253" i="23917"/>
  <c r="DZ271" i="23917"/>
  <c r="DX272" i="23917"/>
  <c r="DT272" i="23917"/>
  <c r="DM88" i="24142"/>
  <c r="DM89" i="23917"/>
  <c r="CA88" i="24142"/>
  <c r="CA89" i="23917"/>
  <c r="CK94" i="23917"/>
  <c r="BK95" i="23917"/>
  <c r="BG94" i="23917"/>
  <c r="AQ94" i="23917"/>
  <c r="DV85" i="24142"/>
  <c r="BF88" i="24142"/>
  <c r="AM96" i="23917"/>
  <c r="DR96" i="23917"/>
  <c r="BZ99" i="23917"/>
  <c r="O89" i="23917"/>
  <c r="K89" i="23917"/>
  <c r="CO96" i="23917"/>
  <c r="AK85" i="24142"/>
  <c r="AK95" i="23917"/>
  <c r="BU95" i="23917"/>
  <c r="BQ94" i="23917"/>
  <c r="BM94" i="23917"/>
  <c r="BE95" i="23917"/>
  <c r="BA94" i="23917"/>
  <c r="AW94" i="23917"/>
  <c r="BQ99" i="23917"/>
  <c r="DF85" i="24142"/>
  <c r="CI99" i="23917"/>
  <c r="DJ95" i="23917"/>
  <c r="EB40" i="23917"/>
  <c r="BM43" i="23917"/>
  <c r="BE43" i="23917"/>
  <c r="BI43" i="23917"/>
  <c r="DF43" i="23917"/>
  <c r="AC43" i="23917"/>
  <c r="DJ43" i="23917"/>
  <c r="EJ554" i="23917"/>
  <c r="DY21" i="23917"/>
  <c r="K289" i="24142"/>
  <c r="DL255" i="23917"/>
  <c r="X263" i="23917"/>
  <c r="Y256" i="23917"/>
  <c r="DM262" i="23917"/>
  <c r="DN254" i="23917"/>
  <c r="DH247" i="23917"/>
  <c r="Q243" i="23917"/>
  <c r="DL243" i="23917"/>
  <c r="DK271" i="23917"/>
  <c r="DN247" i="23917"/>
  <c r="DZ242" i="23917"/>
  <c r="DP269" i="23917"/>
  <c r="DO276" i="23917"/>
  <c r="CK262" i="23917"/>
  <c r="AC262" i="23917"/>
  <c r="M262" i="23917"/>
  <c r="CI247" i="23917"/>
  <c r="CK270" i="23917"/>
  <c r="AG269" i="23917"/>
  <c r="Q269" i="23917"/>
  <c r="AK268" i="23917"/>
  <c r="AJ274" i="23917"/>
  <c r="U268" i="23917"/>
  <c r="T274" i="23917"/>
  <c r="DY262" i="23917"/>
  <c r="DZ255" i="23917"/>
  <c r="S256" i="23917"/>
  <c r="R263" i="23917"/>
  <c r="DI256" i="23917"/>
  <c r="DJ247" i="23917"/>
  <c r="DV269" i="23917"/>
  <c r="AE262" i="23917"/>
  <c r="O262" i="23917"/>
  <c r="AI260" i="23917"/>
  <c r="S260" i="23917"/>
  <c r="AE276" i="23917"/>
  <c r="AU276" i="23917"/>
  <c r="CM276" i="23917"/>
  <c r="AP271" i="23917"/>
  <c r="DG268" i="23917"/>
  <c r="CU336" i="23917" l="1"/>
  <c r="CR336" i="23917"/>
  <c r="EC272" i="23917"/>
  <c r="CT125" i="24142"/>
  <c r="CT227" i="23917"/>
  <c r="CT487" i="24142"/>
  <c r="CT553" i="23917"/>
  <c r="CT145" i="24142"/>
  <c r="CT296" i="23917"/>
  <c r="CU182" i="24142"/>
  <c r="CU119" i="23917"/>
  <c r="CV264" i="24142"/>
  <c r="CV329" i="23917"/>
  <c r="CU264" i="24142"/>
  <c r="CU329" i="23917"/>
  <c r="CU265" i="24142"/>
  <c r="CU330" i="23917"/>
  <c r="CY227" i="24142"/>
  <c r="CY165" i="23917"/>
  <c r="DA272" i="23917"/>
  <c r="CZ272" i="23917"/>
  <c r="CY241" i="24142"/>
  <c r="CY177" i="23917"/>
  <c r="CU482" i="24142"/>
  <c r="CU548" i="23917"/>
  <c r="CU271" i="24142"/>
  <c r="CV486" i="24142"/>
  <c r="CV552" i="23917"/>
  <c r="CV263" i="24142"/>
  <c r="CV328" i="23917"/>
  <c r="CT266" i="24142"/>
  <c r="CT331" i="23917"/>
  <c r="CT109" i="24142"/>
  <c r="CT205" i="23917"/>
  <c r="CT481" i="24142"/>
  <c r="CT547" i="23917"/>
  <c r="EL554" i="23917"/>
  <c r="EK554" i="23917"/>
  <c r="EM554" i="23917"/>
  <c r="EC242" i="24142"/>
  <c r="EC178" i="23917"/>
  <c r="EL290" i="24142"/>
  <c r="EL356" i="23917"/>
  <c r="DA242" i="24142"/>
  <c r="DA178" i="23917"/>
  <c r="DA227" i="24142"/>
  <c r="DA165" i="23917"/>
  <c r="DA241" i="24142"/>
  <c r="DA177" i="23917"/>
  <c r="CT140" i="24142"/>
  <c r="CT291" i="23917"/>
  <c r="CV182" i="24142"/>
  <c r="CV119" i="23917"/>
  <c r="CT286" i="24142"/>
  <c r="CT352" i="23917"/>
  <c r="CV265" i="24142"/>
  <c r="CV330" i="23917"/>
  <c r="CY272" i="23917"/>
  <c r="CX272" i="23917"/>
  <c r="CV482" i="24142"/>
  <c r="CV548" i="23917"/>
  <c r="CV271" i="24142"/>
  <c r="CV336" i="23917"/>
  <c r="CU486" i="24142"/>
  <c r="CU552" i="23917"/>
  <c r="CU263" i="24142"/>
  <c r="CU328" i="23917"/>
  <c r="CU48" i="24142"/>
  <c r="CU57" i="23917"/>
  <c r="EC241" i="24142"/>
  <c r="EC177" i="23917"/>
  <c r="CY242" i="24142"/>
  <c r="CY178" i="23917"/>
  <c r="CT271" i="24142"/>
  <c r="CT336" i="23917"/>
  <c r="EC227" i="24142"/>
  <c r="EC165" i="23917"/>
  <c r="CV48" i="24142"/>
  <c r="CV57" i="23917"/>
  <c r="EF166" i="23917"/>
  <c r="ED166" i="23917"/>
  <c r="CC270" i="24142"/>
  <c r="CC335" i="23917"/>
  <c r="ED257" i="23917"/>
  <c r="Y126" i="24142"/>
  <c r="Y228" i="23917"/>
  <c r="CG88" i="24142"/>
  <c r="AA140" i="24142"/>
  <c r="AA291" i="23917"/>
  <c r="AI291" i="23917"/>
  <c r="AI140" i="24142"/>
  <c r="S291" i="23917"/>
  <c r="S140" i="24142"/>
  <c r="DM34" i="24142"/>
  <c r="DC110" i="24142"/>
  <c r="DC206" i="23917"/>
  <c r="K140" i="24142"/>
  <c r="K291" i="23917"/>
  <c r="I518" i="23917"/>
  <c r="I452" i="24142"/>
  <c r="DW104" i="24142"/>
  <c r="DY355" i="23917"/>
  <c r="CF206" i="23917"/>
  <c r="CM355" i="23917"/>
  <c r="CK125" i="24142"/>
  <c r="CE120" i="23917"/>
  <c r="CK270" i="24142"/>
  <c r="CK335" i="23917"/>
  <c r="AS490" i="24142"/>
  <c r="AS557" i="23917"/>
  <c r="Q433" i="24142"/>
  <c r="Q499" i="23917"/>
  <c r="BC275" i="24142"/>
  <c r="BC340" i="23917"/>
  <c r="F115" i="24142"/>
  <c r="F211" i="23917"/>
  <c r="AF115" i="24142"/>
  <c r="AF211" i="23917"/>
  <c r="AU113" i="24142"/>
  <c r="AU209" i="23917"/>
  <c r="DU104" i="24142"/>
  <c r="DU200" i="23917"/>
  <c r="BF116" i="24142"/>
  <c r="BF8" i="24142"/>
  <c r="BF212" i="23917"/>
  <c r="BF213" i="23917" s="1"/>
  <c r="BV115" i="24142"/>
  <c r="BV211" i="23917"/>
  <c r="DN109" i="24142"/>
  <c r="DN205" i="23917"/>
  <c r="AK113" i="24142"/>
  <c r="AK209" i="23917"/>
  <c r="BX115" i="24142"/>
  <c r="BX211" i="23917"/>
  <c r="L115" i="24142"/>
  <c r="L211" i="23917"/>
  <c r="AC113" i="24142"/>
  <c r="AC209" i="23917"/>
  <c r="AP115" i="24142"/>
  <c r="AP211" i="23917"/>
  <c r="DV276" i="23917"/>
  <c r="DU276" i="23917"/>
  <c r="DN111" i="24142"/>
  <c r="DN207" i="23917"/>
  <c r="BK146" i="24142"/>
  <c r="BK297" i="23917"/>
  <c r="DG237" i="24142"/>
  <c r="DG173" i="23917"/>
  <c r="BJ126" i="24142"/>
  <c r="BJ228" i="23917"/>
  <c r="L153" i="24142"/>
  <c r="L9" i="24142"/>
  <c r="L304" i="23917"/>
  <c r="L305" i="23917" s="1"/>
  <c r="X153" i="24142"/>
  <c r="X9" i="24142"/>
  <c r="X304" i="23917"/>
  <c r="X305" i="23917" s="1"/>
  <c r="Z153" i="24142"/>
  <c r="Z9" i="24142"/>
  <c r="Z304" i="23917"/>
  <c r="Z305" i="23917" s="1"/>
  <c r="DZ270" i="23917"/>
  <c r="DY270" i="23917"/>
  <c r="BA110" i="24142"/>
  <c r="BA206" i="23917"/>
  <c r="N126" i="24142"/>
  <c r="N228" i="23917"/>
  <c r="G113" i="24142"/>
  <c r="G209" i="23917"/>
  <c r="AF116" i="24142"/>
  <c r="AF8" i="24142"/>
  <c r="AF212" i="23917"/>
  <c r="AF213" i="23917" s="1"/>
  <c r="AG113" i="24142"/>
  <c r="AG209" i="23917"/>
  <c r="AT115" i="24142"/>
  <c r="AT211" i="23917"/>
  <c r="AT116" i="24142"/>
  <c r="AT10" i="24142"/>
  <c r="AT8" i="24142"/>
  <c r="AT212" i="23917"/>
  <c r="AT213" i="23917" s="1"/>
  <c r="DX276" i="23917"/>
  <c r="DW276" i="23917"/>
  <c r="DJ109" i="24142"/>
  <c r="DJ205" i="23917"/>
  <c r="BF115" i="24142"/>
  <c r="BF211" i="23917"/>
  <c r="BV116" i="24142"/>
  <c r="BV8" i="24142"/>
  <c r="BV212" i="23917"/>
  <c r="BV213" i="23917" s="1"/>
  <c r="DK104" i="24142"/>
  <c r="DK200" i="23917"/>
  <c r="AJ116" i="24142"/>
  <c r="AJ8" i="24142"/>
  <c r="AJ212" i="23917"/>
  <c r="AJ213" i="23917" s="1"/>
  <c r="BI113" i="24142"/>
  <c r="BI209" i="23917"/>
  <c r="BH116" i="24142"/>
  <c r="BH8" i="24142"/>
  <c r="BH212" i="23917"/>
  <c r="BH213" i="23917" s="1"/>
  <c r="BX116" i="24142"/>
  <c r="BX8" i="24142"/>
  <c r="BX212" i="23917"/>
  <c r="BX213" i="23917" s="1"/>
  <c r="L116" i="24142"/>
  <c r="L10" i="24142"/>
  <c r="L8" i="24142"/>
  <c r="L212" i="23917"/>
  <c r="L213" i="23917" s="1"/>
  <c r="AB116" i="24142"/>
  <c r="AB10" i="24142"/>
  <c r="AB8" i="24142"/>
  <c r="AB212" i="23917"/>
  <c r="AB213" i="23917" s="1"/>
  <c r="AP116" i="24142"/>
  <c r="AP10" i="24142"/>
  <c r="AP8" i="24142"/>
  <c r="AP212" i="23917"/>
  <c r="AP213" i="23917" s="1"/>
  <c r="AQ113" i="24142"/>
  <c r="AQ209" i="23917"/>
  <c r="BJ162" i="24142"/>
  <c r="BJ316" i="23917"/>
  <c r="BZ153" i="24142"/>
  <c r="BZ9" i="24142"/>
  <c r="BZ304" i="23917"/>
  <c r="BZ305" i="23917" s="1"/>
  <c r="BZ152" i="24142"/>
  <c r="BZ303" i="23917"/>
  <c r="DJ235" i="24142"/>
  <c r="DJ171" i="23917"/>
  <c r="T273" i="23917"/>
  <c r="T221" i="23917"/>
  <c r="Q276" i="23917"/>
  <c r="P276" i="23917"/>
  <c r="AG276" i="23917"/>
  <c r="AF276" i="23917"/>
  <c r="DH270" i="23917"/>
  <c r="DG270" i="23917"/>
  <c r="BK110" i="24142"/>
  <c r="BK206" i="23917"/>
  <c r="DI110" i="24142"/>
  <c r="DI206" i="23917"/>
  <c r="AT126" i="24142"/>
  <c r="AT228" i="23917"/>
  <c r="L152" i="24142"/>
  <c r="L303" i="23917"/>
  <c r="R152" i="24142"/>
  <c r="R303" i="23917"/>
  <c r="Z152" i="24142"/>
  <c r="Z303" i="23917"/>
  <c r="Q271" i="23917"/>
  <c r="P271" i="23917"/>
  <c r="P248" i="23917"/>
  <c r="DC102" i="24142"/>
  <c r="DC198" i="23917"/>
  <c r="AZ126" i="24142"/>
  <c r="AZ228" i="23917"/>
  <c r="BP126" i="24142"/>
  <c r="BP228" i="23917"/>
  <c r="DQ141" i="24142"/>
  <c r="DQ292" i="23917"/>
  <c r="DM140" i="24142"/>
  <c r="DM291" i="23917"/>
  <c r="BD148" i="24142"/>
  <c r="BD299" i="23917"/>
  <c r="BT146" i="24142"/>
  <c r="BT297" i="23917"/>
  <c r="DP147" i="24142"/>
  <c r="DP298" i="23917"/>
  <c r="Z162" i="24142"/>
  <c r="Z316" i="23917"/>
  <c r="DK146" i="24142"/>
  <c r="DK297" i="23917"/>
  <c r="AQ162" i="24142"/>
  <c r="AQ316" i="23917"/>
  <c r="AZ188" i="24142"/>
  <c r="AZ125" i="23917"/>
  <c r="BA186" i="24142"/>
  <c r="BA123" i="23917"/>
  <c r="AF150" i="24142"/>
  <c r="AF301" i="23917"/>
  <c r="DE226" i="24142"/>
  <c r="DE164" i="23917"/>
  <c r="DH140" i="24142"/>
  <c r="DH291" i="23917"/>
  <c r="K146" i="24142"/>
  <c r="K297" i="23917"/>
  <c r="DN147" i="24142"/>
  <c r="DN298" i="23917"/>
  <c r="AG146" i="24142"/>
  <c r="AG297" i="23917"/>
  <c r="DI141" i="24142"/>
  <c r="DI292" i="23917"/>
  <c r="J197" i="24142"/>
  <c r="J135" i="23917"/>
  <c r="BM183" i="24142"/>
  <c r="BM120" i="23917"/>
  <c r="H278" i="24142"/>
  <c r="H12" i="24142"/>
  <c r="H343" i="23917"/>
  <c r="H344" i="23917" s="1"/>
  <c r="I275" i="24142"/>
  <c r="I340" i="23917"/>
  <c r="I289" i="24142"/>
  <c r="I355" i="23917"/>
  <c r="BI286" i="24142"/>
  <c r="BI352" i="23917"/>
  <c r="BX277" i="24142"/>
  <c r="BX342" i="23917"/>
  <c r="BX278" i="24142"/>
  <c r="BX12" i="24142"/>
  <c r="BX343" i="23917"/>
  <c r="BX344" i="23917" s="1"/>
  <c r="BE290" i="24142"/>
  <c r="BE356" i="23917"/>
  <c r="DQ290" i="24142"/>
  <c r="DQ356" i="23917"/>
  <c r="L331" i="24142"/>
  <c r="L397" i="23917"/>
  <c r="DC311" i="24142"/>
  <c r="DC377" i="23917"/>
  <c r="DD411" i="24142"/>
  <c r="DD477" i="23917"/>
  <c r="AV186" i="24142"/>
  <c r="AV123" i="23917"/>
  <c r="DC177" i="24142"/>
  <c r="DC114" i="23917"/>
  <c r="DU286" i="24142"/>
  <c r="DU352" i="23917"/>
  <c r="DN265" i="24142"/>
  <c r="DN330" i="23917"/>
  <c r="U290" i="24142"/>
  <c r="U356" i="23917"/>
  <c r="DI275" i="24142"/>
  <c r="DI340" i="23917"/>
  <c r="Y289" i="24142"/>
  <c r="Y355" i="23917"/>
  <c r="U270" i="24142"/>
  <c r="U335" i="23917"/>
  <c r="E432" i="24142"/>
  <c r="E498" i="23917"/>
  <c r="DH432" i="24142"/>
  <c r="DH498" i="23917"/>
  <c r="AC183" i="24142"/>
  <c r="AC120" i="23917"/>
  <c r="BI183" i="24142"/>
  <c r="BI120" i="23917"/>
  <c r="DQ275" i="24142"/>
  <c r="DQ340" i="23917"/>
  <c r="I328" i="24142"/>
  <c r="I394" i="23917"/>
  <c r="DF344" i="24142"/>
  <c r="DF410" i="23917"/>
  <c r="DI371" i="24142"/>
  <c r="DI437" i="23917"/>
  <c r="N186" i="24142"/>
  <c r="N123" i="23917"/>
  <c r="AT186" i="24142"/>
  <c r="AT123" i="23917"/>
  <c r="BK177" i="24142"/>
  <c r="BK114" i="23917"/>
  <c r="BZ213" i="24142"/>
  <c r="BZ151" i="23917"/>
  <c r="DI183" i="24142"/>
  <c r="DI120" i="23917"/>
  <c r="AY183" i="24142"/>
  <c r="AY120" i="23917"/>
  <c r="AX214" i="24142"/>
  <c r="AX152" i="23917"/>
  <c r="E275" i="24142"/>
  <c r="E340" i="23917"/>
  <c r="P278" i="24142"/>
  <c r="P12" i="24142"/>
  <c r="P343" i="23917"/>
  <c r="P344" i="23917" s="1"/>
  <c r="AK289" i="24142"/>
  <c r="AK355" i="23917"/>
  <c r="C328" i="24142"/>
  <c r="C394" i="23917"/>
  <c r="BC286" i="24142"/>
  <c r="BC352" i="23917"/>
  <c r="DG270" i="24142"/>
  <c r="DG335" i="23917"/>
  <c r="DN273" i="24142"/>
  <c r="DN338" i="23917"/>
  <c r="D371" i="24142"/>
  <c r="D437" i="23917"/>
  <c r="D351" i="24142"/>
  <c r="D417" i="23917"/>
  <c r="U346" i="24142"/>
  <c r="U412" i="23917"/>
  <c r="S411" i="24142"/>
  <c r="S477" i="23917"/>
  <c r="R418" i="24142"/>
  <c r="R484" i="23917"/>
  <c r="E457" i="24142"/>
  <c r="E523" i="23917"/>
  <c r="K488" i="24142"/>
  <c r="K555" i="23917"/>
  <c r="U289" i="24142"/>
  <c r="U355" i="23917"/>
  <c r="BO289" i="24142"/>
  <c r="BO355" i="23917"/>
  <c r="AT278" i="24142"/>
  <c r="AT12" i="24142"/>
  <c r="AT343" i="23917"/>
  <c r="AT344" i="23917" s="1"/>
  <c r="Y392" i="24142"/>
  <c r="Y458" i="23917"/>
  <c r="DC346" i="24142"/>
  <c r="DC412" i="23917"/>
  <c r="DE483" i="24142"/>
  <c r="DE549" i="23917"/>
  <c r="AG483" i="24142"/>
  <c r="AG549" i="23917"/>
  <c r="DS270" i="24142"/>
  <c r="DS335" i="23917"/>
  <c r="F371" i="24142"/>
  <c r="F437" i="23917"/>
  <c r="G346" i="24142"/>
  <c r="G412" i="23917"/>
  <c r="V351" i="24142"/>
  <c r="V417" i="23917"/>
  <c r="H418" i="24142"/>
  <c r="H484" i="23917"/>
  <c r="I411" i="24142"/>
  <c r="I477" i="23917"/>
  <c r="DJ481" i="24142"/>
  <c r="DJ547" i="23917"/>
  <c r="DR481" i="24142"/>
  <c r="DR547" i="23917"/>
  <c r="Z494" i="24142"/>
  <c r="Z17" i="24142"/>
  <c r="Z560" i="23917"/>
  <c r="Z561" i="23917" s="1"/>
  <c r="DP272" i="24142"/>
  <c r="DP337" i="23917"/>
  <c r="DO290" i="24142"/>
  <c r="DO356" i="23917"/>
  <c r="AO273" i="24142"/>
  <c r="AO338" i="23917"/>
  <c r="DF385" i="24142"/>
  <c r="DF451" i="23917"/>
  <c r="N494" i="24142"/>
  <c r="N17" i="24142"/>
  <c r="N560" i="23917"/>
  <c r="N561" i="23917" s="1"/>
  <c r="O490" i="24142"/>
  <c r="O557" i="23917"/>
  <c r="BI490" i="24142"/>
  <c r="BI557" i="23917"/>
  <c r="DL481" i="24142"/>
  <c r="DL547" i="23917"/>
  <c r="BL490" i="24142"/>
  <c r="BL557" i="23917"/>
  <c r="DV488" i="24142"/>
  <c r="DV555" i="23917"/>
  <c r="AK483" i="24142"/>
  <c r="AK549" i="23917"/>
  <c r="AS483" i="24142"/>
  <c r="AS549" i="23917"/>
  <c r="BZ82" i="24142"/>
  <c r="BZ86" i="23917"/>
  <c r="DJ83" i="24142"/>
  <c r="DJ87" i="23917"/>
  <c r="DJ88" i="24142"/>
  <c r="DI88" i="24142"/>
  <c r="AC83" i="24142"/>
  <c r="AC87" i="23917"/>
  <c r="BD82" i="24142"/>
  <c r="BD86" i="23917"/>
  <c r="C89" i="23917"/>
  <c r="B89" i="23917"/>
  <c r="C88" i="24142"/>
  <c r="B88" i="24142"/>
  <c r="BL83" i="24142"/>
  <c r="BL87" i="23917"/>
  <c r="BM89" i="23917"/>
  <c r="BL89" i="23917"/>
  <c r="CI98" i="23917"/>
  <c r="BZ89" i="24142"/>
  <c r="BZ98" i="23917"/>
  <c r="AF89" i="24142"/>
  <c r="AF98" i="23917"/>
  <c r="AG99" i="23917"/>
  <c r="AF99" i="23917"/>
  <c r="BJ89" i="24142"/>
  <c r="BJ98" i="23917"/>
  <c r="BK99" i="23917"/>
  <c r="BJ99" i="23917"/>
  <c r="BG89" i="23917"/>
  <c r="BF89" i="23917"/>
  <c r="BG82" i="24142"/>
  <c r="BG86" i="23917"/>
  <c r="U83" i="24142"/>
  <c r="U87" i="23917"/>
  <c r="AR83" i="24142"/>
  <c r="AR87" i="23917"/>
  <c r="AS89" i="23917"/>
  <c r="AR89" i="23917"/>
  <c r="AE89" i="23917"/>
  <c r="AD89" i="23917"/>
  <c r="DL96" i="23917"/>
  <c r="DK96" i="23917"/>
  <c r="AT83" i="24142"/>
  <c r="AT87" i="23917"/>
  <c r="AT86" i="24142"/>
  <c r="AT84" i="24142"/>
  <c r="AT88" i="23917"/>
  <c r="S91" i="23917"/>
  <c r="R91" i="23917"/>
  <c r="W113" i="24142"/>
  <c r="W209" i="23917"/>
  <c r="V116" i="24142"/>
  <c r="V10" i="24142"/>
  <c r="V8" i="24142"/>
  <c r="V212" i="23917"/>
  <c r="V213" i="23917" s="1"/>
  <c r="DN270" i="23917"/>
  <c r="DM270" i="23917"/>
  <c r="BD115" i="24142"/>
  <c r="BD211" i="23917"/>
  <c r="BD116" i="24142"/>
  <c r="BD8" i="24142"/>
  <c r="BD212" i="23917"/>
  <c r="BD213" i="23917" s="1"/>
  <c r="BT115" i="24142"/>
  <c r="BT211" i="23917"/>
  <c r="BT116" i="24142"/>
  <c r="BT8" i="24142"/>
  <c r="BT212" i="23917"/>
  <c r="BT213" i="23917" s="1"/>
  <c r="J115" i="24142"/>
  <c r="J211" i="23917"/>
  <c r="Z115" i="24142"/>
  <c r="Z211" i="23917"/>
  <c r="N115" i="24142"/>
  <c r="N211" i="23917"/>
  <c r="N116" i="24142"/>
  <c r="N10" i="24142"/>
  <c r="N8" i="24142"/>
  <c r="N212" i="23917"/>
  <c r="N213" i="23917" s="1"/>
  <c r="AE113" i="24142"/>
  <c r="AE209" i="23917"/>
  <c r="AD116" i="24142"/>
  <c r="AD10" i="24142"/>
  <c r="AE10" i="24142" s="1"/>
  <c r="AD8" i="24142"/>
  <c r="AD212" i="23917"/>
  <c r="AD213" i="23917" s="1"/>
  <c r="DO104" i="24142"/>
  <c r="DO200" i="23917"/>
  <c r="AS260" i="23917"/>
  <c r="AR260" i="23917"/>
  <c r="DR111" i="24142"/>
  <c r="DR207" i="23917"/>
  <c r="BB162" i="24142"/>
  <c r="BB316" i="23917"/>
  <c r="AD152" i="24142"/>
  <c r="AD303" i="23917"/>
  <c r="DN235" i="24142"/>
  <c r="DN171" i="23917"/>
  <c r="DF101" i="24142"/>
  <c r="DF197" i="23917"/>
  <c r="DR102" i="24142"/>
  <c r="DR198" i="23917"/>
  <c r="AX126" i="24142"/>
  <c r="AX228" i="23917"/>
  <c r="DU110" i="24142"/>
  <c r="DU206" i="23917"/>
  <c r="BO110" i="24142"/>
  <c r="BO206" i="23917"/>
  <c r="Z126" i="24142"/>
  <c r="Z228" i="23917"/>
  <c r="DT276" i="23917"/>
  <c r="DS276" i="23917"/>
  <c r="AB153" i="24142"/>
  <c r="AB9" i="24142"/>
  <c r="AB304" i="23917"/>
  <c r="DQ147" i="24142"/>
  <c r="DQ298" i="23917"/>
  <c r="BG146" i="24142"/>
  <c r="BG297" i="23917"/>
  <c r="BW316" i="23917"/>
  <c r="BV162" i="24142"/>
  <c r="BV316" i="23917"/>
  <c r="DH148" i="24142"/>
  <c r="DH299" i="23917"/>
  <c r="DG102" i="24142"/>
  <c r="DG198" i="23917"/>
  <c r="BD126" i="24142"/>
  <c r="BD228" i="23917"/>
  <c r="BT126" i="24142"/>
  <c r="BT228" i="23917"/>
  <c r="V126" i="24142"/>
  <c r="V228" i="23917"/>
  <c r="AQ303" i="23917"/>
  <c r="AP152" i="24142"/>
  <c r="AP303" i="23917"/>
  <c r="O146" i="24142"/>
  <c r="O297" i="23917"/>
  <c r="BH148" i="24142"/>
  <c r="BH299" i="23917"/>
  <c r="BX146" i="24142"/>
  <c r="BX297" i="23917"/>
  <c r="DH145" i="24142"/>
  <c r="DH296" i="23917"/>
  <c r="AD162" i="24142"/>
  <c r="AD316" i="23917"/>
  <c r="O162" i="24142"/>
  <c r="O316" i="23917"/>
  <c r="M188" i="24142"/>
  <c r="L188" i="24142"/>
  <c r="L125" i="23917"/>
  <c r="L189" i="24142"/>
  <c r="L11" i="24142"/>
  <c r="L14" i="24142"/>
  <c r="L126" i="23917"/>
  <c r="L127" i="23917" s="1"/>
  <c r="BX188" i="24142"/>
  <c r="BX125" i="23917"/>
  <c r="DS141" i="24142"/>
  <c r="DS292" i="23917"/>
  <c r="AJ150" i="24142"/>
  <c r="AJ301" i="23917"/>
  <c r="DL140" i="24142"/>
  <c r="DL291" i="23917"/>
  <c r="DE240" i="24142"/>
  <c r="DE176" i="23917"/>
  <c r="DD245" i="24142"/>
  <c r="DD181" i="23917"/>
  <c r="DD134" i="23917"/>
  <c r="DT249" i="24142"/>
  <c r="DT183" i="23917"/>
  <c r="BE183" i="24142"/>
  <c r="BE120" i="23917"/>
  <c r="M213" i="24142"/>
  <c r="M151" i="23917"/>
  <c r="DT21" i="23917"/>
  <c r="DS21" i="23917"/>
  <c r="Y266" i="24142"/>
  <c r="Y331" i="23917"/>
  <c r="AG289" i="24142"/>
  <c r="AG355" i="23917"/>
  <c r="L318" i="24142"/>
  <c r="L384" i="23917"/>
  <c r="DC316" i="24142"/>
  <c r="DC382" i="23917"/>
  <c r="I457" i="24142"/>
  <c r="I523" i="23917"/>
  <c r="H464" i="24142"/>
  <c r="H530" i="23917"/>
  <c r="DP204" i="24142"/>
  <c r="DP175" i="24142"/>
  <c r="DP142" i="23917"/>
  <c r="DP112" i="23917"/>
  <c r="BD186" i="24142"/>
  <c r="BD123" i="23917"/>
  <c r="I177" i="24142"/>
  <c r="I114" i="23917"/>
  <c r="AO289" i="24142"/>
  <c r="AO355" i="23917"/>
  <c r="T214" i="24142"/>
  <c r="T152" i="23917"/>
  <c r="AZ214" i="24142"/>
  <c r="AZ152" i="23917"/>
  <c r="AK213" i="24142"/>
  <c r="AK151" i="23917"/>
  <c r="BI213" i="24142"/>
  <c r="BI151" i="23917"/>
  <c r="DU275" i="24142"/>
  <c r="DU340" i="23917"/>
  <c r="N367" i="24142"/>
  <c r="N433" i="23917"/>
  <c r="G418" i="24142"/>
  <c r="G484" i="23917"/>
  <c r="N420" i="24142"/>
  <c r="N486" i="23917"/>
  <c r="N421" i="24142"/>
  <c r="N487" i="23917"/>
  <c r="F456" i="24142"/>
  <c r="F522" i="23917"/>
  <c r="F457" i="24142"/>
  <c r="F523" i="23917"/>
  <c r="DF204" i="24142"/>
  <c r="DF175" i="24142"/>
  <c r="DF142" i="23917"/>
  <c r="DF112" i="23917"/>
  <c r="DV204" i="24142"/>
  <c r="DV175" i="24142"/>
  <c r="DV142" i="23917"/>
  <c r="DV112" i="23917"/>
  <c r="R186" i="24142"/>
  <c r="R123" i="23917"/>
  <c r="AH186" i="24142"/>
  <c r="AH123" i="23917"/>
  <c r="AY177" i="24142"/>
  <c r="AY114" i="23917"/>
  <c r="AX186" i="24142"/>
  <c r="AX123" i="23917"/>
  <c r="BO177" i="24142"/>
  <c r="BO114" i="23917"/>
  <c r="BN186" i="24142"/>
  <c r="BN123" i="23917"/>
  <c r="K183" i="24142"/>
  <c r="K120" i="23917"/>
  <c r="DG183" i="24142"/>
  <c r="DG120" i="23917"/>
  <c r="DO183" i="24142"/>
  <c r="DO120" i="23917"/>
  <c r="G266" i="24142"/>
  <c r="G331" i="23917"/>
  <c r="F286" i="24142"/>
  <c r="F352" i="23917"/>
  <c r="F275" i="24142"/>
  <c r="F340" i="23917"/>
  <c r="AD277" i="24142"/>
  <c r="AD342" i="23917"/>
  <c r="E289" i="24142"/>
  <c r="E355" i="23917"/>
  <c r="AJ278" i="24142"/>
  <c r="AJ12" i="24142"/>
  <c r="AJ343" i="23917"/>
  <c r="AJ344" i="23917" s="1"/>
  <c r="B331" i="24142"/>
  <c r="B397" i="23917"/>
  <c r="H371" i="24142"/>
  <c r="H437" i="23917"/>
  <c r="H351" i="24142"/>
  <c r="H417" i="23917"/>
  <c r="Y346" i="24142"/>
  <c r="Y412" i="23917"/>
  <c r="W411" i="24142"/>
  <c r="W477" i="23917"/>
  <c r="V432" i="24142"/>
  <c r="V498" i="23917"/>
  <c r="AH494" i="24142"/>
  <c r="AH17" i="24142"/>
  <c r="AH560" i="23917"/>
  <c r="AH561" i="23917" s="1"/>
  <c r="BB492" i="24142"/>
  <c r="BB559" i="23917"/>
  <c r="BR492" i="24142"/>
  <c r="BR559" i="23917"/>
  <c r="DL286" i="24142"/>
  <c r="DL352" i="23917"/>
  <c r="W289" i="24142"/>
  <c r="W355" i="23917"/>
  <c r="AQ289" i="24142"/>
  <c r="AQ355" i="23917"/>
  <c r="BC289" i="24142"/>
  <c r="BC355" i="23917"/>
  <c r="N277" i="24142"/>
  <c r="N342" i="23917"/>
  <c r="L7" i="24158"/>
  <c r="BR278" i="24142"/>
  <c r="BR12" i="24142"/>
  <c r="BR343" i="23917"/>
  <c r="BR344" i="23917" s="1"/>
  <c r="DH344" i="24142"/>
  <c r="DH410" i="23917"/>
  <c r="Y483" i="24142"/>
  <c r="Y549" i="23917"/>
  <c r="V492" i="24142"/>
  <c r="V559" i="23917"/>
  <c r="D327" i="24142"/>
  <c r="D393" i="23917"/>
  <c r="D316" i="24142"/>
  <c r="D382" i="23917"/>
  <c r="DL387" i="24142"/>
  <c r="DL453" i="23917"/>
  <c r="J371" i="24142"/>
  <c r="J437" i="23917"/>
  <c r="Z351" i="24142"/>
  <c r="Z417" i="23917"/>
  <c r="AA346" i="24142"/>
  <c r="AA412" i="23917"/>
  <c r="L418" i="24142"/>
  <c r="L484" i="23917"/>
  <c r="DJ483" i="24142"/>
  <c r="DJ549" i="23917"/>
  <c r="DM490" i="24142"/>
  <c r="DM557" i="23917"/>
  <c r="DQ490" i="24142"/>
  <c r="DQ557" i="23917"/>
  <c r="DU490" i="24142"/>
  <c r="DU557" i="23917"/>
  <c r="AX492" i="24142"/>
  <c r="AX559" i="23917"/>
  <c r="AY490" i="24142"/>
  <c r="AY557" i="23917"/>
  <c r="BN492" i="24142"/>
  <c r="BN559" i="23917"/>
  <c r="BO490" i="24142"/>
  <c r="BO557" i="23917"/>
  <c r="DT272" i="24142"/>
  <c r="DT337" i="23917"/>
  <c r="DS290" i="24142"/>
  <c r="DS356" i="23917"/>
  <c r="DJ385" i="24142"/>
  <c r="DJ451" i="23917"/>
  <c r="S392" i="24142"/>
  <c r="S458" i="23917"/>
  <c r="DP481" i="24142"/>
  <c r="DP547" i="23917"/>
  <c r="DJ488" i="24142"/>
  <c r="DJ555" i="23917"/>
  <c r="L490" i="24142"/>
  <c r="L557" i="23917"/>
  <c r="DH83" i="24142"/>
  <c r="DH87" i="23917"/>
  <c r="BP83" i="24142"/>
  <c r="BP87" i="23917"/>
  <c r="BQ89" i="23917"/>
  <c r="BP89" i="23917"/>
  <c r="AX89" i="24142"/>
  <c r="AX98" i="23917"/>
  <c r="AY99" i="23917"/>
  <c r="AX99" i="23917"/>
  <c r="DQ82" i="24142"/>
  <c r="DQ86" i="23917"/>
  <c r="DC83" i="24142"/>
  <c r="DC87" i="23917"/>
  <c r="DD88" i="24142"/>
  <c r="DC88" i="24142"/>
  <c r="BJ82" i="24142"/>
  <c r="BJ86" i="23917"/>
  <c r="D82" i="24142"/>
  <c r="D86" i="23917"/>
  <c r="E88" i="24142"/>
  <c r="D88" i="24142"/>
  <c r="AF86" i="24142"/>
  <c r="AF84" i="24142"/>
  <c r="AF88" i="23917"/>
  <c r="AG89" i="23917"/>
  <c r="AF89" i="23917"/>
  <c r="BH89" i="24142"/>
  <c r="BH98" i="23917"/>
  <c r="BI99" i="23917"/>
  <c r="BH99" i="23917"/>
  <c r="DH82" i="24142"/>
  <c r="DH86" i="23917"/>
  <c r="DQ83" i="24142"/>
  <c r="DQ87" i="23917"/>
  <c r="BB83" i="24142"/>
  <c r="BB87" i="23917"/>
  <c r="BB86" i="24142"/>
  <c r="BB84" i="24142"/>
  <c r="BB88" i="23917"/>
  <c r="DE86" i="24142"/>
  <c r="DE84" i="24142"/>
  <c r="DE88" i="23917"/>
  <c r="DE83" i="24142"/>
  <c r="DE87" i="23917"/>
  <c r="W91" i="23917"/>
  <c r="V91" i="23917"/>
  <c r="BJ115" i="24142"/>
  <c r="BJ211" i="23917"/>
  <c r="BK113" i="24142"/>
  <c r="BK209" i="23917"/>
  <c r="AN115" i="24142"/>
  <c r="AN211" i="23917"/>
  <c r="AQ126" i="24142"/>
  <c r="AQ228" i="23917"/>
  <c r="DX108" i="24142"/>
  <c r="DX204" i="23917"/>
  <c r="I113" i="24142"/>
  <c r="I209" i="23917"/>
  <c r="X116" i="24142"/>
  <c r="X10" i="24142"/>
  <c r="X8" i="24142"/>
  <c r="X212" i="23917"/>
  <c r="X213" i="23917" s="1"/>
  <c r="Y113" i="24142"/>
  <c r="Y209" i="23917"/>
  <c r="AM113" i="24142"/>
  <c r="AM209" i="23917"/>
  <c r="DR109" i="24142"/>
  <c r="DR205" i="23917"/>
  <c r="AZ115" i="24142"/>
  <c r="AZ211" i="23917"/>
  <c r="AZ116" i="24142"/>
  <c r="AZ8" i="24142"/>
  <c r="AZ212" i="23917"/>
  <c r="AZ213" i="23917" s="1"/>
  <c r="BP116" i="24142"/>
  <c r="BP8" i="24142"/>
  <c r="BP212" i="23917"/>
  <c r="BP213" i="23917" s="1"/>
  <c r="DO111" i="24142"/>
  <c r="DO207" i="23917"/>
  <c r="DV111" i="24142"/>
  <c r="DV207" i="23917"/>
  <c r="BK148" i="24142"/>
  <c r="BK299" i="23917"/>
  <c r="DR235" i="24142"/>
  <c r="DR171" i="23917"/>
  <c r="L273" i="23917"/>
  <c r="L221" i="23917"/>
  <c r="DJ101" i="24142"/>
  <c r="DJ197" i="23917"/>
  <c r="DV102" i="24142"/>
  <c r="DV198" i="23917"/>
  <c r="BB126" i="24142"/>
  <c r="BB228" i="23917"/>
  <c r="BR126" i="24142"/>
  <c r="BR228" i="23917"/>
  <c r="B126" i="24142"/>
  <c r="B228" i="23917"/>
  <c r="DM110" i="24142"/>
  <c r="DM206" i="23917"/>
  <c r="J153" i="24142"/>
  <c r="J9" i="24142"/>
  <c r="J304" i="23917"/>
  <c r="J305" i="23917" s="1"/>
  <c r="AN248" i="23917"/>
  <c r="DP144" i="24142"/>
  <c r="DP295" i="23917"/>
  <c r="AY146" i="24142"/>
  <c r="AY297" i="23917"/>
  <c r="BO146" i="24142"/>
  <c r="BO297" i="23917"/>
  <c r="AT153" i="24142"/>
  <c r="AT9" i="24142"/>
  <c r="AT304" i="23917"/>
  <c r="AT305" i="23917" s="1"/>
  <c r="B152" i="24142"/>
  <c r="B303" i="23917"/>
  <c r="AL153" i="24142"/>
  <c r="AL9" i="24142"/>
  <c r="AL304" i="23917"/>
  <c r="AL305" i="23917" s="1"/>
  <c r="AH152" i="24142"/>
  <c r="AH303" i="23917"/>
  <c r="AD248" i="23917"/>
  <c r="BH126" i="24142"/>
  <c r="BH228" i="23917"/>
  <c r="BX126" i="24142"/>
  <c r="BX228" i="23917"/>
  <c r="AD126" i="24142"/>
  <c r="AD228" i="23917"/>
  <c r="DV140" i="24142"/>
  <c r="DV291" i="23917"/>
  <c r="E140" i="24142"/>
  <c r="E291" i="23917"/>
  <c r="AV148" i="24142"/>
  <c r="AV299" i="23917"/>
  <c r="BM147" i="24142"/>
  <c r="BM298" i="23917"/>
  <c r="BL146" i="24142"/>
  <c r="BL297" i="23917"/>
  <c r="DE148" i="24142"/>
  <c r="DE299" i="23917"/>
  <c r="DI146" i="24142"/>
  <c r="DI297" i="23917"/>
  <c r="G146" i="24142"/>
  <c r="G297" i="23917"/>
  <c r="AH162" i="24142"/>
  <c r="AH316" i="23917"/>
  <c r="S162" i="24142"/>
  <c r="S316" i="23917"/>
  <c r="D189" i="24142"/>
  <c r="D14" i="24142"/>
  <c r="D11" i="24142"/>
  <c r="D126" i="23917"/>
  <c r="D127" i="23917" s="1"/>
  <c r="BP189" i="24142"/>
  <c r="BP14" i="24142"/>
  <c r="BP11" i="24142"/>
  <c r="BP126" i="23917"/>
  <c r="BP127" i="23917" s="1"/>
  <c r="DG141" i="24142"/>
  <c r="DG292" i="23917"/>
  <c r="DD150" i="24142"/>
  <c r="DD301" i="23917"/>
  <c r="N226" i="24142"/>
  <c r="N164" i="23917"/>
  <c r="DH210" i="24142"/>
  <c r="DH148" i="23917"/>
  <c r="DE146" i="24142"/>
  <c r="DE297" i="23917"/>
  <c r="C146" i="24142"/>
  <c r="C297" i="23917"/>
  <c r="DI286" i="24142"/>
  <c r="DI352" i="23917"/>
  <c r="I286" i="24142"/>
  <c r="I352" i="23917"/>
  <c r="DO286" i="24142"/>
  <c r="DO352" i="23917"/>
  <c r="DT266" i="24142"/>
  <c r="DT331" i="23917"/>
  <c r="DT204" i="24142"/>
  <c r="DT175" i="24142"/>
  <c r="DT142" i="23917"/>
  <c r="DT112" i="23917"/>
  <c r="BL186" i="24142"/>
  <c r="BL123" i="23917"/>
  <c r="M289" i="24142"/>
  <c r="M355" i="23917"/>
  <c r="AN278" i="24142"/>
  <c r="AN12" i="24142"/>
  <c r="AN343" i="23917"/>
  <c r="AN344" i="23917" s="1"/>
  <c r="M7" i="24158"/>
  <c r="BT278" i="24142"/>
  <c r="BT12" i="24142"/>
  <c r="BT343" i="23917"/>
  <c r="BT344" i="23917" s="1"/>
  <c r="L433" i="24142"/>
  <c r="L499" i="23917"/>
  <c r="M183" i="24142"/>
  <c r="M120" i="23917"/>
  <c r="AS183" i="24142"/>
  <c r="AS120" i="23917"/>
  <c r="BX214" i="24142"/>
  <c r="BX152" i="23917"/>
  <c r="BA289" i="24142"/>
  <c r="BA355" i="23917"/>
  <c r="DE351" i="24142"/>
  <c r="DE417" i="23917"/>
  <c r="E416" i="24142"/>
  <c r="E482" i="23917"/>
  <c r="V186" i="24142"/>
  <c r="V123" i="23917"/>
  <c r="BB186" i="24142"/>
  <c r="BB123" i="23917"/>
  <c r="B213" i="24142"/>
  <c r="B151" i="23917"/>
  <c r="B186" i="24142"/>
  <c r="B123" i="23917"/>
  <c r="C183" i="24142"/>
  <c r="C120" i="23917"/>
  <c r="DM183" i="24142"/>
  <c r="DM120" i="23917"/>
  <c r="DU183" i="24142"/>
  <c r="DU120" i="23917"/>
  <c r="DE275" i="24142"/>
  <c r="DE340" i="23917"/>
  <c r="DL266" i="24142"/>
  <c r="DL331" i="23917"/>
  <c r="DM275" i="24142"/>
  <c r="DM340" i="23917"/>
  <c r="BM289" i="24142"/>
  <c r="BM355" i="23917"/>
  <c r="DI270" i="24142"/>
  <c r="DI335" i="23917"/>
  <c r="B318" i="24142"/>
  <c r="B384" i="23917"/>
  <c r="DD432" i="24142"/>
  <c r="DD498" i="23917"/>
  <c r="BK286" i="24142"/>
  <c r="BK352" i="23917"/>
  <c r="DE270" i="24142"/>
  <c r="DE335" i="23917"/>
  <c r="F316" i="24142"/>
  <c r="F382" i="23917"/>
  <c r="M346" i="24142"/>
  <c r="M412" i="23917"/>
  <c r="AB371" i="24142"/>
  <c r="AB437" i="23917"/>
  <c r="AB351" i="24142"/>
  <c r="AB417" i="23917"/>
  <c r="B433" i="24142"/>
  <c r="B499" i="23917"/>
  <c r="B432" i="24142"/>
  <c r="B498" i="23917"/>
  <c r="Z433" i="24142"/>
  <c r="Z499" i="23917"/>
  <c r="Z432" i="24142"/>
  <c r="Z498" i="23917"/>
  <c r="R494" i="24142"/>
  <c r="R17" i="24142"/>
  <c r="R560" i="23917"/>
  <c r="R561" i="23917" s="1"/>
  <c r="R492" i="24142"/>
  <c r="R559" i="23917"/>
  <c r="V277" i="24142"/>
  <c r="V342" i="23917"/>
  <c r="BZ278" i="24142"/>
  <c r="BZ12" i="24142"/>
  <c r="BZ343" i="23917"/>
  <c r="BZ344" i="23917" s="1"/>
  <c r="BZ277" i="24142"/>
  <c r="BZ342" i="23917"/>
  <c r="DK351" i="24142"/>
  <c r="DK417" i="23917"/>
  <c r="H490" i="24142"/>
  <c r="H557" i="23917"/>
  <c r="P490" i="24142"/>
  <c r="P557" i="23917"/>
  <c r="DL269" i="24142"/>
  <c r="DL334" i="23917"/>
  <c r="DJ269" i="24142"/>
  <c r="DJ334" i="23917"/>
  <c r="AY270" i="24142"/>
  <c r="AY335" i="23917"/>
  <c r="BO270" i="24142"/>
  <c r="BO335" i="23917"/>
  <c r="DL385" i="24142"/>
  <c r="DL451" i="23917"/>
  <c r="N368" i="24142"/>
  <c r="N434" i="23917"/>
  <c r="N351" i="24142"/>
  <c r="N417" i="23917"/>
  <c r="J494" i="24142"/>
  <c r="J17" i="24142"/>
  <c r="J560" i="23917"/>
  <c r="J561" i="23917" s="1"/>
  <c r="J492" i="24142"/>
  <c r="J559" i="23917"/>
  <c r="AC270" i="24142"/>
  <c r="AC335" i="23917"/>
  <c r="T383" i="24142"/>
  <c r="T449" i="23917"/>
  <c r="R393" i="24142"/>
  <c r="R459" i="23917"/>
  <c r="AE490" i="24142"/>
  <c r="AE557" i="23917"/>
  <c r="AD494" i="24142"/>
  <c r="AD17" i="24142"/>
  <c r="AD560" i="23917"/>
  <c r="AD561" i="23917" s="1"/>
  <c r="O488" i="24142"/>
  <c r="O555" i="23917"/>
  <c r="BA490" i="24142"/>
  <c r="BA557" i="23917"/>
  <c r="DS483" i="24142"/>
  <c r="DS549" i="23917"/>
  <c r="AV490" i="24142"/>
  <c r="AV557" i="23917"/>
  <c r="BT490" i="24142"/>
  <c r="BT557" i="23917"/>
  <c r="T490" i="24142"/>
  <c r="T557" i="23917"/>
  <c r="BX86" i="24142"/>
  <c r="BX84" i="24142"/>
  <c r="BX88" i="23917"/>
  <c r="DT94" i="23917"/>
  <c r="DS94" i="23917"/>
  <c r="AC82" i="24142"/>
  <c r="AC86" i="23917"/>
  <c r="AV82" i="24142"/>
  <c r="AV86" i="23917"/>
  <c r="BL82" i="24142"/>
  <c r="BL86" i="23917"/>
  <c r="AV83" i="24142"/>
  <c r="AV87" i="23917"/>
  <c r="AB89" i="24142"/>
  <c r="AB98" i="23917"/>
  <c r="AL89" i="24142"/>
  <c r="AL98" i="23917"/>
  <c r="AM99" i="23917"/>
  <c r="AL99" i="23917"/>
  <c r="DP95" i="23917"/>
  <c r="DO95" i="23917"/>
  <c r="AQ89" i="23917"/>
  <c r="AP89" i="23917"/>
  <c r="BS89" i="23917"/>
  <c r="BR89" i="23917"/>
  <c r="BS88" i="24142"/>
  <c r="BR88" i="24142"/>
  <c r="DU82" i="24142"/>
  <c r="DU86" i="23917"/>
  <c r="Q89" i="23917"/>
  <c r="P89" i="23917"/>
  <c r="AH82" i="24142"/>
  <c r="AH86" i="23917"/>
  <c r="AH83" i="24142"/>
  <c r="AH87" i="23917"/>
  <c r="DU83" i="24142"/>
  <c r="DU87" i="23917"/>
  <c r="BJ83" i="24142"/>
  <c r="BJ87" i="23917"/>
  <c r="BB116" i="24142"/>
  <c r="BB8" i="24142"/>
  <c r="BB212" i="23917"/>
  <c r="BB213" i="23917" s="1"/>
  <c r="BR116" i="24142"/>
  <c r="BR8" i="24142"/>
  <c r="BR212" i="23917"/>
  <c r="BR213" i="23917" s="1"/>
  <c r="P116" i="24142"/>
  <c r="P10" i="24142"/>
  <c r="P8" i="24142"/>
  <c r="P212" i="23917"/>
  <c r="P213" i="23917" s="1"/>
  <c r="Q113" i="24142"/>
  <c r="Q209" i="23917"/>
  <c r="AV115" i="24142"/>
  <c r="AV211" i="23917"/>
  <c r="BL115" i="24142"/>
  <c r="BL211" i="23917"/>
  <c r="BL116" i="24142"/>
  <c r="BL8" i="24142"/>
  <c r="BL212" i="23917"/>
  <c r="BL213" i="23917" s="1"/>
  <c r="E113" i="24142"/>
  <c r="E209" i="23917"/>
  <c r="T115" i="24142"/>
  <c r="T211" i="23917"/>
  <c r="U113" i="24142"/>
  <c r="U209" i="23917"/>
  <c r="AR115" i="24142"/>
  <c r="AR211" i="23917"/>
  <c r="AS113" i="24142"/>
  <c r="AS209" i="23917"/>
  <c r="DI104" i="24142"/>
  <c r="DI200" i="23917"/>
  <c r="B115" i="24142"/>
  <c r="B211" i="23917"/>
  <c r="C113" i="24142"/>
  <c r="C209" i="23917"/>
  <c r="R115" i="24142"/>
  <c r="R211" i="23917"/>
  <c r="AH115" i="24142"/>
  <c r="AH211" i="23917"/>
  <c r="DJ111" i="24142"/>
  <c r="DJ207" i="23917"/>
  <c r="BC148" i="24142"/>
  <c r="BC299" i="23917"/>
  <c r="BR162" i="24142"/>
  <c r="BR316" i="23917"/>
  <c r="V152" i="24142"/>
  <c r="V303" i="23917"/>
  <c r="N248" i="23917"/>
  <c r="DG258" i="23917"/>
  <c r="DG220" i="23917"/>
  <c r="DS110" i="24142"/>
  <c r="DS206" i="23917"/>
  <c r="BV126" i="24142"/>
  <c r="BV228" i="23917"/>
  <c r="DG110" i="24142"/>
  <c r="DG206" i="23917"/>
  <c r="M126" i="24142"/>
  <c r="M228" i="23917"/>
  <c r="N152" i="24142"/>
  <c r="N303" i="23917"/>
  <c r="Y162" i="24142"/>
  <c r="Y316" i="23917"/>
  <c r="AY148" i="24142"/>
  <c r="AY299" i="23917"/>
  <c r="BG148" i="24142"/>
  <c r="BG299" i="23917"/>
  <c r="BO148" i="24142"/>
  <c r="BO299" i="23917"/>
  <c r="DE113" i="24142"/>
  <c r="DE209" i="23917"/>
  <c r="AV126" i="24142"/>
  <c r="AV228" i="23917"/>
  <c r="BL126" i="24142"/>
  <c r="BL228" i="23917"/>
  <c r="F126" i="24142"/>
  <c r="F228" i="23917"/>
  <c r="T152" i="24142"/>
  <c r="T303" i="23917"/>
  <c r="AZ148" i="24142"/>
  <c r="AZ299" i="23917"/>
  <c r="BP146" i="24142"/>
  <c r="BP297" i="23917"/>
  <c r="DL147" i="24142"/>
  <c r="DL298" i="23917"/>
  <c r="V162" i="24142"/>
  <c r="V316" i="23917"/>
  <c r="AO146" i="24142"/>
  <c r="AO297" i="23917"/>
  <c r="DX249" i="24142"/>
  <c r="DX183" i="23917"/>
  <c r="BH189" i="24142"/>
  <c r="BH11" i="24142"/>
  <c r="BH126" i="23917"/>
  <c r="BH127" i="23917" s="1"/>
  <c r="DL138" i="24142"/>
  <c r="DL289" i="23917"/>
  <c r="I148" i="24142"/>
  <c r="I299" i="23917"/>
  <c r="EA232" i="24142"/>
  <c r="CT232" i="24142"/>
  <c r="DJ147" i="24142"/>
  <c r="DJ298" i="23917"/>
  <c r="AB162" i="24142"/>
  <c r="AB316" i="23917"/>
  <c r="DF138" i="24142"/>
  <c r="DF289" i="23917"/>
  <c r="E213" i="24142"/>
  <c r="E151" i="23917"/>
  <c r="U213" i="24142"/>
  <c r="U151" i="23917"/>
  <c r="R284" i="24142"/>
  <c r="R350" i="23917"/>
  <c r="AG286" i="24142"/>
  <c r="AG352" i="23917"/>
  <c r="AR275" i="24142"/>
  <c r="AR340" i="23917"/>
  <c r="BI289" i="24142"/>
  <c r="BI355" i="23917"/>
  <c r="BN284" i="24142"/>
  <c r="BN350" i="23917"/>
  <c r="DF314" i="24142"/>
  <c r="DF380" i="23917"/>
  <c r="DX204" i="24142"/>
  <c r="DX175" i="24142"/>
  <c r="DX142" i="23917"/>
  <c r="DX112" i="23917"/>
  <c r="BT186" i="24142"/>
  <c r="BT123" i="23917"/>
  <c r="DG275" i="24142"/>
  <c r="DG340" i="23917"/>
  <c r="M290" i="24142"/>
  <c r="M356" i="23917"/>
  <c r="L277" i="24142"/>
  <c r="L342" i="23917"/>
  <c r="L278" i="24142"/>
  <c r="L12" i="24142"/>
  <c r="L343" i="23917"/>
  <c r="T277" i="24142"/>
  <c r="T342" i="23917"/>
  <c r="T278" i="24142"/>
  <c r="T12" i="24142"/>
  <c r="T343" i="23917"/>
  <c r="T344" i="23917" s="1"/>
  <c r="Z284" i="24142"/>
  <c r="Z350" i="23917"/>
  <c r="N396" i="24142"/>
  <c r="N462" i="23917"/>
  <c r="D420" i="24142"/>
  <c r="D486" i="23917"/>
  <c r="T420" i="24142"/>
  <c r="T486" i="23917"/>
  <c r="E183" i="24142"/>
  <c r="E120" i="23917"/>
  <c r="AK183" i="24142"/>
  <c r="AK120" i="23917"/>
  <c r="BP214" i="24142"/>
  <c r="BP152" i="23917"/>
  <c r="AZ275" i="24142"/>
  <c r="AZ340" i="23917"/>
  <c r="K7" i="24158"/>
  <c r="BP278" i="24142"/>
  <c r="BP12" i="24142"/>
  <c r="BP343" i="23917"/>
  <c r="BP344" i="23917" s="1"/>
  <c r="DH271" i="24142"/>
  <c r="DH336" i="23917"/>
  <c r="H318" i="24142"/>
  <c r="H384" i="23917"/>
  <c r="J186" i="24142"/>
  <c r="J123" i="23917"/>
  <c r="Z186" i="24142"/>
  <c r="Z123" i="23917"/>
  <c r="Z214" i="24142"/>
  <c r="Z152" i="23917"/>
  <c r="AP186" i="24142"/>
  <c r="AP123" i="23917"/>
  <c r="BF186" i="24142"/>
  <c r="BF123" i="23917"/>
  <c r="BF214" i="24142"/>
  <c r="BF152" i="23917"/>
  <c r="BV186" i="24142"/>
  <c r="BV123" i="23917"/>
  <c r="G177" i="24142"/>
  <c r="G114" i="23917"/>
  <c r="AA183" i="24142"/>
  <c r="AA120" i="23917"/>
  <c r="BG183" i="24142"/>
  <c r="BG120" i="23917"/>
  <c r="AE286" i="24142"/>
  <c r="AE352" i="23917"/>
  <c r="Q289" i="24142"/>
  <c r="Q355" i="23917"/>
  <c r="AV275" i="24142"/>
  <c r="AV340" i="23917"/>
  <c r="DZ271" i="24142"/>
  <c r="DZ336" i="23917"/>
  <c r="P421" i="24142"/>
  <c r="P487" i="23917"/>
  <c r="X421" i="24142"/>
  <c r="X487" i="23917"/>
  <c r="DF433" i="24142"/>
  <c r="DF499" i="23917"/>
  <c r="AY286" i="24142"/>
  <c r="AY352" i="23917"/>
  <c r="J327" i="24142"/>
  <c r="J393" i="23917"/>
  <c r="DG306" i="24142"/>
  <c r="DG372" i="23917"/>
  <c r="E311" i="24142"/>
  <c r="E377" i="23917"/>
  <c r="P368" i="24142"/>
  <c r="P434" i="23917"/>
  <c r="Q346" i="24142"/>
  <c r="Q412" i="23917"/>
  <c r="J433" i="24142"/>
  <c r="J499" i="23917"/>
  <c r="J432" i="24142"/>
  <c r="J498" i="23917"/>
  <c r="AU490" i="24142"/>
  <c r="AU557" i="23917"/>
  <c r="AT494" i="24142"/>
  <c r="AT17" i="24142"/>
  <c r="AT560" i="23917"/>
  <c r="AT561" i="23917" s="1"/>
  <c r="BK490" i="24142"/>
  <c r="BK557" i="23917"/>
  <c r="BJ494" i="24142"/>
  <c r="BJ17" i="24142"/>
  <c r="BJ560" i="23917"/>
  <c r="BJ561" i="23917" s="1"/>
  <c r="AI289" i="24142"/>
  <c r="AI355" i="23917"/>
  <c r="AU289" i="24142"/>
  <c r="AU355" i="23917"/>
  <c r="DR289" i="24142"/>
  <c r="DR355" i="23917"/>
  <c r="AL277" i="24142"/>
  <c r="AL342" i="23917"/>
  <c r="M392" i="24142"/>
  <c r="M458" i="23917"/>
  <c r="AO483" i="24142"/>
  <c r="AO549" i="23917"/>
  <c r="AN490" i="24142"/>
  <c r="AN557" i="23917"/>
  <c r="AM490" i="24142"/>
  <c r="AM557" i="23917"/>
  <c r="AL494" i="24142"/>
  <c r="AL17" i="24142"/>
  <c r="AL560" i="23917"/>
  <c r="AL561" i="23917" s="1"/>
  <c r="BC270" i="24142"/>
  <c r="BC335" i="23917"/>
  <c r="B351" i="24142"/>
  <c r="B417" i="23917"/>
  <c r="C346" i="24142"/>
  <c r="C412" i="23917"/>
  <c r="R371" i="24142"/>
  <c r="R437" i="23917"/>
  <c r="DD415" i="24142"/>
  <c r="DD481" i="23917"/>
  <c r="AP492" i="24142"/>
  <c r="AP559" i="23917"/>
  <c r="AQ490" i="24142"/>
  <c r="AQ557" i="23917"/>
  <c r="BF492" i="24142"/>
  <c r="BF559" i="23917"/>
  <c r="BG490" i="24142"/>
  <c r="BG557" i="23917"/>
  <c r="BV492" i="24142"/>
  <c r="BV559" i="23917"/>
  <c r="AO270" i="24142"/>
  <c r="AO335" i="23917"/>
  <c r="DL272" i="24142"/>
  <c r="DL337" i="23917"/>
  <c r="DK290" i="24142"/>
  <c r="DK356" i="23917"/>
  <c r="AK273" i="24142"/>
  <c r="AK338" i="23917"/>
  <c r="DG389" i="24142"/>
  <c r="DG455" i="23917"/>
  <c r="DG394" i="24142"/>
  <c r="DG460" i="23917"/>
  <c r="K392" i="24142"/>
  <c r="K458" i="23917"/>
  <c r="AA392" i="24142"/>
  <c r="AA458" i="23917"/>
  <c r="DL392" i="24142"/>
  <c r="DL458" i="23917"/>
  <c r="DG483" i="24142"/>
  <c r="DG549" i="23917"/>
  <c r="BE488" i="24142"/>
  <c r="BE555" i="23917"/>
  <c r="DQ488" i="24142"/>
  <c r="DQ555" i="23917"/>
  <c r="AC483" i="24142"/>
  <c r="AC549" i="23917"/>
  <c r="DJ82" i="24142"/>
  <c r="DJ86" i="23917"/>
  <c r="AC88" i="24142"/>
  <c r="AB88" i="24142"/>
  <c r="AP89" i="24142"/>
  <c r="AP98" i="23917"/>
  <c r="BZ83" i="24142"/>
  <c r="BZ87" i="23917"/>
  <c r="BZ84" i="24142"/>
  <c r="BZ86" i="24142"/>
  <c r="BZ88" i="23917"/>
  <c r="BB82" i="24142"/>
  <c r="BB86" i="23917"/>
  <c r="AJ82" i="24142"/>
  <c r="AJ86" i="23917"/>
  <c r="AJ83" i="24142"/>
  <c r="AJ87" i="23917"/>
  <c r="Z89" i="24142"/>
  <c r="Z98" i="23917"/>
  <c r="AJ89" i="24142"/>
  <c r="AJ98" i="23917"/>
  <c r="AK99" i="23917"/>
  <c r="AJ99" i="23917"/>
  <c r="BV83" i="24142"/>
  <c r="BV87" i="23917"/>
  <c r="O91" i="23917"/>
  <c r="N91" i="23917"/>
  <c r="DE463" i="24142"/>
  <c r="DE529" i="23917"/>
  <c r="AF278" i="24142"/>
  <c r="AF12" i="24142"/>
  <c r="AF343" i="23917"/>
  <c r="AF344" i="23917" s="1"/>
  <c r="BD277" i="24142"/>
  <c r="BD342" i="23917"/>
  <c r="DQ113" i="24142"/>
  <c r="DQ209" i="23917"/>
  <c r="DG219" i="23917"/>
  <c r="DG245" i="23917"/>
  <c r="DC236" i="24142"/>
  <c r="DC172" i="23917"/>
  <c r="DI420" i="24142"/>
  <c r="DI486" i="23917"/>
  <c r="BZ113" i="24142"/>
  <c r="BZ209" i="23917"/>
  <c r="AG126" i="24142"/>
  <c r="AG228" i="23917"/>
  <c r="D150" i="24142"/>
  <c r="D301" i="23917"/>
  <c r="I183" i="24142"/>
  <c r="I120" i="23917"/>
  <c r="AO183" i="24142"/>
  <c r="AO120" i="23917"/>
  <c r="BS356" i="23917"/>
  <c r="BS290" i="24142"/>
  <c r="I469" i="24142"/>
  <c r="I535" i="23917"/>
  <c r="AC488" i="24142"/>
  <c r="AC555" i="23917"/>
  <c r="DI236" i="24142"/>
  <c r="DI172" i="23917"/>
  <c r="AM183" i="24142"/>
  <c r="AM120" i="23917"/>
  <c r="AU290" i="24142"/>
  <c r="AU356" i="23917"/>
  <c r="BJ275" i="24142"/>
  <c r="BJ340" i="23917"/>
  <c r="BU335" i="23917"/>
  <c r="BU270" i="24142"/>
  <c r="BS273" i="24142"/>
  <c r="BS338" i="23917"/>
  <c r="CV246" i="24142"/>
  <c r="CU246" i="24142"/>
  <c r="DH109" i="24142"/>
  <c r="DH205" i="23917"/>
  <c r="DX109" i="24142"/>
  <c r="DX205" i="23917"/>
  <c r="BZ162" i="24142"/>
  <c r="BZ316" i="23917"/>
  <c r="BZ126" i="24142"/>
  <c r="BZ228" i="23917"/>
  <c r="E126" i="24142"/>
  <c r="E228" i="23917"/>
  <c r="AK126" i="24142"/>
  <c r="AK228" i="23917"/>
  <c r="DD111" i="24142"/>
  <c r="DD207" i="23917"/>
  <c r="DP102" i="24142"/>
  <c r="DP198" i="23917"/>
  <c r="DJ144" i="24142"/>
  <c r="DJ295" i="23917"/>
  <c r="DZ144" i="24142"/>
  <c r="DZ295" i="23917"/>
  <c r="DH235" i="24142"/>
  <c r="DH171" i="23917"/>
  <c r="DL249" i="24142"/>
  <c r="DL183" i="23917"/>
  <c r="DF249" i="24142"/>
  <c r="DF183" i="23917"/>
  <c r="I456" i="24142"/>
  <c r="I522" i="23917"/>
  <c r="DF210" i="24142"/>
  <c r="DF148" i="23917"/>
  <c r="U286" i="24142"/>
  <c r="U352" i="23917"/>
  <c r="AZ213" i="24142"/>
  <c r="AZ151" i="23917"/>
  <c r="AW290" i="24142"/>
  <c r="AW356" i="23917"/>
  <c r="DI290" i="24142"/>
  <c r="DI356" i="23917"/>
  <c r="N366" i="24142"/>
  <c r="N432" i="23917"/>
  <c r="O433" i="24142"/>
  <c r="O499" i="23917"/>
  <c r="E286" i="24142"/>
  <c r="E352" i="23917"/>
  <c r="AC286" i="24142"/>
  <c r="AC352" i="23917"/>
  <c r="AW286" i="24142"/>
  <c r="AW352" i="23917"/>
  <c r="BI290" i="24142"/>
  <c r="BI356" i="23917"/>
  <c r="DD328" i="24142"/>
  <c r="DD394" i="23917"/>
  <c r="W286" i="24142"/>
  <c r="W352" i="23917"/>
  <c r="BG286" i="24142"/>
  <c r="BG352" i="23917"/>
  <c r="I270" i="24142"/>
  <c r="I335" i="23917"/>
  <c r="DZ273" i="24142"/>
  <c r="DZ338" i="23917"/>
  <c r="W273" i="24142"/>
  <c r="W338" i="23917"/>
  <c r="DF303" i="24142"/>
  <c r="DF369" i="23917"/>
  <c r="DJ432" i="24142"/>
  <c r="DJ498" i="23917"/>
  <c r="DX271" i="24142"/>
  <c r="DX336" i="23917"/>
  <c r="G311" i="24142"/>
  <c r="G377" i="23917"/>
  <c r="U411" i="24142"/>
  <c r="U477" i="23917"/>
  <c r="BI273" i="24142"/>
  <c r="BI338" i="23917"/>
  <c r="AQ290" i="24142"/>
  <c r="AQ356" i="23917"/>
  <c r="C392" i="24142"/>
  <c r="C458" i="23917"/>
  <c r="AO488" i="24142"/>
  <c r="AO555" i="23917"/>
  <c r="G488" i="24142"/>
  <c r="G555" i="23917"/>
  <c r="DR487" i="24142"/>
  <c r="DR553" i="23917"/>
  <c r="S82" i="24142"/>
  <c r="S86" i="23917"/>
  <c r="M89" i="24142"/>
  <c r="M98" i="23917"/>
  <c r="U89" i="24142"/>
  <c r="U98" i="23917"/>
  <c r="U82" i="24142"/>
  <c r="U86" i="23917"/>
  <c r="DF82" i="24142"/>
  <c r="DF86" i="23917"/>
  <c r="C488" i="24142"/>
  <c r="C555" i="23917"/>
  <c r="O83" i="24142"/>
  <c r="O87" i="23917"/>
  <c r="W89" i="24142"/>
  <c r="W98" i="23917"/>
  <c r="DQ111" i="24142"/>
  <c r="DQ207" i="23917"/>
  <c r="DU111" i="24142"/>
  <c r="DU207" i="23917"/>
  <c r="AR150" i="24142"/>
  <c r="AR301" i="23917"/>
  <c r="DZ235" i="24142"/>
  <c r="DZ171" i="23917"/>
  <c r="Q183" i="24142"/>
  <c r="Q120" i="23917"/>
  <c r="AW183" i="24142"/>
  <c r="AW120" i="23917"/>
  <c r="DV487" i="24142"/>
  <c r="DV553" i="23917"/>
  <c r="AU183" i="24142"/>
  <c r="AU120" i="23917"/>
  <c r="BM270" i="24142"/>
  <c r="BM335" i="23917"/>
  <c r="DX487" i="24142"/>
  <c r="DX553" i="23917"/>
  <c r="CX259" i="23917"/>
  <c r="CW259" i="23917"/>
  <c r="DZ108" i="24142"/>
  <c r="DZ204" i="23917"/>
  <c r="DT109" i="24142"/>
  <c r="DT205" i="23917"/>
  <c r="DQ104" i="24142"/>
  <c r="DQ200" i="23917"/>
  <c r="Q162" i="24142"/>
  <c r="Q316" i="23917"/>
  <c r="DH111" i="24142"/>
  <c r="DH207" i="23917"/>
  <c r="DS104" i="24142"/>
  <c r="DS200" i="23917"/>
  <c r="DN144" i="24142"/>
  <c r="DN295" i="23917"/>
  <c r="DD145" i="24142"/>
  <c r="DD296" i="23917"/>
  <c r="DD235" i="24142"/>
  <c r="DD171" i="23917"/>
  <c r="DD249" i="24142"/>
  <c r="DD183" i="23917"/>
  <c r="DP249" i="24142"/>
  <c r="DP183" i="23917"/>
  <c r="DF145" i="24142"/>
  <c r="DF296" i="23917"/>
  <c r="DJ210" i="24142"/>
  <c r="DJ148" i="23917"/>
  <c r="AE290" i="24142"/>
  <c r="AE356" i="23917"/>
  <c r="AG290" i="24142"/>
  <c r="AG356" i="23917"/>
  <c r="G432" i="24142"/>
  <c r="G498" i="23917"/>
  <c r="DJ433" i="24142"/>
  <c r="DJ499" i="23917"/>
  <c r="Q286" i="24142"/>
  <c r="Q352" i="23917"/>
  <c r="DM290" i="24142"/>
  <c r="DM356" i="23917"/>
  <c r="Y433" i="24142"/>
  <c r="Y499" i="23917"/>
  <c r="DL265" i="24142"/>
  <c r="DL330" i="23917"/>
  <c r="AA286" i="24142"/>
  <c r="AA352" i="23917"/>
  <c r="AU286" i="24142"/>
  <c r="AU352" i="23917"/>
  <c r="L344" i="23917"/>
  <c r="DG311" i="24142"/>
  <c r="DG377" i="23917"/>
  <c r="E392" i="24142"/>
  <c r="E458" i="23917"/>
  <c r="DF432" i="24142"/>
  <c r="DF498" i="23917"/>
  <c r="DT271" i="24142"/>
  <c r="DT336" i="23917"/>
  <c r="Q411" i="24142"/>
  <c r="Q477" i="23917"/>
  <c r="Y270" i="24142"/>
  <c r="Y335" i="23917"/>
  <c r="DR272" i="24142"/>
  <c r="DR337" i="23917"/>
  <c r="AF275" i="24142"/>
  <c r="AF340" i="23917"/>
  <c r="BD275" i="24142"/>
  <c r="BD340" i="23917"/>
  <c r="S290" i="24142"/>
  <c r="S356" i="23917"/>
  <c r="G392" i="24142"/>
  <c r="G458" i="23917"/>
  <c r="DD416" i="24142"/>
  <c r="DD482" i="23917"/>
  <c r="AG488" i="24142"/>
  <c r="AG555" i="23917"/>
  <c r="DX488" i="24142"/>
  <c r="DX555" i="23917"/>
  <c r="DD89" i="24142"/>
  <c r="DD98" i="23917"/>
  <c r="W82" i="24142"/>
  <c r="W86" i="23917"/>
  <c r="M83" i="24142"/>
  <c r="M87" i="23917"/>
  <c r="S89" i="24142"/>
  <c r="S98" i="23917"/>
  <c r="DJ270" i="23917"/>
  <c r="DI270" i="23917"/>
  <c r="F116" i="24142"/>
  <c r="F8" i="24142"/>
  <c r="F212" i="23917"/>
  <c r="F213" i="23917" s="1"/>
  <c r="AJ115" i="24142"/>
  <c r="AJ211" i="23917"/>
  <c r="BH115" i="24142"/>
  <c r="BH211" i="23917"/>
  <c r="M113" i="24142"/>
  <c r="M209" i="23917"/>
  <c r="AB115" i="24142"/>
  <c r="AB211" i="23917"/>
  <c r="DL144" i="24142"/>
  <c r="DL295" i="23917"/>
  <c r="AJ273" i="23917"/>
  <c r="AJ221" i="23917"/>
  <c r="DN102" i="24142"/>
  <c r="DN198" i="23917"/>
  <c r="R126" i="24142"/>
  <c r="R228" i="23917"/>
  <c r="DU141" i="24142"/>
  <c r="DU292" i="23917"/>
  <c r="DF235" i="24142"/>
  <c r="DF171" i="23917"/>
  <c r="Y303" i="23917"/>
  <c r="X152" i="24142"/>
  <c r="X303" i="23917"/>
  <c r="R153" i="24142"/>
  <c r="R9" i="24142"/>
  <c r="R304" i="23917"/>
  <c r="R305" i="23917" s="1"/>
  <c r="Q148" i="24142"/>
  <c r="Q299" i="23917"/>
  <c r="BE147" i="24142"/>
  <c r="BE298" i="23917"/>
  <c r="BD146" i="24142"/>
  <c r="BD297" i="23917"/>
  <c r="BT148" i="24142"/>
  <c r="BT299" i="23917"/>
  <c r="DO148" i="24142"/>
  <c r="DO299" i="23917"/>
  <c r="AA146" i="24142"/>
  <c r="AA297" i="23917"/>
  <c r="K162" i="24142"/>
  <c r="K316" i="23917"/>
  <c r="DG251" i="24142"/>
  <c r="DG185" i="23917"/>
  <c r="U188" i="24142"/>
  <c r="T188" i="24142"/>
  <c r="T125" i="23917"/>
  <c r="T189" i="24142"/>
  <c r="T11" i="24142"/>
  <c r="T14" i="24142"/>
  <c r="T126" i="23917"/>
  <c r="T127" i="23917" s="1"/>
  <c r="AZ189" i="24142"/>
  <c r="AZ11" i="24142"/>
  <c r="AZ126" i="23917"/>
  <c r="AZ127" i="23917" s="1"/>
  <c r="DO141" i="24142"/>
  <c r="DO292" i="23917"/>
  <c r="AG148" i="24142"/>
  <c r="AG299" i="23917"/>
  <c r="DD231" i="24142"/>
  <c r="DD169" i="23917"/>
  <c r="DD133" i="23917"/>
  <c r="DM148" i="24142"/>
  <c r="DM299" i="23917"/>
  <c r="AF162" i="24142"/>
  <c r="AF316" i="23917"/>
  <c r="DJ138" i="24142"/>
  <c r="DJ289" i="23917"/>
  <c r="DJ226" i="24142"/>
  <c r="DJ164" i="23917"/>
  <c r="BL214" i="24142"/>
  <c r="BL152" i="23917"/>
  <c r="DP21" i="23917"/>
  <c r="DO21" i="23917"/>
  <c r="H277" i="24142"/>
  <c r="H342" i="23917"/>
  <c r="AS286" i="24142"/>
  <c r="AS352" i="23917"/>
  <c r="BH275" i="24142"/>
  <c r="BH340" i="23917"/>
  <c r="Y290" i="24142"/>
  <c r="Y356" i="23917"/>
  <c r="L332" i="24142"/>
  <c r="L398" i="23917"/>
  <c r="DK371" i="24142"/>
  <c r="DK437" i="23917"/>
  <c r="DC418" i="24142"/>
  <c r="DC484" i="23917"/>
  <c r="I463" i="24142"/>
  <c r="I529" i="23917"/>
  <c r="DL204" i="24142"/>
  <c r="DL175" i="24142"/>
  <c r="DL142" i="23917"/>
  <c r="DL112" i="23917"/>
  <c r="P186" i="24142"/>
  <c r="P123" i="23917"/>
  <c r="M286" i="24142"/>
  <c r="M352" i="23917"/>
  <c r="DJ266" i="24142"/>
  <c r="DJ331" i="23917"/>
  <c r="DX273" i="24142"/>
  <c r="DX338" i="23917"/>
  <c r="DV272" i="24142"/>
  <c r="DV337" i="23917"/>
  <c r="U432" i="24142"/>
  <c r="U498" i="23917"/>
  <c r="I416" i="24142"/>
  <c r="I482" i="23917"/>
  <c r="AB214" i="24142"/>
  <c r="AB152" i="23917"/>
  <c r="BH214" i="24142"/>
  <c r="BH152" i="23917"/>
  <c r="AS213" i="24142"/>
  <c r="AS151" i="23917"/>
  <c r="DQ286" i="24142"/>
  <c r="DQ352" i="23917"/>
  <c r="DR266" i="24142"/>
  <c r="DR331" i="23917"/>
  <c r="BW284" i="24142"/>
  <c r="BV284" i="24142"/>
  <c r="BV350" i="23917"/>
  <c r="AA290" i="24142"/>
  <c r="AA356" i="23917"/>
  <c r="P396" i="24142"/>
  <c r="P462" i="23917"/>
  <c r="DJ344" i="24142"/>
  <c r="DJ410" i="23917"/>
  <c r="DR204" i="24142"/>
  <c r="DR175" i="24142"/>
  <c r="DR142" i="23917"/>
  <c r="DR112" i="23917"/>
  <c r="AD186" i="24142"/>
  <c r="AD123" i="23917"/>
  <c r="BJ186" i="24142"/>
  <c r="BJ123" i="23917"/>
  <c r="BZ186" i="24142"/>
  <c r="BZ123" i="23917"/>
  <c r="S183" i="24142"/>
  <c r="S120" i="23917"/>
  <c r="R214" i="24142"/>
  <c r="R152" i="23917"/>
  <c r="DQ183" i="24142"/>
  <c r="DQ120" i="23917"/>
  <c r="DM286" i="24142"/>
  <c r="DM352" i="23917"/>
  <c r="D277" i="24142"/>
  <c r="D342" i="23917"/>
  <c r="D278" i="24142"/>
  <c r="D12" i="24142"/>
  <c r="D343" i="23917"/>
  <c r="D344" i="23917" s="1"/>
  <c r="P277" i="24142"/>
  <c r="P342" i="23917"/>
  <c r="AB275" i="24142"/>
  <c r="AB340" i="23917"/>
  <c r="AY290" i="24142"/>
  <c r="AY356" i="23917"/>
  <c r="AE273" i="24142"/>
  <c r="AE338" i="23917"/>
  <c r="C327" i="24142"/>
  <c r="C393" i="23917"/>
  <c r="M270" i="24142"/>
  <c r="M335" i="23917"/>
  <c r="E346" i="24142"/>
  <c r="E412" i="23917"/>
  <c r="T371" i="24142"/>
  <c r="T437" i="23917"/>
  <c r="T351" i="24142"/>
  <c r="T417" i="23917"/>
  <c r="R433" i="24142"/>
  <c r="R499" i="23917"/>
  <c r="R432" i="24142"/>
  <c r="R498" i="23917"/>
  <c r="D490" i="24142"/>
  <c r="D557" i="23917"/>
  <c r="DH286" i="24142"/>
  <c r="DH352" i="23917"/>
  <c r="DT289" i="24142"/>
  <c r="DT355" i="23917"/>
  <c r="DV290" i="24142"/>
  <c r="DV356" i="23917"/>
  <c r="AM289" i="24142"/>
  <c r="AM355" i="23917"/>
  <c r="AY289" i="24142"/>
  <c r="AY355" i="23917"/>
  <c r="AT277" i="24142"/>
  <c r="AT342" i="23917"/>
  <c r="P367" i="24142"/>
  <c r="P433" i="23917"/>
  <c r="DD344" i="24142"/>
  <c r="DD410" i="23917"/>
  <c r="DJ416" i="24142"/>
  <c r="DJ482" i="23917"/>
  <c r="DF481" i="24142"/>
  <c r="DF547" i="23917"/>
  <c r="AF490" i="24142"/>
  <c r="AF557" i="23917"/>
  <c r="BG270" i="24142"/>
  <c r="BG335" i="23917"/>
  <c r="DJ384" i="24142"/>
  <c r="DJ450" i="23917"/>
  <c r="F351" i="24142"/>
  <c r="F417" i="23917"/>
  <c r="V371" i="24142"/>
  <c r="V437" i="23917"/>
  <c r="W346" i="24142"/>
  <c r="W412" i="23917"/>
  <c r="H432" i="24142"/>
  <c r="H498" i="23917"/>
  <c r="H433" i="24142"/>
  <c r="H499" i="23917"/>
  <c r="DN481" i="24142"/>
  <c r="DN547" i="23917"/>
  <c r="DV481" i="24142"/>
  <c r="DV547" i="23917"/>
  <c r="Z492" i="24142"/>
  <c r="Z559" i="23917"/>
  <c r="AA490" i="24142"/>
  <c r="AA557" i="23917"/>
  <c r="I488" i="24142"/>
  <c r="I555" i="23917"/>
  <c r="AK270" i="24142"/>
  <c r="AK335" i="23917"/>
  <c r="DO273" i="24142"/>
  <c r="DO338" i="23917"/>
  <c r="AG273" i="24142"/>
  <c r="AG338" i="23917"/>
  <c r="BE273" i="24142"/>
  <c r="BE338" i="23917"/>
  <c r="O392" i="24142"/>
  <c r="O458" i="23917"/>
  <c r="N492" i="24142"/>
  <c r="N559" i="23917"/>
  <c r="AR494" i="24142"/>
  <c r="AR17" i="24142"/>
  <c r="AR560" i="23917"/>
  <c r="AR561" i="23917" s="1"/>
  <c r="AR492" i="24142"/>
  <c r="AR559" i="23917"/>
  <c r="BH494" i="24142"/>
  <c r="BH17" i="24142"/>
  <c r="BH560" i="23917"/>
  <c r="BH561" i="23917" s="1"/>
  <c r="BH492" i="24142"/>
  <c r="BH559" i="23917"/>
  <c r="D16" i="24142"/>
  <c r="D16" i="23917"/>
  <c r="DK483" i="24142"/>
  <c r="DK549" i="23917"/>
  <c r="BM488" i="24142"/>
  <c r="BM555" i="23917"/>
  <c r="DE488" i="24142"/>
  <c r="DE555" i="23917"/>
  <c r="AJ490" i="24142"/>
  <c r="AJ557" i="23917"/>
  <c r="DJ91" i="23917"/>
  <c r="DI91" i="23917"/>
  <c r="DT95" i="23917"/>
  <c r="DS95" i="23917"/>
  <c r="BT82" i="24142"/>
  <c r="BT86" i="23917"/>
  <c r="B82" i="24142"/>
  <c r="B86" i="23917"/>
  <c r="B86" i="24142"/>
  <c r="B84" i="24142"/>
  <c r="B88" i="23917"/>
  <c r="BL86" i="24142"/>
  <c r="BL84" i="24142"/>
  <c r="BL88" i="23917"/>
  <c r="BM88" i="24142"/>
  <c r="BL88" i="24142"/>
  <c r="AT89" i="24142"/>
  <c r="AT98" i="23917"/>
  <c r="AU99" i="23917"/>
  <c r="AT99" i="23917"/>
  <c r="DP94" i="23917"/>
  <c r="DO94" i="23917"/>
  <c r="BF83" i="24142"/>
  <c r="BF87" i="23917"/>
  <c r="AP82" i="24142"/>
  <c r="AP86" i="23917"/>
  <c r="M82" i="24142"/>
  <c r="M86" i="23917"/>
  <c r="Y83" i="24142"/>
  <c r="Y87" i="23917"/>
  <c r="AR86" i="24142"/>
  <c r="AR84" i="24142"/>
  <c r="AR88" i="23917"/>
  <c r="AD82" i="24142"/>
  <c r="AD86" i="23917"/>
  <c r="AD83" i="24142"/>
  <c r="AD87" i="23917"/>
  <c r="AD86" i="24142"/>
  <c r="AD84" i="24142"/>
  <c r="AD88" i="23917"/>
  <c r="AN89" i="24142"/>
  <c r="AN98" i="23917"/>
  <c r="AO99" i="23917"/>
  <c r="AN99" i="23917"/>
  <c r="BD89" i="24142"/>
  <c r="BD98" i="23917"/>
  <c r="BE99" i="23917"/>
  <c r="BD99" i="23917"/>
  <c r="DH89" i="24142"/>
  <c r="DH98" i="23917"/>
  <c r="DD82" i="24142"/>
  <c r="DD86" i="23917"/>
  <c r="DM83" i="24142"/>
  <c r="DM87" i="23917"/>
  <c r="AU89" i="23917"/>
  <c r="AT89" i="23917"/>
  <c r="S88" i="24142"/>
  <c r="R88" i="24142"/>
  <c r="V115" i="24142"/>
  <c r="V211" i="23917"/>
  <c r="DZ109" i="24142"/>
  <c r="DZ205" i="23917"/>
  <c r="BE113" i="24142"/>
  <c r="BE209" i="23917"/>
  <c r="J116" i="24142"/>
  <c r="J10" i="24142"/>
  <c r="J8" i="24142"/>
  <c r="J212" i="23917"/>
  <c r="J213" i="23917" s="1"/>
  <c r="K113" i="24142"/>
  <c r="K209" i="23917"/>
  <c r="Z116" i="24142"/>
  <c r="Z10" i="24142"/>
  <c r="Z8" i="24142"/>
  <c r="Z212" i="23917"/>
  <c r="Z213" i="23917" s="1"/>
  <c r="AA113" i="24142"/>
  <c r="AA209" i="23917"/>
  <c r="O113" i="24142"/>
  <c r="O209" i="23917"/>
  <c r="AD115" i="24142"/>
  <c r="AD211" i="23917"/>
  <c r="AS258" i="23917"/>
  <c r="AS220" i="23917"/>
  <c r="DT144" i="24142"/>
  <c r="DT295" i="23917"/>
  <c r="BC146" i="24142"/>
  <c r="BC297" i="23917"/>
  <c r="BR150" i="24142"/>
  <c r="BR301" i="23917"/>
  <c r="AD153" i="24142"/>
  <c r="AD9" i="24142"/>
  <c r="AD304" i="23917"/>
  <c r="AD305" i="23917" s="1"/>
  <c r="AN274" i="23917"/>
  <c r="AN273" i="23917"/>
  <c r="AN221" i="23917"/>
  <c r="U276" i="23917"/>
  <c r="T276" i="23917"/>
  <c r="DD101" i="24142"/>
  <c r="DD197" i="23917"/>
  <c r="DQ110" i="24142"/>
  <c r="DQ206" i="23917"/>
  <c r="AY110" i="24142"/>
  <c r="AY206" i="23917"/>
  <c r="BN126" i="24142"/>
  <c r="BN228" i="23917"/>
  <c r="DK110" i="24142"/>
  <c r="DK206" i="23917"/>
  <c r="AF248" i="23917"/>
  <c r="DH144" i="24142"/>
  <c r="DH295" i="23917"/>
  <c r="AC152" i="24142"/>
  <c r="AB152" i="24142"/>
  <c r="AB303" i="23917"/>
  <c r="BF162" i="24142"/>
  <c r="BF316" i="23917"/>
  <c r="DU147" i="24142"/>
  <c r="DU298" i="23917"/>
  <c r="V248" i="23917"/>
  <c r="X271" i="23917"/>
  <c r="X248" i="23917"/>
  <c r="DT102" i="24142"/>
  <c r="DT198" i="23917"/>
  <c r="BE110" i="24142"/>
  <c r="BE206" i="23917"/>
  <c r="AP153" i="24142"/>
  <c r="AP9" i="24142"/>
  <c r="AP304" i="23917"/>
  <c r="AP305" i="23917" s="1"/>
  <c r="DR140" i="24142"/>
  <c r="DR291" i="23917"/>
  <c r="BI147" i="24142"/>
  <c r="BI298" i="23917"/>
  <c r="BH146" i="24142"/>
  <c r="BH297" i="23917"/>
  <c r="BX148" i="24142"/>
  <c r="BX299" i="23917"/>
  <c r="DJ145" i="24142"/>
  <c r="DJ296" i="23917"/>
  <c r="AE146" i="24142"/>
  <c r="AE297" i="23917"/>
  <c r="AU162" i="24142"/>
  <c r="AU316" i="23917"/>
  <c r="N240" i="24142"/>
  <c r="N176" i="23917"/>
  <c r="L247" i="24142"/>
  <c r="L196" i="24142"/>
  <c r="AR188" i="24142"/>
  <c r="AR125" i="23917"/>
  <c r="AR189" i="24142"/>
  <c r="AR11" i="24142"/>
  <c r="AR126" i="23917"/>
  <c r="AR127" i="23917" s="1"/>
  <c r="BX189" i="24142"/>
  <c r="BX14" i="24142"/>
  <c r="BX11" i="24142"/>
  <c r="BX126" i="23917"/>
  <c r="BX127" i="23917" s="1"/>
  <c r="AK148" i="24142"/>
  <c r="AK299" i="23917"/>
  <c r="DC146" i="24142"/>
  <c r="DC297" i="23917"/>
  <c r="E162" i="24142"/>
  <c r="E316" i="23917"/>
  <c r="DG250" i="24142"/>
  <c r="DG184" i="23917"/>
  <c r="DN138" i="24142"/>
  <c r="DN289" i="23917"/>
  <c r="DD21" i="23917"/>
  <c r="DC21" i="23917"/>
  <c r="I290" i="24142"/>
  <c r="I356" i="23917"/>
  <c r="X275" i="24142"/>
  <c r="X340" i="23917"/>
  <c r="DG289" i="24142"/>
  <c r="DG355" i="23917"/>
  <c r="L319" i="24142"/>
  <c r="L13" i="24142"/>
  <c r="L385" i="23917"/>
  <c r="DD306" i="24142"/>
  <c r="DD372" i="23917"/>
  <c r="X186" i="24142"/>
  <c r="X123" i="23917"/>
  <c r="BD214" i="24142"/>
  <c r="BD152" i="23917"/>
  <c r="BE177" i="24142"/>
  <c r="BE114" i="23917"/>
  <c r="H186" i="24142"/>
  <c r="H123" i="23917"/>
  <c r="J277" i="24142"/>
  <c r="J342" i="23917"/>
  <c r="J278" i="24142"/>
  <c r="J12" i="24142"/>
  <c r="J343" i="23917"/>
  <c r="J344" i="23917" s="1"/>
  <c r="AO290" i="24142"/>
  <c r="AO356" i="23917"/>
  <c r="BE289" i="24142"/>
  <c r="BE355" i="23917"/>
  <c r="U433" i="24142"/>
  <c r="U499" i="23917"/>
  <c r="U416" i="24142"/>
  <c r="U482" i="23917"/>
  <c r="U183" i="24142"/>
  <c r="U120" i="23917"/>
  <c r="BA183" i="24142"/>
  <c r="BA120" i="23917"/>
  <c r="DV266" i="24142"/>
  <c r="DV331" i="23917"/>
  <c r="DK289" i="24142"/>
  <c r="DK355" i="23917"/>
  <c r="H331" i="24142"/>
  <c r="H397" i="23917"/>
  <c r="H332" i="24142"/>
  <c r="H398" i="23917"/>
  <c r="DG418" i="24142"/>
  <c r="DG484" i="23917"/>
  <c r="F420" i="24142"/>
  <c r="F486" i="23917"/>
  <c r="F421" i="24142"/>
  <c r="F487" i="23917"/>
  <c r="O418" i="24142"/>
  <c r="O484" i="23917"/>
  <c r="G454" i="24142"/>
  <c r="G520" i="23917"/>
  <c r="F463" i="24142"/>
  <c r="F529" i="23917"/>
  <c r="DI177" i="24142"/>
  <c r="DI114" i="23917"/>
  <c r="DM177" i="24142"/>
  <c r="DM114" i="23917"/>
  <c r="DQ177" i="24142"/>
  <c r="DQ114" i="23917"/>
  <c r="DU177" i="24142"/>
  <c r="DU114" i="23917"/>
  <c r="J214" i="24142"/>
  <c r="J152" i="23917"/>
  <c r="AQ183" i="24142"/>
  <c r="AQ120" i="23917"/>
  <c r="AP214" i="24142"/>
  <c r="AP152" i="23917"/>
  <c r="BV214" i="24142"/>
  <c r="BV152" i="23917"/>
  <c r="O266" i="24142"/>
  <c r="O331" i="23917"/>
  <c r="F290" i="24142"/>
  <c r="F356" i="23917"/>
  <c r="F289" i="24142"/>
  <c r="F355" i="23917"/>
  <c r="AD278" i="24142"/>
  <c r="AD12" i="24142"/>
  <c r="AD343" i="23917"/>
  <c r="AD344" i="23917" s="1"/>
  <c r="E290" i="24142"/>
  <c r="E356" i="23917"/>
  <c r="AJ277" i="24142"/>
  <c r="AJ342" i="23917"/>
  <c r="B332" i="24142"/>
  <c r="B398" i="23917"/>
  <c r="DE306" i="24142"/>
  <c r="DE372" i="23917"/>
  <c r="I346" i="24142"/>
  <c r="I412" i="23917"/>
  <c r="X371" i="24142"/>
  <c r="X437" i="23917"/>
  <c r="X351" i="24142"/>
  <c r="X417" i="23917"/>
  <c r="V433" i="24142"/>
  <c r="V499" i="23917"/>
  <c r="V418" i="24142"/>
  <c r="V484" i="23917"/>
  <c r="AH492" i="24142"/>
  <c r="AH559" i="23917"/>
  <c r="AI490" i="24142"/>
  <c r="AI557" i="23917"/>
  <c r="BC490" i="24142"/>
  <c r="BC557" i="23917"/>
  <c r="BB494" i="24142"/>
  <c r="BB17" i="24142"/>
  <c r="BB560" i="23917"/>
  <c r="BB561" i="23917" s="1"/>
  <c r="BR494" i="24142"/>
  <c r="BR17" i="24142"/>
  <c r="BR560" i="23917"/>
  <c r="BR561" i="23917" s="1"/>
  <c r="DF289" i="24142"/>
  <c r="DF355" i="23917"/>
  <c r="N278" i="24142"/>
  <c r="N12" i="24142"/>
  <c r="N343" i="23917"/>
  <c r="N344" i="23917" s="1"/>
  <c r="BR277" i="24142"/>
  <c r="BR342" i="23917"/>
  <c r="DG346" i="24142"/>
  <c r="DG412" i="23917"/>
  <c r="X490" i="24142"/>
  <c r="X557" i="23917"/>
  <c r="V494" i="24142"/>
  <c r="V17" i="24142"/>
  <c r="V560" i="23917"/>
  <c r="V561" i="23917" s="1"/>
  <c r="W490" i="24142"/>
  <c r="W557" i="23917"/>
  <c r="DP487" i="24142"/>
  <c r="DP553" i="23917"/>
  <c r="D328" i="24142"/>
  <c r="D394" i="23917"/>
  <c r="E306" i="24142"/>
  <c r="E372" i="23917"/>
  <c r="DH385" i="24142"/>
  <c r="DH451" i="23917"/>
  <c r="J351" i="24142"/>
  <c r="J417" i="23917"/>
  <c r="K346" i="24142"/>
  <c r="K412" i="23917"/>
  <c r="Z371" i="24142"/>
  <c r="Z437" i="23917"/>
  <c r="L432" i="24142"/>
  <c r="L498" i="23917"/>
  <c r="M411" i="24142"/>
  <c r="M477" i="23917"/>
  <c r="DI490" i="24142"/>
  <c r="DI557" i="23917"/>
  <c r="DR483" i="24142"/>
  <c r="DR549" i="23917"/>
  <c r="DV483" i="24142"/>
  <c r="DV549" i="23917"/>
  <c r="DH487" i="24142"/>
  <c r="DH553" i="23917"/>
  <c r="AX494" i="24142"/>
  <c r="AX17" i="24142"/>
  <c r="AX560" i="23917"/>
  <c r="AX561" i="23917" s="1"/>
  <c r="BN494" i="24142"/>
  <c r="BN17" i="24142"/>
  <c r="BN560" i="23917"/>
  <c r="BN561" i="23917" s="1"/>
  <c r="DS273" i="24142"/>
  <c r="DS338" i="23917"/>
  <c r="DV289" i="24142"/>
  <c r="DV355" i="23917"/>
  <c r="DO483" i="24142"/>
  <c r="DO549" i="23917"/>
  <c r="BP490" i="24142"/>
  <c r="BP557" i="23917"/>
  <c r="DZ488" i="24142"/>
  <c r="DZ555" i="23917"/>
  <c r="M483" i="24142"/>
  <c r="M549" i="23917"/>
  <c r="AA83" i="24142"/>
  <c r="AA87" i="23917"/>
  <c r="BH82" i="24142"/>
  <c r="BH86" i="23917"/>
  <c r="BY86" i="23917"/>
  <c r="BX82" i="24142"/>
  <c r="BX86" i="23917"/>
  <c r="AN82" i="24142"/>
  <c r="AN86" i="23917"/>
  <c r="AN83" i="24142"/>
  <c r="AN87" i="23917"/>
  <c r="BQ88" i="24142"/>
  <c r="BP88" i="24142"/>
  <c r="AH89" i="24142"/>
  <c r="AH98" i="23917"/>
  <c r="AI99" i="23917"/>
  <c r="AH99" i="23917"/>
  <c r="BR89" i="24142"/>
  <c r="BR98" i="23917"/>
  <c r="DP85" i="24142"/>
  <c r="DO85" i="24142"/>
  <c r="BO96" i="23917"/>
  <c r="BN96" i="23917"/>
  <c r="DD89" i="23917"/>
  <c r="DC89" i="23917"/>
  <c r="BV82" i="24142"/>
  <c r="BV86" i="23917"/>
  <c r="E89" i="23917"/>
  <c r="D89" i="23917"/>
  <c r="Y82" i="24142"/>
  <c r="Y86" i="23917"/>
  <c r="AZ83" i="24142"/>
  <c r="AZ87" i="23917"/>
  <c r="AF82" i="24142"/>
  <c r="AF86" i="23917"/>
  <c r="AF83" i="24142"/>
  <c r="AF87" i="23917"/>
  <c r="AR89" i="24142"/>
  <c r="AR98" i="23917"/>
  <c r="AS99" i="23917"/>
  <c r="AR99" i="23917"/>
  <c r="DP96" i="23917"/>
  <c r="DO96" i="23917"/>
  <c r="W88" i="24142"/>
  <c r="V88" i="24142"/>
  <c r="S271" i="23917"/>
  <c r="J271" i="23917"/>
  <c r="DV109" i="24142"/>
  <c r="DV205" i="23917"/>
  <c r="BJ116" i="24142"/>
  <c r="BJ8" i="24142"/>
  <c r="BJ212" i="23917"/>
  <c r="BJ213" i="23917" s="1"/>
  <c r="AN116" i="24142"/>
  <c r="AN10" i="24142"/>
  <c r="AN8" i="24142"/>
  <c r="AN212" i="23917"/>
  <c r="AN213" i="23917" s="1"/>
  <c r="AO113" i="24142"/>
  <c r="AO209" i="23917"/>
  <c r="H115" i="24142"/>
  <c r="H211" i="23917"/>
  <c r="H116" i="24142"/>
  <c r="H8" i="24142"/>
  <c r="H212" i="23917"/>
  <c r="H213" i="23917" s="1"/>
  <c r="X115" i="24142"/>
  <c r="X211" i="23917"/>
  <c r="AL115" i="24142"/>
  <c r="AL211" i="23917"/>
  <c r="AL116" i="24142"/>
  <c r="AL10" i="24142"/>
  <c r="AL8" i="24142"/>
  <c r="AL212" i="23917"/>
  <c r="AL213" i="23917" s="1"/>
  <c r="BA113" i="24142"/>
  <c r="BA209" i="23917"/>
  <c r="BP115" i="24142"/>
  <c r="BP211" i="23917"/>
  <c r="DF111" i="24142"/>
  <c r="DF207" i="23917"/>
  <c r="I162" i="24142"/>
  <c r="I316" i="23917"/>
  <c r="BJ150" i="24142"/>
  <c r="BJ301" i="23917"/>
  <c r="AB274" i="23917"/>
  <c r="AB273" i="23917"/>
  <c r="AB221" i="23917"/>
  <c r="AR273" i="23917"/>
  <c r="AR221" i="23917"/>
  <c r="DH101" i="24142"/>
  <c r="DH197" i="23917"/>
  <c r="BC110" i="24142"/>
  <c r="BC206" i="23917"/>
  <c r="DE110" i="24142"/>
  <c r="DE206" i="23917"/>
  <c r="C110" i="24142"/>
  <c r="C206" i="23917"/>
  <c r="AH126" i="24142"/>
  <c r="AH228" i="23917"/>
  <c r="J152" i="24142"/>
  <c r="J303" i="23917"/>
  <c r="AX162" i="24142"/>
  <c r="AX316" i="23917"/>
  <c r="BN162" i="24142"/>
  <c r="BN316" i="23917"/>
  <c r="AT152" i="24142"/>
  <c r="AT303" i="23917"/>
  <c r="C150" i="24142"/>
  <c r="C301" i="23917"/>
  <c r="B153" i="24142"/>
  <c r="B9" i="24142"/>
  <c r="B304" i="23917"/>
  <c r="B305" i="23917" s="1"/>
  <c r="AL152" i="24142"/>
  <c r="AL303" i="23917"/>
  <c r="AH153" i="24142"/>
  <c r="AH9" i="24142"/>
  <c r="AH304" i="23917"/>
  <c r="AH305" i="23917" s="1"/>
  <c r="BI110" i="24142"/>
  <c r="BI206" i="23917"/>
  <c r="DE140" i="24142"/>
  <c r="DE291" i="23917"/>
  <c r="AW147" i="24142"/>
  <c r="AW298" i="23917"/>
  <c r="AV146" i="24142"/>
  <c r="AV297" i="23917"/>
  <c r="BL148" i="24142"/>
  <c r="BL299" i="23917"/>
  <c r="DF144" i="24142"/>
  <c r="DF295" i="23917"/>
  <c r="F162" i="24142"/>
  <c r="F316" i="23917"/>
  <c r="DM146" i="24142"/>
  <c r="DM297" i="23917"/>
  <c r="AI146" i="24142"/>
  <c r="AI297" i="23917"/>
  <c r="P153" i="24142"/>
  <c r="P9" i="24142"/>
  <c r="P304" i="23917"/>
  <c r="P305" i="23917" s="1"/>
  <c r="P152" i="24142"/>
  <c r="P303" i="23917"/>
  <c r="E186" i="24142"/>
  <c r="E123" i="23917"/>
  <c r="D188" i="24142"/>
  <c r="D125" i="23917"/>
  <c r="AK188" i="24142"/>
  <c r="AJ188" i="24142"/>
  <c r="AJ125" i="23917"/>
  <c r="AJ189" i="24142"/>
  <c r="AJ11" i="24142"/>
  <c r="AJ14" i="24142"/>
  <c r="AJ126" i="23917"/>
  <c r="AJ127" i="23917" s="1"/>
  <c r="BP188" i="24142"/>
  <c r="BP125" i="23917"/>
  <c r="DH138" i="24142"/>
  <c r="DH289" i="23917"/>
  <c r="DC153" i="24142"/>
  <c r="DC9" i="24142"/>
  <c r="DC304" i="23917"/>
  <c r="DC152" i="24142"/>
  <c r="DC303" i="23917"/>
  <c r="L233" i="24142"/>
  <c r="L195" i="24142"/>
  <c r="B162" i="24142"/>
  <c r="B316" i="23917"/>
  <c r="J236" i="24142"/>
  <c r="J172" i="23917"/>
  <c r="DJ264" i="24142"/>
  <c r="DJ329" i="23917"/>
  <c r="AM290" i="24142"/>
  <c r="AM356" i="23917"/>
  <c r="DP266" i="24142"/>
  <c r="DP331" i="23917"/>
  <c r="AX284" i="24142"/>
  <c r="AX350" i="23917"/>
  <c r="DS286" i="24142"/>
  <c r="DS352" i="23917"/>
  <c r="DP289" i="24142"/>
  <c r="DP355" i="23917"/>
  <c r="DH433" i="24142"/>
  <c r="DH499" i="23917"/>
  <c r="DD204" i="24142"/>
  <c r="DD175" i="24142"/>
  <c r="DD142" i="23917"/>
  <c r="DD112" i="23917"/>
  <c r="AF186" i="24142"/>
  <c r="AF123" i="23917"/>
  <c r="BM177" i="24142"/>
  <c r="BM114" i="23917"/>
  <c r="DE286" i="24142"/>
  <c r="DE352" i="23917"/>
  <c r="AO277" i="24142"/>
  <c r="AN277" i="24142"/>
  <c r="AN342" i="23917"/>
  <c r="BT277" i="24142"/>
  <c r="BT342" i="23917"/>
  <c r="E411" i="24142"/>
  <c r="E477" i="23917"/>
  <c r="L214" i="24142"/>
  <c r="L152" i="23917"/>
  <c r="AR214" i="24142"/>
  <c r="AR152" i="23917"/>
  <c r="AC213" i="24142"/>
  <c r="AC151" i="23917"/>
  <c r="Y286" i="24142"/>
  <c r="Y352" i="23917"/>
  <c r="DI351" i="24142"/>
  <c r="DI417" i="23917"/>
  <c r="DJ204" i="24142"/>
  <c r="DJ175" i="24142"/>
  <c r="DJ142" i="23917"/>
  <c r="DJ112" i="23917"/>
  <c r="DZ204" i="24142"/>
  <c r="DZ175" i="24142"/>
  <c r="DZ142" i="23917"/>
  <c r="DZ112" i="23917"/>
  <c r="AL186" i="24142"/>
  <c r="AL123" i="23917"/>
  <c r="BC177" i="24142"/>
  <c r="BC114" i="23917"/>
  <c r="BR186" i="24142"/>
  <c r="BR123" i="23917"/>
  <c r="DE177" i="24142"/>
  <c r="DE114" i="23917"/>
  <c r="C177" i="24142"/>
  <c r="C114" i="23917"/>
  <c r="DE183" i="24142"/>
  <c r="DE120" i="23917"/>
  <c r="AI183" i="24142"/>
  <c r="AI120" i="23917"/>
  <c r="BO183" i="24142"/>
  <c r="BO120" i="23917"/>
  <c r="AE289" i="24142"/>
  <c r="AE355" i="23917"/>
  <c r="DF266" i="24142"/>
  <c r="DF331" i="23917"/>
  <c r="DK275" i="24142"/>
  <c r="DK340" i="23917"/>
  <c r="DN266" i="24142"/>
  <c r="DN331" i="23917"/>
  <c r="AW289" i="24142"/>
  <c r="AW355" i="23917"/>
  <c r="DR271" i="24142"/>
  <c r="DR336" i="23917"/>
  <c r="B319" i="24142"/>
  <c r="B13" i="24142"/>
  <c r="B385" i="23917"/>
  <c r="C316" i="24142"/>
  <c r="C382" i="23917"/>
  <c r="E270" i="24142"/>
  <c r="E335" i="23917"/>
  <c r="DF273" i="24142"/>
  <c r="DF338" i="23917"/>
  <c r="F327" i="24142"/>
  <c r="F393" i="23917"/>
  <c r="G306" i="24142"/>
  <c r="G372" i="23917"/>
  <c r="F328" i="24142"/>
  <c r="F394" i="23917"/>
  <c r="L371" i="24142"/>
  <c r="L437" i="23917"/>
  <c r="L351" i="24142"/>
  <c r="L417" i="23917"/>
  <c r="AC346" i="24142"/>
  <c r="AC412" i="23917"/>
  <c r="C411" i="24142"/>
  <c r="C477" i="23917"/>
  <c r="B418" i="24142"/>
  <c r="B484" i="23917"/>
  <c r="AA411" i="24142"/>
  <c r="AA477" i="23917"/>
  <c r="Z418" i="24142"/>
  <c r="Z484" i="23917"/>
  <c r="S490" i="24142"/>
  <c r="S557" i="23917"/>
  <c r="DC488" i="24142"/>
  <c r="DC555" i="23917"/>
  <c r="AA289" i="24142"/>
  <c r="AA355" i="23917"/>
  <c r="AS289" i="24142"/>
  <c r="AS355" i="23917"/>
  <c r="BG289" i="24142"/>
  <c r="BG355" i="23917"/>
  <c r="V278" i="24142"/>
  <c r="V12" i="24142"/>
  <c r="V343" i="23917"/>
  <c r="V344" i="23917" s="1"/>
  <c r="DL346" i="24142"/>
  <c r="DL412" i="23917"/>
  <c r="I483" i="24142"/>
  <c r="I549" i="23917"/>
  <c r="Q483" i="24142"/>
  <c r="Q549" i="23917"/>
  <c r="M488" i="24142"/>
  <c r="M555" i="23917"/>
  <c r="DI289" i="24142"/>
  <c r="DI355" i="23917"/>
  <c r="DQ270" i="24142"/>
  <c r="DQ335" i="23917"/>
  <c r="DU270" i="24142"/>
  <c r="DU335" i="23917"/>
  <c r="DN272" i="24142"/>
  <c r="DN337" i="23917"/>
  <c r="N371" i="24142"/>
  <c r="N437" i="23917"/>
  <c r="O346" i="24142"/>
  <c r="O412" i="23917"/>
  <c r="E418" i="24142"/>
  <c r="E484" i="23917"/>
  <c r="K490" i="24142"/>
  <c r="K557" i="23917"/>
  <c r="DT487" i="24142"/>
  <c r="DT553" i="23917"/>
  <c r="DK270" i="24142"/>
  <c r="DK335" i="23917"/>
  <c r="DJ387" i="24142"/>
  <c r="DJ453" i="23917"/>
  <c r="R368" i="24142"/>
  <c r="R434" i="23917"/>
  <c r="W392" i="24142"/>
  <c r="W458" i="23917"/>
  <c r="AD492" i="24142"/>
  <c r="AD559" i="23917"/>
  <c r="AZ494" i="24142"/>
  <c r="AZ17" i="24142"/>
  <c r="AZ560" i="23917"/>
  <c r="AZ561" i="23917" s="1"/>
  <c r="AZ492" i="24142"/>
  <c r="AZ559" i="23917"/>
  <c r="DT481" i="24142"/>
  <c r="DT547" i="23917"/>
  <c r="AW488" i="24142"/>
  <c r="AW555" i="23917"/>
  <c r="DM488" i="24142"/>
  <c r="DM555" i="23917"/>
  <c r="U483" i="24142"/>
  <c r="U549" i="23917"/>
  <c r="G82" i="24142"/>
  <c r="G86" i="23917"/>
  <c r="AV86" i="24142"/>
  <c r="AV84" i="24142"/>
  <c r="AV88" i="23917"/>
  <c r="BX83" i="24142"/>
  <c r="BX87" i="23917"/>
  <c r="BB89" i="24142"/>
  <c r="BB98" i="23917"/>
  <c r="DL94" i="23917"/>
  <c r="DK94" i="23917"/>
  <c r="AP83" i="24142"/>
  <c r="AP87" i="23917"/>
  <c r="BR83" i="24142"/>
  <c r="BR87" i="23917"/>
  <c r="BR84" i="24142"/>
  <c r="BR86" i="24142"/>
  <c r="BR88" i="23917"/>
  <c r="P82" i="24142"/>
  <c r="P86" i="23917"/>
  <c r="P86" i="24142"/>
  <c r="P84" i="24142"/>
  <c r="P88" i="23917"/>
  <c r="P83" i="24142"/>
  <c r="P87" i="23917"/>
  <c r="BH83" i="24142"/>
  <c r="BH87" i="23917"/>
  <c r="AI89" i="23917"/>
  <c r="AH89" i="23917"/>
  <c r="AV89" i="24142"/>
  <c r="AV98" i="23917"/>
  <c r="BL89" i="24142"/>
  <c r="BL98" i="23917"/>
  <c r="DT96" i="23917"/>
  <c r="DS96" i="23917"/>
  <c r="K91" i="23917"/>
  <c r="J91" i="23917"/>
  <c r="BB115" i="24142"/>
  <c r="BB211" i="23917"/>
  <c r="BC113" i="24142"/>
  <c r="BC209" i="23917"/>
  <c r="BR115" i="24142"/>
  <c r="BR211" i="23917"/>
  <c r="P115" i="24142"/>
  <c r="P211" i="23917"/>
  <c r="DT108" i="24142"/>
  <c r="DT204" i="23917"/>
  <c r="AV116" i="24142"/>
  <c r="AV8" i="24142"/>
  <c r="AV212" i="23917"/>
  <c r="AV213" i="23917" s="1"/>
  <c r="AW113" i="24142"/>
  <c r="AW209" i="23917"/>
  <c r="BM113" i="24142"/>
  <c r="BM209" i="23917"/>
  <c r="D115" i="24142"/>
  <c r="D211" i="23917"/>
  <c r="D116" i="24142"/>
  <c r="D10" i="24142"/>
  <c r="D8" i="24142"/>
  <c r="D212" i="23917"/>
  <c r="D213" i="23917" s="1"/>
  <c r="T116" i="24142"/>
  <c r="T10" i="24142"/>
  <c r="T8" i="24142"/>
  <c r="T212" i="23917"/>
  <c r="T213" i="23917" s="1"/>
  <c r="AR116" i="24142"/>
  <c r="AR10" i="24142"/>
  <c r="AR8" i="24142"/>
  <c r="AR212" i="23917"/>
  <c r="AR213" i="23917" s="1"/>
  <c r="B116" i="24142"/>
  <c r="B10" i="24142"/>
  <c r="B8" i="24142"/>
  <c r="B212" i="23917"/>
  <c r="B213" i="23917" s="1"/>
  <c r="R116" i="24142"/>
  <c r="R10" i="24142"/>
  <c r="R8" i="24142"/>
  <c r="R212" i="23917"/>
  <c r="R213" i="23917" s="1"/>
  <c r="S113" i="24142"/>
  <c r="S209" i="23917"/>
  <c r="AH116" i="24142"/>
  <c r="AH10" i="24142"/>
  <c r="AH8" i="24142"/>
  <c r="AH212" i="23917"/>
  <c r="AH213" i="23917" s="1"/>
  <c r="AI113" i="24142"/>
  <c r="AI209" i="23917"/>
  <c r="DS111" i="24142"/>
  <c r="DS207" i="23917"/>
  <c r="BB150" i="24142"/>
  <c r="BB301" i="23917"/>
  <c r="V153" i="24142"/>
  <c r="V9" i="24142"/>
  <c r="V304" i="23917"/>
  <c r="V305" i="23917" s="1"/>
  <c r="M276" i="23917"/>
  <c r="L276" i="23917"/>
  <c r="BF126" i="24142"/>
  <c r="BF228" i="23917"/>
  <c r="BG110" i="24142"/>
  <c r="BG206" i="23917"/>
  <c r="J126" i="24142"/>
  <c r="J228" i="23917"/>
  <c r="AL126" i="24142"/>
  <c r="AL228" i="23917"/>
  <c r="AS126" i="24142"/>
  <c r="AS228" i="23917"/>
  <c r="N153" i="24142"/>
  <c r="N9" i="24142"/>
  <c r="N304" i="23917"/>
  <c r="N305" i="23917" s="1"/>
  <c r="DL226" i="24142"/>
  <c r="DL164" i="23917"/>
  <c r="AU245" i="23917"/>
  <c r="AU219" i="23917"/>
  <c r="DX144" i="24142"/>
  <c r="DX295" i="23917"/>
  <c r="AX150" i="24142"/>
  <c r="AX301" i="23917"/>
  <c r="BF150" i="24142"/>
  <c r="BF301" i="23917"/>
  <c r="BN150" i="24142"/>
  <c r="BN301" i="23917"/>
  <c r="BV150" i="24142"/>
  <c r="BV301" i="23917"/>
  <c r="AL248" i="23917"/>
  <c r="BM110" i="24142"/>
  <c r="BM206" i="23917"/>
  <c r="G110" i="24142"/>
  <c r="G206" i="23917"/>
  <c r="T153" i="24142"/>
  <c r="T9" i="24142"/>
  <c r="T304" i="23917"/>
  <c r="T305" i="23917" s="1"/>
  <c r="BA147" i="24142"/>
  <c r="BA298" i="23917"/>
  <c r="AZ146" i="24142"/>
  <c r="AZ297" i="23917"/>
  <c r="BP148" i="24142"/>
  <c r="BP299" i="23917"/>
  <c r="DK148" i="24142"/>
  <c r="DK299" i="23917"/>
  <c r="W146" i="24142"/>
  <c r="W297" i="23917"/>
  <c r="AN162" i="24142"/>
  <c r="AN316" i="23917"/>
  <c r="AN153" i="24142"/>
  <c r="AN9" i="24142"/>
  <c r="AN304" i="23917"/>
  <c r="AN305" i="23917" s="1"/>
  <c r="AN152" i="24142"/>
  <c r="AN303" i="23917"/>
  <c r="AB188" i="24142"/>
  <c r="AB125" i="23917"/>
  <c r="AB189" i="24142"/>
  <c r="AB11" i="24142"/>
  <c r="AB126" i="23917"/>
  <c r="AB127" i="23917" s="1"/>
  <c r="BI186" i="24142"/>
  <c r="BI123" i="23917"/>
  <c r="BH188" i="24142"/>
  <c r="BH125" i="23917"/>
  <c r="DK141" i="24142"/>
  <c r="DK292" i="23917"/>
  <c r="H150" i="24142"/>
  <c r="H301" i="23917"/>
  <c r="DP210" i="24142"/>
  <c r="DP148" i="23917"/>
  <c r="DD140" i="24142"/>
  <c r="DD291" i="23917"/>
  <c r="DT140" i="24142"/>
  <c r="DT291" i="23917"/>
  <c r="DI148" i="24142"/>
  <c r="DI299" i="23917"/>
  <c r="AK146" i="24142"/>
  <c r="AK297" i="23917"/>
  <c r="AC146" i="24142"/>
  <c r="AC297" i="23917"/>
  <c r="DL210" i="24142"/>
  <c r="DL148" i="23917"/>
  <c r="DL21" i="23917"/>
  <c r="DK21" i="23917"/>
  <c r="AS290" i="24142"/>
  <c r="AS356" i="23917"/>
  <c r="DE311" i="24142"/>
  <c r="DE377" i="23917"/>
  <c r="DH204" i="24142"/>
  <c r="DH175" i="24142"/>
  <c r="DH142" i="23917"/>
  <c r="DH112" i="23917"/>
  <c r="AN186" i="24142"/>
  <c r="AN123" i="23917"/>
  <c r="DH266" i="24142"/>
  <c r="DH331" i="23917"/>
  <c r="BE286" i="24142"/>
  <c r="BE352" i="23917"/>
  <c r="DM270" i="24142"/>
  <c r="DM335" i="23917"/>
  <c r="DH290" i="24142"/>
  <c r="DH356" i="23917"/>
  <c r="DE418" i="24142"/>
  <c r="DE484" i="23917"/>
  <c r="D421" i="24142"/>
  <c r="D487" i="23917"/>
  <c r="T421" i="24142"/>
  <c r="T487" i="23917"/>
  <c r="D214" i="24142"/>
  <c r="D152" i="23917"/>
  <c r="AJ214" i="24142"/>
  <c r="AJ152" i="23917"/>
  <c r="BA213" i="24142"/>
  <c r="BA151" i="23917"/>
  <c r="BP277" i="24142"/>
  <c r="BP342" i="23917"/>
  <c r="DV271" i="24142"/>
  <c r="DV336" i="23917"/>
  <c r="DO270" i="24142"/>
  <c r="DO335" i="23917"/>
  <c r="H319" i="24142"/>
  <c r="H13" i="24142"/>
  <c r="H385" i="23917"/>
  <c r="L389" i="24142"/>
  <c r="L455" i="23917"/>
  <c r="DN204" i="24142"/>
  <c r="DN175" i="24142"/>
  <c r="DN142" i="23917"/>
  <c r="DN112" i="23917"/>
  <c r="DG177" i="24142"/>
  <c r="DG114" i="23917"/>
  <c r="DK177" i="24142"/>
  <c r="DK114" i="23917"/>
  <c r="DO177" i="24142"/>
  <c r="DO114" i="23917"/>
  <c r="BG177" i="24142"/>
  <c r="BG114" i="23917"/>
  <c r="DS177" i="24142"/>
  <c r="DS114" i="23917"/>
  <c r="F186" i="24142"/>
  <c r="F123" i="23917"/>
  <c r="DC183" i="24142"/>
  <c r="DC120" i="23917"/>
  <c r="DK183" i="24142"/>
  <c r="DK120" i="23917"/>
  <c r="DS183" i="24142"/>
  <c r="DS120" i="23917"/>
  <c r="DJ265" i="24142"/>
  <c r="DJ330" i="23917"/>
  <c r="AC289" i="24142"/>
  <c r="AC355" i="23917"/>
  <c r="BL275" i="24142"/>
  <c r="BL340" i="23917"/>
  <c r="P420" i="24142"/>
  <c r="P486" i="23917"/>
  <c r="X420" i="24142"/>
  <c r="X486" i="23917"/>
  <c r="Y418" i="24142"/>
  <c r="Y484" i="23917"/>
  <c r="AI286" i="24142"/>
  <c r="AI352" i="23917"/>
  <c r="BO286" i="24142"/>
  <c r="BO352" i="23917"/>
  <c r="DI273" i="24142"/>
  <c r="DI338" i="23917"/>
  <c r="J316" i="24142"/>
  <c r="J382" i="23917"/>
  <c r="J328" i="24142"/>
  <c r="J394" i="23917"/>
  <c r="P371" i="24142"/>
  <c r="P437" i="23917"/>
  <c r="P351" i="24142"/>
  <c r="P417" i="23917"/>
  <c r="K411" i="24142"/>
  <c r="K477" i="23917"/>
  <c r="J418" i="24142"/>
  <c r="J484" i="23917"/>
  <c r="AT492" i="24142"/>
  <c r="AT559" i="23917"/>
  <c r="BJ492" i="24142"/>
  <c r="BJ559" i="23917"/>
  <c r="S289" i="24142"/>
  <c r="S355" i="23917"/>
  <c r="BK289" i="24142"/>
  <c r="BK355" i="23917"/>
  <c r="AL278" i="24142"/>
  <c r="AL12" i="24142"/>
  <c r="AL343" i="23917"/>
  <c r="AL344" i="23917" s="1"/>
  <c r="DF416" i="24142"/>
  <c r="DF482" i="23917"/>
  <c r="AW483" i="24142"/>
  <c r="AW549" i="23917"/>
  <c r="F490" i="24142"/>
  <c r="F557" i="23917"/>
  <c r="AL492" i="24142"/>
  <c r="AL559" i="23917"/>
  <c r="B371" i="24142"/>
  <c r="B437" i="23917"/>
  <c r="R351" i="24142"/>
  <c r="R417" i="23917"/>
  <c r="S346" i="24142"/>
  <c r="S412" i="23917"/>
  <c r="DF415" i="24142"/>
  <c r="DF481" i="23917"/>
  <c r="DC433" i="24142"/>
  <c r="DC499" i="23917"/>
  <c r="AP494" i="24142"/>
  <c r="AP17" i="24142"/>
  <c r="AP560" i="23917"/>
  <c r="AP561" i="23917" s="1"/>
  <c r="BF494" i="24142"/>
  <c r="BF17" i="24142"/>
  <c r="BF560" i="23917"/>
  <c r="BF561" i="23917" s="1"/>
  <c r="BV494" i="24142"/>
  <c r="BV17" i="24142"/>
  <c r="BV560" i="23917"/>
  <c r="BV561" i="23917" s="1"/>
  <c r="AG270" i="24142"/>
  <c r="AG335" i="23917"/>
  <c r="DK273" i="24142"/>
  <c r="DK338" i="23917"/>
  <c r="AC273" i="24142"/>
  <c r="AC338" i="23917"/>
  <c r="BA273" i="24142"/>
  <c r="BA338" i="23917"/>
  <c r="DH384" i="24142"/>
  <c r="DH450" i="23917"/>
  <c r="DG392" i="24142"/>
  <c r="DG458" i="23917"/>
  <c r="B490" i="24142"/>
  <c r="B557" i="23917"/>
  <c r="DH481" i="24142"/>
  <c r="DH547" i="23917"/>
  <c r="E488" i="24142"/>
  <c r="E555" i="23917"/>
  <c r="BD490" i="24142"/>
  <c r="BD557" i="23917"/>
  <c r="BX490" i="24142"/>
  <c r="BX557" i="23917"/>
  <c r="AB490" i="24142"/>
  <c r="AB557" i="23917"/>
  <c r="AA82" i="24142"/>
  <c r="AA86" i="23917"/>
  <c r="AC91" i="23917"/>
  <c r="AB91" i="23917"/>
  <c r="AZ82" i="24142"/>
  <c r="AZ86" i="23917"/>
  <c r="BP82" i="24142"/>
  <c r="BP86" i="23917"/>
  <c r="O82" i="24142"/>
  <c r="O86" i="23917"/>
  <c r="BD83" i="24142"/>
  <c r="BD87" i="23917"/>
  <c r="AD89" i="24142"/>
  <c r="AD98" i="23917"/>
  <c r="AE99" i="23917"/>
  <c r="AD99" i="23917"/>
  <c r="BF89" i="24142"/>
  <c r="BF98" i="23917"/>
  <c r="DL85" i="24142"/>
  <c r="DK85" i="24142"/>
  <c r="AX83" i="24142"/>
  <c r="AX87" i="23917"/>
  <c r="AK89" i="23917"/>
  <c r="AJ89" i="23917"/>
  <c r="BT83" i="24142"/>
  <c r="BT87" i="23917"/>
  <c r="AZ89" i="24142"/>
  <c r="AZ98" i="23917"/>
  <c r="BT89" i="24142"/>
  <c r="BT98" i="23917"/>
  <c r="AL82" i="24142"/>
  <c r="AL86" i="23917"/>
  <c r="AL83" i="24142"/>
  <c r="AL87" i="23917"/>
  <c r="O88" i="24142"/>
  <c r="N88" i="24142"/>
  <c r="R273" i="23917"/>
  <c r="R221" i="23917"/>
  <c r="DT104" i="24142"/>
  <c r="DT200" i="23917"/>
  <c r="DJ140" i="24142"/>
  <c r="DJ291" i="23917"/>
  <c r="DE456" i="24142"/>
  <c r="DE522" i="23917"/>
  <c r="Z273" i="23917"/>
  <c r="Z221" i="23917"/>
  <c r="DS148" i="24142"/>
  <c r="DS299" i="23917"/>
  <c r="AF277" i="24142"/>
  <c r="AF342" i="23917"/>
  <c r="E7" i="24158"/>
  <c r="BD278" i="24142"/>
  <c r="BD12" i="24142"/>
  <c r="BD343" i="23917"/>
  <c r="BD344" i="23917" s="1"/>
  <c r="DM113" i="24142"/>
  <c r="DM209" i="23917"/>
  <c r="DI421" i="24142"/>
  <c r="DI487" i="23917"/>
  <c r="Q126" i="24142"/>
  <c r="Q228" i="23917"/>
  <c r="DT235" i="24142"/>
  <c r="DT171" i="23917"/>
  <c r="F150" i="24142"/>
  <c r="F301" i="23917"/>
  <c r="F10" i="24142"/>
  <c r="Y183" i="24142"/>
  <c r="Y120" i="23917"/>
  <c r="BK183" i="24142"/>
  <c r="BK120" i="23917"/>
  <c r="E469" i="24142"/>
  <c r="E535" i="23917"/>
  <c r="BC183" i="24142"/>
  <c r="BC120" i="23917"/>
  <c r="BB275" i="24142"/>
  <c r="BB340" i="23917"/>
  <c r="BE270" i="24142"/>
  <c r="BE335" i="23917"/>
  <c r="BC273" i="24142"/>
  <c r="BC338" i="23917"/>
  <c r="DD394" i="24142"/>
  <c r="DD460" i="23917"/>
  <c r="S488" i="24142"/>
  <c r="S555" i="23917"/>
  <c r="DV108" i="24142"/>
  <c r="DV204" i="23917"/>
  <c r="DP109" i="24142"/>
  <c r="DP205" i="23917"/>
  <c r="U162" i="24142"/>
  <c r="U316" i="23917"/>
  <c r="DM104" i="24142"/>
  <c r="DM200" i="23917"/>
  <c r="DO110" i="24142"/>
  <c r="DO206" i="23917"/>
  <c r="U126" i="24142"/>
  <c r="U228" i="23917"/>
  <c r="DL111" i="24142"/>
  <c r="DL207" i="23917"/>
  <c r="DD148" i="24142"/>
  <c r="DD299" i="23917"/>
  <c r="AB305" i="23917"/>
  <c r="DS147" i="24142"/>
  <c r="DS298" i="23917"/>
  <c r="DR144" i="24142"/>
  <c r="DR295" i="23917"/>
  <c r="DO147" i="24142"/>
  <c r="DO298" i="23917"/>
  <c r="DP235" i="24142"/>
  <c r="DP171" i="23917"/>
  <c r="DD138" i="24142"/>
  <c r="DD289" i="23917"/>
  <c r="M162" i="24142"/>
  <c r="M316" i="23917"/>
  <c r="DP138" i="24142"/>
  <c r="DP289" i="23917"/>
  <c r="DV249" i="24142"/>
  <c r="DV183" i="23917"/>
  <c r="T213" i="24142"/>
  <c r="T151" i="23917"/>
  <c r="DN210" i="24142"/>
  <c r="DN148" i="23917"/>
  <c r="AO286" i="24142"/>
  <c r="AO352" i="23917"/>
  <c r="DR249" i="24142"/>
  <c r="DR183" i="23917"/>
  <c r="AJ213" i="24142"/>
  <c r="AJ151" i="23917"/>
  <c r="X286" i="24142"/>
  <c r="X352" i="23917"/>
  <c r="BM290" i="24142"/>
  <c r="BM356" i="23917"/>
  <c r="I327" i="24142"/>
  <c r="I393" i="23917"/>
  <c r="DE371" i="24142"/>
  <c r="DE437" i="23917"/>
  <c r="G433" i="24142"/>
  <c r="G499" i="23917"/>
  <c r="DF265" i="24142"/>
  <c r="DF330" i="23917"/>
  <c r="DE290" i="24142"/>
  <c r="DE356" i="23917"/>
  <c r="AK290" i="24142"/>
  <c r="AK356" i="23917"/>
  <c r="BM286" i="24142"/>
  <c r="BM352" i="23917"/>
  <c r="DH265" i="24142"/>
  <c r="DH330" i="23917"/>
  <c r="AQ286" i="24142"/>
  <c r="AQ352" i="23917"/>
  <c r="DF271" i="24142"/>
  <c r="DF336" i="23917"/>
  <c r="Q270" i="24142"/>
  <c r="Q335" i="23917"/>
  <c r="DM289" i="24142"/>
  <c r="DM355" i="23917"/>
  <c r="DD395" i="24142"/>
  <c r="DD461" i="23917"/>
  <c r="DP271" i="24142"/>
  <c r="DP336" i="23917"/>
  <c r="BK270" i="24142"/>
  <c r="BK335" i="23917"/>
  <c r="DE469" i="24142"/>
  <c r="DE535" i="23917"/>
  <c r="AS270" i="24142"/>
  <c r="AS335" i="23917"/>
  <c r="AS273" i="24142"/>
  <c r="AS338" i="23917"/>
  <c r="DU289" i="24142"/>
  <c r="DU355" i="23917"/>
  <c r="DI392" i="24142"/>
  <c r="DI458" i="23917"/>
  <c r="DH416" i="24142"/>
  <c r="DH482" i="23917"/>
  <c r="DL488" i="24142"/>
  <c r="DL555" i="23917"/>
  <c r="K83" i="24142"/>
  <c r="K87" i="23917"/>
  <c r="S83" i="24142"/>
  <c r="S87" i="23917"/>
  <c r="Q89" i="24142"/>
  <c r="Q98" i="23917"/>
  <c r="AX82" i="24142"/>
  <c r="AX86" i="23917"/>
  <c r="BO95" i="23917"/>
  <c r="BN95" i="23917"/>
  <c r="O89" i="24142"/>
  <c r="O98" i="23917"/>
  <c r="AX111" i="24142"/>
  <c r="AX207" i="23917"/>
  <c r="BN111" i="24142"/>
  <c r="BN207" i="23917"/>
  <c r="L237" i="24142"/>
  <c r="L173" i="23917"/>
  <c r="DV235" i="24142"/>
  <c r="DV171" i="23917"/>
  <c r="DD210" i="24142"/>
  <c r="DD148" i="23917"/>
  <c r="AG183" i="24142"/>
  <c r="AG120" i="23917"/>
  <c r="G469" i="24142"/>
  <c r="G535" i="23917"/>
  <c r="DZ487" i="24142"/>
  <c r="DZ553" i="23917"/>
  <c r="CX40" i="23917"/>
  <c r="CW40" i="23917"/>
  <c r="AE183" i="24142"/>
  <c r="AE120" i="23917"/>
  <c r="BS183" i="24142"/>
  <c r="BS120" i="23917"/>
  <c r="BK273" i="24142"/>
  <c r="BK338" i="23917"/>
  <c r="BZ490" i="24142"/>
  <c r="BZ557" i="23917"/>
  <c r="DR108" i="24142"/>
  <c r="DR204" i="23917"/>
  <c r="DL109" i="24142"/>
  <c r="DL205" i="23917"/>
  <c r="BZ150" i="24142"/>
  <c r="BZ301" i="23917"/>
  <c r="AC126" i="24142"/>
  <c r="AC228" i="23917"/>
  <c r="AS162" i="24142"/>
  <c r="AS316" i="23917"/>
  <c r="DL102" i="24142"/>
  <c r="DL198" i="23917"/>
  <c r="DI140" i="24142"/>
  <c r="DI291" i="23917"/>
  <c r="DV144" i="24142"/>
  <c r="DV295" i="23917"/>
  <c r="AM146" i="24142"/>
  <c r="AM297" i="23917"/>
  <c r="DL235" i="24142"/>
  <c r="DL171" i="23917"/>
  <c r="AO148" i="24142"/>
  <c r="AO299" i="23917"/>
  <c r="DZ249" i="24142"/>
  <c r="DZ183" i="23917"/>
  <c r="BA290" i="24142"/>
  <c r="BA356" i="23917"/>
  <c r="DD327" i="24142"/>
  <c r="DD393" i="23917"/>
  <c r="BA286" i="24142"/>
  <c r="BA352" i="23917"/>
  <c r="N393" i="24142"/>
  <c r="N459" i="23917"/>
  <c r="O432" i="24142"/>
  <c r="O498" i="23917"/>
  <c r="Q290" i="24142"/>
  <c r="Q356" i="23917"/>
  <c r="AK286" i="24142"/>
  <c r="AK352" i="23917"/>
  <c r="AC290" i="24142"/>
  <c r="AC356" i="23917"/>
  <c r="Y432" i="24142"/>
  <c r="Y498" i="23917"/>
  <c r="S286" i="24142"/>
  <c r="S352" i="23917"/>
  <c r="AM286" i="24142"/>
  <c r="AM352" i="23917"/>
  <c r="DN271" i="24142"/>
  <c r="DN336" i="23917"/>
  <c r="DD314" i="24142"/>
  <c r="DD380" i="23917"/>
  <c r="DI418" i="24142"/>
  <c r="DI484" i="23917"/>
  <c r="AX344" i="23917"/>
  <c r="BN344" i="23917"/>
  <c r="BV344" i="23917"/>
  <c r="DH273" i="24142"/>
  <c r="DH338" i="23917"/>
  <c r="M416" i="24142"/>
  <c r="M482" i="23917"/>
  <c r="AU270" i="24142"/>
  <c r="AU335" i="23917"/>
  <c r="Y273" i="24142"/>
  <c r="Y338" i="23917"/>
  <c r="AW273" i="24142"/>
  <c r="AW338" i="23917"/>
  <c r="BM273" i="24142"/>
  <c r="BM338" i="23917"/>
  <c r="DE392" i="24142"/>
  <c r="DE458" i="23917"/>
  <c r="DD392" i="24142"/>
  <c r="DD458" i="23917"/>
  <c r="DE454" i="24142"/>
  <c r="DE520" i="23917"/>
  <c r="DD487" i="24142"/>
  <c r="DD553" i="23917"/>
  <c r="DF487" i="24142"/>
  <c r="DF553" i="23917"/>
  <c r="DN487" i="24142"/>
  <c r="DN553" i="23917"/>
  <c r="W83" i="24142"/>
  <c r="W87" i="23917"/>
  <c r="Y89" i="24142"/>
  <c r="Y98" i="23917"/>
  <c r="DF89" i="24142"/>
  <c r="DF98" i="23917"/>
  <c r="K89" i="24142"/>
  <c r="K98" i="23917"/>
  <c r="DJ89" i="24142"/>
  <c r="DJ98" i="23917"/>
  <c r="CF126" i="24142"/>
  <c r="CA152" i="24142"/>
  <c r="CH344" i="23917"/>
  <c r="CH116" i="24142"/>
  <c r="CH8" i="24142"/>
  <c r="CH212" i="23917"/>
  <c r="CH213" i="23917" s="1"/>
  <c r="AQ110" i="24142"/>
  <c r="AQ206" i="23917"/>
  <c r="DX102" i="24142"/>
  <c r="DX198" i="23917"/>
  <c r="CH115" i="24142"/>
  <c r="CH211" i="23917"/>
  <c r="CL115" i="24142"/>
  <c r="CL211" i="23917"/>
  <c r="CL116" i="24142"/>
  <c r="CL8" i="24142"/>
  <c r="CL212" i="23917"/>
  <c r="CL213" i="23917" s="1"/>
  <c r="BY115" i="24142"/>
  <c r="BY211" i="23917"/>
  <c r="AU110" i="24142"/>
  <c r="AU206" i="23917"/>
  <c r="CI297" i="23917"/>
  <c r="CI146" i="24142"/>
  <c r="M150" i="24142"/>
  <c r="M301" i="23917"/>
  <c r="Y152" i="24142"/>
  <c r="S150" i="24142"/>
  <c r="S301" i="23917"/>
  <c r="AA150" i="24142"/>
  <c r="AA301" i="23917"/>
  <c r="BQ110" i="24142"/>
  <c r="BQ206" i="23917"/>
  <c r="CG110" i="24142"/>
  <c r="CG206" i="23917"/>
  <c r="O110" i="24142"/>
  <c r="O206" i="23917"/>
  <c r="BU147" i="24142"/>
  <c r="BU298" i="23917"/>
  <c r="CJ148" i="24142"/>
  <c r="CJ299" i="23917"/>
  <c r="U186" i="24142"/>
  <c r="U123" i="23917"/>
  <c r="DX140" i="24142"/>
  <c r="DX291" i="23917"/>
  <c r="CC183" i="24142"/>
  <c r="CC120" i="23917"/>
  <c r="DY286" i="24142"/>
  <c r="DY352" i="23917"/>
  <c r="BY275" i="24142"/>
  <c r="BY340" i="23917"/>
  <c r="CE289" i="24142"/>
  <c r="CE355" i="23917"/>
  <c r="Q177" i="24142"/>
  <c r="Q114" i="23917"/>
  <c r="CB186" i="24142"/>
  <c r="CB123" i="23917"/>
  <c r="CK289" i="24142"/>
  <c r="CK355" i="23917"/>
  <c r="BW278" i="24142"/>
  <c r="BW12" i="24142"/>
  <c r="BW343" i="23917"/>
  <c r="CG275" i="24142"/>
  <c r="CG340" i="23917"/>
  <c r="CF278" i="24142"/>
  <c r="CF343" i="23917"/>
  <c r="CF344" i="23917" s="1"/>
  <c r="CF12" i="24142"/>
  <c r="AE177" i="24142"/>
  <c r="AE114" i="23917"/>
  <c r="CH214" i="24142"/>
  <c r="CH152" i="23917"/>
  <c r="Q275" i="24142"/>
  <c r="Q340" i="23917"/>
  <c r="AK275" i="24142"/>
  <c r="AK340" i="23917"/>
  <c r="BS289" i="24142"/>
  <c r="BS355" i="23917"/>
  <c r="CH284" i="24142"/>
  <c r="CH350" i="23917"/>
  <c r="I311" i="24142"/>
  <c r="I377" i="23917"/>
  <c r="AU277" i="24142"/>
  <c r="AU342" i="23917"/>
  <c r="BW270" i="24142"/>
  <c r="BW335" i="23917"/>
  <c r="CB490" i="24142"/>
  <c r="CB557" i="23917"/>
  <c r="BU82" i="24142"/>
  <c r="BU86" i="23917"/>
  <c r="CL84" i="24142"/>
  <c r="CL88" i="23917"/>
  <c r="CL86" i="24142"/>
  <c r="CM88" i="24142"/>
  <c r="CL88" i="24142"/>
  <c r="CI89" i="24142"/>
  <c r="BS82" i="24142"/>
  <c r="BS86" i="23917"/>
  <c r="CA83" i="24142"/>
  <c r="CA87" i="23917"/>
  <c r="CB83" i="24142"/>
  <c r="CB87" i="23917"/>
  <c r="CC89" i="23917"/>
  <c r="CB89" i="23917"/>
  <c r="CA116" i="24142"/>
  <c r="CA8" i="24142"/>
  <c r="CA212" i="23917"/>
  <c r="BU113" i="24142"/>
  <c r="BU209" i="23917"/>
  <c r="CJ116" i="24142"/>
  <c r="CJ8" i="24142"/>
  <c r="CJ212" i="23917"/>
  <c r="CJ213" i="23917" s="1"/>
  <c r="CK113" i="24142"/>
  <c r="CK209" i="23917"/>
  <c r="DY110" i="24142"/>
  <c r="DY206" i="23917"/>
  <c r="CE110" i="24142"/>
  <c r="CE206" i="23917"/>
  <c r="AC303" i="23917"/>
  <c r="BW146" i="24142"/>
  <c r="BW297" i="23917"/>
  <c r="S102" i="24142"/>
  <c r="S198" i="23917"/>
  <c r="BU110" i="24142"/>
  <c r="BU206" i="23917"/>
  <c r="CK110" i="24142"/>
  <c r="CK206" i="23917"/>
  <c r="W110" i="24142"/>
  <c r="W206" i="23917"/>
  <c r="AQ150" i="24142"/>
  <c r="AQ301" i="23917"/>
  <c r="DY147" i="24142"/>
  <c r="DY298" i="23917"/>
  <c r="CM146" i="24142"/>
  <c r="CM297" i="23917"/>
  <c r="AC291" i="23917"/>
  <c r="AC140" i="24142"/>
  <c r="M186" i="24142"/>
  <c r="M123" i="23917"/>
  <c r="AS188" i="24142"/>
  <c r="AS125" i="23917"/>
  <c r="BY186" i="24142"/>
  <c r="BY123" i="23917"/>
  <c r="CA186" i="24142"/>
  <c r="CA123" i="23917"/>
  <c r="CG183" i="24142"/>
  <c r="CG120" i="23917"/>
  <c r="AG275" i="24142"/>
  <c r="AG340" i="23917"/>
  <c r="BY286" i="24142"/>
  <c r="BY352" i="23917"/>
  <c r="CF214" i="24142"/>
  <c r="CF152" i="23917"/>
  <c r="K277" i="24142"/>
  <c r="K342" i="23917"/>
  <c r="BU289" i="24142"/>
  <c r="BU355" i="23917"/>
  <c r="CJ277" i="24142"/>
  <c r="CJ342" i="23917"/>
  <c r="CK275" i="24142"/>
  <c r="CK340" i="23917"/>
  <c r="CG289" i="24142"/>
  <c r="CG355" i="23917"/>
  <c r="DY177" i="24142"/>
  <c r="DY114" i="23917"/>
  <c r="CD186" i="24142"/>
  <c r="CD123" i="23917"/>
  <c r="AE275" i="24142"/>
  <c r="AE340" i="23917"/>
  <c r="BS490" i="24142"/>
  <c r="BS557" i="23917"/>
  <c r="BS277" i="24142"/>
  <c r="BS342" i="23917"/>
  <c r="CM490" i="24142"/>
  <c r="CM557" i="23917"/>
  <c r="CF490" i="24142"/>
  <c r="CF557" i="23917"/>
  <c r="DY483" i="24142"/>
  <c r="DY549" i="23917"/>
  <c r="DX85" i="24142"/>
  <c r="DW85" i="24142"/>
  <c r="BY82" i="24142"/>
  <c r="CH83" i="24142"/>
  <c r="CH87" i="23917"/>
  <c r="CH84" i="24142"/>
  <c r="CH86" i="24142"/>
  <c r="CH88" i="23917"/>
  <c r="CJ82" i="24142"/>
  <c r="CJ86" i="23917"/>
  <c r="CJ83" i="24142"/>
  <c r="CJ87" i="23917"/>
  <c r="CG113" i="24142"/>
  <c r="CG209" i="23917"/>
  <c r="CF116" i="24142"/>
  <c r="CF8" i="24142"/>
  <c r="CF212" i="23917"/>
  <c r="BS110" i="24142"/>
  <c r="BS206" i="23917"/>
  <c r="CI110" i="24142"/>
  <c r="CI206" i="23917"/>
  <c r="K152" i="24142"/>
  <c r="K303" i="23917"/>
  <c r="CH150" i="24142"/>
  <c r="CH301" i="23917"/>
  <c r="AU152" i="24142"/>
  <c r="AU303" i="23917"/>
  <c r="AU150" i="24142"/>
  <c r="AU301" i="23917"/>
  <c r="AM150" i="24142"/>
  <c r="AM301" i="23917"/>
  <c r="AI150" i="24142"/>
  <c r="AI301" i="23917"/>
  <c r="CD162" i="24142"/>
  <c r="CD316" i="23917"/>
  <c r="AK291" i="23917"/>
  <c r="AK140" i="24142"/>
  <c r="CB148" i="24142"/>
  <c r="CB299" i="23917"/>
  <c r="Q150" i="24142"/>
  <c r="Q301" i="23917"/>
  <c r="AK186" i="24142"/>
  <c r="AK123" i="23917"/>
  <c r="BQ186" i="24142"/>
  <c r="BQ123" i="23917"/>
  <c r="AG177" i="24142"/>
  <c r="AG114" i="23917"/>
  <c r="CJ186" i="24142"/>
  <c r="CJ123" i="23917"/>
  <c r="BQ273" i="24142"/>
  <c r="BQ338" i="23917"/>
  <c r="DY275" i="24142"/>
  <c r="DY340" i="23917"/>
  <c r="AM177" i="24142"/>
  <c r="AM114" i="23917"/>
  <c r="BS177" i="24142"/>
  <c r="BS114" i="23917"/>
  <c r="CH186" i="24142"/>
  <c r="CH123" i="23917"/>
  <c r="CC275" i="24142"/>
  <c r="CC340" i="23917"/>
  <c r="CE275" i="24142"/>
  <c r="CE340" i="23917"/>
  <c r="CE270" i="24142"/>
  <c r="CE335" i="23917"/>
  <c r="DZ289" i="24142"/>
  <c r="DZ355" i="23917"/>
  <c r="CK488" i="24142"/>
  <c r="CK555" i="23917"/>
  <c r="CH490" i="24142"/>
  <c r="CH557" i="23917"/>
  <c r="CF82" i="24142"/>
  <c r="CF86" i="23917"/>
  <c r="DY82" i="24142"/>
  <c r="DY86" i="23917"/>
  <c r="CB89" i="24142"/>
  <c r="CB98" i="23917"/>
  <c r="CC99" i="23917"/>
  <c r="CB99" i="23917"/>
  <c r="BS113" i="24142"/>
  <c r="BS209" i="23917"/>
  <c r="CC113" i="24142"/>
  <c r="CC209" i="23917"/>
  <c r="BS146" i="24142"/>
  <c r="BS297" i="23917"/>
  <c r="CG276" i="23917"/>
  <c r="CF276" i="23917"/>
  <c r="DW110" i="24142"/>
  <c r="DW206" i="23917"/>
  <c r="CL126" i="24142"/>
  <c r="CL228" i="23917"/>
  <c r="K110" i="24142"/>
  <c r="K206" i="23917"/>
  <c r="AW110" i="24142"/>
  <c r="AW206" i="23917"/>
  <c r="CC110" i="24142"/>
  <c r="CC206" i="23917"/>
  <c r="U150" i="24142"/>
  <c r="U301" i="23917"/>
  <c r="CE148" i="24142"/>
  <c r="CE299" i="23917"/>
  <c r="CM148" i="24142"/>
  <c r="CM299" i="23917"/>
  <c r="DZ291" i="23917"/>
  <c r="DZ140" i="24142"/>
  <c r="M291" i="23917"/>
  <c r="M140" i="24142"/>
  <c r="AS291" i="23917"/>
  <c r="AS140" i="24142"/>
  <c r="CG147" i="24142"/>
  <c r="CG298" i="23917"/>
  <c r="CF146" i="24142"/>
  <c r="CF297" i="23917"/>
  <c r="CA153" i="24142"/>
  <c r="CA304" i="23917"/>
  <c r="CA9" i="24142"/>
  <c r="DW275" i="24142"/>
  <c r="DW340" i="23917"/>
  <c r="BU177" i="24142"/>
  <c r="BU114" i="23917"/>
  <c r="M275" i="24142"/>
  <c r="M340" i="23917"/>
  <c r="U275" i="24142"/>
  <c r="U340" i="23917"/>
  <c r="AA278" i="24142"/>
  <c r="AA12" i="24142"/>
  <c r="AA343" i="23917"/>
  <c r="BQ183" i="24142"/>
  <c r="BQ120" i="23917"/>
  <c r="K177" i="24142"/>
  <c r="K114" i="23917"/>
  <c r="AA177" i="24142"/>
  <c r="AA114" i="23917"/>
  <c r="AQ177" i="24142"/>
  <c r="AQ114" i="23917"/>
  <c r="BW177" i="24142"/>
  <c r="BW114" i="23917"/>
  <c r="DW177" i="24142"/>
  <c r="DW114" i="23917"/>
  <c r="CM177" i="24142"/>
  <c r="CM114" i="23917"/>
  <c r="CL186" i="24142"/>
  <c r="CL123" i="23917"/>
  <c r="CM275" i="24142"/>
  <c r="CM340" i="23917"/>
  <c r="K306" i="24142"/>
  <c r="K372" i="23917"/>
  <c r="AM275" i="24142"/>
  <c r="AM340" i="23917"/>
  <c r="BS270" i="24142"/>
  <c r="BS335" i="23917"/>
  <c r="CE490" i="24142"/>
  <c r="CE557" i="23917"/>
  <c r="DX481" i="24142"/>
  <c r="DX547" i="23917"/>
  <c r="DX94" i="23917"/>
  <c r="DW94" i="23917"/>
  <c r="BY89" i="24142"/>
  <c r="BY98" i="23917"/>
  <c r="CD83" i="24142"/>
  <c r="CD87" i="23917"/>
  <c r="CE88" i="24142"/>
  <c r="CD88" i="24142"/>
  <c r="CH82" i="24142"/>
  <c r="CH86" i="23917"/>
  <c r="DX96" i="23917"/>
  <c r="DW96" i="23917"/>
  <c r="DY83" i="24142"/>
  <c r="DY87" i="23917"/>
  <c r="DW148" i="24142"/>
  <c r="DW299" i="23917"/>
  <c r="CA277" i="24142"/>
  <c r="CA342" i="23917"/>
  <c r="CE125" i="24142"/>
  <c r="CE227" i="23917"/>
  <c r="CI286" i="24142"/>
  <c r="CI352" i="23917"/>
  <c r="DZ290" i="24142"/>
  <c r="DZ356" i="23917"/>
  <c r="CD111" i="24142"/>
  <c r="CD207" i="23917"/>
  <c r="CA146" i="24142"/>
  <c r="CA297" i="23917"/>
  <c r="CA126" i="24142"/>
  <c r="CA228" i="23917"/>
  <c r="CA150" i="24142"/>
  <c r="CA301" i="23917"/>
  <c r="CC286" i="24142"/>
  <c r="CC352" i="23917"/>
  <c r="CK290" i="24142"/>
  <c r="CK356" i="23917"/>
  <c r="CM290" i="24142"/>
  <c r="CM356" i="23917"/>
  <c r="CI113" i="24142"/>
  <c r="CI209" i="23917"/>
  <c r="BY113" i="24142"/>
  <c r="BY209" i="23917"/>
  <c r="DW111" i="24142"/>
  <c r="DW207" i="23917"/>
  <c r="CK276" i="23917"/>
  <c r="CJ276" i="23917"/>
  <c r="S110" i="24142"/>
  <c r="S206" i="23917"/>
  <c r="CH162" i="24142"/>
  <c r="CH316" i="23917"/>
  <c r="Y150" i="24142"/>
  <c r="Y301" i="23917"/>
  <c r="S152" i="24142"/>
  <c r="S303" i="23917"/>
  <c r="BQ126" i="24142"/>
  <c r="BQ228" i="23917"/>
  <c r="U291" i="23917"/>
  <c r="U140" i="24142"/>
  <c r="CK147" i="24142"/>
  <c r="CK298" i="23917"/>
  <c r="CJ146" i="24142"/>
  <c r="CJ297" i="23917"/>
  <c r="U125" i="23917"/>
  <c r="CK183" i="24142"/>
  <c r="CK120" i="23917"/>
  <c r="CB214" i="24142"/>
  <c r="CB152" i="23917"/>
  <c r="S277" i="24142"/>
  <c r="S342" i="23917"/>
  <c r="BY277" i="24142"/>
  <c r="BY342" i="23917"/>
  <c r="AW177" i="24142"/>
  <c r="AW114" i="23917"/>
  <c r="CC177" i="24142"/>
  <c r="CC114" i="23917"/>
  <c r="BQ289" i="24142"/>
  <c r="BQ355" i="23917"/>
  <c r="BW350" i="23917"/>
  <c r="CF277" i="24142"/>
  <c r="CF342" i="23917"/>
  <c r="O177" i="24142"/>
  <c r="O114" i="23917"/>
  <c r="AU177" i="24142"/>
  <c r="AU114" i="23917"/>
  <c r="CI183" i="24142"/>
  <c r="CI120" i="23917"/>
  <c r="BQ213" i="24142"/>
  <c r="BQ151" i="23917"/>
  <c r="CI278" i="24142"/>
  <c r="CI12" i="24142"/>
  <c r="CI343" i="23917"/>
  <c r="CE290" i="24142"/>
  <c r="CE356" i="23917"/>
  <c r="AU275" i="24142"/>
  <c r="AU340" i="23917"/>
  <c r="DW270" i="24142"/>
  <c r="DW335" i="23917"/>
  <c r="CM270" i="24142"/>
  <c r="CM335" i="23917"/>
  <c r="BW289" i="24142"/>
  <c r="BW355" i="23917"/>
  <c r="CC488" i="24142"/>
  <c r="CC555" i="23917"/>
  <c r="CM89" i="24142"/>
  <c r="CM98" i="23917"/>
  <c r="CL82" i="24142"/>
  <c r="CL86" i="23917"/>
  <c r="CL83" i="24142"/>
  <c r="CL87" i="23917"/>
  <c r="CM89" i="23917"/>
  <c r="CL89" i="23917"/>
  <c r="CF83" i="24142"/>
  <c r="CF87" i="23917"/>
  <c r="CG89" i="23917"/>
  <c r="CF89" i="23917"/>
  <c r="CA86" i="24142"/>
  <c r="CA84" i="24142"/>
  <c r="CA88" i="23917"/>
  <c r="CF89" i="24142"/>
  <c r="CF98" i="23917"/>
  <c r="CG99" i="23917"/>
  <c r="CF99" i="23917"/>
  <c r="CB84" i="24142"/>
  <c r="CB86" i="24142"/>
  <c r="CB88" i="23917"/>
  <c r="CC88" i="24142"/>
  <c r="CB88" i="24142"/>
  <c r="CA115" i="24142"/>
  <c r="CA211" i="23917"/>
  <c r="DY104" i="24142"/>
  <c r="DY200" i="23917"/>
  <c r="BU115" i="24142"/>
  <c r="BU211" i="23917"/>
  <c r="CJ115" i="24142"/>
  <c r="CJ211" i="23917"/>
  <c r="BS148" i="24142"/>
  <c r="BS299" i="23917"/>
  <c r="AE152" i="24142"/>
  <c r="AE303" i="23917"/>
  <c r="AE150" i="24142"/>
  <c r="AE301" i="23917"/>
  <c r="CD126" i="24142"/>
  <c r="CD228" i="23917"/>
  <c r="AA110" i="24142"/>
  <c r="AA206" i="23917"/>
  <c r="AC150" i="24142"/>
  <c r="AC301" i="23917"/>
  <c r="BW162" i="24142"/>
  <c r="K102" i="24142"/>
  <c r="K198" i="23917"/>
  <c r="BU126" i="24142"/>
  <c r="BU228" i="23917"/>
  <c r="CJ126" i="24142"/>
  <c r="CJ228" i="23917"/>
  <c r="DY141" i="24142"/>
  <c r="DY292" i="23917"/>
  <c r="AQ152" i="24142"/>
  <c r="CL162" i="24142"/>
  <c r="CL316" i="23917"/>
  <c r="BY147" i="24142"/>
  <c r="BY298" i="23917"/>
  <c r="M125" i="23917"/>
  <c r="AS186" i="24142"/>
  <c r="AS123" i="23917"/>
  <c r="BY188" i="24142"/>
  <c r="BY125" i="23917"/>
  <c r="CA213" i="24142"/>
  <c r="CA151" i="23917"/>
  <c r="DY183" i="24142"/>
  <c r="DY120" i="23917"/>
  <c r="BY289" i="24142"/>
  <c r="BY355" i="23917"/>
  <c r="Y177" i="24142"/>
  <c r="Y114" i="23917"/>
  <c r="CF186" i="24142"/>
  <c r="CF123" i="23917"/>
  <c r="CG177" i="24142"/>
  <c r="CG114" i="23917"/>
  <c r="K275" i="24142"/>
  <c r="K340" i="23917"/>
  <c r="CJ278" i="24142"/>
  <c r="CJ343" i="23917"/>
  <c r="CJ344" i="23917" s="1"/>
  <c r="CJ12" i="24142"/>
  <c r="S177" i="24142"/>
  <c r="S114" i="23917"/>
  <c r="AI177" i="24142"/>
  <c r="AI114" i="23917"/>
  <c r="CE177" i="24142"/>
  <c r="CE114" i="23917"/>
  <c r="BW183" i="24142"/>
  <c r="BW120" i="23917"/>
  <c r="DW183" i="24142"/>
  <c r="DW120" i="23917"/>
  <c r="AE277" i="24142"/>
  <c r="AE342" i="23917"/>
  <c r="CC289" i="24142"/>
  <c r="CC355" i="23917"/>
  <c r="CI277" i="24142"/>
  <c r="CI342" i="23917"/>
  <c r="BS492" i="24142"/>
  <c r="BS559" i="23917"/>
  <c r="DX289" i="24142"/>
  <c r="DX355" i="23917"/>
  <c r="BS275" i="24142"/>
  <c r="BS340" i="23917"/>
  <c r="CI289" i="24142"/>
  <c r="CI355" i="23917"/>
  <c r="CL492" i="24142"/>
  <c r="CL559" i="23917"/>
  <c r="CL494" i="24142"/>
  <c r="CL17" i="24142"/>
  <c r="CL560" i="23917"/>
  <c r="CL561" i="23917" s="1"/>
  <c r="BQ488" i="24142"/>
  <c r="BQ555" i="23917"/>
  <c r="CG488" i="24142"/>
  <c r="CG555" i="23917"/>
  <c r="DZ481" i="24142"/>
  <c r="DZ547" i="23917"/>
  <c r="CD84" i="24142"/>
  <c r="CD88" i="23917"/>
  <c r="CD86" i="24142"/>
  <c r="BQ83" i="24142"/>
  <c r="BQ87" i="23917"/>
  <c r="CI89" i="23917"/>
  <c r="CH89" i="23917"/>
  <c r="CI88" i="24142"/>
  <c r="CH88" i="24142"/>
  <c r="CJ89" i="24142"/>
  <c r="CJ98" i="23917"/>
  <c r="CK99" i="23917"/>
  <c r="CJ99" i="23917"/>
  <c r="BQ113" i="24142"/>
  <c r="BQ209" i="23917"/>
  <c r="CF115" i="24142"/>
  <c r="CF211" i="23917"/>
  <c r="CH126" i="24142"/>
  <c r="CH228" i="23917"/>
  <c r="AI110" i="24142"/>
  <c r="AI206" i="23917"/>
  <c r="K150" i="24142"/>
  <c r="K301" i="23917"/>
  <c r="CI299" i="23917"/>
  <c r="CI148" i="24142"/>
  <c r="BY110" i="24142"/>
  <c r="BY206" i="23917"/>
  <c r="AE110" i="24142"/>
  <c r="AE206" i="23917"/>
  <c r="CE146" i="24142"/>
  <c r="CE297" i="23917"/>
  <c r="CC147" i="24142"/>
  <c r="CC298" i="23917"/>
  <c r="CB146" i="24142"/>
  <c r="CB297" i="23917"/>
  <c r="AK125" i="23917"/>
  <c r="BQ188" i="24142"/>
  <c r="BQ125" i="23917"/>
  <c r="BU273" i="24142"/>
  <c r="BU338" i="23917"/>
  <c r="CK177" i="24142"/>
  <c r="CK114" i="23917"/>
  <c r="AO275" i="24142"/>
  <c r="AO340" i="23917"/>
  <c r="AO342" i="23917"/>
  <c r="BU275" i="24142"/>
  <c r="BU340" i="23917"/>
  <c r="CK286" i="24142"/>
  <c r="CK352" i="23917"/>
  <c r="BY183" i="24142"/>
  <c r="BY120" i="23917"/>
  <c r="DZ266" i="24142"/>
  <c r="DZ331" i="23917"/>
  <c r="W177" i="24142"/>
  <c r="W114" i="23917"/>
  <c r="CI177" i="24142"/>
  <c r="CI114" i="23917"/>
  <c r="BY213" i="24142"/>
  <c r="BY151" i="23917"/>
  <c r="CB278" i="24142"/>
  <c r="CB343" i="23917"/>
  <c r="CB344" i="23917" s="1"/>
  <c r="CB12" i="24142"/>
  <c r="CB277" i="24142"/>
  <c r="CB342" i="23917"/>
  <c r="BS286" i="24142"/>
  <c r="BS352" i="23917"/>
  <c r="CD277" i="24142"/>
  <c r="CD342" i="23917"/>
  <c r="CD278" i="24142"/>
  <c r="CD343" i="23917"/>
  <c r="CD344" i="23917" s="1"/>
  <c r="CD12" i="24142"/>
  <c r="W275" i="24142"/>
  <c r="W340" i="23917"/>
  <c r="DY270" i="24142"/>
  <c r="DY335" i="23917"/>
  <c r="BU488" i="24142"/>
  <c r="BU555" i="23917"/>
  <c r="CJ490" i="24142"/>
  <c r="CJ557" i="23917"/>
  <c r="CI488" i="24142"/>
  <c r="CI555" i="23917"/>
  <c r="DX95" i="23917"/>
  <c r="DW95" i="23917"/>
  <c r="CD89" i="24142"/>
  <c r="CD98" i="23917"/>
  <c r="CE99" i="23917"/>
  <c r="CD99" i="23917"/>
  <c r="BS83" i="24142"/>
  <c r="BS87" i="23917"/>
  <c r="CA89" i="24142"/>
  <c r="CA98" i="23917"/>
  <c r="CA82" i="24142"/>
  <c r="CA86" i="23917"/>
  <c r="CB115" i="24142"/>
  <c r="CB211" i="23917"/>
  <c r="CB116" i="24142"/>
  <c r="CB8" i="24142"/>
  <c r="CB212" i="23917"/>
  <c r="CB213" i="23917" s="1"/>
  <c r="W152" i="24142"/>
  <c r="W303" i="23917"/>
  <c r="W150" i="24142"/>
  <c r="W301" i="23917"/>
  <c r="DZ102" i="24142"/>
  <c r="DZ198" i="23917"/>
  <c r="BW110" i="24142"/>
  <c r="BW206" i="23917"/>
  <c r="CM110" i="24142"/>
  <c r="CM206" i="23917"/>
  <c r="AM110" i="24142"/>
  <c r="AM206" i="23917"/>
  <c r="O150" i="24142"/>
  <c r="O301" i="23917"/>
  <c r="BW148" i="24142"/>
  <c r="BW299" i="23917"/>
  <c r="CB126" i="24142"/>
  <c r="CB228" i="23917"/>
  <c r="CD150" i="24142"/>
  <c r="CD301" i="23917"/>
  <c r="CL150" i="24142"/>
  <c r="CL301" i="23917"/>
  <c r="BQ147" i="24142"/>
  <c r="BQ298" i="23917"/>
  <c r="CF148" i="24142"/>
  <c r="CF299" i="23917"/>
  <c r="CA303" i="23917"/>
  <c r="AC186" i="24142"/>
  <c r="AC123" i="23917"/>
  <c r="DW286" i="24142"/>
  <c r="DW352" i="23917"/>
  <c r="DX266" i="24142"/>
  <c r="DX331" i="23917"/>
  <c r="AO177" i="24142"/>
  <c r="AO114" i="23917"/>
  <c r="BU286" i="24142"/>
  <c r="BU352" i="23917"/>
  <c r="DX290" i="24142"/>
  <c r="DX356" i="23917"/>
  <c r="I316" i="24142"/>
  <c r="I382" i="23917"/>
  <c r="BW286" i="24142"/>
  <c r="BW352" i="23917"/>
  <c r="CC290" i="24142"/>
  <c r="CC356" i="23917"/>
  <c r="CL277" i="24142"/>
  <c r="CL342" i="23917"/>
  <c r="CL278" i="24142"/>
  <c r="CL343" i="23917"/>
  <c r="CL344" i="23917" s="1"/>
  <c r="CL12" i="24142"/>
  <c r="CI270" i="24142"/>
  <c r="CI335" i="23917"/>
  <c r="BW490" i="24142"/>
  <c r="BW557" i="23917"/>
  <c r="CD492" i="24142"/>
  <c r="CD559" i="23917"/>
  <c r="CD494" i="24142"/>
  <c r="CD17" i="24142"/>
  <c r="CD560" i="23917"/>
  <c r="CD561" i="23917" s="1"/>
  <c r="DW483" i="24142"/>
  <c r="DW549" i="23917"/>
  <c r="BY488" i="24142"/>
  <c r="BY555" i="23917"/>
  <c r="CE89" i="23917"/>
  <c r="CD89" i="23917"/>
  <c r="CA278" i="24142"/>
  <c r="CA12" i="24142"/>
  <c r="CA343" i="23917"/>
  <c r="CM183" i="24142"/>
  <c r="CM120" i="23917"/>
  <c r="CA113" i="24142"/>
  <c r="CA209" i="23917"/>
  <c r="DY111" i="24142"/>
  <c r="DY207" i="23917"/>
  <c r="CI125" i="24142"/>
  <c r="CI227" i="23917"/>
  <c r="DW141" i="24142"/>
  <c r="DW292" i="23917"/>
  <c r="CG286" i="24142"/>
  <c r="CG352" i="23917"/>
  <c r="CA275" i="24142"/>
  <c r="CA340" i="23917"/>
  <c r="CF88" i="24142"/>
  <c r="CB82" i="24142"/>
  <c r="CB86" i="23917"/>
  <c r="EJ356" i="23917"/>
  <c r="EJ290" i="24142"/>
  <c r="CN116" i="24142"/>
  <c r="CN8" i="24142"/>
  <c r="CN212" i="23917"/>
  <c r="CN213" i="23917" s="1"/>
  <c r="CQ140" i="24142"/>
  <c r="CQ291" i="23917"/>
  <c r="EA265" i="24142"/>
  <c r="EA330" i="23917"/>
  <c r="CS481" i="24142"/>
  <c r="CS547" i="23917"/>
  <c r="EB481" i="24142"/>
  <c r="EB547" i="23917"/>
  <c r="EB109" i="24142"/>
  <c r="EB205" i="23917"/>
  <c r="CN278" i="24142"/>
  <c r="CN12" i="24142"/>
  <c r="CN343" i="23917"/>
  <c r="CN344" i="23917" s="1"/>
  <c r="CR266" i="24142"/>
  <c r="CR331" i="23917"/>
  <c r="CN126" i="24142"/>
  <c r="CN228" i="23917"/>
  <c r="CP290" i="24142"/>
  <c r="CP356" i="23917"/>
  <c r="CN186" i="24142"/>
  <c r="CN123" i="23917"/>
  <c r="CR487" i="24142"/>
  <c r="CR553" i="23917"/>
  <c r="CS109" i="24142"/>
  <c r="CS205" i="23917"/>
  <c r="CS265" i="24142"/>
  <c r="CS330" i="23917"/>
  <c r="CR140" i="24142"/>
  <c r="CR291" i="23917"/>
  <c r="CO183" i="24142"/>
  <c r="CO120" i="23917"/>
  <c r="CR483" i="24142"/>
  <c r="CR549" i="23917"/>
  <c r="CO147" i="24142"/>
  <c r="CO298" i="23917"/>
  <c r="CO286" i="24142"/>
  <c r="CO352" i="23917"/>
  <c r="CO488" i="24142"/>
  <c r="CO555" i="23917"/>
  <c r="CS145" i="24142"/>
  <c r="CS296" i="23917"/>
  <c r="EE241" i="24142"/>
  <c r="CQ286" i="24142"/>
  <c r="CQ352" i="23917"/>
  <c r="EB272" i="23917"/>
  <c r="EA272" i="23917"/>
  <c r="CQ125" i="24142"/>
  <c r="CQ227" i="23917"/>
  <c r="CN115" i="24142"/>
  <c r="CN211" i="23917"/>
  <c r="CN214" i="24142"/>
  <c r="CN152" i="23917"/>
  <c r="CS264" i="24142"/>
  <c r="CS329" i="23917"/>
  <c r="EA483" i="24142"/>
  <c r="EA549" i="23917"/>
  <c r="CO276" i="23917"/>
  <c r="CN276" i="23917"/>
  <c r="CN148" i="24142"/>
  <c r="CN299" i="23917"/>
  <c r="CO275" i="24142"/>
  <c r="CO340" i="23917"/>
  <c r="EB264" i="24142"/>
  <c r="EB329" i="23917"/>
  <c r="CP490" i="24142"/>
  <c r="CP557" i="23917"/>
  <c r="CO289" i="24142"/>
  <c r="CO355" i="23917"/>
  <c r="EB263" i="24142"/>
  <c r="EB328" i="23917"/>
  <c r="EB486" i="24142"/>
  <c r="EB552" i="23917"/>
  <c r="CS232" i="24142"/>
  <c r="CR232" i="24142"/>
  <c r="CO177" i="24142"/>
  <c r="CO114" i="23917"/>
  <c r="CN490" i="24142"/>
  <c r="CN557" i="23917"/>
  <c r="CQ487" i="24142"/>
  <c r="CQ553" i="23917"/>
  <c r="CP33" i="24142"/>
  <c r="CP39" i="23917"/>
  <c r="EA48" i="24142"/>
  <c r="EA57" i="23917"/>
  <c r="CS271" i="24142"/>
  <c r="CS336" i="23917"/>
  <c r="EA254" i="23917"/>
  <c r="EB254" i="23917"/>
  <c r="EB145" i="24142"/>
  <c r="EB296" i="23917"/>
  <c r="CR125" i="24142"/>
  <c r="CR227" i="23917"/>
  <c r="CO113" i="24142"/>
  <c r="CO209" i="23917"/>
  <c r="EE227" i="24142"/>
  <c r="EE165" i="23917"/>
  <c r="CR286" i="24142"/>
  <c r="CR352" i="23917"/>
  <c r="CN146" i="24142"/>
  <c r="CN297" i="23917"/>
  <c r="EB242" i="24142"/>
  <c r="EB178" i="23917"/>
  <c r="CN277" i="24142"/>
  <c r="CN342" i="23917"/>
  <c r="CQ483" i="24142"/>
  <c r="CQ549" i="23917"/>
  <c r="CO110" i="24142"/>
  <c r="CO206" i="23917"/>
  <c r="CP289" i="24142"/>
  <c r="CP355" i="23917"/>
  <c r="CO290" i="24142"/>
  <c r="CO356" i="23917"/>
  <c r="CQ488" i="24142"/>
  <c r="CQ555" i="23917"/>
  <c r="EE166" i="23917"/>
  <c r="EA259" i="23917"/>
  <c r="EB259" i="23917"/>
  <c r="CS182" i="24142"/>
  <c r="CS119" i="23917"/>
  <c r="CS263" i="24142"/>
  <c r="CS328" i="23917"/>
  <c r="CN86" i="24142"/>
  <c r="CN88" i="23917"/>
  <c r="CN84" i="24142"/>
  <c r="CN86" i="23917"/>
  <c r="CN82" i="24142"/>
  <c r="CN83" i="24142"/>
  <c r="CN87" i="23917"/>
  <c r="CN98" i="23917"/>
  <c r="CN89" i="24142"/>
  <c r="AC274" i="23917"/>
  <c r="X277" i="23917"/>
  <c r="X274" i="23917"/>
  <c r="T277" i="23917"/>
  <c r="AK274" i="23917"/>
  <c r="BF91" i="23917"/>
  <c r="DM99" i="23917"/>
  <c r="DL256" i="23917"/>
  <c r="AK276" i="23917"/>
  <c r="AS276" i="23917"/>
  <c r="AG271" i="23917"/>
  <c r="DJ243" i="23917"/>
  <c r="DI271" i="23917"/>
  <c r="AO89" i="23917"/>
  <c r="CO89" i="23917"/>
  <c r="DY99" i="23917"/>
  <c r="BB91" i="23917"/>
  <c r="BB88" i="24142"/>
  <c r="CK89" i="23917"/>
  <c r="DF88" i="24142"/>
  <c r="AW271" i="23917"/>
  <c r="AO271" i="23917"/>
  <c r="AX12" i="23917"/>
  <c r="DR21" i="23917"/>
  <c r="BC99" i="23917"/>
  <c r="AP91" i="23917"/>
  <c r="AP88" i="24142"/>
  <c r="I88" i="24142"/>
  <c r="AW99" i="23917"/>
  <c r="BK88" i="24142"/>
  <c r="K88" i="24142"/>
  <c r="DN243" i="23917"/>
  <c r="AU271" i="23917"/>
  <c r="AM271" i="23917"/>
  <c r="CA12" i="23917"/>
  <c r="DH268" i="23917"/>
  <c r="U274" i="23917"/>
  <c r="DL271" i="23917"/>
  <c r="DZ21" i="23917"/>
  <c r="EM21" i="23917"/>
  <c r="E16" i="23917"/>
  <c r="BL91" i="23917"/>
  <c r="CA91" i="23917"/>
  <c r="DJ269" i="23917"/>
  <c r="DI276" i="23917"/>
  <c r="DH262" i="23917"/>
  <c r="Y271" i="23917"/>
  <c r="DR94" i="23917"/>
  <c r="DN96" i="23917"/>
  <c r="BA89" i="23917"/>
  <c r="DR88" i="24142"/>
  <c r="DL262" i="23917"/>
  <c r="M274" i="23917"/>
  <c r="Y276" i="23917"/>
  <c r="EF244" i="23917"/>
  <c r="EG244" i="23917"/>
  <c r="BZ12" i="23917"/>
  <c r="BY88" i="24142"/>
  <c r="BI89" i="23917"/>
  <c r="O271" i="23917"/>
  <c r="DP262" i="23917"/>
  <c r="DR262" i="23917"/>
  <c r="DL269" i="23917"/>
  <c r="CA9" i="23917"/>
  <c r="R12" i="23917"/>
  <c r="DF21" i="23917"/>
  <c r="C16" i="23917"/>
  <c r="DH88" i="24142"/>
  <c r="DR95" i="23917"/>
  <c r="I89" i="23917"/>
  <c r="BA99" i="23917"/>
  <c r="DZ88" i="24142"/>
  <c r="AM89" i="23917"/>
  <c r="BV91" i="23917"/>
  <c r="BW89" i="23917"/>
  <c r="DP270" i="23917"/>
  <c r="DH310" i="23917"/>
  <c r="DJ256" i="23917"/>
  <c r="CA8" i="23917"/>
  <c r="AT264" i="23917"/>
  <c r="AT265" i="23917"/>
  <c r="AU253" i="23917"/>
  <c r="AT263" i="23917"/>
  <c r="AT268" i="23917"/>
  <c r="AA88" i="24142"/>
  <c r="BS99" i="23917"/>
  <c r="BN99" i="23917"/>
  <c r="CN91" i="23917"/>
  <c r="AZ91" i="23917"/>
  <c r="CJ91" i="23917"/>
  <c r="DF89" i="23917"/>
  <c r="AI271" i="23917"/>
  <c r="AR277" i="23917"/>
  <c r="AE271" i="23917"/>
  <c r="BX91" i="23917"/>
  <c r="BY89" i="23917"/>
  <c r="DR85" i="24142"/>
  <c r="BM99" i="23917"/>
  <c r="DV88" i="24142"/>
  <c r="BK89" i="23917"/>
  <c r="DR276" i="23917"/>
  <c r="DI253" i="23917"/>
  <c r="DH256" i="23917"/>
  <c r="DG263" i="23917"/>
  <c r="DP256" i="23917"/>
  <c r="DR256" i="23917"/>
  <c r="EB232" i="24142"/>
  <c r="EB21" i="23917"/>
  <c r="DV21" i="23917"/>
  <c r="M88" i="24142"/>
  <c r="BE89" i="23917"/>
  <c r="AQ99" i="23917"/>
  <c r="AY89" i="23917"/>
  <c r="BW96" i="23917"/>
  <c r="BT91" i="23917"/>
  <c r="BU88" i="24142"/>
  <c r="BW88" i="24142"/>
  <c r="AY271" i="23917"/>
  <c r="AQ271" i="23917"/>
  <c r="DZ262" i="23917"/>
  <c r="DN262" i="23917"/>
  <c r="BV12" i="23917"/>
  <c r="CL91" i="23917"/>
  <c r="DN89" i="23917"/>
  <c r="AT91" i="23917"/>
  <c r="AN277" i="23917"/>
  <c r="W271" i="23917"/>
  <c r="DC12" i="24142"/>
  <c r="AA91" i="23917"/>
  <c r="CO88" i="24142"/>
  <c r="DV95" i="23917"/>
  <c r="DR89" i="23917"/>
  <c r="BC89" i="23917"/>
  <c r="CK88" i="24142"/>
  <c r="K271" i="23917"/>
  <c r="DP271" i="23917"/>
  <c r="DR271" i="23917"/>
  <c r="DN256" i="23917"/>
  <c r="AR274" i="23917"/>
  <c r="AO276" i="23917"/>
  <c r="AW276" i="23917"/>
  <c r="DH89" i="23917"/>
  <c r="AV91" i="23917"/>
  <c r="AW89" i="23917"/>
  <c r="DV94" i="23917"/>
  <c r="P91" i="23917"/>
  <c r="P88" i="24142"/>
  <c r="CO99" i="23917"/>
  <c r="AC276" i="23917"/>
  <c r="AW240" i="23917"/>
  <c r="AV249" i="23917"/>
  <c r="AV250" i="23917"/>
  <c r="DJ262" i="23917"/>
  <c r="BN12" i="23917"/>
  <c r="Z12" i="23917"/>
  <c r="CD91" i="23917"/>
  <c r="BG99" i="23917"/>
  <c r="DV96" i="23917"/>
  <c r="AX91" i="23917"/>
  <c r="BZ91" i="23917"/>
  <c r="DZ95" i="23917"/>
  <c r="M89" i="23917"/>
  <c r="BU89" i="23917"/>
  <c r="BU99" i="23917"/>
  <c r="R277" i="23917"/>
  <c r="R274" i="23917"/>
  <c r="Z274" i="23917"/>
  <c r="DL270" i="23917"/>
  <c r="AI10" i="24142" l="1"/>
  <c r="S10" i="24142"/>
  <c r="EA336" i="23917"/>
  <c r="EA271" i="24142"/>
  <c r="ED272" i="23917"/>
  <c r="CT214" i="24142"/>
  <c r="CT152" i="23917"/>
  <c r="CT290" i="24142"/>
  <c r="CT356" i="23917"/>
  <c r="CV481" i="24142"/>
  <c r="CV547" i="23917"/>
  <c r="CT483" i="24142"/>
  <c r="CT549" i="23917"/>
  <c r="CV109" i="24142"/>
  <c r="CV205" i="23917"/>
  <c r="CT488" i="24142"/>
  <c r="CT555" i="23917"/>
  <c r="CW271" i="24142"/>
  <c r="CW336" i="23917"/>
  <c r="CW482" i="24142"/>
  <c r="CW548" i="23917"/>
  <c r="CW182" i="24142"/>
  <c r="CW119" i="23917"/>
  <c r="CT33" i="24142"/>
  <c r="CT39" i="23917"/>
  <c r="CU266" i="24142"/>
  <c r="CU331" i="23917"/>
  <c r="CW263" i="24142"/>
  <c r="CW328" i="23917"/>
  <c r="CV488" i="24142"/>
  <c r="CV555" i="23917"/>
  <c r="CX265" i="24142"/>
  <c r="CX330" i="23917"/>
  <c r="CW264" i="24142"/>
  <c r="CW329" i="23917"/>
  <c r="CV145" i="24142"/>
  <c r="CV296" i="23917"/>
  <c r="CU487" i="24142"/>
  <c r="CU553" i="23917"/>
  <c r="CU140" i="24142"/>
  <c r="CU291" i="23917"/>
  <c r="CU125" i="24142"/>
  <c r="CU227" i="23917"/>
  <c r="ED227" i="24142"/>
  <c r="ED165" i="23917"/>
  <c r="CU481" i="24142"/>
  <c r="CU547" i="23917"/>
  <c r="CU109" i="24142"/>
  <c r="CU205" i="23917"/>
  <c r="CX271" i="24142"/>
  <c r="CX336" i="23917"/>
  <c r="CX482" i="24142"/>
  <c r="CX548" i="23917"/>
  <c r="CX182" i="24142"/>
  <c r="CX119" i="23917"/>
  <c r="CW48" i="24142"/>
  <c r="CW57" i="23917"/>
  <c r="CX263" i="24142"/>
  <c r="CX328" i="23917"/>
  <c r="CV266" i="24142"/>
  <c r="CV331" i="23917"/>
  <c r="CW486" i="24142"/>
  <c r="CW552" i="23917"/>
  <c r="CX486" i="24142"/>
  <c r="CX552" i="23917"/>
  <c r="CW265" i="24142"/>
  <c r="CW330" i="23917"/>
  <c r="CX264" i="24142"/>
  <c r="CX329" i="23917"/>
  <c r="CU145" i="24142"/>
  <c r="CU296" i="23917"/>
  <c r="CV487" i="24142"/>
  <c r="CV553" i="23917"/>
  <c r="CV140" i="24142"/>
  <c r="CV291" i="23917"/>
  <c r="CV125" i="24142"/>
  <c r="CV227" i="23917"/>
  <c r="ED241" i="24142"/>
  <c r="ED177" i="23917"/>
  <c r="ED242" i="24142"/>
  <c r="ED178" i="23917"/>
  <c r="CX48" i="24142"/>
  <c r="CX57" i="23917"/>
  <c r="CU286" i="24142"/>
  <c r="CU352" i="23917"/>
  <c r="U14" i="24142"/>
  <c r="U10" i="24142"/>
  <c r="CF213" i="23917"/>
  <c r="EE257" i="23917"/>
  <c r="EE177" i="23917"/>
  <c r="AQ340" i="23917"/>
  <c r="AQ275" i="24142"/>
  <c r="AP12" i="24142"/>
  <c r="AP278" i="24142"/>
  <c r="AP343" i="23917"/>
  <c r="AP344" i="23917" s="1"/>
  <c r="AP277" i="24142"/>
  <c r="AP342" i="23917"/>
  <c r="F7" i="24158"/>
  <c r="BF12" i="24142"/>
  <c r="BF278" i="24142"/>
  <c r="BF343" i="23917"/>
  <c r="BF344" i="23917" s="1"/>
  <c r="BG340" i="23917"/>
  <c r="BG275" i="24142"/>
  <c r="DD206" i="23917"/>
  <c r="DD110" i="24142"/>
  <c r="AH277" i="24142"/>
  <c r="AH342" i="23917"/>
  <c r="AY340" i="23917"/>
  <c r="AY275" i="24142"/>
  <c r="BF342" i="23917"/>
  <c r="BF277" i="24142"/>
  <c r="BO340" i="23917"/>
  <c r="BO275" i="24142"/>
  <c r="AH278" i="24142"/>
  <c r="AH343" i="23917"/>
  <c r="AH344" i="23917" s="1"/>
  <c r="AH12" i="24142"/>
  <c r="AI275" i="24142"/>
  <c r="AI340" i="23917"/>
  <c r="CF228" i="23917"/>
  <c r="DC305" i="23917"/>
  <c r="AM10" i="24142"/>
  <c r="BY14" i="24142"/>
  <c r="DN490" i="24142"/>
  <c r="DN557" i="23917"/>
  <c r="L393" i="24142"/>
  <c r="L459" i="23917"/>
  <c r="DK162" i="24142"/>
  <c r="DK316" i="23917"/>
  <c r="O303" i="23917"/>
  <c r="O152" i="24142"/>
  <c r="AU82" i="24142"/>
  <c r="AU86" i="23917"/>
  <c r="DQ116" i="24142"/>
  <c r="DQ8" i="24142"/>
  <c r="DQ212" i="23917"/>
  <c r="DQ213" i="23917" s="1"/>
  <c r="DM115" i="24142"/>
  <c r="DM211" i="23917"/>
  <c r="AA273" i="23917"/>
  <c r="AA221" i="23917"/>
  <c r="AB494" i="24142"/>
  <c r="AB17" i="24142"/>
  <c r="AB560" i="23917"/>
  <c r="AB561" i="23917" s="1"/>
  <c r="AB492" i="24142"/>
  <c r="AB559" i="23917"/>
  <c r="C490" i="24142"/>
  <c r="C557" i="23917"/>
  <c r="DJ420" i="24142"/>
  <c r="DJ486" i="23917"/>
  <c r="DQ115" i="24142"/>
  <c r="DQ211" i="23917"/>
  <c r="DR113" i="24142"/>
  <c r="DR209" i="23917"/>
  <c r="AS82" i="24142"/>
  <c r="AS86" i="23917"/>
  <c r="DM116" i="24142"/>
  <c r="DM8" i="24142"/>
  <c r="DM212" i="23917"/>
  <c r="DM213" i="23917" s="1"/>
  <c r="DN113" i="24142"/>
  <c r="DN209" i="23917"/>
  <c r="BE278" i="24142"/>
  <c r="BE12" i="24142"/>
  <c r="BE343" i="23917"/>
  <c r="AF284" i="24142"/>
  <c r="AF350" i="23917"/>
  <c r="AA277" i="23917"/>
  <c r="Z277" i="23917"/>
  <c r="BA89" i="24142"/>
  <c r="BA98" i="23917"/>
  <c r="AY88" i="24142"/>
  <c r="AX88" i="24142"/>
  <c r="BE83" i="24142"/>
  <c r="BE87" i="23917"/>
  <c r="AC490" i="24142"/>
  <c r="AC557" i="23917"/>
  <c r="BX494" i="24142"/>
  <c r="BX17" i="24142"/>
  <c r="BX560" i="23917"/>
  <c r="BX561" i="23917" s="1"/>
  <c r="BY492" i="24142"/>
  <c r="BX492" i="24142"/>
  <c r="BX559" i="23917"/>
  <c r="B492" i="24142"/>
  <c r="B559" i="23917"/>
  <c r="DI383" i="24142"/>
  <c r="DI449" i="23917"/>
  <c r="BG494" i="24142"/>
  <c r="BG17" i="24142"/>
  <c r="BG560" i="23917"/>
  <c r="AO490" i="24142"/>
  <c r="AO557" i="23917"/>
  <c r="AN492" i="24142"/>
  <c r="AN559" i="23917"/>
  <c r="AL284" i="24142"/>
  <c r="AL350" i="23917"/>
  <c r="K432" i="24142"/>
  <c r="K498" i="23917"/>
  <c r="BM275" i="24142"/>
  <c r="BM340" i="23917"/>
  <c r="BL277" i="24142"/>
  <c r="BL342" i="23917"/>
  <c r="DC184" i="24142"/>
  <c r="DC121" i="23917"/>
  <c r="DC214" i="24142"/>
  <c r="DC152" i="23917"/>
  <c r="BP284" i="24142"/>
  <c r="BP350" i="23917"/>
  <c r="BZ214" i="24142"/>
  <c r="BZ152" i="23917"/>
  <c r="E421" i="24142"/>
  <c r="E487" i="23917"/>
  <c r="DE421" i="24142"/>
  <c r="DE487" i="23917"/>
  <c r="DN270" i="24142"/>
  <c r="DN335" i="23917"/>
  <c r="BT188" i="24142"/>
  <c r="BT125" i="23917"/>
  <c r="BT189" i="24142"/>
  <c r="BT14" i="24142"/>
  <c r="BT11" i="24142"/>
  <c r="BT126" i="23917"/>
  <c r="BT127" i="23917" s="1"/>
  <c r="AN214" i="24142"/>
  <c r="AN152" i="23917"/>
  <c r="BI188" i="24142"/>
  <c r="BI125" i="23917"/>
  <c r="AO162" i="24142"/>
  <c r="AO316" i="23917"/>
  <c r="AZ162" i="24142"/>
  <c r="AZ316" i="23917"/>
  <c r="BV153" i="24142"/>
  <c r="BV9" i="24142"/>
  <c r="BV304" i="23917"/>
  <c r="BV305" i="23917" s="1"/>
  <c r="BG150" i="24142"/>
  <c r="BG301" i="23917"/>
  <c r="BF153" i="24142"/>
  <c r="BF9" i="24142"/>
  <c r="BF304" i="23917"/>
  <c r="BF305" i="23917" s="1"/>
  <c r="AV248" i="23917"/>
  <c r="AS115" i="24142"/>
  <c r="AS211" i="23917"/>
  <c r="AW115" i="24142"/>
  <c r="AW211" i="23917"/>
  <c r="BJ86" i="24142"/>
  <c r="BJ84" i="24142"/>
  <c r="BJ88" i="23917"/>
  <c r="DU86" i="24142"/>
  <c r="DU84" i="24142"/>
  <c r="DU88" i="23917"/>
  <c r="BH86" i="24142"/>
  <c r="BH84" i="24142"/>
  <c r="BH88" i="23917"/>
  <c r="AY82" i="24142"/>
  <c r="AY86" i="23917"/>
  <c r="AW88" i="24142"/>
  <c r="AV88" i="24142"/>
  <c r="BM82" i="24142"/>
  <c r="BM86" i="23917"/>
  <c r="T494" i="24142"/>
  <c r="T17" i="24142"/>
  <c r="T560" i="23917"/>
  <c r="T561" i="23917" s="1"/>
  <c r="R396" i="24142"/>
  <c r="R462" i="23917"/>
  <c r="R367" i="24142"/>
  <c r="R433" i="23917"/>
  <c r="DL270" i="24142"/>
  <c r="DL335" i="23917"/>
  <c r="I490" i="24142"/>
  <c r="I557" i="23917"/>
  <c r="H494" i="24142"/>
  <c r="H17" i="24142"/>
  <c r="H560" i="23917"/>
  <c r="H561" i="23917" s="1"/>
  <c r="DK354" i="24142"/>
  <c r="DK420" i="23917"/>
  <c r="DL351" i="24142"/>
  <c r="DL417" i="23917"/>
  <c r="DN289" i="24142"/>
  <c r="DN355" i="23917"/>
  <c r="DD488" i="24142"/>
  <c r="DD555" i="23917"/>
  <c r="Z420" i="24142"/>
  <c r="Z486" i="23917"/>
  <c r="C418" i="24142"/>
  <c r="C484" i="23917"/>
  <c r="B421" i="24142"/>
  <c r="B487" i="23917"/>
  <c r="F331" i="24142"/>
  <c r="F397" i="23917"/>
  <c r="DV183" i="24142"/>
  <c r="DV120" i="23917"/>
  <c r="C213" i="24142"/>
  <c r="C151" i="23917"/>
  <c r="BR213" i="24142"/>
  <c r="BR151" i="23917"/>
  <c r="BB188" i="24142"/>
  <c r="BB125" i="23917"/>
  <c r="BB189" i="24142"/>
  <c r="BB14" i="24142"/>
  <c r="BB11" i="24142"/>
  <c r="BB126" i="23917"/>
  <c r="BB127" i="23917" s="1"/>
  <c r="AN284" i="24142"/>
  <c r="AN350" i="23917"/>
  <c r="AF188" i="24142"/>
  <c r="AF125" i="23917"/>
  <c r="DD153" i="24142"/>
  <c r="DD9" i="24142"/>
  <c r="DD304" i="23917"/>
  <c r="AJ200" i="24142"/>
  <c r="AJ138" i="23917"/>
  <c r="BL150" i="24142"/>
  <c r="BL301" i="23917"/>
  <c r="DF140" i="24142"/>
  <c r="DF291" i="23917"/>
  <c r="AE126" i="24142"/>
  <c r="AE228" i="23917"/>
  <c r="AL159" i="24142"/>
  <c r="AL313" i="23917"/>
  <c r="DU146" i="24142"/>
  <c r="DU297" i="23917"/>
  <c r="DG104" i="24142"/>
  <c r="DG200" i="23917"/>
  <c r="AC277" i="23917"/>
  <c r="AB277" i="23917"/>
  <c r="AC273" i="23917"/>
  <c r="AC221" i="23917"/>
  <c r="BQ224" i="23917"/>
  <c r="BP122" i="24142"/>
  <c r="BP224" i="23917"/>
  <c r="AM115" i="24142"/>
  <c r="AM211" i="23917"/>
  <c r="AO116" i="24142"/>
  <c r="AO8" i="24142"/>
  <c r="AO212" i="23917"/>
  <c r="AN122" i="24142"/>
  <c r="AN224" i="23917"/>
  <c r="BJ122" i="24142"/>
  <c r="BJ224" i="23917"/>
  <c r="J273" i="23917"/>
  <c r="J221" i="23917"/>
  <c r="DD83" i="24142"/>
  <c r="DD87" i="23917"/>
  <c r="BQ91" i="23917"/>
  <c r="BP91" i="23917"/>
  <c r="AO91" i="23917"/>
  <c r="AN91" i="23917"/>
  <c r="DT290" i="24142"/>
  <c r="DT356" i="23917"/>
  <c r="BO494" i="24142"/>
  <c r="BO17" i="24142"/>
  <c r="BO560" i="23917"/>
  <c r="L420" i="24142"/>
  <c r="L486" i="23917"/>
  <c r="M418" i="24142"/>
  <c r="M484" i="23917"/>
  <c r="E316" i="24142"/>
  <c r="E382" i="23917"/>
  <c r="D319" i="24142"/>
  <c r="D13" i="24142"/>
  <c r="D385" i="23917"/>
  <c r="Y490" i="24142"/>
  <c r="Y557" i="23917"/>
  <c r="X492" i="24142"/>
  <c r="X559" i="23917"/>
  <c r="DE327" i="24142"/>
  <c r="DE393" i="23917"/>
  <c r="DE316" i="24142"/>
  <c r="DE382" i="23917"/>
  <c r="BC278" i="24142"/>
  <c r="BC12" i="24142"/>
  <c r="BC343" i="23917"/>
  <c r="AD284" i="24142"/>
  <c r="AD350" i="23917"/>
  <c r="G290" i="24142"/>
  <c r="G356" i="23917"/>
  <c r="AQ214" i="24142"/>
  <c r="AQ152" i="23917"/>
  <c r="BN188" i="24142"/>
  <c r="BN125" i="23917"/>
  <c r="BN189" i="24142"/>
  <c r="BN14" i="24142"/>
  <c r="BN11" i="24142"/>
  <c r="BN126" i="23917"/>
  <c r="BN127" i="23917" s="1"/>
  <c r="AX188" i="24142"/>
  <c r="AX125" i="23917"/>
  <c r="AY186" i="24142"/>
  <c r="AY123" i="23917"/>
  <c r="DV275" i="24142"/>
  <c r="DV340" i="23917"/>
  <c r="DU277" i="24142"/>
  <c r="DU342" i="23917"/>
  <c r="BE186" i="24142"/>
  <c r="BE123" i="23917"/>
  <c r="BD188" i="24142"/>
  <c r="BD125" i="23917"/>
  <c r="X214" i="24142"/>
  <c r="X152" i="23917"/>
  <c r="DD316" i="24142"/>
  <c r="DD382" i="23917"/>
  <c r="DS146" i="24142"/>
  <c r="DS297" i="23917"/>
  <c r="DU126" i="24142"/>
  <c r="DU228" i="23917"/>
  <c r="BS152" i="24142"/>
  <c r="BR152" i="24142"/>
  <c r="BR303" i="23917"/>
  <c r="DP104" i="24142"/>
  <c r="DP200" i="23917"/>
  <c r="DO113" i="24142"/>
  <c r="DO209" i="23917"/>
  <c r="AD122" i="24142"/>
  <c r="AD224" i="23917"/>
  <c r="O116" i="24142"/>
  <c r="O8" i="24142"/>
  <c r="O212" i="23917"/>
  <c r="BU122" i="24142"/>
  <c r="BT122" i="24142"/>
  <c r="BT224" i="23917"/>
  <c r="BE116" i="24142"/>
  <c r="BE8" i="24142"/>
  <c r="BE212" i="23917"/>
  <c r="V122" i="24142"/>
  <c r="V224" i="23917"/>
  <c r="AU88" i="24142"/>
  <c r="AT88" i="24142"/>
  <c r="AO89" i="24142"/>
  <c r="AO98" i="23917"/>
  <c r="DL99" i="23917"/>
  <c r="DK99" i="23917"/>
  <c r="DL483" i="24142"/>
  <c r="DL549" i="23917"/>
  <c r="BI494" i="24142"/>
  <c r="BI17" i="24142"/>
  <c r="BI560" i="23917"/>
  <c r="O492" i="24142"/>
  <c r="O559" i="23917"/>
  <c r="H421" i="24142"/>
  <c r="H487" i="23917"/>
  <c r="AG490" i="24142"/>
  <c r="AG557" i="23917"/>
  <c r="AF492" i="24142"/>
  <c r="AF559" i="23917"/>
  <c r="D492" i="24142"/>
  <c r="D559" i="23917"/>
  <c r="T360" i="24142"/>
  <c r="T426" i="23917"/>
  <c r="T353" i="24142"/>
  <c r="T419" i="23917"/>
  <c r="D360" i="24142"/>
  <c r="D426" i="23917"/>
  <c r="D353" i="24142"/>
  <c r="D419" i="23917"/>
  <c r="DE278" i="24142"/>
  <c r="DE12" i="24142"/>
  <c r="DE343" i="23917"/>
  <c r="DE344" i="23917" s="1"/>
  <c r="DI184" i="24142"/>
  <c r="DI121" i="23917"/>
  <c r="DJ183" i="24142"/>
  <c r="DJ120" i="23917"/>
  <c r="AT213" i="24142"/>
  <c r="AT151" i="23917"/>
  <c r="DJ371" i="24142"/>
  <c r="DJ437" i="23917"/>
  <c r="H284" i="24142"/>
  <c r="H350" i="23917"/>
  <c r="DJ141" i="24142"/>
  <c r="DJ292" i="23917"/>
  <c r="DI150" i="24142"/>
  <c r="DI301" i="23917"/>
  <c r="BD162" i="24142"/>
  <c r="BD316" i="23917"/>
  <c r="AK277" i="23917"/>
  <c r="AJ277" i="23917"/>
  <c r="AK273" i="23917"/>
  <c r="AK221" i="23917"/>
  <c r="BV122" i="24142"/>
  <c r="BV224" i="23917"/>
  <c r="AU116" i="24142"/>
  <c r="AU8" i="24142"/>
  <c r="AU212" i="23917"/>
  <c r="DT148" i="24142"/>
  <c r="DT299" i="23917"/>
  <c r="DS113" i="24142"/>
  <c r="DS209" i="23917"/>
  <c r="AL86" i="24142"/>
  <c r="AL84" i="24142"/>
  <c r="AL88" i="23917"/>
  <c r="AM88" i="24142"/>
  <c r="AL88" i="24142"/>
  <c r="DU89" i="24142"/>
  <c r="DU98" i="23917"/>
  <c r="DV99" i="23917"/>
  <c r="DU99" i="23917"/>
  <c r="AK89" i="24142"/>
  <c r="AK98" i="23917"/>
  <c r="AJ86" i="24142"/>
  <c r="AJ84" i="24142"/>
  <c r="AJ88" i="23917"/>
  <c r="AQ492" i="24142"/>
  <c r="AQ559" i="23917"/>
  <c r="C371" i="24142"/>
  <c r="C437" i="23917"/>
  <c r="AM492" i="24142"/>
  <c r="AM559" i="23917"/>
  <c r="J420" i="24142"/>
  <c r="J486" i="23917"/>
  <c r="J331" i="24142"/>
  <c r="J397" i="23917"/>
  <c r="P427" i="24142"/>
  <c r="P493" i="23917"/>
  <c r="AV278" i="24142"/>
  <c r="AV12" i="24142"/>
  <c r="AV343" i="23917"/>
  <c r="AV344" i="23917" s="1"/>
  <c r="DL177" i="24142"/>
  <c r="DL114" i="23917"/>
  <c r="DK186" i="24142"/>
  <c r="DK123" i="23917"/>
  <c r="DG214" i="24142"/>
  <c r="DG152" i="23917"/>
  <c r="DP270" i="24142"/>
  <c r="DP335" i="23917"/>
  <c r="AK214" i="24142"/>
  <c r="AK152" i="23917"/>
  <c r="DG277" i="24142"/>
  <c r="DG342" i="23917"/>
  <c r="DH275" i="24142"/>
  <c r="DH340" i="23917"/>
  <c r="BT214" i="24142"/>
  <c r="BT152" i="23917"/>
  <c r="DH240" i="24142"/>
  <c r="DH176" i="23917"/>
  <c r="DK150" i="24142"/>
  <c r="DK301" i="23917"/>
  <c r="BQ316" i="23917"/>
  <c r="BP162" i="24142"/>
  <c r="BP316" i="23917"/>
  <c r="AZ150" i="24142"/>
  <c r="AZ301" i="23917"/>
  <c r="DE116" i="24142"/>
  <c r="DE8" i="24142"/>
  <c r="DE212" i="23917"/>
  <c r="DE213" i="23917" s="1"/>
  <c r="AF273" i="23917"/>
  <c r="AF221" i="23917"/>
  <c r="DH260" i="23917"/>
  <c r="DG260" i="23917"/>
  <c r="BB152" i="24142"/>
  <c r="BB303" i="23917"/>
  <c r="BC150" i="24142"/>
  <c r="BC301" i="23917"/>
  <c r="DS89" i="24142"/>
  <c r="DS98" i="23917"/>
  <c r="BI83" i="24142"/>
  <c r="BI87" i="23917"/>
  <c r="AW83" i="24142"/>
  <c r="AW87" i="23917"/>
  <c r="BU492" i="24142"/>
  <c r="BT492" i="24142"/>
  <c r="BT559" i="23917"/>
  <c r="DS490" i="24142"/>
  <c r="DS557" i="23917"/>
  <c r="T389" i="24142"/>
  <c r="T455" i="23917"/>
  <c r="T395" i="24142"/>
  <c r="T461" i="23917"/>
  <c r="DJ289" i="24142"/>
  <c r="DJ355" i="23917"/>
  <c r="C433" i="24142"/>
  <c r="C499" i="23917"/>
  <c r="M371" i="24142"/>
  <c r="M437" i="23917"/>
  <c r="DV273" i="24142"/>
  <c r="DV338" i="23917"/>
  <c r="DJ270" i="24142"/>
  <c r="DJ335" i="23917"/>
  <c r="DK278" i="24142"/>
  <c r="DK12" i="24142"/>
  <c r="DK343" i="23917"/>
  <c r="DK344" i="23917" s="1"/>
  <c r="BR188" i="24142"/>
  <c r="BR125" i="23917"/>
  <c r="BR189" i="24142"/>
  <c r="BR14" i="24142"/>
  <c r="BR11" i="24142"/>
  <c r="BR126" i="23917"/>
  <c r="BR127" i="23917" s="1"/>
  <c r="V214" i="24142"/>
  <c r="V152" i="23917"/>
  <c r="AS214" i="24142"/>
  <c r="AS152" i="23917"/>
  <c r="BL188" i="24142"/>
  <c r="BL125" i="23917"/>
  <c r="BL189" i="24142"/>
  <c r="BL14" i="24142"/>
  <c r="BL11" i="24142"/>
  <c r="BL126" i="23917"/>
  <c r="BL127" i="23917" s="1"/>
  <c r="AF213" i="24142"/>
  <c r="AF151" i="23917"/>
  <c r="J205" i="24142"/>
  <c r="J143" i="23917"/>
  <c r="DP140" i="24142"/>
  <c r="DP291" i="23917"/>
  <c r="AI162" i="24142"/>
  <c r="AI316" i="23917"/>
  <c r="BC83" i="24142"/>
  <c r="BC87" i="23917"/>
  <c r="BN89" i="24142"/>
  <c r="BN98" i="23917"/>
  <c r="DO490" i="24142"/>
  <c r="DO557" i="23917"/>
  <c r="DQ494" i="24142"/>
  <c r="DQ17" i="24142"/>
  <c r="DQ560" i="23917"/>
  <c r="DQ561" i="23917" s="1"/>
  <c r="DJ490" i="24142"/>
  <c r="DJ557" i="23917"/>
  <c r="Z353" i="24142"/>
  <c r="Z419" i="23917"/>
  <c r="Z354" i="24142"/>
  <c r="Z420" i="23917"/>
  <c r="J353" i="24142"/>
  <c r="J419" i="23917"/>
  <c r="J354" i="24142"/>
  <c r="J420" i="23917"/>
  <c r="DH346" i="24142"/>
  <c r="DH412" i="23917"/>
  <c r="BR284" i="24142"/>
  <c r="BR350" i="23917"/>
  <c r="BC494" i="24142"/>
  <c r="BC17" i="24142"/>
  <c r="BC560" i="23917"/>
  <c r="DP183" i="24142"/>
  <c r="DP120" i="23917"/>
  <c r="DM214" i="24142"/>
  <c r="DM152" i="23917"/>
  <c r="DJ177" i="24142"/>
  <c r="DJ114" i="23917"/>
  <c r="F464" i="24142"/>
  <c r="F530" i="23917"/>
  <c r="H214" i="24142"/>
  <c r="H152" i="23917"/>
  <c r="BD213" i="24142"/>
  <c r="BD151" i="23917"/>
  <c r="L325" i="24142"/>
  <c r="L391" i="23917"/>
  <c r="DS150" i="24142"/>
  <c r="DS301" i="23917"/>
  <c r="N251" i="24142"/>
  <c r="N185" i="23917"/>
  <c r="N250" i="24142"/>
  <c r="N184" i="23917"/>
  <c r="BI146" i="24142"/>
  <c r="BI297" i="23917"/>
  <c r="W126" i="24142"/>
  <c r="W228" i="23917"/>
  <c r="DL110" i="24142"/>
  <c r="DL206" i="23917"/>
  <c r="DZ276" i="23917"/>
  <c r="DY276" i="23917"/>
  <c r="AT258" i="23917"/>
  <c r="AT220" i="23917"/>
  <c r="AA116" i="24142"/>
  <c r="AA8" i="24142"/>
  <c r="AA212" i="23917"/>
  <c r="J122" i="24142"/>
  <c r="J224" i="23917"/>
  <c r="W115" i="24142"/>
  <c r="W211" i="23917"/>
  <c r="DM86" i="24142"/>
  <c r="DM84" i="24142"/>
  <c r="DM88" i="23917"/>
  <c r="DQ89" i="24142"/>
  <c r="DQ98" i="23917"/>
  <c r="DR99" i="23917"/>
  <c r="DQ99" i="23917"/>
  <c r="AE91" i="23917"/>
  <c r="AD91" i="23917"/>
  <c r="BM490" i="24142"/>
  <c r="BM557" i="23917"/>
  <c r="BL492" i="24142"/>
  <c r="BL559" i="23917"/>
  <c r="DF483" i="24142"/>
  <c r="DF549" i="23917"/>
  <c r="AT284" i="24142"/>
  <c r="AT350" i="23917"/>
  <c r="DQ184" i="24142"/>
  <c r="DQ121" i="23917"/>
  <c r="BJ214" i="24142"/>
  <c r="BJ152" i="23917"/>
  <c r="AT188" i="24142"/>
  <c r="AT125" i="23917"/>
  <c r="AT189" i="24142"/>
  <c r="AT14" i="24142"/>
  <c r="AT11" i="24142"/>
  <c r="AT126" i="23917"/>
  <c r="AT127" i="23917" s="1"/>
  <c r="P188" i="24142"/>
  <c r="P125" i="23917"/>
  <c r="DD418" i="24142"/>
  <c r="DD484" i="23917"/>
  <c r="BH277" i="24142"/>
  <c r="BH342" i="23917"/>
  <c r="G7" i="24158"/>
  <c r="K8" i="24158" s="1"/>
  <c r="BH278" i="24142"/>
  <c r="BH12" i="24142"/>
  <c r="BH343" i="23917"/>
  <c r="BH344" i="23917" s="1"/>
  <c r="DG236" i="24142"/>
  <c r="DG172" i="23917"/>
  <c r="BD150" i="24142"/>
  <c r="BD301" i="23917"/>
  <c r="DN140" i="24142"/>
  <c r="DN291" i="23917"/>
  <c r="DR141" i="24142"/>
  <c r="DR292" i="23917"/>
  <c r="DQ150" i="24142"/>
  <c r="DQ301" i="23917"/>
  <c r="Z159" i="24142"/>
  <c r="Z313" i="23917"/>
  <c r="R159" i="24142"/>
  <c r="R313" i="23917"/>
  <c r="X159" i="24142"/>
  <c r="X313" i="23917"/>
  <c r="BZ159" i="24142"/>
  <c r="BZ313" i="23917"/>
  <c r="BX122" i="24142"/>
  <c r="BX224" i="23917"/>
  <c r="DL104" i="24142"/>
  <c r="DL200" i="23917"/>
  <c r="F122" i="24142"/>
  <c r="F224" i="23917"/>
  <c r="DN276" i="23917"/>
  <c r="DM276" i="23917"/>
  <c r="DI248" i="23917"/>
  <c r="DI240" i="23917"/>
  <c r="DP110" i="24142"/>
  <c r="DP206" i="23917"/>
  <c r="BT86" i="24142"/>
  <c r="BT84" i="24142"/>
  <c r="BT88" i="23917"/>
  <c r="AX86" i="24142"/>
  <c r="AX84" i="24142"/>
  <c r="AX88" i="23917"/>
  <c r="BE91" i="23917"/>
  <c r="BD91" i="23917"/>
  <c r="DT488" i="24142"/>
  <c r="DT555" i="23917"/>
  <c r="BD494" i="24142"/>
  <c r="BD17" i="24142"/>
  <c r="BD560" i="23917"/>
  <c r="BD561" i="23917" s="1"/>
  <c r="AU494" i="24142"/>
  <c r="AU17" i="24142"/>
  <c r="AU560" i="23917"/>
  <c r="J319" i="24142"/>
  <c r="J13" i="24142"/>
  <c r="J385" i="23917"/>
  <c r="X427" i="24142"/>
  <c r="X493" i="23917"/>
  <c r="DK184" i="24142"/>
  <c r="DK121" i="23917"/>
  <c r="F188" i="24142"/>
  <c r="F125" i="23917"/>
  <c r="G186" i="24142"/>
  <c r="G123" i="23917"/>
  <c r="BV188" i="24142"/>
  <c r="BV125" i="23917"/>
  <c r="BV189" i="24142"/>
  <c r="BV14" i="24142"/>
  <c r="BV11" i="24142"/>
  <c r="BV126" i="23917"/>
  <c r="BV127" i="23917" s="1"/>
  <c r="BF188" i="24142"/>
  <c r="BF125" i="23917"/>
  <c r="BG186" i="24142"/>
  <c r="BG123" i="23917"/>
  <c r="BP150" i="24142"/>
  <c r="BP301" i="23917"/>
  <c r="BO150" i="24142"/>
  <c r="BO301" i="23917"/>
  <c r="BN153" i="24142"/>
  <c r="BN9" i="24142"/>
  <c r="BN304" i="23917"/>
  <c r="BN305" i="23917" s="1"/>
  <c r="AY150" i="24142"/>
  <c r="AY301" i="23917"/>
  <c r="AX153" i="24142"/>
  <c r="AX9" i="24142"/>
  <c r="AX304" i="23917"/>
  <c r="AX305" i="23917" s="1"/>
  <c r="N273" i="23917"/>
  <c r="N221" i="23917"/>
  <c r="AH122" i="24142"/>
  <c r="AH224" i="23917"/>
  <c r="BM116" i="24142"/>
  <c r="BM8" i="24142"/>
  <c r="BM212" i="23917"/>
  <c r="Q116" i="24142"/>
  <c r="Q8" i="24142"/>
  <c r="Q212" i="23917"/>
  <c r="P122" i="24142"/>
  <c r="P224" i="23917"/>
  <c r="BR122" i="24142"/>
  <c r="BR224" i="23917"/>
  <c r="BC116" i="24142"/>
  <c r="BC8" i="24142"/>
  <c r="BC212" i="23917"/>
  <c r="BB122" i="24142"/>
  <c r="BB224" i="23917"/>
  <c r="DV83" i="24142"/>
  <c r="DV87" i="23917"/>
  <c r="DS82" i="24142"/>
  <c r="DS86" i="23917"/>
  <c r="DS83" i="24142"/>
  <c r="DS87" i="23917"/>
  <c r="DT89" i="23917"/>
  <c r="DS89" i="23917"/>
  <c r="AI88" i="24142"/>
  <c r="AH88" i="24142"/>
  <c r="AE492" i="24142"/>
  <c r="AE559" i="23917"/>
  <c r="P492" i="24142"/>
  <c r="P559" i="23917"/>
  <c r="BZ284" i="24142"/>
  <c r="BZ350" i="23917"/>
  <c r="F319" i="24142"/>
  <c r="F13" i="24142"/>
  <c r="F385" i="23917"/>
  <c r="F318" i="24142"/>
  <c r="F384" i="23917"/>
  <c r="DN275" i="24142"/>
  <c r="DN340" i="23917"/>
  <c r="DM277" i="24142"/>
  <c r="DM342" i="23917"/>
  <c r="DF275" i="24142"/>
  <c r="DF340" i="23917"/>
  <c r="DE184" i="24142"/>
  <c r="DE121" i="23917"/>
  <c r="DE214" i="24142"/>
  <c r="DE152" i="23917"/>
  <c r="C186" i="24142"/>
  <c r="C123" i="23917"/>
  <c r="AL214" i="24142"/>
  <c r="AL152" i="23917"/>
  <c r="V188" i="24142"/>
  <c r="V125" i="23917"/>
  <c r="V189" i="24142"/>
  <c r="V14" i="24142"/>
  <c r="V11" i="24142"/>
  <c r="V126" i="23917"/>
  <c r="V127" i="23917" s="1"/>
  <c r="DE353" i="24142"/>
  <c r="DE419" i="23917"/>
  <c r="DE354" i="24142"/>
  <c r="DE420" i="23917"/>
  <c r="BL213" i="24142"/>
  <c r="BL151" i="23917"/>
  <c r="DT286" i="24142"/>
  <c r="DT352" i="23917"/>
  <c r="L197" i="24142"/>
  <c r="L135" i="23917"/>
  <c r="P159" i="24142"/>
  <c r="P313" i="23917"/>
  <c r="DM162" i="24142"/>
  <c r="DM316" i="23917"/>
  <c r="AW146" i="24142"/>
  <c r="AW297" i="23917"/>
  <c r="BI126" i="24142"/>
  <c r="BI228" i="23917"/>
  <c r="DH276" i="23917"/>
  <c r="DG276" i="23917"/>
  <c r="DF110" i="24142"/>
  <c r="DF206" i="23917"/>
  <c r="AM116" i="24142"/>
  <c r="AM8" i="24142"/>
  <c r="AM212" i="23917"/>
  <c r="I116" i="24142"/>
  <c r="I212" i="23917"/>
  <c r="H122" i="24142"/>
  <c r="H224" i="23917"/>
  <c r="BN86" i="24142"/>
  <c r="BN84" i="24142"/>
  <c r="BN88" i="23917"/>
  <c r="BO88" i="24142"/>
  <c r="BN88" i="24142"/>
  <c r="L492" i="24142"/>
  <c r="L559" i="23917"/>
  <c r="M490" i="24142"/>
  <c r="M557" i="23917"/>
  <c r="AI494" i="24142"/>
  <c r="AI17" i="24142"/>
  <c r="AI560" i="23917"/>
  <c r="G289" i="24142"/>
  <c r="G355" i="23917"/>
  <c r="DG420" i="24142"/>
  <c r="DG486" i="23917"/>
  <c r="DG421" i="24142"/>
  <c r="DG487" i="23917"/>
  <c r="DC332" i="24142"/>
  <c r="DC398" i="23917"/>
  <c r="Y277" i="24142"/>
  <c r="X277" i="24142"/>
  <c r="X342" i="23917"/>
  <c r="DD146" i="24142"/>
  <c r="DD297" i="23917"/>
  <c r="L236" i="24142"/>
  <c r="L172" i="23917"/>
  <c r="BX162" i="24142"/>
  <c r="BX316" i="23917"/>
  <c r="BH150" i="24142"/>
  <c r="BH301" i="23917"/>
  <c r="AD159" i="24142"/>
  <c r="AD313" i="23917"/>
  <c r="AS88" i="24142"/>
  <c r="AR88" i="24142"/>
  <c r="V354" i="24142"/>
  <c r="V420" i="23917"/>
  <c r="V360" i="24142"/>
  <c r="V426" i="23917"/>
  <c r="F354" i="24142"/>
  <c r="F420" i="23917"/>
  <c r="F360" i="24142"/>
  <c r="F426" i="23917"/>
  <c r="DC371" i="24142"/>
  <c r="DC437" i="23917"/>
  <c r="BJ188" i="24142"/>
  <c r="BJ125" i="23917"/>
  <c r="BJ189" i="24142"/>
  <c r="BJ14" i="24142"/>
  <c r="BJ11" i="24142"/>
  <c r="BJ126" i="23917"/>
  <c r="BJ127" i="23917" s="1"/>
  <c r="N213" i="24142"/>
  <c r="N151" i="23917"/>
  <c r="DR275" i="24142"/>
  <c r="DR340" i="23917"/>
  <c r="DQ277" i="24142"/>
  <c r="DQ342" i="23917"/>
  <c r="DJ275" i="24142"/>
  <c r="DJ340" i="23917"/>
  <c r="DI277" i="24142"/>
  <c r="DI342" i="23917"/>
  <c r="DD177" i="24142"/>
  <c r="DD114" i="23917"/>
  <c r="AV188" i="24142"/>
  <c r="AV125" i="23917"/>
  <c r="AV189" i="24142"/>
  <c r="AV14" i="24142"/>
  <c r="AV11" i="24142"/>
  <c r="AV126" i="23917"/>
  <c r="AV127" i="23917" s="1"/>
  <c r="P214" i="24142"/>
  <c r="P152" i="23917"/>
  <c r="DO150" i="24142"/>
  <c r="DO301" i="23917"/>
  <c r="BA189" i="24142"/>
  <c r="BA11" i="24142"/>
  <c r="BA126" i="23917"/>
  <c r="T200" i="24142"/>
  <c r="T138" i="23917"/>
  <c r="DD102" i="24142"/>
  <c r="DD198" i="23917"/>
  <c r="AG116" i="24142"/>
  <c r="AG8" i="24142"/>
  <c r="AG212" i="23917"/>
  <c r="AF122" i="24142"/>
  <c r="AF224" i="23917"/>
  <c r="DQ125" i="24142"/>
  <c r="DQ227" i="23917"/>
  <c r="BW86" i="24142"/>
  <c r="BV84" i="24142"/>
  <c r="BV86" i="24142"/>
  <c r="BV88" i="23917"/>
  <c r="AM83" i="24142"/>
  <c r="AM87" i="23917"/>
  <c r="AK91" i="23917"/>
  <c r="AJ91" i="23917"/>
  <c r="DG490" i="24142"/>
  <c r="DG557" i="23917"/>
  <c r="S351" i="24142"/>
  <c r="S417" i="23917"/>
  <c r="R360" i="24142"/>
  <c r="R426" i="23917"/>
  <c r="B353" i="24142"/>
  <c r="B419" i="23917"/>
  <c r="B354" i="24142"/>
  <c r="B420" i="23917"/>
  <c r="G490" i="24142"/>
  <c r="G557" i="23917"/>
  <c r="AU492" i="24142"/>
  <c r="AU559" i="23917"/>
  <c r="P362" i="24142"/>
  <c r="P428" i="23917"/>
  <c r="P354" i="24142"/>
  <c r="P420" i="23917"/>
  <c r="DG327" i="24142"/>
  <c r="DG393" i="23917"/>
  <c r="DG316" i="24142"/>
  <c r="DG382" i="23917"/>
  <c r="Y420" i="24142"/>
  <c r="Y486" i="23917"/>
  <c r="DS184" i="24142"/>
  <c r="DS121" i="23917"/>
  <c r="F213" i="24142"/>
  <c r="F151" i="23917"/>
  <c r="AZ277" i="24142"/>
  <c r="AZ342" i="23917"/>
  <c r="C7" i="24158"/>
  <c r="AZ278" i="24142"/>
  <c r="AZ12" i="24142"/>
  <c r="AZ343" i="23917"/>
  <c r="AZ344" i="23917" s="1"/>
  <c r="T284" i="24142"/>
  <c r="T350" i="23917"/>
  <c r="AN188" i="24142"/>
  <c r="AN125" i="23917"/>
  <c r="AS342" i="23917"/>
  <c r="AR277" i="24142"/>
  <c r="AR342" i="23917"/>
  <c r="AR278" i="24142"/>
  <c r="AR12" i="24142"/>
  <c r="AR343" i="23917"/>
  <c r="AR344" i="23917" s="1"/>
  <c r="AC162" i="24142"/>
  <c r="AC316" i="23917"/>
  <c r="H153" i="24142"/>
  <c r="H9" i="24142"/>
  <c r="H304" i="23917"/>
  <c r="H305" i="23917" s="1"/>
  <c r="H152" i="24142"/>
  <c r="H303" i="23917"/>
  <c r="BI189" i="24142"/>
  <c r="BI11" i="24142"/>
  <c r="BI126" i="23917"/>
  <c r="AN159" i="24142"/>
  <c r="AN313" i="23917"/>
  <c r="AL273" i="23917"/>
  <c r="AL221" i="23917"/>
  <c r="DN271" i="23917"/>
  <c r="DM271" i="23917"/>
  <c r="G152" i="24142"/>
  <c r="G303" i="23917"/>
  <c r="N159" i="24142"/>
  <c r="N313" i="23917"/>
  <c r="K126" i="24142"/>
  <c r="K228" i="23917"/>
  <c r="DT110" i="24142"/>
  <c r="DT206" i="23917"/>
  <c r="AI115" i="24142"/>
  <c r="AI211" i="23917"/>
  <c r="C115" i="24142"/>
  <c r="C211" i="23917"/>
  <c r="DI113" i="24142"/>
  <c r="DI209" i="23917"/>
  <c r="AS116" i="24142"/>
  <c r="AS8" i="24142"/>
  <c r="AS212" i="23917"/>
  <c r="U116" i="24142"/>
  <c r="U8" i="24142"/>
  <c r="U212" i="23917"/>
  <c r="E115" i="24142"/>
  <c r="E211" i="23917"/>
  <c r="Q115" i="24142"/>
  <c r="Q211" i="23917"/>
  <c r="BC115" i="24142"/>
  <c r="BC211" i="23917"/>
  <c r="BM89" i="24142"/>
  <c r="BM98" i="23917"/>
  <c r="AW490" i="24142"/>
  <c r="AW557" i="23917"/>
  <c r="AV492" i="24142"/>
  <c r="AV559" i="23917"/>
  <c r="N354" i="24142"/>
  <c r="N420" i="23917"/>
  <c r="N360" i="24142"/>
  <c r="N426" i="23917"/>
  <c r="DV270" i="24142"/>
  <c r="DV335" i="23917"/>
  <c r="C432" i="24142"/>
  <c r="C498" i="23917"/>
  <c r="AB360" i="24142"/>
  <c r="AB426" i="23917"/>
  <c r="AB353" i="24142"/>
  <c r="AB419" i="23917"/>
  <c r="L360" i="24142"/>
  <c r="L426" i="23917"/>
  <c r="L353" i="24142"/>
  <c r="L419" i="23917"/>
  <c r="G327" i="24142"/>
  <c r="G393" i="23917"/>
  <c r="BN214" i="24142"/>
  <c r="BN152" i="23917"/>
  <c r="DN183" i="24142"/>
  <c r="DN120" i="23917"/>
  <c r="BB214" i="24142"/>
  <c r="BB152" i="23917"/>
  <c r="AL188" i="24142"/>
  <c r="AL125" i="23917"/>
  <c r="AL189" i="24142"/>
  <c r="AL14" i="24142"/>
  <c r="AL11" i="24142"/>
  <c r="AL126" i="23917"/>
  <c r="AL127" i="23917" s="1"/>
  <c r="DI353" i="24142"/>
  <c r="DI419" i="23917"/>
  <c r="DI354" i="24142"/>
  <c r="DI420" i="23917"/>
  <c r="DF146" i="24142"/>
  <c r="DF297" i="23917"/>
  <c r="DH141" i="24142"/>
  <c r="DH292" i="23917"/>
  <c r="BP200" i="24142"/>
  <c r="BP138" i="23917"/>
  <c r="E189" i="24142"/>
  <c r="E126" i="23917"/>
  <c r="D200" i="24142"/>
  <c r="D138" i="23917"/>
  <c r="BL162" i="24142"/>
  <c r="BL316" i="23917"/>
  <c r="AW148" i="24142"/>
  <c r="AW299" i="23917"/>
  <c r="AH159" i="24142"/>
  <c r="AH313" i="23917"/>
  <c r="BO162" i="24142"/>
  <c r="BO316" i="23917"/>
  <c r="DN110" i="24142"/>
  <c r="DN206" i="23917"/>
  <c r="BC126" i="24142"/>
  <c r="BC228" i="23917"/>
  <c r="BJ152" i="24142"/>
  <c r="BJ303" i="23917"/>
  <c r="BK150" i="24142"/>
  <c r="BK301" i="23917"/>
  <c r="DO82" i="24142"/>
  <c r="DO86" i="23917"/>
  <c r="DO83" i="24142"/>
  <c r="DO87" i="23917"/>
  <c r="DP88" i="24142"/>
  <c r="DO88" i="24142"/>
  <c r="AG91" i="23917"/>
  <c r="AF91" i="23917"/>
  <c r="BP494" i="24142"/>
  <c r="BP17" i="24142"/>
  <c r="BP560" i="23917"/>
  <c r="BP561" i="23917" s="1"/>
  <c r="BQ492" i="24142"/>
  <c r="BP492" i="24142"/>
  <c r="BP559" i="23917"/>
  <c r="W492" i="24142"/>
  <c r="W559" i="23917"/>
  <c r="AI492" i="24142"/>
  <c r="AI559" i="23917"/>
  <c r="W418" i="24142"/>
  <c r="W484" i="23917"/>
  <c r="X360" i="24142"/>
  <c r="X426" i="23917"/>
  <c r="X354" i="24142"/>
  <c r="X420" i="23917"/>
  <c r="H360" i="24142"/>
  <c r="H426" i="23917"/>
  <c r="H354" i="24142"/>
  <c r="H420" i="23917"/>
  <c r="G275" i="24142"/>
  <c r="G340" i="23917"/>
  <c r="F278" i="24142"/>
  <c r="F12" i="24142"/>
  <c r="F343" i="23917"/>
  <c r="F344" i="23917" s="1"/>
  <c r="DG184" i="24142"/>
  <c r="DG121" i="23917"/>
  <c r="BN213" i="24142"/>
  <c r="BN151" i="23917"/>
  <c r="AX213" i="24142"/>
  <c r="AX151" i="23917"/>
  <c r="AH213" i="24142"/>
  <c r="AH151" i="23917"/>
  <c r="R213" i="24142"/>
  <c r="R151" i="23917"/>
  <c r="E433" i="24142"/>
  <c r="E499" i="23917"/>
  <c r="K284" i="24142"/>
  <c r="J284" i="24142"/>
  <c r="H189" i="24142"/>
  <c r="H14" i="24142"/>
  <c r="H11" i="24142"/>
  <c r="H126" i="23917"/>
  <c r="H127" i="23917" s="1"/>
  <c r="X189" i="24142"/>
  <c r="X11" i="24142"/>
  <c r="X14" i="24142"/>
  <c r="X126" i="23917"/>
  <c r="X127" i="23917" s="1"/>
  <c r="DE250" i="24142"/>
  <c r="DE184" i="23917"/>
  <c r="DF240" i="24142"/>
  <c r="DF176" i="23917"/>
  <c r="AJ153" i="24142"/>
  <c r="AJ9" i="24142"/>
  <c r="AJ304" i="23917"/>
  <c r="AJ305" i="23917" s="1"/>
  <c r="L200" i="24142"/>
  <c r="L138" i="23917"/>
  <c r="DU148" i="24142"/>
  <c r="DU299" i="23917"/>
  <c r="DQ148" i="24142"/>
  <c r="DQ299" i="23917"/>
  <c r="AB159" i="24142"/>
  <c r="AB313" i="23917"/>
  <c r="DQ126" i="24142"/>
  <c r="DQ228" i="23917"/>
  <c r="DN83" i="24142"/>
  <c r="DN87" i="23917"/>
  <c r="DK83" i="24142"/>
  <c r="DK87" i="23917"/>
  <c r="DL89" i="23917"/>
  <c r="DK89" i="23917"/>
  <c r="DM89" i="24142"/>
  <c r="DM98" i="23917"/>
  <c r="AK490" i="24142"/>
  <c r="AK557" i="23917"/>
  <c r="S418" i="24142"/>
  <c r="S484" i="23917"/>
  <c r="R421" i="24142"/>
  <c r="R487" i="23917"/>
  <c r="P284" i="24142"/>
  <c r="P350" i="23917"/>
  <c r="AD213" i="24142"/>
  <c r="AD151" i="23917"/>
  <c r="N188" i="24142"/>
  <c r="N125" i="23917"/>
  <c r="N189" i="24142"/>
  <c r="N14" i="24142"/>
  <c r="N11" i="24142"/>
  <c r="N126" i="23917"/>
  <c r="N127" i="23917" s="1"/>
  <c r="AC214" i="24142"/>
  <c r="AC152" i="23917"/>
  <c r="AV214" i="24142"/>
  <c r="AV152" i="23917"/>
  <c r="DE237" i="24142"/>
  <c r="DE173" i="23917"/>
  <c r="DF226" i="24142"/>
  <c r="DF164" i="23917"/>
  <c r="AP122" i="24142"/>
  <c r="AP224" i="23917"/>
  <c r="AB122" i="24142"/>
  <c r="AB224" i="23917"/>
  <c r="L122" i="24142"/>
  <c r="L224" i="23917"/>
  <c r="AK116" i="24142"/>
  <c r="AK8" i="24142"/>
  <c r="AK212" i="23917"/>
  <c r="BF122" i="24142"/>
  <c r="BF224" i="23917"/>
  <c r="BG214" i="24142"/>
  <c r="BG152" i="23917"/>
  <c r="AA214" i="24142"/>
  <c r="AA152" i="23917"/>
  <c r="DN141" i="24142"/>
  <c r="DN292" i="23917"/>
  <c r="DM150" i="24142"/>
  <c r="DM301" i="23917"/>
  <c r="DF392" i="24142"/>
  <c r="DF458" i="23917"/>
  <c r="BW111" i="24142"/>
  <c r="BW207" i="23917"/>
  <c r="BO111" i="24142"/>
  <c r="BO207" i="23917"/>
  <c r="AX113" i="24142"/>
  <c r="AX209" i="23917"/>
  <c r="DF290" i="24142"/>
  <c r="DF356" i="23917"/>
  <c r="EB119" i="23917"/>
  <c r="EB182" i="24142"/>
  <c r="G150" i="24142"/>
  <c r="G301" i="23917"/>
  <c r="AT310" i="23917"/>
  <c r="AU310" i="23917"/>
  <c r="DJ273" i="24142"/>
  <c r="DJ338" i="23917"/>
  <c r="Q83" i="24142"/>
  <c r="Q87" i="23917"/>
  <c r="Q82" i="24142"/>
  <c r="Q86" i="23917"/>
  <c r="M214" i="24142"/>
  <c r="M152" i="23917"/>
  <c r="DF286" i="24142"/>
  <c r="DF352" i="23917"/>
  <c r="DD152" i="24142"/>
  <c r="DD303" i="23917"/>
  <c r="Y115" i="24142"/>
  <c r="Y211" i="23917"/>
  <c r="AG83" i="24142"/>
  <c r="AG87" i="23917"/>
  <c r="AO83" i="24142"/>
  <c r="AO87" i="23917"/>
  <c r="BI82" i="24142"/>
  <c r="BI86" i="23917"/>
  <c r="M432" i="24142"/>
  <c r="M498" i="23917"/>
  <c r="E328" i="24142"/>
  <c r="E394" i="23917"/>
  <c r="W433" i="24142"/>
  <c r="W499" i="23917"/>
  <c r="G420" i="24142"/>
  <c r="G486" i="23917"/>
  <c r="I331" i="24142"/>
  <c r="I397" i="23917"/>
  <c r="X273" i="23917"/>
  <c r="X221" i="23917"/>
  <c r="AA10" i="24142"/>
  <c r="K10" i="24142"/>
  <c r="BE89" i="24142"/>
  <c r="BE98" i="23917"/>
  <c r="AE83" i="24142"/>
  <c r="AE87" i="23917"/>
  <c r="BG83" i="24142"/>
  <c r="BG87" i="23917"/>
  <c r="C82" i="24142"/>
  <c r="C86" i="23917"/>
  <c r="BI492" i="24142"/>
  <c r="BI559" i="23917"/>
  <c r="AA492" i="24142"/>
  <c r="AA559" i="23917"/>
  <c r="I432" i="24142"/>
  <c r="I498" i="23917"/>
  <c r="S432" i="24142"/>
  <c r="S498" i="23917"/>
  <c r="U371" i="24142"/>
  <c r="U437" i="23917"/>
  <c r="DN286" i="24142"/>
  <c r="DN352" i="23917"/>
  <c r="DL371" i="24142"/>
  <c r="DL437" i="23917"/>
  <c r="AG162" i="24142"/>
  <c r="AG316" i="23917"/>
  <c r="DP148" i="24142"/>
  <c r="DP299" i="23917"/>
  <c r="S126" i="24142"/>
  <c r="S228" i="23917"/>
  <c r="BI115" i="24142"/>
  <c r="BI211" i="23917"/>
  <c r="CY259" i="23917"/>
  <c r="AR152" i="24142"/>
  <c r="AR303" i="23917"/>
  <c r="DJ290" i="24142"/>
  <c r="DJ356" i="23917"/>
  <c r="BJ277" i="24142"/>
  <c r="BJ342" i="23917"/>
  <c r="H7" i="24158"/>
  <c r="L8" i="24158" s="1"/>
  <c r="BJ278" i="24142"/>
  <c r="BJ12" i="24142"/>
  <c r="BJ343" i="23917"/>
  <c r="BJ344" i="23917" s="1"/>
  <c r="D152" i="24142"/>
  <c r="D303" i="23917"/>
  <c r="E150" i="24142"/>
  <c r="E301" i="23917"/>
  <c r="AK83" i="24142"/>
  <c r="AK87" i="23917"/>
  <c r="BC82" i="24142"/>
  <c r="BC86" i="23917"/>
  <c r="DR488" i="24142"/>
  <c r="DR555" i="23917"/>
  <c r="BE275" i="24142"/>
  <c r="BE340" i="23917"/>
  <c r="G126" i="24142"/>
  <c r="G228" i="23917"/>
  <c r="AI82" i="24142"/>
  <c r="AI86" i="23917"/>
  <c r="AC89" i="24142"/>
  <c r="AC98" i="23917"/>
  <c r="B214" i="24142"/>
  <c r="B152" i="23917"/>
  <c r="M433" i="24142"/>
  <c r="M499" i="23917"/>
  <c r="DJ286" i="24142"/>
  <c r="DJ352" i="23917"/>
  <c r="DP111" i="24142"/>
  <c r="DP207" i="23917"/>
  <c r="Y10" i="24142"/>
  <c r="BK115" i="24142"/>
  <c r="BK211" i="23917"/>
  <c r="AY89" i="24142"/>
  <c r="AY98" i="23917"/>
  <c r="BO492" i="24142"/>
  <c r="BO559" i="23917"/>
  <c r="K371" i="24142"/>
  <c r="K437" i="23917"/>
  <c r="I371" i="24142"/>
  <c r="I437" i="23917"/>
  <c r="G456" i="24142"/>
  <c r="G522" i="23917"/>
  <c r="U214" i="24142"/>
  <c r="U152" i="23917"/>
  <c r="I464" i="24142"/>
  <c r="I530" i="23917"/>
  <c r="M14" i="24142"/>
  <c r="AE162" i="24142"/>
  <c r="AE316" i="23917"/>
  <c r="DH102" i="24142"/>
  <c r="DH198" i="23917"/>
  <c r="DR104" i="24142"/>
  <c r="DR200" i="23917"/>
  <c r="K115" i="24142"/>
  <c r="K211" i="23917"/>
  <c r="BE115" i="24142"/>
  <c r="BE211" i="23917"/>
  <c r="AU83" i="24142"/>
  <c r="AU87" i="23917"/>
  <c r="I82" i="24142"/>
  <c r="I86" i="23917"/>
  <c r="AG89" i="24142"/>
  <c r="AG98" i="23917"/>
  <c r="BM83" i="24142"/>
  <c r="BM87" i="23917"/>
  <c r="BE82" i="24142"/>
  <c r="BE86" i="23917"/>
  <c r="DP290" i="24142"/>
  <c r="DP356" i="23917"/>
  <c r="G371" i="24142"/>
  <c r="G437" i="23917"/>
  <c r="DF346" i="24142"/>
  <c r="DF412" i="23917"/>
  <c r="E371" i="24142"/>
  <c r="E437" i="23917"/>
  <c r="DD311" i="24142"/>
  <c r="DD377" i="23917"/>
  <c r="BA188" i="24142"/>
  <c r="BA125" i="23917"/>
  <c r="DM141" i="24142"/>
  <c r="DM292" i="23917"/>
  <c r="AQ10" i="24142"/>
  <c r="AC10" i="24142"/>
  <c r="M10" i="24142"/>
  <c r="AJ10" i="24142"/>
  <c r="AK10" i="24142" s="1"/>
  <c r="DN104" i="24142"/>
  <c r="DN200" i="23917"/>
  <c r="AU10" i="24142"/>
  <c r="AU115" i="24142"/>
  <c r="AU211" i="23917"/>
  <c r="AQ115" i="24142"/>
  <c r="AQ211" i="23917"/>
  <c r="BF10" i="24142"/>
  <c r="AG115" i="24142"/>
  <c r="AG211" i="23917"/>
  <c r="BD284" i="24142"/>
  <c r="BD350" i="23917"/>
  <c r="S273" i="23917"/>
  <c r="S221" i="23917"/>
  <c r="V86" i="24142"/>
  <c r="V84" i="24142"/>
  <c r="V88" i="23917"/>
  <c r="B494" i="24142"/>
  <c r="B17" i="24142"/>
  <c r="B560" i="23917"/>
  <c r="B561" i="23917" s="1"/>
  <c r="DG393" i="24142"/>
  <c r="DG459" i="23917"/>
  <c r="AQ494" i="24142"/>
  <c r="AQ17" i="24142"/>
  <c r="AQ560" i="23917"/>
  <c r="AM494" i="24142"/>
  <c r="AM17" i="24142"/>
  <c r="AM560" i="23917"/>
  <c r="AN494" i="24142"/>
  <c r="AN17" i="24142"/>
  <c r="AN560" i="23917"/>
  <c r="AN561" i="23917" s="1"/>
  <c r="Q418" i="24142"/>
  <c r="Q484" i="23917"/>
  <c r="I7" i="24158"/>
  <c r="I8" i="24158" s="1"/>
  <c r="BL278" i="24142"/>
  <c r="BL12" i="24142"/>
  <c r="BL343" i="23917"/>
  <c r="BL344" i="23917" s="1"/>
  <c r="DD183" i="24142"/>
  <c r="DD120" i="23917"/>
  <c r="BV213" i="24142"/>
  <c r="BV151" i="23917"/>
  <c r="BF213" i="24142"/>
  <c r="BF151" i="23917"/>
  <c r="AP213" i="24142"/>
  <c r="AP151" i="23917"/>
  <c r="Z213" i="24142"/>
  <c r="Z151" i="23917"/>
  <c r="J213" i="24142"/>
  <c r="J151" i="23917"/>
  <c r="U418" i="24142"/>
  <c r="U484" i="23917"/>
  <c r="D427" i="24142"/>
  <c r="D493" i="23917"/>
  <c r="DE420" i="24142"/>
  <c r="DE486" i="23917"/>
  <c r="DF418" i="24142"/>
  <c r="DF484" i="23917"/>
  <c r="AN213" i="24142"/>
  <c r="AN151" i="23917"/>
  <c r="AB200" i="24142"/>
  <c r="AB138" i="23917"/>
  <c r="AM162" i="24142"/>
  <c r="AM316" i="23917"/>
  <c r="BA146" i="24142"/>
  <c r="BA297" i="23917"/>
  <c r="T159" i="24142"/>
  <c r="T313" i="23917"/>
  <c r="BW152" i="24142"/>
  <c r="BV152" i="24142"/>
  <c r="BV303" i="23917"/>
  <c r="BF152" i="24142"/>
  <c r="BF303" i="23917"/>
  <c r="AV245" i="23917"/>
  <c r="AV219" i="23917"/>
  <c r="BG126" i="24142"/>
  <c r="BG228" i="23917"/>
  <c r="P273" i="23917"/>
  <c r="P221" i="23917"/>
  <c r="U115" i="24142"/>
  <c r="U211" i="23917"/>
  <c r="BM115" i="24142"/>
  <c r="BM211" i="23917"/>
  <c r="BK91" i="23917"/>
  <c r="BJ91" i="23917"/>
  <c r="AH86" i="24142"/>
  <c r="AH84" i="24142"/>
  <c r="AH88" i="23917"/>
  <c r="AW82" i="24142"/>
  <c r="AW86" i="23917"/>
  <c r="DG86" i="24142"/>
  <c r="DG84" i="24142"/>
  <c r="DG88" i="23917"/>
  <c r="L86" i="24142"/>
  <c r="L84" i="24142"/>
  <c r="L88" i="23917"/>
  <c r="T492" i="24142"/>
  <c r="T559" i="23917"/>
  <c r="U490" i="24142"/>
  <c r="U557" i="23917"/>
  <c r="BA492" i="24142"/>
  <c r="BA559" i="23917"/>
  <c r="R366" i="24142"/>
  <c r="R432" i="23917"/>
  <c r="O371" i="24142"/>
  <c r="O437" i="23917"/>
  <c r="H492" i="24142"/>
  <c r="H559" i="23917"/>
  <c r="DK353" i="24142"/>
  <c r="DK419" i="23917"/>
  <c r="DK360" i="24142"/>
  <c r="DK426" i="23917"/>
  <c r="O289" i="24142"/>
  <c r="O355" i="23917"/>
  <c r="DC490" i="24142"/>
  <c r="DC557" i="23917"/>
  <c r="AA418" i="24142"/>
  <c r="AA484" i="23917"/>
  <c r="Z421" i="24142"/>
  <c r="Z487" i="23917"/>
  <c r="B420" i="24142"/>
  <c r="B486" i="23917"/>
  <c r="F332" i="24142"/>
  <c r="F398" i="23917"/>
  <c r="B325" i="24142"/>
  <c r="B391" i="23917"/>
  <c r="DU184" i="24142"/>
  <c r="DU121" i="23917"/>
  <c r="DU214" i="24142"/>
  <c r="DU152" i="23917"/>
  <c r="BR214" i="24142"/>
  <c r="BR152" i="23917"/>
  <c r="BC186" i="24142"/>
  <c r="BC123" i="23917"/>
  <c r="DJ346" i="24142"/>
  <c r="DJ412" i="23917"/>
  <c r="BT284" i="24142"/>
  <c r="BT350" i="23917"/>
  <c r="AF189" i="24142"/>
  <c r="AF11" i="24142"/>
  <c r="AF14" i="24142"/>
  <c r="AF126" i="23917"/>
  <c r="AF127" i="23917" s="1"/>
  <c r="DP286" i="24142"/>
  <c r="DP352" i="23917"/>
  <c r="DC159" i="24142"/>
  <c r="DC313" i="23917"/>
  <c r="E188" i="24142"/>
  <c r="E125" i="23917"/>
  <c r="G162" i="24142"/>
  <c r="G316" i="23917"/>
  <c r="BM148" i="24142"/>
  <c r="BM299" i="23917"/>
  <c r="C152" i="24142"/>
  <c r="C303" i="23917"/>
  <c r="AT159" i="24142"/>
  <c r="AT313" i="23917"/>
  <c r="G153" i="24142"/>
  <c r="G304" i="23917"/>
  <c r="J159" i="24142"/>
  <c r="J313" i="23917"/>
  <c r="BA116" i="24142"/>
  <c r="BA8" i="24142"/>
  <c r="BA212" i="23917"/>
  <c r="AZ122" i="24142"/>
  <c r="AZ224" i="23917"/>
  <c r="I115" i="24142"/>
  <c r="I211" i="23917"/>
  <c r="BK116" i="24142"/>
  <c r="BK8" i="24142"/>
  <c r="BK212" i="23917"/>
  <c r="AZ86" i="24142"/>
  <c r="AZ84" i="24142"/>
  <c r="AZ88" i="23917"/>
  <c r="D86" i="24142"/>
  <c r="D84" i="24142"/>
  <c r="D88" i="23917"/>
  <c r="AN86" i="24142"/>
  <c r="AN84" i="24142"/>
  <c r="AN88" i="23917"/>
  <c r="AO88" i="24142"/>
  <c r="AN88" i="24142"/>
  <c r="N86" i="24142"/>
  <c r="N84" i="24142"/>
  <c r="N88" i="23917"/>
  <c r="AY494" i="24142"/>
  <c r="AY17" i="24142"/>
  <c r="AY560" i="23917"/>
  <c r="DN483" i="24142"/>
  <c r="DN549" i="23917"/>
  <c r="L421" i="24142"/>
  <c r="L487" i="23917"/>
  <c r="D318" i="24142"/>
  <c r="D384" i="23917"/>
  <c r="D331" i="24142"/>
  <c r="D397" i="23917"/>
  <c r="D332" i="24142"/>
  <c r="D398" i="23917"/>
  <c r="W494" i="24142"/>
  <c r="W17" i="24142"/>
  <c r="W560" i="23917"/>
  <c r="X494" i="24142"/>
  <c r="X17" i="24142"/>
  <c r="X560" i="23917"/>
  <c r="X561" i="23917" s="1"/>
  <c r="DR273" i="24142"/>
  <c r="DR338" i="23917"/>
  <c r="DF306" i="24142"/>
  <c r="DF372" i="23917"/>
  <c r="DE328" i="24142"/>
  <c r="DE394" i="23917"/>
  <c r="O290" i="24142"/>
  <c r="O356" i="23917"/>
  <c r="BO186" i="24142"/>
  <c r="BO123" i="23917"/>
  <c r="AX189" i="24142"/>
  <c r="AX14" i="24142"/>
  <c r="AX11" i="24142"/>
  <c r="AX126" i="23917"/>
  <c r="AX127" i="23917" s="1"/>
  <c r="AH188" i="24142"/>
  <c r="AH125" i="23917"/>
  <c r="AH189" i="24142"/>
  <c r="AH14" i="24142"/>
  <c r="AH11" i="24142"/>
  <c r="AH126" i="23917"/>
  <c r="AH127" i="23917" s="1"/>
  <c r="S188" i="24142"/>
  <c r="R188" i="24142"/>
  <c r="R125" i="23917"/>
  <c r="R189" i="24142"/>
  <c r="R14" i="24142"/>
  <c r="R11" i="24142"/>
  <c r="R126" i="23917"/>
  <c r="R127" i="23917" s="1"/>
  <c r="Q7" i="24158"/>
  <c r="DU278" i="24142"/>
  <c r="DU12" i="24142"/>
  <c r="DU343" i="23917"/>
  <c r="DU344" i="23917" s="1"/>
  <c r="BD189" i="24142"/>
  <c r="BD14" i="24142"/>
  <c r="BD11" i="24142"/>
  <c r="BD126" i="23917"/>
  <c r="BD127" i="23917" s="1"/>
  <c r="X213" i="24142"/>
  <c r="X151" i="23917"/>
  <c r="DC318" i="24142"/>
  <c r="DC384" i="23917"/>
  <c r="DC319" i="24142"/>
  <c r="DC13" i="24142"/>
  <c r="DC385" i="23917"/>
  <c r="AP159" i="24142"/>
  <c r="AP313" i="23917"/>
  <c r="V273" i="23917"/>
  <c r="V221" i="23917"/>
  <c r="DV110" i="24142"/>
  <c r="DV206" i="23917"/>
  <c r="AO273" i="23917"/>
  <c r="AO221" i="23917"/>
  <c r="BR153" i="24142"/>
  <c r="BR9" i="24142"/>
  <c r="BR304" i="23917"/>
  <c r="BR305" i="23917" s="1"/>
  <c r="AE116" i="24142"/>
  <c r="AE8" i="24142"/>
  <c r="AE212" i="23917"/>
  <c r="N122" i="24142"/>
  <c r="N224" i="23917"/>
  <c r="BD122" i="24142"/>
  <c r="BD224" i="23917"/>
  <c r="W116" i="24142"/>
  <c r="W8" i="24142"/>
  <c r="W212" i="23917"/>
  <c r="AU84" i="24142"/>
  <c r="AU86" i="24142"/>
  <c r="AU88" i="23917"/>
  <c r="AS84" i="24142"/>
  <c r="AS86" i="24142"/>
  <c r="AS88" i="23917"/>
  <c r="DK89" i="24142"/>
  <c r="DK98" i="23917"/>
  <c r="BM84" i="24142"/>
  <c r="BM86" i="24142"/>
  <c r="BM88" i="23917"/>
  <c r="DK490" i="24142"/>
  <c r="DK557" i="23917"/>
  <c r="AS494" i="24142"/>
  <c r="AS17" i="24142"/>
  <c r="AS560" i="23917"/>
  <c r="AA494" i="24142"/>
  <c r="AA17" i="24142"/>
  <c r="AA560" i="23917"/>
  <c r="H420" i="24142"/>
  <c r="H486" i="23917"/>
  <c r="I418" i="24142"/>
  <c r="I484" i="23917"/>
  <c r="AF494" i="24142"/>
  <c r="AF17" i="24142"/>
  <c r="AF560" i="23917"/>
  <c r="AF561" i="23917" s="1"/>
  <c r="E490" i="24142"/>
  <c r="E557" i="23917"/>
  <c r="D494" i="24142"/>
  <c r="D17" i="24142"/>
  <c r="D560" i="23917"/>
  <c r="D561" i="23917" s="1"/>
  <c r="U351" i="24142"/>
  <c r="U417" i="23917"/>
  <c r="T354" i="24142"/>
  <c r="T420" i="23917"/>
  <c r="E351" i="24142"/>
  <c r="E417" i="23917"/>
  <c r="D354" i="24142"/>
  <c r="D420" i="23917"/>
  <c r="E278" i="24142"/>
  <c r="E343" i="23917"/>
  <c r="D284" i="24142"/>
  <c r="D350" i="23917"/>
  <c r="AY214" i="24142"/>
  <c r="AY152" i="23917"/>
  <c r="DI214" i="24142"/>
  <c r="DI152" i="23917"/>
  <c r="BZ188" i="24142"/>
  <c r="BZ125" i="23917"/>
  <c r="BZ189" i="24142"/>
  <c r="BZ14" i="24142"/>
  <c r="BZ11" i="24142"/>
  <c r="BZ126" i="23917"/>
  <c r="BZ127" i="23917" s="1"/>
  <c r="AT214" i="24142"/>
  <c r="AT152" i="23917"/>
  <c r="AE188" i="24142"/>
  <c r="AD188" i="24142"/>
  <c r="AD125" i="23917"/>
  <c r="AD189" i="24142"/>
  <c r="AD14" i="24142"/>
  <c r="AD11" i="24142"/>
  <c r="AD126" i="23917"/>
  <c r="AD127" i="23917" s="1"/>
  <c r="BX284" i="24142"/>
  <c r="BX350" i="23917"/>
  <c r="I278" i="24142"/>
  <c r="I343" i="23917"/>
  <c r="BM214" i="24142"/>
  <c r="BM152" i="23917"/>
  <c r="L201" i="24142"/>
  <c r="L139" i="23917"/>
  <c r="BE146" i="24142"/>
  <c r="BE297" i="23917"/>
  <c r="AT122" i="24142"/>
  <c r="AT224" i="23917"/>
  <c r="AP273" i="23917"/>
  <c r="AP221" i="23917"/>
  <c r="DH271" i="23917"/>
  <c r="DG271" i="23917"/>
  <c r="DM125" i="24142"/>
  <c r="DM227" i="23917"/>
  <c r="AM82" i="24142"/>
  <c r="AM86" i="23917"/>
  <c r="AM91" i="23917"/>
  <c r="AL91" i="23917"/>
  <c r="DL273" i="24142"/>
  <c r="DL338" i="23917"/>
  <c r="BG492" i="24142"/>
  <c r="BG559" i="23917"/>
  <c r="S371" i="24142"/>
  <c r="S437" i="23917"/>
  <c r="K418" i="24142"/>
  <c r="K484" i="23917"/>
  <c r="J421" i="24142"/>
  <c r="J487" i="23917"/>
  <c r="Q371" i="24142"/>
  <c r="Q437" i="23917"/>
  <c r="J332" i="24142"/>
  <c r="J398" i="23917"/>
  <c r="AV277" i="24142"/>
  <c r="AV342" i="23917"/>
  <c r="DT177" i="24142"/>
  <c r="DT114" i="23917"/>
  <c r="DP177" i="24142"/>
  <c r="DP114" i="23917"/>
  <c r="DO186" i="24142"/>
  <c r="DO123" i="23917"/>
  <c r="DH177" i="24142"/>
  <c r="DH114" i="23917"/>
  <c r="DG186" i="24142"/>
  <c r="DG123" i="23917"/>
  <c r="L383" i="24142"/>
  <c r="L449" i="23917"/>
  <c r="T427" i="24142"/>
  <c r="T493" i="23917"/>
  <c r="E420" i="24142"/>
  <c r="E486" i="23917"/>
  <c r="DG278" i="24142"/>
  <c r="DG12" i="24142"/>
  <c r="DG343" i="23917"/>
  <c r="DG344" i="23917" s="1"/>
  <c r="BT213" i="24142"/>
  <c r="BT151" i="23917"/>
  <c r="DL141" i="24142"/>
  <c r="DL292" i="23917"/>
  <c r="BA148" i="24142"/>
  <c r="BA299" i="23917"/>
  <c r="BM126" i="24142"/>
  <c r="BM228" i="23917"/>
  <c r="DE115" i="24142"/>
  <c r="DE211" i="23917"/>
  <c r="DH258" i="23917"/>
  <c r="DH220" i="23917"/>
  <c r="V159" i="24142"/>
  <c r="V313" i="23917"/>
  <c r="BB153" i="24142"/>
  <c r="BB9" i="24142"/>
  <c r="BB304" i="23917"/>
  <c r="BB305" i="23917" s="1"/>
  <c r="E116" i="24142"/>
  <c r="E212" i="23917"/>
  <c r="D122" i="24142"/>
  <c r="D224" i="23917"/>
  <c r="DT99" i="23917"/>
  <c r="DS99" i="23917"/>
  <c r="AW89" i="24142"/>
  <c r="AW98" i="23917"/>
  <c r="AP86" i="24142"/>
  <c r="AP84" i="24142"/>
  <c r="AP88" i="23917"/>
  <c r="BC89" i="24142"/>
  <c r="BC98" i="23917"/>
  <c r="BT494" i="24142"/>
  <c r="BT17" i="24142"/>
  <c r="BT560" i="23917"/>
  <c r="BT561" i="23917" s="1"/>
  <c r="DT483" i="24142"/>
  <c r="DT549" i="23917"/>
  <c r="AE494" i="24142"/>
  <c r="AE17" i="24142"/>
  <c r="AE560" i="23917"/>
  <c r="T394" i="24142"/>
  <c r="T460" i="23917"/>
  <c r="V284" i="24142"/>
  <c r="V350" i="23917"/>
  <c r="S494" i="24142"/>
  <c r="S17" i="24142"/>
  <c r="S560" i="23917"/>
  <c r="AA433" i="24142"/>
  <c r="AA499" i="23917"/>
  <c r="AC371" i="24142"/>
  <c r="AC437" i="23917"/>
  <c r="Q432" i="24142"/>
  <c r="Q498" i="23917"/>
  <c r="DK277" i="24142"/>
  <c r="DK342" i="23917"/>
  <c r="DL275" i="24142"/>
  <c r="DL340" i="23917"/>
  <c r="V213" i="24142"/>
  <c r="V151" i="23917"/>
  <c r="BM186" i="24142"/>
  <c r="BM123" i="23917"/>
  <c r="AF214" i="24142"/>
  <c r="AF152" i="23917"/>
  <c r="DS275" i="24142"/>
  <c r="DS340" i="23917"/>
  <c r="N237" i="24142"/>
  <c r="N173" i="23917"/>
  <c r="N231" i="24142"/>
  <c r="N169" i="23917"/>
  <c r="N133" i="23917"/>
  <c r="DJ146" i="24142"/>
  <c r="DJ297" i="23917"/>
  <c r="AD273" i="23917"/>
  <c r="AD221" i="23917"/>
  <c r="AO115" i="24142"/>
  <c r="AO211" i="23917"/>
  <c r="AH273" i="23917"/>
  <c r="AH221" i="23917"/>
  <c r="DQ86" i="24142"/>
  <c r="DQ84" i="24142"/>
  <c r="DQ88" i="23917"/>
  <c r="BA88" i="24142"/>
  <c r="AZ88" i="24142"/>
  <c r="DR82" i="24142"/>
  <c r="DR86" i="23917"/>
  <c r="H86" i="24142"/>
  <c r="H84" i="24142"/>
  <c r="H88" i="23917"/>
  <c r="DP483" i="24142"/>
  <c r="DP549" i="23917"/>
  <c r="DQ492" i="24142"/>
  <c r="DQ559" i="23917"/>
  <c r="DI492" i="24142"/>
  <c r="DI559" i="23917"/>
  <c r="DI494" i="24142"/>
  <c r="DI17" i="24142"/>
  <c r="DI560" i="23917"/>
  <c r="DI561" i="23917" s="1"/>
  <c r="AA351" i="24142"/>
  <c r="AA417" i="23917"/>
  <c r="Z360" i="24142"/>
  <c r="Z426" i="23917"/>
  <c r="K351" i="24142"/>
  <c r="K417" i="23917"/>
  <c r="J360" i="24142"/>
  <c r="J426" i="23917"/>
  <c r="DC351" i="24142"/>
  <c r="DC417" i="23917"/>
  <c r="DG371" i="24142"/>
  <c r="DG437" i="23917"/>
  <c r="DG351" i="24142"/>
  <c r="DG417" i="23917"/>
  <c r="N284" i="24142"/>
  <c r="N350" i="23917"/>
  <c r="DO184" i="24142"/>
  <c r="DO121" i="23917"/>
  <c r="DV177" i="24142"/>
  <c r="DV114" i="23917"/>
  <c r="DR177" i="24142"/>
  <c r="DR114" i="23917"/>
  <c r="DN177" i="24142"/>
  <c r="DN114" i="23917"/>
  <c r="DE457" i="24142"/>
  <c r="DE523" i="23917"/>
  <c r="G457" i="24142"/>
  <c r="G523" i="23917"/>
  <c r="H213" i="24142"/>
  <c r="H151" i="23917"/>
  <c r="DT141" i="24142"/>
  <c r="DT292" i="23917"/>
  <c r="N245" i="24142"/>
  <c r="N134" i="23917"/>
  <c r="N181" i="23917"/>
  <c r="BH162" i="24142"/>
  <c r="BH316" i="23917"/>
  <c r="DK126" i="24142"/>
  <c r="DK228" i="23917"/>
  <c r="AE115" i="24142"/>
  <c r="AE211" i="23917"/>
  <c r="Z122" i="24142"/>
  <c r="Z224" i="23917"/>
  <c r="K116" i="24142"/>
  <c r="K8" i="24142"/>
  <c r="K212" i="23917"/>
  <c r="AE88" i="24142"/>
  <c r="AD88" i="24142"/>
  <c r="BF86" i="24142"/>
  <c r="BF84" i="24142"/>
  <c r="BF88" i="23917"/>
  <c r="Z86" i="24142"/>
  <c r="Z84" i="24142"/>
  <c r="Z88" i="23917"/>
  <c r="BL494" i="24142"/>
  <c r="BL17" i="24142"/>
  <c r="BL560" i="23917"/>
  <c r="BL561" i="23917" s="1"/>
  <c r="DE490" i="24142"/>
  <c r="DE557" i="23917"/>
  <c r="DR183" i="24142"/>
  <c r="DR120" i="23917"/>
  <c r="BJ213" i="24142"/>
  <c r="BJ151" i="23917"/>
  <c r="BI214" i="24142"/>
  <c r="BI152" i="23917"/>
  <c r="P189" i="24142"/>
  <c r="P11" i="24142"/>
  <c r="P14" i="24142"/>
  <c r="P126" i="23917"/>
  <c r="P127" i="23917" s="1"/>
  <c r="DC420" i="24142"/>
  <c r="DC486" i="23917"/>
  <c r="DC421" i="24142"/>
  <c r="DC487" i="23917"/>
  <c r="BI275" i="24142"/>
  <c r="BI340" i="23917"/>
  <c r="DC197" i="24142"/>
  <c r="DC135" i="23917"/>
  <c r="AF153" i="24142"/>
  <c r="AF9" i="24142"/>
  <c r="AF304" i="23917"/>
  <c r="AF305" i="23917" s="1"/>
  <c r="AF152" i="24142"/>
  <c r="AF303" i="23917"/>
  <c r="DL146" i="24142"/>
  <c r="DL297" i="23917"/>
  <c r="BT162" i="24142"/>
  <c r="BT316" i="23917"/>
  <c r="BE148" i="24142"/>
  <c r="BE299" i="23917"/>
  <c r="L159" i="24142"/>
  <c r="L313" i="23917"/>
  <c r="DI263" i="23917"/>
  <c r="BZ9" i="23917"/>
  <c r="BI116" i="24142"/>
  <c r="BI8" i="24142"/>
  <c r="BI212" i="23917"/>
  <c r="BH122" i="24142"/>
  <c r="BH224" i="23917"/>
  <c r="DK113" i="24142"/>
  <c r="DK209" i="23917"/>
  <c r="G116" i="24142"/>
  <c r="G212" i="23917"/>
  <c r="DJ418" i="24142"/>
  <c r="DJ484" i="23917"/>
  <c r="DH245" i="23917"/>
  <c r="DH219" i="23917"/>
  <c r="DT147" i="24142"/>
  <c r="DT298" i="23917"/>
  <c r="DN290" i="24142"/>
  <c r="DN356" i="23917"/>
  <c r="BG89" i="24142"/>
  <c r="BG98" i="23917"/>
  <c r="K82" i="24142"/>
  <c r="K86" i="23917"/>
  <c r="F86" i="24142"/>
  <c r="F84" i="24142"/>
  <c r="F88" i="23917"/>
  <c r="BE490" i="24142"/>
  <c r="BE557" i="23917"/>
  <c r="BD492" i="24142"/>
  <c r="BD559" i="23917"/>
  <c r="BK494" i="24142"/>
  <c r="BK17" i="24142"/>
  <c r="BK560" i="23917"/>
  <c r="DC16" i="24142"/>
  <c r="DC16" i="23917"/>
  <c r="K433" i="24142"/>
  <c r="K499" i="23917"/>
  <c r="J318" i="24142"/>
  <c r="J384" i="23917"/>
  <c r="Y421" i="24142"/>
  <c r="Y487" i="23917"/>
  <c r="DL183" i="24142"/>
  <c r="DL120" i="23917"/>
  <c r="F189" i="24142"/>
  <c r="F14" i="24142"/>
  <c r="F11" i="24142"/>
  <c r="F126" i="23917"/>
  <c r="F127" i="23917" s="1"/>
  <c r="BF189" i="24142"/>
  <c r="BF14" i="24142"/>
  <c r="BF11" i="24142"/>
  <c r="BF126" i="23917"/>
  <c r="BF127" i="23917" s="1"/>
  <c r="AP188" i="24142"/>
  <c r="AP125" i="23917"/>
  <c r="AP189" i="24142"/>
  <c r="AP14" i="24142"/>
  <c r="AQ14" i="24142" s="1"/>
  <c r="AP11" i="24142"/>
  <c r="AP126" i="23917"/>
  <c r="AP127" i="23917" s="1"/>
  <c r="Z188" i="24142"/>
  <c r="Z125" i="23917"/>
  <c r="Z189" i="24142"/>
  <c r="Z14" i="24142"/>
  <c r="Z11" i="24142"/>
  <c r="Z126" i="23917"/>
  <c r="Z127" i="23917" s="1"/>
  <c r="K125" i="23917"/>
  <c r="J188" i="24142"/>
  <c r="J125" i="23917"/>
  <c r="J189" i="24142"/>
  <c r="J14" i="24142"/>
  <c r="J11" i="24142"/>
  <c r="J126" i="23917"/>
  <c r="J127" i="23917" s="1"/>
  <c r="DF311" i="24142"/>
  <c r="DF377" i="23917"/>
  <c r="DE125" i="24142"/>
  <c r="DE227" i="23917"/>
  <c r="BN152" i="24142"/>
  <c r="BN303" i="23917"/>
  <c r="AX152" i="24142"/>
  <c r="AX303" i="23917"/>
  <c r="DH110" i="24142"/>
  <c r="DH206" i="23917"/>
  <c r="AI116" i="24142"/>
  <c r="AI8" i="24142"/>
  <c r="AI212" i="23917"/>
  <c r="R122" i="24142"/>
  <c r="R224" i="23917"/>
  <c r="S116" i="24142"/>
  <c r="S8" i="24142"/>
  <c r="S212" i="23917"/>
  <c r="C116" i="24142"/>
  <c r="C212" i="23917"/>
  <c r="B122" i="24142"/>
  <c r="B224" i="23917"/>
  <c r="BL122" i="24142"/>
  <c r="BL224" i="23917"/>
  <c r="BK83" i="24142"/>
  <c r="BK87" i="23917"/>
  <c r="DT88" i="24142"/>
  <c r="DS88" i="24142"/>
  <c r="DS86" i="24142"/>
  <c r="DS84" i="24142"/>
  <c r="DS88" i="23917"/>
  <c r="AI91" i="23917"/>
  <c r="AH91" i="23917"/>
  <c r="BI91" i="23917"/>
  <c r="BH91" i="23917"/>
  <c r="AB86" i="24142"/>
  <c r="AB84" i="24142"/>
  <c r="AB88" i="23917"/>
  <c r="R86" i="24142"/>
  <c r="R84" i="24142"/>
  <c r="R88" i="23917"/>
  <c r="BA494" i="24142"/>
  <c r="BA17" i="24142"/>
  <c r="BA560" i="23917"/>
  <c r="Q490" i="24142"/>
  <c r="Q557" i="23917"/>
  <c r="P494" i="24142"/>
  <c r="P17" i="24142"/>
  <c r="P560" i="23917"/>
  <c r="P561" i="23917" s="1"/>
  <c r="G316" i="24142"/>
  <c r="G382" i="23917"/>
  <c r="BC277" i="24142"/>
  <c r="BC342" i="23917"/>
  <c r="DM278" i="24142"/>
  <c r="DM12" i="24142"/>
  <c r="DM343" i="23917"/>
  <c r="DM344" i="23917" s="1"/>
  <c r="DE277" i="24142"/>
  <c r="DE342" i="23917"/>
  <c r="AH214" i="24142"/>
  <c r="AH152" i="23917"/>
  <c r="DF183" i="24142"/>
  <c r="DF120" i="23917"/>
  <c r="B188" i="24142"/>
  <c r="B125" i="23917"/>
  <c r="B189" i="24142"/>
  <c r="B14" i="24142"/>
  <c r="B11" i="24142"/>
  <c r="B126" i="23917"/>
  <c r="B127" i="23917" s="1"/>
  <c r="AL213" i="24142"/>
  <c r="AL151" i="23917"/>
  <c r="DE360" i="24142"/>
  <c r="DE426" i="23917"/>
  <c r="C162" i="24142"/>
  <c r="C316" i="23917"/>
  <c r="DN146" i="24142"/>
  <c r="DN297" i="23917"/>
  <c r="DO146" i="24142"/>
  <c r="DO297" i="23917"/>
  <c r="AV162" i="24142"/>
  <c r="AV316" i="23917"/>
  <c r="AI126" i="24142"/>
  <c r="AI228" i="23917"/>
  <c r="DE126" i="24142"/>
  <c r="DE228" i="23917"/>
  <c r="AL122" i="24142"/>
  <c r="AL224" i="23917"/>
  <c r="DF83" i="24142"/>
  <c r="DF87" i="23917"/>
  <c r="AG84" i="24142"/>
  <c r="AG86" i="24142"/>
  <c r="AG88" i="23917"/>
  <c r="BN82" i="24142"/>
  <c r="BN86" i="23917"/>
  <c r="BN83" i="24142"/>
  <c r="BN87" i="23917"/>
  <c r="BO89" i="23917"/>
  <c r="BN89" i="23917"/>
  <c r="L494" i="24142"/>
  <c r="L17" i="24142"/>
  <c r="L560" i="23917"/>
  <c r="L561" i="23917" s="1"/>
  <c r="E464" i="24142"/>
  <c r="E530" i="23917"/>
  <c r="AJ284" i="24142"/>
  <c r="AJ350" i="23917"/>
  <c r="G421" i="24142"/>
  <c r="G487" i="23917"/>
  <c r="F427" i="24142"/>
  <c r="F493" i="23917"/>
  <c r="DH418" i="24142"/>
  <c r="DH484" i="23917"/>
  <c r="BA214" i="24142"/>
  <c r="BA152" i="23917"/>
  <c r="DC331" i="24142"/>
  <c r="DC397" i="23917"/>
  <c r="X278" i="24142"/>
  <c r="X12" i="24142"/>
  <c r="X343" i="23917"/>
  <c r="X344" i="23917" s="1"/>
  <c r="DC162" i="24142"/>
  <c r="DC316" i="23917"/>
  <c r="BY200" i="24142"/>
  <c r="BX200" i="24142"/>
  <c r="BX138" i="23917"/>
  <c r="AR200" i="24142"/>
  <c r="AR138" i="23917"/>
  <c r="BI148" i="24142"/>
  <c r="BI299" i="23917"/>
  <c r="AA126" i="24142"/>
  <c r="AA228" i="23917"/>
  <c r="O115" i="24142"/>
  <c r="O211" i="23917"/>
  <c r="AS91" i="23917"/>
  <c r="AR91" i="23917"/>
  <c r="DH488" i="24142"/>
  <c r="DH555" i="23917"/>
  <c r="V353" i="24142"/>
  <c r="V419" i="23917"/>
  <c r="W351" i="24142"/>
  <c r="W417" i="23917"/>
  <c r="F353" i="24142"/>
  <c r="F419" i="23917"/>
  <c r="G351" i="24142"/>
  <c r="G417" i="23917"/>
  <c r="DD346" i="24142"/>
  <c r="DD412" i="23917"/>
  <c r="AC277" i="24142"/>
  <c r="AB277" i="24142"/>
  <c r="AB342" i="23917"/>
  <c r="AK278" i="24142"/>
  <c r="AB278" i="24142"/>
  <c r="AB12" i="24142"/>
  <c r="AB343" i="23917"/>
  <c r="AB344" i="23917" s="1"/>
  <c r="BK186" i="24142"/>
  <c r="BK123" i="23917"/>
  <c r="N214" i="24142"/>
  <c r="N152" i="23917"/>
  <c r="O7" i="24158"/>
  <c r="DQ278" i="24142"/>
  <c r="DQ12" i="24142"/>
  <c r="DQ343" i="23917"/>
  <c r="DQ344" i="23917" s="1"/>
  <c r="DI278" i="24142"/>
  <c r="DI12" i="24142"/>
  <c r="DI343" i="23917"/>
  <c r="DI344" i="23917" s="1"/>
  <c r="P213" i="24142"/>
  <c r="P151" i="23917"/>
  <c r="DP141" i="24142"/>
  <c r="DP292" i="23917"/>
  <c r="AZ200" i="24142"/>
  <c r="AZ138" i="23917"/>
  <c r="BT150" i="24142"/>
  <c r="BT301" i="23917"/>
  <c r="DF102" i="24142"/>
  <c r="DF198" i="23917"/>
  <c r="DI427" i="24142"/>
  <c r="DI493" i="23917"/>
  <c r="DJ392" i="24142"/>
  <c r="DJ458" i="23917"/>
  <c r="DS125" i="24142"/>
  <c r="DS227" i="23917"/>
  <c r="AK88" i="24142"/>
  <c r="AJ88" i="24142"/>
  <c r="AY83" i="24142"/>
  <c r="AY87" i="23917"/>
  <c r="AQ89" i="24142"/>
  <c r="AQ98" i="23917"/>
  <c r="BD86" i="24142"/>
  <c r="BD84" i="24142"/>
  <c r="BD88" i="23917"/>
  <c r="DI86" i="24142"/>
  <c r="DI84" i="24142"/>
  <c r="DI88" i="23917"/>
  <c r="DH483" i="24142"/>
  <c r="DH549" i="23917"/>
  <c r="DH392" i="24142"/>
  <c r="DH458" i="23917"/>
  <c r="R353" i="24142"/>
  <c r="R419" i="23917"/>
  <c r="R354" i="24142"/>
  <c r="R420" i="23917"/>
  <c r="R362" i="24142"/>
  <c r="R428" i="23917"/>
  <c r="C351" i="24142"/>
  <c r="C417" i="23917"/>
  <c r="B360" i="24142"/>
  <c r="B426" i="23917"/>
  <c r="F494" i="24142"/>
  <c r="F17" i="24142"/>
  <c r="F560" i="23917"/>
  <c r="F561" i="23917" s="1"/>
  <c r="F492" i="24142"/>
  <c r="F559" i="23917"/>
  <c r="BK492" i="24142"/>
  <c r="BK559" i="23917"/>
  <c r="P360" i="24142"/>
  <c r="P426" i="23917"/>
  <c r="P353" i="24142"/>
  <c r="P419" i="23917"/>
  <c r="Q351" i="24142"/>
  <c r="Q417" i="23917"/>
  <c r="DG328" i="24142"/>
  <c r="DG394" i="23917"/>
  <c r="O286" i="24142"/>
  <c r="O352" i="23917"/>
  <c r="DT183" i="24142"/>
  <c r="DT120" i="23917"/>
  <c r="F214" i="24142"/>
  <c r="F152" i="23917"/>
  <c r="H325" i="24142"/>
  <c r="H391" i="23917"/>
  <c r="BA275" i="24142"/>
  <c r="BA340" i="23917"/>
  <c r="E214" i="24142"/>
  <c r="E152" i="23917"/>
  <c r="L284" i="24142"/>
  <c r="L350" i="23917"/>
  <c r="AN189" i="24142"/>
  <c r="AN11" i="24142"/>
  <c r="AN14" i="24142"/>
  <c r="AN126" i="23917"/>
  <c r="AN127" i="23917" s="1"/>
  <c r="S284" i="24142"/>
  <c r="S350" i="23917"/>
  <c r="AK162" i="24142"/>
  <c r="AK316" i="23917"/>
  <c r="I150" i="24142"/>
  <c r="I301" i="23917"/>
  <c r="BH200" i="24142"/>
  <c r="BH138" i="23917"/>
  <c r="DL276" i="23917"/>
  <c r="AM126" i="24142"/>
  <c r="AM228" i="23917"/>
  <c r="DS126" i="24142"/>
  <c r="DS228" i="23917"/>
  <c r="DJ102" i="24142"/>
  <c r="DJ198" i="23917"/>
  <c r="S115" i="24142"/>
  <c r="S211" i="23917"/>
  <c r="AR122" i="24142"/>
  <c r="AR224" i="23917"/>
  <c r="T122" i="24142"/>
  <c r="T224" i="23917"/>
  <c r="AW116" i="24142"/>
  <c r="AW8" i="24142"/>
  <c r="AW212" i="23917"/>
  <c r="AV122" i="24142"/>
  <c r="AV224" i="23917"/>
  <c r="DO89" i="24142"/>
  <c r="DO98" i="23917"/>
  <c r="DP99" i="23917"/>
  <c r="DO99" i="23917"/>
  <c r="BS91" i="23917"/>
  <c r="BR91" i="23917"/>
  <c r="DP488" i="24142"/>
  <c r="DP555" i="23917"/>
  <c r="AV494" i="24142"/>
  <c r="AV17" i="24142"/>
  <c r="AV560" i="23917"/>
  <c r="AV561" i="23917" s="1"/>
  <c r="N353" i="24142"/>
  <c r="N419" i="23917"/>
  <c r="O351" i="24142"/>
  <c r="O417" i="23917"/>
  <c r="N362" i="24142"/>
  <c r="N428" i="23917"/>
  <c r="AA432" i="24142"/>
  <c r="AA498" i="23917"/>
  <c r="AC351" i="24142"/>
  <c r="AC417" i="23917"/>
  <c r="AB354" i="24142"/>
  <c r="AB420" i="23917"/>
  <c r="M351" i="24142"/>
  <c r="M417" i="23917"/>
  <c r="L354" i="24142"/>
  <c r="L420" i="23917"/>
  <c r="G328" i="24142"/>
  <c r="G394" i="23917"/>
  <c r="DM184" i="24142"/>
  <c r="DM121" i="23917"/>
  <c r="DF177" i="24142"/>
  <c r="DF114" i="23917"/>
  <c r="BB213" i="24142"/>
  <c r="BB151" i="23917"/>
  <c r="DI360" i="24142"/>
  <c r="DI426" i="23917"/>
  <c r="DO275" i="24142"/>
  <c r="DO340" i="23917"/>
  <c r="DH146" i="24142"/>
  <c r="DH297" i="23917"/>
  <c r="DE162" i="24142"/>
  <c r="DE316" i="23917"/>
  <c r="DG150" i="24142"/>
  <c r="DG301" i="23917"/>
  <c r="BM146" i="24142"/>
  <c r="BM297" i="23917"/>
  <c r="AV150" i="24142"/>
  <c r="AV301" i="23917"/>
  <c r="B159" i="24142"/>
  <c r="B313" i="23917"/>
  <c r="C153" i="24142"/>
  <c r="C304" i="23917"/>
  <c r="DM126" i="24142"/>
  <c r="DM228" i="23917"/>
  <c r="M277" i="23917"/>
  <c r="L277" i="23917"/>
  <c r="M273" i="23917"/>
  <c r="M221" i="23917"/>
  <c r="BJ153" i="24142"/>
  <c r="BJ9" i="24142"/>
  <c r="BJ304" i="23917"/>
  <c r="BJ305" i="23917" s="1"/>
  <c r="Y116" i="24142"/>
  <c r="Y8" i="24142"/>
  <c r="Y212" i="23917"/>
  <c r="X122" i="24142"/>
  <c r="X224" i="23917"/>
  <c r="BC84" i="24142"/>
  <c r="BC86" i="24142"/>
  <c r="BC88" i="23917"/>
  <c r="DO86" i="24142"/>
  <c r="DO84" i="24142"/>
  <c r="DO88" i="23917"/>
  <c r="DP89" i="23917"/>
  <c r="DO89" i="23917"/>
  <c r="AG88" i="24142"/>
  <c r="AF88" i="24142"/>
  <c r="BA83" i="24142"/>
  <c r="BA87" i="23917"/>
  <c r="DC86" i="24142"/>
  <c r="DC84" i="24142"/>
  <c r="DC88" i="23917"/>
  <c r="BP86" i="24142"/>
  <c r="BP84" i="24142"/>
  <c r="BP88" i="23917"/>
  <c r="AO82" i="24142"/>
  <c r="AO86" i="23917"/>
  <c r="X86" i="24142"/>
  <c r="X84" i="24142"/>
  <c r="X88" i="23917"/>
  <c r="DU492" i="24142"/>
  <c r="DU559" i="23917"/>
  <c r="DU494" i="24142"/>
  <c r="DU17" i="24142"/>
  <c r="DU560" i="23917"/>
  <c r="DU561" i="23917" s="1"/>
  <c r="DM492" i="24142"/>
  <c r="DM559" i="23917"/>
  <c r="DM494" i="24142"/>
  <c r="DM17" i="24142"/>
  <c r="DM560" i="23917"/>
  <c r="DM561" i="23917" s="1"/>
  <c r="V420" i="24142"/>
  <c r="V486" i="23917"/>
  <c r="V421" i="24142"/>
  <c r="V487" i="23917"/>
  <c r="X353" i="24142"/>
  <c r="X419" i="23917"/>
  <c r="Y351" i="24142"/>
  <c r="Y417" i="23917"/>
  <c r="H353" i="24142"/>
  <c r="H419" i="23917"/>
  <c r="I351" i="24142"/>
  <c r="I417" i="23917"/>
  <c r="F277" i="24142"/>
  <c r="F342" i="23917"/>
  <c r="DH183" i="24142"/>
  <c r="DH120" i="23917"/>
  <c r="O421" i="24142"/>
  <c r="O487" i="23917"/>
  <c r="N427" i="24142"/>
  <c r="N493" i="23917"/>
  <c r="DL289" i="24142"/>
  <c r="DL355" i="23917"/>
  <c r="I186" i="24142"/>
  <c r="I123" i="23917"/>
  <c r="H188" i="24142"/>
  <c r="H125" i="23917"/>
  <c r="X188" i="24142"/>
  <c r="X125" i="23917"/>
  <c r="I16" i="23917"/>
  <c r="H16" i="24142"/>
  <c r="H16" i="23917"/>
  <c r="DH289" i="24142"/>
  <c r="DH355" i="23917"/>
  <c r="DE245" i="24142"/>
  <c r="DE134" i="23917"/>
  <c r="DE181" i="23917"/>
  <c r="DE251" i="24142"/>
  <c r="DE185" i="23917"/>
  <c r="AJ152" i="24142"/>
  <c r="AJ303" i="23917"/>
  <c r="BX150" i="24142"/>
  <c r="BX301" i="23917"/>
  <c r="DV147" i="24142"/>
  <c r="DV298" i="23917"/>
  <c r="DR147" i="24142"/>
  <c r="DR298" i="23917"/>
  <c r="DR110" i="24142"/>
  <c r="DR206" i="23917"/>
  <c r="DC104" i="24142"/>
  <c r="DC200" i="23917"/>
  <c r="DK82" i="24142"/>
  <c r="DK86" i="23917"/>
  <c r="DK86" i="24142"/>
  <c r="DK84" i="24142"/>
  <c r="DK88" i="23917"/>
  <c r="T86" i="24142"/>
  <c r="T84" i="24142"/>
  <c r="T88" i="23917"/>
  <c r="J86" i="24142"/>
  <c r="J84" i="24142"/>
  <c r="J88" i="23917"/>
  <c r="AJ494" i="24142"/>
  <c r="AJ17" i="24142"/>
  <c r="AJ560" i="23917"/>
  <c r="AJ561" i="23917" s="1"/>
  <c r="AJ492" i="24142"/>
  <c r="AJ559" i="23917"/>
  <c r="R420" i="24142"/>
  <c r="R486" i="23917"/>
  <c r="AD214" i="24142"/>
  <c r="AD152" i="23917"/>
  <c r="AV213" i="24142"/>
  <c r="AV151" i="23917"/>
  <c r="DE231" i="24142"/>
  <c r="DE169" i="23917"/>
  <c r="DE133" i="23917"/>
  <c r="DV141" i="24142"/>
  <c r="DV292" i="23917"/>
  <c r="DJ110" i="24142"/>
  <c r="DJ206" i="23917"/>
  <c r="U273" i="23917"/>
  <c r="U221" i="23917"/>
  <c r="AQ116" i="24142"/>
  <c r="AQ8" i="24142"/>
  <c r="AQ212" i="23917"/>
  <c r="AC116" i="24142"/>
  <c r="AC8" i="24142"/>
  <c r="AC212" i="23917"/>
  <c r="M116" i="24142"/>
  <c r="M8" i="24142"/>
  <c r="M212" i="23917"/>
  <c r="AJ122" i="24142"/>
  <c r="AJ224" i="23917"/>
  <c r="DV104" i="24142"/>
  <c r="DV200" i="23917"/>
  <c r="DU113" i="24142"/>
  <c r="DU209" i="23917"/>
  <c r="DF141" i="24142"/>
  <c r="DF292" i="23917"/>
  <c r="DE150" i="24142"/>
  <c r="DE301" i="23917"/>
  <c r="BY86" i="24142"/>
  <c r="BZ494" i="24142"/>
  <c r="BZ17" i="24142"/>
  <c r="BZ560" i="23917"/>
  <c r="BZ561" i="23917" s="1"/>
  <c r="BZ17" i="23917"/>
  <c r="BZ492" i="24142"/>
  <c r="BZ559" i="23917"/>
  <c r="CY40" i="23917"/>
  <c r="BN113" i="24142"/>
  <c r="BN209" i="23917"/>
  <c r="BG111" i="24142"/>
  <c r="BG207" i="23917"/>
  <c r="AY111" i="24142"/>
  <c r="AY207" i="23917"/>
  <c r="BB277" i="24142"/>
  <c r="BB342" i="23917"/>
  <c r="D7" i="24158"/>
  <c r="BB278" i="24142"/>
  <c r="BB12" i="24142"/>
  <c r="BB343" i="23917"/>
  <c r="BB344" i="23917" s="1"/>
  <c r="BB12" i="23917"/>
  <c r="F153" i="24142"/>
  <c r="F9" i="24142"/>
  <c r="F304" i="23917"/>
  <c r="F305" i="23917" s="1"/>
  <c r="F9" i="23917"/>
  <c r="F152" i="24142"/>
  <c r="F303" i="23917"/>
  <c r="AE89" i="24142"/>
  <c r="AE98" i="23917"/>
  <c r="BA82" i="24142"/>
  <c r="BA86" i="23917"/>
  <c r="DD433" i="24142"/>
  <c r="DD499" i="23917"/>
  <c r="K328" i="24142"/>
  <c r="K394" i="23917"/>
  <c r="DJ148" i="24142"/>
  <c r="DJ299" i="23917"/>
  <c r="AB14" i="24142"/>
  <c r="AC14" i="24142" s="1"/>
  <c r="DL148" i="24142"/>
  <c r="DL299" i="23917"/>
  <c r="DT111" i="24142"/>
  <c r="DT207" i="23917"/>
  <c r="AQ83" i="24142"/>
  <c r="AQ87" i="23917"/>
  <c r="DN488" i="24142"/>
  <c r="DN555" i="23917"/>
  <c r="DR270" i="24142"/>
  <c r="DR335" i="23917"/>
  <c r="DE141" i="24142"/>
  <c r="DE292" i="23917"/>
  <c r="AY162" i="24142"/>
  <c r="AY316" i="23917"/>
  <c r="H10" i="24142"/>
  <c r="Q10" i="24142" s="1"/>
  <c r="BJ10" i="24142"/>
  <c r="AS89" i="24142"/>
  <c r="AS98" i="23917"/>
  <c r="AG82" i="24142"/>
  <c r="AG86" i="23917"/>
  <c r="AI89" i="24142"/>
  <c r="AI98" i="23917"/>
  <c r="DT273" i="24142"/>
  <c r="DT338" i="23917"/>
  <c r="AA371" i="24142"/>
  <c r="AA437" i="23917"/>
  <c r="Y371" i="24142"/>
  <c r="Y437" i="23917"/>
  <c r="K214" i="24142"/>
  <c r="K152" i="23917"/>
  <c r="G463" i="24142"/>
  <c r="G529" i="23917"/>
  <c r="I332" i="24142"/>
  <c r="I398" i="23917"/>
  <c r="AR14" i="24142"/>
  <c r="AS14" i="24142" s="1"/>
  <c r="BG162" i="24142"/>
  <c r="BG316" i="23917"/>
  <c r="BO126" i="24142"/>
  <c r="BO228" i="23917"/>
  <c r="AE82" i="24142"/>
  <c r="AE86" i="23917"/>
  <c r="AQ82" i="24142"/>
  <c r="AQ86" i="23917"/>
  <c r="AU89" i="24142"/>
  <c r="AU98" i="23917"/>
  <c r="DF488" i="24142"/>
  <c r="DF555" i="23917"/>
  <c r="DP273" i="24142"/>
  <c r="DP338" i="23917"/>
  <c r="I433" i="24142"/>
  <c r="I499" i="23917"/>
  <c r="W371" i="24142"/>
  <c r="W437" i="23917"/>
  <c r="S433" i="24142"/>
  <c r="S499" i="23917"/>
  <c r="E277" i="24142"/>
  <c r="E342" i="23917"/>
  <c r="S214" i="24142"/>
  <c r="S152" i="23917"/>
  <c r="DR286" i="24142"/>
  <c r="DR352" i="23917"/>
  <c r="I277" i="24142"/>
  <c r="I342" i="23917"/>
  <c r="DN148" i="24142"/>
  <c r="DN299" i="23917"/>
  <c r="AZ14" i="24142"/>
  <c r="DQ146" i="24142"/>
  <c r="DQ297" i="23917"/>
  <c r="AC115" i="24142"/>
  <c r="AC211" i="23917"/>
  <c r="AK115" i="24142"/>
  <c r="AK211" i="23917"/>
  <c r="AR153" i="24142"/>
  <c r="AR9" i="24142"/>
  <c r="AR304" i="23917"/>
  <c r="AR305" i="23917" s="1"/>
  <c r="AR9" i="23917"/>
  <c r="CW246" i="24142"/>
  <c r="CX246" i="24142"/>
  <c r="BK275" i="24142"/>
  <c r="BK340" i="23917"/>
  <c r="D153" i="24142"/>
  <c r="D9" i="24142"/>
  <c r="D304" i="23917"/>
  <c r="D305" i="23917" s="1"/>
  <c r="BZ115" i="24142"/>
  <c r="BZ211" i="23917"/>
  <c r="BZ116" i="24142"/>
  <c r="BZ10" i="24142"/>
  <c r="BZ8" i="24142"/>
  <c r="BZ212" i="23917"/>
  <c r="BZ213" i="23917" s="1"/>
  <c r="BZ8" i="23917"/>
  <c r="AA89" i="24142"/>
  <c r="AA98" i="23917"/>
  <c r="AK82" i="24142"/>
  <c r="AK86" i="23917"/>
  <c r="DL290" i="24142"/>
  <c r="DL356" i="23917"/>
  <c r="K327" i="24142"/>
  <c r="K393" i="23917"/>
  <c r="AA284" i="24142"/>
  <c r="AA350" i="23917"/>
  <c r="CU232" i="24142"/>
  <c r="CV232" i="24142"/>
  <c r="BH14" i="24142"/>
  <c r="W162" i="24142"/>
  <c r="W316" i="23917"/>
  <c r="AW126" i="24142"/>
  <c r="AW228" i="23917"/>
  <c r="BR10" i="24142"/>
  <c r="BB10" i="24142"/>
  <c r="BC10" i="24142" s="1"/>
  <c r="AI83" i="24142"/>
  <c r="AI87" i="23917"/>
  <c r="AM89" i="24142"/>
  <c r="AM98" i="23917"/>
  <c r="S492" i="24142"/>
  <c r="S559" i="23917"/>
  <c r="DF270" i="24142"/>
  <c r="DF335" i="23917"/>
  <c r="DF148" i="24142"/>
  <c r="DF299" i="23917"/>
  <c r="C126" i="24142"/>
  <c r="C228" i="23917"/>
  <c r="BA115" i="24142"/>
  <c r="BA211" i="23917"/>
  <c r="BI89" i="24142"/>
  <c r="BI98" i="23917"/>
  <c r="E82" i="24142"/>
  <c r="E86" i="23917"/>
  <c r="BK82" i="24142"/>
  <c r="BK86" i="23917"/>
  <c r="AY492" i="24142"/>
  <c r="AY559" i="23917"/>
  <c r="E327" i="24142"/>
  <c r="E393" i="23917"/>
  <c r="BC492" i="24142"/>
  <c r="BC559" i="23917"/>
  <c r="W432" i="24142"/>
  <c r="W498" i="23917"/>
  <c r="G286" i="24142"/>
  <c r="G352" i="23917"/>
  <c r="O420" i="24142"/>
  <c r="O486" i="23917"/>
  <c r="BE126" i="24142"/>
  <c r="BE228" i="23917"/>
  <c r="AY126" i="24142"/>
  <c r="AY228" i="23917"/>
  <c r="BC162" i="24142"/>
  <c r="BC316" i="23917"/>
  <c r="O10" i="24142"/>
  <c r="AA115" i="24142"/>
  <c r="AA211" i="23917"/>
  <c r="W10" i="24142"/>
  <c r="AS83" i="24142"/>
  <c r="AS87" i="23917"/>
  <c r="BK89" i="24142"/>
  <c r="BK98" i="23917"/>
  <c r="DT270" i="24142"/>
  <c r="DT335" i="23917"/>
  <c r="DH270" i="24142"/>
  <c r="DH335" i="23917"/>
  <c r="DV286" i="24142"/>
  <c r="DV352" i="23917"/>
  <c r="DR290" i="24142"/>
  <c r="DR356" i="23917"/>
  <c r="DH226" i="24142"/>
  <c r="DH164" i="23917"/>
  <c r="AA162" i="24142"/>
  <c r="AA316" i="23917"/>
  <c r="BA126" i="24142"/>
  <c r="BA228" i="23917"/>
  <c r="AU126" i="24142"/>
  <c r="AU228" i="23917"/>
  <c r="BK162" i="24142"/>
  <c r="BK316" i="23917"/>
  <c r="BV10" i="24142"/>
  <c r="AF10" i="24142"/>
  <c r="AG10" i="24142" s="1"/>
  <c r="O126" i="24142"/>
  <c r="O228" i="23917"/>
  <c r="BK126" i="24142"/>
  <c r="BK228" i="23917"/>
  <c r="M115" i="24142"/>
  <c r="M211" i="23917"/>
  <c r="G115" i="24142"/>
  <c r="G211" i="23917"/>
  <c r="CO126" i="24142"/>
  <c r="DW214" i="24142"/>
  <c r="DW152" i="23917"/>
  <c r="AG278" i="24142"/>
  <c r="AG12" i="24142"/>
  <c r="AG343" i="23917"/>
  <c r="BW494" i="24142"/>
  <c r="BW560" i="23917"/>
  <c r="BW17" i="24142"/>
  <c r="CM186" i="24142"/>
  <c r="CM123" i="23917"/>
  <c r="BU186" i="24142"/>
  <c r="BU123" i="23917"/>
  <c r="BW303" i="23917"/>
  <c r="DW126" i="24142"/>
  <c r="DW228" i="23917"/>
  <c r="DW113" i="24142"/>
  <c r="DW209" i="23917"/>
  <c r="DW89" i="24142"/>
  <c r="DW98" i="23917"/>
  <c r="CE82" i="24142"/>
  <c r="CE86" i="23917"/>
  <c r="CI490" i="24142"/>
  <c r="CI557" i="23917"/>
  <c r="CJ494" i="24142"/>
  <c r="CJ17" i="24142"/>
  <c r="CJ560" i="23917"/>
  <c r="CJ561" i="23917" s="1"/>
  <c r="AO278" i="24142"/>
  <c r="AO12" i="24142"/>
  <c r="AO343" i="23917"/>
  <c r="AG186" i="24142"/>
  <c r="AG123" i="23917"/>
  <c r="AK189" i="24142"/>
  <c r="AK11" i="24142"/>
  <c r="AK126" i="23917"/>
  <c r="CB162" i="24142"/>
  <c r="CB316" i="23917"/>
  <c r="BY126" i="24142"/>
  <c r="BY228" i="23917"/>
  <c r="AU153" i="24142"/>
  <c r="AU304" i="23917"/>
  <c r="AU9" i="24142"/>
  <c r="CI91" i="23917"/>
  <c r="CH91" i="23917"/>
  <c r="BW82" i="24142"/>
  <c r="BW86" i="23917"/>
  <c r="CM494" i="24142"/>
  <c r="CM560" i="23917"/>
  <c r="CM17" i="24142"/>
  <c r="CD213" i="24142"/>
  <c r="CD151" i="23917"/>
  <c r="AI186" i="24142"/>
  <c r="AI123" i="23917"/>
  <c r="S186" i="24142"/>
  <c r="S123" i="23917"/>
  <c r="CK278" i="24142"/>
  <c r="CK12" i="24142"/>
  <c r="CK343" i="23917"/>
  <c r="DY184" i="24142"/>
  <c r="DY121" i="23917"/>
  <c r="DY214" i="24142"/>
  <c r="DY152" i="23917"/>
  <c r="CA188" i="24142"/>
  <c r="CA125" i="23917"/>
  <c r="AQ153" i="24142"/>
  <c r="AQ304" i="23917"/>
  <c r="AQ9" i="24142"/>
  <c r="BS303" i="23917"/>
  <c r="BS150" i="24142"/>
  <c r="BS301" i="23917"/>
  <c r="BU224" i="23917"/>
  <c r="DZ104" i="24142"/>
  <c r="DZ200" i="23917"/>
  <c r="CC86" i="24142"/>
  <c r="CC84" i="24142"/>
  <c r="CC88" i="23917"/>
  <c r="CC490" i="24142"/>
  <c r="CC557" i="23917"/>
  <c r="CB494" i="24142"/>
  <c r="CB17" i="24142"/>
  <c r="CB560" i="23917"/>
  <c r="CB561" i="23917" s="1"/>
  <c r="AE186" i="24142"/>
  <c r="AE123" i="23917"/>
  <c r="CB213" i="24142"/>
  <c r="CB151" i="23917"/>
  <c r="BY278" i="24142"/>
  <c r="BY12" i="24142"/>
  <c r="BY343" i="23917"/>
  <c r="CR214" i="24142"/>
  <c r="CR152" i="23917"/>
  <c r="CI82" i="24142"/>
  <c r="CI86" i="23917"/>
  <c r="BQ82" i="24142"/>
  <c r="BQ86" i="23917"/>
  <c r="DW490" i="24142"/>
  <c r="DW557" i="23917"/>
  <c r="CE494" i="24142"/>
  <c r="CE560" i="23917"/>
  <c r="CE17" i="24142"/>
  <c r="CM277" i="24142"/>
  <c r="CM342" i="23917"/>
  <c r="AW275" i="24142"/>
  <c r="AW340" i="23917"/>
  <c r="AW277" i="24142"/>
  <c r="AW342" i="23917"/>
  <c r="CL214" i="24142"/>
  <c r="CL152" i="23917"/>
  <c r="DX177" i="24142"/>
  <c r="DX114" i="23917"/>
  <c r="DW186" i="24142"/>
  <c r="DW123" i="23917"/>
  <c r="U277" i="24142"/>
  <c r="U342" i="23917"/>
  <c r="CC214" i="24142"/>
  <c r="CC152" i="23917"/>
  <c r="AO152" i="24142"/>
  <c r="AO303" i="23917"/>
  <c r="BQ162" i="24142"/>
  <c r="CL153" i="24142"/>
  <c r="CL9" i="24142"/>
  <c r="CL304" i="23917"/>
  <c r="CL305" i="23917" s="1"/>
  <c r="U152" i="24142"/>
  <c r="U303" i="23917"/>
  <c r="DW125" i="24142"/>
  <c r="DW227" i="23917"/>
  <c r="DZ82" i="24142"/>
  <c r="DZ86" i="23917"/>
  <c r="BU490" i="24142"/>
  <c r="BU557" i="23917"/>
  <c r="BU559" i="23917"/>
  <c r="W278" i="24142"/>
  <c r="W12" i="24142"/>
  <c r="W343" i="23917"/>
  <c r="BS188" i="24142"/>
  <c r="BS125" i="23917"/>
  <c r="DZ275" i="24142"/>
  <c r="DZ340" i="23917"/>
  <c r="DY277" i="24142"/>
  <c r="DY342" i="23917"/>
  <c r="CJ188" i="24142"/>
  <c r="CJ125" i="23917"/>
  <c r="CB301" i="23917"/>
  <c r="CB150" i="24142"/>
  <c r="CE162" i="24142"/>
  <c r="CE316" i="23917"/>
  <c r="CH153" i="24142"/>
  <c r="CH9" i="24142"/>
  <c r="CH304" i="23917"/>
  <c r="CH305" i="23917" s="1"/>
  <c r="BS126" i="24142"/>
  <c r="BS228" i="23917"/>
  <c r="CF492" i="24142"/>
  <c r="CF559" i="23917"/>
  <c r="O278" i="24142"/>
  <c r="O12" i="24142"/>
  <c r="O343" i="23917"/>
  <c r="DX183" i="24142"/>
  <c r="DX120" i="23917"/>
  <c r="CF213" i="24142"/>
  <c r="CF151" i="23917"/>
  <c r="CK116" i="24142"/>
  <c r="CK8" i="24142"/>
  <c r="CK212" i="23917"/>
  <c r="AU188" i="24142"/>
  <c r="AU125" i="23917"/>
  <c r="AG152" i="24142"/>
  <c r="AG303" i="23917"/>
  <c r="AA153" i="24142"/>
  <c r="AA9" i="24142"/>
  <c r="AA304" i="23917"/>
  <c r="S153" i="24142"/>
  <c r="S9" i="24142"/>
  <c r="S304" i="23917"/>
  <c r="Y153" i="24142"/>
  <c r="Y9" i="24142"/>
  <c r="Y304" i="23917"/>
  <c r="M153" i="24142"/>
  <c r="M9" i="24142"/>
  <c r="M304" i="23917"/>
  <c r="CI116" i="24142"/>
  <c r="CI8" i="24142"/>
  <c r="CI212" i="23917"/>
  <c r="DW82" i="24142"/>
  <c r="DW86" i="23917"/>
  <c r="DW86" i="24142"/>
  <c r="DW84" i="24142"/>
  <c r="DW88" i="23917"/>
  <c r="DX89" i="23917"/>
  <c r="DW89" i="23917"/>
  <c r="BU86" i="24142"/>
  <c r="BU84" i="24142"/>
  <c r="BU88" i="23917"/>
  <c r="K316" i="24142"/>
  <c r="K382" i="23917"/>
  <c r="AQ186" i="24142"/>
  <c r="AQ123" i="23917"/>
  <c r="AA186" i="24142"/>
  <c r="AA123" i="23917"/>
  <c r="K186" i="24142"/>
  <c r="K123" i="23917"/>
  <c r="BQ214" i="24142"/>
  <c r="BQ152" i="23917"/>
  <c r="DW277" i="24142"/>
  <c r="DW342" i="23917"/>
  <c r="DX275" i="24142"/>
  <c r="DX340" i="23917"/>
  <c r="CA313" i="23917"/>
  <c r="CA159" i="24142"/>
  <c r="CF162" i="24142"/>
  <c r="CF316" i="23917"/>
  <c r="CM228" i="23917"/>
  <c r="CM126" i="24142"/>
  <c r="DX104" i="24142"/>
  <c r="DX200" i="23917"/>
  <c r="CC116" i="24142"/>
  <c r="CC8" i="24142"/>
  <c r="CC212" i="23917"/>
  <c r="CB122" i="24142"/>
  <c r="CB224" i="23917"/>
  <c r="CI284" i="24142"/>
  <c r="CI350" i="23917"/>
  <c r="W277" i="24142"/>
  <c r="W342" i="23917"/>
  <c r="CB284" i="24142"/>
  <c r="CB350" i="23917"/>
  <c r="CI186" i="24142"/>
  <c r="CI123" i="23917"/>
  <c r="CH189" i="24142"/>
  <c r="CH11" i="24142"/>
  <c r="CH14" i="24142"/>
  <c r="CH126" i="23917"/>
  <c r="CH127" i="23917" s="1"/>
  <c r="W188" i="24142"/>
  <c r="W125" i="23917"/>
  <c r="CG115" i="24142"/>
  <c r="CG211" i="23917"/>
  <c r="CK87" i="23917"/>
  <c r="CK83" i="24142"/>
  <c r="DZ483" i="24142"/>
  <c r="DZ549" i="23917"/>
  <c r="CF188" i="24142"/>
  <c r="CF125" i="23917"/>
  <c r="BY138" i="23917"/>
  <c r="BY146" i="24142"/>
  <c r="BY297" i="23917"/>
  <c r="DY148" i="24142"/>
  <c r="DY299" i="23917"/>
  <c r="AC342" i="23917"/>
  <c r="AK12" i="24142"/>
  <c r="CB188" i="24142"/>
  <c r="CB125" i="23917"/>
  <c r="AW186" i="24142"/>
  <c r="AW123" i="23917"/>
  <c r="U189" i="24142"/>
  <c r="U11" i="24142"/>
  <c r="U126" i="23917"/>
  <c r="CK146" i="24142"/>
  <c r="CK297" i="23917"/>
  <c r="CA284" i="24142"/>
  <c r="CA350" i="23917"/>
  <c r="DX141" i="24142"/>
  <c r="DX292" i="23917"/>
  <c r="DX148" i="24142"/>
  <c r="DX299" i="23917"/>
  <c r="BW84" i="24142"/>
  <c r="BU83" i="24142"/>
  <c r="BU87" i="23917"/>
  <c r="CL284" i="24142"/>
  <c r="CL350" i="23917"/>
  <c r="CM278" i="24142"/>
  <c r="CM12" i="24142"/>
  <c r="CM343" i="23917"/>
  <c r="I319" i="24142"/>
  <c r="I385" i="23917"/>
  <c r="M278" i="24142"/>
  <c r="M12" i="24142"/>
  <c r="M343" i="23917"/>
  <c r="DX286" i="24142"/>
  <c r="DX352" i="23917"/>
  <c r="AS277" i="24142"/>
  <c r="CG148" i="24142"/>
  <c r="CG299" i="23917"/>
  <c r="CD153" i="24142"/>
  <c r="CD9" i="24142"/>
  <c r="CD304" i="23917"/>
  <c r="CD305" i="23917" s="1"/>
  <c r="CE150" i="24142"/>
  <c r="CE301" i="23917"/>
  <c r="O153" i="24142"/>
  <c r="O9" i="24142"/>
  <c r="O304" i="23917"/>
  <c r="CC82" i="24142"/>
  <c r="CC86" i="23917"/>
  <c r="CG82" i="24142"/>
  <c r="CG86" i="23917"/>
  <c r="CJ214" i="24142"/>
  <c r="CJ152" i="23917"/>
  <c r="BQ200" i="24142"/>
  <c r="BQ138" i="23917"/>
  <c r="BQ115" i="24142"/>
  <c r="BQ211" i="23917"/>
  <c r="BS89" i="24142"/>
  <c r="BS98" i="23917"/>
  <c r="BQ559" i="23917"/>
  <c r="CD188" i="24142"/>
  <c r="CD125" i="23917"/>
  <c r="Y186" i="24142"/>
  <c r="Y123" i="23917"/>
  <c r="AK150" i="24142"/>
  <c r="AK301" i="23917"/>
  <c r="BY148" i="24142"/>
  <c r="BY299" i="23917"/>
  <c r="DZ141" i="24142"/>
  <c r="DZ292" i="23917"/>
  <c r="AC153" i="24142"/>
  <c r="AC9" i="24142"/>
  <c r="AC304" i="23917"/>
  <c r="CK148" i="24142"/>
  <c r="CK299" i="23917"/>
  <c r="DW150" i="24142"/>
  <c r="DW301" i="23917"/>
  <c r="CE89" i="24142"/>
  <c r="CE98" i="23917"/>
  <c r="CE277" i="24142"/>
  <c r="CE342" i="23917"/>
  <c r="CK98" i="23917"/>
  <c r="CK89" i="24142"/>
  <c r="CM492" i="24142"/>
  <c r="CM559" i="23917"/>
  <c r="CK126" i="24142"/>
  <c r="CK228" i="23917"/>
  <c r="CK115" i="24142"/>
  <c r="CK211" i="23917"/>
  <c r="CM83" i="24142"/>
  <c r="CM87" i="23917"/>
  <c r="DX270" i="24142"/>
  <c r="DX335" i="23917"/>
  <c r="CI162" i="24142"/>
  <c r="CI316" i="23917"/>
  <c r="CA316" i="23917"/>
  <c r="CA162" i="24142"/>
  <c r="CE111" i="24142"/>
  <c r="CE207" i="23917"/>
  <c r="CE83" i="24142"/>
  <c r="CE87" i="23917"/>
  <c r="CK82" i="24142"/>
  <c r="CK86" i="23917"/>
  <c r="CI86" i="24142"/>
  <c r="CI84" i="24142"/>
  <c r="CI88" i="23917"/>
  <c r="CK277" i="24142"/>
  <c r="CK342" i="23917"/>
  <c r="CC87" i="23917"/>
  <c r="CC83" i="24142"/>
  <c r="DZ286" i="24142"/>
  <c r="DZ352" i="23917"/>
  <c r="CI115" i="24142"/>
  <c r="CI211" i="23917"/>
  <c r="DW303" i="23917"/>
  <c r="DW152" i="24142"/>
  <c r="DX147" i="24142"/>
  <c r="DX298" i="23917"/>
  <c r="DY86" i="24142"/>
  <c r="DY84" i="24142"/>
  <c r="DY88" i="23917"/>
  <c r="BY490" i="24142"/>
  <c r="BY557" i="23917"/>
  <c r="AM278" i="24142"/>
  <c r="AM12" i="24142"/>
  <c r="AM343" i="23917"/>
  <c r="U153" i="24142"/>
  <c r="U9" i="24142"/>
  <c r="U304" i="23917"/>
  <c r="DZ111" i="24142"/>
  <c r="DZ207" i="23917"/>
  <c r="DX99" i="23917"/>
  <c r="DW99" i="23917"/>
  <c r="BY83" i="24142"/>
  <c r="BY87" i="23917"/>
  <c r="CH492" i="24142"/>
  <c r="CH559" i="23917"/>
  <c r="DW153" i="24142"/>
  <c r="DW9" i="24142"/>
  <c r="DW304" i="23917"/>
  <c r="BY559" i="23917"/>
  <c r="CL188" i="24142"/>
  <c r="CL125" i="23917"/>
  <c r="CL189" i="24142"/>
  <c r="CL11" i="24142"/>
  <c r="CL14" i="24142"/>
  <c r="CL126" i="23917"/>
  <c r="CL127" i="23917" s="1"/>
  <c r="I318" i="24142"/>
  <c r="I384" i="23917"/>
  <c r="BU188" i="24142"/>
  <c r="BU125" i="23917"/>
  <c r="S278" i="24142"/>
  <c r="S12" i="24142"/>
  <c r="S343" i="23917"/>
  <c r="AC189" i="24142"/>
  <c r="AC11" i="24142"/>
  <c r="AC126" i="23917"/>
  <c r="AO150" i="24142"/>
  <c r="AO301" i="23917"/>
  <c r="BW150" i="24142"/>
  <c r="BW301" i="23917"/>
  <c r="DX110" i="24142"/>
  <c r="DX206" i="23917"/>
  <c r="BS316" i="23917"/>
  <c r="BS162" i="24142"/>
  <c r="CC115" i="24142"/>
  <c r="CC211" i="23917"/>
  <c r="CH494" i="24142"/>
  <c r="CH17" i="24142"/>
  <c r="CH560" i="23917"/>
  <c r="CH561" i="23917" s="1"/>
  <c r="CK490" i="24142"/>
  <c r="CK557" i="23917"/>
  <c r="CJ492" i="24142"/>
  <c r="CJ559" i="23917"/>
  <c r="CC277" i="24142"/>
  <c r="CC342" i="23917"/>
  <c r="CA214" i="24142"/>
  <c r="CA152" i="23917"/>
  <c r="AG188" i="24142"/>
  <c r="AG125" i="23917"/>
  <c r="Q152" i="24142"/>
  <c r="Q303" i="23917"/>
  <c r="CC146" i="24142"/>
  <c r="CC297" i="23917"/>
  <c r="AI152" i="24142"/>
  <c r="AI303" i="23917"/>
  <c r="AM153" i="24142"/>
  <c r="AM9" i="24142"/>
  <c r="AM304" i="23917"/>
  <c r="K153" i="24142"/>
  <c r="K9" i="24142"/>
  <c r="K304" i="23917"/>
  <c r="BQ116" i="24142"/>
  <c r="BQ8" i="24142"/>
  <c r="BQ212" i="23917"/>
  <c r="BQ122" i="24142"/>
  <c r="AK277" i="24142"/>
  <c r="AK342" i="23917"/>
  <c r="AE278" i="24142"/>
  <c r="AE12" i="24142"/>
  <c r="AE343" i="23917"/>
  <c r="CD214" i="24142"/>
  <c r="CD152" i="23917"/>
  <c r="AI188" i="24142"/>
  <c r="AI125" i="23917"/>
  <c r="S125" i="23917"/>
  <c r="CJ284" i="24142"/>
  <c r="CJ350" i="23917"/>
  <c r="DZ183" i="24142"/>
  <c r="DZ120" i="23917"/>
  <c r="CA189" i="24142"/>
  <c r="CA11" i="24142"/>
  <c r="CA126" i="23917"/>
  <c r="DW146" i="24142"/>
  <c r="DW297" i="23917"/>
  <c r="BU116" i="24142"/>
  <c r="BU8" i="24142"/>
  <c r="BU212" i="23917"/>
  <c r="DY113" i="24142"/>
  <c r="DY209" i="23917"/>
  <c r="CG91" i="23917"/>
  <c r="CF91" i="23917"/>
  <c r="CB492" i="24142"/>
  <c r="CB559" i="23917"/>
  <c r="Q277" i="24142"/>
  <c r="Q342" i="23917"/>
  <c r="AE125" i="23917"/>
  <c r="CG278" i="24142"/>
  <c r="CG12" i="24142"/>
  <c r="CG343" i="23917"/>
  <c r="CF284" i="24142"/>
  <c r="CF350" i="23917"/>
  <c r="DX483" i="24142"/>
  <c r="DX549" i="23917"/>
  <c r="BW492" i="24142"/>
  <c r="BW559" i="23917"/>
  <c r="AM277" i="24142"/>
  <c r="AM342" i="23917"/>
  <c r="CL213" i="24142"/>
  <c r="CL151" i="23917"/>
  <c r="BQ275" i="24142"/>
  <c r="BQ340" i="23917"/>
  <c r="M277" i="24142"/>
  <c r="M342" i="23917"/>
  <c r="BQ146" i="24142"/>
  <c r="BQ297" i="23917"/>
  <c r="CM150" i="24142"/>
  <c r="CM301" i="23917"/>
  <c r="CL152" i="24142"/>
  <c r="CL303" i="23917"/>
  <c r="BW126" i="24142"/>
  <c r="BW228" i="23917"/>
  <c r="W153" i="24142"/>
  <c r="W9" i="24142"/>
  <c r="W304" i="23917"/>
  <c r="DZ270" i="24142"/>
  <c r="DZ335" i="23917"/>
  <c r="CD284" i="24142"/>
  <c r="CD350" i="23917"/>
  <c r="CE278" i="24142"/>
  <c r="CE12" i="24142"/>
  <c r="CE343" i="23917"/>
  <c r="CH213" i="24142"/>
  <c r="CH151" i="23917"/>
  <c r="BS186" i="24142"/>
  <c r="BS123" i="23917"/>
  <c r="S7" i="24158"/>
  <c r="T8" i="24158" s="1"/>
  <c r="DY278" i="24142"/>
  <c r="DY343" i="23917"/>
  <c r="DY344" i="23917" s="1"/>
  <c r="DY12" i="24142"/>
  <c r="CJ189" i="24142"/>
  <c r="CJ11" i="24142"/>
  <c r="CJ14" i="24142"/>
  <c r="CJ126" i="23917"/>
  <c r="CJ127" i="23917" s="1"/>
  <c r="CK186" i="24142"/>
  <c r="CK123" i="23917"/>
  <c r="CC148" i="24142"/>
  <c r="CC299" i="23917"/>
  <c r="AM152" i="24142"/>
  <c r="AM303" i="23917"/>
  <c r="CI150" i="24142"/>
  <c r="CI301" i="23917"/>
  <c r="CH152" i="24142"/>
  <c r="CH303" i="23917"/>
  <c r="AS273" i="23917"/>
  <c r="AS221" i="23917"/>
  <c r="CG116" i="24142"/>
  <c r="CG8" i="24142"/>
  <c r="CG212" i="23917"/>
  <c r="CF122" i="24142"/>
  <c r="CF224" i="23917"/>
  <c r="CJ84" i="24142"/>
  <c r="CJ86" i="24142"/>
  <c r="CJ88" i="23917"/>
  <c r="CF494" i="24142"/>
  <c r="CF17" i="24142"/>
  <c r="CF560" i="23917"/>
  <c r="CF561" i="23917" s="1"/>
  <c r="CG490" i="24142"/>
  <c r="CG557" i="23917"/>
  <c r="BS278" i="24142"/>
  <c r="BS12" i="24142"/>
  <c r="BS343" i="23917"/>
  <c r="BS494" i="24142"/>
  <c r="BS560" i="23917"/>
  <c r="BS17" i="24142"/>
  <c r="DW184" i="24142"/>
  <c r="DW121" i="23917"/>
  <c r="DZ177" i="24142"/>
  <c r="DZ114" i="23917"/>
  <c r="DZ110" i="24142"/>
  <c r="DZ206" i="23917"/>
  <c r="CJ122" i="24142"/>
  <c r="CJ224" i="23917"/>
  <c r="CA122" i="24142"/>
  <c r="CA224" i="23917"/>
  <c r="AU278" i="24142"/>
  <c r="AU12" i="24142"/>
  <c r="AU343" i="23917"/>
  <c r="CH12" i="23917"/>
  <c r="AU186" i="24142"/>
  <c r="AU123" i="23917"/>
  <c r="CG277" i="24142"/>
  <c r="CG342" i="23917"/>
  <c r="Q186" i="24142"/>
  <c r="Q123" i="23917"/>
  <c r="AG150" i="24142"/>
  <c r="AG301" i="23917"/>
  <c r="BU146" i="24142"/>
  <c r="BU297" i="23917"/>
  <c r="BY116" i="24142"/>
  <c r="BY8" i="24142"/>
  <c r="BY212" i="23917"/>
  <c r="CH122" i="24142"/>
  <c r="CH224" i="23917"/>
  <c r="DW83" i="24142"/>
  <c r="DW87" i="23917"/>
  <c r="DX88" i="24142"/>
  <c r="DW88" i="24142"/>
  <c r="BU89" i="24142"/>
  <c r="BU98" i="23917"/>
  <c r="K318" i="24142"/>
  <c r="K384" i="23917"/>
  <c r="BW186" i="24142"/>
  <c r="BW123" i="23917"/>
  <c r="K188" i="24142"/>
  <c r="R7" i="24158"/>
  <c r="DW278" i="24142"/>
  <c r="DW343" i="23917"/>
  <c r="DW344" i="23917" s="1"/>
  <c r="DW12" i="24142"/>
  <c r="AC188" i="24142"/>
  <c r="AC125" i="23917"/>
  <c r="CG146" i="24142"/>
  <c r="CG297" i="23917"/>
  <c r="BQ148" i="24142"/>
  <c r="BQ299" i="23917"/>
  <c r="BS116" i="24142"/>
  <c r="BS8" i="24142"/>
  <c r="BS212" i="23917"/>
  <c r="CC278" i="24142"/>
  <c r="CC12" i="24142"/>
  <c r="CC343" i="23917"/>
  <c r="CH188" i="24142"/>
  <c r="CH125" i="23917"/>
  <c r="W186" i="24142"/>
  <c r="W123" i="23917"/>
  <c r="BY214" i="24142"/>
  <c r="BY152" i="23917"/>
  <c r="Q153" i="24142"/>
  <c r="Q9" i="24142"/>
  <c r="Q304" i="23917"/>
  <c r="DY146" i="24142"/>
  <c r="DY297" i="23917"/>
  <c r="DY490" i="24142"/>
  <c r="DY557" i="23917"/>
  <c r="BW214" i="24142"/>
  <c r="BW152" i="23917"/>
  <c r="CG186" i="24142"/>
  <c r="CG123" i="23917"/>
  <c r="CF189" i="24142"/>
  <c r="CF11" i="24142"/>
  <c r="CF126" i="23917"/>
  <c r="CF127" i="23917" s="1"/>
  <c r="CF14" i="24142"/>
  <c r="CG14" i="24142" s="1"/>
  <c r="Y275" i="24142"/>
  <c r="Y340" i="23917"/>
  <c r="Y342" i="23917"/>
  <c r="BY189" i="24142"/>
  <c r="BY11" i="24142"/>
  <c r="BY126" i="23917"/>
  <c r="AS189" i="24142"/>
  <c r="AS11" i="24142"/>
  <c r="AS126" i="23917"/>
  <c r="DZ147" i="24142"/>
  <c r="DZ298" i="23917"/>
  <c r="AE153" i="24142"/>
  <c r="AE9" i="24142"/>
  <c r="AE304" i="23917"/>
  <c r="CC91" i="23917"/>
  <c r="CB91" i="23917"/>
  <c r="CM86" i="24142"/>
  <c r="CM84" i="24142"/>
  <c r="CM88" i="23917"/>
  <c r="AC275" i="24142"/>
  <c r="AC340" i="23917"/>
  <c r="CC186" i="24142"/>
  <c r="CC123" i="23917"/>
  <c r="CB189" i="24142"/>
  <c r="CB11" i="24142"/>
  <c r="CB126" i="23917"/>
  <c r="CB127" i="23917" s="1"/>
  <c r="CB14" i="24142"/>
  <c r="AW188" i="24142"/>
  <c r="AW125" i="23917"/>
  <c r="CJ162" i="24142"/>
  <c r="CJ316" i="23917"/>
  <c r="BU148" i="24142"/>
  <c r="BU299" i="23917"/>
  <c r="AA152" i="24142"/>
  <c r="AA303" i="23917"/>
  <c r="CL122" i="24142"/>
  <c r="CL224" i="23917"/>
  <c r="CE492" i="24142"/>
  <c r="CE559" i="23917"/>
  <c r="U278" i="24142"/>
  <c r="U12" i="24142"/>
  <c r="U343" i="23917"/>
  <c r="AO186" i="24142"/>
  <c r="AO123" i="23917"/>
  <c r="AS275" i="24142"/>
  <c r="AS340" i="23917"/>
  <c r="CF150" i="24142"/>
  <c r="CF301" i="23917"/>
  <c r="CD152" i="24142"/>
  <c r="CD303" i="23917"/>
  <c r="CC126" i="24142"/>
  <c r="CC228" i="23917"/>
  <c r="BS115" i="24142"/>
  <c r="BS211" i="23917"/>
  <c r="BQ89" i="24142"/>
  <c r="BQ98" i="23917"/>
  <c r="AM186" i="24142"/>
  <c r="AM123" i="23917"/>
  <c r="CJ213" i="24142"/>
  <c r="CJ151" i="23917"/>
  <c r="BQ189" i="24142"/>
  <c r="BQ11" i="24142"/>
  <c r="BQ126" i="23917"/>
  <c r="AI153" i="24142"/>
  <c r="AI9" i="24142"/>
  <c r="AI304" i="23917"/>
  <c r="DY89" i="24142"/>
  <c r="DY98" i="23917"/>
  <c r="BQ490" i="24142"/>
  <c r="BQ557" i="23917"/>
  <c r="O275" i="24142"/>
  <c r="O340" i="23917"/>
  <c r="CE186" i="24142"/>
  <c r="CE123" i="23917"/>
  <c r="CD189" i="24142"/>
  <c r="CD11" i="24142"/>
  <c r="CD14" i="24142"/>
  <c r="CD126" i="23917"/>
  <c r="CD127" i="23917" s="1"/>
  <c r="K278" i="24142"/>
  <c r="K12" i="24142"/>
  <c r="K343" i="23917"/>
  <c r="AS150" i="24142"/>
  <c r="AS301" i="23917"/>
  <c r="M189" i="24142"/>
  <c r="M11" i="24142"/>
  <c r="M126" i="23917"/>
  <c r="CF84" i="24142"/>
  <c r="CF86" i="24142"/>
  <c r="CF88" i="23917"/>
  <c r="Q278" i="24142"/>
  <c r="Q12" i="24142"/>
  <c r="Q343" i="23917"/>
  <c r="O186" i="24142"/>
  <c r="O123" i="23917"/>
  <c r="CJ301" i="23917"/>
  <c r="CJ150" i="24142"/>
  <c r="BY84" i="24142"/>
  <c r="CG214" i="24142"/>
  <c r="CG152" i="23917"/>
  <c r="CI126" i="24142"/>
  <c r="CI228" i="23917"/>
  <c r="CM162" i="24142"/>
  <c r="CM316" i="23917"/>
  <c r="CE126" i="24142"/>
  <c r="CE228" i="23917"/>
  <c r="CG89" i="24142"/>
  <c r="CG98" i="23917"/>
  <c r="CG83" i="24142"/>
  <c r="CG87" i="23917"/>
  <c r="CM82" i="24142"/>
  <c r="CM86" i="23917"/>
  <c r="CG290" i="24142"/>
  <c r="CG356" i="23917"/>
  <c r="CG126" i="24142"/>
  <c r="CG228" i="23917"/>
  <c r="DX111" i="24142"/>
  <c r="DX207" i="23917"/>
  <c r="CM111" i="24142"/>
  <c r="CM207" i="23917"/>
  <c r="CD113" i="24142"/>
  <c r="CD209" i="23917"/>
  <c r="CC98" i="23917"/>
  <c r="CC89" i="24142"/>
  <c r="CI83" i="24142"/>
  <c r="CI87" i="23917"/>
  <c r="CL10" i="24142"/>
  <c r="CH10" i="24142"/>
  <c r="CO278" i="24142"/>
  <c r="CO12" i="24142"/>
  <c r="CO343" i="23917"/>
  <c r="CQ289" i="24142"/>
  <c r="CQ355" i="23917"/>
  <c r="CO277" i="24142"/>
  <c r="CO342" i="23917"/>
  <c r="CQ33" i="24142"/>
  <c r="CQ39" i="23917"/>
  <c r="CN494" i="24142"/>
  <c r="CN17" i="24142"/>
  <c r="CN560" i="23917"/>
  <c r="CN561" i="23917" s="1"/>
  <c r="CN189" i="24142"/>
  <c r="CN11" i="24142"/>
  <c r="CN14" i="24142"/>
  <c r="CN126" i="23917"/>
  <c r="CN127" i="23917" s="1"/>
  <c r="CR290" i="24142"/>
  <c r="CR356" i="23917"/>
  <c r="CS125" i="24142"/>
  <c r="CS227" i="23917"/>
  <c r="EF241" i="24142"/>
  <c r="EF177" i="23917"/>
  <c r="CO148" i="24142"/>
  <c r="CO299" i="23917"/>
  <c r="CO214" i="24142"/>
  <c r="CO152" i="23917"/>
  <c r="EG227" i="24142"/>
  <c r="EG165" i="23917"/>
  <c r="CP115" i="24142"/>
  <c r="CP211" i="23917"/>
  <c r="CQ43" i="23917"/>
  <c r="CP34" i="24142"/>
  <c r="CP43" i="23917"/>
  <c r="CR488" i="24142"/>
  <c r="CR555" i="23917"/>
  <c r="CO186" i="24142"/>
  <c r="CO123" i="23917"/>
  <c r="CS483" i="24142"/>
  <c r="CS549" i="23917"/>
  <c r="CQ290" i="24142"/>
  <c r="CQ356" i="23917"/>
  <c r="CP62" i="24142"/>
  <c r="CP25" i="24142"/>
  <c r="CP71" i="23917"/>
  <c r="CP28" i="23917"/>
  <c r="CO116" i="24142"/>
  <c r="CO8" i="24142"/>
  <c r="CO212" i="23917"/>
  <c r="CS286" i="24142"/>
  <c r="CS352" i="23917"/>
  <c r="EG241" i="24142"/>
  <c r="EG177" i="23917"/>
  <c r="CR33" i="24142"/>
  <c r="CR39" i="23917"/>
  <c r="CN284" i="24142"/>
  <c r="CN350" i="23917"/>
  <c r="CN150" i="24142"/>
  <c r="CN301" i="23917"/>
  <c r="CP214" i="24142"/>
  <c r="CP152" i="23917"/>
  <c r="CN213" i="24142"/>
  <c r="CN151" i="23917"/>
  <c r="CR289" i="24142"/>
  <c r="CR355" i="23917"/>
  <c r="EB483" i="24142"/>
  <c r="EB549" i="23917"/>
  <c r="EF227" i="24142"/>
  <c r="EF165" i="23917"/>
  <c r="CO115" i="24142"/>
  <c r="CO211" i="23917"/>
  <c r="CS487" i="24142"/>
  <c r="CS553" i="23917"/>
  <c r="CO490" i="24142"/>
  <c r="CO557" i="23917"/>
  <c r="CN188" i="24142"/>
  <c r="CN125" i="23917"/>
  <c r="CP126" i="24142"/>
  <c r="CP228" i="23917"/>
  <c r="EA266" i="24142"/>
  <c r="EA331" i="23917"/>
  <c r="CP61" i="24142"/>
  <c r="CP70" i="23917"/>
  <c r="CO146" i="24142"/>
  <c r="CO297" i="23917"/>
  <c r="EA140" i="24142"/>
  <c r="EA291" i="23917"/>
  <c r="EG166" i="23917"/>
  <c r="EH166" i="23917"/>
  <c r="EB48" i="24142"/>
  <c r="EB57" i="23917"/>
  <c r="EA487" i="24142"/>
  <c r="EA553" i="23917"/>
  <c r="EB487" i="24142"/>
  <c r="EB553" i="23917"/>
  <c r="CP277" i="24142"/>
  <c r="CP342" i="23917"/>
  <c r="CN492" i="24142"/>
  <c r="CN559" i="23917"/>
  <c r="CO228" i="23917"/>
  <c r="CS266" i="24142"/>
  <c r="CS331" i="23917"/>
  <c r="CP272" i="24142"/>
  <c r="CP337" i="23917"/>
  <c r="CQ490" i="24142"/>
  <c r="CQ557" i="23917"/>
  <c r="EE242" i="24142"/>
  <c r="EE178" i="23917"/>
  <c r="CN162" i="24142"/>
  <c r="CN316" i="23917"/>
  <c r="EB265" i="24142"/>
  <c r="EB330" i="23917"/>
  <c r="CS140" i="24142"/>
  <c r="CS291" i="23917"/>
  <c r="CN122" i="24142"/>
  <c r="CN224" i="23917"/>
  <c r="CO83" i="24142"/>
  <c r="CO87" i="23917"/>
  <c r="CO82" i="24142"/>
  <c r="CO86" i="23917"/>
  <c r="CO98" i="23917"/>
  <c r="CO89" i="24142"/>
  <c r="AF12" i="23917"/>
  <c r="BF17" i="23917"/>
  <c r="Q88" i="24142"/>
  <c r="Y88" i="24142"/>
  <c r="BH17" i="23917"/>
  <c r="DY91" i="23917"/>
  <c r="CA10" i="23917"/>
  <c r="B8" i="23917"/>
  <c r="CB8" i="23917"/>
  <c r="AJ12" i="23917"/>
  <c r="AR11" i="23917"/>
  <c r="BM91" i="23917"/>
  <c r="T11" i="23917"/>
  <c r="AF8" i="23917"/>
  <c r="H13" i="23917"/>
  <c r="T12" i="23917"/>
  <c r="BH11" i="23917"/>
  <c r="AN9" i="23917"/>
  <c r="N9" i="23917"/>
  <c r="AV8" i="23917"/>
  <c r="DV89" i="23917"/>
  <c r="AQ91" i="23917"/>
  <c r="D11" i="23917"/>
  <c r="AH9" i="23917"/>
  <c r="B9" i="23917"/>
  <c r="BG91" i="23917"/>
  <c r="P12" i="23917"/>
  <c r="CN8" i="23917"/>
  <c r="BR12" i="23917"/>
  <c r="Z8" i="23917"/>
  <c r="N17" i="23917"/>
  <c r="AT17" i="23917"/>
  <c r="BL8" i="23917"/>
  <c r="AZ11" i="23917"/>
  <c r="BD12" i="23917"/>
  <c r="AY91" i="23917"/>
  <c r="CE91" i="23917"/>
  <c r="BV17" i="23917"/>
  <c r="AL17" i="23917"/>
  <c r="AL12" i="23917"/>
  <c r="AX240" i="23917"/>
  <c r="Q91" i="23917"/>
  <c r="Y91" i="23917"/>
  <c r="DO91" i="23917"/>
  <c r="AW91" i="23917"/>
  <c r="BT12" i="23917"/>
  <c r="AX17" i="23917"/>
  <c r="V17" i="23917"/>
  <c r="DD12" i="24142"/>
  <c r="CN12" i="23917"/>
  <c r="CA11" i="23917"/>
  <c r="EG257" i="23917"/>
  <c r="EF257" i="23917"/>
  <c r="BD8" i="23917"/>
  <c r="AU91" i="23917"/>
  <c r="D12" i="23917"/>
  <c r="BX12" i="23917"/>
  <c r="AP277" i="23917"/>
  <c r="AP274" i="23917"/>
  <c r="BU91" i="23917"/>
  <c r="AF274" i="23917"/>
  <c r="DJ253" i="23917"/>
  <c r="DI265" i="23917"/>
  <c r="DI264" i="23917"/>
  <c r="AD17" i="23917"/>
  <c r="AD277" i="23917"/>
  <c r="AD274" i="23917"/>
  <c r="AS277" i="23917"/>
  <c r="BO99" i="23917"/>
  <c r="BW99" i="23917"/>
  <c r="BB17" i="23917"/>
  <c r="AU268" i="23917"/>
  <c r="AT12" i="23917"/>
  <c r="X9" i="23917"/>
  <c r="BJ17" i="23917"/>
  <c r="N274" i="23917"/>
  <c r="BR8" i="23917"/>
  <c r="CB12" i="23917"/>
  <c r="P9" i="23917"/>
  <c r="AL8" i="23917"/>
  <c r="AD9" i="23917"/>
  <c r="DJ276" i="23917"/>
  <c r="DS91" i="23917"/>
  <c r="DP276" i="23917"/>
  <c r="AR8" i="23917"/>
  <c r="T8" i="23917"/>
  <c r="J17" i="23917"/>
  <c r="BC88" i="24142"/>
  <c r="DZ99" i="23917"/>
  <c r="AB9" i="23917"/>
  <c r="DN99" i="23917"/>
  <c r="BG88" i="24142"/>
  <c r="AP8" i="23917"/>
  <c r="AA274" i="23917"/>
  <c r="BT8" i="23917"/>
  <c r="H12" i="23917"/>
  <c r="V9" i="23917"/>
  <c r="V12" i="23917"/>
  <c r="CD12" i="23917"/>
  <c r="J8" i="23917"/>
  <c r="Z9" i="23917"/>
  <c r="BH8" i="23917"/>
  <c r="AA12" i="23917"/>
  <c r="T9" i="23917"/>
  <c r="B13" i="23917"/>
  <c r="AJ11" i="23917"/>
  <c r="AL9" i="23917"/>
  <c r="AS274" i="23917"/>
  <c r="BP8" i="23917"/>
  <c r="BJ8" i="23917"/>
  <c r="BN17" i="23917"/>
  <c r="AP9" i="23917"/>
  <c r="AD8" i="23917"/>
  <c r="N8" i="23917"/>
  <c r="BZ11" i="23917"/>
  <c r="AT8" i="23917"/>
  <c r="D8" i="23917"/>
  <c r="BY91" i="23917"/>
  <c r="R17" i="23917"/>
  <c r="BA91" i="23917"/>
  <c r="CO91" i="23917"/>
  <c r="BR17" i="23917"/>
  <c r="L13" i="23917"/>
  <c r="AV253" i="23917"/>
  <c r="CI12" i="23917"/>
  <c r="L9" i="23917"/>
  <c r="F8" i="23917"/>
  <c r="AH8" i="23917"/>
  <c r="R8" i="23917"/>
  <c r="H8" i="23917"/>
  <c r="AH17" i="23917"/>
  <c r="AL274" i="23917"/>
  <c r="BI88" i="24142"/>
  <c r="G9" i="23917"/>
  <c r="BC91" i="23917"/>
  <c r="DK88" i="24142"/>
  <c r="J12" i="23917"/>
  <c r="L11" i="23917"/>
  <c r="DJ271" i="23917"/>
  <c r="AB8" i="23917"/>
  <c r="L8" i="23917"/>
  <c r="BF8" i="23917"/>
  <c r="BP12" i="23917"/>
  <c r="AB11" i="23917"/>
  <c r="P274" i="23917"/>
  <c r="AN12" i="23917"/>
  <c r="J9" i="23917"/>
  <c r="BW12" i="23917"/>
  <c r="R9" i="23917"/>
  <c r="BE88" i="24142"/>
  <c r="AP17" i="23917"/>
  <c r="AT9" i="23917"/>
  <c r="AZ8" i="23917"/>
  <c r="AN8" i="23917"/>
  <c r="J274" i="23917"/>
  <c r="AD12" i="23917"/>
  <c r="V274" i="23917"/>
  <c r="V8" i="23917"/>
  <c r="CM91" i="23917"/>
  <c r="AR17" i="23917"/>
  <c r="Z17" i="23917"/>
  <c r="BV8" i="23917"/>
  <c r="CD17" i="23917"/>
  <c r="AH274" i="23917"/>
  <c r="CK91" i="23917"/>
  <c r="N12" i="23917"/>
  <c r="BX8" i="23917"/>
  <c r="DJ240" i="23917"/>
  <c r="DI268" i="23917"/>
  <c r="DI250" i="23917"/>
  <c r="DI249" i="23917"/>
  <c r="P8" i="23917"/>
  <c r="BB8" i="23917"/>
  <c r="AZ17" i="23917"/>
  <c r="EH244" i="23917"/>
  <c r="BX11" i="23917"/>
  <c r="DZ89" i="23917"/>
  <c r="L12" i="23917"/>
  <c r="AQ88" i="24142"/>
  <c r="BP11" i="23917"/>
  <c r="X8" i="23917"/>
  <c r="U277" i="23917"/>
  <c r="AJ8" i="23917"/>
  <c r="DM10" i="24142"/>
  <c r="BK14" i="24142" l="1"/>
  <c r="AO14" i="24142"/>
  <c r="CE14" i="24142"/>
  <c r="R8" i="24158"/>
  <c r="EB271" i="24142"/>
  <c r="EB336" i="23917"/>
  <c r="CT115" i="24142"/>
  <c r="CT211" i="23917"/>
  <c r="CT277" i="24142"/>
  <c r="CT342" i="23917"/>
  <c r="CT126" i="24142"/>
  <c r="CT228" i="23917"/>
  <c r="EK241" i="24142"/>
  <c r="EK177" i="23917"/>
  <c r="CW125" i="24142"/>
  <c r="CW227" i="23917"/>
  <c r="CW487" i="24142"/>
  <c r="CW553" i="23917"/>
  <c r="CY264" i="24142"/>
  <c r="CY329" i="23917"/>
  <c r="CZ265" i="24142"/>
  <c r="CZ330" i="23917"/>
  <c r="EC48" i="24142"/>
  <c r="EC57" i="23917"/>
  <c r="CV33" i="24142"/>
  <c r="CV39" i="23917"/>
  <c r="CU33" i="24142"/>
  <c r="CU39" i="23917"/>
  <c r="CY182" i="24142"/>
  <c r="CY119" i="23917"/>
  <c r="DA40" i="23917"/>
  <c r="CZ40" i="23917"/>
  <c r="CY482" i="24142"/>
  <c r="CY548" i="23917"/>
  <c r="CZ271" i="24142"/>
  <c r="CZ336" i="23917"/>
  <c r="CT490" i="24142"/>
  <c r="CT557" i="23917"/>
  <c r="CX481" i="24142"/>
  <c r="CX547" i="23917"/>
  <c r="CV483" i="24142"/>
  <c r="CV549" i="23917"/>
  <c r="CX140" i="24142"/>
  <c r="CX291" i="23917"/>
  <c r="CW145" i="24142"/>
  <c r="CW296" i="23917"/>
  <c r="CV286" i="24142"/>
  <c r="CV352" i="23917"/>
  <c r="EC259" i="23917"/>
  <c r="CZ259" i="23917"/>
  <c r="CY486" i="24142"/>
  <c r="CY552" i="23917"/>
  <c r="CZ263" i="24142"/>
  <c r="CZ328" i="23917"/>
  <c r="CX266" i="24142"/>
  <c r="CX331" i="23917"/>
  <c r="CW109" i="24142"/>
  <c r="CW205" i="23917"/>
  <c r="CT272" i="24142"/>
  <c r="CT337" i="23917"/>
  <c r="CV290" i="24142"/>
  <c r="CV356" i="23917"/>
  <c r="CT289" i="24142"/>
  <c r="CT355" i="23917"/>
  <c r="CU214" i="24142"/>
  <c r="CU152" i="23917"/>
  <c r="CW488" i="24142"/>
  <c r="CW555" i="23917"/>
  <c r="CT34" i="24142"/>
  <c r="EK227" i="24142"/>
  <c r="EK165" i="23917"/>
  <c r="EL166" i="23917"/>
  <c r="EK166" i="23917"/>
  <c r="CX125" i="24142"/>
  <c r="CX227" i="23917"/>
  <c r="CX487" i="24142"/>
  <c r="CX553" i="23917"/>
  <c r="CX286" i="24142"/>
  <c r="CX352" i="23917"/>
  <c r="CZ264" i="24142"/>
  <c r="CZ329" i="23917"/>
  <c r="CY265" i="24142"/>
  <c r="CY330" i="23917"/>
  <c r="CY48" i="24142"/>
  <c r="CY57" i="23917"/>
  <c r="CU43" i="23917"/>
  <c r="CT43" i="23917"/>
  <c r="CZ182" i="24142"/>
  <c r="CZ119" i="23917"/>
  <c r="CZ482" i="24142"/>
  <c r="CZ548" i="23917"/>
  <c r="CY271" i="24142"/>
  <c r="CY336" i="23917"/>
  <c r="CU483" i="24142"/>
  <c r="CU549" i="23917"/>
  <c r="CW481" i="24142"/>
  <c r="CW547" i="23917"/>
  <c r="CW140" i="24142"/>
  <c r="CW291" i="23917"/>
  <c r="CX145" i="24142"/>
  <c r="CX296" i="23917"/>
  <c r="CZ486" i="24142"/>
  <c r="CZ552" i="23917"/>
  <c r="CW266" i="24142"/>
  <c r="CW331" i="23917"/>
  <c r="CY263" i="24142"/>
  <c r="CY328" i="23917"/>
  <c r="CX109" i="24142"/>
  <c r="CX205" i="23917"/>
  <c r="CU290" i="24142"/>
  <c r="CU356" i="23917"/>
  <c r="CV214" i="24142"/>
  <c r="CV152" i="23917"/>
  <c r="CZ48" i="24142"/>
  <c r="CZ57" i="23917"/>
  <c r="CU488" i="24142"/>
  <c r="CU555" i="23917"/>
  <c r="CI14" i="24142"/>
  <c r="CC14" i="24142"/>
  <c r="CA14" i="24142"/>
  <c r="AG14" i="24142"/>
  <c r="AH284" i="24142"/>
  <c r="AH350" i="23917"/>
  <c r="AI12" i="24142"/>
  <c r="AI278" i="24142"/>
  <c r="AI343" i="23917"/>
  <c r="BO342" i="23917"/>
  <c r="BO277" i="24142"/>
  <c r="BG342" i="23917"/>
  <c r="BG277" i="24142"/>
  <c r="AI342" i="23917"/>
  <c r="AI277" i="24142"/>
  <c r="BO278" i="24142"/>
  <c r="BO343" i="23917"/>
  <c r="BO12" i="24142"/>
  <c r="AY277" i="24142"/>
  <c r="AY342" i="23917"/>
  <c r="AQ277" i="24142"/>
  <c r="AQ342" i="23917"/>
  <c r="AY278" i="24142"/>
  <c r="AY343" i="23917"/>
  <c r="AY12" i="24142"/>
  <c r="EI244" i="23917"/>
  <c r="BG278" i="24142"/>
  <c r="BG343" i="23917"/>
  <c r="BG12" i="24142"/>
  <c r="BF284" i="24142"/>
  <c r="BF350" i="23917"/>
  <c r="J8" i="24158"/>
  <c r="F8" i="24158"/>
  <c r="AQ278" i="24142"/>
  <c r="AQ343" i="23917"/>
  <c r="AQ12" i="24142"/>
  <c r="AP350" i="23917"/>
  <c r="AP284" i="24142"/>
  <c r="CS490" i="24142"/>
  <c r="CO14" i="24142"/>
  <c r="AE14" i="24142"/>
  <c r="BE14" i="24142"/>
  <c r="BW14" i="24142"/>
  <c r="DW305" i="23917"/>
  <c r="BY88" i="23917"/>
  <c r="BW88" i="23917"/>
  <c r="AK343" i="23917"/>
  <c r="BA14" i="24142"/>
  <c r="AA14" i="24142"/>
  <c r="BG14" i="24142"/>
  <c r="Q14" i="24142"/>
  <c r="CI10" i="24142"/>
  <c r="BS10" i="24142"/>
  <c r="BI14" i="24142"/>
  <c r="DF150" i="24142"/>
  <c r="DF301" i="23917"/>
  <c r="AW214" i="24142"/>
  <c r="AW152" i="23917"/>
  <c r="DN89" i="24142"/>
  <c r="DN98" i="23917"/>
  <c r="DD104" i="24142"/>
  <c r="DD200" i="23917"/>
  <c r="BX153" i="24142"/>
  <c r="BX9" i="24142"/>
  <c r="BX304" i="23917"/>
  <c r="BX305" i="23917" s="1"/>
  <c r="BX10" i="24142"/>
  <c r="W421" i="24142"/>
  <c r="W487" i="23917"/>
  <c r="V427" i="24142"/>
  <c r="V493" i="23917"/>
  <c r="DH150" i="24142"/>
  <c r="DH301" i="23917"/>
  <c r="L362" i="24142"/>
  <c r="L428" i="23917"/>
  <c r="I153" i="24142"/>
  <c r="I304" i="23917"/>
  <c r="P363" i="24142"/>
  <c r="P429" i="23917"/>
  <c r="C360" i="24142"/>
  <c r="C426" i="23917"/>
  <c r="Q214" i="24142"/>
  <c r="Q152" i="23917"/>
  <c r="DR278" i="24142"/>
  <c r="DR12" i="24142"/>
  <c r="DR343" i="23917"/>
  <c r="G354" i="24142"/>
  <c r="G420" i="23917"/>
  <c r="F361" i="24142"/>
  <c r="F427" i="23917"/>
  <c r="BH153" i="24142"/>
  <c r="BH9" i="24142"/>
  <c r="BH304" i="23917"/>
  <c r="BH305" i="23917" s="1"/>
  <c r="BH10" i="24142"/>
  <c r="BI150" i="24142"/>
  <c r="BI301" i="23917"/>
  <c r="C332" i="24142"/>
  <c r="C398" i="23917"/>
  <c r="BO91" i="23917"/>
  <c r="BN91" i="23917"/>
  <c r="DO162" i="24142"/>
  <c r="DO316" i="23917"/>
  <c r="DF360" i="24142"/>
  <c r="DF426" i="23917"/>
  <c r="C188" i="24142"/>
  <c r="C125" i="23917"/>
  <c r="AI214" i="24142"/>
  <c r="AI152" i="23917"/>
  <c r="AW84" i="24142"/>
  <c r="AW86" i="24142"/>
  <c r="AW88" i="23917"/>
  <c r="DT86" i="24142"/>
  <c r="DT84" i="24142"/>
  <c r="DT88" i="23917"/>
  <c r="AY153" i="24142"/>
  <c r="AY9" i="24142"/>
  <c r="AY304" i="23917"/>
  <c r="BN159" i="24142"/>
  <c r="BN313" i="23917"/>
  <c r="BF200" i="24142"/>
  <c r="BF138" i="23917"/>
  <c r="G189" i="24142"/>
  <c r="G126" i="23917"/>
  <c r="DL184" i="24142"/>
  <c r="DL121" i="23917"/>
  <c r="G84" i="24142"/>
  <c r="G86" i="24142"/>
  <c r="G88" i="23917"/>
  <c r="AY84" i="24142"/>
  <c r="AY86" i="24142"/>
  <c r="AY88" i="23917"/>
  <c r="DI219" i="23917"/>
  <c r="DI245" i="23917"/>
  <c r="DD197" i="24142"/>
  <c r="DD135" i="23917"/>
  <c r="BK214" i="24142"/>
  <c r="BK152" i="23917"/>
  <c r="O494" i="24142"/>
  <c r="O17" i="24142"/>
  <c r="O560" i="23917"/>
  <c r="DO214" i="24142"/>
  <c r="DO152" i="23917"/>
  <c r="AA354" i="24142"/>
  <c r="AA420" i="23917"/>
  <c r="BO89" i="24142"/>
  <c r="BO98" i="23917"/>
  <c r="AI273" i="23917"/>
  <c r="AI221" i="23917"/>
  <c r="N233" i="24142"/>
  <c r="N195" i="24142"/>
  <c r="DS277" i="24142"/>
  <c r="DS342" i="23917"/>
  <c r="DT275" i="24142"/>
  <c r="DT340" i="23917"/>
  <c r="AG213" i="24142"/>
  <c r="AG151" i="23917"/>
  <c r="BM188" i="24142"/>
  <c r="BM125" i="23917"/>
  <c r="W213" i="24142"/>
  <c r="W151" i="23917"/>
  <c r="T393" i="24142"/>
  <c r="T459" i="23917"/>
  <c r="V383" i="24142"/>
  <c r="V449" i="23917"/>
  <c r="BC153" i="24142"/>
  <c r="BC9" i="24142"/>
  <c r="BC304" i="23917"/>
  <c r="BB159" i="24142"/>
  <c r="BB313" i="23917"/>
  <c r="DE284" i="24142"/>
  <c r="DE350" i="23917"/>
  <c r="W273" i="23917"/>
  <c r="W221" i="23917"/>
  <c r="DE331" i="24142"/>
  <c r="DE397" i="23917"/>
  <c r="E84" i="24142"/>
  <c r="E86" i="24142"/>
  <c r="E88" i="23917"/>
  <c r="K277" i="23917"/>
  <c r="J277" i="23917"/>
  <c r="DH104" i="24142"/>
  <c r="DH200" i="23917"/>
  <c r="DG113" i="24142"/>
  <c r="DG209" i="23917"/>
  <c r="BM150" i="24142"/>
  <c r="BM301" i="23917"/>
  <c r="BB200" i="24142"/>
  <c r="BB138" i="23917"/>
  <c r="BC189" i="24142"/>
  <c r="BC11" i="24142"/>
  <c r="BC126" i="23917"/>
  <c r="AA421" i="24142"/>
  <c r="AA487" i="23917"/>
  <c r="DD490" i="24142"/>
  <c r="DD557" i="23917"/>
  <c r="BU138" i="23917"/>
  <c r="BT200" i="24142"/>
  <c r="BT138" i="23917"/>
  <c r="AC494" i="24142"/>
  <c r="AC17" i="24142"/>
  <c r="AC560" i="23917"/>
  <c r="DQ122" i="24142"/>
  <c r="DQ224" i="23917"/>
  <c r="DR277" i="24142"/>
  <c r="DR342" i="23917"/>
  <c r="BW138" i="23917"/>
  <c r="BV200" i="24142"/>
  <c r="BV138" i="23917"/>
  <c r="DI188" i="24142"/>
  <c r="DI125" i="23917"/>
  <c r="DI189" i="24142"/>
  <c r="DI11" i="24142"/>
  <c r="DI14" i="24142"/>
  <c r="DI126" i="23917"/>
  <c r="DI127" i="23917" s="1"/>
  <c r="DJ494" i="24142"/>
  <c r="DJ17" i="24142"/>
  <c r="DJ560" i="23917"/>
  <c r="AU214" i="24142"/>
  <c r="AU152" i="23917"/>
  <c r="AY189" i="24142"/>
  <c r="AY11" i="24142"/>
  <c r="AY126" i="23917"/>
  <c r="M421" i="24142"/>
  <c r="M487" i="23917"/>
  <c r="Q277" i="23917"/>
  <c r="P277" i="23917"/>
  <c r="Q273" i="23917"/>
  <c r="Q221" i="23917"/>
  <c r="DQ162" i="24142"/>
  <c r="DQ316" i="23917"/>
  <c r="DU116" i="24142"/>
  <c r="DU8" i="24142"/>
  <c r="DU212" i="23917"/>
  <c r="DU213" i="23917" s="1"/>
  <c r="DV113" i="24142"/>
  <c r="DV209" i="23917"/>
  <c r="DH231" i="24142"/>
  <c r="DH169" i="23917"/>
  <c r="DH133" i="23917"/>
  <c r="AW213" i="24142"/>
  <c r="AW151" i="23917"/>
  <c r="S421" i="24142"/>
  <c r="S487" i="23917"/>
  <c r="AK494" i="24142"/>
  <c r="AK17" i="24142"/>
  <c r="AK560" i="23917"/>
  <c r="DN82" i="24142"/>
  <c r="DN86" i="23917"/>
  <c r="DR126" i="24142"/>
  <c r="DR228" i="23917"/>
  <c r="AJ159" i="24142"/>
  <c r="AJ313" i="23917"/>
  <c r="DF245" i="24142"/>
  <c r="DF181" i="23917"/>
  <c r="DF134" i="23917"/>
  <c r="H361" i="24142"/>
  <c r="H427" i="23917"/>
  <c r="Y360" i="24142"/>
  <c r="Y426" i="23917"/>
  <c r="DL91" i="23917"/>
  <c r="DK91" i="23917"/>
  <c r="BK153" i="24142"/>
  <c r="BK9" i="24142"/>
  <c r="BK304" i="23917"/>
  <c r="BJ159" i="24142"/>
  <c r="BJ313" i="23917"/>
  <c r="DO278" i="24142"/>
  <c r="DO12" i="24142"/>
  <c r="DO343" i="23917"/>
  <c r="DO344" i="23917" s="1"/>
  <c r="DJ354" i="24142"/>
  <c r="DJ420" i="23917"/>
  <c r="BC213" i="24142"/>
  <c r="BC151" i="23917"/>
  <c r="L363" i="24142"/>
  <c r="L429" i="23917"/>
  <c r="O353" i="24142"/>
  <c r="O419" i="23917"/>
  <c r="DI125" i="24142"/>
  <c r="DI227" i="23917"/>
  <c r="AM273" i="23917"/>
  <c r="AM221" i="23917"/>
  <c r="AZ284" i="24142"/>
  <c r="AZ350" i="23917"/>
  <c r="DS214" i="24142"/>
  <c r="DS152" i="23917"/>
  <c r="C354" i="24142"/>
  <c r="C420" i="23917"/>
  <c r="DH490" i="24142"/>
  <c r="DH557" i="23917"/>
  <c r="BA200" i="24142"/>
  <c r="BA138" i="23917"/>
  <c r="DC186" i="24142"/>
  <c r="DC123" i="23917"/>
  <c r="BK188" i="24142"/>
  <c r="BK125" i="23917"/>
  <c r="W354" i="24142"/>
  <c r="W420" i="23917"/>
  <c r="V361" i="24142"/>
  <c r="V427" i="23917"/>
  <c r="DF354" i="24142"/>
  <c r="DF420" i="23917"/>
  <c r="DM284" i="24142"/>
  <c r="DM350" i="23917"/>
  <c r="Q494" i="24142"/>
  <c r="Q17" i="24142"/>
  <c r="Q560" i="23917"/>
  <c r="BO152" i="24142"/>
  <c r="BO303" i="23917"/>
  <c r="BP152" i="24142"/>
  <c r="BP303" i="23917"/>
  <c r="BG188" i="24142"/>
  <c r="BG125" i="23917"/>
  <c r="G188" i="24142"/>
  <c r="G125" i="23917"/>
  <c r="J325" i="24142"/>
  <c r="J391" i="23917"/>
  <c r="DL113" i="24142"/>
  <c r="DL209" i="23917"/>
  <c r="DK116" i="24142"/>
  <c r="DK10" i="24142"/>
  <c r="DK8" i="24142"/>
  <c r="DK212" i="23917"/>
  <c r="DK213" i="23917" s="1"/>
  <c r="DR150" i="24142"/>
  <c r="DR301" i="23917"/>
  <c r="DQ214" i="24142"/>
  <c r="DQ152" i="23917"/>
  <c r="DE492" i="24142"/>
  <c r="DE559" i="23917"/>
  <c r="DE494" i="24142"/>
  <c r="DE17" i="24142"/>
  <c r="DE560" i="23917"/>
  <c r="DE561" i="23917" s="1"/>
  <c r="BI162" i="24142"/>
  <c r="BI316" i="23917"/>
  <c r="I213" i="24142"/>
  <c r="I151" i="23917"/>
  <c r="DC353" i="24142"/>
  <c r="DC419" i="23917"/>
  <c r="DD351" i="24142"/>
  <c r="DD417" i="23917"/>
  <c r="DP490" i="24142"/>
  <c r="DP557" i="23917"/>
  <c r="BS138" i="23917"/>
  <c r="BR200" i="24142"/>
  <c r="BR138" i="23917"/>
  <c r="DK284" i="24142"/>
  <c r="DK350" i="23917"/>
  <c r="DL150" i="24142"/>
  <c r="DL301" i="23917"/>
  <c r="L366" i="24142"/>
  <c r="L432" i="23917"/>
  <c r="L396" i="24142"/>
  <c r="L462" i="23917"/>
  <c r="DO189" i="24142"/>
  <c r="DO14" i="24142"/>
  <c r="DO11" i="24142"/>
  <c r="DO126" i="23917"/>
  <c r="DO127" i="23917" s="1"/>
  <c r="DP186" i="24142"/>
  <c r="DP123" i="23917"/>
  <c r="J427" i="24142"/>
  <c r="J493" i="23917"/>
  <c r="BE277" i="24142"/>
  <c r="BE342" i="23917"/>
  <c r="BZ200" i="24142"/>
  <c r="BZ138" i="23917"/>
  <c r="DJ214" i="24142"/>
  <c r="DJ152" i="23917"/>
  <c r="E354" i="24142"/>
  <c r="E420" i="23917"/>
  <c r="D361" i="24142"/>
  <c r="D427" i="23917"/>
  <c r="DL490" i="24142"/>
  <c r="DL557" i="23917"/>
  <c r="DO115" i="24142"/>
  <c r="DO211" i="23917"/>
  <c r="DT146" i="24142"/>
  <c r="DT297" i="23917"/>
  <c r="DU284" i="24142"/>
  <c r="DU350" i="23917"/>
  <c r="AH200" i="24142"/>
  <c r="AH138" i="23917"/>
  <c r="DN91" i="23917"/>
  <c r="DM91" i="23917"/>
  <c r="AO284" i="24142"/>
  <c r="AO350" i="23917"/>
  <c r="C421" i="24142"/>
  <c r="C487" i="23917"/>
  <c r="BG153" i="24142"/>
  <c r="BG9" i="24142"/>
  <c r="BG304" i="23917"/>
  <c r="DF421" i="24142"/>
  <c r="DF487" i="23917"/>
  <c r="DE427" i="24142"/>
  <c r="DE493" i="23917"/>
  <c r="AA213" i="24142"/>
  <c r="AA151" i="23917"/>
  <c r="BG213" i="24142"/>
  <c r="BG151" i="23917"/>
  <c r="AO494" i="24142"/>
  <c r="AO17" i="24142"/>
  <c r="AO560" i="23917"/>
  <c r="DG366" i="24142"/>
  <c r="DG432" i="23917"/>
  <c r="DG396" i="24142"/>
  <c r="DG462" i="23917"/>
  <c r="AG284" i="24142"/>
  <c r="AG350" i="23917"/>
  <c r="BK189" i="24142"/>
  <c r="BK11" i="24142"/>
  <c r="BK126" i="23917"/>
  <c r="P240" i="24142"/>
  <c r="P176" i="23917"/>
  <c r="N247" i="24142"/>
  <c r="N196" i="24142"/>
  <c r="DN125" i="24142"/>
  <c r="DN227" i="23917"/>
  <c r="E494" i="24142"/>
  <c r="E560" i="23917"/>
  <c r="C325" i="24142"/>
  <c r="C391" i="23917"/>
  <c r="DU125" i="24142"/>
  <c r="DU227" i="23917"/>
  <c r="DU150" i="24142"/>
  <c r="DU301" i="23917"/>
  <c r="S420" i="24142"/>
  <c r="S486" i="23917"/>
  <c r="H200" i="24142"/>
  <c r="H138" i="23917"/>
  <c r="O427" i="24142"/>
  <c r="O493" i="23917"/>
  <c r="I353" i="24142"/>
  <c r="I419" i="23917"/>
  <c r="X361" i="24142"/>
  <c r="X427" i="23917"/>
  <c r="M353" i="24142"/>
  <c r="M419" i="23917"/>
  <c r="AC360" i="24142"/>
  <c r="AC426" i="23917"/>
  <c r="DI115" i="24142"/>
  <c r="DI211" i="23917"/>
  <c r="DG332" i="24142"/>
  <c r="DG398" i="23917"/>
  <c r="R361" i="24142"/>
  <c r="R427" i="23917"/>
  <c r="S354" i="24142"/>
  <c r="S420" i="23917"/>
  <c r="DT125" i="24142"/>
  <c r="DT227" i="23917"/>
  <c r="DG221" i="23917"/>
  <c r="DG273" i="23917"/>
  <c r="DP150" i="24142"/>
  <c r="DP301" i="23917"/>
  <c r="DC213" i="24142"/>
  <c r="DC151" i="23917"/>
  <c r="DI284" i="24142"/>
  <c r="DI350" i="23917"/>
  <c r="O214" i="24142"/>
  <c r="O152" i="23917"/>
  <c r="DD371" i="24142"/>
  <c r="DD437" i="23917"/>
  <c r="X284" i="24142"/>
  <c r="X350" i="23917"/>
  <c r="DH421" i="24142"/>
  <c r="DH487" i="23917"/>
  <c r="DG427" i="24142"/>
  <c r="DG493" i="23917"/>
  <c r="BO84" i="24142"/>
  <c r="BO86" i="24142"/>
  <c r="BO88" i="23917"/>
  <c r="O277" i="23917"/>
  <c r="N277" i="23917"/>
  <c r="J201" i="24142"/>
  <c r="J139" i="23917"/>
  <c r="DK214" i="24142"/>
  <c r="DK152" i="23917"/>
  <c r="DR91" i="23917"/>
  <c r="DQ91" i="23917"/>
  <c r="DD421" i="24142"/>
  <c r="DD487" i="23917"/>
  <c r="DC427" i="24142"/>
  <c r="DC493" i="23917"/>
  <c r="AT200" i="24142"/>
  <c r="AT138" i="23917"/>
  <c r="DT150" i="24142"/>
  <c r="DT301" i="23917"/>
  <c r="BE213" i="24142"/>
  <c r="BE151" i="23917"/>
  <c r="I214" i="24142"/>
  <c r="I152" i="23917"/>
  <c r="F16" i="24142"/>
  <c r="F16" i="23917"/>
  <c r="DU213" i="24142"/>
  <c r="DU151" i="23917"/>
  <c r="DP184" i="24142"/>
  <c r="DP121" i="23917"/>
  <c r="DG354" i="24142"/>
  <c r="DG420" i="23917"/>
  <c r="DG362" i="24142"/>
  <c r="DG428" i="23917"/>
  <c r="DI162" i="24142"/>
  <c r="DI316" i="23917"/>
  <c r="BM189" i="24142"/>
  <c r="BM11" i="24142"/>
  <c r="BM126" i="23917"/>
  <c r="DT490" i="24142"/>
  <c r="DT557" i="23917"/>
  <c r="AG277" i="23917"/>
  <c r="AF277" i="23917"/>
  <c r="AG273" i="23917"/>
  <c r="AG221" i="23917"/>
  <c r="DH278" i="24142"/>
  <c r="DH12" i="24142"/>
  <c r="DH343" i="23917"/>
  <c r="L395" i="24142"/>
  <c r="L461" i="23917"/>
  <c r="J389" i="24142"/>
  <c r="J455" i="23917"/>
  <c r="DK189" i="24142"/>
  <c r="DK14" i="24142"/>
  <c r="DL14" i="24142" s="1"/>
  <c r="DK11" i="24142"/>
  <c r="DK126" i="23917"/>
  <c r="DK127" i="23917" s="1"/>
  <c r="DL186" i="24142"/>
  <c r="DL123" i="23917"/>
  <c r="K420" i="24142"/>
  <c r="K486" i="23917"/>
  <c r="DT113" i="24142"/>
  <c r="DT209" i="23917"/>
  <c r="DS116" i="24142"/>
  <c r="DS10" i="24142"/>
  <c r="DS8" i="24142"/>
  <c r="DS212" i="23917"/>
  <c r="DS213" i="23917" s="1"/>
  <c r="DI152" i="24142"/>
  <c r="DI303" i="23917"/>
  <c r="DI153" i="24142"/>
  <c r="DI9" i="24142"/>
  <c r="DI304" i="23917"/>
  <c r="DI305" i="23917" s="1"/>
  <c r="AG492" i="24142"/>
  <c r="AG559" i="23917"/>
  <c r="I421" i="24142"/>
  <c r="I487" i="23917"/>
  <c r="DO126" i="24142"/>
  <c r="DO228" i="23917"/>
  <c r="BE189" i="24142"/>
  <c r="BE11" i="24142"/>
  <c r="BE126" i="23917"/>
  <c r="BD200" i="24142"/>
  <c r="BD138" i="23917"/>
  <c r="BN200" i="24142"/>
  <c r="BN138" i="23917"/>
  <c r="DE318" i="24142"/>
  <c r="DE384" i="23917"/>
  <c r="DF316" i="24142"/>
  <c r="DF382" i="23917"/>
  <c r="D325" i="24142"/>
  <c r="D391" i="23917"/>
  <c r="E319" i="24142"/>
  <c r="E385" i="23917"/>
  <c r="DU162" i="24142"/>
  <c r="DU316" i="23917"/>
  <c r="AF200" i="24142"/>
  <c r="AF138" i="23917"/>
  <c r="DL354" i="24142"/>
  <c r="DL420" i="23917"/>
  <c r="AO214" i="24142"/>
  <c r="AO152" i="23917"/>
  <c r="DI394" i="24142"/>
  <c r="DI460" i="23917"/>
  <c r="DI389" i="24142"/>
  <c r="DI455" i="23917"/>
  <c r="BD153" i="24142"/>
  <c r="BD9" i="24142"/>
  <c r="BD304" i="23917"/>
  <c r="BD305" i="23917" s="1"/>
  <c r="BD10" i="24142"/>
  <c r="BD152" i="24142"/>
  <c r="BD303" i="23917"/>
  <c r="AG214" i="24142"/>
  <c r="AG152" i="23917"/>
  <c r="DK213" i="24142"/>
  <c r="DK151" i="23917"/>
  <c r="K213" i="24142"/>
  <c r="K151" i="23917"/>
  <c r="BM278" i="24142"/>
  <c r="BM12" i="24142"/>
  <c r="BM343" i="23917"/>
  <c r="AE213" i="24142"/>
  <c r="AE151" i="23917"/>
  <c r="AK492" i="24142"/>
  <c r="AK559" i="23917"/>
  <c r="S213" i="24142"/>
  <c r="S151" i="23917"/>
  <c r="DD86" i="24142"/>
  <c r="DD84" i="24142"/>
  <c r="DD88" i="23917"/>
  <c r="AC353" i="24142"/>
  <c r="AC419" i="23917"/>
  <c r="DV82" i="24142"/>
  <c r="DV86" i="23917"/>
  <c r="DT184" i="24142"/>
  <c r="DT121" i="23917"/>
  <c r="DG319" i="24142"/>
  <c r="DG13" i="24142"/>
  <c r="DG385" i="23917"/>
  <c r="AM214" i="24142"/>
  <c r="AM152" i="23917"/>
  <c r="DI310" i="23917"/>
  <c r="DK125" i="24142"/>
  <c r="DK227" i="23917"/>
  <c r="BH284" i="24142"/>
  <c r="BH350" i="23917"/>
  <c r="DQ213" i="24142"/>
  <c r="DQ151" i="23917"/>
  <c r="K354" i="24142"/>
  <c r="K420" i="23917"/>
  <c r="AZ152" i="24142"/>
  <c r="AZ303" i="23917"/>
  <c r="DG189" i="24142"/>
  <c r="DG14" i="24142"/>
  <c r="DG11" i="24142"/>
  <c r="DG126" i="23917"/>
  <c r="DG127" i="23917" s="1"/>
  <c r="AD200" i="24142"/>
  <c r="AD138" i="23917"/>
  <c r="BQ14" i="24142"/>
  <c r="CX232" i="24142"/>
  <c r="CW232" i="24142"/>
  <c r="BZ122" i="24142"/>
  <c r="BZ224" i="23917"/>
  <c r="CA10" i="24142"/>
  <c r="E153" i="24142"/>
  <c r="E304" i="23917"/>
  <c r="CZ246" i="24142"/>
  <c r="CY246" i="24142"/>
  <c r="AR159" i="24142"/>
  <c r="AR313" i="23917"/>
  <c r="BK10" i="24142"/>
  <c r="BB284" i="24142"/>
  <c r="BB350" i="23917"/>
  <c r="BO113" i="24142"/>
  <c r="BO209" i="23917"/>
  <c r="BN116" i="24142"/>
  <c r="BN10" i="24142"/>
  <c r="BO10" i="24142" s="1"/>
  <c r="BN8" i="24142"/>
  <c r="BN212" i="23917"/>
  <c r="BN213" i="23917" s="1"/>
  <c r="K84" i="24142"/>
  <c r="K86" i="24142"/>
  <c r="K88" i="23917"/>
  <c r="G277" i="24142"/>
  <c r="G342" i="23917"/>
  <c r="W420" i="24142"/>
  <c r="W486" i="23917"/>
  <c r="K494" i="24142"/>
  <c r="K17" i="24142"/>
  <c r="K560" i="23917"/>
  <c r="DP89" i="24142"/>
  <c r="DP98" i="23917"/>
  <c r="DT126" i="24142"/>
  <c r="DT228" i="23917"/>
  <c r="Q353" i="24142"/>
  <c r="Q419" i="23917"/>
  <c r="G492" i="24142"/>
  <c r="G559" i="23917"/>
  <c r="G353" i="24142"/>
  <c r="G419" i="23917"/>
  <c r="BO82" i="24142"/>
  <c r="BO86" i="23917"/>
  <c r="AW162" i="24142"/>
  <c r="AW316" i="23917"/>
  <c r="AY152" i="24142"/>
  <c r="AY303" i="23917"/>
  <c r="K14" i="24142"/>
  <c r="DD16" i="24142"/>
  <c r="DD16" i="23917"/>
  <c r="BE492" i="24142"/>
  <c r="BE559" i="23917"/>
  <c r="BZ10" i="23917"/>
  <c r="DD420" i="24142"/>
  <c r="DD486" i="23917"/>
  <c r="AA84" i="24142"/>
  <c r="AA86" i="24142"/>
  <c r="AA88" i="23917"/>
  <c r="BG84" i="24142"/>
  <c r="BG86" i="24142"/>
  <c r="BG88" i="23917"/>
  <c r="DH371" i="24142"/>
  <c r="DH437" i="23917"/>
  <c r="K360" i="24142"/>
  <c r="K426" i="23917"/>
  <c r="I84" i="24142"/>
  <c r="I86" i="24142"/>
  <c r="I88" i="23917"/>
  <c r="DR86" i="24142"/>
  <c r="DR84" i="24142"/>
  <c r="DR88" i="23917"/>
  <c r="DL277" i="24142"/>
  <c r="DL342" i="23917"/>
  <c r="W284" i="24142"/>
  <c r="W350" i="23917"/>
  <c r="U383" i="24142"/>
  <c r="U449" i="23917"/>
  <c r="K332" i="24142"/>
  <c r="K398" i="23917"/>
  <c r="E284" i="24142"/>
  <c r="E350" i="23917"/>
  <c r="DD318" i="24142"/>
  <c r="DD384" i="23917"/>
  <c r="AI14" i="24142"/>
  <c r="E332" i="24142"/>
  <c r="E398" i="23917"/>
  <c r="E318" i="24142"/>
  <c r="E384" i="23917"/>
  <c r="BA84" i="24142"/>
  <c r="BA86" i="24142"/>
  <c r="BA88" i="23917"/>
  <c r="G332" i="24142"/>
  <c r="G398" i="23917"/>
  <c r="DL353" i="24142"/>
  <c r="DL419" i="23917"/>
  <c r="U492" i="24142"/>
  <c r="U559" i="23917"/>
  <c r="M84" i="24142"/>
  <c r="M86" i="24142"/>
  <c r="M88" i="23917"/>
  <c r="DH86" i="24142"/>
  <c r="DH84" i="24142"/>
  <c r="DH88" i="23917"/>
  <c r="BG152" i="24142"/>
  <c r="BG303" i="23917"/>
  <c r="AC200" i="24142"/>
  <c r="AC138" i="23917"/>
  <c r="E152" i="24142"/>
  <c r="E303" i="23917"/>
  <c r="BJ284" i="24142"/>
  <c r="BJ350" i="23917"/>
  <c r="BK277" i="24142"/>
  <c r="BK342" i="23917"/>
  <c r="DA259" i="23917"/>
  <c r="AS10" i="24142"/>
  <c r="AY113" i="24142"/>
  <c r="AY209" i="23917"/>
  <c r="AX115" i="24142"/>
  <c r="AX211" i="23917"/>
  <c r="O14" i="24142"/>
  <c r="DR148" i="24142"/>
  <c r="DR299" i="23917"/>
  <c r="M200" i="24142"/>
  <c r="M138" i="23917"/>
  <c r="DP83" i="24142"/>
  <c r="DP87" i="23917"/>
  <c r="BM162" i="24142"/>
  <c r="BM316" i="23917"/>
  <c r="AM14" i="24142"/>
  <c r="BA277" i="24142"/>
  <c r="BA342" i="23917"/>
  <c r="G360" i="24142"/>
  <c r="G426" i="23917"/>
  <c r="DF184" i="24142"/>
  <c r="DF121" i="23917"/>
  <c r="DT83" i="24142"/>
  <c r="DT87" i="23917"/>
  <c r="G8" i="24158"/>
  <c r="DR184" i="24142"/>
  <c r="DR121" i="23917"/>
  <c r="AA353" i="24142"/>
  <c r="AA419" i="23917"/>
  <c r="BS14" i="24142"/>
  <c r="DT89" i="24142"/>
  <c r="DT98" i="23917"/>
  <c r="DH277" i="24142"/>
  <c r="DH342" i="23917"/>
  <c r="K331" i="24142"/>
  <c r="K397" i="23917"/>
  <c r="AK84" i="24142"/>
  <c r="AK86" i="24142"/>
  <c r="AK88" i="23917"/>
  <c r="I284" i="24142"/>
  <c r="I350" i="23917"/>
  <c r="E360" i="24142"/>
  <c r="E426" i="23917"/>
  <c r="U360" i="24142"/>
  <c r="U426" i="23917"/>
  <c r="Y214" i="24142"/>
  <c r="Y152" i="23917"/>
  <c r="AY188" i="24142"/>
  <c r="AY125" i="23917"/>
  <c r="AE284" i="24142"/>
  <c r="AE350" i="23917"/>
  <c r="DF327" i="24142"/>
  <c r="DF393" i="23917"/>
  <c r="BC14" i="24142"/>
  <c r="BC188" i="24142"/>
  <c r="BC125" i="23917"/>
  <c r="AA420" i="24142"/>
  <c r="AA486" i="23917"/>
  <c r="BI84" i="24142"/>
  <c r="BI86" i="24142"/>
  <c r="BI88" i="23917"/>
  <c r="DV86" i="24142"/>
  <c r="DV84" i="24142"/>
  <c r="DV88" i="23917"/>
  <c r="BK84" i="24142"/>
  <c r="BK86" i="24142"/>
  <c r="BK88" i="23917"/>
  <c r="BA162" i="24142"/>
  <c r="BA316" i="23917"/>
  <c r="DD184" i="24142"/>
  <c r="DD121" i="23917"/>
  <c r="AM284" i="24142"/>
  <c r="AM350" i="23917"/>
  <c r="DN150" i="24142"/>
  <c r="DN301" i="23917"/>
  <c r="DI126" i="24142"/>
  <c r="DI228" i="23917"/>
  <c r="DF104" i="24142"/>
  <c r="DF200" i="23917"/>
  <c r="DV492" i="24142"/>
  <c r="DV559" i="23917"/>
  <c r="AL200" i="24142"/>
  <c r="AL138" i="23917"/>
  <c r="O354" i="24142"/>
  <c r="O420" i="23917"/>
  <c r="N361" i="24142"/>
  <c r="N427" i="23917"/>
  <c r="DM152" i="24142"/>
  <c r="DM303" i="23917"/>
  <c r="DM153" i="24142"/>
  <c r="DM9" i="24142"/>
  <c r="DM304" i="23917"/>
  <c r="DM305" i="23917" s="1"/>
  <c r="Y273" i="23917"/>
  <c r="Y221" i="23917"/>
  <c r="DE152" i="24142"/>
  <c r="DE303" i="23917"/>
  <c r="DE153" i="24142"/>
  <c r="DE9" i="24142"/>
  <c r="DE304" i="23917"/>
  <c r="DE305" i="23917" s="1"/>
  <c r="AE214" i="24142"/>
  <c r="AE152" i="23917"/>
  <c r="DC113" i="24142"/>
  <c r="DC209" i="23917"/>
  <c r="BY303" i="23917"/>
  <c r="BX152" i="24142"/>
  <c r="BX303" i="23917"/>
  <c r="DH184" i="24142"/>
  <c r="DH121" i="23917"/>
  <c r="I360" i="24142"/>
  <c r="I426" i="23917"/>
  <c r="DN492" i="24142"/>
  <c r="DN559" i="23917"/>
  <c r="DR83" i="24142"/>
  <c r="DR87" i="23917"/>
  <c r="DG153" i="24142"/>
  <c r="DG9" i="24142"/>
  <c r="DG304" i="23917"/>
  <c r="DG305" i="23917" s="1"/>
  <c r="DG152" i="24142"/>
  <c r="DG303" i="23917"/>
  <c r="DJ360" i="24142"/>
  <c r="DJ426" i="23917"/>
  <c r="BC214" i="24142"/>
  <c r="BC152" i="23917"/>
  <c r="DE186" i="24142"/>
  <c r="DE123" i="23917"/>
  <c r="BO214" i="24142"/>
  <c r="BO152" i="23917"/>
  <c r="N363" i="24142"/>
  <c r="N429" i="23917"/>
  <c r="H159" i="24142"/>
  <c r="H313" i="23917"/>
  <c r="G213" i="24142"/>
  <c r="G151" i="23917"/>
  <c r="P361" i="24142"/>
  <c r="P427" i="23917"/>
  <c r="Q354" i="24142"/>
  <c r="Q420" i="23917"/>
  <c r="S353" i="24142"/>
  <c r="S419" i="23917"/>
  <c r="BT153" i="24142"/>
  <c r="BT9" i="24142"/>
  <c r="BT304" i="23917"/>
  <c r="BT305" i="23917" s="1"/>
  <c r="BT10" i="24142"/>
  <c r="BU152" i="24142"/>
  <c r="BT152" i="24142"/>
  <c r="BT303" i="23917"/>
  <c r="DQ284" i="24142"/>
  <c r="DQ350" i="23917"/>
  <c r="AS492" i="24142"/>
  <c r="AS559" i="23917"/>
  <c r="BH152" i="24142"/>
  <c r="BH303" i="23917"/>
  <c r="DH420" i="24142"/>
  <c r="DH486" i="23917"/>
  <c r="M492" i="24142"/>
  <c r="M559" i="23917"/>
  <c r="DP146" i="24142"/>
  <c r="DP297" i="23917"/>
  <c r="AM213" i="24142"/>
  <c r="AM151" i="23917"/>
  <c r="DN277" i="24142"/>
  <c r="DN342" i="23917"/>
  <c r="Q492" i="24142"/>
  <c r="Q559" i="23917"/>
  <c r="AX159" i="24142"/>
  <c r="AX313" i="23917"/>
  <c r="BO153" i="24142"/>
  <c r="BO9" i="24142"/>
  <c r="BO304" i="23917"/>
  <c r="BG189" i="24142"/>
  <c r="BG11" i="24142"/>
  <c r="BG126" i="23917"/>
  <c r="F200" i="24142"/>
  <c r="F138" i="23917"/>
  <c r="AU284" i="24142"/>
  <c r="AU350" i="23917"/>
  <c r="DM213" i="24142"/>
  <c r="DM151" i="23917"/>
  <c r="DU186" i="24142"/>
  <c r="DU123" i="23917"/>
  <c r="DG368" i="24142"/>
  <c r="DG434" i="23917"/>
  <c r="Z361" i="24142"/>
  <c r="Z427" i="23917"/>
  <c r="DR494" i="24142"/>
  <c r="DR17" i="24142"/>
  <c r="DR560" i="23917"/>
  <c r="AI277" i="23917"/>
  <c r="AH277" i="23917"/>
  <c r="P226" i="24142"/>
  <c r="P164" i="23917"/>
  <c r="P7" i="24158"/>
  <c r="P8" i="24158" s="1"/>
  <c r="DS278" i="24142"/>
  <c r="DS12" i="24142"/>
  <c r="DS343" i="23917"/>
  <c r="DS344" i="23917" s="1"/>
  <c r="T363" i="24142"/>
  <c r="T429" i="23917"/>
  <c r="U389" i="24142"/>
  <c r="U455" i="23917"/>
  <c r="DG213" i="24142"/>
  <c r="DG151" i="23917"/>
  <c r="DS186" i="24142"/>
  <c r="DS123" i="23917"/>
  <c r="Q427" i="24142"/>
  <c r="Q493" i="23917"/>
  <c r="AU213" i="24142"/>
  <c r="AU151" i="23917"/>
  <c r="DF278" i="24142"/>
  <c r="DF12" i="24142"/>
  <c r="DF343" i="23917"/>
  <c r="AE84" i="24142"/>
  <c r="AE86" i="24142"/>
  <c r="AE88" i="23917"/>
  <c r="W277" i="23917"/>
  <c r="V277" i="23917"/>
  <c r="DD319" i="24142"/>
  <c r="DD13" i="24142"/>
  <c r="DD385" i="23917"/>
  <c r="DC325" i="24142"/>
  <c r="DC391" i="23917"/>
  <c r="Y213" i="24142"/>
  <c r="Y151" i="23917"/>
  <c r="DE332" i="24142"/>
  <c r="DE398" i="23917"/>
  <c r="K273" i="23917"/>
  <c r="K221" i="23917"/>
  <c r="BL153" i="24142"/>
  <c r="BL9" i="24142"/>
  <c r="BL304" i="23917"/>
  <c r="BL305" i="23917" s="1"/>
  <c r="BL10" i="24142"/>
  <c r="BL152" i="24142"/>
  <c r="BL303" i="23917"/>
  <c r="C319" i="24142"/>
  <c r="C385" i="23917"/>
  <c r="Z427" i="24142"/>
  <c r="Z493" i="23917"/>
  <c r="DC494" i="24142"/>
  <c r="DC17" i="24142"/>
  <c r="DC560" i="23917"/>
  <c r="DC561" i="23917" s="1"/>
  <c r="DC492" i="24142"/>
  <c r="DC559" i="23917"/>
  <c r="I494" i="24142"/>
  <c r="I560" i="23917"/>
  <c r="AI84" i="24142"/>
  <c r="AI86" i="24142"/>
  <c r="AI88" i="23917"/>
  <c r="E427" i="24142"/>
  <c r="E493" i="23917"/>
  <c r="BE284" i="24142"/>
  <c r="BE350" i="23917"/>
  <c r="DR116" i="24142"/>
  <c r="DR8" i="24142"/>
  <c r="DR212" i="23917"/>
  <c r="BK213" i="24142"/>
  <c r="BK151" i="23917"/>
  <c r="DJ186" i="24142"/>
  <c r="DJ123" i="23917"/>
  <c r="U394" i="24142"/>
  <c r="U460" i="23917"/>
  <c r="AX200" i="24142"/>
  <c r="AX138" i="23917"/>
  <c r="L427" i="24142"/>
  <c r="L493" i="23917"/>
  <c r="U494" i="24142"/>
  <c r="U17" i="24142"/>
  <c r="U560" i="23917"/>
  <c r="DU115" i="24142"/>
  <c r="DU211" i="23917"/>
  <c r="DF231" i="24142"/>
  <c r="DF169" i="23917"/>
  <c r="DF133" i="23917"/>
  <c r="Q284" i="24142"/>
  <c r="Q350" i="23917"/>
  <c r="R427" i="24142"/>
  <c r="R493" i="23917"/>
  <c r="U84" i="24142"/>
  <c r="U86" i="24142"/>
  <c r="U88" i="23917"/>
  <c r="DL86" i="24142"/>
  <c r="DL84" i="24142"/>
  <c r="DL88" i="23917"/>
  <c r="DL82" i="24142"/>
  <c r="DL86" i="23917"/>
  <c r="DH245" i="24142"/>
  <c r="DH181" i="23917"/>
  <c r="DH134" i="23917"/>
  <c r="AI213" i="24142"/>
  <c r="AI151" i="23917"/>
  <c r="BO213" i="24142"/>
  <c r="BO151" i="23917"/>
  <c r="I354" i="24142"/>
  <c r="I420" i="23917"/>
  <c r="DN126" i="24142"/>
  <c r="DN228" i="23917"/>
  <c r="DG162" i="24142"/>
  <c r="DG316" i="23917"/>
  <c r="DO277" i="24142"/>
  <c r="DO342" i="23917"/>
  <c r="DP275" i="24142"/>
  <c r="DP340" i="23917"/>
  <c r="DI361" i="24142"/>
  <c r="DI427" i="23917"/>
  <c r="DJ353" i="24142"/>
  <c r="DJ419" i="23917"/>
  <c r="M354" i="24142"/>
  <c r="M420" i="23917"/>
  <c r="L361" i="24142"/>
  <c r="L427" i="23917"/>
  <c r="M360" i="24142"/>
  <c r="M426" i="23917"/>
  <c r="AM277" i="23917"/>
  <c r="AL277" i="23917"/>
  <c r="BA278" i="24142"/>
  <c r="BA12" i="24142"/>
  <c r="BA343" i="23917"/>
  <c r="I325" i="24142"/>
  <c r="I391" i="23917"/>
  <c r="B361" i="24142"/>
  <c r="B427" i="23917"/>
  <c r="S360" i="24142"/>
  <c r="S426" i="23917"/>
  <c r="DG494" i="24142"/>
  <c r="DG17" i="24142"/>
  <c r="DG560" i="23917"/>
  <c r="DG561" i="23917" s="1"/>
  <c r="DG492" i="24142"/>
  <c r="DG559" i="23917"/>
  <c r="DJ421" i="24142"/>
  <c r="DJ487" i="23917"/>
  <c r="U200" i="24142"/>
  <c r="U138" i="23917"/>
  <c r="DJ277" i="24142"/>
  <c r="DJ342" i="23917"/>
  <c r="O213" i="24142"/>
  <c r="O151" i="23917"/>
  <c r="AB284" i="24142"/>
  <c r="AB350" i="23917"/>
  <c r="AS200" i="24142"/>
  <c r="AS138" i="23917"/>
  <c r="G427" i="24142"/>
  <c r="G493" i="23917"/>
  <c r="M494" i="24142"/>
  <c r="M17" i="24142"/>
  <c r="M560" i="23917"/>
  <c r="DN162" i="24142"/>
  <c r="DN316" i="23917"/>
  <c r="DE361" i="24142"/>
  <c r="DE427" i="23917"/>
  <c r="DF353" i="24142"/>
  <c r="DF419" i="23917"/>
  <c r="DF214" i="24142"/>
  <c r="DF152" i="23917"/>
  <c r="DF277" i="24142"/>
  <c r="DF342" i="23917"/>
  <c r="DN278" i="24142"/>
  <c r="DN12" i="24142"/>
  <c r="DN343" i="23917"/>
  <c r="BP153" i="24142"/>
  <c r="BP9" i="24142"/>
  <c r="BP304" i="23917"/>
  <c r="BP305" i="23917" s="1"/>
  <c r="BP10" i="24142"/>
  <c r="Y427" i="24142"/>
  <c r="Y493" i="23917"/>
  <c r="DK115" i="24142"/>
  <c r="DK211" i="23917"/>
  <c r="DQ152" i="24142"/>
  <c r="DQ303" i="23917"/>
  <c r="DQ153" i="24142"/>
  <c r="DQ9" i="24142"/>
  <c r="DQ304" i="23917"/>
  <c r="DQ305" i="23917" s="1"/>
  <c r="BI277" i="24142"/>
  <c r="BI342" i="23917"/>
  <c r="DF490" i="24142"/>
  <c r="DF557" i="23917"/>
  <c r="BM494" i="24142"/>
  <c r="BM17" i="24142"/>
  <c r="BM560" i="23917"/>
  <c r="AU260" i="23917"/>
  <c r="AT260" i="23917"/>
  <c r="AU258" i="23917"/>
  <c r="AU220" i="23917"/>
  <c r="DI213" i="24142"/>
  <c r="DI151" i="23917"/>
  <c r="DQ186" i="24142"/>
  <c r="DQ123" i="23917"/>
  <c r="C331" i="24142"/>
  <c r="C397" i="23917"/>
  <c r="DC360" i="24142"/>
  <c r="DC426" i="23917"/>
  <c r="K353" i="24142"/>
  <c r="K419" i="23917"/>
  <c r="DR490" i="24142"/>
  <c r="DR557" i="23917"/>
  <c r="DO494" i="24142"/>
  <c r="DO17" i="24142"/>
  <c r="DO560" i="23917"/>
  <c r="DO561" i="23917" s="1"/>
  <c r="DO492" i="24142"/>
  <c r="DO559" i="23917"/>
  <c r="DL278" i="24142"/>
  <c r="DL12" i="24142"/>
  <c r="DL343" i="23917"/>
  <c r="K492" i="24142"/>
  <c r="K559" i="23917"/>
  <c r="DE122" i="24142"/>
  <c r="DE224" i="23917"/>
  <c r="DK153" i="24142"/>
  <c r="DK9" i="24142"/>
  <c r="DK304" i="23917"/>
  <c r="DK305" i="23917" s="1"/>
  <c r="DK152" i="24142"/>
  <c r="DK303" i="23917"/>
  <c r="L368" i="24142"/>
  <c r="L434" i="23917"/>
  <c r="L367" i="24142"/>
  <c r="L433" i="23917"/>
  <c r="DO188" i="24142"/>
  <c r="DO125" i="23917"/>
  <c r="DS213" i="24142"/>
  <c r="DS151" i="23917"/>
  <c r="K421" i="24142"/>
  <c r="K487" i="23917"/>
  <c r="DV91" i="23917"/>
  <c r="DU91" i="23917"/>
  <c r="L205" i="24142"/>
  <c r="L143" i="23917"/>
  <c r="AG494" i="24142"/>
  <c r="AG17" i="24142"/>
  <c r="AG560" i="23917"/>
  <c r="DK494" i="24142"/>
  <c r="DK17" i="24142"/>
  <c r="DK560" i="23917"/>
  <c r="DK561" i="23917" s="1"/>
  <c r="DK492" i="24142"/>
  <c r="DK559" i="23917"/>
  <c r="DP113" i="24142"/>
  <c r="DP209" i="23917"/>
  <c r="DO116" i="24142"/>
  <c r="DO10" i="24142"/>
  <c r="DP10" i="24142" s="1"/>
  <c r="DO8" i="24142"/>
  <c r="DO212" i="23917"/>
  <c r="DO213" i="23917" s="1"/>
  <c r="DS162" i="24142"/>
  <c r="DS316" i="23917"/>
  <c r="R200" i="24142"/>
  <c r="R138" i="23917"/>
  <c r="B427" i="24142"/>
  <c r="B493" i="23917"/>
  <c r="DH91" i="23917"/>
  <c r="DG91" i="23917"/>
  <c r="BF159" i="24142"/>
  <c r="BF313" i="23917"/>
  <c r="BV159" i="24142"/>
  <c r="BV313" i="23917"/>
  <c r="AO213" i="24142"/>
  <c r="AO151" i="23917"/>
  <c r="DG367" i="24142"/>
  <c r="DG433" i="23917"/>
  <c r="BJ200" i="24142"/>
  <c r="BJ138" i="23917"/>
  <c r="DL162" i="24142"/>
  <c r="DL316" i="23917"/>
  <c r="DE464" i="24142"/>
  <c r="DE530" i="23917"/>
  <c r="X200" i="24142"/>
  <c r="X138" i="23917"/>
  <c r="I189" i="24142"/>
  <c r="I126" i="23917"/>
  <c r="F284" i="24142"/>
  <c r="F350" i="23917"/>
  <c r="G278" i="24142"/>
  <c r="G343" i="23917"/>
  <c r="Y354" i="24142"/>
  <c r="Y420" i="23917"/>
  <c r="DV494" i="24142"/>
  <c r="DV17" i="24142"/>
  <c r="DV560" i="23917"/>
  <c r="DP86" i="24142"/>
  <c r="DP84" i="24142"/>
  <c r="DP88" i="23917"/>
  <c r="BK152" i="24142"/>
  <c r="BK303" i="23917"/>
  <c r="AV153" i="24142"/>
  <c r="AV9" i="24142"/>
  <c r="AV304" i="23917"/>
  <c r="AV305" i="23917" s="1"/>
  <c r="AV10" i="24142"/>
  <c r="AW10" i="24142" s="1"/>
  <c r="AW152" i="24142"/>
  <c r="AV152" i="24142"/>
  <c r="AV303" i="23917"/>
  <c r="E200" i="24142"/>
  <c r="E138" i="23917"/>
  <c r="DJ351" i="24142"/>
  <c r="DJ417" i="23917"/>
  <c r="DE213" i="24142"/>
  <c r="DE151" i="23917"/>
  <c r="C318" i="24142"/>
  <c r="C384" i="23917"/>
  <c r="AC354" i="24142"/>
  <c r="AC420" i="23917"/>
  <c r="AB361" i="24142"/>
  <c r="AB427" i="23917"/>
  <c r="O360" i="24142"/>
  <c r="O426" i="23917"/>
  <c r="AW494" i="24142"/>
  <c r="AW17" i="24142"/>
  <c r="AW560" i="23917"/>
  <c r="DI116" i="24142"/>
  <c r="DI8" i="24142"/>
  <c r="DI10" i="24142"/>
  <c r="DI212" i="23917"/>
  <c r="DI213" i="23917" s="1"/>
  <c r="BI200" i="24142"/>
  <c r="BI138" i="23917"/>
  <c r="AN200" i="24142"/>
  <c r="AN138" i="23917"/>
  <c r="M284" i="24142"/>
  <c r="M350" i="23917"/>
  <c r="DG331" i="24142"/>
  <c r="DG397" i="23917"/>
  <c r="R363" i="24142"/>
  <c r="R429" i="23917"/>
  <c r="DR125" i="24142"/>
  <c r="DR227" i="23917"/>
  <c r="DO153" i="24142"/>
  <c r="DO9" i="24142"/>
  <c r="DO304" i="23917"/>
  <c r="DO305" i="23917" s="1"/>
  <c r="DO152" i="24142"/>
  <c r="DO303" i="23917"/>
  <c r="AV200" i="24142"/>
  <c r="AV138" i="23917"/>
  <c r="DJ278" i="24142"/>
  <c r="DJ12" i="24142"/>
  <c r="DJ343" i="23917"/>
  <c r="DF371" i="24142"/>
  <c r="DF437" i="23917"/>
  <c r="C84" i="24142"/>
  <c r="C86" i="24142"/>
  <c r="C88" i="23917"/>
  <c r="F424" i="24142"/>
  <c r="F15" i="24142"/>
  <c r="F15" i="23917"/>
  <c r="BM213" i="24142"/>
  <c r="BM151" i="23917"/>
  <c r="B200" i="24142"/>
  <c r="B138" i="23917"/>
  <c r="C189" i="24142"/>
  <c r="C126" i="23917"/>
  <c r="G319" i="24142"/>
  <c r="G385" i="23917"/>
  <c r="F325" i="24142"/>
  <c r="F391" i="23917"/>
  <c r="Q84" i="24142"/>
  <c r="Q86" i="24142"/>
  <c r="Q88" i="23917"/>
  <c r="O273" i="23917"/>
  <c r="O221" i="23917"/>
  <c r="U420" i="24142"/>
  <c r="U486" i="23917"/>
  <c r="J200" i="24142"/>
  <c r="J138" i="23917"/>
  <c r="Z200" i="24142"/>
  <c r="Z138" i="23917"/>
  <c r="AP200" i="24142"/>
  <c r="AP138" i="23917"/>
  <c r="Q420" i="24142"/>
  <c r="Q486" i="23917"/>
  <c r="BE494" i="24142"/>
  <c r="BE17" i="24142"/>
  <c r="BE560" i="23917"/>
  <c r="AF159" i="24142"/>
  <c r="AF313" i="23917"/>
  <c r="BM492" i="24142"/>
  <c r="BM559" i="23917"/>
  <c r="AT273" i="23917"/>
  <c r="AT221" i="23917"/>
  <c r="DS153" i="24142"/>
  <c r="DS9" i="24142"/>
  <c r="DS304" i="23917"/>
  <c r="DS305" i="23917" s="1"/>
  <c r="DS152" i="24142"/>
  <c r="DS303" i="23917"/>
  <c r="DM186" i="24142"/>
  <c r="DM123" i="23917"/>
  <c r="DG353" i="24142"/>
  <c r="DG419" i="23917"/>
  <c r="DG360" i="24142"/>
  <c r="DG426" i="23917"/>
  <c r="DH351" i="24142"/>
  <c r="DH417" i="23917"/>
  <c r="DC354" i="24142"/>
  <c r="DC420" i="23917"/>
  <c r="AE273" i="23917"/>
  <c r="AE221" i="23917"/>
  <c r="BL200" i="24142"/>
  <c r="BL138" i="23917"/>
  <c r="U395" i="24142"/>
  <c r="U461" i="23917"/>
  <c r="DS494" i="24142"/>
  <c r="DS17" i="24142"/>
  <c r="DS560" i="23917"/>
  <c r="DS561" i="23917" s="1"/>
  <c r="DS492" i="24142"/>
  <c r="DS559" i="23917"/>
  <c r="DI258" i="23917"/>
  <c r="DI220" i="23917"/>
  <c r="DG284" i="24142"/>
  <c r="DG350" i="23917"/>
  <c r="L394" i="24142"/>
  <c r="L460" i="23917"/>
  <c r="DK188" i="24142"/>
  <c r="DK125" i="23917"/>
  <c r="DO213" i="24142"/>
  <c r="DO151" i="23917"/>
  <c r="AV284" i="24142"/>
  <c r="AV350" i="23917"/>
  <c r="DS115" i="24142"/>
  <c r="DS211" i="23917"/>
  <c r="AQ273" i="23917"/>
  <c r="AQ221" i="23917"/>
  <c r="DJ150" i="24142"/>
  <c r="DJ301" i="23917"/>
  <c r="U354" i="24142"/>
  <c r="U420" i="23917"/>
  <c r="T361" i="24142"/>
  <c r="T427" i="23917"/>
  <c r="H427" i="24142"/>
  <c r="H493" i="23917"/>
  <c r="DO125" i="24142"/>
  <c r="DO227" i="23917"/>
  <c r="BR159" i="24142"/>
  <c r="BR313" i="23917"/>
  <c r="BO189" i="24142"/>
  <c r="BO11" i="24142"/>
  <c r="BO126" i="23917"/>
  <c r="DE319" i="24142"/>
  <c r="DE13" i="24142"/>
  <c r="DE385" i="23917"/>
  <c r="DF86" i="24142"/>
  <c r="DF84" i="24142"/>
  <c r="DF88" i="23917"/>
  <c r="DV146" i="24142"/>
  <c r="DV297" i="23917"/>
  <c r="C420" i="24142"/>
  <c r="C486" i="23917"/>
  <c r="DK361" i="24142"/>
  <c r="DK427" i="23917"/>
  <c r="AW245" i="23917"/>
  <c r="AW219" i="23917"/>
  <c r="DI395" i="24142"/>
  <c r="DI461" i="23917"/>
  <c r="DJ383" i="24142"/>
  <c r="DJ449" i="23917"/>
  <c r="C494" i="24142"/>
  <c r="C560" i="23917"/>
  <c r="BE150" i="24142"/>
  <c r="BE301" i="23917"/>
  <c r="P200" i="24142"/>
  <c r="P138" i="23917"/>
  <c r="N236" i="24142"/>
  <c r="N172" i="23917"/>
  <c r="Y494" i="24142"/>
  <c r="Y17" i="24142"/>
  <c r="Y560" i="23917"/>
  <c r="D424" i="24142"/>
  <c r="D15" i="24142"/>
  <c r="D15" i="23917"/>
  <c r="BL284" i="24142"/>
  <c r="BL350" i="23917"/>
  <c r="N200" i="24142"/>
  <c r="N138" i="23917"/>
  <c r="AY213" i="24142"/>
  <c r="AY151" i="23917"/>
  <c r="DF162" i="24142"/>
  <c r="DF316" i="23917"/>
  <c r="AR284" i="24142"/>
  <c r="AR350" i="23917"/>
  <c r="G214" i="24142"/>
  <c r="G152" i="23917"/>
  <c r="DG318" i="24142"/>
  <c r="DG384" i="23917"/>
  <c r="G494" i="24142"/>
  <c r="G560" i="23917"/>
  <c r="Q213" i="24142"/>
  <c r="Q151" i="23917"/>
  <c r="V200" i="24142"/>
  <c r="V138" i="23917"/>
  <c r="BI278" i="24142"/>
  <c r="BI12" i="24142"/>
  <c r="BI343" i="23917"/>
  <c r="J361" i="24142"/>
  <c r="J427" i="23917"/>
  <c r="AZ153" i="24142"/>
  <c r="AZ9" i="24142"/>
  <c r="AZ304" i="23917"/>
  <c r="AZ305" i="23917" s="1"/>
  <c r="AZ10" i="24142"/>
  <c r="BA10" i="24142" s="1"/>
  <c r="BA150" i="24142"/>
  <c r="BA301" i="23917"/>
  <c r="DG188" i="24142"/>
  <c r="DG125" i="23917"/>
  <c r="AQ213" i="24142"/>
  <c r="AQ151" i="23917"/>
  <c r="DM122" i="24142"/>
  <c r="DM224" i="23917"/>
  <c r="DH214" i="24142"/>
  <c r="DH152" i="23917"/>
  <c r="D159" i="24142"/>
  <c r="D313" i="23917"/>
  <c r="AO10" i="24142"/>
  <c r="F159" i="24142"/>
  <c r="F313" i="23917"/>
  <c r="BN115" i="24142"/>
  <c r="BN211" i="23917"/>
  <c r="BW209" i="23917"/>
  <c r="BW113" i="24142"/>
  <c r="I188" i="24142"/>
  <c r="I125" i="23917"/>
  <c r="Y353" i="24142"/>
  <c r="Y419" i="23917"/>
  <c r="Y84" i="24142"/>
  <c r="Y86" i="24142"/>
  <c r="Y88" i="23917"/>
  <c r="DN184" i="24142"/>
  <c r="DN121" i="23917"/>
  <c r="DJ104" i="24142"/>
  <c r="DJ200" i="23917"/>
  <c r="Q360" i="24142"/>
  <c r="Q426" i="23917"/>
  <c r="DJ86" i="24142"/>
  <c r="DJ84" i="24142"/>
  <c r="DJ88" i="23917"/>
  <c r="BE84" i="24142"/>
  <c r="BE86" i="24142"/>
  <c r="BE88" i="23917"/>
  <c r="W353" i="24142"/>
  <c r="W419" i="23917"/>
  <c r="DD162" i="24142"/>
  <c r="DD316" i="23917"/>
  <c r="DD331" i="24142"/>
  <c r="DD397" i="23917"/>
  <c r="BO83" i="24142"/>
  <c r="BO87" i="23917"/>
  <c r="DR146" i="24142"/>
  <c r="DR297" i="23917"/>
  <c r="S84" i="24142"/>
  <c r="S86" i="24142"/>
  <c r="S88" i="23917"/>
  <c r="AC84" i="24142"/>
  <c r="AC86" i="24142"/>
  <c r="AC88" i="23917"/>
  <c r="DI186" i="24142"/>
  <c r="DI123" i="23917"/>
  <c r="DF351" i="24142"/>
  <c r="DF417" i="23917"/>
  <c r="AA360" i="24142"/>
  <c r="AA426" i="23917"/>
  <c r="AQ84" i="24142"/>
  <c r="AQ86" i="24142"/>
  <c r="AQ88" i="23917"/>
  <c r="Q421" i="24142"/>
  <c r="Q487" i="23917"/>
  <c r="I420" i="24142"/>
  <c r="I486" i="23917"/>
  <c r="DL89" i="24142"/>
  <c r="DL98" i="23917"/>
  <c r="S14" i="24142"/>
  <c r="AY14" i="24142"/>
  <c r="DF328" i="24142"/>
  <c r="DF394" i="23917"/>
  <c r="E331" i="24142"/>
  <c r="E397" i="23917"/>
  <c r="U421" i="24142"/>
  <c r="U487" i="23917"/>
  <c r="O84" i="24142"/>
  <c r="O86" i="24142"/>
  <c r="O88" i="23917"/>
  <c r="AO84" i="24142"/>
  <c r="AO86" i="24142"/>
  <c r="AO88" i="23917"/>
  <c r="DV184" i="24142"/>
  <c r="DV121" i="23917"/>
  <c r="DL360" i="24142"/>
  <c r="DL426" i="23917"/>
  <c r="I492" i="24142"/>
  <c r="I559" i="23917"/>
  <c r="DF420" i="24142"/>
  <c r="DF486" i="23917"/>
  <c r="W84" i="24142"/>
  <c r="W86" i="24142"/>
  <c r="W88" i="23917"/>
  <c r="M303" i="23917"/>
  <c r="M152" i="24142"/>
  <c r="M8" i="24158"/>
  <c r="BK278" i="24142"/>
  <c r="BK12" i="24142"/>
  <c r="BK343" i="23917"/>
  <c r="H8" i="24158"/>
  <c r="AK14" i="24142"/>
  <c r="BG113" i="24142"/>
  <c r="BG209" i="23917"/>
  <c r="AX116" i="24142"/>
  <c r="AX10" i="24142"/>
  <c r="AY10" i="24142" s="1"/>
  <c r="AX8" i="24142"/>
  <c r="AX212" i="23917"/>
  <c r="AX213" i="23917" s="1"/>
  <c r="BE214" i="24142"/>
  <c r="BE152" i="23917"/>
  <c r="DL83" i="24142"/>
  <c r="DL87" i="23917"/>
  <c r="DV148" i="24142"/>
  <c r="DV299" i="23917"/>
  <c r="Y14" i="24142"/>
  <c r="DV490" i="24142"/>
  <c r="DV557" i="23917"/>
  <c r="DP82" i="24142"/>
  <c r="DP86" i="23917"/>
  <c r="AW492" i="24142"/>
  <c r="AW559" i="23917"/>
  <c r="I152" i="24142"/>
  <c r="I303" i="23917"/>
  <c r="U284" i="24142"/>
  <c r="U350" i="23917"/>
  <c r="C353" i="24142"/>
  <c r="C419" i="23917"/>
  <c r="AW14" i="24142"/>
  <c r="W360" i="24142"/>
  <c r="W426" i="23917"/>
  <c r="DD332" i="24142"/>
  <c r="DD398" i="23917"/>
  <c r="W14" i="24142"/>
  <c r="G318" i="24142"/>
  <c r="G384" i="23917"/>
  <c r="DT82" i="24142"/>
  <c r="DT86" i="23917"/>
  <c r="AU14" i="24142"/>
  <c r="DR89" i="24142"/>
  <c r="DR98" i="23917"/>
  <c r="DN86" i="24142"/>
  <c r="DN84" i="24142"/>
  <c r="DN88" i="23917"/>
  <c r="G464" i="24142"/>
  <c r="G530" i="23917"/>
  <c r="BM14" i="24142"/>
  <c r="W214" i="24142"/>
  <c r="W152" i="23917"/>
  <c r="C214" i="24142"/>
  <c r="C152" i="23917"/>
  <c r="BC152" i="24142"/>
  <c r="BC303" i="23917"/>
  <c r="DE10" i="24142"/>
  <c r="DV89" i="24142"/>
  <c r="DV98" i="23917"/>
  <c r="AM84" i="24142"/>
  <c r="AM86" i="24142"/>
  <c r="AM88" i="23917"/>
  <c r="BE162" i="24142"/>
  <c r="BE316" i="23917"/>
  <c r="DJ184" i="24142"/>
  <c r="DJ121" i="23917"/>
  <c r="E353" i="24142"/>
  <c r="E419" i="23917"/>
  <c r="U353" i="24142"/>
  <c r="U419" i="23917"/>
  <c r="E492" i="24142"/>
  <c r="E559" i="23917"/>
  <c r="DV126" i="24142"/>
  <c r="DV228" i="23917"/>
  <c r="BE188" i="24142"/>
  <c r="BE125" i="23917"/>
  <c r="BO14" i="24142"/>
  <c r="BO188" i="24142"/>
  <c r="BO125" i="23917"/>
  <c r="Y492" i="24142"/>
  <c r="Y559" i="23917"/>
  <c r="M420" i="24142"/>
  <c r="M486" i="23917"/>
  <c r="AK200" i="24142"/>
  <c r="AK138" i="23917"/>
  <c r="G331" i="24142"/>
  <c r="G397" i="23917"/>
  <c r="BU14" i="24142"/>
  <c r="DD214" i="24142"/>
  <c r="DD152" i="23917"/>
  <c r="BM277" i="24142"/>
  <c r="BM342" i="23917"/>
  <c r="AO492" i="24142"/>
  <c r="AO559" i="23917"/>
  <c r="C492" i="24142"/>
  <c r="C559" i="23917"/>
  <c r="AC492" i="24142"/>
  <c r="AC559" i="23917"/>
  <c r="DQ10" i="24142"/>
  <c r="BQ494" i="24142"/>
  <c r="BQ560" i="23917"/>
  <c r="BQ17" i="24142"/>
  <c r="CE303" i="23917"/>
  <c r="CE152" i="24142"/>
  <c r="CL12" i="23917"/>
  <c r="DY162" i="24142"/>
  <c r="DY316" i="23917"/>
  <c r="CI188" i="24142"/>
  <c r="CI125" i="23917"/>
  <c r="R9" i="24158"/>
  <c r="DW284" i="24142"/>
  <c r="DW350" i="23917"/>
  <c r="AA188" i="24142"/>
  <c r="AA125" i="23917"/>
  <c r="CJ152" i="24142"/>
  <c r="CJ303" i="23917"/>
  <c r="CK150" i="24142"/>
  <c r="CK301" i="23917"/>
  <c r="BY150" i="24142"/>
  <c r="BY301" i="23917"/>
  <c r="DZ89" i="24142"/>
  <c r="DZ98" i="23917"/>
  <c r="BU150" i="24142"/>
  <c r="BU301" i="23917"/>
  <c r="O277" i="24142"/>
  <c r="O342" i="23917"/>
  <c r="DZ146" i="24142"/>
  <c r="DZ297" i="23917"/>
  <c r="CC284" i="24142"/>
  <c r="CC350" i="23917"/>
  <c r="DX278" i="24142"/>
  <c r="DX343" i="23917"/>
  <c r="DX12" i="24142"/>
  <c r="BQ277" i="24142"/>
  <c r="BQ342" i="23917"/>
  <c r="AQ188" i="24142"/>
  <c r="AQ125" i="23917"/>
  <c r="BU316" i="23917"/>
  <c r="BU162" i="24142"/>
  <c r="CG213" i="24142"/>
  <c r="CG151" i="23917"/>
  <c r="CF8" i="23917"/>
  <c r="S9" i="24158"/>
  <c r="DY284" i="24142"/>
  <c r="DY350" i="23917"/>
  <c r="DW213" i="24142"/>
  <c r="DW151" i="23917"/>
  <c r="CC213" i="24142"/>
  <c r="CC151" i="23917"/>
  <c r="DY125" i="24142"/>
  <c r="DY227" i="23917"/>
  <c r="BU284" i="24142"/>
  <c r="BU350" i="23917"/>
  <c r="BS213" i="24142"/>
  <c r="BS151" i="23917"/>
  <c r="BU200" i="24142"/>
  <c r="BW200" i="24142"/>
  <c r="CI153" i="24142"/>
  <c r="CI9" i="24142"/>
  <c r="CI304" i="23917"/>
  <c r="CH159" i="24142"/>
  <c r="CH313" i="23917"/>
  <c r="DX490" i="24142"/>
  <c r="DX557" i="23917"/>
  <c r="O188" i="24142"/>
  <c r="O125" i="23917"/>
  <c r="AK153" i="24142"/>
  <c r="AK9" i="24142"/>
  <c r="AK304" i="23917"/>
  <c r="Y188" i="24142"/>
  <c r="Y125" i="23917"/>
  <c r="AO153" i="24142"/>
  <c r="AO9" i="24142"/>
  <c r="AO304" i="23917"/>
  <c r="CK162" i="24142"/>
  <c r="CK316" i="23917"/>
  <c r="CC188" i="24142"/>
  <c r="CC125" i="23917"/>
  <c r="DX91" i="23917"/>
  <c r="DW91" i="23917"/>
  <c r="CI189" i="24142"/>
  <c r="CI11" i="24142"/>
  <c r="CI126" i="23917"/>
  <c r="CC122" i="24142"/>
  <c r="CC224" i="23917"/>
  <c r="BQ150" i="24142"/>
  <c r="BQ301" i="23917"/>
  <c r="BW188" i="24142"/>
  <c r="BW125" i="23917"/>
  <c r="K319" i="24142"/>
  <c r="K13" i="24142"/>
  <c r="K385" i="23917"/>
  <c r="CJ8" i="23917"/>
  <c r="CB9" i="24142"/>
  <c r="CB304" i="23917"/>
  <c r="CB305" i="23917" s="1"/>
  <c r="CB153" i="24142"/>
  <c r="CB10" i="24142"/>
  <c r="CB152" i="24142"/>
  <c r="CB303" i="23917"/>
  <c r="BS189" i="24142"/>
  <c r="BS11" i="24142"/>
  <c r="BS126" i="23917"/>
  <c r="DY212" i="23917"/>
  <c r="DY213" i="23917" s="1"/>
  <c r="DY116" i="24142"/>
  <c r="DY8" i="24142"/>
  <c r="AI189" i="24142"/>
  <c r="AI11" i="24142"/>
  <c r="AI126" i="23917"/>
  <c r="CL17" i="23917"/>
  <c r="BU278" i="24142"/>
  <c r="BU12" i="24142"/>
  <c r="BU343" i="23917"/>
  <c r="BS214" i="24142"/>
  <c r="BS152" i="23917"/>
  <c r="BQ284" i="24142"/>
  <c r="BQ350" i="23917"/>
  <c r="BW83" i="24142"/>
  <c r="BW87" i="23917"/>
  <c r="BU494" i="24142"/>
  <c r="BU560" i="23917"/>
  <c r="BU17" i="24142"/>
  <c r="CM153" i="24142"/>
  <c r="CM9" i="24142"/>
  <c r="CM304" i="23917"/>
  <c r="BW213" i="24142"/>
  <c r="BW151" i="23917"/>
  <c r="AK152" i="24142"/>
  <c r="AK303" i="23917"/>
  <c r="CD200" i="24142"/>
  <c r="CD138" i="23917"/>
  <c r="AW303" i="23917"/>
  <c r="BS86" i="24142"/>
  <c r="BS84" i="24142"/>
  <c r="BS88" i="23917"/>
  <c r="CF153" i="24142"/>
  <c r="CF9" i="24142"/>
  <c r="CF304" i="23917"/>
  <c r="CF305" i="23917" s="1"/>
  <c r="CF10" i="24142"/>
  <c r="CC189" i="24142"/>
  <c r="CC11" i="24142"/>
  <c r="CC126" i="23917"/>
  <c r="K189" i="24142"/>
  <c r="K11" i="24142"/>
  <c r="K126" i="23917"/>
  <c r="AA189" i="24142"/>
  <c r="AA11" i="24142"/>
  <c r="AA126" i="23917"/>
  <c r="AQ189" i="24142"/>
  <c r="AQ11" i="24142"/>
  <c r="AQ126" i="23917"/>
  <c r="BY122" i="24142"/>
  <c r="BY224" i="23917"/>
  <c r="AG153" i="24142"/>
  <c r="AG9" i="24142"/>
  <c r="AG304" i="23917"/>
  <c r="CG494" i="24142"/>
  <c r="CG560" i="23917"/>
  <c r="CG17" i="24142"/>
  <c r="BU277" i="24142"/>
  <c r="BU342" i="23917"/>
  <c r="CI213" i="24142"/>
  <c r="CI151" i="23917"/>
  <c r="AW278" i="24142"/>
  <c r="AW12" i="24142"/>
  <c r="AW343" i="23917"/>
  <c r="CF12" i="23917"/>
  <c r="DW162" i="24142"/>
  <c r="DW316" i="23917"/>
  <c r="CE213" i="24142"/>
  <c r="CE151" i="23917"/>
  <c r="CK494" i="24142"/>
  <c r="CK560" i="23917"/>
  <c r="CK17" i="24142"/>
  <c r="DX89" i="24142"/>
  <c r="DX98" i="23917"/>
  <c r="BQ278" i="24142"/>
  <c r="BQ12" i="24142"/>
  <c r="BQ343" i="23917"/>
  <c r="Q189" i="24142"/>
  <c r="Q11" i="24142"/>
  <c r="Q126" i="23917"/>
  <c r="DZ186" i="24142"/>
  <c r="DZ123" i="23917"/>
  <c r="CK189" i="24142"/>
  <c r="CK126" i="23917"/>
  <c r="CK11" i="24142"/>
  <c r="DW115" i="24142"/>
  <c r="DW211" i="23917"/>
  <c r="CE86" i="24142"/>
  <c r="CE84" i="24142"/>
  <c r="CE88" i="23917"/>
  <c r="O189" i="24142"/>
  <c r="O11" i="24142"/>
  <c r="O126" i="23917"/>
  <c r="CK214" i="24142"/>
  <c r="CK152" i="23917"/>
  <c r="AS278" i="24142"/>
  <c r="AS12" i="24142"/>
  <c r="AS343" i="23917"/>
  <c r="CF200" i="24142"/>
  <c r="CF138" i="23917"/>
  <c r="DY492" i="24142"/>
  <c r="DY559" i="23917"/>
  <c r="DY494" i="24142"/>
  <c r="DY17" i="24142"/>
  <c r="DY560" i="23917"/>
  <c r="DY561" i="23917" s="1"/>
  <c r="BS122" i="24142"/>
  <c r="BS224" i="23917"/>
  <c r="DW189" i="24142"/>
  <c r="DW11" i="24142"/>
  <c r="DW126" i="23917"/>
  <c r="DW127" i="23917" s="1"/>
  <c r="DW14" i="24142"/>
  <c r="AE189" i="24142"/>
  <c r="AE11" i="24142"/>
  <c r="AE126" i="23917"/>
  <c r="CE214" i="24142"/>
  <c r="CE152" i="23917"/>
  <c r="CD115" i="24142"/>
  <c r="CD211" i="23917"/>
  <c r="DX87" i="23917"/>
  <c r="DX83" i="24142"/>
  <c r="CK122" i="24142"/>
  <c r="CK224" i="23917"/>
  <c r="CG122" i="24142"/>
  <c r="CG224" i="23917"/>
  <c r="CI152" i="24142"/>
  <c r="CI303" i="23917"/>
  <c r="CK14" i="24142"/>
  <c r="S8" i="24158"/>
  <c r="CE284" i="24142"/>
  <c r="CE350" i="23917"/>
  <c r="CM303" i="23917"/>
  <c r="CM152" i="24142"/>
  <c r="CK284" i="24142"/>
  <c r="CK350" i="23917"/>
  <c r="CK492" i="24142"/>
  <c r="CK559" i="23917"/>
  <c r="CM188" i="24142"/>
  <c r="CM125" i="23917"/>
  <c r="CI492" i="24142"/>
  <c r="CI559" i="23917"/>
  <c r="DZ86" i="24142"/>
  <c r="DZ84" i="24142"/>
  <c r="DZ88" i="23917"/>
  <c r="DZ299" i="23917"/>
  <c r="DZ148" i="24142"/>
  <c r="DX277" i="24142"/>
  <c r="DX342" i="23917"/>
  <c r="DY186" i="24142"/>
  <c r="DY123" i="23917"/>
  <c r="CG492" i="24142"/>
  <c r="CG559" i="23917"/>
  <c r="CK188" i="24142"/>
  <c r="CK125" i="23917"/>
  <c r="CJ9" i="24142"/>
  <c r="CJ153" i="24142"/>
  <c r="CJ304" i="23917"/>
  <c r="CJ305" i="23917" s="1"/>
  <c r="CJ10" i="24142"/>
  <c r="AM189" i="24142"/>
  <c r="AM11" i="24142"/>
  <c r="AM126" i="23917"/>
  <c r="DZ83" i="24142"/>
  <c r="DZ87" i="23917"/>
  <c r="DY126" i="24142"/>
  <c r="DY228" i="23917"/>
  <c r="BW89" i="24142"/>
  <c r="BW98" i="23917"/>
  <c r="DZ278" i="24142"/>
  <c r="DZ343" i="23917"/>
  <c r="DZ12" i="24142"/>
  <c r="CM213" i="24142"/>
  <c r="CM151" i="23917"/>
  <c r="AG277" i="24142"/>
  <c r="AG342" i="23917"/>
  <c r="BY284" i="24142"/>
  <c r="BY350" i="23917"/>
  <c r="CC494" i="24142"/>
  <c r="CC560" i="23917"/>
  <c r="CC17" i="24142"/>
  <c r="CJ12" i="23917"/>
  <c r="BU189" i="24142"/>
  <c r="BU11" i="24142"/>
  <c r="BU126" i="23917"/>
  <c r="CL200" i="24142"/>
  <c r="CL138" i="23917"/>
  <c r="CM189" i="24142"/>
  <c r="CM11" i="24142"/>
  <c r="CM126" i="23917"/>
  <c r="BW189" i="24142"/>
  <c r="BW11" i="24142"/>
  <c r="BW126" i="23917"/>
  <c r="DX214" i="24142"/>
  <c r="DX152" i="23917"/>
  <c r="DW494" i="24142"/>
  <c r="DW17" i="24142"/>
  <c r="DW560" i="23917"/>
  <c r="DW561" i="23917" s="1"/>
  <c r="DW492" i="24142"/>
  <c r="DW559" i="23917"/>
  <c r="DZ214" i="24142"/>
  <c r="DZ152" i="23917"/>
  <c r="AS153" i="24142"/>
  <c r="AS9" i="24142"/>
  <c r="AS304" i="23917"/>
  <c r="CE188" i="24142"/>
  <c r="CE125" i="23917"/>
  <c r="BQ86" i="24142"/>
  <c r="BQ84" i="24142"/>
  <c r="BQ88" i="23917"/>
  <c r="AO188" i="24142"/>
  <c r="AO125" i="23917"/>
  <c r="CM284" i="24142"/>
  <c r="CM350" i="23917"/>
  <c r="CL8" i="23917"/>
  <c r="AC278" i="24142"/>
  <c r="AC12" i="24142"/>
  <c r="AC343" i="23917"/>
  <c r="CH200" i="24142"/>
  <c r="CH138" i="23917"/>
  <c r="CH8" i="23917"/>
  <c r="DY213" i="24142"/>
  <c r="DY151" i="23917"/>
  <c r="DX184" i="24142"/>
  <c r="DX121" i="23917"/>
  <c r="CC150" i="24142"/>
  <c r="CC301" i="23917"/>
  <c r="BS200" i="24142"/>
  <c r="DY115" i="24142"/>
  <c r="DY211" i="23917"/>
  <c r="DZ113" i="24142"/>
  <c r="DZ209" i="23917"/>
  <c r="S189" i="24142"/>
  <c r="S11" i="24142"/>
  <c r="S126" i="23917"/>
  <c r="BW153" i="24142"/>
  <c r="BW304" i="23917"/>
  <c r="BW9" i="24142"/>
  <c r="CL159" i="24142"/>
  <c r="CL313" i="23917"/>
  <c r="BU214" i="24142"/>
  <c r="BU152" i="23917"/>
  <c r="CI494" i="24142"/>
  <c r="CI560" i="23917"/>
  <c r="CI17" i="24142"/>
  <c r="BY494" i="24142"/>
  <c r="BY560" i="23917"/>
  <c r="BY17" i="24142"/>
  <c r="AS152" i="24142"/>
  <c r="AS303" i="23917"/>
  <c r="Y189" i="24142"/>
  <c r="Y11" i="24142"/>
  <c r="Y126" i="23917"/>
  <c r="CE189" i="24142"/>
  <c r="CE11" i="24142"/>
  <c r="CE126" i="23917"/>
  <c r="AW150" i="24142"/>
  <c r="AW301" i="23917"/>
  <c r="CK213" i="24142"/>
  <c r="CK151" i="23917"/>
  <c r="AM188" i="24142"/>
  <c r="AM125" i="23917"/>
  <c r="CF152" i="24142"/>
  <c r="CF303" i="23917"/>
  <c r="CG150" i="24142"/>
  <c r="CG301" i="23917"/>
  <c r="AO189" i="24142"/>
  <c r="AO11" i="24142"/>
  <c r="AO126" i="23917"/>
  <c r="AW189" i="24142"/>
  <c r="AW11" i="24142"/>
  <c r="AW126" i="23917"/>
  <c r="CB200" i="24142"/>
  <c r="CB138" i="23917"/>
  <c r="CI214" i="24142"/>
  <c r="CI152" i="23917"/>
  <c r="BY316" i="23917"/>
  <c r="BY162" i="24142"/>
  <c r="Y278" i="24142"/>
  <c r="Y12" i="24142"/>
  <c r="Y343" i="23917"/>
  <c r="DX86" i="24142"/>
  <c r="DX84" i="24142"/>
  <c r="DX88" i="23917"/>
  <c r="Q188" i="24142"/>
  <c r="Q125" i="23917"/>
  <c r="AU189" i="24142"/>
  <c r="AU11" i="24142"/>
  <c r="AU126" i="23917"/>
  <c r="BU213" i="24142"/>
  <c r="BU151" i="23917"/>
  <c r="BS153" i="24142"/>
  <c r="BS304" i="23917"/>
  <c r="BS9" i="24142"/>
  <c r="DX146" i="24142"/>
  <c r="DX297" i="23917"/>
  <c r="CA200" i="24142"/>
  <c r="CA138" i="23917"/>
  <c r="AG189" i="24142"/>
  <c r="AG11" i="24142"/>
  <c r="AG126" i="23917"/>
  <c r="DW159" i="24142"/>
  <c r="DW313" i="23917"/>
  <c r="DY188" i="24142"/>
  <c r="DY125" i="23917"/>
  <c r="DY189" i="24142"/>
  <c r="DY11" i="24142"/>
  <c r="DY126" i="23917"/>
  <c r="DY127" i="23917" s="1"/>
  <c r="DY14" i="24142"/>
  <c r="CJ200" i="24142"/>
  <c r="CJ138" i="23917"/>
  <c r="DX113" i="24142"/>
  <c r="DX209" i="23917"/>
  <c r="DW116" i="24142"/>
  <c r="DW10" i="24142"/>
  <c r="DW212" i="23917"/>
  <c r="DW213" i="23917" s="1"/>
  <c r="DW8" i="24142"/>
  <c r="DY150" i="24142"/>
  <c r="DY301" i="23917"/>
  <c r="CE153" i="24142"/>
  <c r="CE9" i="24142"/>
  <c r="CE304" i="23917"/>
  <c r="CD159" i="24142"/>
  <c r="CD313" i="23917"/>
  <c r="CG189" i="24142"/>
  <c r="CG126" i="23917"/>
  <c r="CG11" i="24142"/>
  <c r="DZ490" i="24142"/>
  <c r="DZ557" i="23917"/>
  <c r="W189" i="24142"/>
  <c r="W11" i="24142"/>
  <c r="W126" i="23917"/>
  <c r="DW188" i="24142"/>
  <c r="DW125" i="23917"/>
  <c r="CM214" i="24142"/>
  <c r="CM152" i="23917"/>
  <c r="CD116" i="24142"/>
  <c r="CD10" i="24142"/>
  <c r="CE10" i="24142" s="1"/>
  <c r="CD212" i="23917"/>
  <c r="CD213" i="23917" s="1"/>
  <c r="CD8" i="24142"/>
  <c r="CM113" i="24142"/>
  <c r="CM209" i="23917"/>
  <c r="CE113" i="24142"/>
  <c r="CE209" i="23917"/>
  <c r="CI290" i="24142"/>
  <c r="CI356" i="23917"/>
  <c r="CG86" i="24142"/>
  <c r="CG84" i="24142"/>
  <c r="CG88" i="23917"/>
  <c r="CI122" i="24142"/>
  <c r="CI224" i="23917"/>
  <c r="CK86" i="24142"/>
  <c r="CK84" i="24142"/>
  <c r="CK88" i="23917"/>
  <c r="CG284" i="24142"/>
  <c r="CG350" i="23917"/>
  <c r="CC492" i="24142"/>
  <c r="CC559" i="23917"/>
  <c r="CM14" i="24142"/>
  <c r="CG188" i="24142"/>
  <c r="CG125" i="23917"/>
  <c r="CG162" i="24142"/>
  <c r="CG316" i="23917"/>
  <c r="DX82" i="24142"/>
  <c r="DX86" i="23917"/>
  <c r="DZ277" i="24142"/>
  <c r="DZ342" i="23917"/>
  <c r="DZ184" i="24142"/>
  <c r="DZ121" i="23917"/>
  <c r="CC162" i="24142"/>
  <c r="CC316" i="23917"/>
  <c r="DX126" i="24142"/>
  <c r="DX228" i="23917"/>
  <c r="CS214" i="24142"/>
  <c r="CS152" i="23917"/>
  <c r="EH272" i="23917"/>
  <c r="EG272" i="23917"/>
  <c r="EA33" i="24142"/>
  <c r="EA39" i="23917"/>
  <c r="CR115" i="24142"/>
  <c r="CR211" i="23917"/>
  <c r="CO492" i="24142"/>
  <c r="CO559" i="23917"/>
  <c r="CR61" i="24142"/>
  <c r="CR70" i="23917"/>
  <c r="CQ272" i="24142"/>
  <c r="CQ337" i="23917"/>
  <c r="CO188" i="24142"/>
  <c r="CO125" i="23917"/>
  <c r="CS289" i="24142"/>
  <c r="CS355" i="23917"/>
  <c r="CP162" i="24142"/>
  <c r="CP316" i="23917"/>
  <c r="CN152" i="24142"/>
  <c r="CN303" i="23917"/>
  <c r="CO189" i="24142"/>
  <c r="CO11" i="24142"/>
  <c r="CO126" i="23917"/>
  <c r="EB266" i="24142"/>
  <c r="EB331" i="23917"/>
  <c r="CQ126" i="24142"/>
  <c r="CQ228" i="23917"/>
  <c r="EA488" i="24142"/>
  <c r="EA555" i="23917"/>
  <c r="EI166" i="23917"/>
  <c r="EM166" i="23917"/>
  <c r="EJ166" i="23917"/>
  <c r="EI241" i="24142"/>
  <c r="EI177" i="23917"/>
  <c r="EE254" i="23917"/>
  <c r="EF254" i="23917"/>
  <c r="EF242" i="24142"/>
  <c r="EF178" i="23917"/>
  <c r="EG242" i="24142"/>
  <c r="EG178" i="23917"/>
  <c r="CQ277" i="24142"/>
  <c r="CQ342" i="23917"/>
  <c r="CP492" i="24142"/>
  <c r="CP559" i="23917"/>
  <c r="CP270" i="24142"/>
  <c r="CP335" i="23917"/>
  <c r="EH227" i="24142"/>
  <c r="EH165" i="23917"/>
  <c r="CO162" i="24142"/>
  <c r="CO316" i="23917"/>
  <c r="EF272" i="23917"/>
  <c r="EE272" i="23917"/>
  <c r="CO150" i="24142"/>
  <c r="CO301" i="23917"/>
  <c r="CQ214" i="24142"/>
  <c r="CQ152" i="23917"/>
  <c r="EB140" i="24142"/>
  <c r="EB291" i="23917"/>
  <c r="CO284" i="24142"/>
  <c r="CO350" i="23917"/>
  <c r="CS488" i="24142"/>
  <c r="CS555" i="23917"/>
  <c r="CS290" i="24142"/>
  <c r="CS356" i="23917"/>
  <c r="CR277" i="24142"/>
  <c r="CR342" i="23917"/>
  <c r="CR62" i="24142"/>
  <c r="CR25" i="24142"/>
  <c r="CR28" i="23917"/>
  <c r="CR71" i="23917"/>
  <c r="EI227" i="24142"/>
  <c r="EI165" i="23917"/>
  <c r="CO494" i="24142"/>
  <c r="CO17" i="24142"/>
  <c r="CO560" i="23917"/>
  <c r="CN153" i="24142"/>
  <c r="CN9" i="24142"/>
  <c r="CN304" i="23917"/>
  <c r="CN305" i="23917" s="1"/>
  <c r="CN10" i="24142"/>
  <c r="CN200" i="24142"/>
  <c r="CN138" i="23917"/>
  <c r="CS33" i="24142"/>
  <c r="CS39" i="23917"/>
  <c r="CR490" i="24142"/>
  <c r="CR557" i="23917"/>
  <c r="CR272" i="24142"/>
  <c r="CR337" i="23917"/>
  <c r="CQ115" i="24142"/>
  <c r="CQ211" i="23917"/>
  <c r="CP269" i="24142"/>
  <c r="CP334" i="23917"/>
  <c r="CO122" i="24142"/>
  <c r="CO224" i="23917"/>
  <c r="CQ61" i="24142"/>
  <c r="CQ70" i="23917"/>
  <c r="CP188" i="24142"/>
  <c r="CP125" i="23917"/>
  <c r="CO213" i="24142"/>
  <c r="CO151" i="23917"/>
  <c r="CQ62" i="24142"/>
  <c r="CQ25" i="24142"/>
  <c r="CQ71" i="23917"/>
  <c r="CQ28" i="23917"/>
  <c r="EA286" i="24142"/>
  <c r="EA352" i="23917"/>
  <c r="CR126" i="24142"/>
  <c r="CR228" i="23917"/>
  <c r="CS43" i="23917"/>
  <c r="CR34" i="24142"/>
  <c r="CR43" i="23917"/>
  <c r="EE48" i="24142"/>
  <c r="EE57" i="23917"/>
  <c r="EH241" i="24142"/>
  <c r="EH177" i="23917"/>
  <c r="CO86" i="24142"/>
  <c r="CO88" i="23917"/>
  <c r="CO84" i="24142"/>
  <c r="BP17" i="23917"/>
  <c r="H9" i="23917"/>
  <c r="M12" i="23917"/>
  <c r="EJ244" i="23917"/>
  <c r="BA17" i="23917"/>
  <c r="CG8" i="23917"/>
  <c r="DY12" i="23917"/>
  <c r="AA17" i="23917"/>
  <c r="CB17" i="23917"/>
  <c r="CK12" i="23917"/>
  <c r="K274" i="23917"/>
  <c r="AU9" i="23917"/>
  <c r="BB11" i="23917"/>
  <c r="AQ17" i="23917"/>
  <c r="BV11" i="23917"/>
  <c r="S9" i="23917"/>
  <c r="AX11" i="23917"/>
  <c r="T17" i="23917"/>
  <c r="AJ17" i="23917"/>
  <c r="L14" i="23917"/>
  <c r="M11" i="23917"/>
  <c r="K12" i="23917"/>
  <c r="AI17" i="23917"/>
  <c r="G8" i="23917"/>
  <c r="F10" i="23917"/>
  <c r="BL17" i="23917"/>
  <c r="S17" i="23917"/>
  <c r="AU8" i="23917"/>
  <c r="AT10" i="23917"/>
  <c r="O8" i="23917"/>
  <c r="N10" i="23917"/>
  <c r="CM17" i="23917"/>
  <c r="AM9" i="23917"/>
  <c r="K8" i="23917"/>
  <c r="J10" i="23917"/>
  <c r="CE12" i="23917"/>
  <c r="I12" i="23917"/>
  <c r="F12" i="23917"/>
  <c r="DU17" i="23917"/>
  <c r="U8" i="23917"/>
  <c r="T10" i="23917"/>
  <c r="AN11" i="23917"/>
  <c r="AV11" i="23917"/>
  <c r="CB11" i="23917"/>
  <c r="DI12" i="23917"/>
  <c r="O274" i="23917"/>
  <c r="J11" i="23917"/>
  <c r="Z11" i="23917"/>
  <c r="BK17" i="23917"/>
  <c r="AE277" i="23917"/>
  <c r="AE17" i="23917"/>
  <c r="AG274" i="23917"/>
  <c r="AO274" i="23917"/>
  <c r="AV12" i="23917"/>
  <c r="AQ277" i="23917"/>
  <c r="CO12" i="23917"/>
  <c r="W17" i="23917"/>
  <c r="AY240" i="23917"/>
  <c r="AX250" i="23917"/>
  <c r="AX249" i="23917"/>
  <c r="AM17" i="23917"/>
  <c r="B17" i="23917"/>
  <c r="BM8" i="23917"/>
  <c r="X17" i="23917"/>
  <c r="AI9" i="23917"/>
  <c r="AW8" i="23917"/>
  <c r="O9" i="23917"/>
  <c r="BI11" i="23917"/>
  <c r="BW91" i="23917"/>
  <c r="BI17" i="23917"/>
  <c r="DM8" i="23917"/>
  <c r="BQ11" i="23917"/>
  <c r="BP14" i="23917"/>
  <c r="BY11" i="23917"/>
  <c r="AX9" i="23917"/>
  <c r="BN9" i="23917"/>
  <c r="BF11" i="23917"/>
  <c r="DK240" i="23917"/>
  <c r="C12" i="23917"/>
  <c r="W274" i="23917"/>
  <c r="AE12" i="23917"/>
  <c r="AO8" i="23917"/>
  <c r="AN10" i="23917"/>
  <c r="H17" i="23917"/>
  <c r="BT11" i="23917"/>
  <c r="DQ8" i="23917"/>
  <c r="K9" i="23917"/>
  <c r="Q274" i="23917"/>
  <c r="M8" i="23917"/>
  <c r="L10" i="23917"/>
  <c r="DL88" i="24142"/>
  <c r="DN88" i="24142"/>
  <c r="I8" i="23917"/>
  <c r="H10" i="23917"/>
  <c r="S8" i="23917"/>
  <c r="R10" i="23917"/>
  <c r="BS17" i="23917"/>
  <c r="AF17" i="23917"/>
  <c r="AA9" i="23917"/>
  <c r="BT17" i="23917"/>
  <c r="D17" i="23917"/>
  <c r="BU8" i="23917"/>
  <c r="BX17" i="23917"/>
  <c r="Y277" i="23917"/>
  <c r="AQ8" i="23917"/>
  <c r="AP10" i="23917"/>
  <c r="AC9" i="23917"/>
  <c r="DM17" i="23917"/>
  <c r="AV17" i="23917"/>
  <c r="AE9" i="23917"/>
  <c r="X12" i="23917"/>
  <c r="F13" i="23917"/>
  <c r="DC8" i="23917"/>
  <c r="S12" i="23917"/>
  <c r="AP11" i="23917"/>
  <c r="Y9" i="23917"/>
  <c r="AT11" i="23917"/>
  <c r="AU12" i="23917"/>
  <c r="G16" i="23917"/>
  <c r="BL11" i="23917"/>
  <c r="DG12" i="23917"/>
  <c r="E12" i="23917"/>
  <c r="BE8" i="23917"/>
  <c r="AY17" i="23917"/>
  <c r="BE12" i="23917"/>
  <c r="DW9" i="23917"/>
  <c r="CN11" i="23917"/>
  <c r="P11" i="23917"/>
  <c r="BS12" i="23917"/>
  <c r="N11" i="23917"/>
  <c r="Q12" i="23917"/>
  <c r="BC12" i="23917"/>
  <c r="AR12" i="23917"/>
  <c r="DE8" i="23917"/>
  <c r="C8" i="23917"/>
  <c r="B10" i="23917"/>
  <c r="BG17" i="23917"/>
  <c r="CM12" i="23917"/>
  <c r="Q8" i="23917"/>
  <c r="P10" i="23917"/>
  <c r="DJ268" i="23917"/>
  <c r="DQ17" i="23917"/>
  <c r="BB9" i="23917"/>
  <c r="CE17" i="23917"/>
  <c r="DC9" i="23917"/>
  <c r="AS17" i="23917"/>
  <c r="S277" i="23917"/>
  <c r="AC11" i="23917"/>
  <c r="BJ9" i="23917"/>
  <c r="AZ12" i="23917"/>
  <c r="L17" i="23917"/>
  <c r="DM12" i="23917"/>
  <c r="CI8" i="23917"/>
  <c r="AW253" i="23917"/>
  <c r="AV264" i="23917"/>
  <c r="AV265" i="23917"/>
  <c r="AV263" i="23917"/>
  <c r="AV268" i="23917"/>
  <c r="DK12" i="23917"/>
  <c r="AE8" i="23917"/>
  <c r="AD10" i="23917"/>
  <c r="BO17" i="23917"/>
  <c r="AJ14" i="23917"/>
  <c r="AK11" i="23917"/>
  <c r="W12" i="23917"/>
  <c r="CD11" i="23917"/>
  <c r="AS8" i="23917"/>
  <c r="AR10" i="23917"/>
  <c r="DT91" i="23917"/>
  <c r="CN17" i="23917"/>
  <c r="AT274" i="23917"/>
  <c r="AE274" i="23917"/>
  <c r="DK253" i="23917"/>
  <c r="AQ274" i="23917"/>
  <c r="EH257" i="23917"/>
  <c r="V19" i="24142"/>
  <c r="V20" i="24142" s="1"/>
  <c r="BN11" i="23917"/>
  <c r="D13" i="23917"/>
  <c r="AM12" i="23917"/>
  <c r="BW17" i="23917"/>
  <c r="S274" i="23917"/>
  <c r="BA11" i="23917"/>
  <c r="AU17" i="23917"/>
  <c r="AA8" i="23917"/>
  <c r="Z10" i="23917"/>
  <c r="BL12" i="23917"/>
  <c r="CO8" i="23917"/>
  <c r="C9" i="23917"/>
  <c r="DE9" i="23917"/>
  <c r="E11" i="23917"/>
  <c r="I13" i="23917"/>
  <c r="DG13" i="23917"/>
  <c r="AG8" i="23917"/>
  <c r="AS11" i="23917"/>
  <c r="V11" i="23917"/>
  <c r="DJ310" i="23917"/>
  <c r="DZ91" i="23917"/>
  <c r="AD11" i="23917"/>
  <c r="AK8" i="23917"/>
  <c r="Y8" i="23917"/>
  <c r="X10" i="23917"/>
  <c r="AL11" i="23917"/>
  <c r="DQ12" i="23917"/>
  <c r="BC8" i="23917"/>
  <c r="DW12" i="23917"/>
  <c r="F11" i="23917"/>
  <c r="BY8" i="23917"/>
  <c r="AI274" i="23917"/>
  <c r="W8" i="23917"/>
  <c r="V10" i="23917"/>
  <c r="BA8" i="23917"/>
  <c r="AB17" i="23917"/>
  <c r="DI17" i="23917"/>
  <c r="AO12" i="23917"/>
  <c r="AC8" i="23917"/>
  <c r="AB10" i="23917"/>
  <c r="AJ9" i="23917"/>
  <c r="AM274" i="23917"/>
  <c r="AB12" i="23917"/>
  <c r="P17" i="23917"/>
  <c r="AI8" i="23917"/>
  <c r="AH10" i="23917"/>
  <c r="J13" i="23917"/>
  <c r="M9" i="23917"/>
  <c r="CK8" i="23917"/>
  <c r="BR11" i="23917"/>
  <c r="E8" i="23917"/>
  <c r="D10" i="23917"/>
  <c r="AQ9" i="23917"/>
  <c r="DU12" i="23917"/>
  <c r="R11" i="23917"/>
  <c r="AH11" i="23917"/>
  <c r="BK8" i="23917"/>
  <c r="BJ10" i="23917"/>
  <c r="BQ8" i="23917"/>
  <c r="DE13" i="23917"/>
  <c r="BF9" i="23917"/>
  <c r="BV9" i="23917"/>
  <c r="U9" i="23917"/>
  <c r="AN17" i="23917"/>
  <c r="BJ11" i="23917"/>
  <c r="BI8" i="23917"/>
  <c r="W9" i="23917"/>
  <c r="X11" i="23917"/>
  <c r="H11" i="23917"/>
  <c r="AM8" i="23917"/>
  <c r="AL10" i="23917"/>
  <c r="Q9" i="23917"/>
  <c r="B11" i="23917"/>
  <c r="CC12" i="23917"/>
  <c r="BS8" i="23917"/>
  <c r="BR10" i="23917"/>
  <c r="BD17" i="23917"/>
  <c r="AF9" i="23917"/>
  <c r="BC17" i="23917"/>
  <c r="BY12" i="23917"/>
  <c r="CG12" i="23917"/>
  <c r="BR9" i="23917"/>
  <c r="AO277" i="23917"/>
  <c r="BD11" i="23917"/>
  <c r="AF11" i="23917"/>
  <c r="DP91" i="23917"/>
  <c r="DC17" i="23917"/>
  <c r="Y274" i="23917"/>
  <c r="CD9" i="23917"/>
  <c r="U12" i="23917"/>
  <c r="F17" i="23917"/>
  <c r="U11" i="23917"/>
  <c r="AK12" i="23917"/>
  <c r="CC8" i="23917"/>
  <c r="C13" i="23917"/>
  <c r="CS557" i="23917" l="1"/>
  <c r="ED259" i="23917"/>
  <c r="EF259" i="23917"/>
  <c r="CT492" i="24142"/>
  <c r="CT559" i="23917"/>
  <c r="CV289" i="24142"/>
  <c r="CV355" i="23917"/>
  <c r="CU289" i="24142"/>
  <c r="CU355" i="23917"/>
  <c r="CY109" i="24142"/>
  <c r="CY205" i="23917"/>
  <c r="CX488" i="24142"/>
  <c r="CX555" i="23917"/>
  <c r="CY145" i="24142"/>
  <c r="CY296" i="23917"/>
  <c r="CY140" i="24142"/>
  <c r="CY291" i="23917"/>
  <c r="CW483" i="24142"/>
  <c r="CW549" i="23917"/>
  <c r="CY481" i="24142"/>
  <c r="CY547" i="23917"/>
  <c r="CZ481" i="24142"/>
  <c r="CZ547" i="23917"/>
  <c r="DA264" i="24142"/>
  <c r="DA329" i="23917"/>
  <c r="CY487" i="24142"/>
  <c r="CY553" i="23917"/>
  <c r="CT61" i="24142"/>
  <c r="CT70" i="23917"/>
  <c r="CU277" i="24142"/>
  <c r="CU342" i="23917"/>
  <c r="CU115" i="24142"/>
  <c r="CU211" i="23917"/>
  <c r="CV272" i="24142"/>
  <c r="CV337" i="23917"/>
  <c r="CW290" i="24142"/>
  <c r="CW356" i="23917"/>
  <c r="CT270" i="24142"/>
  <c r="CT335" i="23917"/>
  <c r="CZ266" i="24142"/>
  <c r="CZ331" i="23917"/>
  <c r="DA486" i="24142"/>
  <c r="DA552" i="23917"/>
  <c r="CW43" i="23917"/>
  <c r="CV43" i="23917"/>
  <c r="CY125" i="24142"/>
  <c r="CY227" i="23917"/>
  <c r="CV126" i="24142"/>
  <c r="CV228" i="23917"/>
  <c r="EC482" i="24142"/>
  <c r="EC548" i="23917"/>
  <c r="EC265" i="24142"/>
  <c r="EC330" i="23917"/>
  <c r="EK244" i="23917"/>
  <c r="EM244" i="23917"/>
  <c r="EC271" i="24142"/>
  <c r="EC336" i="23917"/>
  <c r="ED486" i="24142"/>
  <c r="ED552" i="23917"/>
  <c r="ED264" i="24142"/>
  <c r="ED329" i="23917"/>
  <c r="ED48" i="24142"/>
  <c r="ED57" i="23917"/>
  <c r="DA482" i="24142"/>
  <c r="DA548" i="23917"/>
  <c r="EC264" i="24142"/>
  <c r="EC329" i="23917"/>
  <c r="EL227" i="24142"/>
  <c r="EL165" i="23917"/>
  <c r="CW286" i="24142"/>
  <c r="CW352" i="23917"/>
  <c r="DA265" i="24142"/>
  <c r="DA330" i="23917"/>
  <c r="CT162" i="24142"/>
  <c r="CT316" i="23917"/>
  <c r="CT188" i="24142"/>
  <c r="CT125" i="23917"/>
  <c r="EK242" i="24142"/>
  <c r="EK178" i="23917"/>
  <c r="CX214" i="24142"/>
  <c r="CX152" i="23917"/>
  <c r="CW214" i="24142"/>
  <c r="CW152" i="23917"/>
  <c r="CZ109" i="24142"/>
  <c r="CZ205" i="23917"/>
  <c r="CZ145" i="24142"/>
  <c r="CZ296" i="23917"/>
  <c r="CZ140" i="24142"/>
  <c r="CZ291" i="23917"/>
  <c r="CV490" i="24142"/>
  <c r="CV557" i="23917"/>
  <c r="CX483" i="24142"/>
  <c r="CX549" i="23917"/>
  <c r="CU490" i="24142"/>
  <c r="CU557" i="23917"/>
  <c r="DA48" i="24142"/>
  <c r="DA57" i="23917"/>
  <c r="CZ487" i="24142"/>
  <c r="CZ553" i="23917"/>
  <c r="CT62" i="24142"/>
  <c r="CT25" i="24142"/>
  <c r="CT28" i="23917"/>
  <c r="CT71" i="23917"/>
  <c r="CV277" i="24142"/>
  <c r="CV342" i="23917"/>
  <c r="CV115" i="24142"/>
  <c r="CV211" i="23917"/>
  <c r="CX290" i="24142"/>
  <c r="CX356" i="23917"/>
  <c r="CU272" i="24142"/>
  <c r="CU337" i="23917"/>
  <c r="CY266" i="24142"/>
  <c r="CY331" i="23917"/>
  <c r="DA263" i="24142"/>
  <c r="DA328" i="23917"/>
  <c r="CX33" i="24142"/>
  <c r="CX39" i="23917"/>
  <c r="CW33" i="24142"/>
  <c r="CW39" i="23917"/>
  <c r="CZ125" i="24142"/>
  <c r="CZ227" i="23917"/>
  <c r="CU126" i="24142"/>
  <c r="CU228" i="23917"/>
  <c r="ED40" i="23917"/>
  <c r="EC40" i="23917"/>
  <c r="EF40" i="23917"/>
  <c r="EC182" i="24142"/>
  <c r="EC119" i="23917"/>
  <c r="ED263" i="24142"/>
  <c r="ED328" i="23917"/>
  <c r="EC486" i="24142"/>
  <c r="EC552" i="23917"/>
  <c r="DA182" i="24142"/>
  <c r="DA119" i="23917"/>
  <c r="CY286" i="24142"/>
  <c r="CY352" i="23917"/>
  <c r="EC263" i="24142"/>
  <c r="EC328" i="23917"/>
  <c r="DA271" i="24142"/>
  <c r="DA336" i="23917"/>
  <c r="CV34" i="24142"/>
  <c r="EL241" i="24142"/>
  <c r="EL177" i="23917"/>
  <c r="BQ10" i="24142"/>
  <c r="EE259" i="23917"/>
  <c r="EE486" i="24142"/>
  <c r="EE552" i="23917"/>
  <c r="EE264" i="24142"/>
  <c r="EE329" i="23917"/>
  <c r="EE328" i="23917"/>
  <c r="EE263" i="24142"/>
  <c r="AG12" i="23917"/>
  <c r="O12" i="23917"/>
  <c r="BB10" i="23917"/>
  <c r="EI257" i="23917"/>
  <c r="K17" i="23917"/>
  <c r="DE12" i="23917"/>
  <c r="BY152" i="24142"/>
  <c r="DR10" i="24142"/>
  <c r="AQ284" i="24142"/>
  <c r="AQ350" i="23917"/>
  <c r="BG350" i="23917"/>
  <c r="BG284" i="24142"/>
  <c r="AH12" i="23917"/>
  <c r="AI12" i="23917"/>
  <c r="EL244" i="23917"/>
  <c r="DA246" i="24142"/>
  <c r="EC246" i="24142"/>
  <c r="AY350" i="23917"/>
  <c r="AY284" i="24142"/>
  <c r="BO350" i="23917"/>
  <c r="BO284" i="24142"/>
  <c r="AP12" i="23917"/>
  <c r="AQ12" i="23917"/>
  <c r="AY12" i="23917"/>
  <c r="BF12" i="23917"/>
  <c r="BG12" i="23917"/>
  <c r="BO12" i="23917"/>
  <c r="AI284" i="24142"/>
  <c r="AI350" i="23917"/>
  <c r="DZ14" i="24142"/>
  <c r="CK10" i="24142"/>
  <c r="CG10" i="24142"/>
  <c r="BU303" i="23917"/>
  <c r="CC10" i="24142"/>
  <c r="BM10" i="24142"/>
  <c r="AE200" i="24142"/>
  <c r="AE138" i="23917"/>
  <c r="K361" i="24142"/>
  <c r="K427" i="23917"/>
  <c r="BO200" i="24142"/>
  <c r="BO138" i="23917"/>
  <c r="I427" i="24142"/>
  <c r="I493" i="23917"/>
  <c r="DL189" i="24142"/>
  <c r="DL11" i="24142"/>
  <c r="DL126" i="23917"/>
  <c r="DH284" i="24142"/>
  <c r="DH350" i="23917"/>
  <c r="DR492" i="24142"/>
  <c r="DR559" i="23917"/>
  <c r="DV213" i="24142"/>
  <c r="DV151" i="23917"/>
  <c r="DO159" i="24142"/>
  <c r="DO313" i="23917"/>
  <c r="DF213" i="24142"/>
  <c r="DF151" i="23917"/>
  <c r="P245" i="24142"/>
  <c r="P134" i="23917"/>
  <c r="P181" i="23917"/>
  <c r="DO200" i="24142"/>
  <c r="DO138" i="23917"/>
  <c r="DP494" i="24142"/>
  <c r="DP17" i="24142"/>
  <c r="DP560" i="23917"/>
  <c r="DQ188" i="24142"/>
  <c r="DQ125" i="23917"/>
  <c r="DQ189" i="24142"/>
  <c r="DQ14" i="24142"/>
  <c r="DR14" i="24142" s="1"/>
  <c r="DQ11" i="24142"/>
  <c r="DQ126" i="23917"/>
  <c r="DQ127" i="23917" s="1"/>
  <c r="E424" i="24142"/>
  <c r="E15" i="23917"/>
  <c r="DL126" i="24142"/>
  <c r="DL228" i="23917"/>
  <c r="DS189" i="24142"/>
  <c r="DS14" i="24142"/>
  <c r="DT14" i="24142" s="1"/>
  <c r="DS11" i="24142"/>
  <c r="DS126" i="23917"/>
  <c r="DS127" i="23917" s="1"/>
  <c r="DT186" i="24142"/>
  <c r="DT123" i="23917"/>
  <c r="T368" i="24142"/>
  <c r="T434" i="23917"/>
  <c r="T367" i="24142"/>
  <c r="T433" i="23917"/>
  <c r="BU159" i="24142"/>
  <c r="BT159" i="24142"/>
  <c r="BT313" i="23917"/>
  <c r="O361" i="24142"/>
  <c r="O427" i="23917"/>
  <c r="DH153" i="24142"/>
  <c r="DH9" i="24142"/>
  <c r="DH304" i="23917"/>
  <c r="DG325" i="24142"/>
  <c r="DG391" i="23917"/>
  <c r="E14" i="23917"/>
  <c r="D14" i="23917"/>
  <c r="DL213" i="24142"/>
  <c r="DL151" i="23917"/>
  <c r="Q200" i="24142"/>
  <c r="Q138" i="23917"/>
  <c r="DN115" i="24142"/>
  <c r="DN211" i="23917"/>
  <c r="DJ389" i="24142"/>
  <c r="DJ455" i="23917"/>
  <c r="DF319" i="24142"/>
  <c r="DF13" i="24142"/>
  <c r="DF385" i="23917"/>
  <c r="DE325" i="24142"/>
  <c r="DE391" i="23917"/>
  <c r="DL188" i="24142"/>
  <c r="DL125" i="23917"/>
  <c r="DJ258" i="23917"/>
  <c r="DJ220" i="23917"/>
  <c r="DD354" i="24142"/>
  <c r="DD420" i="23917"/>
  <c r="DG361" i="24142"/>
  <c r="DG427" i="23917"/>
  <c r="DH354" i="24142"/>
  <c r="DH420" i="23917"/>
  <c r="DN186" i="24142"/>
  <c r="DN123" i="23917"/>
  <c r="K200" i="24142"/>
  <c r="K138" i="23917"/>
  <c r="DR115" i="24142"/>
  <c r="DR211" i="23917"/>
  <c r="DK159" i="24142"/>
  <c r="DK313" i="23917"/>
  <c r="AV258" i="23917"/>
  <c r="AV220" i="23917"/>
  <c r="DF492" i="24142"/>
  <c r="DF559" i="23917"/>
  <c r="AK284" i="24142"/>
  <c r="AK350" i="23917"/>
  <c r="DC188" i="24142"/>
  <c r="DC125" i="23917"/>
  <c r="DT214" i="24142"/>
  <c r="DT152" i="23917"/>
  <c r="DJ189" i="24142"/>
  <c r="DJ11" i="24142"/>
  <c r="DJ126" i="23917"/>
  <c r="DH113" i="24142"/>
  <c r="DH209" i="23917"/>
  <c r="DG116" i="24142"/>
  <c r="DG10" i="24142"/>
  <c r="DJ10" i="24142" s="1"/>
  <c r="DG8" i="24142"/>
  <c r="DG212" i="23917"/>
  <c r="DG213" i="23917" s="1"/>
  <c r="V394" i="24142"/>
  <c r="V460" i="23917"/>
  <c r="W383" i="24142"/>
  <c r="W449" i="23917"/>
  <c r="P237" i="24142"/>
  <c r="P173" i="23917"/>
  <c r="DN213" i="24142"/>
  <c r="DN151" i="23917"/>
  <c r="DI221" i="23917"/>
  <c r="DI273" i="23917"/>
  <c r="BI153" i="24142"/>
  <c r="BI9" i="24142"/>
  <c r="BI304" i="23917"/>
  <c r="BH159" i="24142"/>
  <c r="BH313" i="23917"/>
  <c r="DE188" i="24142"/>
  <c r="DE125" i="23917"/>
  <c r="DE189" i="24142"/>
  <c r="DE11" i="24142"/>
  <c r="DE14" i="24142"/>
  <c r="DE126" i="23917"/>
  <c r="DE127" i="23917" s="1"/>
  <c r="DF113" i="24142"/>
  <c r="DF209" i="23917"/>
  <c r="DD113" i="24142"/>
  <c r="DD209" i="23917"/>
  <c r="DC116" i="24142"/>
  <c r="DC10" i="24142"/>
  <c r="DD10" i="24142" s="1"/>
  <c r="DC8" i="24142"/>
  <c r="DC212" i="23917"/>
  <c r="DC213" i="23917" s="1"/>
  <c r="BI284" i="24142"/>
  <c r="BI350" i="23917"/>
  <c r="BE153" i="24142"/>
  <c r="BE9" i="24142"/>
  <c r="BE304" i="23917"/>
  <c r="H424" i="24142"/>
  <c r="H15" i="24142"/>
  <c r="H15" i="23917"/>
  <c r="DI159" i="24142"/>
  <c r="DI313" i="23917"/>
  <c r="S389" i="24142"/>
  <c r="S455" i="23917"/>
  <c r="DE16" i="24142"/>
  <c r="DE16" i="23917"/>
  <c r="DP152" i="24142"/>
  <c r="DP303" i="23917"/>
  <c r="DV284" i="24142"/>
  <c r="DV350" i="23917"/>
  <c r="DJ213" i="24142"/>
  <c r="DJ151" i="23917"/>
  <c r="DR214" i="24142"/>
  <c r="DR152" i="23917"/>
  <c r="DP278" i="24142"/>
  <c r="DP12" i="24142"/>
  <c r="DP343" i="23917"/>
  <c r="DV116" i="24142"/>
  <c r="DV8" i="24142"/>
  <c r="DV212" i="23917"/>
  <c r="BL159" i="24142"/>
  <c r="BL313" i="23917"/>
  <c r="DG126" i="24142"/>
  <c r="DG228" i="23917"/>
  <c r="DH213" i="24142"/>
  <c r="DH151" i="23917"/>
  <c r="DD12" i="23917"/>
  <c r="DC12" i="23917"/>
  <c r="DP214" i="24142"/>
  <c r="DP152" i="23917"/>
  <c r="DJ245" i="23917"/>
  <c r="DJ219" i="23917"/>
  <c r="BA153" i="24142"/>
  <c r="BA9" i="24142"/>
  <c r="BA304" i="23917"/>
  <c r="AZ159" i="24142"/>
  <c r="AZ313" i="23917"/>
  <c r="AG200" i="24142"/>
  <c r="AG138" i="23917"/>
  <c r="BE200" i="24142"/>
  <c r="BE138" i="23917"/>
  <c r="U361" i="24142"/>
  <c r="U427" i="23917"/>
  <c r="DS122" i="24142"/>
  <c r="DS224" i="23917"/>
  <c r="DD213" i="24142"/>
  <c r="DD151" i="23917"/>
  <c r="DH277" i="23917"/>
  <c r="DG277" i="23917"/>
  <c r="Y361" i="24142"/>
  <c r="Y427" i="23917"/>
  <c r="DU152" i="24142"/>
  <c r="DU303" i="23917"/>
  <c r="DU153" i="24142"/>
  <c r="DU9" i="24142"/>
  <c r="DU304" i="23917"/>
  <c r="DU305" i="23917" s="1"/>
  <c r="DT162" i="24142"/>
  <c r="DT316" i="23917"/>
  <c r="DL494" i="24142"/>
  <c r="DL17" i="24142"/>
  <c r="DL560" i="23917"/>
  <c r="DF494" i="24142"/>
  <c r="DF17" i="24142"/>
  <c r="DF560" i="23917"/>
  <c r="DL116" i="24142"/>
  <c r="DL8" i="24142"/>
  <c r="DL212" i="23917"/>
  <c r="DK122" i="24142"/>
  <c r="DK224" i="23917"/>
  <c r="W361" i="24142"/>
  <c r="W427" i="23917"/>
  <c r="DH494" i="24142"/>
  <c r="DH17" i="24142"/>
  <c r="DH560" i="23917"/>
  <c r="DR162" i="24142"/>
  <c r="DR316" i="23917"/>
  <c r="DT278" i="24142"/>
  <c r="DT12" i="24142"/>
  <c r="DT343" i="23917"/>
  <c r="N197" i="24142"/>
  <c r="N135" i="23917"/>
  <c r="DU188" i="24142"/>
  <c r="DU125" i="23917"/>
  <c r="DU189" i="24142"/>
  <c r="DU14" i="24142"/>
  <c r="DV14" i="24142" s="1"/>
  <c r="DU11" i="24142"/>
  <c r="DU126" i="23917"/>
  <c r="DU127" i="23917" s="1"/>
  <c r="DC126" i="24142"/>
  <c r="DC228" i="23917"/>
  <c r="DF10" i="24142"/>
  <c r="AY116" i="24142"/>
  <c r="AY8" i="24142"/>
  <c r="AY212" i="23917"/>
  <c r="BG116" i="24142"/>
  <c r="BG8" i="24142"/>
  <c r="BG212" i="23917"/>
  <c r="BJ12" i="23917"/>
  <c r="BK12" i="23917"/>
  <c r="BO115" i="24142"/>
  <c r="BO211" i="23917"/>
  <c r="BM284" i="24142"/>
  <c r="BM350" i="23917"/>
  <c r="AW284" i="24142"/>
  <c r="AW350" i="23917"/>
  <c r="DT492" i="24142"/>
  <c r="DT559" i="23917"/>
  <c r="BM200" i="24142"/>
  <c r="BM138" i="23917"/>
  <c r="DH353" i="24142"/>
  <c r="DH419" i="23917"/>
  <c r="Y200" i="24142"/>
  <c r="Y138" i="23917"/>
  <c r="C427" i="24142"/>
  <c r="C493" i="23917"/>
  <c r="S200" i="24142"/>
  <c r="S138" i="23917"/>
  <c r="DL152" i="24142"/>
  <c r="DL303" i="23917"/>
  <c r="DP492" i="24142"/>
  <c r="DP559" i="23917"/>
  <c r="DD360" i="24142"/>
  <c r="DD426" i="23917"/>
  <c r="DL115" i="24142"/>
  <c r="DL211" i="23917"/>
  <c r="AC284" i="24142"/>
  <c r="AC350" i="23917"/>
  <c r="DP277" i="24142"/>
  <c r="DP342" i="23917"/>
  <c r="DV115" i="24142"/>
  <c r="DV211" i="23917"/>
  <c r="AY200" i="24142"/>
  <c r="AY138" i="23917"/>
  <c r="DF332" i="24142"/>
  <c r="DF398" i="23917"/>
  <c r="U363" i="24142"/>
  <c r="U429" i="23917"/>
  <c r="AA361" i="24142"/>
  <c r="AA427" i="23917"/>
  <c r="G200" i="24142"/>
  <c r="G138" i="23917"/>
  <c r="BI152" i="24142"/>
  <c r="BI303" i="23917"/>
  <c r="DF152" i="24142"/>
  <c r="DF303" i="23917"/>
  <c r="DN152" i="24142"/>
  <c r="DN303" i="23917"/>
  <c r="AY115" i="24142"/>
  <c r="AY211" i="23917"/>
  <c r="BK284" i="24142"/>
  <c r="BK350" i="23917"/>
  <c r="Q8" i="24158"/>
  <c r="BW8" i="24142"/>
  <c r="BW116" i="24142"/>
  <c r="BW212" i="23917"/>
  <c r="BN122" i="24142"/>
  <c r="BN224" i="23917"/>
  <c r="BC284" i="24142"/>
  <c r="BC350" i="23917"/>
  <c r="D9" i="23917"/>
  <c r="E9" i="23917"/>
  <c r="BA152" i="24142"/>
  <c r="BA303" i="23917"/>
  <c r="DJ394" i="24142"/>
  <c r="DJ460" i="23917"/>
  <c r="DF318" i="24142"/>
  <c r="DF384" i="23917"/>
  <c r="DP126" i="24142"/>
  <c r="DP228" i="23917"/>
  <c r="DT10" i="24142"/>
  <c r="DD427" i="24142"/>
  <c r="DD493" i="23917"/>
  <c r="Y284" i="24142"/>
  <c r="Y350" i="23917"/>
  <c r="S361" i="24142"/>
  <c r="S427" i="23917"/>
  <c r="DV125" i="24142"/>
  <c r="DV227" i="23917"/>
  <c r="DF427" i="24142"/>
  <c r="DF493" i="23917"/>
  <c r="AI200" i="24142"/>
  <c r="AI138" i="23917"/>
  <c r="DL284" i="24142"/>
  <c r="DL350" i="23917"/>
  <c r="DD353" i="24142"/>
  <c r="DD419" i="23917"/>
  <c r="DL10" i="24142"/>
  <c r="DV214" i="24142"/>
  <c r="DV152" i="23917"/>
  <c r="I361" i="24142"/>
  <c r="I427" i="23917"/>
  <c r="DU10" i="24142"/>
  <c r="DV10" i="24142" s="1"/>
  <c r="DJ188" i="24142"/>
  <c r="DJ125" i="23917"/>
  <c r="DJ113" i="24142"/>
  <c r="DJ209" i="23917"/>
  <c r="DF331" i="24142"/>
  <c r="DF397" i="23917"/>
  <c r="U393" i="24142"/>
  <c r="U459" i="23917"/>
  <c r="DP162" i="24142"/>
  <c r="DP316" i="23917"/>
  <c r="BY10" i="24142"/>
  <c r="DN214" i="24142"/>
  <c r="DN152" i="23917"/>
  <c r="DH186" i="24142"/>
  <c r="DH123" i="23917"/>
  <c r="BQ12" i="23917"/>
  <c r="BH12" i="23917"/>
  <c r="U14" i="23917"/>
  <c r="T14" i="23917"/>
  <c r="DN116" i="24142"/>
  <c r="DN8" i="24142"/>
  <c r="DN212" i="23917"/>
  <c r="W200" i="24142"/>
  <c r="W138" i="23917"/>
  <c r="BE152" i="24142"/>
  <c r="BE303" i="23917"/>
  <c r="DJ152" i="24142"/>
  <c r="DJ303" i="23917"/>
  <c r="DK200" i="24142"/>
  <c r="DK138" i="23917"/>
  <c r="AU200" i="24142"/>
  <c r="AU138" i="23917"/>
  <c r="AQ200" i="24142"/>
  <c r="AQ138" i="23917"/>
  <c r="DH427" i="24142"/>
  <c r="DH493" i="23917"/>
  <c r="DP153" i="24142"/>
  <c r="DP9" i="24142"/>
  <c r="DP304" i="23917"/>
  <c r="DJ115" i="24142"/>
  <c r="DJ211" i="23917"/>
  <c r="P250" i="24142"/>
  <c r="P184" i="23917"/>
  <c r="P251" i="24142"/>
  <c r="P185" i="23917"/>
  <c r="DP189" i="24142"/>
  <c r="DP11" i="24142"/>
  <c r="DP126" i="23917"/>
  <c r="DR186" i="24142"/>
  <c r="DR123" i="23917"/>
  <c r="DR153" i="24142"/>
  <c r="DR9" i="24142"/>
  <c r="DR304" i="23917"/>
  <c r="DQ159" i="24142"/>
  <c r="DQ313" i="23917"/>
  <c r="DF361" i="24142"/>
  <c r="DF427" i="23917"/>
  <c r="DS188" i="24142"/>
  <c r="DS125" i="23917"/>
  <c r="T362" i="24142"/>
  <c r="T428" i="23917"/>
  <c r="T366" i="24142"/>
  <c r="T432" i="23917"/>
  <c r="T396" i="24142"/>
  <c r="T462" i="23917"/>
  <c r="DG159" i="24142"/>
  <c r="DG313" i="23917"/>
  <c r="DF153" i="24142"/>
  <c r="DF9" i="24142"/>
  <c r="DF304" i="23917"/>
  <c r="DE159" i="24142"/>
  <c r="DE313" i="23917"/>
  <c r="DR213" i="24142"/>
  <c r="DR151" i="23917"/>
  <c r="AS14" i="23917"/>
  <c r="AR14" i="23917"/>
  <c r="O200" i="24142"/>
  <c r="O138" i="23917"/>
  <c r="BA14" i="23917"/>
  <c r="AZ14" i="23917"/>
  <c r="DK383" i="24142"/>
  <c r="DK449" i="23917"/>
  <c r="DI393" i="24142"/>
  <c r="DI459" i="23917"/>
  <c r="DP213" i="24142"/>
  <c r="DP151" i="23917"/>
  <c r="DJ260" i="23917"/>
  <c r="DI260" i="23917"/>
  <c r="DT494" i="24142"/>
  <c r="DT17" i="24142"/>
  <c r="DT560" i="23917"/>
  <c r="DJ162" i="24142"/>
  <c r="DJ316" i="23917"/>
  <c r="DC361" i="24142"/>
  <c r="DC427" i="23917"/>
  <c r="DG363" i="24142"/>
  <c r="DG429" i="23917"/>
  <c r="DM188" i="24142"/>
  <c r="DM125" i="23917"/>
  <c r="DM189" i="24142"/>
  <c r="DM11" i="24142"/>
  <c r="DM14" i="24142"/>
  <c r="DM126" i="23917"/>
  <c r="DM127" i="23917" s="1"/>
  <c r="DT152" i="24142"/>
  <c r="DT303" i="23917"/>
  <c r="AA200" i="24142"/>
  <c r="AA138" i="23917"/>
  <c r="G325" i="24142"/>
  <c r="G391" i="23917"/>
  <c r="G424" i="24142"/>
  <c r="G15" i="23917"/>
  <c r="AV159" i="24142"/>
  <c r="AV313" i="23917"/>
  <c r="DV278" i="24142"/>
  <c r="DV12" i="24142"/>
  <c r="DV343" i="23917"/>
  <c r="DP116" i="24142"/>
  <c r="DP8" i="24142"/>
  <c r="DP212" i="23917"/>
  <c r="DO122" i="24142"/>
  <c r="DO224" i="23917"/>
  <c r="E361" i="24142"/>
  <c r="E427" i="23917"/>
  <c r="DT213" i="24142"/>
  <c r="DT151" i="23917"/>
  <c r="DL153" i="24142"/>
  <c r="DL9" i="24142"/>
  <c r="DL304" i="23917"/>
  <c r="DC189" i="24142"/>
  <c r="DC14" i="24142"/>
  <c r="DD14" i="24142" s="1"/>
  <c r="DC11" i="24142"/>
  <c r="DC126" i="23917"/>
  <c r="DC127" i="23917" s="1"/>
  <c r="DD186" i="24142"/>
  <c r="DD123" i="23917"/>
  <c r="DE197" i="24142"/>
  <c r="DE135" i="23917"/>
  <c r="DI200" i="24142"/>
  <c r="DI138" i="23917"/>
  <c r="DD494" i="24142"/>
  <c r="DD17" i="24142"/>
  <c r="DD560" i="23917"/>
  <c r="DG115" i="24142"/>
  <c r="DG211" i="23917"/>
  <c r="V395" i="24142"/>
  <c r="V461" i="23917"/>
  <c r="V389" i="24142"/>
  <c r="V455" i="23917"/>
  <c r="P231" i="24142"/>
  <c r="P169" i="23917"/>
  <c r="P133" i="23917"/>
  <c r="DF186" i="24142"/>
  <c r="DF123" i="23917"/>
  <c r="DC115" i="24142"/>
  <c r="DC211" i="23917"/>
  <c r="DG200" i="24142"/>
  <c r="DG138" i="23917"/>
  <c r="DL125" i="24142"/>
  <c r="DL227" i="23917"/>
  <c r="BD159" i="24142"/>
  <c r="BD313" i="23917"/>
  <c r="DL361" i="24142"/>
  <c r="DL427" i="23917"/>
  <c r="DV162" i="24142"/>
  <c r="DV316" i="23917"/>
  <c r="DJ153" i="24142"/>
  <c r="DJ9" i="24142"/>
  <c r="DJ304" i="23917"/>
  <c r="J383" i="24142"/>
  <c r="J449" i="23917"/>
  <c r="AU277" i="23917"/>
  <c r="AT277" i="23917"/>
  <c r="DL214" i="24142"/>
  <c r="DL152" i="23917"/>
  <c r="C200" i="24142"/>
  <c r="C138" i="23917"/>
  <c r="AW200" i="24142"/>
  <c r="AW138" i="23917"/>
  <c r="BK200" i="24142"/>
  <c r="BK138" i="23917"/>
  <c r="BZ14" i="23917"/>
  <c r="BP159" i="24142"/>
  <c r="BP313" i="23917"/>
  <c r="DJ125" i="24142"/>
  <c r="DJ227" i="23917"/>
  <c r="DO284" i="24142"/>
  <c r="DO350" i="23917"/>
  <c r="DU122" i="24142"/>
  <c r="DU224" i="23917"/>
  <c r="BM153" i="24142"/>
  <c r="BM9" i="24142"/>
  <c r="BM304" i="23917"/>
  <c r="DG125" i="24142"/>
  <c r="DG227" i="23917"/>
  <c r="DV277" i="24142"/>
  <c r="DV342" i="23917"/>
  <c r="BY14" i="23917"/>
  <c r="BX14" i="23917"/>
  <c r="DH152" i="24142"/>
  <c r="DH303" i="23917"/>
  <c r="BX159" i="24142"/>
  <c r="BX313" i="23917"/>
  <c r="DE236" i="24142"/>
  <c r="DE172" i="23917"/>
  <c r="DN153" i="24142"/>
  <c r="DN9" i="24142"/>
  <c r="DN304" i="23917"/>
  <c r="DM159" i="24142"/>
  <c r="DM313" i="23917"/>
  <c r="AX248" i="23917"/>
  <c r="AX245" i="23917"/>
  <c r="AX219" i="23917"/>
  <c r="DT116" i="24142"/>
  <c r="DT8" i="24142"/>
  <c r="DT212" i="23917"/>
  <c r="O284" i="24142"/>
  <c r="O350" i="23917"/>
  <c r="DT153" i="24142"/>
  <c r="DT9" i="24142"/>
  <c r="DT304" i="23917"/>
  <c r="DS159" i="24142"/>
  <c r="DS313" i="23917"/>
  <c r="DH274" i="23917"/>
  <c r="DG274" i="23917"/>
  <c r="DH273" i="23917"/>
  <c r="DH221" i="23917"/>
  <c r="DI122" i="24142"/>
  <c r="DI224" i="23917"/>
  <c r="DN494" i="24142"/>
  <c r="DN17" i="24142"/>
  <c r="DN560" i="23917"/>
  <c r="DV150" i="24142"/>
  <c r="DV301" i="23917"/>
  <c r="B424" i="24142"/>
  <c r="B15" i="24142"/>
  <c r="B15" i="23917"/>
  <c r="U427" i="24142"/>
  <c r="U493" i="23917"/>
  <c r="DJ492" i="24142"/>
  <c r="DJ559" i="23917"/>
  <c r="DS284" i="24142"/>
  <c r="DS350" i="23917"/>
  <c r="DV186" i="24142"/>
  <c r="DV123" i="23917"/>
  <c r="DC205" i="24142"/>
  <c r="DC143" i="23917"/>
  <c r="DC125" i="24142"/>
  <c r="DC227" i="23917"/>
  <c r="BS284" i="24142"/>
  <c r="BS350" i="23917"/>
  <c r="AX122" i="24142"/>
  <c r="AX224" i="23917"/>
  <c r="AV310" i="23917"/>
  <c r="AW310" i="23917"/>
  <c r="BW211" i="23917"/>
  <c r="BW115" i="24142"/>
  <c r="AS284" i="24142"/>
  <c r="AS350" i="23917"/>
  <c r="DJ395" i="24142"/>
  <c r="DJ461" i="23917"/>
  <c r="DP125" i="24142"/>
  <c r="DP227" i="23917"/>
  <c r="DT115" i="24142"/>
  <c r="DT211" i="23917"/>
  <c r="DH360" i="24142"/>
  <c r="DH426" i="23917"/>
  <c r="AO200" i="24142"/>
  <c r="AO138" i="23917"/>
  <c r="AC361" i="24142"/>
  <c r="AC427" i="23917"/>
  <c r="G284" i="24142"/>
  <c r="G350" i="23917"/>
  <c r="DL492" i="24142"/>
  <c r="DL559" i="23917"/>
  <c r="DR152" i="24142"/>
  <c r="DR303" i="23917"/>
  <c r="DH492" i="24142"/>
  <c r="DH559" i="23917"/>
  <c r="C361" i="24142"/>
  <c r="C427" i="23917"/>
  <c r="M361" i="24142"/>
  <c r="M427" i="23917"/>
  <c r="DH162" i="24142"/>
  <c r="DH316" i="23917"/>
  <c r="S427" i="24142"/>
  <c r="S493" i="23917"/>
  <c r="M427" i="24142"/>
  <c r="M493" i="23917"/>
  <c r="DD492" i="24142"/>
  <c r="DD559" i="23917"/>
  <c r="AA427" i="24142"/>
  <c r="AA493" i="23917"/>
  <c r="BM152" i="24142"/>
  <c r="BM303" i="23917"/>
  <c r="DD325" i="24142"/>
  <c r="DD391" i="23917"/>
  <c r="BU10" i="24142"/>
  <c r="Q361" i="24142"/>
  <c r="Q427" i="23917"/>
  <c r="AM200" i="24142"/>
  <c r="AM138" i="23917"/>
  <c r="BG115" i="24142"/>
  <c r="BG211" i="23917"/>
  <c r="BG10" i="24142"/>
  <c r="BO116" i="24142"/>
  <c r="BO8" i="24142"/>
  <c r="BO212" i="23917"/>
  <c r="CY232" i="24142"/>
  <c r="BW10" i="24142"/>
  <c r="BE10" i="24142"/>
  <c r="E325" i="24142"/>
  <c r="E391" i="23917"/>
  <c r="DJ427" i="24142"/>
  <c r="DJ493" i="23917"/>
  <c r="DJ284" i="24142"/>
  <c r="DJ350" i="23917"/>
  <c r="I200" i="24142"/>
  <c r="I138" i="23917"/>
  <c r="DP115" i="24142"/>
  <c r="DP211" i="23917"/>
  <c r="K427" i="24142"/>
  <c r="K493" i="23917"/>
  <c r="K325" i="24142"/>
  <c r="K391" i="23917"/>
  <c r="DN284" i="24142"/>
  <c r="DN350" i="23917"/>
  <c r="BA284" i="24142"/>
  <c r="BA350" i="23917"/>
  <c r="DJ14" i="24142"/>
  <c r="BC200" i="24142"/>
  <c r="BC138" i="23917"/>
  <c r="DF284" i="24142"/>
  <c r="DF350" i="23917"/>
  <c r="DT277" i="24142"/>
  <c r="DT342" i="23917"/>
  <c r="BG200" i="24142"/>
  <c r="BG138" i="23917"/>
  <c r="BI10" i="24142"/>
  <c r="G361" i="24142"/>
  <c r="G427" i="23917"/>
  <c r="W427" i="24142"/>
  <c r="W493" i="23917"/>
  <c r="DN10" i="24142"/>
  <c r="CO10" i="24142"/>
  <c r="DX186" i="24142"/>
  <c r="DX123" i="23917"/>
  <c r="DZ150" i="24142"/>
  <c r="DZ301" i="23917"/>
  <c r="DY152" i="24142"/>
  <c r="DY303" i="23917"/>
  <c r="DY153" i="24142"/>
  <c r="DY9" i="24142"/>
  <c r="DY304" i="23917"/>
  <c r="DY305" i="23917" s="1"/>
  <c r="DX115" i="24142"/>
  <c r="DX211" i="23917"/>
  <c r="DZ188" i="24142"/>
  <c r="DZ125" i="23917"/>
  <c r="CG153" i="24142"/>
  <c r="CG9" i="24142"/>
  <c r="CG304" i="23917"/>
  <c r="DZ115" i="24142"/>
  <c r="DZ211" i="23917"/>
  <c r="CH11" i="23917"/>
  <c r="DZ316" i="23917"/>
  <c r="DZ162" i="24142"/>
  <c r="BU313" i="23917"/>
  <c r="CK153" i="24142"/>
  <c r="CK9" i="24142"/>
  <c r="CK304" i="23917"/>
  <c r="DZ494" i="24142"/>
  <c r="DZ17" i="24142"/>
  <c r="DZ560" i="23917"/>
  <c r="DX116" i="24142"/>
  <c r="DX8" i="24142"/>
  <c r="DX212" i="23917"/>
  <c r="CC200" i="24142"/>
  <c r="CC138" i="23917"/>
  <c r="AW153" i="24142"/>
  <c r="AW9" i="24142"/>
  <c r="AW304" i="23917"/>
  <c r="DZ284" i="24142"/>
  <c r="DZ350" i="23917"/>
  <c r="DW200" i="24142"/>
  <c r="DW138" i="23917"/>
  <c r="DZ189" i="24142"/>
  <c r="DZ11" i="24142"/>
  <c r="DZ126" i="23917"/>
  <c r="AU273" i="23917"/>
  <c r="AU221" i="23917"/>
  <c r="CL9" i="23917"/>
  <c r="BY153" i="24142"/>
  <c r="BY9" i="24142"/>
  <c r="BY304" i="23917"/>
  <c r="BS313" i="23917"/>
  <c r="BS159" i="24142"/>
  <c r="CE200" i="24142"/>
  <c r="CE138" i="23917"/>
  <c r="DY122" i="24142"/>
  <c r="DY224" i="23917"/>
  <c r="CB159" i="24142"/>
  <c r="CB313" i="23917"/>
  <c r="DZ213" i="24142"/>
  <c r="DZ151" i="23917"/>
  <c r="DZ125" i="24142"/>
  <c r="DZ227" i="23917"/>
  <c r="DX213" i="24142"/>
  <c r="DX151" i="23917"/>
  <c r="DZ126" i="24142"/>
  <c r="DZ228" i="23917"/>
  <c r="CD122" i="24142"/>
  <c r="CD224" i="23917"/>
  <c r="CM116" i="24142"/>
  <c r="CM8" i="24142"/>
  <c r="CM212" i="23917"/>
  <c r="CM159" i="24142"/>
  <c r="CM313" i="23917"/>
  <c r="CE211" i="23917"/>
  <c r="CE115" i="24142"/>
  <c r="DY10" i="24142"/>
  <c r="DZ10" i="24142" s="1"/>
  <c r="CJ17" i="23917"/>
  <c r="DX125" i="24142"/>
  <c r="DX227" i="23917"/>
  <c r="CF159" i="24142"/>
  <c r="CF313" i="23917"/>
  <c r="BU153" i="24142"/>
  <c r="BU9" i="24142"/>
  <c r="BU304" i="23917"/>
  <c r="CJ159" i="24142"/>
  <c r="CJ313" i="23917"/>
  <c r="DW122" i="24142"/>
  <c r="DW224" i="23917"/>
  <c r="CJ11" i="23917"/>
  <c r="CA97" i="23917"/>
  <c r="CA14" i="23917"/>
  <c r="CF17" i="23917"/>
  <c r="CG152" i="24142"/>
  <c r="CG303" i="23917"/>
  <c r="CC152" i="24142"/>
  <c r="CC303" i="23917"/>
  <c r="CH9" i="23917"/>
  <c r="DX189" i="24142"/>
  <c r="DX11" i="24142"/>
  <c r="DX126" i="23917"/>
  <c r="DY200" i="24142"/>
  <c r="DY138" i="23917"/>
  <c r="CH17" i="23917"/>
  <c r="BQ153" i="24142"/>
  <c r="BQ9" i="24142"/>
  <c r="BQ304" i="23917"/>
  <c r="CL11" i="23917"/>
  <c r="DX188" i="24142"/>
  <c r="DX125" i="23917"/>
  <c r="DZ492" i="24142"/>
  <c r="DZ559" i="23917"/>
  <c r="CF11" i="23917"/>
  <c r="CE159" i="24142"/>
  <c r="CE313" i="23917"/>
  <c r="CK200" i="24142"/>
  <c r="CK138" i="23917"/>
  <c r="DX162" i="24142"/>
  <c r="DX316" i="23917"/>
  <c r="DX150" i="24142"/>
  <c r="DX301" i="23917"/>
  <c r="BW313" i="23917"/>
  <c r="BW159" i="24142"/>
  <c r="DZ116" i="24142"/>
  <c r="DZ8" i="24142"/>
  <c r="DZ212" i="23917"/>
  <c r="CC153" i="24142"/>
  <c r="CC304" i="23917"/>
  <c r="CC9" i="24142"/>
  <c r="BQ152" i="24142"/>
  <c r="BQ303" i="23917"/>
  <c r="DX494" i="24142"/>
  <c r="DX17" i="24142"/>
  <c r="DX560" i="23917"/>
  <c r="CE116" i="24142"/>
  <c r="CE8" i="24142"/>
  <c r="CE212" i="23917"/>
  <c r="CM10" i="24142"/>
  <c r="CI200" i="24142"/>
  <c r="CI138" i="23917"/>
  <c r="DX492" i="24142"/>
  <c r="DX559" i="23917"/>
  <c r="CM200" i="24142"/>
  <c r="CM138" i="23917"/>
  <c r="CM211" i="23917"/>
  <c r="CM115" i="24142"/>
  <c r="CG200" i="24142"/>
  <c r="CG138" i="23917"/>
  <c r="CI313" i="23917"/>
  <c r="CI159" i="24142"/>
  <c r="CK152" i="24142"/>
  <c r="CK303" i="23917"/>
  <c r="DX284" i="24142"/>
  <c r="DX350" i="23917"/>
  <c r="EB272" i="24142"/>
  <c r="EB337" i="23917"/>
  <c r="CP273" i="24142"/>
  <c r="CP338" i="23917"/>
  <c r="CO153" i="24142"/>
  <c r="CO9" i="24142"/>
  <c r="CO304" i="23917"/>
  <c r="EB43" i="23917"/>
  <c r="EA34" i="24142"/>
  <c r="EA43" i="23917"/>
  <c r="CR162" i="24142"/>
  <c r="CR316" i="23917"/>
  <c r="EA61" i="24142"/>
  <c r="EA70" i="23917"/>
  <c r="CS272" i="24142"/>
  <c r="CS337" i="23917"/>
  <c r="CR188" i="24142"/>
  <c r="CR125" i="23917"/>
  <c r="CQ270" i="24142"/>
  <c r="CQ335" i="23917"/>
  <c r="EG48" i="24142"/>
  <c r="EG57" i="23917"/>
  <c r="EJ241" i="24142"/>
  <c r="EJ177" i="23917"/>
  <c r="EB488" i="24142"/>
  <c r="EB555" i="23917"/>
  <c r="EM227" i="24142"/>
  <c r="EM165" i="23917"/>
  <c r="CS61" i="24142"/>
  <c r="CS70" i="23917"/>
  <c r="CR273" i="24142"/>
  <c r="CR338" i="23917"/>
  <c r="CP152" i="24142"/>
  <c r="CP303" i="23917"/>
  <c r="CQ188" i="24142"/>
  <c r="CQ125" i="23917"/>
  <c r="CQ269" i="24142"/>
  <c r="CQ334" i="23917"/>
  <c r="EI242" i="24142"/>
  <c r="EI178" i="23917"/>
  <c r="CP491" i="24142"/>
  <c r="CP558" i="23917"/>
  <c r="EF48" i="24142"/>
  <c r="EF57" i="23917"/>
  <c r="CO200" i="24142"/>
  <c r="CO138" i="23917"/>
  <c r="CS277" i="24142"/>
  <c r="CS342" i="23917"/>
  <c r="EA490" i="24142"/>
  <c r="EA557" i="23917"/>
  <c r="CN159" i="24142"/>
  <c r="CN313" i="23917"/>
  <c r="EJ227" i="24142"/>
  <c r="EJ165" i="23917"/>
  <c r="CO152" i="24142"/>
  <c r="CO303" i="23917"/>
  <c r="EH242" i="24142"/>
  <c r="EH178" i="23917"/>
  <c r="CS62" i="24142"/>
  <c r="CS25" i="24142"/>
  <c r="CS28" i="23917"/>
  <c r="CS71" i="23917"/>
  <c r="CQ492" i="24142"/>
  <c r="CQ559" i="23917"/>
  <c r="EA356" i="23917"/>
  <c r="EA272" i="24142"/>
  <c r="EA337" i="23917"/>
  <c r="CS115" i="24142"/>
  <c r="CS211" i="23917"/>
  <c r="EB33" i="24142"/>
  <c r="EB39" i="23917"/>
  <c r="CQ162" i="24142"/>
  <c r="CQ316" i="23917"/>
  <c r="CR270" i="24142"/>
  <c r="CR335" i="23917"/>
  <c r="CR269" i="24142"/>
  <c r="CR334" i="23917"/>
  <c r="CS126" i="24142"/>
  <c r="CS228" i="23917"/>
  <c r="CR492" i="24142"/>
  <c r="CR559" i="23917"/>
  <c r="EB286" i="24142"/>
  <c r="EB352" i="23917"/>
  <c r="EG254" i="23917"/>
  <c r="EH254" i="23917"/>
  <c r="EM241" i="24142"/>
  <c r="EM177" i="23917"/>
  <c r="EA71" i="23917"/>
  <c r="EA28" i="23917"/>
  <c r="EA62" i="24142"/>
  <c r="EA25" i="24142"/>
  <c r="G17" i="23917"/>
  <c r="CK17" i="23917"/>
  <c r="DK11" i="23917"/>
  <c r="AG9" i="23917"/>
  <c r="AM10" i="23917"/>
  <c r="H14" i="23917"/>
  <c r="I11" i="23917"/>
  <c r="DO11" i="23917"/>
  <c r="AC10" i="23917"/>
  <c r="AC17" i="23917"/>
  <c r="DX12" i="23917"/>
  <c r="BT9" i="23917"/>
  <c r="DG9" i="23917"/>
  <c r="DK310" i="23917"/>
  <c r="AF10" i="23917"/>
  <c r="AA10" i="23917"/>
  <c r="DL253" i="23917"/>
  <c r="DK265" i="23917"/>
  <c r="DK264" i="23917"/>
  <c r="DK263" i="23917"/>
  <c r="CG17" i="23917"/>
  <c r="CO17" i="23917"/>
  <c r="CD14" i="23917"/>
  <c r="CE11" i="23917"/>
  <c r="DL12" i="23917"/>
  <c r="M17" i="23917"/>
  <c r="BA12" i="23917"/>
  <c r="BH9" i="23917"/>
  <c r="DW11" i="23917"/>
  <c r="DG11" i="23917"/>
  <c r="DE10" i="23917"/>
  <c r="DF8" i="23917"/>
  <c r="AS12" i="23917"/>
  <c r="DY11" i="23917"/>
  <c r="CN14" i="23917"/>
  <c r="CO11" i="23917"/>
  <c r="DH12" i="23917"/>
  <c r="AP14" i="23917"/>
  <c r="AQ11" i="23917"/>
  <c r="G13" i="23917"/>
  <c r="BY17" i="23917"/>
  <c r="BT14" i="23917"/>
  <c r="BU11" i="23917"/>
  <c r="BF14" i="23917"/>
  <c r="BG11" i="23917"/>
  <c r="DM9" i="23917"/>
  <c r="DS9" i="23917"/>
  <c r="J14" i="23917"/>
  <c r="K11" i="23917"/>
  <c r="AV14" i="23917"/>
  <c r="AW11" i="23917"/>
  <c r="DI8" i="23917"/>
  <c r="U10" i="23917"/>
  <c r="CB9" i="23917"/>
  <c r="DK8" i="23917"/>
  <c r="BV14" i="23917"/>
  <c r="BW11" i="23917"/>
  <c r="BB14" i="23917"/>
  <c r="BC11" i="23917"/>
  <c r="CC17" i="23917"/>
  <c r="AF14" i="23917"/>
  <c r="AG11" i="23917"/>
  <c r="B14" i="23917"/>
  <c r="DE11" i="23917"/>
  <c r="C11" i="23917"/>
  <c r="AO17" i="23917"/>
  <c r="BG9" i="23917"/>
  <c r="BK10" i="23917"/>
  <c r="S11" i="23917"/>
  <c r="K13" i="23917"/>
  <c r="Q17" i="23917"/>
  <c r="AK9" i="23917"/>
  <c r="AS9" i="23917"/>
  <c r="W10" i="23917"/>
  <c r="AL14" i="23917"/>
  <c r="AM11" i="23917"/>
  <c r="DF9" i="23917"/>
  <c r="BM12" i="23917"/>
  <c r="DW8" i="23917"/>
  <c r="CK11" i="23917"/>
  <c r="CJ14" i="23917"/>
  <c r="BO11" i="23917"/>
  <c r="EJ257" i="23917"/>
  <c r="DS17" i="23917"/>
  <c r="AV9" i="23917"/>
  <c r="DK9" i="23917"/>
  <c r="AW268" i="23917"/>
  <c r="DN12" i="23917"/>
  <c r="BK9" i="23917"/>
  <c r="CI9" i="23917"/>
  <c r="Q11" i="23917"/>
  <c r="AT14" i="23917"/>
  <c r="AU11" i="23917"/>
  <c r="Y12" i="23917"/>
  <c r="CM9" i="23917"/>
  <c r="S10" i="23917"/>
  <c r="H74" i="24142"/>
  <c r="I10" i="23917"/>
  <c r="AO10" i="23917"/>
  <c r="DK268" i="23917"/>
  <c r="DL240" i="23917"/>
  <c r="DK249" i="23917"/>
  <c r="DK250" i="23917"/>
  <c r="DK248" i="23917"/>
  <c r="AY9" i="23917"/>
  <c r="DM10" i="23917"/>
  <c r="DN8" i="23917"/>
  <c r="CG11" i="23917"/>
  <c r="C17" i="23917"/>
  <c r="DE17" i="23917"/>
  <c r="AZ240" i="23917"/>
  <c r="O10" i="23917"/>
  <c r="DY8" i="23917"/>
  <c r="BM17" i="23917"/>
  <c r="CL10" i="23917"/>
  <c r="DG17" i="23917"/>
  <c r="U17" i="23917"/>
  <c r="DW17" i="23917"/>
  <c r="DZ12" i="23917"/>
  <c r="DS12" i="23917"/>
  <c r="EI272" i="23917"/>
  <c r="CE9" i="23917"/>
  <c r="DD17" i="23917"/>
  <c r="CN9" i="23917"/>
  <c r="BE17" i="23917"/>
  <c r="BS10" i="23917"/>
  <c r="DO9" i="23917"/>
  <c r="Y11" i="23917"/>
  <c r="BK11" i="23917"/>
  <c r="DO17" i="23917"/>
  <c r="AC12" i="23917"/>
  <c r="G11" i="23917"/>
  <c r="Y10" i="23917"/>
  <c r="AD14" i="23917"/>
  <c r="AE11" i="23917"/>
  <c r="DY17" i="23917"/>
  <c r="AU274" i="23917"/>
  <c r="AE10" i="23917"/>
  <c r="BF10" i="23917"/>
  <c r="DI11" i="23917"/>
  <c r="DD9" i="23917"/>
  <c r="C10" i="23917"/>
  <c r="O11" i="23917"/>
  <c r="DF12" i="23917"/>
  <c r="DI9" i="23917"/>
  <c r="DD8" i="23917"/>
  <c r="DC10" i="23917"/>
  <c r="CI17" i="23917"/>
  <c r="AG17" i="23917"/>
  <c r="DC11" i="23917"/>
  <c r="BP9" i="23917"/>
  <c r="DO12" i="23917"/>
  <c r="M10" i="23917"/>
  <c r="DU8" i="23917"/>
  <c r="CM11" i="23917"/>
  <c r="I17" i="23917"/>
  <c r="BL9" i="23917"/>
  <c r="Y17" i="23917"/>
  <c r="O17" i="23917"/>
  <c r="DS8" i="23917"/>
  <c r="AW12" i="23917"/>
  <c r="AA11" i="23917"/>
  <c r="DJ12" i="23917"/>
  <c r="CC11" i="23917"/>
  <c r="DV17" i="23917"/>
  <c r="G12" i="23917"/>
  <c r="DK17" i="23917"/>
  <c r="AK17" i="23917"/>
  <c r="BQ17" i="23917"/>
  <c r="DC13" i="23917"/>
  <c r="BI12" i="23917"/>
  <c r="BE11" i="23917"/>
  <c r="BS9" i="23917"/>
  <c r="BW9" i="23917"/>
  <c r="AI11" i="23917"/>
  <c r="DV12" i="23917"/>
  <c r="E10" i="23917"/>
  <c r="BS11" i="23917"/>
  <c r="AI10" i="23917"/>
  <c r="CI11" i="23917"/>
  <c r="BC10" i="23917"/>
  <c r="AJ10" i="23917"/>
  <c r="W11" i="23917"/>
  <c r="DH13" i="23917"/>
  <c r="AO9" i="23917"/>
  <c r="E13" i="23917"/>
  <c r="AK14" i="23917"/>
  <c r="DO8" i="23917"/>
  <c r="M13" i="23917"/>
  <c r="AX253" i="23917"/>
  <c r="CH10" i="23917"/>
  <c r="BC9" i="23917"/>
  <c r="Q10" i="23917"/>
  <c r="BD9" i="23917"/>
  <c r="BL14" i="23917"/>
  <c r="BM11" i="23917"/>
  <c r="AW17" i="23917"/>
  <c r="AQ10" i="23917"/>
  <c r="E17" i="23917"/>
  <c r="BU17" i="23917"/>
  <c r="BZ97" i="23917"/>
  <c r="BZ74" i="24142"/>
  <c r="BZ75" i="24142"/>
  <c r="BZ73" i="24142"/>
  <c r="BZ71" i="24142"/>
  <c r="BZ19" i="23917"/>
  <c r="BO9" i="23917"/>
  <c r="BX9" i="23917"/>
  <c r="AZ9" i="23917"/>
  <c r="BU12" i="23917"/>
  <c r="AO11" i="23917"/>
  <c r="K10" i="23917"/>
  <c r="B74" i="24142"/>
  <c r="AU10" i="23917"/>
  <c r="G10" i="23917"/>
  <c r="M14" i="23917"/>
  <c r="AY11" i="23917"/>
  <c r="BV10" i="23917"/>
  <c r="I9" i="23917"/>
  <c r="DH10" i="24142" l="1"/>
  <c r="EA273" i="24142"/>
  <c r="EE291" i="23917"/>
  <c r="EE140" i="24142"/>
  <c r="ED140" i="24142"/>
  <c r="CT152" i="24142"/>
  <c r="CT303" i="23917"/>
  <c r="EL254" i="23917"/>
  <c r="EK254" i="23917"/>
  <c r="EK48" i="24142"/>
  <c r="EK57" i="23917"/>
  <c r="CY290" i="24142"/>
  <c r="CY356" i="23917"/>
  <c r="CX115" i="24142"/>
  <c r="CX211" i="23917"/>
  <c r="CX277" i="24142"/>
  <c r="CX342" i="23917"/>
  <c r="CU62" i="24142"/>
  <c r="CU25" i="24142"/>
  <c r="CU71" i="23917"/>
  <c r="CU28" i="23917"/>
  <c r="DA481" i="24142"/>
  <c r="DA547" i="23917"/>
  <c r="CU162" i="24142"/>
  <c r="CU316" i="23917"/>
  <c r="CX126" i="24142"/>
  <c r="CX228" i="23917"/>
  <c r="CZ33" i="24142"/>
  <c r="CZ39" i="23917"/>
  <c r="DA266" i="24142"/>
  <c r="DA331" i="23917"/>
  <c r="CW272" i="24142"/>
  <c r="CW337" i="23917"/>
  <c r="CV62" i="24142"/>
  <c r="CV25" i="24142"/>
  <c r="CV28" i="23917"/>
  <c r="CV71" i="23917"/>
  <c r="CT491" i="24142"/>
  <c r="CT558" i="23917"/>
  <c r="CY483" i="24142"/>
  <c r="CY549" i="23917"/>
  <c r="CX289" i="24142"/>
  <c r="CX355" i="23917"/>
  <c r="CT269" i="24142"/>
  <c r="CT334" i="23917"/>
  <c r="CV492" i="24142"/>
  <c r="CV559" i="23917"/>
  <c r="CV188" i="24142"/>
  <c r="CV125" i="23917"/>
  <c r="EC266" i="24142"/>
  <c r="EC331" i="23917"/>
  <c r="EC145" i="24142"/>
  <c r="EC296" i="23917"/>
  <c r="CU270" i="24142"/>
  <c r="CU335" i="23917"/>
  <c r="EL257" i="23917"/>
  <c r="EK257" i="23917"/>
  <c r="EM257" i="23917"/>
  <c r="DA487" i="24142"/>
  <c r="DA553" i="23917"/>
  <c r="DA145" i="24142"/>
  <c r="DA296" i="23917"/>
  <c r="EL242" i="24142"/>
  <c r="EL178" i="23917"/>
  <c r="EC481" i="24142"/>
  <c r="EC547" i="23917"/>
  <c r="EA290" i="24142"/>
  <c r="DA232" i="24142"/>
  <c r="CZ232" i="24142"/>
  <c r="CY33" i="24142"/>
  <c r="CY39" i="23917"/>
  <c r="CX272" i="24142"/>
  <c r="CX337" i="23917"/>
  <c r="CZ290" i="24142"/>
  <c r="CZ356" i="23917"/>
  <c r="CW115" i="24142"/>
  <c r="CW211" i="23917"/>
  <c r="CW277" i="24142"/>
  <c r="CW342" i="23917"/>
  <c r="CZ483" i="24142"/>
  <c r="CZ549" i="23917"/>
  <c r="DA140" i="24142"/>
  <c r="DA291" i="23917"/>
  <c r="CY214" i="24142"/>
  <c r="CY152" i="23917"/>
  <c r="CZ214" i="24142"/>
  <c r="CZ152" i="23917"/>
  <c r="CV162" i="24142"/>
  <c r="CV316" i="23917"/>
  <c r="CW126" i="24142"/>
  <c r="CW228" i="23917"/>
  <c r="CZ488" i="24142"/>
  <c r="CZ555" i="23917"/>
  <c r="CV270" i="24142"/>
  <c r="CV335" i="23917"/>
  <c r="CU61" i="24142"/>
  <c r="CU70" i="23917"/>
  <c r="CV61" i="24142"/>
  <c r="CV70" i="23917"/>
  <c r="CX490" i="24142"/>
  <c r="CX557" i="23917"/>
  <c r="CW490" i="24142"/>
  <c r="CW557" i="23917"/>
  <c r="CW289" i="24142"/>
  <c r="CW355" i="23917"/>
  <c r="CU492" i="24142"/>
  <c r="CU559" i="23917"/>
  <c r="CU188" i="24142"/>
  <c r="CU125" i="23917"/>
  <c r="EC109" i="24142"/>
  <c r="EC205" i="23917"/>
  <c r="EC487" i="24142"/>
  <c r="EC553" i="23917"/>
  <c r="EC483" i="24142"/>
  <c r="EC549" i="23917"/>
  <c r="ED271" i="24142"/>
  <c r="ED336" i="23917"/>
  <c r="ED265" i="24142"/>
  <c r="ED330" i="23917"/>
  <c r="ED482" i="24142"/>
  <c r="ED548" i="23917"/>
  <c r="ED481" i="24142"/>
  <c r="ED547" i="23917"/>
  <c r="ED182" i="24142"/>
  <c r="ED119" i="23917"/>
  <c r="ED291" i="23917"/>
  <c r="DA125" i="24142"/>
  <c r="DA227" i="23917"/>
  <c r="EC140" i="24142"/>
  <c r="EC291" i="23917"/>
  <c r="DA109" i="24142"/>
  <c r="DA205" i="23917"/>
  <c r="CZ286" i="24142"/>
  <c r="CZ352" i="23917"/>
  <c r="CY488" i="24142"/>
  <c r="CY555" i="23917"/>
  <c r="EE271" i="24142"/>
  <c r="EE336" i="23917"/>
  <c r="EE330" i="23917"/>
  <c r="EE265" i="24142"/>
  <c r="EE548" i="23917"/>
  <c r="EE482" i="24142"/>
  <c r="EE481" i="24142"/>
  <c r="EE547" i="23917"/>
  <c r="EG552" i="23917"/>
  <c r="EG486" i="24142"/>
  <c r="ED246" i="24142"/>
  <c r="EF328" i="23917"/>
  <c r="EF263" i="24142"/>
  <c r="EG328" i="23917"/>
  <c r="EG263" i="24142"/>
  <c r="EG329" i="23917"/>
  <c r="EG264" i="24142"/>
  <c r="EF264" i="24142"/>
  <c r="EF329" i="23917"/>
  <c r="EF486" i="24142"/>
  <c r="EF552" i="23917"/>
  <c r="EE182" i="24142"/>
  <c r="EE119" i="23917"/>
  <c r="EL272" i="23917"/>
  <c r="EC232" i="24142"/>
  <c r="CA75" i="24142"/>
  <c r="CA19" i="23917"/>
  <c r="EA355" i="23917"/>
  <c r="CA76" i="23917"/>
  <c r="CA80" i="23917"/>
  <c r="CA71" i="24142"/>
  <c r="CA74" i="24142"/>
  <c r="DX14" i="24142"/>
  <c r="CA192" i="24142"/>
  <c r="CA156" i="24142"/>
  <c r="CA70" i="24142"/>
  <c r="CA73" i="24142"/>
  <c r="CA82" i="23917"/>
  <c r="CA77" i="24142"/>
  <c r="EB269" i="24142"/>
  <c r="J68" i="24142"/>
  <c r="J76" i="23917"/>
  <c r="X281" i="24142"/>
  <c r="X70" i="24142"/>
  <c r="X347" i="23917"/>
  <c r="X78" i="23917"/>
  <c r="H156" i="24142"/>
  <c r="H67" i="24142"/>
  <c r="H308" i="23917"/>
  <c r="H75" i="23917"/>
  <c r="DU200" i="24142"/>
  <c r="DU138" i="23917"/>
  <c r="AY14" i="23917"/>
  <c r="AX14" i="23917"/>
  <c r="AT192" i="24142"/>
  <c r="AT69" i="24142"/>
  <c r="AT130" i="23917"/>
  <c r="AT77" i="23917"/>
  <c r="DE15" i="24142"/>
  <c r="DE15" i="23917"/>
  <c r="BI14" i="23917"/>
  <c r="BH14" i="23917"/>
  <c r="DR284" i="24142"/>
  <c r="DR350" i="23917"/>
  <c r="BZ281" i="24142"/>
  <c r="BZ70" i="24142"/>
  <c r="BZ347" i="23917"/>
  <c r="BZ78" i="23917"/>
  <c r="BZ156" i="24142"/>
  <c r="BZ67" i="24142"/>
  <c r="BZ308" i="23917"/>
  <c r="BZ75" i="23917"/>
  <c r="BZ119" i="24142"/>
  <c r="BZ66" i="24142"/>
  <c r="BZ216" i="23917"/>
  <c r="BZ74" i="23917"/>
  <c r="BZ87" i="24142"/>
  <c r="BZ90" i="23917"/>
  <c r="D76" i="24142"/>
  <c r="D80" i="23917"/>
  <c r="AP192" i="24142"/>
  <c r="AP69" i="24142"/>
  <c r="AP130" i="23917"/>
  <c r="AP77" i="23917"/>
  <c r="DF115" i="24142"/>
  <c r="DF211" i="23917"/>
  <c r="W389" i="24142"/>
  <c r="W455" i="23917"/>
  <c r="V393" i="24142"/>
  <c r="V459" i="23917"/>
  <c r="BB156" i="24142"/>
  <c r="BB67" i="24142"/>
  <c r="BB308" i="23917"/>
  <c r="BB75" i="23917"/>
  <c r="DH197" i="24142"/>
  <c r="DH135" i="23917"/>
  <c r="AW258" i="23917"/>
  <c r="AW220" i="23917"/>
  <c r="AW260" i="23917"/>
  <c r="AV260" i="23917"/>
  <c r="DM200" i="24142"/>
  <c r="DM138" i="23917"/>
  <c r="W14" i="23917"/>
  <c r="V14" i="23917"/>
  <c r="DQ10" i="23917"/>
  <c r="DQ9" i="23917"/>
  <c r="BS14" i="23917"/>
  <c r="BR14" i="23917"/>
  <c r="AI14" i="23917"/>
  <c r="AH14" i="23917"/>
  <c r="B240" i="24142"/>
  <c r="B176" i="23917"/>
  <c r="X76" i="24142"/>
  <c r="X80" i="23917"/>
  <c r="H76" i="24142"/>
  <c r="H80" i="23917"/>
  <c r="S393" i="24142"/>
  <c r="S459" i="23917"/>
  <c r="O14" i="23917"/>
  <c r="N14" i="23917"/>
  <c r="B76" i="24142"/>
  <c r="B80" i="23917"/>
  <c r="DF116" i="24142"/>
  <c r="DF8" i="24142"/>
  <c r="DF212" i="23917"/>
  <c r="DF188" i="24142"/>
  <c r="DF125" i="23917"/>
  <c r="P233" i="24142"/>
  <c r="P195" i="24142"/>
  <c r="DD189" i="24142"/>
  <c r="DD11" i="24142"/>
  <c r="DD126" i="23917"/>
  <c r="DC201" i="24142"/>
  <c r="DC139" i="23917"/>
  <c r="AR281" i="24142"/>
  <c r="AR70" i="24142"/>
  <c r="AR347" i="23917"/>
  <c r="AR78" i="23917"/>
  <c r="DI362" i="24142"/>
  <c r="DI428" i="23917"/>
  <c r="DI368" i="24142"/>
  <c r="DI434" i="23917"/>
  <c r="DI367" i="24142"/>
  <c r="DI433" i="23917"/>
  <c r="X68" i="24142"/>
  <c r="X76" i="23917"/>
  <c r="G14" i="23917"/>
  <c r="F14" i="23917"/>
  <c r="BK14" i="23917"/>
  <c r="BJ14" i="23917"/>
  <c r="DD125" i="24142"/>
  <c r="DD227" i="23917"/>
  <c r="DV188" i="24142"/>
  <c r="DV125" i="23917"/>
  <c r="DT159" i="24142"/>
  <c r="DT313" i="23917"/>
  <c r="AY245" i="23917"/>
  <c r="AY219" i="23917"/>
  <c r="B226" i="24142"/>
  <c r="B164" i="23917"/>
  <c r="J363" i="24142"/>
  <c r="J429" i="23917"/>
  <c r="J362" i="24142"/>
  <c r="J428" i="23917"/>
  <c r="J396" i="24142"/>
  <c r="J462" i="23917"/>
  <c r="J367" i="24142"/>
  <c r="J433" i="23917"/>
  <c r="AV273" i="23917"/>
  <c r="AV221" i="23917"/>
  <c r="BO14" i="23917"/>
  <c r="BN14" i="23917"/>
  <c r="DK394" i="24142"/>
  <c r="DK460" i="23917"/>
  <c r="DL383" i="24142"/>
  <c r="DL449" i="23917"/>
  <c r="DR189" i="24142"/>
  <c r="DR11" i="24142"/>
  <c r="DR126" i="23917"/>
  <c r="S14" i="23917"/>
  <c r="R14" i="23917"/>
  <c r="DF126" i="24142"/>
  <c r="DF228" i="23917"/>
  <c r="J395" i="24142"/>
  <c r="J461" i="23917"/>
  <c r="S383" i="24142"/>
  <c r="S449" i="23917"/>
  <c r="DE200" i="24142"/>
  <c r="DE138" i="23917"/>
  <c r="DJ273" i="23917"/>
  <c r="DJ221" i="23917"/>
  <c r="DJ277" i="23917"/>
  <c r="DI277" i="23917"/>
  <c r="U366" i="24142"/>
  <c r="U432" i="23917"/>
  <c r="DS200" i="24142"/>
  <c r="DS138" i="23917"/>
  <c r="DT284" i="24142"/>
  <c r="DT350" i="23917"/>
  <c r="DV122" i="24142"/>
  <c r="DV224" i="23917"/>
  <c r="DH115" i="24142"/>
  <c r="DH211" i="23917"/>
  <c r="DP14" i="24142"/>
  <c r="DN14" i="24142"/>
  <c r="DD361" i="24142"/>
  <c r="DD427" i="23917"/>
  <c r="DJ393" i="24142"/>
  <c r="DJ459" i="23917"/>
  <c r="U396" i="24142"/>
  <c r="U462" i="23917"/>
  <c r="DL200" i="24142"/>
  <c r="DL138" i="23917"/>
  <c r="BW122" i="24142"/>
  <c r="BW224" i="23917"/>
  <c r="AX8" i="23917"/>
  <c r="BG8" i="23917"/>
  <c r="AY8" i="23917"/>
  <c r="DX10" i="24142"/>
  <c r="DH188" i="24142"/>
  <c r="DH125" i="23917"/>
  <c r="DJ274" i="23917"/>
  <c r="DI274" i="23917"/>
  <c r="DF325" i="24142"/>
  <c r="DF391" i="23917"/>
  <c r="U367" i="24142"/>
  <c r="U433" i="23917"/>
  <c r="DR188" i="24142"/>
  <c r="DR125" i="23917"/>
  <c r="DJ126" i="24142"/>
  <c r="DJ228" i="23917"/>
  <c r="DV189" i="24142"/>
  <c r="DV11" i="24142"/>
  <c r="DV126" i="23917"/>
  <c r="F68" i="24142"/>
  <c r="F76" i="23917"/>
  <c r="C424" i="24142"/>
  <c r="C15" i="23917"/>
  <c r="DJ116" i="24142"/>
  <c r="DJ8" i="24142"/>
  <c r="DJ212" i="23917"/>
  <c r="AO14" i="23917"/>
  <c r="AN14" i="23917"/>
  <c r="BZ68" i="24142"/>
  <c r="BZ76" i="23917"/>
  <c r="DD115" i="24142"/>
  <c r="DD211" i="23917"/>
  <c r="P192" i="24142"/>
  <c r="P69" i="24142"/>
  <c r="P130" i="23917"/>
  <c r="P77" i="23917"/>
  <c r="X383" i="24142"/>
  <c r="X449" i="23917"/>
  <c r="DF197" i="24142"/>
  <c r="DF135" i="23917"/>
  <c r="DP188" i="24142"/>
  <c r="DP125" i="23917"/>
  <c r="DN189" i="24142"/>
  <c r="DN11" i="24142"/>
  <c r="DN126" i="23917"/>
  <c r="D322" i="24142"/>
  <c r="D71" i="24142"/>
  <c r="D388" i="23917"/>
  <c r="BB68" i="24142"/>
  <c r="BB76" i="23917"/>
  <c r="DT188" i="24142"/>
  <c r="DT125" i="23917"/>
  <c r="D68" i="24142"/>
  <c r="D76" i="23917"/>
  <c r="BE14" i="23917"/>
  <c r="BD14" i="23917"/>
  <c r="DJ361" i="24142"/>
  <c r="DJ427" i="23917"/>
  <c r="DV152" i="24142"/>
  <c r="DV303" i="23917"/>
  <c r="AA14" i="23917"/>
  <c r="Z14" i="23917"/>
  <c r="DC15" i="24142"/>
  <c r="DC15" i="23917"/>
  <c r="DH200" i="24142"/>
  <c r="DH138" i="23917"/>
  <c r="DD116" i="24142"/>
  <c r="DD8" i="24142"/>
  <c r="DD212" i="23917"/>
  <c r="DC122" i="24142"/>
  <c r="DC224" i="23917"/>
  <c r="R226" i="24142"/>
  <c r="R164" i="23917"/>
  <c r="AC14" i="23917"/>
  <c r="AB14" i="23917"/>
  <c r="DC200" i="24142"/>
  <c r="DC138" i="23917"/>
  <c r="DI363" i="24142"/>
  <c r="DI429" i="23917"/>
  <c r="DI396" i="24142"/>
  <c r="DI462" i="23917"/>
  <c r="DI366" i="24142"/>
  <c r="DI432" i="23917"/>
  <c r="R240" i="24142"/>
  <c r="R176" i="23917"/>
  <c r="P247" i="24142"/>
  <c r="P196" i="24142"/>
  <c r="Y14" i="23917"/>
  <c r="X14" i="23917"/>
  <c r="DF125" i="24142"/>
  <c r="DF227" i="23917"/>
  <c r="T76" i="24142"/>
  <c r="T80" i="23917"/>
  <c r="DK219" i="23917"/>
  <c r="DK245" i="23917"/>
  <c r="R192" i="24142"/>
  <c r="R69" i="24142"/>
  <c r="R130" i="23917"/>
  <c r="R77" i="23917"/>
  <c r="DF16" i="24142"/>
  <c r="DF16" i="23917"/>
  <c r="J368" i="24142"/>
  <c r="J434" i="23917"/>
  <c r="J366" i="24142"/>
  <c r="J432" i="23917"/>
  <c r="I424" i="24142"/>
  <c r="I15" i="23917"/>
  <c r="Q14" i="23917"/>
  <c r="P14" i="23917"/>
  <c r="DH116" i="24142"/>
  <c r="DH8" i="24142"/>
  <c r="DH212" i="23917"/>
  <c r="DG122" i="24142"/>
  <c r="DG224" i="23917"/>
  <c r="AV274" i="23917"/>
  <c r="DK395" i="24142"/>
  <c r="DK461" i="23917"/>
  <c r="DK389" i="24142"/>
  <c r="DK455" i="23917"/>
  <c r="DQ200" i="24142"/>
  <c r="DQ138" i="23917"/>
  <c r="DD126" i="24142"/>
  <c r="DD228" i="23917"/>
  <c r="DV153" i="24142"/>
  <c r="DV9" i="24142"/>
  <c r="DV304" i="23917"/>
  <c r="DU159" i="24142"/>
  <c r="DU313" i="23917"/>
  <c r="T68" i="24142"/>
  <c r="T76" i="23917"/>
  <c r="J394" i="24142"/>
  <c r="J460" i="23917"/>
  <c r="DF189" i="24142"/>
  <c r="DF11" i="24142"/>
  <c r="DF126" i="23917"/>
  <c r="DJ200" i="24142"/>
  <c r="DJ138" i="23917"/>
  <c r="DK258" i="23917"/>
  <c r="DK220" i="23917"/>
  <c r="DT189" i="24142"/>
  <c r="DT11" i="24142"/>
  <c r="DT126" i="23917"/>
  <c r="P236" i="24142"/>
  <c r="P172" i="23917"/>
  <c r="BN8" i="23917"/>
  <c r="BO8" i="23917"/>
  <c r="BW8" i="23917"/>
  <c r="DD205" i="24142"/>
  <c r="DD143" i="23917"/>
  <c r="DH125" i="24142"/>
  <c r="DH227" i="23917"/>
  <c r="DP284" i="24142"/>
  <c r="DP350" i="23917"/>
  <c r="BZ192" i="24142"/>
  <c r="BZ69" i="24142"/>
  <c r="BZ130" i="23917"/>
  <c r="BZ77" i="23917"/>
  <c r="J393" i="24142"/>
  <c r="J459" i="23917"/>
  <c r="W395" i="24142"/>
  <c r="W461" i="23917"/>
  <c r="DN188" i="24142"/>
  <c r="DN125" i="23917"/>
  <c r="U362" i="24142"/>
  <c r="U428" i="23917"/>
  <c r="DT122" i="24142"/>
  <c r="DT224" i="23917"/>
  <c r="DH126" i="24142"/>
  <c r="DH228" i="23917"/>
  <c r="DH189" i="24142"/>
  <c r="DH11" i="24142"/>
  <c r="DH126" i="23917"/>
  <c r="DF14" i="24142"/>
  <c r="DH14" i="24142" s="1"/>
  <c r="W394" i="24142"/>
  <c r="W460" i="23917"/>
  <c r="DD188" i="24142"/>
  <c r="DD125" i="23917"/>
  <c r="DH361" i="24142"/>
  <c r="DH427" i="23917"/>
  <c r="U368" i="24142"/>
  <c r="U434" i="23917"/>
  <c r="EB290" i="24142"/>
  <c r="BQ313" i="23917"/>
  <c r="BQ159" i="24142"/>
  <c r="BZ76" i="24142"/>
  <c r="BZ80" i="23917"/>
  <c r="BZ78" i="24142"/>
  <c r="BZ82" i="23917"/>
  <c r="BZ77" i="24142"/>
  <c r="BZ81" i="23917"/>
  <c r="CC14" i="23917"/>
  <c r="CB14" i="23917"/>
  <c r="DZ9" i="24142"/>
  <c r="DZ153" i="24142"/>
  <c r="DZ304" i="23917"/>
  <c r="DY159" i="24142"/>
  <c r="DY313" i="23917"/>
  <c r="DZ122" i="24142"/>
  <c r="DZ224" i="23917"/>
  <c r="BY313" i="23917"/>
  <c r="BY159" i="24142"/>
  <c r="CJ9" i="23917"/>
  <c r="DZ152" i="24142"/>
  <c r="DZ303" i="23917"/>
  <c r="CA130" i="23917"/>
  <c r="CA67" i="24142"/>
  <c r="CA308" i="23917"/>
  <c r="CA347" i="23917"/>
  <c r="CA81" i="23917"/>
  <c r="DX122" i="24142"/>
  <c r="DX224" i="23917"/>
  <c r="CE122" i="24142"/>
  <c r="CE224" i="23917"/>
  <c r="CI14" i="23917"/>
  <c r="CH14" i="23917"/>
  <c r="DX152" i="24142"/>
  <c r="DX303" i="23917"/>
  <c r="CM14" i="23917"/>
  <c r="CL14" i="23917"/>
  <c r="DZ200" i="24142"/>
  <c r="DZ138" i="23917"/>
  <c r="CF9" i="23917"/>
  <c r="CC159" i="24142"/>
  <c r="CC313" i="23917"/>
  <c r="CG14" i="23917"/>
  <c r="CF14" i="23917"/>
  <c r="DX153" i="24142"/>
  <c r="DX9" i="24142"/>
  <c r="DX304" i="23917"/>
  <c r="CA68" i="24142"/>
  <c r="CA119" i="24142"/>
  <c r="CA66" i="24142"/>
  <c r="CA216" i="23917"/>
  <c r="CA74" i="23917"/>
  <c r="CA76" i="24142"/>
  <c r="CA87" i="24142"/>
  <c r="CA90" i="23917"/>
  <c r="CD8" i="23917"/>
  <c r="CM8" i="23917"/>
  <c r="CE8" i="23917"/>
  <c r="CK159" i="24142"/>
  <c r="CK313" i="23917"/>
  <c r="CG159" i="24142"/>
  <c r="CG313" i="23917"/>
  <c r="CM122" i="24142"/>
  <c r="CM224" i="23917"/>
  <c r="CS270" i="24142"/>
  <c r="CS335" i="23917"/>
  <c r="CS188" i="24142"/>
  <c r="CS125" i="23917"/>
  <c r="EM242" i="24142"/>
  <c r="EM178" i="23917"/>
  <c r="CS492" i="24142"/>
  <c r="CS559" i="23917"/>
  <c r="EG140" i="24142"/>
  <c r="EG291" i="23917"/>
  <c r="EB61" i="24142"/>
  <c r="EB70" i="23917"/>
  <c r="CP494" i="24142"/>
  <c r="CP17" i="24142"/>
  <c r="CP560" i="23917"/>
  <c r="CP561" i="23917" s="1"/>
  <c r="EB490" i="24142"/>
  <c r="EB557" i="23917"/>
  <c r="EI48" i="24142"/>
  <c r="EI57" i="23917"/>
  <c r="EJ242" i="24142"/>
  <c r="EJ178" i="23917"/>
  <c r="EH48" i="24142"/>
  <c r="EH57" i="23917"/>
  <c r="EF140" i="24142"/>
  <c r="EF291" i="23917"/>
  <c r="CQ152" i="24142"/>
  <c r="CQ303" i="23917"/>
  <c r="CR275" i="24142"/>
  <c r="CR340" i="23917"/>
  <c r="CP275" i="24142"/>
  <c r="CP340" i="23917"/>
  <c r="CQ491" i="24142"/>
  <c r="CQ558" i="23917"/>
  <c r="EI254" i="23917"/>
  <c r="EJ254" i="23917"/>
  <c r="EM254" i="23917"/>
  <c r="CS269" i="24142"/>
  <c r="CS334" i="23917"/>
  <c r="CR491" i="24142"/>
  <c r="CR558" i="23917"/>
  <c r="CS162" i="24142"/>
  <c r="CS316" i="23917"/>
  <c r="EA289" i="24142"/>
  <c r="CO159" i="24142"/>
  <c r="CO313" i="23917"/>
  <c r="CR152" i="24142"/>
  <c r="CR303" i="23917"/>
  <c r="CS273" i="24142"/>
  <c r="CS338" i="23917"/>
  <c r="CQ273" i="24142"/>
  <c r="CQ338" i="23917"/>
  <c r="EA270" i="24142"/>
  <c r="EA335" i="23917"/>
  <c r="EA269" i="24142"/>
  <c r="EA334" i="23917"/>
  <c r="EB25" i="24142"/>
  <c r="EB71" i="23917"/>
  <c r="EB28" i="23917"/>
  <c r="EB62" i="24142"/>
  <c r="F97" i="23917"/>
  <c r="F19" i="23917"/>
  <c r="J97" i="23917"/>
  <c r="J19" i="23917"/>
  <c r="BZ29" i="23917"/>
  <c r="BZ30" i="23917" s="1"/>
  <c r="BZ22" i="23917"/>
  <c r="BZ23" i="23917" s="1"/>
  <c r="BM14" i="23917"/>
  <c r="AY253" i="23917"/>
  <c r="AX264" i="23917"/>
  <c r="AX265" i="23917"/>
  <c r="AX263" i="23917"/>
  <c r="AX268" i="23917"/>
  <c r="D97" i="23917"/>
  <c r="D19" i="23917"/>
  <c r="DV8" i="23917"/>
  <c r="DD11" i="23917"/>
  <c r="DD10" i="23917"/>
  <c r="BG10" i="23917"/>
  <c r="X97" i="23917"/>
  <c r="X71" i="24142"/>
  <c r="X19" i="23917"/>
  <c r="BO10" i="23917"/>
  <c r="DZ8" i="23917"/>
  <c r="AZ250" i="23917"/>
  <c r="BA240" i="23917"/>
  <c r="AZ249" i="23917"/>
  <c r="DM240" i="23917"/>
  <c r="AU14" i="23917"/>
  <c r="AW9" i="23917"/>
  <c r="AV10" i="23917"/>
  <c r="DT9" i="23917"/>
  <c r="DW14" i="23917"/>
  <c r="DM253" i="23917"/>
  <c r="DL310" i="23917"/>
  <c r="BU9" i="23917"/>
  <c r="BT10" i="23917"/>
  <c r="DS11" i="23917"/>
  <c r="DK14" i="23917"/>
  <c r="DL11" i="23917"/>
  <c r="AK10" i="23917"/>
  <c r="DD13" i="23917"/>
  <c r="DL17" i="23917"/>
  <c r="DT8" i="23917"/>
  <c r="DS10" i="23917"/>
  <c r="BM9" i="23917"/>
  <c r="BL10" i="23917"/>
  <c r="DP12" i="23917"/>
  <c r="AE14" i="23917"/>
  <c r="DP9" i="23917"/>
  <c r="DT12" i="23917"/>
  <c r="DH17" i="23917"/>
  <c r="R71" i="24142"/>
  <c r="R19" i="23917"/>
  <c r="AM14" i="23917"/>
  <c r="DJ17" i="23917"/>
  <c r="DF11" i="23917"/>
  <c r="AG14" i="23917"/>
  <c r="BW14" i="23917"/>
  <c r="DL8" i="23917"/>
  <c r="DK10" i="23917"/>
  <c r="K14" i="23917"/>
  <c r="BQ14" i="23917"/>
  <c r="BU14" i="23917"/>
  <c r="DO14" i="23917"/>
  <c r="BW10" i="23917"/>
  <c r="AT97" i="23917"/>
  <c r="AT75" i="24142"/>
  <c r="AT71" i="24142"/>
  <c r="AT74" i="24142"/>
  <c r="AT73" i="24142"/>
  <c r="AT19" i="23917"/>
  <c r="C74" i="24142"/>
  <c r="BA9" i="23917"/>
  <c r="AZ10" i="23917"/>
  <c r="P97" i="23917"/>
  <c r="P71" i="24142"/>
  <c r="P19" i="23917"/>
  <c r="CI10" i="23917"/>
  <c r="L19" i="23917"/>
  <c r="DJ9" i="23917"/>
  <c r="B19" i="23917"/>
  <c r="DI14" i="23917"/>
  <c r="DJ11" i="23917"/>
  <c r="AD97" i="23917"/>
  <c r="AD75" i="24142"/>
  <c r="AD71" i="24142"/>
  <c r="AD74" i="24142"/>
  <c r="AD73" i="24142"/>
  <c r="AD19" i="23917"/>
  <c r="AS10" i="23917"/>
  <c r="DR12" i="23917"/>
  <c r="DP17" i="23917"/>
  <c r="EJ272" i="23917"/>
  <c r="DX17" i="23917"/>
  <c r="CM10" i="23917"/>
  <c r="DL268" i="23917"/>
  <c r="H97" i="23917"/>
  <c r="H19" i="23917"/>
  <c r="DR17" i="23917"/>
  <c r="DG8" i="23917"/>
  <c r="AW274" i="23917"/>
  <c r="DL9" i="23917"/>
  <c r="DT17" i="23917"/>
  <c r="DQ11" i="23917"/>
  <c r="DF13" i="23917"/>
  <c r="C14" i="23917"/>
  <c r="BC14" i="23917"/>
  <c r="CC9" i="23917"/>
  <c r="CB10" i="23917"/>
  <c r="DI10" i="23917"/>
  <c r="DJ8" i="23917"/>
  <c r="AW14" i="23917"/>
  <c r="DN17" i="23917"/>
  <c r="DZ11" i="23917"/>
  <c r="DG14" i="23917"/>
  <c r="DH11" i="23917"/>
  <c r="BI9" i="23917"/>
  <c r="BH10" i="23917"/>
  <c r="CE14" i="23917"/>
  <c r="AG10" i="23917"/>
  <c r="CK9" i="23917"/>
  <c r="CJ10" i="23917"/>
  <c r="DH9" i="23917"/>
  <c r="I14" i="23917"/>
  <c r="CA22" i="23917"/>
  <c r="BY9" i="23917"/>
  <c r="BX10" i="23917"/>
  <c r="AP97" i="23917"/>
  <c r="AP75" i="24142"/>
  <c r="AP71" i="24142"/>
  <c r="AP74" i="24142"/>
  <c r="AP73" i="24142"/>
  <c r="AP19" i="23917"/>
  <c r="BE9" i="23917"/>
  <c r="BD10" i="23917"/>
  <c r="DP8" i="23917"/>
  <c r="DO10" i="23917"/>
  <c r="DM11" i="23917"/>
  <c r="BB75" i="24142"/>
  <c r="DR9" i="23917"/>
  <c r="BQ9" i="23917"/>
  <c r="BP10" i="23917"/>
  <c r="AR97" i="23917"/>
  <c r="AR74" i="24142"/>
  <c r="AR73" i="24142"/>
  <c r="AR75" i="24142"/>
  <c r="AR71" i="24142"/>
  <c r="AR19" i="23917"/>
  <c r="DZ17" i="23917"/>
  <c r="CG9" i="23917"/>
  <c r="CF10" i="23917"/>
  <c r="CO9" i="23917"/>
  <c r="CN10" i="23917"/>
  <c r="DF17" i="23917"/>
  <c r="CK14" i="23917"/>
  <c r="DX8" i="23917"/>
  <c r="DW10" i="23917"/>
  <c r="DU9" i="23917"/>
  <c r="T97" i="23917"/>
  <c r="T19" i="23917"/>
  <c r="DN9" i="23917"/>
  <c r="BG14" i="23917"/>
  <c r="DR8" i="23917"/>
  <c r="AQ14" i="23917"/>
  <c r="CO14" i="23917"/>
  <c r="DF10" i="23917"/>
  <c r="EB334" i="23917" l="1"/>
  <c r="EA338" i="23917"/>
  <c r="EH259" i="23917"/>
  <c r="EG259" i="23917"/>
  <c r="EK140" i="24142"/>
  <c r="EK291" i="23917"/>
  <c r="CX188" i="24142"/>
  <c r="CX125" i="23917"/>
  <c r="CX492" i="24142"/>
  <c r="CX559" i="23917"/>
  <c r="CW494" i="24142"/>
  <c r="CW17" i="24142"/>
  <c r="CW560" i="23917"/>
  <c r="CY490" i="24142"/>
  <c r="CY557" i="23917"/>
  <c r="CW62" i="24142"/>
  <c r="CW25" i="24142"/>
  <c r="CW71" i="23917"/>
  <c r="CW28" i="23917"/>
  <c r="CX162" i="24142"/>
  <c r="CX316" i="23917"/>
  <c r="DA214" i="24142"/>
  <c r="DA152" i="23917"/>
  <c r="DA483" i="24142"/>
  <c r="DA549" i="23917"/>
  <c r="CV152" i="24142"/>
  <c r="CV303" i="23917"/>
  <c r="CY289" i="24142"/>
  <c r="CY355" i="23917"/>
  <c r="CU491" i="24142"/>
  <c r="CU558" i="23917"/>
  <c r="CX62" i="24142"/>
  <c r="CX25" i="24142"/>
  <c r="CX28" i="23917"/>
  <c r="CX71" i="23917"/>
  <c r="DA33" i="24142"/>
  <c r="DA39" i="23917"/>
  <c r="CZ126" i="24142"/>
  <c r="CZ228" i="23917"/>
  <c r="CY277" i="24142"/>
  <c r="CY342" i="23917"/>
  <c r="CZ115" i="24142"/>
  <c r="CZ211" i="23917"/>
  <c r="CZ272" i="24142"/>
  <c r="CZ337" i="23917"/>
  <c r="CX270" i="24142"/>
  <c r="CX335" i="23917"/>
  <c r="CV494" i="24142"/>
  <c r="CV17" i="24142"/>
  <c r="CV560" i="23917"/>
  <c r="EC488" i="24142"/>
  <c r="EC555" i="23917"/>
  <c r="DA286" i="24142"/>
  <c r="DA352" i="23917"/>
  <c r="ED483" i="24142"/>
  <c r="ED549" i="23917"/>
  <c r="DA488" i="24142"/>
  <c r="DA555" i="23917"/>
  <c r="ED266" i="24142"/>
  <c r="ED331" i="23917"/>
  <c r="EC33" i="24142"/>
  <c r="EC39" i="23917"/>
  <c r="CW188" i="24142"/>
  <c r="CW125" i="23917"/>
  <c r="CW492" i="24142"/>
  <c r="CW559" i="23917"/>
  <c r="CW162" i="24142"/>
  <c r="CW316" i="23917"/>
  <c r="CZ490" i="24142"/>
  <c r="CZ557" i="23917"/>
  <c r="CU152" i="24142"/>
  <c r="CU303" i="23917"/>
  <c r="CT273" i="24142"/>
  <c r="CT338" i="23917"/>
  <c r="CU269" i="24142"/>
  <c r="CU334" i="23917"/>
  <c r="CZ289" i="24142"/>
  <c r="CZ355" i="23917"/>
  <c r="CV269" i="24142"/>
  <c r="CV334" i="23917"/>
  <c r="CT494" i="24142"/>
  <c r="CT17" i="24142"/>
  <c r="CT560" i="23917"/>
  <c r="CT561" i="23917" s="1"/>
  <c r="CX61" i="24142"/>
  <c r="CX70" i="23917"/>
  <c r="CW61" i="24142"/>
  <c r="CW70" i="23917"/>
  <c r="CY126" i="24142"/>
  <c r="CY228" i="23917"/>
  <c r="CZ277" i="24142"/>
  <c r="CZ342" i="23917"/>
  <c r="CY115" i="24142"/>
  <c r="CY211" i="23917"/>
  <c r="DA290" i="24142"/>
  <c r="DA356" i="23917"/>
  <c r="CY272" i="24142"/>
  <c r="CY337" i="23917"/>
  <c r="EC490" i="24142"/>
  <c r="EC557" i="23917"/>
  <c r="EC286" i="24142"/>
  <c r="EC352" i="23917"/>
  <c r="EK272" i="23917"/>
  <c r="EM272" i="23917"/>
  <c r="ED145" i="24142"/>
  <c r="ED296" i="23917"/>
  <c r="ED109" i="24142"/>
  <c r="ED205" i="23917"/>
  <c r="ED487" i="24142"/>
  <c r="ED553" i="23917"/>
  <c r="EL48" i="24142"/>
  <c r="EL57" i="23917"/>
  <c r="CW270" i="24142"/>
  <c r="CW335" i="23917"/>
  <c r="EM356" i="23917"/>
  <c r="EM290" i="24142"/>
  <c r="CV491" i="24142"/>
  <c r="CV558" i="23917"/>
  <c r="EG182" i="24142"/>
  <c r="EG119" i="23917"/>
  <c r="EI329" i="23917"/>
  <c r="EI264" i="24142"/>
  <c r="EH264" i="24142"/>
  <c r="EH329" i="23917"/>
  <c r="EH263" i="24142"/>
  <c r="EH328" i="23917"/>
  <c r="EE296" i="23917"/>
  <c r="EE145" i="24142"/>
  <c r="EE246" i="24142"/>
  <c r="EF246" i="24142"/>
  <c r="EE109" i="24142"/>
  <c r="EE205" i="23917"/>
  <c r="EI552" i="23917"/>
  <c r="EI486" i="24142"/>
  <c r="EG481" i="24142"/>
  <c r="EG547" i="23917"/>
  <c r="EF481" i="24142"/>
  <c r="EF547" i="23917"/>
  <c r="EG482" i="24142"/>
  <c r="EG548" i="23917"/>
  <c r="EG336" i="23917"/>
  <c r="EG271" i="24142"/>
  <c r="EF271" i="24142"/>
  <c r="EF336" i="23917"/>
  <c r="ED232" i="24142"/>
  <c r="EF182" i="24142"/>
  <c r="EF119" i="23917"/>
  <c r="EI263" i="24142"/>
  <c r="EI328" i="23917"/>
  <c r="EG331" i="23917"/>
  <c r="EG266" i="24142"/>
  <c r="EH552" i="23917"/>
  <c r="EH486" i="24142"/>
  <c r="EE483" i="24142"/>
  <c r="EE549" i="23917"/>
  <c r="EF548" i="23917"/>
  <c r="EF482" i="24142"/>
  <c r="EF265" i="24142"/>
  <c r="EF330" i="23917"/>
  <c r="EG265" i="24142"/>
  <c r="EG330" i="23917"/>
  <c r="EE331" i="23917"/>
  <c r="EE266" i="24142"/>
  <c r="EE487" i="24142"/>
  <c r="EE553" i="23917"/>
  <c r="EB355" i="23917"/>
  <c r="CA29" i="23917"/>
  <c r="CA75" i="23917"/>
  <c r="CA78" i="24142"/>
  <c r="CA281" i="24142"/>
  <c r="CA79" i="23917"/>
  <c r="EB356" i="23917"/>
  <c r="CA78" i="23917"/>
  <c r="CA77" i="23917"/>
  <c r="CA69" i="24142"/>
  <c r="AF68" i="24142"/>
  <c r="AF76" i="23917"/>
  <c r="BF68" i="24142"/>
  <c r="BF76" i="23917"/>
  <c r="T281" i="24142"/>
  <c r="T70" i="24142"/>
  <c r="T347" i="23917"/>
  <c r="T78" i="23917"/>
  <c r="T156" i="24142"/>
  <c r="T67" i="24142"/>
  <c r="T308" i="23917"/>
  <c r="T75" i="23917"/>
  <c r="T357" i="24142"/>
  <c r="T423" i="23917"/>
  <c r="T73" i="24142"/>
  <c r="T77" i="24142"/>
  <c r="T81" i="23917"/>
  <c r="BB192" i="24142"/>
  <c r="BB69" i="24142"/>
  <c r="BB130" i="23917"/>
  <c r="BB77" i="23917"/>
  <c r="B192" i="24142"/>
  <c r="B69" i="24142"/>
  <c r="B130" i="23917"/>
  <c r="B77" i="23917"/>
  <c r="DK393" i="24142"/>
  <c r="DK459" i="23917"/>
  <c r="S368" i="24142"/>
  <c r="S434" i="23917"/>
  <c r="K226" i="24142"/>
  <c r="K164" i="23917"/>
  <c r="B231" i="24142"/>
  <c r="B169" i="23917"/>
  <c r="B133" i="23917"/>
  <c r="S240" i="24142"/>
  <c r="S176" i="23917"/>
  <c r="R250" i="24142"/>
  <c r="R184" i="23917"/>
  <c r="F192" i="24142"/>
  <c r="F69" i="24142"/>
  <c r="F130" i="23917"/>
  <c r="F77" i="23917"/>
  <c r="AR119" i="24142"/>
  <c r="AR66" i="24142"/>
  <c r="AR74" i="23917"/>
  <c r="AR216" i="23917"/>
  <c r="AR192" i="24142"/>
  <c r="AR69" i="24142"/>
  <c r="AR130" i="23917"/>
  <c r="AR77" i="23917"/>
  <c r="AR87" i="24142"/>
  <c r="AR90" i="23917"/>
  <c r="AD68" i="24142"/>
  <c r="AD76" i="23917"/>
  <c r="R237" i="24142"/>
  <c r="R173" i="23917"/>
  <c r="B68" i="24142"/>
  <c r="B76" i="23917"/>
  <c r="L68" i="24142"/>
  <c r="L76" i="23917"/>
  <c r="N201" i="24142"/>
  <c r="N139" i="23917"/>
  <c r="C240" i="24142"/>
  <c r="C176" i="23917"/>
  <c r="B245" i="24142"/>
  <c r="B134" i="23917"/>
  <c r="B181" i="23917"/>
  <c r="BB119" i="24142"/>
  <c r="BB66" i="24142"/>
  <c r="BB74" i="23917"/>
  <c r="BB216" i="23917"/>
  <c r="BB281" i="24142"/>
  <c r="BB70" i="24142"/>
  <c r="BB347" i="23917"/>
  <c r="BB78" i="23917"/>
  <c r="BC71" i="24142"/>
  <c r="BB71" i="24142"/>
  <c r="BC97" i="23917"/>
  <c r="BB97" i="23917"/>
  <c r="DG205" i="24142"/>
  <c r="DG143" i="23917"/>
  <c r="V362" i="24142"/>
  <c r="V428" i="23917"/>
  <c r="V396" i="24142"/>
  <c r="V462" i="23917"/>
  <c r="P68" i="24142"/>
  <c r="P76" i="23917"/>
  <c r="B383" i="24142"/>
  <c r="B449" i="23917"/>
  <c r="AP76" i="24142"/>
  <c r="AP80" i="23917"/>
  <c r="AP119" i="24142"/>
  <c r="AP66" i="24142"/>
  <c r="AP216" i="23917"/>
  <c r="AP74" i="23917"/>
  <c r="AP78" i="24142"/>
  <c r="AP82" i="23917"/>
  <c r="AP87" i="24142"/>
  <c r="AP90" i="23917"/>
  <c r="AT68" i="24142"/>
  <c r="AT76" i="23917"/>
  <c r="DE201" i="24142"/>
  <c r="DE139" i="23917"/>
  <c r="J192" i="24142"/>
  <c r="J69" i="24142"/>
  <c r="J130" i="23917"/>
  <c r="J77" i="23917"/>
  <c r="S362" i="24142"/>
  <c r="S428" i="23917"/>
  <c r="H281" i="24142"/>
  <c r="H70" i="24142"/>
  <c r="H347" i="23917"/>
  <c r="H78" i="23917"/>
  <c r="H119" i="24142"/>
  <c r="H66" i="24142"/>
  <c r="H74" i="23917"/>
  <c r="H216" i="23917"/>
  <c r="H78" i="24142"/>
  <c r="H82" i="23917"/>
  <c r="H357" i="24142"/>
  <c r="H423" i="23917"/>
  <c r="H73" i="24142"/>
  <c r="H87" i="24142"/>
  <c r="H90" i="23917"/>
  <c r="DK221" i="23917"/>
  <c r="DK273" i="23917"/>
  <c r="AD76" i="24142"/>
  <c r="AD80" i="23917"/>
  <c r="AD281" i="24142"/>
  <c r="AD70" i="24142"/>
  <c r="AD347" i="23917"/>
  <c r="AD78" i="23917"/>
  <c r="AD87" i="24142"/>
  <c r="AD90" i="23917"/>
  <c r="B119" i="24142"/>
  <c r="B66" i="24142"/>
  <c r="B74" i="23917"/>
  <c r="B216" i="23917"/>
  <c r="B156" i="24142"/>
  <c r="B67" i="24142"/>
  <c r="B308" i="23917"/>
  <c r="B75" i="23917"/>
  <c r="B357" i="24142"/>
  <c r="B423" i="23917"/>
  <c r="B73" i="24142"/>
  <c r="B78" i="24142"/>
  <c r="B82" i="23917"/>
  <c r="C97" i="23917"/>
  <c r="B97" i="23917"/>
  <c r="L322" i="24142"/>
  <c r="L71" i="24142"/>
  <c r="L388" i="23917"/>
  <c r="L192" i="24142"/>
  <c r="L69" i="24142"/>
  <c r="L130" i="23917"/>
  <c r="L77" i="23917"/>
  <c r="L156" i="24142"/>
  <c r="L67" i="24142"/>
  <c r="L308" i="23917"/>
  <c r="L75" i="23917"/>
  <c r="L77" i="24142"/>
  <c r="L81" i="23917"/>
  <c r="L357" i="24142"/>
  <c r="L423" i="23917"/>
  <c r="L73" i="24142"/>
  <c r="L78" i="24142"/>
  <c r="L82" i="23917"/>
  <c r="M97" i="23917"/>
  <c r="L97" i="23917"/>
  <c r="DD15" i="24142"/>
  <c r="DD15" i="23917"/>
  <c r="P119" i="24142"/>
  <c r="P66" i="24142"/>
  <c r="P74" i="23917"/>
  <c r="P216" i="23917"/>
  <c r="P357" i="24142"/>
  <c r="P423" i="23917"/>
  <c r="P73" i="24142"/>
  <c r="P78" i="24142"/>
  <c r="P82" i="23917"/>
  <c r="AT156" i="24142"/>
  <c r="AT67" i="24142"/>
  <c r="AT308" i="23917"/>
  <c r="AT75" i="23917"/>
  <c r="AT281" i="24142"/>
  <c r="AT70" i="24142"/>
  <c r="AT347" i="23917"/>
  <c r="AT78" i="23917"/>
  <c r="AT78" i="24142"/>
  <c r="AT82" i="23917"/>
  <c r="AT77" i="24142"/>
  <c r="AT81" i="23917"/>
  <c r="BV68" i="24142"/>
  <c r="BV76" i="23917"/>
  <c r="F322" i="24142"/>
  <c r="F71" i="24142"/>
  <c r="F388" i="23917"/>
  <c r="DF14" i="23917"/>
  <c r="DE14" i="23917"/>
  <c r="AW277" i="23917"/>
  <c r="AV277" i="23917"/>
  <c r="S366" i="24142"/>
  <c r="S432" i="23917"/>
  <c r="R76" i="24142"/>
  <c r="R80" i="23917"/>
  <c r="R156" i="24142"/>
  <c r="R67" i="24142"/>
  <c r="R308" i="23917"/>
  <c r="R75" i="23917"/>
  <c r="R424" i="24142"/>
  <c r="R74" i="24142"/>
  <c r="R78" i="24142"/>
  <c r="R82" i="23917"/>
  <c r="S97" i="23917"/>
  <c r="R97" i="23917"/>
  <c r="Y383" i="24142"/>
  <c r="Y449" i="23917"/>
  <c r="X395" i="24142"/>
  <c r="X461" i="23917"/>
  <c r="DF15" i="24142"/>
  <c r="DF15" i="23917"/>
  <c r="DX11" i="23917"/>
  <c r="DU11" i="23917"/>
  <c r="DL260" i="23917"/>
  <c r="DK260" i="23917"/>
  <c r="J322" i="24142"/>
  <c r="J71" i="24142"/>
  <c r="J388" i="23917"/>
  <c r="S363" i="24142"/>
  <c r="S429" i="23917"/>
  <c r="DL245" i="23917"/>
  <c r="DL219" i="23917"/>
  <c r="AZ245" i="23917"/>
  <c r="AZ219" i="23917"/>
  <c r="X119" i="24142"/>
  <c r="X66" i="24142"/>
  <c r="X74" i="23917"/>
  <c r="X216" i="23917"/>
  <c r="X357" i="24142"/>
  <c r="X423" i="23917"/>
  <c r="X73" i="24142"/>
  <c r="X77" i="24142"/>
  <c r="X81" i="23917"/>
  <c r="AR68" i="24142"/>
  <c r="AR76" i="23917"/>
  <c r="D192" i="24142"/>
  <c r="D69" i="24142"/>
  <c r="D130" i="23917"/>
  <c r="D77" i="23917"/>
  <c r="D119" i="24142"/>
  <c r="D66" i="24142"/>
  <c r="D74" i="23917"/>
  <c r="D216" i="23917"/>
  <c r="D156" i="24142"/>
  <c r="D67" i="24142"/>
  <c r="D308" i="23917"/>
  <c r="D75" i="23917"/>
  <c r="D78" i="24142"/>
  <c r="D82" i="23917"/>
  <c r="D357" i="24142"/>
  <c r="D423" i="23917"/>
  <c r="D73" i="24142"/>
  <c r="D87" i="24142"/>
  <c r="D90" i="23917"/>
  <c r="AP68" i="24142"/>
  <c r="AP76" i="23917"/>
  <c r="J119" i="24142"/>
  <c r="J66" i="24142"/>
  <c r="J74" i="23917"/>
  <c r="J216" i="23917"/>
  <c r="J76" i="24142"/>
  <c r="J80" i="23917"/>
  <c r="J357" i="24142"/>
  <c r="J423" i="23917"/>
  <c r="J73" i="24142"/>
  <c r="J78" i="24142"/>
  <c r="J82" i="23917"/>
  <c r="J87" i="24142"/>
  <c r="J90" i="23917"/>
  <c r="F119" i="24142"/>
  <c r="F66" i="24142"/>
  <c r="F74" i="23917"/>
  <c r="F216" i="23917"/>
  <c r="F156" i="24142"/>
  <c r="F67" i="24142"/>
  <c r="F308" i="23917"/>
  <c r="F75" i="23917"/>
  <c r="F77" i="24142"/>
  <c r="F81" i="23917"/>
  <c r="F87" i="24142"/>
  <c r="F90" i="23917"/>
  <c r="DR200" i="24142"/>
  <c r="DR138" i="23917"/>
  <c r="DJ396" i="24142"/>
  <c r="DJ462" i="23917"/>
  <c r="DD200" i="24142"/>
  <c r="DD138" i="23917"/>
  <c r="G68" i="24142"/>
  <c r="G76" i="23917"/>
  <c r="X192" i="24142"/>
  <c r="X69" i="24142"/>
  <c r="X130" i="23917"/>
  <c r="X77" i="23917"/>
  <c r="DJ368" i="24142"/>
  <c r="DJ434" i="23917"/>
  <c r="DD201" i="24142"/>
  <c r="DD139" i="23917"/>
  <c r="W393" i="24142"/>
  <c r="W459" i="23917"/>
  <c r="E76" i="24142"/>
  <c r="E80" i="23917"/>
  <c r="BZ72" i="24142"/>
  <c r="BZ79" i="23917"/>
  <c r="DF200" i="24142"/>
  <c r="DF138" i="23917"/>
  <c r="H192" i="24142"/>
  <c r="H69" i="24142"/>
  <c r="H130" i="23917"/>
  <c r="H77" i="23917"/>
  <c r="DE76" i="24142"/>
  <c r="DE80" i="23917"/>
  <c r="S395" i="24142"/>
  <c r="S461" i="23917"/>
  <c r="T192" i="24142"/>
  <c r="T69" i="24142"/>
  <c r="T130" i="23917"/>
  <c r="T77" i="23917"/>
  <c r="T119" i="24142"/>
  <c r="T66" i="24142"/>
  <c r="T74" i="23917"/>
  <c r="T216" i="23917"/>
  <c r="T78" i="24142"/>
  <c r="T82" i="23917"/>
  <c r="U71" i="24142"/>
  <c r="T71" i="24142"/>
  <c r="T424" i="24142"/>
  <c r="T74" i="24142"/>
  <c r="T87" i="24142"/>
  <c r="T90" i="23917"/>
  <c r="DL389" i="24142"/>
  <c r="DL455" i="23917"/>
  <c r="S367" i="24142"/>
  <c r="S433" i="23917"/>
  <c r="H68" i="24142"/>
  <c r="H76" i="23917"/>
  <c r="C226" i="24142"/>
  <c r="C164" i="23917"/>
  <c r="B237" i="24142"/>
  <c r="B173" i="23917"/>
  <c r="DI240" i="24142"/>
  <c r="DI176" i="23917"/>
  <c r="R251" i="24142"/>
  <c r="R185" i="23917"/>
  <c r="R245" i="24142"/>
  <c r="R134" i="23917"/>
  <c r="R181" i="23917"/>
  <c r="DP200" i="24142"/>
  <c r="DP138" i="23917"/>
  <c r="AR76" i="24142"/>
  <c r="AR80" i="23917"/>
  <c r="AR156" i="24142"/>
  <c r="AR67" i="24142"/>
  <c r="AR308" i="23917"/>
  <c r="AR75" i="23917"/>
  <c r="AR77" i="24142"/>
  <c r="AR81" i="23917"/>
  <c r="AR78" i="24142"/>
  <c r="AR82" i="23917"/>
  <c r="S226" i="24142"/>
  <c r="S164" i="23917"/>
  <c r="R231" i="24142"/>
  <c r="R169" i="23917"/>
  <c r="R133" i="23917"/>
  <c r="I76" i="24142"/>
  <c r="I80" i="23917"/>
  <c r="N205" i="24142"/>
  <c r="N143" i="23917"/>
  <c r="B251" i="24142"/>
  <c r="B185" i="23917"/>
  <c r="K240" i="24142"/>
  <c r="K176" i="23917"/>
  <c r="B250" i="24142"/>
  <c r="B184" i="23917"/>
  <c r="D11" i="24158"/>
  <c r="BB19" i="23917"/>
  <c r="BB87" i="24142"/>
  <c r="BB90" i="23917"/>
  <c r="DG201" i="24142"/>
  <c r="DG139" i="23917"/>
  <c r="V363" i="24142"/>
  <c r="V429" i="23917"/>
  <c r="V368" i="24142"/>
  <c r="V434" i="23917"/>
  <c r="V366" i="24142"/>
  <c r="V432" i="23917"/>
  <c r="V367" i="24142"/>
  <c r="V433" i="23917"/>
  <c r="DC389" i="24142"/>
  <c r="DC455" i="23917"/>
  <c r="AP156" i="24142"/>
  <c r="AP67" i="24142"/>
  <c r="AP308" i="23917"/>
  <c r="AP75" i="23917"/>
  <c r="AP281" i="24142"/>
  <c r="AP70" i="24142"/>
  <c r="AP347" i="23917"/>
  <c r="AP78" i="23917"/>
  <c r="AP77" i="24142"/>
  <c r="AP81" i="23917"/>
  <c r="DT200" i="24142"/>
  <c r="DT138" i="23917"/>
  <c r="L76" i="24142"/>
  <c r="L80" i="23917"/>
  <c r="P76" i="24142"/>
  <c r="P80" i="23917"/>
  <c r="R68" i="24142"/>
  <c r="R76" i="23917"/>
  <c r="H322" i="24142"/>
  <c r="H71" i="24142"/>
  <c r="H388" i="23917"/>
  <c r="H77" i="24142"/>
  <c r="H81" i="23917"/>
  <c r="DK274" i="23917"/>
  <c r="AD192" i="24142"/>
  <c r="AD69" i="24142"/>
  <c r="AD130" i="23917"/>
  <c r="AD77" i="23917"/>
  <c r="AD119" i="24142"/>
  <c r="AD66" i="24142"/>
  <c r="AD74" i="23917"/>
  <c r="AD216" i="23917"/>
  <c r="AD156" i="24142"/>
  <c r="AD67" i="24142"/>
  <c r="AD308" i="23917"/>
  <c r="AD75" i="23917"/>
  <c r="AD78" i="24142"/>
  <c r="AD82" i="23917"/>
  <c r="AD77" i="24142"/>
  <c r="AD81" i="23917"/>
  <c r="P197" i="24142"/>
  <c r="P135" i="23917"/>
  <c r="B322" i="24142"/>
  <c r="B71" i="24142"/>
  <c r="B388" i="23917"/>
  <c r="B70" i="24142"/>
  <c r="B78" i="23917"/>
  <c r="B77" i="24142"/>
  <c r="B81" i="23917"/>
  <c r="B87" i="24142"/>
  <c r="B90" i="23917"/>
  <c r="L119" i="24142"/>
  <c r="L66" i="24142"/>
  <c r="L74" i="23917"/>
  <c r="L216" i="23917"/>
  <c r="L281" i="24142"/>
  <c r="L70" i="24142"/>
  <c r="L347" i="23917"/>
  <c r="L78" i="23917"/>
  <c r="L424" i="24142"/>
  <c r="L74" i="24142"/>
  <c r="L87" i="24142"/>
  <c r="L90" i="23917"/>
  <c r="F281" i="24142"/>
  <c r="F70" i="24142"/>
  <c r="F347" i="23917"/>
  <c r="F78" i="23917"/>
  <c r="P281" i="24142"/>
  <c r="P70" i="24142"/>
  <c r="P347" i="23917"/>
  <c r="P78" i="23917"/>
  <c r="P156" i="24142"/>
  <c r="P67" i="24142"/>
  <c r="P308" i="23917"/>
  <c r="P75" i="23917"/>
  <c r="P77" i="24142"/>
  <c r="P81" i="23917"/>
  <c r="P424" i="24142"/>
  <c r="P74" i="24142"/>
  <c r="P87" i="24142"/>
  <c r="P90" i="23917"/>
  <c r="AT119" i="24142"/>
  <c r="AT66" i="24142"/>
  <c r="AT216" i="23917"/>
  <c r="AT74" i="23917"/>
  <c r="AT76" i="24142"/>
  <c r="AT80" i="23917"/>
  <c r="AT87" i="24142"/>
  <c r="AT90" i="23917"/>
  <c r="J72" i="24142"/>
  <c r="J490" i="23917"/>
  <c r="J79" i="23917"/>
  <c r="R119" i="24142"/>
  <c r="R66" i="24142"/>
  <c r="R74" i="23917"/>
  <c r="R216" i="23917"/>
  <c r="R281" i="24142"/>
  <c r="R70" i="24142"/>
  <c r="R347" i="23917"/>
  <c r="R78" i="23917"/>
  <c r="R357" i="24142"/>
  <c r="R423" i="23917"/>
  <c r="R73" i="24142"/>
  <c r="R77" i="24142"/>
  <c r="R81" i="23917"/>
  <c r="R87" i="24142"/>
  <c r="R90" i="23917"/>
  <c r="Y192" i="24142"/>
  <c r="Y69" i="24142"/>
  <c r="Y77" i="23917"/>
  <c r="Y130" i="23917"/>
  <c r="DJ366" i="24142"/>
  <c r="DJ432" i="23917"/>
  <c r="E68" i="24142"/>
  <c r="E76" i="23917"/>
  <c r="X394" i="24142"/>
  <c r="X460" i="23917"/>
  <c r="X389" i="24142"/>
  <c r="X455" i="23917"/>
  <c r="F76" i="24142"/>
  <c r="F80" i="23917"/>
  <c r="DL258" i="23917"/>
  <c r="DL220" i="23917"/>
  <c r="S394" i="24142"/>
  <c r="S460" i="23917"/>
  <c r="DV159" i="24142"/>
  <c r="DV313" i="23917"/>
  <c r="S396" i="24142"/>
  <c r="S462" i="23917"/>
  <c r="AZ248" i="23917"/>
  <c r="X156" i="24142"/>
  <c r="X67" i="24142"/>
  <c r="X308" i="23917"/>
  <c r="X75" i="23917"/>
  <c r="X78" i="24142"/>
  <c r="X82" i="23917"/>
  <c r="X424" i="24142"/>
  <c r="X74" i="24142"/>
  <c r="X87" i="24142"/>
  <c r="X90" i="23917"/>
  <c r="DD14" i="23917"/>
  <c r="DC14" i="23917"/>
  <c r="D281" i="24142"/>
  <c r="D70" i="24142"/>
  <c r="D347" i="23917"/>
  <c r="D78" i="23917"/>
  <c r="E74" i="24142"/>
  <c r="D74" i="24142"/>
  <c r="D77" i="24142"/>
  <c r="D81" i="23917"/>
  <c r="AX258" i="23917"/>
  <c r="AX220" i="23917"/>
  <c r="DE205" i="24142"/>
  <c r="DE143" i="23917"/>
  <c r="J281" i="24142"/>
  <c r="J70" i="24142"/>
  <c r="J78" i="23917"/>
  <c r="J156" i="24142"/>
  <c r="J67" i="24142"/>
  <c r="J308" i="23917"/>
  <c r="J75" i="23917"/>
  <c r="J424" i="24142"/>
  <c r="J74" i="24142"/>
  <c r="J77" i="24142"/>
  <c r="J81" i="23917"/>
  <c r="G74" i="24142"/>
  <c r="F74" i="24142"/>
  <c r="F357" i="24142"/>
  <c r="F423" i="23917"/>
  <c r="F73" i="24142"/>
  <c r="F78" i="24142"/>
  <c r="F82" i="23917"/>
  <c r="AX310" i="23917"/>
  <c r="AY310" i="23917"/>
  <c r="BN10" i="23917"/>
  <c r="DL395" i="24142"/>
  <c r="DL461" i="23917"/>
  <c r="DJ363" i="24142"/>
  <c r="DJ429" i="23917"/>
  <c r="AX10" i="23917"/>
  <c r="AY10" i="23917"/>
  <c r="DL394" i="24142"/>
  <c r="DL460" i="23917"/>
  <c r="DJ367" i="24142"/>
  <c r="DJ433" i="23917"/>
  <c r="DJ362" i="24142"/>
  <c r="DJ428" i="23917"/>
  <c r="DN200" i="24142"/>
  <c r="DN138" i="23917"/>
  <c r="DV200" i="24142"/>
  <c r="DV138" i="23917"/>
  <c r="CH68" i="24142"/>
  <c r="CH76" i="23917"/>
  <c r="BB76" i="24142"/>
  <c r="BB80" i="23917"/>
  <c r="BC73" i="24142"/>
  <c r="BB73" i="24142"/>
  <c r="BC74" i="24142"/>
  <c r="BB74" i="24142"/>
  <c r="AW273" i="23917"/>
  <c r="AW221" i="23917"/>
  <c r="DX159" i="24142"/>
  <c r="DX313" i="23917"/>
  <c r="CA72" i="24142"/>
  <c r="BZ79" i="24142"/>
  <c r="BB77" i="24142"/>
  <c r="BB81" i="23917"/>
  <c r="BB78" i="24142"/>
  <c r="BB82" i="23917"/>
  <c r="DZ14" i="23917"/>
  <c r="DY14" i="23917"/>
  <c r="DY10" i="23917"/>
  <c r="DY9" i="23917"/>
  <c r="DX200" i="24142"/>
  <c r="DX138" i="23917"/>
  <c r="CD10" i="23917"/>
  <c r="DZ313" i="23917"/>
  <c r="DZ159" i="24142"/>
  <c r="BZ83" i="23917"/>
  <c r="CE10" i="23917"/>
  <c r="EB270" i="24142"/>
  <c r="EB335" i="23917"/>
  <c r="EB289" i="24142"/>
  <c r="CQ494" i="24142"/>
  <c r="CQ17" i="24142"/>
  <c r="CQ560" i="23917"/>
  <c r="EA275" i="24142"/>
  <c r="EA340" i="23917"/>
  <c r="CS491" i="24142"/>
  <c r="CS558" i="23917"/>
  <c r="CP276" i="24142"/>
  <c r="CP341" i="23917"/>
  <c r="EH140" i="24142"/>
  <c r="EH291" i="23917"/>
  <c r="EB273" i="24142"/>
  <c r="EB338" i="23917"/>
  <c r="EM48" i="24142"/>
  <c r="EM57" i="23917"/>
  <c r="EA491" i="24142"/>
  <c r="EA558" i="23917"/>
  <c r="CQ275" i="24142"/>
  <c r="CQ340" i="23917"/>
  <c r="EI140" i="24142"/>
  <c r="EI291" i="23917"/>
  <c r="CR276" i="24142"/>
  <c r="CR341" i="23917"/>
  <c r="EJ48" i="24142"/>
  <c r="EJ57" i="23917"/>
  <c r="CS275" i="24142"/>
  <c r="CS340" i="23917"/>
  <c r="CR494" i="24142"/>
  <c r="CR17" i="24142"/>
  <c r="CR560" i="23917"/>
  <c r="CR561" i="23917" s="1"/>
  <c r="CS152" i="24142"/>
  <c r="CS303" i="23917"/>
  <c r="AX75" i="24142"/>
  <c r="DQ14" i="23917"/>
  <c r="DR11" i="23917"/>
  <c r="CL19" i="23917"/>
  <c r="C19" i="23917"/>
  <c r="B22" i="23917"/>
  <c r="B23" i="23917" s="1"/>
  <c r="Q71" i="24142"/>
  <c r="BM10" i="23917"/>
  <c r="DL14" i="23917"/>
  <c r="BU10" i="23917"/>
  <c r="DN253" i="23917"/>
  <c r="DM265" i="23917"/>
  <c r="DM264" i="23917"/>
  <c r="DM263" i="23917"/>
  <c r="BB240" i="23917"/>
  <c r="DC19" i="23917"/>
  <c r="AY268" i="23917"/>
  <c r="AZ253" i="23917"/>
  <c r="DV9" i="23917"/>
  <c r="DX9" i="23917"/>
  <c r="CP17" i="23917"/>
  <c r="CO10" i="23917"/>
  <c r="CG10" i="23917"/>
  <c r="DM14" i="23917"/>
  <c r="DN11" i="23917"/>
  <c r="BY10" i="23917"/>
  <c r="CK10" i="23917"/>
  <c r="AF75" i="24142"/>
  <c r="AF19" i="23917"/>
  <c r="BI10" i="23917"/>
  <c r="DH8" i="23917"/>
  <c r="AD29" i="23917"/>
  <c r="AD22" i="23917"/>
  <c r="AD23" i="23917" s="1"/>
  <c r="L29" i="23917"/>
  <c r="L22" i="23917"/>
  <c r="L23" i="23917" s="1"/>
  <c r="M19" i="23917"/>
  <c r="P29" i="23917"/>
  <c r="P22" i="23917"/>
  <c r="P23" i="23917" s="1"/>
  <c r="Q19" i="23917"/>
  <c r="Q97" i="23917"/>
  <c r="AT29" i="23917"/>
  <c r="AT30" i="23917" s="1"/>
  <c r="AT22" i="23917"/>
  <c r="AT23" i="23917" s="1"/>
  <c r="AL75" i="24142"/>
  <c r="AU71" i="24142"/>
  <c r="AB75" i="24142"/>
  <c r="AB19" i="23917"/>
  <c r="DT10" i="23917"/>
  <c r="Z75" i="24142"/>
  <c r="Z19" i="23917"/>
  <c r="X29" i="23917"/>
  <c r="X22" i="23917"/>
  <c r="X23" i="23917" s="1"/>
  <c r="Y19" i="23917"/>
  <c r="Y97" i="23917"/>
  <c r="E97" i="23917"/>
  <c r="BR97" i="23917"/>
  <c r="BR74" i="24142"/>
  <c r="BR75" i="24142"/>
  <c r="BR73" i="24142"/>
  <c r="BR71" i="24142"/>
  <c r="BV19" i="23917"/>
  <c r="T29" i="23917"/>
  <c r="T22" i="23917"/>
  <c r="T23" i="23917" s="1"/>
  <c r="U19" i="23917"/>
  <c r="U97" i="23917"/>
  <c r="AE97" i="23917"/>
  <c r="V71" i="24142"/>
  <c r="V19" i="23917"/>
  <c r="BB29" i="23917"/>
  <c r="BC19" i="23917"/>
  <c r="BB22" i="23917"/>
  <c r="BB23" i="23917" s="1"/>
  <c r="DP10" i="23917"/>
  <c r="BE10" i="23917"/>
  <c r="AP29" i="23917"/>
  <c r="AP30" i="23917" s="1"/>
  <c r="AP22" i="23917"/>
  <c r="AP23" i="23917" s="1"/>
  <c r="DH14" i="23917"/>
  <c r="CC10" i="23917"/>
  <c r="I97" i="23917"/>
  <c r="N19" i="23917"/>
  <c r="AU97" i="23917"/>
  <c r="DP11" i="23917"/>
  <c r="DL10" i="23917"/>
  <c r="DN10" i="23917"/>
  <c r="AJ74" i="24142"/>
  <c r="AJ75" i="24142"/>
  <c r="AS71" i="24142"/>
  <c r="AJ19" i="23917"/>
  <c r="AW10" i="23917"/>
  <c r="DM268" i="23917"/>
  <c r="DN240" i="23917"/>
  <c r="DM249" i="23917"/>
  <c r="DM250" i="23917"/>
  <c r="DM248" i="23917"/>
  <c r="AH75" i="24142"/>
  <c r="AQ71" i="24142"/>
  <c r="G97" i="23917"/>
  <c r="I74" i="24142"/>
  <c r="DE19" i="23917"/>
  <c r="AR29" i="23917"/>
  <c r="AR30" i="23917" s="1"/>
  <c r="AR22" i="23917"/>
  <c r="AR23" i="23917" s="1"/>
  <c r="H22" i="23917"/>
  <c r="H23" i="23917" s="1"/>
  <c r="I19" i="23917"/>
  <c r="DL274" i="23917"/>
  <c r="DJ14" i="23917"/>
  <c r="AN97" i="23917"/>
  <c r="AN73" i="24142"/>
  <c r="AN75" i="24142"/>
  <c r="AN19" i="23917"/>
  <c r="AS74" i="24142"/>
  <c r="BQ10" i="23917"/>
  <c r="DZ9" i="23917"/>
  <c r="AE71" i="24142"/>
  <c r="CH19" i="23917"/>
  <c r="BA10" i="23917"/>
  <c r="AU73" i="24142"/>
  <c r="R29" i="23917"/>
  <c r="S19" i="23917"/>
  <c r="R22" i="23917"/>
  <c r="R23" i="23917" s="1"/>
  <c r="DV11" i="23917"/>
  <c r="DT11" i="23917"/>
  <c r="DM310" i="23917"/>
  <c r="BJ75" i="24142"/>
  <c r="BF75" i="24142"/>
  <c r="BF71" i="24142"/>
  <c r="D22" i="23917"/>
  <c r="D23" i="23917" s="1"/>
  <c r="E19" i="23917"/>
  <c r="K19" i="23917"/>
  <c r="J22" i="23917"/>
  <c r="J23" i="23917" s="1"/>
  <c r="K97" i="23917"/>
  <c r="G19" i="23917"/>
  <c r="F22" i="23917"/>
  <c r="F23" i="23917" s="1"/>
  <c r="DR10" i="23917"/>
  <c r="CV561" i="23917" l="1"/>
  <c r="EJ259" i="23917"/>
  <c r="EI259" i="23917"/>
  <c r="DP14" i="23917"/>
  <c r="AS19" i="23917"/>
  <c r="DA272" i="24142"/>
  <c r="DA337" i="23917"/>
  <c r="CY62" i="24142"/>
  <c r="CY25" i="24142"/>
  <c r="CY71" i="23917"/>
  <c r="CY28" i="23917"/>
  <c r="CU494" i="24142"/>
  <c r="CU17" i="24142"/>
  <c r="CU560" i="23917"/>
  <c r="DA289" i="24142"/>
  <c r="DA355" i="23917"/>
  <c r="CU273" i="24142"/>
  <c r="CU338" i="23917"/>
  <c r="CW152" i="24142"/>
  <c r="CW303" i="23917"/>
  <c r="CY492" i="24142"/>
  <c r="CY559" i="23917"/>
  <c r="CZ188" i="24142"/>
  <c r="CZ125" i="23917"/>
  <c r="CY61" i="24142"/>
  <c r="CY70" i="23917"/>
  <c r="CZ61" i="24142"/>
  <c r="CZ70" i="23917"/>
  <c r="DA490" i="24142"/>
  <c r="DA557" i="23917"/>
  <c r="CZ162" i="24142"/>
  <c r="CZ316" i="23917"/>
  <c r="EK263" i="24142"/>
  <c r="EK328" i="23917"/>
  <c r="EK486" i="24142"/>
  <c r="EK552" i="23917"/>
  <c r="EM552" i="23917"/>
  <c r="CW491" i="24142"/>
  <c r="CW558" i="23917"/>
  <c r="ED490" i="24142"/>
  <c r="ED557" i="23917"/>
  <c r="CY270" i="24142"/>
  <c r="CY335" i="23917"/>
  <c r="DA115" i="24142"/>
  <c r="DA211" i="23917"/>
  <c r="CX491" i="24142"/>
  <c r="CX558" i="23917"/>
  <c r="CZ270" i="24142"/>
  <c r="CZ335" i="23917"/>
  <c r="DA126" i="24142"/>
  <c r="DA228" i="23917"/>
  <c r="CV273" i="24142"/>
  <c r="CV338" i="23917"/>
  <c r="CW269" i="24142"/>
  <c r="CW334" i="23917"/>
  <c r="CX269" i="24142"/>
  <c r="CX334" i="23917"/>
  <c r="CT275" i="24142"/>
  <c r="CT340" i="23917"/>
  <c r="CX152" i="24142"/>
  <c r="CX303" i="23917"/>
  <c r="CX494" i="24142"/>
  <c r="CX17" i="24142"/>
  <c r="CX560" i="23917"/>
  <c r="CZ492" i="24142"/>
  <c r="CZ559" i="23917"/>
  <c r="CY188" i="24142"/>
  <c r="CY125" i="23917"/>
  <c r="CZ62" i="24142"/>
  <c r="CZ25" i="24142"/>
  <c r="CZ28" i="23917"/>
  <c r="CZ71" i="23917"/>
  <c r="CY162" i="24142"/>
  <c r="CY316" i="23917"/>
  <c r="CW17" i="23917"/>
  <c r="CV17" i="23917"/>
  <c r="EL140" i="24142"/>
  <c r="EL291" i="23917"/>
  <c r="EC290" i="24142"/>
  <c r="EC356" i="23917"/>
  <c r="EK264" i="24142"/>
  <c r="EK329" i="23917"/>
  <c r="EM264" i="24142"/>
  <c r="ED286" i="24142"/>
  <c r="ED352" i="23917"/>
  <c r="DA277" i="24142"/>
  <c r="DA342" i="23917"/>
  <c r="ED33" i="24142"/>
  <c r="ED39" i="23917"/>
  <c r="ED488" i="24142"/>
  <c r="ED555" i="23917"/>
  <c r="EC272" i="24142"/>
  <c r="EC337" i="23917"/>
  <c r="EI331" i="23917"/>
  <c r="EI266" i="24142"/>
  <c r="EE555" i="23917"/>
  <c r="EE488" i="24142"/>
  <c r="EE286" i="24142"/>
  <c r="EE352" i="23917"/>
  <c r="EF266" i="24142"/>
  <c r="EF331" i="23917"/>
  <c r="EH331" i="23917"/>
  <c r="EH266" i="24142"/>
  <c r="EG286" i="24142"/>
  <c r="EG352" i="23917"/>
  <c r="EM263" i="24142"/>
  <c r="EM328" i="23917"/>
  <c r="EE232" i="24142"/>
  <c r="EF232" i="24142"/>
  <c r="EH547" i="23917"/>
  <c r="EH481" i="24142"/>
  <c r="EG483" i="24142"/>
  <c r="EG549" i="23917"/>
  <c r="EJ552" i="23917"/>
  <c r="EJ486" i="24142"/>
  <c r="EG205" i="23917"/>
  <c r="EG109" i="24142"/>
  <c r="EG246" i="24142"/>
  <c r="EH246" i="24142"/>
  <c r="EJ329" i="23917"/>
  <c r="EJ264" i="24142"/>
  <c r="EH119" i="23917"/>
  <c r="EH182" i="24142"/>
  <c r="EF553" i="23917"/>
  <c r="EF487" i="24142"/>
  <c r="EG553" i="23917"/>
  <c r="EG487" i="24142"/>
  <c r="EE272" i="24142"/>
  <c r="EE337" i="23917"/>
  <c r="EI330" i="23917"/>
  <c r="EI265" i="24142"/>
  <c r="EH330" i="23917"/>
  <c r="EH265" i="24142"/>
  <c r="EF483" i="24142"/>
  <c r="EF549" i="23917"/>
  <c r="EG337" i="23917"/>
  <c r="EG272" i="24142"/>
  <c r="EJ328" i="23917"/>
  <c r="EJ263" i="24142"/>
  <c r="EH271" i="24142"/>
  <c r="EH336" i="23917"/>
  <c r="EI271" i="24142"/>
  <c r="EI336" i="23917"/>
  <c r="EI482" i="24142"/>
  <c r="EI548" i="23917"/>
  <c r="EH482" i="24142"/>
  <c r="EH548" i="23917"/>
  <c r="EI481" i="24142"/>
  <c r="EI547" i="23917"/>
  <c r="EF205" i="23917"/>
  <c r="EF109" i="24142"/>
  <c r="EF145" i="24142"/>
  <c r="EF296" i="23917"/>
  <c r="EG296" i="23917"/>
  <c r="EG145" i="24142"/>
  <c r="EI119" i="23917"/>
  <c r="EI182" i="24142"/>
  <c r="DZ10" i="23917"/>
  <c r="AT79" i="24142"/>
  <c r="CS278" i="24142"/>
  <c r="DO68" i="24142"/>
  <c r="DO76" i="23917"/>
  <c r="BD68" i="24142"/>
  <c r="BD76" i="23917"/>
  <c r="BX68" i="24142"/>
  <c r="BX76" i="23917"/>
  <c r="BT68" i="24142"/>
  <c r="BT76" i="23917"/>
  <c r="P72" i="24142"/>
  <c r="P490" i="23917"/>
  <c r="P79" i="23917"/>
  <c r="G119" i="24142"/>
  <c r="G66" i="24142"/>
  <c r="G216" i="23917"/>
  <c r="G74" i="23917"/>
  <c r="DX10" i="23917"/>
  <c r="DU10" i="23917"/>
  <c r="BF156" i="24142"/>
  <c r="BF67" i="24142"/>
  <c r="BF308" i="23917"/>
  <c r="BF75" i="23917"/>
  <c r="BF87" i="24142"/>
  <c r="BF90" i="23917"/>
  <c r="BJ156" i="24142"/>
  <c r="BJ67" i="24142"/>
  <c r="BJ308" i="23917"/>
  <c r="BJ75" i="23917"/>
  <c r="BJ192" i="24142"/>
  <c r="BJ69" i="24142"/>
  <c r="BJ130" i="23917"/>
  <c r="BJ77" i="23917"/>
  <c r="BJ119" i="24142"/>
  <c r="BJ66" i="24142"/>
  <c r="BJ74" i="23917"/>
  <c r="BJ216" i="23917"/>
  <c r="H11" i="24158"/>
  <c r="H12" i="24158" s="1"/>
  <c r="BJ19" i="23917"/>
  <c r="BJ87" i="24142"/>
  <c r="BJ90" i="23917"/>
  <c r="DV14" i="23917"/>
  <c r="DU14" i="23917"/>
  <c r="AJ68" i="24142"/>
  <c r="AJ76" i="23917"/>
  <c r="DC322" i="24142"/>
  <c r="DC71" i="24142"/>
  <c r="DC388" i="23917"/>
  <c r="Q78" i="24142"/>
  <c r="Q82" i="23917"/>
  <c r="M87" i="24142"/>
  <c r="M90" i="23917"/>
  <c r="K192" i="24142"/>
  <c r="K69" i="24142"/>
  <c r="K77" i="23917"/>
  <c r="K130" i="23917"/>
  <c r="AQ119" i="24142"/>
  <c r="AQ66" i="24142"/>
  <c r="AQ216" i="23917"/>
  <c r="AQ74" i="23917"/>
  <c r="AE68" i="24142"/>
  <c r="AE76" i="23917"/>
  <c r="U76" i="24142"/>
  <c r="U80" i="23917"/>
  <c r="AN192" i="24142"/>
  <c r="AN69" i="24142"/>
  <c r="AN130" i="23917"/>
  <c r="AN77" i="23917"/>
  <c r="AN156" i="24142"/>
  <c r="AN67" i="24142"/>
  <c r="AN308" i="23917"/>
  <c r="AN75" i="23917"/>
  <c r="AN119" i="24142"/>
  <c r="AN66" i="24142"/>
  <c r="AN74" i="23917"/>
  <c r="AN216" i="23917"/>
  <c r="AO71" i="24142"/>
  <c r="AN71" i="24142"/>
  <c r="AN78" i="24142"/>
  <c r="AN82" i="23917"/>
  <c r="AO74" i="24142"/>
  <c r="AN74" i="24142"/>
  <c r="AU156" i="24142"/>
  <c r="AU67" i="24142"/>
  <c r="AU308" i="23917"/>
  <c r="AU75" i="23917"/>
  <c r="DE281" i="24142"/>
  <c r="DE70" i="24142"/>
  <c r="DE347" i="23917"/>
  <c r="DE78" i="23917"/>
  <c r="DF75" i="24142"/>
  <c r="DE460" i="24142"/>
  <c r="DE75" i="24142"/>
  <c r="DE526" i="23917"/>
  <c r="DE322" i="24142"/>
  <c r="DE71" i="24142"/>
  <c r="DE388" i="23917"/>
  <c r="DE77" i="24142"/>
  <c r="DE81" i="23917"/>
  <c r="DE87" i="24142"/>
  <c r="DE90" i="23917"/>
  <c r="Q79" i="23917"/>
  <c r="Q192" i="24142"/>
  <c r="Q69" i="24142"/>
  <c r="Q77" i="23917"/>
  <c r="Q130" i="23917"/>
  <c r="U68" i="24142"/>
  <c r="U76" i="23917"/>
  <c r="K87" i="24142"/>
  <c r="K90" i="23917"/>
  <c r="BZ23" i="24142"/>
  <c r="BZ26" i="23917"/>
  <c r="AH192" i="24142"/>
  <c r="AH69" i="24142"/>
  <c r="AH130" i="23917"/>
  <c r="AH77" i="23917"/>
  <c r="AH76" i="24142"/>
  <c r="AH80" i="23917"/>
  <c r="AH281" i="24142"/>
  <c r="AH70" i="24142"/>
  <c r="AH347" i="23917"/>
  <c r="AH78" i="23917"/>
  <c r="AQ19" i="23917"/>
  <c r="AH19" i="23917"/>
  <c r="AI74" i="24142"/>
  <c r="AH74" i="24142"/>
  <c r="AI71" i="24142"/>
  <c r="AH71" i="24142"/>
  <c r="AH78" i="24142"/>
  <c r="AH82" i="23917"/>
  <c r="AI97" i="23917"/>
  <c r="AH97" i="23917"/>
  <c r="E119" i="24142"/>
  <c r="E66" i="24142"/>
  <c r="E216" i="23917"/>
  <c r="E74" i="23917"/>
  <c r="DC68" i="24142"/>
  <c r="DC76" i="23917"/>
  <c r="Y424" i="24142"/>
  <c r="Y74" i="24142"/>
  <c r="Y156" i="24142"/>
  <c r="Y67" i="24142"/>
  <c r="Y308" i="23917"/>
  <c r="Y75" i="23917"/>
  <c r="DM219" i="23917"/>
  <c r="DM245" i="23917"/>
  <c r="X393" i="24142"/>
  <c r="X459" i="23917"/>
  <c r="Z383" i="24142"/>
  <c r="Z449" i="23917"/>
  <c r="AJ76" i="24142"/>
  <c r="AJ80" i="23917"/>
  <c r="AJ281" i="24142"/>
  <c r="AJ70" i="24142"/>
  <c r="AJ347" i="23917"/>
  <c r="AJ78" i="23917"/>
  <c r="AJ87" i="24142"/>
  <c r="AJ90" i="23917"/>
  <c r="X72" i="24142"/>
  <c r="X490" i="23917"/>
  <c r="X79" i="23917"/>
  <c r="S490" i="23917"/>
  <c r="S71" i="24142"/>
  <c r="DK68" i="24142"/>
  <c r="DK76" i="23917"/>
  <c r="Q77" i="24142"/>
  <c r="Q81" i="23917"/>
  <c r="M78" i="24142"/>
  <c r="M82" i="23917"/>
  <c r="AE192" i="24142"/>
  <c r="AE69" i="24142"/>
  <c r="AE77" i="23917"/>
  <c r="AE130" i="23917"/>
  <c r="N192" i="24142"/>
  <c r="N69" i="24142"/>
  <c r="N130" i="23917"/>
  <c r="N77" i="23917"/>
  <c r="N281" i="24142"/>
  <c r="N70" i="24142"/>
  <c r="N347" i="23917"/>
  <c r="N78" i="23917"/>
  <c r="N76" i="24142"/>
  <c r="N80" i="23917"/>
  <c r="O71" i="24142"/>
  <c r="N71" i="24142"/>
  <c r="N424" i="24142"/>
  <c r="N74" i="24142"/>
  <c r="N77" i="24142"/>
  <c r="N81" i="23917"/>
  <c r="O97" i="23917"/>
  <c r="N97" i="23917"/>
  <c r="V192" i="24142"/>
  <c r="V69" i="24142"/>
  <c r="V130" i="23917"/>
  <c r="V77" i="23917"/>
  <c r="V156" i="24142"/>
  <c r="V67" i="24142"/>
  <c r="V308" i="23917"/>
  <c r="V75" i="23917"/>
  <c r="V76" i="24142"/>
  <c r="V80" i="23917"/>
  <c r="V357" i="24142"/>
  <c r="V423" i="23917"/>
  <c r="V73" i="24142"/>
  <c r="V77" i="24142"/>
  <c r="V81" i="23917"/>
  <c r="V87" i="24142"/>
  <c r="V90" i="23917"/>
  <c r="BC192" i="24142"/>
  <c r="BC69" i="24142"/>
  <c r="BC77" i="23917"/>
  <c r="BC130" i="23917"/>
  <c r="I79" i="23917"/>
  <c r="I192" i="24142"/>
  <c r="I69" i="24142"/>
  <c r="I77" i="23917"/>
  <c r="I130" i="23917"/>
  <c r="BV156" i="24142"/>
  <c r="BV67" i="24142"/>
  <c r="BV308" i="23917"/>
  <c r="BV75" i="23917"/>
  <c r="BV281" i="24142"/>
  <c r="BV70" i="24142"/>
  <c r="BV347" i="23917"/>
  <c r="BV78" i="23917"/>
  <c r="BV97" i="23917"/>
  <c r="K383" i="24142"/>
  <c r="K449" i="23917"/>
  <c r="B394" i="24142"/>
  <c r="B460" i="23917"/>
  <c r="B389" i="24142"/>
  <c r="B455" i="23917"/>
  <c r="BR156" i="24142"/>
  <c r="BR67" i="24142"/>
  <c r="BR308" i="23917"/>
  <c r="BR75" i="23917"/>
  <c r="BR192" i="24142"/>
  <c r="BR69" i="24142"/>
  <c r="BR130" i="23917"/>
  <c r="BR77" i="23917"/>
  <c r="L11" i="24158"/>
  <c r="BR19" i="23917"/>
  <c r="BR87" i="24142"/>
  <c r="BR90" i="23917"/>
  <c r="C79" i="23917"/>
  <c r="C192" i="24142"/>
  <c r="C69" i="24142"/>
  <c r="C77" i="23917"/>
  <c r="C130" i="23917"/>
  <c r="AP72" i="24142"/>
  <c r="AP79" i="23917"/>
  <c r="K77" i="24142"/>
  <c r="K81" i="23917"/>
  <c r="K156" i="24142"/>
  <c r="K67" i="24142"/>
  <c r="K308" i="23917"/>
  <c r="K75" i="23917"/>
  <c r="DC192" i="24142"/>
  <c r="DC69" i="24142"/>
  <c r="DC130" i="23917"/>
  <c r="DC77" i="23917"/>
  <c r="Y357" i="24142"/>
  <c r="Y73" i="24142"/>
  <c r="Y423" i="23917"/>
  <c r="Z192" i="24142"/>
  <c r="Z69" i="24142"/>
  <c r="Z130" i="23917"/>
  <c r="Z77" i="23917"/>
  <c r="Z156" i="24142"/>
  <c r="Z67" i="24142"/>
  <c r="Z308" i="23917"/>
  <c r="Z75" i="23917"/>
  <c r="Z76" i="24142"/>
  <c r="Z80" i="23917"/>
  <c r="Z357" i="24142"/>
  <c r="Z423" i="23917"/>
  <c r="Z73" i="24142"/>
  <c r="Z78" i="24142"/>
  <c r="Z82" i="23917"/>
  <c r="Z87" i="24142"/>
  <c r="Z90" i="23917"/>
  <c r="DE424" i="24142"/>
  <c r="DE74" i="24142"/>
  <c r="DE192" i="24142"/>
  <c r="DE69" i="24142"/>
  <c r="DE130" i="23917"/>
  <c r="DE77" i="23917"/>
  <c r="AB68" i="24142"/>
  <c r="AB76" i="23917"/>
  <c r="AB76" i="24142"/>
  <c r="AB80" i="23917"/>
  <c r="AB156" i="24142"/>
  <c r="AB67" i="24142"/>
  <c r="AB308" i="23917"/>
  <c r="AB75" i="23917"/>
  <c r="AC74" i="24142"/>
  <c r="AB74" i="24142"/>
  <c r="AB87" i="24142"/>
  <c r="AB90" i="23917"/>
  <c r="AL192" i="24142"/>
  <c r="AL69" i="24142"/>
  <c r="AL130" i="23917"/>
  <c r="AL77" i="23917"/>
  <c r="AL156" i="24142"/>
  <c r="AL67" i="24142"/>
  <c r="AL308" i="23917"/>
  <c r="AL75" i="23917"/>
  <c r="AL281" i="24142"/>
  <c r="AL70" i="24142"/>
  <c r="AL347" i="23917"/>
  <c r="AL78" i="23917"/>
  <c r="AU19" i="23917"/>
  <c r="AL19" i="23917"/>
  <c r="AM73" i="24142"/>
  <c r="AL73" i="24142"/>
  <c r="AM74" i="24142"/>
  <c r="AL74" i="24142"/>
  <c r="AL87" i="24142"/>
  <c r="AL90" i="23917"/>
  <c r="Q119" i="24142"/>
  <c r="Q66" i="24142"/>
  <c r="Q216" i="23917"/>
  <c r="Q74" i="23917"/>
  <c r="C78" i="24142"/>
  <c r="C82" i="23917"/>
  <c r="DL273" i="23917"/>
  <c r="DL221" i="23917"/>
  <c r="I87" i="24142"/>
  <c r="I90" i="23917"/>
  <c r="I119" i="24142"/>
  <c r="I66" i="24142"/>
  <c r="I216" i="23917"/>
  <c r="I74" i="23917"/>
  <c r="DJ10" i="23917"/>
  <c r="DG10" i="23917"/>
  <c r="AF156" i="24142"/>
  <c r="AF67" i="24142"/>
  <c r="AF308" i="23917"/>
  <c r="AF75" i="23917"/>
  <c r="AF192" i="24142"/>
  <c r="AF69" i="24142"/>
  <c r="AF130" i="23917"/>
  <c r="AF77" i="23917"/>
  <c r="AF119" i="24142"/>
  <c r="AF66" i="24142"/>
  <c r="AF74" i="23917"/>
  <c r="AF216" i="23917"/>
  <c r="AG73" i="24142"/>
  <c r="AF73" i="24142"/>
  <c r="AG74" i="24142"/>
  <c r="AF74" i="24142"/>
  <c r="AG97" i="23917"/>
  <c r="AF97" i="23917"/>
  <c r="I156" i="24142"/>
  <c r="I67" i="24142"/>
  <c r="I308" i="23917"/>
  <c r="I75" i="23917"/>
  <c r="DC393" i="24142"/>
  <c r="DC459" i="23917"/>
  <c r="W366" i="24142"/>
  <c r="W432" i="23917"/>
  <c r="T240" i="24142"/>
  <c r="T176" i="23917"/>
  <c r="K231" i="24142"/>
  <c r="K169" i="23917"/>
  <c r="K133" i="23917"/>
  <c r="B233" i="24142"/>
  <c r="B195" i="24142"/>
  <c r="DK362" i="24142"/>
  <c r="DK428" i="23917"/>
  <c r="DK396" i="24142"/>
  <c r="DK462" i="23917"/>
  <c r="DK366" i="24142"/>
  <c r="DK432" i="23917"/>
  <c r="T72" i="24142"/>
  <c r="T490" i="23917"/>
  <c r="T79" i="23917"/>
  <c r="G78" i="24142"/>
  <c r="G82" i="23917"/>
  <c r="AY260" i="23917"/>
  <c r="AX260" i="23917"/>
  <c r="AY258" i="23917"/>
  <c r="AY220" i="23917"/>
  <c r="AX273" i="23917"/>
  <c r="AX221" i="23917"/>
  <c r="E78" i="24142"/>
  <c r="E82" i="23917"/>
  <c r="DC76" i="24142"/>
  <c r="DC80" i="23917"/>
  <c r="DC357" i="24142"/>
  <c r="DC73" i="24142"/>
  <c r="DC423" i="23917"/>
  <c r="DC78" i="24142"/>
  <c r="DC82" i="23917"/>
  <c r="DD97" i="23917"/>
  <c r="DC97" i="23917"/>
  <c r="Y87" i="24142"/>
  <c r="Y90" i="23917"/>
  <c r="BA245" i="23917"/>
  <c r="BA219" i="23917"/>
  <c r="DM258" i="23917"/>
  <c r="DM220" i="23917"/>
  <c r="M79" i="23917"/>
  <c r="M192" i="24142"/>
  <c r="M69" i="24142"/>
  <c r="M77" i="23917"/>
  <c r="M130" i="23917"/>
  <c r="AX68" i="24142"/>
  <c r="AX76" i="23917"/>
  <c r="AX156" i="24142"/>
  <c r="AX67" i="24142"/>
  <c r="AX308" i="23917"/>
  <c r="AX75" i="23917"/>
  <c r="AX76" i="24142"/>
  <c r="AX80" i="23917"/>
  <c r="AY73" i="24142"/>
  <c r="AX73" i="24142"/>
  <c r="AX77" i="24142"/>
  <c r="AX81" i="23917"/>
  <c r="AX87" i="24142"/>
  <c r="AX90" i="23917"/>
  <c r="K245" i="24142"/>
  <c r="K181" i="23917"/>
  <c r="K134" i="23917"/>
  <c r="C245" i="24142"/>
  <c r="C181" i="23917"/>
  <c r="C134" i="23917"/>
  <c r="B247" i="24142"/>
  <c r="B196" i="24142"/>
  <c r="T226" i="24142"/>
  <c r="T164" i="23917"/>
  <c r="DI251" i="24142"/>
  <c r="DI185" i="23917"/>
  <c r="C76" i="24142"/>
  <c r="C80" i="23917"/>
  <c r="K424" i="24142"/>
  <c r="K74" i="24142"/>
  <c r="DF205" i="24142"/>
  <c r="DF143" i="23917"/>
  <c r="Y394" i="24142"/>
  <c r="Y460" i="23917"/>
  <c r="S77" i="24142"/>
  <c r="S81" i="23917"/>
  <c r="S357" i="24142"/>
  <c r="S73" i="24142"/>
  <c r="S423" i="23917"/>
  <c r="S119" i="24142"/>
  <c r="S66" i="24142"/>
  <c r="S216" i="23917"/>
  <c r="S74" i="23917"/>
  <c r="Q424" i="24142"/>
  <c r="Q74" i="24142"/>
  <c r="Q281" i="24142"/>
  <c r="Q70" i="24142"/>
  <c r="Q347" i="23917"/>
  <c r="Q78" i="23917"/>
  <c r="M424" i="24142"/>
  <c r="M74" i="24142"/>
  <c r="M119" i="24142"/>
  <c r="M66" i="24142"/>
  <c r="M216" i="23917"/>
  <c r="M74" i="23917"/>
  <c r="C77" i="24142"/>
  <c r="C81" i="23917"/>
  <c r="S68" i="24142"/>
  <c r="S76" i="23917"/>
  <c r="M76" i="24142"/>
  <c r="M80" i="23917"/>
  <c r="W367" i="24142"/>
  <c r="W433" i="23917"/>
  <c r="W363" i="24142"/>
  <c r="W429" i="23917"/>
  <c r="BB30" i="23917"/>
  <c r="I68" i="24142"/>
  <c r="I76" i="23917"/>
  <c r="U424" i="24142"/>
  <c r="U74" i="24142"/>
  <c r="U119" i="24142"/>
  <c r="U66" i="24142"/>
  <c r="U216" i="23917"/>
  <c r="U74" i="23917"/>
  <c r="E87" i="24142"/>
  <c r="E90" i="23917"/>
  <c r="E156" i="24142"/>
  <c r="E67" i="24142"/>
  <c r="E308" i="23917"/>
  <c r="E75" i="23917"/>
  <c r="S424" i="24142"/>
  <c r="S74" i="24142"/>
  <c r="M77" i="24142"/>
  <c r="M81" i="23917"/>
  <c r="M71" i="24142"/>
  <c r="M388" i="23917"/>
  <c r="C357" i="24142"/>
  <c r="C73" i="24142"/>
  <c r="C423" i="23917"/>
  <c r="DF201" i="24142"/>
  <c r="DF139" i="23917"/>
  <c r="AP83" i="23917"/>
  <c r="AP79" i="24142"/>
  <c r="Q68" i="24142"/>
  <c r="Q76" i="23917"/>
  <c r="W362" i="24142"/>
  <c r="W428" i="23917"/>
  <c r="BC119" i="24142"/>
  <c r="BC66" i="24142"/>
  <c r="BC216" i="23917"/>
  <c r="BC74" i="23917"/>
  <c r="M68" i="24142"/>
  <c r="M76" i="23917"/>
  <c r="AR79" i="24142"/>
  <c r="DL393" i="24142"/>
  <c r="DL459" i="23917"/>
  <c r="U281" i="24142"/>
  <c r="U70" i="24142"/>
  <c r="U347" i="23917"/>
  <c r="U78" i="23917"/>
  <c r="AT72" i="24142"/>
  <c r="AT79" i="23917"/>
  <c r="G77" i="24142"/>
  <c r="G81" i="23917"/>
  <c r="K281" i="24142"/>
  <c r="K70" i="24142"/>
  <c r="K78" i="23917"/>
  <c r="E77" i="24142"/>
  <c r="E81" i="23917"/>
  <c r="BF192" i="24142"/>
  <c r="BF69" i="24142"/>
  <c r="BF130" i="23917"/>
  <c r="BF77" i="23917"/>
  <c r="BF119" i="24142"/>
  <c r="BF66" i="24142"/>
  <c r="BF74" i="23917"/>
  <c r="BF216" i="23917"/>
  <c r="BF281" i="24142"/>
  <c r="BF70" i="24142"/>
  <c r="BF347" i="23917"/>
  <c r="BF78" i="23917"/>
  <c r="F11" i="24158"/>
  <c r="BF19" i="23917"/>
  <c r="BF97" i="23917"/>
  <c r="Y77" i="24142"/>
  <c r="Y81" i="23917"/>
  <c r="BJ68" i="24142"/>
  <c r="BJ76" i="23917"/>
  <c r="BJ281" i="24142"/>
  <c r="BJ70" i="24142"/>
  <c r="BJ347" i="23917"/>
  <c r="BJ78" i="23917"/>
  <c r="BK71" i="24142"/>
  <c r="BJ71" i="24142"/>
  <c r="BK97" i="23917"/>
  <c r="BJ97" i="23917"/>
  <c r="DT14" i="23917"/>
  <c r="DS14" i="23917"/>
  <c r="K68" i="24142"/>
  <c r="K76" i="23917"/>
  <c r="AU119" i="24142"/>
  <c r="AU66" i="24142"/>
  <c r="AU216" i="23917"/>
  <c r="AU74" i="23917"/>
  <c r="BC156" i="24142"/>
  <c r="BC67" i="24142"/>
  <c r="BC308" i="23917"/>
  <c r="BC75" i="23917"/>
  <c r="DC424" i="24142"/>
  <c r="DC74" i="24142"/>
  <c r="C119" i="24142"/>
  <c r="C66" i="24142"/>
  <c r="C216" i="23917"/>
  <c r="C74" i="23917"/>
  <c r="AE281" i="24142"/>
  <c r="AE70" i="24142"/>
  <c r="AE347" i="23917"/>
  <c r="AE78" i="23917"/>
  <c r="I357" i="24142"/>
  <c r="I73" i="24142"/>
  <c r="I423" i="23917"/>
  <c r="AQ78" i="24142"/>
  <c r="AQ82" i="23917"/>
  <c r="BP68" i="24142"/>
  <c r="BP76" i="23917"/>
  <c r="AS119" i="24142"/>
  <c r="AS66" i="24142"/>
  <c r="AS216" i="23917"/>
  <c r="AS74" i="23917"/>
  <c r="AN68" i="24142"/>
  <c r="AN76" i="23917"/>
  <c r="AN76" i="24142"/>
  <c r="AN80" i="23917"/>
  <c r="AN281" i="24142"/>
  <c r="AN70" i="24142"/>
  <c r="AN347" i="23917"/>
  <c r="AN78" i="23917"/>
  <c r="AN77" i="24142"/>
  <c r="AN81" i="23917"/>
  <c r="AN87" i="24142"/>
  <c r="AN90" i="23917"/>
  <c r="AU77" i="24142"/>
  <c r="AU81" i="23917"/>
  <c r="DE119" i="24142"/>
  <c r="DE66" i="24142"/>
  <c r="DE74" i="23917"/>
  <c r="DE216" i="23917"/>
  <c r="DE156" i="24142"/>
  <c r="DE67" i="24142"/>
  <c r="DE308" i="23917"/>
  <c r="DE75" i="23917"/>
  <c r="DE357" i="24142"/>
  <c r="DE73" i="24142"/>
  <c r="DE423" i="23917"/>
  <c r="DE78" i="24142"/>
  <c r="DE82" i="23917"/>
  <c r="DF97" i="23917"/>
  <c r="DE97" i="23917"/>
  <c r="R72" i="24142"/>
  <c r="R490" i="23917"/>
  <c r="R79" i="23917"/>
  <c r="G357" i="24142"/>
  <c r="G73" i="24142"/>
  <c r="G423" i="23917"/>
  <c r="K357" i="24142"/>
  <c r="K73" i="24142"/>
  <c r="K423" i="23917"/>
  <c r="K119" i="24142"/>
  <c r="K66" i="24142"/>
  <c r="K216" i="23917"/>
  <c r="K74" i="23917"/>
  <c r="BZ19" i="24142"/>
  <c r="BZ20" i="24142" s="1"/>
  <c r="BZ42" i="24142"/>
  <c r="BZ51" i="23917"/>
  <c r="AH68" i="24142"/>
  <c r="AH76" i="23917"/>
  <c r="AH119" i="24142"/>
  <c r="AH66" i="24142"/>
  <c r="AH74" i="23917"/>
  <c r="AH216" i="23917"/>
  <c r="AH156" i="24142"/>
  <c r="AH67" i="24142"/>
  <c r="AH308" i="23917"/>
  <c r="AH75" i="23917"/>
  <c r="AI73" i="24142"/>
  <c r="AH73" i="24142"/>
  <c r="AH77" i="24142"/>
  <c r="AH81" i="23917"/>
  <c r="AH87" i="24142"/>
  <c r="AH90" i="23917"/>
  <c r="E357" i="24142"/>
  <c r="E73" i="24142"/>
  <c r="E423" i="23917"/>
  <c r="Y78" i="24142"/>
  <c r="Y82" i="23917"/>
  <c r="G76" i="24142"/>
  <c r="G80" i="23917"/>
  <c r="Y389" i="24142"/>
  <c r="Y455" i="23917"/>
  <c r="AJ156" i="24142"/>
  <c r="AJ67" i="24142"/>
  <c r="AJ308" i="23917"/>
  <c r="AJ75" i="23917"/>
  <c r="AJ192" i="24142"/>
  <c r="AJ69" i="24142"/>
  <c r="AJ130" i="23917"/>
  <c r="AJ77" i="23917"/>
  <c r="AJ119" i="24142"/>
  <c r="AJ66" i="24142"/>
  <c r="AJ74" i="23917"/>
  <c r="AJ216" i="23917"/>
  <c r="AK71" i="24142"/>
  <c r="AJ71" i="24142"/>
  <c r="AJ78" i="24142"/>
  <c r="AJ82" i="23917"/>
  <c r="AK73" i="24142"/>
  <c r="AJ73" i="24142"/>
  <c r="AJ77" i="24142"/>
  <c r="AJ81" i="23917"/>
  <c r="AK97" i="23917"/>
  <c r="AJ97" i="23917"/>
  <c r="Y68" i="24142"/>
  <c r="Y76" i="23917"/>
  <c r="S78" i="24142"/>
  <c r="S82" i="23917"/>
  <c r="S76" i="24142"/>
  <c r="S80" i="23917"/>
  <c r="M156" i="24142"/>
  <c r="M67" i="24142"/>
  <c r="M308" i="23917"/>
  <c r="M75" i="23917"/>
  <c r="AD72" i="24142"/>
  <c r="AD79" i="23917"/>
  <c r="N68" i="24142"/>
  <c r="N76" i="23917"/>
  <c r="N156" i="24142"/>
  <c r="N67" i="24142"/>
  <c r="N308" i="23917"/>
  <c r="N75" i="23917"/>
  <c r="N119" i="24142"/>
  <c r="N66" i="24142"/>
  <c r="N74" i="23917"/>
  <c r="N216" i="23917"/>
  <c r="N357" i="24142"/>
  <c r="N423" i="23917"/>
  <c r="N73" i="24142"/>
  <c r="N78" i="24142"/>
  <c r="N82" i="23917"/>
  <c r="N87" i="24142"/>
  <c r="N90" i="23917"/>
  <c r="AQ74" i="24142"/>
  <c r="DH205" i="24142"/>
  <c r="DH143" i="23917"/>
  <c r="V68" i="24142"/>
  <c r="V76" i="23917"/>
  <c r="V281" i="24142"/>
  <c r="V70" i="24142"/>
  <c r="V347" i="23917"/>
  <c r="V78" i="23917"/>
  <c r="V119" i="24142"/>
  <c r="V66" i="24142"/>
  <c r="V74" i="23917"/>
  <c r="V216" i="23917"/>
  <c r="V424" i="24142"/>
  <c r="V74" i="24142"/>
  <c r="V78" i="24142"/>
  <c r="V82" i="23917"/>
  <c r="W97" i="23917"/>
  <c r="V97" i="23917"/>
  <c r="BB72" i="24142"/>
  <c r="BB79" i="23917"/>
  <c r="U357" i="24142"/>
  <c r="U73" i="24142"/>
  <c r="U423" i="23917"/>
  <c r="BV192" i="24142"/>
  <c r="BV69" i="24142"/>
  <c r="BV130" i="23917"/>
  <c r="BV77" i="23917"/>
  <c r="BV119" i="24142"/>
  <c r="BV66" i="24142"/>
  <c r="BV216" i="23917"/>
  <c r="BV74" i="23917"/>
  <c r="BV71" i="24142"/>
  <c r="BV87" i="24142"/>
  <c r="BV90" i="23917"/>
  <c r="AU68" i="24142"/>
  <c r="AU76" i="23917"/>
  <c r="B395" i="24142"/>
  <c r="B461" i="23917"/>
  <c r="C383" i="24142"/>
  <c r="C449" i="23917"/>
  <c r="BR68" i="24142"/>
  <c r="BR76" i="23917"/>
  <c r="BS119" i="24142"/>
  <c r="BR119" i="24142"/>
  <c r="BR66" i="24142"/>
  <c r="BR216" i="23917"/>
  <c r="BR74" i="23917"/>
  <c r="BR281" i="24142"/>
  <c r="BR70" i="24142"/>
  <c r="BR347" i="23917"/>
  <c r="BR78" i="23917"/>
  <c r="G87" i="24142"/>
  <c r="G90" i="23917"/>
  <c r="G156" i="24142"/>
  <c r="G67" i="24142"/>
  <c r="G308" i="23917"/>
  <c r="G75" i="23917"/>
  <c r="Y76" i="24142"/>
  <c r="Y80" i="23917"/>
  <c r="Y119" i="24142"/>
  <c r="Y66" i="24142"/>
  <c r="Y216" i="23917"/>
  <c r="Y74" i="23917"/>
  <c r="Z68" i="24142"/>
  <c r="Z76" i="23917"/>
  <c r="Z119" i="24142"/>
  <c r="Z66" i="24142"/>
  <c r="Z74" i="23917"/>
  <c r="Z216" i="23917"/>
  <c r="Z281" i="24142"/>
  <c r="Z70" i="24142"/>
  <c r="Z347" i="23917"/>
  <c r="Z78" i="23917"/>
  <c r="Z424" i="24142"/>
  <c r="Z74" i="24142"/>
  <c r="AA71" i="24142"/>
  <c r="Z71" i="24142"/>
  <c r="Z77" i="24142"/>
  <c r="Z81" i="23917"/>
  <c r="AA97" i="23917"/>
  <c r="Z97" i="23917"/>
  <c r="AB281" i="24142"/>
  <c r="AB70" i="24142"/>
  <c r="AB347" i="23917"/>
  <c r="AB78" i="23917"/>
  <c r="AB119" i="24142"/>
  <c r="AB66" i="24142"/>
  <c r="AB74" i="23917"/>
  <c r="AB216" i="23917"/>
  <c r="AB192" i="24142"/>
  <c r="AB69" i="24142"/>
  <c r="AB130" i="23917"/>
  <c r="AB77" i="23917"/>
  <c r="AC71" i="24142"/>
  <c r="AB71" i="24142"/>
  <c r="AB77" i="24142"/>
  <c r="AB81" i="23917"/>
  <c r="AB357" i="24142"/>
  <c r="AB423" i="23917"/>
  <c r="AB73" i="24142"/>
  <c r="AB78" i="24142"/>
  <c r="AB82" i="23917"/>
  <c r="AC97" i="23917"/>
  <c r="AB97" i="23917"/>
  <c r="AL68" i="24142"/>
  <c r="AL76" i="23917"/>
  <c r="AL119" i="24142"/>
  <c r="AL66" i="24142"/>
  <c r="AL74" i="23917"/>
  <c r="AL216" i="23917"/>
  <c r="AL76" i="24142"/>
  <c r="AL80" i="23917"/>
  <c r="AL77" i="24142"/>
  <c r="AL81" i="23917"/>
  <c r="AM71" i="24142"/>
  <c r="AL71" i="24142"/>
  <c r="AL78" i="24142"/>
  <c r="AL82" i="23917"/>
  <c r="AM97" i="23917"/>
  <c r="AL97" i="23917"/>
  <c r="Q357" i="24142"/>
  <c r="Q73" i="24142"/>
  <c r="Q423" i="23917"/>
  <c r="E322" i="24142"/>
  <c r="E71" i="24142"/>
  <c r="E388" i="23917"/>
  <c r="DL277" i="23917"/>
  <c r="DK277" i="23917"/>
  <c r="I78" i="24142"/>
  <c r="I82" i="23917"/>
  <c r="Y281" i="24142"/>
  <c r="Y70" i="24142"/>
  <c r="Y347" i="23917"/>
  <c r="Y78" i="23917"/>
  <c r="AF76" i="24142"/>
  <c r="AF80" i="23917"/>
  <c r="AF281" i="24142"/>
  <c r="AF70" i="24142"/>
  <c r="AF347" i="23917"/>
  <c r="AF78" i="23917"/>
  <c r="AG71" i="24142"/>
  <c r="AF71" i="24142"/>
  <c r="AF77" i="24142"/>
  <c r="AF81" i="23917"/>
  <c r="AF78" i="24142"/>
  <c r="AF82" i="23917"/>
  <c r="AF87" i="24142"/>
  <c r="AF90" i="23917"/>
  <c r="DE383" i="24142"/>
  <c r="DE449" i="23917"/>
  <c r="DD389" i="24142"/>
  <c r="DD455" i="23917"/>
  <c r="DH201" i="24142"/>
  <c r="DH139" i="23917"/>
  <c r="AR72" i="24142"/>
  <c r="AR79" i="23917"/>
  <c r="S245" i="24142"/>
  <c r="S181" i="23917"/>
  <c r="S134" i="23917"/>
  <c r="R247" i="24142"/>
  <c r="R196" i="24142"/>
  <c r="C231" i="24142"/>
  <c r="C169" i="23917"/>
  <c r="C133" i="23917"/>
  <c r="D226" i="24142"/>
  <c r="D164" i="23917"/>
  <c r="DK363" i="24142"/>
  <c r="DK429" i="23917"/>
  <c r="DK368" i="24142"/>
  <c r="DK434" i="23917"/>
  <c r="DK367" i="24142"/>
  <c r="DK433" i="23917"/>
  <c r="U490" i="23917"/>
  <c r="U192" i="24142"/>
  <c r="U69" i="24142"/>
  <c r="U77" i="23917"/>
  <c r="U130" i="23917"/>
  <c r="DE68" i="24142"/>
  <c r="DE76" i="23917"/>
  <c r="AX274" i="23917"/>
  <c r="E192" i="24142"/>
  <c r="E69" i="24142"/>
  <c r="E77" i="23917"/>
  <c r="E130" i="23917"/>
  <c r="DC156" i="24142"/>
  <c r="DC67" i="24142"/>
  <c r="DC308" i="23917"/>
  <c r="DC75" i="23917"/>
  <c r="DC119" i="24142"/>
  <c r="DC66" i="24142"/>
  <c r="DC74" i="23917"/>
  <c r="DC216" i="23917"/>
  <c r="DC77" i="24142"/>
  <c r="DC81" i="23917"/>
  <c r="DC87" i="24142"/>
  <c r="DC90" i="23917"/>
  <c r="BG68" i="24142"/>
  <c r="BG76" i="23917"/>
  <c r="Y79" i="23917"/>
  <c r="Y71" i="24142"/>
  <c r="K322" i="24142"/>
  <c r="K71" i="24142"/>
  <c r="K388" i="23917"/>
  <c r="BL68" i="24142"/>
  <c r="BL76" i="23917"/>
  <c r="L72" i="24142"/>
  <c r="L490" i="23917"/>
  <c r="L79" i="23917"/>
  <c r="AX192" i="24142"/>
  <c r="AX69" i="24142"/>
  <c r="AX130" i="23917"/>
  <c r="AX77" i="23917"/>
  <c r="AX119" i="24142"/>
  <c r="AX66" i="24142"/>
  <c r="AX216" i="23917"/>
  <c r="AX74" i="23917"/>
  <c r="AX281" i="24142"/>
  <c r="AX70" i="24142"/>
  <c r="AX347" i="23917"/>
  <c r="AX78" i="23917"/>
  <c r="B11" i="24158"/>
  <c r="AX19" i="23917"/>
  <c r="AY74" i="24142"/>
  <c r="AX74" i="24142"/>
  <c r="AY71" i="24142"/>
  <c r="AX71" i="24142"/>
  <c r="AX78" i="24142"/>
  <c r="AX82" i="23917"/>
  <c r="AY97" i="23917"/>
  <c r="AX97" i="23917"/>
  <c r="D240" i="24142"/>
  <c r="D176" i="23917"/>
  <c r="S231" i="24142"/>
  <c r="S169" i="23917"/>
  <c r="S133" i="23917"/>
  <c r="R233" i="24142"/>
  <c r="R195" i="24142"/>
  <c r="G72" i="24142"/>
  <c r="G192" i="24142"/>
  <c r="G69" i="24142"/>
  <c r="G77" i="23917"/>
  <c r="G130" i="23917"/>
  <c r="DI250" i="24142"/>
  <c r="DI184" i="23917"/>
  <c r="DJ240" i="24142"/>
  <c r="DJ176" i="23917"/>
  <c r="B236" i="24142"/>
  <c r="B172" i="23917"/>
  <c r="BN97" i="23917"/>
  <c r="BN71" i="24142"/>
  <c r="BN74" i="24142"/>
  <c r="BN75" i="24142"/>
  <c r="BN73" i="24142"/>
  <c r="E281" i="24142"/>
  <c r="E70" i="24142"/>
  <c r="E347" i="23917"/>
  <c r="E78" i="23917"/>
  <c r="S87" i="24142"/>
  <c r="S90" i="23917"/>
  <c r="S281" i="24142"/>
  <c r="S70" i="24142"/>
  <c r="S347" i="23917"/>
  <c r="S78" i="23917"/>
  <c r="AT83" i="23917"/>
  <c r="Q87" i="24142"/>
  <c r="Q90" i="23917"/>
  <c r="Q156" i="24142"/>
  <c r="Q67" i="24142"/>
  <c r="Q308" i="23917"/>
  <c r="Q75" i="23917"/>
  <c r="G281" i="24142"/>
  <c r="G70" i="24142"/>
  <c r="G347" i="23917"/>
  <c r="G78" i="23917"/>
  <c r="M281" i="24142"/>
  <c r="M70" i="24142"/>
  <c r="M347" i="23917"/>
  <c r="M78" i="23917"/>
  <c r="C87" i="24142"/>
  <c r="C90" i="23917"/>
  <c r="C70" i="24142"/>
  <c r="C78" i="23917"/>
  <c r="C322" i="24142"/>
  <c r="C71" i="24142"/>
  <c r="C388" i="23917"/>
  <c r="I77" i="24142"/>
  <c r="I81" i="23917"/>
  <c r="I322" i="24142"/>
  <c r="I71" i="24142"/>
  <c r="I388" i="23917"/>
  <c r="Q76" i="24142"/>
  <c r="Q80" i="23917"/>
  <c r="W368" i="24142"/>
  <c r="W434" i="23917"/>
  <c r="BC87" i="24142"/>
  <c r="BC90" i="23917"/>
  <c r="U87" i="24142"/>
  <c r="U90" i="23917"/>
  <c r="U78" i="24142"/>
  <c r="U82" i="23917"/>
  <c r="K78" i="24142"/>
  <c r="K82" i="23917"/>
  <c r="K76" i="24142"/>
  <c r="K80" i="23917"/>
  <c r="Y395" i="24142"/>
  <c r="Y461" i="23917"/>
  <c r="S156" i="24142"/>
  <c r="S67" i="24142"/>
  <c r="S308" i="23917"/>
  <c r="S75" i="23917"/>
  <c r="G322" i="24142"/>
  <c r="G71" i="24142"/>
  <c r="G388" i="23917"/>
  <c r="M357" i="24142"/>
  <c r="M73" i="24142"/>
  <c r="M423" i="23917"/>
  <c r="C156" i="24142"/>
  <c r="C67" i="24142"/>
  <c r="C308" i="23917"/>
  <c r="C75" i="23917"/>
  <c r="I281" i="24142"/>
  <c r="I70" i="24142"/>
  <c r="I347" i="23917"/>
  <c r="I78" i="23917"/>
  <c r="S192" i="24142"/>
  <c r="S69" i="24142"/>
  <c r="S77" i="23917"/>
  <c r="S130" i="23917"/>
  <c r="BC68" i="24142"/>
  <c r="BC76" i="23917"/>
  <c r="W396" i="24142"/>
  <c r="W462" i="23917"/>
  <c r="BC281" i="24142"/>
  <c r="BC70" i="24142"/>
  <c r="BC347" i="23917"/>
  <c r="BC78" i="23917"/>
  <c r="C68" i="24142"/>
  <c r="C76" i="23917"/>
  <c r="AR83" i="23917"/>
  <c r="U77" i="24142"/>
  <c r="U81" i="23917"/>
  <c r="U156" i="24142"/>
  <c r="U67" i="24142"/>
  <c r="U308" i="23917"/>
  <c r="U75" i="23917"/>
  <c r="AG68" i="24142"/>
  <c r="AG76" i="23917"/>
  <c r="CR12" i="23917"/>
  <c r="CP284" i="24142"/>
  <c r="CQ12" i="24142"/>
  <c r="CF68" i="24142"/>
  <c r="CF76" i="23917"/>
  <c r="BF76" i="24142"/>
  <c r="BF80" i="23917"/>
  <c r="BG73" i="24142"/>
  <c r="BF73" i="24142"/>
  <c r="BF78" i="24142"/>
  <c r="BF82" i="23917"/>
  <c r="BK73" i="24142"/>
  <c r="BJ73" i="24142"/>
  <c r="BK74" i="24142"/>
  <c r="BJ74" i="24142"/>
  <c r="CH76" i="24142"/>
  <c r="CH80" i="23917"/>
  <c r="CH66" i="24142"/>
  <c r="CH119" i="24142"/>
  <c r="CH216" i="23917"/>
  <c r="CH74" i="23917"/>
  <c r="CI71" i="24142"/>
  <c r="CH71" i="24142"/>
  <c r="CI75" i="24142"/>
  <c r="CH75" i="24142"/>
  <c r="CI74" i="24142"/>
  <c r="CH74" i="24142"/>
  <c r="CH87" i="24142"/>
  <c r="CH90" i="23917"/>
  <c r="H72" i="24142"/>
  <c r="H490" i="23917"/>
  <c r="H79" i="23917"/>
  <c r="BW75" i="24142"/>
  <c r="BV75" i="24142"/>
  <c r="BW74" i="24142"/>
  <c r="BV74" i="24142"/>
  <c r="BS66" i="24142"/>
  <c r="BS74" i="23917"/>
  <c r="BR77" i="24142"/>
  <c r="BR81" i="23917"/>
  <c r="BR78" i="24142"/>
  <c r="BR82" i="23917"/>
  <c r="B72" i="24142"/>
  <c r="B490" i="23917"/>
  <c r="B79" i="23917"/>
  <c r="CL68" i="24142"/>
  <c r="CL76" i="23917"/>
  <c r="CA23" i="24142"/>
  <c r="CA26" i="23917"/>
  <c r="BC78" i="24142"/>
  <c r="BC82" i="23917"/>
  <c r="Y490" i="23917"/>
  <c r="CL156" i="24142"/>
  <c r="CL67" i="24142"/>
  <c r="CL308" i="23917"/>
  <c r="CL75" i="23917"/>
  <c r="CL281" i="24142"/>
  <c r="CL347" i="23917"/>
  <c r="CL70" i="24142"/>
  <c r="CL78" i="23917"/>
  <c r="CL119" i="24142"/>
  <c r="CL66" i="24142"/>
  <c r="CL216" i="23917"/>
  <c r="CL74" i="23917"/>
  <c r="CL73" i="24142"/>
  <c r="CL78" i="24142"/>
  <c r="CL82" i="23917"/>
  <c r="CL77" i="24142"/>
  <c r="CL81" i="23917"/>
  <c r="CL97" i="23917"/>
  <c r="F72" i="24142"/>
  <c r="F490" i="23917"/>
  <c r="F79" i="23917"/>
  <c r="BB83" i="23917"/>
  <c r="BC76" i="24142"/>
  <c r="BC80" i="23917"/>
  <c r="BG74" i="24142"/>
  <c r="BF74" i="24142"/>
  <c r="BF77" i="24142"/>
  <c r="BF81" i="23917"/>
  <c r="BJ76" i="24142"/>
  <c r="BJ80" i="23917"/>
  <c r="BJ78" i="24142"/>
  <c r="BJ82" i="23917"/>
  <c r="BJ77" i="24142"/>
  <c r="BJ81" i="23917"/>
  <c r="CH192" i="24142"/>
  <c r="CH69" i="24142"/>
  <c r="CH77" i="23917"/>
  <c r="CH130" i="23917"/>
  <c r="CH156" i="24142"/>
  <c r="CH67" i="24142"/>
  <c r="CH308" i="23917"/>
  <c r="CH75" i="23917"/>
  <c r="CH281" i="24142"/>
  <c r="CH70" i="24142"/>
  <c r="CH347" i="23917"/>
  <c r="CH78" i="23917"/>
  <c r="CI73" i="24142"/>
  <c r="CH73" i="24142"/>
  <c r="CH77" i="24142"/>
  <c r="CH81" i="23917"/>
  <c r="CH78" i="24142"/>
  <c r="CH82" i="23917"/>
  <c r="CI97" i="23917"/>
  <c r="CH97" i="23917"/>
  <c r="Q490" i="23917"/>
  <c r="S79" i="23917"/>
  <c r="I490" i="23917"/>
  <c r="I72" i="24142"/>
  <c r="BV76" i="24142"/>
  <c r="BV80" i="23917"/>
  <c r="BV73" i="24142"/>
  <c r="BV78" i="24142"/>
  <c r="BV82" i="23917"/>
  <c r="BV77" i="24142"/>
  <c r="BV81" i="23917"/>
  <c r="BR76" i="24142"/>
  <c r="BR80" i="23917"/>
  <c r="C72" i="24142"/>
  <c r="C490" i="23917"/>
  <c r="CA19" i="24142"/>
  <c r="CA51" i="23917"/>
  <c r="CA42" i="24142"/>
  <c r="BC77" i="24142"/>
  <c r="BC81" i="23917"/>
  <c r="D72" i="24142"/>
  <c r="D490" i="23917"/>
  <c r="D79" i="23917"/>
  <c r="M72" i="24142"/>
  <c r="CL192" i="24142"/>
  <c r="CL69" i="24142"/>
  <c r="CL77" i="23917"/>
  <c r="CL130" i="23917"/>
  <c r="CL76" i="24142"/>
  <c r="CL80" i="23917"/>
  <c r="CL71" i="24142"/>
  <c r="CL75" i="24142"/>
  <c r="CL74" i="24142"/>
  <c r="CL87" i="24142"/>
  <c r="CL90" i="23917"/>
  <c r="G79" i="23917"/>
  <c r="CD97" i="23917"/>
  <c r="CD74" i="24142"/>
  <c r="CD75" i="24142"/>
  <c r="CM71" i="24142"/>
  <c r="CM19" i="23917"/>
  <c r="BB79" i="24142"/>
  <c r="CI68" i="24142"/>
  <c r="CI76" i="23917"/>
  <c r="CQ276" i="24142"/>
  <c r="CQ341" i="23917"/>
  <c r="CS12" i="24142"/>
  <c r="EA492" i="24142"/>
  <c r="EA559" i="23917"/>
  <c r="EA278" i="24142"/>
  <c r="EA12" i="24142"/>
  <c r="EA343" i="23917"/>
  <c r="EJ140" i="24142"/>
  <c r="EJ291" i="23917"/>
  <c r="CR284" i="24142"/>
  <c r="CR350" i="23917"/>
  <c r="EE33" i="24142"/>
  <c r="EE39" i="23917"/>
  <c r="CR278" i="24142"/>
  <c r="CR12" i="24142"/>
  <c r="CR343" i="23917"/>
  <c r="CR344" i="23917" s="1"/>
  <c r="CP278" i="24142"/>
  <c r="CP12" i="24142"/>
  <c r="CP343" i="23917"/>
  <c r="CP344" i="23917" s="1"/>
  <c r="EB491" i="24142"/>
  <c r="EB558" i="23917"/>
  <c r="EB275" i="24142"/>
  <c r="EB340" i="23917"/>
  <c r="EM140" i="24142"/>
  <c r="EM291" i="23917"/>
  <c r="CS494" i="24142"/>
  <c r="CS17" i="24142"/>
  <c r="CS560" i="23917"/>
  <c r="EA276" i="24142"/>
  <c r="EA341" i="23917"/>
  <c r="EA494" i="24142"/>
  <c r="EA17" i="24142"/>
  <c r="EA560" i="23917"/>
  <c r="EA561" i="23917" s="1"/>
  <c r="CS276" i="24142"/>
  <c r="CS341" i="23917"/>
  <c r="DW97" i="23917"/>
  <c r="DW75" i="24142"/>
  <c r="DW74" i="24142"/>
  <c r="DW73" i="24142"/>
  <c r="DW71" i="24142"/>
  <c r="CB97" i="23917"/>
  <c r="CB75" i="24142"/>
  <c r="CB73" i="24142"/>
  <c r="CB74" i="24142"/>
  <c r="CB19" i="23917"/>
  <c r="BS73" i="24142"/>
  <c r="CN97" i="23917"/>
  <c r="CN73" i="24142"/>
  <c r="CN71" i="24142"/>
  <c r="CN74" i="24142"/>
  <c r="CN19" i="23917"/>
  <c r="AY274" i="23917"/>
  <c r="CL29" i="23917"/>
  <c r="CL30" i="23917" s="1"/>
  <c r="CL22" i="23917"/>
  <c r="CL23" i="23917" s="1"/>
  <c r="DY71" i="24142"/>
  <c r="BF29" i="23917"/>
  <c r="BF22" i="23917"/>
  <c r="BF23" i="23917" s="1"/>
  <c r="BG19" i="23917"/>
  <c r="DI97" i="23917"/>
  <c r="DI75" i="24142"/>
  <c r="DI71" i="24142"/>
  <c r="DI19" i="23917"/>
  <c r="CR17" i="23917"/>
  <c r="AV75" i="24142"/>
  <c r="AV19" i="23917"/>
  <c r="DX14" i="23917"/>
  <c r="BR29" i="23917"/>
  <c r="BS19" i="23917"/>
  <c r="BR22" i="23917"/>
  <c r="BR23" i="23917" s="1"/>
  <c r="BS75" i="24142"/>
  <c r="Y22" i="23917"/>
  <c r="X19" i="24142"/>
  <c r="X20" i="24142" s="1"/>
  <c r="BX97" i="23917"/>
  <c r="BX75" i="24142"/>
  <c r="BX73" i="24142"/>
  <c r="BX71" i="24142"/>
  <c r="BX74" i="24142"/>
  <c r="BX19" i="23917"/>
  <c r="CF75" i="24142"/>
  <c r="CF71" i="24142"/>
  <c r="CF19" i="23917"/>
  <c r="CQ17" i="23917"/>
  <c r="BT75" i="24142"/>
  <c r="BT71" i="24142"/>
  <c r="C22" i="23917"/>
  <c r="B19" i="24142"/>
  <c r="B20" i="24142" s="1"/>
  <c r="AQ97" i="23917"/>
  <c r="G22" i="23917"/>
  <c r="F19" i="24142"/>
  <c r="F20" i="24142" s="1"/>
  <c r="K22" i="23917"/>
  <c r="J19" i="24142"/>
  <c r="J20" i="24142" s="1"/>
  <c r="W19" i="23917"/>
  <c r="V22" i="23917"/>
  <c r="V23" i="23917" s="1"/>
  <c r="Q22" i="23917"/>
  <c r="P19" i="24142"/>
  <c r="P20" i="24142" s="1"/>
  <c r="BA253" i="23917"/>
  <c r="AZ264" i="23917"/>
  <c r="AZ265" i="23917"/>
  <c r="AZ263" i="23917"/>
  <c r="AZ268" i="23917"/>
  <c r="BO19" i="23917"/>
  <c r="S22" i="23917"/>
  <c r="R19" i="24142"/>
  <c r="R20" i="24142" s="1"/>
  <c r="AZ75" i="24142"/>
  <c r="CH29" i="23917"/>
  <c r="CH22" i="23917"/>
  <c r="CH23" i="23917" s="1"/>
  <c r="CI19" i="23917"/>
  <c r="AN29" i="23917"/>
  <c r="AO19" i="23917"/>
  <c r="AN22" i="23917"/>
  <c r="AN23" i="23917" s="1"/>
  <c r="DF19" i="23917"/>
  <c r="DE22" i="23917"/>
  <c r="DE23" i="23917" s="1"/>
  <c r="DO240" i="23917"/>
  <c r="AK74" i="24142"/>
  <c r="N29" i="23917"/>
  <c r="O19" i="23917"/>
  <c r="N22" i="23917"/>
  <c r="N23" i="23917" s="1"/>
  <c r="AP19" i="24142"/>
  <c r="AP20" i="24142" s="1"/>
  <c r="BB19" i="24142"/>
  <c r="BB20" i="24142" s="1"/>
  <c r="BC22" i="23917"/>
  <c r="AS97" i="23917"/>
  <c r="U22" i="23917"/>
  <c r="T19" i="24142"/>
  <c r="T20" i="24142" s="1"/>
  <c r="AE73" i="24142"/>
  <c r="BS97" i="23917"/>
  <c r="Y29" i="23917"/>
  <c r="AB29" i="23917"/>
  <c r="AB22" i="23917"/>
  <c r="AB23" i="23917" s="1"/>
  <c r="AC19" i="23917"/>
  <c r="M22" i="23917"/>
  <c r="L19" i="24142"/>
  <c r="L20" i="24142" s="1"/>
  <c r="DH10" i="23917"/>
  <c r="BH74" i="24142"/>
  <c r="BH75" i="24142"/>
  <c r="CJ19" i="23917"/>
  <c r="DN14" i="23917"/>
  <c r="DO253" i="23917"/>
  <c r="AX29" i="23917"/>
  <c r="AX22" i="23917"/>
  <c r="AX23" i="23917" s="1"/>
  <c r="AY19" i="23917"/>
  <c r="CP12" i="23917"/>
  <c r="I22" i="23917"/>
  <c r="H19" i="24142"/>
  <c r="H20" i="24142" s="1"/>
  <c r="AR19" i="24142"/>
  <c r="AR20" i="24142" s="1"/>
  <c r="DN268" i="23917"/>
  <c r="DK19" i="23917"/>
  <c r="BC29" i="23917"/>
  <c r="AM19" i="23917"/>
  <c r="AL22" i="23917"/>
  <c r="AL23" i="23917" s="1"/>
  <c r="AT19" i="24142"/>
  <c r="AT20" i="24142" s="1"/>
  <c r="AU22" i="23917"/>
  <c r="AE19" i="23917"/>
  <c r="AF29" i="23917"/>
  <c r="AG19" i="23917"/>
  <c r="AF22" i="23917"/>
  <c r="AF23" i="23917" s="1"/>
  <c r="BL74" i="24142"/>
  <c r="BL75" i="24142"/>
  <c r="DV10" i="23917"/>
  <c r="BJ29" i="23917"/>
  <c r="BK19" i="23917"/>
  <c r="BJ22" i="23917"/>
  <c r="BJ23" i="23917" s="1"/>
  <c r="E22" i="23917"/>
  <c r="D19" i="24142"/>
  <c r="D20" i="24142" s="1"/>
  <c r="BG71" i="24142"/>
  <c r="BG97" i="23917"/>
  <c r="DN310" i="23917"/>
  <c r="BP97" i="23917"/>
  <c r="BP73" i="24142"/>
  <c r="AO73" i="24142"/>
  <c r="AO97" i="23917"/>
  <c r="AH29" i="23917"/>
  <c r="AH22" i="23917"/>
  <c r="AH23" i="23917" s="1"/>
  <c r="AI19" i="23917"/>
  <c r="AK19" i="23917"/>
  <c r="AE74" i="24142"/>
  <c r="AQ29" i="23917"/>
  <c r="BD75" i="24142"/>
  <c r="DO97" i="23917"/>
  <c r="DO75" i="24142"/>
  <c r="DO74" i="24142"/>
  <c r="DO73" i="24142"/>
  <c r="DO71" i="24142"/>
  <c r="DO19" i="23917"/>
  <c r="AS73" i="24142"/>
  <c r="W71" i="24142"/>
  <c r="U29" i="23917"/>
  <c r="BV29" i="23917"/>
  <c r="BV30" i="23917" s="1"/>
  <c r="BV22" i="23917"/>
  <c r="BV23" i="23917" s="1"/>
  <c r="BW19" i="23917"/>
  <c r="BS71" i="24142"/>
  <c r="BS74" i="24142"/>
  <c r="Z29" i="23917"/>
  <c r="AA19" i="23917"/>
  <c r="Z22" i="23917"/>
  <c r="Z23" i="23917" s="1"/>
  <c r="BO71" i="24142"/>
  <c r="AU74" i="24142"/>
  <c r="AD19" i="24142"/>
  <c r="AD20" i="24142" s="1"/>
  <c r="AE22" i="23917"/>
  <c r="AQ73" i="24142"/>
  <c r="DC22" i="23917"/>
  <c r="DC23" i="23917" s="1"/>
  <c r="DD19" i="23917"/>
  <c r="BB249" i="23917"/>
  <c r="BC240" i="23917"/>
  <c r="BB250" i="23917"/>
  <c r="DR14" i="23917"/>
  <c r="EM486" i="24142" l="1"/>
  <c r="EM329" i="23917"/>
  <c r="EM259" i="23917"/>
  <c r="EL259" i="23917"/>
  <c r="EK259" i="23917"/>
  <c r="ED61" i="24142"/>
  <c r="CZ491" i="24142"/>
  <c r="CZ558" i="23917"/>
  <c r="DA61" i="24142"/>
  <c r="DA70" i="23917"/>
  <c r="CY494" i="24142"/>
  <c r="CY17" i="24142"/>
  <c r="CY560" i="23917"/>
  <c r="CY152" i="24142"/>
  <c r="CY303" i="23917"/>
  <c r="CT278" i="24142"/>
  <c r="CT12" i="24142"/>
  <c r="CT343" i="23917"/>
  <c r="CT276" i="24142"/>
  <c r="CT341" i="23917"/>
  <c r="CX273" i="24142"/>
  <c r="CX338" i="23917"/>
  <c r="CY269" i="24142"/>
  <c r="CY334" i="23917"/>
  <c r="CW273" i="24142"/>
  <c r="CW338" i="23917"/>
  <c r="EK481" i="24142"/>
  <c r="EK547" i="23917"/>
  <c r="EM481" i="24142"/>
  <c r="EK482" i="24142"/>
  <c r="EK548" i="23917"/>
  <c r="EM548" i="23917"/>
  <c r="EK271" i="24142"/>
  <c r="EK336" i="23917"/>
  <c r="EM271" i="24142"/>
  <c r="ED290" i="24142"/>
  <c r="ED356" i="23917"/>
  <c r="EC62" i="24142"/>
  <c r="EC25" i="24142"/>
  <c r="EC71" i="23917"/>
  <c r="EC28" i="23917"/>
  <c r="CX561" i="23917"/>
  <c r="CY491" i="24142"/>
  <c r="CY558" i="23917"/>
  <c r="DA188" i="24142"/>
  <c r="DA125" i="23917"/>
  <c r="DA162" i="24142"/>
  <c r="DA316" i="23917"/>
  <c r="CZ152" i="24142"/>
  <c r="CZ303" i="23917"/>
  <c r="CU275" i="24142"/>
  <c r="CU340" i="23917"/>
  <c r="CV275" i="24142"/>
  <c r="CV340" i="23917"/>
  <c r="CU17" i="23917"/>
  <c r="CT17" i="23917"/>
  <c r="DA62" i="24142"/>
  <c r="DA25" i="24142"/>
  <c r="DA71" i="23917"/>
  <c r="DA28" i="23917"/>
  <c r="CZ269" i="24142"/>
  <c r="CZ334" i="23917"/>
  <c r="EC270" i="24142"/>
  <c r="EC335" i="23917"/>
  <c r="EK182" i="24142"/>
  <c r="EK119" i="23917"/>
  <c r="EM182" i="24142"/>
  <c r="EL486" i="24142"/>
  <c r="EL552" i="23917"/>
  <c r="EK265" i="24142"/>
  <c r="EK330" i="23917"/>
  <c r="EM265" i="24142"/>
  <c r="EL263" i="24142"/>
  <c r="EL328" i="23917"/>
  <c r="ED272" i="24142"/>
  <c r="ED337" i="23917"/>
  <c r="EL264" i="24142"/>
  <c r="EL329" i="23917"/>
  <c r="DA492" i="24142"/>
  <c r="DA559" i="23917"/>
  <c r="DA270" i="24142"/>
  <c r="DA335" i="23917"/>
  <c r="EC61" i="24142"/>
  <c r="EC70" i="23917"/>
  <c r="BR79" i="24142"/>
  <c r="EF356" i="23917"/>
  <c r="EF290" i="24142"/>
  <c r="EI483" i="24142"/>
  <c r="EI549" i="23917"/>
  <c r="EJ547" i="23917"/>
  <c r="EJ481" i="24142"/>
  <c r="EJ482" i="24142"/>
  <c r="EJ548" i="23917"/>
  <c r="EM330" i="23917"/>
  <c r="EJ265" i="24142"/>
  <c r="EJ330" i="23917"/>
  <c r="EG555" i="23917"/>
  <c r="EG488" i="24142"/>
  <c r="EH205" i="23917"/>
  <c r="EH109" i="24142"/>
  <c r="EI109" i="24142"/>
  <c r="EI205" i="23917"/>
  <c r="EH549" i="23917"/>
  <c r="EH483" i="24142"/>
  <c r="EG232" i="24142"/>
  <c r="EH232" i="24142"/>
  <c r="EF286" i="24142"/>
  <c r="EF352" i="23917"/>
  <c r="EF555" i="23917"/>
  <c r="EF488" i="24142"/>
  <c r="EE70" i="23917"/>
  <c r="EE61" i="24142"/>
  <c r="EI272" i="24142"/>
  <c r="EI337" i="23917"/>
  <c r="EI352" i="23917"/>
  <c r="EI286" i="24142"/>
  <c r="EJ182" i="24142"/>
  <c r="EJ119" i="23917"/>
  <c r="EI145" i="24142"/>
  <c r="EI296" i="23917"/>
  <c r="EH296" i="23917"/>
  <c r="EH145" i="24142"/>
  <c r="EJ336" i="23917"/>
  <c r="EJ271" i="24142"/>
  <c r="EG270" i="24142"/>
  <c r="EG335" i="23917"/>
  <c r="EH272" i="24142"/>
  <c r="EH337" i="23917"/>
  <c r="EE490" i="24142"/>
  <c r="EE557" i="23917"/>
  <c r="EE335" i="23917"/>
  <c r="EE270" i="24142"/>
  <c r="EF337" i="23917"/>
  <c r="EF272" i="24142"/>
  <c r="EH553" i="23917"/>
  <c r="EH487" i="24142"/>
  <c r="EI553" i="23917"/>
  <c r="EI487" i="24142"/>
  <c r="EJ246" i="24142"/>
  <c r="EI246" i="24142"/>
  <c r="EH286" i="24142"/>
  <c r="EH352" i="23917"/>
  <c r="EJ331" i="23917"/>
  <c r="EJ266" i="24142"/>
  <c r="CP350" i="23917"/>
  <c r="M490" i="23917"/>
  <c r="BW82" i="23917"/>
  <c r="BW73" i="24142"/>
  <c r="Q72" i="24142"/>
  <c r="CQ278" i="24142"/>
  <c r="BO81" i="23917"/>
  <c r="Y72" i="24142"/>
  <c r="U79" i="23917"/>
  <c r="CE97" i="23917"/>
  <c r="CE75" i="24142"/>
  <c r="CQ343" i="23917"/>
  <c r="G490" i="23917"/>
  <c r="S72" i="24142"/>
  <c r="U72" i="24142"/>
  <c r="BS216" i="23917"/>
  <c r="CE74" i="24142"/>
  <c r="BO73" i="24142"/>
  <c r="BO74" i="24142"/>
  <c r="CS343" i="23917"/>
  <c r="L12" i="24158"/>
  <c r="BE68" i="24142"/>
  <c r="BE76" i="23917"/>
  <c r="BW281" i="24142"/>
  <c r="BW347" i="23917"/>
  <c r="BW70" i="24142"/>
  <c r="BW78" i="23917"/>
  <c r="DF76" i="24142"/>
  <c r="DF80" i="23917"/>
  <c r="T231" i="24142"/>
  <c r="T169" i="23917"/>
  <c r="T133" i="23917"/>
  <c r="T237" i="24142"/>
  <c r="T173" i="23917"/>
  <c r="BB245" i="23917"/>
  <c r="BB219" i="23917"/>
  <c r="AS72" i="24142"/>
  <c r="AS79" i="23917"/>
  <c r="AD23" i="24142"/>
  <c r="AD26" i="23917"/>
  <c r="AC192" i="24142"/>
  <c r="AC69" i="24142"/>
  <c r="AC77" i="23917"/>
  <c r="AC130" i="23917"/>
  <c r="DE72" i="24142"/>
  <c r="DE490" i="23917"/>
  <c r="DE79" i="23917"/>
  <c r="BS72" i="24142"/>
  <c r="BR72" i="24142"/>
  <c r="BR79" i="23917"/>
  <c r="K394" i="24142"/>
  <c r="K460" i="23917"/>
  <c r="W281" i="24142"/>
  <c r="W70" i="24142"/>
  <c r="W347" i="23917"/>
  <c r="W78" i="23917"/>
  <c r="DO119" i="24142"/>
  <c r="DO66" i="24142"/>
  <c r="DO74" i="23917"/>
  <c r="DO216" i="23917"/>
  <c r="DO76" i="24142"/>
  <c r="DO80" i="23917"/>
  <c r="DO281" i="24142"/>
  <c r="DO70" i="24142"/>
  <c r="DO347" i="23917"/>
  <c r="DO78" i="23917"/>
  <c r="DO77" i="24142"/>
  <c r="DO81" i="23917"/>
  <c r="DO78" i="24142"/>
  <c r="DO82" i="23917"/>
  <c r="BD281" i="24142"/>
  <c r="BD70" i="24142"/>
  <c r="BD347" i="23917"/>
  <c r="BD78" i="23917"/>
  <c r="E11" i="24158"/>
  <c r="BD19" i="23917"/>
  <c r="BD87" i="24142"/>
  <c r="BD90" i="23917"/>
  <c r="O79" i="23917"/>
  <c r="O192" i="24142"/>
  <c r="O69" i="24142"/>
  <c r="O77" i="23917"/>
  <c r="O130" i="23917"/>
  <c r="P205" i="24142"/>
  <c r="P143" i="23917"/>
  <c r="AS22" i="23917"/>
  <c r="AJ22" i="23917"/>
  <c r="AJ23" i="23917" s="1"/>
  <c r="AJ72" i="24142"/>
  <c r="AJ79" i="23917"/>
  <c r="AI78" i="24142"/>
  <c r="AI82" i="23917"/>
  <c r="DF322" i="24142"/>
  <c r="DF71" i="24142"/>
  <c r="DF388" i="23917"/>
  <c r="AO119" i="24142"/>
  <c r="AO66" i="24142"/>
  <c r="AO216" i="23917"/>
  <c r="AO74" i="23917"/>
  <c r="AO192" i="24142"/>
  <c r="AO69" i="24142"/>
  <c r="AO77" i="23917"/>
  <c r="AO130" i="23917"/>
  <c r="BP192" i="24142"/>
  <c r="BP69" i="24142"/>
  <c r="BP130" i="23917"/>
  <c r="BP77" i="23917"/>
  <c r="BQ71" i="24142"/>
  <c r="BP71" i="24142"/>
  <c r="BQ90" i="23917"/>
  <c r="BP87" i="24142"/>
  <c r="BP90" i="23917"/>
  <c r="BO192" i="24142"/>
  <c r="BO69" i="24142"/>
  <c r="BO77" i="23917"/>
  <c r="BO130" i="23917"/>
  <c r="BF72" i="24142"/>
  <c r="BF79" i="23917"/>
  <c r="D42" i="24142"/>
  <c r="D51" i="23917"/>
  <c r="DU68" i="24142"/>
  <c r="DU76" i="23917"/>
  <c r="AX72" i="24142"/>
  <c r="AX79" i="23917"/>
  <c r="BL281" i="24142"/>
  <c r="BL70" i="24142"/>
  <c r="BL347" i="23917"/>
  <c r="BL78" i="23917"/>
  <c r="I11" i="24158"/>
  <c r="BL19" i="23917"/>
  <c r="BL87" i="24142"/>
  <c r="BL90" i="23917"/>
  <c r="U240" i="24142"/>
  <c r="U176" i="23917"/>
  <c r="T251" i="24142"/>
  <c r="T185" i="23917"/>
  <c r="AT23" i="24142"/>
  <c r="AT26" i="23917"/>
  <c r="AU29" i="23917"/>
  <c r="AL29" i="23917"/>
  <c r="AU192" i="24142"/>
  <c r="AU69" i="24142"/>
  <c r="AU130" i="23917"/>
  <c r="AU77" i="23917"/>
  <c r="AL72" i="24142"/>
  <c r="AL79" i="23917"/>
  <c r="DK119" i="24142"/>
  <c r="DK66" i="24142"/>
  <c r="DK74" i="23917"/>
  <c r="DK216" i="23917"/>
  <c r="DK192" i="24142"/>
  <c r="DK69" i="24142"/>
  <c r="DK130" i="23917"/>
  <c r="DK77" i="23917"/>
  <c r="DK281" i="24142"/>
  <c r="DK70" i="24142"/>
  <c r="DK347" i="23917"/>
  <c r="DK78" i="23917"/>
  <c r="DL71" i="24142"/>
  <c r="DK71" i="24142"/>
  <c r="DL74" i="24142"/>
  <c r="DK74" i="24142"/>
  <c r="DK77" i="24142"/>
  <c r="DK81" i="23917"/>
  <c r="DL97" i="23917"/>
  <c r="DK97" i="23917"/>
  <c r="AK281" i="24142"/>
  <c r="AK70" i="24142"/>
  <c r="AK347" i="23917"/>
  <c r="AK78" i="23917"/>
  <c r="Z394" i="24142"/>
  <c r="Z460" i="23917"/>
  <c r="Z389" i="24142"/>
  <c r="Z455" i="23917"/>
  <c r="AR42" i="24142"/>
  <c r="AR51" i="23917"/>
  <c r="H42" i="24142"/>
  <c r="H51" i="23917"/>
  <c r="BO156" i="24142"/>
  <c r="BO67" i="24142"/>
  <c r="BO308" i="23917"/>
  <c r="BO75" i="23917"/>
  <c r="AS77" i="24142"/>
  <c r="AS81" i="23917"/>
  <c r="E240" i="24142"/>
  <c r="E176" i="23917"/>
  <c r="D251" i="24142"/>
  <c r="D185" i="23917"/>
  <c r="AQ281" i="24142"/>
  <c r="AQ70" i="24142"/>
  <c r="AQ347" i="23917"/>
  <c r="AQ78" i="23917"/>
  <c r="BO87" i="24142"/>
  <c r="BO90" i="23917"/>
  <c r="DN260" i="23917"/>
  <c r="DM260" i="23917"/>
  <c r="DE395" i="24142"/>
  <c r="DE461" i="23917"/>
  <c r="DF383" i="24142"/>
  <c r="DF449" i="23917"/>
  <c r="DE389" i="24142"/>
  <c r="DE455" i="23917"/>
  <c r="AG192" i="24142"/>
  <c r="AG69" i="24142"/>
  <c r="AG77" i="23917"/>
  <c r="AG130" i="23917"/>
  <c r="BH281" i="24142"/>
  <c r="BH70" i="24142"/>
  <c r="BH347" i="23917"/>
  <c r="BH78" i="23917"/>
  <c r="BH192" i="24142"/>
  <c r="BH69" i="24142"/>
  <c r="BH130" i="23917"/>
  <c r="BH77" i="23917"/>
  <c r="BH87" i="24142"/>
  <c r="BH90" i="23917"/>
  <c r="L42" i="24142"/>
  <c r="L51" i="23917"/>
  <c r="DF424" i="24142"/>
  <c r="DF74" i="24142"/>
  <c r="K395" i="24142"/>
  <c r="K461" i="23917"/>
  <c r="BV72" i="24142"/>
  <c r="BV79" i="23917"/>
  <c r="T42" i="24142"/>
  <c r="T51" i="23917"/>
  <c r="W77" i="24142"/>
  <c r="W81" i="23917"/>
  <c r="W192" i="24142"/>
  <c r="W69" i="24142"/>
  <c r="W77" i="23917"/>
  <c r="W130" i="23917"/>
  <c r="BB42" i="24142"/>
  <c r="BB51" i="23917"/>
  <c r="AP42" i="24142"/>
  <c r="AP51" i="23917"/>
  <c r="AE87" i="24142"/>
  <c r="AE90" i="23917"/>
  <c r="AK76" i="24142"/>
  <c r="AK80" i="23917"/>
  <c r="AZ281" i="24142"/>
  <c r="AZ70" i="24142"/>
  <c r="AZ347" i="23917"/>
  <c r="AZ78" i="23917"/>
  <c r="AZ192" i="24142"/>
  <c r="AZ69" i="24142"/>
  <c r="AZ130" i="23917"/>
  <c r="AZ77" i="23917"/>
  <c r="AZ87" i="24142"/>
  <c r="AZ90" i="23917"/>
  <c r="R23" i="24142"/>
  <c r="R26" i="23917"/>
  <c r="BO119" i="24142"/>
  <c r="BO66" i="24142"/>
  <c r="BO216" i="23917"/>
  <c r="BO74" i="23917"/>
  <c r="AZ258" i="23917"/>
  <c r="AZ220" i="23917"/>
  <c r="DL366" i="24142"/>
  <c r="DL432" i="23917"/>
  <c r="P42" i="24142"/>
  <c r="P51" i="23917"/>
  <c r="DC72" i="24142"/>
  <c r="DC490" i="23917"/>
  <c r="DC79" i="23917"/>
  <c r="BZ35" i="24142"/>
  <c r="BZ44" i="23917"/>
  <c r="BZ45" i="23917" s="1"/>
  <c r="BZ43" i="24142"/>
  <c r="BZ52" i="23917"/>
  <c r="J42" i="24142"/>
  <c r="J51" i="23917"/>
  <c r="F42" i="24142"/>
  <c r="F51" i="23917"/>
  <c r="K247" i="24142"/>
  <c r="K196" i="24142"/>
  <c r="B23" i="24142"/>
  <c r="B26" i="23917"/>
  <c r="AU78" i="24142"/>
  <c r="AU82" i="23917"/>
  <c r="BU156" i="24142"/>
  <c r="BT156" i="24142"/>
  <c r="BT67" i="24142"/>
  <c r="BT308" i="23917"/>
  <c r="BT75" i="23917"/>
  <c r="BU119" i="24142"/>
  <c r="BT119" i="24142"/>
  <c r="BT66" i="24142"/>
  <c r="BT74" i="23917"/>
  <c r="BT216" i="23917"/>
  <c r="BU97" i="23917"/>
  <c r="BT97" i="23917"/>
  <c r="M226" i="24142"/>
  <c r="M164" i="23917"/>
  <c r="E226" i="24142"/>
  <c r="E164" i="23917"/>
  <c r="DC362" i="24142"/>
  <c r="DC428" i="23917"/>
  <c r="DC366" i="24142"/>
  <c r="DC432" i="23917"/>
  <c r="DC367" i="24142"/>
  <c r="DC433" i="23917"/>
  <c r="BX156" i="24142"/>
  <c r="BX67" i="24142"/>
  <c r="BX308" i="23917"/>
  <c r="BX75" i="23917"/>
  <c r="BX192" i="24142"/>
  <c r="BX69" i="24142"/>
  <c r="BX130" i="23917"/>
  <c r="BX77" i="23917"/>
  <c r="BX119" i="24142"/>
  <c r="BX66" i="24142"/>
  <c r="BX74" i="23917"/>
  <c r="BX216" i="23917"/>
  <c r="X42" i="24142"/>
  <c r="X51" i="23917"/>
  <c r="AQ68" i="24142"/>
  <c r="AQ76" i="23917"/>
  <c r="K389" i="24142"/>
  <c r="K455" i="23917"/>
  <c r="C389" i="24142"/>
  <c r="C455" i="23917"/>
  <c r="B393" i="24142"/>
  <c r="B459" i="23917"/>
  <c r="W68" i="24142"/>
  <c r="W76" i="23917"/>
  <c r="R236" i="24142"/>
  <c r="R172" i="23917"/>
  <c r="AQ156" i="24142"/>
  <c r="AQ67" i="24142"/>
  <c r="AQ308" i="23917"/>
  <c r="AQ75" i="23917"/>
  <c r="AE156" i="24142"/>
  <c r="AE67" i="24142"/>
  <c r="AE308" i="23917"/>
  <c r="AE75" i="23917"/>
  <c r="X363" i="24142"/>
  <c r="X429" i="23917"/>
  <c r="X368" i="24142"/>
  <c r="X434" i="23917"/>
  <c r="X367" i="24142"/>
  <c r="X433" i="23917"/>
  <c r="AV156" i="24142"/>
  <c r="AV67" i="24142"/>
  <c r="AV308" i="23917"/>
  <c r="AV75" i="23917"/>
  <c r="AV281" i="24142"/>
  <c r="AV70" i="24142"/>
  <c r="AV347" i="23917"/>
  <c r="AV78" i="23917"/>
  <c r="AV119" i="24142"/>
  <c r="AV66" i="24142"/>
  <c r="AV74" i="23917"/>
  <c r="AV216" i="23917"/>
  <c r="AW71" i="24142"/>
  <c r="AV71" i="24142"/>
  <c r="AV77" i="24142"/>
  <c r="AV81" i="23917"/>
  <c r="AW73" i="24142"/>
  <c r="AV73" i="24142"/>
  <c r="AW74" i="24142"/>
  <c r="AV74" i="24142"/>
  <c r="AW97" i="23917"/>
  <c r="AV97" i="23917"/>
  <c r="AQ192" i="24142"/>
  <c r="AQ69" i="24142"/>
  <c r="AQ130" i="23917"/>
  <c r="AQ77" i="23917"/>
  <c r="AH72" i="24142"/>
  <c r="AH79" i="23917"/>
  <c r="DI69" i="24142"/>
  <c r="DI130" i="23917"/>
  <c r="DI77" i="23917"/>
  <c r="DI281" i="24142"/>
  <c r="DI70" i="24142"/>
  <c r="DI347" i="23917"/>
  <c r="DI78" i="23917"/>
  <c r="DI357" i="24142"/>
  <c r="DI73" i="24142"/>
  <c r="DI423" i="23917"/>
  <c r="DI77" i="24142"/>
  <c r="DI81" i="23917"/>
  <c r="AQ87" i="24142"/>
  <c r="AQ90" i="23917"/>
  <c r="AS87" i="24142"/>
  <c r="AS90" i="23917"/>
  <c r="Z72" i="24142"/>
  <c r="Z490" i="23917"/>
  <c r="Z79" i="23917"/>
  <c r="BK192" i="24142"/>
  <c r="BK69" i="24142"/>
  <c r="BK77" i="23917"/>
  <c r="BK130" i="23917"/>
  <c r="BN68" i="24142"/>
  <c r="BN76" i="23917"/>
  <c r="BN119" i="24142"/>
  <c r="BN66" i="24142"/>
  <c r="BN74" i="23917"/>
  <c r="BN216" i="23917"/>
  <c r="J11" i="24158"/>
  <c r="J12" i="24158" s="1"/>
  <c r="BN19" i="23917"/>
  <c r="BN82" i="23917"/>
  <c r="BN78" i="24142"/>
  <c r="BN156" i="24142"/>
  <c r="BN67" i="24142"/>
  <c r="BN308" i="23917"/>
  <c r="BN75" i="23917"/>
  <c r="AY78" i="24142"/>
  <c r="AY82" i="23917"/>
  <c r="AX83" i="23917"/>
  <c r="AX79" i="24142"/>
  <c r="AY119" i="24142"/>
  <c r="AY66" i="24142"/>
  <c r="AY216" i="23917"/>
  <c r="AY74" i="23917"/>
  <c r="BM68" i="24142"/>
  <c r="BM76" i="23917"/>
  <c r="DD87" i="24142"/>
  <c r="DD90" i="23917"/>
  <c r="DD119" i="24142"/>
  <c r="DD66" i="24142"/>
  <c r="DD216" i="23917"/>
  <c r="DD74" i="23917"/>
  <c r="DL367" i="24142"/>
  <c r="DL433" i="23917"/>
  <c r="DL363" i="24142"/>
  <c r="DL429" i="23917"/>
  <c r="AG78" i="24142"/>
  <c r="AG82" i="23917"/>
  <c r="AG281" i="24142"/>
  <c r="AG70" i="24142"/>
  <c r="AG347" i="23917"/>
  <c r="AG78" i="23917"/>
  <c r="AU76" i="24142"/>
  <c r="AU80" i="23917"/>
  <c r="AM77" i="24142"/>
  <c r="AM81" i="23917"/>
  <c r="AM119" i="24142"/>
  <c r="AM66" i="24142"/>
  <c r="AM216" i="23917"/>
  <c r="AM74" i="23917"/>
  <c r="AC78" i="24142"/>
  <c r="AC82" i="23917"/>
  <c r="AC357" i="24142"/>
  <c r="AC73" i="24142"/>
  <c r="AC423" i="23917"/>
  <c r="AC119" i="24142"/>
  <c r="AC66" i="24142"/>
  <c r="AC216" i="23917"/>
  <c r="AC74" i="23917"/>
  <c r="AA77" i="24142"/>
  <c r="AA81" i="23917"/>
  <c r="AA281" i="24142"/>
  <c r="AA70" i="24142"/>
  <c r="AA347" i="23917"/>
  <c r="AA78" i="23917"/>
  <c r="AA68" i="24142"/>
  <c r="AA76" i="23917"/>
  <c r="AS76" i="24142"/>
  <c r="AS80" i="23917"/>
  <c r="W424" i="24142"/>
  <c r="W74" i="24142"/>
  <c r="O87" i="24142"/>
  <c r="O90" i="23917"/>
  <c r="O119" i="24142"/>
  <c r="O66" i="24142"/>
  <c r="O216" i="23917"/>
  <c r="O74" i="23917"/>
  <c r="O68" i="24142"/>
  <c r="O76" i="23917"/>
  <c r="AK78" i="24142"/>
  <c r="AK82" i="23917"/>
  <c r="AS192" i="24142"/>
  <c r="AS69" i="24142"/>
  <c r="AS77" i="23917"/>
  <c r="AS130" i="23917"/>
  <c r="AI77" i="24142"/>
  <c r="AI81" i="23917"/>
  <c r="AI119" i="24142"/>
  <c r="AI66" i="24142"/>
  <c r="AI216" i="23917"/>
  <c r="AI74" i="23917"/>
  <c r="DF156" i="24142"/>
  <c r="DF67" i="24142"/>
  <c r="DF308" i="23917"/>
  <c r="DF75" i="23917"/>
  <c r="AO87" i="24142"/>
  <c r="AO90" i="23917"/>
  <c r="AO281" i="24142"/>
  <c r="AO70" i="24142"/>
  <c r="AO347" i="23917"/>
  <c r="AO78" i="23917"/>
  <c r="AO68" i="24142"/>
  <c r="AO76" i="23917"/>
  <c r="DD424" i="24142"/>
  <c r="DD74" i="24142"/>
  <c r="BK281" i="24142"/>
  <c r="BK70" i="24142"/>
  <c r="BK347" i="23917"/>
  <c r="BK78" i="23917"/>
  <c r="BF30" i="23917"/>
  <c r="AY77" i="24142"/>
  <c r="AY81" i="23917"/>
  <c r="AY156" i="24142"/>
  <c r="AY67" i="24142"/>
  <c r="AY308" i="23917"/>
  <c r="AY75" i="23917"/>
  <c r="DD78" i="24142"/>
  <c r="DD82" i="23917"/>
  <c r="DD357" i="24142"/>
  <c r="DD73" i="24142"/>
  <c r="DD423" i="23917"/>
  <c r="DL362" i="24142"/>
  <c r="DL428" i="23917"/>
  <c r="AG156" i="24142"/>
  <c r="AG67" i="24142"/>
  <c r="AG308" i="23917"/>
  <c r="AG75" i="23917"/>
  <c r="AM281" i="24142"/>
  <c r="AM70" i="24142"/>
  <c r="AM347" i="23917"/>
  <c r="AM78" i="23917"/>
  <c r="AC87" i="24142"/>
  <c r="AC90" i="23917"/>
  <c r="AC76" i="24142"/>
  <c r="AC80" i="23917"/>
  <c r="AA87" i="24142"/>
  <c r="AA90" i="23917"/>
  <c r="AA76" i="24142"/>
  <c r="AA80" i="23917"/>
  <c r="BR30" i="23917"/>
  <c r="W87" i="24142"/>
  <c r="W90" i="23917"/>
  <c r="W76" i="24142"/>
  <c r="W80" i="23917"/>
  <c r="O77" i="24142"/>
  <c r="O81" i="23917"/>
  <c r="O76" i="24142"/>
  <c r="O80" i="23917"/>
  <c r="Y393" i="24142"/>
  <c r="Y459" i="23917"/>
  <c r="AI281" i="24142"/>
  <c r="AI70" i="24142"/>
  <c r="AI347" i="23917"/>
  <c r="AI78" i="23917"/>
  <c r="AO78" i="24142"/>
  <c r="AO82" i="23917"/>
  <c r="DD322" i="24142"/>
  <c r="DD71" i="24142"/>
  <c r="DD388" i="23917"/>
  <c r="BK87" i="24142"/>
  <c r="BK90" i="23917"/>
  <c r="BK156" i="24142"/>
  <c r="BK67" i="24142"/>
  <c r="BK308" i="23917"/>
  <c r="BK75" i="23917"/>
  <c r="U226" i="24142"/>
  <c r="U164" i="23917"/>
  <c r="AE119" i="24142"/>
  <c r="AE66" i="24142"/>
  <c r="AE216" i="23917"/>
  <c r="AE74" i="23917"/>
  <c r="BB248" i="23917"/>
  <c r="AY277" i="23917"/>
  <c r="AX277" i="23917"/>
  <c r="DF68" i="24142"/>
  <c r="DF76" i="23917"/>
  <c r="S247" i="24142"/>
  <c r="S196" i="24142"/>
  <c r="BH68" i="24142"/>
  <c r="BH76" i="23917"/>
  <c r="AE76" i="24142"/>
  <c r="AE80" i="23917"/>
  <c r="AD42" i="24142"/>
  <c r="AD51" i="23917"/>
  <c r="AB72" i="24142"/>
  <c r="AB79" i="23917"/>
  <c r="DF192" i="24142"/>
  <c r="DF69" i="24142"/>
  <c r="DF130" i="23917"/>
  <c r="DF77" i="23917"/>
  <c r="AS78" i="24142"/>
  <c r="AS82" i="23917"/>
  <c r="C394" i="24142"/>
  <c r="C460" i="23917"/>
  <c r="W78" i="24142"/>
  <c r="W82" i="23917"/>
  <c r="DO156" i="24142"/>
  <c r="DO67" i="24142"/>
  <c r="DO308" i="23917"/>
  <c r="DO75" i="23917"/>
  <c r="DO192" i="24142"/>
  <c r="DO69" i="24142"/>
  <c r="DO130" i="23917"/>
  <c r="DO77" i="23917"/>
  <c r="DO87" i="24142"/>
  <c r="DO90" i="23917"/>
  <c r="BD156" i="24142"/>
  <c r="BD67" i="24142"/>
  <c r="BD308" i="23917"/>
  <c r="BD75" i="23917"/>
  <c r="BD192" i="24142"/>
  <c r="BD69" i="24142"/>
  <c r="BD130" i="23917"/>
  <c r="BD77" i="23917"/>
  <c r="BD119" i="24142"/>
  <c r="BD66" i="24142"/>
  <c r="BD74" i="23917"/>
  <c r="BD216" i="23917"/>
  <c r="BE71" i="24142"/>
  <c r="BD71" i="24142"/>
  <c r="BE97" i="23917"/>
  <c r="BD97" i="23917"/>
  <c r="AQ77" i="24142"/>
  <c r="AQ81" i="23917"/>
  <c r="N72" i="24142"/>
  <c r="N490" i="23917"/>
  <c r="N79" i="23917"/>
  <c r="P201" i="24142"/>
  <c r="P139" i="23917"/>
  <c r="AS29" i="23917"/>
  <c r="AJ29" i="23917"/>
  <c r="AK192" i="24142"/>
  <c r="AK69" i="24142"/>
  <c r="AK77" i="23917"/>
  <c r="AK130" i="23917"/>
  <c r="AI76" i="24142"/>
  <c r="AI80" i="23917"/>
  <c r="DF87" i="24142"/>
  <c r="DF90" i="23917"/>
  <c r="AN72" i="24142"/>
  <c r="AN79" i="23917"/>
  <c r="BP156" i="24142"/>
  <c r="BP67" i="24142"/>
  <c r="BP308" i="23917"/>
  <c r="BP75" i="23917"/>
  <c r="BP119" i="24142"/>
  <c r="BP66" i="24142"/>
  <c r="BP74" i="23917"/>
  <c r="BP216" i="23917"/>
  <c r="BQ281" i="24142"/>
  <c r="BP281" i="24142"/>
  <c r="BP70" i="24142"/>
  <c r="BP347" i="23917"/>
  <c r="BP78" i="23917"/>
  <c r="K11" i="24158"/>
  <c r="BP19" i="23917"/>
  <c r="AZ68" i="24142"/>
  <c r="AZ76" i="23917"/>
  <c r="BG281" i="24142"/>
  <c r="BG70" i="24142"/>
  <c r="BG347" i="23917"/>
  <c r="BG78" i="23917"/>
  <c r="BG192" i="24142"/>
  <c r="BG69" i="24142"/>
  <c r="BG77" i="23917"/>
  <c r="BG130" i="23917"/>
  <c r="D23" i="24142"/>
  <c r="D26" i="23917"/>
  <c r="AU72" i="24142"/>
  <c r="AU79" i="23917"/>
  <c r="AY192" i="24142"/>
  <c r="AY69" i="24142"/>
  <c r="AY130" i="23917"/>
  <c r="AY77" i="23917"/>
  <c r="BL156" i="24142"/>
  <c r="BL67" i="24142"/>
  <c r="BL308" i="23917"/>
  <c r="BL75" i="23917"/>
  <c r="BL192" i="24142"/>
  <c r="BL69" i="24142"/>
  <c r="BL130" i="23917"/>
  <c r="BL77" i="23917"/>
  <c r="BL119" i="24142"/>
  <c r="BL66" i="24142"/>
  <c r="BL74" i="23917"/>
  <c r="BL216" i="23917"/>
  <c r="BM71" i="24142"/>
  <c r="BL71" i="24142"/>
  <c r="BM97" i="23917"/>
  <c r="BL97" i="23917"/>
  <c r="T245" i="24142"/>
  <c r="T134" i="23917"/>
  <c r="T181" i="23917"/>
  <c r="T250" i="24142"/>
  <c r="T184" i="23917"/>
  <c r="AT42" i="24142"/>
  <c r="AT51" i="23917"/>
  <c r="AM192" i="24142"/>
  <c r="AM69" i="24142"/>
  <c r="AM77" i="23917"/>
  <c r="AM130" i="23917"/>
  <c r="DK76" i="24142"/>
  <c r="DK80" i="23917"/>
  <c r="DK156" i="24142"/>
  <c r="DK67" i="24142"/>
  <c r="DK308" i="23917"/>
  <c r="DK75" i="23917"/>
  <c r="DK78" i="24142"/>
  <c r="DK82" i="23917"/>
  <c r="DK357" i="24142"/>
  <c r="DK73" i="24142"/>
  <c r="DK423" i="23917"/>
  <c r="DL75" i="24142"/>
  <c r="DK75" i="24142"/>
  <c r="DK87" i="24142"/>
  <c r="DK90" i="23917"/>
  <c r="AS281" i="24142"/>
  <c r="AS70" i="24142"/>
  <c r="AS347" i="23917"/>
  <c r="AS78" i="23917"/>
  <c r="Z395" i="24142"/>
  <c r="Z461" i="23917"/>
  <c r="AA383" i="24142"/>
  <c r="AA449" i="23917"/>
  <c r="DM221" i="23917"/>
  <c r="DM273" i="23917"/>
  <c r="AR23" i="24142"/>
  <c r="AR26" i="23917"/>
  <c r="H23" i="24142"/>
  <c r="H26" i="23917"/>
  <c r="BG156" i="24142"/>
  <c r="BG67" i="24142"/>
  <c r="BG308" i="23917"/>
  <c r="BG75" i="23917"/>
  <c r="M240" i="24142"/>
  <c r="M176" i="23917"/>
  <c r="D245" i="24142"/>
  <c r="D134" i="23917"/>
  <c r="D181" i="23917"/>
  <c r="D250" i="24142"/>
  <c r="D184" i="23917"/>
  <c r="DI68" i="24142"/>
  <c r="DI76" i="23917"/>
  <c r="DN258" i="23917"/>
  <c r="DN220" i="23917"/>
  <c r="B197" i="24142"/>
  <c r="B135" i="23917"/>
  <c r="DE394" i="24142"/>
  <c r="DE460" i="23917"/>
  <c r="DH383" i="24142"/>
  <c r="DH449" i="23917"/>
  <c r="AF72" i="24142"/>
  <c r="AF79" i="23917"/>
  <c r="BH156" i="24142"/>
  <c r="BH67" i="24142"/>
  <c r="BH308" i="23917"/>
  <c r="BH75" i="23917"/>
  <c r="BH119" i="24142"/>
  <c r="BH66" i="24142"/>
  <c r="BH74" i="23917"/>
  <c r="BH216" i="23917"/>
  <c r="G11" i="24158"/>
  <c r="BH19" i="23917"/>
  <c r="BI71" i="24142"/>
  <c r="BH71" i="24142"/>
  <c r="BI97" i="23917"/>
  <c r="BH97" i="23917"/>
  <c r="L23" i="24142"/>
  <c r="L26" i="23917"/>
  <c r="AU87" i="24142"/>
  <c r="AU90" i="23917"/>
  <c r="C395" i="24142"/>
  <c r="C461" i="23917"/>
  <c r="T23" i="24142"/>
  <c r="T26" i="23917"/>
  <c r="BC72" i="24142"/>
  <c r="BC79" i="23917"/>
  <c r="V72" i="24142"/>
  <c r="V490" i="23917"/>
  <c r="V79" i="23917"/>
  <c r="D14" i="24158"/>
  <c r="BB23" i="24142"/>
  <c r="BB26" i="23917"/>
  <c r="AP23" i="24142"/>
  <c r="AP26" i="23917"/>
  <c r="AV68" i="24142"/>
  <c r="AV76" i="23917"/>
  <c r="DN245" i="23917"/>
  <c r="DN219" i="23917"/>
  <c r="AZ156" i="24142"/>
  <c r="AZ67" i="24142"/>
  <c r="AZ308" i="23917"/>
  <c r="AZ75" i="23917"/>
  <c r="AZ119" i="24142"/>
  <c r="AZ66" i="24142"/>
  <c r="AZ74" i="23917"/>
  <c r="AZ216" i="23917"/>
  <c r="C11" i="24158"/>
  <c r="AZ19" i="23917"/>
  <c r="BA71" i="24142"/>
  <c r="AZ71" i="24142"/>
  <c r="BA97" i="23917"/>
  <c r="AZ97" i="23917"/>
  <c r="R42" i="24142"/>
  <c r="R51" i="23917"/>
  <c r="P23" i="24142"/>
  <c r="P26" i="23917"/>
  <c r="DD192" i="24142"/>
  <c r="DD69" i="24142"/>
  <c r="DD130" i="23917"/>
  <c r="DD77" i="23917"/>
  <c r="AE29" i="23917"/>
  <c r="V29" i="23917"/>
  <c r="BZ26" i="24142"/>
  <c r="BZ27" i="24142" s="1"/>
  <c r="BZ34" i="23917"/>
  <c r="BZ32" i="23917" s="1"/>
  <c r="J23" i="24142"/>
  <c r="J26" i="23917"/>
  <c r="F23" i="24142"/>
  <c r="F26" i="23917"/>
  <c r="R197" i="24142"/>
  <c r="R135" i="23917"/>
  <c r="B42" i="24142"/>
  <c r="B51" i="23917"/>
  <c r="BT192" i="24142"/>
  <c r="BT69" i="24142"/>
  <c r="BT130" i="23917"/>
  <c r="BT77" i="23917"/>
  <c r="BT281" i="24142"/>
  <c r="BT70" i="24142"/>
  <c r="BT347" i="23917"/>
  <c r="BT78" i="23917"/>
  <c r="M11" i="24158"/>
  <c r="BT19" i="23917"/>
  <c r="BT87" i="24142"/>
  <c r="BT90" i="23917"/>
  <c r="D231" i="24142"/>
  <c r="D169" i="23917"/>
  <c r="D133" i="23917"/>
  <c r="D237" i="24142"/>
  <c r="D173" i="23917"/>
  <c r="DC363" i="24142"/>
  <c r="DC429" i="23917"/>
  <c r="DC368" i="24142"/>
  <c r="DC434" i="23917"/>
  <c r="DC396" i="24142"/>
  <c r="DC462" i="23917"/>
  <c r="BX281" i="24142"/>
  <c r="BX70" i="24142"/>
  <c r="BX347" i="23917"/>
  <c r="BX78" i="23917"/>
  <c r="BX87" i="24142"/>
  <c r="BX90" i="23917"/>
  <c r="X23" i="24142"/>
  <c r="X26" i="23917"/>
  <c r="AS68" i="24142"/>
  <c r="AS76" i="23917"/>
  <c r="D383" i="24142"/>
  <c r="D449" i="23917"/>
  <c r="W119" i="24142"/>
  <c r="W66" i="24142"/>
  <c r="W216" i="23917"/>
  <c r="W74" i="23917"/>
  <c r="AS156" i="24142"/>
  <c r="AS67" i="24142"/>
  <c r="AS308" i="23917"/>
  <c r="AS75" i="23917"/>
  <c r="AU281" i="24142"/>
  <c r="AU70" i="24142"/>
  <c r="AU347" i="23917"/>
  <c r="AU78" i="23917"/>
  <c r="X362" i="24142"/>
  <c r="X428" i="23917"/>
  <c r="X366" i="24142"/>
  <c r="X432" i="23917"/>
  <c r="X396" i="24142"/>
  <c r="X462" i="23917"/>
  <c r="AV76" i="24142"/>
  <c r="AV80" i="23917"/>
  <c r="AV192" i="24142"/>
  <c r="AV69" i="24142"/>
  <c r="AV130" i="23917"/>
  <c r="AV77" i="23917"/>
  <c r="AV78" i="24142"/>
  <c r="AV82" i="23917"/>
  <c r="AV87" i="24142"/>
  <c r="AV90" i="23917"/>
  <c r="AI192" i="24142"/>
  <c r="AI69" i="24142"/>
  <c r="AI77" i="23917"/>
  <c r="AI130" i="23917"/>
  <c r="DI119" i="24142"/>
  <c r="DI66" i="24142"/>
  <c r="DI74" i="23917"/>
  <c r="DI216" i="23917"/>
  <c r="DI156" i="24142"/>
  <c r="DI67" i="24142"/>
  <c r="DI308" i="23917"/>
  <c r="DI75" i="23917"/>
  <c r="DI76" i="24142"/>
  <c r="DI80" i="23917"/>
  <c r="DI424" i="24142"/>
  <c r="DI74" i="24142"/>
  <c r="DI78" i="24142"/>
  <c r="DI82" i="23917"/>
  <c r="DI87" i="24142"/>
  <c r="DI90" i="23917"/>
  <c r="AO156" i="24142"/>
  <c r="AO67" i="24142"/>
  <c r="AO308" i="23917"/>
  <c r="AO75" i="23917"/>
  <c r="AA192" i="24142"/>
  <c r="AA69" i="24142"/>
  <c r="AA77" i="23917"/>
  <c r="AA130" i="23917"/>
  <c r="BJ72" i="24142"/>
  <c r="BJ79" i="23917"/>
  <c r="BN76" i="24142"/>
  <c r="BN80" i="23917"/>
  <c r="BN77" i="24142"/>
  <c r="BN81" i="23917"/>
  <c r="BN87" i="24142"/>
  <c r="BN90" i="23917"/>
  <c r="BN281" i="24142"/>
  <c r="BN70" i="24142"/>
  <c r="BN347" i="23917"/>
  <c r="BN78" i="23917"/>
  <c r="BN192" i="24142"/>
  <c r="BN69" i="24142"/>
  <c r="BN130" i="23917"/>
  <c r="BN77" i="23917"/>
  <c r="AX30" i="23917"/>
  <c r="AY281" i="24142"/>
  <c r="AY70" i="24142"/>
  <c r="AY347" i="23917"/>
  <c r="AY78" i="23917"/>
  <c r="DD77" i="24142"/>
  <c r="DD81" i="23917"/>
  <c r="DD156" i="24142"/>
  <c r="DD67" i="24142"/>
  <c r="DD308" i="23917"/>
  <c r="DD75" i="23917"/>
  <c r="DL368" i="24142"/>
  <c r="DL434" i="23917"/>
  <c r="AG87" i="24142"/>
  <c r="AG90" i="23917"/>
  <c r="AG77" i="24142"/>
  <c r="AG81" i="23917"/>
  <c r="AG76" i="24142"/>
  <c r="AG80" i="23917"/>
  <c r="AM78" i="24142"/>
  <c r="AM82" i="23917"/>
  <c r="AM76" i="24142"/>
  <c r="AM80" i="23917"/>
  <c r="AM68" i="24142"/>
  <c r="AM76" i="23917"/>
  <c r="AC77" i="24142"/>
  <c r="AC81" i="23917"/>
  <c r="AC281" i="24142"/>
  <c r="AC70" i="24142"/>
  <c r="AC347" i="23917"/>
  <c r="AC78" i="23917"/>
  <c r="AA424" i="24142"/>
  <c r="AA74" i="24142"/>
  <c r="AA119" i="24142"/>
  <c r="AA66" i="24142"/>
  <c r="AA216" i="23917"/>
  <c r="AA74" i="23917"/>
  <c r="BW71" i="24142"/>
  <c r="AE78" i="24142"/>
  <c r="AE82" i="23917"/>
  <c r="O78" i="24142"/>
  <c r="O82" i="23917"/>
  <c r="O357" i="24142"/>
  <c r="O73" i="24142"/>
  <c r="O423" i="23917"/>
  <c r="O156" i="24142"/>
  <c r="O67" i="24142"/>
  <c r="O308" i="23917"/>
  <c r="O75" i="23917"/>
  <c r="AK77" i="24142"/>
  <c r="AK81" i="23917"/>
  <c r="AK119" i="24142"/>
  <c r="AK66" i="24142"/>
  <c r="AK216" i="23917"/>
  <c r="AK74" i="23917"/>
  <c r="AK156" i="24142"/>
  <c r="AK67" i="24142"/>
  <c r="AK308" i="23917"/>
  <c r="AK75" i="23917"/>
  <c r="AI87" i="24142"/>
  <c r="AI90" i="23917"/>
  <c r="AI156" i="24142"/>
  <c r="AI67" i="24142"/>
  <c r="AI308" i="23917"/>
  <c r="AI75" i="23917"/>
  <c r="AI68" i="24142"/>
  <c r="AI76" i="23917"/>
  <c r="DF78" i="24142"/>
  <c r="DF82" i="23917"/>
  <c r="DF357" i="24142"/>
  <c r="DF73" i="24142"/>
  <c r="DF423" i="23917"/>
  <c r="DF119" i="24142"/>
  <c r="DF66" i="24142"/>
  <c r="DF216" i="23917"/>
  <c r="DF74" i="23917"/>
  <c r="AO77" i="24142"/>
  <c r="AO81" i="23917"/>
  <c r="AO76" i="24142"/>
  <c r="AO80" i="23917"/>
  <c r="BK68" i="24142"/>
  <c r="BK76" i="23917"/>
  <c r="BO97" i="23917"/>
  <c r="F12" i="24158"/>
  <c r="BG119" i="24142"/>
  <c r="BG66" i="24142"/>
  <c r="BG216" i="23917"/>
  <c r="BG74" i="23917"/>
  <c r="AZ310" i="23917"/>
  <c r="BA310" i="23917"/>
  <c r="AY87" i="24142"/>
  <c r="AY90" i="23917"/>
  <c r="AY76" i="24142"/>
  <c r="AY80" i="23917"/>
  <c r="AY68" i="24142"/>
  <c r="AY76" i="23917"/>
  <c r="DD76" i="24142"/>
  <c r="DD80" i="23917"/>
  <c r="DL396" i="24142"/>
  <c r="DL462" i="23917"/>
  <c r="DD393" i="24142"/>
  <c r="DD459" i="23917"/>
  <c r="AG119" i="24142"/>
  <c r="AG66" i="24142"/>
  <c r="AG216" i="23917"/>
  <c r="AG74" i="23917"/>
  <c r="AM87" i="24142"/>
  <c r="AM90" i="23917"/>
  <c r="AM156" i="24142"/>
  <c r="AM67" i="24142"/>
  <c r="AM308" i="23917"/>
  <c r="AM75" i="23917"/>
  <c r="AC156" i="24142"/>
  <c r="AC67" i="24142"/>
  <c r="AC308" i="23917"/>
  <c r="AC75" i="23917"/>
  <c r="AC68" i="24142"/>
  <c r="AC76" i="23917"/>
  <c r="AA78" i="24142"/>
  <c r="AA82" i="23917"/>
  <c r="AA357" i="24142"/>
  <c r="AA73" i="24142"/>
  <c r="AA423" i="23917"/>
  <c r="AA156" i="24142"/>
  <c r="AA67" i="24142"/>
  <c r="AA308" i="23917"/>
  <c r="AA75" i="23917"/>
  <c r="BW97" i="23917"/>
  <c r="AE77" i="24142"/>
  <c r="AE81" i="23917"/>
  <c r="W357" i="24142"/>
  <c r="W73" i="24142"/>
  <c r="W423" i="23917"/>
  <c r="W156" i="24142"/>
  <c r="W67" i="24142"/>
  <c r="W308" i="23917"/>
  <c r="W75" i="23917"/>
  <c r="O424" i="24142"/>
  <c r="O74" i="24142"/>
  <c r="O281" i="24142"/>
  <c r="O70" i="24142"/>
  <c r="O347" i="23917"/>
  <c r="O78" i="23917"/>
  <c r="AK87" i="24142"/>
  <c r="AK90" i="23917"/>
  <c r="DD68" i="24142"/>
  <c r="DD76" i="23917"/>
  <c r="AQ76" i="24142"/>
  <c r="AQ80" i="23917"/>
  <c r="BZ36" i="24142"/>
  <c r="DF77" i="24142"/>
  <c r="DF81" i="23917"/>
  <c r="DF281" i="24142"/>
  <c r="DF70" i="24142"/>
  <c r="DF347" i="23917"/>
  <c r="DF78" i="23917"/>
  <c r="AK68" i="24142"/>
  <c r="AK76" i="23917"/>
  <c r="BJ30" i="23917"/>
  <c r="BK119" i="24142"/>
  <c r="BK66" i="24142"/>
  <c r="BK216" i="23917"/>
  <c r="BK74" i="23917"/>
  <c r="BG87" i="24142"/>
  <c r="BG90" i="23917"/>
  <c r="BR83" i="23917"/>
  <c r="CM74" i="24142"/>
  <c r="CM76" i="24142"/>
  <c r="CM80" i="23917"/>
  <c r="CM77" i="24142"/>
  <c r="CM81" i="23917"/>
  <c r="AY273" i="23917"/>
  <c r="AY221" i="23917"/>
  <c r="CJ68" i="24142"/>
  <c r="CJ76" i="23917"/>
  <c r="BS79" i="23917"/>
  <c r="BD76" i="24142"/>
  <c r="BD80" i="23917"/>
  <c r="BD77" i="24142"/>
  <c r="BD81" i="23917"/>
  <c r="O490" i="23917"/>
  <c r="BP76" i="24142"/>
  <c r="BP80" i="23917"/>
  <c r="BP78" i="24142"/>
  <c r="BP82" i="23917"/>
  <c r="BQ75" i="24142"/>
  <c r="BP75" i="24142"/>
  <c r="BL76" i="24142"/>
  <c r="BL80" i="23917"/>
  <c r="BL78" i="24142"/>
  <c r="BL82" i="23917"/>
  <c r="CH79" i="23917"/>
  <c r="CH72" i="24142"/>
  <c r="CM192" i="24142"/>
  <c r="CM69" i="24142"/>
  <c r="CM130" i="23917"/>
  <c r="CM77" i="23917"/>
  <c r="CJ156" i="24142"/>
  <c r="CJ308" i="23917"/>
  <c r="CJ67" i="24142"/>
  <c r="CJ75" i="23917"/>
  <c r="CJ192" i="24142"/>
  <c r="CJ69" i="24142"/>
  <c r="CJ130" i="23917"/>
  <c r="CJ77" i="23917"/>
  <c r="CJ66" i="24142"/>
  <c r="CJ119" i="24142"/>
  <c r="CJ74" i="23917"/>
  <c r="CJ216" i="23917"/>
  <c r="CK74" i="24142"/>
  <c r="CJ74" i="24142"/>
  <c r="CK73" i="24142"/>
  <c r="CJ73" i="24142"/>
  <c r="CJ77" i="24142"/>
  <c r="CJ81" i="23917"/>
  <c r="CK97" i="23917"/>
  <c r="CJ97" i="23917"/>
  <c r="BS68" i="24142"/>
  <c r="BS76" i="23917"/>
  <c r="BW192" i="24142"/>
  <c r="BW69" i="24142"/>
  <c r="BW130" i="23917"/>
  <c r="BW77" i="23917"/>
  <c r="CE119" i="24142"/>
  <c r="CE66" i="24142"/>
  <c r="CE216" i="23917"/>
  <c r="CE74" i="23917"/>
  <c r="K490" i="23917"/>
  <c r="K79" i="23917"/>
  <c r="K72" i="24142"/>
  <c r="AZ76" i="24142"/>
  <c r="AZ80" i="23917"/>
  <c r="AZ78" i="24142"/>
  <c r="AZ82" i="23917"/>
  <c r="BA73" i="24142"/>
  <c r="AZ73" i="24142"/>
  <c r="AZ77" i="24142"/>
  <c r="AZ81" i="23917"/>
  <c r="DY68" i="24142"/>
  <c r="DY76" i="23917"/>
  <c r="BT78" i="24142"/>
  <c r="BT82" i="23917"/>
  <c r="CF156" i="24142"/>
  <c r="CF67" i="24142"/>
  <c r="CF308" i="23917"/>
  <c r="CF75" i="23917"/>
  <c r="CF76" i="24142"/>
  <c r="CF80" i="23917"/>
  <c r="CF66" i="24142"/>
  <c r="CF119" i="24142"/>
  <c r="CF74" i="23917"/>
  <c r="CF216" i="23917"/>
  <c r="CG74" i="24142"/>
  <c r="CF74" i="24142"/>
  <c r="CG73" i="24142"/>
  <c r="CF73" i="24142"/>
  <c r="CF77" i="24142"/>
  <c r="CF81" i="23917"/>
  <c r="CG97" i="23917"/>
  <c r="CF97" i="23917"/>
  <c r="BX76" i="24142"/>
  <c r="BX80" i="23917"/>
  <c r="BX77" i="24142"/>
  <c r="BX81" i="23917"/>
  <c r="CA35" i="24142"/>
  <c r="CA44" i="23917"/>
  <c r="CA43" i="24142"/>
  <c r="CA52" i="23917"/>
  <c r="BS67" i="24142"/>
  <c r="BS156" i="24142"/>
  <c r="BS308" i="23917"/>
  <c r="BS75" i="23917"/>
  <c r="CE156" i="24142"/>
  <c r="CE67" i="24142"/>
  <c r="CE308" i="23917"/>
  <c r="CE75" i="23917"/>
  <c r="BO76" i="24142"/>
  <c r="BO80" i="23917"/>
  <c r="DY156" i="24142"/>
  <c r="DY67" i="24142"/>
  <c r="DY308" i="23917"/>
  <c r="DY75" i="23917"/>
  <c r="DY192" i="24142"/>
  <c r="DY69" i="24142"/>
  <c r="DY77" i="23917"/>
  <c r="DY130" i="23917"/>
  <c r="DY281" i="24142"/>
  <c r="DY70" i="24142"/>
  <c r="DY347" i="23917"/>
  <c r="DY78" i="23917"/>
  <c r="S11" i="24158"/>
  <c r="DY19" i="23917"/>
  <c r="DZ74" i="24142"/>
  <c r="DY74" i="24142"/>
  <c r="DY78" i="24142"/>
  <c r="DY82" i="23917"/>
  <c r="DZ97" i="23917"/>
  <c r="DY97" i="23917"/>
  <c r="CB156" i="24142"/>
  <c r="CB308" i="23917"/>
  <c r="CB67" i="24142"/>
  <c r="CB75" i="23917"/>
  <c r="CB76" i="24142"/>
  <c r="CB80" i="23917"/>
  <c r="CB281" i="24142"/>
  <c r="CB70" i="24142"/>
  <c r="CB347" i="23917"/>
  <c r="CB78" i="23917"/>
  <c r="CB78" i="24142"/>
  <c r="CB82" i="23917"/>
  <c r="DW76" i="24142"/>
  <c r="DW80" i="23917"/>
  <c r="DW156" i="24142"/>
  <c r="DW67" i="24142"/>
  <c r="DW308" i="23917"/>
  <c r="DW75" i="23917"/>
  <c r="DW77" i="24142"/>
  <c r="DW81" i="23917"/>
  <c r="DW78" i="24142"/>
  <c r="DW82" i="23917"/>
  <c r="CD68" i="24142"/>
  <c r="CD76" i="23917"/>
  <c r="CD281" i="24142"/>
  <c r="CD347" i="23917"/>
  <c r="CD70" i="24142"/>
  <c r="CD78" i="23917"/>
  <c r="CD71" i="24142"/>
  <c r="CE71" i="24142"/>
  <c r="CD192" i="24142"/>
  <c r="CD69" i="24142"/>
  <c r="CD77" i="23917"/>
  <c r="CD130" i="23917"/>
  <c r="CD73" i="24142"/>
  <c r="CE73" i="24142"/>
  <c r="CD78" i="24142"/>
  <c r="CD82" i="23917"/>
  <c r="CD156" i="24142"/>
  <c r="CD67" i="24142"/>
  <c r="CD308" i="23917"/>
  <c r="CD75" i="23917"/>
  <c r="BW77" i="24142"/>
  <c r="BW81" i="23917"/>
  <c r="BV83" i="23917"/>
  <c r="BW76" i="24142"/>
  <c r="BW80" i="23917"/>
  <c r="BO77" i="24142"/>
  <c r="CI77" i="24142"/>
  <c r="CI81" i="23917"/>
  <c r="CI281" i="24142"/>
  <c r="CI70" i="24142"/>
  <c r="CI347" i="23917"/>
  <c r="CI78" i="23917"/>
  <c r="BO78" i="24142"/>
  <c r="BO82" i="23917"/>
  <c r="BK78" i="24142"/>
  <c r="BK82" i="23917"/>
  <c r="BJ79" i="24142"/>
  <c r="BG77" i="24142"/>
  <c r="BG81" i="23917"/>
  <c r="BS78" i="24142"/>
  <c r="BS82" i="23917"/>
  <c r="CI119" i="24142"/>
  <c r="CI66" i="24142"/>
  <c r="CI216" i="23917"/>
  <c r="CI74" i="23917"/>
  <c r="BG78" i="24142"/>
  <c r="BG82" i="23917"/>
  <c r="BF79" i="24142"/>
  <c r="BS192" i="24142"/>
  <c r="BS130" i="23917"/>
  <c r="BS69" i="24142"/>
  <c r="BS77" i="23917"/>
  <c r="BD78" i="24142"/>
  <c r="BD82" i="23917"/>
  <c r="BE73" i="24142"/>
  <c r="BD73" i="24142"/>
  <c r="BE74" i="24142"/>
  <c r="BD74" i="24142"/>
  <c r="BQ70" i="24142"/>
  <c r="BQ78" i="23917"/>
  <c r="BQ74" i="24142"/>
  <c r="BP74" i="24142"/>
  <c r="BP77" i="24142"/>
  <c r="BP81" i="23917"/>
  <c r="BL77" i="24142"/>
  <c r="BL81" i="23917"/>
  <c r="BM73" i="24142"/>
  <c r="BL73" i="24142"/>
  <c r="CI192" i="24142"/>
  <c r="CI130" i="23917"/>
  <c r="CI69" i="24142"/>
  <c r="CI77" i="23917"/>
  <c r="CL72" i="24142"/>
  <c r="CL79" i="23917"/>
  <c r="BU68" i="24142"/>
  <c r="BU76" i="23917"/>
  <c r="E72" i="24142"/>
  <c r="E490" i="23917"/>
  <c r="E79" i="23917"/>
  <c r="CG68" i="24142"/>
  <c r="CG76" i="23917"/>
  <c r="BY68" i="24142"/>
  <c r="BY76" i="23917"/>
  <c r="CJ76" i="24142"/>
  <c r="CJ80" i="23917"/>
  <c r="CJ281" i="24142"/>
  <c r="CJ70" i="24142"/>
  <c r="CJ347" i="23917"/>
  <c r="CJ78" i="23917"/>
  <c r="CJ78" i="24142"/>
  <c r="CJ82" i="23917"/>
  <c r="CK71" i="24142"/>
  <c r="CJ71" i="24142"/>
  <c r="CK75" i="24142"/>
  <c r="CJ75" i="24142"/>
  <c r="CJ87" i="24142"/>
  <c r="CJ90" i="23917"/>
  <c r="BH76" i="24142"/>
  <c r="BH80" i="23917"/>
  <c r="BH77" i="24142"/>
  <c r="BH81" i="23917"/>
  <c r="BI73" i="24142"/>
  <c r="BH73" i="24142"/>
  <c r="BH78" i="24142"/>
  <c r="BH82" i="23917"/>
  <c r="BS77" i="24142"/>
  <c r="BS81" i="23917"/>
  <c r="BS281" i="24142"/>
  <c r="BS70" i="24142"/>
  <c r="BS347" i="23917"/>
  <c r="BS78" i="23917"/>
  <c r="DW68" i="24142"/>
  <c r="DW76" i="23917"/>
  <c r="CE87" i="24142"/>
  <c r="CE90" i="23917"/>
  <c r="BA74" i="24142"/>
  <c r="AZ74" i="24142"/>
  <c r="BU67" i="24142"/>
  <c r="BU308" i="23917"/>
  <c r="BT76" i="24142"/>
  <c r="BT80" i="23917"/>
  <c r="BU74" i="23917"/>
  <c r="BU74" i="24142"/>
  <c r="BT74" i="24142"/>
  <c r="BU73" i="24142"/>
  <c r="BT73" i="24142"/>
  <c r="BT77" i="24142"/>
  <c r="BT81" i="23917"/>
  <c r="CF192" i="24142"/>
  <c r="CF69" i="24142"/>
  <c r="CF77" i="23917"/>
  <c r="CF130" i="23917"/>
  <c r="CF281" i="24142"/>
  <c r="CF70" i="24142"/>
  <c r="CF347" i="23917"/>
  <c r="CF78" i="23917"/>
  <c r="CF78" i="24142"/>
  <c r="CF82" i="23917"/>
  <c r="CF87" i="24142"/>
  <c r="CF90" i="23917"/>
  <c r="BX78" i="24142"/>
  <c r="BX82" i="23917"/>
  <c r="CA34" i="23917"/>
  <c r="CA26" i="24142"/>
  <c r="BS87" i="24142"/>
  <c r="BS90" i="23917"/>
  <c r="BS76" i="24142"/>
  <c r="BS80" i="23917"/>
  <c r="BW156" i="24142"/>
  <c r="BW308" i="23917"/>
  <c r="BW67" i="24142"/>
  <c r="BW75" i="23917"/>
  <c r="CB68" i="24142"/>
  <c r="CB76" i="23917"/>
  <c r="DY76" i="24142"/>
  <c r="DY80" i="23917"/>
  <c r="DY66" i="24142"/>
  <c r="DY119" i="24142"/>
  <c r="DY216" i="23917"/>
  <c r="DY74" i="23917"/>
  <c r="DY77" i="24142"/>
  <c r="DY81" i="23917"/>
  <c r="DZ73" i="24142"/>
  <c r="DY73" i="24142"/>
  <c r="DZ75" i="24142"/>
  <c r="DY75" i="24142"/>
  <c r="DY87" i="24142"/>
  <c r="DY90" i="23917"/>
  <c r="CB192" i="24142"/>
  <c r="CB69" i="24142"/>
  <c r="CB130" i="23917"/>
  <c r="CB77" i="23917"/>
  <c r="CB66" i="24142"/>
  <c r="CB119" i="24142"/>
  <c r="CB74" i="23917"/>
  <c r="CB216" i="23917"/>
  <c r="CB77" i="24142"/>
  <c r="CB81" i="23917"/>
  <c r="CC71" i="24142"/>
  <c r="CB71" i="24142"/>
  <c r="CB87" i="24142"/>
  <c r="CB90" i="23917"/>
  <c r="DW66" i="24142"/>
  <c r="DW119" i="24142"/>
  <c r="DW74" i="23917"/>
  <c r="DW216" i="23917"/>
  <c r="DW192" i="24142"/>
  <c r="DW69" i="24142"/>
  <c r="DW77" i="23917"/>
  <c r="DW130" i="23917"/>
  <c r="DW281" i="24142"/>
  <c r="DW70" i="24142"/>
  <c r="DW347" i="23917"/>
  <c r="DW78" i="23917"/>
  <c r="R11" i="24158"/>
  <c r="DW19" i="23917"/>
  <c r="DW87" i="24142"/>
  <c r="DW90" i="23917"/>
  <c r="CD119" i="24142"/>
  <c r="CD66" i="24142"/>
  <c r="CD216" i="23917"/>
  <c r="CD74" i="23917"/>
  <c r="CD19" i="23917"/>
  <c r="CE29" i="23917"/>
  <c r="CE19" i="23917"/>
  <c r="CD87" i="24142"/>
  <c r="CD90" i="23917"/>
  <c r="CD76" i="24142"/>
  <c r="CD80" i="23917"/>
  <c r="CD77" i="24142"/>
  <c r="CD81" i="23917"/>
  <c r="CM75" i="24142"/>
  <c r="BW78" i="24142"/>
  <c r="BV79" i="24142"/>
  <c r="CI78" i="24142"/>
  <c r="CI82" i="23917"/>
  <c r="CH30" i="23917"/>
  <c r="CH83" i="23917"/>
  <c r="CH79" i="24142"/>
  <c r="CI67" i="24142"/>
  <c r="CI308" i="23917"/>
  <c r="CI156" i="24142"/>
  <c r="CI75" i="23917"/>
  <c r="BK77" i="24142"/>
  <c r="BK81" i="23917"/>
  <c r="BJ83" i="23917"/>
  <c r="BK76" i="24142"/>
  <c r="BK80" i="23917"/>
  <c r="CM97" i="23917"/>
  <c r="CM73" i="24142"/>
  <c r="CL83" i="23917"/>
  <c r="CL79" i="24142"/>
  <c r="CI87" i="24142"/>
  <c r="CI90" i="23917"/>
  <c r="CI76" i="24142"/>
  <c r="CI80" i="23917"/>
  <c r="BF83" i="23917"/>
  <c r="BG76" i="24142"/>
  <c r="BG80" i="23917"/>
  <c r="EA344" i="23917"/>
  <c r="EA277" i="24142"/>
  <c r="EA342" i="23917"/>
  <c r="EB278" i="24142"/>
  <c r="EB12" i="24142"/>
  <c r="EB343" i="23917"/>
  <c r="EB494" i="24142"/>
  <c r="EB17" i="24142"/>
  <c r="EB560" i="23917"/>
  <c r="EF33" i="24142"/>
  <c r="EF39" i="23917"/>
  <c r="CN192" i="24142"/>
  <c r="CN69" i="24142"/>
  <c r="CN130" i="23917"/>
  <c r="CN77" i="23917"/>
  <c r="CN77" i="24142"/>
  <c r="CN81" i="23917"/>
  <c r="CO75" i="24142"/>
  <c r="CN75" i="24142"/>
  <c r="EG33" i="24142"/>
  <c r="EG39" i="23917"/>
  <c r="CN76" i="24142"/>
  <c r="CN80" i="23917"/>
  <c r="CN78" i="24142"/>
  <c r="CN82" i="23917"/>
  <c r="CS284" i="24142"/>
  <c r="CS350" i="23917"/>
  <c r="CQ284" i="24142"/>
  <c r="CQ350" i="23917"/>
  <c r="EB492" i="24142"/>
  <c r="EB559" i="23917"/>
  <c r="CN68" i="24142"/>
  <c r="CN76" i="23917"/>
  <c r="CN281" i="24142"/>
  <c r="CN70" i="24142"/>
  <c r="CN347" i="23917"/>
  <c r="CN78" i="23917"/>
  <c r="CN87" i="24142"/>
  <c r="CN90" i="23917"/>
  <c r="EB276" i="24142"/>
  <c r="EB341" i="23917"/>
  <c r="EA284" i="24142"/>
  <c r="EA350" i="23917"/>
  <c r="CN156" i="24142"/>
  <c r="CN67" i="24142"/>
  <c r="CN308" i="23917"/>
  <c r="CN75" i="23917"/>
  <c r="CN66" i="24142"/>
  <c r="CN119" i="24142"/>
  <c r="CN216" i="23917"/>
  <c r="CN74" i="23917"/>
  <c r="BJ19" i="24142"/>
  <c r="BJ20" i="24142" s="1"/>
  <c r="BK22" i="23917"/>
  <c r="DK29" i="23917"/>
  <c r="DK22" i="23917"/>
  <c r="DK23" i="23917" s="1"/>
  <c r="DL19" i="23917"/>
  <c r="O22" i="23917"/>
  <c r="N19" i="24142"/>
  <c r="N20" i="24142" s="1"/>
  <c r="AO22" i="23917"/>
  <c r="AN19" i="24142"/>
  <c r="AN20" i="24142" s="1"/>
  <c r="S26" i="23917"/>
  <c r="AE26" i="23917"/>
  <c r="W22" i="23917"/>
  <c r="G26" i="23917"/>
  <c r="BY75" i="24142"/>
  <c r="DS97" i="23917"/>
  <c r="DS75" i="24142"/>
  <c r="DS74" i="24142"/>
  <c r="DS73" i="24142"/>
  <c r="DS71" i="24142"/>
  <c r="BS29" i="23917"/>
  <c r="AV29" i="23917"/>
  <c r="AV30" i="23917" s="1"/>
  <c r="AW19" i="23917"/>
  <c r="AV22" i="23917"/>
  <c r="AV23" i="23917" s="1"/>
  <c r="DG19" i="23917"/>
  <c r="AE19" i="24142"/>
  <c r="BQ73" i="24142"/>
  <c r="BQ97" i="23917"/>
  <c r="DX97" i="23917"/>
  <c r="DX75" i="24142"/>
  <c r="DX19" i="23917"/>
  <c r="AL19" i="24142"/>
  <c r="AL20" i="24142" s="1"/>
  <c r="AM22" i="23917"/>
  <c r="CQ12" i="23917"/>
  <c r="DP74" i="24142"/>
  <c r="DM19" i="23917"/>
  <c r="BI74" i="24142"/>
  <c r="M26" i="23917"/>
  <c r="AC22" i="23917"/>
  <c r="AB19" i="24142"/>
  <c r="AB20" i="24142" s="1"/>
  <c r="U26" i="23917"/>
  <c r="DF22" i="23917"/>
  <c r="DE19" i="24142"/>
  <c r="DE20" i="24142" s="1"/>
  <c r="BB253" i="23917"/>
  <c r="Q19" i="24142"/>
  <c r="K19" i="24142"/>
  <c r="C26" i="23917"/>
  <c r="BU75" i="24142"/>
  <c r="CF29" i="23917"/>
  <c r="CG19" i="23917"/>
  <c r="CF22" i="23917"/>
  <c r="CF23" i="23917" s="1"/>
  <c r="CG71" i="24142"/>
  <c r="BX29" i="23917"/>
  <c r="BX30" i="23917" s="1"/>
  <c r="BX22" i="23917"/>
  <c r="BX23" i="23917" s="1"/>
  <c r="BY19" i="23917"/>
  <c r="Y26" i="23917"/>
  <c r="CS17" i="23917"/>
  <c r="DJ71" i="24142"/>
  <c r="BF19" i="24142"/>
  <c r="BF20" i="24142" s="1"/>
  <c r="BG22" i="23917"/>
  <c r="DZ71" i="24142"/>
  <c r="CC74" i="24142"/>
  <c r="CC73" i="24142"/>
  <c r="CC97" i="23917"/>
  <c r="DX73" i="24142"/>
  <c r="DD22" i="23917"/>
  <c r="AA29" i="23917"/>
  <c r="DO29" i="23917"/>
  <c r="DO30" i="23917" s="1"/>
  <c r="DO22" i="23917"/>
  <c r="DO23" i="23917" s="1"/>
  <c r="AH19" i="24142"/>
  <c r="AH20" i="24142" s="1"/>
  <c r="AI22" i="23917"/>
  <c r="BK29" i="23917"/>
  <c r="AG29" i="23917"/>
  <c r="AU26" i="23917"/>
  <c r="DM274" i="23917"/>
  <c r="AX19" i="24142"/>
  <c r="AX20" i="24142" s="1"/>
  <c r="AY22" i="23917"/>
  <c r="BH29" i="23917"/>
  <c r="BH22" i="23917"/>
  <c r="BH23" i="23917" s="1"/>
  <c r="BI19" i="23917"/>
  <c r="AC29" i="23917"/>
  <c r="BC19" i="24142"/>
  <c r="DO268" i="23917"/>
  <c r="DP240" i="23917"/>
  <c r="DO249" i="23917"/>
  <c r="DO250" i="23917"/>
  <c r="DO248" i="23917"/>
  <c r="AO29" i="23917"/>
  <c r="CI22" i="23917"/>
  <c r="CH19" i="24142"/>
  <c r="CH20" i="24142" s="1"/>
  <c r="S19" i="24142"/>
  <c r="W29" i="23917"/>
  <c r="BZ31" i="24142"/>
  <c r="BY71" i="24142"/>
  <c r="CA31" i="24142"/>
  <c r="BR19" i="24142"/>
  <c r="BR20" i="24142" s="1"/>
  <c r="BS22" i="23917"/>
  <c r="BG29" i="23917"/>
  <c r="CN29" i="23917"/>
  <c r="CO19" i="23917"/>
  <c r="CO71" i="24142"/>
  <c r="CC75" i="24142"/>
  <c r="DW29" i="23917"/>
  <c r="DW22" i="23917"/>
  <c r="DW23" i="23917" s="1"/>
  <c r="DX74" i="24142"/>
  <c r="AA22" i="23917"/>
  <c r="Z19" i="24142"/>
  <c r="Z20" i="24142" s="1"/>
  <c r="EA12" i="23917"/>
  <c r="E26" i="23917"/>
  <c r="BL29" i="23917"/>
  <c r="BM19" i="23917"/>
  <c r="BL22" i="23917"/>
  <c r="BL23" i="23917" s="1"/>
  <c r="AG22" i="23917"/>
  <c r="AF19" i="24142"/>
  <c r="AF20" i="24142" s="1"/>
  <c r="BD240" i="23917"/>
  <c r="BV19" i="24142"/>
  <c r="BV20" i="24142" s="1"/>
  <c r="BW22" i="23917"/>
  <c r="DP97" i="23917"/>
  <c r="BD29" i="23917"/>
  <c r="BE19" i="23917"/>
  <c r="BD22" i="23917"/>
  <c r="BD23" i="23917" s="1"/>
  <c r="AK22" i="23917"/>
  <c r="BW29" i="23917"/>
  <c r="DP75" i="24142"/>
  <c r="AK29" i="23917"/>
  <c r="AI29" i="23917"/>
  <c r="BP29" i="23917"/>
  <c r="BP22" i="23917"/>
  <c r="BP23" i="23917" s="1"/>
  <c r="BQ19" i="23917"/>
  <c r="BM74" i="24142"/>
  <c r="AM29" i="23917"/>
  <c r="I26" i="23917"/>
  <c r="AY29" i="23917"/>
  <c r="DP253" i="23917"/>
  <c r="DO265" i="23917"/>
  <c r="DO264" i="23917"/>
  <c r="DO263" i="23917"/>
  <c r="CJ29" i="23917"/>
  <c r="CJ30" i="23917" s="1"/>
  <c r="CK19" i="23917"/>
  <c r="CJ22" i="23917"/>
  <c r="CJ23" i="23917" s="1"/>
  <c r="M19" i="24142"/>
  <c r="U19" i="24142"/>
  <c r="AQ22" i="23917"/>
  <c r="CI29" i="23917"/>
  <c r="AZ29" i="23917"/>
  <c r="AZ22" i="23917"/>
  <c r="AZ23" i="23917" s="1"/>
  <c r="BA19" i="23917"/>
  <c r="BA268" i="23917"/>
  <c r="AZ274" i="23917"/>
  <c r="Q26" i="23917"/>
  <c r="K26" i="23917"/>
  <c r="BT29" i="23917"/>
  <c r="BU19" i="23917"/>
  <c r="BT22" i="23917"/>
  <c r="BT23" i="23917" s="1"/>
  <c r="BU71" i="24142"/>
  <c r="CG75" i="24142"/>
  <c r="BY74" i="24142"/>
  <c r="BY73" i="24142"/>
  <c r="BY97" i="23917"/>
  <c r="EA17" i="23917"/>
  <c r="Y19" i="24142"/>
  <c r="CS12" i="23917"/>
  <c r="DI29" i="23917"/>
  <c r="DJ19" i="23917"/>
  <c r="DI22" i="23917"/>
  <c r="DI23" i="23917" s="1"/>
  <c r="CE22" i="23917"/>
  <c r="DY29" i="23917"/>
  <c r="DZ19" i="23917"/>
  <c r="DY22" i="23917"/>
  <c r="DY23" i="23917" s="1"/>
  <c r="CM22" i="23917"/>
  <c r="CL19" i="24142"/>
  <c r="CL20" i="24142" s="1"/>
  <c r="CO74" i="24142"/>
  <c r="CO73" i="24142"/>
  <c r="CO97" i="23917"/>
  <c r="CB29" i="23917"/>
  <c r="CB30" i="23917" s="1"/>
  <c r="CC19" i="23917"/>
  <c r="CB22" i="23917"/>
  <c r="CB23" i="23917" s="1"/>
  <c r="EE25" i="24142" l="1"/>
  <c r="EE62" i="24142"/>
  <c r="EE71" i="23917"/>
  <c r="EE28" i="23917"/>
  <c r="ED70" i="23917"/>
  <c r="EM547" i="23917"/>
  <c r="EM482" i="24142"/>
  <c r="EM336" i="23917"/>
  <c r="EM119" i="23917"/>
  <c r="EC17" i="24142"/>
  <c r="CT344" i="23917"/>
  <c r="DA269" i="24142"/>
  <c r="DA334" i="23917"/>
  <c r="CV278" i="24142"/>
  <c r="CV12" i="24142"/>
  <c r="CV343" i="23917"/>
  <c r="CV276" i="24142"/>
  <c r="CV341" i="23917"/>
  <c r="CY273" i="24142"/>
  <c r="CY338" i="23917"/>
  <c r="CT284" i="24142"/>
  <c r="CT350" i="23917"/>
  <c r="DA491" i="24142"/>
  <c r="DA558" i="23917"/>
  <c r="EC492" i="24142"/>
  <c r="EC559" i="23917"/>
  <c r="EK487" i="24142"/>
  <c r="EK553" i="23917"/>
  <c r="EM487" i="24142"/>
  <c r="EL481" i="24142"/>
  <c r="EL547" i="23917"/>
  <c r="EK109" i="24142"/>
  <c r="EK205" i="23917"/>
  <c r="EM205" i="23917"/>
  <c r="EL482" i="24142"/>
  <c r="EL548" i="23917"/>
  <c r="ED270" i="24142"/>
  <c r="ED335" i="23917"/>
  <c r="DA152" i="24142"/>
  <c r="DA303" i="23917"/>
  <c r="EL271" i="24142"/>
  <c r="EL336" i="23917"/>
  <c r="CZ273" i="24142"/>
  <c r="CZ338" i="23917"/>
  <c r="CW275" i="24142"/>
  <c r="CW340" i="23917"/>
  <c r="CY17" i="23917"/>
  <c r="CX17" i="23917"/>
  <c r="CX275" i="24142"/>
  <c r="CX340" i="23917"/>
  <c r="CU276" i="24142"/>
  <c r="CU341" i="23917"/>
  <c r="CU278" i="24142"/>
  <c r="CU12" i="24142"/>
  <c r="CU343" i="23917"/>
  <c r="CZ494" i="24142"/>
  <c r="CZ17" i="24142"/>
  <c r="CZ560" i="23917"/>
  <c r="CZ561" i="23917" s="1"/>
  <c r="EK33" i="24142"/>
  <c r="EK39" i="23917"/>
  <c r="EC273" i="24142"/>
  <c r="EC338" i="23917"/>
  <c r="EL246" i="24142"/>
  <c r="EK246" i="24142"/>
  <c r="EM246" i="24142"/>
  <c r="EK483" i="24142"/>
  <c r="EK549" i="23917"/>
  <c r="EK145" i="24142"/>
  <c r="EK296" i="23917"/>
  <c r="EM296" i="23917"/>
  <c r="EK266" i="24142"/>
  <c r="EK331" i="23917"/>
  <c r="EL265" i="24142"/>
  <c r="EL330" i="23917"/>
  <c r="EL182" i="24142"/>
  <c r="EL119" i="23917"/>
  <c r="EC269" i="24142"/>
  <c r="EC334" i="23917"/>
  <c r="ED62" i="24142"/>
  <c r="ED25" i="24142"/>
  <c r="ED71" i="23917"/>
  <c r="ED28" i="23917"/>
  <c r="EC491" i="24142"/>
  <c r="EC558" i="23917"/>
  <c r="EF62" i="24142"/>
  <c r="EF71" i="23917"/>
  <c r="EF25" i="24142"/>
  <c r="EF28" i="23917"/>
  <c r="EJ553" i="23917"/>
  <c r="EJ487" i="24142"/>
  <c r="EF270" i="24142"/>
  <c r="EF335" i="23917"/>
  <c r="EF490" i="24142"/>
  <c r="EF557" i="23917"/>
  <c r="EH335" i="23917"/>
  <c r="EH270" i="24142"/>
  <c r="EJ296" i="23917"/>
  <c r="EJ145" i="24142"/>
  <c r="EJ272" i="24142"/>
  <c r="EJ337" i="23917"/>
  <c r="EF61" i="24142"/>
  <c r="EF70" i="23917"/>
  <c r="EG25" i="24142"/>
  <c r="EG28" i="23917"/>
  <c r="EG62" i="24142"/>
  <c r="EG71" i="23917"/>
  <c r="EJ109" i="24142"/>
  <c r="EJ205" i="23917"/>
  <c r="EM483" i="24142"/>
  <c r="EM549" i="23917"/>
  <c r="EI490" i="24142"/>
  <c r="EI557" i="23917"/>
  <c r="CM29" i="23917"/>
  <c r="EI488" i="24142"/>
  <c r="EI555" i="23917"/>
  <c r="EJ286" i="24142"/>
  <c r="EJ352" i="23917"/>
  <c r="EI335" i="23917"/>
  <c r="EI270" i="24142"/>
  <c r="EG70" i="23917"/>
  <c r="EG61" i="24142"/>
  <c r="EI232" i="24142"/>
  <c r="EJ232" i="24142"/>
  <c r="EG557" i="23917"/>
  <c r="EG490" i="24142"/>
  <c r="EH488" i="24142"/>
  <c r="EH555" i="23917"/>
  <c r="EJ483" i="24142"/>
  <c r="EJ549" i="23917"/>
  <c r="BU75" i="23917"/>
  <c r="BQ347" i="23917"/>
  <c r="I12" i="24158"/>
  <c r="BU66" i="24142"/>
  <c r="BQ87" i="24142"/>
  <c r="O72" i="24142"/>
  <c r="DP19" i="23917"/>
  <c r="BU216" i="23917"/>
  <c r="M12" i="24158"/>
  <c r="DL68" i="24142"/>
  <c r="DL76" i="23917"/>
  <c r="DJ424" i="24142"/>
  <c r="DJ74" i="24142"/>
  <c r="B362" i="24142"/>
  <c r="B428" i="23917"/>
  <c r="B366" i="24142"/>
  <c r="B432" i="23917"/>
  <c r="J43" i="24142"/>
  <c r="J52" i="23917"/>
  <c r="P26" i="24142"/>
  <c r="P34" i="23917"/>
  <c r="AZ273" i="23917"/>
  <c r="AZ221" i="23917"/>
  <c r="BC23" i="24142"/>
  <c r="BC26" i="23917"/>
  <c r="BB43" i="24142"/>
  <c r="BB52" i="23917"/>
  <c r="BI87" i="24142"/>
  <c r="BI90" i="23917"/>
  <c r="BI192" i="24142"/>
  <c r="BI69" i="24142"/>
  <c r="BI77" i="23917"/>
  <c r="BI130" i="23917"/>
  <c r="DH389" i="24142"/>
  <c r="DH455" i="23917"/>
  <c r="DH395" i="24142"/>
  <c r="DH461" i="23917"/>
  <c r="DO258" i="23917"/>
  <c r="DO220" i="23917"/>
  <c r="H26" i="24142"/>
  <c r="H34" i="23917"/>
  <c r="AA389" i="24142"/>
  <c r="AA455" i="23917"/>
  <c r="DK72" i="24142"/>
  <c r="DK79" i="23917"/>
  <c r="AU42" i="24142"/>
  <c r="AU51" i="23917"/>
  <c r="U245" i="24142"/>
  <c r="U181" i="23917"/>
  <c r="U134" i="23917"/>
  <c r="BM192" i="24142"/>
  <c r="BM69" i="24142"/>
  <c r="BM77" i="23917"/>
  <c r="BM130" i="23917"/>
  <c r="DP156" i="24142"/>
  <c r="DP67" i="24142"/>
  <c r="DP308" i="23917"/>
  <c r="DP75" i="23917"/>
  <c r="AE42" i="24142"/>
  <c r="AE51" i="23917"/>
  <c r="DQ68" i="24142"/>
  <c r="DQ76" i="23917"/>
  <c r="DQ119" i="24142"/>
  <c r="DQ66" i="24142"/>
  <c r="DQ216" i="23917"/>
  <c r="DQ74" i="23917"/>
  <c r="DQ76" i="24142"/>
  <c r="DQ80" i="23917"/>
  <c r="DQ77" i="24142"/>
  <c r="DQ81" i="23917"/>
  <c r="O11" i="24158"/>
  <c r="DQ19" i="23917"/>
  <c r="DR71" i="24142"/>
  <c r="DQ71" i="24142"/>
  <c r="DR74" i="24142"/>
  <c r="DQ74" i="24142"/>
  <c r="DQ78" i="24142"/>
  <c r="DQ82" i="23917"/>
  <c r="DR97" i="23917"/>
  <c r="DQ97" i="23917"/>
  <c r="AJ23" i="24142"/>
  <c r="AS23" i="24142" s="1"/>
  <c r="AJ26" i="23917"/>
  <c r="AJ42" i="24142"/>
  <c r="AJ51" i="23917"/>
  <c r="DP119" i="24142"/>
  <c r="DP66" i="24142"/>
  <c r="DP216" i="23917"/>
  <c r="DP74" i="23917"/>
  <c r="BV23" i="24142"/>
  <c r="BV26" i="23917"/>
  <c r="BC245" i="23917"/>
  <c r="BC219" i="23917"/>
  <c r="M245" i="24142"/>
  <c r="M181" i="23917"/>
  <c r="M134" i="23917"/>
  <c r="D247" i="24142"/>
  <c r="D196" i="24142"/>
  <c r="E245" i="24142"/>
  <c r="E181" i="23917"/>
  <c r="E134" i="23917"/>
  <c r="AF23" i="24142"/>
  <c r="AF26" i="23917"/>
  <c r="AF42" i="24142"/>
  <c r="AF51" i="23917"/>
  <c r="Z23" i="24142"/>
  <c r="Z26" i="23917"/>
  <c r="BS42" i="24142"/>
  <c r="BR42" i="24142"/>
  <c r="BR51" i="23917"/>
  <c r="C42" i="24142"/>
  <c r="C51" i="23917"/>
  <c r="S197" i="24142"/>
  <c r="S135" i="23917"/>
  <c r="BZ29" i="24142"/>
  <c r="BZ37" i="23917"/>
  <c r="DO219" i="23917"/>
  <c r="DO245" i="23917"/>
  <c r="U42" i="24142"/>
  <c r="U51" i="23917"/>
  <c r="DG68" i="24142"/>
  <c r="DG76" i="23917"/>
  <c r="B14" i="24158"/>
  <c r="AX23" i="24142"/>
  <c r="AX26" i="23917"/>
  <c r="AT26" i="24142"/>
  <c r="AT27" i="24142" s="1"/>
  <c r="AT34" i="23917"/>
  <c r="AT35" i="23917" s="1"/>
  <c r="AH42" i="24142"/>
  <c r="AH51" i="23917"/>
  <c r="AD26" i="24142"/>
  <c r="AD34" i="23917"/>
  <c r="DF394" i="24142"/>
  <c r="DF460" i="23917"/>
  <c r="K197" i="24142"/>
  <c r="K135" i="23917"/>
  <c r="V226" i="24142"/>
  <c r="V164" i="23917"/>
  <c r="T233" i="24142"/>
  <c r="T195" i="24142"/>
  <c r="F14" i="24158"/>
  <c r="BF23" i="24142"/>
  <c r="BF26" i="23917"/>
  <c r="DI72" i="24142"/>
  <c r="DI490" i="23917"/>
  <c r="DI79" i="23917"/>
  <c r="D394" i="24142"/>
  <c r="D460" i="23917"/>
  <c r="D389" i="24142"/>
  <c r="D455" i="23917"/>
  <c r="X26" i="24142"/>
  <c r="X34" i="23917"/>
  <c r="B26" i="24142"/>
  <c r="B34" i="23917"/>
  <c r="G42" i="24142"/>
  <c r="G51" i="23917"/>
  <c r="BA260" i="23917"/>
  <c r="AZ260" i="23917"/>
  <c r="S42" i="24142"/>
  <c r="S51" i="23917"/>
  <c r="AP26" i="24142"/>
  <c r="AP27" i="24142" s="1"/>
  <c r="AP34" i="23917"/>
  <c r="T43" i="24142"/>
  <c r="T52" i="23917"/>
  <c r="AB23" i="24142"/>
  <c r="AB26" i="23917"/>
  <c r="L26" i="24142"/>
  <c r="L34" i="23917"/>
  <c r="DM192" i="24142"/>
  <c r="DM69" i="24142"/>
  <c r="DM130" i="23917"/>
  <c r="DM77" i="23917"/>
  <c r="DM156" i="24142"/>
  <c r="DM67" i="24142"/>
  <c r="DM308" i="23917"/>
  <c r="DM75" i="23917"/>
  <c r="DM281" i="24142"/>
  <c r="DM70" i="24142"/>
  <c r="DM347" i="23917"/>
  <c r="DM78" i="23917"/>
  <c r="DN71" i="24142"/>
  <c r="DM71" i="24142"/>
  <c r="DN74" i="24142"/>
  <c r="DM74" i="24142"/>
  <c r="DM77" i="24142"/>
  <c r="DM81" i="23917"/>
  <c r="DM87" i="24142"/>
  <c r="DM90" i="23917"/>
  <c r="AR43" i="24142"/>
  <c r="AR52" i="23917"/>
  <c r="AL23" i="24142"/>
  <c r="AU23" i="24142" s="1"/>
  <c r="AL26" i="23917"/>
  <c r="DU192" i="24142"/>
  <c r="DU69" i="24142"/>
  <c r="DU130" i="23917"/>
  <c r="DU77" i="23917"/>
  <c r="DU76" i="24142"/>
  <c r="DU80" i="23917"/>
  <c r="DV73" i="24142"/>
  <c r="DU73" i="24142"/>
  <c r="DV75" i="24142"/>
  <c r="DU75" i="24142"/>
  <c r="DU87" i="24142"/>
  <c r="DU90" i="23917"/>
  <c r="BG72" i="24142"/>
  <c r="BG79" i="23917"/>
  <c r="BD72" i="24142"/>
  <c r="BD79" i="23917"/>
  <c r="DO72" i="24142"/>
  <c r="DO79" i="23917"/>
  <c r="DG156" i="24142"/>
  <c r="DG67" i="24142"/>
  <c r="DG308" i="23917"/>
  <c r="DG75" i="23917"/>
  <c r="DG76" i="24142"/>
  <c r="DG80" i="23917"/>
  <c r="DG281" i="24142"/>
  <c r="DG70" i="24142"/>
  <c r="DG347" i="23917"/>
  <c r="DG78" i="23917"/>
  <c r="DG357" i="24142"/>
  <c r="DG73" i="24142"/>
  <c r="DG423" i="23917"/>
  <c r="DH75" i="24142"/>
  <c r="DG75" i="24142"/>
  <c r="DG87" i="24142"/>
  <c r="DG90" i="23917"/>
  <c r="DJ75" i="24142"/>
  <c r="AW192" i="24142"/>
  <c r="AW69" i="24142"/>
  <c r="AW77" i="23917"/>
  <c r="AW130" i="23917"/>
  <c r="Y366" i="24142"/>
  <c r="Y432" i="23917"/>
  <c r="C393" i="24142"/>
  <c r="C459" i="23917"/>
  <c r="DS192" i="24142"/>
  <c r="DS69" i="24142"/>
  <c r="DS130" i="23917"/>
  <c r="DS77" i="23917"/>
  <c r="DS76" i="24142"/>
  <c r="DS80" i="23917"/>
  <c r="DS156" i="24142"/>
  <c r="DS67" i="24142"/>
  <c r="DS308" i="23917"/>
  <c r="DS75" i="23917"/>
  <c r="DS77" i="24142"/>
  <c r="DS81" i="23917"/>
  <c r="DS87" i="24142"/>
  <c r="DS90" i="23917"/>
  <c r="E231" i="24142"/>
  <c r="E169" i="23917"/>
  <c r="E133" i="23917"/>
  <c r="F226" i="24142"/>
  <c r="F164" i="23917"/>
  <c r="F26" i="24142"/>
  <c r="F34" i="23917"/>
  <c r="BZ38" i="24142"/>
  <c r="BZ39" i="24142" s="1"/>
  <c r="BZ47" i="23917"/>
  <c r="BZ48" i="23917" s="1"/>
  <c r="BZ45" i="24142"/>
  <c r="BZ54" i="23917"/>
  <c r="V23" i="24142"/>
  <c r="AE23" i="24142" s="1"/>
  <c r="V26" i="23917"/>
  <c r="Q42" i="24142"/>
  <c r="Q51" i="23917"/>
  <c r="R43" i="24142"/>
  <c r="R52" i="23917"/>
  <c r="BA192" i="24142"/>
  <c r="BA69" i="24142"/>
  <c r="BA77" i="23917"/>
  <c r="BA130" i="23917"/>
  <c r="N23" i="24142"/>
  <c r="N26" i="23917"/>
  <c r="DN273" i="23917"/>
  <c r="DN221" i="23917"/>
  <c r="DN277" i="23917"/>
  <c r="DM277" i="23917"/>
  <c r="H14" i="24158"/>
  <c r="H15" i="24158" s="1"/>
  <c r="BJ23" i="24142"/>
  <c r="BJ26" i="23917"/>
  <c r="BW66" i="24142"/>
  <c r="BW74" i="23917"/>
  <c r="BW119" i="24142"/>
  <c r="BW216" i="23917"/>
  <c r="BW90" i="23917"/>
  <c r="BW87" i="24142"/>
  <c r="BN72" i="24142"/>
  <c r="BN79" i="23917"/>
  <c r="AW87" i="24142"/>
  <c r="AW90" i="23917"/>
  <c r="Y396" i="24142"/>
  <c r="Y462" i="23917"/>
  <c r="DD396" i="24142"/>
  <c r="DD462" i="23917"/>
  <c r="DD363" i="24142"/>
  <c r="DD429" i="23917"/>
  <c r="BT30" i="23917"/>
  <c r="DD72" i="24142"/>
  <c r="DD490" i="23917"/>
  <c r="DD79" i="23917"/>
  <c r="Q23" i="24142"/>
  <c r="BA156" i="24142"/>
  <c r="BA67" i="24142"/>
  <c r="BA308" i="23917"/>
  <c r="BA75" i="23917"/>
  <c r="AP35" i="23917"/>
  <c r="AE72" i="24142"/>
  <c r="AE79" i="23917"/>
  <c r="U23" i="24142"/>
  <c r="M23" i="24142"/>
  <c r="G12" i="24158"/>
  <c r="BI156" i="24142"/>
  <c r="BI67" i="24142"/>
  <c r="BI308" i="23917"/>
  <c r="BI75" i="23917"/>
  <c r="DL87" i="24142"/>
  <c r="DL90" i="23917"/>
  <c r="DL357" i="24142"/>
  <c r="DL73" i="24142"/>
  <c r="DL423" i="23917"/>
  <c r="DL156" i="24142"/>
  <c r="DL67" i="24142"/>
  <c r="DL308" i="23917"/>
  <c r="DL75" i="23917"/>
  <c r="BM119" i="24142"/>
  <c r="BM66" i="24142"/>
  <c r="BM216" i="23917"/>
  <c r="BM74" i="23917"/>
  <c r="BA68" i="24142"/>
  <c r="BA76" i="23917"/>
  <c r="K12" i="24158"/>
  <c r="BE156" i="24142"/>
  <c r="BE67" i="24142"/>
  <c r="BE308" i="23917"/>
  <c r="BE75" i="23917"/>
  <c r="BI68" i="24142"/>
  <c r="BI76" i="23917"/>
  <c r="BZ35" i="23917"/>
  <c r="CT12" i="23917"/>
  <c r="BN22" i="23917"/>
  <c r="BN23" i="23917" s="1"/>
  <c r="BO22" i="23917"/>
  <c r="BN79" i="24142"/>
  <c r="BO68" i="24142"/>
  <c r="BO76" i="23917"/>
  <c r="AA72" i="24142"/>
  <c r="AA490" i="23917"/>
  <c r="AA79" i="23917"/>
  <c r="AI72" i="24142"/>
  <c r="AI79" i="23917"/>
  <c r="AV79" i="24142"/>
  <c r="AW119" i="24142"/>
  <c r="AW66" i="24142"/>
  <c r="AW216" i="23917"/>
  <c r="AW74" i="23917"/>
  <c r="AW156" i="24142"/>
  <c r="AW67" i="24142"/>
  <c r="AW308" i="23917"/>
  <c r="AW75" i="23917"/>
  <c r="Y368" i="24142"/>
  <c r="Y434" i="23917"/>
  <c r="DD362" i="24142"/>
  <c r="DD428" i="23917"/>
  <c r="S23" i="24142"/>
  <c r="BA281" i="24142"/>
  <c r="BA70" i="24142"/>
  <c r="BA347" i="23917"/>
  <c r="BA78" i="23917"/>
  <c r="AA394" i="24142"/>
  <c r="AA460" i="23917"/>
  <c r="DL281" i="24142"/>
  <c r="DL70" i="24142"/>
  <c r="DL347" i="23917"/>
  <c r="DL78" i="23917"/>
  <c r="AM72" i="24142"/>
  <c r="AM79" i="23917"/>
  <c r="AY72" i="24142"/>
  <c r="AY79" i="23917"/>
  <c r="BD30" i="23917"/>
  <c r="BE281" i="24142"/>
  <c r="BE70" i="24142"/>
  <c r="BE347" i="23917"/>
  <c r="BE78" i="23917"/>
  <c r="DO79" i="24142"/>
  <c r="DF72" i="24142"/>
  <c r="DF490" i="23917"/>
  <c r="DF79" i="23917"/>
  <c r="DJ87" i="24142"/>
  <c r="DJ90" i="23917"/>
  <c r="DJ281" i="24142"/>
  <c r="DJ70" i="24142"/>
  <c r="DJ347" i="23917"/>
  <c r="DJ78" i="23917"/>
  <c r="B363" i="24142"/>
  <c r="B429" i="23917"/>
  <c r="B368" i="24142"/>
  <c r="B434" i="23917"/>
  <c r="B396" i="24142"/>
  <c r="B462" i="23917"/>
  <c r="B367" i="24142"/>
  <c r="B433" i="23917"/>
  <c r="DD366" i="24142"/>
  <c r="DD432" i="23917"/>
  <c r="J26" i="24142"/>
  <c r="J34" i="23917"/>
  <c r="P43" i="24142"/>
  <c r="P52" i="23917"/>
  <c r="D17" i="24158"/>
  <c r="BB26" i="24142"/>
  <c r="BB27" i="24142" s="1"/>
  <c r="BB34" i="23917"/>
  <c r="BB35" i="23917" s="1"/>
  <c r="AQ72" i="24142"/>
  <c r="AQ79" i="23917"/>
  <c r="BH72" i="24142"/>
  <c r="BH79" i="23917"/>
  <c r="DF389" i="24142"/>
  <c r="DF455" i="23917"/>
  <c r="DE393" i="24142"/>
  <c r="DE459" i="23917"/>
  <c r="DF395" i="24142"/>
  <c r="DF461" i="23917"/>
  <c r="BO72" i="24142"/>
  <c r="BO79" i="23917"/>
  <c r="AS42" i="24142"/>
  <c r="AS51" i="23917"/>
  <c r="AB383" i="24142"/>
  <c r="AB449" i="23917"/>
  <c r="Z393" i="24142"/>
  <c r="Z459" i="23917"/>
  <c r="DL192" i="24142"/>
  <c r="DL69" i="24142"/>
  <c r="DL130" i="23917"/>
  <c r="DL77" i="23917"/>
  <c r="V240" i="24142"/>
  <c r="V176" i="23917"/>
  <c r="T247" i="24142"/>
  <c r="T196" i="24142"/>
  <c r="BL72" i="24142"/>
  <c r="BL79" i="23917"/>
  <c r="AO72" i="24142"/>
  <c r="AO79" i="23917"/>
  <c r="DQ192" i="24142"/>
  <c r="DQ69" i="24142"/>
  <c r="DQ130" i="23917"/>
  <c r="DQ77" i="23917"/>
  <c r="DQ156" i="24142"/>
  <c r="DQ67" i="24142"/>
  <c r="DQ308" i="23917"/>
  <c r="DQ75" i="23917"/>
  <c r="DQ281" i="24142"/>
  <c r="DQ70" i="24142"/>
  <c r="DQ347" i="23917"/>
  <c r="DQ78" i="23917"/>
  <c r="DR73" i="24142"/>
  <c r="DQ73" i="24142"/>
  <c r="DR75" i="24142"/>
  <c r="DQ75" i="24142"/>
  <c r="DQ87" i="24142"/>
  <c r="DQ90" i="23917"/>
  <c r="DO310" i="23917"/>
  <c r="AS19" i="24142"/>
  <c r="AJ19" i="24142"/>
  <c r="AJ20" i="24142" s="1"/>
  <c r="DP281" i="24142"/>
  <c r="DP70" i="24142"/>
  <c r="DP347" i="23917"/>
  <c r="DP78" i="23917"/>
  <c r="BW51" i="23917"/>
  <c r="BV42" i="24142"/>
  <c r="BV51" i="23917"/>
  <c r="F240" i="24142"/>
  <c r="F176" i="23917"/>
  <c r="D26" i="24142"/>
  <c r="D34" i="23917"/>
  <c r="Z42" i="24142"/>
  <c r="Z51" i="23917"/>
  <c r="DJ357" i="24142"/>
  <c r="DJ73" i="24142"/>
  <c r="DJ423" i="23917"/>
  <c r="DJ156" i="24142"/>
  <c r="DJ67" i="24142"/>
  <c r="DJ308" i="23917"/>
  <c r="DJ75" i="23917"/>
  <c r="L14" i="24158"/>
  <c r="BR23" i="24142"/>
  <c r="BR26" i="23917"/>
  <c r="Y42" i="24142"/>
  <c r="Y51" i="23917"/>
  <c r="BZ49" i="24142"/>
  <c r="BZ58" i="23917"/>
  <c r="AQ42" i="24142"/>
  <c r="AQ51" i="23917"/>
  <c r="M42" i="24142"/>
  <c r="M51" i="23917"/>
  <c r="AX42" i="24142"/>
  <c r="AX51" i="23917"/>
  <c r="AT43" i="24142"/>
  <c r="AT52" i="23917"/>
  <c r="DV68" i="24142"/>
  <c r="DV76" i="23917"/>
  <c r="AQ26" i="23917"/>
  <c r="AH23" i="24142"/>
  <c r="AQ23" i="24142" s="1"/>
  <c r="AH26" i="23917"/>
  <c r="AK72" i="24142"/>
  <c r="AK79" i="23917"/>
  <c r="AD43" i="24142"/>
  <c r="AD52" i="23917"/>
  <c r="DD19" i="24142"/>
  <c r="DC19" i="24142"/>
  <c r="DC20" i="24142" s="1"/>
  <c r="DC23" i="24142"/>
  <c r="DC26" i="23917"/>
  <c r="DC42" i="24142"/>
  <c r="DC51" i="23917"/>
  <c r="DH394" i="24142"/>
  <c r="DH460" i="23917"/>
  <c r="C197" i="24142"/>
  <c r="C135" i="23917"/>
  <c r="BP72" i="24142"/>
  <c r="BP79" i="23917"/>
  <c r="DP76" i="24142"/>
  <c r="DP80" i="23917"/>
  <c r="U231" i="24142"/>
  <c r="U169" i="23917"/>
  <c r="U133" i="23917"/>
  <c r="BF42" i="24142"/>
  <c r="BF51" i="23917"/>
  <c r="DJ78" i="24142"/>
  <c r="DJ82" i="23917"/>
  <c r="DJ69" i="24142"/>
  <c r="DJ130" i="23917"/>
  <c r="DJ77" i="23917"/>
  <c r="M383" i="24142"/>
  <c r="M449" i="23917"/>
  <c r="E383" i="24142"/>
  <c r="E449" i="23917"/>
  <c r="D395" i="24142"/>
  <c r="D461" i="23917"/>
  <c r="X43" i="24142"/>
  <c r="X52" i="23917"/>
  <c r="BY79" i="23917"/>
  <c r="BX72" i="24142"/>
  <c r="BX79" i="23917"/>
  <c r="BT72" i="24142"/>
  <c r="BT79" i="23917"/>
  <c r="BA258" i="23917"/>
  <c r="BA220" i="23917"/>
  <c r="DE23" i="24142"/>
  <c r="DE26" i="23917"/>
  <c r="DE42" i="24142"/>
  <c r="DE51" i="23917"/>
  <c r="AP43" i="24142"/>
  <c r="AP52" i="23917"/>
  <c r="T26" i="24142"/>
  <c r="T34" i="23917"/>
  <c r="AB42" i="24142"/>
  <c r="AB51" i="23917"/>
  <c r="L43" i="24142"/>
  <c r="L52" i="23917"/>
  <c r="BI281" i="24142"/>
  <c r="BI70" i="24142"/>
  <c r="BI347" i="23917"/>
  <c r="BI78" i="23917"/>
  <c r="DM68" i="24142"/>
  <c r="DM76" i="23917"/>
  <c r="DM119" i="24142"/>
  <c r="DM66" i="24142"/>
  <c r="DM74" i="23917"/>
  <c r="DM216" i="23917"/>
  <c r="DM76" i="24142"/>
  <c r="DM80" i="23917"/>
  <c r="DN73" i="24142"/>
  <c r="DM73" i="24142"/>
  <c r="DN75" i="24142"/>
  <c r="DM75" i="24142"/>
  <c r="DM78" i="24142"/>
  <c r="DM82" i="23917"/>
  <c r="DN97" i="23917"/>
  <c r="DM97" i="23917"/>
  <c r="AR26" i="24142"/>
  <c r="AR27" i="24142" s="1"/>
  <c r="AR34" i="23917"/>
  <c r="AR35" i="23917" s="1"/>
  <c r="AL42" i="24142"/>
  <c r="AL51" i="23917"/>
  <c r="DU156" i="24142"/>
  <c r="DU67" i="24142"/>
  <c r="DU308" i="23917"/>
  <c r="DU75" i="23917"/>
  <c r="DU119" i="24142"/>
  <c r="DU66" i="24142"/>
  <c r="DU216" i="23917"/>
  <c r="DU74" i="23917"/>
  <c r="DU281" i="24142"/>
  <c r="DU70" i="24142"/>
  <c r="DU347" i="23917"/>
  <c r="DU78" i="23917"/>
  <c r="DU77" i="24142"/>
  <c r="DU81" i="23917"/>
  <c r="Q11" i="24158"/>
  <c r="R12" i="24158" s="1"/>
  <c r="DU19" i="23917"/>
  <c r="DV71" i="24142"/>
  <c r="DU71" i="24142"/>
  <c r="DV74" i="24142"/>
  <c r="DU74" i="24142"/>
  <c r="DU78" i="24142"/>
  <c r="DU82" i="23917"/>
  <c r="DV97" i="23917"/>
  <c r="DU97" i="23917"/>
  <c r="BE192" i="24142"/>
  <c r="BE69" i="24142"/>
  <c r="BE77" i="23917"/>
  <c r="BE130" i="23917"/>
  <c r="DG119" i="24142"/>
  <c r="DG66" i="24142"/>
  <c r="DG74" i="23917"/>
  <c r="DG216" i="23917"/>
  <c r="DG192" i="24142"/>
  <c r="DG69" i="24142"/>
  <c r="DG130" i="23917"/>
  <c r="DG77" i="23917"/>
  <c r="DH71" i="24142"/>
  <c r="DG322" i="24142"/>
  <c r="DG71" i="24142"/>
  <c r="DG388" i="23917"/>
  <c r="DG77" i="24142"/>
  <c r="DG81" i="23917"/>
  <c r="DG424" i="24142"/>
  <c r="DG74" i="24142"/>
  <c r="DG78" i="24142"/>
  <c r="DG82" i="23917"/>
  <c r="DH97" i="23917"/>
  <c r="DG97" i="23917"/>
  <c r="AV72" i="24142"/>
  <c r="AV79" i="23917"/>
  <c r="K393" i="24142"/>
  <c r="K459" i="23917"/>
  <c r="DS68" i="24142"/>
  <c r="DS76" i="23917"/>
  <c r="DS281" i="24142"/>
  <c r="DS70" i="24142"/>
  <c r="DS347" i="23917"/>
  <c r="DS78" i="23917"/>
  <c r="DS119" i="24142"/>
  <c r="DS66" i="24142"/>
  <c r="DS74" i="23917"/>
  <c r="DS216" i="23917"/>
  <c r="P11" i="24158"/>
  <c r="DS19" i="23917"/>
  <c r="DS78" i="24142"/>
  <c r="DS82" i="23917"/>
  <c r="M231" i="24142"/>
  <c r="M169" i="23917"/>
  <c r="M133" i="23917"/>
  <c r="D233" i="24142"/>
  <c r="D195" i="24142"/>
  <c r="BZ44" i="24142"/>
  <c r="BZ53" i="23917"/>
  <c r="V42" i="24142"/>
  <c r="V51" i="23917"/>
  <c r="R26" i="24142"/>
  <c r="R34" i="23917"/>
  <c r="AZ72" i="24142"/>
  <c r="AZ79" i="23917"/>
  <c r="AN23" i="24142"/>
  <c r="AN26" i="23917"/>
  <c r="AN42" i="24142"/>
  <c r="AN51" i="23917"/>
  <c r="N42" i="24142"/>
  <c r="N51" i="23917"/>
  <c r="BJ42" i="24142"/>
  <c r="BJ51" i="23917"/>
  <c r="BK72" i="24142"/>
  <c r="BK79" i="23917"/>
  <c r="AW78" i="24142"/>
  <c r="AW82" i="23917"/>
  <c r="AW76" i="24142"/>
  <c r="AW80" i="23917"/>
  <c r="Y362" i="24142"/>
  <c r="Y428" i="23917"/>
  <c r="Y23" i="24142"/>
  <c r="DD368" i="24142"/>
  <c r="DD434" i="23917"/>
  <c r="K23" i="24142"/>
  <c r="AZ30" i="23917"/>
  <c r="BA119" i="24142"/>
  <c r="BA66" i="24142"/>
  <c r="BA216" i="23917"/>
  <c r="BA74" i="23917"/>
  <c r="AW68" i="24142"/>
  <c r="AW76" i="23917"/>
  <c r="BH30" i="23917"/>
  <c r="BI119" i="24142"/>
  <c r="BI66" i="24142"/>
  <c r="BI216" i="23917"/>
  <c r="BI74" i="23917"/>
  <c r="AG72" i="24142"/>
  <c r="AG79" i="23917"/>
  <c r="AA395" i="24142"/>
  <c r="AA461" i="23917"/>
  <c r="DL78" i="24142"/>
  <c r="DL82" i="23917"/>
  <c r="DL76" i="24142"/>
  <c r="DL80" i="23917"/>
  <c r="BM156" i="24142"/>
  <c r="BM67" i="24142"/>
  <c r="BM308" i="23917"/>
  <c r="BM75" i="23917"/>
  <c r="BP30" i="23917"/>
  <c r="BE119" i="24142"/>
  <c r="BE66" i="24142"/>
  <c r="BE216" i="23917"/>
  <c r="BE74" i="23917"/>
  <c r="AC72" i="24142"/>
  <c r="AC79" i="23917"/>
  <c r="BO281" i="24142"/>
  <c r="BO70" i="24142"/>
  <c r="BO347" i="23917"/>
  <c r="BO78" i="23917"/>
  <c r="BN29" i="23917"/>
  <c r="BN30" i="23917" s="1"/>
  <c r="BO29" i="23917"/>
  <c r="BN83" i="23917"/>
  <c r="BW68" i="24142"/>
  <c r="BW76" i="23917"/>
  <c r="DJ77" i="24142"/>
  <c r="DJ81" i="23917"/>
  <c r="AW77" i="24142"/>
  <c r="AW81" i="23917"/>
  <c r="AV83" i="23917"/>
  <c r="AW281" i="24142"/>
  <c r="AW70" i="24142"/>
  <c r="AW347" i="23917"/>
  <c r="AW78" i="23917"/>
  <c r="Y367" i="24142"/>
  <c r="Y433" i="23917"/>
  <c r="Y363" i="24142"/>
  <c r="Y429" i="23917"/>
  <c r="DD367" i="24142"/>
  <c r="DD433" i="23917"/>
  <c r="K42" i="24142"/>
  <c r="K51" i="23917"/>
  <c r="BA87" i="24142"/>
  <c r="BA90" i="23917"/>
  <c r="BC42" i="24142"/>
  <c r="BC51" i="23917"/>
  <c r="I42" i="24142"/>
  <c r="I51" i="23917"/>
  <c r="DL77" i="24142"/>
  <c r="DL81" i="23917"/>
  <c r="DL119" i="24142"/>
  <c r="DL66" i="24142"/>
  <c r="DL216" i="23917"/>
  <c r="DL74" i="23917"/>
  <c r="BM87" i="24142"/>
  <c r="BM90" i="23917"/>
  <c r="BL30" i="23917"/>
  <c r="BM281" i="24142"/>
  <c r="BM70" i="24142"/>
  <c r="BM347" i="23917"/>
  <c r="BM78" i="23917"/>
  <c r="E42" i="24142"/>
  <c r="E51" i="23917"/>
  <c r="BE87" i="24142"/>
  <c r="BE90" i="23917"/>
  <c r="DO83" i="23917"/>
  <c r="CB83" i="23917"/>
  <c r="CN83" i="23917"/>
  <c r="CN79" i="24142"/>
  <c r="CL42" i="24142"/>
  <c r="CL51" i="23917"/>
  <c r="BY67" i="24142"/>
  <c r="BY156" i="24142"/>
  <c r="BY308" i="23917"/>
  <c r="BY75" i="23917"/>
  <c r="CG78" i="24142"/>
  <c r="CG82" i="23917"/>
  <c r="CF72" i="24142"/>
  <c r="CF79" i="23917"/>
  <c r="BU87" i="24142"/>
  <c r="BU90" i="23917"/>
  <c r="BU281" i="24142"/>
  <c r="BU70" i="24142"/>
  <c r="BU347" i="23917"/>
  <c r="BU78" i="23917"/>
  <c r="CK192" i="24142"/>
  <c r="CK69" i="24142"/>
  <c r="CK130" i="23917"/>
  <c r="CK77" i="23917"/>
  <c r="BQ77" i="24142"/>
  <c r="BQ81" i="23917"/>
  <c r="BW42" i="24142"/>
  <c r="DX119" i="24142"/>
  <c r="DX66" i="24142"/>
  <c r="DX216" i="23917"/>
  <c r="DX74" i="23917"/>
  <c r="CC77" i="24142"/>
  <c r="CC81" i="23917"/>
  <c r="CB72" i="24142"/>
  <c r="CB79" i="23917"/>
  <c r="BS51" i="23917"/>
  <c r="CA58" i="23917"/>
  <c r="CA49" i="24142"/>
  <c r="CA29" i="24142"/>
  <c r="CA37" i="23917"/>
  <c r="CH23" i="24142"/>
  <c r="CH26" i="23917"/>
  <c r="BM76" i="24142"/>
  <c r="BM80" i="23917"/>
  <c r="BQ192" i="24142"/>
  <c r="BQ69" i="24142"/>
  <c r="BQ130" i="23917"/>
  <c r="BQ77" i="23917"/>
  <c r="DX90" i="23917"/>
  <c r="DX87" i="24142"/>
  <c r="DX77" i="24142"/>
  <c r="DX81" i="23917"/>
  <c r="CC156" i="24142"/>
  <c r="CC67" i="24142"/>
  <c r="CC75" i="23917"/>
  <c r="CC308" i="23917"/>
  <c r="DZ78" i="24142"/>
  <c r="DZ82" i="23917"/>
  <c r="DZ192" i="24142"/>
  <c r="DZ69" i="24142"/>
  <c r="DZ130" i="23917"/>
  <c r="DZ77" i="23917"/>
  <c r="CA38" i="24142"/>
  <c r="CA47" i="23917"/>
  <c r="CA45" i="24142"/>
  <c r="CA54" i="23917"/>
  <c r="BY192" i="24142"/>
  <c r="BY69" i="24142"/>
  <c r="BY130" i="23917"/>
  <c r="BY77" i="23917"/>
  <c r="BU192" i="24142"/>
  <c r="BU69" i="24142"/>
  <c r="BU130" i="23917"/>
  <c r="BU77" i="23917"/>
  <c r="DW72" i="24142"/>
  <c r="DW79" i="23917"/>
  <c r="CE192" i="24142"/>
  <c r="CE69" i="24142"/>
  <c r="CE130" i="23917"/>
  <c r="CE77" i="23917"/>
  <c r="CM119" i="24142"/>
  <c r="CM66" i="24142"/>
  <c r="CM216" i="23917"/>
  <c r="CM74" i="23917"/>
  <c r="CM78" i="24142"/>
  <c r="CM82" i="23917"/>
  <c r="CM87" i="24142"/>
  <c r="CM90" i="23917"/>
  <c r="CE77" i="24142"/>
  <c r="CE81" i="23917"/>
  <c r="CD22" i="23917"/>
  <c r="CD23" i="23917" s="1"/>
  <c r="CE19" i="24142"/>
  <c r="DY83" i="23917"/>
  <c r="DZ119" i="24142"/>
  <c r="DZ66" i="24142"/>
  <c r="DZ216" i="23917"/>
  <c r="DZ74" i="23917"/>
  <c r="CC68" i="24142"/>
  <c r="CC76" i="23917"/>
  <c r="BT83" i="23917"/>
  <c r="BI78" i="24142"/>
  <c r="BI82" i="23917"/>
  <c r="BH83" i="23917"/>
  <c r="BI76" i="24142"/>
  <c r="BI80" i="23917"/>
  <c r="CK78" i="24142"/>
  <c r="CK82" i="23917"/>
  <c r="CK76" i="24142"/>
  <c r="CK80" i="23917"/>
  <c r="CM72" i="24142"/>
  <c r="CM79" i="23917"/>
  <c r="CM68" i="24142"/>
  <c r="CM76" i="23917"/>
  <c r="CD83" i="23917"/>
  <c r="CD79" i="24142"/>
  <c r="CE78" i="24142"/>
  <c r="CE82" i="23917"/>
  <c r="CE281" i="24142"/>
  <c r="CE70" i="24142"/>
  <c r="CE347" i="23917"/>
  <c r="CE78" i="23917"/>
  <c r="DW83" i="23917"/>
  <c r="DW79" i="24142"/>
  <c r="CB79" i="24142"/>
  <c r="S12" i="24158"/>
  <c r="DY79" i="24142"/>
  <c r="DZ67" i="24142"/>
  <c r="DZ156" i="24142"/>
  <c r="DZ308" i="23917"/>
  <c r="DZ75" i="23917"/>
  <c r="BX83" i="23917"/>
  <c r="CG77" i="24142"/>
  <c r="CG81" i="23917"/>
  <c r="CF83" i="23917"/>
  <c r="CG76" i="24142"/>
  <c r="CG80" i="23917"/>
  <c r="BA77" i="24142"/>
  <c r="BA81" i="23917"/>
  <c r="AZ83" i="23917"/>
  <c r="BA76" i="24142"/>
  <c r="BA80" i="23917"/>
  <c r="CJ83" i="23917"/>
  <c r="CK156" i="24142"/>
  <c r="CK67" i="24142"/>
  <c r="CK75" i="23917"/>
  <c r="CK308" i="23917"/>
  <c r="BM78" i="24142"/>
  <c r="BM82" i="23917"/>
  <c r="BL79" i="24142"/>
  <c r="BP83" i="23917"/>
  <c r="BD83" i="23917"/>
  <c r="BE76" i="24142"/>
  <c r="BE80" i="23917"/>
  <c r="CC78" i="24142"/>
  <c r="CC82" i="23917"/>
  <c r="CC76" i="24142"/>
  <c r="CC80" i="23917"/>
  <c r="BQ68" i="24142"/>
  <c r="BQ76" i="23917"/>
  <c r="DX76" i="24142"/>
  <c r="DX80" i="23917"/>
  <c r="CL23" i="24142"/>
  <c r="CL26" i="23917"/>
  <c r="BY119" i="24142"/>
  <c r="BY66" i="24142"/>
  <c r="BY216" i="23917"/>
  <c r="BY74" i="23917"/>
  <c r="CG192" i="24142"/>
  <c r="CG69" i="24142"/>
  <c r="CG130" i="23917"/>
  <c r="CG77" i="23917"/>
  <c r="DX68" i="24142"/>
  <c r="DX76" i="23917"/>
  <c r="W490" i="23917"/>
  <c r="W79" i="23917"/>
  <c r="W72" i="24142"/>
  <c r="CJ72" i="24142"/>
  <c r="CJ79" i="23917"/>
  <c r="BM77" i="24142"/>
  <c r="BM81" i="23917"/>
  <c r="BQ119" i="24142"/>
  <c r="BQ216" i="23917"/>
  <c r="BQ66" i="24142"/>
  <c r="BQ74" i="23917"/>
  <c r="BQ76" i="24142"/>
  <c r="BQ80" i="23917"/>
  <c r="DX281" i="24142"/>
  <c r="DX70" i="24142"/>
  <c r="DX78" i="23917"/>
  <c r="DX347" i="23917"/>
  <c r="CC192" i="24142"/>
  <c r="CC69" i="24142"/>
  <c r="CC130" i="23917"/>
  <c r="CC77" i="23917"/>
  <c r="BY87" i="24142"/>
  <c r="BY90" i="23917"/>
  <c r="BY281" i="24142"/>
  <c r="BY347" i="23917"/>
  <c r="BY70" i="24142"/>
  <c r="BY78" i="23917"/>
  <c r="BU77" i="24142"/>
  <c r="BU81" i="23917"/>
  <c r="BU76" i="24142"/>
  <c r="BU80" i="23917"/>
  <c r="CH42" i="24142"/>
  <c r="CH51" i="23917"/>
  <c r="DX156" i="24142"/>
  <c r="DX67" i="24142"/>
  <c r="DX75" i="23917"/>
  <c r="DX308" i="23917"/>
  <c r="CC281" i="24142"/>
  <c r="CC70" i="24142"/>
  <c r="CC347" i="23917"/>
  <c r="CC78" i="23917"/>
  <c r="DY72" i="24142"/>
  <c r="DY79" i="23917"/>
  <c r="CA53" i="23917"/>
  <c r="CA44" i="24142"/>
  <c r="BY78" i="24142"/>
  <c r="BY82" i="23917"/>
  <c r="CG87" i="24142"/>
  <c r="CG90" i="23917"/>
  <c r="CG281" i="24142"/>
  <c r="CG70" i="24142"/>
  <c r="CG78" i="23917"/>
  <c r="CG347" i="23917"/>
  <c r="BU78" i="24142"/>
  <c r="BU82" i="23917"/>
  <c r="DZ68" i="24142"/>
  <c r="DZ76" i="23917"/>
  <c r="BQ67" i="24142"/>
  <c r="BQ156" i="24142"/>
  <c r="BQ308" i="23917"/>
  <c r="BQ75" i="23917"/>
  <c r="CC119" i="24142"/>
  <c r="CC66" i="24142"/>
  <c r="CC216" i="23917"/>
  <c r="CC74" i="23917"/>
  <c r="BY76" i="24142"/>
  <c r="BY80" i="23917"/>
  <c r="CM156" i="24142"/>
  <c r="CM308" i="23917"/>
  <c r="CM67" i="24142"/>
  <c r="CM75" i="23917"/>
  <c r="CE76" i="24142"/>
  <c r="CE80" i="23917"/>
  <c r="CD29" i="23917"/>
  <c r="CD30" i="23917" s="1"/>
  <c r="DW30" i="23917"/>
  <c r="CC87" i="24142"/>
  <c r="CC90" i="23917"/>
  <c r="DZ87" i="24142"/>
  <c r="DZ90" i="23917"/>
  <c r="DZ76" i="24142"/>
  <c r="DZ80" i="23917"/>
  <c r="CF30" i="23917"/>
  <c r="BT79" i="24142"/>
  <c r="BI77" i="24142"/>
  <c r="BI81" i="23917"/>
  <c r="BH79" i="24142"/>
  <c r="CK87" i="24142"/>
  <c r="CK90" i="23917"/>
  <c r="CK281" i="24142"/>
  <c r="CK70" i="24142"/>
  <c r="CK347" i="23917"/>
  <c r="CK78" i="23917"/>
  <c r="BE78" i="24142"/>
  <c r="BE82" i="23917"/>
  <c r="CM281" i="24142"/>
  <c r="CM70" i="24142"/>
  <c r="CM347" i="23917"/>
  <c r="CM78" i="23917"/>
  <c r="CD72" i="24142"/>
  <c r="CD79" i="23917"/>
  <c r="CE68" i="24142"/>
  <c r="CE76" i="23917"/>
  <c r="DY30" i="23917"/>
  <c r="DZ281" i="24142"/>
  <c r="DZ70" i="24142"/>
  <c r="DZ347" i="23917"/>
  <c r="DZ78" i="23917"/>
  <c r="BY77" i="24142"/>
  <c r="BY81" i="23917"/>
  <c r="BX79" i="24142"/>
  <c r="CG119" i="24142"/>
  <c r="CG216" i="23917"/>
  <c r="CG66" i="24142"/>
  <c r="CG74" i="23917"/>
  <c r="CF79" i="24142"/>
  <c r="CG156" i="24142"/>
  <c r="CG67" i="24142"/>
  <c r="CG75" i="23917"/>
  <c r="CG308" i="23917"/>
  <c r="BA78" i="24142"/>
  <c r="BA82" i="23917"/>
  <c r="AZ79" i="24142"/>
  <c r="CK77" i="24142"/>
  <c r="CK81" i="23917"/>
  <c r="CK119" i="24142"/>
  <c r="CK66" i="24142"/>
  <c r="CK216" i="23917"/>
  <c r="CK74" i="23917"/>
  <c r="CJ79" i="24142"/>
  <c r="CI72" i="24142"/>
  <c r="CI79" i="23917"/>
  <c r="BL83" i="23917"/>
  <c r="BQ78" i="24142"/>
  <c r="BQ82" i="23917"/>
  <c r="BP79" i="24142"/>
  <c r="BE77" i="24142"/>
  <c r="BE81" i="23917"/>
  <c r="BD79" i="24142"/>
  <c r="CK68" i="24142"/>
  <c r="CK76" i="23917"/>
  <c r="CO78" i="24142"/>
  <c r="CO82" i="23917"/>
  <c r="CN72" i="24142"/>
  <c r="CN79" i="23917"/>
  <c r="CO119" i="24142"/>
  <c r="CO66" i="24142"/>
  <c r="CO216" i="23917"/>
  <c r="CO74" i="23917"/>
  <c r="CO87" i="24142"/>
  <c r="CO90" i="23917"/>
  <c r="CO192" i="24142"/>
  <c r="CO69" i="24142"/>
  <c r="CO130" i="23917"/>
  <c r="CO77" i="23917"/>
  <c r="CO156" i="24142"/>
  <c r="CO67" i="24142"/>
  <c r="CO308" i="23917"/>
  <c r="CO75" i="23917"/>
  <c r="EI33" i="24142"/>
  <c r="EI39" i="23917"/>
  <c r="CO76" i="24142"/>
  <c r="CO80" i="23917"/>
  <c r="EH33" i="24142"/>
  <c r="EH39" i="23917"/>
  <c r="CN22" i="23917"/>
  <c r="CN23" i="23917" s="1"/>
  <c r="CO281" i="24142"/>
  <c r="CO70" i="24142"/>
  <c r="CO347" i="23917"/>
  <c r="CO78" i="23917"/>
  <c r="EB277" i="24142"/>
  <c r="EB342" i="23917"/>
  <c r="CO77" i="24142"/>
  <c r="CO81" i="23917"/>
  <c r="EB284" i="24142"/>
  <c r="EB350" i="23917"/>
  <c r="CO68" i="24142"/>
  <c r="CO76" i="23917"/>
  <c r="CN30" i="23917"/>
  <c r="BA29" i="23917"/>
  <c r="DQ29" i="23917"/>
  <c r="DR19" i="23917"/>
  <c r="DQ22" i="23917"/>
  <c r="DQ23" i="23917" s="1"/>
  <c r="BE240" i="23917"/>
  <c r="BD250" i="23917"/>
  <c r="BD249" i="23917"/>
  <c r="CC22" i="23917"/>
  <c r="CB19" i="24142"/>
  <c r="CB20" i="24142" s="1"/>
  <c r="DZ22" i="23917"/>
  <c r="DY19" i="24142"/>
  <c r="DY20" i="24142" s="1"/>
  <c r="EB17" i="23917"/>
  <c r="P31" i="24142"/>
  <c r="BA22" i="23917"/>
  <c r="AZ19" i="24142"/>
  <c r="AZ20" i="24142" s="1"/>
  <c r="BB31" i="24142"/>
  <c r="BQ29" i="23917"/>
  <c r="BE29" i="23917"/>
  <c r="BW19" i="24142"/>
  <c r="BM29" i="23917"/>
  <c r="AA19" i="24142"/>
  <c r="CO29" i="23917"/>
  <c r="DO274" i="23917"/>
  <c r="DP268" i="23917"/>
  <c r="BI22" i="23917"/>
  <c r="BH19" i="24142"/>
  <c r="BH20" i="24142" s="1"/>
  <c r="AT31" i="24142"/>
  <c r="AI19" i="24142"/>
  <c r="DF19" i="24142"/>
  <c r="AC26" i="23917"/>
  <c r="DM29" i="23917"/>
  <c r="DN19" i="23917"/>
  <c r="DM22" i="23917"/>
  <c r="DM23" i="23917" s="1"/>
  <c r="DU29" i="23917"/>
  <c r="DV19" i="23917"/>
  <c r="DU22" i="23917"/>
  <c r="DU23" i="23917" s="1"/>
  <c r="DX71" i="24142"/>
  <c r="AW29" i="23917"/>
  <c r="DS29" i="23917"/>
  <c r="DS22" i="23917"/>
  <c r="DS23" i="23917" s="1"/>
  <c r="DT19" i="23917"/>
  <c r="DT73" i="24142"/>
  <c r="DT97" i="23917"/>
  <c r="F31" i="24142"/>
  <c r="F29" i="23917"/>
  <c r="G34" i="23917"/>
  <c r="DL29" i="23917"/>
  <c r="BK19" i="24142"/>
  <c r="CK22" i="23917"/>
  <c r="CJ19" i="24142"/>
  <c r="CJ20" i="24142" s="1"/>
  <c r="DQ253" i="23917"/>
  <c r="AK19" i="24142"/>
  <c r="AG19" i="24142"/>
  <c r="E34" i="23917"/>
  <c r="D29" i="23917"/>
  <c r="BI29" i="23917"/>
  <c r="AI26" i="23917"/>
  <c r="CG22" i="23917"/>
  <c r="CF19" i="24142"/>
  <c r="CF20" i="24142" s="1"/>
  <c r="AP31" i="24142"/>
  <c r="DP73" i="24142"/>
  <c r="DT74" i="24142"/>
  <c r="R31" i="24142"/>
  <c r="O19" i="24142"/>
  <c r="W19" i="24142"/>
  <c r="DP71" i="24142"/>
  <c r="BU29" i="23917"/>
  <c r="J31" i="24142"/>
  <c r="J29" i="23917"/>
  <c r="AK26" i="23917"/>
  <c r="BE22" i="23917"/>
  <c r="BD19" i="24142"/>
  <c r="BD20" i="24142" s="1"/>
  <c r="AG26" i="23917"/>
  <c r="BM22" i="23917"/>
  <c r="BL19" i="24142"/>
  <c r="BL20" i="24142" s="1"/>
  <c r="AA26" i="23917"/>
  <c r="DW19" i="24142"/>
  <c r="DW20" i="24142" s="1"/>
  <c r="CO22" i="23917"/>
  <c r="CN19" i="24142"/>
  <c r="CN20" i="24142" s="1"/>
  <c r="AY19" i="24142"/>
  <c r="DO19" i="24142"/>
  <c r="DO20" i="24142" s="1"/>
  <c r="AD31" i="24142"/>
  <c r="BG19" i="24142"/>
  <c r="BY22" i="23917"/>
  <c r="BX19" i="24142"/>
  <c r="BX20" i="24142" s="1"/>
  <c r="B31" i="24142"/>
  <c r="B29" i="23917"/>
  <c r="C34" i="23917"/>
  <c r="AC19" i="24142"/>
  <c r="AR31" i="24142"/>
  <c r="AM19" i="24142"/>
  <c r="DJ97" i="23917"/>
  <c r="AW22" i="23917"/>
  <c r="AV19" i="24142"/>
  <c r="AV20" i="24142" s="1"/>
  <c r="DT75" i="24142"/>
  <c r="W26" i="23917"/>
  <c r="AO19" i="24142"/>
  <c r="BA274" i="23917"/>
  <c r="CC29" i="23917"/>
  <c r="DZ29" i="23917"/>
  <c r="DI19" i="24142"/>
  <c r="DI20" i="24142" s="1"/>
  <c r="BU22" i="23917"/>
  <c r="BT19" i="24142"/>
  <c r="BT20" i="24142" s="1"/>
  <c r="CK29" i="23917"/>
  <c r="I34" i="23917"/>
  <c r="H29" i="23917"/>
  <c r="BQ22" i="23917"/>
  <c r="BP19" i="24142"/>
  <c r="BP20" i="24142" s="1"/>
  <c r="DP310" i="23917"/>
  <c r="EB12" i="23917"/>
  <c r="DX29" i="23917"/>
  <c r="BS19" i="24142"/>
  <c r="CI19" i="24142"/>
  <c r="DQ240" i="23917"/>
  <c r="DN274" i="23917"/>
  <c r="BY29" i="23917"/>
  <c r="CG29" i="23917"/>
  <c r="BB264" i="23917"/>
  <c r="BB265" i="23917"/>
  <c r="BC253" i="23917"/>
  <c r="BB263" i="23917"/>
  <c r="BB268" i="23917"/>
  <c r="AS26" i="23917"/>
  <c r="AM26" i="23917"/>
  <c r="AU19" i="24142"/>
  <c r="DH19" i="23917"/>
  <c r="DT71" i="24142"/>
  <c r="AO26" i="23917"/>
  <c r="O26" i="23917"/>
  <c r="AQ19" i="24142"/>
  <c r="DL22" i="23917"/>
  <c r="DK19" i="24142"/>
  <c r="DK20" i="24142" s="1"/>
  <c r="EC289" i="24142" l="1"/>
  <c r="EE355" i="23917"/>
  <c r="DX22" i="23917"/>
  <c r="EM553" i="23917"/>
  <c r="EC560" i="23917"/>
  <c r="EC561" i="23917" s="1"/>
  <c r="EC494" i="24142"/>
  <c r="ED494" i="24142"/>
  <c r="ED289" i="24142"/>
  <c r="EE289" i="24142"/>
  <c r="EC355" i="23917"/>
  <c r="EF355" i="23917"/>
  <c r="EF334" i="23917"/>
  <c r="EF269" i="24142"/>
  <c r="EM145" i="24142"/>
  <c r="EM109" i="24142"/>
  <c r="EE269" i="24142"/>
  <c r="EE334" i="23917"/>
  <c r="CV344" i="23917"/>
  <c r="F15" i="24158"/>
  <c r="DA273" i="24142"/>
  <c r="DA338" i="23917"/>
  <c r="CX276" i="24142"/>
  <c r="CX341" i="23917"/>
  <c r="CY275" i="24142"/>
  <c r="CY340" i="23917"/>
  <c r="CW276" i="24142"/>
  <c r="CW341" i="23917"/>
  <c r="CW278" i="24142"/>
  <c r="CW12" i="24142"/>
  <c r="CW343" i="23917"/>
  <c r="EK43" i="23917"/>
  <c r="EC275" i="24142"/>
  <c r="EC340" i="23917"/>
  <c r="EK286" i="24142"/>
  <c r="EK352" i="23917"/>
  <c r="EK272" i="24142"/>
  <c r="EK337" i="23917"/>
  <c r="EL483" i="24142"/>
  <c r="EL549" i="23917"/>
  <c r="EL487" i="24142"/>
  <c r="EL553" i="23917"/>
  <c r="ED273" i="24142"/>
  <c r="ED338" i="23917"/>
  <c r="EK34" i="24142"/>
  <c r="EL109" i="24142"/>
  <c r="EL205" i="23917"/>
  <c r="DA494" i="24142"/>
  <c r="DA17" i="24142"/>
  <c r="DA560" i="23917"/>
  <c r="CZ275" i="24142"/>
  <c r="CZ340" i="23917"/>
  <c r="CV284" i="24142"/>
  <c r="CV350" i="23917"/>
  <c r="EL33" i="24142"/>
  <c r="EL39" i="23917"/>
  <c r="EL232" i="24142"/>
  <c r="EK232" i="24142"/>
  <c r="EM232" i="24142"/>
  <c r="EL266" i="24142"/>
  <c r="EL331" i="23917"/>
  <c r="EK490" i="24142"/>
  <c r="EK557" i="23917"/>
  <c r="EM490" i="24142"/>
  <c r="EK488" i="24142"/>
  <c r="EK555" i="23917"/>
  <c r="EM488" i="24142"/>
  <c r="ED492" i="24142"/>
  <c r="ED559" i="23917"/>
  <c r="ED491" i="24142"/>
  <c r="ED558" i="23917"/>
  <c r="ED269" i="24142"/>
  <c r="ED334" i="23917"/>
  <c r="EM331" i="23917"/>
  <c r="EM266" i="24142"/>
  <c r="EL145" i="24142"/>
  <c r="EL296" i="23917"/>
  <c r="CU284" i="24142"/>
  <c r="CU350" i="23917"/>
  <c r="EH490" i="24142"/>
  <c r="EH557" i="23917"/>
  <c r="EI70" i="23917"/>
  <c r="EI61" i="24142"/>
  <c r="EH70" i="23917"/>
  <c r="EH61" i="24142"/>
  <c r="EI62" i="24142"/>
  <c r="EI71" i="23917"/>
  <c r="EI25" i="24142"/>
  <c r="EI28" i="23917"/>
  <c r="EJ270" i="24142"/>
  <c r="EJ335" i="23917"/>
  <c r="EJ555" i="23917"/>
  <c r="EJ488" i="24142"/>
  <c r="EJ557" i="23917"/>
  <c r="EJ490" i="24142"/>
  <c r="EH25" i="24142"/>
  <c r="EH71" i="23917"/>
  <c r="EH62" i="24142"/>
  <c r="EH28" i="23917"/>
  <c r="EE559" i="23917"/>
  <c r="EE492" i="24142"/>
  <c r="BY72" i="24142"/>
  <c r="P12" i="24158"/>
  <c r="DP29" i="23917"/>
  <c r="CM19" i="24142"/>
  <c r="DP22" i="23917"/>
  <c r="L15" i="24158"/>
  <c r="EL43" i="23917"/>
  <c r="DS83" i="23917"/>
  <c r="AE43" i="24142"/>
  <c r="AE52" i="23917"/>
  <c r="DK23" i="24142"/>
  <c r="DK26" i="23917"/>
  <c r="N43" i="24142"/>
  <c r="N52" i="23917"/>
  <c r="AN26" i="24142"/>
  <c r="AN34" i="23917"/>
  <c r="G226" i="24142"/>
  <c r="G164" i="23917"/>
  <c r="DT156" i="24142"/>
  <c r="DT67" i="24142"/>
  <c r="DT308" i="23917"/>
  <c r="DT75" i="23917"/>
  <c r="DT192" i="24142"/>
  <c r="DT69" i="24142"/>
  <c r="DT77" i="23917"/>
  <c r="DT130" i="23917"/>
  <c r="AL43" i="24142"/>
  <c r="AL52" i="23917"/>
  <c r="DE35" i="24142"/>
  <c r="DE44" i="23917"/>
  <c r="DJ72" i="24142"/>
  <c r="DJ490" i="23917"/>
  <c r="DJ79" i="23917"/>
  <c r="BG23" i="24142"/>
  <c r="BG26" i="23917"/>
  <c r="V237" i="24142"/>
  <c r="V173" i="23917"/>
  <c r="DD23" i="24142"/>
  <c r="DD26" i="23917"/>
  <c r="DP245" i="23917"/>
  <c r="DP219" i="23917"/>
  <c r="R205" i="24142"/>
  <c r="R143" i="23917"/>
  <c r="DK42" i="24142"/>
  <c r="DK51" i="23917"/>
  <c r="N26" i="24142"/>
  <c r="N34" i="23917"/>
  <c r="AN43" i="24142"/>
  <c r="AN52" i="23917"/>
  <c r="O226" i="24142"/>
  <c r="O164" i="23917"/>
  <c r="F237" i="24142"/>
  <c r="F173" i="23917"/>
  <c r="F231" i="24142"/>
  <c r="F169" i="23917"/>
  <c r="F133" i="23917"/>
  <c r="DS72" i="24142"/>
  <c r="DS79" i="23917"/>
  <c r="DP78" i="24142"/>
  <c r="DP82" i="23917"/>
  <c r="DJ22" i="23917"/>
  <c r="DG22" i="23917"/>
  <c r="DG23" i="23917" s="1"/>
  <c r="DP72" i="24142"/>
  <c r="DP79" i="23917"/>
  <c r="AL26" i="24142"/>
  <c r="AL34" i="23917"/>
  <c r="T49" i="24142"/>
  <c r="T58" i="23917"/>
  <c r="U31" i="24142"/>
  <c r="T31" i="24142"/>
  <c r="AP35" i="24142"/>
  <c r="AP44" i="23917"/>
  <c r="BB258" i="23917"/>
  <c r="BB220" i="23917"/>
  <c r="F17" i="24158"/>
  <c r="BF26" i="24142"/>
  <c r="BF27" i="24142" s="1"/>
  <c r="BF34" i="23917"/>
  <c r="BF32" i="23917" s="1"/>
  <c r="W226" i="24142"/>
  <c r="W164" i="23917"/>
  <c r="B201" i="24142"/>
  <c r="B139" i="23917"/>
  <c r="B205" i="24142"/>
  <c r="B143" i="23917"/>
  <c r="DC26" i="24142"/>
  <c r="DC34" i="23917"/>
  <c r="AX43" i="24142"/>
  <c r="AX52" i="23917"/>
  <c r="DJ68" i="24142"/>
  <c r="DJ76" i="23917"/>
  <c r="R201" i="24142"/>
  <c r="R139" i="23917"/>
  <c r="Z363" i="24142"/>
  <c r="Z429" i="23917"/>
  <c r="Z368" i="24142"/>
  <c r="Z434" i="23917"/>
  <c r="Z396" i="24142"/>
  <c r="Z462" i="23917"/>
  <c r="Z367" i="24142"/>
  <c r="Z433" i="23917"/>
  <c r="H49" i="24142"/>
  <c r="H58" i="23917"/>
  <c r="I31" i="24142"/>
  <c r="H31" i="24142"/>
  <c r="M14" i="24158"/>
  <c r="BT23" i="24142"/>
  <c r="BT26" i="23917"/>
  <c r="BU42" i="24142"/>
  <c r="BT42" i="24142"/>
  <c r="BT51" i="23917"/>
  <c r="C367" i="24142"/>
  <c r="C433" i="23917"/>
  <c r="C368" i="24142"/>
  <c r="C434" i="23917"/>
  <c r="DI23" i="24142"/>
  <c r="DI26" i="23917"/>
  <c r="V26" i="24142"/>
  <c r="V34" i="23917"/>
  <c r="F35" i="24142"/>
  <c r="F36" i="24142" s="1"/>
  <c r="F44" i="23917"/>
  <c r="DT78" i="24142"/>
  <c r="DT82" i="23917"/>
  <c r="DT281" i="24142"/>
  <c r="DT70" i="24142"/>
  <c r="DT347" i="23917"/>
  <c r="DT78" i="23917"/>
  <c r="DV77" i="24142"/>
  <c r="DV81" i="23917"/>
  <c r="AR49" i="24142"/>
  <c r="AR58" i="23917"/>
  <c r="M31" i="24142"/>
  <c r="L31" i="24142"/>
  <c r="M26" i="24142"/>
  <c r="M34" i="23917"/>
  <c r="DF23" i="24142"/>
  <c r="DF26" i="23917"/>
  <c r="B49" i="24142"/>
  <c r="B58" i="23917"/>
  <c r="B29" i="24142"/>
  <c r="B37" i="23917"/>
  <c r="BX23" i="24142"/>
  <c r="BX26" i="23917"/>
  <c r="BX42" i="24142"/>
  <c r="BX51" i="23917"/>
  <c r="E394" i="24142"/>
  <c r="E460" i="23917"/>
  <c r="AD49" i="24142"/>
  <c r="AD58" i="23917"/>
  <c r="DO42" i="24142"/>
  <c r="DO51" i="23917"/>
  <c r="AT35" i="24142"/>
  <c r="AT44" i="23917"/>
  <c r="Z26" i="24142"/>
  <c r="Z34" i="23917"/>
  <c r="D35" i="24142"/>
  <c r="D36" i="24142" s="1"/>
  <c r="D44" i="23917"/>
  <c r="AF26" i="24142"/>
  <c r="AF34" i="23917"/>
  <c r="M247" i="24142"/>
  <c r="M196" i="24142"/>
  <c r="AJ26" i="24142"/>
  <c r="AJ34" i="23917"/>
  <c r="W240" i="24142"/>
  <c r="W176" i="23917"/>
  <c r="AC383" i="24142"/>
  <c r="AC449" i="23917"/>
  <c r="AB394" i="24142"/>
  <c r="AB460" i="23917"/>
  <c r="DH393" i="24142"/>
  <c r="DH459" i="23917"/>
  <c r="K26" i="24142"/>
  <c r="K34" i="23917"/>
  <c r="K396" i="24142"/>
  <c r="K462" i="23917"/>
  <c r="K363" i="24142"/>
  <c r="K429" i="23917"/>
  <c r="BK23" i="24142"/>
  <c r="BK26" i="23917"/>
  <c r="BJ43" i="24142"/>
  <c r="BJ52" i="23917"/>
  <c r="S26" i="24142"/>
  <c r="S34" i="23917"/>
  <c r="DT76" i="24142"/>
  <c r="DT80" i="23917"/>
  <c r="DG72" i="24142"/>
  <c r="DG490" i="23917"/>
  <c r="DG79" i="23917"/>
  <c r="DV192" i="24142"/>
  <c r="DV69" i="24142"/>
  <c r="DV130" i="23917"/>
  <c r="DV77" i="23917"/>
  <c r="DP68" i="24142"/>
  <c r="DP76" i="23917"/>
  <c r="AP49" i="24142"/>
  <c r="AP58" i="23917"/>
  <c r="B35" i="24142"/>
  <c r="B36" i="24142" s="1"/>
  <c r="B44" i="23917"/>
  <c r="X29" i="24142"/>
  <c r="X37" i="23917"/>
  <c r="Y26" i="24142"/>
  <c r="Y34" i="23917"/>
  <c r="E395" i="24142"/>
  <c r="E461" i="23917"/>
  <c r="AH43" i="24142"/>
  <c r="AH52" i="23917"/>
  <c r="D29" i="24142"/>
  <c r="D37" i="23917"/>
  <c r="O240" i="24142"/>
  <c r="O176" i="23917"/>
  <c r="F250" i="24142"/>
  <c r="F184" i="23917"/>
  <c r="F245" i="24142"/>
  <c r="F134" i="23917"/>
  <c r="F181" i="23917"/>
  <c r="BV26" i="24142"/>
  <c r="BV27" i="24142" s="1"/>
  <c r="BV34" i="23917"/>
  <c r="BV32" i="23917" s="1"/>
  <c r="DP258" i="23917"/>
  <c r="DP220" i="23917"/>
  <c r="D197" i="24142"/>
  <c r="D135" i="23917"/>
  <c r="DT119" i="24142"/>
  <c r="DT66" i="24142"/>
  <c r="DT216" i="23917"/>
  <c r="DT74" i="23917"/>
  <c r="DP192" i="24142"/>
  <c r="DP69" i="24142"/>
  <c r="DP77" i="23917"/>
  <c r="DP130" i="23917"/>
  <c r="DM72" i="24142"/>
  <c r="DM79" i="23917"/>
  <c r="AB26" i="24142"/>
  <c r="AB34" i="23917"/>
  <c r="T35" i="24142"/>
  <c r="T36" i="24142" s="1"/>
  <c r="T44" i="23917"/>
  <c r="M389" i="24142"/>
  <c r="M455" i="23917"/>
  <c r="D393" i="24142"/>
  <c r="D459" i="23917"/>
  <c r="F383" i="24142"/>
  <c r="F449" i="23917"/>
  <c r="DC35" i="24142"/>
  <c r="DC36" i="24142" s="1"/>
  <c r="DC44" i="23917"/>
  <c r="AT49" i="24142"/>
  <c r="AT58" i="23917"/>
  <c r="G14" i="24158"/>
  <c r="BH23" i="24142"/>
  <c r="BH26" i="23917"/>
  <c r="BH42" i="24142"/>
  <c r="BH51" i="23917"/>
  <c r="BR43" i="24142"/>
  <c r="BR52" i="23917"/>
  <c r="DR192" i="24142"/>
  <c r="DR69" i="24142"/>
  <c r="DR130" i="23917"/>
  <c r="DR77" i="23917"/>
  <c r="BB49" i="24142"/>
  <c r="BB58" i="23917"/>
  <c r="BB29" i="24142"/>
  <c r="BB37" i="23917"/>
  <c r="BA277" i="23917"/>
  <c r="AZ277" i="23917"/>
  <c r="P49" i="24142"/>
  <c r="P58" i="23917"/>
  <c r="J35" i="24142"/>
  <c r="J36" i="24142" s="1"/>
  <c r="J44" i="23917"/>
  <c r="K362" i="24142"/>
  <c r="K428" i="23917"/>
  <c r="DE368" i="24142"/>
  <c r="DE434" i="23917"/>
  <c r="DE367" i="24142"/>
  <c r="DE433" i="23917"/>
  <c r="BK42" i="24142"/>
  <c r="BK51" i="23917"/>
  <c r="BA72" i="24142"/>
  <c r="BA79" i="23917"/>
  <c r="DS30" i="23917"/>
  <c r="DS79" i="24142"/>
  <c r="AW72" i="24142"/>
  <c r="AW79" i="23917"/>
  <c r="DH424" i="24142"/>
  <c r="DH74" i="24142"/>
  <c r="DH119" i="24142"/>
  <c r="DH66" i="24142"/>
  <c r="DH216" i="23917"/>
  <c r="DH74" i="23917"/>
  <c r="DU30" i="23917"/>
  <c r="DV281" i="24142"/>
  <c r="DV70" i="24142"/>
  <c r="DV347" i="23917"/>
  <c r="DV78" i="23917"/>
  <c r="DV156" i="24142"/>
  <c r="DV67" i="24142"/>
  <c r="DV308" i="23917"/>
  <c r="DV75" i="23917"/>
  <c r="DN78" i="24142"/>
  <c r="DN82" i="23917"/>
  <c r="DN119" i="24142"/>
  <c r="DN66" i="24142"/>
  <c r="DN216" i="23917"/>
  <c r="DN74" i="23917"/>
  <c r="DD42" i="24142"/>
  <c r="DD51" i="23917"/>
  <c r="AI23" i="24142"/>
  <c r="AY42" i="24142"/>
  <c r="AY51" i="23917"/>
  <c r="AA42" i="24142"/>
  <c r="AA51" i="23917"/>
  <c r="DR281" i="24142"/>
  <c r="DR70" i="24142"/>
  <c r="DR347" i="23917"/>
  <c r="DR78" i="23917"/>
  <c r="AA393" i="24142"/>
  <c r="AA459" i="23917"/>
  <c r="BN42" i="24142"/>
  <c r="BN51" i="23917"/>
  <c r="J14" i="24158"/>
  <c r="J15" i="24158" s="1"/>
  <c r="BN23" i="24142"/>
  <c r="BN26" i="23917"/>
  <c r="CU12" i="23917"/>
  <c r="CV12" i="23917"/>
  <c r="DH281" i="24142"/>
  <c r="DH70" i="24142"/>
  <c r="DH347" i="23917"/>
  <c r="DH78" i="23917"/>
  <c r="DH156" i="24142"/>
  <c r="DH67" i="24142"/>
  <c r="DH308" i="23917"/>
  <c r="DH75" i="23917"/>
  <c r="DV87" i="24142"/>
  <c r="DV90" i="23917"/>
  <c r="DN87" i="24142"/>
  <c r="DN90" i="23917"/>
  <c r="DN281" i="24142"/>
  <c r="DN70" i="24142"/>
  <c r="DN347" i="23917"/>
  <c r="DN78" i="23917"/>
  <c r="DH68" i="24142"/>
  <c r="DH76" i="23917"/>
  <c r="AA23" i="24142"/>
  <c r="AK42" i="24142"/>
  <c r="AK51" i="23917"/>
  <c r="AK23" i="24142"/>
  <c r="DQ30" i="23917"/>
  <c r="DR77" i="24142"/>
  <c r="DR81" i="23917"/>
  <c r="DQ83" i="23917"/>
  <c r="DQ79" i="24142"/>
  <c r="DR119" i="24142"/>
  <c r="DR66" i="24142"/>
  <c r="DR216" i="23917"/>
  <c r="DR74" i="23917"/>
  <c r="DL72" i="24142"/>
  <c r="DL79" i="23917"/>
  <c r="DT87" i="24142"/>
  <c r="DT90" i="23917"/>
  <c r="AS43" i="24142"/>
  <c r="AS52" i="23917"/>
  <c r="U26" i="24142"/>
  <c r="U34" i="23917"/>
  <c r="T29" i="24142"/>
  <c r="T37" i="23917"/>
  <c r="BF43" i="24142"/>
  <c r="BF52" i="23917"/>
  <c r="V231" i="24142"/>
  <c r="V169" i="23917"/>
  <c r="V133" i="23917"/>
  <c r="AY23" i="24142"/>
  <c r="AY26" i="23917"/>
  <c r="B17" i="24158"/>
  <c r="AX26" i="24142"/>
  <c r="AX27" i="24142" s="1"/>
  <c r="AX34" i="23917"/>
  <c r="AX35" i="23917" s="1"/>
  <c r="K14" i="24158"/>
  <c r="BP23" i="24142"/>
  <c r="BP26" i="23917"/>
  <c r="BQ51" i="23917"/>
  <c r="BP42" i="24142"/>
  <c r="BP51" i="23917"/>
  <c r="Z362" i="24142"/>
  <c r="Z428" i="23917"/>
  <c r="Z366" i="24142"/>
  <c r="Z432" i="23917"/>
  <c r="H29" i="24142"/>
  <c r="H37" i="23917"/>
  <c r="K367" i="24142"/>
  <c r="K433" i="23917"/>
  <c r="K368" i="24142"/>
  <c r="K434" i="23917"/>
  <c r="DI42" i="24142"/>
  <c r="DI51" i="23917"/>
  <c r="V43" i="24142"/>
  <c r="V52" i="23917"/>
  <c r="AV23" i="24142"/>
  <c r="AV26" i="23917"/>
  <c r="AV42" i="24142"/>
  <c r="AV51" i="23917"/>
  <c r="AR29" i="24142"/>
  <c r="AR37" i="23917"/>
  <c r="L49" i="24142"/>
  <c r="L58" i="23917"/>
  <c r="L29" i="24142"/>
  <c r="L37" i="23917"/>
  <c r="AQ43" i="24142"/>
  <c r="AQ52" i="23917"/>
  <c r="DE26" i="24142"/>
  <c r="DE34" i="23917"/>
  <c r="M394" i="24142"/>
  <c r="M460" i="23917"/>
  <c r="T197" i="24142"/>
  <c r="T135" i="23917"/>
  <c r="AD29" i="24142"/>
  <c r="AD37" i="23917"/>
  <c r="DO23" i="24142"/>
  <c r="DO26" i="23917"/>
  <c r="AI42" i="24142"/>
  <c r="AI51" i="23917"/>
  <c r="D236" i="24142"/>
  <c r="D172" i="23917"/>
  <c r="Z43" i="24142"/>
  <c r="Z52" i="23917"/>
  <c r="I14" i="24158"/>
  <c r="BL23" i="24142"/>
  <c r="BL26" i="23917"/>
  <c r="BL42" i="24142"/>
  <c r="BL51" i="23917"/>
  <c r="AF43" i="24142"/>
  <c r="AF52" i="23917"/>
  <c r="E14" i="24158"/>
  <c r="BD23" i="24142"/>
  <c r="BD26" i="23917"/>
  <c r="BD42" i="24142"/>
  <c r="BD51" i="23917"/>
  <c r="AJ43" i="24142"/>
  <c r="AJ52" i="23917"/>
  <c r="V251" i="24142"/>
  <c r="V185" i="23917"/>
  <c r="V250" i="24142"/>
  <c r="V184" i="23917"/>
  <c r="V245" i="24142"/>
  <c r="V134" i="23917"/>
  <c r="V181" i="23917"/>
  <c r="AB389" i="24142"/>
  <c r="AB455" i="23917"/>
  <c r="AB395" i="24142"/>
  <c r="AB461" i="23917"/>
  <c r="H35" i="24142"/>
  <c r="H36" i="24142" s="1"/>
  <c r="H44" i="23917"/>
  <c r="DF393" i="24142"/>
  <c r="DF459" i="23917"/>
  <c r="BB35" i="24142"/>
  <c r="BB44" i="23917"/>
  <c r="P35" i="24142"/>
  <c r="P36" i="24142" s="1"/>
  <c r="P44" i="23917"/>
  <c r="J49" i="24142"/>
  <c r="J58" i="23917"/>
  <c r="J29" i="24142"/>
  <c r="J37" i="23917"/>
  <c r="C396" i="24142"/>
  <c r="C462" i="23917"/>
  <c r="C363" i="24142"/>
  <c r="C429" i="23917"/>
  <c r="H17" i="24158"/>
  <c r="H18" i="24158" s="1"/>
  <c r="BJ26" i="24142"/>
  <c r="BJ27" i="24142" s="1"/>
  <c r="BJ34" i="23917"/>
  <c r="BJ32" i="23917" s="1"/>
  <c r="AO42" i="24142"/>
  <c r="AO51" i="23917"/>
  <c r="R49" i="24142"/>
  <c r="R58" i="23917"/>
  <c r="R29" i="24142"/>
  <c r="R37" i="23917"/>
  <c r="DJ119" i="24142"/>
  <c r="DJ66" i="24142"/>
  <c r="DJ216" i="23917"/>
  <c r="DJ74" i="23917"/>
  <c r="DH192" i="24142"/>
  <c r="DH69" i="24142"/>
  <c r="DH130" i="23917"/>
  <c r="DH77" i="23917"/>
  <c r="DU72" i="24142"/>
  <c r="DU79" i="23917"/>
  <c r="AR35" i="24142"/>
  <c r="AR44" i="23917"/>
  <c r="DN68" i="24142"/>
  <c r="DN76" i="23917"/>
  <c r="L35" i="24142"/>
  <c r="L36" i="24142" s="1"/>
  <c r="L44" i="23917"/>
  <c r="AP29" i="24142"/>
  <c r="AP37" i="23917"/>
  <c r="X49" i="24142"/>
  <c r="X58" i="23917"/>
  <c r="Y31" i="24142"/>
  <c r="X31" i="24142"/>
  <c r="M395" i="24142"/>
  <c r="M461" i="23917"/>
  <c r="AH26" i="24142"/>
  <c r="AH34" i="23917"/>
  <c r="D49" i="24142"/>
  <c r="D58" i="23917"/>
  <c r="E31" i="24142"/>
  <c r="D31" i="24142"/>
  <c r="F251" i="24142"/>
  <c r="F185" i="23917"/>
  <c r="G240" i="24142"/>
  <c r="G176" i="23917"/>
  <c r="BW43" i="24142"/>
  <c r="BV43" i="24142"/>
  <c r="BV52" i="23917"/>
  <c r="DP260" i="23917"/>
  <c r="DO260" i="23917"/>
  <c r="R35" i="24142"/>
  <c r="R36" i="24142" s="1"/>
  <c r="R44" i="23917"/>
  <c r="F49" i="24142"/>
  <c r="F58" i="23917"/>
  <c r="F29" i="24142"/>
  <c r="F37" i="23917"/>
  <c r="DT68" i="24142"/>
  <c r="DT76" i="23917"/>
  <c r="DJ76" i="24142"/>
  <c r="DJ80" i="23917"/>
  <c r="DP77" i="24142"/>
  <c r="DP81" i="23917"/>
  <c r="DP87" i="24142"/>
  <c r="DP90" i="23917"/>
  <c r="DN192" i="24142"/>
  <c r="DN69" i="24142"/>
  <c r="DN130" i="23917"/>
  <c r="DN77" i="23917"/>
  <c r="AB43" i="24142"/>
  <c r="AB52" i="23917"/>
  <c r="DF42" i="24142"/>
  <c r="DF51" i="23917"/>
  <c r="X35" i="24142"/>
  <c r="X36" i="24142" s="1"/>
  <c r="X44" i="23917"/>
  <c r="E389" i="24142"/>
  <c r="E455" i="23917"/>
  <c r="BG42" i="24142"/>
  <c r="BG51" i="23917"/>
  <c r="AD35" i="24142"/>
  <c r="AD36" i="24142" s="1"/>
  <c r="AD44" i="23917"/>
  <c r="AT29" i="24142"/>
  <c r="AT37" i="23917"/>
  <c r="DO221" i="23917"/>
  <c r="DO273" i="23917"/>
  <c r="L17" i="24158"/>
  <c r="BR26" i="24142"/>
  <c r="BR27" i="24142" s="1"/>
  <c r="BR34" i="23917"/>
  <c r="BR32" i="23917" s="1"/>
  <c r="T236" i="24142"/>
  <c r="T172" i="23917"/>
  <c r="DQ72" i="24142"/>
  <c r="DQ79" i="23917"/>
  <c r="U247" i="24142"/>
  <c r="U196" i="24142"/>
  <c r="BC26" i="24142"/>
  <c r="BC34" i="23917"/>
  <c r="C14" i="24158"/>
  <c r="AZ23" i="24142"/>
  <c r="AZ26" i="23917"/>
  <c r="AZ42" i="24142"/>
  <c r="AZ51" i="23917"/>
  <c r="P29" i="24142"/>
  <c r="P37" i="23917"/>
  <c r="Q26" i="24142"/>
  <c r="Q34" i="23917"/>
  <c r="K366" i="24142"/>
  <c r="K432" i="23917"/>
  <c r="C366" i="24142"/>
  <c r="C432" i="23917"/>
  <c r="C362" i="24142"/>
  <c r="C428" i="23917"/>
  <c r="BD245" i="23917"/>
  <c r="BD219" i="23917"/>
  <c r="BD248" i="23917"/>
  <c r="DE363" i="24142"/>
  <c r="DE429" i="23917"/>
  <c r="DE362" i="24142"/>
  <c r="DE428" i="23917"/>
  <c r="DE366" i="24142"/>
  <c r="DE432" i="23917"/>
  <c r="DE396" i="24142"/>
  <c r="DE462" i="23917"/>
  <c r="BB310" i="23917"/>
  <c r="BC310" i="23917"/>
  <c r="O42" i="24142"/>
  <c r="O51" i="23917"/>
  <c r="AO23" i="24142"/>
  <c r="W42" i="24142"/>
  <c r="W51" i="23917"/>
  <c r="DH78" i="24142"/>
  <c r="DH82" i="23917"/>
  <c r="DH77" i="24142"/>
  <c r="DH81" i="23917"/>
  <c r="DV78" i="24142"/>
  <c r="DV82" i="23917"/>
  <c r="Q12" i="24158"/>
  <c r="DU83" i="23917"/>
  <c r="DU79" i="24142"/>
  <c r="DV119" i="24142"/>
  <c r="DV66" i="24142"/>
  <c r="DV216" i="23917"/>
  <c r="DV74" i="23917"/>
  <c r="AM42" i="24142"/>
  <c r="AM51" i="23917"/>
  <c r="DN76" i="24142"/>
  <c r="DN80" i="23917"/>
  <c r="AC42" i="24142"/>
  <c r="AC51" i="23917"/>
  <c r="DE36" i="24142"/>
  <c r="DR87" i="24142"/>
  <c r="DR90" i="23917"/>
  <c r="DR156" i="24142"/>
  <c r="DR67" i="24142"/>
  <c r="DR308" i="23917"/>
  <c r="DR75" i="23917"/>
  <c r="BM72" i="24142"/>
  <c r="BM79" i="23917"/>
  <c r="BI72" i="24142"/>
  <c r="BI79" i="23917"/>
  <c r="BW79" i="23917"/>
  <c r="BW72" i="24142"/>
  <c r="BN19" i="24142"/>
  <c r="BN20" i="24142" s="1"/>
  <c r="BO19" i="24142"/>
  <c r="BJ35" i="23917"/>
  <c r="O23" i="24142"/>
  <c r="W23" i="24142"/>
  <c r="DT77" i="24142"/>
  <c r="DT81" i="23917"/>
  <c r="DH87" i="24142"/>
  <c r="DH90" i="23917"/>
  <c r="DH357" i="24142"/>
  <c r="DH73" i="24142"/>
  <c r="DH423" i="23917"/>
  <c r="DH76" i="24142"/>
  <c r="DH80" i="23917"/>
  <c r="BE72" i="24142"/>
  <c r="BE79" i="23917"/>
  <c r="DV76" i="24142"/>
  <c r="DV80" i="23917"/>
  <c r="AM23" i="24142"/>
  <c r="DN77" i="24142"/>
  <c r="DN81" i="23917"/>
  <c r="DN156" i="24142"/>
  <c r="DN67" i="24142"/>
  <c r="DN308" i="23917"/>
  <c r="DN75" i="23917"/>
  <c r="AC23" i="24142"/>
  <c r="AG42" i="24142"/>
  <c r="AG51" i="23917"/>
  <c r="AG23" i="24142"/>
  <c r="DR78" i="24142"/>
  <c r="DR82" i="23917"/>
  <c r="DR76" i="24142"/>
  <c r="DR80" i="23917"/>
  <c r="DR68" i="24142"/>
  <c r="DR76" i="23917"/>
  <c r="BC43" i="24142"/>
  <c r="BC52" i="23917"/>
  <c r="DW51" i="23917"/>
  <c r="DW42" i="24142"/>
  <c r="DX192" i="24142"/>
  <c r="DX69" i="24142"/>
  <c r="DX130" i="23917"/>
  <c r="DX77" i="23917"/>
  <c r="CE42" i="24142"/>
  <c r="CE51" i="23917"/>
  <c r="DZ77" i="24142"/>
  <c r="DZ81" i="23917"/>
  <c r="BU51" i="23917"/>
  <c r="DX72" i="24142"/>
  <c r="DX79" i="23917"/>
  <c r="R14" i="24158"/>
  <c r="DW23" i="24142"/>
  <c r="DW26" i="23917"/>
  <c r="CE23" i="24142"/>
  <c r="CE26" i="23917"/>
  <c r="CF42" i="24142"/>
  <c r="CF51" i="23917"/>
  <c r="CH26" i="24142"/>
  <c r="CH27" i="24142" s="1"/>
  <c r="CH34" i="23917"/>
  <c r="CH32" i="23917" s="1"/>
  <c r="CJ23" i="24142"/>
  <c r="CJ26" i="23917"/>
  <c r="CM23" i="24142"/>
  <c r="CM26" i="23917"/>
  <c r="CL43" i="24142"/>
  <c r="CL52" i="23917"/>
  <c r="BQ72" i="24142"/>
  <c r="BQ79" i="23917"/>
  <c r="BS23" i="24142"/>
  <c r="BS26" i="23917"/>
  <c r="BA273" i="23917"/>
  <c r="BA221" i="23917"/>
  <c r="DY42" i="24142"/>
  <c r="DY51" i="23917"/>
  <c r="CB23" i="24142"/>
  <c r="CB26" i="23917"/>
  <c r="CI51" i="23917"/>
  <c r="CI42" i="24142"/>
  <c r="CD19" i="24142"/>
  <c r="CD20" i="24142" s="1"/>
  <c r="CG72" i="24142"/>
  <c r="CG79" i="23917"/>
  <c r="DX78" i="24142"/>
  <c r="DX82" i="23917"/>
  <c r="BQ42" i="24142"/>
  <c r="BU79" i="23917"/>
  <c r="BU72" i="24142"/>
  <c r="CF23" i="24142"/>
  <c r="CF26" i="23917"/>
  <c r="CI23" i="24142"/>
  <c r="CI26" i="23917"/>
  <c r="CH43" i="24142"/>
  <c r="CH52" i="23917"/>
  <c r="BW23" i="24142"/>
  <c r="BW26" i="23917"/>
  <c r="CJ42" i="24142"/>
  <c r="CJ51" i="23917"/>
  <c r="CL26" i="24142"/>
  <c r="CL27" i="24142" s="1"/>
  <c r="CL34" i="23917"/>
  <c r="CL32" i="23917" s="1"/>
  <c r="S14" i="24158"/>
  <c r="DY23" i="24142"/>
  <c r="DY26" i="23917"/>
  <c r="CB42" i="24142"/>
  <c r="CB51" i="23917"/>
  <c r="CE72" i="24142"/>
  <c r="CE79" i="23917"/>
  <c r="DZ72" i="24142"/>
  <c r="DZ79" i="23917"/>
  <c r="CK79" i="23917"/>
  <c r="CK72" i="24142"/>
  <c r="CD23" i="24142"/>
  <c r="CD26" i="23917"/>
  <c r="CD42" i="24142"/>
  <c r="CD51" i="23917"/>
  <c r="CC72" i="24142"/>
  <c r="CC79" i="23917"/>
  <c r="EI34" i="24142"/>
  <c r="EI43" i="23917"/>
  <c r="EJ33" i="24142"/>
  <c r="EJ39" i="23917"/>
  <c r="CN23" i="24142"/>
  <c r="CN26" i="23917"/>
  <c r="CO72" i="24142"/>
  <c r="CO79" i="23917"/>
  <c r="EM33" i="24142"/>
  <c r="EM39" i="23917"/>
  <c r="CN42" i="24142"/>
  <c r="CN51" i="23917"/>
  <c r="AN31" i="24142"/>
  <c r="BQ19" i="24142"/>
  <c r="C31" i="24142"/>
  <c r="CO19" i="24142"/>
  <c r="BM19" i="24142"/>
  <c r="K29" i="23917"/>
  <c r="S29" i="23917"/>
  <c r="S31" i="24142"/>
  <c r="CK19" i="24142"/>
  <c r="G29" i="23917"/>
  <c r="O29" i="23917"/>
  <c r="DZ19" i="24142"/>
  <c r="BC268" i="23917"/>
  <c r="DR240" i="23917"/>
  <c r="DQ268" i="23917"/>
  <c r="DQ248" i="23917"/>
  <c r="DQ250" i="23917"/>
  <c r="DQ249" i="23917"/>
  <c r="DQ310" i="23917"/>
  <c r="K31" i="24142"/>
  <c r="G31" i="24142"/>
  <c r="DT22" i="23917"/>
  <c r="DS19" i="24142"/>
  <c r="DS20" i="24142" s="1"/>
  <c r="DV22" i="23917"/>
  <c r="DU19" i="24142"/>
  <c r="DU20" i="24142" s="1"/>
  <c r="DN29" i="23917"/>
  <c r="DR22" i="23917"/>
  <c r="DQ19" i="24142"/>
  <c r="DQ20" i="24142" s="1"/>
  <c r="BD253" i="23917"/>
  <c r="BF31" i="24142"/>
  <c r="I29" i="23917"/>
  <c r="Q29" i="23917"/>
  <c r="BE19" i="24142"/>
  <c r="AJ31" i="24142"/>
  <c r="E29" i="23917"/>
  <c r="M29" i="23917"/>
  <c r="DR253" i="23917"/>
  <c r="DQ264" i="23917"/>
  <c r="DQ263" i="23917"/>
  <c r="DQ265" i="23917"/>
  <c r="DT29" i="23917"/>
  <c r="BA19" i="24142"/>
  <c r="CC19" i="24142"/>
  <c r="BF240" i="23917"/>
  <c r="DL19" i="24142"/>
  <c r="DH22" i="23917"/>
  <c r="DG19" i="24142"/>
  <c r="DG20" i="24142" s="1"/>
  <c r="BU19" i="24142"/>
  <c r="DJ19" i="24142"/>
  <c r="AW19" i="24142"/>
  <c r="C29" i="23917"/>
  <c r="BY19" i="24142"/>
  <c r="CG19" i="24142"/>
  <c r="AH31" i="24142"/>
  <c r="DV29" i="23917"/>
  <c r="DN22" i="23917"/>
  <c r="BI19" i="24142"/>
  <c r="DP274" i="23917"/>
  <c r="BC31" i="24142"/>
  <c r="Q31" i="24142"/>
  <c r="EM43" i="23917"/>
  <c r="DR29" i="23917"/>
  <c r="CH35" i="23917" l="1"/>
  <c r="EG355" i="23917"/>
  <c r="ED355" i="23917"/>
  <c r="EG289" i="24142"/>
  <c r="ED17" i="24142"/>
  <c r="ED560" i="23917"/>
  <c r="EF289" i="24142"/>
  <c r="EH289" i="24142"/>
  <c r="CY12" i="24142"/>
  <c r="EM557" i="23917"/>
  <c r="CX284" i="24142"/>
  <c r="EM555" i="23917"/>
  <c r="EC17" i="23917"/>
  <c r="EE273" i="24142"/>
  <c r="EE338" i="23917"/>
  <c r="L18" i="24158"/>
  <c r="CY276" i="24142"/>
  <c r="CY341" i="23917"/>
  <c r="CZ276" i="24142"/>
  <c r="CZ341" i="23917"/>
  <c r="DA275" i="24142"/>
  <c r="DA340" i="23917"/>
  <c r="ED17" i="23917"/>
  <c r="EL490" i="24142"/>
  <c r="EL557" i="23917"/>
  <c r="EM71" i="23917"/>
  <c r="EK62" i="24142"/>
  <c r="EK25" i="24142"/>
  <c r="EK71" i="23917"/>
  <c r="EK28" i="23917"/>
  <c r="EM61" i="24142"/>
  <c r="EK61" i="24142"/>
  <c r="EK70" i="23917"/>
  <c r="EL272" i="24142"/>
  <c r="EL337" i="23917"/>
  <c r="CW284" i="24142"/>
  <c r="CW350" i="23917"/>
  <c r="EM272" i="24142"/>
  <c r="EM337" i="23917"/>
  <c r="EL286" i="24142"/>
  <c r="EL352" i="23917"/>
  <c r="DA17" i="23917"/>
  <c r="CZ17" i="23917"/>
  <c r="EK270" i="24142"/>
  <c r="EK335" i="23917"/>
  <c r="EL488" i="24142"/>
  <c r="EL555" i="23917"/>
  <c r="EM352" i="23917"/>
  <c r="EM286" i="24142"/>
  <c r="ED275" i="24142"/>
  <c r="ED340" i="23917"/>
  <c r="CX278" i="24142"/>
  <c r="CX12" i="24142"/>
  <c r="CX343" i="23917"/>
  <c r="CX344" i="23917" s="1"/>
  <c r="BF35" i="23917"/>
  <c r="S15" i="24158"/>
  <c r="EE491" i="24142"/>
  <c r="EE558" i="23917"/>
  <c r="EF492" i="24142"/>
  <c r="EF559" i="23917"/>
  <c r="EG559" i="23917"/>
  <c r="EG492" i="24142"/>
  <c r="EJ25" i="24142"/>
  <c r="EJ28" i="23917"/>
  <c r="EJ62" i="24142"/>
  <c r="EJ71" i="23917"/>
  <c r="EJ70" i="23917"/>
  <c r="EJ61" i="24142"/>
  <c r="DX19" i="24142"/>
  <c r="BV35" i="23917"/>
  <c r="BW52" i="23917"/>
  <c r="K15" i="24158"/>
  <c r="BA23" i="24142"/>
  <c r="BA26" i="23917"/>
  <c r="AZ43" i="24142"/>
  <c r="AZ52" i="23917"/>
  <c r="BS49" i="24142"/>
  <c r="BR49" i="24142"/>
  <c r="BR58" i="23917"/>
  <c r="D363" i="24142"/>
  <c r="D429" i="23917"/>
  <c r="D368" i="24142"/>
  <c r="D434" i="23917"/>
  <c r="D367" i="24142"/>
  <c r="D433" i="23917"/>
  <c r="AB35" i="24142"/>
  <c r="AB36" i="24142" s="1"/>
  <c r="AB44" i="23917"/>
  <c r="DM42" i="24142"/>
  <c r="DM51" i="23917"/>
  <c r="R38" i="24142"/>
  <c r="R47" i="23917"/>
  <c r="R45" i="24142"/>
  <c r="R54" i="23917"/>
  <c r="BO35" i="24142"/>
  <c r="BO44" i="23917"/>
  <c r="BN38" i="24142"/>
  <c r="BN47" i="23917"/>
  <c r="BN45" i="24142"/>
  <c r="BN54" i="23917"/>
  <c r="BV35" i="24142"/>
  <c r="BV44" i="23917"/>
  <c r="H240" i="24142"/>
  <c r="H176" i="23917"/>
  <c r="F247" i="24142"/>
  <c r="F196" i="24142"/>
  <c r="AI26" i="24142"/>
  <c r="AI34" i="23917"/>
  <c r="AQ49" i="24142"/>
  <c r="AQ58" i="23917"/>
  <c r="P38" i="24142"/>
  <c r="P47" i="23917"/>
  <c r="P45" i="24142"/>
  <c r="P54" i="23917"/>
  <c r="BD43" i="24142"/>
  <c r="BD52" i="23917"/>
  <c r="BM42" i="24142"/>
  <c r="BM51" i="23917"/>
  <c r="DO43" i="24142"/>
  <c r="DO52" i="23917"/>
  <c r="M29" i="24142"/>
  <c r="M37" i="23917"/>
  <c r="DF35" i="24142"/>
  <c r="DF44" i="23917"/>
  <c r="DE45" i="24142"/>
  <c r="DE54" i="23917"/>
  <c r="U29" i="24142"/>
  <c r="U37" i="23917"/>
  <c r="DG23" i="24142"/>
  <c r="DG26" i="23917"/>
  <c r="DH396" i="24142"/>
  <c r="DH462" i="23917"/>
  <c r="DH362" i="24142"/>
  <c r="DH428" i="23917"/>
  <c r="BC29" i="24142"/>
  <c r="BC37" i="23917"/>
  <c r="DC45" i="24142"/>
  <c r="DC54" i="23917"/>
  <c r="O383" i="24142"/>
  <c r="O449" i="23917"/>
  <c r="F395" i="24142"/>
  <c r="F461" i="23917"/>
  <c r="F389" i="24142"/>
  <c r="F455" i="23917"/>
  <c r="DQ258" i="23917"/>
  <c r="DQ220" i="23917"/>
  <c r="AH35" i="24142"/>
  <c r="AH36" i="24142" s="1"/>
  <c r="AH44" i="23917"/>
  <c r="AK26" i="24142"/>
  <c r="AK34" i="23917"/>
  <c r="AJ29" i="24142"/>
  <c r="AJ37" i="23917"/>
  <c r="D44" i="24142"/>
  <c r="D53" i="23917"/>
  <c r="AA26" i="24142"/>
  <c r="AA34" i="23917"/>
  <c r="AA31" i="24142"/>
  <c r="Z31" i="24142"/>
  <c r="C29" i="24142"/>
  <c r="C37" i="23917"/>
  <c r="V49" i="24142"/>
  <c r="V58" i="23917"/>
  <c r="V29" i="24142"/>
  <c r="V37" i="23917"/>
  <c r="DI26" i="24142"/>
  <c r="DI34" i="23917"/>
  <c r="AX49" i="24142"/>
  <c r="AX58" i="23917"/>
  <c r="AX29" i="24142"/>
  <c r="AX37" i="23917"/>
  <c r="C201" i="24142"/>
  <c r="C139" i="23917"/>
  <c r="BF49" i="24142"/>
  <c r="BF58" i="23917"/>
  <c r="BF29" i="24142"/>
  <c r="BF37" i="23917"/>
  <c r="BC258" i="23917"/>
  <c r="BC220" i="23917"/>
  <c r="AP44" i="24142"/>
  <c r="AP53" i="23917"/>
  <c r="AM26" i="24142"/>
  <c r="AM34" i="23917"/>
  <c r="AM31" i="24142"/>
  <c r="AL31" i="24142"/>
  <c r="DH367" i="24142"/>
  <c r="DH433" i="23917"/>
  <c r="DQ42" i="24142"/>
  <c r="DQ51" i="23917"/>
  <c r="J38" i="24142"/>
  <c r="J47" i="23917"/>
  <c r="J45" i="24142"/>
  <c r="J54" i="23917"/>
  <c r="BR35" i="24142"/>
  <c r="BR44" i="23917"/>
  <c r="X38" i="24142"/>
  <c r="X47" i="23917"/>
  <c r="X45" i="24142"/>
  <c r="X54" i="23917"/>
  <c r="Q14" i="24158"/>
  <c r="R15" i="24158" s="1"/>
  <c r="DU23" i="24142"/>
  <c r="DU26" i="23917"/>
  <c r="DS42" i="24142"/>
  <c r="DS51" i="23917"/>
  <c r="G49" i="24142"/>
  <c r="G58" i="23917"/>
  <c r="BV31" i="24142"/>
  <c r="Y29" i="24142"/>
  <c r="Y37" i="23917"/>
  <c r="S49" i="24142"/>
  <c r="S58" i="23917"/>
  <c r="BJ49" i="24142"/>
  <c r="BJ58" i="23917"/>
  <c r="BJ29" i="24142"/>
  <c r="BJ37" i="23917"/>
  <c r="K49" i="24142"/>
  <c r="K58" i="23917"/>
  <c r="BC35" i="24142"/>
  <c r="BC44" i="23917"/>
  <c r="BB44" i="24142"/>
  <c r="BB53" i="23917"/>
  <c r="I35" i="24142"/>
  <c r="I44" i="23917"/>
  <c r="H44" i="24142"/>
  <c r="H53" i="23917"/>
  <c r="AC389" i="24142"/>
  <c r="AC455" i="23917"/>
  <c r="W245" i="24142"/>
  <c r="W181" i="23917"/>
  <c r="W134" i="23917"/>
  <c r="V247" i="24142"/>
  <c r="V196" i="24142"/>
  <c r="BL43" i="24142"/>
  <c r="BL52" i="23917"/>
  <c r="DE49" i="24142"/>
  <c r="DE58" i="23917"/>
  <c r="DF26" i="24142"/>
  <c r="DF34" i="23917"/>
  <c r="F38" i="24142"/>
  <c r="F47" i="23917"/>
  <c r="F45" i="24142"/>
  <c r="F54" i="23917"/>
  <c r="AA366" i="24142"/>
  <c r="AA432" i="23917"/>
  <c r="BQ52" i="23917"/>
  <c r="BP43" i="24142"/>
  <c r="BP52" i="23917"/>
  <c r="DQ219" i="23917"/>
  <c r="DQ245" i="23917"/>
  <c r="AX35" i="24142"/>
  <c r="AX44" i="23917"/>
  <c r="X226" i="24142"/>
  <c r="X164" i="23917"/>
  <c r="BB273" i="23917"/>
  <c r="BB221" i="23917"/>
  <c r="DK43" i="24142"/>
  <c r="DK52" i="23917"/>
  <c r="DH366" i="24142"/>
  <c r="DH432" i="23917"/>
  <c r="DF363" i="24142"/>
  <c r="DF429" i="23917"/>
  <c r="Q29" i="24142"/>
  <c r="Q37" i="23917"/>
  <c r="DP273" i="23917"/>
  <c r="DP221" i="23917"/>
  <c r="BH43" i="24142"/>
  <c r="BH52" i="23917"/>
  <c r="AU31" i="24142"/>
  <c r="AE35" i="24142"/>
  <c r="AE44" i="23917"/>
  <c r="AD44" i="24142"/>
  <c r="AD53" i="23917"/>
  <c r="M393" i="24142"/>
  <c r="M459" i="23917"/>
  <c r="T38" i="24142"/>
  <c r="T47" i="23917"/>
  <c r="T45" i="24142"/>
  <c r="T54" i="23917"/>
  <c r="AC31" i="24142"/>
  <c r="AB31" i="24142"/>
  <c r="AC26" i="24142"/>
  <c r="AC34" i="23917"/>
  <c r="E197" i="24142"/>
  <c r="E135" i="23917"/>
  <c r="AI43" i="24142"/>
  <c r="AI52" i="23917"/>
  <c r="C35" i="24142"/>
  <c r="C44" i="23917"/>
  <c r="B44" i="24142"/>
  <c r="B53" i="23917"/>
  <c r="L38" i="24142"/>
  <c r="L47" i="23917"/>
  <c r="L45" i="24142"/>
  <c r="L54" i="23917"/>
  <c r="AR44" i="24142"/>
  <c r="AR53" i="23917"/>
  <c r="AF29" i="24142"/>
  <c r="AF37" i="23917"/>
  <c r="AG26" i="24142"/>
  <c r="AG34" i="23917"/>
  <c r="AU35" i="24142"/>
  <c r="AU44" i="23917"/>
  <c r="AT44" i="24142"/>
  <c r="AT53" i="23917"/>
  <c r="BX43" i="24142"/>
  <c r="BX52" i="23917"/>
  <c r="DF31" i="24142"/>
  <c r="DE31" i="24142"/>
  <c r="C49" i="24142"/>
  <c r="C58" i="23917"/>
  <c r="AV43" i="24142"/>
  <c r="AV52" i="23917"/>
  <c r="DI35" i="24142"/>
  <c r="DI36" i="24142" s="1"/>
  <c r="DI44" i="23917"/>
  <c r="M17" i="24158"/>
  <c r="BT26" i="24142"/>
  <c r="BT27" i="24142" s="1"/>
  <c r="BT34" i="23917"/>
  <c r="BT32" i="23917" s="1"/>
  <c r="DC49" i="24142"/>
  <c r="DC58" i="23917"/>
  <c r="DD31" i="24142"/>
  <c r="DC31" i="24142"/>
  <c r="K205" i="24142"/>
  <c r="K143" i="23917"/>
  <c r="H226" i="24142"/>
  <c r="H164" i="23917"/>
  <c r="F233" i="24142"/>
  <c r="F195" i="24142"/>
  <c r="F236" i="24142"/>
  <c r="F172" i="23917"/>
  <c r="AN29" i="24142"/>
  <c r="AN37" i="23917"/>
  <c r="AO26" i="24142"/>
  <c r="AO34" i="23917"/>
  <c r="N49" i="24142"/>
  <c r="N58" i="23917"/>
  <c r="N29" i="24142"/>
  <c r="N37" i="23917"/>
  <c r="AQ26" i="24142"/>
  <c r="AQ34" i="23917"/>
  <c r="AR45" i="23917"/>
  <c r="BB36" i="24142"/>
  <c r="AK43" i="24142"/>
  <c r="AK52" i="23917"/>
  <c r="AG43" i="24142"/>
  <c r="AG52" i="23917"/>
  <c r="AA43" i="24142"/>
  <c r="AA52" i="23917"/>
  <c r="AW42" i="24142"/>
  <c r="AW51" i="23917"/>
  <c r="BG43" i="24142"/>
  <c r="BG52" i="23917"/>
  <c r="CW12" i="23917"/>
  <c r="J17" i="24158"/>
  <c r="J18" i="24158" s="1"/>
  <c r="BN26" i="24142"/>
  <c r="BN34" i="23917"/>
  <c r="BN32" i="23917" s="1"/>
  <c r="BN43" i="24142"/>
  <c r="BN52" i="23917"/>
  <c r="BN27" i="24142"/>
  <c r="BO42" i="24142"/>
  <c r="BO51" i="23917"/>
  <c r="BI42" i="24142"/>
  <c r="BI51" i="23917"/>
  <c r="DN72" i="24142"/>
  <c r="DN79" i="23917"/>
  <c r="DH72" i="24142"/>
  <c r="DH490" i="23917"/>
  <c r="DH79" i="23917"/>
  <c r="AC394" i="24142"/>
  <c r="AC460" i="23917"/>
  <c r="AT45" i="23917"/>
  <c r="AE26" i="24142"/>
  <c r="AE34" i="23917"/>
  <c r="M15" i="24158"/>
  <c r="AA367" i="24142"/>
  <c r="AA433" i="23917"/>
  <c r="AA368" i="24142"/>
  <c r="AA434" i="23917"/>
  <c r="S201" i="24142"/>
  <c r="S139" i="23917"/>
  <c r="F18" i="24158"/>
  <c r="AP36" i="24142"/>
  <c r="DT72" i="24142"/>
  <c r="DT79" i="23917"/>
  <c r="AO43" i="24142"/>
  <c r="AO52" i="23917"/>
  <c r="S205" i="24142"/>
  <c r="S143" i="23917"/>
  <c r="AM43" i="24142"/>
  <c r="AM52" i="23917"/>
  <c r="DF368" i="24142"/>
  <c r="DF434" i="23917"/>
  <c r="BR29" i="24142"/>
  <c r="BR37" i="23917"/>
  <c r="DH368" i="24142"/>
  <c r="DH434" i="23917"/>
  <c r="C17" i="24158"/>
  <c r="AZ26" i="24142"/>
  <c r="AZ27" i="24142" s="1"/>
  <c r="AZ34" i="23917"/>
  <c r="AZ35" i="23917" s="1"/>
  <c r="BS31" i="24142"/>
  <c r="BR31" i="24142"/>
  <c r="AU29" i="24142"/>
  <c r="AU37" i="23917"/>
  <c r="D362" i="24142"/>
  <c r="D428" i="23917"/>
  <c r="D366" i="24142"/>
  <c r="D432" i="23917"/>
  <c r="D396" i="24142"/>
  <c r="D462" i="23917"/>
  <c r="DP19" i="24142"/>
  <c r="DM19" i="24142"/>
  <c r="DM20" i="24142" s="1"/>
  <c r="DM23" i="24142"/>
  <c r="DM26" i="23917"/>
  <c r="G29" i="24142"/>
  <c r="G37" i="23917"/>
  <c r="S35" i="24142"/>
  <c r="S44" i="23917"/>
  <c r="R44" i="24142"/>
  <c r="R53" i="23917"/>
  <c r="BN44" i="24142"/>
  <c r="BN53" i="23917"/>
  <c r="O245" i="24142"/>
  <c r="O181" i="23917"/>
  <c r="O134" i="23917"/>
  <c r="G245" i="24142"/>
  <c r="G181" i="23917"/>
  <c r="G134" i="23917"/>
  <c r="AH49" i="24142"/>
  <c r="AH58" i="23917"/>
  <c r="AH29" i="24142"/>
  <c r="AH37" i="23917"/>
  <c r="S29" i="24142"/>
  <c r="S37" i="23917"/>
  <c r="BJ35" i="24142"/>
  <c r="BJ44" i="23917"/>
  <c r="K29" i="24142"/>
  <c r="K37" i="23917"/>
  <c r="Q35" i="24142"/>
  <c r="Q44" i="23917"/>
  <c r="P44" i="24142"/>
  <c r="P53" i="23917"/>
  <c r="AJ35" i="24142"/>
  <c r="AJ36" i="24142" s="1"/>
  <c r="AJ44" i="23917"/>
  <c r="BE23" i="24142"/>
  <c r="BE26" i="23917"/>
  <c r="E17" i="24158"/>
  <c r="BD26" i="24142"/>
  <c r="BD27" i="24142" s="1"/>
  <c r="BD34" i="23917"/>
  <c r="BD35" i="23917" s="1"/>
  <c r="DO26" i="24142"/>
  <c r="DO27" i="24142" s="1"/>
  <c r="DO34" i="23917"/>
  <c r="DO32" i="23917" s="1"/>
  <c r="AS49" i="24142"/>
  <c r="AS58" i="23917"/>
  <c r="DJ42" i="24142"/>
  <c r="DJ51" i="23917"/>
  <c r="I29" i="24142"/>
  <c r="I37" i="23917"/>
  <c r="DE44" i="24142"/>
  <c r="DE53" i="23917"/>
  <c r="DG42" i="24142"/>
  <c r="DG51" i="23917"/>
  <c r="AN35" i="24142"/>
  <c r="AN36" i="24142" s="1"/>
  <c r="AN44" i="23917"/>
  <c r="DF396" i="24142"/>
  <c r="DF462" i="23917"/>
  <c r="DF362" i="24142"/>
  <c r="DF428" i="23917"/>
  <c r="BE245" i="23917"/>
  <c r="BE219" i="23917"/>
  <c r="AU26" i="24142"/>
  <c r="AU34" i="23917"/>
  <c r="DD35" i="24142"/>
  <c r="DD44" i="23917"/>
  <c r="DC44" i="24142"/>
  <c r="DC53" i="23917"/>
  <c r="F394" i="24142"/>
  <c r="F460" i="23917"/>
  <c r="G383" i="24142"/>
  <c r="G449" i="23917"/>
  <c r="E29" i="24142"/>
  <c r="E37" i="23917"/>
  <c r="AJ49" i="24142"/>
  <c r="AJ58" i="23917"/>
  <c r="AF35" i="24142"/>
  <c r="AF36" i="24142" s="1"/>
  <c r="AF44" i="23917"/>
  <c r="E35" i="24142"/>
  <c r="E44" i="23917"/>
  <c r="D38" i="24142"/>
  <c r="D47" i="23917"/>
  <c r="D45" i="24142"/>
  <c r="D54" i="23917"/>
  <c r="Z49" i="24142"/>
  <c r="Z58" i="23917"/>
  <c r="Z29" i="24142"/>
  <c r="Z37" i="23917"/>
  <c r="W26" i="24142"/>
  <c r="W34" i="23917"/>
  <c r="W31" i="24142"/>
  <c r="V31" i="24142"/>
  <c r="DI43" i="24142"/>
  <c r="DI52" i="23917"/>
  <c r="AY26" i="24142"/>
  <c r="AY34" i="23917"/>
  <c r="AY31" i="24142"/>
  <c r="AX31" i="24142"/>
  <c r="K201" i="24142"/>
  <c r="K139" i="23917"/>
  <c r="BG26" i="24142"/>
  <c r="BG34" i="23917"/>
  <c r="BC260" i="23917"/>
  <c r="BB260" i="23917"/>
  <c r="AP38" i="24142"/>
  <c r="AP39" i="24142" s="1"/>
  <c r="AP47" i="23917"/>
  <c r="AP48" i="23917" s="1"/>
  <c r="AP45" i="24142"/>
  <c r="AP54" i="23917"/>
  <c r="AL49" i="24142"/>
  <c r="AL58" i="23917"/>
  <c r="AL29" i="24142"/>
  <c r="AL37" i="23917"/>
  <c r="N35" i="24142"/>
  <c r="N36" i="24142" s="1"/>
  <c r="N44" i="23917"/>
  <c r="DF367" i="24142"/>
  <c r="DF433" i="23917"/>
  <c r="O14" i="24158"/>
  <c r="DQ23" i="24142"/>
  <c r="DQ26" i="23917"/>
  <c r="K35" i="24142"/>
  <c r="K44" i="23917"/>
  <c r="J44" i="24142"/>
  <c r="J53" i="23917"/>
  <c r="Q49" i="24142"/>
  <c r="Q58" i="23917"/>
  <c r="Y35" i="24142"/>
  <c r="Y44" i="23917"/>
  <c r="X44" i="24142"/>
  <c r="X53" i="23917"/>
  <c r="DU42" i="24142"/>
  <c r="DU51" i="23917"/>
  <c r="P14" i="24158"/>
  <c r="DS23" i="24142"/>
  <c r="DS26" i="23917"/>
  <c r="BW58" i="23917"/>
  <c r="BV49" i="24142"/>
  <c r="BV58" i="23917"/>
  <c r="BV29" i="24142"/>
  <c r="BV37" i="23917"/>
  <c r="DV72" i="24142"/>
  <c r="DV79" i="23917"/>
  <c r="BK26" i="24142"/>
  <c r="BK34" i="23917"/>
  <c r="BK31" i="24142"/>
  <c r="BJ31" i="24142"/>
  <c r="BB38" i="24142"/>
  <c r="BB39" i="24142" s="1"/>
  <c r="BB47" i="23917"/>
  <c r="BB48" i="23917" s="1"/>
  <c r="BB45" i="24142"/>
  <c r="BB54" i="23917"/>
  <c r="H38" i="24142"/>
  <c r="H47" i="23917"/>
  <c r="H45" i="24142"/>
  <c r="H54" i="23917"/>
  <c r="AB393" i="24142"/>
  <c r="AB459" i="23917"/>
  <c r="X240" i="24142"/>
  <c r="X176" i="23917"/>
  <c r="BE42" i="24142"/>
  <c r="BE51" i="23917"/>
  <c r="BM23" i="24142"/>
  <c r="BM26" i="23917"/>
  <c r="I17" i="24158"/>
  <c r="BL26" i="24142"/>
  <c r="BL27" i="24142" s="1"/>
  <c r="BL34" i="23917"/>
  <c r="BL32" i="23917" s="1"/>
  <c r="DF29" i="23917"/>
  <c r="DE29" i="23917"/>
  <c r="G35" i="24142"/>
  <c r="G44" i="23917"/>
  <c r="F44" i="24142"/>
  <c r="F53" i="23917"/>
  <c r="BO43" i="24142"/>
  <c r="BO52" i="23917"/>
  <c r="K17" i="24158"/>
  <c r="BP26" i="24142"/>
  <c r="BP27" i="24142" s="1"/>
  <c r="BP34" i="23917"/>
  <c r="BP32" i="23917" s="1"/>
  <c r="W231" i="24142"/>
  <c r="W169" i="23917"/>
  <c r="W133" i="23917"/>
  <c r="V233" i="24142"/>
  <c r="V195" i="24142"/>
  <c r="DL23" i="24142"/>
  <c r="DL26" i="23917"/>
  <c r="DK26" i="24142"/>
  <c r="DK34" i="23917"/>
  <c r="DF366" i="24142"/>
  <c r="DF432" i="23917"/>
  <c r="DH363" i="24142"/>
  <c r="DH429" i="23917"/>
  <c r="BC49" i="24142"/>
  <c r="BC58" i="23917"/>
  <c r="DP277" i="23917"/>
  <c r="DO277" i="23917"/>
  <c r="BI23" i="24142"/>
  <c r="BI26" i="23917"/>
  <c r="G17" i="24158"/>
  <c r="BH26" i="24142"/>
  <c r="BH27" i="24142" s="1"/>
  <c r="BH34" i="23917"/>
  <c r="BH32" i="23917" s="1"/>
  <c r="AD38" i="24142"/>
  <c r="AD47" i="23917"/>
  <c r="AD45" i="24142"/>
  <c r="AD54" i="23917"/>
  <c r="E393" i="24142"/>
  <c r="E459" i="23917"/>
  <c r="U35" i="24142"/>
  <c r="U44" i="23917"/>
  <c r="T44" i="24142"/>
  <c r="T53" i="23917"/>
  <c r="AB49" i="24142"/>
  <c r="AB58" i="23917"/>
  <c r="AB29" i="24142"/>
  <c r="AB37" i="23917"/>
  <c r="M197" i="24142"/>
  <c r="M135" i="23917"/>
  <c r="AU43" i="24142"/>
  <c r="AU52" i="23917"/>
  <c r="B38" i="24142"/>
  <c r="B47" i="23917"/>
  <c r="B45" i="24142"/>
  <c r="B54" i="23917"/>
  <c r="M35" i="24142"/>
  <c r="M44" i="23917"/>
  <c r="L44" i="24142"/>
  <c r="L53" i="23917"/>
  <c r="AR38" i="24142"/>
  <c r="AR39" i="24142" s="1"/>
  <c r="AR47" i="23917"/>
  <c r="AR48" i="23917" s="1"/>
  <c r="AR45" i="24142"/>
  <c r="AR54" i="23917"/>
  <c r="AG31" i="24142"/>
  <c r="AF31" i="24142"/>
  <c r="AF49" i="24142"/>
  <c r="AF58" i="23917"/>
  <c r="Z35" i="24142"/>
  <c r="Z36" i="24142" s="1"/>
  <c r="Z44" i="23917"/>
  <c r="AT38" i="24142"/>
  <c r="AT39" i="24142" s="1"/>
  <c r="AT47" i="23917"/>
  <c r="AT48" i="23917" s="1"/>
  <c r="AT45" i="24142"/>
  <c r="AT54" i="23917"/>
  <c r="U197" i="24142"/>
  <c r="U135" i="23917"/>
  <c r="BX26" i="24142"/>
  <c r="BX27" i="24142" s="1"/>
  <c r="BX34" i="23917"/>
  <c r="BX32" i="23917" s="1"/>
  <c r="AW23" i="24142"/>
  <c r="AW26" i="23917"/>
  <c r="AV26" i="24142"/>
  <c r="AV27" i="24142" s="1"/>
  <c r="AV34" i="23917"/>
  <c r="AV35" i="23917" s="1"/>
  <c r="V35" i="24142"/>
  <c r="V36" i="24142" s="1"/>
  <c r="V44" i="23917"/>
  <c r="BT43" i="24142"/>
  <c r="BT52" i="23917"/>
  <c r="DD26" i="24142"/>
  <c r="DD34" i="23917"/>
  <c r="DD29" i="23917"/>
  <c r="DC29" i="23917"/>
  <c r="C205" i="24142"/>
  <c r="C143" i="23917"/>
  <c r="BF35" i="24142"/>
  <c r="BF44" i="23917"/>
  <c r="AL35" i="24142"/>
  <c r="AL36" i="24142" s="1"/>
  <c r="AL44" i="23917"/>
  <c r="O231" i="24142"/>
  <c r="O169" i="23917"/>
  <c r="O133" i="23917"/>
  <c r="G231" i="24142"/>
  <c r="G169" i="23917"/>
  <c r="G133" i="23917"/>
  <c r="AN49" i="24142"/>
  <c r="AN58" i="23917"/>
  <c r="O26" i="24142"/>
  <c r="O34" i="23917"/>
  <c r="O31" i="24142"/>
  <c r="N31" i="24142"/>
  <c r="BA42" i="24142"/>
  <c r="BA51" i="23917"/>
  <c r="DR72" i="24142"/>
  <c r="DR79" i="23917"/>
  <c r="AC43" i="24142"/>
  <c r="AC52" i="23917"/>
  <c r="E49" i="24142"/>
  <c r="E58" i="23917"/>
  <c r="Y49" i="24142"/>
  <c r="Y58" i="23917"/>
  <c r="AR36" i="24142"/>
  <c r="BB45" i="23917"/>
  <c r="AC395" i="24142"/>
  <c r="AC461" i="23917"/>
  <c r="I15" i="24158"/>
  <c r="M49" i="24142"/>
  <c r="M58" i="23917"/>
  <c r="AA362" i="24142"/>
  <c r="AA428" i="23917"/>
  <c r="BO23" i="24142"/>
  <c r="BO26" i="23917"/>
  <c r="BN35" i="24142"/>
  <c r="BN44" i="23917"/>
  <c r="BR35" i="23917"/>
  <c r="G15" i="24158"/>
  <c r="BK43" i="24142"/>
  <c r="BK52" i="23917"/>
  <c r="AS26" i="24142"/>
  <c r="AS34" i="23917"/>
  <c r="AT36" i="24142"/>
  <c r="I49" i="24142"/>
  <c r="I58" i="23917"/>
  <c r="AA396" i="24142"/>
  <c r="AA462" i="23917"/>
  <c r="AA363" i="24142"/>
  <c r="AA429" i="23917"/>
  <c r="AY43" i="24142"/>
  <c r="AY52" i="23917"/>
  <c r="AP45" i="23917"/>
  <c r="U49" i="24142"/>
  <c r="U58" i="23917"/>
  <c r="DL42" i="24142"/>
  <c r="DL51" i="23917"/>
  <c r="BS26" i="24142"/>
  <c r="BS34" i="23917"/>
  <c r="DZ42" i="24142"/>
  <c r="DZ51" i="23917"/>
  <c r="BS58" i="23917"/>
  <c r="CL35" i="24142"/>
  <c r="CL44" i="23917"/>
  <c r="DY43" i="24142"/>
  <c r="DY52" i="23917"/>
  <c r="CJ43" i="24142"/>
  <c r="CJ52" i="23917"/>
  <c r="BY51" i="23917"/>
  <c r="BY42" i="24142"/>
  <c r="CL49" i="24142"/>
  <c r="CL58" i="23917"/>
  <c r="CL29" i="24142"/>
  <c r="CL37" i="23917"/>
  <c r="BW26" i="24142"/>
  <c r="BW34" i="23917"/>
  <c r="CH49" i="24142"/>
  <c r="CH58" i="23917"/>
  <c r="CH29" i="24142"/>
  <c r="CH37" i="23917"/>
  <c r="CF26" i="24142"/>
  <c r="CF27" i="24142" s="1"/>
  <c r="CF34" i="23917"/>
  <c r="CF32" i="23917" s="1"/>
  <c r="BQ23" i="24142"/>
  <c r="BQ26" i="23917"/>
  <c r="BQ43" i="24142"/>
  <c r="CC23" i="24142"/>
  <c r="CC26" i="23917"/>
  <c r="CB34" i="23917"/>
  <c r="CB32" i="23917" s="1"/>
  <c r="CB26" i="24142"/>
  <c r="CB27" i="24142" s="1"/>
  <c r="BS43" i="24142"/>
  <c r="BS52" i="23917"/>
  <c r="R17" i="24158"/>
  <c r="DW34" i="23917"/>
  <c r="DW32" i="23917" s="1"/>
  <c r="DW26" i="24142"/>
  <c r="DW27" i="24142" s="1"/>
  <c r="BU23" i="24142"/>
  <c r="BU26" i="23917"/>
  <c r="CD43" i="24142"/>
  <c r="CD52" i="23917"/>
  <c r="CI43" i="24142"/>
  <c r="CI52" i="23917"/>
  <c r="CL35" i="23917"/>
  <c r="CH35" i="24142"/>
  <c r="CH44" i="23917"/>
  <c r="DZ23" i="24142"/>
  <c r="DZ26" i="23917"/>
  <c r="S17" i="24158"/>
  <c r="DY26" i="24142"/>
  <c r="DY27" i="24142" s="1"/>
  <c r="DY34" i="23917"/>
  <c r="DY32" i="23917" s="1"/>
  <c r="CK23" i="24142"/>
  <c r="CK26" i="23917"/>
  <c r="CJ26" i="24142"/>
  <c r="CJ27" i="24142" s="1"/>
  <c r="CJ34" i="23917"/>
  <c r="CJ32" i="23917" s="1"/>
  <c r="CG42" i="24142"/>
  <c r="CG51" i="23917"/>
  <c r="CC42" i="24142"/>
  <c r="CC51" i="23917"/>
  <c r="CM26" i="24142"/>
  <c r="CM34" i="23917"/>
  <c r="CL31" i="24142"/>
  <c r="CI26" i="24142"/>
  <c r="CI34" i="23917"/>
  <c r="CI31" i="24142"/>
  <c r="CH31" i="24142"/>
  <c r="CG23" i="24142"/>
  <c r="CG26" i="23917"/>
  <c r="CF52" i="23917"/>
  <c r="CF43" i="24142"/>
  <c r="CB43" i="24142"/>
  <c r="CB52" i="23917"/>
  <c r="CE43" i="24142"/>
  <c r="CE52" i="23917"/>
  <c r="DW43" i="24142"/>
  <c r="DW52" i="23917"/>
  <c r="BY23" i="24142"/>
  <c r="BY26" i="23917"/>
  <c r="CM42" i="24142"/>
  <c r="CM51" i="23917"/>
  <c r="CD26" i="24142"/>
  <c r="CD27" i="24142" s="1"/>
  <c r="CD34" i="23917"/>
  <c r="CD32" i="23917" s="1"/>
  <c r="CD31" i="24142"/>
  <c r="CK42" i="24142"/>
  <c r="CK51" i="23917"/>
  <c r="CN26" i="24142"/>
  <c r="CN27" i="24142" s="1"/>
  <c r="CN34" i="23917"/>
  <c r="CN32" i="23917" s="1"/>
  <c r="CO42" i="24142"/>
  <c r="CO51" i="23917"/>
  <c r="CN52" i="23917"/>
  <c r="CN43" i="24142"/>
  <c r="CO26" i="23917"/>
  <c r="CO23" i="24142"/>
  <c r="DI31" i="24142"/>
  <c r="BD264" i="23917"/>
  <c r="BE253" i="23917"/>
  <c r="BD265" i="23917"/>
  <c r="BD263" i="23917"/>
  <c r="BD268" i="23917"/>
  <c r="DT19" i="24142"/>
  <c r="BL31" i="24142"/>
  <c r="CN31" i="24142"/>
  <c r="BP31" i="24142"/>
  <c r="DS240" i="23917"/>
  <c r="AW44" i="23917"/>
  <c r="AO31" i="24142"/>
  <c r="BF250" i="23917"/>
  <c r="BF249" i="23917"/>
  <c r="BG240" i="23917"/>
  <c r="DN19" i="24142"/>
  <c r="BB274" i="23917"/>
  <c r="DW31" i="24142"/>
  <c r="AI31" i="24142"/>
  <c r="DS253" i="23917"/>
  <c r="BG31" i="24142"/>
  <c r="DV19" i="24142"/>
  <c r="DR310" i="23917"/>
  <c r="AE31" i="24142"/>
  <c r="DR19" i="24142"/>
  <c r="DR268" i="23917"/>
  <c r="DO31" i="24142"/>
  <c r="DH19" i="24142"/>
  <c r="CJ31" i="24142"/>
  <c r="AQ31" i="24142"/>
  <c r="AK31" i="24142"/>
  <c r="AS31" i="24142"/>
  <c r="CB35" i="23917" l="1"/>
  <c r="CF35" i="23917"/>
  <c r="CD35" i="23917"/>
  <c r="EI289" i="24142"/>
  <c r="EJ289" i="24142"/>
  <c r="EM25" i="24142"/>
  <c r="EM70" i="23917"/>
  <c r="EH355" i="23917"/>
  <c r="CY343" i="23917"/>
  <c r="CY284" i="24142"/>
  <c r="CY278" i="24142"/>
  <c r="EI355" i="23917"/>
  <c r="CX350" i="23917"/>
  <c r="EM62" i="24142"/>
  <c r="EM28" i="23917"/>
  <c r="EE275" i="24142"/>
  <c r="EE340" i="23917"/>
  <c r="EG334" i="23917"/>
  <c r="EG269" i="24142"/>
  <c r="EK289" i="24142"/>
  <c r="EK355" i="23917"/>
  <c r="EF338" i="23917"/>
  <c r="EF273" i="24142"/>
  <c r="S18" i="24158"/>
  <c r="I18" i="24158"/>
  <c r="CY12" i="23917"/>
  <c r="CX12" i="23917"/>
  <c r="EC276" i="24142"/>
  <c r="EC341" i="23917"/>
  <c r="EM335" i="23917"/>
  <c r="EM270" i="24142"/>
  <c r="CZ278" i="24142"/>
  <c r="CZ12" i="24142"/>
  <c r="CZ343" i="23917"/>
  <c r="CZ344" i="23917" s="1"/>
  <c r="EL61" i="24142"/>
  <c r="EL70" i="23917"/>
  <c r="EL62" i="24142"/>
  <c r="EL25" i="24142"/>
  <c r="EL71" i="23917"/>
  <c r="EL28" i="23917"/>
  <c r="EL270" i="24142"/>
  <c r="EL335" i="23917"/>
  <c r="DA276" i="24142"/>
  <c r="DA341" i="23917"/>
  <c r="BL35" i="23917"/>
  <c r="EH492" i="24142"/>
  <c r="EH559" i="23917"/>
  <c r="EI492" i="24142"/>
  <c r="EI559" i="23917"/>
  <c r="EE494" i="24142"/>
  <c r="EE560" i="23917"/>
  <c r="EE561" i="23917" s="1"/>
  <c r="EE17" i="24142"/>
  <c r="EG491" i="24142"/>
  <c r="EG558" i="23917"/>
  <c r="EF491" i="24142"/>
  <c r="EF558" i="23917"/>
  <c r="CE44" i="23917"/>
  <c r="DW35" i="23917"/>
  <c r="CE31" i="24142"/>
  <c r="BW49" i="24142"/>
  <c r="BN48" i="23917"/>
  <c r="BP35" i="23917"/>
  <c r="BT35" i="23917"/>
  <c r="BN45" i="23917"/>
  <c r="G18" i="24158"/>
  <c r="BH35" i="23917"/>
  <c r="BN35" i="23917"/>
  <c r="BN39" i="24142"/>
  <c r="DO35" i="23917"/>
  <c r="P15" i="24158"/>
  <c r="AE44" i="24142"/>
  <c r="AE53" i="23917"/>
  <c r="H231" i="24142"/>
  <c r="H169" i="23917"/>
  <c r="H133" i="23917"/>
  <c r="DI45" i="24142"/>
  <c r="DI54" i="23917"/>
  <c r="M38" i="24142"/>
  <c r="M47" i="23917"/>
  <c r="DF49" i="24142"/>
  <c r="DF58" i="23917"/>
  <c r="I44" i="24142"/>
  <c r="I53" i="23917"/>
  <c r="BW29" i="24142"/>
  <c r="BW37" i="23917"/>
  <c r="Y44" i="24142"/>
  <c r="Y53" i="23917"/>
  <c r="DR23" i="24142"/>
  <c r="DR26" i="23917"/>
  <c r="O17" i="24158"/>
  <c r="DQ26" i="24142"/>
  <c r="DQ27" i="24142" s="1"/>
  <c r="DQ34" i="23917"/>
  <c r="DQ32" i="23917" s="1"/>
  <c r="BG49" i="24142"/>
  <c r="BG58" i="23917"/>
  <c r="E45" i="24142"/>
  <c r="E54" i="23917"/>
  <c r="G395" i="24142"/>
  <c r="G461" i="23917"/>
  <c r="BD49" i="24142"/>
  <c r="BD58" i="23917"/>
  <c r="BE31" i="24142"/>
  <c r="BD31" i="24142"/>
  <c r="Q45" i="24142"/>
  <c r="Q54" i="23917"/>
  <c r="BJ38" i="24142"/>
  <c r="BJ39" i="24142" s="1"/>
  <c r="BJ47" i="23917"/>
  <c r="BJ45" i="24142"/>
  <c r="BJ54" i="23917"/>
  <c r="BO44" i="24142"/>
  <c r="BO53" i="23917"/>
  <c r="S44" i="24142"/>
  <c r="S53" i="23917"/>
  <c r="DN23" i="24142"/>
  <c r="DN26" i="23917"/>
  <c r="DM26" i="24142"/>
  <c r="DM34" i="23917"/>
  <c r="AU45" i="24142"/>
  <c r="AU54" i="23917"/>
  <c r="AA35" i="24142"/>
  <c r="AA44" i="23917"/>
  <c r="Z44" i="24142"/>
  <c r="Z53" i="23917"/>
  <c r="AS38" i="24142"/>
  <c r="AS47" i="23917"/>
  <c r="DE38" i="24142"/>
  <c r="DE47" i="23917"/>
  <c r="BH49" i="24142"/>
  <c r="BH58" i="23917"/>
  <c r="BH29" i="24142"/>
  <c r="BH37" i="23917"/>
  <c r="DQ274" i="23917"/>
  <c r="DQ221" i="23917"/>
  <c r="DQ273" i="23917"/>
  <c r="AB363" i="24142"/>
  <c r="AB429" i="23917"/>
  <c r="AB368" i="24142"/>
  <c r="AB434" i="23917"/>
  <c r="AB367" i="24142"/>
  <c r="AB433" i="23917"/>
  <c r="O35" i="24142"/>
  <c r="O44" i="23917"/>
  <c r="N44" i="24142"/>
  <c r="N53" i="23917"/>
  <c r="AG35" i="24142"/>
  <c r="AG44" i="23917"/>
  <c r="AF44" i="24142"/>
  <c r="AF53" i="23917"/>
  <c r="O389" i="24142"/>
  <c r="O455" i="23917"/>
  <c r="H383" i="24142"/>
  <c r="H449" i="23917"/>
  <c r="F393" i="24142"/>
  <c r="F459" i="23917"/>
  <c r="E396" i="24142"/>
  <c r="E462" i="23917"/>
  <c r="BA26" i="24142"/>
  <c r="BA34" i="23917"/>
  <c r="BA31" i="24142"/>
  <c r="AZ31" i="24142"/>
  <c r="AO49" i="24142"/>
  <c r="AO58" i="23917"/>
  <c r="AM35" i="24142"/>
  <c r="AM44" i="23917"/>
  <c r="AL38" i="24142"/>
  <c r="AL47" i="23917"/>
  <c r="AL45" i="24142"/>
  <c r="AL54" i="23917"/>
  <c r="V38" i="24142"/>
  <c r="V47" i="23917"/>
  <c r="V45" i="24142"/>
  <c r="V54" i="23917"/>
  <c r="AV29" i="24142"/>
  <c r="AV37" i="23917"/>
  <c r="AW26" i="24142"/>
  <c r="AW34" i="23917"/>
  <c r="BY58" i="23917"/>
  <c r="BX49" i="24142"/>
  <c r="BX58" i="23917"/>
  <c r="BX29" i="24142"/>
  <c r="BX37" i="23917"/>
  <c r="AS44" i="24142"/>
  <c r="AS53" i="23917"/>
  <c r="D201" i="24142"/>
  <c r="D139" i="23917"/>
  <c r="U45" i="24142"/>
  <c r="U54" i="23917"/>
  <c r="Y226" i="24142"/>
  <c r="Y164" i="23917"/>
  <c r="X237" i="24142"/>
  <c r="X173" i="23917"/>
  <c r="AY35" i="24142"/>
  <c r="AY44" i="23917"/>
  <c r="AX38" i="24142"/>
  <c r="AX39" i="24142" s="1"/>
  <c r="AX47" i="23917"/>
  <c r="AX48" i="23917" s="1"/>
  <c r="AX45" i="24142"/>
  <c r="AX54" i="23917"/>
  <c r="BO29" i="24142"/>
  <c r="BO37" i="23917"/>
  <c r="BC45" i="24142"/>
  <c r="BC54" i="23917"/>
  <c r="AQ29" i="24142"/>
  <c r="AQ37" i="23917"/>
  <c r="DS43" i="24142"/>
  <c r="DS52" i="23917"/>
  <c r="Y38" i="24142"/>
  <c r="Y47" i="23917"/>
  <c r="AM29" i="24142"/>
  <c r="AM37" i="23917"/>
  <c r="AQ35" i="24142"/>
  <c r="AQ44" i="23917"/>
  <c r="DR260" i="23917"/>
  <c r="DQ260" i="23917"/>
  <c r="G394" i="24142"/>
  <c r="G460" i="23917"/>
  <c r="DH23" i="24142"/>
  <c r="DH26" i="23917"/>
  <c r="AE49" i="24142"/>
  <c r="AE58" i="23917"/>
  <c r="AJ44" i="24142"/>
  <c r="AJ53" i="23917"/>
  <c r="O247" i="24142"/>
  <c r="O196" i="24142"/>
  <c r="BW44" i="24142"/>
  <c r="BV44" i="24142"/>
  <c r="BV53" i="23917"/>
  <c r="S38" i="24142"/>
  <c r="S47" i="23917"/>
  <c r="M368" i="24142"/>
  <c r="M434" i="23917"/>
  <c r="BU49" i="24142"/>
  <c r="BT49" i="24142"/>
  <c r="BT58" i="23917"/>
  <c r="BU31" i="24142"/>
  <c r="BT31" i="24142"/>
  <c r="BM43" i="24142"/>
  <c r="BM52" i="23917"/>
  <c r="BR38" i="24142"/>
  <c r="BR39" i="24142" s="1"/>
  <c r="BR47" i="23917"/>
  <c r="BR48" i="23917" s="1"/>
  <c r="BR45" i="24142"/>
  <c r="BR54" i="23917"/>
  <c r="BG29" i="24142"/>
  <c r="BG37" i="23917"/>
  <c r="AI35" i="24142"/>
  <c r="AI44" i="23917"/>
  <c r="AH38" i="24142"/>
  <c r="AH47" i="23917"/>
  <c r="AH45" i="24142"/>
  <c r="AH54" i="23917"/>
  <c r="M362" i="24142"/>
  <c r="M428" i="23917"/>
  <c r="K38" i="24142"/>
  <c r="K47" i="23917"/>
  <c r="V236" i="24142"/>
  <c r="V172" i="23917"/>
  <c r="BF245" i="23917"/>
  <c r="BF219" i="23917"/>
  <c r="AN38" i="24142"/>
  <c r="AN47" i="23917"/>
  <c r="AN45" i="24142"/>
  <c r="AN54" i="23917"/>
  <c r="DG35" i="24142"/>
  <c r="DG36" i="24142" s="1"/>
  <c r="DG44" i="23917"/>
  <c r="I240" i="24142"/>
  <c r="I176" i="23917"/>
  <c r="H245" i="24142"/>
  <c r="H134" i="23917"/>
  <c r="H181" i="23917"/>
  <c r="H251" i="24142"/>
  <c r="H185" i="23917"/>
  <c r="AB38" i="24142"/>
  <c r="AB47" i="23917"/>
  <c r="AB45" i="24142"/>
  <c r="AB54" i="23917"/>
  <c r="E363" i="24142"/>
  <c r="E429" i="23917"/>
  <c r="BG35" i="24142"/>
  <c r="BG44" i="23917"/>
  <c r="BF44" i="24142"/>
  <c r="BF53" i="23917"/>
  <c r="DK49" i="24142"/>
  <c r="DK58" i="23917"/>
  <c r="DL31" i="24142"/>
  <c r="DK31" i="24142"/>
  <c r="DR245" i="23917"/>
  <c r="DR219" i="23917"/>
  <c r="BL29" i="24142"/>
  <c r="BL37" i="23917"/>
  <c r="BM26" i="24142"/>
  <c r="BM34" i="23917"/>
  <c r="Y240" i="24142"/>
  <c r="Y176" i="23917"/>
  <c r="X245" i="24142"/>
  <c r="X134" i="23917"/>
  <c r="X181" i="23917"/>
  <c r="X251" i="24142"/>
  <c r="X185" i="23917"/>
  <c r="DV23" i="24142"/>
  <c r="DV26" i="23917"/>
  <c r="Q17" i="24158"/>
  <c r="R18" i="24158" s="1"/>
  <c r="DU26" i="24142"/>
  <c r="DU27" i="24142" s="1"/>
  <c r="DU34" i="23917"/>
  <c r="DU32" i="23917" s="1"/>
  <c r="BD258" i="23917"/>
  <c r="BD220" i="23917"/>
  <c r="M367" i="24142"/>
  <c r="M433" i="23917"/>
  <c r="BS29" i="24142"/>
  <c r="BS37" i="23917"/>
  <c r="BF45" i="23917"/>
  <c r="AG49" i="24142"/>
  <c r="AG58" i="23917"/>
  <c r="AC49" i="24142"/>
  <c r="AC58" i="23917"/>
  <c r="I45" i="24142"/>
  <c r="I54" i="23917"/>
  <c r="BC38" i="24142"/>
  <c r="BC47" i="23917"/>
  <c r="K44" i="24142"/>
  <c r="K53" i="23917"/>
  <c r="AM49" i="24142"/>
  <c r="AM58" i="23917"/>
  <c r="AA49" i="24142"/>
  <c r="AA58" i="23917"/>
  <c r="AK49" i="24142"/>
  <c r="AK58" i="23917"/>
  <c r="DH42" i="24142"/>
  <c r="DH51" i="23917"/>
  <c r="BJ48" i="23917"/>
  <c r="BJ45" i="23917"/>
  <c r="BX35" i="23917"/>
  <c r="BN36" i="24142"/>
  <c r="BN49" i="24142"/>
  <c r="BN58" i="23917"/>
  <c r="M18" i="24158"/>
  <c r="AX36" i="24142"/>
  <c r="G45" i="24142"/>
  <c r="G54" i="23917"/>
  <c r="BC44" i="24142"/>
  <c r="BC53" i="23917"/>
  <c r="Y45" i="24142"/>
  <c r="Y54" i="23917"/>
  <c r="BR36" i="24142"/>
  <c r="DR42" i="24142"/>
  <c r="DR51" i="23917"/>
  <c r="AE29" i="24142"/>
  <c r="AE37" i="23917"/>
  <c r="E44" i="24142"/>
  <c r="E53" i="23917"/>
  <c r="DD45" i="24142"/>
  <c r="DD54" i="23917"/>
  <c r="BE43" i="24142"/>
  <c r="BE52" i="23917"/>
  <c r="BV45" i="23917"/>
  <c r="S45" i="24142"/>
  <c r="S54" i="23917"/>
  <c r="Q226" i="24142"/>
  <c r="Q164" i="23917"/>
  <c r="DI38" i="24142"/>
  <c r="DI47" i="23917"/>
  <c r="T201" i="24142"/>
  <c r="T139" i="23917"/>
  <c r="AU38" i="24142"/>
  <c r="AU47" i="23917"/>
  <c r="AS45" i="24142"/>
  <c r="AS54" i="23917"/>
  <c r="I226" i="24142"/>
  <c r="I164" i="23917"/>
  <c r="H237" i="24142"/>
  <c r="H173" i="23917"/>
  <c r="DJ35" i="24142"/>
  <c r="DJ44" i="23917"/>
  <c r="DI44" i="24142"/>
  <c r="DI53" i="23917"/>
  <c r="T205" i="24142"/>
  <c r="T143" i="23917"/>
  <c r="AS35" i="24142"/>
  <c r="AS44" i="23917"/>
  <c r="C45" i="24142"/>
  <c r="C54" i="23917"/>
  <c r="AC29" i="24142"/>
  <c r="AC37" i="23917"/>
  <c r="DK35" i="24142"/>
  <c r="DK36" i="24142" s="1"/>
  <c r="DK44" i="23917"/>
  <c r="G44" i="24142"/>
  <c r="G53" i="23917"/>
  <c r="AS29" i="24142"/>
  <c r="AS37" i="23917"/>
  <c r="W247" i="24142"/>
  <c r="W196" i="24142"/>
  <c r="DT42" i="24142"/>
  <c r="DT51" i="23917"/>
  <c r="DQ43" i="24142"/>
  <c r="DQ52" i="23917"/>
  <c r="DJ23" i="24142"/>
  <c r="DJ26" i="23917"/>
  <c r="W29" i="24142"/>
  <c r="W37" i="23917"/>
  <c r="AA29" i="24142"/>
  <c r="AA37" i="23917"/>
  <c r="O395" i="24142"/>
  <c r="O461" i="23917"/>
  <c r="DF44" i="24142"/>
  <c r="DF53" i="23917"/>
  <c r="DO49" i="24142"/>
  <c r="DO58" i="23917"/>
  <c r="BD29" i="24142"/>
  <c r="BD37" i="23917"/>
  <c r="BE26" i="24142"/>
  <c r="BE34" i="23917"/>
  <c r="BK35" i="24142"/>
  <c r="BK44" i="23917"/>
  <c r="BJ44" i="24142"/>
  <c r="BJ53" i="23917"/>
  <c r="AI49" i="24142"/>
  <c r="AI58" i="23917"/>
  <c r="DM43" i="24142"/>
  <c r="DM52" i="23917"/>
  <c r="M366" i="24142"/>
  <c r="M432" i="23917"/>
  <c r="E366" i="24142"/>
  <c r="E432" i="23917"/>
  <c r="Z38" i="24142"/>
  <c r="Z47" i="23917"/>
  <c r="Z45" i="24142"/>
  <c r="Z54" i="23917"/>
  <c r="C38" i="24142"/>
  <c r="C47" i="23917"/>
  <c r="BI26" i="24142"/>
  <c r="BI34" i="23917"/>
  <c r="BI31" i="24142"/>
  <c r="BH31" i="24142"/>
  <c r="DL43" i="24142"/>
  <c r="DL52" i="23917"/>
  <c r="AB362" i="24142"/>
  <c r="AB428" i="23917"/>
  <c r="AB366" i="24142"/>
  <c r="AB432" i="23917"/>
  <c r="AB396" i="24142"/>
  <c r="AB462" i="23917"/>
  <c r="N38" i="24142"/>
  <c r="N47" i="23917"/>
  <c r="N45" i="24142"/>
  <c r="N54" i="23917"/>
  <c r="AF38" i="24142"/>
  <c r="AF47" i="23917"/>
  <c r="AF45" i="24142"/>
  <c r="AF54" i="23917"/>
  <c r="G389" i="24142"/>
  <c r="G455" i="23917"/>
  <c r="M396" i="24142"/>
  <c r="M462" i="23917"/>
  <c r="AZ49" i="24142"/>
  <c r="AZ58" i="23917"/>
  <c r="AZ29" i="24142"/>
  <c r="AZ37" i="23917"/>
  <c r="F197" i="24142"/>
  <c r="F135" i="23917"/>
  <c r="AL44" i="24142"/>
  <c r="AL53" i="23917"/>
  <c r="W35" i="24142"/>
  <c r="W44" i="23917"/>
  <c r="V44" i="24142"/>
  <c r="V53" i="23917"/>
  <c r="AW31" i="24142"/>
  <c r="AV31" i="24142"/>
  <c r="AV49" i="24142"/>
  <c r="AV58" i="23917"/>
  <c r="BY31" i="24142"/>
  <c r="BX31" i="24142"/>
  <c r="DP42" i="24142"/>
  <c r="DP51" i="23917"/>
  <c r="AG29" i="24142"/>
  <c r="AG37" i="23917"/>
  <c r="C44" i="24142"/>
  <c r="C53" i="23917"/>
  <c r="D205" i="24142"/>
  <c r="D143" i="23917"/>
  <c r="BI43" i="24142"/>
  <c r="BI52" i="23917"/>
  <c r="X231" i="24142"/>
  <c r="X169" i="23917"/>
  <c r="X133" i="23917"/>
  <c r="AX44" i="24142"/>
  <c r="AX53" i="23917"/>
  <c r="G38" i="24142"/>
  <c r="G47" i="23917"/>
  <c r="BL35" i="24142"/>
  <c r="BL44" i="23917"/>
  <c r="I38" i="24142"/>
  <c r="I47" i="23917"/>
  <c r="DT23" i="24142"/>
  <c r="DT26" i="23917"/>
  <c r="P17" i="24158"/>
  <c r="DS26" i="24142"/>
  <c r="DS27" i="24142" s="1"/>
  <c r="DS34" i="23917"/>
  <c r="DS32" i="23917" s="1"/>
  <c r="AQ45" i="24142"/>
  <c r="AQ54" i="23917"/>
  <c r="DR258" i="23917"/>
  <c r="DR220" i="23917"/>
  <c r="O394" i="24142"/>
  <c r="O460" i="23917"/>
  <c r="DG26" i="24142"/>
  <c r="DG34" i="23917"/>
  <c r="DO35" i="24142"/>
  <c r="DO44" i="23917"/>
  <c r="BD35" i="24142"/>
  <c r="BD44" i="23917"/>
  <c r="AK35" i="24142"/>
  <c r="AK44" i="23917"/>
  <c r="AJ38" i="24142"/>
  <c r="AJ47" i="23917"/>
  <c r="AJ45" i="24142"/>
  <c r="AJ54" i="23917"/>
  <c r="BW38" i="24142"/>
  <c r="BV38" i="24142"/>
  <c r="BV39" i="24142" s="1"/>
  <c r="BV47" i="23917"/>
  <c r="BV48" i="23917" s="1"/>
  <c r="BW54" i="23917"/>
  <c r="BV45" i="24142"/>
  <c r="BV54" i="23917"/>
  <c r="E368" i="24142"/>
  <c r="E434" i="23917"/>
  <c r="AZ35" i="24142"/>
  <c r="AZ44" i="23917"/>
  <c r="O29" i="24142"/>
  <c r="O37" i="23917"/>
  <c r="AO29" i="24142"/>
  <c r="AO37" i="23917"/>
  <c r="BT29" i="24142"/>
  <c r="BT37" i="23917"/>
  <c r="U44" i="24142"/>
  <c r="U53" i="23917"/>
  <c r="BP35" i="24142"/>
  <c r="BP44" i="23917"/>
  <c r="BR44" i="24142"/>
  <c r="BR53" i="23917"/>
  <c r="AQ44" i="24142"/>
  <c r="AQ53" i="23917"/>
  <c r="AY29" i="24142"/>
  <c r="AY37" i="23917"/>
  <c r="AH44" i="24142"/>
  <c r="AH53" i="23917"/>
  <c r="AI29" i="24142"/>
  <c r="AI37" i="23917"/>
  <c r="E362" i="24142"/>
  <c r="E428" i="23917"/>
  <c r="DC38" i="24142"/>
  <c r="DC47" i="23917"/>
  <c r="AK29" i="24142"/>
  <c r="AK37" i="23917"/>
  <c r="BF248" i="23917"/>
  <c r="AO35" i="24142"/>
  <c r="AO44" i="23917"/>
  <c r="AN44" i="24142"/>
  <c r="AN53" i="23917"/>
  <c r="Q240" i="24142"/>
  <c r="Q176" i="23917"/>
  <c r="H250" i="24142"/>
  <c r="H184" i="23917"/>
  <c r="BO45" i="24142"/>
  <c r="BO54" i="23917"/>
  <c r="AC35" i="24142"/>
  <c r="AC44" i="23917"/>
  <c r="AB44" i="24142"/>
  <c r="AB53" i="23917"/>
  <c r="M363" i="24142"/>
  <c r="M429" i="23917"/>
  <c r="BF38" i="24142"/>
  <c r="BF39" i="24142" s="1"/>
  <c r="BF47" i="23917"/>
  <c r="BF48" i="23917" s="1"/>
  <c r="BF45" i="24142"/>
  <c r="BF54" i="23917"/>
  <c r="BT35" i="24142"/>
  <c r="BT44" i="23917"/>
  <c r="AV35" i="24142"/>
  <c r="AV44" i="23917"/>
  <c r="BX35" i="24142"/>
  <c r="BX44" i="23917"/>
  <c r="BH35" i="24142"/>
  <c r="BH44" i="23917"/>
  <c r="DL26" i="24142"/>
  <c r="DL34" i="23917"/>
  <c r="BC277" i="23917"/>
  <c r="BB277" i="23917"/>
  <c r="V197" i="24142"/>
  <c r="V135" i="23917"/>
  <c r="BP49" i="24142"/>
  <c r="BP58" i="23917"/>
  <c r="BP29" i="24142"/>
  <c r="BP37" i="23917"/>
  <c r="BL49" i="24142"/>
  <c r="BL58" i="23917"/>
  <c r="X250" i="24142"/>
  <c r="X184" i="23917"/>
  <c r="BK29" i="24142"/>
  <c r="BK37" i="23917"/>
  <c r="DU43" i="24142"/>
  <c r="DU52" i="23917"/>
  <c r="AU49" i="24142"/>
  <c r="AU58" i="23917"/>
  <c r="DI49" i="24142"/>
  <c r="DI58" i="23917"/>
  <c r="E367" i="24142"/>
  <c r="E433" i="23917"/>
  <c r="BO26" i="24142"/>
  <c r="BO34" i="23917"/>
  <c r="BF36" i="24142"/>
  <c r="M44" i="24142"/>
  <c r="M53" i="23917"/>
  <c r="K18" i="24158"/>
  <c r="AC393" i="24142"/>
  <c r="AC459" i="23917"/>
  <c r="DV42" i="24142"/>
  <c r="DV51" i="23917"/>
  <c r="DJ43" i="24142"/>
  <c r="DJ52" i="23917"/>
  <c r="E38" i="24142"/>
  <c r="E47" i="23917"/>
  <c r="DD44" i="24142"/>
  <c r="DD53" i="23917"/>
  <c r="DP23" i="24142"/>
  <c r="DP26" i="23917"/>
  <c r="Q44" i="24142"/>
  <c r="Q53" i="23917"/>
  <c r="BJ36" i="24142"/>
  <c r="BN29" i="24142"/>
  <c r="BN37" i="23917"/>
  <c r="BN31" i="24142"/>
  <c r="BO31" i="24142"/>
  <c r="BD310" i="23917"/>
  <c r="BE310" i="23917"/>
  <c r="O49" i="24142"/>
  <c r="O58" i="23917"/>
  <c r="DD49" i="24142"/>
  <c r="DD58" i="23917"/>
  <c r="AW43" i="24142"/>
  <c r="AW52" i="23917"/>
  <c r="M45" i="24142"/>
  <c r="M54" i="23917"/>
  <c r="U38" i="24142"/>
  <c r="U47" i="23917"/>
  <c r="AX45" i="23917"/>
  <c r="BK49" i="24142"/>
  <c r="BK58" i="23917"/>
  <c r="BW31" i="24142"/>
  <c r="Q15" i="24158"/>
  <c r="BR45" i="23917"/>
  <c r="K45" i="24142"/>
  <c r="K54" i="23917"/>
  <c r="AY49" i="24142"/>
  <c r="AY58" i="23917"/>
  <c r="W49" i="24142"/>
  <c r="W58" i="23917"/>
  <c r="DF45" i="24142"/>
  <c r="DF54" i="23917"/>
  <c r="Q38" i="24142"/>
  <c r="Q47" i="23917"/>
  <c r="BV36" i="24142"/>
  <c r="DN42" i="24142"/>
  <c r="DN51" i="23917"/>
  <c r="BA43" i="24142"/>
  <c r="BA52" i="23917"/>
  <c r="CN35" i="23917"/>
  <c r="BY43" i="24142"/>
  <c r="BY52" i="23917"/>
  <c r="DX23" i="24142"/>
  <c r="DX26" i="23917"/>
  <c r="DX42" i="24142"/>
  <c r="DX51" i="23917"/>
  <c r="CF49" i="24142"/>
  <c r="CF58" i="23917"/>
  <c r="CF29" i="24142"/>
  <c r="CF37" i="23917"/>
  <c r="CE35" i="24142"/>
  <c r="CJ29" i="24142"/>
  <c r="CJ37" i="23917"/>
  <c r="CK26" i="24142"/>
  <c r="CK34" i="23917"/>
  <c r="DZ31" i="24142"/>
  <c r="DY31" i="24142"/>
  <c r="BW47" i="23917"/>
  <c r="BW45" i="24142"/>
  <c r="CM35" i="24142"/>
  <c r="CM44" i="23917"/>
  <c r="CL38" i="24142"/>
  <c r="CL39" i="24142" s="1"/>
  <c r="CL47" i="23917"/>
  <c r="CL45" i="24142"/>
  <c r="CL54" i="23917"/>
  <c r="BU26" i="24142"/>
  <c r="BU34" i="23917"/>
  <c r="DY35" i="24142"/>
  <c r="DY44" i="23917"/>
  <c r="CI44" i="23917"/>
  <c r="CI35" i="24142"/>
  <c r="CH44" i="24142"/>
  <c r="CH53" i="23917"/>
  <c r="DW35" i="24142"/>
  <c r="DW44" i="23917"/>
  <c r="CB29" i="24142"/>
  <c r="CB37" i="23917"/>
  <c r="CC26" i="24142"/>
  <c r="CC34" i="23917"/>
  <c r="BC273" i="23917"/>
  <c r="BC221" i="23917"/>
  <c r="BQ26" i="24142"/>
  <c r="BQ34" i="23917"/>
  <c r="CM29" i="24142"/>
  <c r="CM37" i="23917"/>
  <c r="CD49" i="24142"/>
  <c r="CD58" i="23917"/>
  <c r="CE26" i="24142"/>
  <c r="CE34" i="23917"/>
  <c r="CC43" i="24142"/>
  <c r="CC52" i="23917"/>
  <c r="CH45" i="23917"/>
  <c r="CJ35" i="23917"/>
  <c r="CM43" i="24142"/>
  <c r="CM52" i="23917"/>
  <c r="DZ43" i="24142"/>
  <c r="DZ52" i="23917"/>
  <c r="CL48" i="23917"/>
  <c r="CL45" i="23917"/>
  <c r="CG26" i="24142"/>
  <c r="CG34" i="23917"/>
  <c r="CG31" i="24142"/>
  <c r="CF31" i="24142"/>
  <c r="CJ49" i="24142"/>
  <c r="CJ58" i="23917"/>
  <c r="BU43" i="24142"/>
  <c r="BU52" i="23917"/>
  <c r="BY26" i="24142"/>
  <c r="BY34" i="23917"/>
  <c r="DX43" i="24142"/>
  <c r="DX52" i="23917"/>
  <c r="CB35" i="24142"/>
  <c r="CB44" i="23917"/>
  <c r="CI29" i="24142"/>
  <c r="CI37" i="23917"/>
  <c r="CJ35" i="24142"/>
  <c r="CJ44" i="23917"/>
  <c r="DY49" i="24142"/>
  <c r="DY58" i="23917"/>
  <c r="DZ26" i="24142"/>
  <c r="DZ34" i="23917"/>
  <c r="BW35" i="24142"/>
  <c r="BW44" i="23917"/>
  <c r="BW53" i="23917"/>
  <c r="CL44" i="24142"/>
  <c r="CL53" i="23917"/>
  <c r="CE49" i="24142"/>
  <c r="CE58" i="23917"/>
  <c r="BU58" i="23917"/>
  <c r="DW49" i="24142"/>
  <c r="DW58" i="23917"/>
  <c r="DX26" i="24142"/>
  <c r="DX34" i="23917"/>
  <c r="BS44" i="23917"/>
  <c r="BS35" i="24142"/>
  <c r="CH38" i="24142"/>
  <c r="CH39" i="24142" s="1"/>
  <c r="CH47" i="23917"/>
  <c r="CH48" i="23917" s="1"/>
  <c r="CH45" i="24142"/>
  <c r="CH54" i="23917"/>
  <c r="CB49" i="24142"/>
  <c r="CB58" i="23917"/>
  <c r="CC31" i="24142"/>
  <c r="CB31" i="24142"/>
  <c r="CF35" i="24142"/>
  <c r="CF44" i="23917"/>
  <c r="CD35" i="24142"/>
  <c r="CD44" i="23917"/>
  <c r="CD29" i="24142"/>
  <c r="CD37" i="23917"/>
  <c r="CG43" i="24142"/>
  <c r="CG52" i="23917"/>
  <c r="CM31" i="24142"/>
  <c r="CH36" i="24142"/>
  <c r="DY35" i="23917"/>
  <c r="CI58" i="23917"/>
  <c r="CI49" i="24142"/>
  <c r="CK43" i="24142"/>
  <c r="CK52" i="23917"/>
  <c r="CL36" i="24142"/>
  <c r="CO43" i="24142"/>
  <c r="CO52" i="23917"/>
  <c r="CN35" i="24142"/>
  <c r="CN36" i="24142" s="1"/>
  <c r="CN44" i="23917"/>
  <c r="CN45" i="23917" s="1"/>
  <c r="CN49" i="24142"/>
  <c r="CN58" i="23917"/>
  <c r="CO26" i="24142"/>
  <c r="CO34" i="23917"/>
  <c r="CN29" i="24142"/>
  <c r="CN37" i="23917"/>
  <c r="DR274" i="23917"/>
  <c r="CK31" i="24142"/>
  <c r="DT253" i="23917"/>
  <c r="AW35" i="24142"/>
  <c r="DS268" i="23917"/>
  <c r="DT240" i="23917"/>
  <c r="BM31" i="24142"/>
  <c r="BF253" i="23917"/>
  <c r="DG29" i="23917"/>
  <c r="DJ31" i="24142"/>
  <c r="CO31" i="24142"/>
  <c r="BC274" i="23917"/>
  <c r="BH240" i="23917"/>
  <c r="BE268" i="23917"/>
  <c r="BD274" i="23917"/>
  <c r="DS310" i="23917"/>
  <c r="DX31" i="24142"/>
  <c r="BQ31" i="24142"/>
  <c r="EJ355" i="23917" l="1"/>
  <c r="CY350" i="23917"/>
  <c r="EI334" i="23917"/>
  <c r="EF275" i="24142"/>
  <c r="EF340" i="23917"/>
  <c r="EM289" i="24142"/>
  <c r="EM355" i="23917"/>
  <c r="EL289" i="24142"/>
  <c r="EL355" i="23917"/>
  <c r="EH334" i="23917"/>
  <c r="EH269" i="24142"/>
  <c r="EG273" i="24142"/>
  <c r="EG338" i="23917"/>
  <c r="P18" i="24158"/>
  <c r="DA278" i="24142"/>
  <c r="DA12" i="24142"/>
  <c r="DA343" i="23917"/>
  <c r="EC277" i="24142"/>
  <c r="EC342" i="23917"/>
  <c r="CZ284" i="24142"/>
  <c r="CZ350" i="23917"/>
  <c r="EC278" i="24142"/>
  <c r="EC12" i="24142"/>
  <c r="EC343" i="23917"/>
  <c r="EC344" i="23917" s="1"/>
  <c r="EK492" i="24142"/>
  <c r="EK559" i="23917"/>
  <c r="EM492" i="24142"/>
  <c r="ED276" i="24142"/>
  <c r="ED341" i="23917"/>
  <c r="EG494" i="24142"/>
  <c r="EG560" i="23917"/>
  <c r="EG561" i="23917" s="1"/>
  <c r="EG17" i="24142"/>
  <c r="EH491" i="24142"/>
  <c r="EH558" i="23917"/>
  <c r="EF494" i="24142"/>
  <c r="EF17" i="24142"/>
  <c r="EF560" i="23917"/>
  <c r="EI491" i="24142"/>
  <c r="EI558" i="23917"/>
  <c r="EJ492" i="24142"/>
  <c r="EJ559" i="23917"/>
  <c r="BY49" i="24142"/>
  <c r="DU35" i="23917"/>
  <c r="DQ35" i="23917"/>
  <c r="DV43" i="24142"/>
  <c r="DV52" i="23917"/>
  <c r="AO45" i="24142"/>
  <c r="AO54" i="23917"/>
  <c r="AQ38" i="24142"/>
  <c r="AQ47" i="23917"/>
  <c r="BE35" i="24142"/>
  <c r="BE44" i="23917"/>
  <c r="BD44" i="24142"/>
  <c r="BD53" i="23917"/>
  <c r="O393" i="24142"/>
  <c r="O459" i="23917"/>
  <c r="BI29" i="24142"/>
  <c r="BI37" i="23917"/>
  <c r="DL35" i="24142"/>
  <c r="DL44" i="23917"/>
  <c r="DK45" i="24142"/>
  <c r="DK54" i="23917"/>
  <c r="H233" i="24142"/>
  <c r="H195" i="24142"/>
  <c r="DV26" i="24142"/>
  <c r="DV34" i="23917"/>
  <c r="BU47" i="23917"/>
  <c r="BT38" i="24142"/>
  <c r="BT39" i="24142" s="1"/>
  <c r="BT47" i="23917"/>
  <c r="BU54" i="23917"/>
  <c r="BT45" i="24142"/>
  <c r="BT54" i="23917"/>
  <c r="BG245" i="23917"/>
  <c r="BG219" i="23917"/>
  <c r="DS49" i="24142"/>
  <c r="DS58" i="23917"/>
  <c r="DT26" i="24142"/>
  <c r="DT34" i="23917"/>
  <c r="X233" i="24142"/>
  <c r="X195" i="24142"/>
  <c r="AW29" i="24142"/>
  <c r="AW37" i="23917"/>
  <c r="DN31" i="24142"/>
  <c r="DM31" i="24142"/>
  <c r="Z240" i="24142"/>
  <c r="Z176" i="23917"/>
  <c r="X247" i="24142"/>
  <c r="X196" i="24142"/>
  <c r="Y245" i="24142"/>
  <c r="Y181" i="23917"/>
  <c r="Y134" i="23917"/>
  <c r="AU44" i="24142"/>
  <c r="AU53" i="23917"/>
  <c r="H247" i="24142"/>
  <c r="H196" i="24142"/>
  <c r="DG45" i="24142"/>
  <c r="DG54" i="23917"/>
  <c r="AO38" i="24142"/>
  <c r="AO47" i="23917"/>
  <c r="AI45" i="24142"/>
  <c r="AI54" i="23917"/>
  <c r="BU29" i="24142"/>
  <c r="BU37" i="23917"/>
  <c r="BA35" i="24142"/>
  <c r="BA44" i="23917"/>
  <c r="AZ38" i="24142"/>
  <c r="AZ39" i="24142" s="1"/>
  <c r="AZ47" i="23917"/>
  <c r="AZ48" i="23917" s="1"/>
  <c r="AZ45" i="24142"/>
  <c r="AZ54" i="23917"/>
  <c r="AK45" i="24142"/>
  <c r="AK54" i="23917"/>
  <c r="DP35" i="24142"/>
  <c r="DP44" i="23917"/>
  <c r="DO45" i="24142"/>
  <c r="DO54" i="23917"/>
  <c r="DG49" i="24142"/>
  <c r="DG58" i="23917"/>
  <c r="DH31" i="24142"/>
  <c r="DG31" i="24142"/>
  <c r="M205" i="24142"/>
  <c r="M143" i="23917"/>
  <c r="W44" i="24142"/>
  <c r="W53" i="23917"/>
  <c r="Q383" i="24142"/>
  <c r="Q449" i="23917"/>
  <c r="H389" i="24142"/>
  <c r="H455" i="23917"/>
  <c r="H395" i="24142"/>
  <c r="H461" i="23917"/>
  <c r="BH44" i="24142"/>
  <c r="BH53" i="23917"/>
  <c r="DR31" i="24142"/>
  <c r="DQ31" i="24142"/>
  <c r="BE258" i="23917"/>
  <c r="BE220" i="23917"/>
  <c r="BE260" i="23917"/>
  <c r="BD260" i="23917"/>
  <c r="DT248" i="23917"/>
  <c r="DS248" i="23917"/>
  <c r="DT249" i="23917"/>
  <c r="DS249" i="23917"/>
  <c r="W197" i="24142"/>
  <c r="W135" i="23917"/>
  <c r="AE38" i="24142"/>
  <c r="AE47" i="23917"/>
  <c r="BY38" i="24142"/>
  <c r="BX38" i="24142"/>
  <c r="BX39" i="24142" s="1"/>
  <c r="BX47" i="23917"/>
  <c r="BX48" i="23917" s="1"/>
  <c r="BY54" i="23917"/>
  <c r="BX45" i="24142"/>
  <c r="BX54" i="23917"/>
  <c r="AV44" i="24142"/>
  <c r="AV53" i="23917"/>
  <c r="BG45" i="24142"/>
  <c r="BG54" i="23917"/>
  <c r="AI44" i="24142"/>
  <c r="AI53" i="23917"/>
  <c r="BP38" i="24142"/>
  <c r="BP39" i="24142" s="1"/>
  <c r="BP47" i="23917"/>
  <c r="BP48" i="23917" s="1"/>
  <c r="BP45" i="24142"/>
  <c r="BP54" i="23917"/>
  <c r="DT263" i="23917"/>
  <c r="DS263" i="23917"/>
  <c r="DS258" i="23917"/>
  <c r="DS220" i="23917"/>
  <c r="E201" i="24142"/>
  <c r="E139" i="23917"/>
  <c r="DJ38" i="24142"/>
  <c r="DJ47" i="23917"/>
  <c r="BL38" i="24142"/>
  <c r="BL39" i="24142" s="1"/>
  <c r="BL47" i="23917"/>
  <c r="BL48" i="23917" s="1"/>
  <c r="BL45" i="24142"/>
  <c r="BL54" i="23917"/>
  <c r="O197" i="24142"/>
  <c r="O135" i="23917"/>
  <c r="BA29" i="24142"/>
  <c r="BA37" i="23917"/>
  <c r="F362" i="24142"/>
  <c r="F428" i="23917"/>
  <c r="F366" i="24142"/>
  <c r="F432" i="23917"/>
  <c r="F367" i="24142"/>
  <c r="F433" i="23917"/>
  <c r="X236" i="24142"/>
  <c r="X172" i="23917"/>
  <c r="DI29" i="24142"/>
  <c r="DI37" i="23917"/>
  <c r="BM49" i="24142"/>
  <c r="BM58" i="23917"/>
  <c r="BH45" i="23917"/>
  <c r="BX45" i="23917"/>
  <c r="AV45" i="23917"/>
  <c r="BT48" i="23917"/>
  <c r="BT45" i="23917"/>
  <c r="BG38" i="24142"/>
  <c r="BG47" i="23917"/>
  <c r="AO44" i="24142"/>
  <c r="AO53" i="23917"/>
  <c r="DG38" i="24142"/>
  <c r="DG47" i="23917"/>
  <c r="BP45" i="23917"/>
  <c r="AZ45" i="23917"/>
  <c r="AK38" i="24142"/>
  <c r="AK47" i="23917"/>
  <c r="BD36" i="24142"/>
  <c r="DO36" i="24142"/>
  <c r="BL36" i="24142"/>
  <c r="AW49" i="24142"/>
  <c r="AW58" i="23917"/>
  <c r="BA49" i="24142"/>
  <c r="BA58" i="23917"/>
  <c r="AG38" i="24142"/>
  <c r="AG47" i="23917"/>
  <c r="O38" i="24142"/>
  <c r="O47" i="23917"/>
  <c r="AC362" i="24142"/>
  <c r="AC428" i="23917"/>
  <c r="AA38" i="24142"/>
  <c r="AA47" i="23917"/>
  <c r="BK44" i="24142"/>
  <c r="BK53" i="23917"/>
  <c r="U205" i="24142"/>
  <c r="U143" i="23917"/>
  <c r="BO49" i="24142"/>
  <c r="BO58" i="23917"/>
  <c r="AC38" i="24142"/>
  <c r="AC47" i="23917"/>
  <c r="AK44" i="24142"/>
  <c r="AK53" i="23917"/>
  <c r="AY38" i="24142"/>
  <c r="AY47" i="23917"/>
  <c r="AE45" i="24142"/>
  <c r="AE54" i="23917"/>
  <c r="AM38" i="24142"/>
  <c r="AM47" i="23917"/>
  <c r="O44" i="24142"/>
  <c r="O53" i="23917"/>
  <c r="AC368" i="24142"/>
  <c r="AC434" i="23917"/>
  <c r="DF38" i="24142"/>
  <c r="DF47" i="23917"/>
  <c r="DP26" i="24142"/>
  <c r="DP34" i="23917"/>
  <c r="BK38" i="24142"/>
  <c r="BK47" i="23917"/>
  <c r="DP43" i="24142"/>
  <c r="DP52" i="23917"/>
  <c r="DJ49" i="24142"/>
  <c r="DJ58" i="23917"/>
  <c r="BG44" i="24142"/>
  <c r="BG53" i="23917"/>
  <c r="AI38" i="24142"/>
  <c r="AI47" i="23917"/>
  <c r="DE29" i="24142"/>
  <c r="DE37" i="23917"/>
  <c r="BD38" i="24142"/>
  <c r="BD39" i="24142" s="1"/>
  <c r="BD47" i="23917"/>
  <c r="BD48" i="23917" s="1"/>
  <c r="BD45" i="24142"/>
  <c r="BD54" i="23917"/>
  <c r="DT43" i="24142"/>
  <c r="DT52" i="23917"/>
  <c r="G393" i="24142"/>
  <c r="G459" i="23917"/>
  <c r="DR273" i="23917"/>
  <c r="DR221" i="23917"/>
  <c r="DR277" i="23917"/>
  <c r="DQ277" i="23917"/>
  <c r="DP49" i="24142"/>
  <c r="DP58" i="23917"/>
  <c r="DK38" i="24142"/>
  <c r="DK47" i="23917"/>
  <c r="DK44" i="24142"/>
  <c r="DK53" i="23917"/>
  <c r="Q231" i="24142"/>
  <c r="Q169" i="23917"/>
  <c r="Q133" i="23917"/>
  <c r="I231" i="24142"/>
  <c r="I169" i="23917"/>
  <c r="I133" i="23917"/>
  <c r="BD273" i="23917"/>
  <c r="BD221" i="23917"/>
  <c r="DU49" i="24142"/>
  <c r="DU58" i="23917"/>
  <c r="DV31" i="24142"/>
  <c r="DU31" i="24142"/>
  <c r="BT44" i="24142"/>
  <c r="BT53" i="23917"/>
  <c r="DT31" i="24142"/>
  <c r="DS31" i="24142"/>
  <c r="Z226" i="24142"/>
  <c r="Z164" i="23917"/>
  <c r="Y231" i="24142"/>
  <c r="Y169" i="23917"/>
  <c r="Y133" i="23917"/>
  <c r="BY29" i="24142"/>
  <c r="BY37" i="23917"/>
  <c r="W45" i="24142"/>
  <c r="W54" i="23917"/>
  <c r="AC366" i="24142"/>
  <c r="AC432" i="23917"/>
  <c r="DM49" i="24142"/>
  <c r="DM58" i="23917"/>
  <c r="DN26" i="24142"/>
  <c r="DN34" i="23917"/>
  <c r="DU35" i="24142"/>
  <c r="DU44" i="23917"/>
  <c r="DI245" i="24142"/>
  <c r="DI134" i="23917"/>
  <c r="DI181" i="23917"/>
  <c r="BM29" i="24142"/>
  <c r="BM37" i="23917"/>
  <c r="Q245" i="24142"/>
  <c r="Q181" i="23917"/>
  <c r="Q134" i="23917"/>
  <c r="I245" i="24142"/>
  <c r="I181" i="23917"/>
  <c r="I134" i="23917"/>
  <c r="DH35" i="24142"/>
  <c r="DH44" i="23917"/>
  <c r="DG44" i="24142"/>
  <c r="DG53" i="23917"/>
  <c r="AZ44" i="24142"/>
  <c r="AZ53" i="23917"/>
  <c r="BO38" i="24142"/>
  <c r="BO47" i="23917"/>
  <c r="DO38" i="24142"/>
  <c r="DO39" i="24142" s="1"/>
  <c r="DO47" i="23917"/>
  <c r="DO48" i="23917" s="1"/>
  <c r="DO44" i="24142"/>
  <c r="DO53" i="23917"/>
  <c r="DH26" i="24142"/>
  <c r="DH34" i="23917"/>
  <c r="DS35" i="24142"/>
  <c r="DS44" i="23917"/>
  <c r="E205" i="24142"/>
  <c r="E143" i="23917"/>
  <c r="I383" i="24142"/>
  <c r="I449" i="23917"/>
  <c r="H394" i="24142"/>
  <c r="H460" i="23917"/>
  <c r="DM35" i="24142"/>
  <c r="DM36" i="24142" s="1"/>
  <c r="DM44" i="23917"/>
  <c r="DQ35" i="24142"/>
  <c r="DQ44" i="23917"/>
  <c r="BI35" i="24142"/>
  <c r="BI44" i="23917"/>
  <c r="BH38" i="24142"/>
  <c r="BH39" i="24142" s="1"/>
  <c r="BH47" i="23917"/>
  <c r="BH48" i="23917" s="1"/>
  <c r="BH45" i="24142"/>
  <c r="BH54" i="23917"/>
  <c r="DQ49" i="24142"/>
  <c r="DQ58" i="23917"/>
  <c r="DR26" i="24142"/>
  <c r="DR34" i="23917"/>
  <c r="DT250" i="23917"/>
  <c r="DS250" i="23917"/>
  <c r="DS219" i="23917"/>
  <c r="DS245" i="23917"/>
  <c r="BY53" i="23917"/>
  <c r="BX44" i="24142"/>
  <c r="BX53" i="23917"/>
  <c r="AW38" i="24142"/>
  <c r="AV38" i="24142"/>
  <c r="AV39" i="24142" s="1"/>
  <c r="AV47" i="23917"/>
  <c r="AV48" i="23917" s="1"/>
  <c r="AV45" i="24142"/>
  <c r="AV54" i="23917"/>
  <c r="BP44" i="24142"/>
  <c r="BP53" i="23917"/>
  <c r="DX58" i="23917"/>
  <c r="DT264" i="23917"/>
  <c r="DS264" i="23917"/>
  <c r="DT265" i="23917"/>
  <c r="DS265" i="23917"/>
  <c r="M201" i="24142"/>
  <c r="M139" i="23917"/>
  <c r="W38" i="24142"/>
  <c r="W47" i="23917"/>
  <c r="BQ29" i="24142"/>
  <c r="BQ37" i="23917"/>
  <c r="BM35" i="24142"/>
  <c r="BM44" i="23917"/>
  <c r="BL44" i="24142"/>
  <c r="BL53" i="23917"/>
  <c r="G197" i="24142"/>
  <c r="G135" i="23917"/>
  <c r="F363" i="24142"/>
  <c r="F429" i="23917"/>
  <c r="F368" i="24142"/>
  <c r="F434" i="23917"/>
  <c r="F396" i="24142"/>
  <c r="F462" i="23917"/>
  <c r="BE29" i="24142"/>
  <c r="BE37" i="23917"/>
  <c r="DG29" i="24142"/>
  <c r="DG37" i="23917"/>
  <c r="H236" i="24142"/>
  <c r="H172" i="23917"/>
  <c r="BH36" i="24142"/>
  <c r="BX36" i="24142"/>
  <c r="AV36" i="24142"/>
  <c r="BT36" i="24142"/>
  <c r="AC44" i="24142"/>
  <c r="AC53" i="23917"/>
  <c r="DD38" i="24142"/>
  <c r="DD47" i="23917"/>
  <c r="BP36" i="24142"/>
  <c r="AZ36" i="24142"/>
  <c r="BD45" i="23917"/>
  <c r="DO45" i="23917"/>
  <c r="DJ26" i="24142"/>
  <c r="DJ34" i="23917"/>
  <c r="BL45" i="23917"/>
  <c r="AY44" i="24142"/>
  <c r="AY53" i="23917"/>
  <c r="AM44" i="24142"/>
  <c r="AM53" i="23917"/>
  <c r="AG45" i="24142"/>
  <c r="AG54" i="23917"/>
  <c r="O45" i="24142"/>
  <c r="O54" i="23917"/>
  <c r="AC396" i="24142"/>
  <c r="AC462" i="23917"/>
  <c r="AA45" i="24142"/>
  <c r="AA54" i="23917"/>
  <c r="DN43" i="24142"/>
  <c r="DN52" i="23917"/>
  <c r="DR43" i="24142"/>
  <c r="DR52" i="23917"/>
  <c r="U201" i="24142"/>
  <c r="U139" i="23917"/>
  <c r="DS35" i="23917"/>
  <c r="Q18" i="24158"/>
  <c r="DL49" i="24142"/>
  <c r="DL58" i="23917"/>
  <c r="AC45" i="24142"/>
  <c r="AC54" i="23917"/>
  <c r="AY45" i="24142"/>
  <c r="AY54" i="23917"/>
  <c r="AM45" i="24142"/>
  <c r="AM54" i="23917"/>
  <c r="AG44" i="24142"/>
  <c r="AG53" i="23917"/>
  <c r="AC367" i="24142"/>
  <c r="AC433" i="23917"/>
  <c r="AC363" i="24142"/>
  <c r="AC429" i="23917"/>
  <c r="BI49" i="24142"/>
  <c r="BI58" i="23917"/>
  <c r="AA44" i="24142"/>
  <c r="AA53" i="23917"/>
  <c r="BK45" i="24142"/>
  <c r="BK54" i="23917"/>
  <c r="BE49" i="24142"/>
  <c r="BE58" i="23917"/>
  <c r="BS38" i="24142"/>
  <c r="BS47" i="23917"/>
  <c r="CG29" i="24142"/>
  <c r="CG37" i="23917"/>
  <c r="DX35" i="24142"/>
  <c r="DX44" i="23917"/>
  <c r="DW45" i="24142"/>
  <c r="DW54" i="23917"/>
  <c r="DZ35" i="24142"/>
  <c r="DZ44" i="23917"/>
  <c r="DY44" i="24142"/>
  <c r="DY53" i="23917"/>
  <c r="CF38" i="24142"/>
  <c r="CF39" i="24142" s="1"/>
  <c r="CF47" i="23917"/>
  <c r="CF48" i="23917" s="1"/>
  <c r="CF54" i="23917"/>
  <c r="CF45" i="24142"/>
  <c r="BS45" i="24142"/>
  <c r="BS54" i="23917"/>
  <c r="CC35" i="24142"/>
  <c r="CC44" i="23917"/>
  <c r="CB44" i="24142"/>
  <c r="CB53" i="23917"/>
  <c r="BQ58" i="23917"/>
  <c r="BQ49" i="24142"/>
  <c r="BY35" i="24142"/>
  <c r="BY44" i="23917"/>
  <c r="BY47" i="23917"/>
  <c r="BQ35" i="24142"/>
  <c r="BQ44" i="23917"/>
  <c r="CJ38" i="24142"/>
  <c r="CJ39" i="24142" s="1"/>
  <c r="CJ47" i="23917"/>
  <c r="CJ48" i="23917" s="1"/>
  <c r="CJ45" i="24142"/>
  <c r="CJ54" i="23917"/>
  <c r="CE29" i="24142"/>
  <c r="CE37" i="23917"/>
  <c r="CD44" i="24142"/>
  <c r="CD53" i="23917"/>
  <c r="CD38" i="24142"/>
  <c r="CD39" i="24142" s="1"/>
  <c r="CD47" i="23917"/>
  <c r="CD48" i="23917" s="1"/>
  <c r="CD45" i="23917"/>
  <c r="CF36" i="24142"/>
  <c r="DZ58" i="23917"/>
  <c r="DZ49" i="24142"/>
  <c r="CJ45" i="23917"/>
  <c r="CB45" i="23917"/>
  <c r="CK49" i="24142"/>
  <c r="CK58" i="23917"/>
  <c r="DW45" i="23917"/>
  <c r="CI53" i="23917"/>
  <c r="CI44" i="24142"/>
  <c r="DY36" i="24142"/>
  <c r="CC29" i="24142"/>
  <c r="CC37" i="23917"/>
  <c r="DW38" i="24142"/>
  <c r="DW39" i="24142" s="1"/>
  <c r="DW47" i="23917"/>
  <c r="DW48" i="23917" s="1"/>
  <c r="DW53" i="23917"/>
  <c r="DW44" i="24142"/>
  <c r="BU35" i="24142"/>
  <c r="BU44" i="23917"/>
  <c r="BU45" i="24142"/>
  <c r="DY38" i="24142"/>
  <c r="DY39" i="24142" s="1"/>
  <c r="DY47" i="23917"/>
  <c r="DY48" i="23917" s="1"/>
  <c r="DY45" i="24142"/>
  <c r="DY54" i="23917"/>
  <c r="CG35" i="24142"/>
  <c r="CG44" i="23917"/>
  <c r="CF44" i="24142"/>
  <c r="CF53" i="23917"/>
  <c r="CK29" i="24142"/>
  <c r="CK37" i="23917"/>
  <c r="CB38" i="24142"/>
  <c r="CB39" i="24142" s="1"/>
  <c r="CB47" i="23917"/>
  <c r="CB48" i="23917" s="1"/>
  <c r="CB45" i="24142"/>
  <c r="CB54" i="23917"/>
  <c r="CC49" i="24142"/>
  <c r="CC58" i="23917"/>
  <c r="BY44" i="24142"/>
  <c r="BS53" i="23917"/>
  <c r="BS44" i="24142"/>
  <c r="CK35" i="24142"/>
  <c r="CK44" i="23917"/>
  <c r="CJ44" i="24142"/>
  <c r="CJ53" i="23917"/>
  <c r="CE38" i="24142"/>
  <c r="CE47" i="23917"/>
  <c r="CD45" i="24142"/>
  <c r="CD54" i="23917"/>
  <c r="CD36" i="24142"/>
  <c r="CF45" i="23917"/>
  <c r="CI45" i="24142"/>
  <c r="CI54" i="23917"/>
  <c r="CI38" i="24142"/>
  <c r="CI47" i="23917"/>
  <c r="CJ36" i="24142"/>
  <c r="CB36" i="24142"/>
  <c r="CM49" i="24142"/>
  <c r="CM58" i="23917"/>
  <c r="DW36" i="24142"/>
  <c r="DY45" i="23917"/>
  <c r="CG49" i="24142"/>
  <c r="CG58" i="23917"/>
  <c r="CN44" i="24142"/>
  <c r="CN53" i="23917"/>
  <c r="CN45" i="24142"/>
  <c r="CN54" i="23917"/>
  <c r="CO35" i="24142"/>
  <c r="CO44" i="23917"/>
  <c r="CO29" i="24142"/>
  <c r="CO37" i="23917"/>
  <c r="CN38" i="24142"/>
  <c r="CN39" i="24142" s="1"/>
  <c r="CN47" i="23917"/>
  <c r="CN48" i="23917" s="1"/>
  <c r="CO49" i="24142"/>
  <c r="CO58" i="23917"/>
  <c r="BE274" i="23917"/>
  <c r="DT310" i="23917"/>
  <c r="DH29" i="23917"/>
  <c r="DJ29" i="23917"/>
  <c r="DU240" i="23917"/>
  <c r="DU253" i="23917"/>
  <c r="BH250" i="23917"/>
  <c r="BI240" i="23917"/>
  <c r="BH249" i="23917"/>
  <c r="DS274" i="23917"/>
  <c r="DT268" i="23917"/>
  <c r="DP31" i="24142"/>
  <c r="BG253" i="23917"/>
  <c r="BF264" i="23917"/>
  <c r="BF265" i="23917"/>
  <c r="BF263" i="23917"/>
  <c r="BF268" i="23917"/>
  <c r="EI269" i="24142" l="1"/>
  <c r="EM559" i="23917"/>
  <c r="EG275" i="24142"/>
  <c r="EG340" i="23917"/>
  <c r="EK269" i="24142"/>
  <c r="EK334" i="23917"/>
  <c r="EI338" i="23917"/>
  <c r="EI273" i="24142"/>
  <c r="EH273" i="24142"/>
  <c r="EH338" i="23917"/>
  <c r="EJ269" i="24142"/>
  <c r="EJ334" i="23917"/>
  <c r="DA12" i="23917"/>
  <c r="CZ12" i="23917"/>
  <c r="EL492" i="24142"/>
  <c r="EL559" i="23917"/>
  <c r="ED277" i="24142"/>
  <c r="ED342" i="23917"/>
  <c r="DA284" i="24142"/>
  <c r="DA350" i="23917"/>
  <c r="EC284" i="24142"/>
  <c r="EC350" i="23917"/>
  <c r="EK491" i="24142"/>
  <c r="EK558" i="23917"/>
  <c r="EM491" i="24142"/>
  <c r="ED278" i="24142"/>
  <c r="ED12" i="24142"/>
  <c r="ED343" i="23917"/>
  <c r="EI494" i="24142"/>
  <c r="EI560" i="23917"/>
  <c r="EI561" i="23917" s="1"/>
  <c r="EI17" i="24142"/>
  <c r="EE17" i="23917"/>
  <c r="EF17" i="23917"/>
  <c r="EE277" i="24142"/>
  <c r="EE342" i="23917"/>
  <c r="EJ558" i="23917"/>
  <c r="EJ491" i="24142"/>
  <c r="EH494" i="24142"/>
  <c r="EH560" i="23917"/>
  <c r="EH17" i="24142"/>
  <c r="BU38" i="24142"/>
  <c r="DX49" i="24142"/>
  <c r="BY45" i="24142"/>
  <c r="G396" i="24142"/>
  <c r="G462" i="23917"/>
  <c r="G363" i="24142"/>
  <c r="G429" i="23917"/>
  <c r="V201" i="24142"/>
  <c r="V139" i="23917"/>
  <c r="I394" i="24142"/>
  <c r="I460" i="23917"/>
  <c r="DS38" i="24142"/>
  <c r="DS39" i="24142" s="1"/>
  <c r="DS47" i="23917"/>
  <c r="DS48" i="23917" s="1"/>
  <c r="DS44" i="24142"/>
  <c r="DS53" i="23917"/>
  <c r="DP44" i="24142"/>
  <c r="DP53" i="23917"/>
  <c r="AA240" i="24142"/>
  <c r="AA176" i="23917"/>
  <c r="Z250" i="24142"/>
  <c r="Z184" i="23917"/>
  <c r="Z237" i="24142"/>
  <c r="Z173" i="23917"/>
  <c r="Z231" i="24142"/>
  <c r="Z169" i="23917"/>
  <c r="Z133" i="23917"/>
  <c r="BE277" i="23917"/>
  <c r="BD277" i="23917"/>
  <c r="Q395" i="24142"/>
  <c r="Q461" i="23917"/>
  <c r="H197" i="24142"/>
  <c r="H135" i="23917"/>
  <c r="DJ29" i="24142"/>
  <c r="DJ37" i="23917"/>
  <c r="O367" i="24142"/>
  <c r="O433" i="23917"/>
  <c r="I389" i="24142"/>
  <c r="I455" i="23917"/>
  <c r="DP45" i="24142"/>
  <c r="DP54" i="23917"/>
  <c r="DK240" i="24142"/>
  <c r="DK176" i="23917"/>
  <c r="DI247" i="24142"/>
  <c r="DI196" i="24142"/>
  <c r="X197" i="24142"/>
  <c r="X135" i="23917"/>
  <c r="BH248" i="23917"/>
  <c r="BH245" i="23917"/>
  <c r="BH219" i="23917"/>
  <c r="O362" i="24142"/>
  <c r="O428" i="23917"/>
  <c r="F205" i="24142"/>
  <c r="F143" i="23917"/>
  <c r="DQ44" i="24142"/>
  <c r="DQ53" i="23917"/>
  <c r="G368" i="24142"/>
  <c r="G434" i="23917"/>
  <c r="DT260" i="23917"/>
  <c r="DS260" i="23917"/>
  <c r="DJ45" i="24142"/>
  <c r="DJ54" i="23917"/>
  <c r="DN35" i="24142"/>
  <c r="DN44" i="23917"/>
  <c r="DM44" i="24142"/>
  <c r="DM53" i="23917"/>
  <c r="Q247" i="24142"/>
  <c r="Q196" i="24142"/>
  <c r="Y247" i="24142"/>
  <c r="Y196" i="24142"/>
  <c r="DV35" i="24142"/>
  <c r="DV44" i="23917"/>
  <c r="DU44" i="24142"/>
  <c r="DU53" i="23917"/>
  <c r="DX44" i="24142"/>
  <c r="DS29" i="24142"/>
  <c r="DS37" i="23917"/>
  <c r="BM44" i="24142"/>
  <c r="BM53" i="23917"/>
  <c r="AW45" i="24142"/>
  <c r="AW54" i="23917"/>
  <c r="DJ44" i="24142"/>
  <c r="DJ53" i="23917"/>
  <c r="DQ36" i="24142"/>
  <c r="DS36" i="24142"/>
  <c r="DH44" i="24142"/>
  <c r="DH53" i="23917"/>
  <c r="DU45" i="23917"/>
  <c r="DN49" i="24142"/>
  <c r="DN58" i="23917"/>
  <c r="DL44" i="24142"/>
  <c r="DL53" i="23917"/>
  <c r="BE38" i="24142"/>
  <c r="BE47" i="23917"/>
  <c r="AW44" i="24142"/>
  <c r="AW53" i="23917"/>
  <c r="BA45" i="24142"/>
  <c r="BA54" i="23917"/>
  <c r="DH45" i="24142"/>
  <c r="DH54" i="23917"/>
  <c r="O396" i="24142"/>
  <c r="O462" i="23917"/>
  <c r="O363" i="24142"/>
  <c r="O429" i="23917"/>
  <c r="BM38" i="24142"/>
  <c r="BM47" i="23917"/>
  <c r="V205" i="24142"/>
  <c r="V143" i="23917"/>
  <c r="BF258" i="23917"/>
  <c r="BF220" i="23917"/>
  <c r="BI45" i="24142"/>
  <c r="BI54" i="23917"/>
  <c r="DK29" i="24142"/>
  <c r="DK37" i="23917"/>
  <c r="Q394" i="24142"/>
  <c r="Q460" i="23917"/>
  <c r="DT35" i="24142"/>
  <c r="DT44" i="23917"/>
  <c r="DS45" i="24142"/>
  <c r="DS54" i="23917"/>
  <c r="Z251" i="24142"/>
  <c r="Z185" i="23917"/>
  <c r="Z245" i="24142"/>
  <c r="Z134" i="23917"/>
  <c r="Z181" i="23917"/>
  <c r="AA226" i="24142"/>
  <c r="AA164" i="23917"/>
  <c r="DV49" i="24142"/>
  <c r="DV58" i="23917"/>
  <c r="O366" i="24142"/>
  <c r="O432" i="23917"/>
  <c r="G366" i="24142"/>
  <c r="G432" i="23917"/>
  <c r="DM29" i="24142"/>
  <c r="DM37" i="23917"/>
  <c r="I395" i="24142"/>
  <c r="I461" i="23917"/>
  <c r="G367" i="24142"/>
  <c r="G433" i="23917"/>
  <c r="DS221" i="23917"/>
  <c r="DS273" i="23917"/>
  <c r="BI44" i="24142"/>
  <c r="BI53" i="23917"/>
  <c r="Q389" i="24142"/>
  <c r="Q455" i="23917"/>
  <c r="H393" i="24142"/>
  <c r="H459" i="23917"/>
  <c r="DJ245" i="24142"/>
  <c r="DJ181" i="23917"/>
  <c r="DJ134" i="23917"/>
  <c r="G362" i="24142"/>
  <c r="G428" i="23917"/>
  <c r="F201" i="24142"/>
  <c r="F139" i="23917"/>
  <c r="DR35" i="24142"/>
  <c r="DR44" i="23917"/>
  <c r="DQ38" i="24142"/>
  <c r="DQ39" i="24142" s="1"/>
  <c r="DQ47" i="23917"/>
  <c r="DQ48" i="23917" s="1"/>
  <c r="DQ45" i="24142"/>
  <c r="DQ54" i="23917"/>
  <c r="O368" i="24142"/>
  <c r="O434" i="23917"/>
  <c r="BM45" i="24142"/>
  <c r="BM54" i="23917"/>
  <c r="DT258" i="23917"/>
  <c r="DT220" i="23917"/>
  <c r="DT245" i="23917"/>
  <c r="DT219" i="23917"/>
  <c r="BI38" i="24142"/>
  <c r="BI47" i="23917"/>
  <c r="DM38" i="24142"/>
  <c r="DM47" i="23917"/>
  <c r="DM45" i="24142"/>
  <c r="DM54" i="23917"/>
  <c r="DU38" i="24142"/>
  <c r="DU39" i="24142" s="1"/>
  <c r="DU47" i="23917"/>
  <c r="DU48" i="23917" s="1"/>
  <c r="DX45" i="24142"/>
  <c r="DU45" i="24142"/>
  <c r="DU54" i="23917"/>
  <c r="DO29" i="24142"/>
  <c r="DO37" i="23917"/>
  <c r="BE44" i="24142"/>
  <c r="BE53" i="23917"/>
  <c r="DQ29" i="24142"/>
  <c r="DQ37" i="23917"/>
  <c r="BF310" i="23917"/>
  <c r="BG310" i="23917"/>
  <c r="DH29" i="24142"/>
  <c r="DH37" i="23917"/>
  <c r="DR49" i="24142"/>
  <c r="DR58" i="23917"/>
  <c r="DQ45" i="23917"/>
  <c r="DS45" i="23917"/>
  <c r="BA44" i="24142"/>
  <c r="BA53" i="23917"/>
  <c r="DU36" i="24142"/>
  <c r="DL38" i="24142"/>
  <c r="DL47" i="23917"/>
  <c r="BE45" i="24142"/>
  <c r="BE54" i="23917"/>
  <c r="DF29" i="24142"/>
  <c r="DF37" i="23917"/>
  <c r="DH38" i="24142"/>
  <c r="DH47" i="23917"/>
  <c r="DH49" i="24142"/>
  <c r="DH58" i="23917"/>
  <c r="BA38" i="24142"/>
  <c r="BA47" i="23917"/>
  <c r="DT49" i="24142"/>
  <c r="DT58" i="23917"/>
  <c r="DL45" i="24142"/>
  <c r="DL54" i="23917"/>
  <c r="CK44" i="24142"/>
  <c r="CK53" i="23917"/>
  <c r="BQ45" i="24142"/>
  <c r="BQ54" i="23917"/>
  <c r="BQ53" i="23917"/>
  <c r="BQ44" i="24142"/>
  <c r="DZ45" i="24142"/>
  <c r="DZ54" i="23917"/>
  <c r="BU53" i="23917"/>
  <c r="BU44" i="24142"/>
  <c r="BQ38" i="24142"/>
  <c r="BQ47" i="23917"/>
  <c r="CC44" i="24142"/>
  <c r="CC53" i="23917"/>
  <c r="CM38" i="24142"/>
  <c r="CM47" i="23917"/>
  <c r="CC38" i="24142"/>
  <c r="CC47" i="23917"/>
  <c r="CG44" i="24142"/>
  <c r="CG53" i="23917"/>
  <c r="CE44" i="24142"/>
  <c r="CE53" i="23917"/>
  <c r="BE273" i="23917"/>
  <c r="BE221" i="23917"/>
  <c r="CK38" i="24142"/>
  <c r="CK47" i="23917"/>
  <c r="CC45" i="24142"/>
  <c r="CC54" i="23917"/>
  <c r="DZ44" i="24142"/>
  <c r="DZ53" i="23917"/>
  <c r="CM45" i="24142"/>
  <c r="CM54" i="23917"/>
  <c r="CE45" i="24142"/>
  <c r="CE54" i="23917"/>
  <c r="DZ38" i="24142"/>
  <c r="DZ47" i="23917"/>
  <c r="CM44" i="24142"/>
  <c r="CM53" i="23917"/>
  <c r="CK45" i="24142"/>
  <c r="CK54" i="23917"/>
  <c r="CG45" i="24142"/>
  <c r="CG54" i="23917"/>
  <c r="CG38" i="24142"/>
  <c r="CG47" i="23917"/>
  <c r="CO44" i="24142"/>
  <c r="CO53" i="23917"/>
  <c r="CO45" i="24142"/>
  <c r="CO54" i="23917"/>
  <c r="CO38" i="24142"/>
  <c r="CO47" i="23917"/>
  <c r="BH253" i="23917"/>
  <c r="DV240" i="23917"/>
  <c r="DU268" i="23917"/>
  <c r="DT274" i="23917"/>
  <c r="BG268" i="23917"/>
  <c r="BJ240" i="23917"/>
  <c r="DV253" i="23917"/>
  <c r="EM558" i="23917" l="1"/>
  <c r="EI340" i="23917"/>
  <c r="EI275" i="24142"/>
  <c r="EM269" i="24142"/>
  <c r="EM334" i="23917"/>
  <c r="EK273" i="24142"/>
  <c r="EK338" i="23917"/>
  <c r="EH275" i="24142"/>
  <c r="EH340" i="23917"/>
  <c r="EJ273" i="24142"/>
  <c r="EJ338" i="23917"/>
  <c r="EL269" i="24142"/>
  <c r="EL334" i="23917"/>
  <c r="ED12" i="23917"/>
  <c r="EC12" i="23917"/>
  <c r="EL491" i="24142"/>
  <c r="EL558" i="23917"/>
  <c r="EK494" i="24142"/>
  <c r="EK17" i="24142"/>
  <c r="EK560" i="23917"/>
  <c r="EK561" i="23917" s="1"/>
  <c r="EM17" i="24142"/>
  <c r="ED284" i="24142"/>
  <c r="ED350" i="23917"/>
  <c r="EF342" i="23917"/>
  <c r="EF277" i="24142"/>
  <c r="EE276" i="24142"/>
  <c r="EE341" i="23917"/>
  <c r="EG17" i="23917"/>
  <c r="EH17" i="23917"/>
  <c r="EG342" i="23917"/>
  <c r="EG277" i="24142"/>
  <c r="EJ494" i="24142"/>
  <c r="EJ17" i="24142"/>
  <c r="EJ560" i="23917"/>
  <c r="DX53" i="23917"/>
  <c r="DX54" i="23917"/>
  <c r="DT29" i="24142"/>
  <c r="DT37" i="23917"/>
  <c r="DV265" i="23917"/>
  <c r="DU265" i="23917"/>
  <c r="DV263" i="23917"/>
  <c r="DU263" i="23917"/>
  <c r="BF273" i="23917"/>
  <c r="BF221" i="23917"/>
  <c r="O205" i="24142"/>
  <c r="O143" i="23917"/>
  <c r="DK250" i="24142"/>
  <c r="DK184" i="23917"/>
  <c r="DL240" i="24142"/>
  <c r="DL176" i="23917"/>
  <c r="AB240" i="24142"/>
  <c r="AB176" i="23917"/>
  <c r="DT44" i="24142"/>
  <c r="DT53" i="23917"/>
  <c r="G201" i="24142"/>
  <c r="G139" i="23917"/>
  <c r="Q393" i="24142"/>
  <c r="Q459" i="23917"/>
  <c r="DT277" i="23917"/>
  <c r="DS277" i="23917"/>
  <c r="AA231" i="24142"/>
  <c r="AA169" i="23917"/>
  <c r="AA133" i="23917"/>
  <c r="Z233" i="24142"/>
  <c r="Z195" i="24142"/>
  <c r="DR29" i="24142"/>
  <c r="DR37" i="23917"/>
  <c r="DP29" i="24142"/>
  <c r="DP37" i="23917"/>
  <c r="DP38" i="24142"/>
  <c r="DP47" i="23917"/>
  <c r="DV250" i="23917"/>
  <c r="DU250" i="23917"/>
  <c r="DV249" i="23917"/>
  <c r="DU249" i="23917"/>
  <c r="DU219" i="23917"/>
  <c r="DU245" i="23917"/>
  <c r="H363" i="24142"/>
  <c r="H429" i="23917"/>
  <c r="H368" i="24142"/>
  <c r="H434" i="23917"/>
  <c r="H366" i="24142"/>
  <c r="H432" i="23917"/>
  <c r="H367" i="24142"/>
  <c r="H433" i="23917"/>
  <c r="Q197" i="24142"/>
  <c r="Q135" i="23917"/>
  <c r="BG258" i="23917"/>
  <c r="BG220" i="23917"/>
  <c r="DN45" i="24142"/>
  <c r="DN54" i="23917"/>
  <c r="DR45" i="24142"/>
  <c r="DR54" i="23917"/>
  <c r="DN29" i="24142"/>
  <c r="DN37" i="23917"/>
  <c r="DL29" i="24142"/>
  <c r="DL37" i="23917"/>
  <c r="DT38" i="24142"/>
  <c r="DT47" i="23917"/>
  <c r="DV264" i="23917"/>
  <c r="DU264" i="23917"/>
  <c r="DU258" i="23917"/>
  <c r="DU220" i="23917"/>
  <c r="BI245" i="23917"/>
  <c r="BI219" i="23917"/>
  <c r="DI197" i="24142"/>
  <c r="DI135" i="23917"/>
  <c r="Z236" i="24142"/>
  <c r="Z172" i="23917"/>
  <c r="DV45" i="24142"/>
  <c r="DV54" i="23917"/>
  <c r="G205" i="24142"/>
  <c r="G143" i="23917"/>
  <c r="Y197" i="24142"/>
  <c r="Y135" i="23917"/>
  <c r="DK251" i="24142"/>
  <c r="DK185" i="23917"/>
  <c r="AA245" i="24142"/>
  <c r="AA181" i="23917"/>
  <c r="AA134" i="23917"/>
  <c r="Z247" i="24142"/>
  <c r="Z196" i="24142"/>
  <c r="DU310" i="23917"/>
  <c r="DV44" i="24142"/>
  <c r="DV53" i="23917"/>
  <c r="O201" i="24142"/>
  <c r="O139" i="23917"/>
  <c r="I393" i="24142"/>
  <c r="I459" i="23917"/>
  <c r="DT273" i="23917"/>
  <c r="DT221" i="23917"/>
  <c r="AB226" i="24142"/>
  <c r="AB164" i="23917"/>
  <c r="DV38" i="24142"/>
  <c r="DV47" i="23917"/>
  <c r="DV248" i="23917"/>
  <c r="DU248" i="23917"/>
  <c r="H362" i="24142"/>
  <c r="H428" i="23917"/>
  <c r="H396" i="24142"/>
  <c r="H462" i="23917"/>
  <c r="I197" i="24142"/>
  <c r="I135" i="23917"/>
  <c r="BG260" i="23917"/>
  <c r="BF260" i="23917"/>
  <c r="DN38" i="24142"/>
  <c r="DN47" i="23917"/>
  <c r="DR38" i="24142"/>
  <c r="DR47" i="23917"/>
  <c r="DT45" i="24142"/>
  <c r="DT54" i="23917"/>
  <c r="W205" i="24142"/>
  <c r="W143" i="23917"/>
  <c r="DN44" i="24142"/>
  <c r="DN53" i="23917"/>
  <c r="DR44" i="24142"/>
  <c r="DR53" i="23917"/>
  <c r="W201" i="24142"/>
  <c r="W139" i="23917"/>
  <c r="DX47" i="23917"/>
  <c r="DX38" i="24142"/>
  <c r="DW253" i="23917"/>
  <c r="BF274" i="23917"/>
  <c r="DW240" i="23917"/>
  <c r="BJ249" i="23917"/>
  <c r="BK240" i="23917"/>
  <c r="BJ250" i="23917"/>
  <c r="DV268" i="23917"/>
  <c r="DV310" i="23917"/>
  <c r="BI253" i="23917"/>
  <c r="BH264" i="23917"/>
  <c r="BH265" i="23917"/>
  <c r="BH263" i="23917"/>
  <c r="BH268" i="23917"/>
  <c r="EM494" i="24142" l="1"/>
  <c r="EJ275" i="24142"/>
  <c r="EJ340" i="23917"/>
  <c r="EM273" i="24142"/>
  <c r="EM338" i="23917"/>
  <c r="EL273" i="24142"/>
  <c r="EL338" i="23917"/>
  <c r="EK275" i="24142"/>
  <c r="EK340" i="23917"/>
  <c r="EL494" i="24142"/>
  <c r="EL17" i="24142"/>
  <c r="EL560" i="23917"/>
  <c r="EM560" i="23917"/>
  <c r="EI17" i="23917"/>
  <c r="EJ17" i="23917"/>
  <c r="EH342" i="23917"/>
  <c r="EH277" i="24142"/>
  <c r="EE12" i="24142"/>
  <c r="EE278" i="24142"/>
  <c r="EE343" i="23917"/>
  <c r="EE344" i="23917" s="1"/>
  <c r="EF341" i="23917"/>
  <c r="EF276" i="24142"/>
  <c r="EI342" i="23917"/>
  <c r="EI277" i="24142"/>
  <c r="EG341" i="23917"/>
  <c r="EG276" i="24142"/>
  <c r="Q368" i="24142"/>
  <c r="Q434" i="23917"/>
  <c r="X205" i="24142"/>
  <c r="X143" i="23917"/>
  <c r="BH258" i="23917"/>
  <c r="BH220" i="23917"/>
  <c r="I367" i="24142"/>
  <c r="I433" i="23917"/>
  <c r="I368" i="24142"/>
  <c r="I434" i="23917"/>
  <c r="X201" i="24142"/>
  <c r="X139" i="23917"/>
  <c r="I396" i="24142"/>
  <c r="I462" i="23917"/>
  <c r="I362" i="24142"/>
  <c r="I428" i="23917"/>
  <c r="BJ245" i="23917"/>
  <c r="BJ219" i="23917"/>
  <c r="Q363" i="24142"/>
  <c r="Q429" i="23917"/>
  <c r="DV245" i="23917"/>
  <c r="DV219" i="23917"/>
  <c r="AB245" i="24142"/>
  <c r="AB134" i="23917"/>
  <c r="AB181" i="23917"/>
  <c r="AB250" i="24142"/>
  <c r="AB184" i="23917"/>
  <c r="DV258" i="23917"/>
  <c r="DV220" i="23917"/>
  <c r="H205" i="24142"/>
  <c r="H143" i="23917"/>
  <c r="AB231" i="24142"/>
  <c r="AB169" i="23917"/>
  <c r="AB133" i="23917"/>
  <c r="AB237" i="24142"/>
  <c r="AB173" i="23917"/>
  <c r="AA247" i="24142"/>
  <c r="AA196" i="24142"/>
  <c r="BG277" i="23917"/>
  <c r="BF277" i="23917"/>
  <c r="BH310" i="23917"/>
  <c r="BI310" i="23917"/>
  <c r="Q367" i="24142"/>
  <c r="Q433" i="23917"/>
  <c r="DJ197" i="24142"/>
  <c r="DJ135" i="23917"/>
  <c r="Q396" i="24142"/>
  <c r="Q462" i="23917"/>
  <c r="Q362" i="24142"/>
  <c r="Q428" i="23917"/>
  <c r="DU221" i="23917"/>
  <c r="DU273" i="23917"/>
  <c r="Z197" i="24142"/>
  <c r="Z135" i="23917"/>
  <c r="DU29" i="24142"/>
  <c r="DU37" i="23917"/>
  <c r="BJ248" i="23917"/>
  <c r="Q366" i="24142"/>
  <c r="Q432" i="23917"/>
  <c r="I366" i="24142"/>
  <c r="I432" i="23917"/>
  <c r="I363" i="24142"/>
  <c r="I429" i="23917"/>
  <c r="AC240" i="24142"/>
  <c r="AC176" i="23917"/>
  <c r="AB251" i="24142"/>
  <c r="AB185" i="23917"/>
  <c r="DV260" i="23917"/>
  <c r="DU260" i="23917"/>
  <c r="H201" i="24142"/>
  <c r="H139" i="23917"/>
  <c r="AC226" i="24142"/>
  <c r="AC164" i="23917"/>
  <c r="DW29" i="24142"/>
  <c r="DW37" i="23917"/>
  <c r="DY29" i="24142"/>
  <c r="DY37" i="23917"/>
  <c r="BG273" i="23917"/>
  <c r="BG221" i="23917"/>
  <c r="BI268" i="23917"/>
  <c r="BG274" i="23917"/>
  <c r="DX253" i="23917"/>
  <c r="DW310" i="23917"/>
  <c r="DU274" i="23917"/>
  <c r="BL240" i="23917"/>
  <c r="BJ253" i="23917"/>
  <c r="DW268" i="23917"/>
  <c r="DX240" i="23917"/>
  <c r="EM340" i="23917" l="1"/>
  <c r="EM275" i="24142"/>
  <c r="EL275" i="24142"/>
  <c r="EL340" i="23917"/>
  <c r="EL17" i="23917"/>
  <c r="EK17" i="23917"/>
  <c r="EM17" i="23917"/>
  <c r="EK277" i="24142"/>
  <c r="EK342" i="23917"/>
  <c r="EM342" i="23917"/>
  <c r="EJ342" i="23917"/>
  <c r="EJ277" i="24142"/>
  <c r="EF12" i="24142"/>
  <c r="EF278" i="24142"/>
  <c r="EF343" i="23917"/>
  <c r="EG12" i="24142"/>
  <c r="EG278" i="24142"/>
  <c r="EG343" i="23917"/>
  <c r="EG344" i="23917" s="1"/>
  <c r="EH276" i="24142"/>
  <c r="EH341" i="23917"/>
  <c r="EI341" i="23917"/>
  <c r="EI276" i="24142"/>
  <c r="EE350" i="23917"/>
  <c r="EE284" i="24142"/>
  <c r="AB236" i="24142"/>
  <c r="AB172" i="23917"/>
  <c r="DX248" i="23917"/>
  <c r="DW248" i="23917"/>
  <c r="DV29" i="24142"/>
  <c r="DV37" i="23917"/>
  <c r="AA197" i="24142"/>
  <c r="AA135" i="23917"/>
  <c r="BI258" i="23917"/>
  <c r="BI220" i="23917"/>
  <c r="I205" i="24142"/>
  <c r="I143" i="23917"/>
  <c r="DV273" i="23917"/>
  <c r="DV221" i="23917"/>
  <c r="DV277" i="23917"/>
  <c r="DU277" i="23917"/>
  <c r="AC231" i="24142"/>
  <c r="AC169" i="23917"/>
  <c r="AC133" i="23917"/>
  <c r="I201" i="24142"/>
  <c r="I139" i="23917"/>
  <c r="DX264" i="23917"/>
  <c r="DW264" i="23917"/>
  <c r="AC245" i="24142"/>
  <c r="AC181" i="23917"/>
  <c r="AC134" i="23917"/>
  <c r="DI205" i="24142"/>
  <c r="DI143" i="23917"/>
  <c r="DX250" i="23917"/>
  <c r="DW250" i="23917"/>
  <c r="DX249" i="23917"/>
  <c r="DW249" i="23917"/>
  <c r="DW219" i="23917"/>
  <c r="DW245" i="23917"/>
  <c r="BI260" i="23917"/>
  <c r="BH260" i="23917"/>
  <c r="Q205" i="24142"/>
  <c r="Q143" i="23917"/>
  <c r="BK245" i="23917"/>
  <c r="BK219" i="23917"/>
  <c r="AD226" i="24142"/>
  <c r="AD164" i="23917"/>
  <c r="AB233" i="24142"/>
  <c r="AB195" i="24142"/>
  <c r="Q201" i="24142"/>
  <c r="Q139" i="23917"/>
  <c r="DX265" i="23917"/>
  <c r="DW265" i="23917"/>
  <c r="DX263" i="23917"/>
  <c r="DW263" i="23917"/>
  <c r="DW258" i="23917"/>
  <c r="DW220" i="23917"/>
  <c r="BH273" i="23917"/>
  <c r="BH221" i="23917"/>
  <c r="AD240" i="24142"/>
  <c r="AD176" i="23917"/>
  <c r="AB247" i="24142"/>
  <c r="AB196" i="24142"/>
  <c r="DI201" i="24142"/>
  <c r="DI139" i="23917"/>
  <c r="Y201" i="24142"/>
  <c r="Y139" i="23917"/>
  <c r="Y205" i="24142"/>
  <c r="Y143" i="23917"/>
  <c r="DZ29" i="24142"/>
  <c r="DZ37" i="23917"/>
  <c r="DX29" i="24142"/>
  <c r="DX37" i="23917"/>
  <c r="DY240" i="23917"/>
  <c r="BJ264" i="23917"/>
  <c r="BJ265" i="23917"/>
  <c r="BK253" i="23917"/>
  <c r="BJ263" i="23917"/>
  <c r="BJ268" i="23917"/>
  <c r="DW274" i="23917"/>
  <c r="DX268" i="23917"/>
  <c r="BM240" i="23917"/>
  <c r="BL250" i="23917"/>
  <c r="BL249" i="23917"/>
  <c r="DV274" i="23917"/>
  <c r="DX310" i="23917"/>
  <c r="DY253" i="23917"/>
  <c r="BH274" i="23917"/>
  <c r="CR250" i="23917" l="1"/>
  <c r="EM277" i="24142"/>
  <c r="EK276" i="24142"/>
  <c r="EK341" i="23917"/>
  <c r="EM341" i="23917"/>
  <c r="EL277" i="24142"/>
  <c r="EL342" i="23917"/>
  <c r="EJ341" i="23917"/>
  <c r="EJ276" i="24142"/>
  <c r="EH278" i="24142"/>
  <c r="EH343" i="23917"/>
  <c r="EH12" i="24142"/>
  <c r="EE12" i="23917"/>
  <c r="EF12" i="23917"/>
  <c r="EF350" i="23917"/>
  <c r="EF284" i="24142"/>
  <c r="EI12" i="24142"/>
  <c r="EI278" i="24142"/>
  <c r="EI343" i="23917"/>
  <c r="EI344" i="23917" s="1"/>
  <c r="EG350" i="23917"/>
  <c r="EG284" i="24142"/>
  <c r="DX260" i="23917"/>
  <c r="DW260" i="23917"/>
  <c r="Z201" i="24142"/>
  <c r="Z139" i="23917"/>
  <c r="AD251" i="24142"/>
  <c r="AD185" i="23917"/>
  <c r="AD250" i="24142"/>
  <c r="AD184" i="23917"/>
  <c r="AD245" i="24142"/>
  <c r="AD134" i="23917"/>
  <c r="AD181" i="23917"/>
  <c r="BL245" i="23917"/>
  <c r="BL219" i="23917"/>
  <c r="BL248" i="23917"/>
  <c r="AD231" i="24142"/>
  <c r="AD169" i="23917"/>
  <c r="AD133" i="23917"/>
  <c r="BJ258" i="23917"/>
  <c r="BJ220" i="23917"/>
  <c r="DJ201" i="24142"/>
  <c r="DJ139" i="23917"/>
  <c r="BJ310" i="23917"/>
  <c r="BK310" i="23917"/>
  <c r="DJ205" i="24142"/>
  <c r="DJ143" i="23917"/>
  <c r="DX258" i="23917"/>
  <c r="DX220" i="23917"/>
  <c r="Z205" i="24142"/>
  <c r="Z143" i="23917"/>
  <c r="AE240" i="24142"/>
  <c r="AE176" i="23917"/>
  <c r="BI277" i="23917"/>
  <c r="BH277" i="23917"/>
  <c r="AD237" i="24142"/>
  <c r="AD173" i="23917"/>
  <c r="AE226" i="24142"/>
  <c r="AE164" i="23917"/>
  <c r="DW221" i="23917"/>
  <c r="DW273" i="23917"/>
  <c r="AC247" i="24142"/>
  <c r="AC196" i="24142"/>
  <c r="AB197" i="24142"/>
  <c r="AB135" i="23917"/>
  <c r="DX245" i="23917"/>
  <c r="DX219" i="23917"/>
  <c r="BI273" i="23917"/>
  <c r="BI221" i="23917"/>
  <c r="DZ253" i="23917"/>
  <c r="DY264" i="23917"/>
  <c r="DX274" i="23917"/>
  <c r="DY268" i="23917"/>
  <c r="DZ240" i="23917"/>
  <c r="DY249" i="23917"/>
  <c r="DY250" i="23917"/>
  <c r="BI274" i="23917"/>
  <c r="DY310" i="23917"/>
  <c r="BJ274" i="23917"/>
  <c r="BK268" i="23917"/>
  <c r="BL253" i="23917"/>
  <c r="BN240" i="23917"/>
  <c r="CT250" i="23917" l="1"/>
  <c r="EM276" i="24142"/>
  <c r="EK278" i="24142"/>
  <c r="EK12" i="24142"/>
  <c r="EK343" i="23917"/>
  <c r="EK344" i="23917" s="1"/>
  <c r="EM12" i="24142"/>
  <c r="EL276" i="24142"/>
  <c r="EL341" i="23917"/>
  <c r="EJ278" i="24142"/>
  <c r="EJ12" i="24142"/>
  <c r="EJ343" i="23917"/>
  <c r="EI350" i="23917"/>
  <c r="EI284" i="24142"/>
  <c r="EG12" i="23917"/>
  <c r="EH12" i="23917"/>
  <c r="EH284" i="24142"/>
  <c r="EH350" i="23917"/>
  <c r="AD247" i="24142"/>
  <c r="AD196" i="24142"/>
  <c r="AF240" i="24142"/>
  <c r="AF176" i="23917"/>
  <c r="BK260" i="23917"/>
  <c r="BJ260" i="23917"/>
  <c r="BK258" i="23917"/>
  <c r="BK220" i="23917"/>
  <c r="BJ273" i="23917"/>
  <c r="BJ221" i="23917"/>
  <c r="DX277" i="23917"/>
  <c r="DW277" i="23917"/>
  <c r="AF226" i="24142"/>
  <c r="AF164" i="23917"/>
  <c r="DY219" i="23917"/>
  <c r="DY245" i="23917"/>
  <c r="DZ263" i="23917"/>
  <c r="DY263" i="23917"/>
  <c r="AA205" i="24142"/>
  <c r="AA143" i="23917"/>
  <c r="BM245" i="23917"/>
  <c r="BM219" i="23917"/>
  <c r="AE245" i="24142"/>
  <c r="AE181" i="23917"/>
  <c r="AE134" i="23917"/>
  <c r="AD236" i="24142"/>
  <c r="AD172" i="23917"/>
  <c r="AC197" i="24142"/>
  <c r="AC135" i="23917"/>
  <c r="DX273" i="23917"/>
  <c r="DX221" i="23917"/>
  <c r="AE231" i="24142"/>
  <c r="AE169" i="23917"/>
  <c r="AE133" i="23917"/>
  <c r="AD233" i="24142"/>
  <c r="AD195" i="24142"/>
  <c r="DZ248" i="23917"/>
  <c r="DY248" i="23917"/>
  <c r="DZ265" i="23917"/>
  <c r="DY265" i="23917"/>
  <c r="DY258" i="23917"/>
  <c r="DY220" i="23917"/>
  <c r="AA201" i="24142"/>
  <c r="AA139" i="23917"/>
  <c r="DZ310" i="23917"/>
  <c r="DZ268" i="23917"/>
  <c r="DZ249" i="23917"/>
  <c r="BN250" i="23917"/>
  <c r="BN249" i="23917"/>
  <c r="BO240" i="23917"/>
  <c r="BL264" i="23917"/>
  <c r="BM253" i="23917"/>
  <c r="BL265" i="23917"/>
  <c r="BL263" i="23917"/>
  <c r="BL268" i="23917"/>
  <c r="BK274" i="23917"/>
  <c r="EA240" i="23917"/>
  <c r="DZ264" i="23917"/>
  <c r="EA253" i="23917"/>
  <c r="DZ250" i="23917"/>
  <c r="CV250" i="23917" l="1"/>
  <c r="EM343" i="23917"/>
  <c r="EM278" i="24142"/>
  <c r="EK284" i="24142"/>
  <c r="EK350" i="23917"/>
  <c r="EM350" i="23917"/>
  <c r="EL278" i="24142"/>
  <c r="EL12" i="24142"/>
  <c r="EL343" i="23917"/>
  <c r="EI12" i="23917"/>
  <c r="EJ12" i="23917"/>
  <c r="EJ350" i="23917"/>
  <c r="EJ284" i="24142"/>
  <c r="AB205" i="24142"/>
  <c r="AB143" i="23917"/>
  <c r="AF250" i="24142"/>
  <c r="AF184" i="23917"/>
  <c r="AF251" i="24142"/>
  <c r="AF185" i="23917"/>
  <c r="AE247" i="24142"/>
  <c r="AE196" i="24142"/>
  <c r="DZ258" i="23917"/>
  <c r="DZ220" i="23917"/>
  <c r="DZ245" i="23917"/>
  <c r="DZ219" i="23917"/>
  <c r="AF237" i="24142"/>
  <c r="AF173" i="23917"/>
  <c r="AB201" i="24142"/>
  <c r="AB139" i="23917"/>
  <c r="AG240" i="24142"/>
  <c r="AG176" i="23917"/>
  <c r="AF245" i="24142"/>
  <c r="AF134" i="23917"/>
  <c r="AF181" i="23917"/>
  <c r="DZ260" i="23917"/>
  <c r="DY260" i="23917"/>
  <c r="AF231" i="24142"/>
  <c r="AF169" i="23917"/>
  <c r="AF133" i="23917"/>
  <c r="BL258" i="23917"/>
  <c r="BL220" i="23917"/>
  <c r="BN248" i="23917"/>
  <c r="BK277" i="23917"/>
  <c r="BJ277" i="23917"/>
  <c r="DY221" i="23917"/>
  <c r="DY273" i="23917"/>
  <c r="DY274" i="23917"/>
  <c r="BL310" i="23917"/>
  <c r="BM310" i="23917"/>
  <c r="AG226" i="24142"/>
  <c r="AG164" i="23917"/>
  <c r="BN245" i="23917"/>
  <c r="BN219" i="23917"/>
  <c r="AD197" i="24142"/>
  <c r="AD135" i="23917"/>
  <c r="BK273" i="23917"/>
  <c r="BK221" i="23917"/>
  <c r="BM268" i="23917"/>
  <c r="BL274" i="23917"/>
  <c r="BP240" i="23917"/>
  <c r="EA268" i="23917"/>
  <c r="EB240" i="23917"/>
  <c r="EB253" i="23917"/>
  <c r="BN253" i="23917"/>
  <c r="DZ274" i="23917"/>
  <c r="CX250" i="23917" l="1"/>
  <c r="EM284" i="24142"/>
  <c r="EL12" i="23917"/>
  <c r="EK12" i="23917"/>
  <c r="EM12" i="23917"/>
  <c r="EL284" i="24142"/>
  <c r="EL350" i="23917"/>
  <c r="AH226" i="24142"/>
  <c r="AH164" i="23917"/>
  <c r="DK231" i="24142"/>
  <c r="DK169" i="23917"/>
  <c r="DK133" i="23917"/>
  <c r="BM258" i="23917"/>
  <c r="BM220" i="23917"/>
  <c r="BM260" i="23917"/>
  <c r="BL260" i="23917"/>
  <c r="AF233" i="24142"/>
  <c r="AF195" i="24142"/>
  <c r="AG231" i="24142"/>
  <c r="AG169" i="23917"/>
  <c r="AG133" i="23917"/>
  <c r="AH240" i="24142"/>
  <c r="AH176" i="23917"/>
  <c r="AG245" i="24142"/>
  <c r="AG181" i="23917"/>
  <c r="AG134" i="23917"/>
  <c r="AE197" i="24142"/>
  <c r="AE135" i="23917"/>
  <c r="DZ273" i="23917"/>
  <c r="DZ221" i="23917"/>
  <c r="DZ277" i="23917"/>
  <c r="DY277" i="23917"/>
  <c r="DK245" i="24142"/>
  <c r="DK134" i="23917"/>
  <c r="DK181" i="23917"/>
  <c r="AF247" i="24142"/>
  <c r="AF196" i="24142"/>
  <c r="BO245" i="23917"/>
  <c r="BO219" i="23917"/>
  <c r="BL273" i="23917"/>
  <c r="BL221" i="23917"/>
  <c r="AF236" i="24142"/>
  <c r="AF172" i="23917"/>
  <c r="AC201" i="24142"/>
  <c r="AC139" i="23917"/>
  <c r="AC205" i="24142"/>
  <c r="AC143" i="23917"/>
  <c r="EB265" i="23917"/>
  <c r="EA265" i="23917"/>
  <c r="BO253" i="23917"/>
  <c r="BN264" i="23917"/>
  <c r="BN265" i="23917"/>
  <c r="BN263" i="23917"/>
  <c r="BN268" i="23917"/>
  <c r="EB268" i="23917"/>
  <c r="BQ240" i="23917"/>
  <c r="BP248" i="23917"/>
  <c r="BM274" i="23917"/>
  <c r="DA250" i="23917" l="1"/>
  <c r="CZ250" i="23917"/>
  <c r="AI240" i="24142"/>
  <c r="AI176" i="23917"/>
  <c r="BP245" i="23917"/>
  <c r="BP219" i="23917"/>
  <c r="BQ249" i="23917"/>
  <c r="BP249" i="23917"/>
  <c r="AG247" i="24142"/>
  <c r="AG196" i="24142"/>
  <c r="AH251" i="24142"/>
  <c r="AH185" i="23917"/>
  <c r="AH245" i="24142"/>
  <c r="AH134" i="23917"/>
  <c r="AH181" i="23917"/>
  <c r="BQ250" i="23917"/>
  <c r="BP250" i="23917"/>
  <c r="AF197" i="24142"/>
  <c r="AF135" i="23917"/>
  <c r="AH237" i="24142"/>
  <c r="AH173" i="23917"/>
  <c r="AH231" i="24142"/>
  <c r="AH169" i="23917"/>
  <c r="AH133" i="23917"/>
  <c r="AD201" i="24142"/>
  <c r="AD139" i="23917"/>
  <c r="DM240" i="24142"/>
  <c r="DM176" i="23917"/>
  <c r="BM277" i="23917"/>
  <c r="BL277" i="23917"/>
  <c r="DK233" i="24142"/>
  <c r="DK195" i="24142"/>
  <c r="DM226" i="24142"/>
  <c r="DM164" i="23917"/>
  <c r="AH250" i="24142"/>
  <c r="AH184" i="23917"/>
  <c r="AI226" i="24142"/>
  <c r="AI164" i="23917"/>
  <c r="AD205" i="24142"/>
  <c r="AD143" i="23917"/>
  <c r="DL245" i="24142"/>
  <c r="DL181" i="23917"/>
  <c r="DL134" i="23917"/>
  <c r="DK247" i="24142"/>
  <c r="DK196" i="24142"/>
  <c r="DL231" i="24142"/>
  <c r="DL169" i="23917"/>
  <c r="DL133" i="23917"/>
  <c r="BN258" i="23917"/>
  <c r="BN220" i="23917"/>
  <c r="BN310" i="23917"/>
  <c r="BO310" i="23917"/>
  <c r="BM273" i="23917"/>
  <c r="BM221" i="23917"/>
  <c r="BQ248" i="23917"/>
  <c r="BO268" i="23917"/>
  <c r="BP253" i="23917"/>
  <c r="BR240" i="23917"/>
  <c r="DN226" i="24142" l="1"/>
  <c r="DN164" i="23917"/>
  <c r="AG197" i="24142"/>
  <c r="AG135" i="23917"/>
  <c r="AI231" i="24142"/>
  <c r="AI169" i="23917"/>
  <c r="AI133" i="23917"/>
  <c r="AJ240" i="24142"/>
  <c r="AJ176" i="23917"/>
  <c r="DM237" i="24142"/>
  <c r="DM173" i="23917"/>
  <c r="AJ226" i="24142"/>
  <c r="AJ164" i="23917"/>
  <c r="AI245" i="24142"/>
  <c r="AI181" i="23917"/>
  <c r="AI134" i="23917"/>
  <c r="AH247" i="24142"/>
  <c r="AH196" i="24142"/>
  <c r="DK197" i="24142"/>
  <c r="DK135" i="23917"/>
  <c r="DK236" i="24142"/>
  <c r="DK172" i="23917"/>
  <c r="DM251" i="24142"/>
  <c r="DM185" i="23917"/>
  <c r="DN240" i="24142"/>
  <c r="DN176" i="23917"/>
  <c r="AE201" i="24142"/>
  <c r="AE139" i="23917"/>
  <c r="AH233" i="24142"/>
  <c r="AH195" i="24142"/>
  <c r="AH236" i="24142"/>
  <c r="AH172" i="23917"/>
  <c r="BO260" i="23917"/>
  <c r="BN260" i="23917"/>
  <c r="BO258" i="23917"/>
  <c r="BO220" i="23917"/>
  <c r="BN273" i="23917"/>
  <c r="BN221" i="23917"/>
  <c r="DM250" i="24142"/>
  <c r="DM184" i="23917"/>
  <c r="AE205" i="24142"/>
  <c r="AE143" i="23917"/>
  <c r="BQ219" i="23917"/>
  <c r="BQ245" i="23917"/>
  <c r="BQ253" i="23917"/>
  <c r="BP268" i="23917"/>
  <c r="BN274" i="23917"/>
  <c r="BR248" i="23917"/>
  <c r="BS240" i="23917"/>
  <c r="BS250" i="23917" l="1"/>
  <c r="BR250" i="23917"/>
  <c r="DL197" i="24142"/>
  <c r="DL135" i="23917"/>
  <c r="AK226" i="24142"/>
  <c r="AK164" i="23917"/>
  <c r="BQ264" i="23917"/>
  <c r="BP264" i="23917"/>
  <c r="AJ250" i="24142"/>
  <c r="AJ184" i="23917"/>
  <c r="BS249" i="23917"/>
  <c r="BR249" i="23917"/>
  <c r="AI247" i="24142"/>
  <c r="AI196" i="24142"/>
  <c r="AJ231" i="24142"/>
  <c r="AJ169" i="23917"/>
  <c r="AJ133" i="23917"/>
  <c r="AJ237" i="24142"/>
  <c r="AJ173" i="23917"/>
  <c r="BP258" i="23917"/>
  <c r="BP220" i="23917"/>
  <c r="BQ265" i="23917"/>
  <c r="BP265" i="23917"/>
  <c r="BQ263" i="23917"/>
  <c r="BP263" i="23917"/>
  <c r="BO273" i="23917"/>
  <c r="BO221" i="23917"/>
  <c r="AK240" i="24142"/>
  <c r="AK176" i="23917"/>
  <c r="AJ251" i="24142"/>
  <c r="AJ185" i="23917"/>
  <c r="AF201" i="24142"/>
  <c r="AF139" i="23917"/>
  <c r="BP310" i="23917"/>
  <c r="BQ310" i="23917"/>
  <c r="BR245" i="23917"/>
  <c r="BR219" i="23917"/>
  <c r="AH197" i="24142"/>
  <c r="AH135" i="23917"/>
  <c r="BO277" i="23917"/>
  <c r="BN277" i="23917"/>
  <c r="AJ245" i="24142"/>
  <c r="AJ134" i="23917"/>
  <c r="AJ181" i="23917"/>
  <c r="AF205" i="24142"/>
  <c r="AF143" i="23917"/>
  <c r="BR253" i="23917"/>
  <c r="BO274" i="23917"/>
  <c r="BT240" i="23917"/>
  <c r="BS248" i="23917"/>
  <c r="BQ268" i="23917"/>
  <c r="BP274" i="23917"/>
  <c r="AK245" i="24142" l="1"/>
  <c r="AK181" i="23917"/>
  <c r="AK134" i="23917"/>
  <c r="AJ236" i="24142"/>
  <c r="AJ172" i="23917"/>
  <c r="AI197" i="24142"/>
  <c r="AI135" i="23917"/>
  <c r="AK231" i="24142"/>
  <c r="AK169" i="23917"/>
  <c r="AK133" i="23917"/>
  <c r="AL240" i="24142"/>
  <c r="AL176" i="23917"/>
  <c r="AJ247" i="24142"/>
  <c r="AJ196" i="24142"/>
  <c r="BP273" i="23917"/>
  <c r="BP221" i="23917"/>
  <c r="AL226" i="24142"/>
  <c r="AL164" i="23917"/>
  <c r="AJ233" i="24142"/>
  <c r="AJ195" i="24142"/>
  <c r="BQ260" i="23917"/>
  <c r="BP260" i="23917"/>
  <c r="DK205" i="24142"/>
  <c r="DK143" i="23917"/>
  <c r="DK201" i="24142"/>
  <c r="DK139" i="23917"/>
  <c r="AG205" i="24142"/>
  <c r="AG143" i="23917"/>
  <c r="AG201" i="24142"/>
  <c r="AG139" i="23917"/>
  <c r="BS219" i="23917"/>
  <c r="BS245" i="23917"/>
  <c r="BQ220" i="23917"/>
  <c r="BQ258" i="23917"/>
  <c r="BQ274" i="23917"/>
  <c r="BT248" i="23917"/>
  <c r="BU240" i="23917"/>
  <c r="BS253" i="23917"/>
  <c r="BR268" i="23917"/>
  <c r="AJ197" i="24142" l="1"/>
  <c r="AJ135" i="23917"/>
  <c r="BS264" i="23917"/>
  <c r="BR264" i="23917"/>
  <c r="BS263" i="23917"/>
  <c r="BR263" i="23917"/>
  <c r="AL251" i="24142"/>
  <c r="AL185" i="23917"/>
  <c r="AL250" i="24142"/>
  <c r="AL184" i="23917"/>
  <c r="AL245" i="24142"/>
  <c r="AL134" i="23917"/>
  <c r="AL181" i="23917"/>
  <c r="AH205" i="24142"/>
  <c r="AH143" i="23917"/>
  <c r="AM226" i="24142"/>
  <c r="AM164" i="23917"/>
  <c r="BU249" i="23917"/>
  <c r="BT249" i="23917"/>
  <c r="BT245" i="23917"/>
  <c r="BT219" i="23917"/>
  <c r="BU250" i="23917"/>
  <c r="BT250" i="23917"/>
  <c r="AK247" i="24142"/>
  <c r="AK196" i="24142"/>
  <c r="DL201" i="24142"/>
  <c r="DL139" i="23917"/>
  <c r="DL205" i="24142"/>
  <c r="DL143" i="23917"/>
  <c r="BQ277" i="23917"/>
  <c r="BP277" i="23917"/>
  <c r="BR258" i="23917"/>
  <c r="BR220" i="23917"/>
  <c r="BS265" i="23917"/>
  <c r="BR265" i="23917"/>
  <c r="AM240" i="24142"/>
  <c r="AM176" i="23917"/>
  <c r="AH201" i="24142"/>
  <c r="AH139" i="23917"/>
  <c r="AL237" i="24142"/>
  <c r="AL173" i="23917"/>
  <c r="AL231" i="24142"/>
  <c r="AL169" i="23917"/>
  <c r="AL133" i="23917"/>
  <c r="BR310" i="23917"/>
  <c r="BS310" i="23917"/>
  <c r="BQ273" i="23917"/>
  <c r="BQ221" i="23917"/>
  <c r="BS268" i="23917"/>
  <c r="BU248" i="23917"/>
  <c r="BT253" i="23917"/>
  <c r="BV240" i="23917"/>
  <c r="CY250" i="23917" l="1"/>
  <c r="CP250" i="23917"/>
  <c r="CP249" i="23917"/>
  <c r="AM231" i="24142"/>
  <c r="AM169" i="23917"/>
  <c r="AM133" i="23917"/>
  <c r="AL233" i="24142"/>
  <c r="AL195" i="24142"/>
  <c r="BS260" i="23917"/>
  <c r="BR260" i="23917"/>
  <c r="AN240" i="24142"/>
  <c r="AN176" i="23917"/>
  <c r="BR274" i="23917"/>
  <c r="BR273" i="23917"/>
  <c r="BR221" i="23917"/>
  <c r="AI201" i="24142"/>
  <c r="AI139" i="23917"/>
  <c r="AN226" i="24142"/>
  <c r="AN164" i="23917"/>
  <c r="AM245" i="24142"/>
  <c r="AM181" i="23917"/>
  <c r="AM134" i="23917"/>
  <c r="AL247" i="24142"/>
  <c r="AL196" i="24142"/>
  <c r="AK197" i="24142"/>
  <c r="AK135" i="23917"/>
  <c r="AI205" i="24142"/>
  <c r="AI143" i="23917"/>
  <c r="BU219" i="23917"/>
  <c r="BU245" i="23917"/>
  <c r="BS220" i="23917"/>
  <c r="BS258" i="23917"/>
  <c r="BS274" i="23917"/>
  <c r="BV248" i="23917"/>
  <c r="BW240" i="23917"/>
  <c r="BU253" i="23917"/>
  <c r="BT268" i="23917"/>
  <c r="CR249" i="23917" l="1"/>
  <c r="AN250" i="24142"/>
  <c r="AN184" i="23917"/>
  <c r="AN251" i="24142"/>
  <c r="AN185" i="23917"/>
  <c r="BU263" i="23917"/>
  <c r="BT263" i="23917"/>
  <c r="AJ201" i="24142"/>
  <c r="AJ139" i="23917"/>
  <c r="AO240" i="24142"/>
  <c r="AO176" i="23917"/>
  <c r="AN245" i="24142"/>
  <c r="AN134" i="23917"/>
  <c r="AN181" i="23917"/>
  <c r="AM247" i="24142"/>
  <c r="AM196" i="24142"/>
  <c r="BU265" i="23917"/>
  <c r="BT265" i="23917"/>
  <c r="BU264" i="23917"/>
  <c r="BT264" i="23917"/>
  <c r="AL197" i="24142"/>
  <c r="AL135" i="23917"/>
  <c r="BW250" i="23917"/>
  <c r="BV250" i="23917"/>
  <c r="BV245" i="23917"/>
  <c r="BV219" i="23917"/>
  <c r="BS277" i="23917"/>
  <c r="BR277" i="23917"/>
  <c r="AO226" i="24142"/>
  <c r="AO164" i="23917"/>
  <c r="AN231" i="24142"/>
  <c r="AN169" i="23917"/>
  <c r="AN133" i="23917"/>
  <c r="AL236" i="24142"/>
  <c r="AL172" i="23917"/>
  <c r="BT310" i="23917"/>
  <c r="BU310" i="23917"/>
  <c r="AJ205" i="24142"/>
  <c r="AJ143" i="23917"/>
  <c r="BT258" i="23917"/>
  <c r="BT220" i="23917"/>
  <c r="BW249" i="23917"/>
  <c r="BV249" i="23917"/>
  <c r="AN237" i="24142"/>
  <c r="AN173" i="23917"/>
  <c r="BS273" i="23917"/>
  <c r="BS221" i="23917"/>
  <c r="BV253" i="23917"/>
  <c r="BU268" i="23917"/>
  <c r="BX240" i="23917"/>
  <c r="BW248" i="23917"/>
  <c r="CT249" i="23917" l="1"/>
  <c r="AO231" i="24142"/>
  <c r="AO169" i="23917"/>
  <c r="AO133" i="23917"/>
  <c r="AM197" i="24142"/>
  <c r="AM135" i="23917"/>
  <c r="AP240" i="24142"/>
  <c r="AP176" i="23917"/>
  <c r="AN247" i="24142"/>
  <c r="AN196" i="24142"/>
  <c r="AO245" i="24142"/>
  <c r="AO181" i="23917"/>
  <c r="AO134" i="23917"/>
  <c r="AN236" i="24142"/>
  <c r="AN172" i="23917"/>
  <c r="AK205" i="24142"/>
  <c r="AK143" i="23917"/>
  <c r="AK201" i="24142"/>
  <c r="AK139" i="23917"/>
  <c r="AN233" i="24142"/>
  <c r="AN195" i="24142"/>
  <c r="AP226" i="24142"/>
  <c r="AP164" i="23917"/>
  <c r="DM231" i="24142"/>
  <c r="DM169" i="23917"/>
  <c r="DM133" i="23917"/>
  <c r="BT273" i="23917"/>
  <c r="BT221" i="23917"/>
  <c r="DM245" i="24142"/>
  <c r="DM134" i="23917"/>
  <c r="DM181" i="23917"/>
  <c r="BU260" i="23917"/>
  <c r="BT260" i="23917"/>
  <c r="BU220" i="23917"/>
  <c r="BU258" i="23917"/>
  <c r="BW219" i="23917"/>
  <c r="BW245" i="23917"/>
  <c r="BW253" i="23917"/>
  <c r="BV268" i="23917"/>
  <c r="BY240" i="23917"/>
  <c r="BX248" i="23917"/>
  <c r="BT274" i="23917"/>
  <c r="CV249" i="23917" l="1"/>
  <c r="DO240" i="24142"/>
  <c r="DO176" i="23917"/>
  <c r="DN245" i="24142"/>
  <c r="DN181" i="23917"/>
  <c r="DN134" i="23917"/>
  <c r="AL201" i="24142"/>
  <c r="AL139" i="23917"/>
  <c r="DN231" i="24142"/>
  <c r="DN169" i="23917"/>
  <c r="DN133" i="23917"/>
  <c r="BX245" i="23917"/>
  <c r="BX219" i="23917"/>
  <c r="BY250" i="23917"/>
  <c r="BX250" i="23917"/>
  <c r="BW264" i="23917"/>
  <c r="BV264" i="23917"/>
  <c r="BV258" i="23917"/>
  <c r="BV220" i="23917"/>
  <c r="AN197" i="24142"/>
  <c r="AN135" i="23917"/>
  <c r="AP237" i="24142"/>
  <c r="AP173" i="23917"/>
  <c r="AQ240" i="24142"/>
  <c r="AQ176" i="23917"/>
  <c r="AP250" i="24142"/>
  <c r="AP184" i="23917"/>
  <c r="BV310" i="23917"/>
  <c r="BW310" i="23917"/>
  <c r="DM247" i="24142"/>
  <c r="DM196" i="24142"/>
  <c r="AL205" i="24142"/>
  <c r="AL143" i="23917"/>
  <c r="DO226" i="24142"/>
  <c r="DO164" i="23917"/>
  <c r="DM233" i="24142"/>
  <c r="DM195" i="24142"/>
  <c r="AO247" i="24142"/>
  <c r="AO196" i="24142"/>
  <c r="BU277" i="23917"/>
  <c r="BT277" i="23917"/>
  <c r="BY249" i="23917"/>
  <c r="BX249" i="23917"/>
  <c r="BW263" i="23917"/>
  <c r="BV263" i="23917"/>
  <c r="BW265" i="23917"/>
  <c r="BV265" i="23917"/>
  <c r="AQ226" i="24142"/>
  <c r="AQ164" i="23917"/>
  <c r="AP231" i="24142"/>
  <c r="AP169" i="23917"/>
  <c r="AP133" i="23917"/>
  <c r="AP251" i="24142"/>
  <c r="AP185" i="23917"/>
  <c r="AP245" i="24142"/>
  <c r="AP134" i="23917"/>
  <c r="AP181" i="23917"/>
  <c r="BU273" i="23917"/>
  <c r="BU221" i="23917"/>
  <c r="BY248" i="23917"/>
  <c r="BV274" i="23917"/>
  <c r="BW268" i="23917"/>
  <c r="BU274" i="23917"/>
  <c r="BZ240" i="23917"/>
  <c r="BX253" i="23917"/>
  <c r="CY249" i="23917" l="1"/>
  <c r="CX249" i="23917"/>
  <c r="DM197" i="24142"/>
  <c r="DM135" i="23917"/>
  <c r="DM236" i="24142"/>
  <c r="DM172" i="23917"/>
  <c r="DO251" i="24142"/>
  <c r="DO185" i="23917"/>
  <c r="BW260" i="23917"/>
  <c r="BV260" i="23917"/>
  <c r="AR240" i="24142"/>
  <c r="AR176" i="23917"/>
  <c r="DO250" i="24142"/>
  <c r="DO184" i="23917"/>
  <c r="DP240" i="24142"/>
  <c r="DP176" i="23917"/>
  <c r="AQ245" i="24142"/>
  <c r="AQ181" i="23917"/>
  <c r="AQ134" i="23917"/>
  <c r="AP247" i="24142"/>
  <c r="AP196" i="24142"/>
  <c r="AO197" i="24142"/>
  <c r="AO135" i="23917"/>
  <c r="BV273" i="23917"/>
  <c r="BV221" i="23917"/>
  <c r="DO237" i="24142"/>
  <c r="DO173" i="23917"/>
  <c r="AQ231" i="24142"/>
  <c r="AQ169" i="23917"/>
  <c r="AQ133" i="23917"/>
  <c r="AP233" i="24142"/>
  <c r="AP195" i="24142"/>
  <c r="AM205" i="24142"/>
  <c r="AM143" i="23917"/>
  <c r="AM201" i="24142"/>
  <c r="AM139" i="23917"/>
  <c r="DP226" i="24142"/>
  <c r="DP164" i="23917"/>
  <c r="AR226" i="24142"/>
  <c r="AR164" i="23917"/>
  <c r="BW220" i="23917"/>
  <c r="BW258" i="23917"/>
  <c r="CA240" i="23917"/>
  <c r="BY219" i="23917"/>
  <c r="BY245" i="23917"/>
  <c r="BZ249" i="23917"/>
  <c r="BZ250" i="23917"/>
  <c r="BW274" i="23917"/>
  <c r="BY253" i="23917"/>
  <c r="BX268" i="23917"/>
  <c r="DA249" i="23917" l="1"/>
  <c r="CZ249" i="23917"/>
  <c r="AS226" i="24142"/>
  <c r="AS164" i="23917"/>
  <c r="AN205" i="24142"/>
  <c r="AN143" i="23917"/>
  <c r="AR245" i="24142"/>
  <c r="AR134" i="23917"/>
  <c r="AR181" i="23917"/>
  <c r="BY265" i="23917"/>
  <c r="BX265" i="23917"/>
  <c r="BY263" i="23917"/>
  <c r="BX263" i="23917"/>
  <c r="AR231" i="24142"/>
  <c r="AR169" i="23917"/>
  <c r="AR133" i="23917"/>
  <c r="AR237" i="24142"/>
  <c r="AR173" i="23917"/>
  <c r="BW277" i="23917"/>
  <c r="BV277" i="23917"/>
  <c r="AN201" i="24142"/>
  <c r="AN139" i="23917"/>
  <c r="AS240" i="24142"/>
  <c r="AS176" i="23917"/>
  <c r="AR251" i="24142"/>
  <c r="AR185" i="23917"/>
  <c r="BX258" i="23917"/>
  <c r="BX220" i="23917"/>
  <c r="BY264" i="23917"/>
  <c r="BX264" i="23917"/>
  <c r="AP236" i="24142"/>
  <c r="AP172" i="23917"/>
  <c r="AQ247" i="24142"/>
  <c r="AQ196" i="24142"/>
  <c r="BZ245" i="23917"/>
  <c r="BZ219" i="23917"/>
  <c r="BZ248" i="23917"/>
  <c r="AP197" i="24142"/>
  <c r="AP135" i="23917"/>
  <c r="BX310" i="23917"/>
  <c r="AR250" i="24142"/>
  <c r="AR184" i="23917"/>
  <c r="DN197" i="24142"/>
  <c r="DN135" i="23917"/>
  <c r="CA249" i="23917"/>
  <c r="CA250" i="23917"/>
  <c r="BW273" i="23917"/>
  <c r="BW221" i="23917"/>
  <c r="CA245" i="23917"/>
  <c r="CB240" i="23917"/>
  <c r="BY268" i="23917"/>
  <c r="BZ253" i="23917"/>
  <c r="CA219" i="23917" l="1"/>
  <c r="DM205" i="24142"/>
  <c r="DM143" i="23917"/>
  <c r="DM201" i="24142"/>
  <c r="DM139" i="23917"/>
  <c r="BY260" i="23917"/>
  <c r="BX260" i="23917"/>
  <c r="BX273" i="23917"/>
  <c r="BX221" i="23917"/>
  <c r="AT240" i="24142"/>
  <c r="AT176" i="23917"/>
  <c r="AR247" i="24142"/>
  <c r="AR196" i="24142"/>
  <c r="AT226" i="24142"/>
  <c r="AT164" i="23917"/>
  <c r="AR233" i="24142"/>
  <c r="AR195" i="24142"/>
  <c r="BY310" i="23917"/>
  <c r="AO201" i="24142"/>
  <c r="AO139" i="23917"/>
  <c r="AQ197" i="24142"/>
  <c r="AQ135" i="23917"/>
  <c r="AS245" i="24142"/>
  <c r="AS181" i="23917"/>
  <c r="AS134" i="23917"/>
  <c r="AS231" i="24142"/>
  <c r="AS169" i="23917"/>
  <c r="AS133" i="23917"/>
  <c r="AR236" i="24142"/>
  <c r="AR172" i="23917"/>
  <c r="AO205" i="24142"/>
  <c r="AO143" i="23917"/>
  <c r="CA248" i="23917"/>
  <c r="CA253" i="23917"/>
  <c r="BY220" i="23917"/>
  <c r="BY258" i="23917"/>
  <c r="CC240" i="23917"/>
  <c r="CB248" i="23917"/>
  <c r="BZ265" i="23917"/>
  <c r="BZ263" i="23917"/>
  <c r="BZ264" i="23917"/>
  <c r="BZ268" i="23917"/>
  <c r="BX274" i="23917"/>
  <c r="BZ258" i="23917" l="1"/>
  <c r="BZ220" i="23917"/>
  <c r="AS247" i="24142"/>
  <c r="AS196" i="24142"/>
  <c r="AT237" i="24142"/>
  <c r="AT173" i="23917"/>
  <c r="AU226" i="24142"/>
  <c r="AU164" i="23917"/>
  <c r="AT251" i="24142"/>
  <c r="AT185" i="23917"/>
  <c r="AT250" i="24142"/>
  <c r="AT184" i="23917"/>
  <c r="AT245" i="24142"/>
  <c r="AT134" i="23917"/>
  <c r="AT181" i="23917"/>
  <c r="AP201" i="24142"/>
  <c r="AP139" i="23917"/>
  <c r="BZ310" i="23917"/>
  <c r="DN201" i="24142"/>
  <c r="DN139" i="23917"/>
  <c r="AR197" i="24142"/>
  <c r="AR135" i="23917"/>
  <c r="BY277" i="23917"/>
  <c r="BX277" i="23917"/>
  <c r="AT231" i="24142"/>
  <c r="AT169" i="23917"/>
  <c r="AT133" i="23917"/>
  <c r="AU240" i="24142"/>
  <c r="AU176" i="23917"/>
  <c r="AP205" i="24142"/>
  <c r="AP143" i="23917"/>
  <c r="DN205" i="24142"/>
  <c r="DN143" i="23917"/>
  <c r="CA263" i="23917"/>
  <c r="CA268" i="23917"/>
  <c r="CA265" i="23917"/>
  <c r="CA264" i="23917"/>
  <c r="CB245" i="23917"/>
  <c r="CB219" i="23917"/>
  <c r="CC250" i="23917"/>
  <c r="CB250" i="23917"/>
  <c r="CC249" i="23917"/>
  <c r="CB249" i="23917"/>
  <c r="BY273" i="23917"/>
  <c r="BY221" i="23917"/>
  <c r="CA260" i="23917"/>
  <c r="BY274" i="23917"/>
  <c r="CB253" i="23917"/>
  <c r="BZ260" i="23917"/>
  <c r="CC248" i="23917"/>
  <c r="CD240" i="23917"/>
  <c r="CA258" i="23917" l="1"/>
  <c r="CA221" i="23917"/>
  <c r="AU245" i="24142"/>
  <c r="AU181" i="23917"/>
  <c r="AU134" i="23917"/>
  <c r="AT236" i="24142"/>
  <c r="AT172" i="23917"/>
  <c r="AV240" i="24142"/>
  <c r="AV176" i="23917"/>
  <c r="BZ274" i="23917"/>
  <c r="BZ273" i="23917"/>
  <c r="BZ221" i="23917"/>
  <c r="AS197" i="24142"/>
  <c r="AS135" i="23917"/>
  <c r="AV226" i="24142"/>
  <c r="AV164" i="23917"/>
  <c r="CA220" i="23917"/>
  <c r="AT247" i="24142"/>
  <c r="AT196" i="24142"/>
  <c r="AU231" i="24142"/>
  <c r="AU169" i="23917"/>
  <c r="AU133" i="23917"/>
  <c r="AT233" i="24142"/>
  <c r="AT195" i="24142"/>
  <c r="CA310" i="23917"/>
  <c r="AQ205" i="24142"/>
  <c r="AQ143" i="23917"/>
  <c r="AQ201" i="24142"/>
  <c r="AQ139" i="23917"/>
  <c r="CC219" i="23917"/>
  <c r="CC245" i="23917"/>
  <c r="CA273" i="23917"/>
  <c r="CD248" i="23917"/>
  <c r="CE240" i="23917"/>
  <c r="BZ277" i="23917"/>
  <c r="CC253" i="23917"/>
  <c r="CB268" i="23917"/>
  <c r="CA274" i="23917" l="1"/>
  <c r="CA277" i="23917"/>
  <c r="AV245" i="24142"/>
  <c r="AV134" i="23917"/>
  <c r="AV181" i="23917"/>
  <c r="AV250" i="24142"/>
  <c r="AV184" i="23917"/>
  <c r="AW240" i="24142"/>
  <c r="AW176" i="23917"/>
  <c r="AV251" i="24142"/>
  <c r="AV185" i="23917"/>
  <c r="AW226" i="24142"/>
  <c r="AW164" i="23917"/>
  <c r="AV231" i="24142"/>
  <c r="AV169" i="23917"/>
  <c r="AV133" i="23917"/>
  <c r="AR201" i="24142"/>
  <c r="AR139" i="23917"/>
  <c r="AT197" i="24142"/>
  <c r="AT135" i="23917"/>
  <c r="AU247" i="24142"/>
  <c r="AU196" i="24142"/>
  <c r="AV237" i="24142"/>
  <c r="AV173" i="23917"/>
  <c r="AR205" i="24142"/>
  <c r="AR143" i="23917"/>
  <c r="CB310" i="23917"/>
  <c r="CC310" i="23917"/>
  <c r="CB258" i="23917"/>
  <c r="CB220" i="23917"/>
  <c r="CC264" i="23917"/>
  <c r="CB264" i="23917"/>
  <c r="CC265" i="23917"/>
  <c r="CB265" i="23917"/>
  <c r="CC263" i="23917"/>
  <c r="CB263" i="23917"/>
  <c r="CE250" i="23917"/>
  <c r="CD250" i="23917"/>
  <c r="CD245" i="23917"/>
  <c r="CD219" i="23917"/>
  <c r="CE249" i="23917"/>
  <c r="CD249" i="23917"/>
  <c r="CC268" i="23917"/>
  <c r="CD253" i="23917"/>
  <c r="CE248" i="23917"/>
  <c r="CF240" i="23917"/>
  <c r="AX226" i="24142" l="1"/>
  <c r="AX164" i="23917"/>
  <c r="AW231" i="24142"/>
  <c r="AW169" i="23917"/>
  <c r="AW133" i="23917"/>
  <c r="AX240" i="24142"/>
  <c r="AX176" i="23917"/>
  <c r="AV247" i="24142"/>
  <c r="AV196" i="24142"/>
  <c r="AV236" i="24142"/>
  <c r="AV172" i="23917"/>
  <c r="AV233" i="24142"/>
  <c r="AV195" i="24142"/>
  <c r="DO231" i="24142"/>
  <c r="DO169" i="23917"/>
  <c r="DO133" i="23917"/>
  <c r="DO245" i="24142"/>
  <c r="DO134" i="23917"/>
  <c r="DO181" i="23917"/>
  <c r="AW245" i="24142"/>
  <c r="AW181" i="23917"/>
  <c r="AW134" i="23917"/>
  <c r="AS205" i="24142"/>
  <c r="AS143" i="23917"/>
  <c r="AS201" i="24142"/>
  <c r="AS139" i="23917"/>
  <c r="AU197" i="24142"/>
  <c r="AU135" i="23917"/>
  <c r="CC220" i="23917"/>
  <c r="CC258" i="23917"/>
  <c r="CC260" i="23917"/>
  <c r="CB260" i="23917"/>
  <c r="CB273" i="23917"/>
  <c r="CB221" i="23917"/>
  <c r="CE219" i="23917"/>
  <c r="CE245" i="23917"/>
  <c r="CG240" i="23917"/>
  <c r="CF248" i="23917"/>
  <c r="CB274" i="23917"/>
  <c r="CE253" i="23917"/>
  <c r="CD268" i="23917"/>
  <c r="AT205" i="24142" l="1"/>
  <c r="AT143" i="23917"/>
  <c r="AT201" i="24142"/>
  <c r="AT139" i="23917"/>
  <c r="DQ240" i="24142"/>
  <c r="DQ176" i="23917"/>
  <c r="DQ226" i="24142"/>
  <c r="DQ164" i="23917"/>
  <c r="AX245" i="24142"/>
  <c r="AX134" i="23917"/>
  <c r="AX181" i="23917"/>
  <c r="AY240" i="24142"/>
  <c r="AY176" i="23917"/>
  <c r="AY226" i="24142"/>
  <c r="AY164" i="23917"/>
  <c r="CD310" i="23917"/>
  <c r="CE310" i="23917"/>
  <c r="DP245" i="24142"/>
  <c r="DP181" i="23917"/>
  <c r="DP134" i="23917"/>
  <c r="DO247" i="24142"/>
  <c r="DO196" i="24142"/>
  <c r="DO233" i="24142"/>
  <c r="DO195" i="24142"/>
  <c r="DP231" i="24142"/>
  <c r="DP169" i="23917"/>
  <c r="DP133" i="23917"/>
  <c r="AW247" i="24142"/>
  <c r="AW196" i="24142"/>
  <c r="AX251" i="24142"/>
  <c r="AX185" i="23917"/>
  <c r="AX250" i="24142"/>
  <c r="AX184" i="23917"/>
  <c r="AV197" i="24142"/>
  <c r="AV135" i="23917"/>
  <c r="AX237" i="24142"/>
  <c r="AX173" i="23917"/>
  <c r="AX231" i="24142"/>
  <c r="AX169" i="23917"/>
  <c r="AX133" i="23917"/>
  <c r="CD258" i="23917"/>
  <c r="CD220" i="23917"/>
  <c r="CE265" i="23917"/>
  <c r="CD265" i="23917"/>
  <c r="CC277" i="23917"/>
  <c r="CB277" i="23917"/>
  <c r="CC221" i="23917"/>
  <c r="CC273" i="23917"/>
  <c r="CE264" i="23917"/>
  <c r="CD264" i="23917"/>
  <c r="CE263" i="23917"/>
  <c r="CD263" i="23917"/>
  <c r="CG250" i="23917"/>
  <c r="CF250" i="23917"/>
  <c r="CG249" i="23917"/>
  <c r="CF249" i="23917"/>
  <c r="CF245" i="23917"/>
  <c r="CF219" i="23917"/>
  <c r="CC274" i="23917"/>
  <c r="CH240" i="23917"/>
  <c r="CF253" i="23917"/>
  <c r="CG248" i="23917"/>
  <c r="CE268" i="23917"/>
  <c r="AZ226" i="24142" l="1"/>
  <c r="AZ164" i="23917"/>
  <c r="AY231" i="24142"/>
  <c r="AY169" i="23917"/>
  <c r="AY133" i="23917"/>
  <c r="AX233" i="24142"/>
  <c r="AX195" i="24142"/>
  <c r="DQ251" i="24142"/>
  <c r="DQ185" i="23917"/>
  <c r="DO197" i="24142"/>
  <c r="DO135" i="23917"/>
  <c r="AZ240" i="24142"/>
  <c r="AZ176" i="23917"/>
  <c r="DR226" i="24142"/>
  <c r="DR164" i="23917"/>
  <c r="AU201" i="24142"/>
  <c r="AU139" i="23917"/>
  <c r="DO236" i="24142"/>
  <c r="DO172" i="23917"/>
  <c r="DQ250" i="24142"/>
  <c r="DQ184" i="23917"/>
  <c r="DR240" i="24142"/>
  <c r="DR176" i="23917"/>
  <c r="AY245" i="24142"/>
  <c r="AY181" i="23917"/>
  <c r="AY134" i="23917"/>
  <c r="AX247" i="24142"/>
  <c r="AX196" i="24142"/>
  <c r="AW197" i="24142"/>
  <c r="AW135" i="23917"/>
  <c r="AX236" i="24142"/>
  <c r="AX172" i="23917"/>
  <c r="DQ237" i="24142"/>
  <c r="DQ173" i="23917"/>
  <c r="AU205" i="24142"/>
  <c r="AU143" i="23917"/>
  <c r="CE260" i="23917"/>
  <c r="CD260" i="23917"/>
  <c r="CD274" i="23917"/>
  <c r="CD273" i="23917"/>
  <c r="CD221" i="23917"/>
  <c r="CE220" i="23917"/>
  <c r="CE258" i="23917"/>
  <c r="CG219" i="23917"/>
  <c r="CG245" i="23917"/>
  <c r="CG253" i="23917"/>
  <c r="CF268" i="23917"/>
  <c r="CH248" i="23917"/>
  <c r="CH249" i="23917"/>
  <c r="CI240" i="23917"/>
  <c r="CH250" i="23917"/>
  <c r="AZ251" i="24142" l="1"/>
  <c r="AZ185" i="23917"/>
  <c r="AZ245" i="24142"/>
  <c r="AZ134" i="23917"/>
  <c r="AZ181" i="23917"/>
  <c r="AZ250" i="24142"/>
  <c r="AZ184" i="23917"/>
  <c r="BA240" i="24142"/>
  <c r="BA176" i="23917"/>
  <c r="AV201" i="24142"/>
  <c r="AV139" i="23917"/>
  <c r="BA226" i="24142"/>
  <c r="BA164" i="23917"/>
  <c r="AX197" i="24142"/>
  <c r="AX135" i="23917"/>
  <c r="AV205" i="24142"/>
  <c r="AV143" i="23917"/>
  <c r="DP197" i="24142"/>
  <c r="DP135" i="23917"/>
  <c r="AZ231" i="24142"/>
  <c r="AZ169" i="23917"/>
  <c r="AZ133" i="23917"/>
  <c r="AZ237" i="24142"/>
  <c r="AZ173" i="23917"/>
  <c r="AY247" i="24142"/>
  <c r="AY196" i="24142"/>
  <c r="CF310" i="23917"/>
  <c r="CG310" i="23917"/>
  <c r="CE274" i="23917"/>
  <c r="CH245" i="23917"/>
  <c r="CH219" i="23917"/>
  <c r="CG265" i="23917"/>
  <c r="CF265" i="23917"/>
  <c r="CE277" i="23917"/>
  <c r="CD277" i="23917"/>
  <c r="CE273" i="23917"/>
  <c r="CE221" i="23917"/>
  <c r="CG264" i="23917"/>
  <c r="CF264" i="23917"/>
  <c r="CF258" i="23917"/>
  <c r="CF220" i="23917"/>
  <c r="CG263" i="23917"/>
  <c r="CF263" i="23917"/>
  <c r="CH253" i="23917"/>
  <c r="CQ250" i="23917"/>
  <c r="CI250" i="23917"/>
  <c r="CQ249" i="23917"/>
  <c r="CI249" i="23917"/>
  <c r="CG268" i="23917"/>
  <c r="CJ240" i="23917"/>
  <c r="CI248" i="23917"/>
  <c r="AZ236" i="24142" l="1"/>
  <c r="AZ172" i="23917"/>
  <c r="DO205" i="24142"/>
  <c r="DO143" i="23917"/>
  <c r="AY197" i="24142"/>
  <c r="AY135" i="23917"/>
  <c r="BA231" i="24142"/>
  <c r="BA169" i="23917"/>
  <c r="BA133" i="23917"/>
  <c r="AZ247" i="24142"/>
  <c r="AZ196" i="24142"/>
  <c r="AW205" i="24142"/>
  <c r="AW143" i="23917"/>
  <c r="DO201" i="24142"/>
  <c r="DO139" i="23917"/>
  <c r="BB226" i="24142"/>
  <c r="BB164" i="23917"/>
  <c r="AZ233" i="24142"/>
  <c r="AZ195" i="24142"/>
  <c r="BB240" i="24142"/>
  <c r="BB176" i="23917"/>
  <c r="BA245" i="24142"/>
  <c r="BA181" i="23917"/>
  <c r="BA134" i="23917"/>
  <c r="AW201" i="24142"/>
  <c r="AW139" i="23917"/>
  <c r="CI219" i="23917"/>
  <c r="CI245" i="23917"/>
  <c r="CF273" i="23917"/>
  <c r="CF221" i="23917"/>
  <c r="CG220" i="23917"/>
  <c r="CG258" i="23917"/>
  <c r="CG260" i="23917"/>
  <c r="CF260" i="23917"/>
  <c r="CK240" i="23917"/>
  <c r="CJ248" i="23917"/>
  <c r="CJ249" i="23917"/>
  <c r="CJ250" i="23917"/>
  <c r="CF274" i="23917"/>
  <c r="CI253" i="23917"/>
  <c r="CH268" i="23917"/>
  <c r="BC240" i="24142" l="1"/>
  <c r="BC176" i="23917"/>
  <c r="BB251" i="24142"/>
  <c r="BB185" i="23917"/>
  <c r="BB237" i="24142"/>
  <c r="BB173" i="23917"/>
  <c r="BC226" i="24142"/>
  <c r="BC164" i="23917"/>
  <c r="AX201" i="24142"/>
  <c r="AX139" i="23917"/>
  <c r="AZ197" i="24142"/>
  <c r="AZ135" i="23917"/>
  <c r="BA247" i="24142"/>
  <c r="BA196" i="24142"/>
  <c r="BB245" i="24142"/>
  <c r="BB134" i="23917"/>
  <c r="BB181" i="23917"/>
  <c r="BB250" i="24142"/>
  <c r="BB184" i="23917"/>
  <c r="BB231" i="24142"/>
  <c r="BB169" i="23917"/>
  <c r="BB133" i="23917"/>
  <c r="AX205" i="24142"/>
  <c r="AX143" i="23917"/>
  <c r="CH310" i="23917"/>
  <c r="CI310" i="23917"/>
  <c r="DP201" i="24142"/>
  <c r="DP139" i="23917"/>
  <c r="DP205" i="24142"/>
  <c r="DP143" i="23917"/>
  <c r="CI265" i="23917"/>
  <c r="CH265" i="23917"/>
  <c r="CJ245" i="23917"/>
  <c r="CJ219" i="23917"/>
  <c r="CI263" i="23917"/>
  <c r="CH263" i="23917"/>
  <c r="CI264" i="23917"/>
  <c r="CH264" i="23917"/>
  <c r="CH258" i="23917"/>
  <c r="CH220" i="23917"/>
  <c r="CG277" i="23917"/>
  <c r="CF277" i="23917"/>
  <c r="CG221" i="23917"/>
  <c r="CG273" i="23917"/>
  <c r="CK250" i="23917"/>
  <c r="CS250" i="23917"/>
  <c r="CG274" i="23917"/>
  <c r="CS249" i="23917"/>
  <c r="CK249" i="23917"/>
  <c r="CK248" i="23917"/>
  <c r="CJ253" i="23917"/>
  <c r="CI268" i="23917"/>
  <c r="CL240" i="23917"/>
  <c r="BA197" i="24142" l="1"/>
  <c r="BA135" i="23917"/>
  <c r="BD240" i="24142"/>
  <c r="BD176" i="23917"/>
  <c r="AY205" i="24142"/>
  <c r="AY143" i="23917"/>
  <c r="BD226" i="24142"/>
  <c r="BD164" i="23917"/>
  <c r="BC231" i="24142"/>
  <c r="BC169" i="23917"/>
  <c r="BC133" i="23917"/>
  <c r="BB233" i="24142"/>
  <c r="BB195" i="24142"/>
  <c r="BC245" i="24142"/>
  <c r="BC181" i="23917"/>
  <c r="BC134" i="23917"/>
  <c r="BB247" i="24142"/>
  <c r="BB196" i="24142"/>
  <c r="BB236" i="24142"/>
  <c r="BB172" i="23917"/>
  <c r="AY201" i="24142"/>
  <c r="AY139" i="23917"/>
  <c r="CH273" i="23917"/>
  <c r="CH221" i="23917"/>
  <c r="CK219" i="23917"/>
  <c r="CK245" i="23917"/>
  <c r="CH274" i="23917"/>
  <c r="CI260" i="23917"/>
  <c r="CH260" i="23917"/>
  <c r="CI220" i="23917"/>
  <c r="CI258" i="23917"/>
  <c r="CK253" i="23917"/>
  <c r="CJ268" i="23917"/>
  <c r="CL248" i="23917"/>
  <c r="CU249" i="23917"/>
  <c r="CM240" i="23917"/>
  <c r="CU250" i="23917"/>
  <c r="BD245" i="24142" l="1"/>
  <c r="BD134" i="23917"/>
  <c r="BD181" i="23917"/>
  <c r="BD250" i="24142"/>
  <c r="BD184" i="23917"/>
  <c r="BE240" i="24142"/>
  <c r="BE176" i="23917"/>
  <c r="BD251" i="24142"/>
  <c r="BD185" i="23917"/>
  <c r="AZ201" i="24142"/>
  <c r="AZ139" i="23917"/>
  <c r="BD231" i="24142"/>
  <c r="BD169" i="23917"/>
  <c r="BD133" i="23917"/>
  <c r="BB197" i="24142"/>
  <c r="BB135" i="23917"/>
  <c r="CJ310" i="23917"/>
  <c r="CK310" i="23917"/>
  <c r="AZ205" i="24142"/>
  <c r="AZ143" i="23917"/>
  <c r="BC247" i="24142"/>
  <c r="BC196" i="24142"/>
  <c r="BE226" i="24142"/>
  <c r="BE164" i="23917"/>
  <c r="BD237" i="24142"/>
  <c r="BD173" i="23917"/>
  <c r="CI274" i="23917"/>
  <c r="CJ258" i="23917"/>
  <c r="CJ220" i="23917"/>
  <c r="CI277" i="23917"/>
  <c r="CH277" i="23917"/>
  <c r="CI273" i="23917"/>
  <c r="CI221" i="23917"/>
  <c r="CM250" i="23917"/>
  <c r="CL250" i="23917"/>
  <c r="CL245" i="23917"/>
  <c r="CL219" i="23917"/>
  <c r="CM249" i="23917"/>
  <c r="CL249" i="23917"/>
  <c r="CK264" i="23917"/>
  <c r="CJ264" i="23917"/>
  <c r="CK265" i="23917"/>
  <c r="CJ265" i="23917"/>
  <c r="CK263" i="23917"/>
  <c r="CJ263" i="23917"/>
  <c r="CM248" i="23917"/>
  <c r="CL253" i="23917"/>
  <c r="CN240" i="23917"/>
  <c r="CK268" i="23917"/>
  <c r="DQ245" i="24142" l="1"/>
  <c r="DQ134" i="23917"/>
  <c r="DQ181" i="23917"/>
  <c r="BF226" i="24142"/>
  <c r="BF164" i="23917"/>
  <c r="BE231" i="24142"/>
  <c r="BE169" i="23917"/>
  <c r="BE133" i="23917"/>
  <c r="BF240" i="24142"/>
  <c r="BF176" i="23917"/>
  <c r="BD247" i="24142"/>
  <c r="BD196" i="24142"/>
  <c r="BE245" i="24142"/>
  <c r="BE181" i="23917"/>
  <c r="BE134" i="23917"/>
  <c r="BC197" i="24142"/>
  <c r="BC135" i="23917"/>
  <c r="BD233" i="24142"/>
  <c r="BD195" i="24142"/>
  <c r="DQ231" i="24142"/>
  <c r="DQ169" i="23917"/>
  <c r="DQ133" i="23917"/>
  <c r="BA205" i="24142"/>
  <c r="BA143" i="23917"/>
  <c r="BA201" i="24142"/>
  <c r="BA139" i="23917"/>
  <c r="CJ273" i="23917"/>
  <c r="CJ221" i="23917"/>
  <c r="CK220" i="23917"/>
  <c r="CK258" i="23917"/>
  <c r="CM219" i="23917"/>
  <c r="CM245" i="23917"/>
  <c r="CK260" i="23917"/>
  <c r="CJ260" i="23917"/>
  <c r="CO240" i="23917"/>
  <c r="CN248" i="23917"/>
  <c r="CW249" i="23917"/>
  <c r="CW250" i="23917"/>
  <c r="CJ274" i="23917"/>
  <c r="CM253" i="23917"/>
  <c r="CL268" i="23917"/>
  <c r="DQ247" i="24142" l="1"/>
  <c r="DQ196" i="24142"/>
  <c r="BB201" i="24142"/>
  <c r="BB139" i="23917"/>
  <c r="BD197" i="24142"/>
  <c r="BD135" i="23917"/>
  <c r="BF245" i="24142"/>
  <c r="BF134" i="23917"/>
  <c r="BF181" i="23917"/>
  <c r="BF251" i="24142"/>
  <c r="BF185" i="23917"/>
  <c r="BG226" i="24142"/>
  <c r="BG164" i="23917"/>
  <c r="BF231" i="24142"/>
  <c r="BF169" i="23917"/>
  <c r="BF133" i="23917"/>
  <c r="DQ233" i="24142"/>
  <c r="DQ195" i="24142"/>
  <c r="DR231" i="24142"/>
  <c r="DR169" i="23917"/>
  <c r="DR133" i="23917"/>
  <c r="DS226" i="24142"/>
  <c r="DS164" i="23917"/>
  <c r="DR245" i="24142"/>
  <c r="DR181" i="23917"/>
  <c r="DR134" i="23917"/>
  <c r="DS240" i="24142"/>
  <c r="DS176" i="23917"/>
  <c r="BD236" i="24142"/>
  <c r="BD172" i="23917"/>
  <c r="BE247" i="24142"/>
  <c r="BE196" i="24142"/>
  <c r="BB205" i="24142"/>
  <c r="BB143" i="23917"/>
  <c r="BG240" i="24142"/>
  <c r="BG176" i="23917"/>
  <c r="BF250" i="24142"/>
  <c r="BF184" i="23917"/>
  <c r="BF237" i="24142"/>
  <c r="BF173" i="23917"/>
  <c r="CL310" i="23917"/>
  <c r="CM310" i="23917"/>
  <c r="CM264" i="23917"/>
  <c r="CL264" i="23917"/>
  <c r="CL258" i="23917"/>
  <c r="CL220" i="23917"/>
  <c r="CM263" i="23917"/>
  <c r="CL263" i="23917"/>
  <c r="CM265" i="23917"/>
  <c r="CL265" i="23917"/>
  <c r="CK277" i="23917"/>
  <c r="CJ277" i="23917"/>
  <c r="CK221" i="23917"/>
  <c r="CK273" i="23917"/>
  <c r="CO249" i="23917"/>
  <c r="CN249" i="23917"/>
  <c r="CO250" i="23917"/>
  <c r="CN250" i="23917"/>
  <c r="CN245" i="23917"/>
  <c r="CN219" i="23917"/>
  <c r="CM268" i="23917"/>
  <c r="CN253" i="23917"/>
  <c r="CP240" i="23917"/>
  <c r="CK274" i="23917"/>
  <c r="CO248" i="23917"/>
  <c r="DT226" i="24142" l="1"/>
  <c r="DT164" i="23917"/>
  <c r="DS251" i="24142"/>
  <c r="DS185" i="23917"/>
  <c r="BG245" i="24142"/>
  <c r="BG181" i="23917"/>
  <c r="BG134" i="23917"/>
  <c r="BF247" i="24142"/>
  <c r="BF196" i="24142"/>
  <c r="DQ236" i="24142"/>
  <c r="DQ172" i="23917"/>
  <c r="BH226" i="24142"/>
  <c r="BH164" i="23917"/>
  <c r="BC205" i="24142"/>
  <c r="BC143" i="23917"/>
  <c r="BC201" i="24142"/>
  <c r="BC139" i="23917"/>
  <c r="DS237" i="24142"/>
  <c r="DS173" i="23917"/>
  <c r="DQ197" i="24142"/>
  <c r="DQ135" i="23917"/>
  <c r="DS250" i="24142"/>
  <c r="DS184" i="23917"/>
  <c r="DT240" i="24142"/>
  <c r="DT176" i="23917"/>
  <c r="BH240" i="24142"/>
  <c r="BH176" i="23917"/>
  <c r="BE197" i="24142"/>
  <c r="BE135" i="23917"/>
  <c r="BG231" i="24142"/>
  <c r="BG169" i="23917"/>
  <c r="BG133" i="23917"/>
  <c r="BF233" i="24142"/>
  <c r="BF195" i="24142"/>
  <c r="CM260" i="23917"/>
  <c r="CL260" i="23917"/>
  <c r="CL273" i="23917"/>
  <c r="CL221" i="23917"/>
  <c r="CM220" i="23917"/>
  <c r="CM258" i="23917"/>
  <c r="CO219" i="23917"/>
  <c r="CO245" i="23917"/>
  <c r="CN263" i="23917"/>
  <c r="CO253" i="23917"/>
  <c r="CN264" i="23917"/>
  <c r="CN268" i="23917"/>
  <c r="CP242" i="23917"/>
  <c r="CP241" i="23917"/>
  <c r="CQ240" i="23917"/>
  <c r="CL274" i="23917"/>
  <c r="DR197" i="24142" l="1"/>
  <c r="DR135" i="23917"/>
  <c r="BH245" i="24142"/>
  <c r="BH134" i="23917"/>
  <c r="BH181" i="23917"/>
  <c r="BI240" i="24142"/>
  <c r="BI176" i="23917"/>
  <c r="BF236" i="24142"/>
  <c r="BF172" i="23917"/>
  <c r="BH231" i="24142"/>
  <c r="BH169" i="23917"/>
  <c r="BH133" i="23917"/>
  <c r="BH237" i="24142"/>
  <c r="BH173" i="23917"/>
  <c r="BD201" i="24142"/>
  <c r="BD139" i="23917"/>
  <c r="DT250" i="24142"/>
  <c r="DT184" i="23917"/>
  <c r="CO310" i="23917"/>
  <c r="CN310" i="23917"/>
  <c r="BF197" i="24142"/>
  <c r="BF135" i="23917"/>
  <c r="BH251" i="24142"/>
  <c r="BH185" i="23917"/>
  <c r="BH250" i="24142"/>
  <c r="BH184" i="23917"/>
  <c r="BI226" i="24142"/>
  <c r="BI164" i="23917"/>
  <c r="BG247" i="24142"/>
  <c r="BG196" i="24142"/>
  <c r="BD205" i="24142"/>
  <c r="BD143" i="23917"/>
  <c r="DT237" i="24142"/>
  <c r="DT173" i="23917"/>
  <c r="DT251" i="24142"/>
  <c r="DT185" i="23917"/>
  <c r="CM273" i="23917"/>
  <c r="CM221" i="23917"/>
  <c r="CM277" i="23917"/>
  <c r="CL277" i="23917"/>
  <c r="CN258" i="23917"/>
  <c r="CN220" i="23917"/>
  <c r="CO265" i="23917"/>
  <c r="CN265" i="23917"/>
  <c r="CQ242" i="23917"/>
  <c r="CP264" i="23917"/>
  <c r="CO264" i="23917"/>
  <c r="CP269" i="23917"/>
  <c r="CP247" i="23917"/>
  <c r="CQ241" i="23917"/>
  <c r="CP243" i="23917"/>
  <c r="CO268" i="23917"/>
  <c r="CN274" i="23917"/>
  <c r="CM274" i="23917"/>
  <c r="CP253" i="23917"/>
  <c r="CP263" i="23917"/>
  <c r="CO263" i="23917"/>
  <c r="BJ226" i="24142" l="1"/>
  <c r="BJ164" i="23917"/>
  <c r="BH233" i="24142"/>
  <c r="BH195" i="24142"/>
  <c r="BH236" i="24142"/>
  <c r="BH172" i="23917"/>
  <c r="DQ205" i="24142"/>
  <c r="DQ143" i="23917"/>
  <c r="BE205" i="24142"/>
  <c r="BE143" i="23917"/>
  <c r="BE201" i="24142"/>
  <c r="BE139" i="23917"/>
  <c r="BI245" i="24142"/>
  <c r="BI181" i="23917"/>
  <c r="BI134" i="23917"/>
  <c r="BJ240" i="24142"/>
  <c r="BJ176" i="23917"/>
  <c r="BH247" i="24142"/>
  <c r="BH196" i="24142"/>
  <c r="BG197" i="24142"/>
  <c r="BG135" i="23917"/>
  <c r="BI231" i="24142"/>
  <c r="BI169" i="23917"/>
  <c r="BI133" i="23917"/>
  <c r="DQ201" i="24142"/>
  <c r="DQ139" i="23917"/>
  <c r="CO258" i="23917"/>
  <c r="CO220" i="23917"/>
  <c r="CO260" i="23917"/>
  <c r="CN260" i="23917"/>
  <c r="CN273" i="23917"/>
  <c r="CN221" i="23917"/>
  <c r="CQ253" i="23917"/>
  <c r="CP268" i="23917"/>
  <c r="CP256" i="23917"/>
  <c r="CQ263" i="23917"/>
  <c r="CO274" i="23917"/>
  <c r="CQ247" i="23917"/>
  <c r="CQ243" i="23917"/>
  <c r="CQ269" i="23917"/>
  <c r="CQ264" i="23917"/>
  <c r="CP255" i="23917"/>
  <c r="CQ245" i="23917" l="1"/>
  <c r="CR264" i="23917"/>
  <c r="CT264" i="23917"/>
  <c r="BH197" i="24142"/>
  <c r="BH135" i="23917"/>
  <c r="BF201" i="24142"/>
  <c r="BF139" i="23917"/>
  <c r="BK240" i="24142"/>
  <c r="BK176" i="23917"/>
  <c r="BJ251" i="24142"/>
  <c r="BJ185" i="23917"/>
  <c r="BJ250" i="24142"/>
  <c r="BJ184" i="23917"/>
  <c r="BJ237" i="24142"/>
  <c r="BJ173" i="23917"/>
  <c r="BK226" i="24142"/>
  <c r="BK164" i="23917"/>
  <c r="CR263" i="23917"/>
  <c r="CT263" i="23917"/>
  <c r="DR201" i="24142"/>
  <c r="DR139" i="23917"/>
  <c r="DR205" i="24142"/>
  <c r="DR143" i="23917"/>
  <c r="BF205" i="24142"/>
  <c r="BF143" i="23917"/>
  <c r="BJ245" i="24142"/>
  <c r="BJ134" i="23917"/>
  <c r="BJ181" i="23917"/>
  <c r="BJ231" i="24142"/>
  <c r="BJ169" i="23917"/>
  <c r="BJ133" i="23917"/>
  <c r="BI247" i="24142"/>
  <c r="BI196" i="24142"/>
  <c r="CR240" i="23917"/>
  <c r="CQ265" i="23917"/>
  <c r="CP265" i="23917"/>
  <c r="CP245" i="23917"/>
  <c r="CP219" i="23917"/>
  <c r="CO277" i="23917"/>
  <c r="CN277" i="23917"/>
  <c r="CO273" i="23917"/>
  <c r="CO221" i="23917"/>
  <c r="CQ248" i="23917"/>
  <c r="CP248" i="23917"/>
  <c r="CQ255" i="23917"/>
  <c r="CP262" i="23917"/>
  <c r="CP270" i="23917"/>
  <c r="CS263" i="23917"/>
  <c r="CQ256" i="23917"/>
  <c r="CS264" i="23917"/>
  <c r="CQ268" i="23917"/>
  <c r="CR242" i="23917" l="1"/>
  <c r="CQ219" i="23917"/>
  <c r="CR243" i="23917"/>
  <c r="CS240" i="23917"/>
  <c r="CP103" i="24142"/>
  <c r="BK231" i="24142"/>
  <c r="BK169" i="23917"/>
  <c r="BK133" i="23917"/>
  <c r="BJ233" i="24142"/>
  <c r="BJ195" i="24142"/>
  <c r="BG205" i="24142"/>
  <c r="BG143" i="23917"/>
  <c r="CU263" i="23917"/>
  <c r="CV263" i="23917"/>
  <c r="CU264" i="23917"/>
  <c r="CV264" i="23917"/>
  <c r="BL240" i="24142"/>
  <c r="BL176" i="23917"/>
  <c r="BK245" i="24142"/>
  <c r="BK181" i="23917"/>
  <c r="BK134" i="23917"/>
  <c r="BJ247" i="24142"/>
  <c r="BJ196" i="24142"/>
  <c r="BJ236" i="24142"/>
  <c r="BJ172" i="23917"/>
  <c r="BI197" i="24142"/>
  <c r="BI135" i="23917"/>
  <c r="BL226" i="24142"/>
  <c r="BL164" i="23917"/>
  <c r="BG201" i="24142"/>
  <c r="BG139" i="23917"/>
  <c r="CP258" i="23917"/>
  <c r="CP220" i="23917"/>
  <c r="CQ271" i="23917"/>
  <c r="CP271" i="23917"/>
  <c r="CP199" i="23917"/>
  <c r="CQ270" i="23917"/>
  <c r="CQ262" i="23917"/>
  <c r="CR253" i="23917"/>
  <c r="EA243" i="23917" l="1"/>
  <c r="CR248" i="23917"/>
  <c r="CS243" i="23917"/>
  <c r="CQ103" i="24142"/>
  <c r="CR247" i="23917"/>
  <c r="EA242" i="23917"/>
  <c r="CT240" i="23917"/>
  <c r="CS242" i="23917"/>
  <c r="CR269" i="23917"/>
  <c r="CS241" i="23917"/>
  <c r="CR241" i="23917"/>
  <c r="EA241" i="23917"/>
  <c r="BM226" i="24142"/>
  <c r="BM164" i="23917"/>
  <c r="BL231" i="24142"/>
  <c r="BL169" i="23917"/>
  <c r="BL133" i="23917"/>
  <c r="BL250" i="24142"/>
  <c r="BL184" i="23917"/>
  <c r="BM240" i="24142"/>
  <c r="BM176" i="23917"/>
  <c r="BL251" i="24142"/>
  <c r="BL185" i="23917"/>
  <c r="BH205" i="24142"/>
  <c r="BH143" i="23917"/>
  <c r="CW264" i="23917"/>
  <c r="CX264" i="23917"/>
  <c r="BL237" i="24142"/>
  <c r="BL173" i="23917"/>
  <c r="BJ197" i="24142"/>
  <c r="BJ135" i="23917"/>
  <c r="BL245" i="24142"/>
  <c r="BL134" i="23917"/>
  <c r="BL181" i="23917"/>
  <c r="BK247" i="24142"/>
  <c r="BK196" i="24142"/>
  <c r="BH201" i="24142"/>
  <c r="BH139" i="23917"/>
  <c r="CX263" i="23917"/>
  <c r="CW263" i="23917"/>
  <c r="CP310" i="23917"/>
  <c r="CQ310" i="23917"/>
  <c r="CP273" i="23917"/>
  <c r="CP221" i="23917"/>
  <c r="CQ260" i="23917"/>
  <c r="CP260" i="23917"/>
  <c r="CQ258" i="23917"/>
  <c r="CQ220" i="23917"/>
  <c r="CS248" i="23917"/>
  <c r="CQ276" i="23917"/>
  <c r="CP276" i="23917"/>
  <c r="EB243" i="23917"/>
  <c r="EA248" i="23917"/>
  <c r="CS253" i="23917"/>
  <c r="CR256" i="23917"/>
  <c r="CR268" i="23917"/>
  <c r="CP274" i="23917"/>
  <c r="CR245" i="23917" l="1"/>
  <c r="CQ199" i="23917"/>
  <c r="EA249" i="23917"/>
  <c r="EB242" i="23917"/>
  <c r="CT243" i="23917"/>
  <c r="CR219" i="23917"/>
  <c r="CT241" i="23917"/>
  <c r="CT242" i="23917"/>
  <c r="CU240" i="23917"/>
  <c r="EB241" i="23917"/>
  <c r="EA247" i="23917"/>
  <c r="EC240" i="23917"/>
  <c r="EA269" i="23917"/>
  <c r="EA250" i="23917"/>
  <c r="CS269" i="23917"/>
  <c r="CS247" i="23917"/>
  <c r="BL233" i="24142"/>
  <c r="BL195" i="24142"/>
  <c r="DS231" i="24142"/>
  <c r="DS169" i="23917"/>
  <c r="DS133" i="23917"/>
  <c r="BL236" i="24142"/>
  <c r="BL172" i="23917"/>
  <c r="BL247" i="24142"/>
  <c r="BL196" i="24142"/>
  <c r="BK197" i="24142"/>
  <c r="BK135" i="23917"/>
  <c r="BI201" i="24142"/>
  <c r="BI139" i="23917"/>
  <c r="BN226" i="24142"/>
  <c r="BN164" i="23917"/>
  <c r="BM231" i="24142"/>
  <c r="BM169" i="23917"/>
  <c r="BM133" i="23917"/>
  <c r="BN240" i="24142"/>
  <c r="BN176" i="23917"/>
  <c r="DS245" i="24142"/>
  <c r="DS134" i="23917"/>
  <c r="DS181" i="23917"/>
  <c r="BM245" i="24142"/>
  <c r="BM181" i="23917"/>
  <c r="BM134" i="23917"/>
  <c r="CY263" i="23917"/>
  <c r="CZ263" i="23917"/>
  <c r="CZ264" i="23917"/>
  <c r="CY264" i="23917"/>
  <c r="CU242" i="23917"/>
  <c r="BI205" i="24142"/>
  <c r="BI143" i="23917"/>
  <c r="CR103" i="24142"/>
  <c r="CR255" i="23917"/>
  <c r="CS265" i="23917"/>
  <c r="CR265" i="23917"/>
  <c r="CS245" i="23917"/>
  <c r="CS219" i="23917"/>
  <c r="CQ273" i="23917"/>
  <c r="CQ221" i="23917"/>
  <c r="CQ277" i="23917"/>
  <c r="CP277" i="23917"/>
  <c r="CS256" i="23917"/>
  <c r="EA256" i="23917"/>
  <c r="CQ274" i="23917"/>
  <c r="EB247" i="23917"/>
  <c r="CS268" i="23917"/>
  <c r="EB248" i="23917"/>
  <c r="CR262" i="23917"/>
  <c r="CS255" i="23917"/>
  <c r="EA255" i="23917"/>
  <c r="CR270" i="23917"/>
  <c r="EB249" i="23917" l="1"/>
  <c r="EA245" i="23917"/>
  <c r="CU248" i="23917"/>
  <c r="CU245" i="23917"/>
  <c r="CR199" i="23917"/>
  <c r="CU243" i="23917"/>
  <c r="EB250" i="23917"/>
  <c r="CT247" i="23917"/>
  <c r="CT269" i="23917"/>
  <c r="CU241" i="23917"/>
  <c r="EB269" i="23917"/>
  <c r="EA219" i="23917"/>
  <c r="ED240" i="23917"/>
  <c r="DS247" i="24142"/>
  <c r="DS196" i="24142"/>
  <c r="DU240" i="24142"/>
  <c r="DU176" i="23917"/>
  <c r="DT245" i="24142"/>
  <c r="DT181" i="23917"/>
  <c r="DT134" i="23917"/>
  <c r="DT231" i="24142"/>
  <c r="DT169" i="23917"/>
  <c r="DT133" i="23917"/>
  <c r="DS233" i="24142"/>
  <c r="DS195" i="24142"/>
  <c r="BN245" i="24142"/>
  <c r="BN134" i="23917"/>
  <c r="BN181" i="23917"/>
  <c r="BN250" i="24142"/>
  <c r="BN184" i="23917"/>
  <c r="BJ205" i="24142"/>
  <c r="BJ143" i="23917"/>
  <c r="BM247" i="24142"/>
  <c r="BM196" i="24142"/>
  <c r="BO226" i="24142"/>
  <c r="BO164" i="23917"/>
  <c r="BN231" i="24142"/>
  <c r="BN169" i="23917"/>
  <c r="BN133" i="23917"/>
  <c r="CP139" i="24142"/>
  <c r="CP290" i="23917"/>
  <c r="DU226" i="24142"/>
  <c r="DU164" i="23917"/>
  <c r="BO240" i="24142"/>
  <c r="BO176" i="23917"/>
  <c r="BN251" i="24142"/>
  <c r="BN185" i="23917"/>
  <c r="BJ201" i="24142"/>
  <c r="BJ139" i="23917"/>
  <c r="BL197" i="24142"/>
  <c r="BL135" i="23917"/>
  <c r="BN237" i="24142"/>
  <c r="BN173" i="23917"/>
  <c r="CR260" i="23917"/>
  <c r="CT253" i="23917"/>
  <c r="DA264" i="23917"/>
  <c r="DA263" i="23917"/>
  <c r="CP289" i="23917"/>
  <c r="CP138" i="24142"/>
  <c r="CR258" i="23917"/>
  <c r="CR220" i="23917"/>
  <c r="CS103" i="24142"/>
  <c r="CS199" i="23917"/>
  <c r="CP108" i="24142"/>
  <c r="CP204" i="23917"/>
  <c r="EA103" i="24142"/>
  <c r="EA199" i="23917"/>
  <c r="CP102" i="24142"/>
  <c r="CP198" i="23917"/>
  <c r="CS271" i="23917"/>
  <c r="CR271" i="23917"/>
  <c r="EB245" i="23917"/>
  <c r="EB219" i="23917"/>
  <c r="CP101" i="24142"/>
  <c r="CP197" i="23917"/>
  <c r="CS258" i="23917"/>
  <c r="CS220" i="23917"/>
  <c r="EA264" i="23917"/>
  <c r="EB255" i="23917"/>
  <c r="EA262" i="23917"/>
  <c r="EC253" i="23917"/>
  <c r="EA270" i="23917"/>
  <c r="EB256" i="23917"/>
  <c r="EA263" i="23917"/>
  <c r="CS270" i="23917"/>
  <c r="CS262" i="23917"/>
  <c r="AG9" i="24158" l="1"/>
  <c r="CS260" i="23917"/>
  <c r="CU219" i="23917"/>
  <c r="CT248" i="23917"/>
  <c r="CT219" i="23917"/>
  <c r="CT245" i="23917"/>
  <c r="CW240" i="23917"/>
  <c r="CU247" i="23917"/>
  <c r="CU269" i="23917"/>
  <c r="CR277" i="23917"/>
  <c r="CS221" i="23917"/>
  <c r="ED253" i="23917"/>
  <c r="CR310" i="23917"/>
  <c r="CS310" i="23917"/>
  <c r="DS197" i="24142"/>
  <c r="DS135" i="23917"/>
  <c r="DU250" i="24142"/>
  <c r="DU184" i="23917"/>
  <c r="DV240" i="24142"/>
  <c r="DV176" i="23917"/>
  <c r="BM197" i="24142"/>
  <c r="BM135" i="23917"/>
  <c r="BO245" i="24142"/>
  <c r="BO181" i="23917"/>
  <c r="BO134" i="23917"/>
  <c r="BN247" i="24142"/>
  <c r="BN196" i="24142"/>
  <c r="DS236" i="24142"/>
  <c r="DS172" i="23917"/>
  <c r="BP226" i="24142"/>
  <c r="BP164" i="23917"/>
  <c r="DV226" i="24142"/>
  <c r="DV164" i="23917"/>
  <c r="DT247" i="24142"/>
  <c r="DT196" i="24142"/>
  <c r="CP292" i="23917"/>
  <c r="CP141" i="24142"/>
  <c r="EA290" i="23917"/>
  <c r="EA139" i="24142"/>
  <c r="CQ139" i="24142"/>
  <c r="CQ290" i="23917"/>
  <c r="BK205" i="24142"/>
  <c r="BK143" i="23917"/>
  <c r="DU251" i="24142"/>
  <c r="DU185" i="23917"/>
  <c r="BP240" i="24142"/>
  <c r="BP176" i="23917"/>
  <c r="BO231" i="24142"/>
  <c r="BO169" i="23917"/>
  <c r="BO133" i="23917"/>
  <c r="BN233" i="24142"/>
  <c r="BN195" i="24142"/>
  <c r="DU237" i="24142"/>
  <c r="DU173" i="23917"/>
  <c r="CP144" i="24142"/>
  <c r="CP295" i="23917"/>
  <c r="CQ138" i="24142"/>
  <c r="CQ289" i="23917"/>
  <c r="CU253" i="23917"/>
  <c r="CT255" i="23917"/>
  <c r="CT256" i="23917"/>
  <c r="CT268" i="23917"/>
  <c r="BK201" i="24142"/>
  <c r="BK139" i="23917"/>
  <c r="DT233" i="24142"/>
  <c r="DT195" i="24142"/>
  <c r="CR290" i="23917"/>
  <c r="CR139" i="24142"/>
  <c r="CQ101" i="24142"/>
  <c r="CQ197" i="23917"/>
  <c r="EB103" i="24142"/>
  <c r="EB199" i="23917"/>
  <c r="CQ102" i="24142"/>
  <c r="CQ198" i="23917"/>
  <c r="CR273" i="23917"/>
  <c r="CR221" i="23917"/>
  <c r="EA258" i="23917"/>
  <c r="EA220" i="23917"/>
  <c r="CQ108" i="24142"/>
  <c r="CQ204" i="23917"/>
  <c r="CP104" i="24142"/>
  <c r="CP200" i="23917"/>
  <c r="CS276" i="23917"/>
  <c r="CR276" i="23917"/>
  <c r="EB271" i="23917"/>
  <c r="EA271" i="23917"/>
  <c r="EB263" i="23917"/>
  <c r="EB270" i="23917"/>
  <c r="EB264" i="23917"/>
  <c r="EB262" i="23917"/>
  <c r="CT199" i="23917" l="1"/>
  <c r="EA292" i="23917"/>
  <c r="CS289" i="23917"/>
  <c r="CR144" i="24142"/>
  <c r="CV240" i="23917"/>
  <c r="CS277" i="23917"/>
  <c r="CS273" i="23917"/>
  <c r="EA138" i="24142"/>
  <c r="EA289" i="23917"/>
  <c r="CR138" i="24142"/>
  <c r="CR292" i="23917"/>
  <c r="CR289" i="23917"/>
  <c r="CU265" i="23917"/>
  <c r="CT265" i="23917"/>
  <c r="ED265" i="23917"/>
  <c r="EC265" i="23917"/>
  <c r="CT103" i="24142"/>
  <c r="ED268" i="23917"/>
  <c r="EC268" i="23917"/>
  <c r="BP245" i="24142"/>
  <c r="BP134" i="23917"/>
  <c r="BP181" i="23917"/>
  <c r="BP251" i="24142"/>
  <c r="BP185" i="23917"/>
  <c r="DT197" i="24142"/>
  <c r="DT135" i="23917"/>
  <c r="BP231" i="24142"/>
  <c r="BP169" i="23917"/>
  <c r="BP133" i="23917"/>
  <c r="BP237" i="24142"/>
  <c r="BP173" i="23917"/>
  <c r="BO247" i="24142"/>
  <c r="BO196" i="24142"/>
  <c r="BL205" i="24142"/>
  <c r="BL143" i="23917"/>
  <c r="CS290" i="23917"/>
  <c r="CS139" i="24142"/>
  <c r="CU268" i="23917"/>
  <c r="CT262" i="23917"/>
  <c r="CU255" i="23917"/>
  <c r="CT270" i="23917"/>
  <c r="DV237" i="24142"/>
  <c r="DV173" i="23917"/>
  <c r="EA310" i="23917"/>
  <c r="EB310" i="23917"/>
  <c r="CQ292" i="23917"/>
  <c r="CQ141" i="24142"/>
  <c r="EA144" i="24142"/>
  <c r="BN197" i="24142"/>
  <c r="BN135" i="23917"/>
  <c r="BP250" i="24142"/>
  <c r="BP184" i="23917"/>
  <c r="BN236" i="24142"/>
  <c r="BN172" i="23917"/>
  <c r="BL201" i="24142"/>
  <c r="BL139" i="23917"/>
  <c r="CU256" i="23917"/>
  <c r="EB138" i="24142"/>
  <c r="EB289" i="23917"/>
  <c r="EA141" i="24142"/>
  <c r="CQ295" i="23917"/>
  <c r="CQ144" i="24142"/>
  <c r="DV251" i="24142"/>
  <c r="DV185" i="23917"/>
  <c r="EB139" i="24142"/>
  <c r="EB290" i="23917"/>
  <c r="DT236" i="24142"/>
  <c r="DT172" i="23917"/>
  <c r="DV250" i="24142"/>
  <c r="DV184" i="23917"/>
  <c r="BQ251" i="24142"/>
  <c r="BQ185" i="23917"/>
  <c r="BQ237" i="24142"/>
  <c r="BQ173" i="23917"/>
  <c r="BQ240" i="24142"/>
  <c r="BQ176" i="23917"/>
  <c r="BQ226" i="24142"/>
  <c r="BQ164" i="23917"/>
  <c r="CR108" i="24142"/>
  <c r="CR204" i="23917"/>
  <c r="EB258" i="23917"/>
  <c r="EB220" i="23917"/>
  <c r="EB276" i="23917"/>
  <c r="EA276" i="23917"/>
  <c r="CR274" i="23917"/>
  <c r="CS274" i="23917"/>
  <c r="CQ104" i="24142"/>
  <c r="CQ200" i="23917"/>
  <c r="EA273" i="23917"/>
  <c r="EA221" i="23917"/>
  <c r="EB260" i="23917"/>
  <c r="EA260" i="23917"/>
  <c r="EA274" i="23917"/>
  <c r="AG6" i="24158" l="1"/>
  <c r="CU199" i="23917"/>
  <c r="CR295" i="23917"/>
  <c r="CR141" i="24142"/>
  <c r="CS138" i="24142"/>
  <c r="EA295" i="23917"/>
  <c r="CS141" i="24142"/>
  <c r="CV241" i="23917"/>
  <c r="CW241" i="23917"/>
  <c r="CV242" i="23917"/>
  <c r="CW242" i="23917"/>
  <c r="CV243" i="23917"/>
  <c r="CW243" i="23917"/>
  <c r="CU271" i="23917"/>
  <c r="CT271" i="23917"/>
  <c r="CT310" i="23917"/>
  <c r="CT258" i="23917"/>
  <c r="CT220" i="23917"/>
  <c r="CU310" i="23917"/>
  <c r="DS205" i="24142"/>
  <c r="DS143" i="23917"/>
  <c r="BO197" i="24142"/>
  <c r="BO135" i="23917"/>
  <c r="BP233" i="24142"/>
  <c r="BP195" i="24142"/>
  <c r="BP247" i="24142"/>
  <c r="BP196" i="24142"/>
  <c r="CP297" i="23917"/>
  <c r="CP146" i="24142"/>
  <c r="BM201" i="24142"/>
  <c r="BM139" i="23917"/>
  <c r="EB144" i="24142"/>
  <c r="EB295" i="23917"/>
  <c r="DS201" i="24142"/>
  <c r="DS139" i="23917"/>
  <c r="BR226" i="24142"/>
  <c r="BR164" i="23917"/>
  <c r="BR240" i="24142"/>
  <c r="BR176" i="23917"/>
  <c r="EB141" i="24142"/>
  <c r="EB292" i="23917"/>
  <c r="CV253" i="23917"/>
  <c r="CS144" i="24142"/>
  <c r="CS295" i="23917"/>
  <c r="CU270" i="23917"/>
  <c r="CU262" i="23917"/>
  <c r="BM205" i="24142"/>
  <c r="BM143" i="23917"/>
  <c r="BQ231" i="24142"/>
  <c r="BQ169" i="23917"/>
  <c r="BQ133" i="23917"/>
  <c r="BQ245" i="24142"/>
  <c r="BQ134" i="23917"/>
  <c r="BQ181" i="23917"/>
  <c r="BQ250" i="24142"/>
  <c r="BQ184" i="23917"/>
  <c r="CP107" i="24142"/>
  <c r="CP203" i="23917"/>
  <c r="CR101" i="24142"/>
  <c r="CR197" i="23917"/>
  <c r="EB277" i="23917"/>
  <c r="EA277" i="23917"/>
  <c r="CR102" i="24142"/>
  <c r="CR198" i="23917"/>
  <c r="EB273" i="23917"/>
  <c r="EB221" i="23917"/>
  <c r="CP110" i="24142"/>
  <c r="CP206" i="23917"/>
  <c r="EA108" i="24142"/>
  <c r="EA204" i="23917"/>
  <c r="CS108" i="24142"/>
  <c r="CS204" i="23917"/>
  <c r="EB274" i="23917"/>
  <c r="CU103" i="24142" l="1"/>
  <c r="CS292" i="23917"/>
  <c r="CV269" i="23917"/>
  <c r="CW269" i="23917"/>
  <c r="CW248" i="23917"/>
  <c r="CV248" i="23917"/>
  <c r="CV219" i="23917"/>
  <c r="CV245" i="23917"/>
  <c r="CV247" i="23917"/>
  <c r="CW247" i="23917"/>
  <c r="CT139" i="24142"/>
  <c r="CT273" i="23917"/>
  <c r="CT221" i="23917"/>
  <c r="CU276" i="23917"/>
  <c r="CT276" i="23917"/>
  <c r="CU260" i="23917"/>
  <c r="CT260" i="23917"/>
  <c r="CT138" i="24142"/>
  <c r="CT289" i="23917"/>
  <c r="CU138" i="24142"/>
  <c r="CU289" i="23917"/>
  <c r="CU258" i="23917"/>
  <c r="CU220" i="23917"/>
  <c r="CW310" i="23917"/>
  <c r="EA297" i="23917"/>
  <c r="EA146" i="24142"/>
  <c r="BN205" i="24142"/>
  <c r="BN143" i="23917"/>
  <c r="BR245" i="24142"/>
  <c r="BR181" i="23917"/>
  <c r="BR134" i="23917"/>
  <c r="BR250" i="24142"/>
  <c r="BR184" i="23917"/>
  <c r="BR231" i="24142"/>
  <c r="BR169" i="23917"/>
  <c r="BR133" i="23917"/>
  <c r="BR237" i="24142"/>
  <c r="BR173" i="23917"/>
  <c r="CT274" i="23917"/>
  <c r="BP197" i="24142"/>
  <c r="BP135" i="23917"/>
  <c r="BN201" i="24142"/>
  <c r="BN139" i="23917"/>
  <c r="BR251" i="24142"/>
  <c r="BR185" i="23917"/>
  <c r="BQ236" i="24142"/>
  <c r="BP236" i="24142"/>
  <c r="BP172" i="23917"/>
  <c r="CW253" i="23917"/>
  <c r="CV256" i="23917"/>
  <c r="CV255" i="23917"/>
  <c r="CV268" i="23917"/>
  <c r="DT201" i="24142"/>
  <c r="DT139" i="23917"/>
  <c r="CR146" i="24142"/>
  <c r="CR297" i="23917"/>
  <c r="CP147" i="24142"/>
  <c r="CP298" i="23917"/>
  <c r="CQ146" i="24142"/>
  <c r="CQ297" i="23917"/>
  <c r="DT205" i="24142"/>
  <c r="DT143" i="23917"/>
  <c r="BQ247" i="24142"/>
  <c r="BQ196" i="24142"/>
  <c r="BQ233" i="24142"/>
  <c r="BQ195" i="24142"/>
  <c r="BS237" i="24142"/>
  <c r="BS173" i="23917"/>
  <c r="BS251" i="24142"/>
  <c r="BS185" i="23917"/>
  <c r="BS240" i="24142"/>
  <c r="BS176" i="23917"/>
  <c r="BS226" i="24142"/>
  <c r="BS164" i="23917"/>
  <c r="BQ172" i="23917"/>
  <c r="CQ110" i="24142"/>
  <c r="CQ206" i="23917"/>
  <c r="CQ107" i="24142"/>
  <c r="CQ203" i="23917"/>
  <c r="EB108" i="24142"/>
  <c r="EB204" i="23917"/>
  <c r="CS102" i="24142"/>
  <c r="CS198" i="23917"/>
  <c r="CS101" i="24142"/>
  <c r="CS197" i="23917"/>
  <c r="EA102" i="24142"/>
  <c r="EA198" i="23917"/>
  <c r="EA101" i="24142"/>
  <c r="EA197" i="23917"/>
  <c r="CR104" i="24142"/>
  <c r="CR200" i="23917"/>
  <c r="CU290" i="23917" l="1"/>
  <c r="CT290" i="23917"/>
  <c r="CT141" i="24142"/>
  <c r="CW219" i="23917"/>
  <c r="CW245" i="23917"/>
  <c r="CY240" i="23917"/>
  <c r="CX240" i="23917"/>
  <c r="CU273" i="23917"/>
  <c r="CU221" i="23917"/>
  <c r="CV310" i="23917"/>
  <c r="CW265" i="23917"/>
  <c r="CV265" i="23917"/>
  <c r="CU277" i="23917"/>
  <c r="CT277" i="23917"/>
  <c r="BR233" i="24142"/>
  <c r="BR195" i="24142"/>
  <c r="BT240" i="24142"/>
  <c r="BT176" i="23917"/>
  <c r="EA147" i="24142"/>
  <c r="EA298" i="23917"/>
  <c r="CP148" i="24142"/>
  <c r="CP299" i="23917"/>
  <c r="CR298" i="23917"/>
  <c r="CR147" i="24142"/>
  <c r="CS146" i="24142"/>
  <c r="CS297" i="23917"/>
  <c r="CW268" i="23917"/>
  <c r="CW256" i="23917"/>
  <c r="BO201" i="24142"/>
  <c r="BO139" i="23917"/>
  <c r="CU274" i="23917"/>
  <c r="EA316" i="23917"/>
  <c r="EA162" i="24142"/>
  <c r="EB297" i="23917"/>
  <c r="EB146" i="24142"/>
  <c r="BT226" i="24142"/>
  <c r="BT164" i="23917"/>
  <c r="BR247" i="24142"/>
  <c r="BR196" i="24142"/>
  <c r="BS236" i="24142"/>
  <c r="BR236" i="24142"/>
  <c r="BR172" i="23917"/>
  <c r="CQ298" i="23917"/>
  <c r="CQ147" i="24142"/>
  <c r="CV262" i="23917"/>
  <c r="CW255" i="23917"/>
  <c r="CV270" i="23917"/>
  <c r="BO205" i="24142"/>
  <c r="BO143" i="23917"/>
  <c r="BS245" i="24142"/>
  <c r="BS134" i="23917"/>
  <c r="BS181" i="23917"/>
  <c r="BQ197" i="24142"/>
  <c r="BQ135" i="23917"/>
  <c r="BS250" i="24142"/>
  <c r="BS184" i="23917"/>
  <c r="BS231" i="24142"/>
  <c r="BS169" i="23917"/>
  <c r="BS133" i="23917"/>
  <c r="CS104" i="24142"/>
  <c r="CS200" i="23917"/>
  <c r="EB101" i="24142"/>
  <c r="EB197" i="23917"/>
  <c r="CP111" i="24142"/>
  <c r="CP207" i="23917"/>
  <c r="EA104" i="24142"/>
  <c r="EA200" i="23917"/>
  <c r="EB102" i="24142"/>
  <c r="EB198" i="23917"/>
  <c r="CU139" i="24142" l="1"/>
  <c r="CT292" i="23917"/>
  <c r="CU292" i="23917"/>
  <c r="CV199" i="23917"/>
  <c r="CV103" i="24142"/>
  <c r="CX242" i="23917"/>
  <c r="CY242" i="23917"/>
  <c r="CX241" i="23917"/>
  <c r="CY241" i="23917"/>
  <c r="CX243" i="23917"/>
  <c r="CY243" i="23917"/>
  <c r="CW289" i="23917"/>
  <c r="CV139" i="24142"/>
  <c r="CV258" i="23917"/>
  <c r="CV220" i="23917"/>
  <c r="CT101" i="24142"/>
  <c r="CT197" i="23917"/>
  <c r="CT108" i="24142"/>
  <c r="CT204" i="23917"/>
  <c r="CT102" i="24142"/>
  <c r="CT198" i="23917"/>
  <c r="CW271" i="23917"/>
  <c r="CV271" i="23917"/>
  <c r="CT144" i="24142"/>
  <c r="CT295" i="23917"/>
  <c r="BS172" i="23917"/>
  <c r="BT250" i="24142"/>
  <c r="BT184" i="23917"/>
  <c r="BR197" i="24142"/>
  <c r="BR135" i="23917"/>
  <c r="BT245" i="24142"/>
  <c r="BT134" i="23917"/>
  <c r="BT181" i="23917"/>
  <c r="BU185" i="23917"/>
  <c r="BT251" i="24142"/>
  <c r="BT185" i="23917"/>
  <c r="BQ139" i="23917"/>
  <c r="BP201" i="24142"/>
  <c r="BP139" i="23917"/>
  <c r="BT231" i="24142"/>
  <c r="BT169" i="23917"/>
  <c r="BT133" i="23917"/>
  <c r="CW270" i="23917"/>
  <c r="CW262" i="23917"/>
  <c r="CR299" i="23917"/>
  <c r="CR148" i="24142"/>
  <c r="CS298" i="23917"/>
  <c r="CS147" i="24142"/>
  <c r="CQ299" i="23917"/>
  <c r="CQ148" i="24142"/>
  <c r="EA299" i="23917"/>
  <c r="EA148" i="24142"/>
  <c r="EB147" i="24142"/>
  <c r="EB298" i="23917"/>
  <c r="BQ205" i="24142"/>
  <c r="BP205" i="24142"/>
  <c r="BP143" i="23917"/>
  <c r="BU173" i="23917"/>
  <c r="BT237" i="24142"/>
  <c r="BT173" i="23917"/>
  <c r="CX253" i="23917"/>
  <c r="EB162" i="24142"/>
  <c r="EB316" i="23917"/>
  <c r="CP150" i="24142"/>
  <c r="CP301" i="23917"/>
  <c r="BU240" i="24142"/>
  <c r="BU176" i="23917"/>
  <c r="BU251" i="24142"/>
  <c r="BS233" i="24142"/>
  <c r="BS195" i="24142"/>
  <c r="BS247" i="24142"/>
  <c r="BS196" i="24142"/>
  <c r="BQ201" i="24142"/>
  <c r="BU226" i="24142"/>
  <c r="BU164" i="23917"/>
  <c r="BQ143" i="23917"/>
  <c r="BU237" i="24142"/>
  <c r="CQ111" i="24142"/>
  <c r="CQ207" i="23917"/>
  <c r="CR110" i="24142"/>
  <c r="CR206" i="23917"/>
  <c r="EB104" i="24142"/>
  <c r="EB200" i="23917"/>
  <c r="CP113" i="24142"/>
  <c r="CP209" i="23917"/>
  <c r="CR107" i="24142"/>
  <c r="CR203" i="23917"/>
  <c r="CU141" i="24142" l="1"/>
  <c r="CV138" i="24142"/>
  <c r="CV290" i="23917"/>
  <c r="CW138" i="24142"/>
  <c r="CW290" i="23917"/>
  <c r="CX248" i="23917"/>
  <c r="CY248" i="23917"/>
  <c r="CX247" i="23917"/>
  <c r="CY247" i="23917"/>
  <c r="CX219" i="23917"/>
  <c r="CX245" i="23917"/>
  <c r="CW199" i="23917"/>
  <c r="CW103" i="24142"/>
  <c r="CX269" i="23917"/>
  <c r="CY269" i="23917"/>
  <c r="CW141" i="24142"/>
  <c r="CV289" i="23917"/>
  <c r="CT104" i="24142"/>
  <c r="CT200" i="23917"/>
  <c r="CV273" i="23917"/>
  <c r="CV221" i="23917"/>
  <c r="CW276" i="23917"/>
  <c r="CV276" i="23917"/>
  <c r="CU102" i="24142"/>
  <c r="CU198" i="23917"/>
  <c r="CU144" i="24142"/>
  <c r="CU295" i="23917"/>
  <c r="CU108" i="24142"/>
  <c r="CU204" i="23917"/>
  <c r="CU101" i="24142"/>
  <c r="CU197" i="23917"/>
  <c r="CW260" i="23917"/>
  <c r="CV260" i="23917"/>
  <c r="CW258" i="23917"/>
  <c r="CW220" i="23917"/>
  <c r="CX310" i="23917"/>
  <c r="CY310" i="23917"/>
  <c r="DU245" i="24142"/>
  <c r="DU134" i="23917"/>
  <c r="DU181" i="23917"/>
  <c r="BV226" i="24142"/>
  <c r="BV164" i="23917"/>
  <c r="BT233" i="24142"/>
  <c r="BT195" i="24142"/>
  <c r="BT247" i="24142"/>
  <c r="BT196" i="24142"/>
  <c r="DU231" i="24142"/>
  <c r="DU169" i="23917"/>
  <c r="DU133" i="23917"/>
  <c r="CY253" i="23917"/>
  <c r="CX255" i="23917"/>
  <c r="CX256" i="23917"/>
  <c r="CX268" i="23917"/>
  <c r="CS299" i="23917"/>
  <c r="CS148" i="24142"/>
  <c r="BV240" i="24142"/>
  <c r="BV176" i="23917"/>
  <c r="BU172" i="23917"/>
  <c r="BT236" i="24142"/>
  <c r="BT172" i="23917"/>
  <c r="CP153" i="24142"/>
  <c r="CP9" i="24142"/>
  <c r="CP304" i="23917"/>
  <c r="CP151" i="24142"/>
  <c r="CP302" i="23917"/>
  <c r="CQ150" i="24142"/>
  <c r="CQ301" i="23917"/>
  <c r="EA150" i="24142"/>
  <c r="EA301" i="23917"/>
  <c r="EB148" i="24142"/>
  <c r="EB299" i="23917"/>
  <c r="CR301" i="23917"/>
  <c r="CR150" i="24142"/>
  <c r="CV274" i="23917"/>
  <c r="BU245" i="24142"/>
  <c r="BU134" i="23917"/>
  <c r="BU181" i="23917"/>
  <c r="BU236" i="24142"/>
  <c r="BU250" i="24142"/>
  <c r="BU184" i="23917"/>
  <c r="BU231" i="24142"/>
  <c r="BU169" i="23917"/>
  <c r="BU133" i="23917"/>
  <c r="BS197" i="24142"/>
  <c r="BS135" i="23917"/>
  <c r="CQ113" i="24142"/>
  <c r="CQ209" i="23917"/>
  <c r="CS110" i="24142"/>
  <c r="CS206" i="23917"/>
  <c r="CP116" i="24142"/>
  <c r="CP8" i="24142"/>
  <c r="CP10" i="24142"/>
  <c r="CP212" i="23917"/>
  <c r="CP114" i="24142"/>
  <c r="CP210" i="23917"/>
  <c r="CS107" i="24142"/>
  <c r="CS203" i="23917"/>
  <c r="EA110" i="24142"/>
  <c r="EA206" i="23917"/>
  <c r="EA107" i="24142"/>
  <c r="EA203" i="23917"/>
  <c r="CW139" i="24142" l="1"/>
  <c r="CW292" i="23917"/>
  <c r="CV292" i="23917"/>
  <c r="CT146" i="24142"/>
  <c r="CT297" i="23917"/>
  <c r="CZ240" i="23917"/>
  <c r="DA240" i="23917"/>
  <c r="CY245" i="23917"/>
  <c r="CY219" i="23917"/>
  <c r="CV141" i="24142"/>
  <c r="CV144" i="24142"/>
  <c r="CV295" i="23917"/>
  <c r="CW277" i="23917"/>
  <c r="CV277" i="23917"/>
  <c r="CW273" i="23917"/>
  <c r="CW221" i="23917"/>
  <c r="CU104" i="24142"/>
  <c r="CU200" i="23917"/>
  <c r="CY138" i="24142"/>
  <c r="CY289" i="23917"/>
  <c r="CV146" i="24142"/>
  <c r="CV297" i="23917"/>
  <c r="CY265" i="23917"/>
  <c r="CX265" i="23917"/>
  <c r="CX139" i="24142"/>
  <c r="CX290" i="23917"/>
  <c r="CQ10" i="24142"/>
  <c r="BS201" i="24142"/>
  <c r="BR201" i="24142"/>
  <c r="BR139" i="23917"/>
  <c r="BT197" i="24142"/>
  <c r="BT135" i="23917"/>
  <c r="DW240" i="24142"/>
  <c r="DW176" i="23917"/>
  <c r="DV231" i="24142"/>
  <c r="DV169" i="23917"/>
  <c r="DV133" i="23917"/>
  <c r="BS205" i="24142"/>
  <c r="BR205" i="24142"/>
  <c r="BR143" i="23917"/>
  <c r="BV231" i="24142"/>
  <c r="BV169" i="23917"/>
  <c r="BV133" i="23917"/>
  <c r="BW237" i="24142"/>
  <c r="BV237" i="24142"/>
  <c r="BV173" i="23917"/>
  <c r="DV245" i="24142"/>
  <c r="DV181" i="23917"/>
  <c r="DV134" i="23917"/>
  <c r="DU247" i="24142"/>
  <c r="DU196" i="24142"/>
  <c r="BW251" i="24142"/>
  <c r="BV251" i="24142"/>
  <c r="BV185" i="23917"/>
  <c r="BV250" i="24142"/>
  <c r="BV184" i="23917"/>
  <c r="DU233" i="24142"/>
  <c r="DU195" i="24142"/>
  <c r="DW226" i="24142"/>
  <c r="DW164" i="23917"/>
  <c r="CS150" i="24142"/>
  <c r="CS301" i="23917"/>
  <c r="CQ151" i="24142"/>
  <c r="CQ302" i="23917"/>
  <c r="CQ9" i="24142"/>
  <c r="CQ304" i="23917"/>
  <c r="CQ153" i="24142"/>
  <c r="CP313" i="23917"/>
  <c r="CP159" i="24142"/>
  <c r="CY256" i="23917"/>
  <c r="BV245" i="24142"/>
  <c r="BV181" i="23917"/>
  <c r="BV134" i="23917"/>
  <c r="CW274" i="23917"/>
  <c r="CR302" i="23917"/>
  <c r="CR151" i="24142"/>
  <c r="EB301" i="23917"/>
  <c r="EB150" i="24142"/>
  <c r="CP305" i="23917"/>
  <c r="CY268" i="23917"/>
  <c r="CY255" i="23917"/>
  <c r="CX262" i="23917"/>
  <c r="CX270" i="23917"/>
  <c r="BW173" i="23917"/>
  <c r="BW226" i="24142"/>
  <c r="BW164" i="23917"/>
  <c r="BW240" i="24142"/>
  <c r="BW176" i="23917"/>
  <c r="BU247" i="24142"/>
  <c r="BU196" i="24142"/>
  <c r="BS143" i="23917"/>
  <c r="BU233" i="24142"/>
  <c r="BU195" i="24142"/>
  <c r="CQ116" i="24142"/>
  <c r="CQ8" i="24142"/>
  <c r="CQ212" i="23917"/>
  <c r="EA125" i="24142"/>
  <c r="EA227" i="23917"/>
  <c r="EA126" i="24142"/>
  <c r="EA228" i="23917"/>
  <c r="CP213" i="23917"/>
  <c r="CQ114" i="24142"/>
  <c r="CQ210" i="23917"/>
  <c r="CP122" i="24142"/>
  <c r="CP224" i="23917"/>
  <c r="EB107" i="24142"/>
  <c r="EB203" i="23917"/>
  <c r="EB110" i="24142"/>
  <c r="EB206" i="23917"/>
  <c r="CR111" i="24142"/>
  <c r="CR207" i="23917"/>
  <c r="CP8" i="23917"/>
  <c r="CY292" i="23917" l="1"/>
  <c r="CX289" i="23917"/>
  <c r="CX138" i="24142"/>
  <c r="CT298" i="23917"/>
  <c r="CT147" i="24142"/>
  <c r="CU146" i="24142"/>
  <c r="CU297" i="23917"/>
  <c r="CZ242" i="23917"/>
  <c r="DA242" i="23917"/>
  <c r="DA241" i="23917"/>
  <c r="CZ241" i="23917"/>
  <c r="CX103" i="24142"/>
  <c r="CX199" i="23917"/>
  <c r="CZ243" i="23917"/>
  <c r="DA243" i="23917"/>
  <c r="CW144" i="24142"/>
  <c r="CW295" i="23917"/>
  <c r="CT107" i="24142"/>
  <c r="CT203" i="23917"/>
  <c r="CV102" i="24142"/>
  <c r="CV198" i="23917"/>
  <c r="CW146" i="24142"/>
  <c r="CW297" i="23917"/>
  <c r="CY141" i="24142"/>
  <c r="DA310" i="23917"/>
  <c r="CZ310" i="23917"/>
  <c r="CT110" i="24142"/>
  <c r="CT206" i="23917"/>
  <c r="CV101" i="24142"/>
  <c r="CV197" i="23917"/>
  <c r="CV147" i="24142"/>
  <c r="CV298" i="23917"/>
  <c r="CV108" i="24142"/>
  <c r="CV204" i="23917"/>
  <c r="CY271" i="23917"/>
  <c r="CX271" i="23917"/>
  <c r="CZ253" i="23917"/>
  <c r="CX258" i="23917"/>
  <c r="CX220" i="23917"/>
  <c r="CY139" i="24142"/>
  <c r="CY290" i="23917"/>
  <c r="BW185" i="23917"/>
  <c r="BS139" i="23917"/>
  <c r="DX226" i="24142"/>
  <c r="DX164" i="23917"/>
  <c r="BV247" i="24142"/>
  <c r="BV196" i="24142"/>
  <c r="DV247" i="24142"/>
  <c r="DV196" i="24142"/>
  <c r="BV233" i="24142"/>
  <c r="BV195" i="24142"/>
  <c r="DU236" i="24142"/>
  <c r="DU172" i="23917"/>
  <c r="DW237" i="24142"/>
  <c r="DW173" i="23917"/>
  <c r="BX240" i="24142"/>
  <c r="BX176" i="23917"/>
  <c r="BX226" i="24142"/>
  <c r="BX164" i="23917"/>
  <c r="DW250" i="24142"/>
  <c r="DW184" i="23917"/>
  <c r="DX240" i="24142"/>
  <c r="DX176" i="23917"/>
  <c r="CY262" i="23917"/>
  <c r="CP9" i="23917"/>
  <c r="CQ9" i="23917"/>
  <c r="EA302" i="23917"/>
  <c r="EA151" i="24142"/>
  <c r="DV233" i="24142"/>
  <c r="DV195" i="24142"/>
  <c r="DU197" i="24142"/>
  <c r="DU135" i="23917"/>
  <c r="DW251" i="24142"/>
  <c r="DW185" i="23917"/>
  <c r="CY270" i="23917"/>
  <c r="CS151" i="24142"/>
  <c r="CS302" i="23917"/>
  <c r="CR153" i="24142"/>
  <c r="CR304" i="23917"/>
  <c r="CR305" i="23917" s="1"/>
  <c r="CR9" i="24142"/>
  <c r="CQ159" i="24142"/>
  <c r="CQ313" i="23917"/>
  <c r="BW250" i="24142"/>
  <c r="BW184" i="23917"/>
  <c r="BW245" i="24142"/>
  <c r="BW134" i="23917"/>
  <c r="BW181" i="23917"/>
  <c r="BU197" i="24142"/>
  <c r="BU135" i="23917"/>
  <c r="BW231" i="24142"/>
  <c r="BW169" i="23917"/>
  <c r="BW133" i="23917"/>
  <c r="CR113" i="24142"/>
  <c r="CR209" i="23917"/>
  <c r="EA111" i="24142"/>
  <c r="EA207" i="23917"/>
  <c r="CS111" i="24142"/>
  <c r="CS207" i="23917"/>
  <c r="CQ122" i="24142"/>
  <c r="CQ224" i="23917"/>
  <c r="EB126" i="24142"/>
  <c r="EB228" i="23917"/>
  <c r="EB125" i="24142"/>
  <c r="EB227" i="23917"/>
  <c r="CQ8" i="23917"/>
  <c r="CP10" i="23917"/>
  <c r="DA245" i="23917" l="1"/>
  <c r="CX141" i="24142"/>
  <c r="CX292" i="23917"/>
  <c r="CU298" i="23917"/>
  <c r="CU147" i="24142"/>
  <c r="CT299" i="23917"/>
  <c r="CT148" i="24142"/>
  <c r="CZ268" i="23917"/>
  <c r="DA253" i="23917"/>
  <c r="CZ219" i="23917"/>
  <c r="CZ245" i="23917"/>
  <c r="CY103" i="24142"/>
  <c r="CY199" i="23917"/>
  <c r="CZ247" i="23917"/>
  <c r="DA247" i="23917"/>
  <c r="EC243" i="23917"/>
  <c r="ED243" i="23917"/>
  <c r="CZ269" i="23917"/>
  <c r="DA269" i="23917"/>
  <c r="DA248" i="23917"/>
  <c r="CZ248" i="23917"/>
  <c r="ED241" i="23917"/>
  <c r="EC241" i="23917"/>
  <c r="ED242" i="23917"/>
  <c r="EC242" i="23917"/>
  <c r="DA219" i="23917"/>
  <c r="DA265" i="23917"/>
  <c r="CZ138" i="24142"/>
  <c r="CZ289" i="23917"/>
  <c r="CW101" i="24142"/>
  <c r="CW197" i="23917"/>
  <c r="CU110" i="24142"/>
  <c r="CU206" i="23917"/>
  <c r="CY276" i="23917"/>
  <c r="CX276" i="23917"/>
  <c r="CW147" i="24142"/>
  <c r="CW298" i="23917"/>
  <c r="CY260" i="23917"/>
  <c r="CX260" i="23917"/>
  <c r="CW102" i="24142"/>
  <c r="CW198" i="23917"/>
  <c r="CY258" i="23917"/>
  <c r="CY220" i="23917"/>
  <c r="CX144" i="24142"/>
  <c r="CX295" i="23917"/>
  <c r="CZ139" i="24142"/>
  <c r="CZ290" i="23917"/>
  <c r="CV104" i="24142"/>
  <c r="CV200" i="23917"/>
  <c r="CX273" i="23917"/>
  <c r="CX221" i="23917"/>
  <c r="CV148" i="24142"/>
  <c r="CV299" i="23917"/>
  <c r="EC310" i="23917"/>
  <c r="CU107" i="24142"/>
  <c r="CU203" i="23917"/>
  <c r="CW108" i="24142"/>
  <c r="CW204" i="23917"/>
  <c r="ED310" i="23917"/>
  <c r="BY251" i="24142"/>
  <c r="BX251" i="24142"/>
  <c r="BX185" i="23917"/>
  <c r="BW172" i="23917"/>
  <c r="BV236" i="24142"/>
  <c r="BV172" i="23917"/>
  <c r="DA256" i="23917"/>
  <c r="BV197" i="24142"/>
  <c r="BV135" i="23917"/>
  <c r="BU201" i="24142"/>
  <c r="BT201" i="24142"/>
  <c r="BT139" i="23917"/>
  <c r="BX250" i="24142"/>
  <c r="BX184" i="23917"/>
  <c r="DV197" i="24142"/>
  <c r="DV135" i="23917"/>
  <c r="BX231" i="24142"/>
  <c r="BX169" i="23917"/>
  <c r="BX133" i="23917"/>
  <c r="BY237" i="24142"/>
  <c r="BX237" i="24142"/>
  <c r="BX173" i="23917"/>
  <c r="CR313" i="23917"/>
  <c r="CR159" i="24142"/>
  <c r="CS9" i="24142"/>
  <c r="CS153" i="24142"/>
  <c r="CS304" i="23917"/>
  <c r="DX251" i="24142"/>
  <c r="DX185" i="23917"/>
  <c r="EA304" i="23917"/>
  <c r="EA305" i="23917" s="1"/>
  <c r="EA9" i="24142"/>
  <c r="EA153" i="24142"/>
  <c r="DX237" i="24142"/>
  <c r="DX173" i="23917"/>
  <c r="BU205" i="24142"/>
  <c r="BT205" i="24142"/>
  <c r="BT143" i="23917"/>
  <c r="BX245" i="24142"/>
  <c r="BX134" i="23917"/>
  <c r="BX181" i="23917"/>
  <c r="CX274" i="23917"/>
  <c r="EA152" i="24142"/>
  <c r="EA303" i="23917"/>
  <c r="EB151" i="24142"/>
  <c r="EB302" i="23917"/>
  <c r="DX250" i="24142"/>
  <c r="DX184" i="23917"/>
  <c r="DV236" i="24142"/>
  <c r="DV172" i="23917"/>
  <c r="BW233" i="24142"/>
  <c r="BW195" i="24142"/>
  <c r="BU143" i="23917"/>
  <c r="BY185" i="23917"/>
  <c r="BU139" i="23917"/>
  <c r="BY240" i="24142"/>
  <c r="BY176" i="23917"/>
  <c r="BY173" i="23917"/>
  <c r="BW247" i="24142"/>
  <c r="BW196" i="24142"/>
  <c r="BY226" i="24142"/>
  <c r="BY164" i="23917"/>
  <c r="BW236" i="24142"/>
  <c r="EA113" i="24142"/>
  <c r="EA209" i="23917"/>
  <c r="CR114" i="24142"/>
  <c r="CR210" i="23917"/>
  <c r="CS113" i="24142"/>
  <c r="CS209" i="23917"/>
  <c r="EB111" i="24142"/>
  <c r="EB207" i="23917"/>
  <c r="CQ10" i="23917"/>
  <c r="CT150" i="24142" l="1"/>
  <c r="CT301" i="23917"/>
  <c r="CU148" i="24142"/>
  <c r="CU299" i="23917"/>
  <c r="EC263" i="23917"/>
  <c r="CZ256" i="23917"/>
  <c r="DA268" i="23917"/>
  <c r="CZ262" i="23917"/>
  <c r="CZ258" i="23917"/>
  <c r="CZ270" i="23917"/>
  <c r="DA255" i="23917"/>
  <c r="CZ255" i="23917"/>
  <c r="CZ199" i="23917"/>
  <c r="EC249" i="23917"/>
  <c r="ED249" i="23917"/>
  <c r="CZ103" i="24142"/>
  <c r="EC245" i="23917"/>
  <c r="EC219" i="23917"/>
  <c r="EC250" i="23917"/>
  <c r="ED250" i="23917"/>
  <c r="ED269" i="23917"/>
  <c r="EC269" i="23917"/>
  <c r="ED247" i="23917"/>
  <c r="EC247" i="23917"/>
  <c r="EC248" i="23917"/>
  <c r="ED248" i="23917"/>
  <c r="EC262" i="23917"/>
  <c r="EC270" i="23917"/>
  <c r="CZ265" i="23917"/>
  <c r="ED264" i="23917"/>
  <c r="CW148" i="24142"/>
  <c r="CW299" i="23917"/>
  <c r="CX108" i="24142"/>
  <c r="CX204" i="23917"/>
  <c r="CY277" i="23917"/>
  <c r="CX277" i="23917"/>
  <c r="CY273" i="23917"/>
  <c r="CY221" i="23917"/>
  <c r="CW104" i="24142"/>
  <c r="CW200" i="23917"/>
  <c r="CZ141" i="24142"/>
  <c r="CZ292" i="23917"/>
  <c r="DA271" i="23917"/>
  <c r="CZ271" i="23917"/>
  <c r="EC139" i="24142"/>
  <c r="EC290" i="23917"/>
  <c r="ED255" i="23917"/>
  <c r="EC255" i="23917"/>
  <c r="CY144" i="24142"/>
  <c r="CY295" i="23917"/>
  <c r="CV150" i="24142"/>
  <c r="CV301" i="23917"/>
  <c r="CT111" i="24142"/>
  <c r="CT207" i="23917"/>
  <c r="CZ144" i="24142"/>
  <c r="CZ295" i="23917"/>
  <c r="DA138" i="24142"/>
  <c r="DA289" i="23917"/>
  <c r="DA139" i="24142"/>
  <c r="DA290" i="23917"/>
  <c r="EC144" i="24142"/>
  <c r="EC295" i="23917"/>
  <c r="EC138" i="24142"/>
  <c r="EC289" i="23917"/>
  <c r="BX233" i="24142"/>
  <c r="BX195" i="24142"/>
  <c r="BZ226" i="24142"/>
  <c r="BZ164" i="23917"/>
  <c r="BX236" i="24142"/>
  <c r="BX172" i="23917"/>
  <c r="DU201" i="24142"/>
  <c r="DU139" i="23917"/>
  <c r="BX247" i="24142"/>
  <c r="BX196" i="24142"/>
  <c r="EB303" i="23917"/>
  <c r="EB152" i="24142"/>
  <c r="CR9" i="23917"/>
  <c r="CS9" i="23917"/>
  <c r="EA313" i="23917"/>
  <c r="EA159" i="24142"/>
  <c r="CS159" i="24142"/>
  <c r="CS313" i="23917"/>
  <c r="DU205" i="24142"/>
  <c r="DU143" i="23917"/>
  <c r="BZ240" i="24142"/>
  <c r="BZ176" i="23917"/>
  <c r="CY274" i="23917"/>
  <c r="EB9" i="24142"/>
  <c r="EB153" i="24142"/>
  <c r="EB304" i="23917"/>
  <c r="DA262" i="23917"/>
  <c r="BY231" i="24142"/>
  <c r="BY169" i="23917"/>
  <c r="BY133" i="23917"/>
  <c r="BW197" i="24142"/>
  <c r="BW135" i="23917"/>
  <c r="BY245" i="24142"/>
  <c r="BY134" i="23917"/>
  <c r="BY181" i="23917"/>
  <c r="BY236" i="24142"/>
  <c r="BY172" i="23917"/>
  <c r="BY250" i="24142"/>
  <c r="BY184" i="23917"/>
  <c r="EA114" i="24142"/>
  <c r="EA210" i="23917"/>
  <c r="CS114" i="24142"/>
  <c r="CS210" i="23917"/>
  <c r="CR116" i="24142"/>
  <c r="CR8" i="24142"/>
  <c r="CR10" i="24142"/>
  <c r="CR212" i="23917"/>
  <c r="CR213" i="23917" s="1"/>
  <c r="EB113" i="24142"/>
  <c r="EB209" i="23917"/>
  <c r="CX146" i="24142" l="1"/>
  <c r="CX297" i="23917"/>
  <c r="CU150" i="24142"/>
  <c r="CU301" i="23917"/>
  <c r="CT151" i="24142"/>
  <c r="CT302" i="23917"/>
  <c r="ED270" i="23917"/>
  <c r="ED263" i="23917"/>
  <c r="EC256" i="23917"/>
  <c r="ED256" i="23917"/>
  <c r="DA258" i="23917"/>
  <c r="EF263" i="23917"/>
  <c r="CZ220" i="23917"/>
  <c r="CZ273" i="23917"/>
  <c r="DA276" i="23917"/>
  <c r="ED262" i="23917"/>
  <c r="EC258" i="23917"/>
  <c r="DA270" i="23917"/>
  <c r="EC271" i="23917"/>
  <c r="EF253" i="23917"/>
  <c r="EC276" i="23917"/>
  <c r="ED271" i="23917"/>
  <c r="DA103" i="24142"/>
  <c r="EF248" i="23917"/>
  <c r="EE248" i="23917"/>
  <c r="EF250" i="23917"/>
  <c r="EE250" i="23917"/>
  <c r="ED245" i="23917"/>
  <c r="ED219" i="23917"/>
  <c r="EF240" i="23917"/>
  <c r="EE240" i="23917"/>
  <c r="EF249" i="23917"/>
  <c r="EE249" i="23917"/>
  <c r="EC264" i="23917"/>
  <c r="EF264" i="23917"/>
  <c r="CU111" i="24142"/>
  <c r="CU207" i="23917"/>
  <c r="CX101" i="24142"/>
  <c r="CX197" i="23917"/>
  <c r="CV151" i="24142"/>
  <c r="CV302" i="23917"/>
  <c r="CW150" i="24142"/>
  <c r="CW301" i="23917"/>
  <c r="DA141" i="24142"/>
  <c r="DA292" i="23917"/>
  <c r="CV110" i="24142"/>
  <c r="CV206" i="23917"/>
  <c r="CV107" i="24142"/>
  <c r="CV203" i="23917"/>
  <c r="ED144" i="24142"/>
  <c r="ED295" i="23917"/>
  <c r="DA144" i="24142"/>
  <c r="DA295" i="23917"/>
  <c r="CT113" i="24142"/>
  <c r="CT209" i="23917"/>
  <c r="CX102" i="24142"/>
  <c r="CX198" i="23917"/>
  <c r="DA260" i="23917"/>
  <c r="CZ260" i="23917"/>
  <c r="EC141" i="24142"/>
  <c r="EC292" i="23917"/>
  <c r="ED138" i="24142"/>
  <c r="ED289" i="23917"/>
  <c r="ED139" i="24142"/>
  <c r="ED290" i="23917"/>
  <c r="CY108" i="24142"/>
  <c r="CY204" i="23917"/>
  <c r="CS10" i="24142"/>
  <c r="BW205" i="24142"/>
  <c r="BV205" i="24142"/>
  <c r="BV143" i="23917"/>
  <c r="BZ237" i="24142"/>
  <c r="BZ173" i="23917"/>
  <c r="BZ245" i="24142"/>
  <c r="BZ181" i="23917"/>
  <c r="BZ134" i="23917"/>
  <c r="BX197" i="24142"/>
  <c r="BX135" i="23917"/>
  <c r="BW201" i="24142"/>
  <c r="BV201" i="24142"/>
  <c r="BV139" i="23917"/>
  <c r="BZ231" i="24142"/>
  <c r="BZ169" i="23917"/>
  <c r="BZ133" i="23917"/>
  <c r="BZ251" i="24142"/>
  <c r="BZ185" i="23917"/>
  <c r="BZ250" i="24142"/>
  <c r="BZ184" i="23917"/>
  <c r="CZ274" i="23917"/>
  <c r="DV205" i="24142"/>
  <c r="DV143" i="23917"/>
  <c r="EA9" i="23917"/>
  <c r="EB9" i="23917"/>
  <c r="EB159" i="24142"/>
  <c r="EB313" i="23917"/>
  <c r="DV201" i="24142"/>
  <c r="DV139" i="23917"/>
  <c r="CA245" i="24142"/>
  <c r="CA134" i="23917"/>
  <c r="CA181" i="23917"/>
  <c r="BY247" i="24142"/>
  <c r="BY196" i="24142"/>
  <c r="BW143" i="23917"/>
  <c r="BY233" i="24142"/>
  <c r="BY195" i="24142"/>
  <c r="CA250" i="24142"/>
  <c r="CA184" i="23917"/>
  <c r="CA251" i="24142"/>
  <c r="CA185" i="23917"/>
  <c r="CA231" i="24142"/>
  <c r="CA169" i="23917"/>
  <c r="CA133" i="23917"/>
  <c r="BW139" i="23917"/>
  <c r="CA237" i="24142"/>
  <c r="CA173" i="23917"/>
  <c r="CA240" i="24142"/>
  <c r="CA176" i="23917"/>
  <c r="CA226" i="24142"/>
  <c r="CA164" i="23917"/>
  <c r="CS116" i="24142"/>
  <c r="CS8" i="24142"/>
  <c r="CS212" i="23917"/>
  <c r="EB114" i="24142"/>
  <c r="EB210" i="23917"/>
  <c r="EA115" i="24142"/>
  <c r="EA211" i="23917"/>
  <c r="CR122" i="24142"/>
  <c r="CR224" i="23917"/>
  <c r="EA116" i="24142"/>
  <c r="EA10" i="24142"/>
  <c r="EA8" i="24142"/>
  <c r="EA212" i="23917"/>
  <c r="EA213" i="23917" s="1"/>
  <c r="CZ276" i="23917" l="1"/>
  <c r="CX298" i="23917"/>
  <c r="CX147" i="24142"/>
  <c r="CY146" i="24142"/>
  <c r="CY297" i="23917"/>
  <c r="CU302" i="23917"/>
  <c r="CU151" i="24142"/>
  <c r="CT304" i="23917"/>
  <c r="CT305" i="23917" s="1"/>
  <c r="CT153" i="24142"/>
  <c r="CT9" i="24142"/>
  <c r="EF268" i="23917"/>
  <c r="DA220" i="23917"/>
  <c r="EC220" i="23917"/>
  <c r="ED276" i="23917"/>
  <c r="CZ221" i="23917"/>
  <c r="ED258" i="23917"/>
  <c r="EF265" i="23917"/>
  <c r="EE253" i="23917"/>
  <c r="EC260" i="23917"/>
  <c r="EE263" i="23917"/>
  <c r="ED220" i="23917"/>
  <c r="EF255" i="23917"/>
  <c r="EC221" i="23917"/>
  <c r="EC273" i="23917"/>
  <c r="EE264" i="23917"/>
  <c r="ED277" i="23917"/>
  <c r="DA199" i="23917"/>
  <c r="EC199" i="23917"/>
  <c r="EC103" i="24142"/>
  <c r="ED103" i="24142"/>
  <c r="ED199" i="23917"/>
  <c r="EF242" i="23917"/>
  <c r="EE242" i="23917"/>
  <c r="EF241" i="23917"/>
  <c r="EE241" i="23917"/>
  <c r="EG250" i="23917"/>
  <c r="EH250" i="23917"/>
  <c r="EH248" i="23917"/>
  <c r="EG248" i="23917"/>
  <c r="EH249" i="23917"/>
  <c r="EG249" i="23917"/>
  <c r="EF243" i="23917"/>
  <c r="EE243" i="23917"/>
  <c r="EE268" i="23917"/>
  <c r="ED260" i="23917"/>
  <c r="CZ146" i="24142"/>
  <c r="CZ297" i="23917"/>
  <c r="CT116" i="24142"/>
  <c r="CT10" i="24142"/>
  <c r="CU10" i="24142" s="1"/>
  <c r="CT8" i="24142"/>
  <c r="CT212" i="23917"/>
  <c r="CT114" i="24142"/>
  <c r="CT210" i="23917"/>
  <c r="CV153" i="24142"/>
  <c r="CV9" i="24142"/>
  <c r="CV304" i="23917"/>
  <c r="CV305" i="23917" s="1"/>
  <c r="CX104" i="24142"/>
  <c r="CX200" i="23917"/>
  <c r="DA277" i="23917"/>
  <c r="CZ277" i="23917"/>
  <c r="DA273" i="23917"/>
  <c r="DA221" i="23917"/>
  <c r="CY102" i="24142"/>
  <c r="CY198" i="23917"/>
  <c r="ED141" i="24142"/>
  <c r="ED292" i="23917"/>
  <c r="CW110" i="24142"/>
  <c r="CW206" i="23917"/>
  <c r="CU113" i="24142"/>
  <c r="CU209" i="23917"/>
  <c r="CY101" i="24142"/>
  <c r="CY197" i="23917"/>
  <c r="CW107" i="24142"/>
  <c r="CW203" i="23917"/>
  <c r="EC277" i="23917"/>
  <c r="CW151" i="24142"/>
  <c r="CW302" i="23917"/>
  <c r="EE310" i="23917"/>
  <c r="EF310" i="23917"/>
  <c r="EE256" i="23917"/>
  <c r="EF256" i="23917"/>
  <c r="BZ197" i="24142"/>
  <c r="BZ135" i="23917"/>
  <c r="BZ233" i="24142"/>
  <c r="BZ195" i="24142"/>
  <c r="BZ247" i="24142"/>
  <c r="BZ196" i="24142"/>
  <c r="DA274" i="23917"/>
  <c r="CA135" i="23917"/>
  <c r="CA233" i="24142"/>
  <c r="CA195" i="24142"/>
  <c r="CA197" i="24142"/>
  <c r="CA247" i="24142"/>
  <c r="CA196" i="24142"/>
  <c r="CB240" i="24142"/>
  <c r="CB176" i="23917"/>
  <c r="BY197" i="24142"/>
  <c r="BY135" i="23917"/>
  <c r="CB226" i="24142"/>
  <c r="CB164" i="23917"/>
  <c r="CA236" i="24142"/>
  <c r="CA172" i="23917"/>
  <c r="EA122" i="24142"/>
  <c r="EA224" i="23917"/>
  <c r="CS122" i="24142"/>
  <c r="CS224" i="23917"/>
  <c r="EB115" i="24142"/>
  <c r="EB211" i="23917"/>
  <c r="EB116" i="24142"/>
  <c r="EB8" i="24142"/>
  <c r="EB212" i="23917"/>
  <c r="EM10" i="24142"/>
  <c r="EB10" i="24142"/>
  <c r="CR8" i="23917"/>
  <c r="CS8" i="23917"/>
  <c r="CY147" i="24142" l="1"/>
  <c r="CY298" i="23917"/>
  <c r="CX148" i="24142"/>
  <c r="CX299" i="23917"/>
  <c r="CU304" i="23917"/>
  <c r="CU9" i="24142"/>
  <c r="CU153" i="24142"/>
  <c r="CT159" i="24142"/>
  <c r="CT313" i="23917"/>
  <c r="EH263" i="23917"/>
  <c r="EG264" i="23917"/>
  <c r="EG263" i="23917"/>
  <c r="EE265" i="23917"/>
  <c r="EE255" i="23917"/>
  <c r="EF262" i="23917"/>
  <c r="EH264" i="23917"/>
  <c r="EE219" i="23917"/>
  <c r="EE245" i="23917"/>
  <c r="EG242" i="23917"/>
  <c r="EF245" i="23917"/>
  <c r="EF247" i="23917"/>
  <c r="EE247" i="23917"/>
  <c r="EI250" i="23917"/>
  <c r="EJ250" i="23917"/>
  <c r="EF269" i="23917"/>
  <c r="EE269" i="23917"/>
  <c r="EI249" i="23917"/>
  <c r="EJ249" i="23917"/>
  <c r="EI248" i="23917"/>
  <c r="EJ248" i="23917"/>
  <c r="CT213" i="23917"/>
  <c r="CT122" i="24142"/>
  <c r="CT224" i="23917"/>
  <c r="CZ147" i="24142"/>
  <c r="CZ298" i="23917"/>
  <c r="CV111" i="24142"/>
  <c r="CV207" i="23917"/>
  <c r="CZ101" i="24142"/>
  <c r="CZ197" i="23917"/>
  <c r="CV159" i="24142"/>
  <c r="CV313" i="23917"/>
  <c r="EC108" i="24142"/>
  <c r="EC204" i="23917"/>
  <c r="EC162" i="24142"/>
  <c r="EC316" i="23917"/>
  <c r="CZ108" i="24142"/>
  <c r="CZ204" i="23917"/>
  <c r="CU116" i="24142"/>
  <c r="CU8" i="24142"/>
  <c r="CU212" i="23917"/>
  <c r="DA146" i="24142"/>
  <c r="DA297" i="23917"/>
  <c r="CZ102" i="24142"/>
  <c r="CZ198" i="23917"/>
  <c r="CY104" i="24142"/>
  <c r="CY200" i="23917"/>
  <c r="CW153" i="24142"/>
  <c r="CW9" i="24142"/>
  <c r="CW304" i="23917"/>
  <c r="CU114" i="24142"/>
  <c r="CU210" i="23917"/>
  <c r="EC146" i="24142"/>
  <c r="EC297" i="23917"/>
  <c r="EI263" i="23917"/>
  <c r="EJ263" i="23917"/>
  <c r="EI264" i="23917"/>
  <c r="EJ264" i="23917"/>
  <c r="EE270" i="23917"/>
  <c r="EF270" i="23917"/>
  <c r="EF271" i="23917"/>
  <c r="EE271" i="23917"/>
  <c r="BY143" i="23917"/>
  <c r="BX205" i="24142"/>
  <c r="BX143" i="23917"/>
  <c r="BZ236" i="24142"/>
  <c r="BZ172" i="23917"/>
  <c r="BX201" i="24142"/>
  <c r="BX139" i="23917"/>
  <c r="CT8" i="23917"/>
  <c r="CV9" i="23917"/>
  <c r="CC226" i="24142"/>
  <c r="CC164" i="23917"/>
  <c r="BY201" i="24142"/>
  <c r="BY139" i="23917"/>
  <c r="CB250" i="24142"/>
  <c r="CB184" i="23917"/>
  <c r="CB231" i="24142"/>
  <c r="CB169" i="23917"/>
  <c r="CB133" i="23917"/>
  <c r="CB237" i="24142"/>
  <c r="CB173" i="23917"/>
  <c r="BY205" i="24142"/>
  <c r="CB245" i="24142"/>
  <c r="CB181" i="23917"/>
  <c r="CB134" i="23917"/>
  <c r="CC240" i="24142"/>
  <c r="CC176" i="23917"/>
  <c r="CB251" i="24142"/>
  <c r="CB185" i="23917"/>
  <c r="CR10" i="23917"/>
  <c r="CS10" i="23917"/>
  <c r="EB122" i="24142"/>
  <c r="EB224" i="23917"/>
  <c r="EA8" i="23917"/>
  <c r="EB8" i="23917"/>
  <c r="EF219" i="23917" l="1"/>
  <c r="EH242" i="23917"/>
  <c r="CX301" i="23917"/>
  <c r="CX150" i="24142"/>
  <c r="CY148" i="24142"/>
  <c r="CY299" i="23917"/>
  <c r="CT9" i="23917"/>
  <c r="CU9" i="23917"/>
  <c r="CU313" i="23917"/>
  <c r="CU159" i="24142"/>
  <c r="EF260" i="23917"/>
  <c r="EE262" i="23917"/>
  <c r="EE220" i="23917"/>
  <c r="EE258" i="23917"/>
  <c r="ED274" i="23917"/>
  <c r="EC274" i="23917"/>
  <c r="ED221" i="23917"/>
  <c r="ED273" i="23917"/>
  <c r="EG243" i="23917"/>
  <c r="EG240" i="23917"/>
  <c r="EH240" i="23917"/>
  <c r="EH241" i="23917"/>
  <c r="EE103" i="24142"/>
  <c r="EL250" i="23917"/>
  <c r="EK250" i="23917"/>
  <c r="EM250" i="23917"/>
  <c r="EL248" i="23917"/>
  <c r="EK248" i="23917"/>
  <c r="EM248" i="23917"/>
  <c r="EL249" i="23917"/>
  <c r="EM249" i="23917"/>
  <c r="EK249" i="23917"/>
  <c r="CX110" i="24142"/>
  <c r="CX206" i="23917"/>
  <c r="DA101" i="24142"/>
  <c r="DA197" i="23917"/>
  <c r="CV113" i="24142"/>
  <c r="CV209" i="23917"/>
  <c r="CZ148" i="24142"/>
  <c r="CZ299" i="23917"/>
  <c r="EC102" i="24142"/>
  <c r="EC198" i="23917"/>
  <c r="EG310" i="23917"/>
  <c r="ED108" i="24142"/>
  <c r="ED204" i="23917"/>
  <c r="EC101" i="24142"/>
  <c r="EC197" i="23917"/>
  <c r="EC147" i="24142"/>
  <c r="EC298" i="23917"/>
  <c r="CX107" i="24142"/>
  <c r="CX203" i="23917"/>
  <c r="CZ104" i="24142"/>
  <c r="CZ200" i="23917"/>
  <c r="CW111" i="24142"/>
  <c r="CW207" i="23917"/>
  <c r="DA147" i="24142"/>
  <c r="DA298" i="23917"/>
  <c r="EC148" i="24142"/>
  <c r="EC299" i="23917"/>
  <c r="DA102" i="24142"/>
  <c r="DA198" i="23917"/>
  <c r="EK264" i="23917"/>
  <c r="EM264" i="23917"/>
  <c r="EK263" i="23917"/>
  <c r="EM263" i="23917"/>
  <c r="ED162" i="24142"/>
  <c r="ED316" i="23917"/>
  <c r="ED146" i="24142"/>
  <c r="ED297" i="23917"/>
  <c r="DA108" i="24142"/>
  <c r="DA204" i="23917"/>
  <c r="CW159" i="24142"/>
  <c r="CW313" i="23917"/>
  <c r="CU122" i="24142"/>
  <c r="CU224" i="23917"/>
  <c r="EE138" i="24142"/>
  <c r="EE289" i="23917"/>
  <c r="EE273" i="23917"/>
  <c r="EE221" i="23917"/>
  <c r="EL264" i="23917"/>
  <c r="EG253" i="23917"/>
  <c r="EE139" i="24142"/>
  <c r="EE290" i="23917"/>
  <c r="EE276" i="23917"/>
  <c r="EF276" i="23917"/>
  <c r="EE144" i="24142"/>
  <c r="EE295" i="23917"/>
  <c r="EL263" i="23917"/>
  <c r="EF258" i="23917"/>
  <c r="EF220" i="23917"/>
  <c r="EE316" i="23917"/>
  <c r="EE162" i="24142"/>
  <c r="BZ205" i="24142"/>
  <c r="BZ143" i="23917"/>
  <c r="BZ201" i="24142"/>
  <c r="BZ139" i="23917"/>
  <c r="CW9" i="23917"/>
  <c r="CU8" i="23917"/>
  <c r="CT10" i="23917"/>
  <c r="CC245" i="24142"/>
  <c r="CC134" i="23917"/>
  <c r="CC181" i="23917"/>
  <c r="CD240" i="24142"/>
  <c r="CD176" i="23917"/>
  <c r="DW245" i="24142"/>
  <c r="DW181" i="23917"/>
  <c r="DW134" i="23917"/>
  <c r="CB247" i="24142"/>
  <c r="CB196" i="24142"/>
  <c r="CA201" i="24142"/>
  <c r="CA139" i="23917"/>
  <c r="CD226" i="24142"/>
  <c r="CD164" i="23917"/>
  <c r="DW231" i="24142"/>
  <c r="DW169" i="23917"/>
  <c r="DW133" i="23917"/>
  <c r="CC251" i="24142"/>
  <c r="CC185" i="23917"/>
  <c r="CC237" i="24142"/>
  <c r="CC173" i="23917"/>
  <c r="CA205" i="24142"/>
  <c r="CA143" i="23917"/>
  <c r="CB233" i="24142"/>
  <c r="CB195" i="24142"/>
  <c r="CC231" i="24142"/>
  <c r="CC169" i="23917"/>
  <c r="CC133" i="23917"/>
  <c r="CC250" i="24142"/>
  <c r="CC184" i="23917"/>
  <c r="EA10" i="23917"/>
  <c r="EB10" i="23917"/>
  <c r="EH243" i="23917" l="1"/>
  <c r="EG241" i="23917"/>
  <c r="EE199" i="23917"/>
  <c r="CX151" i="24142"/>
  <c r="CX302" i="23917"/>
  <c r="CY150" i="24142"/>
  <c r="CY301" i="23917"/>
  <c r="EH310" i="23917"/>
  <c r="EE260" i="23917"/>
  <c r="EG265" i="23917"/>
  <c r="EH255" i="23917"/>
  <c r="EH253" i="23917"/>
  <c r="EG245" i="23917"/>
  <c r="EF199" i="23917"/>
  <c r="EF103" i="24142"/>
  <c r="EH269" i="23917"/>
  <c r="EG269" i="23917"/>
  <c r="EG247" i="23917"/>
  <c r="EH247" i="23917"/>
  <c r="CZ150" i="24142"/>
  <c r="CZ301" i="23917"/>
  <c r="CV114" i="24142"/>
  <c r="CV210" i="23917"/>
  <c r="CW113" i="24142"/>
  <c r="CW209" i="23917"/>
  <c r="EC150" i="24142"/>
  <c r="EC301" i="23917"/>
  <c r="ED148" i="24142"/>
  <c r="ED299" i="23917"/>
  <c r="ED101" i="24142"/>
  <c r="ED197" i="23917"/>
  <c r="DA104" i="24142"/>
  <c r="DA200" i="23917"/>
  <c r="CY110" i="24142"/>
  <c r="CY206" i="23917"/>
  <c r="DA148" i="24142"/>
  <c r="DA299" i="23917"/>
  <c r="CY107" i="24142"/>
  <c r="CY203" i="23917"/>
  <c r="EC104" i="24142"/>
  <c r="EC200" i="23917"/>
  <c r="ED147" i="24142"/>
  <c r="ED298" i="23917"/>
  <c r="ED102" i="24142"/>
  <c r="ED198" i="23917"/>
  <c r="EF162" i="24142"/>
  <c r="EF316" i="23917"/>
  <c r="EF139" i="24142"/>
  <c r="EF290" i="23917"/>
  <c r="EG268" i="23917"/>
  <c r="EH268" i="23917"/>
  <c r="EF221" i="23917"/>
  <c r="EF273" i="23917"/>
  <c r="EF277" i="23917"/>
  <c r="EE277" i="23917"/>
  <c r="EF289" i="23917"/>
  <c r="EF138" i="24142"/>
  <c r="EG316" i="23917"/>
  <c r="EG162" i="24142"/>
  <c r="EF144" i="24142"/>
  <c r="EF295" i="23917"/>
  <c r="EG256" i="23917"/>
  <c r="EH256" i="23917"/>
  <c r="EH265" i="23917"/>
  <c r="EE274" i="23917"/>
  <c r="EF274" i="23917"/>
  <c r="EE292" i="23917"/>
  <c r="EE141" i="24142"/>
  <c r="CU10" i="23917"/>
  <c r="CB236" i="24142"/>
  <c r="CB172" i="23917"/>
  <c r="DX231" i="24142"/>
  <c r="DX169" i="23917"/>
  <c r="DX133" i="23917"/>
  <c r="DW233" i="24142"/>
  <c r="DW195" i="24142"/>
  <c r="CD245" i="24142"/>
  <c r="CD181" i="23917"/>
  <c r="CD134" i="23917"/>
  <c r="CD250" i="24142"/>
  <c r="CD184" i="23917"/>
  <c r="DW247" i="24142"/>
  <c r="DW196" i="24142"/>
  <c r="CD231" i="24142"/>
  <c r="CD169" i="23917"/>
  <c r="CD133" i="23917"/>
  <c r="CD237" i="24142"/>
  <c r="CD173" i="23917"/>
  <c r="DY226" i="24142"/>
  <c r="DY164" i="23917"/>
  <c r="CC247" i="24142"/>
  <c r="CC196" i="24142"/>
  <c r="CD251" i="24142"/>
  <c r="CD185" i="23917"/>
  <c r="CE240" i="24142"/>
  <c r="CE176" i="23917"/>
  <c r="CB197" i="24142"/>
  <c r="CB135" i="23917"/>
  <c r="DY240" i="24142"/>
  <c r="DY176" i="23917"/>
  <c r="DX245" i="24142"/>
  <c r="DX134" i="23917"/>
  <c r="DX181" i="23917"/>
  <c r="CC233" i="24142"/>
  <c r="CC195" i="24142"/>
  <c r="CE226" i="24142"/>
  <c r="CE164" i="23917"/>
  <c r="EG219" i="23917" l="1"/>
  <c r="CY151" i="24142"/>
  <c r="CY302" i="23917"/>
  <c r="CX304" i="23917"/>
  <c r="CX305" i="23917" s="1"/>
  <c r="CX153" i="24142"/>
  <c r="CX9" i="24142"/>
  <c r="EG139" i="24142"/>
  <c r="EG289" i="23917"/>
  <c r="EG255" i="23917"/>
  <c r="EJ240" i="23917"/>
  <c r="EI240" i="23917"/>
  <c r="EH245" i="23917"/>
  <c r="EH219" i="23917"/>
  <c r="CZ151" i="24142"/>
  <c r="CZ302" i="23917"/>
  <c r="DA150" i="24142"/>
  <c r="DA301" i="23917"/>
  <c r="CZ107" i="24142"/>
  <c r="CZ203" i="23917"/>
  <c r="CW114" i="24142"/>
  <c r="CW210" i="23917"/>
  <c r="CX111" i="24142"/>
  <c r="CX207" i="23917"/>
  <c r="CV116" i="24142"/>
  <c r="CV10" i="24142"/>
  <c r="CW10" i="24142" s="1"/>
  <c r="CV8" i="24142"/>
  <c r="CV212" i="23917"/>
  <c r="CV213" i="23917" s="1"/>
  <c r="CZ110" i="24142"/>
  <c r="CZ206" i="23917"/>
  <c r="ED104" i="24142"/>
  <c r="ED200" i="23917"/>
  <c r="ED150" i="24142"/>
  <c r="ED301" i="23917"/>
  <c r="EH271" i="23917"/>
  <c r="EG271" i="23917"/>
  <c r="EH162" i="24142"/>
  <c r="EH316" i="23917"/>
  <c r="EG138" i="24142"/>
  <c r="EE108" i="24142"/>
  <c r="EE204" i="23917"/>
  <c r="EG258" i="23917"/>
  <c r="EG220" i="23917"/>
  <c r="EG262" i="23917"/>
  <c r="EH262" i="23917"/>
  <c r="EF292" i="23917"/>
  <c r="EF141" i="24142"/>
  <c r="EI316" i="23917"/>
  <c r="EI162" i="24142"/>
  <c r="EG270" i="23917"/>
  <c r="EH270" i="23917"/>
  <c r="EE101" i="24142"/>
  <c r="EE197" i="23917"/>
  <c r="CE245" i="24142"/>
  <c r="CE134" i="23917"/>
  <c r="CE181" i="23917"/>
  <c r="CD247" i="24142"/>
  <c r="CD196" i="24142"/>
  <c r="CF240" i="24142"/>
  <c r="CF176" i="23917"/>
  <c r="DY237" i="24142"/>
  <c r="DY173" i="23917"/>
  <c r="DY250" i="24142"/>
  <c r="DY184" i="23917"/>
  <c r="DZ240" i="24142"/>
  <c r="DZ176" i="23917"/>
  <c r="CC197" i="24142"/>
  <c r="CC135" i="23917"/>
  <c r="DW197" i="24142"/>
  <c r="DW135" i="23917"/>
  <c r="CD195" i="24142"/>
  <c r="CD233" i="24142"/>
  <c r="CE231" i="24142"/>
  <c r="CE169" i="23917"/>
  <c r="CE133" i="23917"/>
  <c r="CE250" i="24142"/>
  <c r="CE184" i="23917"/>
  <c r="DW236" i="24142"/>
  <c r="DW172" i="23917"/>
  <c r="CE237" i="24142"/>
  <c r="CE173" i="23917"/>
  <c r="DX247" i="24142"/>
  <c r="DX196" i="24142"/>
  <c r="DZ226" i="24142"/>
  <c r="DZ164" i="23917"/>
  <c r="DY251" i="24142"/>
  <c r="DY185" i="23917"/>
  <c r="CF226" i="24142"/>
  <c r="CF164" i="23917"/>
  <c r="CE251" i="24142"/>
  <c r="CE185" i="23917"/>
  <c r="DX233" i="24142"/>
  <c r="DX195" i="24142"/>
  <c r="CC236" i="24142"/>
  <c r="CC172" i="23917"/>
  <c r="CX313" i="23917" l="1"/>
  <c r="CX159" i="24142"/>
  <c r="CY9" i="24142"/>
  <c r="CY153" i="24142"/>
  <c r="CY304" i="23917"/>
  <c r="EG290" i="23917"/>
  <c r="EH138" i="24142"/>
  <c r="EJ242" i="23917"/>
  <c r="EI242" i="23917"/>
  <c r="EG199" i="23917"/>
  <c r="EG103" i="24142"/>
  <c r="EI243" i="23917"/>
  <c r="EJ243" i="23917"/>
  <c r="EI241" i="23917"/>
  <c r="EJ241" i="23917"/>
  <c r="EJ310" i="23917"/>
  <c r="EI310" i="23917"/>
  <c r="DA110" i="24142"/>
  <c r="DA206" i="23917"/>
  <c r="CV122" i="24142"/>
  <c r="CV224" i="23917"/>
  <c r="CX113" i="24142"/>
  <c r="CX209" i="23917"/>
  <c r="CZ153" i="24142"/>
  <c r="CZ9" i="24142"/>
  <c r="CZ304" i="23917"/>
  <c r="CZ305" i="23917" s="1"/>
  <c r="EC107" i="24142"/>
  <c r="EC203" i="23917"/>
  <c r="EC126" i="24142"/>
  <c r="EC228" i="23917"/>
  <c r="DA151" i="24142"/>
  <c r="DA302" i="23917"/>
  <c r="EC110" i="24142"/>
  <c r="EC206" i="23917"/>
  <c r="CW116" i="24142"/>
  <c r="CW8" i="24142"/>
  <c r="CW212" i="23917"/>
  <c r="CY111" i="24142"/>
  <c r="CY207" i="23917"/>
  <c r="DA107" i="24142"/>
  <c r="DA203" i="23917"/>
  <c r="EC151" i="24142"/>
  <c r="EC302" i="23917"/>
  <c r="EK162" i="24142"/>
  <c r="EK316" i="23917"/>
  <c r="EM316" i="23917"/>
  <c r="EF101" i="24142"/>
  <c r="EF197" i="23917"/>
  <c r="EG144" i="24142"/>
  <c r="EG295" i="23917"/>
  <c r="EE198" i="23917"/>
  <c r="EE102" i="24142"/>
  <c r="EJ162" i="24142"/>
  <c r="EJ316" i="23917"/>
  <c r="EG221" i="23917"/>
  <c r="EG273" i="23917"/>
  <c r="EG260" i="23917"/>
  <c r="EH260" i="23917"/>
  <c r="EF108" i="24142"/>
  <c r="EF204" i="23917"/>
  <c r="EE146" i="24142"/>
  <c r="EE297" i="23917"/>
  <c r="EG276" i="23917"/>
  <c r="EH276" i="23917"/>
  <c r="EI253" i="23917"/>
  <c r="EJ253" i="23917"/>
  <c r="EH258" i="23917"/>
  <c r="EH220" i="23917"/>
  <c r="EG292" i="23917"/>
  <c r="EG141" i="24142"/>
  <c r="EH290" i="23917"/>
  <c r="EH139" i="24142"/>
  <c r="CV8" i="23917"/>
  <c r="CF250" i="24142"/>
  <c r="CF184" i="23917"/>
  <c r="CG240" i="24142"/>
  <c r="CG176" i="23917"/>
  <c r="CD197" i="24142"/>
  <c r="CD135" i="23917"/>
  <c r="CE233" i="24142"/>
  <c r="CE195" i="24142"/>
  <c r="DX197" i="24142"/>
  <c r="DX135" i="23917"/>
  <c r="DZ237" i="24142"/>
  <c r="DZ173" i="23917"/>
  <c r="CF245" i="24142"/>
  <c r="CF181" i="23917"/>
  <c r="CF134" i="23917"/>
  <c r="CF251" i="24142"/>
  <c r="CF185" i="23917"/>
  <c r="DZ251" i="24142"/>
  <c r="DZ185" i="23917"/>
  <c r="CF237" i="24142"/>
  <c r="CF173" i="23917"/>
  <c r="CB201" i="24142"/>
  <c r="CB139" i="23917"/>
  <c r="DX236" i="24142"/>
  <c r="DX172" i="23917"/>
  <c r="DZ250" i="24142"/>
  <c r="DZ184" i="23917"/>
  <c r="CE247" i="24142"/>
  <c r="CE196" i="24142"/>
  <c r="CG226" i="24142"/>
  <c r="CG164" i="23917"/>
  <c r="CF231" i="24142"/>
  <c r="CF133" i="23917"/>
  <c r="CF169" i="23917"/>
  <c r="CB205" i="24142"/>
  <c r="CB143" i="23917"/>
  <c r="CD236" i="24142"/>
  <c r="CD172" i="23917"/>
  <c r="EJ245" i="23917" l="1"/>
  <c r="EM162" i="24142"/>
  <c r="CZ9" i="23917"/>
  <c r="CY313" i="23917"/>
  <c r="CY159" i="24142"/>
  <c r="EH289" i="23917"/>
  <c r="CX9" i="23917"/>
  <c r="CY9" i="23917"/>
  <c r="EI219" i="23917"/>
  <c r="EI245" i="23917"/>
  <c r="EI247" i="23917"/>
  <c r="EJ247" i="23917"/>
  <c r="EJ219" i="23917"/>
  <c r="EH103" i="24142"/>
  <c r="EH199" i="23917"/>
  <c r="EI269" i="23917"/>
  <c r="EJ269" i="23917"/>
  <c r="CY113" i="24142"/>
  <c r="CY209" i="23917"/>
  <c r="CZ111" i="24142"/>
  <c r="CZ207" i="23917"/>
  <c r="DA153" i="24142"/>
  <c r="DA9" i="24142"/>
  <c r="DA304" i="23917"/>
  <c r="EC153" i="24142"/>
  <c r="EC9" i="24142"/>
  <c r="EC304" i="23917"/>
  <c r="EC305" i="23917" s="1"/>
  <c r="EC111" i="24142"/>
  <c r="EC207" i="23917"/>
  <c r="EL162" i="24142"/>
  <c r="EL316" i="23917"/>
  <c r="ED107" i="24142"/>
  <c r="ED203" i="23917"/>
  <c r="CX116" i="24142"/>
  <c r="CX10" i="24142"/>
  <c r="CY10" i="24142" s="1"/>
  <c r="CX8" i="24142"/>
  <c r="CX212" i="23917"/>
  <c r="CX114" i="24142"/>
  <c r="CX210" i="23917"/>
  <c r="EC125" i="24142"/>
  <c r="EC227" i="23917"/>
  <c r="EC152" i="24142"/>
  <c r="EC303" i="23917"/>
  <c r="ED126" i="24142"/>
  <c r="ED228" i="23917"/>
  <c r="ED151" i="24142"/>
  <c r="ED302" i="23917"/>
  <c r="CZ159" i="24142"/>
  <c r="CZ313" i="23917"/>
  <c r="ED110" i="24142"/>
  <c r="ED206" i="23917"/>
  <c r="CW122" i="24142"/>
  <c r="CW224" i="23917"/>
  <c r="EH141" i="24142"/>
  <c r="EH292" i="23917"/>
  <c r="EI268" i="23917"/>
  <c r="EJ268" i="23917"/>
  <c r="EI256" i="23917"/>
  <c r="EJ256" i="23917"/>
  <c r="EI265" i="23917"/>
  <c r="EJ265" i="23917"/>
  <c r="EI139" i="24142"/>
  <c r="EI290" i="23917"/>
  <c r="EG102" i="24142"/>
  <c r="EG198" i="23917"/>
  <c r="EE298" i="23917"/>
  <c r="EE147" i="24142"/>
  <c r="EF146" i="24142"/>
  <c r="EF297" i="23917"/>
  <c r="EG274" i="23917"/>
  <c r="EH274" i="23917"/>
  <c r="EG277" i="23917"/>
  <c r="EH277" i="23917"/>
  <c r="EF102" i="24142"/>
  <c r="EF198" i="23917"/>
  <c r="EI255" i="23917"/>
  <c r="EJ255" i="23917"/>
  <c r="EI138" i="24142"/>
  <c r="EI289" i="23917"/>
  <c r="EE200" i="23917"/>
  <c r="EE104" i="24142"/>
  <c r="EE228" i="23917"/>
  <c r="EE126" i="24142"/>
  <c r="EH221" i="23917"/>
  <c r="EH273" i="23917"/>
  <c r="EH295" i="23917"/>
  <c r="EH144" i="24142"/>
  <c r="CV10" i="23917"/>
  <c r="CW8" i="23917"/>
  <c r="DA9" i="23917"/>
  <c r="CE197" i="24142"/>
  <c r="CE135" i="23917"/>
  <c r="CG250" i="24142"/>
  <c r="CG184" i="23917"/>
  <c r="CH226" i="24142"/>
  <c r="CH164" i="23917"/>
  <c r="CF236" i="24142"/>
  <c r="CF172" i="23917"/>
  <c r="CF247" i="24142"/>
  <c r="CF196" i="24142"/>
  <c r="DW205" i="24142"/>
  <c r="DW143" i="23917"/>
  <c r="CC205" i="24142"/>
  <c r="CC143" i="23917"/>
  <c r="CC201" i="24142"/>
  <c r="CC139" i="23917"/>
  <c r="CG251" i="24142"/>
  <c r="CG185" i="23917"/>
  <c r="CF233" i="24142"/>
  <c r="CF195" i="24142"/>
  <c r="CG231" i="24142"/>
  <c r="CG169" i="23917"/>
  <c r="CG133" i="23917"/>
  <c r="CH240" i="24142"/>
  <c r="CH176" i="23917"/>
  <c r="CG245" i="24142"/>
  <c r="CG134" i="23917"/>
  <c r="CG181" i="23917"/>
  <c r="DW201" i="24142"/>
  <c r="DW139" i="23917"/>
  <c r="CE236" i="24142"/>
  <c r="CE172" i="23917"/>
  <c r="CG237" i="24142"/>
  <c r="CG173" i="23917"/>
  <c r="T11" i="24158" l="1"/>
  <c r="T12" i="24158" s="1"/>
  <c r="EM310" i="23917"/>
  <c r="EL240" i="23917"/>
  <c r="EM242" i="23917"/>
  <c r="EK240" i="23917"/>
  <c r="EM240" i="23917"/>
  <c r="EI103" i="24142"/>
  <c r="EI199" i="23917"/>
  <c r="EM241" i="23917"/>
  <c r="EK243" i="23917"/>
  <c r="EM243" i="23917"/>
  <c r="EL243" i="23917"/>
  <c r="EK242" i="23917"/>
  <c r="CX213" i="23917"/>
  <c r="CY116" i="24142"/>
  <c r="CY8" i="24142"/>
  <c r="CY212" i="23917"/>
  <c r="DA111" i="24142"/>
  <c r="DA207" i="23917"/>
  <c r="EC113" i="24142"/>
  <c r="EC209" i="23917"/>
  <c r="CX122" i="24142"/>
  <c r="CX224" i="23917"/>
  <c r="CZ113" i="24142"/>
  <c r="CZ209" i="23917"/>
  <c r="EC159" i="24142"/>
  <c r="EC313" i="23917"/>
  <c r="CY114" i="24142"/>
  <c r="CY210" i="23917"/>
  <c r="ED152" i="24142"/>
  <c r="ED303" i="23917"/>
  <c r="ED125" i="24142"/>
  <c r="ED227" i="23917"/>
  <c r="DA159" i="24142"/>
  <c r="DA313" i="23917"/>
  <c r="ED111" i="24142"/>
  <c r="ED207" i="23917"/>
  <c r="ED153" i="24142"/>
  <c r="ED9" i="24142"/>
  <c r="ED304" i="23917"/>
  <c r="EG228" i="23917"/>
  <c r="EG126" i="24142"/>
  <c r="EF126" i="24142"/>
  <c r="EF228" i="23917"/>
  <c r="EF200" i="23917"/>
  <c r="EF104" i="24142"/>
  <c r="EI292" i="23917"/>
  <c r="EI141" i="24142"/>
  <c r="EI270" i="23917"/>
  <c r="EJ270" i="23917"/>
  <c r="EI262" i="23917"/>
  <c r="EJ262" i="23917"/>
  <c r="EF147" i="24142"/>
  <c r="EF298" i="23917"/>
  <c r="EI220" i="23917"/>
  <c r="EI258" i="23917"/>
  <c r="EG146" i="24142"/>
  <c r="EG297" i="23917"/>
  <c r="EJ289" i="23917"/>
  <c r="EJ138" i="24142"/>
  <c r="EI144" i="24142"/>
  <c r="EI295" i="23917"/>
  <c r="EG108" i="24142"/>
  <c r="EG204" i="23917"/>
  <c r="EG197" i="23917"/>
  <c r="EG101" i="24142"/>
  <c r="EE148" i="24142"/>
  <c r="EE299" i="23917"/>
  <c r="EH198" i="23917"/>
  <c r="EH102" i="24142"/>
  <c r="EJ290" i="23917"/>
  <c r="EJ139" i="24142"/>
  <c r="EI271" i="23917"/>
  <c r="EJ271" i="23917"/>
  <c r="EE303" i="23917"/>
  <c r="EE152" i="24142"/>
  <c r="EE227" i="23917"/>
  <c r="EE125" i="24142"/>
  <c r="CW10" i="23917"/>
  <c r="CX8" i="23917"/>
  <c r="CH245" i="24142"/>
  <c r="CH181" i="23917"/>
  <c r="CH134" i="23917"/>
  <c r="CI226" i="24142"/>
  <c r="CI164" i="23917"/>
  <c r="CH237" i="24142"/>
  <c r="CH173" i="23917"/>
  <c r="CI240" i="24142"/>
  <c r="CI176" i="23917"/>
  <c r="CD201" i="24142"/>
  <c r="CD139" i="23917"/>
  <c r="DX205" i="24142"/>
  <c r="DX143" i="23917"/>
  <c r="CG247" i="24142"/>
  <c r="CG196" i="24142"/>
  <c r="CH231" i="24142"/>
  <c r="CH169" i="23917"/>
  <c r="CH133" i="23917"/>
  <c r="CH251" i="24142"/>
  <c r="CH185" i="23917"/>
  <c r="CH250" i="24142"/>
  <c r="CH184" i="23917"/>
  <c r="CD205" i="24142"/>
  <c r="CD143" i="23917"/>
  <c r="CG233" i="24142"/>
  <c r="CG195" i="24142"/>
  <c r="CF197" i="24142"/>
  <c r="CF135" i="23917"/>
  <c r="DX201" i="24142"/>
  <c r="DX139" i="23917"/>
  <c r="CG236" i="24142"/>
  <c r="CG172" i="23917"/>
  <c r="EK310" i="23917" l="1"/>
  <c r="EL310" i="23917"/>
  <c r="EL242" i="23917"/>
  <c r="EL241" i="23917"/>
  <c r="EK241" i="23917"/>
  <c r="EK219" i="23917"/>
  <c r="EK245" i="23917"/>
  <c r="EJ199" i="23917"/>
  <c r="EJ103" i="24142"/>
  <c r="EL247" i="23917"/>
  <c r="EK247" i="23917"/>
  <c r="EM247" i="23917"/>
  <c r="EK269" i="23917"/>
  <c r="EM269" i="23917"/>
  <c r="EL269" i="23917"/>
  <c r="EE110" i="24142"/>
  <c r="EE206" i="23917"/>
  <c r="EK253" i="23917"/>
  <c r="EM253" i="23917"/>
  <c r="ED159" i="24142"/>
  <c r="ED313" i="23917"/>
  <c r="ED113" i="24142"/>
  <c r="ED209" i="23917"/>
  <c r="CZ114" i="24142"/>
  <c r="CZ210" i="23917"/>
  <c r="DA113" i="24142"/>
  <c r="DA209" i="23917"/>
  <c r="ED9" i="23917"/>
  <c r="EC9" i="23917"/>
  <c r="CY122" i="24142"/>
  <c r="CY224" i="23917"/>
  <c r="EG152" i="24142"/>
  <c r="EG303" i="23917"/>
  <c r="EF299" i="23917"/>
  <c r="EF148" i="24142"/>
  <c r="EH204" i="23917"/>
  <c r="EH108" i="24142"/>
  <c r="EJ295" i="23917"/>
  <c r="EJ144" i="24142"/>
  <c r="EG147" i="24142"/>
  <c r="EG298" i="23917"/>
  <c r="EI273" i="23917"/>
  <c r="EI221" i="23917"/>
  <c r="EI260" i="23917"/>
  <c r="EJ260" i="23917"/>
  <c r="EF125" i="24142"/>
  <c r="EF227" i="23917"/>
  <c r="EG227" i="23917"/>
  <c r="EG125" i="24142"/>
  <c r="EF152" i="24142"/>
  <c r="EF303" i="23917"/>
  <c r="EE150" i="24142"/>
  <c r="EE301" i="23917"/>
  <c r="EH197" i="23917"/>
  <c r="EH101" i="24142"/>
  <c r="EG200" i="23917"/>
  <c r="EG104" i="24142"/>
  <c r="EH297" i="23917"/>
  <c r="EH146" i="24142"/>
  <c r="EJ220" i="23917"/>
  <c r="EJ258" i="23917"/>
  <c r="EL253" i="23917"/>
  <c r="EI276" i="23917"/>
  <c r="EJ276" i="23917"/>
  <c r="EJ292" i="23917"/>
  <c r="EJ141" i="24142"/>
  <c r="EE203" i="23917"/>
  <c r="EE107" i="24142"/>
  <c r="EI228" i="23917"/>
  <c r="EI126" i="24142"/>
  <c r="EH228" i="23917"/>
  <c r="EH126" i="24142"/>
  <c r="EF206" i="23917"/>
  <c r="EF110" i="24142"/>
  <c r="CY8" i="23917"/>
  <c r="CX10" i="23917"/>
  <c r="CG197" i="24142"/>
  <c r="CG135" i="23917"/>
  <c r="CJ240" i="24142"/>
  <c r="CJ176" i="23917"/>
  <c r="CI250" i="24142"/>
  <c r="CI184" i="23917"/>
  <c r="CI245" i="24142"/>
  <c r="CI134" i="23917"/>
  <c r="CI181" i="23917"/>
  <c r="CH247" i="24142"/>
  <c r="CH196" i="24142"/>
  <c r="CJ226" i="24142"/>
  <c r="CJ164" i="23917"/>
  <c r="CI231" i="24142"/>
  <c r="CI169" i="23917"/>
  <c r="CI133" i="23917"/>
  <c r="CI251" i="24142"/>
  <c r="CI185" i="23917"/>
  <c r="CE201" i="24142"/>
  <c r="CE139" i="23917"/>
  <c r="CI237" i="24142"/>
  <c r="CI173" i="23917"/>
  <c r="CH195" i="24142"/>
  <c r="CH233" i="24142"/>
  <c r="CE205" i="24142"/>
  <c r="CE143" i="23917"/>
  <c r="T14" i="24158" l="1"/>
  <c r="T15" i="24158" s="1"/>
  <c r="EL219" i="23917"/>
  <c r="EL245" i="23917"/>
  <c r="EM219" i="23917"/>
  <c r="EM245" i="23917"/>
  <c r="DA114" i="24142"/>
  <c r="DA210" i="23917"/>
  <c r="EK126" i="24142"/>
  <c r="EK228" i="23917"/>
  <c r="EM228" i="23917"/>
  <c r="EK256" i="23917"/>
  <c r="EM256" i="23917"/>
  <c r="EL265" i="23917"/>
  <c r="EK265" i="23917"/>
  <c r="EM265" i="23917"/>
  <c r="EK138" i="24142"/>
  <c r="EK289" i="23917"/>
  <c r="CZ116" i="24142"/>
  <c r="CZ10" i="24142"/>
  <c r="DA10" i="24142" s="1"/>
  <c r="CZ8" i="24142"/>
  <c r="CZ212" i="23917"/>
  <c r="CZ213" i="23917" s="1"/>
  <c r="EC114" i="24142"/>
  <c r="EC210" i="23917"/>
  <c r="EK268" i="23917"/>
  <c r="EM268" i="23917"/>
  <c r="EK255" i="23917"/>
  <c r="EM255" i="23917"/>
  <c r="EK139" i="24142"/>
  <c r="EK290" i="23917"/>
  <c r="EL255" i="23917"/>
  <c r="EF150" i="24142"/>
  <c r="EF301" i="23917"/>
  <c r="EH227" i="23917"/>
  <c r="EH125" i="24142"/>
  <c r="EI297" i="23917"/>
  <c r="EI146" i="24142"/>
  <c r="EI274" i="23917"/>
  <c r="EJ274" i="23917"/>
  <c r="EI277" i="23917"/>
  <c r="EJ277" i="23917"/>
  <c r="EH298" i="23917"/>
  <c r="EH147" i="24142"/>
  <c r="EH152" i="24142"/>
  <c r="EH303" i="23917"/>
  <c r="EI152" i="24142"/>
  <c r="EI303" i="23917"/>
  <c r="EJ126" i="24142"/>
  <c r="EJ228" i="23917"/>
  <c r="EF203" i="23917"/>
  <c r="EF107" i="24142"/>
  <c r="EL268" i="23917"/>
  <c r="EL256" i="23917"/>
  <c r="EH200" i="23917"/>
  <c r="EH104" i="24142"/>
  <c r="EE302" i="23917"/>
  <c r="EE151" i="24142"/>
  <c r="EI125" i="24142"/>
  <c r="EI227" i="23917"/>
  <c r="EJ273" i="23917"/>
  <c r="EJ221" i="23917"/>
  <c r="EG148" i="24142"/>
  <c r="EG299" i="23917"/>
  <c r="CY10" i="23917"/>
  <c r="CH197" i="24142"/>
  <c r="CH135" i="23917"/>
  <c r="CJ250" i="24142"/>
  <c r="CJ184" i="23917"/>
  <c r="CJ251" i="24142"/>
  <c r="CJ185" i="23917"/>
  <c r="CF205" i="24142"/>
  <c r="CF143" i="23917"/>
  <c r="CI233" i="24142"/>
  <c r="CI195" i="24142"/>
  <c r="CJ231" i="24142"/>
  <c r="CJ169" i="23917"/>
  <c r="CJ133" i="23917"/>
  <c r="CK226" i="24142"/>
  <c r="CK164" i="23917"/>
  <c r="CH236" i="24142"/>
  <c r="CH172" i="23917"/>
  <c r="CJ245" i="24142"/>
  <c r="CJ181" i="23917"/>
  <c r="CJ134" i="23917"/>
  <c r="CK240" i="24142"/>
  <c r="CK176" i="23917"/>
  <c r="CF201" i="24142"/>
  <c r="CF139" i="23917"/>
  <c r="CI247" i="24142"/>
  <c r="CI196" i="24142"/>
  <c r="CJ237" i="24142"/>
  <c r="CJ173" i="23917"/>
  <c r="T17" i="24158" l="1"/>
  <c r="T18" i="24158" s="1"/>
  <c r="EE153" i="24142"/>
  <c r="EE9" i="24142"/>
  <c r="EE304" i="23917"/>
  <c r="EE305" i="23917" s="1"/>
  <c r="EK103" i="24142"/>
  <c r="EK199" i="23917"/>
  <c r="EE111" i="24142"/>
  <c r="EE207" i="23917"/>
  <c r="EM126" i="24142"/>
  <c r="DA116" i="24142"/>
  <c r="DA8" i="24142"/>
  <c r="DA212" i="23917"/>
  <c r="EC116" i="24142"/>
  <c r="EC10" i="24142"/>
  <c r="ED10" i="24142" s="1"/>
  <c r="EC8" i="24142"/>
  <c r="EC212" i="23917"/>
  <c r="EC213" i="23917" s="1"/>
  <c r="EK141" i="24142"/>
  <c r="EK292" i="23917"/>
  <c r="EL271" i="23917"/>
  <c r="EK271" i="23917"/>
  <c r="EM271" i="23917"/>
  <c r="EK152" i="24142"/>
  <c r="EK303" i="23917"/>
  <c r="EM303" i="23917"/>
  <c r="EK270" i="23917"/>
  <c r="EM270" i="23917"/>
  <c r="EL139" i="24142"/>
  <c r="EL290" i="23917"/>
  <c r="EM289" i="23917"/>
  <c r="EM138" i="24142"/>
  <c r="CZ122" i="24142"/>
  <c r="CZ224" i="23917"/>
  <c r="EC115" i="24142"/>
  <c r="EC211" i="23917"/>
  <c r="EL138" i="24142"/>
  <c r="EL289" i="23917"/>
  <c r="EK125" i="24142"/>
  <c r="EK227" i="23917"/>
  <c r="EM125" i="24142"/>
  <c r="EK258" i="23917"/>
  <c r="EK220" i="23917"/>
  <c r="EK144" i="24142"/>
  <c r="EK295" i="23917"/>
  <c r="EK262" i="23917"/>
  <c r="EM262" i="23917"/>
  <c r="EL126" i="24142"/>
  <c r="EL228" i="23917"/>
  <c r="EM290" i="23917"/>
  <c r="EM139" i="24142"/>
  <c r="ED114" i="24142"/>
  <c r="ED210" i="23917"/>
  <c r="EG301" i="23917"/>
  <c r="EG150" i="24142"/>
  <c r="EJ227" i="23917"/>
  <c r="EJ125" i="24142"/>
  <c r="EF151" i="24142"/>
  <c r="EF302" i="23917"/>
  <c r="EI198" i="23917"/>
  <c r="EI102" i="24142"/>
  <c r="EF207" i="23917"/>
  <c r="EF111" i="24142"/>
  <c r="EG107" i="24142"/>
  <c r="EG203" i="23917"/>
  <c r="EL262" i="23917"/>
  <c r="EH148" i="24142"/>
  <c r="EH299" i="23917"/>
  <c r="EJ303" i="23917"/>
  <c r="EJ152" i="24142"/>
  <c r="EI197" i="23917"/>
  <c r="EI101" i="24142"/>
  <c r="EJ146" i="24142"/>
  <c r="EJ297" i="23917"/>
  <c r="EI298" i="23917"/>
  <c r="EI147" i="24142"/>
  <c r="EF304" i="23917"/>
  <c r="EF153" i="24142"/>
  <c r="EF9" i="24142"/>
  <c r="EG206" i="23917"/>
  <c r="EG110" i="24142"/>
  <c r="EI204" i="23917"/>
  <c r="EI108" i="24142"/>
  <c r="EL270" i="23917"/>
  <c r="CZ8" i="23917"/>
  <c r="CL226" i="24142"/>
  <c r="CL164" i="23917"/>
  <c r="CJ233" i="24142"/>
  <c r="CJ195" i="24142"/>
  <c r="DY231" i="24142"/>
  <c r="DY169" i="23917"/>
  <c r="DY133" i="23917"/>
  <c r="CK231" i="24142"/>
  <c r="CK169" i="23917"/>
  <c r="CK133" i="23917"/>
  <c r="CJ247" i="24142"/>
  <c r="CJ196" i="24142"/>
  <c r="CI197" i="24142"/>
  <c r="CI135" i="23917"/>
  <c r="CK237" i="24142"/>
  <c r="CK173" i="23917"/>
  <c r="CI236" i="24142"/>
  <c r="CI172" i="23917"/>
  <c r="CG205" i="24142"/>
  <c r="CG143" i="23917"/>
  <c r="CK250" i="24142"/>
  <c r="CK184" i="23917"/>
  <c r="CL240" i="24142"/>
  <c r="CL176" i="23917"/>
  <c r="CK245" i="24142"/>
  <c r="CK134" i="23917"/>
  <c r="CK181" i="23917"/>
  <c r="DY245" i="24142"/>
  <c r="DY181" i="23917"/>
  <c r="DY134" i="23917"/>
  <c r="CJ236" i="24142"/>
  <c r="CJ172" i="23917"/>
  <c r="CG201" i="24142"/>
  <c r="CG139" i="23917"/>
  <c r="CK251" i="24142"/>
  <c r="CK185" i="23917"/>
  <c r="EE159" i="24142" l="1"/>
  <c r="EM152" i="24142"/>
  <c r="EE313" i="23917"/>
  <c r="EM199" i="23917"/>
  <c r="EM103" i="24142"/>
  <c r="EL103" i="24142"/>
  <c r="EL199" i="23917"/>
  <c r="EL277" i="23917"/>
  <c r="EE113" i="24142"/>
  <c r="EE209" i="23917"/>
  <c r="EM227" i="23917"/>
  <c r="EL276" i="23917"/>
  <c r="EK276" i="23917"/>
  <c r="EM276" i="23917"/>
  <c r="EK274" i="23917"/>
  <c r="EM274" i="23917"/>
  <c r="EL258" i="23917"/>
  <c r="EL220" i="23917"/>
  <c r="EM144" i="24142"/>
  <c r="EM295" i="23917"/>
  <c r="EM220" i="23917"/>
  <c r="EM258" i="23917"/>
  <c r="EL125" i="24142"/>
  <c r="EL227" i="23917"/>
  <c r="ED116" i="24142"/>
  <c r="ED8" i="24142"/>
  <c r="ED212" i="23917"/>
  <c r="EC122" i="24142"/>
  <c r="EC224" i="23917"/>
  <c r="ED115" i="24142"/>
  <c r="ED211" i="23917"/>
  <c r="EL260" i="23917"/>
  <c r="EK260" i="23917"/>
  <c r="EM260" i="23917"/>
  <c r="EL141" i="24142"/>
  <c r="EL292" i="23917"/>
  <c r="EK273" i="23917"/>
  <c r="EK221" i="23917"/>
  <c r="EL144" i="24142"/>
  <c r="EL295" i="23917"/>
  <c r="DA122" i="24142"/>
  <c r="DA224" i="23917"/>
  <c r="EL152" i="24142"/>
  <c r="EL303" i="23917"/>
  <c r="EM141" i="24142"/>
  <c r="EM292" i="23917"/>
  <c r="EJ147" i="24142"/>
  <c r="EJ298" i="23917"/>
  <c r="EJ197" i="23917"/>
  <c r="EJ101" i="24142"/>
  <c r="EL274" i="23917"/>
  <c r="EE211" i="23917"/>
  <c r="EE115" i="24142"/>
  <c r="EF159" i="24142"/>
  <c r="EF313" i="23917"/>
  <c r="EF209" i="23917"/>
  <c r="EF113" i="24142"/>
  <c r="EJ102" i="24142"/>
  <c r="EJ198" i="23917"/>
  <c r="EG302" i="23917"/>
  <c r="EG151" i="24142"/>
  <c r="EJ108" i="24142"/>
  <c r="EJ204" i="23917"/>
  <c r="EH110" i="24142"/>
  <c r="EH206" i="23917"/>
  <c r="EI148" i="24142"/>
  <c r="EI299" i="23917"/>
  <c r="EI104" i="24142"/>
  <c r="EI200" i="23917"/>
  <c r="EH203" i="23917"/>
  <c r="EH107" i="24142"/>
  <c r="EF9" i="23917"/>
  <c r="EH301" i="23917"/>
  <c r="EH150" i="24142"/>
  <c r="DA8" i="23917"/>
  <c r="CZ10" i="23917"/>
  <c r="DZ245" i="24142"/>
  <c r="DZ134" i="23917"/>
  <c r="DZ181" i="23917"/>
  <c r="DY247" i="24142"/>
  <c r="DY196" i="24142"/>
  <c r="CL245" i="24142"/>
  <c r="CL181" i="23917"/>
  <c r="CL134" i="23917"/>
  <c r="CL250" i="24142"/>
  <c r="CL184" i="23917"/>
  <c r="CK233" i="24142"/>
  <c r="CK195" i="24142"/>
  <c r="CH205" i="24142"/>
  <c r="CH143" i="23917"/>
  <c r="EA240" i="24142"/>
  <c r="EA176" i="23917"/>
  <c r="CL251" i="24142"/>
  <c r="CL185" i="23917"/>
  <c r="CM240" i="24142"/>
  <c r="CM176" i="23917"/>
  <c r="CH201" i="24142"/>
  <c r="CH139" i="23917"/>
  <c r="DY195" i="24142"/>
  <c r="DY233" i="24142"/>
  <c r="EA226" i="24142"/>
  <c r="EA164" i="23917"/>
  <c r="CJ197" i="24142"/>
  <c r="CJ135" i="23917"/>
  <c r="CM226" i="24142"/>
  <c r="CM164" i="23917"/>
  <c r="CK236" i="24142"/>
  <c r="CK172" i="23917"/>
  <c r="CK247" i="24142"/>
  <c r="CK196" i="24142"/>
  <c r="DZ231" i="24142"/>
  <c r="DZ169" i="23917"/>
  <c r="DZ133" i="23917"/>
  <c r="CL231" i="24142"/>
  <c r="CL169" i="23917"/>
  <c r="CL133" i="23917"/>
  <c r="CL237" i="24142"/>
  <c r="CL173" i="23917"/>
  <c r="EE9" i="23917" l="1"/>
  <c r="EM277" i="23917"/>
  <c r="EK277" i="23917"/>
  <c r="EK146" i="24142"/>
  <c r="EK297" i="23917"/>
  <c r="EK101" i="24142"/>
  <c r="EK197" i="23917"/>
  <c r="EM273" i="23917"/>
  <c r="EM221" i="23917"/>
  <c r="ED8" i="23917"/>
  <c r="EC8" i="23917"/>
  <c r="EK102" i="24142"/>
  <c r="EK198" i="23917"/>
  <c r="EL273" i="23917"/>
  <c r="EL221" i="23917"/>
  <c r="ED122" i="24142"/>
  <c r="ED224" i="23917"/>
  <c r="EI301" i="23917"/>
  <c r="EI150" i="24142"/>
  <c r="EJ148" i="24142"/>
  <c r="EJ299" i="23917"/>
  <c r="EG111" i="24142"/>
  <c r="EG207" i="23917"/>
  <c r="EH302" i="23917"/>
  <c r="EH151" i="24142"/>
  <c r="EG304" i="23917"/>
  <c r="EG305" i="23917" s="1"/>
  <c r="EG153" i="24142"/>
  <c r="EG9" i="24142"/>
  <c r="EF211" i="23917"/>
  <c r="EF115" i="24142"/>
  <c r="EE114" i="24142"/>
  <c r="EE210" i="23917"/>
  <c r="EJ200" i="23917"/>
  <c r="EJ104" i="24142"/>
  <c r="EG211" i="23917"/>
  <c r="EG115" i="24142"/>
  <c r="DA10" i="23917"/>
  <c r="CL236" i="24142"/>
  <c r="CN226" i="24142"/>
  <c r="CN164" i="23917"/>
  <c r="CM250" i="24142"/>
  <c r="CM184" i="23917"/>
  <c r="DY197" i="24142"/>
  <c r="DY135" i="23917"/>
  <c r="CL195" i="24142"/>
  <c r="CL233" i="24142"/>
  <c r="CM231" i="24142"/>
  <c r="CM169" i="23917"/>
  <c r="CM133" i="23917"/>
  <c r="DY236" i="24142"/>
  <c r="DY172" i="23917"/>
  <c r="EB240" i="24142"/>
  <c r="EB176" i="23917"/>
  <c r="EB226" i="24142"/>
  <c r="EB164" i="23917"/>
  <c r="CN240" i="24142"/>
  <c r="CN176" i="23917"/>
  <c r="DZ247" i="24142"/>
  <c r="DZ196" i="24142"/>
  <c r="CL172" i="23917"/>
  <c r="CM237" i="24142"/>
  <c r="CM173" i="23917"/>
  <c r="DZ233" i="24142"/>
  <c r="DZ195" i="24142"/>
  <c r="CM251" i="24142"/>
  <c r="CM185" i="23917"/>
  <c r="CK197" i="24142"/>
  <c r="CK135" i="23917"/>
  <c r="CM245" i="24142"/>
  <c r="CM134" i="23917"/>
  <c r="CM181" i="23917"/>
  <c r="CL196" i="24142"/>
  <c r="CL247" i="24142"/>
  <c r="CI201" i="24142"/>
  <c r="CI139" i="23917"/>
  <c r="CI205" i="24142"/>
  <c r="CI143" i="23917"/>
  <c r="ED10" i="23917" l="1"/>
  <c r="EC10" i="23917"/>
  <c r="EL146" i="24142"/>
  <c r="EL297" i="23917"/>
  <c r="EL101" i="24142"/>
  <c r="EL197" i="23917"/>
  <c r="EM102" i="24142"/>
  <c r="EM198" i="23917"/>
  <c r="EM101" i="24142"/>
  <c r="EM197" i="23917"/>
  <c r="EK108" i="24142"/>
  <c r="EK204" i="23917"/>
  <c r="EK147" i="24142"/>
  <c r="EK298" i="23917"/>
  <c r="EK104" i="24142"/>
  <c r="EK200" i="23917"/>
  <c r="EL102" i="24142"/>
  <c r="EL198" i="23917"/>
  <c r="EM297" i="23917"/>
  <c r="EM146" i="24142"/>
  <c r="EI211" i="23917"/>
  <c r="EI115" i="24142"/>
  <c r="EG113" i="24142"/>
  <c r="EG209" i="23917"/>
  <c r="EH207" i="23917"/>
  <c r="EH111" i="24142"/>
  <c r="EI151" i="24142"/>
  <c r="EI302" i="23917"/>
  <c r="EI110" i="24142"/>
  <c r="EI206" i="23917"/>
  <c r="EH115" i="24142"/>
  <c r="EH211" i="23917"/>
  <c r="EE116" i="24142"/>
  <c r="EE8" i="24142"/>
  <c r="EE10" i="24142"/>
  <c r="EF10" i="24142" s="1"/>
  <c r="EE212" i="23917"/>
  <c r="EE213" i="23917" s="1"/>
  <c r="EF114" i="24142"/>
  <c r="EF210" i="23917"/>
  <c r="EG313" i="23917"/>
  <c r="EG159" i="24142"/>
  <c r="EH9" i="24142"/>
  <c r="EH304" i="23917"/>
  <c r="EH153" i="24142"/>
  <c r="EJ301" i="23917"/>
  <c r="EJ150" i="24142"/>
  <c r="EI203" i="23917"/>
  <c r="EI107" i="24142"/>
  <c r="DZ236" i="24142"/>
  <c r="DZ172" i="23917"/>
  <c r="CJ205" i="24142"/>
  <c r="CJ143" i="23917"/>
  <c r="CL197" i="24142"/>
  <c r="CL135" i="23917"/>
  <c r="CJ201" i="24142"/>
  <c r="CJ139" i="23917"/>
  <c r="CM247" i="24142"/>
  <c r="CM196" i="24142"/>
  <c r="CM233" i="24142"/>
  <c r="CM195" i="24142"/>
  <c r="DZ197" i="24142"/>
  <c r="DZ135" i="23917"/>
  <c r="CM236" i="24142"/>
  <c r="CM172" i="23917"/>
  <c r="CO226" i="24142"/>
  <c r="CO164" i="23917"/>
  <c r="CO240" i="24142"/>
  <c r="CO176" i="23917"/>
  <c r="CN231" i="24142"/>
  <c r="CN169" i="23917"/>
  <c r="CN133" i="23917"/>
  <c r="CN250" i="24142"/>
  <c r="CN184" i="23917"/>
  <c r="CN251" i="24142"/>
  <c r="CN185" i="23917"/>
  <c r="CN245" i="24142"/>
  <c r="CN181" i="23917"/>
  <c r="CN134" i="23917"/>
  <c r="CN237" i="24142"/>
  <c r="CN173" i="23917"/>
  <c r="EL104" i="24142" l="1"/>
  <c r="EL200" i="23917"/>
  <c r="EK148" i="24142"/>
  <c r="EK299" i="23917"/>
  <c r="EK115" i="24142"/>
  <c r="EK211" i="23917"/>
  <c r="EM211" i="23917"/>
  <c r="EM200" i="23917"/>
  <c r="EM104" i="24142"/>
  <c r="EM204" i="23917"/>
  <c r="EM108" i="24142"/>
  <c r="EL147" i="24142"/>
  <c r="EL298" i="23917"/>
  <c r="EM147" i="24142"/>
  <c r="EM298" i="23917"/>
  <c r="EL108" i="24142"/>
  <c r="EL204" i="23917"/>
  <c r="EH313" i="23917"/>
  <c r="EH159" i="24142"/>
  <c r="EF116" i="24142"/>
  <c r="EF212" i="23917"/>
  <c r="EF8" i="24142"/>
  <c r="EJ110" i="24142"/>
  <c r="EJ206" i="23917"/>
  <c r="EH209" i="23917"/>
  <c r="EH113" i="24142"/>
  <c r="EJ211" i="23917"/>
  <c r="EJ115" i="24142"/>
  <c r="EJ107" i="24142"/>
  <c r="EJ203" i="23917"/>
  <c r="EE122" i="24142"/>
  <c r="EE224" i="23917"/>
  <c r="EJ151" i="24142"/>
  <c r="EJ302" i="23917"/>
  <c r="EI9" i="24142"/>
  <c r="EI304" i="23917"/>
  <c r="EI305" i="23917" s="1"/>
  <c r="EI153" i="24142"/>
  <c r="EG10" i="24142"/>
  <c r="EH10" i="24142" s="1"/>
  <c r="EG212" i="23917"/>
  <c r="EG116" i="24142"/>
  <c r="EG8" i="24142"/>
  <c r="EG114" i="24142"/>
  <c r="EG210" i="23917"/>
  <c r="EG9" i="23917"/>
  <c r="EH9" i="23917"/>
  <c r="DY205" i="24142"/>
  <c r="DY143" i="23917"/>
  <c r="CM197" i="24142"/>
  <c r="CM135" i="23917"/>
  <c r="DY201" i="24142"/>
  <c r="DY139" i="23917"/>
  <c r="CK201" i="24142"/>
  <c r="CK139" i="23917"/>
  <c r="CK205" i="24142"/>
  <c r="CK143" i="23917"/>
  <c r="CN233" i="24142"/>
  <c r="CN195" i="24142"/>
  <c r="CP251" i="24142"/>
  <c r="CP185" i="23917"/>
  <c r="CO237" i="24142"/>
  <c r="CO173" i="23917"/>
  <c r="CO250" i="24142"/>
  <c r="CO184" i="23917"/>
  <c r="CP226" i="24142"/>
  <c r="CP164" i="23917"/>
  <c r="CO245" i="24142"/>
  <c r="CO181" i="23917"/>
  <c r="CO134" i="23917"/>
  <c r="CO251" i="24142"/>
  <c r="CO185" i="23917"/>
  <c r="CN236" i="24142"/>
  <c r="CN172" i="23917"/>
  <c r="CO231" i="24142"/>
  <c r="CO169" i="23917"/>
  <c r="CO133" i="23917"/>
  <c r="CN247" i="24142"/>
  <c r="CN196" i="24142"/>
  <c r="CP237" i="24142"/>
  <c r="CP173" i="23917"/>
  <c r="CP240" i="24142"/>
  <c r="CP176" i="23917"/>
  <c r="EM115" i="24142" l="1"/>
  <c r="CT251" i="24142"/>
  <c r="CT185" i="23917"/>
  <c r="EK110" i="24142"/>
  <c r="EK206" i="23917"/>
  <c r="EL148" i="24142"/>
  <c r="EL299" i="23917"/>
  <c r="EL115" i="24142"/>
  <c r="EL211" i="23917"/>
  <c r="CT237" i="24142"/>
  <c r="CT173" i="23917"/>
  <c r="EK107" i="24142"/>
  <c r="EK203" i="23917"/>
  <c r="EK150" i="24142"/>
  <c r="EK301" i="23917"/>
  <c r="EM148" i="24142"/>
  <c r="EM299" i="23917"/>
  <c r="EG213" i="23917"/>
  <c r="EI159" i="24142"/>
  <c r="EI313" i="23917"/>
  <c r="EI207" i="23917"/>
  <c r="EI111" i="24142"/>
  <c r="EH210" i="23917"/>
  <c r="EH114" i="24142"/>
  <c r="EG122" i="24142"/>
  <c r="EG224" i="23917"/>
  <c r="EH8" i="24142"/>
  <c r="EH116" i="24142"/>
  <c r="EH212" i="23917"/>
  <c r="EJ9" i="24142"/>
  <c r="EJ304" i="23917"/>
  <c r="EJ153" i="24142"/>
  <c r="EF224" i="23917"/>
  <c r="EF122" i="24142"/>
  <c r="EE8" i="23917"/>
  <c r="EF8" i="23917"/>
  <c r="CL201" i="24142"/>
  <c r="CL139" i="23917"/>
  <c r="DZ201" i="24142"/>
  <c r="DZ139" i="23917"/>
  <c r="CL205" i="24142"/>
  <c r="CL143" i="23917"/>
  <c r="DZ205" i="24142"/>
  <c r="DZ143" i="23917"/>
  <c r="CQ251" i="24142"/>
  <c r="CQ185" i="23917"/>
  <c r="CP228" i="24142"/>
  <c r="CP168" i="23917"/>
  <c r="CP229" i="24142"/>
  <c r="CP167" i="23917"/>
  <c r="CO233" i="24142"/>
  <c r="CO195" i="24142"/>
  <c r="CO236" i="24142"/>
  <c r="CO172" i="23917"/>
  <c r="CQ237" i="24142"/>
  <c r="CQ173" i="23917"/>
  <c r="CN197" i="24142"/>
  <c r="CN135" i="23917"/>
  <c r="CO247" i="24142"/>
  <c r="CO196" i="24142"/>
  <c r="CR251" i="24142"/>
  <c r="CR185" i="23917"/>
  <c r="CP243" i="24142"/>
  <c r="CP179" i="23917"/>
  <c r="CR237" i="24142"/>
  <c r="CR173" i="23917"/>
  <c r="CQ226" i="24142"/>
  <c r="CQ164" i="23917"/>
  <c r="CQ240" i="24142"/>
  <c r="CQ176" i="23917"/>
  <c r="CV237" i="24142" l="1"/>
  <c r="CV173" i="23917"/>
  <c r="CV251" i="24142"/>
  <c r="CV185" i="23917"/>
  <c r="EL150" i="24142"/>
  <c r="EL301" i="23917"/>
  <c r="EM150" i="24142"/>
  <c r="EM301" i="23917"/>
  <c r="EL107" i="24142"/>
  <c r="EL203" i="23917"/>
  <c r="CU237" i="24142"/>
  <c r="CU173" i="23917"/>
  <c r="CU251" i="24142"/>
  <c r="CU185" i="23917"/>
  <c r="EL110" i="24142"/>
  <c r="EL206" i="23917"/>
  <c r="EK151" i="24142"/>
  <c r="EK302" i="23917"/>
  <c r="EM203" i="23917"/>
  <c r="EM107" i="24142"/>
  <c r="EM110" i="24142"/>
  <c r="EM206" i="23917"/>
  <c r="EE10" i="23917"/>
  <c r="EF10" i="23917"/>
  <c r="EH224" i="23917"/>
  <c r="EH122" i="24142"/>
  <c r="EI209" i="23917"/>
  <c r="EI113" i="24142"/>
  <c r="EJ159" i="24142"/>
  <c r="EJ313" i="23917"/>
  <c r="EJ207" i="23917"/>
  <c r="EJ111" i="24142"/>
  <c r="EI9" i="23917"/>
  <c r="EJ9" i="23917"/>
  <c r="EG8" i="23917"/>
  <c r="EH8" i="23917"/>
  <c r="CM205" i="24142"/>
  <c r="CM143" i="23917"/>
  <c r="CM201" i="24142"/>
  <c r="CM139" i="23917"/>
  <c r="CP244" i="24142"/>
  <c r="CP180" i="23917"/>
  <c r="CS237" i="24142"/>
  <c r="CS173" i="23917"/>
  <c r="CP231" i="24142"/>
  <c r="CP169" i="23917"/>
  <c r="CP133" i="23917"/>
  <c r="CQ228" i="24142"/>
  <c r="CQ168" i="23917"/>
  <c r="CQ243" i="24142"/>
  <c r="CQ179" i="23917"/>
  <c r="CP235" i="24142"/>
  <c r="CP171" i="23917"/>
  <c r="CQ229" i="24142"/>
  <c r="CQ167" i="23917"/>
  <c r="CO197" i="24142"/>
  <c r="CO135" i="23917"/>
  <c r="CP249" i="24142"/>
  <c r="CP183" i="23917"/>
  <c r="CS251" i="24142"/>
  <c r="CS185" i="23917"/>
  <c r="CY43" i="23917" l="1"/>
  <c r="CX34" i="24142"/>
  <c r="CX43" i="23917"/>
  <c r="CX251" i="24142"/>
  <c r="CX185" i="23917"/>
  <c r="CW237" i="24142"/>
  <c r="CW173" i="23917"/>
  <c r="EK153" i="24142"/>
  <c r="EK9" i="24142"/>
  <c r="EK304" i="23917"/>
  <c r="EK305" i="23917" s="1"/>
  <c r="EL151" i="24142"/>
  <c r="EL302" i="23917"/>
  <c r="CW251" i="24142"/>
  <c r="CW185" i="23917"/>
  <c r="CX237" i="24142"/>
  <c r="CX173" i="23917"/>
  <c r="EK111" i="24142"/>
  <c r="EK207" i="23917"/>
  <c r="EM302" i="23917"/>
  <c r="EM151" i="24142"/>
  <c r="EJ209" i="23917"/>
  <c r="EJ113" i="24142"/>
  <c r="EI210" i="23917"/>
  <c r="EI114" i="24142"/>
  <c r="EG10" i="23917"/>
  <c r="EH10" i="23917"/>
  <c r="CQ249" i="24142"/>
  <c r="CQ183" i="23917"/>
  <c r="CP195" i="24142"/>
  <c r="CP233" i="24142"/>
  <c r="CR226" i="24142"/>
  <c r="CR164" i="23917"/>
  <c r="CP250" i="24142"/>
  <c r="CP184" i="23917"/>
  <c r="CQ235" i="24142"/>
  <c r="CQ171" i="23917"/>
  <c r="CQ244" i="24142"/>
  <c r="CQ180" i="23917"/>
  <c r="CN201" i="24142"/>
  <c r="CN139" i="23917"/>
  <c r="CN205" i="24142"/>
  <c r="CN143" i="23917"/>
  <c r="CQ231" i="24142"/>
  <c r="CQ169" i="23917"/>
  <c r="CQ133" i="23917"/>
  <c r="CP245" i="24142"/>
  <c r="CP181" i="23917"/>
  <c r="CP134" i="23917"/>
  <c r="CY237" i="24142" l="1"/>
  <c r="CY173" i="23917"/>
  <c r="CY251" i="24142"/>
  <c r="CY185" i="23917"/>
  <c r="EK113" i="24142"/>
  <c r="EK209" i="23917"/>
  <c r="EL153" i="24142"/>
  <c r="EL9" i="24142"/>
  <c r="EL304" i="23917"/>
  <c r="CZ237" i="24142"/>
  <c r="CZ173" i="23917"/>
  <c r="CZ251" i="24142"/>
  <c r="CZ185" i="23917"/>
  <c r="EL9" i="23917"/>
  <c r="EK9" i="23917"/>
  <c r="EM9" i="23917"/>
  <c r="EL111" i="24142"/>
  <c r="EL207" i="23917"/>
  <c r="EM111" i="24142"/>
  <c r="EM207" i="23917"/>
  <c r="EM304" i="23917"/>
  <c r="EM9" i="24142"/>
  <c r="EM153" i="24142"/>
  <c r="EK159" i="24142"/>
  <c r="EK313" i="23917"/>
  <c r="EJ114" i="24142"/>
  <c r="EJ210" i="23917"/>
  <c r="EI10" i="24142"/>
  <c r="EI212" i="23917"/>
  <c r="EI213" i="23917" s="1"/>
  <c r="EI116" i="24142"/>
  <c r="EI8" i="24142"/>
  <c r="CR229" i="24142"/>
  <c r="CR167" i="23917"/>
  <c r="CQ245" i="24142"/>
  <c r="CQ181" i="23917"/>
  <c r="CQ134" i="23917"/>
  <c r="CP176" i="24142"/>
  <c r="CP113" i="23917"/>
  <c r="CP247" i="24142"/>
  <c r="CP196" i="24142"/>
  <c r="CQ233" i="24142"/>
  <c r="CQ195" i="24142"/>
  <c r="CR228" i="24142"/>
  <c r="CR168" i="23917"/>
  <c r="CQ250" i="24142"/>
  <c r="CQ184" i="23917"/>
  <c r="CO205" i="24142"/>
  <c r="CO143" i="23917"/>
  <c r="CR240" i="24142"/>
  <c r="CR176" i="23917"/>
  <c r="CS226" i="24142"/>
  <c r="CS164" i="23917"/>
  <c r="CO201" i="24142"/>
  <c r="CO139" i="23917"/>
  <c r="CP236" i="24142"/>
  <c r="CP172" i="23917"/>
  <c r="CP205" i="24142"/>
  <c r="CP143" i="23917"/>
  <c r="U11" i="24158" l="1"/>
  <c r="U12" i="24158" s="1"/>
  <c r="CT226" i="24142"/>
  <c r="CT164" i="23917"/>
  <c r="CT205" i="24142"/>
  <c r="CT143" i="23917"/>
  <c r="EL113" i="24142"/>
  <c r="EL209" i="23917"/>
  <c r="EM159" i="24142"/>
  <c r="EM313" i="23917"/>
  <c r="DA251" i="24142"/>
  <c r="DA185" i="23917"/>
  <c r="EK114" i="24142"/>
  <c r="EK210" i="23917"/>
  <c r="EL159" i="24142"/>
  <c r="EL313" i="23917"/>
  <c r="DA237" i="24142"/>
  <c r="DA173" i="23917"/>
  <c r="EM209" i="23917"/>
  <c r="EM113" i="24142"/>
  <c r="EJ10" i="24142"/>
  <c r="EJ116" i="24142"/>
  <c r="EJ212" i="23917"/>
  <c r="EJ8" i="24142"/>
  <c r="EI224" i="23917"/>
  <c r="EI122" i="24142"/>
  <c r="CP174" i="24142"/>
  <c r="CP111" i="23917"/>
  <c r="CR231" i="24142"/>
  <c r="CR169" i="23917"/>
  <c r="CR133" i="23917"/>
  <c r="CQ205" i="24142"/>
  <c r="CQ143" i="23917"/>
  <c r="CP181" i="24142"/>
  <c r="CP118" i="23917"/>
  <c r="CS228" i="24142"/>
  <c r="CS168" i="23917"/>
  <c r="EA229" i="24142"/>
  <c r="EA167" i="23917"/>
  <c r="CR205" i="24142"/>
  <c r="CR143" i="23917"/>
  <c r="CP197" i="24142"/>
  <c r="CP135" i="23917"/>
  <c r="CQ236" i="24142"/>
  <c r="CQ172" i="23917"/>
  <c r="CQ176" i="24142"/>
  <c r="CQ113" i="23917"/>
  <c r="CR243" i="24142"/>
  <c r="CR179" i="23917"/>
  <c r="CQ247" i="24142"/>
  <c r="CQ196" i="24142"/>
  <c r="EA228" i="24142"/>
  <c r="EA168" i="23917"/>
  <c r="CS229" i="24142"/>
  <c r="CS167" i="23917"/>
  <c r="CR244" i="24142"/>
  <c r="CR180" i="23917"/>
  <c r="CR235" i="24142"/>
  <c r="CR171" i="23917"/>
  <c r="CS240" i="24142"/>
  <c r="CS176" i="23917"/>
  <c r="DA43" i="23917" l="1"/>
  <c r="CZ43" i="23917"/>
  <c r="CZ34" i="24142"/>
  <c r="CT240" i="24142"/>
  <c r="CT176" i="23917"/>
  <c r="CT228" i="24142"/>
  <c r="CT168" i="23917"/>
  <c r="CT229" i="24142"/>
  <c r="CT167" i="23917"/>
  <c r="CU205" i="24142"/>
  <c r="CU143" i="23917"/>
  <c r="EK116" i="24142"/>
  <c r="EK10" i="24142"/>
  <c r="EL10" i="24142" s="1"/>
  <c r="EK8" i="24142"/>
  <c r="EK212" i="23917"/>
  <c r="EK213" i="23917" s="1"/>
  <c r="EM114" i="24142"/>
  <c r="EM210" i="23917"/>
  <c r="EC226" i="24142"/>
  <c r="EC164" i="23917"/>
  <c r="CU226" i="24142"/>
  <c r="CU164" i="23917"/>
  <c r="CV205" i="24142"/>
  <c r="CV143" i="23917"/>
  <c r="EL114" i="24142"/>
  <c r="EL210" i="23917"/>
  <c r="EJ224" i="23917"/>
  <c r="EJ122" i="24142"/>
  <c r="EI8" i="23917"/>
  <c r="EJ8" i="23917"/>
  <c r="CQ181" i="24142"/>
  <c r="CQ118" i="23917"/>
  <c r="CS205" i="24142"/>
  <c r="CS143" i="23917"/>
  <c r="EA244" i="24142"/>
  <c r="EA180" i="23917"/>
  <c r="EA243" i="24142"/>
  <c r="EA179" i="23917"/>
  <c r="CQ174" i="24142"/>
  <c r="CQ111" i="23917"/>
  <c r="CQ197" i="24142"/>
  <c r="CQ135" i="23917"/>
  <c r="CP204" i="24142"/>
  <c r="CP175" i="24142"/>
  <c r="CP142" i="23917"/>
  <c r="CP112" i="23917"/>
  <c r="EA237" i="24142"/>
  <c r="EA173" i="23917"/>
  <c r="EB228" i="24142"/>
  <c r="EB168" i="23917"/>
  <c r="CR250" i="24142"/>
  <c r="CR184" i="23917"/>
  <c r="EA235" i="24142"/>
  <c r="EA171" i="23917"/>
  <c r="CR249" i="24142"/>
  <c r="CR183" i="23917"/>
  <c r="CR233" i="24142"/>
  <c r="CR195" i="24142"/>
  <c r="CS244" i="24142"/>
  <c r="CS180" i="23917"/>
  <c r="EB229" i="24142"/>
  <c r="EB167" i="23917"/>
  <c r="CS243" i="24142"/>
  <c r="CS179" i="23917"/>
  <c r="CS231" i="24142"/>
  <c r="CS169" i="23917"/>
  <c r="CS133" i="23917"/>
  <c r="CR245" i="24142"/>
  <c r="CR181" i="23917"/>
  <c r="CR134" i="23917"/>
  <c r="EA231" i="24142"/>
  <c r="EA169" i="23917"/>
  <c r="EA133" i="23917"/>
  <c r="CS235" i="24142"/>
  <c r="CS171" i="23917"/>
  <c r="ED43" i="23917" l="1"/>
  <c r="EC43" i="23917"/>
  <c r="EC34" i="24142"/>
  <c r="U14" i="24158"/>
  <c r="U15" i="24158" s="1"/>
  <c r="CW205" i="24142"/>
  <c r="CW143" i="23917"/>
  <c r="CT235" i="24142"/>
  <c r="CT171" i="23917"/>
  <c r="CT244" i="24142"/>
  <c r="CT180" i="23917"/>
  <c r="CT231" i="24142"/>
  <c r="CT169" i="23917"/>
  <c r="CT133" i="23917"/>
  <c r="ED226" i="24142"/>
  <c r="ED164" i="23917"/>
  <c r="EC240" i="24142"/>
  <c r="EC176" i="23917"/>
  <c r="CX205" i="24142"/>
  <c r="CX143" i="23917"/>
  <c r="CU229" i="24142"/>
  <c r="CU167" i="23917"/>
  <c r="CT243" i="24142"/>
  <c r="CT179" i="23917"/>
  <c r="CU240" i="24142"/>
  <c r="CU176" i="23917"/>
  <c r="CU228" i="24142"/>
  <c r="CU168" i="23917"/>
  <c r="EK122" i="24142"/>
  <c r="EK224" i="23917"/>
  <c r="EL116" i="24142"/>
  <c r="EL8" i="24142"/>
  <c r="EL212" i="23917"/>
  <c r="EM116" i="24142"/>
  <c r="EM8" i="24142"/>
  <c r="EM212" i="23917"/>
  <c r="EI10" i="23917"/>
  <c r="EJ10" i="23917"/>
  <c r="CS250" i="24142"/>
  <c r="CS184" i="23917"/>
  <c r="EA250" i="24142"/>
  <c r="EA184" i="23917"/>
  <c r="EA195" i="24142"/>
  <c r="EA233" i="24142"/>
  <c r="CR247" i="24142"/>
  <c r="CR196" i="24142"/>
  <c r="EB237" i="24142"/>
  <c r="EB173" i="23917"/>
  <c r="CS233" i="24142"/>
  <c r="CS195" i="24142"/>
  <c r="EB235" i="24142"/>
  <c r="EB171" i="23917"/>
  <c r="CP180" i="24142"/>
  <c r="CP117" i="23917"/>
  <c r="CP177" i="24142"/>
  <c r="CP114" i="23917"/>
  <c r="CR236" i="24142"/>
  <c r="CR172" i="23917"/>
  <c r="CR197" i="24142"/>
  <c r="CR135" i="23917"/>
  <c r="EA249" i="24142"/>
  <c r="EA183" i="23917"/>
  <c r="CS245" i="24142"/>
  <c r="CS181" i="23917"/>
  <c r="CS134" i="23917"/>
  <c r="CQ204" i="24142"/>
  <c r="CQ175" i="24142"/>
  <c r="CQ142" i="23917"/>
  <c r="CQ112" i="23917"/>
  <c r="CS249" i="24142"/>
  <c r="CS183" i="23917"/>
  <c r="EB244" i="24142"/>
  <c r="EB180" i="23917"/>
  <c r="EA251" i="24142"/>
  <c r="EA185" i="23917"/>
  <c r="EA245" i="24142"/>
  <c r="EA181" i="23917"/>
  <c r="EA134" i="23917"/>
  <c r="CR176" i="24142"/>
  <c r="CR113" i="23917"/>
  <c r="EB231" i="24142"/>
  <c r="EB169" i="23917"/>
  <c r="EB133" i="23917"/>
  <c r="EB243" i="24142"/>
  <c r="EB179" i="23917"/>
  <c r="CT249" i="24142" l="1"/>
  <c r="CT183" i="23917"/>
  <c r="CZ205" i="24142"/>
  <c r="CZ143" i="23917"/>
  <c r="CT233" i="24142"/>
  <c r="CT195" i="24142"/>
  <c r="CU244" i="24142"/>
  <c r="CU180" i="23917"/>
  <c r="EK8" i="23917"/>
  <c r="EM8" i="23917"/>
  <c r="EM122" i="24142"/>
  <c r="EM224" i="23917"/>
  <c r="CU243" i="24142"/>
  <c r="CU179" i="23917"/>
  <c r="CY205" i="24142"/>
  <c r="CY143" i="23917"/>
  <c r="CV226" i="24142"/>
  <c r="CV164" i="23917"/>
  <c r="CU231" i="24142"/>
  <c r="CU169" i="23917"/>
  <c r="CU133" i="23917"/>
  <c r="CT245" i="24142"/>
  <c r="CT181" i="23917"/>
  <c r="CT134" i="23917"/>
  <c r="CT250" i="24142"/>
  <c r="CT184" i="23917"/>
  <c r="ED240" i="24142"/>
  <c r="ED176" i="23917"/>
  <c r="EL122" i="24142"/>
  <c r="EL224" i="23917"/>
  <c r="CU235" i="24142"/>
  <c r="CU171" i="23917"/>
  <c r="EL8" i="23917"/>
  <c r="CQ177" i="24142"/>
  <c r="CQ114" i="23917"/>
  <c r="EB245" i="24142"/>
  <c r="EB181" i="23917"/>
  <c r="EB134" i="23917"/>
  <c r="CR181" i="24142"/>
  <c r="CR118" i="23917"/>
  <c r="EA176" i="24142"/>
  <c r="EA113" i="23917"/>
  <c r="EB233" i="24142"/>
  <c r="EB195" i="24142"/>
  <c r="CS197" i="24142"/>
  <c r="CS135" i="23917"/>
  <c r="EB251" i="24142"/>
  <c r="EB185" i="23917"/>
  <c r="CS176" i="24142"/>
  <c r="CS113" i="23917"/>
  <c r="EA247" i="24142"/>
  <c r="EA196" i="24142"/>
  <c r="CS247" i="24142"/>
  <c r="CS196" i="24142"/>
  <c r="CR174" i="24142"/>
  <c r="CR111" i="23917"/>
  <c r="EA236" i="24142"/>
  <c r="EA172" i="23917"/>
  <c r="EB249" i="24142"/>
  <c r="EB183" i="23917"/>
  <c r="CQ180" i="24142"/>
  <c r="CQ117" i="23917"/>
  <c r="CS236" i="24142"/>
  <c r="CS172" i="23917"/>
  <c r="EB250" i="24142"/>
  <c r="EB184" i="23917"/>
  <c r="CT247" i="24142" l="1"/>
  <c r="CT196" i="24142"/>
  <c r="CV229" i="24142"/>
  <c r="CV167" i="23917"/>
  <c r="CU233" i="24142"/>
  <c r="CU195" i="24142"/>
  <c r="CT236" i="24142"/>
  <c r="CT172" i="23917"/>
  <c r="CT176" i="24142"/>
  <c r="CT113" i="23917"/>
  <c r="DA205" i="24142"/>
  <c r="DA143" i="23917"/>
  <c r="CV240" i="24142"/>
  <c r="CV176" i="23917"/>
  <c r="CU245" i="24142"/>
  <c r="CU181" i="23917"/>
  <c r="CU134" i="23917"/>
  <c r="CV228" i="24142"/>
  <c r="CV168" i="23917"/>
  <c r="CW226" i="24142"/>
  <c r="CW164" i="23917"/>
  <c r="EL10" i="23917"/>
  <c r="EK10" i="23917"/>
  <c r="EM10" i="23917"/>
  <c r="CU250" i="24142"/>
  <c r="CU184" i="23917"/>
  <c r="CU249" i="24142"/>
  <c r="CU183" i="23917"/>
  <c r="CS181" i="24142"/>
  <c r="CS118" i="23917"/>
  <c r="CP213" i="24142"/>
  <c r="CP151" i="23917"/>
  <c r="EA197" i="24142"/>
  <c r="EA135" i="23917"/>
  <c r="CR204" i="24142"/>
  <c r="CR175" i="24142"/>
  <c r="CR142" i="23917"/>
  <c r="CR112" i="23917"/>
  <c r="EB247" i="24142"/>
  <c r="EB196" i="24142"/>
  <c r="CP183" i="24142"/>
  <c r="CP120" i="23917"/>
  <c r="EB236" i="24142"/>
  <c r="EB172" i="23917"/>
  <c r="EB176" i="24142"/>
  <c r="EB113" i="23917"/>
  <c r="EA181" i="24142"/>
  <c r="EA118" i="23917"/>
  <c r="EA174" i="24142"/>
  <c r="EA111" i="23917"/>
  <c r="CS174" i="24142"/>
  <c r="CS111" i="23917"/>
  <c r="U17" i="24158" l="1"/>
  <c r="U18" i="24158" s="1"/>
  <c r="CT181" i="24142"/>
  <c r="CT118" i="23917"/>
  <c r="CW228" i="24142"/>
  <c r="CW168" i="23917"/>
  <c r="CV243" i="24142"/>
  <c r="CV179" i="23917"/>
  <c r="CV244" i="24142"/>
  <c r="CV180" i="23917"/>
  <c r="CU176" i="24142"/>
  <c r="CU113" i="23917"/>
  <c r="CW229" i="24142"/>
  <c r="CW167" i="23917"/>
  <c r="CU247" i="24142"/>
  <c r="CU196" i="24142"/>
  <c r="CU197" i="24142"/>
  <c r="CU135" i="23917"/>
  <c r="CV231" i="24142"/>
  <c r="CV169" i="23917"/>
  <c r="CV133" i="23917"/>
  <c r="CW240" i="24142"/>
  <c r="CW176" i="23917"/>
  <c r="CV235" i="24142"/>
  <c r="CV171" i="23917"/>
  <c r="CT197" i="24142"/>
  <c r="CT135" i="23917"/>
  <c r="CU236" i="24142"/>
  <c r="CU172" i="23917"/>
  <c r="CR180" i="24142"/>
  <c r="CR117" i="23917"/>
  <c r="CQ183" i="24142"/>
  <c r="CQ120" i="23917"/>
  <c r="CP184" i="24142"/>
  <c r="CP121" i="23917"/>
  <c r="CQ213" i="24142"/>
  <c r="CQ151" i="23917"/>
  <c r="EB181" i="24142"/>
  <c r="EB118" i="23917"/>
  <c r="CS204" i="24142"/>
  <c r="CS175" i="24142"/>
  <c r="CS142" i="23917"/>
  <c r="CS112" i="23917"/>
  <c r="EB174" i="24142"/>
  <c r="EB111" i="23917"/>
  <c r="EB197" i="24142"/>
  <c r="EB135" i="23917"/>
  <c r="CR177" i="24142"/>
  <c r="CR114" i="23917"/>
  <c r="EA204" i="24142"/>
  <c r="EA175" i="24142"/>
  <c r="EA142" i="23917"/>
  <c r="EA112" i="23917"/>
  <c r="EF43" i="23917" l="1"/>
  <c r="EE34" i="24142"/>
  <c r="EE43" i="23917"/>
  <c r="CW244" i="24142"/>
  <c r="CW180" i="23917"/>
  <c r="CV245" i="24142"/>
  <c r="CV181" i="23917"/>
  <c r="CV134" i="23917"/>
  <c r="CW243" i="24142"/>
  <c r="CW179" i="23917"/>
  <c r="CX226" i="24142"/>
  <c r="CX164" i="23917"/>
  <c r="CW231" i="24142"/>
  <c r="CW169" i="23917"/>
  <c r="CW133" i="23917"/>
  <c r="CU174" i="24142"/>
  <c r="CU111" i="23917"/>
  <c r="CW235" i="24142"/>
  <c r="CW171" i="23917"/>
  <c r="CT204" i="24142"/>
  <c r="CT175" i="24142"/>
  <c r="CT112" i="23917"/>
  <c r="CT142" i="23917"/>
  <c r="CV250" i="24142"/>
  <c r="CV184" i="23917"/>
  <c r="CV249" i="24142"/>
  <c r="CV183" i="23917"/>
  <c r="CU181" i="24142"/>
  <c r="CU118" i="23917"/>
  <c r="CV233" i="24142"/>
  <c r="CV195" i="24142"/>
  <c r="CT174" i="24142"/>
  <c r="CT111" i="23917"/>
  <c r="EA180" i="24142"/>
  <c r="EA117" i="23917"/>
  <c r="CQ184" i="24142"/>
  <c r="CQ121" i="23917"/>
  <c r="CS177" i="24142"/>
  <c r="CS114" i="23917"/>
  <c r="CS180" i="24142"/>
  <c r="CS117" i="23917"/>
  <c r="EA205" i="24142"/>
  <c r="EA143" i="23917"/>
  <c r="EA177" i="24142"/>
  <c r="EA114" i="23917"/>
  <c r="EB204" i="24142"/>
  <c r="EB175" i="24142"/>
  <c r="EB142" i="23917"/>
  <c r="EB112" i="23917"/>
  <c r="CP186" i="24142"/>
  <c r="CP123" i="23917"/>
  <c r="EH43" i="23917" l="1"/>
  <c r="EJ43" i="23917"/>
  <c r="EG34" i="24142"/>
  <c r="EG43" i="23917"/>
  <c r="CV197" i="24142"/>
  <c r="CV236" i="24142"/>
  <c r="CV172" i="23917"/>
  <c r="CV176" i="24142"/>
  <c r="CV113" i="23917"/>
  <c r="CX228" i="24142"/>
  <c r="CX168" i="23917"/>
  <c r="CX229" i="24142"/>
  <c r="CX167" i="23917"/>
  <c r="CV247" i="24142"/>
  <c r="CV196" i="24142"/>
  <c r="CT177" i="24142"/>
  <c r="CT114" i="23917"/>
  <c r="CW249" i="24142"/>
  <c r="CW183" i="23917"/>
  <c r="CT180" i="24142"/>
  <c r="CT117" i="23917"/>
  <c r="CW233" i="24142"/>
  <c r="CW195" i="24142"/>
  <c r="CU204" i="24142"/>
  <c r="CU175" i="24142"/>
  <c r="CU142" i="23917"/>
  <c r="CU112" i="23917"/>
  <c r="CY226" i="24142"/>
  <c r="CY164" i="23917"/>
  <c r="CX240" i="24142"/>
  <c r="CX176" i="23917"/>
  <c r="CW245" i="24142"/>
  <c r="CW181" i="23917"/>
  <c r="CW134" i="23917"/>
  <c r="CW250" i="24142"/>
  <c r="CW184" i="23917"/>
  <c r="EA213" i="24142"/>
  <c r="CQ186" i="24142"/>
  <c r="CQ123" i="23917"/>
  <c r="EB180" i="24142"/>
  <c r="EB117" i="23917"/>
  <c r="CR183" i="24142"/>
  <c r="CR120" i="23917"/>
  <c r="EB205" i="24142"/>
  <c r="EB143" i="23917"/>
  <c r="CR213" i="24142"/>
  <c r="CR151" i="23917"/>
  <c r="EB177" i="24142"/>
  <c r="EB114" i="23917"/>
  <c r="CP187" i="24142"/>
  <c r="CP124" i="23917"/>
  <c r="CV174" i="24142" l="1"/>
  <c r="CW197" i="24142"/>
  <c r="CV135" i="23917"/>
  <c r="CX244" i="24142"/>
  <c r="CX180" i="23917"/>
  <c r="CT184" i="24142"/>
  <c r="CT121" i="23917"/>
  <c r="CT213" i="24142"/>
  <c r="CT151" i="23917"/>
  <c r="CT183" i="24142"/>
  <c r="CT120" i="23917"/>
  <c r="CX235" i="24142"/>
  <c r="CX171" i="23917"/>
  <c r="CY228" i="24142"/>
  <c r="CY168" i="23917"/>
  <c r="CW176" i="24142"/>
  <c r="CW113" i="23917"/>
  <c r="CY240" i="24142"/>
  <c r="CY176" i="23917"/>
  <c r="CX243" i="24142"/>
  <c r="CX179" i="23917"/>
  <c r="CV181" i="24142"/>
  <c r="CV118" i="23917"/>
  <c r="CU180" i="24142"/>
  <c r="CU117" i="23917"/>
  <c r="CW247" i="24142"/>
  <c r="CW196" i="24142"/>
  <c r="CY229" i="24142"/>
  <c r="CY167" i="23917"/>
  <c r="CX231" i="24142"/>
  <c r="CX169" i="23917"/>
  <c r="CX133" i="23917"/>
  <c r="CU177" i="24142"/>
  <c r="CU114" i="23917"/>
  <c r="CW236" i="24142"/>
  <c r="CW172" i="23917"/>
  <c r="EA151" i="23917"/>
  <c r="EB151" i="23917"/>
  <c r="CQ189" i="24142"/>
  <c r="CP11" i="23917"/>
  <c r="CR184" i="24142"/>
  <c r="CR121" i="23917"/>
  <c r="CQ187" i="24142"/>
  <c r="CQ124" i="23917"/>
  <c r="EA183" i="24142"/>
  <c r="EA120" i="23917"/>
  <c r="CP189" i="24142"/>
  <c r="CP11" i="24142"/>
  <c r="CP14" i="24142"/>
  <c r="CP126" i="23917"/>
  <c r="CP127" i="23917" s="1"/>
  <c r="CS183" i="24142"/>
  <c r="CS120" i="23917"/>
  <c r="CS213" i="24142"/>
  <c r="CS151" i="23917"/>
  <c r="CP201" i="24142"/>
  <c r="CP139" i="23917"/>
  <c r="CV177" i="24142" l="1"/>
  <c r="CW174" i="24142"/>
  <c r="CV111" i="23917"/>
  <c r="CW135" i="23917"/>
  <c r="CY231" i="24142"/>
  <c r="CY169" i="23917"/>
  <c r="CY133" i="23917"/>
  <c r="CZ226" i="24142"/>
  <c r="CZ164" i="23917"/>
  <c r="CW181" i="24142"/>
  <c r="CW118" i="23917"/>
  <c r="CY243" i="24142"/>
  <c r="CY179" i="23917"/>
  <c r="CW111" i="23917"/>
  <c r="CU213" i="24142"/>
  <c r="CU151" i="23917"/>
  <c r="CU184" i="24142"/>
  <c r="CU121" i="23917"/>
  <c r="CX250" i="24142"/>
  <c r="CX184" i="23917"/>
  <c r="CU183" i="24142"/>
  <c r="CU120" i="23917"/>
  <c r="CY235" i="24142"/>
  <c r="CY171" i="23917"/>
  <c r="CX233" i="24142"/>
  <c r="CX195" i="24142"/>
  <c r="CX249" i="24142"/>
  <c r="CX183" i="23917"/>
  <c r="CV204" i="24142"/>
  <c r="CV175" i="24142"/>
  <c r="CV112" i="23917"/>
  <c r="CV142" i="23917"/>
  <c r="CT186" i="24142"/>
  <c r="CT123" i="23917"/>
  <c r="CY244" i="24142"/>
  <c r="CY180" i="23917"/>
  <c r="CX245" i="24142"/>
  <c r="CX181" i="23917"/>
  <c r="CX134" i="23917"/>
  <c r="CQ14" i="24142"/>
  <c r="CP200" i="24142"/>
  <c r="CP138" i="23917"/>
  <c r="EB213" i="24142"/>
  <c r="CQ126" i="23917"/>
  <c r="CQ11" i="24142"/>
  <c r="CS184" i="24142"/>
  <c r="CS121" i="23917"/>
  <c r="EB183" i="24142"/>
  <c r="EB120" i="23917"/>
  <c r="CQ200" i="24142"/>
  <c r="CQ138" i="23917"/>
  <c r="EA214" i="24142"/>
  <c r="EA152" i="23917"/>
  <c r="CQ201" i="24142"/>
  <c r="CQ139" i="23917"/>
  <c r="CR186" i="24142"/>
  <c r="CR123" i="23917"/>
  <c r="EA184" i="24142"/>
  <c r="EA121" i="23917"/>
  <c r="CP14" i="23917"/>
  <c r="CQ11" i="23917"/>
  <c r="AG7" i="24158" l="1"/>
  <c r="CW180" i="24142"/>
  <c r="CW114" i="23917"/>
  <c r="CV114" i="23917"/>
  <c r="CZ228" i="24142"/>
  <c r="CZ168" i="23917"/>
  <c r="CZ229" i="24142"/>
  <c r="CZ167" i="23917"/>
  <c r="CZ240" i="24142"/>
  <c r="CZ176" i="23917"/>
  <c r="CY245" i="24142"/>
  <c r="CY181" i="23917"/>
  <c r="CY134" i="23917"/>
  <c r="CT187" i="24142"/>
  <c r="CT124" i="23917"/>
  <c r="CU186" i="24142"/>
  <c r="CU123" i="23917"/>
  <c r="CW204" i="24142"/>
  <c r="CW175" i="24142"/>
  <c r="CW142" i="23917"/>
  <c r="CW112" i="23917"/>
  <c r="CW177" i="24142"/>
  <c r="CY233" i="24142"/>
  <c r="CY195" i="24142"/>
  <c r="DA226" i="24142"/>
  <c r="DA164" i="23917"/>
  <c r="CX247" i="24142"/>
  <c r="CX196" i="24142"/>
  <c r="CX236" i="24142"/>
  <c r="CX172" i="23917"/>
  <c r="CX176" i="24142"/>
  <c r="CX113" i="23917"/>
  <c r="CV180" i="24142"/>
  <c r="CV117" i="23917"/>
  <c r="CY249" i="24142"/>
  <c r="CY183" i="23917"/>
  <c r="CY250" i="24142"/>
  <c r="CY184" i="23917"/>
  <c r="EA186" i="24142"/>
  <c r="EA123" i="23917"/>
  <c r="EB214" i="24142"/>
  <c r="EB152" i="23917"/>
  <c r="EB184" i="24142"/>
  <c r="EB121" i="23917"/>
  <c r="CR187" i="24142"/>
  <c r="CR124" i="23917"/>
  <c r="CS186" i="24142"/>
  <c r="CS123" i="23917"/>
  <c r="CQ14" i="23917"/>
  <c r="CW117" i="23917" l="1"/>
  <c r="CU11" i="24142"/>
  <c r="CV151" i="23917"/>
  <c r="CW213" i="24142"/>
  <c r="CV213" i="24142"/>
  <c r="CY197" i="24142"/>
  <c r="CY135" i="23917"/>
  <c r="CZ243" i="24142"/>
  <c r="CZ179" i="23917"/>
  <c r="CZ244" i="24142"/>
  <c r="CZ180" i="23917"/>
  <c r="CZ235" i="24142"/>
  <c r="CZ171" i="23917"/>
  <c r="DA228" i="24142"/>
  <c r="DA168" i="23917"/>
  <c r="CX181" i="24142"/>
  <c r="CX118" i="23917"/>
  <c r="CT201" i="24142"/>
  <c r="CT139" i="23917"/>
  <c r="CT189" i="24142"/>
  <c r="CT14" i="24142"/>
  <c r="CU14" i="24142" s="1"/>
  <c r="CT11" i="24142"/>
  <c r="CT126" i="23917"/>
  <c r="CT127" i="23917" s="1"/>
  <c r="EC237" i="24142"/>
  <c r="EC173" i="23917"/>
  <c r="EC228" i="24142"/>
  <c r="EC168" i="23917"/>
  <c r="CY176" i="24142"/>
  <c r="CY113" i="23917"/>
  <c r="CU187" i="24142"/>
  <c r="CU124" i="23917"/>
  <c r="DA240" i="24142"/>
  <c r="DA176" i="23917"/>
  <c r="DA229" i="24142"/>
  <c r="DA167" i="23917"/>
  <c r="CZ231" i="24142"/>
  <c r="CZ169" i="23917"/>
  <c r="CZ133" i="23917"/>
  <c r="CV183" i="24142"/>
  <c r="CV120" i="23917"/>
  <c r="CY247" i="24142"/>
  <c r="CY196" i="24142"/>
  <c r="CT11" i="23917"/>
  <c r="CX197" i="24142"/>
  <c r="CX135" i="23917"/>
  <c r="EC235" i="24142"/>
  <c r="CY236" i="24142"/>
  <c r="CY172" i="23917"/>
  <c r="EC229" i="24142"/>
  <c r="EC167" i="23917"/>
  <c r="CR11" i="23917"/>
  <c r="CS11" i="24142"/>
  <c r="EB186" i="24142"/>
  <c r="EB123" i="23917"/>
  <c r="CS187" i="24142"/>
  <c r="CS124" i="23917"/>
  <c r="EA187" i="24142"/>
  <c r="EA124" i="23917"/>
  <c r="CR189" i="24142"/>
  <c r="CR11" i="24142"/>
  <c r="CR14" i="24142"/>
  <c r="CR126" i="23917"/>
  <c r="CR127" i="23917" s="1"/>
  <c r="CR200" i="24142"/>
  <c r="CR138" i="23917"/>
  <c r="CP19" i="23917"/>
  <c r="EC171" i="23917" l="1"/>
  <c r="EA139" i="23917"/>
  <c r="ED231" i="24142"/>
  <c r="CU189" i="24142"/>
  <c r="CU126" i="23917"/>
  <c r="CW151" i="23917"/>
  <c r="DA231" i="24142"/>
  <c r="DA169" i="23917"/>
  <c r="DA133" i="23917"/>
  <c r="CZ245" i="24142"/>
  <c r="CZ181" i="23917"/>
  <c r="CZ134" i="23917"/>
  <c r="CZ250" i="24142"/>
  <c r="CZ184" i="23917"/>
  <c r="CZ249" i="24142"/>
  <c r="CZ183" i="23917"/>
  <c r="CY174" i="24142"/>
  <c r="CY111" i="23917"/>
  <c r="CX204" i="24142"/>
  <c r="CX175" i="24142"/>
  <c r="CX112" i="23917"/>
  <c r="CX142" i="23917"/>
  <c r="CV184" i="24142"/>
  <c r="CV121" i="23917"/>
  <c r="EC250" i="24142"/>
  <c r="EC184" i="23917"/>
  <c r="EC251" i="24142"/>
  <c r="EC185" i="23917"/>
  <c r="ED235" i="24142"/>
  <c r="ED171" i="23917"/>
  <c r="ED228" i="24142"/>
  <c r="ED168" i="23917"/>
  <c r="CU201" i="24142"/>
  <c r="CU139" i="23917"/>
  <c r="DA235" i="24142"/>
  <c r="DA171" i="23917"/>
  <c r="EC243" i="24142"/>
  <c r="EC179" i="23917"/>
  <c r="CY181" i="24142"/>
  <c r="CY118" i="23917"/>
  <c r="CZ233" i="24142"/>
  <c r="CZ195" i="24142"/>
  <c r="DA244" i="24142"/>
  <c r="DA180" i="23917"/>
  <c r="DA243" i="24142"/>
  <c r="DA179" i="23917"/>
  <c r="CW183" i="24142"/>
  <c r="CW120" i="23917"/>
  <c r="EC233" i="24142"/>
  <c r="ED237" i="24142"/>
  <c r="ED173" i="23917"/>
  <c r="ED169" i="23917"/>
  <c r="ED229" i="24142"/>
  <c r="ED167" i="23917"/>
  <c r="CX174" i="24142"/>
  <c r="CX111" i="23917"/>
  <c r="CT200" i="24142"/>
  <c r="CT138" i="23917"/>
  <c r="EC231" i="24142"/>
  <c r="EC169" i="23917"/>
  <c r="EC133" i="23917"/>
  <c r="EC244" i="24142"/>
  <c r="EC180" i="23917"/>
  <c r="CS14" i="24142"/>
  <c r="EE237" i="24142"/>
  <c r="EE173" i="23917"/>
  <c r="CT14" i="23917"/>
  <c r="CU11" i="23917"/>
  <c r="CR139" i="23917"/>
  <c r="CR201" i="24142"/>
  <c r="EA11" i="23917"/>
  <c r="CS189" i="24142"/>
  <c r="CS126" i="23917"/>
  <c r="CP119" i="24142"/>
  <c r="CP66" i="24142"/>
  <c r="CP216" i="23917"/>
  <c r="CP74" i="23917"/>
  <c r="CQ74" i="24142"/>
  <c r="CP74" i="24142"/>
  <c r="EB187" i="24142"/>
  <c r="EB124" i="23917"/>
  <c r="CP156" i="24142"/>
  <c r="CP67" i="24142"/>
  <c r="CP308" i="23917"/>
  <c r="CP75" i="23917"/>
  <c r="CQ73" i="24142"/>
  <c r="CP73" i="24142"/>
  <c r="CP77" i="24142"/>
  <c r="CP81" i="23917"/>
  <c r="CS200" i="24142"/>
  <c r="CS138" i="23917"/>
  <c r="CQ71" i="24142"/>
  <c r="CP71" i="24142"/>
  <c r="EA188" i="24142"/>
  <c r="EA125" i="23917"/>
  <c r="CP192" i="24142"/>
  <c r="CP69" i="24142"/>
  <c r="CP77" i="23917"/>
  <c r="CP130" i="23917"/>
  <c r="CP281" i="24142"/>
  <c r="CP70" i="24142"/>
  <c r="CP347" i="23917"/>
  <c r="CP78" i="23917"/>
  <c r="CQ75" i="24142"/>
  <c r="CP75" i="24142"/>
  <c r="CP87" i="24142"/>
  <c r="CP90" i="23917"/>
  <c r="EB189" i="24142"/>
  <c r="EB11" i="24142"/>
  <c r="EB126" i="23917"/>
  <c r="CP68" i="24142"/>
  <c r="CP76" i="23917"/>
  <c r="CP76" i="24142"/>
  <c r="CP80" i="23917"/>
  <c r="CP78" i="24142"/>
  <c r="CP82" i="23917"/>
  <c r="CQ97" i="23917"/>
  <c r="CP97" i="23917"/>
  <c r="EA189" i="24142"/>
  <c r="EA14" i="24142"/>
  <c r="EA11" i="24142"/>
  <c r="EA126" i="23917"/>
  <c r="EA127" i="23917" s="1"/>
  <c r="CS201" i="24142"/>
  <c r="CS139" i="23917"/>
  <c r="CS11" i="23917"/>
  <c r="CR14" i="23917"/>
  <c r="CP29" i="23917"/>
  <c r="CQ19" i="23917"/>
  <c r="CP22" i="23917"/>
  <c r="CP23" i="23917" s="1"/>
  <c r="EA201" i="24142" l="1"/>
  <c r="EB139" i="23917"/>
  <c r="EC183" i="23917"/>
  <c r="EC249" i="24142"/>
  <c r="EE226" i="24142"/>
  <c r="EE164" i="23917"/>
  <c r="ED133" i="23917"/>
  <c r="EC195" i="24142"/>
  <c r="CY177" i="24142"/>
  <c r="CY114" i="23917"/>
  <c r="CZ197" i="24142"/>
  <c r="CZ135" i="23917"/>
  <c r="DA233" i="24142"/>
  <c r="DA195" i="24142"/>
  <c r="CW184" i="24142"/>
  <c r="CW121" i="23917"/>
  <c r="DA245" i="24142"/>
  <c r="DA181" i="23917"/>
  <c r="DA134" i="23917"/>
  <c r="CZ236" i="24142"/>
  <c r="CZ172" i="23917"/>
  <c r="CZ176" i="24142"/>
  <c r="CZ113" i="23917"/>
  <c r="CX177" i="24142"/>
  <c r="CX114" i="23917"/>
  <c r="EC236" i="24142"/>
  <c r="EC172" i="23917"/>
  <c r="ED251" i="24142"/>
  <c r="ED185" i="23917"/>
  <c r="ED245" i="24142"/>
  <c r="ED181" i="23917"/>
  <c r="ED134" i="23917"/>
  <c r="ED244" i="24142"/>
  <c r="ED180" i="23917"/>
  <c r="ED249" i="24142"/>
  <c r="ED183" i="23917"/>
  <c r="ED243" i="24142"/>
  <c r="ED179" i="23917"/>
  <c r="DA249" i="24142"/>
  <c r="DA183" i="23917"/>
  <c r="CV186" i="24142"/>
  <c r="CV123" i="23917"/>
  <c r="CY204" i="24142"/>
  <c r="CY175" i="24142"/>
  <c r="CY142" i="23917"/>
  <c r="CY112" i="23917"/>
  <c r="CY180" i="24142"/>
  <c r="CY117" i="23917"/>
  <c r="CZ247" i="24142"/>
  <c r="CZ196" i="24142"/>
  <c r="CX180" i="24142"/>
  <c r="CX117" i="23917"/>
  <c r="EC247" i="24142"/>
  <c r="EC196" i="24142"/>
  <c r="CU200" i="24142"/>
  <c r="CU138" i="23917"/>
  <c r="ED233" i="24142"/>
  <c r="ED195" i="24142"/>
  <c r="ED250" i="24142"/>
  <c r="ED184" i="23917"/>
  <c r="DA250" i="24142"/>
  <c r="DA184" i="23917"/>
  <c r="EC245" i="24142"/>
  <c r="EC181" i="23917"/>
  <c r="EC134" i="23917"/>
  <c r="EE229" i="24142"/>
  <c r="EF226" i="24142"/>
  <c r="EF164" i="23917"/>
  <c r="EG173" i="23917"/>
  <c r="EG237" i="24142"/>
  <c r="EF173" i="23917"/>
  <c r="EF237" i="24142"/>
  <c r="EE185" i="23917"/>
  <c r="EE251" i="24142"/>
  <c r="EE176" i="23917"/>
  <c r="EE240" i="24142"/>
  <c r="CU14" i="23917"/>
  <c r="EA138" i="23917"/>
  <c r="EA200" i="24142"/>
  <c r="EB188" i="24142"/>
  <c r="EB125" i="23917"/>
  <c r="CQ68" i="24142"/>
  <c r="CQ76" i="23917"/>
  <c r="CQ77" i="24142"/>
  <c r="CQ81" i="23917"/>
  <c r="CQ66" i="24142"/>
  <c r="CQ119" i="24142"/>
  <c r="CQ216" i="23917"/>
  <c r="CQ74" i="23917"/>
  <c r="CQ192" i="24142"/>
  <c r="CQ69" i="24142"/>
  <c r="CQ130" i="23917"/>
  <c r="CQ77" i="23917"/>
  <c r="EM14" i="24142"/>
  <c r="EB14" i="24142"/>
  <c r="CQ76" i="24142"/>
  <c r="CQ80" i="23917"/>
  <c r="EB200" i="24142"/>
  <c r="EB138" i="23917"/>
  <c r="CP79" i="24142"/>
  <c r="CP72" i="24142"/>
  <c r="CP79" i="23917"/>
  <c r="EB201" i="24142"/>
  <c r="CQ78" i="24142"/>
  <c r="CQ82" i="23917"/>
  <c r="CP30" i="23917"/>
  <c r="CQ87" i="24142"/>
  <c r="CQ90" i="23917"/>
  <c r="CQ281" i="24142"/>
  <c r="CQ70" i="24142"/>
  <c r="CQ347" i="23917"/>
  <c r="CQ78" i="23917"/>
  <c r="CP83" i="23917"/>
  <c r="CQ156" i="24142"/>
  <c r="CQ67" i="24142"/>
  <c r="CQ308" i="23917"/>
  <c r="CQ75" i="23917"/>
  <c r="CS14" i="23917"/>
  <c r="CQ29" i="23917"/>
  <c r="EA14" i="23917"/>
  <c r="EB11" i="23917"/>
  <c r="CQ22" i="23917"/>
  <c r="CP19" i="24142"/>
  <c r="CP20" i="24142" s="1"/>
  <c r="CX213" i="24142" l="1"/>
  <c r="EE167" i="23917"/>
  <c r="EE168" i="23917"/>
  <c r="EE228" i="24142"/>
  <c r="CZ174" i="24142"/>
  <c r="CZ111" i="23917"/>
  <c r="CV187" i="24142"/>
  <c r="CV124" i="23917"/>
  <c r="ED247" i="24142"/>
  <c r="ED196" i="24142"/>
  <c r="EC176" i="24142"/>
  <c r="EC113" i="23917"/>
  <c r="CZ181" i="24142"/>
  <c r="CZ118" i="23917"/>
  <c r="DA247" i="24142"/>
  <c r="DA196" i="24142"/>
  <c r="DA197" i="24142"/>
  <c r="DA135" i="23917"/>
  <c r="DA176" i="24142"/>
  <c r="DA113" i="23917"/>
  <c r="CW186" i="24142"/>
  <c r="CW123" i="23917"/>
  <c r="EC181" i="24142"/>
  <c r="EC118" i="23917"/>
  <c r="ED236" i="24142"/>
  <c r="ED172" i="23917"/>
  <c r="DA236" i="24142"/>
  <c r="DA172" i="23917"/>
  <c r="EE243" i="24142"/>
  <c r="EE179" i="23917"/>
  <c r="EF251" i="24142"/>
  <c r="EF185" i="23917"/>
  <c r="EI173" i="23917"/>
  <c r="EI237" i="24142"/>
  <c r="EE133" i="23917"/>
  <c r="EE169" i="23917"/>
  <c r="EF168" i="23917"/>
  <c r="EF228" i="24142"/>
  <c r="EF229" i="24142"/>
  <c r="EF167" i="23917"/>
  <c r="EF240" i="24142"/>
  <c r="EF176" i="23917"/>
  <c r="EE244" i="24142"/>
  <c r="EE180" i="23917"/>
  <c r="EG251" i="24142"/>
  <c r="EG185" i="23917"/>
  <c r="EH173" i="23917"/>
  <c r="EH237" i="24142"/>
  <c r="EE235" i="24142"/>
  <c r="EE171" i="23917"/>
  <c r="CT19" i="23917"/>
  <c r="CP23" i="24142"/>
  <c r="CP26" i="23917"/>
  <c r="CQ72" i="24142"/>
  <c r="CQ79" i="23917"/>
  <c r="CP29" i="24142"/>
  <c r="CP37" i="23917"/>
  <c r="EB14" i="23917"/>
  <c r="CQ19" i="24142"/>
  <c r="CR19" i="23917"/>
  <c r="CX151" i="23917" l="1"/>
  <c r="CX120" i="23917"/>
  <c r="CX183" i="24142"/>
  <c r="EE231" i="24142"/>
  <c r="CV139" i="23917"/>
  <c r="CW189" i="24142"/>
  <c r="CV200" i="24142"/>
  <c r="CV11" i="23917"/>
  <c r="CT68" i="24142"/>
  <c r="CT76" i="23917"/>
  <c r="CT156" i="24142"/>
  <c r="CT67" i="24142"/>
  <c r="CT308" i="23917"/>
  <c r="CT75" i="23917"/>
  <c r="CU71" i="24142"/>
  <c r="CT71" i="24142"/>
  <c r="CT77" i="24142"/>
  <c r="CT81" i="23917"/>
  <c r="CT76" i="24142"/>
  <c r="CT80" i="23917"/>
  <c r="CU75" i="24142"/>
  <c r="CT75" i="24142"/>
  <c r="CT87" i="24142"/>
  <c r="CT90" i="23917"/>
  <c r="CY183" i="24142"/>
  <c r="CY120" i="23917"/>
  <c r="CW187" i="24142"/>
  <c r="CW124" i="23917"/>
  <c r="DA181" i="24142"/>
  <c r="DA118" i="23917"/>
  <c r="CY213" i="24142"/>
  <c r="CY151" i="23917"/>
  <c r="CZ204" i="24142"/>
  <c r="CZ175" i="24142"/>
  <c r="CZ112" i="23917"/>
  <c r="CZ142" i="23917"/>
  <c r="EK237" i="24142"/>
  <c r="EK173" i="23917"/>
  <c r="ED181" i="24142"/>
  <c r="ED118" i="23917"/>
  <c r="EC174" i="24142"/>
  <c r="EC111" i="23917"/>
  <c r="CT192" i="24142"/>
  <c r="CT69" i="24142"/>
  <c r="CT130" i="23917"/>
  <c r="CT77" i="23917"/>
  <c r="CT119" i="24142"/>
  <c r="CT66" i="24142"/>
  <c r="CT216" i="23917"/>
  <c r="CT74" i="23917"/>
  <c r="CT281" i="24142"/>
  <c r="CT70" i="24142"/>
  <c r="CT347" i="23917"/>
  <c r="CT78" i="23917"/>
  <c r="CU74" i="24142"/>
  <c r="CT74" i="24142"/>
  <c r="CU97" i="23917"/>
  <c r="CT97" i="23917"/>
  <c r="CU73" i="24142"/>
  <c r="CT73" i="24142"/>
  <c r="CT78" i="24142"/>
  <c r="CT82" i="23917"/>
  <c r="CX184" i="24142"/>
  <c r="CX121" i="23917"/>
  <c r="DA174" i="24142"/>
  <c r="DA111" i="23917"/>
  <c r="CV189" i="24142"/>
  <c r="CV14" i="24142"/>
  <c r="CW14" i="24142" s="1"/>
  <c r="CV11" i="24142"/>
  <c r="CV126" i="23917"/>
  <c r="CV127" i="23917" s="1"/>
  <c r="EC197" i="24142"/>
  <c r="EC135" i="23917"/>
  <c r="ED176" i="24142"/>
  <c r="ED113" i="23917"/>
  <c r="EF235" i="24142"/>
  <c r="EF171" i="23917"/>
  <c r="EI251" i="24142"/>
  <c r="EI185" i="23917"/>
  <c r="EE245" i="24142"/>
  <c r="EE134" i="23917"/>
  <c r="EE181" i="23917"/>
  <c r="EF180" i="23917"/>
  <c r="EF244" i="24142"/>
  <c r="EE195" i="24142"/>
  <c r="EE233" i="24142"/>
  <c r="EE249" i="24142"/>
  <c r="EE183" i="23917"/>
  <c r="EH185" i="23917"/>
  <c r="EH251" i="24142"/>
  <c r="EE250" i="24142"/>
  <c r="EE184" i="23917"/>
  <c r="EG226" i="24142"/>
  <c r="EG164" i="23917"/>
  <c r="EF231" i="24142"/>
  <c r="EF133" i="23917"/>
  <c r="EF169" i="23917"/>
  <c r="EM173" i="23917"/>
  <c r="EM237" i="24142"/>
  <c r="EJ173" i="23917"/>
  <c r="EJ237" i="24142"/>
  <c r="EF243" i="24142"/>
  <c r="EF179" i="23917"/>
  <c r="CT29" i="23917"/>
  <c r="CT30" i="23917" s="1"/>
  <c r="CU19" i="23917"/>
  <c r="CT22" i="23917"/>
  <c r="CT23" i="23917" s="1"/>
  <c r="CR156" i="24142"/>
  <c r="CR67" i="24142"/>
  <c r="CR308" i="23917"/>
  <c r="CR75" i="23917"/>
  <c r="CR77" i="24142"/>
  <c r="CR81" i="23917"/>
  <c r="CR78" i="24142"/>
  <c r="CR82" i="23917"/>
  <c r="CR192" i="24142"/>
  <c r="CR69" i="24142"/>
  <c r="CR130" i="23917"/>
  <c r="CR77" i="23917"/>
  <c r="CR281" i="24142"/>
  <c r="CR70" i="24142"/>
  <c r="CR347" i="23917"/>
  <c r="CR78" i="23917"/>
  <c r="CS71" i="24142"/>
  <c r="CR71" i="24142"/>
  <c r="CR87" i="24142"/>
  <c r="CR90" i="23917"/>
  <c r="CP26" i="24142"/>
  <c r="CP27" i="24142" s="1"/>
  <c r="CP34" i="23917"/>
  <c r="CP32" i="23917" s="1"/>
  <c r="CQ29" i="24142"/>
  <c r="CQ37" i="23917"/>
  <c r="CQ23" i="24142"/>
  <c r="CQ26" i="23917"/>
  <c r="CR68" i="24142"/>
  <c r="CR76" i="23917"/>
  <c r="CR76" i="24142"/>
  <c r="CR80" i="23917"/>
  <c r="CS73" i="24142"/>
  <c r="CR73" i="24142"/>
  <c r="CS97" i="23917"/>
  <c r="CR97" i="23917"/>
  <c r="CR119" i="24142"/>
  <c r="CR66" i="24142"/>
  <c r="CR216" i="23917"/>
  <c r="CR74" i="23917"/>
  <c r="CS74" i="24142"/>
  <c r="CR74" i="24142"/>
  <c r="CS75" i="24142"/>
  <c r="CR75" i="24142"/>
  <c r="EA19" i="23917"/>
  <c r="CR29" i="23917"/>
  <c r="CS19" i="23917"/>
  <c r="CR22" i="23917"/>
  <c r="CR23" i="23917" s="1"/>
  <c r="CW126" i="23917" l="1"/>
  <c r="CW201" i="24142"/>
  <c r="EC205" i="24142"/>
  <c r="CV201" i="24142"/>
  <c r="CW200" i="24142"/>
  <c r="CV138" i="23917"/>
  <c r="CW11" i="24142"/>
  <c r="CZ180" i="24142"/>
  <c r="CZ117" i="23917"/>
  <c r="CX186" i="24142"/>
  <c r="CX123" i="23917"/>
  <c r="CT72" i="24142"/>
  <c r="CT79" i="23917"/>
  <c r="EK251" i="24142"/>
  <c r="EK185" i="23917"/>
  <c r="EM185" i="23917"/>
  <c r="ED197" i="24142"/>
  <c r="ED135" i="23917"/>
  <c r="CU281" i="24142"/>
  <c r="CU70" i="24142"/>
  <c r="CU347" i="23917"/>
  <c r="CU78" i="23917"/>
  <c r="ED174" i="24142"/>
  <c r="ED111" i="23917"/>
  <c r="EL237" i="24142"/>
  <c r="EL173" i="23917"/>
  <c r="CU77" i="24142"/>
  <c r="CU81" i="23917"/>
  <c r="CU68" i="24142"/>
  <c r="CU76" i="23917"/>
  <c r="CY184" i="24142"/>
  <c r="CY121" i="23917"/>
  <c r="CU192" i="24142"/>
  <c r="CU69" i="24142"/>
  <c r="CU130" i="23917"/>
  <c r="CU77" i="23917"/>
  <c r="CZ177" i="24142"/>
  <c r="CZ114" i="23917"/>
  <c r="DA204" i="24142"/>
  <c r="DA175" i="24142"/>
  <c r="DA142" i="23917"/>
  <c r="DA112" i="23917"/>
  <c r="CU78" i="24142"/>
  <c r="CU82" i="23917"/>
  <c r="CT83" i="23917"/>
  <c r="CT79" i="24142"/>
  <c r="CU119" i="24142"/>
  <c r="CU66" i="24142"/>
  <c r="CU216" i="23917"/>
  <c r="CU74" i="23917"/>
  <c r="EC204" i="24142"/>
  <c r="EC175" i="24142"/>
  <c r="EC142" i="23917"/>
  <c r="EC112" i="23917"/>
  <c r="CU87" i="24142"/>
  <c r="CU90" i="23917"/>
  <c r="CU76" i="24142"/>
  <c r="CU80" i="23917"/>
  <c r="CU156" i="24142"/>
  <c r="CU67" i="24142"/>
  <c r="CU308" i="23917"/>
  <c r="CU75" i="23917"/>
  <c r="EE176" i="24142"/>
  <c r="EE113" i="23917"/>
  <c r="EF250" i="24142"/>
  <c r="EF184" i="23917"/>
  <c r="EE247" i="24142"/>
  <c r="EE196" i="24142"/>
  <c r="EJ251" i="24142"/>
  <c r="EJ185" i="23917"/>
  <c r="EG168" i="23917"/>
  <c r="EG228" i="24142"/>
  <c r="EG229" i="24142"/>
  <c r="EG167" i="23917"/>
  <c r="EH226" i="24142"/>
  <c r="EH164" i="23917"/>
  <c r="EE236" i="24142"/>
  <c r="EE172" i="23917"/>
  <c r="EF249" i="24142"/>
  <c r="EF183" i="23917"/>
  <c r="EF233" i="24142"/>
  <c r="EF195" i="24142"/>
  <c r="EG240" i="24142"/>
  <c r="EG176" i="23917"/>
  <c r="EF245" i="24142"/>
  <c r="EF134" i="23917"/>
  <c r="EF181" i="23917"/>
  <c r="CU29" i="23917"/>
  <c r="CV14" i="23917"/>
  <c r="CW11" i="23917"/>
  <c r="CT19" i="24142"/>
  <c r="CT20" i="24142" s="1"/>
  <c r="CU22" i="23917"/>
  <c r="CR83" i="23917"/>
  <c r="CS192" i="24142"/>
  <c r="CS69" i="24142"/>
  <c r="CS130" i="23917"/>
  <c r="CS77" i="23917"/>
  <c r="CP49" i="24142"/>
  <c r="CP58" i="23917"/>
  <c r="EA68" i="24142"/>
  <c r="EA76" i="23917"/>
  <c r="EA281" i="24142"/>
  <c r="EA70" i="24142"/>
  <c r="EA347" i="23917"/>
  <c r="EA78" i="23917"/>
  <c r="EB73" i="24142"/>
  <c r="EA73" i="24142"/>
  <c r="EB97" i="23917"/>
  <c r="EA97" i="23917"/>
  <c r="CS119" i="24142"/>
  <c r="CS66" i="24142"/>
  <c r="CS216" i="23917"/>
  <c r="CS74" i="23917"/>
  <c r="CR79" i="24142"/>
  <c r="EA119" i="24142"/>
  <c r="EA66" i="24142"/>
  <c r="EA216" i="23917"/>
  <c r="EA74" i="23917"/>
  <c r="EB74" i="24142"/>
  <c r="EA74" i="24142"/>
  <c r="CS68" i="24142"/>
  <c r="CS76" i="23917"/>
  <c r="CS281" i="24142"/>
  <c r="CS70" i="24142"/>
  <c r="CS347" i="23917"/>
  <c r="CS78" i="23917"/>
  <c r="CS77" i="24142"/>
  <c r="CS81" i="23917"/>
  <c r="CP35" i="24142"/>
  <c r="CP44" i="23917"/>
  <c r="CQ26" i="24142"/>
  <c r="CQ34" i="23917"/>
  <c r="EA156" i="24142"/>
  <c r="EA67" i="24142"/>
  <c r="EA308" i="23917"/>
  <c r="EA75" i="23917"/>
  <c r="EA78" i="24142"/>
  <c r="EA82" i="23917"/>
  <c r="EB75" i="24142"/>
  <c r="EA75" i="24142"/>
  <c r="CS76" i="24142"/>
  <c r="CS80" i="23917"/>
  <c r="CS87" i="24142"/>
  <c r="CS90" i="23917"/>
  <c r="CP35" i="23917"/>
  <c r="CS78" i="24142"/>
  <c r="CS82" i="23917"/>
  <c r="CS156" i="24142"/>
  <c r="CS67" i="24142"/>
  <c r="CS308" i="23917"/>
  <c r="CS75" i="23917"/>
  <c r="CR72" i="24142"/>
  <c r="CR79" i="23917"/>
  <c r="CQ31" i="24142"/>
  <c r="CP31" i="24142"/>
  <c r="EA192" i="24142"/>
  <c r="EA69" i="24142"/>
  <c r="EA77" i="23917"/>
  <c r="EA130" i="23917"/>
  <c r="EA76" i="24142"/>
  <c r="EA80" i="23917"/>
  <c r="EA77" i="24142"/>
  <c r="EA81" i="23917"/>
  <c r="EB71" i="24142"/>
  <c r="EA71" i="24142"/>
  <c r="EA87" i="24142"/>
  <c r="EA90" i="23917"/>
  <c r="CR30" i="23917"/>
  <c r="CS29" i="23917"/>
  <c r="CS22" i="23917"/>
  <c r="CR19" i="24142"/>
  <c r="CR20" i="24142" s="1"/>
  <c r="EA29" i="23917"/>
  <c r="EA22" i="23917"/>
  <c r="EA23" i="23917" s="1"/>
  <c r="EB19" i="23917"/>
  <c r="AG10" i="24158" l="1"/>
  <c r="CW139" i="23917"/>
  <c r="ED205" i="24142"/>
  <c r="EC143" i="23917"/>
  <c r="CW138" i="23917"/>
  <c r="EM251" i="24142"/>
  <c r="EE197" i="24142"/>
  <c r="EE135" i="23917"/>
  <c r="CT23" i="24142"/>
  <c r="CT26" i="23917"/>
  <c r="CX187" i="24142"/>
  <c r="CX124" i="23917"/>
  <c r="CY186" i="24142"/>
  <c r="CY123" i="23917"/>
  <c r="DA180" i="24142"/>
  <c r="DA117" i="23917"/>
  <c r="EC177" i="24142"/>
  <c r="EC114" i="23917"/>
  <c r="EL251" i="24142"/>
  <c r="EL185" i="23917"/>
  <c r="CU72" i="24142"/>
  <c r="CU79" i="23917"/>
  <c r="DA177" i="24142"/>
  <c r="DA114" i="23917"/>
  <c r="CT29" i="24142"/>
  <c r="CT37" i="23917"/>
  <c r="ED204" i="24142"/>
  <c r="ED175" i="24142"/>
  <c r="ED142" i="23917"/>
  <c r="ED112" i="23917"/>
  <c r="EC180" i="24142"/>
  <c r="EC117" i="23917"/>
  <c r="EH176" i="23917"/>
  <c r="EH240" i="24142"/>
  <c r="EF236" i="24142"/>
  <c r="EF172" i="23917"/>
  <c r="EG235" i="24142"/>
  <c r="EG171" i="23917"/>
  <c r="EH168" i="23917"/>
  <c r="EH228" i="24142"/>
  <c r="EE181" i="24142"/>
  <c r="EE118" i="23917"/>
  <c r="EE143" i="23917"/>
  <c r="EG244" i="24142"/>
  <c r="EG180" i="23917"/>
  <c r="EG243" i="24142"/>
  <c r="EG179" i="23917"/>
  <c r="EH229" i="24142"/>
  <c r="EH167" i="23917"/>
  <c r="EG169" i="23917"/>
  <c r="EG231" i="24142"/>
  <c r="EG133" i="23917"/>
  <c r="EF247" i="24142"/>
  <c r="EF196" i="24142"/>
  <c r="EF197" i="24142"/>
  <c r="EF135" i="23917"/>
  <c r="EF176" i="24142"/>
  <c r="EF113" i="23917"/>
  <c r="CW14" i="23917"/>
  <c r="CU19" i="24142"/>
  <c r="EA72" i="24142"/>
  <c r="EA79" i="23917"/>
  <c r="CQ35" i="24142"/>
  <c r="CQ44" i="23917"/>
  <c r="CS72" i="24142"/>
  <c r="CS79" i="23917"/>
  <c r="EB78" i="24142"/>
  <c r="EB82" i="23917"/>
  <c r="EB192" i="24142"/>
  <c r="EB69" i="24142"/>
  <c r="EB130" i="23917"/>
  <c r="EB77" i="23917"/>
  <c r="EB87" i="24142"/>
  <c r="EB90" i="23917"/>
  <c r="EB76" i="24142"/>
  <c r="EB80" i="23917"/>
  <c r="EA83" i="23917"/>
  <c r="EB156" i="24142"/>
  <c r="EB67" i="24142"/>
  <c r="EB308" i="23917"/>
  <c r="EB75" i="23917"/>
  <c r="EB68" i="24142"/>
  <c r="EB76" i="23917"/>
  <c r="CR23" i="24142"/>
  <c r="CR26" i="23917"/>
  <c r="CP38" i="24142"/>
  <c r="CP39" i="24142" s="1"/>
  <c r="CP47" i="23917"/>
  <c r="CP48" i="23917" s="1"/>
  <c r="EB77" i="24142"/>
  <c r="EB81" i="23917"/>
  <c r="CP45" i="23917"/>
  <c r="EB66" i="24142"/>
  <c r="EB119" i="24142"/>
  <c r="EB216" i="23917"/>
  <c r="EB74" i="23917"/>
  <c r="EB281" i="24142"/>
  <c r="EB70" i="24142"/>
  <c r="EB347" i="23917"/>
  <c r="EB78" i="23917"/>
  <c r="CQ49" i="24142"/>
  <c r="CQ58" i="23917"/>
  <c r="CR29" i="24142"/>
  <c r="CR37" i="23917"/>
  <c r="EA79" i="24142"/>
  <c r="CP36" i="24142"/>
  <c r="EA30" i="23917"/>
  <c r="CS19" i="24142"/>
  <c r="EB29" i="23917"/>
  <c r="EB22" i="23917"/>
  <c r="EA19" i="24142"/>
  <c r="EA20" i="24142" s="1"/>
  <c r="EG143" i="23917" l="1"/>
  <c r="EE205" i="24142"/>
  <c r="ED143" i="23917"/>
  <c r="CX11" i="23917"/>
  <c r="CX201" i="24142"/>
  <c r="CZ213" i="24142"/>
  <c r="CZ151" i="23917"/>
  <c r="CY189" i="24142"/>
  <c r="CY11" i="24142"/>
  <c r="CY126" i="23917"/>
  <c r="CU29" i="24142"/>
  <c r="CU37" i="23917"/>
  <c r="CZ183" i="24142"/>
  <c r="CZ120" i="23917"/>
  <c r="CU23" i="24142"/>
  <c r="CU26" i="23917"/>
  <c r="EC213" i="24142"/>
  <c r="EC151" i="23917"/>
  <c r="ED180" i="24142"/>
  <c r="ED117" i="23917"/>
  <c r="ED177" i="24142"/>
  <c r="ED114" i="23917"/>
  <c r="CY187" i="24142"/>
  <c r="CY124" i="23917"/>
  <c r="CX200" i="24142"/>
  <c r="CX138" i="23917"/>
  <c r="CT26" i="24142"/>
  <c r="CT27" i="24142" s="1"/>
  <c r="CT34" i="23917"/>
  <c r="CT32" i="23917" s="1"/>
  <c r="CX189" i="24142"/>
  <c r="CX14" i="24142"/>
  <c r="CY14" i="24142" s="1"/>
  <c r="CX11" i="24142"/>
  <c r="CX126" i="23917"/>
  <c r="CX127" i="23917" s="1"/>
  <c r="EG195" i="24142"/>
  <c r="EG233" i="24142"/>
  <c r="EH243" i="24142"/>
  <c r="EH179" i="23917"/>
  <c r="EG249" i="24142"/>
  <c r="EG183" i="23917"/>
  <c r="EH244" i="24142"/>
  <c r="EH180" i="23917"/>
  <c r="EG250" i="24142"/>
  <c r="EG184" i="23917"/>
  <c r="EH235" i="24142"/>
  <c r="EH171" i="23917"/>
  <c r="EH231" i="24142"/>
  <c r="EH133" i="23917"/>
  <c r="EH169" i="23917"/>
  <c r="EI226" i="24142"/>
  <c r="EI164" i="23917"/>
  <c r="EG181" i="23917"/>
  <c r="EG245" i="24142"/>
  <c r="EG134" i="23917"/>
  <c r="EF205" i="24142"/>
  <c r="EF143" i="23917"/>
  <c r="EF118" i="23917"/>
  <c r="EF181" i="24142"/>
  <c r="CV19" i="23917"/>
  <c r="CQ38" i="24142"/>
  <c r="CQ47" i="23917"/>
  <c r="EB72" i="24142"/>
  <c r="EB79" i="23917"/>
  <c r="CS29" i="24142"/>
  <c r="CS37" i="23917"/>
  <c r="CR26" i="24142"/>
  <c r="CR27" i="24142" s="1"/>
  <c r="CR34" i="23917"/>
  <c r="CR32" i="23917" s="1"/>
  <c r="CS23" i="24142"/>
  <c r="CS26" i="23917"/>
  <c r="EA23" i="24142"/>
  <c r="EA26" i="23917"/>
  <c r="CQ85" i="24142"/>
  <c r="CP85" i="24142"/>
  <c r="CQ94" i="23917"/>
  <c r="CP94" i="23917"/>
  <c r="CQ96" i="23917"/>
  <c r="CP96" i="23917"/>
  <c r="CQ95" i="23917"/>
  <c r="CP95" i="23917"/>
  <c r="EB19" i="24142"/>
  <c r="EG205" i="24142" l="1"/>
  <c r="EH205" i="24142"/>
  <c r="EE142" i="23917"/>
  <c r="EE112" i="23917"/>
  <c r="EE204" i="24142"/>
  <c r="EE175" i="24142"/>
  <c r="CX139" i="23917"/>
  <c r="CY201" i="24142"/>
  <c r="CT35" i="23917"/>
  <c r="DA213" i="24142"/>
  <c r="DA151" i="23917"/>
  <c r="CT49" i="24142"/>
  <c r="CT58" i="23917"/>
  <c r="CU31" i="24142"/>
  <c r="CT31" i="24142"/>
  <c r="CV68" i="24142"/>
  <c r="CV76" i="23917"/>
  <c r="CV156" i="24142"/>
  <c r="CV67" i="24142"/>
  <c r="CV308" i="23917"/>
  <c r="CV75" i="23917"/>
  <c r="CW71" i="24142"/>
  <c r="CV71" i="24142"/>
  <c r="CV77" i="24142"/>
  <c r="CV81" i="23917"/>
  <c r="CV76" i="24142"/>
  <c r="CV80" i="23917"/>
  <c r="CW75" i="24142"/>
  <c r="CV75" i="24142"/>
  <c r="CW97" i="23917"/>
  <c r="CV97" i="23917"/>
  <c r="DA183" i="24142"/>
  <c r="DA120" i="23917"/>
  <c r="EC184" i="24142"/>
  <c r="EC121" i="23917"/>
  <c r="CY200" i="24142"/>
  <c r="CY138" i="23917"/>
  <c r="ED213" i="24142"/>
  <c r="ED151" i="23917"/>
  <c r="CU26" i="24142"/>
  <c r="CU34" i="23917"/>
  <c r="CT35" i="24142"/>
  <c r="CT44" i="23917"/>
  <c r="CV192" i="24142"/>
  <c r="CV69" i="24142"/>
  <c r="CV130" i="23917"/>
  <c r="CV77" i="23917"/>
  <c r="CV119" i="24142"/>
  <c r="CV66" i="24142"/>
  <c r="CV216" i="23917"/>
  <c r="CV74" i="23917"/>
  <c r="CV281" i="24142"/>
  <c r="CV70" i="24142"/>
  <c r="CV347" i="23917"/>
  <c r="CV78" i="23917"/>
  <c r="CW74" i="24142"/>
  <c r="CV74" i="24142"/>
  <c r="CV87" i="24142"/>
  <c r="CV90" i="23917"/>
  <c r="CW73" i="24142"/>
  <c r="CV73" i="24142"/>
  <c r="CV78" i="24142"/>
  <c r="CV82" i="23917"/>
  <c r="CZ184" i="24142"/>
  <c r="CZ121" i="23917"/>
  <c r="EC214" i="24142"/>
  <c r="EC152" i="23917"/>
  <c r="EC183" i="24142"/>
  <c r="EC120" i="23917"/>
  <c r="EH181" i="23917"/>
  <c r="EH245" i="24142"/>
  <c r="EH134" i="23917"/>
  <c r="EI240" i="24142"/>
  <c r="EI176" i="23917"/>
  <c r="EJ226" i="24142"/>
  <c r="EJ164" i="23917"/>
  <c r="EH250" i="24142"/>
  <c r="EH184" i="23917"/>
  <c r="EG236" i="24142"/>
  <c r="EG172" i="23917"/>
  <c r="EI205" i="24142"/>
  <c r="EI143" i="23917"/>
  <c r="EG247" i="24142"/>
  <c r="EG196" i="24142"/>
  <c r="EI168" i="23917"/>
  <c r="EI228" i="24142"/>
  <c r="EI167" i="23917"/>
  <c r="EI229" i="24142"/>
  <c r="EE111" i="23917"/>
  <c r="EE174" i="24142"/>
  <c r="EF204" i="24142"/>
  <c r="EF142" i="23917"/>
  <c r="EF175" i="24142"/>
  <c r="EF112" i="23917"/>
  <c r="EH183" i="23917"/>
  <c r="EH249" i="24142"/>
  <c r="EH233" i="24142"/>
  <c r="EH195" i="24142"/>
  <c r="EG176" i="24142"/>
  <c r="EG113" i="23917"/>
  <c r="CV22" i="23917"/>
  <c r="CV23" i="23917" s="1"/>
  <c r="CV29" i="23917"/>
  <c r="CW19" i="23917"/>
  <c r="CX14" i="23917"/>
  <c r="CY11" i="23917"/>
  <c r="CR35" i="23917"/>
  <c r="CR35" i="24142"/>
  <c r="CR44" i="23917"/>
  <c r="EB23" i="24142"/>
  <c r="EB26" i="23917"/>
  <c r="CS26" i="24142"/>
  <c r="CS34" i="23917"/>
  <c r="CS31" i="24142"/>
  <c r="CR31" i="24142"/>
  <c r="CR49" i="24142"/>
  <c r="CR58" i="23917"/>
  <c r="CQ89" i="23917"/>
  <c r="CP89" i="23917"/>
  <c r="CP86" i="23917"/>
  <c r="CP82" i="24142"/>
  <c r="CQ99" i="23917"/>
  <c r="CP99" i="23917"/>
  <c r="CP86" i="24142"/>
  <c r="CP88" i="23917"/>
  <c r="CP84" i="24142"/>
  <c r="CP87" i="23917"/>
  <c r="CP83" i="24142"/>
  <c r="CP89" i="24142"/>
  <c r="CP98" i="23917"/>
  <c r="EA26" i="24142"/>
  <c r="EA27" i="24142" s="1"/>
  <c r="EA34" i="23917"/>
  <c r="EH143" i="23917" l="1"/>
  <c r="CY139" i="23917"/>
  <c r="EE117" i="23917"/>
  <c r="EE180" i="24142"/>
  <c r="CZ186" i="24142"/>
  <c r="CZ123" i="23917"/>
  <c r="CW192" i="24142"/>
  <c r="CW69" i="24142"/>
  <c r="CW130" i="23917"/>
  <c r="CW77" i="23917"/>
  <c r="CU35" i="24142"/>
  <c r="CU44" i="23917"/>
  <c r="EK205" i="24142"/>
  <c r="EK143" i="23917"/>
  <c r="EM205" i="24142"/>
  <c r="ED214" i="24142"/>
  <c r="ED152" i="23917"/>
  <c r="CW78" i="24142"/>
  <c r="CW82" i="23917"/>
  <c r="CW281" i="24142"/>
  <c r="CW70" i="24142"/>
  <c r="CW347" i="23917"/>
  <c r="CW78" i="23917"/>
  <c r="CT45" i="23917"/>
  <c r="ED184" i="24142"/>
  <c r="ED121" i="23917"/>
  <c r="CW76" i="24142"/>
  <c r="CW80" i="23917"/>
  <c r="CW156" i="24142"/>
  <c r="CW67" i="24142"/>
  <c r="CW308" i="23917"/>
  <c r="CW75" i="23917"/>
  <c r="CU49" i="24142"/>
  <c r="CU58" i="23917"/>
  <c r="DA184" i="24142"/>
  <c r="DA121" i="23917"/>
  <c r="CV72" i="24142"/>
  <c r="CV79" i="23917"/>
  <c r="CT38" i="24142"/>
  <c r="CT39" i="24142" s="1"/>
  <c r="CT47" i="23917"/>
  <c r="CT48" i="23917" s="1"/>
  <c r="EC186" i="24142"/>
  <c r="EC123" i="23917"/>
  <c r="ED183" i="24142"/>
  <c r="ED120" i="23917"/>
  <c r="CW87" i="24142"/>
  <c r="CW90" i="23917"/>
  <c r="CV83" i="23917"/>
  <c r="CV79" i="24142"/>
  <c r="CW119" i="24142"/>
  <c r="CW66" i="24142"/>
  <c r="CW216" i="23917"/>
  <c r="CW74" i="23917"/>
  <c r="CT36" i="24142"/>
  <c r="CV30" i="23917"/>
  <c r="CW77" i="24142"/>
  <c r="CW81" i="23917"/>
  <c r="CW68" i="24142"/>
  <c r="CW76" i="23917"/>
  <c r="EG111" i="23917"/>
  <c r="EG174" i="24142"/>
  <c r="EF111" i="23917"/>
  <c r="EF174" i="24142"/>
  <c r="EI171" i="23917"/>
  <c r="EI235" i="24142"/>
  <c r="EI231" i="24142"/>
  <c r="EI133" i="23917"/>
  <c r="EI169" i="23917"/>
  <c r="EH247" i="24142"/>
  <c r="EH196" i="24142"/>
  <c r="EJ143" i="23917"/>
  <c r="EJ205" i="24142"/>
  <c r="EH236" i="24142"/>
  <c r="EH172" i="23917"/>
  <c r="EF117" i="23917"/>
  <c r="EF180" i="24142"/>
  <c r="EI244" i="24142"/>
  <c r="EI180" i="23917"/>
  <c r="EJ240" i="24142"/>
  <c r="EJ176" i="23917"/>
  <c r="EH176" i="24142"/>
  <c r="EH113" i="23917"/>
  <c r="EG118" i="23917"/>
  <c r="EG181" i="24142"/>
  <c r="EG197" i="24142"/>
  <c r="EG135" i="23917"/>
  <c r="EE114" i="23917"/>
  <c r="EE177" i="24142"/>
  <c r="EJ229" i="24142"/>
  <c r="EJ167" i="23917"/>
  <c r="EJ228" i="24142"/>
  <c r="EJ168" i="23917"/>
  <c r="EI179" i="23917"/>
  <c r="EI243" i="24142"/>
  <c r="EE214" i="24142"/>
  <c r="EE152" i="23917"/>
  <c r="CY14" i="23917"/>
  <c r="CW29" i="23917"/>
  <c r="CW22" i="23917"/>
  <c r="CV19" i="24142"/>
  <c r="CV20" i="24142" s="1"/>
  <c r="CR45" i="23917"/>
  <c r="CS49" i="24142"/>
  <c r="CS58" i="23917"/>
  <c r="CR36" i="24142"/>
  <c r="CS35" i="24142"/>
  <c r="CS44" i="23917"/>
  <c r="EA35" i="24142"/>
  <c r="EA36" i="24142" s="1"/>
  <c r="EA44" i="23917"/>
  <c r="EA45" i="23917" s="1"/>
  <c r="CR38" i="24142"/>
  <c r="CR39" i="24142" s="1"/>
  <c r="CR47" i="23917"/>
  <c r="CR48" i="23917" s="1"/>
  <c r="CQ91" i="23917"/>
  <c r="CP91" i="23917"/>
  <c r="CQ87" i="23917"/>
  <c r="CQ83" i="24142"/>
  <c r="CQ84" i="24142"/>
  <c r="CQ86" i="24142"/>
  <c r="CQ88" i="23917"/>
  <c r="CQ86" i="23917"/>
  <c r="CQ82" i="24142"/>
  <c r="CP45" i="24142"/>
  <c r="CP54" i="23917"/>
  <c r="CQ88" i="24142"/>
  <c r="CP88" i="24142"/>
  <c r="CQ89" i="24142"/>
  <c r="CQ98" i="23917"/>
  <c r="EA49" i="24142"/>
  <c r="EA58" i="23917"/>
  <c r="EB34" i="23917"/>
  <c r="EB26" i="24142"/>
  <c r="EA35" i="23917"/>
  <c r="EA32" i="23917"/>
  <c r="EB31" i="24142"/>
  <c r="EA31" i="24142"/>
  <c r="EA29" i="24142"/>
  <c r="EA37" i="23917"/>
  <c r="EM143" i="23917" l="1"/>
  <c r="DA186" i="24142"/>
  <c r="DA123" i="23917"/>
  <c r="CU95" i="23917"/>
  <c r="CT95" i="23917"/>
  <c r="CU94" i="23917"/>
  <c r="CT94" i="23917"/>
  <c r="ED186" i="24142"/>
  <c r="ED123" i="23917"/>
  <c r="CU38" i="24142"/>
  <c r="CU47" i="23917"/>
  <c r="CV23" i="24142"/>
  <c r="CV26" i="23917"/>
  <c r="CV29" i="24142"/>
  <c r="CV37" i="23917"/>
  <c r="CZ187" i="24142"/>
  <c r="CZ124" i="23917"/>
  <c r="CU85" i="24142"/>
  <c r="CT85" i="24142"/>
  <c r="CU96" i="23917"/>
  <c r="CT96" i="23917"/>
  <c r="EK226" i="24142"/>
  <c r="EK164" i="23917"/>
  <c r="CW72" i="24142"/>
  <c r="CW79" i="23917"/>
  <c r="EL205" i="24142"/>
  <c r="EL143" i="23917"/>
  <c r="EF152" i="23917"/>
  <c r="EF214" i="24142"/>
  <c r="EG214" i="24142"/>
  <c r="EG152" i="23917"/>
  <c r="EJ243" i="24142"/>
  <c r="EJ179" i="23917"/>
  <c r="EI184" i="23917"/>
  <c r="EI250" i="24142"/>
  <c r="EJ231" i="24142"/>
  <c r="EJ133" i="23917"/>
  <c r="EJ169" i="23917"/>
  <c r="EJ235" i="24142"/>
  <c r="EJ171" i="23917"/>
  <c r="EH111" i="23917"/>
  <c r="EH174" i="24142"/>
  <c r="EI183" i="23917"/>
  <c r="EI249" i="24142"/>
  <c r="EF177" i="24142"/>
  <c r="EF114" i="23917"/>
  <c r="EH135" i="23917"/>
  <c r="EH197" i="24142"/>
  <c r="EH118" i="23917"/>
  <c r="EH181" i="24142"/>
  <c r="EJ180" i="23917"/>
  <c r="EJ244" i="24142"/>
  <c r="EI245" i="24142"/>
  <c r="EI134" i="23917"/>
  <c r="EI181" i="23917"/>
  <c r="EI195" i="24142"/>
  <c r="EI233" i="24142"/>
  <c r="CW19" i="24142"/>
  <c r="CX19" i="23917"/>
  <c r="CS38" i="24142"/>
  <c r="CS47" i="23917"/>
  <c r="EB35" i="24142"/>
  <c r="EB44" i="23917"/>
  <c r="CS95" i="23917"/>
  <c r="CR95" i="23917"/>
  <c r="CP43" i="24142"/>
  <c r="CP52" i="23917"/>
  <c r="CS96" i="23917"/>
  <c r="CR96" i="23917"/>
  <c r="CP42" i="24142"/>
  <c r="CP51" i="23917"/>
  <c r="CS94" i="23917"/>
  <c r="CR94" i="23917"/>
  <c r="CS85" i="24142"/>
  <c r="CR85" i="24142"/>
  <c r="CP44" i="24142"/>
  <c r="CP53" i="23917"/>
  <c r="CQ45" i="24142"/>
  <c r="CQ54" i="23917"/>
  <c r="EA38" i="24142"/>
  <c r="EA39" i="24142" s="1"/>
  <c r="EA47" i="23917"/>
  <c r="EA48" i="23917" s="1"/>
  <c r="EB29" i="24142"/>
  <c r="EB37" i="23917"/>
  <c r="EB58" i="23917"/>
  <c r="EB49" i="24142"/>
  <c r="CZ11" i="23917" l="1"/>
  <c r="CZ201" i="24142"/>
  <c r="CZ139" i="23917"/>
  <c r="CT82" i="24142"/>
  <c r="CT86" i="23917"/>
  <c r="CT83" i="24142"/>
  <c r="CT87" i="23917"/>
  <c r="CT86" i="24142"/>
  <c r="CT84" i="24142"/>
  <c r="CT88" i="23917"/>
  <c r="DA187" i="24142"/>
  <c r="DA124" i="23917"/>
  <c r="CX68" i="24142"/>
  <c r="CX76" i="23917"/>
  <c r="CX156" i="24142"/>
  <c r="CX67" i="24142"/>
  <c r="CX308" i="23917"/>
  <c r="CX75" i="23917"/>
  <c r="CY73" i="24142"/>
  <c r="CX73" i="24142"/>
  <c r="CX78" i="24142"/>
  <c r="CX82" i="23917"/>
  <c r="CX281" i="24142"/>
  <c r="CX70" i="24142"/>
  <c r="CX347" i="23917"/>
  <c r="CX78" i="23917"/>
  <c r="CY74" i="24142"/>
  <c r="CX74" i="24142"/>
  <c r="CY97" i="23917"/>
  <c r="CX97" i="23917"/>
  <c r="CU99" i="23917"/>
  <c r="CT99" i="23917"/>
  <c r="CV26" i="24142"/>
  <c r="CV27" i="24142" s="1"/>
  <c r="CV34" i="23917"/>
  <c r="CV32" i="23917" s="1"/>
  <c r="EC187" i="24142"/>
  <c r="EC124" i="23917"/>
  <c r="EK228" i="24142"/>
  <c r="EK168" i="23917"/>
  <c r="EL226" i="24142"/>
  <c r="EL164" i="23917"/>
  <c r="EK240" i="24142"/>
  <c r="EK176" i="23917"/>
  <c r="CU89" i="23917"/>
  <c r="CT89" i="23917"/>
  <c r="CX192" i="24142"/>
  <c r="CX69" i="24142"/>
  <c r="CX130" i="23917"/>
  <c r="CX77" i="23917"/>
  <c r="CX119" i="24142"/>
  <c r="CX66" i="24142"/>
  <c r="CX216" i="23917"/>
  <c r="CX74" i="23917"/>
  <c r="CX76" i="24142"/>
  <c r="CX80" i="23917"/>
  <c r="CY75" i="24142"/>
  <c r="CX75" i="24142"/>
  <c r="CX87" i="24142"/>
  <c r="CX90" i="23917"/>
  <c r="CY71" i="24142"/>
  <c r="CX71" i="24142"/>
  <c r="CX77" i="24142"/>
  <c r="CX81" i="23917"/>
  <c r="CT89" i="24142"/>
  <c r="CT98" i="23917"/>
  <c r="CW29" i="24142"/>
  <c r="CW37" i="23917"/>
  <c r="CW23" i="24142"/>
  <c r="CW26" i="23917"/>
  <c r="CZ189" i="24142"/>
  <c r="CZ14" i="24142"/>
  <c r="DA14" i="24142" s="1"/>
  <c r="CZ11" i="24142"/>
  <c r="CZ126" i="23917"/>
  <c r="CZ127" i="23917" s="1"/>
  <c r="EK229" i="24142"/>
  <c r="EK167" i="23917"/>
  <c r="EM164" i="23917"/>
  <c r="EM226" i="24142"/>
  <c r="EJ245" i="24142"/>
  <c r="EJ134" i="23917"/>
  <c r="EJ181" i="23917"/>
  <c r="EJ250" i="24142"/>
  <c r="EJ184" i="23917"/>
  <c r="EG204" i="24142"/>
  <c r="EG142" i="23917"/>
  <c r="EG175" i="24142"/>
  <c r="EG112" i="23917"/>
  <c r="EE213" i="24142"/>
  <c r="EE151" i="23917"/>
  <c r="EH152" i="23917"/>
  <c r="EH214" i="24142"/>
  <c r="EJ233" i="24142"/>
  <c r="EJ195" i="24142"/>
  <c r="EI236" i="24142"/>
  <c r="EI172" i="23917"/>
  <c r="EI176" i="24142"/>
  <c r="EI113" i="23917"/>
  <c r="EI247" i="24142"/>
  <c r="EI196" i="24142"/>
  <c r="EJ249" i="24142"/>
  <c r="EJ183" i="23917"/>
  <c r="EE120" i="23917"/>
  <c r="EE183" i="24142"/>
  <c r="EI214" i="24142"/>
  <c r="EI152" i="23917"/>
  <c r="CX29" i="23917"/>
  <c r="CY19" i="23917"/>
  <c r="CX22" i="23917"/>
  <c r="CX23" i="23917" s="1"/>
  <c r="CR86" i="24142"/>
  <c r="CR88" i="23917"/>
  <c r="CR84" i="24142"/>
  <c r="CS99" i="23917"/>
  <c r="CR99" i="23917"/>
  <c r="CQ44" i="24142"/>
  <c r="CQ53" i="23917"/>
  <c r="CQ43" i="24142"/>
  <c r="CQ52" i="23917"/>
  <c r="EB85" i="24142"/>
  <c r="EA85" i="24142"/>
  <c r="CR86" i="23917"/>
  <c r="CR82" i="24142"/>
  <c r="CR83" i="24142"/>
  <c r="CR87" i="23917"/>
  <c r="EB95" i="23917"/>
  <c r="EA95" i="23917"/>
  <c r="CQ42" i="24142"/>
  <c r="CQ51" i="23917"/>
  <c r="EB94" i="23917"/>
  <c r="EA94" i="23917"/>
  <c r="EB96" i="23917"/>
  <c r="EA96" i="23917"/>
  <c r="CS89" i="23917"/>
  <c r="CR89" i="23917"/>
  <c r="CR98" i="23917"/>
  <c r="CR89" i="24142"/>
  <c r="EB38" i="24142"/>
  <c r="EB47" i="23917"/>
  <c r="CZ200" i="24142" l="1"/>
  <c r="CZ138" i="23917"/>
  <c r="CV35" i="23917"/>
  <c r="CW26" i="24142"/>
  <c r="CW34" i="23917"/>
  <c r="CY192" i="24142"/>
  <c r="CY69" i="24142"/>
  <c r="CY130" i="23917"/>
  <c r="CY77" i="23917"/>
  <c r="CV35" i="24142"/>
  <c r="CV44" i="23917"/>
  <c r="EC189" i="24142"/>
  <c r="EC14" i="24142"/>
  <c r="ED14" i="24142" s="1"/>
  <c r="EC11" i="24142"/>
  <c r="EC126" i="23917"/>
  <c r="EC127" i="23917" s="1"/>
  <c r="EK214" i="24142"/>
  <c r="EK152" i="23917"/>
  <c r="EM152" i="23917"/>
  <c r="EK244" i="24142"/>
  <c r="EK180" i="23917"/>
  <c r="EL240" i="24142"/>
  <c r="EL176" i="23917"/>
  <c r="EL229" i="24142"/>
  <c r="EL167" i="23917"/>
  <c r="EL228" i="24142"/>
  <c r="EL168" i="23917"/>
  <c r="DA200" i="24142"/>
  <c r="DA138" i="23917"/>
  <c r="CY77" i="24142"/>
  <c r="CY81" i="23917"/>
  <c r="CX30" i="23917"/>
  <c r="CX83" i="23917"/>
  <c r="CX79" i="24142"/>
  <c r="CY119" i="24142"/>
  <c r="CY66" i="24142"/>
  <c r="CY216" i="23917"/>
  <c r="CY74" i="23917"/>
  <c r="EM240" i="24142"/>
  <c r="EM176" i="23917"/>
  <c r="ED187" i="24142"/>
  <c r="ED124" i="23917"/>
  <c r="DA189" i="24142"/>
  <c r="DA11" i="24142"/>
  <c r="DA126" i="23917"/>
  <c r="CY78" i="24142"/>
  <c r="CY82" i="23917"/>
  <c r="CY68" i="24142"/>
  <c r="CY76" i="23917"/>
  <c r="CU86" i="24142"/>
  <c r="CU84" i="24142"/>
  <c r="CU88" i="23917"/>
  <c r="CU82" i="24142"/>
  <c r="CU86" i="23917"/>
  <c r="CV49" i="24142"/>
  <c r="CV58" i="23917"/>
  <c r="CW31" i="24142"/>
  <c r="CV31" i="24142"/>
  <c r="CT45" i="24142"/>
  <c r="CT54" i="23917"/>
  <c r="CX72" i="24142"/>
  <c r="CX79" i="23917"/>
  <c r="CU91" i="23917"/>
  <c r="CT91" i="23917"/>
  <c r="CU88" i="24142"/>
  <c r="CT88" i="24142"/>
  <c r="EC188" i="24142"/>
  <c r="EC125" i="23917"/>
  <c r="EK243" i="24142"/>
  <c r="EK179" i="23917"/>
  <c r="EK235" i="24142"/>
  <c r="EK171" i="23917"/>
  <c r="EK231" i="24142"/>
  <c r="EK169" i="23917"/>
  <c r="EK133" i="23917"/>
  <c r="EM167" i="23917"/>
  <c r="EM229" i="24142"/>
  <c r="CU89" i="24142"/>
  <c r="CU98" i="23917"/>
  <c r="CY87" i="24142"/>
  <c r="CY90" i="23917"/>
  <c r="CY76" i="24142"/>
  <c r="CY80" i="23917"/>
  <c r="EM228" i="24142"/>
  <c r="EM168" i="23917"/>
  <c r="CY281" i="24142"/>
  <c r="CY70" i="24142"/>
  <c r="CY347" i="23917"/>
  <c r="CY78" i="23917"/>
  <c r="CY156" i="24142"/>
  <c r="CY67" i="24142"/>
  <c r="CY308" i="23917"/>
  <c r="CY75" i="23917"/>
  <c r="CU83" i="24142"/>
  <c r="CU87" i="23917"/>
  <c r="DA201" i="24142"/>
  <c r="DA139" i="23917"/>
  <c r="EF183" i="24142"/>
  <c r="EF120" i="23917"/>
  <c r="EJ196" i="24142"/>
  <c r="EJ247" i="24142"/>
  <c r="EI118" i="23917"/>
  <c r="EI181" i="24142"/>
  <c r="EF213" i="24142"/>
  <c r="EF151" i="23917"/>
  <c r="EH204" i="24142"/>
  <c r="EH142" i="23917"/>
  <c r="EH175" i="24142"/>
  <c r="EH112" i="23917"/>
  <c r="EG180" i="24142"/>
  <c r="EG117" i="23917"/>
  <c r="EJ152" i="23917"/>
  <c r="EJ214" i="24142"/>
  <c r="EE121" i="23917"/>
  <c r="EE184" i="24142"/>
  <c r="EJ176" i="24142"/>
  <c r="EJ113" i="23917"/>
  <c r="EJ172" i="23917"/>
  <c r="EJ236" i="24142"/>
  <c r="EG177" i="24142"/>
  <c r="EG114" i="23917"/>
  <c r="EI197" i="24142"/>
  <c r="EI135" i="23917"/>
  <c r="DA11" i="23917"/>
  <c r="CZ14" i="23917"/>
  <c r="CX19" i="24142"/>
  <c r="CX20" i="24142" s="1"/>
  <c r="CY22" i="23917"/>
  <c r="CY29" i="23917"/>
  <c r="CS91" i="23917"/>
  <c r="CR91" i="23917"/>
  <c r="EA45" i="24142"/>
  <c r="EA54" i="23917"/>
  <c r="CR45" i="24142"/>
  <c r="CR54" i="23917"/>
  <c r="EA88" i="23917"/>
  <c r="EA84" i="24142"/>
  <c r="EA86" i="24142"/>
  <c r="CS83" i="24142"/>
  <c r="CS87" i="23917"/>
  <c r="EB89" i="23917"/>
  <c r="EA89" i="23917"/>
  <c r="EB99" i="23917"/>
  <c r="EA99" i="23917"/>
  <c r="EA86" i="23917"/>
  <c r="EA82" i="24142"/>
  <c r="EA83" i="24142"/>
  <c r="EA87" i="23917"/>
  <c r="CS82" i="24142"/>
  <c r="CS86" i="23917"/>
  <c r="CS86" i="24142"/>
  <c r="CS88" i="23917"/>
  <c r="CS84" i="24142"/>
  <c r="EA89" i="24142"/>
  <c r="EA98" i="23917"/>
  <c r="EB88" i="24142"/>
  <c r="EA88" i="24142"/>
  <c r="CS88" i="24142"/>
  <c r="CR88" i="24142"/>
  <c r="CS98" i="23917"/>
  <c r="CS89" i="24142"/>
  <c r="EM214" i="24142" l="1"/>
  <c r="CW35" i="24142"/>
  <c r="CW44" i="23917"/>
  <c r="CT44" i="24142"/>
  <c r="CT53" i="23917"/>
  <c r="CT43" i="24142"/>
  <c r="CT52" i="23917"/>
  <c r="CX29" i="24142"/>
  <c r="CX37" i="23917"/>
  <c r="EC201" i="24142"/>
  <c r="EC139" i="23917"/>
  <c r="EK249" i="24142"/>
  <c r="EK183" i="23917"/>
  <c r="EK233" i="24142"/>
  <c r="EK195" i="24142"/>
  <c r="EK245" i="24142"/>
  <c r="EK181" i="23917"/>
  <c r="EK134" i="23917"/>
  <c r="CV38" i="24142"/>
  <c r="CV39" i="24142" s="1"/>
  <c r="CV47" i="23917"/>
  <c r="CV48" i="23917" s="1"/>
  <c r="CT42" i="24142"/>
  <c r="CT51" i="23917"/>
  <c r="CX23" i="24142"/>
  <c r="CX26" i="23917"/>
  <c r="EC200" i="24142"/>
  <c r="EC138" i="23917"/>
  <c r="EL243" i="24142"/>
  <c r="EL179" i="23917"/>
  <c r="ED188" i="24142"/>
  <c r="ED125" i="23917"/>
  <c r="EL231" i="24142"/>
  <c r="EL169" i="23917"/>
  <c r="EL133" i="23917"/>
  <c r="EL244" i="24142"/>
  <c r="EL180" i="23917"/>
  <c r="EK250" i="24142"/>
  <c r="EK184" i="23917"/>
  <c r="EL214" i="24142"/>
  <c r="EL152" i="23917"/>
  <c r="EL235" i="24142"/>
  <c r="EL171" i="23917"/>
  <c r="CY72" i="24142"/>
  <c r="CY79" i="23917"/>
  <c r="EM244" i="24142"/>
  <c r="EM180" i="23917"/>
  <c r="ED189" i="24142"/>
  <c r="ED11" i="24142"/>
  <c r="ED126" i="23917"/>
  <c r="CV36" i="24142"/>
  <c r="EM169" i="23917"/>
  <c r="EM133" i="23917"/>
  <c r="EM231" i="24142"/>
  <c r="EM235" i="24142"/>
  <c r="EM171" i="23917"/>
  <c r="EM243" i="24142"/>
  <c r="EM179" i="23917"/>
  <c r="CU45" i="24142"/>
  <c r="CU54" i="23917"/>
  <c r="CW49" i="24142"/>
  <c r="CW58" i="23917"/>
  <c r="CV45" i="23917"/>
  <c r="EG151" i="23917"/>
  <c r="EG213" i="24142"/>
  <c r="EI174" i="24142"/>
  <c r="EI111" i="23917"/>
  <c r="EJ135" i="23917"/>
  <c r="EJ197" i="24142"/>
  <c r="EH114" i="23917"/>
  <c r="EH177" i="24142"/>
  <c r="EE123" i="23917"/>
  <c r="EE186" i="24142"/>
  <c r="EF121" i="23917"/>
  <c r="EF184" i="24142"/>
  <c r="EJ181" i="24142"/>
  <c r="EJ118" i="23917"/>
  <c r="EE125" i="23917"/>
  <c r="EE188" i="24142"/>
  <c r="EH180" i="24142"/>
  <c r="EH117" i="23917"/>
  <c r="CY19" i="24142"/>
  <c r="DA14" i="23917"/>
  <c r="EB84" i="24142"/>
  <c r="EB86" i="24142"/>
  <c r="EB88" i="23917"/>
  <c r="EA42" i="24142"/>
  <c r="EA51" i="23917"/>
  <c r="CR42" i="24142"/>
  <c r="CR51" i="23917"/>
  <c r="EB91" i="23917"/>
  <c r="EA91" i="23917"/>
  <c r="EB82" i="24142"/>
  <c r="EB86" i="23917"/>
  <c r="EB54" i="23917"/>
  <c r="EB45" i="24142"/>
  <c r="EA53" i="23917"/>
  <c r="EA44" i="24142"/>
  <c r="EA43" i="24142"/>
  <c r="EA52" i="23917"/>
  <c r="CR44" i="24142"/>
  <c r="CR53" i="23917"/>
  <c r="EB83" i="24142"/>
  <c r="EB87" i="23917"/>
  <c r="CS45" i="24142"/>
  <c r="CS54" i="23917"/>
  <c r="CR43" i="24142"/>
  <c r="CR52" i="23917"/>
  <c r="EB98" i="23917"/>
  <c r="EB89" i="24142"/>
  <c r="CY29" i="24142" l="1"/>
  <c r="CY37" i="23917"/>
  <c r="CY23" i="24142"/>
  <c r="CY26" i="23917"/>
  <c r="CX26" i="24142"/>
  <c r="CX27" i="24142" s="1"/>
  <c r="CX34" i="23917"/>
  <c r="CX32" i="23917" s="1"/>
  <c r="EK236" i="24142"/>
  <c r="EK172" i="23917"/>
  <c r="EL250" i="24142"/>
  <c r="EL184" i="23917"/>
  <c r="ED200" i="24142"/>
  <c r="ED138" i="23917"/>
  <c r="CW38" i="24142"/>
  <c r="CW47" i="23917"/>
  <c r="EL233" i="24142"/>
  <c r="EL195" i="24142"/>
  <c r="EL249" i="24142"/>
  <c r="EL183" i="23917"/>
  <c r="CU43" i="24142"/>
  <c r="CU52" i="23917"/>
  <c r="CW85" i="24142"/>
  <c r="CV85" i="24142"/>
  <c r="CW95" i="23917"/>
  <c r="CV95" i="23917"/>
  <c r="CW96" i="23917"/>
  <c r="CV96" i="23917"/>
  <c r="CW94" i="23917"/>
  <c r="CV94" i="23917"/>
  <c r="ED11" i="23917"/>
  <c r="EC11" i="23917"/>
  <c r="EL245" i="24142"/>
  <c r="EL181" i="23917"/>
  <c r="EL134" i="23917"/>
  <c r="EK247" i="24142"/>
  <c r="EK196" i="24142"/>
  <c r="EK176" i="24142"/>
  <c r="EK113" i="23917"/>
  <c r="EM250" i="24142"/>
  <c r="EM184" i="23917"/>
  <c r="CU42" i="24142"/>
  <c r="CU51" i="23917"/>
  <c r="EM134" i="23917"/>
  <c r="EM245" i="24142"/>
  <c r="EM181" i="23917"/>
  <c r="EM233" i="24142"/>
  <c r="EM195" i="24142"/>
  <c r="EM249" i="24142"/>
  <c r="EM183" i="23917"/>
  <c r="ED201" i="24142"/>
  <c r="ED139" i="23917"/>
  <c r="CU44" i="24142"/>
  <c r="CU53" i="23917"/>
  <c r="EI114" i="23917"/>
  <c r="EI177" i="24142"/>
  <c r="EF125" i="23917"/>
  <c r="EF188" i="24142"/>
  <c r="EG183" i="24142"/>
  <c r="EG120" i="23917"/>
  <c r="EF186" i="24142"/>
  <c r="EF123" i="23917"/>
  <c r="EG125" i="23917"/>
  <c r="EG188" i="24142"/>
  <c r="EI175" i="24142"/>
  <c r="EI112" i="23917"/>
  <c r="EI204" i="24142"/>
  <c r="EI142" i="23917"/>
  <c r="EE124" i="23917"/>
  <c r="EE187" i="24142"/>
  <c r="EJ111" i="23917"/>
  <c r="EJ174" i="24142"/>
  <c r="EH213" i="24142"/>
  <c r="EH151" i="23917"/>
  <c r="CZ19" i="23917"/>
  <c r="EB53" i="23917"/>
  <c r="EB44" i="24142"/>
  <c r="EB42" i="24142"/>
  <c r="EB51" i="23917"/>
  <c r="EB43" i="24142"/>
  <c r="EB52" i="23917"/>
  <c r="CS42" i="24142"/>
  <c r="CS51" i="23917"/>
  <c r="CS44" i="24142"/>
  <c r="CS53" i="23917"/>
  <c r="CS43" i="24142"/>
  <c r="CS52" i="23917"/>
  <c r="EE126" i="23917" l="1"/>
  <c r="EE127" i="23917" s="1"/>
  <c r="EE189" i="24142"/>
  <c r="EE14" i="24142"/>
  <c r="EF14" i="24142" s="1"/>
  <c r="EE11" i="24142"/>
  <c r="CX35" i="23917"/>
  <c r="CW89" i="23917"/>
  <c r="CV89" i="23917"/>
  <c r="CV89" i="24142"/>
  <c r="CV98" i="23917"/>
  <c r="CZ68" i="24142"/>
  <c r="CZ76" i="23917"/>
  <c r="CZ156" i="24142"/>
  <c r="CZ67" i="24142"/>
  <c r="CZ308" i="23917"/>
  <c r="CZ75" i="23917"/>
  <c r="DA71" i="24142"/>
  <c r="CZ71" i="24142"/>
  <c r="CZ77" i="24142"/>
  <c r="CZ81" i="23917"/>
  <c r="CZ76" i="24142"/>
  <c r="CZ80" i="23917"/>
  <c r="DA75" i="24142"/>
  <c r="CZ75" i="24142"/>
  <c r="DA97" i="23917"/>
  <c r="CZ97" i="23917"/>
  <c r="CX49" i="24142"/>
  <c r="CX58" i="23917"/>
  <c r="CX35" i="24142"/>
  <c r="CX44" i="23917"/>
  <c r="EK181" i="24142"/>
  <c r="EK118" i="23917"/>
  <c r="EL176" i="24142"/>
  <c r="EL113" i="23917"/>
  <c r="EM196" i="24142"/>
  <c r="EM247" i="24142"/>
  <c r="EM172" i="23917"/>
  <c r="EM236" i="24142"/>
  <c r="CV86" i="24142"/>
  <c r="CV84" i="24142"/>
  <c r="CV88" i="23917"/>
  <c r="CV82" i="24142"/>
  <c r="CV86" i="23917"/>
  <c r="CV83" i="24142"/>
  <c r="CV87" i="23917"/>
  <c r="CW99" i="23917"/>
  <c r="CV99" i="23917"/>
  <c r="CZ192" i="24142"/>
  <c r="CZ69" i="24142"/>
  <c r="CZ130" i="23917"/>
  <c r="CZ77" i="23917"/>
  <c r="CZ119" i="24142"/>
  <c r="CZ66" i="24142"/>
  <c r="CZ216" i="23917"/>
  <c r="CZ74" i="23917"/>
  <c r="CZ281" i="24142"/>
  <c r="CZ70" i="24142"/>
  <c r="CZ347" i="23917"/>
  <c r="CZ78" i="23917"/>
  <c r="DA74" i="24142"/>
  <c r="CZ74" i="24142"/>
  <c r="CZ87" i="24142"/>
  <c r="CZ90" i="23917"/>
  <c r="DA73" i="24142"/>
  <c r="CZ73" i="24142"/>
  <c r="CZ78" i="24142"/>
  <c r="CZ82" i="23917"/>
  <c r="CY31" i="24142"/>
  <c r="CX31" i="24142"/>
  <c r="CY26" i="24142"/>
  <c r="CY34" i="23917"/>
  <c r="ED14" i="23917"/>
  <c r="EC14" i="23917"/>
  <c r="EL247" i="24142"/>
  <c r="EL196" i="24142"/>
  <c r="EK197" i="24142"/>
  <c r="EK135" i="23917"/>
  <c r="EM176" i="24142"/>
  <c r="EM113" i="23917"/>
  <c r="EL236" i="24142"/>
  <c r="EL172" i="23917"/>
  <c r="EJ175" i="24142"/>
  <c r="EJ112" i="23917"/>
  <c r="EJ204" i="24142"/>
  <c r="EJ142" i="23917"/>
  <c r="EH125" i="23917"/>
  <c r="EH188" i="24142"/>
  <c r="EI125" i="23917"/>
  <c r="EI188" i="24142"/>
  <c r="EH183" i="24142"/>
  <c r="EH120" i="23917"/>
  <c r="EI117" i="23917"/>
  <c r="EI180" i="24142"/>
  <c r="EF187" i="24142"/>
  <c r="EF124" i="23917"/>
  <c r="EF189" i="24142"/>
  <c r="EF126" i="23917"/>
  <c r="EF11" i="24142"/>
  <c r="EG121" i="23917"/>
  <c r="EG184" i="24142"/>
  <c r="EJ177" i="24142"/>
  <c r="EJ114" i="23917"/>
  <c r="CZ29" i="23917"/>
  <c r="CZ30" i="23917" s="1"/>
  <c r="DA19" i="23917"/>
  <c r="CZ22" i="23917"/>
  <c r="CZ23" i="23917" s="1"/>
  <c r="EE201" i="24142" l="1"/>
  <c r="EE139" i="23917"/>
  <c r="EE138" i="23917"/>
  <c r="EE200" i="24142"/>
  <c r="CZ83" i="23917"/>
  <c r="CV45" i="24142"/>
  <c r="CV54" i="23917"/>
  <c r="EK174" i="24142"/>
  <c r="EK111" i="23917"/>
  <c r="EL197" i="24142"/>
  <c r="EL135" i="23917"/>
  <c r="EM197" i="24142"/>
  <c r="EM135" i="23917"/>
  <c r="DA87" i="24142"/>
  <c r="DA90" i="23917"/>
  <c r="CZ79" i="24142"/>
  <c r="DA119" i="24142"/>
  <c r="DA66" i="24142"/>
  <c r="DA216" i="23917"/>
  <c r="DA74" i="23917"/>
  <c r="CW82" i="24142"/>
  <c r="CW86" i="23917"/>
  <c r="CW86" i="24142"/>
  <c r="CW84" i="24142"/>
  <c r="CW88" i="23917"/>
  <c r="EM118" i="23917"/>
  <c r="EM181" i="24142"/>
  <c r="CX36" i="24142"/>
  <c r="DA77" i="24142"/>
  <c r="DA81" i="23917"/>
  <c r="DA68" i="24142"/>
  <c r="DA76" i="23917"/>
  <c r="DA192" i="24142"/>
  <c r="DA69" i="24142"/>
  <c r="DA130" i="23917"/>
  <c r="DA77" i="23917"/>
  <c r="CY35" i="24142"/>
  <c r="CY44" i="23917"/>
  <c r="CZ72" i="24142"/>
  <c r="CZ79" i="23917"/>
  <c r="CX38" i="24142"/>
  <c r="CX39" i="24142" s="1"/>
  <c r="CX47" i="23917"/>
  <c r="CX48" i="23917" s="1"/>
  <c r="CW88" i="24142"/>
  <c r="CV88" i="24142"/>
  <c r="CW91" i="23917"/>
  <c r="CV91" i="23917"/>
  <c r="EL181" i="24142"/>
  <c r="EL118" i="23917"/>
  <c r="EK188" i="24142"/>
  <c r="EK125" i="23917"/>
  <c r="EM125" i="23917"/>
  <c r="DA78" i="24142"/>
  <c r="DA82" i="23917"/>
  <c r="DA281" i="24142"/>
  <c r="DA70" i="24142"/>
  <c r="DA347" i="23917"/>
  <c r="DA78" i="23917"/>
  <c r="CW83" i="24142"/>
  <c r="CW87" i="23917"/>
  <c r="CX45" i="23917"/>
  <c r="CY49" i="24142"/>
  <c r="CY58" i="23917"/>
  <c r="DA76" i="24142"/>
  <c r="DA80" i="23917"/>
  <c r="DA156" i="24142"/>
  <c r="DA67" i="24142"/>
  <c r="DA308" i="23917"/>
  <c r="DA75" i="23917"/>
  <c r="CW89" i="24142"/>
  <c r="CW98" i="23917"/>
  <c r="EF11" i="23917"/>
  <c r="EI120" i="23917"/>
  <c r="EI183" i="24142"/>
  <c r="EG186" i="24142"/>
  <c r="EG123" i="23917"/>
  <c r="EH121" i="23917"/>
  <c r="EH184" i="24142"/>
  <c r="EI184" i="24142"/>
  <c r="EI121" i="23917"/>
  <c r="EJ117" i="23917"/>
  <c r="EJ180" i="24142"/>
  <c r="EI151" i="23917"/>
  <c r="EI213" i="24142"/>
  <c r="EJ125" i="23917"/>
  <c r="EJ188" i="24142"/>
  <c r="EF138" i="23917"/>
  <c r="EF200" i="24142"/>
  <c r="EF139" i="23917"/>
  <c r="EF201" i="24142"/>
  <c r="DA29" i="23917"/>
  <c r="DA22" i="23917"/>
  <c r="CZ19" i="24142"/>
  <c r="CZ20" i="24142" s="1"/>
  <c r="EE11" i="23917" l="1"/>
  <c r="EF14" i="23917"/>
  <c r="EM188" i="24142"/>
  <c r="CV44" i="24142"/>
  <c r="CV53" i="23917"/>
  <c r="CZ23" i="24142"/>
  <c r="CZ26" i="23917"/>
  <c r="CY94" i="23917"/>
  <c r="CX94" i="23917"/>
  <c r="CY96" i="23917"/>
  <c r="CX96" i="23917"/>
  <c r="CY95" i="23917"/>
  <c r="CX95" i="23917"/>
  <c r="EC68" i="24142"/>
  <c r="EC76" i="23917"/>
  <c r="EC156" i="24142"/>
  <c r="EC67" i="24142"/>
  <c r="EC75" i="23917"/>
  <c r="EC308" i="23917"/>
  <c r="EC76" i="24142"/>
  <c r="EC80" i="23917"/>
  <c r="ED73" i="24142"/>
  <c r="EC73" i="24142"/>
  <c r="ED19" i="23917"/>
  <c r="EC19" i="23917"/>
  <c r="ED74" i="24142"/>
  <c r="EC74" i="24142"/>
  <c r="EC87" i="24142"/>
  <c r="EC90" i="23917"/>
  <c r="EK175" i="24142"/>
  <c r="EK204" i="24142"/>
  <c r="EK142" i="23917"/>
  <c r="EK112" i="23917"/>
  <c r="CY38" i="24142"/>
  <c r="CY47" i="23917"/>
  <c r="EM111" i="23917"/>
  <c r="EM174" i="24142"/>
  <c r="CV43" i="24142"/>
  <c r="CV52" i="23917"/>
  <c r="CV42" i="24142"/>
  <c r="CV51" i="23917"/>
  <c r="CZ29" i="24142"/>
  <c r="CZ37" i="23917"/>
  <c r="CY85" i="24142"/>
  <c r="CX85" i="24142"/>
  <c r="EC192" i="24142"/>
  <c r="EC69" i="24142"/>
  <c r="EC77" i="23917"/>
  <c r="EC130" i="23917"/>
  <c r="EC119" i="24142"/>
  <c r="EC66" i="24142"/>
  <c r="EC74" i="23917"/>
  <c r="EC216" i="23917"/>
  <c r="EC281" i="24142"/>
  <c r="EC70" i="24142"/>
  <c r="EC78" i="23917"/>
  <c r="EC347" i="23917"/>
  <c r="EC77" i="24142"/>
  <c r="EC81" i="23917"/>
  <c r="ED75" i="24142"/>
  <c r="EC75" i="24142"/>
  <c r="ED71" i="24142"/>
  <c r="EC71" i="24142"/>
  <c r="EC78" i="24142"/>
  <c r="EC82" i="23917"/>
  <c r="EK177" i="24142"/>
  <c r="EK114" i="23917"/>
  <c r="EL174" i="24142"/>
  <c r="EL111" i="23917"/>
  <c r="ED97" i="23917"/>
  <c r="EC97" i="23917"/>
  <c r="EL188" i="24142"/>
  <c r="EL125" i="23917"/>
  <c r="DA72" i="24142"/>
  <c r="DA79" i="23917"/>
  <c r="CW45" i="24142"/>
  <c r="CW54" i="23917"/>
  <c r="EJ151" i="23917"/>
  <c r="EJ213" i="24142"/>
  <c r="EJ184" i="24142"/>
  <c r="EJ121" i="23917"/>
  <c r="EH186" i="24142"/>
  <c r="EH123" i="23917"/>
  <c r="EJ183" i="24142"/>
  <c r="EJ120" i="23917"/>
  <c r="EI186" i="24142"/>
  <c r="EI123" i="23917"/>
  <c r="EG187" i="24142"/>
  <c r="EG124" i="23917"/>
  <c r="DA19" i="24142"/>
  <c r="EE14" i="23917" l="1"/>
  <c r="CY89" i="23917"/>
  <c r="CX89" i="23917"/>
  <c r="DA29" i="24142"/>
  <c r="DA37" i="23917"/>
  <c r="DA23" i="24142"/>
  <c r="DA26" i="23917"/>
  <c r="CZ26" i="24142"/>
  <c r="CZ27" i="24142" s="1"/>
  <c r="CZ34" i="23917"/>
  <c r="CZ32" i="23917" s="1"/>
  <c r="ED29" i="23917"/>
  <c r="EC29" i="23917"/>
  <c r="EC30" i="23917" s="1"/>
  <c r="EC72" i="24142"/>
  <c r="EC79" i="23917"/>
  <c r="EL177" i="24142"/>
  <c r="EL114" i="23917"/>
  <c r="EM114" i="23917"/>
  <c r="EM177" i="24142"/>
  <c r="ED77" i="24142"/>
  <c r="ED81" i="23917"/>
  <c r="EC79" i="24142"/>
  <c r="ED119" i="24142"/>
  <c r="ED66" i="24142"/>
  <c r="ED216" i="23917"/>
  <c r="ED74" i="23917"/>
  <c r="CW42" i="24142"/>
  <c r="CW51" i="23917"/>
  <c r="EM112" i="23917"/>
  <c r="EM142" i="23917"/>
  <c r="EM175" i="24142"/>
  <c r="EM204" i="24142"/>
  <c r="ED76" i="24142"/>
  <c r="ED80" i="23917"/>
  <c r="ED68" i="24142"/>
  <c r="ED76" i="23917"/>
  <c r="CY99" i="23917"/>
  <c r="CX99" i="23917"/>
  <c r="CX89" i="24142"/>
  <c r="CX98" i="23917"/>
  <c r="CX82" i="24142"/>
  <c r="CX86" i="23917"/>
  <c r="CX83" i="24142"/>
  <c r="CX87" i="23917"/>
  <c r="CX86" i="24142"/>
  <c r="CX84" i="24142"/>
  <c r="CX88" i="23917"/>
  <c r="ED22" i="23917"/>
  <c r="EC22" i="23917"/>
  <c r="EC23" i="23917" s="1"/>
  <c r="EL204" i="24142"/>
  <c r="EL175" i="24142"/>
  <c r="EL142" i="23917"/>
  <c r="EL112" i="23917"/>
  <c r="EK180" i="24142"/>
  <c r="EK117" i="23917"/>
  <c r="ED78" i="24142"/>
  <c r="ED82" i="23917"/>
  <c r="ED281" i="24142"/>
  <c r="ED70" i="24142"/>
  <c r="ED347" i="23917"/>
  <c r="ED78" i="23917"/>
  <c r="EC83" i="23917"/>
  <c r="ED192" i="24142"/>
  <c r="ED69" i="24142"/>
  <c r="ED130" i="23917"/>
  <c r="ED77" i="23917"/>
  <c r="CW43" i="24142"/>
  <c r="CW52" i="23917"/>
  <c r="ED87" i="24142"/>
  <c r="ED90" i="23917"/>
  <c r="ED156" i="24142"/>
  <c r="ED67" i="24142"/>
  <c r="ED308" i="23917"/>
  <c r="ED75" i="23917"/>
  <c r="CZ35" i="23917"/>
  <c r="CW44" i="24142"/>
  <c r="CW53" i="23917"/>
  <c r="EI189" i="24142"/>
  <c r="EI11" i="24142"/>
  <c r="EI14" i="24142"/>
  <c r="EI126" i="23917"/>
  <c r="EJ186" i="24142"/>
  <c r="EJ123" i="23917"/>
  <c r="EH187" i="24142"/>
  <c r="EH124" i="23917"/>
  <c r="EG189" i="24142"/>
  <c r="EG11" i="24142"/>
  <c r="EG14" i="24142"/>
  <c r="EH14" i="24142" s="1"/>
  <c r="EG126" i="23917"/>
  <c r="EG127" i="23917" s="1"/>
  <c r="EI124" i="23917"/>
  <c r="EI187" i="24142"/>
  <c r="EF73" i="24142" l="1"/>
  <c r="EF71" i="24142"/>
  <c r="EF74" i="24142"/>
  <c r="EF19" i="23917"/>
  <c r="EF97" i="23917"/>
  <c r="EF75" i="24142"/>
  <c r="EK184" i="24142"/>
  <c r="EK121" i="23917"/>
  <c r="CY91" i="23917"/>
  <c r="CX91" i="23917"/>
  <c r="CZ49" i="24142"/>
  <c r="CZ58" i="23917"/>
  <c r="DA26" i="24142"/>
  <c r="DA34" i="23917"/>
  <c r="CZ35" i="24142"/>
  <c r="CZ44" i="23917"/>
  <c r="CX45" i="24142"/>
  <c r="CX54" i="23917"/>
  <c r="EC23" i="24142"/>
  <c r="EC26" i="23917"/>
  <c r="CY83" i="24142"/>
  <c r="CY87" i="23917"/>
  <c r="CY89" i="24142"/>
  <c r="CY98" i="23917"/>
  <c r="CY88" i="24142"/>
  <c r="CX88" i="24142"/>
  <c r="DA31" i="24142"/>
  <c r="CZ31" i="24142"/>
  <c r="ED19" i="24142"/>
  <c r="EC19" i="24142"/>
  <c r="EC20" i="24142" s="1"/>
  <c r="EL180" i="24142"/>
  <c r="EL117" i="23917"/>
  <c r="EK183" i="24142"/>
  <c r="EK120" i="23917"/>
  <c r="EK213" i="24142"/>
  <c r="EK151" i="23917"/>
  <c r="EM117" i="23917"/>
  <c r="EM180" i="24142"/>
  <c r="CY86" i="24142"/>
  <c r="CY84" i="24142"/>
  <c r="CY88" i="23917"/>
  <c r="CY82" i="24142"/>
  <c r="CY86" i="23917"/>
  <c r="ED72" i="24142"/>
  <c r="ED79" i="23917"/>
  <c r="EE82" i="23917"/>
  <c r="EJ187" i="24142"/>
  <c r="EJ124" i="23917"/>
  <c r="EG139" i="23917"/>
  <c r="EG201" i="24142"/>
  <c r="EI127" i="23917"/>
  <c r="EJ189" i="24142"/>
  <c r="EJ126" i="23917"/>
  <c r="EJ11" i="24142"/>
  <c r="EH11" i="24142"/>
  <c r="EH189" i="24142"/>
  <c r="EH126" i="23917"/>
  <c r="EG138" i="23917"/>
  <c r="EG200" i="24142"/>
  <c r="EI139" i="23917"/>
  <c r="EI201" i="24142"/>
  <c r="EJ14" i="24142"/>
  <c r="EI200" i="24142"/>
  <c r="EI138" i="23917"/>
  <c r="EE73" i="24142" l="1"/>
  <c r="EE71" i="24142"/>
  <c r="EE78" i="24142"/>
  <c r="EE76" i="23917"/>
  <c r="EF29" i="23917"/>
  <c r="EE87" i="24142"/>
  <c r="EE216" i="23917"/>
  <c r="EE66" i="24142"/>
  <c r="EE156" i="24142"/>
  <c r="EE75" i="23917"/>
  <c r="EF22" i="23917"/>
  <c r="EE67" i="24142"/>
  <c r="EE308" i="23917"/>
  <c r="EE90" i="23917"/>
  <c r="EE74" i="24142"/>
  <c r="EE68" i="24142"/>
  <c r="EE77" i="23917"/>
  <c r="EE130" i="23917"/>
  <c r="EE192" i="24142"/>
  <c r="EE97" i="23917"/>
  <c r="EE74" i="23917"/>
  <c r="EE69" i="24142"/>
  <c r="EE75" i="24142"/>
  <c r="EE119" i="24142"/>
  <c r="EE81" i="23917"/>
  <c r="EE77" i="24142"/>
  <c r="EE80" i="23917"/>
  <c r="EE76" i="24142"/>
  <c r="EE19" i="23917"/>
  <c r="EE78" i="23917"/>
  <c r="EE281" i="24142"/>
  <c r="EE70" i="24142"/>
  <c r="EE347" i="23917"/>
  <c r="DA35" i="24142"/>
  <c r="DA44" i="23917"/>
  <c r="CX44" i="24142"/>
  <c r="CX53" i="23917"/>
  <c r="EC26" i="24142"/>
  <c r="EC27" i="24142" s="1"/>
  <c r="EC34" i="23917"/>
  <c r="EC32" i="23917" s="1"/>
  <c r="EL213" i="24142"/>
  <c r="EL151" i="23917"/>
  <c r="EL184" i="24142"/>
  <c r="EL121" i="23917"/>
  <c r="EM183" i="24142"/>
  <c r="EM120" i="23917"/>
  <c r="ED23" i="24142"/>
  <c r="ED26" i="23917"/>
  <c r="CZ45" i="23917"/>
  <c r="DA49" i="24142"/>
  <c r="DA58" i="23917"/>
  <c r="CZ38" i="24142"/>
  <c r="CZ39" i="24142" s="1"/>
  <c r="CZ47" i="23917"/>
  <c r="CZ48" i="23917" s="1"/>
  <c r="CX43" i="24142"/>
  <c r="CX52" i="23917"/>
  <c r="CX42" i="24142"/>
  <c r="CX51" i="23917"/>
  <c r="EK186" i="24142"/>
  <c r="EK123" i="23917"/>
  <c r="EM213" i="24142"/>
  <c r="EM151" i="23917"/>
  <c r="EL183" i="24142"/>
  <c r="EL120" i="23917"/>
  <c r="CY45" i="24142"/>
  <c r="CY54" i="23917"/>
  <c r="CZ36" i="24142"/>
  <c r="EM184" i="24142"/>
  <c r="EM121" i="23917"/>
  <c r="EJ200" i="24142"/>
  <c r="EJ138" i="23917"/>
  <c r="EH138" i="23917"/>
  <c r="EH200" i="24142"/>
  <c r="EF76" i="23917"/>
  <c r="EF68" i="24142"/>
  <c r="EH139" i="23917"/>
  <c r="EH201" i="24142"/>
  <c r="EG11" i="23917"/>
  <c r="EH11" i="23917"/>
  <c r="EF69" i="24142"/>
  <c r="EF130" i="23917"/>
  <c r="EF192" i="24142"/>
  <c r="EF77" i="23917"/>
  <c r="EI11" i="23917"/>
  <c r="EJ11" i="23917"/>
  <c r="EJ139" i="23917"/>
  <c r="EJ201" i="24142"/>
  <c r="EF81" i="23917"/>
  <c r="EF77" i="24142"/>
  <c r="EF66" i="24142"/>
  <c r="EF74" i="23917"/>
  <c r="EF119" i="24142"/>
  <c r="EF216" i="23917"/>
  <c r="EF78" i="24142"/>
  <c r="EF82" i="23917"/>
  <c r="EF80" i="23917"/>
  <c r="EF76" i="24142"/>
  <c r="EF67" i="24142"/>
  <c r="EF75" i="23917"/>
  <c r="EF156" i="24142"/>
  <c r="EF308" i="23917"/>
  <c r="EF90" i="23917"/>
  <c r="EF87" i="24142"/>
  <c r="EF70" i="24142"/>
  <c r="EF78" i="23917"/>
  <c r="EF281" i="24142"/>
  <c r="EF347" i="23917"/>
  <c r="EE29" i="23917" l="1"/>
  <c r="EE30" i="23917" s="1"/>
  <c r="EE22" i="23917"/>
  <c r="EE23" i="23917" s="1"/>
  <c r="EE79" i="23917"/>
  <c r="EE72" i="24142"/>
  <c r="EE79" i="24142"/>
  <c r="EE83" i="23917"/>
  <c r="EC35" i="23917"/>
  <c r="DA96" i="23917"/>
  <c r="CZ96" i="23917"/>
  <c r="ED31" i="24142"/>
  <c r="EC31" i="24142"/>
  <c r="ED85" i="24142"/>
  <c r="EC85" i="24142"/>
  <c r="EC35" i="24142"/>
  <c r="EC44" i="23917"/>
  <c r="EC29" i="24142"/>
  <c r="EC37" i="23917"/>
  <c r="EL186" i="24142"/>
  <c r="EL123" i="23917"/>
  <c r="CY42" i="24142"/>
  <c r="CY51" i="23917"/>
  <c r="DA38" i="24142"/>
  <c r="DA47" i="23917"/>
  <c r="CY44" i="24142"/>
  <c r="CY53" i="23917"/>
  <c r="DA94" i="23917"/>
  <c r="CZ94" i="23917"/>
  <c r="DA85" i="24142"/>
  <c r="CZ85" i="24142"/>
  <c r="DA95" i="23917"/>
  <c r="CZ95" i="23917"/>
  <c r="EC49" i="24142"/>
  <c r="EC58" i="23917"/>
  <c r="ED94" i="23917"/>
  <c r="EC94" i="23917"/>
  <c r="ED95" i="23917"/>
  <c r="EC95" i="23917"/>
  <c r="ED96" i="23917"/>
  <c r="EC96" i="23917"/>
  <c r="EK189" i="24142"/>
  <c r="EK14" i="24142"/>
  <c r="EL14" i="24142" s="1"/>
  <c r="EK11" i="24142"/>
  <c r="EK126" i="23917"/>
  <c r="EK187" i="24142"/>
  <c r="EK124" i="23917"/>
  <c r="EM123" i="23917"/>
  <c r="EM186" i="24142"/>
  <c r="CY43" i="24142"/>
  <c r="CY52" i="23917"/>
  <c r="ED26" i="24142"/>
  <c r="ED34" i="23917"/>
  <c r="EF72" i="24142"/>
  <c r="EF79" i="23917"/>
  <c r="EE37" i="23917"/>
  <c r="EI14" i="23917"/>
  <c r="EJ14" i="23917"/>
  <c r="EG14" i="23917"/>
  <c r="EH14" i="23917"/>
  <c r="EE19" i="24142"/>
  <c r="EE20" i="24142" s="1"/>
  <c r="EF19" i="24142"/>
  <c r="EE23" i="24142"/>
  <c r="EE26" i="23917"/>
  <c r="EE29" i="24142" l="1"/>
  <c r="EE44" i="23917"/>
  <c r="EE45" i="23917" s="1"/>
  <c r="EK127" i="23917"/>
  <c r="CZ82" i="24142"/>
  <c r="CZ86" i="23917"/>
  <c r="CZ83" i="24142"/>
  <c r="CZ87" i="23917"/>
  <c r="CZ86" i="24142"/>
  <c r="CZ84" i="24142"/>
  <c r="CZ88" i="23917"/>
  <c r="CZ89" i="24142"/>
  <c r="CZ98" i="23917"/>
  <c r="EC38" i="24142"/>
  <c r="EC39" i="24142" s="1"/>
  <c r="EC47" i="23917"/>
  <c r="EC48" i="23917" s="1"/>
  <c r="EC82" i="24142"/>
  <c r="EC86" i="23917"/>
  <c r="ED89" i="23917"/>
  <c r="EC89" i="23917"/>
  <c r="ED88" i="24142"/>
  <c r="EC88" i="24142"/>
  <c r="EC89" i="24142"/>
  <c r="EC98" i="23917"/>
  <c r="ED99" i="23917"/>
  <c r="EC99" i="23917"/>
  <c r="EM11" i="24142"/>
  <c r="EM126" i="23917"/>
  <c r="EM189" i="24142"/>
  <c r="ED29" i="24142"/>
  <c r="ED37" i="23917"/>
  <c r="EC36" i="24142"/>
  <c r="DA89" i="23917"/>
  <c r="CZ89" i="23917"/>
  <c r="DA99" i="23917"/>
  <c r="CZ99" i="23917"/>
  <c r="EC44" i="24142"/>
  <c r="EC53" i="23917"/>
  <c r="EC45" i="24142"/>
  <c r="EC54" i="23917"/>
  <c r="EC86" i="24142"/>
  <c r="EC84" i="24142"/>
  <c r="EC88" i="23917"/>
  <c r="EC83" i="24142"/>
  <c r="EC87" i="23917"/>
  <c r="EL187" i="24142"/>
  <c r="EL124" i="23917"/>
  <c r="EK200" i="24142"/>
  <c r="EK138" i="23917"/>
  <c r="EL189" i="24142"/>
  <c r="EL11" i="24142"/>
  <c r="EL126" i="23917"/>
  <c r="EK201" i="24142"/>
  <c r="EK139" i="23917"/>
  <c r="EM124" i="23917"/>
  <c r="EM187" i="24142"/>
  <c r="ED49" i="24142"/>
  <c r="ED58" i="23917"/>
  <c r="EC45" i="23917"/>
  <c r="ED35" i="24142"/>
  <c r="ED44" i="23917"/>
  <c r="EE34" i="23917"/>
  <c r="EE32" i="23917" s="1"/>
  <c r="EE26" i="24142"/>
  <c r="EE27" i="24142" s="1"/>
  <c r="EF23" i="24142"/>
  <c r="EF26" i="23917"/>
  <c r="EF29" i="24142"/>
  <c r="EF37" i="23917"/>
  <c r="EE35" i="24142" l="1"/>
  <c r="EE36" i="24142" s="1"/>
  <c r="DA88" i="24142"/>
  <c r="CZ88" i="24142"/>
  <c r="DA91" i="23917"/>
  <c r="CZ91" i="23917"/>
  <c r="EK11" i="23917"/>
  <c r="EM11" i="23917"/>
  <c r="EC43" i="24142"/>
  <c r="EC52" i="23917"/>
  <c r="EM201" i="24142"/>
  <c r="EM139" i="23917"/>
  <c r="EL200" i="24142"/>
  <c r="EL138" i="23917"/>
  <c r="ED45" i="24142"/>
  <c r="ED54" i="23917"/>
  <c r="ED89" i="24142"/>
  <c r="ED98" i="23917"/>
  <c r="ED38" i="24142"/>
  <c r="ED47" i="23917"/>
  <c r="DA83" i="24142"/>
  <c r="DA87" i="23917"/>
  <c r="CZ45" i="24142"/>
  <c r="CZ54" i="23917"/>
  <c r="ED91" i="23917"/>
  <c r="EC91" i="23917"/>
  <c r="EC42" i="24142"/>
  <c r="EC51" i="23917"/>
  <c r="EL201" i="24142"/>
  <c r="EL139" i="23917"/>
  <c r="EM200" i="24142"/>
  <c r="EM138" i="23917"/>
  <c r="ED83" i="24142"/>
  <c r="ED87" i="23917"/>
  <c r="ED86" i="24142"/>
  <c r="ED84" i="24142"/>
  <c r="ED88" i="23917"/>
  <c r="ED44" i="24142"/>
  <c r="ED53" i="23917"/>
  <c r="ED82" i="24142"/>
  <c r="ED86" i="23917"/>
  <c r="DA89" i="24142"/>
  <c r="DA98" i="23917"/>
  <c r="DA86" i="24142"/>
  <c r="DA84" i="24142"/>
  <c r="DA88" i="23917"/>
  <c r="DA82" i="24142"/>
  <c r="DA86" i="23917"/>
  <c r="EE35" i="23917"/>
  <c r="EG76" i="23917"/>
  <c r="EG68" i="24142"/>
  <c r="EG281" i="24142"/>
  <c r="EG347" i="23917"/>
  <c r="EG70" i="24142"/>
  <c r="EG78" i="23917"/>
  <c r="EG19" i="23917"/>
  <c r="EH19" i="23917"/>
  <c r="EH74" i="24142"/>
  <c r="EG74" i="24142"/>
  <c r="EG90" i="23917"/>
  <c r="EG87" i="24142"/>
  <c r="EG76" i="24142"/>
  <c r="EG80" i="23917"/>
  <c r="EH75" i="24142"/>
  <c r="EG75" i="24142"/>
  <c r="EH97" i="23917"/>
  <c r="EG97" i="23917"/>
  <c r="EF35" i="24142"/>
  <c r="EF44" i="23917"/>
  <c r="EE38" i="24142"/>
  <c r="EE47" i="23917"/>
  <c r="EE48" i="23917" s="1"/>
  <c r="EL11" i="23917"/>
  <c r="EI192" i="24142"/>
  <c r="EI77" i="23917"/>
  <c r="EI69" i="24142"/>
  <c r="EI130" i="23917"/>
  <c r="EI77" i="24142"/>
  <c r="EI81" i="23917"/>
  <c r="EI156" i="24142"/>
  <c r="EI308" i="23917"/>
  <c r="EI67" i="24142"/>
  <c r="EI75" i="23917"/>
  <c r="EI19" i="23917"/>
  <c r="EJ19" i="23917"/>
  <c r="EI74" i="24142"/>
  <c r="EJ74" i="24142"/>
  <c r="EI119" i="24142"/>
  <c r="EI216" i="23917"/>
  <c r="EI66" i="24142"/>
  <c r="EI74" i="23917"/>
  <c r="EI73" i="24142"/>
  <c r="EJ73" i="24142"/>
  <c r="EI97" i="23917"/>
  <c r="EJ97" i="23917"/>
  <c r="EE31" i="24142"/>
  <c r="EF31" i="24142"/>
  <c r="EE58" i="23917"/>
  <c r="EE49" i="24142"/>
  <c r="EG69" i="24142"/>
  <c r="EG77" i="23917"/>
  <c r="EG192" i="24142"/>
  <c r="EG130" i="23917"/>
  <c r="EG119" i="24142"/>
  <c r="EG74" i="23917"/>
  <c r="EG66" i="24142"/>
  <c r="EG216" i="23917"/>
  <c r="EG71" i="24142"/>
  <c r="EH71" i="24142"/>
  <c r="EG78" i="24142"/>
  <c r="EG82" i="23917"/>
  <c r="EG67" i="24142"/>
  <c r="EG75" i="23917"/>
  <c r="EG156" i="24142"/>
  <c r="EG308" i="23917"/>
  <c r="EG73" i="24142"/>
  <c r="EH73" i="24142"/>
  <c r="EG77" i="24142"/>
  <c r="EG81" i="23917"/>
  <c r="EI76" i="24142"/>
  <c r="EI80" i="23917"/>
  <c r="EI68" i="24142"/>
  <c r="EI76" i="23917"/>
  <c r="EI71" i="24142"/>
  <c r="EJ71" i="24142"/>
  <c r="EI87" i="24142"/>
  <c r="EI90" i="23917"/>
  <c r="EI281" i="24142"/>
  <c r="EI347" i="23917"/>
  <c r="EI70" i="24142"/>
  <c r="EI78" i="23917"/>
  <c r="EI78" i="24142"/>
  <c r="EI82" i="23917"/>
  <c r="EI75" i="24142"/>
  <c r="EJ75" i="24142"/>
  <c r="EF34" i="23917"/>
  <c r="EF26" i="24142"/>
  <c r="EE39" i="24142" l="1"/>
  <c r="CZ42" i="24142"/>
  <c r="CZ51" i="23917"/>
  <c r="DA45" i="24142"/>
  <c r="DA54" i="23917"/>
  <c r="CZ43" i="24142"/>
  <c r="CZ52" i="23917"/>
  <c r="CZ44" i="24142"/>
  <c r="CZ53" i="23917"/>
  <c r="EK14" i="23917"/>
  <c r="EM14" i="23917"/>
  <c r="ED42" i="24142"/>
  <c r="ED51" i="23917"/>
  <c r="ED43" i="24142"/>
  <c r="ED52" i="23917"/>
  <c r="EJ82" i="23917"/>
  <c r="EJ78" i="24142"/>
  <c r="EJ90" i="23917"/>
  <c r="EJ87" i="24142"/>
  <c r="EE94" i="23917"/>
  <c r="EF94" i="23917"/>
  <c r="EG79" i="24142"/>
  <c r="EH69" i="24142"/>
  <c r="EH77" i="23917"/>
  <c r="EH192" i="24142"/>
  <c r="EH130" i="23917"/>
  <c r="EF49" i="24142"/>
  <c r="EF58" i="23917"/>
  <c r="EI83" i="23917"/>
  <c r="EI22" i="23917"/>
  <c r="EI23" i="23917" s="1"/>
  <c r="EJ22" i="23917"/>
  <c r="EI29" i="23917"/>
  <c r="EI30" i="23917" s="1"/>
  <c r="EJ29" i="23917"/>
  <c r="EJ81" i="23917"/>
  <c r="EJ77" i="24142"/>
  <c r="EI72" i="24142"/>
  <c r="EI79" i="23917"/>
  <c r="EJ69" i="24142"/>
  <c r="EJ77" i="23917"/>
  <c r="EJ192" i="24142"/>
  <c r="EJ130" i="23917"/>
  <c r="EL14" i="23917"/>
  <c r="EH76" i="24142"/>
  <c r="EH80" i="23917"/>
  <c r="EH90" i="23917"/>
  <c r="EH87" i="24142"/>
  <c r="EG29" i="23917"/>
  <c r="EG30" i="23917" s="1"/>
  <c r="EH29" i="23917"/>
  <c r="EH70" i="24142"/>
  <c r="EH78" i="23917"/>
  <c r="EH281" i="24142"/>
  <c r="EH347" i="23917"/>
  <c r="EJ70" i="24142"/>
  <c r="EJ78" i="23917"/>
  <c r="EJ347" i="23917"/>
  <c r="EJ281" i="24142"/>
  <c r="EJ76" i="23917"/>
  <c r="EJ68" i="24142"/>
  <c r="EJ80" i="23917"/>
  <c r="EJ76" i="24142"/>
  <c r="EE95" i="23917"/>
  <c r="EF95" i="23917"/>
  <c r="EF96" i="23917"/>
  <c r="EE96" i="23917"/>
  <c r="EE85" i="24142"/>
  <c r="EF85" i="24142"/>
  <c r="EH81" i="23917"/>
  <c r="EH77" i="24142"/>
  <c r="EH156" i="24142"/>
  <c r="EH308" i="23917"/>
  <c r="EH67" i="24142"/>
  <c r="EH75" i="23917"/>
  <c r="EH78" i="24142"/>
  <c r="EH82" i="23917"/>
  <c r="EG83" i="23917"/>
  <c r="EH119" i="24142"/>
  <c r="EH216" i="23917"/>
  <c r="EH66" i="24142"/>
  <c r="EH74" i="23917"/>
  <c r="EG72" i="24142"/>
  <c r="EG79" i="23917"/>
  <c r="EJ66" i="24142"/>
  <c r="EJ216" i="23917"/>
  <c r="EJ119" i="24142"/>
  <c r="EJ74" i="23917"/>
  <c r="EI79" i="24142"/>
  <c r="EJ67" i="24142"/>
  <c r="EJ75" i="23917"/>
  <c r="EJ156" i="24142"/>
  <c r="EJ308" i="23917"/>
  <c r="EF38" i="24142"/>
  <c r="EF47" i="23917"/>
  <c r="EG22" i="23917"/>
  <c r="EG23" i="23917" s="1"/>
  <c r="EH22" i="23917"/>
  <c r="EH68" i="24142"/>
  <c r="EH76" i="23917"/>
  <c r="DA43" i="24142" l="1"/>
  <c r="DA52" i="23917"/>
  <c r="DA44" i="24142"/>
  <c r="DA53" i="23917"/>
  <c r="DA42" i="24142"/>
  <c r="DA51" i="23917"/>
  <c r="EG23" i="24142"/>
  <c r="EG26" i="23917"/>
  <c r="EE83" i="24142"/>
  <c r="EE87" i="23917"/>
  <c r="EE86" i="23917"/>
  <c r="EE82" i="24142"/>
  <c r="EE84" i="24142"/>
  <c r="EE88" i="23917"/>
  <c r="EE86" i="24142"/>
  <c r="EJ72" i="24142"/>
  <c r="EJ79" i="23917"/>
  <c r="EI19" i="24142"/>
  <c r="EI20" i="24142" s="1"/>
  <c r="EJ19" i="24142"/>
  <c r="EE98" i="23917"/>
  <c r="EE89" i="24142"/>
  <c r="EE54" i="23917"/>
  <c r="EE45" i="24142"/>
  <c r="EG19" i="24142"/>
  <c r="EG20" i="24142" s="1"/>
  <c r="EH19" i="24142"/>
  <c r="EH72" i="24142"/>
  <c r="EH79" i="23917"/>
  <c r="EF88" i="24142"/>
  <c r="EE88" i="24142"/>
  <c r="EE89" i="23917"/>
  <c r="EF89" i="23917"/>
  <c r="EG29" i="24142"/>
  <c r="EG37" i="23917"/>
  <c r="EI29" i="24142"/>
  <c r="EI37" i="23917"/>
  <c r="EI23" i="24142"/>
  <c r="EI26" i="23917"/>
  <c r="EE99" i="23917"/>
  <c r="EF99" i="23917"/>
  <c r="EK68" i="24142" l="1"/>
  <c r="EK76" i="23917"/>
  <c r="EL71" i="24142"/>
  <c r="EK71" i="24142"/>
  <c r="EM71" i="24142"/>
  <c r="EK87" i="24142"/>
  <c r="EK90" i="23917"/>
  <c r="EK78" i="24142"/>
  <c r="EK82" i="23917"/>
  <c r="EK281" i="24142"/>
  <c r="EK70" i="24142"/>
  <c r="EK78" i="23917"/>
  <c r="EK347" i="23917"/>
  <c r="EL74" i="24142"/>
  <c r="EK74" i="24142"/>
  <c r="EM74" i="24142"/>
  <c r="EK77" i="24142"/>
  <c r="EK81" i="23917"/>
  <c r="EL75" i="24142"/>
  <c r="EK75" i="24142"/>
  <c r="EM75" i="24142"/>
  <c r="EK69" i="24142"/>
  <c r="EK192" i="24142"/>
  <c r="EK77" i="23917"/>
  <c r="EK130" i="23917"/>
  <c r="EK67" i="24142"/>
  <c r="EK156" i="24142"/>
  <c r="EK75" i="23917"/>
  <c r="EK308" i="23917"/>
  <c r="EK19" i="23917"/>
  <c r="EM19" i="23917"/>
  <c r="EK66" i="24142"/>
  <c r="EK119" i="24142"/>
  <c r="EK74" i="23917"/>
  <c r="EK216" i="23917"/>
  <c r="EK76" i="24142"/>
  <c r="EK80" i="23917"/>
  <c r="EL97" i="23917"/>
  <c r="EK97" i="23917"/>
  <c r="EM97" i="23917"/>
  <c r="EL73" i="24142"/>
  <c r="EK73" i="24142"/>
  <c r="EM73" i="24142"/>
  <c r="EI26" i="24142"/>
  <c r="EI27" i="24142" s="1"/>
  <c r="EI34" i="23917"/>
  <c r="EI32" i="23917" s="1"/>
  <c r="EJ37" i="23917"/>
  <c r="EJ29" i="24142"/>
  <c r="EL19" i="23917"/>
  <c r="EH29" i="24142"/>
  <c r="EH37" i="23917"/>
  <c r="EF45" i="24142"/>
  <c r="EF54" i="23917"/>
  <c r="EI44" i="23917"/>
  <c r="EI45" i="23917" s="1"/>
  <c r="EI35" i="24142"/>
  <c r="EI36" i="24142" s="1"/>
  <c r="EE43" i="24142"/>
  <c r="EE52" i="23917"/>
  <c r="EE51" i="23917"/>
  <c r="EE42" i="24142"/>
  <c r="EF87" i="23917"/>
  <c r="EF83" i="24142"/>
  <c r="EH23" i="24142"/>
  <c r="EH26" i="23917"/>
  <c r="EJ26" i="23917"/>
  <c r="EJ23" i="24142"/>
  <c r="EE91" i="23917"/>
  <c r="EF91" i="23917"/>
  <c r="EF89" i="24142"/>
  <c r="EF98" i="23917"/>
  <c r="EE53" i="23917"/>
  <c r="EE44" i="24142"/>
  <c r="EF84" i="24142"/>
  <c r="EF88" i="23917"/>
  <c r="EF86" i="24142"/>
  <c r="EF86" i="23917"/>
  <c r="EF82" i="24142"/>
  <c r="EG26" i="24142"/>
  <c r="EG27" i="24142" s="1"/>
  <c r="EG34" i="23917"/>
  <c r="EG32" i="23917" s="1"/>
  <c r="EG35" i="24142"/>
  <c r="EG36" i="24142" s="1"/>
  <c r="EG44" i="23917"/>
  <c r="EG45" i="23917" s="1"/>
  <c r="EK83" i="23917" l="1"/>
  <c r="EK22" i="23917"/>
  <c r="EK23" i="23917" s="1"/>
  <c r="EM22" i="23917"/>
  <c r="EK72" i="24142"/>
  <c r="EK79" i="23917"/>
  <c r="EM80" i="23917"/>
  <c r="EM76" i="24142"/>
  <c r="EM119" i="24142"/>
  <c r="EM66" i="24142"/>
  <c r="EM74" i="23917"/>
  <c r="EM216" i="23917"/>
  <c r="EK79" i="24142"/>
  <c r="EM67" i="24142"/>
  <c r="EM156" i="24142"/>
  <c r="EM75" i="23917"/>
  <c r="EM308" i="23917"/>
  <c r="EM192" i="24142"/>
  <c r="EM77" i="23917"/>
  <c r="EM69" i="24142"/>
  <c r="EM130" i="23917"/>
  <c r="EM77" i="24142"/>
  <c r="EM81" i="23917"/>
  <c r="EL77" i="24142"/>
  <c r="EL81" i="23917"/>
  <c r="EL281" i="24142"/>
  <c r="EL70" i="24142"/>
  <c r="EL347" i="23917"/>
  <c r="EL78" i="23917"/>
  <c r="EL78" i="24142"/>
  <c r="EL82" i="23917"/>
  <c r="EL87" i="24142"/>
  <c r="EL90" i="23917"/>
  <c r="EM68" i="24142"/>
  <c r="EM76" i="23917"/>
  <c r="EM29" i="23917"/>
  <c r="EK29" i="23917"/>
  <c r="EK30" i="23917" s="1"/>
  <c r="EL192" i="24142"/>
  <c r="EL69" i="24142"/>
  <c r="EL130" i="23917"/>
  <c r="EL77" i="23917"/>
  <c r="EL76" i="24142"/>
  <c r="EL80" i="23917"/>
  <c r="EL119" i="24142"/>
  <c r="EL66" i="24142"/>
  <c r="EL216" i="23917"/>
  <c r="EL74" i="23917"/>
  <c r="EL156" i="24142"/>
  <c r="EL67" i="24142"/>
  <c r="EL308" i="23917"/>
  <c r="EL75" i="23917"/>
  <c r="EM70" i="24142"/>
  <c r="EM347" i="23917"/>
  <c r="EM78" i="23917"/>
  <c r="EM281" i="24142"/>
  <c r="EM82" i="23917"/>
  <c r="EM78" i="24142"/>
  <c r="EM90" i="23917"/>
  <c r="EM87" i="24142"/>
  <c r="EL68" i="24142"/>
  <c r="EL76" i="23917"/>
  <c r="EG49" i="24142"/>
  <c r="EG58" i="23917"/>
  <c r="EG31" i="24142"/>
  <c r="EH31" i="24142"/>
  <c r="EF43" i="24142"/>
  <c r="EF52" i="23917"/>
  <c r="EL22" i="23917"/>
  <c r="EI49" i="24142"/>
  <c r="EI58" i="23917"/>
  <c r="EG47" i="23917"/>
  <c r="EG48" i="23917" s="1"/>
  <c r="EG38" i="24142"/>
  <c r="EG39" i="24142" s="1"/>
  <c r="EH44" i="23917"/>
  <c r="EH35" i="24142"/>
  <c r="EH26" i="24142"/>
  <c r="EH34" i="23917"/>
  <c r="EF44" i="24142"/>
  <c r="EF53" i="23917"/>
  <c r="EG35" i="23917"/>
  <c r="EF51" i="23917"/>
  <c r="EF42" i="24142"/>
  <c r="EJ35" i="24142"/>
  <c r="EJ44" i="23917"/>
  <c r="EI38" i="24142"/>
  <c r="EI39" i="24142" s="1"/>
  <c r="EI47" i="23917"/>
  <c r="EI48" i="23917" s="1"/>
  <c r="EL29" i="23917"/>
  <c r="EJ34" i="23917"/>
  <c r="EJ26" i="24142"/>
  <c r="EI31" i="24142"/>
  <c r="EJ31" i="24142"/>
  <c r="EI35" i="23917"/>
  <c r="EK23" i="24142" l="1"/>
  <c r="EK26" i="23917"/>
  <c r="EM72" i="24142"/>
  <c r="EM79" i="23917"/>
  <c r="EM29" i="24142"/>
  <c r="EK29" i="24142"/>
  <c r="EK37" i="23917"/>
  <c r="EK19" i="24142"/>
  <c r="EK20" i="24142" s="1"/>
  <c r="EM19" i="24142"/>
  <c r="EL72" i="24142"/>
  <c r="EL79" i="23917"/>
  <c r="EJ38" i="24142"/>
  <c r="EJ47" i="23917"/>
  <c r="EH38" i="24142"/>
  <c r="EH47" i="23917"/>
  <c r="EH95" i="23917"/>
  <c r="EG95" i="23917"/>
  <c r="EH96" i="23917"/>
  <c r="EG96" i="23917"/>
  <c r="EJ49" i="24142"/>
  <c r="EJ58" i="23917"/>
  <c r="EH94" i="23917"/>
  <c r="EG94" i="23917"/>
  <c r="EH85" i="24142"/>
  <c r="EG85" i="24142"/>
  <c r="EL19" i="24142"/>
  <c r="EH49" i="24142"/>
  <c r="EH58" i="23917"/>
  <c r="EM37" i="23917" l="1"/>
  <c r="EM34" i="23917"/>
  <c r="EK26" i="24142"/>
  <c r="EK27" i="24142" s="1"/>
  <c r="EK34" i="23917"/>
  <c r="EK32" i="23917" s="1"/>
  <c r="EK35" i="24142"/>
  <c r="EK36" i="24142" s="1"/>
  <c r="EK44" i="23917"/>
  <c r="EK45" i="23917" s="1"/>
  <c r="EL29" i="24142"/>
  <c r="EL37" i="23917"/>
  <c r="EL23" i="24142"/>
  <c r="EL26" i="23917"/>
  <c r="EM23" i="24142"/>
  <c r="EM26" i="23917"/>
  <c r="EG89" i="24142"/>
  <c r="EG98" i="23917"/>
  <c r="EK95" i="23917"/>
  <c r="EI85" i="24142"/>
  <c r="EJ85" i="24142"/>
  <c r="EK31" i="24142"/>
  <c r="EG83" i="24142"/>
  <c r="EG87" i="23917"/>
  <c r="EG86" i="23917"/>
  <c r="EG82" i="24142"/>
  <c r="EH89" i="23917"/>
  <c r="EG89" i="23917"/>
  <c r="EI54" i="23917"/>
  <c r="EI45" i="24142"/>
  <c r="EG99" i="23917"/>
  <c r="EH99" i="23917"/>
  <c r="EI95" i="23917"/>
  <c r="EJ95" i="23917"/>
  <c r="EI94" i="23917"/>
  <c r="EJ94" i="23917"/>
  <c r="EI96" i="23917"/>
  <c r="EJ96" i="23917"/>
  <c r="EG45" i="24142"/>
  <c r="EG54" i="23917"/>
  <c r="EG86" i="24142"/>
  <c r="EG84" i="24142"/>
  <c r="EG88" i="23917"/>
  <c r="EG88" i="24142"/>
  <c r="EH88" i="24142"/>
  <c r="EK35" i="23917" l="1"/>
  <c r="EK94" i="23917"/>
  <c r="EK85" i="24142"/>
  <c r="EM26" i="24142"/>
  <c r="EK96" i="23917"/>
  <c r="EK45" i="24142"/>
  <c r="EK54" i="23917"/>
  <c r="EL35" i="24142"/>
  <c r="EL44" i="23917"/>
  <c r="EL26" i="24142"/>
  <c r="EL34" i="23917"/>
  <c r="EM44" i="23917"/>
  <c r="EM35" i="24142"/>
  <c r="EK38" i="24142"/>
  <c r="EK39" i="24142" s="1"/>
  <c r="EK47" i="23917"/>
  <c r="EK48" i="23917" s="1"/>
  <c r="EK49" i="24142"/>
  <c r="EK58" i="23917"/>
  <c r="EL95" i="23917"/>
  <c r="EM95" i="23917"/>
  <c r="EM45" i="24142"/>
  <c r="EL31" i="24142"/>
  <c r="EM31" i="24142"/>
  <c r="EH86" i="24142"/>
  <c r="EH84" i="24142"/>
  <c r="EH88" i="23917"/>
  <c r="EG44" i="24142"/>
  <c r="EG53" i="23917"/>
  <c r="EG43" i="24142"/>
  <c r="EG52" i="23917"/>
  <c r="EH83" i="24142"/>
  <c r="EH87" i="23917"/>
  <c r="EH91" i="23917"/>
  <c r="EG91" i="23917"/>
  <c r="EI89" i="23917"/>
  <c r="EJ89" i="23917"/>
  <c r="EI82" i="24142"/>
  <c r="EI86" i="23917"/>
  <c r="EI84" i="24142"/>
  <c r="EI88" i="23917"/>
  <c r="EI86" i="24142"/>
  <c r="EI99" i="23917"/>
  <c r="EJ99" i="23917"/>
  <c r="EG51" i="23917"/>
  <c r="EG42" i="24142"/>
  <c r="EH45" i="24142"/>
  <c r="EH54" i="23917"/>
  <c r="EJ45" i="24142"/>
  <c r="EJ54" i="23917"/>
  <c r="EH82" i="24142"/>
  <c r="EH86" i="23917"/>
  <c r="EI87" i="23917"/>
  <c r="EI83" i="24142"/>
  <c r="EI88" i="24142"/>
  <c r="EJ88" i="24142"/>
  <c r="EI98" i="23917"/>
  <c r="EI89" i="24142"/>
  <c r="EH89" i="24142"/>
  <c r="EH98" i="23917"/>
  <c r="EK99" i="23917" l="1"/>
  <c r="EM89" i="24142"/>
  <c r="EK83" i="24142"/>
  <c r="EM85" i="24142"/>
  <c r="EK89" i="23917"/>
  <c r="EK88" i="24142"/>
  <c r="EL94" i="23917"/>
  <c r="EM54" i="23917"/>
  <c r="EM82" i="24142"/>
  <c r="EK84" i="24142"/>
  <c r="EL85" i="24142"/>
  <c r="EM94" i="23917"/>
  <c r="EL96" i="23917"/>
  <c r="EM96" i="23917"/>
  <c r="EL45" i="24142"/>
  <c r="EL54" i="23917"/>
  <c r="EL49" i="24142"/>
  <c r="EL58" i="23917"/>
  <c r="EL38" i="24142"/>
  <c r="EL47" i="23917"/>
  <c r="EM58" i="23917"/>
  <c r="EM49" i="24142"/>
  <c r="EM38" i="24142"/>
  <c r="EM47" i="23917"/>
  <c r="EI44" i="24142"/>
  <c r="EI53" i="23917"/>
  <c r="EI52" i="23917"/>
  <c r="EI43" i="24142"/>
  <c r="EI51" i="23917"/>
  <c r="EI42" i="24142"/>
  <c r="EH42" i="24142"/>
  <c r="EH51" i="23917"/>
  <c r="EH52" i="23917"/>
  <c r="EH43" i="24142"/>
  <c r="EJ89" i="24142"/>
  <c r="EJ98" i="23917"/>
  <c r="EJ87" i="23917"/>
  <c r="EJ83" i="24142"/>
  <c r="EI91" i="23917"/>
  <c r="EJ91" i="23917"/>
  <c r="EJ84" i="24142"/>
  <c r="EJ88" i="23917"/>
  <c r="EJ86" i="24142"/>
  <c r="EJ82" i="24142"/>
  <c r="EJ86" i="23917"/>
  <c r="EH44" i="24142"/>
  <c r="EH53" i="23917"/>
  <c r="EK51" i="23917" l="1"/>
  <c r="EL89" i="24142"/>
  <c r="EK87" i="23917"/>
  <c r="EM87" i="23917"/>
  <c r="EL87" i="23917"/>
  <c r="EM99" i="23917"/>
  <c r="EL99" i="23917"/>
  <c r="EK98" i="23917"/>
  <c r="EM88" i="24142"/>
  <c r="EK89" i="24142"/>
  <c r="EL88" i="24142"/>
  <c r="EM86" i="24142"/>
  <c r="EL89" i="23917"/>
  <c r="EL86" i="23917"/>
  <c r="EL86" i="24142"/>
  <c r="EM89" i="23917"/>
  <c r="EK86" i="24142"/>
  <c r="EK88" i="23917"/>
  <c r="EL91" i="23917"/>
  <c r="EK86" i="23917"/>
  <c r="EK82" i="24142"/>
  <c r="EM53" i="23917"/>
  <c r="EK44" i="24142"/>
  <c r="EK53" i="23917"/>
  <c r="EM86" i="23917"/>
  <c r="EM98" i="23917"/>
  <c r="EJ42" i="24142"/>
  <c r="EJ51" i="23917"/>
  <c r="EJ43" i="24142"/>
  <c r="EJ52" i="23917"/>
  <c r="EJ53" i="23917"/>
  <c r="EJ44" i="24142"/>
  <c r="EM51" i="23917" l="1"/>
  <c r="EK42" i="24142"/>
  <c r="EM83" i="24142"/>
  <c r="EL51" i="23917"/>
  <c r="EL83" i="24142"/>
  <c r="EL82" i="24142"/>
  <c r="EL98" i="23917"/>
  <c r="EM84" i="24142"/>
  <c r="EM88" i="23917"/>
  <c r="EL88" i="23917"/>
  <c r="EL84" i="24142"/>
  <c r="EM91" i="23917"/>
  <c r="EK91" i="23917"/>
  <c r="EK43" i="24142"/>
  <c r="EK52" i="23917"/>
  <c r="EM44" i="24142"/>
  <c r="EL44" i="24142"/>
  <c r="EL53" i="23917"/>
  <c r="EM42" i="24142" l="1"/>
  <c r="EL42" i="24142"/>
  <c r="EM43" i="24142"/>
  <c r="EM52" i="23917"/>
  <c r="EL52" i="23917"/>
  <c r="EL43" i="24142"/>
</calcChain>
</file>

<file path=xl/comments1.xml><?xml version="1.0" encoding="utf-8"?>
<comments xmlns="http://schemas.openxmlformats.org/spreadsheetml/2006/main">
  <authors>
    <author>sanclaur</author>
    <author>Gupta, Tanmay (Research)</author>
    <author>Zheng, Chaodan (Research)</author>
    <author>Test</author>
    <author>Alan Wong</author>
    <author>haybuse</author>
    <author>Huang, Bob (Research)</author>
    <author>zerbeken</author>
    <author>bhoanir</author>
    <author>johnoco</author>
    <author>mlipton</author>
    <author>Laura Sanchez</author>
    <author>dianaz</author>
    <author>gohilcha</author>
    <author>Sanchez Bolanos, Laura (Research)</author>
    <author>Details</author>
    <author>mawjik</author>
    <author>Ken Zerbe</author>
    <author>wongalan</author>
    <author>Zamora, Diana (Research)</author>
    <author>hayleyl</author>
    <author>Zack Sanders</author>
    <author>Rojas, Isabel (Research)</author>
  </authors>
  <commentList>
    <comment ref="B23" authorId="0">
      <text>
        <r>
          <rPr>
            <b/>
            <sz val="8"/>
            <color indexed="81"/>
            <rFont val="Tahoma"/>
            <family val="2"/>
          </rPr>
          <t>sanclaur:</t>
        </r>
        <r>
          <rPr>
            <sz val="8"/>
            <color indexed="81"/>
            <rFont val="Tahoma"/>
            <family val="2"/>
          </rPr>
          <t xml:space="preserve">
=TF(".SPX-UT","TF.PR.PricePchg(sdate=20120101,edate=20120331)")*100</t>
        </r>
      </text>
    </comment>
    <comment ref="GP39" authorId="1">
      <text>
        <r>
          <rPr>
            <b/>
            <sz val="9"/>
            <color indexed="81"/>
            <rFont val="Tahoma"/>
            <family val="2"/>
          </rPr>
          <t>Gupta, Tanmay (Research):</t>
        </r>
        <r>
          <rPr>
            <sz val="9"/>
            <color indexed="81"/>
            <rFont val="Tahoma"/>
            <family val="2"/>
          </rPr>
          <t xml:space="preserve">
3Q16: Expect VA net flows to return to positive in 2018</t>
        </r>
      </text>
    </comment>
    <comment ref="EC60" authorId="1">
      <text>
        <r>
          <rPr>
            <b/>
            <sz val="9"/>
            <color indexed="81"/>
            <rFont val="Tahoma"/>
            <family val="2"/>
          </rPr>
          <t>Gupta, Tanmay (Research):</t>
        </r>
        <r>
          <rPr>
            <sz val="9"/>
            <color indexed="81"/>
            <rFont val="Tahoma"/>
            <family val="2"/>
          </rPr>
          <t xml:space="preserve">
2Q16: down sequentially due to lower int rates</t>
        </r>
      </text>
    </comment>
    <comment ref="EA82" authorId="2">
      <text>
        <r>
          <rPr>
            <b/>
            <sz val="8"/>
            <color indexed="81"/>
            <rFont val="Tahoma"/>
            <family val="2"/>
          </rPr>
          <t>Zheng, Chaodan (Research):</t>
        </r>
        <r>
          <rPr>
            <sz val="8"/>
            <color indexed="81"/>
            <rFont val="Tahoma"/>
            <family val="2"/>
          </rPr>
          <t xml:space="preserve">
call with mgmt:
- sales down 5%, underlying mix was strong however
- really guaranteed products were down</t>
        </r>
      </text>
    </comment>
    <comment ref="EC82" authorId="2">
      <text>
        <r>
          <rPr>
            <b/>
            <sz val="8"/>
            <color indexed="81"/>
            <rFont val="Tahoma"/>
            <family val="2"/>
          </rPr>
          <t>Zheng, Chaodan (Research):</t>
        </r>
        <r>
          <rPr>
            <sz val="8"/>
            <color indexed="81"/>
            <rFont val="Tahoma"/>
            <family val="2"/>
          </rPr>
          <t xml:space="preserve">
call with mgmt:
- sales down 5%, underlying mix was strong however
- really guaranteed products were down</t>
        </r>
      </text>
    </comment>
    <comment ref="B83" authorId="3">
      <text>
        <r>
          <rPr>
            <b/>
            <sz val="8"/>
            <color indexed="81"/>
            <rFont val="Tahoma"/>
            <family val="2"/>
          </rPr>
          <t xml:space="preserve">Includes:
</t>
        </r>
        <r>
          <rPr>
            <sz val="8"/>
            <color indexed="81"/>
            <rFont val="Tahoma"/>
            <family val="2"/>
          </rPr>
          <t>Surrender Charges
Expense Assessments
Other Rev &amp; Fees</t>
        </r>
        <r>
          <rPr>
            <sz val="8"/>
            <color indexed="81"/>
            <rFont val="Tahoma"/>
            <family val="2"/>
          </rPr>
          <t xml:space="preserve">
</t>
        </r>
      </text>
    </comment>
    <comment ref="EC98" authorId="1">
      <text>
        <r>
          <rPr>
            <b/>
            <sz val="9"/>
            <color indexed="81"/>
            <rFont val="Tahoma"/>
            <family val="2"/>
          </rPr>
          <t>Gupta, Tanmay (Research):</t>
        </r>
        <r>
          <rPr>
            <sz val="9"/>
            <color indexed="81"/>
            <rFont val="Tahoma"/>
            <family val="2"/>
          </rPr>
          <t xml:space="preserve">
2Q16 mgmt call: Spreads in line with expectations</t>
        </r>
      </text>
    </comment>
    <comment ref="EE98" authorId="1">
      <text>
        <r>
          <rPr>
            <b/>
            <sz val="9"/>
            <color indexed="81"/>
            <rFont val="Tahoma"/>
            <family val="2"/>
          </rPr>
          <t>Gupta, Tanmay (Research):</t>
        </r>
        <r>
          <rPr>
            <sz val="9"/>
            <color indexed="81"/>
            <rFont val="Tahoma"/>
            <family val="2"/>
          </rPr>
          <t xml:space="preserve">
2Q16 mgmt call: Spreads in line with expectations</t>
        </r>
      </text>
    </comment>
    <comment ref="EG98" authorId="1">
      <text>
        <r>
          <rPr>
            <b/>
            <sz val="9"/>
            <color indexed="81"/>
            <rFont val="Tahoma"/>
            <family val="2"/>
          </rPr>
          <t>Gupta, Tanmay (Research):</t>
        </r>
        <r>
          <rPr>
            <sz val="9"/>
            <color indexed="81"/>
            <rFont val="Tahoma"/>
            <family val="2"/>
          </rPr>
          <t xml:space="preserve">
2Q16 mgmt call: Spreads in line with expectations</t>
        </r>
      </text>
    </comment>
    <comment ref="EI98" authorId="1">
      <text>
        <r>
          <rPr>
            <b/>
            <sz val="9"/>
            <color indexed="81"/>
            <rFont val="Tahoma"/>
            <family val="2"/>
          </rPr>
          <t>Gupta, Tanmay (Research):</t>
        </r>
        <r>
          <rPr>
            <sz val="9"/>
            <color indexed="81"/>
            <rFont val="Tahoma"/>
            <family val="2"/>
          </rPr>
          <t xml:space="preserve">
2Q16 mgmt call: Spreads in line with expectations</t>
        </r>
      </text>
    </comment>
    <comment ref="EK98" authorId="1">
      <text>
        <r>
          <rPr>
            <b/>
            <sz val="9"/>
            <color indexed="81"/>
            <rFont val="Tahoma"/>
            <family val="2"/>
          </rPr>
          <t>Gupta, Tanmay (Research):</t>
        </r>
        <r>
          <rPr>
            <sz val="9"/>
            <color indexed="81"/>
            <rFont val="Tahoma"/>
            <family val="2"/>
          </rPr>
          <t xml:space="preserve">
2Q16 mgmt call: Spreads in line with expectations</t>
        </r>
      </text>
    </comment>
    <comment ref="EM98" authorId="1">
      <text>
        <r>
          <rPr>
            <b/>
            <sz val="9"/>
            <color indexed="81"/>
            <rFont val="Tahoma"/>
            <family val="2"/>
          </rPr>
          <t>Gupta, Tanmay (Research):</t>
        </r>
        <r>
          <rPr>
            <sz val="9"/>
            <color indexed="81"/>
            <rFont val="Tahoma"/>
            <family val="2"/>
          </rPr>
          <t xml:space="preserve">
2Q16 mgmt call: Spreads in line with expectations</t>
        </r>
      </text>
    </comment>
    <comment ref="EO98" authorId="1">
      <text>
        <r>
          <rPr>
            <b/>
            <sz val="9"/>
            <color indexed="81"/>
            <rFont val="Tahoma"/>
            <family val="2"/>
          </rPr>
          <t>Gupta, Tanmay (Research):</t>
        </r>
        <r>
          <rPr>
            <sz val="9"/>
            <color indexed="81"/>
            <rFont val="Tahoma"/>
            <family val="2"/>
          </rPr>
          <t xml:space="preserve">
2Q16 mgmt call: Spreads in line with expectations</t>
        </r>
      </text>
    </comment>
    <comment ref="AU103" authorId="4">
      <text>
        <r>
          <rPr>
            <sz val="8"/>
            <color indexed="81"/>
            <rFont val="Tahoma"/>
            <family val="2"/>
          </rPr>
          <t>Includes $33 million DAC unlocking</t>
        </r>
      </text>
    </comment>
    <comment ref="AW103" authorId="4">
      <text>
        <r>
          <rPr>
            <sz val="8"/>
            <color indexed="81"/>
            <rFont val="Tahoma"/>
            <family val="2"/>
          </rPr>
          <t>Includes $33 million DAC unlocking</t>
        </r>
      </text>
    </comment>
    <comment ref="CQ103" authorId="5">
      <text>
        <r>
          <rPr>
            <b/>
            <sz val="8"/>
            <color indexed="81"/>
            <rFont val="Tahoma"/>
            <family val="2"/>
          </rPr>
          <t xml:space="preserve">haybuse:
</t>
        </r>
        <r>
          <rPr>
            <sz val="8"/>
            <color indexed="81"/>
            <rFont val="Tahoma"/>
            <family val="2"/>
          </rPr>
          <t>incl benfits of DAC unlocking:
Retro: 13M
Prospect: 41</t>
        </r>
      </text>
    </comment>
    <comment ref="CU106" authorId="0">
      <text>
        <r>
          <rPr>
            <b/>
            <sz val="8"/>
            <color indexed="81"/>
            <rFont val="Tahoma"/>
            <family val="2"/>
          </rPr>
          <t>sanclaur:</t>
        </r>
        <r>
          <rPr>
            <sz val="8"/>
            <color indexed="81"/>
            <rFont val="Tahoma"/>
            <family val="2"/>
          </rPr>
          <t xml:space="preserve">
restated acc. to 2Q12 supplement</t>
        </r>
      </text>
    </comment>
    <comment ref="GP115" authorId="6">
      <text>
        <r>
          <rPr>
            <b/>
            <sz val="9"/>
            <color indexed="81"/>
            <rFont val="Tahoma"/>
            <family val="2"/>
          </rPr>
          <t>Huang, Bob (Research):</t>
        </r>
        <r>
          <rPr>
            <sz val="9"/>
            <color indexed="81"/>
            <rFont val="Tahoma"/>
            <family val="2"/>
          </rPr>
          <t xml:space="preserve">
4Q17 call: 14-16%</t>
        </r>
      </text>
    </comment>
    <comment ref="AM116" authorId="7">
      <text>
        <r>
          <rPr>
            <sz val="8"/>
            <color indexed="81"/>
            <rFont val="Tahoma"/>
            <family val="2"/>
          </rPr>
          <t>Includes a one-time $20.7M gain from DAC unlocking, based on its annual review.</t>
        </r>
      </text>
    </comment>
    <comment ref="EA116" authorId="2">
      <text>
        <r>
          <rPr>
            <b/>
            <sz val="8"/>
            <color indexed="81"/>
            <rFont val="Tahoma"/>
            <family val="2"/>
          </rPr>
          <t>Zheng, Chaodan (Research):</t>
        </r>
        <r>
          <rPr>
            <sz val="8"/>
            <color indexed="81"/>
            <rFont val="Tahoma"/>
            <family val="2"/>
          </rPr>
          <t xml:space="preserve">
call with mgmt:
- lower alts roughly $4 million
- impact of lower AUM
- flows turned slightly negative, reflecting market volatility which depressed demand for equity products
- some impact of DOL
- still consistent ROA, just the impact of the average</t>
        </r>
      </text>
    </comment>
    <comment ref="FR116" authorId="4">
      <text>
        <r>
          <rPr>
            <sz val="8"/>
            <color indexed="81"/>
            <rFont val="Tahoma"/>
            <family val="2"/>
          </rPr>
          <t>DAC amortization K factor adjusted, $3 million after tax, after DAC impact expected per quarter</t>
        </r>
      </text>
    </comment>
    <comment ref="AS117" authorId="8">
      <text>
        <r>
          <rPr>
            <sz val="8"/>
            <color indexed="81"/>
            <rFont val="Tahoma"/>
            <family val="2"/>
          </rPr>
          <t>+$20MM abnormal investment income</t>
        </r>
      </text>
    </comment>
    <comment ref="BA117" authorId="4">
      <text>
        <r>
          <rPr>
            <sz val="8"/>
            <color indexed="81"/>
            <rFont val="Tahoma"/>
            <family val="2"/>
          </rPr>
          <t>$10MM abnormal investment income and DAC unlocking</t>
        </r>
      </text>
    </comment>
    <comment ref="BC117" authorId="4">
      <text>
        <r>
          <rPr>
            <sz val="8"/>
            <color indexed="81"/>
            <rFont val="Tahoma"/>
            <family val="2"/>
          </rPr>
          <t>+$27M Tax Gain
+$2M Hedge Program Gains</t>
        </r>
      </text>
    </comment>
    <comment ref="BE117" authorId="4">
      <text>
        <r>
          <rPr>
            <sz val="8"/>
            <color indexed="81"/>
            <rFont val="Tahoma"/>
            <family val="2"/>
          </rPr>
          <t>Reserve release, tax benefit, and favorable invesment income</t>
        </r>
      </text>
    </comment>
    <comment ref="BG117" authorId="4">
      <text>
        <r>
          <rPr>
            <sz val="8"/>
            <color indexed="81"/>
            <rFont val="Tahoma"/>
            <family val="2"/>
          </rPr>
          <t>+$4M better than expected hedge program performance</t>
        </r>
      </text>
    </comment>
    <comment ref="BK117" authorId="5">
      <text>
        <r>
          <rPr>
            <b/>
            <sz val="8"/>
            <color indexed="81"/>
            <rFont val="Tahoma"/>
            <family val="2"/>
          </rPr>
          <t>haybuse:</t>
        </r>
        <r>
          <rPr>
            <sz val="8"/>
            <color indexed="81"/>
            <rFont val="Tahoma"/>
            <family val="2"/>
          </rPr>
          <t xml:space="preserve">
Negative items primarily related to hedge program performance and FAS 133</t>
        </r>
      </text>
    </comment>
    <comment ref="BM117" authorId="5">
      <text>
        <r>
          <rPr>
            <sz val="8"/>
            <color indexed="81"/>
            <rFont val="Tahoma"/>
            <family val="2"/>
          </rPr>
          <t>Unfavorable mortality experience, which was partially offset by DAC unlocking</t>
        </r>
      </text>
    </comment>
    <comment ref="BO117" authorId="5">
      <text>
        <r>
          <rPr>
            <sz val="8"/>
            <color indexed="81"/>
            <rFont val="Tahoma"/>
            <family val="2"/>
          </rPr>
          <t>$ 10 million benefit due to net notable items</t>
        </r>
      </text>
    </comment>
    <comment ref="BS117" authorId="5">
      <text>
        <r>
          <rPr>
            <b/>
            <sz val="8"/>
            <color indexed="81"/>
            <rFont val="Tahoma"/>
            <family val="2"/>
          </rPr>
          <t>haybuse:</t>
        </r>
        <r>
          <rPr>
            <sz val="8"/>
            <color indexed="81"/>
            <rFont val="Tahoma"/>
            <family val="2"/>
          </rPr>
          <t xml:space="preserve">
favorable tax related items</t>
        </r>
      </text>
    </comment>
    <comment ref="BU117" authorId="5">
      <text>
        <r>
          <rPr>
            <b/>
            <sz val="8"/>
            <color indexed="81"/>
            <rFont val="Tahoma"/>
            <family val="2"/>
          </rPr>
          <t>haybuse:</t>
        </r>
        <r>
          <rPr>
            <sz val="8"/>
            <color indexed="81"/>
            <rFont val="Tahoma"/>
            <family val="2"/>
          </rPr>
          <t xml:space="preserve">
DAC unlocking and inc GMDB reserves partially offset by favorable tax items</t>
        </r>
      </text>
    </comment>
    <comment ref="CA117" authorId="9">
      <text>
        <r>
          <rPr>
            <b/>
            <sz val="8"/>
            <color indexed="81"/>
            <rFont val="Tahoma"/>
            <family val="2"/>
          </rPr>
          <t>johnoco:</t>
        </r>
        <r>
          <rPr>
            <sz val="8"/>
            <color indexed="81"/>
            <rFont val="Tahoma"/>
            <family val="2"/>
          </rPr>
          <t xml:space="preserve">
positive DAC unlock</t>
        </r>
      </text>
    </comment>
    <comment ref="CC117" authorId="5">
      <text>
        <r>
          <rPr>
            <b/>
            <sz val="8"/>
            <color indexed="81"/>
            <rFont val="Tahoma"/>
            <family val="2"/>
          </rPr>
          <t>haybuse:</t>
        </r>
        <r>
          <rPr>
            <sz val="8"/>
            <color indexed="81"/>
            <rFont val="Tahoma"/>
            <family val="2"/>
          </rPr>
          <t xml:space="preserve">
positive dac unlock</t>
        </r>
      </text>
    </comment>
    <comment ref="CE117" authorId="5">
      <text>
        <r>
          <rPr>
            <b/>
            <sz val="8"/>
            <color indexed="81"/>
            <rFont val="Tahoma"/>
            <family val="2"/>
          </rPr>
          <t>haybuse:</t>
        </r>
        <r>
          <rPr>
            <sz val="8"/>
            <color indexed="81"/>
            <rFont val="Tahoma"/>
            <family val="2"/>
          </rPr>
          <t xml:space="preserve">
positive dac unlock</t>
        </r>
      </text>
    </comment>
    <comment ref="CG117" authorId="5">
      <text>
        <r>
          <rPr>
            <b/>
            <sz val="8"/>
            <color indexed="81"/>
            <rFont val="Tahoma"/>
            <family val="2"/>
          </rPr>
          <t>haybuse:</t>
        </r>
        <r>
          <rPr>
            <sz val="8"/>
            <color indexed="81"/>
            <rFont val="Tahoma"/>
            <family val="2"/>
          </rPr>
          <t xml:space="preserve">
positive dac unlock</t>
        </r>
      </text>
    </comment>
    <comment ref="CI117" authorId="5">
      <text>
        <r>
          <rPr>
            <b/>
            <sz val="8"/>
            <color indexed="81"/>
            <rFont val="Tahoma"/>
            <family val="2"/>
          </rPr>
          <t>haybuse:</t>
        </r>
        <r>
          <rPr>
            <sz val="8"/>
            <color indexed="81"/>
            <rFont val="Tahoma"/>
            <family val="2"/>
          </rPr>
          <t xml:space="preserve">
tax true-up</t>
        </r>
      </text>
    </comment>
    <comment ref="CK117" authorId="10">
      <text>
        <r>
          <rPr>
            <b/>
            <sz val="8"/>
            <color indexed="81"/>
            <rFont val="Tahoma"/>
            <family val="2"/>
          </rPr>
          <t>mlipton:</t>
        </r>
        <r>
          <rPr>
            <sz val="8"/>
            <color indexed="81"/>
            <rFont val="Tahoma"/>
            <family val="2"/>
          </rPr>
          <t xml:space="preserve">
$10M benefit from variable excess income
$8 million negative DAC
</t>
        </r>
      </text>
    </comment>
    <comment ref="CM117" authorId="10">
      <text>
        <r>
          <rPr>
            <b/>
            <sz val="8"/>
            <color indexed="81"/>
            <rFont val="Tahoma"/>
            <family val="2"/>
          </rPr>
          <t>mlipton:</t>
        </r>
        <r>
          <rPr>
            <sz val="8"/>
            <color indexed="81"/>
            <rFont val="Tahoma"/>
            <family val="2"/>
          </rPr>
          <t xml:space="preserve">
$6M benefit from variable excess income
$7M Favorable Mortality
$5M other
</t>
        </r>
      </text>
    </comment>
    <comment ref="CO117" authorId="5">
      <text>
        <r>
          <rPr>
            <b/>
            <sz val="8"/>
            <color indexed="81"/>
            <rFont val="Tahoma"/>
            <family val="2"/>
          </rPr>
          <t>haybuse:</t>
        </r>
        <r>
          <rPr>
            <sz val="8"/>
            <color indexed="81"/>
            <rFont val="Tahoma"/>
            <family val="2"/>
          </rPr>
          <t xml:space="preserve">
$4M prepayment NII
$8M DAC
$2M DRD tax benefit</t>
        </r>
      </text>
    </comment>
    <comment ref="CQ117" authorId="5">
      <text>
        <r>
          <rPr>
            <b/>
            <sz val="8"/>
            <color indexed="81"/>
            <rFont val="Tahoma"/>
            <family val="2"/>
          </rPr>
          <t>haybuse:</t>
        </r>
        <r>
          <rPr>
            <sz val="8"/>
            <color indexed="81"/>
            <rFont val="Tahoma"/>
            <family val="2"/>
          </rPr>
          <t xml:space="preserve">
Retro DAC Unlock for guarnatee riders: 34M PT (10Q pg 73)
DRD true-up:
Prospective DAC: -17M PT</t>
        </r>
      </text>
    </comment>
    <comment ref="CW117" authorId="5">
      <text>
        <r>
          <rPr>
            <b/>
            <sz val="8"/>
            <color indexed="81"/>
            <rFont val="Tahoma"/>
            <family val="2"/>
          </rPr>
          <t>haybuse:</t>
        </r>
        <r>
          <rPr>
            <sz val="8"/>
            <color indexed="81"/>
            <rFont val="Tahoma"/>
            <family val="2"/>
          </rPr>
          <t xml:space="preserve">
DAC: $5
Partnership income: $7</t>
        </r>
      </text>
    </comment>
    <comment ref="CY117" authorId="11">
      <text>
        <r>
          <rPr>
            <b/>
            <sz val="8"/>
            <color indexed="81"/>
            <rFont val="Tahoma"/>
            <family val="2"/>
          </rPr>
          <t>Laura Sanchez:</t>
        </r>
        <r>
          <rPr>
            <sz val="8"/>
            <color indexed="81"/>
            <rFont val="Tahoma"/>
            <family val="2"/>
          </rPr>
          <t xml:space="preserve">
DAC unlock</t>
        </r>
      </text>
    </comment>
    <comment ref="DA117" authorId="11">
      <text>
        <r>
          <rPr>
            <b/>
            <sz val="8"/>
            <color indexed="81"/>
            <rFont val="Tahoma"/>
            <family val="2"/>
          </rPr>
          <t>Laura Sanchez:</t>
        </r>
        <r>
          <rPr>
            <sz val="8"/>
            <color indexed="81"/>
            <rFont val="Tahoma"/>
            <family val="2"/>
          </rPr>
          <t xml:space="preserve">
taxes</t>
        </r>
      </text>
    </comment>
    <comment ref="DE117" authorId="12">
      <text>
        <r>
          <rPr>
            <b/>
            <sz val="8"/>
            <color indexed="81"/>
            <rFont val="Tahoma"/>
            <family val="2"/>
          </rPr>
          <t>dianaz:</t>
        </r>
        <r>
          <rPr>
            <sz val="8"/>
            <color indexed="81"/>
            <rFont val="Tahoma"/>
            <family val="2"/>
          </rPr>
          <t xml:space="preserve">
payment investment income</t>
        </r>
      </text>
    </comment>
    <comment ref="DG117" authorId="13">
      <text>
        <r>
          <rPr>
            <b/>
            <sz val="8"/>
            <color indexed="81"/>
            <rFont val="Tahoma"/>
            <family val="2"/>
          </rPr>
          <t>gohilcha:</t>
        </r>
        <r>
          <rPr>
            <sz val="8"/>
            <color indexed="81"/>
            <rFont val="Tahoma"/>
            <family val="2"/>
          </rPr>
          <t xml:space="preserve">
Favorable item related to taxes</t>
        </r>
      </text>
    </comment>
    <comment ref="DI117" authorId="13">
      <text>
        <r>
          <rPr>
            <b/>
            <sz val="8"/>
            <color indexed="81"/>
            <rFont val="Tahoma"/>
            <family val="2"/>
          </rPr>
          <t>Chai Gohil:</t>
        </r>
        <r>
          <rPr>
            <sz val="8"/>
            <color indexed="81"/>
            <rFont val="Tahoma"/>
            <family val="2"/>
          </rPr>
          <t xml:space="preserve">
Unfavorable item related to taxes</t>
        </r>
      </text>
    </comment>
    <comment ref="DO117" authorId="14">
      <text>
        <r>
          <rPr>
            <b/>
            <sz val="9"/>
            <color indexed="81"/>
            <rFont val="Tahoma"/>
            <family val="2"/>
          </rPr>
          <t>Sanchez Bolanos, Laura (Research):</t>
        </r>
        <r>
          <rPr>
            <sz val="9"/>
            <color indexed="81"/>
            <rFont val="Tahoma"/>
            <family val="2"/>
          </rPr>
          <t xml:space="preserve">
net favorable items of $12 million related to the company’s annual review of DAC and reserve assumptions</t>
        </r>
      </text>
    </comment>
    <comment ref="DW117" authorId="1">
      <text>
        <r>
          <rPr>
            <b/>
            <sz val="9"/>
            <color indexed="81"/>
            <rFont val="Tahoma"/>
            <family val="2"/>
          </rPr>
          <t>Gupta, Tanmay (Research):</t>
        </r>
        <r>
          <rPr>
            <sz val="9"/>
            <color indexed="81"/>
            <rFont val="Tahoma"/>
            <family val="2"/>
          </rPr>
          <t xml:space="preserve">
favorable DAC</t>
        </r>
      </text>
    </comment>
    <comment ref="EA117" authorId="1">
      <text>
        <r>
          <rPr>
            <b/>
            <sz val="9"/>
            <color indexed="81"/>
            <rFont val="Tahoma"/>
            <family val="2"/>
          </rPr>
          <t>Gupta, Tanmay (Research):</t>
        </r>
        <r>
          <rPr>
            <sz val="9"/>
            <color indexed="81"/>
            <rFont val="Tahoma"/>
            <family val="2"/>
          </rPr>
          <t xml:space="preserve">
Alt Inv Inc: $(4)mn</t>
        </r>
      </text>
    </comment>
    <comment ref="EE117" authorId="1">
      <text>
        <r>
          <rPr>
            <b/>
            <sz val="9"/>
            <color indexed="81"/>
            <rFont val="Tahoma"/>
            <family val="2"/>
          </rPr>
          <t>Gupta, Tanmay (Research):</t>
        </r>
        <r>
          <rPr>
            <sz val="9"/>
            <color indexed="81"/>
            <rFont val="Tahoma"/>
            <family val="2"/>
          </rPr>
          <t xml:space="preserve">
Act Review: $(10)mn
Lowered Separate account return assumption by 30bps.
VII above plan: $3mn</t>
        </r>
      </text>
    </comment>
    <comment ref="EI117" authorId="1">
      <text>
        <r>
          <rPr>
            <b/>
            <sz val="9"/>
            <color indexed="81"/>
            <rFont val="Tahoma"/>
            <family val="2"/>
          </rPr>
          <t>Gupta, Tanmay (Research):</t>
        </r>
        <r>
          <rPr>
            <sz val="9"/>
            <color indexed="81"/>
            <rFont val="Tahoma"/>
            <family val="2"/>
          </rPr>
          <t xml:space="preserve">
One time tax adj: $41mn</t>
        </r>
      </text>
    </comment>
    <comment ref="GP118" authorId="1">
      <text>
        <r>
          <rPr>
            <b/>
            <sz val="9"/>
            <color indexed="81"/>
            <rFont val="Tahoma"/>
            <family val="2"/>
          </rPr>
          <t>Gupta, Tanmay (Research):</t>
        </r>
        <r>
          <rPr>
            <sz val="9"/>
            <color indexed="81"/>
            <rFont val="Tahoma"/>
            <family val="2"/>
          </rPr>
          <t xml:space="preserve">
2017 Investor Day: 4-6% growth</t>
        </r>
      </text>
    </comment>
    <comment ref="EA137" authorId="2">
      <text>
        <r>
          <rPr>
            <b/>
            <sz val="8"/>
            <color indexed="81"/>
            <rFont val="Tahoma"/>
            <family val="2"/>
          </rPr>
          <t>Zheng, Chaodan (Research):</t>
        </r>
        <r>
          <rPr>
            <sz val="8"/>
            <color indexed="81"/>
            <rFont val="Tahoma"/>
            <family val="2"/>
          </rPr>
          <t xml:space="preserve">
call with mgmt:
- slightly positive flows - still think the story is solid
- split between small- and mid- to large-</t>
        </r>
      </text>
    </comment>
    <comment ref="EC137" authorId="2">
      <text>
        <r>
          <rPr>
            <b/>
            <sz val="8"/>
            <color indexed="81"/>
            <rFont val="Tahoma"/>
            <family val="2"/>
          </rPr>
          <t>Zheng, Chaodan (Research):</t>
        </r>
        <r>
          <rPr>
            <sz val="8"/>
            <color indexed="81"/>
            <rFont val="Tahoma"/>
            <family val="2"/>
          </rPr>
          <t xml:space="preserve">
call with mgmt:
- slightly positive flows - still think the story is solid
- split between small- and mid- to large-</t>
        </r>
      </text>
    </comment>
    <comment ref="EE137" authorId="2">
      <text>
        <r>
          <rPr>
            <b/>
            <sz val="8"/>
            <color indexed="81"/>
            <rFont val="Tahoma"/>
            <family val="2"/>
          </rPr>
          <t>Zheng, Chaodan (Research):</t>
        </r>
        <r>
          <rPr>
            <sz val="8"/>
            <color indexed="81"/>
            <rFont val="Tahoma"/>
            <family val="2"/>
          </rPr>
          <t xml:space="preserve">
call with mgmt:
- slightly positive flows - still think the story is solid
- split between small- and mid- to large-</t>
        </r>
      </text>
    </comment>
    <comment ref="EG137" authorId="2">
      <text>
        <r>
          <rPr>
            <b/>
            <sz val="8"/>
            <color indexed="81"/>
            <rFont val="Tahoma"/>
            <family val="2"/>
          </rPr>
          <t>Zheng, Chaodan (Research):</t>
        </r>
        <r>
          <rPr>
            <sz val="8"/>
            <color indexed="81"/>
            <rFont val="Tahoma"/>
            <family val="2"/>
          </rPr>
          <t xml:space="preserve">
call with mgmt:
- slightly positive flows - still think the story is solid
- split between small- and mid- to large-</t>
        </r>
      </text>
    </comment>
    <comment ref="BS167" authorId="5">
      <text>
        <r>
          <rPr>
            <b/>
            <sz val="8"/>
            <color indexed="81"/>
            <rFont val="Tahoma"/>
            <family val="2"/>
          </rPr>
          <t>haybuse:</t>
        </r>
        <r>
          <rPr>
            <sz val="8"/>
            <color indexed="81"/>
            <rFont val="Tahoma"/>
            <family val="2"/>
          </rPr>
          <t xml:space="preserve">
includes 0.2 of benefits</t>
        </r>
      </text>
    </comment>
    <comment ref="GP176" authorId="6">
      <text>
        <r>
          <rPr>
            <b/>
            <sz val="9"/>
            <color indexed="81"/>
            <rFont val="Tahoma"/>
            <family val="2"/>
          </rPr>
          <t>Huang, Bob (Research):</t>
        </r>
        <r>
          <rPr>
            <sz val="9"/>
            <color indexed="81"/>
            <rFont val="Tahoma"/>
            <family val="2"/>
          </rPr>
          <t xml:space="preserve">
4Q17 call: 15-17%</t>
        </r>
      </text>
    </comment>
    <comment ref="EA177" authorId="2">
      <text>
        <r>
          <rPr>
            <b/>
            <sz val="8"/>
            <color indexed="81"/>
            <rFont val="Tahoma"/>
            <family val="2"/>
          </rPr>
          <t>Zheng, Chaodan (Research):</t>
        </r>
        <r>
          <rPr>
            <sz val="8"/>
            <color indexed="81"/>
            <rFont val="Tahoma"/>
            <family val="2"/>
          </rPr>
          <t xml:space="preserve">
call with mgmt:
- $2 million of lower alts</t>
        </r>
      </text>
    </comment>
    <comment ref="EC177" authorId="2">
      <text>
        <r>
          <rPr>
            <b/>
            <sz val="8"/>
            <color indexed="81"/>
            <rFont val="Tahoma"/>
            <family val="2"/>
          </rPr>
          <t>Zheng, Chaodan (Research):</t>
        </r>
        <r>
          <rPr>
            <sz val="8"/>
            <color indexed="81"/>
            <rFont val="Tahoma"/>
            <family val="2"/>
          </rPr>
          <t xml:space="preserve">
call with mgmt:
- $2 million of lower alts</t>
        </r>
      </text>
    </comment>
    <comment ref="EE177" authorId="2">
      <text>
        <r>
          <rPr>
            <b/>
            <sz val="8"/>
            <color indexed="81"/>
            <rFont val="Tahoma"/>
            <family val="2"/>
          </rPr>
          <t>Zheng, Chaodan (Research):</t>
        </r>
        <r>
          <rPr>
            <sz val="8"/>
            <color indexed="81"/>
            <rFont val="Tahoma"/>
            <family val="2"/>
          </rPr>
          <t xml:space="preserve">
call with mgmt:
- $2 million of lower alts</t>
        </r>
      </text>
    </comment>
    <comment ref="AQ178" authorId="8">
      <text>
        <r>
          <rPr>
            <sz val="8"/>
            <color indexed="81"/>
            <rFont val="Tahoma"/>
            <family val="2"/>
          </rPr>
          <t xml:space="preserve">+$1.3MM prepayments added to earnings
</t>
        </r>
      </text>
    </comment>
    <comment ref="AU178" authorId="8">
      <text>
        <r>
          <rPr>
            <sz val="8"/>
            <color indexed="81"/>
            <rFont val="Tahoma"/>
            <family val="2"/>
          </rPr>
          <t>+33MM favourable DAC unlocking</t>
        </r>
      </text>
    </comment>
    <comment ref="BA178" authorId="4">
      <text>
        <r>
          <rPr>
            <sz val="8"/>
            <color indexed="81"/>
            <rFont val="Tahoma"/>
            <family val="2"/>
          </rPr>
          <t>$2MM abnormal investment income</t>
        </r>
      </text>
    </comment>
    <comment ref="BC178" authorId="4">
      <text>
        <r>
          <rPr>
            <sz val="8"/>
            <color indexed="81"/>
            <rFont val="Tahoma"/>
            <family val="2"/>
          </rPr>
          <t>$4M Tax benefit</t>
        </r>
      </text>
    </comment>
    <comment ref="BE178" authorId="4">
      <text>
        <r>
          <rPr>
            <sz val="8"/>
            <color indexed="81"/>
            <rFont val="Tahoma"/>
            <family val="2"/>
          </rPr>
          <t>Unfavorable investment income and expenses</t>
        </r>
      </text>
    </comment>
    <comment ref="BK178" authorId="5">
      <text>
        <r>
          <rPr>
            <b/>
            <sz val="8"/>
            <color indexed="81"/>
            <rFont val="Tahoma"/>
            <family val="2"/>
          </rPr>
          <t>haybuse:</t>
        </r>
        <r>
          <rPr>
            <sz val="8"/>
            <color indexed="81"/>
            <rFont val="Tahoma"/>
            <family val="2"/>
          </rPr>
          <t xml:space="preserve">
Prospective and Retroactive DAC unlocking</t>
        </r>
      </text>
    </comment>
    <comment ref="BO178" authorId="15">
      <text>
        <r>
          <rPr>
            <b/>
            <sz val="8"/>
            <color indexed="81"/>
            <rFont val="Tahoma"/>
            <family val="2"/>
          </rPr>
          <t>Details:</t>
        </r>
        <r>
          <rPr>
            <sz val="8"/>
            <color indexed="81"/>
            <rFont val="Tahoma"/>
            <family val="2"/>
          </rPr>
          <t xml:space="preserve">
$ 2 million negative impact due to DAC unlocking</t>
        </r>
      </text>
    </comment>
    <comment ref="BU178" authorId="5">
      <text>
        <r>
          <rPr>
            <b/>
            <sz val="8"/>
            <color indexed="81"/>
            <rFont val="Tahoma"/>
            <family val="2"/>
          </rPr>
          <t>haybuse:</t>
        </r>
        <r>
          <rPr>
            <sz val="8"/>
            <color indexed="81"/>
            <rFont val="Tahoma"/>
            <family val="2"/>
          </rPr>
          <t xml:space="preserve">
inc GMDB reserves &amp; DAC unlock partially offset by favorable tax items</t>
        </r>
      </text>
    </comment>
    <comment ref="CA178" authorId="9">
      <text>
        <r>
          <rPr>
            <b/>
            <sz val="8"/>
            <color indexed="81"/>
            <rFont val="Tahoma"/>
            <family val="2"/>
          </rPr>
          <t>johnoco:</t>
        </r>
        <r>
          <rPr>
            <sz val="8"/>
            <color indexed="81"/>
            <rFont val="Tahoma"/>
            <family val="2"/>
          </rPr>
          <t xml:space="preserve">
Positive DAC unlock</t>
        </r>
      </text>
    </comment>
    <comment ref="CC178" authorId="5">
      <text>
        <r>
          <rPr>
            <b/>
            <sz val="8"/>
            <color indexed="81"/>
            <rFont val="Tahoma"/>
            <family val="2"/>
          </rPr>
          <t>haybuse:</t>
        </r>
        <r>
          <rPr>
            <sz val="8"/>
            <color indexed="81"/>
            <rFont val="Tahoma"/>
            <family val="2"/>
          </rPr>
          <t xml:space="preserve">
tax expense true-up</t>
        </r>
      </text>
    </comment>
    <comment ref="CI178" authorId="5">
      <text>
        <r>
          <rPr>
            <b/>
            <sz val="8"/>
            <color indexed="81"/>
            <rFont val="Tahoma"/>
            <family val="2"/>
          </rPr>
          <t>haybuse:</t>
        </r>
        <r>
          <rPr>
            <sz val="8"/>
            <color indexed="81"/>
            <rFont val="Tahoma"/>
            <family val="2"/>
          </rPr>
          <t xml:space="preserve">
positive DAC unlock</t>
        </r>
      </text>
    </comment>
    <comment ref="CK178" authorId="10">
      <text>
        <r>
          <rPr>
            <b/>
            <sz val="8"/>
            <color indexed="81"/>
            <rFont val="Tahoma"/>
            <family val="2"/>
          </rPr>
          <t>mlipton:</t>
        </r>
        <r>
          <rPr>
            <sz val="8"/>
            <color indexed="81"/>
            <rFont val="Tahoma"/>
            <family val="2"/>
          </rPr>
          <t xml:space="preserve">
$4M benefit from variable excess income
$7 million negative DAC
</t>
        </r>
      </text>
    </comment>
    <comment ref="CM178" authorId="10">
      <text>
        <r>
          <rPr>
            <b/>
            <sz val="8"/>
            <color indexed="81"/>
            <rFont val="Tahoma"/>
            <family val="2"/>
          </rPr>
          <t>mlipton:</t>
        </r>
        <r>
          <rPr>
            <sz val="8"/>
            <color indexed="81"/>
            <rFont val="Tahoma"/>
            <family val="2"/>
          </rPr>
          <t xml:space="preserve">
$7M benefit from variable excess income
$2M other items</t>
        </r>
      </text>
    </comment>
    <comment ref="CO178" authorId="5">
      <text>
        <r>
          <rPr>
            <b/>
            <sz val="8"/>
            <color indexed="81"/>
            <rFont val="Tahoma"/>
            <family val="2"/>
          </rPr>
          <t>haybuse:</t>
        </r>
        <r>
          <rPr>
            <sz val="8"/>
            <color indexed="81"/>
            <rFont val="Tahoma"/>
            <family val="2"/>
          </rPr>
          <t xml:space="preserve">
$4M prepayment offset by $2M other expenses</t>
        </r>
      </text>
    </comment>
    <comment ref="CQ178" authorId="5">
      <text>
        <r>
          <rPr>
            <b/>
            <sz val="8"/>
            <color indexed="81"/>
            <rFont val="Tahoma"/>
            <family val="2"/>
          </rPr>
          <t>haybuse:</t>
        </r>
        <r>
          <rPr>
            <sz val="8"/>
            <color indexed="81"/>
            <rFont val="Tahoma"/>
            <family val="2"/>
          </rPr>
          <t xml:space="preserve">
DAC unlock</t>
        </r>
      </text>
    </comment>
    <comment ref="CW178" authorId="5">
      <text>
        <r>
          <rPr>
            <b/>
            <sz val="8"/>
            <color indexed="81"/>
            <rFont val="Tahoma"/>
            <family val="2"/>
          </rPr>
          <t>haybuse:</t>
        </r>
        <r>
          <rPr>
            <sz val="8"/>
            <color indexed="81"/>
            <rFont val="Tahoma"/>
            <family val="2"/>
          </rPr>
          <t xml:space="preserve">
partnership income</t>
        </r>
      </text>
    </comment>
    <comment ref="CY178" authorId="11">
      <text>
        <r>
          <rPr>
            <b/>
            <sz val="8"/>
            <color indexed="81"/>
            <rFont val="Tahoma"/>
            <family val="2"/>
          </rPr>
          <t>Laura Sanchez:</t>
        </r>
        <r>
          <rPr>
            <sz val="8"/>
            <color indexed="81"/>
            <rFont val="Tahoma"/>
            <family val="2"/>
          </rPr>
          <t xml:space="preserve">
DAC unlocking</t>
        </r>
      </text>
    </comment>
    <comment ref="DA178" authorId="11">
      <text>
        <r>
          <rPr>
            <b/>
            <sz val="8"/>
            <color indexed="81"/>
            <rFont val="Tahoma"/>
            <family val="2"/>
          </rPr>
          <t>Laura Sanchez:</t>
        </r>
        <r>
          <rPr>
            <sz val="8"/>
            <color indexed="81"/>
            <rFont val="Tahoma"/>
            <family val="2"/>
          </rPr>
          <t xml:space="preserve">
one time expenses</t>
        </r>
      </text>
    </comment>
    <comment ref="DC178" authorId="12">
      <text>
        <r>
          <rPr>
            <b/>
            <sz val="8"/>
            <color indexed="81"/>
            <rFont val="Tahoma"/>
            <family val="2"/>
          </rPr>
          <t>dianaz:</t>
        </r>
        <r>
          <rPr>
            <sz val="8"/>
            <color indexed="81"/>
            <rFont val="Tahoma"/>
            <family val="2"/>
          </rPr>
          <t xml:space="preserve">
prepayment investment income</t>
        </r>
      </text>
    </comment>
    <comment ref="DE178" authorId="12">
      <text>
        <r>
          <rPr>
            <b/>
            <sz val="8"/>
            <color indexed="81"/>
            <rFont val="Tahoma"/>
            <family val="2"/>
          </rPr>
          <t>dianaz:</t>
        </r>
        <r>
          <rPr>
            <sz val="8"/>
            <color indexed="81"/>
            <rFont val="Tahoma"/>
            <family val="2"/>
          </rPr>
          <t xml:space="preserve">
prepayment investment income </t>
        </r>
      </text>
    </comment>
    <comment ref="DW178" authorId="1">
      <text>
        <r>
          <rPr>
            <b/>
            <sz val="9"/>
            <color indexed="81"/>
            <rFont val="Tahoma"/>
            <family val="2"/>
          </rPr>
          <t>Gupta, Tanmay (Research):</t>
        </r>
        <r>
          <rPr>
            <sz val="9"/>
            <color indexed="81"/>
            <rFont val="Tahoma"/>
            <family val="2"/>
          </rPr>
          <t xml:space="preserve">
favorable DAC</t>
        </r>
      </text>
    </comment>
    <comment ref="EA178" authorId="1">
      <text>
        <r>
          <rPr>
            <b/>
            <sz val="9"/>
            <color indexed="81"/>
            <rFont val="Tahoma"/>
            <family val="2"/>
          </rPr>
          <t>Gupta, Tanmay (Research):</t>
        </r>
        <r>
          <rPr>
            <sz val="9"/>
            <color indexed="81"/>
            <rFont val="Tahoma"/>
            <family val="2"/>
          </rPr>
          <t xml:space="preserve">
Alt Inv Inc: $(4)mn</t>
        </r>
      </text>
    </comment>
    <comment ref="EC178" authorId="1">
      <text>
        <r>
          <rPr>
            <b/>
            <sz val="9"/>
            <color indexed="81"/>
            <rFont val="Tahoma"/>
            <family val="2"/>
          </rPr>
          <t>Gupta, Tanmay (Research):</t>
        </r>
        <r>
          <rPr>
            <sz val="9"/>
            <color indexed="81"/>
            <rFont val="Tahoma"/>
            <family val="2"/>
          </rPr>
          <t xml:space="preserve">
Alt Inv Inc: $(4)mn</t>
        </r>
      </text>
    </comment>
    <comment ref="EE178" authorId="1">
      <text>
        <r>
          <rPr>
            <b/>
            <sz val="9"/>
            <color indexed="81"/>
            <rFont val="Tahoma"/>
            <family val="2"/>
          </rPr>
          <t xml:space="preserve">Gupta, Tanmay (Research):
</t>
        </r>
        <r>
          <rPr>
            <sz val="9"/>
            <color indexed="81"/>
            <rFont val="Tahoma"/>
            <family val="2"/>
          </rPr>
          <t>Act Review: $(2)mn
VII ~ $3.1mn</t>
        </r>
      </text>
    </comment>
    <comment ref="EI178" authorId="1">
      <text>
        <r>
          <rPr>
            <b/>
            <sz val="9"/>
            <color indexed="81"/>
            <rFont val="Tahoma"/>
            <family val="2"/>
          </rPr>
          <t>Gupta, Tanmay (Research):</t>
        </r>
        <r>
          <rPr>
            <sz val="9"/>
            <color indexed="81"/>
            <rFont val="Tahoma"/>
            <family val="2"/>
          </rPr>
          <t xml:space="preserve">
One time tax adj: $2mn</t>
        </r>
      </text>
    </comment>
    <comment ref="GP179" authorId="1">
      <text>
        <r>
          <rPr>
            <b/>
            <sz val="9"/>
            <color indexed="81"/>
            <rFont val="Tahoma"/>
            <family val="2"/>
          </rPr>
          <t>Gupta, Tanmay (Research):</t>
        </r>
        <r>
          <rPr>
            <sz val="9"/>
            <color indexed="81"/>
            <rFont val="Tahoma"/>
            <family val="2"/>
          </rPr>
          <t xml:space="preserve">
2017 Investor Day: 5-8% growth</t>
        </r>
      </text>
    </comment>
    <comment ref="EA236" authorId="2">
      <text>
        <r>
          <rPr>
            <b/>
            <sz val="8"/>
            <color indexed="81"/>
            <rFont val="Tahoma"/>
            <family val="2"/>
          </rPr>
          <t>Zheng, Chaodan (Research):</t>
        </r>
        <r>
          <rPr>
            <sz val="8"/>
            <color indexed="81"/>
            <rFont val="Tahoma"/>
            <family val="2"/>
          </rPr>
          <t xml:space="preserve">
call with mgmt:
- sales down 5%: underlying mix was strong however
- really guaranteed products which were down</t>
        </r>
      </text>
    </comment>
    <comment ref="EC236" authorId="2">
      <text>
        <r>
          <rPr>
            <b/>
            <sz val="8"/>
            <color indexed="81"/>
            <rFont val="Tahoma"/>
            <family val="2"/>
          </rPr>
          <t>Zheng, Chaodan (Research):</t>
        </r>
        <r>
          <rPr>
            <sz val="8"/>
            <color indexed="81"/>
            <rFont val="Tahoma"/>
            <family val="2"/>
          </rPr>
          <t xml:space="preserve">
call with mgmt:
- sales down 5%: underlying mix was strong however
- really guaranteed products which were down</t>
        </r>
      </text>
    </comment>
    <comment ref="EC253" authorId="1">
      <text>
        <r>
          <rPr>
            <b/>
            <sz val="9"/>
            <color indexed="81"/>
            <rFont val="Tahoma"/>
            <family val="2"/>
          </rPr>
          <t>Gupta, Tanmay (Research):</t>
        </r>
        <r>
          <rPr>
            <sz val="9"/>
            <color indexed="81"/>
            <rFont val="Tahoma"/>
            <family val="2"/>
          </rPr>
          <t xml:space="preserve">
2Q16 mgmt call: VII was lower. 2/3 of VII comes through Life</t>
        </r>
      </text>
    </comment>
    <comment ref="EE253" authorId="1">
      <text>
        <r>
          <rPr>
            <b/>
            <sz val="9"/>
            <color indexed="81"/>
            <rFont val="Tahoma"/>
            <family val="2"/>
          </rPr>
          <t>Gupta, Tanmay (Research):</t>
        </r>
        <r>
          <rPr>
            <sz val="9"/>
            <color indexed="81"/>
            <rFont val="Tahoma"/>
            <family val="2"/>
          </rPr>
          <t xml:space="preserve">
2Q16 mgmt call: VII was lower. 2/3 of VII comes through Life</t>
        </r>
      </text>
    </comment>
    <comment ref="EG253" authorId="1">
      <text>
        <r>
          <rPr>
            <b/>
            <sz val="9"/>
            <color indexed="81"/>
            <rFont val="Tahoma"/>
            <family val="2"/>
          </rPr>
          <t>Gupta, Tanmay (Research):</t>
        </r>
        <r>
          <rPr>
            <sz val="9"/>
            <color indexed="81"/>
            <rFont val="Tahoma"/>
            <family val="2"/>
          </rPr>
          <t xml:space="preserve">
2Q16 mgmt call: VII was lower. 2/3 of VII comes through Life</t>
        </r>
      </text>
    </comment>
    <comment ref="EI253" authorId="1">
      <text>
        <r>
          <rPr>
            <b/>
            <sz val="9"/>
            <color indexed="81"/>
            <rFont val="Tahoma"/>
            <family val="2"/>
          </rPr>
          <t>Gupta, Tanmay (Research):</t>
        </r>
        <r>
          <rPr>
            <sz val="9"/>
            <color indexed="81"/>
            <rFont val="Tahoma"/>
            <family val="2"/>
          </rPr>
          <t xml:space="preserve">
2Q16 mgmt call: VII was lower. 2/3 of VII comes through Life</t>
        </r>
      </text>
    </comment>
    <comment ref="EA267" authorId="14">
      <text>
        <r>
          <rPr>
            <b/>
            <sz val="9"/>
            <color indexed="81"/>
            <rFont val="Tahoma"/>
            <family val="2"/>
          </rPr>
          <t>Sanchez Bolanos, Laura (Research):</t>
        </r>
        <r>
          <rPr>
            <sz val="9"/>
            <color indexed="81"/>
            <rFont val="Tahoma"/>
            <family val="2"/>
          </rPr>
          <t xml:space="preserve">
seasonality</t>
        </r>
      </text>
    </comment>
    <comment ref="EQ267" authorId="14">
      <text>
        <r>
          <rPr>
            <b/>
            <sz val="9"/>
            <color indexed="81"/>
            <rFont val="Tahoma"/>
            <family val="2"/>
          </rPr>
          <t>Sanchez Bolanos, Laura (Research):</t>
        </r>
        <r>
          <rPr>
            <sz val="9"/>
            <color indexed="81"/>
            <rFont val="Tahoma"/>
            <family val="2"/>
          </rPr>
          <t xml:space="preserve">
seasonality</t>
        </r>
      </text>
    </comment>
    <comment ref="O271" authorId="16">
      <text>
        <r>
          <rPr>
            <sz val="8"/>
            <color indexed="81"/>
            <rFont val="Tahoma"/>
            <family val="2"/>
          </rPr>
          <t>Includes $1m of taxes related to addback of life wtc claims</t>
        </r>
      </text>
    </comment>
    <comment ref="GP272" authorId="6">
      <text>
        <r>
          <rPr>
            <b/>
            <sz val="9"/>
            <color indexed="81"/>
            <rFont val="Tahoma"/>
            <family val="2"/>
          </rPr>
          <t>Huang, Bob (Research):</t>
        </r>
        <r>
          <rPr>
            <sz val="9"/>
            <color indexed="81"/>
            <rFont val="Tahoma"/>
            <family val="2"/>
          </rPr>
          <t xml:space="preserve">
4Q17 call: 19-21%</t>
        </r>
      </text>
    </comment>
    <comment ref="AE273" authorId="17">
      <text>
        <r>
          <rPr>
            <sz val="9"/>
            <color indexed="81"/>
            <rFont val="Tahoma"/>
            <family val="2"/>
          </rPr>
          <t>Earnings include a $10.5 million DAC unlocking.</t>
        </r>
      </text>
    </comment>
    <comment ref="AQ273" authorId="18">
      <text>
        <r>
          <rPr>
            <sz val="8"/>
            <color indexed="81"/>
            <rFont val="Tahoma"/>
            <family val="2"/>
          </rPr>
          <t>Higher amort of DAC and unfavorable mortality of $4 million, guidance says $3 million abnormal, $70.7 run rate.</t>
        </r>
      </text>
    </comment>
    <comment ref="AS273" authorId="18">
      <text>
        <r>
          <rPr>
            <sz val="8"/>
            <color indexed="81"/>
            <rFont val="Tahoma"/>
            <family val="2"/>
          </rPr>
          <t>Run rate $72.8MM.  Includes -$2MM of adverse mortality and $5 MM of abnormally high investment income.</t>
        </r>
      </text>
    </comment>
    <comment ref="AU273" authorId="4">
      <text>
        <r>
          <rPr>
            <sz val="8"/>
            <color indexed="81"/>
            <rFont val="Tahoma"/>
            <family val="2"/>
          </rPr>
          <t>Run rate $72.1MM.  DAC unlocking booseted results by $3 million</t>
        </r>
      </text>
    </comment>
    <comment ref="AW273" authorId="4">
      <text>
        <r>
          <rPr>
            <sz val="8"/>
            <color indexed="81"/>
            <rFont val="Tahoma"/>
            <family val="2"/>
          </rPr>
          <t>Run rate $72.1MM.  DAC unlocking booseted results by $3 million</t>
        </r>
      </text>
    </comment>
    <comment ref="AY273" authorId="4">
      <text>
        <r>
          <rPr>
            <sz val="8"/>
            <color indexed="81"/>
            <rFont val="Tahoma"/>
            <family val="2"/>
          </rPr>
          <t>$3MM net positive items, including favorable mortality and better than expected invt income</t>
        </r>
      </text>
    </comment>
    <comment ref="BA273" authorId="4">
      <text>
        <r>
          <rPr>
            <sz val="8"/>
            <color indexed="81"/>
            <rFont val="Tahoma"/>
            <family val="2"/>
          </rPr>
          <t>$3MM net positive items, including favorable mortality and better than expected invt income</t>
        </r>
      </text>
    </comment>
    <comment ref="EA273" authorId="2">
      <text>
        <r>
          <rPr>
            <b/>
            <sz val="8"/>
            <color indexed="81"/>
            <rFont val="Tahoma"/>
            <family val="2"/>
          </rPr>
          <t>Zheng, Chaodan (Research):</t>
        </r>
        <r>
          <rPr>
            <sz val="8"/>
            <color indexed="81"/>
            <rFont val="Tahoma"/>
            <family val="2"/>
          </rPr>
          <t xml:space="preserve">
call with mgmt:
- $17 million from alts
- $30 million of adverse mortality, $10 million above typical for 1Q
- expect higher frequency, refelcted the $20 million, rest was severity</t>
        </r>
      </text>
    </comment>
    <comment ref="EC273" authorId="1">
      <text>
        <r>
          <rPr>
            <b/>
            <sz val="9"/>
            <color indexed="81"/>
            <rFont val="Tahoma"/>
            <family val="2"/>
          </rPr>
          <t>Gupta, Tanmay (Research):</t>
        </r>
        <r>
          <rPr>
            <sz val="9"/>
            <color indexed="81"/>
            <rFont val="Tahoma"/>
            <family val="2"/>
          </rPr>
          <t xml:space="preserve">
2Q16 Mgmt call: Mortality was in-line. </t>
        </r>
      </text>
    </comment>
    <comment ref="EE273" authorId="1">
      <text>
        <r>
          <rPr>
            <b/>
            <sz val="9"/>
            <color indexed="81"/>
            <rFont val="Tahoma"/>
            <family val="2"/>
          </rPr>
          <t>Gupta, Tanmay (Research):</t>
        </r>
        <r>
          <rPr>
            <sz val="9"/>
            <color indexed="81"/>
            <rFont val="Tahoma"/>
            <family val="2"/>
          </rPr>
          <t xml:space="preserve">
2Q16 Mgmt call: Mortality was in-line. </t>
        </r>
      </text>
    </comment>
    <comment ref="EG273" authorId="1">
      <text>
        <r>
          <rPr>
            <b/>
            <sz val="9"/>
            <color indexed="81"/>
            <rFont val="Tahoma"/>
            <family val="2"/>
          </rPr>
          <t>Gupta, Tanmay (Research):</t>
        </r>
        <r>
          <rPr>
            <sz val="9"/>
            <color indexed="81"/>
            <rFont val="Tahoma"/>
            <family val="2"/>
          </rPr>
          <t xml:space="preserve">
4Q16 Call: $125mn/Q run-rate. About $10mn benefit from mortality. Stronger VII. Earnings weak in 1st half and makes up in 2nd half.</t>
        </r>
      </text>
    </comment>
    <comment ref="EI273" authorId="1">
      <text>
        <r>
          <rPr>
            <b/>
            <sz val="9"/>
            <color indexed="81"/>
            <rFont val="Tahoma"/>
            <family val="2"/>
          </rPr>
          <t>Gupta, Tanmay (Research):</t>
        </r>
        <r>
          <rPr>
            <sz val="9"/>
            <color indexed="81"/>
            <rFont val="Tahoma"/>
            <family val="2"/>
          </rPr>
          <t xml:space="preserve">
4Q16 Call: $125mn/Q run-rate. About $10mn benefit from mortality. Stronger VII. Earnings weak in 1st half and makes up in 2nd half.</t>
        </r>
      </text>
    </comment>
    <comment ref="GH273" authorId="14">
      <text>
        <r>
          <rPr>
            <b/>
            <sz val="9"/>
            <color indexed="81"/>
            <rFont val="Tahoma"/>
            <family val="2"/>
          </rPr>
          <t>Sanchez Bolanos, Laura (Research):</t>
        </r>
        <r>
          <rPr>
            <sz val="9"/>
            <color indexed="81"/>
            <rFont val="Tahoma"/>
            <family val="2"/>
          </rPr>
          <t xml:space="preserve">
adjusted by 1mn to match 4Q14 supplement (quarters' data seems to match supplement)</t>
        </r>
      </text>
    </comment>
    <comment ref="GJ273" authorId="1">
      <text>
        <r>
          <rPr>
            <b/>
            <sz val="9"/>
            <color indexed="81"/>
            <rFont val="Tahoma"/>
            <family val="2"/>
          </rPr>
          <t>Gupta, Tanmay (Research):</t>
        </r>
        <r>
          <rPr>
            <sz val="9"/>
            <color indexed="81"/>
            <rFont val="Tahoma"/>
            <family val="2"/>
          </rPr>
          <t xml:space="preserve">
2Q15: Quarterly run-rate in mid 130's range</t>
        </r>
      </text>
    </comment>
    <comment ref="GL273" authorId="1">
      <text>
        <r>
          <rPr>
            <b/>
            <sz val="9"/>
            <color indexed="81"/>
            <rFont val="Calibri"/>
            <family val="2"/>
            <scheme val="minor"/>
          </rPr>
          <t>Gupta, Tanmay (Research):</t>
        </r>
        <r>
          <rPr>
            <sz val="9"/>
            <color indexed="81"/>
            <rFont val="Calibri"/>
            <family val="2"/>
            <scheme val="minor"/>
          </rPr>
          <t xml:space="preserve">
2Q16 mgmt call: Quarterly run-rate ~ $125mn</t>
        </r>
      </text>
    </comment>
    <comment ref="AQ274" authorId="8">
      <text>
        <r>
          <rPr>
            <sz val="8"/>
            <color indexed="81"/>
            <rFont val="Tahoma"/>
            <family val="2"/>
          </rPr>
          <t>-$4MM adverse mortality in life insurance</t>
        </r>
      </text>
    </comment>
    <comment ref="AS274" authorId="8">
      <text>
        <r>
          <rPr>
            <sz val="8"/>
            <color indexed="81"/>
            <rFont val="Tahoma"/>
            <family val="2"/>
          </rPr>
          <t>-$2MM adverse mortality
+5MM abnormal investment income</t>
        </r>
      </text>
    </comment>
    <comment ref="AU274" authorId="8">
      <text>
        <r>
          <rPr>
            <sz val="8"/>
            <color indexed="81"/>
            <rFont val="Tahoma"/>
            <family val="2"/>
          </rPr>
          <t>+$3MM DAC unlocking benefit</t>
        </r>
      </text>
    </comment>
    <comment ref="BC274" authorId="4">
      <text>
        <r>
          <rPr>
            <sz val="8"/>
            <color indexed="81"/>
            <rFont val="Tahoma"/>
            <family val="2"/>
          </rPr>
          <t>-$13M DAC Adj
-$4 Poor Investments</t>
        </r>
      </text>
    </comment>
    <comment ref="BE274" authorId="4">
      <text>
        <r>
          <rPr>
            <sz val="8"/>
            <color indexed="81"/>
            <rFont val="Tahoma"/>
            <family val="2"/>
          </rPr>
          <t>Favorable investment income and mortality</t>
        </r>
      </text>
    </comment>
    <comment ref="BG274" authorId="4">
      <text>
        <r>
          <rPr>
            <sz val="8"/>
            <color indexed="81"/>
            <rFont val="Tahoma"/>
            <family val="2"/>
          </rPr>
          <t>+$11M from better than expected invt income and DAC unlocking</t>
        </r>
      </text>
    </comment>
    <comment ref="BK274" authorId="5">
      <text>
        <r>
          <rPr>
            <b/>
            <sz val="8"/>
            <color indexed="81"/>
            <rFont val="Tahoma"/>
            <family val="2"/>
          </rPr>
          <t>haybuse:</t>
        </r>
        <r>
          <rPr>
            <sz val="8"/>
            <color indexed="81"/>
            <rFont val="Tahoma"/>
            <family val="2"/>
          </rPr>
          <t xml:space="preserve">
positive DAC unlocking</t>
        </r>
      </text>
    </comment>
    <comment ref="BM274" authorId="5">
      <text>
        <r>
          <rPr>
            <sz val="8"/>
            <color indexed="81"/>
            <rFont val="Tahoma"/>
            <family val="2"/>
          </rPr>
          <t>Hedge program, DAC unlocking, and the impact of FAS 133 on fair value accounting on liabilities related to indexed annuity products</t>
        </r>
      </text>
    </comment>
    <comment ref="BO274" authorId="5">
      <text>
        <r>
          <rPr>
            <sz val="8"/>
            <color indexed="81"/>
            <rFont val="Tahoma"/>
            <family val="2"/>
          </rPr>
          <t>$ 9 millioin impact due to negative DAC unlocking</t>
        </r>
      </text>
    </comment>
    <comment ref="BS274" authorId="5">
      <text>
        <r>
          <rPr>
            <b/>
            <sz val="8"/>
            <color indexed="81"/>
            <rFont val="Tahoma"/>
            <family val="2"/>
          </rPr>
          <t>haybuse:</t>
        </r>
        <r>
          <rPr>
            <sz val="8"/>
            <color indexed="81"/>
            <rFont val="Tahoma"/>
            <family val="2"/>
          </rPr>
          <t xml:space="preserve">
unfavorable actualrial model adjustments</t>
        </r>
      </text>
    </comment>
    <comment ref="BU274" authorId="5">
      <text>
        <r>
          <rPr>
            <b/>
            <sz val="8"/>
            <color indexed="81"/>
            <rFont val="Tahoma"/>
            <family val="2"/>
          </rPr>
          <t>haybuse:</t>
        </r>
        <r>
          <rPr>
            <sz val="8"/>
            <color indexed="81"/>
            <rFont val="Tahoma"/>
            <family val="2"/>
          </rPr>
          <t xml:space="preserve">
unfavorable mortality &amp; DAC unlocking</t>
        </r>
      </text>
    </comment>
    <comment ref="CA274" authorId="9">
      <text>
        <r>
          <rPr>
            <b/>
            <sz val="8"/>
            <color indexed="81"/>
            <rFont val="Tahoma"/>
            <family val="2"/>
          </rPr>
          <t>johnoco:</t>
        </r>
        <r>
          <rPr>
            <sz val="8"/>
            <color indexed="81"/>
            <rFont val="Tahoma"/>
            <family val="2"/>
          </rPr>
          <t xml:space="preserve">
Negative DAC unlock</t>
        </r>
      </text>
    </comment>
    <comment ref="CE274" authorId="5">
      <text>
        <r>
          <rPr>
            <b/>
            <sz val="8"/>
            <color indexed="81"/>
            <rFont val="Tahoma"/>
            <family val="2"/>
          </rPr>
          <t>haybuse:</t>
        </r>
        <r>
          <rPr>
            <sz val="8"/>
            <color indexed="81"/>
            <rFont val="Tahoma"/>
            <family val="2"/>
          </rPr>
          <t xml:space="preserve">
unfavorable mortality</t>
        </r>
      </text>
    </comment>
    <comment ref="CI274" authorId="5">
      <text>
        <r>
          <rPr>
            <b/>
            <sz val="8"/>
            <color indexed="81"/>
            <rFont val="Tahoma"/>
            <family val="2"/>
          </rPr>
          <t>haybuse:</t>
        </r>
        <r>
          <rPr>
            <sz val="8"/>
            <color indexed="81"/>
            <rFont val="Tahoma"/>
            <family val="2"/>
          </rPr>
          <t xml:space="preserve">
$82M neg DAC (incl -114M from chg yield assumptiosn) and $10M adverse mortality</t>
        </r>
      </text>
    </comment>
    <comment ref="CK274" authorId="10">
      <text>
        <r>
          <rPr>
            <b/>
            <sz val="8"/>
            <color indexed="81"/>
            <rFont val="Tahoma"/>
            <family val="2"/>
          </rPr>
          <t>mlipton:</t>
        </r>
        <r>
          <rPr>
            <sz val="8"/>
            <color indexed="81"/>
            <rFont val="Tahoma"/>
            <family val="2"/>
          </rPr>
          <t xml:space="preserve">
Excess variable income</t>
        </r>
      </text>
    </comment>
    <comment ref="CM274" authorId="10">
      <text>
        <r>
          <rPr>
            <b/>
            <sz val="8"/>
            <color indexed="81"/>
            <rFont val="Tahoma"/>
            <family val="2"/>
          </rPr>
          <t>mlipton:</t>
        </r>
        <r>
          <rPr>
            <sz val="8"/>
            <color indexed="81"/>
            <rFont val="Tahoma"/>
            <family val="2"/>
          </rPr>
          <t xml:space="preserve">
$8M Excess variable income.
$6M Favorable Mortality</t>
        </r>
      </text>
    </comment>
    <comment ref="CO274" authorId="5">
      <text>
        <r>
          <rPr>
            <b/>
            <sz val="8"/>
            <color indexed="81"/>
            <rFont val="Tahoma"/>
            <family val="2"/>
          </rPr>
          <t>haybuse:</t>
        </r>
        <r>
          <rPr>
            <sz val="8"/>
            <color indexed="81"/>
            <rFont val="Tahoma"/>
            <family val="2"/>
          </rPr>
          <t xml:space="preserve">
$5M favorable investment income offset by $4 M of other items</t>
        </r>
      </text>
    </comment>
    <comment ref="CQ274" authorId="5">
      <text>
        <r>
          <rPr>
            <b/>
            <sz val="8"/>
            <color indexed="81"/>
            <rFont val="Tahoma"/>
            <family val="2"/>
          </rPr>
          <t>haybuse:</t>
        </r>
        <r>
          <rPr>
            <sz val="8"/>
            <color indexed="81"/>
            <rFont val="Tahoma"/>
            <family val="2"/>
          </rPr>
          <t xml:space="preserve">
DAC unlock including -26M related to resetting of NMY
Excludes mortality impact by 8M</t>
        </r>
      </text>
    </comment>
    <comment ref="CS274" authorId="5">
      <text>
        <r>
          <rPr>
            <b/>
            <sz val="8"/>
            <color indexed="81"/>
            <rFont val="Tahoma"/>
            <family val="2"/>
          </rPr>
          <t>haybuse:</t>
        </r>
        <r>
          <rPr>
            <sz val="8"/>
            <color indexed="81"/>
            <rFont val="Tahoma"/>
            <family val="2"/>
          </rPr>
          <t xml:space="preserve">
DAC</t>
        </r>
      </text>
    </comment>
    <comment ref="CY274" authorId="11">
      <text>
        <r>
          <rPr>
            <b/>
            <sz val="8"/>
            <color indexed="81"/>
            <rFont val="Tahoma"/>
            <family val="2"/>
          </rPr>
          <t>Laura Sanchez:</t>
        </r>
        <r>
          <rPr>
            <sz val="8"/>
            <color indexed="81"/>
            <rFont val="Tahoma"/>
            <family val="2"/>
          </rPr>
          <t xml:space="preserve">
DAC unlocking and tax adjustments</t>
        </r>
      </text>
    </comment>
    <comment ref="DA274" authorId="11">
      <text>
        <r>
          <rPr>
            <b/>
            <sz val="8"/>
            <color indexed="81"/>
            <rFont val="Tahoma"/>
            <family val="2"/>
          </rPr>
          <t>Laura Sanchez:</t>
        </r>
        <r>
          <rPr>
            <sz val="8"/>
            <color indexed="81"/>
            <rFont val="Tahoma"/>
            <family val="2"/>
          </rPr>
          <t xml:space="preserve">
NII and taxes</t>
        </r>
      </text>
    </comment>
    <comment ref="DC274" authorId="12">
      <text>
        <r>
          <rPr>
            <b/>
            <sz val="8"/>
            <color indexed="81"/>
            <rFont val="Tahoma"/>
            <family val="2"/>
          </rPr>
          <t>dianaz:</t>
        </r>
        <r>
          <rPr>
            <sz val="8"/>
            <color indexed="81"/>
            <rFont val="Tahoma"/>
            <family val="2"/>
          </rPr>
          <t xml:space="preserve">
alternative investment income </t>
        </r>
      </text>
    </comment>
    <comment ref="DE274" authorId="12">
      <text>
        <r>
          <rPr>
            <b/>
            <sz val="8"/>
            <color indexed="81"/>
            <rFont val="Tahoma"/>
            <family val="2"/>
          </rPr>
          <t>dianaz:</t>
        </r>
        <r>
          <rPr>
            <sz val="8"/>
            <color indexed="81"/>
            <rFont val="Tahoma"/>
            <family val="2"/>
          </rPr>
          <t xml:space="preserve">
prepayment and alternative investment income</t>
        </r>
      </text>
    </comment>
    <comment ref="DG274" authorId="13">
      <text>
        <r>
          <rPr>
            <b/>
            <sz val="8"/>
            <color indexed="81"/>
            <rFont val="Tahoma"/>
            <family val="2"/>
          </rPr>
          <t>gohilcha:</t>
        </r>
        <r>
          <rPr>
            <sz val="8"/>
            <color indexed="81"/>
            <rFont val="Tahoma"/>
            <family val="2"/>
          </rPr>
          <t xml:space="preserve">
Favorable DAC unlocking.</t>
        </r>
      </text>
    </comment>
    <comment ref="DI274" authorId="13">
      <text>
        <r>
          <rPr>
            <b/>
            <sz val="8"/>
            <color indexed="81"/>
            <rFont val="Tahoma"/>
            <family val="2"/>
          </rPr>
          <t xml:space="preserve">Chai Gohil:
</t>
        </r>
        <r>
          <rPr>
            <sz val="8"/>
            <color indexed="81"/>
            <rFont val="Tahoma"/>
            <family val="2"/>
          </rPr>
          <t>Favorable items primarily related to reserve adj</t>
        </r>
      </text>
    </comment>
    <comment ref="DK274" authorId="12">
      <text>
        <r>
          <rPr>
            <b/>
            <sz val="8"/>
            <color indexed="81"/>
            <rFont val="Tahoma"/>
            <family val="2"/>
          </rPr>
          <t>dianaz:</t>
        </r>
        <r>
          <rPr>
            <sz val="8"/>
            <color indexed="81"/>
            <rFont val="Tahoma"/>
            <family val="2"/>
          </rPr>
          <t xml:space="preserve">
Elevated mortality, partially offset by strong
alternative investment income.</t>
        </r>
      </text>
    </comment>
    <comment ref="DM274" authorId="19">
      <text>
        <r>
          <rPr>
            <b/>
            <sz val="9"/>
            <color indexed="81"/>
            <rFont val="Tahoma"/>
            <family val="2"/>
          </rPr>
          <t>Zamora, Diana (Research):</t>
        </r>
        <r>
          <rPr>
            <sz val="9"/>
            <color indexed="81"/>
            <rFont val="Tahoma"/>
            <family val="2"/>
          </rPr>
          <t xml:space="preserve">
net favorable related primarily to expenses</t>
        </r>
      </text>
    </comment>
    <comment ref="DQ274" authorId="19">
      <text>
        <r>
          <rPr>
            <b/>
            <sz val="9"/>
            <color indexed="81"/>
            <rFont val="Tahoma"/>
            <family val="2"/>
          </rPr>
          <t>Zamora, Diana (Research):</t>
        </r>
        <r>
          <rPr>
            <sz val="9"/>
            <color indexed="81"/>
            <rFont val="Tahoma"/>
            <family val="2"/>
          </rPr>
          <t xml:space="preserve">
related to insurance agreement</t>
        </r>
      </text>
    </comment>
    <comment ref="DW274" authorId="1">
      <text>
        <r>
          <rPr>
            <b/>
            <sz val="9"/>
            <color indexed="81"/>
            <rFont val="Tahoma"/>
            <family val="2"/>
          </rPr>
          <t>Gupta, Tanmay (Research):</t>
        </r>
        <r>
          <rPr>
            <sz val="9"/>
            <color indexed="81"/>
            <rFont val="Tahoma"/>
            <family val="2"/>
          </rPr>
          <t xml:space="preserve">
unfavorable DAC unlocking</t>
        </r>
      </text>
    </comment>
    <comment ref="EA274" authorId="1">
      <text>
        <r>
          <rPr>
            <b/>
            <sz val="9"/>
            <color indexed="81"/>
            <rFont val="Tahoma"/>
            <family val="2"/>
          </rPr>
          <t>Gupta, Tanmay (Research):</t>
        </r>
        <r>
          <rPr>
            <sz val="9"/>
            <color indexed="81"/>
            <rFont val="Tahoma"/>
            <family val="2"/>
          </rPr>
          <t xml:space="preserve">
Alt Inv Inc: $(17)mn
Adv Mort: $(30)mn</t>
        </r>
      </text>
    </comment>
    <comment ref="EC274" authorId="1">
      <text>
        <r>
          <rPr>
            <b/>
            <sz val="9"/>
            <color indexed="81"/>
            <rFont val="Tahoma"/>
            <family val="2"/>
          </rPr>
          <t>Gupta, Tanmay (Research):</t>
        </r>
        <r>
          <rPr>
            <sz val="9"/>
            <color indexed="81"/>
            <rFont val="Tahoma"/>
            <family val="2"/>
          </rPr>
          <t xml:space="preserve">
Alt Inv Inc: $(17)mn
Adv Mort: $(30)mn</t>
        </r>
      </text>
    </comment>
    <comment ref="EE274" authorId="1">
      <text>
        <r>
          <rPr>
            <b/>
            <sz val="9"/>
            <color indexed="81"/>
            <rFont val="Tahoma"/>
            <family val="2"/>
          </rPr>
          <t>Gupta, Tanmay (Research):</t>
        </r>
        <r>
          <rPr>
            <sz val="9"/>
            <color indexed="81"/>
            <rFont val="Tahoma"/>
            <family val="2"/>
          </rPr>
          <t xml:space="preserve">
Act Review: $17mn
VII above plan: $12.5mn</t>
        </r>
      </text>
    </comment>
    <comment ref="EI274" authorId="1">
      <text>
        <r>
          <rPr>
            <b/>
            <sz val="9"/>
            <color indexed="81"/>
            <rFont val="Tahoma"/>
            <family val="2"/>
          </rPr>
          <t>Gupta, Tanmay (Research):</t>
        </r>
        <r>
          <rPr>
            <sz val="9"/>
            <color indexed="81"/>
            <rFont val="Tahoma"/>
            <family val="2"/>
          </rPr>
          <t xml:space="preserve">
One time tax adj: $2mn</t>
        </r>
      </text>
    </comment>
    <comment ref="DI275" authorId="20">
      <text>
        <r>
          <rPr>
            <b/>
            <sz val="8"/>
            <color indexed="81"/>
            <rFont val="Tahoma"/>
            <family val="2"/>
          </rPr>
          <t>hayleyl:</t>
        </r>
        <r>
          <rPr>
            <sz val="8"/>
            <color indexed="81"/>
            <rFont val="Tahoma"/>
            <family val="2"/>
          </rPr>
          <t xml:space="preserve">
favorable mortality added $9M</t>
        </r>
      </text>
    </comment>
    <comment ref="GP275" authorId="1">
      <text>
        <r>
          <rPr>
            <b/>
            <sz val="9"/>
            <color indexed="81"/>
            <rFont val="Tahoma"/>
            <family val="2"/>
          </rPr>
          <t>Gupta, Tanmay (Research):</t>
        </r>
        <r>
          <rPr>
            <sz val="9"/>
            <color indexed="81"/>
            <rFont val="Tahoma"/>
            <family val="2"/>
          </rPr>
          <t xml:space="preserve">
2017 Investor Day: 2-4% growth</t>
        </r>
      </text>
    </comment>
    <comment ref="AI285" authorId="17">
      <text>
        <r>
          <rPr>
            <sz val="8"/>
            <color indexed="81"/>
            <rFont val="Tahoma"/>
            <family val="2"/>
          </rPr>
          <t>Includes 1 month of Canada Life</t>
        </r>
      </text>
    </comment>
    <comment ref="EA285" authorId="2">
      <text>
        <r>
          <rPr>
            <b/>
            <sz val="8"/>
            <color indexed="81"/>
            <rFont val="Tahoma"/>
            <family val="2"/>
          </rPr>
          <t>Zheng, Chaodan (Research):</t>
        </r>
        <r>
          <rPr>
            <sz val="8"/>
            <color indexed="81"/>
            <rFont val="Tahoma"/>
            <family val="2"/>
          </rPr>
          <t xml:space="preserve">
call with mgmt:
- sales up 5% for the first time since 2013</t>
        </r>
      </text>
    </comment>
    <comment ref="EC285" authorId="2">
      <text>
        <r>
          <rPr>
            <b/>
            <sz val="8"/>
            <color indexed="81"/>
            <rFont val="Tahoma"/>
            <family val="2"/>
          </rPr>
          <t>Zheng, Chaodan (Research):</t>
        </r>
        <r>
          <rPr>
            <sz val="8"/>
            <color indexed="81"/>
            <rFont val="Tahoma"/>
            <family val="2"/>
          </rPr>
          <t xml:space="preserve">
call with mgmt:
- sales up 5% for the first time since 2013</t>
        </r>
      </text>
    </comment>
    <comment ref="EU285" authorId="1">
      <text>
        <r>
          <rPr>
            <b/>
            <sz val="9"/>
            <color indexed="81"/>
            <rFont val="Tahoma"/>
            <family val="2"/>
          </rPr>
          <t>Gupta, Tanmay (Research):</t>
        </r>
        <r>
          <rPr>
            <sz val="9"/>
            <color indexed="81"/>
            <rFont val="Tahoma"/>
            <family val="2"/>
          </rPr>
          <t xml:space="preserve">
acquisition of Liberty Life</t>
        </r>
      </text>
    </comment>
    <comment ref="FP285" authorId="21">
      <text>
        <r>
          <rPr>
            <sz val="8"/>
            <color indexed="81"/>
            <rFont val="Tahoma"/>
            <family val="2"/>
          </rPr>
          <t>Premiums assume $900M prior to the Canada Life acq plus the $350M in add'l prems.  The Y/Y growth rate takes into account it only affected 2004 for 10 months of the year.</t>
        </r>
      </text>
    </comment>
    <comment ref="GN285" authorId="1">
      <text>
        <r>
          <rPr>
            <b/>
            <sz val="9"/>
            <color indexed="81"/>
            <rFont val="Calibri"/>
            <family val="2"/>
            <scheme val="minor"/>
          </rPr>
          <t>Gupta, Tanmay (Research):</t>
        </r>
        <r>
          <rPr>
            <sz val="9"/>
            <color indexed="81"/>
            <rFont val="Calibri"/>
            <family val="2"/>
            <scheme val="minor"/>
          </rPr>
          <t xml:space="preserve">
2Q16: Expect premiums to stabilize in the back half of the year and premium growth to reemerge in 2017</t>
        </r>
      </text>
    </comment>
    <comment ref="CS287" authorId="0">
      <text>
        <r>
          <rPr>
            <b/>
            <sz val="8"/>
            <color indexed="81"/>
            <rFont val="Tahoma"/>
            <family val="2"/>
          </rPr>
          <t>sanclaur:</t>
        </r>
        <r>
          <rPr>
            <sz val="8"/>
            <color indexed="81"/>
            <rFont val="Tahoma"/>
            <family val="2"/>
          </rPr>
          <t xml:space="preserve">
restated</t>
        </r>
      </text>
    </comment>
    <comment ref="EA302" authorId="1">
      <text>
        <r>
          <rPr>
            <b/>
            <sz val="9"/>
            <color indexed="81"/>
            <rFont val="Tahoma"/>
            <family val="2"/>
          </rPr>
          <t>Gupta, Tanmay (Research):</t>
        </r>
        <r>
          <rPr>
            <sz val="9"/>
            <color indexed="81"/>
            <rFont val="Tahoma"/>
            <family val="2"/>
          </rPr>
          <t xml:space="preserve">
$18mn of accelerated DAC amortization</t>
        </r>
      </text>
    </comment>
    <comment ref="EK302" authorId="1">
      <text>
        <r>
          <rPr>
            <b/>
            <sz val="9"/>
            <color indexed="81"/>
            <rFont val="Tahoma"/>
            <family val="2"/>
          </rPr>
          <t>Gupta, Tanmay (Research):</t>
        </r>
        <r>
          <rPr>
            <sz val="9"/>
            <color indexed="81"/>
            <rFont val="Tahoma"/>
            <family val="2"/>
          </rPr>
          <t xml:space="preserve">
2Q17 guid: expense ratio will come down a little bit in later years</t>
        </r>
      </text>
    </comment>
    <comment ref="EM302" authorId="1">
      <text>
        <r>
          <rPr>
            <b/>
            <sz val="9"/>
            <color indexed="81"/>
            <rFont val="Tahoma"/>
            <family val="2"/>
          </rPr>
          <t>Gupta, Tanmay (Research):</t>
        </r>
        <r>
          <rPr>
            <sz val="9"/>
            <color indexed="81"/>
            <rFont val="Tahoma"/>
            <family val="2"/>
          </rPr>
          <t xml:space="preserve">
2Q17 guid: expense ratio will come down a little bit in later years</t>
        </r>
      </text>
    </comment>
    <comment ref="EO302" authorId="1">
      <text>
        <r>
          <rPr>
            <b/>
            <sz val="9"/>
            <color indexed="81"/>
            <rFont val="Tahoma"/>
            <family val="2"/>
          </rPr>
          <t>Gupta, Tanmay (Research):</t>
        </r>
        <r>
          <rPr>
            <sz val="9"/>
            <color indexed="81"/>
            <rFont val="Tahoma"/>
            <family val="2"/>
          </rPr>
          <t xml:space="preserve">
2Q17 guid: expense ratio will come down a little bit in later years</t>
        </r>
      </text>
    </comment>
    <comment ref="GT302" authorId="1">
      <text>
        <r>
          <rPr>
            <b/>
            <sz val="9"/>
            <color indexed="81"/>
            <rFont val="Tahoma"/>
            <family val="2"/>
          </rPr>
          <t>Gupta, Tanmay (Research):</t>
        </r>
        <r>
          <rPr>
            <sz val="9"/>
            <color indexed="81"/>
            <rFont val="Tahoma"/>
            <family val="2"/>
          </rPr>
          <t xml:space="preserve">
Cost Saves ~ $100mn PT. </t>
        </r>
      </text>
    </comment>
    <comment ref="EA303" authorId="2">
      <text>
        <r>
          <rPr>
            <b/>
            <sz val="8"/>
            <color indexed="81"/>
            <rFont val="Tahoma"/>
            <family val="2"/>
          </rPr>
          <t>Zheng, Chaodan (Research):</t>
        </r>
        <r>
          <rPr>
            <sz val="8"/>
            <color indexed="81"/>
            <rFont val="Tahoma"/>
            <family val="2"/>
          </rPr>
          <t xml:space="preserve">
call with mgmt:
- sub-70s probably not sustainable</t>
        </r>
      </text>
    </comment>
    <comment ref="EC303" authorId="2">
      <text>
        <r>
          <rPr>
            <b/>
            <sz val="9"/>
            <color indexed="81"/>
            <rFont val="Calibri"/>
            <family val="2"/>
            <scheme val="minor"/>
          </rPr>
          <t>Zheng, Chaodan (Research):</t>
        </r>
        <r>
          <rPr>
            <sz val="9"/>
            <color indexed="81"/>
            <rFont val="Calibri"/>
            <family val="2"/>
            <scheme val="minor"/>
          </rPr>
          <t xml:space="preserve">
2Q16 call with mgmt:
In line with expectation. Probably low 70's</t>
        </r>
      </text>
    </comment>
    <comment ref="EE303" authorId="2">
      <text>
        <r>
          <rPr>
            <b/>
            <sz val="9"/>
            <color indexed="81"/>
            <rFont val="Calibri"/>
            <family val="2"/>
            <scheme val="minor"/>
          </rPr>
          <t>Zheng, Chaodan (Research):</t>
        </r>
        <r>
          <rPr>
            <sz val="9"/>
            <color indexed="81"/>
            <rFont val="Calibri"/>
            <family val="2"/>
            <scheme val="minor"/>
          </rPr>
          <t xml:space="preserve">
2Q16 call with mgmt:
In line with expectation. Probably low 70's</t>
        </r>
      </text>
    </comment>
    <comment ref="EG303" authorId="2">
      <text>
        <r>
          <rPr>
            <b/>
            <sz val="9"/>
            <color indexed="81"/>
            <rFont val="Calibri"/>
            <family val="2"/>
            <scheme val="minor"/>
          </rPr>
          <t>Zheng, Chaodan (Research):</t>
        </r>
        <r>
          <rPr>
            <sz val="9"/>
            <color indexed="81"/>
            <rFont val="Calibri"/>
            <family val="2"/>
            <scheme val="minor"/>
          </rPr>
          <t xml:space="preserve">
2Q16 call with mgmt:
In line with expectation. Probably low 70's</t>
        </r>
      </text>
    </comment>
    <comment ref="EI303" authorId="2">
      <text>
        <r>
          <rPr>
            <b/>
            <sz val="9"/>
            <color indexed="81"/>
            <rFont val="Calibri"/>
            <family val="2"/>
            <scheme val="minor"/>
          </rPr>
          <t>Zheng, Chaodan (Research):</t>
        </r>
        <r>
          <rPr>
            <sz val="9"/>
            <color indexed="81"/>
            <rFont val="Calibri"/>
            <family val="2"/>
            <scheme val="minor"/>
          </rPr>
          <t xml:space="preserve">
2Q16 call with mgmt:
In line with expectation. Probably low 70's</t>
        </r>
      </text>
    </comment>
    <comment ref="EK303" authorId="1">
      <text>
        <r>
          <rPr>
            <b/>
            <sz val="9"/>
            <color indexed="81"/>
            <rFont val="Tahoma"/>
            <family val="2"/>
          </rPr>
          <t>Gupta, Tanmay (Research):</t>
        </r>
        <r>
          <rPr>
            <sz val="9"/>
            <color indexed="81"/>
            <rFont val="Tahoma"/>
            <family val="2"/>
          </rPr>
          <t xml:space="preserve">
2Q17 guid: benefit ratio will go up</t>
        </r>
      </text>
    </comment>
    <comment ref="EM303" authorId="1">
      <text>
        <r>
          <rPr>
            <b/>
            <sz val="9"/>
            <color indexed="81"/>
            <rFont val="Tahoma"/>
            <family val="2"/>
          </rPr>
          <t>Gupta, Tanmay (Research):</t>
        </r>
        <r>
          <rPr>
            <sz val="9"/>
            <color indexed="81"/>
            <rFont val="Tahoma"/>
            <family val="2"/>
          </rPr>
          <t xml:space="preserve">
2Q17 guid: benefit ratio will go up</t>
        </r>
      </text>
    </comment>
    <comment ref="EO303" authorId="1">
      <text>
        <r>
          <rPr>
            <b/>
            <sz val="9"/>
            <color indexed="81"/>
            <rFont val="Tahoma"/>
            <family val="2"/>
          </rPr>
          <t>Gupta, Tanmay (Research):</t>
        </r>
        <r>
          <rPr>
            <sz val="9"/>
            <color indexed="81"/>
            <rFont val="Tahoma"/>
            <family val="2"/>
          </rPr>
          <t xml:space="preserve">
2Q17 guid: benefit ratio will go up</t>
        </r>
      </text>
    </comment>
    <comment ref="GP308" authorId="6">
      <text>
        <r>
          <rPr>
            <b/>
            <sz val="9"/>
            <color indexed="81"/>
            <rFont val="Tahoma"/>
            <family val="2"/>
          </rPr>
          <t>Huang, Bob (Research):</t>
        </r>
        <r>
          <rPr>
            <sz val="9"/>
            <color indexed="81"/>
            <rFont val="Tahoma"/>
            <family val="2"/>
          </rPr>
          <t xml:space="preserve">
4Q17 call: 21% </t>
        </r>
      </text>
    </comment>
    <comment ref="EA309" authorId="2">
      <text>
        <r>
          <rPr>
            <b/>
            <sz val="8"/>
            <color indexed="81"/>
            <rFont val="Tahoma"/>
            <family val="2"/>
          </rPr>
          <t>Zheng, Chaodan (Research):</t>
        </r>
        <r>
          <rPr>
            <sz val="8"/>
            <color indexed="81"/>
            <rFont val="Tahoma"/>
            <family val="2"/>
          </rPr>
          <t xml:space="preserve">
call with mgmt:
- included $18 million of accelerated DAC amortization reflected timing of renewals
- but underlying improvement remains solid with strong improvement in loss ratios
- sub 70s probably not sustainable, but reflects pricing actions</t>
        </r>
      </text>
    </comment>
    <comment ref="EC309" authorId="2">
      <text>
        <r>
          <rPr>
            <b/>
            <sz val="8"/>
            <color indexed="81"/>
            <rFont val="Tahoma"/>
            <family val="2"/>
          </rPr>
          <t>Zheng, Chaodan (Research):</t>
        </r>
        <r>
          <rPr>
            <sz val="8"/>
            <color indexed="81"/>
            <rFont val="Tahoma"/>
            <family val="2"/>
          </rPr>
          <t xml:space="preserve">
call with mgmt:
- included $18 million of accelerated DAC amortization reflected timing of renewals
- but underlying improvement remains solid with strong improvement in loss ratios
- sub 70s probably not sustainable, but reflects pricing actions</t>
        </r>
      </text>
    </comment>
    <comment ref="EE309" authorId="2">
      <text>
        <r>
          <rPr>
            <b/>
            <sz val="8"/>
            <color indexed="81"/>
            <rFont val="Tahoma"/>
            <family val="2"/>
          </rPr>
          <t>Zheng, Chaodan (Research):</t>
        </r>
        <r>
          <rPr>
            <sz val="8"/>
            <color indexed="81"/>
            <rFont val="Tahoma"/>
            <family val="2"/>
          </rPr>
          <t xml:space="preserve">
call with mgmt:
- included $18 million of accelerated DAC amortization reflected timing of renewals
- but underlying improvement remains solid with strong improvement in loss ratios
- sub 70s probably not sustainable, but reflects pricing actions</t>
        </r>
      </text>
    </comment>
    <comment ref="EI309" authorId="1">
      <text>
        <r>
          <rPr>
            <b/>
            <sz val="9"/>
            <color indexed="81"/>
            <rFont val="Tahoma"/>
            <family val="2"/>
          </rPr>
          <t>Gupta, Tanmay (Research):</t>
        </r>
        <r>
          <rPr>
            <sz val="9"/>
            <color indexed="81"/>
            <rFont val="Tahoma"/>
            <family val="2"/>
          </rPr>
          <t xml:space="preserve">
1Q typically lowest earning quarter due to DAC amortization</t>
        </r>
      </text>
    </comment>
    <comment ref="EK309" authorId="1">
      <text>
        <r>
          <rPr>
            <b/>
            <sz val="9"/>
            <color indexed="81"/>
            <rFont val="Tahoma"/>
            <family val="2"/>
          </rPr>
          <t>Gupta, Tanmay (Research):</t>
        </r>
        <r>
          <rPr>
            <sz val="9"/>
            <color indexed="81"/>
            <rFont val="Tahoma"/>
            <family val="2"/>
          </rPr>
          <t xml:space="preserve">
1Q typically lowest earning quarter due to DAC amortization</t>
        </r>
      </text>
    </comment>
    <comment ref="EM309" authorId="1">
      <text>
        <r>
          <rPr>
            <b/>
            <sz val="9"/>
            <color indexed="81"/>
            <rFont val="Tahoma"/>
            <family val="2"/>
          </rPr>
          <t>Gupta, Tanmay (Research):</t>
        </r>
        <r>
          <rPr>
            <sz val="9"/>
            <color indexed="81"/>
            <rFont val="Tahoma"/>
            <family val="2"/>
          </rPr>
          <t xml:space="preserve">
1Q typically lowest earning quarter due to DAC amortization</t>
        </r>
      </text>
    </comment>
    <comment ref="EO309" authorId="1">
      <text>
        <r>
          <rPr>
            <b/>
            <sz val="9"/>
            <color indexed="81"/>
            <rFont val="Tahoma"/>
            <family val="2"/>
          </rPr>
          <t>Gupta, Tanmay (Research):</t>
        </r>
        <r>
          <rPr>
            <sz val="9"/>
            <color indexed="81"/>
            <rFont val="Tahoma"/>
            <family val="2"/>
          </rPr>
          <t xml:space="preserve">
1Q typically lowest earning quarter due to DAC amortization</t>
        </r>
      </text>
    </comment>
    <comment ref="GF309" authorId="12">
      <text>
        <r>
          <rPr>
            <b/>
            <sz val="8"/>
            <color indexed="81"/>
            <rFont val="Tahoma"/>
            <family val="2"/>
          </rPr>
          <t>dianaz:</t>
        </r>
        <r>
          <rPr>
            <sz val="8"/>
            <color indexed="81"/>
            <rFont val="Tahoma"/>
            <family val="2"/>
          </rPr>
          <t xml:space="preserve">
4Q12 call guidance: mgmt expects recovery in earnings to $80-90mn in 2013</t>
        </r>
      </text>
    </comment>
    <comment ref="GH309" authorId="14">
      <text>
        <r>
          <rPr>
            <b/>
            <sz val="9"/>
            <color indexed="81"/>
            <rFont val="Tahoma"/>
            <family val="2"/>
          </rPr>
          <t>Sanchez Bolanos, Laura (Research):</t>
        </r>
        <r>
          <rPr>
            <sz val="9"/>
            <color indexed="81"/>
            <rFont val="Tahoma"/>
            <family val="2"/>
          </rPr>
          <t xml:space="preserve">
3Q14 guid: wil fall short of guidance
2Q14 call: to be in the lower end of range
4Q13 call</t>
        </r>
      </text>
    </comment>
    <comment ref="GJ309" authorId="19">
      <text>
        <r>
          <rPr>
            <b/>
            <sz val="9"/>
            <color indexed="81"/>
            <rFont val="Tahoma"/>
            <family val="2"/>
          </rPr>
          <t>Zamora, Diana (Research):</t>
        </r>
        <r>
          <rPr>
            <sz val="9"/>
            <color indexed="81"/>
            <rFont val="Tahoma"/>
            <family val="2"/>
          </rPr>
          <t xml:space="preserve">
4Q14 guid: "expect earnings to improve but no to be linear" </t>
        </r>
      </text>
    </comment>
    <comment ref="BA310" authorId="4">
      <text>
        <r>
          <rPr>
            <sz val="8"/>
            <color indexed="81"/>
            <rFont val="Tahoma"/>
            <family val="2"/>
          </rPr>
          <t>Better than expected loss ratio benefited the quarter by $11 million</t>
        </r>
      </text>
    </comment>
    <comment ref="BC310" authorId="4">
      <text>
        <r>
          <rPr>
            <sz val="8"/>
            <color indexed="81"/>
            <rFont val="Tahoma"/>
            <family val="2"/>
          </rPr>
          <t>Better than expected loss ratio benefited the quarter by $5 million</t>
        </r>
      </text>
    </comment>
    <comment ref="BE310" authorId="4">
      <text>
        <r>
          <rPr>
            <sz val="8"/>
            <color indexed="81"/>
            <rFont val="Tahoma"/>
            <family val="2"/>
          </rPr>
          <t>Favorable loss ratio and other items</t>
        </r>
      </text>
    </comment>
    <comment ref="BK310" authorId="5">
      <text>
        <r>
          <rPr>
            <b/>
            <sz val="8"/>
            <color indexed="81"/>
            <rFont val="Tahoma"/>
            <family val="2"/>
          </rPr>
          <t>haybuse:</t>
        </r>
        <r>
          <rPr>
            <sz val="8"/>
            <color indexed="81"/>
            <rFont val="Tahoma"/>
            <family val="2"/>
          </rPr>
          <t xml:space="preserve">
favorable non-medical loss ratio of 68.6% compared to expected midpoint range of 71-74%</t>
        </r>
      </text>
    </comment>
    <comment ref="BM310" authorId="5">
      <text>
        <r>
          <rPr>
            <sz val="8"/>
            <color indexed="81"/>
            <rFont val="Tahoma"/>
            <family val="2"/>
          </rPr>
          <t>Favorable non-medical loss ratio of 70.7% contributed $3m, AT, expected range is 71-74%</t>
        </r>
      </text>
    </comment>
    <comment ref="BU310" authorId="5">
      <text>
        <r>
          <rPr>
            <b/>
            <sz val="8"/>
            <color indexed="81"/>
            <rFont val="Tahoma"/>
            <family val="2"/>
          </rPr>
          <t>haybuse:</t>
        </r>
        <r>
          <rPr>
            <sz val="8"/>
            <color indexed="81"/>
            <rFont val="Tahoma"/>
            <family val="2"/>
          </rPr>
          <t xml:space="preserve">
unfavorable expenses</t>
        </r>
      </text>
    </comment>
    <comment ref="CC310" authorId="5">
      <text>
        <r>
          <rPr>
            <b/>
            <sz val="8"/>
            <color indexed="81"/>
            <rFont val="Tahoma"/>
            <family val="2"/>
          </rPr>
          <t>haybuse:</t>
        </r>
        <r>
          <rPr>
            <sz val="8"/>
            <color indexed="81"/>
            <rFont val="Tahoma"/>
            <family val="2"/>
          </rPr>
          <t xml:space="preserve">
abnormal  production expense</t>
        </r>
      </text>
    </comment>
    <comment ref="CE310" authorId="5">
      <text>
        <r>
          <rPr>
            <b/>
            <sz val="8"/>
            <color indexed="81"/>
            <rFont val="Tahoma"/>
            <family val="2"/>
          </rPr>
          <t>haybuse:</t>
        </r>
        <r>
          <rPr>
            <sz val="8"/>
            <color indexed="81"/>
            <rFont val="Tahoma"/>
            <family val="2"/>
          </rPr>
          <t xml:space="preserve">
adverse loss </t>
        </r>
      </text>
    </comment>
    <comment ref="CG310" authorId="5">
      <text>
        <r>
          <rPr>
            <b/>
            <sz val="8"/>
            <color indexed="81"/>
            <rFont val="Tahoma"/>
            <family val="2"/>
          </rPr>
          <t>haybuse:</t>
        </r>
        <r>
          <rPr>
            <sz val="8"/>
            <color indexed="81"/>
            <rFont val="Tahoma"/>
            <family val="2"/>
          </rPr>
          <t xml:space="preserve">
adverse morbidity in disability</t>
        </r>
      </text>
    </comment>
    <comment ref="CI310" authorId="5">
      <text>
        <r>
          <rPr>
            <b/>
            <sz val="8"/>
            <color indexed="81"/>
            <rFont val="Tahoma"/>
            <family val="2"/>
          </rPr>
          <t>haybuse:</t>
        </r>
        <r>
          <rPr>
            <sz val="8"/>
            <color indexed="81"/>
            <rFont val="Tahoma"/>
            <family val="2"/>
          </rPr>
          <t xml:space="preserve">
-3M misc</t>
        </r>
      </text>
    </comment>
    <comment ref="CM310" authorId="10">
      <text>
        <r>
          <rPr>
            <b/>
            <sz val="8"/>
            <color indexed="81"/>
            <rFont val="Tahoma"/>
            <family val="2"/>
          </rPr>
          <t>mlipton:</t>
        </r>
        <r>
          <rPr>
            <sz val="8"/>
            <color indexed="81"/>
            <rFont val="Tahoma"/>
            <family val="2"/>
          </rPr>
          <t xml:space="preserve">
various items (mortality, investment income)</t>
        </r>
      </text>
    </comment>
    <comment ref="CO310" authorId="5">
      <text>
        <r>
          <rPr>
            <b/>
            <sz val="8"/>
            <color indexed="81"/>
            <rFont val="Tahoma"/>
            <family val="2"/>
          </rPr>
          <t>haybuse:</t>
        </r>
        <r>
          <rPr>
            <sz val="8"/>
            <color indexed="81"/>
            <rFont val="Tahoma"/>
            <family val="2"/>
          </rPr>
          <t xml:space="preserve">
favorable NII and DAC</t>
        </r>
      </text>
    </comment>
    <comment ref="DG310" authorId="13">
      <text>
        <r>
          <rPr>
            <b/>
            <sz val="8"/>
            <color indexed="81"/>
            <rFont val="Tahoma"/>
            <family val="2"/>
          </rPr>
          <t>gohilcha:</t>
        </r>
        <r>
          <rPr>
            <sz val="8"/>
            <color indexed="81"/>
            <rFont val="Tahoma"/>
            <family val="2"/>
          </rPr>
          <t xml:space="preserve">
Favorable impact</t>
        </r>
      </text>
    </comment>
    <comment ref="DI310" authorId="13">
      <text>
        <r>
          <rPr>
            <b/>
            <sz val="8"/>
            <color indexed="81"/>
            <rFont val="Tahoma"/>
            <family val="2"/>
          </rPr>
          <t xml:space="preserve">Chai Gohil:
</t>
        </r>
        <r>
          <rPr>
            <sz val="8"/>
            <color indexed="81"/>
            <rFont val="Tahoma"/>
            <family val="2"/>
          </rPr>
          <t>Favorable items primarily related to reserve adj linked to benefit offsets</t>
        </r>
      </text>
    </comment>
    <comment ref="EE310" authorId="1">
      <text>
        <r>
          <rPr>
            <b/>
            <sz val="9"/>
            <color indexed="81"/>
            <rFont val="Tahoma"/>
            <family val="2"/>
          </rPr>
          <t>Gupta, Tanmay (Research):</t>
        </r>
        <r>
          <rPr>
            <sz val="9"/>
            <color indexed="81"/>
            <rFont val="Tahoma"/>
            <family val="2"/>
          </rPr>
          <t xml:space="preserve">
$5mn ~ review of disability reserves and DAC</t>
        </r>
      </text>
    </comment>
    <comment ref="DI311" authorId="20">
      <text>
        <r>
          <rPr>
            <b/>
            <sz val="8"/>
            <color indexed="81"/>
            <rFont val="Tahoma"/>
            <family val="2"/>
          </rPr>
          <t>hayleyl:</t>
        </r>
        <r>
          <rPr>
            <sz val="8"/>
            <color indexed="81"/>
            <rFont val="Tahoma"/>
            <family val="2"/>
          </rPr>
          <t xml:space="preserve">
Hurt by $12M from LTD (split between incidents, seasonality &amp; claims)</t>
        </r>
      </text>
    </comment>
    <comment ref="GH311" authorId="20">
      <text>
        <r>
          <rPr>
            <b/>
            <sz val="8"/>
            <color indexed="81"/>
            <rFont val="Tahoma"/>
            <family val="2"/>
          </rPr>
          <t xml:space="preserve">dianaz: 
2Q14: </t>
        </r>
        <r>
          <rPr>
            <sz val="8"/>
            <color indexed="81"/>
            <rFont val="Tahoma"/>
            <family val="2"/>
          </rPr>
          <t>earnings to be in the lower end of guidance of $60-80mn</t>
        </r>
        <r>
          <rPr>
            <b/>
            <sz val="8"/>
            <color indexed="81"/>
            <rFont val="Tahoma"/>
            <family val="2"/>
          </rPr>
          <t xml:space="preserve">
sanclaur: 
</t>
        </r>
        <r>
          <rPr>
            <sz val="8"/>
            <color indexed="81"/>
            <rFont val="Tahoma"/>
            <family val="2"/>
          </rPr>
          <t>4Q13 guid: 60-80mn</t>
        </r>
        <r>
          <rPr>
            <b/>
            <sz val="8"/>
            <color indexed="81"/>
            <rFont val="Tahoma"/>
            <family val="2"/>
          </rPr>
          <t xml:space="preserve">
hayleyl:</t>
        </r>
        <r>
          <rPr>
            <sz val="8"/>
            <color indexed="81"/>
            <rFont val="Tahoma"/>
            <family val="2"/>
          </rPr>
          <t xml:space="preserve">
repricing $1.1B employer paid book, expected to be completed in 2016</t>
        </r>
      </text>
    </comment>
    <comment ref="GP311" authorId="1">
      <text>
        <r>
          <rPr>
            <b/>
            <sz val="9"/>
            <color indexed="81"/>
            <rFont val="Tahoma"/>
            <family val="2"/>
          </rPr>
          <t>Gupta, Tanmay (Research):</t>
        </r>
        <r>
          <rPr>
            <sz val="9"/>
            <color indexed="81"/>
            <rFont val="Tahoma"/>
            <family val="2"/>
          </rPr>
          <t xml:space="preserve">
2017 Investor Day: 8-10% growth</t>
        </r>
      </text>
    </comment>
    <comment ref="GL315" authorId="1">
      <text>
        <r>
          <rPr>
            <b/>
            <sz val="9"/>
            <color indexed="81"/>
            <rFont val="Tahoma"/>
            <family val="2"/>
          </rPr>
          <t>Gupta, Tanmay (Research):</t>
        </r>
        <r>
          <rPr>
            <sz val="9"/>
            <color indexed="81"/>
            <rFont val="Tahoma"/>
            <family val="2"/>
          </rPr>
          <t xml:space="preserve">
2Q15: margin range of 5-7% after-tax by late 2016, early 2017</t>
        </r>
      </text>
    </comment>
    <comment ref="GN315" authorId="1">
      <text>
        <r>
          <rPr>
            <b/>
            <sz val="9"/>
            <color indexed="81"/>
            <rFont val="Tahoma"/>
            <family val="2"/>
          </rPr>
          <t>Gupta, Tanmay (Research):</t>
        </r>
        <r>
          <rPr>
            <sz val="9"/>
            <color indexed="81"/>
            <rFont val="Tahoma"/>
            <family val="2"/>
          </rPr>
          <t xml:space="preserve">
2Q15: margin range of 5-7% after-tax by late 2016, early 2017</t>
        </r>
      </text>
    </comment>
    <comment ref="GT315" authorId="1">
      <text>
        <r>
          <rPr>
            <b/>
            <sz val="9"/>
            <color indexed="81"/>
            <rFont val="Tahoma"/>
            <family val="2"/>
          </rPr>
          <t>Gupta, Tanmay (Research):</t>
        </r>
        <r>
          <rPr>
            <sz val="9"/>
            <color indexed="81"/>
            <rFont val="Tahoma"/>
            <family val="2"/>
          </rPr>
          <t xml:space="preserve">
3Q17: 5.5% by 2020 including the acquisition. Margins reflect tax reform</t>
        </r>
      </text>
    </comment>
    <comment ref="BA395" authorId="4">
      <text>
        <r>
          <rPr>
            <sz val="8"/>
            <color indexed="81"/>
            <rFont val="Tahoma"/>
            <family val="2"/>
          </rPr>
          <t>Adverse market conditions and installation of new fee structure at Delaware</t>
        </r>
      </text>
    </comment>
    <comment ref="BC395" authorId="4">
      <text>
        <r>
          <rPr>
            <sz val="8"/>
            <color indexed="81"/>
            <rFont val="Tahoma"/>
            <family val="2"/>
          </rPr>
          <t xml:space="preserve">Various Charges added to -$1M impact
</t>
        </r>
      </text>
    </comment>
    <comment ref="BK395" authorId="5">
      <text>
        <r>
          <rPr>
            <b/>
            <sz val="8"/>
            <color indexed="81"/>
            <rFont val="Tahoma"/>
            <family val="2"/>
          </rPr>
          <t>haybuse:</t>
        </r>
        <r>
          <rPr>
            <sz val="8"/>
            <color indexed="81"/>
            <rFont val="Tahoma"/>
            <family val="2"/>
          </rPr>
          <t xml:space="preserve">
Favorable expense items</t>
        </r>
      </text>
    </comment>
    <comment ref="BM395" authorId="5">
      <text>
        <r>
          <rPr>
            <sz val="8"/>
            <color indexed="81"/>
            <rFont val="Tahoma"/>
            <family val="2"/>
          </rPr>
          <t xml:space="preserve">benefit from reduction in inentive compensation expense accruals
</t>
        </r>
      </text>
    </comment>
    <comment ref="BS395" authorId="5">
      <text>
        <r>
          <rPr>
            <b/>
            <sz val="8"/>
            <color indexed="81"/>
            <rFont val="Tahoma"/>
            <family val="2"/>
          </rPr>
          <t>haybuse:</t>
        </r>
        <r>
          <rPr>
            <sz val="8"/>
            <color indexed="81"/>
            <rFont val="Tahoma"/>
            <family val="2"/>
          </rPr>
          <t xml:space="preserve">
unfavorable return on seed capital and legal expenses</t>
        </r>
      </text>
    </comment>
    <comment ref="B405" authorId="7">
      <text>
        <r>
          <rPr>
            <sz val="8"/>
            <color indexed="81"/>
            <rFont val="Tahoma"/>
            <family val="2"/>
          </rPr>
          <t xml:space="preserve">Lincoln UK is primarily focused on retaining its existing customers and managing expenses for a </t>
        </r>
        <r>
          <rPr>
            <b/>
            <sz val="8"/>
            <color indexed="81"/>
            <rFont val="Tahoma"/>
            <family val="2"/>
          </rPr>
          <t>closed-block</t>
        </r>
        <r>
          <rPr>
            <sz val="8"/>
            <color indexed="81"/>
            <rFont val="Tahoma"/>
            <family val="2"/>
          </rPr>
          <t xml:space="preserve"> of business in the UK. The segment accepts new deposits on the existing block of business and offers new products to existing policyholders.  Lincoln UK's product portfolio principally consists of unit-linked life and pension products, which are similar to U.S. produced variable life and annuity products.</t>
        </r>
      </text>
    </comment>
    <comment ref="Y418" authorId="17">
      <text>
        <r>
          <rPr>
            <sz val="8"/>
            <color indexed="81"/>
            <rFont val="Tahoma"/>
            <family val="2"/>
          </rPr>
          <t>Includes $4.1M of favorable tax adjustments, which should be added back.</t>
        </r>
      </text>
    </comment>
    <comment ref="AC428" authorId="21">
      <text>
        <r>
          <rPr>
            <sz val="8"/>
            <color indexed="81"/>
            <rFont val="Tahoma"/>
            <family val="2"/>
          </rPr>
          <t>Beware of rounding errors with this figure.  Must add or subtract a small amount to make it foot with stat sup.</t>
        </r>
      </text>
    </comment>
    <comment ref="AK428" authorId="21">
      <text>
        <r>
          <rPr>
            <sz val="8"/>
            <color indexed="81"/>
            <rFont val="Tahoma"/>
            <family val="2"/>
          </rPr>
          <t>Some figures might not match the Financial Supplement due to rounding errors.</t>
        </r>
      </text>
    </comment>
    <comment ref="AS428" authorId="4">
      <text>
        <r>
          <rPr>
            <sz val="8"/>
            <color indexed="81"/>
            <rFont val="Tahoma"/>
            <family val="2"/>
          </rPr>
          <t>Anticipating slightly less than $40 MM in earnings for the year.  Benefited slightly from higher than expected exchange rate.</t>
        </r>
      </text>
    </comment>
    <comment ref="BC429" authorId="4">
      <text>
        <r>
          <rPr>
            <sz val="8"/>
            <color indexed="81"/>
            <rFont val="Tahoma"/>
            <family val="2"/>
          </rPr>
          <t>-$3M from DAC adjustment</t>
        </r>
        <r>
          <rPr>
            <b/>
            <sz val="8"/>
            <color indexed="81"/>
            <rFont val="Tahoma"/>
            <family val="2"/>
          </rPr>
          <t xml:space="preserve"> </t>
        </r>
      </text>
    </comment>
    <comment ref="BK429" authorId="5">
      <text>
        <r>
          <rPr>
            <b/>
            <sz val="8"/>
            <color indexed="81"/>
            <rFont val="Tahoma"/>
            <family val="2"/>
          </rPr>
          <t>haybuse:</t>
        </r>
        <r>
          <rPr>
            <sz val="8"/>
            <color indexed="81"/>
            <rFont val="Tahoma"/>
            <family val="2"/>
          </rPr>
          <t xml:space="preserve">
negative impact of reserve adjustments</t>
        </r>
      </text>
    </comment>
    <comment ref="BQ429" authorId="5">
      <text>
        <r>
          <rPr>
            <sz val="8"/>
            <color indexed="81"/>
            <rFont val="Tahoma"/>
            <family val="2"/>
          </rPr>
          <t>reserve release</t>
        </r>
      </text>
    </comment>
    <comment ref="BS429" authorId="5">
      <text>
        <r>
          <rPr>
            <b/>
            <sz val="8"/>
            <color indexed="81"/>
            <rFont val="Tahoma"/>
            <family val="2"/>
          </rPr>
          <t>haybuse:</t>
        </r>
        <r>
          <rPr>
            <sz val="8"/>
            <color indexed="81"/>
            <rFont val="Tahoma"/>
            <family val="2"/>
          </rPr>
          <t xml:space="preserve">
favorable tax related items</t>
        </r>
      </text>
    </comment>
    <comment ref="B455" authorId="17">
      <text>
        <r>
          <rPr>
            <b/>
            <sz val="9"/>
            <color indexed="81"/>
            <rFont val="Tahoma"/>
            <family val="2"/>
          </rPr>
          <t>Seasonality:</t>
        </r>
        <r>
          <rPr>
            <sz val="9"/>
            <color indexed="81"/>
            <rFont val="Tahoma"/>
            <family val="2"/>
          </rPr>
          <t xml:space="preserve">  Per JP, 1Q tends to represent 15-20% of full-year earnings, while 4Q is roughly 30% of earnings.</t>
        </r>
      </text>
    </comment>
    <comment ref="EK472" authorId="1">
      <text>
        <r>
          <rPr>
            <b/>
            <sz val="9"/>
            <color indexed="81"/>
            <rFont val="Tahoma"/>
            <family val="2"/>
          </rPr>
          <t>Gupta, Tanmay (Research):</t>
        </r>
        <r>
          <rPr>
            <sz val="9"/>
            <color indexed="81"/>
            <rFont val="Tahoma"/>
            <family val="2"/>
          </rPr>
          <t xml:space="preserve">
2Q16: Reduces to $6mn in 2Q17, and then goes away after that</t>
        </r>
      </text>
    </comment>
    <comment ref="EM472" authorId="1">
      <text>
        <r>
          <rPr>
            <b/>
            <sz val="9"/>
            <color indexed="81"/>
            <rFont val="Tahoma"/>
            <family val="2"/>
          </rPr>
          <t>Gupta, Tanmay (Research):</t>
        </r>
        <r>
          <rPr>
            <sz val="9"/>
            <color indexed="81"/>
            <rFont val="Tahoma"/>
            <family val="2"/>
          </rPr>
          <t xml:space="preserve">
2Q16: Reduces to $6mn in 2Q17, and then goes away after that</t>
        </r>
      </text>
    </comment>
    <comment ref="EO472" authorId="1">
      <text>
        <r>
          <rPr>
            <b/>
            <sz val="9"/>
            <color indexed="81"/>
            <rFont val="Tahoma"/>
            <family val="2"/>
          </rPr>
          <t>Gupta, Tanmay (Research):</t>
        </r>
        <r>
          <rPr>
            <sz val="9"/>
            <color indexed="81"/>
            <rFont val="Tahoma"/>
            <family val="2"/>
          </rPr>
          <t xml:space="preserve">
2Q16: Reduces to $6mn in 2Q17, and then goes away after that</t>
        </r>
      </text>
    </comment>
    <comment ref="GN472" authorId="1">
      <text>
        <r>
          <rPr>
            <b/>
            <sz val="9"/>
            <color indexed="81"/>
            <rFont val="Tahoma"/>
            <family val="2"/>
          </rPr>
          <t>Gupta, Tanmay (Research):</t>
        </r>
        <r>
          <rPr>
            <sz val="9"/>
            <color indexed="81"/>
            <rFont val="Tahoma"/>
            <family val="2"/>
          </rPr>
          <t xml:space="preserve">
2Q16: Reduces to $6mn in 2Q17, and then goes away after that</t>
        </r>
      </text>
    </comment>
    <comment ref="EK476" authorId="1">
      <text>
        <r>
          <rPr>
            <b/>
            <sz val="9"/>
            <color indexed="81"/>
            <rFont val="Tahoma"/>
            <family val="2"/>
          </rPr>
          <t>Gupta, Tanmay (Research):</t>
        </r>
        <r>
          <rPr>
            <sz val="9"/>
            <color indexed="81"/>
            <rFont val="Tahoma"/>
            <family val="2"/>
          </rPr>
          <t xml:space="preserve">
2Q16: Starting in 3Q17, lower debt expense by $5mn quarterly</t>
        </r>
      </text>
    </comment>
    <comment ref="EQ476" authorId="1">
      <text>
        <r>
          <rPr>
            <b/>
            <sz val="9"/>
            <color indexed="81"/>
            <rFont val="Tahoma"/>
            <family val="2"/>
          </rPr>
          <t>Gupta, Tanmay (Research):</t>
        </r>
        <r>
          <rPr>
            <sz val="9"/>
            <color indexed="81"/>
            <rFont val="Tahoma"/>
            <family val="2"/>
          </rPr>
          <t xml:space="preserve">
2Q18: Issuing $500mn of additional debt for acquisition</t>
        </r>
      </text>
    </comment>
    <comment ref="GN476" authorId="1">
      <text>
        <r>
          <rPr>
            <b/>
            <sz val="9"/>
            <color indexed="81"/>
            <rFont val="Tahoma"/>
            <family val="2"/>
          </rPr>
          <t>Gupta, Tanmay (Research):</t>
        </r>
        <r>
          <rPr>
            <sz val="9"/>
            <color indexed="81"/>
            <rFont val="Tahoma"/>
            <family val="2"/>
          </rPr>
          <t xml:space="preserve">
2Q16: Starting in 3Q17, lower debt expense by $5mn quarterly</t>
        </r>
      </text>
    </comment>
    <comment ref="EI477" authorId="1">
      <text>
        <r>
          <rPr>
            <b/>
            <sz val="9"/>
            <color indexed="81"/>
            <rFont val="Tahoma"/>
            <family val="2"/>
          </rPr>
          <t>Gupta, Tanmay (Research):</t>
        </r>
        <r>
          <rPr>
            <sz val="9"/>
            <color indexed="81"/>
            <rFont val="Tahoma"/>
            <family val="2"/>
          </rPr>
          <t xml:space="preserve">
1Q: $9 million tax benefit related to accounting for stock-based compensation.
$9mn benefit towards the high end of the range. Expect that to be lower in future 1Qs.</t>
        </r>
      </text>
    </comment>
    <comment ref="GP478" authorId="1">
      <text>
        <r>
          <rPr>
            <b/>
            <sz val="9"/>
            <color indexed="81"/>
            <rFont val="Tahoma"/>
            <family val="2"/>
          </rPr>
          <t>Gupta, Tanmay (Research):</t>
        </r>
        <r>
          <rPr>
            <sz val="9"/>
            <color indexed="81"/>
            <rFont val="Tahoma"/>
            <family val="2"/>
          </rPr>
          <t xml:space="preserve">
4Q16: First 2 years – annual costs of $40mn, 3rd year – break-even, 4th year onwards – savings of 6% to 10% of our $1.5 billion in addressable G&amp;A expenses</t>
        </r>
      </text>
    </comment>
    <comment ref="GR478" authorId="1">
      <text>
        <r>
          <rPr>
            <b/>
            <sz val="9"/>
            <color indexed="81"/>
            <rFont val="Tahoma"/>
            <family val="2"/>
          </rPr>
          <t>Gupta, Tanmay (Research):</t>
        </r>
        <r>
          <rPr>
            <sz val="9"/>
            <color indexed="81"/>
            <rFont val="Tahoma"/>
            <family val="2"/>
          </rPr>
          <t xml:space="preserve">
4Q16: First 2 years – annual costs of $40mn, 3rd year – break-even, 4th year onwards – savings of 6% to 10% of our $1.5 billion in addressable G&amp;A expenses</t>
        </r>
      </text>
    </comment>
    <comment ref="GT478" authorId="1">
      <text>
        <r>
          <rPr>
            <b/>
            <sz val="9"/>
            <color indexed="81"/>
            <rFont val="Tahoma"/>
            <family val="2"/>
          </rPr>
          <t>Gupta, Tanmay (Research):</t>
        </r>
        <r>
          <rPr>
            <sz val="9"/>
            <color indexed="81"/>
            <rFont val="Tahoma"/>
            <family val="2"/>
          </rPr>
          <t xml:space="preserve">
4Q16: First 2 years – annual costs of $40mn, 3rd year – break-even, 4th year onwards – savings of 6% to 10% of our $1.5 billion in addressable G&amp;A expenses</t>
        </r>
      </text>
    </comment>
    <comment ref="EA485" authorId="2">
      <text>
        <r>
          <rPr>
            <b/>
            <sz val="8"/>
            <color indexed="81"/>
            <rFont val="Tahoma"/>
            <family val="2"/>
          </rPr>
          <t>Zheng, Chaodan (Research):</t>
        </r>
        <r>
          <rPr>
            <sz val="8"/>
            <color indexed="81"/>
            <rFont val="Tahoma"/>
            <family val="2"/>
          </rPr>
          <t xml:space="preserve">
call with mgmt:
- includes $7 million due to deferred comp (doesn't impact EPS)
- really $22 million
- high 20s is still a good run-rate</t>
        </r>
      </text>
    </comment>
    <comment ref="EC485" authorId="2">
      <text>
        <r>
          <rPr>
            <b/>
            <sz val="8"/>
            <color indexed="81"/>
            <rFont val="Tahoma"/>
            <family val="2"/>
          </rPr>
          <t>Zheng, Chaodan (Research):</t>
        </r>
        <r>
          <rPr>
            <sz val="8"/>
            <color indexed="81"/>
            <rFont val="Tahoma"/>
            <family val="2"/>
          </rPr>
          <t xml:space="preserve">
call with mgmt:
- includes $7 million due to deferred comp (doesn't impact EPS)
- really $22 million
- high 20s is still a good run-rate</t>
        </r>
      </text>
    </comment>
    <comment ref="EE485" authorId="2">
      <text>
        <r>
          <rPr>
            <b/>
            <sz val="8"/>
            <color indexed="81"/>
            <rFont val="Tahoma"/>
            <family val="2"/>
          </rPr>
          <t>Zheng, Chaodan (Research):</t>
        </r>
        <r>
          <rPr>
            <sz val="8"/>
            <color indexed="81"/>
            <rFont val="Tahoma"/>
            <family val="2"/>
          </rPr>
          <t xml:space="preserve">
call with mgmt:
- includes $7 million due to deferred comp (doesn't impact EPS)
- really $22 million
- high 20s is still a good run-rate</t>
        </r>
      </text>
    </comment>
    <comment ref="AQ486" authorId="8">
      <text>
        <r>
          <rPr>
            <sz val="8"/>
            <color indexed="81"/>
            <rFont val="Tahoma"/>
            <family val="2"/>
          </rPr>
          <t>+$5.8 MM gain from the removal of a valuation allowance on a Barbados subsidiary</t>
        </r>
      </text>
    </comment>
    <comment ref="AS486" authorId="8">
      <text>
        <r>
          <rPr>
            <sz val="8"/>
            <color indexed="81"/>
            <rFont val="Tahoma"/>
            <family val="2"/>
          </rPr>
          <t>+$23.5MM valuation allowance</t>
        </r>
      </text>
    </comment>
    <comment ref="AU486" authorId="8">
      <text>
        <r>
          <rPr>
            <sz val="8"/>
            <color indexed="81"/>
            <rFont val="Tahoma"/>
            <family val="2"/>
          </rPr>
          <t>+4.55MM reduction in the deferred tax asset valuation allowance</t>
        </r>
      </text>
    </comment>
    <comment ref="BA486" authorId="4">
      <text>
        <r>
          <rPr>
            <sz val="8"/>
            <color indexed="81"/>
            <rFont val="Tahoma"/>
            <family val="2"/>
          </rPr>
          <t>Better than expected investment income</t>
        </r>
      </text>
    </comment>
    <comment ref="BC486" authorId="4">
      <text>
        <r>
          <rPr>
            <sz val="8"/>
            <color indexed="81"/>
            <rFont val="Tahoma"/>
            <family val="2"/>
          </rPr>
          <t>+$17M insurance recovery
-$4M Expense Charges</t>
        </r>
      </text>
    </comment>
    <comment ref="BE486" authorId="4">
      <text>
        <r>
          <rPr>
            <sz val="8"/>
            <color indexed="81"/>
            <rFont val="Tahoma"/>
            <family val="2"/>
          </rPr>
          <t>Expense charge</t>
        </r>
      </text>
    </comment>
    <comment ref="BK486" authorId="5">
      <text>
        <r>
          <rPr>
            <b/>
            <sz val="8"/>
            <color indexed="81"/>
            <rFont val="Tahoma"/>
            <family val="2"/>
          </rPr>
          <t>haybuse:</t>
        </r>
        <r>
          <rPr>
            <sz val="8"/>
            <color indexed="81"/>
            <rFont val="Tahoma"/>
            <family val="2"/>
          </rPr>
          <t xml:space="preserve">
Unfavorable tax expense including retirement benefits</t>
        </r>
      </text>
    </comment>
    <comment ref="BM486" authorId="5">
      <text>
        <r>
          <rPr>
            <sz val="8"/>
            <color indexed="81"/>
            <rFont val="Tahoma"/>
            <family val="2"/>
          </rPr>
          <t>Unfavorable expense items primarily related to non-qualified benefit plan changes</t>
        </r>
      </text>
    </comment>
    <comment ref="BO486" authorId="5">
      <text>
        <r>
          <rPr>
            <sz val="8"/>
            <color indexed="81"/>
            <rFont val="Tahoma"/>
            <family val="2"/>
          </rPr>
          <t xml:space="preserve">Unfavorable expense </t>
        </r>
      </text>
    </comment>
    <comment ref="BU486" authorId="5">
      <text>
        <r>
          <rPr>
            <b/>
            <sz val="8"/>
            <color indexed="81"/>
            <rFont val="Tahoma"/>
            <family val="2"/>
          </rPr>
          <t>haybuse:</t>
        </r>
        <r>
          <rPr>
            <sz val="8"/>
            <color indexed="81"/>
            <rFont val="Tahoma"/>
            <family val="2"/>
          </rPr>
          <t xml:space="preserve">
unfavorable expenses</t>
        </r>
      </text>
    </comment>
    <comment ref="CC486" authorId="5">
      <text>
        <r>
          <rPr>
            <b/>
            <sz val="8"/>
            <color indexed="81"/>
            <rFont val="Tahoma"/>
            <family val="2"/>
          </rPr>
          <t>haybuse:</t>
        </r>
        <r>
          <rPr>
            <sz val="8"/>
            <color indexed="81"/>
            <rFont val="Tahoma"/>
            <family val="2"/>
          </rPr>
          <t xml:space="preserve">
disability reivew charge partially offset by favorable tax itmes - $15M net impact</t>
        </r>
      </text>
    </comment>
    <comment ref="CE486" authorId="5">
      <text>
        <r>
          <rPr>
            <b/>
            <sz val="8"/>
            <color indexed="81"/>
            <rFont val="Tahoma"/>
            <family val="2"/>
          </rPr>
          <t>haybuse:</t>
        </r>
        <r>
          <rPr>
            <sz val="8"/>
            <color indexed="81"/>
            <rFont val="Tahoma"/>
            <family val="2"/>
          </rPr>
          <t xml:space="preserve">
misc expense</t>
        </r>
      </text>
    </comment>
    <comment ref="CI486" authorId="14">
      <text>
        <r>
          <rPr>
            <b/>
            <sz val="9"/>
            <color indexed="81"/>
            <rFont val="Tahoma"/>
            <family val="2"/>
          </rPr>
          <t>Sanchez Bolanos, Laura (Research):</t>
        </r>
        <r>
          <rPr>
            <sz val="9"/>
            <color indexed="81"/>
            <rFont val="Tahoma"/>
            <family val="2"/>
          </rPr>
          <t xml:space="preserve">
-4M net, including unf tax</t>
        </r>
      </text>
    </comment>
    <comment ref="CK486" authorId="10">
      <text>
        <r>
          <rPr>
            <b/>
            <sz val="8"/>
            <color indexed="81"/>
            <rFont val="Tahoma"/>
            <family val="2"/>
          </rPr>
          <t>mlipton:</t>
        </r>
        <r>
          <rPr>
            <sz val="8"/>
            <color indexed="81"/>
            <rFont val="Tahoma"/>
            <family val="2"/>
          </rPr>
          <t xml:space="preserve">
Litigation Expenses</t>
        </r>
      </text>
    </comment>
    <comment ref="CO486" authorId="5">
      <text>
        <r>
          <rPr>
            <b/>
            <sz val="8"/>
            <color indexed="81"/>
            <rFont val="Tahoma"/>
            <family val="2"/>
          </rPr>
          <t>haybuse:</t>
        </r>
        <r>
          <rPr>
            <sz val="8"/>
            <color indexed="81"/>
            <rFont val="Tahoma"/>
            <family val="2"/>
          </rPr>
          <t xml:space="preserve">
lower taxes: 2M
lower expenses: 9M
other: 3M</t>
        </r>
      </text>
    </comment>
    <comment ref="CQ486" authorId="5">
      <text>
        <r>
          <rPr>
            <b/>
            <sz val="8"/>
            <color indexed="81"/>
            <rFont val="Tahoma"/>
            <family val="2"/>
          </rPr>
          <t>haybuse:</t>
        </r>
        <r>
          <rPr>
            <sz val="8"/>
            <color indexed="81"/>
            <rFont val="Tahoma"/>
            <family val="2"/>
          </rPr>
          <t xml:space="preserve">
ELNY</t>
        </r>
      </text>
    </comment>
    <comment ref="CS486" authorId="5">
      <text>
        <r>
          <rPr>
            <b/>
            <sz val="8"/>
            <color indexed="81"/>
            <rFont val="Tahoma"/>
            <family val="2"/>
          </rPr>
          <t>haybuse:</t>
        </r>
        <r>
          <rPr>
            <sz val="8"/>
            <color indexed="81"/>
            <rFont val="Tahoma"/>
            <family val="2"/>
          </rPr>
          <t xml:space="preserve">
elny</t>
        </r>
      </text>
    </comment>
    <comment ref="CY486" authorId="11">
      <text>
        <r>
          <rPr>
            <b/>
            <sz val="8"/>
            <color indexed="81"/>
            <rFont val="Tahoma"/>
            <family val="2"/>
          </rPr>
          <t>Laura Sanchez:</t>
        </r>
        <r>
          <rPr>
            <sz val="8"/>
            <color indexed="81"/>
            <rFont val="Tahoma"/>
            <family val="2"/>
          </rPr>
          <t xml:space="preserve">
tax related adjustments</t>
        </r>
      </text>
    </comment>
    <comment ref="DA486" authorId="11">
      <text>
        <r>
          <rPr>
            <b/>
            <sz val="8"/>
            <color indexed="81"/>
            <rFont val="Tahoma"/>
            <family val="2"/>
          </rPr>
          <t>Laura Sanchez:</t>
        </r>
        <r>
          <rPr>
            <sz val="8"/>
            <color indexed="81"/>
            <rFont val="Tahoma"/>
            <family val="2"/>
          </rPr>
          <t xml:space="preserve">
restructuring</t>
        </r>
      </text>
    </comment>
    <comment ref="DC486" authorId="12">
      <text>
        <r>
          <rPr>
            <b/>
            <sz val="8"/>
            <color indexed="81"/>
            <rFont val="Tahoma"/>
            <family val="2"/>
          </rPr>
          <t>dianaz:</t>
        </r>
        <r>
          <rPr>
            <sz val="8"/>
            <color indexed="81"/>
            <rFont val="Tahoma"/>
            <family val="2"/>
          </rPr>
          <t xml:space="preserve">
expenses</t>
        </r>
      </text>
    </comment>
    <comment ref="DG486" authorId="13">
      <text>
        <r>
          <rPr>
            <b/>
            <sz val="8"/>
            <color indexed="81"/>
            <rFont val="Tahoma"/>
            <family val="2"/>
          </rPr>
          <t>gohilcha:</t>
        </r>
        <r>
          <rPr>
            <sz val="8"/>
            <color indexed="81"/>
            <rFont val="Tahoma"/>
            <family val="2"/>
          </rPr>
          <t xml:space="preserve">
Favorable item due to expenses.</t>
        </r>
      </text>
    </comment>
    <comment ref="DI486" authorId="13">
      <text>
        <r>
          <rPr>
            <b/>
            <sz val="8"/>
            <color indexed="81"/>
            <rFont val="Tahoma"/>
            <family val="2"/>
          </rPr>
          <t xml:space="preserve">Chai Gohil: 
</t>
        </r>
        <r>
          <rPr>
            <sz val="8"/>
            <color indexed="81"/>
            <rFont val="Tahoma"/>
            <family val="2"/>
          </rPr>
          <t>Favorable items primarily related to taxes</t>
        </r>
      </text>
    </comment>
    <comment ref="DM486" authorId="19">
      <text>
        <r>
          <rPr>
            <b/>
            <sz val="9"/>
            <color indexed="81"/>
            <rFont val="Tahoma"/>
            <family val="2"/>
          </rPr>
          <t>Zamora, Diana (Research):</t>
        </r>
        <r>
          <rPr>
            <sz val="9"/>
            <color indexed="81"/>
            <rFont val="Tahoma"/>
            <family val="2"/>
          </rPr>
          <t xml:space="preserve">
taxes</t>
        </r>
      </text>
    </comment>
    <comment ref="DU486" authorId="1">
      <text>
        <r>
          <rPr>
            <b/>
            <sz val="9"/>
            <color indexed="81"/>
            <rFont val="Tahoma"/>
            <family val="2"/>
          </rPr>
          <t>Gupta, Tanmay (Research):</t>
        </r>
        <r>
          <rPr>
            <sz val="9"/>
            <color indexed="81"/>
            <rFont val="Tahoma"/>
            <family val="2"/>
          </rPr>
          <t xml:space="preserve">
net unfavorable legal expenses</t>
        </r>
      </text>
    </comment>
    <comment ref="DW486" authorId="1">
      <text>
        <r>
          <rPr>
            <b/>
            <sz val="9"/>
            <color indexed="81"/>
            <rFont val="Tahoma"/>
            <family val="2"/>
          </rPr>
          <t>Gupta, Tanmay (Research):</t>
        </r>
        <r>
          <rPr>
            <sz val="9"/>
            <color indexed="81"/>
            <rFont val="Tahoma"/>
            <family val="2"/>
          </rPr>
          <t xml:space="preserve">
net unfavorable legal expenses</t>
        </r>
      </text>
    </comment>
    <comment ref="EE486" authorId="1">
      <text>
        <r>
          <rPr>
            <b/>
            <sz val="9"/>
            <color indexed="81"/>
            <rFont val="Tahoma"/>
            <family val="2"/>
          </rPr>
          <t>Gupta, Tanmay (Research):</t>
        </r>
        <r>
          <rPr>
            <sz val="9"/>
            <color indexed="81"/>
            <rFont val="Tahoma"/>
            <family val="2"/>
          </rPr>
          <t xml:space="preserve">
tax adjustments ~ $4mn</t>
        </r>
      </text>
    </comment>
    <comment ref="CA500" authorId="0">
      <text>
        <r>
          <rPr>
            <b/>
            <sz val="8"/>
            <color indexed="81"/>
            <rFont val="Tahoma"/>
            <family val="2"/>
          </rPr>
          <t>sanclaur:</t>
        </r>
        <r>
          <rPr>
            <sz val="8"/>
            <color indexed="81"/>
            <rFont val="Tahoma"/>
            <family val="2"/>
          </rPr>
          <t xml:space="preserve">
Formula changes from this period on</t>
        </r>
      </text>
    </comment>
    <comment ref="CA503" authorId="0">
      <text>
        <r>
          <rPr>
            <b/>
            <sz val="8"/>
            <color indexed="81"/>
            <rFont val="Tahoma"/>
            <family val="2"/>
          </rPr>
          <t>sanclaur:</t>
        </r>
        <r>
          <rPr>
            <sz val="8"/>
            <color indexed="81"/>
            <rFont val="Tahoma"/>
            <family val="2"/>
          </rPr>
          <t xml:space="preserve">
Formula changes from this period on</t>
        </r>
      </text>
    </comment>
    <comment ref="GP510" authorId="6">
      <text>
        <r>
          <rPr>
            <b/>
            <sz val="9"/>
            <color indexed="81"/>
            <rFont val="Tahoma"/>
            <family val="2"/>
          </rPr>
          <t>Huang, Bob (Research):</t>
        </r>
        <r>
          <rPr>
            <sz val="9"/>
            <color indexed="81"/>
            <rFont val="Tahoma"/>
            <family val="2"/>
          </rPr>
          <t xml:space="preserve">
4Q17 call: 15-17%
We estimate our GAAP-effective tax rate will be in the 15% to 17% range over the near term. This includes a range of 14% to
16% for Annuities, 15% to 17% for RPS, 19% to 21% for Life Insurance and 21% for Group Protection.</t>
        </r>
      </text>
    </comment>
    <comment ref="EA511" authorId="2">
      <text>
        <r>
          <rPr>
            <b/>
            <sz val="8"/>
            <color indexed="81"/>
            <rFont val="Tahoma"/>
            <family val="2"/>
          </rPr>
          <t>Zheng, Chaodan (Research):</t>
        </r>
        <r>
          <rPr>
            <sz val="8"/>
            <color indexed="81"/>
            <rFont val="Tahoma"/>
            <family val="2"/>
          </rPr>
          <t xml:space="preserve">
call with mgmt:
one-timers:
- about $25 million or $0.10 a share from alts
- $17 million was in life, remaining $4 million in annuities, and the rest in RPS and group</t>
        </r>
      </text>
    </comment>
    <comment ref="EC511" authorId="2">
      <text>
        <r>
          <rPr>
            <b/>
            <sz val="8"/>
            <color indexed="81"/>
            <rFont val="Tahoma"/>
            <family val="2"/>
          </rPr>
          <t>Zheng, Chaodan (Research):</t>
        </r>
        <r>
          <rPr>
            <sz val="8"/>
            <color indexed="81"/>
            <rFont val="Tahoma"/>
            <family val="2"/>
          </rPr>
          <t xml:space="preserve">
call with mgmt:
one-timers:
- about $25 million or $0.10 a share from alts
- $17 million was in life, remaining $4 million in annuities, and the rest in RPS and group</t>
        </r>
      </text>
    </comment>
    <comment ref="EE511" authorId="2">
      <text>
        <r>
          <rPr>
            <b/>
            <sz val="8"/>
            <color indexed="81"/>
            <rFont val="Tahoma"/>
            <family val="2"/>
          </rPr>
          <t>Zheng, Chaodan (Research):</t>
        </r>
        <r>
          <rPr>
            <sz val="8"/>
            <color indexed="81"/>
            <rFont val="Tahoma"/>
            <family val="2"/>
          </rPr>
          <t xml:space="preserve">
call with mgmt:
one-timers:
- about $25 million or $0.10 a share from alts
- $17 million was in life, remaining $4 million in annuities, and the rest in RPS and group</t>
        </r>
      </text>
    </comment>
    <comment ref="EG511" authorId="2">
      <text>
        <r>
          <rPr>
            <b/>
            <sz val="8"/>
            <color indexed="81"/>
            <rFont val="Tahoma"/>
            <family val="2"/>
          </rPr>
          <t>Zheng, Chaodan (Research):</t>
        </r>
        <r>
          <rPr>
            <sz val="8"/>
            <color indexed="81"/>
            <rFont val="Tahoma"/>
            <family val="2"/>
          </rPr>
          <t xml:space="preserve">
call with mgmt:
one-timers:
- about $25 million or $0.10 a share from alts
- $17 million was in life, remaining $4 million in annuities, and the rest in RPS and group</t>
        </r>
      </text>
    </comment>
    <comment ref="EI511" authorId="2">
      <text>
        <r>
          <rPr>
            <b/>
            <sz val="8"/>
            <color indexed="81"/>
            <rFont val="Tahoma"/>
            <family val="2"/>
          </rPr>
          <t>Zheng, Chaodan (Research):</t>
        </r>
        <r>
          <rPr>
            <sz val="8"/>
            <color indexed="81"/>
            <rFont val="Tahoma"/>
            <family val="2"/>
          </rPr>
          <t xml:space="preserve">
call with mgmt:
one-timers:
- about $25 million or $0.10 a share from alts
- $17 million was in life, remaining $4 million in annuities, and the rest in RPS and group</t>
        </r>
      </text>
    </comment>
    <comment ref="EK511" authorId="2">
      <text>
        <r>
          <rPr>
            <b/>
            <sz val="8"/>
            <color indexed="81"/>
            <rFont val="Tahoma"/>
            <family val="2"/>
          </rPr>
          <t>Zheng, Chaodan (Research):</t>
        </r>
        <r>
          <rPr>
            <sz val="8"/>
            <color indexed="81"/>
            <rFont val="Tahoma"/>
            <family val="2"/>
          </rPr>
          <t xml:space="preserve">
call with mgmt:
one-timers:
- about $25 million or $0.10 a share from alts
- $17 million was in life, remaining $4 million in annuities, and the rest in RPS and group</t>
        </r>
      </text>
    </comment>
    <comment ref="EM511" authorId="2">
      <text>
        <r>
          <rPr>
            <b/>
            <sz val="8"/>
            <color indexed="81"/>
            <rFont val="Tahoma"/>
            <family val="2"/>
          </rPr>
          <t>Zheng, Chaodan (Research):</t>
        </r>
        <r>
          <rPr>
            <sz val="8"/>
            <color indexed="81"/>
            <rFont val="Tahoma"/>
            <family val="2"/>
          </rPr>
          <t xml:space="preserve">
call with mgmt:
one-timers:
- about $25 million or $0.10 a share from alts
- $17 million was in life, remaining $4 million in annuities, and the rest in RPS and group</t>
        </r>
      </text>
    </comment>
    <comment ref="EO511" authorId="2">
      <text>
        <r>
          <rPr>
            <b/>
            <sz val="8"/>
            <color indexed="81"/>
            <rFont val="Tahoma"/>
            <family val="2"/>
          </rPr>
          <t>Zheng, Chaodan (Research):</t>
        </r>
        <r>
          <rPr>
            <sz val="8"/>
            <color indexed="81"/>
            <rFont val="Tahoma"/>
            <family val="2"/>
          </rPr>
          <t xml:space="preserve">
call with mgmt:
one-timers:
- about $25 million or $0.10 a share from alts
- $17 million was in life, remaining $4 million in annuities, and the rest in RPS and group</t>
        </r>
      </text>
    </comment>
    <comment ref="EU548" authorId="1">
      <text>
        <r>
          <rPr>
            <b/>
            <sz val="9"/>
            <color indexed="81"/>
            <rFont val="Tahoma"/>
            <family val="2"/>
          </rPr>
          <t>Gupta, Tanmay (Research):</t>
        </r>
        <r>
          <rPr>
            <sz val="9"/>
            <color indexed="81"/>
            <rFont val="Tahoma"/>
            <family val="2"/>
          </rPr>
          <t xml:space="preserve">
Integration Costs for LLAC acquisition</t>
        </r>
      </text>
    </comment>
    <comment ref="EW548" authorId="1">
      <text>
        <r>
          <rPr>
            <b/>
            <sz val="9"/>
            <color indexed="81"/>
            <rFont val="Tahoma"/>
            <family val="2"/>
          </rPr>
          <t>Gupta, Tanmay (Research):</t>
        </r>
        <r>
          <rPr>
            <sz val="9"/>
            <color indexed="81"/>
            <rFont val="Tahoma"/>
            <family val="2"/>
          </rPr>
          <t xml:space="preserve">
Integration Costs for LLAC acquisition</t>
        </r>
      </text>
    </comment>
    <comment ref="GR548" authorId="1">
      <text>
        <r>
          <rPr>
            <b/>
            <sz val="9"/>
            <color indexed="81"/>
            <rFont val="Tahoma"/>
            <family val="2"/>
          </rPr>
          <t>Gupta, Tanmay (Research):</t>
        </r>
        <r>
          <rPr>
            <sz val="9"/>
            <color indexed="81"/>
            <rFont val="Tahoma"/>
            <family val="2"/>
          </rPr>
          <t xml:space="preserve">
Integration Costs for LLAC acquisition. $150mn PT</t>
        </r>
      </text>
    </comment>
    <comment ref="GT548" authorId="1">
      <text>
        <r>
          <rPr>
            <b/>
            <sz val="9"/>
            <color indexed="81"/>
            <rFont val="Tahoma"/>
            <family val="2"/>
          </rPr>
          <t>Gupta, Tanmay (Research):</t>
        </r>
        <r>
          <rPr>
            <sz val="9"/>
            <color indexed="81"/>
            <rFont val="Tahoma"/>
            <family val="2"/>
          </rPr>
          <t xml:space="preserve">
Integration Costs for LLAC acquisition</t>
        </r>
      </text>
    </comment>
    <comment ref="GD549" authorId="12">
      <text>
        <r>
          <rPr>
            <b/>
            <sz val="8"/>
            <color indexed="81"/>
            <rFont val="Tahoma"/>
            <family val="2"/>
          </rPr>
          <t>dianaz:</t>
        </r>
        <r>
          <rPr>
            <sz val="8"/>
            <color indexed="81"/>
            <rFont val="Tahoma"/>
            <family val="2"/>
          </rPr>
          <t xml:space="preserve">
as shown in the supplement</t>
        </r>
      </text>
    </comment>
    <comment ref="EI588" authorId="1">
      <text>
        <r>
          <rPr>
            <b/>
            <sz val="9"/>
            <color indexed="81"/>
            <rFont val="Tahoma"/>
            <family val="2"/>
          </rPr>
          <t>Gupta, Tanmay (Research):</t>
        </r>
        <r>
          <rPr>
            <sz val="9"/>
            <color indexed="81"/>
            <rFont val="Tahoma"/>
            <family val="2"/>
          </rPr>
          <t xml:space="preserve">
3Q16: Increased to 0.29</t>
        </r>
      </text>
    </comment>
    <comment ref="EQ588" authorId="1">
      <text>
        <r>
          <rPr>
            <b/>
            <sz val="9"/>
            <color indexed="81"/>
            <rFont val="Tahoma"/>
            <family val="2"/>
          </rPr>
          <t>Gupta, Tanmay (Research):</t>
        </r>
        <r>
          <rPr>
            <sz val="9"/>
            <color indexed="81"/>
            <rFont val="Tahoma"/>
            <family val="2"/>
          </rPr>
          <t xml:space="preserve">
3Q17: Increased dividend to 0.33 in 1Q18</t>
        </r>
      </text>
    </comment>
    <comment ref="FN590" authorId="7">
      <text>
        <r>
          <rPr>
            <sz val="8"/>
            <color indexed="81"/>
            <rFont val="Tahoma"/>
            <family val="2"/>
          </rPr>
          <t>$250M per the 10K</t>
        </r>
      </text>
    </comment>
    <comment ref="AO598" authorId="3">
      <text>
        <r>
          <rPr>
            <sz val="8"/>
            <color indexed="81"/>
            <rFont val="Tahoma"/>
            <family val="2"/>
          </rPr>
          <t xml:space="preserve">Source: 8K
</t>
        </r>
      </text>
    </comment>
    <comment ref="AQ598" authorId="3">
      <text>
        <r>
          <rPr>
            <sz val="8"/>
            <color indexed="81"/>
            <rFont val="Tahoma"/>
            <family val="2"/>
          </rPr>
          <t xml:space="preserve">Source: 8K
</t>
        </r>
      </text>
    </comment>
    <comment ref="AS598" authorId="3">
      <text>
        <r>
          <rPr>
            <sz val="8"/>
            <color indexed="81"/>
            <rFont val="Tahoma"/>
            <family val="2"/>
          </rPr>
          <t xml:space="preserve">Source: 8K
</t>
        </r>
      </text>
    </comment>
    <comment ref="EA601" authorId="2">
      <text>
        <r>
          <rPr>
            <b/>
            <sz val="8"/>
            <color indexed="81"/>
            <rFont val="Tahoma"/>
            <family val="2"/>
          </rPr>
          <t>Zheng, Chaodan (Research):</t>
        </r>
        <r>
          <rPr>
            <sz val="8"/>
            <color indexed="81"/>
            <rFont val="Tahoma"/>
            <family val="2"/>
          </rPr>
          <t xml:space="preserve">
call with mgmt:
- still a fair amount of capital left that will be put to work </t>
        </r>
      </text>
    </comment>
    <comment ref="EC601" authorId="2">
      <text>
        <r>
          <rPr>
            <b/>
            <sz val="8"/>
            <color indexed="81"/>
            <rFont val="Tahoma"/>
            <family val="2"/>
          </rPr>
          <t>Zheng, Chaodan (Research):</t>
        </r>
        <r>
          <rPr>
            <sz val="8"/>
            <color indexed="81"/>
            <rFont val="Tahoma"/>
            <family val="2"/>
          </rPr>
          <t xml:space="preserve">
call with mgmt:
- still a fair amount of capital left that will be put to work </t>
        </r>
      </text>
    </comment>
    <comment ref="EE601" authorId="2">
      <text>
        <r>
          <rPr>
            <b/>
            <sz val="8"/>
            <color indexed="81"/>
            <rFont val="Tahoma"/>
            <family val="2"/>
          </rPr>
          <t>Zheng, Chaodan (Research):</t>
        </r>
        <r>
          <rPr>
            <sz val="8"/>
            <color indexed="81"/>
            <rFont val="Tahoma"/>
            <family val="2"/>
          </rPr>
          <t xml:space="preserve">
call with mgmt:
- still a fair amount of capital left that will be put to work </t>
        </r>
      </text>
    </comment>
    <comment ref="EG601" authorId="2">
      <text>
        <r>
          <rPr>
            <b/>
            <sz val="8"/>
            <color indexed="81"/>
            <rFont val="Tahoma"/>
            <family val="2"/>
          </rPr>
          <t>Zheng, Chaodan (Research):</t>
        </r>
        <r>
          <rPr>
            <sz val="8"/>
            <color indexed="81"/>
            <rFont val="Tahoma"/>
            <family val="2"/>
          </rPr>
          <t xml:space="preserve">
call with mgmt:
- still a fair amount of capital left that will be put to work </t>
        </r>
      </text>
    </comment>
    <comment ref="EQ601" authorId="1">
      <text>
        <r>
          <rPr>
            <b/>
            <sz val="9"/>
            <color indexed="81"/>
            <rFont val="Tahoma"/>
            <family val="2"/>
          </rPr>
          <t>Gupta, Tanmay (Research):</t>
        </r>
        <r>
          <rPr>
            <sz val="9"/>
            <color indexed="81"/>
            <rFont val="Tahoma"/>
            <family val="2"/>
          </rPr>
          <t xml:space="preserve">
Suspended share repurchase until 3Q18 for acquisition</t>
        </r>
      </text>
    </comment>
    <comment ref="GH601" authorId="22">
      <text>
        <r>
          <rPr>
            <b/>
            <sz val="9"/>
            <color indexed="81"/>
            <rFont val="Tahoma"/>
            <family val="2"/>
          </rPr>
          <t>Rojas, Isabel (Research):</t>
        </r>
        <r>
          <rPr>
            <sz val="9"/>
            <color indexed="81"/>
            <rFont val="Tahoma"/>
            <family val="2"/>
          </rPr>
          <t xml:space="preserve">
3Q14 guid: will exceed guidance
2Q14 guid: Meet or exceed repurchase guidance
500-550mn</t>
        </r>
      </text>
    </comment>
    <comment ref="GJ601" authorId="19">
      <text>
        <r>
          <rPr>
            <b/>
            <sz val="9"/>
            <color indexed="81"/>
            <rFont val="Tahoma"/>
            <family val="2"/>
          </rPr>
          <t>Zamora, Diana (Research):</t>
        </r>
        <r>
          <rPr>
            <sz val="9"/>
            <color indexed="81"/>
            <rFont val="Tahoma"/>
            <family val="2"/>
          </rPr>
          <t xml:space="preserve">
4Q14 guid call: to exceed $650mn </t>
        </r>
      </text>
    </comment>
    <comment ref="GL601" authorId="1">
      <text>
        <r>
          <rPr>
            <b/>
            <sz val="9"/>
            <color indexed="81"/>
            <rFont val="Tahoma"/>
            <family val="2"/>
          </rPr>
          <t>Gupta, Tanmay (Research):</t>
        </r>
        <r>
          <rPr>
            <sz val="9"/>
            <color indexed="81"/>
            <rFont val="Tahoma"/>
            <family val="2"/>
          </rPr>
          <t xml:space="preserve">
May 27, 2016: Increased share repurchase authorization to $1 billion</t>
        </r>
      </text>
    </comment>
    <comment ref="B610" authorId="5">
      <text>
        <r>
          <rPr>
            <b/>
            <sz val="8"/>
            <color indexed="81"/>
            <rFont val="Tahoma"/>
            <family val="2"/>
          </rPr>
          <t>haybuse:</t>
        </r>
        <r>
          <rPr>
            <sz val="8"/>
            <color indexed="81"/>
            <rFont val="Tahoma"/>
            <family val="2"/>
          </rPr>
          <t xml:space="preserve">
on Balance sheet</t>
        </r>
      </text>
    </comment>
    <comment ref="BY611" authorId="0">
      <text>
        <r>
          <rPr>
            <b/>
            <sz val="8"/>
            <color indexed="81"/>
            <rFont val="Tahoma"/>
            <family val="2"/>
          </rPr>
          <t>sanclaur:</t>
        </r>
        <r>
          <rPr>
            <sz val="8"/>
            <color indexed="81"/>
            <rFont val="Tahoma"/>
            <family val="2"/>
          </rPr>
          <t xml:space="preserve">
MW data quality issue: the # of av. diluted shares is lower than the # of av. basic shares
Checked with 10Q - EPS calculated with basic EPS since using diluted shares would have been anti-dilutive</t>
        </r>
      </text>
    </comment>
    <comment ref="CO611" authorId="0">
      <text>
        <r>
          <rPr>
            <b/>
            <sz val="8"/>
            <color indexed="81"/>
            <rFont val="Tahoma"/>
            <family val="2"/>
          </rPr>
          <t>sanclaur:</t>
        </r>
        <r>
          <rPr>
            <sz val="8"/>
            <color indexed="81"/>
            <rFont val="Tahoma"/>
            <family val="2"/>
          </rPr>
          <t xml:space="preserve">
adjusted by +0.2M to match Op. EPS from 2Q12 Supplement</t>
        </r>
      </text>
    </comment>
    <comment ref="DU611" authorId="1">
      <text>
        <r>
          <rPr>
            <b/>
            <sz val="9"/>
            <color indexed="81"/>
            <rFont val="Tahoma"/>
            <family val="2"/>
          </rPr>
          <t>Gupta, Tanmay (Research):</t>
        </r>
        <r>
          <rPr>
            <sz val="9"/>
            <color indexed="81"/>
            <rFont val="Tahoma"/>
            <family val="2"/>
          </rPr>
          <t xml:space="preserve">
decreased by 0.2 to match op EPS</t>
        </r>
      </text>
    </comment>
    <comment ref="FF614" authorId="0">
      <text>
        <r>
          <rPr>
            <b/>
            <sz val="8"/>
            <color indexed="81"/>
            <rFont val="Tahoma"/>
            <family val="2"/>
          </rPr>
          <t>sanclaur:</t>
        </r>
        <r>
          <rPr>
            <sz val="8"/>
            <color indexed="81"/>
            <rFont val="Tahoma"/>
            <family val="2"/>
          </rPr>
          <t xml:space="preserve">
Linked to Qs</t>
        </r>
      </text>
    </comment>
    <comment ref="FH614" authorId="0">
      <text>
        <r>
          <rPr>
            <b/>
            <sz val="8"/>
            <color indexed="81"/>
            <rFont val="Tahoma"/>
            <family val="2"/>
          </rPr>
          <t>sanclaur:</t>
        </r>
        <r>
          <rPr>
            <sz val="8"/>
            <color indexed="81"/>
            <rFont val="Tahoma"/>
            <family val="2"/>
          </rPr>
          <t xml:space="preserve">
Linked to Qs</t>
        </r>
      </text>
    </comment>
    <comment ref="FJ614" authorId="0">
      <text>
        <r>
          <rPr>
            <b/>
            <sz val="8"/>
            <color indexed="81"/>
            <rFont val="Tahoma"/>
            <family val="2"/>
          </rPr>
          <t>sanclaur:</t>
        </r>
        <r>
          <rPr>
            <sz val="8"/>
            <color indexed="81"/>
            <rFont val="Tahoma"/>
            <family val="2"/>
          </rPr>
          <t xml:space="preserve">
Linked to Qs</t>
        </r>
      </text>
    </comment>
    <comment ref="FL614" authorId="0">
      <text>
        <r>
          <rPr>
            <b/>
            <sz val="8"/>
            <color indexed="81"/>
            <rFont val="Tahoma"/>
            <family val="2"/>
          </rPr>
          <t>sanclaur:</t>
        </r>
        <r>
          <rPr>
            <sz val="8"/>
            <color indexed="81"/>
            <rFont val="Tahoma"/>
            <family val="2"/>
          </rPr>
          <t xml:space="preserve">
Linked to Qs</t>
        </r>
      </text>
    </comment>
    <comment ref="FN614" authorId="0">
      <text>
        <r>
          <rPr>
            <b/>
            <sz val="8"/>
            <color indexed="81"/>
            <rFont val="Tahoma"/>
            <family val="2"/>
          </rPr>
          <t>sanclaur:</t>
        </r>
        <r>
          <rPr>
            <sz val="8"/>
            <color indexed="81"/>
            <rFont val="Tahoma"/>
            <family val="2"/>
          </rPr>
          <t xml:space="preserve">
Linked to Qs</t>
        </r>
      </text>
    </comment>
    <comment ref="CS617" authorId="5">
      <text>
        <r>
          <rPr>
            <b/>
            <sz val="8"/>
            <color indexed="81"/>
            <rFont val="Tahoma"/>
            <family val="2"/>
          </rPr>
          <t>haybuse:</t>
        </r>
        <r>
          <rPr>
            <sz val="8"/>
            <color indexed="81"/>
            <rFont val="Tahoma"/>
            <family val="2"/>
          </rPr>
          <t xml:space="preserve">
diluted shares are anit dilutive bc lloss</t>
        </r>
      </text>
    </comment>
    <comment ref="DM618" authorId="19">
      <text>
        <r>
          <rPr>
            <b/>
            <sz val="9"/>
            <color indexed="81"/>
            <rFont val="Tahoma"/>
            <family val="2"/>
          </rPr>
          <t>Zamora, Diana (Research):</t>
        </r>
        <r>
          <rPr>
            <sz val="9"/>
            <color indexed="81"/>
            <rFont val="Tahoma"/>
            <family val="2"/>
          </rPr>
          <t xml:space="preserve">
Adjusted to reflect $0.04 of abnormals related to taxes and expenses mentioned in the earnings release</t>
        </r>
      </text>
    </comment>
    <comment ref="GP618" authorId="1">
      <text>
        <r>
          <rPr>
            <b/>
            <sz val="9"/>
            <color indexed="81"/>
            <rFont val="Tahoma"/>
            <family val="2"/>
          </rPr>
          <t>Gupta, Tanmay (Research):</t>
        </r>
        <r>
          <rPr>
            <sz val="9"/>
            <color indexed="81"/>
            <rFont val="Tahoma"/>
            <family val="2"/>
          </rPr>
          <t xml:space="preserve">
2017 Investor Day: Expected to be towards the low end of 8-10% range</t>
        </r>
      </text>
    </comment>
    <comment ref="EA620" authorId="2">
      <text>
        <r>
          <rPr>
            <b/>
            <sz val="8"/>
            <color indexed="81"/>
            <rFont val="Tahoma"/>
            <family val="2"/>
          </rPr>
          <t>Zheng, Chaodan (Research):</t>
        </r>
        <r>
          <rPr>
            <sz val="8"/>
            <color indexed="81"/>
            <rFont val="Tahoma"/>
            <family val="2"/>
          </rPr>
          <t xml:space="preserve">
call with mgmt:
</t>
        </r>
        <r>
          <rPr>
            <i/>
            <sz val="8"/>
            <color indexed="81"/>
            <rFont val="Tahoma"/>
            <family val="2"/>
          </rPr>
          <t xml:space="preserve">Below the Line </t>
        </r>
        <r>
          <rPr>
            <sz val="8"/>
            <color indexed="81"/>
            <rFont val="Tahoma"/>
            <family val="2"/>
          </rPr>
          <t xml:space="preserve">
- had the net derivative loss with VA program of $27 million
- hedge breakage offset by NPR
- $28 million of investment losses that are largely energy-related
- also legal settlement that ran through realized losses</t>
        </r>
      </text>
    </comment>
    <comment ref="EC620" authorId="2">
      <text>
        <r>
          <rPr>
            <b/>
            <sz val="8"/>
            <color indexed="81"/>
            <rFont val="Tahoma"/>
            <family val="2"/>
          </rPr>
          <t>Zheng, Chaodan (Research):</t>
        </r>
        <r>
          <rPr>
            <sz val="8"/>
            <color indexed="81"/>
            <rFont val="Tahoma"/>
            <family val="2"/>
          </rPr>
          <t xml:space="preserve">
call with mgmt:
</t>
        </r>
        <r>
          <rPr>
            <i/>
            <sz val="8"/>
            <color indexed="81"/>
            <rFont val="Tahoma"/>
            <family val="2"/>
          </rPr>
          <t xml:space="preserve">Below the Line </t>
        </r>
        <r>
          <rPr>
            <sz val="8"/>
            <color indexed="81"/>
            <rFont val="Tahoma"/>
            <family val="2"/>
          </rPr>
          <t xml:space="preserve">
- had the net derivative loss with VA program of $27 million
- hedge breakage offset by NPR
- $28 million of investment losses that are largely energy-related
- also legal settlement that ran through realized losses</t>
        </r>
      </text>
    </comment>
    <comment ref="EE620" authorId="2">
      <text>
        <r>
          <rPr>
            <b/>
            <sz val="8"/>
            <color indexed="81"/>
            <rFont val="Tahoma"/>
            <family val="2"/>
          </rPr>
          <t>Zheng, Chaodan (Research):</t>
        </r>
        <r>
          <rPr>
            <sz val="8"/>
            <color indexed="81"/>
            <rFont val="Tahoma"/>
            <family val="2"/>
          </rPr>
          <t xml:space="preserve">
call with mgmt:
</t>
        </r>
        <r>
          <rPr>
            <i/>
            <sz val="8"/>
            <color indexed="81"/>
            <rFont val="Tahoma"/>
            <family val="2"/>
          </rPr>
          <t xml:space="preserve">Below the Line </t>
        </r>
        <r>
          <rPr>
            <sz val="8"/>
            <color indexed="81"/>
            <rFont val="Tahoma"/>
            <family val="2"/>
          </rPr>
          <t xml:space="preserve">
- had the net derivative loss with VA program of $27 million
- hedge breakage offset by NPR
- $28 million of investment losses that are largely energy-related
- also legal settlement that ran through realized losses</t>
        </r>
      </text>
    </comment>
    <comment ref="EG620" authorId="2">
      <text>
        <r>
          <rPr>
            <b/>
            <sz val="8"/>
            <color indexed="81"/>
            <rFont val="Tahoma"/>
            <family val="2"/>
          </rPr>
          <t>Zheng, Chaodan (Research):</t>
        </r>
        <r>
          <rPr>
            <sz val="8"/>
            <color indexed="81"/>
            <rFont val="Tahoma"/>
            <family val="2"/>
          </rPr>
          <t xml:space="preserve">
call with mgmt:
</t>
        </r>
        <r>
          <rPr>
            <i/>
            <sz val="8"/>
            <color indexed="81"/>
            <rFont val="Tahoma"/>
            <family val="2"/>
          </rPr>
          <t xml:space="preserve">Below the Line </t>
        </r>
        <r>
          <rPr>
            <sz val="8"/>
            <color indexed="81"/>
            <rFont val="Tahoma"/>
            <family val="2"/>
          </rPr>
          <t xml:space="preserve">
- had the net derivative loss with VA program of $27 million
- hedge breakage offset by NPR
- $28 million of investment losses that are largely energy-related
- also legal settlement that ran through realized losses</t>
        </r>
      </text>
    </comment>
    <comment ref="EI620" authorId="2">
      <text>
        <r>
          <rPr>
            <b/>
            <sz val="8"/>
            <color indexed="81"/>
            <rFont val="Tahoma"/>
            <family val="2"/>
          </rPr>
          <t>Zheng, Chaodan (Research):</t>
        </r>
        <r>
          <rPr>
            <sz val="8"/>
            <color indexed="81"/>
            <rFont val="Tahoma"/>
            <family val="2"/>
          </rPr>
          <t xml:space="preserve">
call with mgmt:
</t>
        </r>
        <r>
          <rPr>
            <i/>
            <sz val="8"/>
            <color indexed="81"/>
            <rFont val="Tahoma"/>
            <family val="2"/>
          </rPr>
          <t xml:space="preserve">Below the Line </t>
        </r>
        <r>
          <rPr>
            <sz val="8"/>
            <color indexed="81"/>
            <rFont val="Tahoma"/>
            <family val="2"/>
          </rPr>
          <t xml:space="preserve">
- had the net derivative loss with VA program of $27 million
- hedge breakage offset by NPR
- $28 million of investment losses that are largely energy-related
- also legal settlement that ran through realized losses</t>
        </r>
      </text>
    </comment>
    <comment ref="EK620" authorId="2">
      <text>
        <r>
          <rPr>
            <b/>
            <sz val="8"/>
            <color indexed="81"/>
            <rFont val="Tahoma"/>
            <family val="2"/>
          </rPr>
          <t>Zheng, Chaodan (Research):</t>
        </r>
        <r>
          <rPr>
            <sz val="8"/>
            <color indexed="81"/>
            <rFont val="Tahoma"/>
            <family val="2"/>
          </rPr>
          <t xml:space="preserve">
call with mgmt:
</t>
        </r>
        <r>
          <rPr>
            <i/>
            <sz val="8"/>
            <color indexed="81"/>
            <rFont val="Tahoma"/>
            <family val="2"/>
          </rPr>
          <t xml:space="preserve">Below the Line </t>
        </r>
        <r>
          <rPr>
            <sz val="8"/>
            <color indexed="81"/>
            <rFont val="Tahoma"/>
            <family val="2"/>
          </rPr>
          <t xml:space="preserve">
- had the net derivative loss with VA program of $27 million
- hedge breakage offset by NPR
- $28 million of investment losses that are largely energy-related
- also legal settlement that ran through realized losses</t>
        </r>
      </text>
    </comment>
    <comment ref="EM620" authorId="2">
      <text>
        <r>
          <rPr>
            <b/>
            <sz val="8"/>
            <color indexed="81"/>
            <rFont val="Tahoma"/>
            <family val="2"/>
          </rPr>
          <t>Zheng, Chaodan (Research):</t>
        </r>
        <r>
          <rPr>
            <sz val="8"/>
            <color indexed="81"/>
            <rFont val="Tahoma"/>
            <family val="2"/>
          </rPr>
          <t xml:space="preserve">
call with mgmt:
</t>
        </r>
        <r>
          <rPr>
            <i/>
            <sz val="8"/>
            <color indexed="81"/>
            <rFont val="Tahoma"/>
            <family val="2"/>
          </rPr>
          <t xml:space="preserve">Below the Line </t>
        </r>
        <r>
          <rPr>
            <sz val="8"/>
            <color indexed="81"/>
            <rFont val="Tahoma"/>
            <family val="2"/>
          </rPr>
          <t xml:space="preserve">
- had the net derivative loss with VA program of $27 million
- hedge breakage offset by NPR
- $28 million of investment losses that are largely energy-related
- also legal settlement that ran through realized losses</t>
        </r>
      </text>
    </comment>
    <comment ref="EO620" authorId="2">
      <text>
        <r>
          <rPr>
            <b/>
            <sz val="8"/>
            <color indexed="81"/>
            <rFont val="Tahoma"/>
            <family val="2"/>
          </rPr>
          <t>Zheng, Chaodan (Research):</t>
        </r>
        <r>
          <rPr>
            <sz val="8"/>
            <color indexed="81"/>
            <rFont val="Tahoma"/>
            <family val="2"/>
          </rPr>
          <t xml:space="preserve">
call with mgmt:
</t>
        </r>
        <r>
          <rPr>
            <i/>
            <sz val="8"/>
            <color indexed="81"/>
            <rFont val="Tahoma"/>
            <family val="2"/>
          </rPr>
          <t xml:space="preserve">Below the Line </t>
        </r>
        <r>
          <rPr>
            <sz val="8"/>
            <color indexed="81"/>
            <rFont val="Tahoma"/>
            <family val="2"/>
          </rPr>
          <t xml:space="preserve">
- had the net derivative loss with VA program of $27 million
- hedge breakage offset by NPR
- $28 million of investment losses that are largely energy-related
- also legal settlement that ran through realized losses</t>
        </r>
      </text>
    </comment>
    <comment ref="GL622" authorId="14">
      <text>
        <r>
          <rPr>
            <b/>
            <sz val="9"/>
            <color indexed="81"/>
            <rFont val="Tahoma"/>
            <family val="2"/>
          </rPr>
          <t>Sanchez Bolanos, Laura (Research):</t>
        </r>
        <r>
          <rPr>
            <sz val="9"/>
            <color indexed="81"/>
            <rFont val="Tahoma"/>
            <family val="2"/>
          </rPr>
          <t xml:space="preserve">
linked to core for estimated periods</t>
        </r>
      </text>
    </comment>
    <comment ref="AO644" authorId="18">
      <text>
        <r>
          <rPr>
            <b/>
            <sz val="8"/>
            <color indexed="81"/>
            <rFont val="Tahoma"/>
            <family val="2"/>
          </rPr>
          <t>Redeemed $120 MM of debt in Oct 2004</t>
        </r>
      </text>
    </comment>
    <comment ref="AQ644" authorId="18">
      <text>
        <r>
          <rPr>
            <b/>
            <sz val="8"/>
            <color indexed="81"/>
            <rFont val="Tahoma"/>
            <family val="2"/>
          </rPr>
          <t>Redeemed $120 MM of debt in Oct 2004</t>
        </r>
      </text>
    </comment>
    <comment ref="EQ644" authorId="1">
      <text>
        <r>
          <rPr>
            <b/>
            <sz val="9"/>
            <color indexed="81"/>
            <rFont val="Tahoma"/>
            <family val="2"/>
          </rPr>
          <t>Gupta, Tanmay (Research):</t>
        </r>
        <r>
          <rPr>
            <sz val="9"/>
            <color indexed="81"/>
            <rFont val="Tahoma"/>
            <family val="2"/>
          </rPr>
          <t xml:space="preserve">
$500mn incremental debt for acquisition</t>
        </r>
      </text>
    </comment>
    <comment ref="FR644" authorId="4">
      <text>
        <r>
          <rPr>
            <sz val="8"/>
            <color indexed="81"/>
            <rFont val="Tahoma"/>
            <family val="2"/>
          </rPr>
          <t>$300 MM in debt raised to pay for JP merger</t>
        </r>
      </text>
    </comment>
    <comment ref="B653" authorId="21">
      <text>
        <r>
          <rPr>
            <sz val="8"/>
            <color indexed="81"/>
            <rFont val="Tahoma"/>
            <family val="2"/>
          </rPr>
          <t>Figure found in the 10Q</t>
        </r>
      </text>
    </comment>
    <comment ref="B654" authorId="21">
      <text>
        <r>
          <rPr>
            <sz val="8"/>
            <color indexed="81"/>
            <rFont val="Tahoma"/>
            <family val="2"/>
          </rPr>
          <t>Figure found in the 10Q</t>
        </r>
      </text>
    </comment>
    <comment ref="DK656" authorId="12">
      <text>
        <r>
          <rPr>
            <b/>
            <sz val="8"/>
            <color indexed="81"/>
            <rFont val="Tahoma"/>
            <family val="2"/>
          </rPr>
          <t>dianaz:</t>
        </r>
        <r>
          <rPr>
            <sz val="8"/>
            <color indexed="81"/>
            <rFont val="Tahoma"/>
            <family val="2"/>
          </rPr>
          <t xml:space="preserve">
Rounding issues
Adjusting to $1mn to make BVPS match with the release</t>
        </r>
      </text>
    </comment>
    <comment ref="FR662" authorId="4">
      <text>
        <r>
          <rPr>
            <sz val="8"/>
            <color indexed="81"/>
            <rFont val="Tahoma"/>
            <family val="2"/>
          </rPr>
          <t>Average Equity assumes deal complete in 1Q06</t>
        </r>
      </text>
    </comment>
    <comment ref="FR663" authorId="4">
      <text>
        <r>
          <rPr>
            <sz val="8"/>
            <color indexed="81"/>
            <rFont val="Tahoma"/>
            <family val="2"/>
          </rPr>
          <t>Average Equity assumes deal complete in 1Q06</t>
        </r>
      </text>
    </comment>
    <comment ref="CW681" authorId="11">
      <text>
        <r>
          <rPr>
            <b/>
            <sz val="8"/>
            <color indexed="81"/>
            <rFont val="Tahoma"/>
            <family val="2"/>
          </rPr>
          <t>Laura Sanchez:</t>
        </r>
        <r>
          <rPr>
            <sz val="8"/>
            <color indexed="81"/>
            <rFont val="Tahoma"/>
            <family val="2"/>
          </rPr>
          <t xml:space="preserve">
38.16 according to 4Q12 Supp.</t>
        </r>
      </text>
    </comment>
    <comment ref="DM681" authorId="19">
      <text>
        <r>
          <rPr>
            <b/>
            <sz val="9"/>
            <color indexed="81"/>
            <rFont val="Tahoma"/>
            <family val="2"/>
          </rPr>
          <t>Zamora, Diana (Research):</t>
        </r>
        <r>
          <rPr>
            <sz val="9"/>
            <color indexed="81"/>
            <rFont val="Tahoma"/>
            <family val="2"/>
          </rPr>
          <t xml:space="preserve">
Adjusted $1mn in order to match the BVPS in earnings release</t>
        </r>
      </text>
    </comment>
    <comment ref="BK731" authorId="11">
      <text>
        <r>
          <rPr>
            <b/>
            <sz val="8"/>
            <color indexed="81"/>
            <rFont val="Tahoma"/>
            <family val="2"/>
          </rPr>
          <t>Laura Sanchez:</t>
        </r>
        <r>
          <rPr>
            <sz val="8"/>
            <color indexed="81"/>
            <rFont val="Tahoma"/>
            <family val="2"/>
          </rPr>
          <t xml:space="preserve">
formula changes from this period on</t>
        </r>
      </text>
    </comment>
  </commentList>
</comments>
</file>

<file path=xl/comments2.xml><?xml version="1.0" encoding="utf-8"?>
<comments xmlns="http://schemas.openxmlformats.org/spreadsheetml/2006/main">
  <authors>
    <author>dianaz</author>
    <author>Sanchez Bolanos, Laura (Research)</author>
    <author>Zamora, Diana (Research)</author>
    <author>Gupta, Tanmay (Research)</author>
    <author>Rojas, Isabel (Research)</author>
  </authors>
  <commentList>
    <comment ref="X7" authorId="0">
      <text>
        <r>
          <rPr>
            <b/>
            <sz val="8"/>
            <color indexed="81"/>
            <rFont val="Tahoma"/>
            <family val="2"/>
          </rPr>
          <t>dianaz:</t>
        </r>
        <r>
          <rPr>
            <sz val="8"/>
            <color indexed="81"/>
            <rFont val="Tahoma"/>
            <family val="2"/>
          </rPr>
          <t xml:space="preserve">
4Q12 call guidance: mgmt expects recovery in earnings to $80-90mn in 2013</t>
        </r>
      </text>
    </comment>
    <comment ref="Y7" authorId="1">
      <text>
        <r>
          <rPr>
            <b/>
            <sz val="9"/>
            <color indexed="81"/>
            <rFont val="Tahoma"/>
            <family val="2"/>
          </rPr>
          <t>Sanchez Bolanos, Laura (Research):</t>
        </r>
        <r>
          <rPr>
            <sz val="9"/>
            <color indexed="81"/>
            <rFont val="Tahoma"/>
            <family val="2"/>
          </rPr>
          <t xml:space="preserve">
3Q14 guid: wil fall short of guidance
2Q14 call: to be in the lower end of range
4Q13 call</t>
        </r>
      </text>
    </comment>
    <comment ref="Z7" authorId="2">
      <text>
        <r>
          <rPr>
            <b/>
            <sz val="9"/>
            <color indexed="81"/>
            <rFont val="Tahoma"/>
            <family val="2"/>
          </rPr>
          <t>Zamora, Diana (Research):</t>
        </r>
        <r>
          <rPr>
            <sz val="9"/>
            <color indexed="81"/>
            <rFont val="Tahoma"/>
            <family val="2"/>
          </rPr>
          <t xml:space="preserve">
2Q15: target margin of 5-7% by YE 2016
4Q14 guid: "expect earnings to improve but no to be linear" </t>
        </r>
      </text>
    </comment>
    <comment ref="AB9" authorId="3">
      <text>
        <r>
          <rPr>
            <b/>
            <sz val="9"/>
            <color indexed="81"/>
            <rFont val="Tahoma"/>
            <family val="2"/>
          </rPr>
          <t>Gupta, Tanmay (Research):</t>
        </r>
        <r>
          <rPr>
            <sz val="9"/>
            <color indexed="81"/>
            <rFont val="Tahoma"/>
            <family val="2"/>
          </rPr>
          <t xml:space="preserve">
2Q15: target margin range of 5% to 7% by late 2016, early 2017</t>
        </r>
      </text>
    </comment>
    <comment ref="AB17" authorId="4">
      <text>
        <r>
          <rPr>
            <b/>
            <sz val="9"/>
            <color indexed="81"/>
            <rFont val="Tahoma"/>
            <family val="2"/>
          </rPr>
          <t>Gupta, Tanmay (Research):</t>
        </r>
        <r>
          <rPr>
            <sz val="9"/>
            <color indexed="81"/>
            <rFont val="Tahoma"/>
            <family val="2"/>
          </rPr>
          <t xml:space="preserve">
2Q15 call: unchanged
4Q14 call: unchanged
2014 Inv Day (11/20/14): Targeting EPS LT appreciation of 8-10% annually</t>
        </r>
      </text>
    </comment>
    <comment ref="M21" authorId="4">
      <text>
        <r>
          <rPr>
            <b/>
            <sz val="9"/>
            <color indexed="81"/>
            <rFont val="Tahoma"/>
            <family val="2"/>
          </rPr>
          <t>Rojas, Isabel (Research):</t>
        </r>
        <r>
          <rPr>
            <sz val="9"/>
            <color indexed="81"/>
            <rFont val="Tahoma"/>
            <family val="2"/>
          </rPr>
          <t xml:space="preserve">
2014 Inv Day (11/20/14): target of $150-200mn into 4Q14</t>
        </r>
      </text>
    </comment>
    <comment ref="Y21" authorId="4">
      <text>
        <r>
          <rPr>
            <b/>
            <sz val="9"/>
            <color indexed="81"/>
            <rFont val="Tahoma"/>
            <family val="2"/>
          </rPr>
          <t>Rojas, Isabel (Research):</t>
        </r>
        <r>
          <rPr>
            <sz val="9"/>
            <color indexed="81"/>
            <rFont val="Tahoma"/>
            <family val="2"/>
          </rPr>
          <t xml:space="preserve">
3Q14 guid: will exceed guidance
2Q14 guid: Meet or exceed repurchase guidance
500-550mn</t>
        </r>
      </text>
    </comment>
    <comment ref="Z21" authorId="2">
      <text>
        <r>
          <rPr>
            <b/>
            <sz val="9"/>
            <color indexed="81"/>
            <rFont val="Tahoma"/>
            <family val="2"/>
          </rPr>
          <t>Gupta, Tanmay (Research):</t>
        </r>
        <r>
          <rPr>
            <sz val="9"/>
            <color indexed="81"/>
            <rFont val="Tahoma"/>
            <family val="2"/>
          </rPr>
          <t xml:space="preserve">
2Q15: &gt;$650mn. 2 likely reserve financing transactions in 2H15 that would free up a little bit of capital for buybacks
4Q14 guid call: to exceed $650mn </t>
        </r>
      </text>
    </comment>
    <comment ref="R23" authorId="3">
      <text>
        <r>
          <rPr>
            <b/>
            <sz val="9"/>
            <color indexed="81"/>
            <rFont val="Tahoma"/>
            <family val="2"/>
          </rPr>
          <t>Gupta, Tanmay (Research):</t>
        </r>
        <r>
          <rPr>
            <sz val="9"/>
            <color indexed="81"/>
            <rFont val="Tahoma"/>
            <family val="2"/>
          </rPr>
          <t xml:space="preserve">
at 2Q15</t>
        </r>
      </text>
    </comment>
    <comment ref="R24" authorId="3">
      <text>
        <r>
          <rPr>
            <b/>
            <sz val="9"/>
            <color indexed="81"/>
            <rFont val="Tahoma"/>
            <family val="2"/>
          </rPr>
          <t>Gupta, Tanmay (Research):</t>
        </r>
        <r>
          <rPr>
            <sz val="9"/>
            <color indexed="81"/>
            <rFont val="Tahoma"/>
            <family val="2"/>
          </rPr>
          <t xml:space="preserve">
at 2Q15</t>
        </r>
      </text>
    </comment>
  </commentList>
</comments>
</file>

<file path=xl/sharedStrings.xml><?xml version="1.0" encoding="utf-8"?>
<sst xmlns="http://schemas.openxmlformats.org/spreadsheetml/2006/main" count="1865" uniqueCount="1105">
  <si>
    <t xml:space="preserve">Incl = Including         Avg = Average       AUM =  Assets under Management            Es  = Esuity        Op = Operating       </t>
  </si>
  <si>
    <t>LNC = Lincoln National              Es = Esuity</t>
  </si>
  <si>
    <t>Disc Operations - Net Inc Adj</t>
  </si>
  <si>
    <t>Other Operating Expenses</t>
  </si>
  <si>
    <t>Abnormal Income</t>
  </si>
  <si>
    <t>4Q03</t>
  </si>
  <si>
    <t>BUYBACKS/ISSUANCE</t>
  </si>
  <si>
    <t>Revenues</t>
  </si>
  <si>
    <t>ST Debt to Equity (%)</t>
  </si>
  <si>
    <t>LT Debt to Equity (%)</t>
  </si>
  <si>
    <t>UK Life</t>
  </si>
  <si>
    <t xml:space="preserve"> Total</t>
  </si>
  <si>
    <t>Realized Gains</t>
  </si>
  <si>
    <t>Other Non-Operating Items</t>
  </si>
  <si>
    <t>Reported EPS</t>
  </si>
  <si>
    <t xml:space="preserve">Op = Operating     U/W = Underwriting         DAC =  Deferred Acsuisition Costs       Ins = Insurance        Exp = Expenses           Es = Esuities         Avg = Average       Acct = Account     </t>
  </si>
  <si>
    <t>2013</t>
  </si>
  <si>
    <t>1Q06</t>
  </si>
  <si>
    <t>Total Annuity Account Value Roll Forwards</t>
  </si>
  <si>
    <t>Deposits/BOP AUM (%)</t>
  </si>
  <si>
    <t>Withdrawals/BOP AUM (%)</t>
  </si>
  <si>
    <t>Reinsurance Ceded/BOP AUM (%)</t>
  </si>
  <si>
    <t>Total Annuities</t>
  </si>
  <si>
    <t>Interest Credited to Policyholders (%)</t>
  </si>
  <si>
    <t>PTEarns_ExecBen</t>
  </si>
  <si>
    <t>PTEarns_CO</t>
  </si>
  <si>
    <t>FA Net Flows</t>
  </si>
  <si>
    <t>Bull</t>
  </si>
  <si>
    <t>Bear</t>
  </si>
  <si>
    <t>Base</t>
  </si>
  <si>
    <t xml:space="preserve">  Market Performance (%) - Scenario Analysis</t>
  </si>
  <si>
    <t>Amount Repurchased - Scenario Analysis</t>
  </si>
  <si>
    <t>EMPLOYER MARKETS - GROUP PROTECTION</t>
  </si>
  <si>
    <t>InvInc</t>
  </si>
  <si>
    <t>2Q03</t>
  </si>
  <si>
    <t>3Q03</t>
  </si>
  <si>
    <t>TARP/Other</t>
  </si>
  <si>
    <t>Operating Earnings After TARP/Other</t>
  </si>
  <si>
    <t>Expense Ratio</t>
  </si>
  <si>
    <t>2Q07</t>
  </si>
  <si>
    <t>Share Repurchases</t>
  </si>
  <si>
    <t>Value of TARP Warrants</t>
  </si>
  <si>
    <t>Tangible Book Value Per Share</t>
  </si>
  <si>
    <t>Inv Inc = Investment Income       Avg = Average      Op = Operating     Rev = Revenue       Res = Reserves        BOP = Beginning of Period      EOP = End of Period</t>
  </si>
  <si>
    <t>Total AUM Analysis</t>
  </si>
  <si>
    <t>Corporate and Other Segment Operating Earnings Forecast (Page 1/1)</t>
  </si>
  <si>
    <t>1Q03</t>
  </si>
  <si>
    <t>Reported Operating Earnings</t>
  </si>
  <si>
    <t>TaxRate</t>
  </si>
  <si>
    <t>Average Total Gross Reserves</t>
  </si>
  <si>
    <t>CHECK</t>
  </si>
  <si>
    <t>Employer Markets -Executive Benefits and Other</t>
  </si>
  <si>
    <t>3. Corporate</t>
  </si>
  <si>
    <t>4. Consolidated Income Statement</t>
  </si>
  <si>
    <t>5. After-Tax Earnings by Segment</t>
  </si>
  <si>
    <t>6. EPS/DPS CALCULATION</t>
  </si>
  <si>
    <t>Net Share Repurchases - FOR MODELWARE PURPOSES</t>
  </si>
  <si>
    <t>7. CAPITAL &amp; OTHER</t>
  </si>
  <si>
    <t>FOR MODELWARE PURPOSES &amp; OTHERS</t>
  </si>
  <si>
    <t>unrealizedGainsLossesOnAvailableForSaleSecuritiesGrossOfTaxForFinancialServices</t>
  </si>
  <si>
    <t>Life Insurance Segment</t>
  </si>
  <si>
    <t xml:space="preserve">  Universal Life</t>
  </si>
  <si>
    <t>Total Special Gains (Charges)</t>
  </si>
  <si>
    <t xml:space="preserve">Net Income </t>
  </si>
  <si>
    <t>Net Income</t>
  </si>
  <si>
    <t xml:space="preserve">Premiums </t>
  </si>
  <si>
    <t>Other Revenue and Fees</t>
  </si>
  <si>
    <t>OpEarns_AT</t>
  </si>
  <si>
    <t>EARNINGS PER SHARE</t>
  </si>
  <si>
    <t>Operating EPS</t>
  </si>
  <si>
    <t xml:space="preserve">Reported EPS </t>
  </si>
  <si>
    <t>Interest Cred/Avg GrossUL Reserves (%)</t>
  </si>
  <si>
    <t>Dividend and Stock Repurchase Payout Ratios</t>
  </si>
  <si>
    <t>Core Pretax Earnings</t>
  </si>
  <si>
    <t>For SOI</t>
  </si>
  <si>
    <t xml:space="preserve"> Net Revenues</t>
  </si>
  <si>
    <t>Mkt = Market         Inc = Income          Apprec = Appreciation          Avg = Average            Beg = Beginning            AUM = Assets under Management</t>
  </si>
  <si>
    <t>2Q11</t>
  </si>
  <si>
    <t>3Q11</t>
  </si>
  <si>
    <t>4Q11</t>
  </si>
  <si>
    <t>F2015</t>
  </si>
  <si>
    <t>Operating and Administrative Expenses</t>
  </si>
  <si>
    <t>Cost of Sales</t>
  </si>
  <si>
    <t>Cost of Sales/Revenues (%)</t>
  </si>
  <si>
    <t>Variable Universal Life</t>
  </si>
  <si>
    <t>Special Charges/Gains</t>
  </si>
  <si>
    <t>4Q07</t>
  </si>
  <si>
    <t>2011</t>
  </si>
  <si>
    <t>,mscalc:sedolCodeCalc</t>
  </si>
  <si>
    <t>,mscalc:closePriceCurrencyCalc</t>
  </si>
  <si>
    <t>Communication Revenues</t>
  </si>
  <si>
    <t>Depreciation and Amortization</t>
  </si>
  <si>
    <t>Net Interest Expense/(Income)</t>
  </si>
  <si>
    <t xml:space="preserve"> Total Expenses</t>
  </si>
  <si>
    <t>Expense Analysis</t>
  </si>
  <si>
    <t>Depreciation and Amort/Rev (%)</t>
  </si>
  <si>
    <t xml:space="preserve"> Op. After-TARP/Other Income </t>
  </si>
  <si>
    <t xml:space="preserve"> TARP/Other</t>
  </si>
  <si>
    <t>(Op Costs, Deprec &amp; Amort)/Rev (%)</t>
  </si>
  <si>
    <t>Operating EPS excl Integration Costs</t>
  </si>
  <si>
    <t>Common Equity EOP Including FAS 115</t>
  </si>
  <si>
    <t>NA</t>
  </si>
  <si>
    <t>NM</t>
  </si>
  <si>
    <t>Acquisition Costs/Revenues (%)</t>
  </si>
  <si>
    <t>Pctcontrib_C&amp;O</t>
  </si>
  <si>
    <t>RestructChg</t>
  </si>
  <si>
    <t>DivPS</t>
  </si>
  <si>
    <t>Other Revenue and Fees/Avg AUM (%)</t>
  </si>
  <si>
    <t>Total Revenue/Avg AUM (%)</t>
  </si>
  <si>
    <t>Annuities</t>
  </si>
  <si>
    <t>Investment Management</t>
  </si>
  <si>
    <t>Bear Variance (%)</t>
  </si>
  <si>
    <t>Net Investment Income</t>
  </si>
  <si>
    <t>Benefits and Expenses</t>
  </si>
  <si>
    <t>Interest Credited To Policies</t>
  </si>
  <si>
    <t>Taxes</t>
  </si>
  <si>
    <t>4Q02</t>
  </si>
  <si>
    <t>Corporate/Other</t>
  </si>
  <si>
    <t>Reported ROE (Incl-FAS115)</t>
  </si>
  <si>
    <t>After-tax Earnings from Continuing Ops</t>
  </si>
  <si>
    <t>Benefits and Interest Credited/Rev (%)- Scenario Analysis</t>
  </si>
  <si>
    <t>Benefits / Revenues (%)- Scenario Analysis</t>
  </si>
  <si>
    <t>ShrsIssued</t>
  </si>
  <si>
    <t>Interest Expense</t>
  </si>
  <si>
    <t>Average Assets Under Management</t>
  </si>
  <si>
    <t>Total Retirement Solutions</t>
  </si>
  <si>
    <t>Insurance Solutions</t>
  </si>
  <si>
    <t>Core AT Earnings</t>
  </si>
  <si>
    <t>Reported Operating AT Earnings</t>
  </si>
  <si>
    <t>Defined Contribution</t>
  </si>
  <si>
    <t>Group Protection</t>
  </si>
  <si>
    <t>Retirement Solutions - Annuities Segment Operating Earnings Forecast (Page 1/2)</t>
  </si>
  <si>
    <t>F2017</t>
  </si>
  <si>
    <t>1Q13</t>
  </si>
  <si>
    <t>2Q13</t>
  </si>
  <si>
    <t>3Q13</t>
  </si>
  <si>
    <t>4Q13</t>
  </si>
  <si>
    <t>Dac =Deferred acquisition Costs              Op = Operating          Inc = Income          Avg = Average         acct = account        Mort = Mortality           Assessmt = Assessments</t>
  </si>
  <si>
    <t xml:space="preserve">Incl = Including         Avg = Average       AUM =  Assets under Management            Eq  = Equity        Op = Operating       </t>
  </si>
  <si>
    <t>LNC = Lincoln National              Eq = Equity</t>
  </si>
  <si>
    <t>F2008</t>
  </si>
  <si>
    <t>After-Tax Margin on Revenues (%)</t>
  </si>
  <si>
    <t>Retirement Solutions - Defined Contribution Segment Operating Earnings Forecast (Page 1/2)</t>
  </si>
  <si>
    <t>Assets By Type</t>
  </si>
  <si>
    <t>Investments (Total of segments)</t>
  </si>
  <si>
    <t>Separate Account</t>
  </si>
  <si>
    <t>FAS 115</t>
  </si>
  <si>
    <t>Assets (Excl FAS 115)</t>
  </si>
  <si>
    <t>Assets (Ex-FAS115, Ex-SAA)</t>
  </si>
  <si>
    <t>Assets (Incl-FAS115, Ex-SAA)</t>
  </si>
  <si>
    <t>Debt, Preferred Equity, and Liabilities</t>
  </si>
  <si>
    <t>Invest Advisory Fees/Avg AUM (%)- Scenario Analysis</t>
  </si>
  <si>
    <t>Investments</t>
  </si>
  <si>
    <t>Hybrids to LT Capital (%)</t>
  </si>
  <si>
    <t>Payout Ratio (%)</t>
  </si>
  <si>
    <t>Earnings Contribution (After-Tax)</t>
  </si>
  <si>
    <t>Deposits</t>
  </si>
  <si>
    <t>ND</t>
  </si>
  <si>
    <t>Unrecorded Goodwill</t>
  </si>
  <si>
    <t>Variable Annuities</t>
  </si>
  <si>
    <t>Fixed Annuities</t>
  </si>
  <si>
    <t>Profitability Analysis</t>
  </si>
  <si>
    <t>Interest Credited</t>
  </si>
  <si>
    <t>Assets Added</t>
  </si>
  <si>
    <t>Premiums</t>
  </si>
  <si>
    <t>Other</t>
  </si>
  <si>
    <t>Investment Advisory Fees</t>
  </si>
  <si>
    <t>TARP Preferred</t>
  </si>
  <si>
    <t>TOTAL ASSETS UNDER MANAGEMENT</t>
  </si>
  <si>
    <t>1Q10</t>
  </si>
  <si>
    <t>2Q10</t>
  </si>
  <si>
    <t>3Q10</t>
  </si>
  <si>
    <t>4Q10</t>
  </si>
  <si>
    <t>F2014</t>
  </si>
  <si>
    <t>ROE = Return on Esuity        Excl = Excluding         Incl = Including</t>
  </si>
  <si>
    <t>3Q09</t>
  </si>
  <si>
    <t>2Q09</t>
  </si>
  <si>
    <t>1Q09</t>
  </si>
  <si>
    <t>4Q09</t>
  </si>
  <si>
    <t>F2013</t>
  </si>
  <si>
    <t>Lincoln Financial Media Segment Operating Earnings Forecast (Page 1/1)</t>
  </si>
  <si>
    <t>Gains / (Losses) on Derivatives</t>
  </si>
  <si>
    <t>Book Value per Share - FD</t>
  </si>
  <si>
    <t>Dividend on TARP Preferreds</t>
  </si>
  <si>
    <t>Operating Earnings After TARP</t>
  </si>
  <si>
    <t>Op Return on Avg Assets (%)</t>
  </si>
  <si>
    <t>Less: Reinsurance Ceded</t>
  </si>
  <si>
    <t>Lincoln National Corp</t>
  </si>
  <si>
    <t>REVENUES</t>
  </si>
  <si>
    <t>Average Equity Incl FAS 115</t>
  </si>
  <si>
    <t>Average Equity Excl FAS 115</t>
  </si>
  <si>
    <t>Reported ROE (Ex-FAS115)</t>
  </si>
  <si>
    <t>Profitability (%)</t>
  </si>
  <si>
    <t>Beginning of Period Reserves</t>
  </si>
  <si>
    <t>VUL Reserves</t>
  </si>
  <si>
    <t>Beginning VUL Reserves</t>
  </si>
  <si>
    <t>Policyholder Assessments</t>
  </si>
  <si>
    <t>Market Performance</t>
  </si>
  <si>
    <t>Insurance Solutions - Life Insurance Operating Earnings Forecast (Page 1/2)</t>
  </si>
  <si>
    <t>Pretax Margin on Revenues (%)</t>
  </si>
  <si>
    <t>VA Net Flows</t>
  </si>
  <si>
    <t>Core After Tax Operating Income</t>
  </si>
  <si>
    <t>Core Pretax Other Earnings</t>
  </si>
  <si>
    <t>Core_Life_PTEarns</t>
  </si>
  <si>
    <t>Core_Annuities_PTEarns</t>
  </si>
  <si>
    <t>Core_Retirement_PTEarns</t>
  </si>
  <si>
    <t>Operating ROE (Excl FAS 115)</t>
  </si>
  <si>
    <t>M&amp;E Fees, Surrender Chrgs, Other</t>
  </si>
  <si>
    <t>M&amp;E, Surrender, Other/Avg Total Res (%)</t>
  </si>
  <si>
    <t>LTD + Pref Eq to LT Capital (%)</t>
  </si>
  <si>
    <t>Equity to Assets (Excl SAA)(%)</t>
  </si>
  <si>
    <t>Equity to Total Assets (%)</t>
  </si>
  <si>
    <t>Current Stock Price</t>
  </si>
  <si>
    <t>Common Equity / Capital (%)</t>
  </si>
  <si>
    <t>Core_Group_PTEarns</t>
  </si>
  <si>
    <t>Core_AssetMgmt_PTEarns</t>
  </si>
  <si>
    <t>Core_Intl_PTEarns</t>
  </si>
  <si>
    <t>Core_Other_PTEarns</t>
  </si>
  <si>
    <t>SOI_Life_Sales</t>
  </si>
  <si>
    <t>Dac =Deferred aquisition Costs              Op = Operating          Inc = Income          Avg = Average         acct = account        Mort = Mortality           Assessmt = Assessments</t>
  </si>
  <si>
    <t>Total Revenue</t>
  </si>
  <si>
    <t>Count</t>
  </si>
  <si>
    <t>Defined Contributions</t>
  </si>
  <si>
    <t xml:space="preserve">Life </t>
  </si>
  <si>
    <t>After-Tax Core Earnings by Segment</t>
  </si>
  <si>
    <t>Adjs in deferred compensation plans</t>
  </si>
  <si>
    <t>Core Results</t>
  </si>
  <si>
    <t>Deposits- Scenario Analysis</t>
  </si>
  <si>
    <t>Withdrawals</t>
  </si>
  <si>
    <t>Investment Performance</t>
  </si>
  <si>
    <t>Average AUM</t>
  </si>
  <si>
    <t>Withdrawals/Beginning AUM (%)</t>
  </si>
  <si>
    <t>Net Flows/BOP AUM (%)</t>
  </si>
  <si>
    <t>Net Fund Flows</t>
  </si>
  <si>
    <t>Reinsurance ceded</t>
  </si>
  <si>
    <t>Account Value Roll Forwards</t>
  </si>
  <si>
    <t>AUM, BOP ($ in millions)</t>
  </si>
  <si>
    <t>Gross AUM, EOP</t>
  </si>
  <si>
    <t>Net AUM, EOP</t>
  </si>
  <si>
    <t>VARIABLE ANNUITIES BALANCES</t>
  </si>
  <si>
    <t>FIXED ANNUITIES BALANCES</t>
  </si>
  <si>
    <t>Interest Credited/BOP AUM (%)</t>
  </si>
  <si>
    <t>TOTAL ANNUITIES (FIXED &amp; VARIABLE)</t>
  </si>
  <si>
    <t>Premiums/Avg AUM (%)</t>
  </si>
  <si>
    <t>Policy Charges/Avg AUM (%)</t>
  </si>
  <si>
    <t>Inv Inc/Avg VA AUM (%)</t>
  </si>
  <si>
    <t>Int Credited/Avg FA AUM (%)</t>
  </si>
  <si>
    <t>Average Gross AUM</t>
  </si>
  <si>
    <t>Op Earnings/Avg AUM (%)</t>
  </si>
  <si>
    <t>Transfers &amp; Other</t>
  </si>
  <si>
    <t>Total Account Value Roll Forwards</t>
  </si>
  <si>
    <t>Surrender, Exp/Avg AUM (%)</t>
  </si>
  <si>
    <t>Inv Inc/Avg AUM (%)</t>
  </si>
  <si>
    <t>Int Credited/Avg AUM (%)</t>
  </si>
  <si>
    <t>&gt;&gt; Results exclude "Executive Benefits and Other"</t>
  </si>
  <si>
    <t>&gt;&gt; Results exclude "UK Life" &amp; "Lincoln Financial Media"</t>
  </si>
  <si>
    <t>After-Tax Earnings by Segment</t>
  </si>
  <si>
    <t>CORE ONLY</t>
  </si>
  <si>
    <t>Buybacks</t>
  </si>
  <si>
    <t>After-Tax Operating Margin (%)</t>
  </si>
  <si>
    <t>Market Apprec/Avg Assets (%)</t>
  </si>
  <si>
    <t>After-tax Margin (%)</t>
  </si>
  <si>
    <t>Pretax Op Income/Avg AUM (%)</t>
  </si>
  <si>
    <t>Total Insurance Solutions</t>
  </si>
  <si>
    <t>Goodwill</t>
  </si>
  <si>
    <t>After-Tax Operating Earnings</t>
  </si>
  <si>
    <t>Operating Margin (%)</t>
  </si>
  <si>
    <t>F2009</t>
  </si>
  <si>
    <t>Total Reserves</t>
  </si>
  <si>
    <t>Gains (Losses) per share</t>
  </si>
  <si>
    <t>Special Items per share</t>
  </si>
  <si>
    <t>Int Credited/Total Revenues (%)</t>
  </si>
  <si>
    <t>Scenario Analysis Assumptions - Variation from Base Case</t>
  </si>
  <si>
    <t>Base Case</t>
  </si>
  <si>
    <t>Bull Variance ($M)</t>
  </si>
  <si>
    <t>Common Equity EOP Excluding FAS 115</t>
  </si>
  <si>
    <t>Employer Markets - Executive Benefits Segment Operating Earnings Forecast (Page 1/1)</t>
  </si>
  <si>
    <t>Amort of Deferred Gain on Reinsurance</t>
  </si>
  <si>
    <t>Interest on Debt</t>
  </si>
  <si>
    <t>2012</t>
  </si>
  <si>
    <t>Sales By Product</t>
  </si>
  <si>
    <t>Total Annuity Assets Added</t>
  </si>
  <si>
    <t>Mortality and Expense Fees</t>
  </si>
  <si>
    <t>OPERATING EARNINGS</t>
  </si>
  <si>
    <t>After-Tax Earnings</t>
  </si>
  <si>
    <t>Deferred Policy Acquisition Costs</t>
  </si>
  <si>
    <t>USD</t>
  </si>
  <si>
    <t>UK Life Insurance Segment Operating Earnings Forecast (Page 1/1)</t>
  </si>
  <si>
    <t>Investment Management Segment Operating Earnings Forecast (Page 2/2)</t>
  </si>
  <si>
    <t>Investment Management Segment Operating Earnings Forecast (Page 1/2)</t>
  </si>
  <si>
    <t>Transfers/BOP Reserves (%)</t>
  </si>
  <si>
    <t>Equity EOP Including FAS 115</t>
  </si>
  <si>
    <t>Equity EOP Excluding FAS 115</t>
  </si>
  <si>
    <t>Value of Warrants Incl in Share Capital</t>
  </si>
  <si>
    <t>Inv Inc/Avg Invested Assets (%)</t>
  </si>
  <si>
    <t>Below Investment Grade / Shareholders' Equity (%)</t>
  </si>
  <si>
    <t>BIG_FixPct</t>
  </si>
  <si>
    <t>BIG</t>
  </si>
  <si>
    <t>BIG_ShrEqPct</t>
  </si>
  <si>
    <t>Dividends</t>
  </si>
  <si>
    <t>When in Qtr (0%-beg; 100%-end)</t>
  </si>
  <si>
    <t>Operating Earnings</t>
  </si>
  <si>
    <t>Shares Outstanding</t>
  </si>
  <si>
    <t>Segment Contribution</t>
  </si>
  <si>
    <t>To Firm (%)</t>
  </si>
  <si>
    <t>Reserves</t>
  </si>
  <si>
    <t>Interest Sensitive</t>
  </si>
  <si>
    <t>LNC.N,mscalc:sedolCodeCalc</t>
  </si>
  <si>
    <t>2516378</t>
  </si>
  <si>
    <t>LNC.N,mscalc:closePriceCurrencyCalc</t>
  </si>
  <si>
    <t>LNC.N,mscalc:targetPrice,,,,USD</t>
  </si>
  <si>
    <t>Asset Mgmt Deposits</t>
  </si>
  <si>
    <t>Asset Mgmt Withdrawals</t>
  </si>
  <si>
    <t>Executive Benefits and Other</t>
  </si>
  <si>
    <t>Total_Cap_ex115</t>
  </si>
  <si>
    <t>Pretax Margin (%)</t>
  </si>
  <si>
    <t>Total Premiums</t>
  </si>
  <si>
    <t>1Q00</t>
  </si>
  <si>
    <t>2Q00</t>
  </si>
  <si>
    <t>3Q00</t>
  </si>
  <si>
    <t>4Q00</t>
  </si>
  <si>
    <t>1Q01</t>
  </si>
  <si>
    <t>2Q01</t>
  </si>
  <si>
    <t>3Q01</t>
  </si>
  <si>
    <t>4Q01</t>
  </si>
  <si>
    <t>1Q02</t>
  </si>
  <si>
    <t>1Q04</t>
  </si>
  <si>
    <t>2Q04</t>
  </si>
  <si>
    <t>3Q04</t>
  </si>
  <si>
    <t>4Q04</t>
  </si>
  <si>
    <t>Spread (%)</t>
  </si>
  <si>
    <t>Tax Rate (%)</t>
  </si>
  <si>
    <t xml:space="preserve">Op = Operating     U/W = Underwriting         DAC =  Deferred acquisition Costs       Ins = Insurance        Exp = Expenses           Eq = Equities         Avg = Average       acct = account     </t>
  </si>
  <si>
    <t>Retirement Solutions - Annuities Segment Operating Earnings Forecast (Page 2/2)</t>
  </si>
  <si>
    <t>3Q07</t>
  </si>
  <si>
    <t>F2011</t>
  </si>
  <si>
    <t xml:space="preserve">Ending Assets Under Management </t>
  </si>
  <si>
    <t>Core Operating ROE</t>
  </si>
  <si>
    <t xml:space="preserve">  % of Operating Earnings</t>
  </si>
  <si>
    <t xml:space="preserve">  % of Net Income</t>
  </si>
  <si>
    <t>RealGainLoss</t>
  </si>
  <si>
    <t>DerivGainLoss</t>
  </si>
  <si>
    <t>TotalNonOpItems</t>
  </si>
  <si>
    <t>Total Non-Operating Items</t>
  </si>
  <si>
    <t>Op ROE incl TARP (Ex-FAS115)</t>
  </si>
  <si>
    <t>Beginning Assets Under Management</t>
  </si>
  <si>
    <t>Discontinued Ops</t>
  </si>
  <si>
    <t>2009</t>
  </si>
  <si>
    <t>DivPayout</t>
  </si>
  <si>
    <t>Insurance Benefits</t>
  </si>
  <si>
    <t>Other Expenses</t>
  </si>
  <si>
    <t>Pretax Earnings</t>
  </si>
  <si>
    <t>Premiums &amp; Fees</t>
  </si>
  <si>
    <t>LNC.N,mscalc:targetPrice</t>
  </si>
  <si>
    <t>$N$2</t>
  </si>
  <si>
    <t>accum = accumulated       Excl = Excluding          AT = After Tax         Avg = Average          acct = account</t>
  </si>
  <si>
    <t>Total Policy Charges</t>
  </si>
  <si>
    <t>UL_NetFlows</t>
  </si>
  <si>
    <t>VL_NetFlows</t>
  </si>
  <si>
    <t>Assets Under Management Rollforward</t>
  </si>
  <si>
    <t>Segment Contribution to After-Tax Earnings (Excl Merger Adjustments)</t>
  </si>
  <si>
    <t>Retained Earnings</t>
  </si>
  <si>
    <t>Dividends Per Share</t>
  </si>
  <si>
    <t>Dividend Payout Ratio (%)</t>
  </si>
  <si>
    <t>Dividend Amount</t>
  </si>
  <si>
    <t>LTD + Pref Eq to Common Eq (%)</t>
  </si>
  <si>
    <t>Withdrawals and Deaths</t>
  </si>
  <si>
    <t>DAC =Deferred acquisition Costs              Op = Operating          Inc = Income          Avg = Average         acct = account        Mort = Mortality           Assessmt = Assessments</t>
  </si>
  <si>
    <t>Excl = Excluding         LT = Long Term         LTD = Long Term Debt          Pref Eq = Preferred Equity            SAA = Separate account Assets          Op = Operating        Avg = Average</t>
  </si>
  <si>
    <t>Other Operating Exp</t>
  </si>
  <si>
    <t>Sales/Beginning AUM (%)</t>
  </si>
  <si>
    <t>DivAmt</t>
  </si>
  <si>
    <t>ShrsRepurch</t>
  </si>
  <si>
    <t>AmtRepurch</t>
  </si>
  <si>
    <t xml:space="preserve">Quarterly income statement ratios are annualized where appropriate     NM = Not Meaningful       NA = Not Applicable </t>
  </si>
  <si>
    <t>Forecast Only</t>
  </si>
  <si>
    <t>LTD_to_Cap_incl115</t>
  </si>
  <si>
    <t>BVPS_incl115</t>
  </si>
  <si>
    <t>PTEarns_InvMgmt</t>
  </si>
  <si>
    <t>Period</t>
  </si>
  <si>
    <t>Benefits</t>
  </si>
  <si>
    <t>Benefits / Net Revenues (%)</t>
  </si>
  <si>
    <t>AT Op Earnings/Avg Reserves (%)</t>
  </si>
  <si>
    <t>Reported Spread (%)</t>
  </si>
  <si>
    <t>Core Operating Earnings</t>
  </si>
  <si>
    <t>Core Operating EPS</t>
  </si>
  <si>
    <t>Pretax Operating Earnings</t>
  </si>
  <si>
    <t>2Q06</t>
  </si>
  <si>
    <t>3Q06</t>
  </si>
  <si>
    <t>4Q06</t>
  </si>
  <si>
    <t>% Chg</t>
  </si>
  <si>
    <t>($Millions Except Per Share Data)</t>
  </si>
  <si>
    <t>(%)</t>
  </si>
  <si>
    <t>5-Yr</t>
  </si>
  <si>
    <t>CAGR</t>
  </si>
  <si>
    <t>Lincoln National</t>
  </si>
  <si>
    <t>Life Insurance</t>
  </si>
  <si>
    <t>Benefits / Premiums&amp;Fees (%)</t>
  </si>
  <si>
    <t>STDebt</t>
  </si>
  <si>
    <t>LTDebt</t>
  </si>
  <si>
    <t>PfdStk</t>
  </si>
  <si>
    <t>EOP_Eq_incl115</t>
  </si>
  <si>
    <t>FAS115_Adjmt</t>
  </si>
  <si>
    <t>EOP_Eq_ex115</t>
  </si>
  <si>
    <t>Avg_Eq_ex115</t>
  </si>
  <si>
    <t>Op_ROE</t>
  </si>
  <si>
    <t>Rep_ROE_ex115</t>
  </si>
  <si>
    <t>Rep_ROE_incl115</t>
  </si>
  <si>
    <t>LTD_to_LTCap_ex115</t>
  </si>
  <si>
    <t>LTD_to_Cap_ex115</t>
  </si>
  <si>
    <t>BVPS_ex115</t>
  </si>
  <si>
    <t>LTD_to_LTCap_incl115</t>
  </si>
  <si>
    <t>DAC =Deferred Acsuisition Costs              Op = Operating          Inc = Income          Avg = Average         Acct = Account        Mort = Mortality           Assessmt = Assessments</t>
  </si>
  <si>
    <t>Mortality &amp; Expense Assessments</t>
  </si>
  <si>
    <t>Other Revenue</t>
  </si>
  <si>
    <t>3Q02</t>
  </si>
  <si>
    <t>Outstanding Shares (EOP)-Diluted</t>
  </si>
  <si>
    <t>Total Operating Expenses</t>
  </si>
  <si>
    <t>Average Total Net Reserves</t>
  </si>
  <si>
    <t>Avg Gross Interest Sensitive Reserves</t>
  </si>
  <si>
    <t>Avg Net Interest Sensitive Reserves</t>
  </si>
  <si>
    <t>Other Op Exp/Net Revenues (%)</t>
  </si>
  <si>
    <t>Other Op Exp (less DAC)/Net Rev (%)</t>
  </si>
  <si>
    <t>F2010</t>
  </si>
  <si>
    <t>Statutory Tax Rate</t>
  </si>
  <si>
    <t>F2012</t>
  </si>
  <si>
    <t>Group Benefit Ratio</t>
  </si>
  <si>
    <t>Broadcast Cash Flows ($)</t>
  </si>
  <si>
    <t>PTEarns_Comm</t>
  </si>
  <si>
    <t>CoreOpEarns_AT</t>
  </si>
  <si>
    <t>First Year Premiums By Product</t>
  </si>
  <si>
    <t>Net Investment Income Analysis</t>
  </si>
  <si>
    <t>Trust Preferred Securities</t>
  </si>
  <si>
    <t>1.2 Retirement Solutions - Defined Contribution</t>
  </si>
  <si>
    <t>2.2 Insurance Solutions - Group Protection</t>
  </si>
  <si>
    <t>Retirement Solutions</t>
  </si>
  <si>
    <t>Amount Repurchased</t>
  </si>
  <si>
    <t>After-tax Op Income/Avg AUM (%)</t>
  </si>
  <si>
    <t xml:space="preserve">Capital Gains (Losses) (After-tax) </t>
  </si>
  <si>
    <t>Employer Markets - Benefit Partners Segment Operating Earnings Forecast (Page 1/1)</t>
  </si>
  <si>
    <t>Special Charge Analysis</t>
  </si>
  <si>
    <t>Personal Accident Charge (Re)</t>
  </si>
  <si>
    <t>CI  &amp; AET Restructuring (Life)</t>
  </si>
  <si>
    <t>Avg = Average         Mort = Mortality             Exp = Expenses            UL = Universal Life            VL= Variable Life           VUL = Variable Universal Life           Res = Reserve          Accts = Accounts           Cred = Credited</t>
  </si>
  <si>
    <t xml:space="preserve">Market Appreciation </t>
  </si>
  <si>
    <t>InvMgmt_NetFlows</t>
  </si>
  <si>
    <t>PTEarns_LifeIns</t>
  </si>
  <si>
    <t>PTEarns_Annuity</t>
  </si>
  <si>
    <t>PTEarns_Intl</t>
  </si>
  <si>
    <t>FA_Spread</t>
  </si>
  <si>
    <t>Revenue_Annuity</t>
  </si>
  <si>
    <t>1Q05</t>
  </si>
  <si>
    <t>2Q05</t>
  </si>
  <si>
    <t>3Q05</t>
  </si>
  <si>
    <t>4Q05</t>
  </si>
  <si>
    <t>Operating Expense/Revenues (%)</t>
  </si>
  <si>
    <t>AvgShrsOut</t>
  </si>
  <si>
    <t>Op_EPS</t>
  </si>
  <si>
    <t>Net_EPS</t>
  </si>
  <si>
    <t xml:space="preserve"> </t>
  </si>
  <si>
    <t>1Q07</t>
  </si>
  <si>
    <t>Lincoln Financial Media</t>
  </si>
  <si>
    <t>Retirement Net Flows</t>
  </si>
  <si>
    <t>Int Credited/Avg Invested Assets (%)</t>
  </si>
  <si>
    <t>Core AT Operating Earnings</t>
  </si>
  <si>
    <t>Benefits Paid or Provided</t>
  </si>
  <si>
    <t>Dividends to Policyholders</t>
  </si>
  <si>
    <t>Operating Expenses</t>
  </si>
  <si>
    <t xml:space="preserve">  Whole Life /Term</t>
  </si>
  <si>
    <t xml:space="preserve">  Whole Life / Term</t>
  </si>
  <si>
    <t>1Q12</t>
  </si>
  <si>
    <t>2Q12</t>
  </si>
  <si>
    <t>3Q12</t>
  </si>
  <si>
    <t>4Q12</t>
  </si>
  <si>
    <t>F2016</t>
  </si>
  <si>
    <t>Hybrid Securities</t>
  </si>
  <si>
    <t>Core Pretax Operating Earnings</t>
  </si>
  <si>
    <t>Ending Reserves (Gross)</t>
  </si>
  <si>
    <t>Ending Reserves (Net)</t>
  </si>
  <si>
    <t>Marked to Market adjustment on reclass from AFS to trading</t>
  </si>
  <si>
    <t>SOI_FAFlows</t>
  </si>
  <si>
    <t>SOI_VAFlows</t>
  </si>
  <si>
    <t>Core_ATEarns</t>
  </si>
  <si>
    <t>Core_OpEPS</t>
  </si>
  <si>
    <t>Total Retail</t>
  </si>
  <si>
    <t>COLI</t>
  </si>
  <si>
    <t>Total</t>
  </si>
  <si>
    <t>2Q02</t>
  </si>
  <si>
    <t>Total Operating and Acquisition Exp</t>
  </si>
  <si>
    <t xml:space="preserve">   Other Expenses</t>
  </si>
  <si>
    <t>Benefits / Revenues (%)</t>
  </si>
  <si>
    <t>Surrender Chrg, Mortality and Exp Assessments</t>
  </si>
  <si>
    <t>PTEarns_Group</t>
  </si>
  <si>
    <t>PTEarns_Retirement</t>
  </si>
  <si>
    <t xml:space="preserve">  Market Performance (%)</t>
  </si>
  <si>
    <t>Book Value per Share</t>
  </si>
  <si>
    <t>Capital Structure Incl FAS 115</t>
  </si>
  <si>
    <t>BENEFITS AND EXPENSES</t>
  </si>
  <si>
    <t>Investment Income</t>
  </si>
  <si>
    <t>Net Investment Income (%)</t>
  </si>
  <si>
    <t>Redemptions as % of Beg Assets</t>
  </si>
  <si>
    <t>Asset Mgmt Flows excl Annuities</t>
  </si>
  <si>
    <t>Earnings on Investments and Other</t>
  </si>
  <si>
    <t>S&amp;P 500 Quarterly Performance (%)</t>
  </si>
  <si>
    <t>2018E</t>
  </si>
  <si>
    <t>EPS - For Consensus</t>
  </si>
  <si>
    <t>Modelware Adjustment</t>
  </si>
  <si>
    <t>Op. Earnings - Used for Consensus #s</t>
  </si>
  <si>
    <t>Net Income - For Modelware</t>
  </si>
  <si>
    <t>1Q14</t>
  </si>
  <si>
    <t>2Q14</t>
  </si>
  <si>
    <t>3Q14</t>
  </si>
  <si>
    <t>4Q14</t>
  </si>
  <si>
    <t>F2018</t>
  </si>
  <si>
    <t>Inv Perf/BOP AUM (%)</t>
  </si>
  <si>
    <t>Inv Perf/Mkt Performance (%)</t>
  </si>
  <si>
    <t>$80-90mn</t>
  </si>
  <si>
    <t>Insurance Solutions - Life Insurance Segment Operating Earnings Forecast (Page 2/2)</t>
  </si>
  <si>
    <t>Avg = Average         Mort = Mortality             Exp = Expenses            UL = Universal Life            VL= Variable Life           VUL = Variable Universal Life           Res = Reserve          accts = accounts           Cred = Credited</t>
  </si>
  <si>
    <t>Insurance Solutions - Group Protection Segment Operating Earnings Forecast (Page 1/1)</t>
  </si>
  <si>
    <t xml:space="preserve">   Net DAC and VOBA Amortization</t>
  </si>
  <si>
    <t>Net DAC and VOBA Amortization</t>
  </si>
  <si>
    <t>Interest Sensitive Spread (Given)</t>
  </si>
  <si>
    <t xml:space="preserve"> Total Revenues</t>
  </si>
  <si>
    <t xml:space="preserve"> Total Benefits and Expenses</t>
  </si>
  <si>
    <t>Accum = Accumulated       Excl = Excluding          AT = After Tax         Avg = Average          Acct = Account</t>
  </si>
  <si>
    <t>Change in DAC Asset</t>
  </si>
  <si>
    <t>Net Flows</t>
  </si>
  <si>
    <t>Realized Gains % of Operating Income</t>
  </si>
  <si>
    <t>Shares Issued</t>
  </si>
  <si>
    <t>Average Price</t>
  </si>
  <si>
    <t>Withdrawals/BOP VUL Res (%)</t>
  </si>
  <si>
    <t>1Q11</t>
  </si>
  <si>
    <t>Variable Annuity Net Flows</t>
  </si>
  <si>
    <t>Bull Variance (%)</t>
  </si>
  <si>
    <t>Discountinued Operations</t>
  </si>
  <si>
    <t>Share Capital</t>
  </si>
  <si>
    <t xml:space="preserve">Investment Inc, Market Appreciation </t>
  </si>
  <si>
    <t>Withdrawals/BOP UL Reserves (%)</t>
  </si>
  <si>
    <t>Realized Gains % of Invested Assets</t>
  </si>
  <si>
    <t>Currency</t>
  </si>
  <si>
    <t>LNC.N</t>
  </si>
  <si>
    <t>Total Operating Expenses (incl DAC Exp)</t>
  </si>
  <si>
    <t>Total Benefits and Operating Expenses</t>
  </si>
  <si>
    <t>Core Pretax Life Earnings</t>
  </si>
  <si>
    <t>Core Pretax Annuities Earnings</t>
  </si>
  <si>
    <t>Core Pretax Retirement Earnings</t>
  </si>
  <si>
    <t>Core Pretax Group Earnings</t>
  </si>
  <si>
    <t>Core Pretax Asset Mgmt Earnings</t>
  </si>
  <si>
    <t>Core Pretax International Earnings</t>
  </si>
  <si>
    <t>First Year Life Sales</t>
  </si>
  <si>
    <t>EPS</t>
  </si>
  <si>
    <t>Asset Management Restructuring</t>
  </si>
  <si>
    <t>Corporate</t>
  </si>
  <si>
    <t>Withdrawals/Deaths</t>
  </si>
  <si>
    <t>Consolidated Operating Earnings Forecast (Page 2/2)</t>
  </si>
  <si>
    <t>Consolidated Operating Earnings Forecast (Page 1/2)</t>
  </si>
  <si>
    <t>1998</t>
  </si>
  <si>
    <t>1999</t>
  </si>
  <si>
    <t>2000</t>
  </si>
  <si>
    <t>Total Capital</t>
  </si>
  <si>
    <t>Outstanding Shares (EOP)-Assuming Pref Conversion</t>
  </si>
  <si>
    <t>Restructuring Charges, Net of Tax</t>
  </si>
  <si>
    <t>Investment Income/Premiums (%)</t>
  </si>
  <si>
    <t>Spread Analysis (Given)</t>
  </si>
  <si>
    <t>F1998</t>
  </si>
  <si>
    <t>F1999</t>
  </si>
  <si>
    <t>F2000</t>
  </si>
  <si>
    <t>F2001</t>
  </si>
  <si>
    <t>F2002</t>
  </si>
  <si>
    <t>F2003</t>
  </si>
  <si>
    <t>F2004</t>
  </si>
  <si>
    <t>F2005</t>
  </si>
  <si>
    <t>F2006</t>
  </si>
  <si>
    <t>F2007</t>
  </si>
  <si>
    <t>NetEarns</t>
  </si>
  <si>
    <t>Benefits and Int Credited/Net Rev (%)</t>
  </si>
  <si>
    <t>Business Acquired/Other</t>
  </si>
  <si>
    <t>PRETAX EARNINGS</t>
  </si>
  <si>
    <t>Pctcontrib_Group</t>
  </si>
  <si>
    <t>Pctcontrib_Comm</t>
  </si>
  <si>
    <t>Pctcontrib_Pension</t>
  </si>
  <si>
    <t>Pctcontrib_Exec</t>
  </si>
  <si>
    <t>Diluted Shares Average</t>
  </si>
  <si>
    <t>Benefits/Net Revenues (%)</t>
  </si>
  <si>
    <t>Ending VUL Reserves (Gross)</t>
  </si>
  <si>
    <t>Ending VUL Reserves (Net)</t>
  </si>
  <si>
    <t>Average Gross VUL Reserves</t>
  </si>
  <si>
    <t>Average Net VUL Reserves</t>
  </si>
  <si>
    <t>Other Op Exp/Revenues (%)</t>
  </si>
  <si>
    <t>Premiums/Avg Life Reserves (%)</t>
  </si>
  <si>
    <t>Bear Variance ($M)</t>
  </si>
  <si>
    <t>INDIVIDUAL MARKETS - LIFE</t>
  </si>
  <si>
    <t>INDIVIDUAL MARKETS - ANNUITIES</t>
  </si>
  <si>
    <t>Annuities Spread</t>
  </si>
  <si>
    <t>Benefits/Total Revenues (%)</t>
  </si>
  <si>
    <t>Total Ending Reserves</t>
  </si>
  <si>
    <t>Benefits and Expenses Analysis</t>
  </si>
  <si>
    <t>Sales_WL</t>
  </si>
  <si>
    <t>Sales_COLI</t>
  </si>
  <si>
    <t>1Q08</t>
  </si>
  <si>
    <t>2Q08</t>
  </si>
  <si>
    <t>3Q08</t>
  </si>
  <si>
    <t>4Q08</t>
  </si>
  <si>
    <t xml:space="preserve"> Total Assets </t>
  </si>
  <si>
    <t xml:space="preserve"> Operating Expenses (incl DAC Exp)</t>
  </si>
  <si>
    <t>Group_BenefitRatio</t>
  </si>
  <si>
    <t>RESERVES</t>
  </si>
  <si>
    <t>Interest Sensitive Life Reserves</t>
  </si>
  <si>
    <t>Corporate &amp; Other</t>
  </si>
  <si>
    <t>Quarterly income statement ratios are annualized where appropriate     NM = Not Meaningful       NA = Not Applicable  E=Morgan Stanley Estimates</t>
  </si>
  <si>
    <t>Acquisitions/Disposals</t>
  </si>
  <si>
    <t>Sales_UL</t>
  </si>
  <si>
    <t>Sales_VUL</t>
  </si>
  <si>
    <t>Excl = Excluding         LT = Long Term         LTD = Long Term Debt          Pref Es = Preferred Esuity            Sab = Separate Account Assets          Op = Operating        Avg = Average</t>
  </si>
  <si>
    <t>Benefits Ratio</t>
  </si>
  <si>
    <t>opearns_pt</t>
  </si>
  <si>
    <t>Goodwill Write-down</t>
  </si>
  <si>
    <t>1.1 - Retirement Solutions - Annuities</t>
  </si>
  <si>
    <t>Surrender Charges/Exp Assessments</t>
  </si>
  <si>
    <t>Other Revenues</t>
  </si>
  <si>
    <t>Inv Inc/Total Revenues (%)</t>
  </si>
  <si>
    <t xml:space="preserve">  Variable Universal Life</t>
  </si>
  <si>
    <t>EOPShrsOut</t>
  </si>
  <si>
    <t>EXPENSES</t>
  </si>
  <si>
    <t>Total Expenses</t>
  </si>
  <si>
    <t>Rev</t>
  </si>
  <si>
    <t>2010</t>
  </si>
  <si>
    <t>Invest Advisory Fees/Avg AUM (%)</t>
  </si>
  <si>
    <t>Transfers/Net Money Market Flows</t>
  </si>
  <si>
    <t>Inv Inc/Avg Interest Sensitive Assets (%)</t>
  </si>
  <si>
    <t>Int Credited/Avg Int Sensitive Assets (%)</t>
  </si>
  <si>
    <t>Equity</t>
  </si>
  <si>
    <t>Sales</t>
  </si>
  <si>
    <t>Redemptions</t>
  </si>
  <si>
    <t>Revenue Analysis</t>
  </si>
  <si>
    <t>Profitability</t>
  </si>
  <si>
    <t>Below Investment Grade / Fixed Income (%)</t>
  </si>
  <si>
    <t>Below Investment Grade ($)</t>
  </si>
  <si>
    <t xml:space="preserve">Total </t>
  </si>
  <si>
    <t>Mgmt Targets</t>
  </si>
  <si>
    <t xml:space="preserve">Core Operating results </t>
  </si>
  <si>
    <t>y/y growth</t>
  </si>
  <si>
    <t>Operating results</t>
  </si>
  <si>
    <t>2013e</t>
  </si>
  <si>
    <t>2014e</t>
  </si>
  <si>
    <t>Description</t>
  </si>
  <si>
    <t>Short-Term Debt</t>
  </si>
  <si>
    <t>Long-Term Debt</t>
  </si>
  <si>
    <t>Debt</t>
  </si>
  <si>
    <t xml:space="preserve"> Total Debt and Preferred Equity</t>
  </si>
  <si>
    <t>Policyholder Liabilities &amp; Other</t>
  </si>
  <si>
    <t>Non-SAC Policy Liab &amp; Other</t>
  </si>
  <si>
    <t>FAS 115 Adjustment</t>
  </si>
  <si>
    <t>Capital Structure Excl FAS 115</t>
  </si>
  <si>
    <t>LT Debt to LT Capital (%)</t>
  </si>
  <si>
    <t>Amount Raised</t>
  </si>
  <si>
    <t>Shares Repurchased</t>
  </si>
  <si>
    <t>Asset Sales</t>
  </si>
  <si>
    <t>Abnormals - Per Share Impact</t>
  </si>
  <si>
    <t>Average Shares (FD)</t>
  </si>
  <si>
    <t>Earnings Contribution (After-Tax) (%)</t>
  </si>
  <si>
    <t>Insurance Solutions - Life Segment Operating Earnings Forecast (Page 1/2)</t>
  </si>
  <si>
    <t>2.1 Insurance Solutions - Life</t>
  </si>
  <si>
    <t>Insurance Solutions - Life Segment Operating Earnings Forecast (Page 2/2)</t>
  </si>
  <si>
    <t>Retirement Solutions - Defined Segment Contribution Operating Earnings Forecast (Page 1/2)</t>
  </si>
  <si>
    <t>,mscalc:targetPrice,,,,USD</t>
  </si>
  <si>
    <t>Withdrawals/BOP Reserves (%)</t>
  </si>
  <si>
    <t>Pctcontrib_LifeIns</t>
  </si>
  <si>
    <t>Pctcontrib_Annuity</t>
  </si>
  <si>
    <t>Pctcontrib_Intl</t>
  </si>
  <si>
    <t>Pctcontrib_InvMgmt</t>
  </si>
  <si>
    <t>Other Op Exp/Net Revenues (%) - scenario analysis</t>
  </si>
  <si>
    <t>60-80mn</t>
  </si>
  <si>
    <t>Adjs in Deferred Compensation Plans</t>
  </si>
  <si>
    <t>Op. After-tax Income</t>
  </si>
  <si>
    <t>Op. EPS</t>
  </si>
  <si>
    <t>Core EPS</t>
  </si>
  <si>
    <t>1Q15</t>
  </si>
  <si>
    <t>2Q15</t>
  </si>
  <si>
    <t>3Q15</t>
  </si>
  <si>
    <t>4Q15</t>
  </si>
  <si>
    <t>F2019</t>
  </si>
  <si>
    <t>2019E</t>
  </si>
  <si>
    <t>Consolidated NII</t>
  </si>
  <si>
    <t>Total Op. Revenues</t>
  </si>
  <si>
    <t>Net Revenues</t>
  </si>
  <si>
    <t>LT</t>
  </si>
  <si>
    <t>~8-10%</t>
  </si>
  <si>
    <t>150-200mn</t>
  </si>
  <si>
    <t>2014</t>
  </si>
  <si>
    <t xml:space="preserve">Improve </t>
  </si>
  <si>
    <t>&gt;$650mn</t>
  </si>
  <si>
    <t>2015e</t>
  </si>
  <si>
    <t>*expect strong buybacks earlier in the yr</t>
  </si>
  <si>
    <t>0.5-0.55bn</t>
  </si>
  <si>
    <t>1Q16</t>
  </si>
  <si>
    <t>2Q16</t>
  </si>
  <si>
    <t>3Q16</t>
  </si>
  <si>
    <t>4Q16</t>
  </si>
  <si>
    <t>F2020</t>
  </si>
  <si>
    <t>2020E</t>
  </si>
  <si>
    <t>Margin</t>
  </si>
  <si>
    <t>5-7%</t>
  </si>
  <si>
    <t>Hold-Co cash</t>
  </si>
  <si>
    <t>$545mn</t>
  </si>
  <si>
    <t>RBC Ratio</t>
  </si>
  <si>
    <t>2015</t>
  </si>
  <si>
    <t>1Q17</t>
  </si>
  <si>
    <t>2Q17</t>
  </si>
  <si>
    <t>3Q17</t>
  </si>
  <si>
    <t>4Q17</t>
  </si>
  <si>
    <t>F2021</t>
  </si>
  <si>
    <t>2021E</t>
  </si>
  <si>
    <t>2016</t>
  </si>
  <si>
    <t>Strategic digitization expense</t>
  </si>
  <si>
    <t>4Q18E</t>
  </si>
  <si>
    <t>1Q18E</t>
  </si>
  <si>
    <t>2Q18E</t>
  </si>
  <si>
    <t>3Q18E</t>
  </si>
  <si>
    <t>4Q18</t>
  </si>
  <si>
    <t>1Q18</t>
  </si>
  <si>
    <t>2Q18</t>
  </si>
  <si>
    <t>3Q18</t>
  </si>
  <si>
    <t>F2022</t>
  </si>
  <si>
    <t>2022E</t>
  </si>
  <si>
    <t>Retirement Plan Services</t>
  </si>
  <si>
    <t>2018e</t>
  </si>
  <si>
    <t>4-6%</t>
  </si>
  <si>
    <t>2-4%</t>
  </si>
  <si>
    <t>8-10%</t>
  </si>
  <si>
    <t>5-8%</t>
  </si>
  <si>
    <t>Short Term</t>
  </si>
  <si>
    <t>MS Est.</t>
  </si>
  <si>
    <t>5-Year CAGR</t>
  </si>
  <si>
    <t>Target*</t>
  </si>
  <si>
    <t>* Short term target refers to two to three years</t>
  </si>
  <si>
    <t>Earnings Growth</t>
  </si>
  <si>
    <t>2017</t>
  </si>
  <si>
    <t>85</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</si>
  <si>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</si>
  <si>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</si>
  <si>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</si>
  <si>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</si>
  <si>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</si>
  <si>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</si>
  <si>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</si>
  <si>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</si>
  <si>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Nigel Dally, Tanmay Gupta, Bob Huang</t>
  </si>
  <si>
    <t>Date: 05 Apr 2018</t>
  </si>
  <si>
    <t>Ticker: LNC.N</t>
  </si>
  <si>
    <t>Stock Rating: Equal-Weight</t>
  </si>
  <si>
    <t>Industry: Insurance - Life/Annuity</t>
  </si>
  <si>
    <t>Industry View: In-Line</t>
  </si>
  <si>
    <t>Price as of 05 Apr 2018: 71.24</t>
  </si>
  <si>
    <t>Target Price: 83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</si>
  <si>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</si>
  <si>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</si>
  <si>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</si>
  <si>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</si>
  <si>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Lincoln National Corp.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</si>
  <si>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</si>
  <si>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</si>
  <si>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</si>
  <si>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</si>
  <si>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</si>
  <si>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</si>
  <si>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</si>
  <si>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</si>
  <si>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</si>
  <si>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</si>
  <si>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</si>
  <si>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</si>
  <si>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</si>
  <si>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</si>
  <si>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</si>
  <si>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</si>
  <si>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</si>
  <si>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</si>
  <si>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</si>
  <si>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</si>
  <si>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</si>
  <si>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</si>
  <si>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</si>
  <si>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</si>
  <si>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</si>
  <si>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</si>
  <si>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</si>
  <si>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</si>
  <si>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</si>
  <si>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</si>
  <si>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</si>
  <si>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</si>
  <si>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</si>
  <si>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</si>
  <si>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</si>
  <si>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</si>
  <si>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</si>
  <si>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</si>
  <si>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</si>
  <si>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</si>
  <si>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</si>
  <si>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</si>
  <si>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</si>
  <si>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</si>
  <si>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</si>
  <si>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</si>
  <si>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</si>
  <si>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</si>
  <si>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</si>
  <si>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</si>
  <si>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</si>
  <si>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</si>
  <si>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</si>
  <si>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</si>
  <si>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</si>
  <si>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</si>
  <si>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</si>
  <si>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</si>
  <si>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</si>
  <si>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</si>
  <si>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</si>
  <si>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</si>
  <si>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</si>
  <si>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</si>
  <si>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</si>
  <si>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</si>
  <si>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</si>
  <si>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</si>
  <si>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</si>
  <si>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</si>
  <si>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</si>
  <si>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</si>
  <si>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</si>
  <si>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</si>
  <si>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</si>
  <si>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</si>
  <si>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</si>
  <si>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</si>
  <si>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</si>
  <si>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</si>
  <si>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</si>
  <si>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</si>
  <si>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</si>
  <si>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</si>
  <si>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</si>
  <si>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</si>
  <si>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</si>
  <si>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</si>
  <si>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</si>
  <si>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</si>
  <si>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</si>
  <si>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</si>
  <si>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</si>
  <si>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</si>
  <si>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</si>
  <si>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</si>
  <si>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</si>
  <si>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</si>
  <si>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</si>
  <si>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</si>
  <si>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</si>
  <si>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</si>
  <si>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</si>
  <si>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</si>
  <si>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</si>
  <si>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</si>
  <si>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</si>
  <si>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</si>
  <si>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</si>
  <si>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</si>
  <si>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</si>
  <si>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</si>
  <si>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</si>
  <si>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</si>
  <si>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</si>
  <si>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</si>
  <si>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</si>
  <si>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</si>
  <si>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</si>
  <si>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</si>
  <si>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</si>
  <si>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</si>
  <si>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</si>
  <si>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</si>
  <si>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</si>
  <si>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</si>
  <si>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</si>
  <si>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</si>
  <si>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</si>
  <si>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</si>
  <si>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</si>
  <si>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</si>
  <si>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</si>
  <si>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</si>
  <si>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</si>
  <si>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</si>
  <si>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</si>
  <si>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</si>
  <si>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</si>
  <si>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</si>
  <si>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</si>
  <si>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</si>
  <si>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</si>
  <si>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</si>
  <si>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</si>
  <si>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</si>
  <si>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</si>
  <si>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</si>
  <si>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</si>
  <si>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</si>
  <si>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</si>
  <si>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</si>
  <si>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</si>
  <si>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</si>
  <si>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</si>
  <si>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</si>
  <si>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</si>
  <si>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</si>
  <si>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</si>
  <si>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</si>
  <si>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</si>
  <si>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</si>
  <si>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</si>
  <si>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</si>
  <si>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</si>
  <si>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</si>
  <si>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</si>
  <si>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</si>
  <si>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</si>
  <si>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</si>
  <si>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</si>
  <si>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</si>
  <si>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</si>
  <si>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</si>
  <si>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</si>
  <si>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</si>
  <si>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Lincoln National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</si>
  <si>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</si>
  <si>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</si>
  <si>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</si>
  <si>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</si>
  <si>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</si>
  <si>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</si>
  <si>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</si>
  <si>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</si>
  <si>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</si>
  <si>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</si>
  <si>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</si>
  <si>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</si>
  <si>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</si>
  <si>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</si>
  <si>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</si>
  <si>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</si>
  <si>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</si>
  <si>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</si>
  <si>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</si>
  <si>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</si>
  <si>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</si>
  <si>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</si>
  <si>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</si>
  <si>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</si>
  <si>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</si>
  <si>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</si>
  <si>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</si>
  <si>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</si>
  <si>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</si>
  <si>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</si>
  <si>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</si>
  <si>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</si>
  <si>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</si>
  <si>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</si>
  <si>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</si>
  <si>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</si>
  <si>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</si>
  <si>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</si>
  <si>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</si>
  <si>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</si>
  <si>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</si>
  <si>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</si>
  <si>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</si>
  <si>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</si>
  <si>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</si>
  <si>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</si>
  <si>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</si>
  <si>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</si>
  <si>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</si>
  <si>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</si>
  <si>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</si>
  <si>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</si>
  <si>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</si>
  <si>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</si>
  <si>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</si>
  <si>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</si>
  <si>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</si>
  <si>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</si>
  <si>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</si>
  <si>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</si>
  <si>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</si>
  <si>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</si>
  <si>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</si>
  <si>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</si>
  <si>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</si>
  <si>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</si>
  <si>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</si>
  <si>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</si>
  <si>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Lincoln National Corp.</t>
  </si>
  <si>
    <t>Within the last 12 months, Morgan Stanley has provided or is providing investment banking services to,</t>
  </si>
  <si>
    <t>or has an investment banking client relationship with, the following company: Lincoln National Corp.</t>
  </si>
  <si>
    <t>Within the last 12 months, Morgan Stanley has received compensation for products and services other than</t>
  </si>
  <si>
    <t>investment banking services from Lincoln National Corp.</t>
  </si>
  <si>
    <t>In the next 3 months, Morgan Stanley expects to receive or intends to seek compensation for investment</t>
  </si>
  <si>
    <t>banking services from Lincoln National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</si>
  <si>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</si>
  <si>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</si>
  <si>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</si>
  <si>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</si>
  <si>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</si>
  <si>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Nigel Dally.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</si>
  <si>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</si>
  <si>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</si>
  <si>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</si>
  <si>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</si>
  <si>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</si>
  <si>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</si>
  <si>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</si>
  <si>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</si>
  <si>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</si>
  <si>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</si>
  <si>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</si>
  <si>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</si>
  <si>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</si>
  <si>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</si>
  <si>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</si>
  <si>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</si>
  <si>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</si>
  <si>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</si>
  <si>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</si>
  <si>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</si>
  <si>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</si>
  <si>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</si>
  <si>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</si>
  <si>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</si>
  <si>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</si>
  <si>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</si>
  <si>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</si>
  <si>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</si>
  <si>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</si>
  <si>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</si>
  <si>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</si>
  <si>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</si>
  <si>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</si>
  <si>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</si>
  <si>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</si>
  <si>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</si>
  <si>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</si>
  <si>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</si>
  <si>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</si>
  <si>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</si>
  <si>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</si>
  <si>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</si>
  <si>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</si>
  <si>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</si>
  <si>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</si>
  <si>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</si>
  <si>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</si>
  <si>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</si>
  <si>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</si>
  <si>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</si>
  <si>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</si>
  <si>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</si>
  <si>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</si>
  <si>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</si>
  <si>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</si>
  <si>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</si>
  <si>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</si>
  <si>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</si>
  <si>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</si>
  <si>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</si>
  <si>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</si>
  <si>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</si>
  <si>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</si>
  <si>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</si>
  <si>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</si>
  <si>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</si>
  <si>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</si>
  <si>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</si>
  <si>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</si>
  <si>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</si>
  <si>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huangb</t>
  </si>
  <si>
    <t>MSA10131, MSA86LPP, MSA35NYJ</t>
  </si>
  <si>
    <t>L:\INSURANC\life&amp;annuities\models\Models to Submit\pre1Q18\CopyOf-LNC.xlsm</t>
  </si>
  <si>
    <t>[BRO MSA]</t>
  </si>
  <si>
    <t>[PRODUCT MODEL]</t>
  </si>
  <si>
    <t>[EMAIL_ALERT YES]</t>
  </si>
  <si>
    <t>[DISCIPLINE Company]</t>
  </si>
  <si>
    <t>[SUPPRESSED NO]</t>
  </si>
  <si>
    <t>[DOCDAT 2018-04-05]</t>
  </si>
  <si>
    <t>[DOCTIME 08:44]</t>
  </si>
  <si>
    <t>[PSYM LNC.N(S&amp;P) (None)]</t>
  </si>
  <si>
    <t>[COU 1]</t>
  </si>
  <si>
    <t>[ANA MSA86LPP MSA35NYJ]</t>
  </si>
  <si>
    <t>[HL LNC.N Model]</t>
  </si>
  <si>
    <t>[IND INSURN]</t>
  </si>
  <si>
    <t>[PANA MSA10131]</t>
  </si>
</sst>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0.0;\(&quot;$&quot;#,##0.0\)"/>
    <numFmt numFmtId="165" formatCode="#,##0_);\-#,##0_)"/>
    <numFmt numFmtId="166" formatCode="#,##0.0_);\-#,##0.0_)"/>
    <numFmt numFmtId="167" formatCode="#,##0.00_);\-#,##0.00_)"/>
    <numFmt numFmtId="168" formatCode="#,##0.0_);\(#,##0.0\)"/>
    <numFmt numFmtId="169" formatCode="#,##0.00_)"/>
    <numFmt numFmtId="170" formatCode="#,##0_)"/>
    <numFmt numFmtId="171" formatCode="0.0"/>
    <numFmt numFmtId="172" formatCode="#,##0;\-#,##0"/>
    <numFmt numFmtId="173" formatCode="#,##0.00_);\(#,##0.00\);0.00_);@_)"/>
    <numFmt numFmtId="174" formatCode="#,##0.0_);\(#,##0.0\);0.0_);@_)"/>
    <numFmt numFmtId="175" formatCode="#,##0_);\(#,##0\);0_);@_)"/>
    <numFmt numFmtId="176" formatCode="_(* #,##0.0_);_(* \(#,##0.0\);_(* &quot;-&quot;_);_(@_)"/>
    <numFmt numFmtId="177" formatCode="_(* #,##0.00_);_(* \(#,##0.00\);_(* &quot;-&quot;_);_(@_)"/>
    <numFmt numFmtId="178" formatCode="_(* #,##0.0_);_(* \(#,##0.0\);_(* &quot;-&quot;??_);_(@_)"/>
    <numFmt numFmtId="179" formatCode="_(* #,##0_);_(* \(#,##0\);_(* &quot;-&quot;??_);_(@_)"/>
    <numFmt numFmtId="181" formatCode="#,##0.0"/>
    <numFmt numFmtId="184" formatCode="0_);\(0\)"/>
    <numFmt numFmtId="187" formatCode="###0;\-###0"/>
    <numFmt numFmtId="188" formatCode="#,##0.0000_)"/>
    <numFmt numFmtId="189" formatCode="#,##0.0_)"/>
    <numFmt numFmtId="190" formatCode="0.0%"/>
    <numFmt numFmtId="191" formatCode="#,##0.000000_)"/>
    <numFmt numFmtId="192" formatCode="#,##0_);\(#,##0\);\-_);@_)"/>
    <numFmt numFmtId="193" formatCode="#,##0.0_);\(#,##0.0\);\-_);@_)"/>
    <numFmt numFmtId="194" formatCode="#,##0.00_);\(#,##0.00\);\-_);@_)"/>
    <numFmt numFmtId="199" formatCode="#,##0.00_%_);\(#,##0.00\)_%;#,##0.00_%_);@_%_)"/>
    <numFmt numFmtId="201" formatCode="#,##0.00;\-#,##0.00"/>
    <numFmt numFmtId="203" formatCode="#,##0.000_)"/>
    <numFmt numFmtId="209" formatCode="mm/dd/yy\ hh:mm"/>
  </numFmts>
  <fonts count="106" x14ac:knownFonts="1">
    <font>
      <sz val="10"/>
      <name val="Arial"/>
    </font>
    <font>
      <sz val="10"/>
      <name val="Arial"/>
      <family val="2"/>
    </font>
    <font>
      <sz val="10"/>
      <name val="Arial"/>
      <family val="2"/>
    </font>
    <font>
      <sz val="8"/>
      <name val="Times New Roman"/>
      <family val="1"/>
    </font>
    <font>
      <sz val="10"/>
      <name val="Times New Roman"/>
      <family val="1"/>
    </font>
    <font>
      <sz val="8"/>
      <name val="Arial"/>
      <family val="2"/>
    </font>
    <font>
      <sz val="8"/>
      <color indexed="81"/>
      <name val="Tahoma"/>
      <family val="2"/>
    </font>
    <font>
      <b/>
      <sz val="8"/>
      <color indexed="81"/>
      <name val="Tahoma"/>
      <family val="2"/>
    </font>
    <font>
      <sz val="8"/>
      <color indexed="12"/>
      <name val="Tms Rmn"/>
      <family val="1"/>
    </font>
    <font>
      <sz val="10"/>
      <color indexed="18"/>
      <name val="Times New Roman"/>
      <family val="1"/>
    </font>
    <font>
      <u/>
      <sz val="8"/>
      <color indexed="12"/>
      <name val="Arial"/>
      <family val="2"/>
    </font>
    <font>
      <sz val="9"/>
      <color indexed="81"/>
      <name val="Tahoma"/>
      <family val="2"/>
    </font>
    <font>
      <b/>
      <sz val="9"/>
      <color indexed="81"/>
      <name val="Tahoma"/>
      <family val="2"/>
    </font>
    <font>
      <sz val="12"/>
      <name val="Helv"/>
    </font>
    <font>
      <sz val="11"/>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0"/>
      <name val="Calibri"/>
      <family val="2"/>
    </font>
    <font>
      <sz val="10"/>
      <color indexed="10"/>
      <name val="Calibri"/>
      <family val="2"/>
    </font>
    <font>
      <i/>
      <sz val="10"/>
      <name val="Calibri"/>
      <family val="2"/>
    </font>
    <font>
      <sz val="10"/>
      <color indexed="8"/>
      <name val="Calibri"/>
      <family val="2"/>
    </font>
    <font>
      <sz val="10"/>
      <color indexed="12"/>
      <name val="Calibri"/>
      <family val="2"/>
    </font>
    <font>
      <b/>
      <sz val="10"/>
      <color indexed="9"/>
      <name val="Calibri"/>
      <family val="2"/>
    </font>
    <font>
      <sz val="10"/>
      <color indexed="9"/>
      <name val="Calibri"/>
      <family val="2"/>
    </font>
    <font>
      <i/>
      <sz val="10"/>
      <color indexed="9"/>
      <name val="Calibri"/>
      <family val="2"/>
    </font>
    <font>
      <b/>
      <sz val="10"/>
      <name val="Calibri"/>
      <family val="2"/>
    </font>
    <font>
      <i/>
      <sz val="10"/>
      <color indexed="12"/>
      <name val="Calibri"/>
      <family val="2"/>
    </font>
    <font>
      <i/>
      <sz val="10"/>
      <color indexed="8"/>
      <name val="Calibri"/>
      <family val="2"/>
    </font>
    <font>
      <b/>
      <sz val="10"/>
      <color indexed="12"/>
      <name val="Calibri"/>
      <family val="2"/>
    </font>
    <font>
      <i/>
      <sz val="10"/>
      <color indexed="10"/>
      <name val="Calibri"/>
      <family val="2"/>
    </font>
    <font>
      <b/>
      <i/>
      <sz val="10"/>
      <color indexed="8"/>
      <name val="Calibri"/>
      <family val="2"/>
    </font>
    <font>
      <b/>
      <sz val="10"/>
      <color indexed="8"/>
      <name val="Calibri"/>
      <family val="2"/>
    </font>
    <font>
      <sz val="10"/>
      <color indexed="16"/>
      <name val="Calibri"/>
      <family val="2"/>
    </font>
    <font>
      <i/>
      <sz val="10"/>
      <color indexed="16"/>
      <name val="Calibri"/>
      <family val="2"/>
    </font>
    <font>
      <b/>
      <sz val="10"/>
      <color indexed="10"/>
      <name val="Calibri"/>
      <family val="2"/>
    </font>
    <font>
      <sz val="10"/>
      <color indexed="55"/>
      <name val="Calibri"/>
      <family val="2"/>
    </font>
    <font>
      <i/>
      <sz val="10"/>
      <color indexed="55"/>
      <name val="Calibri"/>
      <family val="2"/>
    </font>
    <font>
      <b/>
      <sz val="10"/>
      <color indexed="55"/>
      <name val="Calibri"/>
      <family val="2"/>
    </font>
    <font>
      <b/>
      <i/>
      <sz val="10"/>
      <color indexed="55"/>
      <name val="Calibri"/>
      <family val="2"/>
    </font>
    <font>
      <b/>
      <i/>
      <sz val="10"/>
      <color indexed="10"/>
      <name val="Calibri"/>
      <family val="2"/>
    </font>
    <font>
      <sz val="10"/>
      <color indexed="23"/>
      <name val="Calibri"/>
      <family val="2"/>
    </font>
    <font>
      <i/>
      <sz val="10"/>
      <color indexed="23"/>
      <name val="Calibri"/>
      <family val="2"/>
    </font>
    <font>
      <b/>
      <sz val="10"/>
      <color indexed="23"/>
      <name val="Calibri"/>
      <family val="2"/>
    </font>
    <font>
      <b/>
      <i/>
      <sz val="10"/>
      <color indexed="12"/>
      <name val="Calibri"/>
      <family val="2"/>
    </font>
    <font>
      <sz val="10"/>
      <color indexed="22"/>
      <name val="Calibri"/>
      <family val="2"/>
    </font>
    <font>
      <sz val="10"/>
      <color indexed="57"/>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i/>
      <sz val="10"/>
      <name val="Arial"/>
      <family val="2"/>
    </font>
    <font>
      <sz val="10"/>
      <name val="Tahoma"/>
      <family val="2"/>
    </font>
    <font>
      <sz val="10"/>
      <color indexed="2"/>
      <name val="Tahoma"/>
      <family val="2"/>
    </font>
    <font>
      <b/>
      <sz val="10"/>
      <color indexed="0"/>
      <name val="Tahoma"/>
      <family val="2"/>
    </font>
    <font>
      <b/>
      <i/>
      <sz val="10"/>
      <color indexed="4"/>
      <name val="Tahoma"/>
      <family val="2"/>
    </font>
    <font>
      <sz val="10"/>
      <color indexed="4"/>
      <name val="Tahoma"/>
      <family val="2"/>
    </font>
    <font>
      <b/>
      <sz val="18"/>
      <color indexed="12"/>
      <name val="Calibri"/>
      <family val="2"/>
    </font>
    <font>
      <i/>
      <sz val="8"/>
      <name val="Calibri"/>
      <family val="2"/>
    </font>
    <font>
      <b/>
      <i/>
      <sz val="10"/>
      <name val="Calibri"/>
      <family val="2"/>
    </font>
    <font>
      <sz val="10"/>
      <name val="Arial"/>
      <family val="2"/>
    </font>
    <font>
      <b/>
      <i/>
      <sz val="10"/>
      <color indexed="9"/>
      <name val="Calibri"/>
      <family val="2"/>
    </font>
    <font>
      <b/>
      <sz val="14"/>
      <color indexed="12"/>
      <name val="Calibri"/>
      <family val="2"/>
    </font>
    <font>
      <sz val="14"/>
      <name val="Calibri"/>
      <family val="2"/>
    </font>
    <font>
      <i/>
      <sz val="14"/>
      <name val="Calibri"/>
      <family val="2"/>
    </font>
    <font>
      <sz val="10"/>
      <color rgb="FF0070C0"/>
      <name val="Calibri"/>
      <family val="2"/>
    </font>
    <font>
      <sz val="10"/>
      <color theme="4"/>
      <name val="Calibri"/>
      <family val="2"/>
    </font>
    <font>
      <sz val="10"/>
      <color rgb="FFFF0000"/>
      <name val="Calibri"/>
      <family val="2"/>
    </font>
    <font>
      <b/>
      <sz val="10"/>
      <color theme="4"/>
      <name val="Calibri"/>
      <family val="2"/>
    </font>
    <font>
      <b/>
      <sz val="10"/>
      <color rgb="FF0070C0"/>
      <name val="Calibri"/>
      <family val="2"/>
    </font>
    <font>
      <b/>
      <i/>
      <sz val="10"/>
      <color theme="0" tint="-0.499984740745262"/>
      <name val="Calibri"/>
      <family val="2"/>
    </font>
    <font>
      <i/>
      <sz val="10"/>
      <color theme="0" tint="-0.499984740745262"/>
      <name val="Calibri"/>
      <family val="2"/>
    </font>
    <font>
      <b/>
      <sz val="10"/>
      <color theme="1"/>
      <name val="Calibri"/>
      <family val="2"/>
    </font>
    <font>
      <b/>
      <sz val="10"/>
      <color theme="0"/>
      <name val="Calibri"/>
      <family val="2"/>
    </font>
    <font>
      <i/>
      <sz val="10"/>
      <color theme="0"/>
      <name val="Calibri"/>
      <family val="2"/>
    </font>
    <font>
      <b/>
      <i/>
      <sz val="10"/>
      <color theme="0"/>
      <name val="Calibri"/>
      <family val="2"/>
    </font>
    <font>
      <b/>
      <i/>
      <sz val="10"/>
      <color rgb="FF7F7F7F"/>
      <name val="Calibri"/>
      <family val="2"/>
    </font>
    <font>
      <i/>
      <sz val="10"/>
      <color rgb="FF7F7F7F"/>
      <name val="Calibri"/>
      <family val="2"/>
    </font>
    <font>
      <i/>
      <sz val="8"/>
      <color indexed="81"/>
      <name val="Tahoma"/>
      <family val="2"/>
    </font>
    <font>
      <b/>
      <sz val="9"/>
      <color indexed="81"/>
      <name val="Calibri"/>
      <family val="2"/>
      <scheme val="minor"/>
    </font>
    <font>
      <sz val="9"/>
      <color indexed="81"/>
      <name val="Calibri"/>
      <family val="2"/>
      <scheme val="minor"/>
    </font>
    <font>
      <b/>
      <sz val="10"/>
      <color rgb="FFC00000"/>
      <name val="Calibri"/>
      <family val="2"/>
    </font>
    <font>
      <sz val="10"/>
      <color rgb="FFC00000"/>
      <name val="Calibri"/>
      <family val="2"/>
    </font>
    <font>
      <i/>
      <sz val="10"/>
      <color rgb="FFC00000"/>
      <name val="Calibri"/>
      <family val="2"/>
    </font>
    <font>
      <b/>
      <i/>
      <sz val="10"/>
      <color rgb="FFC00000"/>
      <name val="Calibri"/>
      <family val="2"/>
    </font>
    <font>
      <sz val="10"/>
      <color rgb="FF7F7F7F"/>
      <name val="Calibri"/>
      <family val="2"/>
    </font>
    <font>
      <b/>
      <sz val="10"/>
      <color rgb="FF7F7F7F"/>
      <name val="Calibri"/>
      <family val="2"/>
    </font>
    <font>
      <sz val="10"/>
      <color theme="0"/>
      <name val="Calibri"/>
      <family val="2"/>
    </font>
    <font>
      <sz val="10"/>
      <name val="Courier"/>
      <family val="3"/>
    </font>
    <font>
      <sz val="10"/>
      <color rgb="FF000000"/>
      <name val="Arial"/>
      <family val="2"/>
    </font>
    <font>
      <b/>
      <sz val="12"/>
      <color rgb="FF000080"/>
      <name val="Arial"/>
      <family val="2"/>
    </font>
  </fonts>
  <fills count="32">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8"/>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indexed="44"/>
        <bgColor indexed="64"/>
      </patternFill>
    </fill>
    <fill>
      <patternFill patternType="solid">
        <fgColor indexed="47"/>
        <bgColor indexed="64"/>
      </patternFill>
    </fill>
    <fill>
      <patternFill patternType="solid">
        <fgColor indexed="40"/>
        <bgColor indexed="64"/>
      </patternFill>
    </fill>
    <fill>
      <patternFill patternType="solid">
        <fgColor indexed="41"/>
        <bgColor indexed="64"/>
      </patternFill>
    </fill>
    <fill>
      <patternFill patternType="solid">
        <fgColor indexed="56"/>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006699"/>
        <bgColor indexed="64"/>
      </patternFill>
    </fill>
    <fill>
      <patternFill patternType="solid">
        <fgColor rgb="FFDCE6F1"/>
        <bgColor indexed="64"/>
      </patternFill>
    </fill>
    <fill>
      <patternFill patternType="solid">
        <fgColor indexed="65"/>
        <bgColor indexed="64"/>
      </pattern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8">
    <xf numFmtId="0" fontId="0" fillId="0" borderId="0"/>
    <xf numFmtId="164" fontId="3" fillId="0" borderId="0">
      <alignment horizontal="right"/>
    </xf>
    <xf numFmtId="0" fontId="1" fillId="0" borderId="0"/>
    <xf numFmtId="0" fontId="1" fillId="0" borderId="0"/>
    <xf numFmtId="0" fontId="1" fillId="0" borderId="0"/>
    <xf numFmtId="0" fontId="1" fillId="0" borderId="0"/>
    <xf numFmtId="0" fontId="1" fillId="0" borderId="0"/>
    <xf numFmtId="44" fontId="4" fillId="0" borderId="0" applyFont="0" applyFill="0" applyBorder="0" applyAlignment="0" applyProtection="0"/>
    <xf numFmtId="42" fontId="4" fillId="0" borderId="0" applyFont="0" applyFill="0" applyBorder="0" applyAlignment="0" applyProtection="0"/>
    <xf numFmtId="0" fontId="1" fillId="0" borderId="0"/>
    <xf numFmtId="0" fontId="4" fillId="0" borderId="0"/>
    <xf numFmtId="0" fontId="15" fillId="0" borderId="0"/>
    <xf numFmtId="0" fontId="15"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2" borderId="0" applyNumberFormat="0" applyBorder="0" applyAlignment="0" applyProtection="0"/>
    <xf numFmtId="0" fontId="49" fillId="5" borderId="0" applyNumberFormat="0" applyBorder="0" applyAlignment="0" applyProtection="0"/>
    <xf numFmtId="0" fontId="49" fillId="4" borderId="0" applyNumberFormat="0" applyBorder="0" applyAlignment="0" applyProtection="0"/>
    <xf numFmtId="0" fontId="49" fillId="6"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4" borderId="0" applyNumberFormat="0" applyBorder="0" applyAlignment="0" applyProtection="0"/>
    <xf numFmtId="0" fontId="50" fillId="8" borderId="0" applyNumberFormat="0" applyBorder="0" applyAlignment="0" applyProtection="0"/>
    <xf numFmtId="0" fontId="50" fillId="3" borderId="0" applyNumberFormat="0" applyBorder="0" applyAlignment="0" applyProtection="0"/>
    <xf numFmtId="0" fontId="50" fillId="9" borderId="0" applyNumberFormat="0" applyBorder="0" applyAlignment="0" applyProtection="0"/>
    <xf numFmtId="0" fontId="50" fillId="6" borderId="0" applyNumberFormat="0" applyBorder="0" applyAlignment="0" applyProtection="0"/>
    <xf numFmtId="0" fontId="50" fillId="8" borderId="0" applyNumberFormat="0" applyBorder="0" applyAlignment="0" applyProtection="0"/>
    <xf numFmtId="0" fontId="50" fillId="4" borderId="0" applyNumberFormat="0" applyBorder="0" applyAlignment="0" applyProtection="0"/>
    <xf numFmtId="0" fontId="50" fillId="8" borderId="0" applyNumberFormat="0" applyBorder="0" applyAlignment="0" applyProtection="0"/>
    <xf numFmtId="0" fontId="50" fillId="3"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8" borderId="0" applyNumberFormat="0" applyBorder="0" applyAlignment="0" applyProtection="0"/>
    <xf numFmtId="0" fontId="50" fillId="3" borderId="0" applyNumberFormat="0" applyBorder="0" applyAlignment="0" applyProtection="0"/>
    <xf numFmtId="0" fontId="51" fillId="11" borderId="0" applyNumberFormat="0" applyBorder="0" applyAlignment="0" applyProtection="0"/>
    <xf numFmtId="0" fontId="8" fillId="0" borderId="0" applyNumberFormat="0" applyFill="0" applyBorder="0" applyAlignment="0" applyProtection="0"/>
    <xf numFmtId="0" fontId="16" fillId="0" borderId="0"/>
    <xf numFmtId="0" fontId="52" fillId="12" borderId="1" applyNumberFormat="0" applyAlignment="0" applyProtection="0"/>
    <xf numFmtId="1" fontId="9" fillId="0" borderId="0"/>
    <xf numFmtId="0" fontId="53" fillId="13" borderId="2" applyNumberFormat="0" applyAlignment="0" applyProtection="0"/>
    <xf numFmtId="43" fontId="1" fillId="0" borderId="0" applyFont="0" applyFill="0" applyBorder="0" applyAlignment="0" applyProtection="0"/>
    <xf numFmtId="0" fontId="3" fillId="0" borderId="0">
      <alignment horizontal="right"/>
    </xf>
    <xf numFmtId="0" fontId="3" fillId="0" borderId="0">
      <alignment horizontal="right"/>
    </xf>
    <xf numFmtId="0" fontId="54" fillId="0" borderId="0" applyNumberFormat="0" applyFill="0" applyBorder="0" applyAlignment="0" applyProtection="0"/>
    <xf numFmtId="0" fontId="68" fillId="0" borderId="0"/>
    <xf numFmtId="0" fontId="69" fillId="14" borderId="0"/>
    <xf numFmtId="0" fontId="55" fillId="15"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67" fillId="0" borderId="0">
      <alignment wrapText="1"/>
    </xf>
    <xf numFmtId="0" fontId="10" fillId="0" borderId="0" applyNumberFormat="0" applyFill="0" applyBorder="0" applyAlignment="0" applyProtection="0">
      <alignment vertical="top"/>
      <protection locked="0"/>
    </xf>
    <xf numFmtId="0" fontId="59" fillId="4" borderId="1" applyNumberFormat="0" applyAlignment="0" applyProtection="0"/>
    <xf numFmtId="0" fontId="60" fillId="0" borderId="6" applyNumberFormat="0" applyFill="0" applyAlignment="0" applyProtection="0"/>
    <xf numFmtId="0" fontId="69" fillId="0" borderId="0"/>
    <xf numFmtId="0" fontId="70" fillId="0" borderId="0"/>
    <xf numFmtId="0" fontId="71" fillId="0" borderId="0"/>
    <xf numFmtId="0" fontId="61" fillId="4" borderId="0" applyNumberFormat="0" applyBorder="0" applyAlignment="0" applyProtection="0"/>
    <xf numFmtId="0" fontId="13" fillId="0" borderId="0"/>
    <xf numFmtId="0" fontId="1" fillId="0" borderId="0"/>
    <xf numFmtId="0" fontId="1" fillId="4" borderId="7" applyNumberFormat="0" applyFont="0" applyAlignment="0" applyProtection="0"/>
    <xf numFmtId="43" fontId="4" fillId="0" borderId="0" applyFont="0" applyFill="0" applyBorder="0" applyAlignment="0" applyProtection="0"/>
    <xf numFmtId="41" fontId="4" fillId="0" borderId="0" applyFont="0" applyFill="0" applyBorder="0" applyAlignment="0" applyProtection="0"/>
    <xf numFmtId="0" fontId="62" fillId="12" borderId="8" applyNumberFormat="0" applyAlignment="0" applyProtection="0"/>
    <xf numFmtId="0" fontId="17" fillId="0" borderId="0">
      <alignment vertical="center"/>
    </xf>
    <xf numFmtId="0" fontId="71" fillId="0" borderId="0"/>
    <xf numFmtId="9" fontId="1" fillId="0" borderId="0" applyFont="0" applyFill="0" applyBorder="0" applyAlignment="0" applyProtection="0"/>
    <xf numFmtId="0" fontId="3" fillId="0" borderId="0">
      <alignment horizontal="right"/>
    </xf>
    <xf numFmtId="10" fontId="3" fillId="0" borderId="0">
      <alignment horizontal="right"/>
    </xf>
    <xf numFmtId="0" fontId="2" fillId="16" borderId="0" applyNumberFormat="0" applyFont="0" applyBorder="0" applyAlignment="0" applyProtection="0"/>
    <xf numFmtId="0" fontId="18" fillId="0" borderId="0"/>
    <xf numFmtId="0" fontId="18" fillId="0" borderId="9">
      <alignment horizontal="centerContinuous"/>
    </xf>
    <xf numFmtId="0" fontId="19" fillId="0" borderId="9"/>
    <xf numFmtId="0" fontId="1" fillId="0" borderId="0">
      <alignment vertical="top"/>
    </xf>
    <xf numFmtId="0" fontId="1" fillId="0" borderId="0">
      <alignment vertical="top"/>
    </xf>
    <xf numFmtId="0" fontId="63" fillId="0" borderId="0" applyNumberFormat="0" applyFill="0" applyBorder="0" applyAlignment="0" applyProtection="0"/>
    <xf numFmtId="0" fontId="64" fillId="0" borderId="10" applyNumberFormat="0" applyFill="0" applyAlignment="0" applyProtection="0"/>
    <xf numFmtId="0" fontId="65" fillId="0" borderId="0" applyNumberFormat="0" applyFill="0" applyBorder="0" applyAlignment="0" applyProtection="0"/>
    <xf numFmtId="0" fontId="2" fillId="0" borderId="0"/>
    <xf numFmtId="44" fontId="2" fillId="0" borderId="0" applyFont="0" applyFill="0" applyBorder="0" applyAlignment="0" applyProtection="0"/>
    <xf numFmtId="0" fontId="1" fillId="0" borderId="0"/>
    <xf numFmtId="0" fontId="1" fillId="16" borderId="0" applyNumberFormat="0" applyFont="0" applyBorder="0" applyAlignment="0" applyProtection="0"/>
    <xf numFmtId="44" fontId="1" fillId="0" borderId="0" applyFont="0" applyFill="0" applyBorder="0" applyAlignment="0" applyProtection="0"/>
    <xf numFmtId="0" fontId="103" fillId="0" borderId="0"/>
  </cellStyleXfs>
  <cellXfs count="927">
    <xf numFmtId="0" fontId="0" fillId="0" borderId="0" xfId="0"/>
    <xf numFmtId="49" fontId="0" fillId="0" borderId="0" xfId="0" applyNumberFormat="1"/>
    <xf numFmtId="0" fontId="20" fillId="0" borderId="0" xfId="0" applyFont="1" applyFill="1" applyBorder="1" applyAlignment="1">
      <alignment horizontal="left"/>
    </xf>
    <xf numFmtId="0" fontId="20" fillId="0" borderId="0" xfId="0" applyFont="1" applyBorder="1"/>
    <xf numFmtId="0" fontId="20" fillId="0" borderId="0" xfId="0" applyFont="1" applyBorder="1" applyAlignment="1">
      <alignment horizontal="right"/>
    </xf>
    <xf numFmtId="0" fontId="20" fillId="0" borderId="0" xfId="0" applyFont="1"/>
    <xf numFmtId="0" fontId="20" fillId="17" borderId="0" xfId="0" applyFont="1" applyFill="1"/>
    <xf numFmtId="0" fontId="20" fillId="0" borderId="0" xfId="0" applyFont="1" applyFill="1"/>
    <xf numFmtId="0" fontId="20" fillId="0" borderId="0" xfId="0" applyFont="1" applyBorder="1" applyProtection="1">
      <protection locked="0"/>
    </xf>
    <xf numFmtId="0" fontId="20" fillId="0" borderId="0" xfId="0" quotePrefix="1" applyFont="1" applyBorder="1" applyAlignment="1">
      <alignment horizontal="right"/>
    </xf>
    <xf numFmtId="3" fontId="20" fillId="0" borderId="0" xfId="0" applyNumberFormat="1" applyFont="1" applyBorder="1" applyAlignment="1">
      <alignment horizontal="right"/>
    </xf>
    <xf numFmtId="0" fontId="20" fillId="0" borderId="0" xfId="0" applyFont="1" applyFill="1" applyBorder="1" applyProtection="1">
      <protection locked="0"/>
    </xf>
    <xf numFmtId="41" fontId="20" fillId="0" borderId="0" xfId="0" applyNumberFormat="1" applyFont="1" applyFill="1" applyAlignment="1">
      <alignment horizontal="right"/>
    </xf>
    <xf numFmtId="172" fontId="22" fillId="0" borderId="0" xfId="0" applyNumberFormat="1" applyFont="1" applyFill="1" applyAlignment="1">
      <alignment horizontal="right"/>
    </xf>
    <xf numFmtId="177" fontId="20" fillId="0" borderId="0" xfId="0" applyNumberFormat="1" applyFont="1" applyFill="1" applyAlignment="1">
      <alignment horizontal="right"/>
    </xf>
    <xf numFmtId="177" fontId="24" fillId="0" borderId="0" xfId="0" applyNumberFormat="1" applyFont="1" applyFill="1" applyAlignment="1">
      <alignment horizontal="right"/>
    </xf>
    <xf numFmtId="170" fontId="20" fillId="0" borderId="0" xfId="0" applyNumberFormat="1" applyFont="1" applyFill="1" applyBorder="1" applyAlignment="1">
      <alignment horizontal="right"/>
    </xf>
    <xf numFmtId="187" fontId="22" fillId="0" borderId="0" xfId="0" applyNumberFormat="1" applyFont="1" applyFill="1" applyAlignment="1">
      <alignment horizontal="right"/>
    </xf>
    <xf numFmtId="1" fontId="22" fillId="0" borderId="0" xfId="0" applyNumberFormat="1" applyFont="1" applyFill="1" applyAlignment="1">
      <alignment horizontal="right"/>
    </xf>
    <xf numFmtId="41" fontId="23" fillId="0" borderId="0" xfId="0" applyNumberFormat="1" applyFont="1" applyFill="1" applyAlignment="1">
      <alignment horizontal="right"/>
    </xf>
    <xf numFmtId="170" fontId="22" fillId="0" borderId="12" xfId="0" applyNumberFormat="1" applyFont="1" applyFill="1" applyBorder="1" applyAlignment="1">
      <alignment horizontal="right"/>
    </xf>
    <xf numFmtId="170" fontId="20" fillId="0" borderId="12" xfId="0" applyNumberFormat="1" applyFont="1" applyFill="1" applyBorder="1" applyAlignment="1">
      <alignment horizontal="right"/>
    </xf>
    <xf numFmtId="0" fontId="20" fillId="0" borderId="0" xfId="0" applyFont="1" applyFill="1" applyBorder="1" applyAlignment="1">
      <alignment horizontal="right"/>
    </xf>
    <xf numFmtId="175" fontId="24" fillId="0" borderId="0" xfId="0" applyNumberFormat="1" applyFont="1" applyFill="1" applyBorder="1" applyAlignment="1"/>
    <xf numFmtId="0" fontId="20" fillId="17" borderId="0" xfId="0" applyFont="1" applyFill="1" applyBorder="1" applyAlignment="1">
      <alignment horizontal="right"/>
    </xf>
    <xf numFmtId="0" fontId="20" fillId="17" borderId="0" xfId="0" applyFont="1" applyFill="1" applyBorder="1" applyAlignment="1">
      <alignment horizontal="left"/>
    </xf>
    <xf numFmtId="172" fontId="22" fillId="17" borderId="0" xfId="0" applyNumberFormat="1" applyFont="1" applyFill="1" applyBorder="1" applyAlignment="1">
      <alignment horizontal="right"/>
    </xf>
    <xf numFmtId="170" fontId="20" fillId="17" borderId="0" xfId="0" quotePrefix="1" applyNumberFormat="1" applyFont="1" applyFill="1" applyBorder="1" applyAlignment="1">
      <alignment horizontal="right"/>
    </xf>
    <xf numFmtId="170" fontId="20" fillId="17" borderId="0" xfId="0" applyNumberFormat="1" applyFont="1" applyFill="1" applyBorder="1" applyAlignment="1">
      <alignment horizontal="right"/>
    </xf>
    <xf numFmtId="0" fontId="28" fillId="17" borderId="0" xfId="0" applyFont="1" applyFill="1" applyBorder="1" applyAlignment="1">
      <alignment horizontal="left"/>
    </xf>
    <xf numFmtId="170" fontId="22" fillId="17" borderId="0" xfId="0" applyNumberFormat="1" applyFont="1" applyFill="1" applyBorder="1" applyAlignment="1">
      <alignment horizontal="right"/>
    </xf>
    <xf numFmtId="0" fontId="20" fillId="17" borderId="0" xfId="0" quotePrefix="1" applyNumberFormat="1" applyFont="1" applyFill="1" applyBorder="1" applyAlignment="1">
      <alignment horizontal="right"/>
    </xf>
    <xf numFmtId="170" fontId="23" fillId="17" borderId="0" xfId="0" quotePrefix="1" applyNumberFormat="1" applyFont="1" applyFill="1" applyBorder="1" applyAlignment="1">
      <alignment horizontal="right"/>
    </xf>
    <xf numFmtId="0" fontId="20" fillId="17" borderId="0" xfId="0" applyNumberFormat="1" applyFont="1" applyFill="1" applyBorder="1" applyAlignment="1">
      <alignment horizontal="right"/>
    </xf>
    <xf numFmtId="1" fontId="20" fillId="17" borderId="0" xfId="0" applyNumberFormat="1" applyFont="1" applyFill="1" applyBorder="1" applyAlignment="1">
      <alignment horizontal="right"/>
    </xf>
    <xf numFmtId="189" fontId="20" fillId="17" borderId="0" xfId="0" applyNumberFormat="1" applyFont="1" applyFill="1" applyBorder="1" applyAlignment="1">
      <alignment horizontal="right"/>
    </xf>
    <xf numFmtId="189" fontId="20" fillId="17" borderId="0" xfId="0" quotePrefix="1" applyNumberFormat="1" applyFont="1" applyFill="1" applyBorder="1" applyAlignment="1">
      <alignment horizontal="right"/>
    </xf>
    <xf numFmtId="189" fontId="23" fillId="17" borderId="0" xfId="0" quotePrefix="1" applyNumberFormat="1" applyFont="1" applyFill="1" applyBorder="1" applyAlignment="1">
      <alignment horizontal="right"/>
    </xf>
    <xf numFmtId="189" fontId="22" fillId="17" borderId="0" xfId="0" applyNumberFormat="1" applyFont="1" applyFill="1" applyBorder="1" applyAlignment="1">
      <alignment horizontal="right"/>
    </xf>
    <xf numFmtId="189" fontId="20" fillId="18" borderId="13" xfId="0" applyNumberFormat="1" applyFont="1" applyFill="1" applyBorder="1" applyAlignment="1">
      <alignment horizontal="right"/>
    </xf>
    <xf numFmtId="168" fontId="24" fillId="18" borderId="0" xfId="0" applyNumberFormat="1" applyFont="1" applyFill="1" applyBorder="1" applyAlignment="1">
      <alignment horizontal="right"/>
    </xf>
    <xf numFmtId="168" fontId="24" fillId="18" borderId="12" xfId="0" applyNumberFormat="1" applyFont="1" applyFill="1" applyBorder="1" applyAlignment="1">
      <alignment horizontal="right"/>
    </xf>
    <xf numFmtId="170" fontId="20" fillId="18" borderId="13" xfId="0" applyNumberFormat="1" applyFont="1" applyFill="1" applyBorder="1" applyAlignment="1">
      <alignment horizontal="right"/>
    </xf>
    <xf numFmtId="37" fontId="24" fillId="18" borderId="0" xfId="0" applyNumberFormat="1" applyFont="1" applyFill="1" applyBorder="1" applyAlignment="1">
      <alignment horizontal="right"/>
    </xf>
    <xf numFmtId="37" fontId="24" fillId="18" borderId="12" xfId="0" applyNumberFormat="1" applyFont="1" applyFill="1" applyBorder="1" applyAlignment="1">
      <alignment horizontal="right"/>
    </xf>
    <xf numFmtId="169" fontId="20" fillId="18" borderId="13" xfId="0" applyNumberFormat="1" applyFont="1" applyFill="1" applyBorder="1" applyAlignment="1">
      <alignment horizontal="right"/>
    </xf>
    <xf numFmtId="169" fontId="20" fillId="17" borderId="0" xfId="0" applyNumberFormat="1" applyFont="1" applyFill="1" applyBorder="1" applyAlignment="1">
      <alignment horizontal="right"/>
    </xf>
    <xf numFmtId="169" fontId="22" fillId="17" borderId="0" xfId="0" applyNumberFormat="1" applyFont="1" applyFill="1" applyBorder="1" applyAlignment="1">
      <alignment horizontal="right"/>
    </xf>
    <xf numFmtId="39" fontId="24" fillId="18" borderId="0" xfId="0" applyNumberFormat="1" applyFont="1" applyFill="1" applyBorder="1" applyAlignment="1">
      <alignment horizontal="right"/>
    </xf>
    <xf numFmtId="39" fontId="24" fillId="18" borderId="12" xfId="0" applyNumberFormat="1" applyFont="1" applyFill="1" applyBorder="1" applyAlignment="1">
      <alignment horizontal="right"/>
    </xf>
    <xf numFmtId="169" fontId="20" fillId="17" borderId="0" xfId="0" quotePrefix="1" applyNumberFormat="1" applyFont="1" applyFill="1" applyBorder="1" applyAlignment="1">
      <alignment horizontal="right"/>
    </xf>
    <xf numFmtId="169" fontId="20" fillId="18" borderId="12" xfId="0" quotePrefix="1" applyNumberFormat="1" applyFont="1" applyFill="1" applyBorder="1" applyAlignment="1">
      <alignment horizontal="right"/>
    </xf>
    <xf numFmtId="0" fontId="20" fillId="17" borderId="0" xfId="0" applyFont="1" applyFill="1" applyAlignment="1">
      <alignment horizontal="left"/>
    </xf>
    <xf numFmtId="170" fontId="20" fillId="17" borderId="0" xfId="0" applyNumberFormat="1" applyFont="1" applyFill="1" applyAlignment="1">
      <alignment horizontal="right"/>
    </xf>
    <xf numFmtId="170" fontId="22" fillId="17" borderId="0" xfId="0" applyNumberFormat="1" applyFont="1" applyFill="1" applyAlignment="1">
      <alignment horizontal="right"/>
    </xf>
    <xf numFmtId="170" fontId="23" fillId="17" borderId="0" xfId="0" applyNumberFormat="1" applyFont="1" applyFill="1" applyAlignment="1">
      <alignment horizontal="right"/>
    </xf>
    <xf numFmtId="0" fontId="22" fillId="0" borderId="0" xfId="0" applyFont="1" applyFill="1" applyAlignment="1">
      <alignment horizontal="right"/>
    </xf>
    <xf numFmtId="0" fontId="20" fillId="0" borderId="0" xfId="0" applyFont="1" applyFill="1" applyAlignment="1">
      <alignment horizontal="right"/>
    </xf>
    <xf numFmtId="0" fontId="31" fillId="0" borderId="0" xfId="0" applyFont="1" applyFill="1" applyBorder="1" applyAlignment="1">
      <alignment horizontal="left"/>
    </xf>
    <xf numFmtId="170" fontId="24" fillId="0" borderId="0" xfId="0" applyNumberFormat="1" applyFont="1" applyFill="1" applyBorder="1" applyAlignment="1">
      <alignment horizontal="left"/>
    </xf>
    <xf numFmtId="170" fontId="29" fillId="0" borderId="0" xfId="0" applyNumberFormat="1" applyFont="1" applyFill="1" applyBorder="1" applyAlignment="1">
      <alignment horizontal="left"/>
    </xf>
    <xf numFmtId="172" fontId="30" fillId="0" borderId="0" xfId="0" applyNumberFormat="1" applyFont="1" applyFill="1" applyAlignment="1">
      <alignment horizontal="right"/>
    </xf>
    <xf numFmtId="170" fontId="20" fillId="0" borderId="0" xfId="0" applyNumberFormat="1" applyFont="1" applyFill="1" applyBorder="1" applyAlignment="1">
      <alignment horizontal="left"/>
    </xf>
    <xf numFmtId="0" fontId="28" fillId="0" borderId="0" xfId="0" applyFont="1" applyFill="1" applyBorder="1" applyAlignment="1">
      <alignment horizontal="left"/>
    </xf>
    <xf numFmtId="170" fontId="24" fillId="0" borderId="0" xfId="0" applyNumberFormat="1" applyFont="1" applyFill="1" applyAlignment="1">
      <alignment horizontal="right"/>
    </xf>
    <xf numFmtId="170" fontId="20" fillId="0" borderId="0" xfId="0" applyNumberFormat="1" applyFont="1" applyFill="1" applyAlignment="1">
      <alignment horizontal="right"/>
    </xf>
    <xf numFmtId="170" fontId="24" fillId="0" borderId="0" xfId="0" applyNumberFormat="1" applyFont="1" applyFill="1" applyBorder="1" applyAlignment="1">
      <alignment horizontal="right"/>
    </xf>
    <xf numFmtId="170" fontId="29" fillId="0" borderId="0" xfId="0" applyNumberFormat="1" applyFont="1" applyFill="1" applyBorder="1" applyAlignment="1">
      <alignment horizontal="right"/>
    </xf>
    <xf numFmtId="1" fontId="20" fillId="0" borderId="0" xfId="0" applyNumberFormat="1" applyFont="1" applyFill="1" applyBorder="1" applyAlignment="1">
      <alignment horizontal="left"/>
    </xf>
    <xf numFmtId="175" fontId="23" fillId="0" borderId="0" xfId="0" applyNumberFormat="1" applyFont="1" applyFill="1" applyBorder="1" applyAlignment="1">
      <alignment horizontal="right"/>
    </xf>
    <xf numFmtId="170" fontId="30" fillId="0" borderId="0" xfId="0" applyNumberFormat="1" applyFont="1" applyFill="1" applyAlignment="1">
      <alignment horizontal="right"/>
    </xf>
    <xf numFmtId="170" fontId="23" fillId="0" borderId="0" xfId="0" applyNumberFormat="1" applyFont="1" applyFill="1" applyAlignment="1">
      <alignment horizontal="right"/>
    </xf>
    <xf numFmtId="175" fontId="24" fillId="0" borderId="0" xfId="0" applyNumberFormat="1" applyFont="1" applyFill="1" applyBorder="1" applyAlignment="1">
      <alignment horizontal="right"/>
    </xf>
    <xf numFmtId="175" fontId="20" fillId="0" borderId="0" xfId="0" applyNumberFormat="1" applyFont="1" applyFill="1" applyBorder="1" applyAlignment="1">
      <alignment horizontal="right"/>
    </xf>
    <xf numFmtId="175" fontId="24" fillId="0" borderId="0" xfId="0" applyNumberFormat="1" applyFont="1" applyFill="1" applyAlignment="1">
      <alignment horizontal="right"/>
    </xf>
    <xf numFmtId="175" fontId="20" fillId="0" borderId="0" xfId="0" applyNumberFormat="1" applyFont="1" applyFill="1" applyAlignment="1">
      <alignment horizontal="right"/>
    </xf>
    <xf numFmtId="0" fontId="21" fillId="0" borderId="0" xfId="0" applyFont="1"/>
    <xf numFmtId="1" fontId="21" fillId="0" borderId="0" xfId="0" applyNumberFormat="1" applyFont="1" applyFill="1" applyBorder="1" applyAlignment="1">
      <alignment horizontal="left"/>
    </xf>
    <xf numFmtId="170" fontId="32" fillId="0" borderId="0" xfId="0" applyNumberFormat="1" applyFont="1" applyFill="1" applyAlignment="1">
      <alignment horizontal="right"/>
    </xf>
    <xf numFmtId="170" fontId="21" fillId="0" borderId="0" xfId="0" applyNumberFormat="1" applyFont="1" applyFill="1" applyAlignment="1">
      <alignment horizontal="right"/>
    </xf>
    <xf numFmtId="172" fontId="32" fillId="0" borderId="0" xfId="0" applyNumberFormat="1" applyFont="1" applyFill="1" applyAlignment="1">
      <alignment horizontal="right"/>
    </xf>
    <xf numFmtId="166" fontId="23" fillId="0" borderId="0" xfId="0" applyNumberFormat="1" applyFont="1" applyFill="1" applyBorder="1" applyAlignment="1">
      <alignment horizontal="right"/>
    </xf>
    <xf numFmtId="167" fontId="23" fillId="0" borderId="0" xfId="0" applyNumberFormat="1" applyFont="1" applyFill="1" applyBorder="1" applyAlignment="1">
      <alignment horizontal="right"/>
    </xf>
    <xf numFmtId="174" fontId="20" fillId="0" borderId="0" xfId="0" applyNumberFormat="1" applyFont="1" applyFill="1" applyAlignment="1">
      <alignment horizontal="right"/>
    </xf>
    <xf numFmtId="174" fontId="23" fillId="0" borderId="0" xfId="0" applyNumberFormat="1" applyFont="1" applyFill="1" applyBorder="1" applyAlignment="1">
      <alignment horizontal="right"/>
    </xf>
    <xf numFmtId="166" fontId="24" fillId="0" borderId="0" xfId="0" applyNumberFormat="1" applyFont="1" applyFill="1" applyAlignment="1">
      <alignment horizontal="right"/>
    </xf>
    <xf numFmtId="166" fontId="23" fillId="0" borderId="0" xfId="0" applyNumberFormat="1" applyFont="1" applyFill="1" applyAlignment="1">
      <alignment horizontal="right"/>
    </xf>
    <xf numFmtId="166" fontId="30" fillId="0" borderId="0" xfId="0" applyNumberFormat="1" applyFont="1" applyFill="1" applyAlignment="1">
      <alignment horizontal="right"/>
    </xf>
    <xf numFmtId="166" fontId="20" fillId="0" borderId="0" xfId="0" applyNumberFormat="1" applyFont="1" applyFill="1" applyBorder="1" applyAlignment="1">
      <alignment horizontal="right"/>
    </xf>
    <xf numFmtId="166" fontId="24" fillId="0" borderId="0" xfId="0" applyNumberFormat="1" applyFont="1" applyFill="1" applyBorder="1" applyAlignment="1">
      <alignment horizontal="right"/>
    </xf>
    <xf numFmtId="174" fontId="24" fillId="0" borderId="0" xfId="0" applyNumberFormat="1" applyFont="1" applyFill="1" applyAlignment="1">
      <alignment horizontal="right"/>
    </xf>
    <xf numFmtId="175" fontId="23" fillId="0" borderId="0" xfId="0" applyNumberFormat="1" applyFont="1" applyFill="1" applyAlignment="1">
      <alignment horizontal="right"/>
    </xf>
    <xf numFmtId="0" fontId="23" fillId="0" borderId="0" xfId="0" applyFont="1" applyFill="1" applyBorder="1" applyAlignment="1">
      <alignment horizontal="left" indent="2"/>
    </xf>
    <xf numFmtId="1" fontId="20" fillId="0" borderId="0" xfId="0" applyNumberFormat="1" applyFont="1" applyFill="1" applyBorder="1" applyAlignment="1">
      <alignment horizontal="left" indent="1"/>
    </xf>
    <xf numFmtId="0" fontId="23" fillId="0" borderId="0" xfId="0" applyFont="1" applyFill="1" applyBorder="1" applyAlignment="1">
      <alignment horizontal="left"/>
    </xf>
    <xf numFmtId="189" fontId="30" fillId="0" borderId="0" xfId="0" applyNumberFormat="1" applyFont="1" applyFill="1" applyAlignment="1">
      <alignment horizontal="right"/>
    </xf>
    <xf numFmtId="189" fontId="24" fillId="0" borderId="0" xfId="0" applyNumberFormat="1" applyFont="1" applyFill="1" applyBorder="1" applyAlignment="1">
      <alignment horizontal="right"/>
    </xf>
    <xf numFmtId="189" fontId="20" fillId="0" borderId="0" xfId="0" applyNumberFormat="1" applyFont="1" applyFill="1" applyBorder="1" applyAlignment="1">
      <alignment horizontal="right"/>
    </xf>
    <xf numFmtId="175" fontId="31" fillId="0" borderId="0" xfId="0" applyNumberFormat="1" applyFont="1" applyFill="1" applyBorder="1" applyAlignment="1">
      <alignment horizontal="right"/>
    </xf>
    <xf numFmtId="170" fontId="33" fillId="0" borderId="0" xfId="0" applyNumberFormat="1" applyFont="1" applyFill="1" applyAlignment="1">
      <alignment horizontal="right"/>
    </xf>
    <xf numFmtId="170" fontId="34" fillId="0" borderId="0" xfId="0" applyNumberFormat="1" applyFont="1" applyFill="1" applyAlignment="1">
      <alignment horizontal="right"/>
    </xf>
    <xf numFmtId="172" fontId="33" fillId="0" borderId="0" xfId="0" applyNumberFormat="1" applyFont="1" applyFill="1" applyAlignment="1">
      <alignment horizontal="right"/>
    </xf>
    <xf numFmtId="175" fontId="34" fillId="0" borderId="0" xfId="0" applyNumberFormat="1" applyFont="1" applyFill="1" applyBorder="1" applyAlignment="1">
      <alignment horizontal="right"/>
    </xf>
    <xf numFmtId="170" fontId="31" fillId="0" borderId="0" xfId="0" applyNumberFormat="1" applyFont="1" applyFill="1" applyAlignment="1">
      <alignment horizontal="right"/>
    </xf>
    <xf numFmtId="175" fontId="28" fillId="0" borderId="0" xfId="0" applyNumberFormat="1" applyFont="1" applyFill="1" applyBorder="1" applyAlignment="1">
      <alignment horizontal="right"/>
    </xf>
    <xf numFmtId="0" fontId="28" fillId="0" borderId="0" xfId="0" applyFont="1" applyFill="1"/>
    <xf numFmtId="0" fontId="28" fillId="0" borderId="0" xfId="0" applyFont="1"/>
    <xf numFmtId="170" fontId="29" fillId="0" borderId="0" xfId="0" applyNumberFormat="1" applyFont="1" applyFill="1" applyAlignment="1">
      <alignment horizontal="right"/>
    </xf>
    <xf numFmtId="167" fontId="24" fillId="0" borderId="0" xfId="0" applyNumberFormat="1" applyFont="1" applyFill="1" applyAlignment="1">
      <alignment horizontal="right"/>
    </xf>
    <xf numFmtId="167" fontId="20" fillId="0" borderId="0" xfId="0" applyNumberFormat="1" applyFont="1" applyFill="1" applyAlignment="1">
      <alignment horizontal="right"/>
    </xf>
    <xf numFmtId="167" fontId="24" fillId="0" borderId="0" xfId="0" applyNumberFormat="1" applyFont="1" applyFill="1" applyBorder="1" applyAlignment="1">
      <alignment horizontal="right"/>
    </xf>
    <xf numFmtId="167" fontId="20" fillId="0" borderId="0" xfId="0" applyNumberFormat="1" applyFont="1" applyFill="1" applyBorder="1" applyAlignment="1">
      <alignment horizontal="right"/>
    </xf>
    <xf numFmtId="0" fontId="35" fillId="0" borderId="0" xfId="0" applyFont="1"/>
    <xf numFmtId="167" fontId="35" fillId="0" borderId="0" xfId="0" applyNumberFormat="1" applyFont="1" applyFill="1" applyBorder="1" applyAlignment="1">
      <alignment horizontal="right"/>
    </xf>
    <xf numFmtId="170" fontId="36" fillId="0" borderId="0" xfId="0" applyNumberFormat="1" applyFont="1" applyFill="1" applyAlignment="1">
      <alignment horizontal="right"/>
    </xf>
    <xf numFmtId="170" fontId="35" fillId="0" borderId="0" xfId="0" applyNumberFormat="1" applyFont="1" applyFill="1" applyAlignment="1">
      <alignment horizontal="right"/>
    </xf>
    <xf numFmtId="172" fontId="36" fillId="0" borderId="0" xfId="0" applyNumberFormat="1" applyFont="1" applyFill="1" applyAlignment="1">
      <alignment horizontal="right"/>
    </xf>
    <xf numFmtId="0" fontId="35" fillId="0" borderId="0" xfId="0" applyFont="1" applyFill="1"/>
    <xf numFmtId="189" fontId="24" fillId="0" borderId="0" xfId="0" applyNumberFormat="1" applyFont="1" applyFill="1" applyAlignment="1">
      <alignment horizontal="right"/>
    </xf>
    <xf numFmtId="1" fontId="28" fillId="0" borderId="0" xfId="0" applyNumberFormat="1" applyFont="1" applyFill="1" applyBorder="1" applyAlignment="1">
      <alignment horizontal="left"/>
    </xf>
    <xf numFmtId="169" fontId="24" fillId="0" borderId="0" xfId="0" applyNumberFormat="1" applyFont="1" applyFill="1" applyBorder="1" applyAlignment="1">
      <alignment horizontal="right"/>
    </xf>
    <xf numFmtId="169" fontId="20" fillId="0" borderId="0" xfId="0" applyNumberFormat="1" applyFont="1" applyFill="1" applyBorder="1" applyAlignment="1">
      <alignment horizontal="right"/>
    </xf>
    <xf numFmtId="170" fontId="22" fillId="0" borderId="0" xfId="0" applyNumberFormat="1" applyFont="1" applyFill="1" applyBorder="1" applyAlignment="1">
      <alignment horizontal="right"/>
    </xf>
    <xf numFmtId="0" fontId="20" fillId="0" borderId="0" xfId="0" applyFont="1" applyFill="1" applyBorder="1" applyAlignment="1">
      <alignment horizontal="left" indent="1"/>
    </xf>
    <xf numFmtId="175" fontId="24" fillId="0" borderId="0" xfId="0" quotePrefix="1" applyNumberFormat="1" applyFont="1" applyFill="1" applyBorder="1" applyAlignment="1">
      <alignment horizontal="right"/>
    </xf>
    <xf numFmtId="174" fontId="34" fillId="0" borderId="0" xfId="0" applyNumberFormat="1" applyFont="1" applyFill="1" applyBorder="1" applyAlignment="1">
      <alignment horizontal="right"/>
    </xf>
    <xf numFmtId="175" fontId="30" fillId="0" borderId="0" xfId="0" applyNumberFormat="1" applyFont="1" applyFill="1" applyAlignment="1">
      <alignment horizontal="right"/>
    </xf>
    <xf numFmtId="174" fontId="31" fillId="0" borderId="0" xfId="0" applyNumberFormat="1" applyFont="1" applyFill="1" applyBorder="1" applyAlignment="1">
      <alignment horizontal="right"/>
    </xf>
    <xf numFmtId="166" fontId="24" fillId="18" borderId="0" xfId="0" applyNumberFormat="1" applyFont="1" applyFill="1" applyBorder="1" applyAlignment="1">
      <alignment horizontal="right"/>
    </xf>
    <xf numFmtId="166" fontId="20" fillId="18" borderId="0" xfId="0" applyNumberFormat="1" applyFont="1" applyFill="1" applyBorder="1" applyAlignment="1">
      <alignment horizontal="right"/>
    </xf>
    <xf numFmtId="172" fontId="30" fillId="18" borderId="0" xfId="0" applyNumberFormat="1" applyFont="1" applyFill="1" applyAlignment="1">
      <alignment horizontal="right"/>
    </xf>
    <xf numFmtId="175" fontId="21" fillId="0" borderId="0" xfId="0" quotePrefix="1" applyNumberFormat="1" applyFont="1" applyFill="1" applyBorder="1" applyAlignment="1">
      <alignment horizontal="right"/>
    </xf>
    <xf numFmtId="166" fontId="21" fillId="0" borderId="0" xfId="0" applyNumberFormat="1" applyFont="1" applyFill="1" applyBorder="1" applyAlignment="1">
      <alignment horizontal="right"/>
    </xf>
    <xf numFmtId="174" fontId="20" fillId="0" borderId="0" xfId="0" quotePrefix="1" applyNumberFormat="1" applyFont="1" applyFill="1" applyBorder="1" applyAlignment="1">
      <alignment horizontal="right"/>
    </xf>
    <xf numFmtId="0" fontId="34" fillId="0" borderId="0" xfId="0" applyFont="1" applyFill="1" applyBorder="1" applyAlignment="1">
      <alignment horizontal="left"/>
    </xf>
    <xf numFmtId="175" fontId="24" fillId="0" borderId="0" xfId="0" quotePrefix="1" applyNumberFormat="1" applyFont="1" applyFill="1" applyAlignment="1">
      <alignment horizontal="right"/>
    </xf>
    <xf numFmtId="0" fontId="37" fillId="0" borderId="0" xfId="0" applyFont="1" applyFill="1" applyBorder="1" applyAlignment="1">
      <alignment horizontal="left"/>
    </xf>
    <xf numFmtId="175" fontId="37" fillId="0" borderId="0" xfId="0" applyNumberFormat="1" applyFont="1" applyFill="1" applyBorder="1" applyAlignment="1">
      <alignment horizontal="right"/>
    </xf>
    <xf numFmtId="174" fontId="24" fillId="0" borderId="0" xfId="0" applyNumberFormat="1" applyFont="1" applyFill="1" applyBorder="1" applyAlignment="1">
      <alignment horizontal="right"/>
    </xf>
    <xf numFmtId="174" fontId="20" fillId="0" borderId="0" xfId="0" applyNumberFormat="1" applyFont="1" applyFill="1" applyBorder="1" applyAlignment="1">
      <alignment horizontal="right"/>
    </xf>
    <xf numFmtId="173" fontId="23" fillId="0" borderId="0" xfId="0" applyNumberFormat="1" applyFont="1" applyFill="1" applyBorder="1" applyAlignment="1">
      <alignment horizontal="right"/>
    </xf>
    <xf numFmtId="173" fontId="24" fillId="0" borderId="0" xfId="0" applyNumberFormat="1" applyFont="1" applyFill="1" applyBorder="1" applyAlignment="1">
      <alignment horizontal="right"/>
    </xf>
    <xf numFmtId="173" fontId="20" fillId="0" borderId="0" xfId="0" applyNumberFormat="1" applyFont="1" applyFill="1" applyBorder="1" applyAlignment="1">
      <alignment horizontal="right"/>
    </xf>
    <xf numFmtId="174" fontId="30" fillId="0" borderId="0" xfId="0" applyNumberFormat="1" applyFont="1" applyFill="1" applyAlignment="1">
      <alignment horizontal="right"/>
    </xf>
    <xf numFmtId="173" fontId="34" fillId="0" borderId="0" xfId="0" applyNumberFormat="1" applyFont="1" applyFill="1" applyAlignment="1">
      <alignment horizontal="right"/>
    </xf>
    <xf numFmtId="37" fontId="24" fillId="0" borderId="0" xfId="0" applyNumberFormat="1" applyFont="1" applyFill="1" applyAlignment="1">
      <alignment horizontal="right"/>
    </xf>
    <xf numFmtId="41" fontId="24" fillId="0" borderId="0" xfId="0" applyNumberFormat="1" applyFont="1" applyFill="1" applyBorder="1" applyAlignment="1">
      <alignment horizontal="right"/>
    </xf>
    <xf numFmtId="179" fontId="24" fillId="0" borderId="0" xfId="0" applyNumberFormat="1" applyFont="1" applyFill="1" applyBorder="1" applyAlignment="1">
      <alignment horizontal="right"/>
    </xf>
    <xf numFmtId="37" fontId="24" fillId="0" borderId="0" xfId="0" applyNumberFormat="1" applyFont="1" applyFill="1" applyBorder="1" applyAlignment="1">
      <alignment horizontal="right"/>
    </xf>
    <xf numFmtId="179" fontId="20" fillId="0" borderId="0" xfId="0" applyNumberFormat="1" applyFont="1" applyFill="1" applyBorder="1" applyAlignment="1">
      <alignment horizontal="right"/>
    </xf>
    <xf numFmtId="41" fontId="23" fillId="0" borderId="0" xfId="0" applyNumberFormat="1" applyFont="1" applyFill="1" applyBorder="1" applyAlignment="1">
      <alignment horizontal="right"/>
    </xf>
    <xf numFmtId="37" fontId="20" fillId="0" borderId="0" xfId="0" applyNumberFormat="1" applyFont="1" applyFill="1" applyBorder="1" applyAlignment="1">
      <alignment horizontal="right"/>
    </xf>
    <xf numFmtId="0" fontId="22" fillId="0" borderId="0" xfId="0" applyFont="1" applyFill="1" applyBorder="1" applyAlignment="1">
      <alignment horizontal="left"/>
    </xf>
    <xf numFmtId="41" fontId="20" fillId="0" borderId="0" xfId="0" applyNumberFormat="1" applyFont="1" applyFill="1" applyBorder="1" applyAlignment="1">
      <alignment horizontal="right"/>
    </xf>
    <xf numFmtId="1" fontId="20" fillId="0" borderId="0" xfId="0" applyNumberFormat="1" applyFont="1" applyFill="1" applyBorder="1" applyAlignment="1"/>
    <xf numFmtId="168" fontId="23" fillId="0" borderId="0" xfId="0" applyNumberFormat="1" applyFont="1" applyFill="1" applyBorder="1" applyAlignment="1">
      <alignment horizontal="right"/>
    </xf>
    <xf numFmtId="168" fontId="20" fillId="0" borderId="0" xfId="0" applyNumberFormat="1" applyFont="1" applyFill="1" applyBorder="1" applyAlignment="1">
      <alignment horizontal="right"/>
    </xf>
    <xf numFmtId="168" fontId="24" fillId="0" borderId="0" xfId="0" applyNumberFormat="1" applyFont="1" applyFill="1" applyBorder="1" applyAlignment="1">
      <alignment horizontal="right"/>
    </xf>
    <xf numFmtId="169" fontId="24" fillId="0" borderId="0" xfId="0" applyNumberFormat="1" applyFont="1" applyFill="1" applyAlignment="1">
      <alignment horizontal="right"/>
    </xf>
    <xf numFmtId="174" fontId="28" fillId="0" borderId="0" xfId="0" applyNumberFormat="1" applyFont="1" applyFill="1" applyBorder="1" applyAlignment="1">
      <alignment horizontal="right"/>
    </xf>
    <xf numFmtId="175" fontId="28" fillId="0" borderId="0" xfId="0" applyNumberFormat="1" applyFont="1" applyFill="1" applyAlignment="1">
      <alignment horizontal="right"/>
    </xf>
    <xf numFmtId="173" fontId="23" fillId="0" borderId="0" xfId="0" applyNumberFormat="1" applyFont="1" applyFill="1" applyAlignment="1">
      <alignment horizontal="right"/>
    </xf>
    <xf numFmtId="173" fontId="24" fillId="0" borderId="0" xfId="0" applyNumberFormat="1" applyFont="1" applyFill="1" applyAlignment="1">
      <alignment horizontal="right"/>
    </xf>
    <xf numFmtId="173" fontId="20" fillId="0" borderId="0" xfId="0" applyNumberFormat="1" applyFont="1" applyFill="1" applyAlignment="1">
      <alignment horizontal="right"/>
    </xf>
    <xf numFmtId="169" fontId="23" fillId="0" borderId="0" xfId="0" applyNumberFormat="1" applyFont="1" applyFill="1" applyAlignment="1">
      <alignment horizontal="right"/>
    </xf>
    <xf numFmtId="169" fontId="20" fillId="0" borderId="0" xfId="0" applyNumberFormat="1" applyFont="1" applyFill="1" applyAlignment="1">
      <alignment horizontal="right"/>
    </xf>
    <xf numFmtId="175" fontId="23" fillId="0" borderId="0" xfId="0" quotePrefix="1" applyNumberFormat="1" applyFont="1" applyFill="1" applyBorder="1" applyAlignment="1">
      <alignment horizontal="right"/>
    </xf>
    <xf numFmtId="174" fontId="32" fillId="0" borderId="0" xfId="0" applyNumberFormat="1" applyFont="1" applyFill="1" applyAlignment="1">
      <alignment horizontal="right"/>
    </xf>
    <xf numFmtId="174" fontId="21" fillId="0" borderId="0" xfId="0" applyNumberFormat="1" applyFont="1" applyFill="1" applyBorder="1" applyAlignment="1">
      <alignment horizontal="right"/>
    </xf>
    <xf numFmtId="166" fontId="23" fillId="18" borderId="0" xfId="0" applyNumberFormat="1" applyFont="1" applyFill="1" applyBorder="1" applyAlignment="1">
      <alignment horizontal="right"/>
    </xf>
    <xf numFmtId="175" fontId="24" fillId="18" borderId="0" xfId="0" quotePrefix="1" applyNumberFormat="1" applyFont="1" applyFill="1" applyBorder="1" applyAlignment="1">
      <alignment horizontal="right"/>
    </xf>
    <xf numFmtId="170" fontId="30" fillId="18" borderId="0" xfId="0" applyNumberFormat="1" applyFont="1" applyFill="1" applyAlignment="1">
      <alignment horizontal="right"/>
    </xf>
    <xf numFmtId="166" fontId="35" fillId="0" borderId="0" xfId="0" applyNumberFormat="1" applyFont="1" applyFill="1" applyBorder="1" applyAlignment="1">
      <alignment horizontal="right"/>
    </xf>
    <xf numFmtId="175" fontId="35" fillId="0" borderId="0" xfId="0" quotePrefix="1" applyNumberFormat="1" applyFont="1" applyFill="1" applyBorder="1" applyAlignment="1">
      <alignment horizontal="right"/>
    </xf>
    <xf numFmtId="0" fontId="34" fillId="0" borderId="0" xfId="0" applyFont="1" applyFill="1" applyBorder="1" applyAlignment="1"/>
    <xf numFmtId="175" fontId="20" fillId="0" borderId="0" xfId="0" applyNumberFormat="1" applyFont="1" applyFill="1" applyBorder="1" applyAlignment="1">
      <alignment horizontal="left"/>
    </xf>
    <xf numFmtId="166" fontId="20" fillId="0" borderId="0" xfId="0" applyNumberFormat="1" applyFont="1" applyFill="1" applyAlignment="1">
      <alignment horizontal="right"/>
    </xf>
    <xf numFmtId="0" fontId="25" fillId="18" borderId="0" xfId="0" applyFont="1" applyFill="1" applyBorder="1" applyAlignment="1">
      <alignment horizontal="left"/>
    </xf>
    <xf numFmtId="170" fontId="24" fillId="18" borderId="0" xfId="0" applyNumberFormat="1" applyFont="1" applyFill="1" applyBorder="1" applyAlignment="1">
      <alignment horizontal="left"/>
    </xf>
    <xf numFmtId="170" fontId="29" fillId="18" borderId="0" xfId="0" applyNumberFormat="1" applyFont="1" applyFill="1" applyBorder="1" applyAlignment="1">
      <alignment horizontal="left"/>
    </xf>
    <xf numFmtId="170" fontId="24" fillId="18" borderId="0" xfId="0" applyNumberFormat="1" applyFont="1" applyFill="1"/>
    <xf numFmtId="170" fontId="20" fillId="18" borderId="0" xfId="0" applyNumberFormat="1" applyFont="1" applyFill="1" applyBorder="1" applyAlignment="1">
      <alignment horizontal="left"/>
    </xf>
    <xf numFmtId="0" fontId="20" fillId="18" borderId="0" xfId="0" applyFont="1" applyFill="1"/>
    <xf numFmtId="175" fontId="38" fillId="0" borderId="0" xfId="0" applyNumberFormat="1" applyFont="1" applyAlignment="1">
      <alignment horizontal="right"/>
    </xf>
    <xf numFmtId="3" fontId="39" fillId="0" borderId="0" xfId="0" applyNumberFormat="1" applyFont="1" applyFill="1" applyAlignment="1">
      <alignment horizontal="right"/>
    </xf>
    <xf numFmtId="175" fontId="38" fillId="0" borderId="0" xfId="0" applyNumberFormat="1" applyFont="1" applyBorder="1"/>
    <xf numFmtId="175" fontId="38" fillId="0" borderId="0" xfId="0" applyNumberFormat="1" applyFont="1" applyFill="1" applyBorder="1"/>
    <xf numFmtId="3" fontId="22" fillId="0" borderId="0" xfId="0" applyNumberFormat="1" applyFont="1" applyFill="1" applyAlignment="1">
      <alignment horizontal="right"/>
    </xf>
    <xf numFmtId="175" fontId="24" fillId="0" borderId="0" xfId="0" applyNumberFormat="1" applyFont="1" applyFill="1" applyBorder="1"/>
    <xf numFmtId="174" fontId="38" fillId="0" borderId="0" xfId="0" applyNumberFormat="1" applyFont="1" applyAlignment="1">
      <alignment horizontal="right"/>
    </xf>
    <xf numFmtId="175" fontId="24" fillId="18" borderId="0" xfId="0" applyNumberFormat="1" applyFont="1" applyFill="1" applyAlignment="1">
      <alignment horizontal="right"/>
    </xf>
    <xf numFmtId="173" fontId="38" fillId="0" borderId="0" xfId="0" applyNumberFormat="1" applyFont="1" applyAlignment="1">
      <alignment horizontal="right"/>
    </xf>
    <xf numFmtId="175" fontId="38" fillId="0" borderId="0" xfId="0" applyNumberFormat="1" applyFont="1" applyFill="1" applyBorder="1" applyAlignment="1">
      <alignment horizontal="right"/>
    </xf>
    <xf numFmtId="172" fontId="39" fillId="0" borderId="0" xfId="0" applyNumberFormat="1" applyFont="1" applyFill="1" applyAlignment="1">
      <alignment horizontal="right"/>
    </xf>
    <xf numFmtId="173" fontId="38" fillId="0" borderId="0" xfId="0" applyNumberFormat="1" applyFont="1" applyFill="1" applyAlignment="1">
      <alignment horizontal="right"/>
    </xf>
    <xf numFmtId="173" fontId="39" fillId="0" borderId="0" xfId="0" applyNumberFormat="1" applyFont="1" applyFill="1" applyAlignment="1">
      <alignment horizontal="right"/>
    </xf>
    <xf numFmtId="175" fontId="40" fillId="0" borderId="0" xfId="0" applyNumberFormat="1" applyFont="1" applyFill="1" applyBorder="1" applyAlignment="1">
      <alignment horizontal="right"/>
    </xf>
    <xf numFmtId="170" fontId="38" fillId="0" borderId="0" xfId="0" applyNumberFormat="1" applyFont="1" applyFill="1" applyBorder="1" applyAlignment="1">
      <alignment horizontal="right"/>
    </xf>
    <xf numFmtId="170" fontId="39" fillId="0" borderId="0" xfId="0" applyNumberFormat="1" applyFont="1" applyFill="1" applyBorder="1" applyAlignment="1">
      <alignment horizontal="right"/>
    </xf>
    <xf numFmtId="170" fontId="38" fillId="0" borderId="0" xfId="0" applyNumberFormat="1" applyFont="1" applyFill="1" applyAlignment="1">
      <alignment horizontal="right"/>
    </xf>
    <xf numFmtId="173" fontId="20" fillId="0" borderId="0" xfId="0" applyNumberFormat="1" applyFont="1" applyAlignment="1">
      <alignment horizontal="right"/>
    </xf>
    <xf numFmtId="169" fontId="38" fillId="0" borderId="0" xfId="0" applyNumberFormat="1" applyFont="1" applyFill="1" applyAlignment="1">
      <alignment horizontal="right"/>
    </xf>
    <xf numFmtId="174" fontId="38" fillId="0" borderId="0" xfId="0" applyNumberFormat="1" applyFont="1" applyBorder="1"/>
    <xf numFmtId="174" fontId="38" fillId="0" borderId="0" xfId="0" applyNumberFormat="1" applyFont="1" applyFill="1" applyBorder="1"/>
    <xf numFmtId="174" fontId="24" fillId="0" borderId="0" xfId="0" applyNumberFormat="1" applyFont="1" applyFill="1" applyBorder="1"/>
    <xf numFmtId="170" fontId="39" fillId="0" borderId="0" xfId="0" applyNumberFormat="1" applyFont="1" applyFill="1" applyAlignment="1">
      <alignment horizontal="right"/>
    </xf>
    <xf numFmtId="175" fontId="38" fillId="0" borderId="0" xfId="0" applyNumberFormat="1" applyFont="1" applyFill="1" applyAlignment="1">
      <alignment horizontal="right"/>
    </xf>
    <xf numFmtId="170" fontId="40" fillId="0" borderId="0" xfId="0" applyNumberFormat="1" applyFont="1" applyFill="1" applyAlignment="1">
      <alignment horizontal="right"/>
    </xf>
    <xf numFmtId="174" fontId="38" fillId="0" borderId="0" xfId="0" applyNumberFormat="1" applyFont="1" applyFill="1" applyBorder="1" applyAlignment="1">
      <alignment horizontal="right"/>
    </xf>
    <xf numFmtId="174" fontId="39" fillId="0" borderId="0" xfId="0" applyNumberFormat="1" applyFont="1" applyFill="1" applyAlignment="1">
      <alignment horizontal="right"/>
    </xf>
    <xf numFmtId="174" fontId="38" fillId="0" borderId="0" xfId="0" applyNumberFormat="1" applyFont="1" applyFill="1" applyAlignment="1">
      <alignment horizontal="right"/>
    </xf>
    <xf numFmtId="166" fontId="38" fillId="0" borderId="0" xfId="0" applyNumberFormat="1" applyFont="1" applyFill="1" applyBorder="1" applyAlignment="1">
      <alignment horizontal="right"/>
    </xf>
    <xf numFmtId="174" fontId="35" fillId="0" borderId="0" xfId="0" applyNumberFormat="1" applyFont="1" applyAlignment="1">
      <alignment horizontal="right"/>
    </xf>
    <xf numFmtId="174" fontId="20" fillId="0" borderId="0" xfId="0" applyNumberFormat="1" applyFont="1" applyAlignment="1">
      <alignment horizontal="right"/>
    </xf>
    <xf numFmtId="175" fontId="38" fillId="0" borderId="0" xfId="0" quotePrefix="1" applyNumberFormat="1" applyFont="1" applyFill="1" applyBorder="1" applyAlignment="1">
      <alignment horizontal="right"/>
    </xf>
    <xf numFmtId="174" fontId="38" fillId="0" borderId="0" xfId="0" applyNumberFormat="1" applyFont="1" applyBorder="1" applyAlignment="1">
      <alignment horizontal="right"/>
    </xf>
    <xf numFmtId="174" fontId="40" fillId="0" borderId="0" xfId="0" applyNumberFormat="1" applyFont="1" applyFill="1" applyBorder="1" applyAlignment="1">
      <alignment horizontal="right"/>
    </xf>
    <xf numFmtId="175" fontId="39" fillId="0" borderId="0" xfId="0" applyNumberFormat="1" applyFont="1" applyFill="1" applyAlignment="1">
      <alignment horizontal="right"/>
    </xf>
    <xf numFmtId="174" fontId="37" fillId="0" borderId="0" xfId="0" applyNumberFormat="1" applyFont="1" applyFill="1" applyBorder="1" applyAlignment="1">
      <alignment horizontal="right"/>
    </xf>
    <xf numFmtId="174" fontId="23" fillId="0" borderId="0" xfId="0" applyNumberFormat="1" applyFont="1" applyFill="1" applyAlignment="1">
      <alignment horizontal="right"/>
    </xf>
    <xf numFmtId="189" fontId="23" fillId="0" borderId="0" xfId="0" applyNumberFormat="1" applyFont="1" applyFill="1" applyAlignment="1">
      <alignment horizontal="right"/>
    </xf>
    <xf numFmtId="189" fontId="20" fillId="0" borderId="0" xfId="0" applyNumberFormat="1" applyFont="1" applyFill="1" applyAlignment="1">
      <alignment horizontal="right"/>
    </xf>
    <xf numFmtId="177" fontId="24" fillId="0" borderId="0" xfId="0" applyNumberFormat="1" applyFont="1" applyFill="1" applyBorder="1" applyAlignment="1">
      <alignment horizontal="right"/>
    </xf>
    <xf numFmtId="177" fontId="30" fillId="0" borderId="0" xfId="0" applyNumberFormat="1" applyFont="1" applyFill="1" applyAlignment="1">
      <alignment horizontal="right"/>
    </xf>
    <xf numFmtId="177" fontId="20" fillId="0" borderId="0" xfId="0" applyNumberFormat="1" applyFont="1" applyFill="1" applyBorder="1" applyAlignment="1">
      <alignment horizontal="right"/>
    </xf>
    <xf numFmtId="181" fontId="24" fillId="0" borderId="0" xfId="0" applyNumberFormat="1" applyFont="1" applyFill="1" applyAlignment="1">
      <alignment horizontal="right"/>
    </xf>
    <xf numFmtId="181" fontId="23" fillId="0" borderId="0" xfId="0" applyNumberFormat="1" applyFont="1" applyFill="1" applyBorder="1" applyAlignment="1">
      <alignment horizontal="right"/>
    </xf>
    <xf numFmtId="181" fontId="23" fillId="0" borderId="0" xfId="0" applyNumberFormat="1" applyFont="1" applyFill="1" applyAlignment="1">
      <alignment horizontal="right"/>
    </xf>
    <xf numFmtId="181" fontId="30" fillId="0" borderId="0" xfId="0" applyNumberFormat="1" applyFont="1" applyFill="1" applyAlignment="1">
      <alignment horizontal="right"/>
    </xf>
    <xf numFmtId="173" fontId="30" fillId="0" borderId="0" xfId="0" applyNumberFormat="1" applyFont="1" applyFill="1" applyAlignment="1">
      <alignment horizontal="right"/>
    </xf>
    <xf numFmtId="165" fontId="23" fillId="0" borderId="0" xfId="0" applyNumberFormat="1" applyFont="1" applyFill="1" applyBorder="1" applyAlignment="1">
      <alignment horizontal="right"/>
    </xf>
    <xf numFmtId="170" fontId="24" fillId="0" borderId="0" xfId="0" applyNumberFormat="1" applyFont="1" applyFill="1" applyBorder="1"/>
    <xf numFmtId="170" fontId="29" fillId="0" borderId="0" xfId="0" applyNumberFormat="1" applyFont="1" applyFill="1" applyBorder="1"/>
    <xf numFmtId="173" fontId="34" fillId="0" borderId="0" xfId="0" applyNumberFormat="1" applyFont="1" applyFill="1" applyBorder="1" applyAlignment="1">
      <alignment horizontal="right"/>
    </xf>
    <xf numFmtId="174" fontId="24" fillId="0" borderId="0" xfId="0" quotePrefix="1" applyNumberFormat="1" applyFont="1" applyFill="1" applyBorder="1" applyAlignment="1">
      <alignment horizontal="right"/>
    </xf>
    <xf numFmtId="0" fontId="20" fillId="0" borderId="0" xfId="0" applyFont="1" applyAlignment="1">
      <alignment horizontal="left"/>
    </xf>
    <xf numFmtId="175" fontId="24" fillId="0" borderId="0" xfId="0" applyNumberFormat="1" applyFont="1" applyAlignment="1">
      <alignment horizontal="right"/>
    </xf>
    <xf numFmtId="3" fontId="29" fillId="0" borderId="0" xfId="0" applyNumberFormat="1" applyFont="1" applyAlignment="1">
      <alignment horizontal="right"/>
    </xf>
    <xf numFmtId="175" fontId="24" fillId="0" borderId="0" xfId="0" applyNumberFormat="1" applyFont="1" applyBorder="1"/>
    <xf numFmtId="175" fontId="24" fillId="0" borderId="0" xfId="0" applyNumberFormat="1" applyFont="1" applyBorder="1" applyAlignment="1">
      <alignment horizontal="right"/>
    </xf>
    <xf numFmtId="175" fontId="20" fillId="0" borderId="0" xfId="0" applyNumberFormat="1" applyFont="1" applyBorder="1"/>
    <xf numFmtId="0" fontId="20" fillId="0" borderId="0" xfId="0" applyFont="1" applyFill="1" applyBorder="1"/>
    <xf numFmtId="0" fontId="28" fillId="0" borderId="0" xfId="0" applyFont="1" applyAlignment="1">
      <alignment horizontal="left"/>
    </xf>
    <xf numFmtId="3" fontId="29" fillId="0" borderId="0" xfId="0" applyNumberFormat="1" applyFont="1" applyBorder="1" applyAlignment="1">
      <alignment horizontal="right"/>
    </xf>
    <xf numFmtId="0" fontId="24" fillId="0" borderId="0" xfId="0" applyFont="1" applyBorder="1"/>
    <xf numFmtId="3" fontId="39" fillId="0" borderId="0" xfId="0" applyNumberFormat="1" applyFont="1" applyAlignment="1">
      <alignment horizontal="right"/>
    </xf>
    <xf numFmtId="175" fontId="23" fillId="0" borderId="0" xfId="0" applyNumberFormat="1" applyFont="1" applyAlignment="1">
      <alignment horizontal="right"/>
    </xf>
    <xf numFmtId="175" fontId="20" fillId="0" borderId="0" xfId="0" applyNumberFormat="1" applyFont="1" applyAlignment="1">
      <alignment horizontal="right"/>
    </xf>
    <xf numFmtId="175" fontId="38" fillId="0" borderId="0" xfId="0" applyNumberFormat="1" applyFont="1" applyBorder="1" applyAlignment="1">
      <alignment horizontal="right"/>
    </xf>
    <xf numFmtId="173" fontId="38" fillId="0" borderId="0" xfId="0" applyNumberFormat="1" applyFont="1" applyBorder="1" applyAlignment="1">
      <alignment horizontal="right"/>
    </xf>
    <xf numFmtId="174" fontId="24" fillId="0" borderId="0" xfId="0" applyNumberFormat="1" applyFont="1" applyAlignment="1">
      <alignment horizontal="right"/>
    </xf>
    <xf numFmtId="174" fontId="23" fillId="0" borderId="0" xfId="0" applyNumberFormat="1" applyFont="1" applyAlignment="1">
      <alignment horizontal="right"/>
    </xf>
    <xf numFmtId="174" fontId="24" fillId="0" borderId="0" xfId="0" applyNumberFormat="1" applyFont="1" applyBorder="1"/>
    <xf numFmtId="174" fontId="29" fillId="0" borderId="0" xfId="0" applyNumberFormat="1" applyFont="1" applyAlignment="1">
      <alignment horizontal="right"/>
    </xf>
    <xf numFmtId="174" fontId="39" fillId="0" borderId="0" xfId="0" applyNumberFormat="1" applyFont="1" applyAlignment="1">
      <alignment horizontal="right"/>
    </xf>
    <xf numFmtId="174" fontId="20" fillId="0" borderId="0" xfId="0" applyNumberFormat="1" applyFont="1" applyBorder="1"/>
    <xf numFmtId="0" fontId="28" fillId="0" borderId="0" xfId="0" applyFont="1" applyBorder="1"/>
    <xf numFmtId="3" fontId="30" fillId="0" borderId="0" xfId="0" applyNumberFormat="1" applyFont="1" applyFill="1" applyAlignment="1">
      <alignment horizontal="right"/>
    </xf>
    <xf numFmtId="174" fontId="40" fillId="0" borderId="0" xfId="0" applyNumberFormat="1" applyFont="1" applyAlignment="1">
      <alignment horizontal="right"/>
    </xf>
    <xf numFmtId="174" fontId="40" fillId="0" borderId="0" xfId="0" applyNumberFormat="1" applyFont="1" applyFill="1" applyAlignment="1">
      <alignment horizontal="right"/>
    </xf>
    <xf numFmtId="174" fontId="34" fillId="0" borderId="0" xfId="0" applyNumberFormat="1" applyFont="1" applyAlignment="1">
      <alignment horizontal="right"/>
    </xf>
    <xf numFmtId="3" fontId="33" fillId="0" borderId="0" xfId="0" applyNumberFormat="1" applyFont="1" applyFill="1" applyAlignment="1">
      <alignment horizontal="right"/>
    </xf>
    <xf numFmtId="3" fontId="41" fillId="0" borderId="0" xfId="0" applyNumberFormat="1" applyFont="1" applyFill="1" applyAlignment="1">
      <alignment horizontal="right"/>
    </xf>
    <xf numFmtId="174" fontId="28" fillId="0" borderId="0" xfId="0" applyNumberFormat="1" applyFont="1" applyAlignment="1">
      <alignment horizontal="right"/>
    </xf>
    <xf numFmtId="173" fontId="26" fillId="0" borderId="0" xfId="0" applyNumberFormat="1" applyFont="1" applyAlignment="1">
      <alignment horizontal="right"/>
    </xf>
    <xf numFmtId="173" fontId="23" fillId="0" borderId="0" xfId="0" applyNumberFormat="1" applyFont="1" applyAlignment="1">
      <alignment horizontal="right"/>
    </xf>
    <xf numFmtId="173" fontId="23" fillId="0" borderId="0" xfId="0" applyNumberFormat="1" applyFont="1" applyBorder="1" applyAlignment="1">
      <alignment horizontal="right"/>
    </xf>
    <xf numFmtId="170" fontId="24" fillId="0" borderId="0" xfId="0" quotePrefix="1" applyNumberFormat="1" applyFont="1" applyFill="1" applyAlignment="1">
      <alignment horizontal="right"/>
    </xf>
    <xf numFmtId="175" fontId="24" fillId="0" borderId="0" xfId="0" applyNumberFormat="1" applyFont="1" applyFill="1" applyBorder="1" applyAlignment="1">
      <alignment horizontal="left"/>
    </xf>
    <xf numFmtId="174" fontId="20" fillId="0" borderId="0" xfId="0" applyNumberFormat="1" applyFont="1" applyFill="1"/>
    <xf numFmtId="175" fontId="20" fillId="0" borderId="0" xfId="0" applyNumberFormat="1" applyFont="1" applyFill="1"/>
    <xf numFmtId="174" fontId="24" fillId="0" borderId="0" xfId="0" applyNumberFormat="1" applyFont="1" applyFill="1" applyBorder="1" applyAlignment="1">
      <alignment horizontal="left"/>
    </xf>
    <xf numFmtId="174" fontId="24" fillId="0" borderId="0" xfId="0" applyNumberFormat="1" applyFont="1" applyFill="1" applyBorder="1" applyAlignment="1"/>
    <xf numFmtId="175" fontId="20" fillId="0" borderId="0" xfId="0" applyNumberFormat="1" applyFont="1" applyFill="1" applyBorder="1" applyAlignment="1"/>
    <xf numFmtId="174" fontId="20" fillId="0" borderId="0" xfId="0" applyNumberFormat="1" applyFont="1" applyFill="1" applyBorder="1" applyAlignment="1"/>
    <xf numFmtId="0" fontId="37" fillId="0" borderId="0" xfId="0" applyFont="1" applyFill="1"/>
    <xf numFmtId="170" fontId="42" fillId="0" borderId="0" xfId="0" applyNumberFormat="1" applyFont="1" applyFill="1" applyAlignment="1">
      <alignment horizontal="right"/>
    </xf>
    <xf numFmtId="170" fontId="37" fillId="0" borderId="0" xfId="0" applyNumberFormat="1" applyFont="1" applyFill="1" applyAlignment="1">
      <alignment horizontal="right"/>
    </xf>
    <xf numFmtId="172" fontId="42" fillId="0" borderId="0" xfId="0" applyNumberFormat="1" applyFont="1" applyFill="1" applyAlignment="1">
      <alignment horizontal="right"/>
    </xf>
    <xf numFmtId="0" fontId="25" fillId="19" borderId="11" xfId="0" applyFont="1" applyFill="1" applyBorder="1"/>
    <xf numFmtId="175" fontId="43" fillId="0" borderId="0" xfId="0" applyNumberFormat="1" applyFont="1" applyFill="1" applyBorder="1" applyAlignment="1">
      <alignment horizontal="right"/>
    </xf>
    <xf numFmtId="170" fontId="44" fillId="0" borderId="0" xfId="0" applyNumberFormat="1" applyFont="1" applyFill="1" applyAlignment="1">
      <alignment horizontal="right"/>
    </xf>
    <xf numFmtId="170" fontId="43" fillId="0" borderId="0" xfId="0" applyNumberFormat="1" applyFont="1" applyFill="1" applyAlignment="1">
      <alignment horizontal="right"/>
    </xf>
    <xf numFmtId="172" fontId="44" fillId="0" borderId="0" xfId="0" applyNumberFormat="1" applyFont="1" applyFill="1" applyAlignment="1">
      <alignment horizontal="right"/>
    </xf>
    <xf numFmtId="170" fontId="28" fillId="0" borderId="0" xfId="0" applyNumberFormat="1" applyFont="1" applyFill="1" applyAlignment="1">
      <alignment horizontal="right"/>
    </xf>
    <xf numFmtId="170" fontId="45" fillId="0" borderId="0" xfId="0" applyNumberFormat="1" applyFont="1" applyFill="1" applyAlignment="1">
      <alignment horizontal="right"/>
    </xf>
    <xf numFmtId="189" fontId="43" fillId="0" borderId="0" xfId="0" applyNumberFormat="1" applyFont="1" applyFill="1" applyAlignment="1">
      <alignment horizontal="right"/>
    </xf>
    <xf numFmtId="189" fontId="44" fillId="0" borderId="0" xfId="0" applyNumberFormat="1" applyFont="1" applyFill="1" applyAlignment="1">
      <alignment horizontal="right"/>
    </xf>
    <xf numFmtId="178" fontId="20" fillId="0" borderId="0" xfId="43" applyNumberFormat="1" applyFont="1" applyFill="1" applyAlignment="1">
      <alignment horizontal="right"/>
    </xf>
    <xf numFmtId="190" fontId="43" fillId="0" borderId="0" xfId="70" applyNumberFormat="1" applyFont="1" applyFill="1" applyAlignment="1">
      <alignment horizontal="right"/>
    </xf>
    <xf numFmtId="178" fontId="43" fillId="0" borderId="0" xfId="43" applyNumberFormat="1" applyFont="1" applyFill="1" applyAlignment="1">
      <alignment horizontal="right"/>
    </xf>
    <xf numFmtId="0" fontId="28" fillId="0" borderId="0" xfId="0" applyFont="1" applyFill="1" applyAlignment="1">
      <alignment vertical="top"/>
    </xf>
    <xf numFmtId="170" fontId="24" fillId="0" borderId="0" xfId="0" applyNumberFormat="1" applyFont="1" applyFill="1" applyBorder="1" applyAlignment="1">
      <alignment horizontal="right" vertical="top"/>
    </xf>
    <xf numFmtId="170" fontId="29" fillId="0" borderId="0" xfId="0" applyNumberFormat="1" applyFont="1" applyFill="1" applyAlignment="1">
      <alignment horizontal="right" vertical="top"/>
    </xf>
    <xf numFmtId="170" fontId="24" fillId="0" borderId="0" xfId="0" applyNumberFormat="1" applyFont="1" applyFill="1" applyAlignment="1">
      <alignment horizontal="right" vertical="top"/>
    </xf>
    <xf numFmtId="179" fontId="24" fillId="0" borderId="0" xfId="43" applyNumberFormat="1" applyFont="1" applyFill="1" applyAlignment="1">
      <alignment horizontal="right" vertical="top"/>
    </xf>
    <xf numFmtId="189" fontId="24" fillId="0" borderId="0" xfId="0" applyNumberFormat="1" applyFont="1" applyFill="1" applyAlignment="1">
      <alignment horizontal="right" vertical="top"/>
    </xf>
    <xf numFmtId="170" fontId="20" fillId="0" borderId="0" xfId="0" applyNumberFormat="1" applyFont="1" applyFill="1" applyAlignment="1">
      <alignment horizontal="right" vertical="top"/>
    </xf>
    <xf numFmtId="0" fontId="20" fillId="0" borderId="0" xfId="0" applyFont="1" applyAlignment="1">
      <alignment vertical="top"/>
    </xf>
    <xf numFmtId="178" fontId="24" fillId="0" borderId="0" xfId="43" applyNumberFormat="1" applyFont="1" applyFill="1" applyBorder="1" applyAlignment="1">
      <alignment horizontal="right"/>
    </xf>
    <xf numFmtId="178" fontId="20" fillId="0" borderId="0" xfId="43" applyNumberFormat="1" applyFont="1" applyFill="1" applyBorder="1" applyAlignment="1">
      <alignment horizontal="right"/>
    </xf>
    <xf numFmtId="179" fontId="20" fillId="0" borderId="0" xfId="43" applyNumberFormat="1" applyFont="1" applyFill="1" applyBorder="1" applyAlignment="1">
      <alignment horizontal="right"/>
    </xf>
    <xf numFmtId="179" fontId="24" fillId="0" borderId="0" xfId="0" applyNumberFormat="1" applyFont="1" applyFill="1" applyAlignment="1">
      <alignment horizontal="right"/>
    </xf>
    <xf numFmtId="179" fontId="29" fillId="0" borderId="0" xfId="0" applyNumberFormat="1" applyFont="1" applyFill="1" applyBorder="1" applyAlignment="1">
      <alignment horizontal="right"/>
    </xf>
    <xf numFmtId="179" fontId="30" fillId="0" borderId="0" xfId="0" applyNumberFormat="1" applyFont="1" applyFill="1" applyAlignment="1">
      <alignment horizontal="right"/>
    </xf>
    <xf numFmtId="169" fontId="31" fillId="0" borderId="0" xfId="0" applyNumberFormat="1" applyFont="1" applyFill="1" applyBorder="1" applyAlignment="1">
      <alignment horizontal="right"/>
    </xf>
    <xf numFmtId="170" fontId="46" fillId="0" borderId="0" xfId="0" applyNumberFormat="1" applyFont="1" applyFill="1" applyBorder="1" applyAlignment="1">
      <alignment horizontal="right"/>
    </xf>
    <xf numFmtId="170" fontId="31" fillId="0" borderId="0" xfId="0" applyNumberFormat="1" applyFont="1" applyFill="1" applyBorder="1" applyAlignment="1">
      <alignment horizontal="right"/>
    </xf>
    <xf numFmtId="178" fontId="31" fillId="0" borderId="0" xfId="43" applyNumberFormat="1" applyFont="1" applyFill="1" applyBorder="1" applyAlignment="1">
      <alignment horizontal="right"/>
    </xf>
    <xf numFmtId="178" fontId="28" fillId="0" borderId="0" xfId="43" applyNumberFormat="1" applyFont="1" applyFill="1" applyBorder="1" applyAlignment="1">
      <alignment horizontal="right"/>
    </xf>
    <xf numFmtId="179" fontId="28" fillId="0" borderId="0" xfId="43" applyNumberFormat="1" applyFont="1" applyFill="1" applyBorder="1" applyAlignment="1">
      <alignment horizontal="right"/>
    </xf>
    <xf numFmtId="0" fontId="20" fillId="20" borderId="0" xfId="0" applyFont="1" applyFill="1"/>
    <xf numFmtId="175" fontId="20" fillId="0" borderId="0" xfId="43" applyNumberFormat="1" applyFont="1" applyFill="1" applyBorder="1" applyAlignment="1">
      <alignment horizontal="right"/>
    </xf>
    <xf numFmtId="179" fontId="31" fillId="0" borderId="0" xfId="0" applyNumberFormat="1" applyFont="1" applyFill="1" applyAlignment="1">
      <alignment horizontal="right"/>
    </xf>
    <xf numFmtId="179" fontId="31" fillId="0" borderId="0" xfId="0" applyNumberFormat="1" applyFont="1" applyFill="1" applyBorder="1" applyAlignment="1">
      <alignment horizontal="right"/>
    </xf>
    <xf numFmtId="179" fontId="33" fillId="0" borderId="0" xfId="0" applyNumberFormat="1" applyFont="1" applyFill="1" applyAlignment="1">
      <alignment horizontal="right"/>
    </xf>
    <xf numFmtId="175" fontId="31" fillId="0" borderId="0" xfId="0" applyNumberFormat="1" applyFont="1" applyFill="1" applyAlignment="1">
      <alignment horizontal="right"/>
    </xf>
    <xf numFmtId="175" fontId="31" fillId="0" borderId="0" xfId="0" quotePrefix="1" applyNumberFormat="1" applyFont="1" applyFill="1" applyBorder="1" applyAlignment="1">
      <alignment horizontal="right"/>
    </xf>
    <xf numFmtId="181" fontId="20" fillId="0" borderId="0" xfId="0" applyNumberFormat="1" applyFont="1" applyFill="1" applyBorder="1" applyAlignment="1">
      <alignment horizontal="right"/>
    </xf>
    <xf numFmtId="181" fontId="24" fillId="0" borderId="0" xfId="0" applyNumberFormat="1" applyFont="1" applyFill="1" applyBorder="1" applyAlignment="1">
      <alignment horizontal="right"/>
    </xf>
    <xf numFmtId="181" fontId="29" fillId="0" borderId="0" xfId="0" applyNumberFormat="1" applyFont="1" applyFill="1" applyBorder="1" applyAlignment="1">
      <alignment horizontal="right"/>
    </xf>
    <xf numFmtId="0" fontId="20" fillId="21" borderId="0" xfId="0" applyFont="1" applyFill="1"/>
    <xf numFmtId="170" fontId="24" fillId="21" borderId="0" xfId="0" applyNumberFormat="1" applyFont="1" applyFill="1" applyBorder="1" applyAlignment="1">
      <alignment horizontal="right"/>
    </xf>
    <xf numFmtId="170" fontId="29" fillId="21" borderId="0" xfId="0" applyNumberFormat="1" applyFont="1" applyFill="1" applyBorder="1" applyAlignment="1">
      <alignment horizontal="right"/>
    </xf>
    <xf numFmtId="172" fontId="30" fillId="21" borderId="0" xfId="0" applyNumberFormat="1" applyFont="1" applyFill="1" applyAlignment="1">
      <alignment horizontal="right"/>
    </xf>
    <xf numFmtId="174" fontId="24" fillId="21" borderId="0" xfId="0" applyNumberFormat="1" applyFont="1" applyFill="1" applyBorder="1" applyAlignment="1">
      <alignment horizontal="right"/>
    </xf>
    <xf numFmtId="170" fontId="24" fillId="21" borderId="0" xfId="0" applyNumberFormat="1" applyFont="1" applyFill="1" applyAlignment="1">
      <alignment horizontal="right"/>
    </xf>
    <xf numFmtId="170" fontId="20" fillId="21" borderId="0" xfId="0" applyNumberFormat="1" applyFont="1" applyFill="1" applyBorder="1" applyAlignment="1">
      <alignment horizontal="right"/>
    </xf>
    <xf numFmtId="41" fontId="24" fillId="21" borderId="0" xfId="0" applyNumberFormat="1" applyFont="1" applyFill="1" applyBorder="1"/>
    <xf numFmtId="170" fontId="30" fillId="21" borderId="0" xfId="0" applyNumberFormat="1" applyFont="1" applyFill="1" applyAlignment="1">
      <alignment horizontal="right"/>
    </xf>
    <xf numFmtId="170" fontId="23" fillId="21" borderId="0" xfId="0" applyNumberFormat="1" applyFont="1" applyFill="1" applyAlignment="1">
      <alignment horizontal="right"/>
    </xf>
    <xf numFmtId="172" fontId="29" fillId="21" borderId="0" xfId="0" applyNumberFormat="1" applyFont="1" applyFill="1" applyAlignment="1">
      <alignment horizontal="right"/>
    </xf>
    <xf numFmtId="37" fontId="20" fillId="21" borderId="0" xfId="0" applyNumberFormat="1" applyFont="1" applyFill="1" applyBorder="1" applyAlignment="1">
      <alignment horizontal="right"/>
    </xf>
    <xf numFmtId="41" fontId="24" fillId="21" borderId="0" xfId="0" applyNumberFormat="1" applyFont="1" applyFill="1" applyAlignment="1">
      <alignment horizontal="right"/>
    </xf>
    <xf numFmtId="41" fontId="23" fillId="21" borderId="0" xfId="0" applyNumberFormat="1" applyFont="1" applyFill="1" applyAlignment="1">
      <alignment horizontal="right"/>
    </xf>
    <xf numFmtId="41" fontId="30" fillId="21" borderId="0" xfId="0" applyNumberFormat="1" applyFont="1" applyFill="1" applyAlignment="1">
      <alignment horizontal="right"/>
    </xf>
    <xf numFmtId="41" fontId="23" fillId="21" borderId="0" xfId="0" applyNumberFormat="1" applyFont="1" applyFill="1" applyBorder="1" applyAlignment="1">
      <alignment horizontal="right"/>
    </xf>
    <xf numFmtId="41" fontId="24" fillId="21" borderId="0" xfId="0" applyNumberFormat="1" applyFont="1" applyFill="1" applyBorder="1" applyAlignment="1">
      <alignment horizontal="right"/>
    </xf>
    <xf numFmtId="37" fontId="24" fillId="21" borderId="0" xfId="0" applyNumberFormat="1" applyFont="1" applyFill="1" applyBorder="1" applyAlignment="1">
      <alignment horizontal="right"/>
    </xf>
    <xf numFmtId="41" fontId="23" fillId="21" borderId="0" xfId="0" applyNumberFormat="1" applyFont="1" applyFill="1" applyBorder="1"/>
    <xf numFmtId="175" fontId="24" fillId="21" borderId="0" xfId="0" applyNumberFormat="1" applyFont="1" applyFill="1" applyBorder="1"/>
    <xf numFmtId="41" fontId="24" fillId="21" borderId="0" xfId="0" quotePrefix="1" applyNumberFormat="1" applyFont="1" applyFill="1" applyBorder="1" applyAlignment="1">
      <alignment horizontal="right"/>
    </xf>
    <xf numFmtId="41" fontId="23" fillId="21" borderId="0" xfId="0" quotePrefix="1" applyNumberFormat="1" applyFont="1" applyFill="1" applyBorder="1" applyAlignment="1">
      <alignment horizontal="right"/>
    </xf>
    <xf numFmtId="41" fontId="20" fillId="21" borderId="0" xfId="0" applyNumberFormat="1" applyFont="1" applyFill="1" applyBorder="1" applyAlignment="1">
      <alignment horizontal="right"/>
    </xf>
    <xf numFmtId="168" fontId="28" fillId="0" borderId="0" xfId="0" applyNumberFormat="1" applyFont="1" applyFill="1" applyBorder="1" applyAlignment="1">
      <alignment horizontal="left"/>
    </xf>
    <xf numFmtId="168" fontId="37" fillId="0" borderId="0" xfId="0" applyNumberFormat="1" applyFont="1" applyFill="1" applyBorder="1" applyAlignment="1">
      <alignment horizontal="left"/>
    </xf>
    <xf numFmtId="166" fontId="23" fillId="0" borderId="0" xfId="0" quotePrefix="1" applyNumberFormat="1" applyFont="1" applyFill="1" applyBorder="1" applyAlignment="1">
      <alignment horizontal="right"/>
    </xf>
    <xf numFmtId="166" fontId="20" fillId="0" borderId="0" xfId="0" quotePrefix="1" applyNumberFormat="1" applyFont="1" applyFill="1" applyBorder="1" applyAlignment="1">
      <alignment horizontal="right"/>
    </xf>
    <xf numFmtId="167" fontId="23" fillId="0" borderId="0" xfId="0" quotePrefix="1" applyNumberFormat="1" applyFont="1" applyFill="1" applyBorder="1" applyAlignment="1">
      <alignment horizontal="right"/>
    </xf>
    <xf numFmtId="168" fontId="23" fillId="0" borderId="0" xfId="0" quotePrefix="1" applyNumberFormat="1" applyFont="1" applyFill="1" applyBorder="1" applyAlignment="1">
      <alignment horizontal="right"/>
    </xf>
    <xf numFmtId="168" fontId="20" fillId="0" borderId="0" xfId="0" quotePrefix="1" applyNumberFormat="1" applyFont="1" applyFill="1" applyBorder="1" applyAlignment="1">
      <alignment horizontal="right"/>
    </xf>
    <xf numFmtId="165" fontId="23" fillId="0" borderId="0" xfId="0" quotePrefix="1" applyNumberFormat="1" applyFont="1" applyFill="1" applyBorder="1" applyAlignment="1">
      <alignment horizontal="right"/>
    </xf>
    <xf numFmtId="41" fontId="30" fillId="0" borderId="0" xfId="0" applyNumberFormat="1" applyFont="1" applyFill="1" applyAlignment="1">
      <alignment horizontal="right"/>
    </xf>
    <xf numFmtId="170" fontId="24" fillId="0" borderId="0" xfId="0" quotePrefix="1" applyNumberFormat="1" applyFont="1" applyFill="1" applyBorder="1" applyAlignment="1">
      <alignment horizontal="right"/>
    </xf>
    <xf numFmtId="170" fontId="29" fillId="0" borderId="0" xfId="0" quotePrefix="1" applyNumberFormat="1" applyFont="1" applyFill="1" applyBorder="1" applyAlignment="1">
      <alignment horizontal="right"/>
    </xf>
    <xf numFmtId="0" fontId="25" fillId="0" borderId="0" xfId="0" applyFont="1" applyFill="1"/>
    <xf numFmtId="170" fontId="24" fillId="0" borderId="0" xfId="0" applyNumberFormat="1" applyFont="1" applyFill="1"/>
    <xf numFmtId="170" fontId="20" fillId="0" borderId="0" xfId="0" applyNumberFormat="1" applyFont="1" applyFill="1"/>
    <xf numFmtId="173" fontId="23" fillId="0" borderId="0" xfId="0" applyNumberFormat="1" applyFont="1" applyFill="1"/>
    <xf numFmtId="41" fontId="24" fillId="0" borderId="0" xfId="0" applyNumberFormat="1" applyFont="1" applyFill="1" applyAlignment="1">
      <alignment horizontal="right"/>
    </xf>
    <xf numFmtId="176" fontId="24" fillId="0" borderId="0" xfId="0" applyNumberFormat="1" applyFont="1" applyFill="1" applyAlignment="1">
      <alignment horizontal="right"/>
    </xf>
    <xf numFmtId="176" fontId="23" fillId="0" borderId="0" xfId="0" applyNumberFormat="1" applyFont="1" applyFill="1" applyAlignment="1">
      <alignment horizontal="right"/>
    </xf>
    <xf numFmtId="176" fontId="30" fillId="0" borderId="0" xfId="0" applyNumberFormat="1" applyFont="1" applyFill="1" applyAlignment="1">
      <alignment horizontal="right"/>
    </xf>
    <xf numFmtId="39" fontId="24" fillId="0" borderId="0" xfId="0" applyNumberFormat="1" applyFont="1" applyFill="1" applyBorder="1" applyAlignment="1">
      <alignment horizontal="right"/>
    </xf>
    <xf numFmtId="176" fontId="20" fillId="0" borderId="0" xfId="0" applyNumberFormat="1" applyFont="1" applyFill="1" applyAlignment="1">
      <alignment horizontal="right"/>
    </xf>
    <xf numFmtId="175" fontId="24" fillId="0" borderId="0" xfId="0" applyNumberFormat="1" applyFont="1" applyFill="1"/>
    <xf numFmtId="177" fontId="23" fillId="0" borderId="0" xfId="0" applyNumberFormat="1" applyFont="1" applyFill="1" applyAlignment="1">
      <alignment horizontal="right"/>
    </xf>
    <xf numFmtId="188" fontId="24" fillId="0" borderId="0" xfId="0" applyNumberFormat="1" applyFont="1" applyFill="1" applyAlignment="1">
      <alignment horizontal="right"/>
    </xf>
    <xf numFmtId="41" fontId="24" fillId="0" borderId="0" xfId="0" applyNumberFormat="1" applyFont="1" applyFill="1"/>
    <xf numFmtId="174" fontId="24" fillId="0" borderId="0" xfId="0" applyNumberFormat="1" applyFont="1" applyFill="1"/>
    <xf numFmtId="41" fontId="43" fillId="0" borderId="0" xfId="0" applyNumberFormat="1" applyFont="1" applyFill="1"/>
    <xf numFmtId="176" fontId="43" fillId="0" borderId="0" xfId="0" applyNumberFormat="1" applyFont="1" applyFill="1"/>
    <xf numFmtId="176" fontId="20" fillId="0" borderId="0" xfId="0" applyNumberFormat="1" applyFont="1" applyFill="1"/>
    <xf numFmtId="176" fontId="24" fillId="0" borderId="0" xfId="0" applyNumberFormat="1" applyFont="1" applyFill="1" applyBorder="1" applyAlignment="1">
      <alignment horizontal="right"/>
    </xf>
    <xf numFmtId="176" fontId="23" fillId="0" borderId="0" xfId="0" applyNumberFormat="1" applyFont="1" applyFill="1"/>
    <xf numFmtId="176" fontId="23" fillId="0" borderId="0" xfId="0" applyNumberFormat="1" applyFont="1" applyFill="1" applyBorder="1" applyAlignment="1">
      <alignment horizontal="right"/>
    </xf>
    <xf numFmtId="173" fontId="24" fillId="0" borderId="0" xfId="0" applyNumberFormat="1" applyFont="1" applyFill="1"/>
    <xf numFmtId="173" fontId="20" fillId="0" borderId="0" xfId="0" applyNumberFormat="1" applyFont="1" applyFill="1"/>
    <xf numFmtId="175" fontId="23" fillId="0" borderId="0" xfId="0" applyNumberFormat="1" applyFont="1" applyFill="1"/>
    <xf numFmtId="170" fontId="23" fillId="0" borderId="0" xfId="0" applyNumberFormat="1" applyFont="1" applyFill="1"/>
    <xf numFmtId="175" fontId="31" fillId="0" borderId="0" xfId="0" applyNumberFormat="1" applyFont="1" applyFill="1"/>
    <xf numFmtId="175" fontId="34" fillId="0" borderId="0" xfId="0" applyNumberFormat="1" applyFont="1" applyFill="1"/>
    <xf numFmtId="175" fontId="28" fillId="0" borderId="0" xfId="0" applyNumberFormat="1" applyFont="1" applyFill="1"/>
    <xf numFmtId="188" fontId="24" fillId="0" borderId="0" xfId="0" applyNumberFormat="1" applyFont="1" applyFill="1"/>
    <xf numFmtId="188" fontId="20" fillId="0" borderId="0" xfId="0" applyNumberFormat="1" applyFont="1" applyFill="1"/>
    <xf numFmtId="191" fontId="24" fillId="0" borderId="0" xfId="0" applyNumberFormat="1" applyFont="1" applyFill="1" applyAlignment="1">
      <alignment horizontal="right"/>
    </xf>
    <xf numFmtId="169" fontId="24" fillId="0" borderId="0" xfId="0" applyNumberFormat="1" applyFont="1" applyFill="1"/>
    <xf numFmtId="169" fontId="20" fillId="0" borderId="0" xfId="0" applyNumberFormat="1" applyFont="1" applyFill="1"/>
    <xf numFmtId="173" fontId="28" fillId="0" borderId="0" xfId="0" applyNumberFormat="1" applyFont="1" applyFill="1" applyAlignment="1">
      <alignment horizontal="right"/>
    </xf>
    <xf numFmtId="39" fontId="23" fillId="0" borderId="0" xfId="0" applyNumberFormat="1" applyFont="1" applyFill="1" applyAlignment="1">
      <alignment horizontal="right"/>
    </xf>
    <xf numFmtId="39" fontId="20" fillId="0" borderId="0" xfId="0" applyNumberFormat="1" applyFont="1" applyFill="1" applyAlignment="1">
      <alignment horizontal="right"/>
    </xf>
    <xf numFmtId="43" fontId="37" fillId="0" borderId="0" xfId="43" applyFont="1"/>
    <xf numFmtId="43" fontId="37" fillId="0" borderId="0" xfId="43" applyFont="1" applyFill="1"/>
    <xf numFmtId="43" fontId="42" fillId="0" borderId="0" xfId="43" applyFont="1" applyFill="1" applyAlignment="1">
      <alignment horizontal="right"/>
    </xf>
    <xf numFmtId="43" fontId="37" fillId="0" borderId="0" xfId="43" applyFont="1" applyFill="1" applyAlignment="1">
      <alignment horizontal="right"/>
    </xf>
    <xf numFmtId="43" fontId="37" fillId="0" borderId="0" xfId="43" applyFont="1" applyAlignment="1">
      <alignment horizontal="right"/>
    </xf>
    <xf numFmtId="43" fontId="28" fillId="0" borderId="0" xfId="43" applyFont="1" applyFill="1"/>
    <xf numFmtId="170" fontId="24" fillId="0" borderId="0" xfId="0" applyNumberFormat="1" applyFont="1" applyAlignment="1">
      <alignment horizontal="right"/>
    </xf>
    <xf numFmtId="170" fontId="29" fillId="0" borderId="0" xfId="0" applyNumberFormat="1" applyFont="1" applyAlignment="1">
      <alignment horizontal="right"/>
    </xf>
    <xf numFmtId="175" fontId="23" fillId="0" borderId="0" xfId="0" applyNumberFormat="1" applyFont="1" applyFill="1" applyBorder="1"/>
    <xf numFmtId="175" fontId="20" fillId="0" borderId="0" xfId="0" applyNumberFormat="1" applyFont="1" applyFill="1" applyBorder="1"/>
    <xf numFmtId="10" fontId="20" fillId="0" borderId="0" xfId="0" applyNumberFormat="1" applyFont="1" applyAlignment="1"/>
    <xf numFmtId="174" fontId="20" fillId="0" borderId="0" xfId="0" applyNumberFormat="1" applyFont="1" applyFill="1" applyBorder="1"/>
    <xf numFmtId="10" fontId="20" fillId="0" borderId="0" xfId="0" applyNumberFormat="1" applyFont="1" applyFill="1" applyAlignment="1"/>
    <xf numFmtId="0" fontId="24" fillId="0" borderId="0" xfId="0" applyFont="1" applyBorder="1" applyProtection="1">
      <protection locked="0"/>
    </xf>
    <xf numFmtId="41" fontId="24" fillId="0" borderId="0" xfId="0" applyNumberFormat="1" applyFont="1" applyFill="1" applyBorder="1"/>
    <xf numFmtId="41" fontId="23" fillId="0" borderId="0" xfId="0" applyNumberFormat="1" applyFont="1" applyFill="1" applyBorder="1"/>
    <xf numFmtId="41" fontId="20" fillId="0" borderId="0" xfId="0" applyNumberFormat="1" applyFont="1" applyFill="1" applyBorder="1"/>
    <xf numFmtId="170" fontId="48" fillId="0" borderId="0" xfId="0" applyNumberFormat="1" applyFont="1" applyFill="1" applyAlignment="1">
      <alignment horizontal="right"/>
    </xf>
    <xf numFmtId="175" fontId="23" fillId="0" borderId="0" xfId="0" quotePrefix="1" applyNumberFormat="1" applyFont="1" applyFill="1" applyAlignment="1">
      <alignment horizontal="right"/>
    </xf>
    <xf numFmtId="175" fontId="20" fillId="0" borderId="0" xfId="0" quotePrefix="1" applyNumberFormat="1" applyFont="1" applyFill="1" applyAlignment="1">
      <alignment horizontal="right"/>
    </xf>
    <xf numFmtId="170" fontId="20" fillId="0" borderId="0" xfId="0" applyNumberFormat="1" applyFont="1" applyFill="1" applyBorder="1"/>
    <xf numFmtId="167" fontId="23" fillId="0" borderId="0" xfId="0" applyNumberFormat="1" applyFont="1" applyFill="1" applyAlignment="1">
      <alignment horizontal="right"/>
    </xf>
    <xf numFmtId="166" fontId="24" fillId="0" borderId="0" xfId="0" applyNumberFormat="1" applyFont="1" applyFill="1"/>
    <xf numFmtId="166" fontId="23" fillId="0" borderId="0" xfId="0" applyNumberFormat="1" applyFont="1" applyFill="1"/>
    <xf numFmtId="167" fontId="23" fillId="0" borderId="0" xfId="0" applyNumberFormat="1" applyFont="1" applyFill="1"/>
    <xf numFmtId="166" fontId="20" fillId="0" borderId="0" xfId="0" applyNumberFormat="1" applyFont="1" applyFill="1"/>
    <xf numFmtId="166" fontId="20" fillId="0" borderId="0" xfId="0" applyNumberFormat="1" applyFont="1" applyFill="1" applyBorder="1"/>
    <xf numFmtId="43" fontId="24" fillId="0" borderId="0" xfId="0" applyNumberFormat="1" applyFont="1" applyBorder="1" applyProtection="1">
      <protection locked="0"/>
    </xf>
    <xf numFmtId="172" fontId="30" fillId="0" borderId="0" xfId="0" applyNumberFormat="1" applyFont="1" applyFill="1" applyBorder="1" applyAlignment="1">
      <alignment horizontal="right"/>
    </xf>
    <xf numFmtId="172" fontId="29" fillId="0" borderId="0" xfId="0" applyNumberFormat="1" applyFont="1" applyFill="1" applyAlignment="1">
      <alignment horizontal="right"/>
    </xf>
    <xf numFmtId="177" fontId="22" fillId="0" borderId="0" xfId="0" applyNumberFormat="1" applyFont="1" applyFill="1" applyAlignment="1">
      <alignment horizontal="right"/>
    </xf>
    <xf numFmtId="170" fontId="22" fillId="0" borderId="0" xfId="0" applyNumberFormat="1" applyFont="1" applyFill="1" applyAlignment="1">
      <alignment horizontal="right"/>
    </xf>
    <xf numFmtId="0" fontId="47" fillId="0" borderId="0" xfId="0" applyFont="1" applyFill="1" applyBorder="1" applyAlignment="1">
      <alignment horizontal="left"/>
    </xf>
    <xf numFmtId="193" fontId="35" fillId="0" borderId="0" xfId="62" applyNumberFormat="1" applyFont="1" applyFill="1" applyBorder="1" applyAlignment="1">
      <alignment horizontal="right"/>
    </xf>
    <xf numFmtId="192" fontId="35" fillId="0" borderId="0" xfId="62" applyNumberFormat="1" applyFont="1" applyFill="1" applyBorder="1" applyAlignment="1">
      <alignment horizontal="right"/>
    </xf>
    <xf numFmtId="194" fontId="35" fillId="0" borderId="0" xfId="62" applyNumberFormat="1" applyFont="1" applyFill="1" applyBorder="1" applyAlignment="1">
      <alignment horizontal="right"/>
    </xf>
    <xf numFmtId="39" fontId="22" fillId="17" borderId="0" xfId="0" applyNumberFormat="1" applyFont="1" applyFill="1" applyBorder="1" applyAlignment="1">
      <alignment horizontal="right"/>
    </xf>
    <xf numFmtId="178" fontId="23" fillId="0" borderId="0" xfId="43" applyNumberFormat="1" applyFont="1" applyFill="1" applyBorder="1" applyAlignment="1">
      <alignment horizontal="right"/>
    </xf>
    <xf numFmtId="165" fontId="30" fillId="0" borderId="0" xfId="0" applyNumberFormat="1" applyFont="1" applyFill="1" applyAlignment="1">
      <alignment horizontal="right"/>
    </xf>
    <xf numFmtId="165" fontId="24" fillId="0" borderId="0" xfId="0" applyNumberFormat="1" applyFont="1" applyFill="1" applyAlignment="1">
      <alignment horizontal="right"/>
    </xf>
    <xf numFmtId="165" fontId="23" fillId="0" borderId="0" xfId="0" applyNumberFormat="1" applyFont="1" applyFill="1" applyAlignment="1">
      <alignment horizontal="right"/>
    </xf>
    <xf numFmtId="165" fontId="20" fillId="0" borderId="0" xfId="0" quotePrefix="1" applyNumberFormat="1" applyFont="1" applyFill="1" applyBorder="1" applyAlignment="1">
      <alignment horizontal="right"/>
    </xf>
    <xf numFmtId="169" fontId="24" fillId="18" borderId="13" xfId="0" applyNumberFormat="1" applyFont="1" applyFill="1" applyBorder="1" applyAlignment="1">
      <alignment horizontal="right"/>
    </xf>
    <xf numFmtId="169" fontId="24" fillId="18" borderId="0" xfId="0" applyNumberFormat="1" applyFont="1" applyFill="1" applyBorder="1" applyAlignment="1">
      <alignment horizontal="right"/>
    </xf>
    <xf numFmtId="39" fontId="24" fillId="18" borderId="13" xfId="0" applyNumberFormat="1" applyFont="1" applyFill="1" applyBorder="1" applyAlignment="1">
      <alignment horizontal="right"/>
    </xf>
    <xf numFmtId="39" fontId="29" fillId="17" borderId="0" xfId="0" applyNumberFormat="1" applyFont="1" applyFill="1" applyBorder="1" applyAlignment="1">
      <alignment horizontal="right"/>
    </xf>
    <xf numFmtId="39" fontId="20" fillId="18" borderId="12" xfId="0" applyNumberFormat="1" applyFont="1" applyFill="1" applyBorder="1" applyAlignment="1">
      <alignment horizontal="right"/>
    </xf>
    <xf numFmtId="176" fontId="24" fillId="0" borderId="0" xfId="0" applyNumberFormat="1" applyFont="1" applyFill="1"/>
    <xf numFmtId="43" fontId="20" fillId="0" borderId="0" xfId="43" applyNumberFormat="1" applyFont="1" applyFill="1" applyBorder="1" applyAlignment="1">
      <alignment horizontal="right"/>
    </xf>
    <xf numFmtId="179" fontId="20" fillId="0" borderId="0" xfId="0" applyNumberFormat="1" applyFont="1" applyFill="1" applyAlignment="1">
      <alignment horizontal="right"/>
    </xf>
    <xf numFmtId="179" fontId="34" fillId="0" borderId="0" xfId="0" applyNumberFormat="1" applyFont="1" applyFill="1" applyBorder="1" applyAlignment="1">
      <alignment horizontal="right"/>
    </xf>
    <xf numFmtId="0" fontId="25" fillId="0" borderId="0" xfId="0" applyFont="1" applyFill="1" applyBorder="1" applyAlignment="1">
      <alignment horizontal="left"/>
    </xf>
    <xf numFmtId="0" fontId="20" fillId="18" borderId="0" xfId="0" applyFont="1" applyFill="1" applyBorder="1" applyAlignment="1">
      <alignment horizontal="left"/>
    </xf>
    <xf numFmtId="199" fontId="26" fillId="0" borderId="0" xfId="0" applyNumberFormat="1" applyFont="1" applyFill="1" applyAlignment="1">
      <alignment horizontal="right"/>
    </xf>
    <xf numFmtId="170" fontId="26" fillId="0" borderId="0" xfId="0" applyNumberFormat="1" applyFont="1" applyFill="1" applyAlignment="1">
      <alignment horizontal="right"/>
    </xf>
    <xf numFmtId="199" fontId="26" fillId="0" borderId="0" xfId="0" applyNumberFormat="1" applyFont="1" applyFill="1"/>
    <xf numFmtId="1" fontId="20" fillId="0" borderId="0" xfId="0" applyNumberFormat="1" applyFont="1" applyFill="1" applyAlignment="1">
      <alignment horizontal="right"/>
    </xf>
    <xf numFmtId="9" fontId="20" fillId="0" borderId="0" xfId="70" applyFont="1" applyFill="1" applyAlignment="1">
      <alignment horizontal="right"/>
    </xf>
    <xf numFmtId="1" fontId="20" fillId="0" borderId="0" xfId="70" applyNumberFormat="1" applyFont="1" applyFill="1" applyAlignment="1">
      <alignment horizontal="right"/>
    </xf>
    <xf numFmtId="173" fontId="31" fillId="0" borderId="0" xfId="0" applyNumberFormat="1" applyFont="1" applyFill="1" applyAlignment="1">
      <alignment horizontal="right"/>
    </xf>
    <xf numFmtId="179" fontId="23" fillId="0" borderId="0" xfId="43" applyNumberFormat="1" applyFont="1" applyFill="1" applyBorder="1" applyAlignment="1">
      <alignment horizontal="right"/>
    </xf>
    <xf numFmtId="172" fontId="20" fillId="0" borderId="0" xfId="0" applyNumberFormat="1" applyFont="1" applyFill="1" applyAlignment="1"/>
    <xf numFmtId="0" fontId="20" fillId="0" borderId="0" xfId="0" applyFont="1" applyFill="1" applyBorder="1" applyAlignment="1" applyProtection="1">
      <protection locked="0"/>
    </xf>
    <xf numFmtId="187" fontId="20" fillId="0" borderId="0" xfId="0" applyNumberFormat="1" applyFont="1" applyFill="1" applyAlignment="1"/>
    <xf numFmtId="170" fontId="20" fillId="0" borderId="0" xfId="0" applyNumberFormat="1" applyFont="1" applyFill="1" applyBorder="1" applyAlignment="1"/>
    <xf numFmtId="0" fontId="20" fillId="0" borderId="0" xfId="0" applyFont="1" applyFill="1" applyBorder="1" applyAlignment="1"/>
    <xf numFmtId="169" fontId="20" fillId="0" borderId="0" xfId="0" applyNumberFormat="1" applyFont="1" applyFill="1" applyBorder="1" applyAlignment="1"/>
    <xf numFmtId="9" fontId="20" fillId="0" borderId="0" xfId="70" applyFont="1" applyFill="1" applyAlignment="1"/>
    <xf numFmtId="10" fontId="22" fillId="0" borderId="0" xfId="0" applyNumberFormat="1" applyFont="1" applyFill="1" applyBorder="1" applyAlignment="1">
      <alignment horizontal="right"/>
    </xf>
    <xf numFmtId="169" fontId="20" fillId="0" borderId="0" xfId="0" quotePrefix="1" applyNumberFormat="1" applyFont="1" applyBorder="1" applyAlignment="1">
      <alignment horizontal="right"/>
    </xf>
    <xf numFmtId="169" fontId="20" fillId="0" borderId="0" xfId="0" applyNumberFormat="1" applyFont="1" applyBorder="1" applyAlignment="1">
      <alignment horizontal="right"/>
    </xf>
    <xf numFmtId="169" fontId="20" fillId="0" borderId="0" xfId="0" quotePrefix="1" applyNumberFormat="1" applyFont="1" applyFill="1" applyBorder="1" applyAlignment="1">
      <alignment horizontal="right"/>
    </xf>
    <xf numFmtId="169" fontId="28" fillId="0" borderId="0" xfId="0" quotePrefix="1" applyNumberFormat="1" applyFont="1" applyFill="1" applyBorder="1" applyAlignment="1">
      <alignment horizontal="right"/>
    </xf>
    <xf numFmtId="39" fontId="20" fillId="0" borderId="0" xfId="0" applyNumberFormat="1" applyFont="1" applyFill="1" applyBorder="1" applyAlignment="1">
      <alignment horizontal="right"/>
    </xf>
    <xf numFmtId="0" fontId="20" fillId="0" borderId="0" xfId="0" applyFont="1" applyAlignment="1"/>
    <xf numFmtId="41" fontId="20" fillId="0" borderId="0" xfId="0" applyNumberFormat="1" applyFont="1" applyFill="1" applyAlignment="1"/>
    <xf numFmtId="172" fontId="22" fillId="0" borderId="0" xfId="0" applyNumberFormat="1" applyFont="1" applyFill="1" applyAlignment="1"/>
    <xf numFmtId="177" fontId="20" fillId="0" borderId="0" xfId="0" applyNumberFormat="1" applyFont="1" applyFill="1" applyAlignment="1"/>
    <xf numFmtId="0" fontId="22" fillId="0" borderId="0" xfId="0" applyNumberFormat="1" applyFont="1" applyFill="1" applyBorder="1" applyAlignment="1">
      <alignment horizontal="right"/>
    </xf>
    <xf numFmtId="0" fontId="22" fillId="0" borderId="0" xfId="0" applyNumberFormat="1" applyFont="1" applyFill="1" applyAlignment="1">
      <alignment horizontal="right"/>
    </xf>
    <xf numFmtId="0" fontId="26" fillId="19" borderId="11" xfId="0" applyFont="1" applyFill="1" applyBorder="1"/>
    <xf numFmtId="1" fontId="35" fillId="0" borderId="0" xfId="0" applyNumberFormat="1" applyFont="1" applyFill="1" applyBorder="1" applyAlignment="1">
      <alignment horizontal="left"/>
    </xf>
    <xf numFmtId="175" fontId="35" fillId="0" borderId="0" xfId="0" applyNumberFormat="1" applyFont="1" applyFill="1" applyBorder="1" applyAlignment="1">
      <alignment horizontal="right"/>
    </xf>
    <xf numFmtId="175" fontId="35" fillId="0" borderId="0" xfId="0" applyNumberFormat="1" applyFont="1" applyFill="1" applyAlignment="1">
      <alignment horizontal="right"/>
    </xf>
    <xf numFmtId="172" fontId="35" fillId="0" borderId="0" xfId="0" applyNumberFormat="1" applyFont="1" applyFill="1" applyAlignment="1"/>
    <xf numFmtId="3" fontId="36" fillId="0" borderId="0" xfId="0" applyNumberFormat="1" applyFont="1" applyFill="1" applyAlignment="1">
      <alignment horizontal="right"/>
    </xf>
    <xf numFmtId="174" fontId="35" fillId="0" borderId="0" xfId="0" applyNumberFormat="1" applyFont="1" applyFill="1" applyAlignment="1">
      <alignment horizontal="right"/>
    </xf>
    <xf numFmtId="0" fontId="25" fillId="19" borderId="11" xfId="0" applyFont="1" applyFill="1" applyBorder="1" applyAlignment="1">
      <alignment horizontal="left"/>
    </xf>
    <xf numFmtId="170" fontId="26" fillId="19" borderId="11" xfId="0" applyNumberFormat="1" applyFont="1" applyFill="1" applyBorder="1" applyAlignment="1">
      <alignment horizontal="left"/>
    </xf>
    <xf numFmtId="170" fontId="27" fillId="19" borderId="11" xfId="0" applyNumberFormat="1" applyFont="1" applyFill="1" applyBorder="1" applyAlignment="1">
      <alignment horizontal="left"/>
    </xf>
    <xf numFmtId="172" fontId="27" fillId="19" borderId="11" xfId="0" applyNumberFormat="1" applyFont="1" applyFill="1" applyBorder="1" applyAlignment="1">
      <alignment horizontal="right"/>
    </xf>
    <xf numFmtId="170" fontId="26" fillId="19" borderId="11" xfId="0" applyNumberFormat="1" applyFont="1" applyFill="1" applyBorder="1"/>
    <xf numFmtId="170" fontId="26" fillId="19" borderId="11" xfId="0" applyNumberFormat="1" applyFont="1" applyFill="1" applyBorder="1" applyAlignment="1">
      <alignment horizontal="right"/>
    </xf>
    <xf numFmtId="172" fontId="26" fillId="19" borderId="11" xfId="0" applyNumberFormat="1" applyFont="1" applyFill="1" applyBorder="1" applyAlignment="1"/>
    <xf numFmtId="170" fontId="26" fillId="19" borderId="11" xfId="0" applyNumberFormat="1" applyFont="1" applyFill="1" applyBorder="1" applyAlignment="1"/>
    <xf numFmtId="175" fontId="26" fillId="19" borderId="11" xfId="0" applyNumberFormat="1" applyFont="1" applyFill="1" applyBorder="1" applyAlignment="1">
      <alignment horizontal="right"/>
    </xf>
    <xf numFmtId="3" fontId="27" fillId="19" borderId="11" xfId="0" applyNumberFormat="1" applyFont="1" applyFill="1" applyBorder="1" applyAlignment="1">
      <alignment horizontal="right"/>
    </xf>
    <xf numFmtId="175" fontId="26" fillId="19" borderId="11" xfId="0" applyNumberFormat="1" applyFont="1" applyFill="1" applyBorder="1"/>
    <xf numFmtId="170" fontId="27" fillId="19" borderId="11" xfId="0" applyNumberFormat="1" applyFont="1" applyFill="1" applyBorder="1" applyAlignment="1">
      <alignment horizontal="right"/>
    </xf>
    <xf numFmtId="49" fontId="28" fillId="21" borderId="0" xfId="0" applyNumberFormat="1" applyFont="1" applyFill="1" applyBorder="1" applyAlignment="1">
      <alignment horizontal="left"/>
    </xf>
    <xf numFmtId="168" fontId="20" fillId="21" borderId="0" xfId="0" quotePrefix="1" applyNumberFormat="1" applyFont="1" applyFill="1" applyBorder="1" applyAlignment="1">
      <alignment horizontal="left"/>
    </xf>
    <xf numFmtId="168" fontId="20" fillId="21" borderId="0" xfId="0" applyNumberFormat="1" applyFont="1" applyFill="1" applyBorder="1" applyAlignment="1">
      <alignment horizontal="left"/>
    </xf>
    <xf numFmtId="175" fontId="35" fillId="0" borderId="0" xfId="0" applyNumberFormat="1" applyFont="1" applyFill="1" applyBorder="1"/>
    <xf numFmtId="41" fontId="35" fillId="0" borderId="0" xfId="0" applyNumberFormat="1" applyFont="1" applyFill="1"/>
    <xf numFmtId="175" fontId="35" fillId="0" borderId="0" xfId="0" applyNumberFormat="1" applyFont="1" applyFill="1"/>
    <xf numFmtId="3" fontId="22" fillId="0" borderId="0" xfId="0" applyNumberFormat="1" applyFont="1" applyBorder="1" applyAlignment="1">
      <alignment horizontal="right"/>
    </xf>
    <xf numFmtId="0" fontId="22" fillId="0" borderId="0" xfId="0" applyFont="1"/>
    <xf numFmtId="170" fontId="22" fillId="17" borderId="0" xfId="0" quotePrefix="1" applyNumberFormat="1" applyFont="1" applyFill="1" applyBorder="1" applyAlignment="1">
      <alignment horizontal="right"/>
    </xf>
    <xf numFmtId="166" fontId="30" fillId="0" borderId="0" xfId="0" quotePrefix="1" applyNumberFormat="1" applyFont="1" applyFill="1" applyBorder="1" applyAlignment="1">
      <alignment horizontal="right"/>
    </xf>
    <xf numFmtId="9" fontId="22" fillId="0" borderId="0" xfId="70" applyFont="1" applyFill="1" applyAlignment="1">
      <alignment horizontal="right"/>
    </xf>
    <xf numFmtId="1" fontId="22" fillId="0" borderId="0" xfId="70" applyNumberFormat="1" applyFont="1" applyFill="1" applyAlignment="1">
      <alignment horizontal="right"/>
    </xf>
    <xf numFmtId="41" fontId="22" fillId="0" borderId="0" xfId="0" applyNumberFormat="1" applyFont="1" applyFill="1" applyAlignment="1">
      <alignment horizontal="right"/>
    </xf>
    <xf numFmtId="0" fontId="66" fillId="0" borderId="0" xfId="0" applyFont="1"/>
    <xf numFmtId="0" fontId="22" fillId="17" borderId="0" xfId="0" applyFont="1" applyFill="1" applyBorder="1"/>
    <xf numFmtId="169" fontId="22" fillId="17" borderId="0" xfId="0" quotePrefix="1" applyNumberFormat="1" applyFont="1" applyFill="1" applyBorder="1" applyAlignment="1">
      <alignment horizontal="right"/>
    </xf>
    <xf numFmtId="39" fontId="22" fillId="17" borderId="0" xfId="0" quotePrefix="1" applyNumberFormat="1" applyFont="1" applyFill="1" applyBorder="1" applyAlignment="1">
      <alignment horizontal="right"/>
    </xf>
    <xf numFmtId="3" fontId="22" fillId="0" borderId="0" xfId="0" applyNumberFormat="1" applyFont="1" applyFill="1" applyBorder="1" applyAlignment="1">
      <alignment horizontal="right"/>
    </xf>
    <xf numFmtId="0" fontId="22" fillId="0" borderId="0" xfId="0" applyFont="1" applyFill="1"/>
    <xf numFmtId="43" fontId="32" fillId="0" borderId="0" xfId="43" applyFont="1" applyFill="1" applyAlignment="1">
      <alignment horizontal="right"/>
    </xf>
    <xf numFmtId="174" fontId="30" fillId="0" borderId="0" xfId="0" applyNumberFormat="1" applyFont="1" applyFill="1" applyBorder="1" applyAlignment="1">
      <alignment horizontal="right"/>
    </xf>
    <xf numFmtId="0" fontId="20" fillId="0" borderId="0" xfId="0" applyNumberFormat="1" applyFont="1" applyFill="1" applyBorder="1" applyAlignment="1">
      <alignment horizontal="right"/>
    </xf>
    <xf numFmtId="0" fontId="20" fillId="0" borderId="0" xfId="0" applyNumberFormat="1" applyFont="1" applyFill="1" applyAlignment="1">
      <alignment horizontal="right"/>
    </xf>
    <xf numFmtId="175" fontId="29" fillId="0" borderId="0" xfId="0" applyNumberFormat="1" applyFont="1" applyFill="1" applyBorder="1" applyAlignment="1">
      <alignment horizontal="right"/>
    </xf>
    <xf numFmtId="0" fontId="22" fillId="0" borderId="0" xfId="0" applyFont="1" applyBorder="1" applyProtection="1">
      <protection locked="0"/>
    </xf>
    <xf numFmtId="168" fontId="29" fillId="17" borderId="0" xfId="0" applyNumberFormat="1" applyFont="1" applyFill="1" applyBorder="1" applyAlignment="1">
      <alignment horizontal="right"/>
    </xf>
    <xf numFmtId="37" fontId="29" fillId="17" borderId="0" xfId="0" applyNumberFormat="1" applyFont="1" applyFill="1" applyBorder="1" applyAlignment="1">
      <alignment horizontal="right"/>
    </xf>
    <xf numFmtId="0" fontId="22" fillId="17" borderId="0" xfId="0" applyFont="1" applyFill="1" applyBorder="1" applyAlignment="1">
      <alignment horizontal="right"/>
    </xf>
    <xf numFmtId="178" fontId="22" fillId="0" borderId="0" xfId="43" applyNumberFormat="1" applyFont="1" applyFill="1" applyBorder="1" applyAlignment="1">
      <alignment horizontal="right"/>
    </xf>
    <xf numFmtId="43" fontId="32" fillId="0" borderId="0" xfId="43" applyFont="1" applyAlignment="1">
      <alignment horizontal="right"/>
    </xf>
    <xf numFmtId="170" fontId="28" fillId="0" borderId="0" xfId="0" applyNumberFormat="1" applyFont="1" applyFill="1" applyBorder="1" applyAlignment="1">
      <alignment horizontal="right"/>
    </xf>
    <xf numFmtId="0" fontId="20" fillId="0" borderId="0" xfId="0" applyNumberFormat="1" applyFont="1" applyFill="1"/>
    <xf numFmtId="0" fontId="20" fillId="0" borderId="0" xfId="0" applyNumberFormat="1" applyFont="1" applyFill="1" applyBorder="1" applyAlignment="1">
      <alignment horizontal="left"/>
    </xf>
    <xf numFmtId="0" fontId="20" fillId="0" borderId="0" xfId="0" applyNumberFormat="1" applyFont="1" applyFill="1" applyAlignment="1"/>
    <xf numFmtId="179" fontId="20" fillId="21" borderId="0" xfId="43" applyNumberFormat="1" applyFont="1" applyFill="1" applyBorder="1" applyAlignment="1">
      <alignment horizontal="right"/>
    </xf>
    <xf numFmtId="179" fontId="20" fillId="21" borderId="0" xfId="0" applyNumberFormat="1" applyFont="1" applyFill="1" applyBorder="1" applyAlignment="1">
      <alignment horizontal="right"/>
    </xf>
    <xf numFmtId="170" fontId="20" fillId="0" borderId="0" xfId="0" applyNumberFormat="1" applyFont="1" applyFill="1" applyAlignment="1"/>
    <xf numFmtId="1" fontId="20" fillId="0" borderId="0" xfId="62" applyNumberFormat="1" applyFont="1" applyFill="1" applyBorder="1" applyAlignment="1">
      <alignment horizontal="left"/>
    </xf>
    <xf numFmtId="178" fontId="24" fillId="0" borderId="14" xfId="43" applyNumberFormat="1" applyFont="1" applyFill="1" applyBorder="1" applyAlignment="1">
      <alignment horizontal="right"/>
    </xf>
    <xf numFmtId="179" fontId="20" fillId="0" borderId="14" xfId="43" applyNumberFormat="1" applyFont="1" applyFill="1" applyBorder="1" applyAlignment="1">
      <alignment horizontal="right"/>
    </xf>
    <xf numFmtId="179" fontId="28" fillId="0" borderId="14" xfId="43" applyNumberFormat="1" applyFont="1" applyFill="1" applyBorder="1" applyAlignment="1">
      <alignment horizontal="right"/>
    </xf>
    <xf numFmtId="179" fontId="20" fillId="21" borderId="14" xfId="43" applyNumberFormat="1" applyFont="1" applyFill="1" applyBorder="1" applyAlignment="1">
      <alignment horizontal="right"/>
    </xf>
    <xf numFmtId="41" fontId="20" fillId="0" borderId="14" xfId="0" applyNumberFormat="1" applyFont="1" applyFill="1" applyBorder="1" applyAlignment="1">
      <alignment horizontal="right"/>
    </xf>
    <xf numFmtId="37" fontId="20" fillId="21" borderId="14" xfId="0" applyNumberFormat="1" applyFont="1" applyFill="1" applyBorder="1" applyAlignment="1">
      <alignment horizontal="right"/>
    </xf>
    <xf numFmtId="175" fontId="24" fillId="0" borderId="14" xfId="0" applyNumberFormat="1" applyFont="1" applyFill="1" applyBorder="1" applyAlignment="1">
      <alignment horizontal="right"/>
    </xf>
    <xf numFmtId="37" fontId="24" fillId="0" borderId="14" xfId="0" applyNumberFormat="1" applyFont="1" applyFill="1" applyBorder="1" applyAlignment="1">
      <alignment horizontal="right"/>
    </xf>
    <xf numFmtId="175" fontId="34" fillId="0" borderId="14" xfId="0" applyNumberFormat="1" applyFont="1" applyFill="1" applyBorder="1" applyAlignment="1">
      <alignment horizontal="right"/>
    </xf>
    <xf numFmtId="175" fontId="23" fillId="0" borderId="14" xfId="0" applyNumberFormat="1" applyFont="1" applyFill="1" applyBorder="1" applyAlignment="1">
      <alignment horizontal="right"/>
    </xf>
    <xf numFmtId="170" fontId="21" fillId="0" borderId="0" xfId="0" applyNumberFormat="1" applyFont="1" applyFill="1" applyAlignment="1">
      <alignment vertical="top"/>
    </xf>
    <xf numFmtId="175" fontId="20" fillId="0" borderId="14" xfId="0" applyNumberFormat="1" applyFont="1" applyFill="1" applyBorder="1" applyAlignment="1">
      <alignment horizontal="right"/>
    </xf>
    <xf numFmtId="175" fontId="24" fillId="22" borderId="0" xfId="0" applyNumberFormat="1" applyFont="1" applyFill="1" applyBorder="1" applyAlignment="1">
      <alignment horizontal="right"/>
    </xf>
    <xf numFmtId="175" fontId="38" fillId="22" borderId="0" xfId="0" applyNumberFormat="1" applyFont="1" applyFill="1" applyBorder="1" applyAlignment="1">
      <alignment horizontal="right"/>
    </xf>
    <xf numFmtId="170" fontId="20" fillId="0" borderId="14" xfId="0" applyNumberFormat="1" applyFont="1" applyFill="1" applyBorder="1" applyAlignment="1">
      <alignment horizontal="right"/>
    </xf>
    <xf numFmtId="0" fontId="20" fillId="0" borderId="14" xfId="0" applyFont="1" applyFill="1" applyBorder="1" applyAlignment="1">
      <alignment horizontal="right"/>
    </xf>
    <xf numFmtId="37" fontId="20" fillId="0" borderId="14" xfId="0" applyNumberFormat="1" applyFont="1" applyFill="1" applyBorder="1" applyAlignment="1">
      <alignment horizontal="right"/>
    </xf>
    <xf numFmtId="175" fontId="28" fillId="0" borderId="14" xfId="0" applyNumberFormat="1" applyFont="1" applyFill="1" applyBorder="1" applyAlignment="1">
      <alignment horizontal="right"/>
    </xf>
    <xf numFmtId="39" fontId="21" fillId="0" borderId="0" xfId="0" applyNumberFormat="1" applyFont="1" applyFill="1" applyBorder="1" applyAlignment="1">
      <alignment horizontal="right"/>
    </xf>
    <xf numFmtId="169" fontId="37" fillId="0" borderId="0" xfId="0" applyNumberFormat="1" applyFont="1" applyFill="1" applyBorder="1" applyAlignment="1">
      <alignment horizontal="right"/>
    </xf>
    <xf numFmtId="0" fontId="35" fillId="0" borderId="0" xfId="0" applyFont="1" applyFill="1" applyBorder="1" applyAlignment="1">
      <alignment horizontal="left" indent="1"/>
    </xf>
    <xf numFmtId="178" fontId="24" fillId="0" borderId="0" xfId="43" applyNumberFormat="1" applyFont="1" applyFill="1" applyAlignment="1">
      <alignment horizontal="right"/>
    </xf>
    <xf numFmtId="179" fontId="20" fillId="0" borderId="0" xfId="43" applyNumberFormat="1" applyFont="1" applyFill="1" applyAlignment="1">
      <alignment horizontal="right"/>
    </xf>
    <xf numFmtId="0" fontId="28" fillId="0" borderId="0" xfId="0" applyFont="1" applyFill="1" applyAlignment="1">
      <alignment horizontal="right" vertical="center" wrapText="1"/>
    </xf>
    <xf numFmtId="3" fontId="20" fillId="0" borderId="0" xfId="0" applyNumberFormat="1" applyFont="1"/>
    <xf numFmtId="10" fontId="20" fillId="0" borderId="0" xfId="0" applyNumberFormat="1" applyFont="1"/>
    <xf numFmtId="2" fontId="20" fillId="0" borderId="0" xfId="0" applyNumberFormat="1" applyFont="1"/>
    <xf numFmtId="190" fontId="20" fillId="0" borderId="0" xfId="0" applyNumberFormat="1" applyFont="1"/>
    <xf numFmtId="1" fontId="20" fillId="0" borderId="0" xfId="0" applyNumberFormat="1" applyFont="1"/>
    <xf numFmtId="0" fontId="24" fillId="0" borderId="0" xfId="0" applyFont="1" applyFill="1" applyAlignment="1">
      <alignment horizontal="right" vertical="center" wrapText="1"/>
    </xf>
    <xf numFmtId="0" fontId="20" fillId="23" borderId="0" xfId="0" applyFont="1" applyFill="1" applyAlignment="1">
      <alignment horizontal="right"/>
    </xf>
    <xf numFmtId="0" fontId="20" fillId="23" borderId="0" xfId="0" applyFont="1" applyFill="1"/>
    <xf numFmtId="0" fontId="73" fillId="0" borderId="13" xfId="0" applyNumberFormat="1" applyFont="1" applyBorder="1"/>
    <xf numFmtId="0" fontId="32" fillId="0" borderId="0" xfId="0" applyFont="1"/>
    <xf numFmtId="0" fontId="26" fillId="24" borderId="0" xfId="0" applyFont="1" applyFill="1"/>
    <xf numFmtId="0" fontId="23" fillId="23" borderId="0" xfId="0" applyFont="1" applyFill="1"/>
    <xf numFmtId="0" fontId="32" fillId="0" borderId="0" xfId="0" applyFont="1" applyFill="1"/>
    <xf numFmtId="0" fontId="32" fillId="21" borderId="0" xfId="0" applyFont="1" applyFill="1"/>
    <xf numFmtId="9" fontId="24" fillId="0" borderId="0" xfId="70" applyFont="1" applyFill="1" applyAlignment="1">
      <alignment horizontal="right"/>
    </xf>
    <xf numFmtId="170" fontId="20" fillId="18" borderId="0" xfId="0" applyNumberFormat="1" applyFont="1" applyFill="1" applyAlignment="1">
      <alignment horizontal="right"/>
    </xf>
    <xf numFmtId="170" fontId="24" fillId="18" borderId="0" xfId="0" applyNumberFormat="1" applyFont="1" applyFill="1" applyAlignment="1">
      <alignment horizontal="right"/>
    </xf>
    <xf numFmtId="175" fontId="20" fillId="18" borderId="0" xfId="0" applyNumberFormat="1" applyFont="1" applyFill="1" applyAlignment="1">
      <alignment horizontal="right"/>
    </xf>
    <xf numFmtId="167" fontId="24" fillId="18" borderId="0" xfId="0" applyNumberFormat="1" applyFont="1" applyFill="1" applyAlignment="1">
      <alignment horizontal="right"/>
    </xf>
    <xf numFmtId="174" fontId="24" fillId="18" borderId="0" xfId="0" applyNumberFormat="1" applyFont="1" applyFill="1" applyBorder="1" applyAlignment="1">
      <alignment horizontal="right"/>
    </xf>
    <xf numFmtId="174" fontId="20" fillId="18" borderId="0" xfId="0" applyNumberFormat="1" applyFont="1" applyFill="1" applyBorder="1" applyAlignment="1">
      <alignment horizontal="right"/>
    </xf>
    <xf numFmtId="175" fontId="24" fillId="18" borderId="0" xfId="0" applyNumberFormat="1" applyFont="1" applyFill="1" applyBorder="1" applyAlignment="1">
      <alignment horizontal="right"/>
    </xf>
    <xf numFmtId="193" fontId="35" fillId="18" borderId="0" xfId="62" applyNumberFormat="1" applyFont="1" applyFill="1" applyBorder="1" applyAlignment="1">
      <alignment horizontal="right"/>
    </xf>
    <xf numFmtId="3" fontId="22" fillId="18" borderId="0" xfId="0" applyNumberFormat="1" applyFont="1" applyFill="1" applyAlignment="1">
      <alignment horizontal="right"/>
    </xf>
    <xf numFmtId="3" fontId="36" fillId="18" borderId="0" xfId="0" applyNumberFormat="1" applyFont="1" applyFill="1" applyAlignment="1">
      <alignment horizontal="right"/>
    </xf>
    <xf numFmtId="174" fontId="20" fillId="18" borderId="0" xfId="0" applyNumberFormat="1" applyFont="1" applyFill="1" applyAlignment="1">
      <alignment horizontal="right"/>
    </xf>
    <xf numFmtId="0" fontId="28" fillId="21" borderId="0" xfId="0" applyFont="1" applyFill="1"/>
    <xf numFmtId="172" fontId="20" fillId="21" borderId="0" xfId="0" applyNumberFormat="1" applyFont="1" applyFill="1" applyAlignment="1"/>
    <xf numFmtId="173" fontId="34" fillId="16" borderId="0" xfId="0" applyNumberFormat="1" applyFont="1" applyFill="1" applyAlignment="1">
      <alignment horizontal="right"/>
    </xf>
    <xf numFmtId="169" fontId="20" fillId="0" borderId="0" xfId="0" applyNumberFormat="1" applyFont="1" applyFill="1" applyBorder="1"/>
    <xf numFmtId="0" fontId="20" fillId="21" borderId="0" xfId="0" applyFont="1" applyFill="1" applyAlignment="1">
      <alignment horizontal="right"/>
    </xf>
    <xf numFmtId="0" fontId="22" fillId="21" borderId="0" xfId="0" applyFont="1" applyFill="1"/>
    <xf numFmtId="0" fontId="20" fillId="21" borderId="0" xfId="0" applyFont="1" applyFill="1" applyBorder="1" applyProtection="1">
      <protection locked="0"/>
    </xf>
    <xf numFmtId="41" fontId="20" fillId="21" borderId="0" xfId="0" applyNumberFormat="1" applyFont="1" applyFill="1" applyAlignment="1">
      <alignment horizontal="right"/>
    </xf>
    <xf numFmtId="172" fontId="22" fillId="21" borderId="0" xfId="0" applyNumberFormat="1" applyFont="1" applyFill="1" applyAlignment="1">
      <alignment horizontal="right"/>
    </xf>
    <xf numFmtId="177" fontId="20" fillId="21" borderId="0" xfId="0" applyNumberFormat="1" applyFont="1" applyFill="1" applyAlignment="1">
      <alignment horizontal="right"/>
    </xf>
    <xf numFmtId="177" fontId="22" fillId="21" borderId="0" xfId="0" applyNumberFormat="1" applyFont="1" applyFill="1" applyAlignment="1">
      <alignment horizontal="right"/>
    </xf>
    <xf numFmtId="177" fontId="23" fillId="21" borderId="0" xfId="0" applyNumberFormat="1" applyFont="1" applyFill="1" applyAlignment="1">
      <alignment horizontal="right"/>
    </xf>
    <xf numFmtId="177" fontId="30" fillId="21" borderId="0" xfId="0" applyNumberFormat="1" applyFont="1" applyFill="1" applyAlignment="1">
      <alignment horizontal="right"/>
    </xf>
    <xf numFmtId="0" fontId="22" fillId="21" borderId="0" xfId="0" applyFont="1" applyFill="1" applyAlignment="1">
      <alignment horizontal="right"/>
    </xf>
    <xf numFmtId="169" fontId="20" fillId="21" borderId="0" xfId="0" applyNumberFormat="1" applyFont="1" applyFill="1" applyAlignment="1">
      <alignment horizontal="right"/>
    </xf>
    <xf numFmtId="172" fontId="30" fillId="21" borderId="0" xfId="0" applyNumberFormat="1" applyFont="1" applyFill="1" applyBorder="1" applyAlignment="1">
      <alignment horizontal="right"/>
    </xf>
    <xf numFmtId="176" fontId="24" fillId="21" borderId="0" xfId="0" applyNumberFormat="1" applyFont="1" applyFill="1" applyAlignment="1">
      <alignment horizontal="right"/>
    </xf>
    <xf numFmtId="0" fontId="29" fillId="21" borderId="0" xfId="0" applyFont="1" applyFill="1" applyAlignment="1">
      <alignment horizontal="right"/>
    </xf>
    <xf numFmtId="0" fontId="24" fillId="21" borderId="0" xfId="0" applyFont="1" applyFill="1" applyAlignment="1">
      <alignment horizontal="right"/>
    </xf>
    <xf numFmtId="176" fontId="20" fillId="21" borderId="0" xfId="0" applyNumberFormat="1" applyFont="1" applyFill="1" applyAlignment="1">
      <alignment horizontal="right"/>
    </xf>
    <xf numFmtId="0" fontId="35" fillId="21" borderId="0" xfId="0" applyFont="1" applyFill="1" applyBorder="1" applyProtection="1">
      <protection locked="0"/>
    </xf>
    <xf numFmtId="0" fontId="35" fillId="21" borderId="0" xfId="0" applyFont="1" applyFill="1"/>
    <xf numFmtId="41" fontId="35" fillId="21" borderId="0" xfId="0" applyNumberFormat="1" applyFont="1" applyFill="1" applyAlignment="1">
      <alignment horizontal="right"/>
    </xf>
    <xf numFmtId="172" fontId="36" fillId="21" borderId="0" xfId="0" applyNumberFormat="1" applyFont="1" applyFill="1" applyAlignment="1">
      <alignment horizontal="right"/>
    </xf>
    <xf numFmtId="193" fontId="35" fillId="21" borderId="0" xfId="62" applyNumberFormat="1" applyFont="1" applyFill="1" applyBorder="1" applyAlignment="1">
      <alignment horizontal="right"/>
    </xf>
    <xf numFmtId="0" fontId="36" fillId="21" borderId="0" xfId="0" applyFont="1" applyFill="1" applyAlignment="1">
      <alignment horizontal="right"/>
    </xf>
    <xf numFmtId="0" fontId="35" fillId="21" borderId="0" xfId="0" applyFont="1" applyFill="1" applyAlignment="1">
      <alignment horizontal="right"/>
    </xf>
    <xf numFmtId="172" fontId="35" fillId="21" borderId="0" xfId="0" applyNumberFormat="1" applyFont="1" applyFill="1" applyAlignment="1"/>
    <xf numFmtId="178" fontId="24" fillId="21" borderId="0" xfId="43" applyNumberFormat="1" applyFont="1" applyFill="1" applyBorder="1" applyAlignment="1">
      <alignment horizontal="right"/>
    </xf>
    <xf numFmtId="41" fontId="30" fillId="21" borderId="0" xfId="0" applyNumberFormat="1" applyFont="1" applyFill="1" applyBorder="1" applyAlignment="1">
      <alignment horizontal="right"/>
    </xf>
    <xf numFmtId="178" fontId="20" fillId="21" borderId="0" xfId="43" applyNumberFormat="1" applyFont="1" applyFill="1" applyBorder="1" applyAlignment="1">
      <alignment horizontal="right"/>
    </xf>
    <xf numFmtId="170" fontId="28" fillId="0" borderId="12" xfId="0" quotePrefix="1" applyNumberFormat="1" applyFont="1" applyFill="1" applyBorder="1" applyAlignment="1">
      <alignment horizontal="right"/>
    </xf>
    <xf numFmtId="170" fontId="74" fillId="0" borderId="12" xfId="0" applyNumberFormat="1" applyFont="1" applyFill="1" applyBorder="1" applyAlignment="1">
      <alignment horizontal="right"/>
    </xf>
    <xf numFmtId="170" fontId="28" fillId="0" borderId="12" xfId="0" applyNumberFormat="1" applyFont="1" applyFill="1" applyBorder="1" applyAlignment="1">
      <alignment horizontal="right"/>
    </xf>
    <xf numFmtId="175" fontId="20" fillId="21" borderId="0" xfId="0" applyNumberFormat="1" applyFont="1" applyFill="1"/>
    <xf numFmtId="179" fontId="20" fillId="21" borderId="0" xfId="0" applyNumberFormat="1" applyFont="1" applyFill="1"/>
    <xf numFmtId="170" fontId="20" fillId="21" borderId="0" xfId="0" applyNumberFormat="1" applyFont="1" applyFill="1"/>
    <xf numFmtId="0" fontId="74" fillId="21" borderId="0" xfId="0" applyFont="1" applyFill="1"/>
    <xf numFmtId="175" fontId="28" fillId="21" borderId="0" xfId="0" applyNumberFormat="1" applyFont="1" applyFill="1"/>
    <xf numFmtId="173" fontId="28" fillId="21" borderId="0" xfId="0" applyNumberFormat="1" applyFont="1" applyFill="1"/>
    <xf numFmtId="1" fontId="22" fillId="21" borderId="0" xfId="0" applyNumberFormat="1" applyFont="1" applyFill="1" applyAlignment="1">
      <alignment horizontal="right"/>
    </xf>
    <xf numFmtId="0" fontId="28" fillId="0" borderId="12" xfId="0" quotePrefix="1" applyNumberFormat="1" applyFont="1" applyFill="1" applyBorder="1" applyAlignment="1">
      <alignment horizontal="right"/>
    </xf>
    <xf numFmtId="0" fontId="28" fillId="0" borderId="12" xfId="0" applyNumberFormat="1" applyFont="1" applyFill="1" applyBorder="1" applyAlignment="1">
      <alignment horizontal="right"/>
    </xf>
    <xf numFmtId="1" fontId="28" fillId="0" borderId="12" xfId="0" applyNumberFormat="1" applyFont="1" applyFill="1" applyBorder="1" applyAlignment="1">
      <alignment horizontal="right"/>
    </xf>
    <xf numFmtId="49" fontId="28" fillId="0" borderId="12" xfId="0" applyNumberFormat="1" applyFont="1" applyFill="1" applyBorder="1" applyAlignment="1">
      <alignment horizontal="right"/>
    </xf>
    <xf numFmtId="0" fontId="26" fillId="24" borderId="0" xfId="0" applyFont="1" applyFill="1" applyBorder="1" applyAlignment="1">
      <alignment vertical="center"/>
    </xf>
    <xf numFmtId="0" fontId="25" fillId="24" borderId="0" xfId="0" applyFont="1" applyFill="1" applyBorder="1" applyAlignment="1">
      <alignment horizontal="left" vertical="center"/>
    </xf>
    <xf numFmtId="170" fontId="26" fillId="24" borderId="0" xfId="0" applyNumberFormat="1" applyFont="1" applyFill="1" applyBorder="1" applyAlignment="1">
      <alignment horizontal="left" vertical="center"/>
    </xf>
    <xf numFmtId="170" fontId="27" fillId="24" borderId="0" xfId="0" applyNumberFormat="1" applyFont="1" applyFill="1" applyBorder="1" applyAlignment="1">
      <alignment horizontal="left" vertical="center"/>
    </xf>
    <xf numFmtId="172" fontId="27" fillId="24" borderId="0" xfId="0" applyNumberFormat="1" applyFont="1" applyFill="1" applyBorder="1" applyAlignment="1">
      <alignment horizontal="right" vertical="center"/>
    </xf>
    <xf numFmtId="170" fontId="26" fillId="24" borderId="0" xfId="0" applyNumberFormat="1" applyFont="1" applyFill="1" applyBorder="1" applyAlignment="1">
      <alignment vertical="center"/>
    </xf>
    <xf numFmtId="172" fontId="26" fillId="24" borderId="0" xfId="0" applyNumberFormat="1" applyFont="1" applyFill="1" applyBorder="1" applyAlignment="1">
      <alignment vertical="center"/>
    </xf>
    <xf numFmtId="0" fontId="75" fillId="0" borderId="0" xfId="0" applyFont="1"/>
    <xf numFmtId="0" fontId="21" fillId="21" borderId="0" xfId="0" applyFont="1" applyFill="1"/>
    <xf numFmtId="1" fontId="32" fillId="21" borderId="0" xfId="0" applyNumberFormat="1" applyFont="1" applyFill="1" applyAlignment="1">
      <alignment horizontal="right"/>
    </xf>
    <xf numFmtId="174" fontId="21" fillId="21" borderId="0" xfId="0" applyNumberFormat="1" applyFont="1" applyFill="1"/>
    <xf numFmtId="170" fontId="28" fillId="21" borderId="0" xfId="0" applyNumberFormat="1" applyFont="1" applyFill="1"/>
    <xf numFmtId="0" fontId="24" fillId="0" borderId="12" xfId="55" applyFont="1" applyFill="1" applyBorder="1" applyAlignment="1" applyProtection="1"/>
    <xf numFmtId="175" fontId="21" fillId="0" borderId="0" xfId="0" applyNumberFormat="1" applyFont="1" applyFill="1" applyAlignment="1">
      <alignment horizontal="right"/>
    </xf>
    <xf numFmtId="0" fontId="73" fillId="25" borderId="0" xfId="0" applyNumberFormat="1" applyFont="1" applyFill="1" applyBorder="1"/>
    <xf numFmtId="0" fontId="20" fillId="25" borderId="0" xfId="0" applyFont="1" applyFill="1"/>
    <xf numFmtId="0" fontId="32" fillId="25" borderId="0" xfId="0" applyFont="1" applyFill="1"/>
    <xf numFmtId="170" fontId="20" fillId="25" borderId="0" xfId="0" applyNumberFormat="1" applyFont="1" applyFill="1" applyBorder="1" applyAlignment="1">
      <alignment horizontal="right"/>
    </xf>
    <xf numFmtId="1" fontId="22" fillId="25" borderId="0" xfId="0" applyNumberFormat="1" applyFont="1" applyFill="1" applyBorder="1" applyAlignment="1">
      <alignment horizontal="right"/>
    </xf>
    <xf numFmtId="170" fontId="20" fillId="25" borderId="12" xfId="0" applyNumberFormat="1" applyFont="1" applyFill="1" applyBorder="1" applyAlignment="1">
      <alignment horizontal="right"/>
    </xf>
    <xf numFmtId="1" fontId="22" fillId="25" borderId="12" xfId="0" applyNumberFormat="1" applyFont="1" applyFill="1" applyBorder="1" applyAlignment="1">
      <alignment horizontal="right"/>
    </xf>
    <xf numFmtId="0" fontId="20" fillId="25" borderId="12" xfId="0" applyNumberFormat="1" applyFont="1" applyFill="1" applyBorder="1" applyAlignment="1">
      <alignment horizontal="right"/>
    </xf>
    <xf numFmtId="1" fontId="20" fillId="25" borderId="12" xfId="0" applyNumberFormat="1" applyFont="1" applyFill="1" applyBorder="1" applyAlignment="1">
      <alignment horizontal="right"/>
    </xf>
    <xf numFmtId="49" fontId="20" fillId="25" borderId="12" xfId="0" applyNumberFormat="1" applyFont="1" applyFill="1" applyBorder="1" applyAlignment="1">
      <alignment horizontal="right"/>
    </xf>
    <xf numFmtId="0" fontId="20" fillId="25" borderId="0" xfId="0" applyNumberFormat="1" applyFont="1" applyFill="1" applyBorder="1" applyAlignment="1">
      <alignment horizontal="right"/>
    </xf>
    <xf numFmtId="1" fontId="20" fillId="25" borderId="0" xfId="0" applyNumberFormat="1" applyFont="1" applyFill="1" applyBorder="1" applyAlignment="1">
      <alignment horizontal="right"/>
    </xf>
    <xf numFmtId="49" fontId="20" fillId="25" borderId="0" xfId="0" applyNumberFormat="1" applyFont="1" applyFill="1" applyBorder="1" applyAlignment="1">
      <alignment horizontal="right"/>
    </xf>
    <xf numFmtId="37" fontId="20" fillId="25" borderId="0" xfId="0" applyNumberFormat="1" applyFont="1" applyFill="1" applyBorder="1" applyAlignment="1">
      <alignment horizontal="right"/>
    </xf>
    <xf numFmtId="37" fontId="28" fillId="25" borderId="0" xfId="0" applyNumberFormat="1" applyFont="1" applyFill="1" applyBorder="1" applyAlignment="1">
      <alignment horizontal="right"/>
    </xf>
    <xf numFmtId="170" fontId="28" fillId="25" borderId="0" xfId="0" applyNumberFormat="1" applyFont="1" applyFill="1" applyBorder="1" applyAlignment="1">
      <alignment horizontal="right"/>
    </xf>
    <xf numFmtId="181" fontId="32" fillId="25" borderId="0" xfId="0" applyNumberFormat="1" applyFont="1" applyFill="1" applyBorder="1" applyAlignment="1">
      <alignment horizontal="right"/>
    </xf>
    <xf numFmtId="1" fontId="32" fillId="25" borderId="0" xfId="0" applyNumberFormat="1" applyFont="1" applyFill="1" applyBorder="1" applyAlignment="1">
      <alignment horizontal="right"/>
    </xf>
    <xf numFmtId="170" fontId="32" fillId="25" borderId="0" xfId="0" applyNumberFormat="1" applyFont="1" applyFill="1" applyBorder="1" applyAlignment="1">
      <alignment horizontal="right"/>
    </xf>
    <xf numFmtId="181" fontId="20" fillId="25" borderId="0" xfId="0" applyNumberFormat="1" applyFont="1" applyFill="1" applyBorder="1" applyAlignment="1">
      <alignment horizontal="right"/>
    </xf>
    <xf numFmtId="173" fontId="34" fillId="23" borderId="0" xfId="0" applyNumberFormat="1" applyFont="1" applyFill="1" applyBorder="1" applyAlignment="1">
      <alignment horizontal="right"/>
    </xf>
    <xf numFmtId="1" fontId="30" fillId="23" borderId="0" xfId="0" applyNumberFormat="1" applyFont="1" applyFill="1" applyBorder="1" applyAlignment="1">
      <alignment horizontal="right"/>
    </xf>
    <xf numFmtId="170" fontId="34" fillId="23" borderId="0" xfId="0" applyNumberFormat="1" applyFont="1" applyFill="1" applyBorder="1" applyAlignment="1">
      <alignment horizontal="right"/>
    </xf>
    <xf numFmtId="0" fontId="32" fillId="0" borderId="0" xfId="0" applyNumberFormat="1" applyFont="1" applyFill="1" applyBorder="1"/>
    <xf numFmtId="173" fontId="32" fillId="0" borderId="0" xfId="0" applyNumberFormat="1" applyFont="1" applyFill="1" applyBorder="1" applyAlignment="1">
      <alignment horizontal="right"/>
    </xf>
    <xf numFmtId="1" fontId="32" fillId="0" borderId="0" xfId="0" applyNumberFormat="1" applyFont="1" applyFill="1" applyBorder="1" applyAlignment="1">
      <alignment horizontal="right"/>
    </xf>
    <xf numFmtId="174" fontId="32" fillId="0" borderId="0" xfId="0" applyNumberFormat="1" applyFont="1" applyFill="1" applyBorder="1" applyAlignment="1">
      <alignment horizontal="right"/>
    </xf>
    <xf numFmtId="169" fontId="32" fillId="0" borderId="0" xfId="0" applyNumberFormat="1" applyFont="1" applyFill="1" applyBorder="1" applyAlignment="1">
      <alignment horizontal="right"/>
    </xf>
    <xf numFmtId="173" fontId="28" fillId="25" borderId="0" xfId="0" applyNumberFormat="1" applyFont="1" applyFill="1" applyBorder="1" applyAlignment="1">
      <alignment horizontal="right"/>
    </xf>
    <xf numFmtId="1" fontId="29" fillId="25" borderId="0" xfId="0" applyNumberFormat="1" applyFont="1" applyFill="1" applyBorder="1" applyAlignment="1">
      <alignment horizontal="right"/>
    </xf>
    <xf numFmtId="169" fontId="24" fillId="25" borderId="0" xfId="0" applyNumberFormat="1" applyFont="1" applyFill="1" applyBorder="1" applyAlignment="1">
      <alignment horizontal="right"/>
    </xf>
    <xf numFmtId="173" fontId="20" fillId="25" borderId="0" xfId="0" applyNumberFormat="1" applyFont="1" applyFill="1" applyBorder="1" applyAlignment="1">
      <alignment horizontal="right"/>
    </xf>
    <xf numFmtId="43" fontId="20" fillId="25" borderId="0" xfId="43" applyFont="1" applyFill="1" applyBorder="1" applyAlignment="1">
      <alignment horizontal="right"/>
    </xf>
    <xf numFmtId="0" fontId="25" fillId="24" borderId="0" xfId="0" applyNumberFormat="1" applyFont="1" applyFill="1" applyBorder="1"/>
    <xf numFmtId="173" fontId="25" fillId="24" borderId="0" xfId="0" applyNumberFormat="1" applyFont="1" applyFill="1" applyBorder="1" applyAlignment="1">
      <alignment horizontal="right"/>
    </xf>
    <xf numFmtId="1" fontId="27" fillId="24" borderId="0" xfId="0" applyNumberFormat="1" applyFont="1" applyFill="1" applyBorder="1" applyAlignment="1">
      <alignment horizontal="right"/>
    </xf>
    <xf numFmtId="170" fontId="25" fillId="24" borderId="0" xfId="0" applyNumberFormat="1" applyFont="1" applyFill="1" applyBorder="1" applyAlignment="1">
      <alignment horizontal="right"/>
    </xf>
    <xf numFmtId="41" fontId="20" fillId="25" borderId="0" xfId="0" applyNumberFormat="1" applyFont="1" applyFill="1" applyBorder="1" applyAlignment="1">
      <alignment horizontal="right"/>
    </xf>
    <xf numFmtId="3" fontId="22" fillId="25" borderId="0" xfId="0" applyNumberFormat="1" applyFont="1" applyFill="1" applyBorder="1" applyAlignment="1">
      <alignment horizontal="right"/>
    </xf>
    <xf numFmtId="0" fontId="28" fillId="23" borderId="0" xfId="0" applyNumberFormat="1" applyFont="1" applyFill="1" applyBorder="1"/>
    <xf numFmtId="173" fontId="28" fillId="23" borderId="0" xfId="0" applyNumberFormat="1" applyFont="1" applyFill="1" applyBorder="1" applyAlignment="1">
      <alignment horizontal="right"/>
    </xf>
    <xf numFmtId="1" fontId="22" fillId="23" borderId="0" xfId="0" applyNumberFormat="1" applyFont="1" applyFill="1" applyBorder="1" applyAlignment="1">
      <alignment horizontal="right"/>
    </xf>
    <xf numFmtId="170" fontId="28" fillId="23" borderId="0" xfId="0" applyNumberFormat="1" applyFont="1" applyFill="1" applyBorder="1" applyAlignment="1">
      <alignment horizontal="right"/>
    </xf>
    <xf numFmtId="169" fontId="20" fillId="25" borderId="0" xfId="0" applyNumberFormat="1" applyFont="1" applyFill="1" applyBorder="1" applyAlignment="1">
      <alignment horizontal="right"/>
    </xf>
    <xf numFmtId="168" fontId="20" fillId="25" borderId="0" xfId="0" applyNumberFormat="1" applyFont="1" applyFill="1" applyBorder="1" applyAlignment="1">
      <alignment horizontal="right"/>
    </xf>
    <xf numFmtId="39" fontId="20" fillId="25" borderId="0" xfId="0" applyNumberFormat="1" applyFont="1" applyFill="1" applyBorder="1" applyAlignment="1">
      <alignment horizontal="right"/>
    </xf>
    <xf numFmtId="0" fontId="20" fillId="0" borderId="0" xfId="0" applyFont="1" applyAlignment="1">
      <alignment horizontal="right"/>
    </xf>
    <xf numFmtId="1" fontId="22" fillId="0" borderId="0" xfId="0" applyNumberFormat="1" applyFont="1" applyAlignment="1">
      <alignment horizontal="right"/>
    </xf>
    <xf numFmtId="0" fontId="31" fillId="0" borderId="0" xfId="0" applyNumberFormat="1" applyFont="1" applyBorder="1"/>
    <xf numFmtId="1" fontId="22" fillId="0" borderId="0" xfId="0" applyNumberFormat="1" applyFont="1" applyBorder="1" applyAlignment="1">
      <alignment horizontal="right"/>
    </xf>
    <xf numFmtId="1" fontId="22" fillId="0" borderId="0" xfId="0" applyNumberFormat="1" applyFont="1" applyFill="1" applyBorder="1" applyAlignment="1">
      <alignment horizontal="right"/>
    </xf>
    <xf numFmtId="0" fontId="22" fillId="0" borderId="0" xfId="0" quotePrefix="1" applyNumberFormat="1" applyFont="1" applyFill="1" applyBorder="1" applyAlignment="1">
      <alignment horizontal="left"/>
    </xf>
    <xf numFmtId="0" fontId="22" fillId="0" borderId="0" xfId="0" applyNumberFormat="1" applyFont="1" applyFill="1" applyBorder="1"/>
    <xf numFmtId="0" fontId="20" fillId="0" borderId="0" xfId="0" applyNumberFormat="1" applyFont="1"/>
    <xf numFmtId="0" fontId="28" fillId="0" borderId="0" xfId="0" applyNumberFormat="1" applyFont="1"/>
    <xf numFmtId="170" fontId="20" fillId="0" borderId="0" xfId="0" applyNumberFormat="1" applyFont="1" applyBorder="1" applyAlignment="1">
      <alignment horizontal="right"/>
    </xf>
    <xf numFmtId="0" fontId="20" fillId="0" borderId="0" xfId="0" applyNumberFormat="1" applyFont="1" applyBorder="1"/>
    <xf numFmtId="0" fontId="20" fillId="0" borderId="12" xfId="0" applyNumberFormat="1" applyFont="1" applyBorder="1"/>
    <xf numFmtId="170" fontId="20" fillId="0" borderId="12" xfId="0" applyNumberFormat="1" applyFont="1" applyBorder="1" applyAlignment="1">
      <alignment horizontal="right"/>
    </xf>
    <xf numFmtId="1" fontId="22" fillId="0" borderId="12" xfId="0" applyNumberFormat="1" applyFont="1" applyBorder="1" applyAlignment="1">
      <alignment horizontal="right"/>
    </xf>
    <xf numFmtId="0" fontId="20" fillId="0" borderId="12" xfId="0" applyNumberFormat="1" applyFont="1" applyBorder="1" applyAlignment="1">
      <alignment horizontal="right"/>
    </xf>
    <xf numFmtId="1" fontId="20" fillId="0" borderId="12" xfId="0" applyNumberFormat="1" applyFont="1" applyBorder="1" applyAlignment="1">
      <alignment horizontal="right"/>
    </xf>
    <xf numFmtId="49" fontId="20" fillId="0" borderId="12" xfId="0" applyNumberFormat="1" applyFont="1" applyBorder="1" applyAlignment="1">
      <alignment horizontal="right"/>
    </xf>
    <xf numFmtId="0" fontId="28" fillId="0" borderId="0" xfId="0" applyNumberFormat="1" applyFont="1" applyFill="1" applyBorder="1"/>
    <xf numFmtId="0" fontId="20" fillId="0" borderId="0" xfId="0" applyNumberFormat="1" applyFont="1" applyFill="1" applyBorder="1"/>
    <xf numFmtId="1" fontId="20" fillId="0" borderId="0" xfId="0" applyNumberFormat="1" applyFont="1" applyFill="1" applyBorder="1" applyAlignment="1">
      <alignment horizontal="right"/>
    </xf>
    <xf numFmtId="0" fontId="22" fillId="0" borderId="13" xfId="0" applyNumberFormat="1" applyFont="1" applyBorder="1"/>
    <xf numFmtId="170" fontId="20" fillId="0" borderId="13" xfId="0" applyNumberFormat="1" applyFont="1" applyBorder="1" applyAlignment="1">
      <alignment horizontal="right"/>
    </xf>
    <xf numFmtId="1" fontId="22" fillId="0" borderId="13" xfId="0" applyNumberFormat="1" applyFont="1" applyBorder="1" applyAlignment="1">
      <alignment horizontal="right"/>
    </xf>
    <xf numFmtId="37" fontId="28" fillId="0" borderId="0" xfId="0" applyNumberFormat="1" applyFont="1" applyFill="1" applyBorder="1" applyAlignment="1">
      <alignment horizontal="right"/>
    </xf>
    <xf numFmtId="0" fontId="25" fillId="19" borderId="0" xfId="0" applyNumberFormat="1" applyFont="1" applyFill="1" applyBorder="1"/>
    <xf numFmtId="37" fontId="25" fillId="19" borderId="0" xfId="0" applyNumberFormat="1" applyFont="1" applyFill="1" applyBorder="1"/>
    <xf numFmtId="1" fontId="27" fillId="19" borderId="0" xfId="0" applyNumberFormat="1" applyFont="1" applyFill="1" applyBorder="1" applyAlignment="1">
      <alignment horizontal="right"/>
    </xf>
    <xf numFmtId="170" fontId="25" fillId="19" borderId="0" xfId="0" applyNumberFormat="1" applyFont="1" applyFill="1" applyBorder="1" applyAlignment="1">
      <alignment horizontal="right"/>
    </xf>
    <xf numFmtId="1" fontId="76" fillId="19" borderId="0" xfId="0" applyNumberFormat="1" applyFont="1" applyFill="1" applyBorder="1" applyAlignment="1">
      <alignment horizontal="right"/>
    </xf>
    <xf numFmtId="0" fontId="32" fillId="0" borderId="0" xfId="0" applyNumberFormat="1" applyFont="1"/>
    <xf numFmtId="181" fontId="32" fillId="0" borderId="0" xfId="0" applyNumberFormat="1" applyFont="1" applyFill="1" applyBorder="1" applyAlignment="1">
      <alignment horizontal="right"/>
    </xf>
    <xf numFmtId="170" fontId="32" fillId="0" borderId="0" xfId="0" applyNumberFormat="1" applyFont="1" applyFill="1" applyBorder="1" applyAlignment="1">
      <alignment horizontal="right"/>
    </xf>
    <xf numFmtId="0" fontId="28" fillId="0" borderId="0" xfId="0" applyNumberFormat="1" applyFont="1" applyFill="1" applyBorder="1" applyAlignment="1">
      <alignment horizontal="left"/>
    </xf>
    <xf numFmtId="168" fontId="20" fillId="0" borderId="0" xfId="0" applyNumberFormat="1" applyFont="1" applyFill="1" applyBorder="1"/>
    <xf numFmtId="43" fontId="20" fillId="0" borderId="0" xfId="43" applyFont="1" applyFill="1" applyBorder="1" applyAlignment="1">
      <alignment horizontal="right"/>
    </xf>
    <xf numFmtId="1" fontId="20" fillId="0" borderId="0" xfId="0" applyNumberFormat="1" applyFont="1" applyFill="1" applyBorder="1"/>
    <xf numFmtId="0" fontId="20" fillId="0" borderId="0" xfId="0" applyNumberFormat="1" applyFont="1" applyFill="1" applyBorder="1" applyAlignment="1">
      <alignment horizontal="left" indent="1"/>
    </xf>
    <xf numFmtId="170" fontId="20" fillId="0" borderId="0" xfId="0" applyNumberFormat="1" applyFont="1" applyAlignment="1">
      <alignment horizontal="right"/>
    </xf>
    <xf numFmtId="1" fontId="28" fillId="0" borderId="0" xfId="0" applyNumberFormat="1" applyFont="1" applyFill="1" applyBorder="1"/>
    <xf numFmtId="37" fontId="22" fillId="0" borderId="0" xfId="0" applyNumberFormat="1" applyFont="1" applyFill="1" applyBorder="1" applyAlignment="1">
      <alignment horizontal="right"/>
    </xf>
    <xf numFmtId="3" fontId="22" fillId="0" borderId="0" xfId="0" applyNumberFormat="1" applyFont="1" applyAlignment="1">
      <alignment horizontal="right"/>
    </xf>
    <xf numFmtId="3" fontId="22" fillId="0" borderId="13" xfId="0" applyNumberFormat="1" applyFont="1" applyBorder="1" applyAlignment="1">
      <alignment horizontal="right"/>
    </xf>
    <xf numFmtId="49" fontId="22" fillId="0" borderId="0" xfId="0" applyNumberFormat="1" applyFont="1" applyBorder="1" applyAlignment="1">
      <alignment horizontal="right"/>
    </xf>
    <xf numFmtId="3" fontId="22" fillId="0" borderId="12" xfId="0" applyNumberFormat="1" applyFont="1" applyBorder="1" applyAlignment="1">
      <alignment horizontal="right"/>
    </xf>
    <xf numFmtId="3" fontId="74" fillId="0" borderId="0" xfId="0" applyNumberFormat="1" applyFont="1" applyFill="1" applyBorder="1" applyAlignment="1">
      <alignment horizontal="right"/>
    </xf>
    <xf numFmtId="3" fontId="27" fillId="24" borderId="0" xfId="0" applyNumberFormat="1" applyFont="1" applyFill="1" applyBorder="1" applyAlignment="1">
      <alignment horizontal="right"/>
    </xf>
    <xf numFmtId="3" fontId="76" fillId="24" borderId="0" xfId="0" applyNumberFormat="1" applyFont="1" applyFill="1" applyBorder="1" applyAlignment="1">
      <alignment horizontal="right"/>
    </xf>
    <xf numFmtId="3" fontId="32" fillId="0" borderId="0" xfId="0" applyNumberFormat="1" applyFont="1" applyFill="1" applyBorder="1" applyAlignment="1">
      <alignment horizontal="right"/>
    </xf>
    <xf numFmtId="0" fontId="28" fillId="21" borderId="0" xfId="0" applyNumberFormat="1" applyFont="1" applyFill="1" applyBorder="1"/>
    <xf numFmtId="173" fontId="28" fillId="21" borderId="0" xfId="0" applyNumberFormat="1" applyFont="1" applyFill="1" applyBorder="1" applyAlignment="1">
      <alignment horizontal="right"/>
    </xf>
    <xf numFmtId="1" fontId="22" fillId="21" borderId="0" xfId="0" applyNumberFormat="1" applyFont="1" applyFill="1" applyBorder="1" applyAlignment="1">
      <alignment horizontal="right"/>
    </xf>
    <xf numFmtId="170" fontId="28" fillId="21" borderId="0" xfId="0" applyNumberFormat="1" applyFont="1" applyFill="1" applyBorder="1" applyAlignment="1">
      <alignment horizontal="right"/>
    </xf>
    <xf numFmtId="173" fontId="28" fillId="0" borderId="0" xfId="0" applyNumberFormat="1" applyFont="1" applyFill="1" applyBorder="1" applyAlignment="1">
      <alignment horizontal="right"/>
    </xf>
    <xf numFmtId="0" fontId="28" fillId="17" borderId="0" xfId="0" applyNumberFormat="1" applyFont="1" applyFill="1" applyBorder="1"/>
    <xf numFmtId="173" fontId="28" fillId="17" borderId="0" xfId="0" applyNumberFormat="1" applyFont="1" applyFill="1" applyBorder="1" applyAlignment="1">
      <alignment horizontal="right"/>
    </xf>
    <xf numFmtId="3" fontId="22" fillId="17" borderId="0" xfId="0" applyNumberFormat="1" applyFont="1" applyFill="1" applyBorder="1" applyAlignment="1">
      <alignment horizontal="right"/>
    </xf>
    <xf numFmtId="3" fontId="74" fillId="17" borderId="0" xfId="0" applyNumberFormat="1" applyFont="1" applyFill="1" applyBorder="1" applyAlignment="1">
      <alignment horizontal="right"/>
    </xf>
    <xf numFmtId="0" fontId="31" fillId="0" borderId="0" xfId="0" applyNumberFormat="1" applyFont="1" applyFill="1" applyBorder="1"/>
    <xf numFmtId="3" fontId="29" fillId="0" borderId="0" xfId="0" applyNumberFormat="1" applyFont="1" applyFill="1" applyBorder="1" applyAlignment="1">
      <alignment horizontal="right"/>
    </xf>
    <xf numFmtId="3" fontId="22" fillId="23" borderId="0" xfId="0" applyNumberFormat="1" applyFont="1" applyFill="1" applyBorder="1" applyAlignment="1">
      <alignment horizontal="right"/>
    </xf>
    <xf numFmtId="3" fontId="74" fillId="23" borderId="0" xfId="0" applyNumberFormat="1" applyFont="1" applyFill="1" applyBorder="1" applyAlignment="1">
      <alignment horizontal="right"/>
    </xf>
    <xf numFmtId="168" fontId="20" fillId="0" borderId="0" xfId="0" applyNumberFormat="1" applyFont="1" applyFill="1" applyBorder="1" applyAlignment="1">
      <alignment horizontal="left"/>
    </xf>
    <xf numFmtId="0" fontId="31" fillId="21" borderId="0" xfId="0" applyNumberFormat="1" applyFont="1" applyFill="1" applyBorder="1"/>
    <xf numFmtId="3" fontId="22" fillId="21" borderId="0" xfId="0" applyNumberFormat="1" applyFont="1" applyFill="1" applyBorder="1" applyAlignment="1">
      <alignment horizontal="right"/>
    </xf>
    <xf numFmtId="0" fontId="20" fillId="21" borderId="0" xfId="0" applyNumberFormat="1" applyFont="1" applyFill="1" applyBorder="1"/>
    <xf numFmtId="168" fontId="20" fillId="21" borderId="0" xfId="0" applyNumberFormat="1" applyFont="1" applyFill="1" applyBorder="1" applyAlignment="1">
      <alignment horizontal="right"/>
    </xf>
    <xf numFmtId="170" fontId="22" fillId="21" borderId="0" xfId="0" applyNumberFormat="1" applyFont="1" applyFill="1" applyBorder="1" applyAlignment="1">
      <alignment horizontal="right"/>
    </xf>
    <xf numFmtId="3" fontId="30" fillId="21" borderId="0" xfId="0" applyNumberFormat="1" applyFont="1" applyFill="1" applyAlignment="1">
      <alignment horizontal="right"/>
    </xf>
    <xf numFmtId="0" fontId="32" fillId="21" borderId="0" xfId="0" applyNumberFormat="1" applyFont="1" applyFill="1" applyBorder="1"/>
    <xf numFmtId="173" fontId="32" fillId="21" borderId="0" xfId="0" applyNumberFormat="1" applyFont="1" applyFill="1" applyBorder="1" applyAlignment="1">
      <alignment horizontal="right"/>
    </xf>
    <xf numFmtId="3" fontId="32" fillId="21" borderId="0" xfId="0" applyNumberFormat="1" applyFont="1" applyFill="1" applyBorder="1" applyAlignment="1">
      <alignment horizontal="right"/>
    </xf>
    <xf numFmtId="174" fontId="32" fillId="21" borderId="0" xfId="0" applyNumberFormat="1" applyFont="1" applyFill="1" applyBorder="1" applyAlignment="1">
      <alignment horizontal="right"/>
    </xf>
    <xf numFmtId="0" fontId="22" fillId="21" borderId="0" xfId="0" applyNumberFormat="1" applyFont="1" applyFill="1" applyBorder="1"/>
    <xf numFmtId="168" fontId="22" fillId="0" borderId="0" xfId="0" applyNumberFormat="1" applyFont="1" applyFill="1" applyBorder="1" applyAlignment="1">
      <alignment horizontal="right"/>
    </xf>
    <xf numFmtId="3" fontId="27" fillId="19" borderId="0" xfId="0" applyNumberFormat="1" applyFont="1" applyFill="1" applyBorder="1" applyAlignment="1">
      <alignment horizontal="right"/>
    </xf>
    <xf numFmtId="170" fontId="27" fillId="19" borderId="0" xfId="0" applyNumberFormat="1" applyFont="1" applyFill="1" applyBorder="1" applyAlignment="1">
      <alignment horizontal="right"/>
    </xf>
    <xf numFmtId="3" fontId="27" fillId="19" borderId="0" xfId="0" applyNumberFormat="1" applyFont="1" applyFill="1" applyBorder="1"/>
    <xf numFmtId="3" fontId="76" fillId="19" borderId="0" xfId="0" applyNumberFormat="1" applyFont="1" applyFill="1" applyBorder="1" applyAlignment="1">
      <alignment horizontal="right"/>
    </xf>
    <xf numFmtId="3" fontId="22" fillId="0" borderId="0" xfId="43" applyNumberFormat="1" applyFont="1" applyFill="1" applyBorder="1" applyAlignment="1">
      <alignment horizontal="right"/>
    </xf>
    <xf numFmtId="3" fontId="20" fillId="0" borderId="0" xfId="0" applyNumberFormat="1" applyFont="1" applyFill="1" applyBorder="1" applyAlignment="1">
      <alignment horizontal="right"/>
    </xf>
    <xf numFmtId="49" fontId="20" fillId="0" borderId="0" xfId="0" applyNumberFormat="1" applyFont="1"/>
    <xf numFmtId="37" fontId="25" fillId="0" borderId="0" xfId="0" applyNumberFormat="1" applyFont="1" applyFill="1" applyBorder="1"/>
    <xf numFmtId="3" fontId="27" fillId="0" borderId="0" xfId="0" applyNumberFormat="1" applyFont="1" applyFill="1" applyBorder="1" applyAlignment="1">
      <alignment horizontal="right"/>
    </xf>
    <xf numFmtId="1" fontId="27" fillId="0" borderId="0" xfId="0" applyNumberFormat="1" applyFont="1" applyFill="1" applyBorder="1" applyAlignment="1">
      <alignment horizontal="right"/>
    </xf>
    <xf numFmtId="3" fontId="27" fillId="0" borderId="0" xfId="0" applyNumberFormat="1" applyFont="1" applyFill="1" applyBorder="1"/>
    <xf numFmtId="3" fontId="76" fillId="0" borderId="0" xfId="0" applyNumberFormat="1" applyFont="1" applyFill="1" applyBorder="1" applyAlignment="1">
      <alignment horizontal="right"/>
    </xf>
    <xf numFmtId="0" fontId="77" fillId="0" borderId="0" xfId="0" applyNumberFormat="1" applyFont="1"/>
    <xf numFmtId="49" fontId="77" fillId="0" borderId="0" xfId="0" applyNumberFormat="1" applyFont="1"/>
    <xf numFmtId="0" fontId="78" fillId="0" borderId="0" xfId="0" applyFont="1" applyAlignment="1">
      <alignment horizontal="right"/>
    </xf>
    <xf numFmtId="3" fontId="79" fillId="0" borderId="0" xfId="0" applyNumberFormat="1" applyFont="1" applyAlignment="1">
      <alignment horizontal="right"/>
    </xf>
    <xf numFmtId="1" fontId="79" fillId="0" borderId="0" xfId="0" applyNumberFormat="1" applyFont="1" applyAlignment="1">
      <alignment horizontal="right"/>
    </xf>
    <xf numFmtId="0" fontId="78" fillId="0" borderId="0" xfId="0" applyFont="1"/>
    <xf numFmtId="173" fontId="32" fillId="25" borderId="0" xfId="0" applyNumberFormat="1" applyFont="1" applyFill="1" applyBorder="1" applyAlignment="1">
      <alignment horizontal="right"/>
    </xf>
    <xf numFmtId="174" fontId="32" fillId="25" borderId="0" xfId="0" applyNumberFormat="1" applyFont="1" applyFill="1" applyBorder="1" applyAlignment="1">
      <alignment horizontal="right"/>
    </xf>
    <xf numFmtId="169" fontId="32" fillId="25" borderId="0" xfId="0" applyNumberFormat="1" applyFont="1" applyFill="1" applyBorder="1" applyAlignment="1">
      <alignment horizontal="right"/>
    </xf>
    <xf numFmtId="175" fontId="80" fillId="0" borderId="0" xfId="0" applyNumberFormat="1" applyFont="1" applyFill="1" applyBorder="1" applyAlignment="1">
      <alignment horizontal="right"/>
    </xf>
    <xf numFmtId="0" fontId="81" fillId="0" borderId="0" xfId="0" applyFont="1" applyFill="1" applyAlignment="1">
      <alignment horizontal="right" vertical="center" wrapText="1"/>
    </xf>
    <xf numFmtId="173" fontId="82" fillId="0" borderId="0" xfId="0" applyNumberFormat="1" applyFont="1" applyFill="1" applyAlignment="1">
      <alignment horizontal="right"/>
    </xf>
    <xf numFmtId="173" fontId="83" fillId="0" borderId="0" xfId="0" applyNumberFormat="1" applyFont="1" applyFill="1" applyAlignment="1">
      <alignment horizontal="right"/>
    </xf>
    <xf numFmtId="166" fontId="24" fillId="25" borderId="0" xfId="0" applyNumberFormat="1" applyFont="1" applyFill="1" applyBorder="1" applyAlignment="1">
      <alignment horizontal="right"/>
    </xf>
    <xf numFmtId="166" fontId="20" fillId="25" borderId="0" xfId="0" applyNumberFormat="1" applyFont="1" applyFill="1" applyBorder="1" applyAlignment="1">
      <alignment horizontal="right"/>
    </xf>
    <xf numFmtId="0" fontId="20" fillId="26" borderId="0" xfId="0" applyFont="1" applyFill="1"/>
    <xf numFmtId="0" fontId="28" fillId="26" borderId="0" xfId="0" applyFont="1" applyFill="1"/>
    <xf numFmtId="173" fontId="34" fillId="26" borderId="0" xfId="0" applyNumberFormat="1" applyFont="1" applyFill="1" applyAlignment="1">
      <alignment horizontal="right"/>
    </xf>
    <xf numFmtId="170" fontId="30" fillId="26" borderId="0" xfId="0" applyNumberFormat="1" applyFont="1" applyFill="1" applyAlignment="1">
      <alignment horizontal="right"/>
    </xf>
    <xf numFmtId="170" fontId="23" fillId="26" borderId="0" xfId="0" applyNumberFormat="1" applyFont="1" applyFill="1" applyAlignment="1">
      <alignment horizontal="right"/>
    </xf>
    <xf numFmtId="172" fontId="30" fillId="26" borderId="0" xfId="0" applyNumberFormat="1" applyFont="1" applyFill="1" applyAlignment="1">
      <alignment horizontal="right"/>
    </xf>
    <xf numFmtId="170" fontId="24" fillId="26" borderId="0" xfId="0" applyNumberFormat="1" applyFont="1" applyFill="1" applyAlignment="1">
      <alignment horizontal="right"/>
    </xf>
    <xf numFmtId="173" fontId="28" fillId="26" borderId="0" xfId="0" applyNumberFormat="1" applyFont="1" applyFill="1" applyAlignment="1">
      <alignment horizontal="right"/>
    </xf>
    <xf numFmtId="172" fontId="20" fillId="26" borderId="0" xfId="0" applyNumberFormat="1" applyFont="1" applyFill="1" applyAlignment="1"/>
    <xf numFmtId="41" fontId="22" fillId="21" borderId="0" xfId="0" applyNumberFormat="1" applyFont="1" applyFill="1" applyAlignment="1">
      <alignment horizontal="right"/>
    </xf>
    <xf numFmtId="0" fontId="1" fillId="0" borderId="0" xfId="84"/>
    <xf numFmtId="201" fontId="30" fillId="0" borderId="0" xfId="0" applyNumberFormat="1" applyFont="1" applyFill="1" applyAlignment="1">
      <alignment horizontal="right"/>
    </xf>
    <xf numFmtId="37" fontId="24" fillId="27" borderId="0" xfId="0" applyNumberFormat="1" applyFont="1" applyFill="1" applyBorder="1" applyAlignment="1">
      <alignment horizontal="right"/>
    </xf>
    <xf numFmtId="176" fontId="43" fillId="27" borderId="0" xfId="0" applyNumberFormat="1" applyFont="1" applyFill="1"/>
    <xf numFmtId="172" fontId="30" fillId="27" borderId="0" xfId="0" applyNumberFormat="1" applyFont="1" applyFill="1" applyAlignment="1">
      <alignment horizontal="right"/>
    </xf>
    <xf numFmtId="168" fontId="24" fillId="27" borderId="0" xfId="0" applyNumberFormat="1" applyFont="1" applyFill="1" applyBorder="1" applyAlignment="1">
      <alignment horizontal="right"/>
    </xf>
    <xf numFmtId="0" fontId="28" fillId="0" borderId="0" xfId="0" applyFont="1" applyAlignment="1">
      <alignment horizontal="right"/>
    </xf>
    <xf numFmtId="173" fontId="82" fillId="0" borderId="0" xfId="0" applyNumberFormat="1" applyFont="1" applyFill="1" applyBorder="1" applyAlignment="1">
      <alignment horizontal="right"/>
    </xf>
    <xf numFmtId="175" fontId="84" fillId="0" borderId="0" xfId="0" applyNumberFormat="1" applyFont="1" applyFill="1"/>
    <xf numFmtId="169" fontId="80" fillId="0" borderId="0" xfId="0" applyNumberFormat="1" applyFont="1" applyFill="1"/>
    <xf numFmtId="0" fontId="80" fillId="0" borderId="0" xfId="0" applyFont="1" applyFill="1" applyAlignment="1">
      <alignment horizontal="right" vertical="center" wrapText="1"/>
    </xf>
    <xf numFmtId="172" fontId="30" fillId="25" borderId="0" xfId="0" applyNumberFormat="1" applyFont="1" applyFill="1" applyAlignment="1">
      <alignment horizontal="right"/>
    </xf>
    <xf numFmtId="172" fontId="30" fillId="28" borderId="0" xfId="0" applyNumberFormat="1" applyFont="1" applyFill="1" applyAlignment="1">
      <alignment horizontal="right"/>
    </xf>
    <xf numFmtId="178" fontId="80" fillId="0" borderId="0" xfId="43" applyNumberFormat="1" applyFont="1" applyFill="1" applyAlignment="1">
      <alignment horizontal="right"/>
    </xf>
    <xf numFmtId="2" fontId="85" fillId="0" borderId="0" xfId="0" applyNumberFormat="1" applyFont="1" applyFill="1" applyBorder="1" applyAlignment="1">
      <alignment horizontal="right"/>
    </xf>
    <xf numFmtId="170" fontId="86" fillId="0" borderId="0" xfId="0" applyNumberFormat="1" applyFont="1" applyFill="1" applyBorder="1" applyAlignment="1">
      <alignment horizontal="right"/>
    </xf>
    <xf numFmtId="9" fontId="80" fillId="0" borderId="0" xfId="0" applyNumberFormat="1" applyFont="1"/>
    <xf numFmtId="175" fontId="24" fillId="25" borderId="0" xfId="0" applyNumberFormat="1" applyFont="1" applyFill="1" applyAlignment="1">
      <alignment horizontal="right"/>
    </xf>
    <xf numFmtId="166" fontId="23" fillId="25" borderId="0" xfId="0" applyNumberFormat="1" applyFont="1" applyFill="1" applyAlignment="1">
      <alignment horizontal="right"/>
    </xf>
    <xf numFmtId="175" fontId="34" fillId="25" borderId="0" xfId="0" applyNumberFormat="1" applyFont="1" applyFill="1" applyBorder="1" applyAlignment="1">
      <alignment horizontal="right"/>
    </xf>
    <xf numFmtId="175" fontId="24" fillId="25" borderId="0" xfId="0" applyNumberFormat="1" applyFont="1" applyFill="1" applyBorder="1" applyAlignment="1">
      <alignment horizontal="right"/>
    </xf>
    <xf numFmtId="175" fontId="23" fillId="25" borderId="0" xfId="0" applyNumberFormat="1" applyFont="1" applyFill="1" applyBorder="1" applyAlignment="1">
      <alignment horizontal="right"/>
    </xf>
    <xf numFmtId="166" fontId="23" fillId="25" borderId="0" xfId="0" applyNumberFormat="1" applyFont="1" applyFill="1" applyBorder="1" applyAlignment="1">
      <alignment horizontal="right"/>
    </xf>
    <xf numFmtId="175" fontId="87" fillId="0" borderId="0" xfId="0" applyNumberFormat="1" applyFont="1" applyFill="1" applyBorder="1" applyAlignment="1">
      <alignment horizontal="right"/>
    </xf>
    <xf numFmtId="171" fontId="20" fillId="0" borderId="0" xfId="0" applyNumberFormat="1" applyFont="1"/>
    <xf numFmtId="4" fontId="22" fillId="0" borderId="0" xfId="0" applyNumberFormat="1" applyFont="1" applyFill="1" applyAlignment="1">
      <alignment horizontal="right"/>
    </xf>
    <xf numFmtId="184" fontId="24" fillId="25" borderId="0" xfId="0" applyNumberFormat="1" applyFont="1" applyFill="1" applyBorder="1" applyAlignment="1">
      <alignment horizontal="right"/>
    </xf>
    <xf numFmtId="172" fontId="89" fillId="0" borderId="0" xfId="0" applyNumberFormat="1" applyFont="1" applyFill="1" applyAlignment="1">
      <alignment horizontal="right"/>
    </xf>
    <xf numFmtId="172" fontId="90" fillId="0" borderId="0" xfId="0" applyNumberFormat="1" applyFont="1" applyFill="1" applyAlignment="1">
      <alignment horizontal="right"/>
    </xf>
    <xf numFmtId="2" fontId="91" fillId="0" borderId="0" xfId="0" applyNumberFormat="1" applyFont="1" applyFill="1" applyBorder="1" applyAlignment="1">
      <alignment horizontal="right"/>
    </xf>
    <xf numFmtId="170" fontId="92" fillId="0" borderId="0" xfId="0" applyNumberFormat="1" applyFont="1" applyFill="1" applyBorder="1" applyAlignment="1">
      <alignment horizontal="right"/>
    </xf>
    <xf numFmtId="174" fontId="20" fillId="25" borderId="0" xfId="0" applyNumberFormat="1" applyFont="1" applyFill="1" applyAlignment="1">
      <alignment horizontal="right"/>
    </xf>
    <xf numFmtId="0" fontId="96" fillId="0" borderId="0" xfId="0" applyFont="1" applyFill="1"/>
    <xf numFmtId="41" fontId="97" fillId="0" borderId="0" xfId="0" applyNumberFormat="1" applyFont="1" applyFill="1" applyAlignment="1">
      <alignment horizontal="right"/>
    </xf>
    <xf numFmtId="172" fontId="98" fillId="0" borderId="0" xfId="0" applyNumberFormat="1" applyFont="1" applyFill="1" applyAlignment="1">
      <alignment horizontal="right"/>
    </xf>
    <xf numFmtId="176" fontId="97" fillId="0" borderId="0" xfId="0" applyNumberFormat="1" applyFont="1" applyFill="1" applyAlignment="1">
      <alignment horizontal="right"/>
    </xf>
    <xf numFmtId="177" fontId="96" fillId="0" borderId="0" xfId="0" applyNumberFormat="1" applyFont="1" applyFill="1" applyAlignment="1">
      <alignment horizontal="right"/>
    </xf>
    <xf numFmtId="0" fontId="98" fillId="0" borderId="0" xfId="0" applyFont="1" applyFill="1" applyAlignment="1">
      <alignment horizontal="right"/>
    </xf>
    <xf numFmtId="0" fontId="97" fillId="23" borderId="0" xfId="0" applyFont="1" applyFill="1" applyAlignment="1">
      <alignment horizontal="right"/>
    </xf>
    <xf numFmtId="0" fontId="97" fillId="0" borderId="0" xfId="0" applyFont="1" applyFill="1" applyAlignment="1">
      <alignment horizontal="right"/>
    </xf>
    <xf numFmtId="172" fontId="99" fillId="0" borderId="0" xfId="0" applyNumberFormat="1" applyFont="1" applyFill="1" applyAlignment="1">
      <alignment horizontal="right"/>
    </xf>
    <xf numFmtId="10" fontId="92" fillId="0" borderId="0" xfId="0" applyNumberFormat="1" applyFont="1" applyFill="1" applyBorder="1" applyAlignment="1">
      <alignment horizontal="right"/>
    </xf>
    <xf numFmtId="170" fontId="100" fillId="0" borderId="0" xfId="0" quotePrefix="1" applyNumberFormat="1" applyFont="1" applyFill="1" applyBorder="1" applyAlignment="1">
      <alignment horizontal="right"/>
    </xf>
    <xf numFmtId="0" fontId="100" fillId="23" borderId="0" xfId="0" applyFont="1" applyFill="1" applyAlignment="1">
      <alignment horizontal="right"/>
    </xf>
    <xf numFmtId="172" fontId="92" fillId="0" borderId="0" xfId="0" applyNumberFormat="1" applyFont="1" applyFill="1" applyBorder="1" applyAlignment="1">
      <alignment horizontal="right"/>
    </xf>
    <xf numFmtId="0" fontId="92" fillId="0" borderId="0" xfId="0" applyNumberFormat="1" applyFont="1" applyFill="1" applyBorder="1" applyAlignment="1">
      <alignment horizontal="right"/>
    </xf>
    <xf numFmtId="170" fontId="100" fillId="0" borderId="0" xfId="0" applyNumberFormat="1" applyFont="1" applyFill="1" applyBorder="1" applyAlignment="1">
      <alignment horizontal="right"/>
    </xf>
    <xf numFmtId="169" fontId="100" fillId="0" borderId="0" xfId="0" quotePrefix="1" applyNumberFormat="1" applyFont="1" applyFill="1" applyBorder="1" applyAlignment="1">
      <alignment horizontal="right"/>
    </xf>
    <xf numFmtId="187" fontId="92" fillId="0" borderId="0" xfId="0" applyNumberFormat="1" applyFont="1" applyFill="1" applyAlignment="1">
      <alignment horizontal="right"/>
    </xf>
    <xf numFmtId="169" fontId="101" fillId="0" borderId="0" xfId="0" quotePrefix="1" applyNumberFormat="1" applyFont="1" applyFill="1" applyBorder="1" applyAlignment="1">
      <alignment horizontal="right"/>
    </xf>
    <xf numFmtId="177" fontId="96" fillId="25" borderId="0" xfId="0" applyNumberFormat="1" applyFont="1" applyFill="1" applyAlignment="1">
      <alignment horizontal="right"/>
    </xf>
    <xf numFmtId="172" fontId="98" fillId="25" borderId="0" xfId="0" applyNumberFormat="1" applyFont="1" applyFill="1" applyAlignment="1">
      <alignment horizontal="right"/>
    </xf>
    <xf numFmtId="203" fontId="24" fillId="0" borderId="0" xfId="0" applyNumberFormat="1" applyFont="1" applyFill="1" applyAlignment="1">
      <alignment horizontal="right"/>
    </xf>
    <xf numFmtId="0" fontId="73" fillId="25" borderId="15" xfId="0" applyNumberFormat="1" applyFont="1" applyFill="1" applyBorder="1"/>
    <xf numFmtId="170" fontId="20" fillId="25" borderId="16" xfId="0" applyNumberFormat="1" applyFont="1" applyFill="1" applyBorder="1" applyAlignment="1">
      <alignment horizontal="right"/>
    </xf>
    <xf numFmtId="1" fontId="22" fillId="25" borderId="16" xfId="0" applyNumberFormat="1" applyFont="1" applyFill="1" applyBorder="1" applyAlignment="1">
      <alignment horizontal="right"/>
    </xf>
    <xf numFmtId="1" fontId="22" fillId="25" borderId="17" xfId="0" applyNumberFormat="1" applyFont="1" applyFill="1" applyBorder="1" applyAlignment="1">
      <alignment horizontal="right"/>
    </xf>
    <xf numFmtId="0" fontId="20" fillId="25" borderId="18" xfId="0" applyNumberFormat="1" applyFont="1" applyFill="1" applyBorder="1"/>
    <xf numFmtId="1" fontId="22" fillId="25" borderId="19" xfId="0" applyNumberFormat="1" applyFont="1" applyFill="1" applyBorder="1" applyAlignment="1">
      <alignment horizontal="right"/>
    </xf>
    <xf numFmtId="0" fontId="20" fillId="25" borderId="20" xfId="0" applyNumberFormat="1" applyFont="1" applyFill="1" applyBorder="1"/>
    <xf numFmtId="1" fontId="22" fillId="25" borderId="21" xfId="0" applyNumberFormat="1" applyFont="1" applyFill="1" applyBorder="1" applyAlignment="1">
      <alignment horizontal="right"/>
    </xf>
    <xf numFmtId="0" fontId="28" fillId="25" borderId="18" xfId="0" applyNumberFormat="1" applyFont="1" applyFill="1" applyBorder="1"/>
    <xf numFmtId="0" fontId="32" fillId="25" borderId="18" xfId="0" applyNumberFormat="1" applyFont="1" applyFill="1" applyBorder="1"/>
    <xf numFmtId="1" fontId="32" fillId="25" borderId="19" xfId="0" applyNumberFormat="1" applyFont="1" applyFill="1" applyBorder="1" applyAlignment="1">
      <alignment horizontal="right"/>
    </xf>
    <xf numFmtId="1" fontId="20" fillId="25" borderId="19" xfId="0" applyNumberFormat="1" applyFont="1" applyFill="1" applyBorder="1" applyAlignment="1">
      <alignment horizontal="right"/>
    </xf>
    <xf numFmtId="0" fontId="34" fillId="23" borderId="18" xfId="0" applyNumberFormat="1" applyFont="1" applyFill="1" applyBorder="1"/>
    <xf numFmtId="1" fontId="30" fillId="23" borderId="19" xfId="0" applyNumberFormat="1" applyFont="1" applyFill="1" applyBorder="1" applyAlignment="1">
      <alignment horizontal="right"/>
    </xf>
    <xf numFmtId="0" fontId="32" fillId="0" borderId="18" xfId="0" applyNumberFormat="1" applyFont="1" applyFill="1" applyBorder="1"/>
    <xf numFmtId="1" fontId="32" fillId="0" borderId="19" xfId="0" applyNumberFormat="1" applyFont="1" applyFill="1" applyBorder="1" applyAlignment="1">
      <alignment horizontal="right"/>
    </xf>
    <xf numFmtId="1" fontId="29" fillId="25" borderId="19" xfId="0" applyNumberFormat="1" applyFont="1" applyFill="1" applyBorder="1" applyAlignment="1">
      <alignment horizontal="right"/>
    </xf>
    <xf numFmtId="0" fontId="25" fillId="24" borderId="18" xfId="0" applyNumberFormat="1" applyFont="1" applyFill="1" applyBorder="1"/>
    <xf numFmtId="1" fontId="27" fillId="24" borderId="19" xfId="0" applyNumberFormat="1" applyFont="1" applyFill="1" applyBorder="1" applyAlignment="1">
      <alignment horizontal="right"/>
    </xf>
    <xf numFmtId="1" fontId="20" fillId="25" borderId="18" xfId="0" applyNumberFormat="1" applyFont="1" applyFill="1" applyBorder="1"/>
    <xf numFmtId="171" fontId="20" fillId="25" borderId="18" xfId="0" applyNumberFormat="1" applyFont="1" applyFill="1" applyBorder="1" applyAlignment="1">
      <alignment horizontal="left"/>
    </xf>
    <xf numFmtId="0" fontId="28" fillId="23" borderId="18" xfId="0" applyNumberFormat="1" applyFont="1" applyFill="1" applyBorder="1"/>
    <xf numFmtId="1" fontId="22" fillId="23" borderId="19" xfId="0" applyNumberFormat="1" applyFont="1" applyFill="1" applyBorder="1" applyAlignment="1">
      <alignment horizontal="right"/>
    </xf>
    <xf numFmtId="0" fontId="22" fillId="25" borderId="18" xfId="0" applyNumberFormat="1" applyFont="1" applyFill="1" applyBorder="1"/>
    <xf numFmtId="0" fontId="20" fillId="25" borderId="22" xfId="0" applyNumberFormat="1" applyFont="1" applyFill="1" applyBorder="1"/>
    <xf numFmtId="168" fontId="20" fillId="25" borderId="23" xfId="0" applyNumberFormat="1" applyFont="1" applyFill="1" applyBorder="1" applyAlignment="1">
      <alignment horizontal="right"/>
    </xf>
    <xf numFmtId="1" fontId="22" fillId="25" borderId="23" xfId="0" applyNumberFormat="1" applyFont="1" applyFill="1" applyBorder="1" applyAlignment="1">
      <alignment horizontal="right"/>
    </xf>
    <xf numFmtId="170" fontId="20" fillId="25" borderId="23" xfId="0" applyNumberFormat="1" applyFont="1" applyFill="1" applyBorder="1" applyAlignment="1">
      <alignment horizontal="right"/>
    </xf>
    <xf numFmtId="39" fontId="20" fillId="25" borderId="23" xfId="0" applyNumberFormat="1" applyFont="1" applyFill="1" applyBorder="1" applyAlignment="1">
      <alignment horizontal="right"/>
    </xf>
    <xf numFmtId="1" fontId="22" fillId="25" borderId="24" xfId="0" applyNumberFormat="1" applyFont="1" applyFill="1" applyBorder="1" applyAlignment="1">
      <alignment horizontal="right"/>
    </xf>
    <xf numFmtId="0" fontId="102" fillId="29" borderId="15" xfId="0" applyFont="1" applyFill="1" applyBorder="1"/>
    <xf numFmtId="0" fontId="88" fillId="29" borderId="16" xfId="0" applyFont="1" applyFill="1" applyBorder="1" applyAlignment="1">
      <alignment horizontal="right"/>
    </xf>
    <xf numFmtId="0" fontId="88" fillId="29" borderId="17" xfId="0" applyFont="1" applyFill="1" applyBorder="1" applyAlignment="1">
      <alignment horizontal="right"/>
    </xf>
    <xf numFmtId="0" fontId="102" fillId="29" borderId="22" xfId="0" applyFont="1" applyFill="1" applyBorder="1"/>
    <xf numFmtId="0" fontId="88" fillId="29" borderId="23" xfId="0" applyFont="1" applyFill="1" applyBorder="1" applyAlignment="1">
      <alignment horizontal="right"/>
    </xf>
    <xf numFmtId="0" fontId="88" fillId="29" borderId="24" xfId="0" applyFont="1" applyFill="1" applyBorder="1" applyAlignment="1">
      <alignment horizontal="right"/>
    </xf>
    <xf numFmtId="0" fontId="28" fillId="25" borderId="18" xfId="0" applyFont="1" applyFill="1" applyBorder="1"/>
    <xf numFmtId="0" fontId="28" fillId="30" borderId="18" xfId="0" applyFont="1" applyFill="1" applyBorder="1"/>
    <xf numFmtId="0" fontId="20" fillId="30" borderId="0" xfId="0" applyFont="1" applyFill="1" applyBorder="1" applyAlignment="1">
      <alignment horizontal="right"/>
    </xf>
    <xf numFmtId="0" fontId="20" fillId="25" borderId="0" xfId="0" applyFont="1" applyFill="1" applyBorder="1" applyAlignment="1">
      <alignment horizontal="right"/>
    </xf>
    <xf numFmtId="190" fontId="20" fillId="25" borderId="19" xfId="70" applyNumberFormat="1" applyFont="1" applyFill="1" applyBorder="1"/>
    <xf numFmtId="190" fontId="20" fillId="30" borderId="19" xfId="0" applyNumberFormat="1" applyFont="1" applyFill="1" applyBorder="1"/>
    <xf numFmtId="190" fontId="20" fillId="25" borderId="19" xfId="0" applyNumberFormat="1" applyFont="1" applyFill="1" applyBorder="1"/>
    <xf numFmtId="0" fontId="28" fillId="30" borderId="22" xfId="0" applyFont="1" applyFill="1" applyBorder="1"/>
    <xf numFmtId="0" fontId="20" fillId="30" borderId="23" xfId="0" applyFont="1" applyFill="1" applyBorder="1" applyAlignment="1">
      <alignment horizontal="right"/>
    </xf>
    <xf numFmtId="190" fontId="20" fillId="30" borderId="24" xfId="0" applyNumberFormat="1" applyFont="1" applyFill="1" applyBorder="1"/>
    <xf numFmtId="0" fontId="28" fillId="26" borderId="22" xfId="0" applyFont="1" applyFill="1" applyBorder="1"/>
    <xf numFmtId="0" fontId="28" fillId="26" borderId="23" xfId="0" applyFont="1" applyFill="1" applyBorder="1" applyAlignment="1">
      <alignment horizontal="right"/>
    </xf>
    <xf numFmtId="190" fontId="28" fillId="26" borderId="24" xfId="0" applyNumberFormat="1" applyFont="1" applyFill="1" applyBorder="1"/>
    <xf numFmtId="189" fontId="20" fillId="0" borderId="0" xfId="0" applyNumberFormat="1" applyFont="1" applyFill="1"/>
    <xf numFmtId="0" fontId="1" fillId="0" borderId="0" xfId="0" applyFont="1"/>
    <xf numFmtId="49" fontId="72" fillId="0" borderId="0" xfId="43" applyNumberFormat="1" applyFont="1" applyFill="1" applyBorder="1" applyAlignment="1">
      <alignment horizontal="left"/>
    </xf>
    <xf numFmtId="0" fontId="28" fillId="0" borderId="0" xfId="0" applyFont="1" applyFill="1" applyBorder="1" applyAlignment="1">
      <alignment horizontal="center"/>
    </xf>
    <xf numFmtId="0" fontId="88" fillId="29" borderId="23" xfId="0" applyFont="1" applyFill="1" applyBorder="1" applyAlignment="1">
      <alignment horizontal="center"/>
    </xf>
    <xf numFmtId="0" fontId="1" fillId="31" borderId="0" xfId="87" applyFont="1" applyFill="1" applyAlignment="1">
      <alignment vertical="top"/>
    </xf>
    <xf numFmtId="0" fontId="1" fillId="31" borderId="0" xfId="84" applyFill="1" applyAlignment="1">
      <alignment vertical="top"/>
    </xf>
    <xf numFmtId="0" fontId="1" fillId="31" borderId="0" xfId="84" applyFill="1"/>
    <xf numFmtId="0" fontId="14" fillId="31" borderId="0" xfId="87" applyFont="1" applyFill="1" applyAlignment="1">
      <alignment horizontal="left" vertical="top"/>
    </xf>
    <xf numFmtId="0" fontId="1" fillId="31" borderId="0" xfId="84" applyFont="1" applyFill="1" applyAlignment="1">
      <alignment vertical="top"/>
    </xf>
    <xf numFmtId="0" fontId="66" fillId="31" borderId="0" xfId="87" applyFont="1" applyFill="1" applyAlignment="1">
      <alignment vertical="top"/>
    </xf>
    <xf numFmtId="0" fontId="0" fillId="31" borderId="0" xfId="0" applyFill="1" applyAlignment="1">
      <alignment vertical="top"/>
    </xf>
    <xf numFmtId="0" fontId="104" fillId="31" borderId="0" xfId="0" applyFont="1" applyFill="1" applyAlignment="1">
      <alignment vertical="top"/>
    </xf>
    <xf numFmtId="0" fontId="105" fillId="31" borderId="0" xfId="0" applyFont="1" applyFill="1" applyAlignment="1">
      <alignment vertical="top"/>
    </xf>
    <xf numFmtId="0" fontId="105" fillId="31" borderId="0" xfId="0" applyFont="1" applyFill="1" applyAlignment="1">
      <alignment vertical="top"/>
    </xf>
    <xf numFmtId="0" fontId="104" fillId="31" borderId="0" xfId="0" applyFont="1" applyFill="1" applyAlignment="1">
      <alignment vertical="top"/>
    </xf>
    <xf numFmtId="0" fontId="0" fillId="31" borderId="0" xfId="0" applyFill="1" applyAlignment="1">
      <alignment vertical="top"/>
    </xf>
    <xf numFmtId="0" fontId="0" fillId="31" borderId="29" xfId="0" applyFill="1" applyBorder="1" applyAlignment="1">
      <alignment vertical="top"/>
    </xf>
    <xf numFmtId="0" fontId="104" fillId="31" borderId="25" xfId="0" applyFont="1" applyFill="1" applyBorder="1" applyAlignment="1">
      <alignment vertical="top"/>
    </xf>
    <xf numFmtId="0" fontId="104" fillId="31" borderId="26" xfId="0" applyFont="1" applyFill="1" applyBorder="1" applyAlignment="1">
      <alignment vertical="top"/>
    </xf>
    <xf numFmtId="0" fontId="104" fillId="31" borderId="27" xfId="0" applyFont="1" applyFill="1" applyBorder="1" applyAlignment="1">
      <alignment vertical="top"/>
    </xf>
    <xf numFmtId="0" fontId="104" fillId="31" borderId="28" xfId="0" applyFont="1" applyFill="1" applyBorder="1" applyAlignment="1">
      <alignment vertical="top"/>
    </xf>
    <xf numFmtId="9" fontId="104" fillId="31" borderId="25" xfId="0" applyNumberFormat="1" applyFont="1" applyFill="1" applyBorder="1" applyAlignment="1">
      <alignment vertical="top"/>
    </xf>
    <xf numFmtId="3" fontId="104" fillId="31" borderId="25" xfId="0" applyNumberFormat="1" applyFont="1" applyFill="1" applyBorder="1" applyAlignment="1">
      <alignment vertical="top"/>
    </xf>
    <xf numFmtId="0" fontId="0" fillId="31" borderId="30" xfId="0" applyFill="1" applyBorder="1" applyAlignment="1">
      <alignment vertical="top"/>
    </xf>
    <xf numFmtId="2" fontId="1" fillId="0" borderId="0" xfId="84" applyNumberFormat="1" applyAlignment="1">
      <alignment horizontal="left"/>
    </xf>
    <xf numFmtId="0" fontId="1" fillId="0" borderId="0" xfId="84" applyNumberFormat="1" applyAlignment="1">
      <alignment horizontal="left"/>
    </xf>
    <xf numFmtId="1" fontId="1" fillId="0" borderId="0" xfId="84" applyNumberFormat="1" applyAlignment="1">
      <alignment horizontal="left"/>
    </xf>
    <xf numFmtId="0" fontId="1" fillId="0" borderId="0" xfId="84" applyFont="1"/>
    <xf numFmtId="209" fontId="1" fillId="0" borderId="0" xfId="84" applyNumberFormat="1" applyAlignment="1">
      <alignment horizontal="left"/>
    </xf>
    <xf numFmtId="49" fontId="1" fillId="0" borderId="0" xfId="84" applyNumberFormat="1"/>
  </cellXfs>
  <cellStyles count="88">
    <cellStyle name="$ 1 decimal" xfId="1"/>
    <cellStyle name="%" xfId="2"/>
    <cellStyle name="_RRS1" xfId="3"/>
    <cellStyle name="_RRS42" xfId="4"/>
    <cellStyle name="_RRS5" xfId="5"/>
    <cellStyle name="_SUMMARY " xfId="6"/>
    <cellStyle name="’Ê‰Ý [0.00]_GE 3 MINIMUM" xfId="7"/>
    <cellStyle name="’Ê‰Ý_GE 3 MINIMUM" xfId="8"/>
    <cellStyle name="=C:\WINNT35\SYSTEM32\COMMAND.COM" xfId="9"/>
    <cellStyle name="•W_GE 3 MINIMUM" xfId="10"/>
    <cellStyle name="0_Capex &amp; Depreciation " xfId="11"/>
    <cellStyle name="0_Valuing BP " xfId="12"/>
    <cellStyle name="20% - Accent1" xfId="13" builtinId="30" customBuiltin="1"/>
    <cellStyle name="20% - Accent2" xfId="14" builtinId="34" customBuiltin="1"/>
    <cellStyle name="20% - Accent3" xfId="15" builtinId="38" customBuiltin="1"/>
    <cellStyle name="20% - Accent4" xfId="16" builtinId="42" customBuiltin="1"/>
    <cellStyle name="20% - Accent5" xfId="17" builtinId="46" customBuiltin="1"/>
    <cellStyle name="20% - Accent6" xfId="18" builtinId="50" customBuiltin="1"/>
    <cellStyle name="40% - Accent1" xfId="19" builtinId="31" customBuiltin="1"/>
    <cellStyle name="40% - Accent2" xfId="20" builtinId="35" customBuiltin="1"/>
    <cellStyle name="40% - Accent3" xfId="21" builtinId="39" customBuiltin="1"/>
    <cellStyle name="40% - Accent4" xfId="22" builtinId="43" customBuiltin="1"/>
    <cellStyle name="40% - Accent5" xfId="23" builtinId="47" customBuiltin="1"/>
    <cellStyle name="40% - Accent6" xfId="24" builtinId="51" customBuiltin="1"/>
    <cellStyle name="60% - Accent1" xfId="25" builtinId="32" customBuiltin="1"/>
    <cellStyle name="60% - Accent2" xfId="26" builtinId="36" customBuiltin="1"/>
    <cellStyle name="60% - Accent3" xfId="27" builtinId="40" customBuiltin="1"/>
    <cellStyle name="60% - Accent4" xfId="28" builtinId="44" customBuiltin="1"/>
    <cellStyle name="60% - Accent5" xfId="29" builtinId="48" customBuiltin="1"/>
    <cellStyle name="60% - Accent6" xfId="30" builtinId="52" customBuiltin="1"/>
    <cellStyle name="Accent1" xfId="31" builtinId="29" customBuiltin="1"/>
    <cellStyle name="Accent2" xfId="32" builtinId="33" customBuiltin="1"/>
    <cellStyle name="Accent3" xfId="33" builtinId="37" customBuiltin="1"/>
    <cellStyle name="Accent4" xfId="34" builtinId="41" customBuiltin="1"/>
    <cellStyle name="Accent5" xfId="35" builtinId="45" customBuiltin="1"/>
    <cellStyle name="Accent6" xfId="36" builtinId="49" customBuiltin="1"/>
    <cellStyle name="Bad" xfId="37" builtinId="27" customBuiltin="1"/>
    <cellStyle name="Blue" xfId="38"/>
    <cellStyle name="c_HardInc " xfId="39"/>
    <cellStyle name="Calculation" xfId="40" builtinId="22" customBuiltin="1"/>
    <cellStyle name="Changeable" xfId="41"/>
    <cellStyle name="Check Cell" xfId="42" builtinId="23" customBuiltin="1"/>
    <cellStyle name="Comma" xfId="43" builtinId="3"/>
    <cellStyle name="Currency 2" xfId="83"/>
    <cellStyle name="Currency 3" xfId="86"/>
    <cellStyle name="decimal 0" xfId="44"/>
    <cellStyle name="decimal 1" xfId="45"/>
    <cellStyle name="Explanatory Text" xfId="46" builtinId="53" customBuiltin="1"/>
    <cellStyle name="Fail" xfId="47"/>
    <cellStyle name="FiscalPeriod" xfId="48"/>
    <cellStyle name="Good" xfId="49" builtinId="26" customBuiltin="1"/>
    <cellStyle name="Heading 1" xfId="50" builtinId="16" customBuiltin="1"/>
    <cellStyle name="Heading 2" xfId="51" builtinId="17" customBuiltin="1"/>
    <cellStyle name="Heading 3" xfId="52" builtinId="18" customBuiltin="1"/>
    <cellStyle name="Heading 4" xfId="53" builtinId="19" customBuiltin="1"/>
    <cellStyle name="Hidden" xfId="54"/>
    <cellStyle name="Hyperlink" xfId="55" builtinId="8"/>
    <cellStyle name="Input" xfId="56" builtinId="20" customBuiltin="1"/>
    <cellStyle name="Linked Cell" xfId="57" builtinId="24" customBuiltin="1"/>
    <cellStyle name="MetricLabel" xfId="58"/>
    <cellStyle name="MetricLabelBlue" xfId="59"/>
    <cellStyle name="MetricValue" xfId="60"/>
    <cellStyle name="Neutral" xfId="61" builtinId="28" customBuiltin="1"/>
    <cellStyle name="Normal" xfId="0" builtinId="0"/>
    <cellStyle name="Normal 2" xfId="82"/>
    <cellStyle name="Normal 3" xfId="84"/>
    <cellStyle name="Normal_DisclaimerSheet Samples" xfId="87"/>
    <cellStyle name="Normal_HIG" xfId="62"/>
    <cellStyle name="Normalny_Ferrum . Valuation . CA IB . 8" xfId="63"/>
    <cellStyle name="Note" xfId="64" builtinId="10" customBuiltin="1"/>
    <cellStyle name="Œ…‹æØ‚è [0.00]_GE 3 MINIMUM" xfId="65"/>
    <cellStyle name="Œ…‹æØ‚è_GE 3 MINIMUM" xfId="66"/>
    <cellStyle name="Output" xfId="67" builtinId="21" customBuiltin="1"/>
    <cellStyle name="p " xfId="68"/>
    <cellStyle name="Pass" xfId="69"/>
    <cellStyle name="Percent" xfId="70" builtinId="5"/>
    <cellStyle name="percent 1 decimal" xfId="71"/>
    <cellStyle name="percent 2 decimal" xfId="72"/>
    <cellStyle name="RRSInstruction" xfId="73"/>
    <cellStyle name="RRSInstruction 2" xfId="85"/>
    <cellStyle name="s_HardInc " xfId="74"/>
    <cellStyle name="s_Valuation " xfId="75"/>
    <cellStyle name="ssp " xfId="76"/>
    <cellStyle name="Style 1" xfId="77"/>
    <cellStyle name="Style 2" xfId="78"/>
    <cellStyle name="Title" xfId="79" builtinId="15" customBuiltin="1"/>
    <cellStyle name="Total" xfId="80" builtinId="25" customBuiltin="1"/>
    <cellStyle name="Warning Text" xfId="81" builtinId="11" customBuiltin="1"/>
  </cellStyles>
  <dxfs count="24">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CC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12607F"/>
      <rgbColor rgb="009DC9DC"/>
      <rgbColor rgb="00DDDDDD"/>
      <rgbColor rgb="004091BF"/>
      <rgbColor rgb="0097D0DD"/>
      <rgbColor rgb="00A5D981"/>
      <rgbColor rgb="00F8CD14"/>
      <rgbColor rgb="00EACC80"/>
      <rgbColor rgb="00FC7114"/>
      <rgbColor rgb="004091BF"/>
      <rgbColor rgb="00969696"/>
      <rgbColor rgb="00003366"/>
      <rgbColor rgb="0041A95C"/>
      <rgbColor rgb="00125A31"/>
      <rgbColor rgb="00125A31"/>
      <rgbColor rgb="00FFFF00"/>
      <rgbColor rgb="008E466A"/>
      <rgbColor rgb="001B4694"/>
      <rgbColor rgb="00333333"/>
    </indexedColors>
    <mruColors>
      <color rgb="FF006699"/>
      <color rgb="FFCCFFFF"/>
      <color rgb="FF7F7F7F"/>
      <color rgb="FFBFBFBF"/>
      <color rgb="FFA6A6A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1" Target="theme/theme1.xml" Type="http://schemas.openxmlformats.org/officeDocument/2006/relationships/theme"/>
<Relationship Id="rId12" Target="styles.xml" Type="http://schemas.openxmlformats.org/officeDocument/2006/relationships/styles"/>
<Relationship Id="rId13" Target="sharedStrings.xml" Type="http://schemas.openxmlformats.org/officeDocument/2006/relationships/sharedStrings"/>
<Relationship Id="rId14" Target="calcChain.xml" Type="http://schemas.openxmlformats.org/officeDocument/2006/relationships/calcChain"/>
<Relationship Id="rId15" Target="../customXml/item1.xml" Type="http://schemas.openxmlformats.org/officeDocument/2006/relationships/customXml"/>
<Relationship Id="rId16"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649217" name="Picture 1" descr="C:\Users\huangb\AppData\Local\Temp\MercuryPriceRatingHistoryChart\LNC.N_2018_04_04_21_21_5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 Capital"/>
      <sheetName val="New Business"/>
      <sheetName val="Quarterly"/>
      <sheetName val="Sheet1"/>
      <sheetName val="Analysis"/>
      <sheetName val="MACRS"/>
      <sheetName val="Combo Box"/>
      <sheetName val="MMD"/>
      <sheetName val="Model"/>
      <sheetName val="MATQTRS"/>
      <sheetName val="UNIV-EBS DATA"/>
      <sheetName val="Ratios"/>
      <sheetName val="MATINC"/>
      <sheetName val="MATBAL"/>
      <sheetName val="Macro1"/>
      <sheetName val="Macro2"/>
      <sheetName val="Scenario"/>
      <sheetName val="Valuation"/>
      <sheetName val="RELPE"/>
      <sheetName val="SALESCAT"/>
      <sheetName val="MATCASH"/>
      <sheetName val="FinSum"/>
      <sheetName val="LXK"/>
      <sheetName val="FutureAcq"/>
      <sheetName val="Credit Output"/>
      <sheetName val="CalcsMO"/>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customProperty1.bin" Type="http://schemas.openxmlformats.org/officeDocument/2006/relationships/customProperty"/>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2"/>
  <sheetViews>
    <sheetView workbookViewId="0"/>
  </sheetViews>
  <sheetFormatPr defaultRowHeight="12.75" x14ac:dyDescent="0.2"/>
  <sheetData>
    <row r="1" spans="1:14" x14ac:dyDescent="0.2">
      <c r="A1" t="s">
        <v>354</v>
      </c>
    </row>
    <row r="2" spans="1:14" x14ac:dyDescent="0.2">
      <c r="A2" s="1" t="s">
        <v>89</v>
      </c>
      <c r="B2" s="1" t="s">
        <v>101</v>
      </c>
      <c r="C2" s="1" t="s">
        <v>666</v>
      </c>
      <c r="D2" s="1" t="s">
        <v>101</v>
      </c>
      <c r="E2" s="1" t="s">
        <v>310</v>
      </c>
      <c r="F2" s="1" t="s">
        <v>739</v>
      </c>
      <c r="G2" s="1" t="s">
        <v>309</v>
      </c>
      <c r="H2" s="1" t="s">
        <v>286</v>
      </c>
      <c r="I2" s="1" t="s">
        <v>353</v>
      </c>
      <c r="J2" s="1" t="s">
        <v>101</v>
      </c>
      <c r="K2" s="1" t="s">
        <v>307</v>
      </c>
      <c r="L2" s="1" t="s">
        <v>308</v>
      </c>
      <c r="M2" s="1" t="s">
        <v>88</v>
      </c>
      <c r="N2" s="1" t="s">
        <v>101</v>
      </c>
    </row>
  </sheetData>
  <phoneticPr fontId="5"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91"/>
  <sheetViews>
    <sheetView showGridLines="0" tabSelected="1" workbookViewId="0">
      <selection activeCell="Z1" sqref="Z1"/>
    </sheetView>
  </sheetViews>
  <sheetFormatPr defaultRowHeight="12.75" x14ac:dyDescent="0.2"/>
  <cols>
    <col min="1" max="1" width="25.7109375" style="903" customWidth="1"/>
    <col min="2" max="5" width="9.140625" style="903"/>
    <col min="6" max="6" width="18.7109375" style="903" customWidth="1"/>
    <col min="7" max="256" width="9.140625" style="903"/>
    <col min="257" max="257" width="100.7109375" style="903" customWidth="1"/>
    <col min="258" max="512" width="9.140625" style="903"/>
    <col min="513" max="513" width="100.7109375" style="903" customWidth="1"/>
    <col min="514" max="768" width="9.140625" style="903"/>
    <col min="769" max="769" width="100.7109375" style="903" customWidth="1"/>
    <col min="770" max="1024" width="9.140625" style="903"/>
    <col min="1025" max="1025" width="100.7109375" style="903" customWidth="1"/>
    <col min="1026" max="1280" width="9.140625" style="903"/>
    <col min="1281" max="1281" width="100.7109375" style="903" customWidth="1"/>
    <col min="1282" max="1536" width="9.140625" style="903"/>
    <col min="1537" max="1537" width="100.7109375" style="903" customWidth="1"/>
    <col min="1538" max="1792" width="9.140625" style="903"/>
    <col min="1793" max="1793" width="100.7109375" style="903" customWidth="1"/>
    <col min="1794" max="2048" width="9.140625" style="903"/>
    <col min="2049" max="2049" width="100.7109375" style="903" customWidth="1"/>
    <col min="2050" max="2304" width="9.140625" style="903"/>
    <col min="2305" max="2305" width="100.7109375" style="903" customWidth="1"/>
    <col min="2306" max="2560" width="9.140625" style="903"/>
    <col min="2561" max="2561" width="100.7109375" style="903" customWidth="1"/>
    <col min="2562" max="2816" width="9.140625" style="903"/>
    <col min="2817" max="2817" width="100.7109375" style="903" customWidth="1"/>
    <col min="2818" max="3072" width="9.140625" style="903"/>
    <col min="3073" max="3073" width="100.7109375" style="903" customWidth="1"/>
    <col min="3074" max="3328" width="9.140625" style="903"/>
    <col min="3329" max="3329" width="100.7109375" style="903" customWidth="1"/>
    <col min="3330" max="3584" width="9.140625" style="903"/>
    <col min="3585" max="3585" width="100.7109375" style="903" customWidth="1"/>
    <col min="3586" max="3840" width="9.140625" style="903"/>
    <col min="3841" max="3841" width="100.7109375" style="903" customWidth="1"/>
    <col min="3842" max="4096" width="9.140625" style="903"/>
    <col min="4097" max="4097" width="100.7109375" style="903" customWidth="1"/>
    <col min="4098" max="4352" width="9.140625" style="903"/>
    <col min="4353" max="4353" width="100.7109375" style="903" customWidth="1"/>
    <col min="4354" max="4608" width="9.140625" style="903"/>
    <col min="4609" max="4609" width="100.7109375" style="903" customWidth="1"/>
    <col min="4610" max="4864" width="9.140625" style="903"/>
    <col min="4865" max="4865" width="100.7109375" style="903" customWidth="1"/>
    <col min="4866" max="5120" width="9.140625" style="903"/>
    <col min="5121" max="5121" width="100.7109375" style="903" customWidth="1"/>
    <col min="5122" max="5376" width="9.140625" style="903"/>
    <col min="5377" max="5377" width="100.7109375" style="903" customWidth="1"/>
    <col min="5378" max="5632" width="9.140625" style="903"/>
    <col min="5633" max="5633" width="100.7109375" style="903" customWidth="1"/>
    <col min="5634" max="5888" width="9.140625" style="903"/>
    <col min="5889" max="5889" width="100.7109375" style="903" customWidth="1"/>
    <col min="5890" max="6144" width="9.140625" style="903"/>
    <col min="6145" max="6145" width="100.7109375" style="903" customWidth="1"/>
    <col min="6146" max="6400" width="9.140625" style="903"/>
    <col min="6401" max="6401" width="100.7109375" style="903" customWidth="1"/>
    <col min="6402" max="6656" width="9.140625" style="903"/>
    <col min="6657" max="6657" width="100.7109375" style="903" customWidth="1"/>
    <col min="6658" max="6912" width="9.140625" style="903"/>
    <col min="6913" max="6913" width="100.7109375" style="903" customWidth="1"/>
    <col min="6914" max="7168" width="9.140625" style="903"/>
    <col min="7169" max="7169" width="100.7109375" style="903" customWidth="1"/>
    <col min="7170" max="7424" width="9.140625" style="903"/>
    <col min="7425" max="7425" width="100.7109375" style="903" customWidth="1"/>
    <col min="7426" max="7680" width="9.140625" style="903"/>
    <col min="7681" max="7681" width="100.7109375" style="903" customWidth="1"/>
    <col min="7682" max="7936" width="9.140625" style="903"/>
    <col min="7937" max="7937" width="100.7109375" style="903" customWidth="1"/>
    <col min="7938" max="8192" width="9.140625" style="903"/>
    <col min="8193" max="8193" width="100.7109375" style="903" customWidth="1"/>
    <col min="8194" max="8448" width="9.140625" style="903"/>
    <col min="8449" max="8449" width="100.7109375" style="903" customWidth="1"/>
    <col min="8450" max="8704" width="9.140625" style="903"/>
    <col min="8705" max="8705" width="100.7109375" style="903" customWidth="1"/>
    <col min="8706" max="8960" width="9.140625" style="903"/>
    <col min="8961" max="8961" width="100.7109375" style="903" customWidth="1"/>
    <col min="8962" max="9216" width="9.140625" style="903"/>
    <col min="9217" max="9217" width="100.7109375" style="903" customWidth="1"/>
    <col min="9218" max="9472" width="9.140625" style="903"/>
    <col min="9473" max="9473" width="100.7109375" style="903" customWidth="1"/>
    <col min="9474" max="9728" width="9.140625" style="903"/>
    <col min="9729" max="9729" width="100.7109375" style="903" customWidth="1"/>
    <col min="9730" max="9984" width="9.140625" style="903"/>
    <col min="9985" max="9985" width="100.7109375" style="903" customWidth="1"/>
    <col min="9986" max="10240" width="9.140625" style="903"/>
    <col min="10241" max="10241" width="100.7109375" style="903" customWidth="1"/>
    <col min="10242" max="10496" width="9.140625" style="903"/>
    <col min="10497" max="10497" width="100.7109375" style="903" customWidth="1"/>
    <col min="10498" max="10752" width="9.140625" style="903"/>
    <col min="10753" max="10753" width="100.7109375" style="903" customWidth="1"/>
    <col min="10754" max="11008" width="9.140625" style="903"/>
    <col min="11009" max="11009" width="100.7109375" style="903" customWidth="1"/>
    <col min="11010" max="11264" width="9.140625" style="903"/>
    <col min="11265" max="11265" width="100.7109375" style="903" customWidth="1"/>
    <col min="11266" max="11520" width="9.140625" style="903"/>
    <col min="11521" max="11521" width="100.7109375" style="903" customWidth="1"/>
    <col min="11522" max="11776" width="9.140625" style="903"/>
    <col min="11777" max="11777" width="100.7109375" style="903" customWidth="1"/>
    <col min="11778" max="12032" width="9.140625" style="903"/>
    <col min="12033" max="12033" width="100.7109375" style="903" customWidth="1"/>
    <col min="12034" max="12288" width="9.140625" style="903"/>
    <col min="12289" max="12289" width="100.7109375" style="903" customWidth="1"/>
    <col min="12290" max="12544" width="9.140625" style="903"/>
    <col min="12545" max="12545" width="100.7109375" style="903" customWidth="1"/>
    <col min="12546" max="12800" width="9.140625" style="903"/>
    <col min="12801" max="12801" width="100.7109375" style="903" customWidth="1"/>
    <col min="12802" max="13056" width="9.140625" style="903"/>
    <col min="13057" max="13057" width="100.7109375" style="903" customWidth="1"/>
    <col min="13058" max="13312" width="9.140625" style="903"/>
    <col min="13313" max="13313" width="100.7109375" style="903" customWidth="1"/>
    <col min="13314" max="13568" width="9.140625" style="903"/>
    <col min="13569" max="13569" width="100.7109375" style="903" customWidth="1"/>
    <col min="13570" max="13824" width="9.140625" style="903"/>
    <col min="13825" max="13825" width="100.7109375" style="903" customWidth="1"/>
    <col min="13826" max="14080" width="9.140625" style="903"/>
    <col min="14081" max="14081" width="100.7109375" style="903" customWidth="1"/>
    <col min="14082" max="14336" width="9.140625" style="903"/>
    <col min="14337" max="14337" width="100.7109375" style="903" customWidth="1"/>
    <col min="14338" max="14592" width="9.140625" style="903"/>
    <col min="14593" max="14593" width="100.7109375" style="903" customWidth="1"/>
    <col min="14594" max="14848" width="9.140625" style="903"/>
    <col min="14849" max="14849" width="100.7109375" style="903" customWidth="1"/>
    <col min="14850" max="15104" width="9.140625" style="903"/>
    <col min="15105" max="15105" width="100.7109375" style="903" customWidth="1"/>
    <col min="15106" max="15360" width="9.140625" style="903"/>
    <col min="15361" max="15361" width="100.7109375" style="903" customWidth="1"/>
    <col min="15362" max="15616" width="9.140625" style="903"/>
    <col min="15617" max="15617" width="100.7109375" style="903" customWidth="1"/>
    <col min="15618" max="15872" width="9.140625" style="903"/>
    <col min="15873" max="15873" width="100.7109375" style="903" customWidth="1"/>
    <col min="15874" max="16128" width="9.140625" style="903"/>
    <col min="16129" max="16129" width="100.7109375" style="903" customWidth="1"/>
    <col min="16130" max="16384" width="9.140625" style="903"/>
  </cols>
  <sheetData>
    <row r="1" spans="1:8" ht="30" customHeight="1" x14ac:dyDescent="0.2">
      <c r="A1" s="901"/>
      <c r="B1" s="902"/>
      <c r="C1" s="902"/>
      <c r="D1" s="902"/>
      <c r="E1" s="902"/>
      <c r="F1" s="902"/>
      <c r="G1" s="902"/>
      <c r="H1" s="902"/>
    </row>
    <row r="2" spans="1:8" ht="14.25" x14ac:dyDescent="0.2">
      <c r="A2" s="904" t="s">
        <v>744</v>
      </c>
      <c r="B2" s="902"/>
      <c r="C2" s="902"/>
      <c r="D2" s="902"/>
      <c r="E2" s="902"/>
      <c r="F2" s="902"/>
      <c r="G2" s="902"/>
      <c r="H2" s="902"/>
    </row>
    <row r="3" spans="1:8" ht="14.25" x14ac:dyDescent="0.2">
      <c r="A3" s="904" t="s">
        <v>745</v>
      </c>
      <c r="B3" s="902"/>
      <c r="C3" s="902"/>
      <c r="D3" s="902"/>
      <c r="E3" s="902"/>
      <c r="F3" s="902"/>
      <c r="G3" s="902"/>
      <c r="H3" s="902"/>
    </row>
    <row r="4" spans="1:8" ht="14.25" x14ac:dyDescent="0.2">
      <c r="A4" s="904" t="s">
        <v>746</v>
      </c>
      <c r="B4" s="902"/>
      <c r="C4" s="902"/>
      <c r="D4" s="902"/>
      <c r="E4" s="902"/>
      <c r="F4" s="902"/>
      <c r="G4" s="902"/>
      <c r="H4" s="902"/>
    </row>
    <row r="5" spans="1:8" ht="14.25" x14ac:dyDescent="0.2">
      <c r="A5" s="904" t="s">
        <v>747</v>
      </c>
      <c r="B5" s="902"/>
      <c r="C5" s="902"/>
      <c r="D5" s="902"/>
      <c r="E5" s="902"/>
      <c r="F5" s="902"/>
      <c r="G5" s="902"/>
      <c r="H5" s="902"/>
    </row>
    <row r="6" spans="1:8" ht="14.25" x14ac:dyDescent="0.2">
      <c r="A6" s="904"/>
      <c r="B6" s="902"/>
      <c r="C6" s="902"/>
      <c r="D6" s="902"/>
      <c r="E6" s="902"/>
      <c r="F6" s="902"/>
      <c r="G6" s="902"/>
      <c r="H6" s="902"/>
    </row>
    <row r="7" spans="1:8" x14ac:dyDescent="0.2">
      <c r="A7" s="901" t="s">
        <v>748</v>
      </c>
      <c r="B7" s="902"/>
      <c r="C7" s="902"/>
      <c r="D7" s="902"/>
      <c r="E7" s="902"/>
      <c r="F7" s="902"/>
      <c r="G7" s="902"/>
      <c r="H7" s="902"/>
    </row>
    <row r="8" spans="1:8" x14ac:dyDescent="0.2">
      <c r="A8" s="901" t="s">
        <v>749</v>
      </c>
      <c r="B8" s="902"/>
      <c r="C8" s="902"/>
      <c r="D8" s="902"/>
      <c r="E8" s="902"/>
      <c r="F8" s="902"/>
      <c r="G8" s="902"/>
      <c r="H8" s="902"/>
    </row>
    <row r="9" spans="1:8" x14ac:dyDescent="0.2">
      <c r="A9" s="901"/>
      <c r="B9" s="902"/>
      <c r="C9" s="902"/>
      <c r="D9" s="902"/>
      <c r="E9" s="902"/>
      <c r="F9" s="902"/>
      <c r="G9" s="902"/>
      <c r="H9" s="902"/>
    </row>
    <row r="10" spans="1:8" x14ac:dyDescent="0.2">
      <c r="A10" s="905" t="s">
        <v>750</v>
      </c>
      <c r="B10" s="902"/>
      <c r="C10" s="902"/>
      <c r="D10" s="902"/>
      <c r="E10" s="902"/>
      <c r="F10" s="902"/>
      <c r="G10" s="902"/>
      <c r="H10" s="902"/>
    </row>
    <row r="11" spans="1:8" x14ac:dyDescent="0.2">
      <c r="A11" s="905" t="s">
        <v>751</v>
      </c>
      <c r="B11" s="902"/>
      <c r="C11" s="902"/>
      <c r="D11" s="902"/>
      <c r="E11" s="902"/>
      <c r="F11" s="902"/>
      <c r="G11" s="902"/>
      <c r="H11" s="902"/>
    </row>
    <row r="12" spans="1:8" x14ac:dyDescent="0.2">
      <c r="A12" s="905" t="s">
        <v>752</v>
      </c>
      <c r="B12" s="902"/>
      <c r="C12" s="902"/>
      <c r="D12" s="902"/>
      <c r="E12" s="902"/>
      <c r="F12" s="902"/>
      <c r="G12" s="902"/>
      <c r="H12" s="902"/>
    </row>
    <row r="13" spans="1:8" x14ac:dyDescent="0.2">
      <c r="A13" s="905" t="s">
        <v>753</v>
      </c>
      <c r="B13" s="902"/>
      <c r="C13" s="902"/>
      <c r="D13" s="902"/>
      <c r="E13" s="902"/>
      <c r="F13" s="902"/>
      <c r="G13" s="902"/>
      <c r="H13" s="902"/>
    </row>
    <row r="14" spans="1:8" x14ac:dyDescent="0.2">
      <c r="A14" s="905" t="s">
        <v>754</v>
      </c>
      <c r="B14" s="902"/>
      <c r="C14" s="902"/>
      <c r="D14" s="902"/>
      <c r="E14" s="902"/>
      <c r="F14" s="902"/>
      <c r="G14" s="902"/>
      <c r="H14" s="902"/>
    </row>
    <row r="15" spans="1:8" x14ac:dyDescent="0.2">
      <c r="A15" s="905" t="s">
        <v>755</v>
      </c>
      <c r="B15" s="902"/>
      <c r="C15" s="902"/>
      <c r="D15" s="902"/>
      <c r="E15" s="902"/>
      <c r="F15" s="902"/>
      <c r="G15" s="902"/>
      <c r="H15" s="902"/>
    </row>
    <row r="16" spans="1:8" x14ac:dyDescent="0.2">
      <c r="A16" s="905"/>
      <c r="B16" s="902"/>
      <c r="C16" s="902"/>
      <c r="D16" s="902"/>
      <c r="E16" s="902"/>
      <c r="F16" s="902"/>
      <c r="G16" s="902"/>
      <c r="H16" s="902"/>
    </row>
    <row r="17" spans="1:8" x14ac:dyDescent="0.2">
      <c r="A17" s="905" t="s">
        <v>741</v>
      </c>
      <c r="B17" s="902"/>
      <c r="C17" s="902"/>
      <c r="D17" s="902"/>
      <c r="E17" s="902"/>
      <c r="F17" s="902"/>
      <c r="G17" s="902"/>
      <c r="H17" s="902"/>
    </row>
    <row r="18" spans="1:8" x14ac:dyDescent="0.2">
      <c r="A18" s="905"/>
      <c r="B18" s="902"/>
      <c r="C18" s="902"/>
      <c r="D18" s="902"/>
      <c r="E18" s="902"/>
      <c r="F18" s="902"/>
      <c r="G18" s="902"/>
      <c r="H18" s="902"/>
    </row>
    <row r="19" spans="1:8" x14ac:dyDescent="0.2">
      <c r="A19" s="905" t="s">
        <v>742</v>
      </c>
      <c r="B19" s="902"/>
      <c r="C19" s="902"/>
      <c r="D19" s="902"/>
      <c r="E19" s="902"/>
      <c r="F19" s="902"/>
      <c r="G19" s="902"/>
      <c r="H19" s="902"/>
    </row>
    <row r="20" spans="1:8" x14ac:dyDescent="0.2">
      <c r="A20" s="901"/>
      <c r="B20" s="902"/>
      <c r="C20" s="902"/>
      <c r="D20" s="902"/>
      <c r="E20" s="902"/>
      <c r="F20" s="902"/>
      <c r="G20" s="902"/>
      <c r="H20" s="902"/>
    </row>
    <row r="21" spans="1:8" x14ac:dyDescent="0.2">
      <c r="A21" s="906" t="s">
        <v>743</v>
      </c>
      <c r="B21" s="902"/>
      <c r="C21" s="902"/>
      <c r="D21" s="902"/>
      <c r="E21" s="902"/>
      <c r="F21" s="902"/>
      <c r="G21" s="902"/>
      <c r="H21" s="902"/>
    </row>
    <row r="22" spans="1:8" x14ac:dyDescent="0.2">
      <c r="A22" s="907"/>
      <c r="B22" s="907"/>
      <c r="C22" s="907"/>
      <c r="D22" s="907"/>
      <c r="E22" s="907"/>
      <c r="F22" s="907"/>
      <c r="G22" s="907"/>
      <c r="H22" s="907"/>
    </row>
    <row r="23" spans="1:8" x14ac:dyDescent="0.2">
      <c r="A23" s="908" t="s">
        <v>1034</v>
      </c>
      <c r="B23" s="907"/>
      <c r="C23" s="907"/>
      <c r="D23" s="907"/>
      <c r="E23" s="907"/>
      <c r="F23" s="907"/>
      <c r="G23" s="907"/>
      <c r="H23" s="907"/>
    </row>
    <row r="24" spans="1:8" x14ac:dyDescent="0.2">
      <c r="A24" s="908" t="s">
        <v>1035</v>
      </c>
      <c r="B24" s="907"/>
      <c r="C24" s="907"/>
      <c r="D24" s="907"/>
      <c r="E24" s="907"/>
      <c r="F24" s="907"/>
      <c r="G24" s="907"/>
      <c r="H24" s="907"/>
    </row>
    <row r="25" spans="1:8" x14ac:dyDescent="0.2">
      <c r="A25" s="908" t="s">
        <v>1036</v>
      </c>
      <c r="B25" s="907"/>
      <c r="C25" s="907"/>
      <c r="D25" s="907"/>
      <c r="E25" s="907"/>
      <c r="F25" s="907"/>
      <c r="G25" s="907"/>
      <c r="H25" s="907"/>
    </row>
    <row r="26" spans="1:8" x14ac:dyDescent="0.2">
      <c r="A26" s="908" t="s">
        <v>1037</v>
      </c>
      <c r="B26" s="907"/>
      <c r="C26" s="907"/>
      <c r="D26" s="907"/>
      <c r="E26" s="907"/>
      <c r="F26" s="907"/>
      <c r="G26" s="907"/>
      <c r="H26" s="907"/>
    </row>
    <row r="27" spans="1:8" x14ac:dyDescent="0.2">
      <c r="A27" s="907"/>
      <c r="B27" s="907"/>
      <c r="C27" s="907"/>
      <c r="D27" s="907"/>
      <c r="E27" s="907"/>
      <c r="F27" s="907"/>
      <c r="G27" s="907"/>
      <c r="H27" s="907"/>
    </row>
    <row r="28" spans="1:8" x14ac:dyDescent="0.2">
      <c r="A28" s="907"/>
      <c r="B28" s="907"/>
      <c r="C28" s="907"/>
      <c r="D28" s="907"/>
      <c r="E28" s="907"/>
      <c r="F28" s="907"/>
      <c r="G28" s="907"/>
      <c r="H28" s="907"/>
    </row>
    <row r="29" spans="1:8" x14ac:dyDescent="0.2">
      <c r="A29" s="908" t="s">
        <v>1029</v>
      </c>
      <c r="B29" s="907"/>
      <c r="C29" s="907"/>
      <c r="D29" s="907"/>
      <c r="E29" s="907"/>
      <c r="F29" s="907"/>
      <c r="G29" s="907"/>
      <c r="H29" s="907"/>
    </row>
    <row r="30" spans="1:8" x14ac:dyDescent="0.2">
      <c r="A30" s="908" t="s">
        <v>1030</v>
      </c>
      <c r="B30" s="907"/>
      <c r="C30" s="907"/>
      <c r="D30" s="907"/>
      <c r="E30" s="907"/>
      <c r="F30" s="907"/>
      <c r="G30" s="907"/>
      <c r="H30" s="907"/>
    </row>
    <row r="31" spans="1:8" x14ac:dyDescent="0.2">
      <c r="A31" s="908" t="s">
        <v>1031</v>
      </c>
      <c r="B31" s="907"/>
      <c r="C31" s="907"/>
      <c r="D31" s="907"/>
      <c r="E31" s="907"/>
      <c r="F31" s="907"/>
      <c r="G31" s="907"/>
      <c r="H31" s="907"/>
    </row>
    <row r="32" spans="1:8" x14ac:dyDescent="0.2">
      <c r="A32" s="908" t="s">
        <v>1032</v>
      </c>
      <c r="B32" s="907"/>
      <c r="C32" s="907"/>
      <c r="D32" s="907"/>
      <c r="E32" s="907"/>
      <c r="F32" s="907"/>
      <c r="G32" s="907"/>
      <c r="H32" s="907"/>
    </row>
    <row r="33" spans="1:8" x14ac:dyDescent="0.2">
      <c r="A33" s="908" t="s">
        <v>1033</v>
      </c>
      <c r="B33" s="907"/>
      <c r="C33" s="907"/>
      <c r="D33" s="907"/>
      <c r="E33" s="907"/>
      <c r="F33" s="907"/>
      <c r="G33" s="907"/>
      <c r="H33" s="907"/>
    </row>
    <row r="34" spans="1:8" x14ac:dyDescent="0.2">
      <c r="A34" s="907"/>
      <c r="B34" s="907"/>
      <c r="C34" s="907"/>
      <c r="D34" s="907"/>
      <c r="E34" s="907"/>
      <c r="F34" s="907"/>
      <c r="G34" s="907"/>
      <c r="H34" s="907"/>
    </row>
    <row r="35" spans="1:8" x14ac:dyDescent="0.2">
      <c r="A35" s="908" t="s">
        <v>1025</v>
      </c>
      <c r="B35" s="907"/>
      <c r="C35" s="907"/>
      <c r="D35" s="907"/>
      <c r="E35" s="907"/>
      <c r="F35" s="907"/>
      <c r="G35" s="907"/>
      <c r="H35" s="907"/>
    </row>
    <row r="36" spans="1:8" x14ac:dyDescent="0.2">
      <c r="A36" s="908" t="s">
        <v>1026</v>
      </c>
      <c r="B36" s="907"/>
      <c r="C36" s="907"/>
      <c r="D36" s="907"/>
      <c r="E36" s="907"/>
      <c r="F36" s="907"/>
      <c r="G36" s="907"/>
      <c r="H36" s="907"/>
    </row>
    <row r="37" spans="1:8" x14ac:dyDescent="0.2">
      <c r="A37" s="908" t="s">
        <v>1027</v>
      </c>
      <c r="B37" s="907"/>
      <c r="C37" s="907"/>
      <c r="D37" s="907"/>
      <c r="E37" s="907"/>
      <c r="F37" s="907"/>
      <c r="G37" s="907"/>
      <c r="H37" s="907"/>
    </row>
    <row r="38" spans="1:8" x14ac:dyDescent="0.2">
      <c r="A38" s="908" t="s">
        <v>1028</v>
      </c>
      <c r="B38" s="907"/>
      <c r="C38" s="907"/>
      <c r="D38" s="907"/>
      <c r="E38" s="907"/>
      <c r="F38" s="907"/>
      <c r="G38" s="907"/>
      <c r="H38" s="907"/>
    </row>
    <row r="39" spans="1:8" x14ac:dyDescent="0.2">
      <c r="A39" s="907"/>
      <c r="B39" s="907"/>
      <c r="C39" s="907"/>
      <c r="D39" s="907"/>
      <c r="E39" s="907"/>
      <c r="F39" s="907"/>
      <c r="G39" s="907"/>
      <c r="H39" s="907"/>
    </row>
    <row r="40" spans="1:8" x14ac:dyDescent="0.2">
      <c r="A40" s="908" t="s">
        <v>1019</v>
      </c>
      <c r="B40" s="907"/>
      <c r="C40" s="907"/>
      <c r="D40" s="907"/>
      <c r="E40" s="907"/>
      <c r="F40" s="907"/>
      <c r="G40" s="907"/>
      <c r="H40" s="907"/>
    </row>
    <row r="41" spans="1:8" x14ac:dyDescent="0.2">
      <c r="A41" s="908" t="s">
        <v>1020</v>
      </c>
      <c r="B41" s="907"/>
      <c r="C41" s="907"/>
      <c r="D41" s="907"/>
      <c r="E41" s="907"/>
      <c r="F41" s="907"/>
      <c r="G41" s="907"/>
      <c r="H41" s="907"/>
    </row>
    <row r="42" spans="1:8" x14ac:dyDescent="0.2">
      <c r="A42" s="908" t="s">
        <v>1021</v>
      </c>
      <c r="B42" s="907"/>
      <c r="C42" s="907"/>
      <c r="D42" s="907"/>
      <c r="E42" s="907"/>
      <c r="F42" s="907"/>
      <c r="G42" s="907"/>
      <c r="H42" s="907"/>
    </row>
    <row r="43" spans="1:8" x14ac:dyDescent="0.2">
      <c r="A43" s="908" t="s">
        <v>1022</v>
      </c>
      <c r="B43" s="907"/>
      <c r="C43" s="907"/>
      <c r="D43" s="907"/>
      <c r="E43" s="907"/>
      <c r="F43" s="907"/>
      <c r="G43" s="907"/>
      <c r="H43" s="907"/>
    </row>
    <row r="44" spans="1:8" x14ac:dyDescent="0.2">
      <c r="A44" s="908" t="s">
        <v>1023</v>
      </c>
      <c r="B44" s="907"/>
      <c r="C44" s="907"/>
      <c r="D44" s="907"/>
      <c r="E44" s="907"/>
      <c r="F44" s="907"/>
      <c r="G44" s="907"/>
      <c r="H44" s="907"/>
    </row>
    <row r="45" spans="1:8" x14ac:dyDescent="0.2">
      <c r="A45" s="908" t="s">
        <v>1024</v>
      </c>
      <c r="B45" s="907"/>
      <c r="C45" s="907"/>
      <c r="D45" s="907"/>
      <c r="E45" s="907"/>
      <c r="F45" s="907"/>
      <c r="G45" s="907"/>
      <c r="H45" s="907"/>
    </row>
    <row r="46" spans="1:8" x14ac:dyDescent="0.2">
      <c r="A46" s="907"/>
      <c r="B46" s="907"/>
      <c r="C46" s="907"/>
      <c r="D46" s="907"/>
      <c r="E46" s="907"/>
      <c r="F46" s="907"/>
      <c r="G46" s="907"/>
      <c r="H46" s="907"/>
    </row>
    <row r="47" spans="1:8" ht="15.75" x14ac:dyDescent="0.2">
      <c r="A47" s="909" t="s">
        <v>756</v>
      </c>
      <c r="B47" s="907"/>
      <c r="C47" s="907"/>
      <c r="D47" s="907"/>
      <c r="E47" s="907"/>
      <c r="F47" s="907"/>
      <c r="G47" s="907"/>
      <c r="H47" s="907"/>
    </row>
    <row r="48" spans="1:8" x14ac:dyDescent="0.2">
      <c r="A48" s="907"/>
      <c r="B48" s="907"/>
      <c r="C48" s="907"/>
      <c r="D48" s="907"/>
      <c r="E48" s="907"/>
      <c r="F48" s="907"/>
      <c r="G48" s="907"/>
      <c r="H48" s="907"/>
    </row>
    <row r="49" spans="1:8" x14ac:dyDescent="0.2">
      <c r="A49" s="908" t="s">
        <v>1015</v>
      </c>
      <c r="B49" s="907"/>
      <c r="C49" s="907"/>
      <c r="D49" s="907"/>
      <c r="E49" s="907"/>
      <c r="F49" s="907"/>
      <c r="G49" s="907"/>
      <c r="H49" s="907"/>
    </row>
    <row r="50" spans="1:8" x14ac:dyDescent="0.2">
      <c r="A50" s="908" t="s">
        <v>1016</v>
      </c>
      <c r="B50" s="907"/>
      <c r="C50" s="907"/>
      <c r="D50" s="907"/>
      <c r="E50" s="907"/>
      <c r="F50" s="907"/>
      <c r="G50" s="907"/>
      <c r="H50" s="907"/>
    </row>
    <row r="51" spans="1:8" x14ac:dyDescent="0.2">
      <c r="A51" s="908" t="s">
        <v>1017</v>
      </c>
      <c r="B51" s="907"/>
      <c r="C51" s="907"/>
      <c r="D51" s="907"/>
      <c r="E51" s="907"/>
      <c r="F51" s="907"/>
      <c r="G51" s="907"/>
      <c r="H51" s="907"/>
    </row>
    <row r="52" spans="1:8" x14ac:dyDescent="0.2">
      <c r="A52" s="908" t="s">
        <v>1018</v>
      </c>
      <c r="B52" s="907"/>
      <c r="C52" s="907"/>
      <c r="D52" s="907"/>
      <c r="E52" s="907"/>
      <c r="F52" s="907"/>
      <c r="G52" s="907"/>
      <c r="H52" s="907"/>
    </row>
    <row r="53" spans="1:8" x14ac:dyDescent="0.2">
      <c r="A53" s="907"/>
      <c r="B53" s="907"/>
      <c r="C53" s="907"/>
      <c r="D53" s="907"/>
      <c r="E53" s="907"/>
      <c r="F53" s="907"/>
      <c r="G53" s="907"/>
      <c r="H53" s="907"/>
    </row>
    <row r="54" spans="1:8" x14ac:dyDescent="0.2">
      <c r="A54" s="908" t="s">
        <v>757</v>
      </c>
      <c r="B54" s="907"/>
      <c r="C54" s="907"/>
      <c r="D54" s="907"/>
      <c r="E54" s="907"/>
      <c r="F54" s="907"/>
      <c r="G54" s="907"/>
      <c r="H54" s="907"/>
    </row>
    <row r="55" spans="1:8" x14ac:dyDescent="0.2">
      <c r="A55" s="907"/>
      <c r="B55" s="907"/>
      <c r="C55" s="907"/>
      <c r="D55" s="907"/>
      <c r="E55" s="907"/>
      <c r="F55" s="907"/>
      <c r="G55" s="907"/>
      <c r="H55" s="907"/>
    </row>
    <row r="56" spans="1:8" ht="15.75" x14ac:dyDescent="0.2">
      <c r="A56" s="909" t="s">
        <v>758</v>
      </c>
      <c r="B56" s="907"/>
      <c r="C56" s="907"/>
      <c r="D56" s="907"/>
      <c r="E56" s="907"/>
      <c r="F56" s="907"/>
      <c r="G56" s="907"/>
      <c r="H56" s="907"/>
    </row>
    <row r="57" spans="1:8" x14ac:dyDescent="0.2">
      <c r="A57" s="907"/>
      <c r="B57" s="907"/>
      <c r="C57" s="907"/>
      <c r="D57" s="907"/>
      <c r="E57" s="907"/>
      <c r="F57" s="907"/>
      <c r="G57" s="907"/>
      <c r="H57" s="907"/>
    </row>
    <row r="58" spans="1:8" x14ac:dyDescent="0.2">
      <c r="A58" s="908" t="s">
        <v>1013</v>
      </c>
      <c r="B58" s="907"/>
      <c r="C58" s="907"/>
      <c r="D58" s="907"/>
      <c r="E58" s="907"/>
      <c r="F58" s="907"/>
      <c r="G58" s="907"/>
      <c r="H58" s="907"/>
    </row>
    <row r="59" spans="1:8" x14ac:dyDescent="0.2">
      <c r="A59" s="908" t="s">
        <v>1014</v>
      </c>
      <c r="B59" s="907"/>
      <c r="C59" s="907"/>
      <c r="D59" s="907"/>
      <c r="E59" s="907"/>
      <c r="F59" s="907"/>
      <c r="G59" s="907"/>
      <c r="H59" s="907"/>
    </row>
    <row r="60" spans="1:8" x14ac:dyDescent="0.2">
      <c r="A60" s="907"/>
      <c r="B60" s="907"/>
      <c r="C60" s="907"/>
      <c r="D60" s="907"/>
      <c r="E60" s="907"/>
      <c r="F60" s="907"/>
      <c r="G60" s="907"/>
      <c r="H60" s="907"/>
    </row>
    <row r="61" spans="1:8" ht="15.75" x14ac:dyDescent="0.2">
      <c r="A61" s="909" t="s">
        <v>759</v>
      </c>
      <c r="B61" s="907"/>
      <c r="C61" s="907"/>
      <c r="D61" s="907"/>
      <c r="E61" s="907"/>
      <c r="F61" s="907"/>
      <c r="G61" s="907"/>
      <c r="H61" s="907"/>
    </row>
    <row r="62" spans="1:8" x14ac:dyDescent="0.2">
      <c r="A62" s="907"/>
      <c r="B62" s="907"/>
      <c r="C62" s="907"/>
      <c r="D62" s="907"/>
      <c r="E62" s="907"/>
      <c r="F62" s="907"/>
      <c r="G62" s="907"/>
      <c r="H62" s="907"/>
    </row>
    <row r="63" spans="1:8" x14ac:dyDescent="0.2">
      <c r="A63" s="908" t="s">
        <v>1011</v>
      </c>
      <c r="B63" s="907"/>
      <c r="C63" s="907"/>
      <c r="D63" s="907"/>
      <c r="E63" s="907"/>
      <c r="F63" s="907"/>
      <c r="G63" s="907"/>
      <c r="H63" s="907"/>
    </row>
    <row r="64" spans="1:8" x14ac:dyDescent="0.2">
      <c r="A64" s="908" t="s">
        <v>1012</v>
      </c>
      <c r="B64" s="907"/>
      <c r="C64" s="907"/>
      <c r="D64" s="907"/>
      <c r="E64" s="907"/>
      <c r="F64" s="907"/>
      <c r="G64" s="907"/>
      <c r="H64" s="907"/>
    </row>
    <row r="65" spans="1:8" x14ac:dyDescent="0.2">
      <c r="A65" s="907"/>
      <c r="B65" s="907"/>
      <c r="C65" s="907"/>
      <c r="D65" s="907"/>
      <c r="E65" s="907"/>
      <c r="F65" s="907"/>
      <c r="G65" s="907"/>
      <c r="H65" s="907"/>
    </row>
    <row r="66" spans="1:8" x14ac:dyDescent="0.2">
      <c r="A66" s="908" t="s">
        <v>1009</v>
      </c>
      <c r="B66" s="907"/>
      <c r="C66" s="907"/>
      <c r="D66" s="907"/>
      <c r="E66" s="907"/>
      <c r="F66" s="907"/>
      <c r="G66" s="907"/>
      <c r="H66" s="907"/>
    </row>
    <row r="67" spans="1:8" x14ac:dyDescent="0.2">
      <c r="A67" s="908" t="s">
        <v>1010</v>
      </c>
      <c r="B67" s="907"/>
      <c r="C67" s="907"/>
      <c r="D67" s="907"/>
      <c r="E67" s="907"/>
      <c r="F67" s="907"/>
      <c r="G67" s="907"/>
      <c r="H67" s="907"/>
    </row>
    <row r="68" spans="1:8" x14ac:dyDescent="0.2">
      <c r="A68" s="907"/>
      <c r="B68" s="907"/>
      <c r="C68" s="907"/>
      <c r="D68" s="907"/>
      <c r="E68" s="907"/>
      <c r="F68" s="907"/>
      <c r="G68" s="907"/>
      <c r="H68" s="907"/>
    </row>
    <row r="69" spans="1:8" x14ac:dyDescent="0.2">
      <c r="A69" s="908" t="s">
        <v>1007</v>
      </c>
      <c r="B69" s="907"/>
      <c r="C69" s="907"/>
      <c r="D69" s="907"/>
      <c r="E69" s="907"/>
      <c r="F69" s="907"/>
      <c r="G69" s="907"/>
      <c r="H69" s="907"/>
    </row>
    <row r="70" spans="1:8" x14ac:dyDescent="0.2">
      <c r="A70" s="908" t="s">
        <v>1008</v>
      </c>
      <c r="B70" s="907"/>
      <c r="C70" s="907"/>
      <c r="D70" s="907"/>
      <c r="E70" s="907"/>
      <c r="F70" s="907"/>
      <c r="G70" s="907"/>
      <c r="H70" s="907"/>
    </row>
    <row r="71" spans="1:8" x14ac:dyDescent="0.2">
      <c r="A71" s="907"/>
      <c r="B71" s="907"/>
      <c r="C71" s="907"/>
      <c r="D71" s="907"/>
      <c r="E71" s="907"/>
      <c r="F71" s="907"/>
      <c r="G71" s="907"/>
      <c r="H71" s="907"/>
    </row>
    <row r="72" spans="1:8" x14ac:dyDescent="0.2">
      <c r="A72" s="908" t="s">
        <v>1004</v>
      </c>
      <c r="B72" s="907"/>
      <c r="C72" s="907"/>
      <c r="D72" s="907"/>
      <c r="E72" s="907"/>
      <c r="F72" s="907"/>
      <c r="G72" s="907"/>
      <c r="H72" s="907"/>
    </row>
    <row r="73" spans="1:8" x14ac:dyDescent="0.2">
      <c r="A73" s="908" t="s">
        <v>1005</v>
      </c>
      <c r="B73" s="907"/>
      <c r="C73" s="907"/>
      <c r="D73" s="907"/>
      <c r="E73" s="907"/>
      <c r="F73" s="907"/>
      <c r="G73" s="907"/>
      <c r="H73" s="907"/>
    </row>
    <row r="74" spans="1:8" x14ac:dyDescent="0.2">
      <c r="A74" s="908" t="s">
        <v>1006</v>
      </c>
      <c r="B74" s="907"/>
      <c r="C74" s="907"/>
      <c r="D74" s="907"/>
      <c r="E74" s="907"/>
      <c r="F74" s="907"/>
      <c r="G74" s="907"/>
      <c r="H74" s="907"/>
    </row>
    <row r="75" spans="1:8" x14ac:dyDescent="0.2">
      <c r="A75" s="907"/>
      <c r="B75" s="907"/>
      <c r="C75" s="907"/>
      <c r="D75" s="907"/>
      <c r="E75" s="907"/>
      <c r="F75" s="907"/>
      <c r="G75" s="907"/>
      <c r="H75" s="907"/>
    </row>
    <row r="76" spans="1:8" x14ac:dyDescent="0.2">
      <c r="A76" s="908" t="s">
        <v>760</v>
      </c>
      <c r="B76" s="907"/>
      <c r="C76" s="907"/>
      <c r="D76" s="907"/>
      <c r="E76" s="907"/>
      <c r="F76" s="907"/>
      <c r="G76" s="907"/>
      <c r="H76" s="907"/>
    </row>
    <row r="77" spans="1:8" x14ac:dyDescent="0.2">
      <c r="A77" s="907"/>
      <c r="B77" s="907"/>
      <c r="C77" s="907"/>
      <c r="D77" s="907"/>
      <c r="E77" s="907"/>
      <c r="F77" s="907"/>
      <c r="G77" s="907"/>
      <c r="H77" s="907"/>
    </row>
    <row r="78" spans="1:8" x14ac:dyDescent="0.2">
      <c r="A78" s="908" t="s">
        <v>999</v>
      </c>
      <c r="B78" s="907"/>
      <c r="C78" s="907"/>
      <c r="D78" s="907"/>
      <c r="E78" s="907"/>
      <c r="F78" s="907"/>
      <c r="G78" s="907"/>
      <c r="H78" s="907"/>
    </row>
    <row r="79" spans="1:8" x14ac:dyDescent="0.2">
      <c r="A79" s="908" t="s">
        <v>1000</v>
      </c>
      <c r="B79" s="907"/>
      <c r="C79" s="907"/>
      <c r="D79" s="907"/>
      <c r="E79" s="907"/>
      <c r="F79" s="907"/>
      <c r="G79" s="907"/>
      <c r="H79" s="907"/>
    </row>
    <row r="80" spans="1:8" x14ac:dyDescent="0.2">
      <c r="A80" s="908" t="s">
        <v>1001</v>
      </c>
      <c r="B80" s="907"/>
      <c r="C80" s="907"/>
      <c r="D80" s="907"/>
      <c r="E80" s="907"/>
      <c r="F80" s="907"/>
      <c r="G80" s="907"/>
      <c r="H80" s="907"/>
    </row>
    <row r="81" spans="1:8" x14ac:dyDescent="0.2">
      <c r="A81" s="908" t="s">
        <v>1002</v>
      </c>
      <c r="B81" s="907"/>
      <c r="C81" s="907"/>
      <c r="D81" s="907"/>
      <c r="E81" s="907"/>
      <c r="F81" s="907"/>
      <c r="G81" s="907"/>
      <c r="H81" s="907"/>
    </row>
    <row r="82" spans="1:8" x14ac:dyDescent="0.2">
      <c r="A82" s="908" t="s">
        <v>1003</v>
      </c>
      <c r="B82" s="907"/>
      <c r="C82" s="907"/>
      <c r="D82" s="907"/>
      <c r="E82" s="907"/>
      <c r="F82" s="907"/>
      <c r="G82" s="907"/>
      <c r="H82" s="907"/>
    </row>
    <row r="83" spans="1:8" x14ac:dyDescent="0.2">
      <c r="A83" s="908" t="s">
        <v>886</v>
      </c>
      <c r="B83" s="907"/>
      <c r="C83" s="907"/>
      <c r="D83" s="907"/>
      <c r="E83" s="907"/>
      <c r="F83" s="907"/>
      <c r="G83" s="907"/>
      <c r="H83" s="907"/>
    </row>
    <row r="84" spans="1:8" x14ac:dyDescent="0.2">
      <c r="A84" s="907"/>
      <c r="B84" s="907"/>
      <c r="C84" s="907"/>
      <c r="D84" s="907"/>
      <c r="E84" s="907"/>
      <c r="F84" s="907"/>
      <c r="G84" s="907"/>
      <c r="H84" s="907"/>
    </row>
    <row r="85" spans="1:8" x14ac:dyDescent="0.2">
      <c r="A85" s="908" t="s">
        <v>992</v>
      </c>
      <c r="B85" s="907"/>
      <c r="C85" s="907"/>
      <c r="D85" s="907"/>
      <c r="E85" s="907"/>
      <c r="F85" s="907"/>
      <c r="G85" s="907"/>
      <c r="H85" s="907"/>
    </row>
    <row r="86" spans="1:8" x14ac:dyDescent="0.2">
      <c r="A86" s="908" t="s">
        <v>993</v>
      </c>
      <c r="B86" s="907"/>
      <c r="C86" s="907"/>
      <c r="D86" s="907"/>
      <c r="E86" s="907"/>
      <c r="F86" s="907"/>
      <c r="G86" s="907"/>
      <c r="H86" s="907"/>
    </row>
    <row r="87" spans="1:8" x14ac:dyDescent="0.2">
      <c r="A87" s="908" t="s">
        <v>994</v>
      </c>
      <c r="B87" s="907"/>
      <c r="C87" s="907"/>
      <c r="D87" s="907"/>
      <c r="E87" s="907"/>
      <c r="F87" s="907"/>
      <c r="G87" s="907"/>
      <c r="H87" s="907"/>
    </row>
    <row r="88" spans="1:8" x14ac:dyDescent="0.2">
      <c r="A88" s="908" t="s">
        <v>995</v>
      </c>
      <c r="B88" s="907"/>
      <c r="C88" s="907"/>
      <c r="D88" s="907"/>
      <c r="E88" s="907"/>
      <c r="F88" s="907"/>
      <c r="G88" s="907"/>
      <c r="H88" s="907"/>
    </row>
    <row r="89" spans="1:8" x14ac:dyDescent="0.2">
      <c r="A89" s="908" t="s">
        <v>996</v>
      </c>
      <c r="B89" s="907"/>
      <c r="C89" s="907"/>
      <c r="D89" s="907"/>
      <c r="E89" s="907"/>
      <c r="F89" s="907"/>
      <c r="G89" s="907"/>
      <c r="H89" s="907"/>
    </row>
    <row r="90" spans="1:8" x14ac:dyDescent="0.2">
      <c r="A90" s="908" t="s">
        <v>997</v>
      </c>
      <c r="B90" s="907"/>
      <c r="C90" s="907"/>
      <c r="D90" s="907"/>
      <c r="E90" s="907"/>
      <c r="F90" s="907"/>
      <c r="G90" s="907"/>
      <c r="H90" s="907"/>
    </row>
    <row r="91" spans="1:8" x14ac:dyDescent="0.2">
      <c r="A91" s="908" t="s">
        <v>998</v>
      </c>
      <c r="B91" s="907"/>
      <c r="C91" s="907"/>
      <c r="D91" s="907"/>
      <c r="E91" s="907"/>
      <c r="F91" s="907"/>
      <c r="G91" s="907"/>
      <c r="H91" s="907"/>
    </row>
    <row r="92" spans="1:8" x14ac:dyDescent="0.2">
      <c r="A92" s="907"/>
      <c r="B92" s="907"/>
      <c r="C92" s="907"/>
      <c r="D92" s="907"/>
      <c r="E92" s="907"/>
      <c r="F92" s="907"/>
      <c r="G92" s="907"/>
      <c r="H92" s="907"/>
    </row>
    <row r="93" spans="1:8" x14ac:dyDescent="0.2">
      <c r="A93" s="908" t="s">
        <v>990</v>
      </c>
      <c r="B93" s="907"/>
      <c r="C93" s="907"/>
      <c r="D93" s="907"/>
      <c r="E93" s="907"/>
      <c r="F93" s="907"/>
      <c r="G93" s="907"/>
      <c r="H93" s="907"/>
    </row>
    <row r="94" spans="1:8" x14ac:dyDescent="0.2">
      <c r="A94" s="908" t="s">
        <v>991</v>
      </c>
      <c r="B94" s="907"/>
      <c r="C94" s="907"/>
      <c r="D94" s="907"/>
      <c r="E94" s="907"/>
      <c r="F94" s="907"/>
      <c r="G94" s="907"/>
      <c r="H94" s="907"/>
    </row>
    <row r="95" spans="1:8" x14ac:dyDescent="0.2">
      <c r="A95" s="907"/>
      <c r="B95" s="907"/>
      <c r="C95" s="907"/>
      <c r="D95" s="907"/>
      <c r="E95" s="907"/>
      <c r="F95" s="907"/>
      <c r="G95" s="907"/>
      <c r="H95" s="907"/>
    </row>
    <row r="96" spans="1:8" ht="15.75" x14ac:dyDescent="0.2">
      <c r="A96" s="909" t="s">
        <v>761</v>
      </c>
      <c r="B96" s="907"/>
      <c r="C96" s="907"/>
      <c r="D96" s="907"/>
      <c r="E96" s="907"/>
      <c r="F96" s="907"/>
      <c r="G96" s="907"/>
      <c r="H96" s="907"/>
    </row>
    <row r="97" spans="1:8" x14ac:dyDescent="0.2">
      <c r="A97" s="907"/>
      <c r="B97" s="907"/>
      <c r="C97" s="907"/>
      <c r="D97" s="907"/>
      <c r="E97" s="907"/>
      <c r="F97" s="907"/>
      <c r="G97" s="907"/>
      <c r="H97" s="907"/>
    </row>
    <row r="98" spans="1:8" x14ac:dyDescent="0.2">
      <c r="A98" s="908" t="s">
        <v>981</v>
      </c>
      <c r="B98" s="907"/>
      <c r="C98" s="907"/>
      <c r="D98" s="907"/>
      <c r="E98" s="907"/>
      <c r="F98" s="907"/>
      <c r="G98" s="907"/>
      <c r="H98" s="907"/>
    </row>
    <row r="99" spans="1:8" x14ac:dyDescent="0.2">
      <c r="A99" s="908" t="s">
        <v>982</v>
      </c>
      <c r="B99" s="907"/>
      <c r="C99" s="907"/>
      <c r="D99" s="907"/>
      <c r="E99" s="907"/>
      <c r="F99" s="907"/>
      <c r="G99" s="907"/>
      <c r="H99" s="907"/>
    </row>
    <row r="100" spans="1:8" x14ac:dyDescent="0.2">
      <c r="A100" s="908" t="s">
        <v>983</v>
      </c>
      <c r="B100" s="907"/>
      <c r="C100" s="907"/>
      <c r="D100" s="907"/>
      <c r="E100" s="907"/>
      <c r="F100" s="907"/>
      <c r="G100" s="907"/>
      <c r="H100" s="907"/>
    </row>
    <row r="101" spans="1:8" x14ac:dyDescent="0.2">
      <c r="A101" s="908" t="s">
        <v>984</v>
      </c>
      <c r="B101" s="907"/>
      <c r="C101" s="907"/>
      <c r="D101" s="907"/>
      <c r="E101" s="907"/>
      <c r="F101" s="907"/>
      <c r="G101" s="907"/>
      <c r="H101" s="907"/>
    </row>
    <row r="102" spans="1:8" x14ac:dyDescent="0.2">
      <c r="A102" s="908" t="s">
        <v>985</v>
      </c>
      <c r="B102" s="907"/>
      <c r="C102" s="907"/>
      <c r="D102" s="907"/>
      <c r="E102" s="907"/>
      <c r="F102" s="907"/>
      <c r="G102" s="907"/>
      <c r="H102" s="907"/>
    </row>
    <row r="103" spans="1:8" x14ac:dyDescent="0.2">
      <c r="A103" s="908" t="s">
        <v>986</v>
      </c>
      <c r="B103" s="907"/>
      <c r="C103" s="907"/>
      <c r="D103" s="907"/>
      <c r="E103" s="907"/>
      <c r="F103" s="907"/>
      <c r="G103" s="907"/>
      <c r="H103" s="907"/>
    </row>
    <row r="104" spans="1:8" x14ac:dyDescent="0.2">
      <c r="A104" s="908" t="s">
        <v>987</v>
      </c>
      <c r="B104" s="907"/>
      <c r="C104" s="907"/>
      <c r="D104" s="907"/>
      <c r="E104" s="907"/>
      <c r="F104" s="907"/>
      <c r="G104" s="907"/>
      <c r="H104" s="907"/>
    </row>
    <row r="105" spans="1:8" x14ac:dyDescent="0.2">
      <c r="A105" s="908" t="s">
        <v>988</v>
      </c>
      <c r="B105" s="907"/>
      <c r="C105" s="907"/>
      <c r="D105" s="907"/>
      <c r="E105" s="907"/>
      <c r="F105" s="907"/>
      <c r="G105" s="907"/>
      <c r="H105" s="907"/>
    </row>
    <row r="106" spans="1:8" x14ac:dyDescent="0.2">
      <c r="A106" s="908" t="s">
        <v>989</v>
      </c>
      <c r="B106" s="907"/>
      <c r="C106" s="907"/>
      <c r="D106" s="907"/>
      <c r="E106" s="907"/>
      <c r="F106" s="907"/>
      <c r="G106" s="907"/>
      <c r="H106" s="907"/>
    </row>
    <row r="107" spans="1:8" x14ac:dyDescent="0.2">
      <c r="A107" s="907"/>
      <c r="B107" s="907"/>
      <c r="C107" s="907"/>
      <c r="D107" s="907"/>
      <c r="E107" s="907"/>
      <c r="F107" s="907"/>
      <c r="G107" s="907"/>
      <c r="H107" s="907"/>
    </row>
    <row r="108" spans="1:8" ht="15.75" x14ac:dyDescent="0.2">
      <c r="A108" s="910" t="s">
        <v>762</v>
      </c>
      <c r="B108" s="910"/>
      <c r="C108" s="910"/>
      <c r="D108" s="910"/>
      <c r="E108" s="910"/>
      <c r="F108" s="910"/>
      <c r="G108" s="910"/>
      <c r="H108" s="910"/>
    </row>
    <row r="109" spans="1:8" x14ac:dyDescent="0.2">
      <c r="A109" s="911" t="s">
        <v>763</v>
      </c>
      <c r="B109" s="911"/>
      <c r="C109" s="911"/>
      <c r="D109" s="911"/>
      <c r="E109" s="911"/>
      <c r="F109" s="911"/>
      <c r="G109" s="911"/>
      <c r="H109" s="911"/>
    </row>
    <row r="110" spans="1:8" x14ac:dyDescent="0.2">
      <c r="A110" s="912"/>
      <c r="B110" s="912"/>
      <c r="C110" s="912"/>
      <c r="D110" s="912"/>
      <c r="E110" s="912"/>
      <c r="F110" s="912"/>
      <c r="G110" s="912"/>
      <c r="H110" s="912"/>
    </row>
    <row r="111" spans="1:8" x14ac:dyDescent="0.2">
      <c r="A111" s="911" t="s">
        <v>979</v>
      </c>
      <c r="B111" s="911"/>
      <c r="C111" s="911"/>
      <c r="D111" s="911"/>
      <c r="E111" s="911"/>
      <c r="F111" s="911"/>
      <c r="G111" s="911"/>
      <c r="H111" s="911"/>
    </row>
    <row r="112" spans="1:8" x14ac:dyDescent="0.2">
      <c r="A112" s="908" t="s">
        <v>980</v>
      </c>
      <c r="B112" s="908"/>
      <c r="C112" s="908"/>
      <c r="D112" s="908"/>
      <c r="E112" s="908"/>
      <c r="F112" s="908"/>
      <c r="G112" s="908"/>
      <c r="H112" s="908"/>
    </row>
    <row r="113" spans="1:8" x14ac:dyDescent="0.2">
      <c r="A113" s="912"/>
      <c r="B113" s="912"/>
      <c r="C113" s="912"/>
      <c r="D113" s="912"/>
      <c r="E113" s="912"/>
      <c r="F113" s="912"/>
      <c r="G113" s="912"/>
      <c r="H113" s="912"/>
    </row>
    <row r="114" spans="1:8" x14ac:dyDescent="0.2">
      <c r="A114" s="911" t="s">
        <v>972</v>
      </c>
      <c r="B114" s="911"/>
      <c r="C114" s="911"/>
      <c r="D114" s="911"/>
      <c r="E114" s="911"/>
      <c r="F114" s="911"/>
      <c r="G114" s="911"/>
      <c r="H114" s="911"/>
    </row>
    <row r="115" spans="1:8" x14ac:dyDescent="0.2">
      <c r="A115" s="908" t="s">
        <v>973</v>
      </c>
      <c r="B115" s="908"/>
      <c r="C115" s="908"/>
      <c r="D115" s="908"/>
      <c r="E115" s="908"/>
      <c r="F115" s="908"/>
      <c r="G115" s="908"/>
      <c r="H115" s="908"/>
    </row>
    <row r="116" spans="1:8" x14ac:dyDescent="0.2">
      <c r="A116" s="908" t="s">
        <v>974</v>
      </c>
      <c r="B116" s="908"/>
      <c r="C116" s="908"/>
      <c r="D116" s="908"/>
      <c r="E116" s="908"/>
      <c r="F116" s="908"/>
      <c r="G116" s="908"/>
      <c r="H116" s="908"/>
    </row>
    <row r="117" spans="1:8" x14ac:dyDescent="0.2">
      <c r="A117" s="908" t="s">
        <v>975</v>
      </c>
      <c r="B117" s="908"/>
      <c r="C117" s="908"/>
      <c r="D117" s="908"/>
      <c r="E117" s="908"/>
      <c r="F117" s="908"/>
      <c r="G117" s="908"/>
      <c r="H117" s="908"/>
    </row>
    <row r="118" spans="1:8" x14ac:dyDescent="0.2">
      <c r="A118" s="908" t="s">
        <v>976</v>
      </c>
      <c r="B118" s="908"/>
      <c r="C118" s="908"/>
      <c r="D118" s="908"/>
      <c r="E118" s="908"/>
      <c r="F118" s="908"/>
      <c r="G118" s="908"/>
      <c r="H118" s="908"/>
    </row>
    <row r="119" spans="1:8" x14ac:dyDescent="0.2">
      <c r="A119" s="908" t="s">
        <v>977</v>
      </c>
      <c r="B119" s="908"/>
      <c r="C119" s="908"/>
      <c r="D119" s="908"/>
      <c r="E119" s="908"/>
      <c r="F119" s="908"/>
      <c r="G119" s="908"/>
      <c r="H119" s="908"/>
    </row>
    <row r="120" spans="1:8" x14ac:dyDescent="0.2">
      <c r="A120" s="908" t="s">
        <v>978</v>
      </c>
      <c r="B120" s="908"/>
      <c r="C120" s="908"/>
      <c r="D120" s="908"/>
      <c r="E120" s="908"/>
      <c r="F120" s="908"/>
      <c r="G120" s="908"/>
      <c r="H120" s="908"/>
    </row>
    <row r="121" spans="1:8" x14ac:dyDescent="0.2">
      <c r="A121" s="913"/>
      <c r="B121" s="913"/>
      <c r="C121" s="913"/>
      <c r="D121" s="913"/>
      <c r="E121" s="913"/>
      <c r="F121" s="913"/>
      <c r="G121" s="913"/>
      <c r="H121" s="913"/>
    </row>
    <row r="122" spans="1:8" x14ac:dyDescent="0.2">
      <c r="A122" s="914"/>
      <c r="B122" s="915" t="s">
        <v>764</v>
      </c>
      <c r="C122" s="916"/>
      <c r="D122" s="915" t="s">
        <v>765</v>
      </c>
      <c r="E122" s="917"/>
      <c r="F122" s="916"/>
      <c r="G122" s="915" t="s">
        <v>766</v>
      </c>
      <c r="H122" s="916"/>
    </row>
    <row r="123" spans="1:8" x14ac:dyDescent="0.2">
      <c r="A123" s="914" t="s">
        <v>767</v>
      </c>
      <c r="B123" s="914" t="s">
        <v>221</v>
      </c>
      <c r="C123" s="914" t="s">
        <v>768</v>
      </c>
      <c r="D123" s="914" t="s">
        <v>221</v>
      </c>
      <c r="E123" s="914" t="s">
        <v>769</v>
      </c>
      <c r="F123" s="914" t="s">
        <v>770</v>
      </c>
      <c r="G123" s="914" t="s">
        <v>221</v>
      </c>
      <c r="H123" s="914" t="s">
        <v>771</v>
      </c>
    </row>
    <row r="124" spans="1:8" x14ac:dyDescent="0.2">
      <c r="A124" s="914" t="s">
        <v>772</v>
      </c>
      <c r="B124" s="914">
        <v>1189</v>
      </c>
      <c r="C124" s="918">
        <v>0.38</v>
      </c>
      <c r="D124" s="914">
        <v>315</v>
      </c>
      <c r="E124" s="918">
        <v>0.41</v>
      </c>
      <c r="F124" s="918">
        <v>0.26</v>
      </c>
      <c r="G124" s="914">
        <v>555</v>
      </c>
      <c r="H124" s="918">
        <v>0.39</v>
      </c>
    </row>
    <row r="125" spans="1:8" x14ac:dyDescent="0.2">
      <c r="A125" s="914" t="s">
        <v>773</v>
      </c>
      <c r="B125" s="914">
        <v>1355</v>
      </c>
      <c r="C125" s="918">
        <v>0.43</v>
      </c>
      <c r="D125" s="914">
        <v>364</v>
      </c>
      <c r="E125" s="918">
        <v>0.47</v>
      </c>
      <c r="F125" s="918">
        <v>0.27</v>
      </c>
      <c r="G125" s="914">
        <v>644</v>
      </c>
      <c r="H125" s="918">
        <v>0.45</v>
      </c>
    </row>
    <row r="126" spans="1:8" x14ac:dyDescent="0.2">
      <c r="A126" s="914" t="s">
        <v>774</v>
      </c>
      <c r="B126" s="914">
        <v>53</v>
      </c>
      <c r="C126" s="918">
        <v>0.02</v>
      </c>
      <c r="D126" s="914">
        <v>4</v>
      </c>
      <c r="E126" s="918">
        <v>0.01</v>
      </c>
      <c r="F126" s="918">
        <v>0.08</v>
      </c>
      <c r="G126" s="914">
        <v>7</v>
      </c>
      <c r="H126" s="918">
        <v>0</v>
      </c>
    </row>
    <row r="127" spans="1:8" x14ac:dyDescent="0.2">
      <c r="A127" s="914" t="s">
        <v>775</v>
      </c>
      <c r="B127" s="914">
        <v>545</v>
      </c>
      <c r="C127" s="918">
        <v>0.17</v>
      </c>
      <c r="D127" s="914">
        <v>84</v>
      </c>
      <c r="E127" s="918">
        <v>0.11</v>
      </c>
      <c r="F127" s="918">
        <v>0.15</v>
      </c>
      <c r="G127" s="914">
        <v>214</v>
      </c>
      <c r="H127" s="918">
        <v>0.15</v>
      </c>
    </row>
    <row r="128" spans="1:8" x14ac:dyDescent="0.2">
      <c r="A128" s="914" t="s">
        <v>486</v>
      </c>
      <c r="B128" s="919">
        <v>3142</v>
      </c>
      <c r="C128" s="914"/>
      <c r="D128" s="914">
        <v>767</v>
      </c>
      <c r="E128" s="914"/>
      <c r="F128" s="914"/>
      <c r="G128" s="914">
        <v>1420</v>
      </c>
      <c r="H128" s="914"/>
    </row>
    <row r="129" spans="1:8" x14ac:dyDescent="0.2">
      <c r="A129" s="920"/>
      <c r="B129" s="920"/>
      <c r="C129" s="920"/>
      <c r="D129" s="920"/>
      <c r="E129" s="920"/>
      <c r="F129" s="920"/>
      <c r="G129" s="920"/>
      <c r="H129" s="920"/>
    </row>
    <row r="130" spans="1:8" x14ac:dyDescent="0.2">
      <c r="A130" s="911" t="s">
        <v>968</v>
      </c>
      <c r="B130" s="911"/>
      <c r="C130" s="911"/>
      <c r="D130" s="911"/>
      <c r="E130" s="911"/>
      <c r="F130" s="911"/>
      <c r="G130" s="911"/>
      <c r="H130" s="911"/>
    </row>
    <row r="131" spans="1:8" x14ac:dyDescent="0.2">
      <c r="A131" s="908" t="s">
        <v>969</v>
      </c>
      <c r="B131" s="908"/>
      <c r="C131" s="908"/>
      <c r="D131" s="908"/>
      <c r="E131" s="908"/>
      <c r="F131" s="908"/>
      <c r="G131" s="908"/>
      <c r="H131" s="908"/>
    </row>
    <row r="132" spans="1:8" x14ac:dyDescent="0.2">
      <c r="A132" s="908" t="s">
        <v>970</v>
      </c>
      <c r="B132" s="908"/>
      <c r="C132" s="908"/>
      <c r="D132" s="908"/>
      <c r="E132" s="908"/>
      <c r="F132" s="908"/>
      <c r="G132" s="908"/>
      <c r="H132" s="908"/>
    </row>
    <row r="133" spans="1:8" x14ac:dyDescent="0.2">
      <c r="A133" s="908" t="s">
        <v>971</v>
      </c>
      <c r="B133" s="908"/>
      <c r="C133" s="908"/>
      <c r="D133" s="908"/>
      <c r="E133" s="908"/>
      <c r="F133" s="908"/>
      <c r="G133" s="908"/>
      <c r="H133" s="908"/>
    </row>
    <row r="134" spans="1:8" x14ac:dyDescent="0.2">
      <c r="A134" s="907"/>
      <c r="B134" s="907"/>
      <c r="C134" s="907"/>
      <c r="D134" s="907"/>
      <c r="E134" s="907"/>
      <c r="F134" s="907"/>
      <c r="G134" s="907"/>
      <c r="H134" s="907"/>
    </row>
    <row r="135" spans="1:8" ht="15.75" x14ac:dyDescent="0.2">
      <c r="A135" s="909" t="s">
        <v>776</v>
      </c>
      <c r="B135" s="907"/>
      <c r="C135" s="907"/>
      <c r="D135" s="907"/>
      <c r="E135" s="907"/>
      <c r="F135" s="907"/>
      <c r="G135" s="907"/>
      <c r="H135" s="907"/>
    </row>
    <row r="136" spans="1:8" x14ac:dyDescent="0.2">
      <c r="A136" s="907"/>
      <c r="B136" s="907"/>
      <c r="C136" s="907"/>
      <c r="D136" s="907"/>
      <c r="E136" s="907"/>
      <c r="F136" s="907"/>
      <c r="G136" s="907"/>
      <c r="H136" s="907"/>
    </row>
    <row r="137" spans="1:8" x14ac:dyDescent="0.2">
      <c r="A137" s="908" t="s">
        <v>966</v>
      </c>
      <c r="B137" s="907"/>
      <c r="C137" s="907"/>
      <c r="D137" s="907"/>
      <c r="E137" s="907"/>
      <c r="F137" s="907"/>
      <c r="G137" s="907"/>
      <c r="H137" s="907"/>
    </row>
    <row r="138" spans="1:8" x14ac:dyDescent="0.2">
      <c r="A138" s="908" t="s">
        <v>967</v>
      </c>
      <c r="B138" s="907"/>
      <c r="C138" s="907"/>
      <c r="D138" s="907"/>
      <c r="E138" s="907"/>
      <c r="F138" s="907"/>
      <c r="G138" s="907"/>
      <c r="H138" s="907"/>
    </row>
    <row r="139" spans="1:8" x14ac:dyDescent="0.2">
      <c r="A139" s="907"/>
      <c r="B139" s="907"/>
      <c r="C139" s="907"/>
      <c r="D139" s="907"/>
      <c r="E139" s="907"/>
      <c r="F139" s="907"/>
      <c r="G139" s="907"/>
      <c r="H139" s="907"/>
    </row>
    <row r="140" spans="1:8" x14ac:dyDescent="0.2">
      <c r="A140" s="908" t="s">
        <v>963</v>
      </c>
      <c r="B140" s="907"/>
      <c r="C140" s="907"/>
      <c r="D140" s="907"/>
      <c r="E140" s="907"/>
      <c r="F140" s="907"/>
      <c r="G140" s="907"/>
      <c r="H140" s="907"/>
    </row>
    <row r="141" spans="1:8" x14ac:dyDescent="0.2">
      <c r="A141" s="908" t="s">
        <v>964</v>
      </c>
      <c r="B141" s="907"/>
      <c r="C141" s="907"/>
      <c r="D141" s="907"/>
      <c r="E141" s="907"/>
      <c r="F141" s="907"/>
      <c r="G141" s="907"/>
      <c r="H141" s="907"/>
    </row>
    <row r="142" spans="1:8" x14ac:dyDescent="0.2">
      <c r="A142" s="908" t="s">
        <v>965</v>
      </c>
      <c r="B142" s="907"/>
      <c r="C142" s="907"/>
      <c r="D142" s="907"/>
      <c r="E142" s="907"/>
      <c r="F142" s="907"/>
      <c r="G142" s="907"/>
      <c r="H142" s="907"/>
    </row>
    <row r="143" spans="1:8" x14ac:dyDescent="0.2">
      <c r="A143" s="907"/>
      <c r="B143" s="907"/>
      <c r="C143" s="907"/>
      <c r="D143" s="907"/>
      <c r="E143" s="907"/>
      <c r="F143" s="907"/>
      <c r="G143" s="907"/>
      <c r="H143" s="907"/>
    </row>
    <row r="144" spans="1:8" x14ac:dyDescent="0.2">
      <c r="A144" s="908" t="s">
        <v>960</v>
      </c>
      <c r="B144" s="907"/>
      <c r="C144" s="907"/>
      <c r="D144" s="907"/>
      <c r="E144" s="907"/>
      <c r="F144" s="907"/>
      <c r="G144" s="907"/>
      <c r="H144" s="907"/>
    </row>
    <row r="145" spans="1:8" x14ac:dyDescent="0.2">
      <c r="A145" s="908" t="s">
        <v>961</v>
      </c>
      <c r="B145" s="907"/>
      <c r="C145" s="907"/>
      <c r="D145" s="907"/>
      <c r="E145" s="907"/>
      <c r="F145" s="907"/>
      <c r="G145" s="907"/>
      <c r="H145" s="907"/>
    </row>
    <row r="146" spans="1:8" x14ac:dyDescent="0.2">
      <c r="A146" s="908" t="s">
        <v>962</v>
      </c>
      <c r="B146" s="907"/>
      <c r="C146" s="907"/>
      <c r="D146" s="907"/>
      <c r="E146" s="907"/>
      <c r="F146" s="907"/>
      <c r="G146" s="907"/>
      <c r="H146" s="907"/>
    </row>
    <row r="147" spans="1:8" x14ac:dyDescent="0.2">
      <c r="A147" s="907"/>
      <c r="B147" s="907"/>
      <c r="C147" s="907"/>
      <c r="D147" s="907"/>
      <c r="E147" s="907"/>
      <c r="F147" s="907"/>
      <c r="G147" s="907"/>
      <c r="H147" s="907"/>
    </row>
    <row r="148" spans="1:8" x14ac:dyDescent="0.2">
      <c r="A148" s="908" t="s">
        <v>957</v>
      </c>
      <c r="B148" s="907"/>
      <c r="C148" s="907"/>
      <c r="D148" s="907"/>
      <c r="E148" s="907"/>
      <c r="F148" s="907"/>
      <c r="G148" s="907"/>
      <c r="H148" s="907"/>
    </row>
    <row r="149" spans="1:8" x14ac:dyDescent="0.2">
      <c r="A149" s="908" t="s">
        <v>958</v>
      </c>
      <c r="B149" s="907"/>
      <c r="C149" s="907"/>
      <c r="D149" s="907"/>
      <c r="E149" s="907"/>
      <c r="F149" s="907"/>
      <c r="G149" s="907"/>
      <c r="H149" s="907"/>
    </row>
    <row r="150" spans="1:8" x14ac:dyDescent="0.2">
      <c r="A150" s="908" t="s">
        <v>959</v>
      </c>
      <c r="B150" s="907"/>
      <c r="C150" s="907"/>
      <c r="D150" s="907"/>
      <c r="E150" s="907"/>
      <c r="F150" s="907"/>
      <c r="G150" s="907"/>
      <c r="H150" s="907"/>
    </row>
    <row r="151" spans="1:8" x14ac:dyDescent="0.2">
      <c r="A151" s="907"/>
      <c r="B151" s="907"/>
      <c r="C151" s="907"/>
      <c r="D151" s="907"/>
      <c r="E151" s="907"/>
      <c r="F151" s="907"/>
      <c r="G151" s="907"/>
      <c r="H151" s="907"/>
    </row>
    <row r="152" spans="1:8" x14ac:dyDescent="0.2">
      <c r="A152" s="908" t="s">
        <v>955</v>
      </c>
      <c r="B152" s="907"/>
      <c r="C152" s="907"/>
      <c r="D152" s="907"/>
      <c r="E152" s="907"/>
      <c r="F152" s="907"/>
      <c r="G152" s="907"/>
      <c r="H152" s="907"/>
    </row>
    <row r="153" spans="1:8" x14ac:dyDescent="0.2">
      <c r="A153" s="908" t="s">
        <v>956</v>
      </c>
      <c r="B153" s="907"/>
      <c r="C153" s="907"/>
      <c r="D153" s="907"/>
      <c r="E153" s="907"/>
      <c r="F153" s="907"/>
      <c r="G153" s="907"/>
      <c r="H153" s="907"/>
    </row>
    <row r="154" spans="1:8" x14ac:dyDescent="0.2">
      <c r="A154" s="907"/>
      <c r="B154" s="907"/>
      <c r="C154" s="907"/>
      <c r="D154" s="907"/>
      <c r="E154" s="907"/>
      <c r="F154" s="907"/>
      <c r="G154" s="907"/>
      <c r="H154" s="907"/>
    </row>
    <row r="155" spans="1:8" ht="15.75" x14ac:dyDescent="0.2">
      <c r="A155" s="909" t="s">
        <v>777</v>
      </c>
      <c r="B155" s="907"/>
      <c r="C155" s="907"/>
      <c r="D155" s="907"/>
      <c r="E155" s="907"/>
      <c r="F155" s="907"/>
      <c r="G155" s="907"/>
      <c r="H155" s="907"/>
    </row>
    <row r="156" spans="1:8" x14ac:dyDescent="0.2">
      <c r="A156" s="907"/>
      <c r="B156" s="907"/>
      <c r="C156" s="907"/>
      <c r="D156" s="907"/>
      <c r="E156" s="907"/>
      <c r="F156" s="907"/>
      <c r="G156" s="907"/>
      <c r="H156" s="907"/>
    </row>
    <row r="157" spans="1:8" x14ac:dyDescent="0.2">
      <c r="A157" s="908" t="s">
        <v>953</v>
      </c>
      <c r="B157" s="907"/>
      <c r="C157" s="907"/>
      <c r="D157" s="907"/>
      <c r="E157" s="907"/>
      <c r="F157" s="907"/>
      <c r="G157" s="907"/>
      <c r="H157" s="907"/>
    </row>
    <row r="158" spans="1:8" x14ac:dyDescent="0.2">
      <c r="A158" s="908" t="s">
        <v>954</v>
      </c>
      <c r="B158" s="907"/>
      <c r="C158" s="907"/>
      <c r="D158" s="907"/>
      <c r="E158" s="907"/>
      <c r="F158" s="907"/>
      <c r="G158" s="907"/>
      <c r="H158" s="907"/>
    </row>
    <row r="159" spans="1:8" x14ac:dyDescent="0.2">
      <c r="A159" s="907"/>
      <c r="B159" s="907"/>
      <c r="C159" s="907"/>
      <c r="D159" s="907"/>
      <c r="E159" s="907"/>
      <c r="F159" s="907"/>
      <c r="G159" s="907"/>
      <c r="H159" s="907"/>
    </row>
    <row r="160" spans="1:8" x14ac:dyDescent="0.2">
      <c r="A160" s="908" t="s">
        <v>951</v>
      </c>
      <c r="B160" s="907"/>
      <c r="C160" s="907"/>
      <c r="D160" s="907"/>
      <c r="E160" s="907"/>
      <c r="F160" s="907"/>
      <c r="G160" s="907"/>
      <c r="H160" s="907"/>
    </row>
    <row r="161" spans="1:8" x14ac:dyDescent="0.2">
      <c r="A161" s="908" t="s">
        <v>952</v>
      </c>
      <c r="B161" s="907"/>
      <c r="C161" s="907"/>
      <c r="D161" s="907"/>
      <c r="E161" s="907"/>
      <c r="F161" s="907"/>
      <c r="G161" s="907"/>
      <c r="H161" s="907"/>
    </row>
    <row r="162" spans="1:8" x14ac:dyDescent="0.2">
      <c r="A162" s="907"/>
      <c r="B162" s="907"/>
      <c r="C162" s="907"/>
      <c r="D162" s="907"/>
      <c r="E162" s="907"/>
      <c r="F162" s="907"/>
      <c r="G162" s="907"/>
      <c r="H162" s="907"/>
    </row>
    <row r="163" spans="1:8" x14ac:dyDescent="0.2">
      <c r="A163" s="908" t="s">
        <v>949</v>
      </c>
      <c r="B163" s="907"/>
      <c r="C163" s="907"/>
      <c r="D163" s="907"/>
      <c r="E163" s="907"/>
      <c r="F163" s="907"/>
      <c r="G163" s="907"/>
      <c r="H163" s="907"/>
    </row>
    <row r="164" spans="1:8" x14ac:dyDescent="0.2">
      <c r="A164" s="908" t="s">
        <v>950</v>
      </c>
      <c r="B164" s="907"/>
      <c r="C164" s="907"/>
      <c r="D164" s="907"/>
      <c r="E164" s="907"/>
      <c r="F164" s="907"/>
      <c r="G164" s="907"/>
      <c r="H164" s="907"/>
    </row>
    <row r="165" spans="1:8" x14ac:dyDescent="0.2">
      <c r="A165" s="907"/>
      <c r="B165" s="907"/>
      <c r="C165" s="907"/>
      <c r="D165" s="907"/>
      <c r="E165" s="907"/>
      <c r="F165" s="907"/>
      <c r="G165" s="907"/>
      <c r="H165" s="907"/>
    </row>
    <row r="166" spans="1:8" x14ac:dyDescent="0.2">
      <c r="A166" s="908" t="s">
        <v>946</v>
      </c>
      <c r="B166" s="907"/>
      <c r="C166" s="907"/>
      <c r="D166" s="907"/>
      <c r="E166" s="907"/>
      <c r="F166" s="907"/>
      <c r="G166" s="907"/>
      <c r="H166" s="907"/>
    </row>
    <row r="167" spans="1:8" x14ac:dyDescent="0.2">
      <c r="A167" s="908" t="s">
        <v>947</v>
      </c>
      <c r="B167" s="907"/>
      <c r="C167" s="907"/>
      <c r="D167" s="907"/>
      <c r="E167" s="907"/>
      <c r="F167" s="907"/>
      <c r="G167" s="907"/>
      <c r="H167" s="907"/>
    </row>
    <row r="168" spans="1:8" x14ac:dyDescent="0.2">
      <c r="A168" s="908" t="s">
        <v>948</v>
      </c>
      <c r="B168" s="907"/>
      <c r="C168" s="907"/>
      <c r="D168" s="907"/>
      <c r="E168" s="907"/>
      <c r="F168" s="907"/>
      <c r="G168" s="907"/>
      <c r="H168" s="907"/>
    </row>
    <row r="169" spans="1:8" x14ac:dyDescent="0.2">
      <c r="A169" s="907"/>
      <c r="B169" s="907"/>
      <c r="C169" s="907"/>
      <c r="D169" s="907"/>
      <c r="E169" s="907"/>
      <c r="F169" s="907"/>
      <c r="G169" s="907"/>
      <c r="H169" s="907"/>
    </row>
    <row r="170" spans="1:8" x14ac:dyDescent="0.2">
      <c r="A170" s="907"/>
      <c r="B170" s="907"/>
      <c r="C170" s="907"/>
      <c r="D170" s="907"/>
      <c r="E170" s="907"/>
      <c r="F170" s="907"/>
      <c r="G170" s="907"/>
      <c r="H170" s="907"/>
    </row>
    <row r="171" spans="1:8" x14ac:dyDescent="0.2">
      <c r="A171" s="908" t="s">
        <v>778</v>
      </c>
      <c r="B171" s="907"/>
      <c r="C171" s="907"/>
      <c r="D171" s="907"/>
      <c r="E171" s="907"/>
      <c r="F171" s="907"/>
      <c r="G171" s="907"/>
      <c r="H171" s="907"/>
    </row>
    <row r="172" spans="1:8" x14ac:dyDescent="0.2">
      <c r="A172" s="907"/>
      <c r="B172" s="907"/>
      <c r="C172" s="907"/>
      <c r="D172" s="907"/>
      <c r="E172" s="907"/>
      <c r="F172" s="907"/>
      <c r="G172" s="907"/>
      <c r="H172" s="907"/>
    </row>
    <row r="173" spans="1:8" ht="15.75" x14ac:dyDescent="0.2">
      <c r="A173" s="909" t="s">
        <v>779</v>
      </c>
      <c r="B173" s="907"/>
      <c r="C173" s="907"/>
      <c r="D173" s="907"/>
      <c r="E173" s="907"/>
      <c r="F173" s="907"/>
      <c r="G173" s="907"/>
      <c r="H173" s="907"/>
    </row>
    <row r="174" spans="1:8" x14ac:dyDescent="0.2">
      <c r="A174" s="907"/>
      <c r="B174" s="907"/>
      <c r="C174" s="907"/>
      <c r="D174" s="907"/>
      <c r="E174" s="907"/>
      <c r="F174" s="907"/>
      <c r="G174" s="907"/>
      <c r="H174" s="907"/>
    </row>
    <row r="175" spans="1:8" x14ac:dyDescent="0.2">
      <c r="A175" s="907"/>
      <c r="B175" s="907"/>
      <c r="C175" s="907"/>
      <c r="D175" s="907"/>
      <c r="E175" s="907"/>
      <c r="F175" s="907"/>
      <c r="G175" s="907"/>
      <c r="H175" s="907"/>
    </row>
    <row r="176" spans="1:8" x14ac:dyDescent="0.2">
      <c r="A176" s="907"/>
      <c r="B176" s="907"/>
      <c r="C176" s="907"/>
      <c r="D176" s="907"/>
      <c r="E176" s="907"/>
      <c r="F176" s="907"/>
      <c r="G176" s="907"/>
      <c r="H176" s="907"/>
    </row>
    <row r="177" spans="1:8" x14ac:dyDescent="0.2">
      <c r="A177" s="907"/>
      <c r="B177" s="907"/>
      <c r="C177" s="907"/>
      <c r="D177" s="907"/>
      <c r="E177" s="907"/>
      <c r="F177" s="907"/>
      <c r="G177" s="907"/>
      <c r="H177" s="907"/>
    </row>
    <row r="178" spans="1:8" x14ac:dyDescent="0.2">
      <c r="A178" s="907"/>
      <c r="B178" s="907"/>
      <c r="C178" s="907"/>
      <c r="D178" s="907"/>
      <c r="E178" s="907"/>
      <c r="F178" s="907"/>
      <c r="G178" s="907"/>
      <c r="H178" s="907"/>
    </row>
    <row r="179" spans="1:8" x14ac:dyDescent="0.2">
      <c r="A179" s="907"/>
      <c r="B179" s="907"/>
      <c r="C179" s="907"/>
      <c r="D179" s="907"/>
      <c r="E179" s="907"/>
      <c r="F179" s="907"/>
      <c r="G179" s="907"/>
      <c r="H179" s="907"/>
    </row>
    <row r="180" spans="1:8" x14ac:dyDescent="0.2">
      <c r="A180" s="907"/>
      <c r="B180" s="907"/>
      <c r="C180" s="907"/>
      <c r="D180" s="907"/>
      <c r="E180" s="907"/>
      <c r="F180" s="907"/>
      <c r="G180" s="907"/>
      <c r="H180" s="907"/>
    </row>
    <row r="181" spans="1:8" x14ac:dyDescent="0.2">
      <c r="A181" s="907"/>
      <c r="B181" s="907"/>
      <c r="C181" s="907"/>
      <c r="D181" s="907"/>
      <c r="E181" s="907"/>
      <c r="F181" s="907"/>
      <c r="G181" s="907"/>
      <c r="H181" s="907"/>
    </row>
    <row r="182" spans="1:8" x14ac:dyDescent="0.2">
      <c r="A182" s="907"/>
      <c r="B182" s="907"/>
      <c r="C182" s="907"/>
      <c r="D182" s="907"/>
      <c r="E182" s="907"/>
      <c r="F182" s="907"/>
      <c r="G182" s="907"/>
      <c r="H182" s="907"/>
    </row>
    <row r="183" spans="1:8" x14ac:dyDescent="0.2">
      <c r="A183" s="907"/>
      <c r="B183" s="907"/>
      <c r="C183" s="907"/>
      <c r="D183" s="907"/>
      <c r="E183" s="907"/>
      <c r="F183" s="907"/>
      <c r="G183" s="907"/>
      <c r="H183" s="907"/>
    </row>
    <row r="184" spans="1:8" x14ac:dyDescent="0.2">
      <c r="A184" s="907"/>
      <c r="B184" s="907"/>
      <c r="C184" s="907"/>
      <c r="D184" s="907"/>
      <c r="E184" s="907"/>
      <c r="F184" s="907"/>
      <c r="G184" s="907"/>
      <c r="H184" s="907"/>
    </row>
    <row r="185" spans="1:8" x14ac:dyDescent="0.2">
      <c r="A185" s="907"/>
      <c r="B185" s="907"/>
      <c r="C185" s="907"/>
      <c r="D185" s="907"/>
      <c r="E185" s="907"/>
      <c r="F185" s="907"/>
      <c r="G185" s="907"/>
      <c r="H185" s="907"/>
    </row>
    <row r="186" spans="1:8" x14ac:dyDescent="0.2">
      <c r="A186" s="907"/>
      <c r="B186" s="907"/>
      <c r="C186" s="907"/>
      <c r="D186" s="907"/>
      <c r="E186" s="907"/>
      <c r="F186" s="907"/>
      <c r="G186" s="907"/>
      <c r="H186" s="907"/>
    </row>
    <row r="187" spans="1:8" x14ac:dyDescent="0.2">
      <c r="A187" s="907"/>
      <c r="B187" s="907"/>
      <c r="C187" s="907"/>
      <c r="D187" s="907"/>
      <c r="E187" s="907"/>
      <c r="F187" s="907"/>
      <c r="G187" s="907"/>
      <c r="H187" s="907"/>
    </row>
    <row r="188" spans="1:8" x14ac:dyDescent="0.2">
      <c r="A188" s="907"/>
      <c r="B188" s="907"/>
      <c r="C188" s="907"/>
      <c r="D188" s="907"/>
      <c r="E188" s="907"/>
      <c r="F188" s="907"/>
      <c r="G188" s="907"/>
      <c r="H188" s="907"/>
    </row>
    <row r="189" spans="1:8" x14ac:dyDescent="0.2">
      <c r="A189" s="907"/>
      <c r="B189" s="907"/>
      <c r="C189" s="907"/>
      <c r="D189" s="907"/>
      <c r="E189" s="907"/>
      <c r="F189" s="907"/>
      <c r="G189" s="907"/>
      <c r="H189" s="907"/>
    </row>
    <row r="190" spans="1:8" x14ac:dyDescent="0.2">
      <c r="A190" s="907"/>
      <c r="B190" s="907"/>
      <c r="C190" s="907"/>
      <c r="D190" s="907"/>
      <c r="E190" s="907"/>
      <c r="F190" s="907"/>
      <c r="G190" s="907"/>
      <c r="H190" s="907"/>
    </row>
    <row r="191" spans="1:8" x14ac:dyDescent="0.2">
      <c r="A191" s="907"/>
      <c r="B191" s="907"/>
      <c r="C191" s="907"/>
      <c r="D191" s="907"/>
      <c r="E191" s="907"/>
      <c r="F191" s="907"/>
      <c r="G191" s="907"/>
      <c r="H191" s="907"/>
    </row>
    <row r="192" spans="1:8" x14ac:dyDescent="0.2">
      <c r="A192" s="907"/>
      <c r="B192" s="907"/>
      <c r="C192" s="907"/>
      <c r="D192" s="907"/>
      <c r="E192" s="907"/>
      <c r="F192" s="907"/>
      <c r="G192" s="907"/>
      <c r="H192" s="907"/>
    </row>
    <row r="193" spans="1:8" x14ac:dyDescent="0.2">
      <c r="A193" s="907"/>
      <c r="B193" s="907"/>
      <c r="C193" s="907"/>
      <c r="D193" s="907"/>
      <c r="E193" s="907"/>
      <c r="F193" s="907"/>
      <c r="G193" s="907"/>
      <c r="H193" s="907"/>
    </row>
    <row r="194" spans="1:8" x14ac:dyDescent="0.2">
      <c r="A194" s="907"/>
      <c r="B194" s="907"/>
      <c r="C194" s="907"/>
      <c r="D194" s="907"/>
      <c r="E194" s="907"/>
      <c r="F194" s="907"/>
      <c r="G194" s="907"/>
      <c r="H194" s="907"/>
    </row>
    <row r="195" spans="1:8" x14ac:dyDescent="0.2">
      <c r="A195" s="907"/>
      <c r="B195" s="907"/>
      <c r="C195" s="907"/>
      <c r="D195" s="907"/>
      <c r="E195" s="907"/>
      <c r="F195" s="907"/>
      <c r="G195" s="907"/>
      <c r="H195" s="907"/>
    </row>
    <row r="196" spans="1:8" x14ac:dyDescent="0.2">
      <c r="A196" s="907"/>
      <c r="B196" s="907"/>
      <c r="C196" s="907"/>
      <c r="D196" s="907"/>
      <c r="E196" s="907"/>
      <c r="F196" s="907"/>
      <c r="G196" s="907"/>
      <c r="H196" s="907"/>
    </row>
    <row r="197" spans="1:8" x14ac:dyDescent="0.2">
      <c r="A197" s="907"/>
      <c r="B197" s="907"/>
      <c r="C197" s="907"/>
      <c r="D197" s="907"/>
      <c r="E197" s="907"/>
      <c r="F197" s="907"/>
      <c r="G197" s="907"/>
      <c r="H197" s="907"/>
    </row>
    <row r="198" spans="1:8" x14ac:dyDescent="0.2">
      <c r="A198" s="907"/>
      <c r="B198" s="907"/>
      <c r="C198" s="907"/>
      <c r="D198" s="907"/>
      <c r="E198" s="907"/>
      <c r="F198" s="907"/>
      <c r="G198" s="907"/>
      <c r="H198" s="907"/>
    </row>
    <row r="199" spans="1:8" x14ac:dyDescent="0.2">
      <c r="A199" s="907"/>
      <c r="B199" s="907"/>
      <c r="C199" s="907"/>
      <c r="D199" s="907"/>
      <c r="E199" s="907"/>
      <c r="F199" s="907"/>
      <c r="G199" s="907"/>
      <c r="H199" s="907"/>
    </row>
    <row r="200" spans="1:8" ht="15.75" x14ac:dyDescent="0.2">
      <c r="A200" s="909" t="s">
        <v>780</v>
      </c>
      <c r="B200" s="907"/>
      <c r="C200" s="907"/>
      <c r="D200" s="907"/>
      <c r="E200" s="907"/>
      <c r="F200" s="907"/>
      <c r="G200" s="907"/>
      <c r="H200" s="907"/>
    </row>
    <row r="201" spans="1:8" x14ac:dyDescent="0.2">
      <c r="A201" s="907"/>
      <c r="B201" s="907"/>
      <c r="C201" s="907"/>
      <c r="D201" s="907"/>
      <c r="E201" s="907"/>
      <c r="F201" s="907"/>
      <c r="G201" s="907"/>
      <c r="H201" s="907"/>
    </row>
    <row r="202" spans="1:8" x14ac:dyDescent="0.2">
      <c r="A202" s="908" t="s">
        <v>941</v>
      </c>
      <c r="B202" s="907"/>
      <c r="C202" s="907"/>
      <c r="D202" s="907"/>
      <c r="E202" s="907"/>
      <c r="F202" s="907"/>
      <c r="G202" s="907"/>
      <c r="H202" s="907"/>
    </row>
    <row r="203" spans="1:8" x14ac:dyDescent="0.2">
      <c r="A203" s="908" t="s">
        <v>942</v>
      </c>
      <c r="B203" s="907"/>
      <c r="C203" s="907"/>
      <c r="D203" s="907"/>
      <c r="E203" s="907"/>
      <c r="F203" s="907"/>
      <c r="G203" s="907"/>
      <c r="H203" s="907"/>
    </row>
    <row r="204" spans="1:8" x14ac:dyDescent="0.2">
      <c r="A204" s="908" t="s">
        <v>943</v>
      </c>
      <c r="B204" s="907"/>
      <c r="C204" s="907"/>
      <c r="D204" s="907"/>
      <c r="E204" s="907"/>
      <c r="F204" s="907"/>
      <c r="G204" s="907"/>
      <c r="H204" s="907"/>
    </row>
    <row r="205" spans="1:8" x14ac:dyDescent="0.2">
      <c r="A205" s="908" t="s">
        <v>944</v>
      </c>
      <c r="B205" s="907"/>
      <c r="C205" s="907"/>
      <c r="D205" s="907"/>
      <c r="E205" s="907"/>
      <c r="F205" s="907"/>
      <c r="G205" s="907"/>
      <c r="H205" s="907"/>
    </row>
    <row r="206" spans="1:8" x14ac:dyDescent="0.2">
      <c r="A206" s="908" t="s">
        <v>945</v>
      </c>
      <c r="B206" s="907"/>
      <c r="C206" s="907"/>
      <c r="D206" s="907"/>
      <c r="E206" s="907"/>
      <c r="F206" s="907"/>
      <c r="G206" s="907"/>
      <c r="H206" s="907"/>
    </row>
    <row r="207" spans="1:8" x14ac:dyDescent="0.2">
      <c r="A207" s="907"/>
      <c r="B207" s="907"/>
      <c r="C207" s="907"/>
      <c r="D207" s="907"/>
      <c r="E207" s="907"/>
      <c r="F207" s="907"/>
      <c r="G207" s="907"/>
      <c r="H207" s="907"/>
    </row>
    <row r="208" spans="1:8" x14ac:dyDescent="0.2">
      <c r="A208" s="908" t="s">
        <v>938</v>
      </c>
      <c r="B208" s="907"/>
      <c r="C208" s="907"/>
      <c r="D208" s="907"/>
      <c r="E208" s="907"/>
      <c r="F208" s="907"/>
      <c r="G208" s="907"/>
      <c r="H208" s="907"/>
    </row>
    <row r="209" spans="1:8" x14ac:dyDescent="0.2">
      <c r="A209" s="908" t="s">
        <v>939</v>
      </c>
      <c r="B209" s="907"/>
      <c r="C209" s="907"/>
      <c r="D209" s="907"/>
      <c r="E209" s="907"/>
      <c r="F209" s="907"/>
      <c r="G209" s="907"/>
      <c r="H209" s="907"/>
    </row>
    <row r="210" spans="1:8" x14ac:dyDescent="0.2">
      <c r="A210" s="908" t="s">
        <v>940</v>
      </c>
      <c r="B210" s="907"/>
      <c r="C210" s="907"/>
      <c r="D210" s="907"/>
      <c r="E210" s="907"/>
      <c r="F210" s="907"/>
      <c r="G210" s="907"/>
      <c r="H210" s="907"/>
    </row>
    <row r="211" spans="1:8" ht="15.75" x14ac:dyDescent="0.2">
      <c r="A211" s="909" t="s">
        <v>781</v>
      </c>
      <c r="B211" s="907"/>
      <c r="C211" s="907"/>
      <c r="D211" s="907"/>
      <c r="E211" s="907"/>
      <c r="F211" s="907"/>
      <c r="G211" s="907"/>
      <c r="H211" s="907"/>
    </row>
    <row r="212" spans="1:8" x14ac:dyDescent="0.2">
      <c r="A212" s="907"/>
      <c r="B212" s="907"/>
      <c r="C212" s="907"/>
      <c r="D212" s="907"/>
      <c r="E212" s="907"/>
      <c r="F212" s="907"/>
      <c r="G212" s="907"/>
      <c r="H212" s="907"/>
    </row>
    <row r="213" spans="1:8" x14ac:dyDescent="0.2">
      <c r="A213" s="908" t="s">
        <v>936</v>
      </c>
      <c r="B213" s="907"/>
      <c r="C213" s="907"/>
      <c r="D213" s="907"/>
      <c r="E213" s="907"/>
      <c r="F213" s="907"/>
      <c r="G213" s="907"/>
      <c r="H213" s="907"/>
    </row>
    <row r="214" spans="1:8" x14ac:dyDescent="0.2">
      <c r="A214" s="908" t="s">
        <v>937</v>
      </c>
      <c r="B214" s="907"/>
      <c r="C214" s="907"/>
      <c r="D214" s="907"/>
      <c r="E214" s="907"/>
      <c r="F214" s="907"/>
      <c r="G214" s="907"/>
      <c r="H214" s="907"/>
    </row>
    <row r="215" spans="1:8" x14ac:dyDescent="0.2">
      <c r="A215" s="907"/>
      <c r="B215" s="907"/>
      <c r="C215" s="907"/>
      <c r="D215" s="907"/>
      <c r="E215" s="907"/>
      <c r="F215" s="907"/>
      <c r="G215" s="907"/>
      <c r="H215" s="907"/>
    </row>
    <row r="216" spans="1:8" x14ac:dyDescent="0.2">
      <c r="A216" s="908" t="s">
        <v>929</v>
      </c>
      <c r="B216" s="907"/>
      <c r="C216" s="907"/>
      <c r="D216" s="907"/>
      <c r="E216" s="907"/>
      <c r="F216" s="907"/>
      <c r="G216" s="907"/>
      <c r="H216" s="907"/>
    </row>
    <row r="217" spans="1:8" x14ac:dyDescent="0.2">
      <c r="A217" s="908" t="s">
        <v>930</v>
      </c>
      <c r="B217" s="907"/>
      <c r="C217" s="907"/>
      <c r="D217" s="907"/>
      <c r="E217" s="907"/>
      <c r="F217" s="907"/>
      <c r="G217" s="907"/>
      <c r="H217" s="907"/>
    </row>
    <row r="218" spans="1:8" x14ac:dyDescent="0.2">
      <c r="A218" s="908" t="s">
        <v>931</v>
      </c>
      <c r="B218" s="907"/>
      <c r="C218" s="907"/>
      <c r="D218" s="907"/>
      <c r="E218" s="907"/>
      <c r="F218" s="907"/>
      <c r="G218" s="907"/>
      <c r="H218" s="907"/>
    </row>
    <row r="219" spans="1:8" x14ac:dyDescent="0.2">
      <c r="A219" s="908" t="s">
        <v>932</v>
      </c>
      <c r="B219" s="907"/>
      <c r="C219" s="907"/>
      <c r="D219" s="907"/>
      <c r="E219" s="907"/>
      <c r="F219" s="907"/>
      <c r="G219" s="907"/>
      <c r="H219" s="907"/>
    </row>
    <row r="220" spans="1:8" x14ac:dyDescent="0.2">
      <c r="A220" s="908" t="s">
        <v>933</v>
      </c>
      <c r="B220" s="907"/>
      <c r="C220" s="907"/>
      <c r="D220" s="907"/>
      <c r="E220" s="907"/>
      <c r="F220" s="907"/>
      <c r="G220" s="907"/>
      <c r="H220" s="907"/>
    </row>
    <row r="221" spans="1:8" x14ac:dyDescent="0.2">
      <c r="A221" s="908" t="s">
        <v>934</v>
      </c>
      <c r="B221" s="907"/>
      <c r="C221" s="907"/>
      <c r="D221" s="907"/>
      <c r="E221" s="907"/>
      <c r="F221" s="907"/>
      <c r="G221" s="907"/>
      <c r="H221" s="907"/>
    </row>
    <row r="222" spans="1:8" x14ac:dyDescent="0.2">
      <c r="A222" s="908" t="s">
        <v>935</v>
      </c>
      <c r="B222" s="907"/>
      <c r="C222" s="907"/>
      <c r="D222" s="907"/>
      <c r="E222" s="907"/>
      <c r="F222" s="907"/>
      <c r="G222" s="907"/>
      <c r="H222" s="907"/>
    </row>
    <row r="223" spans="1:8" x14ac:dyDescent="0.2">
      <c r="A223" s="907"/>
      <c r="B223" s="907"/>
      <c r="C223" s="907"/>
      <c r="D223" s="907"/>
      <c r="E223" s="907"/>
      <c r="F223" s="907"/>
      <c r="G223" s="907"/>
      <c r="H223" s="907"/>
    </row>
    <row r="224" spans="1:8" x14ac:dyDescent="0.2">
      <c r="A224" s="908" t="s">
        <v>926</v>
      </c>
      <c r="B224" s="907"/>
      <c r="C224" s="907"/>
      <c r="D224" s="907"/>
      <c r="E224" s="907"/>
      <c r="F224" s="907"/>
      <c r="G224" s="907"/>
      <c r="H224" s="907"/>
    </row>
    <row r="225" spans="1:8" x14ac:dyDescent="0.2">
      <c r="A225" s="908" t="s">
        <v>927</v>
      </c>
      <c r="B225" s="907"/>
      <c r="C225" s="907"/>
      <c r="D225" s="907"/>
      <c r="E225" s="907"/>
      <c r="F225" s="907"/>
      <c r="G225" s="907"/>
      <c r="H225" s="907"/>
    </row>
    <row r="226" spans="1:8" x14ac:dyDescent="0.2">
      <c r="A226" s="908" t="s">
        <v>928</v>
      </c>
      <c r="B226" s="907"/>
      <c r="C226" s="907"/>
      <c r="D226" s="907"/>
      <c r="E226" s="907"/>
      <c r="F226" s="907"/>
      <c r="G226" s="907"/>
      <c r="H226" s="907"/>
    </row>
    <row r="227" spans="1:8" x14ac:dyDescent="0.2">
      <c r="A227" s="907"/>
      <c r="B227" s="907"/>
      <c r="C227" s="907"/>
      <c r="D227" s="907"/>
      <c r="E227" s="907"/>
      <c r="F227" s="907"/>
      <c r="G227" s="907"/>
      <c r="H227" s="907"/>
    </row>
    <row r="228" spans="1:8" x14ac:dyDescent="0.2">
      <c r="A228" s="908" t="s">
        <v>921</v>
      </c>
      <c r="B228" s="907"/>
      <c r="C228" s="907"/>
      <c r="D228" s="907"/>
      <c r="E228" s="907"/>
      <c r="F228" s="907"/>
      <c r="G228" s="907"/>
      <c r="H228" s="907"/>
    </row>
    <row r="229" spans="1:8" x14ac:dyDescent="0.2">
      <c r="A229" s="908" t="s">
        <v>922</v>
      </c>
      <c r="B229" s="907"/>
      <c r="C229" s="907"/>
      <c r="D229" s="907"/>
      <c r="E229" s="907"/>
      <c r="F229" s="907"/>
      <c r="G229" s="907"/>
      <c r="H229" s="907"/>
    </row>
    <row r="230" spans="1:8" x14ac:dyDescent="0.2">
      <c r="A230" s="908" t="s">
        <v>923</v>
      </c>
      <c r="B230" s="907"/>
      <c r="C230" s="907"/>
      <c r="D230" s="907"/>
      <c r="E230" s="907"/>
      <c r="F230" s="907"/>
      <c r="G230" s="907"/>
      <c r="H230" s="907"/>
    </row>
    <row r="231" spans="1:8" x14ac:dyDescent="0.2">
      <c r="A231" s="908" t="s">
        <v>924</v>
      </c>
      <c r="B231" s="907"/>
      <c r="C231" s="907"/>
      <c r="D231" s="907"/>
      <c r="E231" s="907"/>
      <c r="F231" s="907"/>
      <c r="G231" s="907"/>
      <c r="H231" s="907"/>
    </row>
    <row r="232" spans="1:8" x14ac:dyDescent="0.2">
      <c r="A232" s="908" t="s">
        <v>925</v>
      </c>
      <c r="B232" s="907"/>
      <c r="C232" s="907"/>
      <c r="D232" s="907"/>
      <c r="E232" s="907"/>
      <c r="F232" s="907"/>
      <c r="G232" s="907"/>
      <c r="H232" s="907"/>
    </row>
    <row r="233" spans="1:8" x14ac:dyDescent="0.2">
      <c r="A233" s="907"/>
      <c r="B233" s="907"/>
      <c r="C233" s="907"/>
      <c r="D233" s="907"/>
      <c r="E233" s="907"/>
      <c r="F233" s="907"/>
      <c r="G233" s="907"/>
      <c r="H233" s="907"/>
    </row>
    <row r="234" spans="1:8" x14ac:dyDescent="0.2">
      <c r="A234" s="908" t="s">
        <v>915</v>
      </c>
      <c r="B234" s="907"/>
      <c r="C234" s="907"/>
      <c r="D234" s="907"/>
      <c r="E234" s="907"/>
      <c r="F234" s="907"/>
      <c r="G234" s="907"/>
      <c r="H234" s="907"/>
    </row>
    <row r="235" spans="1:8" x14ac:dyDescent="0.2">
      <c r="A235" s="908" t="s">
        <v>916</v>
      </c>
      <c r="B235" s="907"/>
      <c r="C235" s="907"/>
      <c r="D235" s="907"/>
      <c r="E235" s="907"/>
      <c r="F235" s="907"/>
      <c r="G235" s="907"/>
      <c r="H235" s="907"/>
    </row>
    <row r="236" spans="1:8" x14ac:dyDescent="0.2">
      <c r="A236" s="908" t="s">
        <v>917</v>
      </c>
      <c r="B236" s="907"/>
      <c r="C236" s="907"/>
      <c r="D236" s="907"/>
      <c r="E236" s="907"/>
      <c r="F236" s="907"/>
      <c r="G236" s="907"/>
      <c r="H236" s="907"/>
    </row>
    <row r="237" spans="1:8" x14ac:dyDescent="0.2">
      <c r="A237" s="908" t="s">
        <v>918</v>
      </c>
      <c r="B237" s="907"/>
      <c r="C237" s="907"/>
      <c r="D237" s="907"/>
      <c r="E237" s="907"/>
      <c r="F237" s="907"/>
      <c r="G237" s="907"/>
      <c r="H237" s="907"/>
    </row>
    <row r="238" spans="1:8" x14ac:dyDescent="0.2">
      <c r="A238" s="908" t="s">
        <v>919</v>
      </c>
      <c r="B238" s="907"/>
      <c r="C238" s="907"/>
      <c r="D238" s="907"/>
      <c r="E238" s="907"/>
      <c r="F238" s="907"/>
      <c r="G238" s="907"/>
      <c r="H238" s="907"/>
    </row>
    <row r="239" spans="1:8" x14ac:dyDescent="0.2">
      <c r="A239" s="908" t="s">
        <v>920</v>
      </c>
      <c r="B239" s="907"/>
      <c r="C239" s="907"/>
      <c r="D239" s="907"/>
      <c r="E239" s="907"/>
      <c r="F239" s="907"/>
      <c r="G239" s="907"/>
      <c r="H239" s="907"/>
    </row>
    <row r="240" spans="1:8" x14ac:dyDescent="0.2">
      <c r="A240" s="907"/>
      <c r="B240" s="907"/>
      <c r="C240" s="907"/>
      <c r="D240" s="907"/>
      <c r="E240" s="907"/>
      <c r="F240" s="907"/>
      <c r="G240" s="907"/>
      <c r="H240" s="907"/>
    </row>
    <row r="241" spans="1:8" x14ac:dyDescent="0.2">
      <c r="A241" s="908" t="s">
        <v>905</v>
      </c>
      <c r="B241" s="907"/>
      <c r="C241" s="907"/>
      <c r="D241" s="907"/>
      <c r="E241" s="907"/>
      <c r="F241" s="907"/>
      <c r="G241" s="907"/>
      <c r="H241" s="907"/>
    </row>
    <row r="242" spans="1:8" x14ac:dyDescent="0.2">
      <c r="A242" s="908" t="s">
        <v>906</v>
      </c>
      <c r="B242" s="907"/>
      <c r="C242" s="907"/>
      <c r="D242" s="907"/>
      <c r="E242" s="907"/>
      <c r="F242" s="907"/>
      <c r="G242" s="907"/>
      <c r="H242" s="907"/>
    </row>
    <row r="243" spans="1:8" x14ac:dyDescent="0.2">
      <c r="A243" s="908" t="s">
        <v>907</v>
      </c>
      <c r="B243" s="907"/>
      <c r="C243" s="907"/>
      <c r="D243" s="907"/>
      <c r="E243" s="907"/>
      <c r="F243" s="907"/>
      <c r="G243" s="907"/>
      <c r="H243" s="907"/>
    </row>
    <row r="244" spans="1:8" x14ac:dyDescent="0.2">
      <c r="A244" s="908" t="s">
        <v>908</v>
      </c>
      <c r="B244" s="907"/>
      <c r="C244" s="907"/>
      <c r="D244" s="907"/>
      <c r="E244" s="907"/>
      <c r="F244" s="907"/>
      <c r="G244" s="907"/>
      <c r="H244" s="907"/>
    </row>
    <row r="245" spans="1:8" x14ac:dyDescent="0.2">
      <c r="A245" s="908" t="s">
        <v>909</v>
      </c>
      <c r="B245" s="907"/>
      <c r="C245" s="907"/>
      <c r="D245" s="907"/>
      <c r="E245" s="907"/>
      <c r="F245" s="907"/>
      <c r="G245" s="907"/>
      <c r="H245" s="907"/>
    </row>
    <row r="246" spans="1:8" x14ac:dyDescent="0.2">
      <c r="A246" s="908" t="s">
        <v>910</v>
      </c>
      <c r="B246" s="907"/>
      <c r="C246" s="907"/>
      <c r="D246" s="907"/>
      <c r="E246" s="907"/>
      <c r="F246" s="907"/>
      <c r="G246" s="907"/>
      <c r="H246" s="907"/>
    </row>
    <row r="247" spans="1:8" x14ac:dyDescent="0.2">
      <c r="A247" s="908" t="s">
        <v>911</v>
      </c>
      <c r="B247" s="907"/>
      <c r="C247" s="907"/>
      <c r="D247" s="907"/>
      <c r="E247" s="907"/>
      <c r="F247" s="907"/>
      <c r="G247" s="907"/>
      <c r="H247" s="907"/>
    </row>
    <row r="248" spans="1:8" x14ac:dyDescent="0.2">
      <c r="A248" s="908" t="s">
        <v>912</v>
      </c>
      <c r="B248" s="907"/>
      <c r="C248" s="907"/>
      <c r="D248" s="907"/>
      <c r="E248" s="907"/>
      <c r="F248" s="907"/>
      <c r="G248" s="907"/>
      <c r="H248" s="907"/>
    </row>
    <row r="249" spans="1:8" x14ac:dyDescent="0.2">
      <c r="A249" s="908" t="s">
        <v>913</v>
      </c>
      <c r="B249" s="907"/>
      <c r="C249" s="907"/>
      <c r="D249" s="907"/>
      <c r="E249" s="907"/>
      <c r="F249" s="907"/>
      <c r="G249" s="907"/>
      <c r="H249" s="907"/>
    </row>
    <row r="250" spans="1:8" x14ac:dyDescent="0.2">
      <c r="A250" s="908" t="s">
        <v>914</v>
      </c>
      <c r="B250" s="907"/>
      <c r="C250" s="907"/>
      <c r="D250" s="907"/>
      <c r="E250" s="907"/>
      <c r="F250" s="907"/>
      <c r="G250" s="907"/>
      <c r="H250" s="907"/>
    </row>
    <row r="251" spans="1:8" x14ac:dyDescent="0.2">
      <c r="A251" s="907"/>
      <c r="B251" s="907"/>
      <c r="C251" s="907"/>
      <c r="D251" s="907"/>
      <c r="E251" s="907"/>
      <c r="F251" s="907"/>
      <c r="G251" s="907"/>
      <c r="H251" s="907"/>
    </row>
    <row r="252" spans="1:8" x14ac:dyDescent="0.2">
      <c r="A252" s="908" t="s">
        <v>903</v>
      </c>
      <c r="B252" s="907"/>
      <c r="C252" s="907"/>
      <c r="D252" s="907"/>
      <c r="E252" s="907"/>
      <c r="F252" s="907"/>
      <c r="G252" s="907"/>
      <c r="H252" s="907"/>
    </row>
    <row r="253" spans="1:8" x14ac:dyDescent="0.2">
      <c r="A253" s="908" t="s">
        <v>904</v>
      </c>
      <c r="B253" s="907"/>
      <c r="C253" s="907"/>
      <c r="D253" s="907"/>
      <c r="E253" s="907"/>
      <c r="F253" s="907"/>
      <c r="G253" s="907"/>
      <c r="H253" s="907"/>
    </row>
    <row r="254" spans="1:8" x14ac:dyDescent="0.2">
      <c r="A254" s="907"/>
      <c r="B254" s="907"/>
      <c r="C254" s="907"/>
      <c r="D254" s="907"/>
      <c r="E254" s="907"/>
      <c r="F254" s="907"/>
      <c r="G254" s="907"/>
      <c r="H254" s="907"/>
    </row>
    <row r="255" spans="1:8" x14ac:dyDescent="0.2">
      <c r="A255" s="908" t="s">
        <v>887</v>
      </c>
      <c r="B255" s="907"/>
      <c r="C255" s="907"/>
      <c r="D255" s="907"/>
      <c r="E255" s="907"/>
      <c r="F255" s="907"/>
      <c r="G255" s="907"/>
      <c r="H255" s="907"/>
    </row>
    <row r="256" spans="1:8" x14ac:dyDescent="0.2">
      <c r="A256" s="908" t="s">
        <v>888</v>
      </c>
      <c r="B256" s="907"/>
      <c r="C256" s="907"/>
      <c r="D256" s="907"/>
      <c r="E256" s="907"/>
      <c r="F256" s="907"/>
      <c r="G256" s="907"/>
      <c r="H256" s="907"/>
    </row>
    <row r="257" spans="1:8" x14ac:dyDescent="0.2">
      <c r="A257" s="908" t="s">
        <v>889</v>
      </c>
      <c r="B257" s="907"/>
      <c r="C257" s="907"/>
      <c r="D257" s="907"/>
      <c r="E257" s="907"/>
      <c r="F257" s="907"/>
      <c r="G257" s="907"/>
      <c r="H257" s="907"/>
    </row>
    <row r="258" spans="1:8" x14ac:dyDescent="0.2">
      <c r="A258" s="908" t="s">
        <v>890</v>
      </c>
      <c r="B258" s="907"/>
      <c r="C258" s="907"/>
      <c r="D258" s="907"/>
      <c r="E258" s="907"/>
      <c r="F258" s="907"/>
      <c r="G258" s="907"/>
      <c r="H258" s="907"/>
    </row>
    <row r="259" spans="1:8" x14ac:dyDescent="0.2">
      <c r="A259" s="908" t="s">
        <v>891</v>
      </c>
      <c r="B259" s="907"/>
      <c r="C259" s="907"/>
      <c r="D259" s="907"/>
      <c r="E259" s="907"/>
      <c r="F259" s="907"/>
      <c r="G259" s="907"/>
      <c r="H259" s="907"/>
    </row>
    <row r="260" spans="1:8" x14ac:dyDescent="0.2">
      <c r="A260" s="908" t="s">
        <v>892</v>
      </c>
      <c r="B260" s="907"/>
      <c r="C260" s="907"/>
      <c r="D260" s="907"/>
      <c r="E260" s="907"/>
      <c r="F260" s="907"/>
      <c r="G260" s="907"/>
      <c r="H260" s="907"/>
    </row>
    <row r="261" spans="1:8" x14ac:dyDescent="0.2">
      <c r="A261" s="908" t="s">
        <v>893</v>
      </c>
      <c r="B261" s="907"/>
      <c r="C261" s="907"/>
      <c r="D261" s="907"/>
      <c r="E261" s="907"/>
      <c r="F261" s="907"/>
      <c r="G261" s="907"/>
      <c r="H261" s="907"/>
    </row>
    <row r="262" spans="1:8" x14ac:dyDescent="0.2">
      <c r="A262" s="908" t="s">
        <v>894</v>
      </c>
      <c r="B262" s="907"/>
      <c r="C262" s="907"/>
      <c r="D262" s="907"/>
      <c r="E262" s="907"/>
      <c r="F262" s="907"/>
      <c r="G262" s="907"/>
      <c r="H262" s="907"/>
    </row>
    <row r="263" spans="1:8" x14ac:dyDescent="0.2">
      <c r="A263" s="908" t="s">
        <v>895</v>
      </c>
      <c r="B263" s="907"/>
      <c r="C263" s="907"/>
      <c r="D263" s="907"/>
      <c r="E263" s="907"/>
      <c r="F263" s="907"/>
      <c r="G263" s="907"/>
      <c r="H263" s="907"/>
    </row>
    <row r="264" spans="1:8" x14ac:dyDescent="0.2">
      <c r="A264" s="908" t="s">
        <v>896</v>
      </c>
      <c r="B264" s="907"/>
      <c r="C264" s="907"/>
      <c r="D264" s="907"/>
      <c r="E264" s="907"/>
      <c r="F264" s="907"/>
      <c r="G264" s="907"/>
      <c r="H264" s="907"/>
    </row>
    <row r="265" spans="1:8" x14ac:dyDescent="0.2">
      <c r="A265" s="908" t="s">
        <v>897</v>
      </c>
      <c r="B265" s="907"/>
      <c r="C265" s="907"/>
      <c r="D265" s="907"/>
      <c r="E265" s="907"/>
      <c r="F265" s="907"/>
      <c r="G265" s="907"/>
      <c r="H265" s="907"/>
    </row>
    <row r="266" spans="1:8" x14ac:dyDescent="0.2">
      <c r="A266" s="908" t="s">
        <v>898</v>
      </c>
      <c r="B266" s="907"/>
      <c r="C266" s="907"/>
      <c r="D266" s="907"/>
      <c r="E266" s="907"/>
      <c r="F266" s="907"/>
      <c r="G266" s="907"/>
      <c r="H266" s="907"/>
    </row>
    <row r="267" spans="1:8" x14ac:dyDescent="0.2">
      <c r="A267" s="908" t="s">
        <v>899</v>
      </c>
      <c r="B267" s="907"/>
      <c r="C267" s="907"/>
      <c r="D267" s="907"/>
      <c r="E267" s="907"/>
      <c r="F267" s="907"/>
      <c r="G267" s="907"/>
      <c r="H267" s="907"/>
    </row>
    <row r="268" spans="1:8" x14ac:dyDescent="0.2">
      <c r="A268" s="908" t="s">
        <v>900</v>
      </c>
      <c r="B268" s="907"/>
      <c r="C268" s="907"/>
      <c r="D268" s="907"/>
      <c r="E268" s="907"/>
      <c r="F268" s="907"/>
      <c r="G268" s="907"/>
      <c r="H268" s="907"/>
    </row>
    <row r="269" spans="1:8" x14ac:dyDescent="0.2">
      <c r="A269" s="908" t="s">
        <v>901</v>
      </c>
      <c r="B269" s="907"/>
      <c r="C269" s="907"/>
      <c r="D269" s="907"/>
      <c r="E269" s="907"/>
      <c r="F269" s="907"/>
      <c r="G269" s="907"/>
      <c r="H269" s="907"/>
    </row>
    <row r="270" spans="1:8" x14ac:dyDescent="0.2">
      <c r="A270" s="908" t="s">
        <v>902</v>
      </c>
      <c r="B270" s="907"/>
      <c r="C270" s="907"/>
      <c r="D270" s="907"/>
      <c r="E270" s="907"/>
      <c r="F270" s="907"/>
      <c r="G270" s="907"/>
      <c r="H270" s="907"/>
    </row>
    <row r="271" spans="1:8" x14ac:dyDescent="0.2">
      <c r="A271" s="907"/>
      <c r="B271" s="907"/>
      <c r="C271" s="907"/>
      <c r="D271" s="907"/>
      <c r="E271" s="907"/>
      <c r="F271" s="907"/>
      <c r="G271" s="907"/>
      <c r="H271" s="907"/>
    </row>
    <row r="272" spans="1:8" x14ac:dyDescent="0.2">
      <c r="A272" s="908" t="s">
        <v>880</v>
      </c>
      <c r="B272" s="907"/>
      <c r="C272" s="907"/>
      <c r="D272" s="907"/>
      <c r="E272" s="907"/>
      <c r="F272" s="907"/>
      <c r="G272" s="907"/>
      <c r="H272" s="907"/>
    </row>
    <row r="273" spans="1:8" x14ac:dyDescent="0.2">
      <c r="A273" s="908" t="s">
        <v>881</v>
      </c>
      <c r="B273" s="907"/>
      <c r="C273" s="907"/>
      <c r="D273" s="907"/>
      <c r="E273" s="907"/>
      <c r="F273" s="907"/>
      <c r="G273" s="907"/>
      <c r="H273" s="907"/>
    </row>
    <row r="274" spans="1:8" x14ac:dyDescent="0.2">
      <c r="A274" s="908" t="s">
        <v>882</v>
      </c>
      <c r="B274" s="907"/>
      <c r="C274" s="907"/>
      <c r="D274" s="907"/>
      <c r="E274" s="907"/>
      <c r="F274" s="907"/>
      <c r="G274" s="907"/>
      <c r="H274" s="907"/>
    </row>
    <row r="275" spans="1:8" x14ac:dyDescent="0.2">
      <c r="A275" s="908" t="s">
        <v>883</v>
      </c>
      <c r="B275" s="907"/>
      <c r="C275" s="907"/>
      <c r="D275" s="907"/>
      <c r="E275" s="907"/>
      <c r="F275" s="907"/>
      <c r="G275" s="907"/>
      <c r="H275" s="907"/>
    </row>
    <row r="276" spans="1:8" x14ac:dyDescent="0.2">
      <c r="A276" s="908" t="s">
        <v>884</v>
      </c>
      <c r="B276" s="907"/>
      <c r="C276" s="907"/>
      <c r="D276" s="907"/>
      <c r="E276" s="907"/>
      <c r="F276" s="907"/>
      <c r="G276" s="907"/>
      <c r="H276" s="907"/>
    </row>
    <row r="277" spans="1:8" x14ac:dyDescent="0.2">
      <c r="A277" s="908" t="s">
        <v>885</v>
      </c>
      <c r="B277" s="907"/>
      <c r="C277" s="907"/>
      <c r="D277" s="907"/>
      <c r="E277" s="907"/>
      <c r="F277" s="907"/>
      <c r="G277" s="907"/>
      <c r="H277" s="907"/>
    </row>
    <row r="278" spans="1:8" x14ac:dyDescent="0.2">
      <c r="A278" s="908" t="s">
        <v>886</v>
      </c>
      <c r="B278" s="907"/>
      <c r="C278" s="907"/>
      <c r="D278" s="907"/>
      <c r="E278" s="907"/>
      <c r="F278" s="907"/>
      <c r="G278" s="907"/>
      <c r="H278" s="907"/>
    </row>
    <row r="279" spans="1:8" x14ac:dyDescent="0.2">
      <c r="A279" s="907"/>
      <c r="B279" s="907"/>
      <c r="C279" s="907"/>
      <c r="D279" s="907"/>
      <c r="E279" s="907"/>
      <c r="F279" s="907"/>
      <c r="G279" s="907"/>
      <c r="H279" s="907"/>
    </row>
    <row r="280" spans="1:8" x14ac:dyDescent="0.2">
      <c r="A280" s="908" t="s">
        <v>871</v>
      </c>
      <c r="B280" s="907"/>
      <c r="C280" s="907"/>
      <c r="D280" s="907"/>
      <c r="E280" s="907"/>
      <c r="F280" s="907"/>
      <c r="G280" s="907"/>
      <c r="H280" s="907"/>
    </row>
    <row r="281" spans="1:8" x14ac:dyDescent="0.2">
      <c r="A281" s="908" t="s">
        <v>872</v>
      </c>
      <c r="B281" s="907"/>
      <c r="C281" s="907"/>
      <c r="D281" s="907"/>
      <c r="E281" s="907"/>
      <c r="F281" s="907"/>
      <c r="G281" s="907"/>
      <c r="H281" s="907"/>
    </row>
    <row r="282" spans="1:8" x14ac:dyDescent="0.2">
      <c r="A282" s="908" t="s">
        <v>873</v>
      </c>
      <c r="B282" s="907"/>
      <c r="C282" s="907"/>
      <c r="D282" s="907"/>
      <c r="E282" s="907"/>
      <c r="F282" s="907"/>
      <c r="G282" s="907"/>
      <c r="H282" s="907"/>
    </row>
    <row r="283" spans="1:8" x14ac:dyDescent="0.2">
      <c r="A283" s="908" t="s">
        <v>874</v>
      </c>
      <c r="B283" s="907"/>
      <c r="C283" s="907"/>
      <c r="D283" s="907"/>
      <c r="E283" s="907"/>
      <c r="F283" s="907"/>
      <c r="G283" s="907"/>
      <c r="H283" s="907"/>
    </row>
    <row r="284" spans="1:8" x14ac:dyDescent="0.2">
      <c r="A284" s="908" t="s">
        <v>875</v>
      </c>
      <c r="B284" s="907"/>
      <c r="C284" s="907"/>
      <c r="D284" s="907"/>
      <c r="E284" s="907"/>
      <c r="F284" s="907"/>
      <c r="G284" s="907"/>
      <c r="H284" s="907"/>
    </row>
    <row r="285" spans="1:8" x14ac:dyDescent="0.2">
      <c r="A285" s="908" t="s">
        <v>876</v>
      </c>
      <c r="B285" s="907"/>
      <c r="C285" s="907"/>
      <c r="D285" s="907"/>
      <c r="E285" s="907"/>
      <c r="F285" s="907"/>
      <c r="G285" s="907"/>
      <c r="H285" s="907"/>
    </row>
    <row r="286" spans="1:8" x14ac:dyDescent="0.2">
      <c r="A286" s="908" t="s">
        <v>877</v>
      </c>
      <c r="B286" s="907"/>
      <c r="C286" s="907"/>
      <c r="D286" s="907"/>
      <c r="E286" s="907"/>
      <c r="F286" s="907"/>
      <c r="G286" s="907"/>
      <c r="H286" s="907"/>
    </row>
    <row r="287" spans="1:8" x14ac:dyDescent="0.2">
      <c r="A287" s="908" t="s">
        <v>878</v>
      </c>
      <c r="B287" s="907"/>
      <c r="C287" s="907"/>
      <c r="D287" s="907"/>
      <c r="E287" s="907"/>
      <c r="F287" s="907"/>
      <c r="G287" s="907"/>
      <c r="H287" s="907"/>
    </row>
    <row r="288" spans="1:8" x14ac:dyDescent="0.2">
      <c r="A288" s="908" t="s">
        <v>879</v>
      </c>
      <c r="B288" s="907"/>
      <c r="C288" s="907"/>
      <c r="D288" s="907"/>
      <c r="E288" s="907"/>
      <c r="F288" s="907"/>
      <c r="G288" s="907"/>
      <c r="H288" s="907"/>
    </row>
    <row r="289" spans="1:8" x14ac:dyDescent="0.2">
      <c r="A289" s="907"/>
      <c r="B289" s="907"/>
      <c r="C289" s="907"/>
      <c r="D289" s="907"/>
      <c r="E289" s="907"/>
      <c r="F289" s="907"/>
      <c r="G289" s="907"/>
      <c r="H289" s="907"/>
    </row>
    <row r="290" spans="1:8" x14ac:dyDescent="0.2">
      <c r="A290" s="908" t="s">
        <v>864</v>
      </c>
      <c r="B290" s="907"/>
      <c r="C290" s="907"/>
      <c r="D290" s="907"/>
      <c r="E290" s="907"/>
      <c r="F290" s="907"/>
      <c r="G290" s="907"/>
      <c r="H290" s="907"/>
    </row>
    <row r="291" spans="1:8" x14ac:dyDescent="0.2">
      <c r="A291" s="908" t="s">
        <v>865</v>
      </c>
      <c r="B291" s="907"/>
      <c r="C291" s="907"/>
      <c r="D291" s="907"/>
      <c r="E291" s="907"/>
      <c r="F291" s="907"/>
      <c r="G291" s="907"/>
      <c r="H291" s="907"/>
    </row>
    <row r="292" spans="1:8" x14ac:dyDescent="0.2">
      <c r="A292" s="908" t="s">
        <v>866</v>
      </c>
      <c r="B292" s="907"/>
      <c r="C292" s="907"/>
      <c r="D292" s="907"/>
      <c r="E292" s="907"/>
      <c r="F292" s="907"/>
      <c r="G292" s="907"/>
      <c r="H292" s="907"/>
    </row>
    <row r="293" spans="1:8" x14ac:dyDescent="0.2">
      <c r="A293" s="908" t="s">
        <v>867</v>
      </c>
      <c r="B293" s="907"/>
      <c r="C293" s="907"/>
      <c r="D293" s="907"/>
      <c r="E293" s="907"/>
      <c r="F293" s="907"/>
      <c r="G293" s="907"/>
      <c r="H293" s="907"/>
    </row>
    <row r="294" spans="1:8" x14ac:dyDescent="0.2">
      <c r="A294" s="908" t="s">
        <v>868</v>
      </c>
      <c r="B294" s="907"/>
      <c r="C294" s="907"/>
      <c r="D294" s="907"/>
      <c r="E294" s="907"/>
      <c r="F294" s="907"/>
      <c r="G294" s="907"/>
      <c r="H294" s="907"/>
    </row>
    <row r="295" spans="1:8" x14ac:dyDescent="0.2">
      <c r="A295" s="908" t="s">
        <v>869</v>
      </c>
      <c r="B295" s="907"/>
      <c r="C295" s="907"/>
      <c r="D295" s="907"/>
      <c r="E295" s="907"/>
      <c r="F295" s="907"/>
      <c r="G295" s="907"/>
      <c r="H295" s="907"/>
    </row>
    <row r="296" spans="1:8" x14ac:dyDescent="0.2">
      <c r="A296" s="908" t="s">
        <v>870</v>
      </c>
      <c r="B296" s="907"/>
      <c r="C296" s="907"/>
      <c r="D296" s="907"/>
      <c r="E296" s="907"/>
      <c r="F296" s="907"/>
      <c r="G296" s="907"/>
      <c r="H296" s="907"/>
    </row>
    <row r="297" spans="1:8" x14ac:dyDescent="0.2">
      <c r="A297" s="907"/>
      <c r="B297" s="907"/>
      <c r="C297" s="907"/>
      <c r="D297" s="907"/>
      <c r="E297" s="907"/>
      <c r="F297" s="907"/>
      <c r="G297" s="907"/>
      <c r="H297" s="907"/>
    </row>
    <row r="298" spans="1:8" x14ac:dyDescent="0.2">
      <c r="A298" s="908" t="s">
        <v>861</v>
      </c>
      <c r="B298" s="907"/>
      <c r="C298" s="907"/>
      <c r="D298" s="907"/>
      <c r="E298" s="907"/>
      <c r="F298" s="907"/>
      <c r="G298" s="907"/>
      <c r="H298" s="907"/>
    </row>
    <row r="299" spans="1:8" x14ac:dyDescent="0.2">
      <c r="A299" s="908" t="s">
        <v>862</v>
      </c>
      <c r="B299" s="907"/>
      <c r="C299" s="907"/>
      <c r="D299" s="907"/>
      <c r="E299" s="907"/>
      <c r="F299" s="907"/>
      <c r="G299" s="907"/>
      <c r="H299" s="907"/>
    </row>
    <row r="300" spans="1:8" x14ac:dyDescent="0.2">
      <c r="A300" s="908" t="s">
        <v>863</v>
      </c>
      <c r="B300" s="907"/>
      <c r="C300" s="907"/>
      <c r="D300" s="907"/>
      <c r="E300" s="907"/>
      <c r="F300" s="907"/>
      <c r="G300" s="907"/>
      <c r="H300" s="907"/>
    </row>
    <row r="301" spans="1:8" x14ac:dyDescent="0.2">
      <c r="A301" s="907"/>
      <c r="B301" s="907"/>
      <c r="C301" s="907"/>
      <c r="D301" s="907"/>
      <c r="E301" s="907"/>
      <c r="F301" s="907"/>
      <c r="G301" s="907"/>
      <c r="H301" s="907"/>
    </row>
    <row r="302" spans="1:8" x14ac:dyDescent="0.2">
      <c r="A302" s="908" t="s">
        <v>859</v>
      </c>
      <c r="B302" s="907"/>
      <c r="C302" s="907"/>
      <c r="D302" s="907"/>
      <c r="E302" s="907"/>
      <c r="F302" s="907"/>
      <c r="G302" s="907"/>
      <c r="H302" s="907"/>
    </row>
    <row r="303" spans="1:8" x14ac:dyDescent="0.2">
      <c r="A303" s="908" t="s">
        <v>860</v>
      </c>
      <c r="B303" s="907"/>
      <c r="C303" s="907"/>
      <c r="D303" s="907"/>
      <c r="E303" s="907"/>
      <c r="F303" s="907"/>
      <c r="G303" s="907"/>
      <c r="H303" s="907"/>
    </row>
    <row r="304" spans="1:8" x14ac:dyDescent="0.2">
      <c r="A304" s="907"/>
      <c r="B304" s="907"/>
      <c r="C304" s="907"/>
      <c r="D304" s="907"/>
      <c r="E304" s="907"/>
      <c r="F304" s="907"/>
      <c r="G304" s="907"/>
      <c r="H304" s="907"/>
    </row>
    <row r="305" spans="1:8" x14ac:dyDescent="0.2">
      <c r="A305" s="908" t="s">
        <v>846</v>
      </c>
      <c r="B305" s="907"/>
      <c r="C305" s="907"/>
      <c r="D305" s="907"/>
      <c r="E305" s="907"/>
      <c r="F305" s="907"/>
      <c r="G305" s="907"/>
      <c r="H305" s="907"/>
    </row>
    <row r="306" spans="1:8" x14ac:dyDescent="0.2">
      <c r="A306" s="908" t="s">
        <v>847</v>
      </c>
      <c r="B306" s="907"/>
      <c r="C306" s="907"/>
      <c r="D306" s="907"/>
      <c r="E306" s="907"/>
      <c r="F306" s="907"/>
      <c r="G306" s="907"/>
      <c r="H306" s="907"/>
    </row>
    <row r="307" spans="1:8" x14ac:dyDescent="0.2">
      <c r="A307" s="908" t="s">
        <v>848</v>
      </c>
      <c r="B307" s="907"/>
      <c r="C307" s="907"/>
      <c r="D307" s="907"/>
      <c r="E307" s="907"/>
      <c r="F307" s="907"/>
      <c r="G307" s="907"/>
      <c r="H307" s="907"/>
    </row>
    <row r="308" spans="1:8" x14ac:dyDescent="0.2">
      <c r="A308" s="908" t="s">
        <v>849</v>
      </c>
      <c r="B308" s="907"/>
      <c r="C308" s="907"/>
      <c r="D308" s="907"/>
      <c r="E308" s="907"/>
      <c r="F308" s="907"/>
      <c r="G308" s="907"/>
      <c r="H308" s="907"/>
    </row>
    <row r="309" spans="1:8" x14ac:dyDescent="0.2">
      <c r="A309" s="908" t="s">
        <v>850</v>
      </c>
      <c r="B309" s="907"/>
      <c r="C309" s="907"/>
      <c r="D309" s="907"/>
      <c r="E309" s="907"/>
      <c r="F309" s="907"/>
      <c r="G309" s="907"/>
      <c r="H309" s="907"/>
    </row>
    <row r="310" spans="1:8" x14ac:dyDescent="0.2">
      <c r="A310" s="908" t="s">
        <v>851</v>
      </c>
      <c r="B310" s="907"/>
      <c r="C310" s="907"/>
      <c r="D310" s="907"/>
      <c r="E310" s="907"/>
      <c r="F310" s="907"/>
      <c r="G310" s="907"/>
      <c r="H310" s="907"/>
    </row>
    <row r="311" spans="1:8" x14ac:dyDescent="0.2">
      <c r="A311" s="908" t="s">
        <v>852</v>
      </c>
      <c r="B311" s="907"/>
      <c r="C311" s="907"/>
      <c r="D311" s="907"/>
      <c r="E311" s="907"/>
      <c r="F311" s="907"/>
      <c r="G311" s="907"/>
      <c r="H311" s="907"/>
    </row>
    <row r="312" spans="1:8" x14ac:dyDescent="0.2">
      <c r="A312" s="908" t="s">
        <v>853</v>
      </c>
      <c r="B312" s="907"/>
      <c r="C312" s="907"/>
      <c r="D312" s="907"/>
      <c r="E312" s="907"/>
      <c r="F312" s="907"/>
      <c r="G312" s="907"/>
      <c r="H312" s="907"/>
    </row>
    <row r="313" spans="1:8" x14ac:dyDescent="0.2">
      <c r="A313" s="908" t="s">
        <v>854</v>
      </c>
      <c r="B313" s="907"/>
      <c r="C313" s="907"/>
      <c r="D313" s="907"/>
      <c r="E313" s="907"/>
      <c r="F313" s="907"/>
      <c r="G313" s="907"/>
      <c r="H313" s="907"/>
    </row>
    <row r="314" spans="1:8" x14ac:dyDescent="0.2">
      <c r="A314" s="908" t="s">
        <v>855</v>
      </c>
      <c r="B314" s="907"/>
      <c r="C314" s="907"/>
      <c r="D314" s="907"/>
      <c r="E314" s="907"/>
      <c r="F314" s="907"/>
      <c r="G314" s="907"/>
      <c r="H314" s="907"/>
    </row>
    <row r="315" spans="1:8" x14ac:dyDescent="0.2">
      <c r="A315" s="908" t="s">
        <v>856</v>
      </c>
      <c r="B315" s="907"/>
      <c r="C315" s="907"/>
      <c r="D315" s="907"/>
      <c r="E315" s="907"/>
      <c r="F315" s="907"/>
      <c r="G315" s="907"/>
      <c r="H315" s="907"/>
    </row>
    <row r="316" spans="1:8" x14ac:dyDescent="0.2">
      <c r="A316" s="908" t="s">
        <v>857</v>
      </c>
      <c r="B316" s="907"/>
      <c r="C316" s="907"/>
      <c r="D316" s="907"/>
      <c r="E316" s="907"/>
      <c r="F316" s="907"/>
      <c r="G316" s="907"/>
      <c r="H316" s="907"/>
    </row>
    <row r="317" spans="1:8" x14ac:dyDescent="0.2">
      <c r="A317" s="908" t="s">
        <v>858</v>
      </c>
      <c r="B317" s="907"/>
      <c r="C317" s="907"/>
      <c r="D317" s="907"/>
      <c r="E317" s="907"/>
      <c r="F317" s="907"/>
      <c r="G317" s="907"/>
      <c r="H317" s="907"/>
    </row>
    <row r="318" spans="1:8" x14ac:dyDescent="0.2">
      <c r="A318" s="907"/>
      <c r="B318" s="907"/>
      <c r="C318" s="907"/>
      <c r="D318" s="907"/>
      <c r="E318" s="907"/>
      <c r="F318" s="907"/>
      <c r="G318" s="907"/>
      <c r="H318" s="907"/>
    </row>
    <row r="319" spans="1:8" x14ac:dyDescent="0.2">
      <c r="A319" s="908" t="s">
        <v>838</v>
      </c>
      <c r="B319" s="907"/>
      <c r="C319" s="907"/>
      <c r="D319" s="907"/>
      <c r="E319" s="907"/>
      <c r="F319" s="907"/>
      <c r="G319" s="907"/>
      <c r="H319" s="907"/>
    </row>
    <row r="320" spans="1:8" x14ac:dyDescent="0.2">
      <c r="A320" s="908" t="s">
        <v>839</v>
      </c>
      <c r="B320" s="907"/>
      <c r="C320" s="907"/>
      <c r="D320" s="907"/>
      <c r="E320" s="907"/>
      <c r="F320" s="907"/>
      <c r="G320" s="907"/>
      <c r="H320" s="907"/>
    </row>
    <row r="321" spans="1:8" x14ac:dyDescent="0.2">
      <c r="A321" s="908" t="s">
        <v>840</v>
      </c>
      <c r="B321" s="907"/>
      <c r="C321" s="907"/>
      <c r="D321" s="907"/>
      <c r="E321" s="907"/>
      <c r="F321" s="907"/>
      <c r="G321" s="907"/>
      <c r="H321" s="907"/>
    </row>
    <row r="322" spans="1:8" x14ac:dyDescent="0.2">
      <c r="A322" s="908" t="s">
        <v>841</v>
      </c>
      <c r="B322" s="907"/>
      <c r="C322" s="907"/>
      <c r="D322" s="907"/>
      <c r="E322" s="907"/>
      <c r="F322" s="907"/>
      <c r="G322" s="907"/>
      <c r="H322" s="907"/>
    </row>
    <row r="323" spans="1:8" x14ac:dyDescent="0.2">
      <c r="A323" s="908" t="s">
        <v>842</v>
      </c>
      <c r="B323" s="907"/>
      <c r="C323" s="907"/>
      <c r="D323" s="907"/>
      <c r="E323" s="907"/>
      <c r="F323" s="907"/>
      <c r="G323" s="907"/>
      <c r="H323" s="907"/>
    </row>
    <row r="324" spans="1:8" x14ac:dyDescent="0.2">
      <c r="A324" s="908" t="s">
        <v>843</v>
      </c>
      <c r="B324" s="907"/>
      <c r="C324" s="907"/>
      <c r="D324" s="907"/>
      <c r="E324" s="907"/>
      <c r="F324" s="907"/>
      <c r="G324" s="907"/>
      <c r="H324" s="907"/>
    </row>
    <row r="325" spans="1:8" x14ac:dyDescent="0.2">
      <c r="A325" s="908" t="s">
        <v>844</v>
      </c>
      <c r="B325" s="907"/>
      <c r="C325" s="907"/>
      <c r="D325" s="907"/>
      <c r="E325" s="907"/>
      <c r="F325" s="907"/>
      <c r="G325" s="907"/>
      <c r="H325" s="907"/>
    </row>
    <row r="326" spans="1:8" x14ac:dyDescent="0.2">
      <c r="A326" s="908" t="s">
        <v>845</v>
      </c>
      <c r="B326" s="907"/>
      <c r="C326" s="907"/>
      <c r="D326" s="907"/>
      <c r="E326" s="907"/>
      <c r="F326" s="907"/>
      <c r="G326" s="907"/>
      <c r="H326" s="907"/>
    </row>
    <row r="327" spans="1:8" x14ac:dyDescent="0.2">
      <c r="A327" s="907"/>
      <c r="B327" s="907"/>
      <c r="C327" s="907"/>
      <c r="D327" s="907"/>
      <c r="E327" s="907"/>
      <c r="F327" s="907"/>
      <c r="G327" s="907"/>
      <c r="H327" s="907"/>
    </row>
    <row r="328" spans="1:8" x14ac:dyDescent="0.2">
      <c r="A328" s="908" t="s">
        <v>803</v>
      </c>
      <c r="B328" s="907"/>
      <c r="C328" s="907"/>
      <c r="D328" s="907"/>
      <c r="E328" s="907"/>
      <c r="F328" s="907"/>
      <c r="G328" s="907"/>
      <c r="H328" s="907"/>
    </row>
    <row r="329" spans="1:8" x14ac:dyDescent="0.2">
      <c r="A329" s="908" t="s">
        <v>804</v>
      </c>
      <c r="B329" s="907"/>
      <c r="C329" s="907"/>
      <c r="D329" s="907"/>
      <c r="E329" s="907"/>
      <c r="F329" s="907"/>
      <c r="G329" s="907"/>
      <c r="H329" s="907"/>
    </row>
    <row r="330" spans="1:8" x14ac:dyDescent="0.2">
      <c r="A330" s="908" t="s">
        <v>805</v>
      </c>
      <c r="B330" s="907"/>
      <c r="C330" s="907"/>
      <c r="D330" s="907"/>
      <c r="E330" s="907"/>
      <c r="F330" s="907"/>
      <c r="G330" s="907"/>
      <c r="H330" s="907"/>
    </row>
    <row r="331" spans="1:8" x14ac:dyDescent="0.2">
      <c r="A331" s="908" t="s">
        <v>806</v>
      </c>
      <c r="B331" s="907"/>
      <c r="C331" s="907"/>
      <c r="D331" s="907"/>
      <c r="E331" s="907"/>
      <c r="F331" s="907"/>
      <c r="G331" s="907"/>
      <c r="H331" s="907"/>
    </row>
    <row r="332" spans="1:8" x14ac:dyDescent="0.2">
      <c r="A332" s="908" t="s">
        <v>807</v>
      </c>
      <c r="B332" s="907"/>
      <c r="C332" s="907"/>
      <c r="D332" s="907"/>
      <c r="E332" s="907"/>
      <c r="F332" s="907"/>
      <c r="G332" s="907"/>
      <c r="H332" s="907"/>
    </row>
    <row r="333" spans="1:8" x14ac:dyDescent="0.2">
      <c r="A333" s="908" t="s">
        <v>808</v>
      </c>
      <c r="B333" s="907"/>
      <c r="C333" s="907"/>
      <c r="D333" s="907"/>
      <c r="E333" s="907"/>
      <c r="F333" s="907"/>
      <c r="G333" s="907"/>
      <c r="H333" s="907"/>
    </row>
    <row r="334" spans="1:8" x14ac:dyDescent="0.2">
      <c r="A334" s="908" t="s">
        <v>809</v>
      </c>
      <c r="B334" s="907"/>
      <c r="C334" s="907"/>
      <c r="D334" s="907"/>
      <c r="E334" s="907"/>
      <c r="F334" s="907"/>
      <c r="G334" s="907"/>
      <c r="H334" s="907"/>
    </row>
    <row r="335" spans="1:8" x14ac:dyDescent="0.2">
      <c r="A335" s="908" t="s">
        <v>810</v>
      </c>
      <c r="B335" s="907"/>
      <c r="C335" s="907"/>
      <c r="D335" s="907"/>
      <c r="E335" s="907"/>
      <c r="F335" s="907"/>
      <c r="G335" s="907"/>
      <c r="H335" s="907"/>
    </row>
    <row r="336" spans="1:8" x14ac:dyDescent="0.2">
      <c r="A336" s="908" t="s">
        <v>811</v>
      </c>
      <c r="B336" s="907"/>
      <c r="C336" s="907"/>
      <c r="D336" s="907"/>
      <c r="E336" s="907"/>
      <c r="F336" s="907"/>
      <c r="G336" s="907"/>
      <c r="H336" s="907"/>
    </row>
    <row r="337" spans="1:8" x14ac:dyDescent="0.2">
      <c r="A337" s="908" t="s">
        <v>812</v>
      </c>
      <c r="B337" s="907"/>
      <c r="C337" s="907"/>
      <c r="D337" s="907"/>
      <c r="E337" s="907"/>
      <c r="F337" s="907"/>
      <c r="G337" s="907"/>
      <c r="H337" s="907"/>
    </row>
    <row r="338" spans="1:8" x14ac:dyDescent="0.2">
      <c r="A338" s="908" t="s">
        <v>813</v>
      </c>
      <c r="B338" s="907"/>
      <c r="C338" s="907"/>
      <c r="D338" s="907"/>
      <c r="E338" s="907"/>
      <c r="F338" s="907"/>
      <c r="G338" s="907"/>
      <c r="H338" s="907"/>
    </row>
    <row r="339" spans="1:8" x14ac:dyDescent="0.2">
      <c r="A339" s="908" t="s">
        <v>814</v>
      </c>
      <c r="B339" s="907"/>
      <c r="C339" s="907"/>
      <c r="D339" s="907"/>
      <c r="E339" s="907"/>
      <c r="F339" s="907"/>
      <c r="G339" s="907"/>
      <c r="H339" s="907"/>
    </row>
    <row r="340" spans="1:8" x14ac:dyDescent="0.2">
      <c r="A340" s="908" t="s">
        <v>815</v>
      </c>
      <c r="B340" s="907"/>
      <c r="C340" s="907"/>
      <c r="D340" s="907"/>
      <c r="E340" s="907"/>
      <c r="F340" s="907"/>
      <c r="G340" s="907"/>
      <c r="H340" s="907"/>
    </row>
    <row r="341" spans="1:8" x14ac:dyDescent="0.2">
      <c r="A341" s="908" t="s">
        <v>816</v>
      </c>
      <c r="B341" s="907"/>
      <c r="C341" s="907"/>
      <c r="D341" s="907"/>
      <c r="E341" s="907"/>
      <c r="F341" s="907"/>
      <c r="G341" s="907"/>
      <c r="H341" s="907"/>
    </row>
    <row r="342" spans="1:8" x14ac:dyDescent="0.2">
      <c r="A342" s="908" t="s">
        <v>817</v>
      </c>
      <c r="B342" s="907"/>
      <c r="C342" s="907"/>
      <c r="D342" s="907"/>
      <c r="E342" s="907"/>
      <c r="F342" s="907"/>
      <c r="G342" s="907"/>
      <c r="H342" s="907"/>
    </row>
    <row r="343" spans="1:8" x14ac:dyDescent="0.2">
      <c r="A343" s="908" t="s">
        <v>818</v>
      </c>
      <c r="B343" s="907"/>
      <c r="C343" s="907"/>
      <c r="D343" s="907"/>
      <c r="E343" s="907"/>
      <c r="F343" s="907"/>
      <c r="G343" s="907"/>
      <c r="H343" s="907"/>
    </row>
    <row r="344" spans="1:8" x14ac:dyDescent="0.2">
      <c r="A344" s="908" t="s">
        <v>819</v>
      </c>
      <c r="B344" s="907"/>
      <c r="C344" s="907"/>
      <c r="D344" s="907"/>
      <c r="E344" s="907"/>
      <c r="F344" s="907"/>
      <c r="G344" s="907"/>
      <c r="H344" s="907"/>
    </row>
    <row r="345" spans="1:8" x14ac:dyDescent="0.2">
      <c r="A345" s="908" t="s">
        <v>820</v>
      </c>
      <c r="B345" s="907"/>
      <c r="C345" s="907"/>
      <c r="D345" s="907"/>
      <c r="E345" s="907"/>
      <c r="F345" s="907"/>
      <c r="G345" s="907"/>
      <c r="H345" s="907"/>
    </row>
    <row r="346" spans="1:8" x14ac:dyDescent="0.2">
      <c r="A346" s="908" t="s">
        <v>821</v>
      </c>
      <c r="B346" s="907"/>
      <c r="C346" s="907"/>
      <c r="D346" s="907"/>
      <c r="E346" s="907"/>
      <c r="F346" s="907"/>
      <c r="G346" s="907"/>
      <c r="H346" s="907"/>
    </row>
    <row r="347" spans="1:8" x14ac:dyDescent="0.2">
      <c r="A347" s="908" t="s">
        <v>822</v>
      </c>
      <c r="B347" s="907"/>
      <c r="C347" s="907"/>
      <c r="D347" s="907"/>
      <c r="E347" s="907"/>
      <c r="F347" s="907"/>
      <c r="G347" s="907"/>
      <c r="H347" s="907"/>
    </row>
    <row r="348" spans="1:8" x14ac:dyDescent="0.2">
      <c r="A348" s="908" t="s">
        <v>823</v>
      </c>
      <c r="B348" s="907"/>
      <c r="C348" s="907"/>
      <c r="D348" s="907"/>
      <c r="E348" s="907"/>
      <c r="F348" s="907"/>
      <c r="G348" s="907"/>
      <c r="H348" s="907"/>
    </row>
    <row r="349" spans="1:8" x14ac:dyDescent="0.2">
      <c r="A349" s="908" t="s">
        <v>824</v>
      </c>
      <c r="B349" s="907"/>
      <c r="C349" s="907"/>
      <c r="D349" s="907"/>
      <c r="E349" s="907"/>
      <c r="F349" s="907"/>
      <c r="G349" s="907"/>
      <c r="H349" s="907"/>
    </row>
    <row r="350" spans="1:8" x14ac:dyDescent="0.2">
      <c r="A350" s="908" t="s">
        <v>825</v>
      </c>
      <c r="B350" s="907"/>
      <c r="C350" s="907"/>
      <c r="D350" s="907"/>
      <c r="E350" s="907"/>
      <c r="F350" s="907"/>
      <c r="G350" s="907"/>
      <c r="H350" s="907"/>
    </row>
    <row r="351" spans="1:8" x14ac:dyDescent="0.2">
      <c r="A351" s="908" t="s">
        <v>826</v>
      </c>
      <c r="B351" s="907"/>
      <c r="C351" s="907"/>
      <c r="D351" s="907"/>
      <c r="E351" s="907"/>
      <c r="F351" s="907"/>
      <c r="G351" s="907"/>
      <c r="H351" s="907"/>
    </row>
    <row r="352" spans="1:8" x14ac:dyDescent="0.2">
      <c r="A352" s="908" t="s">
        <v>827</v>
      </c>
      <c r="B352" s="907"/>
      <c r="C352" s="907"/>
      <c r="D352" s="907"/>
      <c r="E352" s="907"/>
      <c r="F352" s="907"/>
      <c r="G352" s="907"/>
      <c r="H352" s="907"/>
    </row>
    <row r="353" spans="1:8" x14ac:dyDescent="0.2">
      <c r="A353" s="908" t="s">
        <v>828</v>
      </c>
      <c r="B353" s="907"/>
      <c r="C353" s="907"/>
      <c r="D353" s="907"/>
      <c r="E353" s="907"/>
      <c r="F353" s="907"/>
      <c r="G353" s="907"/>
      <c r="H353" s="907"/>
    </row>
    <row r="354" spans="1:8" x14ac:dyDescent="0.2">
      <c r="A354" s="908" t="s">
        <v>829</v>
      </c>
      <c r="B354" s="907"/>
      <c r="C354" s="907"/>
      <c r="D354" s="907"/>
      <c r="E354" s="907"/>
      <c r="F354" s="907"/>
      <c r="G354" s="907"/>
      <c r="H354" s="907"/>
    </row>
    <row r="355" spans="1:8" x14ac:dyDescent="0.2">
      <c r="A355" s="908" t="s">
        <v>830</v>
      </c>
      <c r="B355" s="907"/>
      <c r="C355" s="907"/>
      <c r="D355" s="907"/>
      <c r="E355" s="907"/>
      <c r="F355" s="907"/>
      <c r="G355" s="907"/>
      <c r="H355" s="907"/>
    </row>
    <row r="356" spans="1:8" x14ac:dyDescent="0.2">
      <c r="A356" s="908" t="s">
        <v>831</v>
      </c>
      <c r="B356" s="907"/>
      <c r="C356" s="907"/>
      <c r="D356" s="907"/>
      <c r="E356" s="907"/>
      <c r="F356" s="907"/>
      <c r="G356" s="907"/>
      <c r="H356" s="907"/>
    </row>
    <row r="357" spans="1:8" x14ac:dyDescent="0.2">
      <c r="A357" s="908" t="s">
        <v>832</v>
      </c>
      <c r="B357" s="907"/>
      <c r="C357" s="907"/>
      <c r="D357" s="907"/>
      <c r="E357" s="907"/>
      <c r="F357" s="907"/>
      <c r="G357" s="907"/>
      <c r="H357" s="907"/>
    </row>
    <row r="358" spans="1:8" x14ac:dyDescent="0.2">
      <c r="A358" s="908" t="s">
        <v>833</v>
      </c>
      <c r="B358" s="907"/>
      <c r="C358" s="907"/>
      <c r="D358" s="907"/>
      <c r="E358" s="907"/>
      <c r="F358" s="907"/>
      <c r="G358" s="907"/>
      <c r="H358" s="907"/>
    </row>
    <row r="359" spans="1:8" x14ac:dyDescent="0.2">
      <c r="A359" s="908" t="s">
        <v>834</v>
      </c>
      <c r="B359" s="907"/>
      <c r="C359" s="907"/>
      <c r="D359" s="907"/>
      <c r="E359" s="907"/>
      <c r="F359" s="907"/>
      <c r="G359" s="907"/>
      <c r="H359" s="907"/>
    </row>
    <row r="360" spans="1:8" x14ac:dyDescent="0.2">
      <c r="A360" s="908" t="s">
        <v>835</v>
      </c>
      <c r="B360" s="907"/>
      <c r="C360" s="907"/>
      <c r="D360" s="907"/>
      <c r="E360" s="907"/>
      <c r="F360" s="907"/>
      <c r="G360" s="907"/>
      <c r="H360" s="907"/>
    </row>
    <row r="361" spans="1:8" x14ac:dyDescent="0.2">
      <c r="A361" s="908" t="s">
        <v>836</v>
      </c>
      <c r="B361" s="907"/>
      <c r="C361" s="907"/>
      <c r="D361" s="907"/>
      <c r="E361" s="907"/>
      <c r="F361" s="907"/>
      <c r="G361" s="907"/>
      <c r="H361" s="907"/>
    </row>
    <row r="362" spans="1:8" x14ac:dyDescent="0.2">
      <c r="A362" s="908" t="s">
        <v>837</v>
      </c>
      <c r="B362" s="907"/>
      <c r="C362" s="907"/>
      <c r="D362" s="907"/>
      <c r="E362" s="907"/>
      <c r="F362" s="907"/>
      <c r="G362" s="907"/>
      <c r="H362" s="907"/>
    </row>
    <row r="363" spans="1:8" x14ac:dyDescent="0.2">
      <c r="A363" s="907"/>
      <c r="B363" s="907"/>
      <c r="C363" s="907"/>
      <c r="D363" s="907"/>
      <c r="E363" s="907"/>
      <c r="F363" s="907"/>
      <c r="G363" s="907"/>
      <c r="H363" s="907"/>
    </row>
    <row r="364" spans="1:8" x14ac:dyDescent="0.2">
      <c r="A364" s="908" t="s">
        <v>795</v>
      </c>
      <c r="B364" s="907"/>
      <c r="C364" s="907"/>
      <c r="D364" s="907"/>
      <c r="E364" s="907"/>
      <c r="F364" s="907"/>
      <c r="G364" s="907"/>
      <c r="H364" s="907"/>
    </row>
    <row r="365" spans="1:8" x14ac:dyDescent="0.2">
      <c r="A365" s="908" t="s">
        <v>799</v>
      </c>
      <c r="B365" s="907"/>
      <c r="C365" s="907"/>
      <c r="D365" s="907"/>
      <c r="E365" s="907"/>
      <c r="F365" s="907"/>
      <c r="G365" s="907"/>
      <c r="H365" s="907"/>
    </row>
    <row r="366" spans="1:8" x14ac:dyDescent="0.2">
      <c r="A366" s="908" t="s">
        <v>800</v>
      </c>
      <c r="B366" s="907"/>
      <c r="C366" s="907"/>
      <c r="D366" s="907"/>
      <c r="E366" s="907"/>
      <c r="F366" s="907"/>
      <c r="G366" s="907"/>
      <c r="H366" s="907"/>
    </row>
    <row r="367" spans="1:8" x14ac:dyDescent="0.2">
      <c r="A367" s="908" t="s">
        <v>801</v>
      </c>
      <c r="B367" s="907"/>
      <c r="C367" s="907"/>
      <c r="D367" s="907"/>
      <c r="E367" s="907"/>
      <c r="F367" s="907"/>
      <c r="G367" s="907"/>
      <c r="H367" s="907"/>
    </row>
    <row r="368" spans="1:8" x14ac:dyDescent="0.2">
      <c r="A368" s="908" t="s">
        <v>802</v>
      </c>
      <c r="B368" s="907"/>
      <c r="C368" s="907"/>
      <c r="D368" s="907"/>
      <c r="E368" s="907"/>
      <c r="F368" s="907"/>
      <c r="G368" s="907"/>
      <c r="H368" s="907"/>
    </row>
    <row r="369" spans="1:8" x14ac:dyDescent="0.2">
      <c r="A369" s="907"/>
      <c r="B369" s="907"/>
      <c r="C369" s="907"/>
      <c r="D369" s="907"/>
      <c r="E369" s="907"/>
      <c r="F369" s="907"/>
      <c r="G369" s="907"/>
      <c r="H369" s="907"/>
    </row>
    <row r="370" spans="1:8" x14ac:dyDescent="0.2">
      <c r="A370" s="908" t="s">
        <v>795</v>
      </c>
      <c r="B370" s="907"/>
      <c r="C370" s="907"/>
      <c r="D370" s="907"/>
      <c r="E370" s="907"/>
      <c r="F370" s="907"/>
      <c r="G370" s="907"/>
      <c r="H370" s="907"/>
    </row>
    <row r="371" spans="1:8" x14ac:dyDescent="0.2">
      <c r="A371" s="908" t="s">
        <v>796</v>
      </c>
      <c r="B371" s="907"/>
      <c r="C371" s="907"/>
      <c r="D371" s="907"/>
      <c r="E371" s="907"/>
      <c r="F371" s="907"/>
      <c r="G371" s="907"/>
      <c r="H371" s="907"/>
    </row>
    <row r="372" spans="1:8" x14ac:dyDescent="0.2">
      <c r="A372" s="908" t="s">
        <v>797</v>
      </c>
      <c r="B372" s="907"/>
      <c r="C372" s="907"/>
      <c r="D372" s="907"/>
      <c r="E372" s="907"/>
      <c r="F372" s="907"/>
      <c r="G372" s="907"/>
      <c r="H372" s="907"/>
    </row>
    <row r="373" spans="1:8" x14ac:dyDescent="0.2">
      <c r="A373" s="908" t="s">
        <v>798</v>
      </c>
      <c r="B373" s="907"/>
      <c r="C373" s="907"/>
      <c r="D373" s="907"/>
      <c r="E373" s="907"/>
      <c r="F373" s="907"/>
      <c r="G373" s="907"/>
      <c r="H373" s="907"/>
    </row>
    <row r="374" spans="1:8" x14ac:dyDescent="0.2">
      <c r="A374" s="907"/>
      <c r="B374" s="907"/>
      <c r="C374" s="907"/>
      <c r="D374" s="907"/>
      <c r="E374" s="907"/>
      <c r="F374" s="907"/>
      <c r="G374" s="907"/>
      <c r="H374" s="907"/>
    </row>
    <row r="375" spans="1:8" x14ac:dyDescent="0.2">
      <c r="A375" s="908" t="s">
        <v>789</v>
      </c>
      <c r="B375" s="907"/>
      <c r="C375" s="907"/>
      <c r="D375" s="907"/>
      <c r="E375" s="907"/>
      <c r="F375" s="907"/>
      <c r="G375" s="907"/>
      <c r="H375" s="907"/>
    </row>
    <row r="376" spans="1:8" x14ac:dyDescent="0.2">
      <c r="A376" s="908" t="s">
        <v>790</v>
      </c>
      <c r="B376" s="907"/>
      <c r="C376" s="907"/>
      <c r="D376" s="907"/>
      <c r="E376" s="907"/>
      <c r="F376" s="907"/>
      <c r="G376" s="907"/>
      <c r="H376" s="907"/>
    </row>
    <row r="377" spans="1:8" x14ac:dyDescent="0.2">
      <c r="A377" s="908" t="s">
        <v>791</v>
      </c>
      <c r="B377" s="907"/>
      <c r="C377" s="907"/>
      <c r="D377" s="907"/>
      <c r="E377" s="907"/>
      <c r="F377" s="907"/>
      <c r="G377" s="907"/>
      <c r="H377" s="907"/>
    </row>
    <row r="378" spans="1:8" x14ac:dyDescent="0.2">
      <c r="A378" s="908" t="s">
        <v>792</v>
      </c>
      <c r="B378" s="907"/>
      <c r="C378" s="907"/>
      <c r="D378" s="907"/>
      <c r="E378" s="907"/>
      <c r="F378" s="907"/>
      <c r="G378" s="907"/>
      <c r="H378" s="907"/>
    </row>
    <row r="379" spans="1:8" x14ac:dyDescent="0.2">
      <c r="A379" s="908" t="s">
        <v>793</v>
      </c>
      <c r="B379" s="907"/>
      <c r="C379" s="907"/>
      <c r="D379" s="907"/>
      <c r="E379" s="907"/>
      <c r="F379" s="907"/>
      <c r="G379" s="907"/>
      <c r="H379" s="907"/>
    </row>
    <row r="380" spans="1:8" x14ac:dyDescent="0.2">
      <c r="A380" s="908" t="s">
        <v>794</v>
      </c>
      <c r="B380" s="907"/>
      <c r="C380" s="907"/>
      <c r="D380" s="907"/>
      <c r="E380" s="907"/>
      <c r="F380" s="907"/>
      <c r="G380" s="907"/>
      <c r="H380" s="907"/>
    </row>
    <row r="381" spans="1:8" x14ac:dyDescent="0.2">
      <c r="A381" s="907"/>
      <c r="B381" s="907"/>
      <c r="C381" s="907"/>
      <c r="D381" s="907"/>
      <c r="E381" s="907"/>
      <c r="F381" s="907"/>
      <c r="G381" s="907"/>
      <c r="H381" s="907"/>
    </row>
    <row r="382" spans="1:8" x14ac:dyDescent="0.2">
      <c r="A382" s="908" t="s">
        <v>784</v>
      </c>
      <c r="B382" s="907"/>
      <c r="C382" s="907"/>
      <c r="D382" s="907"/>
      <c r="E382" s="907"/>
      <c r="F382" s="907"/>
      <c r="G382" s="907"/>
      <c r="H382" s="907"/>
    </row>
    <row r="383" spans="1:8" x14ac:dyDescent="0.2">
      <c r="A383" s="908" t="s">
        <v>785</v>
      </c>
      <c r="B383" s="907"/>
      <c r="C383" s="907"/>
      <c r="D383" s="907"/>
      <c r="E383" s="907"/>
      <c r="F383" s="907"/>
      <c r="G383" s="907"/>
      <c r="H383" s="907"/>
    </row>
    <row r="384" spans="1:8" x14ac:dyDescent="0.2">
      <c r="A384" s="908" t="s">
        <v>786</v>
      </c>
      <c r="B384" s="907"/>
      <c r="C384" s="907"/>
      <c r="D384" s="907"/>
      <c r="E384" s="907"/>
      <c r="F384" s="907"/>
      <c r="G384" s="907"/>
      <c r="H384" s="907"/>
    </row>
    <row r="385" spans="1:8" x14ac:dyDescent="0.2">
      <c r="A385" s="908" t="s">
        <v>787</v>
      </c>
      <c r="B385" s="907"/>
      <c r="C385" s="907"/>
      <c r="D385" s="907"/>
      <c r="E385" s="907"/>
      <c r="F385" s="907"/>
      <c r="G385" s="907"/>
      <c r="H385" s="907"/>
    </row>
    <row r="386" spans="1:8" x14ac:dyDescent="0.2">
      <c r="A386" s="908" t="s">
        <v>788</v>
      </c>
      <c r="B386" s="907"/>
      <c r="C386" s="907"/>
      <c r="D386" s="907"/>
      <c r="E386" s="907"/>
      <c r="F386" s="907"/>
      <c r="G386" s="907"/>
      <c r="H386" s="907"/>
    </row>
    <row r="387" spans="1:8" x14ac:dyDescent="0.2">
      <c r="A387" s="907"/>
      <c r="B387" s="907"/>
      <c r="C387" s="907"/>
      <c r="D387" s="907"/>
      <c r="E387" s="907"/>
      <c r="F387" s="907"/>
      <c r="G387" s="907"/>
      <c r="H387" s="907"/>
    </row>
    <row r="388" spans="1:8" x14ac:dyDescent="0.2">
      <c r="A388" s="908" t="s">
        <v>782</v>
      </c>
      <c r="B388" s="907"/>
      <c r="C388" s="907"/>
      <c r="D388" s="907"/>
      <c r="E388" s="907"/>
      <c r="F388" s="907"/>
      <c r="G388" s="907"/>
      <c r="H388" s="907"/>
    </row>
    <row r="389" spans="1:8" x14ac:dyDescent="0.2">
      <c r="A389" s="908" t="s">
        <v>783</v>
      </c>
      <c r="B389" s="907"/>
      <c r="C389" s="907"/>
      <c r="D389" s="907"/>
      <c r="E389" s="907"/>
      <c r="F389" s="907"/>
      <c r="G389" s="907"/>
      <c r="H389" s="907"/>
    </row>
    <row r="391" spans="1:8" x14ac:dyDescent="0.2">
      <c r="A391" s="903" t="s">
        <v>1038</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HI801"/>
  <sheetViews>
    <sheetView showGridLines="0" zoomScaleNormal="100" zoomScaleSheetLayoutView="100" workbookViewId="0">
      <pane xSplit="2" ySplit="23" topLeftCell="EE24" activePane="bottomRight" state="frozen"/>
      <selection activeCell="B1" sqref="B1"/>
      <selection pane="topRight" activeCell="C1" sqref="C1"/>
      <selection pane="bottomLeft" activeCell="B30" sqref="B30"/>
      <selection pane="bottomRight" activeCell="GX1" sqref="GX1"/>
    </sheetView>
  </sheetViews>
  <sheetFormatPr defaultRowHeight="12.75" customHeight="1" outlineLevelRow="1" outlineLevelCol="1" x14ac:dyDescent="0.2"/>
  <cols>
    <col min="1" max="1" width="6.85546875" style="630" hidden="1" customWidth="1"/>
    <col min="2" max="2" width="33.42578125" style="630" customWidth="1"/>
    <col min="3" max="11" width="9.140625" style="630" hidden="1" customWidth="1" outlineLevel="1"/>
    <col min="12" max="12" width="9.140625" style="503" hidden="1" customWidth="1" outlineLevel="1"/>
    <col min="13" max="13" width="9.140625" style="630" hidden="1" customWidth="1" outlineLevel="1"/>
    <col min="14" max="14" width="9.140625" style="503" hidden="1" customWidth="1" outlineLevel="1"/>
    <col min="15" max="15" width="9.140625" style="630" hidden="1" customWidth="1" outlineLevel="1"/>
    <col min="16" max="16" width="9.140625" style="503" hidden="1" customWidth="1" outlineLevel="1"/>
    <col min="17" max="17" width="9.140625" style="630" hidden="1" customWidth="1" outlineLevel="1"/>
    <col min="18" max="18" width="9.140625" style="503" hidden="1" customWidth="1" outlineLevel="1"/>
    <col min="19" max="19" width="9.140625" style="630" hidden="1" customWidth="1" outlineLevel="1"/>
    <col min="20" max="20" width="9.140625" style="503" hidden="1" customWidth="1" outlineLevel="1"/>
    <col min="21" max="21" width="9.140625" style="630" hidden="1" customWidth="1" outlineLevel="1"/>
    <col min="22" max="22" width="9.140625" style="503" hidden="1" customWidth="1" outlineLevel="1"/>
    <col min="23" max="23" width="9.140625" style="630" hidden="1" customWidth="1" outlineLevel="1"/>
    <col min="24" max="24" width="9.140625" style="503" hidden="1" customWidth="1" outlineLevel="1"/>
    <col min="25" max="25" width="9.140625" style="630" hidden="1" customWidth="1" outlineLevel="1"/>
    <col min="26" max="26" width="9.140625" style="503" hidden="1" customWidth="1" outlineLevel="1"/>
    <col min="27" max="27" width="9.140625" style="630" hidden="1" customWidth="1" outlineLevel="1"/>
    <col min="28" max="28" width="9.140625" style="503" hidden="1" customWidth="1" outlineLevel="1"/>
    <col min="29" max="29" width="9.140625" style="630" hidden="1" customWidth="1" outlineLevel="1"/>
    <col min="30" max="30" width="9.140625" style="503" hidden="1" customWidth="1" outlineLevel="1"/>
    <col min="31" max="31" width="9.140625" style="630" hidden="1" customWidth="1" outlineLevel="1"/>
    <col min="32" max="32" width="9.140625" style="503" hidden="1" customWidth="1" outlineLevel="1"/>
    <col min="33" max="33" width="9.140625" style="630" hidden="1" customWidth="1" outlineLevel="1"/>
    <col min="34" max="34" width="9.140625" style="503" hidden="1" customWidth="1" outlineLevel="1"/>
    <col min="35" max="35" width="9.140625" style="630" hidden="1" customWidth="1" outlineLevel="1"/>
    <col min="36" max="36" width="9.140625" style="503" hidden="1" customWidth="1" outlineLevel="1"/>
    <col min="37" max="37" width="9.140625" style="630" hidden="1" customWidth="1" outlineLevel="1"/>
    <col min="38" max="38" width="9.140625" style="503" hidden="1" customWidth="1" outlineLevel="1"/>
    <col min="39" max="39" width="9.140625" style="630" hidden="1" customWidth="1" outlineLevel="1"/>
    <col min="40" max="40" width="9.140625" style="503" hidden="1" customWidth="1" outlineLevel="1"/>
    <col min="41" max="41" width="9.140625" style="630" hidden="1" customWidth="1" outlineLevel="1"/>
    <col min="42" max="42" width="9.140625" style="503" hidden="1" customWidth="1" outlineLevel="1"/>
    <col min="43" max="43" width="9.140625" style="630" hidden="1" customWidth="1" outlineLevel="1"/>
    <col min="44" max="44" width="9.140625" style="503" hidden="1" customWidth="1" outlineLevel="1"/>
    <col min="45" max="45" width="9.140625" style="630" hidden="1" customWidth="1" outlineLevel="1"/>
    <col min="46" max="46" width="9.140625" style="503" hidden="1" customWidth="1" outlineLevel="1"/>
    <col min="47" max="47" width="9.140625" style="630" hidden="1" customWidth="1" outlineLevel="1"/>
    <col min="48" max="48" width="9.140625" style="503" hidden="1" customWidth="1" outlineLevel="1"/>
    <col min="49" max="49" width="9.140625" style="630" hidden="1" customWidth="1" outlineLevel="1"/>
    <col min="50" max="50" width="9.140625" style="503" hidden="1" customWidth="1" outlineLevel="1"/>
    <col min="51" max="51" width="9.140625" style="630" hidden="1" customWidth="1" outlineLevel="1"/>
    <col min="52" max="52" width="9.140625" style="503" hidden="1" customWidth="1" outlineLevel="1"/>
    <col min="53" max="53" width="9.140625" style="630" hidden="1" customWidth="1" outlineLevel="1"/>
    <col min="54" max="54" width="9.140625" style="503" hidden="1" customWidth="1" outlineLevel="1"/>
    <col min="55" max="55" width="9.140625" style="630" hidden="1" customWidth="1" outlineLevel="1"/>
    <col min="56" max="56" width="9.140625" style="503" hidden="1" customWidth="1" outlineLevel="1"/>
    <col min="57" max="57" width="9.140625" style="630" hidden="1" customWidth="1" outlineLevel="1"/>
    <col min="58" max="58" width="9.140625" style="503" hidden="1" customWidth="1" outlineLevel="1"/>
    <col min="59" max="59" width="9.140625" style="630" hidden="1" customWidth="1" outlineLevel="1"/>
    <col min="60" max="60" width="9.140625" style="503" hidden="1" customWidth="1" outlineLevel="1"/>
    <col min="61" max="61" width="9.140625" style="630" hidden="1" customWidth="1" outlineLevel="1"/>
    <col min="62" max="62" width="9.140625" style="503" hidden="1" customWidth="1" outlineLevel="1"/>
    <col min="63" max="63" width="9.140625" style="630" hidden="1" customWidth="1" outlineLevel="1"/>
    <col min="64" max="64" width="9.140625" style="503" hidden="1" customWidth="1" outlineLevel="1"/>
    <col min="65" max="65" width="9.140625" style="630" hidden="1" customWidth="1" outlineLevel="1"/>
    <col min="66" max="66" width="9.140625" style="503" hidden="1" customWidth="1" outlineLevel="1"/>
    <col min="67" max="67" width="9.140625" style="630" hidden="1" customWidth="1" outlineLevel="1" collapsed="1"/>
    <col min="68" max="68" width="9.140625" style="503" hidden="1" customWidth="1" outlineLevel="1"/>
    <col min="69" max="69" width="9.140625" style="630" hidden="1" customWidth="1" outlineLevel="1" collapsed="1"/>
    <col min="70" max="70" width="9.140625" style="503" hidden="1" customWidth="1" outlineLevel="1"/>
    <col min="71" max="71" width="9.140625" style="630" hidden="1" customWidth="1" outlineLevel="1" collapsed="1"/>
    <col min="72" max="72" width="9.140625" style="503" hidden="1" customWidth="1" outlineLevel="1"/>
    <col min="73" max="73" width="9.140625" style="630" hidden="1" customWidth="1" outlineLevel="1" collapsed="1"/>
    <col min="74" max="74" width="9.140625" style="503" hidden="1" customWidth="1" outlineLevel="1"/>
    <col min="75" max="75" width="9.140625" style="630" hidden="1" customWidth="1" outlineLevel="1" collapsed="1"/>
    <col min="76" max="76" width="9.140625" style="503" hidden="1" customWidth="1" outlineLevel="1"/>
    <col min="77" max="77" width="9.140625" style="630" hidden="1" customWidth="1" outlineLevel="1" collapsed="1"/>
    <col min="78" max="78" width="9.140625" style="503" hidden="1" customWidth="1" outlineLevel="1"/>
    <col min="79" max="79" width="9.140625" style="630" hidden="1" customWidth="1" outlineLevel="1" collapsed="1"/>
    <col min="80" max="80" width="9.140625" style="503" hidden="1" customWidth="1" outlineLevel="1"/>
    <col min="81" max="81" width="9.140625" style="630" hidden="1" customWidth="1" outlineLevel="1" collapsed="1"/>
    <col min="82" max="82" width="9.140625" style="503" hidden="1" customWidth="1" outlineLevel="1"/>
    <col min="83" max="83" width="9.140625" style="630" hidden="1" customWidth="1" outlineLevel="1" collapsed="1"/>
    <col min="84" max="84" width="9.140625" style="503" hidden="1" customWidth="1" outlineLevel="1"/>
    <col min="85" max="85" width="9.140625" style="630" hidden="1" customWidth="1" outlineLevel="1" collapsed="1"/>
    <col min="86" max="86" width="9.140625" style="503" hidden="1" customWidth="1" outlineLevel="1"/>
    <col min="87" max="87" width="9.140625" style="630" hidden="1" customWidth="1" outlineLevel="1" collapsed="1"/>
    <col min="88" max="88" width="9.140625" style="503" hidden="1" customWidth="1" outlineLevel="1"/>
    <col min="89" max="89" width="9.140625" style="630" hidden="1" customWidth="1" outlineLevel="1" collapsed="1"/>
    <col min="90" max="90" width="9.140625" style="503" hidden="1" customWidth="1" outlineLevel="1"/>
    <col min="91" max="91" width="9.140625" style="630" hidden="1" customWidth="1" outlineLevel="1"/>
    <col min="92" max="92" width="9.140625" style="503" hidden="1" customWidth="1" outlineLevel="1"/>
    <col min="93" max="93" width="9.140625" style="630" hidden="1" customWidth="1" outlineLevel="1"/>
    <col min="94" max="94" width="9.140625" style="503" hidden="1" customWidth="1" outlineLevel="1"/>
    <col min="95" max="95" width="9.140625" style="630" hidden="1" customWidth="1" outlineLevel="1"/>
    <col min="96" max="96" width="9.140625" style="503" hidden="1" customWidth="1" outlineLevel="1"/>
    <col min="97" max="97" width="9.140625" style="630" hidden="1" customWidth="1" outlineLevel="1"/>
    <col min="98" max="98" width="9.140625" style="503" hidden="1" customWidth="1" outlineLevel="1"/>
    <col min="99" max="99" width="9.140625" style="630" hidden="1" customWidth="1" outlineLevel="1" collapsed="1"/>
    <col min="100" max="100" width="9.140625" style="503" hidden="1" customWidth="1" outlineLevel="1"/>
    <col min="101" max="101" width="9.140625" style="630" hidden="1" customWidth="1" outlineLevel="1" collapsed="1"/>
    <col min="102" max="102" width="9.140625" style="503" hidden="1" customWidth="1" outlineLevel="1"/>
    <col min="103" max="103" width="9.140625" style="630" hidden="1" customWidth="1" outlineLevel="1" collapsed="1"/>
    <col min="104" max="104" width="9.140625" style="503" hidden="1" customWidth="1" outlineLevel="1"/>
    <col min="105" max="105" width="9.140625" style="630" hidden="1" customWidth="1" outlineLevel="1" collapsed="1"/>
    <col min="106" max="106" width="9.140625" style="503" hidden="1" customWidth="1" outlineLevel="1"/>
    <col min="107" max="107" width="9.140625" style="630" hidden="1" customWidth="1" outlineLevel="1"/>
    <col min="108" max="108" width="9.140625" style="503" hidden="1" customWidth="1" outlineLevel="1"/>
    <col min="109" max="109" width="9.140625" style="630" hidden="1" customWidth="1" outlineLevel="1" collapsed="1"/>
    <col min="110" max="110" width="9.140625" style="503" hidden="1" customWidth="1" outlineLevel="1"/>
    <col min="111" max="111" width="9.140625" style="630" hidden="1" customWidth="1" outlineLevel="1" collapsed="1"/>
    <col min="112" max="112" width="9.140625" style="503" hidden="1" customWidth="1" outlineLevel="1"/>
    <col min="113" max="113" width="9.140625" style="630" hidden="1" customWidth="1" outlineLevel="1" collapsed="1"/>
    <col min="114" max="114" width="9.140625" style="503" hidden="1" customWidth="1" outlineLevel="1"/>
    <col min="115" max="115" width="9.140625" style="630" hidden="1" customWidth="1" outlineLevel="1"/>
    <col min="116" max="116" width="9.140625" style="503" hidden="1" customWidth="1" outlineLevel="1"/>
    <col min="117" max="117" width="9.42578125" style="630" hidden="1" customWidth="1" outlineLevel="1"/>
    <col min="118" max="118" width="9.140625" style="503" hidden="1" customWidth="1" outlineLevel="1"/>
    <col min="119" max="119" width="9.42578125" style="630" hidden="1" customWidth="1" outlineLevel="1"/>
    <col min="120" max="120" width="9.140625" style="503" hidden="1" customWidth="1" outlineLevel="1"/>
    <col min="121" max="121" width="9.42578125" style="630" hidden="1" customWidth="1" outlineLevel="1"/>
    <col min="122" max="122" width="9.140625" style="503" hidden="1" customWidth="1" outlineLevel="1"/>
    <col min="123" max="123" width="9.140625" style="630" hidden="1" customWidth="1" outlineLevel="1"/>
    <col min="124" max="124" width="9.140625" style="503" hidden="1" customWidth="1" outlineLevel="1"/>
    <col min="125" max="125" width="9.140625" style="630" hidden="1" customWidth="1" outlineLevel="1"/>
    <col min="126" max="126" width="9.140625" style="503" hidden="1" customWidth="1" outlineLevel="1"/>
    <col min="127" max="127" width="9.140625" style="630" hidden="1" customWidth="1" outlineLevel="1"/>
    <col min="128" max="128" width="9.140625" style="503" hidden="1" customWidth="1" outlineLevel="1"/>
    <col min="129" max="129" width="9.140625" style="630" hidden="1" customWidth="1" outlineLevel="1"/>
    <col min="130" max="130" width="9.140625" style="503" hidden="1" customWidth="1" outlineLevel="1"/>
    <col min="131" max="131" width="9.140625" style="630" collapsed="1"/>
    <col min="132" max="132" width="9.140625" style="503" hidden="1" customWidth="1" outlineLevel="1"/>
    <col min="133" max="133" width="9.140625" style="630" collapsed="1"/>
    <col min="134" max="134" width="9.140625" style="503" hidden="1" customWidth="1" outlineLevel="1"/>
    <col min="135" max="135" width="9.140625" style="630" collapsed="1"/>
    <col min="136" max="136" width="9.140625" style="503" hidden="1" customWidth="1" outlineLevel="1"/>
    <col min="137" max="137" width="9.140625" style="630" collapsed="1"/>
    <col min="138" max="138" width="9.140625" style="503" hidden="1" customWidth="1" outlineLevel="1"/>
    <col min="139" max="139" width="9.140625" style="630" collapsed="1"/>
    <col min="140" max="140" width="9.140625" style="503" hidden="1" customWidth="1" outlineLevel="1"/>
    <col min="141" max="141" width="9.140625" style="630" collapsed="1"/>
    <col min="142" max="142" width="9.140625" style="503" hidden="1" customWidth="1" outlineLevel="1"/>
    <col min="143" max="143" width="9.140625" style="630" collapsed="1"/>
    <col min="144" max="144" width="9.140625" style="503" hidden="1" customWidth="1" outlineLevel="1"/>
    <col min="145" max="145" width="9.140625" style="897" collapsed="1"/>
    <col min="146" max="146" width="9.140625" style="503" hidden="1" customWidth="1" outlineLevel="1"/>
    <col min="147" max="147" width="9.140625" style="630" collapsed="1"/>
    <col min="148" max="148" width="9.140625" style="503" hidden="1" customWidth="1" outlineLevel="1"/>
    <col min="149" max="149" width="9.140625" style="630" collapsed="1"/>
    <col min="150" max="150" width="9.140625" style="503" hidden="1" customWidth="1" outlineLevel="1"/>
    <col min="151" max="151" width="9.140625" style="630" collapsed="1"/>
    <col min="152" max="152" width="9.140625" style="503" hidden="1" customWidth="1" outlineLevel="1"/>
    <col min="153" max="153" width="9.140625" style="630" collapsed="1"/>
    <col min="154" max="154" width="9.140625" style="503" hidden="1" customWidth="1" outlineLevel="1"/>
    <col min="155" max="155" width="0.85546875" style="630" customWidth="1" collapsed="1"/>
    <col min="156" max="156" width="0.85546875" style="558" customWidth="1"/>
    <col min="157" max="157" width="0.85546875" style="630" customWidth="1" collapsed="1"/>
    <col min="158" max="160" width="9.140625" style="630" hidden="1" customWidth="1" outlineLevel="1"/>
    <col min="161" max="161" width="9.140625" style="503" hidden="1" customWidth="1" outlineLevel="1"/>
    <col min="162" max="162" width="9.140625" style="630" hidden="1" customWidth="1" outlineLevel="1"/>
    <col min="163" max="163" width="9.140625" style="503" hidden="1" customWidth="1" outlineLevel="1"/>
    <col min="164" max="164" width="9.140625" style="630" hidden="1" customWidth="1" outlineLevel="1"/>
    <col min="165" max="165" width="9.140625" style="503" hidden="1" customWidth="1" outlineLevel="1"/>
    <col min="166" max="166" width="9.140625" style="630" hidden="1" customWidth="1" outlineLevel="1" collapsed="1"/>
    <col min="167" max="167" width="9.140625" style="503" hidden="1" customWidth="1" outlineLevel="1"/>
    <col min="168" max="168" width="9.140625" style="630" hidden="1" customWidth="1" outlineLevel="1"/>
    <col min="169" max="169" width="9.140625" style="503" hidden="1" customWidth="1" outlineLevel="1"/>
    <col min="170" max="170" width="9.140625" style="630" hidden="1" customWidth="1" outlineLevel="1" collapsed="1"/>
    <col min="171" max="171" width="9.140625" style="503" hidden="1" customWidth="1" outlineLevel="1"/>
    <col min="172" max="172" width="9.140625" style="630" hidden="1" customWidth="1" outlineLevel="1" collapsed="1"/>
    <col min="173" max="173" width="9.140625" style="503" hidden="1" customWidth="1" outlineLevel="1"/>
    <col min="174" max="174" width="9.140625" style="630" hidden="1" customWidth="1" outlineLevel="1" collapsed="1"/>
    <col min="175" max="175" width="9.140625" style="503" hidden="1" customWidth="1" outlineLevel="1"/>
    <col min="176" max="176" width="9.140625" style="630" hidden="1" customWidth="1" outlineLevel="1" collapsed="1"/>
    <col min="177" max="177" width="9.140625" style="503" hidden="1" customWidth="1" outlineLevel="1"/>
    <col min="178" max="178" width="9.140625" style="630" hidden="1" customWidth="1" outlineLevel="1" collapsed="1"/>
    <col min="179" max="179" width="9.140625" style="503" hidden="1" customWidth="1" outlineLevel="1"/>
    <col min="180" max="180" width="9.140625" style="630" hidden="1" customWidth="1" outlineLevel="1" collapsed="1"/>
    <col min="181" max="181" width="9.140625" style="503" hidden="1" customWidth="1" outlineLevel="1"/>
    <col min="182" max="182" width="9.140625" style="630" hidden="1" customWidth="1" outlineLevel="1" collapsed="1"/>
    <col min="183" max="183" width="9.140625" style="503" hidden="1" customWidth="1" outlineLevel="1"/>
    <col min="184" max="184" width="9.140625" style="630" hidden="1" customWidth="1" outlineLevel="1" collapsed="1"/>
    <col min="185" max="185" width="9.140625" style="503" hidden="1" customWidth="1" outlineLevel="1"/>
    <col min="186" max="186" width="9.140625" style="630" hidden="1" customWidth="1" outlineLevel="1" collapsed="1"/>
    <col min="187" max="187" width="9.140625" style="503" hidden="1" customWidth="1" outlineLevel="1"/>
    <col min="188" max="188" width="9.140625" style="630" hidden="1" customWidth="1" outlineLevel="1"/>
    <col min="189" max="189" width="9.140625" style="503" hidden="1" customWidth="1" outlineLevel="1"/>
    <col min="190" max="190" width="9.140625" style="630" collapsed="1"/>
    <col min="191" max="191" width="9.140625" style="503" hidden="1" customWidth="1" outlineLevel="1"/>
    <col min="192" max="192" width="9.140625" style="630" collapsed="1"/>
    <col min="193" max="193" width="9.140625" style="503" hidden="1" customWidth="1" outlineLevel="1"/>
    <col min="194" max="194" width="9.140625" style="630" collapsed="1"/>
    <col min="195" max="195" width="9.140625" style="503" hidden="1" customWidth="1" outlineLevel="1"/>
    <col min="196" max="196" width="9.140625" style="630" collapsed="1"/>
    <col min="197" max="197" width="9.140625" style="503" hidden="1" customWidth="1" outlineLevel="1"/>
    <col min="198" max="198" width="9.140625" style="630" collapsed="1"/>
    <col min="199" max="199" width="9.140625" style="503" hidden="1" customWidth="1" outlineLevel="1"/>
    <col min="200" max="200" width="9.140625" style="630" collapsed="1"/>
    <col min="201" max="201" width="9.140625" style="503" hidden="1" customWidth="1" outlineLevel="1"/>
    <col min="202" max="202" width="9.140625" style="630" collapsed="1"/>
    <col min="203" max="203" width="9.140625" style="503" hidden="1" customWidth="1" outlineLevel="1"/>
    <col min="204" max="204" width="9.140625" style="630" collapsed="1"/>
    <col min="205" max="205" width="9.140625" style="503" hidden="1" customWidth="1" outlineLevel="1"/>
    <col min="206" max="206" width="9.140625" style="630" collapsed="1"/>
    <col min="207" max="207" width="9.140625" style="503" hidden="1" customWidth="1" outlineLevel="1"/>
    <col min="208" max="208" width="9.140625" style="503" collapsed="1"/>
    <col min="209" max="209" width="9.140625" style="503"/>
    <col min="210" max="210" width="9.140625" style="630"/>
    <col min="211" max="216" width="9.140625" hidden="1" customWidth="1" outlineLevel="1"/>
    <col min="217" max="217" width="9.140625" style="630" collapsed="1"/>
    <col min="218" max="16384" width="9.140625" style="630"/>
  </cols>
  <sheetData>
    <row r="1" spans="1:217" s="7" customFormat="1" ht="12.75" customHeight="1" x14ac:dyDescent="0.2">
      <c r="B1" s="826"/>
      <c r="C1" s="827"/>
      <c r="D1" s="828"/>
      <c r="E1" s="827"/>
      <c r="F1" s="828"/>
      <c r="G1" s="827"/>
      <c r="H1" s="828"/>
      <c r="I1" s="827"/>
      <c r="J1" s="828"/>
      <c r="K1" s="827"/>
      <c r="L1" s="828"/>
      <c r="M1" s="827"/>
      <c r="N1" s="828"/>
      <c r="O1" s="827"/>
      <c r="P1" s="828"/>
      <c r="Q1" s="827"/>
      <c r="R1" s="828"/>
      <c r="S1" s="827"/>
      <c r="T1" s="828"/>
      <c r="U1" s="827"/>
      <c r="V1" s="828"/>
      <c r="W1" s="827"/>
      <c r="X1" s="828"/>
      <c r="Y1" s="827"/>
      <c r="Z1" s="828"/>
      <c r="AA1" s="827"/>
      <c r="AB1" s="828"/>
      <c r="AC1" s="827"/>
      <c r="AD1" s="828"/>
      <c r="AE1" s="827"/>
      <c r="AF1" s="828"/>
      <c r="AG1" s="827"/>
      <c r="AH1" s="828"/>
      <c r="AI1" s="827"/>
      <c r="AJ1" s="828"/>
      <c r="AK1" s="827"/>
      <c r="AL1" s="828"/>
      <c r="AM1" s="827"/>
      <c r="AN1" s="828"/>
      <c r="AO1" s="827"/>
      <c r="AP1" s="828"/>
      <c r="AQ1" s="827"/>
      <c r="AR1" s="828"/>
      <c r="AS1" s="827"/>
      <c r="AT1" s="828"/>
      <c r="AU1" s="827"/>
      <c r="AV1" s="828"/>
      <c r="AW1" s="827"/>
      <c r="AX1" s="828"/>
      <c r="AY1" s="827"/>
      <c r="AZ1" s="828"/>
      <c r="BA1" s="827"/>
      <c r="BB1" s="828"/>
      <c r="BC1" s="827"/>
      <c r="BD1" s="828"/>
      <c r="BE1" s="827"/>
      <c r="BF1" s="828"/>
      <c r="BG1" s="827"/>
      <c r="BH1" s="828"/>
      <c r="BI1" s="827"/>
      <c r="BJ1" s="828"/>
      <c r="BK1" s="827"/>
      <c r="BL1" s="828"/>
      <c r="BM1" s="827"/>
      <c r="BN1" s="828"/>
      <c r="BO1" s="827"/>
      <c r="BP1" s="828"/>
      <c r="BQ1" s="827"/>
      <c r="BR1" s="828"/>
      <c r="BS1" s="827"/>
      <c r="BT1" s="828"/>
      <c r="BU1" s="827"/>
      <c r="BV1" s="828"/>
      <c r="BW1" s="827"/>
      <c r="BX1" s="828"/>
      <c r="BY1" s="827"/>
      <c r="BZ1" s="828"/>
      <c r="CA1" s="827"/>
      <c r="CB1" s="828"/>
      <c r="CC1" s="827"/>
      <c r="CD1" s="828"/>
      <c r="CE1" s="827"/>
      <c r="CF1" s="828"/>
      <c r="CG1" s="827"/>
      <c r="CH1" s="828"/>
      <c r="CI1" s="827"/>
      <c r="CJ1" s="828"/>
      <c r="CK1" s="827"/>
      <c r="CL1" s="828"/>
      <c r="CM1" s="827"/>
      <c r="CN1" s="828"/>
      <c r="CO1" s="827"/>
      <c r="CP1" s="828"/>
      <c r="CQ1" s="827"/>
      <c r="CR1" s="828"/>
      <c r="CS1" s="827"/>
      <c r="CT1" s="828"/>
      <c r="CU1" s="827"/>
      <c r="CV1" s="828"/>
      <c r="CW1" s="827"/>
      <c r="CX1" s="828"/>
      <c r="CY1" s="827"/>
      <c r="CZ1" s="828"/>
      <c r="DA1" s="827"/>
      <c r="DB1" s="828"/>
      <c r="DC1" s="827"/>
      <c r="DD1" s="828"/>
      <c r="DE1" s="827"/>
      <c r="DF1" s="828"/>
      <c r="DG1" s="827"/>
      <c r="DH1" s="828"/>
      <c r="DI1" s="827"/>
      <c r="DJ1" s="828"/>
      <c r="DK1" s="829"/>
      <c r="DL1" s="828"/>
      <c r="DM1" s="827"/>
      <c r="DN1" s="828"/>
      <c r="DO1" s="827"/>
      <c r="DP1" s="828"/>
      <c r="DQ1" s="827"/>
      <c r="DR1" s="828"/>
      <c r="DS1" s="830"/>
      <c r="DT1" s="828"/>
      <c r="DU1" s="830"/>
      <c r="DV1" s="828"/>
      <c r="DW1" s="830"/>
      <c r="DX1" s="828"/>
      <c r="DY1" s="830"/>
      <c r="DZ1" s="830">
        <v>-6.8389663929181888</v>
      </c>
      <c r="EA1" s="830"/>
      <c r="EB1" s="830">
        <v>10.867928829662921</v>
      </c>
      <c r="EC1" s="830"/>
      <c r="ED1" s="830">
        <v>6.9181265624316923</v>
      </c>
      <c r="EE1" s="830"/>
      <c r="EF1" s="830">
        <v>44.865050372332462</v>
      </c>
      <c r="EG1" s="830"/>
      <c r="EH1" s="828"/>
      <c r="EI1" s="830"/>
      <c r="EJ1" s="828"/>
      <c r="EK1" s="830"/>
      <c r="EL1" s="828"/>
      <c r="EM1" s="830"/>
      <c r="EN1" s="828"/>
      <c r="EO1" s="830"/>
      <c r="EP1" s="828"/>
      <c r="EQ1" s="844"/>
      <c r="ER1" s="845">
        <v>13.103440714598612</v>
      </c>
      <c r="ES1" s="844"/>
      <c r="ET1" s="845">
        <v>12.775143652564779</v>
      </c>
      <c r="EU1" s="844"/>
      <c r="EV1" s="845">
        <v>12.083284584221321</v>
      </c>
      <c r="EW1" s="844"/>
      <c r="EX1" s="828"/>
      <c r="EY1" s="831"/>
      <c r="EZ1" s="832"/>
      <c r="FA1" s="831"/>
      <c r="FB1" s="827"/>
      <c r="FC1" s="828"/>
      <c r="FD1" s="827"/>
      <c r="FE1" s="828"/>
      <c r="FF1" s="827"/>
      <c r="FG1" s="828"/>
      <c r="FH1" s="827"/>
      <c r="FI1" s="828"/>
      <c r="FJ1" s="827"/>
      <c r="FK1" s="828"/>
      <c r="FL1" s="833"/>
      <c r="FM1" s="828"/>
      <c r="FN1" s="833"/>
      <c r="FO1" s="828"/>
      <c r="FP1" s="833"/>
      <c r="FQ1" s="828"/>
      <c r="FR1" s="833"/>
      <c r="FS1" s="828"/>
      <c r="FT1" s="833"/>
      <c r="FU1" s="828"/>
      <c r="FV1" s="833"/>
      <c r="FW1" s="828"/>
      <c r="FX1" s="833"/>
      <c r="FY1" s="828"/>
      <c r="FZ1" s="833"/>
      <c r="GA1" s="828"/>
      <c r="GB1" s="833"/>
      <c r="GC1" s="828"/>
      <c r="GD1" s="833"/>
      <c r="GE1" s="828"/>
      <c r="GF1" s="830"/>
      <c r="GG1" s="834"/>
      <c r="GH1" s="830"/>
      <c r="GI1" s="834"/>
      <c r="GJ1" s="830"/>
      <c r="GK1" s="830"/>
      <c r="GL1" s="830"/>
      <c r="GM1" s="830"/>
      <c r="GN1" s="844"/>
      <c r="GO1" s="830"/>
      <c r="GP1" s="844"/>
      <c r="GQ1" s="830">
        <v>12.810499412971721</v>
      </c>
      <c r="GR1" s="844"/>
      <c r="GS1" s="830">
        <v>8.9496062170376867</v>
      </c>
      <c r="GT1" s="844"/>
      <c r="GU1" s="822">
        <v>11.904149599195035</v>
      </c>
      <c r="GV1" s="844"/>
      <c r="GW1" s="822">
        <v>7.7582703455193247</v>
      </c>
      <c r="GX1" s="844"/>
      <c r="GY1" s="822"/>
      <c r="GZ1" s="821"/>
      <c r="HA1" s="13"/>
      <c r="HB1" s="452"/>
      <c r="HC1"/>
      <c r="HD1"/>
      <c r="HE1"/>
      <c r="HF1"/>
      <c r="HG1"/>
      <c r="HH1"/>
    </row>
    <row r="2" spans="1:217" customFormat="1" ht="12.75" hidden="1" customHeight="1" outlineLevel="1" x14ac:dyDescent="0.2"/>
    <row r="3" spans="1:217" s="8" customFormat="1" ht="12.75" hidden="1" customHeight="1" outlineLevel="1" x14ac:dyDescent="0.2">
      <c r="B3" s="5"/>
      <c r="C3" s="9" t="s">
        <v>317</v>
      </c>
      <c r="D3" s="10"/>
      <c r="E3" s="9" t="s">
        <v>318</v>
      </c>
      <c r="F3" s="10"/>
      <c r="G3" s="9" t="s">
        <v>319</v>
      </c>
      <c r="H3" s="10"/>
      <c r="I3" s="9" t="s">
        <v>320</v>
      </c>
      <c r="J3" s="10"/>
      <c r="K3" s="9" t="s">
        <v>321</v>
      </c>
      <c r="L3" s="496"/>
      <c r="M3" s="9" t="s">
        <v>322</v>
      </c>
      <c r="N3" s="496"/>
      <c r="O3" s="9" t="s">
        <v>323</v>
      </c>
      <c r="P3" s="496"/>
      <c r="Q3" s="9" t="s">
        <v>324</v>
      </c>
      <c r="R3" s="496"/>
      <c r="S3" s="9" t="s">
        <v>325</v>
      </c>
      <c r="T3" s="496"/>
      <c r="U3" s="9" t="s">
        <v>487</v>
      </c>
      <c r="V3" s="496"/>
      <c r="W3" s="9" t="s">
        <v>415</v>
      </c>
      <c r="X3" s="496"/>
      <c r="Y3" s="9" t="s">
        <v>116</v>
      </c>
      <c r="Z3" s="496"/>
      <c r="AA3" s="9" t="s">
        <v>46</v>
      </c>
      <c r="AB3" s="496"/>
      <c r="AC3" s="9" t="s">
        <v>34</v>
      </c>
      <c r="AD3" s="496"/>
      <c r="AE3" s="9" t="s">
        <v>35</v>
      </c>
      <c r="AF3" s="496"/>
      <c r="AG3" s="4" t="s">
        <v>5</v>
      </c>
      <c r="AH3" s="496"/>
      <c r="AI3" s="4" t="s">
        <v>326</v>
      </c>
      <c r="AJ3" s="496"/>
      <c r="AK3" s="9" t="s">
        <v>327</v>
      </c>
      <c r="AL3" s="496"/>
      <c r="AM3" s="4" t="s">
        <v>328</v>
      </c>
      <c r="AN3" s="496"/>
      <c r="AO3" s="4" t="s">
        <v>329</v>
      </c>
      <c r="AP3" s="496"/>
      <c r="AQ3" s="4" t="s">
        <v>451</v>
      </c>
      <c r="AR3" s="496"/>
      <c r="AS3" s="4" t="s">
        <v>452</v>
      </c>
      <c r="AT3" s="496"/>
      <c r="AU3" s="4" t="s">
        <v>453</v>
      </c>
      <c r="AV3" s="496"/>
      <c r="AW3" s="4" t="s">
        <v>454</v>
      </c>
      <c r="AX3" s="496"/>
      <c r="AY3" s="4" t="s">
        <v>17</v>
      </c>
      <c r="AZ3" s="496"/>
      <c r="BA3" s="4" t="s">
        <v>387</v>
      </c>
      <c r="BB3" s="496"/>
      <c r="BC3" s="4" t="s">
        <v>388</v>
      </c>
      <c r="BD3" s="496"/>
      <c r="BE3" s="4" t="s">
        <v>389</v>
      </c>
      <c r="BF3" s="496"/>
      <c r="BG3" s="4" t="s">
        <v>460</v>
      </c>
      <c r="BH3" s="496"/>
      <c r="BI3" s="4" t="s">
        <v>39</v>
      </c>
      <c r="BJ3" s="496"/>
      <c r="BK3" s="4" t="s">
        <v>334</v>
      </c>
      <c r="BL3" s="496"/>
      <c r="BM3" s="4" t="s">
        <v>86</v>
      </c>
      <c r="BN3" s="496"/>
      <c r="BO3" s="4" t="s">
        <v>600</v>
      </c>
      <c r="BP3" s="496"/>
      <c r="BQ3" s="4" t="s">
        <v>601</v>
      </c>
      <c r="BR3" s="496"/>
      <c r="BS3" s="4" t="s">
        <v>602</v>
      </c>
      <c r="BT3" s="496"/>
      <c r="BU3" s="4" t="s">
        <v>603</v>
      </c>
      <c r="BV3" s="496"/>
      <c r="BW3" s="4" t="s">
        <v>177</v>
      </c>
      <c r="BX3" s="496"/>
      <c r="BY3" s="4" t="s">
        <v>176</v>
      </c>
      <c r="BZ3" s="496"/>
      <c r="CA3" s="4" t="s">
        <v>175</v>
      </c>
      <c r="CB3" s="496"/>
      <c r="CC3" s="4" t="s">
        <v>178</v>
      </c>
      <c r="CD3" s="496"/>
      <c r="CE3" s="4" t="s">
        <v>169</v>
      </c>
      <c r="CF3" s="496"/>
      <c r="CG3" s="4" t="s">
        <v>170</v>
      </c>
      <c r="CH3" s="496"/>
      <c r="CI3" s="4" t="s">
        <v>171</v>
      </c>
      <c r="CJ3" s="496"/>
      <c r="CK3" s="4" t="s">
        <v>172</v>
      </c>
      <c r="CL3" s="496"/>
      <c r="CM3" s="4" t="s">
        <v>532</v>
      </c>
      <c r="CN3" s="496"/>
      <c r="CO3" s="4" t="s">
        <v>77</v>
      </c>
      <c r="CP3" s="496"/>
      <c r="CQ3" s="4" t="s">
        <v>78</v>
      </c>
      <c r="CR3" s="496"/>
      <c r="CS3" s="4" t="s">
        <v>79</v>
      </c>
      <c r="CT3" s="507"/>
      <c r="CU3" s="22" t="s">
        <v>470</v>
      </c>
      <c r="CV3" s="507"/>
      <c r="CW3" s="22" t="s">
        <v>471</v>
      </c>
      <c r="CX3" s="507"/>
      <c r="CY3" s="22" t="s">
        <v>472</v>
      </c>
      <c r="CZ3" s="508"/>
      <c r="DA3" s="22" t="s">
        <v>473</v>
      </c>
      <c r="DB3" s="507"/>
      <c r="DC3" s="22" t="s">
        <v>133</v>
      </c>
      <c r="DD3" s="507"/>
      <c r="DE3" s="22" t="s">
        <v>134</v>
      </c>
      <c r="DF3" s="507"/>
      <c r="DG3" s="22" t="s">
        <v>135</v>
      </c>
      <c r="DH3" s="507"/>
      <c r="DI3" s="22" t="s">
        <v>136</v>
      </c>
      <c r="DJ3" s="507"/>
      <c r="DK3" s="22" t="s">
        <v>509</v>
      </c>
      <c r="DL3" s="507"/>
      <c r="DM3" s="22" t="s">
        <v>510</v>
      </c>
      <c r="DN3" s="507"/>
      <c r="DO3" s="22" t="s">
        <v>511</v>
      </c>
      <c r="DP3" s="507"/>
      <c r="DQ3" s="22" t="s">
        <v>512</v>
      </c>
      <c r="DR3" s="507"/>
      <c r="DS3" s="22" t="s">
        <v>678</v>
      </c>
      <c r="DT3" s="507"/>
      <c r="DU3" s="22" t="s">
        <v>679</v>
      </c>
      <c r="DV3" s="507"/>
      <c r="DW3" s="22" t="s">
        <v>680</v>
      </c>
      <c r="DX3" s="507"/>
      <c r="DY3" s="22" t="s">
        <v>681</v>
      </c>
      <c r="DZ3" s="507"/>
      <c r="EA3" s="22" t="s">
        <v>696</v>
      </c>
      <c r="EB3" s="507"/>
      <c r="EC3" s="22" t="s">
        <v>697</v>
      </c>
      <c r="ED3" s="507"/>
      <c r="EE3" s="22" t="s">
        <v>698</v>
      </c>
      <c r="EF3" s="507"/>
      <c r="EG3" s="22" t="s">
        <v>699</v>
      </c>
      <c r="EH3" s="507"/>
      <c r="EI3" s="22" t="s">
        <v>708</v>
      </c>
      <c r="EJ3" s="507"/>
      <c r="EK3" s="22" t="s">
        <v>709</v>
      </c>
      <c r="EL3" s="507"/>
      <c r="EM3" s="22" t="s">
        <v>710</v>
      </c>
      <c r="EN3" s="507"/>
      <c r="EO3" s="22" t="s">
        <v>711</v>
      </c>
      <c r="EP3" s="507"/>
      <c r="EQ3" s="22" t="s">
        <v>721</v>
      </c>
      <c r="ER3" s="507"/>
      <c r="ES3" s="22" t="s">
        <v>722</v>
      </c>
      <c r="ET3" s="507"/>
      <c r="EU3" s="22" t="s">
        <v>723</v>
      </c>
      <c r="EV3" s="507"/>
      <c r="EW3" s="22" t="s">
        <v>720</v>
      </c>
      <c r="EX3" s="507"/>
      <c r="EY3" s="4"/>
      <c r="EZ3" s="558"/>
      <c r="FA3" s="4"/>
      <c r="FB3" s="4" t="s">
        <v>565</v>
      </c>
      <c r="FC3" s="10"/>
      <c r="FD3" s="4" t="s">
        <v>566</v>
      </c>
      <c r="FE3" s="496"/>
      <c r="FF3" s="4" t="s">
        <v>567</v>
      </c>
      <c r="FG3" s="496"/>
      <c r="FH3" s="4" t="s">
        <v>568</v>
      </c>
      <c r="FI3" s="496"/>
      <c r="FJ3" s="4" t="s">
        <v>569</v>
      </c>
      <c r="FK3" s="496"/>
      <c r="FL3" s="4" t="s">
        <v>570</v>
      </c>
      <c r="FM3" s="496"/>
      <c r="FN3" s="4" t="s">
        <v>571</v>
      </c>
      <c r="FO3" s="496"/>
      <c r="FP3" s="4" t="s">
        <v>572</v>
      </c>
      <c r="FQ3" s="496"/>
      <c r="FR3" s="4" t="s">
        <v>573</v>
      </c>
      <c r="FS3" s="514"/>
      <c r="FT3" s="4" t="s">
        <v>574</v>
      </c>
      <c r="FU3" s="514"/>
      <c r="FV3" s="4" t="s">
        <v>140</v>
      </c>
      <c r="FW3" s="514"/>
      <c r="FX3" s="4" t="s">
        <v>267</v>
      </c>
      <c r="FY3" s="514"/>
      <c r="FZ3" s="4" t="s">
        <v>423</v>
      </c>
      <c r="GA3" s="514"/>
      <c r="GB3" s="4" t="s">
        <v>335</v>
      </c>
      <c r="GC3" s="514"/>
      <c r="GD3" s="4" t="s">
        <v>425</v>
      </c>
      <c r="GE3" s="514"/>
      <c r="GF3" s="4" t="s">
        <v>179</v>
      </c>
      <c r="GG3" s="514"/>
      <c r="GH3" s="4" t="s">
        <v>173</v>
      </c>
      <c r="GI3" s="514"/>
      <c r="GJ3" s="4" t="s">
        <v>80</v>
      </c>
      <c r="GK3" s="514"/>
      <c r="GL3" s="4" t="s">
        <v>474</v>
      </c>
      <c r="GM3" s="514"/>
      <c r="GN3" s="4" t="s">
        <v>132</v>
      </c>
      <c r="GO3" s="514"/>
      <c r="GP3" s="4" t="s">
        <v>513</v>
      </c>
      <c r="GQ3" s="514"/>
      <c r="GR3" s="4" t="s">
        <v>682</v>
      </c>
      <c r="GS3" s="514"/>
      <c r="GT3" s="4" t="s">
        <v>700</v>
      </c>
      <c r="GU3" s="514"/>
      <c r="GV3" s="4" t="s">
        <v>712</v>
      </c>
      <c r="GW3" s="514"/>
      <c r="GX3" s="4" t="s">
        <v>724</v>
      </c>
      <c r="GY3" s="514"/>
      <c r="GZ3" s="514"/>
      <c r="HA3" s="514"/>
      <c r="HB3" s="453"/>
      <c r="HC3"/>
      <c r="HD3"/>
      <c r="HE3"/>
      <c r="HF3"/>
      <c r="HG3"/>
      <c r="HH3"/>
    </row>
    <row r="4" spans="1:217" s="465" customFormat="1" ht="12.75" customHeight="1" collapsed="1" x14ac:dyDescent="0.2">
      <c r="B4" s="898" t="s">
        <v>395</v>
      </c>
      <c r="C4" s="466"/>
      <c r="D4" s="467"/>
      <c r="E4" s="466"/>
      <c r="F4" s="467"/>
      <c r="G4" s="466"/>
      <c r="H4" s="467"/>
      <c r="I4" s="466"/>
      <c r="J4" s="467"/>
      <c r="K4" s="468"/>
      <c r="L4" s="13" t="str">
        <f>K6&amp;"/"</f>
        <v>1Q01/</v>
      </c>
      <c r="M4" s="14"/>
      <c r="N4" s="13" t="str">
        <f>M6&amp;"/"</f>
        <v>2Q01/</v>
      </c>
      <c r="O4" s="14"/>
      <c r="P4" s="13" t="str">
        <f>O6&amp;"/"</f>
        <v>3Q01/</v>
      </c>
      <c r="Q4" s="14"/>
      <c r="R4" s="13" t="str">
        <f>Q6&amp;"/"</f>
        <v>4Q01/</v>
      </c>
      <c r="S4" s="14"/>
      <c r="T4" s="13" t="str">
        <f>S6&amp;"/"</f>
        <v>1Q02/</v>
      </c>
      <c r="U4" s="14"/>
      <c r="V4" s="13" t="str">
        <f>U6&amp;"/"</f>
        <v>2Q02/</v>
      </c>
      <c r="W4" s="14"/>
      <c r="X4" s="13" t="str">
        <f>W6&amp;"/"</f>
        <v>3Q02/</v>
      </c>
      <c r="Y4" s="14"/>
      <c r="Z4" s="13" t="str">
        <f>Y6&amp;"/"</f>
        <v>4Q02/</v>
      </c>
      <c r="AA4" s="14"/>
      <c r="AB4" s="13" t="str">
        <f>AA6&amp;"/"</f>
        <v>1Q03/</v>
      </c>
      <c r="AC4" s="14"/>
      <c r="AD4" s="13" t="str">
        <f>AC6&amp;"/"</f>
        <v>2Q03/</v>
      </c>
      <c r="AE4" s="14"/>
      <c r="AF4" s="13" t="str">
        <f>AE6&amp;"/"</f>
        <v>3Q03/</v>
      </c>
      <c r="AG4" s="14"/>
      <c r="AH4" s="13" t="str">
        <f>AG6&amp;"/"</f>
        <v>4Q03/</v>
      </c>
      <c r="AI4" s="14"/>
      <c r="AJ4" s="13" t="str">
        <f>AI6&amp;"/"</f>
        <v>1Q04/</v>
      </c>
      <c r="AK4" s="14"/>
      <c r="AL4" s="13" t="str">
        <f>AK6&amp;"/"</f>
        <v>2Q04/</v>
      </c>
      <c r="AM4" s="14"/>
      <c r="AN4" s="13" t="str">
        <f>AM6&amp;"/"</f>
        <v>3Q04/</v>
      </c>
      <c r="AO4" s="14"/>
      <c r="AP4" s="13" t="str">
        <f>AO6&amp;"/"</f>
        <v>4Q04/</v>
      </c>
      <c r="AQ4" s="14"/>
      <c r="AR4" s="13" t="str">
        <f>AQ6&amp;"/"</f>
        <v>1Q05/</v>
      </c>
      <c r="AS4" s="14"/>
      <c r="AT4" s="13" t="str">
        <f>AS6&amp;"/"</f>
        <v>2Q05/</v>
      </c>
      <c r="AU4" s="14"/>
      <c r="AV4" s="13" t="str">
        <f>AU6&amp;"/"</f>
        <v>3Q05/</v>
      </c>
      <c r="AW4" s="14"/>
      <c r="AX4" s="13" t="str">
        <f>AW6&amp;"/"</f>
        <v>4Q05/</v>
      </c>
      <c r="AY4" s="14"/>
      <c r="AZ4" s="13" t="str">
        <f>AY6&amp;"/"</f>
        <v>1Q06/</v>
      </c>
      <c r="BA4" s="14"/>
      <c r="BB4" s="13" t="str">
        <f>BA6&amp;"/"</f>
        <v>2Q06/</v>
      </c>
      <c r="BC4" s="14"/>
      <c r="BD4" s="13" t="str">
        <f>BC6&amp;"/"</f>
        <v>3Q06/</v>
      </c>
      <c r="BE4" s="14"/>
      <c r="BF4" s="13" t="str">
        <f>BE6&amp;"/"</f>
        <v>4Q06/</v>
      </c>
      <c r="BG4" s="14"/>
      <c r="BH4" s="13" t="str">
        <f>BG6&amp;"/"</f>
        <v>1Q07/</v>
      </c>
      <c r="BI4" s="12"/>
      <c r="BJ4" s="13" t="str">
        <f>BI6&amp;"/"</f>
        <v>2Q07/</v>
      </c>
      <c r="BK4" s="460"/>
      <c r="BL4" s="13" t="str">
        <f>BK6&amp;"/"</f>
        <v>3Q07/</v>
      </c>
      <c r="BM4" s="460"/>
      <c r="BN4" s="13" t="str">
        <f>BM6&amp;"/"</f>
        <v>4Q07/</v>
      </c>
      <c r="BO4" s="460"/>
      <c r="BP4" s="13" t="str">
        <f>BO6&amp;"/"</f>
        <v>1Q08/</v>
      </c>
      <c r="BQ4" s="460"/>
      <c r="BR4" s="13" t="str">
        <f>BQ6&amp;"/"</f>
        <v>2Q08/</v>
      </c>
      <c r="BS4" s="460"/>
      <c r="BT4" s="13" t="str">
        <f>BS6&amp;"/"</f>
        <v>3Q08/</v>
      </c>
      <c r="BU4" s="460"/>
      <c r="BV4" s="13" t="str">
        <f>BU6&amp;"/"</f>
        <v>4Q08/</v>
      </c>
      <c r="BW4" s="460"/>
      <c r="BX4" s="13" t="str">
        <f>BW6&amp;"/"</f>
        <v>1Q09/</v>
      </c>
      <c r="BY4" s="5"/>
      <c r="BZ4" s="13" t="str">
        <f>BY6&amp;"/"</f>
        <v>2Q09/</v>
      </c>
      <c r="CA4" s="461"/>
      <c r="CB4" s="13" t="str">
        <f>CA6&amp;"/"</f>
        <v>3Q09/</v>
      </c>
      <c r="CC4" s="462"/>
      <c r="CD4" s="13" t="str">
        <f>CC6&amp;"/"</f>
        <v>4Q09/</v>
      </c>
      <c r="CE4" s="462"/>
      <c r="CF4" s="13" t="str">
        <f>CE6&amp;"/"</f>
        <v>1Q10/</v>
      </c>
      <c r="CG4" s="462"/>
      <c r="CH4" s="13" t="str">
        <f>CG6&amp;"/"</f>
        <v>2Q10/</v>
      </c>
      <c r="CI4" s="463"/>
      <c r="CJ4" s="13" t="str">
        <f>CI6&amp;"/"</f>
        <v>3Q10/</v>
      </c>
      <c r="CK4" s="463"/>
      <c r="CL4" s="13" t="str">
        <f>CK6&amp;"/"</f>
        <v>4Q10/</v>
      </c>
      <c r="CM4" s="462"/>
      <c r="CN4" s="13" t="str">
        <f>CM6&amp;"/"</f>
        <v>1Q11/</v>
      </c>
      <c r="CO4" s="462"/>
      <c r="CP4" s="13" t="str">
        <f>CO6&amp;"/"</f>
        <v>2Q11/</v>
      </c>
      <c r="CQ4" s="462"/>
      <c r="CR4" s="13" t="str">
        <f>CQ6&amp;"/"</f>
        <v>3Q11/</v>
      </c>
      <c r="CS4" s="462"/>
      <c r="CT4" s="13" t="str">
        <f>CS6&amp;"/"</f>
        <v>4Q11/</v>
      </c>
      <c r="CU4" s="464"/>
      <c r="CV4" s="459" t="str">
        <f>CU6&amp;"/"</f>
        <v>1Q12/</v>
      </c>
      <c r="CW4" s="464"/>
      <c r="CX4" s="459" t="str">
        <f>CW6&amp;"/"</f>
        <v>2Q12/</v>
      </c>
      <c r="CY4" s="464"/>
      <c r="CZ4" s="459" t="str">
        <f>CY6&amp;"/"</f>
        <v>3Q12/</v>
      </c>
      <c r="DA4" s="546"/>
      <c r="DB4" s="459" t="str">
        <f>DA6&amp;"/"</f>
        <v>4Q12/</v>
      </c>
      <c r="DC4" s="546"/>
      <c r="DD4" s="459" t="str">
        <f>DC6&amp;"/"</f>
        <v>1Q13/</v>
      </c>
      <c r="DE4" s="546"/>
      <c r="DF4" s="459" t="str">
        <f>DE6&amp;"/"</f>
        <v>2Q13/</v>
      </c>
      <c r="DG4" s="546"/>
      <c r="DH4" s="459" t="str">
        <f>DG6&amp;"/"</f>
        <v>3Q13/</v>
      </c>
      <c r="DI4" s="546"/>
      <c r="DJ4" s="459" t="str">
        <f>DI6&amp;"/"</f>
        <v>4Q13/</v>
      </c>
      <c r="DK4" s="546"/>
      <c r="DL4" s="459" t="str">
        <f>DK6&amp;"/"</f>
        <v>1Q14/</v>
      </c>
      <c r="DM4" s="546"/>
      <c r="DN4" s="459" t="str">
        <f>DM6&amp;"/"</f>
        <v>2Q14/</v>
      </c>
      <c r="DO4" s="546"/>
      <c r="DP4" s="459" t="str">
        <f>DO6&amp;"/"</f>
        <v>3Q14/</v>
      </c>
      <c r="DQ4" s="546"/>
      <c r="DR4" s="459" t="str">
        <f>DQ6&amp;"/"</f>
        <v>4Q14/</v>
      </c>
      <c r="DS4" s="546"/>
      <c r="DT4" s="459" t="str">
        <f>DS6&amp;"/"</f>
        <v>1Q15/</v>
      </c>
      <c r="DU4" s="546"/>
      <c r="DV4" s="459" t="str">
        <f>DU6&amp;"/"</f>
        <v>2Q15/</v>
      </c>
      <c r="DW4" s="546"/>
      <c r="DX4" s="809" t="str">
        <f>DW6&amp;"/"</f>
        <v>3Q15/</v>
      </c>
      <c r="DY4" s="808"/>
      <c r="DZ4" s="809" t="str">
        <f>DY6&amp;"/"</f>
        <v>4Q15/</v>
      </c>
      <c r="EA4" s="823"/>
      <c r="EB4" s="824" t="str">
        <f>EA6&amp;"/"</f>
        <v>1Q16/</v>
      </c>
      <c r="EC4" s="823"/>
      <c r="ED4" s="824" t="str">
        <f>EC6&amp;"/"</f>
        <v>2Q16/</v>
      </c>
      <c r="EE4" s="823"/>
      <c r="EF4" s="824" t="str">
        <f>EE6&amp;"/"</f>
        <v>3Q16/</v>
      </c>
      <c r="EG4" s="823"/>
      <c r="EH4" s="835" t="str">
        <f>EG6&amp;"/"</f>
        <v>4Q16/</v>
      </c>
      <c r="EI4" s="823"/>
      <c r="EJ4" s="835" t="str">
        <f t="shared" ref="EJ4" si="0">EI6&amp;"/"</f>
        <v>1Q17/</v>
      </c>
      <c r="EK4" s="823"/>
      <c r="EL4" s="835" t="str">
        <f t="shared" ref="EL4" si="1">EK6&amp;"/"</f>
        <v>2Q17/</v>
      </c>
      <c r="EM4" s="823"/>
      <c r="EN4" s="835" t="str">
        <f t="shared" ref="EN4" si="2">EM6&amp;"/"</f>
        <v>3Q17/</v>
      </c>
      <c r="EO4" s="823"/>
      <c r="EP4" s="835" t="str">
        <f t="shared" ref="EP4" si="3">EO6&amp;"/"</f>
        <v>4Q17/</v>
      </c>
      <c r="EQ4" s="823"/>
      <c r="ER4" s="835" t="str">
        <f t="shared" ref="ER4" si="4">EQ6&amp;"/"</f>
        <v>1Q18E/</v>
      </c>
      <c r="ES4" s="823"/>
      <c r="ET4" s="835" t="str">
        <f t="shared" ref="ET4" si="5">ES6&amp;"/"</f>
        <v>2Q18E/</v>
      </c>
      <c r="EU4" s="823"/>
      <c r="EV4" s="835" t="str">
        <f t="shared" ref="EV4" si="6">EU6&amp;"/"</f>
        <v>3Q18E/</v>
      </c>
      <c r="EW4" s="823"/>
      <c r="EX4" s="835" t="str">
        <f t="shared" ref="EX4" si="7">EW6&amp;"/"</f>
        <v>4Q18E/</v>
      </c>
      <c r="EY4" s="836"/>
      <c r="EZ4" s="837"/>
      <c r="FA4" s="836"/>
      <c r="FB4" s="836"/>
      <c r="FC4" s="838"/>
      <c r="FD4" s="836"/>
      <c r="FE4" s="839" t="str">
        <f>FD6&amp;"/"</f>
        <v>1999/</v>
      </c>
      <c r="FF4" s="836"/>
      <c r="FG4" s="839" t="str">
        <f>FF6&amp;"/"</f>
        <v>2000/</v>
      </c>
      <c r="FH4" s="836"/>
      <c r="FI4" s="839" t="str">
        <f>FH6&amp;"/"</f>
        <v>2001/</v>
      </c>
      <c r="FJ4" s="836"/>
      <c r="FK4" s="839" t="str">
        <f>FJ6&amp;"/"</f>
        <v>2002/</v>
      </c>
      <c r="FL4" s="840"/>
      <c r="FM4" s="839" t="str">
        <f>FL6&amp;"/"</f>
        <v>2003/</v>
      </c>
      <c r="FN4" s="840"/>
      <c r="FO4" s="839" t="str">
        <f>FN6&amp;"/"</f>
        <v>2004/</v>
      </c>
      <c r="FP4" s="840"/>
      <c r="FQ4" s="839" t="str">
        <f>FP6&amp;"/"</f>
        <v>2005/</v>
      </c>
      <c r="FR4" s="840"/>
      <c r="FS4" s="839" t="str">
        <f>FR6&amp;"/"</f>
        <v>2006/</v>
      </c>
      <c r="FT4" s="841"/>
      <c r="FU4" s="842" t="str">
        <f>FT6&amp;"/"</f>
        <v>2007/</v>
      </c>
      <c r="FV4" s="840"/>
      <c r="FW4" s="842" t="str">
        <f>FV6&amp;"/"</f>
        <v>2008/</v>
      </c>
      <c r="FX4" s="841"/>
      <c r="FY4" s="842" t="str">
        <f>FX6&amp;"/"</f>
        <v>2009/</v>
      </c>
      <c r="FZ4" s="843"/>
      <c r="GA4" s="842" t="str">
        <f>FZ6&amp;"/"</f>
        <v>2010/</v>
      </c>
      <c r="GB4" s="843"/>
      <c r="GC4" s="842" t="str">
        <f>GB6&amp;"/"</f>
        <v>2011/</v>
      </c>
      <c r="GD4" s="843"/>
      <c r="GE4" s="842" t="str">
        <f>GD6&amp;"/"</f>
        <v>2012/</v>
      </c>
      <c r="GF4" s="843"/>
      <c r="GG4" s="842" t="str">
        <f>GF6&amp;"/"</f>
        <v>2013/</v>
      </c>
      <c r="GH4" s="843"/>
      <c r="GI4" s="842" t="str">
        <f>GH6&amp;"/"</f>
        <v>2014/</v>
      </c>
      <c r="GJ4" s="823"/>
      <c r="GK4" s="835" t="str">
        <f>GJ6&amp;"/"</f>
        <v>2015/</v>
      </c>
      <c r="GL4" s="823"/>
      <c r="GM4" s="835" t="str">
        <f>GL6&amp;"/"</f>
        <v>2016/</v>
      </c>
      <c r="GN4" s="823"/>
      <c r="GO4" s="835" t="str">
        <f>GN6&amp;"/"</f>
        <v>2017/</v>
      </c>
      <c r="GP4" s="823"/>
      <c r="GQ4" s="835" t="str">
        <f>GP6&amp;"/"</f>
        <v>2018E/</v>
      </c>
      <c r="GR4" s="823"/>
      <c r="GS4" s="835" t="str">
        <f>GR6&amp;"/"</f>
        <v>2019E/</v>
      </c>
      <c r="GT4" s="823"/>
      <c r="GU4" s="17" t="str">
        <f>GT6&amp;"/"</f>
        <v>2020E/</v>
      </c>
      <c r="GV4" s="547"/>
      <c r="GW4" s="17" t="str">
        <f>GV6&amp;"/"</f>
        <v>2021E/</v>
      </c>
      <c r="GX4" s="547"/>
      <c r="GY4" s="17" t="str">
        <f>GX6&amp;"/"</f>
        <v>2022E/</v>
      </c>
      <c r="GZ4" s="17" t="s">
        <v>393</v>
      </c>
      <c r="HA4" s="17"/>
      <c r="HB4" s="454"/>
      <c r="HC4"/>
      <c r="HD4"/>
      <c r="HE4"/>
      <c r="HF4"/>
      <c r="HG4"/>
      <c r="HH4"/>
    </row>
    <row r="5" spans="1:217" s="5" customFormat="1" ht="12.75" customHeight="1" x14ac:dyDescent="0.2">
      <c r="B5" s="898"/>
      <c r="C5" s="12"/>
      <c r="D5" s="13"/>
      <c r="E5" s="12"/>
      <c r="F5" s="13"/>
      <c r="G5" s="12"/>
      <c r="H5" s="13"/>
      <c r="I5" s="12"/>
      <c r="J5" s="13"/>
      <c r="K5" s="12"/>
      <c r="L5" s="13" t="str">
        <f>C6</f>
        <v>1Q00</v>
      </c>
      <c r="M5" s="12"/>
      <c r="N5" s="13" t="str">
        <f>E6</f>
        <v>2Q00</v>
      </c>
      <c r="O5" s="12"/>
      <c r="P5" s="13" t="str">
        <f>G6</f>
        <v>3Q00</v>
      </c>
      <c r="Q5" s="12"/>
      <c r="R5" s="13" t="str">
        <f>I6</f>
        <v>4Q00</v>
      </c>
      <c r="S5" s="12"/>
      <c r="T5" s="13" t="str">
        <f>K6</f>
        <v>1Q01</v>
      </c>
      <c r="U5" s="12"/>
      <c r="V5" s="13" t="str">
        <f>M6</f>
        <v>2Q01</v>
      </c>
      <c r="W5" s="12"/>
      <c r="X5" s="13" t="str">
        <f>O6</f>
        <v>3Q01</v>
      </c>
      <c r="Y5" s="12"/>
      <c r="Z5" s="13" t="str">
        <f>Q6</f>
        <v>4Q01</v>
      </c>
      <c r="AA5" s="12"/>
      <c r="AB5" s="13" t="str">
        <f>S6</f>
        <v>1Q02</v>
      </c>
      <c r="AC5" s="14"/>
      <c r="AD5" s="13" t="str">
        <f>U6</f>
        <v>2Q02</v>
      </c>
      <c r="AE5" s="14"/>
      <c r="AF5" s="13" t="str">
        <f>W6</f>
        <v>3Q02</v>
      </c>
      <c r="AG5" s="14"/>
      <c r="AH5" s="13" t="str">
        <f>Y6</f>
        <v>4Q02</v>
      </c>
      <c r="AI5" s="14"/>
      <c r="AJ5" s="13" t="str">
        <f>AA6</f>
        <v>1Q03</v>
      </c>
      <c r="AK5" s="14"/>
      <c r="AL5" s="13" t="str">
        <f>AC6</f>
        <v>2Q03</v>
      </c>
      <c r="AM5" s="14"/>
      <c r="AN5" s="13" t="str">
        <f>AE6</f>
        <v>3Q03</v>
      </c>
      <c r="AO5" s="14"/>
      <c r="AP5" s="13" t="str">
        <f>AG6</f>
        <v>4Q03</v>
      </c>
      <c r="AQ5" s="14"/>
      <c r="AR5" s="13" t="str">
        <f>AI6</f>
        <v>1Q04</v>
      </c>
      <c r="AS5" s="14"/>
      <c r="AT5" s="13" t="str">
        <f>AK6</f>
        <v>2Q04</v>
      </c>
      <c r="AU5" s="14"/>
      <c r="AV5" s="13" t="str">
        <f>AM6</f>
        <v>3Q04</v>
      </c>
      <c r="AW5" s="14"/>
      <c r="AX5" s="13" t="str">
        <f>AO6</f>
        <v>4Q04</v>
      </c>
      <c r="AY5" s="14"/>
      <c r="AZ5" s="13" t="str">
        <f>AQ6</f>
        <v>1Q05</v>
      </c>
      <c r="BA5" s="14"/>
      <c r="BB5" s="13" t="str">
        <f>AS6</f>
        <v>2Q05</v>
      </c>
      <c r="BC5" s="14"/>
      <c r="BD5" s="13" t="str">
        <f>AU6</f>
        <v>3Q05</v>
      </c>
      <c r="BE5" s="14"/>
      <c r="BF5" s="13" t="str">
        <f>AW6</f>
        <v>4Q05</v>
      </c>
      <c r="BG5" s="14"/>
      <c r="BH5" s="13" t="str">
        <f>AY6</f>
        <v>1Q06</v>
      </c>
      <c r="BI5" s="14"/>
      <c r="BJ5" s="13" t="str">
        <f>BA6</f>
        <v>2Q06</v>
      </c>
      <c r="BK5" s="14"/>
      <c r="BL5" s="13" t="str">
        <f>BC6</f>
        <v>3Q06</v>
      </c>
      <c r="BM5" s="14"/>
      <c r="BN5" s="13" t="str">
        <f>BE6</f>
        <v>4Q06</v>
      </c>
      <c r="BO5" s="14"/>
      <c r="BP5" s="13" t="str">
        <f>BG6</f>
        <v>1Q07</v>
      </c>
      <c r="BQ5" s="14"/>
      <c r="BR5" s="13" t="str">
        <f>BI6</f>
        <v>2Q07</v>
      </c>
      <c r="BS5" s="14"/>
      <c r="BT5" s="13" t="str">
        <f>BK6</f>
        <v>3Q07</v>
      </c>
      <c r="BU5" s="14"/>
      <c r="BV5" s="13" t="str">
        <f>BM6</f>
        <v>4Q07</v>
      </c>
      <c r="BW5" s="14"/>
      <c r="BX5" s="13" t="str">
        <f>BO6</f>
        <v>1Q08</v>
      </c>
      <c r="BY5" s="14"/>
      <c r="BZ5" s="13" t="str">
        <f>BQ6</f>
        <v>2Q08</v>
      </c>
      <c r="CA5" s="14"/>
      <c r="CB5" s="13" t="str">
        <f>BS6</f>
        <v>3Q08</v>
      </c>
      <c r="CC5" s="14"/>
      <c r="CD5" s="13" t="str">
        <f>BU6</f>
        <v>4Q08</v>
      </c>
      <c r="CE5" s="14"/>
      <c r="CF5" s="13" t="str">
        <f>BW6</f>
        <v>1Q09</v>
      </c>
      <c r="CG5" s="14"/>
      <c r="CH5" s="13" t="str">
        <f>BY6</f>
        <v>2Q09</v>
      </c>
      <c r="CI5" s="14"/>
      <c r="CJ5" s="13" t="str">
        <f>CA6</f>
        <v>3Q09</v>
      </c>
      <c r="CK5" s="14"/>
      <c r="CL5" s="13" t="str">
        <f>CC6</f>
        <v>4Q09</v>
      </c>
      <c r="CM5" s="14"/>
      <c r="CN5" s="13" t="str">
        <f>CE6</f>
        <v>1Q10</v>
      </c>
      <c r="CO5" s="14"/>
      <c r="CP5" s="13" t="str">
        <f>CG6</f>
        <v>2Q10</v>
      </c>
      <c r="CQ5" s="14"/>
      <c r="CR5" s="13" t="str">
        <f>CI6</f>
        <v>3Q10</v>
      </c>
      <c r="CS5" s="14"/>
      <c r="CT5" s="13" t="str">
        <f>CK6</f>
        <v>4Q10</v>
      </c>
      <c r="CU5" s="14"/>
      <c r="CV5" s="13" t="str">
        <f>CM6</f>
        <v>1Q11</v>
      </c>
      <c r="CW5" s="14"/>
      <c r="CX5" s="13" t="str">
        <f>CO6</f>
        <v>2Q11</v>
      </c>
      <c r="CY5" s="14"/>
      <c r="CZ5" s="13" t="str">
        <f>CQ6</f>
        <v>3Q11</v>
      </c>
      <c r="DA5" s="14"/>
      <c r="DB5" s="13" t="str">
        <f>CS6</f>
        <v>4Q11</v>
      </c>
      <c r="DC5" s="14"/>
      <c r="DD5" s="13" t="str">
        <f>CU6</f>
        <v>1Q12</v>
      </c>
      <c r="DE5" s="14"/>
      <c r="DF5" s="13" t="str">
        <f>CW6</f>
        <v>2Q12</v>
      </c>
      <c r="DG5" s="14"/>
      <c r="DH5" s="13" t="str">
        <f>CY6</f>
        <v>3Q12</v>
      </c>
      <c r="DI5" s="14"/>
      <c r="DJ5" s="13" t="str">
        <f>DA6</f>
        <v>4Q12</v>
      </c>
      <c r="DK5" s="14"/>
      <c r="DL5" s="13" t="str">
        <f>DC6</f>
        <v>1Q13</v>
      </c>
      <c r="DM5" s="14"/>
      <c r="DN5" s="13" t="str">
        <f>DE6</f>
        <v>2Q13</v>
      </c>
      <c r="DO5" s="14"/>
      <c r="DP5" s="13" t="str">
        <f>DG6</f>
        <v>3Q13</v>
      </c>
      <c r="DQ5" s="14"/>
      <c r="DR5" s="13" t="str">
        <f>DI6</f>
        <v>4Q13</v>
      </c>
      <c r="DS5" s="15"/>
      <c r="DT5" s="13" t="str">
        <f>DK6</f>
        <v>1Q14</v>
      </c>
      <c r="DU5" s="15"/>
      <c r="DV5" s="13" t="str">
        <f>DM6</f>
        <v>2Q14</v>
      </c>
      <c r="DW5" s="15"/>
      <c r="DX5" s="13" t="str">
        <f>DO6</f>
        <v>3Q14</v>
      </c>
      <c r="DY5" s="15"/>
      <c r="DZ5" s="13" t="str">
        <f>DQ6</f>
        <v>4Q14</v>
      </c>
      <c r="EA5" s="15"/>
      <c r="EB5" s="13" t="str">
        <f>DS6</f>
        <v>1Q15</v>
      </c>
      <c r="EC5" s="15"/>
      <c r="ED5" s="13" t="str">
        <f>DU6</f>
        <v>2Q15</v>
      </c>
      <c r="EE5" s="15"/>
      <c r="EF5" s="13" t="str">
        <f>DW6</f>
        <v>3Q15</v>
      </c>
      <c r="EG5" s="15"/>
      <c r="EH5" s="13" t="str">
        <f>DY6</f>
        <v>4Q15</v>
      </c>
      <c r="EI5" s="15"/>
      <c r="EJ5" s="13" t="str">
        <f t="shared" ref="EJ5" si="8">EA6</f>
        <v>1Q16</v>
      </c>
      <c r="EK5" s="15"/>
      <c r="EL5" s="13" t="str">
        <f t="shared" ref="EL5" si="9">EC6</f>
        <v>2Q16</v>
      </c>
      <c r="EM5" s="15"/>
      <c r="EN5" s="13" t="str">
        <f t="shared" ref="EN5" si="10">EE6</f>
        <v>3Q16</v>
      </c>
      <c r="EO5" s="15"/>
      <c r="EP5" s="13" t="str">
        <f t="shared" ref="EP5" si="11">EG6</f>
        <v>4Q16</v>
      </c>
      <c r="EQ5" s="15"/>
      <c r="ER5" s="13" t="str">
        <f t="shared" ref="ER5" si="12">EI6</f>
        <v>1Q17</v>
      </c>
      <c r="ES5" s="15"/>
      <c r="ET5" s="13" t="str">
        <f t="shared" ref="ET5" si="13">EK6</f>
        <v>2Q17</v>
      </c>
      <c r="EU5" s="15"/>
      <c r="EV5" s="13" t="str">
        <f t="shared" ref="EV5" si="14">EM6</f>
        <v>3Q17</v>
      </c>
      <c r="EW5" s="15"/>
      <c r="EX5" s="13" t="str">
        <f t="shared" ref="EX5" si="15">EO6</f>
        <v>4Q17</v>
      </c>
      <c r="EY5" s="18"/>
      <c r="EZ5" s="558"/>
      <c r="FA5" s="18"/>
      <c r="FB5" s="12"/>
      <c r="FC5" s="13"/>
      <c r="FD5" s="12"/>
      <c r="FE5" s="470" t="str">
        <f>FB6</f>
        <v>1998</v>
      </c>
      <c r="FF5" s="12"/>
      <c r="FG5" s="470" t="str">
        <f>FD6</f>
        <v>1999</v>
      </c>
      <c r="FH5" s="12"/>
      <c r="FI5" s="470" t="str">
        <f>FF6</f>
        <v>2000</v>
      </c>
      <c r="FJ5" s="12"/>
      <c r="FK5" s="470">
        <f>FH6</f>
        <v>2001</v>
      </c>
      <c r="FL5" s="14"/>
      <c r="FM5" s="470">
        <f>FJ6</f>
        <v>2002</v>
      </c>
      <c r="FN5" s="14"/>
      <c r="FO5" s="470">
        <f>FL6</f>
        <v>2003</v>
      </c>
      <c r="FP5" s="14"/>
      <c r="FQ5" s="470">
        <f>FN6</f>
        <v>2004</v>
      </c>
      <c r="FR5" s="14"/>
      <c r="FS5" s="470">
        <f>FP6</f>
        <v>2005</v>
      </c>
      <c r="FT5" s="14"/>
      <c r="FU5" s="17">
        <f>+FR6</f>
        <v>2006</v>
      </c>
      <c r="FV5" s="14"/>
      <c r="FW5" s="17">
        <f>+FT6</f>
        <v>2007</v>
      </c>
      <c r="FX5" s="14"/>
      <c r="FY5" s="17">
        <f>+FV6</f>
        <v>2008</v>
      </c>
      <c r="FZ5" s="14"/>
      <c r="GA5" s="17" t="str">
        <f>+FX6</f>
        <v>2009</v>
      </c>
      <c r="GB5" s="14"/>
      <c r="GC5" s="17" t="str">
        <f>+FZ6</f>
        <v>2010</v>
      </c>
      <c r="GD5" s="14"/>
      <c r="GE5" s="17" t="str">
        <f>+GB6</f>
        <v>2011</v>
      </c>
      <c r="GF5" s="14"/>
      <c r="GG5" s="17" t="str">
        <f>+GD6</f>
        <v>2012</v>
      </c>
      <c r="GH5" s="360"/>
      <c r="GI5" s="17" t="str">
        <f>+GF6</f>
        <v>2013</v>
      </c>
      <c r="GJ5" s="15"/>
      <c r="GK5" s="17" t="str">
        <f>+GH6</f>
        <v>2014</v>
      </c>
      <c r="GL5" s="15"/>
      <c r="GM5" s="17" t="str">
        <f>+GJ6</f>
        <v>2015</v>
      </c>
      <c r="GN5" s="15"/>
      <c r="GO5" s="17" t="str">
        <f>+GL6</f>
        <v>2016</v>
      </c>
      <c r="GP5" s="15"/>
      <c r="GQ5" s="17" t="str">
        <f>+GN6</f>
        <v>2017</v>
      </c>
      <c r="GR5" s="15"/>
      <c r="GS5" s="17" t="str">
        <f>+GP6</f>
        <v>2018E</v>
      </c>
      <c r="GT5" s="15"/>
      <c r="GU5" s="17" t="str">
        <f>+GR6</f>
        <v>2019E</v>
      </c>
      <c r="GV5" s="15"/>
      <c r="GW5" s="17" t="str">
        <f>+GT6</f>
        <v>2020E</v>
      </c>
      <c r="GX5" s="15"/>
      <c r="GY5" s="17" t="str">
        <f>+GV6</f>
        <v>2021E</v>
      </c>
      <c r="GZ5" s="17" t="s">
        <v>394</v>
      </c>
      <c r="HA5" s="17"/>
      <c r="HB5" s="454"/>
      <c r="HC5"/>
      <c r="HD5"/>
      <c r="HE5"/>
      <c r="HF5"/>
      <c r="HG5"/>
      <c r="HH5"/>
    </row>
    <row r="6" spans="1:217" s="5" customFormat="1" ht="12.75" customHeight="1" x14ac:dyDescent="0.2">
      <c r="A6" s="5" t="s">
        <v>379</v>
      </c>
      <c r="B6" s="635">
        <v>1</v>
      </c>
      <c r="C6" s="609" t="s">
        <v>317</v>
      </c>
      <c r="D6" s="610"/>
      <c r="E6" s="609" t="s">
        <v>318</v>
      </c>
      <c r="F6" s="611"/>
      <c r="G6" s="609" t="s">
        <v>319</v>
      </c>
      <c r="H6" s="611"/>
      <c r="I6" s="609" t="s">
        <v>320</v>
      </c>
      <c r="J6" s="611"/>
      <c r="K6" s="611" t="s">
        <v>321</v>
      </c>
      <c r="L6" s="20" t="s">
        <v>390</v>
      </c>
      <c r="M6" s="609" t="s">
        <v>322</v>
      </c>
      <c r="N6" s="20" t="s">
        <v>390</v>
      </c>
      <c r="O6" s="609" t="s">
        <v>323</v>
      </c>
      <c r="P6" s="20" t="s">
        <v>390</v>
      </c>
      <c r="Q6" s="609" t="s">
        <v>324</v>
      </c>
      <c r="R6" s="20" t="s">
        <v>390</v>
      </c>
      <c r="S6" s="611" t="s">
        <v>325</v>
      </c>
      <c r="T6" s="20" t="s">
        <v>390</v>
      </c>
      <c r="U6" s="609" t="s">
        <v>487</v>
      </c>
      <c r="V6" s="20" t="s">
        <v>390</v>
      </c>
      <c r="W6" s="609" t="s">
        <v>415</v>
      </c>
      <c r="X6" s="20" t="s">
        <v>390</v>
      </c>
      <c r="Y6" s="609" t="s">
        <v>116</v>
      </c>
      <c r="Z6" s="20" t="s">
        <v>390</v>
      </c>
      <c r="AA6" s="611" t="s">
        <v>46</v>
      </c>
      <c r="AB6" s="20" t="s">
        <v>390</v>
      </c>
      <c r="AC6" s="611" t="s">
        <v>34</v>
      </c>
      <c r="AD6" s="20" t="s">
        <v>390</v>
      </c>
      <c r="AE6" s="611" t="s">
        <v>35</v>
      </c>
      <c r="AF6" s="20" t="s">
        <v>390</v>
      </c>
      <c r="AG6" s="611" t="s">
        <v>5</v>
      </c>
      <c r="AH6" s="20" t="s">
        <v>390</v>
      </c>
      <c r="AI6" s="611" t="s">
        <v>326</v>
      </c>
      <c r="AJ6" s="20" t="s">
        <v>390</v>
      </c>
      <c r="AK6" s="611" t="s">
        <v>327</v>
      </c>
      <c r="AL6" s="20" t="s">
        <v>390</v>
      </c>
      <c r="AM6" s="611" t="s">
        <v>328</v>
      </c>
      <c r="AN6" s="20" t="s">
        <v>390</v>
      </c>
      <c r="AO6" s="611" t="s">
        <v>329</v>
      </c>
      <c r="AP6" s="20" t="s">
        <v>390</v>
      </c>
      <c r="AQ6" s="611" t="s">
        <v>451</v>
      </c>
      <c r="AR6" s="20" t="s">
        <v>390</v>
      </c>
      <c r="AS6" s="611" t="s">
        <v>452</v>
      </c>
      <c r="AT6" s="20" t="s">
        <v>390</v>
      </c>
      <c r="AU6" s="611" t="s">
        <v>453</v>
      </c>
      <c r="AV6" s="20" t="s">
        <v>390</v>
      </c>
      <c r="AW6" s="611" t="s">
        <v>454</v>
      </c>
      <c r="AX6" s="20" t="s">
        <v>390</v>
      </c>
      <c r="AY6" s="611" t="s">
        <v>17</v>
      </c>
      <c r="AZ6" s="20" t="s">
        <v>390</v>
      </c>
      <c r="BA6" s="611" t="s">
        <v>387</v>
      </c>
      <c r="BB6" s="20" t="s">
        <v>390</v>
      </c>
      <c r="BC6" s="611" t="s">
        <v>388</v>
      </c>
      <c r="BD6" s="20" t="s">
        <v>390</v>
      </c>
      <c r="BE6" s="611" t="s">
        <v>389</v>
      </c>
      <c r="BF6" s="20" t="s">
        <v>390</v>
      </c>
      <c r="BG6" s="611" t="s">
        <v>460</v>
      </c>
      <c r="BH6" s="20" t="s">
        <v>390</v>
      </c>
      <c r="BI6" s="611" t="s">
        <v>39</v>
      </c>
      <c r="BJ6" s="20" t="s">
        <v>390</v>
      </c>
      <c r="BK6" s="611" t="s">
        <v>334</v>
      </c>
      <c r="BL6" s="20" t="s">
        <v>390</v>
      </c>
      <c r="BM6" s="611" t="s">
        <v>86</v>
      </c>
      <c r="BN6" s="20" t="s">
        <v>390</v>
      </c>
      <c r="BO6" s="611" t="s">
        <v>600</v>
      </c>
      <c r="BP6" s="20" t="s">
        <v>390</v>
      </c>
      <c r="BQ6" s="611" t="s">
        <v>601</v>
      </c>
      <c r="BR6" s="20" t="s">
        <v>390</v>
      </c>
      <c r="BS6" s="611" t="s">
        <v>602</v>
      </c>
      <c r="BT6" s="20" t="s">
        <v>390</v>
      </c>
      <c r="BU6" s="611" t="s">
        <v>603</v>
      </c>
      <c r="BV6" s="20" t="s">
        <v>390</v>
      </c>
      <c r="BW6" s="611" t="s">
        <v>177</v>
      </c>
      <c r="BX6" s="20" t="s">
        <v>390</v>
      </c>
      <c r="BY6" s="611" t="s">
        <v>176</v>
      </c>
      <c r="BZ6" s="20" t="s">
        <v>390</v>
      </c>
      <c r="CA6" s="611" t="s">
        <v>175</v>
      </c>
      <c r="CB6" s="20" t="s">
        <v>390</v>
      </c>
      <c r="CC6" s="611" t="s">
        <v>178</v>
      </c>
      <c r="CD6" s="20" t="s">
        <v>390</v>
      </c>
      <c r="CE6" s="611" t="s">
        <v>169</v>
      </c>
      <c r="CF6" s="20" t="s">
        <v>390</v>
      </c>
      <c r="CG6" s="611" t="s">
        <v>170</v>
      </c>
      <c r="CH6" s="20" t="s">
        <v>390</v>
      </c>
      <c r="CI6" s="611" t="s">
        <v>171</v>
      </c>
      <c r="CJ6" s="20" t="s">
        <v>390</v>
      </c>
      <c r="CK6" s="611" t="s">
        <v>172</v>
      </c>
      <c r="CL6" s="20" t="s">
        <v>390</v>
      </c>
      <c r="CM6" s="611" t="s">
        <v>532</v>
      </c>
      <c r="CN6" s="20" t="s">
        <v>390</v>
      </c>
      <c r="CO6" s="611" t="s">
        <v>77</v>
      </c>
      <c r="CP6" s="20" t="s">
        <v>390</v>
      </c>
      <c r="CQ6" s="611" t="s">
        <v>78</v>
      </c>
      <c r="CR6" s="20" t="s">
        <v>390</v>
      </c>
      <c r="CS6" s="611" t="s">
        <v>79</v>
      </c>
      <c r="CT6" s="20" t="s">
        <v>390</v>
      </c>
      <c r="CU6" s="611" t="s">
        <v>470</v>
      </c>
      <c r="CV6" s="20" t="s">
        <v>390</v>
      </c>
      <c r="CW6" s="611" t="s">
        <v>471</v>
      </c>
      <c r="CX6" s="20" t="s">
        <v>390</v>
      </c>
      <c r="CY6" s="611" t="s">
        <v>472</v>
      </c>
      <c r="CZ6" s="20" t="s">
        <v>390</v>
      </c>
      <c r="DA6" s="611" t="s">
        <v>473</v>
      </c>
      <c r="DB6" s="20" t="s">
        <v>390</v>
      </c>
      <c r="DC6" s="611" t="s">
        <v>133</v>
      </c>
      <c r="DD6" s="20" t="s">
        <v>390</v>
      </c>
      <c r="DE6" s="611" t="s">
        <v>134</v>
      </c>
      <c r="DF6" s="20" t="s">
        <v>390</v>
      </c>
      <c r="DG6" s="611" t="s">
        <v>135</v>
      </c>
      <c r="DH6" s="20" t="s">
        <v>390</v>
      </c>
      <c r="DI6" s="611" t="s">
        <v>136</v>
      </c>
      <c r="DJ6" s="20" t="s">
        <v>390</v>
      </c>
      <c r="DK6" s="611" t="s">
        <v>509</v>
      </c>
      <c r="DL6" s="20" t="s">
        <v>390</v>
      </c>
      <c r="DM6" s="611" t="s">
        <v>510</v>
      </c>
      <c r="DN6" s="20" t="s">
        <v>390</v>
      </c>
      <c r="DO6" s="611" t="s">
        <v>511</v>
      </c>
      <c r="DP6" s="20" t="s">
        <v>390</v>
      </c>
      <c r="DQ6" s="611" t="s">
        <v>512</v>
      </c>
      <c r="DR6" s="20" t="s">
        <v>390</v>
      </c>
      <c r="DS6" s="611" t="s">
        <v>678</v>
      </c>
      <c r="DT6" s="20" t="s">
        <v>390</v>
      </c>
      <c r="DU6" s="611" t="s">
        <v>679</v>
      </c>
      <c r="DV6" s="20" t="s">
        <v>390</v>
      </c>
      <c r="DW6" s="611" t="s">
        <v>680</v>
      </c>
      <c r="DX6" s="20" t="s">
        <v>390</v>
      </c>
      <c r="DY6" s="611" t="s">
        <v>681</v>
      </c>
      <c r="DZ6" s="20" t="s">
        <v>390</v>
      </c>
      <c r="EA6" s="611" t="s">
        <v>696</v>
      </c>
      <c r="EB6" s="20" t="s">
        <v>390</v>
      </c>
      <c r="EC6" s="611" t="s">
        <v>697</v>
      </c>
      <c r="ED6" s="20" t="s">
        <v>390</v>
      </c>
      <c r="EE6" s="611" t="s">
        <v>698</v>
      </c>
      <c r="EF6" s="20" t="s">
        <v>390</v>
      </c>
      <c r="EG6" s="611" t="s">
        <v>699</v>
      </c>
      <c r="EH6" s="20" t="s">
        <v>390</v>
      </c>
      <c r="EI6" s="611" t="s">
        <v>708</v>
      </c>
      <c r="EJ6" s="20" t="s">
        <v>390</v>
      </c>
      <c r="EK6" s="611" t="s">
        <v>709</v>
      </c>
      <c r="EL6" s="20" t="s">
        <v>390</v>
      </c>
      <c r="EM6" s="611" t="s">
        <v>710</v>
      </c>
      <c r="EN6" s="20" t="s">
        <v>390</v>
      </c>
      <c r="EO6" s="611" t="s">
        <v>711</v>
      </c>
      <c r="EP6" s="20" t="s">
        <v>390</v>
      </c>
      <c r="EQ6" s="611" t="s">
        <v>717</v>
      </c>
      <c r="ER6" s="20" t="s">
        <v>390</v>
      </c>
      <c r="ES6" s="611" t="s">
        <v>718</v>
      </c>
      <c r="ET6" s="20" t="s">
        <v>390</v>
      </c>
      <c r="EU6" s="611" t="s">
        <v>719</v>
      </c>
      <c r="EV6" s="20" t="s">
        <v>390</v>
      </c>
      <c r="EW6" s="611" t="s">
        <v>716</v>
      </c>
      <c r="EX6" s="20" t="s">
        <v>390</v>
      </c>
      <c r="EY6" s="21"/>
      <c r="EZ6" s="558"/>
      <c r="FA6" s="21"/>
      <c r="FB6" s="619" t="s">
        <v>557</v>
      </c>
      <c r="FC6" s="611"/>
      <c r="FD6" s="619" t="s">
        <v>558</v>
      </c>
      <c r="FE6" s="20" t="s">
        <v>390</v>
      </c>
      <c r="FF6" s="609" t="s">
        <v>559</v>
      </c>
      <c r="FG6" s="20" t="s">
        <v>390</v>
      </c>
      <c r="FH6" s="620">
        <v>2001</v>
      </c>
      <c r="FI6" s="20" t="s">
        <v>390</v>
      </c>
      <c r="FJ6" s="620">
        <v>2002</v>
      </c>
      <c r="FK6" s="20" t="s">
        <v>390</v>
      </c>
      <c r="FL6" s="620">
        <v>2003</v>
      </c>
      <c r="FM6" s="20" t="s">
        <v>390</v>
      </c>
      <c r="FN6" s="621">
        <v>2004</v>
      </c>
      <c r="FO6" s="20" t="s">
        <v>390</v>
      </c>
      <c r="FP6" s="621">
        <v>2005</v>
      </c>
      <c r="FQ6" s="20" t="s">
        <v>390</v>
      </c>
      <c r="FR6" s="621">
        <v>2006</v>
      </c>
      <c r="FS6" s="20" t="s">
        <v>390</v>
      </c>
      <c r="FT6" s="622">
        <v>2007</v>
      </c>
      <c r="FU6" s="20" t="s">
        <v>390</v>
      </c>
      <c r="FV6" s="621">
        <v>2008</v>
      </c>
      <c r="FW6" s="20" t="s">
        <v>390</v>
      </c>
      <c r="FX6" s="609" t="s">
        <v>347</v>
      </c>
      <c r="FY6" s="20" t="s">
        <v>390</v>
      </c>
      <c r="FZ6" s="609" t="s">
        <v>627</v>
      </c>
      <c r="GA6" s="20" t="s">
        <v>390</v>
      </c>
      <c r="GB6" s="609" t="s">
        <v>87</v>
      </c>
      <c r="GC6" s="20" t="s">
        <v>390</v>
      </c>
      <c r="GD6" s="609" t="s">
        <v>279</v>
      </c>
      <c r="GE6" s="20" t="s">
        <v>390</v>
      </c>
      <c r="GF6" s="609" t="s">
        <v>16</v>
      </c>
      <c r="GG6" s="20" t="s">
        <v>390</v>
      </c>
      <c r="GH6" s="609" t="s">
        <v>690</v>
      </c>
      <c r="GI6" s="20" t="s">
        <v>390</v>
      </c>
      <c r="GJ6" s="609" t="s">
        <v>707</v>
      </c>
      <c r="GK6" s="20" t="s">
        <v>390</v>
      </c>
      <c r="GL6" s="609" t="s">
        <v>714</v>
      </c>
      <c r="GM6" s="20" t="s">
        <v>390</v>
      </c>
      <c r="GN6" s="609" t="s">
        <v>738</v>
      </c>
      <c r="GO6" s="20" t="s">
        <v>390</v>
      </c>
      <c r="GP6" s="611" t="s">
        <v>504</v>
      </c>
      <c r="GQ6" s="20" t="s">
        <v>390</v>
      </c>
      <c r="GR6" s="621" t="s">
        <v>683</v>
      </c>
      <c r="GS6" s="20" t="s">
        <v>390</v>
      </c>
      <c r="GT6" s="621" t="s">
        <v>701</v>
      </c>
      <c r="GU6" s="20" t="s">
        <v>390</v>
      </c>
      <c r="GV6" s="621" t="s">
        <v>713</v>
      </c>
      <c r="GW6" s="20" t="s">
        <v>390</v>
      </c>
      <c r="GX6" s="621" t="s">
        <v>725</v>
      </c>
      <c r="GY6" s="20" t="s">
        <v>390</v>
      </c>
      <c r="GZ6" s="20" t="s">
        <v>392</v>
      </c>
      <c r="HA6" s="122"/>
      <c r="HB6" s="455"/>
      <c r="HC6"/>
      <c r="HD6"/>
      <c r="HE6"/>
      <c r="HF6"/>
      <c r="HG6"/>
      <c r="HH6"/>
    </row>
    <row r="7" spans="1:217" s="321" customFormat="1" ht="12.75" customHeight="1" x14ac:dyDescent="0.2">
      <c r="B7" s="321" t="s">
        <v>435</v>
      </c>
      <c r="L7" s="583"/>
      <c r="N7" s="583"/>
      <c r="P7" s="583"/>
      <c r="R7" s="583"/>
      <c r="T7" s="583"/>
      <c r="V7" s="583"/>
      <c r="X7" s="583"/>
      <c r="Z7" s="583"/>
      <c r="AB7" s="583"/>
      <c r="AD7" s="583"/>
      <c r="AF7" s="583"/>
      <c r="AH7" s="583"/>
      <c r="AJ7" s="583"/>
      <c r="AL7" s="583"/>
      <c r="AN7" s="583"/>
      <c r="AP7" s="583"/>
      <c r="AR7" s="583"/>
      <c r="AT7" s="583"/>
      <c r="AV7" s="583"/>
      <c r="AX7" s="583"/>
      <c r="AZ7" s="583"/>
      <c r="BB7" s="583"/>
      <c r="BD7" s="583"/>
      <c r="BF7" s="583"/>
      <c r="BH7" s="583"/>
      <c r="BJ7" s="583"/>
      <c r="BL7" s="583"/>
      <c r="BN7" s="583"/>
      <c r="BP7" s="583"/>
      <c r="BR7" s="583"/>
      <c r="BT7" s="583"/>
      <c r="BV7" s="583"/>
      <c r="BX7" s="583"/>
      <c r="BZ7" s="583"/>
      <c r="CB7" s="583"/>
      <c r="CD7" s="583"/>
      <c r="CF7" s="583"/>
      <c r="CH7" s="583"/>
      <c r="CJ7" s="583"/>
      <c r="CL7" s="583"/>
      <c r="CM7" s="612">
        <f>CM116+CM177</f>
        <v>191.7000000000001</v>
      </c>
      <c r="CN7" s="618" t="str">
        <f t="shared" ref="CN7:CN17" si="16">IF(ISERROR((CM7/CE7-1)*100),"NA",IF(((CM7/CE7-1)*100)&gt;100,"NM",IF(((CM7/CE7-1)*100)&lt;-50,"NM",(CM7/CE7-1)*100)))</f>
        <v>NA</v>
      </c>
      <c r="CO7" s="612">
        <f>CO116+CO177</f>
        <v>186.19999999999993</v>
      </c>
      <c r="CP7" s="618" t="str">
        <f t="shared" ref="CP7:CP17" si="17">IF(ISERROR((CO7/CG7-1)*100),"NA",IF(((CO7/CG7-1)*100)&gt;100,"NM",IF(((CO7/CG7-1)*100)&lt;-50,"NM",(CO7/CG7-1)*100)))</f>
        <v>NA</v>
      </c>
      <c r="CQ7" s="612">
        <f>CQ116+CQ177</f>
        <v>192.5</v>
      </c>
      <c r="CR7" s="618" t="str">
        <f t="shared" ref="CR7:CR17" si="18">IF(ISERROR((CQ7/CI7-1)*100),"NA",IF(((CQ7/CI7-1)*100)&gt;100,"NM",IF(((CQ7/CI7-1)*100)&lt;-50,"NM",(CQ7/CI7-1)*100)))</f>
        <v>NA</v>
      </c>
      <c r="CS7" s="612">
        <f>CS116+CS177</f>
        <v>164</v>
      </c>
      <c r="CT7" s="618" t="str">
        <f t="shared" ref="CT7:CT17" si="19">IF(ISERROR((CS7/CK7-1)*100),"NA",IF(((CS7/CK7-1)*100)&gt;100,"NM",IF(((CS7/CK7-1)*100)&lt;-50,"NM",(CS7/CK7-1)*100)))</f>
        <v>NA</v>
      </c>
      <c r="CU7" s="612">
        <f>CU116+CU177</f>
        <v>172</v>
      </c>
      <c r="CV7" s="618">
        <f t="shared" ref="CV7:CV17" si="20">IF(ISERROR((CU7/CM7-1)*100),"NA",IF(((CU7/CM7-1)*100)&gt;100,"NM",IF(((CU7/CM7-1)*100)&lt;-50,"NM",(CU7/CM7-1)*100)))</f>
        <v>-10.276473656755392</v>
      </c>
      <c r="CW7" s="612">
        <f>CW116+CW177</f>
        <v>196</v>
      </c>
      <c r="CX7" s="618">
        <f t="shared" ref="CX7:CX17" si="21">IF(ISERROR((CW7/CO7-1)*100),"NA",IF(((CW7/CO7-1)*100)&gt;100,"NM",IF(((CW7/CO7-1)*100)&lt;-50,"NM",(CW7/CO7-1)*100)))</f>
        <v>5.2631578947368807</v>
      </c>
      <c r="CY7" s="612">
        <f>CY116+CY177</f>
        <v>168</v>
      </c>
      <c r="CZ7" s="618">
        <f t="shared" ref="CZ7:CZ17" si="22">IF(ISERROR((CY7/CQ7-1)*100),"NA",IF(((CY7/CQ7-1)*100)&gt;100,"NM",IF(((CY7/CQ7-1)*100)&lt;-50,"NM",(CY7/CQ7-1)*100)))</f>
        <v>-12.727272727272732</v>
      </c>
      <c r="DA7" s="612">
        <f>DA116+DA177</f>
        <v>190</v>
      </c>
      <c r="DB7" s="618">
        <f t="shared" ref="DB7:DB17" si="23">IF(ISERROR((DA7/CS7-1)*100),"NA",IF(((DA7/CS7-1)*100)&gt;100,"NM",IF(((DA7/CS7-1)*100)&lt;-50,"NM",(DA7/CS7-1)*100)))</f>
        <v>15.853658536585357</v>
      </c>
      <c r="DC7" s="612">
        <f>DC116+DC177</f>
        <v>194</v>
      </c>
      <c r="DD7" s="618">
        <f t="shared" ref="DD7:DD17" si="24">IF(ISERROR((DC7/CU7-1)*100),"NA",IF(((DC7/CU7-1)*100)&gt;100,"NM",IF(((DC7/CU7-1)*100)&lt;-50,"NM",(DC7/CU7-1)*100)))</f>
        <v>12.790697674418606</v>
      </c>
      <c r="DE7" s="612">
        <f>DE116+DE177</f>
        <v>234</v>
      </c>
      <c r="DF7" s="618">
        <f t="shared" ref="DF7:DF17" si="25">IF(ISERROR((DE7/CW7-1)*100),"NA",IF(((DE7/CW7-1)*100)&gt;100,"NM",IF(((DE7/CW7-1)*100)&lt;-50,"NM",(DE7/CW7-1)*100)))</f>
        <v>19.387755102040828</v>
      </c>
      <c r="DG7" s="612">
        <f>DG116+DG177</f>
        <v>231</v>
      </c>
      <c r="DH7" s="618">
        <f t="shared" ref="DH7:DH17" si="26">IF(ISERROR((DG7/CY7-1)*100),"NA",IF(((DG7/CY7-1)*100)&gt;100,"NM",IF(((DG7/CY7-1)*100)&lt;-50,"NM",(DG7/CY7-1)*100)))</f>
        <v>37.5</v>
      </c>
      <c r="DI7" s="612">
        <f>DI116+DI177</f>
        <v>233</v>
      </c>
      <c r="DJ7" s="618">
        <f t="shared" ref="DJ7:DJ17" si="27">IF(ISERROR((DI7/DA7-1)*100),"NA",IF(((DI7/DA7-1)*100)&gt;100,"NM",IF(((DI7/DA7-1)*100)&lt;-50,"NM",(DI7/DA7-1)*100)))</f>
        <v>22.631578947368425</v>
      </c>
      <c r="DK7" s="612">
        <f>DK116+DK177</f>
        <v>255</v>
      </c>
      <c r="DL7" s="618">
        <f t="shared" ref="DL7:DL17" si="28">IF(ISERROR((DK7/DC7-1)*100),"NA",IF(((DK7/DC7-1)*100)&gt;100,"NM",IF(((DK7/DC7-1)*100)&lt;-50,"NM",(DK7/DC7-1)*100)))</f>
        <v>31.443298969072163</v>
      </c>
      <c r="DM7" s="612">
        <f>DM116+DM177</f>
        <v>266</v>
      </c>
      <c r="DN7" s="618">
        <f t="shared" ref="DN7:DZ17" si="29">IF(ISERROR((DM7/DE7-1)*100),"NA",IF(((DM7/DE7-1)*100)&gt;100,"NM",IF(((DM7/DE7-1)*100)&lt;-50,"NM",(DM7/DE7-1)*100)))</f>
        <v>13.675213675213671</v>
      </c>
      <c r="DO7" s="612">
        <f>DO116+DO177</f>
        <v>285</v>
      </c>
      <c r="DP7" s="618">
        <f t="shared" si="29"/>
        <v>23.376623376623385</v>
      </c>
      <c r="DQ7" s="612">
        <f>DQ116+DQ177</f>
        <v>279</v>
      </c>
      <c r="DR7" s="618">
        <f t="shared" si="29"/>
        <v>19.742489270386265</v>
      </c>
      <c r="DS7" s="612">
        <f>DS116+DS177</f>
        <v>274</v>
      </c>
      <c r="DT7" s="618">
        <f t="shared" si="29"/>
        <v>7.4509803921568585</v>
      </c>
      <c r="DU7" s="612">
        <f>DU116+DU177</f>
        <v>285</v>
      </c>
      <c r="DV7" s="618">
        <f t="shared" si="29"/>
        <v>7.1428571428571397</v>
      </c>
      <c r="DW7" s="612">
        <f>DW116+DW177</f>
        <v>301</v>
      </c>
      <c r="DX7" s="618">
        <f t="shared" si="29"/>
        <v>5.6140350877192935</v>
      </c>
      <c r="DY7" s="612">
        <f>DY116+DY177</f>
        <v>276</v>
      </c>
      <c r="DZ7" s="618">
        <f t="shared" si="29"/>
        <v>-1.0752688172043001</v>
      </c>
      <c r="EA7" s="612">
        <f>EA116+EA177</f>
        <v>249</v>
      </c>
      <c r="EB7" s="618">
        <f t="shared" ref="EB7:EB11" si="30">IF(ISERROR((EA7/DS7-1)*100),"NA",IF(((EA7/DS7-1)*100)&gt;100,"NM",IF(((EA7/DS7-1)*100)&lt;-50,"NM",(EA7/DS7-1)*100)))</f>
        <v>-9.1240875912408814</v>
      </c>
      <c r="EC7" s="612">
        <f>EC116+EC177</f>
        <v>266</v>
      </c>
      <c r="ED7" s="618">
        <f t="shared" ref="ED7:ED11" si="31">IF(ISERROR((EC7/DU7-1)*100),"NA",IF(((EC7/DU7-1)*100)&gt;100,"NM",IF(((EC7/DU7-1)*100)&lt;-50,"NM",(EC7/DU7-1)*100)))</f>
        <v>-6.6666666666666652</v>
      </c>
      <c r="EE7" s="612">
        <f>EE116+EE177</f>
        <v>272</v>
      </c>
      <c r="EF7" s="618">
        <f t="shared" ref="EF7:EF11" si="32">IF(ISERROR((EE7/DW7-1)*100),"NA",IF(((EE7/DW7-1)*100)&gt;100,"NM",IF(((EE7/DW7-1)*100)&lt;-50,"NM",(EE7/DW7-1)*100)))</f>
        <v>-9.6345514950166073</v>
      </c>
      <c r="EG7" s="612">
        <f>EG116+EG177</f>
        <v>276</v>
      </c>
      <c r="EH7" s="618">
        <f t="shared" ref="EH7:EH11" si="33">IF(ISERROR((EG7/DY7-1)*100),"NA",IF(((EG7/DY7-1)*100)&gt;100,"NM",IF(((EG7/DY7-1)*100)&lt;-50,"NM",(EG7/DY7-1)*100)))</f>
        <v>0</v>
      </c>
      <c r="EI7" s="612">
        <f>EI116+EI177</f>
        <v>318</v>
      </c>
      <c r="EJ7" s="618">
        <f t="shared" ref="EJ7:EJ11" si="34">IF(ISERROR((EI7/EA7-1)*100),"NA",IF(((EI7/EA7-1)*100)&gt;100,"NM",IF(((EI7/EA7-1)*100)&lt;-50,"NM",(EI7/EA7-1)*100)))</f>
        <v>27.710843373493965</v>
      </c>
      <c r="EK7" s="612">
        <f t="shared" ref="EK7" si="35">EK116+EK177</f>
        <v>288</v>
      </c>
      <c r="EL7" s="618">
        <f t="shared" ref="EL7:EL11" si="36">IF(ISERROR((EK7/EC7-1)*100),"NA",IF(((EK7/EC7-1)*100)&gt;100,"NM",IF(((EK7/EC7-1)*100)&lt;-50,"NM",(EK7/EC7-1)*100)))</f>
        <v>8.2706766917293173</v>
      </c>
      <c r="EM7" s="612">
        <f t="shared" ref="EM7" si="37">EM116+EM177</f>
        <v>312</v>
      </c>
      <c r="EN7" s="618">
        <f t="shared" ref="EN7:EN11" si="38">IF(ISERROR((EM7/EE7-1)*100),"NA",IF(((EM7/EE7-1)*100)&gt;100,"NM",IF(((EM7/EE7-1)*100)&lt;-50,"NM",(EM7/EE7-1)*100)))</f>
        <v>14.705882352941169</v>
      </c>
      <c r="EO7" s="612">
        <f t="shared" ref="EO7" si="39">EO116+EO177</f>
        <v>306</v>
      </c>
      <c r="EP7" s="618">
        <f t="shared" ref="EP7:EP11" si="40">IF(ISERROR((EO7/EG7-1)*100),"NA",IF(((EO7/EG7-1)*100)&gt;100,"NM",IF(((EO7/EG7-1)*100)&lt;-50,"NM",(EO7/EG7-1)*100)))</f>
        <v>10.869565217391308</v>
      </c>
      <c r="EQ7" s="612">
        <f t="shared" ref="EQ7:EW7" si="41">EQ116+EQ177</f>
        <v>325.26534462300367</v>
      </c>
      <c r="ER7" s="618">
        <f t="shared" ref="ER7:ER11" si="42">IF(ISERROR((EQ7/EI7-1)*100),"NA",IF(((EQ7/EI7-1)*100)&gt;100,"NM",IF(((EQ7/EI7-1)*100)&lt;-50,"NM",(EQ7/EI7-1)*100)))</f>
        <v>2.2846995669822956</v>
      </c>
      <c r="ES7" s="612">
        <f t="shared" si="41"/>
        <v>324.58218699899089</v>
      </c>
      <c r="ET7" s="618">
        <f t="shared" ref="ET7:ET11" si="43">IF(ISERROR((ES7/EK7-1)*100),"NA",IF(((ES7/EK7-1)*100)&gt;100,"NM",IF(((ES7/EK7-1)*100)&lt;-50,"NM",(ES7/EK7-1)*100)))</f>
        <v>12.702148263538504</v>
      </c>
      <c r="EU7" s="612">
        <f t="shared" si="41"/>
        <v>328.77206411623786</v>
      </c>
      <c r="EV7" s="618">
        <f t="shared" ref="EV7:EV11" si="44">IF(ISERROR((EU7/EM7-1)*100),"NA",IF(((EU7/EM7-1)*100)&gt;100,"NM",IF(((EU7/EM7-1)*100)&lt;-50,"NM",(EU7/EM7-1)*100)))</f>
        <v>5.3756615757172721</v>
      </c>
      <c r="EW7" s="612">
        <f t="shared" si="41"/>
        <v>333.3734853617641</v>
      </c>
      <c r="EX7" s="618">
        <f t="shared" ref="EX7:EX11" si="45">IF(ISERROR((EW7/EO7-1)*100),"NA",IF(((EW7/EO7-1)*100)&gt;100,"NM",IF(((EW7/EO7-1)*100)&lt;-50,"NM",(EW7/EO7-1)*100)))</f>
        <v>8.9455834515568924</v>
      </c>
      <c r="EZ7" s="558"/>
      <c r="FE7" s="583"/>
      <c r="FG7" s="583"/>
      <c r="FI7" s="583"/>
      <c r="FK7" s="583"/>
      <c r="FM7" s="583"/>
      <c r="FO7" s="583"/>
      <c r="FQ7" s="583"/>
      <c r="FS7" s="583"/>
      <c r="FU7" s="583"/>
      <c r="FW7" s="583"/>
      <c r="FY7" s="583"/>
      <c r="GA7" s="583"/>
      <c r="GB7" s="612">
        <f>GB116+GB177</f>
        <v>734.40000000000043</v>
      </c>
      <c r="GC7" s="618" t="str">
        <f t="shared" ref="GC7:GC17" si="46">IF(ISERROR((GB7/FZ7-1)*100),"NA",IF(((GB7/FZ7-1)*100)&gt;100,"NM",IF(((GB7/FZ7-1)*100)&lt;-50,"NM",(GB7/FZ7-1)*100)))</f>
        <v>NA</v>
      </c>
      <c r="GD7" s="612">
        <f>GD116+GD177</f>
        <v>726</v>
      </c>
      <c r="GE7" s="618">
        <f t="shared" ref="GE7:GE17" si="47">IF(ISERROR((GD7/GB7-1)*100),"NA",IF(((GD7/GB7-1)*100)&gt;100,"NM",IF(((GD7/GB7-1)*100)&lt;-50,"NM",(GD7/GB7-1)*100)))</f>
        <v>-1.1437908496732652</v>
      </c>
      <c r="GF7" s="612">
        <f>GF116+GF177</f>
        <v>892</v>
      </c>
      <c r="GG7" s="618">
        <f t="shared" ref="GG7:GW17" si="48">IF(ISERROR((GF7/GD7-1)*100),"NA",IF(((GF7/GD7-1)*100)&gt;100,"NM",IF(((GF7/GD7-1)*100)&lt;-50,"NM",(GF7/GD7-1)*100)))</f>
        <v>22.865013774104682</v>
      </c>
      <c r="GH7" s="612">
        <f>GH116+GH177</f>
        <v>1085</v>
      </c>
      <c r="GI7" s="618">
        <f t="shared" si="48"/>
        <v>21.63677130044843</v>
      </c>
      <c r="GJ7" s="612">
        <f>GJ116+GJ177</f>
        <v>1136</v>
      </c>
      <c r="GK7" s="618">
        <f t="shared" si="48"/>
        <v>4.7004608294930916</v>
      </c>
      <c r="GL7" s="612">
        <f>GL116+GL177</f>
        <v>1063</v>
      </c>
      <c r="GM7" s="618">
        <f t="shared" si="48"/>
        <v>-6.4260563380281743</v>
      </c>
      <c r="GN7" s="612">
        <f>GN116+GN177</f>
        <v>1224</v>
      </c>
      <c r="GO7" s="618">
        <f t="shared" si="48"/>
        <v>15.145813734713087</v>
      </c>
      <c r="GP7" s="612">
        <f>GP116+GP177</f>
        <v>1311.9930810999956</v>
      </c>
      <c r="GQ7" s="618">
        <f t="shared" si="48"/>
        <v>7.1889772140519392</v>
      </c>
      <c r="GR7" s="612">
        <f>GR116+GR177</f>
        <v>1367.0578445247472</v>
      </c>
      <c r="GS7" s="618">
        <f t="shared" si="48"/>
        <v>4.1970315406377301</v>
      </c>
      <c r="GT7" s="612">
        <f>GT116+GT177</f>
        <v>1441.9230737014127</v>
      </c>
      <c r="GU7" s="618">
        <f t="shared" si="48"/>
        <v>5.4763761077492701</v>
      </c>
      <c r="GV7" s="612">
        <f>GV116+GV177</f>
        <v>1526.2195083828015</v>
      </c>
      <c r="GW7" s="618">
        <f t="shared" si="48"/>
        <v>5.8461117807762086</v>
      </c>
      <c r="GX7" s="612">
        <f>GX116+GX177</f>
        <v>1620.9645054460577</v>
      </c>
      <c r="GY7" s="618">
        <f t="shared" ref="GY7:GY9" si="49">IF(ISERROR((GX7/GV7-1)*100),"NA",IF(((GX7/GV7-1)*100)&gt;100,"NM",IF(((GX7/GV7-1)*100)&lt;-50,"NM",(GX7/GV7-1)*100)))</f>
        <v>6.2078224359515044</v>
      </c>
      <c r="GZ7" s="618">
        <f>IF(ISERROR((GX7/GN7)^0.2),"",IF(OR((GX7/GN7)^0.2&lt;0.5,(GX7/GN7)^0.2&gt;2),"NM",((GX7/GN7)^0.2-1)*100))</f>
        <v>5.7787467994574016</v>
      </c>
      <c r="HA7" s="618"/>
      <c r="HC7"/>
      <c r="HD7"/>
      <c r="HE7"/>
      <c r="HF7"/>
      <c r="HG7"/>
      <c r="HH7"/>
    </row>
    <row r="8" spans="1:217" s="321" customFormat="1" ht="12.75" customHeight="1" x14ac:dyDescent="0.2">
      <c r="B8" s="321" t="s">
        <v>126</v>
      </c>
      <c r="L8" s="583"/>
      <c r="N8" s="583"/>
      <c r="P8" s="583"/>
      <c r="R8" s="583"/>
      <c r="T8" s="583"/>
      <c r="V8" s="583"/>
      <c r="X8" s="583"/>
      <c r="Z8" s="583"/>
      <c r="AB8" s="583"/>
      <c r="AD8" s="583"/>
      <c r="AF8" s="583"/>
      <c r="AH8" s="583"/>
      <c r="AJ8" s="583"/>
      <c r="AL8" s="583"/>
      <c r="AN8" s="583"/>
      <c r="AP8" s="583"/>
      <c r="AR8" s="583"/>
      <c r="AT8" s="583"/>
      <c r="AV8" s="583"/>
      <c r="AX8" s="583"/>
      <c r="AZ8" s="583"/>
      <c r="BB8" s="583"/>
      <c r="BD8" s="583"/>
      <c r="BF8" s="583"/>
      <c r="BH8" s="583"/>
      <c r="BJ8" s="583"/>
      <c r="BL8" s="583"/>
      <c r="BN8" s="583"/>
      <c r="BP8" s="583"/>
      <c r="BR8" s="583"/>
      <c r="BT8" s="583"/>
      <c r="BV8" s="583"/>
      <c r="BX8" s="583"/>
      <c r="BZ8" s="583"/>
      <c r="CB8" s="583"/>
      <c r="CD8" s="583"/>
      <c r="CF8" s="583"/>
      <c r="CH8" s="583"/>
      <c r="CJ8" s="583"/>
      <c r="CL8" s="583"/>
      <c r="CM8" s="613">
        <f>CM273+CM309</f>
        <v>166.10000000000011</v>
      </c>
      <c r="CN8" s="618" t="str">
        <f t="shared" si="16"/>
        <v>NA</v>
      </c>
      <c r="CO8" s="613">
        <f>CO273+CO309</f>
        <v>161.99999999999991</v>
      </c>
      <c r="CP8" s="618" t="str">
        <f t="shared" si="17"/>
        <v>NA</v>
      </c>
      <c r="CQ8" s="613">
        <f>CQ273+CQ309</f>
        <v>180.59999999999988</v>
      </c>
      <c r="CR8" s="618" t="str">
        <f t="shared" si="18"/>
        <v>NA</v>
      </c>
      <c r="CS8" s="613">
        <f>CS273+CS309</f>
        <v>155</v>
      </c>
      <c r="CT8" s="618" t="str">
        <f t="shared" si="19"/>
        <v>NA</v>
      </c>
      <c r="CU8" s="613">
        <f>CU273+CU309</f>
        <v>155</v>
      </c>
      <c r="CV8" s="618">
        <f t="shared" si="20"/>
        <v>-6.6827212522577391</v>
      </c>
      <c r="CW8" s="613">
        <f>CW273+CW309</f>
        <v>162</v>
      </c>
      <c r="CX8" s="618">
        <f t="shared" si="21"/>
        <v>4.4408920985006262E-14</v>
      </c>
      <c r="CY8" s="613">
        <f>CY273+CY309</f>
        <v>168</v>
      </c>
      <c r="CZ8" s="618">
        <f t="shared" si="22"/>
        <v>-6.9767441860464459</v>
      </c>
      <c r="DA8" s="613">
        <f>DA273+DA309</f>
        <v>160</v>
      </c>
      <c r="DB8" s="618">
        <f t="shared" si="23"/>
        <v>3.2258064516129004</v>
      </c>
      <c r="DC8" s="613">
        <f>DC273+DC309</f>
        <v>126</v>
      </c>
      <c r="DD8" s="618">
        <f t="shared" si="24"/>
        <v>-18.709677419354843</v>
      </c>
      <c r="DE8" s="613">
        <f>DE273+DE309</f>
        <v>157</v>
      </c>
      <c r="DF8" s="618">
        <f t="shared" si="25"/>
        <v>-3.0864197530864224</v>
      </c>
      <c r="DG8" s="613">
        <f>DG273+DG309</f>
        <v>163</v>
      </c>
      <c r="DH8" s="618">
        <f t="shared" si="26"/>
        <v>-2.9761904761904767</v>
      </c>
      <c r="DI8" s="613">
        <f>DI273+DI309</f>
        <v>168</v>
      </c>
      <c r="DJ8" s="618">
        <f t="shared" si="27"/>
        <v>5.0000000000000044</v>
      </c>
      <c r="DK8" s="613">
        <f>DK273+DK309</f>
        <v>140</v>
      </c>
      <c r="DL8" s="618">
        <f t="shared" si="28"/>
        <v>11.111111111111116</v>
      </c>
      <c r="DM8" s="613">
        <f>DM273+DM309</f>
        <v>150</v>
      </c>
      <c r="DN8" s="618">
        <f t="shared" si="29"/>
        <v>-4.4585987261146487</v>
      </c>
      <c r="DO8" s="613">
        <f>DO273+DO309</f>
        <v>158</v>
      </c>
      <c r="DP8" s="618">
        <f t="shared" si="29"/>
        <v>-3.0674846625766916</v>
      </c>
      <c r="DQ8" s="613">
        <f>DQ273+DQ309</f>
        <v>187</v>
      </c>
      <c r="DR8" s="618">
        <f t="shared" si="29"/>
        <v>11.309523809523814</v>
      </c>
      <c r="DS8" s="613">
        <f>DS273+DS309</f>
        <v>105</v>
      </c>
      <c r="DT8" s="618">
        <f t="shared" si="29"/>
        <v>-25</v>
      </c>
      <c r="DU8" s="613">
        <f>DU273+DU309</f>
        <v>124</v>
      </c>
      <c r="DV8" s="618">
        <f t="shared" si="29"/>
        <v>-17.333333333333336</v>
      </c>
      <c r="DW8" s="613">
        <f>DW273+DW309</f>
        <v>53</v>
      </c>
      <c r="DX8" s="618" t="str">
        <f t="shared" si="29"/>
        <v>NM</v>
      </c>
      <c r="DY8" s="613">
        <f>DY273+DY309</f>
        <v>132</v>
      </c>
      <c r="DZ8" s="618">
        <f t="shared" si="29"/>
        <v>-29.411764705882348</v>
      </c>
      <c r="EA8" s="613">
        <f>EA273+EA309</f>
        <v>80</v>
      </c>
      <c r="EB8" s="618">
        <f t="shared" si="30"/>
        <v>-23.809523809523814</v>
      </c>
      <c r="EC8" s="613">
        <f>EC273+EC309</f>
        <v>135</v>
      </c>
      <c r="ED8" s="618">
        <f t="shared" si="31"/>
        <v>8.8709677419354769</v>
      </c>
      <c r="EE8" s="613">
        <f>EE273+EE309</f>
        <v>195</v>
      </c>
      <c r="EF8" s="618" t="str">
        <f t="shared" si="32"/>
        <v>NM</v>
      </c>
      <c r="EG8" s="613">
        <f>EG273+EG309</f>
        <v>170</v>
      </c>
      <c r="EH8" s="618">
        <f t="shared" si="33"/>
        <v>28.787878787878785</v>
      </c>
      <c r="EI8" s="613">
        <f>EI273+EI309</f>
        <v>137</v>
      </c>
      <c r="EJ8" s="618">
        <f t="shared" si="34"/>
        <v>71.249999999999986</v>
      </c>
      <c r="EK8" s="613">
        <f t="shared" ref="EK8" si="50">EK273+EK309</f>
        <v>168</v>
      </c>
      <c r="EL8" s="618">
        <f t="shared" si="36"/>
        <v>24.444444444444446</v>
      </c>
      <c r="EM8" s="613">
        <f t="shared" ref="EM8" si="51">EM273+EM309</f>
        <v>162</v>
      </c>
      <c r="EN8" s="618">
        <f t="shared" si="38"/>
        <v>-16.92307692307692</v>
      </c>
      <c r="EO8" s="613">
        <f t="shared" ref="EO8" si="52">EO273+EO309</f>
        <v>172</v>
      </c>
      <c r="EP8" s="618">
        <f t="shared" si="40"/>
        <v>1.1764705882352899</v>
      </c>
      <c r="EQ8" s="613">
        <f t="shared" ref="EQ8:EW8" si="53">EQ273+EQ309</f>
        <v>161.41612211842994</v>
      </c>
      <c r="ER8" s="618">
        <f t="shared" si="42"/>
        <v>17.821986947759072</v>
      </c>
      <c r="ES8" s="613">
        <f t="shared" si="53"/>
        <v>189.2885414072764</v>
      </c>
      <c r="ET8" s="618">
        <f t="shared" si="43"/>
        <v>12.671750837664518</v>
      </c>
      <c r="EU8" s="613">
        <f t="shared" si="53"/>
        <v>203.52055393690705</v>
      </c>
      <c r="EV8" s="618">
        <f t="shared" si="44"/>
        <v>25.629971565992005</v>
      </c>
      <c r="EW8" s="613">
        <f t="shared" si="53"/>
        <v>212.13800913510013</v>
      </c>
      <c r="EX8" s="618">
        <f t="shared" si="45"/>
        <v>23.336051822732639</v>
      </c>
      <c r="EZ8" s="558"/>
      <c r="FE8" s="583"/>
      <c r="FG8" s="583"/>
      <c r="FI8" s="583"/>
      <c r="FK8" s="583"/>
      <c r="FM8" s="583"/>
      <c r="FO8" s="583"/>
      <c r="FQ8" s="583"/>
      <c r="FS8" s="583"/>
      <c r="FU8" s="583"/>
      <c r="FW8" s="583"/>
      <c r="FY8" s="583"/>
      <c r="GA8" s="583"/>
      <c r="GB8" s="613">
        <f>GB273+GB309</f>
        <v>663.69999999999993</v>
      </c>
      <c r="GC8" s="618" t="str">
        <f t="shared" si="46"/>
        <v>NA</v>
      </c>
      <c r="GD8" s="613">
        <f>GD273+GD309</f>
        <v>645</v>
      </c>
      <c r="GE8" s="618">
        <f t="shared" si="47"/>
        <v>-2.8175380442971076</v>
      </c>
      <c r="GF8" s="613">
        <f>GF273+GF309</f>
        <v>614</v>
      </c>
      <c r="GG8" s="618">
        <f t="shared" si="48"/>
        <v>-4.806201550387601</v>
      </c>
      <c r="GH8" s="613">
        <f>GH273+GH309</f>
        <v>635</v>
      </c>
      <c r="GI8" s="618">
        <f t="shared" si="48"/>
        <v>3.4201954397394152</v>
      </c>
      <c r="GJ8" s="613">
        <f>GJ273+GJ309</f>
        <v>414</v>
      </c>
      <c r="GK8" s="618">
        <f t="shared" si="48"/>
        <v>-34.803149606299208</v>
      </c>
      <c r="GL8" s="613">
        <f>GL273+GL309</f>
        <v>580</v>
      </c>
      <c r="GM8" s="618">
        <f t="shared" si="48"/>
        <v>40.096618357487927</v>
      </c>
      <c r="GN8" s="613">
        <f>GN273+GN309</f>
        <v>639</v>
      </c>
      <c r="GO8" s="618">
        <f t="shared" si="48"/>
        <v>10.172413793103452</v>
      </c>
      <c r="GP8" s="613">
        <f>GP273+GP309</f>
        <v>766.36322659771281</v>
      </c>
      <c r="GQ8" s="618">
        <f t="shared" si="48"/>
        <v>19.931647354884639</v>
      </c>
      <c r="GR8" s="613">
        <f>GR273+GR309</f>
        <v>820.89814899090527</v>
      </c>
      <c r="GS8" s="618">
        <f t="shared" si="48"/>
        <v>7.1160672251070256</v>
      </c>
      <c r="GT8" s="613">
        <f>GT273+GT309</f>
        <v>865.16491475459827</v>
      </c>
      <c r="GU8" s="618">
        <f t="shared" si="48"/>
        <v>5.3924796660959951</v>
      </c>
      <c r="GV8" s="613">
        <f>GV273+GV309</f>
        <v>887.97432861688128</v>
      </c>
      <c r="GW8" s="618">
        <f t="shared" si="48"/>
        <v>2.6364238162331022</v>
      </c>
      <c r="GX8" s="613">
        <f>GX273+GX309</f>
        <v>911.45354914210589</v>
      </c>
      <c r="GY8" s="618">
        <f t="shared" si="49"/>
        <v>2.6441328052575708</v>
      </c>
      <c r="GZ8" s="618">
        <f>IF(ISERROR((GX8/GN8)^0.2),"",IF(OR((GX8/GN8)^0.2&lt;0.5,(GX8/GN8)^0.2&gt;2),"NM",((GX8/GN8)^0.2-1)*100))</f>
        <v>7.3610465797747215</v>
      </c>
      <c r="HA8" s="618"/>
      <c r="HC8"/>
      <c r="HD8"/>
      <c r="HE8"/>
      <c r="HF8"/>
      <c r="HG8"/>
      <c r="HH8"/>
    </row>
    <row r="9" spans="1:217" s="321" customFormat="1" ht="12.75" customHeight="1" x14ac:dyDescent="0.2">
      <c r="B9" s="321" t="s">
        <v>117</v>
      </c>
      <c r="L9" s="583"/>
      <c r="N9" s="583"/>
      <c r="P9" s="583"/>
      <c r="R9" s="583"/>
      <c r="T9" s="583"/>
      <c r="V9" s="583"/>
      <c r="X9" s="583"/>
      <c r="Z9" s="583"/>
      <c r="AB9" s="583"/>
      <c r="AD9" s="583"/>
      <c r="AF9" s="583"/>
      <c r="AH9" s="583"/>
      <c r="AJ9" s="583"/>
      <c r="AL9" s="583"/>
      <c r="AN9" s="583"/>
      <c r="AP9" s="583"/>
      <c r="AR9" s="583"/>
      <c r="AT9" s="583"/>
      <c r="AV9" s="583"/>
      <c r="AX9" s="583"/>
      <c r="AZ9" s="583"/>
      <c r="BB9" s="583"/>
      <c r="BD9" s="583"/>
      <c r="BF9" s="583"/>
      <c r="BH9" s="583"/>
      <c r="BJ9" s="583"/>
      <c r="BL9" s="583"/>
      <c r="BN9" s="583"/>
      <c r="BP9" s="583"/>
      <c r="BR9" s="583"/>
      <c r="BT9" s="583"/>
      <c r="BV9" s="583"/>
      <c r="BX9" s="583"/>
      <c r="BZ9" s="583"/>
      <c r="CB9" s="583"/>
      <c r="CD9" s="583"/>
      <c r="CF9" s="583"/>
      <c r="CH9" s="583"/>
      <c r="CJ9" s="583"/>
      <c r="CL9" s="583"/>
      <c r="CM9" s="612">
        <f>CM485</f>
        <v>-35.900000000000006</v>
      </c>
      <c r="CN9" s="618" t="str">
        <f t="shared" si="16"/>
        <v>NA</v>
      </c>
      <c r="CO9" s="612">
        <f>CO485</f>
        <v>-22</v>
      </c>
      <c r="CP9" s="618" t="str">
        <f t="shared" si="17"/>
        <v>NA</v>
      </c>
      <c r="CQ9" s="612">
        <f>CQ485</f>
        <v>-43.9</v>
      </c>
      <c r="CR9" s="618" t="str">
        <f t="shared" si="18"/>
        <v>NA</v>
      </c>
      <c r="CS9" s="612">
        <f>CS485</f>
        <v>-42</v>
      </c>
      <c r="CT9" s="618" t="str">
        <f t="shared" si="19"/>
        <v>NA</v>
      </c>
      <c r="CU9" s="612">
        <f>CU485</f>
        <v>-34</v>
      </c>
      <c r="CV9" s="618">
        <f t="shared" si="20"/>
        <v>-5.2924791086351171</v>
      </c>
      <c r="CW9" s="612">
        <f>CW485</f>
        <v>-39</v>
      </c>
      <c r="CX9" s="618">
        <f t="shared" si="21"/>
        <v>77.272727272727266</v>
      </c>
      <c r="CY9" s="612">
        <f>CY485</f>
        <v>26</v>
      </c>
      <c r="CZ9" s="618" t="str">
        <f t="shared" si="22"/>
        <v>NM</v>
      </c>
      <c r="DA9" s="612">
        <f>DA485</f>
        <v>-40</v>
      </c>
      <c r="DB9" s="618">
        <f t="shared" si="23"/>
        <v>-4.7619047619047672</v>
      </c>
      <c r="DC9" s="612">
        <f>DC485</f>
        <v>-35</v>
      </c>
      <c r="DD9" s="618">
        <f t="shared" si="24"/>
        <v>2.9411764705882248</v>
      </c>
      <c r="DE9" s="612">
        <f>DE485</f>
        <v>-40</v>
      </c>
      <c r="DF9" s="618">
        <f t="shared" si="25"/>
        <v>2.564102564102555</v>
      </c>
      <c r="DG9" s="612">
        <f>DG485</f>
        <v>-27</v>
      </c>
      <c r="DH9" s="618" t="str">
        <f t="shared" si="26"/>
        <v>NM</v>
      </c>
      <c r="DI9" s="612">
        <f>DI485</f>
        <v>-19</v>
      </c>
      <c r="DJ9" s="618" t="str">
        <f t="shared" si="27"/>
        <v>NM</v>
      </c>
      <c r="DK9" s="612">
        <f>DK485</f>
        <v>-30</v>
      </c>
      <c r="DL9" s="618">
        <f t="shared" si="28"/>
        <v>-14.28571428571429</v>
      </c>
      <c r="DM9" s="612">
        <f>DM485</f>
        <v>-22</v>
      </c>
      <c r="DN9" s="618">
        <f t="shared" si="29"/>
        <v>-44.999999999999993</v>
      </c>
      <c r="DO9" s="612">
        <f>DO485</f>
        <v>-29</v>
      </c>
      <c r="DP9" s="618">
        <f t="shared" si="29"/>
        <v>7.4074074074074181</v>
      </c>
      <c r="DQ9" s="612">
        <f>DQ485</f>
        <v>-26</v>
      </c>
      <c r="DR9" s="618">
        <f t="shared" si="29"/>
        <v>36.842105263157897</v>
      </c>
      <c r="DS9" s="612">
        <f>DS485</f>
        <v>-27</v>
      </c>
      <c r="DT9" s="618">
        <f t="shared" si="29"/>
        <v>-9.9999999999999982</v>
      </c>
      <c r="DU9" s="612">
        <f>DU485</f>
        <v>-38</v>
      </c>
      <c r="DV9" s="618">
        <f t="shared" si="29"/>
        <v>72.727272727272734</v>
      </c>
      <c r="DW9" s="612">
        <f>DW485</f>
        <v>-65</v>
      </c>
      <c r="DX9" s="618" t="str">
        <f t="shared" si="29"/>
        <v>NM</v>
      </c>
      <c r="DY9" s="612">
        <f>DY485</f>
        <v>-26</v>
      </c>
      <c r="DZ9" s="618">
        <f t="shared" si="29"/>
        <v>0</v>
      </c>
      <c r="EA9" s="612">
        <f>EA485</f>
        <v>-15</v>
      </c>
      <c r="EB9" s="618">
        <f t="shared" si="30"/>
        <v>-44.444444444444443</v>
      </c>
      <c r="EC9" s="612">
        <f>EC485</f>
        <v>-28</v>
      </c>
      <c r="ED9" s="618">
        <f t="shared" si="31"/>
        <v>-26.315789473684216</v>
      </c>
      <c r="EE9" s="612">
        <f>EE485</f>
        <v>-26</v>
      </c>
      <c r="EF9" s="618" t="str">
        <f t="shared" si="32"/>
        <v>NM</v>
      </c>
      <c r="EG9" s="612">
        <f>EG485</f>
        <v>-37</v>
      </c>
      <c r="EH9" s="618">
        <f t="shared" si="33"/>
        <v>42.307692307692314</v>
      </c>
      <c r="EI9" s="612">
        <f>EI485</f>
        <v>-13</v>
      </c>
      <c r="EJ9" s="618">
        <f t="shared" si="34"/>
        <v>-13.33333333333333</v>
      </c>
      <c r="EK9" s="612">
        <f t="shared" ref="EK9" si="54">EK485</f>
        <v>-37</v>
      </c>
      <c r="EL9" s="618">
        <f t="shared" si="36"/>
        <v>32.142857142857139</v>
      </c>
      <c r="EM9" s="612">
        <f t="shared" ref="EM9" si="55">EM485</f>
        <v>-20</v>
      </c>
      <c r="EN9" s="618">
        <f t="shared" si="38"/>
        <v>-23.076923076923073</v>
      </c>
      <c r="EO9" s="612">
        <f t="shared" ref="EO9" si="56">EO485</f>
        <v>-38</v>
      </c>
      <c r="EP9" s="618">
        <f t="shared" si="40"/>
        <v>2.7027027027026973</v>
      </c>
      <c r="EQ9" s="612">
        <f t="shared" ref="EQ9:EW9" si="57">EQ485</f>
        <v>-53.666075000000006</v>
      </c>
      <c r="ER9" s="618" t="str">
        <f t="shared" si="42"/>
        <v>NM</v>
      </c>
      <c r="ES9" s="612">
        <f t="shared" si="57"/>
        <v>-53.411508500000011</v>
      </c>
      <c r="ET9" s="618">
        <f t="shared" si="43"/>
        <v>44.355428378378406</v>
      </c>
      <c r="EU9" s="612">
        <f t="shared" si="57"/>
        <v>-53.155669167500022</v>
      </c>
      <c r="EV9" s="618" t="str">
        <f t="shared" si="44"/>
        <v>NM</v>
      </c>
      <c r="EW9" s="612">
        <f t="shared" si="57"/>
        <v>-52.898550638337525</v>
      </c>
      <c r="EX9" s="618">
        <f t="shared" si="45"/>
        <v>39.206712206151373</v>
      </c>
      <c r="EZ9" s="558"/>
      <c r="FE9" s="583"/>
      <c r="FG9" s="583"/>
      <c r="FI9" s="583"/>
      <c r="FK9" s="583"/>
      <c r="FM9" s="583"/>
      <c r="FO9" s="583"/>
      <c r="FQ9" s="583"/>
      <c r="FS9" s="583"/>
      <c r="FU9" s="583"/>
      <c r="FW9" s="583"/>
      <c r="FY9" s="583"/>
      <c r="GA9" s="583"/>
      <c r="GB9" s="612">
        <f>GB485</f>
        <v>-143.8000000000001</v>
      </c>
      <c r="GC9" s="618" t="str">
        <f t="shared" si="46"/>
        <v>NA</v>
      </c>
      <c r="GD9" s="612">
        <f>GD485</f>
        <v>-87</v>
      </c>
      <c r="GE9" s="618">
        <f t="shared" si="47"/>
        <v>-39.499304589707975</v>
      </c>
      <c r="GF9" s="612">
        <f>GF485</f>
        <v>-121</v>
      </c>
      <c r="GG9" s="618">
        <f t="shared" si="48"/>
        <v>39.080459770114942</v>
      </c>
      <c r="GH9" s="612">
        <f>GH485</f>
        <v>-107</v>
      </c>
      <c r="GI9" s="618">
        <f t="shared" si="48"/>
        <v>-11.570247933884293</v>
      </c>
      <c r="GJ9" s="612">
        <f>GJ485</f>
        <v>-156</v>
      </c>
      <c r="GK9" s="618">
        <f t="shared" si="48"/>
        <v>45.794392523364479</v>
      </c>
      <c r="GL9" s="612">
        <f>GL485</f>
        <v>-106</v>
      </c>
      <c r="GM9" s="618">
        <f t="shared" si="48"/>
        <v>-32.051282051282051</v>
      </c>
      <c r="GN9" s="612">
        <f>GN485</f>
        <v>-108</v>
      </c>
      <c r="GO9" s="618">
        <f t="shared" si="48"/>
        <v>1.8867924528301883</v>
      </c>
      <c r="GP9" s="612">
        <f>GP485</f>
        <v>-213.13180330583759</v>
      </c>
      <c r="GQ9" s="618">
        <f t="shared" si="48"/>
        <v>97.344262320219997</v>
      </c>
      <c r="GR9" s="612">
        <f>GR485</f>
        <v>-190.67547814437705</v>
      </c>
      <c r="GS9" s="618">
        <f t="shared" si="48"/>
        <v>-10.53635581980058</v>
      </c>
      <c r="GT9" s="612">
        <f>GT485</f>
        <v>-119.87848648870835</v>
      </c>
      <c r="GU9" s="618">
        <f t="shared" si="48"/>
        <v>-37.129573422158735</v>
      </c>
      <c r="GV9" s="612">
        <f>GV485</f>
        <v>-117.37013196336963</v>
      </c>
      <c r="GW9" s="618">
        <f t="shared" si="48"/>
        <v>-2.0924142427965919</v>
      </c>
      <c r="GX9" s="612">
        <f>GX485</f>
        <v>-114.74628461987075</v>
      </c>
      <c r="GY9" s="618">
        <f t="shared" si="49"/>
        <v>-2.2355324132359078</v>
      </c>
      <c r="GZ9" s="618">
        <f>IF(ISERROR((GX9/GN9)^0.2),"",IF(OR((GX9/GN9)^0.2&lt;0.5,(GX9/GN9)^0.2&gt;2),"NM",((GX9/GN9)^0.2-1)*100))</f>
        <v>1.2192174562792868</v>
      </c>
      <c r="HA9" s="618"/>
      <c r="HC9"/>
      <c r="HD9"/>
      <c r="HE9"/>
      <c r="HF9"/>
      <c r="HG9"/>
      <c r="HH9"/>
    </row>
    <row r="10" spans="1:217" s="321" customFormat="1" ht="12.75" hidden="1" customHeight="1" outlineLevel="1" x14ac:dyDescent="0.2">
      <c r="B10" s="321" t="s">
        <v>674</v>
      </c>
      <c r="L10" s="583"/>
      <c r="N10" s="583"/>
      <c r="P10" s="583"/>
      <c r="R10" s="583"/>
      <c r="T10" s="583"/>
      <c r="V10" s="583"/>
      <c r="X10" s="583"/>
      <c r="Z10" s="583"/>
      <c r="AB10" s="583"/>
      <c r="AD10" s="583"/>
      <c r="AF10" s="583"/>
      <c r="AH10" s="583"/>
      <c r="AJ10" s="583"/>
      <c r="AL10" s="583"/>
      <c r="AN10" s="583"/>
      <c r="AP10" s="583"/>
      <c r="AR10" s="583"/>
      <c r="AT10" s="583"/>
      <c r="AV10" s="583"/>
      <c r="AX10" s="583"/>
      <c r="AZ10" s="583"/>
      <c r="BB10" s="583"/>
      <c r="BD10" s="583"/>
      <c r="BF10" s="583"/>
      <c r="BH10" s="583"/>
      <c r="BJ10" s="583"/>
      <c r="BL10" s="583"/>
      <c r="BN10" s="583"/>
      <c r="BP10" s="583"/>
      <c r="BR10" s="583"/>
      <c r="BT10" s="583"/>
      <c r="BV10" s="583"/>
      <c r="BX10" s="583"/>
      <c r="BZ10" s="583"/>
      <c r="CB10" s="583"/>
      <c r="CD10" s="583"/>
      <c r="CF10" s="583"/>
      <c r="CH10" s="583"/>
      <c r="CJ10" s="583"/>
      <c r="CL10" s="583"/>
      <c r="CM10" s="612">
        <f>CM532</f>
        <v>0</v>
      </c>
      <c r="CN10" s="618" t="str">
        <f t="shared" si="16"/>
        <v>NA</v>
      </c>
      <c r="CO10" s="612">
        <f>CO532</f>
        <v>-1.3</v>
      </c>
      <c r="CP10" s="618" t="str">
        <f t="shared" si="17"/>
        <v>NA</v>
      </c>
      <c r="CQ10" s="612">
        <f>CQ532</f>
        <v>-6.3</v>
      </c>
      <c r="CR10" s="618" t="str">
        <f t="shared" si="18"/>
        <v>NA</v>
      </c>
      <c r="CS10" s="612">
        <f>CS532</f>
        <v>0</v>
      </c>
      <c r="CT10" s="618" t="str">
        <f t="shared" si="19"/>
        <v>NA</v>
      </c>
      <c r="CU10" s="612">
        <f>CU532</f>
        <v>0</v>
      </c>
      <c r="CV10" s="618" t="str">
        <f t="shared" si="20"/>
        <v>NA</v>
      </c>
      <c r="CW10" s="612">
        <f>CW532</f>
        <v>-4</v>
      </c>
      <c r="CX10" s="618" t="str">
        <f t="shared" si="21"/>
        <v>NM</v>
      </c>
      <c r="CY10" s="612">
        <f>CY532</f>
        <v>0</v>
      </c>
      <c r="CZ10" s="618" t="str">
        <f t="shared" si="22"/>
        <v>NM</v>
      </c>
      <c r="DA10" s="612">
        <f>DA532</f>
        <v>0</v>
      </c>
      <c r="DB10" s="618" t="str">
        <f t="shared" si="23"/>
        <v>NA</v>
      </c>
      <c r="DC10" s="612">
        <f>DC532</f>
        <v>0</v>
      </c>
      <c r="DD10" s="618" t="str">
        <f t="shared" si="24"/>
        <v>NA</v>
      </c>
      <c r="DE10" s="612">
        <f>DE532</f>
        <v>0</v>
      </c>
      <c r="DF10" s="618" t="str">
        <f t="shared" si="25"/>
        <v>NM</v>
      </c>
      <c r="DG10" s="612">
        <f>DG532</f>
        <v>0</v>
      </c>
      <c r="DH10" s="618" t="str">
        <f t="shared" si="26"/>
        <v>NA</v>
      </c>
      <c r="DI10" s="612">
        <f>DI532</f>
        <v>0</v>
      </c>
      <c r="DJ10" s="618" t="str">
        <f t="shared" si="27"/>
        <v>NA</v>
      </c>
      <c r="DK10" s="612">
        <f>DK532</f>
        <v>-1</v>
      </c>
      <c r="DL10" s="618" t="str">
        <f t="shared" si="28"/>
        <v>NA</v>
      </c>
      <c r="DM10" s="612">
        <f>DM532</f>
        <v>1</v>
      </c>
      <c r="DN10" s="618" t="str">
        <f t="shared" si="29"/>
        <v>NA</v>
      </c>
      <c r="DO10" s="612">
        <f>DO532</f>
        <v>2</v>
      </c>
      <c r="DP10" s="618" t="str">
        <f t="shared" si="29"/>
        <v>NA</v>
      </c>
      <c r="DQ10" s="612">
        <f>DQ532</f>
        <v>0</v>
      </c>
      <c r="DR10" s="618" t="str">
        <f t="shared" si="29"/>
        <v>NA</v>
      </c>
      <c r="DS10" s="612">
        <f>DS532</f>
        <v>0</v>
      </c>
      <c r="DT10" s="618" t="str">
        <f t="shared" si="29"/>
        <v>NM</v>
      </c>
      <c r="DU10" s="612">
        <f>DU532</f>
        <v>0</v>
      </c>
      <c r="DV10" s="618" t="str">
        <f t="shared" si="29"/>
        <v>NM</v>
      </c>
      <c r="DW10" s="612">
        <f>DW532</f>
        <v>-7</v>
      </c>
      <c r="DX10" s="618" t="str">
        <f t="shared" si="29"/>
        <v>NM</v>
      </c>
      <c r="DY10" s="612">
        <f>DY532</f>
        <v>0</v>
      </c>
      <c r="DZ10" s="618" t="str">
        <f t="shared" si="29"/>
        <v>NA</v>
      </c>
      <c r="EA10" s="612">
        <f>EA532</f>
        <v>-7</v>
      </c>
      <c r="EB10" s="618" t="str">
        <f t="shared" si="30"/>
        <v>NA</v>
      </c>
      <c r="EC10" s="612">
        <f>EC532</f>
        <v>0</v>
      </c>
      <c r="ED10" s="618" t="str">
        <f t="shared" si="31"/>
        <v>NA</v>
      </c>
      <c r="EE10" s="612">
        <f>EE532</f>
        <v>0</v>
      </c>
      <c r="EF10" s="618" t="str">
        <f t="shared" si="32"/>
        <v>NM</v>
      </c>
      <c r="EG10" s="612">
        <f>EG532</f>
        <v>0</v>
      </c>
      <c r="EH10" s="618" t="str">
        <f t="shared" si="33"/>
        <v>NA</v>
      </c>
      <c r="EI10" s="612">
        <f>EI532</f>
        <v>0</v>
      </c>
      <c r="EJ10" s="618" t="str">
        <f t="shared" si="34"/>
        <v>NM</v>
      </c>
      <c r="EK10" s="612">
        <f t="shared" ref="EK10" si="58">EK532</f>
        <v>0</v>
      </c>
      <c r="EL10" s="618" t="str">
        <f t="shared" si="36"/>
        <v>NA</v>
      </c>
      <c r="EM10" s="612">
        <f t="shared" ref="EM10" si="59">EM532</f>
        <v>0</v>
      </c>
      <c r="EN10" s="618" t="str">
        <f t="shared" si="38"/>
        <v>NA</v>
      </c>
      <c r="EO10" s="612">
        <f t="shared" ref="EO10" si="60">EO532</f>
        <v>0</v>
      </c>
      <c r="EP10" s="618" t="str">
        <f t="shared" si="40"/>
        <v>NA</v>
      </c>
      <c r="EQ10" s="612">
        <f t="shared" ref="EQ10:EW10" si="61">EQ532</f>
        <v>0</v>
      </c>
      <c r="ER10" s="618" t="str">
        <f t="shared" si="42"/>
        <v>NA</v>
      </c>
      <c r="ES10" s="612">
        <f t="shared" si="61"/>
        <v>0</v>
      </c>
      <c r="ET10" s="618" t="str">
        <f t="shared" si="43"/>
        <v>NA</v>
      </c>
      <c r="EU10" s="612">
        <f t="shared" si="61"/>
        <v>0</v>
      </c>
      <c r="EV10" s="618" t="str">
        <f t="shared" si="44"/>
        <v>NA</v>
      </c>
      <c r="EW10" s="612">
        <f t="shared" si="61"/>
        <v>0</v>
      </c>
      <c r="EX10" s="618" t="str">
        <f t="shared" si="45"/>
        <v>NA</v>
      </c>
      <c r="EZ10" s="558"/>
      <c r="FE10" s="583"/>
      <c r="FG10" s="583"/>
      <c r="FI10" s="583"/>
      <c r="FK10" s="583"/>
      <c r="FM10" s="583"/>
      <c r="FO10" s="583"/>
      <c r="FQ10" s="583"/>
      <c r="FS10" s="583"/>
      <c r="FU10" s="583"/>
      <c r="FW10" s="583"/>
      <c r="FY10" s="583"/>
      <c r="GA10" s="583"/>
      <c r="GB10" s="612">
        <f>GB532</f>
        <v>-7.6</v>
      </c>
      <c r="GC10" s="618" t="str">
        <f t="shared" si="46"/>
        <v>NA</v>
      </c>
      <c r="GD10" s="612">
        <f>GD532</f>
        <v>-4</v>
      </c>
      <c r="GE10" s="618"/>
      <c r="GF10" s="612">
        <f>GF532</f>
        <v>0</v>
      </c>
      <c r="GG10" s="618"/>
      <c r="GH10" s="612">
        <f>GH532</f>
        <v>2</v>
      </c>
      <c r="GI10" s="618"/>
      <c r="GJ10" s="612">
        <f>GJ532</f>
        <v>-7</v>
      </c>
      <c r="GK10" s="618"/>
      <c r="GL10" s="612">
        <f>GL532</f>
        <v>-7</v>
      </c>
      <c r="GM10" s="618"/>
      <c r="GN10" s="612">
        <f>GN532</f>
        <v>0</v>
      </c>
      <c r="GO10" s="618"/>
      <c r="GP10" s="612">
        <f>GP532</f>
        <v>0</v>
      </c>
      <c r="GQ10" s="618"/>
      <c r="GR10" s="612">
        <f>GR532</f>
        <v>0</v>
      </c>
      <c r="GS10" s="618"/>
      <c r="GT10" s="612">
        <f>GT532</f>
        <v>0</v>
      </c>
      <c r="GU10" s="618"/>
      <c r="GV10" s="612">
        <f>GV532</f>
        <v>0</v>
      </c>
      <c r="GW10" s="618"/>
      <c r="GX10" s="612">
        <f>GX532</f>
        <v>0</v>
      </c>
      <c r="GY10" s="618"/>
      <c r="GZ10" s="618"/>
      <c r="HA10" s="618"/>
      <c r="HC10"/>
      <c r="HD10"/>
      <c r="HE10"/>
      <c r="HF10"/>
      <c r="HG10"/>
      <c r="HH10"/>
    </row>
    <row r="11" spans="1:217" s="578" customFormat="1" ht="12.75" customHeight="1" collapsed="1" x14ac:dyDescent="0.2">
      <c r="B11" s="578" t="s">
        <v>675</v>
      </c>
      <c r="L11" s="615"/>
      <c r="N11" s="615"/>
      <c r="P11" s="615"/>
      <c r="R11" s="615"/>
      <c r="T11" s="615"/>
      <c r="V11" s="615"/>
      <c r="X11" s="615"/>
      <c r="Z11" s="615"/>
      <c r="AB11" s="615"/>
      <c r="AD11" s="615"/>
      <c r="AF11" s="615"/>
      <c r="AH11" s="615"/>
      <c r="AJ11" s="615"/>
      <c r="AL11" s="615"/>
      <c r="AN11" s="615"/>
      <c r="AP11" s="615"/>
      <c r="AR11" s="615"/>
      <c r="AT11" s="615"/>
      <c r="AV11" s="615"/>
      <c r="AX11" s="615"/>
      <c r="AZ11" s="615"/>
      <c r="BB11" s="615"/>
      <c r="BD11" s="615"/>
      <c r="BF11" s="615"/>
      <c r="BH11" s="615"/>
      <c r="BJ11" s="615"/>
      <c r="BL11" s="615"/>
      <c r="BN11" s="615"/>
      <c r="BP11" s="615"/>
      <c r="BR11" s="615"/>
      <c r="BT11" s="615"/>
      <c r="BV11" s="615"/>
      <c r="BX11" s="615"/>
      <c r="BZ11" s="615"/>
      <c r="CB11" s="615"/>
      <c r="CD11" s="615"/>
      <c r="CF11" s="615"/>
      <c r="CH11" s="615"/>
      <c r="CJ11" s="615"/>
      <c r="CL11" s="615"/>
      <c r="CM11" s="616">
        <f>CM7+CM8+CM9+CM10</f>
        <v>321.9000000000002</v>
      </c>
      <c r="CN11" s="618" t="str">
        <f t="shared" si="16"/>
        <v>NA</v>
      </c>
      <c r="CO11" s="616">
        <f>CO7+CO8+CO9+CO10</f>
        <v>324.89999999999981</v>
      </c>
      <c r="CP11" s="618" t="str">
        <f t="shared" si="17"/>
        <v>NA</v>
      </c>
      <c r="CQ11" s="616">
        <f>CQ7+CQ8+CQ9+CQ10</f>
        <v>322.89999999999992</v>
      </c>
      <c r="CR11" s="618" t="str">
        <f t="shared" si="18"/>
        <v>NA</v>
      </c>
      <c r="CS11" s="616">
        <f>CS7+CS8+CS9+CS10</f>
        <v>277</v>
      </c>
      <c r="CT11" s="618" t="str">
        <f t="shared" si="19"/>
        <v>NA</v>
      </c>
      <c r="CU11" s="616">
        <f>CU7+CU8+CU9+CU10</f>
        <v>293</v>
      </c>
      <c r="CV11" s="618">
        <f t="shared" si="20"/>
        <v>-8.9779434607021429</v>
      </c>
      <c r="CW11" s="616">
        <f>CW7+CW8+CW9+CW10</f>
        <v>315</v>
      </c>
      <c r="CX11" s="618">
        <f t="shared" si="21"/>
        <v>-3.0470914127423199</v>
      </c>
      <c r="CY11" s="616">
        <f>CY7+CY8+CY9+CY10</f>
        <v>362</v>
      </c>
      <c r="CZ11" s="618">
        <f t="shared" si="22"/>
        <v>12.109012078042758</v>
      </c>
      <c r="DA11" s="616">
        <f>DA7+DA8+DA9+DA10</f>
        <v>310</v>
      </c>
      <c r="DB11" s="618">
        <f t="shared" si="23"/>
        <v>11.913357400722013</v>
      </c>
      <c r="DC11" s="616">
        <f>DC7+DC8+DC9+DC10</f>
        <v>285</v>
      </c>
      <c r="DD11" s="618">
        <f t="shared" si="24"/>
        <v>-2.7303754266211566</v>
      </c>
      <c r="DE11" s="616">
        <f>DE7+DE8+DE9+DE10</f>
        <v>351</v>
      </c>
      <c r="DF11" s="618">
        <f t="shared" si="25"/>
        <v>11.428571428571432</v>
      </c>
      <c r="DG11" s="616">
        <f>DG7+DG8+DG9+DG10</f>
        <v>367</v>
      </c>
      <c r="DH11" s="618">
        <f t="shared" si="26"/>
        <v>1.3812154696132506</v>
      </c>
      <c r="DI11" s="616">
        <f>DI7+DI8+DI9+DI10</f>
        <v>382</v>
      </c>
      <c r="DJ11" s="618">
        <f t="shared" si="27"/>
        <v>23.225806451612897</v>
      </c>
      <c r="DK11" s="616">
        <f>DK7+DK8+DK9+DK10</f>
        <v>364</v>
      </c>
      <c r="DL11" s="618">
        <f t="shared" si="28"/>
        <v>27.719298245614034</v>
      </c>
      <c r="DM11" s="616">
        <f>DM7+DM8+DM9+DM10</f>
        <v>395</v>
      </c>
      <c r="DN11" s="618">
        <f t="shared" si="29"/>
        <v>12.535612535612529</v>
      </c>
      <c r="DO11" s="616">
        <f>DO7+DO8+DO9+DO10</f>
        <v>416</v>
      </c>
      <c r="DP11" s="618">
        <f t="shared" si="29"/>
        <v>13.351498637602187</v>
      </c>
      <c r="DQ11" s="616">
        <f>DQ7+DQ8+DQ9+DQ10</f>
        <v>440</v>
      </c>
      <c r="DR11" s="618">
        <f t="shared" si="29"/>
        <v>15.18324607329844</v>
      </c>
      <c r="DS11" s="616">
        <f>DS7+DS8+DS9+DS10</f>
        <v>352</v>
      </c>
      <c r="DT11" s="618">
        <f t="shared" si="29"/>
        <v>-3.2967032967032961</v>
      </c>
      <c r="DU11" s="616">
        <f>DU7+DU8+DU9+DU10</f>
        <v>371</v>
      </c>
      <c r="DV11" s="618">
        <f t="shared" si="29"/>
        <v>-6.0759493670886062</v>
      </c>
      <c r="DW11" s="616">
        <f>DW7+DW8+DW9+DW10</f>
        <v>282</v>
      </c>
      <c r="DX11" s="618">
        <f t="shared" si="29"/>
        <v>-32.21153846153846</v>
      </c>
      <c r="DY11" s="616">
        <f>DY7+DY8+DY9+DY10</f>
        <v>382</v>
      </c>
      <c r="DZ11" s="618">
        <f t="shared" si="29"/>
        <v>-13.181818181818183</v>
      </c>
      <c r="EA11" s="616">
        <f>EA7+EA8+EA9+EA10</f>
        <v>307</v>
      </c>
      <c r="EB11" s="618">
        <f t="shared" si="30"/>
        <v>-12.784090909090907</v>
      </c>
      <c r="EC11" s="616">
        <f>EC7+EC8+EC9+EC10</f>
        <v>373</v>
      </c>
      <c r="ED11" s="618">
        <f t="shared" si="31"/>
        <v>0.53908355795149188</v>
      </c>
      <c r="EE11" s="616">
        <f>EE7+EE8+EE9+EE10</f>
        <v>441</v>
      </c>
      <c r="EF11" s="618">
        <f t="shared" si="32"/>
        <v>56.38297872340425</v>
      </c>
      <c r="EG11" s="616">
        <f>EG7+EG8+EG9+EG10</f>
        <v>409</v>
      </c>
      <c r="EH11" s="618">
        <f t="shared" si="33"/>
        <v>7.0680628272251411</v>
      </c>
      <c r="EI11" s="616">
        <f>EI7+EI8+EI9+EI10</f>
        <v>442</v>
      </c>
      <c r="EJ11" s="618">
        <f t="shared" si="34"/>
        <v>43.973941368078172</v>
      </c>
      <c r="EK11" s="616">
        <f t="shared" ref="EK11" si="62">EK7+EK8+EK9+EK10</f>
        <v>419</v>
      </c>
      <c r="EL11" s="618">
        <f t="shared" si="36"/>
        <v>12.332439678284191</v>
      </c>
      <c r="EM11" s="616">
        <f t="shared" ref="EM11" si="63">EM7+EM8+EM9+EM10</f>
        <v>454</v>
      </c>
      <c r="EN11" s="618">
        <f t="shared" si="38"/>
        <v>2.947845804988658</v>
      </c>
      <c r="EO11" s="616">
        <f t="shared" ref="EO11" si="64">EO7+EO8+EO9+EO10</f>
        <v>440</v>
      </c>
      <c r="EP11" s="618">
        <f t="shared" si="40"/>
        <v>7.5794621026894937</v>
      </c>
      <c r="EQ11" s="616">
        <f t="shared" ref="EQ11:EW11" si="65">EQ7+EQ8+EQ9+EQ10</f>
        <v>433.01539174143363</v>
      </c>
      <c r="ER11" s="618">
        <f t="shared" si="42"/>
        <v>-2.0327168005806251</v>
      </c>
      <c r="ES11" s="616">
        <f t="shared" si="65"/>
        <v>460.45921990626726</v>
      </c>
      <c r="ET11" s="618">
        <f t="shared" si="43"/>
        <v>9.894801886937298</v>
      </c>
      <c r="EU11" s="616">
        <f t="shared" si="65"/>
        <v>479.13694888564487</v>
      </c>
      <c r="EV11" s="618">
        <f t="shared" si="44"/>
        <v>5.5367728823006335</v>
      </c>
      <c r="EW11" s="616">
        <f t="shared" si="65"/>
        <v>492.61294385852671</v>
      </c>
      <c r="EX11" s="618">
        <f t="shared" si="45"/>
        <v>11.95748724057426</v>
      </c>
      <c r="EZ11" s="558"/>
      <c r="FE11" s="615"/>
      <c r="FG11" s="615"/>
      <c r="FI11" s="615"/>
      <c r="FK11" s="615"/>
      <c r="FM11" s="615"/>
      <c r="FO11" s="615"/>
      <c r="FQ11" s="615"/>
      <c r="FS11" s="615"/>
      <c r="FU11" s="615"/>
      <c r="FW11" s="615"/>
      <c r="FY11" s="615"/>
      <c r="GA11" s="615"/>
      <c r="GB11" s="616">
        <f>GB7+GB8+GB9+GB10</f>
        <v>1246.7000000000003</v>
      </c>
      <c r="GC11" s="618" t="str">
        <f t="shared" si="46"/>
        <v>NA</v>
      </c>
      <c r="GD11" s="616">
        <f>GD7+GD8+GD9+GD10</f>
        <v>1280</v>
      </c>
      <c r="GE11" s="618">
        <f t="shared" si="47"/>
        <v>2.6710515761610321</v>
      </c>
      <c r="GF11" s="616">
        <f>GF7+GF8+GF9+GF10</f>
        <v>1385</v>
      </c>
      <c r="GG11" s="618">
        <f t="shared" si="48"/>
        <v>8.203125</v>
      </c>
      <c r="GH11" s="616">
        <f>GH7+GH8+GH9+GH10</f>
        <v>1615</v>
      </c>
      <c r="GI11" s="618">
        <f t="shared" si="48"/>
        <v>16.606498194945839</v>
      </c>
      <c r="GJ11" s="616">
        <f>GJ7+GJ8+GJ9+GJ10</f>
        <v>1387</v>
      </c>
      <c r="GK11" s="618">
        <f t="shared" si="48"/>
        <v>-14.117647058823534</v>
      </c>
      <c r="GL11" s="616">
        <f>GL7+GL8+GL9+GL10</f>
        <v>1530</v>
      </c>
      <c r="GM11" s="618">
        <f t="shared" si="48"/>
        <v>10.31002162941601</v>
      </c>
      <c r="GN11" s="616">
        <f>GN7+GN8+GN9+GN10</f>
        <v>1755</v>
      </c>
      <c r="GO11" s="618">
        <f t="shared" si="48"/>
        <v>14.705882352941169</v>
      </c>
      <c r="GP11" s="616">
        <f>GP7+GP8+GP9+GP10</f>
        <v>1865.2245043918708</v>
      </c>
      <c r="GQ11" s="618">
        <f t="shared" si="48"/>
        <v>6.2805985408473486</v>
      </c>
      <c r="GR11" s="616">
        <f>GR7+GR8+GR9+GR10</f>
        <v>1997.2805153712757</v>
      </c>
      <c r="GS11" s="618">
        <f t="shared" si="48"/>
        <v>7.0798989970625392</v>
      </c>
      <c r="GT11" s="616">
        <f>GT7+GT8+GT9+GT10</f>
        <v>2187.2095019673025</v>
      </c>
      <c r="GU11" s="618">
        <f t="shared" si="48"/>
        <v>9.5093796356753089</v>
      </c>
      <c r="GV11" s="616">
        <f>GV7+GV8+GV9+GV10</f>
        <v>2296.8237050363132</v>
      </c>
      <c r="GW11" s="618">
        <f t="shared" si="48"/>
        <v>5.0116005334842173</v>
      </c>
      <c r="GX11" s="616">
        <f>GX7+GX8+GX9+GX10</f>
        <v>2417.6717699682927</v>
      </c>
      <c r="GY11" s="618">
        <f t="shared" ref="GY11" si="66">IF(ISERROR((GX11/GV11-1)*100),"NA",IF(((GX11/GV11-1)*100)&gt;100,"NM",IF(((GX11/GV11-1)*100)&lt;-50,"NM",(GX11/GV11-1)*100)))</f>
        <v>5.2615298539018251</v>
      </c>
      <c r="GZ11" s="618">
        <f>IF(ISERROR((GX11/GN11)^0.2),"",IF(OR((GX11/GN11)^0.2&lt;0.5,(GX11/GN11)^0.2&gt;2),"NM",((GX11/GN11)^0.2-1)*100))</f>
        <v>6.6164072778214678</v>
      </c>
      <c r="HA11" s="618"/>
      <c r="HC11"/>
      <c r="HD11"/>
      <c r="HE11"/>
      <c r="HF11"/>
      <c r="HG11"/>
      <c r="HH11"/>
    </row>
    <row r="12" spans="1:217" s="631" customFormat="1" ht="12.75" hidden="1" customHeight="1" outlineLevel="1" x14ac:dyDescent="0.2">
      <c r="B12" s="631" t="s">
        <v>50</v>
      </c>
      <c r="L12" s="565"/>
      <c r="N12" s="565"/>
      <c r="P12" s="565"/>
      <c r="R12" s="565"/>
      <c r="T12" s="565"/>
      <c r="V12" s="565"/>
      <c r="X12" s="565"/>
      <c r="Z12" s="565"/>
      <c r="AB12" s="565"/>
      <c r="AD12" s="565"/>
      <c r="AF12" s="565"/>
      <c r="AH12" s="565"/>
      <c r="AJ12" s="565"/>
      <c r="AL12" s="565"/>
      <c r="AN12" s="565"/>
      <c r="AP12" s="565"/>
      <c r="AR12" s="565"/>
      <c r="AT12" s="565"/>
      <c r="AV12" s="565"/>
      <c r="AX12" s="565"/>
      <c r="AZ12" s="565"/>
      <c r="BB12" s="565"/>
      <c r="BD12" s="565"/>
      <c r="BF12" s="565"/>
      <c r="BH12" s="565"/>
      <c r="BJ12" s="565"/>
      <c r="BL12" s="565"/>
      <c r="BN12" s="565"/>
      <c r="BP12" s="565"/>
      <c r="BR12" s="565"/>
      <c r="BT12" s="565"/>
      <c r="BV12" s="565"/>
      <c r="BX12" s="565"/>
      <c r="BZ12" s="565"/>
      <c r="CB12" s="565"/>
      <c r="CD12" s="565"/>
      <c r="CF12" s="565"/>
      <c r="CH12" s="565"/>
      <c r="CJ12" s="565"/>
      <c r="CL12" s="565"/>
      <c r="CM12" s="633">
        <f>CM11-CM538</f>
        <v>0</v>
      </c>
      <c r="CN12" s="632"/>
      <c r="CO12" s="633">
        <f>CO11-CO538</f>
        <v>0</v>
      </c>
      <c r="CP12" s="632"/>
      <c r="CQ12" s="633">
        <f>CQ11-CQ538</f>
        <v>0</v>
      </c>
      <c r="CR12" s="632"/>
      <c r="CS12" s="633">
        <f>CS11-CS538</f>
        <v>0</v>
      </c>
      <c r="CT12" s="632"/>
      <c r="CU12" s="633">
        <f>CU11-CU538</f>
        <v>0</v>
      </c>
      <c r="CV12" s="632"/>
      <c r="CW12" s="633">
        <f>CW11-CW538</f>
        <v>0</v>
      </c>
      <c r="CX12" s="632"/>
      <c r="CY12" s="633">
        <f>CY11-CY538</f>
        <v>0</v>
      </c>
      <c r="CZ12" s="632"/>
      <c r="DA12" s="633">
        <f>DA11-DA538</f>
        <v>0</v>
      </c>
      <c r="DB12" s="632"/>
      <c r="DC12" s="633">
        <f>DC11-DC538</f>
        <v>0</v>
      </c>
      <c r="DD12" s="632"/>
      <c r="DE12" s="633">
        <f>DE11-DE538</f>
        <v>0</v>
      </c>
      <c r="DF12" s="632"/>
      <c r="DG12" s="633">
        <f>DG11-DG538</f>
        <v>0</v>
      </c>
      <c r="DH12" s="632"/>
      <c r="DI12" s="633">
        <f>DI11-DI538</f>
        <v>0</v>
      </c>
      <c r="DJ12" s="632"/>
      <c r="DK12" s="633">
        <f>DK11-DK538</f>
        <v>0</v>
      </c>
      <c r="DL12" s="632"/>
      <c r="DM12" s="633">
        <f>DM11-DM538</f>
        <v>0</v>
      </c>
      <c r="DN12" s="632"/>
      <c r="DO12" s="633">
        <f>DO11-DO538</f>
        <v>0</v>
      </c>
      <c r="DP12" s="632"/>
      <c r="DQ12" s="633">
        <f>DQ11-DQ538</f>
        <v>0</v>
      </c>
      <c r="DR12" s="632"/>
      <c r="DS12" s="633">
        <f>DS11-DS538</f>
        <v>0</v>
      </c>
      <c r="DT12" s="632"/>
      <c r="DU12" s="633">
        <f>DU11-DU538</f>
        <v>0</v>
      </c>
      <c r="DV12" s="632"/>
      <c r="DW12" s="633">
        <f>DW11-DW538</f>
        <v>0</v>
      </c>
      <c r="DX12" s="632"/>
      <c r="DY12" s="633">
        <f>DY11-DY538</f>
        <v>0</v>
      </c>
      <c r="DZ12" s="632"/>
      <c r="EA12" s="633">
        <f>EA11-EA538</f>
        <v>0</v>
      </c>
      <c r="EB12" s="632"/>
      <c r="EC12" s="633">
        <f>EC11-EC538</f>
        <v>0</v>
      </c>
      <c r="ED12" s="632"/>
      <c r="EE12" s="633">
        <f>EE11-EE538</f>
        <v>0</v>
      </c>
      <c r="EF12" s="632"/>
      <c r="EG12" s="633">
        <f>EG11-EG538</f>
        <v>0</v>
      </c>
      <c r="EH12" s="632"/>
      <c r="EI12" s="633">
        <f>EI11-EI538</f>
        <v>0</v>
      </c>
      <c r="EJ12" s="632"/>
      <c r="EK12" s="633">
        <f t="shared" ref="EK12" si="67">EK11-EK538</f>
        <v>0</v>
      </c>
      <c r="EL12" s="632"/>
      <c r="EM12" s="633">
        <f t="shared" ref="EM12" si="68">EM11-EM538</f>
        <v>0</v>
      </c>
      <c r="EN12" s="632"/>
      <c r="EO12" s="633">
        <f t="shared" ref="EO12" si="69">EO11-EO538</f>
        <v>0</v>
      </c>
      <c r="EP12" s="632"/>
      <c r="EQ12" s="633">
        <f t="shared" ref="EQ12:EW12" si="70">EQ11-EQ538</f>
        <v>0</v>
      </c>
      <c r="ER12" s="632"/>
      <c r="ES12" s="633">
        <f t="shared" si="70"/>
        <v>0</v>
      </c>
      <c r="ET12" s="632"/>
      <c r="EU12" s="633">
        <f t="shared" si="70"/>
        <v>0</v>
      </c>
      <c r="EV12" s="632"/>
      <c r="EW12" s="633">
        <f t="shared" si="70"/>
        <v>0</v>
      </c>
      <c r="EX12" s="632"/>
      <c r="EZ12" s="558"/>
      <c r="FE12" s="565"/>
      <c r="FG12" s="565"/>
      <c r="FI12" s="565"/>
      <c r="FK12" s="565"/>
      <c r="FM12" s="565"/>
      <c r="FO12" s="565"/>
      <c r="FQ12" s="565"/>
      <c r="FS12" s="565"/>
      <c r="FU12" s="565"/>
      <c r="FW12" s="565"/>
      <c r="FY12" s="565"/>
      <c r="GA12" s="565"/>
      <c r="GB12" s="633">
        <f>GB11-GB538</f>
        <v>0</v>
      </c>
      <c r="GC12" s="632"/>
      <c r="GD12" s="633">
        <f>GD11-GD538</f>
        <v>0</v>
      </c>
      <c r="GE12" s="632"/>
      <c r="GF12" s="633">
        <f>GF11-GF538</f>
        <v>0</v>
      </c>
      <c r="GG12" s="632"/>
      <c r="GH12" s="633">
        <f>GH11-GH538</f>
        <v>0</v>
      </c>
      <c r="GI12" s="632"/>
      <c r="GJ12" s="633">
        <f>GJ11-GJ538</f>
        <v>0</v>
      </c>
      <c r="GK12" s="632"/>
      <c r="GL12" s="633">
        <f>GL11-GL538</f>
        <v>0</v>
      </c>
      <c r="GM12" s="632"/>
      <c r="GN12" s="633">
        <f>GN11-GN538</f>
        <v>0</v>
      </c>
      <c r="GO12" s="632"/>
      <c r="GP12" s="633">
        <f>GP11-GP538</f>
        <v>0</v>
      </c>
      <c r="GQ12" s="632"/>
      <c r="GR12" s="633">
        <f>GR11-GR538</f>
        <v>0</v>
      </c>
      <c r="GS12" s="632"/>
      <c r="GT12" s="633">
        <f>GT11-GT538</f>
        <v>0</v>
      </c>
      <c r="GU12" s="632"/>
      <c r="GV12" s="633">
        <f>GV11-GV538</f>
        <v>0</v>
      </c>
      <c r="GW12" s="632"/>
      <c r="GX12" s="633">
        <f>GX11-GX538</f>
        <v>0</v>
      </c>
      <c r="GY12" s="632"/>
      <c r="GZ12" s="632"/>
      <c r="HA12" s="632"/>
      <c r="HC12"/>
      <c r="HD12"/>
      <c r="HE12"/>
      <c r="HF12"/>
      <c r="HG12"/>
      <c r="HH12"/>
      <c r="HI12" s="578"/>
    </row>
    <row r="13" spans="1:217" s="321" customFormat="1" ht="12.75" hidden="1" customHeight="1" outlineLevel="1" x14ac:dyDescent="0.2">
      <c r="B13" s="321" t="s">
        <v>97</v>
      </c>
      <c r="L13" s="583"/>
      <c r="N13" s="583"/>
      <c r="P13" s="583"/>
      <c r="R13" s="583"/>
      <c r="T13" s="583"/>
      <c r="V13" s="583"/>
      <c r="X13" s="583"/>
      <c r="Z13" s="583"/>
      <c r="AB13" s="583"/>
      <c r="AD13" s="583"/>
      <c r="AF13" s="583"/>
      <c r="AH13" s="583"/>
      <c r="AJ13" s="583"/>
      <c r="AL13" s="583"/>
      <c r="AN13" s="583"/>
      <c r="AP13" s="583"/>
      <c r="AR13" s="583"/>
      <c r="AT13" s="583"/>
      <c r="AV13" s="583"/>
      <c r="AX13" s="583"/>
      <c r="AZ13" s="583"/>
      <c r="BB13" s="583"/>
      <c r="BD13" s="583"/>
      <c r="BF13" s="583"/>
      <c r="BH13" s="583"/>
      <c r="BJ13" s="583"/>
      <c r="BL13" s="583"/>
      <c r="BN13" s="583"/>
      <c r="BP13" s="583"/>
      <c r="BR13" s="583"/>
      <c r="BT13" s="583"/>
      <c r="BV13" s="583"/>
      <c r="BX13" s="583"/>
      <c r="BZ13" s="583"/>
      <c r="CB13" s="583"/>
      <c r="CD13" s="583"/>
      <c r="CF13" s="583"/>
      <c r="CH13" s="583"/>
      <c r="CJ13" s="583"/>
      <c r="CL13" s="583"/>
      <c r="CM13" s="614">
        <f>CM539+CM540</f>
        <v>0</v>
      </c>
      <c r="CN13" s="618" t="str">
        <f t="shared" si="16"/>
        <v>NA</v>
      </c>
      <c r="CO13" s="614">
        <f>CO539+CO540</f>
        <v>0</v>
      </c>
      <c r="CP13" s="618" t="str">
        <f t="shared" si="17"/>
        <v>NA</v>
      </c>
      <c r="CQ13" s="614">
        <f>CQ539+CQ540</f>
        <v>0</v>
      </c>
      <c r="CR13" s="618" t="str">
        <f t="shared" si="18"/>
        <v>NA</v>
      </c>
      <c r="CS13" s="614">
        <f>CS539+CS540</f>
        <v>0</v>
      </c>
      <c r="CT13" s="618" t="str">
        <f t="shared" si="19"/>
        <v>NA</v>
      </c>
      <c r="CU13" s="614">
        <f>CU539+CU540</f>
        <v>0</v>
      </c>
      <c r="CV13" s="618" t="str">
        <f t="shared" si="20"/>
        <v>NA</v>
      </c>
      <c r="CW13" s="614">
        <f>CW539+CW540</f>
        <v>0</v>
      </c>
      <c r="CX13" s="618" t="str">
        <f t="shared" si="21"/>
        <v>NA</v>
      </c>
      <c r="CY13" s="614">
        <f>CY539+CY540</f>
        <v>0</v>
      </c>
      <c r="CZ13" s="618" t="str">
        <f t="shared" si="22"/>
        <v>NA</v>
      </c>
      <c r="DA13" s="614">
        <f>DA539+DA540</f>
        <v>0</v>
      </c>
      <c r="DB13" s="618" t="str">
        <f t="shared" si="23"/>
        <v>NA</v>
      </c>
      <c r="DC13" s="614">
        <f>DC539+DC540</f>
        <v>0</v>
      </c>
      <c r="DD13" s="618" t="str">
        <f t="shared" si="24"/>
        <v>NA</v>
      </c>
      <c r="DE13" s="614">
        <f>DE539+DE540</f>
        <v>0</v>
      </c>
      <c r="DF13" s="618" t="str">
        <f t="shared" si="25"/>
        <v>NA</v>
      </c>
      <c r="DG13" s="614">
        <f>DG539+DG540</f>
        <v>0</v>
      </c>
      <c r="DH13" s="618" t="str">
        <f t="shared" si="26"/>
        <v>NA</v>
      </c>
      <c r="DI13" s="614">
        <f>DI539+DI540</f>
        <v>0</v>
      </c>
      <c r="DJ13" s="618" t="str">
        <f t="shared" si="27"/>
        <v>NA</v>
      </c>
      <c r="DK13" s="614">
        <f>DK539+DK540</f>
        <v>0</v>
      </c>
      <c r="DL13" s="618" t="str">
        <f t="shared" si="28"/>
        <v>NA</v>
      </c>
      <c r="DM13" s="614">
        <f>DM539+DM540</f>
        <v>0</v>
      </c>
      <c r="DN13" s="618" t="str">
        <f t="shared" si="29"/>
        <v>NA</v>
      </c>
      <c r="DO13" s="614">
        <f>DO539+DO540</f>
        <v>0</v>
      </c>
      <c r="DP13" s="618" t="str">
        <f t="shared" si="29"/>
        <v>NA</v>
      </c>
      <c r="DQ13" s="614">
        <f>DQ539+DQ540</f>
        <v>0</v>
      </c>
      <c r="DR13" s="618" t="str">
        <f t="shared" si="29"/>
        <v>NA</v>
      </c>
      <c r="DS13" s="614">
        <f>DS539+DS540</f>
        <v>0</v>
      </c>
      <c r="DT13" s="618" t="str">
        <f t="shared" si="29"/>
        <v>NA</v>
      </c>
      <c r="DU13" s="614">
        <f>DU539+DU540</f>
        <v>0</v>
      </c>
      <c r="DV13" s="618" t="str">
        <f t="shared" si="29"/>
        <v>NA</v>
      </c>
      <c r="DW13" s="614">
        <f>DW539+DW540</f>
        <v>0</v>
      </c>
      <c r="DX13" s="618" t="str">
        <f t="shared" si="29"/>
        <v>NA</v>
      </c>
      <c r="DY13" s="614">
        <f>DY539+DY540</f>
        <v>0</v>
      </c>
      <c r="DZ13" s="618" t="str">
        <f t="shared" si="29"/>
        <v>NA</v>
      </c>
      <c r="EA13" s="614">
        <f>EA539+EA540</f>
        <v>0</v>
      </c>
      <c r="EB13" s="618" t="str">
        <f t="shared" ref="EB13:EB14" si="71">IF(ISERROR((EA13/DS13-1)*100),"NA",IF(((EA13/DS13-1)*100)&gt;100,"NM",IF(((EA13/DS13-1)*100)&lt;-50,"NM",(EA13/DS13-1)*100)))</f>
        <v>NA</v>
      </c>
      <c r="EC13" s="614">
        <f>EC539+EC540</f>
        <v>0</v>
      </c>
      <c r="ED13" s="618" t="str">
        <f t="shared" ref="ED13:ED14" si="72">IF(ISERROR((EC13/DU13-1)*100),"NA",IF(((EC13/DU13-1)*100)&gt;100,"NM",IF(((EC13/DU13-1)*100)&lt;-50,"NM",(EC13/DU13-1)*100)))</f>
        <v>NA</v>
      </c>
      <c r="EE13" s="614">
        <f>EE539+EE540</f>
        <v>0</v>
      </c>
      <c r="EF13" s="618" t="str">
        <f t="shared" ref="EF13:EF14" si="73">IF(ISERROR((EE13/DW13-1)*100),"NA",IF(((EE13/DW13-1)*100)&gt;100,"NM",IF(((EE13/DW13-1)*100)&lt;-50,"NM",(EE13/DW13-1)*100)))</f>
        <v>NA</v>
      </c>
      <c r="EG13" s="614">
        <f>EG539+EG540</f>
        <v>0</v>
      </c>
      <c r="EH13" s="618" t="str">
        <f t="shared" ref="EH13:EH14" si="74">IF(ISERROR((EG13/DY13-1)*100),"NA",IF(((EG13/DY13-1)*100)&gt;100,"NM",IF(((EG13/DY13-1)*100)&lt;-50,"NM",(EG13/DY13-1)*100)))</f>
        <v>NA</v>
      </c>
      <c r="EI13" s="614">
        <f>EI539+EI540</f>
        <v>0</v>
      </c>
      <c r="EJ13" s="618" t="str">
        <f t="shared" ref="EJ13:EJ14" si="75">IF(ISERROR((EI13/EA13-1)*100),"NA",IF(((EI13/EA13-1)*100)&gt;100,"NM",IF(((EI13/EA13-1)*100)&lt;-50,"NM",(EI13/EA13-1)*100)))</f>
        <v>NA</v>
      </c>
      <c r="EK13" s="614">
        <f t="shared" ref="EK13" si="76">EK539+EK540</f>
        <v>0</v>
      </c>
      <c r="EL13" s="618" t="str">
        <f t="shared" ref="EL13:EL14" si="77">IF(ISERROR((EK13/EC13-1)*100),"NA",IF(((EK13/EC13-1)*100)&gt;100,"NM",IF(((EK13/EC13-1)*100)&lt;-50,"NM",(EK13/EC13-1)*100)))</f>
        <v>NA</v>
      </c>
      <c r="EM13" s="614">
        <f t="shared" ref="EM13" si="78">EM539+EM540</f>
        <v>0</v>
      </c>
      <c r="EN13" s="618" t="str">
        <f t="shared" ref="EN13:EN14" si="79">IF(ISERROR((EM13/EE13-1)*100),"NA",IF(((EM13/EE13-1)*100)&gt;100,"NM",IF(((EM13/EE13-1)*100)&lt;-50,"NM",(EM13/EE13-1)*100)))</f>
        <v>NA</v>
      </c>
      <c r="EO13" s="614">
        <f t="shared" ref="EO13" si="80">EO539+EO540</f>
        <v>0</v>
      </c>
      <c r="EP13" s="618" t="str">
        <f t="shared" ref="EP13:EP14" si="81">IF(ISERROR((EO13/EG13-1)*100),"NA",IF(((EO13/EG13-1)*100)&gt;100,"NM",IF(((EO13/EG13-1)*100)&lt;-50,"NM",(EO13/EG13-1)*100)))</f>
        <v>NA</v>
      </c>
      <c r="EQ13" s="614">
        <f t="shared" ref="EQ13:EW13" si="82">EQ539+EQ540</f>
        <v>0</v>
      </c>
      <c r="ER13" s="618" t="str">
        <f t="shared" ref="ER13:ER14" si="83">IF(ISERROR((EQ13/EI13-1)*100),"NA",IF(((EQ13/EI13-1)*100)&gt;100,"NM",IF(((EQ13/EI13-1)*100)&lt;-50,"NM",(EQ13/EI13-1)*100)))</f>
        <v>NA</v>
      </c>
      <c r="ES13" s="614">
        <f t="shared" si="82"/>
        <v>0</v>
      </c>
      <c r="ET13" s="618" t="str">
        <f t="shared" ref="ET13:ET14" si="84">IF(ISERROR((ES13/EK13-1)*100),"NA",IF(((ES13/EK13-1)*100)&gt;100,"NM",IF(((ES13/EK13-1)*100)&lt;-50,"NM",(ES13/EK13-1)*100)))</f>
        <v>NA</v>
      </c>
      <c r="EU13" s="614">
        <f t="shared" si="82"/>
        <v>0</v>
      </c>
      <c r="EV13" s="618" t="str">
        <f t="shared" ref="EV13:EV14" si="85">IF(ISERROR((EU13/EM13-1)*100),"NA",IF(((EU13/EM13-1)*100)&gt;100,"NM",IF(((EU13/EM13-1)*100)&lt;-50,"NM",(EU13/EM13-1)*100)))</f>
        <v>NA</v>
      </c>
      <c r="EW13" s="614">
        <f t="shared" si="82"/>
        <v>0</v>
      </c>
      <c r="EX13" s="618" t="str">
        <f t="shared" ref="EX13:EX14" si="86">IF(ISERROR((EW13/EO13-1)*100),"NA",IF(((EW13/EO13-1)*100)&gt;100,"NM",IF(((EW13/EO13-1)*100)&lt;-50,"NM",(EW13/EO13-1)*100)))</f>
        <v>NA</v>
      </c>
      <c r="EZ13" s="558"/>
      <c r="FE13" s="583"/>
      <c r="FG13" s="583"/>
      <c r="FI13" s="583"/>
      <c r="FK13" s="583"/>
      <c r="FM13" s="583"/>
      <c r="FO13" s="583"/>
      <c r="FQ13" s="583"/>
      <c r="FS13" s="583"/>
      <c r="FU13" s="583"/>
      <c r="FW13" s="583"/>
      <c r="FY13" s="583"/>
      <c r="GA13" s="583"/>
      <c r="GB13" s="614">
        <f>GB539+GB540</f>
        <v>0</v>
      </c>
      <c r="GC13" s="618" t="str">
        <f t="shared" si="46"/>
        <v>NA</v>
      </c>
      <c r="GD13" s="614">
        <f>GD539+GD540</f>
        <v>0</v>
      </c>
      <c r="GE13" s="618" t="str">
        <f t="shared" si="47"/>
        <v>NA</v>
      </c>
      <c r="GF13" s="614">
        <f>GF539+GF540</f>
        <v>0</v>
      </c>
      <c r="GG13" s="618" t="str">
        <f t="shared" si="48"/>
        <v>NA</v>
      </c>
      <c r="GH13" s="614">
        <f>GH539+GH540</f>
        <v>0</v>
      </c>
      <c r="GI13" s="618" t="str">
        <f t="shared" si="48"/>
        <v>NA</v>
      </c>
      <c r="GJ13" s="614">
        <f>GJ539+GJ540</f>
        <v>0</v>
      </c>
      <c r="GK13" s="618" t="str">
        <f t="shared" si="48"/>
        <v>NA</v>
      </c>
      <c r="GL13" s="614">
        <f>GL539+GL540</f>
        <v>0</v>
      </c>
      <c r="GM13" s="618" t="str">
        <f t="shared" si="48"/>
        <v>NA</v>
      </c>
      <c r="GN13" s="614">
        <f>GN539+GN540</f>
        <v>0</v>
      </c>
      <c r="GO13" s="618" t="str">
        <f t="shared" si="48"/>
        <v>NA</v>
      </c>
      <c r="GP13" s="614">
        <f>GP539+GP540</f>
        <v>0</v>
      </c>
      <c r="GQ13" s="618" t="str">
        <f t="shared" si="48"/>
        <v>NA</v>
      </c>
      <c r="GR13" s="614">
        <f>GR539+GR540</f>
        <v>0</v>
      </c>
      <c r="GS13" s="618" t="str">
        <f t="shared" si="48"/>
        <v>NA</v>
      </c>
      <c r="GT13" s="614">
        <f>GT539+GT540</f>
        <v>0</v>
      </c>
      <c r="GU13" s="618" t="str">
        <f t="shared" si="48"/>
        <v>NA</v>
      </c>
      <c r="GV13" s="614">
        <f>GV539+GV540</f>
        <v>0</v>
      </c>
      <c r="GW13" s="618" t="str">
        <f t="shared" si="48"/>
        <v>NA</v>
      </c>
      <c r="GX13" s="614">
        <f>GX539+GX540</f>
        <v>0</v>
      </c>
      <c r="GY13" s="618" t="str">
        <f t="shared" ref="GY13:GY14" si="87">IF(ISERROR((GX13/GV13-1)*100),"NA",IF(((GX13/GV13-1)*100)&gt;100,"NM",IF(((GX13/GV13-1)*100)&lt;-50,"NM",(GX13/GV13-1)*100)))</f>
        <v>NA</v>
      </c>
      <c r="GZ13" s="618" t="str">
        <f>IF(ISERROR((GX13/GN13)^0.2),"",IF(OR((GX13/GN13)^0.2&lt;0.5,(GX13/GN13)^0.2&gt;2),"NM",((GX13/GN13)^0.2-1)*100))</f>
        <v/>
      </c>
      <c r="HA13" s="618"/>
      <c r="HC13"/>
      <c r="HD13"/>
      <c r="HE13"/>
      <c r="HF13"/>
      <c r="HG13"/>
      <c r="HH13"/>
      <c r="HI13" s="578"/>
    </row>
    <row r="14" spans="1:217" s="321" customFormat="1" ht="12.75" hidden="1" customHeight="1" outlineLevel="1" x14ac:dyDescent="0.2">
      <c r="B14" s="578" t="s">
        <v>96</v>
      </c>
      <c r="L14" s="583"/>
      <c r="N14" s="583"/>
      <c r="P14" s="583"/>
      <c r="R14" s="583"/>
      <c r="T14" s="583"/>
      <c r="V14" s="583"/>
      <c r="X14" s="583"/>
      <c r="Z14" s="583"/>
      <c r="AB14" s="583"/>
      <c r="AD14" s="583"/>
      <c r="AF14" s="583"/>
      <c r="AH14" s="583"/>
      <c r="AJ14" s="583"/>
      <c r="AL14" s="583"/>
      <c r="AN14" s="583"/>
      <c r="AP14" s="583"/>
      <c r="AR14" s="583"/>
      <c r="AT14" s="583"/>
      <c r="AV14" s="583"/>
      <c r="AX14" s="583"/>
      <c r="AZ14" s="583"/>
      <c r="BB14" s="583"/>
      <c r="BD14" s="583"/>
      <c r="BF14" s="583"/>
      <c r="BH14" s="583"/>
      <c r="BJ14" s="583"/>
      <c r="BL14" s="583"/>
      <c r="BN14" s="583"/>
      <c r="BP14" s="583"/>
      <c r="BR14" s="583"/>
      <c r="BT14" s="583"/>
      <c r="BV14" s="583"/>
      <c r="BX14" s="583"/>
      <c r="BZ14" s="583"/>
      <c r="CB14" s="583"/>
      <c r="CD14" s="583"/>
      <c r="CF14" s="583"/>
      <c r="CH14" s="583"/>
      <c r="CJ14" s="583"/>
      <c r="CL14" s="583"/>
      <c r="CM14" s="634">
        <f>CM11-CM13</f>
        <v>321.9000000000002</v>
      </c>
      <c r="CN14" s="618" t="str">
        <f t="shared" si="16"/>
        <v>NA</v>
      </c>
      <c r="CO14" s="634">
        <f>CO11-CO13</f>
        <v>324.89999999999981</v>
      </c>
      <c r="CP14" s="618" t="str">
        <f t="shared" si="17"/>
        <v>NA</v>
      </c>
      <c r="CQ14" s="634">
        <f>CQ11-CQ13</f>
        <v>322.89999999999992</v>
      </c>
      <c r="CR14" s="618" t="str">
        <f t="shared" si="18"/>
        <v>NA</v>
      </c>
      <c r="CS14" s="634">
        <f>CS11-CS13</f>
        <v>277</v>
      </c>
      <c r="CT14" s="618" t="str">
        <f t="shared" si="19"/>
        <v>NA</v>
      </c>
      <c r="CU14" s="634">
        <f>CU11-CU13</f>
        <v>293</v>
      </c>
      <c r="CV14" s="618">
        <f t="shared" si="20"/>
        <v>-8.9779434607021429</v>
      </c>
      <c r="CW14" s="634">
        <f>CW11-CW13</f>
        <v>315</v>
      </c>
      <c r="CX14" s="618">
        <f t="shared" si="21"/>
        <v>-3.0470914127423199</v>
      </c>
      <c r="CY14" s="634">
        <f>CY11-CY13</f>
        <v>362</v>
      </c>
      <c r="CZ14" s="618">
        <f t="shared" si="22"/>
        <v>12.109012078042758</v>
      </c>
      <c r="DA14" s="634">
        <f>DA11-DA13</f>
        <v>310</v>
      </c>
      <c r="DB14" s="618">
        <f t="shared" si="23"/>
        <v>11.913357400722013</v>
      </c>
      <c r="DC14" s="634">
        <f>DC11-DC13</f>
        <v>285</v>
      </c>
      <c r="DD14" s="618">
        <f t="shared" si="24"/>
        <v>-2.7303754266211566</v>
      </c>
      <c r="DE14" s="634">
        <f>DE11-DE13</f>
        <v>351</v>
      </c>
      <c r="DF14" s="618">
        <f t="shared" si="25"/>
        <v>11.428571428571432</v>
      </c>
      <c r="DG14" s="634">
        <f>DG11-DG13</f>
        <v>367</v>
      </c>
      <c r="DH14" s="618">
        <f t="shared" si="26"/>
        <v>1.3812154696132506</v>
      </c>
      <c r="DI14" s="634">
        <f>DI11-DI13</f>
        <v>382</v>
      </c>
      <c r="DJ14" s="618">
        <f t="shared" si="27"/>
        <v>23.225806451612897</v>
      </c>
      <c r="DK14" s="634">
        <f>DK11-DK13</f>
        <v>364</v>
      </c>
      <c r="DL14" s="618">
        <f t="shared" si="28"/>
        <v>27.719298245614034</v>
      </c>
      <c r="DM14" s="634">
        <f>DM11-DM13</f>
        <v>395</v>
      </c>
      <c r="DN14" s="618">
        <f t="shared" si="29"/>
        <v>12.535612535612529</v>
      </c>
      <c r="DO14" s="634">
        <f>DO11-DO13</f>
        <v>416</v>
      </c>
      <c r="DP14" s="618">
        <f t="shared" si="29"/>
        <v>13.351498637602187</v>
      </c>
      <c r="DQ14" s="634">
        <f>DQ11-DQ13</f>
        <v>440</v>
      </c>
      <c r="DR14" s="618">
        <f t="shared" si="29"/>
        <v>15.18324607329844</v>
      </c>
      <c r="DS14" s="634">
        <f>DS11-DS13</f>
        <v>352</v>
      </c>
      <c r="DT14" s="618">
        <f t="shared" si="29"/>
        <v>-3.2967032967032961</v>
      </c>
      <c r="DU14" s="634">
        <f>DU11-DU13</f>
        <v>371</v>
      </c>
      <c r="DV14" s="618">
        <f t="shared" si="29"/>
        <v>-6.0759493670886062</v>
      </c>
      <c r="DW14" s="634">
        <f>DW11-DW13</f>
        <v>282</v>
      </c>
      <c r="DX14" s="618">
        <f t="shared" si="29"/>
        <v>-32.21153846153846</v>
      </c>
      <c r="DY14" s="634">
        <f>DY11-DY13</f>
        <v>382</v>
      </c>
      <c r="DZ14" s="618">
        <f t="shared" si="29"/>
        <v>-13.181818181818183</v>
      </c>
      <c r="EA14" s="634">
        <f>EA11-EA13</f>
        <v>307</v>
      </c>
      <c r="EB14" s="618">
        <f t="shared" si="71"/>
        <v>-12.784090909090907</v>
      </c>
      <c r="EC14" s="634">
        <f>EC11-EC13</f>
        <v>373</v>
      </c>
      <c r="ED14" s="618">
        <f t="shared" si="72"/>
        <v>0.53908355795149188</v>
      </c>
      <c r="EE14" s="634">
        <f>EE11-EE13</f>
        <v>441</v>
      </c>
      <c r="EF14" s="618">
        <f t="shared" si="73"/>
        <v>56.38297872340425</v>
      </c>
      <c r="EG14" s="634">
        <f>EG11-EG13</f>
        <v>409</v>
      </c>
      <c r="EH14" s="618">
        <f t="shared" si="74"/>
        <v>7.0680628272251411</v>
      </c>
      <c r="EI14" s="634">
        <f>EI11-EI13</f>
        <v>442</v>
      </c>
      <c r="EJ14" s="618">
        <f t="shared" si="75"/>
        <v>43.973941368078172</v>
      </c>
      <c r="EK14" s="634">
        <f t="shared" ref="EK14" si="88">EK11-EK13</f>
        <v>419</v>
      </c>
      <c r="EL14" s="618">
        <f t="shared" si="77"/>
        <v>12.332439678284191</v>
      </c>
      <c r="EM14" s="634">
        <f t="shared" ref="EM14" si="89">EM11-EM13</f>
        <v>454</v>
      </c>
      <c r="EN14" s="618">
        <f t="shared" si="79"/>
        <v>2.947845804988658</v>
      </c>
      <c r="EO14" s="634">
        <f t="shared" ref="EO14" si="90">EO11-EO13</f>
        <v>440</v>
      </c>
      <c r="EP14" s="618">
        <f t="shared" si="81"/>
        <v>7.5794621026894937</v>
      </c>
      <c r="EQ14" s="634">
        <f t="shared" ref="EQ14:EW14" si="91">EQ11-EQ13</f>
        <v>433.01539174143363</v>
      </c>
      <c r="ER14" s="618">
        <f t="shared" si="83"/>
        <v>-2.0327168005806251</v>
      </c>
      <c r="ES14" s="634">
        <f t="shared" si="91"/>
        <v>460.45921990626726</v>
      </c>
      <c r="ET14" s="618">
        <f t="shared" si="84"/>
        <v>9.894801886937298</v>
      </c>
      <c r="EU14" s="634">
        <f t="shared" si="91"/>
        <v>479.13694888564487</v>
      </c>
      <c r="EV14" s="618">
        <f t="shared" si="85"/>
        <v>5.5367728823006335</v>
      </c>
      <c r="EW14" s="634">
        <f t="shared" si="91"/>
        <v>492.61294385852671</v>
      </c>
      <c r="EX14" s="618">
        <f t="shared" si="86"/>
        <v>11.95748724057426</v>
      </c>
      <c r="EZ14" s="558"/>
      <c r="FE14" s="583"/>
      <c r="FG14" s="583"/>
      <c r="FI14" s="583"/>
      <c r="FK14" s="583"/>
      <c r="FM14" s="583"/>
      <c r="FO14" s="583"/>
      <c r="FQ14" s="583"/>
      <c r="FS14" s="583"/>
      <c r="FU14" s="583"/>
      <c r="FW14" s="583"/>
      <c r="FY14" s="583"/>
      <c r="GA14" s="583"/>
      <c r="GB14" s="634">
        <f>GB11-GB13</f>
        <v>1246.7000000000003</v>
      </c>
      <c r="GC14" s="618" t="str">
        <f t="shared" si="46"/>
        <v>NA</v>
      </c>
      <c r="GD14" s="634">
        <f>GD11-GD13</f>
        <v>1280</v>
      </c>
      <c r="GE14" s="618">
        <f t="shared" si="47"/>
        <v>2.6710515761610321</v>
      </c>
      <c r="GF14" s="634">
        <f>GF11-GF13</f>
        <v>1385</v>
      </c>
      <c r="GG14" s="618">
        <f t="shared" si="48"/>
        <v>8.203125</v>
      </c>
      <c r="GH14" s="634">
        <f>GH11-GH13</f>
        <v>1615</v>
      </c>
      <c r="GI14" s="618">
        <f t="shared" si="48"/>
        <v>16.606498194945839</v>
      </c>
      <c r="GJ14" s="634">
        <f>GJ11-GJ13</f>
        <v>1387</v>
      </c>
      <c r="GK14" s="618">
        <f t="shared" si="48"/>
        <v>-14.117647058823534</v>
      </c>
      <c r="GL14" s="634">
        <f>GL11-GL13</f>
        <v>1530</v>
      </c>
      <c r="GM14" s="618">
        <f t="shared" si="48"/>
        <v>10.31002162941601</v>
      </c>
      <c r="GN14" s="634">
        <f>GN11-GN13</f>
        <v>1755</v>
      </c>
      <c r="GO14" s="618">
        <f t="shared" si="48"/>
        <v>14.705882352941169</v>
      </c>
      <c r="GP14" s="634">
        <f>GP11-GP13</f>
        <v>1865.2245043918708</v>
      </c>
      <c r="GQ14" s="618">
        <f t="shared" si="48"/>
        <v>6.2805985408473486</v>
      </c>
      <c r="GR14" s="634">
        <f>GR11-GR13</f>
        <v>1997.2805153712757</v>
      </c>
      <c r="GS14" s="618">
        <f t="shared" si="48"/>
        <v>7.0798989970625392</v>
      </c>
      <c r="GT14" s="634">
        <f>GT11-GT13</f>
        <v>2187.2095019673025</v>
      </c>
      <c r="GU14" s="618">
        <f t="shared" si="48"/>
        <v>9.5093796356753089</v>
      </c>
      <c r="GV14" s="634">
        <f>GV11-GV13</f>
        <v>2296.8237050363132</v>
      </c>
      <c r="GW14" s="618">
        <f t="shared" si="48"/>
        <v>5.0116005334842173</v>
      </c>
      <c r="GX14" s="634">
        <f>GX11-GX13</f>
        <v>2417.6717699682927</v>
      </c>
      <c r="GY14" s="618">
        <f t="shared" si="87"/>
        <v>5.2615298539018251</v>
      </c>
      <c r="GZ14" s="618">
        <f>IF(ISERROR((GX14/GN14)^0.2),"",IF(OR((GX14/GN14)^0.2&lt;0.5,(GX14/GN14)^0.2&gt;2),"NM",((GX14/GN14)^0.2-1)*100))</f>
        <v>6.6164072778214678</v>
      </c>
      <c r="HA14" s="618"/>
      <c r="HC14"/>
      <c r="HD14"/>
      <c r="HE14"/>
      <c r="HF14"/>
      <c r="HG14"/>
      <c r="HH14"/>
      <c r="HI14" s="578"/>
    </row>
    <row r="15" spans="1:217" s="321" customFormat="1" ht="12.75" hidden="1" customHeight="1" outlineLevel="1" x14ac:dyDescent="0.2">
      <c r="B15" s="631" t="s">
        <v>50</v>
      </c>
      <c r="L15" s="583"/>
      <c r="N15" s="583"/>
      <c r="P15" s="583"/>
      <c r="R15" s="583"/>
      <c r="T15" s="583"/>
      <c r="V15" s="583"/>
      <c r="X15" s="583"/>
      <c r="Z15" s="583"/>
      <c r="AB15" s="583"/>
      <c r="AD15" s="583"/>
      <c r="AF15" s="583"/>
      <c r="AH15" s="583"/>
      <c r="AJ15" s="583"/>
      <c r="AL15" s="583"/>
      <c r="AN15" s="583"/>
      <c r="AP15" s="583"/>
      <c r="AR15" s="583"/>
      <c r="AT15" s="583"/>
      <c r="AV15" s="583"/>
      <c r="AX15" s="583"/>
      <c r="AZ15" s="583"/>
      <c r="BB15" s="583"/>
      <c r="BD15" s="583"/>
      <c r="BF15" s="583"/>
      <c r="BH15" s="583"/>
      <c r="BJ15" s="583"/>
      <c r="BL15" s="583"/>
      <c r="BN15" s="583"/>
      <c r="BP15" s="583"/>
      <c r="BR15" s="583"/>
      <c r="BT15" s="583"/>
      <c r="BV15" s="583"/>
      <c r="BX15" s="583"/>
      <c r="BZ15" s="583"/>
      <c r="CB15" s="583"/>
      <c r="CD15" s="583"/>
      <c r="CF15" s="583"/>
      <c r="CH15" s="583"/>
      <c r="CJ15" s="583"/>
      <c r="CL15" s="583"/>
      <c r="CM15" s="633">
        <f>CM14-CM541</f>
        <v>0</v>
      </c>
      <c r="CN15" s="618"/>
      <c r="CO15" s="633">
        <f>CO14-CO541</f>
        <v>0</v>
      </c>
      <c r="CP15" s="618"/>
      <c r="CQ15" s="633">
        <f>CQ14-CQ541</f>
        <v>0</v>
      </c>
      <c r="CR15" s="618"/>
      <c r="CS15" s="633">
        <f>CS14-CS541</f>
        <v>0</v>
      </c>
      <c r="CT15" s="618"/>
      <c r="CU15" s="633">
        <f>CU14-CU541</f>
        <v>0</v>
      </c>
      <c r="CV15" s="618"/>
      <c r="CW15" s="633">
        <f>CW14-CW541</f>
        <v>0</v>
      </c>
      <c r="CX15" s="618"/>
      <c r="CY15" s="633">
        <f>CY14-CY541</f>
        <v>0</v>
      </c>
      <c r="CZ15" s="618"/>
      <c r="DA15" s="633">
        <f>DA14-DA541</f>
        <v>0</v>
      </c>
      <c r="DB15" s="618"/>
      <c r="DC15" s="633">
        <f>DC14-DC541</f>
        <v>0</v>
      </c>
      <c r="DD15" s="618"/>
      <c r="DE15" s="633">
        <f>DE14-DE541</f>
        <v>0</v>
      </c>
      <c r="DF15" s="618"/>
      <c r="DG15" s="633">
        <f>DG14-DG541</f>
        <v>0</v>
      </c>
      <c r="DH15" s="618"/>
      <c r="DI15" s="633">
        <f>DI14-DI541</f>
        <v>0</v>
      </c>
      <c r="DJ15" s="618"/>
      <c r="DK15" s="633">
        <f>DK14-DK541</f>
        <v>0</v>
      </c>
      <c r="DL15" s="618"/>
      <c r="DM15" s="633">
        <f>DM14-DM541</f>
        <v>0</v>
      </c>
      <c r="DN15" s="618"/>
      <c r="DO15" s="633">
        <f>DO14-DO541</f>
        <v>0</v>
      </c>
      <c r="DP15" s="618"/>
      <c r="DQ15" s="633">
        <f>DQ14-DQ541</f>
        <v>0</v>
      </c>
      <c r="DR15" s="618"/>
      <c r="DS15" s="633">
        <f>DS14-DS541</f>
        <v>0</v>
      </c>
      <c r="DT15" s="618"/>
      <c r="DU15" s="633">
        <f>DU14-DU541</f>
        <v>0</v>
      </c>
      <c r="DV15" s="618"/>
      <c r="DW15" s="633">
        <f>DW14-DW541</f>
        <v>0</v>
      </c>
      <c r="DX15" s="618"/>
      <c r="DY15" s="633">
        <f>DY14-DY541</f>
        <v>0</v>
      </c>
      <c r="DZ15" s="618"/>
      <c r="EA15" s="633">
        <f>EA14-EA541</f>
        <v>0</v>
      </c>
      <c r="EB15" s="618"/>
      <c r="EC15" s="633">
        <f>EC14-EC541</f>
        <v>0</v>
      </c>
      <c r="ED15" s="618"/>
      <c r="EE15" s="633">
        <f>EE14-EE541</f>
        <v>0</v>
      </c>
      <c r="EF15" s="618"/>
      <c r="EG15" s="633">
        <f>EG14-EG541</f>
        <v>0</v>
      </c>
      <c r="EH15" s="618"/>
      <c r="EI15" s="633">
        <f>EI14-EI541</f>
        <v>0</v>
      </c>
      <c r="EJ15" s="618"/>
      <c r="EK15" s="633">
        <f t="shared" ref="EK15" si="92">EK14-EK541</f>
        <v>0</v>
      </c>
      <c r="EL15" s="618"/>
      <c r="EM15" s="633">
        <f t="shared" ref="EM15" si="93">EM14-EM541</f>
        <v>0</v>
      </c>
      <c r="EN15" s="618"/>
      <c r="EO15" s="633">
        <f t="shared" ref="EO15" si="94">EO14-EO541</f>
        <v>0</v>
      </c>
      <c r="EP15" s="618"/>
      <c r="EQ15" s="633">
        <f t="shared" ref="EQ15:EW15" si="95">EQ14-EQ541</f>
        <v>0</v>
      </c>
      <c r="ER15" s="618"/>
      <c r="ES15" s="633">
        <f t="shared" si="95"/>
        <v>0</v>
      </c>
      <c r="ET15" s="618"/>
      <c r="EU15" s="633">
        <f t="shared" si="95"/>
        <v>0</v>
      </c>
      <c r="EV15" s="618"/>
      <c r="EW15" s="633">
        <f t="shared" si="95"/>
        <v>0</v>
      </c>
      <c r="EX15" s="618"/>
      <c r="EZ15" s="558"/>
      <c r="FE15" s="583"/>
      <c r="FG15" s="583"/>
      <c r="FI15" s="583"/>
      <c r="FK15" s="583"/>
      <c r="FM15" s="583"/>
      <c r="FO15" s="583"/>
      <c r="FQ15" s="583"/>
      <c r="FS15" s="583"/>
      <c r="FU15" s="583"/>
      <c r="FW15" s="583"/>
      <c r="FY15" s="583"/>
      <c r="GA15" s="583"/>
      <c r="GB15" s="633">
        <f>GB14-GB541</f>
        <v>0</v>
      </c>
      <c r="GC15" s="618"/>
      <c r="GD15" s="633">
        <f>GD14-GD541</f>
        <v>0</v>
      </c>
      <c r="GE15" s="618"/>
      <c r="GF15" s="633">
        <f>GF14-GF541</f>
        <v>0</v>
      </c>
      <c r="GG15" s="618"/>
      <c r="GH15" s="633">
        <f>GH14-GH541</f>
        <v>0</v>
      </c>
      <c r="GI15" s="618"/>
      <c r="GJ15" s="633">
        <f>GJ14-GJ541</f>
        <v>0</v>
      </c>
      <c r="GK15" s="618"/>
      <c r="GL15" s="633">
        <f>GL14-GL541</f>
        <v>0</v>
      </c>
      <c r="GM15" s="618"/>
      <c r="GN15" s="633">
        <f>GN14-GN541</f>
        <v>0</v>
      </c>
      <c r="GO15" s="618"/>
      <c r="GP15" s="633">
        <f>GP14-GP541</f>
        <v>0</v>
      </c>
      <c r="GQ15" s="618"/>
      <c r="GR15" s="633">
        <f>GR14-GR541</f>
        <v>0</v>
      </c>
      <c r="GS15" s="618"/>
      <c r="GT15" s="633">
        <f>GT14-GT541</f>
        <v>0</v>
      </c>
      <c r="GU15" s="618"/>
      <c r="GV15" s="633">
        <f>GV14-GV541</f>
        <v>0</v>
      </c>
      <c r="GW15" s="618"/>
      <c r="GX15" s="633">
        <f>GX14-GX541</f>
        <v>0</v>
      </c>
      <c r="GY15" s="618"/>
      <c r="GZ15" s="618"/>
      <c r="HA15" s="618"/>
      <c r="HC15"/>
      <c r="HD15"/>
      <c r="HE15"/>
      <c r="HF15"/>
      <c r="HG15"/>
      <c r="HH15"/>
      <c r="HI15" s="578"/>
    </row>
    <row r="16" spans="1:217" s="578" customFormat="1" ht="12.75" customHeight="1" collapsed="1" x14ac:dyDescent="0.2">
      <c r="B16" s="578" t="s">
        <v>676</v>
      </c>
      <c r="L16" s="615"/>
      <c r="N16" s="615"/>
      <c r="P16" s="615"/>
      <c r="R16" s="615"/>
      <c r="T16" s="615"/>
      <c r="V16" s="615"/>
      <c r="X16" s="615"/>
      <c r="Z16" s="615"/>
      <c r="AB16" s="615"/>
      <c r="AD16" s="615"/>
      <c r="AF16" s="615"/>
      <c r="AH16" s="615"/>
      <c r="AJ16" s="615"/>
      <c r="AL16" s="615"/>
      <c r="AN16" s="615"/>
      <c r="AP16" s="615"/>
      <c r="AR16" s="615"/>
      <c r="AT16" s="615"/>
      <c r="AV16" s="615"/>
      <c r="AX16" s="615"/>
      <c r="AZ16" s="615"/>
      <c r="BB16" s="615"/>
      <c r="BD16" s="615"/>
      <c r="BF16" s="615"/>
      <c r="BH16" s="615"/>
      <c r="BJ16" s="615"/>
      <c r="BL16" s="615"/>
      <c r="BN16" s="615"/>
      <c r="BP16" s="615"/>
      <c r="BR16" s="615"/>
      <c r="BT16" s="615"/>
      <c r="BV16" s="615"/>
      <c r="BX16" s="615"/>
      <c r="BZ16" s="615"/>
      <c r="CB16" s="615"/>
      <c r="CD16" s="615"/>
      <c r="CF16" s="615"/>
      <c r="CH16" s="615"/>
      <c r="CJ16" s="615"/>
      <c r="CL16" s="615"/>
      <c r="CM16" s="617">
        <f>CM614</f>
        <v>0.99690306596469569</v>
      </c>
      <c r="CN16" s="618" t="str">
        <f t="shared" si="16"/>
        <v>NA</v>
      </c>
      <c r="CO16" s="617">
        <f>CO614</f>
        <v>1.0149953139643857</v>
      </c>
      <c r="CP16" s="618" t="str">
        <f t="shared" si="17"/>
        <v>NA</v>
      </c>
      <c r="CQ16" s="617">
        <f>CQ614</f>
        <v>1.0349358974358971</v>
      </c>
      <c r="CR16" s="618" t="str">
        <f t="shared" si="18"/>
        <v>NA</v>
      </c>
      <c r="CS16" s="617">
        <f>CS614</f>
        <v>0.91298615688859597</v>
      </c>
      <c r="CT16" s="618" t="str">
        <f t="shared" si="19"/>
        <v>NA</v>
      </c>
      <c r="CU16" s="617">
        <f>CU614</f>
        <v>0.9901993916863806</v>
      </c>
      <c r="CV16" s="618">
        <f t="shared" si="20"/>
        <v>-0.67244996100277454</v>
      </c>
      <c r="CW16" s="617">
        <f>CW614</f>
        <v>1.0862068965517242</v>
      </c>
      <c r="CX16" s="618">
        <f t="shared" si="21"/>
        <v>7.0159518578661428</v>
      </c>
      <c r="CY16" s="617">
        <f>CY614</f>
        <v>1.2715138742536003</v>
      </c>
      <c r="CZ16" s="618">
        <f t="shared" si="22"/>
        <v>22.859191318403038</v>
      </c>
      <c r="DA16" s="617">
        <f>DA614</f>
        <v>1.1028103877623621</v>
      </c>
      <c r="DB16" s="618">
        <f t="shared" si="23"/>
        <v>20.79157821194968</v>
      </c>
      <c r="DC16" s="617">
        <f>DC614</f>
        <v>1.0229720028715004</v>
      </c>
      <c r="DD16" s="618">
        <f t="shared" si="24"/>
        <v>3.3096981739511699</v>
      </c>
      <c r="DE16" s="617">
        <f>DE614</f>
        <v>1.2731229597388467</v>
      </c>
      <c r="DF16" s="618">
        <f t="shared" si="25"/>
        <v>17.208145499766836</v>
      </c>
      <c r="DG16" s="617">
        <f>DG614</f>
        <v>1.3408841797588602</v>
      </c>
      <c r="DH16" s="618">
        <f t="shared" si="26"/>
        <v>5.4557254081070372</v>
      </c>
      <c r="DI16" s="617">
        <f>DI614</f>
        <v>1.4002932551319647</v>
      </c>
      <c r="DJ16" s="618">
        <f t="shared" si="27"/>
        <v>26.974978715353327</v>
      </c>
      <c r="DK16" s="617">
        <f>DK614</f>
        <v>1.3377434766629914</v>
      </c>
      <c r="DL16" s="618">
        <f t="shared" si="28"/>
        <v>30.770292139757682</v>
      </c>
      <c r="DM16" s="617">
        <f>DM614</f>
        <v>1.4689475641502419</v>
      </c>
      <c r="DN16" s="618">
        <f t="shared" si="29"/>
        <v>15.381436876416421</v>
      </c>
      <c r="DO16" s="617">
        <f>DO614</f>
        <v>1.5592203898050974</v>
      </c>
      <c r="DP16" s="618">
        <f t="shared" si="29"/>
        <v>16.283002912712561</v>
      </c>
      <c r="DQ16" s="617">
        <f>DQ614</f>
        <v>1.6730038022813689</v>
      </c>
      <c r="DR16" s="618">
        <f t="shared" si="29"/>
        <v>19.475245356638094</v>
      </c>
      <c r="DS16" s="617">
        <f>DS614</f>
        <v>1.3507290867229469</v>
      </c>
      <c r="DT16" s="618">
        <f t="shared" si="29"/>
        <v>0.97071002673458917</v>
      </c>
      <c r="DU16" s="617">
        <f>DU614</f>
        <v>1.4554727344056493</v>
      </c>
      <c r="DV16" s="618">
        <f t="shared" si="29"/>
        <v>-0.91731182742302853</v>
      </c>
      <c r="DW16" s="617">
        <f>DW614</f>
        <v>1.113744075829384</v>
      </c>
      <c r="DX16" s="618">
        <f t="shared" si="29"/>
        <v>-28.570452059788543</v>
      </c>
      <c r="DY16" s="617">
        <f>DY614</f>
        <v>1.5349999999999999</v>
      </c>
      <c r="DZ16" s="618">
        <f t="shared" si="29"/>
        <v>-8.2488636363636463</v>
      </c>
      <c r="EA16" s="617">
        <f>EA614</f>
        <v>1.2529999999999999</v>
      </c>
      <c r="EB16" s="618">
        <f t="shared" ref="EB16:EB17" si="96">IF(ISERROR((EA16/DS16-1)*100),"NA",IF(((EA16/DS16-1)*100)&gt;100,"NM",IF(((EA16/DS16-1)*100)&lt;-50,"NM",(EA16/DS16-1)*100)))</f>
        <v>-7.2352840909090883</v>
      </c>
      <c r="EC16" s="617">
        <f>EC614</f>
        <v>1.5549999999999999</v>
      </c>
      <c r="ED16" s="618">
        <f t="shared" ref="ED16:ED17" si="97">IF(ISERROR((EC16/DU16-1)*100),"NA",IF(((EC16/DU16-1)*100)&gt;100,"NM",IF(((EC16/DU16-1)*100)&lt;-50,"NM",(EC16/DU16-1)*100)))</f>
        <v>6.8381401617250592</v>
      </c>
      <c r="EE16" s="617">
        <f>EE614</f>
        <v>1.8879999999999999</v>
      </c>
      <c r="EF16" s="618">
        <f t="shared" ref="EF16:EF17" si="98">IF(ISERROR((EE16/DW16-1)*100),"NA",IF(((EE16/DW16-1)*100)&gt;100,"NM",IF(((EE16/DW16-1)*100)&lt;-50,"NM",(EE16/DW16-1)*100)))</f>
        <v>69.518297872340412</v>
      </c>
      <c r="EG16" s="617">
        <f>EG614</f>
        <v>1.7709999999999999</v>
      </c>
      <c r="EH16" s="618">
        <f t="shared" ref="EH16:EH17" si="99">IF(ISERROR((EG16/DY16-1)*100),"NA",IF(((EG16/DY16-1)*100)&gt;100,"NM",IF(((EG16/DY16-1)*100)&lt;-50,"NM",(EG16/DY16-1)*100)))</f>
        <v>15.374592833876211</v>
      </c>
      <c r="EI16" s="617">
        <f>EI614</f>
        <v>1.921</v>
      </c>
      <c r="EJ16" s="618">
        <f t="shared" ref="EJ16:EJ18" si="100">IF(ISERROR((EI16/EA16-1)*100),"NA",IF(((EI16/EA16-1)*100)&gt;100,"NM",IF(((EI16/EA16-1)*100)&lt;-50,"NM",(EI16/EA16-1)*100)))</f>
        <v>53.31205107741421</v>
      </c>
      <c r="EK16" s="617">
        <f t="shared" ref="EK16" si="101">EK614</f>
        <v>1.845</v>
      </c>
      <c r="EL16" s="618">
        <f t="shared" ref="EL16:EL18" si="102">IF(ISERROR((EK16/EC16-1)*100),"NA",IF(((EK16/EC16-1)*100)&gt;100,"NM",IF(((EK16/EC16-1)*100)&lt;-50,"NM",(EK16/EC16-1)*100)))</f>
        <v>18.649517684887474</v>
      </c>
      <c r="EM16" s="617">
        <f t="shared" ref="EM16" si="103">EM614</f>
        <v>2.028</v>
      </c>
      <c r="EN16" s="618">
        <f t="shared" ref="EN16:EN18" si="104">IF(ISERROR((EM16/EE16-1)*100),"NA",IF(((EM16/EE16-1)*100)&gt;100,"NM",IF(((EM16/EE16-1)*100)&lt;-50,"NM",(EM16/EE16-1)*100)))</f>
        <v>7.4152542372881491</v>
      </c>
      <c r="EO16" s="617">
        <f t="shared" ref="EO16" si="105">EO614</f>
        <v>1.9830000000000001</v>
      </c>
      <c r="EP16" s="618">
        <f t="shared" ref="EP16:EP18" si="106">IF(ISERROR((EO16/EG16-1)*100),"NA",IF(((EO16/EG16-1)*100)&gt;100,"NM",IF(((EO16/EG16-1)*100)&lt;-50,"NM",(EO16/EG16-1)*100)))</f>
        <v>11.970638057594595</v>
      </c>
      <c r="EQ16" s="617">
        <f t="shared" ref="EQ16:EW16" si="107">EQ614</f>
        <v>1.9566895243625559</v>
      </c>
      <c r="ER16" s="618">
        <f t="shared" ref="ER16:ER18" si="108">IF(ISERROR((EQ16/EI16-1)*100),"NA",IF(((EQ16/EI16-1)*100)&gt;100,"NM",IF(((EQ16/EI16-1)*100)&lt;-50,"NM",(EQ16/EI16-1)*100)))</f>
        <v>1.8578617575510714</v>
      </c>
      <c r="ES16" s="617">
        <f t="shared" si="107"/>
        <v>2.0807014003898203</v>
      </c>
      <c r="ET16" s="618">
        <f t="shared" ref="ET16:ET18" si="109">IF(ISERROR((ES16/EK16-1)*100),"NA",IF(((ES16/EK16-1)*100)&gt;100,"NM",IF(((ES16/EK16-1)*100)&lt;-50,"NM",(ES16/EK16-1)*100)))</f>
        <v>12.775143652564779</v>
      </c>
      <c r="EU16" s="617">
        <f t="shared" si="107"/>
        <v>2.1699323895505249</v>
      </c>
      <c r="EV16" s="618">
        <f t="shared" ref="EV16:EV18" si="110">IF(ISERROR((EU16/EM16-1)*100),"NA",IF(((EU16/EM16-1)*100)&gt;100,"NM",IF(((EU16/EM16-1)*100)&lt;-50,"NM",(EU16/EM16-1)*100)))</f>
        <v>6.9986385379943172</v>
      </c>
      <c r="EW16" s="617">
        <f t="shared" si="107"/>
        <v>2.2408646967070514</v>
      </c>
      <c r="EX16" s="618">
        <f t="shared" ref="EX16:EX18" si="111">IF(ISERROR((EW16/EO16-1)*100),"NA",IF(((EW16/EO16-1)*100)&gt;100,"NM",IF(((EW16/EO16-1)*100)&lt;-50,"NM",(EW16/EO16-1)*100)))</f>
        <v>13.003766853608223</v>
      </c>
      <c r="EZ16" s="558"/>
      <c r="FE16" s="615"/>
      <c r="FG16" s="615"/>
      <c r="FI16" s="615"/>
      <c r="FK16" s="615"/>
      <c r="FM16" s="615"/>
      <c r="FO16" s="615"/>
      <c r="FQ16" s="615"/>
      <c r="FS16" s="615"/>
      <c r="FU16" s="615"/>
      <c r="FW16" s="615"/>
      <c r="FY16" s="615"/>
      <c r="GA16" s="615"/>
      <c r="GB16" s="617">
        <f t="shared" ref="GB16:GH16" si="112">GB614</f>
        <v>3.9577777777777787</v>
      </c>
      <c r="GC16" s="618" t="str">
        <f t="shared" si="46"/>
        <v>NA</v>
      </c>
      <c r="GD16" s="617">
        <f t="shared" si="112"/>
        <v>4.4506258692628649</v>
      </c>
      <c r="GE16" s="618">
        <f t="shared" si="47"/>
        <v>12.452646893222274</v>
      </c>
      <c r="GF16" s="617">
        <f t="shared" si="112"/>
        <v>5.0327034883720936</v>
      </c>
      <c r="GG16" s="618">
        <f t="shared" si="48"/>
        <v>13.078556504360495</v>
      </c>
      <c r="GH16" s="617">
        <f t="shared" si="112"/>
        <v>6.0261194029850742</v>
      </c>
      <c r="GI16" s="618">
        <f t="shared" si="48"/>
        <v>19.739210086750347</v>
      </c>
      <c r="GJ16" s="617">
        <f t="shared" ref="GJ16" si="113">GJ614</f>
        <v>5.4520440251572326</v>
      </c>
      <c r="GK16" s="618">
        <f t="shared" si="48"/>
        <v>-9.526452090270066</v>
      </c>
      <c r="GL16" s="617">
        <f t="shared" ref="GL16" si="114">GL614</f>
        <v>6.4454976303317535</v>
      </c>
      <c r="GM16" s="618">
        <f t="shared" si="48"/>
        <v>18.221672469819627</v>
      </c>
      <c r="GN16" s="617">
        <f t="shared" ref="GN16" si="115">GN614</f>
        <v>7.7736559437461938</v>
      </c>
      <c r="GO16" s="618">
        <f t="shared" si="48"/>
        <v>20.605985597826979</v>
      </c>
      <c r="GP16" s="617">
        <f t="shared" ref="GP16" si="116">GP614</f>
        <v>8.4472022261282849</v>
      </c>
      <c r="GQ16" s="618">
        <f t="shared" si="48"/>
        <v>8.6644725114693344</v>
      </c>
      <c r="GR16" s="617">
        <f t="shared" ref="GR16:GT16" si="117">GR614</f>
        <v>9.2031935617236069</v>
      </c>
      <c r="GS16" s="618">
        <f t="shared" si="48"/>
        <v>8.9496062170376867</v>
      </c>
      <c r="GT16" s="617">
        <f t="shared" si="117"/>
        <v>10.298755491214671</v>
      </c>
      <c r="GU16" s="618">
        <f t="shared" si="48"/>
        <v>11.904149599195035</v>
      </c>
      <c r="GV16" s="617">
        <f t="shared" ref="GV16:GX16" si="118">GV614</f>
        <v>11.097760784447122</v>
      </c>
      <c r="GW16" s="618">
        <f t="shared" si="48"/>
        <v>7.7582703455193247</v>
      </c>
      <c r="GX16" s="617">
        <f t="shared" si="118"/>
        <v>11.999970894221658</v>
      </c>
      <c r="GY16" s="618">
        <f t="shared" ref="GY16:GY17" si="119">IF(ISERROR((GX16/GV16-1)*100),"NA",IF(((GX16/GV16-1)*100)&gt;100,"NM",IF(((GX16/GV16-1)*100)&lt;-50,"NM",(GX16/GV16-1)*100)))</f>
        <v>8.1296590122841081</v>
      </c>
      <c r="GZ16" s="618">
        <f>IF(ISERROR((GX16/GN16)^0.2),"",IF(OR((GX16/GN16)^0.2&lt;0.5,(GX16/GN16)^0.2&gt;2),"NM",((GX16/GN16)^0.2-1)*100))</f>
        <v>9.0714220724498862</v>
      </c>
      <c r="HA16" s="618"/>
      <c r="HC16"/>
      <c r="HD16"/>
      <c r="HE16"/>
      <c r="HF16"/>
      <c r="HG16"/>
      <c r="HH16"/>
    </row>
    <row r="17" spans="1:216" s="578" customFormat="1" ht="12.75" customHeight="1" x14ac:dyDescent="0.2">
      <c r="B17" s="578" t="s">
        <v>677</v>
      </c>
      <c r="L17" s="615"/>
      <c r="N17" s="615"/>
      <c r="P17" s="615"/>
      <c r="R17" s="615"/>
      <c r="T17" s="615"/>
      <c r="V17" s="615"/>
      <c r="X17" s="615"/>
      <c r="Z17" s="615"/>
      <c r="AB17" s="615"/>
      <c r="AD17" s="615"/>
      <c r="AF17" s="615"/>
      <c r="AH17" s="615"/>
      <c r="AJ17" s="615"/>
      <c r="AL17" s="615"/>
      <c r="AN17" s="615"/>
      <c r="AP17" s="615"/>
      <c r="AR17" s="615"/>
      <c r="AT17" s="615"/>
      <c r="AV17" s="615"/>
      <c r="AX17" s="615"/>
      <c r="AZ17" s="615"/>
      <c r="BB17" s="615"/>
      <c r="BD17" s="615"/>
      <c r="BF17" s="615"/>
      <c r="BH17" s="615"/>
      <c r="BJ17" s="615"/>
      <c r="BL17" s="615"/>
      <c r="BN17" s="615"/>
      <c r="BP17" s="615"/>
      <c r="BR17" s="615"/>
      <c r="BT17" s="615"/>
      <c r="BV17" s="615"/>
      <c r="BX17" s="615"/>
      <c r="BZ17" s="615"/>
      <c r="CB17" s="615"/>
      <c r="CD17" s="615"/>
      <c r="CF17" s="615"/>
      <c r="CH17" s="615"/>
      <c r="CJ17" s="615"/>
      <c r="CL17" s="615"/>
      <c r="CM17" s="617">
        <f>CM618</f>
        <v>0.85444410034066343</v>
      </c>
      <c r="CN17" s="618" t="str">
        <f t="shared" si="16"/>
        <v>NA</v>
      </c>
      <c r="CO17" s="617">
        <f>CO618</f>
        <v>0.9087785067166505</v>
      </c>
      <c r="CP17" s="618" t="str">
        <f t="shared" si="17"/>
        <v>NA</v>
      </c>
      <c r="CQ17" s="617">
        <f>CQ618</f>
        <v>1.0028846153846152</v>
      </c>
      <c r="CR17" s="618" t="str">
        <f t="shared" si="18"/>
        <v>NA</v>
      </c>
      <c r="CS17" s="617">
        <f>CS618</f>
        <v>0.92287409360580097</v>
      </c>
      <c r="CT17" s="618" t="str">
        <f t="shared" si="19"/>
        <v>NA</v>
      </c>
      <c r="CU17" s="617">
        <f>CU618</f>
        <v>0.9901993916863806</v>
      </c>
      <c r="CV17" s="618">
        <f t="shared" si="20"/>
        <v>15.88814192661545</v>
      </c>
      <c r="CW17" s="617">
        <f>CW618</f>
        <v>1.0172413793103448</v>
      </c>
      <c r="CX17" s="618">
        <f t="shared" si="21"/>
        <v>11.935017365844459</v>
      </c>
      <c r="CY17" s="617">
        <f>CY618</f>
        <v>1.152089919213207</v>
      </c>
      <c r="CZ17" s="618">
        <f t="shared" si="22"/>
        <v>14.877614188085865</v>
      </c>
      <c r="DA17" s="617">
        <f>DA618</f>
        <v>1.0743507648523656</v>
      </c>
      <c r="DB17" s="618">
        <f t="shared" si="23"/>
        <v>16.41357930578846</v>
      </c>
      <c r="DC17" s="617">
        <f>DC618</f>
        <v>1.0714213926776739</v>
      </c>
      <c r="DD17" s="618">
        <f t="shared" si="24"/>
        <v>8.202590475537086</v>
      </c>
      <c r="DE17" s="617">
        <f>DE618</f>
        <v>1.2042074718897353</v>
      </c>
      <c r="DF17" s="618">
        <f t="shared" si="25"/>
        <v>18.379717575601106</v>
      </c>
      <c r="DG17" s="617">
        <f>DG618</f>
        <v>1.2385823894775303</v>
      </c>
      <c r="DH17" s="618">
        <f t="shared" si="26"/>
        <v>7.5074409403209863</v>
      </c>
      <c r="DI17" s="617">
        <f>DI618</f>
        <v>1.3086510263929618</v>
      </c>
      <c r="DJ17" s="618">
        <f t="shared" si="27"/>
        <v>21.808544211609803</v>
      </c>
      <c r="DK17" s="617">
        <f>DK618</f>
        <v>1.3377434766629914</v>
      </c>
      <c r="DL17" s="618">
        <f t="shared" si="28"/>
        <v>24.85689438398564</v>
      </c>
      <c r="DM17" s="617">
        <f>DM618</f>
        <v>1.4298995909259948</v>
      </c>
      <c r="DN17" s="618">
        <f t="shared" si="29"/>
        <v>18.741963017559261</v>
      </c>
      <c r="DO17" s="617">
        <f>DO618</f>
        <v>1.5142428785607196</v>
      </c>
      <c r="DP17" s="618">
        <f t="shared" si="29"/>
        <v>22.256128572881686</v>
      </c>
      <c r="DQ17" s="617">
        <f>DQ618</f>
        <v>1.4714828897338403</v>
      </c>
      <c r="DR17" s="618">
        <f t="shared" si="29"/>
        <v>12.442726139885618</v>
      </c>
      <c r="DS17" s="617">
        <f>DS618</f>
        <v>1.3507290867229469</v>
      </c>
      <c r="DT17" s="618">
        <f t="shared" si="29"/>
        <v>0.97071002673458917</v>
      </c>
      <c r="DU17" s="617">
        <f>DU618</f>
        <v>1.4868575912122401</v>
      </c>
      <c r="DV17" s="618">
        <f t="shared" si="29"/>
        <v>3.9833566390042652</v>
      </c>
      <c r="DW17" s="617">
        <f>DW618</f>
        <v>1.6646919431279621</v>
      </c>
      <c r="DX17" s="618">
        <f t="shared" si="29"/>
        <v>9.9355966402327578</v>
      </c>
      <c r="DY17" s="617">
        <f>DY618</f>
        <v>1.5349999999999999</v>
      </c>
      <c r="DZ17" s="618">
        <f t="shared" si="29"/>
        <v>4.3165374677002433</v>
      </c>
      <c r="EA17" s="617">
        <f>EA618</f>
        <v>1.4770000000000001</v>
      </c>
      <c r="EB17" s="618">
        <f t="shared" si="96"/>
        <v>9.3483522727273005</v>
      </c>
      <c r="EC17" s="617">
        <f>EC618</f>
        <v>1.5549999999999999</v>
      </c>
      <c r="ED17" s="618">
        <f t="shared" si="97"/>
        <v>4.5829815303429999</v>
      </c>
      <c r="EE17" s="617">
        <f>EE618</f>
        <v>1.748</v>
      </c>
      <c r="EF17" s="618">
        <f t="shared" si="98"/>
        <v>5.0044128113879038</v>
      </c>
      <c r="EG17" s="617">
        <f>EG618</f>
        <v>1.7709999999999999</v>
      </c>
      <c r="EH17" s="618">
        <f t="shared" si="99"/>
        <v>15.374592833876211</v>
      </c>
      <c r="EI17" s="617">
        <f>EI618</f>
        <v>1.73</v>
      </c>
      <c r="EJ17" s="618">
        <f t="shared" si="100"/>
        <v>17.129316181448885</v>
      </c>
      <c r="EK17" s="617">
        <f t="shared" ref="EK17" si="120">EK618</f>
        <v>1.845</v>
      </c>
      <c r="EL17" s="618">
        <f t="shared" si="102"/>
        <v>18.649517684887474</v>
      </c>
      <c r="EM17" s="617">
        <f t="shared" ref="EM17" si="121">EM618</f>
        <v>1.9359999999999999</v>
      </c>
      <c r="EN17" s="618">
        <f t="shared" si="104"/>
        <v>10.755148741418763</v>
      </c>
      <c r="EO17" s="617">
        <f t="shared" ref="EO17" si="122">EO618</f>
        <v>1.9830000000000001</v>
      </c>
      <c r="EP17" s="618">
        <f t="shared" si="106"/>
        <v>11.970638057594595</v>
      </c>
      <c r="EQ17" s="617">
        <f t="shared" ref="EQ17:EW17" si="123">EQ618</f>
        <v>1.9566895243625559</v>
      </c>
      <c r="ER17" s="618">
        <f t="shared" si="108"/>
        <v>13.103440714598612</v>
      </c>
      <c r="ES17" s="617">
        <f t="shared" si="123"/>
        <v>2.0807014003898203</v>
      </c>
      <c r="ET17" s="618">
        <f t="shared" si="109"/>
        <v>12.775143652564779</v>
      </c>
      <c r="EU17" s="617">
        <f t="shared" si="123"/>
        <v>2.1699323895505249</v>
      </c>
      <c r="EV17" s="618">
        <f t="shared" si="110"/>
        <v>12.083284584221321</v>
      </c>
      <c r="EW17" s="617">
        <f t="shared" si="123"/>
        <v>2.2408646967070514</v>
      </c>
      <c r="EX17" s="618">
        <f t="shared" si="111"/>
        <v>13.003766853608223</v>
      </c>
      <c r="EZ17" s="558"/>
      <c r="FE17" s="615"/>
      <c r="FG17" s="615"/>
      <c r="FI17" s="615"/>
      <c r="FK17" s="615"/>
      <c r="FM17" s="615"/>
      <c r="FO17" s="615"/>
      <c r="FQ17" s="615"/>
      <c r="FS17" s="615"/>
      <c r="FU17" s="615"/>
      <c r="FW17" s="615"/>
      <c r="FY17" s="615"/>
      <c r="GA17" s="615"/>
      <c r="GB17" s="617">
        <f>GB618</f>
        <v>3.6815873015873026</v>
      </c>
      <c r="GC17" s="618" t="str">
        <f t="shared" si="46"/>
        <v>NA</v>
      </c>
      <c r="GD17" s="617">
        <f>GD618</f>
        <v>4.2350486787204451</v>
      </c>
      <c r="GE17" s="618">
        <f t="shared" si="47"/>
        <v>15.033227023966521</v>
      </c>
      <c r="GF17" s="617">
        <f>GF618</f>
        <v>4.8201235465116286</v>
      </c>
      <c r="GG17" s="618">
        <f t="shared" si="48"/>
        <v>13.815068306793465</v>
      </c>
      <c r="GH17" s="617">
        <f>GH618</f>
        <v>5.7425373134328357</v>
      </c>
      <c r="GI17" s="618">
        <f t="shared" si="48"/>
        <v>19.136724567750285</v>
      </c>
      <c r="GJ17" s="617">
        <f>GJ618</f>
        <v>6.0318396226415096</v>
      </c>
      <c r="GK17" s="618">
        <f t="shared" si="48"/>
        <v>5.037882967376528</v>
      </c>
      <c r="GL17" s="617">
        <f>GL618</f>
        <v>6.5394418114797261</v>
      </c>
      <c r="GM17" s="618">
        <f t="shared" si="48"/>
        <v>8.4153793965749291</v>
      </c>
      <c r="GN17" s="617">
        <f>GN618</f>
        <v>7.4879574774375728</v>
      </c>
      <c r="GO17" s="618">
        <f t="shared" si="48"/>
        <v>14.504535605665382</v>
      </c>
      <c r="GP17" s="617">
        <f>GP618</f>
        <v>8.4472022261282849</v>
      </c>
      <c r="GQ17" s="618">
        <f t="shared" si="48"/>
        <v>12.810499412971721</v>
      </c>
      <c r="GR17" s="617">
        <f>GR618</f>
        <v>9.2031935617236069</v>
      </c>
      <c r="GS17" s="618">
        <f t="shared" si="48"/>
        <v>8.9496062170376867</v>
      </c>
      <c r="GT17" s="617">
        <f>GT618</f>
        <v>10.298755491214671</v>
      </c>
      <c r="GU17" s="618">
        <f t="shared" si="48"/>
        <v>11.904149599195035</v>
      </c>
      <c r="GV17" s="617">
        <f>GV618</f>
        <v>11.097760784447122</v>
      </c>
      <c r="GW17" s="618">
        <f t="shared" si="48"/>
        <v>7.7582703455193247</v>
      </c>
      <c r="GX17" s="617">
        <f>GX618</f>
        <v>11.999970894221658</v>
      </c>
      <c r="GY17" s="618">
        <f t="shared" si="119"/>
        <v>8.1296590122841081</v>
      </c>
      <c r="GZ17" s="618">
        <f>IF(ISERROR((GX17/GN17)^0.2),"",IF(OR((GX17/GN17)^0.2&lt;0.5,(GX17/GN17)^0.2&gt;2),"NM",((GX17/GN17)^0.2-1)*100))</f>
        <v>9.8913135571231603</v>
      </c>
      <c r="HA17" s="618"/>
      <c r="HC17"/>
      <c r="HD17"/>
      <c r="HE17"/>
      <c r="HF17"/>
      <c r="HG17"/>
      <c r="HH17"/>
    </row>
    <row r="18" spans="1:216" s="578" customFormat="1" ht="12.75" customHeight="1" x14ac:dyDescent="0.2">
      <c r="B18" s="578" t="s">
        <v>505</v>
      </c>
      <c r="L18" s="615"/>
      <c r="N18" s="615"/>
      <c r="P18" s="615"/>
      <c r="R18" s="615"/>
      <c r="T18" s="615"/>
      <c r="V18" s="615"/>
      <c r="X18" s="615"/>
      <c r="Z18" s="615"/>
      <c r="AB18" s="615"/>
      <c r="AD18" s="615"/>
      <c r="AF18" s="615"/>
      <c r="AH18" s="615"/>
      <c r="AJ18" s="615"/>
      <c r="AL18" s="615"/>
      <c r="AN18" s="615"/>
      <c r="AP18" s="615"/>
      <c r="AR18" s="615"/>
      <c r="AT18" s="615"/>
      <c r="AV18" s="615"/>
      <c r="AX18" s="615"/>
      <c r="AZ18" s="615"/>
      <c r="BB18" s="615"/>
      <c r="BD18" s="615"/>
      <c r="BF18" s="615"/>
      <c r="BH18" s="615"/>
      <c r="BJ18" s="615"/>
      <c r="BL18" s="615"/>
      <c r="BN18" s="615"/>
      <c r="BP18" s="615"/>
      <c r="BR18" s="615"/>
      <c r="BT18" s="615"/>
      <c r="BV18" s="615"/>
      <c r="BX18" s="615"/>
      <c r="BZ18" s="615"/>
      <c r="CB18" s="615"/>
      <c r="CD18" s="615"/>
      <c r="CF18" s="615"/>
      <c r="CH18" s="615"/>
      <c r="CJ18" s="615"/>
      <c r="CL18" s="615"/>
      <c r="CM18" s="617">
        <f>CM622</f>
        <v>0.99690306596469569</v>
      </c>
      <c r="CN18" s="618" t="str">
        <f>IF(ISERROR((CM18/CE18-1)*100),"NA",IF(((CM18/CE18-1)*100)&gt;100,"NM",IF(((CM18/CE18-1)*100)&lt;-50,"NM",(CM18/CE18-1)*100)))</f>
        <v>NA</v>
      </c>
      <c r="CO18" s="617">
        <f>CO622</f>
        <v>1.0149953139643857</v>
      </c>
      <c r="CP18" s="618" t="str">
        <f>IF(ISERROR((CO18/CG18-1)*100),"NA",IF(((CO18/CG18-1)*100)&gt;100,"NM",IF(((CO18/CG18-1)*100)&lt;-50,"NM",(CO18/CG18-1)*100)))</f>
        <v>NA</v>
      </c>
      <c r="CQ18" s="617">
        <f>CQ622</f>
        <v>1.0349358974358971</v>
      </c>
      <c r="CR18" s="618" t="str">
        <f>IF(ISERROR((CQ18/CI18-1)*100),"NA",IF(((CQ18/CI18-1)*100)&gt;100,"NM",IF(((CQ18/CI18-1)*100)&lt;-50,"NM",(CQ18/CI18-1)*100)))</f>
        <v>NA</v>
      </c>
      <c r="CS18" s="617">
        <f>CS622</f>
        <v>0.91298615688859597</v>
      </c>
      <c r="CT18" s="618" t="str">
        <f>IF(ISERROR((CS18/CK18-1)*100),"NA",IF(((CS18/CK18-1)*100)&gt;100,"NM",IF(((CS18/CK18-1)*100)&lt;-50,"NM",(CS18/CK18-1)*100)))</f>
        <v>NA</v>
      </c>
      <c r="CU18" s="617">
        <f>CU622</f>
        <v>0.9901993916863806</v>
      </c>
      <c r="CV18" s="618">
        <f>IF(ISERROR((CU18/CM18-1)*100),"NA",IF(((CU18/CM18-1)*100)&gt;100,"NM",IF(((CU18/CM18-1)*100)&lt;-50,"NM",(CU18/CM18-1)*100)))</f>
        <v>-0.67244996100277454</v>
      </c>
      <c r="CW18" s="617">
        <f>CW622</f>
        <v>1.0862068965517242</v>
      </c>
      <c r="CX18" s="618">
        <f>IF(ISERROR((CW18/CO18-1)*100),"NA",IF(((CW18/CO18-1)*100)&gt;100,"NM",IF(((CW18/CO18-1)*100)&lt;-50,"NM",(CW18/CO18-1)*100)))</f>
        <v>7.0159518578661428</v>
      </c>
      <c r="CY18" s="617">
        <f>CY622</f>
        <v>1.2715138742536003</v>
      </c>
      <c r="CZ18" s="618">
        <f>IF(ISERROR((CY18/CQ18-1)*100),"NA",IF(((CY18/CQ18-1)*100)&gt;100,"NM",IF(((CY18/CQ18-1)*100)&lt;-50,"NM",(CY18/CQ18-1)*100)))</f>
        <v>22.859191318403038</v>
      </c>
      <c r="DA18" s="617">
        <f>DA622</f>
        <v>1.1028103877623621</v>
      </c>
      <c r="DB18" s="618">
        <f>IF(ISERROR((DA18/CS18-1)*100),"NA",IF(((DA18/CS18-1)*100)&gt;100,"NM",IF(((DA18/CS18-1)*100)&lt;-50,"NM",(DA18/CS18-1)*100)))</f>
        <v>20.79157821194968</v>
      </c>
      <c r="DC18" s="617">
        <f>DC622</f>
        <v>1.0229720028715004</v>
      </c>
      <c r="DD18" s="618">
        <f>IF(ISERROR((DC18/CU18-1)*100),"NA",IF(((DC18/CU18-1)*100)&gt;100,"NM",IF(((DC18/CU18-1)*100)&lt;-50,"NM",(DC18/CU18-1)*100)))</f>
        <v>3.3096981739511699</v>
      </c>
      <c r="DE18" s="617">
        <f>DE622</f>
        <v>1.2731229597388467</v>
      </c>
      <c r="DF18" s="618">
        <f>IF(ISERROR((DE18/CW18-1)*100),"NA",IF(((DE18/CW18-1)*100)&gt;100,"NM",IF(((DE18/CW18-1)*100)&lt;-50,"NM",(DE18/CW18-1)*100)))</f>
        <v>17.208145499766836</v>
      </c>
      <c r="DG18" s="617">
        <f>DG622</f>
        <v>1.3408841797588602</v>
      </c>
      <c r="DH18" s="618">
        <f>IF(ISERROR((DG18/CY18-1)*100),"NA",IF(((DG18/CY18-1)*100)&gt;100,"NM",IF(((DG18/CY18-1)*100)&lt;-50,"NM",(DG18/CY18-1)*100)))</f>
        <v>5.4557254081070372</v>
      </c>
      <c r="DI18" s="617">
        <f>DI622</f>
        <v>1.4002932551319647</v>
      </c>
      <c r="DJ18" s="618">
        <f>IF(ISERROR((DI18/DA18-1)*100),"NA",IF(((DI18/DA18-1)*100)&gt;100,"NM",IF(((DI18/DA18-1)*100)&lt;-50,"NM",(DI18/DA18-1)*100)))</f>
        <v>26.974978715353327</v>
      </c>
      <c r="DK18" s="617">
        <f>DK622</f>
        <v>1.3377434766629914</v>
      </c>
      <c r="DL18" s="618">
        <f>IF(ISERROR((DK18/DC18-1)*100),"NA",IF(((DK18/DC18-1)*100)&gt;100,"NM",IF(((DK18/DC18-1)*100)&lt;-50,"NM",(DK18/DC18-1)*100)))</f>
        <v>30.770292139757682</v>
      </c>
      <c r="DM18" s="617">
        <f>DM622</f>
        <v>1.4689475641502419</v>
      </c>
      <c r="DN18" s="618">
        <f>IF(ISERROR((DM18/DE18-1)*100),"NA",IF(((DM18/DE18-1)*100)&gt;100,"NM",IF(((DM18/DE18-1)*100)&lt;-50,"NM",(DM18/DE18-1)*100)))</f>
        <v>15.381436876416421</v>
      </c>
      <c r="DO18" s="617">
        <f>DO622</f>
        <v>1.5592203898050974</v>
      </c>
      <c r="DP18" s="618">
        <f>IF(ISERROR((DO18/DG18-1)*100),"NA",IF(((DO18/DG18-1)*100)&gt;100,"NM",IF(((DO18/DG18-1)*100)&lt;-50,"NM",(DO18/DG18-1)*100)))</f>
        <v>16.283002912712561</v>
      </c>
      <c r="DQ18" s="617">
        <f>DQ622</f>
        <v>1.6730038022813689</v>
      </c>
      <c r="DR18" s="618">
        <f>IF(ISERROR((DQ18/DI18-1)*100),"NA",IF(((DQ18/DI18-1)*100)&gt;100,"NM",IF(((DQ18/DI18-1)*100)&lt;-50,"NM",(DQ18/DI18-1)*100)))</f>
        <v>19.475245356638094</v>
      </c>
      <c r="DS18" s="617">
        <f>DS622</f>
        <v>1.3507290867229469</v>
      </c>
      <c r="DT18" s="618">
        <f>IF(ISERROR((DS18/DK18-1)*100),"NA",IF(((DS18/DK18-1)*100)&gt;100,"NM",IF(((DS18/DK18-1)*100)&lt;-50,"NM",(DS18/DK18-1)*100)))</f>
        <v>0.97071002673458917</v>
      </c>
      <c r="DU18" s="617">
        <f>DU622</f>
        <v>1.4554727344056493</v>
      </c>
      <c r="DV18" s="618">
        <f>IF(ISERROR((DU18/DM18-1)*100),"NA",IF(((DU18/DM18-1)*100)&gt;100,"NM",IF(((DU18/DM18-1)*100)&lt;-50,"NM",(DU18/DM18-1)*100)))</f>
        <v>-0.91731182742302853</v>
      </c>
      <c r="DW18" s="617">
        <f>DW622</f>
        <v>1.113744075829384</v>
      </c>
      <c r="DX18" s="618">
        <f>IF(ISERROR((DW18/DO18-1)*100),"NA",IF(((DW18/DO18-1)*100)&gt;100,"NM",IF(((DW18/DO18-1)*100)&lt;-50,"NM",(DW18/DO18-1)*100)))</f>
        <v>-28.570452059788543</v>
      </c>
      <c r="DY18" s="617">
        <f>DY622</f>
        <v>1.5349999999999999</v>
      </c>
      <c r="DZ18" s="618">
        <f>IF(ISERROR((DY18/DQ18-1)*100),"NA",IF(((DY18/DQ18-1)*100)&gt;100,"NM",IF(((DY18/DQ18-1)*100)&lt;-50,"NM",(DY18/DQ18-1)*100)))</f>
        <v>-8.2488636363636463</v>
      </c>
      <c r="EA18" s="617">
        <f>EA622</f>
        <v>1.2529999999999999</v>
      </c>
      <c r="EB18" s="618">
        <f>IF(ISERROR((EA18/DS18-1)*100),"NA",IF(((EA18/DS18-1)*100)&gt;100,"NM",IF(((EA18/DS18-1)*100)&lt;-50,"NM",(EA18/DS18-1)*100)))</f>
        <v>-7.2352840909090883</v>
      </c>
      <c r="EC18" s="617">
        <f>EC622</f>
        <v>1.5549999999999999</v>
      </c>
      <c r="ED18" s="618">
        <f>IF(ISERROR((EC18/DU18-1)*100),"NA",IF(((EC18/DU18-1)*100)&gt;100,"NM",IF(((EC18/DU18-1)*100)&lt;-50,"NM",(EC18/DU18-1)*100)))</f>
        <v>6.8381401617250592</v>
      </c>
      <c r="EE18" s="617">
        <f>EE622</f>
        <v>1.8879999999999999</v>
      </c>
      <c r="EF18" s="618">
        <f>IF(ISERROR((EE18/DW18-1)*100),"NA",IF(((EE18/DW18-1)*100)&gt;100,"NM",IF(((EE18/DW18-1)*100)&lt;-50,"NM",(EE18/DW18-1)*100)))</f>
        <v>69.518297872340412</v>
      </c>
      <c r="EG18" s="617">
        <f>EG622</f>
        <v>1.7709999999999999</v>
      </c>
      <c r="EH18" s="618">
        <f>IF(ISERROR((EG18/DY18-1)*100),"NA",IF(((EG18/DY18-1)*100)&gt;100,"NM",IF(((EG18/DY18-1)*100)&lt;-50,"NM",(EG18/DY18-1)*100)))</f>
        <v>15.374592833876211</v>
      </c>
      <c r="EI18" s="617">
        <f>EI622</f>
        <v>1.921</v>
      </c>
      <c r="EJ18" s="618">
        <f t="shared" si="100"/>
        <v>53.31205107741421</v>
      </c>
      <c r="EK18" s="617">
        <f t="shared" ref="EK18" si="124">EK622</f>
        <v>1.845</v>
      </c>
      <c r="EL18" s="618">
        <f t="shared" si="102"/>
        <v>18.649517684887474</v>
      </c>
      <c r="EM18" s="617">
        <f t="shared" ref="EM18" si="125">EM622</f>
        <v>2.028</v>
      </c>
      <c r="EN18" s="618">
        <f t="shared" si="104"/>
        <v>7.4152542372881491</v>
      </c>
      <c r="EO18" s="617">
        <f t="shared" ref="EO18" si="126">EO622</f>
        <v>1.9830000000000001</v>
      </c>
      <c r="EP18" s="618">
        <f t="shared" si="106"/>
        <v>11.970638057594595</v>
      </c>
      <c r="EQ18" s="617">
        <f t="shared" ref="EQ18:EW18" si="127">EQ622</f>
        <v>1.9566895243625559</v>
      </c>
      <c r="ER18" s="618">
        <f t="shared" si="108"/>
        <v>1.8578617575510714</v>
      </c>
      <c r="ES18" s="617">
        <f t="shared" si="127"/>
        <v>2.0807014003898203</v>
      </c>
      <c r="ET18" s="618">
        <f t="shared" si="109"/>
        <v>12.775143652564779</v>
      </c>
      <c r="EU18" s="617">
        <f t="shared" si="127"/>
        <v>2.1699323895505249</v>
      </c>
      <c r="EV18" s="618">
        <f t="shared" si="110"/>
        <v>6.9986385379943172</v>
      </c>
      <c r="EW18" s="617">
        <f t="shared" si="127"/>
        <v>2.2408646967070514</v>
      </c>
      <c r="EX18" s="618">
        <f t="shared" si="111"/>
        <v>13.003766853608223</v>
      </c>
      <c r="EZ18" s="558"/>
      <c r="FE18" s="615"/>
      <c r="FG18" s="615"/>
      <c r="FI18" s="615"/>
      <c r="FK18" s="615"/>
      <c r="FM18" s="615"/>
      <c r="FO18" s="615"/>
      <c r="FQ18" s="615"/>
      <c r="FS18" s="615"/>
      <c r="FU18" s="615"/>
      <c r="FW18" s="615"/>
      <c r="FY18" s="615"/>
      <c r="GA18" s="615"/>
      <c r="GB18" s="617">
        <f>GB622</f>
        <v>3.9577777777777774</v>
      </c>
      <c r="GC18" s="618" t="str">
        <f>IF(ISERROR((GB18/FZ18-1)*100),"NA",IF(((GB18/FZ18-1)*100)&gt;100,"NM",IF(((GB18/FZ18-1)*100)&lt;-50,"NM",(GB18/FZ18-1)*100)))</f>
        <v>NA</v>
      </c>
      <c r="GD18" s="617">
        <f>GD622</f>
        <v>4.4506258692628649</v>
      </c>
      <c r="GE18" s="618">
        <f>IF(ISERROR((GD18/GB18-1)*100),"NA",IF(((GD18/GB18-1)*100)&gt;100,"NM",IF(((GD18/GB18-1)*100)&lt;-50,"NM",(GD18/GB18-1)*100)))</f>
        <v>12.452646893222319</v>
      </c>
      <c r="GF18" s="617">
        <f>GF622</f>
        <v>5.0327034883720936</v>
      </c>
      <c r="GG18" s="618">
        <f>IF(ISERROR((GF18/GD18-1)*100),"NA",IF(((GF18/GD18-1)*100)&gt;100,"NM",IF(((GF18/GD18-1)*100)&lt;-50,"NM",(GF18/GD18-1)*100)))</f>
        <v>13.078556504360495</v>
      </c>
      <c r="GH18" s="617">
        <f>GH622</f>
        <v>6.0261194029850742</v>
      </c>
      <c r="GI18" s="618">
        <f>IF(ISERROR((GH18/GF18-1)*100),"NA",IF(((GH18/GF18-1)*100)&gt;100,"NM",IF(((GH18/GF18-1)*100)&lt;-50,"NM",(GH18/GF18-1)*100)))</f>
        <v>19.739210086750347</v>
      </c>
      <c r="GJ18" s="617">
        <f>GJ622</f>
        <v>5.4522857704402519</v>
      </c>
      <c r="GK18" s="618">
        <f>IF(ISERROR((GJ18/GH18-1)*100),"NA",IF(((GJ18/GH18-1)*100)&gt;100,"NM",IF(((GJ18/GH18-1)*100)&lt;-50,"NM",(GJ18/GH18-1)*100)))</f>
        <v>-9.5224404657592849</v>
      </c>
      <c r="GL18" s="617">
        <f>GL622</f>
        <v>6.4459842022116902</v>
      </c>
      <c r="GM18" s="618">
        <f>IF(ISERROR((GL18/GJ18-1)*100),"NA",IF(((GL18/GJ18-1)*100)&gt;100,"NM",IF(((GL18/GJ18-1)*100)&lt;-50,"NM",(GL18/GJ18-1)*100)))</f>
        <v>18.225354899018818</v>
      </c>
      <c r="GN18" s="617">
        <f>GN622</f>
        <v>7.7745894468744821</v>
      </c>
      <c r="GO18" s="618">
        <f>IF(ISERROR((GN18/GL18-1)*100),"NA",IF(((GN18/GL18-1)*100)&gt;100,"NM",IF(((GN18/GL18-1)*100)&lt;-50,"NM",(GN18/GL18-1)*100)))</f>
        <v>20.611363648811487</v>
      </c>
      <c r="GP18" s="617">
        <f>GP622</f>
        <v>8.447202226128292</v>
      </c>
      <c r="GQ18" s="618">
        <f>IF(ISERROR((GP18/GN18-1)*100),"NA",IF(((GP18/GN18-1)*100)&gt;100,"NM",IF(((GP18/GN18-1)*100)&lt;-50,"NM",(GP18/GN18-1)*100)))</f>
        <v>8.6514250540163484</v>
      </c>
      <c r="GR18" s="617">
        <f>GR622</f>
        <v>9.2031935617236069</v>
      </c>
      <c r="GS18" s="618">
        <f>IF(ISERROR((GR18/GP18-1)*100),"NA",IF(((GR18/GP18-1)*100)&gt;100,"NM",IF(((GR18/GP18-1)*100)&lt;-50,"NM",(GR18/GP18-1)*100)))</f>
        <v>8.9496062170375765</v>
      </c>
      <c r="GT18" s="617">
        <f>GT622</f>
        <v>10.298755491214671</v>
      </c>
      <c r="GU18" s="618">
        <f>IF(ISERROR((GT18/GR18-1)*100),"NA",IF(((GT18/GR18-1)*100)&gt;100,"NM",IF(((GT18/GR18-1)*100)&lt;-50,"NM",(GT18/GR18-1)*100)))</f>
        <v>11.904149599195035</v>
      </c>
      <c r="GV18" s="617">
        <f>GV622</f>
        <v>11.097760784447122</v>
      </c>
      <c r="GW18" s="618">
        <f>IF(ISERROR((GV18/GT18-1)*100),"NA",IF(((GV18/GT18-1)*100)&gt;100,"NM",IF(((GV18/GT18-1)*100)&lt;-50,"NM",(GV18/GT18-1)*100)))</f>
        <v>7.7582703455193247</v>
      </c>
      <c r="GX18" s="617">
        <f>GX622</f>
        <v>11.999970894221658</v>
      </c>
      <c r="GY18" s="618">
        <f>IF(ISERROR((GX18/GV18-1)*100),"NA",IF(((GX18/GV18-1)*100)&gt;100,"NM",IF(((GX18/GV18-1)*100)&lt;-50,"NM",(GX18/GV18-1)*100)))</f>
        <v>8.1296590122841081</v>
      </c>
      <c r="GZ18" s="618">
        <f>IF(ISERROR((GX18/GN18)^0.2),"",IF(OR((GX18/GN18)^0.2&lt;0.5,(GX18/GN18)^0.2&gt;2),"NM",((GX18/GN18)^0.2-1)*100))</f>
        <v>9.0688026825787702</v>
      </c>
      <c r="HA18" s="618"/>
      <c r="HC18"/>
      <c r="HD18"/>
      <c r="HE18"/>
      <c r="HF18"/>
      <c r="HG18"/>
      <c r="HH18"/>
    </row>
    <row r="19" spans="1:216" s="321" customFormat="1" ht="12.75" hidden="1" customHeight="1" outlineLevel="1" x14ac:dyDescent="0.2">
      <c r="A19" s="584"/>
      <c r="C19" s="585"/>
      <c r="D19" s="586"/>
      <c r="E19" s="585"/>
      <c r="F19" s="586"/>
      <c r="G19" s="585"/>
      <c r="H19" s="586"/>
      <c r="I19" s="585"/>
      <c r="J19" s="586"/>
      <c r="K19" s="585"/>
      <c r="L19" s="586"/>
      <c r="M19" s="585"/>
      <c r="N19" s="586"/>
      <c r="O19" s="585"/>
      <c r="P19" s="586"/>
      <c r="Q19" s="585"/>
      <c r="R19" s="586"/>
      <c r="S19" s="585"/>
      <c r="T19" s="586"/>
      <c r="U19" s="585"/>
      <c r="V19" s="586"/>
      <c r="W19" s="585"/>
      <c r="X19" s="586"/>
      <c r="Y19" s="585"/>
      <c r="Z19" s="586"/>
      <c r="AA19" s="585"/>
      <c r="AB19" s="586"/>
      <c r="AC19" s="585"/>
      <c r="AD19" s="586"/>
      <c r="AE19" s="585"/>
      <c r="AF19" s="586"/>
      <c r="AG19" s="585"/>
      <c r="AH19" s="586"/>
      <c r="AI19" s="585"/>
      <c r="AJ19" s="586"/>
      <c r="AK19" s="585"/>
      <c r="AL19" s="586"/>
      <c r="AM19" s="585"/>
      <c r="AN19" s="586"/>
      <c r="AO19" s="585"/>
      <c r="AP19" s="586"/>
      <c r="AQ19" s="585"/>
      <c r="AR19" s="324"/>
      <c r="AS19" s="585"/>
      <c r="AT19" s="586"/>
      <c r="AU19" s="585"/>
      <c r="AV19" s="586"/>
      <c r="AW19" s="585"/>
      <c r="AX19" s="324"/>
      <c r="AY19" s="585"/>
      <c r="AZ19" s="324"/>
      <c r="BA19" s="585"/>
      <c r="BB19" s="324"/>
      <c r="BC19" s="585"/>
      <c r="BD19" s="324"/>
      <c r="BE19" s="585"/>
      <c r="BF19" s="324"/>
      <c r="BG19" s="585"/>
      <c r="BH19" s="324"/>
      <c r="BI19" s="585"/>
      <c r="BJ19" s="324"/>
      <c r="BK19" s="585"/>
      <c r="BL19" s="324"/>
      <c r="BM19" s="585"/>
      <c r="BN19" s="324"/>
      <c r="BO19" s="585"/>
      <c r="BP19" s="324"/>
      <c r="BQ19" s="585"/>
      <c r="BR19" s="324"/>
      <c r="BS19" s="585"/>
      <c r="BT19" s="324"/>
      <c r="BU19" s="585"/>
      <c r="BV19" s="324"/>
      <c r="BW19" s="585"/>
      <c r="BX19" s="324"/>
      <c r="BY19" s="585"/>
      <c r="BZ19" s="324"/>
      <c r="CA19" s="585"/>
      <c r="CB19" s="324"/>
      <c r="CC19" s="585"/>
      <c r="CD19" s="324"/>
      <c r="CE19" s="585"/>
      <c r="CF19" s="324"/>
      <c r="CG19" s="585"/>
      <c r="CH19" s="324"/>
      <c r="CI19" s="585"/>
      <c r="CJ19" s="324"/>
      <c r="CK19" s="585"/>
      <c r="CL19" s="324"/>
      <c r="CM19" s="585"/>
      <c r="CN19" s="585"/>
      <c r="CO19" s="585"/>
      <c r="CP19" s="585"/>
      <c r="CQ19" s="585"/>
      <c r="CR19" s="585"/>
      <c r="CS19" s="585"/>
      <c r="CT19" s="585"/>
      <c r="CU19" s="585"/>
      <c r="CV19" s="585"/>
      <c r="CW19" s="585"/>
      <c r="CX19" s="585"/>
      <c r="CY19" s="585"/>
      <c r="CZ19" s="585"/>
      <c r="DA19" s="585"/>
      <c r="DB19" s="585"/>
      <c r="DC19" s="585"/>
      <c r="DD19" s="585"/>
      <c r="DE19" s="585"/>
      <c r="DF19" s="585"/>
      <c r="DG19" s="585"/>
      <c r="DH19" s="585"/>
      <c r="DI19" s="585"/>
      <c r="DJ19" s="585"/>
      <c r="DK19" s="585"/>
      <c r="DL19" s="585"/>
      <c r="DM19" s="585"/>
      <c r="DN19" s="793"/>
      <c r="DO19" s="585"/>
      <c r="DP19" s="793"/>
      <c r="DQ19" s="585"/>
      <c r="DR19" s="793"/>
      <c r="DS19" s="585"/>
      <c r="DT19" s="793"/>
      <c r="DU19" s="585"/>
      <c r="DV19" s="793"/>
      <c r="DW19" s="585"/>
      <c r="DX19" s="793"/>
      <c r="DY19" s="585"/>
      <c r="DZ19" s="793"/>
      <c r="EA19" s="585"/>
      <c r="EB19" s="793"/>
      <c r="EC19" s="585"/>
      <c r="ED19" s="793"/>
      <c r="EE19" s="585"/>
      <c r="EF19" s="793"/>
      <c r="EG19" s="585"/>
      <c r="EH19" s="793"/>
      <c r="EI19" s="585"/>
      <c r="EJ19" s="793"/>
      <c r="EK19" s="585"/>
      <c r="EL19" s="793"/>
      <c r="EM19" s="587"/>
      <c r="EN19" s="793"/>
      <c r="EO19" s="587"/>
      <c r="EP19" s="793"/>
      <c r="EQ19" s="585"/>
      <c r="ER19" s="793"/>
      <c r="ES19" s="585"/>
      <c r="ET19" s="793"/>
      <c r="EU19" s="585"/>
      <c r="EV19" s="793"/>
      <c r="EW19" s="585"/>
      <c r="EX19" s="793"/>
      <c r="EY19" s="588"/>
      <c r="EZ19" s="558"/>
      <c r="FA19" s="588"/>
      <c r="FB19" s="587"/>
      <c r="FC19" s="588"/>
      <c r="FD19" s="587"/>
      <c r="FE19" s="588"/>
      <c r="FF19" s="589"/>
      <c r="FG19" s="588"/>
      <c r="FH19" s="589"/>
      <c r="FI19" s="588"/>
      <c r="FJ19" s="589"/>
      <c r="FK19" s="588"/>
      <c r="FL19" s="587"/>
      <c r="FM19" s="588"/>
      <c r="FN19" s="587"/>
      <c r="FO19" s="588"/>
      <c r="FP19" s="587"/>
      <c r="FQ19" s="590"/>
      <c r="FR19" s="587"/>
      <c r="FS19" s="590"/>
      <c r="FT19" s="587"/>
      <c r="FU19" s="590"/>
      <c r="FV19" s="587"/>
      <c r="FW19" s="590"/>
      <c r="FX19" s="587"/>
      <c r="FY19" s="590"/>
      <c r="FZ19" s="587"/>
      <c r="GA19" s="590"/>
      <c r="GB19" s="585"/>
      <c r="GC19" s="585"/>
      <c r="GD19" s="585"/>
      <c r="GE19" s="585"/>
      <c r="GF19" s="585"/>
      <c r="GG19" s="585"/>
      <c r="GH19" s="585"/>
      <c r="GI19" s="585"/>
      <c r="GJ19" s="585"/>
      <c r="GK19" s="585"/>
      <c r="GL19" s="585"/>
      <c r="GM19" s="585"/>
      <c r="GN19" s="585"/>
      <c r="GO19" s="585"/>
      <c r="GP19" s="585"/>
      <c r="GQ19" s="585"/>
      <c r="GR19" s="585"/>
      <c r="GS19" s="585"/>
      <c r="GT19" s="585"/>
      <c r="GU19" s="585"/>
      <c r="GV19" s="585"/>
      <c r="GW19" s="585"/>
      <c r="GX19" s="585"/>
      <c r="GY19" s="585"/>
      <c r="GZ19" s="585"/>
      <c r="HA19" s="585"/>
      <c r="HB19" s="585"/>
      <c r="HC19"/>
      <c r="HD19"/>
      <c r="HE19"/>
      <c r="HF19"/>
      <c r="HG19"/>
      <c r="HH19"/>
    </row>
    <row r="20" spans="1:216" s="321" customFormat="1" ht="12.75" hidden="1" customHeight="1" outlineLevel="1" x14ac:dyDescent="0.2">
      <c r="A20" s="584"/>
      <c r="B20" s="578" t="s">
        <v>375</v>
      </c>
      <c r="C20" s="585"/>
      <c r="D20" s="586"/>
      <c r="E20" s="585"/>
      <c r="F20" s="586"/>
      <c r="G20" s="585"/>
      <c r="H20" s="586"/>
      <c r="I20" s="585"/>
      <c r="J20" s="586"/>
      <c r="K20" s="585"/>
      <c r="L20" s="586"/>
      <c r="M20" s="585"/>
      <c r="N20" s="586"/>
      <c r="O20" s="585"/>
      <c r="P20" s="586"/>
      <c r="Q20" s="585"/>
      <c r="R20" s="586"/>
      <c r="S20" s="585"/>
      <c r="T20" s="586"/>
      <c r="U20" s="585"/>
      <c r="V20" s="586"/>
      <c r="W20" s="585"/>
      <c r="X20" s="586"/>
      <c r="Y20" s="585"/>
      <c r="Z20" s="586"/>
      <c r="AA20" s="585"/>
      <c r="AB20" s="586"/>
      <c r="AC20" s="585"/>
      <c r="AD20" s="586"/>
      <c r="AE20" s="585"/>
      <c r="AF20" s="586"/>
      <c r="AG20" s="585"/>
      <c r="AH20" s="586"/>
      <c r="AI20" s="585"/>
      <c r="AJ20" s="586"/>
      <c r="AK20" s="585"/>
      <c r="AL20" s="586"/>
      <c r="AM20" s="585"/>
      <c r="AN20" s="586"/>
      <c r="AO20" s="585"/>
      <c r="AP20" s="586"/>
      <c r="AQ20" s="585"/>
      <c r="AR20" s="324"/>
      <c r="AS20" s="585"/>
      <c r="AT20" s="586"/>
      <c r="AU20" s="585"/>
      <c r="AV20" s="586"/>
      <c r="AW20" s="585"/>
      <c r="AX20" s="324"/>
      <c r="AY20" s="585"/>
      <c r="AZ20" s="324"/>
      <c r="BA20" s="585"/>
      <c r="BB20" s="324"/>
      <c r="BC20" s="585"/>
      <c r="BD20" s="324"/>
      <c r="BE20" s="585"/>
      <c r="BF20" s="324"/>
      <c r="BG20" s="585"/>
      <c r="BH20" s="324"/>
      <c r="BI20" s="585"/>
      <c r="BJ20" s="324"/>
      <c r="BK20" s="585"/>
      <c r="BL20" s="324"/>
      <c r="BM20" s="585"/>
      <c r="BN20" s="324"/>
      <c r="BO20" s="585"/>
      <c r="BP20" s="324"/>
      <c r="BQ20" s="585"/>
      <c r="BR20" s="324"/>
      <c r="BS20" s="585"/>
      <c r="BT20" s="324"/>
      <c r="BU20" s="585"/>
      <c r="BV20" s="324"/>
      <c r="BW20" s="585"/>
      <c r="BX20" s="324"/>
      <c r="BY20" s="585"/>
      <c r="BZ20" s="324"/>
      <c r="CA20" s="585"/>
      <c r="CB20" s="324"/>
      <c r="CC20" s="585"/>
      <c r="CD20" s="324"/>
      <c r="CE20" s="585"/>
      <c r="CF20" s="324"/>
      <c r="CG20" s="585"/>
      <c r="CH20" s="324"/>
      <c r="CI20" s="585"/>
      <c r="CJ20" s="324"/>
      <c r="CK20" s="585"/>
      <c r="CL20" s="324"/>
      <c r="CM20" s="585"/>
      <c r="CN20" s="324"/>
      <c r="CO20" s="585"/>
      <c r="CP20" s="324"/>
      <c r="CQ20" s="585"/>
      <c r="CR20" s="324"/>
      <c r="CS20" s="585"/>
      <c r="CT20" s="324"/>
      <c r="CU20" s="585"/>
      <c r="CV20" s="324"/>
      <c r="CW20" s="585"/>
      <c r="CX20" s="324"/>
      <c r="CY20" s="585"/>
      <c r="CZ20" s="324"/>
      <c r="DA20" s="585"/>
      <c r="DB20" s="324"/>
      <c r="DC20" s="585"/>
      <c r="DD20" s="324"/>
      <c r="DE20" s="585"/>
      <c r="DF20" s="324"/>
      <c r="DG20" s="585"/>
      <c r="DH20" s="324"/>
      <c r="DI20" s="585"/>
      <c r="DJ20" s="324"/>
      <c r="DK20" s="585"/>
      <c r="DL20" s="324"/>
      <c r="DM20" s="585"/>
      <c r="DN20" s="324"/>
      <c r="DO20" s="585"/>
      <c r="DP20" s="324"/>
      <c r="DQ20" s="585"/>
      <c r="DR20" s="324"/>
      <c r="DS20" s="585"/>
      <c r="DT20" s="324"/>
      <c r="DU20" s="585"/>
      <c r="DV20" s="324"/>
      <c r="DW20" s="585"/>
      <c r="DX20" s="324"/>
      <c r="DY20" s="585"/>
      <c r="DZ20" s="324"/>
      <c r="EA20" s="585"/>
      <c r="EB20" s="324"/>
      <c r="EC20" s="585"/>
      <c r="ED20" s="324"/>
      <c r="EE20" s="585"/>
      <c r="EF20" s="324"/>
      <c r="EG20" s="585"/>
      <c r="EH20" s="324"/>
      <c r="EI20" s="585"/>
      <c r="EJ20" s="324"/>
      <c r="EK20" s="585"/>
      <c r="EL20" s="324"/>
      <c r="EM20" s="585"/>
      <c r="EN20" s="324"/>
      <c r="EO20" s="585"/>
      <c r="EP20" s="324"/>
      <c r="EQ20" s="585"/>
      <c r="ER20" s="324"/>
      <c r="ES20" s="585"/>
      <c r="ET20" s="324"/>
      <c r="EU20" s="585"/>
      <c r="EV20" s="324"/>
      <c r="EW20" s="585"/>
      <c r="EX20" s="324"/>
      <c r="EY20" s="591"/>
      <c r="EZ20" s="558"/>
      <c r="FA20" s="591"/>
      <c r="FB20" s="585"/>
      <c r="FC20" s="586"/>
      <c r="FD20" s="585"/>
      <c r="FE20" s="586"/>
      <c r="FF20" s="334"/>
      <c r="FG20" s="586"/>
      <c r="FH20" s="334"/>
      <c r="FI20" s="586"/>
      <c r="FJ20" s="334"/>
      <c r="FK20" s="586"/>
      <c r="FL20" s="582"/>
      <c r="FM20" s="586"/>
      <c r="FN20" s="582"/>
      <c r="FO20" s="586"/>
      <c r="FP20" s="585"/>
      <c r="FQ20" s="324"/>
      <c r="FR20" s="592"/>
      <c r="FS20" s="593"/>
      <c r="FT20" s="585"/>
      <c r="FU20" s="593"/>
      <c r="FV20" s="585"/>
      <c r="FW20" s="593"/>
      <c r="FX20" s="343"/>
      <c r="FY20" s="593"/>
      <c r="FZ20" s="343"/>
      <c r="GA20" s="593"/>
      <c r="GB20" s="343"/>
      <c r="GC20" s="593"/>
      <c r="GD20" s="343"/>
      <c r="GE20" s="593"/>
      <c r="GF20" s="343"/>
      <c r="GG20" s="593"/>
      <c r="GH20" s="343"/>
      <c r="GI20" s="593"/>
      <c r="GJ20" s="343"/>
      <c r="GK20" s="593"/>
      <c r="GL20" s="343"/>
      <c r="GM20" s="593"/>
      <c r="GN20" s="343"/>
      <c r="GO20" s="593"/>
      <c r="GP20" s="343"/>
      <c r="GQ20" s="593"/>
      <c r="GR20" s="585"/>
      <c r="GS20" s="593"/>
      <c r="GT20" s="585"/>
      <c r="GU20" s="593"/>
      <c r="GV20" s="585"/>
      <c r="GW20" s="593"/>
      <c r="GX20" s="585"/>
      <c r="GY20" s="593"/>
      <c r="GZ20" s="324"/>
      <c r="HA20" s="324"/>
      <c r="HB20" s="579"/>
      <c r="HC20"/>
      <c r="HD20"/>
      <c r="HE20"/>
      <c r="HF20"/>
      <c r="HG20"/>
      <c r="HH20"/>
    </row>
    <row r="21" spans="1:216" s="321" customFormat="1" ht="12.75" hidden="1" customHeight="1" outlineLevel="1" x14ac:dyDescent="0.2">
      <c r="A21" s="584"/>
      <c r="B21" s="321" t="s">
        <v>494</v>
      </c>
      <c r="C21" s="585"/>
      <c r="D21" s="586"/>
      <c r="E21" s="585"/>
      <c r="F21" s="586"/>
      <c r="G21" s="585"/>
      <c r="H21" s="586"/>
      <c r="I21" s="585"/>
      <c r="J21" s="586"/>
      <c r="K21" s="333"/>
      <c r="L21" s="331"/>
      <c r="M21" s="585"/>
      <c r="N21" s="331"/>
      <c r="O21" s="585"/>
      <c r="P21" s="331"/>
      <c r="Q21" s="585"/>
      <c r="R21" s="331"/>
      <c r="S21" s="585"/>
      <c r="T21" s="331"/>
      <c r="U21" s="333"/>
      <c r="V21" s="331"/>
      <c r="W21" s="585"/>
      <c r="X21" s="331"/>
      <c r="Y21" s="585"/>
      <c r="Z21" s="331"/>
      <c r="AA21" s="585"/>
      <c r="AB21" s="331"/>
      <c r="AC21" s="585"/>
      <c r="AD21" s="331"/>
      <c r="AE21" s="585"/>
      <c r="AF21" s="331"/>
      <c r="AG21" s="333"/>
      <c r="AH21" s="331"/>
      <c r="AI21" s="333"/>
      <c r="AJ21" s="331"/>
      <c r="AK21" s="585"/>
      <c r="AL21" s="331"/>
      <c r="AM21" s="585"/>
      <c r="AN21" s="331"/>
      <c r="AO21" s="585"/>
      <c r="AP21" s="331"/>
      <c r="AQ21" s="585"/>
      <c r="AR21" s="324"/>
      <c r="AS21" s="585"/>
      <c r="AT21" s="331"/>
      <c r="AU21" s="585"/>
      <c r="AV21" s="331"/>
      <c r="AW21" s="585"/>
      <c r="AX21" s="324"/>
      <c r="AY21" s="585"/>
      <c r="AZ21" s="324"/>
      <c r="BA21" s="585"/>
      <c r="BB21" s="324"/>
      <c r="BC21" s="585"/>
      <c r="BD21" s="324"/>
      <c r="BE21" s="585"/>
      <c r="BF21" s="324"/>
      <c r="BG21" s="585"/>
      <c r="BH21" s="324"/>
      <c r="BI21" s="585"/>
      <c r="BJ21" s="324"/>
      <c r="BK21" s="585"/>
      <c r="BL21" s="324"/>
      <c r="BM21" s="585"/>
      <c r="BN21" s="324"/>
      <c r="BO21" s="585"/>
      <c r="BP21" s="324"/>
      <c r="BQ21" s="585"/>
      <c r="BR21" s="324"/>
      <c r="BS21" s="585"/>
      <c r="BT21" s="324"/>
      <c r="BU21" s="585"/>
      <c r="BV21" s="324"/>
      <c r="BW21" s="594"/>
      <c r="BX21" s="324"/>
      <c r="BY21" s="594"/>
      <c r="BZ21" s="324"/>
      <c r="CA21" s="594"/>
      <c r="CB21" s="324"/>
      <c r="CC21" s="594"/>
      <c r="CD21" s="324"/>
      <c r="CE21" s="594"/>
      <c r="CF21" s="324"/>
      <c r="CG21" s="594"/>
      <c r="CH21" s="324"/>
      <c r="CI21" s="594"/>
      <c r="CJ21" s="324"/>
      <c r="CK21" s="594"/>
      <c r="CL21" s="324"/>
      <c r="CM21" s="594"/>
      <c r="CN21" s="324"/>
      <c r="CO21" s="594"/>
      <c r="CP21" s="324"/>
      <c r="CQ21" s="594"/>
      <c r="CR21" s="324"/>
      <c r="CS21" s="594"/>
      <c r="CT21" s="324"/>
      <c r="CU21" s="594"/>
      <c r="CV21" s="324"/>
      <c r="CW21" s="594"/>
      <c r="CX21" s="324"/>
      <c r="CY21" s="594"/>
      <c r="CZ21" s="324"/>
      <c r="DA21" s="594"/>
      <c r="DB21" s="324"/>
      <c r="DC21" s="594"/>
      <c r="DD21" s="324"/>
      <c r="DE21" s="594"/>
      <c r="DF21" s="324"/>
      <c r="DG21" s="594"/>
      <c r="DH21" s="324"/>
      <c r="DI21" s="594"/>
      <c r="DJ21" s="324"/>
      <c r="DK21" s="594"/>
      <c r="DL21" s="324"/>
      <c r="DM21" s="594"/>
      <c r="DN21" s="324"/>
      <c r="DO21" s="594"/>
      <c r="DP21" s="324"/>
      <c r="DQ21" s="594"/>
      <c r="DR21" s="324"/>
      <c r="DS21" s="594"/>
      <c r="DT21" s="324"/>
      <c r="DU21" s="594"/>
      <c r="DV21" s="324"/>
      <c r="DW21" s="594"/>
      <c r="DX21" s="324"/>
      <c r="DY21" s="594"/>
      <c r="DZ21" s="324"/>
      <c r="EA21" s="594"/>
      <c r="EB21" s="324"/>
      <c r="EC21" s="594"/>
      <c r="ED21" s="324"/>
      <c r="EE21" s="594"/>
      <c r="EF21" s="324"/>
      <c r="EG21" s="594"/>
      <c r="EH21" s="324"/>
      <c r="EI21" s="594"/>
      <c r="EJ21" s="324"/>
      <c r="EK21" s="594"/>
      <c r="EL21" s="324"/>
      <c r="EM21" s="594"/>
      <c r="EN21" s="324"/>
      <c r="EO21" s="594"/>
      <c r="EP21" s="324"/>
      <c r="EQ21" s="594">
        <v>-1.2</v>
      </c>
      <c r="ER21" s="324"/>
      <c r="ES21" s="594">
        <v>2</v>
      </c>
      <c r="ET21" s="324"/>
      <c r="EU21" s="594">
        <v>2</v>
      </c>
      <c r="EV21" s="324"/>
      <c r="EW21" s="594">
        <v>2</v>
      </c>
      <c r="EX21" s="324"/>
      <c r="EY21" s="595"/>
      <c r="EZ21" s="558"/>
      <c r="FA21" s="595"/>
      <c r="FB21" s="333"/>
      <c r="FC21" s="331"/>
      <c r="FD21" s="333"/>
      <c r="FE21" s="331"/>
      <c r="FF21" s="333"/>
      <c r="FG21" s="331"/>
      <c r="FH21" s="333"/>
      <c r="FI21" s="331"/>
      <c r="FJ21" s="333"/>
      <c r="FK21" s="331"/>
      <c r="FL21" s="596"/>
      <c r="FM21" s="331"/>
      <c r="FN21" s="596"/>
      <c r="FO21" s="331"/>
      <c r="FP21" s="597"/>
      <c r="FQ21" s="324"/>
      <c r="FR21" s="597"/>
      <c r="FS21" s="324"/>
      <c r="FT21" s="597"/>
      <c r="FU21" s="324"/>
      <c r="FV21" s="597"/>
      <c r="FW21" s="324"/>
      <c r="FX21" s="597"/>
      <c r="FY21" s="324"/>
      <c r="FZ21" s="597"/>
      <c r="GA21" s="324"/>
      <c r="GB21" s="597"/>
      <c r="GC21" s="324"/>
      <c r="GD21" s="597"/>
      <c r="GE21" s="324"/>
      <c r="GF21" s="597"/>
      <c r="GG21" s="324"/>
      <c r="GH21" s="597"/>
      <c r="GI21" s="324"/>
      <c r="GJ21" s="594"/>
      <c r="GK21" s="324"/>
      <c r="GL21" s="594"/>
      <c r="GM21" s="324"/>
      <c r="GN21" s="594"/>
      <c r="GO21" s="324"/>
      <c r="GP21" s="594"/>
      <c r="GQ21" s="324"/>
      <c r="GR21" s="594">
        <v>8</v>
      </c>
      <c r="GS21" s="324"/>
      <c r="GT21" s="594">
        <v>8</v>
      </c>
      <c r="GU21" s="324"/>
      <c r="GV21" s="594">
        <v>8</v>
      </c>
      <c r="GW21" s="324"/>
      <c r="GX21" s="594">
        <v>8</v>
      </c>
      <c r="GY21" s="324"/>
      <c r="GZ21" s="324"/>
      <c r="HA21" s="324"/>
      <c r="HB21" s="579"/>
      <c r="HC21"/>
      <c r="HD21"/>
      <c r="HE21"/>
      <c r="HF21"/>
      <c r="HG21"/>
      <c r="HH21"/>
    </row>
    <row r="22" spans="1:216" s="599" customFormat="1" ht="12.75" hidden="1" customHeight="1" outlineLevel="1" x14ac:dyDescent="0.2">
      <c r="A22" s="598"/>
      <c r="B22" s="599" t="s">
        <v>30</v>
      </c>
      <c r="C22" s="600"/>
      <c r="D22" s="601"/>
      <c r="E22" s="600"/>
      <c r="F22" s="601"/>
      <c r="G22" s="600"/>
      <c r="H22" s="601"/>
      <c r="I22" s="600"/>
      <c r="J22" s="601"/>
      <c r="K22" s="600"/>
      <c r="L22" s="601"/>
      <c r="M22" s="600"/>
      <c r="N22" s="601"/>
      <c r="O22" s="600"/>
      <c r="P22" s="601"/>
      <c r="Q22" s="600"/>
      <c r="R22" s="601"/>
      <c r="S22" s="600"/>
      <c r="T22" s="601"/>
      <c r="U22" s="600"/>
      <c r="V22" s="601"/>
      <c r="W22" s="600"/>
      <c r="X22" s="601"/>
      <c r="Y22" s="600"/>
      <c r="Z22" s="601"/>
      <c r="AA22" s="600"/>
      <c r="AB22" s="601"/>
      <c r="AC22" s="600"/>
      <c r="AD22" s="601"/>
      <c r="AE22" s="600"/>
      <c r="AF22" s="601"/>
      <c r="AG22" s="600"/>
      <c r="AH22" s="601"/>
      <c r="AI22" s="600"/>
      <c r="AJ22" s="601"/>
      <c r="AK22" s="600"/>
      <c r="AL22" s="601"/>
      <c r="AM22" s="600"/>
      <c r="AN22" s="601"/>
      <c r="AO22" s="600"/>
      <c r="AP22" s="601"/>
      <c r="AQ22" s="600"/>
      <c r="AR22" s="601"/>
      <c r="AS22" s="600"/>
      <c r="AT22" s="601"/>
      <c r="AU22" s="600"/>
      <c r="AV22" s="601"/>
      <c r="AW22" s="600"/>
      <c r="AX22" s="601"/>
      <c r="AY22" s="600"/>
      <c r="AZ22" s="601"/>
      <c r="BA22" s="600"/>
      <c r="BB22" s="601"/>
      <c r="BC22" s="600"/>
      <c r="BD22" s="601"/>
      <c r="BE22" s="600"/>
      <c r="BF22" s="601"/>
      <c r="BG22" s="600"/>
      <c r="BH22" s="601"/>
      <c r="BI22" s="600"/>
      <c r="BJ22" s="601"/>
      <c r="BK22" s="600"/>
      <c r="BL22" s="601"/>
      <c r="BM22" s="600"/>
      <c r="BN22" s="601"/>
      <c r="BO22" s="600"/>
      <c r="BP22" s="601"/>
      <c r="BQ22" s="600"/>
      <c r="BR22" s="601"/>
      <c r="BS22" s="600"/>
      <c r="BT22" s="601"/>
      <c r="BU22" s="600"/>
      <c r="BV22" s="601"/>
      <c r="BW22" s="602"/>
      <c r="BX22" s="601"/>
      <c r="BY22" s="602"/>
      <c r="BZ22" s="601"/>
      <c r="CA22" s="602"/>
      <c r="CB22" s="601"/>
      <c r="CC22" s="602"/>
      <c r="CD22" s="601"/>
      <c r="CE22" s="602"/>
      <c r="CF22" s="601"/>
      <c r="CG22" s="602"/>
      <c r="CH22" s="601"/>
      <c r="CI22" s="602"/>
      <c r="CJ22" s="601"/>
      <c r="CK22" s="602"/>
      <c r="CL22" s="601"/>
      <c r="CM22" s="602"/>
      <c r="CN22" s="601"/>
      <c r="CO22" s="602"/>
      <c r="CP22" s="601"/>
      <c r="CQ22" s="602"/>
      <c r="CR22" s="601"/>
      <c r="CS22" s="602"/>
      <c r="CT22" s="601"/>
      <c r="CU22" s="602"/>
      <c r="CV22" s="601"/>
      <c r="CW22" s="602"/>
      <c r="CX22" s="601"/>
      <c r="CY22" s="602"/>
      <c r="CZ22" s="601"/>
      <c r="DA22" s="602"/>
      <c r="DB22" s="601"/>
      <c r="DC22" s="602"/>
      <c r="DD22" s="601"/>
      <c r="DE22" s="602"/>
      <c r="DF22" s="601"/>
      <c r="DG22" s="602"/>
      <c r="DH22" s="601"/>
      <c r="DI22" s="602"/>
      <c r="DJ22" s="601"/>
      <c r="DK22" s="602"/>
      <c r="DL22" s="601"/>
      <c r="DM22" s="602"/>
      <c r="DN22" s="601"/>
      <c r="DO22" s="602"/>
      <c r="DP22" s="601"/>
      <c r="DQ22" s="602"/>
      <c r="DR22" s="601"/>
      <c r="DS22" s="602"/>
      <c r="DT22" s="601"/>
      <c r="DU22" s="602"/>
      <c r="DV22" s="601"/>
      <c r="DW22" s="602"/>
      <c r="DX22" s="601"/>
      <c r="DY22" s="602"/>
      <c r="DZ22" s="601"/>
      <c r="EA22" s="602"/>
      <c r="EB22" s="601"/>
      <c r="EC22" s="602"/>
      <c r="ED22" s="601"/>
      <c r="EE22" s="602"/>
      <c r="EF22" s="601"/>
      <c r="EG22" s="602"/>
      <c r="EH22" s="601"/>
      <c r="EI22" s="602"/>
      <c r="EJ22" s="601"/>
      <c r="EK22" s="602"/>
      <c r="EL22" s="601"/>
      <c r="EM22" s="602"/>
      <c r="EN22" s="601"/>
      <c r="EO22" s="602"/>
      <c r="EP22" s="601"/>
      <c r="EQ22" s="602">
        <f t="shared" ref="EQ22:EW22" si="128">IF($B$6=1,EQ21,IF($B$6=2,EQ21+EQ760,IF($B$6=3,EQ21+EQ761)))</f>
        <v>-1.2</v>
      </c>
      <c r="ER22" s="601"/>
      <c r="ES22" s="602">
        <f t="shared" si="128"/>
        <v>2</v>
      </c>
      <c r="ET22" s="601"/>
      <c r="EU22" s="602">
        <f t="shared" si="128"/>
        <v>2</v>
      </c>
      <c r="EV22" s="601"/>
      <c r="EW22" s="602">
        <f t="shared" si="128"/>
        <v>2</v>
      </c>
      <c r="EX22" s="601"/>
      <c r="EY22" s="603"/>
      <c r="EZ22" s="558"/>
      <c r="FA22" s="603"/>
      <c r="FB22" s="600"/>
      <c r="FC22" s="601"/>
      <c r="FD22" s="600"/>
      <c r="FE22" s="601"/>
      <c r="FF22" s="600"/>
      <c r="FG22" s="601"/>
      <c r="FH22" s="600"/>
      <c r="FI22" s="601"/>
      <c r="FJ22" s="600"/>
      <c r="FK22" s="601"/>
      <c r="FL22" s="604"/>
      <c r="FM22" s="601"/>
      <c r="FN22" s="604"/>
      <c r="FO22" s="601"/>
      <c r="FP22" s="600"/>
      <c r="FQ22" s="601"/>
      <c r="FR22" s="600"/>
      <c r="FS22" s="601"/>
      <c r="FT22" s="600"/>
      <c r="FU22" s="601"/>
      <c r="FV22" s="600"/>
      <c r="FW22" s="601"/>
      <c r="FX22" s="600"/>
      <c r="FY22" s="601"/>
      <c r="FZ22" s="600"/>
      <c r="GA22" s="601"/>
      <c r="GB22" s="600"/>
      <c r="GC22" s="601"/>
      <c r="GD22" s="600"/>
      <c r="GE22" s="601"/>
      <c r="GF22" s="600"/>
      <c r="GG22" s="601"/>
      <c r="GH22" s="600"/>
      <c r="GI22" s="601"/>
      <c r="GJ22" s="602"/>
      <c r="GK22" s="601"/>
      <c r="GL22" s="602"/>
      <c r="GM22" s="601"/>
      <c r="GN22" s="602"/>
      <c r="GO22" s="601"/>
      <c r="GP22" s="602"/>
      <c r="GQ22" s="601"/>
      <c r="GR22" s="602">
        <f>IF($B$6=1,GR21,IF($B$6=2,GR21+GR760,IF($B$6=3,GR21+GR761)))</f>
        <v>8</v>
      </c>
      <c r="GS22" s="601"/>
      <c r="GT22" s="602">
        <f>IF($B$6=1,GT21,IF($B$6=2,GT21+GT760,IF($B$6=3,GT21+GT761)))</f>
        <v>8</v>
      </c>
      <c r="GU22" s="601"/>
      <c r="GV22" s="602">
        <f>IF($B$6=1,GV21,IF($B$6=2,GV21+GV760,IF($B$6=3,GV21+GV761)))</f>
        <v>8</v>
      </c>
      <c r="GW22" s="601"/>
      <c r="GX22" s="602">
        <f>IF($B$6=1,GX21,IF($B$6=2,GX21+GX760,IF($B$6=3,GX21+GX761)))</f>
        <v>8</v>
      </c>
      <c r="GY22" s="601"/>
      <c r="GZ22" s="601"/>
      <c r="HA22" s="601"/>
      <c r="HB22" s="605"/>
      <c r="HC22"/>
      <c r="HD22"/>
      <c r="HE22"/>
      <c r="HF22"/>
      <c r="HG22"/>
      <c r="HH22"/>
    </row>
    <row r="23" spans="1:216" s="321" customFormat="1" ht="12.75" hidden="1" customHeight="1" outlineLevel="1" x14ac:dyDescent="0.2">
      <c r="A23" s="584"/>
      <c r="B23" s="339" t="s">
        <v>503</v>
      </c>
      <c r="C23" s="585"/>
      <c r="D23" s="586"/>
      <c r="E23" s="585"/>
      <c r="F23" s="586"/>
      <c r="G23" s="585"/>
      <c r="H23" s="586"/>
      <c r="I23" s="585"/>
      <c r="J23" s="586"/>
      <c r="K23" s="585"/>
      <c r="L23" s="586"/>
      <c r="M23" s="585"/>
      <c r="N23" s="586"/>
      <c r="O23" s="585"/>
      <c r="P23" s="586"/>
      <c r="Q23" s="585"/>
      <c r="R23" s="586"/>
      <c r="S23" s="585"/>
      <c r="T23" s="586"/>
      <c r="U23" s="585"/>
      <c r="V23" s="586"/>
      <c r="W23" s="585"/>
      <c r="X23" s="586"/>
      <c r="Y23" s="585"/>
      <c r="Z23" s="586"/>
      <c r="AA23" s="585"/>
      <c r="AB23" s="586"/>
      <c r="AC23" s="585"/>
      <c r="AD23" s="586"/>
      <c r="AE23" s="585"/>
      <c r="AF23" s="586"/>
      <c r="AG23" s="585"/>
      <c r="AH23" s="586"/>
      <c r="AI23" s="585"/>
      <c r="AJ23" s="586"/>
      <c r="AK23" s="585"/>
      <c r="AL23" s="586"/>
      <c r="AM23" s="585"/>
      <c r="AN23" s="586"/>
      <c r="AO23" s="585"/>
      <c r="AP23" s="586"/>
      <c r="AQ23" s="585"/>
      <c r="AR23" s="324"/>
      <c r="AS23" s="585"/>
      <c r="AT23" s="586"/>
      <c r="AU23" s="585"/>
      <c r="AV23" s="586"/>
      <c r="AW23" s="585"/>
      <c r="AX23" s="324"/>
      <c r="AY23" s="606">
        <v>3.7283089231362698</v>
      </c>
      <c r="AZ23" s="335"/>
      <c r="BA23" s="606">
        <v>-1.9021726328686039</v>
      </c>
      <c r="BB23" s="607"/>
      <c r="BC23" s="606">
        <v>5.1684695323571006</v>
      </c>
      <c r="BD23" s="607"/>
      <c r="BE23" s="606">
        <v>6.1721305664655945</v>
      </c>
      <c r="BF23" s="607"/>
      <c r="BG23" s="606">
        <v>0.18046953808017463</v>
      </c>
      <c r="BH23" s="335"/>
      <c r="BI23" s="606">
        <v>5.8056392470503315</v>
      </c>
      <c r="BJ23" s="335"/>
      <c r="BK23" s="606">
        <v>1.5565305189430667</v>
      </c>
      <c r="BL23" s="335"/>
      <c r="BM23" s="606">
        <v>-5.0858355421754542</v>
      </c>
      <c r="BN23" s="335"/>
      <c r="BO23" s="606">
        <v>-9.9199045138729236</v>
      </c>
      <c r="BP23" s="335"/>
      <c r="BQ23" s="606">
        <v>-6.5816170138230046</v>
      </c>
      <c r="BR23" s="335"/>
      <c r="BS23" s="606">
        <v>-9.2265290201432819</v>
      </c>
      <c r="BT23" s="335"/>
      <c r="BU23" s="606">
        <v>-22.204603240456787</v>
      </c>
      <c r="BV23" s="335"/>
      <c r="BW23" s="606">
        <v>-11.667602485938378</v>
      </c>
      <c r="BX23" s="335"/>
      <c r="BY23" s="606">
        <v>13.346267765178554</v>
      </c>
      <c r="BZ23" s="335"/>
      <c r="CA23" s="606">
        <v>14.485620869785819</v>
      </c>
      <c r="CB23" s="335"/>
      <c r="CC23" s="606">
        <v>8.2779053530033906</v>
      </c>
      <c r="CD23" s="335"/>
      <c r="CE23" s="606">
        <v>4.8722181752504978</v>
      </c>
      <c r="CF23" s="335"/>
      <c r="CG23" s="606">
        <v>-12.510815084527206</v>
      </c>
      <c r="CH23" s="335"/>
      <c r="CI23" s="606">
        <v>11.079758128012141</v>
      </c>
      <c r="CJ23" s="335"/>
      <c r="CK23" s="606">
        <v>9.7187238274706758</v>
      </c>
      <c r="CL23" s="335"/>
      <c r="CM23" s="606">
        <v>5.4220607981664726</v>
      </c>
      <c r="CN23" s="335"/>
      <c r="CO23" s="606">
        <v>-0.88336923319399796</v>
      </c>
      <c r="CP23" s="335"/>
      <c r="CQ23" s="606">
        <v>-15.544872991109749</v>
      </c>
      <c r="CR23" s="335"/>
      <c r="CS23" s="606">
        <v>11.152348376376576</v>
      </c>
      <c r="CT23" s="335"/>
      <c r="CU23" s="606">
        <v>11.996669210931078</v>
      </c>
      <c r="CV23" s="335"/>
      <c r="CW23" s="606">
        <v>-3.2879649548801182</v>
      </c>
      <c r="CX23" s="335"/>
      <c r="CY23" s="606">
        <v>5.7636401010160432</v>
      </c>
      <c r="CZ23" s="607"/>
      <c r="DA23" s="606">
        <v>-1.4</v>
      </c>
      <c r="DB23" s="324"/>
      <c r="DC23" s="606">
        <v>11.996669210931078</v>
      </c>
      <c r="DD23" s="324"/>
      <c r="DE23" s="606">
        <v>2.4</v>
      </c>
      <c r="DF23" s="324"/>
      <c r="DG23" s="606">
        <v>4.0999999999999996</v>
      </c>
      <c r="DH23" s="324"/>
      <c r="DI23" s="606">
        <v>9.86</v>
      </c>
      <c r="DJ23" s="324"/>
      <c r="DK23" s="606">
        <v>1.2973663841116645</v>
      </c>
      <c r="DL23" s="324"/>
      <c r="DM23" s="606">
        <v>3.9623132040299991</v>
      </c>
      <c r="DN23" s="606"/>
      <c r="DO23" s="606">
        <v>-5.220136887080784E-2</v>
      </c>
      <c r="DP23" s="606"/>
      <c r="DQ23" s="606">
        <v>5.7929461092613099</v>
      </c>
      <c r="DR23" s="606"/>
      <c r="DS23" s="606">
        <v>0.4</v>
      </c>
      <c r="DT23" s="324"/>
      <c r="DU23" s="606">
        <v>0.4</v>
      </c>
      <c r="DV23" s="324"/>
      <c r="DW23" s="606">
        <v>-7.5762339825360296</v>
      </c>
      <c r="DX23" s="324"/>
      <c r="DY23" s="608">
        <v>6.2438329076438093</v>
      </c>
      <c r="DZ23" s="324"/>
      <c r="EA23" s="606">
        <v>0.7730168204546084</v>
      </c>
      <c r="EB23" s="324"/>
      <c r="EC23" s="606">
        <v>1.2582185526894829</v>
      </c>
      <c r="ED23" s="324"/>
      <c r="EE23" s="606">
        <v>3.1061033310349817</v>
      </c>
      <c r="EF23" s="324"/>
      <c r="EG23" s="606">
        <v>3.2542121833731175</v>
      </c>
      <c r="EH23" s="324"/>
      <c r="EI23" s="606">
        <v>5.5336986521396625</v>
      </c>
      <c r="EJ23" s="324"/>
      <c r="EK23" s="606">
        <v>2.5686496918805535</v>
      </c>
      <c r="EL23" s="324"/>
      <c r="EM23" s="606">
        <v>3.6</v>
      </c>
      <c r="EN23" s="324"/>
      <c r="EO23" s="606">
        <v>6.68</v>
      </c>
      <c r="EP23" s="324"/>
      <c r="EQ23" s="608">
        <f t="shared" ref="EQ23:EW23" si="129">EQ22</f>
        <v>-1.2</v>
      </c>
      <c r="ER23" s="324"/>
      <c r="ES23" s="608">
        <f t="shared" si="129"/>
        <v>2</v>
      </c>
      <c r="ET23" s="324"/>
      <c r="EU23" s="608">
        <f t="shared" si="129"/>
        <v>2</v>
      </c>
      <c r="EV23" s="324"/>
      <c r="EW23" s="608">
        <f t="shared" si="129"/>
        <v>2</v>
      </c>
      <c r="EX23" s="324"/>
      <c r="EY23" s="588"/>
      <c r="EZ23" s="558"/>
      <c r="FA23" s="588"/>
      <c r="FB23" s="587"/>
      <c r="FC23" s="588"/>
      <c r="FD23" s="587"/>
      <c r="FE23" s="588"/>
      <c r="FF23" s="589"/>
      <c r="FG23" s="588"/>
      <c r="FH23" s="589"/>
      <c r="FI23" s="588"/>
      <c r="FJ23" s="589"/>
      <c r="FK23" s="588"/>
      <c r="FL23" s="587"/>
      <c r="FM23" s="588"/>
      <c r="FN23" s="587"/>
      <c r="FO23" s="588"/>
      <c r="FP23" s="587"/>
      <c r="FQ23" s="590"/>
      <c r="FR23" s="587"/>
      <c r="FS23" s="590"/>
      <c r="FT23" s="587"/>
      <c r="FU23" s="590"/>
      <c r="FV23" s="587"/>
      <c r="FW23" s="590"/>
      <c r="FX23" s="587"/>
      <c r="FY23" s="590"/>
      <c r="FZ23" s="587"/>
      <c r="GA23" s="590"/>
      <c r="GB23" s="587"/>
      <c r="GC23" s="590"/>
      <c r="GD23" s="587"/>
      <c r="GE23" s="590"/>
      <c r="GF23" s="587"/>
      <c r="GG23" s="590"/>
      <c r="GH23" s="587"/>
      <c r="GI23" s="590"/>
      <c r="GJ23" s="597"/>
      <c r="GK23" s="590"/>
      <c r="GL23" s="597"/>
      <c r="GM23" s="590"/>
      <c r="GN23" s="597"/>
      <c r="GO23" s="590"/>
      <c r="GP23" s="597"/>
      <c r="GQ23" s="590"/>
      <c r="GR23" s="597">
        <f>GR21</f>
        <v>8</v>
      </c>
      <c r="GS23" s="590"/>
      <c r="GT23" s="597">
        <f>GT21</f>
        <v>8</v>
      </c>
      <c r="GU23" s="590"/>
      <c r="GV23" s="597">
        <f>GV21</f>
        <v>8</v>
      </c>
      <c r="GW23" s="590"/>
      <c r="GX23" s="597">
        <f>GX21</f>
        <v>8</v>
      </c>
      <c r="GY23" s="590"/>
      <c r="GZ23" s="324"/>
      <c r="HA23" s="324"/>
      <c r="HB23" s="579"/>
      <c r="HC23"/>
      <c r="HD23"/>
      <c r="HE23"/>
      <c r="HF23"/>
      <c r="HG23"/>
      <c r="HH23"/>
    </row>
    <row r="24" spans="1:216" s="623" customFormat="1" ht="12.75" customHeight="1" collapsed="1" x14ac:dyDescent="0.2">
      <c r="B24" s="624" t="s">
        <v>618</v>
      </c>
      <c r="C24" s="625"/>
      <c r="D24" s="626"/>
      <c r="E24" s="625"/>
      <c r="F24" s="625"/>
      <c r="G24" s="625"/>
      <c r="H24" s="625"/>
      <c r="I24" s="625"/>
      <c r="J24" s="625"/>
      <c r="K24" s="625"/>
      <c r="L24" s="627"/>
      <c r="M24" s="625"/>
      <c r="N24" s="627"/>
      <c r="O24" s="625"/>
      <c r="P24" s="627"/>
      <c r="Q24" s="625"/>
      <c r="R24" s="627"/>
      <c r="S24" s="625"/>
      <c r="T24" s="627"/>
      <c r="U24" s="625"/>
      <c r="V24" s="627"/>
      <c r="W24" s="625"/>
      <c r="X24" s="627"/>
      <c r="Y24" s="625"/>
      <c r="Z24" s="627"/>
      <c r="AA24" s="625"/>
      <c r="AB24" s="627"/>
      <c r="AC24" s="625"/>
      <c r="AD24" s="627"/>
      <c r="AE24" s="625"/>
      <c r="AF24" s="627"/>
      <c r="AG24" s="625"/>
      <c r="AH24" s="627"/>
      <c r="AI24" s="625"/>
      <c r="AJ24" s="627"/>
      <c r="AK24" s="625"/>
      <c r="AL24" s="627"/>
      <c r="AM24" s="625"/>
      <c r="AN24" s="627"/>
      <c r="AO24" s="625"/>
      <c r="AP24" s="627"/>
      <c r="AQ24" s="625"/>
      <c r="AR24" s="627"/>
      <c r="AS24" s="625"/>
      <c r="AT24" s="627"/>
      <c r="AU24" s="625"/>
      <c r="AV24" s="627"/>
      <c r="AW24" s="625"/>
      <c r="AX24" s="627"/>
      <c r="AY24" s="625"/>
      <c r="AZ24" s="627"/>
      <c r="BA24" s="625"/>
      <c r="BB24" s="627"/>
      <c r="BC24" s="625"/>
      <c r="BD24" s="627"/>
      <c r="BE24" s="625"/>
      <c r="BF24" s="627"/>
      <c r="BG24" s="625"/>
      <c r="BH24" s="627"/>
      <c r="BI24" s="625"/>
      <c r="BJ24" s="627"/>
      <c r="BK24" s="625"/>
      <c r="BL24" s="627"/>
      <c r="BM24" s="625"/>
      <c r="BN24" s="627"/>
      <c r="BO24" s="625"/>
      <c r="BP24" s="627"/>
      <c r="BQ24" s="625"/>
      <c r="BR24" s="627"/>
      <c r="BS24" s="625"/>
      <c r="BT24" s="627"/>
      <c r="BU24" s="625"/>
      <c r="BV24" s="627"/>
      <c r="BW24" s="625"/>
      <c r="BX24" s="627"/>
      <c r="BY24" s="625"/>
      <c r="BZ24" s="627"/>
      <c r="CA24" s="625"/>
      <c r="CB24" s="627"/>
      <c r="CC24" s="625"/>
      <c r="CD24" s="627"/>
      <c r="CE24" s="625"/>
      <c r="CF24" s="627"/>
      <c r="CG24" s="625"/>
      <c r="CH24" s="627"/>
      <c r="CI24" s="625"/>
      <c r="CJ24" s="627"/>
      <c r="CK24" s="625"/>
      <c r="CL24" s="627"/>
      <c r="CM24" s="625"/>
      <c r="CN24" s="627"/>
      <c r="CO24" s="625"/>
      <c r="CP24" s="627"/>
      <c r="CQ24" s="625"/>
      <c r="CR24" s="627"/>
      <c r="CS24" s="625"/>
      <c r="CT24" s="627"/>
      <c r="CU24" s="625"/>
      <c r="CV24" s="627"/>
      <c r="CW24" s="625"/>
      <c r="CX24" s="627"/>
      <c r="CY24" s="625"/>
      <c r="CZ24" s="627"/>
      <c r="DA24" s="625"/>
      <c r="DB24" s="627"/>
      <c r="DC24" s="625"/>
      <c r="DD24" s="627"/>
      <c r="DE24" s="625"/>
      <c r="DF24" s="627"/>
      <c r="DG24" s="625"/>
      <c r="DH24" s="627"/>
      <c r="DI24" s="625"/>
      <c r="DJ24" s="627"/>
      <c r="DK24" s="625"/>
      <c r="DL24" s="627"/>
      <c r="DM24" s="625"/>
      <c r="DN24" s="627"/>
      <c r="DO24" s="625"/>
      <c r="DP24" s="627"/>
      <c r="DQ24" s="625"/>
      <c r="DR24" s="627"/>
      <c r="DS24" s="625"/>
      <c r="DT24" s="627"/>
      <c r="DU24" s="625"/>
      <c r="DV24" s="627"/>
      <c r="DW24" s="625"/>
      <c r="DX24" s="627"/>
      <c r="DY24" s="625"/>
      <c r="DZ24" s="627"/>
      <c r="EA24" s="625"/>
      <c r="EB24" s="627"/>
      <c r="EC24" s="625"/>
      <c r="ED24" s="627"/>
      <c r="EE24" s="625"/>
      <c r="EF24" s="627"/>
      <c r="EG24" s="625"/>
      <c r="EH24" s="627"/>
      <c r="EI24" s="625"/>
      <c r="EJ24" s="627"/>
      <c r="EK24" s="625"/>
      <c r="EL24" s="627"/>
      <c r="EM24" s="625"/>
      <c r="EN24" s="627"/>
      <c r="EO24" s="625"/>
      <c r="EP24" s="627"/>
      <c r="EQ24" s="625"/>
      <c r="ER24" s="627"/>
      <c r="ES24" s="625"/>
      <c r="ET24" s="627"/>
      <c r="EU24" s="625"/>
      <c r="EV24" s="627"/>
      <c r="EW24" s="625"/>
      <c r="EX24" s="627"/>
      <c r="EY24" s="628"/>
      <c r="EZ24" s="558"/>
      <c r="FA24" s="628"/>
      <c r="FB24" s="625"/>
      <c r="FC24" s="625"/>
      <c r="FD24" s="625"/>
      <c r="FE24" s="626"/>
      <c r="FF24" s="625"/>
      <c r="FG24" s="626"/>
      <c r="FH24" s="625"/>
      <c r="FI24" s="626"/>
      <c r="FJ24" s="625"/>
      <c r="FK24" s="626"/>
      <c r="FL24" s="625"/>
      <c r="FM24" s="627"/>
      <c r="FN24" s="625"/>
      <c r="FO24" s="627"/>
      <c r="FP24" s="625"/>
      <c r="FQ24" s="627"/>
      <c r="FR24" s="625"/>
      <c r="FS24" s="627"/>
      <c r="FT24" s="625"/>
      <c r="FU24" s="627"/>
      <c r="FV24" s="625"/>
      <c r="FW24" s="627"/>
      <c r="FX24" s="625"/>
      <c r="FY24" s="627"/>
      <c r="FZ24" s="625"/>
      <c r="GA24" s="627"/>
      <c r="GB24" s="625"/>
      <c r="GC24" s="627"/>
      <c r="GD24" s="625"/>
      <c r="GE24" s="627"/>
      <c r="GF24" s="625"/>
      <c r="GG24" s="627"/>
      <c r="GH24" s="625"/>
      <c r="GI24" s="627"/>
      <c r="GJ24" s="625"/>
      <c r="GK24" s="627"/>
      <c r="GL24" s="625"/>
      <c r="GM24" s="627"/>
      <c r="GN24" s="625"/>
      <c r="GO24" s="627"/>
      <c r="GP24" s="625"/>
      <c r="GQ24" s="627"/>
      <c r="GR24" s="625"/>
      <c r="GS24" s="627"/>
      <c r="GT24" s="625"/>
      <c r="GU24" s="627"/>
      <c r="GV24" s="625"/>
      <c r="GW24" s="627"/>
      <c r="GX24" s="625"/>
      <c r="GY24" s="627"/>
      <c r="GZ24" s="627"/>
      <c r="HA24" s="627"/>
      <c r="HB24" s="629"/>
      <c r="HC24"/>
      <c r="HD24"/>
      <c r="HE24"/>
      <c r="HF24"/>
      <c r="HG24"/>
      <c r="HH24"/>
    </row>
    <row r="25" spans="1:216" s="5" customFormat="1" ht="12.75" customHeight="1" x14ac:dyDescent="0.2">
      <c r="B25" s="58"/>
      <c r="C25" s="59"/>
      <c r="D25" s="60"/>
      <c r="E25" s="59"/>
      <c r="F25" s="59"/>
      <c r="G25" s="59"/>
      <c r="H25" s="59"/>
      <c r="I25" s="59"/>
      <c r="J25" s="59"/>
      <c r="K25" s="59"/>
      <c r="L25" s="61"/>
      <c r="M25" s="59"/>
      <c r="N25" s="61"/>
      <c r="O25" s="59"/>
      <c r="P25" s="61"/>
      <c r="Q25" s="59"/>
      <c r="R25" s="61"/>
      <c r="S25" s="59"/>
      <c r="T25" s="61"/>
      <c r="U25" s="59"/>
      <c r="V25" s="61"/>
      <c r="W25" s="59"/>
      <c r="X25" s="61"/>
      <c r="Y25" s="59"/>
      <c r="Z25" s="61"/>
      <c r="AA25" s="59"/>
      <c r="AB25" s="61"/>
      <c r="AC25" s="59"/>
      <c r="AD25" s="61"/>
      <c r="AE25" s="59"/>
      <c r="AF25" s="61"/>
      <c r="AG25" s="59"/>
      <c r="AH25" s="61"/>
      <c r="AI25" s="59"/>
      <c r="AJ25" s="61"/>
      <c r="AK25" s="59"/>
      <c r="AL25" s="61"/>
      <c r="AM25" s="59"/>
      <c r="AN25" s="61"/>
      <c r="AO25" s="59"/>
      <c r="AP25" s="61"/>
      <c r="AQ25" s="59"/>
      <c r="AR25" s="61"/>
      <c r="AS25" s="59"/>
      <c r="AT25" s="61"/>
      <c r="AU25" s="59"/>
      <c r="AV25" s="61"/>
      <c r="AW25" s="59"/>
      <c r="AX25" s="61"/>
      <c r="AY25" s="59"/>
      <c r="AZ25" s="61"/>
      <c r="BA25" s="59"/>
      <c r="BB25" s="61"/>
      <c r="BC25" s="59"/>
      <c r="BD25" s="61"/>
      <c r="BE25" s="59"/>
      <c r="BF25" s="61"/>
      <c r="BG25" s="59"/>
      <c r="BH25" s="61"/>
      <c r="BI25" s="59"/>
      <c r="BJ25" s="61"/>
      <c r="BK25" s="59"/>
      <c r="BL25" s="61"/>
      <c r="BM25" s="59"/>
      <c r="BN25" s="61"/>
      <c r="BO25" s="59"/>
      <c r="BP25" s="61"/>
      <c r="BQ25" s="59"/>
      <c r="BR25" s="61"/>
      <c r="BS25" s="59"/>
      <c r="BT25" s="61"/>
      <c r="BU25" s="59"/>
      <c r="BV25" s="61"/>
      <c r="BW25" s="59"/>
      <c r="BX25" s="61"/>
      <c r="BY25" s="59"/>
      <c r="BZ25" s="61"/>
      <c r="CA25" s="59"/>
      <c r="CB25" s="61"/>
      <c r="CC25" s="59"/>
      <c r="CD25" s="61"/>
      <c r="CE25" s="59"/>
      <c r="CF25" s="61"/>
      <c r="CG25" s="59"/>
      <c r="CH25" s="61"/>
      <c r="CI25" s="59"/>
      <c r="CJ25" s="61"/>
      <c r="CK25" s="59"/>
      <c r="CL25" s="61"/>
      <c r="CM25" s="59"/>
      <c r="CN25" s="61"/>
      <c r="CO25" s="59"/>
      <c r="CP25" s="61"/>
      <c r="CQ25" s="59"/>
      <c r="CR25" s="61"/>
      <c r="CS25" s="59"/>
      <c r="CT25" s="61"/>
      <c r="CU25" s="59"/>
      <c r="CV25" s="61"/>
      <c r="CW25" s="59"/>
      <c r="CX25" s="61"/>
      <c r="CY25" s="59"/>
      <c r="CZ25" s="61"/>
      <c r="DA25" s="59"/>
      <c r="DB25" s="61"/>
      <c r="DC25" s="59"/>
      <c r="DD25" s="61"/>
      <c r="DE25" s="59"/>
      <c r="DF25" s="61"/>
      <c r="DG25" s="59"/>
      <c r="DH25" s="61"/>
      <c r="DI25" s="59"/>
      <c r="DJ25" s="61"/>
      <c r="DK25" s="59"/>
      <c r="DL25" s="61"/>
      <c r="DM25" s="59"/>
      <c r="DN25" s="61"/>
      <c r="DO25" s="59"/>
      <c r="DP25" s="61"/>
      <c r="DQ25" s="59"/>
      <c r="DR25" s="61"/>
      <c r="DS25" s="59"/>
      <c r="DT25" s="61"/>
      <c r="DU25" s="59"/>
      <c r="DV25" s="61"/>
      <c r="DW25" s="59"/>
      <c r="DX25" s="61"/>
      <c r="DY25" s="59"/>
      <c r="DZ25" s="61"/>
      <c r="EA25" s="59"/>
      <c r="EB25" s="61"/>
      <c r="EC25" s="59"/>
      <c r="ED25" s="61"/>
      <c r="EE25" s="59"/>
      <c r="EF25" s="61"/>
      <c r="EG25" s="59"/>
      <c r="EH25" s="61"/>
      <c r="EI25" s="59"/>
      <c r="EJ25" s="61"/>
      <c r="EK25" s="59"/>
      <c r="EL25" s="61"/>
      <c r="EM25" s="59"/>
      <c r="EN25" s="61"/>
      <c r="EO25" s="59"/>
      <c r="EP25" s="61"/>
      <c r="EQ25" s="59"/>
      <c r="ER25" s="61"/>
      <c r="ES25" s="59"/>
      <c r="ET25" s="61"/>
      <c r="EU25" s="59"/>
      <c r="EV25" s="61"/>
      <c r="EW25" s="59"/>
      <c r="EX25" s="61"/>
      <c r="EY25" s="59"/>
      <c r="EZ25" s="558"/>
      <c r="FA25" s="59"/>
      <c r="FB25" s="59"/>
      <c r="FC25" s="59"/>
      <c r="FD25" s="59"/>
      <c r="FE25" s="60"/>
      <c r="FF25" s="59"/>
      <c r="FG25" s="60"/>
      <c r="FH25" s="59"/>
      <c r="FI25" s="60"/>
      <c r="FJ25" s="59"/>
      <c r="FK25" s="60"/>
      <c r="FL25" s="59"/>
      <c r="FM25" s="61"/>
      <c r="FN25" s="59"/>
      <c r="FO25" s="61"/>
      <c r="FP25" s="62"/>
      <c r="FQ25" s="61"/>
      <c r="FR25" s="62"/>
      <c r="FS25" s="61"/>
      <c r="FT25" s="62"/>
      <c r="FU25" s="61"/>
      <c r="FV25" s="62"/>
      <c r="FW25" s="61"/>
      <c r="FX25" s="62"/>
      <c r="FY25" s="61"/>
      <c r="FZ25" s="62"/>
      <c r="GA25" s="61"/>
      <c r="GB25" s="62"/>
      <c r="GC25" s="61"/>
      <c r="GD25" s="62"/>
      <c r="GE25" s="61"/>
      <c r="GF25" s="62"/>
      <c r="GG25" s="61"/>
      <c r="GH25" s="62"/>
      <c r="GI25" s="61"/>
      <c r="GJ25" s="62"/>
      <c r="GK25" s="61"/>
      <c r="GL25" s="62"/>
      <c r="GM25" s="61"/>
      <c r="GN25" s="62"/>
      <c r="GO25" s="61"/>
      <c r="GP25" s="62"/>
      <c r="GQ25" s="61"/>
      <c r="GR25" s="59"/>
      <c r="GS25" s="61"/>
      <c r="GT25" s="59"/>
      <c r="GU25" s="61"/>
      <c r="GV25" s="59"/>
      <c r="GW25" s="61"/>
      <c r="GX25" s="59"/>
      <c r="GY25" s="61"/>
      <c r="GZ25" s="61"/>
      <c r="HA25" s="61"/>
      <c r="HB25" s="452"/>
      <c r="HC25"/>
      <c r="HD25"/>
      <c r="HE25"/>
      <c r="HF25"/>
      <c r="HG25"/>
      <c r="HH25"/>
    </row>
    <row r="26" spans="1:216" s="5" customFormat="1" ht="12.75" customHeight="1" x14ac:dyDescent="0.2">
      <c r="B26" s="63" t="s">
        <v>239</v>
      </c>
      <c r="C26" s="59"/>
      <c r="D26" s="60"/>
      <c r="E26" s="59"/>
      <c r="F26" s="59"/>
      <c r="G26" s="64"/>
      <c r="H26" s="59"/>
      <c r="I26" s="64"/>
      <c r="J26" s="59"/>
      <c r="K26" s="64"/>
      <c r="L26" s="61"/>
      <c r="M26" s="59"/>
      <c r="N26" s="61"/>
      <c r="O26" s="64"/>
      <c r="P26" s="61"/>
      <c r="Q26" s="64"/>
      <c r="R26" s="61"/>
      <c r="S26" s="64"/>
      <c r="T26" s="61"/>
      <c r="U26" s="64"/>
      <c r="V26" s="61"/>
      <c r="W26" s="64"/>
      <c r="X26" s="61"/>
      <c r="Y26" s="64"/>
      <c r="Z26" s="61"/>
      <c r="AA26" s="64"/>
      <c r="AB26" s="61"/>
      <c r="AC26" s="64"/>
      <c r="AD26" s="61"/>
      <c r="AE26" s="64"/>
      <c r="AF26" s="61"/>
      <c r="AG26" s="64"/>
      <c r="AH26" s="61"/>
      <c r="AI26" s="64"/>
      <c r="AJ26" s="61"/>
      <c r="AK26" s="64"/>
      <c r="AL26" s="61"/>
      <c r="AM26" s="64"/>
      <c r="AN26" s="61"/>
      <c r="AO26" s="64"/>
      <c r="AP26" s="61"/>
      <c r="AQ26" s="64"/>
      <c r="AR26" s="61"/>
      <c r="AS26" s="64"/>
      <c r="AT26" s="61"/>
      <c r="AU26" s="64"/>
      <c r="AV26" s="61"/>
      <c r="AW26" s="64"/>
      <c r="AX26" s="61"/>
      <c r="AY26" s="64"/>
      <c r="AZ26" s="61"/>
      <c r="BA26" s="64"/>
      <c r="BB26" s="61"/>
      <c r="BC26" s="64"/>
      <c r="BD26" s="61"/>
      <c r="BE26" s="64"/>
      <c r="BF26" s="61"/>
      <c r="BG26" s="64"/>
      <c r="BH26" s="61"/>
      <c r="BI26" s="64"/>
      <c r="BJ26" s="61"/>
      <c r="BK26" s="64"/>
      <c r="BL26" s="61"/>
      <c r="BM26" s="64"/>
      <c r="BN26" s="61"/>
      <c r="BO26" s="64"/>
      <c r="BP26" s="61"/>
      <c r="BQ26" s="64"/>
      <c r="BR26" s="61"/>
      <c r="BS26" s="64"/>
      <c r="BT26" s="61"/>
      <c r="BU26" s="64"/>
      <c r="BV26" s="61"/>
      <c r="BW26" s="64"/>
      <c r="BX26" s="61"/>
      <c r="BY26" s="64"/>
      <c r="BZ26" s="61"/>
      <c r="CA26" s="64"/>
      <c r="CB26" s="61"/>
      <c r="CC26" s="64"/>
      <c r="CD26" s="61"/>
      <c r="CE26" s="64"/>
      <c r="CF26" s="61"/>
      <c r="CG26" s="64"/>
      <c r="CH26" s="61"/>
      <c r="CI26" s="64"/>
      <c r="CJ26" s="61"/>
      <c r="CK26" s="64"/>
      <c r="CL26" s="61"/>
      <c r="CM26" s="64"/>
      <c r="CN26" s="61"/>
      <c r="CO26" s="64"/>
      <c r="CP26" s="61"/>
      <c r="CQ26" s="64"/>
      <c r="CR26" s="61"/>
      <c r="CS26" s="64"/>
      <c r="CT26" s="61"/>
      <c r="CU26" s="64"/>
      <c r="CV26" s="61"/>
      <c r="CW26" s="64"/>
      <c r="CX26" s="61"/>
      <c r="CY26" s="64"/>
      <c r="CZ26" s="61"/>
      <c r="DA26" s="64"/>
      <c r="DB26" s="61"/>
      <c r="DC26" s="64"/>
      <c r="DD26" s="61"/>
      <c r="DE26" s="64"/>
      <c r="DF26" s="61"/>
      <c r="DG26" s="64"/>
      <c r="DH26" s="61"/>
      <c r="DI26" s="64"/>
      <c r="DJ26" s="61"/>
      <c r="DK26" s="64"/>
      <c r="DL26" s="61"/>
      <c r="DM26" s="64"/>
      <c r="DN26" s="61"/>
      <c r="DO26" s="64"/>
      <c r="DP26" s="61"/>
      <c r="DQ26" s="64"/>
      <c r="DR26" s="61"/>
      <c r="DS26" s="64"/>
      <c r="DT26" s="61"/>
      <c r="DU26" s="64"/>
      <c r="DV26" s="61"/>
      <c r="DW26" s="64"/>
      <c r="DX26" s="61"/>
      <c r="DY26" s="64"/>
      <c r="DZ26" s="61"/>
      <c r="EA26" s="64"/>
      <c r="EB26" s="61"/>
      <c r="EC26" s="64"/>
      <c r="ED26" s="61"/>
      <c r="EE26" s="64"/>
      <c r="EF26" s="61"/>
      <c r="EG26" s="64"/>
      <c r="EH26" s="61"/>
      <c r="EI26" s="64"/>
      <c r="EJ26" s="61"/>
      <c r="EK26" s="64"/>
      <c r="EL26" s="61"/>
      <c r="EM26" s="64"/>
      <c r="EN26" s="61"/>
      <c r="EO26" s="64"/>
      <c r="EP26" s="61"/>
      <c r="EQ26" s="846"/>
      <c r="ER26" s="61"/>
      <c r="ES26" s="64"/>
      <c r="ET26" s="61"/>
      <c r="EU26" s="64"/>
      <c r="EV26" s="61"/>
      <c r="EW26" s="64"/>
      <c r="EX26" s="61"/>
      <c r="EY26" s="64"/>
      <c r="EZ26" s="558"/>
      <c r="FA26" s="64"/>
      <c r="FB26" s="59"/>
      <c r="FC26" s="59"/>
      <c r="FD26" s="59"/>
      <c r="FE26" s="60"/>
      <c r="FF26" s="59"/>
      <c r="FG26" s="60"/>
      <c r="FH26" s="59"/>
      <c r="FI26" s="60"/>
      <c r="FJ26" s="59"/>
      <c r="FK26" s="60"/>
      <c r="FL26" s="59"/>
      <c r="FM26" s="61"/>
      <c r="FN26" s="59"/>
      <c r="FO26" s="61"/>
      <c r="FP26" s="65"/>
      <c r="FQ26" s="61"/>
      <c r="FR26" s="65"/>
      <c r="FS26" s="61"/>
      <c r="FT26" s="65"/>
      <c r="FU26" s="61"/>
      <c r="FV26" s="65"/>
      <c r="FW26" s="61"/>
      <c r="FX26" s="65"/>
      <c r="FY26" s="61"/>
      <c r="FZ26" s="65"/>
      <c r="GA26" s="61"/>
      <c r="GB26" s="65"/>
      <c r="GC26" s="61"/>
      <c r="GD26" s="65"/>
      <c r="GE26" s="61"/>
      <c r="GF26" s="65"/>
      <c r="GG26" s="61"/>
      <c r="GH26" s="65"/>
      <c r="GI26" s="61"/>
      <c r="GJ26" s="65"/>
      <c r="GK26" s="61"/>
      <c r="GL26" s="65"/>
      <c r="GM26" s="61"/>
      <c r="GN26" s="65"/>
      <c r="GO26" s="61"/>
      <c r="GP26" s="65"/>
      <c r="GQ26" s="61"/>
      <c r="GR26" s="64"/>
      <c r="GS26" s="61"/>
      <c r="GT26" s="64"/>
      <c r="GU26" s="61"/>
      <c r="GV26" s="64"/>
      <c r="GW26" s="61"/>
      <c r="GX26" s="64"/>
      <c r="GY26" s="61"/>
      <c r="GZ26" s="61"/>
      <c r="HA26" s="61"/>
      <c r="HB26" s="452"/>
      <c r="HC26"/>
      <c r="HD26"/>
      <c r="HE26"/>
      <c r="HF26"/>
      <c r="HG26"/>
      <c r="HH26"/>
    </row>
    <row r="27" spans="1:216" s="5" customFormat="1" ht="12.75" customHeight="1" x14ac:dyDescent="0.2">
      <c r="B27" s="119" t="s">
        <v>235</v>
      </c>
      <c r="C27" s="66"/>
      <c r="D27" s="67"/>
      <c r="E27" s="66"/>
      <c r="F27" s="66"/>
      <c r="G27" s="64"/>
      <c r="H27" s="66"/>
      <c r="I27" s="64"/>
      <c r="J27" s="66"/>
      <c r="K27" s="64"/>
      <c r="L27" s="61"/>
      <c r="M27" s="66"/>
      <c r="N27" s="61"/>
      <c r="O27" s="64"/>
      <c r="P27" s="61"/>
      <c r="Q27" s="64"/>
      <c r="R27" s="61"/>
      <c r="S27" s="64"/>
      <c r="T27" s="61"/>
      <c r="U27" s="64"/>
      <c r="V27" s="61"/>
      <c r="W27" s="64"/>
      <c r="X27" s="61"/>
      <c r="Y27" s="64"/>
      <c r="Z27" s="61"/>
      <c r="AA27" s="64"/>
      <c r="AB27" s="61"/>
      <c r="AC27" s="64"/>
      <c r="AD27" s="61"/>
      <c r="AE27" s="64"/>
      <c r="AF27" s="61"/>
      <c r="AG27" s="64"/>
      <c r="AH27" s="61"/>
      <c r="AI27" s="64"/>
      <c r="AJ27" s="61"/>
      <c r="AK27" s="64"/>
      <c r="AL27" s="61"/>
      <c r="AM27" s="64"/>
      <c r="AN27" s="61"/>
      <c r="AO27" s="64"/>
      <c r="AP27" s="61"/>
      <c r="AQ27" s="64"/>
      <c r="AR27" s="61"/>
      <c r="AS27" s="64"/>
      <c r="AT27" s="61"/>
      <c r="AU27" s="64"/>
      <c r="AV27" s="61"/>
      <c r="AW27" s="64"/>
      <c r="AX27" s="61"/>
      <c r="AY27" s="64"/>
      <c r="AZ27" s="61"/>
      <c r="BA27" s="64"/>
      <c r="BB27" s="61"/>
      <c r="BC27" s="64"/>
      <c r="BD27" s="61"/>
      <c r="BE27" s="64"/>
      <c r="BF27" s="61"/>
      <c r="BG27" s="64"/>
      <c r="BH27" s="61"/>
      <c r="BI27" s="64"/>
      <c r="BJ27" s="61"/>
      <c r="BK27" s="64"/>
      <c r="BL27" s="61"/>
      <c r="BM27" s="64"/>
      <c r="BN27" s="61"/>
      <c r="BO27" s="64"/>
      <c r="BP27" s="61"/>
      <c r="BQ27" s="64"/>
      <c r="BR27" s="61"/>
      <c r="BS27" s="64"/>
      <c r="BT27" s="61"/>
      <c r="BU27" s="64"/>
      <c r="BV27" s="61"/>
      <c r="BW27" s="64"/>
      <c r="BX27" s="61"/>
      <c r="BY27" s="64"/>
      <c r="BZ27" s="61"/>
      <c r="CA27" s="64"/>
      <c r="CB27" s="61"/>
      <c r="CC27" s="64"/>
      <c r="CD27" s="61"/>
      <c r="CE27" s="64"/>
      <c r="CF27" s="61"/>
      <c r="CG27" s="64"/>
      <c r="CH27" s="61"/>
      <c r="CI27" s="64"/>
      <c r="CJ27" s="61"/>
      <c r="CK27" s="64"/>
      <c r="CL27" s="61"/>
      <c r="CM27" s="64"/>
      <c r="CN27" s="61"/>
      <c r="CO27" s="64"/>
      <c r="CP27" s="61"/>
      <c r="CQ27" s="64"/>
      <c r="CR27" s="61"/>
      <c r="CS27" s="64"/>
      <c r="CT27" s="61"/>
      <c r="CU27" s="64"/>
      <c r="CV27" s="61"/>
      <c r="CW27" s="64"/>
      <c r="CX27" s="61"/>
      <c r="CY27" s="64"/>
      <c r="CZ27" s="61"/>
      <c r="DA27" s="64"/>
      <c r="DB27" s="61"/>
      <c r="DC27" s="64"/>
      <c r="DD27" s="61"/>
      <c r="DE27" s="64"/>
      <c r="DF27" s="61"/>
      <c r="DG27" s="64"/>
      <c r="DH27" s="61"/>
      <c r="DI27" s="64"/>
      <c r="DJ27" s="61"/>
      <c r="DK27" s="64"/>
      <c r="DL27" s="61"/>
      <c r="DM27" s="64"/>
      <c r="DN27" s="61"/>
      <c r="DO27" s="64"/>
      <c r="DP27" s="61"/>
      <c r="DQ27" s="64"/>
      <c r="DR27" s="61"/>
      <c r="DS27" s="367"/>
      <c r="DT27" s="61"/>
      <c r="DU27" s="367"/>
      <c r="DV27" s="61"/>
      <c r="DW27" s="367"/>
      <c r="DX27" s="61"/>
      <c r="DY27" s="118"/>
      <c r="DZ27" s="61"/>
      <c r="EA27" s="118"/>
      <c r="EB27" s="61"/>
      <c r="EC27" s="118"/>
      <c r="ED27" s="61"/>
      <c r="EE27" s="118"/>
      <c r="EF27" s="61"/>
      <c r="EG27" s="118"/>
      <c r="EH27" s="61"/>
      <c r="EI27" s="118"/>
      <c r="EJ27" s="61"/>
      <c r="EK27" s="118"/>
      <c r="EL27" s="61"/>
      <c r="EM27" s="118"/>
      <c r="EN27" s="61"/>
      <c r="EO27" s="118"/>
      <c r="EP27" s="61"/>
      <c r="EQ27" s="118"/>
      <c r="ER27" s="61"/>
      <c r="ES27" s="118"/>
      <c r="ET27" s="61"/>
      <c r="EU27" s="118"/>
      <c r="EV27" s="61"/>
      <c r="EW27" s="118"/>
      <c r="EX27" s="61"/>
      <c r="EY27" s="64"/>
      <c r="EZ27" s="558"/>
      <c r="FA27" s="64"/>
      <c r="FB27" s="66"/>
      <c r="FC27" s="66"/>
      <c r="FD27" s="66"/>
      <c r="FE27" s="67"/>
      <c r="FF27" s="66"/>
      <c r="FG27" s="67"/>
      <c r="FH27" s="66"/>
      <c r="FI27" s="67"/>
      <c r="FJ27" s="66"/>
      <c r="FK27" s="67"/>
      <c r="FL27" s="66"/>
      <c r="FM27" s="61"/>
      <c r="FN27" s="66"/>
      <c r="FO27" s="61"/>
      <c r="FP27" s="65"/>
      <c r="FQ27" s="61"/>
      <c r="FR27" s="65"/>
      <c r="FS27" s="61"/>
      <c r="FT27" s="65"/>
      <c r="FU27" s="61"/>
      <c r="FV27" s="65"/>
      <c r="FW27" s="61"/>
      <c r="FX27" s="65"/>
      <c r="FY27" s="61"/>
      <c r="FZ27" s="65"/>
      <c r="GA27" s="61"/>
      <c r="GB27" s="65"/>
      <c r="GC27" s="61"/>
      <c r="GD27" s="65"/>
      <c r="GE27" s="61"/>
      <c r="GF27" s="65"/>
      <c r="GG27" s="61"/>
      <c r="GH27" s="65"/>
      <c r="GI27" s="61"/>
      <c r="GJ27" s="65"/>
      <c r="GK27" s="61"/>
      <c r="GL27" s="118"/>
      <c r="GM27" s="61"/>
      <c r="GN27" s="118"/>
      <c r="GO27" s="61"/>
      <c r="GP27" s="118"/>
      <c r="GQ27" s="61"/>
      <c r="GR27" s="64"/>
      <c r="GS27" s="61"/>
      <c r="GT27" s="64"/>
      <c r="GU27" s="61"/>
      <c r="GV27" s="64"/>
      <c r="GW27" s="61"/>
      <c r="GX27" s="64"/>
      <c r="GY27" s="61"/>
      <c r="GZ27" s="61"/>
      <c r="HA27" s="61"/>
      <c r="HB27" s="452"/>
      <c r="HC27"/>
      <c r="HD27"/>
      <c r="HE27"/>
      <c r="HF27"/>
      <c r="HG27"/>
      <c r="HH27"/>
    </row>
    <row r="28" spans="1:216" s="5" customFormat="1" ht="12.75" customHeight="1" x14ac:dyDescent="0.2">
      <c r="B28" s="241" t="s">
        <v>236</v>
      </c>
      <c r="C28" s="66"/>
      <c r="D28" s="67"/>
      <c r="E28" s="66"/>
      <c r="F28" s="66"/>
      <c r="G28" s="64"/>
      <c r="H28" s="66"/>
      <c r="I28" s="64"/>
      <c r="J28" s="66"/>
      <c r="K28" s="64"/>
      <c r="L28" s="61"/>
      <c r="M28" s="66"/>
      <c r="N28" s="61"/>
      <c r="O28" s="64"/>
      <c r="P28" s="61"/>
      <c r="Q28" s="64"/>
      <c r="R28" s="61"/>
      <c r="S28" s="64"/>
      <c r="T28" s="61"/>
      <c r="U28" s="64"/>
      <c r="V28" s="61"/>
      <c r="W28" s="64"/>
      <c r="X28" s="61"/>
      <c r="Y28" s="64"/>
      <c r="Z28" s="61"/>
      <c r="AA28" s="64"/>
      <c r="AB28" s="61"/>
      <c r="AC28" s="64"/>
      <c r="AD28" s="61"/>
      <c r="AE28" s="64"/>
      <c r="AF28" s="61"/>
      <c r="AG28" s="64"/>
      <c r="AH28" s="61"/>
      <c r="AI28" s="64"/>
      <c r="AJ28" s="61"/>
      <c r="AK28" s="64"/>
      <c r="AL28" s="61"/>
      <c r="AM28" s="64"/>
      <c r="AN28" s="61"/>
      <c r="AO28" s="64"/>
      <c r="AP28" s="61"/>
      <c r="AQ28" s="64"/>
      <c r="AR28" s="61"/>
      <c r="AS28" s="64"/>
      <c r="AT28" s="61"/>
      <c r="AU28" s="64"/>
      <c r="AV28" s="61"/>
      <c r="AW28" s="64"/>
      <c r="AX28" s="61"/>
      <c r="AY28" s="64"/>
      <c r="AZ28" s="61"/>
      <c r="BA28" s="64"/>
      <c r="BB28" s="61"/>
      <c r="BC28" s="64"/>
      <c r="BD28" s="61"/>
      <c r="BE28" s="64"/>
      <c r="BF28" s="61"/>
      <c r="BG28" s="74">
        <v>51782</v>
      </c>
      <c r="BH28" s="61" t="str">
        <f>IF(ISERROR((BG28/AY28-1)*100),"NA",IF(((BG28/AY28-1)*100)&gt;100,"NM",IF(((BG28/AY28-1)*100)&lt;-50,"NM",(BG28/AY28-1)*100)))</f>
        <v>NA</v>
      </c>
      <c r="BI28" s="75">
        <f>BG34</f>
        <v>53776</v>
      </c>
      <c r="BJ28" s="61" t="str">
        <f>IF(ISERROR((BI28/BA28-1)*100),"NA",IF(((BI28/BA28-1)*100)&gt;100,"NM",IF(((BI28/BA28-1)*100)&lt;-50,"NM",(BI28/BA28-1)*100)))</f>
        <v>NA</v>
      </c>
      <c r="BK28" s="75">
        <f>BI34</f>
        <v>58629</v>
      </c>
      <c r="BL28" s="61" t="str">
        <f>IF(ISERROR((BK28/BC28-1)*100),"NA",IF(((BK28/BC28-1)*100)&gt;100,"NM",IF(((BK28/BC28-1)*100)&lt;-50,"NM",(BK28/BC28-1)*100)))</f>
        <v>NA</v>
      </c>
      <c r="BM28" s="75">
        <f>BK34</f>
        <v>61764</v>
      </c>
      <c r="BN28" s="61" t="str">
        <f>IF(ISERROR((BM28/BE28-1)*100),"NA",IF(((BM28/BE28-1)*100)&gt;100,"NM",IF(((BM28/BE28-1)*100)&lt;-50,"NM",(BM28/BE28-1)*100)))</f>
        <v>NA</v>
      </c>
      <c r="BO28" s="75">
        <f>BM34</f>
        <v>62112</v>
      </c>
      <c r="BP28" s="61">
        <f>IF(ISERROR((BO28/BG28-1)*100),"NA",IF(((BO28/BG28-1)*100)&gt;100,"NM",IF(((BO28/BG28-1)*100)&lt;-50,"NM",(BO28/BG28-1)*100)))</f>
        <v>19.949017032945804</v>
      </c>
      <c r="BQ28" s="75">
        <f>BO34</f>
        <v>58435</v>
      </c>
      <c r="BR28" s="61">
        <f>IF(ISERROR((BQ28/BI28-1)*100),"NA",IF(((BQ28/BI28-1)*100)&gt;100,"NM",IF(((BQ28/BI28-1)*100)&lt;-50,"NM",(BQ28/BI28-1)*100)))</f>
        <v>8.663716155905977</v>
      </c>
      <c r="BS28" s="75">
        <f>BQ34</f>
        <v>59333</v>
      </c>
      <c r="BT28" s="61">
        <f>IF(ISERROR((BS28/BK28-1)*100),"NA",IF(((BS28/BK28-1)*100)&gt;100,"NM",IF(((BS28/BK28-1)*100)&lt;-50,"NM",(BS28/BK28-1)*100)))</f>
        <v>1.2007709495301055</v>
      </c>
      <c r="BU28" s="75">
        <f>BS34</f>
        <v>53530</v>
      </c>
      <c r="BV28" s="61">
        <f>IF(ISERROR((BU28/BM28-1)*100),"NA",IF(((BU28/BM28-1)*100)&gt;100,"NM",IF(((BU28/BM28-1)*100)&lt;-50,"NM",(BU28/BM28-1)*100)))</f>
        <v>-13.331390453986137</v>
      </c>
      <c r="BW28" s="75">
        <f>BU34</f>
        <v>44542</v>
      </c>
      <c r="BX28" s="61">
        <f>IF(ISERROR((BW28/BO28-1)*100),"NA",IF(((BW28/BO28-1)*100)&gt;100,"NM",IF(((BW28/BO28-1)*100)&lt;-50,"NM",(BW28/BO28-1)*100)))</f>
        <v>-28.287609479649667</v>
      </c>
      <c r="BY28" s="75">
        <f>BW34</f>
        <v>43000</v>
      </c>
      <c r="BZ28" s="61">
        <f>IF(ISERROR((BY28/BQ28-1)*100),"NA",IF(((BY28/BQ28-1)*100)&gt;100,"NM",IF(((BY28/BQ28-1)*100)&lt;-50,"NM",(BY28/BQ28-1)*100)))</f>
        <v>-26.413964233764009</v>
      </c>
      <c r="CA28" s="75">
        <f>BY34</f>
        <v>49422</v>
      </c>
      <c r="CB28" s="61">
        <f>IF(ISERROR((CA28/BS28-1)*100),"NA",IF(((CA28/BS28-1)*100)&gt;100,"NM",IF(((CA28/BS28-1)*100)&lt;-50,"NM",(CA28/BS28-1)*100)))</f>
        <v>-16.704026427114758</v>
      </c>
      <c r="CC28" s="75">
        <f>CA34</f>
        <v>56419</v>
      </c>
      <c r="CD28" s="61">
        <f>IF(ISERROR((CC28/BU28-1)*100),"NA",IF(((CC28/BU28-1)*100)&gt;100,"NM",IF(((CC28/BU28-1)*100)&lt;-50,"NM",(CC28/BU28-1)*100)))</f>
        <v>5.3969736596301221</v>
      </c>
      <c r="CE28" s="75">
        <f>CC34</f>
        <v>59367</v>
      </c>
      <c r="CF28" s="61">
        <f>IF(ISERROR((CE28/BW28-1)*100),"NA",IF(((CE28/BW28-1)*100)&gt;100,"NM",IF(((CE28/BW28-1)*100)&lt;-50,"NM",(CE28/BW28-1)*100)))</f>
        <v>33.283193390507826</v>
      </c>
      <c r="CG28" s="75">
        <f>CE34</f>
        <v>61711</v>
      </c>
      <c r="CH28" s="61">
        <f>IF(ISERROR((CG28/BY28-1)*100),"NA",IF(((CG28/BY28-1)*100)&gt;100,"NM",IF(((CG28/BY28-1)*100)&lt;-50,"NM",(CG28/BY28-1)*100)))</f>
        <v>43.513953488372103</v>
      </c>
      <c r="CI28" s="75">
        <f>CG34</f>
        <v>57817</v>
      </c>
      <c r="CJ28" s="61">
        <f>IF(ISERROR((CI28/CA28-1)*100),"NA",IF(((CI28/CA28-1)*100)&gt;100,"NM",IF(((CI28/CA28-1)*100)&lt;-50,"NM",(CI28/CA28-1)*100)))</f>
        <v>16.98636234875157</v>
      </c>
      <c r="CK28" s="75">
        <f>CI34</f>
        <v>63903</v>
      </c>
      <c r="CL28" s="61">
        <f>IF(ISERROR((CK28/CC28-1)*100),"NA",IF(((CK28/CC28-1)*100)&gt;100,"NM",IF(((CK28/CC28-1)*100)&lt;-50,"NM",(CK28/CC28-1)*100)))</f>
        <v>13.265034828692457</v>
      </c>
      <c r="CM28" s="75">
        <f>CK34</f>
        <v>68390</v>
      </c>
      <c r="CN28" s="61">
        <f t="shared" ref="CN28:DJ29" si="130">IF(ISERROR((CM28/CE28-1)*100),"NA",IF(((CM28/CE28-1)*100)&gt;100,"NM",IF(((CM28/CE28-1)*100)&lt;-50,"NM",(CM28/CE28-1)*100)))</f>
        <v>15.198679401014026</v>
      </c>
      <c r="CO28" s="75">
        <f>CM34</f>
        <v>71091</v>
      </c>
      <c r="CP28" s="61">
        <f t="shared" si="130"/>
        <v>15.199883327121588</v>
      </c>
      <c r="CQ28" s="65">
        <f>CO34</f>
        <v>71837</v>
      </c>
      <c r="CR28" s="61">
        <f t="shared" si="130"/>
        <v>24.248923327049134</v>
      </c>
      <c r="CS28" s="65">
        <f>CQ34</f>
        <v>64140</v>
      </c>
      <c r="CT28" s="61">
        <f t="shared" si="130"/>
        <v>0.37087460682596607</v>
      </c>
      <c r="CU28" s="65">
        <f>CS34</f>
        <v>68330</v>
      </c>
      <c r="CV28" s="61">
        <f t="shared" si="130"/>
        <v>-8.7732124579620319E-2</v>
      </c>
      <c r="CW28" s="65">
        <f>CU34</f>
        <v>74366</v>
      </c>
      <c r="CX28" s="61">
        <f t="shared" si="130"/>
        <v>4.6067716025938621</v>
      </c>
      <c r="CY28" s="65">
        <f>CW34</f>
        <v>72976</v>
      </c>
      <c r="CZ28" s="61">
        <f t="shared" si="130"/>
        <v>1.5855339170622429</v>
      </c>
      <c r="DA28" s="65">
        <f>CY34</f>
        <v>76696</v>
      </c>
      <c r="DB28" s="61">
        <f t="shared" si="130"/>
        <v>19.575927658247583</v>
      </c>
      <c r="DC28" s="65">
        <f>DA34</f>
        <v>78906</v>
      </c>
      <c r="DD28" s="61">
        <f t="shared" si="130"/>
        <v>15.477828186740815</v>
      </c>
      <c r="DE28" s="65">
        <f>DC34</f>
        <v>83687</v>
      </c>
      <c r="DF28" s="61">
        <f t="shared" si="130"/>
        <v>12.533953688513577</v>
      </c>
      <c r="DG28" s="65">
        <f>DE34</f>
        <v>85395</v>
      </c>
      <c r="DH28" s="61">
        <f t="shared" si="130"/>
        <v>17.017923700942774</v>
      </c>
      <c r="DI28" s="65">
        <f>DG34</f>
        <v>91021</v>
      </c>
      <c r="DJ28" s="61">
        <f t="shared" si="130"/>
        <v>18.677636382601449</v>
      </c>
      <c r="DK28" s="65">
        <f>DI34</f>
        <v>97298</v>
      </c>
      <c r="DL28" s="130">
        <f>IF(ISERROR((DK28/DC28-1)*100),"NA",IF(((DK28/DC28-1)*100)&gt;100,"NM",IF(((DK28/DC28-1)*100)&lt;-50,"NM",(DK28/DC28-1)*100)))</f>
        <v>23.308747116822559</v>
      </c>
      <c r="DM28" s="65">
        <f>DK34</f>
        <v>98798</v>
      </c>
      <c r="DN28" s="130">
        <f>IF(ISERROR((DM28/DE28-1)*100),"NA",IF(((DM28/DE28-1)*100)&gt;100,"NM",IF(((DM28/DE28-1)*100)&lt;-50,"NM",(DM28/DE28-1)*100)))</f>
        <v>18.056567925723233</v>
      </c>
      <c r="DO28" s="65">
        <f>DM34</f>
        <v>103043</v>
      </c>
      <c r="DP28" s="130">
        <f>IF(ISERROR((DO28/DG28-1)*100),"NA",IF(((DO28/DG28-1)*100)&gt;100,"NM",IF(((DO28/DG28-1)*100)&lt;-50,"NM",(DO28/DG28-1)*100)))</f>
        <v>20.666315358042041</v>
      </c>
      <c r="DQ28" s="65">
        <f>DO34</f>
        <v>102238</v>
      </c>
      <c r="DR28" s="130">
        <f>IF(ISERROR((DQ28/DI28-1)*100),"NA",IF(((DQ28/DI28-1)*100)&gt;100,"NM",IF(((DQ28/DI28-1)*100)&lt;-50,"NM",(DQ28/DI28-1)*100)))</f>
        <v>12.323529734896344</v>
      </c>
      <c r="DS28" s="65">
        <f>DQ34</f>
        <v>104073</v>
      </c>
      <c r="DT28" s="130">
        <f>IF(ISERROR((DS28/DK28-1)*100),"NA",IF(((DS28/DK28-1)*100)&gt;100,"NM",IF(((DS28/DK28-1)*100)&lt;-50,"NM",(DS28/DK28-1)*100)))</f>
        <v>6.9631441550700002</v>
      </c>
      <c r="DU28" s="65">
        <f>DS34</f>
        <v>106279</v>
      </c>
      <c r="DV28" s="130">
        <f>IF(ISERROR((DU28/DM28-1)*100),"NA",IF(((DU28/DM28-1)*100)&gt;100,"NM",IF(((DU28/DM28-1)*100)&lt;-50,"NM",(DU28/DM28-1)*100)))</f>
        <v>7.5720156278467066</v>
      </c>
      <c r="DW28" s="65">
        <f>DU34</f>
        <v>106600</v>
      </c>
      <c r="DX28" s="65">
        <f t="shared" ref="DX28:EI28" si="131">DV34</f>
        <v>3.4519569500111702</v>
      </c>
      <c r="DY28" s="65">
        <f t="shared" si="131"/>
        <v>100581</v>
      </c>
      <c r="DZ28" s="130">
        <f>IF(ISERROR((DY28/DQ28-1)*100),"NA",IF(((DY28/DQ28-1)*100)&gt;100,"NM",IF(((DY28/DQ28-1)*100)&lt;-50,"NM",(DY28/DQ28-1)*100)))</f>
        <v>-1.6207281050098832</v>
      </c>
      <c r="EA28" s="65">
        <f t="shared" si="131"/>
        <v>103146</v>
      </c>
      <c r="EB28" s="130">
        <f>IF(ISERROR((EA28/DS28-1)*100),"NA",IF(((EA28/DS28-1)*100)&gt;100,"NM",IF(((EA28/DS28-1)*100)&lt;-50,"NM",(EA28/DS28-1)*100)))</f>
        <v>-0.89072093626588744</v>
      </c>
      <c r="EC28" s="65">
        <f t="shared" si="131"/>
        <v>102903</v>
      </c>
      <c r="ED28" s="130">
        <f>IF(ISERROR((EC28/DU28-1)*100),"NA",IF(((EC28/DU28-1)*100)&gt;100,"NM",IF(((EC28/DU28-1)*100)&lt;-50,"NM",(EC28/DU28-1)*100)))</f>
        <v>-3.1765447548433801</v>
      </c>
      <c r="EE28" s="65">
        <f t="shared" si="131"/>
        <v>103861</v>
      </c>
      <c r="EF28" s="130">
        <f>IF(ISERROR((EE28/DW28-1)*100),"NA",IF(((EE28/DW28-1)*100)&gt;100,"NM",IF(((EE28/DW28-1)*100)&lt;-50,"NM",(EE28/DW28-1)*100)))</f>
        <v>-2.5694183864915621</v>
      </c>
      <c r="EG28" s="65">
        <f t="shared" si="131"/>
        <v>106473</v>
      </c>
      <c r="EH28" s="130">
        <f>IF(ISERROR((EG28/DY28-1)*100),"NA",IF(((EG28/DY28-1)*100)&gt;100,"NM",IF(((EG28/DY28-1)*100)&lt;-50,"NM",(EG28/DY28-1)*100)))</f>
        <v>5.8579652220598355</v>
      </c>
      <c r="EI28" s="65">
        <f t="shared" si="131"/>
        <v>105766</v>
      </c>
      <c r="EJ28" s="130">
        <f t="shared" ref="EJ28:EJ37" si="132">IF(ISERROR((EI28/EA28-1)*100),"NA",IF(((EI28/EA28-1)*100)&gt;100,"NM",IF(((EI28/EA28-1)*100)&lt;-50,"NM",(EI28/EA28-1)*100)))</f>
        <v>2.5400888061582583</v>
      </c>
      <c r="EK28" s="65">
        <f t="shared" ref="EK28:EM28" si="133">EI34</f>
        <v>109475</v>
      </c>
      <c r="EL28" s="130">
        <f t="shared" ref="EL28:EL37" si="134">IF(ISERROR((EK28/EC28-1)*100),"NA",IF(((EK28/EC28-1)*100)&gt;100,"NM",IF(((EK28/EC28-1)*100)&lt;-50,"NM",(EK28/EC28-1)*100)))</f>
        <v>6.386597086576673</v>
      </c>
      <c r="EM28" s="65">
        <f t="shared" si="133"/>
        <v>111570</v>
      </c>
      <c r="EN28" s="130">
        <f t="shared" ref="EN28:EN37" si="135">IF(ISERROR((EM28/EE28-1)*100),"NA",IF(((EM28/EE28-1)*100)&gt;100,"NM",IF(((EM28/EE28-1)*100)&lt;-50,"NM",(EM28/EE28-1)*100)))</f>
        <v>7.422420350275849</v>
      </c>
      <c r="EO28" s="65">
        <f t="shared" ref="EO28" si="136">EM34</f>
        <v>114270</v>
      </c>
      <c r="EP28" s="130">
        <f t="shared" ref="EP28:EP37" si="137">IF(ISERROR((EO28/EG28-1)*100),"NA",IF(((EO28/EG28-1)*100)&gt;100,"NM",IF(((EO28/EG28-1)*100)&lt;-50,"NM",(EO28/EG28-1)*100)))</f>
        <v>7.3229832915387094</v>
      </c>
      <c r="EQ28" s="567">
        <f t="shared" ref="EQ28" si="138">EO34</f>
        <v>117479</v>
      </c>
      <c r="ER28" s="130">
        <f t="shared" ref="ER28:ER37" si="139">IF(ISERROR((EQ28/EI28-1)*100),"NA",IF(((EQ28/EI28-1)*100)&gt;100,"NM",IF(((EQ28/EI28-1)*100)&lt;-50,"NM",(EQ28/EI28-1)*100)))</f>
        <v>11.074447364937701</v>
      </c>
      <c r="ES28" s="567">
        <f t="shared" ref="ES28" si="140">EQ34</f>
        <v>116043.91593212567</v>
      </c>
      <c r="ET28" s="130">
        <f t="shared" ref="ET28:ET37" si="141">IF(ISERROR((ES28/EK28-1)*100),"NA",IF(((ES28/EK28-1)*100)&gt;100,"NM",IF(((ES28/EK28-1)*100)&lt;-50,"NM",(ES28/EK28-1)*100)))</f>
        <v>6.0003799334328978</v>
      </c>
      <c r="EU28" s="567">
        <f t="shared" ref="EU28" si="142">ES34</f>
        <v>117057.48240875268</v>
      </c>
      <c r="EV28" s="130">
        <f t="shared" ref="EV28:EV37" si="143">IF(ISERROR((EU28/EM28-1)*100),"NA",IF(((EU28/EM28-1)*100)&gt;100,"NM",IF(((EU28/EM28-1)*100)&lt;-50,"NM",(EU28/EM28-1)*100)))</f>
        <v>4.9184210887807556</v>
      </c>
      <c r="EW28" s="567">
        <f t="shared" ref="EW28" si="144">EU34</f>
        <v>118284.75230909741</v>
      </c>
      <c r="EX28" s="130">
        <f t="shared" ref="EX28:EX37" si="145">IF(ISERROR((EW28/EO28-1)*100),"NA",IF(((EW28/EO28-1)*100)&gt;100,"NM",IF(((EW28/EO28-1)*100)&lt;-50,"NM",(EW28/EO28-1)*100)))</f>
        <v>3.5133913617724888</v>
      </c>
      <c r="EY28" s="64"/>
      <c r="EZ28" s="558"/>
      <c r="FA28" s="64"/>
      <c r="FB28" s="66"/>
      <c r="FC28" s="66"/>
      <c r="FD28" s="66"/>
      <c r="FE28" s="67"/>
      <c r="FF28" s="66"/>
      <c r="FG28" s="67"/>
      <c r="FH28" s="66"/>
      <c r="FI28" s="67"/>
      <c r="FJ28" s="66"/>
      <c r="FK28" s="67"/>
      <c r="FL28" s="66"/>
      <c r="FM28" s="61"/>
      <c r="FN28" s="66"/>
      <c r="FO28" s="61"/>
      <c r="FP28" s="65"/>
      <c r="FQ28" s="61"/>
      <c r="FR28" s="65"/>
      <c r="FS28" s="61"/>
      <c r="FT28" s="65">
        <f>BG28</f>
        <v>51782</v>
      </c>
      <c r="FU28" s="61" t="str">
        <f t="shared" ref="FU28:FU37" si="146">IF(ISERROR((FT28/FR28-1)*100),"NA",IF(((FT28/FR28-1)*100)&gt;100,"NM",IF(((FT28/FR28-1)*100)&lt;-50,"NM",(FT28/FR28-1)*100)))</f>
        <v>NA</v>
      </c>
      <c r="FV28" s="65">
        <f>FT34</f>
        <v>62112</v>
      </c>
      <c r="FW28" s="61">
        <f t="shared" ref="FW28:FW37" si="147">IF(ISERROR((FV28/FT28-1)*100),"NA",IF(((FV28/FT28-1)*100)&gt;100,"NM",IF(((FV28/FT28-1)*100)&lt;-50,"NM",(FV28/FT28-1)*100)))</f>
        <v>19.949017032945804</v>
      </c>
      <c r="FX28" s="65">
        <f>FV34</f>
        <v>44542</v>
      </c>
      <c r="FY28" s="61">
        <f t="shared" ref="FY28:FY37" si="148">IF(ISERROR((FX28/FV28-1)*100),"NA",IF(((FX28/FV28-1)*100)&gt;100,"NM",IF(((FX28/FV28-1)*100)&lt;-50,"NM",(FX28/FV28-1)*100)))</f>
        <v>-28.287609479649667</v>
      </c>
      <c r="FZ28" s="65">
        <f>FX34</f>
        <v>59367</v>
      </c>
      <c r="GA28" s="61">
        <f t="shared" ref="GA28:GC37" si="149">IF(ISERROR((FZ28/FX28-1)*100),"NA",IF(((FZ28/FX28-1)*100)&gt;100,"NM",IF(((FZ28/FX28-1)*100)&lt;-50,"NM",(FZ28/FX28-1)*100)))</f>
        <v>33.283193390507826</v>
      </c>
      <c r="GB28" s="65">
        <f>FZ34</f>
        <v>68390</v>
      </c>
      <c r="GC28" s="61">
        <f t="shared" si="149"/>
        <v>15.198679401014026</v>
      </c>
      <c r="GD28" s="65">
        <f>GB34</f>
        <v>68330</v>
      </c>
      <c r="GE28" s="61">
        <f>IF(ISERROR((GD28/GB28-1)*100),"NA",IF(((GD28/GB28-1)*100)&gt;100,"NM",IF(((GD28/GB28-1)*100)&lt;-50,"NM",(GD28/GB28-1)*100)))</f>
        <v>-8.7732124579620319E-2</v>
      </c>
      <c r="GF28" s="65">
        <f>GD34</f>
        <v>78906</v>
      </c>
      <c r="GG28" s="61">
        <f>IF(ISERROR((GF28/GD28-1)*100),"NA",IF(((GF28/GD28-1)*100)&gt;100,"NM",IF(((GF28/GD28-1)*100)&lt;-50,"NM",(GF28/GD28-1)*100)))</f>
        <v>15.477828186740815</v>
      </c>
      <c r="GH28" s="65">
        <f>GF34</f>
        <v>97298</v>
      </c>
      <c r="GI28" s="61">
        <f>IF(ISERROR((GH28/GF28-1)*100),"NA",IF(((GH28/GF28-1)*100)&gt;100,"NM",IF(((GH28/GF28-1)*100)&lt;-50,"NM",(GH28/GF28-1)*100)))</f>
        <v>23.308747116822559</v>
      </c>
      <c r="GJ28" s="65">
        <f>GH34</f>
        <v>104073</v>
      </c>
      <c r="GK28" s="61">
        <f>IF(ISERROR((GJ28/GH28-1)*100),"NA",IF(((GJ28/GH28-1)*100)&gt;100,"NM",IF(((GJ28/GH28-1)*100)&lt;-50,"NM",(GJ28/GH28-1)*100)))</f>
        <v>6.9631441550700002</v>
      </c>
      <c r="GL28" s="65">
        <f>GJ34</f>
        <v>103146</v>
      </c>
      <c r="GM28" s="61">
        <f>IF(ISERROR((GL28/GJ28-1)*100),"NA",IF(((GL28/GJ28-1)*100)&gt;100,"NM",IF(((GL28/GJ28-1)*100)&lt;-50,"NM",(GL28/GJ28-1)*100)))</f>
        <v>-0.89072093626588744</v>
      </c>
      <c r="GN28" s="65">
        <f>GL34</f>
        <v>105766</v>
      </c>
      <c r="GO28" s="61">
        <f>IF(ISERROR((GN28/GL28-1)*100),"NA",IF(((GN28/GL28-1)*100)&gt;100,"NM",IF(((GN28/GL28-1)*100)&lt;-50,"NM",(GN28/GL28-1)*100)))</f>
        <v>2.5400888061582583</v>
      </c>
      <c r="GP28" s="65">
        <f>GN34</f>
        <v>117479</v>
      </c>
      <c r="GQ28" s="61">
        <f>IF(ISERROR((GP28/GN28-1)*100),"NA",IF(((GP28/GN28-1)*100)&gt;100,"NM",IF(((GP28/GN28-1)*100)&lt;-50,"NM",(GP28/GN28-1)*100)))</f>
        <v>11.074447364937701</v>
      </c>
      <c r="GR28" s="65">
        <f>GP34</f>
        <v>119731.88763517847</v>
      </c>
      <c r="GS28" s="61">
        <f>IF(ISERROR((GR28/GP28-1)*100),"NA",IF(((GR28/GP28-1)*100)&gt;100,"NM",IF(((GR28/GP28-1)*100)&lt;-50,"NM",(GR28/GP28-1)*100)))</f>
        <v>1.9176939156602124</v>
      </c>
      <c r="GT28" s="65">
        <f>GR34</f>
        <v>126358.44213139922</v>
      </c>
      <c r="GU28" s="61">
        <f>IF(ISERROR((GT28/GR28-1)*100),"NA",IF(((GT28/GR28-1)*100)&gt;100,"NM",IF(((GT28/GR28-1)*100)&lt;-50,"NM",(GT28/GR28-1)*100)))</f>
        <v>5.5344942998073909</v>
      </c>
      <c r="GV28" s="65">
        <f>GT34</f>
        <v>133983.53511914393</v>
      </c>
      <c r="GW28" s="61">
        <f>IF(ISERROR((GV28/GT28-1)*100),"NA",IF(((GV28/GT28-1)*100)&gt;100,"NM",IF(((GV28/GT28-1)*100)&lt;-50,"NM",(GV28/GT28-1)*100)))</f>
        <v>6.0344942998073803</v>
      </c>
      <c r="GX28" s="65">
        <f>GV34</f>
        <v>142738.68158418484</v>
      </c>
      <c r="GY28" s="61">
        <f>IF(ISERROR((GX28/GV28-1)*100),"NA",IF(((GX28/GV28-1)*100)&gt;100,"NM",IF(((GX28/GV28-1)*100)&lt;-50,"NM",(GX28/GV28-1)*100)))</f>
        <v>6.534494299807414</v>
      </c>
      <c r="GZ28" s="61">
        <f t="shared" ref="GZ28:GZ37" si="150">IF(ISERROR((GX28/GN28)^0.2),"",IF(OR((GX28/GN28)^0.2&lt;0.5,(GX28/GN28)^0.2&gt;2),"NM",((GX28/GN28)^0.2-1)*100))</f>
        <v>6.1791196538106608</v>
      </c>
      <c r="HA28" s="61"/>
      <c r="HB28" s="452"/>
      <c r="HC28"/>
      <c r="HD28"/>
      <c r="HE28"/>
      <c r="HF28"/>
      <c r="HG28"/>
      <c r="HH28"/>
    </row>
    <row r="29" spans="1:216" s="5" customFormat="1" ht="12.75" customHeight="1" x14ac:dyDescent="0.2">
      <c r="B29" s="123" t="s">
        <v>156</v>
      </c>
      <c r="C29" s="66"/>
      <c r="D29" s="67"/>
      <c r="E29" s="66"/>
      <c r="F29" s="66"/>
      <c r="G29" s="64"/>
      <c r="H29" s="66"/>
      <c r="I29" s="64"/>
      <c r="J29" s="66"/>
      <c r="K29" s="64"/>
      <c r="L29" s="61"/>
      <c r="M29" s="66"/>
      <c r="N29" s="61"/>
      <c r="O29" s="64"/>
      <c r="P29" s="61"/>
      <c r="Q29" s="64"/>
      <c r="R29" s="61"/>
      <c r="S29" s="64"/>
      <c r="T29" s="61"/>
      <c r="U29" s="64"/>
      <c r="V29" s="61"/>
      <c r="W29" s="64"/>
      <c r="X29" s="61"/>
      <c r="Y29" s="64"/>
      <c r="Z29" s="61"/>
      <c r="AA29" s="64"/>
      <c r="AB29" s="61"/>
      <c r="AC29" s="64"/>
      <c r="AD29" s="61"/>
      <c r="AE29" s="64"/>
      <c r="AF29" s="61"/>
      <c r="AG29" s="64"/>
      <c r="AH29" s="61"/>
      <c r="AI29" s="64"/>
      <c r="AJ29" s="61"/>
      <c r="AK29" s="64"/>
      <c r="AL29" s="61"/>
      <c r="AM29" s="64"/>
      <c r="AN29" s="61"/>
      <c r="AO29" s="64"/>
      <c r="AP29" s="61"/>
      <c r="AQ29" s="64"/>
      <c r="AR29" s="61"/>
      <c r="AS29" s="64"/>
      <c r="AT29" s="61"/>
      <c r="AU29" s="64"/>
      <c r="AV29" s="61"/>
      <c r="AW29" s="64"/>
      <c r="AX29" s="61"/>
      <c r="AY29" s="64"/>
      <c r="AZ29" s="61"/>
      <c r="BA29" s="64"/>
      <c r="BB29" s="61"/>
      <c r="BC29" s="64"/>
      <c r="BD29" s="61"/>
      <c r="BE29" s="64"/>
      <c r="BF29" s="61"/>
      <c r="BG29" s="74">
        <v>2535</v>
      </c>
      <c r="BH29" s="61" t="str">
        <f>IF(ISERROR((BG29/AY29-1)*100),"NA",IF(((BG29/AY29-1)*100)&gt;100,"NM",IF(((BG29/AY29-1)*100)&lt;-50,"NM",(BG29/AY29-1)*100)))</f>
        <v>NA</v>
      </c>
      <c r="BI29" s="74">
        <v>2957</v>
      </c>
      <c r="BJ29" s="61" t="str">
        <f>IF(ISERROR((BI29/BA29-1)*100),"NA",IF(((BI29/BA29-1)*100)&gt;100,"NM",IF(((BI29/BA29-1)*100)&lt;-50,"NM",(BI29/BA29-1)*100)))</f>
        <v>NA</v>
      </c>
      <c r="BK29" s="74">
        <v>2993</v>
      </c>
      <c r="BL29" s="61" t="str">
        <f>IF(ISERROR((BK29/BC29-1)*100),"NA",IF(((BK29/BC29-1)*100)&gt;100,"NM",IF(((BK29/BC29-1)*100)&lt;-50,"NM",(BK29/BC29-1)*100)))</f>
        <v>NA</v>
      </c>
      <c r="BM29" s="74">
        <v>3445</v>
      </c>
      <c r="BN29" s="61" t="str">
        <f>IF(ISERROR((BM29/BE29-1)*100),"NA",IF(((BM29/BE29-1)*100)&gt;100,"NM",IF(((BM29/BE29-1)*100)&lt;-50,"NM",(BM29/BE29-1)*100)))</f>
        <v>NA</v>
      </c>
      <c r="BO29" s="74">
        <v>2721</v>
      </c>
      <c r="BP29" s="61">
        <f>IF(ISERROR((BO29/BG29-1)*100),"NA",IF(((BO29/BG29-1)*100)&gt;100,"NM",IF(((BO29/BG29-1)*100)&lt;-50,"NM",(BO29/BG29-1)*100)))</f>
        <v>7.3372781065088821</v>
      </c>
      <c r="BQ29" s="74">
        <v>2944</v>
      </c>
      <c r="BR29" s="61">
        <f>IF(ISERROR((BQ29/BI29-1)*100),"NA",IF(((BQ29/BI29-1)*100)&gt;100,"NM",IF(((BQ29/BI29-1)*100)&lt;-50,"NM",(BQ29/BI29-1)*100)))</f>
        <v>-0.43963476496449161</v>
      </c>
      <c r="BS29" s="74">
        <v>2568</v>
      </c>
      <c r="BT29" s="61">
        <f>IF(ISERROR((BS29/BK29-1)*100),"NA",IF(((BS29/BK29-1)*100)&gt;100,"NM",IF(((BS29/BK29-1)*100)&lt;-50,"NM",(BS29/BK29-1)*100)))</f>
        <v>-14.199799532241897</v>
      </c>
      <c r="BU29" s="74">
        <v>1890</v>
      </c>
      <c r="BV29" s="61">
        <f>IF(ISERROR((BU29/BM29-1)*100),"NA",IF(((BU29/BM29-1)*100)&gt;100,"NM",IF(((BU29/BM29-1)*100)&lt;-50,"NM",(BU29/BM29-1)*100)))</f>
        <v>-45.137880986937596</v>
      </c>
      <c r="BW29" s="74">
        <v>1586</v>
      </c>
      <c r="BX29" s="61">
        <f>IF(ISERROR((BW29/BO29-1)*100),"NA",IF(((BW29/BO29-1)*100)&gt;100,"NM",IF(((BW29/BO29-1)*100)&lt;-50,"NM",(BW29/BO29-1)*100)))</f>
        <v>-41.712605659683945</v>
      </c>
      <c r="BY29" s="74">
        <v>1726</v>
      </c>
      <c r="BZ29" s="61">
        <f>IF(ISERROR((BY29/BQ29-1)*100),"NA",IF(((BY29/BQ29-1)*100)&gt;100,"NM",IF(((BY29/BQ29-1)*100)&lt;-50,"NM",(BY29/BQ29-1)*100)))</f>
        <v>-41.372282608695656</v>
      </c>
      <c r="CA29" s="74">
        <v>1829</v>
      </c>
      <c r="CB29" s="61">
        <f>IF(ISERROR((CA29/BS29-1)*100),"NA",IF(((CA29/BS29-1)*100)&gt;100,"NM",IF(((CA29/BS29-1)*100)&lt;-50,"NM",(CA29/BS29-1)*100)))</f>
        <v>-28.77725856697819</v>
      </c>
      <c r="CC29" s="74">
        <v>2060</v>
      </c>
      <c r="CD29" s="61">
        <f>IF(ISERROR((CC29/BU29-1)*100),"NA",IF(((CC29/BU29-1)*100)&gt;100,"NM",IF(((CC29/BU29-1)*100)&lt;-50,"NM",(CC29/BU29-1)*100)))</f>
        <v>8.9947089947090006</v>
      </c>
      <c r="CE29" s="74">
        <v>1865</v>
      </c>
      <c r="CF29" s="61">
        <f>IF(ISERROR((CE29/BW29-1)*100),"NA",IF(((CE29/BW29-1)*100)&gt;100,"NM",IF(((CE29/BW29-1)*100)&lt;-50,"NM",(CE29/BW29-1)*100)))</f>
        <v>17.591424968474143</v>
      </c>
      <c r="CG29" s="74">
        <v>2186</v>
      </c>
      <c r="CH29" s="61">
        <f>IF(ISERROR((CG29/BY29-1)*100),"NA",IF(((CG29/BY29-1)*100)&gt;100,"NM",IF(((CG29/BY29-1)*100)&lt;-50,"NM",(CG29/BY29-1)*100)))</f>
        <v>26.65121668597914</v>
      </c>
      <c r="CI29" s="74">
        <v>2021</v>
      </c>
      <c r="CJ29" s="61">
        <f>IF(ISERROR((CI29/CA29-1)*100),"NA",IF(((CI29/CA29-1)*100)&gt;100,"NM",IF(((CI29/CA29-1)*100)&lt;-50,"NM",(CI29/CA29-1)*100)))</f>
        <v>10.49753963914708</v>
      </c>
      <c r="CK29" s="74">
        <v>2194</v>
      </c>
      <c r="CL29" s="61">
        <f>IF(ISERROR((CK29/CC29-1)*100),"NA",IF(((CK29/CC29-1)*100)&gt;100,"NM",IF(((CK29/CC29-1)*100)&lt;-50,"NM",(CK29/CC29-1)*100)))</f>
        <v>6.5048543689320448</v>
      </c>
      <c r="CM29" s="74">
        <v>2184</v>
      </c>
      <c r="CN29" s="61">
        <f t="shared" si="130"/>
        <v>17.104557640750674</v>
      </c>
      <c r="CO29" s="74">
        <v>2356</v>
      </c>
      <c r="CP29" s="61">
        <f t="shared" si="130"/>
        <v>7.7767612076852677</v>
      </c>
      <c r="CQ29" s="74">
        <v>2155</v>
      </c>
      <c r="CR29" s="61">
        <f t="shared" si="130"/>
        <v>6.6303809995051921</v>
      </c>
      <c r="CS29" s="74">
        <v>2028</v>
      </c>
      <c r="CT29" s="61">
        <f t="shared" si="130"/>
        <v>-7.5660893345487645</v>
      </c>
      <c r="CU29" s="74">
        <v>2185</v>
      </c>
      <c r="CV29" s="61">
        <f t="shared" si="130"/>
        <v>4.5787545787545625E-2</v>
      </c>
      <c r="CW29" s="74">
        <v>2422</v>
      </c>
      <c r="CX29" s="61">
        <f t="shared" si="130"/>
        <v>2.8013582342954146</v>
      </c>
      <c r="CY29" s="74">
        <v>2188</v>
      </c>
      <c r="CZ29" s="61">
        <f t="shared" si="130"/>
        <v>1.5313225058004587</v>
      </c>
      <c r="DA29" s="74">
        <v>3019</v>
      </c>
      <c r="DB29" s="61">
        <f t="shared" si="130"/>
        <v>48.865877712031569</v>
      </c>
      <c r="DC29" s="74">
        <v>2939</v>
      </c>
      <c r="DD29" s="61">
        <f t="shared" si="130"/>
        <v>34.508009153318085</v>
      </c>
      <c r="DE29" s="74">
        <v>3917</v>
      </c>
      <c r="DF29" s="61">
        <f t="shared" si="130"/>
        <v>61.725846407927335</v>
      </c>
      <c r="DG29" s="74">
        <v>3407</v>
      </c>
      <c r="DH29" s="61">
        <f t="shared" si="130"/>
        <v>55.712979890310791</v>
      </c>
      <c r="DI29" s="74">
        <v>3454</v>
      </c>
      <c r="DJ29" s="61">
        <f t="shared" si="130"/>
        <v>14.408744617422986</v>
      </c>
      <c r="DK29" s="74">
        <v>2947</v>
      </c>
      <c r="DL29" s="568">
        <f>DJ29*1.005</f>
        <v>14.480788340510099</v>
      </c>
      <c r="DM29" s="74">
        <v>3173</v>
      </c>
      <c r="DN29" s="130">
        <f t="shared" ref="DN29:DZ45" si="151">IF(ISERROR((DM29/DE29-1)*100),"NA",IF(((DM29/DE29-1)*100)&gt;100,"NM",IF(((DM29/DE29-1)*100)&lt;-50,"NM",(DM29/DE29-1)*100)))</f>
        <v>-18.994128159305589</v>
      </c>
      <c r="DO29" s="74">
        <v>3226</v>
      </c>
      <c r="DP29" s="130">
        <f t="shared" si="151"/>
        <v>-5.3125917229233881</v>
      </c>
      <c r="DQ29" s="74">
        <v>3175</v>
      </c>
      <c r="DR29" s="130">
        <f t="shared" si="151"/>
        <v>-8.0775911986103122</v>
      </c>
      <c r="DS29" s="74">
        <v>2697</v>
      </c>
      <c r="DT29" s="130">
        <f t="shared" si="151"/>
        <v>-8.4832032575500538</v>
      </c>
      <c r="DU29" s="74">
        <v>3015</v>
      </c>
      <c r="DV29" s="130">
        <f t="shared" si="151"/>
        <v>-4.9795146549007292</v>
      </c>
      <c r="DW29" s="74">
        <v>2738</v>
      </c>
      <c r="DX29" s="74">
        <v>2738</v>
      </c>
      <c r="DY29" s="74">
        <v>2362</v>
      </c>
      <c r="DZ29" s="130">
        <f t="shared" si="151"/>
        <v>-25.606299212598426</v>
      </c>
      <c r="EA29" s="74">
        <v>1685</v>
      </c>
      <c r="EB29" s="130">
        <f t="shared" ref="EB29:EB37" si="152">IF(ISERROR((EA29/DS29-1)*100),"NA",IF(((EA29/DS29-1)*100)&gt;100,"NM",IF(((EA29/DS29-1)*100)&lt;-50,"NM",(EA29/DS29-1)*100)))</f>
        <v>-37.523173896922501</v>
      </c>
      <c r="EC29" s="74">
        <v>1635</v>
      </c>
      <c r="ED29" s="130">
        <f t="shared" ref="ED29:ED37" si="153">IF(ISERROR((EC29/DU29-1)*100),"NA",IF(((EC29/DU29-1)*100)&gt;100,"NM",IF(((EC29/DU29-1)*100)&lt;-50,"NM",(EC29/DU29-1)*100)))</f>
        <v>-45.771144278606968</v>
      </c>
      <c r="EE29" s="74">
        <v>1518</v>
      </c>
      <c r="EF29" s="130">
        <f t="shared" ref="EF29:EF37" si="154">IF(ISERROR((EE29/DW29-1)*100),"NA",IF(((EE29/DW29-1)*100)&gt;100,"NM",IF(((EE29/DW29-1)*100)&lt;-50,"NM",(EE29/DW29-1)*100)))</f>
        <v>-44.558071585098617</v>
      </c>
      <c r="EG29" s="74">
        <v>1399</v>
      </c>
      <c r="EH29" s="130">
        <f t="shared" ref="EH29:EH37" si="155">IF(ISERROR((EG29/DY29-1)*100),"NA",IF(((EG29/DY29-1)*100)&gt;100,"NM",IF(((EG29/DY29-1)*100)&lt;-50,"NM",(EG29/DY29-1)*100)))</f>
        <v>-40.770533446232008</v>
      </c>
      <c r="EI29" s="74">
        <v>1454</v>
      </c>
      <c r="EJ29" s="130">
        <f t="shared" si="132"/>
        <v>-13.709198813056378</v>
      </c>
      <c r="EK29" s="74">
        <v>1614</v>
      </c>
      <c r="EL29" s="130">
        <f t="shared" si="134"/>
        <v>-1.2844036697247652</v>
      </c>
      <c r="EM29" s="74">
        <v>1532</v>
      </c>
      <c r="EN29" s="130">
        <f t="shared" si="135"/>
        <v>0.92226613965744608</v>
      </c>
      <c r="EO29" s="74">
        <v>2142</v>
      </c>
      <c r="EP29" s="130">
        <f t="shared" si="137"/>
        <v>53.109363831308087</v>
      </c>
      <c r="EQ29" s="65">
        <f t="shared" ref="EQ29:EW29" si="156">EQ28*EQ41/400</f>
        <v>2055.8825000000002</v>
      </c>
      <c r="ER29" s="130">
        <f t="shared" si="139"/>
        <v>41.394944979367267</v>
      </c>
      <c r="ES29" s="65">
        <f t="shared" si="156"/>
        <v>2175.8234237273564</v>
      </c>
      <c r="ET29" s="130">
        <f t="shared" si="141"/>
        <v>34.809381891409942</v>
      </c>
      <c r="EU29" s="65">
        <f t="shared" si="156"/>
        <v>2341.1496481750537</v>
      </c>
      <c r="EV29" s="130">
        <f t="shared" si="143"/>
        <v>52.816556669389939</v>
      </c>
      <c r="EW29" s="65">
        <f t="shared" si="156"/>
        <v>2513.5509865683202</v>
      </c>
      <c r="EX29" s="130">
        <f t="shared" si="145"/>
        <v>17.345984433628402</v>
      </c>
      <c r="EY29" s="64"/>
      <c r="EZ29" s="558"/>
      <c r="FA29" s="64"/>
      <c r="FB29" s="66"/>
      <c r="FC29" s="66"/>
      <c r="FD29" s="66"/>
      <c r="FE29" s="67"/>
      <c r="FF29" s="66"/>
      <c r="FG29" s="67"/>
      <c r="FH29" s="66"/>
      <c r="FI29" s="67"/>
      <c r="FJ29" s="66"/>
      <c r="FK29" s="67"/>
      <c r="FL29" s="66"/>
      <c r="FM29" s="61"/>
      <c r="FN29" s="66"/>
      <c r="FO29" s="61"/>
      <c r="FP29" s="65"/>
      <c r="FQ29" s="61"/>
      <c r="FR29" s="65"/>
      <c r="FS29" s="61"/>
      <c r="FT29" s="75">
        <f>BG29+BI29+BK29+BM29</f>
        <v>11930</v>
      </c>
      <c r="FU29" s="61" t="str">
        <f t="shared" si="146"/>
        <v>NA</v>
      </c>
      <c r="FV29" s="75">
        <f>BO29+BQ29+BS29+BU29</f>
        <v>10123</v>
      </c>
      <c r="FW29" s="61">
        <f t="shared" si="147"/>
        <v>-15.146689019279124</v>
      </c>
      <c r="FX29" s="75">
        <f>BW29+BY29+CA29+CC29</f>
        <v>7201</v>
      </c>
      <c r="FY29" s="61">
        <f t="shared" si="148"/>
        <v>-28.864960979946652</v>
      </c>
      <c r="FZ29" s="75">
        <f>CE29+CG29+CI29+CK29</f>
        <v>8266</v>
      </c>
      <c r="GA29" s="61">
        <f t="shared" si="149"/>
        <v>14.78961255381197</v>
      </c>
      <c r="GB29" s="75">
        <f>CM29+CO29+CQ29+CS29</f>
        <v>8723</v>
      </c>
      <c r="GC29" s="61">
        <f t="shared" si="149"/>
        <v>5.5286716670699176</v>
      </c>
      <c r="GD29" s="75">
        <f>CU29+CW29+CY29+DA29</f>
        <v>9814</v>
      </c>
      <c r="GE29" s="61">
        <f>IF(ISERROR((GD29/GB29-1)*100),"NA",IF(((GD29/GB29-1)*100)&gt;100,"NM",IF(((GD29/GB29-1)*100)&lt;-50,"NM",(GD29/GB29-1)*100)))</f>
        <v>12.50716496618136</v>
      </c>
      <c r="GF29" s="75">
        <f>DC29+DE29+DG29+DI29</f>
        <v>13717</v>
      </c>
      <c r="GG29" s="61">
        <f t="shared" ref="GG29:GW44" si="157">IF(ISERROR((GF29/GD29-1)*100),"NA",IF(((GF29/GD29-1)*100)&gt;100,"NM",IF(((GF29/GD29-1)*100)&lt;-50,"NM",(GF29/GD29-1)*100)))</f>
        <v>39.769716731200333</v>
      </c>
      <c r="GH29" s="75">
        <f>DK29+DM29+DO29+DQ29</f>
        <v>12521</v>
      </c>
      <c r="GI29" s="61">
        <f t="shared" si="157"/>
        <v>-8.7191076766056756</v>
      </c>
      <c r="GJ29" s="75">
        <f>DS29+DU29+DW29+DY29</f>
        <v>10812</v>
      </c>
      <c r="GK29" s="61">
        <f t="shared" si="157"/>
        <v>-13.649069563133931</v>
      </c>
      <c r="GL29" s="75">
        <f>EA29+EC29+EE29+EG29</f>
        <v>6237</v>
      </c>
      <c r="GM29" s="61">
        <f t="shared" si="157"/>
        <v>-42.314095449500556</v>
      </c>
      <c r="GN29" s="75">
        <f>EI29+EK29+EM29+EO29</f>
        <v>6742</v>
      </c>
      <c r="GO29" s="61">
        <f t="shared" si="157"/>
        <v>8.0968414301747735</v>
      </c>
      <c r="GP29" s="75">
        <f>EQ29+ES29+EU29+EW29</f>
        <v>9086.4065584707314</v>
      </c>
      <c r="GQ29" s="61">
        <f t="shared" si="157"/>
        <v>34.773161650411332</v>
      </c>
      <c r="GR29" s="65">
        <f>GR28*GR41/100</f>
        <v>9859.3154623705705</v>
      </c>
      <c r="GS29" s="61">
        <f t="shared" si="157"/>
        <v>8.5062108868472421</v>
      </c>
      <c r="GT29" s="65">
        <f>GT28*GT41/100</f>
        <v>11036.770925292494</v>
      </c>
      <c r="GU29" s="61">
        <f t="shared" si="157"/>
        <v>11.942568096292728</v>
      </c>
      <c r="GV29" s="65">
        <f>GV28*GV41/100</f>
        <v>12372.701913257788</v>
      </c>
      <c r="GW29" s="61">
        <f t="shared" si="157"/>
        <v>12.1043645556129</v>
      </c>
      <c r="GX29" s="65">
        <f>GX28*GX41/100</f>
        <v>13894.888822432706</v>
      </c>
      <c r="GY29" s="61">
        <f t="shared" ref="GY29:GY37" si="158">IF(ISERROR((GX29/GV29-1)*100),"NA",IF(((GX29/GV29-1)*100)&gt;100,"NM",IF(((GX29/GV29-1)*100)&lt;-50,"NM",(GX29/GV29-1)*100)))</f>
        <v>12.302784952281453</v>
      </c>
      <c r="GZ29" s="61">
        <f t="shared" si="150"/>
        <v>15.561525333576242</v>
      </c>
      <c r="HA29" s="61"/>
      <c r="HB29" s="452"/>
      <c r="HC29"/>
      <c r="HD29"/>
      <c r="HE29"/>
      <c r="HF29"/>
      <c r="HG29"/>
      <c r="HH29"/>
    </row>
    <row r="30" spans="1:216" s="5" customFormat="1" ht="12.75" hidden="1" customHeight="1" outlineLevel="1" x14ac:dyDescent="0.2">
      <c r="B30" s="548" t="s">
        <v>227</v>
      </c>
      <c r="C30" s="66"/>
      <c r="D30" s="67"/>
      <c r="E30" s="66"/>
      <c r="F30" s="66"/>
      <c r="G30" s="64"/>
      <c r="H30" s="66"/>
      <c r="I30" s="64"/>
      <c r="J30" s="66"/>
      <c r="K30" s="64"/>
      <c r="L30" s="61"/>
      <c r="M30" s="66"/>
      <c r="N30" s="61"/>
      <c r="O30" s="64"/>
      <c r="P30" s="61"/>
      <c r="Q30" s="64"/>
      <c r="R30" s="61"/>
      <c r="S30" s="64"/>
      <c r="T30" s="61"/>
      <c r="U30" s="64"/>
      <c r="V30" s="61"/>
      <c r="W30" s="64"/>
      <c r="X30" s="61"/>
      <c r="Y30" s="64"/>
      <c r="Z30" s="61"/>
      <c r="AA30" s="64"/>
      <c r="AB30" s="61"/>
      <c r="AC30" s="64"/>
      <c r="AD30" s="61"/>
      <c r="AE30" s="64"/>
      <c r="AF30" s="61"/>
      <c r="AG30" s="64"/>
      <c r="AH30" s="61"/>
      <c r="AI30" s="64"/>
      <c r="AJ30" s="61"/>
      <c r="AK30" s="64"/>
      <c r="AL30" s="61"/>
      <c r="AM30" s="64"/>
      <c r="AN30" s="61"/>
      <c r="AO30" s="64"/>
      <c r="AP30" s="61"/>
      <c r="AQ30" s="64"/>
      <c r="AR30" s="61"/>
      <c r="AS30" s="64"/>
      <c r="AT30" s="61"/>
      <c r="AU30" s="64"/>
      <c r="AV30" s="61"/>
      <c r="AW30" s="64"/>
      <c r="AX30" s="61"/>
      <c r="AY30" s="64"/>
      <c r="AZ30" s="61"/>
      <c r="BA30" s="64"/>
      <c r="BB30" s="61"/>
      <c r="BC30" s="64"/>
      <c r="BD30" s="61"/>
      <c r="BE30" s="64"/>
      <c r="BF30" s="61"/>
      <c r="BG30" s="64"/>
      <c r="BH30" s="61"/>
      <c r="BI30" s="64"/>
      <c r="BJ30" s="61"/>
      <c r="BK30" s="64"/>
      <c r="BL30" s="61"/>
      <c r="BM30" s="64"/>
      <c r="BN30" s="61"/>
      <c r="BO30" s="64"/>
      <c r="BP30" s="61"/>
      <c r="BQ30" s="64"/>
      <c r="BR30" s="61"/>
      <c r="BS30" s="64"/>
      <c r="BT30" s="61"/>
      <c r="BU30" s="64"/>
      <c r="BV30" s="61"/>
      <c r="BW30" s="64"/>
      <c r="BX30" s="61"/>
      <c r="BY30" s="64"/>
      <c r="BZ30" s="61"/>
      <c r="CA30" s="64"/>
      <c r="CB30" s="61"/>
      <c r="CC30" s="64"/>
      <c r="CD30" s="61"/>
      <c r="CE30" s="64"/>
      <c r="CF30" s="61"/>
      <c r="CG30" s="64"/>
      <c r="CH30" s="61"/>
      <c r="CI30" s="64"/>
      <c r="CJ30" s="61"/>
      <c r="CK30" s="64"/>
      <c r="CL30" s="61"/>
      <c r="CM30" s="64"/>
      <c r="CN30" s="61"/>
      <c r="CO30" s="64"/>
      <c r="CP30" s="61"/>
      <c r="CQ30" s="64"/>
      <c r="CR30" s="61"/>
      <c r="CS30" s="64"/>
      <c r="CT30" s="61"/>
      <c r="CU30" s="64"/>
      <c r="CV30" s="61"/>
      <c r="CW30" s="64"/>
      <c r="CX30" s="61"/>
      <c r="CY30" s="64"/>
      <c r="CZ30" s="61"/>
      <c r="DA30" s="64"/>
      <c r="DB30" s="61"/>
      <c r="DC30" s="566"/>
      <c r="DD30" s="61"/>
      <c r="DE30" s="64"/>
      <c r="DF30" s="61"/>
      <c r="DG30" s="64"/>
      <c r="DH30" s="61"/>
      <c r="DI30" s="64"/>
      <c r="DJ30" s="61"/>
      <c r="DK30" s="64"/>
      <c r="DL30" s="130"/>
      <c r="DM30" s="64"/>
      <c r="DN30" s="130" t="str">
        <f t="shared" si="151"/>
        <v>NA</v>
      </c>
      <c r="DO30" s="64"/>
      <c r="DP30" s="130" t="str">
        <f t="shared" si="151"/>
        <v>NA</v>
      </c>
      <c r="DQ30" s="64"/>
      <c r="DR30" s="130" t="str">
        <f t="shared" si="151"/>
        <v>NA</v>
      </c>
      <c r="DS30" s="64"/>
      <c r="DT30" s="130" t="str">
        <f t="shared" si="151"/>
        <v>NA</v>
      </c>
      <c r="DU30" s="64"/>
      <c r="DV30" s="130" t="str">
        <f t="shared" si="151"/>
        <v>NA</v>
      </c>
      <c r="DW30" s="64"/>
      <c r="DX30" s="64"/>
      <c r="DY30" s="64"/>
      <c r="DZ30" s="130" t="str">
        <f t="shared" si="151"/>
        <v>NA</v>
      </c>
      <c r="EA30" s="64"/>
      <c r="EB30" s="130" t="str">
        <f t="shared" si="152"/>
        <v>NA</v>
      </c>
      <c r="EC30" s="64"/>
      <c r="ED30" s="130" t="str">
        <f t="shared" si="153"/>
        <v>NA</v>
      </c>
      <c r="EE30" s="64"/>
      <c r="EF30" s="130" t="str">
        <f t="shared" si="154"/>
        <v>NA</v>
      </c>
      <c r="EG30" s="64"/>
      <c r="EH30" s="130" t="str">
        <f t="shared" si="155"/>
        <v>NA</v>
      </c>
      <c r="EI30" s="64"/>
      <c r="EJ30" s="130" t="str">
        <f t="shared" si="132"/>
        <v>NA</v>
      </c>
      <c r="EK30" s="64"/>
      <c r="EL30" s="130" t="str">
        <f t="shared" si="134"/>
        <v>NA</v>
      </c>
      <c r="EM30" s="64"/>
      <c r="EN30" s="130" t="str">
        <f t="shared" si="135"/>
        <v>NA</v>
      </c>
      <c r="EO30" s="64"/>
      <c r="EP30" s="130" t="str">
        <f t="shared" si="137"/>
        <v>NA</v>
      </c>
      <c r="EQ30" s="568"/>
      <c r="ER30" s="130" t="str">
        <f t="shared" si="139"/>
        <v>NA</v>
      </c>
      <c r="ES30" s="568"/>
      <c r="ET30" s="130" t="str">
        <f t="shared" si="141"/>
        <v>NA</v>
      </c>
      <c r="EU30" s="568"/>
      <c r="EV30" s="130" t="str">
        <f t="shared" si="143"/>
        <v>NA</v>
      </c>
      <c r="EW30" s="568"/>
      <c r="EX30" s="130" t="str">
        <f t="shared" si="145"/>
        <v>NA</v>
      </c>
      <c r="EY30" s="64"/>
      <c r="EZ30" s="558"/>
      <c r="FA30" s="64"/>
      <c r="FB30" s="66"/>
      <c r="FC30" s="66"/>
      <c r="FD30" s="66"/>
      <c r="FE30" s="67"/>
      <c r="FF30" s="66"/>
      <c r="FG30" s="67"/>
      <c r="FH30" s="66"/>
      <c r="FI30" s="67"/>
      <c r="FJ30" s="66"/>
      <c r="FK30" s="67"/>
      <c r="FL30" s="66"/>
      <c r="FM30" s="61"/>
      <c r="FN30" s="66"/>
      <c r="FO30" s="61"/>
      <c r="FP30" s="65"/>
      <c r="FQ30" s="61"/>
      <c r="FR30" s="65"/>
      <c r="FS30" s="61"/>
      <c r="FT30" s="65"/>
      <c r="FU30" s="61"/>
      <c r="FV30" s="75"/>
      <c r="FW30" s="61"/>
      <c r="FX30" s="75"/>
      <c r="FY30" s="61"/>
      <c r="FZ30" s="75"/>
      <c r="GA30" s="61"/>
      <c r="GB30" s="75"/>
      <c r="GC30" s="61"/>
      <c r="GD30" s="65"/>
      <c r="GE30" s="61"/>
      <c r="GF30" s="65"/>
      <c r="GG30" s="61" t="str">
        <f t="shared" si="157"/>
        <v>NA</v>
      </c>
      <c r="GH30" s="65"/>
      <c r="GI30" s="61" t="str">
        <f t="shared" si="157"/>
        <v>NA</v>
      </c>
      <c r="GJ30" s="65"/>
      <c r="GK30" s="61" t="str">
        <f t="shared" si="157"/>
        <v>NA</v>
      </c>
      <c r="GL30" s="65"/>
      <c r="GM30" s="61" t="str">
        <f t="shared" si="157"/>
        <v>NA</v>
      </c>
      <c r="GN30" s="65"/>
      <c r="GO30" s="61" t="str">
        <f t="shared" si="157"/>
        <v>NA</v>
      </c>
      <c r="GP30" s="65"/>
      <c r="GQ30" s="61" t="str">
        <f t="shared" si="157"/>
        <v>NA</v>
      </c>
      <c r="GR30" s="64"/>
      <c r="GS30" s="61" t="str">
        <f t="shared" si="157"/>
        <v>NA</v>
      </c>
      <c r="GT30" s="64"/>
      <c r="GU30" s="61" t="str">
        <f t="shared" si="157"/>
        <v>NA</v>
      </c>
      <c r="GV30" s="64"/>
      <c r="GW30" s="61" t="str">
        <f t="shared" si="157"/>
        <v>NA</v>
      </c>
      <c r="GX30" s="64"/>
      <c r="GY30" s="61" t="str">
        <f t="shared" si="158"/>
        <v>NA</v>
      </c>
      <c r="GZ30" s="61" t="str">
        <f t="shared" si="150"/>
        <v/>
      </c>
      <c r="HA30" s="61"/>
      <c r="HB30" s="452"/>
      <c r="HC30"/>
      <c r="HD30"/>
      <c r="HE30"/>
      <c r="HF30"/>
      <c r="HG30"/>
      <c r="HH30"/>
    </row>
    <row r="31" spans="1:216" s="5" customFormat="1" ht="12.75" customHeight="1" collapsed="1" x14ac:dyDescent="0.2">
      <c r="B31" s="123" t="s">
        <v>228</v>
      </c>
      <c r="C31" s="66"/>
      <c r="D31" s="67"/>
      <c r="E31" s="66"/>
      <c r="F31" s="66"/>
      <c r="G31" s="64"/>
      <c r="H31" s="66"/>
      <c r="I31" s="64"/>
      <c r="J31" s="66"/>
      <c r="K31" s="64"/>
      <c r="L31" s="61"/>
      <c r="M31" s="66"/>
      <c r="N31" s="61"/>
      <c r="O31" s="64"/>
      <c r="P31" s="61"/>
      <c r="Q31" s="64"/>
      <c r="R31" s="61"/>
      <c r="S31" s="64"/>
      <c r="T31" s="61"/>
      <c r="U31" s="64"/>
      <c r="V31" s="61"/>
      <c r="W31" s="64"/>
      <c r="X31" s="61"/>
      <c r="Y31" s="64"/>
      <c r="Z31" s="61"/>
      <c r="AA31" s="64"/>
      <c r="AB31" s="61"/>
      <c r="AC31" s="64"/>
      <c r="AD31" s="61"/>
      <c r="AE31" s="64"/>
      <c r="AF31" s="61"/>
      <c r="AG31" s="64"/>
      <c r="AH31" s="61"/>
      <c r="AI31" s="64"/>
      <c r="AJ31" s="61"/>
      <c r="AK31" s="64"/>
      <c r="AL31" s="61"/>
      <c r="AM31" s="64"/>
      <c r="AN31" s="61"/>
      <c r="AO31" s="64"/>
      <c r="AP31" s="61"/>
      <c r="AQ31" s="64"/>
      <c r="AR31" s="61"/>
      <c r="AS31" s="64"/>
      <c r="AT31" s="61"/>
      <c r="AU31" s="64"/>
      <c r="AV31" s="61"/>
      <c r="AW31" s="64"/>
      <c r="AX31" s="61"/>
      <c r="AY31" s="64"/>
      <c r="AZ31" s="61"/>
      <c r="BA31" s="64"/>
      <c r="BB31" s="61"/>
      <c r="BC31" s="64"/>
      <c r="BD31" s="61"/>
      <c r="BE31" s="64"/>
      <c r="BF31" s="61"/>
      <c r="BG31" s="74">
        <v>-1330</v>
      </c>
      <c r="BH31" s="61" t="str">
        <f>IF(ISERROR((BG31/AY31-1)*100),"NA",IF(((BG31/AY31-1)*100)&gt;100,"NM",IF(((BG31/AY31-1)*100)&lt;-50,"NM",(BG31/AY31-1)*100)))</f>
        <v>NA</v>
      </c>
      <c r="BI31" s="74">
        <v>-1402</v>
      </c>
      <c r="BJ31" s="61" t="str">
        <f>IF(ISERROR((BI31/BA31-1)*100),"NA",IF(((BI31/BA31-1)*100)&gt;100,"NM",IF(((BI31/BA31-1)*100)&lt;-50,"NM",(BI31/BA31-1)*100)))</f>
        <v>NA</v>
      </c>
      <c r="BK31" s="74">
        <v>-1477</v>
      </c>
      <c r="BL31" s="61" t="str">
        <f>IF(ISERROR((BK31/BC31-1)*100),"NA",IF(((BK31/BC31-1)*100)&gt;100,"NM",IF(((BK31/BC31-1)*100)&lt;-50,"NM",(BK31/BC31-1)*100)))</f>
        <v>NA</v>
      </c>
      <c r="BM31" s="74">
        <v>-1525</v>
      </c>
      <c r="BN31" s="61" t="str">
        <f>IF(ISERROR((BM31/BE31-1)*100),"NA",IF(((BM31/BE31-1)*100)&gt;100,"NM",IF(((BM31/BE31-1)*100)&lt;-50,"NM",(BM31/BE31-1)*100)))</f>
        <v>NA</v>
      </c>
      <c r="BO31" s="74">
        <v>-1383</v>
      </c>
      <c r="BP31" s="61">
        <f>IF(ISERROR((BO31/BG31-1)*100),"NA",IF(((BO31/BG31-1)*100)&gt;100,"NM",IF(((BO31/BG31-1)*100)&lt;-50,"NM",(BO31/BG31-1)*100)))</f>
        <v>3.9849624060150468</v>
      </c>
      <c r="BQ31" s="74">
        <v>-1339</v>
      </c>
      <c r="BR31" s="61">
        <f>IF(ISERROR((BQ31/BI31-1)*100),"NA",IF(((BQ31/BI31-1)*100)&gt;100,"NM",IF(((BQ31/BI31-1)*100)&lt;-50,"NM",(BQ31/BI31-1)*100)))</f>
        <v>-4.4935805991440763</v>
      </c>
      <c r="BS31" s="74">
        <v>-1340</v>
      </c>
      <c r="BT31" s="61">
        <f>IF(ISERROR((BS31/BK31-1)*100),"NA",IF(((BS31/BK31-1)*100)&gt;100,"NM",IF(((BS31/BK31-1)*100)&lt;-50,"NM",(BS31/BK31-1)*100)))</f>
        <v>-9.2755585646580929</v>
      </c>
      <c r="BU31" s="74">
        <v>-1300</v>
      </c>
      <c r="BV31" s="61">
        <f>IF(ISERROR((BU31/BM31-1)*100),"NA",IF(((BU31/BM31-1)*100)&gt;100,"NM",IF(((BU31/BM31-1)*100)&lt;-50,"NM",(BU31/BM31-1)*100)))</f>
        <v>-14.754098360655743</v>
      </c>
      <c r="BW31" s="74">
        <v>-1148</v>
      </c>
      <c r="BX31" s="61">
        <f>IF(ISERROR((BW31/BO31-1)*100),"NA",IF(((BW31/BO31-1)*100)&gt;100,"NM",IF(((BW31/BO31-1)*100)&lt;-50,"NM",(BW31/BO31-1)*100)))</f>
        <v>-16.992046276211138</v>
      </c>
      <c r="BY31" s="74">
        <v>-1075</v>
      </c>
      <c r="BZ31" s="61">
        <f>IF(ISERROR((BY31/BQ31-1)*100),"NA",IF(((BY31/BQ31-1)*100)&gt;100,"NM",IF(((BY31/BQ31-1)*100)&lt;-50,"NM",(BY31/BQ31-1)*100)))</f>
        <v>-19.716206123973112</v>
      </c>
      <c r="CA31" s="74">
        <v>-1082</v>
      </c>
      <c r="CB31" s="61">
        <f>IF(ISERROR((CA31/BS31-1)*100),"NA",IF(((CA31/BS31-1)*100)&gt;100,"NM",IF(((CA31/BS31-1)*100)&lt;-50,"NM",(CA31/BS31-1)*100)))</f>
        <v>-19.253731343283587</v>
      </c>
      <c r="CC31" s="74">
        <v>-1222</v>
      </c>
      <c r="CD31" s="61">
        <f>IF(ISERROR((CC31/BU31-1)*100),"NA",IF(((CC31/BU31-1)*100)&gt;100,"NM",IF(((CC31/BU31-1)*100)&lt;-50,"NM",(CC31/BU31-1)*100)))</f>
        <v>-6.0000000000000053</v>
      </c>
      <c r="CE31" s="74">
        <v>-1313</v>
      </c>
      <c r="CF31" s="61">
        <f>IF(ISERROR((CE31/BW31-1)*100),"NA",IF(((CE31/BW31-1)*100)&gt;100,"NM",IF(((CE31/BW31-1)*100)&lt;-50,"NM",(CE31/BW31-1)*100)))</f>
        <v>14.372822299651578</v>
      </c>
      <c r="CG31" s="74">
        <v>-1316</v>
      </c>
      <c r="CH31" s="61">
        <f>IF(ISERROR((CG31/BY31-1)*100),"NA",IF(((CG31/BY31-1)*100)&gt;100,"NM",IF(((CG31/BY31-1)*100)&lt;-50,"NM",(CG31/BY31-1)*100)))</f>
        <v>22.418604651162788</v>
      </c>
      <c r="CI31" s="74">
        <v>-1308</v>
      </c>
      <c r="CJ31" s="61">
        <f>IF(ISERROR((CI31/CA31-1)*100),"NA",IF(((CI31/CA31-1)*100)&gt;100,"NM",IF(((CI31/CA31-1)*100)&lt;-50,"NM",(CI31/CA31-1)*100)))</f>
        <v>20.887245841035117</v>
      </c>
      <c r="CK31" s="74">
        <v>-1544</v>
      </c>
      <c r="CL31" s="61">
        <f>IF(ISERROR((CK31/CC31-1)*100),"NA",IF(((CK31/CC31-1)*100)&gt;100,"NM",IF(((CK31/CC31-1)*100)&lt;-50,"NM",(CK31/CC31-1)*100)))</f>
        <v>26.350245499181678</v>
      </c>
      <c r="CM31" s="74">
        <v>-1732</v>
      </c>
      <c r="CN31" s="61">
        <f t="shared" ref="CN31:CP37" si="159">IF(ISERROR((CM31/CE31-1)*100),"NA",IF(((CM31/CE31-1)*100)&gt;100,"NM",IF(((CM31/CE31-1)*100)&lt;-50,"NM",(CM31/CE31-1)*100)))</f>
        <v>31.911652703731907</v>
      </c>
      <c r="CO31" s="74">
        <v>-1790</v>
      </c>
      <c r="CP31" s="61">
        <f t="shared" si="159"/>
        <v>36.018237082066861</v>
      </c>
      <c r="CQ31" s="74">
        <v>-1538</v>
      </c>
      <c r="CR31" s="61">
        <f t="shared" ref="CR31:CR37" si="160">IF(ISERROR((CQ31/CI31-1)*100),"NA",IF(((CQ31/CI31-1)*100)&gt;100,"NM",IF(((CQ31/CI31-1)*100)&lt;-50,"NM",(CQ31/CI31-1)*100)))</f>
        <v>17.584097859327219</v>
      </c>
      <c r="CS31" s="74">
        <v>-1555</v>
      </c>
      <c r="CT31" s="61">
        <f t="shared" ref="CT31:CT37" si="161">IF(ISERROR((CS31/CK31-1)*100),"NA",IF(((CS31/CK31-1)*100)&gt;100,"NM",IF(((CS31/CK31-1)*100)&lt;-50,"NM",(CS31/CK31-1)*100)))</f>
        <v>0.71243523316062429</v>
      </c>
      <c r="CU31" s="74">
        <v>-1722</v>
      </c>
      <c r="CV31" s="61">
        <f t="shared" ref="CV31:CV37" si="162">IF(ISERROR((CU31/CM31-1)*100),"NA",IF(((CU31/CM31-1)*100)&gt;100,"NM",IF(((CU31/CM31-1)*100)&lt;-50,"NM",(CU31/CM31-1)*100)))</f>
        <v>-0.57736720554272258</v>
      </c>
      <c r="CW31" s="74">
        <v>-1689</v>
      </c>
      <c r="CX31" s="61">
        <f t="shared" ref="CX31:CX37" si="163">IF(ISERROR((CW31/CO31-1)*100),"NA",IF(((CW31/CO31-1)*100)&gt;100,"NM",IF(((CW31/CO31-1)*100)&lt;-50,"NM",(CW31/CO31-1)*100)))</f>
        <v>-5.642458100558656</v>
      </c>
      <c r="CY31" s="74">
        <v>-1682</v>
      </c>
      <c r="CZ31" s="61">
        <f t="shared" ref="CZ31:CZ37" si="164">IF(ISERROR((CY31/CQ31-1)*100),"NA",IF(((CY31/CQ31-1)*100)&gt;100,"NM",IF(((CY31/CQ31-1)*100)&lt;-50,"NM",(CY31/CQ31-1)*100)))</f>
        <v>9.3628088426527931</v>
      </c>
      <c r="DA31" s="74">
        <v>-1908</v>
      </c>
      <c r="DB31" s="61">
        <f t="shared" ref="DB31:DB37" si="165">IF(ISERROR((DA31/CS31-1)*100),"NA",IF(((DA31/CS31-1)*100)&gt;100,"NM",IF(((DA31/CS31-1)*100)&lt;-50,"NM",(DA31/CS31-1)*100)))</f>
        <v>22.700964630225084</v>
      </c>
      <c r="DC31" s="74">
        <v>-1899</v>
      </c>
      <c r="DD31" s="61">
        <f t="shared" ref="DD31:DD37" si="166">IF(ISERROR((DC31/CU31-1)*100),"NA",IF(((DC31/CU31-1)*100)&gt;100,"NM",IF(((DC31/CU31-1)*100)&lt;-50,"NM",(DC31/CU31-1)*100)))</f>
        <v>10.278745644599297</v>
      </c>
      <c r="DE31" s="74">
        <v>-2016</v>
      </c>
      <c r="DF31" s="61">
        <f t="shared" ref="DF31:DF37" si="167">IF(ISERROR((DE31/CW31-1)*100),"NA",IF(((DE31/CW31-1)*100)&gt;100,"NM",IF(((DE31/CW31-1)*100)&lt;-50,"NM",(DE31/CW31-1)*100)))</f>
        <v>19.360568383658961</v>
      </c>
      <c r="DG31" s="74">
        <v>-1943</v>
      </c>
      <c r="DH31" s="61">
        <f t="shared" ref="DH31:DH37" si="168">IF(ISERROR((DG31/CY31-1)*100),"NA",IF(((DG31/CY31-1)*100)&gt;100,"NM",IF(((DG31/CY31-1)*100)&lt;-50,"NM",(DG31/CY31-1)*100)))</f>
        <v>15.517241379310342</v>
      </c>
      <c r="DI31" s="74">
        <v>-2103</v>
      </c>
      <c r="DJ31" s="61">
        <f t="shared" ref="DJ31:DJ37" si="169">IF(ISERROR((DI31/DA31-1)*100),"NA",IF(((DI31/DA31-1)*100)&gt;100,"NM",IF(((DI31/DA31-1)*100)&lt;-50,"NM",(DI31/DA31-1)*100)))</f>
        <v>10.220125786163514</v>
      </c>
      <c r="DK31" s="74">
        <v>-2260</v>
      </c>
      <c r="DL31" s="130">
        <f t="shared" ref="DL31:DL37" si="170">IF(ISERROR((DK31/DC31-1)*100),"NA",IF(((DK31/DC31-1)*100)&gt;100,"NM",IF(((DK31/DC31-1)*100)&lt;-50,"NM",(DK31/DC31-1)*100)))</f>
        <v>19.010005265929443</v>
      </c>
      <c r="DM31" s="74">
        <v>-2275</v>
      </c>
      <c r="DN31" s="130">
        <f t="shared" si="151"/>
        <v>12.847222222222232</v>
      </c>
      <c r="DO31" s="74">
        <v>-2413</v>
      </c>
      <c r="DP31" s="130">
        <f t="shared" si="151"/>
        <v>24.189397838394243</v>
      </c>
      <c r="DQ31" s="74">
        <v>-2345</v>
      </c>
      <c r="DR31" s="130">
        <f t="shared" si="151"/>
        <v>11.507370423204954</v>
      </c>
      <c r="DS31" s="74">
        <v>-2340</v>
      </c>
      <c r="DT31" s="130">
        <f t="shared" si="151"/>
        <v>3.539823008849563</v>
      </c>
      <c r="DU31" s="74">
        <v>-2440</v>
      </c>
      <c r="DV31" s="130">
        <f t="shared" si="151"/>
        <v>7.2527472527472492</v>
      </c>
      <c r="DW31" s="74">
        <v>-2243</v>
      </c>
      <c r="DX31" s="74">
        <v>-2243</v>
      </c>
      <c r="DY31" s="74">
        <v>-2131</v>
      </c>
      <c r="DZ31" s="130">
        <f t="shared" si="151"/>
        <v>-9.1257995735607658</v>
      </c>
      <c r="EA31" s="74">
        <f>-1030-946</f>
        <v>-1976</v>
      </c>
      <c r="EB31" s="130">
        <f t="shared" si="152"/>
        <v>-15.555555555555555</v>
      </c>
      <c r="EC31" s="74">
        <f>-1160-930</f>
        <v>-2090</v>
      </c>
      <c r="ED31" s="130">
        <f t="shared" si="153"/>
        <v>-14.344262295081966</v>
      </c>
      <c r="EE31" s="74">
        <f>-1312-945</f>
        <v>-2257</v>
      </c>
      <c r="EF31" s="130">
        <f t="shared" si="154"/>
        <v>0.62416406598306828</v>
      </c>
      <c r="EG31" s="74">
        <f>-1236-1037</f>
        <v>-2273</v>
      </c>
      <c r="EH31" s="130">
        <f t="shared" si="155"/>
        <v>6.6635382449554248</v>
      </c>
      <c r="EI31" s="74">
        <f>-1439-1041</f>
        <v>-2480</v>
      </c>
      <c r="EJ31" s="130">
        <f t="shared" si="132"/>
        <v>25.506072874493935</v>
      </c>
      <c r="EK31" s="74">
        <f>-1474-1038</f>
        <v>-2512</v>
      </c>
      <c r="EL31" s="130">
        <f t="shared" si="134"/>
        <v>20.191387559808604</v>
      </c>
      <c r="EM31" s="74">
        <f>-1374-992</f>
        <v>-2366</v>
      </c>
      <c r="EN31" s="130">
        <f t="shared" si="135"/>
        <v>4.8294195835179465</v>
      </c>
      <c r="EO31" s="74">
        <f>-1492-1138</f>
        <v>-2630</v>
      </c>
      <c r="EP31" s="130">
        <f t="shared" si="137"/>
        <v>15.706115266168052</v>
      </c>
      <c r="EQ31" s="569">
        <f t="shared" ref="EQ31:EW31" si="171">EQ42/400*EQ28</f>
        <v>-2645.1177678743329</v>
      </c>
      <c r="ER31" s="130">
        <f t="shared" si="139"/>
        <v>6.6579745110618038</v>
      </c>
      <c r="ES31" s="569">
        <f t="shared" si="171"/>
        <v>-2554.783938285872</v>
      </c>
      <c r="ET31" s="130">
        <f t="shared" si="141"/>
        <v>1.7031822566031751</v>
      </c>
      <c r="EU31" s="569">
        <f t="shared" si="171"/>
        <v>-2518.569536735341</v>
      </c>
      <c r="EV31" s="130">
        <f t="shared" si="143"/>
        <v>6.4484165991268272</v>
      </c>
      <c r="EW31" s="569">
        <f t="shared" si="171"/>
        <v>-2485.8326881964222</v>
      </c>
      <c r="EX31" s="130">
        <f t="shared" si="145"/>
        <v>-5.4816468366379434</v>
      </c>
      <c r="EY31" s="64"/>
      <c r="EZ31" s="558"/>
      <c r="FA31" s="64"/>
      <c r="FB31" s="66"/>
      <c r="FC31" s="66"/>
      <c r="FD31" s="66"/>
      <c r="FE31" s="67"/>
      <c r="FF31" s="66"/>
      <c r="FG31" s="67"/>
      <c r="FH31" s="66"/>
      <c r="FI31" s="67"/>
      <c r="FJ31" s="66"/>
      <c r="FK31" s="67"/>
      <c r="FL31" s="66"/>
      <c r="FM31" s="61"/>
      <c r="FN31" s="66"/>
      <c r="FO31" s="61"/>
      <c r="FP31" s="65"/>
      <c r="FQ31" s="61"/>
      <c r="FR31" s="65"/>
      <c r="FS31" s="61"/>
      <c r="FT31" s="75">
        <f>BG31+BI31+BK31+BM31</f>
        <v>-5734</v>
      </c>
      <c r="FU31" s="61" t="str">
        <f t="shared" si="146"/>
        <v>NA</v>
      </c>
      <c r="FV31" s="75">
        <f>BO31+BQ31+BS31+BU31</f>
        <v>-5362</v>
      </c>
      <c r="FW31" s="61">
        <f t="shared" si="147"/>
        <v>-6.487617718869898</v>
      </c>
      <c r="FX31" s="75">
        <f>BW31+BY31+CA31+CC31</f>
        <v>-4527</v>
      </c>
      <c r="FY31" s="61">
        <f t="shared" si="148"/>
        <v>-15.572547556881755</v>
      </c>
      <c r="FZ31" s="75">
        <f>CE31+CG31+CI31+CK31</f>
        <v>-5481</v>
      </c>
      <c r="GA31" s="61">
        <f t="shared" si="149"/>
        <v>21.073558648111334</v>
      </c>
      <c r="GB31" s="75">
        <f>CM31+CO31+CQ31+CS31</f>
        <v>-6615</v>
      </c>
      <c r="GC31" s="61">
        <f t="shared" si="149"/>
        <v>20.68965517241379</v>
      </c>
      <c r="GD31" s="75">
        <f>CU31+CW31+CY31+DA31</f>
        <v>-7001</v>
      </c>
      <c r="GE31" s="61">
        <f t="shared" ref="GE31:GE37" si="172">IF(ISERROR((GD31/GB31-1)*100),"NA",IF(((GD31/GB31-1)*100)&gt;100,"NM",IF(((GD31/GB31-1)*100)&lt;-50,"NM",(GD31/GB31-1)*100)))</f>
        <v>5.8352229780801235</v>
      </c>
      <c r="GF31" s="75">
        <f>DC31+DE31+DG31+DI31</f>
        <v>-7961</v>
      </c>
      <c r="GG31" s="61">
        <f t="shared" si="157"/>
        <v>13.712326810455643</v>
      </c>
      <c r="GH31" s="75">
        <f>DK31+DM31+DO31+DQ31</f>
        <v>-9293</v>
      </c>
      <c r="GI31" s="61">
        <f t="shared" si="157"/>
        <v>16.7315663861324</v>
      </c>
      <c r="GJ31" s="75">
        <f>DS31+DU31+DW31+DY31</f>
        <v>-9154</v>
      </c>
      <c r="GK31" s="61">
        <f t="shared" si="157"/>
        <v>-1.4957494888625855</v>
      </c>
      <c r="GL31" s="75">
        <f>EA31+EC31+EE31+EG31</f>
        <v>-8596</v>
      </c>
      <c r="GM31" s="61">
        <f t="shared" si="157"/>
        <v>-6.0956958706576359</v>
      </c>
      <c r="GN31" s="75">
        <f>EI31+EK31+EM31+EO31</f>
        <v>-9988</v>
      </c>
      <c r="GO31" s="61">
        <f t="shared" si="157"/>
        <v>16.193578408562125</v>
      </c>
      <c r="GP31" s="75">
        <f>EQ31+ES31+EU31+EW31</f>
        <v>-10204.303931091967</v>
      </c>
      <c r="GQ31" s="61">
        <f t="shared" si="157"/>
        <v>2.165638076611609</v>
      </c>
      <c r="GR31" s="75">
        <f>GR42/100*GR28</f>
        <v>-8979.8915726383857</v>
      </c>
      <c r="GS31" s="61">
        <f t="shared" si="157"/>
        <v>-11.998979712108159</v>
      </c>
      <c r="GT31" s="75">
        <f>GT42/100*GT28</f>
        <v>-9476.8831598549405</v>
      </c>
      <c r="GU31" s="61">
        <f t="shared" si="157"/>
        <v>5.5344942998073909</v>
      </c>
      <c r="GV31" s="75">
        <f>GV42/100*GV28</f>
        <v>-10048.765133935794</v>
      </c>
      <c r="GW31" s="61">
        <f t="shared" si="157"/>
        <v>6.0344942998074025</v>
      </c>
      <c r="GX31" s="75">
        <f>GX42/100*GX28</f>
        <v>-10705.401118813863</v>
      </c>
      <c r="GY31" s="61">
        <f t="shared" si="158"/>
        <v>6.534494299807414</v>
      </c>
      <c r="GZ31" s="61">
        <f t="shared" si="150"/>
        <v>1.3969477702109989</v>
      </c>
      <c r="HA31" s="61"/>
      <c r="HB31" s="452"/>
      <c r="HC31"/>
      <c r="HD31"/>
      <c r="HE31"/>
      <c r="HF31"/>
      <c r="HG31"/>
      <c r="HH31"/>
    </row>
    <row r="32" spans="1:216" s="5" customFormat="1" ht="12.75" customHeight="1" x14ac:dyDescent="0.2">
      <c r="B32" s="123" t="s">
        <v>229</v>
      </c>
      <c r="C32" s="66"/>
      <c r="D32" s="67"/>
      <c r="E32" s="66"/>
      <c r="F32" s="66"/>
      <c r="G32" s="64"/>
      <c r="H32" s="66"/>
      <c r="I32" s="64"/>
      <c r="J32" s="66"/>
      <c r="K32" s="64"/>
      <c r="L32" s="61"/>
      <c r="M32" s="66"/>
      <c r="N32" s="61"/>
      <c r="O32" s="64"/>
      <c r="P32" s="61"/>
      <c r="Q32" s="64"/>
      <c r="R32" s="61"/>
      <c r="S32" s="64"/>
      <c r="T32" s="61"/>
      <c r="U32" s="64"/>
      <c r="V32" s="61"/>
      <c r="W32" s="64"/>
      <c r="X32" s="61"/>
      <c r="Y32" s="64"/>
      <c r="Z32" s="61"/>
      <c r="AA32" s="64"/>
      <c r="AB32" s="61"/>
      <c r="AC32" s="64"/>
      <c r="AD32" s="61"/>
      <c r="AE32" s="64"/>
      <c r="AF32" s="61"/>
      <c r="AG32" s="64"/>
      <c r="AH32" s="61"/>
      <c r="AI32" s="64"/>
      <c r="AJ32" s="61"/>
      <c r="AK32" s="64"/>
      <c r="AL32" s="61"/>
      <c r="AM32" s="64"/>
      <c r="AN32" s="61"/>
      <c r="AO32" s="64"/>
      <c r="AP32" s="61"/>
      <c r="AQ32" s="64"/>
      <c r="AR32" s="61"/>
      <c r="AS32" s="64"/>
      <c r="AT32" s="61"/>
      <c r="AU32" s="64"/>
      <c r="AV32" s="61"/>
      <c r="AW32" s="64"/>
      <c r="AX32" s="61"/>
      <c r="AY32" s="64"/>
      <c r="AZ32" s="61"/>
      <c r="BA32" s="64"/>
      <c r="BB32" s="61"/>
      <c r="BC32" s="64"/>
      <c r="BD32" s="61"/>
      <c r="BE32" s="64"/>
      <c r="BF32" s="61"/>
      <c r="BG32" s="75">
        <f>BG34-BG28-BG29-BG31</f>
        <v>789</v>
      </c>
      <c r="BH32" s="61" t="str">
        <f>IF(ISERROR((BG32/AY32-1)*100),"NA",IF(((BG32/AY32-1)*100)&gt;100,"NM",IF(((BG32/AY32-1)*100)&lt;-50,"NM",(BG32/AY32-1)*100)))</f>
        <v>NA</v>
      </c>
      <c r="BI32" s="75">
        <f>BI34-BI28-BI29-BI31</f>
        <v>3298</v>
      </c>
      <c r="BJ32" s="61" t="str">
        <f>IF(ISERROR((BI32/BA32-1)*100),"NA",IF(((BI32/BA32-1)*100)&gt;100,"NM",IF(((BI32/BA32-1)*100)&lt;-50,"NM",(BI32/BA32-1)*100)))</f>
        <v>NA</v>
      </c>
      <c r="BK32" s="75">
        <f>BK34-BK28-BK29-BK31</f>
        <v>1619</v>
      </c>
      <c r="BL32" s="61" t="str">
        <f>IF(ISERROR((BK32/BC32-1)*100),"NA",IF(((BK32/BC32-1)*100)&gt;100,"NM",IF(((BK32/BC32-1)*100)&lt;-50,"NM",(BK32/BC32-1)*100)))</f>
        <v>NA</v>
      </c>
      <c r="BM32" s="75">
        <f>BM34-BM28-BM29-BM31</f>
        <v>-1572</v>
      </c>
      <c r="BN32" s="61" t="str">
        <f>IF(ISERROR((BM32/BE32-1)*100),"NA",IF(((BM32/BE32-1)*100)&gt;100,"NM",IF(((BM32/BE32-1)*100)&lt;-50,"NM",(BM32/BE32-1)*100)))</f>
        <v>NA</v>
      </c>
      <c r="BO32" s="75">
        <f>BO34-BO28-BO29-BO31</f>
        <v>-5015</v>
      </c>
      <c r="BP32" s="61" t="str">
        <f>IF(ISERROR((BO32/BG32-1)*100),"NA",IF(((BO32/BG32-1)*100)&gt;100,"NM",IF(((BO32/BG32-1)*100)&lt;-50,"NM",(BO32/BG32-1)*100)))</f>
        <v>NM</v>
      </c>
      <c r="BQ32" s="75">
        <f>BQ34-BQ28-BQ29-BQ31</f>
        <v>-707</v>
      </c>
      <c r="BR32" s="61" t="str">
        <f>IF(ISERROR((BQ32/BI32-1)*100),"NA",IF(((BQ32/BI32-1)*100)&gt;100,"NM",IF(((BQ32/BI32-1)*100)&lt;-50,"NM",(BQ32/BI32-1)*100)))</f>
        <v>NM</v>
      </c>
      <c r="BS32" s="75">
        <f>BS34-BS28-BS29-BS31</f>
        <v>-7031</v>
      </c>
      <c r="BT32" s="61" t="str">
        <f>IF(ISERROR((BS32/BK32-1)*100),"NA",IF(((BS32/BK32-1)*100)&gt;100,"NM",IF(((BS32/BK32-1)*100)&lt;-50,"NM",(BS32/BK32-1)*100)))</f>
        <v>NM</v>
      </c>
      <c r="BU32" s="75">
        <f>BU34-BU28-BU29-BU31</f>
        <v>-9578</v>
      </c>
      <c r="BV32" s="61" t="str">
        <f>IF(ISERROR((BU32/BM32-1)*100),"NA",IF(((BU32/BM32-1)*100)&gt;100,"NM",IF(((BU32/BM32-1)*100)&lt;-50,"NM",(BU32/BM32-1)*100)))</f>
        <v>NM</v>
      </c>
      <c r="BW32" s="75">
        <f>BW34-BW28-BW29-BW31</f>
        <v>-1980</v>
      </c>
      <c r="BX32" s="61" t="str">
        <f>IF(ISERROR((BW32/BO32-1)*100),"NA",IF(((BW32/BO32-1)*100)&gt;100,"NM",IF(((BW32/BO32-1)*100)&lt;-50,"NM",(BW32/BO32-1)*100)))</f>
        <v>NM</v>
      </c>
      <c r="BY32" s="75">
        <f>BY34-BY28-BY29-BY31</f>
        <v>5771</v>
      </c>
      <c r="BZ32" s="61" t="str">
        <f>IF(ISERROR((BY32/BQ32-1)*100),"NA",IF(((BY32/BQ32-1)*100)&gt;100,"NM",IF(((BY32/BQ32-1)*100)&lt;-50,"NM",(BY32/BQ32-1)*100)))</f>
        <v>NM</v>
      </c>
      <c r="CA32" s="75">
        <f>CA34-CA28-CA29-CA31</f>
        <v>6250</v>
      </c>
      <c r="CB32" s="61" t="str">
        <f>IF(ISERROR((CA32/BS32-1)*100),"NA",IF(((CA32/BS32-1)*100)&gt;100,"NM",IF(((CA32/BS32-1)*100)&lt;-50,"NM",(CA32/BS32-1)*100)))</f>
        <v>NM</v>
      </c>
      <c r="CC32" s="75">
        <f>CC34-CC28-CC29-CC31</f>
        <v>2110</v>
      </c>
      <c r="CD32" s="61" t="str">
        <f>IF(ISERROR((CC32/BU32-1)*100),"NA",IF(((CC32/BU32-1)*100)&gt;100,"NM",IF(((CC32/BU32-1)*100)&lt;-50,"NM",(CC32/BU32-1)*100)))</f>
        <v>NM</v>
      </c>
      <c r="CE32" s="75">
        <f>CE34-CE28-CE29-CE31</f>
        <v>1792</v>
      </c>
      <c r="CF32" s="61" t="str">
        <f>IF(ISERROR((CE32/BW32-1)*100),"NA",IF(((CE32/BW32-1)*100)&gt;100,"NM",IF(((CE32/BW32-1)*100)&lt;-50,"NM",(CE32/BW32-1)*100)))</f>
        <v>NM</v>
      </c>
      <c r="CG32" s="75">
        <f>CG34-CG28-CG29-CG31</f>
        <v>-4764</v>
      </c>
      <c r="CH32" s="61" t="str">
        <f>IF(ISERROR((CG32/BY32-1)*100),"NA",IF(((CG32/BY32-1)*100)&gt;100,"NM",IF(((CG32/BY32-1)*100)&lt;-50,"NM",(CG32/BY32-1)*100)))</f>
        <v>NM</v>
      </c>
      <c r="CI32" s="75">
        <f>CI34-CI28-CI29-CI31</f>
        <v>5373</v>
      </c>
      <c r="CJ32" s="61">
        <f>IF(ISERROR((CI32/CA32-1)*100),"NA",IF(((CI32/CA32-1)*100)&gt;100,"NM",IF(((CI32/CA32-1)*100)&lt;-50,"NM",(CI32/CA32-1)*100)))</f>
        <v>-14.032</v>
      </c>
      <c r="CK32" s="75">
        <f>CK34-CK28-CK29-CK31</f>
        <v>3837</v>
      </c>
      <c r="CL32" s="61">
        <f>IF(ISERROR((CK32/CC32-1)*100),"NA",IF(((CK32/CC32-1)*100)&gt;100,"NM",IF(((CK32/CC32-1)*100)&lt;-50,"NM",(CK32/CC32-1)*100)))</f>
        <v>81.848341232227483</v>
      </c>
      <c r="CM32" s="75">
        <f>CM34-CM28-CM29-CM31</f>
        <v>2249</v>
      </c>
      <c r="CN32" s="61">
        <f t="shared" si="159"/>
        <v>25.502232142857139</v>
      </c>
      <c r="CO32" s="74">
        <v>180</v>
      </c>
      <c r="CP32" s="61" t="str">
        <f t="shared" si="159"/>
        <v>NM</v>
      </c>
      <c r="CQ32" s="74">
        <v>-8314</v>
      </c>
      <c r="CR32" s="61" t="str">
        <f t="shared" si="160"/>
        <v>NM</v>
      </c>
      <c r="CS32" s="74">
        <v>3717</v>
      </c>
      <c r="CT32" s="61">
        <f t="shared" si="161"/>
        <v>-3.1274433150899172</v>
      </c>
      <c r="CU32" s="74">
        <v>5573</v>
      </c>
      <c r="CV32" s="61" t="str">
        <f t="shared" si="162"/>
        <v>NM</v>
      </c>
      <c r="CW32" s="74">
        <v>-2123</v>
      </c>
      <c r="CX32" s="61" t="str">
        <f t="shared" si="163"/>
        <v>NM</v>
      </c>
      <c r="CY32" s="74">
        <v>3214</v>
      </c>
      <c r="CZ32" s="61" t="str">
        <f t="shared" si="164"/>
        <v>NM</v>
      </c>
      <c r="DA32" s="74">
        <v>1099</v>
      </c>
      <c r="DB32" s="61" t="str">
        <f t="shared" si="165"/>
        <v>NM</v>
      </c>
      <c r="DC32" s="74">
        <v>3741</v>
      </c>
      <c r="DD32" s="61">
        <f t="shared" si="166"/>
        <v>-32.872779472456479</v>
      </c>
      <c r="DE32" s="74">
        <v>-193</v>
      </c>
      <c r="DF32" s="61" t="str">
        <f t="shared" si="167"/>
        <v>NM</v>
      </c>
      <c r="DG32" s="74">
        <v>4162</v>
      </c>
      <c r="DH32" s="61">
        <f t="shared" si="168"/>
        <v>29.49595519601742</v>
      </c>
      <c r="DI32" s="74">
        <v>4926</v>
      </c>
      <c r="DJ32" s="61" t="str">
        <f t="shared" si="169"/>
        <v>NM</v>
      </c>
      <c r="DK32" s="74">
        <v>813</v>
      </c>
      <c r="DL32" s="130" t="str">
        <f t="shared" si="170"/>
        <v>NM</v>
      </c>
      <c r="DM32" s="74">
        <v>3347</v>
      </c>
      <c r="DN32" s="130" t="str">
        <f t="shared" si="151"/>
        <v>NM</v>
      </c>
      <c r="DO32" s="74">
        <v>-1618</v>
      </c>
      <c r="DP32" s="130" t="str">
        <f t="shared" si="151"/>
        <v>NM</v>
      </c>
      <c r="DQ32" s="74">
        <v>1005</v>
      </c>
      <c r="DR32" s="130" t="str">
        <f t="shared" si="151"/>
        <v>NM</v>
      </c>
      <c r="DS32" s="74">
        <v>1849</v>
      </c>
      <c r="DT32" s="130" t="str">
        <f t="shared" si="151"/>
        <v>NM</v>
      </c>
      <c r="DU32" s="74">
        <v>-254</v>
      </c>
      <c r="DV32" s="130" t="str">
        <f t="shared" si="151"/>
        <v>NM</v>
      </c>
      <c r="DW32" s="74">
        <v>-6514</v>
      </c>
      <c r="DX32" s="74">
        <v>-6514</v>
      </c>
      <c r="DY32" s="74">
        <v>2334</v>
      </c>
      <c r="DZ32" s="130" t="str">
        <f t="shared" si="151"/>
        <v>NM</v>
      </c>
      <c r="EA32" s="74">
        <v>48</v>
      </c>
      <c r="EB32" s="130" t="str">
        <f t="shared" si="152"/>
        <v>NM</v>
      </c>
      <c r="EC32" s="74">
        <v>1413</v>
      </c>
      <c r="ED32" s="130" t="str">
        <f t="shared" si="153"/>
        <v>NM</v>
      </c>
      <c r="EE32" s="74">
        <v>3351</v>
      </c>
      <c r="EF32" s="130" t="str">
        <f t="shared" si="154"/>
        <v>NM</v>
      </c>
      <c r="EG32" s="74">
        <v>167</v>
      </c>
      <c r="EH32" s="130" t="str">
        <f t="shared" si="155"/>
        <v>NM</v>
      </c>
      <c r="EI32" s="74">
        <v>4735</v>
      </c>
      <c r="EJ32" s="130" t="str">
        <f t="shared" si="132"/>
        <v>NM</v>
      </c>
      <c r="EK32" s="74">
        <v>2993</v>
      </c>
      <c r="EL32" s="130" t="str">
        <f t="shared" si="134"/>
        <v>NM</v>
      </c>
      <c r="EM32" s="74">
        <v>3534</v>
      </c>
      <c r="EN32" s="130">
        <f t="shared" si="135"/>
        <v>5.4610564010743046</v>
      </c>
      <c r="EO32" s="74">
        <v>3697</v>
      </c>
      <c r="EP32" s="130" t="str">
        <f t="shared" si="137"/>
        <v>NM</v>
      </c>
      <c r="EQ32" s="567">
        <f t="shared" ref="EQ32:EW32" si="173">EQ28*(EQ45/100*EQ23/100)</f>
        <v>-845.84879999999998</v>
      </c>
      <c r="ER32" s="130" t="str">
        <f t="shared" si="139"/>
        <v>NM</v>
      </c>
      <c r="ES32" s="567">
        <f t="shared" si="173"/>
        <v>1392.5269911855082</v>
      </c>
      <c r="ET32" s="130" t="str">
        <f t="shared" si="141"/>
        <v>NM</v>
      </c>
      <c r="EU32" s="567">
        <f t="shared" si="173"/>
        <v>1404.6897889050322</v>
      </c>
      <c r="EV32" s="130" t="str">
        <f t="shared" si="143"/>
        <v>NM</v>
      </c>
      <c r="EW32" s="567">
        <f t="shared" si="173"/>
        <v>1419.4170277091689</v>
      </c>
      <c r="EX32" s="130" t="str">
        <f t="shared" si="145"/>
        <v>NM</v>
      </c>
      <c r="EY32" s="64"/>
      <c r="EZ32" s="558"/>
      <c r="FA32" s="64"/>
      <c r="FB32" s="66"/>
      <c r="FC32" s="66"/>
      <c r="FD32" s="66"/>
      <c r="FE32" s="67"/>
      <c r="FF32" s="66"/>
      <c r="FG32" s="67"/>
      <c r="FH32" s="66"/>
      <c r="FI32" s="67"/>
      <c r="FJ32" s="66"/>
      <c r="FK32" s="67"/>
      <c r="FL32" s="66"/>
      <c r="FM32" s="61"/>
      <c r="FN32" s="66"/>
      <c r="FO32" s="61"/>
      <c r="FP32" s="65"/>
      <c r="FQ32" s="61"/>
      <c r="FR32" s="65"/>
      <c r="FS32" s="61"/>
      <c r="FT32" s="75">
        <f>BG32+BI32+BK32+BM32</f>
        <v>4134</v>
      </c>
      <c r="FU32" s="61" t="str">
        <f t="shared" si="146"/>
        <v>NA</v>
      </c>
      <c r="FV32" s="75">
        <f>BO32+BQ32+BS32+BU32</f>
        <v>-22331</v>
      </c>
      <c r="FW32" s="61" t="str">
        <f t="shared" si="147"/>
        <v>NM</v>
      </c>
      <c r="FX32" s="75">
        <f>BW32+BY32+CA32+CC32</f>
        <v>12151</v>
      </c>
      <c r="FY32" s="61" t="str">
        <f t="shared" si="148"/>
        <v>NM</v>
      </c>
      <c r="FZ32" s="75">
        <f>CE32+CG32+CI32+CK32</f>
        <v>6238</v>
      </c>
      <c r="GA32" s="61">
        <f t="shared" si="149"/>
        <v>-48.662661509340801</v>
      </c>
      <c r="GB32" s="75">
        <f>CM32+CO32+CQ32+CS32</f>
        <v>-2168</v>
      </c>
      <c r="GC32" s="61" t="str">
        <f t="shared" si="149"/>
        <v>NM</v>
      </c>
      <c r="GD32" s="75">
        <f>CU32+CW32+CY32+DA32</f>
        <v>7763</v>
      </c>
      <c r="GE32" s="61" t="str">
        <f t="shared" si="172"/>
        <v>NM</v>
      </c>
      <c r="GF32" s="75">
        <f>DC32+DE32+DG32+DI32</f>
        <v>12636</v>
      </c>
      <c r="GG32" s="61">
        <f t="shared" si="157"/>
        <v>62.772124178796851</v>
      </c>
      <c r="GH32" s="75">
        <f>DK32+DM32+DO32+DQ32</f>
        <v>3547</v>
      </c>
      <c r="GI32" s="61" t="str">
        <f t="shared" si="157"/>
        <v>NM</v>
      </c>
      <c r="GJ32" s="75">
        <f>DS32+DU32+DW32+DY32</f>
        <v>-2585</v>
      </c>
      <c r="GK32" s="61" t="str">
        <f t="shared" si="157"/>
        <v>NM</v>
      </c>
      <c r="GL32" s="75">
        <f>EA32+EC32+EE32+EG32</f>
        <v>4979</v>
      </c>
      <c r="GM32" s="61" t="str">
        <f t="shared" si="157"/>
        <v>NM</v>
      </c>
      <c r="GN32" s="75">
        <f>EI32+EK32+EM32+EO32</f>
        <v>14959</v>
      </c>
      <c r="GO32" s="61" t="str">
        <f t="shared" si="157"/>
        <v>NM</v>
      </c>
      <c r="GP32" s="75">
        <f>EQ32+ES32+EU32+EW32</f>
        <v>3370.7850077997091</v>
      </c>
      <c r="GQ32" s="61" t="str">
        <f t="shared" si="157"/>
        <v>NM</v>
      </c>
      <c r="GR32" s="65">
        <f>GR28*(GR45/100*GR23/100)</f>
        <v>5747.1306064885666</v>
      </c>
      <c r="GS32" s="61">
        <f t="shared" si="157"/>
        <v>70.498284322203773</v>
      </c>
      <c r="GT32" s="65">
        <f>GT28*(GT45/100*GT23/100)</f>
        <v>6065.2052223071623</v>
      </c>
      <c r="GU32" s="61">
        <f t="shared" si="157"/>
        <v>5.5344942998073909</v>
      </c>
      <c r="GV32" s="65">
        <f>GV28*(GV45/100*GV23/100)</f>
        <v>6431.209685718909</v>
      </c>
      <c r="GW32" s="61">
        <f t="shared" si="157"/>
        <v>6.0344942998074025</v>
      </c>
      <c r="GX32" s="65">
        <f>GX28*(GX45/100*GX23/100)</f>
        <v>6851.4567160408724</v>
      </c>
      <c r="GY32" s="61">
        <f t="shared" si="158"/>
        <v>6.5344942998073918</v>
      </c>
      <c r="GZ32" s="61">
        <f t="shared" si="150"/>
        <v>-14.458655651423502</v>
      </c>
      <c r="HA32" s="61"/>
      <c r="HB32" s="452"/>
      <c r="HC32"/>
      <c r="HD32"/>
      <c r="HE32"/>
      <c r="HF32"/>
      <c r="HG32"/>
      <c r="HH32"/>
    </row>
    <row r="33" spans="2:216" s="5" customFormat="1" ht="12.75" customHeight="1" x14ac:dyDescent="0.2">
      <c r="B33" s="123" t="s">
        <v>165</v>
      </c>
      <c r="C33" s="66"/>
      <c r="D33" s="67"/>
      <c r="E33" s="66"/>
      <c r="F33" s="66"/>
      <c r="G33" s="64"/>
      <c r="H33" s="66"/>
      <c r="I33" s="64"/>
      <c r="J33" s="66"/>
      <c r="K33" s="64"/>
      <c r="L33" s="61"/>
      <c r="M33" s="66"/>
      <c r="N33" s="61"/>
      <c r="O33" s="64"/>
      <c r="P33" s="61"/>
      <c r="Q33" s="64"/>
      <c r="R33" s="61"/>
      <c r="S33" s="64"/>
      <c r="T33" s="61"/>
      <c r="U33" s="64"/>
      <c r="V33" s="61"/>
      <c r="W33" s="64"/>
      <c r="X33" s="61"/>
      <c r="Y33" s="64"/>
      <c r="Z33" s="61"/>
      <c r="AA33" s="64"/>
      <c r="AB33" s="61"/>
      <c r="AC33" s="64"/>
      <c r="AD33" s="61"/>
      <c r="AE33" s="64"/>
      <c r="AF33" s="61"/>
      <c r="AG33" s="64"/>
      <c r="AH33" s="61"/>
      <c r="AI33" s="64"/>
      <c r="AJ33" s="61"/>
      <c r="AK33" s="64"/>
      <c r="AL33" s="61"/>
      <c r="AM33" s="64"/>
      <c r="AN33" s="61"/>
      <c r="AO33" s="64"/>
      <c r="AP33" s="61"/>
      <c r="AQ33" s="64"/>
      <c r="AR33" s="61"/>
      <c r="AS33" s="64"/>
      <c r="AT33" s="61"/>
      <c r="AU33" s="64"/>
      <c r="AV33" s="61"/>
      <c r="AW33" s="64"/>
      <c r="AX33" s="61"/>
      <c r="AY33" s="64"/>
      <c r="AZ33" s="61"/>
      <c r="BA33" s="64"/>
      <c r="BB33" s="61"/>
      <c r="BC33" s="64"/>
      <c r="BD33" s="61"/>
      <c r="BE33" s="64"/>
      <c r="BF33" s="61"/>
      <c r="BG33" s="74"/>
      <c r="BH33" s="61"/>
      <c r="BI33" s="74"/>
      <c r="BJ33" s="61"/>
      <c r="BK33" s="74"/>
      <c r="BL33" s="61"/>
      <c r="BM33" s="74"/>
      <c r="BN33" s="61"/>
      <c r="BO33" s="74"/>
      <c r="BP33" s="61"/>
      <c r="BQ33" s="74"/>
      <c r="BR33" s="61"/>
      <c r="BS33" s="74"/>
      <c r="BT33" s="61"/>
      <c r="BU33" s="74"/>
      <c r="BV33" s="61"/>
      <c r="BW33" s="74"/>
      <c r="BX33" s="61"/>
      <c r="BY33" s="74"/>
      <c r="BZ33" s="61"/>
      <c r="CA33" s="74"/>
      <c r="CB33" s="61"/>
      <c r="CC33" s="74"/>
      <c r="CD33" s="61"/>
      <c r="CE33" s="74"/>
      <c r="CF33" s="61"/>
      <c r="CG33" s="74"/>
      <c r="CH33" s="61"/>
      <c r="CI33" s="74"/>
      <c r="CJ33" s="61"/>
      <c r="CK33" s="74"/>
      <c r="CL33" s="61"/>
      <c r="CM33" s="74"/>
      <c r="CN33" s="61"/>
      <c r="CO33" s="74">
        <v>0</v>
      </c>
      <c r="CP33" s="61" t="str">
        <f t="shared" si="159"/>
        <v>NA</v>
      </c>
      <c r="CQ33" s="74">
        <v>0</v>
      </c>
      <c r="CR33" s="61" t="str">
        <f t="shared" si="160"/>
        <v>NA</v>
      </c>
      <c r="CS33" s="74">
        <v>0</v>
      </c>
      <c r="CT33" s="61" t="str">
        <f t="shared" si="161"/>
        <v>NA</v>
      </c>
      <c r="CU33" s="74">
        <v>0</v>
      </c>
      <c r="CV33" s="61" t="str">
        <f t="shared" si="162"/>
        <v>NA</v>
      </c>
      <c r="CW33" s="74">
        <v>0</v>
      </c>
      <c r="CX33" s="61" t="str">
        <f t="shared" si="163"/>
        <v>NA</v>
      </c>
      <c r="CY33" s="74">
        <v>0</v>
      </c>
      <c r="CZ33" s="61" t="str">
        <f t="shared" si="164"/>
        <v>NA</v>
      </c>
      <c r="DA33" s="74">
        <v>0</v>
      </c>
      <c r="DB33" s="61" t="str">
        <f t="shared" si="165"/>
        <v>NA</v>
      </c>
      <c r="DC33" s="74">
        <v>0</v>
      </c>
      <c r="DD33" s="61" t="str">
        <f t="shared" si="166"/>
        <v>NA</v>
      </c>
      <c r="DE33" s="74">
        <v>0</v>
      </c>
      <c r="DF33" s="61" t="str">
        <f t="shared" si="167"/>
        <v>NA</v>
      </c>
      <c r="DG33" s="74">
        <v>0</v>
      </c>
      <c r="DH33" s="61" t="str">
        <f t="shared" si="168"/>
        <v>NA</v>
      </c>
      <c r="DI33" s="74">
        <v>0</v>
      </c>
      <c r="DJ33" s="61" t="str">
        <f t="shared" si="169"/>
        <v>NA</v>
      </c>
      <c r="DK33" s="74">
        <v>0</v>
      </c>
      <c r="DL33" s="130" t="str">
        <f t="shared" si="170"/>
        <v>NA</v>
      </c>
      <c r="DM33" s="74">
        <v>0</v>
      </c>
      <c r="DN33" s="130" t="str">
        <f t="shared" si="151"/>
        <v>NA</v>
      </c>
      <c r="DO33" s="74">
        <v>0</v>
      </c>
      <c r="DP33" s="130" t="str">
        <f t="shared" si="151"/>
        <v>NA</v>
      </c>
      <c r="DQ33" s="74">
        <v>0</v>
      </c>
      <c r="DR33" s="130" t="str">
        <f t="shared" si="151"/>
        <v>NA</v>
      </c>
      <c r="DS33" s="74">
        <v>0</v>
      </c>
      <c r="DT33" s="130" t="str">
        <f t="shared" si="151"/>
        <v>NA</v>
      </c>
      <c r="DU33" s="74">
        <v>0</v>
      </c>
      <c r="DV33" s="130" t="str">
        <f t="shared" si="151"/>
        <v>NA</v>
      </c>
      <c r="DW33" s="74">
        <v>0</v>
      </c>
      <c r="DX33" s="74">
        <v>0</v>
      </c>
      <c r="DY33" s="74">
        <v>0</v>
      </c>
      <c r="DZ33" s="130" t="str">
        <f t="shared" si="151"/>
        <v>NA</v>
      </c>
      <c r="EA33" s="74">
        <v>0</v>
      </c>
      <c r="EB33" s="130" t="str">
        <f t="shared" si="152"/>
        <v>NA</v>
      </c>
      <c r="EC33" s="74">
        <v>0</v>
      </c>
      <c r="ED33" s="130" t="str">
        <f t="shared" si="153"/>
        <v>NA</v>
      </c>
      <c r="EE33" s="74">
        <v>0</v>
      </c>
      <c r="EF33" s="130" t="str">
        <f t="shared" si="154"/>
        <v>NA</v>
      </c>
      <c r="EG33" s="74">
        <v>0</v>
      </c>
      <c r="EH33" s="130" t="str">
        <f t="shared" si="155"/>
        <v>NA</v>
      </c>
      <c r="EI33" s="74">
        <v>0</v>
      </c>
      <c r="EJ33" s="130" t="str">
        <f t="shared" si="132"/>
        <v>NA</v>
      </c>
      <c r="EK33" s="74">
        <v>0</v>
      </c>
      <c r="EL33" s="130" t="str">
        <f t="shared" si="134"/>
        <v>NA</v>
      </c>
      <c r="EM33" s="74">
        <v>0</v>
      </c>
      <c r="EN33" s="130" t="str">
        <f t="shared" si="135"/>
        <v>NA</v>
      </c>
      <c r="EO33" s="74">
        <v>0</v>
      </c>
      <c r="EP33" s="130" t="str">
        <f t="shared" si="137"/>
        <v>NA</v>
      </c>
      <c r="EQ33" s="568">
        <v>0</v>
      </c>
      <c r="ER33" s="130" t="str">
        <f t="shared" si="139"/>
        <v>NA</v>
      </c>
      <c r="ES33" s="568">
        <v>0</v>
      </c>
      <c r="ET33" s="130" t="str">
        <f t="shared" si="141"/>
        <v>NA</v>
      </c>
      <c r="EU33" s="568">
        <v>0</v>
      </c>
      <c r="EV33" s="130" t="str">
        <f t="shared" si="143"/>
        <v>NA</v>
      </c>
      <c r="EW33" s="568">
        <v>0</v>
      </c>
      <c r="EX33" s="130" t="str">
        <f t="shared" si="145"/>
        <v>NA</v>
      </c>
      <c r="EY33" s="64"/>
      <c r="EZ33" s="558"/>
      <c r="FA33" s="64"/>
      <c r="FB33" s="66"/>
      <c r="FC33" s="66"/>
      <c r="FD33" s="66"/>
      <c r="FE33" s="67"/>
      <c r="FF33" s="66"/>
      <c r="FG33" s="67"/>
      <c r="FH33" s="66"/>
      <c r="FI33" s="67"/>
      <c r="FJ33" s="66"/>
      <c r="FK33" s="67"/>
      <c r="FL33" s="66"/>
      <c r="FM33" s="61"/>
      <c r="FN33" s="66"/>
      <c r="FO33" s="61"/>
      <c r="FP33" s="65"/>
      <c r="FQ33" s="61"/>
      <c r="FR33" s="65"/>
      <c r="FS33" s="61"/>
      <c r="FT33" s="75">
        <f>BG33+BI33+BK33+BM33</f>
        <v>0</v>
      </c>
      <c r="FU33" s="61" t="str">
        <f t="shared" si="146"/>
        <v>NA</v>
      </c>
      <c r="FV33" s="75">
        <f>BO33+BQ33+BS33+BU33</f>
        <v>0</v>
      </c>
      <c r="FW33" s="61" t="str">
        <f t="shared" si="147"/>
        <v>NA</v>
      </c>
      <c r="FX33" s="75">
        <f>BW33+BY33+CA33+CC33</f>
        <v>0</v>
      </c>
      <c r="FY33" s="61" t="str">
        <f t="shared" si="148"/>
        <v>NA</v>
      </c>
      <c r="FZ33" s="75">
        <f>CE33+CG33+CI33+CK33</f>
        <v>0</v>
      </c>
      <c r="GA33" s="61" t="str">
        <f t="shared" si="149"/>
        <v>NA</v>
      </c>
      <c r="GB33" s="75">
        <f>CM33+CO33+CQ33+CS33</f>
        <v>0</v>
      </c>
      <c r="GC33" s="61" t="str">
        <f t="shared" si="149"/>
        <v>NA</v>
      </c>
      <c r="GD33" s="75">
        <f>CU33+CW33+CY33+DA33</f>
        <v>0</v>
      </c>
      <c r="GE33" s="61" t="str">
        <f t="shared" si="172"/>
        <v>NA</v>
      </c>
      <c r="GF33" s="75">
        <f>DC33+DE33+DG33+DI33</f>
        <v>0</v>
      </c>
      <c r="GG33" s="61" t="str">
        <f t="shared" si="157"/>
        <v>NA</v>
      </c>
      <c r="GH33" s="75">
        <f>DK33+DM33+DO33+DQ33</f>
        <v>0</v>
      </c>
      <c r="GI33" s="61" t="str">
        <f t="shared" si="157"/>
        <v>NA</v>
      </c>
      <c r="GJ33" s="75">
        <f>DS33+DU33+DW33+DY33</f>
        <v>0</v>
      </c>
      <c r="GK33" s="61" t="str">
        <f t="shared" si="157"/>
        <v>NA</v>
      </c>
      <c r="GL33" s="75">
        <f>EA33+EC33+EE33+EG33</f>
        <v>0</v>
      </c>
      <c r="GM33" s="61" t="str">
        <f t="shared" si="157"/>
        <v>NA</v>
      </c>
      <c r="GN33" s="75">
        <f>EI33+EK33+EM33+EO33</f>
        <v>0</v>
      </c>
      <c r="GO33" s="61" t="str">
        <f t="shared" si="157"/>
        <v>NA</v>
      </c>
      <c r="GP33" s="75">
        <f>EQ33+ES33+EU33+EW33</f>
        <v>0</v>
      </c>
      <c r="GQ33" s="61" t="str">
        <f t="shared" si="157"/>
        <v>NA</v>
      </c>
      <c r="GR33" s="74">
        <f>GP33</f>
        <v>0</v>
      </c>
      <c r="GS33" s="61" t="str">
        <f t="shared" si="157"/>
        <v>NA</v>
      </c>
      <c r="GT33" s="74">
        <f>GR33</f>
        <v>0</v>
      </c>
      <c r="GU33" s="61" t="str">
        <f t="shared" si="157"/>
        <v>NA</v>
      </c>
      <c r="GV33" s="74">
        <f>GT33</f>
        <v>0</v>
      </c>
      <c r="GW33" s="61" t="str">
        <f t="shared" si="157"/>
        <v>NA</v>
      </c>
      <c r="GX33" s="74">
        <f>GV33</f>
        <v>0</v>
      </c>
      <c r="GY33" s="61" t="str">
        <f t="shared" si="158"/>
        <v>NA</v>
      </c>
      <c r="GZ33" s="61" t="str">
        <f t="shared" si="150"/>
        <v/>
      </c>
      <c r="HA33" s="61"/>
      <c r="HB33" s="452"/>
      <c r="HC33"/>
      <c r="HD33"/>
      <c r="HE33"/>
      <c r="HF33"/>
      <c r="HG33"/>
      <c r="HH33"/>
    </row>
    <row r="34" spans="2:216" s="5" customFormat="1" ht="12.75" customHeight="1" x14ac:dyDescent="0.2">
      <c r="B34" s="241" t="s">
        <v>237</v>
      </c>
      <c r="C34" s="66"/>
      <c r="D34" s="67"/>
      <c r="E34" s="66"/>
      <c r="F34" s="66"/>
      <c r="G34" s="64"/>
      <c r="H34" s="66"/>
      <c r="I34" s="64"/>
      <c r="J34" s="66"/>
      <c r="K34" s="64"/>
      <c r="L34" s="61"/>
      <c r="M34" s="66"/>
      <c r="N34" s="61"/>
      <c r="O34" s="64"/>
      <c r="P34" s="61"/>
      <c r="Q34" s="64"/>
      <c r="R34" s="61"/>
      <c r="S34" s="64"/>
      <c r="T34" s="61"/>
      <c r="U34" s="64"/>
      <c r="V34" s="61"/>
      <c r="W34" s="64"/>
      <c r="X34" s="61"/>
      <c r="Y34" s="64"/>
      <c r="Z34" s="61"/>
      <c r="AA34" s="64"/>
      <c r="AB34" s="61"/>
      <c r="AC34" s="64"/>
      <c r="AD34" s="61"/>
      <c r="AE34" s="64"/>
      <c r="AF34" s="61"/>
      <c r="AG34" s="64"/>
      <c r="AH34" s="61"/>
      <c r="AI34" s="64"/>
      <c r="AJ34" s="61"/>
      <c r="AK34" s="64"/>
      <c r="AL34" s="61"/>
      <c r="AM34" s="64"/>
      <c r="AN34" s="61"/>
      <c r="AO34" s="64"/>
      <c r="AP34" s="61"/>
      <c r="AQ34" s="64"/>
      <c r="AR34" s="61"/>
      <c r="AS34" s="64"/>
      <c r="AT34" s="61"/>
      <c r="AU34" s="64"/>
      <c r="AV34" s="61"/>
      <c r="AW34" s="64"/>
      <c r="AX34" s="61"/>
      <c r="AY34" s="64"/>
      <c r="AZ34" s="61"/>
      <c r="BA34" s="64"/>
      <c r="BB34" s="61"/>
      <c r="BC34" s="64"/>
      <c r="BD34" s="61"/>
      <c r="BE34" s="64"/>
      <c r="BF34" s="61"/>
      <c r="BG34" s="64">
        <v>53776</v>
      </c>
      <c r="BH34" s="61" t="str">
        <f>IF(ISERROR((BG34/AY34-1)*100),"NA",IF(((BG34/AY34-1)*100)&gt;100,"NM",IF(((BG34/AY34-1)*100)&lt;-50,"NM",(BG34/AY34-1)*100)))</f>
        <v>NA</v>
      </c>
      <c r="BI34" s="64">
        <v>58629</v>
      </c>
      <c r="BJ34" s="61" t="str">
        <f>IF(ISERROR((BI34/BA34-1)*100),"NA",IF(((BI34/BA34-1)*100)&gt;100,"NM",IF(((BI34/BA34-1)*100)&lt;-50,"NM",(BI34/BA34-1)*100)))</f>
        <v>NA</v>
      </c>
      <c r="BK34" s="64">
        <v>61764</v>
      </c>
      <c r="BL34" s="61" t="str">
        <f>IF(ISERROR((BK34/BC34-1)*100),"NA",IF(((BK34/BC34-1)*100)&gt;100,"NM",IF(((BK34/BC34-1)*100)&lt;-50,"NM",(BK34/BC34-1)*100)))</f>
        <v>NA</v>
      </c>
      <c r="BM34" s="64">
        <v>62112</v>
      </c>
      <c r="BN34" s="61" t="str">
        <f>IF(ISERROR((BM34/BE34-1)*100),"NA",IF(((BM34/BE34-1)*100)&gt;100,"NM",IF(((BM34/BE34-1)*100)&lt;-50,"NM",(BM34/BE34-1)*100)))</f>
        <v>NA</v>
      </c>
      <c r="BO34" s="64">
        <v>58435</v>
      </c>
      <c r="BP34" s="61">
        <f>IF(ISERROR((BO34/BG34-1)*100),"NA",IF(((BO34/BG34-1)*100)&gt;100,"NM",IF(((BO34/BG34-1)*100)&lt;-50,"NM",(BO34/BG34-1)*100)))</f>
        <v>8.663716155905977</v>
      </c>
      <c r="BQ34" s="64">
        <v>59333</v>
      </c>
      <c r="BR34" s="61">
        <f>IF(ISERROR((BQ34/BI34-1)*100),"NA",IF(((BQ34/BI34-1)*100)&gt;100,"NM",IF(((BQ34/BI34-1)*100)&lt;-50,"NM",(BQ34/BI34-1)*100)))</f>
        <v>1.2007709495301055</v>
      </c>
      <c r="BS34" s="64">
        <v>53530</v>
      </c>
      <c r="BT34" s="61">
        <f>IF(ISERROR((BS34/BK34-1)*100),"NA",IF(((BS34/BK34-1)*100)&gt;100,"NM",IF(((BS34/BK34-1)*100)&lt;-50,"NM",(BS34/BK34-1)*100)))</f>
        <v>-13.331390453986137</v>
      </c>
      <c r="BU34" s="64">
        <v>44542</v>
      </c>
      <c r="BV34" s="61">
        <f>IF(ISERROR((BU34/BM34-1)*100),"NA",IF(((BU34/BM34-1)*100)&gt;100,"NM",IF(((BU34/BM34-1)*100)&lt;-50,"NM",(BU34/BM34-1)*100)))</f>
        <v>-28.287609479649667</v>
      </c>
      <c r="BW34" s="64">
        <v>43000</v>
      </c>
      <c r="BX34" s="61">
        <f>IF(ISERROR((BW34/BO34-1)*100),"NA",IF(((BW34/BO34-1)*100)&gt;100,"NM",IF(((BW34/BO34-1)*100)&lt;-50,"NM",(BW34/BO34-1)*100)))</f>
        <v>-26.413964233764009</v>
      </c>
      <c r="BY34" s="64">
        <v>49422</v>
      </c>
      <c r="BZ34" s="61">
        <f>IF(ISERROR((BY34/BQ34-1)*100),"NA",IF(((BY34/BQ34-1)*100)&gt;100,"NM",IF(((BY34/BQ34-1)*100)&lt;-50,"NM",(BY34/BQ34-1)*100)))</f>
        <v>-16.704026427114758</v>
      </c>
      <c r="CA34" s="64">
        <v>56419</v>
      </c>
      <c r="CB34" s="61">
        <f>IF(ISERROR((CA34/BS34-1)*100),"NA",IF(((CA34/BS34-1)*100)&gt;100,"NM",IF(((CA34/BS34-1)*100)&lt;-50,"NM",(CA34/BS34-1)*100)))</f>
        <v>5.3969736596301221</v>
      </c>
      <c r="CC34" s="64">
        <v>59367</v>
      </c>
      <c r="CD34" s="61">
        <f>IF(ISERROR((CC34/BU34-1)*100),"NA",IF(((CC34/BU34-1)*100)&gt;100,"NM",IF(((CC34/BU34-1)*100)&lt;-50,"NM",(CC34/BU34-1)*100)))</f>
        <v>33.283193390507826</v>
      </c>
      <c r="CE34" s="64">
        <v>61711</v>
      </c>
      <c r="CF34" s="61">
        <f>IF(ISERROR((CE34/BW34-1)*100),"NA",IF(((CE34/BW34-1)*100)&gt;100,"NM",IF(((CE34/BW34-1)*100)&lt;-50,"NM",(CE34/BW34-1)*100)))</f>
        <v>43.513953488372103</v>
      </c>
      <c r="CG34" s="64">
        <v>57817</v>
      </c>
      <c r="CH34" s="61">
        <f>IF(ISERROR((CG34/BY34-1)*100),"NA",IF(((CG34/BY34-1)*100)&gt;100,"NM",IF(((CG34/BY34-1)*100)&lt;-50,"NM",(CG34/BY34-1)*100)))</f>
        <v>16.98636234875157</v>
      </c>
      <c r="CI34" s="64">
        <v>63903</v>
      </c>
      <c r="CJ34" s="61">
        <f>IF(ISERROR((CI34/CA34-1)*100),"NA",IF(((CI34/CA34-1)*100)&gt;100,"NM",IF(((CI34/CA34-1)*100)&lt;-50,"NM",(CI34/CA34-1)*100)))</f>
        <v>13.265034828692457</v>
      </c>
      <c r="CK34" s="64">
        <v>68390</v>
      </c>
      <c r="CL34" s="61">
        <f>IF(ISERROR((CK34/CC34-1)*100),"NA",IF(((CK34/CC34-1)*100)&gt;100,"NM",IF(((CK34/CC34-1)*100)&lt;-50,"NM",(CK34/CC34-1)*100)))</f>
        <v>15.198679401014026</v>
      </c>
      <c r="CM34" s="64">
        <v>71091</v>
      </c>
      <c r="CN34" s="61">
        <f t="shared" si="159"/>
        <v>15.199883327121588</v>
      </c>
      <c r="CO34" s="65">
        <f>CO28+CO29+CO31+CO32+CO33</f>
        <v>71837</v>
      </c>
      <c r="CP34" s="61">
        <f t="shared" si="159"/>
        <v>24.248923327049134</v>
      </c>
      <c r="CQ34" s="65">
        <f>CQ28+CQ29+CQ31+CQ32+CQ33</f>
        <v>64140</v>
      </c>
      <c r="CR34" s="61">
        <f t="shared" si="160"/>
        <v>0.37087460682596607</v>
      </c>
      <c r="CS34" s="65">
        <f>CS28+CS29+CS31+CS32+CS33</f>
        <v>68330</v>
      </c>
      <c r="CT34" s="61">
        <f t="shared" si="161"/>
        <v>-8.7732124579620319E-2</v>
      </c>
      <c r="CU34" s="65">
        <f>CU28+CU29+CU31+CU32+CU33</f>
        <v>74366</v>
      </c>
      <c r="CV34" s="61">
        <f t="shared" si="162"/>
        <v>4.6067716025938621</v>
      </c>
      <c r="CW34" s="65">
        <f>CW28+CW29+CW31+CW32+CW33</f>
        <v>72976</v>
      </c>
      <c r="CX34" s="61">
        <f t="shared" si="163"/>
        <v>1.5855339170622429</v>
      </c>
      <c r="CY34" s="65">
        <f>CY28+CY29+CY31+CY32+CY33</f>
        <v>76696</v>
      </c>
      <c r="CZ34" s="61">
        <f t="shared" si="164"/>
        <v>19.575927658247583</v>
      </c>
      <c r="DA34" s="65">
        <f>DA28+DA29+DA31+DA32+DA33</f>
        <v>78906</v>
      </c>
      <c r="DB34" s="61">
        <f t="shared" si="165"/>
        <v>15.477828186740815</v>
      </c>
      <c r="DC34" s="65">
        <f>DC28+DC29+DC31+DC32+DC33</f>
        <v>83687</v>
      </c>
      <c r="DD34" s="61">
        <f t="shared" si="166"/>
        <v>12.533953688513577</v>
      </c>
      <c r="DE34" s="65">
        <f>DE28+DE29+DE31+DE32+DE33</f>
        <v>85395</v>
      </c>
      <c r="DF34" s="61">
        <f t="shared" si="167"/>
        <v>17.017923700942774</v>
      </c>
      <c r="DG34" s="65">
        <f>DG28+DG29+DG31+DG32+DG33</f>
        <v>91021</v>
      </c>
      <c r="DH34" s="61">
        <f t="shared" si="168"/>
        <v>18.677636382601449</v>
      </c>
      <c r="DI34" s="65">
        <f>DI28+DI29+DI31+DI32+DI33</f>
        <v>97298</v>
      </c>
      <c r="DJ34" s="61">
        <f t="shared" si="169"/>
        <v>23.308747116822559</v>
      </c>
      <c r="DK34" s="65">
        <f>DK28+DK29+DK31+DK32+DK33</f>
        <v>98798</v>
      </c>
      <c r="DL34" s="130">
        <f t="shared" si="170"/>
        <v>18.056567925723233</v>
      </c>
      <c r="DM34" s="65">
        <f>DM28+DM29+DM31+DM32+DM33</f>
        <v>103043</v>
      </c>
      <c r="DN34" s="130">
        <f t="shared" si="151"/>
        <v>20.666315358042041</v>
      </c>
      <c r="DO34" s="65">
        <f>DO28+DO29+DO31+DO32+DO33</f>
        <v>102238</v>
      </c>
      <c r="DP34" s="130">
        <f t="shared" si="151"/>
        <v>12.323529734896344</v>
      </c>
      <c r="DQ34" s="65">
        <f>DQ28+DQ29+DQ31+DQ32+DQ33</f>
        <v>104073</v>
      </c>
      <c r="DR34" s="130">
        <f t="shared" si="151"/>
        <v>6.9631441550700002</v>
      </c>
      <c r="DS34" s="65">
        <f>DS28+DS29+DS31+DS32+DS33</f>
        <v>106279</v>
      </c>
      <c r="DT34" s="130">
        <f t="shared" si="151"/>
        <v>7.5720156278467066</v>
      </c>
      <c r="DU34" s="65">
        <f>DU28+DU29+DU31+DU32+DU33</f>
        <v>106600</v>
      </c>
      <c r="DV34" s="130">
        <f t="shared" si="151"/>
        <v>3.4519569500111702</v>
      </c>
      <c r="DW34" s="65">
        <f>DW28+DW29+DW31+DW32+DW33</f>
        <v>100581</v>
      </c>
      <c r="DX34" s="65">
        <f t="shared" ref="DX34:DY34" si="174">DX28+DX29+DX31+DX32+DX33</f>
        <v>-6015.5480430499883</v>
      </c>
      <c r="DY34" s="65">
        <f t="shared" si="174"/>
        <v>103146</v>
      </c>
      <c r="DZ34" s="130">
        <f t="shared" si="151"/>
        <v>-0.89072093626588744</v>
      </c>
      <c r="EA34" s="65">
        <f t="shared" ref="EA34:EC34" si="175">EA28+EA29+EA31+EA32+EA33</f>
        <v>102903</v>
      </c>
      <c r="EB34" s="130">
        <f t="shared" si="152"/>
        <v>-3.1765447548433801</v>
      </c>
      <c r="EC34" s="65">
        <f t="shared" si="175"/>
        <v>103861</v>
      </c>
      <c r="ED34" s="130">
        <f t="shared" si="153"/>
        <v>-2.5694183864915621</v>
      </c>
      <c r="EE34" s="65">
        <f t="shared" ref="EE34:EG34" si="176">EE28+EE29+EE31+EE32+EE33</f>
        <v>106473</v>
      </c>
      <c r="EF34" s="130">
        <f t="shared" si="154"/>
        <v>5.8579652220598355</v>
      </c>
      <c r="EG34" s="65">
        <f t="shared" si="176"/>
        <v>105766</v>
      </c>
      <c r="EH34" s="130">
        <f t="shared" si="155"/>
        <v>2.5400888061582583</v>
      </c>
      <c r="EI34" s="65">
        <f t="shared" ref="EI34:EK34" si="177">EI28+EI29+EI31+EI32+EI33</f>
        <v>109475</v>
      </c>
      <c r="EJ34" s="130">
        <f t="shared" si="132"/>
        <v>6.386597086576673</v>
      </c>
      <c r="EK34" s="65">
        <f t="shared" si="177"/>
        <v>111570</v>
      </c>
      <c r="EL34" s="130">
        <f t="shared" si="134"/>
        <v>7.422420350275849</v>
      </c>
      <c r="EM34" s="65">
        <f t="shared" ref="EM34" si="178">EM28+EM29+EM31+EM32+EM33</f>
        <v>114270</v>
      </c>
      <c r="EN34" s="130">
        <f t="shared" si="135"/>
        <v>7.3229832915387094</v>
      </c>
      <c r="EO34" s="65">
        <f t="shared" ref="EO34" si="179">EO28+EO29+EO31+EO32+EO33</f>
        <v>117479</v>
      </c>
      <c r="EP34" s="130">
        <f t="shared" si="137"/>
        <v>11.074447364937701</v>
      </c>
      <c r="EQ34" s="567">
        <f t="shared" ref="EQ34:EW34" si="180">EQ28+EQ29+EQ31+EQ32+EQ33</f>
        <v>116043.91593212567</v>
      </c>
      <c r="ER34" s="130">
        <f t="shared" si="139"/>
        <v>6.0003799334328978</v>
      </c>
      <c r="ES34" s="567">
        <f t="shared" si="180"/>
        <v>117057.48240875268</v>
      </c>
      <c r="ET34" s="130">
        <f t="shared" si="141"/>
        <v>4.9184210887807556</v>
      </c>
      <c r="EU34" s="567">
        <f t="shared" si="180"/>
        <v>118284.75230909741</v>
      </c>
      <c r="EV34" s="130">
        <f t="shared" si="143"/>
        <v>3.5133913617724888</v>
      </c>
      <c r="EW34" s="567">
        <f t="shared" si="180"/>
        <v>119731.88763517849</v>
      </c>
      <c r="EX34" s="130">
        <f t="shared" si="145"/>
        <v>1.9176939156602346</v>
      </c>
      <c r="EY34" s="64"/>
      <c r="EZ34" s="558"/>
      <c r="FA34" s="64"/>
      <c r="FB34" s="66"/>
      <c r="FC34" s="66"/>
      <c r="FD34" s="66"/>
      <c r="FE34" s="67"/>
      <c r="FF34" s="66"/>
      <c r="FG34" s="67"/>
      <c r="FH34" s="66"/>
      <c r="FI34" s="67"/>
      <c r="FJ34" s="66"/>
      <c r="FK34" s="67"/>
      <c r="FL34" s="66"/>
      <c r="FM34" s="61"/>
      <c r="FN34" s="66"/>
      <c r="FO34" s="61"/>
      <c r="FP34" s="65"/>
      <c r="FQ34" s="61"/>
      <c r="FR34" s="65"/>
      <c r="FS34" s="61"/>
      <c r="FT34" s="65">
        <f>FT28+FT29+FT31+FT32+FT33</f>
        <v>62112</v>
      </c>
      <c r="FU34" s="61" t="str">
        <f t="shared" si="146"/>
        <v>NA</v>
      </c>
      <c r="FV34" s="65">
        <f>FV28+FV29+FV31+FV32+FV33</f>
        <v>44542</v>
      </c>
      <c r="FW34" s="61">
        <f t="shared" si="147"/>
        <v>-28.287609479649667</v>
      </c>
      <c r="FX34" s="65">
        <f>FX28+FX29+FX31+FX32+FX33</f>
        <v>59367</v>
      </c>
      <c r="FY34" s="61">
        <f t="shared" si="148"/>
        <v>33.283193390507826</v>
      </c>
      <c r="FZ34" s="65">
        <f>FZ28+FZ29+FZ31+FZ32+FZ33</f>
        <v>68390</v>
      </c>
      <c r="GA34" s="61">
        <f t="shared" si="149"/>
        <v>15.198679401014026</v>
      </c>
      <c r="GB34" s="65">
        <f>GB28+GB29+GB31+GB32+GB33</f>
        <v>68330</v>
      </c>
      <c r="GC34" s="61">
        <f t="shared" si="149"/>
        <v>-8.7732124579620319E-2</v>
      </c>
      <c r="GD34" s="65">
        <f>GD28+GD29+GD31+GD32+GD33</f>
        <v>78906</v>
      </c>
      <c r="GE34" s="61">
        <f t="shared" si="172"/>
        <v>15.477828186740815</v>
      </c>
      <c r="GF34" s="65">
        <f>GF28+GF29+GF31+GF32+GF33</f>
        <v>97298</v>
      </c>
      <c r="GG34" s="61">
        <f t="shared" si="157"/>
        <v>23.308747116822559</v>
      </c>
      <c r="GH34" s="65">
        <f>GH28+GH29+GH31+GH32+GH33</f>
        <v>104073</v>
      </c>
      <c r="GI34" s="61">
        <f t="shared" si="157"/>
        <v>6.9631441550700002</v>
      </c>
      <c r="GJ34" s="65">
        <f>GJ28+GJ29+GJ31+GJ32+GJ33</f>
        <v>103146</v>
      </c>
      <c r="GK34" s="61">
        <f t="shared" si="157"/>
        <v>-0.89072093626588744</v>
      </c>
      <c r="GL34" s="65">
        <f>GL28+GL29+GL31+GL32+GL33</f>
        <v>105766</v>
      </c>
      <c r="GM34" s="61">
        <f t="shared" si="157"/>
        <v>2.5400888061582583</v>
      </c>
      <c r="GN34" s="65">
        <f>GN28+GN29+GN31+GN32+GN33</f>
        <v>117479</v>
      </c>
      <c r="GO34" s="61">
        <f t="shared" si="157"/>
        <v>11.074447364937701</v>
      </c>
      <c r="GP34" s="65">
        <f>GP28+GP29+GP31+GP32+GP33</f>
        <v>119731.88763517847</v>
      </c>
      <c r="GQ34" s="61">
        <f t="shared" si="157"/>
        <v>1.9176939156602124</v>
      </c>
      <c r="GR34" s="65">
        <f>GR28+GR29+GR31+GR32+GR33</f>
        <v>126358.44213139922</v>
      </c>
      <c r="GS34" s="61">
        <f t="shared" si="157"/>
        <v>5.5344942998073909</v>
      </c>
      <c r="GT34" s="65">
        <f>GT28+GT29+GT31+GT32+GT33</f>
        <v>133983.53511914393</v>
      </c>
      <c r="GU34" s="61">
        <f t="shared" si="157"/>
        <v>6.0344942998073803</v>
      </c>
      <c r="GV34" s="65">
        <f>GV28+GV29+GV31+GV32+GV33</f>
        <v>142738.68158418484</v>
      </c>
      <c r="GW34" s="61">
        <f t="shared" si="157"/>
        <v>6.534494299807414</v>
      </c>
      <c r="GX34" s="65">
        <f>GX28+GX29+GX31+GX32+GX33</f>
        <v>152779.62600384455</v>
      </c>
      <c r="GY34" s="61">
        <f t="shared" si="158"/>
        <v>7.0344942998073812</v>
      </c>
      <c r="GZ34" s="61">
        <f t="shared" si="150"/>
        <v>5.3952504745742758</v>
      </c>
      <c r="HA34" s="61"/>
      <c r="HB34" s="452"/>
      <c r="HC34"/>
      <c r="HD34"/>
      <c r="HE34"/>
      <c r="HF34"/>
      <c r="HG34"/>
      <c r="HH34"/>
    </row>
    <row r="35" spans="2:216" s="5" customFormat="1" ht="12.75" customHeight="1" x14ac:dyDescent="0.2">
      <c r="B35" s="241" t="s">
        <v>247</v>
      </c>
      <c r="C35" s="66"/>
      <c r="D35" s="67"/>
      <c r="E35" s="66"/>
      <c r="F35" s="66"/>
      <c r="G35" s="64"/>
      <c r="H35" s="66"/>
      <c r="I35" s="64"/>
      <c r="J35" s="66"/>
      <c r="K35" s="64"/>
      <c r="L35" s="61"/>
      <c r="M35" s="66"/>
      <c r="N35" s="61"/>
      <c r="O35" s="64"/>
      <c r="P35" s="61"/>
      <c r="Q35" s="64"/>
      <c r="R35" s="61"/>
      <c r="S35" s="64"/>
      <c r="T35" s="61"/>
      <c r="U35" s="64"/>
      <c r="V35" s="61"/>
      <c r="W35" s="64"/>
      <c r="X35" s="61"/>
      <c r="Y35" s="64"/>
      <c r="Z35" s="61"/>
      <c r="AA35" s="64"/>
      <c r="AB35" s="61"/>
      <c r="AC35" s="64"/>
      <c r="AD35" s="61"/>
      <c r="AE35" s="64"/>
      <c r="AF35" s="61"/>
      <c r="AG35" s="64"/>
      <c r="AH35" s="61"/>
      <c r="AI35" s="64"/>
      <c r="AJ35" s="61"/>
      <c r="AK35" s="64"/>
      <c r="AL35" s="61"/>
      <c r="AM35" s="64"/>
      <c r="AN35" s="61"/>
      <c r="AO35" s="64"/>
      <c r="AP35" s="61"/>
      <c r="AQ35" s="64"/>
      <c r="AR35" s="61"/>
      <c r="AS35" s="64"/>
      <c r="AT35" s="61"/>
      <c r="AU35" s="64"/>
      <c r="AV35" s="61"/>
      <c r="AW35" s="64"/>
      <c r="AX35" s="61"/>
      <c r="AY35" s="64"/>
      <c r="AZ35" s="61"/>
      <c r="BA35" s="64"/>
      <c r="BB35" s="61"/>
      <c r="BC35" s="64"/>
      <c r="BD35" s="61"/>
      <c r="BE35" s="64"/>
      <c r="BF35" s="61"/>
      <c r="BG35" s="65">
        <f>AVERAGE(BG28,BG34)</f>
        <v>52779</v>
      </c>
      <c r="BH35" s="61" t="str">
        <f>IF(ISERROR((BG35/AY35-1)*100),"NA",IF(((BG35/AY35-1)*100)&gt;100,"NM",IF(((BG35/AY35-1)*100)&lt;-50,"NM",(BG35/AY35-1)*100)))</f>
        <v>NA</v>
      </c>
      <c r="BI35" s="65">
        <f>AVERAGE(BI28,BI34)</f>
        <v>56202.5</v>
      </c>
      <c r="BJ35" s="61" t="str">
        <f>IF(ISERROR((BI35/BA35-1)*100),"NA",IF(((BI35/BA35-1)*100)&gt;100,"NM",IF(((BI35/BA35-1)*100)&lt;-50,"NM",(BI35/BA35-1)*100)))</f>
        <v>NA</v>
      </c>
      <c r="BK35" s="65">
        <f>AVERAGE(BK28,BK34)</f>
        <v>60196.5</v>
      </c>
      <c r="BL35" s="61" t="str">
        <f>IF(ISERROR((BK35/BC35-1)*100),"NA",IF(((BK35/BC35-1)*100)&gt;100,"NM",IF(((BK35/BC35-1)*100)&lt;-50,"NM",(BK35/BC35-1)*100)))</f>
        <v>NA</v>
      </c>
      <c r="BM35" s="65">
        <f>AVERAGE(BM28,BM34)</f>
        <v>61938</v>
      </c>
      <c r="BN35" s="61" t="str">
        <f>IF(ISERROR((BM35/BE35-1)*100),"NA",IF(((BM35/BE35-1)*100)&gt;100,"NM",IF(((BM35/BE35-1)*100)&lt;-50,"NM",(BM35/BE35-1)*100)))</f>
        <v>NA</v>
      </c>
      <c r="BO35" s="65">
        <f>AVERAGE(BO28,BO34)</f>
        <v>60273.5</v>
      </c>
      <c r="BP35" s="61">
        <f>IF(ISERROR((BO35/BG35-1)*100),"NA",IF(((BO35/BG35-1)*100)&gt;100,"NM",IF(((BO35/BG35-1)*100)&lt;-50,"NM",(BO35/BG35-1)*100)))</f>
        <v>14.199776426230137</v>
      </c>
      <c r="BQ35" s="65">
        <f>AVERAGE(BQ28,BQ34)</f>
        <v>58884</v>
      </c>
      <c r="BR35" s="61">
        <f>IF(ISERROR((BQ35/BI35-1)*100),"NA",IF(((BQ35/BI35-1)*100)&gt;100,"NM",IF(((BQ35/BI35-1)*100)&lt;-50,"NM",(BQ35/BI35-1)*100)))</f>
        <v>4.771140073840141</v>
      </c>
      <c r="BS35" s="65">
        <f>AVERAGE(BS28,BS34)</f>
        <v>56431.5</v>
      </c>
      <c r="BT35" s="61">
        <f>IF(ISERROR((BS35/BK35-1)*100),"NA",IF(((BS35/BK35-1)*100)&gt;100,"NM",IF(((BS35/BK35-1)*100)&lt;-50,"NM",(BS35/BK35-1)*100)))</f>
        <v>-6.2545164585980917</v>
      </c>
      <c r="BU35" s="65">
        <f>AVERAGE(BU28,BU34)</f>
        <v>49036</v>
      </c>
      <c r="BV35" s="61">
        <f>IF(ISERROR((BU35/BM35-1)*100),"NA",IF(((BU35/BM35-1)*100)&gt;100,"NM",IF(((BU35/BM35-1)*100)&lt;-50,"NM",(BU35/BM35-1)*100)))</f>
        <v>-20.830507927282117</v>
      </c>
      <c r="BW35" s="65">
        <f>AVERAGE(BW28,BW34)</f>
        <v>43771</v>
      </c>
      <c r="BX35" s="61">
        <f>IF(ISERROR((BW35/BO35-1)*100),"NA",IF(((BW35/BO35-1)*100)&gt;100,"NM",IF(((BW35/BO35-1)*100)&lt;-50,"NM",(BW35/BO35-1)*100)))</f>
        <v>-27.379362406364326</v>
      </c>
      <c r="BY35" s="65">
        <f>AVERAGE(BY28,BY34)</f>
        <v>46211</v>
      </c>
      <c r="BZ35" s="61">
        <f>IF(ISERROR((BY35/BQ35-1)*100),"NA",IF(((BY35/BQ35-1)*100)&gt;100,"NM",IF(((BY35/BQ35-1)*100)&lt;-50,"NM",(BY35/BQ35-1)*100)))</f>
        <v>-21.521975409279261</v>
      </c>
      <c r="CA35" s="65">
        <f>AVERAGE(CA28,CA34)</f>
        <v>52920.5</v>
      </c>
      <c r="CB35" s="61">
        <f>IF(ISERROR((CA35/BS35-1)*100),"NA",IF(((CA35/BS35-1)*100)&gt;100,"NM",IF(((CA35/BS35-1)*100)&lt;-50,"NM",(CA35/BS35-1)*100)))</f>
        <v>-6.2217024179757718</v>
      </c>
      <c r="CC35" s="65">
        <f>AVERAGE(CC28,CC34)</f>
        <v>57893</v>
      </c>
      <c r="CD35" s="61">
        <f>IF(ISERROR((CC35/BU35-1)*100),"NA",IF(((CC35/BU35-1)*100)&gt;100,"NM",IF(((CC35/BU35-1)*100)&lt;-50,"NM",(CC35/BU35-1)*100)))</f>
        <v>18.062239986948359</v>
      </c>
      <c r="CE35" s="65">
        <f>AVERAGE(CE28,CE34)</f>
        <v>60539</v>
      </c>
      <c r="CF35" s="61">
        <f>IF(ISERROR((CE35/BW35-1)*100),"NA",IF(((CE35/BW35-1)*100)&gt;100,"NM",IF(((CE35/BW35-1)*100)&lt;-50,"NM",(CE35/BW35-1)*100)))</f>
        <v>38.308469077699847</v>
      </c>
      <c r="CG35" s="65">
        <f>AVERAGE(CG28,CG34)</f>
        <v>59764</v>
      </c>
      <c r="CH35" s="61">
        <f>IF(ISERROR((CG35/BY35-1)*100),"NA",IF(((CG35/BY35-1)*100)&gt;100,"NM",IF(((CG35/BY35-1)*100)&lt;-50,"NM",(CG35/BY35-1)*100)))</f>
        <v>29.328514855770258</v>
      </c>
      <c r="CI35" s="65">
        <f>AVERAGE(CI28,CI34)</f>
        <v>60860</v>
      </c>
      <c r="CJ35" s="61">
        <f>IF(ISERROR((CI35/CA35-1)*100),"NA",IF(((CI35/CA35-1)*100)&gt;100,"NM",IF(((CI35/CA35-1)*100)&lt;-50,"NM",(CI35/CA35-1)*100)))</f>
        <v>15.002692718322773</v>
      </c>
      <c r="CK35" s="65">
        <f>AVERAGE(CK28,CK34)</f>
        <v>66146.5</v>
      </c>
      <c r="CL35" s="61">
        <f>IF(ISERROR((CK35/CC35-1)*100),"NA",IF(((CK35/CC35-1)*100)&gt;100,"NM",IF(((CK35/CC35-1)*100)&lt;-50,"NM",(CK35/CC35-1)*100)))</f>
        <v>14.256473148739923</v>
      </c>
      <c r="CM35" s="65">
        <f>AVERAGE(CM28,CM34)</f>
        <v>69740.5</v>
      </c>
      <c r="CN35" s="61">
        <f t="shared" si="159"/>
        <v>15.199293017724113</v>
      </c>
      <c r="CO35" s="65">
        <f>AVERAGE(CO28,CO34)</f>
        <v>71464</v>
      </c>
      <c r="CP35" s="61">
        <f t="shared" si="159"/>
        <v>19.577002877986736</v>
      </c>
      <c r="CQ35" s="65">
        <f>AVERAGE(CQ28,CQ34)</f>
        <v>67988.5</v>
      </c>
      <c r="CR35" s="61">
        <f t="shared" si="160"/>
        <v>11.712947748931967</v>
      </c>
      <c r="CS35" s="65">
        <f>AVERAGE(CS28,CS34)</f>
        <v>66235</v>
      </c>
      <c r="CT35" s="61">
        <f t="shared" si="161"/>
        <v>0.13379392711632132</v>
      </c>
      <c r="CU35" s="65">
        <f>AVERAGE(CU28,CU34)</f>
        <v>71348</v>
      </c>
      <c r="CV35" s="61">
        <f t="shared" si="162"/>
        <v>2.3049734372423414</v>
      </c>
      <c r="CW35" s="65">
        <f>AVERAGE(CW28,CW34)</f>
        <v>73671</v>
      </c>
      <c r="CX35" s="61">
        <f t="shared" si="163"/>
        <v>3.088268218963397</v>
      </c>
      <c r="CY35" s="65">
        <f>AVERAGE(CY28,CY34)</f>
        <v>74836</v>
      </c>
      <c r="CZ35" s="61">
        <f t="shared" si="164"/>
        <v>10.071556219066458</v>
      </c>
      <c r="DA35" s="65">
        <f>AVERAGE(DA28,DA34)</f>
        <v>77801</v>
      </c>
      <c r="DB35" s="61">
        <f t="shared" si="165"/>
        <v>17.462066883067862</v>
      </c>
      <c r="DC35" s="65">
        <f>AVERAGE(DC28,DC34)</f>
        <v>81296.5</v>
      </c>
      <c r="DD35" s="61">
        <f t="shared" si="166"/>
        <v>13.943628412849684</v>
      </c>
      <c r="DE35" s="65">
        <f>AVERAGE(DE28,DE34)</f>
        <v>84541</v>
      </c>
      <c r="DF35" s="61">
        <f t="shared" si="167"/>
        <v>14.75478817988083</v>
      </c>
      <c r="DG35" s="65">
        <f>AVERAGE(DG28,DG34)</f>
        <v>88208</v>
      </c>
      <c r="DH35" s="61">
        <f t="shared" si="168"/>
        <v>17.86840558020204</v>
      </c>
      <c r="DI35" s="65">
        <f>AVERAGE(DI28,DI34)</f>
        <v>94159.5</v>
      </c>
      <c r="DJ35" s="61">
        <f t="shared" si="169"/>
        <v>21.026079356306472</v>
      </c>
      <c r="DK35" s="65">
        <f>AVERAGE(DK28,DK34)</f>
        <v>98048</v>
      </c>
      <c r="DL35" s="61">
        <f t="shared" si="170"/>
        <v>20.605438118492181</v>
      </c>
      <c r="DM35" s="65">
        <f>AVERAGE(DM28,DM34)</f>
        <v>100920.5</v>
      </c>
      <c r="DN35" s="130">
        <f t="shared" si="151"/>
        <v>19.374622964005628</v>
      </c>
      <c r="DO35" s="65">
        <f>AVERAGE(DO28,DO34)</f>
        <v>102640.5</v>
      </c>
      <c r="DP35" s="130">
        <f t="shared" si="151"/>
        <v>16.36189461273354</v>
      </c>
      <c r="DQ35" s="65">
        <f>AVERAGE(DQ28,DQ34)</f>
        <v>103155.5</v>
      </c>
      <c r="DR35" s="130">
        <f t="shared" si="151"/>
        <v>9.5540014549779784</v>
      </c>
      <c r="DS35" s="65">
        <f>AVERAGE(DS28,DS34)</f>
        <v>105176</v>
      </c>
      <c r="DT35" s="130">
        <f t="shared" si="151"/>
        <v>7.2699086161879922</v>
      </c>
      <c r="DU35" s="65">
        <f>AVERAGE(DU28,DU34)</f>
        <v>106439.5</v>
      </c>
      <c r="DV35" s="130">
        <f t="shared" si="151"/>
        <v>5.4686609757185201</v>
      </c>
      <c r="DW35" s="65">
        <f>AVERAGE(DW28,DW34)</f>
        <v>103590.5</v>
      </c>
      <c r="DX35" s="65">
        <f t="shared" ref="DX35:DY35" si="181">AVERAGE(DX28,DX34)</f>
        <v>-3006.0480430499888</v>
      </c>
      <c r="DY35" s="65">
        <f t="shared" si="181"/>
        <v>101863.5</v>
      </c>
      <c r="DZ35" s="130">
        <f t="shared" si="151"/>
        <v>-1.252478054975259</v>
      </c>
      <c r="EA35" s="65">
        <f>EA28*0.95+0.5*(EA29+EA31)</f>
        <v>97843.199999999997</v>
      </c>
      <c r="EB35" s="130">
        <f t="shared" si="152"/>
        <v>-6.9719327603255499</v>
      </c>
      <c r="EC35" s="65">
        <f>EC28*0.95+0.5*(EC29+EC31)</f>
        <v>97530.349999999991</v>
      </c>
      <c r="ED35" s="130">
        <f t="shared" si="153"/>
        <v>-8.3701539372131641</v>
      </c>
      <c r="EE35" s="65">
        <f>EE28*0.95+0.5*(EE29+EE31)</f>
        <v>98298.45</v>
      </c>
      <c r="EF35" s="130">
        <f t="shared" si="154"/>
        <v>-5.1086248256355553</v>
      </c>
      <c r="EG35" s="65">
        <f>EG28*0.95+0.5*(EG29+EG31)</f>
        <v>100712.34999999999</v>
      </c>
      <c r="EH35" s="130">
        <f t="shared" si="155"/>
        <v>-1.1300907587114217</v>
      </c>
      <c r="EI35" s="65">
        <f t="shared" ref="EI35" si="182">AVERAGE(EI28,EI34)</f>
        <v>107620.5</v>
      </c>
      <c r="EJ35" s="130">
        <f t="shared" si="132"/>
        <v>9.9928252551020336</v>
      </c>
      <c r="EK35" s="65">
        <f t="shared" ref="EK35:EM35" si="183">AVERAGE(EK28,EK34)</f>
        <v>110522.5</v>
      </c>
      <c r="EL35" s="130">
        <f t="shared" si="134"/>
        <v>13.321135420922836</v>
      </c>
      <c r="EM35" s="65">
        <f t="shared" si="183"/>
        <v>112920</v>
      </c>
      <c r="EN35" s="130">
        <f t="shared" si="135"/>
        <v>14.874649600273449</v>
      </c>
      <c r="EO35" s="65">
        <f t="shared" ref="EO35" si="184">AVERAGE(EO28,EO34)</f>
        <v>115874.5</v>
      </c>
      <c r="EP35" s="130">
        <f t="shared" si="137"/>
        <v>15.054906374441668</v>
      </c>
      <c r="EQ35" s="65">
        <f t="shared" ref="EQ35:EW35" si="185">AVERAGE(EQ28,EQ34)</f>
        <v>116761.45796606284</v>
      </c>
      <c r="ER35" s="130">
        <f t="shared" si="139"/>
        <v>8.4936958721273612</v>
      </c>
      <c r="ES35" s="65">
        <f t="shared" si="185"/>
        <v>116550.69917043918</v>
      </c>
      <c r="ET35" s="130">
        <f t="shared" si="141"/>
        <v>5.4542732660220139</v>
      </c>
      <c r="EU35" s="65">
        <f t="shared" si="185"/>
        <v>117671.11735892505</v>
      </c>
      <c r="EV35" s="130">
        <f t="shared" si="143"/>
        <v>4.2075074025195391</v>
      </c>
      <c r="EW35" s="65">
        <f t="shared" si="185"/>
        <v>119008.31997213795</v>
      </c>
      <c r="EX35" s="130">
        <f t="shared" si="145"/>
        <v>2.7044949252319928</v>
      </c>
      <c r="EY35" s="64"/>
      <c r="EZ35" s="558"/>
      <c r="FA35" s="64"/>
      <c r="FB35" s="66"/>
      <c r="FC35" s="66"/>
      <c r="FD35" s="66"/>
      <c r="FE35" s="67"/>
      <c r="FF35" s="66"/>
      <c r="FG35" s="67"/>
      <c r="FH35" s="66"/>
      <c r="FI35" s="67"/>
      <c r="FJ35" s="66"/>
      <c r="FK35" s="67"/>
      <c r="FL35" s="66"/>
      <c r="FM35" s="61"/>
      <c r="FN35" s="66"/>
      <c r="FO35" s="61"/>
      <c r="FP35" s="65"/>
      <c r="FQ35" s="61"/>
      <c r="FR35" s="65"/>
      <c r="FS35" s="61"/>
      <c r="FT35" s="65">
        <f>AVERAGE(FT28,FT34)</f>
        <v>56947</v>
      </c>
      <c r="FU35" s="61" t="str">
        <f t="shared" si="146"/>
        <v>NA</v>
      </c>
      <c r="FV35" s="65">
        <f>AVERAGE(FV28,FV34)</f>
        <v>53327</v>
      </c>
      <c r="FW35" s="61">
        <f t="shared" si="147"/>
        <v>-6.3567878904946751</v>
      </c>
      <c r="FX35" s="65">
        <f>AVERAGE(FX28,FX34)</f>
        <v>51954.5</v>
      </c>
      <c r="FY35" s="61">
        <f t="shared" si="148"/>
        <v>-2.5737431319969195</v>
      </c>
      <c r="FZ35" s="65">
        <f>AVERAGE(FZ28,FZ34)</f>
        <v>63878.5</v>
      </c>
      <c r="GA35" s="61">
        <f t="shared" si="149"/>
        <v>22.950851225591617</v>
      </c>
      <c r="GB35" s="65">
        <f>AVERAGE(GB28,GB34)</f>
        <v>68360</v>
      </c>
      <c r="GC35" s="61">
        <f t="shared" si="149"/>
        <v>7.0156625468663192</v>
      </c>
      <c r="GD35" s="65">
        <f>AVERAGE(GD28,GD34)</f>
        <v>73618</v>
      </c>
      <c r="GE35" s="61">
        <f t="shared" si="172"/>
        <v>7.6916325336453983</v>
      </c>
      <c r="GF35" s="65">
        <f>AVERAGE(GF28,GF34)</f>
        <v>88102</v>
      </c>
      <c r="GG35" s="61">
        <f t="shared" si="157"/>
        <v>19.674536118883967</v>
      </c>
      <c r="GH35" s="65">
        <f>AVERAGE(GH28,GH34)</f>
        <v>100685.5</v>
      </c>
      <c r="GI35" s="61">
        <f t="shared" si="157"/>
        <v>14.282876665682952</v>
      </c>
      <c r="GJ35" s="65">
        <f>AVERAGE(GJ28,GJ34)</f>
        <v>103609.5</v>
      </c>
      <c r="GK35" s="61">
        <f t="shared" si="157"/>
        <v>2.9040924462807371</v>
      </c>
      <c r="GL35" s="65">
        <f>AVERAGE(GL28,GL34)</f>
        <v>104456</v>
      </c>
      <c r="GM35" s="61">
        <f t="shared" si="157"/>
        <v>0.81701002321215022</v>
      </c>
      <c r="GN35" s="65">
        <f>AVERAGE(GN28,GN34)</f>
        <v>111622.5</v>
      </c>
      <c r="GO35" s="61">
        <f t="shared" si="157"/>
        <v>6.8607834877843388</v>
      </c>
      <c r="GP35" s="65">
        <f>AVERAGE(GP28,GP34)</f>
        <v>118605.44381758923</v>
      </c>
      <c r="GQ35" s="61">
        <f t="shared" si="157"/>
        <v>6.2558568546567495</v>
      </c>
      <c r="GR35" s="65">
        <f>AVERAGE(GR28,GR34)</f>
        <v>123045.16488328885</v>
      </c>
      <c r="GS35" s="61">
        <f t="shared" si="157"/>
        <v>3.7432692149676816</v>
      </c>
      <c r="GT35" s="65">
        <f>AVERAGE(GT28,GT34)</f>
        <v>130170.98862527157</v>
      </c>
      <c r="GU35" s="61">
        <f t="shared" si="157"/>
        <v>5.7912261312679236</v>
      </c>
      <c r="GV35" s="65">
        <f>AVERAGE(GV28,GV34)</f>
        <v>138361.10835166438</v>
      </c>
      <c r="GW35" s="61">
        <f t="shared" si="157"/>
        <v>6.2918164891334172</v>
      </c>
      <c r="GX35" s="65">
        <f>AVERAGE(GX28,GX34)</f>
        <v>147759.15379401471</v>
      </c>
      <c r="GY35" s="61">
        <f t="shared" si="158"/>
        <v>6.7924039886005039</v>
      </c>
      <c r="GZ35" s="61">
        <f t="shared" si="150"/>
        <v>5.7695191641381482</v>
      </c>
      <c r="HA35" s="61"/>
      <c r="HB35" s="452"/>
      <c r="HC35"/>
      <c r="HD35"/>
      <c r="HE35"/>
      <c r="HF35"/>
      <c r="HG35"/>
      <c r="HH35"/>
    </row>
    <row r="36" spans="2:216" s="5" customFormat="1" ht="12.75" customHeight="1" x14ac:dyDescent="0.2">
      <c r="B36" s="93" t="s">
        <v>234</v>
      </c>
      <c r="C36" s="66"/>
      <c r="D36" s="67"/>
      <c r="E36" s="66"/>
      <c r="F36" s="66"/>
      <c r="G36" s="64"/>
      <c r="H36" s="66"/>
      <c r="I36" s="64"/>
      <c r="J36" s="66"/>
      <c r="K36" s="64"/>
      <c r="L36" s="61"/>
      <c r="M36" s="66"/>
      <c r="N36" s="61"/>
      <c r="O36" s="64"/>
      <c r="P36" s="61"/>
      <c r="Q36" s="64"/>
      <c r="R36" s="61"/>
      <c r="S36" s="64"/>
      <c r="T36" s="61"/>
      <c r="U36" s="64"/>
      <c r="V36" s="61"/>
      <c r="W36" s="64"/>
      <c r="X36" s="61"/>
      <c r="Y36" s="64"/>
      <c r="Z36" s="61"/>
      <c r="AA36" s="64"/>
      <c r="AB36" s="61"/>
      <c r="AC36" s="64"/>
      <c r="AD36" s="61"/>
      <c r="AE36" s="64"/>
      <c r="AF36" s="61"/>
      <c r="AG36" s="64"/>
      <c r="AH36" s="61"/>
      <c r="AI36" s="64"/>
      <c r="AJ36" s="61"/>
      <c r="AK36" s="64"/>
      <c r="AL36" s="61"/>
      <c r="AM36" s="64"/>
      <c r="AN36" s="61"/>
      <c r="AO36" s="64"/>
      <c r="AP36" s="61"/>
      <c r="AQ36" s="64"/>
      <c r="AR36" s="61"/>
      <c r="AS36" s="64"/>
      <c r="AT36" s="61"/>
      <c r="AU36" s="64"/>
      <c r="AV36" s="61"/>
      <c r="AW36" s="64"/>
      <c r="AX36" s="61"/>
      <c r="AY36" s="64"/>
      <c r="AZ36" s="61"/>
      <c r="BA36" s="64"/>
      <c r="BB36" s="61"/>
      <c r="BC36" s="64"/>
      <c r="BD36" s="61"/>
      <c r="BE36" s="64"/>
      <c r="BF36" s="61"/>
      <c r="BG36" s="74"/>
      <c r="BH36" s="61"/>
      <c r="BI36" s="74"/>
      <c r="BJ36" s="61"/>
      <c r="BK36" s="74"/>
      <c r="BL36" s="61"/>
      <c r="BM36" s="74"/>
      <c r="BN36" s="61"/>
      <c r="BO36" s="74"/>
      <c r="BP36" s="61"/>
      <c r="BQ36" s="74"/>
      <c r="BR36" s="61"/>
      <c r="BS36" s="74"/>
      <c r="BT36" s="61"/>
      <c r="BU36" s="74"/>
      <c r="BV36" s="61"/>
      <c r="BW36" s="74"/>
      <c r="BX36" s="61"/>
      <c r="BY36" s="74"/>
      <c r="BZ36" s="61"/>
      <c r="CA36" s="74"/>
      <c r="CB36" s="61"/>
      <c r="CC36" s="74"/>
      <c r="CD36" s="61"/>
      <c r="CE36" s="74"/>
      <c r="CF36" s="61"/>
      <c r="CG36" s="74"/>
      <c r="CH36" s="61"/>
      <c r="CI36" s="64"/>
      <c r="CJ36" s="61"/>
      <c r="CK36" s="64"/>
      <c r="CL36" s="61"/>
      <c r="CM36" s="64"/>
      <c r="CN36" s="61"/>
      <c r="CO36" s="74">
        <v>0</v>
      </c>
      <c r="CP36" s="61" t="str">
        <f t="shared" si="159"/>
        <v>NA</v>
      </c>
      <c r="CQ36" s="74">
        <v>0</v>
      </c>
      <c r="CR36" s="61" t="str">
        <f t="shared" si="160"/>
        <v>NA</v>
      </c>
      <c r="CS36" s="74">
        <v>-1</v>
      </c>
      <c r="CT36" s="61" t="str">
        <f t="shared" si="161"/>
        <v>NA</v>
      </c>
      <c r="CU36" s="74">
        <v>-1</v>
      </c>
      <c r="CV36" s="61" t="str">
        <f t="shared" si="162"/>
        <v>NA</v>
      </c>
      <c r="CW36" s="74">
        <v>-1</v>
      </c>
      <c r="CX36" s="61" t="str">
        <f t="shared" si="163"/>
        <v>NA</v>
      </c>
      <c r="CY36" s="74">
        <v>-1</v>
      </c>
      <c r="CZ36" s="61" t="str">
        <f t="shared" si="164"/>
        <v>NA</v>
      </c>
      <c r="DA36" s="74">
        <v>0</v>
      </c>
      <c r="DB36" s="61" t="str">
        <f t="shared" si="165"/>
        <v>NM</v>
      </c>
      <c r="DC36" s="74">
        <v>-1</v>
      </c>
      <c r="DD36" s="61">
        <f t="shared" si="166"/>
        <v>0</v>
      </c>
      <c r="DE36" s="74">
        <v>0</v>
      </c>
      <c r="DF36" s="61" t="str">
        <f t="shared" si="167"/>
        <v>NM</v>
      </c>
      <c r="DG36" s="74">
        <v>0</v>
      </c>
      <c r="DH36" s="61" t="str">
        <f t="shared" si="168"/>
        <v>NM</v>
      </c>
      <c r="DI36" s="74">
        <v>-1</v>
      </c>
      <c r="DJ36" s="61" t="str">
        <f t="shared" si="169"/>
        <v>NA</v>
      </c>
      <c r="DK36" s="74">
        <v>0</v>
      </c>
      <c r="DL36" s="61" t="str">
        <f t="shared" si="170"/>
        <v>NM</v>
      </c>
      <c r="DM36" s="74">
        <v>0</v>
      </c>
      <c r="DN36" s="130" t="str">
        <f t="shared" si="151"/>
        <v>NA</v>
      </c>
      <c r="DO36" s="74">
        <v>0</v>
      </c>
      <c r="DP36" s="130" t="str">
        <f t="shared" si="151"/>
        <v>NA</v>
      </c>
      <c r="DQ36" s="74">
        <v>0</v>
      </c>
      <c r="DR36" s="130" t="str">
        <f t="shared" si="151"/>
        <v>NM</v>
      </c>
      <c r="DS36" s="74">
        <v>0</v>
      </c>
      <c r="DT36" s="130" t="str">
        <f t="shared" si="151"/>
        <v>NA</v>
      </c>
      <c r="DU36" s="74">
        <v>0</v>
      </c>
      <c r="DV36" s="130" t="str">
        <f t="shared" si="151"/>
        <v>NA</v>
      </c>
      <c r="DW36" s="74">
        <v>-1</v>
      </c>
      <c r="DX36" s="74">
        <v>-1</v>
      </c>
      <c r="DY36" s="74">
        <v>-1</v>
      </c>
      <c r="DZ36" s="130" t="str">
        <f t="shared" si="151"/>
        <v>NA</v>
      </c>
      <c r="EA36" s="74">
        <v>-1</v>
      </c>
      <c r="EB36" s="130" t="str">
        <f t="shared" si="152"/>
        <v>NA</v>
      </c>
      <c r="EC36" s="74">
        <v>0</v>
      </c>
      <c r="ED36" s="130" t="str">
        <f t="shared" si="153"/>
        <v>NA</v>
      </c>
      <c r="EE36" s="74">
        <v>0</v>
      </c>
      <c r="EF36" s="130" t="str">
        <f t="shared" si="154"/>
        <v>NM</v>
      </c>
      <c r="EG36" s="74">
        <v>0</v>
      </c>
      <c r="EH36" s="130" t="str">
        <f t="shared" si="155"/>
        <v>NM</v>
      </c>
      <c r="EI36" s="74">
        <v>0</v>
      </c>
      <c r="EJ36" s="130" t="str">
        <f t="shared" si="132"/>
        <v>NM</v>
      </c>
      <c r="EK36" s="74">
        <v>0</v>
      </c>
      <c r="EL36" s="130" t="str">
        <f t="shared" si="134"/>
        <v>NA</v>
      </c>
      <c r="EM36" s="74">
        <v>0</v>
      </c>
      <c r="EN36" s="130" t="str">
        <f t="shared" si="135"/>
        <v>NA</v>
      </c>
      <c r="EO36" s="74">
        <v>0</v>
      </c>
      <c r="EP36" s="130" t="str">
        <f t="shared" si="137"/>
        <v>NA</v>
      </c>
      <c r="EQ36" s="74">
        <f t="shared" ref="EQ36" si="186">EO36</f>
        <v>0</v>
      </c>
      <c r="ER36" s="130" t="str">
        <f t="shared" si="139"/>
        <v>NA</v>
      </c>
      <c r="ES36" s="74">
        <f t="shared" ref="ES36" si="187">EQ36</f>
        <v>0</v>
      </c>
      <c r="ET36" s="130" t="str">
        <f t="shared" si="141"/>
        <v>NA</v>
      </c>
      <c r="EU36" s="74">
        <f t="shared" ref="EU36" si="188">ES36</f>
        <v>0</v>
      </c>
      <c r="EV36" s="130" t="str">
        <f t="shared" si="143"/>
        <v>NA</v>
      </c>
      <c r="EW36" s="74">
        <f t="shared" ref="EW36" si="189">EU36</f>
        <v>0</v>
      </c>
      <c r="EX36" s="130" t="str">
        <f t="shared" si="145"/>
        <v>NA</v>
      </c>
      <c r="EY36" s="64"/>
      <c r="EZ36" s="558"/>
      <c r="FA36" s="64"/>
      <c r="FB36" s="66"/>
      <c r="FC36" s="66"/>
      <c r="FD36" s="66"/>
      <c r="FE36" s="67"/>
      <c r="FF36" s="66"/>
      <c r="FG36" s="67"/>
      <c r="FH36" s="66"/>
      <c r="FI36" s="67"/>
      <c r="FJ36" s="66"/>
      <c r="FK36" s="67"/>
      <c r="FL36" s="66"/>
      <c r="FM36" s="61"/>
      <c r="FN36" s="66"/>
      <c r="FO36" s="61"/>
      <c r="FP36" s="65"/>
      <c r="FQ36" s="61"/>
      <c r="FR36" s="65"/>
      <c r="FS36" s="61"/>
      <c r="FT36" s="75"/>
      <c r="FU36" s="61"/>
      <c r="FV36" s="75"/>
      <c r="FW36" s="61"/>
      <c r="FX36" s="75"/>
      <c r="FY36" s="61"/>
      <c r="FZ36" s="75"/>
      <c r="GA36" s="61"/>
      <c r="GB36" s="75">
        <f>CS36</f>
        <v>-1</v>
      </c>
      <c r="GC36" s="61" t="str">
        <f t="shared" si="149"/>
        <v>NA</v>
      </c>
      <c r="GD36" s="75">
        <f>DA36</f>
        <v>0</v>
      </c>
      <c r="GE36" s="61" t="str">
        <f t="shared" si="172"/>
        <v>NM</v>
      </c>
      <c r="GF36" s="75">
        <f>DI36</f>
        <v>-1</v>
      </c>
      <c r="GG36" s="61" t="str">
        <f t="shared" si="157"/>
        <v>NA</v>
      </c>
      <c r="GH36" s="75">
        <f>DQ36</f>
        <v>0</v>
      </c>
      <c r="GI36" s="61" t="str">
        <f t="shared" si="157"/>
        <v>NM</v>
      </c>
      <c r="GJ36" s="75">
        <f>DY36</f>
        <v>-1</v>
      </c>
      <c r="GK36" s="61" t="str">
        <f t="shared" si="157"/>
        <v>NA</v>
      </c>
      <c r="GL36" s="75">
        <f>EG36</f>
        <v>0</v>
      </c>
      <c r="GM36" s="61" t="str">
        <f t="shared" si="157"/>
        <v>NM</v>
      </c>
      <c r="GN36" s="75">
        <f>EO36</f>
        <v>0</v>
      </c>
      <c r="GO36" s="61" t="str">
        <f t="shared" si="157"/>
        <v>NA</v>
      </c>
      <c r="GP36" s="75">
        <f>EW36</f>
        <v>0</v>
      </c>
      <c r="GQ36" s="61" t="str">
        <f t="shared" si="157"/>
        <v>NA</v>
      </c>
      <c r="GR36" s="74">
        <f>GP36</f>
        <v>0</v>
      </c>
      <c r="GS36" s="61" t="str">
        <f t="shared" si="157"/>
        <v>NA</v>
      </c>
      <c r="GT36" s="74">
        <f>GR36</f>
        <v>0</v>
      </c>
      <c r="GU36" s="61" t="str">
        <f t="shared" si="157"/>
        <v>NA</v>
      </c>
      <c r="GV36" s="74">
        <f>GT36</f>
        <v>0</v>
      </c>
      <c r="GW36" s="61" t="str">
        <f t="shared" si="157"/>
        <v>NA</v>
      </c>
      <c r="GX36" s="74">
        <f>GV36</f>
        <v>0</v>
      </c>
      <c r="GY36" s="61" t="str">
        <f t="shared" si="158"/>
        <v>NA</v>
      </c>
      <c r="GZ36" s="61" t="str">
        <f t="shared" si="150"/>
        <v/>
      </c>
      <c r="HA36" s="61"/>
      <c r="HB36" s="452"/>
      <c r="HC36"/>
      <c r="HD36"/>
      <c r="HE36"/>
      <c r="HF36"/>
      <c r="HG36"/>
      <c r="HH36"/>
    </row>
    <row r="37" spans="2:216" s="5" customFormat="1" ht="12.75" customHeight="1" x14ac:dyDescent="0.2">
      <c r="B37" s="241" t="s">
        <v>238</v>
      </c>
      <c r="C37" s="66"/>
      <c r="D37" s="67"/>
      <c r="E37" s="66"/>
      <c r="F37" s="66"/>
      <c r="G37" s="64"/>
      <c r="H37" s="66"/>
      <c r="I37" s="64"/>
      <c r="J37" s="66"/>
      <c r="K37" s="64"/>
      <c r="L37" s="61"/>
      <c r="M37" s="66"/>
      <c r="N37" s="61"/>
      <c r="O37" s="64"/>
      <c r="P37" s="61"/>
      <c r="Q37" s="64"/>
      <c r="R37" s="61"/>
      <c r="S37" s="64"/>
      <c r="T37" s="61"/>
      <c r="U37" s="64"/>
      <c r="V37" s="61"/>
      <c r="W37" s="64"/>
      <c r="X37" s="61"/>
      <c r="Y37" s="64"/>
      <c r="Z37" s="61"/>
      <c r="AA37" s="64"/>
      <c r="AB37" s="61"/>
      <c r="AC37" s="64"/>
      <c r="AD37" s="61"/>
      <c r="AE37" s="64"/>
      <c r="AF37" s="61"/>
      <c r="AG37" s="64"/>
      <c r="AH37" s="61"/>
      <c r="AI37" s="64"/>
      <c r="AJ37" s="61"/>
      <c r="AK37" s="64"/>
      <c r="AL37" s="61"/>
      <c r="AM37" s="64"/>
      <c r="AN37" s="61"/>
      <c r="AO37" s="64"/>
      <c r="AP37" s="61"/>
      <c r="AQ37" s="64"/>
      <c r="AR37" s="61"/>
      <c r="AS37" s="64"/>
      <c r="AT37" s="61"/>
      <c r="AU37" s="64"/>
      <c r="AV37" s="61"/>
      <c r="AW37" s="64"/>
      <c r="AX37" s="61"/>
      <c r="AY37" s="64"/>
      <c r="AZ37" s="61"/>
      <c r="BA37" s="64"/>
      <c r="BB37" s="61"/>
      <c r="BC37" s="64"/>
      <c r="BD37" s="61"/>
      <c r="BE37" s="64"/>
      <c r="BF37" s="61"/>
      <c r="BG37" s="65"/>
      <c r="BH37" s="61"/>
      <c r="BI37" s="65"/>
      <c r="BJ37" s="61"/>
      <c r="BK37" s="65"/>
      <c r="BL37" s="61"/>
      <c r="BM37" s="65"/>
      <c r="BN37" s="61"/>
      <c r="BO37" s="65"/>
      <c r="BP37" s="61"/>
      <c r="BQ37" s="65"/>
      <c r="BR37" s="61"/>
      <c r="BS37" s="65"/>
      <c r="BT37" s="61"/>
      <c r="BU37" s="65"/>
      <c r="BV37" s="61"/>
      <c r="BW37" s="65"/>
      <c r="BX37" s="61"/>
      <c r="BY37" s="65"/>
      <c r="BZ37" s="61"/>
      <c r="CA37" s="65"/>
      <c r="CB37" s="61"/>
      <c r="CC37" s="65"/>
      <c r="CD37" s="61"/>
      <c r="CE37" s="65"/>
      <c r="CF37" s="61"/>
      <c r="CG37" s="65"/>
      <c r="CH37" s="61"/>
      <c r="CI37" s="64"/>
      <c r="CJ37" s="61"/>
      <c r="CK37" s="64"/>
      <c r="CL37" s="61"/>
      <c r="CM37" s="64"/>
      <c r="CN37" s="61"/>
      <c r="CO37" s="65">
        <f>CO34+CO36</f>
        <v>71837</v>
      </c>
      <c r="CP37" s="61" t="str">
        <f t="shared" si="159"/>
        <v>NA</v>
      </c>
      <c r="CQ37" s="65">
        <f>CQ34+CQ36</f>
        <v>64140</v>
      </c>
      <c r="CR37" s="61" t="str">
        <f t="shared" si="160"/>
        <v>NA</v>
      </c>
      <c r="CS37" s="65">
        <f>CS34+CS36</f>
        <v>68329</v>
      </c>
      <c r="CT37" s="61" t="str">
        <f t="shared" si="161"/>
        <v>NA</v>
      </c>
      <c r="CU37" s="65">
        <f>CU34+CU36</f>
        <v>74365</v>
      </c>
      <c r="CV37" s="61" t="str">
        <f t="shared" si="162"/>
        <v>NA</v>
      </c>
      <c r="CW37" s="65">
        <f>CW34+CW36</f>
        <v>72975</v>
      </c>
      <c r="CX37" s="61">
        <f t="shared" si="163"/>
        <v>1.5841418767487569</v>
      </c>
      <c r="CY37" s="65">
        <f>CY34+CY36</f>
        <v>76695</v>
      </c>
      <c r="CZ37" s="61">
        <f t="shared" si="164"/>
        <v>19.574368568755851</v>
      </c>
      <c r="DA37" s="65">
        <f>DA34+DA36</f>
        <v>78906</v>
      </c>
      <c r="DB37" s="61">
        <f t="shared" si="165"/>
        <v>15.479518213350119</v>
      </c>
      <c r="DC37" s="65">
        <f>DC34+DC36</f>
        <v>83686</v>
      </c>
      <c r="DD37" s="61">
        <f t="shared" si="166"/>
        <v>12.534122234922339</v>
      </c>
      <c r="DE37" s="65">
        <f>DE34+DE36</f>
        <v>85395</v>
      </c>
      <c r="DF37" s="61">
        <f t="shared" si="167"/>
        <v>17.01952723535458</v>
      </c>
      <c r="DG37" s="65">
        <f>DG34+DG36</f>
        <v>91021</v>
      </c>
      <c r="DH37" s="61">
        <f t="shared" si="168"/>
        <v>18.679183779907426</v>
      </c>
      <c r="DI37" s="65">
        <f>DI34+DI36</f>
        <v>97297</v>
      </c>
      <c r="DJ37" s="61">
        <f t="shared" si="169"/>
        <v>23.30747978607457</v>
      </c>
      <c r="DK37" s="65">
        <f>DK34+DK36</f>
        <v>98798</v>
      </c>
      <c r="DL37" s="61">
        <f t="shared" si="170"/>
        <v>18.057978634419136</v>
      </c>
      <c r="DM37" s="65">
        <f>DM34+DM36</f>
        <v>103043</v>
      </c>
      <c r="DN37" s="130">
        <f t="shared" si="151"/>
        <v>20.666315358042041</v>
      </c>
      <c r="DO37" s="65">
        <f>DO34+DO36</f>
        <v>102238</v>
      </c>
      <c r="DP37" s="130">
        <f t="shared" si="151"/>
        <v>12.323529734896344</v>
      </c>
      <c r="DQ37" s="65">
        <f>DQ34+DQ36</f>
        <v>104073</v>
      </c>
      <c r="DR37" s="130">
        <f t="shared" si="151"/>
        <v>6.9642435018551385</v>
      </c>
      <c r="DS37" s="65">
        <f>DS34+DS36</f>
        <v>106279</v>
      </c>
      <c r="DT37" s="130">
        <f t="shared" si="151"/>
        <v>7.5720156278467066</v>
      </c>
      <c r="DU37" s="65">
        <f>DU34+DU36</f>
        <v>106600</v>
      </c>
      <c r="DV37" s="130">
        <f t="shared" si="151"/>
        <v>3.4519569500111702</v>
      </c>
      <c r="DW37" s="65">
        <f>DW34+DW36</f>
        <v>100580</v>
      </c>
      <c r="DX37" s="65">
        <f t="shared" ref="DX37:DY37" si="190">DX34+DX36</f>
        <v>-6016.5480430499883</v>
      </c>
      <c r="DY37" s="65">
        <f t="shared" si="190"/>
        <v>103145</v>
      </c>
      <c r="DZ37" s="130">
        <f t="shared" si="151"/>
        <v>-0.89168180027480171</v>
      </c>
      <c r="EA37" s="65">
        <f t="shared" ref="EA37:EC37" si="191">EA34+EA36</f>
        <v>102902</v>
      </c>
      <c r="EB37" s="130">
        <f t="shared" si="152"/>
        <v>-3.1774856744982594</v>
      </c>
      <c r="EC37" s="65">
        <f t="shared" si="191"/>
        <v>103861</v>
      </c>
      <c r="ED37" s="130">
        <f t="shared" si="153"/>
        <v>-2.5694183864915621</v>
      </c>
      <c r="EE37" s="65">
        <f t="shared" ref="EE37:EG37" si="192">EE34+EE36</f>
        <v>106473</v>
      </c>
      <c r="EF37" s="130">
        <f t="shared" si="154"/>
        <v>5.8590176973553287</v>
      </c>
      <c r="EG37" s="65">
        <f t="shared" si="192"/>
        <v>105766</v>
      </c>
      <c r="EH37" s="130">
        <f t="shared" si="155"/>
        <v>2.5410829414901359</v>
      </c>
      <c r="EI37" s="65">
        <f t="shared" ref="EI37:EK37" si="193">EI34+EI36</f>
        <v>109475</v>
      </c>
      <c r="EJ37" s="130">
        <f t="shared" si="132"/>
        <v>6.3876309498357653</v>
      </c>
      <c r="EK37" s="65">
        <f t="shared" si="193"/>
        <v>111570</v>
      </c>
      <c r="EL37" s="130">
        <f t="shared" si="134"/>
        <v>7.422420350275849</v>
      </c>
      <c r="EM37" s="65">
        <f t="shared" ref="EM37" si="194">EM34+EM36</f>
        <v>114270</v>
      </c>
      <c r="EN37" s="130">
        <f t="shared" si="135"/>
        <v>7.3229832915387094</v>
      </c>
      <c r="EO37" s="65">
        <f t="shared" ref="EO37" si="195">EO34+EO36</f>
        <v>117479</v>
      </c>
      <c r="EP37" s="130">
        <f t="shared" si="137"/>
        <v>11.074447364937701</v>
      </c>
      <c r="EQ37" s="65">
        <f t="shared" ref="EQ37:EW37" si="196">EQ34+EQ36</f>
        <v>116043.91593212567</v>
      </c>
      <c r="ER37" s="130">
        <f t="shared" si="139"/>
        <v>6.0003799334328978</v>
      </c>
      <c r="ES37" s="65">
        <f t="shared" si="196"/>
        <v>117057.48240875268</v>
      </c>
      <c r="ET37" s="130">
        <f t="shared" si="141"/>
        <v>4.9184210887807556</v>
      </c>
      <c r="EU37" s="65">
        <f t="shared" si="196"/>
        <v>118284.75230909741</v>
      </c>
      <c r="EV37" s="130">
        <f t="shared" si="143"/>
        <v>3.5133913617724888</v>
      </c>
      <c r="EW37" s="65">
        <f t="shared" si="196"/>
        <v>119731.88763517849</v>
      </c>
      <c r="EX37" s="130">
        <f t="shared" si="145"/>
        <v>1.9176939156602346</v>
      </c>
      <c r="EY37" s="64"/>
      <c r="EZ37" s="558"/>
      <c r="FA37" s="64"/>
      <c r="FB37" s="66"/>
      <c r="FC37" s="66"/>
      <c r="FD37" s="66"/>
      <c r="FE37" s="67"/>
      <c r="FF37" s="66"/>
      <c r="FG37" s="67"/>
      <c r="FH37" s="66"/>
      <c r="FI37" s="67"/>
      <c r="FJ37" s="66"/>
      <c r="FK37" s="67"/>
      <c r="FL37" s="66"/>
      <c r="FM37" s="61"/>
      <c r="FN37" s="66"/>
      <c r="FO37" s="61"/>
      <c r="FP37" s="65"/>
      <c r="FQ37" s="61"/>
      <c r="FR37" s="65"/>
      <c r="FS37" s="61"/>
      <c r="FT37" s="65">
        <f>FT34+FT36</f>
        <v>62112</v>
      </c>
      <c r="FU37" s="61" t="str">
        <f t="shared" si="146"/>
        <v>NA</v>
      </c>
      <c r="FV37" s="65">
        <f>FV34+FV36</f>
        <v>44542</v>
      </c>
      <c r="FW37" s="61">
        <f t="shared" si="147"/>
        <v>-28.287609479649667</v>
      </c>
      <c r="FX37" s="65">
        <f>FX34+FX36</f>
        <v>59367</v>
      </c>
      <c r="FY37" s="61">
        <f t="shared" si="148"/>
        <v>33.283193390507826</v>
      </c>
      <c r="FZ37" s="65">
        <f>FZ34+FZ36</f>
        <v>68390</v>
      </c>
      <c r="GA37" s="61">
        <f t="shared" si="149"/>
        <v>15.198679401014026</v>
      </c>
      <c r="GB37" s="65">
        <f>GB34+GB36</f>
        <v>68329</v>
      </c>
      <c r="GC37" s="61">
        <f t="shared" si="149"/>
        <v>-8.9194326655939182E-2</v>
      </c>
      <c r="GD37" s="65">
        <f>GD34+GD36</f>
        <v>78906</v>
      </c>
      <c r="GE37" s="61">
        <f t="shared" si="172"/>
        <v>15.479518213350119</v>
      </c>
      <c r="GF37" s="65">
        <f>GF34+GF36</f>
        <v>97297</v>
      </c>
      <c r="GG37" s="61">
        <f t="shared" si="157"/>
        <v>23.30747978607457</v>
      </c>
      <c r="GH37" s="65">
        <f>GH34+GH36</f>
        <v>104073</v>
      </c>
      <c r="GI37" s="61">
        <f t="shared" si="157"/>
        <v>6.9642435018551385</v>
      </c>
      <c r="GJ37" s="65">
        <f>GJ34+GJ36</f>
        <v>103145</v>
      </c>
      <c r="GK37" s="61">
        <f t="shared" si="157"/>
        <v>-0.89168180027480171</v>
      </c>
      <c r="GL37" s="65">
        <f>GL34+GL36</f>
        <v>105766</v>
      </c>
      <c r="GM37" s="61">
        <f t="shared" si="157"/>
        <v>2.5410829414901359</v>
      </c>
      <c r="GN37" s="65">
        <f>GN34+GN36</f>
        <v>117479</v>
      </c>
      <c r="GO37" s="61">
        <f t="shared" si="157"/>
        <v>11.074447364937701</v>
      </c>
      <c r="GP37" s="65">
        <f>GP34+GP36</f>
        <v>119731.88763517847</v>
      </c>
      <c r="GQ37" s="61">
        <f t="shared" si="157"/>
        <v>1.9176939156602124</v>
      </c>
      <c r="GR37" s="65">
        <f>GR34+GR36</f>
        <v>126358.44213139922</v>
      </c>
      <c r="GS37" s="61">
        <f t="shared" si="157"/>
        <v>5.5344942998073909</v>
      </c>
      <c r="GT37" s="65">
        <f>GT34+GT36</f>
        <v>133983.53511914393</v>
      </c>
      <c r="GU37" s="61">
        <f t="shared" si="157"/>
        <v>6.0344942998073803</v>
      </c>
      <c r="GV37" s="65">
        <f>GV34+GV36</f>
        <v>142738.68158418484</v>
      </c>
      <c r="GW37" s="61">
        <f t="shared" si="157"/>
        <v>6.534494299807414</v>
      </c>
      <c r="GX37" s="65">
        <f>GX34+GX36</f>
        <v>152779.62600384455</v>
      </c>
      <c r="GY37" s="61">
        <f t="shared" si="158"/>
        <v>7.0344942998073812</v>
      </c>
      <c r="GZ37" s="61">
        <f t="shared" si="150"/>
        <v>5.3952504745742758</v>
      </c>
      <c r="HA37" s="61"/>
      <c r="HB37" s="452"/>
      <c r="HC37"/>
      <c r="HD37"/>
      <c r="HE37"/>
      <c r="HF37"/>
      <c r="HG37"/>
      <c r="HH37"/>
    </row>
    <row r="38" spans="2:216" s="5" customFormat="1" ht="12.75" customHeight="1" x14ac:dyDescent="0.2">
      <c r="B38" s="68"/>
      <c r="C38" s="66"/>
      <c r="D38" s="67"/>
      <c r="E38" s="66"/>
      <c r="F38" s="66"/>
      <c r="G38" s="64"/>
      <c r="H38" s="66"/>
      <c r="I38" s="64"/>
      <c r="J38" s="66"/>
      <c r="K38" s="64"/>
      <c r="L38" s="61"/>
      <c r="M38" s="66"/>
      <c r="N38" s="61"/>
      <c r="O38" s="64"/>
      <c r="P38" s="61"/>
      <c r="Q38" s="64"/>
      <c r="R38" s="61"/>
      <c r="S38" s="64"/>
      <c r="T38" s="61"/>
      <c r="U38" s="64"/>
      <c r="V38" s="61"/>
      <c r="W38" s="64"/>
      <c r="X38" s="61"/>
      <c r="Y38" s="64"/>
      <c r="Z38" s="61"/>
      <c r="AA38" s="64"/>
      <c r="AB38" s="61"/>
      <c r="AC38" s="64"/>
      <c r="AD38" s="61"/>
      <c r="AE38" s="64"/>
      <c r="AF38" s="61"/>
      <c r="AG38" s="64"/>
      <c r="AH38" s="61"/>
      <c r="AI38" s="64"/>
      <c r="AJ38" s="61"/>
      <c r="AK38" s="64"/>
      <c r="AL38" s="61"/>
      <c r="AM38" s="64"/>
      <c r="AN38" s="61"/>
      <c r="AO38" s="64"/>
      <c r="AP38" s="61"/>
      <c r="AQ38" s="64"/>
      <c r="AR38" s="61"/>
      <c r="AS38" s="64"/>
      <c r="AT38" s="61"/>
      <c r="AU38" s="64"/>
      <c r="AV38" s="61"/>
      <c r="AW38" s="64"/>
      <c r="AX38" s="61"/>
      <c r="AY38" s="64"/>
      <c r="AZ38" s="61"/>
      <c r="BA38" s="64"/>
      <c r="BB38" s="61"/>
      <c r="BC38" s="64"/>
      <c r="BD38" s="61"/>
      <c r="BE38" s="64"/>
      <c r="BF38" s="61"/>
      <c r="BG38" s="64"/>
      <c r="BH38" s="61"/>
      <c r="BI38" s="64"/>
      <c r="BJ38" s="61"/>
      <c r="BK38" s="64"/>
      <c r="BL38" s="61"/>
      <c r="BM38" s="64"/>
      <c r="BN38" s="61"/>
      <c r="BO38" s="64"/>
      <c r="BP38" s="61"/>
      <c r="BQ38" s="64"/>
      <c r="BR38" s="61"/>
      <c r="BS38" s="64"/>
      <c r="BT38" s="61"/>
      <c r="BU38" s="64"/>
      <c r="BV38" s="61"/>
      <c r="BW38" s="64"/>
      <c r="BX38" s="61"/>
      <c r="BY38" s="64"/>
      <c r="BZ38" s="61"/>
      <c r="CA38" s="64"/>
      <c r="CB38" s="61"/>
      <c r="CC38" s="64"/>
      <c r="CD38" s="61"/>
      <c r="CE38" s="64"/>
      <c r="CF38" s="61"/>
      <c r="CG38" s="64"/>
      <c r="CH38" s="61"/>
      <c r="CI38" s="64"/>
      <c r="CJ38" s="61"/>
      <c r="CK38" s="64"/>
      <c r="CL38" s="61"/>
      <c r="CM38" s="64"/>
      <c r="CN38" s="61"/>
      <c r="CO38" s="64"/>
      <c r="CP38" s="61"/>
      <c r="CQ38" s="64"/>
      <c r="CR38" s="61"/>
      <c r="CS38" s="64"/>
      <c r="CT38" s="61"/>
      <c r="CU38" s="64"/>
      <c r="CV38" s="61"/>
      <c r="CW38" s="64"/>
      <c r="CX38" s="61"/>
      <c r="CY38" s="64"/>
      <c r="CZ38" s="61"/>
      <c r="DA38" s="64"/>
      <c r="DB38" s="61"/>
      <c r="DC38" s="64"/>
      <c r="DD38" s="61"/>
      <c r="DE38" s="64"/>
      <c r="DF38" s="61"/>
      <c r="DG38" s="64"/>
      <c r="DH38" s="61"/>
      <c r="DI38" s="64"/>
      <c r="DJ38" s="61"/>
      <c r="DK38" s="64"/>
      <c r="DL38" s="61"/>
      <c r="DM38" s="64"/>
      <c r="DN38" s="61"/>
      <c r="DO38" s="64"/>
      <c r="DP38" s="61"/>
      <c r="DQ38" s="64"/>
      <c r="DR38" s="61"/>
      <c r="DS38" s="64"/>
      <c r="DT38" s="61"/>
      <c r="DU38" s="64"/>
      <c r="DV38" s="61"/>
      <c r="DW38" s="64"/>
      <c r="DX38" s="64"/>
      <c r="DY38" s="64"/>
      <c r="DZ38" s="61"/>
      <c r="EA38" s="64"/>
      <c r="EB38" s="61"/>
      <c r="EC38" s="64"/>
      <c r="ED38" s="61"/>
      <c r="EE38" s="64"/>
      <c r="EF38" s="61"/>
      <c r="EG38" s="64"/>
      <c r="EH38" s="61"/>
      <c r="EI38" s="64"/>
      <c r="EJ38" s="61"/>
      <c r="EK38" s="64"/>
      <c r="EL38" s="61"/>
      <c r="EM38" s="64"/>
      <c r="EN38" s="61"/>
      <c r="EO38" s="64"/>
      <c r="EP38" s="61"/>
      <c r="EQ38" s="64"/>
      <c r="ER38" s="61"/>
      <c r="ES38" s="64"/>
      <c r="ET38" s="61"/>
      <c r="EU38" s="64"/>
      <c r="EV38" s="61"/>
      <c r="EW38" s="64"/>
      <c r="EX38" s="61"/>
      <c r="EY38" s="64"/>
      <c r="EZ38" s="558"/>
      <c r="FA38" s="64"/>
      <c r="FB38" s="66"/>
      <c r="FC38" s="66"/>
      <c r="FD38" s="66"/>
      <c r="FE38" s="67"/>
      <c r="FF38" s="66"/>
      <c r="FG38" s="67"/>
      <c r="FH38" s="66"/>
      <c r="FI38" s="67"/>
      <c r="FJ38" s="66"/>
      <c r="FK38" s="67"/>
      <c r="FL38" s="66"/>
      <c r="FM38" s="61"/>
      <c r="FN38" s="66"/>
      <c r="FO38" s="61"/>
      <c r="FP38" s="65"/>
      <c r="FQ38" s="61"/>
      <c r="FR38" s="65"/>
      <c r="FS38" s="61"/>
      <c r="FT38" s="65"/>
      <c r="FU38" s="61"/>
      <c r="FV38" s="65"/>
      <c r="FW38" s="61"/>
      <c r="FX38" s="65"/>
      <c r="FY38" s="61"/>
      <c r="FZ38" s="65"/>
      <c r="GA38" s="61"/>
      <c r="GB38" s="65"/>
      <c r="GC38" s="61"/>
      <c r="GD38" s="65"/>
      <c r="GE38" s="61"/>
      <c r="GF38" s="65"/>
      <c r="GG38" s="61"/>
      <c r="GH38" s="65"/>
      <c r="GI38" s="61"/>
      <c r="GJ38" s="65"/>
      <c r="GK38" s="61"/>
      <c r="GL38" s="65"/>
      <c r="GM38" s="61"/>
      <c r="GN38" s="65"/>
      <c r="GO38" s="61"/>
      <c r="GP38" s="65"/>
      <c r="GQ38" s="61"/>
      <c r="GR38" s="64"/>
      <c r="GS38" s="61"/>
      <c r="GT38" s="64"/>
      <c r="GU38" s="61"/>
      <c r="GV38" s="64"/>
      <c r="GW38" s="61"/>
      <c r="GX38" s="64"/>
      <c r="GY38" s="61"/>
      <c r="GZ38" s="61"/>
      <c r="HA38" s="61"/>
      <c r="HB38" s="452"/>
      <c r="HC38"/>
      <c r="HD38"/>
      <c r="HE38"/>
      <c r="HF38"/>
      <c r="HG38"/>
      <c r="HH38"/>
    </row>
    <row r="39" spans="2:216" s="5" customFormat="1" ht="12.75" customHeight="1" x14ac:dyDescent="0.2">
      <c r="B39" s="68" t="s">
        <v>233</v>
      </c>
      <c r="C39" s="66"/>
      <c r="D39" s="67"/>
      <c r="E39" s="66"/>
      <c r="F39" s="66"/>
      <c r="G39" s="64"/>
      <c r="H39" s="66"/>
      <c r="I39" s="64"/>
      <c r="J39" s="66"/>
      <c r="K39" s="64"/>
      <c r="L39" s="61"/>
      <c r="M39" s="66"/>
      <c r="N39" s="61"/>
      <c r="O39" s="64"/>
      <c r="P39" s="61"/>
      <c r="Q39" s="64"/>
      <c r="R39" s="61"/>
      <c r="S39" s="64"/>
      <c r="T39" s="61"/>
      <c r="U39" s="64"/>
      <c r="V39" s="61"/>
      <c r="W39" s="64"/>
      <c r="X39" s="61"/>
      <c r="Y39" s="64"/>
      <c r="Z39" s="61"/>
      <c r="AA39" s="64"/>
      <c r="AB39" s="61"/>
      <c r="AC39" s="64"/>
      <c r="AD39" s="61"/>
      <c r="AE39" s="64"/>
      <c r="AF39" s="61"/>
      <c r="AG39" s="64"/>
      <c r="AH39" s="61"/>
      <c r="AI39" s="64"/>
      <c r="AJ39" s="61"/>
      <c r="AK39" s="64"/>
      <c r="AL39" s="61"/>
      <c r="AM39" s="64"/>
      <c r="AN39" s="61"/>
      <c r="AO39" s="64"/>
      <c r="AP39" s="61"/>
      <c r="AQ39" s="64"/>
      <c r="AR39" s="61"/>
      <c r="AS39" s="64"/>
      <c r="AT39" s="61"/>
      <c r="AU39" s="64"/>
      <c r="AV39" s="61"/>
      <c r="AW39" s="64"/>
      <c r="AX39" s="61"/>
      <c r="AY39" s="64"/>
      <c r="AZ39" s="61"/>
      <c r="BA39" s="64"/>
      <c r="BB39" s="61"/>
      <c r="BC39" s="64"/>
      <c r="BD39" s="61"/>
      <c r="BE39" s="64"/>
      <c r="BF39" s="61"/>
      <c r="BG39" s="550">
        <f>BG29+BG31</f>
        <v>1205</v>
      </c>
      <c r="BH39" s="61" t="str">
        <f>IF(ISERROR((BG39/AY39-1)*100),"NA",IF(((BG39/AY39-1)*100)&gt;100,"NM",IF(((BG39/AY39-1)*100)&lt;-50,"NM",(BG39/AY39-1)*100)))</f>
        <v>NA</v>
      </c>
      <c r="BI39" s="550">
        <f>BI29+BI31</f>
        <v>1555</v>
      </c>
      <c r="BJ39" s="61" t="str">
        <f>IF(ISERROR((BI39/BA39-1)*100),"NA",IF(((BI39/BA39-1)*100)&gt;100,"NM",IF(((BI39/BA39-1)*100)&lt;-50,"NM",(BI39/BA39-1)*100)))</f>
        <v>NA</v>
      </c>
      <c r="BK39" s="550">
        <f>BK29+BK31</f>
        <v>1516</v>
      </c>
      <c r="BL39" s="61" t="str">
        <f>IF(ISERROR((BK39/BC39-1)*100),"NA",IF(((BK39/BC39-1)*100)&gt;100,"NM",IF(((BK39/BC39-1)*100)&lt;-50,"NM",(BK39/BC39-1)*100)))</f>
        <v>NA</v>
      </c>
      <c r="BM39" s="550">
        <f>BM29+BM31</f>
        <v>1920</v>
      </c>
      <c r="BN39" s="61" t="str">
        <f>IF(ISERROR((BM39/BE39-1)*100),"NA",IF(((BM39/BE39-1)*100)&gt;100,"NM",IF(((BM39/BE39-1)*100)&lt;-50,"NM",(BM39/BE39-1)*100)))</f>
        <v>NA</v>
      </c>
      <c r="BO39" s="550">
        <f>BO29+BO31</f>
        <v>1338</v>
      </c>
      <c r="BP39" s="61">
        <f>IF(ISERROR((BO39/BG39-1)*100),"NA",IF(((BO39/BG39-1)*100)&gt;100,"NM",IF(((BO39/BG39-1)*100)&lt;-50,"NM",(BO39/BG39-1)*100)))</f>
        <v>11.037344398340254</v>
      </c>
      <c r="BQ39" s="550">
        <f>BQ29+BQ31</f>
        <v>1605</v>
      </c>
      <c r="BR39" s="61">
        <f>IF(ISERROR((BQ39/BI39-1)*100),"NA",IF(((BQ39/BI39-1)*100)&gt;100,"NM",IF(((BQ39/BI39-1)*100)&lt;-50,"NM",(BQ39/BI39-1)*100)))</f>
        <v>3.2154340836012762</v>
      </c>
      <c r="BS39" s="550">
        <f>BS29+BS31</f>
        <v>1228</v>
      </c>
      <c r="BT39" s="61">
        <f>IF(ISERROR((BS39/BK39-1)*100),"NA",IF(((BS39/BK39-1)*100)&gt;100,"NM",IF(((BS39/BK39-1)*100)&lt;-50,"NM",(BS39/BK39-1)*100)))</f>
        <v>-18.997361477572561</v>
      </c>
      <c r="BU39" s="550">
        <f>BU29+BU31</f>
        <v>590</v>
      </c>
      <c r="BV39" s="61" t="str">
        <f>IF(ISERROR((BU39/BM39-1)*100),"NA",IF(((BU39/BM39-1)*100)&gt;100,"NM",IF(((BU39/BM39-1)*100)&lt;-50,"NM",(BU39/BM39-1)*100)))</f>
        <v>NM</v>
      </c>
      <c r="BW39" s="550">
        <f>BW29+BW31</f>
        <v>438</v>
      </c>
      <c r="BX39" s="61" t="str">
        <f>IF(ISERROR((BW39/BO39-1)*100),"NA",IF(((BW39/BO39-1)*100)&gt;100,"NM",IF(((BW39/BO39-1)*100)&lt;-50,"NM",(BW39/BO39-1)*100)))</f>
        <v>NM</v>
      </c>
      <c r="BY39" s="550">
        <f>BY29+BY31</f>
        <v>651</v>
      </c>
      <c r="BZ39" s="61" t="str">
        <f>IF(ISERROR((BY39/BQ39-1)*100),"NA",IF(((BY39/BQ39-1)*100)&gt;100,"NM",IF(((BY39/BQ39-1)*100)&lt;-50,"NM",(BY39/BQ39-1)*100)))</f>
        <v>NM</v>
      </c>
      <c r="CA39" s="550">
        <f>CA29+CA31</f>
        <v>747</v>
      </c>
      <c r="CB39" s="61">
        <f>IF(ISERROR((CA39/BS39-1)*100),"NA",IF(((CA39/BS39-1)*100)&gt;100,"NM",IF(((CA39/BS39-1)*100)&lt;-50,"NM",(CA39/BS39-1)*100)))</f>
        <v>-39.169381107491851</v>
      </c>
      <c r="CC39" s="550">
        <f>CC29+CC31</f>
        <v>838</v>
      </c>
      <c r="CD39" s="61">
        <f>IF(ISERROR((CC39/BU39-1)*100),"NA",IF(((CC39/BU39-1)*100)&gt;100,"NM",IF(((CC39/BU39-1)*100)&lt;-50,"NM",(CC39/BU39-1)*100)))</f>
        <v>42.033898305084747</v>
      </c>
      <c r="CE39" s="550">
        <f>CE29+CE31</f>
        <v>552</v>
      </c>
      <c r="CF39" s="61">
        <f>IF(ISERROR((CE39/BW39-1)*100),"NA",IF(((CE39/BW39-1)*100)&gt;100,"NM",IF(((CE39/BW39-1)*100)&lt;-50,"NM",(CE39/BW39-1)*100)))</f>
        <v>26.027397260273965</v>
      </c>
      <c r="CG39" s="550">
        <f>CG29+CG31</f>
        <v>870</v>
      </c>
      <c r="CH39" s="61">
        <f>IF(ISERROR((CG39/BY39-1)*100),"NA",IF(((CG39/BY39-1)*100)&gt;100,"NM",IF(((CG39/BY39-1)*100)&lt;-50,"NM",(CG39/BY39-1)*100)))</f>
        <v>33.640552995391701</v>
      </c>
      <c r="CI39" s="550">
        <f>CI29+CI31</f>
        <v>713</v>
      </c>
      <c r="CJ39" s="61">
        <f>IF(ISERROR((CI39/CA39-1)*100),"NA",IF(((CI39/CA39-1)*100)&gt;100,"NM",IF(((CI39/CA39-1)*100)&lt;-50,"NM",(CI39/CA39-1)*100)))</f>
        <v>-4.551539491298529</v>
      </c>
      <c r="CK39" s="550">
        <f>CK29+CK31</f>
        <v>650</v>
      </c>
      <c r="CL39" s="61">
        <f>IF(ISERROR((CK39/CC39-1)*100),"NA",IF(((CK39/CC39-1)*100)&gt;100,"NM",IF(((CK39/CC39-1)*100)&lt;-50,"NM",(CK39/CC39-1)*100)))</f>
        <v>-22.434367541766107</v>
      </c>
      <c r="CM39" s="550">
        <f>CM29+CM31</f>
        <v>452</v>
      </c>
      <c r="CN39" s="61">
        <f>IF(ISERROR((CM39/CE39-1)*100),"NA",IF(((CM39/CE39-1)*100)&gt;100,"NM",IF(((CM39/CE39-1)*100)&lt;-50,"NM",(CM39/CE39-1)*100)))</f>
        <v>-18.115942028985511</v>
      </c>
      <c r="CO39" s="550">
        <f>CO29+CO31</f>
        <v>566</v>
      </c>
      <c r="CP39" s="61">
        <f>IF(ISERROR((CO39/CG39-1)*100),"NA",IF(((CO39/CG39-1)*100)&gt;100,"NM",IF(((CO39/CG39-1)*100)&lt;-50,"NM",(CO39/CG39-1)*100)))</f>
        <v>-34.94252873563218</v>
      </c>
      <c r="CQ39" s="550">
        <f>CQ29+CQ31</f>
        <v>617</v>
      </c>
      <c r="CR39" s="61">
        <f>IF(ISERROR((CQ39/CI39-1)*100),"NA",IF(((CQ39/CI39-1)*100)&gt;100,"NM",IF(((CQ39/CI39-1)*100)&lt;-50,"NM",(CQ39/CI39-1)*100)))</f>
        <v>-13.464235624123422</v>
      </c>
      <c r="CS39" s="550">
        <f>CS29+CS31</f>
        <v>473</v>
      </c>
      <c r="CT39" s="61">
        <f>IF(ISERROR((CS39/CK39-1)*100),"NA",IF(((CS39/CK39-1)*100)&gt;100,"NM",IF(((CS39/CK39-1)*100)&lt;-50,"NM",(CS39/CK39-1)*100)))</f>
        <v>-27.230769230769237</v>
      </c>
      <c r="CU39" s="550">
        <f>CU29+CU31</f>
        <v>463</v>
      </c>
      <c r="CV39" s="61">
        <f>IF(ISERROR((CU39/CM39-1)*100),"NA",IF(((CU39/CM39-1)*100)&gt;100,"NM",IF(((CU39/CM39-1)*100)&lt;-50,"NM",(CU39/CM39-1)*100)))</f>
        <v>2.433628318584069</v>
      </c>
      <c r="CW39" s="550">
        <f>CW29+CW31</f>
        <v>733</v>
      </c>
      <c r="CX39" s="61">
        <f>IF(ISERROR((CW39/CO39-1)*100),"NA",IF(((CW39/CO39-1)*100)&gt;100,"NM",IF(((CW39/CO39-1)*100)&lt;-50,"NM",(CW39/CO39-1)*100)))</f>
        <v>29.505300353356901</v>
      </c>
      <c r="CY39" s="550">
        <f>CY29+CY31</f>
        <v>506</v>
      </c>
      <c r="CZ39" s="61">
        <f>IF(ISERROR((CY39/CQ39-1)*100),"NA",IF(((CY39/CQ39-1)*100)&gt;100,"NM",IF(((CY39/CQ39-1)*100)&lt;-50,"NM",(CY39/CQ39-1)*100)))</f>
        <v>-17.990275526742305</v>
      </c>
      <c r="DA39" s="550">
        <f>DA29+DA31</f>
        <v>1111</v>
      </c>
      <c r="DB39" s="61" t="str">
        <f>IF(ISERROR((DA39/CS39-1)*100),"NA",IF(((DA39/CS39-1)*100)&gt;100,"NM",IF(((DA39/CS39-1)*100)&lt;-50,"NM",(DA39/CS39-1)*100)))</f>
        <v>NM</v>
      </c>
      <c r="DC39" s="550">
        <f>DC29+DC31</f>
        <v>1040</v>
      </c>
      <c r="DD39" s="61" t="str">
        <f>IF(ISERROR((DC39/CU39-1)*100),"NA",IF(((DC39/CU39-1)*100)&gt;100,"NM",IF(((DC39/CU39-1)*100)&lt;-50,"NM",(DC39/CU39-1)*100)))</f>
        <v>NM</v>
      </c>
      <c r="DE39" s="550">
        <f>DE29+DE31</f>
        <v>1901</v>
      </c>
      <c r="DF39" s="61" t="str">
        <f>IF(ISERROR((DE39/CW39-1)*100),"NA",IF(((DE39/CW39-1)*100)&gt;100,"NM",IF(((DE39/CW39-1)*100)&lt;-50,"NM",(DE39/CW39-1)*100)))</f>
        <v>NM</v>
      </c>
      <c r="DG39" s="550">
        <f>DG29+DG31</f>
        <v>1464</v>
      </c>
      <c r="DH39" s="61" t="str">
        <f>IF(ISERROR((DG39/CY39-1)*100),"NA",IF(((DG39/CY39-1)*100)&gt;100,"NM",IF(((DG39/CY39-1)*100)&lt;-50,"NM",(DG39/CY39-1)*100)))</f>
        <v>NM</v>
      </c>
      <c r="DI39" s="550">
        <f>DI29+DI31</f>
        <v>1351</v>
      </c>
      <c r="DJ39" s="61">
        <f>IF(ISERROR((DI39/DA39-1)*100),"NA",IF(((DI39/DA39-1)*100)&gt;100,"NM",IF(((DI39/DA39-1)*100)&lt;-50,"NM",(DI39/DA39-1)*100)))</f>
        <v>21.602160216021595</v>
      </c>
      <c r="DK39" s="550">
        <f>DK29+DK31</f>
        <v>687</v>
      </c>
      <c r="DL39" s="61">
        <f>IF(ISERROR((DK39/DC39-1)*100),"NA",IF(((DK39/DC39-1)*100)&gt;100,"NM",IF(((DK39/DC39-1)*100)&lt;-50,"NM",(DK39/DC39-1)*100)))</f>
        <v>-33.942307692307693</v>
      </c>
      <c r="DM39" s="550">
        <f>DM29+DM31</f>
        <v>898</v>
      </c>
      <c r="DN39" s="130" t="str">
        <f t="shared" si="151"/>
        <v>NM</v>
      </c>
      <c r="DO39" s="550">
        <f>DO29+DO31</f>
        <v>813</v>
      </c>
      <c r="DP39" s="130">
        <f t="shared" si="151"/>
        <v>-44.467213114754102</v>
      </c>
      <c r="DQ39" s="550">
        <f>DQ29+DQ31</f>
        <v>830</v>
      </c>
      <c r="DR39" s="130">
        <f t="shared" si="151"/>
        <v>-38.564026646928205</v>
      </c>
      <c r="DS39" s="550">
        <f>DS29+DS31</f>
        <v>357</v>
      </c>
      <c r="DT39" s="130">
        <f t="shared" si="151"/>
        <v>-48.034934497816593</v>
      </c>
      <c r="DU39" s="550">
        <f>DU29+DU31</f>
        <v>575</v>
      </c>
      <c r="DV39" s="130">
        <f t="shared" si="151"/>
        <v>-35.968819599109139</v>
      </c>
      <c r="DW39" s="550">
        <f>DW29+DW31</f>
        <v>495</v>
      </c>
      <c r="DX39" s="550">
        <f t="shared" ref="DX39:DY39" si="197">DX29+DX31</f>
        <v>495</v>
      </c>
      <c r="DY39" s="550">
        <f t="shared" si="197"/>
        <v>231</v>
      </c>
      <c r="DZ39" s="130" t="str">
        <f t="shared" si="151"/>
        <v>NM</v>
      </c>
      <c r="EA39" s="550">
        <f t="shared" ref="EA39:EC39" si="198">EA29+EA31</f>
        <v>-291</v>
      </c>
      <c r="EB39" s="130" t="str">
        <f t="shared" ref="EB39" si="199">IF(ISERROR((EA39/DS39-1)*100),"NA",IF(((EA39/DS39-1)*100)&gt;100,"NM",IF(((EA39/DS39-1)*100)&lt;-50,"NM",(EA39/DS39-1)*100)))</f>
        <v>NM</v>
      </c>
      <c r="EC39" s="550">
        <f t="shared" si="198"/>
        <v>-455</v>
      </c>
      <c r="ED39" s="130" t="str">
        <f t="shared" ref="ED39" si="200">IF(ISERROR((EC39/DU39-1)*100),"NA",IF(((EC39/DU39-1)*100)&gt;100,"NM",IF(((EC39/DU39-1)*100)&lt;-50,"NM",(EC39/DU39-1)*100)))</f>
        <v>NM</v>
      </c>
      <c r="EE39" s="550">
        <f t="shared" ref="EE39:EG39" si="201">EE29+EE31</f>
        <v>-739</v>
      </c>
      <c r="EF39" s="130" t="str">
        <f t="shared" ref="EF39" si="202">IF(ISERROR((EE39/DW39-1)*100),"NA",IF(((EE39/DW39-1)*100)&gt;100,"NM",IF(((EE39/DW39-1)*100)&lt;-50,"NM",(EE39/DW39-1)*100)))</f>
        <v>NM</v>
      </c>
      <c r="EG39" s="550">
        <f t="shared" si="201"/>
        <v>-874</v>
      </c>
      <c r="EH39" s="130" t="str">
        <f t="shared" ref="EH39" si="203">IF(ISERROR((EG39/DY39-1)*100),"NA",IF(((EG39/DY39-1)*100)&gt;100,"NM",IF(((EG39/DY39-1)*100)&lt;-50,"NM",(EG39/DY39-1)*100)))</f>
        <v>NM</v>
      </c>
      <c r="EI39" s="550">
        <f t="shared" ref="EI39:EK39" si="204">EI29+EI31</f>
        <v>-1026</v>
      </c>
      <c r="EJ39" s="130" t="str">
        <f t="shared" ref="EJ39" si="205">IF(ISERROR((EI39/EA39-1)*100),"NA",IF(((EI39/EA39-1)*100)&gt;100,"NM",IF(((EI39/EA39-1)*100)&lt;-50,"NM",(EI39/EA39-1)*100)))</f>
        <v>NM</v>
      </c>
      <c r="EK39" s="550">
        <f t="shared" si="204"/>
        <v>-898</v>
      </c>
      <c r="EL39" s="130">
        <f t="shared" ref="EL39" si="206">IF(ISERROR((EK39/EC39-1)*100),"NA",IF(((EK39/EC39-1)*100)&gt;100,"NM",IF(((EK39/EC39-1)*100)&lt;-50,"NM",(EK39/EC39-1)*100)))</f>
        <v>97.362637362637372</v>
      </c>
      <c r="EM39" s="550">
        <f t="shared" ref="EM39" si="207">EM29+EM31</f>
        <v>-834</v>
      </c>
      <c r="EN39" s="130">
        <f t="shared" ref="EN39" si="208">IF(ISERROR((EM39/EE39-1)*100),"NA",IF(((EM39/EE39-1)*100)&gt;100,"NM",IF(((EM39/EE39-1)*100)&lt;-50,"NM",(EM39/EE39-1)*100)))</f>
        <v>12.855209742895802</v>
      </c>
      <c r="EO39" s="550">
        <f t="shared" ref="EO39" si="209">EO29+EO31</f>
        <v>-488</v>
      </c>
      <c r="EP39" s="130">
        <f t="shared" ref="EP39" si="210">IF(ISERROR((EO39/EG39-1)*100),"NA",IF(((EO39/EG39-1)*100)&gt;100,"NM",IF(((EO39/EG39-1)*100)&lt;-50,"NM",(EO39/EG39-1)*100)))</f>
        <v>-44.164759725400458</v>
      </c>
      <c r="EQ39" s="550">
        <f t="shared" ref="EQ39:EW39" si="211">EQ29+EQ31</f>
        <v>-589.23526787433275</v>
      </c>
      <c r="ER39" s="130">
        <f t="shared" ref="ER39" si="212">IF(ISERROR((EQ39/EI39-1)*100),"NA",IF(((EQ39/EI39-1)*100)&gt;100,"NM",IF(((EQ39/EI39-1)*100)&lt;-50,"NM",(EQ39/EI39-1)*100)))</f>
        <v>-42.56966200055237</v>
      </c>
      <c r="ES39" s="550">
        <f t="shared" si="211"/>
        <v>-378.96051455851557</v>
      </c>
      <c r="ET39" s="130" t="str">
        <f t="shared" ref="ET39" si="213">IF(ISERROR((ES39/EK39-1)*100),"NA",IF(((ES39/EK39-1)*100)&gt;100,"NM",IF(((ES39/EK39-1)*100)&lt;-50,"NM",(ES39/EK39-1)*100)))</f>
        <v>NM</v>
      </c>
      <c r="EU39" s="550">
        <f t="shared" si="211"/>
        <v>-177.41988856028729</v>
      </c>
      <c r="EV39" s="130" t="str">
        <f t="shared" ref="EV39" si="214">IF(ISERROR((EU39/EM39-1)*100),"NA",IF(((EU39/EM39-1)*100)&gt;100,"NM",IF(((EU39/EM39-1)*100)&lt;-50,"NM",(EU39/EM39-1)*100)))</f>
        <v>NM</v>
      </c>
      <c r="EW39" s="550">
        <f t="shared" si="211"/>
        <v>27.718298371898072</v>
      </c>
      <c r="EX39" s="130" t="str">
        <f t="shared" ref="EX39" si="215">IF(ISERROR((EW39/EO39-1)*100),"NA",IF(((EW39/EO39-1)*100)&gt;100,"NM",IF(((EW39/EO39-1)*100)&lt;-50,"NM",(EW39/EO39-1)*100)))</f>
        <v>NM</v>
      </c>
      <c r="EY39" s="64"/>
      <c r="EZ39" s="558"/>
      <c r="FA39" s="64"/>
      <c r="FB39" s="66"/>
      <c r="FC39" s="66"/>
      <c r="FD39" s="66"/>
      <c r="FE39" s="67"/>
      <c r="FF39" s="66"/>
      <c r="FG39" s="67"/>
      <c r="FH39" s="66"/>
      <c r="FI39" s="67"/>
      <c r="FJ39" s="66"/>
      <c r="FK39" s="67"/>
      <c r="FL39" s="66"/>
      <c r="FM39" s="61"/>
      <c r="FN39" s="66"/>
      <c r="FO39" s="61"/>
      <c r="FP39" s="65"/>
      <c r="FQ39" s="61"/>
      <c r="FR39" s="65"/>
      <c r="FS39" s="61"/>
      <c r="FT39" s="550">
        <f>FT29+FT31</f>
        <v>6196</v>
      </c>
      <c r="FU39" s="61" t="str">
        <f>IF(ISERROR((FT39/FR39-1)*100),"NA",IF(((FT39/FR39-1)*100)&gt;100,"NM",IF(((FT39/FR39-1)*100)&lt;-50,"NM",(FT39/FR39-1)*100)))</f>
        <v>NA</v>
      </c>
      <c r="FV39" s="550">
        <f>FV29+FV31</f>
        <v>4761</v>
      </c>
      <c r="FW39" s="61">
        <f>IF(ISERROR((FV39/FT39-1)*100),"NA",IF(((FV39/FT39-1)*100)&gt;100,"NM",IF(((FV39/FT39-1)*100)&lt;-50,"NM",(FV39/FT39-1)*100)))</f>
        <v>-23.160103292446742</v>
      </c>
      <c r="FX39" s="550">
        <f>FX29+FX31</f>
        <v>2674</v>
      </c>
      <c r="FY39" s="61">
        <f>IF(ISERROR((FX39/FV39-1)*100),"NA",IF(((FX39/FV39-1)*100)&gt;100,"NM",IF(((FX39/FV39-1)*100)&lt;-50,"NM",(FX39/FV39-1)*100)))</f>
        <v>-43.835328712455365</v>
      </c>
      <c r="FZ39" s="550">
        <f>FZ29+FZ31</f>
        <v>2785</v>
      </c>
      <c r="GA39" s="61">
        <f>IF(ISERROR((FZ39/FX39-1)*100),"NA",IF(((FZ39/FX39-1)*100)&gt;100,"NM",IF(((FZ39/FX39-1)*100)&lt;-50,"NM",(FZ39/FX39-1)*100)))</f>
        <v>4.1510845175766642</v>
      </c>
      <c r="GB39" s="550">
        <f>GB29+GB31</f>
        <v>2108</v>
      </c>
      <c r="GC39" s="61">
        <f>IF(ISERROR((GB39/FZ39-1)*100),"NA",IF(((GB39/FZ39-1)*100)&gt;100,"NM",IF(((GB39/FZ39-1)*100)&lt;-50,"NM",(GB39/FZ39-1)*100)))</f>
        <v>-24.308797127468583</v>
      </c>
      <c r="GD39" s="550">
        <f>GD29+GD31</f>
        <v>2813</v>
      </c>
      <c r="GE39" s="61">
        <f>IF(ISERROR((GD39/GB39-1)*100),"NA",IF(((GD39/GB39-1)*100)&gt;100,"NM",IF(((GD39/GB39-1)*100)&lt;-50,"NM",(GD39/GB39-1)*100)))</f>
        <v>33.444022770398483</v>
      </c>
      <c r="GF39" s="550">
        <f>GF29+GF31</f>
        <v>5756</v>
      </c>
      <c r="GG39" s="61" t="str">
        <f t="shared" si="157"/>
        <v>NM</v>
      </c>
      <c r="GH39" s="550">
        <f>GH29+GH31</f>
        <v>3228</v>
      </c>
      <c r="GI39" s="61">
        <f t="shared" si="157"/>
        <v>-43.919388464211259</v>
      </c>
      <c r="GJ39" s="550">
        <f>GJ29+GJ31</f>
        <v>1658</v>
      </c>
      <c r="GK39" s="61">
        <f t="shared" si="157"/>
        <v>-48.636926889714992</v>
      </c>
      <c r="GL39" s="550">
        <f>GL29+GL31</f>
        <v>-2359</v>
      </c>
      <c r="GM39" s="61" t="str">
        <f t="shared" si="157"/>
        <v>NM</v>
      </c>
      <c r="GN39" s="550">
        <f>GN29+GN31</f>
        <v>-3246</v>
      </c>
      <c r="GO39" s="61">
        <f t="shared" si="157"/>
        <v>37.600678253497243</v>
      </c>
      <c r="GP39" s="550">
        <f>GP29+GP31</f>
        <v>-1117.8973726212353</v>
      </c>
      <c r="GQ39" s="61" t="str">
        <f t="shared" si="157"/>
        <v>NM</v>
      </c>
      <c r="GR39" s="550">
        <f>GR29+GR31</f>
        <v>879.42388973218476</v>
      </c>
      <c r="GS39" s="61" t="str">
        <f t="shared" si="157"/>
        <v>NM</v>
      </c>
      <c r="GT39" s="550">
        <f>GT29+GT31</f>
        <v>1559.8877654375538</v>
      </c>
      <c r="GU39" s="61">
        <f t="shared" si="157"/>
        <v>77.376096288741252</v>
      </c>
      <c r="GV39" s="550">
        <f>GV29+GV31</f>
        <v>2323.9367793219935</v>
      </c>
      <c r="GW39" s="61">
        <f t="shared" si="157"/>
        <v>48.981024841240519</v>
      </c>
      <c r="GX39" s="550">
        <f>GX29+GX31</f>
        <v>3189.4877036188427</v>
      </c>
      <c r="GY39" s="61">
        <f t="shared" ref="GY39" si="216">IF(ISERROR((GX39/GV39-1)*100),"NA",IF(((GX39/GV39-1)*100)&gt;100,"NM",IF(((GX39/GV39-1)*100)&lt;-50,"NM",(GX39/GV39-1)*100)))</f>
        <v>37.245028866463947</v>
      </c>
      <c r="GZ39" s="61" t="str">
        <f>IF(ISERROR((GX39/GN39)^0.2),"",IF(OR((GX39/GN39)^0.2&lt;0.5,(GX39/GN39)^0.2&gt;2),"NM",((GX39/GN39)^0.2-1)*100))</f>
        <v>NM</v>
      </c>
      <c r="HA39" s="61"/>
      <c r="HB39" s="452"/>
      <c r="HC39"/>
      <c r="HD39"/>
      <c r="HE39"/>
      <c r="HF39"/>
      <c r="HG39"/>
      <c r="HH39"/>
    </row>
    <row r="40" spans="2:216" s="5" customFormat="1" ht="12.75" customHeight="1" x14ac:dyDescent="0.2">
      <c r="B40" s="68"/>
      <c r="C40" s="66"/>
      <c r="D40" s="67"/>
      <c r="E40" s="66"/>
      <c r="F40" s="66"/>
      <c r="G40" s="64"/>
      <c r="H40" s="66"/>
      <c r="I40" s="64"/>
      <c r="J40" s="66"/>
      <c r="K40" s="64"/>
      <c r="L40" s="61"/>
      <c r="M40" s="66"/>
      <c r="N40" s="61"/>
      <c r="O40" s="64"/>
      <c r="P40" s="61"/>
      <c r="Q40" s="64"/>
      <c r="R40" s="61"/>
      <c r="S40" s="64"/>
      <c r="T40" s="61"/>
      <c r="U40" s="64"/>
      <c r="V40" s="61"/>
      <c r="W40" s="64"/>
      <c r="X40" s="61"/>
      <c r="Y40" s="64"/>
      <c r="Z40" s="61"/>
      <c r="AA40" s="64"/>
      <c r="AB40" s="61"/>
      <c r="AC40" s="64"/>
      <c r="AD40" s="61"/>
      <c r="AE40" s="64"/>
      <c r="AF40" s="61"/>
      <c r="AG40" s="64"/>
      <c r="AH40" s="61"/>
      <c r="AI40" s="64"/>
      <c r="AJ40" s="61"/>
      <c r="AK40" s="64"/>
      <c r="AL40" s="61"/>
      <c r="AM40" s="64"/>
      <c r="AN40" s="61"/>
      <c r="AO40" s="64"/>
      <c r="AP40" s="61"/>
      <c r="AQ40" s="64"/>
      <c r="AR40" s="61"/>
      <c r="AS40" s="64"/>
      <c r="AT40" s="61"/>
      <c r="AU40" s="64"/>
      <c r="AV40" s="61"/>
      <c r="AW40" s="64"/>
      <c r="AX40" s="61"/>
      <c r="AY40" s="64"/>
      <c r="AZ40" s="61"/>
      <c r="BA40" s="64"/>
      <c r="BB40" s="61"/>
      <c r="BC40" s="64"/>
      <c r="BD40" s="61"/>
      <c r="BE40" s="64"/>
      <c r="BF40" s="61"/>
      <c r="BG40" s="64"/>
      <c r="BH40" s="61"/>
      <c r="BI40" s="64"/>
      <c r="BJ40" s="61"/>
      <c r="BK40" s="64"/>
      <c r="BL40" s="61"/>
      <c r="BM40" s="64"/>
      <c r="BN40" s="61"/>
      <c r="BO40" s="64"/>
      <c r="BP40" s="61"/>
      <c r="BQ40" s="64"/>
      <c r="BR40" s="61"/>
      <c r="BS40" s="64"/>
      <c r="BT40" s="61"/>
      <c r="BU40" s="64"/>
      <c r="BV40" s="61"/>
      <c r="BW40" s="64"/>
      <c r="BX40" s="61"/>
      <c r="BY40" s="64"/>
      <c r="BZ40" s="61"/>
      <c r="CA40" s="64"/>
      <c r="CB40" s="61"/>
      <c r="CC40" s="64"/>
      <c r="CD40" s="61"/>
      <c r="CE40" s="64"/>
      <c r="CF40" s="61"/>
      <c r="CG40" s="64"/>
      <c r="CH40" s="61"/>
      <c r="CI40" s="64"/>
      <c r="CJ40" s="61"/>
      <c r="CK40" s="64"/>
      <c r="CL40" s="61"/>
      <c r="CM40" s="64"/>
      <c r="CN40" s="61"/>
      <c r="CO40" s="64"/>
      <c r="CP40" s="61"/>
      <c r="CQ40" s="64"/>
      <c r="CR40" s="61"/>
      <c r="CS40" s="64"/>
      <c r="CT40" s="61"/>
      <c r="CU40" s="64"/>
      <c r="CV40" s="61"/>
      <c r="CW40" s="64"/>
      <c r="CX40" s="61"/>
      <c r="CY40" s="64"/>
      <c r="CZ40" s="61"/>
      <c r="DA40" s="64"/>
      <c r="DB40" s="61"/>
      <c r="DC40" s="64"/>
      <c r="DD40" s="61"/>
      <c r="DE40" s="64"/>
      <c r="DF40" s="61"/>
      <c r="DG40" s="64"/>
      <c r="DH40" s="61"/>
      <c r="DI40" s="64"/>
      <c r="DJ40" s="61"/>
      <c r="DK40" s="64"/>
      <c r="DL40" s="61"/>
      <c r="DM40" s="64"/>
      <c r="DN40" s="61"/>
      <c r="DO40" s="64"/>
      <c r="DP40" s="61"/>
      <c r="DQ40" s="64"/>
      <c r="DR40" s="61"/>
      <c r="DS40" s="64"/>
      <c r="DT40" s="61"/>
      <c r="DU40" s="64"/>
      <c r="DV40" s="61"/>
      <c r="DW40" s="64"/>
      <c r="DX40" s="64"/>
      <c r="DY40" s="64"/>
      <c r="DZ40" s="61"/>
      <c r="EA40" s="64"/>
      <c r="EB40" s="61"/>
      <c r="EC40" s="64"/>
      <c r="ED40" s="61"/>
      <c r="EE40" s="64"/>
      <c r="EF40" s="61"/>
      <c r="EG40" s="64"/>
      <c r="EH40" s="61"/>
      <c r="EI40" s="64"/>
      <c r="EJ40" s="61"/>
      <c r="EK40" s="64"/>
      <c r="EL40" s="61"/>
      <c r="EM40" s="64"/>
      <c r="EN40" s="61"/>
      <c r="EO40" s="64"/>
      <c r="EP40" s="61"/>
      <c r="EQ40" s="64"/>
      <c r="ER40" s="61"/>
      <c r="ES40" s="64"/>
      <c r="ET40" s="61"/>
      <c r="EU40" s="64"/>
      <c r="EV40" s="61"/>
      <c r="EW40" s="64"/>
      <c r="EX40" s="61"/>
      <c r="EY40" s="64"/>
      <c r="EZ40" s="558"/>
      <c r="FA40" s="64"/>
      <c r="FB40" s="66"/>
      <c r="FC40" s="66"/>
      <c r="FD40" s="66"/>
      <c r="FE40" s="67"/>
      <c r="FF40" s="66"/>
      <c r="FG40" s="67"/>
      <c r="FH40" s="66"/>
      <c r="FI40" s="67"/>
      <c r="FJ40" s="66"/>
      <c r="FK40" s="67"/>
      <c r="FL40" s="66"/>
      <c r="FM40" s="61"/>
      <c r="FN40" s="66"/>
      <c r="FO40" s="61"/>
      <c r="FP40" s="65"/>
      <c r="FQ40" s="61"/>
      <c r="FR40" s="65"/>
      <c r="FS40" s="61"/>
      <c r="FT40" s="65"/>
      <c r="FU40" s="61"/>
      <c r="FV40" s="65"/>
      <c r="FW40" s="61"/>
      <c r="FX40" s="65"/>
      <c r="FY40" s="61"/>
      <c r="FZ40" s="65"/>
      <c r="GA40" s="61"/>
      <c r="GB40" s="65"/>
      <c r="GC40" s="61"/>
      <c r="GD40" s="65"/>
      <c r="GE40" s="61"/>
      <c r="GF40" s="65"/>
      <c r="GG40" s="61"/>
      <c r="GH40" s="65"/>
      <c r="GI40" s="61"/>
      <c r="GJ40" s="65"/>
      <c r="GK40" s="61"/>
      <c r="GL40" s="65"/>
      <c r="GM40" s="61"/>
      <c r="GN40" s="65"/>
      <c r="GO40" s="61"/>
      <c r="GP40" s="65"/>
      <c r="GQ40" s="61"/>
      <c r="GR40" s="65"/>
      <c r="GS40" s="61"/>
      <c r="GT40" s="65"/>
      <c r="GU40" s="61"/>
      <c r="GV40" s="65"/>
      <c r="GW40" s="61"/>
      <c r="GX40" s="65"/>
      <c r="GY40" s="61"/>
      <c r="GZ40" s="61"/>
      <c r="HA40" s="61"/>
      <c r="HB40" s="452"/>
      <c r="HC40"/>
      <c r="HD40"/>
      <c r="HE40"/>
      <c r="HF40"/>
      <c r="HG40"/>
      <c r="HH40"/>
    </row>
    <row r="41" spans="2:216" s="5" customFormat="1" ht="12.75" customHeight="1" x14ac:dyDescent="0.2">
      <c r="B41" s="241" t="s">
        <v>19</v>
      </c>
      <c r="C41" s="66"/>
      <c r="D41" s="67"/>
      <c r="E41" s="66"/>
      <c r="F41" s="66"/>
      <c r="G41" s="64"/>
      <c r="H41" s="66"/>
      <c r="I41" s="64"/>
      <c r="J41" s="66"/>
      <c r="K41" s="64"/>
      <c r="L41" s="61"/>
      <c r="M41" s="66"/>
      <c r="N41" s="61"/>
      <c r="O41" s="64"/>
      <c r="P41" s="61"/>
      <c r="Q41" s="64"/>
      <c r="R41" s="61"/>
      <c r="S41" s="64"/>
      <c r="T41" s="61"/>
      <c r="U41" s="64"/>
      <c r="V41" s="61"/>
      <c r="W41" s="64"/>
      <c r="X41" s="61"/>
      <c r="Y41" s="64"/>
      <c r="Z41" s="61"/>
      <c r="AA41" s="64"/>
      <c r="AB41" s="61"/>
      <c r="AC41" s="64"/>
      <c r="AD41" s="61"/>
      <c r="AE41" s="64"/>
      <c r="AF41" s="61"/>
      <c r="AG41" s="64"/>
      <c r="AH41" s="61"/>
      <c r="AI41" s="64"/>
      <c r="AJ41" s="61"/>
      <c r="AK41" s="64"/>
      <c r="AL41" s="61"/>
      <c r="AM41" s="64"/>
      <c r="AN41" s="61"/>
      <c r="AO41" s="64"/>
      <c r="AP41" s="61"/>
      <c r="AQ41" s="64"/>
      <c r="AR41" s="61"/>
      <c r="AS41" s="64"/>
      <c r="AT41" s="61"/>
      <c r="AU41" s="64"/>
      <c r="AV41" s="61"/>
      <c r="AW41" s="64"/>
      <c r="AX41" s="61"/>
      <c r="AY41" s="64"/>
      <c r="AZ41" s="61"/>
      <c r="BA41" s="64"/>
      <c r="BB41" s="61"/>
      <c r="BC41" s="64"/>
      <c r="BD41" s="61"/>
      <c r="BE41" s="64"/>
      <c r="BF41" s="61"/>
      <c r="BG41" s="288">
        <f>BG29/BG28*400</f>
        <v>19.582094163995212</v>
      </c>
      <c r="BH41" s="61"/>
      <c r="BI41" s="288">
        <f>BI29/BI28*400</f>
        <v>21.994941981553108</v>
      </c>
      <c r="BJ41" s="61"/>
      <c r="BK41" s="288">
        <f>BK29/BK28*400</f>
        <v>20.419928704224873</v>
      </c>
      <c r="BL41" s="61"/>
      <c r="BM41" s="288">
        <f>BM29/BM28*400</f>
        <v>22.310731170260993</v>
      </c>
      <c r="BN41" s="61"/>
      <c r="BO41" s="288">
        <f>BO29/BO28*400</f>
        <v>17.523183925811438</v>
      </c>
      <c r="BP41" s="61"/>
      <c r="BQ41" s="288">
        <f>BQ29/BQ28*400</f>
        <v>20.152305981004535</v>
      </c>
      <c r="BR41" s="61"/>
      <c r="BS41" s="288">
        <f>BS29/BS28*400</f>
        <v>17.312456811555123</v>
      </c>
      <c r="BT41" s="61"/>
      <c r="BU41" s="288">
        <f>BU29/BU28*400</f>
        <v>14.122921726134877</v>
      </c>
      <c r="BV41" s="61"/>
      <c r="BW41" s="288">
        <f>BW29/BW28*400</f>
        <v>14.242737191863858</v>
      </c>
      <c r="BX41" s="61"/>
      <c r="BY41" s="288">
        <f>BY29/BY28*400</f>
        <v>16.055813953488371</v>
      </c>
      <c r="BZ41" s="61"/>
      <c r="CA41" s="288">
        <f>CA29/CA28*400</f>
        <v>14.803124114766703</v>
      </c>
      <c r="CB41" s="61"/>
      <c r="CC41" s="288">
        <f>CC29/CC28*400</f>
        <v>14.60500895088534</v>
      </c>
      <c r="CD41" s="61"/>
      <c r="CE41" s="288">
        <f>CE29/CE28*400</f>
        <v>12.565903616487272</v>
      </c>
      <c r="CF41" s="61"/>
      <c r="CG41" s="288">
        <f>CG29/CG28*400</f>
        <v>14.169272901103531</v>
      </c>
      <c r="CH41" s="61"/>
      <c r="CI41" s="288">
        <f>CI29/CI28*400</f>
        <v>13.982046802843454</v>
      </c>
      <c r="CJ41" s="61"/>
      <c r="CK41" s="288">
        <f>CK29/CK28*400</f>
        <v>13.733314554872228</v>
      </c>
      <c r="CL41" s="61"/>
      <c r="CM41" s="288">
        <f>CM29/CM28*400</f>
        <v>12.773797338792219</v>
      </c>
      <c r="CN41" s="61"/>
      <c r="CO41" s="288">
        <f>CO29/CO28*400</f>
        <v>13.256249032929626</v>
      </c>
      <c r="CP41" s="61"/>
      <c r="CQ41" s="288">
        <f>CQ29/CQ28*400</f>
        <v>11.999387502262065</v>
      </c>
      <c r="CR41" s="61"/>
      <c r="CS41" s="288">
        <f>CS29/CS28*400</f>
        <v>12.647333956969131</v>
      </c>
      <c r="CT41" s="61"/>
      <c r="CU41" s="288">
        <f>CU29/CU28*400</f>
        <v>12.790867847212059</v>
      </c>
      <c r="CV41" s="61"/>
      <c r="CW41" s="288">
        <f>CW29/CW28*400</f>
        <v>13.027458784928598</v>
      </c>
      <c r="CX41" s="61"/>
      <c r="CY41" s="288">
        <f>CY29/CY28*400</f>
        <v>11.992983994737996</v>
      </c>
      <c r="CZ41" s="61"/>
      <c r="DA41" s="288">
        <f>DA29/DA28*400</f>
        <v>15.745280066757067</v>
      </c>
      <c r="DB41" s="61"/>
      <c r="DC41" s="288">
        <f>DC29/DC28*400</f>
        <v>14.898740273236511</v>
      </c>
      <c r="DD41" s="61"/>
      <c r="DE41" s="288">
        <f>DE29/DE28*400</f>
        <v>18.722143224156678</v>
      </c>
      <c r="DF41" s="61"/>
      <c r="DG41" s="288">
        <f>DG29/DG28*400</f>
        <v>15.958779788043797</v>
      </c>
      <c r="DH41" s="61"/>
      <c r="DI41" s="288">
        <f>DI29/DI28*400</f>
        <v>15.178914755935443</v>
      </c>
      <c r="DJ41" s="61"/>
      <c r="DK41" s="288">
        <f>DK29/DK28*400</f>
        <v>12.115356944644288</v>
      </c>
      <c r="DL41" s="61"/>
      <c r="DM41" s="288">
        <f>DM29/DM28*400</f>
        <v>12.846413895018118</v>
      </c>
      <c r="DN41" s="130">
        <f t="shared" si="151"/>
        <v>-31.383849908579187</v>
      </c>
      <c r="DO41" s="288">
        <f>DO29/DO28*400</f>
        <v>12.522927321603602</v>
      </c>
      <c r="DP41" s="130">
        <f t="shared" si="151"/>
        <v>-21.529543687383367</v>
      </c>
      <c r="DQ41" s="288">
        <f>DQ29/DQ28*400</f>
        <v>12.421995735440834</v>
      </c>
      <c r="DR41" s="130">
        <f t="shared" si="151"/>
        <v>-18.162820365115795</v>
      </c>
      <c r="DS41" s="288">
        <f>DS29/DS28*400</f>
        <v>10.365800928194632</v>
      </c>
      <c r="DT41" s="130">
        <f t="shared" si="151"/>
        <v>-14.440812800179724</v>
      </c>
      <c r="DU41" s="288">
        <f>DU29/DU28*400</f>
        <v>11.347491037740287</v>
      </c>
      <c r="DV41" s="130">
        <f t="shared" si="151"/>
        <v>-11.668025563609763</v>
      </c>
      <c r="DW41" s="288">
        <f>DW29/DW28*400</f>
        <v>10.273921200750468</v>
      </c>
      <c r="DX41" s="288">
        <f t="shared" ref="DX41:DY41" si="217">DX29/DX28*400</f>
        <v>317269.31009277393</v>
      </c>
      <c r="DY41" s="288">
        <f t="shared" si="217"/>
        <v>9.3934242053668182</v>
      </c>
      <c r="DZ41" s="130">
        <f t="shared" si="151"/>
        <v>-24.38071622769349</v>
      </c>
      <c r="EA41" s="288">
        <f t="shared" ref="EA41:EC41" si="218">EA29/EA28*400</f>
        <v>6.5344269288193439</v>
      </c>
      <c r="EB41" s="61">
        <f t="shared" ref="EB41:EB45" si="219">IF(ISERROR((EA41/DS41-1)*100),"NA",IF(((EA41/DS41-1)*100)&gt;100,"NM",IF(((EA41/DS41-1)*100)&lt;-50,"NM",(EA41/DS41-1)*100)))</f>
        <v>-36.961678368278129</v>
      </c>
      <c r="EC41" s="288">
        <f t="shared" si="218"/>
        <v>6.3554998396548212</v>
      </c>
      <c r="ED41" s="61">
        <f t="shared" ref="ED41:ED45" si="220">IF(ISERROR((EC41/DU41-1)*100),"NA",IF(((EC41/DU41-1)*100)&gt;100,"NM",IF(((EC41/DU41-1)*100)&lt;-50,"NM",(EC41/DU41-1)*100)))</f>
        <v>-43.992025915532771</v>
      </c>
      <c r="EE41" s="288">
        <f t="shared" ref="EE41:EG41" si="221">EE29/EE28*400</f>
        <v>5.8462753102704577</v>
      </c>
      <c r="EF41" s="61">
        <f t="shared" ref="EF41:EF45" si="222">IF(ISERROR((EE41/DW41-1)*100),"NA",IF(((EE41/DW41-1)*100)&gt;100,"NM",IF(((EE41/DW41-1)*100)&lt;-50,"NM",(EE41/DW41-1)*100)))</f>
        <v>-43.095968948609311</v>
      </c>
      <c r="EG41" s="288">
        <f t="shared" si="221"/>
        <v>5.2557925483455898</v>
      </c>
      <c r="EH41" s="130">
        <f t="shared" ref="EH41:EH45" si="223">IF(ISERROR((EG41/DY41-1)*100),"NA",IF(((EG41/DY41-1)*100)&gt;100,"NM",IF(((EG41/DY41-1)*100)&lt;-50,"NM",(EG41/DY41-1)*100)))</f>
        <v>-44.04817206761772</v>
      </c>
      <c r="EI41" s="288">
        <f t="shared" ref="EI41:EK41" si="224">EI29/EI28*400</f>
        <v>5.4989316037289866</v>
      </c>
      <c r="EJ41" s="130">
        <f t="shared" ref="EJ41:EJ45" si="225">IF(ISERROR((EI41/EA41-1)*100),"NA",IF(((EI41/EA41-1)*100)&gt;100,"NM",IF(((EI41/EA41-1)*100)&lt;-50,"NM",(EI41/EA41-1)*100)))</f>
        <v>-15.846765697591991</v>
      </c>
      <c r="EK41" s="288">
        <f t="shared" si="224"/>
        <v>5.8972368120575469</v>
      </c>
      <c r="EL41" s="130">
        <f t="shared" ref="EL41:EL45" si="226">IF(ISERROR((EK41/EC41-1)*100),"NA",IF(((EK41/EC41-1)*100)&gt;100,"NM",IF(((EK41/EC41-1)*100)&lt;-50,"NM",(EK41/EC41-1)*100)))</f>
        <v>-7.2104954631257323</v>
      </c>
      <c r="EM41" s="288">
        <f t="shared" ref="EM41" si="227">EM29/EM28*400</f>
        <v>5.492515909294613</v>
      </c>
      <c r="EN41" s="130">
        <f t="shared" ref="EN41:EN45" si="228">IF(ISERROR((EM41/EE41-1)*100),"NA",IF(((EM41/EE41-1)*100)&gt;100,"NM",IF(((EM41/EE41-1)*100)&lt;-50,"NM",(EM41/EE41-1)*100)))</f>
        <v>-6.0510219276601163</v>
      </c>
      <c r="EO41" s="288">
        <f t="shared" ref="EO41" si="229">EO29/EO28*400</f>
        <v>7.4980309792596485</v>
      </c>
      <c r="EP41" s="130">
        <f t="shared" ref="EP41:EP45" si="230">IF(ISERROR((EO41/EG41-1)*100),"NA",IF(((EO41/EG41-1)*100)&gt;100,"NM",IF(((EO41/EG41-1)*100)&lt;-50,"NM",(EO41/EG41-1)*100)))</f>
        <v>42.662232390048715</v>
      </c>
      <c r="EQ41" s="549">
        <v>7</v>
      </c>
      <c r="ER41" s="130">
        <f t="shared" ref="ER41:ER45" si="231">IF(ISERROR((EQ41/EI41-1)*100),"NA",IF(((EQ41/EI41-1)*100)&gt;100,"NM",IF(((EQ41/EI41-1)*100)&lt;-50,"NM",(EQ41/EI41-1)*100)))</f>
        <v>27.297455295735908</v>
      </c>
      <c r="ES41" s="549">
        <v>7.5</v>
      </c>
      <c r="ET41" s="130">
        <f t="shared" ref="ET41:ET45" si="232">IF(ISERROR((ES41/EK41-1)*100),"NA",IF(((ES41/EK41-1)*100)&gt;100,"NM",IF(((ES41/EK41-1)*100)&lt;-50,"NM",(ES41/EK41-1)*100)))</f>
        <v>27.178206319702603</v>
      </c>
      <c r="EU41" s="549">
        <v>8</v>
      </c>
      <c r="EV41" s="130">
        <f t="shared" ref="EV41:EV45" si="233">IF(ISERROR((EU41/EM41-1)*100),"NA",IF(((EU41/EM41-1)*100)&gt;100,"NM",IF(((EU41/EM41-1)*100)&lt;-50,"NM",(EU41/EM41-1)*100)))</f>
        <v>45.652741514360315</v>
      </c>
      <c r="EW41" s="549">
        <v>8.5</v>
      </c>
      <c r="EX41" s="130">
        <f t="shared" ref="EX41:EX45" si="234">IF(ISERROR((EW41/EO41-1)*100),"NA",IF(((EW41/EO41-1)*100)&gt;100,"NM",IF(((EW41/EO41-1)*100)&lt;-50,"NM",(EW41/EO41-1)*100)))</f>
        <v>13.363095238095223</v>
      </c>
      <c r="EY41" s="64"/>
      <c r="EZ41" s="558"/>
      <c r="FA41" s="64"/>
      <c r="FB41" s="66"/>
      <c r="FC41" s="66"/>
      <c r="FD41" s="66"/>
      <c r="FE41" s="67"/>
      <c r="FF41" s="66"/>
      <c r="FG41" s="67"/>
      <c r="FH41" s="66"/>
      <c r="FI41" s="67"/>
      <c r="FJ41" s="66"/>
      <c r="FK41" s="67"/>
      <c r="FL41" s="66"/>
      <c r="FM41" s="61"/>
      <c r="FN41" s="66"/>
      <c r="FO41" s="61"/>
      <c r="FP41" s="65"/>
      <c r="FQ41" s="61"/>
      <c r="FR41" s="65"/>
      <c r="FS41" s="61"/>
      <c r="FT41" s="288">
        <f>FT29/FT28*100</f>
        <v>23.038893824108765</v>
      </c>
      <c r="FU41" s="61"/>
      <c r="FV41" s="288">
        <f>FV29/FV28*100</f>
        <v>16.297977846470889</v>
      </c>
      <c r="FW41" s="61"/>
      <c r="FX41" s="288">
        <f>FX29/FX28*100</f>
        <v>16.166763953122896</v>
      </c>
      <c r="FY41" s="61"/>
      <c r="FZ41" s="288">
        <f>FZ29/FZ28*100</f>
        <v>13.923560227062174</v>
      </c>
      <c r="GA41" s="61"/>
      <c r="GB41" s="288">
        <f>GB29/GB28*100</f>
        <v>12.754788711799971</v>
      </c>
      <c r="GC41" s="61"/>
      <c r="GD41" s="288">
        <f>GD29/GD28*100</f>
        <v>14.362651836674958</v>
      </c>
      <c r="GE41" s="61"/>
      <c r="GF41" s="288">
        <f>GF29/GF28*100</f>
        <v>17.383975870022557</v>
      </c>
      <c r="GG41" s="61">
        <f t="shared" si="157"/>
        <v>21.035976278646974</v>
      </c>
      <c r="GH41" s="288">
        <f>GH29/GH28*100</f>
        <v>12.868712614853337</v>
      </c>
      <c r="GI41" s="61">
        <f t="shared" si="157"/>
        <v>-25.973708712720168</v>
      </c>
      <c r="GJ41" s="288">
        <f>GJ29/GJ28*100</f>
        <v>10.388861664408635</v>
      </c>
      <c r="GK41" s="61">
        <f t="shared" si="157"/>
        <v>-19.270388768977607</v>
      </c>
      <c r="GL41" s="288">
        <f>GL29/GL28*100</f>
        <v>6.0467686580187312</v>
      </c>
      <c r="GM41" s="61">
        <f t="shared" si="157"/>
        <v>-41.795657182206483</v>
      </c>
      <c r="GN41" s="288">
        <f>GN29/GN28*100</f>
        <v>6.3744492559045431</v>
      </c>
      <c r="GO41" s="61">
        <f t="shared" si="157"/>
        <v>5.4191026053439062</v>
      </c>
      <c r="GP41" s="288">
        <f>GP29/GP28*100</f>
        <v>7.7344942998073973</v>
      </c>
      <c r="GQ41" s="61">
        <f t="shared" si="157"/>
        <v>21.335883137559964</v>
      </c>
      <c r="GR41" s="807">
        <f>GP41+0.5</f>
        <v>8.2344942998073982</v>
      </c>
      <c r="GS41" s="61">
        <f t="shared" si="157"/>
        <v>6.4645467514592658</v>
      </c>
      <c r="GT41" s="807">
        <f>GR41+0.5</f>
        <v>8.7344942998073982</v>
      </c>
      <c r="GU41" s="61">
        <f t="shared" si="157"/>
        <v>6.0720182903240882</v>
      </c>
      <c r="GV41" s="807">
        <f>GT41+0.5</f>
        <v>9.2344942998073982</v>
      </c>
      <c r="GW41" s="61">
        <f t="shared" si="157"/>
        <v>5.7244298620817258</v>
      </c>
      <c r="GX41" s="807">
        <f>GV41+0.5</f>
        <v>9.7344942998073982</v>
      </c>
      <c r="GY41" s="61">
        <f t="shared" ref="GY41:GY44" si="235">IF(ISERROR((GX41/GV41-1)*100),"NA",IF(((GX41/GV41-1)*100)&gt;100,"NM",IF(((GX41/GV41-1)*100)&lt;-50,"NM",(GX41/GV41-1)*100)))</f>
        <v>5.4144816572189391</v>
      </c>
      <c r="GZ41" s="61">
        <f>IF(ISERROR((GX41/GN41)^0.2),"",IF(OR((GX41/GN41)^0.2&lt;0.5,(GX41/GN41)^0.2&gt;2),"NM",((GX41/GN41)^0.2-1)*100))</f>
        <v>8.8363943027181193</v>
      </c>
      <c r="HA41" s="61"/>
      <c r="HB41" s="452"/>
      <c r="HC41"/>
      <c r="HD41"/>
      <c r="HE41"/>
      <c r="HF41"/>
      <c r="HG41"/>
      <c r="HH41"/>
    </row>
    <row r="42" spans="2:216" s="5" customFormat="1" ht="12.75" customHeight="1" x14ac:dyDescent="0.2">
      <c r="B42" s="241" t="s">
        <v>20</v>
      </c>
      <c r="C42" s="66"/>
      <c r="D42" s="67"/>
      <c r="E42" s="66"/>
      <c r="F42" s="66"/>
      <c r="G42" s="64"/>
      <c r="H42" s="66"/>
      <c r="I42" s="64"/>
      <c r="J42" s="66"/>
      <c r="K42" s="64"/>
      <c r="L42" s="61"/>
      <c r="M42" s="66"/>
      <c r="N42" s="61"/>
      <c r="O42" s="64"/>
      <c r="P42" s="61"/>
      <c r="Q42" s="64"/>
      <c r="R42" s="61"/>
      <c r="S42" s="64"/>
      <c r="T42" s="61"/>
      <c r="U42" s="64"/>
      <c r="V42" s="61"/>
      <c r="W42" s="64"/>
      <c r="X42" s="61"/>
      <c r="Y42" s="64"/>
      <c r="Z42" s="61"/>
      <c r="AA42" s="64"/>
      <c r="AB42" s="61"/>
      <c r="AC42" s="64"/>
      <c r="AD42" s="61"/>
      <c r="AE42" s="64"/>
      <c r="AF42" s="61"/>
      <c r="AG42" s="64"/>
      <c r="AH42" s="61"/>
      <c r="AI42" s="64"/>
      <c r="AJ42" s="61"/>
      <c r="AK42" s="64"/>
      <c r="AL42" s="61"/>
      <c r="AM42" s="64"/>
      <c r="AN42" s="61"/>
      <c r="AO42" s="64"/>
      <c r="AP42" s="61"/>
      <c r="AQ42" s="64"/>
      <c r="AR42" s="61"/>
      <c r="AS42" s="64"/>
      <c r="AT42" s="61"/>
      <c r="AU42" s="64"/>
      <c r="AV42" s="61"/>
      <c r="AW42" s="64"/>
      <c r="AX42" s="61"/>
      <c r="AY42" s="64"/>
      <c r="AZ42" s="61"/>
      <c r="BA42" s="64"/>
      <c r="BB42" s="61"/>
      <c r="BC42" s="64"/>
      <c r="BD42" s="61"/>
      <c r="BE42" s="64"/>
      <c r="BF42" s="61"/>
      <c r="BG42" s="288">
        <f>BG31/BG28*400</f>
        <v>-10.273840330616817</v>
      </c>
      <c r="BH42" s="61"/>
      <c r="BI42" s="288">
        <f>BI31/BI28*400</f>
        <v>-10.428443915501338</v>
      </c>
      <c r="BJ42" s="61"/>
      <c r="BK42" s="288">
        <f>BK31/BK28*400</f>
        <v>-10.076924388954271</v>
      </c>
      <c r="BL42" s="61"/>
      <c r="BM42" s="288">
        <f>BM31/BM28*400</f>
        <v>-9.8763033482287419</v>
      </c>
      <c r="BN42" s="61"/>
      <c r="BO42" s="288">
        <f>BO31/BO28*400</f>
        <v>-8.9064914992272026</v>
      </c>
      <c r="BP42" s="61"/>
      <c r="BQ42" s="288">
        <f>BQ31/BQ28*400</f>
        <v>-9.1657397107897669</v>
      </c>
      <c r="BR42" s="61"/>
      <c r="BS42" s="288">
        <f>BS31/BS28*400</f>
        <v>-9.0337586166214408</v>
      </c>
      <c r="BT42" s="61"/>
      <c r="BU42" s="288">
        <f>BU31/BU28*400</f>
        <v>-9.7141789650663188</v>
      </c>
      <c r="BV42" s="61"/>
      <c r="BW42" s="288">
        <f>BW31/BW28*400</f>
        <v>-10.309370930806878</v>
      </c>
      <c r="BX42" s="61"/>
      <c r="BY42" s="288">
        <f>BY31/BY28*400</f>
        <v>-10</v>
      </c>
      <c r="BZ42" s="61"/>
      <c r="CA42" s="288">
        <f>CA31/CA28*400</f>
        <v>-8.7572336206547696</v>
      </c>
      <c r="CB42" s="61"/>
      <c r="CC42" s="288">
        <f>CC31/CC28*400</f>
        <v>-8.6637480281465464</v>
      </c>
      <c r="CD42" s="61"/>
      <c r="CE42" s="288">
        <f>CE31/CE28*400</f>
        <v>-8.846665656004177</v>
      </c>
      <c r="CF42" s="61"/>
      <c r="CG42" s="288">
        <f>CG31/CG28*400</f>
        <v>-8.5300837776085299</v>
      </c>
      <c r="CH42" s="61"/>
      <c r="CI42" s="288">
        <f>CI31/CI28*400</f>
        <v>-9.0492415725478672</v>
      </c>
      <c r="CJ42" s="61"/>
      <c r="CK42" s="288">
        <f>CK31/CK28*400</f>
        <v>-9.6646479820978666</v>
      </c>
      <c r="CL42" s="61"/>
      <c r="CM42" s="288">
        <f>CM31/CM28*400</f>
        <v>-10.130135984793098</v>
      </c>
      <c r="CN42" s="61"/>
      <c r="CO42" s="288">
        <f>CO31/CO28*400</f>
        <v>-10.071598373915123</v>
      </c>
      <c r="CP42" s="61"/>
      <c r="CQ42" s="288">
        <f>CQ31/CQ28*400</f>
        <v>-8.5638320085749697</v>
      </c>
      <c r="CR42" s="61"/>
      <c r="CS42" s="288">
        <f>CS31/CS28*400</f>
        <v>-9.6975366386030561</v>
      </c>
      <c r="CT42" s="61"/>
      <c r="CU42" s="288">
        <f>CU31/CU28*400</f>
        <v>-10.080491731303965</v>
      </c>
      <c r="CV42" s="61"/>
      <c r="CW42" s="288">
        <f>CW31/CW28*400</f>
        <v>-9.084796815749133</v>
      </c>
      <c r="CX42" s="61"/>
      <c r="CY42" s="288">
        <f>CY31/CY28*400</f>
        <v>-9.2194694146020613</v>
      </c>
      <c r="CZ42" s="61"/>
      <c r="DA42" s="288">
        <f>DA31/DA28*400</f>
        <v>-9.9509752790236785</v>
      </c>
      <c r="DB42" s="61"/>
      <c r="DC42" s="288">
        <f>DC31/DC28*400</f>
        <v>-9.6266443616455017</v>
      </c>
      <c r="DD42" s="61"/>
      <c r="DE42" s="288">
        <f>DE31/DE28*400</f>
        <v>-9.6359052182537308</v>
      </c>
      <c r="DF42" s="61"/>
      <c r="DG42" s="288">
        <f>DG31/DG28*400</f>
        <v>-9.1012354353299383</v>
      </c>
      <c r="DH42" s="61"/>
      <c r="DI42" s="288">
        <f>DI31/DI28*400</f>
        <v>-9.2418233154986211</v>
      </c>
      <c r="DJ42" s="61"/>
      <c r="DK42" s="288">
        <f>DK31/DK28*400</f>
        <v>-9.2910440091266011</v>
      </c>
      <c r="DL42" s="61"/>
      <c r="DM42" s="288">
        <f>DM31/DM28*400</f>
        <v>-9.2107127674649281</v>
      </c>
      <c r="DN42" s="130">
        <f t="shared" si="151"/>
        <v>-4.4125844034179735</v>
      </c>
      <c r="DO42" s="288">
        <f>DO31/DO28*400</f>
        <v>-9.3669633065807467</v>
      </c>
      <c r="DP42" s="130">
        <f t="shared" si="151"/>
        <v>2.9196901139298514</v>
      </c>
      <c r="DQ42" s="288">
        <f>DQ31/DQ28*400</f>
        <v>-9.1746708660185057</v>
      </c>
      <c r="DR42" s="130">
        <f t="shared" si="151"/>
        <v>-0.72661472944954841</v>
      </c>
      <c r="DS42" s="288">
        <f>DS31/DS28*400</f>
        <v>-8.9936871234614166</v>
      </c>
      <c r="DT42" s="130">
        <f t="shared" si="151"/>
        <v>-3.200467949275565</v>
      </c>
      <c r="DU42" s="288">
        <f>DU31/DU28*400</f>
        <v>-9.1833758315377452</v>
      </c>
      <c r="DV42" s="130">
        <f t="shared" si="151"/>
        <v>-0.29679501052020107</v>
      </c>
      <c r="DW42" s="288">
        <f>DW31/DW28*400</f>
        <v>-8.416510318949344</v>
      </c>
      <c r="DX42" s="288">
        <f t="shared" ref="DX42:DY42" si="236">DX31/DX28*400</f>
        <v>-259910.54146752809</v>
      </c>
      <c r="DY42" s="288">
        <f t="shared" si="236"/>
        <v>-8.474761634901224</v>
      </c>
      <c r="DZ42" s="130">
        <f t="shared" si="151"/>
        <v>-7.6287121504230999</v>
      </c>
      <c r="EA42" s="288">
        <f t="shared" ref="EA42:EC42" si="237">EA31/EA28*400</f>
        <v>-7.6629243984255329</v>
      </c>
      <c r="EB42" s="61">
        <f t="shared" si="219"/>
        <v>-14.796631312249954</v>
      </c>
      <c r="EC42" s="288">
        <f t="shared" si="237"/>
        <v>-8.1241557583355206</v>
      </c>
      <c r="ED42" s="61">
        <f t="shared" si="220"/>
        <v>-11.534103499985571</v>
      </c>
      <c r="EE42" s="288">
        <f t="shared" ref="EE42:EG42" si="238">EE31/EE28*400</f>
        <v>-8.6923869402374336</v>
      </c>
      <c r="EF42" s="61">
        <f t="shared" si="222"/>
        <v>3.2778029234630246</v>
      </c>
      <c r="EG42" s="288">
        <f t="shared" si="238"/>
        <v>-8.5392540831948001</v>
      </c>
      <c r="EH42" s="130">
        <f t="shared" si="223"/>
        <v>0.76099424469922017</v>
      </c>
      <c r="EI42" s="288">
        <f t="shared" ref="EI42:EK42" si="239">EI31/EI28*400</f>
        <v>-9.3791955827014348</v>
      </c>
      <c r="EJ42" s="130">
        <f t="shared" si="225"/>
        <v>22.397078387313019</v>
      </c>
      <c r="EK42" s="288">
        <f t="shared" si="239"/>
        <v>-9.1783512217401242</v>
      </c>
      <c r="EL42" s="130">
        <f t="shared" si="226"/>
        <v>12.976061695062668</v>
      </c>
      <c r="EM42" s="288">
        <f t="shared" ref="EM42" si="240">EM31/EM28*400</f>
        <v>-8.4825669982970329</v>
      </c>
      <c r="EN42" s="130">
        <f t="shared" si="228"/>
        <v>-2.413835732152414</v>
      </c>
      <c r="EO42" s="288">
        <f t="shared" ref="EO42" si="241">EO31/EO28*400</f>
        <v>-9.2062658615559645</v>
      </c>
      <c r="EP42" s="130">
        <f t="shared" si="230"/>
        <v>7.8111246235644805</v>
      </c>
      <c r="EQ42" s="549">
        <f>EO42+0.2</f>
        <v>-9.0062658615559652</v>
      </c>
      <c r="ER42" s="130">
        <f t="shared" si="231"/>
        <v>-3.9761375893822337</v>
      </c>
      <c r="ES42" s="549">
        <f>EQ42+0.2</f>
        <v>-8.8062658615559659</v>
      </c>
      <c r="ET42" s="130">
        <f t="shared" si="232"/>
        <v>-4.0539455420144037</v>
      </c>
      <c r="EU42" s="549">
        <f>ES42+0.2</f>
        <v>-8.6062658615559666</v>
      </c>
      <c r="EV42" s="130">
        <f t="shared" si="233"/>
        <v>1.4582715737319507</v>
      </c>
      <c r="EW42" s="549">
        <f>EU42+0.2</f>
        <v>-8.4062658615559673</v>
      </c>
      <c r="EX42" s="130">
        <f t="shared" si="234"/>
        <v>-8.6897338403041484</v>
      </c>
      <c r="EY42" s="64"/>
      <c r="EZ42" s="558"/>
      <c r="FA42" s="64"/>
      <c r="FB42" s="66"/>
      <c r="FC42" s="66"/>
      <c r="FD42" s="66"/>
      <c r="FE42" s="67"/>
      <c r="FF42" s="66"/>
      <c r="FG42" s="67"/>
      <c r="FH42" s="66"/>
      <c r="FI42" s="67"/>
      <c r="FJ42" s="66"/>
      <c r="FK42" s="67"/>
      <c r="FL42" s="66"/>
      <c r="FM42" s="61"/>
      <c r="FN42" s="66"/>
      <c r="FO42" s="61"/>
      <c r="FP42" s="65"/>
      <c r="FQ42" s="61"/>
      <c r="FR42" s="65"/>
      <c r="FS42" s="61"/>
      <c r="FT42" s="288">
        <f>FT31/FT28*100</f>
        <v>-11.07334595033023</v>
      </c>
      <c r="FU42" s="61"/>
      <c r="FV42" s="288">
        <f>FV31/FV28*100</f>
        <v>-8.6327923750643993</v>
      </c>
      <c r="FW42" s="61"/>
      <c r="FX42" s="288">
        <f>FX31/FX28*100</f>
        <v>-10.163441246464011</v>
      </c>
      <c r="FY42" s="61"/>
      <c r="FZ42" s="288">
        <f>FZ31/FZ28*100</f>
        <v>-9.2324018394057301</v>
      </c>
      <c r="GA42" s="61"/>
      <c r="GB42" s="288">
        <f>GB31/GB28*100</f>
        <v>-9.6724667349027644</v>
      </c>
      <c r="GC42" s="61"/>
      <c r="GD42" s="288">
        <f>GD31/GD28*100</f>
        <v>-10.245865651983022</v>
      </c>
      <c r="GE42" s="61"/>
      <c r="GF42" s="288">
        <f>GF31/GF28*100</f>
        <v>-10.089220084657693</v>
      </c>
      <c r="GG42" s="61">
        <f t="shared" si="157"/>
        <v>-1.5288661070332443</v>
      </c>
      <c r="GH42" s="288">
        <f>GH31/GH28*100</f>
        <v>-9.5510699089395459</v>
      </c>
      <c r="GI42" s="61">
        <f t="shared" si="157"/>
        <v>-5.333912544305508</v>
      </c>
      <c r="GJ42" s="288">
        <f>GJ31/GJ28*100</f>
        <v>-8.7957491376245525</v>
      </c>
      <c r="GK42" s="61">
        <f t="shared" si="157"/>
        <v>-7.9082320464227145</v>
      </c>
      <c r="GL42" s="288">
        <f>GL31/GL28*100</f>
        <v>-8.333818083105502</v>
      </c>
      <c r="GM42" s="61">
        <f t="shared" si="157"/>
        <v>-5.2517534014595917</v>
      </c>
      <c r="GN42" s="288">
        <f>GN31/GN28*100</f>
        <v>-9.4434884556473726</v>
      </c>
      <c r="GO42" s="61">
        <f t="shared" si="157"/>
        <v>13.315269921615137</v>
      </c>
      <c r="GP42" s="288">
        <f>GP31/GP28*100</f>
        <v>-8.6860663872623753</v>
      </c>
      <c r="GQ42" s="61">
        <f t="shared" si="157"/>
        <v>-8.0205749384068543</v>
      </c>
      <c r="GR42" s="549">
        <v>-7.5</v>
      </c>
      <c r="GS42" s="61">
        <f t="shared" si="157"/>
        <v>-13.65481605116068</v>
      </c>
      <c r="GT42" s="549">
        <f>GR42</f>
        <v>-7.5</v>
      </c>
      <c r="GU42" s="61">
        <f t="shared" si="157"/>
        <v>0</v>
      </c>
      <c r="GV42" s="549">
        <f>GT42</f>
        <v>-7.5</v>
      </c>
      <c r="GW42" s="61">
        <f t="shared" si="157"/>
        <v>0</v>
      </c>
      <c r="GX42" s="549">
        <f>GV42</f>
        <v>-7.5</v>
      </c>
      <c r="GY42" s="61">
        <f t="shared" si="235"/>
        <v>0</v>
      </c>
      <c r="GZ42" s="61">
        <f>IF(ISERROR((GX42/GN42)^0.2),"",IF(OR((GX42/GN42)^0.2&lt;0.5,(GX42/GN42)^0.2&gt;2),"NM",((GX42/GN42)^0.2-1)*100))</f>
        <v>-4.5038722294850286</v>
      </c>
      <c r="HA42" s="61"/>
      <c r="HB42" s="452"/>
      <c r="HC42"/>
      <c r="HD42"/>
      <c r="HE42"/>
      <c r="HF42"/>
      <c r="HG42"/>
      <c r="HH42"/>
    </row>
    <row r="43" spans="2:216" s="5" customFormat="1" ht="12.75" customHeight="1" x14ac:dyDescent="0.2">
      <c r="B43" s="241" t="s">
        <v>232</v>
      </c>
      <c r="C43" s="66"/>
      <c r="D43" s="67"/>
      <c r="E43" s="66"/>
      <c r="F43" s="66"/>
      <c r="G43" s="64"/>
      <c r="H43" s="66"/>
      <c r="I43" s="64"/>
      <c r="J43" s="66"/>
      <c r="K43" s="64"/>
      <c r="L43" s="61"/>
      <c r="M43" s="66"/>
      <c r="N43" s="61"/>
      <c r="O43" s="64"/>
      <c r="P43" s="61"/>
      <c r="Q43" s="64"/>
      <c r="R43" s="61"/>
      <c r="S43" s="64"/>
      <c r="T43" s="61"/>
      <c r="U43" s="64"/>
      <c r="V43" s="61"/>
      <c r="W43" s="64"/>
      <c r="X43" s="61"/>
      <c r="Y43" s="64"/>
      <c r="Z43" s="61"/>
      <c r="AA43" s="64"/>
      <c r="AB43" s="61"/>
      <c r="AC43" s="64"/>
      <c r="AD43" s="61"/>
      <c r="AE43" s="64"/>
      <c r="AF43" s="61"/>
      <c r="AG43" s="64"/>
      <c r="AH43" s="61"/>
      <c r="AI43" s="64"/>
      <c r="AJ43" s="61"/>
      <c r="AK43" s="64"/>
      <c r="AL43" s="61"/>
      <c r="AM43" s="64"/>
      <c r="AN43" s="61"/>
      <c r="AO43" s="64"/>
      <c r="AP43" s="61"/>
      <c r="AQ43" s="64"/>
      <c r="AR43" s="61"/>
      <c r="AS43" s="64"/>
      <c r="AT43" s="61"/>
      <c r="AU43" s="64"/>
      <c r="AV43" s="61"/>
      <c r="AW43" s="64"/>
      <c r="AX43" s="61"/>
      <c r="AY43" s="64"/>
      <c r="AZ43" s="61"/>
      <c r="BA43" s="64"/>
      <c r="BB43" s="61"/>
      <c r="BC43" s="64"/>
      <c r="BD43" s="61"/>
      <c r="BE43" s="64"/>
      <c r="BF43" s="61"/>
      <c r="BG43" s="288">
        <f>BG39/BG28*400</f>
        <v>9.3082538333783944</v>
      </c>
      <c r="BH43" s="61"/>
      <c r="BI43" s="288">
        <f>BI39/BI28*400</f>
        <v>11.56649806605177</v>
      </c>
      <c r="BJ43" s="61"/>
      <c r="BK43" s="288">
        <f>BK39/BK28*400</f>
        <v>10.343004315270599</v>
      </c>
      <c r="BL43" s="61"/>
      <c r="BM43" s="288">
        <f>BM39/BM28*400</f>
        <v>12.434427822032251</v>
      </c>
      <c r="BN43" s="61"/>
      <c r="BO43" s="288">
        <f>BO39/BO28*400</f>
        <v>8.6166924265842351</v>
      </c>
      <c r="BP43" s="61"/>
      <c r="BQ43" s="288">
        <f>BQ39/BQ28*400</f>
        <v>10.98656627021477</v>
      </c>
      <c r="BR43" s="61"/>
      <c r="BS43" s="288">
        <f>BS39/BS28*400</f>
        <v>8.2786981949336802</v>
      </c>
      <c r="BT43" s="61"/>
      <c r="BU43" s="288">
        <f>BU39/BU28*400</f>
        <v>4.4087427610685594</v>
      </c>
      <c r="BV43" s="61"/>
      <c r="BW43" s="288">
        <f>BW39/BW28*400</f>
        <v>3.93336626105698</v>
      </c>
      <c r="BX43" s="61"/>
      <c r="BY43" s="288">
        <f>BY39/BY28*400</f>
        <v>6.0558139534883715</v>
      </c>
      <c r="BZ43" s="61"/>
      <c r="CA43" s="288">
        <f>CA39/CA28*400</f>
        <v>6.0458904941119345</v>
      </c>
      <c r="CB43" s="61"/>
      <c r="CC43" s="288">
        <f>CC39/CC28*400</f>
        <v>5.9412609227387936</v>
      </c>
      <c r="CD43" s="61"/>
      <c r="CE43" s="288">
        <f>CE39/CE28*400</f>
        <v>3.7192379604830967</v>
      </c>
      <c r="CF43" s="61"/>
      <c r="CG43" s="288">
        <f>CG39/CG28*400</f>
        <v>5.6391891234950009</v>
      </c>
      <c r="CH43" s="61"/>
      <c r="CI43" s="288">
        <f>CI39/CI28*400</f>
        <v>4.932805230295588</v>
      </c>
      <c r="CJ43" s="61"/>
      <c r="CK43" s="288">
        <f>CK39/CK28*400</f>
        <v>4.0686665727743616</v>
      </c>
      <c r="CL43" s="61"/>
      <c r="CM43" s="288">
        <f>CM39/CM28*400</f>
        <v>2.6436613539991227</v>
      </c>
      <c r="CN43" s="61"/>
      <c r="CO43" s="288">
        <f>CO39/CO28*400</f>
        <v>3.1846506590145025</v>
      </c>
      <c r="CP43" s="61"/>
      <c r="CQ43" s="288">
        <f>CQ39/CQ28*400</f>
        <v>3.4355554936870973</v>
      </c>
      <c r="CR43" s="61"/>
      <c r="CS43" s="288">
        <f>CS39/CS28*400</f>
        <v>2.9497973183660742</v>
      </c>
      <c r="CT43" s="61"/>
      <c r="CU43" s="288">
        <f>CU39/CU28*400</f>
        <v>2.710376115908093</v>
      </c>
      <c r="CV43" s="61"/>
      <c r="CW43" s="288">
        <f>CW39/CW28*400</f>
        <v>3.942661969179464</v>
      </c>
      <c r="CX43" s="61"/>
      <c r="CY43" s="288">
        <f>CY39/CY28*400</f>
        <v>2.7735145801359349</v>
      </c>
      <c r="CZ43" s="61"/>
      <c r="DA43" s="288">
        <f>DA39/DA28*400</f>
        <v>5.7943047877333891</v>
      </c>
      <c r="DB43" s="61"/>
      <c r="DC43" s="288">
        <f>DC39/DC28*400</f>
        <v>5.2720959115910073</v>
      </c>
      <c r="DD43" s="61"/>
      <c r="DE43" s="288">
        <f>DE39/DE28*400</f>
        <v>9.0862380059029491</v>
      </c>
      <c r="DF43" s="61"/>
      <c r="DG43" s="288">
        <f>DG39/DG28*400</f>
        <v>6.8575443527138598</v>
      </c>
      <c r="DH43" s="61"/>
      <c r="DI43" s="288">
        <f>DI39/DI28*400</f>
        <v>5.9370914404368227</v>
      </c>
      <c r="DJ43" s="61"/>
      <c r="DK43" s="288">
        <f>DK39/DK28*400</f>
        <v>2.8243129355176881</v>
      </c>
      <c r="DL43" s="61"/>
      <c r="DM43" s="288">
        <f>DM39/DM28*400</f>
        <v>3.635701127553189</v>
      </c>
      <c r="DN43" s="130" t="str">
        <f t="shared" si="151"/>
        <v>NM</v>
      </c>
      <c r="DO43" s="288">
        <f>DO39/DO28*400</f>
        <v>3.1559640150228545</v>
      </c>
      <c r="DP43" s="130" t="str">
        <f t="shared" si="151"/>
        <v>NM</v>
      </c>
      <c r="DQ43" s="288">
        <f>DQ39/DQ28*400</f>
        <v>3.2473248694223287</v>
      </c>
      <c r="DR43" s="130">
        <f t="shared" si="151"/>
        <v>-45.304449122929356</v>
      </c>
      <c r="DS43" s="288">
        <f>DS39/DS28*400</f>
        <v>1.3721138047332162</v>
      </c>
      <c r="DT43" s="130" t="str">
        <f t="shared" si="151"/>
        <v>NM</v>
      </c>
      <c r="DU43" s="288">
        <f>DU39/DU28*400</f>
        <v>2.1641152062025424</v>
      </c>
      <c r="DV43" s="130">
        <f t="shared" si="151"/>
        <v>-40.475987154120595</v>
      </c>
      <c r="DW43" s="288">
        <f>DW39/DW28*400</f>
        <v>1.8574108818011259</v>
      </c>
      <c r="DX43" s="288">
        <f t="shared" ref="DX43:DY43" si="242">DX39/DX28*400</f>
        <v>57358.76862524583</v>
      </c>
      <c r="DY43" s="288">
        <f t="shared" si="242"/>
        <v>0.91866257046559485</v>
      </c>
      <c r="DZ43" s="130" t="str">
        <f t="shared" si="151"/>
        <v>NM</v>
      </c>
      <c r="EA43" s="288">
        <f t="shared" ref="EA43:EC43" si="243">EA39/EA28*400</f>
        <v>-1.1284974696061894</v>
      </c>
      <c r="EB43" s="130" t="str">
        <f t="shared" si="219"/>
        <v>NM</v>
      </c>
      <c r="EC43" s="288">
        <f t="shared" si="243"/>
        <v>-1.7686559186806994</v>
      </c>
      <c r="ED43" s="130" t="str">
        <f t="shared" si="220"/>
        <v>NM</v>
      </c>
      <c r="EE43" s="288">
        <f t="shared" ref="EE43:EG43" si="244">EE39/EE28*400</f>
        <v>-2.8461116299669751</v>
      </c>
      <c r="EF43" s="130" t="str">
        <f t="shared" si="222"/>
        <v>NM</v>
      </c>
      <c r="EG43" s="288">
        <f t="shared" si="244"/>
        <v>-3.2834615348492107</v>
      </c>
      <c r="EH43" s="130" t="str">
        <f t="shared" si="223"/>
        <v>NM</v>
      </c>
      <c r="EI43" s="288">
        <f t="shared" ref="EI43:EK43" si="245">EI39/EI28*400</f>
        <v>-3.8802639789724487</v>
      </c>
      <c r="EJ43" s="130" t="str">
        <f t="shared" si="225"/>
        <v>NM</v>
      </c>
      <c r="EK43" s="288">
        <f t="shared" si="245"/>
        <v>-3.2811144096825755</v>
      </c>
      <c r="EL43" s="130">
        <f t="shared" si="226"/>
        <v>85.514569285475844</v>
      </c>
      <c r="EM43" s="288">
        <f t="shared" ref="EM43" si="246">EM39/EM28*400</f>
        <v>-2.9900510890024199</v>
      </c>
      <c r="EN43" s="130">
        <f t="shared" si="228"/>
        <v>5.057407359567101</v>
      </c>
      <c r="EO43" s="288">
        <f t="shared" ref="EO43" si="247">EO39/EO28*400</f>
        <v>-1.7082348822963156</v>
      </c>
      <c r="EP43" s="130">
        <f t="shared" si="230"/>
        <v>-47.974573048416588</v>
      </c>
      <c r="EQ43" s="288">
        <f t="shared" ref="EQ43:EW43" si="248">EQ39/EQ28*400</f>
        <v>-2.0062658615559643</v>
      </c>
      <c r="ER43" s="130">
        <f t="shared" si="231"/>
        <v>-48.295634718974632</v>
      </c>
      <c r="ES43" s="288">
        <f t="shared" si="248"/>
        <v>-1.3062658615559659</v>
      </c>
      <c r="ET43" s="130" t="str">
        <f t="shared" si="232"/>
        <v>NM</v>
      </c>
      <c r="EU43" s="288">
        <f t="shared" si="248"/>
        <v>-0.60626586155596718</v>
      </c>
      <c r="EV43" s="130" t="str">
        <f t="shared" si="233"/>
        <v>NM</v>
      </c>
      <c r="EW43" s="288">
        <f t="shared" si="248"/>
        <v>9.3734138444034179E-2</v>
      </c>
      <c r="EX43" s="130" t="str">
        <f t="shared" si="234"/>
        <v>NM</v>
      </c>
      <c r="EY43" s="64"/>
      <c r="EZ43" s="558"/>
      <c r="FA43" s="64"/>
      <c r="FB43" s="66"/>
      <c r="FC43" s="66"/>
      <c r="FD43" s="66"/>
      <c r="FE43" s="67"/>
      <c r="FF43" s="66"/>
      <c r="FG43" s="67"/>
      <c r="FH43" s="66"/>
      <c r="FI43" s="67"/>
      <c r="FJ43" s="66"/>
      <c r="FK43" s="67"/>
      <c r="FL43" s="66"/>
      <c r="FM43" s="61"/>
      <c r="FN43" s="66"/>
      <c r="FO43" s="61"/>
      <c r="FP43" s="65"/>
      <c r="FQ43" s="61"/>
      <c r="FR43" s="65"/>
      <c r="FS43" s="61"/>
      <c r="FT43" s="288">
        <f>FT39/FT28*100</f>
        <v>11.965547873778533</v>
      </c>
      <c r="FU43" s="61"/>
      <c r="FV43" s="288">
        <f>FV39/FV28*100</f>
        <v>7.6651854714064909</v>
      </c>
      <c r="FW43" s="61"/>
      <c r="FX43" s="288">
        <f>FX39/FX28*100</f>
        <v>6.0033227066588841</v>
      </c>
      <c r="FY43" s="61"/>
      <c r="FZ43" s="288">
        <f>FZ39/FZ28*100</f>
        <v>4.6911583876564418</v>
      </c>
      <c r="GA43" s="61"/>
      <c r="GB43" s="288">
        <f>GB39/GB28*100</f>
        <v>3.0823219768972074</v>
      </c>
      <c r="GC43" s="61"/>
      <c r="GD43" s="288">
        <f>GD39/GD28*100</f>
        <v>4.1167861846919358</v>
      </c>
      <c r="GE43" s="61"/>
      <c r="GF43" s="288">
        <f>GF39/GF28*100</f>
        <v>7.294755785364865</v>
      </c>
      <c r="GG43" s="61">
        <f t="shared" si="157"/>
        <v>77.195400929250368</v>
      </c>
      <c r="GH43" s="288">
        <f>GH39/GH28*100</f>
        <v>3.3176427059137903</v>
      </c>
      <c r="GI43" s="61" t="str">
        <f t="shared" si="157"/>
        <v>NM</v>
      </c>
      <c r="GJ43" s="288">
        <f>GJ39/GJ28*100</f>
        <v>1.5931125267840844</v>
      </c>
      <c r="GK43" s="61" t="str">
        <f t="shared" si="157"/>
        <v>NM</v>
      </c>
      <c r="GL43" s="288">
        <f>GL39/GL28*100</f>
        <v>-2.2870494250867703</v>
      </c>
      <c r="GM43" s="61" t="str">
        <f t="shared" si="157"/>
        <v>NM</v>
      </c>
      <c r="GN43" s="288">
        <f>GN39/GN28*100</f>
        <v>-3.0690391997428286</v>
      </c>
      <c r="GO43" s="61">
        <f t="shared" si="157"/>
        <v>34.192080244456882</v>
      </c>
      <c r="GP43" s="288">
        <f>GP39/GP28*100</f>
        <v>-0.95157208745497934</v>
      </c>
      <c r="GQ43" s="61" t="str">
        <f t="shared" si="157"/>
        <v>NM</v>
      </c>
      <c r="GR43" s="549">
        <f>GP43</f>
        <v>-0.95157208745497934</v>
      </c>
      <c r="GS43" s="61">
        <f t="shared" si="157"/>
        <v>0</v>
      </c>
      <c r="GT43" s="549">
        <f>GR43</f>
        <v>-0.95157208745497934</v>
      </c>
      <c r="GU43" s="61">
        <f t="shared" si="157"/>
        <v>0</v>
      </c>
      <c r="GV43" s="549">
        <f>GT43</f>
        <v>-0.95157208745497934</v>
      </c>
      <c r="GW43" s="61">
        <f t="shared" si="157"/>
        <v>0</v>
      </c>
      <c r="GX43" s="549">
        <f>GV43</f>
        <v>-0.95157208745497934</v>
      </c>
      <c r="GY43" s="61">
        <f t="shared" si="235"/>
        <v>0</v>
      </c>
      <c r="GZ43" s="61">
        <f>IF(ISERROR((GX43/GN43)^0.2),"",IF(OR((GX43/GN43)^0.2&lt;0.5,(GX43/GN43)^0.2&gt;2),"NM",((GX43/GN43)^0.2-1)*100))</f>
        <v>-20.879713398396937</v>
      </c>
      <c r="HA43" s="61"/>
      <c r="HB43" s="452"/>
      <c r="HC43"/>
      <c r="HD43"/>
      <c r="HE43"/>
      <c r="HF43"/>
      <c r="HG43"/>
      <c r="HH43"/>
    </row>
    <row r="44" spans="2:216" s="5" customFormat="1" ht="12.75" customHeight="1" x14ac:dyDescent="0.2">
      <c r="B44" s="527" t="s">
        <v>514</v>
      </c>
      <c r="C44" s="66"/>
      <c r="D44" s="67"/>
      <c r="E44" s="66"/>
      <c r="F44" s="66"/>
      <c r="G44" s="64"/>
      <c r="H44" s="66"/>
      <c r="I44" s="64"/>
      <c r="J44" s="66"/>
      <c r="K44" s="64"/>
      <c r="L44" s="61"/>
      <c r="M44" s="66"/>
      <c r="N44" s="61"/>
      <c r="O44" s="64"/>
      <c r="P44" s="61"/>
      <c r="Q44" s="64"/>
      <c r="R44" s="61"/>
      <c r="S44" s="64"/>
      <c r="T44" s="61"/>
      <c r="U44" s="64"/>
      <c r="V44" s="61"/>
      <c r="W44" s="64"/>
      <c r="X44" s="61"/>
      <c r="Y44" s="64"/>
      <c r="Z44" s="61"/>
      <c r="AA44" s="64"/>
      <c r="AB44" s="61"/>
      <c r="AC44" s="64"/>
      <c r="AD44" s="61"/>
      <c r="AE44" s="64"/>
      <c r="AF44" s="61"/>
      <c r="AG44" s="64"/>
      <c r="AH44" s="61"/>
      <c r="AI44" s="64"/>
      <c r="AJ44" s="61"/>
      <c r="AK44" s="64"/>
      <c r="AL44" s="61"/>
      <c r="AM44" s="64"/>
      <c r="AN44" s="61"/>
      <c r="AO44" s="64"/>
      <c r="AP44" s="61"/>
      <c r="AQ44" s="64"/>
      <c r="AR44" s="61"/>
      <c r="AS44" s="64"/>
      <c r="AT44" s="61"/>
      <c r="AU44" s="64"/>
      <c r="AV44" s="61"/>
      <c r="AW44" s="64"/>
      <c r="AX44" s="61"/>
      <c r="AY44" s="64"/>
      <c r="AZ44" s="61"/>
      <c r="BA44" s="64"/>
      <c r="BB44" s="61"/>
      <c r="BC44" s="64"/>
      <c r="BD44" s="61"/>
      <c r="BE44" s="64"/>
      <c r="BF44" s="61"/>
      <c r="BG44" s="288">
        <f>BG32/BG28*400</f>
        <v>6.0947819705689232</v>
      </c>
      <c r="BH44" s="61"/>
      <c r="BI44" s="288">
        <f>BI32/BI28*400</f>
        <v>24.531389467420411</v>
      </c>
      <c r="BJ44" s="61"/>
      <c r="BK44" s="288">
        <f>BK32/BK28*400</f>
        <v>11.045728223234235</v>
      </c>
      <c r="BL44" s="61"/>
      <c r="BM44" s="288">
        <f>BM32/BM28*400</f>
        <v>-10.180687779288906</v>
      </c>
      <c r="BN44" s="61"/>
      <c r="BO44" s="288">
        <f>BO32/BO28*400</f>
        <v>-32.296496651210717</v>
      </c>
      <c r="BP44" s="61"/>
      <c r="BQ44" s="288">
        <f>BQ32/BQ28*400</f>
        <v>-4.8395653289980318</v>
      </c>
      <c r="BR44" s="61"/>
      <c r="BS44" s="288">
        <f>BS32/BS28*400</f>
        <v>-47.400266293630864</v>
      </c>
      <c r="BT44" s="61"/>
      <c r="BU44" s="288">
        <f>BU32/BU28*400</f>
        <v>-71.571081636465536</v>
      </c>
      <c r="BV44" s="61"/>
      <c r="BW44" s="288">
        <f>BW32/BW28*400</f>
        <v>-17.780970769161691</v>
      </c>
      <c r="BX44" s="61"/>
      <c r="BY44" s="288">
        <f>BY32/BY28*400</f>
        <v>53.68372093023256</v>
      </c>
      <c r="BZ44" s="61"/>
      <c r="CA44" s="288">
        <f>CA32/CA28*400</f>
        <v>50.584759823560354</v>
      </c>
      <c r="CB44" s="61"/>
      <c r="CC44" s="288">
        <f>CC32/CC28*400</f>
        <v>14.959499459401975</v>
      </c>
      <c r="CD44" s="61"/>
      <c r="CE44" s="288">
        <f>CE32/CE28*400</f>
        <v>12.07404787171324</v>
      </c>
      <c r="CF44" s="61"/>
      <c r="CG44" s="288">
        <f>CG32/CG28*400</f>
        <v>-30.879421821069176</v>
      </c>
      <c r="CH44" s="61"/>
      <c r="CI44" s="288">
        <f>CI32/CI28*400</f>
        <v>37.172457927599147</v>
      </c>
      <c r="CJ44" s="61"/>
      <c r="CK44" s="288">
        <f>CK32/CK28*400</f>
        <v>24.017651753438805</v>
      </c>
      <c r="CL44" s="61"/>
      <c r="CM44" s="288">
        <f>CM32/CM28*400</f>
        <v>13.153969878637229</v>
      </c>
      <c r="CN44" s="61"/>
      <c r="CO44" s="288">
        <f>CO32/CO28*400</f>
        <v>1.012786428661856</v>
      </c>
      <c r="CP44" s="61"/>
      <c r="CQ44" s="288">
        <f>CQ32/CQ28*400</f>
        <v>-46.293692665339584</v>
      </c>
      <c r="CR44" s="61"/>
      <c r="CS44" s="288">
        <f>CS32/CS28*400</f>
        <v>23.180542563143124</v>
      </c>
      <c r="CT44" s="61"/>
      <c r="CU44" s="288">
        <f>CU32/CU28*400</f>
        <v>32.624030440509294</v>
      </c>
      <c r="CV44" s="61"/>
      <c r="CW44" s="288">
        <f>CW32/CW28*400</f>
        <v>-11.419196944840385</v>
      </c>
      <c r="CX44" s="61"/>
      <c r="CY44" s="288">
        <f>CY32/CY28*400</f>
        <v>17.616750712563032</v>
      </c>
      <c r="CZ44" s="61"/>
      <c r="DA44" s="288">
        <f>DA32/DA28*400</f>
        <v>5.7317200375508497</v>
      </c>
      <c r="DB44" s="61"/>
      <c r="DC44" s="288">
        <f>DC32/DC28*400</f>
        <v>18.964337312751884</v>
      </c>
      <c r="DD44" s="61"/>
      <c r="DE44" s="288">
        <f>DE32/DE28*400</f>
        <v>-0.92248497377131455</v>
      </c>
      <c r="DF44" s="61"/>
      <c r="DG44" s="288">
        <f>DG32/DG28*400</f>
        <v>19.495286609286257</v>
      </c>
      <c r="DH44" s="61"/>
      <c r="DI44" s="288">
        <f>DI32/DI28*400</f>
        <v>21.647751617758541</v>
      </c>
      <c r="DJ44" s="61"/>
      <c r="DK44" s="288">
        <f>DK32/DK28*400</f>
        <v>3.3423091944335956</v>
      </c>
      <c r="DL44" s="61"/>
      <c r="DM44" s="288">
        <f>DM32/DM28*400</f>
        <v>13.550881596793458</v>
      </c>
      <c r="DN44" s="130" t="str">
        <f t="shared" si="151"/>
        <v>NM</v>
      </c>
      <c r="DO44" s="288">
        <f>DO32/DO28*400</f>
        <v>-6.2808730335879197</v>
      </c>
      <c r="DP44" s="130" t="str">
        <f t="shared" si="151"/>
        <v>NM</v>
      </c>
      <c r="DQ44" s="288">
        <f>DQ32/DQ28*400</f>
        <v>3.9320017997222165</v>
      </c>
      <c r="DR44" s="130" t="str">
        <f t="shared" si="151"/>
        <v>NM</v>
      </c>
      <c r="DS44" s="288">
        <f>DS32/DS28*400</f>
        <v>7.1065502099487867</v>
      </c>
      <c r="DT44" s="130" t="str">
        <f t="shared" si="151"/>
        <v>NM</v>
      </c>
      <c r="DU44" s="288">
        <f>DU32/DU28*400</f>
        <v>-0.95597436934860125</v>
      </c>
      <c r="DV44" s="130" t="str">
        <f t="shared" si="151"/>
        <v>NM</v>
      </c>
      <c r="DW44" s="288">
        <f>DW32/DW28*400</f>
        <v>-24.442776735459663</v>
      </c>
      <c r="DX44" s="288">
        <f t="shared" ref="DX44:DY44" si="249">DX32/DX28*400</f>
        <v>-754818.2198481845</v>
      </c>
      <c r="DY44" s="288">
        <f t="shared" si="249"/>
        <v>9.2820711665225044</v>
      </c>
      <c r="DZ44" s="130" t="str">
        <f t="shared" si="151"/>
        <v>NM</v>
      </c>
      <c r="EA44" s="288">
        <f t="shared" ref="EA44:EC44" si="250">EA32/EA28*400</f>
        <v>0.18614391251236112</v>
      </c>
      <c r="EB44" s="130" t="str">
        <f t="shared" si="219"/>
        <v>NM</v>
      </c>
      <c r="EC44" s="288">
        <f t="shared" si="250"/>
        <v>5.4925512375732479</v>
      </c>
      <c r="ED44" s="130" t="str">
        <f t="shared" si="220"/>
        <v>NM</v>
      </c>
      <c r="EE44" s="288">
        <f t="shared" ref="EE44:EG44" si="251">EE32/EE28*400</f>
        <v>12.905710516940911</v>
      </c>
      <c r="EF44" s="130" t="str">
        <f t="shared" si="222"/>
        <v>NM</v>
      </c>
      <c r="EG44" s="288">
        <f t="shared" si="251"/>
        <v>0.62738910334075304</v>
      </c>
      <c r="EH44" s="130" t="str">
        <f t="shared" si="223"/>
        <v>NM</v>
      </c>
      <c r="EI44" s="288">
        <f t="shared" ref="EI44:EK44" si="252">EI32/EI28*400</f>
        <v>17.907456082294878</v>
      </c>
      <c r="EJ44" s="130" t="str">
        <f t="shared" si="225"/>
        <v>NM</v>
      </c>
      <c r="EK44" s="288">
        <f t="shared" si="252"/>
        <v>10.935830098195936</v>
      </c>
      <c r="EL44" s="130">
        <f t="shared" si="226"/>
        <v>99.102923672090682</v>
      </c>
      <c r="EM44" s="288">
        <f t="shared" ref="EM44" si="253">EM32/EM28*400</f>
        <v>12.670072600161333</v>
      </c>
      <c r="EN44" s="130">
        <f t="shared" si="228"/>
        <v>-1.825842261611732</v>
      </c>
      <c r="EO44" s="288">
        <f t="shared" ref="EO44" si="254">EO32/EO28*400</f>
        <v>12.941279425921065</v>
      </c>
      <c r="EP44" s="130" t="str">
        <f t="shared" si="230"/>
        <v>NM</v>
      </c>
      <c r="EQ44" s="288">
        <f t="shared" ref="EQ44:EW44" si="255">EQ32/EQ28*400</f>
        <v>-2.88</v>
      </c>
      <c r="ER44" s="130" t="str">
        <f t="shared" si="231"/>
        <v>NM</v>
      </c>
      <c r="ES44" s="288">
        <f t="shared" si="255"/>
        <v>4.8000000000000007</v>
      </c>
      <c r="ET44" s="130" t="str">
        <f t="shared" si="232"/>
        <v>NM</v>
      </c>
      <c r="EU44" s="288">
        <f t="shared" si="255"/>
        <v>4.8</v>
      </c>
      <c r="EV44" s="130" t="str">
        <f t="shared" si="233"/>
        <v>NM</v>
      </c>
      <c r="EW44" s="288">
        <f t="shared" si="255"/>
        <v>4.8</v>
      </c>
      <c r="EX44" s="130" t="str">
        <f t="shared" si="234"/>
        <v>NM</v>
      </c>
      <c r="EY44" s="64"/>
      <c r="EZ44" s="558"/>
      <c r="FA44" s="64"/>
      <c r="FB44" s="66"/>
      <c r="FC44" s="66"/>
      <c r="FD44" s="66"/>
      <c r="FE44" s="67"/>
      <c r="FF44" s="66"/>
      <c r="FG44" s="67"/>
      <c r="FH44" s="66"/>
      <c r="FI44" s="67"/>
      <c r="FJ44" s="66"/>
      <c r="FK44" s="67"/>
      <c r="FL44" s="66"/>
      <c r="FM44" s="61"/>
      <c r="FN44" s="66"/>
      <c r="FO44" s="61"/>
      <c r="FP44" s="65"/>
      <c r="FQ44" s="61"/>
      <c r="FR44" s="65"/>
      <c r="FS44" s="61"/>
      <c r="FT44" s="288">
        <f>FT32/FT28*100</f>
        <v>7.983469159167278</v>
      </c>
      <c r="FU44" s="61"/>
      <c r="FV44" s="288">
        <f>FV32/FV28*100</f>
        <v>-35.952794951056156</v>
      </c>
      <c r="FW44" s="61"/>
      <c r="FX44" s="288">
        <f>FX32/FX28*100</f>
        <v>27.279870683848952</v>
      </c>
      <c r="FY44" s="61"/>
      <c r="FZ44" s="288">
        <f>FZ32/FZ28*100</f>
        <v>10.507521013357589</v>
      </c>
      <c r="GA44" s="61"/>
      <c r="GB44" s="288">
        <f>GB32/GB28*100</f>
        <v>-3.1700541014768242</v>
      </c>
      <c r="GC44" s="61"/>
      <c r="GD44" s="288">
        <f>GD32/GD28*100</f>
        <v>11.361042002048881</v>
      </c>
      <c r="GE44" s="61"/>
      <c r="GF44" s="288">
        <f>GF32/GF28*100</f>
        <v>16.013991331457682</v>
      </c>
      <c r="GG44" s="61">
        <f t="shared" si="157"/>
        <v>40.955304351217748</v>
      </c>
      <c r="GH44" s="288">
        <f>GH32/GH28*100</f>
        <v>3.6455014491562006</v>
      </c>
      <c r="GI44" s="61" t="str">
        <f t="shared" si="157"/>
        <v>NM</v>
      </c>
      <c r="GJ44" s="288">
        <f>GJ32/GJ28*100</f>
        <v>-2.4838334630499745</v>
      </c>
      <c r="GK44" s="61" t="str">
        <f t="shared" si="157"/>
        <v>NM</v>
      </c>
      <c r="GL44" s="288">
        <f>GL32/GL28*100</f>
        <v>4.8271382312450308</v>
      </c>
      <c r="GM44" s="61" t="str">
        <f t="shared" si="157"/>
        <v>NM</v>
      </c>
      <c r="GN44" s="288">
        <f>GN32/GN28*100</f>
        <v>14.143486564680522</v>
      </c>
      <c r="GO44" s="61" t="str">
        <f t="shared" si="157"/>
        <v>NM</v>
      </c>
      <c r="GP44" s="288">
        <f>GP32/GP28*100</f>
        <v>2.8692660031152029</v>
      </c>
      <c r="GQ44" s="61" t="str">
        <f t="shared" si="157"/>
        <v>NM</v>
      </c>
      <c r="GR44" s="549">
        <f>GP44</f>
        <v>2.8692660031152029</v>
      </c>
      <c r="GS44" s="61">
        <f t="shared" si="157"/>
        <v>0</v>
      </c>
      <c r="GT44" s="549">
        <f>GR44</f>
        <v>2.8692660031152029</v>
      </c>
      <c r="GU44" s="61">
        <f t="shared" si="157"/>
        <v>0</v>
      </c>
      <c r="GV44" s="549">
        <f>GT44</f>
        <v>2.8692660031152029</v>
      </c>
      <c r="GW44" s="61">
        <f t="shared" si="157"/>
        <v>0</v>
      </c>
      <c r="GX44" s="549">
        <f>GV44</f>
        <v>2.8692660031152029</v>
      </c>
      <c r="GY44" s="61">
        <f t="shared" si="235"/>
        <v>0</v>
      </c>
      <c r="GZ44" s="61">
        <f>IF(ISERROR((GX44/GN44)^0.2),"",IF(OR((GX44/GN44)^0.2&lt;0.5,(GX44/GN44)^0.2&gt;2),"NM",((GX44/GN44)^0.2-1)*100))</f>
        <v>-27.315322794740425</v>
      </c>
      <c r="HA44" s="61"/>
      <c r="HB44" s="452"/>
      <c r="HC44"/>
      <c r="HD44"/>
      <c r="HE44"/>
      <c r="HF44"/>
      <c r="HG44"/>
      <c r="HH44"/>
    </row>
    <row r="45" spans="2:216" s="5" customFormat="1" ht="12.75" customHeight="1" x14ac:dyDescent="0.2">
      <c r="B45" s="527" t="s">
        <v>515</v>
      </c>
      <c r="C45" s="66"/>
      <c r="D45" s="67"/>
      <c r="E45" s="66"/>
      <c r="F45" s="66"/>
      <c r="G45" s="64"/>
      <c r="H45" s="66"/>
      <c r="I45" s="64"/>
      <c r="J45" s="66"/>
      <c r="K45" s="64"/>
      <c r="L45" s="61"/>
      <c r="M45" s="66"/>
      <c r="N45" s="61"/>
      <c r="O45" s="64"/>
      <c r="P45" s="61"/>
      <c r="Q45" s="64"/>
      <c r="R45" s="61"/>
      <c r="S45" s="64"/>
      <c r="T45" s="61"/>
      <c r="U45" s="64"/>
      <c r="V45" s="61"/>
      <c r="W45" s="64"/>
      <c r="X45" s="61"/>
      <c r="Y45" s="64"/>
      <c r="Z45" s="61"/>
      <c r="AA45" s="64"/>
      <c r="AB45" s="61"/>
      <c r="AC45" s="64"/>
      <c r="AD45" s="61"/>
      <c r="AE45" s="64"/>
      <c r="AF45" s="61"/>
      <c r="AG45" s="64"/>
      <c r="AH45" s="61"/>
      <c r="AI45" s="64"/>
      <c r="AJ45" s="61"/>
      <c r="AK45" s="64"/>
      <c r="AL45" s="61"/>
      <c r="AM45" s="64"/>
      <c r="AN45" s="61"/>
      <c r="AO45" s="64"/>
      <c r="AP45" s="61"/>
      <c r="AQ45" s="64"/>
      <c r="AR45" s="61"/>
      <c r="AS45" s="64"/>
      <c r="AT45" s="61"/>
      <c r="AU45" s="64"/>
      <c r="AV45" s="61"/>
      <c r="AW45" s="64"/>
      <c r="AX45" s="61"/>
      <c r="AY45" s="64"/>
      <c r="AZ45" s="61"/>
      <c r="BA45" s="64"/>
      <c r="BB45" s="61"/>
      <c r="BC45" s="64"/>
      <c r="BD45" s="61"/>
      <c r="BE45" s="64"/>
      <c r="BF45" s="61"/>
      <c r="BG45" s="288">
        <f>(BG44/4)/BG23*100</f>
        <v>844.29511420665369</v>
      </c>
      <c r="BH45" s="61"/>
      <c r="BI45" s="288">
        <f>(BI44/4)/BI23*100</f>
        <v>105.63603947611826</v>
      </c>
      <c r="BJ45" s="61"/>
      <c r="BK45" s="288">
        <f>(BK44/4)/BK23*100</f>
        <v>177.40943863302198</v>
      </c>
      <c r="BL45" s="61"/>
      <c r="BM45" s="288">
        <f>(BM44/4)/BM23*100</f>
        <v>50.044322584082913</v>
      </c>
      <c r="BN45" s="61"/>
      <c r="BO45" s="288">
        <f>(BO44/4)/BO23*100</f>
        <v>81.393164132891272</v>
      </c>
      <c r="BP45" s="61"/>
      <c r="BQ45" s="288">
        <f>(BQ44/4)/BQ23*100</f>
        <v>18.382888729448105</v>
      </c>
      <c r="BR45" s="61"/>
      <c r="BS45" s="288">
        <f>(BS44/4)/BS23*100</f>
        <v>128.43471848987576</v>
      </c>
      <c r="BT45" s="61"/>
      <c r="BU45" s="288">
        <f>(BU44/4)/BU23*100</f>
        <v>80.581356105997685</v>
      </c>
      <c r="BV45" s="61"/>
      <c r="BW45" s="288">
        <f>(BW44/4)/BW23*100</f>
        <v>38.099024179541289</v>
      </c>
      <c r="BX45" s="61"/>
      <c r="BY45" s="288">
        <f>(BY44/4)/BY23*100</f>
        <v>100.55942581621497</v>
      </c>
      <c r="BZ45" s="61"/>
      <c r="CA45" s="288">
        <f>(CA44/4)/CA23*100</f>
        <v>87.301677087708228</v>
      </c>
      <c r="CB45" s="61"/>
      <c r="CC45" s="288">
        <f>(CC44/4)/CC23*100</f>
        <v>45.17900006544037</v>
      </c>
      <c r="CD45" s="61"/>
      <c r="CE45" s="288">
        <f>(CE44/4)/CE23*100</f>
        <v>61.95354681080385</v>
      </c>
      <c r="CF45" s="61"/>
      <c r="CG45" s="288">
        <f>(CG44/4)/CG23*100</f>
        <v>61.705455664634137</v>
      </c>
      <c r="CH45" s="61"/>
      <c r="CI45" s="288">
        <f>(CI44/4)/CI23*100</f>
        <v>83.874705336795088</v>
      </c>
      <c r="CJ45" s="61"/>
      <c r="CK45" s="288">
        <f>(CK44/4)/CK23*100</f>
        <v>61.781907223125266</v>
      </c>
      <c r="CL45" s="61"/>
      <c r="CM45" s="288">
        <f>(CM44/4)/CM23*100</f>
        <v>60.650232302288934</v>
      </c>
      <c r="CN45" s="61"/>
      <c r="CO45" s="288">
        <f>(CO44/4)/CO23*100</f>
        <v>-28.662601962033595</v>
      </c>
      <c r="CP45" s="61"/>
      <c r="CQ45" s="288">
        <f>(CQ44/4)/CQ23*100</f>
        <v>74.451706186045001</v>
      </c>
      <c r="CR45" s="61"/>
      <c r="CS45" s="288">
        <f>(CS44/4)/CS23*100</f>
        <v>51.963366326156986</v>
      </c>
      <c r="CT45" s="61"/>
      <c r="CU45" s="288">
        <f>(CU44/4)/CU23*100</f>
        <v>67.985600558993198</v>
      </c>
      <c r="CV45" s="61"/>
      <c r="CW45" s="288">
        <f>(CW44/4)/CW23*100</f>
        <v>86.825719719819347</v>
      </c>
      <c r="CX45" s="61"/>
      <c r="CY45" s="288">
        <f>(CY44/4)/CY23*100</f>
        <v>76.413301333030248</v>
      </c>
      <c r="CZ45" s="61"/>
      <c r="DA45" s="288">
        <f>(DA44/4)/DA23*100</f>
        <v>-102.35214352769376</v>
      </c>
      <c r="DB45" s="61"/>
      <c r="DC45" s="288">
        <f>(DC44/4)/DC23*100</f>
        <v>39.520005468417921</v>
      </c>
      <c r="DD45" s="61"/>
      <c r="DE45" s="288">
        <f>(DE44/4)/DE23*100</f>
        <v>-9.6092184767845268</v>
      </c>
      <c r="DF45" s="61"/>
      <c r="DG45" s="288">
        <f>(DG44/4)/DG23*100</f>
        <v>118.87369883711133</v>
      </c>
      <c r="DH45" s="61"/>
      <c r="DI45" s="288">
        <f>(DI44/4)/DI23*100</f>
        <v>54.887808361456749</v>
      </c>
      <c r="DJ45" s="61"/>
      <c r="DK45" s="288">
        <f>(DK44/4)/DK23*100</f>
        <v>64.405653548711086</v>
      </c>
      <c r="DL45" s="61"/>
      <c r="DM45" s="288">
        <f>(DM44/4)/DM23*100</f>
        <v>85.4985515974046</v>
      </c>
      <c r="DN45" s="130" t="str">
        <f t="shared" si="151"/>
        <v>NM</v>
      </c>
      <c r="DO45" s="288">
        <f>(DO44/4)/DO23*100</f>
        <v>3008.0020742043812</v>
      </c>
      <c r="DP45" s="130" t="str">
        <f t="shared" si="151"/>
        <v>NM</v>
      </c>
      <c r="DQ45" s="288">
        <f>(DQ44/4)/DQ23*100</f>
        <v>16.96892101859898</v>
      </c>
      <c r="DR45" s="130" t="str">
        <f t="shared" si="151"/>
        <v>NM</v>
      </c>
      <c r="DS45" s="288">
        <f>(DS44/4)/DS23*100</f>
        <v>444.15938812179911</v>
      </c>
      <c r="DT45" s="130" t="str">
        <f t="shared" si="151"/>
        <v>NM</v>
      </c>
      <c r="DU45" s="288">
        <f>(DU44/4)/DU23*100</f>
        <v>-59.748398084287579</v>
      </c>
      <c r="DV45" s="130" t="str">
        <f t="shared" si="151"/>
        <v>NM</v>
      </c>
      <c r="DW45" s="288">
        <f>(DW44/4)/DW23*100</f>
        <v>80.656091112690973</v>
      </c>
      <c r="DX45" s="288" t="e">
        <f t="shared" ref="DX45:DY45" si="256">(DX44/4)/DX23*100</f>
        <v>#DIV/0!</v>
      </c>
      <c r="DY45" s="288">
        <f t="shared" si="256"/>
        <v>37.164956621273568</v>
      </c>
      <c r="DZ45" s="130" t="str">
        <f t="shared" si="151"/>
        <v>NM</v>
      </c>
      <c r="EA45" s="288">
        <f t="shared" ref="EA45:EC45" si="257">(EA44/4)/EA23*100</f>
        <v>6.0200472870335009</v>
      </c>
      <c r="EB45" s="806" t="str">
        <f t="shared" si="219"/>
        <v>NM</v>
      </c>
      <c r="EC45" s="288">
        <f t="shared" si="257"/>
        <v>109.13348928595794</v>
      </c>
      <c r="ED45" s="806" t="str">
        <f t="shared" si="220"/>
        <v>NM</v>
      </c>
      <c r="EE45" s="288">
        <f t="shared" ref="EE45:EG45" si="258">(EE44/4)/EE23*100</f>
        <v>103.87380216871772</v>
      </c>
      <c r="EF45" s="806">
        <f t="shared" si="222"/>
        <v>28.786060340548183</v>
      </c>
      <c r="EG45" s="288">
        <f t="shared" si="258"/>
        <v>4.8198232628030402</v>
      </c>
      <c r="EH45" s="130" t="str">
        <f t="shared" si="223"/>
        <v>NM</v>
      </c>
      <c r="EI45" s="288">
        <f t="shared" ref="EI45:EK45" si="259">(EI44/4)/EI23*100</f>
        <v>80.901839836231289</v>
      </c>
      <c r="EJ45" s="130" t="str">
        <f t="shared" si="225"/>
        <v>NM</v>
      </c>
      <c r="EK45" s="288">
        <f t="shared" si="259"/>
        <v>106.43559272371648</v>
      </c>
      <c r="EL45" s="130">
        <f t="shared" si="226"/>
        <v>-2.4721069397609652</v>
      </c>
      <c r="EM45" s="288">
        <f t="shared" ref="EM45" si="260">(EM44/4)/EM23*100</f>
        <v>87.986615278898157</v>
      </c>
      <c r="EN45" s="130">
        <f t="shared" si="228"/>
        <v>-15.294700452010691</v>
      </c>
      <c r="EO45" s="288">
        <f t="shared" ref="EO45" si="261">(EO44/4)/EO23*100</f>
        <v>48.432931983237523</v>
      </c>
      <c r="EP45" s="130" t="str">
        <f t="shared" si="230"/>
        <v>NM</v>
      </c>
      <c r="EQ45" s="549">
        <v>60</v>
      </c>
      <c r="ER45" s="130">
        <f t="shared" si="231"/>
        <v>-25.836050055898173</v>
      </c>
      <c r="ES45" s="549">
        <f t="shared" ref="ES45" si="262">EQ45</f>
        <v>60</v>
      </c>
      <c r="ET45" s="130">
        <f t="shared" si="232"/>
        <v>-43.627880049724645</v>
      </c>
      <c r="EU45" s="549">
        <f t="shared" ref="EU45" si="263">ES45</f>
        <v>60</v>
      </c>
      <c r="EV45" s="130">
        <f t="shared" si="233"/>
        <v>-31.807809847198641</v>
      </c>
      <c r="EW45" s="549">
        <f t="shared" ref="EW45" si="264">EU45</f>
        <v>60</v>
      </c>
      <c r="EX45" s="130">
        <f t="shared" si="234"/>
        <v>23.882650797944251</v>
      </c>
      <c r="EY45" s="64"/>
      <c r="EZ45" s="558"/>
      <c r="FA45" s="64"/>
      <c r="FB45" s="66"/>
      <c r="FC45" s="66"/>
      <c r="FD45" s="66"/>
      <c r="FE45" s="67"/>
      <c r="FF45" s="66"/>
      <c r="FG45" s="67"/>
      <c r="FH45" s="66"/>
      <c r="FI45" s="67"/>
      <c r="FJ45" s="66"/>
      <c r="FK45" s="67"/>
      <c r="FL45" s="66"/>
      <c r="FM45" s="61"/>
      <c r="FN45" s="66"/>
      <c r="FO45" s="61"/>
      <c r="FP45" s="65"/>
      <c r="FQ45" s="61"/>
      <c r="FR45" s="65"/>
      <c r="FS45" s="61"/>
      <c r="FT45" s="65"/>
      <c r="FU45" s="61"/>
      <c r="FV45" s="65"/>
      <c r="FW45" s="61"/>
      <c r="FX45" s="65"/>
      <c r="FY45" s="61"/>
      <c r="FZ45" s="65"/>
      <c r="GA45" s="61"/>
      <c r="GB45" s="65"/>
      <c r="GC45" s="61"/>
      <c r="GD45" s="288"/>
      <c r="GE45" s="61"/>
      <c r="GF45" s="65"/>
      <c r="GG45" s="61"/>
      <c r="GH45" s="65"/>
      <c r="GI45" s="61"/>
      <c r="GJ45" s="65"/>
      <c r="GK45" s="61"/>
      <c r="GL45" s="65"/>
      <c r="GM45" s="61"/>
      <c r="GN45" s="65"/>
      <c r="GO45" s="61"/>
      <c r="GP45" s="65"/>
      <c r="GQ45" s="61"/>
      <c r="GR45" s="549">
        <v>60</v>
      </c>
      <c r="GS45" s="61"/>
      <c r="GT45" s="549">
        <f>GR45</f>
        <v>60</v>
      </c>
      <c r="GU45" s="61"/>
      <c r="GV45" s="549">
        <f>GT45</f>
        <v>60</v>
      </c>
      <c r="GW45" s="61"/>
      <c r="GX45" s="549">
        <f>GV45</f>
        <v>60</v>
      </c>
      <c r="GY45" s="61"/>
      <c r="GZ45" s="61" t="str">
        <f>IF(ISERROR((GX45/GN45)^0.2),"",IF(OR((GX45/GN45)^0.2&lt;0.5,(GX45/GN45)^0.2&gt;2),"NM",((GX45/GN45)^0.2-1)*100))</f>
        <v/>
      </c>
      <c r="HA45" s="61"/>
      <c r="HB45" s="452"/>
      <c r="HC45"/>
      <c r="HD45"/>
      <c r="HE45"/>
      <c r="HF45"/>
      <c r="HG45"/>
      <c r="HH45"/>
    </row>
    <row r="46" spans="2:216" s="5" customFormat="1" ht="12.75" customHeight="1" x14ac:dyDescent="0.2">
      <c r="B46" s="68"/>
      <c r="C46" s="66"/>
      <c r="D46" s="67"/>
      <c r="E46" s="66"/>
      <c r="F46" s="66"/>
      <c r="G46" s="64"/>
      <c r="H46" s="66"/>
      <c r="I46" s="64"/>
      <c r="J46" s="66"/>
      <c r="K46" s="64"/>
      <c r="L46" s="61"/>
      <c r="M46" s="66"/>
      <c r="N46" s="61"/>
      <c r="O46" s="64"/>
      <c r="P46" s="61"/>
      <c r="Q46" s="64"/>
      <c r="R46" s="61"/>
      <c r="S46" s="64"/>
      <c r="T46" s="61"/>
      <c r="U46" s="64"/>
      <c r="V46" s="61"/>
      <c r="W46" s="64"/>
      <c r="X46" s="61"/>
      <c r="Y46" s="64"/>
      <c r="Z46" s="61"/>
      <c r="AA46" s="64"/>
      <c r="AB46" s="61"/>
      <c r="AC46" s="64"/>
      <c r="AD46" s="61"/>
      <c r="AE46" s="64"/>
      <c r="AF46" s="61"/>
      <c r="AG46" s="64"/>
      <c r="AH46" s="61"/>
      <c r="AI46" s="64"/>
      <c r="AJ46" s="61"/>
      <c r="AK46" s="64"/>
      <c r="AL46" s="61"/>
      <c r="AM46" s="64"/>
      <c r="AN46" s="61"/>
      <c r="AO46" s="64"/>
      <c r="AP46" s="61"/>
      <c r="AQ46" s="64"/>
      <c r="AR46" s="61"/>
      <c r="AS46" s="64"/>
      <c r="AT46" s="61"/>
      <c r="AU46" s="64"/>
      <c r="AV46" s="61"/>
      <c r="AW46" s="64"/>
      <c r="AX46" s="61"/>
      <c r="AY46" s="64"/>
      <c r="AZ46" s="61"/>
      <c r="BA46" s="64"/>
      <c r="BB46" s="61"/>
      <c r="BC46" s="64"/>
      <c r="BD46" s="61"/>
      <c r="BE46" s="64"/>
      <c r="BF46" s="61"/>
      <c r="BG46" s="64"/>
      <c r="BH46" s="61"/>
      <c r="BI46" s="64"/>
      <c r="BJ46" s="61"/>
      <c r="BK46" s="64"/>
      <c r="BL46" s="61"/>
      <c r="BM46" s="64"/>
      <c r="BN46" s="61"/>
      <c r="BO46" s="64"/>
      <c r="BP46" s="61"/>
      <c r="BQ46" s="64"/>
      <c r="BR46" s="61"/>
      <c r="BS46" s="64"/>
      <c r="BT46" s="61"/>
      <c r="BU46" s="64"/>
      <c r="BV46" s="61"/>
      <c r="BW46" s="64"/>
      <c r="BX46" s="61"/>
      <c r="BY46" s="64"/>
      <c r="BZ46" s="61"/>
      <c r="CA46" s="64"/>
      <c r="CB46" s="61"/>
      <c r="CC46" s="64"/>
      <c r="CD46" s="61"/>
      <c r="CE46" s="64"/>
      <c r="CF46" s="61"/>
      <c r="CG46" s="64"/>
      <c r="CH46" s="61"/>
      <c r="CI46" s="64"/>
      <c r="CJ46" s="61"/>
      <c r="CK46" s="64"/>
      <c r="CL46" s="61"/>
      <c r="CM46" s="64"/>
      <c r="CN46" s="61"/>
      <c r="CO46" s="64"/>
      <c r="CP46" s="61"/>
      <c r="CQ46" s="64"/>
      <c r="CR46" s="61"/>
      <c r="CS46" s="64"/>
      <c r="CT46" s="61"/>
      <c r="CU46" s="64"/>
      <c r="CV46" s="61"/>
      <c r="CW46" s="64"/>
      <c r="CX46" s="61"/>
      <c r="CY46" s="64"/>
      <c r="CZ46" s="61"/>
      <c r="DA46" s="64"/>
      <c r="DB46" s="61"/>
      <c r="DC46" s="64"/>
      <c r="DD46" s="61"/>
      <c r="DE46" s="64"/>
      <c r="DF46" s="61"/>
      <c r="DG46" s="64"/>
      <c r="DH46" s="61"/>
      <c r="DI46" s="64"/>
      <c r="DJ46" s="61"/>
      <c r="DK46" s="64"/>
      <c r="DL46" s="61"/>
      <c r="DM46" s="64"/>
      <c r="DN46" s="61"/>
      <c r="DO46" s="64"/>
      <c r="DP46" s="61"/>
      <c r="DQ46" s="64"/>
      <c r="DR46" s="61"/>
      <c r="DS46" s="64"/>
      <c r="DT46" s="61"/>
      <c r="DU46" s="64"/>
      <c r="DV46" s="61"/>
      <c r="DW46" s="64"/>
      <c r="DX46" s="64"/>
      <c r="DY46" s="64"/>
      <c r="DZ46" s="61"/>
      <c r="EA46" s="64"/>
      <c r="EB46" s="61"/>
      <c r="EC46" s="64"/>
      <c r="ED46" s="61"/>
      <c r="EE46" s="64"/>
      <c r="EF46" s="61"/>
      <c r="EG46" s="64"/>
      <c r="EH46" s="61"/>
      <c r="EI46" s="64"/>
      <c r="EJ46" s="61"/>
      <c r="EK46" s="64"/>
      <c r="EL46" s="61"/>
      <c r="EM46" s="64"/>
      <c r="EN46" s="61"/>
      <c r="EO46" s="64"/>
      <c r="EP46" s="61"/>
      <c r="EQ46" s="64"/>
      <c r="ER46" s="61"/>
      <c r="ES46" s="64"/>
      <c r="ET46" s="61"/>
      <c r="EU46" s="64"/>
      <c r="EV46" s="61"/>
      <c r="EW46" s="64"/>
      <c r="EX46" s="61"/>
      <c r="EY46" s="64"/>
      <c r="EZ46" s="558"/>
      <c r="FA46" s="64"/>
      <c r="FB46" s="66"/>
      <c r="FC46" s="66"/>
      <c r="FD46" s="66"/>
      <c r="FE46" s="67"/>
      <c r="FF46" s="66"/>
      <c r="FG46" s="67"/>
      <c r="FH46" s="66"/>
      <c r="FI46" s="67"/>
      <c r="FJ46" s="66"/>
      <c r="FK46" s="67"/>
      <c r="FL46" s="66"/>
      <c r="FM46" s="61"/>
      <c r="FN46" s="66"/>
      <c r="FO46" s="61"/>
      <c r="FP46" s="65"/>
      <c r="FQ46" s="61"/>
      <c r="FR46" s="65"/>
      <c r="FS46" s="61"/>
      <c r="FT46" s="65"/>
      <c r="FU46" s="61"/>
      <c r="FV46" s="65"/>
      <c r="FW46" s="61"/>
      <c r="FX46" s="65"/>
      <c r="FY46" s="61"/>
      <c r="FZ46" s="65"/>
      <c r="GA46" s="61"/>
      <c r="GB46" s="65"/>
      <c r="GC46" s="61"/>
      <c r="GD46" s="65"/>
      <c r="GE46" s="61"/>
      <c r="GF46" s="65"/>
      <c r="GG46" s="61"/>
      <c r="GH46" s="65"/>
      <c r="GI46" s="61"/>
      <c r="GJ46" s="65"/>
      <c r="GK46" s="61"/>
      <c r="GL46" s="65"/>
      <c r="GM46" s="61"/>
      <c r="GN46" s="65"/>
      <c r="GO46" s="61"/>
      <c r="GP46" s="65"/>
      <c r="GQ46" s="61"/>
      <c r="GR46" s="64"/>
      <c r="GS46" s="61"/>
      <c r="GT46" s="64"/>
      <c r="GU46" s="61"/>
      <c r="GV46" s="64"/>
      <c r="GW46" s="61"/>
      <c r="GX46" s="64"/>
      <c r="GY46" s="61"/>
      <c r="GZ46" s="61"/>
      <c r="HA46" s="61"/>
      <c r="HB46" s="452"/>
      <c r="HC46"/>
      <c r="HD46"/>
      <c r="HE46"/>
      <c r="HF46"/>
      <c r="HG46"/>
      <c r="HH46"/>
    </row>
    <row r="47" spans="2:216" s="5" customFormat="1" ht="12.75" customHeight="1" x14ac:dyDescent="0.2">
      <c r="B47" s="63" t="s">
        <v>240</v>
      </c>
      <c r="C47" s="66"/>
      <c r="D47" s="67"/>
      <c r="E47" s="66"/>
      <c r="F47" s="66"/>
      <c r="G47" s="64"/>
      <c r="H47" s="66"/>
      <c r="I47" s="64"/>
      <c r="J47" s="66"/>
      <c r="K47" s="64"/>
      <c r="L47" s="61"/>
      <c r="M47" s="66"/>
      <c r="N47" s="61"/>
      <c r="O47" s="64"/>
      <c r="P47" s="61"/>
      <c r="Q47" s="64"/>
      <c r="R47" s="61"/>
      <c r="S47" s="64"/>
      <c r="T47" s="61"/>
      <c r="U47" s="64"/>
      <c r="V47" s="61"/>
      <c r="W47" s="64"/>
      <c r="X47" s="61"/>
      <c r="Y47" s="64"/>
      <c r="Z47" s="61"/>
      <c r="AA47" s="64"/>
      <c r="AB47" s="61"/>
      <c r="AC47" s="64"/>
      <c r="AD47" s="61"/>
      <c r="AE47" s="64"/>
      <c r="AF47" s="61"/>
      <c r="AG47" s="64"/>
      <c r="AH47" s="61"/>
      <c r="AI47" s="64"/>
      <c r="AJ47" s="61"/>
      <c r="AK47" s="64"/>
      <c r="AL47" s="61"/>
      <c r="AM47" s="64"/>
      <c r="AN47" s="61"/>
      <c r="AO47" s="64"/>
      <c r="AP47" s="80"/>
      <c r="AQ47" s="64"/>
      <c r="AR47" s="80"/>
      <c r="AS47" s="64"/>
      <c r="AT47" s="80"/>
      <c r="AU47" s="64"/>
      <c r="AV47" s="61"/>
      <c r="AW47" s="64"/>
      <c r="AX47" s="61"/>
      <c r="AY47" s="64"/>
      <c r="AZ47" s="61"/>
      <c r="BA47" s="64"/>
      <c r="BB47" s="61"/>
      <c r="BC47" s="64"/>
      <c r="BD47" s="61"/>
      <c r="BE47" s="64"/>
      <c r="BF47" s="61"/>
      <c r="BG47" s="64"/>
      <c r="BH47" s="61"/>
      <c r="BI47" s="64"/>
      <c r="BJ47" s="61"/>
      <c r="BK47" s="64"/>
      <c r="BL47" s="61"/>
      <c r="BM47" s="64"/>
      <c r="BN47" s="61"/>
      <c r="BO47" s="64"/>
      <c r="BP47" s="61"/>
      <c r="BQ47" s="64"/>
      <c r="BR47" s="61"/>
      <c r="BS47" s="64"/>
      <c r="BT47" s="61"/>
      <c r="BU47" s="64"/>
      <c r="BV47" s="61"/>
      <c r="BW47" s="79"/>
      <c r="BX47" s="61"/>
      <c r="BY47" s="79"/>
      <c r="BZ47" s="61"/>
      <c r="CA47" s="79"/>
      <c r="CB47" s="61"/>
      <c r="CC47" s="79"/>
      <c r="CD47" s="61"/>
      <c r="CE47" s="79"/>
      <c r="CF47" s="61"/>
      <c r="CG47" s="79"/>
      <c r="CH47" s="61"/>
      <c r="CI47" s="79"/>
      <c r="CJ47" s="61"/>
      <c r="CK47" s="79"/>
      <c r="CL47" s="61"/>
      <c r="CM47" s="79"/>
      <c r="CN47" s="61"/>
      <c r="CO47" s="79"/>
      <c r="CP47" s="61"/>
      <c r="CQ47" s="79"/>
      <c r="CR47" s="61"/>
      <c r="CS47" s="79"/>
      <c r="CT47" s="61"/>
      <c r="CU47" s="79"/>
      <c r="CV47" s="61"/>
      <c r="CW47" s="79"/>
      <c r="CX47" s="61"/>
      <c r="CY47" s="79"/>
      <c r="CZ47" s="61"/>
      <c r="DA47" s="79"/>
      <c r="DB47" s="61"/>
      <c r="DC47" s="79"/>
      <c r="DD47" s="61"/>
      <c r="DE47" s="79"/>
      <c r="DF47" s="61"/>
      <c r="DG47" s="79"/>
      <c r="DH47" s="61"/>
      <c r="DI47" s="79"/>
      <c r="DJ47" s="61"/>
      <c r="DK47" s="79"/>
      <c r="DL47" s="61"/>
      <c r="DM47" s="79"/>
      <c r="DN47" s="61"/>
      <c r="DO47" s="79"/>
      <c r="DP47" s="61"/>
      <c r="DQ47" s="79"/>
      <c r="DR47" s="61"/>
      <c r="DS47" s="79"/>
      <c r="DT47" s="61"/>
      <c r="DU47" s="79"/>
      <c r="DV47" s="61"/>
      <c r="DW47" s="79"/>
      <c r="DX47" s="79"/>
      <c r="DY47" s="79"/>
      <c r="DZ47" s="61"/>
      <c r="EA47" s="79"/>
      <c r="EB47" s="61"/>
      <c r="EC47" s="79"/>
      <c r="ED47" s="61"/>
      <c r="EE47" s="79"/>
      <c r="EF47" s="61"/>
      <c r="EG47" s="79"/>
      <c r="EH47" s="61"/>
      <c r="EI47" s="79"/>
      <c r="EJ47" s="61"/>
      <c r="EK47" s="79"/>
      <c r="EL47" s="61"/>
      <c r="EM47" s="79"/>
      <c r="EN47" s="61"/>
      <c r="EO47" s="79"/>
      <c r="EP47" s="61"/>
      <c r="EQ47" s="79"/>
      <c r="ER47" s="61"/>
      <c r="ES47" s="79"/>
      <c r="ET47" s="61"/>
      <c r="EU47" s="79"/>
      <c r="EV47" s="61"/>
      <c r="EW47" s="79"/>
      <c r="EX47" s="61"/>
      <c r="EY47" s="64"/>
      <c r="EZ47" s="558"/>
      <c r="FA47" s="64"/>
      <c r="FB47" s="66"/>
      <c r="FC47" s="66"/>
      <c r="FD47" s="66"/>
      <c r="FE47" s="67"/>
      <c r="FF47" s="66"/>
      <c r="FG47" s="67"/>
      <c r="FH47" s="66"/>
      <c r="FI47" s="67"/>
      <c r="FJ47" s="66"/>
      <c r="FK47" s="67"/>
      <c r="FL47" s="66"/>
      <c r="FM47" s="61"/>
      <c r="FN47" s="66"/>
      <c r="FO47" s="61"/>
      <c r="FP47" s="65"/>
      <c r="FQ47" s="61"/>
      <c r="FR47" s="65"/>
      <c r="FS47" s="61"/>
      <c r="FT47" s="65"/>
      <c r="FU47" s="61"/>
      <c r="FV47" s="65"/>
      <c r="FW47" s="61"/>
      <c r="FX47" s="65"/>
      <c r="FY47" s="61"/>
      <c r="FZ47" s="65"/>
      <c r="GA47" s="61"/>
      <c r="GB47" s="65"/>
      <c r="GC47" s="61"/>
      <c r="GD47" s="65"/>
      <c r="GE47" s="61"/>
      <c r="GF47" s="65"/>
      <c r="GG47" s="61"/>
      <c r="GH47" s="65"/>
      <c r="GI47" s="61"/>
      <c r="GJ47" s="65"/>
      <c r="GK47" s="61"/>
      <c r="GL47" s="65"/>
      <c r="GM47" s="61"/>
      <c r="GN47" s="65"/>
      <c r="GO47" s="61"/>
      <c r="GP47" s="65"/>
      <c r="GQ47" s="61"/>
      <c r="GR47" s="79"/>
      <c r="GS47" s="61"/>
      <c r="GT47" s="79"/>
      <c r="GU47" s="61"/>
      <c r="GV47" s="79"/>
      <c r="GW47" s="61"/>
      <c r="GX47" s="79"/>
      <c r="GY47" s="61"/>
      <c r="GZ47" s="61" t="str">
        <f>IF(ISERROR((GX47/GN47)^0.2),"",IF(OR((GX47/GN47)^0.2&lt;0.5,(GX47/GN47)^0.2&gt;2),"NM",((GX47/GN47)^0.2-1)*100))</f>
        <v/>
      </c>
      <c r="HA47" s="61"/>
      <c r="HB47" s="452"/>
      <c r="HC47"/>
      <c r="HD47"/>
      <c r="HE47"/>
      <c r="HF47"/>
      <c r="HG47"/>
      <c r="HH47"/>
    </row>
    <row r="48" spans="2:216" s="5" customFormat="1" ht="12.75" customHeight="1" x14ac:dyDescent="0.2">
      <c r="B48" s="119" t="s">
        <v>235</v>
      </c>
      <c r="C48" s="66"/>
      <c r="D48" s="67"/>
      <c r="E48" s="66"/>
      <c r="F48" s="66"/>
      <c r="G48" s="64"/>
      <c r="H48" s="66"/>
      <c r="I48" s="64"/>
      <c r="J48" s="66"/>
      <c r="K48" s="64"/>
      <c r="L48" s="61"/>
      <c r="M48" s="66"/>
      <c r="N48" s="61"/>
      <c r="O48" s="64"/>
      <c r="P48" s="61"/>
      <c r="Q48" s="64"/>
      <c r="R48" s="61"/>
      <c r="S48" s="64"/>
      <c r="T48" s="61"/>
      <c r="U48" s="64"/>
      <c r="V48" s="61"/>
      <c r="W48" s="64"/>
      <c r="X48" s="61"/>
      <c r="Y48" s="64"/>
      <c r="Z48" s="61"/>
      <c r="AA48" s="64"/>
      <c r="AB48" s="61"/>
      <c r="AC48" s="64"/>
      <c r="AD48" s="61"/>
      <c r="AE48" s="64"/>
      <c r="AF48" s="61"/>
      <c r="AG48" s="64"/>
      <c r="AH48" s="61"/>
      <c r="AI48" s="64"/>
      <c r="AJ48" s="61"/>
      <c r="AK48" s="64"/>
      <c r="AL48" s="61"/>
      <c r="AM48" s="64"/>
      <c r="AN48" s="61"/>
      <c r="AO48" s="64"/>
      <c r="AP48" s="61"/>
      <c r="AQ48" s="64"/>
      <c r="AR48" s="61"/>
      <c r="AS48" s="64"/>
      <c r="AT48" s="61"/>
      <c r="AU48" s="64"/>
      <c r="AV48" s="61"/>
      <c r="AW48" s="64"/>
      <c r="AX48" s="61"/>
      <c r="AY48" s="64"/>
      <c r="AZ48" s="61"/>
      <c r="BA48" s="64"/>
      <c r="BB48" s="61"/>
      <c r="BC48" s="64"/>
      <c r="BD48" s="61"/>
      <c r="BE48" s="64"/>
      <c r="BF48" s="61"/>
      <c r="BG48" s="64"/>
      <c r="BH48" s="61"/>
      <c r="BI48" s="64"/>
      <c r="BJ48" s="61"/>
      <c r="BK48" s="64"/>
      <c r="BL48" s="61"/>
      <c r="BM48" s="64"/>
      <c r="BN48" s="61"/>
      <c r="BO48" s="64"/>
      <c r="BP48" s="61"/>
      <c r="BQ48" s="64"/>
      <c r="BR48" s="61"/>
      <c r="BS48" s="64"/>
      <c r="BT48" s="61"/>
      <c r="BU48" s="64"/>
      <c r="BV48" s="61"/>
      <c r="BW48" s="64"/>
      <c r="BX48" s="61"/>
      <c r="BY48" s="64"/>
      <c r="BZ48" s="61"/>
      <c r="CA48" s="64"/>
      <c r="CB48" s="61"/>
      <c r="CC48" s="64"/>
      <c r="CD48" s="61"/>
      <c r="CE48" s="64"/>
      <c r="CF48" s="61"/>
      <c r="CG48" s="64"/>
      <c r="CH48" s="61"/>
      <c r="CI48" s="64"/>
      <c r="CJ48" s="61"/>
      <c r="CK48" s="64"/>
      <c r="CL48" s="61"/>
      <c r="CM48" s="64"/>
      <c r="CN48" s="61"/>
      <c r="CO48" s="64"/>
      <c r="CP48" s="61"/>
      <c r="CQ48" s="64"/>
      <c r="CR48" s="61"/>
      <c r="CS48" s="64"/>
      <c r="CT48" s="61"/>
      <c r="CU48" s="64"/>
      <c r="CV48" s="61"/>
      <c r="CW48" s="64"/>
      <c r="CX48" s="61"/>
      <c r="CY48" s="64"/>
      <c r="CZ48" s="61"/>
      <c r="DA48" s="64"/>
      <c r="DB48" s="61"/>
      <c r="DC48" s="64"/>
      <c r="DD48" s="61"/>
      <c r="DE48" s="64"/>
      <c r="DF48" s="61"/>
      <c r="DG48" s="64"/>
      <c r="DH48" s="61"/>
      <c r="DI48" s="64"/>
      <c r="DJ48" s="61"/>
      <c r="DK48" s="64"/>
      <c r="DL48" s="61"/>
      <c r="DM48" s="64"/>
      <c r="DN48" s="61"/>
      <c r="DO48" s="64"/>
      <c r="DP48" s="61"/>
      <c r="DQ48" s="64"/>
      <c r="DR48" s="61"/>
      <c r="DS48" s="64"/>
      <c r="DT48" s="61"/>
      <c r="DU48" s="64"/>
      <c r="DV48" s="61"/>
      <c r="DW48" s="64"/>
      <c r="DX48" s="64"/>
      <c r="DY48" s="64"/>
      <c r="DZ48" s="61"/>
      <c r="EA48" s="64"/>
      <c r="EB48" s="61"/>
      <c r="EC48" s="64"/>
      <c r="ED48" s="61"/>
      <c r="EE48" s="64"/>
      <c r="EF48" s="61"/>
      <c r="EG48" s="64"/>
      <c r="EH48" s="61"/>
      <c r="EI48" s="64"/>
      <c r="EJ48" s="61"/>
      <c r="EK48" s="64"/>
      <c r="EL48" s="61"/>
      <c r="EM48" s="64"/>
      <c r="EN48" s="61"/>
      <c r="EO48" s="64"/>
      <c r="EP48" s="61"/>
      <c r="EQ48" s="64"/>
      <c r="ER48" s="61"/>
      <c r="ES48" s="64"/>
      <c r="ET48" s="61"/>
      <c r="EU48" s="64"/>
      <c r="EV48" s="61"/>
      <c r="EW48" s="64"/>
      <c r="EX48" s="61"/>
      <c r="EY48" s="64"/>
      <c r="EZ48" s="558"/>
      <c r="FA48" s="64"/>
      <c r="FB48" s="66"/>
      <c r="FC48" s="66"/>
      <c r="FD48" s="66"/>
      <c r="FE48" s="67"/>
      <c r="FF48" s="66"/>
      <c r="FG48" s="67"/>
      <c r="FH48" s="66"/>
      <c r="FI48" s="67"/>
      <c r="FJ48" s="66"/>
      <c r="FK48" s="67"/>
      <c r="FL48" s="66"/>
      <c r="FM48" s="61"/>
      <c r="FN48" s="66"/>
      <c r="FO48" s="61"/>
      <c r="FP48" s="65"/>
      <c r="FQ48" s="61"/>
      <c r="FR48" s="65"/>
      <c r="FS48" s="61"/>
      <c r="FT48" s="65"/>
      <c r="FU48" s="61"/>
      <c r="FV48" s="65"/>
      <c r="FW48" s="61"/>
      <c r="FX48" s="65"/>
      <c r="FY48" s="61"/>
      <c r="FZ48" s="65"/>
      <c r="GA48" s="61"/>
      <c r="GB48" s="65"/>
      <c r="GC48" s="61"/>
      <c r="GD48" s="65"/>
      <c r="GE48" s="61"/>
      <c r="GF48" s="65"/>
      <c r="GG48" s="61"/>
      <c r="GH48" s="65"/>
      <c r="GI48" s="61"/>
      <c r="GJ48" s="65"/>
      <c r="GK48" s="61"/>
      <c r="GL48" s="65"/>
      <c r="GM48" s="61"/>
      <c r="GN48" s="65"/>
      <c r="GO48" s="61"/>
      <c r="GP48" s="65"/>
      <c r="GQ48" s="61"/>
      <c r="GR48" s="64"/>
      <c r="GS48" s="61"/>
      <c r="GT48" s="64"/>
      <c r="GU48" s="61"/>
      <c r="GV48" s="64"/>
      <c r="GW48" s="61"/>
      <c r="GX48" s="64"/>
      <c r="GY48" s="61"/>
      <c r="GZ48" s="61"/>
      <c r="HA48" s="61"/>
      <c r="HB48" s="452"/>
      <c r="HC48"/>
      <c r="HD48"/>
      <c r="HE48"/>
      <c r="HF48"/>
      <c r="HG48"/>
      <c r="HH48"/>
    </row>
    <row r="49" spans="2:216" s="5" customFormat="1" ht="12.75" customHeight="1" x14ac:dyDescent="0.2">
      <c r="B49" s="241" t="s">
        <v>236</v>
      </c>
      <c r="C49" s="66"/>
      <c r="D49" s="67"/>
      <c r="E49" s="66"/>
      <c r="F49" s="66"/>
      <c r="G49" s="64"/>
      <c r="H49" s="66"/>
      <c r="I49" s="64"/>
      <c r="J49" s="66"/>
      <c r="K49" s="64"/>
      <c r="L49" s="61"/>
      <c r="M49" s="66"/>
      <c r="N49" s="61"/>
      <c r="O49" s="64"/>
      <c r="P49" s="61"/>
      <c r="Q49" s="64"/>
      <c r="R49" s="61"/>
      <c r="S49" s="64"/>
      <c r="T49" s="61"/>
      <c r="U49" s="64"/>
      <c r="V49" s="61"/>
      <c r="W49" s="64"/>
      <c r="X49" s="61"/>
      <c r="Y49" s="64"/>
      <c r="Z49" s="61"/>
      <c r="AA49" s="64"/>
      <c r="AB49" s="61"/>
      <c r="AC49" s="64"/>
      <c r="AD49" s="61"/>
      <c r="AE49" s="64"/>
      <c r="AF49" s="61"/>
      <c r="AG49" s="64"/>
      <c r="AH49" s="61"/>
      <c r="AI49" s="64"/>
      <c r="AJ49" s="61"/>
      <c r="AK49" s="64"/>
      <c r="AL49" s="61"/>
      <c r="AM49" s="64"/>
      <c r="AN49" s="61"/>
      <c r="AO49" s="64"/>
      <c r="AP49" s="61"/>
      <c r="AQ49" s="64"/>
      <c r="AR49" s="61"/>
      <c r="AS49" s="64"/>
      <c r="AT49" s="61"/>
      <c r="AU49" s="64"/>
      <c r="AV49" s="61"/>
      <c r="AW49" s="64"/>
      <c r="AX49" s="61"/>
      <c r="AY49" s="64"/>
      <c r="AZ49" s="61"/>
      <c r="BA49" s="64"/>
      <c r="BB49" s="61"/>
      <c r="BC49" s="64"/>
      <c r="BD49" s="61"/>
      <c r="BE49" s="64"/>
      <c r="BF49" s="61"/>
      <c r="BG49" s="64">
        <f>11221+3711</f>
        <v>14932</v>
      </c>
      <c r="BH49" s="61" t="str">
        <f>IF(ISERROR((BG49/AY49-1)*100),"NA",IF(((BG49/AY49-1)*100)&gt;100,"NM",IF(((BG49/AY49-1)*100)&lt;-50,"NM",(BG49/AY49-1)*100)))</f>
        <v>NA</v>
      </c>
      <c r="BI49" s="65">
        <f>BG55</f>
        <v>14662</v>
      </c>
      <c r="BJ49" s="61" t="str">
        <f>IF(ISERROR((BI49/BA49-1)*100),"NA",IF(((BI49/BA49-1)*100)&gt;100,"NM",IF(((BI49/BA49-1)*100)&lt;-50,"NM",(BI49/BA49-1)*100)))</f>
        <v>NA</v>
      </c>
      <c r="BK49" s="65">
        <f>BI55</f>
        <v>14410</v>
      </c>
      <c r="BL49" s="61" t="str">
        <f>IF(ISERROR((BK49/BC49-1)*100),"NA",IF(((BK49/BC49-1)*100)&gt;100,"NM",IF(((BK49/BC49-1)*100)&lt;-50,"NM",(BK49/BC49-1)*100)))</f>
        <v>NA</v>
      </c>
      <c r="BM49" s="65">
        <f>BK55</f>
        <v>14343</v>
      </c>
      <c r="BN49" s="61" t="str">
        <f>IF(ISERROR((BM49/BE49-1)*100),"NA",IF(((BM49/BE49-1)*100)&gt;100,"NM",IF(((BM49/BE49-1)*100)&lt;-50,"NM",(BM49/BE49-1)*100)))</f>
        <v>NA</v>
      </c>
      <c r="BO49" s="65">
        <f>BM55</f>
        <v>14352</v>
      </c>
      <c r="BP49" s="61">
        <f>IF(ISERROR((BO49/BG49-1)*100),"NA",IF(((BO49/BG49-1)*100)&gt;100,"NM",IF(((BO49/BG49-1)*100)&lt;-50,"NM",(BO49/BG49-1)*100)))</f>
        <v>-3.8842753817305065</v>
      </c>
      <c r="BQ49" s="65">
        <f>BO55</f>
        <v>14232</v>
      </c>
      <c r="BR49" s="61">
        <f>IF(ISERROR((BQ49/BI49-1)*100),"NA",IF(((BQ49/BI49-1)*100)&gt;100,"NM",IF(((BQ49/BI49-1)*100)&lt;-50,"NM",(BQ49/BI49-1)*100)))</f>
        <v>-2.9327513299686303</v>
      </c>
      <c r="BS49" s="65">
        <f>BQ55</f>
        <v>14321</v>
      </c>
      <c r="BT49" s="61">
        <f>IF(ISERROR((BS49/BK49-1)*100),"NA",IF(((BS49/BK49-1)*100)&gt;100,"NM",IF(((BS49/BK49-1)*100)&lt;-50,"NM",(BS49/BK49-1)*100)))</f>
        <v>-0.61762664816099599</v>
      </c>
      <c r="BU49" s="65">
        <f>BS55</f>
        <v>14141</v>
      </c>
      <c r="BV49" s="61">
        <f>IF(ISERROR((BU49/BM49-1)*100),"NA",IF(((BU49/BM49-1)*100)&gt;100,"NM",IF(((BU49/BM49-1)*100)&lt;-50,"NM",(BU49/BM49-1)*100)))</f>
        <v>-1.4083525064491398</v>
      </c>
      <c r="BW49" s="65">
        <f>BU55</f>
        <v>14038</v>
      </c>
      <c r="BX49" s="61">
        <f>IF(ISERROR((BW49/BO49-1)*100),"NA",IF(((BW49/BO49-1)*100)&gt;100,"NM",IF(((BW49/BO49-1)*100)&lt;-50,"NM",(BW49/BO49-1)*100)))</f>
        <v>-2.1878483835005569</v>
      </c>
      <c r="BY49" s="65">
        <f>BW55</f>
        <v>14154</v>
      </c>
      <c r="BZ49" s="61">
        <f>IF(ISERROR((BY49/BQ49-1)*100),"NA",IF(((BY49/BQ49-1)*100)&gt;100,"NM",IF(((BY49/BQ49-1)*100)&lt;-50,"NM",(BY49/BQ49-1)*100)))</f>
        <v>-0.54806070826306508</v>
      </c>
      <c r="CA49" s="65">
        <f>BY55</f>
        <v>14697</v>
      </c>
      <c r="CB49" s="61">
        <f>IF(ISERROR((CA49/BS49-1)*100),"NA",IF(((CA49/BS49-1)*100)&gt;100,"NM",IF(((CA49/BS49-1)*100)&lt;-50,"NM",(CA49/BS49-1)*100)))</f>
        <v>2.6255149780043396</v>
      </c>
      <c r="CC49" s="65">
        <f>CA55</f>
        <v>15776</v>
      </c>
      <c r="CD49" s="61">
        <f>IF(ISERROR((CC49/BU49-1)*100),"NA",IF(((CC49/BU49-1)*100)&gt;100,"NM",IF(((CC49/BU49-1)*100)&lt;-50,"NM",(CC49/BU49-1)*100)))</f>
        <v>11.56212431935506</v>
      </c>
      <c r="CE49" s="65">
        <f>CC55</f>
        <v>15941</v>
      </c>
      <c r="CF49" s="61">
        <f t="shared" ref="CF49:DJ50" si="265">IF(ISERROR((CE49/BW49-1)*100),"NA",IF(((CE49/BW49-1)*100)&gt;100,"NM",IF(((CE49/BW49-1)*100)&lt;-50,"NM",(CE49/BW49-1)*100)))</f>
        <v>13.55606211711069</v>
      </c>
      <c r="CG49" s="65">
        <f>CE55</f>
        <v>16146</v>
      </c>
      <c r="CH49" s="61">
        <f t="shared" si="265"/>
        <v>14.073760067825347</v>
      </c>
      <c r="CI49" s="65">
        <f>CG55</f>
        <v>16501</v>
      </c>
      <c r="CJ49" s="61">
        <f t="shared" si="265"/>
        <v>12.27461386677553</v>
      </c>
      <c r="CK49" s="65">
        <f>CI55</f>
        <v>17304</v>
      </c>
      <c r="CL49" s="61">
        <f t="shared" si="265"/>
        <v>9.6855983772819556</v>
      </c>
      <c r="CM49" s="65">
        <f>CK55</f>
        <v>17420</v>
      </c>
      <c r="CN49" s="61">
        <f t="shared" si="265"/>
        <v>9.2779624866695887</v>
      </c>
      <c r="CO49" s="65">
        <f>CM55</f>
        <v>17643</v>
      </c>
      <c r="CP49" s="61">
        <f t="shared" si="265"/>
        <v>9.2716462281679632</v>
      </c>
      <c r="CQ49" s="65">
        <f>CO55</f>
        <v>17938</v>
      </c>
      <c r="CR49" s="61">
        <f t="shared" si="265"/>
        <v>8.7085631173868361</v>
      </c>
      <c r="CS49" s="65">
        <f>CQ55</f>
        <v>18009</v>
      </c>
      <c r="CT49" s="61">
        <f t="shared" si="265"/>
        <v>4.0742024965325863</v>
      </c>
      <c r="CU49" s="65">
        <f>CS55</f>
        <v>18106</v>
      </c>
      <c r="CV49" s="61">
        <f t="shared" si="265"/>
        <v>3.9380022962112404</v>
      </c>
      <c r="CW49" s="65">
        <f>CU55</f>
        <v>18186</v>
      </c>
      <c r="CX49" s="61">
        <f t="shared" si="265"/>
        <v>3.0777078728107421</v>
      </c>
      <c r="CY49" s="65">
        <f>CW55</f>
        <v>18273</v>
      </c>
      <c r="CZ49" s="61">
        <f t="shared" si="265"/>
        <v>1.8675437618463686</v>
      </c>
      <c r="DA49" s="65">
        <f>CY55</f>
        <v>18347</v>
      </c>
      <c r="DB49" s="61">
        <f t="shared" si="265"/>
        <v>1.8768393580987253</v>
      </c>
      <c r="DC49" s="65">
        <f>DA55</f>
        <v>18438</v>
      </c>
      <c r="DD49" s="61">
        <f t="shared" si="265"/>
        <v>1.8336463050922402</v>
      </c>
      <c r="DE49" s="65">
        <f>DC55</f>
        <v>18539</v>
      </c>
      <c r="DF49" s="61">
        <f t="shared" si="265"/>
        <v>1.9410535576817267</v>
      </c>
      <c r="DG49" s="65">
        <f>DE55</f>
        <v>18494</v>
      </c>
      <c r="DH49" s="61">
        <f t="shared" si="265"/>
        <v>1.2094346850544557</v>
      </c>
      <c r="DI49" s="65">
        <f>DG55</f>
        <v>18457</v>
      </c>
      <c r="DJ49" s="61">
        <f t="shared" si="265"/>
        <v>0.59955306044585654</v>
      </c>
      <c r="DK49" s="65">
        <f>DI55</f>
        <v>18552</v>
      </c>
      <c r="DL49" s="61">
        <f>IF(ISERROR((DK49/DC49-1)*100),"NA",IF(((DK49/DC49-1)*100)&gt;100,"NM",IF(((DK49/DC49-1)*100)&lt;-50,"NM",(DK49/DC49-1)*100)))</f>
        <v>0.61828831760495362</v>
      </c>
      <c r="DM49" s="65">
        <f>DK55</f>
        <v>18730</v>
      </c>
      <c r="DN49" s="130">
        <f t="shared" ref="DN49:DZ58" si="266">IF(ISERROR((DM49/DE49-1)*100),"NA",IF(((DM49/DE49-1)*100)&gt;100,"NM",IF(((DM49/DE49-1)*100)&lt;-50,"NM",(DM49/DE49-1)*100)))</f>
        <v>1.0302605318517788</v>
      </c>
      <c r="DO49" s="65">
        <f>DM55</f>
        <v>18875</v>
      </c>
      <c r="DP49" s="130">
        <f t="shared" si="266"/>
        <v>2.0601276089542653</v>
      </c>
      <c r="DQ49" s="65">
        <f>DO55</f>
        <v>18746</v>
      </c>
      <c r="DR49" s="130">
        <f t="shared" si="266"/>
        <v>1.5658015928915914</v>
      </c>
      <c r="DS49" s="65">
        <f>DQ55</f>
        <v>18661</v>
      </c>
      <c r="DT49" s="130">
        <f t="shared" si="266"/>
        <v>0.58753773178092938</v>
      </c>
      <c r="DU49" s="65">
        <f>DS55</f>
        <v>18651</v>
      </c>
      <c r="DV49" s="130">
        <f t="shared" si="266"/>
        <v>-0.42178323545114527</v>
      </c>
      <c r="DW49" s="65">
        <f>DU55</f>
        <v>18597</v>
      </c>
      <c r="DX49" s="65">
        <f t="shared" ref="DX49:EI49" si="267">DV55</f>
        <v>-1.4728476821192049</v>
      </c>
      <c r="DY49" s="65">
        <f t="shared" si="267"/>
        <v>18672</v>
      </c>
      <c r="DZ49" s="130">
        <f t="shared" si="266"/>
        <v>-0.39475088018777749</v>
      </c>
      <c r="EA49" s="65">
        <f t="shared" si="267"/>
        <v>19082</v>
      </c>
      <c r="EB49" s="130">
        <f t="shared" ref="EB49:EB58" si="268">IF(ISERROR((EA49/DS49-1)*100),"NA",IF(((EA49/DS49-1)*100)&gt;100,"NM",IF(((EA49/DS49-1)*100)&lt;-50,"NM",(EA49/DS49-1)*100)))</f>
        <v>2.2560420127538672</v>
      </c>
      <c r="EC49" s="65">
        <f t="shared" si="267"/>
        <v>19448</v>
      </c>
      <c r="ED49" s="130">
        <f t="shared" ref="ED49:ED58" si="269">IF(ISERROR((EC49/DU49-1)*100),"NA",IF(((EC49/DU49-1)*100)&gt;100,"NM",IF(((EC49/DU49-1)*100)&lt;-50,"NM",(EC49/DU49-1)*100)))</f>
        <v>4.2732293174628788</v>
      </c>
      <c r="EE49" s="65">
        <f t="shared" si="267"/>
        <v>19598</v>
      </c>
      <c r="EF49" s="130">
        <f t="shared" ref="EF49:EF58" si="270">IF(ISERROR((EE49/DW49-1)*100),"NA",IF(((EE49/DW49-1)*100)&gt;100,"NM",IF(((EE49/DW49-1)*100)&lt;-50,"NM",(EE49/DW49-1)*100)))</f>
        <v>5.3825885895574466</v>
      </c>
      <c r="EG49" s="65">
        <f t="shared" si="267"/>
        <v>19634</v>
      </c>
      <c r="EH49" s="130">
        <f t="shared" ref="EH49:EH58" si="271">IF(ISERROR((EG49/DY49-1)*100),"NA",IF(((EG49/DY49-1)*100)&gt;100,"NM",IF(((EG49/DY49-1)*100)&lt;-50,"NM",(EG49/DY49-1)*100)))</f>
        <v>5.1520994001713838</v>
      </c>
      <c r="EI49" s="65">
        <f t="shared" si="267"/>
        <v>19723</v>
      </c>
      <c r="EJ49" s="130">
        <f t="shared" ref="EJ49:EJ58" si="272">IF(ISERROR((EI49/EA49-1)*100),"NA",IF(((EI49/EA49-1)*100)&gt;100,"NM",IF(((EI49/EA49-1)*100)&lt;-50,"NM",(EI49/EA49-1)*100)))</f>
        <v>3.3591866680641402</v>
      </c>
      <c r="EK49" s="65">
        <f t="shared" ref="EK49:EM49" si="273">EI55</f>
        <v>20027</v>
      </c>
      <c r="EL49" s="130">
        <f t="shared" ref="EL49:EL58" si="274">IF(ISERROR((EK49/EC49-1)*100),"NA",IF(((EK49/EC49-1)*100)&gt;100,"NM",IF(((EK49/EC49-1)*100)&lt;-50,"NM",(EK49/EC49-1)*100)))</f>
        <v>2.9771698889345943</v>
      </c>
      <c r="EM49" s="65">
        <f t="shared" si="273"/>
        <v>20021</v>
      </c>
      <c r="EN49" s="130">
        <f t="shared" ref="EN49:EN58" si="275">IF(ISERROR((EM49/EE49-1)*100),"NA",IF(((EM49/EE49-1)*100)&gt;100,"NM",IF(((EM49/EE49-1)*100)&lt;-50,"NM",(EM49/EE49-1)*100)))</f>
        <v>2.1583835085212666</v>
      </c>
      <c r="EO49" s="65">
        <f t="shared" ref="EO49" si="276">EM55</f>
        <v>20014</v>
      </c>
      <c r="EP49" s="130">
        <f t="shared" ref="EP49:EP58" si="277">IF(ISERROR((EO49/EG49-1)*100),"NA",IF(((EO49/EG49-1)*100)&gt;100,"NM",IF(((EO49/EG49-1)*100)&lt;-50,"NM",(EO49/EG49-1)*100)))</f>
        <v>1.9354181521849867</v>
      </c>
      <c r="EQ49" s="65">
        <f t="shared" ref="EQ49" si="278">EO55</f>
        <v>20305</v>
      </c>
      <c r="ER49" s="130">
        <f t="shared" ref="ER49:ER58" si="279">IF(ISERROR((EQ49/EI49-1)*100),"NA",IF(((EQ49/EI49-1)*100)&gt;100,"NM",IF(((EQ49/EI49-1)*100)&lt;-50,"NM",(EQ49/EI49-1)*100)))</f>
        <v>2.9508695431729404</v>
      </c>
      <c r="ES49" s="65">
        <f t="shared" ref="ES49" si="280">EQ55</f>
        <v>20614.103294568802</v>
      </c>
      <c r="ET49" s="130">
        <f t="shared" ref="ET49:ET58" si="281">IF(ISERROR((ES49/EK49-1)*100),"NA",IF(((ES49/EK49-1)*100)&gt;100,"NM",IF(((ES49/EK49-1)*100)&lt;-50,"NM",(ES49/EK49-1)*100)))</f>
        <v>2.9315588683717086</v>
      </c>
      <c r="EU49" s="65">
        <f t="shared" ref="EU49" si="282">ES55</f>
        <v>20968.98666786966</v>
      </c>
      <c r="EV49" s="130">
        <f t="shared" ref="EV49:EV58" si="283">IF(ISERROR((EU49/EM49-1)*100),"NA",IF(((EU49/EM49-1)*100)&gt;100,"NM",IF(((EU49/EM49-1)*100)&lt;-50,"NM",(EU49/EM49-1)*100)))</f>
        <v>4.7349616296371799</v>
      </c>
      <c r="EW49" s="65">
        <f t="shared" ref="EW49" si="284">EU55</f>
        <v>21369.877017801045</v>
      </c>
      <c r="EX49" s="130">
        <f t="shared" ref="EX49:EX58" si="285">IF(ISERROR((EW49/EO49-1)*100),"NA",IF(((EW49/EO49-1)*100)&gt;100,"NM",IF(((EW49/EO49-1)*100)&lt;-50,"NM",(EW49/EO49-1)*100)))</f>
        <v>6.7746428390179192</v>
      </c>
      <c r="EY49" s="64"/>
      <c r="EZ49" s="558"/>
      <c r="FA49" s="64"/>
      <c r="FB49" s="66"/>
      <c r="FC49" s="66"/>
      <c r="FD49" s="66"/>
      <c r="FE49" s="67"/>
      <c r="FF49" s="66"/>
      <c r="FG49" s="67"/>
      <c r="FH49" s="66"/>
      <c r="FI49" s="67"/>
      <c r="FJ49" s="66"/>
      <c r="FK49" s="67"/>
      <c r="FL49" s="66"/>
      <c r="FM49" s="61"/>
      <c r="FN49" s="66"/>
      <c r="FO49" s="61"/>
      <c r="FP49" s="65"/>
      <c r="FQ49" s="61"/>
      <c r="FR49" s="65"/>
      <c r="FS49" s="61"/>
      <c r="FT49" s="65">
        <f>BG49</f>
        <v>14932</v>
      </c>
      <c r="FU49" s="61" t="str">
        <f>IF(ISERROR((FT49/FR49-1)*100),"NA",IF(((FT49/FR49-1)*100)&gt;100,"NM",IF(((FT49/FR49-1)*100)&lt;-50,"NM",(FT49/FR49-1)*100)))</f>
        <v>NA</v>
      </c>
      <c r="FV49" s="65">
        <f>FT55</f>
        <v>14352</v>
      </c>
      <c r="FW49" s="61">
        <f>IF(ISERROR((FV49/FT49-1)*100),"NA",IF(((FV49/FT49-1)*100)&gt;100,"NM",IF(((FV49/FT49-1)*100)&lt;-50,"NM",(FV49/FT49-1)*100)))</f>
        <v>-3.8842753817305065</v>
      </c>
      <c r="FX49" s="65">
        <f>FV55</f>
        <v>14038</v>
      </c>
      <c r="FY49" s="61">
        <f>IF(ISERROR((FX49/FV49-1)*100),"NA",IF(((FX49/FV49-1)*100)&gt;100,"NM",IF(((FX49/FV49-1)*100)&lt;-50,"NM",(FX49/FV49-1)*100)))</f>
        <v>-2.1878483835005569</v>
      </c>
      <c r="FZ49" s="65">
        <f>FX55</f>
        <v>15941</v>
      </c>
      <c r="GA49" s="61">
        <f>IF(ISERROR((FZ49/FX49-1)*100),"NA",IF(((FZ49/FX49-1)*100)&gt;100,"NM",IF(((FZ49/FX49-1)*100)&lt;-50,"NM",(FZ49/FX49-1)*100)))</f>
        <v>13.55606211711069</v>
      </c>
      <c r="GB49" s="65">
        <f>FZ55</f>
        <v>17420</v>
      </c>
      <c r="GC49" s="61">
        <f>IF(ISERROR((GB49/FZ49-1)*100),"NA",IF(((GB49/FZ49-1)*100)&gt;100,"NM",IF(((GB49/FZ49-1)*100)&lt;-50,"NM",(GB49/FZ49-1)*100)))</f>
        <v>9.2779624866695887</v>
      </c>
      <c r="GD49" s="65">
        <f>GB55</f>
        <v>18106</v>
      </c>
      <c r="GE49" s="61">
        <f>IF(ISERROR((GD49/GB49-1)*100),"NA",IF(((GD49/GB49-1)*100)&gt;100,"NM",IF(((GD49/GB49-1)*100)&lt;-50,"NM",(GD49/GB49-1)*100)))</f>
        <v>3.9380022962112404</v>
      </c>
      <c r="GF49" s="65">
        <f>GD55</f>
        <v>18438</v>
      </c>
      <c r="GG49" s="61">
        <f t="shared" ref="GG49:GW58" si="286">IF(ISERROR((GF49/GD49-1)*100),"NA",IF(((GF49/GD49-1)*100)&gt;100,"NM",IF(((GF49/GD49-1)*100)&lt;-50,"NM",(GF49/GD49-1)*100)))</f>
        <v>1.8336463050922402</v>
      </c>
      <c r="GH49" s="65">
        <f>GF55</f>
        <v>18552</v>
      </c>
      <c r="GI49" s="61">
        <f t="shared" si="286"/>
        <v>0.61828831760495362</v>
      </c>
      <c r="GJ49" s="65">
        <f>GH55</f>
        <v>18661</v>
      </c>
      <c r="GK49" s="61">
        <f t="shared" si="286"/>
        <v>0.58753773178092938</v>
      </c>
      <c r="GL49" s="65">
        <f>GJ55</f>
        <v>19082</v>
      </c>
      <c r="GM49" s="61">
        <f t="shared" si="286"/>
        <v>2.2560420127538672</v>
      </c>
      <c r="GN49" s="65">
        <f>GL55</f>
        <v>19723</v>
      </c>
      <c r="GO49" s="61">
        <f t="shared" si="286"/>
        <v>3.3591866680641402</v>
      </c>
      <c r="GP49" s="65">
        <f>GN55</f>
        <v>20305</v>
      </c>
      <c r="GQ49" s="61">
        <f t="shared" si="286"/>
        <v>2.9508695431729404</v>
      </c>
      <c r="GR49" s="65">
        <f>GP55</f>
        <v>21817.997410567663</v>
      </c>
      <c r="GS49" s="61">
        <f t="shared" si="286"/>
        <v>7.4513539057752487</v>
      </c>
      <c r="GT49" s="65">
        <f>GR55</f>
        <v>23406.254634498644</v>
      </c>
      <c r="GU49" s="61">
        <f t="shared" si="286"/>
        <v>7.2795738034220348</v>
      </c>
      <c r="GV49" s="65">
        <f>GT55</f>
        <v>24952.577303105987</v>
      </c>
      <c r="GW49" s="61">
        <f t="shared" si="286"/>
        <v>6.6064506806151169</v>
      </c>
      <c r="GX49" s="65">
        <f>GV55</f>
        <v>26460.81780319348</v>
      </c>
      <c r="GY49" s="61">
        <f t="shared" ref="GY49:GY58" si="287">IF(ISERROR((GX49/GV49-1)*100),"NA",IF(((GX49/GV49-1)*100)&gt;100,"NM",IF(((GX49/GV49-1)*100)&lt;-50,"NM",(GX49/GV49-1)*100)))</f>
        <v>6.0444277229020127</v>
      </c>
      <c r="GZ49" s="61">
        <f t="shared" ref="GZ49:GZ58" si="288">IF(ISERROR((GX49/GN49)^0.2),"",IF(OR((GX49/GN49)^0.2&lt;0.5,(GX49/GN49)^0.2&gt;2),"NM",((GX49/GN49)^0.2-1)*100))</f>
        <v>6.0537568416600074</v>
      </c>
      <c r="HA49" s="61"/>
      <c r="HB49" s="452"/>
      <c r="HC49"/>
      <c r="HD49"/>
      <c r="HE49"/>
      <c r="HF49"/>
      <c r="HG49"/>
      <c r="HH49"/>
    </row>
    <row r="50" spans="2:216" s="5" customFormat="1" ht="12.75" customHeight="1" x14ac:dyDescent="0.2">
      <c r="B50" s="123" t="s">
        <v>156</v>
      </c>
      <c r="C50" s="66"/>
      <c r="D50" s="67"/>
      <c r="E50" s="66"/>
      <c r="F50" s="66"/>
      <c r="G50" s="64"/>
      <c r="H50" s="66"/>
      <c r="I50" s="64"/>
      <c r="J50" s="66"/>
      <c r="K50" s="64"/>
      <c r="L50" s="61"/>
      <c r="M50" s="66"/>
      <c r="N50" s="61"/>
      <c r="O50" s="64"/>
      <c r="P50" s="61"/>
      <c r="Q50" s="64"/>
      <c r="R50" s="61"/>
      <c r="S50" s="64"/>
      <c r="T50" s="61"/>
      <c r="U50" s="64"/>
      <c r="V50" s="61"/>
      <c r="W50" s="64"/>
      <c r="X50" s="61"/>
      <c r="Y50" s="64"/>
      <c r="Z50" s="61"/>
      <c r="AA50" s="64"/>
      <c r="AB50" s="61"/>
      <c r="AC50" s="64"/>
      <c r="AD50" s="61"/>
      <c r="AE50" s="64"/>
      <c r="AF50" s="61"/>
      <c r="AG50" s="64"/>
      <c r="AH50" s="61"/>
      <c r="AI50" s="64"/>
      <c r="AJ50" s="61"/>
      <c r="AK50" s="64"/>
      <c r="AL50" s="61"/>
      <c r="AM50" s="64"/>
      <c r="AN50" s="61"/>
      <c r="AO50" s="64"/>
      <c r="AP50" s="61"/>
      <c r="AQ50" s="64"/>
      <c r="AR50" s="61"/>
      <c r="AS50" s="64"/>
      <c r="AT50" s="61"/>
      <c r="AU50" s="64"/>
      <c r="AV50" s="61"/>
      <c r="AW50" s="64"/>
      <c r="AX50" s="61"/>
      <c r="AY50" s="64"/>
      <c r="AZ50" s="61"/>
      <c r="BA50" s="64"/>
      <c r="BB50" s="61"/>
      <c r="BC50" s="64"/>
      <c r="BD50" s="61"/>
      <c r="BE50" s="64"/>
      <c r="BF50" s="61"/>
      <c r="BG50" s="74">
        <f>126+160</f>
        <v>286</v>
      </c>
      <c r="BH50" s="61" t="str">
        <f>IF(ISERROR((BG50/AY50-1)*100),"NA",IF(((BG50/AY50-1)*100)&gt;100,"NM",IF(((BG50/AY50-1)*100)&lt;-50,"NM",(BG50/AY50-1)*100)))</f>
        <v>NA</v>
      </c>
      <c r="BI50" s="74">
        <f>129+191</f>
        <v>320</v>
      </c>
      <c r="BJ50" s="61" t="str">
        <f>IF(ISERROR((BI50/BA50-1)*100),"NA",IF(((BI50/BA50-1)*100)&gt;100,"NM",IF(((BI50/BA50-1)*100)&lt;-50,"NM",(BI50/BA50-1)*100)))</f>
        <v>NA</v>
      </c>
      <c r="BK50" s="74">
        <f>286+199</f>
        <v>485</v>
      </c>
      <c r="BL50" s="61" t="str">
        <f>IF(ISERROR((BK50/BC50-1)*100),"NA",IF(((BK50/BC50-1)*100)&gt;100,"NM",IF(((BK50/BC50-1)*100)&lt;-50,"NM",(BK50/BC50-1)*100)))</f>
        <v>NA</v>
      </c>
      <c r="BM50" s="74">
        <f>231+204</f>
        <v>435</v>
      </c>
      <c r="BN50" s="61" t="str">
        <f>IF(ISERROR((BM50/BE50-1)*100),"NA",IF(((BM50/BE50-1)*100)&gt;100,"NM",IF(((BM50/BE50-1)*100)&lt;-50,"NM",(BM50/BE50-1)*100)))</f>
        <v>NA</v>
      </c>
      <c r="BO50" s="74">
        <f>86+218</f>
        <v>304</v>
      </c>
      <c r="BP50" s="61">
        <f>IF(ISERROR((BO50/BG50-1)*100),"NA",IF(((BO50/BG50-1)*100)&gt;100,"NM",IF(((BO50/BG50-1)*100)&lt;-50,"NM",(BO50/BG50-1)*100)))</f>
        <v>6.2937062937062915</v>
      </c>
      <c r="BQ50" s="74">
        <f>137+356</f>
        <v>493</v>
      </c>
      <c r="BR50" s="61">
        <f>IF(ISERROR((BQ50/BI50-1)*100),"NA",IF(((BQ50/BI50-1)*100)&gt;100,"NM",IF(((BQ50/BI50-1)*100)&lt;-50,"NM",(BQ50/BI50-1)*100)))</f>
        <v>54.062499999999993</v>
      </c>
      <c r="BS50" s="74">
        <f>164+215</f>
        <v>379</v>
      </c>
      <c r="BT50" s="61">
        <f>IF(ISERROR((BS50/BK50-1)*100),"NA",IF(((BS50/BK50-1)*100)&gt;100,"NM",IF(((BS50/BK50-1)*100)&lt;-50,"NM",(BS50/BK50-1)*100)))</f>
        <v>-21.855670103092784</v>
      </c>
      <c r="BU50" s="74">
        <f>142+289</f>
        <v>431</v>
      </c>
      <c r="BV50" s="61">
        <f>IF(ISERROR((BU50/BM50-1)*100),"NA",IF(((BU50/BM50-1)*100)&gt;100,"NM",IF(((BU50/BM50-1)*100)&lt;-50,"NM",(BU50/BM50-1)*100)))</f>
        <v>-0.91954022988506301</v>
      </c>
      <c r="BW50" s="74">
        <f>235+367</f>
        <v>602</v>
      </c>
      <c r="BX50" s="61">
        <f>IF(ISERROR((BW50/BO50-1)*100),"NA",IF(((BW50/BO50-1)*100)&gt;100,"NM",IF(((BW50/BO50-1)*100)&lt;-50,"NM",(BW50/BO50-1)*100)))</f>
        <v>98.026315789473699</v>
      </c>
      <c r="BY50" s="74">
        <f>248+651</f>
        <v>899</v>
      </c>
      <c r="BZ50" s="61">
        <f>IF(ISERROR((BY50/BQ50-1)*100),"NA",IF(((BY50/BQ50-1)*100)&gt;100,"NM",IF(((BY50/BQ50-1)*100)&lt;-50,"NM",(BY50/BQ50-1)*100)))</f>
        <v>82.35294117647058</v>
      </c>
      <c r="CA50" s="74">
        <f>414+846</f>
        <v>1260</v>
      </c>
      <c r="CB50" s="61" t="str">
        <f>IF(ISERROR((CA50/BS50-1)*100),"NA",IF(((CA50/BS50-1)*100)&gt;100,"NM",IF(((CA50/BS50-1)*100)&lt;-50,"NM",(CA50/BS50-1)*100)))</f>
        <v>NM</v>
      </c>
      <c r="CC50" s="74">
        <f>82+318</f>
        <v>400</v>
      </c>
      <c r="CD50" s="61">
        <f>IF(ISERROR((CC50/BU50-1)*100),"NA",IF(((CC50/BU50-1)*100)&gt;100,"NM",IF(((CC50/BU50-1)*100)&lt;-50,"NM",(CC50/BU50-1)*100)))</f>
        <v>-7.1925754060324865</v>
      </c>
      <c r="CE50" s="74">
        <f>87+324</f>
        <v>411</v>
      </c>
      <c r="CF50" s="61">
        <f t="shared" si="265"/>
        <v>-31.727574750830566</v>
      </c>
      <c r="CG50" s="74">
        <f>115+522</f>
        <v>637</v>
      </c>
      <c r="CH50" s="61">
        <f t="shared" si="265"/>
        <v>-29.14349276974416</v>
      </c>
      <c r="CI50" s="74">
        <f>104+854</f>
        <v>958</v>
      </c>
      <c r="CJ50" s="61">
        <f t="shared" si="265"/>
        <v>-23.968253968253972</v>
      </c>
      <c r="CK50" s="74">
        <f>68+327</f>
        <v>395</v>
      </c>
      <c r="CL50" s="61">
        <f t="shared" si="265"/>
        <v>-1.2499999999999956</v>
      </c>
      <c r="CM50" s="74">
        <f>77+378</f>
        <v>455</v>
      </c>
      <c r="CN50" s="61">
        <f t="shared" si="265"/>
        <v>10.705596107055971</v>
      </c>
      <c r="CO50" s="74">
        <v>571</v>
      </c>
      <c r="CP50" s="61">
        <f t="shared" si="265"/>
        <v>-10.361067503924648</v>
      </c>
      <c r="CQ50" s="74">
        <v>554</v>
      </c>
      <c r="CR50" s="61">
        <f t="shared" si="265"/>
        <v>-42.17118997912317</v>
      </c>
      <c r="CS50" s="74">
        <v>347</v>
      </c>
      <c r="CT50" s="61">
        <f t="shared" si="265"/>
        <v>-12.151898734177212</v>
      </c>
      <c r="CU50" s="74">
        <v>295</v>
      </c>
      <c r="CV50" s="61">
        <f t="shared" si="265"/>
        <v>-35.164835164835161</v>
      </c>
      <c r="CW50" s="74">
        <v>445</v>
      </c>
      <c r="CX50" s="61">
        <f t="shared" si="265"/>
        <v>-22.066549912434329</v>
      </c>
      <c r="CY50" s="74">
        <v>489</v>
      </c>
      <c r="CZ50" s="61">
        <f t="shared" si="265"/>
        <v>-11.732851985559567</v>
      </c>
      <c r="DA50" s="74">
        <v>520</v>
      </c>
      <c r="DB50" s="61">
        <f t="shared" si="265"/>
        <v>49.855907780979834</v>
      </c>
      <c r="DC50" s="74">
        <v>280</v>
      </c>
      <c r="DD50" s="61">
        <f t="shared" si="265"/>
        <v>-5.0847457627118615</v>
      </c>
      <c r="DE50" s="74">
        <v>264</v>
      </c>
      <c r="DF50" s="61">
        <f t="shared" si="265"/>
        <v>-40.674157303370784</v>
      </c>
      <c r="DG50" s="74">
        <v>233</v>
      </c>
      <c r="DH50" s="61" t="str">
        <f t="shared" si="265"/>
        <v>NM</v>
      </c>
      <c r="DI50" s="74">
        <v>279</v>
      </c>
      <c r="DJ50" s="61">
        <f t="shared" si="265"/>
        <v>-46.346153846153847</v>
      </c>
      <c r="DK50" s="74">
        <v>432</v>
      </c>
      <c r="DL50" s="61">
        <f>IF(ISERROR((DK50/DC50-1)*100),"NA",IF(((DK50/DC50-1)*100)&gt;100,"NM",IF(((DK50/DC50-1)*100)&lt;-50,"NM",(DK50/DC50-1)*100)))</f>
        <v>54.285714285714292</v>
      </c>
      <c r="DM50" s="74">
        <v>393</v>
      </c>
      <c r="DN50" s="130">
        <f t="shared" si="266"/>
        <v>48.863636363636353</v>
      </c>
      <c r="DO50" s="74">
        <v>227</v>
      </c>
      <c r="DP50" s="130">
        <f t="shared" si="266"/>
        <v>-2.5751072961373356</v>
      </c>
      <c r="DQ50" s="74">
        <v>206</v>
      </c>
      <c r="DR50" s="130">
        <f t="shared" si="266"/>
        <v>-26.16487455197133</v>
      </c>
      <c r="DS50" s="74">
        <v>293</v>
      </c>
      <c r="DT50" s="130">
        <f t="shared" si="266"/>
        <v>-32.175925925925931</v>
      </c>
      <c r="DU50" s="74">
        <v>365</v>
      </c>
      <c r="DV50" s="130">
        <f t="shared" si="266"/>
        <v>-7.1246819338422362</v>
      </c>
      <c r="DW50" s="74">
        <v>566</v>
      </c>
      <c r="DX50" s="74">
        <v>566</v>
      </c>
      <c r="DY50" s="74">
        <v>656</v>
      </c>
      <c r="DZ50" s="130" t="str">
        <f t="shared" si="266"/>
        <v>NM</v>
      </c>
      <c r="EA50" s="74">
        <v>668</v>
      </c>
      <c r="EB50" s="130" t="str">
        <f t="shared" si="268"/>
        <v>NM</v>
      </c>
      <c r="EC50" s="74">
        <v>478</v>
      </c>
      <c r="ED50" s="130">
        <f t="shared" si="269"/>
        <v>30.958904109589035</v>
      </c>
      <c r="EE50" s="74">
        <v>420</v>
      </c>
      <c r="EF50" s="130">
        <f t="shared" si="270"/>
        <v>-25.795053003533564</v>
      </c>
      <c r="EG50" s="74">
        <v>411</v>
      </c>
      <c r="EH50" s="130">
        <f t="shared" si="271"/>
        <v>-37.34756097560976</v>
      </c>
      <c r="EI50" s="74">
        <v>562</v>
      </c>
      <c r="EJ50" s="130">
        <f t="shared" si="272"/>
        <v>-15.86826347305389</v>
      </c>
      <c r="EK50" s="74">
        <v>377</v>
      </c>
      <c r="EL50" s="130">
        <f t="shared" si="274"/>
        <v>-21.129707112970706</v>
      </c>
      <c r="EM50" s="74">
        <v>384</v>
      </c>
      <c r="EN50" s="130">
        <f t="shared" si="275"/>
        <v>-8.5714285714285747</v>
      </c>
      <c r="EO50" s="74">
        <v>645</v>
      </c>
      <c r="EP50" s="130">
        <f t="shared" si="277"/>
        <v>56.934306569343065</v>
      </c>
      <c r="EQ50" s="64">
        <v>650</v>
      </c>
      <c r="ER50" s="130">
        <f t="shared" si="279"/>
        <v>15.658362989323837</v>
      </c>
      <c r="ES50" s="64">
        <f>EQ50+50</f>
        <v>700</v>
      </c>
      <c r="ET50" s="130">
        <f t="shared" si="281"/>
        <v>85.676392572944309</v>
      </c>
      <c r="EU50" s="64">
        <f>ES50+50</f>
        <v>750</v>
      </c>
      <c r="EV50" s="130">
        <f t="shared" si="283"/>
        <v>95.3125</v>
      </c>
      <c r="EW50" s="64">
        <f>EU50+50</f>
        <v>800</v>
      </c>
      <c r="EX50" s="130">
        <f t="shared" si="285"/>
        <v>24.031007751937985</v>
      </c>
      <c r="EY50" s="64"/>
      <c r="EZ50" s="558"/>
      <c r="FA50" s="64"/>
      <c r="FB50" s="66"/>
      <c r="FC50" s="66"/>
      <c r="FD50" s="66"/>
      <c r="FE50" s="67"/>
      <c r="FF50" s="66"/>
      <c r="FG50" s="67"/>
      <c r="FH50" s="66"/>
      <c r="FI50" s="67"/>
      <c r="FJ50" s="66"/>
      <c r="FK50" s="67"/>
      <c r="FL50" s="66"/>
      <c r="FM50" s="61"/>
      <c r="FN50" s="66"/>
      <c r="FO50" s="61"/>
      <c r="FP50" s="65"/>
      <c r="FQ50" s="61"/>
      <c r="FR50" s="65"/>
      <c r="FS50" s="61"/>
      <c r="FT50" s="75">
        <f>BG50+BI50+BK50+BM50</f>
        <v>1526</v>
      </c>
      <c r="FU50" s="61" t="str">
        <f>IF(ISERROR((FT50/FR50-1)*100),"NA",IF(((FT50/FR50-1)*100)&gt;100,"NM",IF(((FT50/FR50-1)*100)&lt;-50,"NM",(FT50/FR50-1)*100)))</f>
        <v>NA</v>
      </c>
      <c r="FV50" s="75">
        <f>BO50+BQ50+BS50+BU50</f>
        <v>1607</v>
      </c>
      <c r="FW50" s="61">
        <f>IF(ISERROR((FV50/FT50-1)*100),"NA",IF(((FV50/FT50-1)*100)&gt;100,"NM",IF(((FV50/FT50-1)*100)&lt;-50,"NM",(FV50/FT50-1)*100)))</f>
        <v>5.3079947575360498</v>
      </c>
      <c r="FX50" s="75">
        <f>BW50+BY50+CA50+CC50</f>
        <v>3161</v>
      </c>
      <c r="FY50" s="61">
        <f>IF(ISERROR((FX50/FV50-1)*100),"NA",IF(((FX50/FV50-1)*100)&gt;100,"NM",IF(((FX50/FV50-1)*100)&lt;-50,"NM",(FX50/FV50-1)*100)))</f>
        <v>96.701929060360925</v>
      </c>
      <c r="FZ50" s="75">
        <f>CE50+CG50+CI50+CK50</f>
        <v>2401</v>
      </c>
      <c r="GA50" s="61">
        <f>IF(ISERROR((FZ50/FX50-1)*100),"NA",IF(((FZ50/FX50-1)*100)&gt;100,"NM",IF(((FZ50/FX50-1)*100)&lt;-50,"NM",(FZ50/FX50-1)*100)))</f>
        <v>-24.043024359379938</v>
      </c>
      <c r="GB50" s="75">
        <f>CM50+CO50+CQ50+CS50</f>
        <v>1927</v>
      </c>
      <c r="GC50" s="61">
        <f>IF(ISERROR((GB50/FZ50-1)*100),"NA",IF(((GB50/FZ50-1)*100)&gt;100,"NM",IF(((GB50/FZ50-1)*100)&lt;-50,"NM",(GB50/FZ50-1)*100)))</f>
        <v>-19.741774260724696</v>
      </c>
      <c r="GD50" s="75">
        <f>CU50+CW50+CY50+DA50</f>
        <v>1749</v>
      </c>
      <c r="GE50" s="61">
        <f>IF(ISERROR((GD50/GB50-1)*100),"NA",IF(((GD50/GB50-1)*100)&gt;100,"NM",IF(((GD50/GB50-1)*100)&lt;-50,"NM",(GD50/GB50-1)*100)))</f>
        <v>-9.2371562013492508</v>
      </c>
      <c r="GF50" s="75">
        <f>DC50+DE50+DG50+DI50</f>
        <v>1056</v>
      </c>
      <c r="GG50" s="61">
        <f t="shared" si="286"/>
        <v>-39.622641509433961</v>
      </c>
      <c r="GH50" s="75">
        <f>DK50+DM50+DO50+DQ50</f>
        <v>1258</v>
      </c>
      <c r="GI50" s="61">
        <f t="shared" si="286"/>
        <v>19.12878787878789</v>
      </c>
      <c r="GJ50" s="75">
        <f>DS50+DU50+DW50+DY50</f>
        <v>1880</v>
      </c>
      <c r="GK50" s="61">
        <f t="shared" si="286"/>
        <v>49.443561208267099</v>
      </c>
      <c r="GL50" s="75">
        <f>EA50+EC50+EE50+EG50</f>
        <v>1977</v>
      </c>
      <c r="GM50" s="61">
        <f t="shared" si="286"/>
        <v>5.1595744680851041</v>
      </c>
      <c r="GN50" s="75">
        <f>EI50+EK50+EM50+EO50</f>
        <v>1968</v>
      </c>
      <c r="GO50" s="61">
        <f t="shared" si="286"/>
        <v>-0.45523520485584168</v>
      </c>
      <c r="GP50" s="75">
        <f>EQ50+ES50+EU50+EW50</f>
        <v>2900</v>
      </c>
      <c r="GQ50" s="61">
        <f t="shared" si="286"/>
        <v>47.357723577235774</v>
      </c>
      <c r="GR50" s="64">
        <f>GP50*1.02</f>
        <v>2958</v>
      </c>
      <c r="GS50" s="61">
        <f t="shared" si="286"/>
        <v>2.0000000000000018</v>
      </c>
      <c r="GT50" s="64">
        <f>GR50*1.02</f>
        <v>3017.16</v>
      </c>
      <c r="GU50" s="61">
        <f t="shared" si="286"/>
        <v>2.0000000000000018</v>
      </c>
      <c r="GV50" s="64">
        <f>GT50*1.02</f>
        <v>3077.5032000000001</v>
      </c>
      <c r="GW50" s="61">
        <f t="shared" si="286"/>
        <v>2.0000000000000018</v>
      </c>
      <c r="GX50" s="64">
        <f>GV50*1.02</f>
        <v>3139.0532640000001</v>
      </c>
      <c r="GY50" s="61">
        <f t="shared" si="287"/>
        <v>2.0000000000000018</v>
      </c>
      <c r="GZ50" s="61">
        <f t="shared" si="288"/>
        <v>9.7879606972325561</v>
      </c>
      <c r="HA50" s="61"/>
      <c r="HB50" s="452"/>
      <c r="HC50"/>
      <c r="HD50"/>
      <c r="HE50"/>
      <c r="HF50"/>
      <c r="HG50"/>
      <c r="HH50"/>
    </row>
    <row r="51" spans="2:216" s="5" customFormat="1" ht="12.75" hidden="1" customHeight="1" outlineLevel="1" x14ac:dyDescent="0.2">
      <c r="B51" s="548" t="s">
        <v>227</v>
      </c>
      <c r="C51" s="66"/>
      <c r="D51" s="67"/>
      <c r="E51" s="66"/>
      <c r="F51" s="66"/>
      <c r="G51" s="64"/>
      <c r="H51" s="66"/>
      <c r="I51" s="64"/>
      <c r="J51" s="66"/>
      <c r="K51" s="64"/>
      <c r="L51" s="61"/>
      <c r="M51" s="66"/>
      <c r="N51" s="61"/>
      <c r="O51" s="64"/>
      <c r="P51" s="61"/>
      <c r="Q51" s="64"/>
      <c r="R51" s="61"/>
      <c r="S51" s="64"/>
      <c r="T51" s="61"/>
      <c r="U51" s="64"/>
      <c r="V51" s="61"/>
      <c r="W51" s="64"/>
      <c r="X51" s="61"/>
      <c r="Y51" s="64"/>
      <c r="Z51" s="61"/>
      <c r="AA51" s="64"/>
      <c r="AB51" s="61"/>
      <c r="AC51" s="64"/>
      <c r="AD51" s="61"/>
      <c r="AE51" s="64"/>
      <c r="AF51" s="61"/>
      <c r="AG51" s="64"/>
      <c r="AH51" s="61"/>
      <c r="AI51" s="64"/>
      <c r="AJ51" s="61"/>
      <c r="AK51" s="64"/>
      <c r="AL51" s="61"/>
      <c r="AM51" s="64"/>
      <c r="AN51" s="61"/>
      <c r="AO51" s="64"/>
      <c r="AP51" s="61"/>
      <c r="AQ51" s="64"/>
      <c r="AR51" s="61"/>
      <c r="AS51" s="64"/>
      <c r="AT51" s="61"/>
      <c r="AU51" s="64"/>
      <c r="AV51" s="61"/>
      <c r="AW51" s="64"/>
      <c r="AX51" s="61"/>
      <c r="AY51" s="64"/>
      <c r="AZ51" s="61"/>
      <c r="BA51" s="64"/>
      <c r="BB51" s="61"/>
      <c r="BC51" s="64"/>
      <c r="BD51" s="61"/>
      <c r="BE51" s="64"/>
      <c r="BF51" s="61"/>
      <c r="BG51" s="64"/>
      <c r="BH51" s="61"/>
      <c r="BI51" s="64"/>
      <c r="BJ51" s="61"/>
      <c r="BK51" s="64"/>
      <c r="BL51" s="61"/>
      <c r="BM51" s="64"/>
      <c r="BN51" s="61"/>
      <c r="BO51" s="64"/>
      <c r="BP51" s="61"/>
      <c r="BQ51" s="64"/>
      <c r="BR51" s="61"/>
      <c r="BS51" s="64"/>
      <c r="BT51" s="61"/>
      <c r="BU51" s="64"/>
      <c r="BV51" s="61"/>
      <c r="BW51" s="64"/>
      <c r="BX51" s="61"/>
      <c r="BY51" s="64"/>
      <c r="BZ51" s="61"/>
      <c r="CA51" s="64"/>
      <c r="CB51" s="61"/>
      <c r="CC51" s="64"/>
      <c r="CD51" s="61"/>
      <c r="CE51" s="64"/>
      <c r="CF51" s="61"/>
      <c r="CG51" s="64"/>
      <c r="CH51" s="61"/>
      <c r="CI51" s="64"/>
      <c r="CJ51" s="61"/>
      <c r="CK51" s="64"/>
      <c r="CL51" s="61"/>
      <c r="CM51" s="64"/>
      <c r="CN51" s="61"/>
      <c r="CO51" s="64"/>
      <c r="CP51" s="61"/>
      <c r="CQ51" s="64"/>
      <c r="CR51" s="61"/>
      <c r="CS51" s="64"/>
      <c r="CT51" s="61"/>
      <c r="CU51" s="64"/>
      <c r="CV51" s="61"/>
      <c r="CW51" s="64"/>
      <c r="CX51" s="61"/>
      <c r="CY51" s="64"/>
      <c r="CZ51" s="61"/>
      <c r="DA51" s="64"/>
      <c r="DB51" s="61"/>
      <c r="DC51" s="64"/>
      <c r="DD51" s="61"/>
      <c r="DE51" s="64"/>
      <c r="DF51" s="61"/>
      <c r="DG51" s="64"/>
      <c r="DH51" s="61"/>
      <c r="DI51" s="64"/>
      <c r="DJ51" s="61"/>
      <c r="DK51" s="64"/>
      <c r="DL51" s="61"/>
      <c r="DM51" s="64"/>
      <c r="DN51" s="130" t="str">
        <f t="shared" si="266"/>
        <v>NA</v>
      </c>
      <c r="DO51" s="64"/>
      <c r="DP51" s="130" t="str">
        <f t="shared" si="266"/>
        <v>NA</v>
      </c>
      <c r="DQ51" s="64"/>
      <c r="DR51" s="130" t="str">
        <f t="shared" si="266"/>
        <v>NA</v>
      </c>
      <c r="DS51" s="64"/>
      <c r="DT51" s="130" t="str">
        <f t="shared" si="266"/>
        <v>NA</v>
      </c>
      <c r="DU51" s="64"/>
      <c r="DV51" s="130" t="str">
        <f t="shared" si="266"/>
        <v>NA</v>
      </c>
      <c r="DW51" s="64"/>
      <c r="DX51" s="64"/>
      <c r="DY51" s="64"/>
      <c r="DZ51" s="130" t="str">
        <f t="shared" si="266"/>
        <v>NA</v>
      </c>
      <c r="EA51" s="64"/>
      <c r="EB51" s="130" t="str">
        <f t="shared" si="268"/>
        <v>NA</v>
      </c>
      <c r="EC51" s="64"/>
      <c r="ED51" s="130" t="str">
        <f t="shared" si="269"/>
        <v>NA</v>
      </c>
      <c r="EE51" s="64"/>
      <c r="EF51" s="130" t="str">
        <f t="shared" si="270"/>
        <v>NA</v>
      </c>
      <c r="EG51" s="64"/>
      <c r="EH51" s="130" t="str">
        <f t="shared" si="271"/>
        <v>NA</v>
      </c>
      <c r="EI51" s="64"/>
      <c r="EJ51" s="130" t="str">
        <f t="shared" si="272"/>
        <v>NA</v>
      </c>
      <c r="EK51" s="64"/>
      <c r="EL51" s="130" t="str">
        <f t="shared" si="274"/>
        <v>NA</v>
      </c>
      <c r="EM51" s="64"/>
      <c r="EN51" s="130" t="str">
        <f t="shared" si="275"/>
        <v>NA</v>
      </c>
      <c r="EO51" s="64"/>
      <c r="EP51" s="130" t="str">
        <f t="shared" si="277"/>
        <v>NA</v>
      </c>
      <c r="EQ51" s="64"/>
      <c r="ER51" s="130" t="str">
        <f t="shared" si="279"/>
        <v>NA</v>
      </c>
      <c r="ES51" s="64"/>
      <c r="ET51" s="130" t="str">
        <f t="shared" si="281"/>
        <v>NA</v>
      </c>
      <c r="EU51" s="64"/>
      <c r="EV51" s="130" t="str">
        <f t="shared" si="283"/>
        <v>NA</v>
      </c>
      <c r="EW51" s="64"/>
      <c r="EX51" s="130" t="str">
        <f t="shared" si="285"/>
        <v>NA</v>
      </c>
      <c r="EY51" s="64"/>
      <c r="EZ51" s="558"/>
      <c r="FA51" s="64"/>
      <c r="FB51" s="66"/>
      <c r="FC51" s="66"/>
      <c r="FD51" s="66"/>
      <c r="FE51" s="67"/>
      <c r="FF51" s="66"/>
      <c r="FG51" s="67"/>
      <c r="FH51" s="66"/>
      <c r="FI51" s="67"/>
      <c r="FJ51" s="66"/>
      <c r="FK51" s="67"/>
      <c r="FL51" s="66"/>
      <c r="FM51" s="61"/>
      <c r="FN51" s="66"/>
      <c r="FO51" s="61"/>
      <c r="FP51" s="65"/>
      <c r="FQ51" s="61"/>
      <c r="FR51" s="65"/>
      <c r="FS51" s="61"/>
      <c r="FT51" s="75"/>
      <c r="FU51" s="61"/>
      <c r="FV51" s="75"/>
      <c r="FW51" s="61"/>
      <c r="FX51" s="75"/>
      <c r="FY51" s="61"/>
      <c r="FZ51" s="75"/>
      <c r="GA51" s="61"/>
      <c r="GB51" s="75"/>
      <c r="GC51" s="61"/>
      <c r="GD51" s="65"/>
      <c r="GE51" s="61"/>
      <c r="GF51" s="65"/>
      <c r="GG51" s="61" t="str">
        <f t="shared" si="286"/>
        <v>NA</v>
      </c>
      <c r="GH51" s="65"/>
      <c r="GI51" s="61" t="str">
        <f t="shared" si="286"/>
        <v>NA</v>
      </c>
      <c r="GJ51" s="65"/>
      <c r="GK51" s="61" t="str">
        <f t="shared" si="286"/>
        <v>NA</v>
      </c>
      <c r="GL51" s="65"/>
      <c r="GM51" s="61" t="str">
        <f t="shared" si="286"/>
        <v>NA</v>
      </c>
      <c r="GN51" s="65"/>
      <c r="GO51" s="61" t="str">
        <f t="shared" si="286"/>
        <v>NA</v>
      </c>
      <c r="GP51" s="65"/>
      <c r="GQ51" s="61" t="str">
        <f t="shared" si="286"/>
        <v>NA</v>
      </c>
      <c r="GR51" s="64"/>
      <c r="GS51" s="61" t="str">
        <f t="shared" si="286"/>
        <v>NA</v>
      </c>
      <c r="GT51" s="64"/>
      <c r="GU51" s="61" t="str">
        <f t="shared" si="286"/>
        <v>NA</v>
      </c>
      <c r="GV51" s="64"/>
      <c r="GW51" s="61" t="str">
        <f t="shared" si="286"/>
        <v>NA</v>
      </c>
      <c r="GX51" s="64"/>
      <c r="GY51" s="61" t="str">
        <f t="shared" si="287"/>
        <v>NA</v>
      </c>
      <c r="GZ51" s="61" t="str">
        <f t="shared" si="288"/>
        <v/>
      </c>
      <c r="HA51" s="61"/>
      <c r="HB51" s="452"/>
      <c r="HC51"/>
      <c r="HD51"/>
      <c r="HE51"/>
      <c r="HF51"/>
      <c r="HG51"/>
      <c r="HH51"/>
    </row>
    <row r="52" spans="2:216" s="5" customFormat="1" ht="12.75" customHeight="1" collapsed="1" x14ac:dyDescent="0.2">
      <c r="B52" s="123" t="s">
        <v>228</v>
      </c>
      <c r="C52" s="66"/>
      <c r="D52" s="67"/>
      <c r="E52" s="66"/>
      <c r="F52" s="66"/>
      <c r="G52" s="64"/>
      <c r="H52" s="66"/>
      <c r="I52" s="64"/>
      <c r="J52" s="66"/>
      <c r="K52" s="64"/>
      <c r="L52" s="61"/>
      <c r="M52" s="66"/>
      <c r="N52" s="61"/>
      <c r="O52" s="64"/>
      <c r="P52" s="61"/>
      <c r="Q52" s="64"/>
      <c r="R52" s="61"/>
      <c r="S52" s="64"/>
      <c r="T52" s="61"/>
      <c r="U52" s="64"/>
      <c r="V52" s="61"/>
      <c r="W52" s="64"/>
      <c r="X52" s="61"/>
      <c r="Y52" s="64"/>
      <c r="Z52" s="61"/>
      <c r="AA52" s="64"/>
      <c r="AB52" s="61"/>
      <c r="AC52" s="64"/>
      <c r="AD52" s="61"/>
      <c r="AE52" s="64"/>
      <c r="AF52" s="61"/>
      <c r="AG52" s="64"/>
      <c r="AH52" s="61"/>
      <c r="AI52" s="64"/>
      <c r="AJ52" s="61"/>
      <c r="AK52" s="64"/>
      <c r="AL52" s="61"/>
      <c r="AM52" s="64"/>
      <c r="AN52" s="61"/>
      <c r="AO52" s="64"/>
      <c r="AP52" s="61"/>
      <c r="AQ52" s="64"/>
      <c r="AR52" s="61"/>
      <c r="AS52" s="64"/>
      <c r="AT52" s="61"/>
      <c r="AU52" s="64"/>
      <c r="AV52" s="61"/>
      <c r="AW52" s="64"/>
      <c r="AX52" s="61"/>
      <c r="AY52" s="64"/>
      <c r="AZ52" s="61"/>
      <c r="BA52" s="64"/>
      <c r="BB52" s="61"/>
      <c r="BC52" s="64"/>
      <c r="BD52" s="61"/>
      <c r="BE52" s="64"/>
      <c r="BF52" s="61"/>
      <c r="BG52" s="74">
        <f>-674-63</f>
        <v>-737</v>
      </c>
      <c r="BH52" s="61" t="str">
        <f>IF(ISERROR((BG52/AY52-1)*100),"NA",IF(((BG52/AY52-1)*100)&gt;100,"NM",IF(((BG52/AY52-1)*100)&lt;-50,"NM",(BG52/AY52-1)*100)))</f>
        <v>NA</v>
      </c>
      <c r="BI52" s="74">
        <f>-677-61</f>
        <v>-738</v>
      </c>
      <c r="BJ52" s="61" t="str">
        <f>IF(ISERROR((BI52/BA52-1)*100),"NA",IF(((BI52/BA52-1)*100)&gt;100,"NM",IF(((BI52/BA52-1)*100)&lt;-50,"NM",(BI52/BA52-1)*100)))</f>
        <v>NA</v>
      </c>
      <c r="BK52" s="74">
        <f>-651-59</f>
        <v>-710</v>
      </c>
      <c r="BL52" s="61" t="str">
        <f>IF(ISERROR((BK52/BC52-1)*100),"NA",IF(((BK52/BC52-1)*100)&gt;100,"NM",IF(((BK52/BC52-1)*100)&lt;-50,"NM",(BK52/BC52-1)*100)))</f>
        <v>NA</v>
      </c>
      <c r="BM52" s="74">
        <f>-486-62</f>
        <v>-548</v>
      </c>
      <c r="BN52" s="61" t="str">
        <f>IF(ISERROR((BM52/BE52-1)*100),"NA",IF(((BM52/BE52-1)*100)&gt;100,"NM",IF(((BM52/BE52-1)*100)&lt;-50,"NM",(BM52/BE52-1)*100)))</f>
        <v>NA</v>
      </c>
      <c r="BO52" s="74">
        <f>-378-83</f>
        <v>-461</v>
      </c>
      <c r="BP52" s="61">
        <f>IF(ISERROR((BO52/BG52-1)*100),"NA",IF(((BO52/BG52-1)*100)&gt;100,"NM",IF(((BO52/BG52-1)*100)&lt;-50,"NM",(BO52/BG52-1)*100)))</f>
        <v>-37.449118046132966</v>
      </c>
      <c r="BQ52" s="74">
        <f>-406-102</f>
        <v>-508</v>
      </c>
      <c r="BR52" s="61">
        <f>IF(ISERROR((BQ52/BI52-1)*100),"NA",IF(((BQ52/BI52-1)*100)&gt;100,"NM",IF(((BQ52/BI52-1)*100)&lt;-50,"NM",(BQ52/BI52-1)*100)))</f>
        <v>-31.165311653116532</v>
      </c>
      <c r="BS52" s="74">
        <f>-549-114</f>
        <v>-663</v>
      </c>
      <c r="BT52" s="61">
        <f>IF(ISERROR((BS52/BK52-1)*100),"NA",IF(((BS52/BK52-1)*100)&gt;100,"NM",IF(((BS52/BK52-1)*100)&lt;-50,"NM",(BS52/BK52-1)*100)))</f>
        <v>-6.6197183098591577</v>
      </c>
      <c r="BU52" s="74">
        <f>-504-142</f>
        <v>-646</v>
      </c>
      <c r="BV52" s="61">
        <f>IF(ISERROR((BU52/BM52-1)*100),"NA",IF(((BU52/BM52-1)*100)&gt;100,"NM",IF(((BU52/BM52-1)*100)&lt;-50,"NM",(BU52/BM52-1)*100)))</f>
        <v>17.883211678832112</v>
      </c>
      <c r="BW52" s="74">
        <f>-397-214</f>
        <v>-611</v>
      </c>
      <c r="BX52" s="61">
        <f>IF(ISERROR((BW52/BO52-1)*100),"NA",IF(((BW52/BO52-1)*100)&gt;100,"NM",IF(((BW52/BO52-1)*100)&lt;-50,"NM",(BW52/BO52-1)*100)))</f>
        <v>32.537960954446852</v>
      </c>
      <c r="BY52" s="74">
        <f>-328-187</f>
        <v>-515</v>
      </c>
      <c r="BZ52" s="61">
        <f>IF(ISERROR((BY52/BQ52-1)*100),"NA",IF(((BY52/BQ52-1)*100)&gt;100,"NM",IF(((BY52/BQ52-1)*100)&lt;-50,"NM",(BY52/BQ52-1)*100)))</f>
        <v>1.3779527559055094</v>
      </c>
      <c r="CA52" s="74">
        <f>-283-115</f>
        <v>-398</v>
      </c>
      <c r="CB52" s="61">
        <f>IF(ISERROR((CA52/BS52-1)*100),"NA",IF(((CA52/BS52-1)*100)&gt;100,"NM",IF(((CA52/BS52-1)*100)&lt;-50,"NM",(CA52/BS52-1)*100)))</f>
        <v>-39.969834087481146</v>
      </c>
      <c r="CC52" s="74">
        <f>-299-120</f>
        <v>-419</v>
      </c>
      <c r="CD52" s="61">
        <f>IF(ISERROR((CC52/BU52-1)*100),"NA",IF(((CC52/BU52-1)*100)&gt;100,"NM",IF(((CC52/BU52-1)*100)&lt;-50,"NM",(CC52/BU52-1)*100)))</f>
        <v>-35.139318885448908</v>
      </c>
      <c r="CE52" s="74">
        <f>-264-124</f>
        <v>-388</v>
      </c>
      <c r="CF52" s="61">
        <f>IF(ISERROR((CE52/BW52-1)*100),"NA",IF(((CE52/BW52-1)*100)&gt;100,"NM",IF(((CE52/BW52-1)*100)&lt;-50,"NM",(CE52/BW52-1)*100)))</f>
        <v>-36.497545008183309</v>
      </c>
      <c r="CG52" s="74">
        <f>-243-111</f>
        <v>-354</v>
      </c>
      <c r="CH52" s="61">
        <f>IF(ISERROR((CG52/BY52-1)*100),"NA",IF(((CG52/BY52-1)*100)&gt;100,"NM",IF(((CG52/BY52-1)*100)&lt;-50,"NM",(CG52/BY52-1)*100)))</f>
        <v>-31.262135922330092</v>
      </c>
      <c r="CI52" s="74">
        <f>-256-130</f>
        <v>-386</v>
      </c>
      <c r="CJ52" s="61">
        <f>IF(ISERROR((CI52/CA52-1)*100),"NA",IF(((CI52/CA52-1)*100)&gt;100,"NM",IF(((CI52/CA52-1)*100)&lt;-50,"NM",(CI52/CA52-1)*100)))</f>
        <v>-3.0150753768844241</v>
      </c>
      <c r="CK52" s="74">
        <f>-336-167</f>
        <v>-503</v>
      </c>
      <c r="CL52" s="61">
        <f>IF(ISERROR((CK52/CC52-1)*100),"NA",IF(((CK52/CC52-1)*100)&gt;100,"NM",IF(((CK52/CC52-1)*100)&lt;-50,"NM",(CK52/CC52-1)*100)))</f>
        <v>20.04773269689737</v>
      </c>
      <c r="CM52" s="74">
        <f>-266-158</f>
        <v>-424</v>
      </c>
      <c r="CN52" s="61">
        <f>IF(ISERROR((CM52/CE52-1)*100),"NA",IF(((CM52/CE52-1)*100)&gt;100,"NM",IF(((CM52/CE52-1)*100)&lt;-50,"NM",(CM52/CE52-1)*100)))</f>
        <v>9.2783505154639059</v>
      </c>
      <c r="CO52" s="74">
        <v>-437</v>
      </c>
      <c r="CP52" s="61">
        <f t="shared" ref="CP52:CP58" si="289">IF(ISERROR((CO52/CG52-1)*100),"NA",IF(((CO52/CG52-1)*100)&gt;100,"NM",IF(((CO52/CG52-1)*100)&lt;-50,"NM",(CO52/CG52-1)*100)))</f>
        <v>23.446327683615809</v>
      </c>
      <c r="CQ52" s="74">
        <v>-508</v>
      </c>
      <c r="CR52" s="61">
        <f t="shared" ref="CR52:CR58" si="290">IF(ISERROR((CQ52/CI52-1)*100),"NA",IF(((CQ52/CI52-1)*100)&gt;100,"NM",IF(((CQ52/CI52-1)*100)&lt;-50,"NM",(CQ52/CI52-1)*100)))</f>
        <v>31.606217616580313</v>
      </c>
      <c r="CS52" s="74">
        <v>-475</v>
      </c>
      <c r="CT52" s="61">
        <f t="shared" ref="CT52:CT58" si="291">IF(ISERROR((CS52/CK52-1)*100),"NA",IF(((CS52/CK52-1)*100)&gt;100,"NM",IF(((CS52/CK52-1)*100)&lt;-50,"NM",(CS52/CK52-1)*100)))</f>
        <v>-5.5666003976143186</v>
      </c>
      <c r="CU52" s="74">
        <v>-465</v>
      </c>
      <c r="CV52" s="61">
        <f t="shared" ref="CV52:CV58" si="292">IF(ISERROR((CU52/CM52-1)*100),"NA",IF(((CU52/CM52-1)*100)&gt;100,"NM",IF(((CU52/CM52-1)*100)&lt;-50,"NM",(CU52/CM52-1)*100)))</f>
        <v>9.6698113207547074</v>
      </c>
      <c r="CW52" s="74">
        <v>-477</v>
      </c>
      <c r="CX52" s="61">
        <f t="shared" ref="CX52:CX58" si="293">IF(ISERROR((CW52/CO52-1)*100),"NA",IF(((CW52/CO52-1)*100)&gt;100,"NM",IF(((CW52/CO52-1)*100)&lt;-50,"NM",(CW52/CO52-1)*100)))</f>
        <v>9.1533180778031955</v>
      </c>
      <c r="CY52" s="74">
        <v>-599</v>
      </c>
      <c r="CZ52" s="61">
        <f t="shared" ref="CZ52:CZ58" si="294">IF(ISERROR((CY52/CQ52-1)*100),"NA",IF(((CY52/CQ52-1)*100)&gt;100,"NM",IF(((CY52/CQ52-1)*100)&lt;-50,"NM",(CY52/CQ52-1)*100)))</f>
        <v>17.913385826771645</v>
      </c>
      <c r="DA52" s="74">
        <v>-571</v>
      </c>
      <c r="DB52" s="61">
        <f t="shared" ref="DB52:DB58" si="295">IF(ISERROR((DA52/CS52-1)*100),"NA",IF(((DA52/CS52-1)*100)&gt;100,"NM",IF(((DA52/CS52-1)*100)&lt;-50,"NM",(DA52/CS52-1)*100)))</f>
        <v>20.21052631578948</v>
      </c>
      <c r="DC52" s="74">
        <v>-435</v>
      </c>
      <c r="DD52" s="61">
        <f t="shared" ref="DD52:DD58" si="296">IF(ISERROR((DC52/CU52-1)*100),"NA",IF(((DC52/CU52-1)*100)&gt;100,"NM",IF(((DC52/CU52-1)*100)&lt;-50,"NM",(DC52/CU52-1)*100)))</f>
        <v>-6.4516129032258114</v>
      </c>
      <c r="DE52" s="74">
        <v>-462</v>
      </c>
      <c r="DF52" s="61">
        <f t="shared" ref="DF52:DF58" si="297">IF(ISERROR((DE52/CW52-1)*100),"NA",IF(((DE52/CW52-1)*100)&gt;100,"NM",IF(((DE52/CW52-1)*100)&lt;-50,"NM",(DE52/CW52-1)*100)))</f>
        <v>-3.1446540880503138</v>
      </c>
      <c r="DG52" s="74">
        <v>-462</v>
      </c>
      <c r="DH52" s="61">
        <f t="shared" ref="DH52:DH58" si="298">IF(ISERROR((DG52/CY52-1)*100),"NA",IF(((DG52/CY52-1)*100)&gt;100,"NM",IF(((DG52/CY52-1)*100)&lt;-50,"NM",(DG52/CY52-1)*100)))</f>
        <v>-22.871452420701168</v>
      </c>
      <c r="DI52" s="74">
        <v>-440</v>
      </c>
      <c r="DJ52" s="61">
        <f t="shared" ref="DJ52:DJ58" si="299">IF(ISERROR((DI52/DA52-1)*100),"NA",IF(((DI52/DA52-1)*100)&gt;100,"NM",IF(((DI52/DA52-1)*100)&lt;-50,"NM",(DI52/DA52-1)*100)))</f>
        <v>-22.942206654991249</v>
      </c>
      <c r="DK52" s="74">
        <v>-424</v>
      </c>
      <c r="DL52" s="61">
        <f t="shared" ref="DL52:DL58" si="300">IF(ISERROR((DK52/DC52-1)*100),"NA",IF(((DK52/DC52-1)*100)&gt;100,"NM",IF(((DK52/DC52-1)*100)&lt;-50,"NM",(DK52/DC52-1)*100)))</f>
        <v>-2.5287356321839094</v>
      </c>
      <c r="DM52" s="74">
        <v>-460</v>
      </c>
      <c r="DN52" s="130">
        <f t="shared" si="266"/>
        <v>-0.43290043290042934</v>
      </c>
      <c r="DO52" s="74">
        <v>-475</v>
      </c>
      <c r="DP52" s="130">
        <f t="shared" si="266"/>
        <v>2.813852813852824</v>
      </c>
      <c r="DQ52" s="74">
        <v>-481</v>
      </c>
      <c r="DR52" s="130">
        <f t="shared" si="266"/>
        <v>9.3181818181818254</v>
      </c>
      <c r="DS52" s="74">
        <v>-454</v>
      </c>
      <c r="DT52" s="130">
        <f t="shared" si="266"/>
        <v>7.0754716981132004</v>
      </c>
      <c r="DU52" s="74">
        <v>-543</v>
      </c>
      <c r="DV52" s="130">
        <f t="shared" si="266"/>
        <v>18.043478260869563</v>
      </c>
      <c r="DW52" s="74">
        <v>-525</v>
      </c>
      <c r="DX52" s="74">
        <v>-525</v>
      </c>
      <c r="DY52" s="74">
        <v>-452</v>
      </c>
      <c r="DZ52" s="130">
        <f t="shared" si="266"/>
        <v>-6.0291060291060239</v>
      </c>
      <c r="EA52" s="74">
        <f>-285-127</f>
        <v>-412</v>
      </c>
      <c r="EB52" s="130">
        <f t="shared" si="268"/>
        <v>-9.2511013215859084</v>
      </c>
      <c r="EC52" s="74">
        <f>-345-130</f>
        <v>-475</v>
      </c>
      <c r="ED52" s="130">
        <f t="shared" si="269"/>
        <v>-12.523020257826889</v>
      </c>
      <c r="EE52" s="74">
        <f>-412-137</f>
        <v>-549</v>
      </c>
      <c r="EF52" s="130">
        <f t="shared" si="270"/>
        <v>4.5714285714285818</v>
      </c>
      <c r="EG52" s="74">
        <f>-321-148</f>
        <v>-469</v>
      </c>
      <c r="EH52" s="130">
        <f t="shared" si="271"/>
        <v>3.7610619469026441</v>
      </c>
      <c r="EI52" s="74">
        <f>-343-137</f>
        <v>-480</v>
      </c>
      <c r="EJ52" s="130">
        <f t="shared" si="272"/>
        <v>16.50485436893203</v>
      </c>
      <c r="EK52" s="74">
        <f>-404-150</f>
        <v>-554</v>
      </c>
      <c r="EL52" s="130">
        <f t="shared" si="274"/>
        <v>16.631578947368418</v>
      </c>
      <c r="EM52" s="74">
        <f>-420-155</f>
        <v>-575</v>
      </c>
      <c r="EN52" s="130">
        <f t="shared" si="275"/>
        <v>4.735883424408005</v>
      </c>
      <c r="EO52" s="74">
        <f>-396-175</f>
        <v>-571</v>
      </c>
      <c r="EP52" s="130">
        <f t="shared" si="277"/>
        <v>21.748400852878458</v>
      </c>
      <c r="EQ52" s="75">
        <f t="shared" ref="EQ52:EW52" si="301">EQ62/400*EQ49</f>
        <v>-553.9209884330968</v>
      </c>
      <c r="ER52" s="130">
        <f t="shared" si="279"/>
        <v>15.400205923561838</v>
      </c>
      <c r="ES52" s="75">
        <f t="shared" si="301"/>
        <v>-562.35333526665886</v>
      </c>
      <c r="ET52" s="130">
        <f t="shared" si="281"/>
        <v>1.5078222502994398</v>
      </c>
      <c r="EU52" s="75">
        <f t="shared" si="301"/>
        <v>-572.03456397472507</v>
      </c>
      <c r="EV52" s="130">
        <f t="shared" si="283"/>
        <v>-0.51572800439564359</v>
      </c>
      <c r="EW52" s="75">
        <f t="shared" si="301"/>
        <v>-582.97086433854099</v>
      </c>
      <c r="EX52" s="130">
        <f t="shared" si="285"/>
        <v>2.0964736144555074</v>
      </c>
      <c r="EY52" s="64"/>
      <c r="EZ52" s="558"/>
      <c r="FA52" s="64"/>
      <c r="FB52" s="66"/>
      <c r="FC52" s="66"/>
      <c r="FD52" s="66"/>
      <c r="FE52" s="67"/>
      <c r="FF52" s="66"/>
      <c r="FG52" s="67"/>
      <c r="FH52" s="66"/>
      <c r="FI52" s="67"/>
      <c r="FJ52" s="66"/>
      <c r="FK52" s="67"/>
      <c r="FL52" s="66"/>
      <c r="FM52" s="61"/>
      <c r="FN52" s="66"/>
      <c r="FO52" s="61"/>
      <c r="FP52" s="65"/>
      <c r="FQ52" s="61"/>
      <c r="FR52" s="65"/>
      <c r="FS52" s="61"/>
      <c r="FT52" s="75">
        <f>BG52+BI52+BK52+BM52</f>
        <v>-2733</v>
      </c>
      <c r="FU52" s="61" t="str">
        <f t="shared" ref="FU52:FU58" si="302">IF(ISERROR((FT52/FR52-1)*100),"NA",IF(((FT52/FR52-1)*100)&gt;100,"NM",IF(((FT52/FR52-1)*100)&lt;-50,"NM",(FT52/FR52-1)*100)))</f>
        <v>NA</v>
      </c>
      <c r="FV52" s="75">
        <f>BO52+BQ52+BS52+BU52</f>
        <v>-2278</v>
      </c>
      <c r="FW52" s="61">
        <f t="shared" ref="FW52:FW58" si="303">IF(ISERROR((FV52/FT52-1)*100),"NA",IF(((FV52/FT52-1)*100)&gt;100,"NM",IF(((FV52/FT52-1)*100)&lt;-50,"NM",(FV52/FT52-1)*100)))</f>
        <v>-16.648371752652757</v>
      </c>
      <c r="FX52" s="75">
        <f>BW52+BY52+CA52+CC52</f>
        <v>-1943</v>
      </c>
      <c r="FY52" s="61">
        <f t="shared" ref="FY52:FY58" si="304">IF(ISERROR((FX52/FV52-1)*100),"NA",IF(((FX52/FV52-1)*100)&gt;100,"NM",IF(((FX52/FV52-1)*100)&lt;-50,"NM",(FX52/FV52-1)*100)))</f>
        <v>-14.705882352941179</v>
      </c>
      <c r="FZ52" s="75">
        <f>CE52+CG52+CI52+CK52</f>
        <v>-1631</v>
      </c>
      <c r="GA52" s="61">
        <f t="shared" ref="GA52:GA58" si="305">IF(ISERROR((FZ52/FX52-1)*100),"NA",IF(((FZ52/FX52-1)*100)&gt;100,"NM",IF(((FZ52/FX52-1)*100)&lt;-50,"NM",(FZ52/FX52-1)*100)))</f>
        <v>-16.057642820380856</v>
      </c>
      <c r="GB52" s="75">
        <f>CM52+CO52+CQ52+CS52</f>
        <v>-1844</v>
      </c>
      <c r="GC52" s="61">
        <f t="shared" ref="GC52:GC58" si="306">IF(ISERROR((GB52/FZ52-1)*100),"NA",IF(((GB52/FZ52-1)*100)&gt;100,"NM",IF(((GB52/FZ52-1)*100)&lt;-50,"NM",(GB52/FZ52-1)*100)))</f>
        <v>13.059472716125086</v>
      </c>
      <c r="GD52" s="75">
        <f>CU52+CW52+CY52+DA52</f>
        <v>-2112</v>
      </c>
      <c r="GE52" s="61">
        <f t="shared" ref="GE52:GE58" si="307">IF(ISERROR((GD52/GB52-1)*100),"NA",IF(((GD52/GB52-1)*100)&gt;100,"NM",IF(((GD52/GB52-1)*100)&lt;-50,"NM",(GD52/GB52-1)*100)))</f>
        <v>14.533622559652937</v>
      </c>
      <c r="GF52" s="75">
        <f>DC52+DE52+DG52+DI52</f>
        <v>-1799</v>
      </c>
      <c r="GG52" s="61">
        <f t="shared" si="286"/>
        <v>-14.820075757575758</v>
      </c>
      <c r="GH52" s="75">
        <f>DK52+DM52+DO52+DQ52</f>
        <v>-1840</v>
      </c>
      <c r="GI52" s="61">
        <f t="shared" si="286"/>
        <v>2.2790439132851503</v>
      </c>
      <c r="GJ52" s="75">
        <f>DS52+DU52+DW52+DY52</f>
        <v>-1974</v>
      </c>
      <c r="GK52" s="61">
        <f t="shared" si="286"/>
        <v>7.2826086956521818</v>
      </c>
      <c r="GL52" s="75">
        <f>EA52+EC52+EE52+EG52</f>
        <v>-1905</v>
      </c>
      <c r="GM52" s="61">
        <f t="shared" si="286"/>
        <v>-3.495440729483279</v>
      </c>
      <c r="GN52" s="75">
        <f>EI52+EK52+EM52+EO52</f>
        <v>-2180</v>
      </c>
      <c r="GO52" s="61">
        <f t="shared" si="286"/>
        <v>14.435695538057747</v>
      </c>
      <c r="GP52" s="75">
        <f>EQ52+ES52+EU52+EW52</f>
        <v>-2271.2797520130221</v>
      </c>
      <c r="GQ52" s="61">
        <f t="shared" si="286"/>
        <v>4.1871445877533109</v>
      </c>
      <c r="GR52" s="75">
        <f>GR62/100*GR49</f>
        <v>-2318.4948022994404</v>
      </c>
      <c r="GS52" s="61">
        <f t="shared" si="286"/>
        <v>2.078786210486494</v>
      </c>
      <c r="GT52" s="75">
        <f>GT62/100*GT49</f>
        <v>-2487.2713425613315</v>
      </c>
      <c r="GU52" s="61">
        <f t="shared" si="286"/>
        <v>7.2795738034220125</v>
      </c>
      <c r="GV52" s="75">
        <f>GV62/100*GV49</f>
        <v>-2651.5916971007196</v>
      </c>
      <c r="GW52" s="61">
        <f t="shared" si="286"/>
        <v>6.6064506806151169</v>
      </c>
      <c r="GX52" s="75">
        <f>GX62/100*GX49</f>
        <v>-2811.8652407384434</v>
      </c>
      <c r="GY52" s="61">
        <f t="shared" si="287"/>
        <v>6.0444277229020127</v>
      </c>
      <c r="GZ52" s="61">
        <f t="shared" si="288"/>
        <v>5.222254289046635</v>
      </c>
      <c r="HA52" s="61"/>
      <c r="HB52" s="452"/>
      <c r="HC52"/>
      <c r="HD52"/>
      <c r="HE52"/>
      <c r="HF52"/>
      <c r="HG52"/>
      <c r="HH52"/>
    </row>
    <row r="53" spans="2:216" s="5" customFormat="1" ht="12.75" customHeight="1" x14ac:dyDescent="0.2">
      <c r="B53" s="123" t="s">
        <v>162</v>
      </c>
      <c r="C53" s="66"/>
      <c r="D53" s="67"/>
      <c r="E53" s="66"/>
      <c r="F53" s="66"/>
      <c r="G53" s="64"/>
      <c r="H53" s="66"/>
      <c r="I53" s="64"/>
      <c r="J53" s="66"/>
      <c r="K53" s="64"/>
      <c r="L53" s="61"/>
      <c r="M53" s="66"/>
      <c r="N53" s="61"/>
      <c r="O53" s="64"/>
      <c r="P53" s="61"/>
      <c r="Q53" s="64"/>
      <c r="R53" s="61"/>
      <c r="S53" s="64"/>
      <c r="T53" s="61"/>
      <c r="U53" s="64"/>
      <c r="V53" s="61"/>
      <c r="W53" s="64"/>
      <c r="X53" s="61"/>
      <c r="Y53" s="64"/>
      <c r="Z53" s="61"/>
      <c r="AA53" s="64"/>
      <c r="AB53" s="61"/>
      <c r="AC53" s="64"/>
      <c r="AD53" s="61"/>
      <c r="AE53" s="64"/>
      <c r="AF53" s="61"/>
      <c r="AG53" s="64"/>
      <c r="AH53" s="61"/>
      <c r="AI53" s="64"/>
      <c r="AJ53" s="61"/>
      <c r="AK53" s="64"/>
      <c r="AL53" s="61"/>
      <c r="AM53" s="64"/>
      <c r="AN53" s="61"/>
      <c r="AO53" s="64"/>
      <c r="AP53" s="61"/>
      <c r="AQ53" s="64"/>
      <c r="AR53" s="61"/>
      <c r="AS53" s="64"/>
      <c r="AT53" s="61"/>
      <c r="AU53" s="64"/>
      <c r="AV53" s="61"/>
      <c r="AW53" s="64"/>
      <c r="AX53" s="61"/>
      <c r="AY53" s="64"/>
      <c r="AZ53" s="61"/>
      <c r="BA53" s="64"/>
      <c r="BB53" s="61"/>
      <c r="BC53" s="64"/>
      <c r="BD53" s="61"/>
      <c r="BE53" s="64"/>
      <c r="BF53" s="61"/>
      <c r="BG53" s="75">
        <f>BG55-BG49-BG50-BG52</f>
        <v>181</v>
      </c>
      <c r="BH53" s="61" t="str">
        <f>IF(ISERROR((BG53/AY53-1)*100),"NA",IF(((BG53/AY53-1)*100)&gt;100,"NM",IF(((BG53/AY53-1)*100)&lt;-50,"NM",(BG53/AY53-1)*100)))</f>
        <v>NA</v>
      </c>
      <c r="BI53" s="75">
        <f>BI55-BI49-BI50-BI52</f>
        <v>166</v>
      </c>
      <c r="BJ53" s="61" t="str">
        <f>IF(ISERROR((BI53/BA53-1)*100),"NA",IF(((BI53/BA53-1)*100)&gt;100,"NM",IF(((BI53/BA53-1)*100)&lt;-50,"NM",(BI53/BA53-1)*100)))</f>
        <v>NA</v>
      </c>
      <c r="BK53" s="75">
        <f>BK55-BK49-BK50-BK52</f>
        <v>158</v>
      </c>
      <c r="BL53" s="61" t="str">
        <f>IF(ISERROR((BK53/BC53-1)*100),"NA",IF(((BK53/BC53-1)*100)&gt;100,"NM",IF(((BK53/BC53-1)*100)&lt;-50,"NM",(BK53/BC53-1)*100)))</f>
        <v>NA</v>
      </c>
      <c r="BM53" s="75">
        <f>BM55-BM49-BM50-BM52</f>
        <v>122</v>
      </c>
      <c r="BN53" s="61" t="str">
        <f>IF(ISERROR((BM53/BE53-1)*100),"NA",IF(((BM53/BE53-1)*100)&gt;100,"NM",IF(((BM53/BE53-1)*100)&lt;-50,"NM",(BM53/BE53-1)*100)))</f>
        <v>NA</v>
      </c>
      <c r="BO53" s="75">
        <f>BO55-BO49-BO50-BO52</f>
        <v>37</v>
      </c>
      <c r="BP53" s="61" t="str">
        <f>IF(ISERROR((BO53/BG53-1)*100),"NA",IF(((BO53/BG53-1)*100)&gt;100,"NM",IF(((BO53/BG53-1)*100)&lt;-50,"NM",(BO53/BG53-1)*100)))</f>
        <v>NM</v>
      </c>
      <c r="BQ53" s="75">
        <f>BQ55-BQ49-BQ50-BQ52</f>
        <v>104</v>
      </c>
      <c r="BR53" s="61">
        <f>IF(ISERROR((BQ53/BI53-1)*100),"NA",IF(((BQ53/BI53-1)*100)&gt;100,"NM",IF(((BQ53/BI53-1)*100)&lt;-50,"NM",(BQ53/BI53-1)*100)))</f>
        <v>-37.349397590361441</v>
      </c>
      <c r="BS53" s="75">
        <f>BS55-BS49-BS50-BS52</f>
        <v>104</v>
      </c>
      <c r="BT53" s="61">
        <f>IF(ISERROR((BS53/BK53-1)*100),"NA",IF(((BS53/BK53-1)*100)&gt;100,"NM",IF(((BS53/BK53-1)*100)&lt;-50,"NM",(BS53/BK53-1)*100)))</f>
        <v>-34.177215189873422</v>
      </c>
      <c r="BU53" s="75">
        <f>BU55-BU49-BU50-BU52</f>
        <v>112</v>
      </c>
      <c r="BV53" s="61">
        <f>IF(ISERROR((BU53/BM53-1)*100),"NA",IF(((BU53/BM53-1)*100)&gt;100,"NM",IF(((BU53/BM53-1)*100)&lt;-50,"NM",(BU53/BM53-1)*100)))</f>
        <v>-8.1967213114754074</v>
      </c>
      <c r="BW53" s="75">
        <f>BW55-BW49-BW50-BW52</f>
        <v>125</v>
      </c>
      <c r="BX53" s="61" t="str">
        <f>IF(ISERROR((BW53/BO53-1)*100),"NA",IF(((BW53/BO53-1)*100)&gt;100,"NM",IF(((BW53/BO53-1)*100)&lt;-50,"NM",(BW53/BO53-1)*100)))</f>
        <v>NM</v>
      </c>
      <c r="BY53" s="75">
        <f>BY55-BY49-BY50-BY52</f>
        <v>159</v>
      </c>
      <c r="BZ53" s="61">
        <f>IF(ISERROR((BY53/BQ53-1)*100),"NA",IF(((BY53/BQ53-1)*100)&gt;100,"NM",IF(((BY53/BQ53-1)*100)&lt;-50,"NM",(BY53/BQ53-1)*100)))</f>
        <v>52.884615384615373</v>
      </c>
      <c r="CA53" s="75">
        <f>CA55-CA49-CA50-CA52</f>
        <v>217</v>
      </c>
      <c r="CB53" s="61" t="str">
        <f>IF(ISERROR((CA53/BS53-1)*100),"NA",IF(((CA53/BS53-1)*100)&gt;100,"NM",IF(((CA53/BS53-1)*100)&lt;-50,"NM",(CA53/BS53-1)*100)))</f>
        <v>NM</v>
      </c>
      <c r="CC53" s="75">
        <f>CC55-CC49-CC50-CC52</f>
        <v>184</v>
      </c>
      <c r="CD53" s="61">
        <f>IF(ISERROR((CC53/BU53-1)*100),"NA",IF(((CC53/BU53-1)*100)&gt;100,"NM",IF(((CC53/BU53-1)*100)&lt;-50,"NM",(CC53/BU53-1)*100)))</f>
        <v>64.285714285714278</v>
      </c>
      <c r="CE53" s="75">
        <f>CE55-CE49-CE50-CE52</f>
        <v>182</v>
      </c>
      <c r="CF53" s="61">
        <f>IF(ISERROR((CE53/BW53-1)*100),"NA",IF(((CE53/BW53-1)*100)&gt;100,"NM",IF(((CE53/BW53-1)*100)&lt;-50,"NM",(CE53/BW53-1)*100)))</f>
        <v>45.599999999999994</v>
      </c>
      <c r="CG53" s="75">
        <f>CG55-CG49-CG50-CG52</f>
        <v>72</v>
      </c>
      <c r="CH53" s="61" t="str">
        <f>IF(ISERROR((CG53/BY53-1)*100),"NA",IF(((CG53/BY53-1)*100)&gt;100,"NM",IF(((CG53/BY53-1)*100)&lt;-50,"NM",(CG53/BY53-1)*100)))</f>
        <v>NM</v>
      </c>
      <c r="CI53" s="75">
        <f>CI55-CI49-CI50-CI52</f>
        <v>231</v>
      </c>
      <c r="CJ53" s="61">
        <f>IF(ISERROR((CI53/CA53-1)*100),"NA",IF(((CI53/CA53-1)*100)&gt;100,"NM",IF(((CI53/CA53-1)*100)&lt;-50,"NM",(CI53/CA53-1)*100)))</f>
        <v>6.4516129032258007</v>
      </c>
      <c r="CK53" s="75">
        <f>CK55-CK49-CK50-CK52</f>
        <v>224</v>
      </c>
      <c r="CL53" s="61">
        <f>IF(ISERROR((CK53/CC53-1)*100),"NA",IF(((CK53/CC53-1)*100)&gt;100,"NM",IF(((CK53/CC53-1)*100)&lt;-50,"NM",(CK53/CC53-1)*100)))</f>
        <v>21.739130434782616</v>
      </c>
      <c r="CM53" s="75">
        <f>CM55-CM49-CM50-CM52</f>
        <v>192</v>
      </c>
      <c r="CN53" s="61">
        <f>IF(ISERROR((CM53/CE53-1)*100),"NA",IF(((CM53/CE53-1)*100)&gt;100,"NM",IF(((CM53/CE53-1)*100)&lt;-50,"NM",(CM53/CE53-1)*100)))</f>
        <v>5.4945054945054972</v>
      </c>
      <c r="CO53" s="74">
        <v>153</v>
      </c>
      <c r="CP53" s="61" t="str">
        <f t="shared" si="289"/>
        <v>NM</v>
      </c>
      <c r="CQ53" s="74">
        <v>15</v>
      </c>
      <c r="CR53" s="61" t="str">
        <f t="shared" si="290"/>
        <v>NM</v>
      </c>
      <c r="CS53" s="74">
        <v>215</v>
      </c>
      <c r="CT53" s="61">
        <f t="shared" si="291"/>
        <v>-4.0178571428571397</v>
      </c>
      <c r="CU53" s="74">
        <v>241</v>
      </c>
      <c r="CV53" s="61">
        <f t="shared" si="292"/>
        <v>25.520833333333325</v>
      </c>
      <c r="CW53" s="74">
        <v>110</v>
      </c>
      <c r="CX53" s="61">
        <f t="shared" si="293"/>
        <v>-28.104575163398692</v>
      </c>
      <c r="CY53" s="74">
        <v>173</v>
      </c>
      <c r="CZ53" s="61" t="str">
        <f t="shared" si="294"/>
        <v>NM</v>
      </c>
      <c r="DA53" s="74">
        <v>135</v>
      </c>
      <c r="DB53" s="61">
        <f t="shared" si="295"/>
        <v>-37.209302325581397</v>
      </c>
      <c r="DC53" s="74">
        <v>254</v>
      </c>
      <c r="DD53" s="61">
        <f t="shared" si="296"/>
        <v>5.3941908713692976</v>
      </c>
      <c r="DE53" s="74">
        <v>150</v>
      </c>
      <c r="DF53" s="61">
        <f t="shared" si="297"/>
        <v>36.363636363636353</v>
      </c>
      <c r="DG53" s="74">
        <v>190</v>
      </c>
      <c r="DH53" s="61">
        <f t="shared" si="298"/>
        <v>9.8265895953757223</v>
      </c>
      <c r="DI53" s="74">
        <v>254</v>
      </c>
      <c r="DJ53" s="61">
        <f t="shared" si="299"/>
        <v>88.148148148148152</v>
      </c>
      <c r="DK53" s="74">
        <v>168</v>
      </c>
      <c r="DL53" s="61">
        <f t="shared" si="300"/>
        <v>-33.85826771653543</v>
      </c>
      <c r="DM53" s="74">
        <v>211</v>
      </c>
      <c r="DN53" s="130">
        <f t="shared" si="266"/>
        <v>40.666666666666671</v>
      </c>
      <c r="DO53" s="74">
        <v>118</v>
      </c>
      <c r="DP53" s="130">
        <f t="shared" si="266"/>
        <v>-37.89473684210526</v>
      </c>
      <c r="DQ53" s="74">
        <v>188</v>
      </c>
      <c r="DR53" s="130">
        <f t="shared" si="266"/>
        <v>-25.984251968503933</v>
      </c>
      <c r="DS53" s="74">
        <v>146</v>
      </c>
      <c r="DT53" s="130">
        <f t="shared" si="266"/>
        <v>-13.095238095238093</v>
      </c>
      <c r="DU53" s="74">
        <v>117</v>
      </c>
      <c r="DV53" s="130">
        <f t="shared" si="266"/>
        <v>-44.54976303317536</v>
      </c>
      <c r="DW53" s="74">
        <v>31</v>
      </c>
      <c r="DX53" s="74">
        <v>31</v>
      </c>
      <c r="DY53" s="74">
        <v>200</v>
      </c>
      <c r="DZ53" s="130">
        <f t="shared" si="266"/>
        <v>6.3829787234042534</v>
      </c>
      <c r="EA53" s="74">
        <v>103</v>
      </c>
      <c r="EB53" s="130">
        <f t="shared" si="268"/>
        <v>-29.452054794520542</v>
      </c>
      <c r="EC53" s="74">
        <v>143</v>
      </c>
      <c r="ED53" s="130">
        <f t="shared" si="269"/>
        <v>22.222222222222232</v>
      </c>
      <c r="EE53" s="74">
        <v>163</v>
      </c>
      <c r="EF53" s="130" t="str">
        <f t="shared" si="270"/>
        <v>NM</v>
      </c>
      <c r="EG53" s="74">
        <v>145</v>
      </c>
      <c r="EH53" s="130">
        <f t="shared" si="271"/>
        <v>-27.500000000000004</v>
      </c>
      <c r="EI53" s="74">
        <v>220</v>
      </c>
      <c r="EJ53" s="130" t="str">
        <f t="shared" si="272"/>
        <v>NM</v>
      </c>
      <c r="EK53" s="74">
        <v>168</v>
      </c>
      <c r="EL53" s="130">
        <f t="shared" si="274"/>
        <v>17.48251748251748</v>
      </c>
      <c r="EM53" s="74">
        <v>179</v>
      </c>
      <c r="EN53" s="130">
        <f t="shared" si="275"/>
        <v>9.8159509202454096</v>
      </c>
      <c r="EO53" s="74">
        <v>208</v>
      </c>
      <c r="EP53" s="130">
        <f t="shared" si="277"/>
        <v>43.448275862068961</v>
      </c>
      <c r="EQ53" s="75">
        <f t="shared" ref="EQ53:EW53" si="308">EQ64/400*EQ49</f>
        <v>211.02428300189868</v>
      </c>
      <c r="ER53" s="130">
        <f t="shared" si="279"/>
        <v>-4.0798713627733241</v>
      </c>
      <c r="ES53" s="75">
        <f t="shared" si="308"/>
        <v>214.23670856751829</v>
      </c>
      <c r="ET53" s="130">
        <f t="shared" si="281"/>
        <v>27.521850337808516</v>
      </c>
      <c r="EU53" s="75">
        <f t="shared" si="308"/>
        <v>217.92491390611019</v>
      </c>
      <c r="EV53" s="130">
        <f t="shared" si="283"/>
        <v>21.745761958720777</v>
      </c>
      <c r="EW53" s="75">
        <f t="shared" si="308"/>
        <v>222.09125710515727</v>
      </c>
      <c r="EX53" s="130">
        <f t="shared" si="285"/>
        <v>6.7746428390179192</v>
      </c>
      <c r="EY53" s="64"/>
      <c r="EZ53" s="558"/>
      <c r="FA53" s="64"/>
      <c r="FB53" s="66"/>
      <c r="FC53" s="66"/>
      <c r="FD53" s="66"/>
      <c r="FE53" s="67"/>
      <c r="FF53" s="66"/>
      <c r="FG53" s="67"/>
      <c r="FH53" s="66"/>
      <c r="FI53" s="67"/>
      <c r="FJ53" s="66"/>
      <c r="FK53" s="67"/>
      <c r="FL53" s="66"/>
      <c r="FM53" s="61"/>
      <c r="FN53" s="66"/>
      <c r="FO53" s="61"/>
      <c r="FP53" s="65"/>
      <c r="FQ53" s="61"/>
      <c r="FR53" s="65"/>
      <c r="FS53" s="61"/>
      <c r="FT53" s="75">
        <f>BG53+BI53+BK53+BM53</f>
        <v>627</v>
      </c>
      <c r="FU53" s="61" t="str">
        <f t="shared" si="302"/>
        <v>NA</v>
      </c>
      <c r="FV53" s="75">
        <f>BO53+BQ53+BS53+BU53</f>
        <v>357</v>
      </c>
      <c r="FW53" s="61">
        <f t="shared" si="303"/>
        <v>-43.062200956937801</v>
      </c>
      <c r="FX53" s="75">
        <f>BW53+BY53+CA53+CC53</f>
        <v>685</v>
      </c>
      <c r="FY53" s="61">
        <f t="shared" si="304"/>
        <v>91.876750700280112</v>
      </c>
      <c r="FZ53" s="75">
        <f>CE53+CG53+CI53+CK53</f>
        <v>709</v>
      </c>
      <c r="GA53" s="61">
        <f t="shared" si="305"/>
        <v>3.5036496350364876</v>
      </c>
      <c r="GB53" s="75">
        <f>CM53+CO53+CQ53+CS53</f>
        <v>575</v>
      </c>
      <c r="GC53" s="61">
        <f t="shared" si="306"/>
        <v>-18.89985895627645</v>
      </c>
      <c r="GD53" s="75">
        <f>CU53+CW53+CY53+DA53</f>
        <v>659</v>
      </c>
      <c r="GE53" s="61">
        <f t="shared" si="307"/>
        <v>14.608695652173909</v>
      </c>
      <c r="GF53" s="75">
        <f>DC53+DE53+DG53+DI53</f>
        <v>848</v>
      </c>
      <c r="GG53" s="61">
        <f t="shared" si="286"/>
        <v>28.67981790591805</v>
      </c>
      <c r="GH53" s="75">
        <f>DK53+DM53+DO53+DQ53</f>
        <v>685</v>
      </c>
      <c r="GI53" s="61">
        <f t="shared" si="286"/>
        <v>-19.221698113207552</v>
      </c>
      <c r="GJ53" s="75">
        <f>DS53+DU53+DW53+DY53</f>
        <v>494</v>
      </c>
      <c r="GK53" s="61">
        <f t="shared" si="286"/>
        <v>-27.883211678832119</v>
      </c>
      <c r="GL53" s="75">
        <f>EA53+EC53+EE53+EG53</f>
        <v>554</v>
      </c>
      <c r="GM53" s="61">
        <f t="shared" si="286"/>
        <v>12.145748987854255</v>
      </c>
      <c r="GN53" s="75">
        <f>EI53+EK53+EM53+EO53</f>
        <v>775</v>
      </c>
      <c r="GO53" s="61">
        <f t="shared" si="286"/>
        <v>39.891696750902518</v>
      </c>
      <c r="GP53" s="75">
        <f>EQ53+ES53+EU53+EW53</f>
        <v>865.27716258068449</v>
      </c>
      <c r="GQ53" s="61">
        <f t="shared" si="286"/>
        <v>11.648666139443154</v>
      </c>
      <c r="GR53" s="75">
        <f>GR64/100*GR49</f>
        <v>929.75202623042173</v>
      </c>
      <c r="GS53" s="61">
        <f t="shared" si="286"/>
        <v>7.4513539057752709</v>
      </c>
      <c r="GT53" s="75">
        <f>GT64/100*GT49</f>
        <v>997.4340111686771</v>
      </c>
      <c r="GU53" s="61">
        <f t="shared" si="286"/>
        <v>7.2795738034220348</v>
      </c>
      <c r="GV53" s="75">
        <f>GV64/100*GV49</f>
        <v>1063.3289971882168</v>
      </c>
      <c r="GW53" s="61">
        <f t="shared" si="286"/>
        <v>6.6064506806151169</v>
      </c>
      <c r="GX53" s="75">
        <f>GX64/100*GX49</f>
        <v>1127.6011498799173</v>
      </c>
      <c r="GY53" s="61">
        <f t="shared" si="287"/>
        <v>6.0444277229020127</v>
      </c>
      <c r="GZ53" s="61">
        <f t="shared" si="288"/>
        <v>7.7880863266411637</v>
      </c>
      <c r="HA53" s="61"/>
      <c r="HB53" s="452"/>
      <c r="HC53"/>
      <c r="HD53"/>
      <c r="HE53"/>
      <c r="HF53"/>
      <c r="HG53"/>
      <c r="HH53"/>
    </row>
    <row r="54" spans="2:216" s="5" customFormat="1" ht="12.75" customHeight="1" x14ac:dyDescent="0.2">
      <c r="B54" s="123" t="s">
        <v>165</v>
      </c>
      <c r="C54" s="66"/>
      <c r="D54" s="67"/>
      <c r="E54" s="66"/>
      <c r="F54" s="66"/>
      <c r="G54" s="64"/>
      <c r="H54" s="66"/>
      <c r="I54" s="64"/>
      <c r="J54" s="66"/>
      <c r="K54" s="64"/>
      <c r="L54" s="61"/>
      <c r="M54" s="66"/>
      <c r="N54" s="61"/>
      <c r="O54" s="64"/>
      <c r="P54" s="61"/>
      <c r="Q54" s="64"/>
      <c r="R54" s="61"/>
      <c r="S54" s="64"/>
      <c r="T54" s="61"/>
      <c r="U54" s="64"/>
      <c r="V54" s="61"/>
      <c r="W54" s="64"/>
      <c r="X54" s="61"/>
      <c r="Y54" s="64"/>
      <c r="Z54" s="61"/>
      <c r="AA54" s="64"/>
      <c r="AB54" s="61"/>
      <c r="AC54" s="64"/>
      <c r="AD54" s="61"/>
      <c r="AE54" s="64"/>
      <c r="AF54" s="61"/>
      <c r="AG54" s="64"/>
      <c r="AH54" s="61"/>
      <c r="AI54" s="64"/>
      <c r="AJ54" s="61"/>
      <c r="AK54" s="64"/>
      <c r="AL54" s="61"/>
      <c r="AM54" s="64"/>
      <c r="AN54" s="61"/>
      <c r="AO54" s="64"/>
      <c r="AP54" s="61"/>
      <c r="AQ54" s="64"/>
      <c r="AR54" s="61"/>
      <c r="AS54" s="64"/>
      <c r="AT54" s="61"/>
      <c r="AU54" s="64"/>
      <c r="AV54" s="61"/>
      <c r="AW54" s="64"/>
      <c r="AX54" s="61"/>
      <c r="AY54" s="64"/>
      <c r="AZ54" s="61"/>
      <c r="BA54" s="64"/>
      <c r="BB54" s="61"/>
      <c r="BC54" s="64"/>
      <c r="BD54" s="61"/>
      <c r="BE54" s="64"/>
      <c r="BF54" s="61"/>
      <c r="BG54" s="74"/>
      <c r="BH54" s="61"/>
      <c r="BI54" s="74"/>
      <c r="BJ54" s="61"/>
      <c r="BK54" s="74"/>
      <c r="BL54" s="61"/>
      <c r="BM54" s="74"/>
      <c r="BN54" s="61"/>
      <c r="BO54" s="74"/>
      <c r="BP54" s="61"/>
      <c r="BQ54" s="74"/>
      <c r="BR54" s="61"/>
      <c r="BS54" s="74"/>
      <c r="BT54" s="61"/>
      <c r="BU54" s="74"/>
      <c r="BV54" s="61"/>
      <c r="BW54" s="74"/>
      <c r="BX54" s="61"/>
      <c r="BY54" s="74"/>
      <c r="BZ54" s="61"/>
      <c r="CA54" s="74"/>
      <c r="CB54" s="61"/>
      <c r="CC54" s="74"/>
      <c r="CD54" s="61"/>
      <c r="CE54" s="74"/>
      <c r="CF54" s="61"/>
      <c r="CG54" s="74"/>
      <c r="CH54" s="61"/>
      <c r="CI54" s="74"/>
      <c r="CJ54" s="61"/>
      <c r="CK54" s="74"/>
      <c r="CL54" s="61"/>
      <c r="CM54" s="74"/>
      <c r="CN54" s="61"/>
      <c r="CO54" s="74">
        <v>8</v>
      </c>
      <c r="CP54" s="61" t="str">
        <f t="shared" si="289"/>
        <v>NA</v>
      </c>
      <c r="CQ54" s="74">
        <v>10</v>
      </c>
      <c r="CR54" s="61" t="str">
        <f t="shared" si="290"/>
        <v>NA</v>
      </c>
      <c r="CS54" s="74">
        <v>10</v>
      </c>
      <c r="CT54" s="61" t="str">
        <f t="shared" si="291"/>
        <v>NA</v>
      </c>
      <c r="CU54" s="74">
        <v>9</v>
      </c>
      <c r="CV54" s="61" t="str">
        <f t="shared" si="292"/>
        <v>NA</v>
      </c>
      <c r="CW54" s="74">
        <v>9</v>
      </c>
      <c r="CX54" s="61">
        <f t="shared" si="293"/>
        <v>12.5</v>
      </c>
      <c r="CY54" s="74">
        <v>11</v>
      </c>
      <c r="CZ54" s="61">
        <f t="shared" si="294"/>
        <v>10.000000000000009</v>
      </c>
      <c r="DA54" s="74">
        <v>7</v>
      </c>
      <c r="DB54" s="61">
        <f t="shared" si="295"/>
        <v>-30.000000000000004</v>
      </c>
      <c r="DC54" s="74">
        <v>2</v>
      </c>
      <c r="DD54" s="61" t="str">
        <f t="shared" si="296"/>
        <v>NM</v>
      </c>
      <c r="DE54" s="74">
        <v>3</v>
      </c>
      <c r="DF54" s="61" t="str">
        <f t="shared" si="297"/>
        <v>NM</v>
      </c>
      <c r="DG54" s="74">
        <v>2</v>
      </c>
      <c r="DH54" s="61" t="str">
        <f t="shared" si="298"/>
        <v>NM</v>
      </c>
      <c r="DI54" s="74">
        <v>2</v>
      </c>
      <c r="DJ54" s="61" t="str">
        <f t="shared" si="299"/>
        <v>NM</v>
      </c>
      <c r="DK54" s="74">
        <v>2</v>
      </c>
      <c r="DL54" s="61">
        <f t="shared" si="300"/>
        <v>0</v>
      </c>
      <c r="DM54" s="74">
        <v>1</v>
      </c>
      <c r="DN54" s="130" t="str">
        <f t="shared" si="266"/>
        <v>NM</v>
      </c>
      <c r="DO54" s="74">
        <v>1</v>
      </c>
      <c r="DP54" s="130">
        <f t="shared" si="266"/>
        <v>-50</v>
      </c>
      <c r="DQ54" s="74">
        <v>2</v>
      </c>
      <c r="DR54" s="130">
        <f t="shared" si="266"/>
        <v>0</v>
      </c>
      <c r="DS54" s="74">
        <v>5</v>
      </c>
      <c r="DT54" s="130" t="str">
        <f t="shared" si="266"/>
        <v>NM</v>
      </c>
      <c r="DU54" s="74">
        <v>7</v>
      </c>
      <c r="DV54" s="130" t="str">
        <f t="shared" si="266"/>
        <v>NM</v>
      </c>
      <c r="DW54" s="74">
        <v>3</v>
      </c>
      <c r="DX54" s="74">
        <v>3</v>
      </c>
      <c r="DY54" s="74">
        <v>6</v>
      </c>
      <c r="DZ54" s="130" t="str">
        <f t="shared" si="266"/>
        <v>NM</v>
      </c>
      <c r="EA54" s="74">
        <v>7</v>
      </c>
      <c r="EB54" s="130">
        <f t="shared" si="268"/>
        <v>39.999999999999993</v>
      </c>
      <c r="EC54" s="74">
        <v>4</v>
      </c>
      <c r="ED54" s="130">
        <f t="shared" si="269"/>
        <v>-42.857142857142861</v>
      </c>
      <c r="EE54" s="74">
        <v>2</v>
      </c>
      <c r="EF54" s="130">
        <f t="shared" si="270"/>
        <v>-33.333333333333336</v>
      </c>
      <c r="EG54" s="74">
        <v>2</v>
      </c>
      <c r="EH54" s="130" t="str">
        <f t="shared" si="271"/>
        <v>NM</v>
      </c>
      <c r="EI54" s="74">
        <v>2</v>
      </c>
      <c r="EJ54" s="130" t="str">
        <f t="shared" si="272"/>
        <v>NM</v>
      </c>
      <c r="EK54" s="74">
        <v>3</v>
      </c>
      <c r="EL54" s="130">
        <f t="shared" si="274"/>
        <v>-25</v>
      </c>
      <c r="EM54" s="74">
        <v>5</v>
      </c>
      <c r="EN54" s="130" t="str">
        <f t="shared" si="275"/>
        <v>NM</v>
      </c>
      <c r="EO54" s="74">
        <v>9</v>
      </c>
      <c r="EP54" s="130" t="str">
        <f t="shared" si="277"/>
        <v>NM</v>
      </c>
      <c r="EQ54" s="64">
        <f t="shared" ref="EQ54" si="309">EI54</f>
        <v>2</v>
      </c>
      <c r="ER54" s="130">
        <f t="shared" si="279"/>
        <v>0</v>
      </c>
      <c r="ES54" s="64">
        <f t="shared" ref="ES54" si="310">EK54</f>
        <v>3</v>
      </c>
      <c r="ET54" s="130">
        <f t="shared" si="281"/>
        <v>0</v>
      </c>
      <c r="EU54" s="64">
        <f t="shared" ref="EU54" si="311">EM54</f>
        <v>5</v>
      </c>
      <c r="EV54" s="130">
        <f t="shared" si="283"/>
        <v>0</v>
      </c>
      <c r="EW54" s="64">
        <f t="shared" ref="EW54" si="312">EO54</f>
        <v>9</v>
      </c>
      <c r="EX54" s="130">
        <f t="shared" si="285"/>
        <v>0</v>
      </c>
      <c r="EY54" s="64"/>
      <c r="EZ54" s="558"/>
      <c r="FA54" s="64"/>
      <c r="FB54" s="66"/>
      <c r="FC54" s="66"/>
      <c r="FD54" s="66"/>
      <c r="FE54" s="67"/>
      <c r="FF54" s="66"/>
      <c r="FG54" s="67"/>
      <c r="FH54" s="66"/>
      <c r="FI54" s="67"/>
      <c r="FJ54" s="66"/>
      <c r="FK54" s="67"/>
      <c r="FL54" s="66"/>
      <c r="FM54" s="61"/>
      <c r="FN54" s="66"/>
      <c r="FO54" s="61"/>
      <c r="FP54" s="65"/>
      <c r="FQ54" s="61"/>
      <c r="FR54" s="65"/>
      <c r="FS54" s="61"/>
      <c r="FT54" s="75">
        <f>BG54+BI54+BK54+BM54</f>
        <v>0</v>
      </c>
      <c r="FU54" s="61" t="str">
        <f t="shared" si="302"/>
        <v>NA</v>
      </c>
      <c r="FV54" s="75">
        <f>BO54+BQ54+BS54+BU54</f>
        <v>0</v>
      </c>
      <c r="FW54" s="61" t="str">
        <f t="shared" si="303"/>
        <v>NA</v>
      </c>
      <c r="FX54" s="75">
        <f>BW54+BY54+CA54+CC54</f>
        <v>0</v>
      </c>
      <c r="FY54" s="61" t="str">
        <f t="shared" si="304"/>
        <v>NA</v>
      </c>
      <c r="FZ54" s="75">
        <f>CE54+CG54+CI54+CK54</f>
        <v>0</v>
      </c>
      <c r="GA54" s="61" t="str">
        <f t="shared" si="305"/>
        <v>NA</v>
      </c>
      <c r="GB54" s="75">
        <f>CM54+CO54+CQ54+CS54</f>
        <v>28</v>
      </c>
      <c r="GC54" s="61" t="str">
        <f t="shared" si="306"/>
        <v>NA</v>
      </c>
      <c r="GD54" s="75">
        <f>CU54+CW54+CY54+DA54</f>
        <v>36</v>
      </c>
      <c r="GE54" s="61">
        <f t="shared" si="307"/>
        <v>28.57142857142858</v>
      </c>
      <c r="GF54" s="75">
        <f>DC54+DE54+DG54+DI54</f>
        <v>9</v>
      </c>
      <c r="GG54" s="61" t="str">
        <f t="shared" si="286"/>
        <v>NM</v>
      </c>
      <c r="GH54" s="75">
        <f>DK54+DM54+DO54+DQ54</f>
        <v>6</v>
      </c>
      <c r="GI54" s="61">
        <f t="shared" si="286"/>
        <v>-33.333333333333336</v>
      </c>
      <c r="GJ54" s="75">
        <f>DS54+DU54+DW54+DY54</f>
        <v>21</v>
      </c>
      <c r="GK54" s="61" t="str">
        <f t="shared" si="286"/>
        <v>NM</v>
      </c>
      <c r="GL54" s="75">
        <f>EA54+EC54+EE54+EG54</f>
        <v>15</v>
      </c>
      <c r="GM54" s="61">
        <f t="shared" si="286"/>
        <v>-28.571428571428569</v>
      </c>
      <c r="GN54" s="75">
        <f>EI54+EK54+EM54+EO54</f>
        <v>19</v>
      </c>
      <c r="GO54" s="61">
        <f t="shared" si="286"/>
        <v>26.666666666666661</v>
      </c>
      <c r="GP54" s="75">
        <f>EQ54+ES54+EU54+EW54</f>
        <v>19</v>
      </c>
      <c r="GQ54" s="61">
        <f t="shared" si="286"/>
        <v>0</v>
      </c>
      <c r="GR54" s="74">
        <f>GP54</f>
        <v>19</v>
      </c>
      <c r="GS54" s="61">
        <f t="shared" si="286"/>
        <v>0</v>
      </c>
      <c r="GT54" s="74">
        <f>GR54</f>
        <v>19</v>
      </c>
      <c r="GU54" s="61">
        <f t="shared" si="286"/>
        <v>0</v>
      </c>
      <c r="GV54" s="74">
        <f>GT54</f>
        <v>19</v>
      </c>
      <c r="GW54" s="61">
        <f t="shared" si="286"/>
        <v>0</v>
      </c>
      <c r="GX54" s="74">
        <f>GV54</f>
        <v>19</v>
      </c>
      <c r="GY54" s="61">
        <f t="shared" si="287"/>
        <v>0</v>
      </c>
      <c r="GZ54" s="61">
        <f t="shared" si="288"/>
        <v>0</v>
      </c>
      <c r="HA54" s="61"/>
      <c r="HB54" s="452"/>
      <c r="HC54"/>
      <c r="HD54"/>
      <c r="HE54"/>
      <c r="HF54"/>
      <c r="HG54"/>
      <c r="HH54"/>
    </row>
    <row r="55" spans="2:216" s="5" customFormat="1" ht="12.75" customHeight="1" x14ac:dyDescent="0.2">
      <c r="B55" s="241" t="s">
        <v>237</v>
      </c>
      <c r="C55" s="66"/>
      <c r="D55" s="67"/>
      <c r="E55" s="66"/>
      <c r="F55" s="66"/>
      <c r="G55" s="64"/>
      <c r="H55" s="66"/>
      <c r="I55" s="64"/>
      <c r="J55" s="66"/>
      <c r="K55" s="64"/>
      <c r="L55" s="61"/>
      <c r="M55" s="66"/>
      <c r="N55" s="61"/>
      <c r="O55" s="64"/>
      <c r="P55" s="61"/>
      <c r="Q55" s="64"/>
      <c r="R55" s="61"/>
      <c r="S55" s="64"/>
      <c r="T55" s="61"/>
      <c r="U55" s="64"/>
      <c r="V55" s="61"/>
      <c r="W55" s="64"/>
      <c r="X55" s="61"/>
      <c r="Y55" s="64"/>
      <c r="Z55" s="61"/>
      <c r="AA55" s="64"/>
      <c r="AB55" s="61"/>
      <c r="AC55" s="64"/>
      <c r="AD55" s="61"/>
      <c r="AE55" s="64"/>
      <c r="AF55" s="61"/>
      <c r="AG55" s="64"/>
      <c r="AH55" s="61"/>
      <c r="AI55" s="64"/>
      <c r="AJ55" s="61"/>
      <c r="AK55" s="64"/>
      <c r="AL55" s="61"/>
      <c r="AM55" s="64"/>
      <c r="AN55" s="61"/>
      <c r="AO55" s="64"/>
      <c r="AP55" s="61"/>
      <c r="AQ55" s="64"/>
      <c r="AR55" s="61"/>
      <c r="AS55" s="64"/>
      <c r="AT55" s="61"/>
      <c r="AU55" s="64"/>
      <c r="AV55" s="61"/>
      <c r="AW55" s="64"/>
      <c r="AX55" s="61"/>
      <c r="AY55" s="64"/>
      <c r="AZ55" s="61"/>
      <c r="BA55" s="64"/>
      <c r="BB55" s="61"/>
      <c r="BC55" s="64"/>
      <c r="BD55" s="61"/>
      <c r="BE55" s="64"/>
      <c r="BF55" s="61"/>
      <c r="BG55" s="64">
        <f>10818+3844</f>
        <v>14662</v>
      </c>
      <c r="BH55" s="61" t="str">
        <f>IF(ISERROR((BG55/AY55-1)*100),"NA",IF(((BG55/AY55-1)*100)&gt;100,"NM",IF(((BG55/AY55-1)*100)&lt;-50,"NM",(BG55/AY55-1)*100)))</f>
        <v>NA</v>
      </c>
      <c r="BI55" s="64">
        <f>10377+4033</f>
        <v>14410</v>
      </c>
      <c r="BJ55" s="61" t="str">
        <f>IF(ISERROR((BI55/BA55-1)*100),"NA",IF(((BI55/BA55-1)*100)&gt;100,"NM",IF(((BI55/BA55-1)*100)&lt;-50,"NM",(BI55/BA55-1)*100)))</f>
        <v>NA</v>
      </c>
      <c r="BK55" s="64">
        <f>10115+4228</f>
        <v>14343</v>
      </c>
      <c r="BL55" s="61" t="str">
        <f>IF(ISERROR((BK55/BC55-1)*100),"NA",IF(((BK55/BC55-1)*100)&gt;100,"NM",IF(((BK55/BC55-1)*100)&lt;-50,"NM",(BK55/BC55-1)*100)))</f>
        <v>NA</v>
      </c>
      <c r="BM55" s="64">
        <f>9960+4392</f>
        <v>14352</v>
      </c>
      <c r="BN55" s="61" t="str">
        <f>IF(ISERROR((BM55/BE55-1)*100),"NA",IF(((BM55/BE55-1)*100)&gt;100,"NM",IF(((BM55/BE55-1)*100)&lt;-50,"NM",(BM55/BE55-1)*100)))</f>
        <v>NA</v>
      </c>
      <c r="BO55" s="64">
        <f>9767+4465</f>
        <v>14232</v>
      </c>
      <c r="BP55" s="61">
        <f>IF(ISERROR((BO55/BG55-1)*100),"NA",IF(((BO55/BG55-1)*100)&gt;100,"NM",IF(((BO55/BG55-1)*100)&lt;-50,"NM",(BO55/BG55-1)*100)))</f>
        <v>-2.9327513299686303</v>
      </c>
      <c r="BQ55" s="64">
        <f>9595+4726</f>
        <v>14321</v>
      </c>
      <c r="BR55" s="61">
        <f>IF(ISERROR((BQ55/BI55-1)*100),"NA",IF(((BQ55/BI55-1)*100)&gt;100,"NM",IF(((BQ55/BI55-1)*100)&lt;-50,"NM",(BQ55/BI55-1)*100)))</f>
        <v>-0.61762664816099599</v>
      </c>
      <c r="BS55" s="64">
        <f>9305+4836</f>
        <v>14141</v>
      </c>
      <c r="BT55" s="61">
        <f>IF(ISERROR((BS55/BK55-1)*100),"NA",IF(((BS55/BK55-1)*100)&gt;100,"NM",IF(((BS55/BK55-1)*100)&lt;-50,"NM",(BS55/BK55-1)*100)))</f>
        <v>-1.4083525064491398</v>
      </c>
      <c r="BU55" s="64">
        <f>9035+5003</f>
        <v>14038</v>
      </c>
      <c r="BV55" s="61">
        <f>IF(ISERROR((BU55/BM55-1)*100),"NA",IF(((BU55/BM55-1)*100)&gt;100,"NM",IF(((BU55/BM55-1)*100)&lt;-50,"NM",(BU55/BM55-1)*100)))</f>
        <v>-2.1878483835005569</v>
      </c>
      <c r="BW55" s="64">
        <f>8959+5195</f>
        <v>14154</v>
      </c>
      <c r="BX55" s="61">
        <f>IF(ISERROR((BW55/BO55-1)*100),"NA",IF(((BW55/BO55-1)*100)&gt;100,"NM",IF(((BW55/BO55-1)*100)&lt;-50,"NM",(BW55/BO55-1)*100)))</f>
        <v>-0.54806070826306508</v>
      </c>
      <c r="BY55" s="64">
        <f>8981+5716</f>
        <v>14697</v>
      </c>
      <c r="BZ55" s="61">
        <f>IF(ISERROR((BY55/BQ55-1)*100),"NA",IF(((BY55/BQ55-1)*100)&gt;100,"NM",IF(((BY55/BQ55-1)*100)&lt;-50,"NM",(BY55/BQ55-1)*100)))</f>
        <v>2.6255149780043396</v>
      </c>
      <c r="CA55" s="64">
        <f>9219+6557</f>
        <v>15776</v>
      </c>
      <c r="CB55" s="61">
        <f>IF(ISERROR((CA55/BS55-1)*100),"NA",IF(((CA55/BS55-1)*100)&gt;100,"NM",IF(((CA55/BS55-1)*100)&lt;-50,"NM",(CA55/BS55-1)*100)))</f>
        <v>11.56212431935506</v>
      </c>
      <c r="CC55" s="64">
        <f>9102+6839</f>
        <v>15941</v>
      </c>
      <c r="CD55" s="61">
        <f>IF(ISERROR((CC55/BU55-1)*100),"NA",IF(((CC55/BU55-1)*100)&gt;100,"NM",IF(((CC55/BU55-1)*100)&lt;-50,"NM",(CC55/BU55-1)*100)))</f>
        <v>13.55606211711069</v>
      </c>
      <c r="CE55" s="64">
        <f>9015+7131</f>
        <v>16146</v>
      </c>
      <c r="CF55" s="61">
        <f>IF(ISERROR((CE55/BW55-1)*100),"NA",IF(((CE55/BW55-1)*100)&gt;100,"NM",IF(((CE55/BW55-1)*100)&lt;-50,"NM",(CE55/BW55-1)*100)))</f>
        <v>14.073760067825347</v>
      </c>
      <c r="CG55" s="64">
        <f>8977+7524</f>
        <v>16501</v>
      </c>
      <c r="CH55" s="61">
        <f>IF(ISERROR((CG55/BY55-1)*100),"NA",IF(((CG55/BY55-1)*100)&gt;100,"NM",IF(((CG55/BY55-1)*100)&lt;-50,"NM",(CG55/BY55-1)*100)))</f>
        <v>12.27461386677553</v>
      </c>
      <c r="CI55" s="64">
        <f>8915+8389</f>
        <v>17304</v>
      </c>
      <c r="CJ55" s="61">
        <f>IF(ISERROR((CI55/CA55-1)*100),"NA",IF(((CI55/CA55-1)*100)&gt;100,"NM",IF(((CI55/CA55-1)*100)&lt;-50,"NM",(CI55/CA55-1)*100)))</f>
        <v>9.6855983772819556</v>
      </c>
      <c r="CK55" s="64">
        <f>8740+8680</f>
        <v>17420</v>
      </c>
      <c r="CL55" s="61">
        <f>IF(ISERROR((CK55/CC55-1)*100),"NA",IF(((CK55/CC55-1)*100)&gt;100,"NM",IF(((CK55/CC55-1)*100)&lt;-50,"NM",(CK55/CC55-1)*100)))</f>
        <v>9.2779624866695887</v>
      </c>
      <c r="CM55" s="64">
        <f>8627+9016</f>
        <v>17643</v>
      </c>
      <c r="CN55" s="61">
        <f>IF(ISERROR((CM55/CE55-1)*100),"NA",IF(((CM55/CE55-1)*100)&gt;100,"NM",IF(((CM55/CE55-1)*100)&lt;-50,"NM",(CM55/CE55-1)*100)))</f>
        <v>9.2716462281679632</v>
      </c>
      <c r="CO55" s="65">
        <f>CO49+CO50+CO52+CO53+CO54</f>
        <v>17938</v>
      </c>
      <c r="CP55" s="61">
        <f t="shared" si="289"/>
        <v>8.7085631173868361</v>
      </c>
      <c r="CQ55" s="65">
        <f>CQ49+CQ50+CQ52+CQ53+CQ54</f>
        <v>18009</v>
      </c>
      <c r="CR55" s="61">
        <f t="shared" si="290"/>
        <v>4.0742024965325863</v>
      </c>
      <c r="CS55" s="65">
        <f>CS49+CS50+CS52+CS53+CS54</f>
        <v>18106</v>
      </c>
      <c r="CT55" s="61">
        <f t="shared" si="291"/>
        <v>3.9380022962112404</v>
      </c>
      <c r="CU55" s="65">
        <f>CU49+CU50+CU52+CU53+CU54</f>
        <v>18186</v>
      </c>
      <c r="CV55" s="61">
        <f t="shared" si="292"/>
        <v>3.0777078728107421</v>
      </c>
      <c r="CW55" s="65">
        <f>CW49+CW50+CW52+CW53+CW54</f>
        <v>18273</v>
      </c>
      <c r="CX55" s="61">
        <f t="shared" si="293"/>
        <v>1.8675437618463686</v>
      </c>
      <c r="CY55" s="65">
        <f>CY49+CY50+CY52+CY53+CY54</f>
        <v>18347</v>
      </c>
      <c r="CZ55" s="61">
        <f t="shared" si="294"/>
        <v>1.8768393580987253</v>
      </c>
      <c r="DA55" s="65">
        <f>DA49+DA50+DA52+DA53+DA54</f>
        <v>18438</v>
      </c>
      <c r="DB55" s="61">
        <f t="shared" si="295"/>
        <v>1.8336463050922402</v>
      </c>
      <c r="DC55" s="65">
        <f>DC49+DC50+DC52+DC53+DC54</f>
        <v>18539</v>
      </c>
      <c r="DD55" s="61">
        <f t="shared" si="296"/>
        <v>1.9410535576817267</v>
      </c>
      <c r="DE55" s="65">
        <f>DE49+DE50+DE52+DE53+DE54</f>
        <v>18494</v>
      </c>
      <c r="DF55" s="61">
        <f t="shared" si="297"/>
        <v>1.2094346850544557</v>
      </c>
      <c r="DG55" s="65">
        <f>DG49+DG50+DG52+DG53+DG54</f>
        <v>18457</v>
      </c>
      <c r="DH55" s="61">
        <f t="shared" si="298"/>
        <v>0.59955306044585654</v>
      </c>
      <c r="DI55" s="65">
        <f>DI49+DI50+DI52+DI53+DI54</f>
        <v>18552</v>
      </c>
      <c r="DJ55" s="61">
        <f t="shared" si="299"/>
        <v>0.61828831760495362</v>
      </c>
      <c r="DK55" s="65">
        <f>DK49+DK50+DK52+DK53+DK54</f>
        <v>18730</v>
      </c>
      <c r="DL55" s="61">
        <f t="shared" si="300"/>
        <v>1.0302605318517788</v>
      </c>
      <c r="DM55" s="65">
        <f>DM49+DM50+DM52+DM53+DM54</f>
        <v>18875</v>
      </c>
      <c r="DN55" s="130">
        <f t="shared" si="266"/>
        <v>2.0601276089542653</v>
      </c>
      <c r="DO55" s="65">
        <f>DO49+DO50+DO52+DO53+DO54</f>
        <v>18746</v>
      </c>
      <c r="DP55" s="130">
        <f t="shared" si="266"/>
        <v>1.5658015928915914</v>
      </c>
      <c r="DQ55" s="65">
        <f>DQ49+DQ50+DQ52+DQ53+DQ54</f>
        <v>18661</v>
      </c>
      <c r="DR55" s="130">
        <f t="shared" si="266"/>
        <v>0.58753773178092938</v>
      </c>
      <c r="DS55" s="65">
        <f>DS49+DS50+DS52+DS53+DS54</f>
        <v>18651</v>
      </c>
      <c r="DT55" s="130">
        <f t="shared" si="266"/>
        <v>-0.42178323545114527</v>
      </c>
      <c r="DU55" s="65">
        <f>DU49+DU50+DU52+DU53+DU54</f>
        <v>18597</v>
      </c>
      <c r="DV55" s="130">
        <f t="shared" si="266"/>
        <v>-1.4728476821192049</v>
      </c>
      <c r="DW55" s="65">
        <f>DW49+DW50+DW52+DW53+DW54</f>
        <v>18672</v>
      </c>
      <c r="DX55" s="65">
        <f t="shared" ref="DX55:DY55" si="313">DX49+DX50+DX52+DX53+DX54</f>
        <v>73.527152317880791</v>
      </c>
      <c r="DY55" s="65">
        <f t="shared" si="313"/>
        <v>19082</v>
      </c>
      <c r="DZ55" s="130">
        <f t="shared" si="266"/>
        <v>2.2560420127538672</v>
      </c>
      <c r="EA55" s="65">
        <f t="shared" ref="EA55:EC55" si="314">EA49+EA50+EA52+EA53+EA54</f>
        <v>19448</v>
      </c>
      <c r="EB55" s="130">
        <f t="shared" si="268"/>
        <v>4.2732293174628788</v>
      </c>
      <c r="EC55" s="65">
        <f t="shared" si="314"/>
        <v>19598</v>
      </c>
      <c r="ED55" s="130">
        <f t="shared" si="269"/>
        <v>5.3825885895574466</v>
      </c>
      <c r="EE55" s="65">
        <f t="shared" ref="EE55:EG55" si="315">EE49+EE50+EE52+EE53+EE54</f>
        <v>19634</v>
      </c>
      <c r="EF55" s="130">
        <f t="shared" si="270"/>
        <v>5.1520994001713838</v>
      </c>
      <c r="EG55" s="65">
        <f t="shared" si="315"/>
        <v>19723</v>
      </c>
      <c r="EH55" s="130">
        <f t="shared" si="271"/>
        <v>3.3591866680641402</v>
      </c>
      <c r="EI55" s="65">
        <f t="shared" ref="EI55:EK55" si="316">EI49+EI50+EI52+EI53+EI54</f>
        <v>20027</v>
      </c>
      <c r="EJ55" s="130">
        <f t="shared" si="272"/>
        <v>2.9771698889345943</v>
      </c>
      <c r="EK55" s="65">
        <f t="shared" si="316"/>
        <v>20021</v>
      </c>
      <c r="EL55" s="130">
        <f t="shared" si="274"/>
        <v>2.1583835085212666</v>
      </c>
      <c r="EM55" s="65">
        <f t="shared" ref="EM55" si="317">EM49+EM50+EM52+EM53+EM54</f>
        <v>20014</v>
      </c>
      <c r="EN55" s="130">
        <f t="shared" si="275"/>
        <v>1.9354181521849867</v>
      </c>
      <c r="EO55" s="65">
        <f t="shared" ref="EO55" si="318">EO49+EO50+EO52+EO53+EO54</f>
        <v>20305</v>
      </c>
      <c r="EP55" s="130">
        <f t="shared" si="277"/>
        <v>2.9508695431729404</v>
      </c>
      <c r="EQ55" s="65">
        <f t="shared" ref="EQ55:EW55" si="319">EQ49+EQ50+EQ52+EQ53+EQ54</f>
        <v>20614.103294568802</v>
      </c>
      <c r="ER55" s="130">
        <f t="shared" si="279"/>
        <v>2.9315588683717086</v>
      </c>
      <c r="ES55" s="65">
        <f t="shared" si="319"/>
        <v>20968.98666786966</v>
      </c>
      <c r="ET55" s="130">
        <f t="shared" si="281"/>
        <v>4.7349616296371799</v>
      </c>
      <c r="EU55" s="65">
        <f t="shared" si="319"/>
        <v>21369.877017801045</v>
      </c>
      <c r="EV55" s="130">
        <f t="shared" si="283"/>
        <v>6.7746428390179192</v>
      </c>
      <c r="EW55" s="65">
        <f t="shared" si="319"/>
        <v>21817.997410567659</v>
      </c>
      <c r="EX55" s="130">
        <f t="shared" si="285"/>
        <v>7.4513539057752265</v>
      </c>
      <c r="EY55" s="64"/>
      <c r="EZ55" s="558"/>
      <c r="FA55" s="64"/>
      <c r="FB55" s="66"/>
      <c r="FC55" s="66"/>
      <c r="FD55" s="66"/>
      <c r="FE55" s="67"/>
      <c r="FF55" s="66"/>
      <c r="FG55" s="67"/>
      <c r="FH55" s="66"/>
      <c r="FI55" s="67"/>
      <c r="FJ55" s="66"/>
      <c r="FK55" s="67"/>
      <c r="FL55" s="66"/>
      <c r="FM55" s="61"/>
      <c r="FN55" s="66"/>
      <c r="FO55" s="61"/>
      <c r="FP55" s="65"/>
      <c r="FQ55" s="61"/>
      <c r="FR55" s="65"/>
      <c r="FS55" s="61"/>
      <c r="FT55" s="65">
        <f>FT49+FT50+FT52+FT53+FT54</f>
        <v>14352</v>
      </c>
      <c r="FU55" s="61" t="str">
        <f t="shared" si="302"/>
        <v>NA</v>
      </c>
      <c r="FV55" s="65">
        <f>FV49+FV50+FV52+FV53+FV54</f>
        <v>14038</v>
      </c>
      <c r="FW55" s="61">
        <f t="shared" si="303"/>
        <v>-2.1878483835005569</v>
      </c>
      <c r="FX55" s="65">
        <f>FX49+FX50+FX52+FX53+FX54</f>
        <v>15941</v>
      </c>
      <c r="FY55" s="61">
        <f t="shared" si="304"/>
        <v>13.55606211711069</v>
      </c>
      <c r="FZ55" s="65">
        <f>FZ49+FZ50+FZ52+FZ53+FZ54</f>
        <v>17420</v>
      </c>
      <c r="GA55" s="61">
        <f t="shared" si="305"/>
        <v>9.2779624866695887</v>
      </c>
      <c r="GB55" s="65">
        <f>GB49+GB50+GB52+GB53+GB54</f>
        <v>18106</v>
      </c>
      <c r="GC55" s="61">
        <f t="shared" si="306"/>
        <v>3.9380022962112404</v>
      </c>
      <c r="GD55" s="65">
        <f>GD49+GD50+GD52+GD53+GD54</f>
        <v>18438</v>
      </c>
      <c r="GE55" s="61">
        <f t="shared" si="307"/>
        <v>1.8336463050922402</v>
      </c>
      <c r="GF55" s="65">
        <f>GF49+GF50+GF52+GF53+GF54</f>
        <v>18552</v>
      </c>
      <c r="GG55" s="61">
        <f t="shared" si="286"/>
        <v>0.61828831760495362</v>
      </c>
      <c r="GH55" s="65">
        <f>GH49+GH50+GH52+GH53+GH54</f>
        <v>18661</v>
      </c>
      <c r="GI55" s="61">
        <f t="shared" si="286"/>
        <v>0.58753773178092938</v>
      </c>
      <c r="GJ55" s="65">
        <f>GJ49+GJ50+GJ52+GJ53+GJ54</f>
        <v>19082</v>
      </c>
      <c r="GK55" s="61">
        <f t="shared" si="286"/>
        <v>2.2560420127538672</v>
      </c>
      <c r="GL55" s="65">
        <f>GL49+GL50+GL52+GL53+GL54</f>
        <v>19723</v>
      </c>
      <c r="GM55" s="61">
        <f t="shared" si="286"/>
        <v>3.3591866680641402</v>
      </c>
      <c r="GN55" s="65">
        <f>GN49+GN50+GN52+GN53+GN54</f>
        <v>20305</v>
      </c>
      <c r="GO55" s="61">
        <f t="shared" si="286"/>
        <v>2.9508695431729404</v>
      </c>
      <c r="GP55" s="65">
        <f>GP49+GP50+GP52+GP53+GP54</f>
        <v>21817.997410567663</v>
      </c>
      <c r="GQ55" s="61">
        <f t="shared" si="286"/>
        <v>7.4513539057752487</v>
      </c>
      <c r="GR55" s="65">
        <f>GR49+GR50+GR52+GR53+GR54</f>
        <v>23406.254634498644</v>
      </c>
      <c r="GS55" s="61">
        <f t="shared" si="286"/>
        <v>7.2795738034220348</v>
      </c>
      <c r="GT55" s="65">
        <f>GT49+GT50+GT52+GT53+GT54</f>
        <v>24952.577303105987</v>
      </c>
      <c r="GU55" s="61">
        <f t="shared" si="286"/>
        <v>6.6064506806151169</v>
      </c>
      <c r="GV55" s="65">
        <f>GV49+GV50+GV52+GV53+GV54</f>
        <v>26460.81780319348</v>
      </c>
      <c r="GW55" s="61">
        <f t="shared" si="286"/>
        <v>6.0444277229020127</v>
      </c>
      <c r="GX55" s="65">
        <f>GX49+GX50+GX52+GX53+GX54</f>
        <v>27934.606976334955</v>
      </c>
      <c r="GY55" s="61">
        <f t="shared" si="287"/>
        <v>5.5697037941269123</v>
      </c>
      <c r="GZ55" s="61">
        <f t="shared" si="288"/>
        <v>6.587902092580511</v>
      </c>
      <c r="HA55" s="61"/>
      <c r="HB55" s="452"/>
      <c r="HC55"/>
      <c r="HD55"/>
      <c r="HE55"/>
      <c r="HF55"/>
      <c r="HG55"/>
      <c r="HH55"/>
    </row>
    <row r="56" spans="2:216" s="5" customFormat="1" ht="12.75" customHeight="1" x14ac:dyDescent="0.2">
      <c r="B56" s="241" t="s">
        <v>247</v>
      </c>
      <c r="C56" s="66"/>
      <c r="D56" s="67"/>
      <c r="E56" s="66"/>
      <c r="F56" s="66"/>
      <c r="G56" s="64"/>
      <c r="H56" s="66"/>
      <c r="I56" s="64"/>
      <c r="J56" s="66"/>
      <c r="K56" s="64"/>
      <c r="L56" s="61"/>
      <c r="M56" s="66"/>
      <c r="N56" s="61"/>
      <c r="O56" s="64"/>
      <c r="P56" s="61"/>
      <c r="Q56" s="64"/>
      <c r="R56" s="61"/>
      <c r="S56" s="64"/>
      <c r="T56" s="61"/>
      <c r="U56" s="64"/>
      <c r="V56" s="61"/>
      <c r="W56" s="64"/>
      <c r="X56" s="61"/>
      <c r="Y56" s="64"/>
      <c r="Z56" s="61"/>
      <c r="AA56" s="64"/>
      <c r="AB56" s="61"/>
      <c r="AC56" s="64"/>
      <c r="AD56" s="61"/>
      <c r="AE56" s="64"/>
      <c r="AF56" s="61"/>
      <c r="AG56" s="64"/>
      <c r="AH56" s="61"/>
      <c r="AI56" s="64"/>
      <c r="AJ56" s="61"/>
      <c r="AK56" s="64"/>
      <c r="AL56" s="61"/>
      <c r="AM56" s="64"/>
      <c r="AN56" s="61"/>
      <c r="AO56" s="64"/>
      <c r="AP56" s="61"/>
      <c r="AQ56" s="64"/>
      <c r="AR56" s="61"/>
      <c r="AS56" s="64"/>
      <c r="AT56" s="61"/>
      <c r="AU56" s="64"/>
      <c r="AV56" s="61"/>
      <c r="AW56" s="64"/>
      <c r="AX56" s="61"/>
      <c r="AY56" s="64"/>
      <c r="AZ56" s="61"/>
      <c r="BA56" s="64"/>
      <c r="BB56" s="61"/>
      <c r="BC56" s="64"/>
      <c r="BD56" s="61"/>
      <c r="BE56" s="64"/>
      <c r="BF56" s="61"/>
      <c r="BG56" s="65">
        <f>AVERAGE(BG49,BG55)</f>
        <v>14797</v>
      </c>
      <c r="BH56" s="61" t="str">
        <f>IF(ISERROR((BG56/AY56-1)*100),"NA",IF(((BG56/AY56-1)*100)&gt;100,"NM",IF(((BG56/AY56-1)*100)&lt;-50,"NM",(BG56/AY56-1)*100)))</f>
        <v>NA</v>
      </c>
      <c r="BI56" s="65">
        <f>AVERAGE(BI49,BI55)</f>
        <v>14536</v>
      </c>
      <c r="BJ56" s="61" t="str">
        <f>IF(ISERROR((BI56/BA56-1)*100),"NA",IF(((BI56/BA56-1)*100)&gt;100,"NM",IF(((BI56/BA56-1)*100)&lt;-50,"NM",(BI56/BA56-1)*100)))</f>
        <v>NA</v>
      </c>
      <c r="BK56" s="65">
        <f>AVERAGE(BK49,BK55)</f>
        <v>14376.5</v>
      </c>
      <c r="BL56" s="61" t="str">
        <f>IF(ISERROR((BK56/BC56-1)*100),"NA",IF(((BK56/BC56-1)*100)&gt;100,"NM",IF(((BK56/BC56-1)*100)&lt;-50,"NM",(BK56/BC56-1)*100)))</f>
        <v>NA</v>
      </c>
      <c r="BM56" s="65">
        <f>AVERAGE(BM49,BM55)</f>
        <v>14347.5</v>
      </c>
      <c r="BN56" s="61" t="str">
        <f>IF(ISERROR((BM56/BE56-1)*100),"NA",IF(((BM56/BE56-1)*100)&gt;100,"NM",IF(((BM56/BE56-1)*100)&lt;-50,"NM",(BM56/BE56-1)*100)))</f>
        <v>NA</v>
      </c>
      <c r="BO56" s="65">
        <f>AVERAGE(BO49,BO55)</f>
        <v>14292</v>
      </c>
      <c r="BP56" s="61">
        <f>IF(ISERROR((BO56/BG56-1)*100),"NA",IF(((BO56/BG56-1)*100)&gt;100,"NM",IF(((BO56/BG56-1)*100)&lt;-50,"NM",(BO56/BG56-1)*100)))</f>
        <v>-3.4128539568831551</v>
      </c>
      <c r="BQ56" s="65">
        <f>AVERAGE(BQ49,BQ55)</f>
        <v>14276.5</v>
      </c>
      <c r="BR56" s="61">
        <f>IF(ISERROR((BQ56/BI56-1)*100),"NA",IF(((BQ56/BI56-1)*100)&gt;100,"NM",IF(((BQ56/BI56-1)*100)&lt;-50,"NM",(BQ56/BI56-1)*100)))</f>
        <v>-1.7852228948816773</v>
      </c>
      <c r="BS56" s="65">
        <f>AVERAGE(BS49,BS55)</f>
        <v>14231</v>
      </c>
      <c r="BT56" s="61">
        <f>IF(ISERROR((BS56/BK56-1)*100),"NA",IF(((BS56/BK56-1)*100)&gt;100,"NM",IF(((BS56/BK56-1)*100)&lt;-50,"NM",(BS56/BK56-1)*100)))</f>
        <v>-1.012068305915903</v>
      </c>
      <c r="BU56" s="65">
        <f>AVERAGE(BU49,BU55)</f>
        <v>14089.5</v>
      </c>
      <c r="BV56" s="61">
        <f>IF(ISERROR((BU56/BM56-1)*100),"NA",IF(((BU56/BM56-1)*100)&gt;100,"NM",IF(((BU56/BM56-1)*100)&lt;-50,"NM",(BU56/BM56-1)*100)))</f>
        <v>-1.7982226868792472</v>
      </c>
      <c r="BW56" s="65">
        <f>AVERAGE(BW49,BW55)</f>
        <v>14096</v>
      </c>
      <c r="BX56" s="61">
        <f>IF(ISERROR((BW56/BO56-1)*100),"NA",IF(((BW56/BO56-1)*100)&gt;100,"NM",IF(((BW56/BO56-1)*100)&lt;-50,"NM",(BW56/BO56-1)*100)))</f>
        <v>-1.3713965855023824</v>
      </c>
      <c r="BY56" s="65">
        <f>AVERAGE(BY49,BY55)</f>
        <v>14425.5</v>
      </c>
      <c r="BZ56" s="61">
        <f>IF(ISERROR((BY56/BQ56-1)*100),"NA",IF(((BY56/BQ56-1)*100)&gt;100,"NM",IF(((BY56/BQ56-1)*100)&lt;-50,"NM",(BY56/BQ56-1)*100)))</f>
        <v>1.043673169194137</v>
      </c>
      <c r="CA56" s="65">
        <f>AVERAGE(CA49,CA55)</f>
        <v>15236.5</v>
      </c>
      <c r="CB56" s="61">
        <f>IF(ISERROR((CA56/BS56-1)*100),"NA",IF(((CA56/BS56-1)*100)&gt;100,"NM",IF(((CA56/BS56-1)*100)&lt;-50,"NM",(CA56/BS56-1)*100)))</f>
        <v>7.0655610990091988</v>
      </c>
      <c r="CC56" s="65">
        <f>AVERAGE(CC49,CC55)</f>
        <v>15858.5</v>
      </c>
      <c r="CD56" s="61">
        <f>IF(ISERROR((CC56/BU56-1)*100),"NA",IF(((CC56/BU56-1)*100)&gt;100,"NM",IF(((CC56/BU56-1)*100)&lt;-50,"NM",(CC56/BU56-1)*100)))</f>
        <v>12.555449093296422</v>
      </c>
      <c r="CE56" s="65">
        <f>AVERAGE(CE49,CE55)</f>
        <v>16043.5</v>
      </c>
      <c r="CF56" s="61">
        <f>IF(ISERROR((CE56/BW56-1)*100),"NA",IF(((CE56/BW56-1)*100)&gt;100,"NM",IF(((CE56/BW56-1)*100)&lt;-50,"NM",(CE56/BW56-1)*100)))</f>
        <v>13.815976163450628</v>
      </c>
      <c r="CG56" s="65">
        <f>AVERAGE(CG49,CG55)</f>
        <v>16323.5</v>
      </c>
      <c r="CH56" s="61">
        <f>IF(ISERROR((CG56/BY56-1)*100),"NA",IF(((CG56/BY56-1)*100)&gt;100,"NM",IF(((CG56/BY56-1)*100)&lt;-50,"NM",(CG56/BY56-1)*100)))</f>
        <v>13.157256247617077</v>
      </c>
      <c r="CI56" s="65">
        <f>AVERAGE(CI49,CI55)</f>
        <v>16902.5</v>
      </c>
      <c r="CJ56" s="61">
        <f>IF(ISERROR((CI56/CA56-1)*100),"NA",IF(((CI56/CA56-1)*100)&gt;100,"NM",IF(((CI56/CA56-1)*100)&lt;-50,"NM",(CI56/CA56-1)*100)))</f>
        <v>10.934269681357268</v>
      </c>
      <c r="CK56" s="65">
        <f>AVERAGE(CK49,CK55)</f>
        <v>17362</v>
      </c>
      <c r="CL56" s="61">
        <f>IF(ISERROR((CK56/CC56-1)*100),"NA",IF(((CK56/CC56-1)*100)&gt;100,"NM",IF(((CK56/CC56-1)*100)&lt;-50,"NM",(CK56/CC56-1)*100)))</f>
        <v>9.4807201185484136</v>
      </c>
      <c r="CM56" s="65">
        <f>AVERAGE(CM49,CM55)</f>
        <v>17531.5</v>
      </c>
      <c r="CN56" s="61">
        <f>IF(ISERROR((CM56/CE56-1)*100),"NA",IF(((CM56/CE56-1)*100)&gt;100,"NM",IF(((CM56/CE56-1)*100)&lt;-50,"NM",(CM56/CE56-1)*100)))</f>
        <v>9.2747841805092435</v>
      </c>
      <c r="CO56" s="65">
        <f>AVERAGE(CO49,CO55)</f>
        <v>17790.5</v>
      </c>
      <c r="CP56" s="61">
        <f t="shared" si="289"/>
        <v>8.9870432198976946</v>
      </c>
      <c r="CQ56" s="65">
        <f>AVERAGE(CQ49,CQ55)</f>
        <v>17973.5</v>
      </c>
      <c r="CR56" s="61">
        <f t="shared" si="290"/>
        <v>6.3363407779914116</v>
      </c>
      <c r="CS56" s="65">
        <f>AVERAGE(CS49,CS55)</f>
        <v>18057.5</v>
      </c>
      <c r="CT56" s="61">
        <f t="shared" si="291"/>
        <v>4.005874899205164</v>
      </c>
      <c r="CU56" s="65">
        <f>AVERAGE(CU49,CU55)</f>
        <v>18146</v>
      </c>
      <c r="CV56" s="61">
        <f t="shared" si="292"/>
        <v>3.5051193565867056</v>
      </c>
      <c r="CW56" s="65">
        <f>AVERAGE(CW49,CW55)</f>
        <v>18229.5</v>
      </c>
      <c r="CX56" s="61">
        <f t="shared" si="293"/>
        <v>2.4676091172254777</v>
      </c>
      <c r="CY56" s="65">
        <f>AVERAGE(CY49,CY55)</f>
        <v>18310</v>
      </c>
      <c r="CZ56" s="61">
        <f t="shared" si="294"/>
        <v>1.8722007399782914</v>
      </c>
      <c r="DA56" s="65">
        <f>AVERAGE(DA49,DA55)</f>
        <v>18392.5</v>
      </c>
      <c r="DB56" s="61">
        <f t="shared" si="295"/>
        <v>1.8551848262494897</v>
      </c>
      <c r="DC56" s="65">
        <f>AVERAGE(DC49,DC55)</f>
        <v>18488.5</v>
      </c>
      <c r="DD56" s="61">
        <f t="shared" si="296"/>
        <v>1.8874683125757796</v>
      </c>
      <c r="DE56" s="65">
        <f>AVERAGE(DE49,DE55)</f>
        <v>18516.5</v>
      </c>
      <c r="DF56" s="61">
        <f t="shared" si="297"/>
        <v>1.5743712114978381</v>
      </c>
      <c r="DG56" s="65">
        <f>AVERAGE(DG49,DG55)</f>
        <v>18475.5</v>
      </c>
      <c r="DH56" s="61">
        <f t="shared" si="298"/>
        <v>0.90387766247952417</v>
      </c>
      <c r="DI56" s="65">
        <f>AVERAGE(DI49,DI55)</f>
        <v>18504.5</v>
      </c>
      <c r="DJ56" s="61">
        <f t="shared" si="299"/>
        <v>0.60894386298762093</v>
      </c>
      <c r="DK56" s="65">
        <f>AVERAGE(DK49,DK55)</f>
        <v>18641</v>
      </c>
      <c r="DL56" s="61">
        <f t="shared" si="300"/>
        <v>0.82483706087568276</v>
      </c>
      <c r="DM56" s="65">
        <f>AVERAGE(DM49,DM55)</f>
        <v>18802.5</v>
      </c>
      <c r="DN56" s="130">
        <f t="shared" si="266"/>
        <v>1.5445683579510261</v>
      </c>
      <c r="DO56" s="65">
        <f>AVERAGE(DO49,DO55)</f>
        <v>18810.5</v>
      </c>
      <c r="DP56" s="130">
        <f t="shared" si="266"/>
        <v>1.8132120916889871</v>
      </c>
      <c r="DQ56" s="65">
        <f>AVERAGE(DQ49,DQ55)</f>
        <v>18703.5</v>
      </c>
      <c r="DR56" s="130">
        <f t="shared" si="266"/>
        <v>1.0754140884649654</v>
      </c>
      <c r="DS56" s="65">
        <f>AVERAGE(DS49,DS55)</f>
        <v>18656</v>
      </c>
      <c r="DT56" s="130">
        <f t="shared" si="266"/>
        <v>8.0467786062987656E-2</v>
      </c>
      <c r="DU56" s="65">
        <f>AVERAGE(DU49,DU55)</f>
        <v>18624</v>
      </c>
      <c r="DV56" s="130">
        <f t="shared" si="266"/>
        <v>-0.94934184284004575</v>
      </c>
      <c r="DW56" s="65">
        <f>AVERAGE(DW49,DW55)</f>
        <v>18634.5</v>
      </c>
      <c r="DX56" s="65">
        <f t="shared" ref="DX56:DY56" si="320">AVERAGE(DX49,DX55)</f>
        <v>36.027152317880791</v>
      </c>
      <c r="DY56" s="65">
        <f t="shared" si="320"/>
        <v>18877</v>
      </c>
      <c r="DZ56" s="130">
        <f t="shared" si="266"/>
        <v>0.92763386531933278</v>
      </c>
      <c r="EA56" s="65">
        <f t="shared" ref="EA56:EC56" si="321">AVERAGE(EA49,EA55)</f>
        <v>19265</v>
      </c>
      <c r="EB56" s="130">
        <f t="shared" si="268"/>
        <v>3.2643653516295057</v>
      </c>
      <c r="EC56" s="65">
        <f t="shared" si="321"/>
        <v>19523</v>
      </c>
      <c r="ED56" s="130">
        <f t="shared" si="269"/>
        <v>4.8271048109965742</v>
      </c>
      <c r="EE56" s="65">
        <f t="shared" ref="EE56:EG56" si="322">AVERAGE(EE49,EE55)</f>
        <v>19616</v>
      </c>
      <c r="EF56" s="130">
        <f t="shared" si="270"/>
        <v>5.2671120770613644</v>
      </c>
      <c r="EG56" s="65">
        <f t="shared" si="322"/>
        <v>19678.5</v>
      </c>
      <c r="EH56" s="130">
        <f t="shared" si="271"/>
        <v>4.2459077183874649</v>
      </c>
      <c r="EI56" s="65">
        <f t="shared" ref="EI56:EK56" si="323">AVERAGE(EI49,EI55)</f>
        <v>19875</v>
      </c>
      <c r="EJ56" s="130">
        <f t="shared" si="272"/>
        <v>3.1663638723072873</v>
      </c>
      <c r="EK56" s="65">
        <f t="shared" si="323"/>
        <v>20024</v>
      </c>
      <c r="EL56" s="130">
        <f t="shared" si="274"/>
        <v>2.5662039645546253</v>
      </c>
      <c r="EM56" s="65">
        <f t="shared" ref="EM56" si="324">AVERAGE(EM49,EM55)</f>
        <v>20017.5</v>
      </c>
      <c r="EN56" s="130">
        <f t="shared" si="275"/>
        <v>2.0467985318107562</v>
      </c>
      <c r="EO56" s="65">
        <f t="shared" ref="EO56" si="325">AVERAGE(EO49,EO55)</f>
        <v>20159.5</v>
      </c>
      <c r="EP56" s="130">
        <f t="shared" si="277"/>
        <v>2.4442919938003405</v>
      </c>
      <c r="EQ56" s="65">
        <f t="shared" ref="EQ56:EW56" si="326">AVERAGE(EQ49,EQ55)</f>
        <v>20459.551647284403</v>
      </c>
      <c r="ER56" s="130">
        <f t="shared" si="279"/>
        <v>2.941140363695105</v>
      </c>
      <c r="ES56" s="65">
        <f t="shared" si="326"/>
        <v>20791.544981219231</v>
      </c>
      <c r="ET56" s="130">
        <f t="shared" si="281"/>
        <v>3.8331251559090562</v>
      </c>
      <c r="EU56" s="65">
        <f t="shared" si="326"/>
        <v>21169.431842835351</v>
      </c>
      <c r="EV56" s="130">
        <f t="shared" si="283"/>
        <v>5.7546239182482806</v>
      </c>
      <c r="EW56" s="65">
        <f t="shared" si="326"/>
        <v>21593.937214184352</v>
      </c>
      <c r="EX56" s="130">
        <f t="shared" si="285"/>
        <v>7.1154404334648813</v>
      </c>
      <c r="EY56" s="64"/>
      <c r="EZ56" s="558"/>
      <c r="FA56" s="64"/>
      <c r="FB56" s="66"/>
      <c r="FC56" s="66"/>
      <c r="FD56" s="66"/>
      <c r="FE56" s="67"/>
      <c r="FF56" s="66"/>
      <c r="FG56" s="67"/>
      <c r="FH56" s="66"/>
      <c r="FI56" s="67"/>
      <c r="FJ56" s="66"/>
      <c r="FK56" s="67"/>
      <c r="FL56" s="66"/>
      <c r="FM56" s="61"/>
      <c r="FN56" s="66"/>
      <c r="FO56" s="61"/>
      <c r="FP56" s="65"/>
      <c r="FQ56" s="61"/>
      <c r="FR56" s="65"/>
      <c r="FS56" s="61"/>
      <c r="FT56" s="65">
        <f>AVERAGE(FT49,FT55)</f>
        <v>14642</v>
      </c>
      <c r="FU56" s="61" t="str">
        <f t="shared" si="302"/>
        <v>NA</v>
      </c>
      <c r="FV56" s="65">
        <f>AVERAGE(FV49,FV55)</f>
        <v>14195</v>
      </c>
      <c r="FW56" s="61">
        <f t="shared" si="303"/>
        <v>-3.0528616309247414</v>
      </c>
      <c r="FX56" s="65">
        <f>AVERAGE(FX49,FX55)</f>
        <v>14989.5</v>
      </c>
      <c r="FY56" s="61">
        <f t="shared" si="304"/>
        <v>5.5970412116942647</v>
      </c>
      <c r="FZ56" s="65">
        <f>AVERAGE(FZ49,FZ55)</f>
        <v>16680.5</v>
      </c>
      <c r="GA56" s="61">
        <f t="shared" si="305"/>
        <v>11.281230194469472</v>
      </c>
      <c r="GB56" s="65">
        <f>AVERAGE(GB49,GB55)</f>
        <v>17763</v>
      </c>
      <c r="GC56" s="61">
        <f t="shared" si="306"/>
        <v>6.4896136206948229</v>
      </c>
      <c r="GD56" s="65">
        <f>AVERAGE(GD49,GD55)</f>
        <v>18272</v>
      </c>
      <c r="GE56" s="61">
        <f t="shared" si="307"/>
        <v>2.8655069526543953</v>
      </c>
      <c r="GF56" s="65">
        <f>AVERAGE(GF49,GF55)</f>
        <v>18495</v>
      </c>
      <c r="GG56" s="61">
        <f t="shared" si="286"/>
        <v>1.2204465849386947</v>
      </c>
      <c r="GH56" s="65">
        <f>AVERAGE(GH49,GH55)</f>
        <v>18606.5</v>
      </c>
      <c r="GI56" s="61">
        <f t="shared" si="286"/>
        <v>0.60286563936198245</v>
      </c>
      <c r="GJ56" s="65">
        <f>AVERAGE(GJ49,GJ55)</f>
        <v>18871.5</v>
      </c>
      <c r="GK56" s="61">
        <f t="shared" si="286"/>
        <v>1.4242334667992296</v>
      </c>
      <c r="GL56" s="65">
        <f>AVERAGE(GL49,GL55)</f>
        <v>19402.5</v>
      </c>
      <c r="GM56" s="61">
        <f t="shared" si="286"/>
        <v>2.813766791193073</v>
      </c>
      <c r="GN56" s="65">
        <f>AVERAGE(GN49,GN55)</f>
        <v>20014</v>
      </c>
      <c r="GO56" s="61">
        <f t="shared" si="286"/>
        <v>3.151655714469781</v>
      </c>
      <c r="GP56" s="65">
        <f>AVERAGE(GP49,GP55)</f>
        <v>21061.498705283833</v>
      </c>
      <c r="GQ56" s="61">
        <f t="shared" si="286"/>
        <v>5.2338298455272936</v>
      </c>
      <c r="GR56" s="65">
        <f>AVERAGE(GR49,GR55)</f>
        <v>22612.126022533153</v>
      </c>
      <c r="GS56" s="61">
        <f t="shared" si="286"/>
        <v>7.3623788076406127</v>
      </c>
      <c r="GT56" s="65">
        <f>AVERAGE(GT49,GT55)</f>
        <v>24179.415968802314</v>
      </c>
      <c r="GU56" s="61">
        <f t="shared" si="286"/>
        <v>6.9311923377189055</v>
      </c>
      <c r="GV56" s="65">
        <f>AVERAGE(GV49,GV55)</f>
        <v>25706.697553149734</v>
      </c>
      <c r="GW56" s="61">
        <f t="shared" si="286"/>
        <v>6.3164535748837292</v>
      </c>
      <c r="GX56" s="65">
        <f>AVERAGE(GX49,GX55)</f>
        <v>27197.712389764216</v>
      </c>
      <c r="GY56" s="61">
        <f t="shared" si="287"/>
        <v>5.8001026134599565</v>
      </c>
      <c r="GZ56" s="61">
        <f t="shared" si="288"/>
        <v>6.3260539416061468</v>
      </c>
      <c r="HA56" s="61"/>
      <c r="HB56" s="452"/>
      <c r="HC56"/>
      <c r="HD56"/>
      <c r="HE56"/>
      <c r="HF56"/>
      <c r="HG56"/>
      <c r="HH56"/>
    </row>
    <row r="57" spans="2:216" s="5" customFormat="1" ht="12.75" customHeight="1" x14ac:dyDescent="0.2">
      <c r="B57" s="93" t="s">
        <v>234</v>
      </c>
      <c r="C57" s="66"/>
      <c r="D57" s="67"/>
      <c r="E57" s="66"/>
      <c r="F57" s="66"/>
      <c r="G57" s="64"/>
      <c r="H57" s="66"/>
      <c r="I57" s="64"/>
      <c r="J57" s="66"/>
      <c r="K57" s="64"/>
      <c r="L57" s="61"/>
      <c r="M57" s="66"/>
      <c r="N57" s="61"/>
      <c r="O57" s="64"/>
      <c r="P57" s="61"/>
      <c r="Q57" s="64"/>
      <c r="R57" s="61"/>
      <c r="S57" s="64"/>
      <c r="T57" s="61"/>
      <c r="U57" s="64"/>
      <c r="V57" s="61"/>
      <c r="W57" s="64"/>
      <c r="X57" s="61"/>
      <c r="Y57" s="64"/>
      <c r="Z57" s="61"/>
      <c r="AA57" s="64"/>
      <c r="AB57" s="61"/>
      <c r="AC57" s="64"/>
      <c r="AD57" s="61"/>
      <c r="AE57" s="64"/>
      <c r="AF57" s="61"/>
      <c r="AG57" s="64"/>
      <c r="AH57" s="61"/>
      <c r="AI57" s="64"/>
      <c r="AJ57" s="61"/>
      <c r="AK57" s="64"/>
      <c r="AL57" s="61"/>
      <c r="AM57" s="64"/>
      <c r="AN57" s="61"/>
      <c r="AO57" s="64"/>
      <c r="AP57" s="61"/>
      <c r="AQ57" s="64"/>
      <c r="AR57" s="61"/>
      <c r="AS57" s="64"/>
      <c r="AT57" s="61"/>
      <c r="AU57" s="64"/>
      <c r="AV57" s="61"/>
      <c r="AW57" s="64"/>
      <c r="AX57" s="61"/>
      <c r="AY57" s="64"/>
      <c r="AZ57" s="61"/>
      <c r="BA57" s="64"/>
      <c r="BB57" s="61"/>
      <c r="BC57" s="64"/>
      <c r="BD57" s="61"/>
      <c r="BE57" s="64"/>
      <c r="BF57" s="61"/>
      <c r="BG57" s="74">
        <v>-1689</v>
      </c>
      <c r="BH57" s="61" t="str">
        <f>IF(ISERROR((BG57/AY57-1)*100),"NA",IF(((BG57/AY57-1)*100)&gt;100,"NM",IF(((BG57/AY57-1)*100)&lt;-50,"NM",(BG57/AY57-1)*100)))</f>
        <v>NA</v>
      </c>
      <c r="BI57" s="74">
        <v>-1598</v>
      </c>
      <c r="BJ57" s="61" t="str">
        <f>IF(ISERROR((BI57/BA57-1)*100),"NA",IF(((BI57/BA57-1)*100)&gt;100,"NM",IF(((BI57/BA57-1)*100)&lt;-50,"NM",(BI57/BA57-1)*100)))</f>
        <v>NA</v>
      </c>
      <c r="BK57" s="74">
        <v>-1430</v>
      </c>
      <c r="BL57" s="61" t="str">
        <f>IF(ISERROR((BK57/BC57-1)*100),"NA",IF(((BK57/BC57-1)*100)&gt;100,"NM",IF(((BK57/BC57-1)*100)&lt;-50,"NM",(BK57/BC57-1)*100)))</f>
        <v>NA</v>
      </c>
      <c r="BM57" s="74">
        <v>-1352</v>
      </c>
      <c r="BN57" s="61" t="str">
        <f>IF(ISERROR((BM57/BE57-1)*100),"NA",IF(((BM57/BE57-1)*100)&gt;100,"NM",IF(((BM57/BE57-1)*100)&lt;-50,"NM",(BM57/BE57-1)*100)))</f>
        <v>NA</v>
      </c>
      <c r="BO57" s="74">
        <v>-1306</v>
      </c>
      <c r="BP57" s="61">
        <f>IF(ISERROR((BO57/BG57-1)*100),"NA",IF(((BO57/BG57-1)*100)&gt;100,"NM",IF(((BO57/BG57-1)*100)&lt;-50,"NM",(BO57/BG57-1)*100)))</f>
        <v>-22.676139727649492</v>
      </c>
      <c r="BQ57" s="74">
        <v>-1255</v>
      </c>
      <c r="BR57" s="61">
        <f>IF(ISERROR((BQ57/BI57-1)*100),"NA",IF(((BQ57/BI57-1)*100)&gt;100,"NM",IF(((BQ57/BI57-1)*100)&lt;-50,"NM",(BQ57/BI57-1)*100)))</f>
        <v>-21.464330413016274</v>
      </c>
      <c r="BS57" s="74">
        <v>-1196</v>
      </c>
      <c r="BT57" s="61">
        <f>IF(ISERROR((BS57/BK57-1)*100),"NA",IF(((BS57/BK57-1)*100)&gt;100,"NM",IF(((BS57/BK57-1)*100)&lt;-50,"NM",(BS57/BK57-1)*100)))</f>
        <v>-16.36363636363637</v>
      </c>
      <c r="BU57" s="74">
        <v>-1125</v>
      </c>
      <c r="BV57" s="61">
        <f>IF(ISERROR((BU57/BM57-1)*100),"NA",IF(((BU57/BM57-1)*100)&gt;100,"NM",IF(((BU57/BM57-1)*100)&lt;-50,"NM",(BU57/BM57-1)*100)))</f>
        <v>-16.789940828402372</v>
      </c>
      <c r="BW57" s="74">
        <v>-1094</v>
      </c>
      <c r="BX57" s="61">
        <f>IF(ISERROR((BW57/BO57-1)*100),"NA",IF(((BW57/BO57-1)*100)&gt;100,"NM",IF(((BW57/BO57-1)*100)&lt;-50,"NM",(BW57/BO57-1)*100)))</f>
        <v>-16.232771822358348</v>
      </c>
      <c r="BY57" s="74">
        <v>-1065</v>
      </c>
      <c r="BZ57" s="61">
        <f>IF(ISERROR((BY57/BQ57-1)*100),"NA",IF(((BY57/BQ57-1)*100)&gt;100,"NM",IF(((BY57/BQ57-1)*100)&lt;-50,"NM",(BY57/BQ57-1)*100)))</f>
        <v>-15.139442231075694</v>
      </c>
      <c r="CA57" s="74">
        <v>-1049</v>
      </c>
      <c r="CB57" s="61">
        <f>IF(ISERROR((CA57/BS57-1)*100),"NA",IF(((CA57/BS57-1)*100)&gt;100,"NM",IF(((CA57/BS57-1)*100)&lt;-50,"NM",(CA57/BS57-1)*100)))</f>
        <v>-12.29096989966555</v>
      </c>
      <c r="CC57" s="74">
        <v>-1027</v>
      </c>
      <c r="CD57" s="61">
        <f>IF(ISERROR((CC57/BU57-1)*100),"NA",IF(((CC57/BU57-1)*100)&gt;100,"NM",IF(((CC57/BU57-1)*100)&lt;-50,"NM",(CC57/BU57-1)*100)))</f>
        <v>-8.7111111111111139</v>
      </c>
      <c r="CE57" s="74">
        <v>-1011</v>
      </c>
      <c r="CF57" s="61">
        <f>IF(ISERROR((CE57/BW57-1)*100),"NA",IF(((CE57/BW57-1)*100)&gt;100,"NM",IF(((CE57/BW57-1)*100)&lt;-50,"NM",(CE57/BW57-1)*100)))</f>
        <v>-7.5868372943327262</v>
      </c>
      <c r="CG57" s="74">
        <v>-994</v>
      </c>
      <c r="CH57" s="61">
        <f>IF(ISERROR((CG57/BY57-1)*100),"NA",IF(((CG57/BY57-1)*100)&gt;100,"NM",IF(((CG57/BY57-1)*100)&lt;-50,"NM",(CG57/BY57-1)*100)))</f>
        <v>-6.6666666666666652</v>
      </c>
      <c r="CI57" s="74">
        <v>-978</v>
      </c>
      <c r="CJ57" s="61">
        <f>IF(ISERROR((CI57/CA57-1)*100),"NA",IF(((CI57/CA57-1)*100)&gt;100,"NM",IF(((CI57/CA57-1)*100)&lt;-50,"NM",(CI57/CA57-1)*100)))</f>
        <v>-6.7683508102955203</v>
      </c>
      <c r="CK57" s="74">
        <v>-962</v>
      </c>
      <c r="CL57" s="61">
        <f>IF(ISERROR((CK57/CC57-1)*100),"NA",IF(((CK57/CC57-1)*100)&gt;100,"NM",IF(((CK57/CC57-1)*100)&lt;-50,"NM",(CK57/CC57-1)*100)))</f>
        <v>-6.3291139240506329</v>
      </c>
      <c r="CM57" s="74">
        <v>-949</v>
      </c>
      <c r="CN57" s="61">
        <f>IF(ISERROR((CM57/CE57-1)*100),"NA",IF(((CM57/CE57-1)*100)&gt;100,"NM",IF(((CM57/CE57-1)*100)&lt;-50,"NM",(CM57/CE57-1)*100)))</f>
        <v>-6.1325420375865525</v>
      </c>
      <c r="CO57" s="74">
        <v>-935</v>
      </c>
      <c r="CP57" s="61">
        <f t="shared" si="289"/>
        <v>-5.9356136820925549</v>
      </c>
      <c r="CQ57" s="74">
        <v>-920</v>
      </c>
      <c r="CR57" s="61">
        <f t="shared" si="290"/>
        <v>-5.9304703476482645</v>
      </c>
      <c r="CS57" s="74">
        <v>-901</v>
      </c>
      <c r="CT57" s="61">
        <f t="shared" si="291"/>
        <v>-6.340956340956339</v>
      </c>
      <c r="CU57" s="74">
        <v>-883</v>
      </c>
      <c r="CV57" s="61">
        <f t="shared" si="292"/>
        <v>-6.9546891464699723</v>
      </c>
      <c r="CW57" s="74">
        <v>-871</v>
      </c>
      <c r="CX57" s="61">
        <f t="shared" si="293"/>
        <v>-6.8449197860962592</v>
      </c>
      <c r="CY57" s="74">
        <v>-849</v>
      </c>
      <c r="CZ57" s="61">
        <f t="shared" si="294"/>
        <v>-7.7173913043478315</v>
      </c>
      <c r="DA57" s="74">
        <v>-830</v>
      </c>
      <c r="DB57" s="61">
        <f t="shared" si="295"/>
        <v>-7.8801331853496137</v>
      </c>
      <c r="DC57" s="74">
        <v>-811</v>
      </c>
      <c r="DD57" s="61">
        <f t="shared" si="296"/>
        <v>-8.1540203850509645</v>
      </c>
      <c r="DE57" s="74">
        <v>-796</v>
      </c>
      <c r="DF57" s="61">
        <f t="shared" si="297"/>
        <v>-8.6107921928817444</v>
      </c>
      <c r="DG57" s="74">
        <v>-779</v>
      </c>
      <c r="DH57" s="61">
        <f t="shared" si="298"/>
        <v>-8.2449941107184959</v>
      </c>
      <c r="DI57" s="74">
        <v>-759</v>
      </c>
      <c r="DJ57" s="61">
        <f t="shared" si="299"/>
        <v>-8.5542168674698775</v>
      </c>
      <c r="DK57" s="74">
        <v>-744</v>
      </c>
      <c r="DL57" s="61">
        <f t="shared" si="300"/>
        <v>-8.2614056720098699</v>
      </c>
      <c r="DM57" s="74">
        <v>-726</v>
      </c>
      <c r="DN57" s="130">
        <f t="shared" si="266"/>
        <v>-8.7939698492462313</v>
      </c>
      <c r="DO57" s="74">
        <v>-714</v>
      </c>
      <c r="DP57" s="130">
        <f t="shared" si="266"/>
        <v>-8.3440308087291406</v>
      </c>
      <c r="DQ57" s="74">
        <v>-693</v>
      </c>
      <c r="DR57" s="130">
        <f t="shared" si="266"/>
        <v>-8.6956521739130483</v>
      </c>
      <c r="DS57" s="74">
        <v>-676</v>
      </c>
      <c r="DT57" s="130">
        <f t="shared" si="266"/>
        <v>-9.1397849462365617</v>
      </c>
      <c r="DU57" s="74">
        <v>-662</v>
      </c>
      <c r="DV57" s="130">
        <f t="shared" si="266"/>
        <v>-8.8154269972451793</v>
      </c>
      <c r="DW57" s="74">
        <v>-645</v>
      </c>
      <c r="DX57" s="74">
        <v>-645</v>
      </c>
      <c r="DY57" s="74">
        <v>-631</v>
      </c>
      <c r="DZ57" s="130">
        <f t="shared" si="266"/>
        <v>-8.9466089466089471</v>
      </c>
      <c r="EA57" s="74">
        <v>-619</v>
      </c>
      <c r="EB57" s="130">
        <f t="shared" si="268"/>
        <v>-8.4319526627218977</v>
      </c>
      <c r="EC57" s="74">
        <v>-608</v>
      </c>
      <c r="ED57" s="130">
        <f t="shared" si="269"/>
        <v>-8.1570996978851955</v>
      </c>
      <c r="EE57" s="74">
        <v>-597</v>
      </c>
      <c r="EF57" s="130">
        <f t="shared" si="270"/>
        <v>-7.441860465116279</v>
      </c>
      <c r="EG57" s="74">
        <v>-584</v>
      </c>
      <c r="EH57" s="130">
        <f t="shared" si="271"/>
        <v>-7.4484944532488111</v>
      </c>
      <c r="EI57" s="74">
        <v>-572</v>
      </c>
      <c r="EJ57" s="130">
        <f t="shared" si="272"/>
        <v>-7.5928917609046849</v>
      </c>
      <c r="EK57" s="74">
        <v>-562</v>
      </c>
      <c r="EL57" s="130">
        <f t="shared" si="274"/>
        <v>-7.5657894736842142</v>
      </c>
      <c r="EM57" s="74">
        <v>-620</v>
      </c>
      <c r="EN57" s="130">
        <f t="shared" si="275"/>
        <v>3.8525963149078635</v>
      </c>
      <c r="EO57" s="74">
        <v>-768</v>
      </c>
      <c r="EP57" s="130">
        <f t="shared" si="277"/>
        <v>31.506849315068486</v>
      </c>
      <c r="EQ57" s="74">
        <f>EO57-50</f>
        <v>-818</v>
      </c>
      <c r="ER57" s="130">
        <f t="shared" si="279"/>
        <v>43.006993006993</v>
      </c>
      <c r="ES57" s="74">
        <f>EQ57-50</f>
        <v>-868</v>
      </c>
      <c r="ET57" s="130">
        <f t="shared" si="281"/>
        <v>54.448398576512446</v>
      </c>
      <c r="EU57" s="74">
        <f t="shared" ref="EU57" si="327">ES57</f>
        <v>-868</v>
      </c>
      <c r="EV57" s="130">
        <f t="shared" si="283"/>
        <v>39.999999999999993</v>
      </c>
      <c r="EW57" s="74">
        <f t="shared" ref="EW57" si="328">EU57</f>
        <v>-868</v>
      </c>
      <c r="EX57" s="130">
        <f t="shared" si="285"/>
        <v>13.020833333333325</v>
      </c>
      <c r="EY57" s="64"/>
      <c r="EZ57" s="558"/>
      <c r="FA57" s="64"/>
      <c r="FB57" s="66"/>
      <c r="FC57" s="66"/>
      <c r="FD57" s="66"/>
      <c r="FE57" s="67"/>
      <c r="FF57" s="66"/>
      <c r="FG57" s="67"/>
      <c r="FH57" s="66"/>
      <c r="FI57" s="67"/>
      <c r="FJ57" s="66"/>
      <c r="FK57" s="67"/>
      <c r="FL57" s="66"/>
      <c r="FM57" s="61"/>
      <c r="FN57" s="66"/>
      <c r="FO57" s="61"/>
      <c r="FP57" s="65"/>
      <c r="FQ57" s="61"/>
      <c r="FR57" s="65"/>
      <c r="FS57" s="61"/>
      <c r="FT57" s="75">
        <f>BM57</f>
        <v>-1352</v>
      </c>
      <c r="FU57" s="61" t="str">
        <f t="shared" si="302"/>
        <v>NA</v>
      </c>
      <c r="FV57" s="75">
        <f>BU57</f>
        <v>-1125</v>
      </c>
      <c r="FW57" s="61">
        <f t="shared" si="303"/>
        <v>-16.789940828402372</v>
      </c>
      <c r="FX57" s="75">
        <f>CC57</f>
        <v>-1027</v>
      </c>
      <c r="FY57" s="61">
        <f t="shared" si="304"/>
        <v>-8.7111111111111139</v>
      </c>
      <c r="FZ57" s="75">
        <f>CK57</f>
        <v>-962</v>
      </c>
      <c r="GA57" s="61">
        <f t="shared" si="305"/>
        <v>-6.3291139240506329</v>
      </c>
      <c r="GB57" s="75">
        <f>CS57</f>
        <v>-901</v>
      </c>
      <c r="GC57" s="61">
        <f t="shared" si="306"/>
        <v>-6.340956340956339</v>
      </c>
      <c r="GD57" s="75">
        <f>DA57</f>
        <v>-830</v>
      </c>
      <c r="GE57" s="61">
        <f t="shared" si="307"/>
        <v>-7.8801331853496137</v>
      </c>
      <c r="GF57" s="75">
        <f>DI57</f>
        <v>-759</v>
      </c>
      <c r="GG57" s="61">
        <f t="shared" si="286"/>
        <v>-8.5542168674698775</v>
      </c>
      <c r="GH57" s="75">
        <f>DQ57</f>
        <v>-693</v>
      </c>
      <c r="GI57" s="61">
        <f t="shared" si="286"/>
        <v>-8.6956521739130483</v>
      </c>
      <c r="GJ57" s="75">
        <f>DY57</f>
        <v>-631</v>
      </c>
      <c r="GK57" s="61">
        <f t="shared" si="286"/>
        <v>-8.9466089466089471</v>
      </c>
      <c r="GL57" s="75">
        <f>EG57</f>
        <v>-584</v>
      </c>
      <c r="GM57" s="61">
        <f t="shared" si="286"/>
        <v>-7.4484944532488111</v>
      </c>
      <c r="GN57" s="75">
        <f>EO57</f>
        <v>-768</v>
      </c>
      <c r="GO57" s="61">
        <f t="shared" si="286"/>
        <v>31.506849315068486</v>
      </c>
      <c r="GP57" s="75">
        <f>EW57</f>
        <v>-868</v>
      </c>
      <c r="GQ57" s="61">
        <f t="shared" si="286"/>
        <v>13.020833333333325</v>
      </c>
      <c r="GR57" s="74">
        <f>GP57</f>
        <v>-868</v>
      </c>
      <c r="GS57" s="61">
        <f t="shared" si="286"/>
        <v>0</v>
      </c>
      <c r="GT57" s="74">
        <f>GR57</f>
        <v>-868</v>
      </c>
      <c r="GU57" s="61">
        <f t="shared" si="286"/>
        <v>0</v>
      </c>
      <c r="GV57" s="74">
        <f>GT57</f>
        <v>-868</v>
      </c>
      <c r="GW57" s="61">
        <f t="shared" si="286"/>
        <v>0</v>
      </c>
      <c r="GX57" s="74">
        <f>GV57</f>
        <v>-868</v>
      </c>
      <c r="GY57" s="61">
        <f t="shared" si="287"/>
        <v>0</v>
      </c>
      <c r="GZ57" s="61">
        <f t="shared" si="288"/>
        <v>2.4782501384158939</v>
      </c>
      <c r="HA57" s="61"/>
      <c r="HB57" s="452"/>
      <c r="HC57"/>
      <c r="HD57"/>
      <c r="HE57"/>
      <c r="HF57"/>
      <c r="HG57"/>
      <c r="HH57"/>
    </row>
    <row r="58" spans="2:216" s="5" customFormat="1" ht="12.75" customHeight="1" x14ac:dyDescent="0.2">
      <c r="B58" s="241" t="s">
        <v>238</v>
      </c>
      <c r="C58" s="66"/>
      <c r="D58" s="67"/>
      <c r="E58" s="66"/>
      <c r="F58" s="66"/>
      <c r="G58" s="64"/>
      <c r="H58" s="66"/>
      <c r="I58" s="64"/>
      <c r="J58" s="66"/>
      <c r="K58" s="64"/>
      <c r="L58" s="61"/>
      <c r="M58" s="66"/>
      <c r="N58" s="61"/>
      <c r="O58" s="64"/>
      <c r="P58" s="61"/>
      <c r="Q58" s="64"/>
      <c r="R58" s="61"/>
      <c r="S58" s="64"/>
      <c r="T58" s="61"/>
      <c r="U58" s="64"/>
      <c r="V58" s="61"/>
      <c r="W58" s="64"/>
      <c r="X58" s="61"/>
      <c r="Y58" s="64"/>
      <c r="Z58" s="61"/>
      <c r="AA58" s="64"/>
      <c r="AB58" s="61"/>
      <c r="AC58" s="64"/>
      <c r="AD58" s="61"/>
      <c r="AE58" s="64"/>
      <c r="AF58" s="61"/>
      <c r="AG58" s="64"/>
      <c r="AH58" s="61"/>
      <c r="AI58" s="64"/>
      <c r="AJ58" s="61"/>
      <c r="AK58" s="64"/>
      <c r="AL58" s="61"/>
      <c r="AM58" s="64"/>
      <c r="AN58" s="61"/>
      <c r="AO58" s="64"/>
      <c r="AP58" s="61"/>
      <c r="AQ58" s="64"/>
      <c r="AR58" s="61"/>
      <c r="AS58" s="64"/>
      <c r="AT58" s="61"/>
      <c r="AU58" s="64"/>
      <c r="AV58" s="61"/>
      <c r="AW58" s="64"/>
      <c r="AX58" s="61"/>
      <c r="AY58" s="64"/>
      <c r="AZ58" s="61"/>
      <c r="BA58" s="64"/>
      <c r="BB58" s="61"/>
      <c r="BC58" s="64"/>
      <c r="BD58" s="61"/>
      <c r="BE58" s="64"/>
      <c r="BF58" s="61"/>
      <c r="BG58" s="65">
        <f>BG55+BG57</f>
        <v>12973</v>
      </c>
      <c r="BH58" s="61" t="str">
        <f>IF(ISERROR((BG58/AY58-1)*100),"NA",IF(((BG58/AY58-1)*100)&gt;100,"NM",IF(((BG58/AY58-1)*100)&lt;-50,"NM",(BG58/AY58-1)*100)))</f>
        <v>NA</v>
      </c>
      <c r="BI58" s="65">
        <f>BI55+BI57</f>
        <v>12812</v>
      </c>
      <c r="BJ58" s="61" t="str">
        <f>IF(ISERROR((BI58/BA58-1)*100),"NA",IF(((BI58/BA58-1)*100)&gt;100,"NM",IF(((BI58/BA58-1)*100)&lt;-50,"NM",(BI58/BA58-1)*100)))</f>
        <v>NA</v>
      </c>
      <c r="BK58" s="65">
        <f>BK55+BK57</f>
        <v>12913</v>
      </c>
      <c r="BL58" s="61" t="str">
        <f>IF(ISERROR((BK58/BC58-1)*100),"NA",IF(((BK58/BC58-1)*100)&gt;100,"NM",IF(((BK58/BC58-1)*100)&lt;-50,"NM",(BK58/BC58-1)*100)))</f>
        <v>NA</v>
      </c>
      <c r="BM58" s="65">
        <f>BM55+BM57</f>
        <v>13000</v>
      </c>
      <c r="BN58" s="61" t="str">
        <f>IF(ISERROR((BM58/BE58-1)*100),"NA",IF(((BM58/BE58-1)*100)&gt;100,"NM",IF(((BM58/BE58-1)*100)&lt;-50,"NM",(BM58/BE58-1)*100)))</f>
        <v>NA</v>
      </c>
      <c r="BO58" s="65">
        <f>BO55+BO57</f>
        <v>12926</v>
      </c>
      <c r="BP58" s="61">
        <f>IF(ISERROR((BO58/BG58-1)*100),"NA",IF(((BO58/BG58-1)*100)&gt;100,"NM",IF(((BO58/BG58-1)*100)&lt;-50,"NM",(BO58/BG58-1)*100)))</f>
        <v>-0.36229091189393658</v>
      </c>
      <c r="BQ58" s="65">
        <f>BQ55+BQ57</f>
        <v>13066</v>
      </c>
      <c r="BR58" s="61">
        <f>IF(ISERROR((BQ58/BI58-1)*100),"NA",IF(((BQ58/BI58-1)*100)&gt;100,"NM",IF(((BQ58/BI58-1)*100)&lt;-50,"NM",(BQ58/BI58-1)*100)))</f>
        <v>1.9825163908835375</v>
      </c>
      <c r="BS58" s="65">
        <f>BS55+BS57</f>
        <v>12945</v>
      </c>
      <c r="BT58" s="61">
        <f>IF(ISERROR((BS58/BK58-1)*100),"NA",IF(((BS58/BK58-1)*100)&gt;100,"NM",IF(((BS58/BK58-1)*100)&lt;-50,"NM",(BS58/BK58-1)*100)))</f>
        <v>0.24781228219623586</v>
      </c>
      <c r="BU58" s="65">
        <f>BU55+BU57</f>
        <v>12913</v>
      </c>
      <c r="BV58" s="61">
        <f>IF(ISERROR((BU58/BM58-1)*100),"NA",IF(((BU58/BM58-1)*100)&gt;100,"NM",IF(((BU58/BM58-1)*100)&lt;-50,"NM",(BU58/BM58-1)*100)))</f>
        <v>-0.66923076923076641</v>
      </c>
      <c r="BW58" s="65">
        <f>BW55+BW57</f>
        <v>13060</v>
      </c>
      <c r="BX58" s="61">
        <f>IF(ISERROR((BW58/BO58-1)*100),"NA",IF(((BW58/BO58-1)*100)&gt;100,"NM",IF(((BW58/BO58-1)*100)&lt;-50,"NM",(BW58/BO58-1)*100)))</f>
        <v>1.0366702769611713</v>
      </c>
      <c r="BY58" s="65">
        <f>BY55+BY57</f>
        <v>13632</v>
      </c>
      <c r="BZ58" s="61">
        <f>IF(ISERROR((BY58/BQ58-1)*100),"NA",IF(((BY58/BQ58-1)*100)&gt;100,"NM",IF(((BY58/BQ58-1)*100)&lt;-50,"NM",(BY58/BQ58-1)*100)))</f>
        <v>4.3318536660033713</v>
      </c>
      <c r="CA58" s="65">
        <f>CA55+CA57</f>
        <v>14727</v>
      </c>
      <c r="CB58" s="61">
        <f>IF(ISERROR((CA58/BS58-1)*100),"NA",IF(((CA58/BS58-1)*100)&gt;100,"NM",IF(((CA58/BS58-1)*100)&lt;-50,"NM",(CA58/BS58-1)*100)))</f>
        <v>13.765932792584001</v>
      </c>
      <c r="CC58" s="65">
        <f>CC55+CC57</f>
        <v>14914</v>
      </c>
      <c r="CD58" s="61">
        <f>IF(ISERROR((CC58/BU58-1)*100),"NA",IF(((CC58/BU58-1)*100)&gt;100,"NM",IF(((CC58/BU58-1)*100)&lt;-50,"NM",(CC58/BU58-1)*100)))</f>
        <v>15.496011771083396</v>
      </c>
      <c r="CE58" s="65">
        <f>CE55+CE57</f>
        <v>15135</v>
      </c>
      <c r="CF58" s="61">
        <f>IF(ISERROR((CE58/BW58-1)*100),"NA",IF(((CE58/BW58-1)*100)&gt;100,"NM",IF(((CE58/BW58-1)*100)&lt;-50,"NM",(CE58/BW58-1)*100)))</f>
        <v>15.888208269525261</v>
      </c>
      <c r="CG58" s="65">
        <f>CG55+CG57</f>
        <v>15507</v>
      </c>
      <c r="CH58" s="61">
        <f>IF(ISERROR((CG58/BY58-1)*100),"NA",IF(((CG58/BY58-1)*100)&gt;100,"NM",IF(((CG58/BY58-1)*100)&lt;-50,"NM",(CG58/BY58-1)*100)))</f>
        <v>13.7544014084507</v>
      </c>
      <c r="CI58" s="65">
        <f>CI55+CI57</f>
        <v>16326</v>
      </c>
      <c r="CJ58" s="61">
        <f>IF(ISERROR((CI58/CA58-1)*100),"NA",IF(((CI58/CA58-1)*100)&gt;100,"NM",IF(((CI58/CA58-1)*100)&lt;-50,"NM",(CI58/CA58-1)*100)))</f>
        <v>10.857608474231007</v>
      </c>
      <c r="CK58" s="65">
        <f>CK55+CK57</f>
        <v>16458</v>
      </c>
      <c r="CL58" s="61">
        <f>IF(ISERROR((CK58/CC58-1)*100),"NA",IF(((CK58/CC58-1)*100)&gt;100,"NM",IF(((CK58/CC58-1)*100)&lt;-50,"NM",(CK58/CC58-1)*100)))</f>
        <v>10.3526887488266</v>
      </c>
      <c r="CM58" s="65">
        <f>CM55+CM57</f>
        <v>16694</v>
      </c>
      <c r="CN58" s="61">
        <f>IF(ISERROR((CM58/CE58-1)*100),"NA",IF(((CM58/CE58-1)*100)&gt;100,"NM",IF(((CM58/CE58-1)*100)&lt;-50,"NM",(CM58/CE58-1)*100)))</f>
        <v>10.300627684175744</v>
      </c>
      <c r="CO58" s="65">
        <f>CO55+CO57</f>
        <v>17003</v>
      </c>
      <c r="CP58" s="61">
        <f t="shared" si="289"/>
        <v>9.6472560779003125</v>
      </c>
      <c r="CQ58" s="65">
        <f>CQ55+CQ57</f>
        <v>17089</v>
      </c>
      <c r="CR58" s="61">
        <f t="shared" si="290"/>
        <v>4.6735268896239024</v>
      </c>
      <c r="CS58" s="65">
        <f>CS55+CS57</f>
        <v>17205</v>
      </c>
      <c r="CT58" s="61">
        <f t="shared" si="291"/>
        <v>4.5388261028071364</v>
      </c>
      <c r="CU58" s="65">
        <f>CU55+CU57</f>
        <v>17303</v>
      </c>
      <c r="CV58" s="61">
        <f t="shared" si="292"/>
        <v>3.6480172517072029</v>
      </c>
      <c r="CW58" s="65">
        <f>CW55+CW57</f>
        <v>17402</v>
      </c>
      <c r="CX58" s="61">
        <f t="shared" si="293"/>
        <v>2.3466447097570953</v>
      </c>
      <c r="CY58" s="65">
        <f>CY55+CY57</f>
        <v>17498</v>
      </c>
      <c r="CZ58" s="61">
        <f t="shared" si="294"/>
        <v>2.3933524489437641</v>
      </c>
      <c r="DA58" s="65">
        <f>DA55+DA57</f>
        <v>17608</v>
      </c>
      <c r="DB58" s="61">
        <f t="shared" si="295"/>
        <v>2.3423423423423406</v>
      </c>
      <c r="DC58" s="65">
        <f>DC55+DC57</f>
        <v>17728</v>
      </c>
      <c r="DD58" s="61">
        <f t="shared" si="296"/>
        <v>2.4562214644859193</v>
      </c>
      <c r="DE58" s="65">
        <f>DE55+DE57</f>
        <v>17698</v>
      </c>
      <c r="DF58" s="61">
        <f t="shared" si="297"/>
        <v>1.7009539133432838</v>
      </c>
      <c r="DG58" s="65">
        <f>DG55+DG57</f>
        <v>17678</v>
      </c>
      <c r="DH58" s="61">
        <f t="shared" si="298"/>
        <v>1.0286889930277709</v>
      </c>
      <c r="DI58" s="65">
        <f>DI55+DI57</f>
        <v>17793</v>
      </c>
      <c r="DJ58" s="61">
        <f t="shared" si="299"/>
        <v>1.0506587914584253</v>
      </c>
      <c r="DK58" s="65">
        <f>DK55+DK57</f>
        <v>17986</v>
      </c>
      <c r="DL58" s="61">
        <f t="shared" si="300"/>
        <v>1.4553249097472909</v>
      </c>
      <c r="DM58" s="65">
        <f>DM55+DM57</f>
        <v>18149</v>
      </c>
      <c r="DN58" s="130">
        <f t="shared" si="266"/>
        <v>2.5483105435642361</v>
      </c>
      <c r="DO58" s="65">
        <f>DO55+DO57</f>
        <v>18032</v>
      </c>
      <c r="DP58" s="130">
        <f t="shared" si="266"/>
        <v>2.0024889693404324</v>
      </c>
      <c r="DQ58" s="65">
        <f>DQ55+DQ57</f>
        <v>17968</v>
      </c>
      <c r="DR58" s="130">
        <f t="shared" si="266"/>
        <v>0.98353284999719293</v>
      </c>
      <c r="DS58" s="65">
        <f>DS55+DS57</f>
        <v>17975</v>
      </c>
      <c r="DT58" s="130">
        <f t="shared" si="266"/>
        <v>-6.1158678972539349E-2</v>
      </c>
      <c r="DU58" s="65">
        <f>DU55+DU57</f>
        <v>17935</v>
      </c>
      <c r="DV58" s="130">
        <f t="shared" si="266"/>
        <v>-1.1791283266295638</v>
      </c>
      <c r="DW58" s="65">
        <f>DW55+DW57</f>
        <v>18027</v>
      </c>
      <c r="DX58" s="65">
        <f t="shared" ref="DX58:DY58" si="329">DX55+DX57</f>
        <v>-571.47284768211921</v>
      </c>
      <c r="DY58" s="65">
        <f t="shared" si="329"/>
        <v>18451</v>
      </c>
      <c r="DZ58" s="130">
        <f t="shared" si="266"/>
        <v>2.6881121994657198</v>
      </c>
      <c r="EA58" s="65">
        <f t="shared" ref="EA58:EC58" si="330">EA55+EA57</f>
        <v>18829</v>
      </c>
      <c r="EB58" s="130">
        <f t="shared" si="268"/>
        <v>4.7510431154381028</v>
      </c>
      <c r="EC58" s="65">
        <f t="shared" si="330"/>
        <v>18990</v>
      </c>
      <c r="ED58" s="130">
        <f t="shared" si="269"/>
        <v>5.8823529411764719</v>
      </c>
      <c r="EE58" s="65">
        <f t="shared" ref="EE58:EG58" si="331">EE55+EE57</f>
        <v>19037</v>
      </c>
      <c r="EF58" s="130">
        <f t="shared" si="270"/>
        <v>5.602707050535316</v>
      </c>
      <c r="EG58" s="65">
        <f t="shared" si="331"/>
        <v>19139</v>
      </c>
      <c r="EH58" s="130">
        <f t="shared" si="271"/>
        <v>3.7287951872527314</v>
      </c>
      <c r="EI58" s="65">
        <f t="shared" ref="EI58" si="332">EI55+EI57</f>
        <v>19455</v>
      </c>
      <c r="EJ58" s="130">
        <f t="shared" si="272"/>
        <v>3.324658771044664</v>
      </c>
      <c r="EK58" s="65">
        <f t="shared" ref="EK58:EM58" si="333">EK55+EK57</f>
        <v>19459</v>
      </c>
      <c r="EL58" s="130">
        <f t="shared" si="274"/>
        <v>2.4697209057398695</v>
      </c>
      <c r="EM58" s="65">
        <f t="shared" si="333"/>
        <v>19394</v>
      </c>
      <c r="EN58" s="130">
        <f t="shared" si="275"/>
        <v>1.8752954772285557</v>
      </c>
      <c r="EO58" s="65">
        <f t="shared" ref="EO58" si="334">EO55+EO57</f>
        <v>19537</v>
      </c>
      <c r="EP58" s="130">
        <f t="shared" si="277"/>
        <v>2.0795234860755629</v>
      </c>
      <c r="EQ58" s="65">
        <f t="shared" ref="EQ58:EW58" si="335">EQ55+EQ57</f>
        <v>19796.103294568802</v>
      </c>
      <c r="ER58" s="130">
        <f t="shared" si="279"/>
        <v>1.7532937269020943</v>
      </c>
      <c r="ES58" s="65">
        <f t="shared" si="335"/>
        <v>20100.98666786966</v>
      </c>
      <c r="ET58" s="130">
        <f t="shared" si="281"/>
        <v>3.2991760515425295</v>
      </c>
      <c r="EU58" s="65">
        <f t="shared" si="335"/>
        <v>20501.877017801045</v>
      </c>
      <c r="EV58" s="130">
        <f t="shared" si="283"/>
        <v>5.7124730215584396</v>
      </c>
      <c r="EW58" s="65">
        <f t="shared" si="335"/>
        <v>20949.997410567659</v>
      </c>
      <c r="EX58" s="130">
        <f t="shared" si="285"/>
        <v>7.2324175183890116</v>
      </c>
      <c r="EY58" s="64"/>
      <c r="EZ58" s="558"/>
      <c r="FA58" s="64"/>
      <c r="FB58" s="66"/>
      <c r="FC58" s="66"/>
      <c r="FD58" s="66"/>
      <c r="FE58" s="67"/>
      <c r="FF58" s="66"/>
      <c r="FG58" s="67"/>
      <c r="FH58" s="66"/>
      <c r="FI58" s="67"/>
      <c r="FJ58" s="66"/>
      <c r="FK58" s="67"/>
      <c r="FL58" s="66"/>
      <c r="FM58" s="61"/>
      <c r="FN58" s="66"/>
      <c r="FO58" s="61"/>
      <c r="FP58" s="65"/>
      <c r="FQ58" s="61"/>
      <c r="FR58" s="65"/>
      <c r="FS58" s="61"/>
      <c r="FT58" s="65">
        <f>FT55+FT57</f>
        <v>13000</v>
      </c>
      <c r="FU58" s="61" t="str">
        <f t="shared" si="302"/>
        <v>NA</v>
      </c>
      <c r="FV58" s="65">
        <f>FV55+FV57</f>
        <v>12913</v>
      </c>
      <c r="FW58" s="61">
        <f t="shared" si="303"/>
        <v>-0.66923076923076641</v>
      </c>
      <c r="FX58" s="65">
        <f>FX55+FX57</f>
        <v>14914</v>
      </c>
      <c r="FY58" s="61">
        <f t="shared" si="304"/>
        <v>15.496011771083396</v>
      </c>
      <c r="FZ58" s="65">
        <f>FZ55+FZ57</f>
        <v>16458</v>
      </c>
      <c r="GA58" s="61">
        <f t="shared" si="305"/>
        <v>10.3526887488266</v>
      </c>
      <c r="GB58" s="65">
        <f>GB55+GB57</f>
        <v>17205</v>
      </c>
      <c r="GC58" s="61">
        <f t="shared" si="306"/>
        <v>4.5388261028071364</v>
      </c>
      <c r="GD58" s="65">
        <f>GD55+GD57</f>
        <v>17608</v>
      </c>
      <c r="GE58" s="61">
        <f t="shared" si="307"/>
        <v>2.3423423423423406</v>
      </c>
      <c r="GF58" s="65">
        <f>GF55+GF57</f>
        <v>17793</v>
      </c>
      <c r="GG58" s="61">
        <f t="shared" si="286"/>
        <v>1.0506587914584253</v>
      </c>
      <c r="GH58" s="65">
        <f>GH55+GH57</f>
        <v>17968</v>
      </c>
      <c r="GI58" s="61">
        <f t="shared" si="286"/>
        <v>0.98353284999719293</v>
      </c>
      <c r="GJ58" s="65">
        <f>GJ55+GJ57</f>
        <v>18451</v>
      </c>
      <c r="GK58" s="61">
        <f t="shared" si="286"/>
        <v>2.6881121994657198</v>
      </c>
      <c r="GL58" s="65">
        <f>GL55+GL57</f>
        <v>19139</v>
      </c>
      <c r="GM58" s="61">
        <f t="shared" si="286"/>
        <v>3.7287951872527314</v>
      </c>
      <c r="GN58" s="65">
        <f>GN55+GN57</f>
        <v>19537</v>
      </c>
      <c r="GO58" s="61">
        <f t="shared" si="286"/>
        <v>2.0795234860755629</v>
      </c>
      <c r="GP58" s="65">
        <f>GP55+GP57</f>
        <v>20949.997410567663</v>
      </c>
      <c r="GQ58" s="61">
        <f t="shared" si="286"/>
        <v>7.2324175183890116</v>
      </c>
      <c r="GR58" s="65">
        <f>GR55+GR57</f>
        <v>22538.254634498644</v>
      </c>
      <c r="GS58" s="61">
        <f t="shared" si="286"/>
        <v>7.581181003534776</v>
      </c>
      <c r="GT58" s="65">
        <f>GT55+GT57</f>
        <v>24084.577303105987</v>
      </c>
      <c r="GU58" s="61">
        <f t="shared" si="286"/>
        <v>6.8608802841389149</v>
      </c>
      <c r="GV58" s="65">
        <f>GV55+GV57</f>
        <v>25592.81780319348</v>
      </c>
      <c r="GW58" s="61">
        <f t="shared" si="286"/>
        <v>6.2622668486400634</v>
      </c>
      <c r="GX58" s="65">
        <f>GX55+GX57</f>
        <v>27066.606976334955</v>
      </c>
      <c r="GY58" s="61">
        <f t="shared" si="287"/>
        <v>5.7586045603684077</v>
      </c>
      <c r="GZ58" s="61">
        <f t="shared" si="288"/>
        <v>6.7370481459298137</v>
      </c>
      <c r="HA58" s="61"/>
      <c r="HB58" s="452"/>
      <c r="HC58"/>
      <c r="HD58"/>
      <c r="HE58"/>
      <c r="HF58"/>
      <c r="HG58"/>
      <c r="HH58"/>
    </row>
    <row r="59" spans="2:216" s="5" customFormat="1" ht="12.75" customHeight="1" x14ac:dyDescent="0.2">
      <c r="B59" s="68"/>
      <c r="C59" s="66"/>
      <c r="D59" s="67"/>
      <c r="E59" s="66"/>
      <c r="F59" s="66"/>
      <c r="G59" s="64"/>
      <c r="H59" s="66"/>
      <c r="I59" s="64"/>
      <c r="J59" s="66"/>
      <c r="K59" s="64"/>
      <c r="L59" s="61"/>
      <c r="M59" s="66"/>
      <c r="N59" s="61"/>
      <c r="O59" s="64"/>
      <c r="P59" s="61"/>
      <c r="Q59" s="64"/>
      <c r="R59" s="61"/>
      <c r="S59" s="64"/>
      <c r="T59" s="61"/>
      <c r="U59" s="64"/>
      <c r="V59" s="61"/>
      <c r="W59" s="64"/>
      <c r="X59" s="61"/>
      <c r="Y59" s="64"/>
      <c r="Z59" s="61"/>
      <c r="AA59" s="64"/>
      <c r="AB59" s="61"/>
      <c r="AC59" s="64"/>
      <c r="AD59" s="61"/>
      <c r="AE59" s="64"/>
      <c r="AF59" s="61"/>
      <c r="AG59" s="64"/>
      <c r="AH59" s="61"/>
      <c r="AI59" s="64"/>
      <c r="AJ59" s="61"/>
      <c r="AK59" s="64"/>
      <c r="AL59" s="61"/>
      <c r="AM59" s="64"/>
      <c r="AN59" s="61"/>
      <c r="AO59" s="64"/>
      <c r="AP59" s="61"/>
      <c r="AQ59" s="64"/>
      <c r="AR59" s="61"/>
      <c r="AS59" s="64"/>
      <c r="AT59" s="61"/>
      <c r="AU59" s="64"/>
      <c r="AV59" s="61"/>
      <c r="AW59" s="64"/>
      <c r="AX59" s="61"/>
      <c r="AY59" s="64"/>
      <c r="AZ59" s="61"/>
      <c r="BA59" s="64"/>
      <c r="BB59" s="61"/>
      <c r="BC59" s="64"/>
      <c r="BD59" s="61"/>
      <c r="BE59" s="64"/>
      <c r="BF59" s="61"/>
      <c r="BG59" s="64"/>
      <c r="BH59" s="61"/>
      <c r="BI59" s="64"/>
      <c r="BJ59" s="61"/>
      <c r="BK59" s="64"/>
      <c r="BL59" s="61"/>
      <c r="BM59" s="64"/>
      <c r="BN59" s="61"/>
      <c r="BO59" s="64"/>
      <c r="BP59" s="61"/>
      <c r="BQ59" s="64"/>
      <c r="BR59" s="61"/>
      <c r="BS59" s="64"/>
      <c r="BT59" s="61"/>
      <c r="BU59" s="64"/>
      <c r="BV59" s="61"/>
      <c r="BW59" s="64"/>
      <c r="BX59" s="61"/>
      <c r="BY59" s="64"/>
      <c r="BZ59" s="61"/>
      <c r="CA59" s="64"/>
      <c r="CB59" s="61"/>
      <c r="CC59" s="64"/>
      <c r="CD59" s="61"/>
      <c r="CE59" s="64"/>
      <c r="CF59" s="61"/>
      <c r="CG59" s="64"/>
      <c r="CH59" s="61"/>
      <c r="CI59" s="64"/>
      <c r="CJ59" s="61"/>
      <c r="CK59" s="64"/>
      <c r="CL59" s="61"/>
      <c r="CM59" s="64"/>
      <c r="CN59" s="61"/>
      <c r="CO59" s="64"/>
      <c r="CP59" s="61"/>
      <c r="CQ59" s="64"/>
      <c r="CR59" s="61"/>
      <c r="CS59" s="64"/>
      <c r="CT59" s="61"/>
      <c r="CU59" s="64"/>
      <c r="CV59" s="61"/>
      <c r="CW59" s="64"/>
      <c r="CX59" s="61"/>
      <c r="CY59" s="64"/>
      <c r="CZ59" s="61"/>
      <c r="DA59" s="64"/>
      <c r="DB59" s="61"/>
      <c r="DC59" s="64"/>
      <c r="DD59" s="61"/>
      <c r="DE59" s="64"/>
      <c r="DF59" s="61"/>
      <c r="DG59" s="64"/>
      <c r="DH59" s="61"/>
      <c r="DI59" s="64"/>
      <c r="DJ59" s="61"/>
      <c r="DK59" s="64"/>
      <c r="DL59" s="61"/>
      <c r="DM59" s="64"/>
      <c r="DN59" s="61"/>
      <c r="DO59" s="64"/>
      <c r="DP59" s="61"/>
      <c r="DQ59" s="64"/>
      <c r="DR59" s="61"/>
      <c r="DS59" s="64"/>
      <c r="DT59" s="61"/>
      <c r="DU59" s="64"/>
      <c r="DV59" s="61"/>
      <c r="DW59" s="64"/>
      <c r="DX59" s="64"/>
      <c r="DY59" s="64"/>
      <c r="DZ59" s="61"/>
      <c r="EA59" s="64"/>
      <c r="EB59" s="61"/>
      <c r="EC59" s="64"/>
      <c r="ED59" s="61"/>
      <c r="EE59" s="64"/>
      <c r="EF59" s="61"/>
      <c r="EG59" s="64"/>
      <c r="EH59" s="61"/>
      <c r="EI59" s="64"/>
      <c r="EJ59" s="61"/>
      <c r="EK59" s="64"/>
      <c r="EL59" s="61"/>
      <c r="EM59" s="64"/>
      <c r="EN59" s="61"/>
      <c r="EO59" s="64"/>
      <c r="EP59" s="61"/>
      <c r="EQ59" s="64"/>
      <c r="ER59" s="61"/>
      <c r="ES59" s="64"/>
      <c r="ET59" s="61"/>
      <c r="EU59" s="64"/>
      <c r="EV59" s="61"/>
      <c r="EW59" s="64"/>
      <c r="EX59" s="61"/>
      <c r="EY59" s="64"/>
      <c r="EZ59" s="558"/>
      <c r="FA59" s="64"/>
      <c r="FB59" s="66"/>
      <c r="FC59" s="66"/>
      <c r="FD59" s="66"/>
      <c r="FE59" s="67"/>
      <c r="FF59" s="66"/>
      <c r="FG59" s="67"/>
      <c r="FH59" s="66"/>
      <c r="FI59" s="67"/>
      <c r="FJ59" s="66"/>
      <c r="FK59" s="67"/>
      <c r="FL59" s="66"/>
      <c r="FM59" s="61"/>
      <c r="FN59" s="66"/>
      <c r="FO59" s="61"/>
      <c r="FP59" s="65"/>
      <c r="FQ59" s="61"/>
      <c r="FR59" s="65"/>
      <c r="FS59" s="61"/>
      <c r="FT59" s="65"/>
      <c r="FU59" s="61"/>
      <c r="FV59" s="65"/>
      <c r="FW59" s="61"/>
      <c r="FX59" s="65"/>
      <c r="FY59" s="61"/>
      <c r="FZ59" s="65"/>
      <c r="GA59" s="61"/>
      <c r="GB59" s="65"/>
      <c r="GC59" s="61"/>
      <c r="GD59" s="65"/>
      <c r="GE59" s="61"/>
      <c r="GF59" s="65"/>
      <c r="GG59" s="61"/>
      <c r="GH59" s="65"/>
      <c r="GI59" s="61"/>
      <c r="GJ59" s="65"/>
      <c r="GK59" s="61"/>
      <c r="GL59" s="65"/>
      <c r="GM59" s="61"/>
      <c r="GN59" s="65"/>
      <c r="GO59" s="61"/>
      <c r="GP59" s="65"/>
      <c r="GQ59" s="61"/>
      <c r="GR59" s="64"/>
      <c r="GS59" s="61"/>
      <c r="GT59" s="64"/>
      <c r="GU59" s="61"/>
      <c r="GV59" s="64"/>
      <c r="GW59" s="61"/>
      <c r="GX59" s="64"/>
      <c r="GY59" s="61"/>
      <c r="GZ59" s="61"/>
      <c r="HA59" s="61"/>
      <c r="HB59" s="452"/>
      <c r="HC59"/>
      <c r="HD59"/>
      <c r="HE59"/>
      <c r="HF59"/>
      <c r="HG59"/>
      <c r="HH59"/>
    </row>
    <row r="60" spans="2:216" s="5" customFormat="1" ht="12.75" customHeight="1" x14ac:dyDescent="0.2">
      <c r="B60" s="68" t="s">
        <v>233</v>
      </c>
      <c r="C60" s="66"/>
      <c r="D60" s="67"/>
      <c r="E60" s="66"/>
      <c r="F60" s="66"/>
      <c r="G60" s="64"/>
      <c r="H60" s="66"/>
      <c r="I60" s="64"/>
      <c r="J60" s="66"/>
      <c r="K60" s="64"/>
      <c r="L60" s="61"/>
      <c r="M60" s="66"/>
      <c r="N60" s="61"/>
      <c r="O60" s="64"/>
      <c r="P60" s="61"/>
      <c r="Q60" s="64"/>
      <c r="R60" s="61"/>
      <c r="S60" s="64"/>
      <c r="T60" s="61"/>
      <c r="U60" s="64"/>
      <c r="V60" s="61"/>
      <c r="W60" s="64"/>
      <c r="X60" s="61"/>
      <c r="Y60" s="64"/>
      <c r="Z60" s="61"/>
      <c r="AA60" s="64"/>
      <c r="AB60" s="61"/>
      <c r="AC60" s="64"/>
      <c r="AD60" s="61"/>
      <c r="AE60" s="64"/>
      <c r="AF60" s="61"/>
      <c r="AG60" s="64"/>
      <c r="AH60" s="61"/>
      <c r="AI60" s="64"/>
      <c r="AJ60" s="61"/>
      <c r="AK60" s="64"/>
      <c r="AL60" s="61"/>
      <c r="AM60" s="64"/>
      <c r="AN60" s="61"/>
      <c r="AO60" s="64"/>
      <c r="AP60" s="61"/>
      <c r="AQ60" s="64"/>
      <c r="AR60" s="61"/>
      <c r="AS60" s="64"/>
      <c r="AT60" s="61"/>
      <c r="AU60" s="64"/>
      <c r="AV60" s="61"/>
      <c r="AW60" s="64"/>
      <c r="AX60" s="61"/>
      <c r="AY60" s="64"/>
      <c r="AZ60" s="61"/>
      <c r="BA60" s="64"/>
      <c r="BB60" s="61"/>
      <c r="BC60" s="64"/>
      <c r="BD60" s="61"/>
      <c r="BE60" s="64"/>
      <c r="BF60" s="61"/>
      <c r="BG60" s="550">
        <f>BG50+BG52</f>
        <v>-451</v>
      </c>
      <c r="BH60" s="61" t="str">
        <f>IF(ISERROR((BG60/AY60-1)*100),"NA",IF(((BG60/AY60-1)*100)&gt;100,"NM",IF(((BG60/AY60-1)*100)&lt;-50,"NM",(BG60/AY60-1)*100)))</f>
        <v>NA</v>
      </c>
      <c r="BI60" s="550">
        <f>BI50+BI52</f>
        <v>-418</v>
      </c>
      <c r="BJ60" s="61" t="str">
        <f>IF(ISERROR((BI60/BA60-1)*100),"NA",IF(((BI60/BA60-1)*100)&gt;100,"NM",IF(((BI60/BA60-1)*100)&lt;-50,"NM",(BI60/BA60-1)*100)))</f>
        <v>NA</v>
      </c>
      <c r="BK60" s="550">
        <f>BK50+BK52</f>
        <v>-225</v>
      </c>
      <c r="BL60" s="61" t="str">
        <f>IF(ISERROR((BK60/BC60-1)*100),"NA",IF(((BK60/BC60-1)*100)&gt;100,"NM",IF(((BK60/BC60-1)*100)&lt;-50,"NM",(BK60/BC60-1)*100)))</f>
        <v>NA</v>
      </c>
      <c r="BM60" s="550">
        <f>BM50+BM52</f>
        <v>-113</v>
      </c>
      <c r="BN60" s="61" t="str">
        <f>IF(ISERROR((BM60/BE60-1)*100),"NA",IF(((BM60/BE60-1)*100)&gt;100,"NM",IF(((BM60/BE60-1)*100)&lt;-50,"NM",(BM60/BE60-1)*100)))</f>
        <v>NA</v>
      </c>
      <c r="BO60" s="550">
        <f>BO50+BO52</f>
        <v>-157</v>
      </c>
      <c r="BP60" s="61" t="str">
        <f>IF(ISERROR((BO60/BG60-1)*100),"NA",IF(((BO60/BG60-1)*100)&gt;100,"NM",IF(((BO60/BG60-1)*100)&lt;-50,"NM",(BO60/BG60-1)*100)))</f>
        <v>NM</v>
      </c>
      <c r="BQ60" s="550">
        <f>BQ50+BQ52</f>
        <v>-15</v>
      </c>
      <c r="BR60" s="61" t="str">
        <f>IF(ISERROR((BQ60/BI60-1)*100),"NA",IF(((BQ60/BI60-1)*100)&gt;100,"NM",IF(((BQ60/BI60-1)*100)&lt;-50,"NM",(BQ60/BI60-1)*100)))</f>
        <v>NM</v>
      </c>
      <c r="BS60" s="550">
        <f>BS50+BS52</f>
        <v>-284</v>
      </c>
      <c r="BT60" s="61">
        <f>IF(ISERROR((BS60/BK60-1)*100),"NA",IF(((BS60/BK60-1)*100)&gt;100,"NM",IF(((BS60/BK60-1)*100)&lt;-50,"NM",(BS60/BK60-1)*100)))</f>
        <v>26.222222222222214</v>
      </c>
      <c r="BU60" s="550">
        <f>BU50+BU52</f>
        <v>-215</v>
      </c>
      <c r="BV60" s="61">
        <f>IF(ISERROR((BU60/BM60-1)*100),"NA",IF(((BU60/BM60-1)*100)&gt;100,"NM",IF(((BU60/BM60-1)*100)&lt;-50,"NM",(BU60/BM60-1)*100)))</f>
        <v>90.26548672566372</v>
      </c>
      <c r="BW60" s="550">
        <f>BW50+BW52</f>
        <v>-9</v>
      </c>
      <c r="BX60" s="61" t="str">
        <f>IF(ISERROR((BW60/BO60-1)*100),"NA",IF(((BW60/BO60-1)*100)&gt;100,"NM",IF(((BW60/BO60-1)*100)&lt;-50,"NM",(BW60/BO60-1)*100)))</f>
        <v>NM</v>
      </c>
      <c r="BY60" s="550">
        <f>BY50+BY52</f>
        <v>384</v>
      </c>
      <c r="BZ60" s="61" t="str">
        <f>IF(ISERROR((BY60/BQ60-1)*100),"NA",IF(((BY60/BQ60-1)*100)&gt;100,"NM",IF(((BY60/BQ60-1)*100)&lt;-50,"NM",(BY60/BQ60-1)*100)))</f>
        <v>NM</v>
      </c>
      <c r="CA60" s="550">
        <f>CA50+CA52</f>
        <v>862</v>
      </c>
      <c r="CB60" s="61" t="str">
        <f>IF(ISERROR((CA60/BS60-1)*100),"NA",IF(((CA60/BS60-1)*100)&gt;100,"NM",IF(((CA60/BS60-1)*100)&lt;-50,"NM",(CA60/BS60-1)*100)))</f>
        <v>NM</v>
      </c>
      <c r="CC60" s="550">
        <f>CC50+CC52</f>
        <v>-19</v>
      </c>
      <c r="CD60" s="61" t="str">
        <f>IF(ISERROR((CC60/BU60-1)*100),"NA",IF(((CC60/BU60-1)*100)&gt;100,"NM",IF(((CC60/BU60-1)*100)&lt;-50,"NM",(CC60/BU60-1)*100)))</f>
        <v>NM</v>
      </c>
      <c r="CE60" s="550">
        <f>CE50+CE52</f>
        <v>23</v>
      </c>
      <c r="CF60" s="61" t="str">
        <f>IF(ISERROR((CE60/BW60-1)*100),"NA",IF(((CE60/BW60-1)*100)&gt;100,"NM",IF(((CE60/BW60-1)*100)&lt;-50,"NM",(CE60/BW60-1)*100)))</f>
        <v>NM</v>
      </c>
      <c r="CG60" s="550">
        <f>CG50+CG52</f>
        <v>283</v>
      </c>
      <c r="CH60" s="61">
        <f>IF(ISERROR((CG60/BY60-1)*100),"NA",IF(((CG60/BY60-1)*100)&gt;100,"NM",IF(((CG60/BY60-1)*100)&lt;-50,"NM",(CG60/BY60-1)*100)))</f>
        <v>-26.302083333333336</v>
      </c>
      <c r="CI60" s="550">
        <f>CI50+CI52</f>
        <v>572</v>
      </c>
      <c r="CJ60" s="61">
        <f>IF(ISERROR((CI60/CA60-1)*100),"NA",IF(((CI60/CA60-1)*100)&gt;100,"NM",IF(((CI60/CA60-1)*100)&lt;-50,"NM",(CI60/CA60-1)*100)))</f>
        <v>-33.64269141531323</v>
      </c>
      <c r="CK60" s="550">
        <f>CK50+CK52</f>
        <v>-108</v>
      </c>
      <c r="CL60" s="61" t="str">
        <f>IF(ISERROR((CK60/CC60-1)*100),"NA",IF(((CK60/CC60-1)*100)&gt;100,"NM",IF(((CK60/CC60-1)*100)&lt;-50,"NM",(CK60/CC60-1)*100)))</f>
        <v>NM</v>
      </c>
      <c r="CM60" s="550">
        <f>CM50+CM52</f>
        <v>31</v>
      </c>
      <c r="CN60" s="61">
        <f>IF(ISERROR((CM60/CE60-1)*100),"NA",IF(((CM60/CE60-1)*100)&gt;100,"NM",IF(((CM60/CE60-1)*100)&lt;-50,"NM",(CM60/CE60-1)*100)))</f>
        <v>34.782608695652172</v>
      </c>
      <c r="CO60" s="550">
        <f>CO50+CO52</f>
        <v>134</v>
      </c>
      <c r="CP60" s="61" t="str">
        <f>IF(ISERROR((CO60/CG60-1)*100),"NA",IF(((CO60/CG60-1)*100)&gt;100,"NM",IF(((CO60/CG60-1)*100)&lt;-50,"NM",(CO60/CG60-1)*100)))</f>
        <v>NM</v>
      </c>
      <c r="CQ60" s="550">
        <f>CQ50+CQ52</f>
        <v>46</v>
      </c>
      <c r="CR60" s="61" t="str">
        <f>IF(ISERROR((CQ60/CI60-1)*100),"NA",IF(((CQ60/CI60-1)*100)&gt;100,"NM",IF(((CQ60/CI60-1)*100)&lt;-50,"NM",(CQ60/CI60-1)*100)))</f>
        <v>NM</v>
      </c>
      <c r="CS60" s="550">
        <f>CS50+CS52</f>
        <v>-128</v>
      </c>
      <c r="CT60" s="61">
        <f>IF(ISERROR((CS60/CK60-1)*100),"NA",IF(((CS60/CK60-1)*100)&gt;100,"NM",IF(((CS60/CK60-1)*100)&lt;-50,"NM",(CS60/CK60-1)*100)))</f>
        <v>18.518518518518512</v>
      </c>
      <c r="CU60" s="550">
        <f>CU50+CU52</f>
        <v>-170</v>
      </c>
      <c r="CV60" s="61" t="str">
        <f>IF(ISERROR((CU60/CM60-1)*100),"NA",IF(((CU60/CM60-1)*100)&gt;100,"NM",IF(((CU60/CM60-1)*100)&lt;-50,"NM",(CU60/CM60-1)*100)))</f>
        <v>NM</v>
      </c>
      <c r="CW60" s="550">
        <f>CW50+CW52</f>
        <v>-32</v>
      </c>
      <c r="CX60" s="61" t="str">
        <f>IF(ISERROR((CW60/CO60-1)*100),"NA",IF(((CW60/CO60-1)*100)&gt;100,"NM",IF(((CW60/CO60-1)*100)&lt;-50,"NM",(CW60/CO60-1)*100)))</f>
        <v>NM</v>
      </c>
      <c r="CY60" s="550">
        <f>CY50+CY52</f>
        <v>-110</v>
      </c>
      <c r="CZ60" s="61" t="str">
        <f>IF(ISERROR((CY60/CQ60-1)*100),"NA",IF(((CY60/CQ60-1)*100)&gt;100,"NM",IF(((CY60/CQ60-1)*100)&lt;-50,"NM",(CY60/CQ60-1)*100)))</f>
        <v>NM</v>
      </c>
      <c r="DA60" s="550">
        <f>DA50+DA52</f>
        <v>-51</v>
      </c>
      <c r="DB60" s="61" t="str">
        <f>IF(ISERROR((DA60/CS60-1)*100),"NA",IF(((DA60/CS60-1)*100)&gt;100,"NM",IF(((DA60/CS60-1)*100)&lt;-50,"NM",(DA60/CS60-1)*100)))</f>
        <v>NM</v>
      </c>
      <c r="DC60" s="550">
        <f>DC50+DC52</f>
        <v>-155</v>
      </c>
      <c r="DD60" s="61">
        <f>IF(ISERROR((DC60/CU60-1)*100),"NA",IF(((DC60/CU60-1)*100)&gt;100,"NM",IF(((DC60/CU60-1)*100)&lt;-50,"NM",(DC60/CU60-1)*100)))</f>
        <v>-8.8235294117647083</v>
      </c>
      <c r="DE60" s="550">
        <f>DE50+DE52</f>
        <v>-198</v>
      </c>
      <c r="DF60" s="61" t="str">
        <f>IF(ISERROR((DE60/CW60-1)*100),"NA",IF(((DE60/CW60-1)*100)&gt;100,"NM",IF(((DE60/CW60-1)*100)&lt;-50,"NM",(DE60/CW60-1)*100)))</f>
        <v>NM</v>
      </c>
      <c r="DG60" s="550">
        <f>DG50+DG52</f>
        <v>-229</v>
      </c>
      <c r="DH60" s="61" t="str">
        <f>IF(ISERROR((DG60/CY60-1)*100),"NA",IF(((DG60/CY60-1)*100)&gt;100,"NM",IF(((DG60/CY60-1)*100)&lt;-50,"NM",(DG60/CY60-1)*100)))</f>
        <v>NM</v>
      </c>
      <c r="DI60" s="550">
        <f>DI50+DI52</f>
        <v>-161</v>
      </c>
      <c r="DJ60" s="61" t="str">
        <f>IF(ISERROR((DI60/DA60-1)*100),"NA",IF(((DI60/DA60-1)*100)&gt;100,"NM",IF(((DI60/DA60-1)*100)&lt;-50,"NM",(DI60/DA60-1)*100)))</f>
        <v>NM</v>
      </c>
      <c r="DK60" s="550">
        <f>DK50+DK52</f>
        <v>8</v>
      </c>
      <c r="DL60" s="61" t="str">
        <f>IF(ISERROR((DK60/DC60-1)*100),"NA",IF(((DK60/DC60-1)*100)&gt;100,"NM",IF(((DK60/DC60-1)*100)&lt;-50,"NM",(DK60/DC60-1)*100)))</f>
        <v>NM</v>
      </c>
      <c r="DM60" s="550">
        <f>DM50+DM52</f>
        <v>-67</v>
      </c>
      <c r="DN60" s="130" t="str">
        <f t="shared" ref="DN60:DZ60" si="336">IF(ISERROR((DM60/DE60-1)*100),"NA",IF(((DM60/DE60-1)*100)&gt;100,"NM",IF(((DM60/DE60-1)*100)&lt;-50,"NM",(DM60/DE60-1)*100)))</f>
        <v>NM</v>
      </c>
      <c r="DO60" s="550">
        <f>DO50+DO52</f>
        <v>-248</v>
      </c>
      <c r="DP60" s="130">
        <f t="shared" si="336"/>
        <v>8.2969432314410554</v>
      </c>
      <c r="DQ60" s="550">
        <f>DQ50+DQ52</f>
        <v>-275</v>
      </c>
      <c r="DR60" s="130">
        <f t="shared" si="336"/>
        <v>70.807453416149073</v>
      </c>
      <c r="DS60" s="550">
        <f>DS50+DS52</f>
        <v>-161</v>
      </c>
      <c r="DT60" s="130" t="str">
        <f t="shared" si="336"/>
        <v>NM</v>
      </c>
      <c r="DU60" s="550">
        <f>DU50+DU52</f>
        <v>-178</v>
      </c>
      <c r="DV60" s="130" t="str">
        <f t="shared" si="336"/>
        <v>NM</v>
      </c>
      <c r="DW60" s="550">
        <f>DW50+DW52</f>
        <v>41</v>
      </c>
      <c r="DX60" s="550">
        <f t="shared" ref="DX60:DY60" si="337">DX50+DX52</f>
        <v>41</v>
      </c>
      <c r="DY60" s="550">
        <f t="shared" si="337"/>
        <v>204</v>
      </c>
      <c r="DZ60" s="130" t="str">
        <f t="shared" si="336"/>
        <v>NM</v>
      </c>
      <c r="EA60" s="550">
        <f t="shared" ref="EA60" si="338">EA50+EA52</f>
        <v>256</v>
      </c>
      <c r="EB60" s="130" t="str">
        <f t="shared" ref="EB60" si="339">IF(ISERROR((EA60/DS60-1)*100),"NA",IF(((EA60/DS60-1)*100)&gt;100,"NM",IF(((EA60/DS60-1)*100)&lt;-50,"NM",(EA60/DS60-1)*100)))</f>
        <v>NM</v>
      </c>
      <c r="EC60" s="550">
        <f>EC50+EC52</f>
        <v>3</v>
      </c>
      <c r="ED60" s="130" t="str">
        <f t="shared" ref="ED60" si="340">IF(ISERROR((EC60/DU60-1)*100),"NA",IF(((EC60/DU60-1)*100)&gt;100,"NM",IF(((EC60/DU60-1)*100)&lt;-50,"NM",(EC60/DU60-1)*100)))</f>
        <v>NM</v>
      </c>
      <c r="EE60" s="550">
        <f>EE50+EE52</f>
        <v>-129</v>
      </c>
      <c r="EF60" s="130" t="str">
        <f t="shared" ref="EF60" si="341">IF(ISERROR((EE60/DW60-1)*100),"NA",IF(((EE60/DW60-1)*100)&gt;100,"NM",IF(((EE60/DW60-1)*100)&lt;-50,"NM",(EE60/DW60-1)*100)))</f>
        <v>NM</v>
      </c>
      <c r="EG60" s="550">
        <f>EG50+EG52</f>
        <v>-58</v>
      </c>
      <c r="EH60" s="130" t="str">
        <f t="shared" ref="EH60" si="342">IF(ISERROR((EG60/DY60-1)*100),"NA",IF(((EG60/DY60-1)*100)&gt;100,"NM",IF(((EG60/DY60-1)*100)&lt;-50,"NM",(EG60/DY60-1)*100)))</f>
        <v>NM</v>
      </c>
      <c r="EI60" s="550">
        <f>EI50+EI52</f>
        <v>82</v>
      </c>
      <c r="EJ60" s="130" t="str">
        <f t="shared" ref="EJ60" si="343">IF(ISERROR((EI60/EA60-1)*100),"NA",IF(((EI60/EA60-1)*100)&gt;100,"NM",IF(((EI60/EA60-1)*100)&lt;-50,"NM",(EI60/EA60-1)*100)))</f>
        <v>NM</v>
      </c>
      <c r="EK60" s="550">
        <f>EK50+EK52</f>
        <v>-177</v>
      </c>
      <c r="EL60" s="130" t="str">
        <f t="shared" ref="EL60" si="344">IF(ISERROR((EK60/EC60-1)*100),"NA",IF(((EK60/EC60-1)*100)&gt;100,"NM",IF(((EK60/EC60-1)*100)&lt;-50,"NM",(EK60/EC60-1)*100)))</f>
        <v>NM</v>
      </c>
      <c r="EM60" s="550">
        <f>EM50+EM52</f>
        <v>-191</v>
      </c>
      <c r="EN60" s="130">
        <f t="shared" ref="EN60" si="345">IF(ISERROR((EM60/EE60-1)*100),"NA",IF(((EM60/EE60-1)*100)&gt;100,"NM",IF(((EM60/EE60-1)*100)&lt;-50,"NM",(EM60/EE60-1)*100)))</f>
        <v>48.062015503875969</v>
      </c>
      <c r="EO60" s="550">
        <f>EO50+EO52</f>
        <v>74</v>
      </c>
      <c r="EP60" s="130" t="str">
        <f t="shared" ref="EP60" si="346">IF(ISERROR((EO60/EG60-1)*100),"NA",IF(((EO60/EG60-1)*100)&gt;100,"NM",IF(((EO60/EG60-1)*100)&lt;-50,"NM",(EO60/EG60-1)*100)))</f>
        <v>NM</v>
      </c>
      <c r="EQ60" s="550">
        <f t="shared" ref="EQ60:EW60" si="347">EQ50+EQ52</f>
        <v>96.079011566903205</v>
      </c>
      <c r="ER60" s="130">
        <f t="shared" ref="ER60" si="348">IF(ISERROR((EQ60/EI60-1)*100),"NA",IF(((EQ60/EI60-1)*100)&gt;100,"NM",IF(((EQ60/EI60-1)*100)&lt;-50,"NM",(EQ60/EI60-1)*100)))</f>
        <v>17.169526301101467</v>
      </c>
      <c r="ES60" s="550">
        <f t="shared" si="347"/>
        <v>137.64666473334114</v>
      </c>
      <c r="ET60" s="130" t="str">
        <f t="shared" ref="ET60" si="349">IF(ISERROR((ES60/EK60-1)*100),"NA",IF(((ES60/EK60-1)*100)&gt;100,"NM",IF(((ES60/EK60-1)*100)&lt;-50,"NM",(ES60/EK60-1)*100)))</f>
        <v>NM</v>
      </c>
      <c r="EU60" s="550">
        <f t="shared" si="347"/>
        <v>177.96543602527493</v>
      </c>
      <c r="EV60" s="130" t="str">
        <f t="shared" ref="EV60" si="350">IF(ISERROR((EU60/EM60-1)*100),"NA",IF(((EU60/EM60-1)*100)&gt;100,"NM",IF(((EU60/EM60-1)*100)&lt;-50,"NM",(EU60/EM60-1)*100)))</f>
        <v>NM</v>
      </c>
      <c r="EW60" s="550">
        <f t="shared" si="347"/>
        <v>217.02913566145901</v>
      </c>
      <c r="EX60" s="130" t="str">
        <f t="shared" ref="EX60" si="351">IF(ISERROR((EW60/EO60-1)*100),"NA",IF(((EW60/EO60-1)*100)&gt;100,"NM",IF(((EW60/EO60-1)*100)&lt;-50,"NM",(EW60/EO60-1)*100)))</f>
        <v>NM</v>
      </c>
      <c r="EY60" s="64"/>
      <c r="EZ60" s="558"/>
      <c r="FA60" s="64"/>
      <c r="FB60" s="66"/>
      <c r="FC60" s="66"/>
      <c r="FD60" s="66"/>
      <c r="FE60" s="67"/>
      <c r="FF60" s="66"/>
      <c r="FG60" s="67"/>
      <c r="FH60" s="66"/>
      <c r="FI60" s="67"/>
      <c r="FJ60" s="66"/>
      <c r="FK60" s="67"/>
      <c r="FL60" s="66"/>
      <c r="FM60" s="61"/>
      <c r="FN60" s="66"/>
      <c r="FO60" s="61"/>
      <c r="FP60" s="65"/>
      <c r="FQ60" s="61"/>
      <c r="FR60" s="65"/>
      <c r="FS60" s="61"/>
      <c r="FT60" s="550">
        <f>FT50+FT52</f>
        <v>-1207</v>
      </c>
      <c r="FU60" s="61" t="str">
        <f>IF(ISERROR((FT60/FR60-1)*100),"NA",IF(((FT60/FR60-1)*100)&gt;100,"NM",IF(((FT60/FR60-1)*100)&lt;-50,"NM",(FT60/FR60-1)*100)))</f>
        <v>NA</v>
      </c>
      <c r="FV60" s="550">
        <f>FV50+FV52</f>
        <v>-671</v>
      </c>
      <c r="FW60" s="61">
        <f>IF(ISERROR((FV60/FT60-1)*100),"NA",IF(((FV60/FT60-1)*100)&gt;100,"NM",IF(((FV60/FT60-1)*100)&lt;-50,"NM",(FV60/FT60-1)*100)))</f>
        <v>-44.407622203811101</v>
      </c>
      <c r="FX60" s="550">
        <f>FX50+FX52</f>
        <v>1218</v>
      </c>
      <c r="FY60" s="61" t="str">
        <f>IF(ISERROR((FX60/FV60-1)*100),"NA",IF(((FX60/FV60-1)*100)&gt;100,"NM",IF(((FX60/FV60-1)*100)&lt;-50,"NM",(FX60/FV60-1)*100)))</f>
        <v>NM</v>
      </c>
      <c r="FZ60" s="550">
        <f>FZ50+FZ52</f>
        <v>770</v>
      </c>
      <c r="GA60" s="61">
        <f>IF(ISERROR((FZ60/FX60-1)*100),"NA",IF(((FZ60/FX60-1)*100)&gt;100,"NM",IF(((FZ60/FX60-1)*100)&lt;-50,"NM",(FZ60/FX60-1)*100)))</f>
        <v>-36.781609195402297</v>
      </c>
      <c r="GB60" s="550">
        <f>GB50+GB52</f>
        <v>83</v>
      </c>
      <c r="GC60" s="61" t="str">
        <f>IF(ISERROR((GB60/FZ60-1)*100),"NA",IF(((GB60/FZ60-1)*100)&gt;100,"NM",IF(((GB60/FZ60-1)*100)&lt;-50,"NM",(GB60/FZ60-1)*100)))</f>
        <v>NM</v>
      </c>
      <c r="GD60" s="550">
        <f>GD50+GD52</f>
        <v>-363</v>
      </c>
      <c r="GE60" s="61" t="str">
        <f>IF(ISERROR((GD60/GB60-1)*100),"NA",IF(((GD60/GB60-1)*100)&gt;100,"NM",IF(((GD60/GB60-1)*100)&lt;-50,"NM",(GD60/GB60-1)*100)))</f>
        <v>NM</v>
      </c>
      <c r="GF60" s="550">
        <f>GF50+GF52</f>
        <v>-743</v>
      </c>
      <c r="GG60" s="61" t="str">
        <f t="shared" ref="GG60:GW60" si="352">IF(ISERROR((GF60/GD60-1)*100),"NA",IF(((GF60/GD60-1)*100)&gt;100,"NM",IF(((GF60/GD60-1)*100)&lt;-50,"NM",(GF60/GD60-1)*100)))</f>
        <v>NM</v>
      </c>
      <c r="GH60" s="550">
        <f>GH50+GH52</f>
        <v>-582</v>
      </c>
      <c r="GI60" s="61">
        <f t="shared" si="352"/>
        <v>-21.668909825033644</v>
      </c>
      <c r="GJ60" s="550">
        <f>GJ50+GJ52</f>
        <v>-94</v>
      </c>
      <c r="GK60" s="61" t="str">
        <f t="shared" si="352"/>
        <v>NM</v>
      </c>
      <c r="GL60" s="550">
        <f>GL50+GL52</f>
        <v>72</v>
      </c>
      <c r="GM60" s="61" t="str">
        <f t="shared" si="352"/>
        <v>NM</v>
      </c>
      <c r="GN60" s="550">
        <f>GN50+GN52</f>
        <v>-212</v>
      </c>
      <c r="GO60" s="61" t="str">
        <f t="shared" si="352"/>
        <v>NM</v>
      </c>
      <c r="GP60" s="550">
        <f>GP50+GP52</f>
        <v>628.72024798697794</v>
      </c>
      <c r="GQ60" s="61" t="str">
        <f t="shared" si="352"/>
        <v>NM</v>
      </c>
      <c r="GR60" s="550">
        <f>GR50+GR52</f>
        <v>639.50519770055962</v>
      </c>
      <c r="GS60" s="61">
        <f t="shared" si="352"/>
        <v>1.715381323905607</v>
      </c>
      <c r="GT60" s="550">
        <f>GT50+GT52</f>
        <v>529.88865743866836</v>
      </c>
      <c r="GU60" s="61">
        <f t="shared" si="352"/>
        <v>-17.140836486714196</v>
      </c>
      <c r="GV60" s="550">
        <f>GV50+GV52</f>
        <v>425.91150289928055</v>
      </c>
      <c r="GW60" s="61">
        <f t="shared" si="352"/>
        <v>-19.622453336137426</v>
      </c>
      <c r="GX60" s="550">
        <f>GX50+GX52</f>
        <v>327.18802326155674</v>
      </c>
      <c r="GY60" s="61">
        <f t="shared" ref="GY60" si="353">IF(ISERROR((GX60/GV60-1)*100),"NA",IF(((GX60/GV60-1)*100)&gt;100,"NM",IF(((GX60/GV60-1)*100)&lt;-50,"NM",(GX60/GV60-1)*100)))</f>
        <v>-23.179341005276843</v>
      </c>
      <c r="GZ60" s="61" t="str">
        <f>IF(ISERROR((GX60/GN60)^0.2),"",IF(OR((GX60/GN60)^0.2&lt;0.5,(GX60/GN60)^0.2&gt;2),"NM",((GX60/GN60)^0.2-1)*100))</f>
        <v>NM</v>
      </c>
      <c r="HA60" s="61"/>
      <c r="HB60" s="452"/>
      <c r="HC60"/>
      <c r="HD60"/>
      <c r="HE60"/>
      <c r="HF60"/>
      <c r="HG60"/>
      <c r="HH60"/>
    </row>
    <row r="61" spans="2:216" s="5" customFormat="1" ht="12.75" customHeight="1" x14ac:dyDescent="0.2">
      <c r="B61" s="68"/>
      <c r="C61" s="66"/>
      <c r="D61" s="67"/>
      <c r="E61" s="66"/>
      <c r="F61" s="66"/>
      <c r="G61" s="64"/>
      <c r="H61" s="66"/>
      <c r="I61" s="64"/>
      <c r="J61" s="66"/>
      <c r="K61" s="64"/>
      <c r="L61" s="61"/>
      <c r="M61" s="66"/>
      <c r="N61" s="61"/>
      <c r="O61" s="64"/>
      <c r="P61" s="61"/>
      <c r="Q61" s="64"/>
      <c r="R61" s="61"/>
      <c r="S61" s="64"/>
      <c r="T61" s="61"/>
      <c r="U61" s="64"/>
      <c r="V61" s="61"/>
      <c r="W61" s="64"/>
      <c r="X61" s="61"/>
      <c r="Y61" s="64"/>
      <c r="Z61" s="61"/>
      <c r="AA61" s="64"/>
      <c r="AB61" s="61"/>
      <c r="AC61" s="64"/>
      <c r="AD61" s="61"/>
      <c r="AE61" s="64"/>
      <c r="AF61" s="61"/>
      <c r="AG61" s="64"/>
      <c r="AH61" s="61"/>
      <c r="AI61" s="64"/>
      <c r="AJ61" s="61"/>
      <c r="AK61" s="64"/>
      <c r="AL61" s="61"/>
      <c r="AM61" s="64"/>
      <c r="AN61" s="61"/>
      <c r="AO61" s="64"/>
      <c r="AP61" s="61"/>
      <c r="AQ61" s="64"/>
      <c r="AR61" s="61"/>
      <c r="AS61" s="64"/>
      <c r="AT61" s="61"/>
      <c r="AU61" s="64"/>
      <c r="AV61" s="61"/>
      <c r="AW61" s="64"/>
      <c r="AX61" s="61"/>
      <c r="AY61" s="64"/>
      <c r="AZ61" s="61"/>
      <c r="BA61" s="64"/>
      <c r="BB61" s="61"/>
      <c r="BC61" s="64"/>
      <c r="BD61" s="61"/>
      <c r="BE61" s="64"/>
      <c r="BF61" s="61"/>
      <c r="BG61" s="64"/>
      <c r="BH61" s="61"/>
      <c r="BI61" s="64"/>
      <c r="BJ61" s="61"/>
      <c r="BK61" s="64"/>
      <c r="BL61" s="61"/>
      <c r="BM61" s="64"/>
      <c r="BN61" s="61"/>
      <c r="BO61" s="64"/>
      <c r="BP61" s="61"/>
      <c r="BQ61" s="64"/>
      <c r="BR61" s="61"/>
      <c r="BS61" s="64"/>
      <c r="BT61" s="61"/>
      <c r="BU61" s="64"/>
      <c r="BV61" s="61"/>
      <c r="BW61" s="64"/>
      <c r="BX61" s="61"/>
      <c r="BY61" s="64"/>
      <c r="BZ61" s="61"/>
      <c r="CA61" s="64"/>
      <c r="CB61" s="61"/>
      <c r="CC61" s="64"/>
      <c r="CD61" s="61"/>
      <c r="CE61" s="64"/>
      <c r="CF61" s="61"/>
      <c r="CG61" s="64"/>
      <c r="CH61" s="61"/>
      <c r="CI61" s="64"/>
      <c r="CJ61" s="61"/>
      <c r="CK61" s="64"/>
      <c r="CL61" s="61"/>
      <c r="CM61" s="64"/>
      <c r="CN61" s="61"/>
      <c r="CO61" s="64"/>
      <c r="CP61" s="61"/>
      <c r="CQ61" s="64"/>
      <c r="CR61" s="61"/>
      <c r="CS61" s="64"/>
      <c r="CT61" s="61"/>
      <c r="CU61" s="64"/>
      <c r="CV61" s="61"/>
      <c r="CW61" s="64"/>
      <c r="CX61" s="61"/>
      <c r="CY61" s="64"/>
      <c r="CZ61" s="61"/>
      <c r="DA61" s="64"/>
      <c r="DB61" s="61"/>
      <c r="DC61" s="64"/>
      <c r="DD61" s="61"/>
      <c r="DE61" s="64"/>
      <c r="DF61" s="61"/>
      <c r="DG61" s="64"/>
      <c r="DH61" s="61"/>
      <c r="DI61" s="64"/>
      <c r="DJ61" s="61"/>
      <c r="DK61" s="64"/>
      <c r="DL61" s="61"/>
      <c r="DM61" s="64"/>
      <c r="DN61" s="61"/>
      <c r="DO61" s="64"/>
      <c r="DP61" s="61"/>
      <c r="DQ61" s="64"/>
      <c r="DR61" s="61"/>
      <c r="DS61" s="64"/>
      <c r="DT61" s="61"/>
      <c r="DU61" s="64"/>
      <c r="DV61" s="61"/>
      <c r="DW61" s="64"/>
      <c r="DX61" s="64"/>
      <c r="DY61" s="64"/>
      <c r="DZ61" s="61"/>
      <c r="EA61" s="64"/>
      <c r="EB61" s="61"/>
      <c r="EC61" s="64"/>
      <c r="ED61" s="61"/>
      <c r="EE61" s="64"/>
      <c r="EF61" s="61"/>
      <c r="EG61" s="64"/>
      <c r="EH61" s="61"/>
      <c r="EI61" s="64"/>
      <c r="EJ61" s="61"/>
      <c r="EK61" s="64"/>
      <c r="EL61" s="61"/>
      <c r="EM61" s="64"/>
      <c r="EN61" s="61"/>
      <c r="EO61" s="64"/>
      <c r="EP61" s="61"/>
      <c r="EQ61" s="64"/>
      <c r="ER61" s="61"/>
      <c r="ES61" s="64"/>
      <c r="ET61" s="61"/>
      <c r="EU61" s="64"/>
      <c r="EV61" s="61"/>
      <c r="EW61" s="64"/>
      <c r="EX61" s="61"/>
      <c r="EY61" s="64"/>
      <c r="EZ61" s="558"/>
      <c r="FA61" s="64"/>
      <c r="FB61" s="66"/>
      <c r="FC61" s="66"/>
      <c r="FD61" s="66"/>
      <c r="FE61" s="67"/>
      <c r="FF61" s="66"/>
      <c r="FG61" s="67"/>
      <c r="FH61" s="66"/>
      <c r="FI61" s="67"/>
      <c r="FJ61" s="66"/>
      <c r="FK61" s="67"/>
      <c r="FL61" s="66"/>
      <c r="FM61" s="61"/>
      <c r="FN61" s="66"/>
      <c r="FO61" s="61"/>
      <c r="FP61" s="65"/>
      <c r="FQ61" s="61"/>
      <c r="FR61" s="65"/>
      <c r="FS61" s="61"/>
      <c r="FT61" s="65"/>
      <c r="FU61" s="61"/>
      <c r="FV61" s="65"/>
      <c r="FW61" s="61"/>
      <c r="FX61" s="65"/>
      <c r="FY61" s="61"/>
      <c r="FZ61" s="65"/>
      <c r="GA61" s="61"/>
      <c r="GB61" s="65"/>
      <c r="GC61" s="61"/>
      <c r="GD61" s="65"/>
      <c r="GE61" s="61"/>
      <c r="GF61" s="65"/>
      <c r="GG61" s="61"/>
      <c r="GH61" s="65"/>
      <c r="GI61" s="61"/>
      <c r="GJ61" s="65"/>
      <c r="GK61" s="61"/>
      <c r="GL61" s="65"/>
      <c r="GM61" s="61"/>
      <c r="GN61" s="65"/>
      <c r="GO61" s="61"/>
      <c r="GP61" s="65"/>
      <c r="GQ61" s="61"/>
      <c r="GR61" s="65"/>
      <c r="GS61" s="61"/>
      <c r="GT61" s="65"/>
      <c r="GU61" s="61"/>
      <c r="GV61" s="65"/>
      <c r="GW61" s="61"/>
      <c r="GX61" s="65"/>
      <c r="GY61" s="61"/>
      <c r="GZ61" s="61"/>
      <c r="HA61" s="61"/>
      <c r="HB61" s="452"/>
      <c r="HC61"/>
      <c r="HD61"/>
      <c r="HE61"/>
      <c r="HF61"/>
      <c r="HG61"/>
      <c r="HH61"/>
    </row>
    <row r="62" spans="2:216" s="5" customFormat="1" ht="12.75" customHeight="1" x14ac:dyDescent="0.2">
      <c r="B62" s="241" t="s">
        <v>231</v>
      </c>
      <c r="C62" s="66"/>
      <c r="D62" s="67"/>
      <c r="E62" s="66"/>
      <c r="F62" s="66"/>
      <c r="G62" s="64"/>
      <c r="H62" s="66"/>
      <c r="I62" s="64"/>
      <c r="J62" s="66"/>
      <c r="K62" s="64"/>
      <c r="L62" s="61"/>
      <c r="M62" s="66"/>
      <c r="N62" s="61"/>
      <c r="O62" s="64"/>
      <c r="P62" s="61"/>
      <c r="Q62" s="64"/>
      <c r="R62" s="61"/>
      <c r="S62" s="64"/>
      <c r="T62" s="61"/>
      <c r="U62" s="64"/>
      <c r="V62" s="61"/>
      <c r="W62" s="64"/>
      <c r="X62" s="61"/>
      <c r="Y62" s="64"/>
      <c r="Z62" s="61"/>
      <c r="AA62" s="64"/>
      <c r="AB62" s="61"/>
      <c r="AC62" s="64"/>
      <c r="AD62" s="61"/>
      <c r="AE62" s="64"/>
      <c r="AF62" s="61"/>
      <c r="AG62" s="64"/>
      <c r="AH62" s="61"/>
      <c r="AI62" s="64"/>
      <c r="AJ62" s="61"/>
      <c r="AK62" s="64"/>
      <c r="AL62" s="61"/>
      <c r="AM62" s="64"/>
      <c r="AN62" s="61"/>
      <c r="AO62" s="64"/>
      <c r="AP62" s="61"/>
      <c r="AQ62" s="64"/>
      <c r="AR62" s="61"/>
      <c r="AS62" s="64"/>
      <c r="AT62" s="61"/>
      <c r="AU62" s="64"/>
      <c r="AV62" s="61"/>
      <c r="AW62" s="64"/>
      <c r="AX62" s="61"/>
      <c r="AY62" s="64"/>
      <c r="AZ62" s="61"/>
      <c r="BA62" s="64"/>
      <c r="BB62" s="61"/>
      <c r="BC62" s="64"/>
      <c r="BD62" s="61"/>
      <c r="BE62" s="64"/>
      <c r="BF62" s="61"/>
      <c r="BG62" s="288">
        <f>BG52/BG49*400</f>
        <v>-19.742834181623358</v>
      </c>
      <c r="BH62" s="61"/>
      <c r="BI62" s="288">
        <f>BI52/BI49*400</f>
        <v>-20.133678897831128</v>
      </c>
      <c r="BJ62" s="61"/>
      <c r="BK62" s="288">
        <f>BK52/BK49*400</f>
        <v>-19.70853573907009</v>
      </c>
      <c r="BL62" s="61"/>
      <c r="BM62" s="288">
        <f>BM52/BM49*400</f>
        <v>-15.282716307606497</v>
      </c>
      <c r="BN62" s="61"/>
      <c r="BO62" s="288">
        <f>BO52/BO49*400</f>
        <v>-12.848383500557414</v>
      </c>
      <c r="BP62" s="61"/>
      <c r="BQ62" s="288">
        <f>BQ52/BQ49*400</f>
        <v>-14.277684092186622</v>
      </c>
      <c r="BR62" s="61"/>
      <c r="BS62" s="288">
        <f>BS52/BS49*400</f>
        <v>-18.518259898051813</v>
      </c>
      <c r="BT62" s="61"/>
      <c r="BU62" s="288">
        <f>BU52/BU49*400</f>
        <v>-18.273106569549537</v>
      </c>
      <c r="BV62" s="61"/>
      <c r="BW62" s="288">
        <f>BW52/BW49*400</f>
        <v>-17.409887448354468</v>
      </c>
      <c r="BX62" s="61"/>
      <c r="BY62" s="288">
        <f>BY52/BY49*400</f>
        <v>-14.554189628373603</v>
      </c>
      <c r="BZ62" s="61"/>
      <c r="CA62" s="288">
        <f>CA52/CA49*400</f>
        <v>-10.83214261413894</v>
      </c>
      <c r="CB62" s="61"/>
      <c r="CC62" s="288">
        <f>CC52/CC49*400</f>
        <v>-10.623732251521298</v>
      </c>
      <c r="CD62" s="61"/>
      <c r="CE62" s="288">
        <f>CE52/CE49*400</f>
        <v>-9.735901135436924</v>
      </c>
      <c r="CF62" s="61"/>
      <c r="CG62" s="288">
        <f>CG52/CG49*400</f>
        <v>-8.769973987365292</v>
      </c>
      <c r="CH62" s="61"/>
      <c r="CI62" s="288">
        <f>CI52/CI49*400</f>
        <v>-9.3570086661414464</v>
      </c>
      <c r="CJ62" s="61"/>
      <c r="CK62" s="288">
        <f>CK52/CK49*400</f>
        <v>-11.627369394359684</v>
      </c>
      <c r="CL62" s="61"/>
      <c r="CM62" s="288">
        <f>CM52/CM49*400</f>
        <v>-9.735935706084959</v>
      </c>
      <c r="CN62" s="61"/>
      <c r="CO62" s="288">
        <f>CO52/CO49*400</f>
        <v>-9.9076120841126798</v>
      </c>
      <c r="CP62" s="61"/>
      <c r="CQ62" s="288">
        <f>CQ52/CQ49*400</f>
        <v>-11.327907236035232</v>
      </c>
      <c r="CR62" s="61"/>
      <c r="CS62" s="288">
        <f>CS52/CS49*400</f>
        <v>-10.550280415347881</v>
      </c>
      <c r="CT62" s="61"/>
      <c r="CU62" s="288">
        <f>CU52/CU49*400</f>
        <v>-10.272837733348062</v>
      </c>
      <c r="CV62" s="61"/>
      <c r="CW62" s="288">
        <f>CW52/CW49*400</f>
        <v>-10.491586935004948</v>
      </c>
      <c r="CX62" s="61"/>
      <c r="CY62" s="288">
        <f>CY52/CY49*400</f>
        <v>-13.112242105839217</v>
      </c>
      <c r="CZ62" s="61"/>
      <c r="DA62" s="288">
        <f>DA52/DA49*400</f>
        <v>-12.448901727802911</v>
      </c>
      <c r="DB62" s="61"/>
      <c r="DC62" s="288">
        <f>DC52/DC49*400</f>
        <v>-9.4370322160754956</v>
      </c>
      <c r="DD62" s="61"/>
      <c r="DE62" s="288">
        <f>DE52/DE49*400</f>
        <v>-9.9681751982307567</v>
      </c>
      <c r="DF62" s="61"/>
      <c r="DG62" s="288">
        <f>DG52/DG49*400</f>
        <v>-9.9924299772899321</v>
      </c>
      <c r="DH62" s="61"/>
      <c r="DI62" s="288">
        <f>DI52/DI49*400</f>
        <v>-9.5356775207238442</v>
      </c>
      <c r="DJ62" s="61"/>
      <c r="DK62" s="288">
        <f>DK52/DK49*400</f>
        <v>-9.1418714963346268</v>
      </c>
      <c r="DL62" s="61"/>
      <c r="DM62" s="288">
        <f>DM52/DM49*400</f>
        <v>-9.823812066203951</v>
      </c>
      <c r="DN62" s="130">
        <f t="shared" ref="DN62:DZ65" si="354">IF(ISERROR((DM62/DE62-1)*100),"NA",IF(((DM62/DE62-1)*100)&gt;100,"NM",IF(((DM62/DE62-1)*100)&lt;-50,"NM",(DM62/DE62-1)*100)))</f>
        <v>-1.4482403163663116</v>
      </c>
      <c r="DO62" s="288">
        <f>DO52/DO49*400</f>
        <v>-10.066225165562914</v>
      </c>
      <c r="DP62" s="130">
        <f t="shared" si="354"/>
        <v>0.73851093718642069</v>
      </c>
      <c r="DQ62" s="288">
        <f>DQ52/DQ49*400</f>
        <v>-10.263522884882107</v>
      </c>
      <c r="DR62" s="130">
        <f t="shared" si="354"/>
        <v>7.632864708107423</v>
      </c>
      <c r="DS62" s="288">
        <f>DS52/DS49*400</f>
        <v>-9.731525641712663</v>
      </c>
      <c r="DT62" s="130">
        <f t="shared" si="354"/>
        <v>6.4500375619418238</v>
      </c>
      <c r="DU62" s="288">
        <f>DU52/DU49*400</f>
        <v>-11.64548817757761</v>
      </c>
      <c r="DV62" s="130">
        <f t="shared" si="354"/>
        <v>18.543474764145994</v>
      </c>
      <c r="DW62" s="288">
        <f>DW52/DW49*400</f>
        <v>-11.29214389417648</v>
      </c>
      <c r="DX62" s="288">
        <f t="shared" ref="DX62:DY62" si="355">DX52/DX49*400</f>
        <v>142580.9352517986</v>
      </c>
      <c r="DY62" s="288">
        <f t="shared" si="355"/>
        <v>-9.6829477292202224</v>
      </c>
      <c r="DZ62" s="130">
        <f t="shared" si="354"/>
        <v>-5.6566849625975575</v>
      </c>
      <c r="EA62" s="288">
        <f t="shared" ref="EA62:EC62" si="356">EA52/EA49*400</f>
        <v>-8.6364112776438535</v>
      </c>
      <c r="EB62" s="130">
        <f t="shared" ref="EB62:EB65" si="357">IF(ISERROR((EA62/DS62-1)*100),"NA",IF(((EA62/DS62-1)*100)&gt;100,"NM",IF(((EA62/DS62-1)*100)&lt;-50,"NM",(EA62/DS62-1)*100)))</f>
        <v>-11.253264949277565</v>
      </c>
      <c r="EC62" s="288">
        <f t="shared" si="356"/>
        <v>-9.7696421225832992</v>
      </c>
      <c r="ED62" s="130">
        <f t="shared" ref="ED62:ED65" si="358">IF(ISERROR((EC62/DU62-1)*100),"NA",IF(((EC62/DU62-1)*100)&gt;100,"NM",IF(((EC62/DU62-1)*100)&lt;-50,"NM",(EC62/DU62-1)*100)))</f>
        <v>-16.10792116560722</v>
      </c>
      <c r="EE62" s="288">
        <f t="shared" ref="EE62:EG62" si="359">EE52/EE49*400</f>
        <v>-11.205225022961526</v>
      </c>
      <c r="EF62" s="130">
        <f t="shared" ref="EF62:EF65" si="360">IF(ISERROR((EE62/DW62-1)*100),"NA",IF(((EE62/DW62-1)*100)&gt;100,"NM",IF(((EE62/DW62-1)*100)&lt;-50,"NM",(EE62/DW62-1)*100)))</f>
        <v>-0.76972868951642459</v>
      </c>
      <c r="EG62" s="288">
        <f t="shared" si="359"/>
        <v>-9.5548538249974531</v>
      </c>
      <c r="EH62" s="130">
        <f t="shared" ref="EH62:EH65" si="361">IF(ISERROR((EG62/DY62-1)*100),"NA",IF(((EG62/DY62-1)*100)&gt;100,"NM",IF(((EG62/DY62-1)*100)&lt;-50,"NM",(EG62/DY62-1)*100)))</f>
        <v>-1.3228812940528467</v>
      </c>
      <c r="EI62" s="288">
        <f t="shared" ref="EI62:EK62" si="362">EI52/EI49*400</f>
        <v>-9.7348273589210574</v>
      </c>
      <c r="EJ62" s="130">
        <f t="shared" ref="EJ62:EJ65" si="363">IF(ISERROR((EI62/EA62-1)*100),"NA",IF(((EI62/EA62-1)*100)&gt;100,"NM",IF(((EI62/EA62-1)*100)&lt;-50,"NM",(EI62/EA62-1)*100)))</f>
        <v>12.718431834303168</v>
      </c>
      <c r="EK62" s="288">
        <f t="shared" si="362"/>
        <v>-11.065062166075798</v>
      </c>
      <c r="EL62" s="130">
        <f t="shared" ref="EL62:EL65" si="364">IF(ISERROR((EK62/EC62-1)*100),"NA",IF(((EK62/EC62-1)*100)&gt;100,"NM",IF(((EK62/EC62-1)*100)&lt;-50,"NM",(EK62/EC62-1)*100)))</f>
        <v>13.259646845180061</v>
      </c>
      <c r="EM62" s="288">
        <f t="shared" ref="EM62" si="365">EM52/EM49*400</f>
        <v>-11.487937665451275</v>
      </c>
      <c r="EN62" s="130">
        <f t="shared" ref="EN62:EN65" si="366">IF(ISERROR((EM62/EE62-1)*100),"NA",IF(((EM62/EE62-1)*100)&gt;100,"NM",IF(((EM62/EE62-1)*100)&lt;-50,"NM",(EM62/EE62-1)*100)))</f>
        <v>2.5230429724563352</v>
      </c>
      <c r="EO62" s="288">
        <f t="shared" ref="EO62" si="367">EO52/EO49*400</f>
        <v>-11.41201159188568</v>
      </c>
      <c r="EP62" s="130">
        <f t="shared" ref="EP62:EP65" si="368">IF(ISERROR((EO62/EG62-1)*100),"NA",IF(((EO62/EG62-1)*100)&gt;100,"NM",IF(((EO62/EG62-1)*100)&lt;-50,"NM",(EO62/EG62-1)*100)))</f>
        <v>19.436799357720382</v>
      </c>
      <c r="EQ62" s="549">
        <f>EO62+0.5</f>
        <v>-10.91201159188568</v>
      </c>
      <c r="ER62" s="130">
        <f t="shared" ref="ER62:ER65" si="369">IF(ISERROR((EQ62/EI62-1)*100),"NA",IF(((EQ62/EI62-1)*100)&gt;100,"NM",IF(((EQ62/EI62-1)*100)&lt;-50,"NM",(EQ62/EI62-1)*100)))</f>
        <v>12.092502409771487</v>
      </c>
      <c r="ES62" s="549">
        <f t="shared" ref="ES62" si="370">EQ62</f>
        <v>-10.91201159188568</v>
      </c>
      <c r="ET62" s="130">
        <f t="shared" ref="ET62:ET65" si="371">IF(ISERROR((ES62/EK62-1)*100),"NA",IF(((ES62/EK62-1)*100)&gt;100,"NM",IF(((ES62/EK62-1)*100)&lt;-50,"NM",(ES62/EK62-1)*100)))</f>
        <v>-1.3831876576288371</v>
      </c>
      <c r="EU62" s="549">
        <f t="shared" ref="EU62" si="372">ES62</f>
        <v>-10.91201159188568</v>
      </c>
      <c r="EV62" s="130">
        <f t="shared" ref="EV62:EV65" si="373">IF(ISERROR((EU62/EM62-1)*100),"NA",IF(((EU62/EM62-1)*100)&gt;100,"NM",IF(((EU62/EM62-1)*100)&lt;-50,"NM",(EU62/EM62-1)*100)))</f>
        <v>-5.0133112690681658</v>
      </c>
      <c r="EW62" s="549">
        <f t="shared" ref="EW62" si="374">EU62</f>
        <v>-10.91201159188568</v>
      </c>
      <c r="EX62" s="130">
        <f t="shared" ref="EX62:EX65" si="375">IF(ISERROR((EW62/EO62-1)*100),"NA",IF(((EW62/EO62-1)*100)&gt;100,"NM",IF(((EW62/EO62-1)*100)&lt;-50,"NM",(EW62/EO62-1)*100)))</f>
        <v>-4.3813485113835426</v>
      </c>
      <c r="EY62" s="64"/>
      <c r="EZ62" s="558"/>
      <c r="FA62" s="64"/>
      <c r="FB62" s="66"/>
      <c r="FC62" s="66"/>
      <c r="FD62" s="66"/>
      <c r="FE62" s="67"/>
      <c r="FF62" s="66"/>
      <c r="FG62" s="67"/>
      <c r="FH62" s="66"/>
      <c r="FI62" s="67"/>
      <c r="FJ62" s="66"/>
      <c r="FK62" s="67"/>
      <c r="FL62" s="66"/>
      <c r="FM62" s="61"/>
      <c r="FN62" s="66"/>
      <c r="FO62" s="61"/>
      <c r="FP62" s="65"/>
      <c r="FQ62" s="61"/>
      <c r="FR62" s="65"/>
      <c r="FS62" s="61"/>
      <c r="FT62" s="288">
        <f>FT52/FT49*100</f>
        <v>-18.30297347977498</v>
      </c>
      <c r="FU62" s="61"/>
      <c r="FV62" s="288">
        <f>FV52/FV49*100</f>
        <v>-15.872352285395763</v>
      </c>
      <c r="FW62" s="61"/>
      <c r="FX62" s="288">
        <f>FX52/FX49*100</f>
        <v>-13.841002991879185</v>
      </c>
      <c r="FY62" s="61"/>
      <c r="FZ62" s="288">
        <f>FZ52/FZ49*100</f>
        <v>-10.231478577253622</v>
      </c>
      <c r="GA62" s="61"/>
      <c r="GB62" s="288">
        <f>GB52/GB49*100</f>
        <v>-10.585533869115958</v>
      </c>
      <c r="GC62" s="61"/>
      <c r="GD62" s="288">
        <f>GD52/GD49*100</f>
        <v>-11.66464155528554</v>
      </c>
      <c r="GE62" s="61"/>
      <c r="GF62" s="288">
        <f>GF52/GF49*100</f>
        <v>-9.7570235383447219</v>
      </c>
      <c r="GG62" s="61">
        <f t="shared" ref="GG62:GW65" si="376">IF(ISERROR((GF62/GD62-1)*100),"NA",IF(((GF62/GD62-1)*100)&gt;100,"NM",IF(((GF62/GD62-1)*100)&lt;-50,"NM",(GF62/GD62-1)*100)))</f>
        <v>-16.353850291065552</v>
      </c>
      <c r="GH62" s="288">
        <f>GH52/GH49*100</f>
        <v>-9.9180681328158684</v>
      </c>
      <c r="GI62" s="61">
        <f t="shared" si="376"/>
        <v>1.6505504351634226</v>
      </c>
      <c r="GJ62" s="288">
        <f>GJ52/GJ49*100</f>
        <v>-10.578211242698677</v>
      </c>
      <c r="GK62" s="61">
        <f t="shared" si="376"/>
        <v>6.6559646600792721</v>
      </c>
      <c r="GL62" s="288">
        <f>GL52/GL49*100</f>
        <v>-9.9832302693637978</v>
      </c>
      <c r="GM62" s="61">
        <f t="shared" si="376"/>
        <v>-5.6245896369818471</v>
      </c>
      <c r="GN62" s="288">
        <f>GN52/GN49*100</f>
        <v>-11.053085230441615</v>
      </c>
      <c r="GO62" s="61">
        <f t="shared" si="376"/>
        <v>10.716520927709672</v>
      </c>
      <c r="GP62" s="288">
        <f>GP52/GP49*100</f>
        <v>-11.185815080093683</v>
      </c>
      <c r="GQ62" s="61">
        <f t="shared" si="376"/>
        <v>1.2008398278384069</v>
      </c>
      <c r="GR62" s="549">
        <f>GP62*0.95</f>
        <v>-10.626524326088997</v>
      </c>
      <c r="GS62" s="61">
        <f t="shared" si="376"/>
        <v>-5.0000000000000044</v>
      </c>
      <c r="GT62" s="549">
        <f>GR62</f>
        <v>-10.626524326088997</v>
      </c>
      <c r="GU62" s="61">
        <f t="shared" si="376"/>
        <v>0</v>
      </c>
      <c r="GV62" s="549">
        <f>GT62</f>
        <v>-10.626524326088997</v>
      </c>
      <c r="GW62" s="61">
        <f t="shared" si="376"/>
        <v>0</v>
      </c>
      <c r="GX62" s="549">
        <f>GV62</f>
        <v>-10.626524326088997</v>
      </c>
      <c r="GY62" s="61">
        <f t="shared" ref="GY62:GY65" si="377">IF(ISERROR((GX62/GV62-1)*100),"NA",IF(((GX62/GV62-1)*100)&gt;100,"NM",IF(((GX62/GV62-1)*100)&lt;-50,"NM",(GX62/GV62-1)*100)))</f>
        <v>0</v>
      </c>
      <c r="GZ62" s="61">
        <f>IF(ISERROR((GX62/GN62)^0.2),"",IF(OR((GX62/GN62)^0.2&lt;0.5,(GX62/GN62)^0.2&gt;2),"NM",((GX62/GN62)^0.2-1)*100))</f>
        <v>-0.78403875296452208</v>
      </c>
      <c r="HA62" s="61"/>
      <c r="HB62" s="452"/>
      <c r="HC62"/>
      <c r="HD62"/>
      <c r="HE62"/>
      <c r="HF62"/>
      <c r="HG62"/>
      <c r="HH62"/>
    </row>
    <row r="63" spans="2:216" s="5" customFormat="1" ht="12.75" customHeight="1" x14ac:dyDescent="0.2">
      <c r="B63" s="241" t="s">
        <v>232</v>
      </c>
      <c r="C63" s="66"/>
      <c r="D63" s="67"/>
      <c r="E63" s="66"/>
      <c r="F63" s="66"/>
      <c r="G63" s="64"/>
      <c r="H63" s="66"/>
      <c r="I63" s="64"/>
      <c r="J63" s="66"/>
      <c r="K63" s="64"/>
      <c r="L63" s="61"/>
      <c r="M63" s="66"/>
      <c r="N63" s="61"/>
      <c r="O63" s="64"/>
      <c r="P63" s="61"/>
      <c r="Q63" s="64"/>
      <c r="R63" s="61"/>
      <c r="S63" s="64"/>
      <c r="T63" s="61"/>
      <c r="U63" s="64"/>
      <c r="V63" s="61"/>
      <c r="W63" s="64"/>
      <c r="X63" s="61"/>
      <c r="Y63" s="64"/>
      <c r="Z63" s="61"/>
      <c r="AA63" s="64"/>
      <c r="AB63" s="61"/>
      <c r="AC63" s="64"/>
      <c r="AD63" s="61"/>
      <c r="AE63" s="64"/>
      <c r="AF63" s="61"/>
      <c r="AG63" s="64"/>
      <c r="AH63" s="61"/>
      <c r="AI63" s="64"/>
      <c r="AJ63" s="61"/>
      <c r="AK63" s="64"/>
      <c r="AL63" s="61"/>
      <c r="AM63" s="64"/>
      <c r="AN63" s="61"/>
      <c r="AO63" s="64"/>
      <c r="AP63" s="61"/>
      <c r="AQ63" s="64"/>
      <c r="AR63" s="61"/>
      <c r="AS63" s="64"/>
      <c r="AT63" s="61"/>
      <c r="AU63" s="64"/>
      <c r="AV63" s="61"/>
      <c r="AW63" s="64"/>
      <c r="AX63" s="61"/>
      <c r="AY63" s="64"/>
      <c r="AZ63" s="61"/>
      <c r="BA63" s="64"/>
      <c r="BB63" s="61"/>
      <c r="BC63" s="64"/>
      <c r="BD63" s="61"/>
      <c r="BE63" s="64"/>
      <c r="BF63" s="61"/>
      <c r="BG63" s="288">
        <f>BG60/BG49*400</f>
        <v>-12.081435842485936</v>
      </c>
      <c r="BH63" s="61"/>
      <c r="BI63" s="288">
        <f>BI60/BI49*400</f>
        <v>-11.403628427226845</v>
      </c>
      <c r="BJ63" s="61"/>
      <c r="BK63" s="288">
        <f>BK60/BK49*400</f>
        <v>-6.2456627342123525</v>
      </c>
      <c r="BL63" s="61"/>
      <c r="BM63" s="288">
        <f>BM60/BM49*400</f>
        <v>-3.1513630342327263</v>
      </c>
      <c r="BN63" s="61"/>
      <c r="BO63" s="288">
        <f>BO60/BO49*400</f>
        <v>-4.3756967670011155</v>
      </c>
      <c r="BP63" s="61"/>
      <c r="BQ63" s="288">
        <f>BQ60/BQ49*400</f>
        <v>-0.42158516020236086</v>
      </c>
      <c r="BR63" s="61"/>
      <c r="BS63" s="288">
        <f>BS60/BS49*400</f>
        <v>-7.9324069548215901</v>
      </c>
      <c r="BT63" s="61"/>
      <c r="BU63" s="288">
        <f>BU60/BU49*400</f>
        <v>-6.0816066756240721</v>
      </c>
      <c r="BV63" s="61"/>
      <c r="BW63" s="288">
        <f>BW60/BW49*400</f>
        <v>-0.256446787291637</v>
      </c>
      <c r="BX63" s="61"/>
      <c r="BY63" s="288">
        <f>BY60/BY49*400</f>
        <v>10.852055955913523</v>
      </c>
      <c r="BZ63" s="61"/>
      <c r="CA63" s="288">
        <f>CA60/CA49*400</f>
        <v>23.460570184391372</v>
      </c>
      <c r="CB63" s="61"/>
      <c r="CC63" s="288">
        <f>CC60/CC49*400</f>
        <v>-0.4817444219066937</v>
      </c>
      <c r="CD63" s="61"/>
      <c r="CE63" s="288">
        <f>CE60/CE49*400</f>
        <v>0.57712816009033308</v>
      </c>
      <c r="CF63" s="61"/>
      <c r="CG63" s="288">
        <f>CG60/CG49*400</f>
        <v>7.0110244023287498</v>
      </c>
      <c r="CH63" s="61"/>
      <c r="CI63" s="288">
        <f>CI60/CI49*400</f>
        <v>13.865826313556754</v>
      </c>
      <c r="CJ63" s="61"/>
      <c r="CK63" s="288">
        <f>CK60/CK49*400</f>
        <v>-2.496532593619972</v>
      </c>
      <c r="CL63" s="61"/>
      <c r="CM63" s="288">
        <f>CM60/CM49*400</f>
        <v>0.71182548794489098</v>
      </c>
      <c r="CN63" s="61"/>
      <c r="CO63" s="288">
        <f>CO60/CO49*400</f>
        <v>3.038032080711897</v>
      </c>
      <c r="CP63" s="61"/>
      <c r="CQ63" s="288">
        <f>CQ60/CQ49*400</f>
        <v>1.0257553796409855</v>
      </c>
      <c r="CR63" s="61"/>
      <c r="CS63" s="288">
        <f>CS60/CS49*400</f>
        <v>-2.8430229329779557</v>
      </c>
      <c r="CT63" s="61"/>
      <c r="CU63" s="288">
        <f>CU60/CU49*400</f>
        <v>-3.75566110681542</v>
      </c>
      <c r="CV63" s="61"/>
      <c r="CW63" s="288">
        <f>CW60/CW49*400</f>
        <v>-0.70383811723303646</v>
      </c>
      <c r="CX63" s="61"/>
      <c r="CY63" s="288">
        <f>CY60/CY49*400</f>
        <v>-2.4079242598369177</v>
      </c>
      <c r="CZ63" s="61"/>
      <c r="DA63" s="288">
        <f>DA60/DA49*400</f>
        <v>-1.1118984030086663</v>
      </c>
      <c r="DB63" s="61"/>
      <c r="DC63" s="288">
        <f>DC60/DC49*400</f>
        <v>-3.3626206746935678</v>
      </c>
      <c r="DD63" s="61"/>
      <c r="DE63" s="288">
        <f>DE60/DE49*400</f>
        <v>-4.2720750849560387</v>
      </c>
      <c r="DF63" s="61"/>
      <c r="DG63" s="288">
        <f>DG60/DG49*400</f>
        <v>-4.9529577160160052</v>
      </c>
      <c r="DH63" s="61"/>
      <c r="DI63" s="288">
        <f>DI60/DI49*400</f>
        <v>-3.4891910928103163</v>
      </c>
      <c r="DJ63" s="61"/>
      <c r="DK63" s="288">
        <f>DK60/DK49*400</f>
        <v>0.17248814144027599</v>
      </c>
      <c r="DL63" s="61"/>
      <c r="DM63" s="288">
        <f>DM60/DM49*400</f>
        <v>-1.4308595835557929</v>
      </c>
      <c r="DN63" s="130" t="str">
        <f t="shared" si="354"/>
        <v>NM</v>
      </c>
      <c r="DO63" s="288">
        <f>DO60/DO49*400</f>
        <v>-5.2556291390728473</v>
      </c>
      <c r="DP63" s="130">
        <f t="shared" si="354"/>
        <v>6.110922814424935</v>
      </c>
      <c r="DQ63" s="288">
        <f>DQ60/DQ49*400</f>
        <v>-5.867918489277713</v>
      </c>
      <c r="DR63" s="130">
        <f t="shared" si="354"/>
        <v>68.174179435712333</v>
      </c>
      <c r="DS63" s="288">
        <f>DS60/DS49*400</f>
        <v>-3.4510476394619793</v>
      </c>
      <c r="DT63" s="130" t="str">
        <f t="shared" si="354"/>
        <v>NM</v>
      </c>
      <c r="DU63" s="288">
        <f>DU60/DU49*400</f>
        <v>-3.817489678837596</v>
      </c>
      <c r="DV63" s="130" t="str">
        <f t="shared" si="354"/>
        <v>NM</v>
      </c>
      <c r="DW63" s="288">
        <f>DW60/DW49*400</f>
        <v>0.88186266602140129</v>
      </c>
      <c r="DX63" s="288">
        <f t="shared" ref="DX63:DY63" si="378">DX60/DX49*400</f>
        <v>-11134.892086330939</v>
      </c>
      <c r="DY63" s="288">
        <f t="shared" si="378"/>
        <v>4.3701799485861184</v>
      </c>
      <c r="DZ63" s="130" t="str">
        <f t="shared" si="354"/>
        <v>NM</v>
      </c>
      <c r="EA63" s="288">
        <f t="shared" ref="EA63:EC63" si="379">EA60/EA49*400</f>
        <v>5.3663138035845295</v>
      </c>
      <c r="EB63" s="130" t="str">
        <f t="shared" si="357"/>
        <v>NM</v>
      </c>
      <c r="EC63" s="288">
        <f t="shared" si="379"/>
        <v>6.1703002879473466E-2</v>
      </c>
      <c r="ED63" s="130" t="str">
        <f t="shared" si="358"/>
        <v>NM</v>
      </c>
      <c r="EE63" s="288">
        <f t="shared" ref="EE63:EG63" si="380">EE60/EE49*400</f>
        <v>-2.6329217267068068</v>
      </c>
      <c r="EF63" s="130" t="str">
        <f t="shared" si="360"/>
        <v>NM</v>
      </c>
      <c r="EG63" s="288">
        <f t="shared" si="380"/>
        <v>-1.1816237139655699</v>
      </c>
      <c r="EH63" s="130" t="str">
        <f t="shared" si="361"/>
        <v>NM</v>
      </c>
      <c r="EI63" s="288">
        <f t="shared" ref="EI63" si="381">EI60/EI49*400</f>
        <v>1.6630330071490138</v>
      </c>
      <c r="EJ63" s="130" t="str">
        <f t="shared" si="363"/>
        <v>NM</v>
      </c>
      <c r="EK63" s="288">
        <f t="shared" ref="EK63:EM63" si="382">EK60/EK49*400</f>
        <v>-3.5352274429520145</v>
      </c>
      <c r="EL63" s="130" t="str">
        <f t="shared" si="364"/>
        <v>NM</v>
      </c>
      <c r="EM63" s="288">
        <f t="shared" si="382"/>
        <v>-3.8159932071325104</v>
      </c>
      <c r="EN63" s="130">
        <f t="shared" si="366"/>
        <v>44.933788514308027</v>
      </c>
      <c r="EO63" s="288">
        <f t="shared" ref="EO63" si="383">EO60/EO49*400</f>
        <v>1.4789647246927151</v>
      </c>
      <c r="EP63" s="130" t="str">
        <f t="shared" si="368"/>
        <v>NM</v>
      </c>
      <c r="EQ63" s="288">
        <f t="shared" ref="EQ63" si="384">EQ60/EQ49*400</f>
        <v>1.8927163076464557</v>
      </c>
      <c r="ER63" s="130">
        <f t="shared" si="369"/>
        <v>13.811108950338546</v>
      </c>
      <c r="ES63" s="288">
        <f t="shared" ref="ES63" si="385">ES60/ES49*400</f>
        <v>2.6709221888804042</v>
      </c>
      <c r="ET63" s="130" t="str">
        <f t="shared" si="371"/>
        <v>NM</v>
      </c>
      <c r="EU63" s="288">
        <f t="shared" ref="EU63" si="386">EU60/EU49*400</f>
        <v>3.3948314020909294</v>
      </c>
      <c r="EV63" s="130" t="str">
        <f t="shared" si="373"/>
        <v>NM</v>
      </c>
      <c r="EW63" s="288">
        <f t="shared" ref="EW63" si="387">EW60/EW49*400</f>
        <v>4.0623375694801496</v>
      </c>
      <c r="EX63" s="130" t="str">
        <f t="shared" si="375"/>
        <v>NM</v>
      </c>
      <c r="EY63" s="64"/>
      <c r="EZ63" s="558"/>
      <c r="FA63" s="64"/>
      <c r="FB63" s="66"/>
      <c r="FC63" s="66"/>
      <c r="FD63" s="66"/>
      <c r="FE63" s="67"/>
      <c r="FF63" s="66"/>
      <c r="FG63" s="67"/>
      <c r="FH63" s="66"/>
      <c r="FI63" s="67"/>
      <c r="FJ63" s="66"/>
      <c r="FK63" s="67"/>
      <c r="FL63" s="66"/>
      <c r="FM63" s="61"/>
      <c r="FN63" s="66"/>
      <c r="FO63" s="61"/>
      <c r="FP63" s="65"/>
      <c r="FQ63" s="61"/>
      <c r="FR63" s="65"/>
      <c r="FS63" s="61"/>
      <c r="FT63" s="288">
        <f>FT60/FT49*100</f>
        <v>-8.0833110099115988</v>
      </c>
      <c r="FU63" s="61"/>
      <c r="FV63" s="288">
        <f>FV60/FV49*100</f>
        <v>-4.6753065774804901</v>
      </c>
      <c r="FW63" s="61"/>
      <c r="FX63" s="288">
        <f>FX60/FX49*100</f>
        <v>8.6764496367003847</v>
      </c>
      <c r="FY63" s="61"/>
      <c r="FZ63" s="288">
        <f>FZ60/FZ49*100</f>
        <v>4.8303117746690925</v>
      </c>
      <c r="GA63" s="61"/>
      <c r="GB63" s="288">
        <f>GB60/GB49*100</f>
        <v>0.47646383467278991</v>
      </c>
      <c r="GC63" s="61"/>
      <c r="GD63" s="288">
        <f>GD60/GD49*100</f>
        <v>-2.0048602673147022</v>
      </c>
      <c r="GE63" s="61"/>
      <c r="GF63" s="288">
        <f>GF60/GF49*100</f>
        <v>-4.0297212278989045</v>
      </c>
      <c r="GG63" s="61" t="str">
        <f t="shared" si="376"/>
        <v>NM</v>
      </c>
      <c r="GH63" s="288">
        <f>GH60/GH49*100</f>
        <v>-3.1371280724450195</v>
      </c>
      <c r="GI63" s="61">
        <f t="shared" si="376"/>
        <v>-22.150245760778908</v>
      </c>
      <c r="GJ63" s="288">
        <f>GJ60/GJ49*100</f>
        <v>-0.50372434489041318</v>
      </c>
      <c r="GK63" s="61" t="str">
        <f t="shared" si="376"/>
        <v>NM</v>
      </c>
      <c r="GL63" s="288">
        <f>GL60/GL49*100</f>
        <v>0.37731893931453725</v>
      </c>
      <c r="GM63" s="61" t="str">
        <f t="shared" si="376"/>
        <v>NM</v>
      </c>
      <c r="GN63" s="288">
        <f>GN60/GN49*100</f>
        <v>-1.0748871875475332</v>
      </c>
      <c r="GO63" s="61" t="str">
        <f t="shared" si="376"/>
        <v>NM</v>
      </c>
      <c r="GP63" s="288">
        <f>GP60/GP49*100</f>
        <v>3.0963814232306226</v>
      </c>
      <c r="GQ63" s="61" t="str">
        <f t="shared" si="376"/>
        <v>NM</v>
      </c>
      <c r="GR63" s="288">
        <f>GR60/GR49*100</f>
        <v>2.9310902630816695</v>
      </c>
      <c r="GS63" s="61">
        <f t="shared" si="376"/>
        <v>-5.33820410201582</v>
      </c>
      <c r="GT63" s="288">
        <f>GT60/GT49*100</f>
        <v>2.2638763258503638</v>
      </c>
      <c r="GU63" s="61">
        <f t="shared" si="376"/>
        <v>-22.763336415638559</v>
      </c>
      <c r="GV63" s="288">
        <f>GV60/GV49*100</f>
        <v>1.7068838129449055</v>
      </c>
      <c r="GW63" s="61">
        <f t="shared" si="376"/>
        <v>-24.603486795871643</v>
      </c>
      <c r="GX63" s="288">
        <f>GX60/GX49*100</f>
        <v>1.2365000420435583</v>
      </c>
      <c r="GY63" s="61">
        <f t="shared" si="377"/>
        <v>-27.558042752177069</v>
      </c>
      <c r="GZ63" s="61" t="str">
        <f>IF(ISERROR((GX63/GN63)^0.2),"",IF(OR((GX63/GN63)^0.2&lt;0.5,(GX63/GN63)^0.2&gt;2),"NM",((GX63/GN63)^0.2-1)*100))</f>
        <v>NM</v>
      </c>
      <c r="HA63" s="61"/>
      <c r="HB63" s="452"/>
      <c r="HC63"/>
      <c r="HD63"/>
      <c r="HE63"/>
      <c r="HF63"/>
      <c r="HG63"/>
      <c r="HH63"/>
    </row>
    <row r="64" spans="2:216" s="5" customFormat="1" ht="12.75" customHeight="1" x14ac:dyDescent="0.2">
      <c r="B64" s="527" t="s">
        <v>241</v>
      </c>
      <c r="C64" s="66"/>
      <c r="D64" s="67"/>
      <c r="E64" s="66"/>
      <c r="F64" s="66"/>
      <c r="G64" s="64"/>
      <c r="H64" s="66"/>
      <c r="I64" s="64"/>
      <c r="J64" s="66"/>
      <c r="K64" s="64"/>
      <c r="L64" s="61"/>
      <c r="M64" s="66"/>
      <c r="N64" s="61"/>
      <c r="O64" s="64"/>
      <c r="P64" s="61"/>
      <c r="Q64" s="64"/>
      <c r="R64" s="61"/>
      <c r="S64" s="64"/>
      <c r="T64" s="61"/>
      <c r="U64" s="64"/>
      <c r="V64" s="61"/>
      <c r="W64" s="64"/>
      <c r="X64" s="61"/>
      <c r="Y64" s="64"/>
      <c r="Z64" s="61"/>
      <c r="AA64" s="64"/>
      <c r="AB64" s="61"/>
      <c r="AC64" s="64"/>
      <c r="AD64" s="61"/>
      <c r="AE64" s="64"/>
      <c r="AF64" s="61"/>
      <c r="AG64" s="64"/>
      <c r="AH64" s="61"/>
      <c r="AI64" s="64"/>
      <c r="AJ64" s="61"/>
      <c r="AK64" s="64"/>
      <c r="AL64" s="61"/>
      <c r="AM64" s="64"/>
      <c r="AN64" s="61"/>
      <c r="AO64" s="64"/>
      <c r="AP64" s="61"/>
      <c r="AQ64" s="64"/>
      <c r="AR64" s="61"/>
      <c r="AS64" s="64"/>
      <c r="AT64" s="61"/>
      <c r="AU64" s="64"/>
      <c r="AV64" s="61"/>
      <c r="AW64" s="64"/>
      <c r="AX64" s="61"/>
      <c r="AY64" s="64"/>
      <c r="AZ64" s="61"/>
      <c r="BA64" s="64"/>
      <c r="BB64" s="61"/>
      <c r="BC64" s="64"/>
      <c r="BD64" s="61"/>
      <c r="BE64" s="64"/>
      <c r="BF64" s="61"/>
      <c r="BG64" s="288">
        <f>BG53/BG49*400</f>
        <v>4.8486472006429144</v>
      </c>
      <c r="BH64" s="61"/>
      <c r="BI64" s="288">
        <f>BI53/BI49*400</f>
        <v>4.5287136816259714</v>
      </c>
      <c r="BJ64" s="61"/>
      <c r="BK64" s="288">
        <f>BK53/BK49*400</f>
        <v>4.3858431644691187</v>
      </c>
      <c r="BL64" s="61"/>
      <c r="BM64" s="288">
        <f>BM53/BM49*400</f>
        <v>3.4023565502335638</v>
      </c>
      <c r="BN64" s="61"/>
      <c r="BO64" s="288">
        <f>BO53/BO49*400</f>
        <v>1.0312151616499443</v>
      </c>
      <c r="BP64" s="61"/>
      <c r="BQ64" s="288">
        <f>BQ53/BQ49*400</f>
        <v>2.9229904440697023</v>
      </c>
      <c r="BR64" s="61"/>
      <c r="BS64" s="288">
        <f>BS53/BS49*400</f>
        <v>2.9048250820473429</v>
      </c>
      <c r="BT64" s="61"/>
      <c r="BU64" s="288">
        <f>BU53/BU49*400</f>
        <v>3.1680927798599816</v>
      </c>
      <c r="BV64" s="61"/>
      <c r="BW64" s="288">
        <f>BW53/BW49*400</f>
        <v>3.5617609346060695</v>
      </c>
      <c r="BX64" s="61"/>
      <c r="BY64" s="288">
        <f>BY53/BY49*400</f>
        <v>4.4934294192454427</v>
      </c>
      <c r="BZ64" s="61"/>
      <c r="CA64" s="288">
        <f>CA53/CA49*400</f>
        <v>5.9059672041913309</v>
      </c>
      <c r="CB64" s="61"/>
      <c r="CC64" s="288">
        <f>CC53/CC49*400</f>
        <v>4.6653144016227177</v>
      </c>
      <c r="CD64" s="61"/>
      <c r="CE64" s="288">
        <f>CE53/CE49*400</f>
        <v>4.5668402233235055</v>
      </c>
      <c r="CF64" s="61"/>
      <c r="CG64" s="288">
        <f>CG53/CG49*400</f>
        <v>1.7837235228539576</v>
      </c>
      <c r="CH64" s="61"/>
      <c r="CI64" s="288">
        <f>CI53/CI49*400</f>
        <v>5.5996606266286895</v>
      </c>
      <c r="CJ64" s="61"/>
      <c r="CK64" s="288">
        <f>CK53/CK49*400</f>
        <v>5.1779935275080913</v>
      </c>
      <c r="CL64" s="61"/>
      <c r="CM64" s="288">
        <f>CM53/CM49*400</f>
        <v>4.4087256027554531</v>
      </c>
      <c r="CN64" s="61"/>
      <c r="CO64" s="288">
        <f>CO53/CO49*400</f>
        <v>3.4687978234994046</v>
      </c>
      <c r="CP64" s="61"/>
      <c r="CQ64" s="288">
        <f>CQ53/CQ49*400</f>
        <v>0.33448544988293005</v>
      </c>
      <c r="CR64" s="61"/>
      <c r="CS64" s="288">
        <f>CS53/CS49*400</f>
        <v>4.7753900827364095</v>
      </c>
      <c r="CT64" s="61"/>
      <c r="CU64" s="288">
        <f>CU53/CU49*400</f>
        <v>5.3242019220148018</v>
      </c>
      <c r="CV64" s="61"/>
      <c r="CW64" s="288">
        <f>CW53/CW49*400</f>
        <v>2.4194435279885624</v>
      </c>
      <c r="CX64" s="61"/>
      <c r="CY64" s="288">
        <f>CY53/CY49*400</f>
        <v>3.787008154107153</v>
      </c>
      <c r="CZ64" s="61"/>
      <c r="DA64" s="288">
        <f>DA53/DA49*400</f>
        <v>2.943260478552352</v>
      </c>
      <c r="DB64" s="61"/>
      <c r="DC64" s="288">
        <f>DC53/DC49*400</f>
        <v>5.5103590411107497</v>
      </c>
      <c r="DD64" s="61"/>
      <c r="DE64" s="288">
        <f>DE53/DE49*400</f>
        <v>3.2364205189060899</v>
      </c>
      <c r="DF64" s="61"/>
      <c r="DG64" s="288">
        <f>DG53/DG49*400</f>
        <v>4.109440899751271</v>
      </c>
      <c r="DH64" s="61"/>
      <c r="DI64" s="288">
        <f>DI53/DI49*400</f>
        <v>5.5046865687814925</v>
      </c>
      <c r="DJ64" s="61"/>
      <c r="DK64" s="288">
        <f>DK53/DK49*400</f>
        <v>3.6222509702457955</v>
      </c>
      <c r="DL64" s="61"/>
      <c r="DM64" s="288">
        <f>DM53/DM49*400</f>
        <v>4.5061398825413779</v>
      </c>
      <c r="DN64" s="130">
        <f t="shared" si="354"/>
        <v>39.232212137391009</v>
      </c>
      <c r="DO64" s="288">
        <f>DO53/DO49*400</f>
        <v>2.5006622516556289</v>
      </c>
      <c r="DP64" s="130">
        <f t="shared" si="354"/>
        <v>-39.148358313001054</v>
      </c>
      <c r="DQ64" s="288">
        <f>DQ53/DQ49*400</f>
        <v>4.0115224581243991</v>
      </c>
      <c r="DR64" s="130">
        <f t="shared" si="354"/>
        <v>-27.125324793698791</v>
      </c>
      <c r="DS64" s="288">
        <f>DS53/DS49*400</f>
        <v>3.1295214618723541</v>
      </c>
      <c r="DT64" s="130">
        <f t="shared" si="354"/>
        <v>-13.60285392759536</v>
      </c>
      <c r="DU64" s="288">
        <f>DU53/DU49*400</f>
        <v>2.5092488338426895</v>
      </c>
      <c r="DV64" s="130">
        <f t="shared" si="354"/>
        <v>-44.314892585457855</v>
      </c>
      <c r="DW64" s="288">
        <f>DW53/DW49*400</f>
        <v>0.66677421089423017</v>
      </c>
      <c r="DX64" s="288">
        <f t="shared" ref="DX64:DY64" si="388">DX53/DX49*400</f>
        <v>-8419.064748201441</v>
      </c>
      <c r="DY64" s="288">
        <f t="shared" si="388"/>
        <v>4.284490145672665</v>
      </c>
      <c r="DZ64" s="130">
        <f t="shared" si="354"/>
        <v>6.8045907856114196</v>
      </c>
      <c r="EA64" s="288">
        <f t="shared" ref="EA64:EC64" si="389">EA53/EA49*400</f>
        <v>2.1591028194109634</v>
      </c>
      <c r="EB64" s="130">
        <f t="shared" si="357"/>
        <v>-31.008531313308239</v>
      </c>
      <c r="EC64" s="288">
        <f t="shared" si="389"/>
        <v>2.9411764705882351</v>
      </c>
      <c r="ED64" s="130">
        <f t="shared" si="358"/>
        <v>17.213423831070873</v>
      </c>
      <c r="EE64" s="288">
        <f t="shared" ref="EE64:EG64" si="390">EE53/EE49*400</f>
        <v>3.3268700887845699</v>
      </c>
      <c r="EF64" s="130" t="str">
        <f t="shared" si="360"/>
        <v>NM</v>
      </c>
      <c r="EG64" s="288">
        <f t="shared" si="390"/>
        <v>2.9540592849139249</v>
      </c>
      <c r="EH64" s="130">
        <f t="shared" si="361"/>
        <v>-31.052256290108993</v>
      </c>
      <c r="EI64" s="288">
        <f t="shared" ref="EI64:EK64" si="391">EI53/EI49*400</f>
        <v>4.4617958728388176</v>
      </c>
      <c r="EJ64" s="130" t="str">
        <f t="shared" si="363"/>
        <v>NM</v>
      </c>
      <c r="EK64" s="288">
        <f t="shared" si="391"/>
        <v>3.3554701153442856</v>
      </c>
      <c r="EL64" s="130">
        <f t="shared" si="364"/>
        <v>14.085983921705726</v>
      </c>
      <c r="EM64" s="288">
        <f t="shared" ref="EM64" si="392">EM53/EM49*400</f>
        <v>3.5762449428100496</v>
      </c>
      <c r="EN64" s="130">
        <f t="shared" si="366"/>
        <v>7.4957797380235336</v>
      </c>
      <c r="EO64" s="288">
        <f t="shared" ref="EO64" si="393">EO53/EO49*400</f>
        <v>4.1570900369741182</v>
      </c>
      <c r="EP64" s="130">
        <f t="shared" si="368"/>
        <v>40.724665148189374</v>
      </c>
      <c r="EQ64" s="549">
        <f t="shared" ref="EQ64" si="394">EO64</f>
        <v>4.1570900369741182</v>
      </c>
      <c r="ER64" s="130">
        <f t="shared" si="369"/>
        <v>-6.829219546317578</v>
      </c>
      <c r="ES64" s="549">
        <f t="shared" ref="ES64" si="395">EQ64</f>
        <v>4.1570900369741182</v>
      </c>
      <c r="ET64" s="130">
        <f t="shared" si="371"/>
        <v>23.889943706072401</v>
      </c>
      <c r="EU64" s="549">
        <f t="shared" ref="EU64" si="396">ES64</f>
        <v>4.1570900369741182</v>
      </c>
      <c r="EV64" s="130">
        <f t="shared" si="373"/>
        <v>16.241759260138021</v>
      </c>
      <c r="EW64" s="549">
        <f t="shared" ref="EW64" si="397">EU64</f>
        <v>4.1570900369741182</v>
      </c>
      <c r="EX64" s="130">
        <f t="shared" si="375"/>
        <v>0</v>
      </c>
      <c r="EY64" s="64"/>
      <c r="EZ64" s="558"/>
      <c r="FA64" s="64"/>
      <c r="FB64" s="66"/>
      <c r="FC64" s="66"/>
      <c r="FD64" s="66"/>
      <c r="FE64" s="67"/>
      <c r="FF64" s="66"/>
      <c r="FG64" s="67"/>
      <c r="FH64" s="66"/>
      <c r="FI64" s="67"/>
      <c r="FJ64" s="66"/>
      <c r="FK64" s="67"/>
      <c r="FL64" s="66"/>
      <c r="FM64" s="61"/>
      <c r="FN64" s="66"/>
      <c r="FO64" s="61"/>
      <c r="FP64" s="65"/>
      <c r="FQ64" s="61"/>
      <c r="FR64" s="65"/>
      <c r="FS64" s="61"/>
      <c r="FT64" s="288">
        <f>FT53/FT49*100</f>
        <v>4.199035628181087</v>
      </c>
      <c r="FU64" s="61"/>
      <c r="FV64" s="288">
        <f>FV53/FV49*100</f>
        <v>2.4874581939799332</v>
      </c>
      <c r="FW64" s="61"/>
      <c r="FX64" s="288">
        <f>FX53/FX49*100</f>
        <v>4.8796124804103149</v>
      </c>
      <c r="FY64" s="61"/>
      <c r="FZ64" s="288">
        <f>FZ53/FZ49*100</f>
        <v>4.4476507120005015</v>
      </c>
      <c r="GA64" s="61"/>
      <c r="GB64" s="288">
        <f>GB53/GB49*100</f>
        <v>3.300803673938002</v>
      </c>
      <c r="GC64" s="61"/>
      <c r="GD64" s="288">
        <f>GD53/GD49*100</f>
        <v>3.6396774549872974</v>
      </c>
      <c r="GE64" s="61"/>
      <c r="GF64" s="288">
        <f>GF53/GF49*100</f>
        <v>4.5991973099034604</v>
      </c>
      <c r="GG64" s="61">
        <f t="shared" si="376"/>
        <v>26.362771613220094</v>
      </c>
      <c r="GH64" s="288">
        <f>GH53/GH49*100</f>
        <v>3.6923242777059078</v>
      </c>
      <c r="GI64" s="61">
        <f t="shared" si="376"/>
        <v>-19.718071895823673</v>
      </c>
      <c r="GJ64" s="288">
        <f>GJ53/GJ49*100</f>
        <v>2.6472321954879159</v>
      </c>
      <c r="GK64" s="61">
        <f t="shared" si="376"/>
        <v>-28.304450086581291</v>
      </c>
      <c r="GL64" s="288">
        <f>GL53/GL49*100</f>
        <v>2.903259616392412</v>
      </c>
      <c r="GM64" s="61">
        <f t="shared" si="376"/>
        <v>9.671513565787059</v>
      </c>
      <c r="GN64" s="288">
        <f>GN53/GN49*100</f>
        <v>3.9294225016478226</v>
      </c>
      <c r="GO64" s="61">
        <f t="shared" si="376"/>
        <v>35.345198874447178</v>
      </c>
      <c r="GP64" s="288">
        <f>GP53/GP49*100</f>
        <v>4.2613994709711136</v>
      </c>
      <c r="GQ64" s="61">
        <f t="shared" si="376"/>
        <v>8.4484926012429185</v>
      </c>
      <c r="GR64" s="549">
        <f>GP64</f>
        <v>4.2613994709711136</v>
      </c>
      <c r="GS64" s="61">
        <f t="shared" si="376"/>
        <v>0</v>
      </c>
      <c r="GT64" s="549">
        <f>GR64</f>
        <v>4.2613994709711136</v>
      </c>
      <c r="GU64" s="61">
        <f t="shared" si="376"/>
        <v>0</v>
      </c>
      <c r="GV64" s="549">
        <f>GT64</f>
        <v>4.2613994709711136</v>
      </c>
      <c r="GW64" s="61">
        <f t="shared" si="376"/>
        <v>0</v>
      </c>
      <c r="GX64" s="549">
        <f>GV64</f>
        <v>4.2613994709711136</v>
      </c>
      <c r="GY64" s="61">
        <f t="shared" si="377"/>
        <v>0</v>
      </c>
      <c r="GZ64" s="61">
        <f>IF(ISERROR((GX64/GN64)^0.2),"",IF(OR((GX64/GN64)^0.2&lt;0.5,(GX64/GN64)^0.2&gt;2),"NM",((GX64/GN64)^0.2-1)*100))</f>
        <v>1.6353305499309245</v>
      </c>
      <c r="HA64" s="61"/>
      <c r="HB64" s="452"/>
      <c r="HC64"/>
      <c r="HD64"/>
      <c r="HE64"/>
      <c r="HF64"/>
      <c r="HG64"/>
      <c r="HH64"/>
    </row>
    <row r="65" spans="2:216" s="5" customFormat="1" ht="12.75" customHeight="1" x14ac:dyDescent="0.2">
      <c r="B65" s="68" t="s">
        <v>21</v>
      </c>
      <c r="C65" s="66"/>
      <c r="D65" s="67"/>
      <c r="E65" s="66"/>
      <c r="F65" s="66"/>
      <c r="G65" s="64"/>
      <c r="H65" s="66"/>
      <c r="I65" s="64"/>
      <c r="J65" s="66"/>
      <c r="K65" s="64"/>
      <c r="L65" s="61"/>
      <c r="M65" s="66"/>
      <c r="N65" s="61"/>
      <c r="O65" s="64"/>
      <c r="P65" s="61"/>
      <c r="Q65" s="64"/>
      <c r="R65" s="61"/>
      <c r="S65" s="64"/>
      <c r="T65" s="61"/>
      <c r="U65" s="64"/>
      <c r="V65" s="61"/>
      <c r="W65" s="64"/>
      <c r="X65" s="61"/>
      <c r="Y65" s="64"/>
      <c r="Z65" s="61"/>
      <c r="AA65" s="64"/>
      <c r="AB65" s="61"/>
      <c r="AC65" s="64"/>
      <c r="AD65" s="61"/>
      <c r="AE65" s="64"/>
      <c r="AF65" s="61"/>
      <c r="AG65" s="64"/>
      <c r="AH65" s="61"/>
      <c r="AI65" s="64"/>
      <c r="AJ65" s="61"/>
      <c r="AK65" s="64"/>
      <c r="AL65" s="61"/>
      <c r="AM65" s="64"/>
      <c r="AN65" s="61"/>
      <c r="AO65" s="64"/>
      <c r="AP65" s="61"/>
      <c r="AQ65" s="64"/>
      <c r="AR65" s="61"/>
      <c r="AS65" s="64"/>
      <c r="AT65" s="61"/>
      <c r="AU65" s="64"/>
      <c r="AV65" s="61"/>
      <c r="AW65" s="64"/>
      <c r="AX65" s="61"/>
      <c r="AY65" s="64"/>
      <c r="AZ65" s="61"/>
      <c r="BA65" s="64"/>
      <c r="BB65" s="61"/>
      <c r="BC65" s="64"/>
      <c r="BD65" s="61"/>
      <c r="BE65" s="64"/>
      <c r="BF65" s="61"/>
      <c r="BG65" s="288">
        <f>BG57/BG49*100</f>
        <v>-11.311277792660059</v>
      </c>
      <c r="BH65" s="61"/>
      <c r="BI65" s="288">
        <f>BI57/BI49*100</f>
        <v>-10.898922384395036</v>
      </c>
      <c r="BJ65" s="61"/>
      <c r="BK65" s="288">
        <f>BK57/BK49*100</f>
        <v>-9.9236641221374047</v>
      </c>
      <c r="BL65" s="61"/>
      <c r="BM65" s="288">
        <f>BM57/BM49*100</f>
        <v>-9.426200934253643</v>
      </c>
      <c r="BN65" s="61"/>
      <c r="BO65" s="288">
        <f>BO57/BO49*100</f>
        <v>-9.0997770345596436</v>
      </c>
      <c r="BP65" s="61"/>
      <c r="BQ65" s="288">
        <f>BQ57/BQ49*100</f>
        <v>-8.8181562675660476</v>
      </c>
      <c r="BR65" s="61"/>
      <c r="BS65" s="288">
        <f>BS57/BS49*100</f>
        <v>-8.3513721108861105</v>
      </c>
      <c r="BT65" s="61"/>
      <c r="BU65" s="288">
        <f>BU57/BU49*100</f>
        <v>-7.9555901279966061</v>
      </c>
      <c r="BV65" s="61"/>
      <c r="BW65" s="288">
        <f>BW57/BW49*100</f>
        <v>-7.7931329249180799</v>
      </c>
      <c r="BX65" s="61"/>
      <c r="BY65" s="288">
        <f>BY57/BY49*100</f>
        <v>-7.5243747350572283</v>
      </c>
      <c r="BZ65" s="61"/>
      <c r="CA65" s="288">
        <f>CA57/CA49*100</f>
        <v>-7.1375110566782336</v>
      </c>
      <c r="CB65" s="61"/>
      <c r="CC65" s="288">
        <f>CC57/CC49*100</f>
        <v>-6.5098884381338751</v>
      </c>
      <c r="CD65" s="61"/>
      <c r="CE65" s="288">
        <f>CE57/CE49*100</f>
        <v>-6.3421366288187686</v>
      </c>
      <c r="CF65" s="61"/>
      <c r="CG65" s="288">
        <f>CG57/CG49*100</f>
        <v>-6.1563235476278955</v>
      </c>
      <c r="CH65" s="61"/>
      <c r="CI65" s="288">
        <f>CI57/CI49*100</f>
        <v>-5.9269135203927039</v>
      </c>
      <c r="CJ65" s="61"/>
      <c r="CK65" s="288">
        <f>CK57/CK49*100</f>
        <v>-5.559408229311142</v>
      </c>
      <c r="CL65" s="61"/>
      <c r="CM65" s="288">
        <f>CM57/CM49*100</f>
        <v>-5.4477611940298507</v>
      </c>
      <c r="CN65" s="61"/>
      <c r="CO65" s="288">
        <f>CO57/CO49*100</f>
        <v>-5.299552230346313</v>
      </c>
      <c r="CP65" s="61"/>
      <c r="CQ65" s="288">
        <f>CQ57/CQ49*100</f>
        <v>-5.1287768982049275</v>
      </c>
      <c r="CR65" s="61"/>
      <c r="CS65" s="288">
        <f>CS57/CS49*100</f>
        <v>-5.0030540285412854</v>
      </c>
      <c r="CT65" s="61"/>
      <c r="CU65" s="288">
        <f>CU57/CU49*100</f>
        <v>-4.8768364078206119</v>
      </c>
      <c r="CV65" s="61"/>
      <c r="CW65" s="288">
        <f>CW57/CW49*100</f>
        <v>-4.7893984383591777</v>
      </c>
      <c r="CX65" s="61"/>
      <c r="CY65" s="288">
        <f>CY57/CY49*100</f>
        <v>-4.6461993104580532</v>
      </c>
      <c r="CZ65" s="61"/>
      <c r="DA65" s="288">
        <f>DA57/DA49*100</f>
        <v>-4.5239003651823184</v>
      </c>
      <c r="DB65" s="61"/>
      <c r="DC65" s="288">
        <f>DC57/DC49*100</f>
        <v>-4.3985247857685215</v>
      </c>
      <c r="DD65" s="61"/>
      <c r="DE65" s="288">
        <f>DE57/DE49*100</f>
        <v>-4.2936512217487461</v>
      </c>
      <c r="DF65" s="61"/>
      <c r="DG65" s="288">
        <f>DG57/DG49*100</f>
        <v>-4.2121769222450522</v>
      </c>
      <c r="DH65" s="61"/>
      <c r="DI65" s="288">
        <f>DI57/DI49*100</f>
        <v>-4.112260930812158</v>
      </c>
      <c r="DJ65" s="61"/>
      <c r="DK65" s="288">
        <f>DK57/DK49*100</f>
        <v>-4.0103492884864167</v>
      </c>
      <c r="DL65" s="61"/>
      <c r="DM65" s="288">
        <f>DM57/DM49*100</f>
        <v>-3.8761345435130807</v>
      </c>
      <c r="DN65" s="130">
        <f t="shared" si="354"/>
        <v>-9.7240473590590408</v>
      </c>
      <c r="DO65" s="288">
        <f>DO57/DO49*100</f>
        <v>-3.7827814569536424</v>
      </c>
      <c r="DP65" s="130">
        <f t="shared" si="354"/>
        <v>-10.194146001411209</v>
      </c>
      <c r="DQ65" s="288">
        <f>DQ57/DQ49*100</f>
        <v>-3.6967886482449592</v>
      </c>
      <c r="DR65" s="130">
        <f t="shared" si="354"/>
        <v>-10.103256810728311</v>
      </c>
      <c r="DS65" s="288">
        <f>DS57/DS49*100</f>
        <v>-3.6225282675097796</v>
      </c>
      <c r="DT65" s="130">
        <f t="shared" si="354"/>
        <v>-9.6705048133851719</v>
      </c>
      <c r="DU65" s="288">
        <f>DU57/DU49*100</f>
        <v>-3.549407538469787</v>
      </c>
      <c r="DV65" s="130">
        <f t="shared" si="354"/>
        <v>-8.4291967003593538</v>
      </c>
      <c r="DW65" s="288">
        <f>DW57/DW49*100</f>
        <v>-3.4683013389256336</v>
      </c>
      <c r="DX65" s="288">
        <f t="shared" ref="DX65:DY65" si="398">DX57/DX49*100</f>
        <v>43792.715827338143</v>
      </c>
      <c r="DY65" s="288">
        <f t="shared" si="398"/>
        <v>-3.3793916023993149</v>
      </c>
      <c r="DZ65" s="130">
        <f t="shared" si="354"/>
        <v>-8.5857503916629838</v>
      </c>
      <c r="EA65" s="288">
        <f t="shared" ref="EA65:EC65" si="399">EA57/EA49*100</f>
        <v>-3.2438947699402578</v>
      </c>
      <c r="EB65" s="130">
        <f t="shared" si="357"/>
        <v>-10.452188902581138</v>
      </c>
      <c r="EC65" s="288">
        <f t="shared" si="399"/>
        <v>-3.1262854792266559</v>
      </c>
      <c r="ED65" s="130">
        <f t="shared" si="358"/>
        <v>-11.920920735564412</v>
      </c>
      <c r="EE65" s="288">
        <f t="shared" ref="EE65:EG65" si="400">EE57/EE49*100</f>
        <v>-3.0462292070619448</v>
      </c>
      <c r="EF65" s="130">
        <f t="shared" si="360"/>
        <v>-12.169419281037241</v>
      </c>
      <c r="EG65" s="288">
        <f t="shared" si="400"/>
        <v>-2.9744321075685036</v>
      </c>
      <c r="EH65" s="130">
        <f t="shared" si="361"/>
        <v>-11.983207111697158</v>
      </c>
      <c r="EI65" s="288">
        <f t="shared" ref="EI65:EK65" si="401">EI57/EI49*100</f>
        <v>-2.9001673173452316</v>
      </c>
      <c r="EJ65" s="130">
        <f t="shared" si="363"/>
        <v>-10.596134491790455</v>
      </c>
      <c r="EK65" s="288">
        <f t="shared" si="401"/>
        <v>-2.806211614320667</v>
      </c>
      <c r="EL65" s="130">
        <f t="shared" si="364"/>
        <v>-10.2381521787692</v>
      </c>
      <c r="EM65" s="288">
        <f t="shared" ref="EM65" si="402">EM57/EM49*100</f>
        <v>-3.0967484141651269</v>
      </c>
      <c r="EN65" s="130">
        <f t="shared" si="366"/>
        <v>1.6584177902984276</v>
      </c>
      <c r="EO65" s="288">
        <f t="shared" ref="EO65" si="403">EO57/EO49*100</f>
        <v>-3.8373138802838014</v>
      </c>
      <c r="EP65" s="130">
        <f t="shared" si="368"/>
        <v>29.009966995705749</v>
      </c>
      <c r="EQ65" s="288">
        <f t="shared" ref="EQ65:EW65" si="404">EQ57/EQ49*100</f>
        <v>-4.0285643930066488</v>
      </c>
      <c r="ER65" s="130">
        <f t="shared" si="369"/>
        <v>38.907999166556159</v>
      </c>
      <c r="ES65" s="288">
        <f t="shared" si="404"/>
        <v>-4.210709472037486</v>
      </c>
      <c r="ET65" s="130">
        <f t="shared" si="371"/>
        <v>50.049606043584951</v>
      </c>
      <c r="EU65" s="288">
        <f t="shared" si="404"/>
        <v>-4.1394465729238998</v>
      </c>
      <c r="EV65" s="130">
        <f t="shared" si="373"/>
        <v>33.670741671789337</v>
      </c>
      <c r="EW65" s="288">
        <f t="shared" si="404"/>
        <v>-4.0617922100204806</v>
      </c>
      <c r="EX65" s="130">
        <f t="shared" si="375"/>
        <v>5.8498818897785076</v>
      </c>
      <c r="EY65" s="64"/>
      <c r="EZ65" s="558"/>
      <c r="FA65" s="64"/>
      <c r="FB65" s="66"/>
      <c r="FC65" s="66"/>
      <c r="FD65" s="66"/>
      <c r="FE65" s="67"/>
      <c r="FF65" s="66"/>
      <c r="FG65" s="67"/>
      <c r="FH65" s="66"/>
      <c r="FI65" s="67"/>
      <c r="FJ65" s="66"/>
      <c r="FK65" s="67"/>
      <c r="FL65" s="66"/>
      <c r="FM65" s="61"/>
      <c r="FN65" s="66"/>
      <c r="FO65" s="61"/>
      <c r="FP65" s="65"/>
      <c r="FQ65" s="61"/>
      <c r="FR65" s="65"/>
      <c r="FS65" s="61"/>
      <c r="FT65" s="288">
        <f>FT57/FT49*100</f>
        <v>-9.0543798553442265</v>
      </c>
      <c r="FU65" s="61"/>
      <c r="FV65" s="288">
        <f>FV57/FV49*100</f>
        <v>-7.8386287625418065</v>
      </c>
      <c r="FW65" s="61"/>
      <c r="FX65" s="288">
        <f>FX57/FX49*100</f>
        <v>-7.3158569596808665</v>
      </c>
      <c r="FY65" s="61"/>
      <c r="FZ65" s="288">
        <f>FZ57/FZ49*100</f>
        <v>-6.0347531522489177</v>
      </c>
      <c r="GA65" s="61"/>
      <c r="GB65" s="288">
        <f>GB57/GB49*100</f>
        <v>-5.1722158438576349</v>
      </c>
      <c r="GC65" s="61"/>
      <c r="GD65" s="288">
        <f>GD57/GD49*100</f>
        <v>-4.5841157627305869</v>
      </c>
      <c r="GE65" s="61"/>
      <c r="GF65" s="288">
        <f>GF57/GF49*100</f>
        <v>-4.1164985356329318</v>
      </c>
      <c r="GG65" s="61">
        <f t="shared" si="376"/>
        <v>-10.200816281723057</v>
      </c>
      <c r="GH65" s="288">
        <f>GH57/GH49*100</f>
        <v>-3.7354463130659763</v>
      </c>
      <c r="GI65" s="61">
        <f t="shared" si="376"/>
        <v>-9.256707351369597</v>
      </c>
      <c r="GJ65" s="288">
        <f>GJ57/GJ49*100</f>
        <v>-3.3813836343175607</v>
      </c>
      <c r="GK65" s="61">
        <f t="shared" si="376"/>
        <v>-9.4784571661480577</v>
      </c>
      <c r="GL65" s="288">
        <f>GL57/GL49*100</f>
        <v>-3.0604758411068023</v>
      </c>
      <c r="GM65" s="61">
        <f t="shared" si="376"/>
        <v>-9.4904284137970922</v>
      </c>
      <c r="GN65" s="288">
        <f>GN57/GN49*100</f>
        <v>-3.8939309435684222</v>
      </c>
      <c r="GO65" s="61">
        <f t="shared" si="376"/>
        <v>27.232860043103813</v>
      </c>
      <c r="GP65" s="288">
        <f>GP57/GP49*100</f>
        <v>-4.2748091603053435</v>
      </c>
      <c r="GQ65" s="61">
        <f t="shared" si="376"/>
        <v>9.7813295165394507</v>
      </c>
      <c r="GR65" s="288">
        <f>GR57/GR49*100</f>
        <v>-3.9783669585531234</v>
      </c>
      <c r="GS65" s="61">
        <f t="shared" si="376"/>
        <v>-6.9346300767037183</v>
      </c>
      <c r="GT65" s="288">
        <f>GT57/GT49*100</f>
        <v>-3.7084104806783085</v>
      </c>
      <c r="GU65" s="61">
        <f t="shared" si="376"/>
        <v>-6.7856102940537788</v>
      </c>
      <c r="GV65" s="288">
        <f>GV57/GV49*100</f>
        <v>-3.4785985810449933</v>
      </c>
      <c r="GW65" s="61">
        <f t="shared" si="376"/>
        <v>-6.1970458996027933</v>
      </c>
      <c r="GX65" s="288">
        <f>GX57/GX49*100</f>
        <v>-3.2803218950218671</v>
      </c>
      <c r="GY65" s="61">
        <f t="shared" si="377"/>
        <v>-5.6999013080595962</v>
      </c>
      <c r="GZ65" s="61">
        <f>IF(ISERROR((GX65/GN65)^0.2),"",IF(OR((GX65/GN65)^0.2&lt;0.5,(GX65/GN65)^0.2&gt;2),"NM",((GX65/GN65)^0.2-1)*100))</f>
        <v>-3.3714097545666566</v>
      </c>
      <c r="HA65" s="61"/>
      <c r="HB65" s="452"/>
      <c r="HC65"/>
      <c r="HD65"/>
      <c r="HE65"/>
      <c r="HF65"/>
      <c r="HG65"/>
      <c r="HH65"/>
    </row>
    <row r="66" spans="2:216" s="5" customFormat="1" ht="12.75" customHeight="1" x14ac:dyDescent="0.2">
      <c r="B66" s="527"/>
      <c r="C66" s="66"/>
      <c r="D66" s="67"/>
      <c r="E66" s="66"/>
      <c r="F66" s="66"/>
      <c r="G66" s="64"/>
      <c r="H66" s="66"/>
      <c r="I66" s="64"/>
      <c r="J66" s="66"/>
      <c r="K66" s="64"/>
      <c r="L66" s="61"/>
      <c r="M66" s="66"/>
      <c r="N66" s="61"/>
      <c r="O66" s="64"/>
      <c r="P66" s="61"/>
      <c r="Q66" s="64"/>
      <c r="R66" s="61"/>
      <c r="S66" s="64"/>
      <c r="T66" s="61"/>
      <c r="U66" s="64"/>
      <c r="V66" s="61"/>
      <c r="W66" s="64"/>
      <c r="X66" s="61"/>
      <c r="Y66" s="64"/>
      <c r="Z66" s="61"/>
      <c r="AA66" s="64"/>
      <c r="AB66" s="61"/>
      <c r="AC66" s="64"/>
      <c r="AD66" s="61"/>
      <c r="AE66" s="64"/>
      <c r="AF66" s="61"/>
      <c r="AG66" s="64"/>
      <c r="AH66" s="61"/>
      <c r="AI66" s="64"/>
      <c r="AJ66" s="61"/>
      <c r="AK66" s="64"/>
      <c r="AL66" s="61"/>
      <c r="AM66" s="64"/>
      <c r="AN66" s="61"/>
      <c r="AO66" s="64"/>
      <c r="AP66" s="61"/>
      <c r="AQ66" s="64"/>
      <c r="AR66" s="61"/>
      <c r="AS66" s="64"/>
      <c r="AT66" s="61"/>
      <c r="AU66" s="64"/>
      <c r="AV66" s="61"/>
      <c r="AW66" s="64"/>
      <c r="AX66" s="61"/>
      <c r="AY66" s="64"/>
      <c r="AZ66" s="61"/>
      <c r="BA66" s="64"/>
      <c r="BB66" s="61"/>
      <c r="BC66" s="64"/>
      <c r="BD66" s="61"/>
      <c r="BE66" s="64"/>
      <c r="BF66" s="61"/>
      <c r="BG66" s="64"/>
      <c r="BH66" s="61"/>
      <c r="BI66" s="64"/>
      <c r="BJ66" s="61"/>
      <c r="BK66" s="64"/>
      <c r="BL66" s="61"/>
      <c r="BM66" s="64"/>
      <c r="BN66" s="61"/>
      <c r="BO66" s="64"/>
      <c r="BP66" s="61"/>
      <c r="BQ66" s="64"/>
      <c r="BR66" s="61"/>
      <c r="BS66" s="64"/>
      <c r="BT66" s="61"/>
      <c r="BU66" s="64"/>
      <c r="BV66" s="61"/>
      <c r="BW66" s="64"/>
      <c r="BX66" s="61"/>
      <c r="BY66" s="64"/>
      <c r="BZ66" s="61"/>
      <c r="CA66" s="64"/>
      <c r="CB66" s="61"/>
      <c r="CC66" s="64"/>
      <c r="CD66" s="61"/>
      <c r="CE66" s="64"/>
      <c r="CF66" s="61"/>
      <c r="CG66" s="64"/>
      <c r="CH66" s="61"/>
      <c r="CI66" s="64"/>
      <c r="CJ66" s="61"/>
      <c r="CK66" s="64"/>
      <c r="CL66" s="61"/>
      <c r="CM66" s="64"/>
      <c r="CN66" s="61"/>
      <c r="CO66" s="288"/>
      <c r="CP66" s="61"/>
      <c r="CQ66" s="288"/>
      <c r="CR66" s="61"/>
      <c r="CS66" s="288"/>
      <c r="CT66" s="61"/>
      <c r="CU66" s="288"/>
      <c r="CV66" s="61"/>
      <c r="CW66" s="288"/>
      <c r="CX66" s="61"/>
      <c r="CY66" s="288"/>
      <c r="CZ66" s="61"/>
      <c r="DA66" s="288"/>
      <c r="DB66" s="61"/>
      <c r="DC66" s="288"/>
      <c r="DD66" s="61"/>
      <c r="DE66" s="288"/>
      <c r="DF66" s="61"/>
      <c r="DG66" s="288"/>
      <c r="DH66" s="61"/>
      <c r="DI66" s="288"/>
      <c r="DJ66" s="61"/>
      <c r="DK66" s="288"/>
      <c r="DL66" s="61"/>
      <c r="DM66" s="288"/>
      <c r="DN66" s="61"/>
      <c r="DO66" s="288"/>
      <c r="DP66" s="61"/>
      <c r="DQ66" s="288"/>
      <c r="DR66" s="61"/>
      <c r="DS66" s="288"/>
      <c r="DT66" s="61"/>
      <c r="DU66" s="288"/>
      <c r="DV66" s="61"/>
      <c r="DW66" s="288"/>
      <c r="DX66" s="288"/>
      <c r="DY66" s="288"/>
      <c r="DZ66" s="61"/>
      <c r="EA66" s="288"/>
      <c r="EB66" s="61"/>
      <c r="EC66" s="288"/>
      <c r="ED66" s="61"/>
      <c r="EE66" s="288"/>
      <c r="EF66" s="61"/>
      <c r="EG66" s="288"/>
      <c r="EH66" s="61"/>
      <c r="EI66" s="288"/>
      <c r="EJ66" s="61"/>
      <c r="EK66" s="288"/>
      <c r="EL66" s="61"/>
      <c r="EM66" s="288"/>
      <c r="EN66" s="61"/>
      <c r="EO66" s="288"/>
      <c r="EP66" s="61"/>
      <c r="EQ66" s="549"/>
      <c r="ER66" s="61"/>
      <c r="ES66" s="549"/>
      <c r="ET66" s="61"/>
      <c r="EU66" s="549"/>
      <c r="EV66" s="61"/>
      <c r="EW66" s="549"/>
      <c r="EX66" s="61"/>
      <c r="EY66" s="64"/>
      <c r="EZ66" s="558"/>
      <c r="FA66" s="64"/>
      <c r="FB66" s="66"/>
      <c r="FC66" s="66"/>
      <c r="FD66" s="66"/>
      <c r="FE66" s="67"/>
      <c r="FF66" s="66"/>
      <c r="FG66" s="67"/>
      <c r="FH66" s="66"/>
      <c r="FI66" s="67"/>
      <c r="FJ66" s="66"/>
      <c r="FK66" s="67"/>
      <c r="FL66" s="66"/>
      <c r="FM66" s="61"/>
      <c r="FN66" s="66"/>
      <c r="FO66" s="61"/>
      <c r="FP66" s="65"/>
      <c r="FQ66" s="61"/>
      <c r="FR66" s="65"/>
      <c r="FS66" s="61"/>
      <c r="FT66" s="65"/>
      <c r="FU66" s="61"/>
      <c r="FV66" s="65"/>
      <c r="FW66" s="61"/>
      <c r="FX66" s="65"/>
      <c r="FY66" s="61"/>
      <c r="FZ66" s="65"/>
      <c r="GA66" s="61"/>
      <c r="GB66" s="65"/>
      <c r="GC66" s="61"/>
      <c r="GD66" s="288"/>
      <c r="GE66" s="61"/>
      <c r="GF66" s="65"/>
      <c r="GG66" s="61"/>
      <c r="GH66" s="65"/>
      <c r="GI66" s="61"/>
      <c r="GJ66" s="65"/>
      <c r="GK66" s="61"/>
      <c r="GL66" s="65"/>
      <c r="GM66" s="61"/>
      <c r="GN66" s="65"/>
      <c r="GO66" s="61"/>
      <c r="GP66" s="65"/>
      <c r="GQ66" s="61"/>
      <c r="GR66" s="64"/>
      <c r="GS66" s="61"/>
      <c r="GT66" s="64"/>
      <c r="GU66" s="61"/>
      <c r="GV66" s="64"/>
      <c r="GW66" s="61"/>
      <c r="GX66" s="64"/>
      <c r="GY66" s="61"/>
      <c r="GZ66" s="61"/>
      <c r="HA66" s="61"/>
      <c r="HB66" s="452"/>
      <c r="HC66"/>
      <c r="HD66"/>
      <c r="HE66"/>
      <c r="HF66"/>
      <c r="HG66"/>
      <c r="HH66"/>
    </row>
    <row r="67" spans="2:216" s="5" customFormat="1" ht="12.75" customHeight="1" x14ac:dyDescent="0.2">
      <c r="B67" s="63" t="s">
        <v>242</v>
      </c>
      <c r="C67" s="66"/>
      <c r="D67" s="67"/>
      <c r="E67" s="66"/>
      <c r="F67" s="66"/>
      <c r="G67" s="64"/>
      <c r="H67" s="66"/>
      <c r="I67" s="64"/>
      <c r="J67" s="66"/>
      <c r="K67" s="64"/>
      <c r="L67" s="61"/>
      <c r="M67" s="66"/>
      <c r="N67" s="61"/>
      <c r="O67" s="64"/>
      <c r="P67" s="61"/>
      <c r="Q67" s="64"/>
      <c r="R67" s="61"/>
      <c r="S67" s="64"/>
      <c r="T67" s="61"/>
      <c r="U67" s="64"/>
      <c r="V67" s="61"/>
      <c r="W67" s="64"/>
      <c r="X67" s="61"/>
      <c r="Y67" s="64"/>
      <c r="Z67" s="61"/>
      <c r="AA67" s="64"/>
      <c r="AB67" s="61"/>
      <c r="AC67" s="64"/>
      <c r="AD67" s="61"/>
      <c r="AE67" s="64"/>
      <c r="AF67" s="61"/>
      <c r="AG67" s="64"/>
      <c r="AH67" s="61"/>
      <c r="AI67" s="64"/>
      <c r="AJ67" s="61"/>
      <c r="AK67" s="64"/>
      <c r="AL67" s="61"/>
      <c r="AM67" s="64"/>
      <c r="AN67" s="61"/>
      <c r="AO67" s="64"/>
      <c r="AP67" s="61"/>
      <c r="AQ67" s="64"/>
      <c r="AR67" s="61"/>
      <c r="AS67" s="64"/>
      <c r="AT67" s="61"/>
      <c r="AU67" s="64"/>
      <c r="AV67" s="61"/>
      <c r="AW67" s="64"/>
      <c r="AX67" s="61"/>
      <c r="AY67" s="64"/>
      <c r="AZ67" s="61"/>
      <c r="BA67" s="64"/>
      <c r="BB67" s="61"/>
      <c r="BC67" s="64"/>
      <c r="BD67" s="61"/>
      <c r="BE67" s="64"/>
      <c r="BF67" s="61"/>
      <c r="BG67" s="64"/>
      <c r="BH67" s="61"/>
      <c r="BI67" s="64"/>
      <c r="BJ67" s="61"/>
      <c r="BK67" s="64"/>
      <c r="BL67" s="61"/>
      <c r="BM67" s="64"/>
      <c r="BN67" s="61"/>
      <c r="BO67" s="64"/>
      <c r="BP67" s="61"/>
      <c r="BQ67" s="64"/>
      <c r="BR67" s="61"/>
      <c r="BS67" s="64"/>
      <c r="BT67" s="61"/>
      <c r="BU67" s="64"/>
      <c r="BV67" s="61"/>
      <c r="BW67" s="64"/>
      <c r="BX67" s="61"/>
      <c r="BY67" s="64"/>
      <c r="BZ67" s="61"/>
      <c r="CA67" s="64"/>
      <c r="CB67" s="61"/>
      <c r="CC67" s="64"/>
      <c r="CD67" s="61"/>
      <c r="CE67" s="64"/>
      <c r="CF67" s="61"/>
      <c r="CG67" s="64"/>
      <c r="CH67" s="61"/>
      <c r="CI67" s="64"/>
      <c r="CJ67" s="61"/>
      <c r="CK67" s="64"/>
      <c r="CL67" s="61"/>
      <c r="CM67" s="64"/>
      <c r="CN67" s="61"/>
      <c r="CO67" s="64"/>
      <c r="CP67" s="61"/>
      <c r="CQ67" s="64"/>
      <c r="CR67" s="61"/>
      <c r="CS67" s="64"/>
      <c r="CT67" s="61"/>
      <c r="CU67" s="64"/>
      <c r="CV67" s="61"/>
      <c r="CW67" s="64"/>
      <c r="CX67" s="61"/>
      <c r="CY67" s="64"/>
      <c r="CZ67" s="61"/>
      <c r="DA67" s="64"/>
      <c r="DB67" s="61"/>
      <c r="DC67" s="64"/>
      <c r="DD67" s="61"/>
      <c r="DE67" s="64"/>
      <c r="DF67" s="61"/>
      <c r="DG67" s="64"/>
      <c r="DH67" s="61"/>
      <c r="DI67" s="64"/>
      <c r="DJ67" s="61"/>
      <c r="DK67" s="64"/>
      <c r="DL67" s="61"/>
      <c r="DM67" s="64"/>
      <c r="DN67" s="61"/>
      <c r="DO67" s="64"/>
      <c r="DP67" s="61"/>
      <c r="DQ67" s="64"/>
      <c r="DR67" s="61"/>
      <c r="DS67" s="64"/>
      <c r="DT67" s="61"/>
      <c r="DU67" s="64"/>
      <c r="DV67" s="61"/>
      <c r="DW67" s="64"/>
      <c r="DX67" s="64"/>
      <c r="DY67" s="64"/>
      <c r="DZ67" s="61"/>
      <c r="EA67" s="64"/>
      <c r="EB67" s="61"/>
      <c r="EC67" s="64"/>
      <c r="ED67" s="61"/>
      <c r="EE67" s="64"/>
      <c r="EF67" s="61"/>
      <c r="EG67" s="64"/>
      <c r="EH67" s="61"/>
      <c r="EI67" s="64"/>
      <c r="EJ67" s="61"/>
      <c r="EK67" s="64"/>
      <c r="EL67" s="61"/>
      <c r="EM67" s="64"/>
      <c r="EN67" s="61"/>
      <c r="EO67" s="64"/>
      <c r="EP67" s="61"/>
      <c r="EQ67" s="64"/>
      <c r="ER67" s="61"/>
      <c r="ES67" s="64"/>
      <c r="ET67" s="61"/>
      <c r="EU67" s="64"/>
      <c r="EV67" s="61"/>
      <c r="EW67" s="64"/>
      <c r="EX67" s="61"/>
      <c r="EY67" s="64"/>
      <c r="EZ67" s="558"/>
      <c r="FA67" s="64"/>
      <c r="FB67" s="66"/>
      <c r="FC67" s="66"/>
      <c r="FD67" s="66"/>
      <c r="FE67" s="67"/>
      <c r="FF67" s="66"/>
      <c r="FG67" s="67"/>
      <c r="FH67" s="66"/>
      <c r="FI67" s="67"/>
      <c r="FJ67" s="66"/>
      <c r="FK67" s="67"/>
      <c r="FL67" s="66"/>
      <c r="FM67" s="61"/>
      <c r="FN67" s="66"/>
      <c r="FO67" s="61"/>
      <c r="FP67" s="65"/>
      <c r="FQ67" s="61"/>
      <c r="FR67" s="65"/>
      <c r="FS67" s="61"/>
      <c r="FT67" s="65"/>
      <c r="FU67" s="61"/>
      <c r="FV67" s="65"/>
      <c r="FW67" s="61"/>
      <c r="FX67" s="65"/>
      <c r="FY67" s="61"/>
      <c r="FZ67" s="65"/>
      <c r="GA67" s="61"/>
      <c r="GB67" s="65"/>
      <c r="GC67" s="61"/>
      <c r="GD67" s="65"/>
      <c r="GE67" s="61"/>
      <c r="GF67" s="65"/>
      <c r="GG67" s="61"/>
      <c r="GH67" s="65"/>
      <c r="GI67" s="61"/>
      <c r="GJ67" s="65"/>
      <c r="GK67" s="61"/>
      <c r="GL67" s="65"/>
      <c r="GM67" s="61"/>
      <c r="GN67" s="65"/>
      <c r="GO67" s="61"/>
      <c r="GP67" s="65"/>
      <c r="GQ67" s="61"/>
      <c r="GR67" s="64"/>
      <c r="GS67" s="61"/>
      <c r="GT67" s="64"/>
      <c r="GU67" s="61"/>
      <c r="GV67" s="64"/>
      <c r="GW67" s="61"/>
      <c r="GX67" s="64"/>
      <c r="GY67" s="61"/>
      <c r="GZ67" s="61" t="str">
        <f t="shared" ref="GZ67:GZ76" si="405">IF(ISERROR((GX67/GN67)^0.2),"",IF(OR((GX67/GN67)^0.2&lt;0.5,(GX67/GN67)^0.2&gt;2),"NM",((GX67/GN67)^0.2-1)*100))</f>
        <v/>
      </c>
      <c r="HA67" s="61"/>
      <c r="HB67" s="452"/>
      <c r="HC67"/>
      <c r="HD67"/>
      <c r="HE67"/>
      <c r="HF67"/>
      <c r="HG67"/>
      <c r="HH67"/>
    </row>
    <row r="68" spans="2:216" s="5" customFormat="1" ht="12.75" customHeight="1" x14ac:dyDescent="0.2">
      <c r="B68" s="241" t="s">
        <v>236</v>
      </c>
      <c r="C68" s="66"/>
      <c r="D68" s="67"/>
      <c r="E68" s="66"/>
      <c r="F68" s="66"/>
      <c r="G68" s="64"/>
      <c r="H68" s="66"/>
      <c r="I68" s="64"/>
      <c r="J68" s="66"/>
      <c r="K68" s="64"/>
      <c r="L68" s="61"/>
      <c r="M68" s="66"/>
      <c r="N68" s="61"/>
      <c r="O68" s="64"/>
      <c r="P68" s="61"/>
      <c r="Q68" s="64"/>
      <c r="R68" s="61"/>
      <c r="S68" s="64"/>
      <c r="T68" s="61"/>
      <c r="U68" s="64"/>
      <c r="V68" s="61"/>
      <c r="W68" s="64"/>
      <c r="X68" s="61"/>
      <c r="Y68" s="64"/>
      <c r="Z68" s="61"/>
      <c r="AA68" s="64"/>
      <c r="AB68" s="61"/>
      <c r="AC68" s="64"/>
      <c r="AD68" s="61"/>
      <c r="AE68" s="64"/>
      <c r="AF68" s="61"/>
      <c r="AG68" s="64"/>
      <c r="AH68" s="61"/>
      <c r="AI68" s="64"/>
      <c r="AJ68" s="61"/>
      <c r="AK68" s="64"/>
      <c r="AL68" s="61"/>
      <c r="AM68" s="64"/>
      <c r="AN68" s="61"/>
      <c r="AO68" s="64"/>
      <c r="AP68" s="61"/>
      <c r="AQ68" s="64"/>
      <c r="AR68" s="61"/>
      <c r="AS68" s="64"/>
      <c r="AT68" s="61"/>
      <c r="AU68" s="64"/>
      <c r="AV68" s="61"/>
      <c r="AW68" s="64"/>
      <c r="AX68" s="61"/>
      <c r="AY68" s="64"/>
      <c r="AZ68" s="61"/>
      <c r="BA68" s="64"/>
      <c r="BB68" s="61"/>
      <c r="BC68" s="64"/>
      <c r="BD68" s="61"/>
      <c r="BE68" s="64"/>
      <c r="BF68" s="61"/>
      <c r="BG68" s="69">
        <f>BG28+BG49</f>
        <v>66714</v>
      </c>
      <c r="BH68" s="61" t="str">
        <f t="shared" ref="BH68:BH79" si="406">IF(ISERROR((BG68/AY68-1)*100),"NA",IF(((BG68/AY68-1)*100)&gt;100,"NM",IF(((BG68/AY68-1)*100)&lt;-50,"NM",(BG68/AY68-1)*100)))</f>
        <v>NA</v>
      </c>
      <c r="BI68" s="69">
        <f>BI28+BI49</f>
        <v>68438</v>
      </c>
      <c r="BJ68" s="61" t="str">
        <f t="shared" ref="BJ68:BJ76" si="407">IF(ISERROR((BI68/BA68-1)*100),"NA",IF(((BI68/BA68-1)*100)&gt;100,"NM",IF(((BI68/BA68-1)*100)&lt;-50,"NM",(BI68/BA68-1)*100)))</f>
        <v>NA</v>
      </c>
      <c r="BK68" s="69">
        <f>BK28+BK49</f>
        <v>73039</v>
      </c>
      <c r="BL68" s="61" t="str">
        <f t="shared" ref="BL68:BL76" si="408">IF(ISERROR((BK68/BC68-1)*100),"NA",IF(((BK68/BC68-1)*100)&gt;100,"NM",IF(((BK68/BC68-1)*100)&lt;-50,"NM",(BK68/BC68-1)*100)))</f>
        <v>NA</v>
      </c>
      <c r="BM68" s="69">
        <f>BM28+BM49</f>
        <v>76107</v>
      </c>
      <c r="BN68" s="61" t="str">
        <f t="shared" ref="BN68:BN76" si="409">IF(ISERROR((BM68/BE68-1)*100),"NA",IF(((BM68/BE68-1)*100)&gt;100,"NM",IF(((BM68/BE68-1)*100)&lt;-50,"NM",(BM68/BE68-1)*100)))</f>
        <v>NA</v>
      </c>
      <c r="BO68" s="69">
        <f>BO28+BO49</f>
        <v>76464</v>
      </c>
      <c r="BP68" s="61">
        <f t="shared" ref="BP68:BP76" si="410">IF(ISERROR((BO68/BG68-1)*100),"NA",IF(((BO68/BG68-1)*100)&gt;100,"NM",IF(((BO68/BG68-1)*100)&lt;-50,"NM",(BO68/BG68-1)*100)))</f>
        <v>14.614623617231759</v>
      </c>
      <c r="BQ68" s="69">
        <f>BQ28+BQ49</f>
        <v>72667</v>
      </c>
      <c r="BR68" s="61">
        <f t="shared" ref="BR68:BR76" si="411">IF(ISERROR((BQ68/BI68-1)*100),"NA",IF(((BQ68/BI68-1)*100)&gt;100,"NM",IF(((BQ68/BI68-1)*100)&lt;-50,"NM",(BQ68/BI68-1)*100)))</f>
        <v>6.179315584908962</v>
      </c>
      <c r="BS68" s="69">
        <f>BS28+BS49</f>
        <v>73654</v>
      </c>
      <c r="BT68" s="61">
        <f t="shared" ref="BT68:BT76" si="412">IF(ISERROR((BS68/BK68-1)*100),"NA",IF(((BS68/BK68-1)*100)&gt;100,"NM",IF(((BS68/BK68-1)*100)&lt;-50,"NM",(BS68/BK68-1)*100)))</f>
        <v>0.84201590930872428</v>
      </c>
      <c r="BU68" s="69">
        <f>BU28+BU49</f>
        <v>67671</v>
      </c>
      <c r="BV68" s="61">
        <f t="shared" ref="BV68:BV76" si="413">IF(ISERROR((BU68/BM68-1)*100),"NA",IF(((BU68/BM68-1)*100)&gt;100,"NM",IF(((BU68/BM68-1)*100)&lt;-50,"NM",(BU68/BM68-1)*100)))</f>
        <v>-11.084394339548265</v>
      </c>
      <c r="BW68" s="69">
        <f>BW28+BW49</f>
        <v>58580</v>
      </c>
      <c r="BX68" s="61">
        <f t="shared" ref="BX68:BX76" si="414">IF(ISERROR((BW68/BO68-1)*100),"NA",IF(((BW68/BO68-1)*100)&gt;100,"NM",IF(((BW68/BO68-1)*100)&lt;-50,"NM",(BW68/BO68-1)*100)))</f>
        <v>-23.388784264490482</v>
      </c>
      <c r="BY68" s="69">
        <f>BY28+BY49</f>
        <v>57154</v>
      </c>
      <c r="BZ68" s="61">
        <f t="shared" ref="BZ68:BZ76" si="415">IF(ISERROR((BY68/BQ68-1)*100),"NA",IF(((BY68/BQ68-1)*100)&gt;100,"NM",IF(((BY68/BQ68-1)*100)&lt;-50,"NM",(BY68/BQ68-1)*100)))</f>
        <v>-21.348067210700872</v>
      </c>
      <c r="CA68" s="69">
        <f>CA28+CA49</f>
        <v>64119</v>
      </c>
      <c r="CB68" s="61">
        <f t="shared" ref="CB68:CB76" si="416">IF(ISERROR((CA68/BS68-1)*100),"NA",IF(((CA68/BS68-1)*100)&gt;100,"NM",IF(((CA68/BS68-1)*100)&lt;-50,"NM",(CA68/BS68-1)*100)))</f>
        <v>-12.945664865451977</v>
      </c>
      <c r="CC68" s="69">
        <f>CC28+CC49</f>
        <v>72195</v>
      </c>
      <c r="CD68" s="61">
        <f t="shared" ref="CD68:CD76" si="417">IF(ISERROR((CC68/BU68-1)*100),"NA",IF(((CC68/BU68-1)*100)&gt;100,"NM",IF(((CC68/BU68-1)*100)&lt;-50,"NM",(CC68/BU68-1)*100)))</f>
        <v>6.6852861639402406</v>
      </c>
      <c r="CE68" s="69">
        <f>CE28+CE49</f>
        <v>75308</v>
      </c>
      <c r="CF68" s="61">
        <f t="shared" ref="CF68:CF76" si="418">IF(ISERROR((CE68/BW68-1)*100),"NA",IF(((CE68/BW68-1)*100)&gt;100,"NM",IF(((CE68/BW68-1)*100)&lt;-50,"NM",(CE68/BW68-1)*100)))</f>
        <v>28.555821099351309</v>
      </c>
      <c r="CG68" s="69">
        <f>CG28+CG49</f>
        <v>77857</v>
      </c>
      <c r="CH68" s="61">
        <f t="shared" ref="CH68:CH76" si="419">IF(ISERROR((CG68/BY68-1)*100),"NA",IF(((CG68/BY68-1)*100)&gt;100,"NM",IF(((CG68/BY68-1)*100)&lt;-50,"NM",(CG68/BY68-1)*100)))</f>
        <v>36.22318647863667</v>
      </c>
      <c r="CI68" s="69">
        <f>CI28+CI49</f>
        <v>74318</v>
      </c>
      <c r="CJ68" s="61">
        <f t="shared" ref="CJ68:CJ76" si="420">IF(ISERROR((CI68/CA68-1)*100),"NA",IF(((CI68/CA68-1)*100)&gt;100,"NM",IF(((CI68/CA68-1)*100)&lt;-50,"NM",(CI68/CA68-1)*100)))</f>
        <v>15.906361608883479</v>
      </c>
      <c r="CK68" s="69">
        <f>CK28+CK49</f>
        <v>81207</v>
      </c>
      <c r="CL68" s="61">
        <f t="shared" ref="CL68:CL76" si="421">IF(ISERROR((CK68/CC68-1)*100),"NA",IF(((CK68/CC68-1)*100)&gt;100,"NM",IF(((CK68/CC68-1)*100)&lt;-50,"NM",(CK68/CC68-1)*100)))</f>
        <v>12.482858923748186</v>
      </c>
      <c r="CM68" s="69">
        <f>CM28+CM49</f>
        <v>85810</v>
      </c>
      <c r="CN68" s="61">
        <f t="shared" ref="CN68:CN76" si="422">IF(ISERROR((CM68/CE68-1)*100),"NA",IF(((CM68/CE68-1)*100)&gt;100,"NM",IF(((CM68/CE68-1)*100)&lt;-50,"NM",(CM68/CE68-1)*100)))</f>
        <v>13.945397567323514</v>
      </c>
      <c r="CO68" s="69">
        <f>CO28+CO49</f>
        <v>88734</v>
      </c>
      <c r="CP68" s="61">
        <f t="shared" ref="CP68:DJ76" si="423">IF(ISERROR((CO68/CG68-1)*100),"NA",IF(((CO68/CG68-1)*100)&gt;100,"NM",IF(((CO68/CG68-1)*100)&lt;-50,"NM",(CO68/CG68-1)*100)))</f>
        <v>13.970484349512557</v>
      </c>
      <c r="CQ68" s="69">
        <f>CQ28+CQ49</f>
        <v>89775</v>
      </c>
      <c r="CR68" s="61">
        <f t="shared" si="423"/>
        <v>20.79846066901694</v>
      </c>
      <c r="CS68" s="69">
        <f>CS28+CS49</f>
        <v>82149</v>
      </c>
      <c r="CT68" s="61">
        <f t="shared" si="423"/>
        <v>1.1599985222948694</v>
      </c>
      <c r="CU68" s="69">
        <f>CU28+CU49</f>
        <v>86436</v>
      </c>
      <c r="CV68" s="61">
        <f t="shared" si="423"/>
        <v>0.72951870411372965</v>
      </c>
      <c r="CW68" s="69">
        <f>CW28+CW49</f>
        <v>92552</v>
      </c>
      <c r="CX68" s="61">
        <f t="shared" si="423"/>
        <v>4.3027475375842394</v>
      </c>
      <c r="CY68" s="69">
        <f>CY28+CY49</f>
        <v>91249</v>
      </c>
      <c r="CZ68" s="61">
        <f t="shared" si="423"/>
        <v>1.6418824839877555</v>
      </c>
      <c r="DA68" s="69">
        <f>DA28+DA49</f>
        <v>95043</v>
      </c>
      <c r="DB68" s="61">
        <f t="shared" si="423"/>
        <v>15.695869700178932</v>
      </c>
      <c r="DC68" s="69">
        <f>DC28+DC49</f>
        <v>97344</v>
      </c>
      <c r="DD68" s="61">
        <f t="shared" si="423"/>
        <v>12.619741774260728</v>
      </c>
      <c r="DE68" s="69">
        <f>DE28+DE49</f>
        <v>102226</v>
      </c>
      <c r="DF68" s="61">
        <f t="shared" si="423"/>
        <v>10.452502377042094</v>
      </c>
      <c r="DG68" s="69">
        <f>DG28+DG49</f>
        <v>103889</v>
      </c>
      <c r="DH68" s="61">
        <f t="shared" si="423"/>
        <v>13.852206599524376</v>
      </c>
      <c r="DI68" s="69">
        <f>DI28+DI49</f>
        <v>109478</v>
      </c>
      <c r="DJ68" s="61">
        <f t="shared" si="423"/>
        <v>15.187862335995295</v>
      </c>
      <c r="DK68" s="69">
        <f>DK28+DK49</f>
        <v>115850</v>
      </c>
      <c r="DL68" s="61">
        <f t="shared" ref="DL68:DL76" si="424">IF(ISERROR((DK68/DC68-1)*100),"NA",IF(((DK68/DC68-1)*100)&gt;100,"NM",IF(((DK68/DC68-1)*100)&lt;-50,"NM",(DK68/DC68-1)*100)))</f>
        <v>19.010930309007222</v>
      </c>
      <c r="DM68" s="69">
        <f>DM28+DM49</f>
        <v>117528</v>
      </c>
      <c r="DN68" s="130">
        <f t="shared" ref="DN68:DZ76" si="425">IF(ISERROR((DM68/DE68-1)*100),"NA",IF(((DM68/DE68-1)*100)&gt;100,"NM",IF(((DM68/DE68-1)*100)&lt;-50,"NM",(DM68/DE68-1)*100)))</f>
        <v>14.968794631502757</v>
      </c>
      <c r="DO68" s="69">
        <f>DO28+DO49</f>
        <v>121918</v>
      </c>
      <c r="DP68" s="130">
        <f t="shared" si="425"/>
        <v>17.354099086525032</v>
      </c>
      <c r="DQ68" s="69">
        <f>DQ28+DQ49</f>
        <v>120984</v>
      </c>
      <c r="DR68" s="130">
        <f t="shared" si="425"/>
        <v>10.509874129962181</v>
      </c>
      <c r="DS68" s="69">
        <f>DS28+DS49</f>
        <v>122734</v>
      </c>
      <c r="DT68" s="130">
        <f t="shared" si="425"/>
        <v>5.9421665947345659</v>
      </c>
      <c r="DU68" s="69">
        <f>DU28+DU49</f>
        <v>124930</v>
      </c>
      <c r="DV68" s="130">
        <f t="shared" si="425"/>
        <v>6.2980736505343415</v>
      </c>
      <c r="DW68" s="69">
        <f>DW28+DW49</f>
        <v>125197</v>
      </c>
      <c r="DX68" s="69">
        <f t="shared" ref="DX68:DY68" si="426">DX28+DX49</f>
        <v>1.9791092678919653</v>
      </c>
      <c r="DY68" s="69">
        <f t="shared" si="426"/>
        <v>119253</v>
      </c>
      <c r="DZ68" s="130">
        <f t="shared" si="425"/>
        <v>-1.4307677048204681</v>
      </c>
      <c r="EA68" s="69">
        <f t="shared" ref="EA68:EC68" si="427">EA28+EA49</f>
        <v>122228</v>
      </c>
      <c r="EB68" s="130">
        <f t="shared" ref="EB68:EB76" si="428">IF(ISERROR((EA68/DS68-1)*100),"NA",IF(((EA68/DS68-1)*100)&gt;100,"NM",IF(((EA68/DS68-1)*100)&lt;-50,"NM",(EA68/DS68-1)*100)))</f>
        <v>-0.4122736975899044</v>
      </c>
      <c r="EC68" s="69">
        <f t="shared" si="427"/>
        <v>122351</v>
      </c>
      <c r="ED68" s="130">
        <f t="shared" ref="ED68:ED76" si="429">IF(ISERROR((EC68/DU68-1)*100),"NA",IF(((EC68/DU68-1)*100)&gt;100,"NM",IF(((EC68/DU68-1)*100)&lt;-50,"NM",(EC68/DU68-1)*100)))</f>
        <v>-2.0643560393820537</v>
      </c>
      <c r="EE68" s="69">
        <f t="shared" ref="EE68:EG68" si="430">EE28+EE49</f>
        <v>123459</v>
      </c>
      <c r="EF68" s="130">
        <f t="shared" ref="EF68:EF76" si="431">IF(ISERROR((EE68/DW68-1)*100),"NA",IF(((EE68/DW68-1)*100)&gt;100,"NM",IF(((EE68/DW68-1)*100)&lt;-50,"NM",(EE68/DW68-1)*100)))</f>
        <v>-1.3882121776080947</v>
      </c>
      <c r="EG68" s="69">
        <f t="shared" si="430"/>
        <v>126107</v>
      </c>
      <c r="EH68" s="130">
        <f t="shared" ref="EH68:EH76" si="432">IF(ISERROR((EG68/DY68-1)*100),"NA",IF(((EG68/DY68-1)*100)&gt;100,"NM",IF(((EG68/DY68-1)*100)&lt;-50,"NM",(EG68/DY68-1)*100)))</f>
        <v>5.7474445087335235</v>
      </c>
      <c r="EI68" s="69">
        <f t="shared" ref="EI68:EK68" si="433">EI28+EI49</f>
        <v>125489</v>
      </c>
      <c r="EJ68" s="130">
        <f t="shared" ref="EJ68:EJ76" si="434">IF(ISERROR((EI68/EA68-1)*100),"NA",IF(((EI68/EA68-1)*100)&gt;100,"NM",IF(((EI68/EA68-1)*100)&lt;-50,"NM",(EI68/EA68-1)*100)))</f>
        <v>2.6679647871191481</v>
      </c>
      <c r="EK68" s="69">
        <f t="shared" si="433"/>
        <v>129502</v>
      </c>
      <c r="EL68" s="130">
        <f t="shared" ref="EL68:EL76" si="435">IF(ISERROR((EK68/EC68-1)*100),"NA",IF(((EK68/EC68-1)*100)&gt;100,"NM",IF(((EK68/EC68-1)*100)&lt;-50,"NM",(EK68/EC68-1)*100)))</f>
        <v>5.8446600354717271</v>
      </c>
      <c r="EM68" s="69">
        <f t="shared" ref="EM68" si="436">EM28+EM49</f>
        <v>131591</v>
      </c>
      <c r="EN68" s="130">
        <f t="shared" ref="EN68:EN76" si="437">IF(ISERROR((EM68/EE68-1)*100),"NA",IF(((EM68/EE68-1)*100)&gt;100,"NM",IF(((EM68/EE68-1)*100)&lt;-50,"NM",(EM68/EE68-1)*100)))</f>
        <v>6.5868020962424723</v>
      </c>
      <c r="EO68" s="69">
        <f t="shared" ref="EO68:EO69" si="438">EO28+EO49</f>
        <v>134284</v>
      </c>
      <c r="EP68" s="130">
        <f t="shared" ref="EP68:EP76" si="439">IF(ISERROR((EO68/EG68-1)*100),"NA",IF(((EO68/EG68-1)*100)&gt;100,"NM",IF(((EO68/EG68-1)*100)&lt;-50,"NM",(EO68/EG68-1)*100)))</f>
        <v>6.4841761361383643</v>
      </c>
      <c r="EQ68" s="69">
        <f t="shared" ref="EQ68:EW68" si="440">EQ28+EQ49</f>
        <v>137784</v>
      </c>
      <c r="ER68" s="130">
        <f t="shared" ref="ER68:ER76" si="441">IF(ISERROR((EQ68/EI68-1)*100),"NA",IF(((EQ68/EI68-1)*100)&gt;100,"NM",IF(((EQ68/EI68-1)*100)&lt;-50,"NM",(EQ68/EI68-1)*100)))</f>
        <v>9.7976715090565705</v>
      </c>
      <c r="ES68" s="69">
        <f t="shared" si="440"/>
        <v>136658.01922669448</v>
      </c>
      <c r="ET68" s="130">
        <f t="shared" ref="ET68:ET76" si="442">IF(ISERROR((ES68/EK68-1)*100),"NA",IF(((ES68/EK68-1)*100)&gt;100,"NM",IF(((ES68/EK68-1)*100)&lt;-50,"NM",(ES68/EK68-1)*100)))</f>
        <v>5.5257982322238108</v>
      </c>
      <c r="EU68" s="69">
        <f t="shared" si="440"/>
        <v>138026.46907662234</v>
      </c>
      <c r="EV68" s="130">
        <f t="shared" ref="EV68:EV76" si="443">IF(ISERROR((EU68/EM68-1)*100),"NA",IF(((EU68/EM68-1)*100)&gt;100,"NM",IF(((EU68/EM68-1)*100)&lt;-50,"NM",(EU68/EM68-1)*100)))</f>
        <v>4.890508527651849</v>
      </c>
      <c r="EW68" s="69">
        <f t="shared" si="440"/>
        <v>139654.62932689846</v>
      </c>
      <c r="EX68" s="130">
        <f t="shared" ref="EX68:EX76" si="444">IF(ISERROR((EW68/EO68-1)*100),"NA",IF(((EW68/EO68-1)*100)&gt;100,"NM",IF(((EW68/EO68-1)*100)&lt;-50,"NM",(EW68/EO68-1)*100)))</f>
        <v>3.999455874786606</v>
      </c>
      <c r="EY68" s="64"/>
      <c r="EZ68" s="558"/>
      <c r="FA68" s="64"/>
      <c r="FB68" s="66"/>
      <c r="FC68" s="66"/>
      <c r="FD68" s="66"/>
      <c r="FE68" s="67"/>
      <c r="FF68" s="66"/>
      <c r="FG68" s="67"/>
      <c r="FH68" s="66"/>
      <c r="FI68" s="67"/>
      <c r="FJ68" s="66"/>
      <c r="FK68" s="67"/>
      <c r="FL68" s="66"/>
      <c r="FM68" s="61"/>
      <c r="FN68" s="66"/>
      <c r="FO68" s="61"/>
      <c r="FP68" s="65"/>
      <c r="FQ68" s="61"/>
      <c r="FR68" s="65"/>
      <c r="FS68" s="61"/>
      <c r="FT68" s="69">
        <f>FT28+FT49</f>
        <v>66714</v>
      </c>
      <c r="FU68" s="61" t="str">
        <f t="shared" ref="FU68:FU79" si="445">IF(ISERROR((FT68/FR68-1)*100),"NA",IF(((FT68/FR68-1)*100)&gt;100,"NM",IF(((FT68/FR68-1)*100)&lt;-50,"NM",(FT68/FR68-1)*100)))</f>
        <v>NA</v>
      </c>
      <c r="FV68" s="69">
        <f>FV28+FV49</f>
        <v>76464</v>
      </c>
      <c r="FW68" s="61">
        <f t="shared" ref="FW68:FW76" si="446">IF(ISERROR((FV68/FT68-1)*100),"NA",IF(((FV68/FT68-1)*100)&gt;100,"NM",IF(((FV68/FT68-1)*100)&lt;-50,"NM",(FV68/FT68-1)*100)))</f>
        <v>14.614623617231759</v>
      </c>
      <c r="FX68" s="69">
        <f>FX28+FX49</f>
        <v>58580</v>
      </c>
      <c r="FY68" s="61">
        <f t="shared" ref="FY68:FY76" si="447">IF(ISERROR((FX68/FV68-1)*100),"NA",IF(((FX68/FV68-1)*100)&gt;100,"NM",IF(((FX68/FV68-1)*100)&lt;-50,"NM",(FX68/FV68-1)*100)))</f>
        <v>-23.388784264490482</v>
      </c>
      <c r="FZ68" s="69">
        <f>FZ28+FZ49</f>
        <v>75308</v>
      </c>
      <c r="GA68" s="61">
        <f t="shared" ref="GA68:GA76" si="448">IF(ISERROR((FZ68/FX68-1)*100),"NA",IF(((FZ68/FX68-1)*100)&gt;100,"NM",IF(((FZ68/FX68-1)*100)&lt;-50,"NM",(FZ68/FX68-1)*100)))</f>
        <v>28.555821099351309</v>
      </c>
      <c r="GB68" s="69">
        <f>GB28+GB49</f>
        <v>85810</v>
      </c>
      <c r="GC68" s="61">
        <f t="shared" ref="GC68:GC76" si="449">IF(ISERROR((GB68/FZ68-1)*100),"NA",IF(((GB68/FZ68-1)*100)&gt;100,"NM",IF(((GB68/FZ68-1)*100)&lt;-50,"NM",(GB68/FZ68-1)*100)))</f>
        <v>13.945397567323514</v>
      </c>
      <c r="GD68" s="69">
        <f>GD28+GD49</f>
        <v>86436</v>
      </c>
      <c r="GE68" s="61">
        <f t="shared" ref="GE68:GE76" si="450">IF(ISERROR((GD68/GB68-1)*100),"NA",IF(((GD68/GB68-1)*100)&gt;100,"NM",IF(((GD68/GB68-1)*100)&lt;-50,"NM",(GD68/GB68-1)*100)))</f>
        <v>0.72951870411372965</v>
      </c>
      <c r="GF68" s="69">
        <f>GF28+GF49</f>
        <v>97344</v>
      </c>
      <c r="GG68" s="61">
        <f t="shared" ref="GG68:GW76" si="451">IF(ISERROR((GF68/GD68-1)*100),"NA",IF(((GF68/GD68-1)*100)&gt;100,"NM",IF(((GF68/GD68-1)*100)&lt;-50,"NM",(GF68/GD68-1)*100)))</f>
        <v>12.619741774260728</v>
      </c>
      <c r="GH68" s="69">
        <f>GH28+GH49</f>
        <v>115850</v>
      </c>
      <c r="GI68" s="61">
        <f t="shared" si="451"/>
        <v>19.010930309007222</v>
      </c>
      <c r="GJ68" s="69">
        <f>GJ28+GJ49</f>
        <v>122734</v>
      </c>
      <c r="GK68" s="61">
        <f t="shared" si="451"/>
        <v>5.9421665947345659</v>
      </c>
      <c r="GL68" s="69">
        <f>GL28+GL49</f>
        <v>122228</v>
      </c>
      <c r="GM68" s="61">
        <f t="shared" si="451"/>
        <v>-0.4122736975899044</v>
      </c>
      <c r="GN68" s="69">
        <f>GN28+GN49</f>
        <v>125489</v>
      </c>
      <c r="GO68" s="61">
        <f t="shared" si="451"/>
        <v>2.6679647871191481</v>
      </c>
      <c r="GP68" s="69">
        <f>GP28+GP49</f>
        <v>137784</v>
      </c>
      <c r="GQ68" s="61">
        <f t="shared" si="451"/>
        <v>9.7976715090565705</v>
      </c>
      <c r="GR68" s="69">
        <f>GR28+GR49</f>
        <v>141549.88504574614</v>
      </c>
      <c r="GS68" s="61">
        <f t="shared" si="451"/>
        <v>2.7331802282893003</v>
      </c>
      <c r="GT68" s="69">
        <f>GT28+GT49</f>
        <v>149764.69676589785</v>
      </c>
      <c r="GU68" s="61">
        <f t="shared" si="451"/>
        <v>5.8034746672502413</v>
      </c>
      <c r="GV68" s="69">
        <f>GV28+GV49</f>
        <v>158936.11242224992</v>
      </c>
      <c r="GW68" s="61">
        <f t="shared" si="451"/>
        <v>6.1238835682939419</v>
      </c>
      <c r="GX68" s="69">
        <f>GX28+GX49</f>
        <v>169199.49938737834</v>
      </c>
      <c r="GY68" s="61">
        <f t="shared" ref="GY68:GY76" si="452">IF(ISERROR((GX68/GV68-1)*100),"NA",IF(((GX68/GV68-1)*100)&gt;100,"NM",IF(((GX68/GV68-1)*100)&lt;-50,"NM",(GX68/GV68-1)*100)))</f>
        <v>6.4575550570039164</v>
      </c>
      <c r="GZ68" s="61">
        <f t="shared" si="405"/>
        <v>6.1594556756982888</v>
      </c>
      <c r="HA68" s="61"/>
      <c r="HB68" s="452"/>
      <c r="HC68"/>
      <c r="HD68"/>
      <c r="HE68"/>
      <c r="HF68"/>
      <c r="HG68"/>
      <c r="HH68"/>
    </row>
    <row r="69" spans="2:216" s="5" customFormat="1" ht="12.75" customHeight="1" x14ac:dyDescent="0.2">
      <c r="B69" s="93" t="s">
        <v>156</v>
      </c>
      <c r="C69" s="66"/>
      <c r="D69" s="67"/>
      <c r="E69" s="66"/>
      <c r="F69" s="66"/>
      <c r="G69" s="64"/>
      <c r="H69" s="66"/>
      <c r="I69" s="64"/>
      <c r="J69" s="66"/>
      <c r="K69" s="64"/>
      <c r="L69" s="61"/>
      <c r="M69" s="66"/>
      <c r="N69" s="61"/>
      <c r="O69" s="64"/>
      <c r="P69" s="61"/>
      <c r="Q69" s="64"/>
      <c r="R69" s="61"/>
      <c r="S69" s="64"/>
      <c r="T69" s="61"/>
      <c r="U69" s="64"/>
      <c r="V69" s="61"/>
      <c r="W69" s="64"/>
      <c r="X69" s="61"/>
      <c r="Y69" s="64"/>
      <c r="Z69" s="61"/>
      <c r="AA69" s="64"/>
      <c r="AB69" s="61"/>
      <c r="AC69" s="64"/>
      <c r="AD69" s="61"/>
      <c r="AE69" s="64"/>
      <c r="AF69" s="61"/>
      <c r="AG69" s="64"/>
      <c r="AH69" s="61"/>
      <c r="AI69" s="64"/>
      <c r="AJ69" s="61"/>
      <c r="AK69" s="64"/>
      <c r="AL69" s="61"/>
      <c r="AM69" s="64"/>
      <c r="AN69" s="61"/>
      <c r="AO69" s="64"/>
      <c r="AP69" s="61"/>
      <c r="AQ69" s="64"/>
      <c r="AR69" s="61"/>
      <c r="AS69" s="64"/>
      <c r="AT69" s="61"/>
      <c r="AU69" s="64"/>
      <c r="AV69" s="61"/>
      <c r="AW69" s="64"/>
      <c r="AX69" s="61"/>
      <c r="AY69" s="64"/>
      <c r="AZ69" s="61"/>
      <c r="BA69" s="64"/>
      <c r="BB69" s="61"/>
      <c r="BC69" s="64"/>
      <c r="BD69" s="61"/>
      <c r="BE69" s="64"/>
      <c r="BF69" s="61"/>
      <c r="BG69" s="69">
        <f>BG29+BG50</f>
        <v>2821</v>
      </c>
      <c r="BH69" s="61" t="str">
        <f t="shared" si="406"/>
        <v>NA</v>
      </c>
      <c r="BI69" s="69">
        <f>BI29+BI50</f>
        <v>3277</v>
      </c>
      <c r="BJ69" s="61" t="str">
        <f t="shared" si="407"/>
        <v>NA</v>
      </c>
      <c r="BK69" s="69">
        <f>BK29+BK50</f>
        <v>3478</v>
      </c>
      <c r="BL69" s="61" t="str">
        <f t="shared" si="408"/>
        <v>NA</v>
      </c>
      <c r="BM69" s="69">
        <f>BM29+BM50</f>
        <v>3880</v>
      </c>
      <c r="BN69" s="61" t="str">
        <f t="shared" si="409"/>
        <v>NA</v>
      </c>
      <c r="BO69" s="69">
        <f>BO29+BO50</f>
        <v>3025</v>
      </c>
      <c r="BP69" s="61">
        <f t="shared" si="410"/>
        <v>7.2314781992201427</v>
      </c>
      <c r="BQ69" s="69">
        <f>BQ29+BQ50</f>
        <v>3437</v>
      </c>
      <c r="BR69" s="61">
        <f t="shared" si="411"/>
        <v>4.8825144949649069</v>
      </c>
      <c r="BS69" s="69">
        <f>BS29+BS50</f>
        <v>2947</v>
      </c>
      <c r="BT69" s="61">
        <f t="shared" si="412"/>
        <v>-15.267395054629096</v>
      </c>
      <c r="BU69" s="69">
        <f>BU29+BU50</f>
        <v>2321</v>
      </c>
      <c r="BV69" s="61">
        <f t="shared" si="413"/>
        <v>-40.180412371134025</v>
      </c>
      <c r="BW69" s="69">
        <f>BW29+BW50</f>
        <v>2188</v>
      </c>
      <c r="BX69" s="61">
        <f t="shared" si="414"/>
        <v>-27.669421487603309</v>
      </c>
      <c r="BY69" s="69">
        <f>BY29+BY50</f>
        <v>2625</v>
      </c>
      <c r="BZ69" s="61">
        <f t="shared" si="415"/>
        <v>-23.625254582484722</v>
      </c>
      <c r="CA69" s="69">
        <f>CA29+CA50</f>
        <v>3089</v>
      </c>
      <c r="CB69" s="61">
        <f t="shared" si="416"/>
        <v>4.8184594502884259</v>
      </c>
      <c r="CC69" s="69">
        <f>CC29+CC50</f>
        <v>2460</v>
      </c>
      <c r="CD69" s="61">
        <f t="shared" si="417"/>
        <v>5.9887979319259044</v>
      </c>
      <c r="CE69" s="69">
        <f>CE29+CE50</f>
        <v>2276</v>
      </c>
      <c r="CF69" s="61">
        <f t="shared" si="418"/>
        <v>4.0219378427788</v>
      </c>
      <c r="CG69" s="69">
        <f>CG29+CG50</f>
        <v>2823</v>
      </c>
      <c r="CH69" s="61">
        <f t="shared" si="419"/>
        <v>7.54285714285714</v>
      </c>
      <c r="CI69" s="69">
        <f>CI29+CI50</f>
        <v>2979</v>
      </c>
      <c r="CJ69" s="61">
        <f t="shared" si="420"/>
        <v>-3.561022984784723</v>
      </c>
      <c r="CK69" s="69">
        <f>CK29+CK50</f>
        <v>2589</v>
      </c>
      <c r="CL69" s="61">
        <f t="shared" si="421"/>
        <v>5.2439024390243949</v>
      </c>
      <c r="CM69" s="69">
        <f>CM29+CM50</f>
        <v>2639</v>
      </c>
      <c r="CN69" s="61">
        <f t="shared" si="422"/>
        <v>15.949033391915645</v>
      </c>
      <c r="CO69" s="69">
        <f>CO29+CO50</f>
        <v>2927</v>
      </c>
      <c r="CP69" s="61">
        <f t="shared" si="423"/>
        <v>3.6840240878498021</v>
      </c>
      <c r="CQ69" s="69">
        <f>CQ29+CQ50</f>
        <v>2709</v>
      </c>
      <c r="CR69" s="61">
        <f t="shared" si="423"/>
        <v>-9.0634441087613311</v>
      </c>
      <c r="CS69" s="69">
        <f>CS29+CS50</f>
        <v>2375</v>
      </c>
      <c r="CT69" s="61">
        <f t="shared" si="423"/>
        <v>-8.2657396678254109</v>
      </c>
      <c r="CU69" s="69">
        <f>CU29+CU50</f>
        <v>2480</v>
      </c>
      <c r="CV69" s="61">
        <f t="shared" si="423"/>
        <v>-6.025009473285337</v>
      </c>
      <c r="CW69" s="69">
        <f>CW29+CW50</f>
        <v>2867</v>
      </c>
      <c r="CX69" s="61">
        <f t="shared" si="423"/>
        <v>-2.0498804236419588</v>
      </c>
      <c r="CY69" s="69">
        <f>CY29+CY50</f>
        <v>2677</v>
      </c>
      <c r="CZ69" s="61">
        <f t="shared" si="423"/>
        <v>-1.1812476928755977</v>
      </c>
      <c r="DA69" s="69">
        <f>DA29+DA50</f>
        <v>3539</v>
      </c>
      <c r="DB69" s="61">
        <f t="shared" si="423"/>
        <v>49.010526315789484</v>
      </c>
      <c r="DC69" s="69">
        <f>DC29+DC50</f>
        <v>3219</v>
      </c>
      <c r="DD69" s="61">
        <f t="shared" si="423"/>
        <v>29.798387096774203</v>
      </c>
      <c r="DE69" s="69">
        <f>DE29+DE50</f>
        <v>4181</v>
      </c>
      <c r="DF69" s="61">
        <f t="shared" si="423"/>
        <v>45.831880013951867</v>
      </c>
      <c r="DG69" s="69">
        <f>DG29+DG50</f>
        <v>3640</v>
      </c>
      <c r="DH69" s="61">
        <f t="shared" si="423"/>
        <v>35.97310422114306</v>
      </c>
      <c r="DI69" s="69">
        <f>DI29+DI50</f>
        <v>3733</v>
      </c>
      <c r="DJ69" s="61">
        <f t="shared" si="423"/>
        <v>5.4817745125741668</v>
      </c>
      <c r="DK69" s="69">
        <f>DK29+DK50</f>
        <v>3379</v>
      </c>
      <c r="DL69" s="61">
        <f t="shared" si="424"/>
        <v>4.9704877291084193</v>
      </c>
      <c r="DM69" s="69">
        <f>DM29+DM50</f>
        <v>3566</v>
      </c>
      <c r="DN69" s="130">
        <f t="shared" si="425"/>
        <v>-14.709399665151878</v>
      </c>
      <c r="DO69" s="69">
        <f>DO29+DO50</f>
        <v>3453</v>
      </c>
      <c r="DP69" s="130">
        <f t="shared" si="425"/>
        <v>-5.1373626373626413</v>
      </c>
      <c r="DQ69" s="69">
        <f>DQ29+DQ50</f>
        <v>3381</v>
      </c>
      <c r="DR69" s="130">
        <f t="shared" si="425"/>
        <v>-9.4294133404768328</v>
      </c>
      <c r="DS69" s="69">
        <f>DS29+DS50</f>
        <v>2990</v>
      </c>
      <c r="DT69" s="130">
        <f t="shared" si="425"/>
        <v>-11.512281740159814</v>
      </c>
      <c r="DU69" s="69">
        <f>DU29+DU50</f>
        <v>3380</v>
      </c>
      <c r="DV69" s="130">
        <f t="shared" si="425"/>
        <v>-5.2159282108805378</v>
      </c>
      <c r="DW69" s="69">
        <f>DW29+DW50</f>
        <v>3304</v>
      </c>
      <c r="DX69" s="69">
        <f t="shared" ref="DX69:DY69" si="453">DX29+DX50</f>
        <v>3304</v>
      </c>
      <c r="DY69" s="69">
        <f t="shared" si="453"/>
        <v>3018</v>
      </c>
      <c r="DZ69" s="130">
        <f t="shared" si="425"/>
        <v>-10.736468500443653</v>
      </c>
      <c r="EA69" s="69">
        <f t="shared" ref="EA69:EC69" si="454">EA29+EA50</f>
        <v>2353</v>
      </c>
      <c r="EB69" s="130">
        <f t="shared" si="428"/>
        <v>-21.304347826086957</v>
      </c>
      <c r="EC69" s="69">
        <f t="shared" si="454"/>
        <v>2113</v>
      </c>
      <c r="ED69" s="130">
        <f t="shared" si="429"/>
        <v>-37.485207100591708</v>
      </c>
      <c r="EE69" s="69">
        <f t="shared" ref="EE69:EG69" si="455">EE29+EE50</f>
        <v>1938</v>
      </c>
      <c r="EF69" s="130">
        <f t="shared" si="431"/>
        <v>-41.343825665859569</v>
      </c>
      <c r="EG69" s="69">
        <f t="shared" si="455"/>
        <v>1810</v>
      </c>
      <c r="EH69" s="130">
        <f t="shared" si="432"/>
        <v>-40.026507620941018</v>
      </c>
      <c r="EI69" s="69">
        <f t="shared" ref="EI69:EK69" si="456">EI29+EI50</f>
        <v>2016</v>
      </c>
      <c r="EJ69" s="130">
        <f t="shared" si="434"/>
        <v>-14.322141946451339</v>
      </c>
      <c r="EK69" s="69">
        <f t="shared" si="456"/>
        <v>1991</v>
      </c>
      <c r="EL69" s="130">
        <f t="shared" si="435"/>
        <v>-5.7737813535257976</v>
      </c>
      <c r="EM69" s="69">
        <f t="shared" ref="EM69" si="457">EM29+EM50</f>
        <v>1916</v>
      </c>
      <c r="EN69" s="130">
        <f t="shared" si="437"/>
        <v>-1.1351909184726505</v>
      </c>
      <c r="EO69" s="69">
        <f t="shared" si="438"/>
        <v>2787</v>
      </c>
      <c r="EP69" s="130">
        <f t="shared" si="439"/>
        <v>53.97790055248619</v>
      </c>
      <c r="EQ69" s="69">
        <f t="shared" ref="EQ69:EW69" si="458">EQ29+EQ50</f>
        <v>2705.8825000000002</v>
      </c>
      <c r="ER69" s="130">
        <f t="shared" si="441"/>
        <v>34.220362103174608</v>
      </c>
      <c r="ES69" s="69">
        <f t="shared" si="458"/>
        <v>2875.8234237273564</v>
      </c>
      <c r="ET69" s="130">
        <f t="shared" si="442"/>
        <v>44.441156390123382</v>
      </c>
      <c r="EU69" s="69">
        <f t="shared" si="458"/>
        <v>3091.1496481750537</v>
      </c>
      <c r="EV69" s="130">
        <f t="shared" si="443"/>
        <v>61.333488944418256</v>
      </c>
      <c r="EW69" s="69">
        <f t="shared" si="458"/>
        <v>3313.5509865683202</v>
      </c>
      <c r="EX69" s="130">
        <f t="shared" si="444"/>
        <v>18.893110389964839</v>
      </c>
      <c r="EY69" s="64"/>
      <c r="EZ69" s="558"/>
      <c r="FA69" s="64"/>
      <c r="FB69" s="66"/>
      <c r="FC69" s="66"/>
      <c r="FD69" s="66"/>
      <c r="FE69" s="67"/>
      <c r="FF69" s="66"/>
      <c r="FG69" s="67"/>
      <c r="FH69" s="66"/>
      <c r="FI69" s="67"/>
      <c r="FJ69" s="66"/>
      <c r="FK69" s="67"/>
      <c r="FL69" s="66"/>
      <c r="FM69" s="61"/>
      <c r="FN69" s="66"/>
      <c r="FO69" s="61"/>
      <c r="FP69" s="65"/>
      <c r="FQ69" s="61"/>
      <c r="FR69" s="65"/>
      <c r="FS69" s="61"/>
      <c r="FT69" s="69">
        <f>FT29+FT50</f>
        <v>13456</v>
      </c>
      <c r="FU69" s="61" t="str">
        <f t="shared" si="445"/>
        <v>NA</v>
      </c>
      <c r="FV69" s="69">
        <f>FV29+FV50</f>
        <v>11730</v>
      </c>
      <c r="FW69" s="61">
        <f t="shared" si="446"/>
        <v>-12.826991676575506</v>
      </c>
      <c r="FX69" s="69">
        <f>FX29+FX50</f>
        <v>10362</v>
      </c>
      <c r="FY69" s="61">
        <f t="shared" si="447"/>
        <v>-11.662404092071609</v>
      </c>
      <c r="FZ69" s="69">
        <f>FZ29+FZ50</f>
        <v>10667</v>
      </c>
      <c r="GA69" s="61">
        <f t="shared" si="448"/>
        <v>2.9434472109631349</v>
      </c>
      <c r="GB69" s="69">
        <f>GB29+GB50</f>
        <v>10650</v>
      </c>
      <c r="GC69" s="61">
        <f t="shared" si="449"/>
        <v>-0.15937001968688858</v>
      </c>
      <c r="GD69" s="69">
        <f>GD29+GD50</f>
        <v>11563</v>
      </c>
      <c r="GE69" s="61">
        <f t="shared" si="450"/>
        <v>8.572769953051651</v>
      </c>
      <c r="GF69" s="69">
        <f>GF29+GF50</f>
        <v>14773</v>
      </c>
      <c r="GG69" s="61">
        <f t="shared" si="451"/>
        <v>27.760961688143215</v>
      </c>
      <c r="GH69" s="69">
        <f>GH29+GH50</f>
        <v>13779</v>
      </c>
      <c r="GI69" s="61">
        <f t="shared" si="451"/>
        <v>-6.72849116631693</v>
      </c>
      <c r="GJ69" s="69">
        <f>GJ29+GJ50</f>
        <v>12692</v>
      </c>
      <c r="GK69" s="61">
        <f t="shared" si="451"/>
        <v>-7.8888163146817565</v>
      </c>
      <c r="GL69" s="69">
        <f>GL29+GL50</f>
        <v>8214</v>
      </c>
      <c r="GM69" s="61">
        <f t="shared" si="451"/>
        <v>-35.282067444059251</v>
      </c>
      <c r="GN69" s="69">
        <f>GN29+GN50</f>
        <v>8710</v>
      </c>
      <c r="GO69" s="61">
        <f t="shared" si="451"/>
        <v>6.0384709033357575</v>
      </c>
      <c r="GP69" s="69">
        <f>GP29+GP50</f>
        <v>11986.406558470731</v>
      </c>
      <c r="GQ69" s="61">
        <f t="shared" si="451"/>
        <v>37.616608019181761</v>
      </c>
      <c r="GR69" s="69">
        <f>GR29+GR50</f>
        <v>12817.31546237057</v>
      </c>
      <c r="GS69" s="61">
        <f t="shared" si="451"/>
        <v>6.9320934497473674</v>
      </c>
      <c r="GT69" s="69">
        <f>GT29+GT50</f>
        <v>14053.930925292494</v>
      </c>
      <c r="GU69" s="61">
        <f t="shared" si="451"/>
        <v>9.6480067651639967</v>
      </c>
      <c r="GV69" s="69">
        <f>GV29+GV50</f>
        <v>15450.205113257787</v>
      </c>
      <c r="GW69" s="61">
        <f t="shared" si="451"/>
        <v>9.9351149182927543</v>
      </c>
      <c r="GX69" s="69">
        <f>GX29+GX50</f>
        <v>17033.942086432704</v>
      </c>
      <c r="GY69" s="61">
        <f t="shared" si="452"/>
        <v>10.250588659278815</v>
      </c>
      <c r="GZ69" s="61">
        <f t="shared" si="405"/>
        <v>14.356117512752897</v>
      </c>
      <c r="HA69" s="61"/>
      <c r="HB69" s="452"/>
      <c r="HC69"/>
      <c r="HD69"/>
      <c r="HE69"/>
      <c r="HF69"/>
      <c r="HG69"/>
      <c r="HH69"/>
    </row>
    <row r="70" spans="2:216" s="5" customFormat="1" ht="12.75" customHeight="1" x14ac:dyDescent="0.2">
      <c r="B70" s="93" t="s">
        <v>366</v>
      </c>
      <c r="C70" s="66"/>
      <c r="D70" s="67"/>
      <c r="E70" s="66"/>
      <c r="F70" s="66"/>
      <c r="G70" s="64"/>
      <c r="H70" s="66"/>
      <c r="I70" s="64"/>
      <c r="J70" s="66"/>
      <c r="K70" s="64"/>
      <c r="L70" s="61"/>
      <c r="M70" s="66"/>
      <c r="N70" s="61"/>
      <c r="O70" s="64"/>
      <c r="P70" s="61"/>
      <c r="Q70" s="64"/>
      <c r="R70" s="61"/>
      <c r="S70" s="64"/>
      <c r="T70" s="61"/>
      <c r="U70" s="64"/>
      <c r="V70" s="61"/>
      <c r="W70" s="64"/>
      <c r="X70" s="61"/>
      <c r="Y70" s="64"/>
      <c r="Z70" s="61"/>
      <c r="AA70" s="64"/>
      <c r="AB70" s="61"/>
      <c r="AC70" s="64"/>
      <c r="AD70" s="61"/>
      <c r="AE70" s="64"/>
      <c r="AF70" s="61"/>
      <c r="AG70" s="64"/>
      <c r="AH70" s="61"/>
      <c r="AI70" s="64"/>
      <c r="AJ70" s="61"/>
      <c r="AK70" s="64"/>
      <c r="AL70" s="61"/>
      <c r="AM70" s="64"/>
      <c r="AN70" s="61"/>
      <c r="AO70" s="64"/>
      <c r="AP70" s="61"/>
      <c r="AQ70" s="64"/>
      <c r="AR70" s="61"/>
      <c r="AS70" s="64"/>
      <c r="AT70" s="61"/>
      <c r="AU70" s="64"/>
      <c r="AV70" s="61"/>
      <c r="AW70" s="64"/>
      <c r="AX70" s="61"/>
      <c r="AY70" s="64"/>
      <c r="AZ70" s="61"/>
      <c r="BA70" s="64"/>
      <c r="BB70" s="61"/>
      <c r="BC70" s="64"/>
      <c r="BD70" s="61"/>
      <c r="BE70" s="64"/>
      <c r="BF70" s="61"/>
      <c r="BG70" s="69">
        <f>BG31+BG52</f>
        <v>-2067</v>
      </c>
      <c r="BH70" s="61" t="str">
        <f t="shared" si="406"/>
        <v>NA</v>
      </c>
      <c r="BI70" s="69">
        <f>BI31+BI52</f>
        <v>-2140</v>
      </c>
      <c r="BJ70" s="61" t="str">
        <f t="shared" si="407"/>
        <v>NA</v>
      </c>
      <c r="BK70" s="69">
        <f>BK31+BK52</f>
        <v>-2187</v>
      </c>
      <c r="BL70" s="61" t="str">
        <f t="shared" si="408"/>
        <v>NA</v>
      </c>
      <c r="BM70" s="69">
        <f>BM31+BM52</f>
        <v>-2073</v>
      </c>
      <c r="BN70" s="61" t="str">
        <f t="shared" si="409"/>
        <v>NA</v>
      </c>
      <c r="BO70" s="69">
        <f>BO31+BO52</f>
        <v>-1844</v>
      </c>
      <c r="BP70" s="61">
        <f t="shared" si="410"/>
        <v>-10.788582486695697</v>
      </c>
      <c r="BQ70" s="69">
        <f>BQ31+BQ52</f>
        <v>-1847</v>
      </c>
      <c r="BR70" s="61">
        <f t="shared" si="411"/>
        <v>-13.691588785046726</v>
      </c>
      <c r="BS70" s="69">
        <f>BS31+BS52</f>
        <v>-2003</v>
      </c>
      <c r="BT70" s="61">
        <f t="shared" si="412"/>
        <v>-8.4133516232281718</v>
      </c>
      <c r="BU70" s="69">
        <f>BU31+BU52</f>
        <v>-1946</v>
      </c>
      <c r="BV70" s="61">
        <f t="shared" si="413"/>
        <v>-6.1263868789194431</v>
      </c>
      <c r="BW70" s="69">
        <f>BW31+BW52</f>
        <v>-1759</v>
      </c>
      <c r="BX70" s="61">
        <f t="shared" si="414"/>
        <v>-4.609544468546634</v>
      </c>
      <c r="BY70" s="69">
        <f>BY31+BY52</f>
        <v>-1590</v>
      </c>
      <c r="BZ70" s="61">
        <f t="shared" si="415"/>
        <v>-13.914455874390907</v>
      </c>
      <c r="CA70" s="69">
        <f>CA31+CA52</f>
        <v>-1480</v>
      </c>
      <c r="CB70" s="61">
        <f t="shared" si="416"/>
        <v>-26.110833749375939</v>
      </c>
      <c r="CC70" s="69">
        <f>CC31+CC52</f>
        <v>-1641</v>
      </c>
      <c r="CD70" s="61">
        <f t="shared" si="417"/>
        <v>-15.673175745118195</v>
      </c>
      <c r="CE70" s="69">
        <f>CE31+CE52</f>
        <v>-1701</v>
      </c>
      <c r="CF70" s="61">
        <f t="shared" si="418"/>
        <v>-3.2973280272882266</v>
      </c>
      <c r="CG70" s="69">
        <f>CG31+CG52</f>
        <v>-1670</v>
      </c>
      <c r="CH70" s="61">
        <f t="shared" si="419"/>
        <v>5.031446540880502</v>
      </c>
      <c r="CI70" s="69">
        <f>CI31+CI52</f>
        <v>-1694</v>
      </c>
      <c r="CJ70" s="61">
        <f t="shared" si="420"/>
        <v>14.459459459459456</v>
      </c>
      <c r="CK70" s="69">
        <f>CK31+CK52</f>
        <v>-2047</v>
      </c>
      <c r="CL70" s="61">
        <f t="shared" si="421"/>
        <v>24.741011578305905</v>
      </c>
      <c r="CM70" s="69">
        <f>CM31+CM52</f>
        <v>-2156</v>
      </c>
      <c r="CN70" s="61">
        <f t="shared" si="422"/>
        <v>26.748971193415638</v>
      </c>
      <c r="CO70" s="69">
        <f>CO31+CO52</f>
        <v>-2227</v>
      </c>
      <c r="CP70" s="61">
        <f t="shared" si="423"/>
        <v>33.35329341317366</v>
      </c>
      <c r="CQ70" s="69">
        <f>CQ31+CQ52</f>
        <v>-2046</v>
      </c>
      <c r="CR70" s="61">
        <f t="shared" si="423"/>
        <v>20.779220779220786</v>
      </c>
      <c r="CS70" s="69">
        <f>CS31+CS52</f>
        <v>-2030</v>
      </c>
      <c r="CT70" s="61">
        <f t="shared" si="423"/>
        <v>-0.83048363458719798</v>
      </c>
      <c r="CU70" s="69">
        <f>CU31+CU52</f>
        <v>-2187</v>
      </c>
      <c r="CV70" s="61">
        <f t="shared" si="423"/>
        <v>1.4378478664192951</v>
      </c>
      <c r="CW70" s="69">
        <f>CW31+CW52</f>
        <v>-2166</v>
      </c>
      <c r="CX70" s="61">
        <f t="shared" si="423"/>
        <v>-2.7391109115401879</v>
      </c>
      <c r="CY70" s="69">
        <f>CY31+CY52</f>
        <v>-2281</v>
      </c>
      <c r="CZ70" s="61">
        <f t="shared" si="423"/>
        <v>11.485826001955024</v>
      </c>
      <c r="DA70" s="69">
        <f>DA31+DA52</f>
        <v>-2479</v>
      </c>
      <c r="DB70" s="61">
        <f t="shared" si="423"/>
        <v>22.118226600985214</v>
      </c>
      <c r="DC70" s="69">
        <f>DC31+DC52</f>
        <v>-2334</v>
      </c>
      <c r="DD70" s="61">
        <f t="shared" si="423"/>
        <v>6.7215363511659909</v>
      </c>
      <c r="DE70" s="69">
        <f>DE31+DE52</f>
        <v>-2478</v>
      </c>
      <c r="DF70" s="61">
        <f t="shared" si="423"/>
        <v>14.404432132963985</v>
      </c>
      <c r="DG70" s="69">
        <f>DG31+DG52</f>
        <v>-2405</v>
      </c>
      <c r="DH70" s="61">
        <f t="shared" si="423"/>
        <v>5.4362121876369907</v>
      </c>
      <c r="DI70" s="69">
        <f>DI31+DI52</f>
        <v>-2543</v>
      </c>
      <c r="DJ70" s="61">
        <f t="shared" si="423"/>
        <v>2.5816861637757205</v>
      </c>
      <c r="DK70" s="69">
        <f>DK31+DK52</f>
        <v>-2684</v>
      </c>
      <c r="DL70" s="61">
        <f t="shared" si="424"/>
        <v>14.995715509854325</v>
      </c>
      <c r="DM70" s="69">
        <f>DM31+DM52</f>
        <v>-2735</v>
      </c>
      <c r="DN70" s="130">
        <f t="shared" si="425"/>
        <v>10.371267150928176</v>
      </c>
      <c r="DO70" s="69">
        <f>DO31+DO52</f>
        <v>-2888</v>
      </c>
      <c r="DP70" s="130">
        <f t="shared" si="425"/>
        <v>20.083160083160088</v>
      </c>
      <c r="DQ70" s="69">
        <f>DQ31+DQ52</f>
        <v>-2826</v>
      </c>
      <c r="DR70" s="130">
        <f t="shared" si="425"/>
        <v>11.128588281557207</v>
      </c>
      <c r="DS70" s="69">
        <f>DS31+DS52</f>
        <v>-2794</v>
      </c>
      <c r="DT70" s="130">
        <f t="shared" si="425"/>
        <v>4.0983606557376984</v>
      </c>
      <c r="DU70" s="69">
        <f>DU31+DU52</f>
        <v>-2983</v>
      </c>
      <c r="DV70" s="130">
        <f t="shared" si="425"/>
        <v>9.0676416819012839</v>
      </c>
      <c r="DW70" s="69">
        <f>DW31+DW52</f>
        <v>-2768</v>
      </c>
      <c r="DX70" s="69">
        <f t="shared" ref="DX70:DY70" si="459">DX31+DX52</f>
        <v>-2768</v>
      </c>
      <c r="DY70" s="69">
        <f t="shared" si="459"/>
        <v>-2583</v>
      </c>
      <c r="DZ70" s="130">
        <f t="shared" si="425"/>
        <v>-8.5987261146496792</v>
      </c>
      <c r="EA70" s="69">
        <f t="shared" ref="EA70:EC70" si="460">EA31+EA52</f>
        <v>-2388</v>
      </c>
      <c r="EB70" s="130">
        <f t="shared" si="428"/>
        <v>-14.531138153185397</v>
      </c>
      <c r="EC70" s="69">
        <f t="shared" si="460"/>
        <v>-2565</v>
      </c>
      <c r="ED70" s="130">
        <f t="shared" si="429"/>
        <v>-14.012738853503182</v>
      </c>
      <c r="EE70" s="69">
        <f t="shared" ref="EE70:EG70" si="461">EE31+EE52</f>
        <v>-2806</v>
      </c>
      <c r="EF70" s="130">
        <f t="shared" si="431"/>
        <v>1.3728323699421896</v>
      </c>
      <c r="EG70" s="69">
        <f t="shared" si="461"/>
        <v>-2742</v>
      </c>
      <c r="EH70" s="130">
        <f t="shared" si="432"/>
        <v>6.1556329849012714</v>
      </c>
      <c r="EI70" s="69">
        <f t="shared" ref="EI70:EK70" si="462">EI31+EI52</f>
        <v>-2960</v>
      </c>
      <c r="EJ70" s="130">
        <f t="shared" si="434"/>
        <v>23.953098827470676</v>
      </c>
      <c r="EK70" s="69">
        <f t="shared" si="462"/>
        <v>-3066</v>
      </c>
      <c r="EL70" s="130">
        <f t="shared" si="435"/>
        <v>19.532163742690066</v>
      </c>
      <c r="EM70" s="69">
        <f t="shared" ref="EM70" si="463">EM31+EM52</f>
        <v>-2941</v>
      </c>
      <c r="EN70" s="130">
        <f t="shared" si="437"/>
        <v>4.811119030648614</v>
      </c>
      <c r="EO70" s="69">
        <f t="shared" ref="EO70:EO72" si="464">EO31+EO52</f>
        <v>-3201</v>
      </c>
      <c r="EP70" s="130">
        <f t="shared" si="439"/>
        <v>16.739606126914651</v>
      </c>
      <c r="EQ70" s="69">
        <f t="shared" ref="EQ70:EW70" si="465">EQ31+EQ52</f>
        <v>-3199.0387563074296</v>
      </c>
      <c r="ER70" s="130">
        <f t="shared" si="441"/>
        <v>8.0756336590347857</v>
      </c>
      <c r="ES70" s="69">
        <f t="shared" si="465"/>
        <v>-3117.137273552531</v>
      </c>
      <c r="ET70" s="130">
        <f t="shared" si="442"/>
        <v>1.66788237288098</v>
      </c>
      <c r="EU70" s="69">
        <f t="shared" si="465"/>
        <v>-3090.6041007100662</v>
      </c>
      <c r="EV70" s="130">
        <f t="shared" si="443"/>
        <v>5.0868446348203422</v>
      </c>
      <c r="EW70" s="69">
        <f t="shared" si="465"/>
        <v>-3068.8035525349633</v>
      </c>
      <c r="EX70" s="130">
        <f t="shared" si="444"/>
        <v>-4.1298484056556344</v>
      </c>
      <c r="EY70" s="64"/>
      <c r="EZ70" s="558"/>
      <c r="FA70" s="64"/>
      <c r="FB70" s="66"/>
      <c r="FC70" s="66"/>
      <c r="FD70" s="66"/>
      <c r="FE70" s="67"/>
      <c r="FF70" s="66"/>
      <c r="FG70" s="67"/>
      <c r="FH70" s="66"/>
      <c r="FI70" s="67"/>
      <c r="FJ70" s="66"/>
      <c r="FK70" s="67"/>
      <c r="FL70" s="66"/>
      <c r="FM70" s="61"/>
      <c r="FN70" s="66"/>
      <c r="FO70" s="61"/>
      <c r="FP70" s="65"/>
      <c r="FQ70" s="61"/>
      <c r="FR70" s="65"/>
      <c r="FS70" s="61"/>
      <c r="FT70" s="69">
        <f>FT31+FT52</f>
        <v>-8467</v>
      </c>
      <c r="FU70" s="61" t="str">
        <f t="shared" si="445"/>
        <v>NA</v>
      </c>
      <c r="FV70" s="69">
        <f>FV31+FV52</f>
        <v>-7640</v>
      </c>
      <c r="FW70" s="61">
        <f t="shared" si="446"/>
        <v>-9.767331994803353</v>
      </c>
      <c r="FX70" s="69">
        <f>FX31+FX52</f>
        <v>-6470</v>
      </c>
      <c r="FY70" s="61">
        <f t="shared" si="447"/>
        <v>-15.314136125654453</v>
      </c>
      <c r="FZ70" s="69">
        <f>FZ31+FZ52</f>
        <v>-7112</v>
      </c>
      <c r="GA70" s="61">
        <f t="shared" si="448"/>
        <v>9.9227202472952136</v>
      </c>
      <c r="GB70" s="69">
        <f>GB31+GB52</f>
        <v>-8459</v>
      </c>
      <c r="GC70" s="61">
        <f t="shared" si="449"/>
        <v>18.939820022497187</v>
      </c>
      <c r="GD70" s="69">
        <f>GD31+GD52</f>
        <v>-9113</v>
      </c>
      <c r="GE70" s="61">
        <f t="shared" si="450"/>
        <v>7.7314103321905581</v>
      </c>
      <c r="GF70" s="69">
        <f>GF31+GF52</f>
        <v>-9760</v>
      </c>
      <c r="GG70" s="61">
        <f t="shared" si="451"/>
        <v>7.0997476132996784</v>
      </c>
      <c r="GH70" s="69">
        <f>GH31+GH52</f>
        <v>-11133</v>
      </c>
      <c r="GI70" s="61">
        <f t="shared" si="451"/>
        <v>14.067622950819668</v>
      </c>
      <c r="GJ70" s="69">
        <f>GJ31+GJ52</f>
        <v>-11128</v>
      </c>
      <c r="GK70" s="61">
        <f t="shared" si="451"/>
        <v>-4.4911524297130967E-2</v>
      </c>
      <c r="GL70" s="69">
        <f>GL31+GL52</f>
        <v>-10501</v>
      </c>
      <c r="GM70" s="61">
        <f t="shared" si="451"/>
        <v>-5.6344356578001413</v>
      </c>
      <c r="GN70" s="69">
        <f>GN31+GN52</f>
        <v>-12168</v>
      </c>
      <c r="GO70" s="61">
        <f t="shared" si="451"/>
        <v>15.874678602037907</v>
      </c>
      <c r="GP70" s="69">
        <f>GP31+GP52</f>
        <v>-12475.583683104989</v>
      </c>
      <c r="GQ70" s="61">
        <f t="shared" si="451"/>
        <v>2.5278080465564567</v>
      </c>
      <c r="GR70" s="69">
        <f>GR31+GR52</f>
        <v>-11298.386374937825</v>
      </c>
      <c r="GS70" s="61">
        <f t="shared" si="451"/>
        <v>-9.4360098739218028</v>
      </c>
      <c r="GT70" s="69">
        <f>GT31+GT52</f>
        <v>-11964.154502416271</v>
      </c>
      <c r="GU70" s="61">
        <f t="shared" si="451"/>
        <v>5.8925947952643831</v>
      </c>
      <c r="GV70" s="69">
        <f>GV31+GV52</f>
        <v>-12700.356831036514</v>
      </c>
      <c r="GW70" s="61">
        <f t="shared" si="451"/>
        <v>6.1534003800398862</v>
      </c>
      <c r="GX70" s="69">
        <f>GX31+GX52</f>
        <v>-13517.266359552306</v>
      </c>
      <c r="GY70" s="61">
        <f t="shared" si="452"/>
        <v>6.4321777677889269</v>
      </c>
      <c r="GZ70" s="61">
        <f t="shared" si="405"/>
        <v>2.125438462639595</v>
      </c>
      <c r="HA70" s="61"/>
      <c r="HB70" s="452"/>
      <c r="HC70"/>
      <c r="HD70"/>
      <c r="HE70"/>
      <c r="HF70"/>
      <c r="HG70"/>
      <c r="HH70"/>
    </row>
    <row r="71" spans="2:216" s="5" customFormat="1" ht="12.75" customHeight="1" x14ac:dyDescent="0.2">
      <c r="B71" s="93" t="s">
        <v>537</v>
      </c>
      <c r="C71" s="66"/>
      <c r="D71" s="67"/>
      <c r="E71" s="66"/>
      <c r="F71" s="66"/>
      <c r="G71" s="64"/>
      <c r="H71" s="66"/>
      <c r="I71" s="64"/>
      <c r="J71" s="66"/>
      <c r="K71" s="64"/>
      <c r="L71" s="61"/>
      <c r="M71" s="66"/>
      <c r="N71" s="61"/>
      <c r="O71" s="64"/>
      <c r="P71" s="61"/>
      <c r="Q71" s="64"/>
      <c r="R71" s="61"/>
      <c r="S71" s="64"/>
      <c r="T71" s="61"/>
      <c r="U71" s="64"/>
      <c r="V71" s="61"/>
      <c r="W71" s="64"/>
      <c r="X71" s="61"/>
      <c r="Y71" s="64"/>
      <c r="Z71" s="61"/>
      <c r="AA71" s="64"/>
      <c r="AB71" s="61"/>
      <c r="AC71" s="64"/>
      <c r="AD71" s="61"/>
      <c r="AE71" s="64"/>
      <c r="AF71" s="61"/>
      <c r="AG71" s="64"/>
      <c r="AH71" s="61"/>
      <c r="AI71" s="64"/>
      <c r="AJ71" s="61"/>
      <c r="AK71" s="64"/>
      <c r="AL71" s="61"/>
      <c r="AM71" s="64"/>
      <c r="AN71" s="61"/>
      <c r="AO71" s="64"/>
      <c r="AP71" s="61"/>
      <c r="AQ71" s="64"/>
      <c r="AR71" s="61"/>
      <c r="AS71" s="64"/>
      <c r="AT71" s="61"/>
      <c r="AU71" s="64"/>
      <c r="AV71" s="61"/>
      <c r="AW71" s="64"/>
      <c r="AX71" s="61"/>
      <c r="AY71" s="64"/>
      <c r="AZ71" s="61"/>
      <c r="BA71" s="64"/>
      <c r="BB71" s="61"/>
      <c r="BC71" s="64"/>
      <c r="BD71" s="61"/>
      <c r="BE71" s="64"/>
      <c r="BF71" s="61"/>
      <c r="BG71" s="69">
        <f>BG32+BG53</f>
        <v>970</v>
      </c>
      <c r="BH71" s="61" t="str">
        <f t="shared" si="406"/>
        <v>NA</v>
      </c>
      <c r="BI71" s="69">
        <f>BI32+BI53</f>
        <v>3464</v>
      </c>
      <c r="BJ71" s="61" t="str">
        <f t="shared" si="407"/>
        <v>NA</v>
      </c>
      <c r="BK71" s="69">
        <f>BK32+BK53</f>
        <v>1777</v>
      </c>
      <c r="BL71" s="61" t="str">
        <f t="shared" si="408"/>
        <v>NA</v>
      </c>
      <c r="BM71" s="69">
        <f>BM32+BM53</f>
        <v>-1450</v>
      </c>
      <c r="BN71" s="61" t="str">
        <f t="shared" si="409"/>
        <v>NA</v>
      </c>
      <c r="BO71" s="69">
        <f>BO32+BO53</f>
        <v>-4978</v>
      </c>
      <c r="BP71" s="61" t="str">
        <f t="shared" si="410"/>
        <v>NM</v>
      </c>
      <c r="BQ71" s="69">
        <f>BQ32+BQ53</f>
        <v>-603</v>
      </c>
      <c r="BR71" s="61" t="str">
        <f t="shared" si="411"/>
        <v>NM</v>
      </c>
      <c r="BS71" s="69">
        <f>BS32+BS53</f>
        <v>-6927</v>
      </c>
      <c r="BT71" s="61" t="str">
        <f t="shared" si="412"/>
        <v>NM</v>
      </c>
      <c r="BU71" s="69">
        <f>BU32+BU53</f>
        <v>-9466</v>
      </c>
      <c r="BV71" s="61" t="str">
        <f t="shared" si="413"/>
        <v>NM</v>
      </c>
      <c r="BW71" s="69">
        <f>BW32+BW53</f>
        <v>-1855</v>
      </c>
      <c r="BX71" s="61" t="str">
        <f t="shared" si="414"/>
        <v>NM</v>
      </c>
      <c r="BY71" s="69">
        <f>BY32+BY53</f>
        <v>5930</v>
      </c>
      <c r="BZ71" s="61" t="str">
        <f t="shared" si="415"/>
        <v>NM</v>
      </c>
      <c r="CA71" s="69">
        <f>CA32+CA53</f>
        <v>6467</v>
      </c>
      <c r="CB71" s="61" t="str">
        <f t="shared" si="416"/>
        <v>NM</v>
      </c>
      <c r="CC71" s="69">
        <f>CC32+CC53</f>
        <v>2294</v>
      </c>
      <c r="CD71" s="61" t="str">
        <f t="shared" si="417"/>
        <v>NM</v>
      </c>
      <c r="CE71" s="69">
        <f>CE32+CE53</f>
        <v>1974</v>
      </c>
      <c r="CF71" s="61" t="str">
        <f t="shared" si="418"/>
        <v>NM</v>
      </c>
      <c r="CG71" s="69">
        <f>CG32+CG53</f>
        <v>-4692</v>
      </c>
      <c r="CH71" s="61" t="str">
        <f t="shared" si="419"/>
        <v>NM</v>
      </c>
      <c r="CI71" s="69">
        <f>CI32+CI53</f>
        <v>5604</v>
      </c>
      <c r="CJ71" s="61">
        <f t="shared" si="420"/>
        <v>-13.344672955002324</v>
      </c>
      <c r="CK71" s="69">
        <f>CK32+CK53</f>
        <v>4061</v>
      </c>
      <c r="CL71" s="61">
        <f t="shared" si="421"/>
        <v>77.027027027027017</v>
      </c>
      <c r="CM71" s="69">
        <f>CM32+CM53</f>
        <v>2441</v>
      </c>
      <c r="CN71" s="61">
        <f t="shared" si="422"/>
        <v>23.657548125633234</v>
      </c>
      <c r="CO71" s="69">
        <f>CO32+CO53</f>
        <v>333</v>
      </c>
      <c r="CP71" s="61" t="str">
        <f t="shared" si="423"/>
        <v>NM</v>
      </c>
      <c r="CQ71" s="69">
        <f>CQ32+CQ53</f>
        <v>-8299</v>
      </c>
      <c r="CR71" s="61" t="str">
        <f t="shared" si="423"/>
        <v>NM</v>
      </c>
      <c r="CS71" s="69">
        <f>CS32+CS53</f>
        <v>3932</v>
      </c>
      <c r="CT71" s="61">
        <f t="shared" si="423"/>
        <v>-3.1765574981531652</v>
      </c>
      <c r="CU71" s="69">
        <f>CU32+CU53</f>
        <v>5814</v>
      </c>
      <c r="CV71" s="61" t="str">
        <f t="shared" si="423"/>
        <v>NM</v>
      </c>
      <c r="CW71" s="69">
        <f>CW32+CW53</f>
        <v>-2013</v>
      </c>
      <c r="CX71" s="61" t="str">
        <f t="shared" si="423"/>
        <v>NM</v>
      </c>
      <c r="CY71" s="69">
        <f>CY32+CY53</f>
        <v>3387</v>
      </c>
      <c r="CZ71" s="61" t="str">
        <f t="shared" si="423"/>
        <v>NM</v>
      </c>
      <c r="DA71" s="69">
        <f>DA32+DA53</f>
        <v>1234</v>
      </c>
      <c r="DB71" s="61" t="str">
        <f t="shared" si="423"/>
        <v>NM</v>
      </c>
      <c r="DC71" s="69">
        <f>DC32+DC53</f>
        <v>3995</v>
      </c>
      <c r="DD71" s="61">
        <f t="shared" si="423"/>
        <v>-31.28654970760234</v>
      </c>
      <c r="DE71" s="69">
        <f>DE32+DE53</f>
        <v>-43</v>
      </c>
      <c r="DF71" s="61" t="str">
        <f t="shared" si="423"/>
        <v>NM</v>
      </c>
      <c r="DG71" s="69">
        <f>DG32+DG53</f>
        <v>4352</v>
      </c>
      <c r="DH71" s="61">
        <f t="shared" si="423"/>
        <v>28.491290227339828</v>
      </c>
      <c r="DI71" s="69">
        <f>DI32+DI53</f>
        <v>5180</v>
      </c>
      <c r="DJ71" s="61" t="str">
        <f t="shared" si="423"/>
        <v>NM</v>
      </c>
      <c r="DK71" s="69">
        <f>DK32+DK53</f>
        <v>981</v>
      </c>
      <c r="DL71" s="61" t="str">
        <f t="shared" si="424"/>
        <v>NM</v>
      </c>
      <c r="DM71" s="69">
        <f>DM32+DM53</f>
        <v>3558</v>
      </c>
      <c r="DN71" s="130" t="str">
        <f t="shared" si="425"/>
        <v>NM</v>
      </c>
      <c r="DO71" s="69">
        <f>DO32+DO53</f>
        <v>-1500</v>
      </c>
      <c r="DP71" s="130" t="str">
        <f t="shared" si="425"/>
        <v>NM</v>
      </c>
      <c r="DQ71" s="69">
        <f>DQ32+DQ53</f>
        <v>1193</v>
      </c>
      <c r="DR71" s="130" t="str">
        <f t="shared" si="425"/>
        <v>NM</v>
      </c>
      <c r="DS71" s="69">
        <f>DS32+DS53</f>
        <v>1995</v>
      </c>
      <c r="DT71" s="130" t="str">
        <f t="shared" si="425"/>
        <v>NM</v>
      </c>
      <c r="DU71" s="69">
        <f>DU32+DU53</f>
        <v>-137</v>
      </c>
      <c r="DV71" s="130" t="str">
        <f t="shared" si="425"/>
        <v>NM</v>
      </c>
      <c r="DW71" s="69">
        <f>DW32+DW53</f>
        <v>-6483</v>
      </c>
      <c r="DX71" s="69">
        <f t="shared" ref="DX71:DY71" si="466">DX32+DX53</f>
        <v>-6483</v>
      </c>
      <c r="DY71" s="69">
        <f t="shared" si="466"/>
        <v>2534</v>
      </c>
      <c r="DZ71" s="130" t="str">
        <f t="shared" si="425"/>
        <v>NM</v>
      </c>
      <c r="EA71" s="69">
        <f t="shared" ref="EA71:EC71" si="467">EA32+EA53</f>
        <v>151</v>
      </c>
      <c r="EB71" s="130" t="str">
        <f t="shared" si="428"/>
        <v>NM</v>
      </c>
      <c r="EC71" s="69">
        <f t="shared" si="467"/>
        <v>1556</v>
      </c>
      <c r="ED71" s="130" t="str">
        <f t="shared" si="429"/>
        <v>NM</v>
      </c>
      <c r="EE71" s="69">
        <f t="shared" ref="EE71:EG71" si="468">EE32+EE53</f>
        <v>3514</v>
      </c>
      <c r="EF71" s="130" t="str">
        <f t="shared" si="431"/>
        <v>NM</v>
      </c>
      <c r="EG71" s="69">
        <f t="shared" si="468"/>
        <v>312</v>
      </c>
      <c r="EH71" s="130" t="str">
        <f t="shared" si="432"/>
        <v>NM</v>
      </c>
      <c r="EI71" s="69">
        <f t="shared" ref="EI71:EK71" si="469">EI32+EI53</f>
        <v>4955</v>
      </c>
      <c r="EJ71" s="130" t="str">
        <f t="shared" si="434"/>
        <v>NM</v>
      </c>
      <c r="EK71" s="69">
        <f t="shared" si="469"/>
        <v>3161</v>
      </c>
      <c r="EL71" s="130" t="str">
        <f t="shared" si="435"/>
        <v>NM</v>
      </c>
      <c r="EM71" s="69">
        <f t="shared" ref="EM71" si="470">EM32+EM53</f>
        <v>3713</v>
      </c>
      <c r="EN71" s="130">
        <f t="shared" si="437"/>
        <v>5.6630620375640373</v>
      </c>
      <c r="EO71" s="69">
        <f t="shared" si="464"/>
        <v>3905</v>
      </c>
      <c r="EP71" s="130" t="str">
        <f t="shared" si="439"/>
        <v>NM</v>
      </c>
      <c r="EQ71" s="69">
        <f t="shared" ref="EQ71:EW71" si="471">EQ32+EQ53</f>
        <v>-634.82451699810133</v>
      </c>
      <c r="ER71" s="130" t="str">
        <f t="shared" si="441"/>
        <v>NM</v>
      </c>
      <c r="ES71" s="69">
        <f t="shared" si="471"/>
        <v>1606.7636997530265</v>
      </c>
      <c r="ET71" s="130">
        <f t="shared" si="442"/>
        <v>-49.169133193513872</v>
      </c>
      <c r="EU71" s="69">
        <f t="shared" si="471"/>
        <v>1622.6147028111423</v>
      </c>
      <c r="EV71" s="130" t="str">
        <f t="shared" si="443"/>
        <v>NM</v>
      </c>
      <c r="EW71" s="69">
        <f t="shared" si="471"/>
        <v>1641.5082848143261</v>
      </c>
      <c r="EX71" s="130" t="str">
        <f t="shared" si="444"/>
        <v>NM</v>
      </c>
      <c r="EY71" s="64"/>
      <c r="EZ71" s="558"/>
      <c r="FA71" s="64"/>
      <c r="FB71" s="66"/>
      <c r="FC71" s="66"/>
      <c r="FD71" s="66"/>
      <c r="FE71" s="67"/>
      <c r="FF71" s="66"/>
      <c r="FG71" s="67"/>
      <c r="FH71" s="66"/>
      <c r="FI71" s="67"/>
      <c r="FJ71" s="66"/>
      <c r="FK71" s="67"/>
      <c r="FL71" s="66"/>
      <c r="FM71" s="61"/>
      <c r="FN71" s="66"/>
      <c r="FO71" s="61"/>
      <c r="FP71" s="65"/>
      <c r="FQ71" s="61"/>
      <c r="FR71" s="65"/>
      <c r="FS71" s="61"/>
      <c r="FT71" s="69">
        <f>FT32+FT53</f>
        <v>4761</v>
      </c>
      <c r="FU71" s="61" t="str">
        <f t="shared" si="445"/>
        <v>NA</v>
      </c>
      <c r="FV71" s="69">
        <f>FV32+FV53</f>
        <v>-21974</v>
      </c>
      <c r="FW71" s="61" t="str">
        <f t="shared" si="446"/>
        <v>NM</v>
      </c>
      <c r="FX71" s="69">
        <f>FX32+FX53</f>
        <v>12836</v>
      </c>
      <c r="FY71" s="61" t="str">
        <f t="shared" si="447"/>
        <v>NM</v>
      </c>
      <c r="FZ71" s="69">
        <f>FZ32+FZ53</f>
        <v>6947</v>
      </c>
      <c r="GA71" s="61">
        <f t="shared" si="448"/>
        <v>-45.878778435649735</v>
      </c>
      <c r="GB71" s="69">
        <f>GB32+GB53</f>
        <v>-1593</v>
      </c>
      <c r="GC71" s="61" t="str">
        <f t="shared" si="449"/>
        <v>NM</v>
      </c>
      <c r="GD71" s="69">
        <f>GD32+GD53</f>
        <v>8422</v>
      </c>
      <c r="GE71" s="61" t="str">
        <f t="shared" si="450"/>
        <v>NM</v>
      </c>
      <c r="GF71" s="69">
        <f>GF32+GF53</f>
        <v>13484</v>
      </c>
      <c r="GG71" s="61">
        <f t="shared" si="451"/>
        <v>60.104488245072417</v>
      </c>
      <c r="GH71" s="69">
        <f>GH32+GH53</f>
        <v>4232</v>
      </c>
      <c r="GI71" s="61" t="str">
        <f t="shared" si="451"/>
        <v>NM</v>
      </c>
      <c r="GJ71" s="69">
        <f>GJ32+GJ53</f>
        <v>-2091</v>
      </c>
      <c r="GK71" s="61" t="str">
        <f t="shared" si="451"/>
        <v>NM</v>
      </c>
      <c r="GL71" s="69">
        <f>GL32+GL53</f>
        <v>5533</v>
      </c>
      <c r="GM71" s="61" t="str">
        <f t="shared" si="451"/>
        <v>NM</v>
      </c>
      <c r="GN71" s="69">
        <f>GN32+GN53</f>
        <v>15734</v>
      </c>
      <c r="GO71" s="61" t="str">
        <f t="shared" si="451"/>
        <v>NM</v>
      </c>
      <c r="GP71" s="69">
        <f>GP32+GP53</f>
        <v>4236.0621703803936</v>
      </c>
      <c r="GQ71" s="61" t="str">
        <f t="shared" si="451"/>
        <v>NM</v>
      </c>
      <c r="GR71" s="69">
        <f>GR32+GR53</f>
        <v>6676.8826327189881</v>
      </c>
      <c r="GS71" s="61">
        <f t="shared" si="451"/>
        <v>57.620033988297472</v>
      </c>
      <c r="GT71" s="69">
        <f>GT32+GT53</f>
        <v>7062.6392334758393</v>
      </c>
      <c r="GU71" s="61">
        <f t="shared" si="451"/>
        <v>5.7774956065052452</v>
      </c>
      <c r="GV71" s="69">
        <f>GV32+GV53</f>
        <v>7494.5386829071258</v>
      </c>
      <c r="GW71" s="61">
        <f t="shared" si="451"/>
        <v>6.1152698750935652</v>
      </c>
      <c r="GX71" s="69">
        <f>GX32+GX53</f>
        <v>7979.0578659207895</v>
      </c>
      <c r="GY71" s="61">
        <f t="shared" si="452"/>
        <v>6.4649634021999525</v>
      </c>
      <c r="GZ71" s="61">
        <f t="shared" si="405"/>
        <v>-12.698341591844475</v>
      </c>
      <c r="HA71" s="61"/>
      <c r="HB71" s="452"/>
      <c r="HC71"/>
      <c r="HD71"/>
      <c r="HE71"/>
      <c r="HF71"/>
      <c r="HG71"/>
      <c r="HH71"/>
    </row>
    <row r="72" spans="2:216" s="5" customFormat="1" ht="12.75" customHeight="1" x14ac:dyDescent="0.2">
      <c r="B72" s="93" t="s">
        <v>165</v>
      </c>
      <c r="C72" s="66"/>
      <c r="D72" s="67"/>
      <c r="E72" s="66"/>
      <c r="F72" s="66"/>
      <c r="G72" s="64"/>
      <c r="H72" s="66"/>
      <c r="I72" s="64"/>
      <c r="J72" s="66"/>
      <c r="K72" s="64"/>
      <c r="L72" s="61"/>
      <c r="M72" s="66"/>
      <c r="N72" s="61"/>
      <c r="O72" s="64"/>
      <c r="P72" s="61"/>
      <c r="Q72" s="64"/>
      <c r="R72" s="61"/>
      <c r="S72" s="64"/>
      <c r="T72" s="61"/>
      <c r="U72" s="64"/>
      <c r="V72" s="61"/>
      <c r="W72" s="64"/>
      <c r="X72" s="61"/>
      <c r="Y72" s="64"/>
      <c r="Z72" s="61"/>
      <c r="AA72" s="64"/>
      <c r="AB72" s="61"/>
      <c r="AC72" s="64"/>
      <c r="AD72" s="61"/>
      <c r="AE72" s="64"/>
      <c r="AF72" s="61"/>
      <c r="AG72" s="64"/>
      <c r="AH72" s="61"/>
      <c r="AI72" s="64"/>
      <c r="AJ72" s="61"/>
      <c r="AK72" s="64"/>
      <c r="AL72" s="61"/>
      <c r="AM72" s="64"/>
      <c r="AN72" s="61"/>
      <c r="AO72" s="64"/>
      <c r="AP72" s="61"/>
      <c r="AQ72" s="64"/>
      <c r="AR72" s="61"/>
      <c r="AS72" s="64"/>
      <c r="AT72" s="61"/>
      <c r="AU72" s="64"/>
      <c r="AV72" s="61"/>
      <c r="AW72" s="64"/>
      <c r="AX72" s="61"/>
      <c r="AY72" s="64"/>
      <c r="AZ72" s="61"/>
      <c r="BA72" s="64"/>
      <c r="BB72" s="61"/>
      <c r="BC72" s="64"/>
      <c r="BD72" s="61"/>
      <c r="BE72" s="64"/>
      <c r="BF72" s="61"/>
      <c r="BG72" s="69">
        <f>BG33+BG54</f>
        <v>0</v>
      </c>
      <c r="BH72" s="61" t="str">
        <f t="shared" si="406"/>
        <v>NA</v>
      </c>
      <c r="BI72" s="69">
        <f>BI33+BI54</f>
        <v>0</v>
      </c>
      <c r="BJ72" s="61" t="str">
        <f t="shared" si="407"/>
        <v>NA</v>
      </c>
      <c r="BK72" s="69">
        <f>BK33+BK54</f>
        <v>0</v>
      </c>
      <c r="BL72" s="61" t="str">
        <f t="shared" si="408"/>
        <v>NA</v>
      </c>
      <c r="BM72" s="69">
        <f>BM33+BM54</f>
        <v>0</v>
      </c>
      <c r="BN72" s="61" t="str">
        <f t="shared" si="409"/>
        <v>NA</v>
      </c>
      <c r="BO72" s="69">
        <f>BO33+BO54</f>
        <v>0</v>
      </c>
      <c r="BP72" s="61" t="str">
        <f t="shared" si="410"/>
        <v>NA</v>
      </c>
      <c r="BQ72" s="69">
        <f>BQ33+BQ54</f>
        <v>0</v>
      </c>
      <c r="BR72" s="61" t="str">
        <f t="shared" si="411"/>
        <v>NA</v>
      </c>
      <c r="BS72" s="69">
        <f>BS33+BS54</f>
        <v>0</v>
      </c>
      <c r="BT72" s="61" t="str">
        <f t="shared" si="412"/>
        <v>NA</v>
      </c>
      <c r="BU72" s="69">
        <f>BU33+BU54</f>
        <v>0</v>
      </c>
      <c r="BV72" s="61" t="str">
        <f t="shared" si="413"/>
        <v>NA</v>
      </c>
      <c r="BW72" s="69">
        <f>BW33+BW54</f>
        <v>0</v>
      </c>
      <c r="BX72" s="61" t="str">
        <f t="shared" si="414"/>
        <v>NA</v>
      </c>
      <c r="BY72" s="69">
        <f>BY33+BY54</f>
        <v>0</v>
      </c>
      <c r="BZ72" s="61" t="str">
        <f t="shared" si="415"/>
        <v>NA</v>
      </c>
      <c r="CA72" s="69">
        <f>CA33+CA54</f>
        <v>0</v>
      </c>
      <c r="CB72" s="61" t="str">
        <f t="shared" si="416"/>
        <v>NA</v>
      </c>
      <c r="CC72" s="69">
        <f>CC33+CC54</f>
        <v>0</v>
      </c>
      <c r="CD72" s="61" t="str">
        <f t="shared" si="417"/>
        <v>NA</v>
      </c>
      <c r="CE72" s="69">
        <f>CE33+CE54</f>
        <v>0</v>
      </c>
      <c r="CF72" s="61" t="str">
        <f t="shared" si="418"/>
        <v>NA</v>
      </c>
      <c r="CG72" s="69">
        <f>CG33+CG54</f>
        <v>0</v>
      </c>
      <c r="CH72" s="61" t="str">
        <f t="shared" si="419"/>
        <v>NA</v>
      </c>
      <c r="CI72" s="69">
        <f>CI33+CI54</f>
        <v>0</v>
      </c>
      <c r="CJ72" s="61" t="str">
        <f t="shared" si="420"/>
        <v>NA</v>
      </c>
      <c r="CK72" s="69">
        <f>CK33+CK54</f>
        <v>0</v>
      </c>
      <c r="CL72" s="61" t="str">
        <f t="shared" si="421"/>
        <v>NA</v>
      </c>
      <c r="CM72" s="69">
        <f>CM33+CM54</f>
        <v>0</v>
      </c>
      <c r="CN72" s="61" t="str">
        <f t="shared" si="422"/>
        <v>NA</v>
      </c>
      <c r="CO72" s="69">
        <f>CO33+CO54</f>
        <v>8</v>
      </c>
      <c r="CP72" s="61" t="str">
        <f t="shared" si="423"/>
        <v>NA</v>
      </c>
      <c r="CQ72" s="69">
        <f>CQ33+CQ54</f>
        <v>10</v>
      </c>
      <c r="CR72" s="61" t="str">
        <f t="shared" si="423"/>
        <v>NA</v>
      </c>
      <c r="CS72" s="69">
        <f>CS33+CS54</f>
        <v>10</v>
      </c>
      <c r="CT72" s="61" t="str">
        <f t="shared" si="423"/>
        <v>NA</v>
      </c>
      <c r="CU72" s="69">
        <f>CU33+CU54</f>
        <v>9</v>
      </c>
      <c r="CV72" s="61" t="str">
        <f t="shared" si="423"/>
        <v>NA</v>
      </c>
      <c r="CW72" s="69">
        <f>CW33+CW54</f>
        <v>9</v>
      </c>
      <c r="CX72" s="61">
        <f t="shared" si="423"/>
        <v>12.5</v>
      </c>
      <c r="CY72" s="69">
        <f>CY33+CY54</f>
        <v>11</v>
      </c>
      <c r="CZ72" s="61">
        <f t="shared" si="423"/>
        <v>10.000000000000009</v>
      </c>
      <c r="DA72" s="69">
        <f>DA33+DA54</f>
        <v>7</v>
      </c>
      <c r="DB72" s="61">
        <f t="shared" si="423"/>
        <v>-30.000000000000004</v>
      </c>
      <c r="DC72" s="69">
        <f>DC33+DC54</f>
        <v>2</v>
      </c>
      <c r="DD72" s="61" t="str">
        <f t="shared" si="423"/>
        <v>NM</v>
      </c>
      <c r="DE72" s="69">
        <f>DE33+DE54</f>
        <v>3</v>
      </c>
      <c r="DF72" s="61" t="str">
        <f t="shared" si="423"/>
        <v>NM</v>
      </c>
      <c r="DG72" s="69">
        <f>DG33+DG54</f>
        <v>2</v>
      </c>
      <c r="DH72" s="61" t="str">
        <f t="shared" si="423"/>
        <v>NM</v>
      </c>
      <c r="DI72" s="69">
        <f>DI33+DI54</f>
        <v>2</v>
      </c>
      <c r="DJ72" s="61" t="str">
        <f t="shared" si="423"/>
        <v>NM</v>
      </c>
      <c r="DK72" s="69">
        <f>DK33+DK54</f>
        <v>2</v>
      </c>
      <c r="DL72" s="61">
        <f t="shared" si="424"/>
        <v>0</v>
      </c>
      <c r="DM72" s="69">
        <f>DM33+DM54</f>
        <v>1</v>
      </c>
      <c r="DN72" s="130" t="str">
        <f t="shared" si="425"/>
        <v>NM</v>
      </c>
      <c r="DO72" s="69">
        <f>DO33+DO54</f>
        <v>1</v>
      </c>
      <c r="DP72" s="130">
        <f t="shared" si="425"/>
        <v>-50</v>
      </c>
      <c r="DQ72" s="69">
        <f>DQ33+DQ54</f>
        <v>2</v>
      </c>
      <c r="DR72" s="130">
        <f t="shared" si="425"/>
        <v>0</v>
      </c>
      <c r="DS72" s="69">
        <f>DS33+DS54</f>
        <v>5</v>
      </c>
      <c r="DT72" s="130" t="str">
        <f t="shared" si="425"/>
        <v>NM</v>
      </c>
      <c r="DU72" s="69">
        <f>DU33+DU54</f>
        <v>7</v>
      </c>
      <c r="DV72" s="130" t="str">
        <f t="shared" si="425"/>
        <v>NM</v>
      </c>
      <c r="DW72" s="69">
        <f>DW33+DW54</f>
        <v>3</v>
      </c>
      <c r="DX72" s="69">
        <f t="shared" ref="DX72:DY72" si="472">DX33+DX54</f>
        <v>3</v>
      </c>
      <c r="DY72" s="69">
        <f t="shared" si="472"/>
        <v>6</v>
      </c>
      <c r="DZ72" s="130" t="str">
        <f t="shared" si="425"/>
        <v>NM</v>
      </c>
      <c r="EA72" s="69">
        <f t="shared" ref="EA72:EC72" si="473">EA33+EA54</f>
        <v>7</v>
      </c>
      <c r="EB72" s="130">
        <f t="shared" si="428"/>
        <v>39.999999999999993</v>
      </c>
      <c r="EC72" s="69">
        <f t="shared" si="473"/>
        <v>4</v>
      </c>
      <c r="ED72" s="130">
        <f t="shared" si="429"/>
        <v>-42.857142857142861</v>
      </c>
      <c r="EE72" s="69">
        <f t="shared" ref="EE72:EG72" si="474">EE33+EE54</f>
        <v>2</v>
      </c>
      <c r="EF72" s="130">
        <f t="shared" si="431"/>
        <v>-33.333333333333336</v>
      </c>
      <c r="EG72" s="69">
        <f t="shared" si="474"/>
        <v>2</v>
      </c>
      <c r="EH72" s="130" t="str">
        <f t="shared" si="432"/>
        <v>NM</v>
      </c>
      <c r="EI72" s="69">
        <f t="shared" ref="EI72:EK72" si="475">EI33+EI54</f>
        <v>2</v>
      </c>
      <c r="EJ72" s="130" t="str">
        <f t="shared" si="434"/>
        <v>NM</v>
      </c>
      <c r="EK72" s="69">
        <f t="shared" si="475"/>
        <v>3</v>
      </c>
      <c r="EL72" s="130">
        <f t="shared" si="435"/>
        <v>-25</v>
      </c>
      <c r="EM72" s="69">
        <f t="shared" ref="EM72" si="476">EM33+EM54</f>
        <v>5</v>
      </c>
      <c r="EN72" s="130" t="str">
        <f t="shared" si="437"/>
        <v>NM</v>
      </c>
      <c r="EO72" s="69">
        <f t="shared" si="464"/>
        <v>9</v>
      </c>
      <c r="EP72" s="130" t="str">
        <f t="shared" si="439"/>
        <v>NM</v>
      </c>
      <c r="EQ72" s="69">
        <f t="shared" ref="EQ72:EW72" si="477">EQ33+EQ54</f>
        <v>2</v>
      </c>
      <c r="ER72" s="130">
        <f t="shared" si="441"/>
        <v>0</v>
      </c>
      <c r="ES72" s="69">
        <f t="shared" si="477"/>
        <v>3</v>
      </c>
      <c r="ET72" s="130">
        <f t="shared" si="442"/>
        <v>0</v>
      </c>
      <c r="EU72" s="69">
        <f t="shared" si="477"/>
        <v>5</v>
      </c>
      <c r="EV72" s="130">
        <f t="shared" si="443"/>
        <v>0</v>
      </c>
      <c r="EW72" s="69">
        <f t="shared" si="477"/>
        <v>9</v>
      </c>
      <c r="EX72" s="130">
        <f t="shared" si="444"/>
        <v>0</v>
      </c>
      <c r="EY72" s="64"/>
      <c r="EZ72" s="558"/>
      <c r="FA72" s="64"/>
      <c r="FB72" s="66"/>
      <c r="FC72" s="66"/>
      <c r="FD72" s="66"/>
      <c r="FE72" s="67"/>
      <c r="FF72" s="66"/>
      <c r="FG72" s="67"/>
      <c r="FH72" s="66"/>
      <c r="FI72" s="67"/>
      <c r="FJ72" s="66"/>
      <c r="FK72" s="67"/>
      <c r="FL72" s="66"/>
      <c r="FM72" s="61"/>
      <c r="FN72" s="66"/>
      <c r="FO72" s="61"/>
      <c r="FP72" s="65"/>
      <c r="FQ72" s="61"/>
      <c r="FR72" s="65"/>
      <c r="FS72" s="61"/>
      <c r="FT72" s="69">
        <f>FT33+FT54</f>
        <v>0</v>
      </c>
      <c r="FU72" s="61" t="str">
        <f t="shared" si="445"/>
        <v>NA</v>
      </c>
      <c r="FV72" s="69">
        <f>FV33+FV54</f>
        <v>0</v>
      </c>
      <c r="FW72" s="61" t="str">
        <f t="shared" si="446"/>
        <v>NA</v>
      </c>
      <c r="FX72" s="69">
        <f>FX33+FX54</f>
        <v>0</v>
      </c>
      <c r="FY72" s="61" t="str">
        <f t="shared" si="447"/>
        <v>NA</v>
      </c>
      <c r="FZ72" s="69">
        <f>FZ33+FZ54</f>
        <v>0</v>
      </c>
      <c r="GA72" s="61" t="str">
        <f t="shared" si="448"/>
        <v>NA</v>
      </c>
      <c r="GB72" s="69">
        <f>GB33+GB54</f>
        <v>28</v>
      </c>
      <c r="GC72" s="61" t="str">
        <f t="shared" si="449"/>
        <v>NA</v>
      </c>
      <c r="GD72" s="69">
        <f>GD33+GD54</f>
        <v>36</v>
      </c>
      <c r="GE72" s="61">
        <f t="shared" si="450"/>
        <v>28.57142857142858</v>
      </c>
      <c r="GF72" s="69">
        <f>GF33+GF54</f>
        <v>9</v>
      </c>
      <c r="GG72" s="61" t="str">
        <f t="shared" si="451"/>
        <v>NM</v>
      </c>
      <c r="GH72" s="69">
        <f>GH33+GH54</f>
        <v>6</v>
      </c>
      <c r="GI72" s="61">
        <f t="shared" si="451"/>
        <v>-33.333333333333336</v>
      </c>
      <c r="GJ72" s="69">
        <f>GJ33+GJ54</f>
        <v>21</v>
      </c>
      <c r="GK72" s="61" t="str">
        <f t="shared" si="451"/>
        <v>NM</v>
      </c>
      <c r="GL72" s="69">
        <f>GL33+GL54</f>
        <v>15</v>
      </c>
      <c r="GM72" s="61">
        <f t="shared" si="451"/>
        <v>-28.571428571428569</v>
      </c>
      <c r="GN72" s="69">
        <f>GN33+GN54</f>
        <v>19</v>
      </c>
      <c r="GO72" s="61">
        <f t="shared" si="451"/>
        <v>26.666666666666661</v>
      </c>
      <c r="GP72" s="69">
        <f>GP33+GP54</f>
        <v>19</v>
      </c>
      <c r="GQ72" s="61">
        <f t="shared" si="451"/>
        <v>0</v>
      </c>
      <c r="GR72" s="69">
        <f>GR33+GR54</f>
        <v>19</v>
      </c>
      <c r="GS72" s="61">
        <f t="shared" si="451"/>
        <v>0</v>
      </c>
      <c r="GT72" s="69">
        <f>GT33+GT54</f>
        <v>19</v>
      </c>
      <c r="GU72" s="61">
        <f t="shared" si="451"/>
        <v>0</v>
      </c>
      <c r="GV72" s="69">
        <f>GV33+GV54</f>
        <v>19</v>
      </c>
      <c r="GW72" s="61">
        <f t="shared" si="451"/>
        <v>0</v>
      </c>
      <c r="GX72" s="69">
        <f>GX33+GX54</f>
        <v>19</v>
      </c>
      <c r="GY72" s="61">
        <f t="shared" si="452"/>
        <v>0</v>
      </c>
      <c r="GZ72" s="61">
        <f t="shared" si="405"/>
        <v>0</v>
      </c>
      <c r="HA72" s="61"/>
      <c r="HB72" s="452"/>
      <c r="HC72"/>
      <c r="HD72"/>
      <c r="HE72"/>
      <c r="HF72"/>
      <c r="HG72"/>
      <c r="HH72"/>
    </row>
    <row r="73" spans="2:216" s="5" customFormat="1" ht="12.75" customHeight="1" x14ac:dyDescent="0.2">
      <c r="B73" s="241" t="s">
        <v>237</v>
      </c>
      <c r="C73" s="66"/>
      <c r="D73" s="67"/>
      <c r="E73" s="66"/>
      <c r="F73" s="66"/>
      <c r="G73" s="64"/>
      <c r="H73" s="66"/>
      <c r="I73" s="64"/>
      <c r="J73" s="66"/>
      <c r="K73" s="64"/>
      <c r="L73" s="61"/>
      <c r="M73" s="66"/>
      <c r="N73" s="61"/>
      <c r="O73" s="64"/>
      <c r="P73" s="61"/>
      <c r="Q73" s="64"/>
      <c r="R73" s="61"/>
      <c r="S73" s="64"/>
      <c r="T73" s="61"/>
      <c r="U73" s="64"/>
      <c r="V73" s="61"/>
      <c r="W73" s="64"/>
      <c r="X73" s="61"/>
      <c r="Y73" s="64"/>
      <c r="Z73" s="61"/>
      <c r="AA73" s="64"/>
      <c r="AB73" s="61"/>
      <c r="AC73" s="64"/>
      <c r="AD73" s="61"/>
      <c r="AE73" s="64"/>
      <c r="AF73" s="61"/>
      <c r="AG73" s="64"/>
      <c r="AH73" s="61"/>
      <c r="AI73" s="64"/>
      <c r="AJ73" s="61"/>
      <c r="AK73" s="64"/>
      <c r="AL73" s="61"/>
      <c r="AM73" s="64"/>
      <c r="AN73" s="61"/>
      <c r="AO73" s="64"/>
      <c r="AP73" s="61"/>
      <c r="AQ73" s="64"/>
      <c r="AR73" s="61"/>
      <c r="AS73" s="64"/>
      <c r="AT73" s="61"/>
      <c r="AU73" s="64"/>
      <c r="AV73" s="61"/>
      <c r="AW73" s="64"/>
      <c r="AX73" s="61"/>
      <c r="AY73" s="64"/>
      <c r="AZ73" s="61"/>
      <c r="BA73" s="64"/>
      <c r="BB73" s="61"/>
      <c r="BC73" s="64"/>
      <c r="BD73" s="61"/>
      <c r="BE73" s="64"/>
      <c r="BF73" s="61"/>
      <c r="BG73" s="65">
        <f>BG68+BG69+BG70+BG71+BG72</f>
        <v>68438</v>
      </c>
      <c r="BH73" s="61" t="str">
        <f t="shared" si="406"/>
        <v>NA</v>
      </c>
      <c r="BI73" s="65">
        <f>BI68+BI69+BI70+BI71+BI72</f>
        <v>73039</v>
      </c>
      <c r="BJ73" s="61" t="str">
        <f t="shared" si="407"/>
        <v>NA</v>
      </c>
      <c r="BK73" s="65">
        <f>BK68+BK69+BK70+BK71+BK72</f>
        <v>76107</v>
      </c>
      <c r="BL73" s="61" t="str">
        <f t="shared" si="408"/>
        <v>NA</v>
      </c>
      <c r="BM73" s="65">
        <f>BM68+BM69+BM70+BM71+BM72</f>
        <v>76464</v>
      </c>
      <c r="BN73" s="61" t="str">
        <f t="shared" si="409"/>
        <v>NA</v>
      </c>
      <c r="BO73" s="65">
        <f>BO68+BO69+BO70+BO71+BO72</f>
        <v>72667</v>
      </c>
      <c r="BP73" s="61">
        <f t="shared" si="410"/>
        <v>6.179315584908962</v>
      </c>
      <c r="BQ73" s="65">
        <f>BQ68+BQ69+BQ70+BQ71+BQ72</f>
        <v>73654</v>
      </c>
      <c r="BR73" s="61">
        <f t="shared" si="411"/>
        <v>0.84201590930872428</v>
      </c>
      <c r="BS73" s="65">
        <f>BS68+BS69+BS70+BS71+BS72</f>
        <v>67671</v>
      </c>
      <c r="BT73" s="61">
        <f t="shared" si="412"/>
        <v>-11.084394339548265</v>
      </c>
      <c r="BU73" s="65">
        <f>BU68+BU69+BU70+BU71+BU72</f>
        <v>58580</v>
      </c>
      <c r="BV73" s="61">
        <f t="shared" si="413"/>
        <v>-23.388784264490482</v>
      </c>
      <c r="BW73" s="65">
        <f>BW68+BW69+BW70+BW71+BW72</f>
        <v>57154</v>
      </c>
      <c r="BX73" s="61">
        <f t="shared" si="414"/>
        <v>-21.348067210700872</v>
      </c>
      <c r="BY73" s="65">
        <f>BY68+BY69+BY70+BY71+BY72</f>
        <v>64119</v>
      </c>
      <c r="BZ73" s="61">
        <f t="shared" si="415"/>
        <v>-12.945664865451977</v>
      </c>
      <c r="CA73" s="65">
        <f>CA68+CA69+CA70+CA71+CA72</f>
        <v>72195</v>
      </c>
      <c r="CB73" s="61">
        <f t="shared" si="416"/>
        <v>6.6852861639402406</v>
      </c>
      <c r="CC73" s="65">
        <f>CC68+CC69+CC70+CC71+CC72</f>
        <v>75308</v>
      </c>
      <c r="CD73" s="61">
        <f t="shared" si="417"/>
        <v>28.555821099351309</v>
      </c>
      <c r="CE73" s="65">
        <f>CE68+CE69+CE70+CE71+CE72</f>
        <v>77857</v>
      </c>
      <c r="CF73" s="61">
        <f t="shared" si="418"/>
        <v>36.22318647863667</v>
      </c>
      <c r="CG73" s="65">
        <f>CG68+CG69+CG70+CG71+CG72</f>
        <v>74318</v>
      </c>
      <c r="CH73" s="61">
        <f t="shared" si="419"/>
        <v>15.906361608883479</v>
      </c>
      <c r="CI73" s="65">
        <f>CI68+CI69+CI70+CI71+CI72</f>
        <v>81207</v>
      </c>
      <c r="CJ73" s="61">
        <f t="shared" si="420"/>
        <v>12.482858923748186</v>
      </c>
      <c r="CK73" s="65">
        <f>CK68+CK69+CK70+CK71+CK72</f>
        <v>85810</v>
      </c>
      <c r="CL73" s="61">
        <f t="shared" si="421"/>
        <v>13.945397567323514</v>
      </c>
      <c r="CM73" s="65">
        <f>CM68+CM69+CM70+CM71+CM72</f>
        <v>88734</v>
      </c>
      <c r="CN73" s="61">
        <f t="shared" si="422"/>
        <v>13.970484349512557</v>
      </c>
      <c r="CO73" s="65">
        <f>CO68+CO69+CO70+CO71+CO72</f>
        <v>89775</v>
      </c>
      <c r="CP73" s="61">
        <f t="shared" si="423"/>
        <v>20.79846066901694</v>
      </c>
      <c r="CQ73" s="65">
        <f>CQ68+CQ69+CQ70+CQ71+CQ72</f>
        <v>82149</v>
      </c>
      <c r="CR73" s="61">
        <f t="shared" si="423"/>
        <v>1.1599985222948694</v>
      </c>
      <c r="CS73" s="65">
        <f>CS68+CS69+CS70+CS71+CS72</f>
        <v>86436</v>
      </c>
      <c r="CT73" s="61">
        <f t="shared" si="423"/>
        <v>0.72951870411372965</v>
      </c>
      <c r="CU73" s="65">
        <f>CU68+CU69+CU70+CU71+CU72</f>
        <v>92552</v>
      </c>
      <c r="CV73" s="61">
        <f t="shared" si="423"/>
        <v>4.3027475375842394</v>
      </c>
      <c r="CW73" s="65">
        <f>CW68+CW69+CW70+CW71+CW72</f>
        <v>91249</v>
      </c>
      <c r="CX73" s="61">
        <f t="shared" si="423"/>
        <v>1.6418824839877555</v>
      </c>
      <c r="CY73" s="65">
        <f>CY68+CY69+CY70+CY71+CY72</f>
        <v>95043</v>
      </c>
      <c r="CZ73" s="61">
        <f t="shared" si="423"/>
        <v>15.695869700178932</v>
      </c>
      <c r="DA73" s="65">
        <f>DA68+DA69+DA70+DA71+DA72</f>
        <v>97344</v>
      </c>
      <c r="DB73" s="61">
        <f t="shared" si="423"/>
        <v>12.619741774260728</v>
      </c>
      <c r="DC73" s="65">
        <f>DC68+DC69+DC70+DC71+DC72</f>
        <v>102226</v>
      </c>
      <c r="DD73" s="61">
        <f t="shared" si="423"/>
        <v>10.452502377042094</v>
      </c>
      <c r="DE73" s="65">
        <f>DE68+DE69+DE70+DE71+DE72</f>
        <v>103889</v>
      </c>
      <c r="DF73" s="61">
        <f t="shared" si="423"/>
        <v>13.852206599524376</v>
      </c>
      <c r="DG73" s="65">
        <f>DG68+DG69+DG70+DG71+DG72</f>
        <v>109478</v>
      </c>
      <c r="DH73" s="61">
        <f t="shared" si="423"/>
        <v>15.187862335995295</v>
      </c>
      <c r="DI73" s="65">
        <f>DI68+DI69+DI70+DI71+DI72</f>
        <v>115850</v>
      </c>
      <c r="DJ73" s="61">
        <f t="shared" si="423"/>
        <v>19.010930309007222</v>
      </c>
      <c r="DK73" s="65">
        <f>DK68+DK69+DK70+DK71+DK72</f>
        <v>117528</v>
      </c>
      <c r="DL73" s="61">
        <f t="shared" si="424"/>
        <v>14.968794631502757</v>
      </c>
      <c r="DM73" s="65">
        <f>DM68+DM69+DM70+DM71+DM72</f>
        <v>121918</v>
      </c>
      <c r="DN73" s="130">
        <f t="shared" si="425"/>
        <v>17.354099086525032</v>
      </c>
      <c r="DO73" s="65">
        <f>DO68+DO69+DO70+DO71+DO72</f>
        <v>120984</v>
      </c>
      <c r="DP73" s="130">
        <f t="shared" si="425"/>
        <v>10.509874129962181</v>
      </c>
      <c r="DQ73" s="65">
        <f>DQ68+DQ69+DQ70+DQ71+DQ72</f>
        <v>122734</v>
      </c>
      <c r="DR73" s="130">
        <f t="shared" si="425"/>
        <v>5.9421665947345659</v>
      </c>
      <c r="DS73" s="65">
        <f>DS68+DS69+DS70+DS71+DS72</f>
        <v>124930</v>
      </c>
      <c r="DT73" s="130">
        <f t="shared" si="425"/>
        <v>6.2980736505343415</v>
      </c>
      <c r="DU73" s="65">
        <f>DU68+DU69+DU70+DU71+DU72</f>
        <v>125197</v>
      </c>
      <c r="DV73" s="130">
        <f t="shared" si="425"/>
        <v>2.6895126232385769</v>
      </c>
      <c r="DW73" s="65">
        <f>DW68+DW69+DW70+DW71+DW72</f>
        <v>119253</v>
      </c>
      <c r="DX73" s="65">
        <f t="shared" ref="DX73:DY73" si="478">DX68+DX69+DX70+DX71+DX72</f>
        <v>-5942.0208907321085</v>
      </c>
      <c r="DY73" s="65">
        <f t="shared" si="478"/>
        <v>122228</v>
      </c>
      <c r="DZ73" s="130">
        <f t="shared" si="425"/>
        <v>-0.4122736975899044</v>
      </c>
      <c r="EA73" s="65">
        <f t="shared" ref="EA73:EC73" si="479">EA68+EA69+EA70+EA71+EA72</f>
        <v>122351</v>
      </c>
      <c r="EB73" s="130">
        <f t="shared" si="428"/>
        <v>-2.0643560393820537</v>
      </c>
      <c r="EC73" s="65">
        <f t="shared" si="479"/>
        <v>123459</v>
      </c>
      <c r="ED73" s="130">
        <f t="shared" si="429"/>
        <v>-1.3882121776080947</v>
      </c>
      <c r="EE73" s="65">
        <f t="shared" ref="EE73:EG73" si="480">EE68+EE69+EE70+EE71+EE72</f>
        <v>126107</v>
      </c>
      <c r="EF73" s="130">
        <f t="shared" si="431"/>
        <v>5.7474445087335235</v>
      </c>
      <c r="EG73" s="65">
        <f t="shared" si="480"/>
        <v>125489</v>
      </c>
      <c r="EH73" s="130">
        <f t="shared" si="432"/>
        <v>2.6679647871191481</v>
      </c>
      <c r="EI73" s="65">
        <f t="shared" ref="EI73:EK73" si="481">EI68+EI69+EI70+EI71+EI72</f>
        <v>129502</v>
      </c>
      <c r="EJ73" s="130">
        <f t="shared" si="434"/>
        <v>5.8446600354717271</v>
      </c>
      <c r="EK73" s="65">
        <f t="shared" si="481"/>
        <v>131591</v>
      </c>
      <c r="EL73" s="130">
        <f t="shared" si="435"/>
        <v>6.5868020962424723</v>
      </c>
      <c r="EM73" s="65">
        <f t="shared" ref="EM73" si="482">EM68+EM69+EM70+EM71+EM72</f>
        <v>134284</v>
      </c>
      <c r="EN73" s="130">
        <f t="shared" si="437"/>
        <v>6.4841761361383643</v>
      </c>
      <c r="EO73" s="65">
        <f t="shared" ref="EO73" si="483">EO68+EO69+EO70+EO71+EO72</f>
        <v>137784</v>
      </c>
      <c r="EP73" s="130">
        <f t="shared" si="439"/>
        <v>9.7976715090565705</v>
      </c>
      <c r="EQ73" s="65">
        <f t="shared" ref="EQ73:EW73" si="484">EQ68+EQ69+EQ70+EQ71+EQ72</f>
        <v>136658.01922669448</v>
      </c>
      <c r="ER73" s="130">
        <f t="shared" si="441"/>
        <v>5.5257982322238108</v>
      </c>
      <c r="ES73" s="65">
        <f t="shared" si="484"/>
        <v>138026.46907662234</v>
      </c>
      <c r="ET73" s="130">
        <f t="shared" si="442"/>
        <v>4.890508527651849</v>
      </c>
      <c r="EU73" s="65">
        <f t="shared" si="484"/>
        <v>139654.62932689846</v>
      </c>
      <c r="EV73" s="130">
        <f t="shared" si="443"/>
        <v>3.999455874786606</v>
      </c>
      <c r="EW73" s="65">
        <f t="shared" si="484"/>
        <v>141549.88504574617</v>
      </c>
      <c r="EX73" s="130">
        <f t="shared" si="444"/>
        <v>2.7331802282893225</v>
      </c>
      <c r="EY73" s="64"/>
      <c r="EZ73" s="558"/>
      <c r="FA73" s="64"/>
      <c r="FB73" s="66"/>
      <c r="FC73" s="66"/>
      <c r="FD73" s="66"/>
      <c r="FE73" s="67"/>
      <c r="FF73" s="66"/>
      <c r="FG73" s="67"/>
      <c r="FH73" s="66"/>
      <c r="FI73" s="67"/>
      <c r="FJ73" s="66"/>
      <c r="FK73" s="67"/>
      <c r="FL73" s="66"/>
      <c r="FM73" s="61"/>
      <c r="FN73" s="66"/>
      <c r="FO73" s="61"/>
      <c r="FP73" s="65"/>
      <c r="FQ73" s="61"/>
      <c r="FR73" s="65"/>
      <c r="FS73" s="61"/>
      <c r="FT73" s="65">
        <f>FT68+FT69+FT70+FT71+FT72</f>
        <v>76464</v>
      </c>
      <c r="FU73" s="61" t="str">
        <f t="shared" si="445"/>
        <v>NA</v>
      </c>
      <c r="FV73" s="65">
        <f>FV68+FV69+FV70+FV71+FV72</f>
        <v>58580</v>
      </c>
      <c r="FW73" s="61">
        <f t="shared" si="446"/>
        <v>-23.388784264490482</v>
      </c>
      <c r="FX73" s="65">
        <f>FX68+FX69+FX70+FX71+FX72</f>
        <v>75308</v>
      </c>
      <c r="FY73" s="61">
        <f t="shared" si="447"/>
        <v>28.555821099351309</v>
      </c>
      <c r="FZ73" s="65">
        <f>FZ68+FZ69+FZ70+FZ71+FZ72</f>
        <v>85810</v>
      </c>
      <c r="GA73" s="61">
        <f t="shared" si="448"/>
        <v>13.945397567323514</v>
      </c>
      <c r="GB73" s="65">
        <f>GB68+GB69+GB70+GB71+GB72</f>
        <v>86436</v>
      </c>
      <c r="GC73" s="61">
        <f t="shared" si="449"/>
        <v>0.72951870411372965</v>
      </c>
      <c r="GD73" s="65">
        <f>GD68+GD69+GD70+GD71+GD72</f>
        <v>97344</v>
      </c>
      <c r="GE73" s="61">
        <f t="shared" si="450"/>
        <v>12.619741774260728</v>
      </c>
      <c r="GF73" s="65">
        <f>GF68+GF69+GF70+GF71+GF72</f>
        <v>115850</v>
      </c>
      <c r="GG73" s="61">
        <f t="shared" si="451"/>
        <v>19.010930309007222</v>
      </c>
      <c r="GH73" s="65">
        <f>GH68+GH69+GH70+GH71+GH72</f>
        <v>122734</v>
      </c>
      <c r="GI73" s="61">
        <f t="shared" si="451"/>
        <v>5.9421665947345659</v>
      </c>
      <c r="GJ73" s="65">
        <f>GJ68+GJ69+GJ70+GJ71+GJ72</f>
        <v>122228</v>
      </c>
      <c r="GK73" s="61">
        <f t="shared" si="451"/>
        <v>-0.4122736975899044</v>
      </c>
      <c r="GL73" s="65">
        <f>GL68+GL69+GL70+GL71+GL72</f>
        <v>125489</v>
      </c>
      <c r="GM73" s="61">
        <f t="shared" si="451"/>
        <v>2.6679647871191481</v>
      </c>
      <c r="GN73" s="65">
        <f>GN68+GN69+GN70+GN71+GN72</f>
        <v>137784</v>
      </c>
      <c r="GO73" s="61">
        <f t="shared" si="451"/>
        <v>9.7976715090565705</v>
      </c>
      <c r="GP73" s="65">
        <f>GP68+GP69+GP70+GP71+GP72</f>
        <v>141549.88504574617</v>
      </c>
      <c r="GQ73" s="61">
        <f t="shared" si="451"/>
        <v>2.7331802282893225</v>
      </c>
      <c r="GR73" s="65">
        <f>GR68+GR69+GR70+GR71+GR72</f>
        <v>149764.69676589785</v>
      </c>
      <c r="GS73" s="61">
        <f t="shared" si="451"/>
        <v>5.8034746672502191</v>
      </c>
      <c r="GT73" s="65">
        <f>GT68+GT69+GT70+GT71+GT72</f>
        <v>158936.11242224992</v>
      </c>
      <c r="GU73" s="61">
        <f t="shared" si="451"/>
        <v>6.1238835682939419</v>
      </c>
      <c r="GV73" s="65">
        <f>GV68+GV69+GV70+GV71+GV72</f>
        <v>169199.49938737831</v>
      </c>
      <c r="GW73" s="61">
        <f t="shared" si="451"/>
        <v>6.4575550570038942</v>
      </c>
      <c r="GX73" s="65">
        <f>GX68+GX69+GX70+GX71+GX72</f>
        <v>180714.23298017954</v>
      </c>
      <c r="GY73" s="61">
        <f t="shared" si="452"/>
        <v>6.8054182397067953</v>
      </c>
      <c r="GZ73" s="61">
        <f t="shared" si="405"/>
        <v>5.5744223923926084</v>
      </c>
      <c r="HA73" s="61"/>
      <c r="HB73" s="452"/>
      <c r="HC73"/>
      <c r="HD73"/>
      <c r="HE73"/>
      <c r="HF73"/>
      <c r="HG73"/>
      <c r="HH73"/>
    </row>
    <row r="74" spans="2:216" s="5" customFormat="1" ht="12.75" customHeight="1" x14ac:dyDescent="0.2">
      <c r="B74" s="241" t="s">
        <v>247</v>
      </c>
      <c r="C74" s="66"/>
      <c r="D74" s="67"/>
      <c r="E74" s="66"/>
      <c r="F74" s="66"/>
      <c r="G74" s="64"/>
      <c r="H74" s="66"/>
      <c r="I74" s="64"/>
      <c r="J74" s="66"/>
      <c r="K74" s="64"/>
      <c r="L74" s="61"/>
      <c r="M74" s="66"/>
      <c r="N74" s="61"/>
      <c r="O74" s="64"/>
      <c r="P74" s="61"/>
      <c r="Q74" s="64"/>
      <c r="R74" s="61"/>
      <c r="S74" s="64"/>
      <c r="T74" s="61"/>
      <c r="U74" s="64"/>
      <c r="V74" s="61"/>
      <c r="W74" s="64"/>
      <c r="X74" s="61"/>
      <c r="Y74" s="64"/>
      <c r="Z74" s="61"/>
      <c r="AA74" s="64"/>
      <c r="AB74" s="61"/>
      <c r="AC74" s="64"/>
      <c r="AD74" s="61"/>
      <c r="AE74" s="64"/>
      <c r="AF74" s="61"/>
      <c r="AG74" s="64"/>
      <c r="AH74" s="61"/>
      <c r="AI74" s="64"/>
      <c r="AJ74" s="61"/>
      <c r="AK74" s="64"/>
      <c r="AL74" s="61"/>
      <c r="AM74" s="64"/>
      <c r="AN74" s="61"/>
      <c r="AO74" s="64"/>
      <c r="AP74" s="61"/>
      <c r="AQ74" s="64"/>
      <c r="AR74" s="61"/>
      <c r="AS74" s="64"/>
      <c r="AT74" s="61"/>
      <c r="AU74" s="64"/>
      <c r="AV74" s="61"/>
      <c r="AW74" s="64"/>
      <c r="AX74" s="61"/>
      <c r="AY74" s="64"/>
      <c r="AZ74" s="61"/>
      <c r="BA74" s="64"/>
      <c r="BB74" s="61"/>
      <c r="BC74" s="64"/>
      <c r="BD74" s="61"/>
      <c r="BE74" s="64"/>
      <c r="BF74" s="61"/>
      <c r="BG74" s="65">
        <f>AVERAGE(BG68,BG73)</f>
        <v>67576</v>
      </c>
      <c r="BH74" s="61" t="str">
        <f t="shared" si="406"/>
        <v>NA</v>
      </c>
      <c r="BI74" s="65">
        <f>AVERAGE(BI68,BI73)</f>
        <v>70738.5</v>
      </c>
      <c r="BJ74" s="61" t="str">
        <f t="shared" si="407"/>
        <v>NA</v>
      </c>
      <c r="BK74" s="65">
        <f>AVERAGE(BK68,BK73)</f>
        <v>74573</v>
      </c>
      <c r="BL74" s="61" t="str">
        <f t="shared" si="408"/>
        <v>NA</v>
      </c>
      <c r="BM74" s="65">
        <f>AVERAGE(BM68,BM73)</f>
        <v>76285.5</v>
      </c>
      <c r="BN74" s="61" t="str">
        <f t="shared" si="409"/>
        <v>NA</v>
      </c>
      <c r="BO74" s="65">
        <f>AVERAGE(BO68,BO73)</f>
        <v>74565.5</v>
      </c>
      <c r="BP74" s="61">
        <f t="shared" si="410"/>
        <v>10.343169172487276</v>
      </c>
      <c r="BQ74" s="65">
        <f>AVERAGE(BQ68,BQ73)</f>
        <v>73160.5</v>
      </c>
      <c r="BR74" s="61">
        <f t="shared" si="411"/>
        <v>3.4238780861906903</v>
      </c>
      <c r="BS74" s="65">
        <f>AVERAGE(BS68,BS73)</f>
        <v>70662.5</v>
      </c>
      <c r="BT74" s="61">
        <f t="shared" si="412"/>
        <v>-5.2438550145495029</v>
      </c>
      <c r="BU74" s="65">
        <f>AVERAGE(BU68,BU73)</f>
        <v>63125.5</v>
      </c>
      <c r="BV74" s="61">
        <f t="shared" si="413"/>
        <v>-17.250984787410452</v>
      </c>
      <c r="BW74" s="65">
        <f>AVERAGE(BW68,BW73)</f>
        <v>57867</v>
      </c>
      <c r="BX74" s="61">
        <f t="shared" si="414"/>
        <v>-22.394404919165034</v>
      </c>
      <c r="BY74" s="65">
        <f>AVERAGE(BY68,BY73)</f>
        <v>60636.5</v>
      </c>
      <c r="BZ74" s="61">
        <f t="shared" si="415"/>
        <v>-17.11852707403585</v>
      </c>
      <c r="CA74" s="65">
        <f>AVERAGE(CA68,CA73)</f>
        <v>68157</v>
      </c>
      <c r="CB74" s="61">
        <f t="shared" si="416"/>
        <v>-3.545727932071463</v>
      </c>
      <c r="CC74" s="65">
        <f>AVERAGE(CC68,CC73)</f>
        <v>73751.5</v>
      </c>
      <c r="CD74" s="61">
        <f t="shared" si="417"/>
        <v>16.833133994978255</v>
      </c>
      <c r="CE74" s="65">
        <f>AVERAGE(CE68,CE73)</f>
        <v>76582.5</v>
      </c>
      <c r="CF74" s="61">
        <f t="shared" si="418"/>
        <v>32.342267613665811</v>
      </c>
      <c r="CG74" s="65">
        <f>AVERAGE(CG68,CG73)</f>
        <v>76087.5</v>
      </c>
      <c r="CH74" s="61">
        <f t="shared" si="419"/>
        <v>25.48135199096253</v>
      </c>
      <c r="CI74" s="65">
        <f>AVERAGE(CI68,CI73)</f>
        <v>77762.5</v>
      </c>
      <c r="CJ74" s="61">
        <f t="shared" si="420"/>
        <v>14.093196590225499</v>
      </c>
      <c r="CK74" s="65">
        <f>AVERAGE(CK68,CK73)</f>
        <v>83508.5</v>
      </c>
      <c r="CL74" s="61">
        <f t="shared" si="421"/>
        <v>13.229561432648818</v>
      </c>
      <c r="CM74" s="65">
        <f>AVERAGE(CM68,CM73)</f>
        <v>87272</v>
      </c>
      <c r="CN74" s="61">
        <f t="shared" si="422"/>
        <v>13.958149707831424</v>
      </c>
      <c r="CO74" s="65">
        <f>AVERAGE(CO68,CO73)</f>
        <v>89254.5</v>
      </c>
      <c r="CP74" s="61">
        <f t="shared" si="423"/>
        <v>17.305076392311491</v>
      </c>
      <c r="CQ74" s="65">
        <f>AVERAGE(CQ68,CQ73)</f>
        <v>85962</v>
      </c>
      <c r="CR74" s="61">
        <f t="shared" si="423"/>
        <v>10.544285484648764</v>
      </c>
      <c r="CS74" s="65">
        <f>AVERAGE(CS68,CS73)</f>
        <v>84292.5</v>
      </c>
      <c r="CT74" s="61">
        <f t="shared" si="423"/>
        <v>0.93882658651514017</v>
      </c>
      <c r="CU74" s="65">
        <f>AVERAGE(CU68,CU73)</f>
        <v>89494</v>
      </c>
      <c r="CV74" s="61">
        <f t="shared" si="423"/>
        <v>2.5460628838573696</v>
      </c>
      <c r="CW74" s="65">
        <f>AVERAGE(CW68,CW73)</f>
        <v>91900.5</v>
      </c>
      <c r="CX74" s="61">
        <f t="shared" si="423"/>
        <v>2.9645564089205489</v>
      </c>
      <c r="CY74" s="65">
        <f>AVERAGE(CY68,CY73)</f>
        <v>93146</v>
      </c>
      <c r="CZ74" s="61">
        <f t="shared" si="423"/>
        <v>8.3571810800120883</v>
      </c>
      <c r="DA74" s="65">
        <f>AVERAGE(DA68,DA73)</f>
        <v>96193.5</v>
      </c>
      <c r="DB74" s="61">
        <f t="shared" si="423"/>
        <v>14.118693833970998</v>
      </c>
      <c r="DC74" s="65">
        <f>AVERAGE(DC68,DC73)</f>
        <v>99785</v>
      </c>
      <c r="DD74" s="61">
        <f t="shared" si="423"/>
        <v>11.499094911390717</v>
      </c>
      <c r="DE74" s="65">
        <f>AVERAGE(DE68,DE73)</f>
        <v>103057.5</v>
      </c>
      <c r="DF74" s="61">
        <f t="shared" si="423"/>
        <v>12.140303915647909</v>
      </c>
      <c r="DG74" s="65">
        <f>AVERAGE(DG68,DG73)</f>
        <v>106683.5</v>
      </c>
      <c r="DH74" s="61">
        <f t="shared" si="423"/>
        <v>14.533635368131748</v>
      </c>
      <c r="DI74" s="65">
        <f>AVERAGE(DI68,DI73)</f>
        <v>112664</v>
      </c>
      <c r="DJ74" s="61">
        <f t="shared" si="423"/>
        <v>17.122258780478926</v>
      </c>
      <c r="DK74" s="65">
        <f>AVERAGE(DK68,DK73)</f>
        <v>116689</v>
      </c>
      <c r="DL74" s="61">
        <f t="shared" si="424"/>
        <v>16.940421907100255</v>
      </c>
      <c r="DM74" s="65">
        <f>AVERAGE(DM68,DM73)</f>
        <v>119723</v>
      </c>
      <c r="DN74" s="130">
        <f t="shared" si="425"/>
        <v>16.171069548552985</v>
      </c>
      <c r="DO74" s="65">
        <f>AVERAGE(DO68,DO73)</f>
        <v>121451</v>
      </c>
      <c r="DP74" s="130">
        <f t="shared" si="425"/>
        <v>13.842346754652791</v>
      </c>
      <c r="DQ74" s="65">
        <f>AVERAGE(DQ68,DQ73)</f>
        <v>121859</v>
      </c>
      <c r="DR74" s="130">
        <f t="shared" si="425"/>
        <v>8.1614357736277796</v>
      </c>
      <c r="DS74" s="65">
        <f>AVERAGE(DS68,DS73)</f>
        <v>123832</v>
      </c>
      <c r="DT74" s="130">
        <f t="shared" si="425"/>
        <v>6.1213996177874597</v>
      </c>
      <c r="DU74" s="65">
        <f>AVERAGE(DU68,DU73)</f>
        <v>125063.5</v>
      </c>
      <c r="DV74" s="130">
        <f t="shared" si="425"/>
        <v>4.4607134802836512</v>
      </c>
      <c r="DW74" s="65">
        <f>AVERAGE(DW68,DW73)</f>
        <v>122225</v>
      </c>
      <c r="DX74" s="65">
        <f t="shared" ref="DX74:DY74" si="485">AVERAGE(DX68,DX73)</f>
        <v>-2970.0208907321085</v>
      </c>
      <c r="DY74" s="65">
        <f t="shared" si="485"/>
        <v>120740.5</v>
      </c>
      <c r="DZ74" s="130">
        <f t="shared" si="425"/>
        <v>-0.91786408882397197</v>
      </c>
      <c r="EA74" s="65">
        <f t="shared" ref="EA74:EC74" si="486">AVERAGE(EA68,EA73)</f>
        <v>122289.5</v>
      </c>
      <c r="EB74" s="130">
        <f t="shared" si="428"/>
        <v>-1.2456392531817295</v>
      </c>
      <c r="EC74" s="65">
        <f t="shared" si="486"/>
        <v>122905</v>
      </c>
      <c r="ED74" s="130">
        <f t="shared" si="429"/>
        <v>-1.7259232309986494</v>
      </c>
      <c r="EE74" s="65">
        <f t="shared" ref="EE74:EG74" si="487">AVERAGE(EE68,EE73)</f>
        <v>124783</v>
      </c>
      <c r="EF74" s="130">
        <f t="shared" si="431"/>
        <v>2.092861525874401</v>
      </c>
      <c r="EG74" s="65">
        <f t="shared" si="487"/>
        <v>125798</v>
      </c>
      <c r="EH74" s="130">
        <f t="shared" si="432"/>
        <v>4.1887353456379506</v>
      </c>
      <c r="EI74" s="65">
        <f t="shared" ref="EI74:EK74" si="488">AVERAGE(EI68,EI73)</f>
        <v>127495.5</v>
      </c>
      <c r="EJ74" s="130">
        <f t="shared" si="434"/>
        <v>4.2571111992444122</v>
      </c>
      <c r="EK74" s="65">
        <f t="shared" si="488"/>
        <v>130546.5</v>
      </c>
      <c r="EL74" s="130">
        <f t="shared" si="435"/>
        <v>6.2174036857735704</v>
      </c>
      <c r="EM74" s="65">
        <f t="shared" ref="EM74" si="489">AVERAGE(EM68,EM73)</f>
        <v>132937.5</v>
      </c>
      <c r="EN74" s="130">
        <f t="shared" si="437"/>
        <v>6.5349446639366038</v>
      </c>
      <c r="EO74" s="65">
        <f t="shared" ref="EO74" si="490">AVERAGE(EO68,EO73)</f>
        <v>136034</v>
      </c>
      <c r="EP74" s="130">
        <f t="shared" si="439"/>
        <v>8.1368543220083023</v>
      </c>
      <c r="EQ74" s="65">
        <f t="shared" ref="EQ74:EW74" si="491">AVERAGE(EQ68,EQ73)</f>
        <v>137221.00961334724</v>
      </c>
      <c r="ER74" s="130">
        <f t="shared" si="441"/>
        <v>7.6281199048964465</v>
      </c>
      <c r="ES74" s="65">
        <f t="shared" si="491"/>
        <v>137342.24415165841</v>
      </c>
      <c r="ET74" s="130">
        <f t="shared" si="442"/>
        <v>5.2056119096708153</v>
      </c>
      <c r="EU74" s="65">
        <f t="shared" si="491"/>
        <v>138840.54920176038</v>
      </c>
      <c r="EV74" s="130">
        <f t="shared" si="443"/>
        <v>4.4404695452828546</v>
      </c>
      <c r="EW74" s="65">
        <f t="shared" si="491"/>
        <v>140602.2571863223</v>
      </c>
      <c r="EX74" s="130">
        <f t="shared" si="444"/>
        <v>3.3581730937282561</v>
      </c>
      <c r="EY74" s="64"/>
      <c r="EZ74" s="558"/>
      <c r="FA74" s="64"/>
      <c r="FB74" s="66"/>
      <c r="FC74" s="66"/>
      <c r="FD74" s="66"/>
      <c r="FE74" s="67"/>
      <c r="FF74" s="66"/>
      <c r="FG74" s="67"/>
      <c r="FH74" s="66"/>
      <c r="FI74" s="67"/>
      <c r="FJ74" s="66"/>
      <c r="FK74" s="67"/>
      <c r="FL74" s="66"/>
      <c r="FM74" s="61"/>
      <c r="FN74" s="66"/>
      <c r="FO74" s="61"/>
      <c r="FP74" s="65"/>
      <c r="FQ74" s="61"/>
      <c r="FR74" s="65"/>
      <c r="FS74" s="61"/>
      <c r="FT74" s="65">
        <f>AVERAGE(FT68,FT73)</f>
        <v>71589</v>
      </c>
      <c r="FU74" s="61" t="str">
        <f t="shared" si="445"/>
        <v>NA</v>
      </c>
      <c r="FV74" s="65">
        <f>AVERAGE(FV68,FV73)</f>
        <v>67522</v>
      </c>
      <c r="FW74" s="61">
        <f t="shared" si="446"/>
        <v>-5.6810403832991074</v>
      </c>
      <c r="FX74" s="65">
        <f>AVERAGE(FX68,FX73)</f>
        <v>66944</v>
      </c>
      <c r="FY74" s="61">
        <f t="shared" si="447"/>
        <v>-0.85601729806581428</v>
      </c>
      <c r="FZ74" s="65">
        <f>AVERAGE(FZ68,FZ73)</f>
        <v>80559</v>
      </c>
      <c r="GA74" s="61">
        <f t="shared" si="448"/>
        <v>20.337894359464627</v>
      </c>
      <c r="GB74" s="65">
        <f>AVERAGE(GB68,GB73)</f>
        <v>86123</v>
      </c>
      <c r="GC74" s="61">
        <f t="shared" si="449"/>
        <v>6.9067391601186801</v>
      </c>
      <c r="GD74" s="65">
        <f>AVERAGE(GD68,GD73)</f>
        <v>91890</v>
      </c>
      <c r="GE74" s="61">
        <f t="shared" si="450"/>
        <v>6.6962367776319809</v>
      </c>
      <c r="GF74" s="65">
        <f>AVERAGE(GF68,GF73)</f>
        <v>106597</v>
      </c>
      <c r="GG74" s="61">
        <f t="shared" si="451"/>
        <v>16.005005985417341</v>
      </c>
      <c r="GH74" s="65">
        <f>AVERAGE(GH68,GH73)</f>
        <v>119292</v>
      </c>
      <c r="GI74" s="61">
        <f t="shared" si="451"/>
        <v>11.909340788202293</v>
      </c>
      <c r="GJ74" s="65">
        <f>AVERAGE(GJ68,GJ73)</f>
        <v>122481</v>
      </c>
      <c r="GK74" s="61">
        <f t="shared" si="451"/>
        <v>2.673272306608987</v>
      </c>
      <c r="GL74" s="65">
        <f>AVERAGE(GL68,GL73)</f>
        <v>123858.5</v>
      </c>
      <c r="GM74" s="61">
        <f t="shared" si="451"/>
        <v>1.1246642336362411</v>
      </c>
      <c r="GN74" s="65">
        <f>AVERAGE(GN68,GN73)</f>
        <v>131636.5</v>
      </c>
      <c r="GO74" s="61">
        <f t="shared" si="451"/>
        <v>6.2797466463746954</v>
      </c>
      <c r="GP74" s="65">
        <f>AVERAGE(GP68,GP73)</f>
        <v>139666.94252287308</v>
      </c>
      <c r="GQ74" s="61">
        <f t="shared" si="451"/>
        <v>6.1004679726922806</v>
      </c>
      <c r="GR74" s="65">
        <f>AVERAGE(GR68,GR73)</f>
        <v>145657.29090582201</v>
      </c>
      <c r="GS74" s="61">
        <f t="shared" si="451"/>
        <v>4.2890237838262291</v>
      </c>
      <c r="GT74" s="65">
        <f>AVERAGE(GT68,GT73)</f>
        <v>154350.40459407389</v>
      </c>
      <c r="GU74" s="61">
        <f t="shared" si="451"/>
        <v>5.9681967405755154</v>
      </c>
      <c r="GV74" s="65">
        <f>AVERAGE(GV68,GV73)</f>
        <v>164067.8059048141</v>
      </c>
      <c r="GW74" s="61">
        <f t="shared" si="451"/>
        <v>6.2956759564680054</v>
      </c>
      <c r="GX74" s="65">
        <f>AVERAGE(GX68,GX73)</f>
        <v>174956.86618377894</v>
      </c>
      <c r="GY74" s="61">
        <f t="shared" si="452"/>
        <v>6.6369268601557785</v>
      </c>
      <c r="GZ74" s="61">
        <f t="shared" si="405"/>
        <v>5.8548918770130687</v>
      </c>
      <c r="HA74" s="61"/>
      <c r="HB74" s="452"/>
      <c r="HC74"/>
      <c r="HD74"/>
      <c r="HE74"/>
      <c r="HF74"/>
      <c r="HG74"/>
      <c r="HH74"/>
    </row>
    <row r="75" spans="2:216" s="5" customFormat="1" ht="12.75" customHeight="1" x14ac:dyDescent="0.2">
      <c r="B75" s="68" t="s">
        <v>186</v>
      </c>
      <c r="C75" s="66"/>
      <c r="D75" s="67"/>
      <c r="E75" s="66"/>
      <c r="F75" s="66"/>
      <c r="G75" s="64"/>
      <c r="H75" s="66"/>
      <c r="I75" s="64"/>
      <c r="J75" s="66"/>
      <c r="K75" s="64"/>
      <c r="L75" s="61"/>
      <c r="M75" s="66"/>
      <c r="N75" s="61"/>
      <c r="O75" s="64"/>
      <c r="P75" s="61"/>
      <c r="Q75" s="64"/>
      <c r="R75" s="61"/>
      <c r="S75" s="64"/>
      <c r="T75" s="61"/>
      <c r="U75" s="64"/>
      <c r="V75" s="61"/>
      <c r="W75" s="64"/>
      <c r="X75" s="61"/>
      <c r="Y75" s="64"/>
      <c r="Z75" s="61"/>
      <c r="AA75" s="64"/>
      <c r="AB75" s="61"/>
      <c r="AC75" s="64"/>
      <c r="AD75" s="61"/>
      <c r="AE75" s="64"/>
      <c r="AF75" s="61"/>
      <c r="AG75" s="64"/>
      <c r="AH75" s="61"/>
      <c r="AI75" s="64"/>
      <c r="AJ75" s="61"/>
      <c r="AK75" s="64"/>
      <c r="AL75" s="61"/>
      <c r="AM75" s="64"/>
      <c r="AN75" s="61"/>
      <c r="AO75" s="64"/>
      <c r="AP75" s="61"/>
      <c r="AQ75" s="64"/>
      <c r="AR75" s="61"/>
      <c r="AS75" s="64"/>
      <c r="AT75" s="61"/>
      <c r="AU75" s="64"/>
      <c r="AV75" s="61"/>
      <c r="AW75" s="64"/>
      <c r="AX75" s="61"/>
      <c r="AY75" s="64"/>
      <c r="AZ75" s="61"/>
      <c r="BA75" s="64"/>
      <c r="BB75" s="61"/>
      <c r="BC75" s="64"/>
      <c r="BD75" s="61"/>
      <c r="BE75" s="64"/>
      <c r="BF75" s="61"/>
      <c r="BG75" s="73">
        <f>BG36+BG57</f>
        <v>-1689</v>
      </c>
      <c r="BH75" s="61" t="str">
        <f t="shared" si="406"/>
        <v>NA</v>
      </c>
      <c r="BI75" s="73">
        <f>BI36+BI57</f>
        <v>-1598</v>
      </c>
      <c r="BJ75" s="61" t="str">
        <f t="shared" si="407"/>
        <v>NA</v>
      </c>
      <c r="BK75" s="73">
        <f>BK36+BK57</f>
        <v>-1430</v>
      </c>
      <c r="BL75" s="61" t="str">
        <f t="shared" si="408"/>
        <v>NA</v>
      </c>
      <c r="BM75" s="73">
        <f>BM36+BM57</f>
        <v>-1352</v>
      </c>
      <c r="BN75" s="61" t="str">
        <f t="shared" si="409"/>
        <v>NA</v>
      </c>
      <c r="BO75" s="73">
        <f>BO36+BO57</f>
        <v>-1306</v>
      </c>
      <c r="BP75" s="61">
        <f t="shared" si="410"/>
        <v>-22.676139727649492</v>
      </c>
      <c r="BQ75" s="73">
        <f>BQ36+BQ57</f>
        <v>-1255</v>
      </c>
      <c r="BR75" s="61">
        <f t="shared" si="411"/>
        <v>-21.464330413016274</v>
      </c>
      <c r="BS75" s="73">
        <f>BS36+BS57</f>
        <v>-1196</v>
      </c>
      <c r="BT75" s="61">
        <f t="shared" si="412"/>
        <v>-16.36363636363637</v>
      </c>
      <c r="BU75" s="73">
        <f>BU36+BU57</f>
        <v>-1125</v>
      </c>
      <c r="BV75" s="61">
        <f t="shared" si="413"/>
        <v>-16.789940828402372</v>
      </c>
      <c r="BW75" s="73">
        <f>BW36+BW57</f>
        <v>-1094</v>
      </c>
      <c r="BX75" s="61">
        <f t="shared" si="414"/>
        <v>-16.232771822358348</v>
      </c>
      <c r="BY75" s="73">
        <f>BY36+BY57</f>
        <v>-1065</v>
      </c>
      <c r="BZ75" s="61">
        <f t="shared" si="415"/>
        <v>-15.139442231075694</v>
      </c>
      <c r="CA75" s="73">
        <f>CA36+CA57</f>
        <v>-1049</v>
      </c>
      <c r="CB75" s="61">
        <f t="shared" si="416"/>
        <v>-12.29096989966555</v>
      </c>
      <c r="CC75" s="73">
        <f>CC36+CC57</f>
        <v>-1027</v>
      </c>
      <c r="CD75" s="61">
        <f t="shared" si="417"/>
        <v>-8.7111111111111139</v>
      </c>
      <c r="CE75" s="73">
        <f>CE36+CE57</f>
        <v>-1011</v>
      </c>
      <c r="CF75" s="61">
        <f t="shared" si="418"/>
        <v>-7.5868372943327262</v>
      </c>
      <c r="CG75" s="73">
        <f>CG36+CG57</f>
        <v>-994</v>
      </c>
      <c r="CH75" s="61">
        <f t="shared" si="419"/>
        <v>-6.6666666666666652</v>
      </c>
      <c r="CI75" s="73">
        <f>CI36+CI57</f>
        <v>-978</v>
      </c>
      <c r="CJ75" s="61">
        <f t="shared" si="420"/>
        <v>-6.7683508102955203</v>
      </c>
      <c r="CK75" s="73">
        <f>CK36+CK57</f>
        <v>-962</v>
      </c>
      <c r="CL75" s="61">
        <f t="shared" si="421"/>
        <v>-6.3291139240506329</v>
      </c>
      <c r="CM75" s="73">
        <f>CM36+CM57</f>
        <v>-949</v>
      </c>
      <c r="CN75" s="61">
        <f t="shared" si="422"/>
        <v>-6.1325420375865525</v>
      </c>
      <c r="CO75" s="73">
        <f>CO36+CO57</f>
        <v>-935</v>
      </c>
      <c r="CP75" s="61">
        <f t="shared" si="423"/>
        <v>-5.9356136820925549</v>
      </c>
      <c r="CQ75" s="73">
        <f>CQ36+CQ57</f>
        <v>-920</v>
      </c>
      <c r="CR75" s="61">
        <f t="shared" si="423"/>
        <v>-5.9304703476482645</v>
      </c>
      <c r="CS75" s="73">
        <f>CS36+CS57</f>
        <v>-902</v>
      </c>
      <c r="CT75" s="61">
        <f t="shared" si="423"/>
        <v>-6.2370062370062378</v>
      </c>
      <c r="CU75" s="73">
        <f>CU36+CU57</f>
        <v>-884</v>
      </c>
      <c r="CV75" s="61">
        <f t="shared" si="423"/>
        <v>-6.8493150684931559</v>
      </c>
      <c r="CW75" s="73">
        <f>CW36+CW57</f>
        <v>-872</v>
      </c>
      <c r="CX75" s="61">
        <f t="shared" si="423"/>
        <v>-6.737967914438503</v>
      </c>
      <c r="CY75" s="73">
        <f>CY36+CY57</f>
        <v>-850</v>
      </c>
      <c r="CZ75" s="61">
        <f t="shared" si="423"/>
        <v>-7.608695652173914</v>
      </c>
      <c r="DA75" s="73">
        <f>DA36+DA57</f>
        <v>-830</v>
      </c>
      <c r="DB75" s="61">
        <f t="shared" si="423"/>
        <v>-7.9822616407982272</v>
      </c>
      <c r="DC75" s="73">
        <f>DC36+DC57</f>
        <v>-812</v>
      </c>
      <c r="DD75" s="61">
        <f t="shared" si="423"/>
        <v>-8.1447963800905026</v>
      </c>
      <c r="DE75" s="73">
        <f>DE36+DE57</f>
        <v>-796</v>
      </c>
      <c r="DF75" s="61">
        <f t="shared" si="423"/>
        <v>-8.7155963302752326</v>
      </c>
      <c r="DG75" s="73">
        <f>DG36+DG57</f>
        <v>-779</v>
      </c>
      <c r="DH75" s="61">
        <f t="shared" si="423"/>
        <v>-8.3529411764705852</v>
      </c>
      <c r="DI75" s="73">
        <f>DI36+DI57</f>
        <v>-760</v>
      </c>
      <c r="DJ75" s="61">
        <f t="shared" si="423"/>
        <v>-8.4337349397590415</v>
      </c>
      <c r="DK75" s="73">
        <f>DK36+DK57</f>
        <v>-744</v>
      </c>
      <c r="DL75" s="61">
        <f t="shared" si="424"/>
        <v>-8.3743842364532028</v>
      </c>
      <c r="DM75" s="73">
        <f>DM36+DM57</f>
        <v>-726</v>
      </c>
      <c r="DN75" s="130">
        <f t="shared" si="425"/>
        <v>-8.7939698492462313</v>
      </c>
      <c r="DO75" s="73">
        <f>DO36+DO57</f>
        <v>-714</v>
      </c>
      <c r="DP75" s="130">
        <f t="shared" si="425"/>
        <v>-8.3440308087291406</v>
      </c>
      <c r="DQ75" s="73">
        <f>DQ36+DQ57</f>
        <v>-693</v>
      </c>
      <c r="DR75" s="130">
        <f t="shared" si="425"/>
        <v>-8.8157894736842106</v>
      </c>
      <c r="DS75" s="73">
        <f>DS36+DS57</f>
        <v>-676</v>
      </c>
      <c r="DT75" s="130">
        <f t="shared" si="425"/>
        <v>-9.1397849462365617</v>
      </c>
      <c r="DU75" s="73">
        <f>DU36+DU57</f>
        <v>-662</v>
      </c>
      <c r="DV75" s="130">
        <f t="shared" si="425"/>
        <v>-8.8154269972451793</v>
      </c>
      <c r="DW75" s="73">
        <f>DW36+DW57</f>
        <v>-646</v>
      </c>
      <c r="DX75" s="73">
        <f t="shared" ref="DX75:DY75" si="492">DX36+DX57</f>
        <v>-646</v>
      </c>
      <c r="DY75" s="73">
        <f t="shared" si="492"/>
        <v>-632</v>
      </c>
      <c r="DZ75" s="130">
        <f t="shared" si="425"/>
        <v>-8.8023088023088008</v>
      </c>
      <c r="EA75" s="73">
        <f t="shared" ref="EA75:EC75" si="493">EA36+EA57</f>
        <v>-620</v>
      </c>
      <c r="EB75" s="130">
        <f t="shared" si="428"/>
        <v>-8.2840236686390512</v>
      </c>
      <c r="EC75" s="73">
        <f t="shared" si="493"/>
        <v>-608</v>
      </c>
      <c r="ED75" s="130">
        <f t="shared" si="429"/>
        <v>-8.1570996978851955</v>
      </c>
      <c r="EE75" s="73">
        <f t="shared" ref="EE75:EG75" si="494">EE36+EE57</f>
        <v>-597</v>
      </c>
      <c r="EF75" s="130">
        <f t="shared" si="431"/>
        <v>-7.5851393188854477</v>
      </c>
      <c r="EG75" s="73">
        <f t="shared" si="494"/>
        <v>-584</v>
      </c>
      <c r="EH75" s="130">
        <f t="shared" si="432"/>
        <v>-7.5949367088607556</v>
      </c>
      <c r="EI75" s="73">
        <f t="shared" ref="EI75:EK75" si="495">EI36+EI57</f>
        <v>-572</v>
      </c>
      <c r="EJ75" s="130">
        <f t="shared" si="434"/>
        <v>-7.7419354838709653</v>
      </c>
      <c r="EK75" s="73">
        <f t="shared" si="495"/>
        <v>-562</v>
      </c>
      <c r="EL75" s="130">
        <f t="shared" si="435"/>
        <v>-7.5657894736842142</v>
      </c>
      <c r="EM75" s="73">
        <f t="shared" ref="EM75" si="496">EM36+EM57</f>
        <v>-620</v>
      </c>
      <c r="EN75" s="130">
        <f t="shared" si="437"/>
        <v>3.8525963149078635</v>
      </c>
      <c r="EO75" s="73">
        <f t="shared" ref="EO75" si="497">EO36+EO57</f>
        <v>-768</v>
      </c>
      <c r="EP75" s="130">
        <f t="shared" si="439"/>
        <v>31.506849315068486</v>
      </c>
      <c r="EQ75" s="73">
        <f t="shared" ref="EQ75:EW75" si="498">EQ36+EQ57</f>
        <v>-818</v>
      </c>
      <c r="ER75" s="130">
        <f t="shared" si="441"/>
        <v>43.006993006993</v>
      </c>
      <c r="ES75" s="73">
        <f t="shared" si="498"/>
        <v>-868</v>
      </c>
      <c r="ET75" s="130">
        <f t="shared" si="442"/>
        <v>54.448398576512446</v>
      </c>
      <c r="EU75" s="73">
        <f t="shared" si="498"/>
        <v>-868</v>
      </c>
      <c r="EV75" s="130">
        <f t="shared" si="443"/>
        <v>39.999999999999993</v>
      </c>
      <c r="EW75" s="73">
        <f t="shared" si="498"/>
        <v>-868</v>
      </c>
      <c r="EX75" s="130">
        <f t="shared" si="444"/>
        <v>13.020833333333325</v>
      </c>
      <c r="EY75" s="64"/>
      <c r="EZ75" s="558"/>
      <c r="FA75" s="64"/>
      <c r="FB75" s="66"/>
      <c r="FC75" s="66"/>
      <c r="FD75" s="66"/>
      <c r="FE75" s="67"/>
      <c r="FF75" s="66"/>
      <c r="FG75" s="67"/>
      <c r="FH75" s="66"/>
      <c r="FI75" s="67"/>
      <c r="FJ75" s="66"/>
      <c r="FK75" s="67"/>
      <c r="FL75" s="66"/>
      <c r="FM75" s="61"/>
      <c r="FN75" s="66"/>
      <c r="FO75" s="61"/>
      <c r="FP75" s="65"/>
      <c r="FQ75" s="61"/>
      <c r="FR75" s="65"/>
      <c r="FS75" s="61"/>
      <c r="FT75" s="73">
        <f>FT36+FT57</f>
        <v>-1352</v>
      </c>
      <c r="FU75" s="61" t="str">
        <f t="shared" si="445"/>
        <v>NA</v>
      </c>
      <c r="FV75" s="73">
        <f>FV36+FV57</f>
        <v>-1125</v>
      </c>
      <c r="FW75" s="61">
        <f t="shared" si="446"/>
        <v>-16.789940828402372</v>
      </c>
      <c r="FX75" s="73">
        <f>FX36+FX57</f>
        <v>-1027</v>
      </c>
      <c r="FY75" s="61">
        <f t="shared" si="447"/>
        <v>-8.7111111111111139</v>
      </c>
      <c r="FZ75" s="73">
        <f>FZ36+FZ57</f>
        <v>-962</v>
      </c>
      <c r="GA75" s="61">
        <f t="shared" si="448"/>
        <v>-6.3291139240506329</v>
      </c>
      <c r="GB75" s="73">
        <f>GB36+GB57</f>
        <v>-902</v>
      </c>
      <c r="GC75" s="61">
        <f t="shared" si="449"/>
        <v>-6.2370062370062378</v>
      </c>
      <c r="GD75" s="73">
        <f>GD36+GD57</f>
        <v>-830</v>
      </c>
      <c r="GE75" s="61">
        <f t="shared" si="450"/>
        <v>-7.9822616407982272</v>
      </c>
      <c r="GF75" s="73">
        <f>GF36+GF57</f>
        <v>-760</v>
      </c>
      <c r="GG75" s="61">
        <f t="shared" si="451"/>
        <v>-8.4337349397590415</v>
      </c>
      <c r="GH75" s="73">
        <f>GH36+GH57</f>
        <v>-693</v>
      </c>
      <c r="GI75" s="61">
        <f t="shared" si="451"/>
        <v>-8.8157894736842106</v>
      </c>
      <c r="GJ75" s="73">
        <f>GJ36+GJ57</f>
        <v>-632</v>
      </c>
      <c r="GK75" s="61">
        <f t="shared" si="451"/>
        <v>-8.8023088023088008</v>
      </c>
      <c r="GL75" s="73">
        <f>GL36+GL57</f>
        <v>-584</v>
      </c>
      <c r="GM75" s="61">
        <f t="shared" si="451"/>
        <v>-7.5949367088607556</v>
      </c>
      <c r="GN75" s="73">
        <f>GN36+GN57</f>
        <v>-768</v>
      </c>
      <c r="GO75" s="61">
        <f t="shared" si="451"/>
        <v>31.506849315068486</v>
      </c>
      <c r="GP75" s="73">
        <f>GP36+GP57</f>
        <v>-868</v>
      </c>
      <c r="GQ75" s="61">
        <f t="shared" si="451"/>
        <v>13.020833333333325</v>
      </c>
      <c r="GR75" s="73">
        <f>GR36+GR57</f>
        <v>-868</v>
      </c>
      <c r="GS75" s="61">
        <f t="shared" si="451"/>
        <v>0</v>
      </c>
      <c r="GT75" s="73">
        <f>GT36+GT57</f>
        <v>-868</v>
      </c>
      <c r="GU75" s="61">
        <f t="shared" si="451"/>
        <v>0</v>
      </c>
      <c r="GV75" s="73">
        <f>GV36+GV57</f>
        <v>-868</v>
      </c>
      <c r="GW75" s="61">
        <f t="shared" si="451"/>
        <v>0</v>
      </c>
      <c r="GX75" s="73">
        <f>GX36+GX57</f>
        <v>-868</v>
      </c>
      <c r="GY75" s="61">
        <f t="shared" si="452"/>
        <v>0</v>
      </c>
      <c r="GZ75" s="61">
        <f t="shared" si="405"/>
        <v>2.4782501384158939</v>
      </c>
      <c r="HA75" s="61"/>
      <c r="HB75" s="452"/>
      <c r="HC75"/>
      <c r="HD75"/>
      <c r="HE75"/>
      <c r="HF75"/>
      <c r="HG75"/>
      <c r="HH75"/>
    </row>
    <row r="76" spans="2:216" s="5" customFormat="1" ht="12.75" customHeight="1" x14ac:dyDescent="0.2">
      <c r="B76" s="241" t="s">
        <v>238</v>
      </c>
      <c r="C76" s="66"/>
      <c r="D76" s="67"/>
      <c r="E76" s="66"/>
      <c r="F76" s="66"/>
      <c r="G76" s="64"/>
      <c r="H76" s="66"/>
      <c r="I76" s="64"/>
      <c r="J76" s="66"/>
      <c r="K76" s="64"/>
      <c r="L76" s="61"/>
      <c r="M76" s="66"/>
      <c r="N76" s="61"/>
      <c r="O76" s="64"/>
      <c r="P76" s="61"/>
      <c r="Q76" s="64"/>
      <c r="R76" s="61"/>
      <c r="S76" s="64"/>
      <c r="T76" s="61"/>
      <c r="U76" s="64"/>
      <c r="V76" s="61"/>
      <c r="W76" s="64"/>
      <c r="X76" s="61"/>
      <c r="Y76" s="64"/>
      <c r="Z76" s="61"/>
      <c r="AA76" s="64"/>
      <c r="AB76" s="61"/>
      <c r="AC76" s="64"/>
      <c r="AD76" s="61"/>
      <c r="AE76" s="64"/>
      <c r="AF76" s="61"/>
      <c r="AG76" s="64"/>
      <c r="AH76" s="61"/>
      <c r="AI76" s="64"/>
      <c r="AJ76" s="61"/>
      <c r="AK76" s="64"/>
      <c r="AL76" s="61"/>
      <c r="AM76" s="64"/>
      <c r="AN76" s="61"/>
      <c r="AO76" s="64"/>
      <c r="AP76" s="61"/>
      <c r="AQ76" s="64"/>
      <c r="AR76" s="61"/>
      <c r="AS76" s="64"/>
      <c r="AT76" s="61"/>
      <c r="AU76" s="64"/>
      <c r="AV76" s="61"/>
      <c r="AW76" s="64"/>
      <c r="AX76" s="61"/>
      <c r="AY76" s="64"/>
      <c r="AZ76" s="61"/>
      <c r="BA76" s="64"/>
      <c r="BB76" s="61"/>
      <c r="BC76" s="64"/>
      <c r="BD76" s="61"/>
      <c r="BE76" s="64"/>
      <c r="BF76" s="61"/>
      <c r="BG76" s="65">
        <f>BG73+BG75</f>
        <v>66749</v>
      </c>
      <c r="BH76" s="61" t="str">
        <f t="shared" si="406"/>
        <v>NA</v>
      </c>
      <c r="BI76" s="65">
        <f>BI73+BI75</f>
        <v>71441</v>
      </c>
      <c r="BJ76" s="61" t="str">
        <f t="shared" si="407"/>
        <v>NA</v>
      </c>
      <c r="BK76" s="65">
        <f>BK73+BK75</f>
        <v>74677</v>
      </c>
      <c r="BL76" s="61" t="str">
        <f t="shared" si="408"/>
        <v>NA</v>
      </c>
      <c r="BM76" s="65">
        <f>BM73+BM75</f>
        <v>75112</v>
      </c>
      <c r="BN76" s="61" t="str">
        <f t="shared" si="409"/>
        <v>NA</v>
      </c>
      <c r="BO76" s="65">
        <f>BO73+BO75</f>
        <v>71361</v>
      </c>
      <c r="BP76" s="61">
        <f t="shared" si="410"/>
        <v>6.9094668084915156</v>
      </c>
      <c r="BQ76" s="65">
        <f>BQ73+BQ75</f>
        <v>72399</v>
      </c>
      <c r="BR76" s="61">
        <f t="shared" si="411"/>
        <v>1.3409666717991042</v>
      </c>
      <c r="BS76" s="65">
        <f>BS73+BS75</f>
        <v>66475</v>
      </c>
      <c r="BT76" s="61">
        <f t="shared" si="412"/>
        <v>-10.983301418107317</v>
      </c>
      <c r="BU76" s="65">
        <f>BU73+BU75</f>
        <v>57455</v>
      </c>
      <c r="BV76" s="61">
        <f t="shared" si="413"/>
        <v>-23.507562040685915</v>
      </c>
      <c r="BW76" s="65">
        <f>BW73+BW75</f>
        <v>56060</v>
      </c>
      <c r="BX76" s="61">
        <f t="shared" si="414"/>
        <v>-21.441683832905934</v>
      </c>
      <c r="BY76" s="65">
        <f>BY73+BY75</f>
        <v>63054</v>
      </c>
      <c r="BZ76" s="61">
        <f t="shared" si="415"/>
        <v>-12.907636845812787</v>
      </c>
      <c r="CA76" s="65">
        <f>CA73+CA75</f>
        <v>71146</v>
      </c>
      <c r="CB76" s="61">
        <f t="shared" si="416"/>
        <v>7.0267017675818</v>
      </c>
      <c r="CC76" s="65">
        <f>CC73+CC75</f>
        <v>74281</v>
      </c>
      <c r="CD76" s="61">
        <f t="shared" si="417"/>
        <v>29.285527804368638</v>
      </c>
      <c r="CE76" s="65">
        <f>CE73+CE75</f>
        <v>76846</v>
      </c>
      <c r="CF76" s="61">
        <f t="shared" si="418"/>
        <v>37.078130574384581</v>
      </c>
      <c r="CG76" s="65">
        <f>CG73+CG75</f>
        <v>73324</v>
      </c>
      <c r="CH76" s="61">
        <f t="shared" si="419"/>
        <v>16.287626478891106</v>
      </c>
      <c r="CI76" s="65">
        <f>CI73+CI75</f>
        <v>80229</v>
      </c>
      <c r="CJ76" s="61">
        <f t="shared" si="420"/>
        <v>12.76670508531752</v>
      </c>
      <c r="CK76" s="65">
        <f>CK73+CK75</f>
        <v>84848</v>
      </c>
      <c r="CL76" s="61">
        <f t="shared" si="421"/>
        <v>14.225710477780318</v>
      </c>
      <c r="CM76" s="65">
        <f>CM73+CM75</f>
        <v>87785</v>
      </c>
      <c r="CN76" s="61">
        <f t="shared" si="422"/>
        <v>14.234963433360237</v>
      </c>
      <c r="CO76" s="65">
        <f>CO73+CO75</f>
        <v>88840</v>
      </c>
      <c r="CP76" s="61">
        <f t="shared" si="423"/>
        <v>21.160875020457159</v>
      </c>
      <c r="CQ76" s="65">
        <f>CQ73+CQ75</f>
        <v>81229</v>
      </c>
      <c r="CR76" s="61">
        <f t="shared" si="423"/>
        <v>1.2464320881476754</v>
      </c>
      <c r="CS76" s="65">
        <f>CS73+CS75</f>
        <v>85534</v>
      </c>
      <c r="CT76" s="61">
        <f t="shared" si="423"/>
        <v>0.80850462002639567</v>
      </c>
      <c r="CU76" s="65">
        <f>CU73+CU75</f>
        <v>91668</v>
      </c>
      <c r="CV76" s="61">
        <f t="shared" si="423"/>
        <v>4.4233069430996252</v>
      </c>
      <c r="CW76" s="65">
        <f>CW73+CW75</f>
        <v>90377</v>
      </c>
      <c r="CX76" s="61">
        <f t="shared" si="423"/>
        <v>1.7300765420981579</v>
      </c>
      <c r="CY76" s="65">
        <f>CY73+CY75</f>
        <v>94193</v>
      </c>
      <c r="CZ76" s="61">
        <f t="shared" si="423"/>
        <v>15.959817306626945</v>
      </c>
      <c r="DA76" s="65">
        <f>DA73+DA75</f>
        <v>96514</v>
      </c>
      <c r="DB76" s="61">
        <f t="shared" si="423"/>
        <v>12.837000491032802</v>
      </c>
      <c r="DC76" s="65">
        <f>DC73+DC75</f>
        <v>101414</v>
      </c>
      <c r="DD76" s="61">
        <f t="shared" si="423"/>
        <v>10.631845354976655</v>
      </c>
      <c r="DE76" s="65">
        <f>DE73+DE75</f>
        <v>103093</v>
      </c>
      <c r="DF76" s="61">
        <f t="shared" si="423"/>
        <v>14.069951425694583</v>
      </c>
      <c r="DG76" s="65">
        <f>DG73+DG75</f>
        <v>108699</v>
      </c>
      <c r="DH76" s="61">
        <f t="shared" si="423"/>
        <v>15.400295138704578</v>
      </c>
      <c r="DI76" s="65">
        <f>DI73+DI75</f>
        <v>115090</v>
      </c>
      <c r="DJ76" s="61">
        <f t="shared" si="423"/>
        <v>19.246948629214412</v>
      </c>
      <c r="DK76" s="65">
        <f>DK73+DK75</f>
        <v>116784</v>
      </c>
      <c r="DL76" s="61">
        <f t="shared" si="424"/>
        <v>15.155698424280661</v>
      </c>
      <c r="DM76" s="65">
        <f>DM73+DM75</f>
        <v>121192</v>
      </c>
      <c r="DN76" s="130">
        <f t="shared" si="425"/>
        <v>17.555993132414429</v>
      </c>
      <c r="DO76" s="65">
        <f>DO73+DO75</f>
        <v>120270</v>
      </c>
      <c r="DP76" s="130">
        <f t="shared" si="425"/>
        <v>10.644992134242258</v>
      </c>
      <c r="DQ76" s="65">
        <f>DQ73+DQ75</f>
        <v>122041</v>
      </c>
      <c r="DR76" s="130">
        <f t="shared" si="425"/>
        <v>6.0396211660439736</v>
      </c>
      <c r="DS76" s="65">
        <f>DS73+DS75</f>
        <v>124254</v>
      </c>
      <c r="DT76" s="130">
        <f t="shared" si="425"/>
        <v>6.3964241676942146</v>
      </c>
      <c r="DU76" s="65">
        <f>DU73+DU75</f>
        <v>124535</v>
      </c>
      <c r="DV76" s="130">
        <f t="shared" si="425"/>
        <v>2.7584328998613739</v>
      </c>
      <c r="DW76" s="65">
        <f>DW73+DW75</f>
        <v>118607</v>
      </c>
      <c r="DX76" s="65">
        <f t="shared" ref="DX76:DY76" si="499">DX73+DX75</f>
        <v>-6588.0208907321085</v>
      </c>
      <c r="DY76" s="65">
        <f t="shared" si="499"/>
        <v>121596</v>
      </c>
      <c r="DZ76" s="130">
        <f t="shared" si="425"/>
        <v>-0.36463155824681959</v>
      </c>
      <c r="EA76" s="65">
        <f t="shared" ref="EA76:EC76" si="500">EA73+EA75</f>
        <v>121731</v>
      </c>
      <c r="EB76" s="130">
        <f t="shared" si="428"/>
        <v>-2.0305181322130439</v>
      </c>
      <c r="EC76" s="65">
        <f t="shared" si="500"/>
        <v>122851</v>
      </c>
      <c r="ED76" s="130">
        <f t="shared" si="429"/>
        <v>-1.3522302967037381</v>
      </c>
      <c r="EE76" s="65">
        <f t="shared" ref="EE76:EG76" si="501">EE73+EE75</f>
        <v>125510</v>
      </c>
      <c r="EF76" s="130">
        <f t="shared" si="431"/>
        <v>5.8200612105524963</v>
      </c>
      <c r="EG76" s="65">
        <f t="shared" si="501"/>
        <v>124905</v>
      </c>
      <c r="EH76" s="130">
        <f t="shared" si="432"/>
        <v>2.7213066219283544</v>
      </c>
      <c r="EI76" s="65">
        <f t="shared" ref="EI76:EK76" si="502">EI73+EI75</f>
        <v>128930</v>
      </c>
      <c r="EJ76" s="130">
        <f t="shared" si="434"/>
        <v>5.9138592470282747</v>
      </c>
      <c r="EK76" s="65">
        <f t="shared" si="502"/>
        <v>131029</v>
      </c>
      <c r="EL76" s="130">
        <f t="shared" si="435"/>
        <v>6.6568444701304852</v>
      </c>
      <c r="EM76" s="65">
        <f t="shared" ref="EM76" si="503">EM73+EM75</f>
        <v>133664</v>
      </c>
      <c r="EN76" s="130">
        <f t="shared" si="437"/>
        <v>6.496693490558525</v>
      </c>
      <c r="EO76" s="65">
        <f t="shared" ref="EO76" si="504">EO73+EO75</f>
        <v>137016</v>
      </c>
      <c r="EP76" s="130">
        <f t="shared" si="439"/>
        <v>9.696169088507256</v>
      </c>
      <c r="EQ76" s="65">
        <f t="shared" ref="EQ76:EW76" si="505">EQ73+EQ75</f>
        <v>135840.01922669448</v>
      </c>
      <c r="ER76" s="130">
        <f t="shared" si="441"/>
        <v>5.3595123141972234</v>
      </c>
      <c r="ES76" s="65">
        <f t="shared" si="505"/>
        <v>137158.46907662234</v>
      </c>
      <c r="ET76" s="130">
        <f t="shared" si="442"/>
        <v>4.6779484515812042</v>
      </c>
      <c r="EU76" s="65">
        <f t="shared" si="505"/>
        <v>138786.62932689846</v>
      </c>
      <c r="EV76" s="130">
        <f t="shared" si="443"/>
        <v>3.8324674758337673</v>
      </c>
      <c r="EW76" s="65">
        <f t="shared" si="505"/>
        <v>140681.88504574617</v>
      </c>
      <c r="EX76" s="130">
        <f t="shared" si="444"/>
        <v>2.6755160315190762</v>
      </c>
      <c r="EY76" s="64"/>
      <c r="EZ76" s="558"/>
      <c r="FA76" s="64"/>
      <c r="FB76" s="66"/>
      <c r="FC76" s="66"/>
      <c r="FD76" s="66"/>
      <c r="FE76" s="67"/>
      <c r="FF76" s="66"/>
      <c r="FG76" s="67"/>
      <c r="FH76" s="66"/>
      <c r="FI76" s="67"/>
      <c r="FJ76" s="66"/>
      <c r="FK76" s="67"/>
      <c r="FL76" s="66"/>
      <c r="FM76" s="61"/>
      <c r="FN76" s="66"/>
      <c r="FO76" s="61"/>
      <c r="FP76" s="65"/>
      <c r="FQ76" s="61"/>
      <c r="FR76" s="65"/>
      <c r="FS76" s="61"/>
      <c r="FT76" s="65">
        <f>FT73+FT75</f>
        <v>75112</v>
      </c>
      <c r="FU76" s="61" t="str">
        <f t="shared" si="445"/>
        <v>NA</v>
      </c>
      <c r="FV76" s="65">
        <f>FV73+FV75</f>
        <v>57455</v>
      </c>
      <c r="FW76" s="61">
        <f t="shared" si="446"/>
        <v>-23.507562040685915</v>
      </c>
      <c r="FX76" s="65">
        <f>FX73+FX75</f>
        <v>74281</v>
      </c>
      <c r="FY76" s="61">
        <f t="shared" si="447"/>
        <v>29.285527804368638</v>
      </c>
      <c r="FZ76" s="65">
        <f>FZ73+FZ75</f>
        <v>84848</v>
      </c>
      <c r="GA76" s="61">
        <f t="shared" si="448"/>
        <v>14.225710477780318</v>
      </c>
      <c r="GB76" s="65">
        <f>GB73+GB75</f>
        <v>85534</v>
      </c>
      <c r="GC76" s="61">
        <f t="shared" si="449"/>
        <v>0.80850462002639567</v>
      </c>
      <c r="GD76" s="65">
        <f>GD73+GD75</f>
        <v>96514</v>
      </c>
      <c r="GE76" s="61">
        <f t="shared" si="450"/>
        <v>12.837000491032802</v>
      </c>
      <c r="GF76" s="65">
        <f>GF73+GF75</f>
        <v>115090</v>
      </c>
      <c r="GG76" s="61">
        <f t="shared" si="451"/>
        <v>19.246948629214412</v>
      </c>
      <c r="GH76" s="65">
        <f>GH73+GH75</f>
        <v>122041</v>
      </c>
      <c r="GI76" s="61">
        <f t="shared" si="451"/>
        <v>6.0396211660439736</v>
      </c>
      <c r="GJ76" s="65">
        <f>GJ73+GJ75</f>
        <v>121596</v>
      </c>
      <c r="GK76" s="61">
        <f t="shared" si="451"/>
        <v>-0.36463155824681959</v>
      </c>
      <c r="GL76" s="65">
        <f>GL73+GL75</f>
        <v>124905</v>
      </c>
      <c r="GM76" s="61">
        <f t="shared" si="451"/>
        <v>2.7213066219283544</v>
      </c>
      <c r="GN76" s="65">
        <f>GN73+GN75</f>
        <v>137016</v>
      </c>
      <c r="GO76" s="61">
        <f t="shared" si="451"/>
        <v>9.696169088507256</v>
      </c>
      <c r="GP76" s="65">
        <f>GP73+GP75</f>
        <v>140681.88504574617</v>
      </c>
      <c r="GQ76" s="61">
        <f t="shared" si="451"/>
        <v>2.6755160315190762</v>
      </c>
      <c r="GR76" s="65">
        <f>GR73+GR75</f>
        <v>148896.69676589785</v>
      </c>
      <c r="GS76" s="61">
        <f t="shared" si="451"/>
        <v>5.8392818076616226</v>
      </c>
      <c r="GT76" s="65">
        <f>GT73+GT75</f>
        <v>158068.11242224992</v>
      </c>
      <c r="GU76" s="61">
        <f t="shared" si="451"/>
        <v>6.1595830233707405</v>
      </c>
      <c r="GV76" s="65">
        <f>GV73+GV75</f>
        <v>168331.49938737831</v>
      </c>
      <c r="GW76" s="61">
        <f t="shared" si="451"/>
        <v>6.4930154525484785</v>
      </c>
      <c r="GX76" s="65">
        <f>GX73+GX75</f>
        <v>179846.23298017954</v>
      </c>
      <c r="GY76" s="61">
        <f t="shared" si="452"/>
        <v>6.8405103232060949</v>
      </c>
      <c r="GZ76" s="61">
        <f t="shared" si="405"/>
        <v>5.5907834405443557</v>
      </c>
      <c r="HA76" s="61"/>
      <c r="HB76" s="452"/>
      <c r="HC76"/>
      <c r="HD76"/>
      <c r="HE76"/>
      <c r="HF76"/>
      <c r="HG76"/>
      <c r="HH76"/>
    </row>
    <row r="77" spans="2:216" s="5" customFormat="1" ht="12.75" customHeight="1" x14ac:dyDescent="0.2">
      <c r="B77" s="92"/>
      <c r="C77" s="66"/>
      <c r="D77" s="67"/>
      <c r="E77" s="66"/>
      <c r="F77" s="66"/>
      <c r="G77" s="64"/>
      <c r="H77" s="66"/>
      <c r="I77" s="64"/>
      <c r="J77" s="66"/>
      <c r="K77" s="64"/>
      <c r="L77" s="61"/>
      <c r="M77" s="66"/>
      <c r="N77" s="61"/>
      <c r="O77" s="64"/>
      <c r="P77" s="61"/>
      <c r="Q77" s="64"/>
      <c r="R77" s="61"/>
      <c r="S77" s="64"/>
      <c r="T77" s="61"/>
      <c r="U77" s="64"/>
      <c r="V77" s="61"/>
      <c r="W77" s="64"/>
      <c r="X77" s="61"/>
      <c r="Y77" s="64"/>
      <c r="Z77" s="61"/>
      <c r="AA77" s="64"/>
      <c r="AB77" s="61"/>
      <c r="AC77" s="64"/>
      <c r="AD77" s="61"/>
      <c r="AE77" s="64"/>
      <c r="AF77" s="61"/>
      <c r="AG77" s="64"/>
      <c r="AH77" s="61"/>
      <c r="AI77" s="64"/>
      <c r="AJ77" s="61"/>
      <c r="AK77" s="64"/>
      <c r="AL77" s="61"/>
      <c r="AM77" s="64"/>
      <c r="AN77" s="61"/>
      <c r="AO77" s="64"/>
      <c r="AP77" s="61"/>
      <c r="AQ77" s="64"/>
      <c r="AR77" s="61"/>
      <c r="AS77" s="64"/>
      <c r="AT77" s="61"/>
      <c r="AU77" s="64"/>
      <c r="AV77" s="61"/>
      <c r="AW77" s="64"/>
      <c r="AX77" s="61"/>
      <c r="AY77" s="64"/>
      <c r="AZ77" s="61"/>
      <c r="BA77" s="64"/>
      <c r="BB77" s="61"/>
      <c r="BC77" s="64"/>
      <c r="BD77" s="61"/>
      <c r="BE77" s="64"/>
      <c r="BF77" s="61"/>
      <c r="BG77" s="64"/>
      <c r="BH77" s="61"/>
      <c r="BI77" s="64"/>
      <c r="BJ77" s="61"/>
      <c r="BK77" s="64"/>
      <c r="BL77" s="61"/>
      <c r="BM77" s="64"/>
      <c r="BN77" s="61"/>
      <c r="BO77" s="64"/>
      <c r="BP77" s="61"/>
      <c r="BQ77" s="64"/>
      <c r="BR77" s="61"/>
      <c r="BS77" s="64"/>
      <c r="BT77" s="61"/>
      <c r="BU77" s="64"/>
      <c r="BV77" s="61"/>
      <c r="BW77" s="64"/>
      <c r="BX77" s="61"/>
      <c r="BY77" s="64"/>
      <c r="BZ77" s="61"/>
      <c r="CA77" s="64"/>
      <c r="CB77" s="61"/>
      <c r="CC77" s="64"/>
      <c r="CD77" s="61"/>
      <c r="CE77" s="64"/>
      <c r="CF77" s="61"/>
      <c r="CG77" s="64"/>
      <c r="CH77" s="61"/>
      <c r="CI77" s="64"/>
      <c r="CJ77" s="61"/>
      <c r="CK77" s="64"/>
      <c r="CL77" s="61"/>
      <c r="CM77" s="64"/>
      <c r="CN77" s="61"/>
      <c r="CO77" s="64"/>
      <c r="CP77" s="61"/>
      <c r="CQ77" s="64"/>
      <c r="CR77" s="61"/>
      <c r="CS77" s="64"/>
      <c r="CT77" s="61"/>
      <c r="CU77" s="64"/>
      <c r="CV77" s="61"/>
      <c r="CW77" s="64"/>
      <c r="CX77" s="61"/>
      <c r="CY77" s="64"/>
      <c r="CZ77" s="61"/>
      <c r="DA77" s="64"/>
      <c r="DB77" s="61"/>
      <c r="DC77" s="64"/>
      <c r="DD77" s="61"/>
      <c r="DE77" s="64"/>
      <c r="DF77" s="61"/>
      <c r="DG77" s="64"/>
      <c r="DH77" s="61"/>
      <c r="DI77" s="64"/>
      <c r="DJ77" s="61"/>
      <c r="DK77" s="64"/>
      <c r="DL77" s="61"/>
      <c r="DM77" s="64"/>
      <c r="DN77" s="61"/>
      <c r="DO77" s="64"/>
      <c r="DP77" s="61"/>
      <c r="DQ77" s="64"/>
      <c r="DR77" s="61"/>
      <c r="DS77" s="64"/>
      <c r="DT77" s="61"/>
      <c r="DU77" s="64"/>
      <c r="DV77" s="61"/>
      <c r="DW77" s="64"/>
      <c r="DX77" s="64"/>
      <c r="DY77" s="64"/>
      <c r="DZ77" s="61"/>
      <c r="EA77" s="64"/>
      <c r="EB77" s="61"/>
      <c r="EC77" s="64"/>
      <c r="ED77" s="61"/>
      <c r="EE77" s="64"/>
      <c r="EF77" s="61"/>
      <c r="EG77" s="64"/>
      <c r="EH77" s="61"/>
      <c r="EI77" s="64"/>
      <c r="EJ77" s="61"/>
      <c r="EK77" s="64"/>
      <c r="EL77" s="61"/>
      <c r="EM77" s="64"/>
      <c r="EN77" s="61"/>
      <c r="EO77" s="64"/>
      <c r="EP77" s="61"/>
      <c r="EQ77" s="64"/>
      <c r="ER77" s="61"/>
      <c r="ES77" s="64"/>
      <c r="ET77" s="61"/>
      <c r="EU77" s="64"/>
      <c r="EV77" s="61"/>
      <c r="EW77" s="64"/>
      <c r="EX77" s="61"/>
      <c r="EY77" s="64"/>
      <c r="EZ77" s="558"/>
      <c r="FA77" s="64"/>
      <c r="FB77" s="66"/>
      <c r="FC77" s="66"/>
      <c r="FD77" s="66"/>
      <c r="FE77" s="67"/>
      <c r="FF77" s="66"/>
      <c r="FG77" s="67"/>
      <c r="FH77" s="66"/>
      <c r="FI77" s="67"/>
      <c r="FJ77" s="66"/>
      <c r="FK77" s="67"/>
      <c r="FL77" s="66"/>
      <c r="FM77" s="61"/>
      <c r="FN77" s="66"/>
      <c r="FO77" s="61"/>
      <c r="FP77" s="65"/>
      <c r="FQ77" s="61"/>
      <c r="FR77" s="65"/>
      <c r="FS77" s="61"/>
      <c r="FT77" s="65"/>
      <c r="FU77" s="61"/>
      <c r="FV77" s="65"/>
      <c r="FW77" s="61"/>
      <c r="FX77" s="65"/>
      <c r="FY77" s="61"/>
      <c r="FZ77" s="65"/>
      <c r="GA77" s="61"/>
      <c r="GB77" s="65"/>
      <c r="GC77" s="61"/>
      <c r="GD77" s="65"/>
      <c r="GE77" s="61"/>
      <c r="GF77" s="65"/>
      <c r="GG77" s="61"/>
      <c r="GH77" s="65"/>
      <c r="GI77" s="61"/>
      <c r="GJ77" s="65"/>
      <c r="GK77" s="61"/>
      <c r="GL77" s="65"/>
      <c r="GM77" s="61"/>
      <c r="GN77" s="65"/>
      <c r="GO77" s="61"/>
      <c r="GP77" s="65"/>
      <c r="GQ77" s="61"/>
      <c r="GR77" s="64"/>
      <c r="GS77" s="61"/>
      <c r="GT77" s="64"/>
      <c r="GU77" s="61"/>
      <c r="GV77" s="64"/>
      <c r="GW77" s="61"/>
      <c r="GX77" s="64"/>
      <c r="GY77" s="61"/>
      <c r="GZ77" s="61"/>
      <c r="HA77" s="61"/>
      <c r="HB77" s="452"/>
      <c r="HC77"/>
      <c r="HD77"/>
      <c r="HE77"/>
      <c r="HF77"/>
      <c r="HG77"/>
      <c r="HH77"/>
    </row>
    <row r="78" spans="2:216" s="5" customFormat="1" ht="12.75" customHeight="1" x14ac:dyDescent="0.2">
      <c r="B78" s="241" t="s">
        <v>527</v>
      </c>
      <c r="C78" s="66"/>
      <c r="D78" s="67"/>
      <c r="E78" s="66"/>
      <c r="F78" s="66"/>
      <c r="G78" s="64"/>
      <c r="H78" s="66"/>
      <c r="I78" s="64"/>
      <c r="J78" s="66"/>
      <c r="K78" s="64"/>
      <c r="L78" s="61"/>
      <c r="M78" s="66"/>
      <c r="N78" s="61"/>
      <c r="O78" s="64"/>
      <c r="P78" s="61"/>
      <c r="Q78" s="64"/>
      <c r="R78" s="61"/>
      <c r="S78" s="64"/>
      <c r="T78" s="61"/>
      <c r="U78" s="64"/>
      <c r="V78" s="61"/>
      <c r="W78" s="64"/>
      <c r="X78" s="61"/>
      <c r="Y78" s="64"/>
      <c r="Z78" s="61"/>
      <c r="AA78" s="64"/>
      <c r="AB78" s="61"/>
      <c r="AC78" s="64"/>
      <c r="AD78" s="61"/>
      <c r="AE78" s="64"/>
      <c r="AF78" s="61"/>
      <c r="AG78" s="64"/>
      <c r="AH78" s="61"/>
      <c r="AI78" s="64"/>
      <c r="AJ78" s="61"/>
      <c r="AK78" s="64"/>
      <c r="AL78" s="61"/>
      <c r="AM78" s="64"/>
      <c r="AN78" s="61"/>
      <c r="AO78" s="64"/>
      <c r="AP78" s="61"/>
      <c r="AQ78" s="64"/>
      <c r="AR78" s="61"/>
      <c r="AS78" s="64"/>
      <c r="AT78" s="61"/>
      <c r="AU78" s="64"/>
      <c r="AV78" s="61"/>
      <c r="AW78" s="64"/>
      <c r="AX78" s="61"/>
      <c r="AY78" s="64"/>
      <c r="AZ78" s="61"/>
      <c r="BA78" s="64"/>
      <c r="BB78" s="61"/>
      <c r="BC78" s="64"/>
      <c r="BD78" s="61"/>
      <c r="BE78" s="64"/>
      <c r="BF78" s="61"/>
      <c r="BG78" s="65">
        <f>BG69+BG70</f>
        <v>754</v>
      </c>
      <c r="BH78" s="61" t="str">
        <f t="shared" si="406"/>
        <v>NA</v>
      </c>
      <c r="BI78" s="65">
        <f>BI69+BI70</f>
        <v>1137</v>
      </c>
      <c r="BJ78" s="61" t="str">
        <f>IF(ISERROR((BI78/BA78-1)*100),"NA",IF(((BI78/BA78-1)*100)&gt;100,"NM",IF(((BI78/BA78-1)*100)&lt;-50,"NM",(BI78/BA78-1)*100)))</f>
        <v>NA</v>
      </c>
      <c r="BK78" s="65">
        <f>BK69+BK70</f>
        <v>1291</v>
      </c>
      <c r="BL78" s="61" t="str">
        <f>IF(ISERROR((BK78/BC78-1)*100),"NA",IF(((BK78/BC78-1)*100)&gt;100,"NM",IF(((BK78/BC78-1)*100)&lt;-50,"NM",(BK78/BC78-1)*100)))</f>
        <v>NA</v>
      </c>
      <c r="BM78" s="65">
        <f>BM69+BM70</f>
        <v>1807</v>
      </c>
      <c r="BN78" s="61" t="str">
        <f>IF(ISERROR((BM78/BE78-1)*100),"NA",IF(((BM78/BE78-1)*100)&gt;100,"NM",IF(((BM78/BE78-1)*100)&lt;-50,"NM",(BM78/BE78-1)*100)))</f>
        <v>NA</v>
      </c>
      <c r="BO78" s="65">
        <f>BO69+BO70</f>
        <v>1181</v>
      </c>
      <c r="BP78" s="61">
        <f>IF(ISERROR((BO78/BG78-1)*100),"NA",IF(((BO78/BG78-1)*100)&gt;100,"NM",IF(((BO78/BG78-1)*100)&lt;-50,"NM",(BO78/BG78-1)*100)))</f>
        <v>56.631299734748012</v>
      </c>
      <c r="BQ78" s="65">
        <f>BQ69+BQ70</f>
        <v>1590</v>
      </c>
      <c r="BR78" s="61">
        <f>IF(ISERROR((BQ78/BI78-1)*100),"NA",IF(((BQ78/BI78-1)*100)&gt;100,"NM",IF(((BQ78/BI78-1)*100)&lt;-50,"NM",(BQ78/BI78-1)*100)))</f>
        <v>39.841688654353561</v>
      </c>
      <c r="BS78" s="65">
        <f>BS69+BS70</f>
        <v>944</v>
      </c>
      <c r="BT78" s="61">
        <f>IF(ISERROR((BS78/BK78-1)*100),"NA",IF(((BS78/BK78-1)*100)&gt;100,"NM",IF(((BS78/BK78-1)*100)&lt;-50,"NM",(BS78/BK78-1)*100)))</f>
        <v>-26.878388845855927</v>
      </c>
      <c r="BU78" s="65">
        <f>BU69+BU70</f>
        <v>375</v>
      </c>
      <c r="BV78" s="61" t="str">
        <f>IF(ISERROR((BU78/BM78-1)*100),"NA",IF(((BU78/BM78-1)*100)&gt;100,"NM",IF(((BU78/BM78-1)*100)&lt;-50,"NM",(BU78/BM78-1)*100)))</f>
        <v>NM</v>
      </c>
      <c r="BW78" s="65">
        <f>BW69+BW70</f>
        <v>429</v>
      </c>
      <c r="BX78" s="61" t="str">
        <f>IF(ISERROR((BW78/BO78-1)*100),"NA",IF(((BW78/BO78-1)*100)&gt;100,"NM",IF(((BW78/BO78-1)*100)&lt;-50,"NM",(BW78/BO78-1)*100)))</f>
        <v>NM</v>
      </c>
      <c r="BY78" s="65">
        <f>BY69+BY70</f>
        <v>1035</v>
      </c>
      <c r="BZ78" s="61">
        <f>IF(ISERROR((BY78/BQ78-1)*100),"NA",IF(((BY78/BQ78-1)*100)&gt;100,"NM",IF(((BY78/BQ78-1)*100)&lt;-50,"NM",(BY78/BQ78-1)*100)))</f>
        <v>-34.905660377358494</v>
      </c>
      <c r="CA78" s="65">
        <f>CA69+CA70</f>
        <v>1609</v>
      </c>
      <c r="CB78" s="61">
        <f>IF(ISERROR((CA78/BS78-1)*100),"NA",IF(((CA78/BS78-1)*100)&gt;100,"NM",IF(((CA78/BS78-1)*100)&lt;-50,"NM",(CA78/BS78-1)*100)))</f>
        <v>70.444915254237287</v>
      </c>
      <c r="CC78" s="65">
        <f>CC69+CC70</f>
        <v>819</v>
      </c>
      <c r="CD78" s="61" t="str">
        <f>IF(ISERROR((CC78/BU78-1)*100),"NA",IF(((CC78/BU78-1)*100)&gt;100,"NM",IF(((CC78/BU78-1)*100)&lt;-50,"NM",(CC78/BU78-1)*100)))</f>
        <v>NM</v>
      </c>
      <c r="CE78" s="65">
        <f>CE69+CE70</f>
        <v>575</v>
      </c>
      <c r="CF78" s="61">
        <f>IF(ISERROR((CE78/BW78-1)*100),"NA",IF(((CE78/BW78-1)*100)&gt;100,"NM",IF(((CE78/BW78-1)*100)&lt;-50,"NM",(CE78/BW78-1)*100)))</f>
        <v>34.032634032634036</v>
      </c>
      <c r="CG78" s="65">
        <f>CG69+CG70</f>
        <v>1153</v>
      </c>
      <c r="CH78" s="61">
        <f>IF(ISERROR((CG78/BY78-1)*100),"NA",IF(((CG78/BY78-1)*100)&gt;100,"NM",IF(((CG78/BY78-1)*100)&lt;-50,"NM",(CG78/BY78-1)*100)))</f>
        <v>11.400966183574891</v>
      </c>
      <c r="CI78" s="65">
        <f>CI69+CI70</f>
        <v>1285</v>
      </c>
      <c r="CJ78" s="61">
        <f>IF(ISERROR((CI78/CA78-1)*100),"NA",IF(((CI78/CA78-1)*100)&gt;100,"NM",IF(((CI78/CA78-1)*100)&lt;-50,"NM",(CI78/CA78-1)*100)))</f>
        <v>-20.136730888750776</v>
      </c>
      <c r="CK78" s="65">
        <f>CK69+CK70</f>
        <v>542</v>
      </c>
      <c r="CL78" s="61">
        <f>IF(ISERROR((CK78/CC78-1)*100),"NA",IF(((CK78/CC78-1)*100)&gt;100,"NM",IF(((CK78/CC78-1)*100)&lt;-50,"NM",(CK78/CC78-1)*100)))</f>
        <v>-33.821733821733822</v>
      </c>
      <c r="CM78" s="65">
        <f>CM69+CM70</f>
        <v>483</v>
      </c>
      <c r="CN78" s="61">
        <f>IF(ISERROR((CM78/CE78-1)*100),"NA",IF(((CM78/CE78-1)*100)&gt;100,"NM",IF(((CM78/CE78-1)*100)&lt;-50,"NM",(CM78/CE78-1)*100)))</f>
        <v>-16.000000000000004</v>
      </c>
      <c r="CO78" s="65">
        <f>CO69+CO70</f>
        <v>700</v>
      </c>
      <c r="CP78" s="61">
        <f>IF(ISERROR((CO78/CG78-1)*100),"NA",IF(((CO78/CG78-1)*100)&gt;100,"NM",IF(((CO78/CG78-1)*100)&lt;-50,"NM",(CO78/CG78-1)*100)))</f>
        <v>-39.288811795316569</v>
      </c>
      <c r="CQ78" s="65">
        <f>CQ69+CQ70</f>
        <v>663</v>
      </c>
      <c r="CR78" s="61">
        <f>IF(ISERROR((CQ78/CI78-1)*100),"NA",IF(((CQ78/CI78-1)*100)&gt;100,"NM",IF(((CQ78/CI78-1)*100)&lt;-50,"NM",(CQ78/CI78-1)*100)))</f>
        <v>-48.404669260700381</v>
      </c>
      <c r="CS78" s="65">
        <f>CS69+CS70</f>
        <v>345</v>
      </c>
      <c r="CT78" s="61">
        <f>IF(ISERROR((CS78/CK78-1)*100),"NA",IF(((CS78/CK78-1)*100)&gt;100,"NM",IF(((CS78/CK78-1)*100)&lt;-50,"NM",(CS78/CK78-1)*100)))</f>
        <v>-36.34686346863468</v>
      </c>
      <c r="CU78" s="65">
        <f>CU69+CU70</f>
        <v>293</v>
      </c>
      <c r="CV78" s="61">
        <f>IF(ISERROR((CU78/CM78-1)*100),"NA",IF(((CU78/CM78-1)*100)&gt;100,"NM",IF(((CU78/CM78-1)*100)&lt;-50,"NM",(CU78/CM78-1)*100)))</f>
        <v>-39.337474120082817</v>
      </c>
      <c r="CW78" s="65">
        <f>CW69+CW70</f>
        <v>701</v>
      </c>
      <c r="CX78" s="61">
        <f>IF(ISERROR((CW78/CO78-1)*100),"NA",IF(((CW78/CO78-1)*100)&gt;100,"NM",IF(((CW78/CO78-1)*100)&lt;-50,"NM",(CW78/CO78-1)*100)))</f>
        <v>0.14285714285713347</v>
      </c>
      <c r="CY78" s="65">
        <f>CY69+CY70</f>
        <v>396</v>
      </c>
      <c r="CZ78" s="61">
        <f>IF(ISERROR((CY78/CQ78-1)*100),"NA",IF(((CY78/CQ78-1)*100)&gt;100,"NM",IF(((CY78/CQ78-1)*100)&lt;-50,"NM",(CY78/CQ78-1)*100)))</f>
        <v>-40.271493212669682</v>
      </c>
      <c r="DA78" s="65">
        <f>DA69+DA70</f>
        <v>1060</v>
      </c>
      <c r="DB78" s="61" t="str">
        <f>IF(ISERROR((DA78/CS78-1)*100),"NA",IF(((DA78/CS78-1)*100)&gt;100,"NM",IF(((DA78/CS78-1)*100)&lt;-50,"NM",(DA78/CS78-1)*100)))</f>
        <v>NM</v>
      </c>
      <c r="DC78" s="65">
        <f>DC69+DC70</f>
        <v>885</v>
      </c>
      <c r="DD78" s="61" t="str">
        <f>IF(ISERROR((DC78/CU78-1)*100),"NA",IF(((DC78/CU78-1)*100)&gt;100,"NM",IF(((DC78/CU78-1)*100)&lt;-50,"NM",(DC78/CU78-1)*100)))</f>
        <v>NM</v>
      </c>
      <c r="DE78" s="65">
        <f>DE69+DE70</f>
        <v>1703</v>
      </c>
      <c r="DF78" s="61" t="str">
        <f>IF(ISERROR((DE78/CW78-1)*100),"NA",IF(((DE78/CW78-1)*100)&gt;100,"NM",IF(((DE78/CW78-1)*100)&lt;-50,"NM",(DE78/CW78-1)*100)))</f>
        <v>NM</v>
      </c>
      <c r="DG78" s="65">
        <f>DG69+DG70</f>
        <v>1235</v>
      </c>
      <c r="DH78" s="61" t="str">
        <f>IF(ISERROR((DG78/CY78-1)*100),"NA",IF(((DG78/CY78-1)*100)&gt;100,"NM",IF(((DG78/CY78-1)*100)&lt;-50,"NM",(DG78/CY78-1)*100)))</f>
        <v>NM</v>
      </c>
      <c r="DI78" s="65">
        <f>DI69+DI70</f>
        <v>1190</v>
      </c>
      <c r="DJ78" s="61">
        <f>IF(ISERROR((DI78/DA78-1)*100),"NA",IF(((DI78/DA78-1)*100)&gt;100,"NM",IF(((DI78/DA78-1)*100)&lt;-50,"NM",(DI78/DA78-1)*100)))</f>
        <v>12.264150943396235</v>
      </c>
      <c r="DK78" s="65">
        <f>DK69+DK70</f>
        <v>695</v>
      </c>
      <c r="DL78" s="61">
        <f>IF(ISERROR((DK78/DC78-1)*100),"NA",IF(((DK78/DC78-1)*100)&gt;100,"NM",IF(((DK78/DC78-1)*100)&lt;-50,"NM",(DK78/DC78-1)*100)))</f>
        <v>-21.468926553672318</v>
      </c>
      <c r="DM78" s="65">
        <f>DM69+DM70</f>
        <v>831</v>
      </c>
      <c r="DN78" s="130" t="str">
        <f t="shared" ref="DN78:DZ79" si="506">IF(ISERROR((DM78/DE78-1)*100),"NA",IF(((DM78/DE78-1)*100)&gt;100,"NM",IF(((DM78/DE78-1)*100)&lt;-50,"NM",(DM78/DE78-1)*100)))</f>
        <v>NM</v>
      </c>
      <c r="DO78" s="65">
        <f>DO69+DO70</f>
        <v>565</v>
      </c>
      <c r="DP78" s="130" t="str">
        <f t="shared" si="506"/>
        <v>NM</v>
      </c>
      <c r="DQ78" s="65">
        <f>DQ69+DQ70</f>
        <v>555</v>
      </c>
      <c r="DR78" s="130" t="str">
        <f t="shared" si="506"/>
        <v>NM</v>
      </c>
      <c r="DS78" s="65">
        <f>DS69+DS70</f>
        <v>196</v>
      </c>
      <c r="DT78" s="130" t="str">
        <f t="shared" si="506"/>
        <v>NM</v>
      </c>
      <c r="DU78" s="65">
        <f>DU69+DU70</f>
        <v>397</v>
      </c>
      <c r="DV78" s="130" t="str">
        <f t="shared" si="506"/>
        <v>NM</v>
      </c>
      <c r="DW78" s="65">
        <f>DW69+DW70</f>
        <v>536</v>
      </c>
      <c r="DX78" s="65">
        <f t="shared" ref="DX78:DY78" si="507">DX69+DX70</f>
        <v>536</v>
      </c>
      <c r="DY78" s="65">
        <f t="shared" si="507"/>
        <v>435</v>
      </c>
      <c r="DZ78" s="130">
        <f t="shared" si="506"/>
        <v>-21.621621621621621</v>
      </c>
      <c r="EA78" s="65">
        <f t="shared" ref="EA78:EC78" si="508">EA69+EA70</f>
        <v>-35</v>
      </c>
      <c r="EB78" s="130" t="str">
        <f t="shared" ref="EB78:EB79" si="509">IF(ISERROR((EA78/DS78-1)*100),"NA",IF(((EA78/DS78-1)*100)&gt;100,"NM",IF(((EA78/DS78-1)*100)&lt;-50,"NM",(EA78/DS78-1)*100)))</f>
        <v>NM</v>
      </c>
      <c r="EC78" s="65">
        <f t="shared" si="508"/>
        <v>-452</v>
      </c>
      <c r="ED78" s="130" t="str">
        <f t="shared" ref="ED78:ED79" si="510">IF(ISERROR((EC78/DU78-1)*100),"NA",IF(((EC78/DU78-1)*100)&gt;100,"NM",IF(((EC78/DU78-1)*100)&lt;-50,"NM",(EC78/DU78-1)*100)))</f>
        <v>NM</v>
      </c>
      <c r="EE78" s="65">
        <f t="shared" ref="EE78:EG78" si="511">EE69+EE70</f>
        <v>-868</v>
      </c>
      <c r="EF78" s="130" t="str">
        <f t="shared" ref="EF78:EF79" si="512">IF(ISERROR((EE78/DW78-1)*100),"NA",IF(((EE78/DW78-1)*100)&gt;100,"NM",IF(((EE78/DW78-1)*100)&lt;-50,"NM",(EE78/DW78-1)*100)))</f>
        <v>NM</v>
      </c>
      <c r="EG78" s="65">
        <f t="shared" si="511"/>
        <v>-932</v>
      </c>
      <c r="EH78" s="130" t="str">
        <f t="shared" ref="EH78:EH79" si="513">IF(ISERROR((EG78/DY78-1)*100),"NA",IF(((EG78/DY78-1)*100)&gt;100,"NM",IF(((EG78/DY78-1)*100)&lt;-50,"NM",(EG78/DY78-1)*100)))</f>
        <v>NM</v>
      </c>
      <c r="EI78" s="65">
        <f t="shared" ref="EI78:EK78" si="514">EI69+EI70</f>
        <v>-944</v>
      </c>
      <c r="EJ78" s="130" t="str">
        <f t="shared" ref="EJ78:EJ79" si="515">IF(ISERROR((EI78/EA78-1)*100),"NA",IF(((EI78/EA78-1)*100)&gt;100,"NM",IF(((EI78/EA78-1)*100)&lt;-50,"NM",(EI78/EA78-1)*100)))</f>
        <v>NM</v>
      </c>
      <c r="EK78" s="65">
        <f t="shared" si="514"/>
        <v>-1075</v>
      </c>
      <c r="EL78" s="130" t="str">
        <f t="shared" ref="EL78:EL79" si="516">IF(ISERROR((EK78/EC78-1)*100),"NA",IF(((EK78/EC78-1)*100)&gt;100,"NM",IF(((EK78/EC78-1)*100)&lt;-50,"NM",(EK78/EC78-1)*100)))</f>
        <v>NM</v>
      </c>
      <c r="EM78" s="65">
        <f t="shared" ref="EM78" si="517">EM69+EM70</f>
        <v>-1025</v>
      </c>
      <c r="EN78" s="130">
        <f t="shared" ref="EN78:EN79" si="518">IF(ISERROR((EM78/EE78-1)*100),"NA",IF(((EM78/EE78-1)*100)&gt;100,"NM",IF(((EM78/EE78-1)*100)&lt;-50,"NM",(EM78/EE78-1)*100)))</f>
        <v>18.087557603686633</v>
      </c>
      <c r="EO78" s="65">
        <f t="shared" ref="EO78" si="519">EO69+EO70</f>
        <v>-414</v>
      </c>
      <c r="EP78" s="130" t="str">
        <f t="shared" ref="EP78:EP79" si="520">IF(ISERROR((EO78/EG78-1)*100),"NA",IF(((EO78/EG78-1)*100)&gt;100,"NM",IF(((EO78/EG78-1)*100)&lt;-50,"NM",(EO78/EG78-1)*100)))</f>
        <v>NM</v>
      </c>
      <c r="EQ78" s="65">
        <f t="shared" ref="EQ78:EW78" si="521">EQ69+EQ70</f>
        <v>-493.15625630742943</v>
      </c>
      <c r="ER78" s="130">
        <f t="shared" ref="ER78:ER79" si="522">IF(ISERROR((EQ78/EI78-1)*100),"NA",IF(((EQ78/EI78-1)*100)&gt;100,"NM",IF(((EQ78/EI78-1)*100)&lt;-50,"NM",(EQ78/EI78-1)*100)))</f>
        <v>-47.758871153874004</v>
      </c>
      <c r="ES78" s="65">
        <f t="shared" si="521"/>
        <v>-241.31384982517466</v>
      </c>
      <c r="ET78" s="130" t="str">
        <f t="shared" ref="ET78:ET79" si="523">IF(ISERROR((ES78/EK78-1)*100),"NA",IF(((ES78/EK78-1)*100)&gt;100,"NM",IF(((ES78/EK78-1)*100)&lt;-50,"NM",(ES78/EK78-1)*100)))</f>
        <v>NM</v>
      </c>
      <c r="EU78" s="65">
        <f t="shared" si="521"/>
        <v>0.54554746498752138</v>
      </c>
      <c r="EV78" s="130" t="str">
        <f t="shared" ref="EV78:EV79" si="524">IF(ISERROR((EU78/EM78-1)*100),"NA",IF(((EU78/EM78-1)*100)&gt;100,"NM",IF(((EU78/EM78-1)*100)&lt;-50,"NM",(EU78/EM78-1)*100)))</f>
        <v>NM</v>
      </c>
      <c r="EW78" s="65">
        <f t="shared" si="521"/>
        <v>244.74743403335697</v>
      </c>
      <c r="EX78" s="130" t="str">
        <f t="shared" ref="EX78:EX79" si="525">IF(ISERROR((EW78/EO78-1)*100),"NA",IF(((EW78/EO78-1)*100)&gt;100,"NM",IF(((EW78/EO78-1)*100)&lt;-50,"NM",(EW78/EO78-1)*100)))</f>
        <v>NM</v>
      </c>
      <c r="EY78" s="64"/>
      <c r="EZ78" s="558"/>
      <c r="FA78" s="64"/>
      <c r="FB78" s="66"/>
      <c r="FC78" s="66"/>
      <c r="FD78" s="66"/>
      <c r="FE78" s="67"/>
      <c r="FF78" s="66"/>
      <c r="FG78" s="67"/>
      <c r="FH78" s="66"/>
      <c r="FI78" s="67"/>
      <c r="FJ78" s="66"/>
      <c r="FK78" s="67"/>
      <c r="FL78" s="66"/>
      <c r="FM78" s="61"/>
      <c r="FN78" s="66"/>
      <c r="FO78" s="61"/>
      <c r="FP78" s="65"/>
      <c r="FQ78" s="61"/>
      <c r="FR78" s="65"/>
      <c r="FS78" s="61"/>
      <c r="FT78" s="65">
        <f>FT69+FT70</f>
        <v>4989</v>
      </c>
      <c r="FU78" s="61" t="str">
        <f t="shared" si="445"/>
        <v>NA</v>
      </c>
      <c r="FV78" s="65">
        <f>FV69+FV70</f>
        <v>4090</v>
      </c>
      <c r="FW78" s="61">
        <f>IF(ISERROR((FV78/FT78-1)*100),"NA",IF(((FV78/FT78-1)*100)&gt;100,"NM",IF(((FV78/FT78-1)*100)&lt;-50,"NM",(FV78/FT78-1)*100)))</f>
        <v>-18.019643215073156</v>
      </c>
      <c r="FX78" s="65">
        <f>FX69+FX70</f>
        <v>3892</v>
      </c>
      <c r="FY78" s="61">
        <f>IF(ISERROR((FX78/FV78-1)*100),"NA",IF(((FX78/FV78-1)*100)&gt;100,"NM",IF(((FX78/FV78-1)*100)&lt;-50,"NM",(FX78/FV78-1)*100)))</f>
        <v>-4.8410757946210303</v>
      </c>
      <c r="FZ78" s="65">
        <f>FZ69+FZ70</f>
        <v>3555</v>
      </c>
      <c r="GA78" s="61">
        <f>IF(ISERROR((FZ78/FX78-1)*100),"NA",IF(((FZ78/FX78-1)*100)&gt;100,"NM",IF(((FZ78/FX78-1)*100)&lt;-50,"NM",(FZ78/FX78-1)*100)))</f>
        <v>-8.6587872559095622</v>
      </c>
      <c r="GB78" s="65">
        <f>GB69+GB70</f>
        <v>2191</v>
      </c>
      <c r="GC78" s="61">
        <f>IF(ISERROR((GB78/FZ78-1)*100),"NA",IF(((GB78/FZ78-1)*100)&gt;100,"NM",IF(((GB78/FZ78-1)*100)&lt;-50,"NM",(GB78/FZ78-1)*100)))</f>
        <v>-38.368495077355838</v>
      </c>
      <c r="GD78" s="65">
        <f>GD69+GD70</f>
        <v>2450</v>
      </c>
      <c r="GE78" s="61">
        <f>IF(ISERROR((GD78/GB78-1)*100),"NA",IF(((GD78/GB78-1)*100)&gt;100,"NM",IF(((GD78/GB78-1)*100)&lt;-50,"NM",(GD78/GB78-1)*100)))</f>
        <v>11.82108626198084</v>
      </c>
      <c r="GF78" s="65">
        <f>GF69+GF70</f>
        <v>5013</v>
      </c>
      <c r="GG78" s="61" t="str">
        <f t="shared" ref="GG78:GW79" si="526">IF(ISERROR((GF78/GD78-1)*100),"NA",IF(((GF78/GD78-1)*100)&gt;100,"NM",IF(((GF78/GD78-1)*100)&lt;-50,"NM",(GF78/GD78-1)*100)))</f>
        <v>NM</v>
      </c>
      <c r="GH78" s="65">
        <f>GH69+GH70</f>
        <v>2646</v>
      </c>
      <c r="GI78" s="61">
        <f t="shared" si="526"/>
        <v>-47.217235188509875</v>
      </c>
      <c r="GJ78" s="65">
        <f>GJ69+GJ70</f>
        <v>1564</v>
      </c>
      <c r="GK78" s="61">
        <f t="shared" si="526"/>
        <v>-40.891912320483748</v>
      </c>
      <c r="GL78" s="65">
        <f>GL69+GL70</f>
        <v>-2287</v>
      </c>
      <c r="GM78" s="61" t="str">
        <f t="shared" si="526"/>
        <v>NM</v>
      </c>
      <c r="GN78" s="65">
        <f>GN69+GN70</f>
        <v>-3458</v>
      </c>
      <c r="GO78" s="61">
        <f t="shared" si="526"/>
        <v>51.202448622649754</v>
      </c>
      <c r="GP78" s="65">
        <f>GP69+GP70</f>
        <v>-489.17712463425778</v>
      </c>
      <c r="GQ78" s="61" t="str">
        <f t="shared" si="526"/>
        <v>NM</v>
      </c>
      <c r="GR78" s="65">
        <f>GR69+GR70</f>
        <v>1518.9290874327453</v>
      </c>
      <c r="GS78" s="61" t="str">
        <f t="shared" si="526"/>
        <v>NM</v>
      </c>
      <c r="GT78" s="65">
        <f>GT69+GT70</f>
        <v>2089.7764228762226</v>
      </c>
      <c r="GU78" s="61">
        <f t="shared" si="526"/>
        <v>37.58222422406228</v>
      </c>
      <c r="GV78" s="65">
        <f>GV69+GV70</f>
        <v>2749.8482822212736</v>
      </c>
      <c r="GW78" s="61">
        <f t="shared" si="526"/>
        <v>31.585764492288337</v>
      </c>
      <c r="GX78" s="65">
        <f>GX69+GX70</f>
        <v>3516.6757268803976</v>
      </c>
      <c r="GY78" s="61">
        <f t="shared" ref="GY78:GY79" si="527">IF(ISERROR((GX78/GV78-1)*100),"NA",IF(((GX78/GV78-1)*100)&gt;100,"NM",IF(((GX78/GV78-1)*100)&lt;-50,"NM",(GX78/GV78-1)*100)))</f>
        <v>27.886172834222545</v>
      </c>
      <c r="GZ78" s="61" t="str">
        <f>IF(ISERROR((GX78/GN78)^0.2),"",IF(OR((GX78/GN78)^0.2&lt;0.5,(GX78/GN78)^0.2&gt;2),"NM",((GX78/GN78)^0.2-1)*100))</f>
        <v>NM</v>
      </c>
      <c r="HA78" s="61"/>
      <c r="HB78" s="452"/>
      <c r="HC78"/>
      <c r="HD78"/>
      <c r="HE78"/>
      <c r="HF78"/>
      <c r="HG78"/>
      <c r="HH78"/>
    </row>
    <row r="79" spans="2:216" s="5" customFormat="1" ht="12.75" customHeight="1" x14ac:dyDescent="0.2">
      <c r="B79" s="68" t="s">
        <v>281</v>
      </c>
      <c r="C79" s="66"/>
      <c r="D79" s="67"/>
      <c r="E79" s="66"/>
      <c r="F79" s="66"/>
      <c r="G79" s="64"/>
      <c r="H79" s="66"/>
      <c r="I79" s="64"/>
      <c r="J79" s="66"/>
      <c r="K79" s="64"/>
      <c r="L79" s="61"/>
      <c r="M79" s="66"/>
      <c r="N79" s="61"/>
      <c r="O79" s="64"/>
      <c r="P79" s="61"/>
      <c r="Q79" s="64"/>
      <c r="R79" s="61"/>
      <c r="S79" s="64"/>
      <c r="T79" s="61"/>
      <c r="U79" s="64"/>
      <c r="V79" s="61"/>
      <c r="W79" s="64"/>
      <c r="X79" s="61"/>
      <c r="Y79" s="64"/>
      <c r="Z79" s="61"/>
      <c r="AA79" s="64"/>
      <c r="AB79" s="61"/>
      <c r="AC79" s="64"/>
      <c r="AD79" s="61"/>
      <c r="AE79" s="64"/>
      <c r="AF79" s="61"/>
      <c r="AG79" s="64"/>
      <c r="AH79" s="61"/>
      <c r="AI79" s="64"/>
      <c r="AJ79" s="61"/>
      <c r="AK79" s="64"/>
      <c r="AL79" s="61"/>
      <c r="AM79" s="64"/>
      <c r="AN79" s="61"/>
      <c r="AO79" s="64"/>
      <c r="AP79" s="61"/>
      <c r="AQ79" s="64"/>
      <c r="AR79" s="61"/>
      <c r="AS79" s="64"/>
      <c r="AT79" s="61"/>
      <c r="AU79" s="64"/>
      <c r="AV79" s="61"/>
      <c r="AW79" s="64"/>
      <c r="AX79" s="61"/>
      <c r="AY79" s="64"/>
      <c r="AZ79" s="61"/>
      <c r="BA79" s="64"/>
      <c r="BB79" s="61"/>
      <c r="BC79" s="64"/>
      <c r="BD79" s="61"/>
      <c r="BE79" s="64"/>
      <c r="BF79" s="61"/>
      <c r="BG79" s="65">
        <f>BG73-BG68</f>
        <v>1724</v>
      </c>
      <c r="BH79" s="61" t="str">
        <f t="shared" si="406"/>
        <v>NA</v>
      </c>
      <c r="BI79" s="65">
        <f>BI73-BI68</f>
        <v>4601</v>
      </c>
      <c r="BJ79" s="61" t="str">
        <f>IF(ISERROR((BI79/BA79-1)*100),"NA",IF(((BI79/BA79-1)*100)&gt;100,"NM",IF(((BI79/BA79-1)*100)&lt;-50,"NM",(BI79/BA79-1)*100)))</f>
        <v>NA</v>
      </c>
      <c r="BK79" s="65">
        <f>BK73-BK68</f>
        <v>3068</v>
      </c>
      <c r="BL79" s="61" t="str">
        <f>IF(ISERROR((BK79/BC79-1)*100),"NA",IF(((BK79/BC79-1)*100)&gt;100,"NM",IF(((BK79/BC79-1)*100)&lt;-50,"NM",(BK79/BC79-1)*100)))</f>
        <v>NA</v>
      </c>
      <c r="BM79" s="65">
        <f>BM73-BM68</f>
        <v>357</v>
      </c>
      <c r="BN79" s="61" t="str">
        <f>IF(ISERROR((BM79/BE79-1)*100),"NA",IF(((BM79/BE79-1)*100)&gt;100,"NM",IF(((BM79/BE79-1)*100)&lt;-50,"NM",(BM79/BE79-1)*100)))</f>
        <v>NA</v>
      </c>
      <c r="BO79" s="65">
        <f>BO73-BO68</f>
        <v>-3797</v>
      </c>
      <c r="BP79" s="61" t="str">
        <f>IF(ISERROR((BO79/BG79-1)*100),"NA",IF(((BO79/BG79-1)*100)&gt;100,"NM",IF(((BO79/BG79-1)*100)&lt;-50,"NM",(BO79/BG79-1)*100)))</f>
        <v>NM</v>
      </c>
      <c r="BQ79" s="65">
        <f>BQ73-BQ68</f>
        <v>987</v>
      </c>
      <c r="BR79" s="61" t="str">
        <f>IF(ISERROR((BQ79/BI79-1)*100),"NA",IF(((BQ79/BI79-1)*100)&gt;100,"NM",IF(((BQ79/BI79-1)*100)&lt;-50,"NM",(BQ79/BI79-1)*100)))</f>
        <v>NM</v>
      </c>
      <c r="BS79" s="65">
        <f>BS73-BS68</f>
        <v>-5983</v>
      </c>
      <c r="BT79" s="61" t="str">
        <f>IF(ISERROR((BS79/BK79-1)*100),"NA",IF(((BS79/BK79-1)*100)&gt;100,"NM",IF(((BS79/BK79-1)*100)&lt;-50,"NM",(BS79/BK79-1)*100)))</f>
        <v>NM</v>
      </c>
      <c r="BU79" s="65">
        <f>BU73-BU68</f>
        <v>-9091</v>
      </c>
      <c r="BV79" s="61" t="str">
        <f>IF(ISERROR((BU79/BM79-1)*100),"NA",IF(((BU79/BM79-1)*100)&gt;100,"NM",IF(((BU79/BM79-1)*100)&lt;-50,"NM",(BU79/BM79-1)*100)))</f>
        <v>NM</v>
      </c>
      <c r="BW79" s="65">
        <f>BW73-BW68</f>
        <v>-1426</v>
      </c>
      <c r="BX79" s="61" t="str">
        <f>IF(ISERROR((BW79/BO79-1)*100),"NA",IF(((BW79/BO79-1)*100)&gt;100,"NM",IF(((BW79/BO79-1)*100)&lt;-50,"NM",(BW79/BO79-1)*100)))</f>
        <v>NM</v>
      </c>
      <c r="BY79" s="65">
        <f>BY73-BY68</f>
        <v>6965</v>
      </c>
      <c r="BZ79" s="61" t="str">
        <f>IF(ISERROR((BY79/BQ79-1)*100),"NA",IF(((BY79/BQ79-1)*100)&gt;100,"NM",IF(((BY79/BQ79-1)*100)&lt;-50,"NM",(BY79/BQ79-1)*100)))</f>
        <v>NM</v>
      </c>
      <c r="CA79" s="65">
        <f>CA73-CA68</f>
        <v>8076</v>
      </c>
      <c r="CB79" s="61" t="str">
        <f>IF(ISERROR((CA79/BS79-1)*100),"NA",IF(((CA79/BS79-1)*100)&gt;100,"NM",IF(((CA79/BS79-1)*100)&lt;-50,"NM",(CA79/BS79-1)*100)))</f>
        <v>NM</v>
      </c>
      <c r="CC79" s="65">
        <f>CC73-CC68</f>
        <v>3113</v>
      </c>
      <c r="CD79" s="61" t="str">
        <f>IF(ISERROR((CC79/BU79-1)*100),"NA",IF(((CC79/BU79-1)*100)&gt;100,"NM",IF(((CC79/BU79-1)*100)&lt;-50,"NM",(CC79/BU79-1)*100)))</f>
        <v>NM</v>
      </c>
      <c r="CE79" s="65">
        <f>CE73-CE68</f>
        <v>2549</v>
      </c>
      <c r="CF79" s="61" t="str">
        <f>IF(ISERROR((CE79/BW79-1)*100),"NA",IF(((CE79/BW79-1)*100)&gt;100,"NM",IF(((CE79/BW79-1)*100)&lt;-50,"NM",(CE79/BW79-1)*100)))</f>
        <v>NM</v>
      </c>
      <c r="CG79" s="65">
        <f>CG73-CG68</f>
        <v>-3539</v>
      </c>
      <c r="CH79" s="61" t="str">
        <f>IF(ISERROR((CG79/BY79-1)*100),"NA",IF(((CG79/BY79-1)*100)&gt;100,"NM",IF(((CG79/BY79-1)*100)&lt;-50,"NM",(CG79/BY79-1)*100)))</f>
        <v>NM</v>
      </c>
      <c r="CI79" s="65">
        <f>CI73-CI68</f>
        <v>6889</v>
      </c>
      <c r="CJ79" s="61">
        <f>IF(ISERROR((CI79/CA79-1)*100),"NA",IF(((CI79/CA79-1)*100)&gt;100,"NM",IF(((CI79/CA79-1)*100)&lt;-50,"NM",(CI79/CA79-1)*100)))</f>
        <v>-14.697870232788512</v>
      </c>
      <c r="CK79" s="65">
        <f>CK73-CK68</f>
        <v>4603</v>
      </c>
      <c r="CL79" s="61">
        <f>IF(ISERROR((CK79/CC79-1)*100),"NA",IF(((CK79/CC79-1)*100)&gt;100,"NM",IF(((CK79/CC79-1)*100)&lt;-50,"NM",(CK79/CC79-1)*100)))</f>
        <v>47.86379698040475</v>
      </c>
      <c r="CM79" s="65">
        <f>CM73-CM68</f>
        <v>2924</v>
      </c>
      <c r="CN79" s="61">
        <f>IF(ISERROR((CM79/CE79-1)*100),"NA",IF(((CM79/CE79-1)*100)&gt;100,"NM",IF(((CM79/CE79-1)*100)&lt;-50,"NM",(CM79/CE79-1)*100)))</f>
        <v>14.71165162808945</v>
      </c>
      <c r="CO79" s="65">
        <f>CO73-CO68</f>
        <v>1041</v>
      </c>
      <c r="CP79" s="61" t="str">
        <f>IF(ISERROR((CO79/CG79-1)*100),"NA",IF(((CO79/CG79-1)*100)&gt;100,"NM",IF(((CO79/CG79-1)*100)&lt;-50,"NM",(CO79/CG79-1)*100)))</f>
        <v>NM</v>
      </c>
      <c r="CQ79" s="65">
        <f>CQ73-CQ68</f>
        <v>-7626</v>
      </c>
      <c r="CR79" s="61" t="str">
        <f>IF(ISERROR((CQ79/CI79-1)*100),"NA",IF(((CQ79/CI79-1)*100)&gt;100,"NM",IF(((CQ79/CI79-1)*100)&lt;-50,"NM",(CQ79/CI79-1)*100)))</f>
        <v>NM</v>
      </c>
      <c r="CS79" s="65">
        <f>CS73-CS68</f>
        <v>4287</v>
      </c>
      <c r="CT79" s="61">
        <f>IF(ISERROR((CS79/CK79-1)*100),"NA",IF(((CS79/CK79-1)*100)&gt;100,"NM",IF(((CS79/CK79-1)*100)&lt;-50,"NM",(CS79/CK79-1)*100)))</f>
        <v>-6.865087986096019</v>
      </c>
      <c r="CU79" s="65">
        <f>CU73-CU68</f>
        <v>6116</v>
      </c>
      <c r="CV79" s="61" t="str">
        <f>IF(ISERROR((CU79/CM79-1)*100),"NA",IF(((CU79/CM79-1)*100)&gt;100,"NM",IF(((CU79/CM79-1)*100)&lt;-50,"NM",(CU79/CM79-1)*100)))</f>
        <v>NM</v>
      </c>
      <c r="CW79" s="65">
        <f>CW73-CW68</f>
        <v>-1303</v>
      </c>
      <c r="CX79" s="61" t="str">
        <f>IF(ISERROR((CW79/CO79-1)*100),"NA",IF(((CW79/CO79-1)*100)&gt;100,"NM",IF(((CW79/CO79-1)*100)&lt;-50,"NM",(CW79/CO79-1)*100)))</f>
        <v>NM</v>
      </c>
      <c r="CY79" s="65">
        <f>CY73-CY68</f>
        <v>3794</v>
      </c>
      <c r="CZ79" s="61" t="str">
        <f>IF(ISERROR((CY79/CQ79-1)*100),"NA",IF(((CY79/CQ79-1)*100)&gt;100,"NM",IF(((CY79/CQ79-1)*100)&lt;-50,"NM",(CY79/CQ79-1)*100)))</f>
        <v>NM</v>
      </c>
      <c r="DA79" s="65">
        <f>DA73-DA68</f>
        <v>2301</v>
      </c>
      <c r="DB79" s="61">
        <f>IF(ISERROR((DA79/CS79-1)*100),"NA",IF(((DA79/CS79-1)*100)&gt;100,"NM",IF(((DA79/CS79-1)*100)&lt;-50,"NM",(DA79/CS79-1)*100)))</f>
        <v>-46.326102169349191</v>
      </c>
      <c r="DC79" s="65">
        <f>DC73-DC68</f>
        <v>4882</v>
      </c>
      <c r="DD79" s="61">
        <f>IF(ISERROR((DC79/CU79-1)*100),"NA",IF(((DC79/CU79-1)*100)&gt;100,"NM",IF(((DC79/CU79-1)*100)&lt;-50,"NM",(DC79/CU79-1)*100)))</f>
        <v>-20.176586003924136</v>
      </c>
      <c r="DE79" s="65">
        <f>DE73-DE68</f>
        <v>1663</v>
      </c>
      <c r="DF79" s="61" t="str">
        <f>IF(ISERROR((DE79/CW79-1)*100),"NA",IF(((DE79/CW79-1)*100)&gt;100,"NM",IF(((DE79/CW79-1)*100)&lt;-50,"NM",(DE79/CW79-1)*100)))</f>
        <v>NM</v>
      </c>
      <c r="DG79" s="65">
        <f>DG73-DG68</f>
        <v>5589</v>
      </c>
      <c r="DH79" s="61">
        <f>IF(ISERROR((DG79/CY79-1)*100),"NA",IF(((DG79/CY79-1)*100)&gt;100,"NM",IF(((DG79/CY79-1)*100)&lt;-50,"NM",(DG79/CY79-1)*100)))</f>
        <v>47.311544544016868</v>
      </c>
      <c r="DI79" s="65">
        <f>DI73-DI68</f>
        <v>6372</v>
      </c>
      <c r="DJ79" s="61" t="str">
        <f>IF(ISERROR((DI79/DA79-1)*100),"NA",IF(((DI79/DA79-1)*100)&gt;100,"NM",IF(((DI79/DA79-1)*100)&lt;-50,"NM",(DI79/DA79-1)*100)))</f>
        <v>NM</v>
      </c>
      <c r="DK79" s="65">
        <f>DK73-DK68</f>
        <v>1678</v>
      </c>
      <c r="DL79" s="61" t="str">
        <f>IF(ISERROR((DK79/DC79-1)*100),"NA",IF(((DK79/DC79-1)*100)&gt;100,"NM",IF(((DK79/DC79-1)*100)&lt;-50,"NM",(DK79/DC79-1)*100)))</f>
        <v>NM</v>
      </c>
      <c r="DM79" s="65">
        <f>DM73-DM68</f>
        <v>4390</v>
      </c>
      <c r="DN79" s="130" t="str">
        <f t="shared" si="506"/>
        <v>NM</v>
      </c>
      <c r="DO79" s="65">
        <f>DO73-DO68</f>
        <v>-934</v>
      </c>
      <c r="DP79" s="130" t="str">
        <f t="shared" si="506"/>
        <v>NM</v>
      </c>
      <c r="DQ79" s="65">
        <f>DQ73-DQ68</f>
        <v>1750</v>
      </c>
      <c r="DR79" s="130" t="str">
        <f t="shared" si="506"/>
        <v>NM</v>
      </c>
      <c r="DS79" s="65">
        <f>DS73-DS68</f>
        <v>2196</v>
      </c>
      <c r="DT79" s="130">
        <f t="shared" si="506"/>
        <v>30.870083432657935</v>
      </c>
      <c r="DU79" s="65">
        <f>DU73-DU68</f>
        <v>267</v>
      </c>
      <c r="DV79" s="130" t="str">
        <f t="shared" si="506"/>
        <v>NM</v>
      </c>
      <c r="DW79" s="65">
        <f>DW73-DW68</f>
        <v>-5944</v>
      </c>
      <c r="DX79" s="65">
        <f t="shared" ref="DX79:DY79" si="528">DX73-DX68</f>
        <v>-5944</v>
      </c>
      <c r="DY79" s="65">
        <f t="shared" si="528"/>
        <v>2975</v>
      </c>
      <c r="DZ79" s="130">
        <f t="shared" si="506"/>
        <v>70</v>
      </c>
      <c r="EA79" s="65">
        <f t="shared" ref="EA79:EC79" si="529">EA73-EA68</f>
        <v>123</v>
      </c>
      <c r="EB79" s="130" t="str">
        <f t="shared" si="509"/>
        <v>NM</v>
      </c>
      <c r="EC79" s="65">
        <f t="shared" si="529"/>
        <v>1108</v>
      </c>
      <c r="ED79" s="130" t="str">
        <f t="shared" si="510"/>
        <v>NM</v>
      </c>
      <c r="EE79" s="65">
        <f t="shared" ref="EE79:EG79" si="530">EE73-EE68</f>
        <v>2648</v>
      </c>
      <c r="EF79" s="130" t="str">
        <f t="shared" si="512"/>
        <v>NM</v>
      </c>
      <c r="EG79" s="65">
        <f t="shared" si="530"/>
        <v>-618</v>
      </c>
      <c r="EH79" s="130" t="str">
        <f t="shared" si="513"/>
        <v>NM</v>
      </c>
      <c r="EI79" s="65">
        <f t="shared" ref="EI79:EK79" si="531">EI73-EI68</f>
        <v>4013</v>
      </c>
      <c r="EJ79" s="130" t="str">
        <f t="shared" si="515"/>
        <v>NM</v>
      </c>
      <c r="EK79" s="65">
        <f t="shared" si="531"/>
        <v>2089</v>
      </c>
      <c r="EL79" s="130">
        <f t="shared" si="516"/>
        <v>88.537906137184109</v>
      </c>
      <c r="EM79" s="65">
        <f t="shared" ref="EM79" si="532">EM73-EM68</f>
        <v>2693</v>
      </c>
      <c r="EN79" s="130">
        <f t="shared" si="518"/>
        <v>1.6993957703927531</v>
      </c>
      <c r="EO79" s="65">
        <f t="shared" ref="EO79" si="533">EO73-EO68</f>
        <v>3500</v>
      </c>
      <c r="EP79" s="130" t="str">
        <f t="shared" si="520"/>
        <v>NM</v>
      </c>
      <c r="EQ79" s="65">
        <f t="shared" ref="EQ79:EW79" si="534">EQ73-EQ68</f>
        <v>-1125.9807733055204</v>
      </c>
      <c r="ER79" s="130" t="str">
        <f t="shared" si="522"/>
        <v>NM</v>
      </c>
      <c r="ES79" s="65">
        <f t="shared" si="534"/>
        <v>1368.4498499278561</v>
      </c>
      <c r="ET79" s="130">
        <f t="shared" si="523"/>
        <v>-34.492587365827852</v>
      </c>
      <c r="EU79" s="65">
        <f t="shared" si="534"/>
        <v>1628.1602502761234</v>
      </c>
      <c r="EV79" s="130">
        <f t="shared" si="524"/>
        <v>-39.541023012397943</v>
      </c>
      <c r="EW79" s="65">
        <f t="shared" si="534"/>
        <v>1895.2557188477076</v>
      </c>
      <c r="EX79" s="130">
        <f t="shared" si="525"/>
        <v>-45.849836604351211</v>
      </c>
      <c r="EY79" s="64"/>
      <c r="EZ79" s="558"/>
      <c r="FA79" s="64"/>
      <c r="FB79" s="66"/>
      <c r="FC79" s="66"/>
      <c r="FD79" s="66"/>
      <c r="FE79" s="67"/>
      <c r="FF79" s="66"/>
      <c r="FG79" s="67"/>
      <c r="FH79" s="66"/>
      <c r="FI79" s="67"/>
      <c r="FJ79" s="66"/>
      <c r="FK79" s="67"/>
      <c r="FL79" s="66"/>
      <c r="FM79" s="61"/>
      <c r="FN79" s="66"/>
      <c r="FO79" s="61"/>
      <c r="FP79" s="65"/>
      <c r="FQ79" s="61"/>
      <c r="FR79" s="65"/>
      <c r="FS79" s="61"/>
      <c r="FT79" s="65">
        <f>FT73-FT68</f>
        <v>9750</v>
      </c>
      <c r="FU79" s="61" t="str">
        <f t="shared" si="445"/>
        <v>NA</v>
      </c>
      <c r="FV79" s="65">
        <f>FV73-FV68</f>
        <v>-17884</v>
      </c>
      <c r="FW79" s="61" t="str">
        <f>IF(ISERROR((FV79/FT79-1)*100),"NA",IF(((FV79/FT79-1)*100)&gt;100,"NM",IF(((FV79/FT79-1)*100)&lt;-50,"NM",(FV79/FT79-1)*100)))</f>
        <v>NM</v>
      </c>
      <c r="FX79" s="65">
        <f>FX73-FX68</f>
        <v>16728</v>
      </c>
      <c r="FY79" s="61" t="str">
        <f>IF(ISERROR((FX79/FV79-1)*100),"NA",IF(((FX79/FV79-1)*100)&gt;100,"NM",IF(((FX79/FV79-1)*100)&lt;-50,"NM",(FX79/FV79-1)*100)))</f>
        <v>NM</v>
      </c>
      <c r="FZ79" s="65">
        <f>FZ73-FZ68</f>
        <v>10502</v>
      </c>
      <c r="GA79" s="61">
        <f>IF(ISERROR((FZ79/FX79-1)*100),"NA",IF(((FZ79/FX79-1)*100)&gt;100,"NM",IF(((FZ79/FX79-1)*100)&lt;-50,"NM",(FZ79/FX79-1)*100)))</f>
        <v>-37.219033955045433</v>
      </c>
      <c r="GB79" s="65">
        <f>GB73-GB68</f>
        <v>626</v>
      </c>
      <c r="GC79" s="61" t="str">
        <f>IF(ISERROR((GB79/FZ79-1)*100),"NA",IF(((GB79/FZ79-1)*100)&gt;100,"NM",IF(((GB79/FZ79-1)*100)&lt;-50,"NM",(GB79/FZ79-1)*100)))</f>
        <v>NM</v>
      </c>
      <c r="GD79" s="65">
        <f>GD73-GD68</f>
        <v>10908</v>
      </c>
      <c r="GE79" s="61" t="str">
        <f>IF(ISERROR((GD79/GB79-1)*100),"NA",IF(((GD79/GB79-1)*100)&gt;100,"NM",IF(((GD79/GB79-1)*100)&lt;-50,"NM",(GD79/GB79-1)*100)))</f>
        <v>NM</v>
      </c>
      <c r="GF79" s="65">
        <f>GF73-GF68</f>
        <v>18506</v>
      </c>
      <c r="GG79" s="61">
        <f t="shared" si="526"/>
        <v>69.655298863219656</v>
      </c>
      <c r="GH79" s="65">
        <f>GH73-GH68</f>
        <v>6884</v>
      </c>
      <c r="GI79" s="61" t="str">
        <f t="shared" si="526"/>
        <v>NM</v>
      </c>
      <c r="GJ79" s="65">
        <f>GJ73-GJ68</f>
        <v>-506</v>
      </c>
      <c r="GK79" s="61" t="str">
        <f t="shared" si="526"/>
        <v>NM</v>
      </c>
      <c r="GL79" s="65">
        <f>GL73-GL68</f>
        <v>3261</v>
      </c>
      <c r="GM79" s="61" t="str">
        <f t="shared" si="526"/>
        <v>NM</v>
      </c>
      <c r="GN79" s="65">
        <f>GN73-GN68</f>
        <v>12295</v>
      </c>
      <c r="GO79" s="61" t="str">
        <f t="shared" si="526"/>
        <v>NM</v>
      </c>
      <c r="GP79" s="65">
        <f>GP73-GP68</f>
        <v>3765.8850457461667</v>
      </c>
      <c r="GQ79" s="61" t="str">
        <f t="shared" si="526"/>
        <v>NM</v>
      </c>
      <c r="GR79" s="65">
        <f>GR73-GR68</f>
        <v>8214.8117201517161</v>
      </c>
      <c r="GS79" s="61" t="str">
        <f t="shared" si="526"/>
        <v>NM</v>
      </c>
      <c r="GT79" s="65">
        <f>GT73-GT68</f>
        <v>9171.4156563520664</v>
      </c>
      <c r="GU79" s="61">
        <f t="shared" si="526"/>
        <v>11.644867451480479</v>
      </c>
      <c r="GV79" s="65">
        <f>GV73-GV68</f>
        <v>10263.386965128389</v>
      </c>
      <c r="GW79" s="61">
        <f t="shared" si="526"/>
        <v>11.906245989625708</v>
      </c>
      <c r="GX79" s="65">
        <f>GX73-GX68</f>
        <v>11514.733592801203</v>
      </c>
      <c r="GY79" s="61">
        <f t="shared" si="527"/>
        <v>12.192336038039663</v>
      </c>
      <c r="GZ79" s="61">
        <f>IF(ISERROR((GX79/GN79)^0.2),"",IF(OR((GX79/GN79)^0.2&lt;0.5,(GX79/GN79)^0.2&gt;2),"NM",((GX79/GN79)^0.2-1)*100))</f>
        <v>-1.3027454125896565</v>
      </c>
      <c r="HA79" s="61"/>
      <c r="HB79" s="452"/>
      <c r="HC79"/>
      <c r="HD79"/>
      <c r="HE79"/>
      <c r="HF79"/>
      <c r="HG79"/>
      <c r="HH79"/>
    </row>
    <row r="80" spans="2:216" s="5" customFormat="1" ht="12.75" customHeight="1" x14ac:dyDescent="0.2">
      <c r="B80" s="92"/>
      <c r="C80" s="66"/>
      <c r="D80" s="67"/>
      <c r="E80" s="66"/>
      <c r="F80" s="66"/>
      <c r="G80" s="64"/>
      <c r="H80" s="66"/>
      <c r="I80" s="64"/>
      <c r="J80" s="66"/>
      <c r="K80" s="64"/>
      <c r="L80" s="61"/>
      <c r="M80" s="66"/>
      <c r="N80" s="61"/>
      <c r="O80" s="64"/>
      <c r="P80" s="61"/>
      <c r="Q80" s="64"/>
      <c r="R80" s="61"/>
      <c r="S80" s="64"/>
      <c r="T80" s="61"/>
      <c r="U80" s="64"/>
      <c r="V80" s="61"/>
      <c r="W80" s="64"/>
      <c r="X80" s="61"/>
      <c r="Y80" s="64"/>
      <c r="Z80" s="61"/>
      <c r="AA80" s="64"/>
      <c r="AB80" s="61"/>
      <c r="AC80" s="64"/>
      <c r="AD80" s="61"/>
      <c r="AE80" s="64"/>
      <c r="AF80" s="61"/>
      <c r="AG80" s="64"/>
      <c r="AH80" s="61"/>
      <c r="AI80" s="64"/>
      <c r="AJ80" s="61"/>
      <c r="AK80" s="64"/>
      <c r="AL80" s="61"/>
      <c r="AM80" s="64"/>
      <c r="AN80" s="61"/>
      <c r="AO80" s="64"/>
      <c r="AP80" s="61"/>
      <c r="AQ80" s="64"/>
      <c r="AR80" s="61"/>
      <c r="AS80" s="64"/>
      <c r="AT80" s="61"/>
      <c r="AU80" s="64"/>
      <c r="AV80" s="61"/>
      <c r="AW80" s="64"/>
      <c r="AX80" s="61"/>
      <c r="AY80" s="64"/>
      <c r="AZ80" s="61"/>
      <c r="BA80" s="64"/>
      <c r="BB80" s="61"/>
      <c r="BC80" s="64"/>
      <c r="BD80" s="61"/>
      <c r="BE80" s="64"/>
      <c r="BF80" s="61"/>
      <c r="BG80" s="64"/>
      <c r="BH80" s="61"/>
      <c r="BI80" s="64"/>
      <c r="BJ80" s="61"/>
      <c r="BK80" s="64"/>
      <c r="BL80" s="61"/>
      <c r="BM80" s="64"/>
      <c r="BN80" s="61"/>
      <c r="BO80" s="64"/>
      <c r="BP80" s="61"/>
      <c r="BQ80" s="64"/>
      <c r="BR80" s="61"/>
      <c r="BS80" s="64"/>
      <c r="BT80" s="61"/>
      <c r="BU80" s="64"/>
      <c r="BV80" s="61"/>
      <c r="BW80" s="64"/>
      <c r="BX80" s="61"/>
      <c r="BY80" s="64"/>
      <c r="BZ80" s="61"/>
      <c r="CA80" s="64"/>
      <c r="CB80" s="61"/>
      <c r="CC80" s="64"/>
      <c r="CD80" s="61"/>
      <c r="CE80" s="64"/>
      <c r="CF80" s="61"/>
      <c r="CG80" s="64"/>
      <c r="CH80" s="61"/>
      <c r="CI80" s="64"/>
      <c r="CJ80" s="61"/>
      <c r="CK80" s="64"/>
      <c r="CL80" s="61"/>
      <c r="CM80" s="64"/>
      <c r="CN80" s="61"/>
      <c r="CO80" s="64"/>
      <c r="CP80" s="61"/>
      <c r="CQ80" s="64"/>
      <c r="CR80" s="61"/>
      <c r="CS80" s="64"/>
      <c r="CT80" s="61"/>
      <c r="CU80" s="64"/>
      <c r="CV80" s="61"/>
      <c r="CW80" s="64"/>
      <c r="CX80" s="61"/>
      <c r="CY80" s="64"/>
      <c r="CZ80" s="61"/>
      <c r="DA80" s="64"/>
      <c r="DB80" s="61"/>
      <c r="DC80" s="64"/>
      <c r="DD80" s="61"/>
      <c r="DE80" s="64"/>
      <c r="DF80" s="61"/>
      <c r="DG80" s="64"/>
      <c r="DH80" s="61"/>
      <c r="DI80" s="64"/>
      <c r="DJ80" s="61"/>
      <c r="DK80" s="64"/>
      <c r="DL80" s="61"/>
      <c r="DM80" s="64"/>
      <c r="DN80" s="61"/>
      <c r="DO80" s="64"/>
      <c r="DP80" s="61"/>
      <c r="DQ80" s="64"/>
      <c r="DR80" s="61"/>
      <c r="DS80" s="64"/>
      <c r="DT80" s="61"/>
      <c r="DU80" s="64"/>
      <c r="DV80" s="61"/>
      <c r="DW80" s="64"/>
      <c r="DX80" s="64"/>
      <c r="DY80" s="64"/>
      <c r="DZ80" s="61"/>
      <c r="EA80" s="64"/>
      <c r="EB80" s="61"/>
      <c r="EC80" s="64"/>
      <c r="ED80" s="61"/>
      <c r="EE80" s="64"/>
      <c r="EF80" s="61"/>
      <c r="EG80" s="64"/>
      <c r="EH80" s="61"/>
      <c r="EI80" s="64"/>
      <c r="EJ80" s="61"/>
      <c r="EK80" s="64"/>
      <c r="EL80" s="61"/>
      <c r="EM80" s="64"/>
      <c r="EN80" s="61"/>
      <c r="EO80" s="64"/>
      <c r="EP80" s="61"/>
      <c r="EQ80" s="64"/>
      <c r="ER80" s="61"/>
      <c r="ES80" s="64"/>
      <c r="ET80" s="61"/>
      <c r="EU80" s="64"/>
      <c r="EV80" s="61"/>
      <c r="EW80" s="64"/>
      <c r="EX80" s="61"/>
      <c r="EY80" s="64"/>
      <c r="EZ80" s="558"/>
      <c r="FA80" s="64"/>
      <c r="FB80" s="66"/>
      <c r="FC80" s="66"/>
      <c r="FD80" s="66"/>
      <c r="FE80" s="67"/>
      <c r="FF80" s="66"/>
      <c r="FG80" s="67"/>
      <c r="FH80" s="66"/>
      <c r="FI80" s="67"/>
      <c r="FJ80" s="66"/>
      <c r="FK80" s="67"/>
      <c r="FL80" s="66"/>
      <c r="FM80" s="61"/>
      <c r="FN80" s="66"/>
      <c r="FO80" s="61"/>
      <c r="FP80" s="65"/>
      <c r="FQ80" s="61"/>
      <c r="FR80" s="65"/>
      <c r="FS80" s="61"/>
      <c r="FT80" s="65"/>
      <c r="FU80" s="61"/>
      <c r="FV80" s="65"/>
      <c r="FW80" s="61"/>
      <c r="FX80" s="65"/>
      <c r="FY80" s="61"/>
      <c r="FZ80" s="65"/>
      <c r="GA80" s="61"/>
      <c r="GB80" s="65"/>
      <c r="GC80" s="61"/>
      <c r="GD80" s="65"/>
      <c r="GE80" s="61"/>
      <c r="GF80" s="65"/>
      <c r="GG80" s="61"/>
      <c r="GH80" s="65"/>
      <c r="GI80" s="61"/>
      <c r="GJ80" s="65"/>
      <c r="GK80" s="61"/>
      <c r="GL80" s="65"/>
      <c r="GM80" s="61"/>
      <c r="GN80" s="65"/>
      <c r="GO80" s="61"/>
      <c r="GP80" s="65"/>
      <c r="GQ80" s="61"/>
      <c r="GR80" s="64"/>
      <c r="GS80" s="61"/>
      <c r="GT80" s="64"/>
      <c r="GU80" s="61"/>
      <c r="GV80" s="64"/>
      <c r="GW80" s="61"/>
      <c r="GX80" s="64"/>
      <c r="GY80" s="61"/>
      <c r="GZ80" s="61"/>
      <c r="HA80" s="61"/>
      <c r="HB80" s="452"/>
      <c r="HC80"/>
      <c r="HD80"/>
      <c r="HE80"/>
      <c r="HF80"/>
      <c r="HG80"/>
      <c r="HH80"/>
    </row>
    <row r="81" spans="1:216" s="5" customFormat="1" ht="12.75" customHeight="1" x14ac:dyDescent="0.2">
      <c r="B81" s="63" t="s">
        <v>188</v>
      </c>
      <c r="C81" s="66"/>
      <c r="D81" s="67"/>
      <c r="E81" s="66"/>
      <c r="F81" s="66"/>
      <c r="G81" s="66"/>
      <c r="H81" s="66"/>
      <c r="I81" s="66"/>
      <c r="J81" s="66"/>
      <c r="K81" s="66"/>
      <c r="L81" s="61"/>
      <c r="M81" s="66"/>
      <c r="N81" s="61"/>
      <c r="O81" s="66"/>
      <c r="P81" s="61"/>
      <c r="Q81" s="66"/>
      <c r="R81" s="61"/>
      <c r="S81" s="66"/>
      <c r="T81" s="61"/>
      <c r="U81" s="66"/>
      <c r="V81" s="61"/>
      <c r="W81" s="66"/>
      <c r="X81" s="61"/>
      <c r="Y81" s="66"/>
      <c r="Z81" s="61"/>
      <c r="AA81" s="66"/>
      <c r="AB81" s="61"/>
      <c r="AC81" s="66"/>
      <c r="AD81" s="61"/>
      <c r="AE81" s="66"/>
      <c r="AF81" s="61"/>
      <c r="AG81" s="66"/>
      <c r="AH81" s="61"/>
      <c r="AI81" s="66"/>
      <c r="AJ81" s="61"/>
      <c r="AK81" s="66"/>
      <c r="AL81" s="61"/>
      <c r="AM81" s="66"/>
      <c r="AN81" s="61"/>
      <c r="AO81" s="66"/>
      <c r="AP81" s="61"/>
      <c r="AQ81" s="66"/>
      <c r="AR81" s="95"/>
      <c r="AS81" s="66"/>
      <c r="AT81" s="95"/>
      <c r="AU81" s="66"/>
      <c r="AV81" s="61"/>
      <c r="AW81" s="66"/>
      <c r="AX81" s="61"/>
      <c r="AY81" s="66"/>
      <c r="AZ81" s="61"/>
      <c r="BA81" s="66"/>
      <c r="BB81" s="61"/>
      <c r="BC81" s="66"/>
      <c r="BD81" s="61"/>
      <c r="BE81" s="66"/>
      <c r="BF81" s="61"/>
      <c r="BG81" s="66"/>
      <c r="BH81" s="61"/>
      <c r="BI81" s="66"/>
      <c r="BJ81" s="61"/>
      <c r="BK81" s="66"/>
      <c r="BL81" s="61"/>
      <c r="BM81" s="66"/>
      <c r="BN81" s="61"/>
      <c r="BO81" s="66"/>
      <c r="BP81" s="61"/>
      <c r="BQ81" s="66"/>
      <c r="BR81" s="61"/>
      <c r="BS81" s="66"/>
      <c r="BT81" s="61"/>
      <c r="BU81" s="66"/>
      <c r="BV81" s="61"/>
      <c r="BW81" s="96"/>
      <c r="BX81" s="61"/>
      <c r="BY81" s="96"/>
      <c r="BZ81" s="61"/>
      <c r="CA81" s="96"/>
      <c r="CB81" s="61"/>
      <c r="CC81" s="96"/>
      <c r="CD81" s="61"/>
      <c r="CE81" s="96"/>
      <c r="CF81" s="61"/>
      <c r="CG81" s="96"/>
      <c r="CH81" s="61"/>
      <c r="CI81" s="96"/>
      <c r="CJ81" s="61"/>
      <c r="CK81" s="96"/>
      <c r="CL81" s="61"/>
      <c r="CM81" s="96"/>
      <c r="CN81" s="61"/>
      <c r="CO81" s="96"/>
      <c r="CP81" s="61"/>
      <c r="CQ81" s="96"/>
      <c r="CR81" s="61"/>
      <c r="CS81" s="96"/>
      <c r="CT81" s="61"/>
      <c r="CU81" s="96"/>
      <c r="CV81" s="61"/>
      <c r="CW81" s="96"/>
      <c r="CX81" s="61"/>
      <c r="CY81" s="96"/>
      <c r="CZ81" s="61"/>
      <c r="DA81" s="96"/>
      <c r="DB81" s="61"/>
      <c r="DC81" s="96"/>
      <c r="DD81" s="61"/>
      <c r="DE81" s="96"/>
      <c r="DF81" s="61"/>
      <c r="DG81" s="96"/>
      <c r="DH81" s="61"/>
      <c r="DI81" s="96"/>
      <c r="DJ81" s="61"/>
      <c r="DK81" s="96"/>
      <c r="DL81" s="61"/>
      <c r="DM81" s="96"/>
      <c r="DN81" s="61"/>
      <c r="DO81" s="96"/>
      <c r="DP81" s="61"/>
      <c r="DQ81" s="96"/>
      <c r="DR81" s="61"/>
      <c r="DS81" s="96"/>
      <c r="DT81" s="61"/>
      <c r="DU81" s="96"/>
      <c r="DV81" s="61"/>
      <c r="DW81" s="96"/>
      <c r="DX81" s="96"/>
      <c r="DY81" s="96"/>
      <c r="DZ81" s="61"/>
      <c r="EA81" s="96"/>
      <c r="EB81" s="61"/>
      <c r="EC81" s="96"/>
      <c r="ED81" s="61"/>
      <c r="EE81" s="96"/>
      <c r="EF81" s="61"/>
      <c r="EG81" s="96"/>
      <c r="EH81" s="61"/>
      <c r="EI81" s="96"/>
      <c r="EJ81" s="61"/>
      <c r="EK81" s="96"/>
      <c r="EL81" s="61"/>
      <c r="EM81" s="96"/>
      <c r="EN81" s="61"/>
      <c r="EO81" s="96"/>
      <c r="EP81" s="61"/>
      <c r="EQ81" s="96"/>
      <c r="ER81" s="61"/>
      <c r="ES81" s="96"/>
      <c r="ET81" s="61"/>
      <c r="EU81" s="96"/>
      <c r="EV81" s="61"/>
      <c r="EW81" s="96"/>
      <c r="EX81" s="61"/>
      <c r="EY81" s="66"/>
      <c r="EZ81" s="558"/>
      <c r="FA81" s="66"/>
      <c r="FB81" s="66"/>
      <c r="FC81" s="66"/>
      <c r="FD81" s="66"/>
      <c r="FE81" s="67"/>
      <c r="FF81" s="66"/>
      <c r="FG81" s="67"/>
      <c r="FH81" s="66"/>
      <c r="FI81" s="67"/>
      <c r="FJ81" s="66"/>
      <c r="FK81" s="67"/>
      <c r="FL81" s="66"/>
      <c r="FM81" s="61"/>
      <c r="FN81" s="66"/>
      <c r="FO81" s="61"/>
      <c r="FP81" s="97"/>
      <c r="FQ81" s="61"/>
      <c r="FR81" s="97"/>
      <c r="FS81" s="61"/>
      <c r="FT81" s="97"/>
      <c r="FU81" s="61"/>
      <c r="FV81" s="97"/>
      <c r="FW81" s="61"/>
      <c r="FX81" s="97"/>
      <c r="FY81" s="61"/>
      <c r="FZ81" s="97"/>
      <c r="GA81" s="61"/>
      <c r="GB81" s="97"/>
      <c r="GC81" s="61"/>
      <c r="GD81" s="97"/>
      <c r="GE81" s="61"/>
      <c r="GF81" s="97"/>
      <c r="GG81" s="61"/>
      <c r="GH81" s="97"/>
      <c r="GI81" s="61"/>
      <c r="GJ81" s="97"/>
      <c r="GK81" s="61"/>
      <c r="GL81" s="97"/>
      <c r="GM81" s="61"/>
      <c r="GN81" s="97"/>
      <c r="GO81" s="61"/>
      <c r="GP81" s="97"/>
      <c r="GQ81" s="61"/>
      <c r="GR81" s="96"/>
      <c r="GS81" s="61"/>
      <c r="GT81" s="96"/>
      <c r="GU81" s="61"/>
      <c r="GV81" s="96"/>
      <c r="GW81" s="61"/>
      <c r="GX81" s="96"/>
      <c r="GY81" s="61"/>
      <c r="GZ81" s="61" t="str">
        <f t="shared" ref="GZ81:GZ93" si="535">IF(ISERROR((GX81/GN81)^0.2),"",IF(OR((GX81/GN81)^0.2&lt;0.5,(GX81/GN81)^0.2&gt;2),"NM",((GX81/GN81)^0.2-1)*100))</f>
        <v/>
      </c>
      <c r="HA81" s="61"/>
      <c r="HB81" s="452"/>
      <c r="HC81"/>
      <c r="HD81"/>
      <c r="HE81"/>
      <c r="HF81"/>
      <c r="HG81"/>
      <c r="HH81"/>
    </row>
    <row r="82" spans="1:216" s="7" customFormat="1" ht="12.75" customHeight="1" x14ac:dyDescent="0.2">
      <c r="B82" s="2" t="s">
        <v>65</v>
      </c>
      <c r="C82" s="72"/>
      <c r="D82" s="70"/>
      <c r="E82" s="72"/>
      <c r="F82" s="71"/>
      <c r="G82" s="74"/>
      <c r="H82" s="71"/>
      <c r="I82" s="74"/>
      <c r="J82" s="61"/>
      <c r="K82" s="74"/>
      <c r="L82" s="61"/>
      <c r="M82" s="72"/>
      <c r="N82" s="61"/>
      <c r="O82" s="74"/>
      <c r="P82" s="61"/>
      <c r="Q82" s="74"/>
      <c r="R82" s="61"/>
      <c r="S82" s="74"/>
      <c r="T82" s="61"/>
      <c r="U82" s="74"/>
      <c r="V82" s="61"/>
      <c r="W82" s="74"/>
      <c r="X82" s="61"/>
      <c r="Y82" s="74"/>
      <c r="Z82" s="61"/>
      <c r="AA82" s="74"/>
      <c r="AB82" s="61"/>
      <c r="AC82" s="74"/>
      <c r="AD82" s="61"/>
      <c r="AE82" s="74"/>
      <c r="AF82" s="61"/>
      <c r="AG82" s="74"/>
      <c r="AH82" s="61"/>
      <c r="AI82" s="74"/>
      <c r="AJ82" s="61"/>
      <c r="AK82" s="74"/>
      <c r="AL82" s="61"/>
      <c r="AM82" s="74"/>
      <c r="AN82" s="61"/>
      <c r="AO82" s="74"/>
      <c r="AP82" s="61"/>
      <c r="AQ82" s="74">
        <v>10.5</v>
      </c>
      <c r="AR82" s="61" t="str">
        <f t="shared" ref="AR82:AR87" si="536">IF(ISERROR((AQ82/AI82-1)*100),"NA",IF(((AQ82/AI82-1)*100)&gt;100,"NM",IF(((AQ82/AI82-1)*100)&lt;-50,"NM",(AQ82/AI82-1)*100)))</f>
        <v>NA</v>
      </c>
      <c r="AS82" s="74">
        <f>7.3</f>
        <v>7.3</v>
      </c>
      <c r="AT82" s="61" t="str">
        <f t="shared" ref="AT82:AT87" si="537">IF(ISERROR((AS82/AK82-1)*100),"NA",IF(((AS82/AK82-1)*100)&gt;100,"NM",IF(((AS82/AK82-1)*100)&lt;-50,"NM",(AS82/AK82-1)*100)))</f>
        <v>NA</v>
      </c>
      <c r="AU82" s="74">
        <v>10.7</v>
      </c>
      <c r="AV82" s="61" t="str">
        <f t="shared" ref="AV82:AX87" si="538">IF(ISERROR((AU82/AM82-1)*100),"NA",IF(((AU82/AM82-1)*100)&gt;100,"NM",IF(((AU82/AM82-1)*100)&lt;-50,"NM",(AU82/AM82-1)*100)))</f>
        <v>NA</v>
      </c>
      <c r="AW82" s="74">
        <v>8.5</v>
      </c>
      <c r="AX82" s="61" t="str">
        <f t="shared" si="538"/>
        <v>NA</v>
      </c>
      <c r="AY82" s="74">
        <v>9.3000000000000007</v>
      </c>
      <c r="AZ82" s="61">
        <f t="shared" ref="AZ82:AZ87" si="539">IF(ISERROR((AY82/AQ82-1)*100),"NA",IF(((AY82/AQ82-1)*100)&gt;100,"NM",IF(((AY82/AQ82-1)*100)&lt;-50,"NM",(AY82/AQ82-1)*100)))</f>
        <v>-11.428571428571422</v>
      </c>
      <c r="BA82" s="74">
        <v>15.3</v>
      </c>
      <c r="BB82" s="61" t="str">
        <f t="shared" ref="BB82:BB87" si="540">IF(ISERROR((BA82/AS82-1)*100),"NA",IF(((BA82/AS82-1)*100)&gt;100,"NM",IF(((BA82/AS82-1)*100)&lt;-50,"NM",(BA82/AS82-1)*100)))</f>
        <v>NM</v>
      </c>
      <c r="BC82" s="74">
        <v>12.3</v>
      </c>
      <c r="BD82" s="61">
        <f t="shared" ref="BD82:BD87" si="541">IF(ISERROR((BC82/AU82-1)*100),"NA",IF(((BC82/AU82-1)*100)&gt;100,"NM",IF(((BC82/AU82-1)*100)&lt;-50,"NM",(BC82/AU82-1)*100)))</f>
        <v>14.953271028037406</v>
      </c>
      <c r="BE82" s="74">
        <v>10.7</v>
      </c>
      <c r="BF82" s="61">
        <f t="shared" ref="BF82:BF87" si="542">IF(ISERROR((BE82/AW82-1)*100),"NA",IF(((BE82/AW82-1)*100)&gt;100,"NM",IF(((BE82/AW82-1)*100)&lt;-50,"NM",(BE82/AW82-1)*100)))</f>
        <v>25.882352941176467</v>
      </c>
      <c r="BG82" s="74">
        <f>12.8</f>
        <v>12.8</v>
      </c>
      <c r="BH82" s="61">
        <f t="shared" ref="BH82:CT87" si="543">IF(ISERROR((BG82/AY82-1)*100),"NA",IF(((BG82/AY82-1)*100)&gt;100,"NM",IF(((BG82/AY82-1)*100)&lt;-50,"NM",(BG82/AY82-1)*100)))</f>
        <v>37.634408602150529</v>
      </c>
      <c r="BI82" s="74">
        <v>16.600000000000001</v>
      </c>
      <c r="BJ82" s="61">
        <f t="shared" si="543"/>
        <v>8.4967320261438051</v>
      </c>
      <c r="BK82" s="74">
        <v>42.6</v>
      </c>
      <c r="BL82" s="61" t="str">
        <f t="shared" si="543"/>
        <v>NM</v>
      </c>
      <c r="BM82" s="74">
        <v>46.5</v>
      </c>
      <c r="BN82" s="61" t="str">
        <f t="shared" si="543"/>
        <v>NM</v>
      </c>
      <c r="BO82" s="74">
        <v>31.6</v>
      </c>
      <c r="BP82" s="61" t="str">
        <f t="shared" si="543"/>
        <v>NM</v>
      </c>
      <c r="BQ82" s="74">
        <v>19</v>
      </c>
      <c r="BR82" s="61">
        <f t="shared" si="543"/>
        <v>14.457831325301186</v>
      </c>
      <c r="BS82" s="74">
        <v>52.1</v>
      </c>
      <c r="BT82" s="61">
        <f t="shared" si="543"/>
        <v>22.300469483568076</v>
      </c>
      <c r="BU82" s="74">
        <v>33.700000000000003</v>
      </c>
      <c r="BV82" s="61">
        <f t="shared" si="543"/>
        <v>-27.526881720430097</v>
      </c>
      <c r="BW82" s="74">
        <v>27.1</v>
      </c>
      <c r="BX82" s="61">
        <f t="shared" si="543"/>
        <v>-14.240506329113922</v>
      </c>
      <c r="BY82" s="74">
        <v>32.5</v>
      </c>
      <c r="BZ82" s="61">
        <f t="shared" si="543"/>
        <v>71.05263157894737</v>
      </c>
      <c r="CA82" s="74">
        <v>17.3</v>
      </c>
      <c r="CB82" s="61" t="str">
        <f t="shared" si="543"/>
        <v>NM</v>
      </c>
      <c r="CC82" s="74">
        <v>11.9</v>
      </c>
      <c r="CD82" s="61" t="str">
        <f t="shared" si="543"/>
        <v>NM</v>
      </c>
      <c r="CE82" s="74">
        <v>9.9</v>
      </c>
      <c r="CF82" s="61" t="str">
        <f t="shared" si="543"/>
        <v>NM</v>
      </c>
      <c r="CG82" s="74">
        <v>9.8000000000000007</v>
      </c>
      <c r="CH82" s="61" t="str">
        <f t="shared" si="543"/>
        <v>NM</v>
      </c>
      <c r="CI82" s="74">
        <v>15.7</v>
      </c>
      <c r="CJ82" s="61">
        <f t="shared" si="543"/>
        <v>-9.2485549132948037</v>
      </c>
      <c r="CK82" s="74">
        <v>17.600000000000001</v>
      </c>
      <c r="CL82" s="61">
        <f t="shared" si="543"/>
        <v>47.899159663865554</v>
      </c>
      <c r="CM82" s="74">
        <v>23.1</v>
      </c>
      <c r="CN82" s="61" t="str">
        <f t="shared" si="543"/>
        <v>NM</v>
      </c>
      <c r="CO82" s="74">
        <v>21.8</v>
      </c>
      <c r="CP82" s="61" t="str">
        <f t="shared" si="543"/>
        <v>NM</v>
      </c>
      <c r="CQ82" s="74">
        <v>14.6</v>
      </c>
      <c r="CR82" s="61">
        <f t="shared" si="543"/>
        <v>-7.0063694267515908</v>
      </c>
      <c r="CS82" s="74">
        <v>14</v>
      </c>
      <c r="CT82" s="61">
        <f t="shared" si="543"/>
        <v>-20.45454545454546</v>
      </c>
      <c r="CU82" s="74">
        <v>17</v>
      </c>
      <c r="CV82" s="61">
        <f t="shared" ref="CV82:CV87" si="544">IF(ISERROR((CU82/CM82-1)*100),"NA",IF(((CU82/CM82-1)*100)&gt;100,"NM",IF(((CU82/CM82-1)*100)&lt;-50,"NM",(CU82/CM82-1)*100)))</f>
        <v>-26.406926406926413</v>
      </c>
      <c r="CW82" s="74">
        <v>18</v>
      </c>
      <c r="CX82" s="61">
        <f t="shared" ref="CX82:CX87" si="545">IF(ISERROR((CW82/CO82-1)*100),"NA",IF(((CW82/CO82-1)*100)&gt;100,"NM",IF(((CW82/CO82-1)*100)&lt;-50,"NM",(CW82/CO82-1)*100)))</f>
        <v>-17.431192660550465</v>
      </c>
      <c r="CY82" s="74">
        <v>29</v>
      </c>
      <c r="CZ82" s="61">
        <f t="shared" ref="CZ82:CZ87" si="546">IF(ISERROR((CY82/CQ82-1)*100),"NA",IF(((CY82/CQ82-1)*100)&gt;100,"NM",IF(((CY82/CQ82-1)*100)&lt;-50,"NM",(CY82/CQ82-1)*100)))</f>
        <v>98.630136986301366</v>
      </c>
      <c r="DA82" s="74">
        <v>34</v>
      </c>
      <c r="DB82" s="61" t="str">
        <f t="shared" ref="DB82:DB87" si="547">IF(ISERROR((DA82/CS82-1)*100),"NA",IF(((DA82/CS82-1)*100)&gt;100,"NM",IF(((DA82/CS82-1)*100)&lt;-50,"NM",(DA82/CS82-1)*100)))</f>
        <v>NM</v>
      </c>
      <c r="DC82" s="74">
        <v>33</v>
      </c>
      <c r="DD82" s="61">
        <f t="shared" ref="DD82:DD87" si="548">IF(ISERROR((DC82/CU82-1)*100),"NA",IF(((DC82/CU82-1)*100)&gt;100,"NM",IF(((DC82/CU82-1)*100)&lt;-50,"NM",(DC82/CU82-1)*100)))</f>
        <v>94.117647058823522</v>
      </c>
      <c r="DE82" s="74">
        <v>24</v>
      </c>
      <c r="DF82" s="61">
        <f t="shared" ref="DF82:DF87" si="549">IF(ISERROR((DE82/CW82-1)*100),"NA",IF(((DE82/CW82-1)*100)&gt;100,"NM",IF(((DE82/CW82-1)*100)&lt;-50,"NM",(DE82/CW82-1)*100)))</f>
        <v>33.333333333333329</v>
      </c>
      <c r="DG82" s="74">
        <v>30</v>
      </c>
      <c r="DH82" s="61">
        <f t="shared" ref="DH82:DH87" si="550">IF(ISERROR((DG82/CY82-1)*100),"NA",IF(((DG82/CY82-1)*100)&gt;100,"NM",IF(((DG82/CY82-1)*100)&lt;-50,"NM",(DG82/CY82-1)*100)))</f>
        <v>3.4482758620689724</v>
      </c>
      <c r="DI82" s="74">
        <v>28</v>
      </c>
      <c r="DJ82" s="61">
        <f t="shared" ref="DJ82:DJ87" si="551">IF(ISERROR((DI82/DA82-1)*100),"NA",IF(((DI82/DA82-1)*100)&gt;100,"NM",IF(((DI82/DA82-1)*100)&lt;-50,"NM",(DI82/DA82-1)*100)))</f>
        <v>-17.647058823529417</v>
      </c>
      <c r="DK82" s="74">
        <v>45</v>
      </c>
      <c r="DL82" s="61">
        <f t="shared" ref="DL82:DL87" si="552">IF(ISERROR((DK82/DC82-1)*100),"NA",IF(((DK82/DC82-1)*100)&gt;100,"NM",IF(((DK82/DC82-1)*100)&lt;-50,"NM",(DK82/DC82-1)*100)))</f>
        <v>36.363636363636353</v>
      </c>
      <c r="DM82" s="74">
        <v>42</v>
      </c>
      <c r="DN82" s="130">
        <f t="shared" ref="DN82:DZ87" si="553">IF(ISERROR((DM82/DE82-1)*100),"NA",IF(((DM82/DE82-1)*100)&gt;100,"NM",IF(((DM82/DE82-1)*100)&lt;-50,"NM",(DM82/DE82-1)*100)))</f>
        <v>75</v>
      </c>
      <c r="DO82" s="74">
        <v>39</v>
      </c>
      <c r="DP82" s="130">
        <f t="shared" si="553"/>
        <v>30.000000000000004</v>
      </c>
      <c r="DQ82" s="74">
        <v>47</v>
      </c>
      <c r="DR82" s="130">
        <f t="shared" si="553"/>
        <v>67.857142857142861</v>
      </c>
      <c r="DS82" s="74">
        <v>79</v>
      </c>
      <c r="DT82" s="130">
        <f t="shared" si="553"/>
        <v>75.555555555555557</v>
      </c>
      <c r="DU82" s="74">
        <v>55</v>
      </c>
      <c r="DV82" s="130">
        <f t="shared" si="553"/>
        <v>30.952380952380953</v>
      </c>
      <c r="DW82" s="74">
        <v>129</v>
      </c>
      <c r="DX82" s="74">
        <v>129</v>
      </c>
      <c r="DY82" s="74">
        <v>154</v>
      </c>
      <c r="DZ82" s="130" t="str">
        <f t="shared" si="553"/>
        <v>NM</v>
      </c>
      <c r="EA82" s="74">
        <v>151</v>
      </c>
      <c r="EB82" s="130">
        <f t="shared" ref="EB82:EB87" si="554">IF(ISERROR((EA82/DS82-1)*100),"NA",IF(((EA82/DS82-1)*100)&gt;100,"NM",IF(((EA82/DS82-1)*100)&lt;-50,"NM",(EA82/DS82-1)*100)))</f>
        <v>91.139240506329116</v>
      </c>
      <c r="EC82" s="74">
        <v>68</v>
      </c>
      <c r="ED82" s="130">
        <f t="shared" ref="ED82:ED87" si="555">IF(ISERROR((EC82/DU82-1)*100),"NA",IF(((EC82/DU82-1)*100)&gt;100,"NM",IF(((EC82/DU82-1)*100)&lt;-50,"NM",(EC82/DU82-1)*100)))</f>
        <v>23.636363636363633</v>
      </c>
      <c r="EE82" s="74">
        <v>45</v>
      </c>
      <c r="EF82" s="130" t="str">
        <f t="shared" ref="EF82:EF87" si="556">IF(ISERROR((EE82/DW82-1)*100),"NA",IF(((EE82/DW82-1)*100)&gt;100,"NM",IF(((EE82/DW82-1)*100)&lt;-50,"NM",(EE82/DW82-1)*100)))</f>
        <v>NM</v>
      </c>
      <c r="EG82" s="74">
        <v>67</v>
      </c>
      <c r="EH82" s="130" t="str">
        <f t="shared" ref="EH82:EH87" si="557">IF(ISERROR((EG82/DY82-1)*100),"NA",IF(((EG82/DY82-1)*100)&gt;100,"NM",IF(((EG82/DY82-1)*100)&lt;-50,"NM",(EG82/DY82-1)*100)))</f>
        <v>NM</v>
      </c>
      <c r="EI82" s="74">
        <v>124</v>
      </c>
      <c r="EJ82" s="130">
        <f t="shared" ref="EJ82:EJ87" si="558">IF(ISERROR((EI82/EA82-1)*100),"NA",IF(((EI82/EA82-1)*100)&gt;100,"NM",IF(((EI82/EA82-1)*100)&lt;-50,"NM",(EI82/EA82-1)*100)))</f>
        <v>-17.880794701986758</v>
      </c>
      <c r="EK82" s="74">
        <v>106</v>
      </c>
      <c r="EL82" s="130">
        <f t="shared" ref="EL82:EL87" si="559">IF(ISERROR((EK82/EC82-1)*100),"NA",IF(((EK82/EC82-1)*100)&gt;100,"NM",IF(((EK82/EC82-1)*100)&lt;-50,"NM",(EK82/EC82-1)*100)))</f>
        <v>55.882352941176471</v>
      </c>
      <c r="EM82" s="74">
        <v>82</v>
      </c>
      <c r="EN82" s="130">
        <f t="shared" ref="EN82:EN87" si="560">IF(ISERROR((EM82/EE82-1)*100),"NA",IF(((EM82/EE82-1)*100)&gt;100,"NM",IF(((EM82/EE82-1)*100)&lt;-50,"NM",(EM82/EE82-1)*100)))</f>
        <v>82.222222222222214</v>
      </c>
      <c r="EO82" s="74">
        <v>162</v>
      </c>
      <c r="EP82" s="130" t="str">
        <f t="shared" ref="EP82:EP87" si="561">IF(ISERROR((EO82/EG82-1)*100),"NA",IF(((EO82/EG82-1)*100)&gt;100,"NM",IF(((EO82/EG82-1)*100)&lt;-50,"NM",(EO82/EG82-1)*100)))</f>
        <v>NM</v>
      </c>
      <c r="EQ82" s="91">
        <f t="shared" ref="EQ82:EW82" si="562">EQ90/400*EQ74</f>
        <v>92.624181489009388</v>
      </c>
      <c r="ER82" s="130">
        <f t="shared" ref="ER82:ER87" si="563">IF(ISERROR((EQ82/EI82-1)*100),"NA",IF(((EQ82/EI82-1)*100)&gt;100,"NM",IF(((EQ82/EI82-1)*100)&lt;-50,"NM",(EQ82/EI82-1)*100)))</f>
        <v>-25.303079444347265</v>
      </c>
      <c r="ES82" s="91">
        <f t="shared" si="562"/>
        <v>92.706014802369424</v>
      </c>
      <c r="ET82" s="130">
        <f t="shared" ref="ET82:ET87" si="564">IF(ISERROR((ES82/EK82-1)*100),"NA",IF(((ES82/EK82-1)*100)&gt;100,"NM",IF(((ES82/EK82-1)*100)&lt;-50,"NM",(ES82/EK82-1)*100)))</f>
        <v>-12.541495469462804</v>
      </c>
      <c r="EU82" s="91">
        <f t="shared" si="562"/>
        <v>97.188384441232287</v>
      </c>
      <c r="EV82" s="130">
        <f t="shared" ref="EV82:EV87" si="565">IF(ISERROR((EU82/EM82-1)*100),"NA",IF(((EU82/EM82-1)*100)&gt;100,"NM",IF(((EU82/EM82-1)*100)&lt;-50,"NM",(EU82/EM82-1)*100)))</f>
        <v>18.522420050283284</v>
      </c>
      <c r="EW82" s="91">
        <f t="shared" si="562"/>
        <v>101.93663646008368</v>
      </c>
      <c r="EX82" s="130">
        <f t="shared" ref="EX82:EX87" si="566">IF(ISERROR((EW82/EO82-1)*100),"NA",IF(((EW82/EO82-1)*100)&gt;100,"NM",IF(((EW82/EO82-1)*100)&lt;-50,"NM",(EW82/EO82-1)*100)))</f>
        <v>-37.076150333281674</v>
      </c>
      <c r="EY82" s="64"/>
      <c r="EZ82" s="558"/>
      <c r="FA82" s="64"/>
      <c r="FB82" s="72"/>
      <c r="FC82" s="71"/>
      <c r="FD82" s="72"/>
      <c r="FE82" s="70"/>
      <c r="FF82" s="69"/>
      <c r="FG82" s="70"/>
      <c r="FH82" s="69"/>
      <c r="FI82" s="70"/>
      <c r="FJ82" s="69"/>
      <c r="FK82" s="70"/>
      <c r="FL82" s="69"/>
      <c r="FM82" s="61"/>
      <c r="FN82" s="778">
        <v>32</v>
      </c>
      <c r="FO82" s="61"/>
      <c r="FP82" s="75">
        <f>AQ82+AS82+AU82+AW82</f>
        <v>37</v>
      </c>
      <c r="FQ82" s="61">
        <f t="shared" ref="FQ82:FQ87" si="567">IF(ISERROR((FP82/FN82-1)*100),"NA",IF(((FP82/FN82-1)*100)&gt;100,"NM",IF(((FP82/FN82-1)*100)&lt;-50,"NM",(FP82/FN82-1)*100)))</f>
        <v>15.625</v>
      </c>
      <c r="FR82" s="75">
        <f>AY82+BA82+BC82+BE82</f>
        <v>47.600000000000009</v>
      </c>
      <c r="FS82" s="61">
        <f t="shared" ref="FS82:FS87" si="568">IF(ISERROR((FR82/FP82-1)*100),"NA",IF(((FR82/FP82-1)*100)&gt;100,"NM",IF(((FR82/FP82-1)*100)&lt;-50,"NM",(FR82/FP82-1)*100)))</f>
        <v>28.648648648648667</v>
      </c>
      <c r="FT82" s="75">
        <f>BG82+BI82+BK82+BM82</f>
        <v>118.5</v>
      </c>
      <c r="FU82" s="61" t="str">
        <f t="shared" ref="FU82:FU87" si="569">IF(ISERROR((FT82/FR82-1)*100),"NA",IF(((FT82/FR82-1)*100)&gt;100,"NM",IF(((FT82/FR82-1)*100)&lt;-50,"NM",(FT82/FR82-1)*100)))</f>
        <v>NM</v>
      </c>
      <c r="FV82" s="75">
        <f>BO82+BQ82+BS82+BU82</f>
        <v>136.4</v>
      </c>
      <c r="FW82" s="61">
        <f t="shared" ref="FW82:FW87" si="570">IF(ISERROR((FV82/FT82-1)*100),"NA",IF(((FV82/FT82-1)*100)&gt;100,"NM",IF(((FV82/FT82-1)*100)&lt;-50,"NM",(FV82/FT82-1)*100)))</f>
        <v>15.105485232067517</v>
      </c>
      <c r="FX82" s="75">
        <f>BW82+BY82+CA82+CC82</f>
        <v>88.800000000000011</v>
      </c>
      <c r="FY82" s="61">
        <f t="shared" ref="FY82:FY87" si="571">IF(ISERROR((FX82/FV82-1)*100),"NA",IF(((FX82/FV82-1)*100)&gt;100,"NM",IF(((FX82/FV82-1)*100)&lt;-50,"NM",(FX82/FV82-1)*100)))</f>
        <v>-34.897360703812311</v>
      </c>
      <c r="FZ82" s="75">
        <f>CE82+CG82+CI82+CK82</f>
        <v>53.000000000000007</v>
      </c>
      <c r="GA82" s="61">
        <f t="shared" ref="GA82:GA87" si="572">IF(ISERROR((FZ82/FX82-1)*100),"NA",IF(((FZ82/FX82-1)*100)&gt;100,"NM",IF(((FZ82/FX82-1)*100)&lt;-50,"NM",(FZ82/FX82-1)*100)))</f>
        <v>-40.315315315315317</v>
      </c>
      <c r="GB82" s="75">
        <f>CM82+CO82+CQ82+CS82</f>
        <v>73.5</v>
      </c>
      <c r="GC82" s="61">
        <f t="shared" ref="GC82:GC87" si="573">IF(ISERROR((GB82/FZ82-1)*100),"NA",IF(((GB82/FZ82-1)*100)&gt;100,"NM",IF(((GB82/FZ82-1)*100)&lt;-50,"NM",(GB82/FZ82-1)*100)))</f>
        <v>38.679245283018851</v>
      </c>
      <c r="GD82" s="75">
        <f>CU82+CW82+CY82+DA82</f>
        <v>98</v>
      </c>
      <c r="GE82" s="61">
        <f t="shared" ref="GE82:GE87" si="574">IF(ISERROR((GD82/GB82-1)*100),"NA",IF(((GD82/GB82-1)*100)&gt;100,"NM",IF(((GD82/GB82-1)*100)&lt;-50,"NM",(GD82/GB82-1)*100)))</f>
        <v>33.333333333333329</v>
      </c>
      <c r="GF82" s="75">
        <f>DC82+DE82+DG82+DI82</f>
        <v>115</v>
      </c>
      <c r="GG82" s="61">
        <f t="shared" ref="GG82:GW87" si="575">IF(ISERROR((GF82/GD82-1)*100),"NA",IF(((GF82/GD82-1)*100)&gt;100,"NM",IF(((GF82/GD82-1)*100)&lt;-50,"NM",(GF82/GD82-1)*100)))</f>
        <v>17.34693877551021</v>
      </c>
      <c r="GH82" s="75">
        <f>DK82+DM82+DO82+DQ82</f>
        <v>173</v>
      </c>
      <c r="GI82" s="61">
        <f t="shared" si="575"/>
        <v>50.434782608695649</v>
      </c>
      <c r="GJ82" s="75">
        <f>DS82+DU82+DW82+DY82</f>
        <v>417</v>
      </c>
      <c r="GK82" s="61" t="str">
        <f t="shared" si="575"/>
        <v>NM</v>
      </c>
      <c r="GL82" s="75">
        <f>EA82+EC82+EE82+EG82</f>
        <v>331</v>
      </c>
      <c r="GM82" s="61">
        <f t="shared" si="575"/>
        <v>-20.623501199040774</v>
      </c>
      <c r="GN82" s="75">
        <f>EI82+EK82+EM82+EO82</f>
        <v>474</v>
      </c>
      <c r="GO82" s="61">
        <f t="shared" si="575"/>
        <v>43.202416918429009</v>
      </c>
      <c r="GP82" s="75">
        <f>EQ82+ES82+EU82+EW82</f>
        <v>384.45521719269476</v>
      </c>
      <c r="GQ82" s="61">
        <f t="shared" si="575"/>
        <v>-18.891304389726848</v>
      </c>
      <c r="GR82" s="91">
        <f>GR90/100*GR74</f>
        <v>415.51032198683242</v>
      </c>
      <c r="GS82" s="61">
        <f t="shared" si="575"/>
        <v>8.0776910821767736</v>
      </c>
      <c r="GT82" s="91">
        <f>GT90/100*GT74</f>
        <v>440.30879548040542</v>
      </c>
      <c r="GU82" s="61">
        <f t="shared" si="575"/>
        <v>5.9681967405755154</v>
      </c>
      <c r="GV82" s="91">
        <f>GV90/100*GV74</f>
        <v>468.02921045167921</v>
      </c>
      <c r="GW82" s="61">
        <f t="shared" si="575"/>
        <v>6.2956759564680054</v>
      </c>
      <c r="GX82" s="91">
        <f>GX90/100*GX74</f>
        <v>499.09196683352167</v>
      </c>
      <c r="GY82" s="61">
        <f t="shared" ref="GY82:GY87" si="576">IF(ISERROR((GX82/GV82-1)*100),"NA",IF(((GX82/GV82-1)*100)&gt;100,"NM",IF(((GX82/GV82-1)*100)&lt;-50,"NM",(GX82/GV82-1)*100)))</f>
        <v>6.6369268601557785</v>
      </c>
      <c r="GZ82" s="61">
        <f t="shared" si="535"/>
        <v>1.0370011586256611</v>
      </c>
      <c r="HA82" s="61"/>
      <c r="HB82" s="452"/>
      <c r="HC82"/>
      <c r="HD82"/>
      <c r="HE82"/>
      <c r="HF82"/>
      <c r="HG82"/>
      <c r="HH82"/>
    </row>
    <row r="83" spans="1:216" s="7" customFormat="1" ht="12.75" customHeight="1" x14ac:dyDescent="0.2">
      <c r="B83" s="2" t="s">
        <v>356</v>
      </c>
      <c r="C83" s="69"/>
      <c r="D83" s="70"/>
      <c r="E83" s="69"/>
      <c r="F83" s="71"/>
      <c r="G83" s="69"/>
      <c r="H83" s="71"/>
      <c r="I83" s="69"/>
      <c r="J83" s="61"/>
      <c r="K83" s="69"/>
      <c r="L83" s="61"/>
      <c r="M83" s="69"/>
      <c r="N83" s="61"/>
      <c r="O83" s="69"/>
      <c r="P83" s="61"/>
      <c r="Q83" s="69"/>
      <c r="R83" s="61"/>
      <c r="S83" s="69"/>
      <c r="T83" s="61"/>
      <c r="U83" s="69"/>
      <c r="V83" s="61"/>
      <c r="W83" s="69"/>
      <c r="X83" s="61"/>
      <c r="Y83" s="69"/>
      <c r="Z83" s="61"/>
      <c r="AA83" s="69"/>
      <c r="AB83" s="61"/>
      <c r="AC83" s="69"/>
      <c r="AD83" s="61"/>
      <c r="AE83" s="69"/>
      <c r="AF83" s="61"/>
      <c r="AG83" s="69"/>
      <c r="AH83" s="61"/>
      <c r="AI83" s="69"/>
      <c r="AJ83" s="61"/>
      <c r="AK83" s="69"/>
      <c r="AL83" s="61"/>
      <c r="AM83" s="69"/>
      <c r="AN83" s="61"/>
      <c r="AO83" s="69"/>
      <c r="AP83" s="61"/>
      <c r="AQ83" s="69">
        <f>+AQ86-AQ82-AQ84</f>
        <v>172.3</v>
      </c>
      <c r="AR83" s="61" t="str">
        <f t="shared" si="536"/>
        <v>NA</v>
      </c>
      <c r="AS83" s="69">
        <f>+AS86-AS82-AS84</f>
        <v>186.09999999999997</v>
      </c>
      <c r="AT83" s="61" t="str">
        <f t="shared" si="537"/>
        <v>NA</v>
      </c>
      <c r="AU83" s="69">
        <f>+AU86-AU82-AU84</f>
        <v>200</v>
      </c>
      <c r="AV83" s="61" t="str">
        <f t="shared" si="538"/>
        <v>NA</v>
      </c>
      <c r="AW83" s="69">
        <f>+AW86-AW82-AW84</f>
        <v>213.20000000000002</v>
      </c>
      <c r="AX83" s="61" t="str">
        <f t="shared" si="538"/>
        <v>NA</v>
      </c>
      <c r="AY83" s="69">
        <f>+AY86-AY82-AY84</f>
        <v>217.5</v>
      </c>
      <c r="AZ83" s="61">
        <f t="shared" si="539"/>
        <v>26.233313987231565</v>
      </c>
      <c r="BA83" s="69">
        <f>+BA86-BA82-BA84</f>
        <v>274.10000000000008</v>
      </c>
      <c r="BB83" s="61">
        <f t="shared" si="540"/>
        <v>47.286405158516985</v>
      </c>
      <c r="BC83" s="69">
        <f>+BC86-BC82-BC84</f>
        <v>271.50000000000006</v>
      </c>
      <c r="BD83" s="61">
        <f t="shared" si="541"/>
        <v>35.750000000000036</v>
      </c>
      <c r="BE83" s="69">
        <f>+BE86-BE82-BE84</f>
        <v>311.7999999999999</v>
      </c>
      <c r="BF83" s="61">
        <f t="shared" si="542"/>
        <v>46.24765478424009</v>
      </c>
      <c r="BG83" s="69">
        <f>+BG86-BG82-BG84</f>
        <v>312.3</v>
      </c>
      <c r="BH83" s="61">
        <f t="shared" si="543"/>
        <v>43.58620689655173</v>
      </c>
      <c r="BI83" s="69">
        <f>+BI86-BI82-BI84</f>
        <v>341.8</v>
      </c>
      <c r="BJ83" s="61">
        <f t="shared" si="543"/>
        <v>24.699014958044472</v>
      </c>
      <c r="BK83" s="69">
        <f>+BK86-BK82-BK84</f>
        <v>355</v>
      </c>
      <c r="BL83" s="61">
        <f t="shared" si="543"/>
        <v>30.755064456721893</v>
      </c>
      <c r="BM83" s="69">
        <f>+BM86-BM82-BM84</f>
        <v>373.99999999999994</v>
      </c>
      <c r="BN83" s="61">
        <f t="shared" si="543"/>
        <v>19.948685054522141</v>
      </c>
      <c r="BO83" s="69">
        <f>+BO86-BO82-BO84</f>
        <v>343.2</v>
      </c>
      <c r="BP83" s="61">
        <f t="shared" si="543"/>
        <v>9.8943323727185284</v>
      </c>
      <c r="BQ83" s="69">
        <f>+BQ86-BQ82-BQ84</f>
        <v>354.40000000000003</v>
      </c>
      <c r="BR83" s="61">
        <f t="shared" si="543"/>
        <v>3.6863662960795907</v>
      </c>
      <c r="BS83" s="69">
        <f>+BS86-BS82-BS84</f>
        <v>380</v>
      </c>
      <c r="BT83" s="61">
        <f t="shared" si="543"/>
        <v>7.0422535211267512</v>
      </c>
      <c r="BU83" s="69">
        <f>+BU86-BU82-BU84</f>
        <v>298.09999999999991</v>
      </c>
      <c r="BV83" s="61">
        <f t="shared" si="543"/>
        <v>-20.29411764705884</v>
      </c>
      <c r="BW83" s="69">
        <f>+BW86-BW82-BW84</f>
        <v>254.20000000000002</v>
      </c>
      <c r="BX83" s="61">
        <f t="shared" si="543"/>
        <v>-25.932400932400924</v>
      </c>
      <c r="BY83" s="69">
        <f>+BY86-BY82-BY84</f>
        <v>276.10000000000002</v>
      </c>
      <c r="BZ83" s="61">
        <f t="shared" si="543"/>
        <v>-22.093679458239279</v>
      </c>
      <c r="CA83" s="69">
        <f>+CA86-CA82-CA84</f>
        <v>309.40000000000009</v>
      </c>
      <c r="CB83" s="61">
        <f t="shared" si="543"/>
        <v>-18.578947368421026</v>
      </c>
      <c r="CC83" s="69">
        <f>+CC86-CC82-CC84</f>
        <v>335.8</v>
      </c>
      <c r="CD83" s="61">
        <f t="shared" si="543"/>
        <v>12.646762831264713</v>
      </c>
      <c r="CE83" s="69">
        <f>+CE86-CE82-CE84</f>
        <v>349.2</v>
      </c>
      <c r="CF83" s="61">
        <f t="shared" si="543"/>
        <v>37.372147915027519</v>
      </c>
      <c r="CG83" s="69">
        <f>+CG86-CG82-CG84</f>
        <v>363.30000000000007</v>
      </c>
      <c r="CH83" s="61">
        <f t="shared" si="543"/>
        <v>31.582759869612474</v>
      </c>
      <c r="CI83" s="69">
        <f>+CI86-CI82-CI84</f>
        <v>362.69999999999993</v>
      </c>
      <c r="CJ83" s="61">
        <f t="shared" si="543"/>
        <v>17.22689075630246</v>
      </c>
      <c r="CK83" s="69">
        <f>+CK86-CK82-CK84</f>
        <v>407.19999999999993</v>
      </c>
      <c r="CL83" s="61">
        <f t="shared" si="543"/>
        <v>21.262656343061327</v>
      </c>
      <c r="CM83" s="69">
        <f>+CM86-CM82-CM84</f>
        <v>422</v>
      </c>
      <c r="CN83" s="61">
        <f t="shared" si="543"/>
        <v>20.847651775486842</v>
      </c>
      <c r="CO83" s="69">
        <f>+CO86-CO82-CO84</f>
        <v>435.3</v>
      </c>
      <c r="CP83" s="61">
        <f t="shared" si="543"/>
        <v>19.818331957060266</v>
      </c>
      <c r="CQ83" s="69">
        <f>+CQ86-CQ82-CQ84</f>
        <v>425.5</v>
      </c>
      <c r="CR83" s="61">
        <f t="shared" si="543"/>
        <v>17.314585056520571</v>
      </c>
      <c r="CS83" s="69">
        <f>+CS86-CS82-CS84</f>
        <v>408</v>
      </c>
      <c r="CT83" s="61">
        <f t="shared" si="543"/>
        <v>0.19646365422398837</v>
      </c>
      <c r="CU83" s="69">
        <f>+CU86-CU82-CU84</f>
        <v>442</v>
      </c>
      <c r="CV83" s="61">
        <f t="shared" si="544"/>
        <v>4.7393364928909998</v>
      </c>
      <c r="CW83" s="69">
        <f>+CW86-CW82-CW84</f>
        <v>437</v>
      </c>
      <c r="CX83" s="61">
        <f t="shared" si="545"/>
        <v>0.39053526303698405</v>
      </c>
      <c r="CY83" s="69">
        <f>+CY86-CY82-CY84</f>
        <v>448</v>
      </c>
      <c r="CZ83" s="61">
        <f t="shared" si="546"/>
        <v>5.2878965922444232</v>
      </c>
      <c r="DA83" s="69">
        <f>+DA86-DA82-DA84</f>
        <v>469</v>
      </c>
      <c r="DB83" s="61">
        <f t="shared" si="547"/>
        <v>14.950980392156854</v>
      </c>
      <c r="DC83" s="69">
        <f>+DC86-DC82-DC84</f>
        <v>487</v>
      </c>
      <c r="DD83" s="61">
        <f t="shared" si="548"/>
        <v>10.18099547511313</v>
      </c>
      <c r="DE83" s="69">
        <f>+DE86-DE82-DE84</f>
        <v>520</v>
      </c>
      <c r="DF83" s="61">
        <f t="shared" si="549"/>
        <v>18.993135011441641</v>
      </c>
      <c r="DG83" s="69">
        <f>+DG86-DG82-DG84</f>
        <v>558</v>
      </c>
      <c r="DH83" s="61">
        <f t="shared" si="550"/>
        <v>24.55357142857142</v>
      </c>
      <c r="DI83" s="69">
        <f>+DI86-DI82-DI84</f>
        <v>598</v>
      </c>
      <c r="DJ83" s="61">
        <f t="shared" si="551"/>
        <v>27.505330490405111</v>
      </c>
      <c r="DK83" s="69">
        <f>+DK86-DK82-DK84</f>
        <v>605</v>
      </c>
      <c r="DL83" s="61">
        <f t="shared" si="552"/>
        <v>24.22997946611909</v>
      </c>
      <c r="DM83" s="69">
        <f>+DM86-DM82-DM84</f>
        <v>626</v>
      </c>
      <c r="DN83" s="130">
        <f t="shared" si="553"/>
        <v>20.38461538461538</v>
      </c>
      <c r="DO83" s="69">
        <f>+DO86-DO82-DO84</f>
        <v>648</v>
      </c>
      <c r="DP83" s="130">
        <f t="shared" si="553"/>
        <v>16.129032258064523</v>
      </c>
      <c r="DQ83" s="69">
        <f>+DQ86-DQ82-DQ84</f>
        <v>659</v>
      </c>
      <c r="DR83" s="130">
        <f t="shared" si="553"/>
        <v>10.200668896321075</v>
      </c>
      <c r="DS83" s="69">
        <f>+DS86-DS82-DS84</f>
        <v>663</v>
      </c>
      <c r="DT83" s="130">
        <f t="shared" si="553"/>
        <v>9.5867768595041305</v>
      </c>
      <c r="DU83" s="69">
        <f>+DU86-DU82-DU84</f>
        <v>689</v>
      </c>
      <c r="DV83" s="130">
        <f t="shared" si="553"/>
        <v>10.063897763578279</v>
      </c>
      <c r="DW83" s="69">
        <f>+DW86-DW82-DW84</f>
        <v>674</v>
      </c>
      <c r="DX83" s="69">
        <f t="shared" ref="DX83:DY83" si="577">+DX86-DX82-DX84</f>
        <v>674</v>
      </c>
      <c r="DY83" s="69">
        <f t="shared" si="577"/>
        <v>673</v>
      </c>
      <c r="DZ83" s="130">
        <f t="shared" si="553"/>
        <v>2.1244309559939278</v>
      </c>
      <c r="EA83" s="69">
        <f t="shared" ref="EA83:EC83" si="578">+EA86-EA82-EA84</f>
        <v>637</v>
      </c>
      <c r="EB83" s="130">
        <f t="shared" si="554"/>
        <v>-3.9215686274509776</v>
      </c>
      <c r="EC83" s="69">
        <f t="shared" si="578"/>
        <v>657</v>
      </c>
      <c r="ED83" s="130">
        <f t="shared" si="555"/>
        <v>-4.6444121915820036</v>
      </c>
      <c r="EE83" s="69">
        <f t="shared" ref="EE83:EG83" si="579">+EE86-EE82-EE84</f>
        <v>687</v>
      </c>
      <c r="EF83" s="130">
        <f t="shared" si="556"/>
        <v>1.928783382789323</v>
      </c>
      <c r="EG83" s="69">
        <f t="shared" si="579"/>
        <v>688</v>
      </c>
      <c r="EH83" s="130">
        <f t="shared" si="557"/>
        <v>2.2288261515601704</v>
      </c>
      <c r="EI83" s="69">
        <f t="shared" ref="EI83:EK83" si="580">+EI86-EI82-EI84</f>
        <v>681</v>
      </c>
      <c r="EJ83" s="130">
        <f t="shared" si="558"/>
        <v>6.9073783359497654</v>
      </c>
      <c r="EK83" s="69">
        <f t="shared" si="580"/>
        <v>707</v>
      </c>
      <c r="EL83" s="130">
        <f t="shared" si="559"/>
        <v>7.6103500761035114</v>
      </c>
      <c r="EM83" s="69">
        <f t="shared" ref="EM83" si="581">+EM86-EM82-EM84</f>
        <v>731</v>
      </c>
      <c r="EN83" s="130">
        <f t="shared" si="560"/>
        <v>6.4046579330422126</v>
      </c>
      <c r="EO83" s="69">
        <f t="shared" ref="EO83" si="582">+EO86-EO82-EO84</f>
        <v>747</v>
      </c>
      <c r="EP83" s="130">
        <f t="shared" si="561"/>
        <v>8.5755813953488413</v>
      </c>
      <c r="EQ83" s="91">
        <f t="shared" ref="EQ83:EW83" si="583">EQ91/400*EQ74</f>
        <v>753.51819531271883</v>
      </c>
      <c r="ER83" s="130">
        <f t="shared" si="563"/>
        <v>10.648780515817746</v>
      </c>
      <c r="ES83" s="91">
        <f t="shared" si="583"/>
        <v>754.18392740997717</v>
      </c>
      <c r="ET83" s="130">
        <f t="shared" si="564"/>
        <v>6.6738228302655189</v>
      </c>
      <c r="EU83" s="91">
        <f t="shared" si="583"/>
        <v>762.41153133565876</v>
      </c>
      <c r="EV83" s="130">
        <f t="shared" si="565"/>
        <v>4.2970631102132284</v>
      </c>
      <c r="EW83" s="91">
        <f t="shared" si="583"/>
        <v>772.08555301015008</v>
      </c>
      <c r="EX83" s="130">
        <f t="shared" si="566"/>
        <v>3.3581730937282561</v>
      </c>
      <c r="EY83" s="64"/>
      <c r="EZ83" s="558"/>
      <c r="FA83" s="64"/>
      <c r="FB83" s="72"/>
      <c r="FC83" s="71"/>
      <c r="FD83" s="72"/>
      <c r="FE83" s="70"/>
      <c r="FF83" s="69"/>
      <c r="FG83" s="70"/>
      <c r="FH83" s="69"/>
      <c r="FI83" s="70"/>
      <c r="FJ83" s="69"/>
      <c r="FK83" s="70"/>
      <c r="FL83" s="69"/>
      <c r="FM83" s="61"/>
      <c r="FN83" s="778">
        <f>445+193</f>
        <v>638</v>
      </c>
      <c r="FO83" s="61"/>
      <c r="FP83" s="73">
        <f>AQ83+AS83+AU83+AW83</f>
        <v>771.6</v>
      </c>
      <c r="FQ83" s="61">
        <f t="shared" si="567"/>
        <v>20.940438871473365</v>
      </c>
      <c r="FR83" s="73">
        <f>AY83+BA83+BC83+BE83</f>
        <v>1074.9000000000001</v>
      </c>
      <c r="FS83" s="61">
        <f t="shared" si="568"/>
        <v>39.307931570762065</v>
      </c>
      <c r="FT83" s="73">
        <f>BG83+BI83+BK83+BM83</f>
        <v>1383.1</v>
      </c>
      <c r="FU83" s="61">
        <f t="shared" si="569"/>
        <v>28.672434645083243</v>
      </c>
      <c r="FV83" s="73">
        <f>BO83+BQ83+BS83+BU83</f>
        <v>1375.6999999999998</v>
      </c>
      <c r="FW83" s="61">
        <f t="shared" si="570"/>
        <v>-0.53503000506109899</v>
      </c>
      <c r="FX83" s="75">
        <f>BW83+BY83+CA83+CC83</f>
        <v>1175.5000000000002</v>
      </c>
      <c r="FY83" s="61">
        <f t="shared" si="571"/>
        <v>-14.552591408010439</v>
      </c>
      <c r="FZ83" s="75">
        <f>CE83+CG83+CI83+CK83</f>
        <v>1482.3999999999996</v>
      </c>
      <c r="GA83" s="61">
        <f t="shared" si="572"/>
        <v>26.108039132284077</v>
      </c>
      <c r="GB83" s="75">
        <f>CM83+CO83+CQ83+CS83</f>
        <v>1690.8</v>
      </c>
      <c r="GC83" s="61">
        <f t="shared" si="573"/>
        <v>14.058283864004339</v>
      </c>
      <c r="GD83" s="75">
        <f>CU83+CW83+CY83+DA83</f>
        <v>1796</v>
      </c>
      <c r="GE83" s="61">
        <f t="shared" si="574"/>
        <v>6.2219067896853497</v>
      </c>
      <c r="GF83" s="75">
        <f>DC83+DE83+DG83+DI83</f>
        <v>2163</v>
      </c>
      <c r="GG83" s="61">
        <f t="shared" si="575"/>
        <v>20.434298440979948</v>
      </c>
      <c r="GH83" s="75">
        <f>DK83+DM83+DO83+DQ83</f>
        <v>2538</v>
      </c>
      <c r="GI83" s="61">
        <f t="shared" si="575"/>
        <v>17.33703190013869</v>
      </c>
      <c r="GJ83" s="75">
        <f>DS83+DU83+DW83+DY83</f>
        <v>2699</v>
      </c>
      <c r="GK83" s="61">
        <f t="shared" si="575"/>
        <v>6.3435776201733685</v>
      </c>
      <c r="GL83" s="75">
        <f>EA83+EC83+EE83+EG83</f>
        <v>2669</v>
      </c>
      <c r="GM83" s="61">
        <f t="shared" si="575"/>
        <v>-1.1115227862171229</v>
      </c>
      <c r="GN83" s="75">
        <f>EI83+EK83+EM83+EO83</f>
        <v>2866</v>
      </c>
      <c r="GO83" s="61">
        <f t="shared" si="575"/>
        <v>7.3810415886099712</v>
      </c>
      <c r="GP83" s="75">
        <f>EQ83+ES83+EU83+EW83</f>
        <v>3042.1992070685046</v>
      </c>
      <c r="GQ83" s="61">
        <f t="shared" si="575"/>
        <v>6.1479137148815255</v>
      </c>
      <c r="GR83" s="91">
        <f>GR91/100*GR74</f>
        <v>3204.4603999280844</v>
      </c>
      <c r="GS83" s="61">
        <f t="shared" si="575"/>
        <v>5.3336807294725563</v>
      </c>
      <c r="GT83" s="91">
        <f>GT91/100*GT74</f>
        <v>3395.7089010696259</v>
      </c>
      <c r="GU83" s="61">
        <f t="shared" si="575"/>
        <v>5.9681967405755376</v>
      </c>
      <c r="GV83" s="91">
        <f>GV91/100*GV74</f>
        <v>3609.4917299059107</v>
      </c>
      <c r="GW83" s="61">
        <f t="shared" si="575"/>
        <v>6.2956759564680276</v>
      </c>
      <c r="GX83" s="91">
        <f>GX91/100*GX74</f>
        <v>3849.0510560431371</v>
      </c>
      <c r="GY83" s="61">
        <f t="shared" si="576"/>
        <v>6.6369268601557563</v>
      </c>
      <c r="GZ83" s="61">
        <f t="shared" si="535"/>
        <v>6.0756000480611361</v>
      </c>
      <c r="HA83" s="61"/>
      <c r="HB83" s="452"/>
      <c r="HC83"/>
      <c r="HD83"/>
      <c r="HE83"/>
      <c r="HF83"/>
      <c r="HG83"/>
      <c r="HH83"/>
    </row>
    <row r="84" spans="1:216" s="5" customFormat="1" ht="12.75" customHeight="1" x14ac:dyDescent="0.2">
      <c r="B84" s="2" t="s">
        <v>498</v>
      </c>
      <c r="C84" s="72"/>
      <c r="D84" s="70"/>
      <c r="E84" s="72"/>
      <c r="F84" s="71"/>
      <c r="G84" s="72"/>
      <c r="H84" s="71"/>
      <c r="I84" s="72"/>
      <c r="J84" s="61"/>
      <c r="K84" s="72"/>
      <c r="L84" s="61"/>
      <c r="M84" s="72"/>
      <c r="N84" s="61"/>
      <c r="O84" s="72"/>
      <c r="P84" s="61"/>
      <c r="Q84" s="72"/>
      <c r="R84" s="61"/>
      <c r="S84" s="72"/>
      <c r="T84" s="61"/>
      <c r="U84" s="72"/>
      <c r="V84" s="61"/>
      <c r="W84" s="72"/>
      <c r="X84" s="61"/>
      <c r="Y84" s="72"/>
      <c r="Z84" s="61"/>
      <c r="AA84" s="72"/>
      <c r="AB84" s="61"/>
      <c r="AC84" s="72"/>
      <c r="AD84" s="61"/>
      <c r="AE84" s="72"/>
      <c r="AF84" s="61"/>
      <c r="AG84" s="72"/>
      <c r="AH84" s="61"/>
      <c r="AI84" s="72"/>
      <c r="AJ84" s="61"/>
      <c r="AK84" s="72"/>
      <c r="AL84" s="61"/>
      <c r="AM84" s="72"/>
      <c r="AN84" s="61"/>
      <c r="AO84" s="72"/>
      <c r="AP84" s="61"/>
      <c r="AQ84" s="72">
        <v>157</v>
      </c>
      <c r="AR84" s="61" t="str">
        <f t="shared" si="536"/>
        <v>NA</v>
      </c>
      <c r="AS84" s="72">
        <v>154.80000000000001</v>
      </c>
      <c r="AT84" s="61" t="str">
        <f t="shared" si="537"/>
        <v>NA</v>
      </c>
      <c r="AU84" s="72">
        <v>151.69999999999999</v>
      </c>
      <c r="AV84" s="61" t="str">
        <f t="shared" si="538"/>
        <v>NA</v>
      </c>
      <c r="AW84" s="72">
        <v>150.4</v>
      </c>
      <c r="AX84" s="61" t="str">
        <f t="shared" si="538"/>
        <v>NA</v>
      </c>
      <c r="AY84" s="72">
        <v>148</v>
      </c>
      <c r="AZ84" s="61">
        <f t="shared" si="539"/>
        <v>-5.7324840764331197</v>
      </c>
      <c r="BA84" s="72">
        <v>263.2</v>
      </c>
      <c r="BB84" s="61">
        <f t="shared" si="540"/>
        <v>70.025839793281634</v>
      </c>
      <c r="BC84" s="72">
        <v>312.7</v>
      </c>
      <c r="BD84" s="61" t="str">
        <f t="shared" si="541"/>
        <v>NM</v>
      </c>
      <c r="BE84" s="72">
        <v>314.8</v>
      </c>
      <c r="BF84" s="61" t="str">
        <f t="shared" si="542"/>
        <v>NM</v>
      </c>
      <c r="BG84" s="72">
        <v>265.3</v>
      </c>
      <c r="BH84" s="61">
        <f t="shared" si="543"/>
        <v>79.256756756756758</v>
      </c>
      <c r="BI84" s="72">
        <v>265.3</v>
      </c>
      <c r="BJ84" s="61">
        <f t="shared" si="543"/>
        <v>0.79787234042554278</v>
      </c>
      <c r="BK84" s="72">
        <v>249.4</v>
      </c>
      <c r="BL84" s="61">
        <f t="shared" si="543"/>
        <v>-20.243044451551008</v>
      </c>
      <c r="BM84" s="72">
        <v>251.8</v>
      </c>
      <c r="BN84" s="61">
        <f t="shared" si="543"/>
        <v>-20.012706480304953</v>
      </c>
      <c r="BO84" s="72">
        <v>247.8</v>
      </c>
      <c r="BP84" s="61">
        <f t="shared" si="543"/>
        <v>-6.5963060686015869</v>
      </c>
      <c r="BQ84" s="72">
        <v>245.3</v>
      </c>
      <c r="BR84" s="61">
        <f t="shared" si="543"/>
        <v>-7.5386355069732343</v>
      </c>
      <c r="BS84" s="72">
        <v>243.1</v>
      </c>
      <c r="BT84" s="61">
        <f t="shared" si="543"/>
        <v>-2.5260625501202894</v>
      </c>
      <c r="BU84" s="72">
        <v>235.5</v>
      </c>
      <c r="BV84" s="61">
        <f t="shared" si="543"/>
        <v>-6.4733915806195474</v>
      </c>
      <c r="BW84" s="72">
        <v>240.4</v>
      </c>
      <c r="BX84" s="61">
        <f t="shared" si="543"/>
        <v>-2.986279257465696</v>
      </c>
      <c r="BY84" s="72">
        <v>243.9</v>
      </c>
      <c r="BZ84" s="61">
        <f t="shared" si="543"/>
        <v>-0.57072971871178213</v>
      </c>
      <c r="CA84" s="72">
        <v>271.5</v>
      </c>
      <c r="CB84" s="61">
        <f t="shared" si="543"/>
        <v>11.682435211846975</v>
      </c>
      <c r="CC84" s="72">
        <v>281.2</v>
      </c>
      <c r="CD84" s="61">
        <f t="shared" si="543"/>
        <v>19.405520169851375</v>
      </c>
      <c r="CE84" s="72">
        <v>270.8</v>
      </c>
      <c r="CF84" s="61">
        <f t="shared" si="543"/>
        <v>12.64559068219635</v>
      </c>
      <c r="CG84" s="72">
        <v>271.5</v>
      </c>
      <c r="CH84" s="61">
        <f t="shared" si="543"/>
        <v>11.316113161131614</v>
      </c>
      <c r="CI84" s="72">
        <v>281.89999999999998</v>
      </c>
      <c r="CJ84" s="61">
        <f t="shared" si="543"/>
        <v>3.8305709023940926</v>
      </c>
      <c r="CK84" s="72">
        <v>295.10000000000002</v>
      </c>
      <c r="CL84" s="61">
        <f t="shared" si="543"/>
        <v>4.9431009957325855</v>
      </c>
      <c r="CM84" s="72">
        <v>288.10000000000002</v>
      </c>
      <c r="CN84" s="61">
        <f t="shared" si="543"/>
        <v>6.3884785819793288</v>
      </c>
      <c r="CO84" s="72">
        <v>277.7</v>
      </c>
      <c r="CP84" s="61">
        <f t="shared" si="543"/>
        <v>2.283609576427259</v>
      </c>
      <c r="CQ84" s="72">
        <v>270.89999999999998</v>
      </c>
      <c r="CR84" s="61">
        <f t="shared" si="543"/>
        <v>-3.9020929407591387</v>
      </c>
      <c r="CS84" s="72">
        <v>270</v>
      </c>
      <c r="CT84" s="61">
        <f t="shared" si="543"/>
        <v>-8.505591324974592</v>
      </c>
      <c r="CU84" s="72">
        <v>272</v>
      </c>
      <c r="CV84" s="61">
        <f t="shared" si="544"/>
        <v>-5.5883373828531813</v>
      </c>
      <c r="CW84" s="72">
        <v>279</v>
      </c>
      <c r="CX84" s="61">
        <f t="shared" si="545"/>
        <v>0.46813107670147236</v>
      </c>
      <c r="CY84" s="72">
        <v>268</v>
      </c>
      <c r="CZ84" s="61">
        <f t="shared" si="546"/>
        <v>-1.0705057216685021</v>
      </c>
      <c r="DA84" s="72">
        <v>263</v>
      </c>
      <c r="DB84" s="61">
        <f t="shared" si="547"/>
        <v>-2.5925925925925908</v>
      </c>
      <c r="DC84" s="72">
        <v>257</v>
      </c>
      <c r="DD84" s="61">
        <f t="shared" si="548"/>
        <v>-5.5147058823529438</v>
      </c>
      <c r="DE84" s="72">
        <v>273</v>
      </c>
      <c r="DF84" s="61">
        <f t="shared" si="549"/>
        <v>-2.1505376344086002</v>
      </c>
      <c r="DG84" s="72">
        <v>254</v>
      </c>
      <c r="DH84" s="61">
        <f t="shared" si="550"/>
        <v>-5.2238805970149294</v>
      </c>
      <c r="DI84" s="72">
        <v>260</v>
      </c>
      <c r="DJ84" s="61">
        <f t="shared" si="551"/>
        <v>-1.1406844106463865</v>
      </c>
      <c r="DK84" s="72">
        <v>259</v>
      </c>
      <c r="DL84" s="61">
        <f t="shared" si="552"/>
        <v>0.77821011673151474</v>
      </c>
      <c r="DM84" s="72">
        <v>258</v>
      </c>
      <c r="DN84" s="130">
        <f t="shared" si="553"/>
        <v>-5.4945054945054972</v>
      </c>
      <c r="DO84" s="72">
        <v>257</v>
      </c>
      <c r="DP84" s="130">
        <f t="shared" si="553"/>
        <v>1.1811023622047223</v>
      </c>
      <c r="DQ84" s="72">
        <v>260</v>
      </c>
      <c r="DR84" s="130">
        <f t="shared" si="553"/>
        <v>0</v>
      </c>
      <c r="DS84" s="72">
        <v>247</v>
      </c>
      <c r="DT84" s="130">
        <f t="shared" si="553"/>
        <v>-4.6332046332046346</v>
      </c>
      <c r="DU84" s="72">
        <v>247</v>
      </c>
      <c r="DV84" s="130">
        <f t="shared" si="553"/>
        <v>-4.2635658914728651</v>
      </c>
      <c r="DW84" s="72">
        <v>257</v>
      </c>
      <c r="DX84" s="72">
        <v>257</v>
      </c>
      <c r="DY84" s="72">
        <v>252</v>
      </c>
      <c r="DZ84" s="130">
        <f t="shared" si="553"/>
        <v>-3.0769230769230771</v>
      </c>
      <c r="EA84" s="72">
        <v>251</v>
      </c>
      <c r="EB84" s="130">
        <f t="shared" si="554"/>
        <v>1.6194331983805599</v>
      </c>
      <c r="EC84" s="72">
        <v>258</v>
      </c>
      <c r="ED84" s="130">
        <f t="shared" si="555"/>
        <v>4.4534412955465674</v>
      </c>
      <c r="EE84" s="72">
        <v>268</v>
      </c>
      <c r="EF84" s="130">
        <f t="shared" si="556"/>
        <v>4.2801556420233533</v>
      </c>
      <c r="EG84" s="72">
        <v>256</v>
      </c>
      <c r="EH84" s="130">
        <f t="shared" si="557"/>
        <v>1.5873015873015817</v>
      </c>
      <c r="EI84" s="72">
        <v>256</v>
      </c>
      <c r="EJ84" s="130">
        <f t="shared" si="558"/>
        <v>1.9920318725099584</v>
      </c>
      <c r="EK84" s="72">
        <v>263</v>
      </c>
      <c r="EL84" s="130">
        <f t="shared" si="559"/>
        <v>1.9379844961240345</v>
      </c>
      <c r="EM84" s="72">
        <v>260</v>
      </c>
      <c r="EN84" s="130">
        <f t="shared" si="560"/>
        <v>-2.9850746268656692</v>
      </c>
      <c r="EO84" s="72">
        <v>258</v>
      </c>
      <c r="EP84" s="130">
        <f t="shared" si="561"/>
        <v>0.78125</v>
      </c>
      <c r="EQ84" s="73">
        <f t="shared" ref="EQ84:EW84" si="584">EQ92*EQ35/400</f>
        <v>262.71328042364138</v>
      </c>
      <c r="ER84" s="130">
        <f t="shared" si="563"/>
        <v>2.6223751654849137</v>
      </c>
      <c r="ES84" s="73">
        <f t="shared" si="584"/>
        <v>262.23907313348815</v>
      </c>
      <c r="ET84" s="130">
        <f t="shared" si="564"/>
        <v>-0.28932580475735659</v>
      </c>
      <c r="EU84" s="73">
        <f t="shared" si="584"/>
        <v>264.76001405758137</v>
      </c>
      <c r="EV84" s="130">
        <f t="shared" si="565"/>
        <v>1.8307746375312961</v>
      </c>
      <c r="EW84" s="73">
        <f t="shared" si="584"/>
        <v>267.76871993731038</v>
      </c>
      <c r="EX84" s="130">
        <f t="shared" si="566"/>
        <v>3.7863255570970367</v>
      </c>
      <c r="EY84" s="64"/>
      <c r="EZ84" s="558"/>
      <c r="FA84" s="64"/>
      <c r="FB84" s="72"/>
      <c r="FC84" s="71"/>
      <c r="FD84" s="72"/>
      <c r="FE84" s="70"/>
      <c r="FF84" s="69"/>
      <c r="FG84" s="70"/>
      <c r="FH84" s="69"/>
      <c r="FI84" s="70"/>
      <c r="FJ84" s="69"/>
      <c r="FK84" s="70"/>
      <c r="FL84" s="69"/>
      <c r="FM84" s="61"/>
      <c r="FN84" s="778">
        <v>665</v>
      </c>
      <c r="FO84" s="61"/>
      <c r="FP84" s="73">
        <f>AQ84+AS84+AU84+AW84</f>
        <v>613.9</v>
      </c>
      <c r="FQ84" s="61">
        <f t="shared" si="567"/>
        <v>-7.6842105263157929</v>
      </c>
      <c r="FR84" s="73">
        <f>AY84+BA84+BC84+BE84</f>
        <v>1038.7</v>
      </c>
      <c r="FS84" s="61">
        <f t="shared" si="568"/>
        <v>69.196937611988929</v>
      </c>
      <c r="FT84" s="73">
        <f>BG84+BI84+BK84+BM84</f>
        <v>1031.8</v>
      </c>
      <c r="FU84" s="61">
        <f t="shared" si="569"/>
        <v>-0.66429190334071908</v>
      </c>
      <c r="FV84" s="73">
        <f>BO84+BQ84+BS84+BU84</f>
        <v>971.7</v>
      </c>
      <c r="FW84" s="61">
        <f t="shared" si="570"/>
        <v>-5.8247722426826858</v>
      </c>
      <c r="FX84" s="75">
        <f>BW84+BY84+CA84+CC84</f>
        <v>1037</v>
      </c>
      <c r="FY84" s="61">
        <f t="shared" si="571"/>
        <v>6.7201811258618793</v>
      </c>
      <c r="FZ84" s="75">
        <f>CE84+CG84+CI84+CK84</f>
        <v>1119.3</v>
      </c>
      <c r="GA84" s="61">
        <f t="shared" si="572"/>
        <v>7.9363548698167641</v>
      </c>
      <c r="GB84" s="75">
        <f>CM84+CO84+CQ84+CS84</f>
        <v>1106.6999999999998</v>
      </c>
      <c r="GC84" s="61">
        <f t="shared" si="573"/>
        <v>-1.1257035647279645</v>
      </c>
      <c r="GD84" s="75">
        <f>CU84+CW84+CY84+DA84</f>
        <v>1082</v>
      </c>
      <c r="GE84" s="61">
        <f t="shared" si="574"/>
        <v>-2.2318604861299218</v>
      </c>
      <c r="GF84" s="75">
        <f>DC84+DE84+DG84+DI84</f>
        <v>1044</v>
      </c>
      <c r="GG84" s="61">
        <f t="shared" si="575"/>
        <v>-3.512014787430684</v>
      </c>
      <c r="GH84" s="75">
        <f>DK84+DM84+DO84+DQ84</f>
        <v>1034</v>
      </c>
      <c r="GI84" s="61">
        <f t="shared" si="575"/>
        <v>-0.95785440613026518</v>
      </c>
      <c r="GJ84" s="75">
        <f>DS84+DU84+DW84+DY84</f>
        <v>1003</v>
      </c>
      <c r="GK84" s="61">
        <f t="shared" si="575"/>
        <v>-2.9980657640232056</v>
      </c>
      <c r="GL84" s="75">
        <f>EA84+EC84+EE84+EG84</f>
        <v>1033</v>
      </c>
      <c r="GM84" s="61">
        <f t="shared" si="575"/>
        <v>2.9910269192422678</v>
      </c>
      <c r="GN84" s="75">
        <f>EI84+EK84+EM84+EO84</f>
        <v>1037</v>
      </c>
      <c r="GO84" s="61">
        <f t="shared" si="575"/>
        <v>0.38722168441431837</v>
      </c>
      <c r="GP84" s="75">
        <f>EQ84+ES84+EU84+EW84</f>
        <v>1057.4810875520213</v>
      </c>
      <c r="GQ84" s="61">
        <f t="shared" si="575"/>
        <v>1.9750325508217204</v>
      </c>
      <c r="GR84" s="73">
        <f>GR92*GR35/100</f>
        <v>1097.0654515564615</v>
      </c>
      <c r="GS84" s="61">
        <f t="shared" si="575"/>
        <v>3.7432692149676816</v>
      </c>
      <c r="GT84" s="73">
        <f>GT92*GT35/100</f>
        <v>1160.5989926641116</v>
      </c>
      <c r="GU84" s="61">
        <f t="shared" si="575"/>
        <v>5.7912261312679014</v>
      </c>
      <c r="GV84" s="73">
        <f>GV92*GV35/100</f>
        <v>1233.6217514572686</v>
      </c>
      <c r="GW84" s="61">
        <f t="shared" si="575"/>
        <v>6.2918164891334172</v>
      </c>
      <c r="GX84" s="73">
        <f>GX92*GX35/100</f>
        <v>1317.4143245074956</v>
      </c>
      <c r="GY84" s="61">
        <f t="shared" si="576"/>
        <v>6.7924039886005039</v>
      </c>
      <c r="GZ84" s="61">
        <f t="shared" si="535"/>
        <v>4.903197278283189</v>
      </c>
      <c r="HA84" s="61"/>
      <c r="HB84" s="452"/>
      <c r="HC84"/>
      <c r="HD84"/>
      <c r="HE84"/>
      <c r="HF84"/>
      <c r="HG84"/>
      <c r="HH84"/>
    </row>
    <row r="85" spans="1:216" s="5" customFormat="1" ht="12.75" customHeight="1" x14ac:dyDescent="0.2">
      <c r="B85" s="2" t="s">
        <v>114</v>
      </c>
      <c r="C85" s="72"/>
      <c r="D85" s="70"/>
      <c r="E85" s="72"/>
      <c r="F85" s="71"/>
      <c r="G85" s="72"/>
      <c r="H85" s="71"/>
      <c r="I85" s="72"/>
      <c r="J85" s="61"/>
      <c r="K85" s="72"/>
      <c r="L85" s="61"/>
      <c r="M85" s="72"/>
      <c r="N85" s="61"/>
      <c r="O85" s="72"/>
      <c r="P85" s="61"/>
      <c r="Q85" s="72"/>
      <c r="R85" s="61"/>
      <c r="S85" s="72"/>
      <c r="T85" s="61"/>
      <c r="U85" s="72"/>
      <c r="V85" s="61"/>
      <c r="W85" s="72"/>
      <c r="X85" s="61"/>
      <c r="Y85" s="72"/>
      <c r="Z85" s="61"/>
      <c r="AA85" s="72"/>
      <c r="AB85" s="61"/>
      <c r="AC85" s="72"/>
      <c r="AD85" s="61"/>
      <c r="AE85" s="72"/>
      <c r="AF85" s="61"/>
      <c r="AG85" s="72"/>
      <c r="AH85" s="61"/>
      <c r="AI85" s="72"/>
      <c r="AJ85" s="61"/>
      <c r="AK85" s="72"/>
      <c r="AL85" s="61"/>
      <c r="AM85" s="72"/>
      <c r="AN85" s="61"/>
      <c r="AO85" s="72"/>
      <c r="AP85" s="61"/>
      <c r="AQ85" s="72">
        <v>100.1</v>
      </c>
      <c r="AR85" s="61" t="str">
        <f t="shared" si="536"/>
        <v>NA</v>
      </c>
      <c r="AS85" s="72">
        <v>98.9</v>
      </c>
      <c r="AT85" s="61" t="str">
        <f t="shared" si="537"/>
        <v>NA</v>
      </c>
      <c r="AU85" s="72">
        <v>97.3</v>
      </c>
      <c r="AV85" s="61" t="str">
        <f t="shared" si="538"/>
        <v>NA</v>
      </c>
      <c r="AW85" s="72">
        <v>96.3</v>
      </c>
      <c r="AX85" s="61" t="str">
        <f t="shared" si="538"/>
        <v>NA</v>
      </c>
      <c r="AY85" s="72">
        <v>95.1</v>
      </c>
      <c r="AZ85" s="61">
        <f t="shared" si="539"/>
        <v>-4.995004995004992</v>
      </c>
      <c r="BA85" s="72">
        <v>168.8</v>
      </c>
      <c r="BB85" s="61">
        <f t="shared" si="540"/>
        <v>70.677451971688583</v>
      </c>
      <c r="BC85" s="72">
        <v>208.2</v>
      </c>
      <c r="BD85" s="61" t="str">
        <f t="shared" si="541"/>
        <v>NM</v>
      </c>
      <c r="BE85" s="72">
        <v>211.7</v>
      </c>
      <c r="BF85" s="61" t="str">
        <f t="shared" si="542"/>
        <v>NM</v>
      </c>
      <c r="BG85" s="72">
        <v>161.1</v>
      </c>
      <c r="BH85" s="61">
        <f t="shared" si="543"/>
        <v>69.400630914826507</v>
      </c>
      <c r="BI85" s="72">
        <v>165.1</v>
      </c>
      <c r="BJ85" s="61">
        <f t="shared" si="543"/>
        <v>-2.1919431279620927</v>
      </c>
      <c r="BK85" s="72">
        <v>165.3</v>
      </c>
      <c r="BL85" s="61">
        <f t="shared" si="543"/>
        <v>-20.60518731988472</v>
      </c>
      <c r="BM85" s="72">
        <v>167.9</v>
      </c>
      <c r="BN85" s="61">
        <f t="shared" si="543"/>
        <v>-20.68965517241379</v>
      </c>
      <c r="BO85" s="72">
        <v>163.19999999999999</v>
      </c>
      <c r="BP85" s="61">
        <f t="shared" si="543"/>
        <v>1.3035381750465591</v>
      </c>
      <c r="BQ85" s="72">
        <v>163</v>
      </c>
      <c r="BR85" s="61">
        <f t="shared" si="543"/>
        <v>-1.2719563900666198</v>
      </c>
      <c r="BS85" s="72">
        <v>170</v>
      </c>
      <c r="BT85" s="61">
        <f t="shared" si="543"/>
        <v>2.8433151845129956</v>
      </c>
      <c r="BU85" s="72">
        <v>206.3</v>
      </c>
      <c r="BV85" s="61">
        <f t="shared" si="543"/>
        <v>22.870756402620618</v>
      </c>
      <c r="BW85" s="72">
        <v>163.6</v>
      </c>
      <c r="BX85" s="61">
        <f t="shared" si="543"/>
        <v>0.2450980392156854</v>
      </c>
      <c r="BY85" s="72">
        <v>170.4</v>
      </c>
      <c r="BZ85" s="61">
        <f t="shared" si="543"/>
        <v>4.5398773006134929</v>
      </c>
      <c r="CA85" s="72">
        <v>175.9</v>
      </c>
      <c r="CB85" s="61">
        <f t="shared" si="543"/>
        <v>3.4705882352941142</v>
      </c>
      <c r="CC85" s="72">
        <v>172.5</v>
      </c>
      <c r="CD85" s="61">
        <f t="shared" si="543"/>
        <v>-16.383906931652938</v>
      </c>
      <c r="CE85" s="72">
        <v>176.2</v>
      </c>
      <c r="CF85" s="61">
        <f t="shared" si="543"/>
        <v>7.7017114914425422</v>
      </c>
      <c r="CG85" s="72">
        <v>176.9</v>
      </c>
      <c r="CH85" s="61">
        <f t="shared" si="543"/>
        <v>3.8145539906103254</v>
      </c>
      <c r="CI85" s="72">
        <v>183.5</v>
      </c>
      <c r="CJ85" s="61">
        <f t="shared" si="543"/>
        <v>4.3206367254121636</v>
      </c>
      <c r="CK85" s="72">
        <v>188.9</v>
      </c>
      <c r="CL85" s="61">
        <f t="shared" si="543"/>
        <v>9.5072463768115956</v>
      </c>
      <c r="CM85" s="72">
        <v>174.4</v>
      </c>
      <c r="CN85" s="61">
        <f t="shared" si="543"/>
        <v>-1.0215664018161097</v>
      </c>
      <c r="CO85" s="72">
        <v>178</v>
      </c>
      <c r="CP85" s="61">
        <f t="shared" si="543"/>
        <v>0.62182023742227699</v>
      </c>
      <c r="CQ85" s="72">
        <v>177.2</v>
      </c>
      <c r="CR85" s="61">
        <f t="shared" si="543"/>
        <v>-3.4332425068119954</v>
      </c>
      <c r="CS85" s="72">
        <v>169</v>
      </c>
      <c r="CT85" s="61">
        <f t="shared" si="543"/>
        <v>-10.534674430915835</v>
      </c>
      <c r="CU85" s="72">
        <v>171</v>
      </c>
      <c r="CV85" s="61">
        <f t="shared" si="544"/>
        <v>-1.9495412844036775</v>
      </c>
      <c r="CW85" s="72">
        <v>163</v>
      </c>
      <c r="CX85" s="61">
        <f t="shared" si="545"/>
        <v>-8.4269662921348303</v>
      </c>
      <c r="CY85" s="72">
        <v>146</v>
      </c>
      <c r="CZ85" s="61">
        <f t="shared" si="546"/>
        <v>-17.60722347629796</v>
      </c>
      <c r="DA85" s="72">
        <v>153</v>
      </c>
      <c r="DB85" s="61">
        <f t="shared" si="547"/>
        <v>-9.4674556213017791</v>
      </c>
      <c r="DC85" s="72">
        <v>153</v>
      </c>
      <c r="DD85" s="61">
        <f t="shared" si="548"/>
        <v>-10.526315789473683</v>
      </c>
      <c r="DE85" s="72">
        <v>157</v>
      </c>
      <c r="DF85" s="61">
        <f t="shared" si="549"/>
        <v>-3.6809815950920255</v>
      </c>
      <c r="DG85" s="72">
        <v>153</v>
      </c>
      <c r="DH85" s="61">
        <f t="shared" si="550"/>
        <v>4.7945205479452024</v>
      </c>
      <c r="DI85" s="72">
        <v>161</v>
      </c>
      <c r="DJ85" s="61">
        <f t="shared" si="551"/>
        <v>5.2287581699346442</v>
      </c>
      <c r="DK85" s="72">
        <v>154</v>
      </c>
      <c r="DL85" s="61">
        <f t="shared" si="552"/>
        <v>0.65359477124182774</v>
      </c>
      <c r="DM85" s="72">
        <v>154</v>
      </c>
      <c r="DN85" s="130">
        <f t="shared" si="553"/>
        <v>-1.9108280254777066</v>
      </c>
      <c r="DO85" s="72">
        <v>152</v>
      </c>
      <c r="DP85" s="130">
        <f t="shared" si="553"/>
        <v>-0.65359477124182774</v>
      </c>
      <c r="DQ85" s="72">
        <v>150</v>
      </c>
      <c r="DR85" s="130">
        <f t="shared" si="553"/>
        <v>-6.8322981366459645</v>
      </c>
      <c r="DS85" s="72">
        <v>143</v>
      </c>
      <c r="DT85" s="130">
        <f t="shared" si="553"/>
        <v>-7.1428571428571397</v>
      </c>
      <c r="DU85" s="72">
        <v>139</v>
      </c>
      <c r="DV85" s="130">
        <f t="shared" si="553"/>
        <v>-9.740259740259738</v>
      </c>
      <c r="DW85" s="72">
        <v>134</v>
      </c>
      <c r="DX85" s="72">
        <v>134</v>
      </c>
      <c r="DY85" s="72">
        <v>135</v>
      </c>
      <c r="DZ85" s="130">
        <f t="shared" si="553"/>
        <v>-9.9999999999999982</v>
      </c>
      <c r="EA85" s="72">
        <v>140</v>
      </c>
      <c r="EB85" s="130">
        <f t="shared" si="554"/>
        <v>-2.0979020979020935</v>
      </c>
      <c r="EC85" s="72">
        <v>144</v>
      </c>
      <c r="ED85" s="130">
        <f t="shared" si="555"/>
        <v>3.5971223021582732</v>
      </c>
      <c r="EE85" s="72">
        <v>148</v>
      </c>
      <c r="EF85" s="130">
        <f t="shared" si="556"/>
        <v>10.447761194029859</v>
      </c>
      <c r="EG85" s="72">
        <v>149</v>
      </c>
      <c r="EH85" s="130">
        <f t="shared" si="557"/>
        <v>10.370370370370363</v>
      </c>
      <c r="EI85" s="72">
        <v>147</v>
      </c>
      <c r="EJ85" s="130">
        <f t="shared" si="558"/>
        <v>5.0000000000000044</v>
      </c>
      <c r="EK85" s="72">
        <v>145</v>
      </c>
      <c r="EL85" s="130">
        <f t="shared" si="559"/>
        <v>0.69444444444444198</v>
      </c>
      <c r="EM85" s="72">
        <v>145</v>
      </c>
      <c r="EN85" s="130">
        <f t="shared" si="560"/>
        <v>-2.0270270270270285</v>
      </c>
      <c r="EO85" s="72">
        <v>144</v>
      </c>
      <c r="EP85" s="130">
        <f t="shared" si="561"/>
        <v>-3.3557046979865723</v>
      </c>
      <c r="EQ85" s="73">
        <f t="shared" ref="EQ85:EW85" si="585">EQ93*EQ56/400</f>
        <v>146.14327920875786</v>
      </c>
      <c r="ER85" s="130">
        <f t="shared" si="563"/>
        <v>-0.58280325934839672</v>
      </c>
      <c r="ES85" s="73">
        <f t="shared" si="585"/>
        <v>148.51471898090574</v>
      </c>
      <c r="ET85" s="130">
        <f t="shared" si="564"/>
        <v>2.4239441247625892</v>
      </c>
      <c r="EU85" s="73">
        <f t="shared" si="585"/>
        <v>151.21397779549545</v>
      </c>
      <c r="EV85" s="130">
        <f t="shared" si="565"/>
        <v>4.2855019279278928</v>
      </c>
      <c r="EW85" s="73">
        <f t="shared" si="585"/>
        <v>154.24623422418944</v>
      </c>
      <c r="EX85" s="130">
        <f t="shared" si="566"/>
        <v>7.1154404334648813</v>
      </c>
      <c r="EY85" s="64"/>
      <c r="EZ85" s="558"/>
      <c r="FA85" s="64"/>
      <c r="FB85" s="72"/>
      <c r="FC85" s="71"/>
      <c r="FD85" s="72"/>
      <c r="FE85" s="70"/>
      <c r="FF85" s="69"/>
      <c r="FG85" s="70"/>
      <c r="FH85" s="69"/>
      <c r="FI85" s="70"/>
      <c r="FJ85" s="69"/>
      <c r="FK85" s="70"/>
      <c r="FL85" s="69"/>
      <c r="FM85" s="61"/>
      <c r="FN85" s="778">
        <v>0</v>
      </c>
      <c r="FO85" s="61"/>
      <c r="FP85" s="73">
        <f>AQ85+AS85+AU85+AW85</f>
        <v>392.6</v>
      </c>
      <c r="FQ85" s="61" t="str">
        <f t="shared" si="567"/>
        <v>NA</v>
      </c>
      <c r="FR85" s="73">
        <f>AY85+BA85+BC85+BE85</f>
        <v>683.8</v>
      </c>
      <c r="FS85" s="61">
        <f t="shared" si="568"/>
        <v>74.172185430463557</v>
      </c>
      <c r="FT85" s="73">
        <f>BG85+BI85+BK85+BM85</f>
        <v>659.4</v>
      </c>
      <c r="FU85" s="61">
        <f t="shared" si="569"/>
        <v>-3.5682948230476685</v>
      </c>
      <c r="FV85" s="73">
        <f>BO85+BQ85+BS85+BU85</f>
        <v>702.5</v>
      </c>
      <c r="FW85" s="61">
        <f t="shared" si="570"/>
        <v>6.5362450712769249</v>
      </c>
      <c r="FX85" s="75">
        <f>BW85+BY85+CA85+CC85</f>
        <v>682.4</v>
      </c>
      <c r="FY85" s="61">
        <f t="shared" si="571"/>
        <v>-2.8612099644128142</v>
      </c>
      <c r="FZ85" s="75">
        <f>CE85+CG85+CI85+CK85</f>
        <v>725.5</v>
      </c>
      <c r="GA85" s="61">
        <f t="shared" si="572"/>
        <v>6.315943728018758</v>
      </c>
      <c r="GB85" s="75">
        <f>CM85+CO85+CQ85+CS85</f>
        <v>698.59999999999991</v>
      </c>
      <c r="GC85" s="61">
        <f t="shared" si="573"/>
        <v>-3.7077877325982223</v>
      </c>
      <c r="GD85" s="75">
        <f>CU85+CW85+CY85+DA85</f>
        <v>633</v>
      </c>
      <c r="GE85" s="61">
        <f t="shared" si="574"/>
        <v>-9.3902089894073786</v>
      </c>
      <c r="GF85" s="75">
        <f>DC85+DE85+DG85+DI85</f>
        <v>624</v>
      </c>
      <c r="GG85" s="61">
        <f t="shared" si="575"/>
        <v>-1.4218009478673022</v>
      </c>
      <c r="GH85" s="75">
        <f>DK85+DM85+DO85+DQ85</f>
        <v>610</v>
      </c>
      <c r="GI85" s="61">
        <f t="shared" si="575"/>
        <v>-2.2435897435897467</v>
      </c>
      <c r="GJ85" s="75">
        <f>DS85+DU85+DW85+DY85</f>
        <v>551</v>
      </c>
      <c r="GK85" s="61">
        <f t="shared" si="575"/>
        <v>-9.6721311475409859</v>
      </c>
      <c r="GL85" s="75">
        <f>EA85+EC85+EE85+EG85</f>
        <v>581</v>
      </c>
      <c r="GM85" s="61">
        <f t="shared" si="575"/>
        <v>5.444646098003636</v>
      </c>
      <c r="GN85" s="75">
        <f>EI85+EK85+EM85+EO85</f>
        <v>581</v>
      </c>
      <c r="GO85" s="61">
        <f t="shared" si="575"/>
        <v>0</v>
      </c>
      <c r="GP85" s="75">
        <f>EQ85+ES85+EU85+EW85</f>
        <v>600.11821020934849</v>
      </c>
      <c r="GQ85" s="61">
        <f t="shared" si="575"/>
        <v>3.2905697434334691</v>
      </c>
      <c r="GR85" s="73">
        <f>GR93*GR56/100</f>
        <v>644.30118613859372</v>
      </c>
      <c r="GS85" s="61">
        <f t="shared" si="575"/>
        <v>7.3623788076406127</v>
      </c>
      <c r="GT85" s="73">
        <f>GT93*GT56/100</f>
        <v>688.95894058406395</v>
      </c>
      <c r="GU85" s="61">
        <f t="shared" si="575"/>
        <v>6.9311923377189055</v>
      </c>
      <c r="GV85" s="73">
        <f>GV93*GV56/100</f>
        <v>732.47671221606709</v>
      </c>
      <c r="GW85" s="61">
        <f t="shared" si="575"/>
        <v>6.3164535748837292</v>
      </c>
      <c r="GX85" s="73">
        <f>GX93*GX56/100</f>
        <v>774.96111314429663</v>
      </c>
      <c r="GY85" s="61">
        <f t="shared" si="576"/>
        <v>5.8001026134599343</v>
      </c>
      <c r="GZ85" s="61">
        <f t="shared" si="535"/>
        <v>5.9304349823744662</v>
      </c>
      <c r="HA85" s="61"/>
      <c r="HB85" s="452"/>
      <c r="HC85"/>
      <c r="HD85"/>
      <c r="HE85"/>
      <c r="HF85"/>
      <c r="HG85"/>
      <c r="HH85"/>
    </row>
    <row r="86" spans="1:216" s="106" customFormat="1" ht="12.75" customHeight="1" x14ac:dyDescent="0.2">
      <c r="A86" s="5" t="s">
        <v>450</v>
      </c>
      <c r="B86" s="63" t="s">
        <v>523</v>
      </c>
      <c r="C86" s="98"/>
      <c r="D86" s="99"/>
      <c r="E86" s="98"/>
      <c r="F86" s="100"/>
      <c r="G86" s="98"/>
      <c r="H86" s="100"/>
      <c r="I86" s="98"/>
      <c r="J86" s="101"/>
      <c r="K86" s="98"/>
      <c r="L86" s="61"/>
      <c r="M86" s="98"/>
      <c r="N86" s="61"/>
      <c r="O86" s="98"/>
      <c r="P86" s="61"/>
      <c r="Q86" s="98"/>
      <c r="R86" s="61"/>
      <c r="S86" s="98"/>
      <c r="T86" s="61"/>
      <c r="U86" s="98"/>
      <c r="V86" s="61"/>
      <c r="W86" s="98"/>
      <c r="X86" s="61"/>
      <c r="Y86" s="98"/>
      <c r="Z86" s="61"/>
      <c r="AA86" s="98"/>
      <c r="AB86" s="61"/>
      <c r="AC86" s="98"/>
      <c r="AD86" s="61"/>
      <c r="AE86" s="98"/>
      <c r="AF86" s="61"/>
      <c r="AG86" s="98"/>
      <c r="AH86" s="61"/>
      <c r="AI86" s="98"/>
      <c r="AJ86" s="61"/>
      <c r="AK86" s="98"/>
      <c r="AL86" s="61"/>
      <c r="AM86" s="98"/>
      <c r="AN86" s="61"/>
      <c r="AO86" s="98"/>
      <c r="AP86" s="61"/>
      <c r="AQ86" s="98">
        <v>339.8</v>
      </c>
      <c r="AR86" s="61" t="str">
        <f t="shared" si="536"/>
        <v>NA</v>
      </c>
      <c r="AS86" s="98">
        <v>348.2</v>
      </c>
      <c r="AT86" s="61" t="str">
        <f t="shared" si="537"/>
        <v>NA</v>
      </c>
      <c r="AU86" s="98">
        <v>362.4</v>
      </c>
      <c r="AV86" s="61" t="str">
        <f t="shared" si="538"/>
        <v>NA</v>
      </c>
      <c r="AW86" s="98">
        <v>372.1</v>
      </c>
      <c r="AX86" s="61" t="str">
        <f t="shared" si="538"/>
        <v>NA</v>
      </c>
      <c r="AY86" s="98">
        <v>374.8</v>
      </c>
      <c r="AZ86" s="61">
        <f t="shared" si="539"/>
        <v>10.300176574455566</v>
      </c>
      <c r="BA86" s="98">
        <v>552.6</v>
      </c>
      <c r="BB86" s="61">
        <f t="shared" si="540"/>
        <v>58.701895462377962</v>
      </c>
      <c r="BC86" s="98">
        <v>596.5</v>
      </c>
      <c r="BD86" s="61">
        <f t="shared" si="541"/>
        <v>64.597130242825614</v>
      </c>
      <c r="BE86" s="98">
        <v>637.29999999999995</v>
      </c>
      <c r="BF86" s="61">
        <f t="shared" si="542"/>
        <v>71.271163665681243</v>
      </c>
      <c r="BG86" s="98">
        <v>590.4</v>
      </c>
      <c r="BH86" s="61">
        <f t="shared" si="543"/>
        <v>57.524012806830306</v>
      </c>
      <c r="BI86" s="98">
        <v>623.70000000000005</v>
      </c>
      <c r="BJ86" s="61">
        <f t="shared" si="543"/>
        <v>12.866449511400656</v>
      </c>
      <c r="BK86" s="98">
        <v>647</v>
      </c>
      <c r="BL86" s="61">
        <f t="shared" si="543"/>
        <v>8.4660519698239725</v>
      </c>
      <c r="BM86" s="98">
        <v>672.3</v>
      </c>
      <c r="BN86" s="61">
        <f t="shared" si="543"/>
        <v>5.4919190334222545</v>
      </c>
      <c r="BO86" s="98">
        <v>622.6</v>
      </c>
      <c r="BP86" s="61">
        <f t="shared" si="543"/>
        <v>5.453929539295399</v>
      </c>
      <c r="BQ86" s="98">
        <v>618.70000000000005</v>
      </c>
      <c r="BR86" s="61">
        <f t="shared" si="543"/>
        <v>-0.80166746833413294</v>
      </c>
      <c r="BS86" s="98">
        <v>675.2</v>
      </c>
      <c r="BT86" s="61">
        <f t="shared" si="543"/>
        <v>4.3585780525502438</v>
      </c>
      <c r="BU86" s="98">
        <v>567.29999999999995</v>
      </c>
      <c r="BV86" s="61">
        <f t="shared" si="543"/>
        <v>-15.618027666220435</v>
      </c>
      <c r="BW86" s="98">
        <v>521.70000000000005</v>
      </c>
      <c r="BX86" s="61">
        <f t="shared" si="543"/>
        <v>-16.206231930613558</v>
      </c>
      <c r="BY86" s="98">
        <v>552.5</v>
      </c>
      <c r="BZ86" s="61">
        <f t="shared" si="543"/>
        <v>-10.699854533699703</v>
      </c>
      <c r="CA86" s="98">
        <v>598.20000000000005</v>
      </c>
      <c r="CB86" s="61">
        <f t="shared" si="543"/>
        <v>-11.404028436018955</v>
      </c>
      <c r="CC86" s="98">
        <v>628.9</v>
      </c>
      <c r="CD86" s="61">
        <f t="shared" si="543"/>
        <v>10.858452317997536</v>
      </c>
      <c r="CE86" s="98">
        <v>629.9</v>
      </c>
      <c r="CF86" s="61">
        <f t="shared" si="543"/>
        <v>20.739888824995202</v>
      </c>
      <c r="CG86" s="98">
        <v>644.6</v>
      </c>
      <c r="CH86" s="61">
        <f t="shared" si="543"/>
        <v>16.669683257918557</v>
      </c>
      <c r="CI86" s="98">
        <v>660.3</v>
      </c>
      <c r="CJ86" s="61">
        <f t="shared" si="543"/>
        <v>10.381143430290862</v>
      </c>
      <c r="CK86" s="98">
        <v>719.9</v>
      </c>
      <c r="CL86" s="61">
        <f t="shared" si="543"/>
        <v>14.469709015741783</v>
      </c>
      <c r="CM86" s="98">
        <v>733.2</v>
      </c>
      <c r="CN86" s="61">
        <f t="shared" si="543"/>
        <v>16.399428480711229</v>
      </c>
      <c r="CO86" s="98">
        <v>734.8</v>
      </c>
      <c r="CP86" s="61">
        <f t="shared" si="543"/>
        <v>13.993174061433432</v>
      </c>
      <c r="CQ86" s="98">
        <v>711</v>
      </c>
      <c r="CR86" s="61">
        <f t="shared" si="543"/>
        <v>7.6783280327124004</v>
      </c>
      <c r="CS86" s="98">
        <v>692</v>
      </c>
      <c r="CT86" s="61">
        <f t="shared" si="543"/>
        <v>-3.8755382692040485</v>
      </c>
      <c r="CU86" s="98">
        <v>731</v>
      </c>
      <c r="CV86" s="61">
        <f t="shared" si="544"/>
        <v>-0.30005455537370773</v>
      </c>
      <c r="CW86" s="98">
        <v>734</v>
      </c>
      <c r="CX86" s="61">
        <f t="shared" si="545"/>
        <v>-0.10887316276537717</v>
      </c>
      <c r="CY86" s="98">
        <v>745</v>
      </c>
      <c r="CZ86" s="61">
        <f t="shared" si="546"/>
        <v>4.7819971870604716</v>
      </c>
      <c r="DA86" s="98">
        <v>766</v>
      </c>
      <c r="DB86" s="61">
        <f t="shared" si="547"/>
        <v>10.693641618497107</v>
      </c>
      <c r="DC86" s="98">
        <v>777</v>
      </c>
      <c r="DD86" s="61">
        <f t="shared" si="548"/>
        <v>6.2927496580027276</v>
      </c>
      <c r="DE86" s="98">
        <v>817</v>
      </c>
      <c r="DF86" s="61">
        <f t="shared" si="549"/>
        <v>11.307901907356953</v>
      </c>
      <c r="DG86" s="98">
        <v>842</v>
      </c>
      <c r="DH86" s="61">
        <f t="shared" si="550"/>
        <v>13.02013422818793</v>
      </c>
      <c r="DI86" s="98">
        <v>886</v>
      </c>
      <c r="DJ86" s="61">
        <f t="shared" si="551"/>
        <v>15.665796344647509</v>
      </c>
      <c r="DK86" s="98">
        <v>909</v>
      </c>
      <c r="DL86" s="61">
        <f t="shared" si="552"/>
        <v>16.988416988417001</v>
      </c>
      <c r="DM86" s="98">
        <v>926</v>
      </c>
      <c r="DN86" s="130">
        <f t="shared" si="553"/>
        <v>13.341493268053849</v>
      </c>
      <c r="DO86" s="98">
        <v>944</v>
      </c>
      <c r="DP86" s="130">
        <f t="shared" si="553"/>
        <v>12.11401425178147</v>
      </c>
      <c r="DQ86" s="98">
        <v>966</v>
      </c>
      <c r="DR86" s="130">
        <f t="shared" si="553"/>
        <v>9.0293453724604955</v>
      </c>
      <c r="DS86" s="98">
        <v>989</v>
      </c>
      <c r="DT86" s="130">
        <f t="shared" si="553"/>
        <v>8.8008800880088103</v>
      </c>
      <c r="DU86" s="98">
        <v>991</v>
      </c>
      <c r="DV86" s="130">
        <f t="shared" si="553"/>
        <v>7.0194384449244085</v>
      </c>
      <c r="DW86" s="98">
        <v>1060</v>
      </c>
      <c r="DX86" s="98">
        <v>1060</v>
      </c>
      <c r="DY86" s="98">
        <v>1079</v>
      </c>
      <c r="DZ86" s="130">
        <f t="shared" si="553"/>
        <v>11.697722567287784</v>
      </c>
      <c r="EA86" s="98">
        <v>1039</v>
      </c>
      <c r="EB86" s="130">
        <f t="shared" si="554"/>
        <v>5.0556117290192049</v>
      </c>
      <c r="EC86" s="98">
        <v>983</v>
      </c>
      <c r="ED86" s="130">
        <f t="shared" si="555"/>
        <v>-0.80726538849646978</v>
      </c>
      <c r="EE86" s="98">
        <v>1000</v>
      </c>
      <c r="EF86" s="130">
        <f t="shared" si="556"/>
        <v>-5.6603773584905648</v>
      </c>
      <c r="EG86" s="98">
        <v>1011</v>
      </c>
      <c r="EH86" s="130">
        <f t="shared" si="557"/>
        <v>-6.3021316033364254</v>
      </c>
      <c r="EI86" s="98">
        <v>1061</v>
      </c>
      <c r="EJ86" s="130">
        <f t="shared" si="558"/>
        <v>2.117420596727615</v>
      </c>
      <c r="EK86" s="98">
        <v>1076</v>
      </c>
      <c r="EL86" s="130">
        <f t="shared" si="559"/>
        <v>9.4608341810783259</v>
      </c>
      <c r="EM86" s="98">
        <v>1073</v>
      </c>
      <c r="EN86" s="130">
        <f t="shared" si="560"/>
        <v>7.2999999999999954</v>
      </c>
      <c r="EO86" s="98">
        <v>1167</v>
      </c>
      <c r="EP86" s="130">
        <f t="shared" si="561"/>
        <v>15.43026706231454</v>
      </c>
      <c r="EQ86" s="102">
        <f t="shared" ref="EQ86:EW86" si="586">EQ82+EQ83+EQ84</f>
        <v>1108.8556572253697</v>
      </c>
      <c r="ER86" s="130">
        <f t="shared" si="563"/>
        <v>4.5104295217125001</v>
      </c>
      <c r="ES86" s="102">
        <f t="shared" si="586"/>
        <v>1109.1290153458347</v>
      </c>
      <c r="ET86" s="130">
        <f t="shared" si="564"/>
        <v>3.0789047719177232</v>
      </c>
      <c r="EU86" s="102">
        <f t="shared" si="586"/>
        <v>1124.3599298344725</v>
      </c>
      <c r="EV86" s="130">
        <f t="shared" si="565"/>
        <v>4.7865731439396653</v>
      </c>
      <c r="EW86" s="102">
        <f t="shared" si="586"/>
        <v>1141.7909094075442</v>
      </c>
      <c r="EX86" s="130">
        <f t="shared" si="566"/>
        <v>-2.1601620044949255</v>
      </c>
      <c r="EY86" s="103"/>
      <c r="EZ86" s="558"/>
      <c r="FA86" s="103"/>
      <c r="FB86" s="102"/>
      <c r="FC86" s="100"/>
      <c r="FD86" s="102"/>
      <c r="FE86" s="70"/>
      <c r="FF86" s="102"/>
      <c r="FG86" s="70"/>
      <c r="FH86" s="102"/>
      <c r="FI86" s="70"/>
      <c r="FJ86" s="102"/>
      <c r="FK86" s="70"/>
      <c r="FL86" s="102"/>
      <c r="FM86" s="61"/>
      <c r="FN86" s="104">
        <f>SUM(FN82:FN84)</f>
        <v>1335</v>
      </c>
      <c r="FO86" s="61"/>
      <c r="FP86" s="104">
        <f>FP82+FP83+FP84</f>
        <v>1422.5</v>
      </c>
      <c r="FQ86" s="61">
        <f t="shared" si="567"/>
        <v>6.5543071161048738</v>
      </c>
      <c r="FR86" s="104">
        <f>FR82+FR83+FR84</f>
        <v>2161.1999999999998</v>
      </c>
      <c r="FS86" s="61">
        <f t="shared" si="568"/>
        <v>51.929701230228467</v>
      </c>
      <c r="FT86" s="104">
        <f>FT82+FT83+FT84</f>
        <v>2533.3999999999996</v>
      </c>
      <c r="FU86" s="61">
        <f t="shared" si="569"/>
        <v>17.221913751619454</v>
      </c>
      <c r="FV86" s="104">
        <f>FV82+FV83+FV84</f>
        <v>2483.8000000000002</v>
      </c>
      <c r="FW86" s="61">
        <f t="shared" si="570"/>
        <v>-1.9578432146522218</v>
      </c>
      <c r="FX86" s="104">
        <f>FX82+FX83+FX84</f>
        <v>2301.3000000000002</v>
      </c>
      <c r="FY86" s="61">
        <f t="shared" si="571"/>
        <v>-7.3476125291891403</v>
      </c>
      <c r="FZ86" s="104">
        <f>FZ82+FZ83+FZ84</f>
        <v>2654.7</v>
      </c>
      <c r="GA86" s="61">
        <f t="shared" si="572"/>
        <v>15.356537609177412</v>
      </c>
      <c r="GB86" s="104">
        <f>GB82+GB83+GB84</f>
        <v>2871</v>
      </c>
      <c r="GC86" s="61">
        <f t="shared" si="573"/>
        <v>8.1478133122386822</v>
      </c>
      <c r="GD86" s="104">
        <f>GD82+GD83+GD84</f>
        <v>2976</v>
      </c>
      <c r="GE86" s="61">
        <f t="shared" si="574"/>
        <v>3.6572622779519337</v>
      </c>
      <c r="GF86" s="104">
        <f>GF82+GF83+GF84</f>
        <v>3322</v>
      </c>
      <c r="GG86" s="61">
        <f t="shared" si="575"/>
        <v>11.626344086021501</v>
      </c>
      <c r="GH86" s="104">
        <f>GH82+GH83+GH84</f>
        <v>3745</v>
      </c>
      <c r="GI86" s="61">
        <f t="shared" si="575"/>
        <v>12.733293196869354</v>
      </c>
      <c r="GJ86" s="104">
        <f>GJ82+GJ83+GJ84</f>
        <v>4119</v>
      </c>
      <c r="GK86" s="61">
        <f t="shared" si="575"/>
        <v>9.9866488651535477</v>
      </c>
      <c r="GL86" s="104">
        <f>GL82+GL83+GL84</f>
        <v>4033</v>
      </c>
      <c r="GM86" s="61">
        <f t="shared" si="575"/>
        <v>-2.0878854090798704</v>
      </c>
      <c r="GN86" s="104">
        <f>GN82+GN83+GN84</f>
        <v>4377</v>
      </c>
      <c r="GO86" s="61">
        <f t="shared" si="575"/>
        <v>8.5296305479791723</v>
      </c>
      <c r="GP86" s="104">
        <f>GP82+GP83+GP84</f>
        <v>4484.1355118132205</v>
      </c>
      <c r="GQ86" s="61">
        <f t="shared" si="575"/>
        <v>2.4476927533292336</v>
      </c>
      <c r="GR86" s="102">
        <f>GR82+GR83+GR84</f>
        <v>4717.0361734713788</v>
      </c>
      <c r="GS86" s="61">
        <f t="shared" si="575"/>
        <v>5.1938809842966061</v>
      </c>
      <c r="GT86" s="102">
        <f>GT82+GT83+GT84</f>
        <v>4996.6166892141428</v>
      </c>
      <c r="GU86" s="61">
        <f t="shared" si="575"/>
        <v>5.9270377724708778</v>
      </c>
      <c r="GV86" s="102">
        <f>GV82+GV83+GV84</f>
        <v>5311.1426918148591</v>
      </c>
      <c r="GW86" s="61">
        <f t="shared" si="575"/>
        <v>6.2947794910836796</v>
      </c>
      <c r="GX86" s="102">
        <f>GX82+GX83+GX84</f>
        <v>5665.5573473841541</v>
      </c>
      <c r="GY86" s="61">
        <f t="shared" si="576"/>
        <v>6.6730396100163736</v>
      </c>
      <c r="GZ86" s="61">
        <f t="shared" si="535"/>
        <v>5.2963261477205092</v>
      </c>
      <c r="HA86" s="61"/>
      <c r="HB86" s="452"/>
      <c r="HC86"/>
      <c r="HD86"/>
      <c r="HE86"/>
      <c r="HF86"/>
      <c r="HG86"/>
      <c r="HH86"/>
    </row>
    <row r="87" spans="1:216" s="106" customFormat="1" ht="12.75" customHeight="1" x14ac:dyDescent="0.2">
      <c r="A87" s="5" t="s">
        <v>459</v>
      </c>
      <c r="B87" s="63" t="s">
        <v>75</v>
      </c>
      <c r="C87" s="98"/>
      <c r="D87" s="99"/>
      <c r="E87" s="98"/>
      <c r="F87" s="100"/>
      <c r="G87" s="98"/>
      <c r="H87" s="100"/>
      <c r="I87" s="98"/>
      <c r="J87" s="101"/>
      <c r="K87" s="98"/>
      <c r="L87" s="61"/>
      <c r="M87" s="98"/>
      <c r="N87" s="61"/>
      <c r="O87" s="98"/>
      <c r="P87" s="61"/>
      <c r="Q87" s="98"/>
      <c r="R87" s="61"/>
      <c r="S87" s="98"/>
      <c r="T87" s="61"/>
      <c r="U87" s="98"/>
      <c r="V87" s="61"/>
      <c r="W87" s="98"/>
      <c r="X87" s="61"/>
      <c r="Y87" s="98"/>
      <c r="Z87" s="61"/>
      <c r="AA87" s="98"/>
      <c r="AB87" s="61"/>
      <c r="AC87" s="98"/>
      <c r="AD87" s="61"/>
      <c r="AE87" s="98"/>
      <c r="AF87" s="61"/>
      <c r="AG87" s="98"/>
      <c r="AH87" s="61"/>
      <c r="AI87" s="98"/>
      <c r="AJ87" s="61"/>
      <c r="AK87" s="98"/>
      <c r="AL87" s="61"/>
      <c r="AM87" s="98"/>
      <c r="AN87" s="61"/>
      <c r="AO87" s="98"/>
      <c r="AP87" s="61"/>
      <c r="AQ87" s="102">
        <f>AQ86-AQ85</f>
        <v>239.70000000000002</v>
      </c>
      <c r="AR87" s="61" t="str">
        <f t="shared" si="536"/>
        <v>NA</v>
      </c>
      <c r="AS87" s="102">
        <f>AS86-AS85</f>
        <v>249.29999999999998</v>
      </c>
      <c r="AT87" s="61" t="str">
        <f t="shared" si="537"/>
        <v>NA</v>
      </c>
      <c r="AU87" s="102">
        <f>AU86-AU85</f>
        <v>265.09999999999997</v>
      </c>
      <c r="AV87" s="61" t="str">
        <f t="shared" si="538"/>
        <v>NA</v>
      </c>
      <c r="AW87" s="102">
        <f>AW86-AW85</f>
        <v>275.8</v>
      </c>
      <c r="AX87" s="61" t="str">
        <f t="shared" si="538"/>
        <v>NA</v>
      </c>
      <c r="AY87" s="102">
        <f>AY86-AY85</f>
        <v>279.70000000000005</v>
      </c>
      <c r="AZ87" s="61">
        <f t="shared" si="539"/>
        <v>16.687526074259495</v>
      </c>
      <c r="BA87" s="102">
        <f>BA86-BA85</f>
        <v>383.8</v>
      </c>
      <c r="BB87" s="61">
        <f t="shared" si="540"/>
        <v>53.951062976333745</v>
      </c>
      <c r="BC87" s="102">
        <f>BC86-BC85</f>
        <v>388.3</v>
      </c>
      <c r="BD87" s="61">
        <f t="shared" si="541"/>
        <v>46.473029045643166</v>
      </c>
      <c r="BE87" s="102">
        <f>BE86-BE85</f>
        <v>425.59999999999997</v>
      </c>
      <c r="BF87" s="61">
        <f t="shared" si="542"/>
        <v>54.314720812182713</v>
      </c>
      <c r="BG87" s="102">
        <f>BG86-BG85</f>
        <v>429.29999999999995</v>
      </c>
      <c r="BH87" s="61">
        <f t="shared" si="543"/>
        <v>53.485877726135115</v>
      </c>
      <c r="BI87" s="102">
        <f>BI86-BI85</f>
        <v>458.6</v>
      </c>
      <c r="BJ87" s="61">
        <f t="shared" si="543"/>
        <v>19.489317352787914</v>
      </c>
      <c r="BK87" s="102">
        <f>BK86-BK85</f>
        <v>481.7</v>
      </c>
      <c r="BL87" s="61">
        <f t="shared" si="543"/>
        <v>24.05356682977078</v>
      </c>
      <c r="BM87" s="102">
        <f>BM86-BM85</f>
        <v>504.4</v>
      </c>
      <c r="BN87" s="61">
        <f t="shared" si="543"/>
        <v>18.515037593984964</v>
      </c>
      <c r="BO87" s="102">
        <f>BO86-BO85</f>
        <v>459.40000000000003</v>
      </c>
      <c r="BP87" s="61">
        <f t="shared" si="543"/>
        <v>7.0114139296529432</v>
      </c>
      <c r="BQ87" s="102">
        <f>BQ86-BQ85</f>
        <v>455.70000000000005</v>
      </c>
      <c r="BR87" s="61">
        <f t="shared" si="543"/>
        <v>-0.6323593545573436</v>
      </c>
      <c r="BS87" s="102">
        <f>BS86-BS85</f>
        <v>505.20000000000005</v>
      </c>
      <c r="BT87" s="61">
        <f t="shared" si="543"/>
        <v>4.8785551172929376</v>
      </c>
      <c r="BU87" s="102">
        <f>BU86-BU85</f>
        <v>360.99999999999994</v>
      </c>
      <c r="BV87" s="61">
        <f t="shared" si="543"/>
        <v>-28.429817605075346</v>
      </c>
      <c r="BW87" s="102">
        <f>BW86-BW85</f>
        <v>358.1</v>
      </c>
      <c r="BX87" s="61">
        <f t="shared" si="543"/>
        <v>-22.050500653025683</v>
      </c>
      <c r="BY87" s="102">
        <f>BY86-BY85</f>
        <v>382.1</v>
      </c>
      <c r="BZ87" s="61">
        <f t="shared" si="543"/>
        <v>-16.150976519640114</v>
      </c>
      <c r="CA87" s="102">
        <f>CA86-CA85</f>
        <v>422.30000000000007</v>
      </c>
      <c r="CB87" s="61">
        <f t="shared" si="543"/>
        <v>-16.409342834520977</v>
      </c>
      <c r="CC87" s="102">
        <f>CC86-CC85</f>
        <v>456.4</v>
      </c>
      <c r="CD87" s="61">
        <f t="shared" si="543"/>
        <v>26.426592797783943</v>
      </c>
      <c r="CE87" s="102">
        <f>CE86-CE85</f>
        <v>453.7</v>
      </c>
      <c r="CF87" s="61">
        <f t="shared" si="543"/>
        <v>26.696453504607632</v>
      </c>
      <c r="CG87" s="102">
        <f>CG86-CG85</f>
        <v>467.70000000000005</v>
      </c>
      <c r="CH87" s="61">
        <f t="shared" si="543"/>
        <v>22.402512431300714</v>
      </c>
      <c r="CI87" s="102">
        <f>CI86-CI85</f>
        <v>476.79999999999995</v>
      </c>
      <c r="CJ87" s="61">
        <f t="shared" si="543"/>
        <v>12.90551740468857</v>
      </c>
      <c r="CK87" s="102">
        <f>CK86-CK85</f>
        <v>531</v>
      </c>
      <c r="CL87" s="61">
        <f t="shared" si="543"/>
        <v>16.345311130587213</v>
      </c>
      <c r="CM87" s="102">
        <f>CM86-CM85</f>
        <v>558.80000000000007</v>
      </c>
      <c r="CN87" s="61">
        <f t="shared" si="543"/>
        <v>23.165087061935207</v>
      </c>
      <c r="CO87" s="102">
        <f>CO86-CO85</f>
        <v>556.79999999999995</v>
      </c>
      <c r="CP87" s="61">
        <f t="shared" si="543"/>
        <v>19.050673508659365</v>
      </c>
      <c r="CQ87" s="102">
        <f>CQ86-CQ85</f>
        <v>533.79999999999995</v>
      </c>
      <c r="CR87" s="61">
        <f t="shared" si="543"/>
        <v>11.954697986577179</v>
      </c>
      <c r="CS87" s="102">
        <f>CS86-CS85</f>
        <v>523</v>
      </c>
      <c r="CT87" s="61">
        <f t="shared" si="543"/>
        <v>-1.5065913370998163</v>
      </c>
      <c r="CU87" s="102">
        <f>CU86-CU85</f>
        <v>560</v>
      </c>
      <c r="CV87" s="61">
        <f t="shared" si="544"/>
        <v>0.21474588403720407</v>
      </c>
      <c r="CW87" s="102">
        <f>CW86-CW85</f>
        <v>571</v>
      </c>
      <c r="CX87" s="61">
        <f t="shared" si="545"/>
        <v>2.5502873563218564</v>
      </c>
      <c r="CY87" s="102">
        <f>CY86-CY85</f>
        <v>599</v>
      </c>
      <c r="CZ87" s="61">
        <f t="shared" si="546"/>
        <v>12.214312476583</v>
      </c>
      <c r="DA87" s="102">
        <f>DA86-DA85</f>
        <v>613</v>
      </c>
      <c r="DB87" s="61">
        <f t="shared" si="547"/>
        <v>17.208413001912049</v>
      </c>
      <c r="DC87" s="102">
        <f>DC86-DC85</f>
        <v>624</v>
      </c>
      <c r="DD87" s="61">
        <f t="shared" si="548"/>
        <v>11.428571428571432</v>
      </c>
      <c r="DE87" s="102">
        <f>DE86-DE85</f>
        <v>660</v>
      </c>
      <c r="DF87" s="61">
        <f t="shared" si="549"/>
        <v>15.586690017513138</v>
      </c>
      <c r="DG87" s="102">
        <f>DG86-DG85</f>
        <v>689</v>
      </c>
      <c r="DH87" s="61">
        <f t="shared" si="550"/>
        <v>15.025041736227053</v>
      </c>
      <c r="DI87" s="102">
        <f>DI86-DI85</f>
        <v>725</v>
      </c>
      <c r="DJ87" s="61">
        <f t="shared" si="551"/>
        <v>18.270799347471446</v>
      </c>
      <c r="DK87" s="102">
        <f>DK86-DK85</f>
        <v>755</v>
      </c>
      <c r="DL87" s="61">
        <f t="shared" si="552"/>
        <v>20.993589743589737</v>
      </c>
      <c r="DM87" s="102">
        <f>DM86-DM85</f>
        <v>772</v>
      </c>
      <c r="DN87" s="130">
        <f t="shared" si="553"/>
        <v>16.969696969696969</v>
      </c>
      <c r="DO87" s="102">
        <f>DO86-DO85</f>
        <v>792</v>
      </c>
      <c r="DP87" s="130">
        <f t="shared" si="553"/>
        <v>14.949201741654573</v>
      </c>
      <c r="DQ87" s="102">
        <f>DQ86-DQ85</f>
        <v>816</v>
      </c>
      <c r="DR87" s="130">
        <f t="shared" si="553"/>
        <v>12.551724137931043</v>
      </c>
      <c r="DS87" s="102">
        <f>DS86-DS85</f>
        <v>846</v>
      </c>
      <c r="DT87" s="130">
        <f t="shared" si="553"/>
        <v>12.05298013245033</v>
      </c>
      <c r="DU87" s="102">
        <f>DU86-DU85</f>
        <v>852</v>
      </c>
      <c r="DV87" s="130">
        <f t="shared" si="553"/>
        <v>10.362694300518127</v>
      </c>
      <c r="DW87" s="102">
        <f>DW86-DW85</f>
        <v>926</v>
      </c>
      <c r="DX87" s="102">
        <f t="shared" ref="DX87:DY87" si="587">DX86-DX85</f>
        <v>926</v>
      </c>
      <c r="DY87" s="102">
        <f t="shared" si="587"/>
        <v>944</v>
      </c>
      <c r="DZ87" s="130">
        <f t="shared" si="553"/>
        <v>15.686274509803933</v>
      </c>
      <c r="EA87" s="102">
        <f t="shared" ref="EA87:EC87" si="588">EA86-EA85</f>
        <v>899</v>
      </c>
      <c r="EB87" s="130">
        <f t="shared" si="554"/>
        <v>6.2647754137115763</v>
      </c>
      <c r="EC87" s="102">
        <f t="shared" si="588"/>
        <v>839</v>
      </c>
      <c r="ED87" s="130">
        <f t="shared" si="555"/>
        <v>-1.5258215962441368</v>
      </c>
      <c r="EE87" s="102">
        <f t="shared" ref="EE87:EG87" si="589">EE86-EE85</f>
        <v>852</v>
      </c>
      <c r="EF87" s="130">
        <f t="shared" si="556"/>
        <v>-7.9913606911447115</v>
      </c>
      <c r="EG87" s="102">
        <f t="shared" si="589"/>
        <v>862</v>
      </c>
      <c r="EH87" s="130">
        <f t="shared" si="557"/>
        <v>-8.6864406779661003</v>
      </c>
      <c r="EI87" s="102">
        <f t="shared" ref="EI87" si="590">EI86-EI85</f>
        <v>914</v>
      </c>
      <c r="EJ87" s="130">
        <f t="shared" si="558"/>
        <v>1.6685205784204626</v>
      </c>
      <c r="EK87" s="102">
        <f t="shared" ref="EK87:EM87" si="591">EK86-EK85</f>
        <v>931</v>
      </c>
      <c r="EL87" s="130">
        <f t="shared" si="559"/>
        <v>10.96543504171632</v>
      </c>
      <c r="EM87" s="102">
        <f t="shared" si="591"/>
        <v>928</v>
      </c>
      <c r="EN87" s="130">
        <f t="shared" si="560"/>
        <v>8.9201877934272247</v>
      </c>
      <c r="EO87" s="102">
        <f t="shared" ref="EO87" si="592">EO86-EO85</f>
        <v>1023</v>
      </c>
      <c r="EP87" s="130">
        <f t="shared" si="561"/>
        <v>18.677494199535971</v>
      </c>
      <c r="EQ87" s="102">
        <f t="shared" ref="EQ87:EW87" si="593">EQ86-EQ85</f>
        <v>962.71237801661186</v>
      </c>
      <c r="ER87" s="130">
        <f t="shared" si="563"/>
        <v>5.3295818398918948</v>
      </c>
      <c r="ES87" s="102">
        <f t="shared" si="593"/>
        <v>960.61429636492892</v>
      </c>
      <c r="ET87" s="130">
        <f t="shared" si="564"/>
        <v>3.1809126063296445</v>
      </c>
      <c r="EU87" s="102">
        <f t="shared" si="593"/>
        <v>973.14595203897704</v>
      </c>
      <c r="EV87" s="130">
        <f t="shared" si="565"/>
        <v>4.8648655214414971</v>
      </c>
      <c r="EW87" s="102">
        <f t="shared" si="593"/>
        <v>987.54467518335468</v>
      </c>
      <c r="EX87" s="130">
        <f t="shared" si="566"/>
        <v>-3.4658186526534962</v>
      </c>
      <c r="EY87" s="100"/>
      <c r="EZ87" s="558"/>
      <c r="FA87" s="100"/>
      <c r="FB87" s="102"/>
      <c r="FC87" s="100"/>
      <c r="FD87" s="102"/>
      <c r="FE87" s="70"/>
      <c r="FF87" s="102"/>
      <c r="FG87" s="70"/>
      <c r="FH87" s="102"/>
      <c r="FI87" s="70"/>
      <c r="FJ87" s="102"/>
      <c r="FK87" s="70"/>
      <c r="FL87" s="102"/>
      <c r="FM87" s="61"/>
      <c r="FN87" s="104">
        <f>FN86-FN85</f>
        <v>1335</v>
      </c>
      <c r="FO87" s="61"/>
      <c r="FP87" s="104">
        <f>FP86-FP85</f>
        <v>1029.9000000000001</v>
      </c>
      <c r="FQ87" s="61">
        <f t="shared" si="567"/>
        <v>-22.853932584269653</v>
      </c>
      <c r="FR87" s="104">
        <f>FR86-FR85</f>
        <v>1477.3999999999999</v>
      </c>
      <c r="FS87" s="61">
        <f t="shared" si="568"/>
        <v>43.450820468006569</v>
      </c>
      <c r="FT87" s="104">
        <f>FT86-FT85</f>
        <v>1873.9999999999995</v>
      </c>
      <c r="FU87" s="61">
        <f t="shared" si="569"/>
        <v>26.84445647759577</v>
      </c>
      <c r="FV87" s="104">
        <f>FV86-FV85</f>
        <v>1781.3000000000002</v>
      </c>
      <c r="FW87" s="61">
        <f t="shared" si="570"/>
        <v>-4.9466382070437191</v>
      </c>
      <c r="FX87" s="104">
        <f>FX86-FX85</f>
        <v>1618.9</v>
      </c>
      <c r="FY87" s="61">
        <f t="shared" si="571"/>
        <v>-9.1169370684331739</v>
      </c>
      <c r="FZ87" s="104">
        <f>FZ86-FZ85</f>
        <v>1929.1999999999998</v>
      </c>
      <c r="GA87" s="61">
        <f t="shared" si="572"/>
        <v>19.167335845327059</v>
      </c>
      <c r="GB87" s="104">
        <f>GB86-GB85</f>
        <v>2172.4</v>
      </c>
      <c r="GC87" s="61">
        <f t="shared" si="573"/>
        <v>12.606261662865448</v>
      </c>
      <c r="GD87" s="104">
        <f>GD86-GD85</f>
        <v>2343</v>
      </c>
      <c r="GE87" s="61">
        <f t="shared" si="574"/>
        <v>7.853065733750686</v>
      </c>
      <c r="GF87" s="104">
        <f>GF86-GF85</f>
        <v>2698</v>
      </c>
      <c r="GG87" s="61">
        <f t="shared" si="575"/>
        <v>15.151515151515159</v>
      </c>
      <c r="GH87" s="104">
        <f>GH86-GH85</f>
        <v>3135</v>
      </c>
      <c r="GI87" s="61">
        <f t="shared" si="575"/>
        <v>16.197183098591552</v>
      </c>
      <c r="GJ87" s="104">
        <f>GJ86-GJ85</f>
        <v>3568</v>
      </c>
      <c r="GK87" s="61">
        <f t="shared" si="575"/>
        <v>13.811802232854875</v>
      </c>
      <c r="GL87" s="104">
        <f>GL86-GL85</f>
        <v>3452</v>
      </c>
      <c r="GM87" s="61">
        <f t="shared" si="575"/>
        <v>-3.2511210762331877</v>
      </c>
      <c r="GN87" s="104">
        <f>GN86-GN85</f>
        <v>3796</v>
      </c>
      <c r="GO87" s="61">
        <f t="shared" si="575"/>
        <v>9.965237543453064</v>
      </c>
      <c r="GP87" s="104">
        <f>GP86-GP85</f>
        <v>3884.0173016038721</v>
      </c>
      <c r="GQ87" s="61">
        <f t="shared" si="575"/>
        <v>2.3186855006288809</v>
      </c>
      <c r="GR87" s="102">
        <f>GR86-GR85</f>
        <v>4072.7349873327848</v>
      </c>
      <c r="GS87" s="61">
        <f t="shared" si="575"/>
        <v>4.8588271131280392</v>
      </c>
      <c r="GT87" s="102">
        <f>GT86-GT85</f>
        <v>4307.6577486300785</v>
      </c>
      <c r="GU87" s="61">
        <f t="shared" si="575"/>
        <v>5.7681818735557666</v>
      </c>
      <c r="GV87" s="102">
        <f>GV86-GV85</f>
        <v>4578.6659795987916</v>
      </c>
      <c r="GW87" s="61">
        <f t="shared" si="575"/>
        <v>6.29131297756651</v>
      </c>
      <c r="GX87" s="102">
        <f>GX86-GX85</f>
        <v>4890.5962342398579</v>
      </c>
      <c r="GY87" s="61">
        <f t="shared" si="576"/>
        <v>6.8126885872640042</v>
      </c>
      <c r="GZ87" s="61">
        <f t="shared" si="535"/>
        <v>5.1979122850806414</v>
      </c>
      <c r="HA87" s="61"/>
      <c r="HB87" s="452"/>
      <c r="HC87"/>
      <c r="HD87"/>
      <c r="HE87"/>
      <c r="HF87"/>
      <c r="HG87"/>
      <c r="HH87"/>
    </row>
    <row r="88" spans="1:216" s="106" customFormat="1" ht="12.75" customHeight="1" x14ac:dyDescent="0.2">
      <c r="A88" s="5"/>
      <c r="B88" s="63"/>
      <c r="C88" s="98"/>
      <c r="D88" s="99"/>
      <c r="E88" s="98"/>
      <c r="F88" s="100"/>
      <c r="G88" s="98"/>
      <c r="H88" s="100"/>
      <c r="I88" s="98"/>
      <c r="J88" s="101"/>
      <c r="K88" s="98"/>
      <c r="L88" s="61"/>
      <c r="M88" s="98"/>
      <c r="N88" s="61"/>
      <c r="O88" s="98"/>
      <c r="P88" s="61"/>
      <c r="Q88" s="98"/>
      <c r="R88" s="61"/>
      <c r="S88" s="98"/>
      <c r="T88" s="61"/>
      <c r="U88" s="98"/>
      <c r="V88" s="61"/>
      <c r="W88" s="98"/>
      <c r="X88" s="61"/>
      <c r="Y88" s="98"/>
      <c r="Z88" s="61"/>
      <c r="AA88" s="98"/>
      <c r="AB88" s="61"/>
      <c r="AC88" s="98"/>
      <c r="AD88" s="61"/>
      <c r="AE88" s="98"/>
      <c r="AF88" s="61"/>
      <c r="AG88" s="98"/>
      <c r="AH88" s="61"/>
      <c r="AI88" s="98"/>
      <c r="AJ88" s="61"/>
      <c r="AK88" s="98"/>
      <c r="AL88" s="61"/>
      <c r="AM88" s="98"/>
      <c r="AN88" s="61"/>
      <c r="AO88" s="98"/>
      <c r="AP88" s="61"/>
      <c r="AQ88" s="102"/>
      <c r="AR88" s="61"/>
      <c r="AS88" s="102"/>
      <c r="AT88" s="61"/>
      <c r="AU88" s="102"/>
      <c r="AV88" s="61"/>
      <c r="AW88" s="102"/>
      <c r="AX88" s="61"/>
      <c r="AY88" s="102"/>
      <c r="AZ88" s="61"/>
      <c r="BA88" s="102"/>
      <c r="BB88" s="61"/>
      <c r="BC88" s="102"/>
      <c r="BD88" s="61"/>
      <c r="BE88" s="102"/>
      <c r="BF88" s="61"/>
      <c r="BG88" s="102"/>
      <c r="BH88" s="61"/>
      <c r="BI88" s="102"/>
      <c r="BJ88" s="61"/>
      <c r="BK88" s="102"/>
      <c r="BL88" s="61"/>
      <c r="BM88" s="102"/>
      <c r="BN88" s="61"/>
      <c r="BO88" s="102"/>
      <c r="BP88" s="61"/>
      <c r="BQ88" s="102"/>
      <c r="BR88" s="61"/>
      <c r="BS88" s="102"/>
      <c r="BT88" s="61"/>
      <c r="BU88" s="102"/>
      <c r="BV88" s="61"/>
      <c r="BW88" s="102"/>
      <c r="BX88" s="61"/>
      <c r="BY88" s="102"/>
      <c r="BZ88" s="61"/>
      <c r="CA88" s="102"/>
      <c r="CB88" s="61"/>
      <c r="CC88" s="102"/>
      <c r="CD88" s="61"/>
      <c r="CE88" s="102"/>
      <c r="CF88" s="61"/>
      <c r="CG88" s="102"/>
      <c r="CH88" s="61"/>
      <c r="CI88" s="102"/>
      <c r="CJ88" s="61"/>
      <c r="CK88" s="102"/>
      <c r="CL88" s="61"/>
      <c r="CM88" s="102"/>
      <c r="CN88" s="61"/>
      <c r="CO88" s="102"/>
      <c r="CP88" s="61"/>
      <c r="CQ88" s="102"/>
      <c r="CR88" s="61"/>
      <c r="CS88" s="102"/>
      <c r="CT88" s="61"/>
      <c r="CU88" s="102"/>
      <c r="CV88" s="61"/>
      <c r="CW88" s="102"/>
      <c r="CX88" s="61"/>
      <c r="CY88" s="102"/>
      <c r="CZ88" s="61"/>
      <c r="DA88" s="102"/>
      <c r="DB88" s="61"/>
      <c r="DC88" s="102"/>
      <c r="DD88" s="61"/>
      <c r="DE88" s="102"/>
      <c r="DF88" s="61"/>
      <c r="DG88" s="102"/>
      <c r="DH88" s="61"/>
      <c r="DI88" s="102"/>
      <c r="DJ88" s="61"/>
      <c r="DK88" s="102"/>
      <c r="DL88" s="61"/>
      <c r="DM88" s="102"/>
      <c r="DN88" s="61"/>
      <c r="DO88" s="102"/>
      <c r="DP88" s="61"/>
      <c r="DQ88" s="102"/>
      <c r="DR88" s="61"/>
      <c r="DS88" s="102"/>
      <c r="DT88" s="61"/>
      <c r="DU88" s="102"/>
      <c r="DV88" s="61"/>
      <c r="DW88" s="102"/>
      <c r="DX88" s="102"/>
      <c r="DY88" s="102"/>
      <c r="DZ88" s="61"/>
      <c r="EA88" s="102"/>
      <c r="EB88" s="61"/>
      <c r="EC88" s="102"/>
      <c r="ED88" s="61"/>
      <c r="EE88" s="102"/>
      <c r="EF88" s="61"/>
      <c r="EG88" s="102"/>
      <c r="EH88" s="61"/>
      <c r="EI88" s="102"/>
      <c r="EJ88" s="61"/>
      <c r="EK88" s="102"/>
      <c r="EL88" s="61"/>
      <c r="EM88" s="102"/>
      <c r="EN88" s="61"/>
      <c r="EO88" s="102"/>
      <c r="EP88" s="61"/>
      <c r="EQ88" s="102"/>
      <c r="ER88" s="61"/>
      <c r="ES88" s="102"/>
      <c r="ET88" s="61"/>
      <c r="EU88" s="102"/>
      <c r="EV88" s="61"/>
      <c r="EW88" s="102"/>
      <c r="EX88" s="61"/>
      <c r="EY88" s="100"/>
      <c r="EZ88" s="558"/>
      <c r="FA88" s="100"/>
      <c r="FB88" s="102"/>
      <c r="FC88" s="100"/>
      <c r="FD88" s="102"/>
      <c r="FE88" s="70"/>
      <c r="FF88" s="102"/>
      <c r="FG88" s="70"/>
      <c r="FH88" s="102"/>
      <c r="FI88" s="70"/>
      <c r="FJ88" s="102"/>
      <c r="FK88" s="70"/>
      <c r="FL88" s="102"/>
      <c r="FM88" s="61"/>
      <c r="FN88" s="102"/>
      <c r="FO88" s="61"/>
      <c r="FP88" s="104"/>
      <c r="FQ88" s="61"/>
      <c r="FR88" s="104"/>
      <c r="FS88" s="61"/>
      <c r="FT88" s="104"/>
      <c r="FU88" s="61"/>
      <c r="FV88" s="104"/>
      <c r="FW88" s="61"/>
      <c r="FX88" s="104"/>
      <c r="FY88" s="61"/>
      <c r="FZ88" s="104"/>
      <c r="GA88" s="61"/>
      <c r="GB88" s="104"/>
      <c r="GC88" s="61"/>
      <c r="GD88" s="104"/>
      <c r="GE88" s="61"/>
      <c r="GF88" s="104"/>
      <c r="GG88" s="61"/>
      <c r="GH88" s="104"/>
      <c r="GI88" s="61"/>
      <c r="GJ88" s="104"/>
      <c r="GK88" s="61"/>
      <c r="GL88" s="104"/>
      <c r="GM88" s="61"/>
      <c r="GN88" s="104"/>
      <c r="GO88" s="61"/>
      <c r="GP88" s="104"/>
      <c r="GQ88" s="61"/>
      <c r="GR88" s="102"/>
      <c r="GS88" s="61"/>
      <c r="GT88" s="102"/>
      <c r="GU88" s="61"/>
      <c r="GV88" s="102"/>
      <c r="GW88" s="61"/>
      <c r="GX88" s="102"/>
      <c r="GY88" s="61"/>
      <c r="GZ88" s="61" t="str">
        <f t="shared" si="535"/>
        <v/>
      </c>
      <c r="HA88" s="61"/>
      <c r="HB88" s="452"/>
      <c r="HC88"/>
      <c r="HD88"/>
      <c r="HE88"/>
      <c r="HF88"/>
      <c r="HG88"/>
      <c r="HH88"/>
    </row>
    <row r="89" spans="1:216" s="7" customFormat="1" ht="12.75" customHeight="1" x14ac:dyDescent="0.2">
      <c r="B89" s="63" t="s">
        <v>635</v>
      </c>
      <c r="C89" s="69"/>
      <c r="D89" s="70"/>
      <c r="E89" s="69"/>
      <c r="F89" s="71"/>
      <c r="G89" s="69"/>
      <c r="H89" s="71"/>
      <c r="I89" s="69"/>
      <c r="J89" s="61"/>
      <c r="K89" s="69"/>
      <c r="L89" s="61"/>
      <c r="M89" s="69"/>
      <c r="N89" s="61"/>
      <c r="O89" s="69"/>
      <c r="P89" s="61"/>
      <c r="Q89" s="69"/>
      <c r="R89" s="61"/>
      <c r="S89" s="69"/>
      <c r="T89" s="61"/>
      <c r="U89" s="69"/>
      <c r="V89" s="61"/>
      <c r="W89" s="69"/>
      <c r="X89" s="61"/>
      <c r="Y89" s="69"/>
      <c r="Z89" s="61"/>
      <c r="AA89" s="69"/>
      <c r="AB89" s="61"/>
      <c r="AC89" s="69"/>
      <c r="AD89" s="61"/>
      <c r="AE89" s="69"/>
      <c r="AF89" s="61"/>
      <c r="AG89" s="69"/>
      <c r="AH89" s="61"/>
      <c r="AI89" s="69"/>
      <c r="AJ89" s="61"/>
      <c r="AK89" s="69"/>
      <c r="AL89" s="61"/>
      <c r="AM89" s="69"/>
      <c r="AN89" s="61"/>
      <c r="AO89" s="69"/>
      <c r="AP89" s="61"/>
      <c r="AQ89" s="69"/>
      <c r="AR89" s="61"/>
      <c r="AS89" s="69"/>
      <c r="AT89" s="61"/>
      <c r="AU89" s="69"/>
      <c r="AV89" s="61"/>
      <c r="AW89" s="69"/>
      <c r="AX89" s="61"/>
      <c r="AY89" s="69"/>
      <c r="AZ89" s="61"/>
      <c r="BA89" s="69"/>
      <c r="BB89" s="61"/>
      <c r="BC89" s="69"/>
      <c r="BD89" s="61"/>
      <c r="BE89" s="69"/>
      <c r="BF89" s="61"/>
      <c r="BG89" s="69"/>
      <c r="BH89" s="61"/>
      <c r="BI89" s="69"/>
      <c r="BJ89" s="61"/>
      <c r="BK89" s="69"/>
      <c r="BL89" s="61"/>
      <c r="BM89" s="69"/>
      <c r="BN89" s="61"/>
      <c r="BO89" s="69"/>
      <c r="BP89" s="61"/>
      <c r="BQ89" s="69"/>
      <c r="BR89" s="61"/>
      <c r="BS89" s="69"/>
      <c r="BT89" s="61"/>
      <c r="BU89" s="69"/>
      <c r="BV89" s="61"/>
      <c r="BW89" s="69"/>
      <c r="BX89" s="61"/>
      <c r="BY89" s="69"/>
      <c r="BZ89" s="61"/>
      <c r="CA89" s="69"/>
      <c r="CB89" s="61"/>
      <c r="CC89" s="69"/>
      <c r="CD89" s="61"/>
      <c r="CE89" s="69"/>
      <c r="CF89" s="61"/>
      <c r="CG89" s="69"/>
      <c r="CH89" s="61"/>
      <c r="CI89" s="69"/>
      <c r="CJ89" s="61"/>
      <c r="CK89" s="69"/>
      <c r="CL89" s="61"/>
      <c r="CM89" s="69"/>
      <c r="CN89" s="61"/>
      <c r="CO89" s="69"/>
      <c r="CP89" s="61"/>
      <c r="CQ89" s="69"/>
      <c r="CR89" s="61"/>
      <c r="CS89" s="69"/>
      <c r="CT89" s="61"/>
      <c r="CU89" s="69"/>
      <c r="CV89" s="61"/>
      <c r="CW89" s="69"/>
      <c r="CX89" s="61"/>
      <c r="CY89" s="69"/>
      <c r="CZ89" s="61"/>
      <c r="DA89" s="69"/>
      <c r="DB89" s="61"/>
      <c r="DC89" s="69"/>
      <c r="DD89" s="61"/>
      <c r="DE89" s="69"/>
      <c r="DF89" s="61"/>
      <c r="DG89" s="69"/>
      <c r="DH89" s="61"/>
      <c r="DI89" s="69"/>
      <c r="DJ89" s="61"/>
      <c r="DK89" s="69"/>
      <c r="DL89" s="61"/>
      <c r="DM89" s="69"/>
      <c r="DN89" s="61"/>
      <c r="DO89" s="69"/>
      <c r="DP89" s="61"/>
      <c r="DQ89" s="69"/>
      <c r="DR89" s="61"/>
      <c r="DS89" s="69"/>
      <c r="DT89" s="61"/>
      <c r="DU89" s="69"/>
      <c r="DV89" s="61"/>
      <c r="DW89" s="69"/>
      <c r="DX89" s="69"/>
      <c r="DY89" s="69"/>
      <c r="DZ89" s="61"/>
      <c r="EA89" s="69"/>
      <c r="EB89" s="61"/>
      <c r="EC89" s="69"/>
      <c r="ED89" s="61"/>
      <c r="EE89" s="69"/>
      <c r="EF89" s="61"/>
      <c r="EG89" s="69"/>
      <c r="EH89" s="61"/>
      <c r="EI89" s="69"/>
      <c r="EJ89" s="61"/>
      <c r="EK89" s="69"/>
      <c r="EL89" s="61"/>
      <c r="EM89" s="69"/>
      <c r="EN89" s="61"/>
      <c r="EO89" s="69"/>
      <c r="EP89" s="61"/>
      <c r="EQ89" s="69"/>
      <c r="ER89" s="61"/>
      <c r="ES89" s="69"/>
      <c r="ET89" s="61"/>
      <c r="EU89" s="69"/>
      <c r="EV89" s="61"/>
      <c r="EW89" s="69"/>
      <c r="EX89" s="61"/>
      <c r="EY89" s="64"/>
      <c r="EZ89" s="558"/>
      <c r="FA89" s="64"/>
      <c r="FB89" s="69"/>
      <c r="FC89" s="71"/>
      <c r="FD89" s="69"/>
      <c r="FE89" s="70"/>
      <c r="FF89" s="69"/>
      <c r="FG89" s="70"/>
      <c r="FH89" s="69"/>
      <c r="FI89" s="70"/>
      <c r="FJ89" s="69"/>
      <c r="FK89" s="70"/>
      <c r="FL89" s="69"/>
      <c r="FM89" s="61"/>
      <c r="FN89" s="69"/>
      <c r="FO89" s="61"/>
      <c r="FP89" s="73"/>
      <c r="FQ89" s="61"/>
      <c r="FR89" s="73"/>
      <c r="FS89" s="61"/>
      <c r="FT89" s="73"/>
      <c r="FU89" s="61"/>
      <c r="FV89" s="73"/>
      <c r="FW89" s="61"/>
      <c r="FX89" s="73"/>
      <c r="FY89" s="61"/>
      <c r="FZ89" s="73"/>
      <c r="GA89" s="61"/>
      <c r="GB89" s="73"/>
      <c r="GC89" s="61"/>
      <c r="GD89" s="73"/>
      <c r="GE89" s="61"/>
      <c r="GF89" s="73"/>
      <c r="GG89" s="61"/>
      <c r="GH89" s="73"/>
      <c r="GI89" s="61"/>
      <c r="GJ89" s="73"/>
      <c r="GK89" s="61"/>
      <c r="GL89" s="73"/>
      <c r="GM89" s="61"/>
      <c r="GN89" s="73"/>
      <c r="GO89" s="61"/>
      <c r="GP89" s="73"/>
      <c r="GQ89" s="61"/>
      <c r="GR89" s="69"/>
      <c r="GS89" s="61"/>
      <c r="GT89" s="69"/>
      <c r="GU89" s="61"/>
      <c r="GV89" s="69"/>
      <c r="GW89" s="61"/>
      <c r="GX89" s="69"/>
      <c r="GY89" s="61"/>
      <c r="GZ89" s="61" t="str">
        <f t="shared" si="535"/>
        <v/>
      </c>
      <c r="HA89" s="61"/>
      <c r="HB89" s="452"/>
      <c r="HC89"/>
      <c r="HD89"/>
      <c r="HE89"/>
      <c r="HF89"/>
      <c r="HG89"/>
      <c r="HH89"/>
    </row>
    <row r="90" spans="1:216" s="7" customFormat="1" ht="12.75" customHeight="1" x14ac:dyDescent="0.2">
      <c r="B90" s="2" t="s">
        <v>243</v>
      </c>
      <c r="C90" s="82"/>
      <c r="D90" s="107"/>
      <c r="E90" s="82"/>
      <c r="F90" s="64"/>
      <c r="G90" s="82"/>
      <c r="H90" s="64"/>
      <c r="I90" s="82"/>
      <c r="J90" s="64"/>
      <c r="K90" s="82"/>
      <c r="L90" s="61"/>
      <c r="M90" s="82"/>
      <c r="N90" s="61"/>
      <c r="O90" s="82"/>
      <c r="P90" s="61"/>
      <c r="Q90" s="82"/>
      <c r="R90" s="61"/>
      <c r="S90" s="82"/>
      <c r="T90" s="61"/>
      <c r="U90" s="82"/>
      <c r="V90" s="61"/>
      <c r="W90" s="82"/>
      <c r="X90" s="61"/>
      <c r="Y90" s="82"/>
      <c r="Z90" s="61"/>
      <c r="AA90" s="82"/>
      <c r="AB90" s="61"/>
      <c r="AC90" s="82"/>
      <c r="AD90" s="61"/>
      <c r="AE90" s="82"/>
      <c r="AF90" s="61"/>
      <c r="AG90" s="82"/>
      <c r="AH90" s="61"/>
      <c r="AI90" s="82"/>
      <c r="AJ90" s="61"/>
      <c r="AK90" s="82"/>
      <c r="AL90" s="61"/>
      <c r="AM90" s="82"/>
      <c r="AN90" s="61"/>
      <c r="AO90" s="82"/>
      <c r="AP90" s="61"/>
      <c r="AQ90" s="82"/>
      <c r="AR90" s="61"/>
      <c r="AS90" s="82"/>
      <c r="AT90" s="61"/>
      <c r="AU90" s="82"/>
      <c r="AV90" s="61"/>
      <c r="AW90" s="82"/>
      <c r="AX90" s="61"/>
      <c r="AY90" s="82"/>
      <c r="AZ90" s="61"/>
      <c r="BA90" s="82"/>
      <c r="BB90" s="61"/>
      <c r="BC90" s="82"/>
      <c r="BD90" s="61"/>
      <c r="BE90" s="82"/>
      <c r="BF90" s="61"/>
      <c r="BG90" s="82">
        <f>BG82/BG74*400</f>
        <v>7.5766544335266958E-2</v>
      </c>
      <c r="BH90" s="61"/>
      <c r="BI90" s="82">
        <f>BI82/BI74*400</f>
        <v>9.3866847614806653E-2</v>
      </c>
      <c r="BJ90" s="61"/>
      <c r="BK90" s="82">
        <f>BK82/BK74*400</f>
        <v>0.22850093197269791</v>
      </c>
      <c r="BL90" s="61"/>
      <c r="BM90" s="82">
        <f>BM82/BM74*400</f>
        <v>0.24382090960929667</v>
      </c>
      <c r="BN90" s="61"/>
      <c r="BO90" s="82">
        <f>BO82/BO74*400</f>
        <v>0.16951539250725872</v>
      </c>
      <c r="BP90" s="61"/>
      <c r="BQ90" s="82">
        <f>BQ82/BQ74*400</f>
        <v>0.10388119272011537</v>
      </c>
      <c r="BR90" s="61"/>
      <c r="BS90" s="82">
        <f>BS82/BS74*400</f>
        <v>0.29492304970811956</v>
      </c>
      <c r="BT90" s="61"/>
      <c r="BU90" s="82">
        <f>BU82/BU74*400</f>
        <v>0.21354286302682754</v>
      </c>
      <c r="BV90" s="61"/>
      <c r="BW90" s="82">
        <f>BW82/BW74*400</f>
        <v>0.18732610987263898</v>
      </c>
      <c r="BX90" s="61"/>
      <c r="BY90" s="82">
        <f>BY82/BY74*400</f>
        <v>0.21439232145654846</v>
      </c>
      <c r="BZ90" s="61"/>
      <c r="CA90" s="82">
        <f>CA82/CA74*400</f>
        <v>0.10153029035902403</v>
      </c>
      <c r="CB90" s="61"/>
      <c r="CC90" s="82">
        <f>CC82/CC74*400</f>
        <v>6.4541060181826815E-2</v>
      </c>
      <c r="CD90" s="61"/>
      <c r="CE90" s="82">
        <f>CE82/CE74*400</f>
        <v>5.1708941337772991E-2</v>
      </c>
      <c r="CF90" s="61"/>
      <c r="CG90" s="82">
        <f>CG82/CG74*400</f>
        <v>5.1519632002628553E-2</v>
      </c>
      <c r="CH90" s="61"/>
      <c r="CI90" s="82">
        <f>CI82/CI74*400</f>
        <v>8.0758720462948075E-2</v>
      </c>
      <c r="CJ90" s="61"/>
      <c r="CK90" s="82">
        <f>CK82/CK74*400</f>
        <v>8.4302795523808954E-2</v>
      </c>
      <c r="CL90" s="61"/>
      <c r="CM90" s="82">
        <f>CM82/CM74*400</f>
        <v>0.10587588229901915</v>
      </c>
      <c r="CN90" s="61"/>
      <c r="CO90" s="82">
        <f>CO82/CO74*400</f>
        <v>9.7698155275084159E-2</v>
      </c>
      <c r="CP90" s="61"/>
      <c r="CQ90" s="82">
        <f>CQ82/CQ74*400</f>
        <v>6.7936995416579424E-2</v>
      </c>
      <c r="CR90" s="61"/>
      <c r="CS90" s="82">
        <f>CS82/CS74*400</f>
        <v>6.6435329359077019E-2</v>
      </c>
      <c r="CT90" s="61"/>
      <c r="CU90" s="82">
        <f>CU82/CU74*400</f>
        <v>7.5982747446756205E-2</v>
      </c>
      <c r="CV90" s="61"/>
      <c r="CW90" s="82">
        <f>CW82/CW74*400</f>
        <v>7.8345602036985651E-2</v>
      </c>
      <c r="CX90" s="61"/>
      <c r="CY90" s="82">
        <f>CY82/CY74*400</f>
        <v>0.12453567517660448</v>
      </c>
      <c r="CZ90" s="61"/>
      <c r="DA90" s="82">
        <f>DA82/DA74*400</f>
        <v>0.14138169418931634</v>
      </c>
      <c r="DB90" s="61"/>
      <c r="DC90" s="82">
        <f>DC82/DC74*400</f>
        <v>0.13228441148469208</v>
      </c>
      <c r="DD90" s="61"/>
      <c r="DE90" s="82">
        <f>DE82/DE74*400</f>
        <v>9.315188123135143E-2</v>
      </c>
      <c r="DF90" s="61"/>
      <c r="DG90" s="82">
        <f>DG82/DG74*400</f>
        <v>0.11248224889509623</v>
      </c>
      <c r="DH90" s="61"/>
      <c r="DI90" s="82">
        <f>DI82/DI74*400</f>
        <v>9.9410636938152386E-2</v>
      </c>
      <c r="DJ90" s="61"/>
      <c r="DK90" s="82">
        <f>DK82/DK74*400</f>
        <v>0.15425618524453891</v>
      </c>
      <c r="DL90" s="61"/>
      <c r="DM90" s="82">
        <f>DM82/DM74*400</f>
        <v>0.14032391436900177</v>
      </c>
      <c r="DN90" s="130">
        <f t="shared" ref="DN90:DZ93" si="594">IF(ISERROR((DM90/DE90-1)*100),"NA",IF(((DM90/DE90-1)*100)&gt;100,"NM",IF(((DM90/DE90-1)*100)&lt;-50,"NM",(DM90/DE90-1)*100)))</f>
        <v>50.639914636285411</v>
      </c>
      <c r="DO90" s="82">
        <f>DO82/DO74*400</f>
        <v>0.12844686334406469</v>
      </c>
      <c r="DP90" s="130">
        <f t="shared" si="594"/>
        <v>14.193007879721065</v>
      </c>
      <c r="DQ90" s="82">
        <f>DQ82/DQ74*400</f>
        <v>0.15427666401332688</v>
      </c>
      <c r="DR90" s="130">
        <f t="shared" si="594"/>
        <v>55.191304235691582</v>
      </c>
      <c r="DS90" s="82">
        <f>DS82/DS74*400</f>
        <v>0.2551844434394987</v>
      </c>
      <c r="DT90" s="130">
        <f t="shared" si="594"/>
        <v>65.42898622506479</v>
      </c>
      <c r="DU90" s="82">
        <f>DU82/DU74*400</f>
        <v>0.17591063739620272</v>
      </c>
      <c r="DV90" s="130">
        <f t="shared" si="594"/>
        <v>25.36041214872369</v>
      </c>
      <c r="DW90" s="82">
        <f>DW82/DW74*400</f>
        <v>0.42217222335856003</v>
      </c>
      <c r="DX90" s="82">
        <f t="shared" ref="DX90:DY90" si="595">DX82/DX74*400</f>
        <v>-17.373615169178365</v>
      </c>
      <c r="DY90" s="82">
        <f t="shared" si="595"/>
        <v>0.51018506631991756</v>
      </c>
      <c r="DZ90" s="805" t="str">
        <f t="shared" si="594"/>
        <v>NM</v>
      </c>
      <c r="EA90" s="82">
        <f t="shared" ref="EA90:EC90" si="596">EA82/EA74*400</f>
        <v>0.49390994320853387</v>
      </c>
      <c r="EB90" s="130">
        <f t="shared" ref="EB90:EB93" si="597">IF(ISERROR((EA90/DS90-1)*100),"NA",IF(((EA90/DS90-1)*100)&gt;100,"NM",IF(((EA90/DS90-1)*100)&lt;-50,"NM",(EA90/DS90-1)*100)))</f>
        <v>93.550177491769503</v>
      </c>
      <c r="EC90" s="82">
        <f t="shared" si="596"/>
        <v>0.22130914120662301</v>
      </c>
      <c r="ED90" s="130">
        <f t="shared" ref="ED90:ED93" si="598">IF(ISERROR((EC90/DU90-1)*100),"NA",IF(((EC90/DU90-1)*100)&gt;100,"NM",IF(((EC90/DU90-1)*100)&lt;-50,"NM",(EC90/DU90-1)*100)))</f>
        <v>25.807708096793181</v>
      </c>
      <c r="EE90" s="82">
        <f t="shared" ref="EE90:EG90" si="599">EE82/EE74*400</f>
        <v>0.14425041872690991</v>
      </c>
      <c r="EF90" s="130" t="str">
        <f t="shared" ref="EF90:EF93" si="600">IF(ISERROR((EE90/DW90-1)*100),"NA",IF(((EE90/DW90-1)*100)&gt;100,"NM",IF(((EE90/DW90-1)*100)&lt;-50,"NM",(EE90/DW90-1)*100)))</f>
        <v>NM</v>
      </c>
      <c r="EG90" s="82">
        <f t="shared" si="599"/>
        <v>0.21303995294042832</v>
      </c>
      <c r="EH90" s="130" t="str">
        <f t="shared" ref="EH90:EH93" si="601">IF(ISERROR((EG90/DY90-1)*100),"NA",IF(((EG90/DY90-1)*100)&gt;100,"NM",IF(((EG90/DY90-1)*100)&lt;-50,"NM",(EG90/DY90-1)*100)))</f>
        <v>NM</v>
      </c>
      <c r="EI90" s="82">
        <f t="shared" ref="EI90:EK90" si="602">EI82/EI74*400</f>
        <v>0.38903333843155247</v>
      </c>
      <c r="EJ90" s="130">
        <f t="shared" ref="EJ90:EJ93" si="603">IF(ISERROR((EI90/EA90-1)*100),"NA",IF(((EI90/EA90-1)*100)&gt;100,"NM",IF(((EI90/EA90-1)*100)&lt;-50,"NM",(EI90/EA90-1)*100)))</f>
        <v>-21.233952913699781</v>
      </c>
      <c r="EK90" s="82">
        <f t="shared" si="602"/>
        <v>0.32478848532898241</v>
      </c>
      <c r="EL90" s="130">
        <f t="shared" ref="EL90:EL93" si="604">IF(ISERROR((EK90/EC90-1)*100),"NA",IF(((EK90/EC90-1)*100)&gt;100,"NM",IF(((EK90/EC90-1)*100)&lt;-50,"NM",(EK90/EC90-1)*100)))</f>
        <v>46.757826431465375</v>
      </c>
      <c r="EM90" s="82">
        <f t="shared" ref="EM90" si="605">EM82/EM74*400</f>
        <v>0.24673248707099199</v>
      </c>
      <c r="EN90" s="130">
        <f t="shared" ref="EN90:EN93" si="606">IF(ISERROR((EM90/EE90-1)*100),"NA",IF(((EM90/EE90-1)*100)&gt;100,"NM",IF(((EM90/EE90-1)*100)&lt;-50,"NM",(EM90/EE90-1)*100)))</f>
        <v>71.044555189886637</v>
      </c>
      <c r="EO90" s="82">
        <f t="shared" ref="EO90" si="607">EO82/EO74*400</f>
        <v>0.47635150036020407</v>
      </c>
      <c r="EP90" s="130" t="str">
        <f t="shared" ref="EP90:EP93" si="608">IF(ISERROR((EO90/EG90-1)*100),"NA",IF(((EO90/EG90-1)*100)&gt;100,"NM",IF(((EO90/EG90-1)*100)&lt;-50,"NM",(EO90/EG90-1)*100)))</f>
        <v>NM</v>
      </c>
      <c r="EQ90" s="108">
        <v>0.27</v>
      </c>
      <c r="ER90" s="130">
        <f t="shared" ref="ER90:ER93" si="609">IF(ISERROR((EQ90/EI90-1)*100),"NA",IF(((EQ90/EI90-1)*100)&gt;100,"NM",IF(((EQ90/EI90-1)*100)&lt;-50,"NM",(EQ90/EI90-1)*100)))</f>
        <v>-30.597207661290316</v>
      </c>
      <c r="ES90" s="108">
        <f t="shared" ref="ES90:ES93" si="610">EQ90</f>
        <v>0.27</v>
      </c>
      <c r="ET90" s="130">
        <f t="shared" ref="ET90:ET93" si="611">IF(ISERROR((ES90/EK90-1)*100),"NA",IF(((ES90/EK90-1)*100)&gt;100,"NM",IF(((ES90/EK90-1)*100)&lt;-50,"NM",(ES90/EK90-1)*100)))</f>
        <v>-16.868974056603768</v>
      </c>
      <c r="EU90" s="108">
        <f>ES90+0.01</f>
        <v>0.28000000000000003</v>
      </c>
      <c r="EV90" s="130">
        <f t="shared" ref="EV90:EV93" si="612">IF(ISERROR((EU90/EM90-1)*100),"NA",IF(((EU90/EM90-1)*100)&gt;100,"NM",IF(((EU90/EM90-1)*100)&lt;-50,"NM",(EU90/EM90-1)*100)))</f>
        <v>13.483231707317088</v>
      </c>
      <c r="EW90" s="108">
        <f>EU90+0.01</f>
        <v>0.29000000000000004</v>
      </c>
      <c r="EX90" s="130">
        <f t="shared" ref="EX90:EX93" si="613">IF(ISERROR((EW90/EO90-1)*100),"NA",IF(((EW90/EO90-1)*100)&gt;100,"NM",IF(((EW90/EO90-1)*100)&lt;-50,"NM",(EW90/EO90-1)*100)))</f>
        <v>-39.120586419753081</v>
      </c>
      <c r="EY90" s="64"/>
      <c r="EZ90" s="558"/>
      <c r="FA90" s="64"/>
      <c r="FB90" s="82"/>
      <c r="FC90" s="64"/>
      <c r="FD90" s="82"/>
      <c r="FE90" s="70"/>
      <c r="FF90" s="82"/>
      <c r="FG90" s="70"/>
      <c r="FH90" s="82"/>
      <c r="FI90" s="70"/>
      <c r="FJ90" s="82"/>
      <c r="FK90" s="70"/>
      <c r="FL90" s="82"/>
      <c r="FM90" s="61"/>
      <c r="FN90" s="82"/>
      <c r="FO90" s="61"/>
      <c r="FP90" s="109"/>
      <c r="FQ90" s="61"/>
      <c r="FR90" s="109"/>
      <c r="FS90" s="61"/>
      <c r="FT90" s="109"/>
      <c r="FU90" s="61"/>
      <c r="FV90" s="109"/>
      <c r="FW90" s="61"/>
      <c r="FX90" s="109"/>
      <c r="FY90" s="61"/>
      <c r="FZ90" s="109"/>
      <c r="GA90" s="61"/>
      <c r="GB90" s="109"/>
      <c r="GC90" s="61"/>
      <c r="GD90" s="82">
        <f>GD82/GD74*100</f>
        <v>0.1066492545434759</v>
      </c>
      <c r="GE90" s="61"/>
      <c r="GF90" s="82">
        <f>GF82/GF74*100</f>
        <v>0.10788296105894161</v>
      </c>
      <c r="GG90" s="61">
        <f t="shared" ref="GG90:GW93" si="614">IF(ISERROR((GF90/GD90-1)*100),"NA",IF(((GF90/GD90-1)*100)&gt;100,"NM",IF(((GF90/GD90-1)*100)&lt;-50,"NM",(GF90/GD90-1)*100)))</f>
        <v>1.1567886908790292</v>
      </c>
      <c r="GH90" s="82">
        <f>GH82/GH74*100</f>
        <v>0.14502229822620125</v>
      </c>
      <c r="GI90" s="61">
        <f t="shared" si="614"/>
        <v>34.425581947985862</v>
      </c>
      <c r="GJ90" s="82">
        <f>GJ82/GJ74*100</f>
        <v>0.34046096945648713</v>
      </c>
      <c r="GK90" s="61" t="str">
        <f t="shared" si="614"/>
        <v>NM</v>
      </c>
      <c r="GL90" s="82">
        <f>GL82/GL74*100</f>
        <v>0.26724043969529748</v>
      </c>
      <c r="GM90" s="61">
        <f t="shared" si="614"/>
        <v>-21.506291860144533</v>
      </c>
      <c r="GN90" s="82">
        <f>GN82/GN74*100</f>
        <v>0.36008249991453739</v>
      </c>
      <c r="GO90" s="61">
        <f t="shared" si="614"/>
        <v>34.741022101706108</v>
      </c>
      <c r="GP90" s="82">
        <f>GP82/GP74*100</f>
        <v>0.27526572161464263</v>
      </c>
      <c r="GQ90" s="61">
        <f t="shared" si="614"/>
        <v>-23.554818220831429</v>
      </c>
      <c r="GR90" s="108">
        <f>GP90+0.01</f>
        <v>0.28526572161464264</v>
      </c>
      <c r="GS90" s="61">
        <f t="shared" si="614"/>
        <v>3.6328533539673691</v>
      </c>
      <c r="GT90" s="108">
        <f>GR90</f>
        <v>0.28526572161464264</v>
      </c>
      <c r="GU90" s="61">
        <f t="shared" si="614"/>
        <v>0</v>
      </c>
      <c r="GV90" s="108">
        <f>GT90</f>
        <v>0.28526572161464264</v>
      </c>
      <c r="GW90" s="61">
        <f t="shared" si="614"/>
        <v>0</v>
      </c>
      <c r="GX90" s="108">
        <f>GV90</f>
        <v>0.28526572161464264</v>
      </c>
      <c r="GY90" s="61">
        <f t="shared" ref="GY90:GY93" si="615">IF(ISERROR((GX90/GV90-1)*100),"NA",IF(((GX90/GV90-1)*100)&gt;100,"NM",IF(((GX90/GV90-1)*100)&lt;-50,"NM",(GX90/GV90-1)*100)))</f>
        <v>0</v>
      </c>
      <c r="GZ90" s="61">
        <f t="shared" si="535"/>
        <v>-4.5514105517060592</v>
      </c>
      <c r="HA90" s="61"/>
      <c r="HB90" s="452"/>
      <c r="HC90"/>
      <c r="HD90"/>
      <c r="HE90"/>
      <c r="HF90"/>
      <c r="HG90"/>
      <c r="HH90"/>
    </row>
    <row r="91" spans="1:216" s="5" customFormat="1" ht="12.75" customHeight="1" x14ac:dyDescent="0.2">
      <c r="B91" s="2" t="s">
        <v>244</v>
      </c>
      <c r="C91" s="66"/>
      <c r="D91" s="67"/>
      <c r="E91" s="66"/>
      <c r="F91" s="66"/>
      <c r="G91" s="64"/>
      <c r="H91" s="66"/>
      <c r="I91" s="64"/>
      <c r="J91" s="66"/>
      <c r="K91" s="64"/>
      <c r="L91" s="61"/>
      <c r="M91" s="66"/>
      <c r="N91" s="61"/>
      <c r="O91" s="64"/>
      <c r="P91" s="61"/>
      <c r="Q91" s="64"/>
      <c r="R91" s="61"/>
      <c r="S91" s="64"/>
      <c r="T91" s="61"/>
      <c r="U91" s="64"/>
      <c r="V91" s="61"/>
      <c r="W91" s="64"/>
      <c r="X91" s="61"/>
      <c r="Y91" s="64"/>
      <c r="Z91" s="61"/>
      <c r="AA91" s="118"/>
      <c r="AB91" s="61"/>
      <c r="AC91" s="118"/>
      <c r="AD91" s="61"/>
      <c r="AE91" s="118"/>
      <c r="AF91" s="61"/>
      <c r="AG91" s="118"/>
      <c r="AH91" s="61"/>
      <c r="AI91" s="118"/>
      <c r="AJ91" s="61"/>
      <c r="AK91" s="118"/>
      <c r="AL91" s="61"/>
      <c r="AM91" s="118"/>
      <c r="AN91" s="61"/>
      <c r="AO91" s="118"/>
      <c r="AP91" s="61"/>
      <c r="AQ91" s="118"/>
      <c r="AR91" s="61"/>
      <c r="AS91" s="118"/>
      <c r="AT91" s="61"/>
      <c r="AU91" s="118"/>
      <c r="AV91" s="61"/>
      <c r="AW91" s="118"/>
      <c r="AX91" s="61"/>
      <c r="AY91" s="118"/>
      <c r="AZ91" s="61"/>
      <c r="BA91" s="118"/>
      <c r="BB91" s="61"/>
      <c r="BC91" s="118"/>
      <c r="BD91" s="61"/>
      <c r="BE91" s="118"/>
      <c r="BF91" s="61"/>
      <c r="BG91" s="82">
        <f>BG83/BG74*400</f>
        <v>1.84858529655499</v>
      </c>
      <c r="BH91" s="61"/>
      <c r="BI91" s="82">
        <f>BI83/BI74*400</f>
        <v>1.9327523201651153</v>
      </c>
      <c r="BJ91" s="61"/>
      <c r="BK91" s="82">
        <f>BK83/BK74*400</f>
        <v>1.9041744331058159</v>
      </c>
      <c r="BL91" s="61"/>
      <c r="BM91" s="82">
        <f>BM83/BM74*400</f>
        <v>1.9610541977177833</v>
      </c>
      <c r="BN91" s="61"/>
      <c r="BO91" s="82">
        <f>BO83/BO74*400</f>
        <v>1.8410659084965566</v>
      </c>
      <c r="BP91" s="61"/>
      <c r="BQ91" s="82">
        <f>BQ83/BQ74*400</f>
        <v>1.9376576157899414</v>
      </c>
      <c r="BR91" s="61"/>
      <c r="BS91" s="82">
        <f>BS83/BS74*400</f>
        <v>2.1510702281974172</v>
      </c>
      <c r="BT91" s="61"/>
      <c r="BU91" s="82">
        <f>BU83/BU74*400</f>
        <v>1.8889355331838948</v>
      </c>
      <c r="BV91" s="61"/>
      <c r="BW91" s="82">
        <f>BW83/BW74*400</f>
        <v>1.7571327354105104</v>
      </c>
      <c r="BX91" s="61"/>
      <c r="BY91" s="82">
        <f>BY83/BY74*400</f>
        <v>1.821345229358555</v>
      </c>
      <c r="BZ91" s="61"/>
      <c r="CA91" s="82">
        <f>CA83/CA74*400</f>
        <v>1.8158076206405804</v>
      </c>
      <c r="CB91" s="61"/>
      <c r="CC91" s="82">
        <f>CC83/CC74*400</f>
        <v>1.8212510931981045</v>
      </c>
      <c r="CD91" s="61"/>
      <c r="CE91" s="82">
        <f>CE83/CE74*400</f>
        <v>1.8239153853687198</v>
      </c>
      <c r="CF91" s="61"/>
      <c r="CG91" s="82">
        <f>CG83/CG74*400</f>
        <v>1.9099063578117303</v>
      </c>
      <c r="CH91" s="61"/>
      <c r="CI91" s="82">
        <f>CI83/CI74*400</f>
        <v>1.8656807587204627</v>
      </c>
      <c r="CJ91" s="61"/>
      <c r="CK91" s="82">
        <f>CK83/CK74*400</f>
        <v>1.9504601328008524</v>
      </c>
      <c r="CL91" s="61"/>
      <c r="CM91" s="82">
        <f>CM83/CM74*400</f>
        <v>1.9341827848565405</v>
      </c>
      <c r="CN91" s="61"/>
      <c r="CO91" s="82">
        <f>CO83/CO74*400</f>
        <v>1.950826008772667</v>
      </c>
      <c r="CP91" s="61"/>
      <c r="CQ91" s="82">
        <f>CQ83/CQ74*400</f>
        <v>1.9799446266955165</v>
      </c>
      <c r="CR91" s="61"/>
      <c r="CS91" s="82">
        <f>CS83/CS74*400</f>
        <v>1.9361153127502444</v>
      </c>
      <c r="CT91" s="61"/>
      <c r="CU91" s="82">
        <f>CU83/CU74*400</f>
        <v>1.9755514336156614</v>
      </c>
      <c r="CV91" s="61"/>
      <c r="CW91" s="82">
        <f>CW83/CW74*400</f>
        <v>1.9020571161201518</v>
      </c>
      <c r="CX91" s="61"/>
      <c r="CY91" s="82">
        <f>CY83/CY74*400</f>
        <v>1.9238614647972001</v>
      </c>
      <c r="CZ91" s="61"/>
      <c r="DA91" s="82">
        <f>DA83/DA74*400</f>
        <v>1.9502357227879223</v>
      </c>
      <c r="DB91" s="61"/>
      <c r="DC91" s="82">
        <f>DC83/DC74*400</f>
        <v>1.9521972240316683</v>
      </c>
      <c r="DD91" s="61"/>
      <c r="DE91" s="82">
        <f>DE83/DE74*400</f>
        <v>2.0182907600126141</v>
      </c>
      <c r="DF91" s="61"/>
      <c r="DG91" s="82">
        <f>DG83/DG74*400</f>
        <v>2.0921698294487903</v>
      </c>
      <c r="DH91" s="61"/>
      <c r="DI91" s="82">
        <f>DI83/DI74*400</f>
        <v>2.1231271746076832</v>
      </c>
      <c r="DJ91" s="61"/>
      <c r="DK91" s="82">
        <f>DK83/DK74*400</f>
        <v>2.0738887127321344</v>
      </c>
      <c r="DL91" s="61"/>
      <c r="DM91" s="82">
        <f>DM83/DM74*400</f>
        <v>2.0914945332141692</v>
      </c>
      <c r="DN91" s="130">
        <f t="shared" si="594"/>
        <v>3.6270182003458107</v>
      </c>
      <c r="DO91" s="82">
        <f>DO83/DO74*400</f>
        <v>2.1341940371013823</v>
      </c>
      <c r="DP91" s="130">
        <f t="shared" si="594"/>
        <v>2.0086422746887544</v>
      </c>
      <c r="DQ91" s="82">
        <f>DQ83/DQ74*400</f>
        <v>2.1631557783996258</v>
      </c>
      <c r="DR91" s="130">
        <f t="shared" si="594"/>
        <v>1.885360626093413</v>
      </c>
      <c r="DS91" s="82">
        <f>DS83/DS74*400</f>
        <v>2.1416112151947799</v>
      </c>
      <c r="DT91" s="130">
        <f t="shared" si="594"/>
        <v>3.265483921431267</v>
      </c>
      <c r="DU91" s="82">
        <f>DU83/DU74*400</f>
        <v>2.2036805302906122</v>
      </c>
      <c r="DV91" s="130">
        <f t="shared" si="594"/>
        <v>5.3639153865746803</v>
      </c>
      <c r="DW91" s="82">
        <f>DW83/DW74*400</f>
        <v>2.2057680507261197</v>
      </c>
      <c r="DX91" s="82">
        <f t="shared" ref="DX91:DY91" si="616">DX83/DX74*400</f>
        <v>-90.773772279273018</v>
      </c>
      <c r="DY91" s="82">
        <f t="shared" si="616"/>
        <v>2.2295749976188604</v>
      </c>
      <c r="DZ91" s="130">
        <f t="shared" si="594"/>
        <v>3.0704778584357717</v>
      </c>
      <c r="EA91" s="82">
        <f t="shared" ref="EA91:EC91" si="617">EA83/EA74*400</f>
        <v>2.0835803564492452</v>
      </c>
      <c r="EB91" s="130">
        <f t="shared" si="597"/>
        <v>-2.709682239885769</v>
      </c>
      <c r="EC91" s="82">
        <f t="shared" si="617"/>
        <v>2.1382368495992838</v>
      </c>
      <c r="ED91" s="130">
        <f t="shared" si="598"/>
        <v>-2.9697444702975084</v>
      </c>
      <c r="EE91" s="82">
        <f t="shared" ref="EE91:EG91" si="618">EE83/EE74*400</f>
        <v>2.2022230592308247</v>
      </c>
      <c r="EF91" s="130">
        <f t="shared" si="600"/>
        <v>-0.16071460886959432</v>
      </c>
      <c r="EG91" s="82">
        <f t="shared" si="618"/>
        <v>2.1876341436270845</v>
      </c>
      <c r="EH91" s="130">
        <f t="shared" si="601"/>
        <v>-1.8811142947228854</v>
      </c>
      <c r="EI91" s="82">
        <f t="shared" ref="EI91:EK91" si="619">EI83/EI74*400</f>
        <v>2.136545995741026</v>
      </c>
      <c r="EJ91" s="130">
        <f t="shared" si="603"/>
        <v>2.542049272438085</v>
      </c>
      <c r="EK91" s="82">
        <f t="shared" si="619"/>
        <v>2.1662779162980241</v>
      </c>
      <c r="EL91" s="130">
        <f t="shared" si="604"/>
        <v>1.3114106935345093</v>
      </c>
      <c r="EM91" s="82">
        <f t="shared" ref="EM91" si="620">EM83/EM74*400</f>
        <v>2.199529854254819</v>
      </c>
      <c r="EN91" s="130">
        <f t="shared" si="606"/>
        <v>-0.12229483133949781</v>
      </c>
      <c r="EO91" s="82">
        <f t="shared" ref="EO91" si="621">EO83/EO74*400</f>
        <v>2.1965096961053856</v>
      </c>
      <c r="EP91" s="130">
        <f t="shared" si="608"/>
        <v>0.40571466230570064</v>
      </c>
      <c r="EQ91" s="570">
        <f t="shared" ref="EQ91:EQ93" si="622">EO91</f>
        <v>2.1965096961053856</v>
      </c>
      <c r="ER91" s="130">
        <f t="shared" si="609"/>
        <v>2.8065719382541099</v>
      </c>
      <c r="ES91" s="570">
        <f t="shared" si="610"/>
        <v>2.1965096961053856</v>
      </c>
      <c r="ET91" s="130">
        <f t="shared" si="611"/>
        <v>1.3955633106865983</v>
      </c>
      <c r="EU91" s="570">
        <f t="shared" ref="EU91:EU93" si="623">ES91</f>
        <v>2.1965096961053856</v>
      </c>
      <c r="EV91" s="130">
        <f t="shared" si="612"/>
        <v>-0.13730925923061132</v>
      </c>
      <c r="EW91" s="570">
        <f t="shared" ref="EW91:EW93" si="624">EU91</f>
        <v>2.1965096961053856</v>
      </c>
      <c r="EX91" s="130">
        <f t="shared" si="613"/>
        <v>0</v>
      </c>
      <c r="EY91" s="64"/>
      <c r="EZ91" s="558"/>
      <c r="FA91" s="64"/>
      <c r="FB91" s="66"/>
      <c r="FC91" s="66"/>
      <c r="FD91" s="66"/>
      <c r="FE91" s="67"/>
      <c r="FF91" s="66"/>
      <c r="FG91" s="67"/>
      <c r="FH91" s="66"/>
      <c r="FI91" s="67"/>
      <c r="FJ91" s="66"/>
      <c r="FK91" s="67"/>
      <c r="FL91" s="66"/>
      <c r="FM91" s="61"/>
      <c r="FN91" s="66"/>
      <c r="FO91" s="61"/>
      <c r="FP91" s="65"/>
      <c r="FQ91" s="61"/>
      <c r="FR91" s="65"/>
      <c r="FS91" s="61"/>
      <c r="FT91" s="65"/>
      <c r="FU91" s="61"/>
      <c r="FV91" s="65"/>
      <c r="FW91" s="61"/>
      <c r="FX91" s="65"/>
      <c r="FY91" s="61"/>
      <c r="FZ91" s="65"/>
      <c r="GA91" s="61"/>
      <c r="GB91" s="65"/>
      <c r="GC91" s="61"/>
      <c r="GD91" s="82">
        <f>GD83/GD74*100</f>
        <v>1.954510828164109</v>
      </c>
      <c r="GE91" s="61"/>
      <c r="GF91" s="82">
        <f>GF83/GF74*100</f>
        <v>2.0291377806129627</v>
      </c>
      <c r="GG91" s="61">
        <f t="shared" si="614"/>
        <v>3.8181907909382806</v>
      </c>
      <c r="GH91" s="82">
        <f>GH83/GH74*100</f>
        <v>2.127552560104617</v>
      </c>
      <c r="GI91" s="61">
        <f t="shared" si="614"/>
        <v>4.8500787098806564</v>
      </c>
      <c r="GJ91" s="82">
        <f>GJ83/GJ74*100</f>
        <v>2.2036070900792777</v>
      </c>
      <c r="GK91" s="61">
        <f t="shared" si="614"/>
        <v>3.5747427067522652</v>
      </c>
      <c r="GL91" s="82">
        <f>GL83/GL74*100</f>
        <v>2.1548783490838339</v>
      </c>
      <c r="GM91" s="61">
        <f t="shared" si="614"/>
        <v>-2.2113171270333298</v>
      </c>
      <c r="GN91" s="82">
        <f>GN83/GN74*100</f>
        <v>2.1772076893566754</v>
      </c>
      <c r="GO91" s="61">
        <f t="shared" si="614"/>
        <v>1.0362227771389065</v>
      </c>
      <c r="GP91" s="82">
        <f>GP83/GP74*100</f>
        <v>2.1781812876517201</v>
      </c>
      <c r="GQ91" s="61">
        <f t="shared" si="614"/>
        <v>4.4717750162481806E-2</v>
      </c>
      <c r="GR91" s="108">
        <v>2.2000000000000002</v>
      </c>
      <c r="GS91" s="61">
        <f t="shared" si="614"/>
        <v>1.0016940496170745</v>
      </c>
      <c r="GT91" s="108">
        <f>GR91</f>
        <v>2.2000000000000002</v>
      </c>
      <c r="GU91" s="61">
        <f t="shared" si="614"/>
        <v>0</v>
      </c>
      <c r="GV91" s="108">
        <f>GT91</f>
        <v>2.2000000000000002</v>
      </c>
      <c r="GW91" s="61">
        <f t="shared" si="614"/>
        <v>0</v>
      </c>
      <c r="GX91" s="108">
        <f>GV91</f>
        <v>2.2000000000000002</v>
      </c>
      <c r="GY91" s="61">
        <f t="shared" si="615"/>
        <v>0</v>
      </c>
      <c r="GZ91" s="61">
        <f t="shared" si="535"/>
        <v>0.20850068157878265</v>
      </c>
      <c r="HA91" s="61"/>
      <c r="HB91" s="452"/>
      <c r="HC91"/>
      <c r="HD91"/>
      <c r="HE91"/>
      <c r="HF91"/>
      <c r="HG91"/>
      <c r="HH91"/>
    </row>
    <row r="92" spans="1:216" s="5" customFormat="1" ht="12.75" customHeight="1" x14ac:dyDescent="0.2">
      <c r="B92" s="2" t="s">
        <v>245</v>
      </c>
      <c r="C92" s="66"/>
      <c r="D92" s="67"/>
      <c r="E92" s="66"/>
      <c r="F92" s="66"/>
      <c r="G92" s="64"/>
      <c r="H92" s="66"/>
      <c r="I92" s="64"/>
      <c r="J92" s="66"/>
      <c r="K92" s="64"/>
      <c r="L92" s="61"/>
      <c r="M92" s="66"/>
      <c r="N92" s="61"/>
      <c r="O92" s="64"/>
      <c r="P92" s="61"/>
      <c r="Q92" s="64"/>
      <c r="R92" s="61"/>
      <c r="S92" s="64"/>
      <c r="T92" s="61"/>
      <c r="U92" s="64"/>
      <c r="V92" s="61"/>
      <c r="W92" s="64"/>
      <c r="X92" s="61"/>
      <c r="Y92" s="64"/>
      <c r="Z92" s="61"/>
      <c r="AA92" s="118"/>
      <c r="AB92" s="61"/>
      <c r="AC92" s="118"/>
      <c r="AD92" s="61"/>
      <c r="AE92" s="118"/>
      <c r="AF92" s="61"/>
      <c r="AG92" s="118"/>
      <c r="AH92" s="61"/>
      <c r="AI92" s="118"/>
      <c r="AJ92" s="61"/>
      <c r="AK92" s="118"/>
      <c r="AL92" s="61"/>
      <c r="AM92" s="118"/>
      <c r="AN92" s="61"/>
      <c r="AO92" s="118"/>
      <c r="AP92" s="61"/>
      <c r="AQ92" s="118"/>
      <c r="AR92" s="61"/>
      <c r="AS92" s="118"/>
      <c r="AT92" s="61"/>
      <c r="AU92" s="118"/>
      <c r="AV92" s="61"/>
      <c r="AW92" s="118"/>
      <c r="AX92" s="61"/>
      <c r="AY92" s="118"/>
      <c r="AZ92" s="61"/>
      <c r="BA92" s="118"/>
      <c r="BB92" s="61"/>
      <c r="BC92" s="118"/>
      <c r="BD92" s="61"/>
      <c r="BE92" s="118"/>
      <c r="BF92" s="61"/>
      <c r="BG92" s="82">
        <f>BG84/BG35*400</f>
        <v>2.0106481744633284</v>
      </c>
      <c r="BH92" s="61"/>
      <c r="BI92" s="82">
        <f>BI84/BI35*400</f>
        <v>1.8881722343312133</v>
      </c>
      <c r="BJ92" s="61"/>
      <c r="BK92" s="82">
        <f>BK84/BK35*400</f>
        <v>1.6572392082596163</v>
      </c>
      <c r="BL92" s="61"/>
      <c r="BM92" s="82">
        <f>BM84/BM35*400</f>
        <v>1.6261422713035618</v>
      </c>
      <c r="BN92" s="61"/>
      <c r="BO92" s="82">
        <f>BO84/BO35*400</f>
        <v>1.644503803495732</v>
      </c>
      <c r="BP92" s="61"/>
      <c r="BQ92" s="82">
        <f>BQ84/BQ35*400</f>
        <v>1.6663270158277292</v>
      </c>
      <c r="BR92" s="61"/>
      <c r="BS92" s="82">
        <f>BS84/BS35*400</f>
        <v>1.7231510769694229</v>
      </c>
      <c r="BT92" s="61"/>
      <c r="BU92" s="82">
        <f>BU84/BU35*400</f>
        <v>1.9210376050248796</v>
      </c>
      <c r="BV92" s="61"/>
      <c r="BW92" s="82">
        <f>BW84/BW35*400</f>
        <v>2.1968883507345045</v>
      </c>
      <c r="BX92" s="61"/>
      <c r="BY92" s="82">
        <f>BY84/BY35*400</f>
        <v>2.1111856484386835</v>
      </c>
      <c r="BZ92" s="61"/>
      <c r="CA92" s="82">
        <f>CA84/CA35*400</f>
        <v>2.0521348059825586</v>
      </c>
      <c r="CB92" s="61"/>
      <c r="CC92" s="82">
        <f>CC84/CC35*400</f>
        <v>1.9428946504758779</v>
      </c>
      <c r="CD92" s="61"/>
      <c r="CE92" s="82">
        <f>CE84/CE35*400</f>
        <v>1.7892598159863888</v>
      </c>
      <c r="CF92" s="61"/>
      <c r="CG92" s="82">
        <f>CG84/CG35*400</f>
        <v>1.8171474466233855</v>
      </c>
      <c r="CH92" s="61"/>
      <c r="CI92" s="82">
        <f>CI84/CI35*400</f>
        <v>1.8527768649359184</v>
      </c>
      <c r="CJ92" s="61"/>
      <c r="CK92" s="82">
        <f>CK84/CK35*400</f>
        <v>1.7845237465323187</v>
      </c>
      <c r="CL92" s="61"/>
      <c r="CM92" s="82">
        <f>CM84/CM35*400</f>
        <v>1.6524114395509066</v>
      </c>
      <c r="CN92" s="61"/>
      <c r="CO92" s="82">
        <f>CO84/CO35*400</f>
        <v>1.5543490428747342</v>
      </c>
      <c r="CP92" s="61"/>
      <c r="CQ92" s="82">
        <f>CQ84/CQ35*400</f>
        <v>1.5937989512932331</v>
      </c>
      <c r="CR92" s="61"/>
      <c r="CS92" s="82">
        <f>CS84/CS35*400</f>
        <v>1.6305578621574695</v>
      </c>
      <c r="CT92" s="61"/>
      <c r="CU92" s="82">
        <f>CU84/CU35*400</f>
        <v>1.5249201098839491</v>
      </c>
      <c r="CV92" s="61"/>
      <c r="CW92" s="82">
        <f>CW84/CW35*400</f>
        <v>1.5148430182839923</v>
      </c>
      <c r="CX92" s="61"/>
      <c r="CY92" s="82">
        <f>CY84/CY35*400</f>
        <v>1.43246565823935</v>
      </c>
      <c r="CZ92" s="61"/>
      <c r="DA92" s="82">
        <f>DA84/DA35*400</f>
        <v>1.3521677099266076</v>
      </c>
      <c r="DB92" s="61"/>
      <c r="DC92" s="82">
        <f>DC84/DC35*400</f>
        <v>1.2645070821007054</v>
      </c>
      <c r="DD92" s="61"/>
      <c r="DE92" s="82">
        <f>DE84/DE35*400</f>
        <v>1.291680959534427</v>
      </c>
      <c r="DF92" s="61"/>
      <c r="DG92" s="82">
        <f>DG84/DG35*400</f>
        <v>1.1518229639035009</v>
      </c>
      <c r="DH92" s="61"/>
      <c r="DI92" s="82">
        <f>DI84/DI35*400</f>
        <v>1.1045088387257791</v>
      </c>
      <c r="DJ92" s="61"/>
      <c r="DK92" s="82">
        <f>DK84/DK35*400</f>
        <v>1.0566253263707572</v>
      </c>
      <c r="DL92" s="61"/>
      <c r="DM92" s="82">
        <f>DM84/DM35*400</f>
        <v>1.022587085874525</v>
      </c>
      <c r="DN92" s="130">
        <f t="shared" si="594"/>
        <v>-20.832843565093206</v>
      </c>
      <c r="DO92" s="82">
        <f>DO84/DO35*400</f>
        <v>1.001553967488467</v>
      </c>
      <c r="DP92" s="130">
        <f t="shared" si="594"/>
        <v>-13.046188617891053</v>
      </c>
      <c r="DQ92" s="82">
        <f>DQ84/DQ35*400</f>
        <v>1.0081866696395247</v>
      </c>
      <c r="DR92" s="130">
        <f t="shared" si="594"/>
        <v>-8.7208146923818948</v>
      </c>
      <c r="DS92" s="82">
        <f>DS84/DS35*400</f>
        <v>0.93937780482239308</v>
      </c>
      <c r="DT92" s="130">
        <f t="shared" si="594"/>
        <v>-11.096414085689199</v>
      </c>
      <c r="DU92" s="82">
        <f>DU84/DU35*400</f>
        <v>0.92822683308358278</v>
      </c>
      <c r="DV92" s="130">
        <f t="shared" si="594"/>
        <v>-9.2276006703374769</v>
      </c>
      <c r="DW92" s="82">
        <f>DW84/DW35*400</f>
        <v>0.9923689913650382</v>
      </c>
      <c r="DX92" s="82">
        <f t="shared" ref="DX92:DY92" si="625">DX84/DX35*400</f>
        <v>-34.19772356522197</v>
      </c>
      <c r="DY92" s="82">
        <f t="shared" si="625"/>
        <v>0.98955955764331682</v>
      </c>
      <c r="DZ92" s="130">
        <f t="shared" si="594"/>
        <v>-1.847585626466175</v>
      </c>
      <c r="EA92" s="82">
        <f t="shared" ref="EA92:EC92" si="626">EA84/EA35*400</f>
        <v>1.0261316064887493</v>
      </c>
      <c r="EB92" s="130">
        <f t="shared" si="597"/>
        <v>9.2352407328549546</v>
      </c>
      <c r="EC92" s="82">
        <f t="shared" si="626"/>
        <v>1.0581321609119625</v>
      </c>
      <c r="ED92" s="130">
        <f t="shared" si="598"/>
        <v>13.994998118814594</v>
      </c>
      <c r="EE92" s="82">
        <f t="shared" ref="EE92:EG92" si="627">EE84/EE35*400</f>
        <v>1.0905563617737615</v>
      </c>
      <c r="EF92" s="130">
        <f t="shared" si="600"/>
        <v>9.8942400723004411</v>
      </c>
      <c r="EG92" s="82">
        <f t="shared" si="627"/>
        <v>1.0167571305803111</v>
      </c>
      <c r="EH92" s="130">
        <f t="shared" si="601"/>
        <v>2.7484523520511228</v>
      </c>
      <c r="EI92" s="82">
        <f t="shared" ref="EI92:EK92" si="628">EI84/EI35*400</f>
        <v>0.95149158385251875</v>
      </c>
      <c r="EJ92" s="130">
        <f t="shared" si="603"/>
        <v>-7.2739229709175675</v>
      </c>
      <c r="EK92" s="82">
        <f t="shared" si="628"/>
        <v>0.95184238503472141</v>
      </c>
      <c r="EL92" s="130">
        <f t="shared" si="604"/>
        <v>-10.045037832101622</v>
      </c>
      <c r="EM92" s="82">
        <f t="shared" ref="EM92" si="629">EM84/EM35*400</f>
        <v>0.92100602196245118</v>
      </c>
      <c r="EN92" s="130">
        <f t="shared" si="606"/>
        <v>-15.547141418306987</v>
      </c>
      <c r="EO92" s="82">
        <f t="shared" ref="EO92" si="630">EO84/EO35*400</f>
        <v>0.89061872974640666</v>
      </c>
      <c r="EP92" s="130">
        <f t="shared" si="608"/>
        <v>-12.405951926977032</v>
      </c>
      <c r="EQ92" s="108">
        <v>0.9</v>
      </c>
      <c r="ER92" s="130">
        <f t="shared" si="609"/>
        <v>-5.4116699218749957</v>
      </c>
      <c r="ES92" s="108">
        <f t="shared" si="610"/>
        <v>0.9</v>
      </c>
      <c r="ET92" s="130">
        <f t="shared" si="611"/>
        <v>-5.4465304182509495</v>
      </c>
      <c r="EU92" s="108">
        <f t="shared" si="623"/>
        <v>0.9</v>
      </c>
      <c r="EV92" s="130">
        <f t="shared" si="612"/>
        <v>-2.2807692307692196</v>
      </c>
      <c r="EW92" s="108">
        <f t="shared" si="624"/>
        <v>0.9</v>
      </c>
      <c r="EX92" s="130">
        <f t="shared" si="613"/>
        <v>1.053343023255815</v>
      </c>
      <c r="EY92" s="64"/>
      <c r="EZ92" s="558"/>
      <c r="FA92" s="64"/>
      <c r="FB92" s="66"/>
      <c r="FC92" s="66"/>
      <c r="FD92" s="66"/>
      <c r="FE92" s="67"/>
      <c r="FF92" s="66"/>
      <c r="FG92" s="67"/>
      <c r="FH92" s="66"/>
      <c r="FI92" s="67"/>
      <c r="FJ92" s="66"/>
      <c r="FK92" s="67"/>
      <c r="FL92" s="66"/>
      <c r="FM92" s="61"/>
      <c r="FN92" s="66"/>
      <c r="FO92" s="61"/>
      <c r="FP92" s="65"/>
      <c r="FQ92" s="61"/>
      <c r="FR92" s="65"/>
      <c r="FS92" s="61"/>
      <c r="FT92" s="65"/>
      <c r="FU92" s="61"/>
      <c r="FV92" s="65"/>
      <c r="FW92" s="61"/>
      <c r="FX92" s="65"/>
      <c r="FY92" s="61"/>
      <c r="FZ92" s="65"/>
      <c r="GA92" s="61"/>
      <c r="GB92" s="65"/>
      <c r="GC92" s="61"/>
      <c r="GD92" s="82">
        <f>GD84/GD35*100</f>
        <v>1.4697492461082886</v>
      </c>
      <c r="GE92" s="61"/>
      <c r="GF92" s="82">
        <f>GF84/GF35*100</f>
        <v>1.184990125082291</v>
      </c>
      <c r="GG92" s="61">
        <f t="shared" si="614"/>
        <v>-19.374673726147783</v>
      </c>
      <c r="GH92" s="82">
        <f>GH84/GH35*100</f>
        <v>1.0269601879118642</v>
      </c>
      <c r="GI92" s="61">
        <f t="shared" si="614"/>
        <v>-13.335970808993237</v>
      </c>
      <c r="GJ92" s="82">
        <f>GJ84/GJ35*100</f>
        <v>0.96805794835415682</v>
      </c>
      <c r="GK92" s="61">
        <f t="shared" si="614"/>
        <v>-5.7355913355778938</v>
      </c>
      <c r="GL92" s="82">
        <f>GL84/GL35*100</f>
        <v>0.98893313931224625</v>
      </c>
      <c r="GM92" s="61">
        <f t="shared" si="614"/>
        <v>2.1563989008695605</v>
      </c>
      <c r="GN92" s="82">
        <f>GN84/GN35*100</f>
        <v>0.92902416627472051</v>
      </c>
      <c r="GO92" s="61">
        <f t="shared" si="614"/>
        <v>-6.0579396782263206</v>
      </c>
      <c r="GP92" s="82">
        <f>GP84/GP35*100</f>
        <v>0.89159574258529639</v>
      </c>
      <c r="GQ92" s="61">
        <f t="shared" si="614"/>
        <v>-4.0287890291926143</v>
      </c>
      <c r="GR92" s="108">
        <f>GP92</f>
        <v>0.89159574258529639</v>
      </c>
      <c r="GS92" s="61">
        <f t="shared" si="614"/>
        <v>0</v>
      </c>
      <c r="GT92" s="108">
        <f>GR92</f>
        <v>0.89159574258529639</v>
      </c>
      <c r="GU92" s="61">
        <f t="shared" si="614"/>
        <v>0</v>
      </c>
      <c r="GV92" s="108">
        <f>GT92</f>
        <v>0.89159574258529639</v>
      </c>
      <c r="GW92" s="61">
        <f t="shared" si="614"/>
        <v>0</v>
      </c>
      <c r="GX92" s="108">
        <f>GV92</f>
        <v>0.89159574258529639</v>
      </c>
      <c r="GY92" s="61">
        <f t="shared" si="615"/>
        <v>0</v>
      </c>
      <c r="GZ92" s="61">
        <f t="shared" si="535"/>
        <v>-0.81906573150867246</v>
      </c>
      <c r="HA92" s="61"/>
      <c r="HB92" s="452"/>
      <c r="HC92"/>
      <c r="HD92"/>
      <c r="HE92"/>
      <c r="HF92"/>
      <c r="HG92"/>
      <c r="HH92"/>
    </row>
    <row r="93" spans="1:216" s="5" customFormat="1" ht="12.75" customHeight="1" x14ac:dyDescent="0.2">
      <c r="B93" s="2" t="s">
        <v>246</v>
      </c>
      <c r="C93" s="66"/>
      <c r="D93" s="67"/>
      <c r="E93" s="66"/>
      <c r="F93" s="66"/>
      <c r="G93" s="64"/>
      <c r="H93" s="66"/>
      <c r="I93" s="64"/>
      <c r="J93" s="66"/>
      <c r="K93" s="64"/>
      <c r="L93" s="61"/>
      <c r="M93" s="66"/>
      <c r="N93" s="61"/>
      <c r="O93" s="64"/>
      <c r="P93" s="61"/>
      <c r="Q93" s="64"/>
      <c r="R93" s="61"/>
      <c r="S93" s="64"/>
      <c r="T93" s="61"/>
      <c r="U93" s="64"/>
      <c r="V93" s="61"/>
      <c r="W93" s="64"/>
      <c r="X93" s="61"/>
      <c r="Y93" s="64"/>
      <c r="Z93" s="61"/>
      <c r="AA93" s="118"/>
      <c r="AB93" s="61"/>
      <c r="AC93" s="118"/>
      <c r="AD93" s="61"/>
      <c r="AE93" s="118"/>
      <c r="AF93" s="61"/>
      <c r="AG93" s="118"/>
      <c r="AH93" s="61"/>
      <c r="AI93" s="118"/>
      <c r="AJ93" s="61"/>
      <c r="AK93" s="118"/>
      <c r="AL93" s="61"/>
      <c r="AM93" s="118"/>
      <c r="AN93" s="61"/>
      <c r="AO93" s="118"/>
      <c r="AP93" s="61"/>
      <c r="AQ93" s="118"/>
      <c r="AR93" s="61"/>
      <c r="AS93" s="118"/>
      <c r="AT93" s="61"/>
      <c r="AU93" s="118"/>
      <c r="AV93" s="61"/>
      <c r="AW93" s="118"/>
      <c r="AX93" s="61"/>
      <c r="AY93" s="118"/>
      <c r="AZ93" s="61"/>
      <c r="BA93" s="118"/>
      <c r="BB93" s="61"/>
      <c r="BC93" s="118"/>
      <c r="BD93" s="61"/>
      <c r="BE93" s="118"/>
      <c r="BF93" s="61"/>
      <c r="BG93" s="82">
        <f>BG85/BG56*400</f>
        <v>4.3549368115158478</v>
      </c>
      <c r="BH93" s="61"/>
      <c r="BI93" s="82">
        <f>BI85/BI56*400</f>
        <v>4.543203082003302</v>
      </c>
      <c r="BJ93" s="61"/>
      <c r="BK93" s="82">
        <f>BK85/BK56*400</f>
        <v>4.5991722602858838</v>
      </c>
      <c r="BL93" s="61"/>
      <c r="BM93" s="82">
        <f>BM85/BM56*400</f>
        <v>4.6809548701864445</v>
      </c>
      <c r="BN93" s="61"/>
      <c r="BO93" s="82">
        <f>BO85/BO56*400</f>
        <v>4.5675902602854741</v>
      </c>
      <c r="BP93" s="61"/>
      <c r="BQ93" s="82">
        <f>BQ85/BQ56*400</f>
        <v>4.5669456799635766</v>
      </c>
      <c r="BR93" s="61"/>
      <c r="BS93" s="82">
        <f>BS85/BS56*400</f>
        <v>4.7783008924179606</v>
      </c>
      <c r="BT93" s="61"/>
      <c r="BU93" s="82">
        <f>BU85/BU56*400</f>
        <v>5.8568437488910181</v>
      </c>
      <c r="BV93" s="61"/>
      <c r="BW93" s="82">
        <f>BW85/BW56*400</f>
        <v>4.6424517593643584</v>
      </c>
      <c r="BX93" s="61"/>
      <c r="BY93" s="82">
        <f>BY85/BY56*400</f>
        <v>4.7249662056774469</v>
      </c>
      <c r="BZ93" s="61"/>
      <c r="CA93" s="82">
        <f>CA85/CA56*400</f>
        <v>4.6178584320546054</v>
      </c>
      <c r="CB93" s="61"/>
      <c r="CC93" s="82">
        <f>CC85/CC56*400</f>
        <v>4.3509789702683106</v>
      </c>
      <c r="CD93" s="61"/>
      <c r="CE93" s="82">
        <f>CE85/CE56*400</f>
        <v>4.3930563779723872</v>
      </c>
      <c r="CF93" s="61"/>
      <c r="CG93" s="82">
        <f>CG85/CG56*400</f>
        <v>4.3348546573957796</v>
      </c>
      <c r="CH93" s="61"/>
      <c r="CI93" s="82">
        <f>CI85/CI56*400</f>
        <v>4.3425528767933734</v>
      </c>
      <c r="CJ93" s="61"/>
      <c r="CK93" s="82">
        <f>CK85/CK56*400</f>
        <v>4.3520331759013935</v>
      </c>
      <c r="CL93" s="61"/>
      <c r="CM93" s="82">
        <f>CM85/CM56*400</f>
        <v>3.9791232923594677</v>
      </c>
      <c r="CN93" s="61"/>
      <c r="CO93" s="82">
        <f>CO85/CO56*400</f>
        <v>4.0021359714454343</v>
      </c>
      <c r="CP93" s="61"/>
      <c r="CQ93" s="82">
        <f>CQ85/CQ56*400</f>
        <v>3.9435836092024368</v>
      </c>
      <c r="CR93" s="61"/>
      <c r="CS93" s="82">
        <f>CS85/CS56*400</f>
        <v>3.7435968434168623</v>
      </c>
      <c r="CT93" s="61"/>
      <c r="CU93" s="82">
        <f>CU85/CU56*400</f>
        <v>3.7694257687644659</v>
      </c>
      <c r="CV93" s="61"/>
      <c r="CW93" s="82">
        <f>CW85/CW56*400</f>
        <v>3.5766203132285583</v>
      </c>
      <c r="CX93" s="61"/>
      <c r="CY93" s="82">
        <f>CY85/CY56*400</f>
        <v>3.1895139268159478</v>
      </c>
      <c r="CZ93" s="61"/>
      <c r="DA93" s="82">
        <f>DA85/DA56*400</f>
        <v>3.3274432513252683</v>
      </c>
      <c r="DB93" s="61"/>
      <c r="DC93" s="82">
        <f>DC85/DC56*400</f>
        <v>3.3101657787273169</v>
      </c>
      <c r="DD93" s="61"/>
      <c r="DE93" s="82">
        <f>DE85/DE56*400</f>
        <v>3.3915696810952389</v>
      </c>
      <c r="DF93" s="61"/>
      <c r="DG93" s="82">
        <f>DG85/DG56*400</f>
        <v>3.3124949257124303</v>
      </c>
      <c r="DH93" s="61"/>
      <c r="DI93" s="82">
        <f>DI85/DI56*400</f>
        <v>3.4802345375449213</v>
      </c>
      <c r="DJ93" s="61"/>
      <c r="DK93" s="82">
        <f>DK85/DK56*400</f>
        <v>3.3045437476530228</v>
      </c>
      <c r="DL93" s="61"/>
      <c r="DM93" s="82">
        <f>DM85/DM56*400</f>
        <v>3.2761600850950674</v>
      </c>
      <c r="DN93" s="130">
        <f t="shared" si="594"/>
        <v>-3.4028372362056913</v>
      </c>
      <c r="DO93" s="82">
        <f>DO85/DO56*400</f>
        <v>3.2322373142659684</v>
      </c>
      <c r="DP93" s="130">
        <f t="shared" si="594"/>
        <v>-2.4228750004560595</v>
      </c>
      <c r="DQ93" s="82">
        <f>DQ85/DQ56*400</f>
        <v>3.207955730210923</v>
      </c>
      <c r="DR93" s="130">
        <f t="shared" si="594"/>
        <v>-7.8235763824720088</v>
      </c>
      <c r="DS93" s="82">
        <f>DS85/DS56*400</f>
        <v>3.0660377358490565</v>
      </c>
      <c r="DT93" s="130">
        <f t="shared" si="594"/>
        <v>-7.217517152658659</v>
      </c>
      <c r="DU93" s="82">
        <f>DU85/DU56*400</f>
        <v>2.9853951890034365</v>
      </c>
      <c r="DV93" s="130">
        <f t="shared" si="594"/>
        <v>-8.8751736343553382</v>
      </c>
      <c r="DW93" s="82">
        <f>DW85/DW56*400</f>
        <v>2.8763851994955592</v>
      </c>
      <c r="DX93" s="82">
        <f t="shared" ref="DX93:DY93" si="631">DX85/DX56*400</f>
        <v>1487.7667689932173</v>
      </c>
      <c r="DY93" s="82">
        <f t="shared" si="631"/>
        <v>2.8606240398368383</v>
      </c>
      <c r="DZ93" s="130">
        <f t="shared" si="594"/>
        <v>-10.827197118186149</v>
      </c>
      <c r="EA93" s="82">
        <f t="shared" ref="EA93:EC93" si="632">EA85/EA56*400</f>
        <v>2.906825849987023</v>
      </c>
      <c r="EB93" s="130">
        <f t="shared" si="597"/>
        <v>-5.1927568927309427</v>
      </c>
      <c r="EC93" s="82">
        <f t="shared" si="632"/>
        <v>2.9503662346975363</v>
      </c>
      <c r="ED93" s="130">
        <f t="shared" si="598"/>
        <v>-1.1733439658148992</v>
      </c>
      <c r="EE93" s="82">
        <f t="shared" ref="EE93:EG93" si="633">EE85/EE56*400</f>
        <v>3.0179445350734095</v>
      </c>
      <c r="EF93" s="130">
        <f t="shared" si="600"/>
        <v>4.9214317888534476</v>
      </c>
      <c r="EG93" s="82">
        <f t="shared" si="633"/>
        <v>3.0286861295322307</v>
      </c>
      <c r="EH93" s="130">
        <f t="shared" si="601"/>
        <v>5.8750149392220674</v>
      </c>
      <c r="EI93" s="82">
        <f t="shared" ref="EI93:EK93" si="634">EI85/EI56*400</f>
        <v>2.9584905660377361</v>
      </c>
      <c r="EJ93" s="130">
        <f t="shared" si="603"/>
        <v>1.7773584905660389</v>
      </c>
      <c r="EK93" s="82">
        <f t="shared" si="634"/>
        <v>2.8965241709948062</v>
      </c>
      <c r="EL93" s="130">
        <f t="shared" si="604"/>
        <v>-1.8249281417854202</v>
      </c>
      <c r="EM93" s="82">
        <f t="shared" ref="EM93" si="635">EM85/EM56*400</f>
        <v>2.8974647183714253</v>
      </c>
      <c r="EN93" s="130">
        <f t="shared" si="606"/>
        <v>-3.9921150074765599</v>
      </c>
      <c r="EO93" s="82">
        <f t="shared" ref="EO93" si="636">EO85/EO56*400</f>
        <v>2.8572137205783874</v>
      </c>
      <c r="EP93" s="130">
        <f t="shared" si="608"/>
        <v>-5.6616104020104085</v>
      </c>
      <c r="EQ93" s="108">
        <f t="shared" si="622"/>
        <v>2.8572137205783874</v>
      </c>
      <c r="ER93" s="130">
        <f t="shared" si="609"/>
        <v>-3.4232607202458465</v>
      </c>
      <c r="ES93" s="108">
        <f t="shared" si="610"/>
        <v>2.8572137205783874</v>
      </c>
      <c r="ET93" s="130">
        <f t="shared" si="611"/>
        <v>-1.3571594123075292</v>
      </c>
      <c r="EU93" s="108">
        <f t="shared" si="623"/>
        <v>2.8572137205783874</v>
      </c>
      <c r="EV93" s="130">
        <f t="shared" si="612"/>
        <v>-1.389179910900229</v>
      </c>
      <c r="EW93" s="108">
        <f t="shared" si="624"/>
        <v>2.8572137205783874</v>
      </c>
      <c r="EX93" s="130">
        <f t="shared" si="613"/>
        <v>0</v>
      </c>
      <c r="EY93" s="64"/>
      <c r="EZ93" s="558"/>
      <c r="FA93" s="64"/>
      <c r="FB93" s="66"/>
      <c r="FC93" s="66"/>
      <c r="FD93" s="66"/>
      <c r="FE93" s="67"/>
      <c r="FF93" s="66"/>
      <c r="FG93" s="67"/>
      <c r="FH93" s="66"/>
      <c r="FI93" s="67"/>
      <c r="FJ93" s="66"/>
      <c r="FK93" s="67"/>
      <c r="FL93" s="66"/>
      <c r="FM93" s="61"/>
      <c r="FN93" s="66"/>
      <c r="FO93" s="61"/>
      <c r="FP93" s="65"/>
      <c r="FQ93" s="61"/>
      <c r="FR93" s="65"/>
      <c r="FS93" s="61"/>
      <c r="FT93" s="65"/>
      <c r="FU93" s="61"/>
      <c r="FV93" s="65"/>
      <c r="FW93" s="61"/>
      <c r="FX93" s="65"/>
      <c r="FY93" s="61"/>
      <c r="FZ93" s="65"/>
      <c r="GA93" s="61"/>
      <c r="GB93" s="65"/>
      <c r="GC93" s="61"/>
      <c r="GD93" s="82">
        <f>GD85/GD56*100</f>
        <v>3.4643169877408058</v>
      </c>
      <c r="GE93" s="61"/>
      <c r="GF93" s="82">
        <f>GF85/GF56*100</f>
        <v>3.3738848337388481</v>
      </c>
      <c r="GG93" s="61">
        <f t="shared" si="614"/>
        <v>-2.6103891278416613</v>
      </c>
      <c r="GH93" s="82">
        <f>GH85/GH56*100</f>
        <v>3.2784242065944698</v>
      </c>
      <c r="GI93" s="61">
        <f t="shared" si="614"/>
        <v>-2.829397915120635</v>
      </c>
      <c r="GJ93" s="82">
        <f>GJ85/GJ56*100</f>
        <v>2.9197467079988342</v>
      </c>
      <c r="GK93" s="61">
        <f t="shared" si="614"/>
        <v>-10.940545701015891</v>
      </c>
      <c r="GL93" s="82">
        <f>GL85/GL56*100</f>
        <v>2.9944594768715369</v>
      </c>
      <c r="GM93" s="61">
        <f t="shared" si="614"/>
        <v>2.5588784351746163</v>
      </c>
      <c r="GN93" s="82">
        <f>GN85/GN56*100</f>
        <v>2.9029679224542821</v>
      </c>
      <c r="GO93" s="61">
        <f t="shared" si="614"/>
        <v>-3.0553612471269975</v>
      </c>
      <c r="GP93" s="82">
        <f>GP85/GP56*100</f>
        <v>2.8493613802459032</v>
      </c>
      <c r="GQ93" s="61">
        <f t="shared" si="614"/>
        <v>-1.8466115933881144</v>
      </c>
      <c r="GR93" s="108">
        <f>GP93</f>
        <v>2.8493613802459032</v>
      </c>
      <c r="GS93" s="61">
        <f t="shared" si="614"/>
        <v>0</v>
      </c>
      <c r="GT93" s="108">
        <f>GR93</f>
        <v>2.8493613802459032</v>
      </c>
      <c r="GU93" s="61">
        <f t="shared" si="614"/>
        <v>0</v>
      </c>
      <c r="GV93" s="108">
        <f>GT93</f>
        <v>2.8493613802459032</v>
      </c>
      <c r="GW93" s="61">
        <f t="shared" si="614"/>
        <v>0</v>
      </c>
      <c r="GX93" s="108">
        <f>GV93</f>
        <v>2.8493613802459032</v>
      </c>
      <c r="GY93" s="61">
        <f t="shared" si="615"/>
        <v>0</v>
      </c>
      <c r="GZ93" s="61">
        <f t="shared" si="535"/>
        <v>-0.37208091955424072</v>
      </c>
      <c r="HA93" s="61"/>
      <c r="HB93" s="452"/>
      <c r="HC93"/>
      <c r="HD93"/>
      <c r="HE93"/>
      <c r="HF93"/>
      <c r="HG93"/>
      <c r="HH93"/>
    </row>
    <row r="94" spans="1:216" s="5" customFormat="1" ht="12.75" customHeight="1" x14ac:dyDescent="0.2">
      <c r="B94" s="68"/>
      <c r="C94" s="66"/>
      <c r="D94" s="67"/>
      <c r="E94" s="66"/>
      <c r="F94" s="66"/>
      <c r="G94" s="64"/>
      <c r="H94" s="66"/>
      <c r="I94" s="64"/>
      <c r="J94" s="66"/>
      <c r="K94" s="64"/>
      <c r="L94" s="61"/>
      <c r="M94" s="66"/>
      <c r="N94" s="61"/>
      <c r="O94" s="64"/>
      <c r="P94" s="61"/>
      <c r="Q94" s="64"/>
      <c r="R94" s="61"/>
      <c r="S94" s="64"/>
      <c r="T94" s="61"/>
      <c r="U94" s="64"/>
      <c r="V94" s="61"/>
      <c r="W94" s="64"/>
      <c r="X94" s="61"/>
      <c r="Y94" s="64"/>
      <c r="Z94" s="61"/>
      <c r="AA94" s="118"/>
      <c r="AB94" s="61"/>
      <c r="AC94" s="118"/>
      <c r="AD94" s="61"/>
      <c r="AE94" s="118"/>
      <c r="AF94" s="61"/>
      <c r="AG94" s="118"/>
      <c r="AH94" s="61"/>
      <c r="AI94" s="118"/>
      <c r="AJ94" s="61"/>
      <c r="AK94" s="118"/>
      <c r="AL94" s="61"/>
      <c r="AM94" s="118"/>
      <c r="AN94" s="61"/>
      <c r="AO94" s="118"/>
      <c r="AP94" s="61"/>
      <c r="AQ94" s="118"/>
      <c r="AR94" s="61"/>
      <c r="AS94" s="118"/>
      <c r="AT94" s="61"/>
      <c r="AU94" s="118"/>
      <c r="AV94" s="61"/>
      <c r="AW94" s="118"/>
      <c r="AX94" s="61"/>
      <c r="AY94" s="118"/>
      <c r="AZ94" s="61"/>
      <c r="BA94" s="118"/>
      <c r="BB94" s="61"/>
      <c r="BC94" s="118"/>
      <c r="BD94" s="61"/>
      <c r="BE94" s="118"/>
      <c r="BF94" s="61"/>
      <c r="BG94" s="118"/>
      <c r="BH94" s="61"/>
      <c r="BI94" s="118"/>
      <c r="BJ94" s="61"/>
      <c r="BK94" s="118"/>
      <c r="BL94" s="61"/>
      <c r="BM94" s="118"/>
      <c r="BN94" s="61"/>
      <c r="BO94" s="118"/>
      <c r="BP94" s="61"/>
      <c r="BQ94" s="118"/>
      <c r="BR94" s="61"/>
      <c r="BS94" s="118"/>
      <c r="BT94" s="61"/>
      <c r="BU94" s="118"/>
      <c r="BV94" s="61"/>
      <c r="BW94" s="64"/>
      <c r="BX94" s="61"/>
      <c r="BY94" s="64"/>
      <c r="BZ94" s="61"/>
      <c r="CA94" s="64"/>
      <c r="CB94" s="61"/>
      <c r="CC94" s="445"/>
      <c r="CD94" s="61"/>
      <c r="CE94" s="64"/>
      <c r="CF94" s="61"/>
      <c r="CG94" s="64"/>
      <c r="CH94" s="61"/>
      <c r="CI94" s="64"/>
      <c r="CJ94" s="61"/>
      <c r="CK94" s="64"/>
      <c r="CL94" s="61"/>
      <c r="CM94" s="64"/>
      <c r="CN94" s="61"/>
      <c r="CO94" s="64"/>
      <c r="CP94" s="61"/>
      <c r="CQ94" s="64"/>
      <c r="CR94" s="61"/>
      <c r="CS94" s="64"/>
      <c r="CT94" s="61"/>
      <c r="CU94" s="64"/>
      <c r="CV94" s="61"/>
      <c r="CW94" s="64"/>
      <c r="CX94" s="61"/>
      <c r="CY94" s="64"/>
      <c r="CZ94" s="61"/>
      <c r="DA94" s="64"/>
      <c r="DB94" s="61"/>
      <c r="DC94" s="64"/>
      <c r="DD94" s="61"/>
      <c r="DE94" s="64"/>
      <c r="DF94" s="61"/>
      <c r="DG94" s="64"/>
      <c r="DH94" s="61"/>
      <c r="DI94" s="64"/>
      <c r="DJ94" s="61"/>
      <c r="DK94" s="64"/>
      <c r="DL94" s="61"/>
      <c r="DM94" s="64"/>
      <c r="DN94" s="61"/>
      <c r="DO94" s="64"/>
      <c r="DP94" s="61"/>
      <c r="DQ94" s="64"/>
      <c r="DR94" s="61"/>
      <c r="DS94" s="64"/>
      <c r="DT94" s="61"/>
      <c r="DU94" s="64"/>
      <c r="DV94" s="61"/>
      <c r="DW94" s="64"/>
      <c r="DX94" s="64"/>
      <c r="DY94" s="64"/>
      <c r="DZ94" s="61"/>
      <c r="EA94" s="64"/>
      <c r="EB94" s="61"/>
      <c r="EC94" s="64"/>
      <c r="ED94" s="61"/>
      <c r="EE94" s="64"/>
      <c r="EF94" s="61"/>
      <c r="EG94" s="64"/>
      <c r="EH94" s="61"/>
      <c r="EI94" s="64"/>
      <c r="EJ94" s="61"/>
      <c r="EK94" s="64"/>
      <c r="EL94" s="61"/>
      <c r="EM94" s="64"/>
      <c r="EN94" s="61"/>
      <c r="EO94" s="64"/>
      <c r="EP94" s="61"/>
      <c r="EQ94" s="64"/>
      <c r="ER94" s="61"/>
      <c r="ES94" s="64"/>
      <c r="ET94" s="61"/>
      <c r="EU94" s="64"/>
      <c r="EV94" s="61"/>
      <c r="EW94" s="64"/>
      <c r="EX94" s="61"/>
      <c r="EY94" s="64"/>
      <c r="EZ94" s="558"/>
      <c r="FA94" s="64"/>
      <c r="FB94" s="66"/>
      <c r="FC94" s="66"/>
      <c r="FD94" s="66"/>
      <c r="FE94" s="67"/>
      <c r="FF94" s="66"/>
      <c r="FG94" s="67"/>
      <c r="FH94" s="66"/>
      <c r="FI94" s="67"/>
      <c r="FJ94" s="66"/>
      <c r="FK94" s="67"/>
      <c r="FL94" s="66"/>
      <c r="FM94" s="61"/>
      <c r="FN94" s="66"/>
      <c r="FO94" s="61"/>
      <c r="FP94" s="65"/>
      <c r="FQ94" s="61"/>
      <c r="FR94" s="65"/>
      <c r="FS94" s="61"/>
      <c r="FT94" s="65"/>
      <c r="FU94" s="61"/>
      <c r="FV94" s="65"/>
      <c r="FW94" s="61"/>
      <c r="FX94" s="65"/>
      <c r="FY94" s="61"/>
      <c r="FZ94" s="65"/>
      <c r="GA94" s="61"/>
      <c r="GB94" s="65"/>
      <c r="GC94" s="61"/>
      <c r="GD94" s="65"/>
      <c r="GE94" s="61"/>
      <c r="GF94" s="65"/>
      <c r="GG94" s="61"/>
      <c r="GH94" s="65"/>
      <c r="GI94" s="61"/>
      <c r="GJ94" s="65"/>
      <c r="GK94" s="61"/>
      <c r="GL94" s="65"/>
      <c r="GM94" s="61"/>
      <c r="GN94" s="65"/>
      <c r="GO94" s="61"/>
      <c r="GP94" s="65"/>
      <c r="GQ94" s="61"/>
      <c r="GR94" s="64"/>
      <c r="GS94" s="61"/>
      <c r="GT94" s="64"/>
      <c r="GU94" s="61"/>
      <c r="GV94" s="64"/>
      <c r="GW94" s="61"/>
      <c r="GX94" s="64"/>
      <c r="GY94" s="61"/>
      <c r="GZ94" s="61"/>
      <c r="HA94" s="61"/>
      <c r="HB94" s="452"/>
      <c r="HC94"/>
      <c r="HD94"/>
      <c r="HE94"/>
      <c r="HF94"/>
      <c r="HG94"/>
      <c r="HH94"/>
    </row>
    <row r="95" spans="1:216" s="5" customFormat="1" ht="12.75" customHeight="1" x14ac:dyDescent="0.2">
      <c r="B95" s="119" t="s">
        <v>564</v>
      </c>
      <c r="C95" s="66"/>
      <c r="D95" s="67"/>
      <c r="E95" s="66"/>
      <c r="F95" s="66"/>
      <c r="G95" s="64"/>
      <c r="H95" s="66"/>
      <c r="I95" s="64"/>
      <c r="J95" s="66"/>
      <c r="K95" s="64"/>
      <c r="L95" s="61"/>
      <c r="M95" s="66"/>
      <c r="N95" s="61"/>
      <c r="O95" s="64"/>
      <c r="P95" s="61"/>
      <c r="Q95" s="64"/>
      <c r="R95" s="61"/>
      <c r="S95" s="64"/>
      <c r="T95" s="61"/>
      <c r="U95" s="64"/>
      <c r="V95" s="61"/>
      <c r="W95" s="64"/>
      <c r="X95" s="61"/>
      <c r="Y95" s="64"/>
      <c r="Z95" s="61"/>
      <c r="AA95" s="118"/>
      <c r="AB95" s="61"/>
      <c r="AC95" s="118"/>
      <c r="AD95" s="61"/>
      <c r="AE95" s="118"/>
      <c r="AF95" s="61"/>
      <c r="AG95" s="118"/>
      <c r="AH95" s="61"/>
      <c r="AI95" s="118"/>
      <c r="AJ95" s="61"/>
      <c r="AK95" s="118"/>
      <c r="AL95" s="61"/>
      <c r="AM95" s="118"/>
      <c r="AN95" s="61"/>
      <c r="AO95" s="118"/>
      <c r="AP95" s="61"/>
      <c r="AQ95" s="118"/>
      <c r="AR95" s="61"/>
      <c r="AS95" s="118"/>
      <c r="AT95" s="61"/>
      <c r="AU95" s="118"/>
      <c r="AV95" s="61"/>
      <c r="AW95" s="118"/>
      <c r="AX95" s="61"/>
      <c r="AY95" s="118"/>
      <c r="AZ95" s="61"/>
      <c r="BA95" s="118"/>
      <c r="BB95" s="61"/>
      <c r="BC95" s="118"/>
      <c r="BD95" s="61"/>
      <c r="BE95" s="118"/>
      <c r="BF95" s="61"/>
      <c r="BG95" s="118"/>
      <c r="BH95" s="61"/>
      <c r="BI95" s="118"/>
      <c r="BJ95" s="61"/>
      <c r="BK95" s="118"/>
      <c r="BL95" s="61"/>
      <c r="BM95" s="118"/>
      <c r="BN95" s="61"/>
      <c r="BO95" s="118"/>
      <c r="BP95" s="61"/>
      <c r="BQ95" s="118"/>
      <c r="BR95" s="61"/>
      <c r="BS95" s="118"/>
      <c r="BT95" s="61"/>
      <c r="BU95" s="118"/>
      <c r="BV95" s="61"/>
      <c r="BW95" s="64"/>
      <c r="BX95" s="61"/>
      <c r="BY95" s="64"/>
      <c r="BZ95" s="61"/>
      <c r="CA95" s="64"/>
      <c r="CB95" s="61"/>
      <c r="CC95" s="444"/>
      <c r="CD95" s="61"/>
      <c r="CE95" s="64"/>
      <c r="CF95" s="61"/>
      <c r="CG95" s="64"/>
      <c r="CH95" s="61"/>
      <c r="CI95" s="64"/>
      <c r="CJ95" s="61"/>
      <c r="CK95" s="64"/>
      <c r="CL95" s="61"/>
      <c r="CM95" s="64"/>
      <c r="CN95" s="61"/>
      <c r="CO95" s="64"/>
      <c r="CP95" s="61"/>
      <c r="CQ95" s="64"/>
      <c r="CR95" s="61"/>
      <c r="CS95" s="64"/>
      <c r="CT95" s="61"/>
      <c r="CU95" s="64"/>
      <c r="CV95" s="61"/>
      <c r="CW95" s="64"/>
      <c r="CX95" s="61"/>
      <c r="CY95" s="64"/>
      <c r="CZ95" s="61"/>
      <c r="DA95" s="64"/>
      <c r="DB95" s="61"/>
      <c r="DC95" s="64"/>
      <c r="DD95" s="61"/>
      <c r="DE95" s="64"/>
      <c r="DF95" s="61"/>
      <c r="DG95" s="64"/>
      <c r="DH95" s="61"/>
      <c r="DI95" s="64"/>
      <c r="DJ95" s="61"/>
      <c r="DK95" s="64"/>
      <c r="DL95" s="61"/>
      <c r="DM95" s="64"/>
      <c r="DN95" s="61"/>
      <c r="DO95" s="64"/>
      <c r="DP95" s="61"/>
      <c r="DQ95" s="64"/>
      <c r="DR95" s="61"/>
      <c r="DS95" s="64"/>
      <c r="DT95" s="61"/>
      <c r="DU95" s="64"/>
      <c r="DV95" s="61"/>
      <c r="DW95" s="64"/>
      <c r="DX95" s="64"/>
      <c r="DY95" s="64"/>
      <c r="DZ95" s="61"/>
      <c r="EA95" s="64"/>
      <c r="EB95" s="61"/>
      <c r="EC95" s="64"/>
      <c r="ED95" s="61"/>
      <c r="EE95" s="64"/>
      <c r="EF95" s="61"/>
      <c r="EG95" s="64"/>
      <c r="EH95" s="61"/>
      <c r="EI95" s="64"/>
      <c r="EJ95" s="61"/>
      <c r="EK95" s="64"/>
      <c r="EL95" s="61"/>
      <c r="EM95" s="64"/>
      <c r="EN95" s="61"/>
      <c r="EO95" s="64"/>
      <c r="EP95" s="61"/>
      <c r="EQ95" s="64"/>
      <c r="ER95" s="61"/>
      <c r="ES95" s="64"/>
      <c r="ET95" s="61"/>
      <c r="EU95" s="64"/>
      <c r="EV95" s="61"/>
      <c r="EW95" s="64"/>
      <c r="EX95" s="61"/>
      <c r="EY95" s="64"/>
      <c r="EZ95" s="558"/>
      <c r="FA95" s="64"/>
      <c r="FB95" s="66"/>
      <c r="FC95" s="66"/>
      <c r="FD95" s="66"/>
      <c r="FE95" s="67"/>
      <c r="FF95" s="66"/>
      <c r="FG95" s="67"/>
      <c r="FH95" s="66"/>
      <c r="FI95" s="67"/>
      <c r="FJ95" s="66"/>
      <c r="FK95" s="67"/>
      <c r="FL95" s="66"/>
      <c r="FM95" s="61"/>
      <c r="FN95" s="66"/>
      <c r="FO95" s="61"/>
      <c r="FP95" s="65"/>
      <c r="FQ95" s="61"/>
      <c r="FR95" s="65"/>
      <c r="FS95" s="61"/>
      <c r="FT95" s="65"/>
      <c r="FU95" s="61"/>
      <c r="FV95" s="65"/>
      <c r="FW95" s="61"/>
      <c r="FX95" s="65"/>
      <c r="FY95" s="61"/>
      <c r="FZ95" s="65"/>
      <c r="GA95" s="61"/>
      <c r="GB95" s="65"/>
      <c r="GC95" s="61"/>
      <c r="GD95" s="65"/>
      <c r="GE95" s="61"/>
      <c r="GF95" s="65"/>
      <c r="GG95" s="61"/>
      <c r="GH95" s="65"/>
      <c r="GI95" s="61"/>
      <c r="GJ95" s="65"/>
      <c r="GK95" s="61"/>
      <c r="GL95" s="65"/>
      <c r="GM95" s="61"/>
      <c r="GN95" s="65"/>
      <c r="GO95" s="61"/>
      <c r="GP95" s="65"/>
      <c r="GQ95" s="61"/>
      <c r="GR95" s="64"/>
      <c r="GS95" s="61"/>
      <c r="GT95" s="64"/>
      <c r="GU95" s="61"/>
      <c r="GV95" s="64"/>
      <c r="GW95" s="61"/>
      <c r="GX95" s="64"/>
      <c r="GY95" s="61"/>
      <c r="GZ95" s="61"/>
      <c r="HA95" s="61"/>
      <c r="HB95" s="452"/>
      <c r="HC95"/>
      <c r="HD95"/>
      <c r="HE95"/>
      <c r="HF95"/>
      <c r="HG95"/>
      <c r="HH95"/>
    </row>
    <row r="96" spans="1:216" s="5" customFormat="1" ht="12.75" customHeight="1" x14ac:dyDescent="0.2">
      <c r="B96" s="443" t="s">
        <v>294</v>
      </c>
      <c r="C96" s="120"/>
      <c r="D96" s="67"/>
      <c r="E96" s="120"/>
      <c r="F96" s="66"/>
      <c r="G96" s="120"/>
      <c r="H96" s="120"/>
      <c r="I96" s="120"/>
      <c r="J96" s="120"/>
      <c r="K96" s="120"/>
      <c r="L96" s="61"/>
      <c r="M96" s="120"/>
      <c r="N96" s="61"/>
      <c r="O96" s="120"/>
      <c r="P96" s="61"/>
      <c r="Q96" s="120"/>
      <c r="R96" s="61"/>
      <c r="S96" s="120"/>
      <c r="T96" s="61"/>
      <c r="U96" s="120"/>
      <c r="V96" s="61"/>
      <c r="W96" s="120"/>
      <c r="X96" s="61"/>
      <c r="Y96" s="120"/>
      <c r="Z96" s="61"/>
      <c r="AA96" s="120"/>
      <c r="AB96" s="61"/>
      <c r="AC96" s="120"/>
      <c r="AD96" s="61"/>
      <c r="AE96" s="120"/>
      <c r="AF96" s="61"/>
      <c r="AG96" s="120"/>
      <c r="AH96" s="61"/>
      <c r="AI96" s="120"/>
      <c r="AJ96" s="61"/>
      <c r="AK96" s="120"/>
      <c r="AL96" s="61"/>
      <c r="AM96" s="120"/>
      <c r="AN96" s="61"/>
      <c r="AO96" s="120"/>
      <c r="AP96" s="61"/>
      <c r="AQ96" s="120">
        <v>5.78</v>
      </c>
      <c r="AR96" s="61" t="str">
        <f>IF(ISERROR((AQ96/AI96-1)*100),"NA",IF(((AQ96/AI96-1)*100)&gt;100,"NM",IF(((AQ96/AI96-1)*100)&lt;-50,"NM",(AQ96/AI96-1)*100)))</f>
        <v>NA</v>
      </c>
      <c r="AS96" s="120">
        <v>5.74</v>
      </c>
      <c r="AT96" s="61" t="str">
        <f>IF(ISERROR((AS96/AK96-1)*100),"NA",IF(((AS96/AK96-1)*100)&gt;100,"NM",IF(((AS96/AK96-1)*100)&lt;-50,"NM",(AS96/AK96-1)*100)))</f>
        <v>NA</v>
      </c>
      <c r="AU96" s="120">
        <v>5.68</v>
      </c>
      <c r="AV96" s="61" t="str">
        <f t="shared" ref="AV96:AX98" si="637">IF(ISERROR((AU96/AM96-1)*100),"NA",IF(((AU96/AM96-1)*100)&gt;100,"NM",IF(((AU96/AM96-1)*100)&lt;-50,"NM",(AU96/AM96-1)*100)))</f>
        <v>NA</v>
      </c>
      <c r="AW96" s="120">
        <v>5.73</v>
      </c>
      <c r="AX96" s="61" t="str">
        <f t="shared" si="637"/>
        <v>NA</v>
      </c>
      <c r="AY96" s="120">
        <v>5.84</v>
      </c>
      <c r="AZ96" s="61">
        <f>IF(ISERROR((AY96/AQ96-1)*100),"NA",IF(((AY96/AQ96-1)*100)&gt;100,"NM",IF(((AY96/AQ96-1)*100)&lt;-50,"NM",(AY96/AQ96-1)*100)))</f>
        <v>1.0380622837370179</v>
      </c>
      <c r="BA96" s="120">
        <v>5.67</v>
      </c>
      <c r="BB96" s="61">
        <f>IF(ISERROR((BA96/AS96-1)*100),"NA",IF(((BA96/AS96-1)*100)&gt;100,"NM",IF(((BA96/AS96-1)*100)&lt;-50,"NM",(BA96/AS96-1)*100)))</f>
        <v>-1.2195121951219523</v>
      </c>
      <c r="BC96" s="120">
        <v>5.89</v>
      </c>
      <c r="BD96" s="61">
        <f>IF(ISERROR((BC96/AU96-1)*100),"NA",IF(((BC96/AU96-1)*100)&gt;100,"NM",IF(((BC96/AU96-1)*100)&lt;-50,"NM",(BC96/AU96-1)*100)))</f>
        <v>3.6971830985915499</v>
      </c>
      <c r="BE96" s="120">
        <v>5.87</v>
      </c>
      <c r="BF96" s="61">
        <f>IF(ISERROR((BE96/AW96-1)*100),"NA",IF(((BE96/AW96-1)*100)&gt;100,"NM",IF(((BE96/AW96-1)*100)&lt;-50,"NM",(BE96/AW96-1)*100)))</f>
        <v>2.4432809773123898</v>
      </c>
      <c r="BG96" s="120">
        <v>5.94</v>
      </c>
      <c r="BH96" s="61"/>
      <c r="BI96" s="120">
        <v>5.92</v>
      </c>
      <c r="BJ96" s="61"/>
      <c r="BK96" s="120">
        <v>5.84</v>
      </c>
      <c r="BL96" s="61"/>
      <c r="BM96" s="120">
        <v>5.93</v>
      </c>
      <c r="BN96" s="61"/>
      <c r="BO96" s="120">
        <v>5.87</v>
      </c>
      <c r="BP96" s="61"/>
      <c r="BQ96" s="120">
        <v>5.87</v>
      </c>
      <c r="BR96" s="61"/>
      <c r="BS96" s="120">
        <v>5.84</v>
      </c>
      <c r="BT96" s="61"/>
      <c r="BU96" s="120">
        <v>5.63</v>
      </c>
      <c r="BV96" s="61"/>
      <c r="BW96" s="120">
        <v>5.27</v>
      </c>
      <c r="BX96" s="61"/>
      <c r="BY96" s="120">
        <v>5.45</v>
      </c>
      <c r="BZ96" s="61"/>
      <c r="CA96" s="120">
        <v>5.71</v>
      </c>
      <c r="CB96" s="61"/>
      <c r="CC96" s="120">
        <v>5.67</v>
      </c>
      <c r="CD96" s="61"/>
      <c r="CE96" s="120">
        <v>5.65</v>
      </c>
      <c r="CF96" s="61"/>
      <c r="CG96" s="120">
        <v>5.56</v>
      </c>
      <c r="CH96" s="61"/>
      <c r="CI96" s="120">
        <v>5.61</v>
      </c>
      <c r="CJ96" s="61"/>
      <c r="CK96" s="120">
        <v>5.73</v>
      </c>
      <c r="CL96" s="61"/>
      <c r="CM96" s="120">
        <v>5.54</v>
      </c>
      <c r="CN96" s="61"/>
      <c r="CO96" s="120">
        <v>5.3</v>
      </c>
      <c r="CP96" s="61"/>
      <c r="CQ96" s="120">
        <v>5.2</v>
      </c>
      <c r="CR96" s="61"/>
      <c r="CS96" s="120">
        <v>5.07</v>
      </c>
      <c r="CT96" s="61"/>
      <c r="CU96" s="120">
        <v>4.97</v>
      </c>
      <c r="CV96" s="61"/>
      <c r="CW96" s="120">
        <v>4.9400000000000004</v>
      </c>
      <c r="CX96" s="61"/>
      <c r="CY96" s="120">
        <v>4.87</v>
      </c>
      <c r="CZ96" s="61"/>
      <c r="DA96" s="120">
        <v>4.88</v>
      </c>
      <c r="DB96" s="61"/>
      <c r="DC96" s="120">
        <v>4.87</v>
      </c>
      <c r="DD96" s="61"/>
      <c r="DE96" s="120">
        <v>5.03</v>
      </c>
      <c r="DF96" s="61"/>
      <c r="DG96" s="120">
        <v>4.6399999999999997</v>
      </c>
      <c r="DH96" s="61"/>
      <c r="DI96" s="120">
        <v>4.72</v>
      </c>
      <c r="DJ96" s="61"/>
      <c r="DK96" s="120">
        <v>4.63</v>
      </c>
      <c r="DL96" s="61"/>
      <c r="DM96" s="120">
        <v>4.5999999999999996</v>
      </c>
      <c r="DN96" s="130">
        <f t="shared" ref="DN96:DZ98" si="638">IF(ISERROR((DM96/DE96-1)*100),"NA",IF(((DM96/DE96-1)*100)&gt;100,"NM",IF(((DM96/DE96-1)*100)&lt;-50,"NM",(DM96/DE96-1)*100)))</f>
        <v>-8.5487077534791354</v>
      </c>
      <c r="DO96" s="120">
        <v>4.54</v>
      </c>
      <c r="DP96" s="130">
        <f t="shared" si="638"/>
        <v>-2.1551724137930939</v>
      </c>
      <c r="DQ96" s="120">
        <v>4.68</v>
      </c>
      <c r="DR96" s="130">
        <f t="shared" si="638"/>
        <v>-0.84745762711864181</v>
      </c>
      <c r="DS96" s="120">
        <v>4.4400000000000004</v>
      </c>
      <c r="DT96" s="130">
        <f t="shared" si="638"/>
        <v>-4.1036717062634898</v>
      </c>
      <c r="DU96" s="120">
        <v>4.26</v>
      </c>
      <c r="DV96" s="130">
        <f t="shared" si="638"/>
        <v>-7.3913043478260887</v>
      </c>
      <c r="DW96" s="120">
        <v>4.37</v>
      </c>
      <c r="DX96" s="120">
        <v>4.37</v>
      </c>
      <c r="DY96" s="120">
        <v>4.2699999999999996</v>
      </c>
      <c r="DZ96" s="130">
        <f t="shared" si="638"/>
        <v>-8.7606837606837633</v>
      </c>
      <c r="EA96" s="120">
        <v>4.3</v>
      </c>
      <c r="EB96" s="130">
        <f t="shared" ref="EB96:EB98" si="639">IF(ISERROR((EA96/DS96-1)*100),"NA",IF(((EA96/DS96-1)*100)&gt;100,"NM",IF(((EA96/DS96-1)*100)&lt;-50,"NM",(EA96/DS96-1)*100)))</f>
        <v>-3.1531531531531654</v>
      </c>
      <c r="EC96" s="120">
        <v>4.24</v>
      </c>
      <c r="ED96" s="130">
        <f t="shared" ref="ED96:ED98" si="640">IF(ISERROR((EC96/DU96-1)*100),"NA",IF(((EC96/DU96-1)*100)&gt;100,"NM",IF(((EC96/DU96-1)*100)&lt;-50,"NM",(EC96/DU96-1)*100)))</f>
        <v>-0.46948356807510194</v>
      </c>
      <c r="EE96" s="120">
        <v>4.38</v>
      </c>
      <c r="EF96" s="130">
        <f t="shared" ref="EF96:EF98" si="641">IF(ISERROR((EE96/DW96-1)*100),"NA",IF(((EE96/DW96-1)*100)&gt;100,"NM",IF(((EE96/DW96-1)*100)&lt;-50,"NM",(EE96/DW96-1)*100)))</f>
        <v>0.22883295194506825</v>
      </c>
      <c r="EG96" s="120">
        <v>4.2</v>
      </c>
      <c r="EH96" s="130">
        <f t="shared" ref="EH96:EH98" si="642">IF(ISERROR((EG96/DY96-1)*100),"NA",IF(((EG96/DY96-1)*100)&gt;100,"NM",IF(((EG96/DY96-1)*100)&lt;-50,"NM",(EG96/DY96-1)*100)))</f>
        <v>-1.6393442622950727</v>
      </c>
      <c r="EI96" s="120">
        <v>4.17</v>
      </c>
      <c r="EJ96" s="130">
        <f t="shared" ref="EJ96:EJ98" si="643">IF(ISERROR((EI96/EA96-1)*100),"NA",IF(((EI96/EA96-1)*100)&gt;100,"NM",IF(((EI96/EA96-1)*100)&lt;-50,"NM",(EI96/EA96-1)*100)))</f>
        <v>-3.0232558139534849</v>
      </c>
      <c r="EK96" s="120">
        <v>4.1900000000000004</v>
      </c>
      <c r="EL96" s="130">
        <f t="shared" ref="EL96:EL98" si="644">IF(ISERROR((EK96/EC96-1)*100),"NA",IF(((EK96/EC96-1)*100)&gt;100,"NM",IF(((EK96/EC96-1)*100)&lt;-50,"NM",(EK96/EC96-1)*100)))</f>
        <v>-1.1792452830188593</v>
      </c>
      <c r="EM96" s="120">
        <v>4.2699999999999996</v>
      </c>
      <c r="EN96" s="130">
        <f t="shared" ref="EN96:EN98" si="645">IF(ISERROR((EM96/EE96-1)*100),"NA",IF(((EM96/EE96-1)*100)&gt;100,"NM",IF(((EM96/EE96-1)*100)&lt;-50,"NM",(EM96/EE96-1)*100)))</f>
        <v>-2.5114155251141579</v>
      </c>
      <c r="EO96" s="120">
        <v>4.24</v>
      </c>
      <c r="EP96" s="130">
        <f t="shared" ref="EP96:EP98" si="646">IF(ISERROR((EO96/EG96-1)*100),"NA",IF(((EO96/EG96-1)*100)&gt;100,"NM",IF(((EO96/EG96-1)*100)&lt;-50,"NM",(EO96/EG96-1)*100)))</f>
        <v>0.952380952380949</v>
      </c>
      <c r="EQ96" s="120"/>
      <c r="ER96" s="130" t="str">
        <f t="shared" ref="ER96:ER98" si="647">IF(ISERROR((EQ96/EI96-1)*100),"NA",IF(((EQ96/EI96-1)*100)&gt;100,"NM",IF(((EQ96/EI96-1)*100)&lt;-50,"NM",(EQ96/EI96-1)*100)))</f>
        <v>NM</v>
      </c>
      <c r="ES96" s="120"/>
      <c r="ET96" s="130" t="str">
        <f t="shared" ref="ET96:ET98" si="648">IF(ISERROR((ES96/EK96-1)*100),"NA",IF(((ES96/EK96-1)*100)&gt;100,"NM",IF(((ES96/EK96-1)*100)&lt;-50,"NM",(ES96/EK96-1)*100)))</f>
        <v>NM</v>
      </c>
      <c r="EU96" s="120"/>
      <c r="EV96" s="130" t="str">
        <f t="shared" ref="EV96:EV98" si="649">IF(ISERROR((EU96/EM96-1)*100),"NA",IF(((EU96/EM96-1)*100)&gt;100,"NM",IF(((EU96/EM96-1)*100)&lt;-50,"NM",(EU96/EM96-1)*100)))</f>
        <v>NM</v>
      </c>
      <c r="EW96" s="120"/>
      <c r="EX96" s="130" t="str">
        <f t="shared" ref="EX96:EX98" si="650">IF(ISERROR((EW96/EO96-1)*100),"NA",IF(((EW96/EO96-1)*100)&gt;100,"NM",IF(((EW96/EO96-1)*100)&lt;-50,"NM",(EW96/EO96-1)*100)))</f>
        <v>NM</v>
      </c>
      <c r="EY96" s="120"/>
      <c r="EZ96" s="558"/>
      <c r="FA96" s="120"/>
      <c r="FB96" s="120"/>
      <c r="FC96" s="120"/>
      <c r="FD96" s="120"/>
      <c r="FE96" s="70"/>
      <c r="FF96" s="120"/>
      <c r="FG96" s="70"/>
      <c r="FH96" s="120"/>
      <c r="FI96" s="70"/>
      <c r="FJ96" s="120"/>
      <c r="FK96" s="70"/>
      <c r="FL96" s="120"/>
      <c r="FM96" s="61"/>
      <c r="FN96" s="120"/>
      <c r="FO96" s="61"/>
      <c r="FP96" s="121"/>
      <c r="FQ96" s="61"/>
      <c r="FR96" s="121"/>
      <c r="FS96" s="61"/>
      <c r="FT96" s="121"/>
      <c r="FU96" s="61"/>
      <c r="FV96" s="121"/>
      <c r="FW96" s="61"/>
      <c r="FX96" s="121"/>
      <c r="FY96" s="61"/>
      <c r="FZ96" s="121"/>
      <c r="GA96" s="61"/>
      <c r="GB96" s="121"/>
      <c r="GC96" s="61"/>
      <c r="GD96" s="121"/>
      <c r="GE96" s="61"/>
      <c r="GF96" s="121"/>
      <c r="GG96" s="61"/>
      <c r="GH96" s="121"/>
      <c r="GI96" s="61"/>
      <c r="GJ96" s="121"/>
      <c r="GK96" s="61"/>
      <c r="GL96" s="121"/>
      <c r="GM96" s="61"/>
      <c r="GN96" s="121"/>
      <c r="GO96" s="61"/>
      <c r="GP96" s="121"/>
      <c r="GQ96" s="61"/>
      <c r="GR96" s="120"/>
      <c r="GS96" s="61"/>
      <c r="GT96" s="120"/>
      <c r="GU96" s="61"/>
      <c r="GV96" s="120"/>
      <c r="GW96" s="61"/>
      <c r="GX96" s="120"/>
      <c r="GY96" s="61"/>
      <c r="GZ96" s="61" t="str">
        <f t="shared" ref="GZ96:GZ124" si="651">IF(ISERROR((GX96/GN96)^0.2),"",IF(OR((GX96/GN96)^0.2&lt;0.5,(GX96/GN96)^0.2&gt;2),"NM",((GX96/GN96)^0.2-1)*100))</f>
        <v/>
      </c>
      <c r="HA96" s="61"/>
      <c r="HB96" s="452"/>
      <c r="HC96"/>
      <c r="HD96"/>
      <c r="HE96"/>
      <c r="HF96"/>
      <c r="HG96"/>
      <c r="HH96"/>
    </row>
    <row r="97" spans="1:216" s="5" customFormat="1" ht="12.75" customHeight="1" x14ac:dyDescent="0.2">
      <c r="B97" s="2" t="s">
        <v>463</v>
      </c>
      <c r="C97" s="120"/>
      <c r="D97" s="67"/>
      <c r="E97" s="120"/>
      <c r="F97" s="66"/>
      <c r="G97" s="120"/>
      <c r="H97" s="120"/>
      <c r="I97" s="120"/>
      <c r="J97" s="120"/>
      <c r="K97" s="120"/>
      <c r="L97" s="61"/>
      <c r="M97" s="120"/>
      <c r="N97" s="61"/>
      <c r="O97" s="120"/>
      <c r="P97" s="61"/>
      <c r="Q97" s="120"/>
      <c r="R97" s="61"/>
      <c r="S97" s="120"/>
      <c r="T97" s="61"/>
      <c r="U97" s="120"/>
      <c r="V97" s="61"/>
      <c r="W97" s="120"/>
      <c r="X97" s="61"/>
      <c r="Y97" s="120"/>
      <c r="Z97" s="61"/>
      <c r="AA97" s="120"/>
      <c r="AB97" s="61"/>
      <c r="AC97" s="120"/>
      <c r="AD97" s="61"/>
      <c r="AE97" s="120"/>
      <c r="AF97" s="61"/>
      <c r="AG97" s="120"/>
      <c r="AH97" s="61"/>
      <c r="AI97" s="120"/>
      <c r="AJ97" s="61"/>
      <c r="AK97" s="120"/>
      <c r="AL97" s="61"/>
      <c r="AM97" s="120"/>
      <c r="AN97" s="61"/>
      <c r="AO97" s="120"/>
      <c r="AP97" s="61"/>
      <c r="AQ97" s="120">
        <v>3.96</v>
      </c>
      <c r="AR97" s="61" t="str">
        <f>IF(ISERROR((AQ97/AI97-1)*100),"NA",IF(((AQ97/AI97-1)*100)&gt;100,"NM",IF(((AQ97/AI97-1)*100)&lt;-50,"NM",(AQ97/AI97-1)*100)))</f>
        <v>NA</v>
      </c>
      <c r="AS97" s="120">
        <v>3.95</v>
      </c>
      <c r="AT97" s="61" t="str">
        <f>IF(ISERROR((AS97/AK97-1)*100),"NA",IF(((AS97/AK97-1)*100)&gt;100,"NM",IF(((AS97/AK97-1)*100)&lt;-50,"NM",(AS97/AK97-1)*100)))</f>
        <v>NA</v>
      </c>
      <c r="AU97" s="120">
        <v>3.93</v>
      </c>
      <c r="AV97" s="61" t="str">
        <f t="shared" si="637"/>
        <v>NA</v>
      </c>
      <c r="AW97" s="120">
        <v>3.92</v>
      </c>
      <c r="AX97" s="61" t="str">
        <f t="shared" si="637"/>
        <v>NA</v>
      </c>
      <c r="AY97" s="120">
        <v>3.93</v>
      </c>
      <c r="AZ97" s="61">
        <f>IF(ISERROR((AY97/AQ97-1)*100),"NA",IF(((AY97/AQ97-1)*100)&gt;100,"NM",IF(((AY97/AQ97-1)*100)&lt;-50,"NM",(AY97/AQ97-1)*100)))</f>
        <v>-0.7575757575757569</v>
      </c>
      <c r="BA97" s="120">
        <v>3.81</v>
      </c>
      <c r="BB97" s="61">
        <f>IF(ISERROR((BA97/AS97-1)*100),"NA",IF(((BA97/AS97-1)*100)&gt;100,"NM",IF(((BA97/AS97-1)*100)&lt;-50,"NM",(BA97/AS97-1)*100)))</f>
        <v>-3.5443037974683622</v>
      </c>
      <c r="BC97" s="120">
        <v>3.81</v>
      </c>
      <c r="BD97" s="61">
        <f>IF(ISERROR((BC97/AU97-1)*100),"NA",IF(((BC97/AU97-1)*100)&gt;100,"NM",IF(((BC97/AU97-1)*100)&lt;-50,"NM",(BC97/AU97-1)*100)))</f>
        <v>-3.0534351145038219</v>
      </c>
      <c r="BE97" s="120">
        <v>3.77</v>
      </c>
      <c r="BF97" s="61">
        <f>IF(ISERROR((BE97/AW97-1)*100),"NA",IF(((BE97/AW97-1)*100)&gt;100,"NM",IF(((BE97/AW97-1)*100)&lt;-50,"NM",(BE97/AW97-1)*100)))</f>
        <v>-3.8265306122448939</v>
      </c>
      <c r="BG97" s="120">
        <v>3.63</v>
      </c>
      <c r="BH97" s="61"/>
      <c r="BI97" s="120">
        <v>3.74</v>
      </c>
      <c r="BJ97" s="61"/>
      <c r="BK97" s="120">
        <v>3.76</v>
      </c>
      <c r="BL97" s="61"/>
      <c r="BM97" s="120">
        <v>3.77</v>
      </c>
      <c r="BN97" s="61"/>
      <c r="BO97" s="120">
        <v>3.81</v>
      </c>
      <c r="BP97" s="61"/>
      <c r="BQ97" s="120">
        <v>3.73</v>
      </c>
      <c r="BR97" s="61"/>
      <c r="BS97" s="120">
        <v>3.95</v>
      </c>
      <c r="BT97" s="61"/>
      <c r="BU97" s="120">
        <v>3.87</v>
      </c>
      <c r="BV97" s="61"/>
      <c r="BW97" s="120">
        <v>3.85</v>
      </c>
      <c r="BX97" s="61"/>
      <c r="BY97" s="120">
        <v>3.81</v>
      </c>
      <c r="BZ97" s="61"/>
      <c r="CA97" s="120">
        <v>3.8</v>
      </c>
      <c r="CB97" s="61"/>
      <c r="CC97" s="120">
        <v>3.65</v>
      </c>
      <c r="CD97" s="61"/>
      <c r="CE97" s="120">
        <v>3.52</v>
      </c>
      <c r="CF97" s="61"/>
      <c r="CG97" s="120">
        <v>3.51</v>
      </c>
      <c r="CH97" s="61"/>
      <c r="CI97" s="120">
        <v>3.57</v>
      </c>
      <c r="CJ97" s="61"/>
      <c r="CK97" s="120">
        <v>3.47</v>
      </c>
      <c r="CL97" s="61"/>
      <c r="CM97" s="120">
        <v>3.31</v>
      </c>
      <c r="CN97" s="61"/>
      <c r="CO97" s="120">
        <v>3.38</v>
      </c>
      <c r="CP97" s="61"/>
      <c r="CQ97" s="120">
        <v>3.33</v>
      </c>
      <c r="CR97" s="61"/>
      <c r="CS97" s="120">
        <v>3.26</v>
      </c>
      <c r="CT97" s="61"/>
      <c r="CU97" s="120">
        <v>3.15</v>
      </c>
      <c r="CV97" s="61"/>
      <c r="CW97" s="120">
        <v>3.03</v>
      </c>
      <c r="CX97" s="61"/>
      <c r="CY97" s="120">
        <v>2.94</v>
      </c>
      <c r="CZ97" s="61"/>
      <c r="DA97" s="120">
        <v>2.79</v>
      </c>
      <c r="DB97" s="61"/>
      <c r="DC97" s="120">
        <v>2.77</v>
      </c>
      <c r="DD97" s="61"/>
      <c r="DE97" s="120">
        <v>2.85</v>
      </c>
      <c r="DF97" s="61"/>
      <c r="DG97" s="120">
        <v>2.86</v>
      </c>
      <c r="DH97" s="61"/>
      <c r="DI97" s="120">
        <v>2.91</v>
      </c>
      <c r="DJ97" s="61"/>
      <c r="DK97" s="120">
        <v>2.81</v>
      </c>
      <c r="DL97" s="61"/>
      <c r="DM97" s="120">
        <v>2.79</v>
      </c>
      <c r="DN97" s="130">
        <f t="shared" si="638"/>
        <v>-2.1052631578947434</v>
      </c>
      <c r="DO97" s="120">
        <v>2.81</v>
      </c>
      <c r="DP97" s="130">
        <f t="shared" si="638"/>
        <v>-1.748251748251739</v>
      </c>
      <c r="DQ97" s="120">
        <v>2.75</v>
      </c>
      <c r="DR97" s="130">
        <f t="shared" si="638"/>
        <v>-5.4982817869415834</v>
      </c>
      <c r="DS97" s="120">
        <v>2.64</v>
      </c>
      <c r="DT97" s="130">
        <f t="shared" si="638"/>
        <v>-6.0498220640569418</v>
      </c>
      <c r="DU97" s="120">
        <v>2.61</v>
      </c>
      <c r="DV97" s="130">
        <f t="shared" si="638"/>
        <v>-6.4516129032258114</v>
      </c>
      <c r="DW97" s="120">
        <v>2.56</v>
      </c>
      <c r="DX97" s="120">
        <v>2.56</v>
      </c>
      <c r="DY97" s="120">
        <v>2.5299999999999998</v>
      </c>
      <c r="DZ97" s="130">
        <f t="shared" si="638"/>
        <v>-8.0000000000000071</v>
      </c>
      <c r="EA97" s="120">
        <v>2.34</v>
      </c>
      <c r="EB97" s="130">
        <f t="shared" si="639"/>
        <v>-11.363636363636376</v>
      </c>
      <c r="EC97" s="120">
        <v>2.41</v>
      </c>
      <c r="ED97" s="130">
        <f t="shared" si="640"/>
        <v>-7.6628352490421321</v>
      </c>
      <c r="EE97" s="120">
        <v>2.42</v>
      </c>
      <c r="EF97" s="130">
        <f t="shared" si="641"/>
        <v>-5.46875</v>
      </c>
      <c r="EG97" s="120">
        <v>2.44</v>
      </c>
      <c r="EH97" s="130">
        <f t="shared" si="642"/>
        <v>-3.5573122529644174</v>
      </c>
      <c r="EI97" s="120">
        <v>2.4300000000000002</v>
      </c>
      <c r="EJ97" s="130">
        <f t="shared" si="643"/>
        <v>3.8461538461538547</v>
      </c>
      <c r="EK97" s="120">
        <v>2.37</v>
      </c>
      <c r="EL97" s="130">
        <f t="shared" si="644"/>
        <v>-1.6597510373444035</v>
      </c>
      <c r="EM97" s="120">
        <v>2.29</v>
      </c>
      <c r="EN97" s="130">
        <f t="shared" si="645"/>
        <v>-5.3719008264462742</v>
      </c>
      <c r="EO97" s="120">
        <v>2.27</v>
      </c>
      <c r="EP97" s="130">
        <f t="shared" si="646"/>
        <v>-6.9672131147541005</v>
      </c>
      <c r="EQ97" s="120"/>
      <c r="ER97" s="130" t="str">
        <f t="shared" si="647"/>
        <v>NM</v>
      </c>
      <c r="ES97" s="120"/>
      <c r="ET97" s="130" t="str">
        <f t="shared" si="648"/>
        <v>NM</v>
      </c>
      <c r="EU97" s="120"/>
      <c r="EV97" s="130" t="str">
        <f t="shared" si="649"/>
        <v>NM</v>
      </c>
      <c r="EW97" s="120"/>
      <c r="EX97" s="130" t="str">
        <f t="shared" si="650"/>
        <v>NM</v>
      </c>
      <c r="EY97" s="120"/>
      <c r="EZ97" s="558"/>
      <c r="FA97" s="120"/>
      <c r="FB97" s="120"/>
      <c r="FC97" s="120"/>
      <c r="FD97" s="120"/>
      <c r="FE97" s="70"/>
      <c r="FF97" s="120"/>
      <c r="FG97" s="70"/>
      <c r="FH97" s="120"/>
      <c r="FI97" s="70"/>
      <c r="FJ97" s="120"/>
      <c r="FK97" s="70"/>
      <c r="FL97" s="120"/>
      <c r="FM97" s="61"/>
      <c r="FN97" s="120"/>
      <c r="FO97" s="61"/>
      <c r="FP97" s="121"/>
      <c r="FQ97" s="61"/>
      <c r="FR97" s="121"/>
      <c r="FS97" s="61"/>
      <c r="FT97" s="121"/>
      <c r="FU97" s="61"/>
      <c r="FV97" s="121"/>
      <c r="FW97" s="61"/>
      <c r="FX97" s="121"/>
      <c r="FY97" s="61"/>
      <c r="FZ97" s="121"/>
      <c r="GA97" s="61"/>
      <c r="GB97" s="121"/>
      <c r="GC97" s="61"/>
      <c r="GD97" s="121"/>
      <c r="GE97" s="61"/>
      <c r="GF97" s="121"/>
      <c r="GG97" s="61"/>
      <c r="GH97" s="121"/>
      <c r="GI97" s="61"/>
      <c r="GJ97" s="121"/>
      <c r="GK97" s="61"/>
      <c r="GL97" s="121"/>
      <c r="GM97" s="61"/>
      <c r="GN97" s="121"/>
      <c r="GO97" s="61"/>
      <c r="GP97" s="121"/>
      <c r="GQ97" s="61"/>
      <c r="GR97" s="120"/>
      <c r="GS97" s="61"/>
      <c r="GT97" s="120"/>
      <c r="GU97" s="61"/>
      <c r="GV97" s="120"/>
      <c r="GW97" s="61"/>
      <c r="GX97" s="120"/>
      <c r="GY97" s="61"/>
      <c r="GZ97" s="61" t="str">
        <f t="shared" si="651"/>
        <v/>
      </c>
      <c r="HA97" s="61"/>
      <c r="HB97" s="452"/>
      <c r="HC97"/>
      <c r="HD97"/>
      <c r="HE97"/>
      <c r="HF97"/>
      <c r="HG97"/>
      <c r="HH97"/>
    </row>
    <row r="98" spans="1:216" s="5" customFormat="1" ht="12.75" customHeight="1" x14ac:dyDescent="0.2">
      <c r="A98" s="5" t="s">
        <v>449</v>
      </c>
      <c r="B98" s="68" t="s">
        <v>383</v>
      </c>
      <c r="C98" s="121"/>
      <c r="D98" s="122"/>
      <c r="E98" s="121"/>
      <c r="F98" s="16"/>
      <c r="G98" s="121"/>
      <c r="H98" s="121"/>
      <c r="I98" s="121"/>
      <c r="J98" s="121"/>
      <c r="K98" s="121"/>
      <c r="L98" s="61"/>
      <c r="M98" s="121"/>
      <c r="N98" s="61"/>
      <c r="O98" s="121"/>
      <c r="P98" s="61"/>
      <c r="Q98" s="121"/>
      <c r="R98" s="61"/>
      <c r="S98" s="121"/>
      <c r="T98" s="61"/>
      <c r="U98" s="121"/>
      <c r="V98" s="61"/>
      <c r="W98" s="121"/>
      <c r="X98" s="61"/>
      <c r="Y98" s="121"/>
      <c r="Z98" s="61"/>
      <c r="AA98" s="121"/>
      <c r="AB98" s="61"/>
      <c r="AC98" s="121"/>
      <c r="AD98" s="61"/>
      <c r="AE98" s="121"/>
      <c r="AF98" s="61"/>
      <c r="AG98" s="121"/>
      <c r="AH98" s="61"/>
      <c r="AI98" s="121"/>
      <c r="AJ98" s="61"/>
      <c r="AK98" s="121"/>
      <c r="AL98" s="61"/>
      <c r="AM98" s="121"/>
      <c r="AN98" s="61"/>
      <c r="AO98" s="121"/>
      <c r="AP98" s="61"/>
      <c r="AQ98" s="121">
        <f>+AQ96-AQ97</f>
        <v>1.8200000000000003</v>
      </c>
      <c r="AR98" s="61" t="str">
        <f>IF(ISERROR((AQ98/AI98-1)*100),"NA",IF(((AQ98/AI98-1)*100)&gt;100,"NM",IF(((AQ98/AI98-1)*100)&lt;-50,"NM",(AQ98/AI98-1)*100)))</f>
        <v>NA</v>
      </c>
      <c r="AS98" s="121">
        <f>+AS96-AS97</f>
        <v>1.79</v>
      </c>
      <c r="AT98" s="61" t="str">
        <f>IF(ISERROR((AS98/AK98-1)*100),"NA",IF(((AS98/AK98-1)*100)&gt;100,"NM",IF(((AS98/AK98-1)*100)&lt;-50,"NM",(AS98/AK98-1)*100)))</f>
        <v>NA</v>
      </c>
      <c r="AU98" s="121">
        <f>+AU96-AU97</f>
        <v>1.7499999999999996</v>
      </c>
      <c r="AV98" s="61" t="str">
        <f t="shared" si="637"/>
        <v>NA</v>
      </c>
      <c r="AW98" s="121">
        <f>+AW96-AW97</f>
        <v>1.8100000000000005</v>
      </c>
      <c r="AX98" s="61" t="str">
        <f t="shared" si="637"/>
        <v>NA</v>
      </c>
      <c r="AY98" s="121">
        <f>+AY96-AY97</f>
        <v>1.9099999999999997</v>
      </c>
      <c r="AZ98" s="61">
        <f>IF(ISERROR((AY98/AQ98-1)*100),"NA",IF(((AY98/AQ98-1)*100)&gt;100,"NM",IF(((AY98/AQ98-1)*100)&lt;-50,"NM",(AY98/AQ98-1)*100)))</f>
        <v>4.9450549450549053</v>
      </c>
      <c r="BA98" s="121">
        <f>+BA96-BA97</f>
        <v>1.8599999999999999</v>
      </c>
      <c r="BB98" s="61">
        <f>IF(ISERROR((BA98/AS98-1)*100),"NA",IF(((BA98/AS98-1)*100)&gt;100,"NM",IF(((BA98/AS98-1)*100)&lt;-50,"NM",(BA98/AS98-1)*100)))</f>
        <v>3.9106145251396551</v>
      </c>
      <c r="BC98" s="121">
        <f>+BC96-BC97</f>
        <v>2.0799999999999996</v>
      </c>
      <c r="BD98" s="61">
        <f>IF(ISERROR((BC98/AU98-1)*100),"NA",IF(((BC98/AU98-1)*100)&gt;100,"NM",IF(((BC98/AU98-1)*100)&lt;-50,"NM",(BC98/AU98-1)*100)))</f>
        <v>18.857142857142861</v>
      </c>
      <c r="BE98" s="121">
        <f>+BE96-BE97</f>
        <v>2.1</v>
      </c>
      <c r="BF98" s="61">
        <f>IF(ISERROR((BE98/AW98-1)*100),"NA",IF(((BE98/AW98-1)*100)&gt;100,"NM",IF(((BE98/AW98-1)*100)&lt;-50,"NM",(BE98/AW98-1)*100)))</f>
        <v>16.022099447513781</v>
      </c>
      <c r="BG98" s="121">
        <f>+BG96-BG97</f>
        <v>2.3100000000000005</v>
      </c>
      <c r="BH98" s="61"/>
      <c r="BI98" s="121">
        <f>+BI96-BI97</f>
        <v>2.1799999999999997</v>
      </c>
      <c r="BJ98" s="61"/>
      <c r="BK98" s="121">
        <f>+BK96-BK97</f>
        <v>2.08</v>
      </c>
      <c r="BL98" s="61"/>
      <c r="BM98" s="121">
        <f>+BM96-BM97</f>
        <v>2.1599999999999997</v>
      </c>
      <c r="BN98" s="61"/>
      <c r="BO98" s="121">
        <f>+BO96-BO97</f>
        <v>2.06</v>
      </c>
      <c r="BP98" s="61"/>
      <c r="BQ98" s="121">
        <f>+BQ96-BQ97</f>
        <v>2.14</v>
      </c>
      <c r="BR98" s="61"/>
      <c r="BS98" s="121">
        <f>+BS96-BS97</f>
        <v>1.8899999999999997</v>
      </c>
      <c r="BT98" s="61"/>
      <c r="BU98" s="121">
        <f>+BU96-BU97</f>
        <v>1.7599999999999998</v>
      </c>
      <c r="BV98" s="61"/>
      <c r="BW98" s="121">
        <f>+BW96-BW97</f>
        <v>1.4199999999999995</v>
      </c>
      <c r="BX98" s="61"/>
      <c r="BY98" s="121">
        <f>+BY96-BY97</f>
        <v>1.6400000000000001</v>
      </c>
      <c r="BZ98" s="61"/>
      <c r="CA98" s="121">
        <f>+CA96-CA97</f>
        <v>1.9100000000000001</v>
      </c>
      <c r="CB98" s="61"/>
      <c r="CC98" s="121">
        <f>+CC96-CC97</f>
        <v>2.02</v>
      </c>
      <c r="CD98" s="61"/>
      <c r="CE98" s="121">
        <f>+CE96-CE97</f>
        <v>2.1300000000000003</v>
      </c>
      <c r="CF98" s="61"/>
      <c r="CG98" s="121">
        <f>+CG96-CG97</f>
        <v>2.0499999999999998</v>
      </c>
      <c r="CH98" s="61"/>
      <c r="CI98" s="121">
        <f>+CI96-CI97</f>
        <v>2.0400000000000005</v>
      </c>
      <c r="CJ98" s="61"/>
      <c r="CK98" s="121">
        <f>+CK96-CK97</f>
        <v>2.2600000000000002</v>
      </c>
      <c r="CL98" s="61"/>
      <c r="CM98" s="121">
        <f>+CM96-CM97</f>
        <v>2.23</v>
      </c>
      <c r="CN98" s="61"/>
      <c r="CO98" s="121">
        <f>+CO96-CO97</f>
        <v>1.92</v>
      </c>
      <c r="CP98" s="61"/>
      <c r="CQ98" s="121">
        <f>+CQ96-CQ97</f>
        <v>1.87</v>
      </c>
      <c r="CR98" s="61"/>
      <c r="CS98" s="121">
        <f>+CS96-CS97</f>
        <v>1.8100000000000005</v>
      </c>
      <c r="CT98" s="61"/>
      <c r="CU98" s="121">
        <f>+CU96-CU97</f>
        <v>1.8199999999999998</v>
      </c>
      <c r="CV98" s="61"/>
      <c r="CW98" s="121">
        <f>+CW96-CW97</f>
        <v>1.9100000000000006</v>
      </c>
      <c r="CX98" s="61"/>
      <c r="CY98" s="121">
        <f>+CY96-CY97</f>
        <v>1.9300000000000002</v>
      </c>
      <c r="CZ98" s="61"/>
      <c r="DA98" s="121">
        <f>+DA96-DA97</f>
        <v>2.09</v>
      </c>
      <c r="DB98" s="61"/>
      <c r="DC98" s="121">
        <f>+DC96-DC97</f>
        <v>2.1</v>
      </c>
      <c r="DD98" s="61"/>
      <c r="DE98" s="121">
        <f>+DE96-DE97</f>
        <v>2.1800000000000002</v>
      </c>
      <c r="DF98" s="61"/>
      <c r="DG98" s="121">
        <f>+DG96-DG97</f>
        <v>1.7799999999999998</v>
      </c>
      <c r="DH98" s="61"/>
      <c r="DI98" s="121">
        <f>+DI96-DI97</f>
        <v>1.8099999999999996</v>
      </c>
      <c r="DJ98" s="61"/>
      <c r="DK98" s="121">
        <f>+DK96-DK97</f>
        <v>1.8199999999999998</v>
      </c>
      <c r="DL98" s="61"/>
      <c r="DM98" s="121">
        <f>+DM96-DM97</f>
        <v>1.8099999999999996</v>
      </c>
      <c r="DN98" s="130">
        <f t="shared" si="638"/>
        <v>-16.972477064220204</v>
      </c>
      <c r="DO98" s="121">
        <f>+DO96-DO97</f>
        <v>1.73</v>
      </c>
      <c r="DP98" s="130">
        <f t="shared" si="638"/>
        <v>-2.8089887640449396</v>
      </c>
      <c r="DQ98" s="121">
        <f>+DQ96-DQ97</f>
        <v>1.9299999999999997</v>
      </c>
      <c r="DR98" s="130">
        <f t="shared" si="638"/>
        <v>6.6298342541436517</v>
      </c>
      <c r="DS98" s="121">
        <f>+DS96-DS97</f>
        <v>1.8000000000000003</v>
      </c>
      <c r="DT98" s="130">
        <f t="shared" si="638"/>
        <v>-1.0989010989010728</v>
      </c>
      <c r="DU98" s="121">
        <f>+DU96-DU97</f>
        <v>1.65</v>
      </c>
      <c r="DV98" s="130">
        <f t="shared" si="638"/>
        <v>-8.83977900552485</v>
      </c>
      <c r="DW98" s="121">
        <f>+DW96-DW97</f>
        <v>1.81</v>
      </c>
      <c r="DX98" s="121">
        <f t="shared" ref="DX98:DY98" si="652">+DX96-DX97</f>
        <v>1.81</v>
      </c>
      <c r="DY98" s="121">
        <f t="shared" si="652"/>
        <v>1.7399999999999998</v>
      </c>
      <c r="DZ98" s="130">
        <f t="shared" si="638"/>
        <v>-9.8445595854922292</v>
      </c>
      <c r="EA98" s="121">
        <f t="shared" ref="EA98:EC98" si="653">+EA96-EA97</f>
        <v>1.96</v>
      </c>
      <c r="EB98" s="130">
        <f t="shared" si="639"/>
        <v>8.8888888888888786</v>
      </c>
      <c r="EC98" s="121">
        <f t="shared" si="653"/>
        <v>1.83</v>
      </c>
      <c r="ED98" s="130">
        <f t="shared" si="640"/>
        <v>10.909090909090914</v>
      </c>
      <c r="EE98" s="121">
        <f t="shared" ref="EE98:EG98" si="654">+EE96-EE97</f>
        <v>1.96</v>
      </c>
      <c r="EF98" s="130">
        <f t="shared" si="641"/>
        <v>8.287292817679548</v>
      </c>
      <c r="EG98" s="121">
        <f t="shared" si="654"/>
        <v>1.7600000000000002</v>
      </c>
      <c r="EH98" s="130">
        <f t="shared" si="642"/>
        <v>1.1494252873563537</v>
      </c>
      <c r="EI98" s="121">
        <f t="shared" ref="EI98:EK98" si="655">+EI96-EI97</f>
        <v>1.7399999999999998</v>
      </c>
      <c r="EJ98" s="130">
        <f t="shared" si="643"/>
        <v>-11.22448979591838</v>
      </c>
      <c r="EK98" s="121">
        <f t="shared" si="655"/>
        <v>1.8200000000000003</v>
      </c>
      <c r="EL98" s="130">
        <f t="shared" si="644"/>
        <v>-0.54644808743168349</v>
      </c>
      <c r="EM98" s="121">
        <f t="shared" ref="EM98" si="656">+EM96-EM97</f>
        <v>1.9799999999999995</v>
      </c>
      <c r="EN98" s="130">
        <f t="shared" si="645"/>
        <v>1.0204081632652739</v>
      </c>
      <c r="EO98" s="121">
        <f t="shared" ref="EO98" si="657">+EO96-EO97</f>
        <v>1.9700000000000002</v>
      </c>
      <c r="EP98" s="130">
        <f t="shared" si="646"/>
        <v>11.931818181818187</v>
      </c>
      <c r="EQ98" s="121"/>
      <c r="ER98" s="130" t="str">
        <f t="shared" si="647"/>
        <v>NM</v>
      </c>
      <c r="ES98" s="121"/>
      <c r="ET98" s="130" t="str">
        <f t="shared" si="648"/>
        <v>NM</v>
      </c>
      <c r="EU98" s="121"/>
      <c r="EV98" s="130" t="str">
        <f t="shared" si="649"/>
        <v>NM</v>
      </c>
      <c r="EW98" s="121"/>
      <c r="EX98" s="130" t="str">
        <f t="shared" si="650"/>
        <v>NM</v>
      </c>
      <c r="EY98" s="121"/>
      <c r="EZ98" s="558"/>
      <c r="FA98" s="121"/>
      <c r="FB98" s="121"/>
      <c r="FC98" s="121"/>
      <c r="FD98" s="121"/>
      <c r="FE98" s="70"/>
      <c r="FF98" s="121"/>
      <c r="FG98" s="70"/>
      <c r="FH98" s="121"/>
      <c r="FI98" s="70"/>
      <c r="FJ98" s="121"/>
      <c r="FK98" s="70"/>
      <c r="FL98" s="121"/>
      <c r="FM98" s="61"/>
      <c r="FN98" s="121"/>
      <c r="FO98" s="61"/>
      <c r="FP98" s="121"/>
      <c r="FQ98" s="61"/>
      <c r="FR98" s="121"/>
      <c r="FS98" s="61"/>
      <c r="FT98" s="121"/>
      <c r="FU98" s="61"/>
      <c r="FV98" s="121"/>
      <c r="FW98" s="61"/>
      <c r="FX98" s="121"/>
      <c r="FY98" s="61"/>
      <c r="FZ98" s="121"/>
      <c r="GA98" s="61"/>
      <c r="GB98" s="121"/>
      <c r="GC98" s="61"/>
      <c r="GD98" s="121"/>
      <c r="GE98" s="61"/>
      <c r="GF98" s="121"/>
      <c r="GG98" s="61"/>
      <c r="GH98" s="121"/>
      <c r="GI98" s="61"/>
      <c r="GJ98" s="121"/>
      <c r="GK98" s="61"/>
      <c r="GL98" s="121"/>
      <c r="GM98" s="61"/>
      <c r="GN98" s="121"/>
      <c r="GO98" s="61"/>
      <c r="GP98" s="121"/>
      <c r="GQ98" s="61"/>
      <c r="GR98" s="121"/>
      <c r="GS98" s="61"/>
      <c r="GT98" s="121"/>
      <c r="GU98" s="61"/>
      <c r="GV98" s="121"/>
      <c r="GW98" s="61"/>
      <c r="GX98" s="121"/>
      <c r="GY98" s="61"/>
      <c r="GZ98" s="61" t="str">
        <f t="shared" si="651"/>
        <v/>
      </c>
      <c r="HA98" s="61"/>
      <c r="HB98" s="452"/>
      <c r="HC98"/>
      <c r="HD98"/>
      <c r="HE98"/>
      <c r="HF98"/>
      <c r="HG98"/>
      <c r="HH98"/>
    </row>
    <row r="99" spans="1:216" s="5" customFormat="1" ht="12.75" customHeight="1" x14ac:dyDescent="0.2">
      <c r="B99" s="68"/>
      <c r="C99" s="121"/>
      <c r="D99" s="122"/>
      <c r="E99" s="121"/>
      <c r="F99" s="16"/>
      <c r="G99" s="121"/>
      <c r="H99" s="121"/>
      <c r="I99" s="121"/>
      <c r="J99" s="121"/>
      <c r="K99" s="121"/>
      <c r="L99" s="61"/>
      <c r="M99" s="121"/>
      <c r="N99" s="61"/>
      <c r="O99" s="121"/>
      <c r="P99" s="61"/>
      <c r="Q99" s="121"/>
      <c r="R99" s="61"/>
      <c r="S99" s="121"/>
      <c r="T99" s="61"/>
      <c r="U99" s="121"/>
      <c r="V99" s="61"/>
      <c r="W99" s="121"/>
      <c r="X99" s="61"/>
      <c r="Y99" s="121"/>
      <c r="Z99" s="61"/>
      <c r="AA99" s="121"/>
      <c r="AB99" s="61"/>
      <c r="AC99" s="121"/>
      <c r="AD99" s="61"/>
      <c r="AE99" s="121"/>
      <c r="AF99" s="61"/>
      <c r="AG99" s="121"/>
      <c r="AH99" s="61"/>
      <c r="AI99" s="121"/>
      <c r="AJ99" s="61"/>
      <c r="AK99" s="121"/>
      <c r="AL99" s="61"/>
      <c r="AM99" s="121"/>
      <c r="AN99" s="61"/>
      <c r="AO99" s="121"/>
      <c r="AP99" s="61"/>
      <c r="AQ99" s="121"/>
      <c r="AR99" s="61"/>
      <c r="AS99" s="121"/>
      <c r="AT99" s="61"/>
      <c r="AU99" s="121"/>
      <c r="AV99" s="61"/>
      <c r="AW99" s="121"/>
      <c r="AX99" s="61"/>
      <c r="AY99" s="121"/>
      <c r="AZ99" s="61"/>
      <c r="BA99" s="121"/>
      <c r="BB99" s="61"/>
      <c r="BC99" s="121"/>
      <c r="BD99" s="61"/>
      <c r="BE99" s="121"/>
      <c r="BF99" s="61"/>
      <c r="BG99" s="121"/>
      <c r="BH99" s="61"/>
      <c r="BI99" s="121"/>
      <c r="BJ99" s="61"/>
      <c r="BK99" s="121"/>
      <c r="BL99" s="61"/>
      <c r="BM99" s="121"/>
      <c r="BN99" s="61"/>
      <c r="BO99" s="121"/>
      <c r="BP99" s="61"/>
      <c r="BQ99" s="121"/>
      <c r="BR99" s="61"/>
      <c r="BS99" s="121"/>
      <c r="BT99" s="61"/>
      <c r="BU99" s="121"/>
      <c r="BV99" s="61"/>
      <c r="BW99" s="121"/>
      <c r="BX99" s="61"/>
      <c r="BY99" s="121"/>
      <c r="BZ99" s="61"/>
      <c r="CA99" s="121"/>
      <c r="CB99" s="61"/>
      <c r="CC99" s="121"/>
      <c r="CD99" s="61"/>
      <c r="CE99" s="121"/>
      <c r="CF99" s="61"/>
      <c r="CG99" s="121"/>
      <c r="CH99" s="61"/>
      <c r="CI99" s="121"/>
      <c r="CJ99" s="61"/>
      <c r="CK99" s="121"/>
      <c r="CL99" s="61"/>
      <c r="CM99" s="121"/>
      <c r="CN99" s="61"/>
      <c r="CO99" s="121"/>
      <c r="CP99" s="61"/>
      <c r="CQ99" s="121"/>
      <c r="CR99" s="61"/>
      <c r="CS99" s="121"/>
      <c r="CT99" s="61"/>
      <c r="CU99" s="121"/>
      <c r="CV99" s="61"/>
      <c r="CW99" s="121"/>
      <c r="CX99" s="61"/>
      <c r="CY99" s="121"/>
      <c r="CZ99" s="61"/>
      <c r="DA99" s="121"/>
      <c r="DB99" s="61"/>
      <c r="DC99" s="121"/>
      <c r="DD99" s="61"/>
      <c r="DE99" s="121"/>
      <c r="DF99" s="61"/>
      <c r="DG99" s="121"/>
      <c r="DH99" s="61"/>
      <c r="DI99" s="121"/>
      <c r="DJ99" s="61"/>
      <c r="DK99" s="121"/>
      <c r="DL99" s="61"/>
      <c r="DM99" s="121"/>
      <c r="DN99" s="61"/>
      <c r="DO99" s="121"/>
      <c r="DP99" s="61"/>
      <c r="DQ99" s="121"/>
      <c r="DR99" s="61"/>
      <c r="DS99" s="121"/>
      <c r="DT99" s="61"/>
      <c r="DU99" s="121"/>
      <c r="DV99" s="61"/>
      <c r="DW99" s="121"/>
      <c r="DX99" s="121"/>
      <c r="DY99" s="121"/>
      <c r="DZ99" s="61"/>
      <c r="EA99" s="121"/>
      <c r="EB99" s="61"/>
      <c r="EC99" s="121"/>
      <c r="ED99" s="61"/>
      <c r="EE99" s="121"/>
      <c r="EF99" s="61"/>
      <c r="EG99" s="121"/>
      <c r="EH99" s="61"/>
      <c r="EI99" s="121"/>
      <c r="EJ99" s="61"/>
      <c r="EK99" s="121"/>
      <c r="EL99" s="61"/>
      <c r="EM99" s="121"/>
      <c r="EN99" s="61"/>
      <c r="EO99" s="121"/>
      <c r="EP99" s="61"/>
      <c r="EQ99" s="121"/>
      <c r="ER99" s="61"/>
      <c r="ES99" s="121"/>
      <c r="ET99" s="61"/>
      <c r="EU99" s="121"/>
      <c r="EV99" s="61"/>
      <c r="EW99" s="121"/>
      <c r="EX99" s="61"/>
      <c r="EY99" s="121"/>
      <c r="EZ99" s="558"/>
      <c r="FA99" s="121"/>
      <c r="FB99" s="121"/>
      <c r="FC99" s="121"/>
      <c r="FD99" s="121"/>
      <c r="FE99" s="70"/>
      <c r="FF99" s="121"/>
      <c r="FG99" s="70"/>
      <c r="FH99" s="121"/>
      <c r="FI99" s="70"/>
      <c r="FJ99" s="121"/>
      <c r="FK99" s="70"/>
      <c r="FL99" s="121"/>
      <c r="FM99" s="61"/>
      <c r="FN99" s="121"/>
      <c r="FO99" s="61"/>
      <c r="FP99" s="121"/>
      <c r="FQ99" s="61"/>
      <c r="FR99" s="121"/>
      <c r="FS99" s="61"/>
      <c r="FT99" s="121"/>
      <c r="FU99" s="61"/>
      <c r="FV99" s="121"/>
      <c r="FW99" s="61"/>
      <c r="FX99" s="121"/>
      <c r="FY99" s="61"/>
      <c r="FZ99" s="121"/>
      <c r="GA99" s="61"/>
      <c r="GB99" s="121"/>
      <c r="GC99" s="61"/>
      <c r="GD99" s="121"/>
      <c r="GE99" s="61"/>
      <c r="GF99" s="121"/>
      <c r="GG99" s="61"/>
      <c r="GH99" s="121"/>
      <c r="GI99" s="61"/>
      <c r="GJ99" s="121"/>
      <c r="GK99" s="61"/>
      <c r="GL99" s="121"/>
      <c r="GM99" s="61"/>
      <c r="GN99" s="121"/>
      <c r="GO99" s="61"/>
      <c r="GP99" s="121"/>
      <c r="GQ99" s="61"/>
      <c r="GR99" s="121"/>
      <c r="GS99" s="61"/>
      <c r="GT99" s="121"/>
      <c r="GU99" s="61"/>
      <c r="GV99" s="121"/>
      <c r="GW99" s="61"/>
      <c r="GX99" s="121"/>
      <c r="GY99" s="61"/>
      <c r="GZ99" s="61" t="str">
        <f t="shared" si="651"/>
        <v/>
      </c>
      <c r="HA99" s="61"/>
      <c r="HB99" s="452"/>
      <c r="HC99"/>
      <c r="HD99"/>
      <c r="HE99"/>
      <c r="HF99"/>
      <c r="HG99"/>
      <c r="HH99"/>
    </row>
    <row r="100" spans="1:216" s="5" customFormat="1" ht="12.75" customHeight="1" x14ac:dyDescent="0.2">
      <c r="B100" s="63" t="s">
        <v>497</v>
      </c>
      <c r="C100" s="66"/>
      <c r="D100" s="67"/>
      <c r="E100" s="66"/>
      <c r="F100" s="66"/>
      <c r="G100" s="64"/>
      <c r="H100" s="66"/>
      <c r="I100" s="64"/>
      <c r="J100" s="66"/>
      <c r="K100" s="64"/>
      <c r="L100" s="61"/>
      <c r="M100" s="66"/>
      <c r="N100" s="61"/>
      <c r="O100" s="64"/>
      <c r="P100" s="61"/>
      <c r="Q100" s="64"/>
      <c r="R100" s="61"/>
      <c r="S100" s="64"/>
      <c r="T100" s="61"/>
      <c r="U100" s="64"/>
      <c r="V100" s="61"/>
      <c r="W100" s="64"/>
      <c r="X100" s="61"/>
      <c r="Y100" s="64"/>
      <c r="Z100" s="61"/>
      <c r="AA100" s="64"/>
      <c r="AB100" s="61"/>
      <c r="AC100" s="64"/>
      <c r="AD100" s="61"/>
      <c r="AE100" s="64"/>
      <c r="AF100" s="61"/>
      <c r="AG100" s="64"/>
      <c r="AH100" s="61"/>
      <c r="AI100" s="64"/>
      <c r="AJ100" s="61"/>
      <c r="AK100" s="64"/>
      <c r="AL100" s="61"/>
      <c r="AM100" s="64"/>
      <c r="AN100" s="61"/>
      <c r="AO100" s="64"/>
      <c r="AP100" s="61"/>
      <c r="AQ100" s="64"/>
      <c r="AR100" s="61"/>
      <c r="AS100" s="64"/>
      <c r="AT100" s="61"/>
      <c r="AU100" s="64"/>
      <c r="AV100" s="61"/>
      <c r="AW100" s="64"/>
      <c r="AX100" s="61"/>
      <c r="AY100" s="64"/>
      <c r="AZ100" s="61"/>
      <c r="BA100" s="64"/>
      <c r="BB100" s="61"/>
      <c r="BC100" s="64"/>
      <c r="BD100" s="61"/>
      <c r="BE100" s="64"/>
      <c r="BF100" s="61"/>
      <c r="BG100" s="64"/>
      <c r="BH100" s="61"/>
      <c r="BI100" s="64"/>
      <c r="BJ100" s="61"/>
      <c r="BK100" s="64"/>
      <c r="BL100" s="61"/>
      <c r="BM100" s="64"/>
      <c r="BN100" s="61"/>
      <c r="BO100" s="64"/>
      <c r="BP100" s="61"/>
      <c r="BQ100" s="64"/>
      <c r="BR100" s="61"/>
      <c r="BS100" s="64"/>
      <c r="BT100" s="61"/>
      <c r="BU100" s="64"/>
      <c r="BV100" s="61"/>
      <c r="BW100" s="64"/>
      <c r="BX100" s="61"/>
      <c r="BY100" s="64"/>
      <c r="BZ100" s="61"/>
      <c r="CA100" s="64"/>
      <c r="CB100" s="61"/>
      <c r="CC100" s="64"/>
      <c r="CD100" s="61"/>
      <c r="CE100" s="64"/>
      <c r="CF100" s="61"/>
      <c r="CG100" s="64"/>
      <c r="CH100" s="61"/>
      <c r="CI100" s="64"/>
      <c r="CJ100" s="61"/>
      <c r="CK100" s="64"/>
      <c r="CL100" s="61"/>
      <c r="CM100" s="64"/>
      <c r="CN100" s="61"/>
      <c r="CO100" s="64"/>
      <c r="CP100" s="61"/>
      <c r="CQ100" s="64"/>
      <c r="CR100" s="61"/>
      <c r="CS100" s="64"/>
      <c r="CT100" s="61"/>
      <c r="CU100" s="64"/>
      <c r="CV100" s="61"/>
      <c r="CW100" s="64"/>
      <c r="CX100" s="61"/>
      <c r="CY100" s="64"/>
      <c r="CZ100" s="61"/>
      <c r="DA100" s="64"/>
      <c r="DB100" s="61"/>
      <c r="DC100" s="64"/>
      <c r="DD100" s="61"/>
      <c r="DE100" s="64"/>
      <c r="DF100" s="61"/>
      <c r="DG100" s="64"/>
      <c r="DH100" s="61"/>
      <c r="DI100" s="64"/>
      <c r="DJ100" s="61"/>
      <c r="DK100" s="64"/>
      <c r="DL100" s="61"/>
      <c r="DM100" s="64"/>
      <c r="DN100" s="61"/>
      <c r="DO100" s="64"/>
      <c r="DP100" s="61"/>
      <c r="DQ100" s="64"/>
      <c r="DR100" s="61"/>
      <c r="DS100" s="64"/>
      <c r="DT100" s="61"/>
      <c r="DU100" s="64"/>
      <c r="DV100" s="61"/>
      <c r="DW100" s="64"/>
      <c r="DX100" s="64"/>
      <c r="DY100" s="64"/>
      <c r="DZ100" s="61"/>
      <c r="EA100" s="64"/>
      <c r="EB100" s="61"/>
      <c r="EC100" s="64"/>
      <c r="ED100" s="61"/>
      <c r="EE100" s="64"/>
      <c r="EF100" s="61"/>
      <c r="EG100" s="64"/>
      <c r="EH100" s="61"/>
      <c r="EI100" s="64"/>
      <c r="EJ100" s="61"/>
      <c r="EK100" s="64"/>
      <c r="EL100" s="61"/>
      <c r="EM100" s="64"/>
      <c r="EN100" s="61"/>
      <c r="EO100" s="64"/>
      <c r="EP100" s="61"/>
      <c r="EQ100" s="64"/>
      <c r="ER100" s="61"/>
      <c r="ES100" s="64"/>
      <c r="ET100" s="61"/>
      <c r="EU100" s="64"/>
      <c r="EV100" s="61"/>
      <c r="EW100" s="64"/>
      <c r="EX100" s="61"/>
      <c r="EY100" s="64"/>
      <c r="EZ100" s="558"/>
      <c r="FA100" s="64"/>
      <c r="FB100" s="66"/>
      <c r="FC100" s="66"/>
      <c r="FD100" s="66"/>
      <c r="FE100" s="67"/>
      <c r="FF100" s="66"/>
      <c r="FG100" s="67"/>
      <c r="FH100" s="66"/>
      <c r="FI100" s="67"/>
      <c r="FJ100" s="66"/>
      <c r="FK100" s="67"/>
      <c r="FL100" s="66"/>
      <c r="FM100" s="61"/>
      <c r="FN100" s="66"/>
      <c r="FO100" s="61"/>
      <c r="FP100" s="65"/>
      <c r="FQ100" s="61"/>
      <c r="FR100" s="65"/>
      <c r="FS100" s="61"/>
      <c r="FT100" s="65"/>
      <c r="FU100" s="61"/>
      <c r="FV100" s="65"/>
      <c r="FW100" s="61"/>
      <c r="FX100" s="65"/>
      <c r="FY100" s="61"/>
      <c r="FZ100" s="65"/>
      <c r="GA100" s="61"/>
      <c r="GB100" s="65"/>
      <c r="GC100" s="61"/>
      <c r="GD100" s="65"/>
      <c r="GE100" s="61"/>
      <c r="GF100" s="65"/>
      <c r="GG100" s="61"/>
      <c r="GH100" s="65"/>
      <c r="GI100" s="61"/>
      <c r="GJ100" s="65"/>
      <c r="GK100" s="61"/>
      <c r="GL100" s="65"/>
      <c r="GM100" s="61"/>
      <c r="GN100" s="65"/>
      <c r="GO100" s="61"/>
      <c r="GP100" s="65"/>
      <c r="GQ100" s="61"/>
      <c r="GR100" s="64"/>
      <c r="GS100" s="61"/>
      <c r="GT100" s="64"/>
      <c r="GU100" s="61"/>
      <c r="GV100" s="64"/>
      <c r="GW100" s="61"/>
      <c r="GX100" s="64"/>
      <c r="GY100" s="61"/>
      <c r="GZ100" s="61" t="str">
        <f t="shared" si="651"/>
        <v/>
      </c>
      <c r="HA100" s="61"/>
      <c r="HB100" s="452"/>
      <c r="HC100"/>
      <c r="HD100"/>
      <c r="HE100"/>
      <c r="HF100"/>
      <c r="HG100"/>
      <c r="HH100"/>
    </row>
    <row r="101" spans="1:216" s="5" customFormat="1" ht="12.75" customHeight="1" x14ac:dyDescent="0.2">
      <c r="B101" s="2" t="s">
        <v>380</v>
      </c>
      <c r="C101" s="72"/>
      <c r="D101" s="70"/>
      <c r="E101" s="72"/>
      <c r="F101" s="71"/>
      <c r="G101" s="74"/>
      <c r="H101" s="71"/>
      <c r="I101" s="74"/>
      <c r="J101" s="61"/>
      <c r="K101" s="74"/>
      <c r="L101" s="61"/>
      <c r="M101" s="72"/>
      <c r="N101" s="61"/>
      <c r="O101" s="74"/>
      <c r="P101" s="61"/>
      <c r="Q101" s="74"/>
      <c r="R101" s="61"/>
      <c r="S101" s="74"/>
      <c r="T101" s="61"/>
      <c r="U101" s="74"/>
      <c r="V101" s="61"/>
      <c r="W101" s="74"/>
      <c r="X101" s="61"/>
      <c r="Y101" s="74"/>
      <c r="Z101" s="61"/>
      <c r="AA101" s="74"/>
      <c r="AB101" s="61"/>
      <c r="AC101" s="74"/>
      <c r="AD101" s="61"/>
      <c r="AE101" s="74"/>
      <c r="AF101" s="61"/>
      <c r="AG101" s="74"/>
      <c r="AH101" s="61"/>
      <c r="AI101" s="74"/>
      <c r="AJ101" s="61"/>
      <c r="AK101" s="74"/>
      <c r="AL101" s="61"/>
      <c r="AM101" s="74"/>
      <c r="AN101" s="61"/>
      <c r="AO101" s="74"/>
      <c r="AP101" s="61"/>
      <c r="AQ101" s="74">
        <v>21.2</v>
      </c>
      <c r="AR101" s="61" t="str">
        <f t="shared" ref="AR101:AR106" si="658">IF(ISERROR((AQ101/AI101-1)*100),"NA",IF(((AQ101/AI101-1)*100)&gt;100,"NM",IF(((AQ101/AI101-1)*100)&lt;-50,"NM",(AQ101/AI101-1)*100)))</f>
        <v>NA</v>
      </c>
      <c r="AS101" s="74">
        <v>31.4</v>
      </c>
      <c r="AT101" s="61" t="str">
        <f t="shared" ref="AT101:AT106" si="659">IF(ISERROR((AS101/AK101-1)*100),"NA",IF(((AS101/AK101-1)*100)&gt;100,"NM",IF(((AS101/AK101-1)*100)&lt;-50,"NM",(AS101/AK101-1)*100)))</f>
        <v>NA</v>
      </c>
      <c r="AU101" s="74">
        <v>20.5</v>
      </c>
      <c r="AV101" s="61" t="str">
        <f t="shared" ref="AV101:AX106" si="660">IF(ISERROR((AU101/AM101-1)*100),"NA",IF(((AU101/AM101-1)*100)&gt;100,"NM",IF(((AU101/AM101-1)*100)&lt;-50,"NM",(AU101/AM101-1)*100)))</f>
        <v>NA</v>
      </c>
      <c r="AW101" s="74">
        <v>21.2</v>
      </c>
      <c r="AX101" s="61" t="str">
        <f t="shared" si="660"/>
        <v>NA</v>
      </c>
      <c r="AY101" s="74">
        <v>20.399999999999999</v>
      </c>
      <c r="AZ101" s="61">
        <f t="shared" ref="AZ101:AZ106" si="661">IF(ISERROR((AY101/AQ101-1)*100),"NA",IF(((AY101/AQ101-1)*100)&gt;100,"NM",IF(((AY101/AQ101-1)*100)&lt;-50,"NM",(AY101/AQ101-1)*100)))</f>
        <v>-3.7735849056603765</v>
      </c>
      <c r="BA101" s="74">
        <v>45.3</v>
      </c>
      <c r="BB101" s="61">
        <f t="shared" ref="BB101:BB106" si="662">IF(ISERROR((BA101/AS101-1)*100),"NA",IF(((BA101/AS101-1)*100)&gt;100,"NM",IF(((BA101/AS101-1)*100)&lt;-50,"NM",(BA101/AS101-1)*100)))</f>
        <v>44.267515923566883</v>
      </c>
      <c r="BC101" s="74">
        <v>27.4</v>
      </c>
      <c r="BD101" s="61">
        <f t="shared" ref="BD101:BD106" si="663">IF(ISERROR((BC101/AU101-1)*100),"NA",IF(((BC101/AU101-1)*100)&gt;100,"NM",IF(((BC101/AU101-1)*100)&lt;-50,"NM",(BC101/AU101-1)*100)))</f>
        <v>33.658536585365837</v>
      </c>
      <c r="BE101" s="74">
        <v>11.7</v>
      </c>
      <c r="BF101" s="61">
        <f t="shared" ref="BF101:BF106" si="664">IF(ISERROR((BE101/AW101-1)*100),"NA",IF(((BE101/AW101-1)*100)&gt;100,"NM",IF(((BE101/AW101-1)*100)&lt;-50,"NM",(BE101/AW101-1)*100)))</f>
        <v>-44.811320754716988</v>
      </c>
      <c r="BG101" s="74">
        <v>25.4</v>
      </c>
      <c r="BH101" s="61">
        <f t="shared" ref="BH101:CT106" si="665">IF(ISERROR((BG101/AY101-1)*100),"NA",IF(((BG101/AY101-1)*100)&gt;100,"NM",IF(((BG101/AY101-1)*100)&lt;-50,"NM",(BG101/AY101-1)*100)))</f>
        <v>24.509803921568629</v>
      </c>
      <c r="BI101" s="74">
        <v>26.6</v>
      </c>
      <c r="BJ101" s="61">
        <f t="shared" si="665"/>
        <v>-41.280353200882992</v>
      </c>
      <c r="BK101" s="74">
        <v>56.3</v>
      </c>
      <c r="BL101" s="61" t="str">
        <f t="shared" si="665"/>
        <v>NM</v>
      </c>
      <c r="BM101" s="74">
        <v>62</v>
      </c>
      <c r="BN101" s="61" t="str">
        <f t="shared" si="665"/>
        <v>NM</v>
      </c>
      <c r="BO101" s="74">
        <v>51.3</v>
      </c>
      <c r="BP101" s="61" t="str">
        <f t="shared" si="665"/>
        <v>NM</v>
      </c>
      <c r="BQ101" s="74">
        <v>35.200000000000003</v>
      </c>
      <c r="BR101" s="61">
        <f t="shared" si="665"/>
        <v>32.330827067669162</v>
      </c>
      <c r="BS101" s="74">
        <v>112.9</v>
      </c>
      <c r="BT101" s="61" t="str">
        <f t="shared" si="665"/>
        <v>NM</v>
      </c>
      <c r="BU101" s="74">
        <v>81.599999999999994</v>
      </c>
      <c r="BV101" s="61">
        <f t="shared" si="665"/>
        <v>31.612903225806434</v>
      </c>
      <c r="BW101" s="74">
        <v>75.8</v>
      </c>
      <c r="BX101" s="61">
        <f t="shared" si="665"/>
        <v>47.758284600389864</v>
      </c>
      <c r="BY101" s="74">
        <v>67</v>
      </c>
      <c r="BZ101" s="61">
        <f t="shared" si="665"/>
        <v>90.340909090909079</v>
      </c>
      <c r="CA101" s="74">
        <v>51.5</v>
      </c>
      <c r="CB101" s="61" t="str">
        <f t="shared" si="665"/>
        <v>NM</v>
      </c>
      <c r="CC101" s="74">
        <v>47.5</v>
      </c>
      <c r="CD101" s="61">
        <f t="shared" si="665"/>
        <v>-41.789215686274503</v>
      </c>
      <c r="CE101" s="74">
        <v>43.8</v>
      </c>
      <c r="CF101" s="61">
        <f t="shared" si="665"/>
        <v>-42.216358839050137</v>
      </c>
      <c r="CG101" s="74">
        <v>40.700000000000003</v>
      </c>
      <c r="CH101" s="61">
        <f t="shared" si="665"/>
        <v>-39.253731343283583</v>
      </c>
      <c r="CI101" s="74">
        <v>43</v>
      </c>
      <c r="CJ101" s="61">
        <f t="shared" si="665"/>
        <v>-16.504854368932044</v>
      </c>
      <c r="CK101" s="74">
        <v>47.2</v>
      </c>
      <c r="CL101" s="61">
        <f t="shared" si="665"/>
        <v>-0.63157894736841635</v>
      </c>
      <c r="CM101" s="74">
        <v>35.4</v>
      </c>
      <c r="CN101" s="61">
        <f t="shared" si="665"/>
        <v>-19.17808219178082</v>
      </c>
      <c r="CO101" s="74">
        <v>42.6</v>
      </c>
      <c r="CP101" s="61">
        <f t="shared" si="665"/>
        <v>4.668304668304657</v>
      </c>
      <c r="CQ101" s="74">
        <v>87</v>
      </c>
      <c r="CR101" s="61" t="str">
        <f t="shared" si="665"/>
        <v>NM</v>
      </c>
      <c r="CS101" s="74">
        <v>47</v>
      </c>
      <c r="CT101" s="61">
        <f t="shared" si="665"/>
        <v>-0.42372881355933201</v>
      </c>
      <c r="CU101" s="74">
        <v>45</v>
      </c>
      <c r="CV101" s="61">
        <f t="shared" ref="CV101:CV106" si="666">IF(ISERROR((CU101/CM101-1)*100),"NA",IF(((CU101/CM101-1)*100)&gt;100,"NM",IF(((CU101/CM101-1)*100)&lt;-50,"NM",(CU101/CM101-1)*100)))</f>
        <v>27.118644067796605</v>
      </c>
      <c r="CW101" s="74">
        <v>49</v>
      </c>
      <c r="CX101" s="61">
        <f t="shared" ref="CX101:CX106" si="667">IF(ISERROR((CW101/CO101-1)*100),"NA",IF(((CW101/CO101-1)*100)&gt;100,"NM",IF(((CW101/CO101-1)*100)&lt;-50,"NM",(CW101/CO101-1)*100)))</f>
        <v>15.023474178403751</v>
      </c>
      <c r="CY101" s="74">
        <v>131</v>
      </c>
      <c r="CZ101" s="61">
        <f t="shared" ref="CZ101:CZ106" si="668">IF(ISERROR((CY101/CQ101-1)*100),"NA",IF(((CY101/CQ101-1)*100)&gt;100,"NM",IF(((CY101/CQ101-1)*100)&lt;-50,"NM",(CY101/CQ101-1)*100)))</f>
        <v>50.574712643678168</v>
      </c>
      <c r="DA101" s="74">
        <v>55</v>
      </c>
      <c r="DB101" s="61">
        <f t="shared" ref="DB101:DB106" si="669">IF(ISERROR((DA101/CS101-1)*100),"NA",IF(((DA101/CS101-1)*100)&gt;100,"NM",IF(((DA101/CS101-1)*100)&lt;-50,"NM",(DA101/CS101-1)*100)))</f>
        <v>17.021276595744684</v>
      </c>
      <c r="DC101" s="74">
        <v>65</v>
      </c>
      <c r="DD101" s="61">
        <f t="shared" ref="DD101:DD106" si="670">IF(ISERROR((DC101/CU101-1)*100),"NA",IF(((DC101/CU101-1)*100)&gt;100,"NM",IF(((DC101/CU101-1)*100)&lt;-50,"NM",(DC101/CU101-1)*100)))</f>
        <v>44.444444444444443</v>
      </c>
      <c r="DE101" s="74">
        <v>62</v>
      </c>
      <c r="DF101" s="61">
        <f t="shared" ref="DF101:DF106" si="671">IF(ISERROR((DE101/CW101-1)*100),"NA",IF(((DE101/CW101-1)*100)&gt;100,"NM",IF(((DE101/CW101-1)*100)&lt;-50,"NM",(DE101/CW101-1)*100)))</f>
        <v>26.530612244897966</v>
      </c>
      <c r="DG101" s="74">
        <v>78</v>
      </c>
      <c r="DH101" s="61">
        <f t="shared" ref="DH101:DH106" si="672">IF(ISERROR((DG101/CY101-1)*100),"NA",IF(((DG101/CY101-1)*100)&gt;100,"NM",IF(((DG101/CY101-1)*100)&lt;-50,"NM",(DG101/CY101-1)*100)))</f>
        <v>-40.458015267175576</v>
      </c>
      <c r="DI101" s="74">
        <v>68</v>
      </c>
      <c r="DJ101" s="61">
        <f t="shared" ref="DJ101:DJ106" si="673">IF(ISERROR((DI101/DA101-1)*100),"NA",IF(((DI101/DA101-1)*100)&gt;100,"NM",IF(((DI101/DA101-1)*100)&lt;-50,"NM",(DI101/DA101-1)*100)))</f>
        <v>23.636363636363633</v>
      </c>
      <c r="DK101" s="74">
        <v>87</v>
      </c>
      <c r="DL101" s="61">
        <f t="shared" ref="DL101:DL106" si="674">IF(ISERROR((DK101/DC101-1)*100),"NA",IF(((DK101/DC101-1)*100)&gt;100,"NM",IF(((DK101/DC101-1)*100)&lt;-50,"NM",(DK101/DC101-1)*100)))</f>
        <v>33.84615384615384</v>
      </c>
      <c r="DM101" s="74">
        <v>80</v>
      </c>
      <c r="DN101" s="130">
        <f t="shared" ref="DN101:DZ106" si="675">IF(ISERROR((DM101/DE101-1)*100),"NA",IF(((DM101/DE101-1)*100)&gt;100,"NM",IF(((DM101/DE101-1)*100)&lt;-50,"NM",(DM101/DE101-1)*100)))</f>
        <v>29.032258064516125</v>
      </c>
      <c r="DO101" s="74">
        <v>101</v>
      </c>
      <c r="DP101" s="130">
        <f t="shared" si="675"/>
        <v>29.487179487179493</v>
      </c>
      <c r="DQ101" s="74">
        <v>92</v>
      </c>
      <c r="DR101" s="130">
        <f t="shared" si="675"/>
        <v>35.294117647058833</v>
      </c>
      <c r="DS101" s="74">
        <v>129</v>
      </c>
      <c r="DT101" s="130">
        <f t="shared" si="675"/>
        <v>48.275862068965523</v>
      </c>
      <c r="DU101" s="74">
        <v>90</v>
      </c>
      <c r="DV101" s="130">
        <f t="shared" si="675"/>
        <v>12.5</v>
      </c>
      <c r="DW101" s="74">
        <v>219</v>
      </c>
      <c r="DX101" s="74">
        <v>90</v>
      </c>
      <c r="DY101" s="74">
        <v>214</v>
      </c>
      <c r="DZ101" s="130" t="str">
        <f t="shared" si="675"/>
        <v>NM</v>
      </c>
      <c r="EA101" s="74">
        <v>216</v>
      </c>
      <c r="EB101" s="130">
        <f t="shared" ref="EB101:EB106" si="676">IF(ISERROR((EA101/DS101-1)*100),"NA",IF(((EA101/DS101-1)*100)&gt;100,"NM",IF(((EA101/DS101-1)*100)&lt;-50,"NM",(EA101/DS101-1)*100)))</f>
        <v>67.441860465116292</v>
      </c>
      <c r="EC101" s="74">
        <v>136</v>
      </c>
      <c r="ED101" s="130">
        <f t="shared" ref="ED101:ED106" si="677">IF(ISERROR((EC101/DU101-1)*100),"NA",IF(((EC101/DU101-1)*100)&gt;100,"NM",IF(((EC101/DU101-1)*100)&lt;-50,"NM",(EC101/DU101-1)*100)))</f>
        <v>51.111111111111107</v>
      </c>
      <c r="EE101" s="74">
        <v>112</v>
      </c>
      <c r="EF101" s="130">
        <f t="shared" ref="EF101:EF106" si="678">IF(ISERROR((EE101/DW101-1)*100),"NA",IF(((EE101/DW101-1)*100)&gt;100,"NM",IF(((EE101/DW101-1)*100)&lt;-50,"NM",(EE101/DW101-1)*100)))</f>
        <v>-48.858447488584474</v>
      </c>
      <c r="EG101" s="74">
        <v>132</v>
      </c>
      <c r="EH101" s="130">
        <f t="shared" ref="EH101:EH106" si="679">IF(ISERROR((EG101/DY101-1)*100),"NA",IF(((EG101/DY101-1)*100)&gt;100,"NM",IF(((EG101/DY101-1)*100)&lt;-50,"NM",(EG101/DY101-1)*100)))</f>
        <v>-38.317757009345797</v>
      </c>
      <c r="EI101" s="74">
        <v>193</v>
      </c>
      <c r="EJ101" s="130">
        <f t="shared" ref="EJ101:EJ106" si="680">IF(ISERROR((EI101/EA101-1)*100),"NA",IF(((EI101/EA101-1)*100)&gt;100,"NM",IF(((EI101/EA101-1)*100)&lt;-50,"NM",(EI101/EA101-1)*100)))</f>
        <v>-10.648148148148151</v>
      </c>
      <c r="EK101" s="74">
        <v>174</v>
      </c>
      <c r="EL101" s="130">
        <f t="shared" ref="EL101:EL106" si="681">IF(ISERROR((EK101/EC101-1)*100),"NA",IF(((EK101/EC101-1)*100)&gt;100,"NM",IF(((EK101/EC101-1)*100)&lt;-50,"NM",(EK101/EC101-1)*100)))</f>
        <v>27.941176470588225</v>
      </c>
      <c r="EM101" s="74">
        <v>135</v>
      </c>
      <c r="EN101" s="130">
        <f t="shared" ref="EN101:EN106" si="682">IF(ISERROR((EM101/EE101-1)*100),"NA",IF(((EM101/EE101-1)*100)&gt;100,"NM",IF(((EM101/EE101-1)*100)&lt;-50,"NM",(EM101/EE101-1)*100)))</f>
        <v>20.535714285714278</v>
      </c>
      <c r="EO101" s="74">
        <v>224</v>
      </c>
      <c r="EP101" s="130">
        <f t="shared" ref="EP101:EP106" si="683">IF(ISERROR((EO101/EG101-1)*100),"NA",IF(((EO101/EG101-1)*100)&gt;100,"NM",IF(((EO101/EG101-1)*100)&lt;-50,"NM",(EO101/EG101-1)*100)))</f>
        <v>69.696969696969703</v>
      </c>
      <c r="EQ101" s="75">
        <f t="shared" ref="EQ101:EW101" si="684">EQ87*EQ109/100</f>
        <v>173.28822804299011</v>
      </c>
      <c r="ER101" s="130">
        <f t="shared" ref="ER101:ER106" si="685">IF(ISERROR((EQ101/EI101-1)*100),"NA",IF(((EQ101/EI101-1)*100)&gt;100,"NM",IF(((EQ101/EI101-1)*100)&lt;-50,"NM",(EQ101/EI101-1)*100)))</f>
        <v>-10.213353345600973</v>
      </c>
      <c r="ES101" s="75">
        <f t="shared" si="684"/>
        <v>172.9105733456872</v>
      </c>
      <c r="ET101" s="130">
        <f t="shared" ref="ET101:ET106" si="686">IF(ISERROR((ES101/EK101-1)*100),"NA",IF(((ES101/EK101-1)*100)&gt;100,"NM",IF(((ES101/EK101-1)*100)&lt;-50,"NM",(ES101/EK101-1)*100)))</f>
        <v>-0.62610727259356791</v>
      </c>
      <c r="EU101" s="75">
        <f t="shared" si="684"/>
        <v>175.16627136701587</v>
      </c>
      <c r="EV101" s="130">
        <f t="shared" ref="EV101:EV106" si="687">IF(ISERROR((EU101/EM101-1)*100),"NA",IF(((EU101/EM101-1)*100)&gt;100,"NM",IF(((EU101/EM101-1)*100)&lt;-50,"NM",(EU101/EM101-1)*100)))</f>
        <v>29.752793605196935</v>
      </c>
      <c r="EW101" s="75">
        <f t="shared" si="684"/>
        <v>177.75804153300385</v>
      </c>
      <c r="EX101" s="130">
        <f t="shared" ref="EX101:EX106" si="688">IF(ISERROR((EW101/EO101-1)*100),"NA",IF(((EW101/EO101-1)*100)&gt;100,"NM",IF(((EW101/EO101-1)*100)&lt;-50,"NM",(EW101/EO101-1)*100)))</f>
        <v>-20.643731458480431</v>
      </c>
      <c r="EY101" s="64"/>
      <c r="EZ101" s="558"/>
      <c r="FA101" s="64"/>
      <c r="FB101" s="72"/>
      <c r="FC101" s="71"/>
      <c r="FD101" s="72"/>
      <c r="FE101" s="70"/>
      <c r="FF101" s="69"/>
      <c r="FG101" s="70"/>
      <c r="FH101" s="69"/>
      <c r="FI101" s="70"/>
      <c r="FJ101" s="69"/>
      <c r="FK101" s="70"/>
      <c r="FL101" s="69"/>
      <c r="FM101" s="61"/>
      <c r="FN101" s="778">
        <v>478</v>
      </c>
      <c r="FO101" s="61"/>
      <c r="FP101" s="75">
        <f>AQ101+AS101+AU101+AW101</f>
        <v>94.3</v>
      </c>
      <c r="FQ101" s="61" t="str">
        <f t="shared" ref="FQ101:FQ106" si="689">IF(ISERROR((FP101/FN101-1)*100),"NA",IF(((FP101/FN101-1)*100)&gt;100,"NM",IF(((FP101/FN101-1)*100)&lt;-50,"NM",(FP101/FN101-1)*100)))</f>
        <v>NM</v>
      </c>
      <c r="FR101" s="75">
        <f>AY101+BA101+BC101+BE101</f>
        <v>104.8</v>
      </c>
      <c r="FS101" s="61">
        <f t="shared" ref="FS101:FS106" si="690">IF(ISERROR((FR101/FP101-1)*100),"NA",IF(((FR101/FP101-1)*100)&gt;100,"NM",IF(((FR101/FP101-1)*100)&lt;-50,"NM",(FR101/FP101-1)*100)))</f>
        <v>11.134676564156942</v>
      </c>
      <c r="FT101" s="75">
        <f>BG101+BI101+BK101+BM101</f>
        <v>170.3</v>
      </c>
      <c r="FU101" s="61">
        <f t="shared" ref="FU101:FU106" si="691">IF(ISERROR((FT101/FR101-1)*100),"NA",IF(((FT101/FR101-1)*100)&gt;100,"NM",IF(((FT101/FR101-1)*100)&lt;-50,"NM",(FT101/FR101-1)*100)))</f>
        <v>62.500000000000021</v>
      </c>
      <c r="FV101" s="75">
        <f>BO101+BQ101+BS101+BU101</f>
        <v>281</v>
      </c>
      <c r="FW101" s="61">
        <f t="shared" ref="FW101:FW106" si="692">IF(ISERROR((FV101/FT101-1)*100),"NA",IF(((FV101/FT101-1)*100)&gt;100,"NM",IF(((FV101/FT101-1)*100)&lt;-50,"NM",(FV101/FT101-1)*100)))</f>
        <v>65.002935995302408</v>
      </c>
      <c r="FX101" s="75">
        <f>BW101+BY101+CA101+CC101</f>
        <v>241.8</v>
      </c>
      <c r="FY101" s="61">
        <f t="shared" ref="FY101:FY106" si="693">IF(ISERROR((FX101/FV101-1)*100),"NA",IF(((FX101/FV101-1)*100)&gt;100,"NM",IF(((FX101/FV101-1)*100)&lt;-50,"NM",(FX101/FV101-1)*100)))</f>
        <v>-13.950177935943053</v>
      </c>
      <c r="FZ101" s="75">
        <f>CE101+CG101+CI101+CK101</f>
        <v>174.7</v>
      </c>
      <c r="GA101" s="61">
        <f t="shared" ref="GA101:GA106" si="694">IF(ISERROR((FZ101/FX101-1)*100),"NA",IF(((FZ101/FX101-1)*100)&gt;100,"NM",IF(((FZ101/FX101-1)*100)&lt;-50,"NM",(FZ101/FX101-1)*100)))</f>
        <v>-27.750206782464858</v>
      </c>
      <c r="GB101" s="75">
        <f>CM101+CO101+CQ101+CS101</f>
        <v>212</v>
      </c>
      <c r="GC101" s="61">
        <f t="shared" ref="GC101:GC106" si="695">IF(ISERROR((GB101/FZ101-1)*100),"NA",IF(((GB101/FZ101-1)*100)&gt;100,"NM",IF(((GB101/FZ101-1)*100)&lt;-50,"NM",(GB101/FZ101-1)*100)))</f>
        <v>21.350887235260462</v>
      </c>
      <c r="GD101" s="75">
        <f>CU101+CW101+CY101+DA101</f>
        <v>280</v>
      </c>
      <c r="GE101" s="61">
        <f t="shared" ref="GE101:GE106" si="696">IF(ISERROR((GD101/GB101-1)*100),"NA",IF(((GD101/GB101-1)*100)&gt;100,"NM",IF(((GD101/GB101-1)*100)&lt;-50,"NM",(GD101/GB101-1)*100)))</f>
        <v>32.075471698113198</v>
      </c>
      <c r="GF101" s="75">
        <f>DC101+DE101+DG101+DI101</f>
        <v>273</v>
      </c>
      <c r="GG101" s="61">
        <f t="shared" ref="GG101:GW106" si="697">IF(ISERROR((GF101/GD101-1)*100),"NA",IF(((GF101/GD101-1)*100)&gt;100,"NM",IF(((GF101/GD101-1)*100)&lt;-50,"NM",(GF101/GD101-1)*100)))</f>
        <v>-2.5000000000000022</v>
      </c>
      <c r="GH101" s="75">
        <f>DK101+DM101+DO101+DQ101</f>
        <v>360</v>
      </c>
      <c r="GI101" s="61">
        <f t="shared" si="697"/>
        <v>31.868131868131865</v>
      </c>
      <c r="GJ101" s="75">
        <f>DS101+DU101+DW101+DY101</f>
        <v>652</v>
      </c>
      <c r="GK101" s="61">
        <f t="shared" si="697"/>
        <v>81.111111111111114</v>
      </c>
      <c r="GL101" s="75">
        <f>EA101+EC101+EE101+EG101</f>
        <v>596</v>
      </c>
      <c r="GM101" s="61">
        <f t="shared" si="697"/>
        <v>-8.5889570552147187</v>
      </c>
      <c r="GN101" s="75">
        <f>EI101+EK101+EM101+EO101</f>
        <v>726</v>
      </c>
      <c r="GO101" s="61">
        <f t="shared" si="697"/>
        <v>21.812080536912749</v>
      </c>
      <c r="GP101" s="75">
        <f>EQ101+ES101+EU101+EW101</f>
        <v>699.12311428869702</v>
      </c>
      <c r="GQ101" s="61">
        <f t="shared" si="697"/>
        <v>-3.7020503734577104</v>
      </c>
      <c r="GR101" s="75">
        <f>GR87*GR109/100</f>
        <v>740.42322069710053</v>
      </c>
      <c r="GS101" s="61">
        <f t="shared" si="697"/>
        <v>5.9074153842593402</v>
      </c>
      <c r="GT101" s="75">
        <f>GT87*GT109/100</f>
        <v>783.13217870094843</v>
      </c>
      <c r="GU101" s="61">
        <f t="shared" si="697"/>
        <v>5.7681818735557666</v>
      </c>
      <c r="GV101" s="75">
        <f>GV87*GV109/100</f>
        <v>834.69080808085982</v>
      </c>
      <c r="GW101" s="61">
        <f t="shared" si="697"/>
        <v>6.5836433212891787</v>
      </c>
      <c r="GX101" s="75">
        <f>GX87*GX109/100</f>
        <v>891.55569350192627</v>
      </c>
      <c r="GY101" s="61">
        <f t="shared" ref="GY101:GY106" si="698">IF(ISERROR((GX101/GV101-1)*100),"NA",IF(((GX101/GV101-1)*100)&gt;100,"NM",IF(((GX101/GV101-1)*100)&lt;-50,"NM",(GX101/GV101-1)*100)))</f>
        <v>6.8126885872640042</v>
      </c>
      <c r="GZ101" s="61">
        <f t="shared" si="651"/>
        <v>4.1939185559425995</v>
      </c>
      <c r="HA101" s="61"/>
      <c r="HB101" s="452"/>
      <c r="HC101"/>
      <c r="HD101"/>
      <c r="HE101"/>
      <c r="HF101"/>
      <c r="HG101"/>
      <c r="HH101"/>
    </row>
    <row r="102" spans="1:216" s="5" customFormat="1" ht="12.75" customHeight="1" x14ac:dyDescent="0.2">
      <c r="B102" s="2" t="s">
        <v>114</v>
      </c>
      <c r="C102" s="69"/>
      <c r="D102" s="70"/>
      <c r="E102" s="69"/>
      <c r="F102" s="71"/>
      <c r="G102" s="69"/>
      <c r="H102" s="71"/>
      <c r="I102" s="69"/>
      <c r="J102" s="61"/>
      <c r="K102" s="69"/>
      <c r="L102" s="61"/>
      <c r="M102" s="69"/>
      <c r="N102" s="61"/>
      <c r="O102" s="69"/>
      <c r="P102" s="61"/>
      <c r="Q102" s="69"/>
      <c r="R102" s="61"/>
      <c r="S102" s="69"/>
      <c r="T102" s="61"/>
      <c r="U102" s="69"/>
      <c r="V102" s="61"/>
      <c r="W102" s="69"/>
      <c r="X102" s="61"/>
      <c r="Y102" s="69"/>
      <c r="Z102" s="61"/>
      <c r="AA102" s="69"/>
      <c r="AB102" s="61"/>
      <c r="AC102" s="69"/>
      <c r="AD102" s="61"/>
      <c r="AE102" s="69"/>
      <c r="AF102" s="61"/>
      <c r="AG102" s="69"/>
      <c r="AH102" s="61"/>
      <c r="AI102" s="69"/>
      <c r="AJ102" s="61"/>
      <c r="AK102" s="69"/>
      <c r="AL102" s="61"/>
      <c r="AM102" s="69"/>
      <c r="AN102" s="61"/>
      <c r="AO102" s="69"/>
      <c r="AP102" s="61"/>
      <c r="AQ102" s="69">
        <f>AQ85</f>
        <v>100.1</v>
      </c>
      <c r="AR102" s="61" t="str">
        <f>IF(ISERROR((AQ102/AI102-1)*100),"NA",IF(((AQ102/AI102-1)*100)&gt;100,"NM",IF(((AQ102/AI102-1)*100)&lt;-50,"NM",(AQ102/AI102-1)*100)))</f>
        <v>NA</v>
      </c>
      <c r="AS102" s="69">
        <f>AS85</f>
        <v>98.9</v>
      </c>
      <c r="AT102" s="61" t="str">
        <f>IF(ISERROR((AS102/AK102-1)*100),"NA",IF(((AS102/AK102-1)*100)&gt;100,"NM",IF(((AS102/AK102-1)*100)&lt;-50,"NM",(AS102/AK102-1)*100)))</f>
        <v>NA</v>
      </c>
      <c r="AU102" s="69">
        <f>AU85</f>
        <v>97.3</v>
      </c>
      <c r="AV102" s="61" t="str">
        <f t="shared" si="660"/>
        <v>NA</v>
      </c>
      <c r="AW102" s="69">
        <f>AW85</f>
        <v>96.3</v>
      </c>
      <c r="AX102" s="61" t="str">
        <f t="shared" si="660"/>
        <v>NA</v>
      </c>
      <c r="AY102" s="69">
        <f>AY85</f>
        <v>95.1</v>
      </c>
      <c r="AZ102" s="61">
        <f t="shared" si="661"/>
        <v>-4.995004995004992</v>
      </c>
      <c r="BA102" s="69">
        <f>BA85</f>
        <v>168.8</v>
      </c>
      <c r="BB102" s="61">
        <f t="shared" si="662"/>
        <v>70.677451971688583</v>
      </c>
      <c r="BC102" s="69">
        <f>BC85</f>
        <v>208.2</v>
      </c>
      <c r="BD102" s="61" t="str">
        <f t="shared" si="663"/>
        <v>NM</v>
      </c>
      <c r="BE102" s="69">
        <f>BE85</f>
        <v>211.7</v>
      </c>
      <c r="BF102" s="61" t="str">
        <f t="shared" si="664"/>
        <v>NM</v>
      </c>
      <c r="BG102" s="69">
        <f>BG85</f>
        <v>161.1</v>
      </c>
      <c r="BH102" s="61">
        <f t="shared" si="665"/>
        <v>69.400630914826507</v>
      </c>
      <c r="BI102" s="69">
        <f>BI85</f>
        <v>165.1</v>
      </c>
      <c r="BJ102" s="61">
        <f t="shared" si="665"/>
        <v>-2.1919431279620927</v>
      </c>
      <c r="BK102" s="69">
        <f>BK85</f>
        <v>165.3</v>
      </c>
      <c r="BL102" s="61">
        <f t="shared" si="665"/>
        <v>-20.60518731988472</v>
      </c>
      <c r="BM102" s="69">
        <f>BM85</f>
        <v>167.9</v>
      </c>
      <c r="BN102" s="61">
        <f t="shared" si="665"/>
        <v>-20.68965517241379</v>
      </c>
      <c r="BO102" s="69">
        <f>BO85</f>
        <v>163.19999999999999</v>
      </c>
      <c r="BP102" s="61">
        <f t="shared" si="665"/>
        <v>1.3035381750465591</v>
      </c>
      <c r="BQ102" s="69">
        <f>BQ85</f>
        <v>163</v>
      </c>
      <c r="BR102" s="61">
        <f t="shared" si="665"/>
        <v>-1.2719563900666198</v>
      </c>
      <c r="BS102" s="69">
        <f>BS85</f>
        <v>170</v>
      </c>
      <c r="BT102" s="61">
        <f t="shared" si="665"/>
        <v>2.8433151845129956</v>
      </c>
      <c r="BU102" s="69">
        <f>BU85</f>
        <v>206.3</v>
      </c>
      <c r="BV102" s="61">
        <f t="shared" si="665"/>
        <v>22.870756402620618</v>
      </c>
      <c r="BW102" s="69">
        <f>BW85</f>
        <v>163.6</v>
      </c>
      <c r="BX102" s="61">
        <f t="shared" si="665"/>
        <v>0.2450980392156854</v>
      </c>
      <c r="BY102" s="69">
        <f>BY85</f>
        <v>170.4</v>
      </c>
      <c r="BZ102" s="61">
        <f t="shared" si="665"/>
        <v>4.5398773006134929</v>
      </c>
      <c r="CA102" s="69">
        <f>CA85</f>
        <v>175.9</v>
      </c>
      <c r="CB102" s="61">
        <f t="shared" si="665"/>
        <v>3.4705882352941142</v>
      </c>
      <c r="CC102" s="69">
        <f>CC85</f>
        <v>172.5</v>
      </c>
      <c r="CD102" s="61">
        <f t="shared" si="665"/>
        <v>-16.383906931652938</v>
      </c>
      <c r="CE102" s="69">
        <f>CE85</f>
        <v>176.2</v>
      </c>
      <c r="CF102" s="61">
        <f t="shared" si="665"/>
        <v>7.7017114914425422</v>
      </c>
      <c r="CG102" s="69">
        <f>CG85</f>
        <v>176.9</v>
      </c>
      <c r="CH102" s="61">
        <f t="shared" si="665"/>
        <v>3.8145539906103254</v>
      </c>
      <c r="CI102" s="69">
        <f>CI85</f>
        <v>183.5</v>
      </c>
      <c r="CJ102" s="61">
        <f t="shared" si="665"/>
        <v>4.3206367254121636</v>
      </c>
      <c r="CK102" s="69">
        <f>CK85</f>
        <v>188.9</v>
      </c>
      <c r="CL102" s="61">
        <f t="shared" si="665"/>
        <v>9.5072463768115956</v>
      </c>
      <c r="CM102" s="69">
        <f>CM85</f>
        <v>174.4</v>
      </c>
      <c r="CN102" s="61">
        <f t="shared" si="665"/>
        <v>-1.0215664018161097</v>
      </c>
      <c r="CO102" s="69">
        <f>CO85</f>
        <v>178</v>
      </c>
      <c r="CP102" s="61">
        <f t="shared" si="665"/>
        <v>0.62182023742227699</v>
      </c>
      <c r="CQ102" s="69">
        <f>CQ85</f>
        <v>177.2</v>
      </c>
      <c r="CR102" s="61">
        <f t="shared" si="665"/>
        <v>-3.4332425068119954</v>
      </c>
      <c r="CS102" s="69">
        <f>CS85</f>
        <v>169</v>
      </c>
      <c r="CT102" s="61">
        <f t="shared" si="665"/>
        <v>-10.534674430915835</v>
      </c>
      <c r="CU102" s="69">
        <f>CU85</f>
        <v>171</v>
      </c>
      <c r="CV102" s="61">
        <f t="shared" si="666"/>
        <v>-1.9495412844036775</v>
      </c>
      <c r="CW102" s="69">
        <f>CW85</f>
        <v>163</v>
      </c>
      <c r="CX102" s="61">
        <f t="shared" si="667"/>
        <v>-8.4269662921348303</v>
      </c>
      <c r="CY102" s="69">
        <f>CY85</f>
        <v>146</v>
      </c>
      <c r="CZ102" s="61">
        <f t="shared" si="668"/>
        <v>-17.60722347629796</v>
      </c>
      <c r="DA102" s="69">
        <f>DA85</f>
        <v>153</v>
      </c>
      <c r="DB102" s="61">
        <f t="shared" si="669"/>
        <v>-9.4674556213017791</v>
      </c>
      <c r="DC102" s="69">
        <f>DC85</f>
        <v>153</v>
      </c>
      <c r="DD102" s="61">
        <f t="shared" si="670"/>
        <v>-10.526315789473683</v>
      </c>
      <c r="DE102" s="69">
        <f>DE85</f>
        <v>157</v>
      </c>
      <c r="DF102" s="61">
        <f t="shared" si="671"/>
        <v>-3.6809815950920255</v>
      </c>
      <c r="DG102" s="69">
        <f>DG85</f>
        <v>153</v>
      </c>
      <c r="DH102" s="61">
        <f t="shared" si="672"/>
        <v>4.7945205479452024</v>
      </c>
      <c r="DI102" s="69">
        <f>DI85</f>
        <v>161</v>
      </c>
      <c r="DJ102" s="61">
        <f t="shared" si="673"/>
        <v>5.2287581699346442</v>
      </c>
      <c r="DK102" s="69">
        <f>DK85</f>
        <v>154</v>
      </c>
      <c r="DL102" s="61">
        <f t="shared" si="674"/>
        <v>0.65359477124182774</v>
      </c>
      <c r="DM102" s="69">
        <f>DM85</f>
        <v>154</v>
      </c>
      <c r="DN102" s="130">
        <f t="shared" si="675"/>
        <v>-1.9108280254777066</v>
      </c>
      <c r="DO102" s="69">
        <f>DO85</f>
        <v>152</v>
      </c>
      <c r="DP102" s="130">
        <f t="shared" si="675"/>
        <v>-0.65359477124182774</v>
      </c>
      <c r="DQ102" s="69">
        <f>DQ85</f>
        <v>150</v>
      </c>
      <c r="DR102" s="130">
        <f t="shared" si="675"/>
        <v>-6.8322981366459645</v>
      </c>
      <c r="DS102" s="69">
        <f>DS85</f>
        <v>143</v>
      </c>
      <c r="DT102" s="130">
        <f t="shared" si="675"/>
        <v>-7.1428571428571397</v>
      </c>
      <c r="DU102" s="69">
        <f>DU85</f>
        <v>139</v>
      </c>
      <c r="DV102" s="130">
        <f t="shared" si="675"/>
        <v>-9.740259740259738</v>
      </c>
      <c r="DW102" s="69">
        <f>DW85</f>
        <v>134</v>
      </c>
      <c r="DX102" s="69">
        <f t="shared" ref="DX102:DY102" si="699">DX85</f>
        <v>134</v>
      </c>
      <c r="DY102" s="69">
        <f t="shared" si="699"/>
        <v>135</v>
      </c>
      <c r="DZ102" s="130">
        <f t="shared" si="675"/>
        <v>-9.9999999999999982</v>
      </c>
      <c r="EA102" s="69">
        <f t="shared" ref="EA102:EC102" si="700">EA85</f>
        <v>140</v>
      </c>
      <c r="EB102" s="130">
        <f t="shared" si="676"/>
        <v>-2.0979020979020935</v>
      </c>
      <c r="EC102" s="69">
        <f t="shared" si="700"/>
        <v>144</v>
      </c>
      <c r="ED102" s="130">
        <f t="shared" si="677"/>
        <v>3.5971223021582732</v>
      </c>
      <c r="EE102" s="69">
        <f t="shared" ref="EE102:EG102" si="701">EE85</f>
        <v>148</v>
      </c>
      <c r="EF102" s="130">
        <f t="shared" si="678"/>
        <v>10.447761194029859</v>
      </c>
      <c r="EG102" s="69">
        <f t="shared" si="701"/>
        <v>149</v>
      </c>
      <c r="EH102" s="130">
        <f t="shared" si="679"/>
        <v>10.370370370370363</v>
      </c>
      <c r="EI102" s="69">
        <f t="shared" ref="EI102" si="702">EI85</f>
        <v>147</v>
      </c>
      <c r="EJ102" s="130">
        <f t="shared" si="680"/>
        <v>5.0000000000000044</v>
      </c>
      <c r="EK102" s="69">
        <f t="shared" ref="EK102:EM102" si="703">EK85</f>
        <v>145</v>
      </c>
      <c r="EL102" s="130">
        <f t="shared" si="681"/>
        <v>0.69444444444444198</v>
      </c>
      <c r="EM102" s="69">
        <f t="shared" si="703"/>
        <v>145</v>
      </c>
      <c r="EN102" s="130">
        <f t="shared" si="682"/>
        <v>-2.0270270270270285</v>
      </c>
      <c r="EO102" s="69">
        <f t="shared" ref="EO102" si="704">EO85</f>
        <v>144</v>
      </c>
      <c r="EP102" s="130">
        <f t="shared" si="683"/>
        <v>-3.3557046979865723</v>
      </c>
      <c r="EQ102" s="69">
        <f t="shared" ref="EQ102:EW102" si="705">EQ85</f>
        <v>146.14327920875786</v>
      </c>
      <c r="ER102" s="130">
        <f t="shared" si="685"/>
        <v>-0.58280325934839672</v>
      </c>
      <c r="ES102" s="69">
        <f t="shared" si="705"/>
        <v>148.51471898090574</v>
      </c>
      <c r="ET102" s="130">
        <f t="shared" si="686"/>
        <v>2.4239441247625892</v>
      </c>
      <c r="EU102" s="69">
        <f t="shared" si="705"/>
        <v>151.21397779549545</v>
      </c>
      <c r="EV102" s="130">
        <f t="shared" si="687"/>
        <v>4.2855019279278928</v>
      </c>
      <c r="EW102" s="69">
        <f t="shared" si="705"/>
        <v>154.24623422418944</v>
      </c>
      <c r="EX102" s="130">
        <f t="shared" si="688"/>
        <v>7.1154404334648813</v>
      </c>
      <c r="EY102" s="64"/>
      <c r="EZ102" s="558"/>
      <c r="FA102" s="64"/>
      <c r="FB102" s="69"/>
      <c r="FC102" s="71"/>
      <c r="FD102" s="69"/>
      <c r="FE102" s="70"/>
      <c r="FF102" s="69"/>
      <c r="FG102" s="70"/>
      <c r="FH102" s="69"/>
      <c r="FI102" s="70"/>
      <c r="FJ102" s="69"/>
      <c r="FK102" s="70"/>
      <c r="FL102" s="69"/>
      <c r="FM102" s="61"/>
      <c r="FN102" s="778">
        <v>0</v>
      </c>
      <c r="FO102" s="61"/>
      <c r="FP102" s="73">
        <f>FP85</f>
        <v>392.6</v>
      </c>
      <c r="FQ102" s="61" t="str">
        <f>IF(ISERROR((FP102/FN102-1)*100),"NA",IF(((FP102/FN102-1)*100)&gt;100,"NM",IF(((FP102/FN102-1)*100)&lt;-50,"NM",(FP102/FN102-1)*100)))</f>
        <v>NA</v>
      </c>
      <c r="FR102" s="73">
        <f>FR85</f>
        <v>683.8</v>
      </c>
      <c r="FS102" s="61">
        <f t="shared" si="690"/>
        <v>74.172185430463557</v>
      </c>
      <c r="FT102" s="73">
        <f>FT85</f>
        <v>659.4</v>
      </c>
      <c r="FU102" s="61">
        <f t="shared" si="691"/>
        <v>-3.5682948230476685</v>
      </c>
      <c r="FV102" s="73">
        <f>FV85</f>
        <v>702.5</v>
      </c>
      <c r="FW102" s="61">
        <f t="shared" si="692"/>
        <v>6.5362450712769249</v>
      </c>
      <c r="FX102" s="73">
        <f>FX85</f>
        <v>682.4</v>
      </c>
      <c r="FY102" s="61">
        <f t="shared" si="693"/>
        <v>-2.8612099644128142</v>
      </c>
      <c r="FZ102" s="73">
        <f>FZ85</f>
        <v>725.5</v>
      </c>
      <c r="GA102" s="61">
        <f t="shared" si="694"/>
        <v>6.315943728018758</v>
      </c>
      <c r="GB102" s="73">
        <f>GB85</f>
        <v>698.59999999999991</v>
      </c>
      <c r="GC102" s="61">
        <f t="shared" si="695"/>
        <v>-3.7077877325982223</v>
      </c>
      <c r="GD102" s="73">
        <f>GD85</f>
        <v>633</v>
      </c>
      <c r="GE102" s="61">
        <f t="shared" si="696"/>
        <v>-9.3902089894073786</v>
      </c>
      <c r="GF102" s="73">
        <f>GF85</f>
        <v>624</v>
      </c>
      <c r="GG102" s="61">
        <f t="shared" si="697"/>
        <v>-1.4218009478673022</v>
      </c>
      <c r="GH102" s="73">
        <f>GH85</f>
        <v>610</v>
      </c>
      <c r="GI102" s="61">
        <f t="shared" si="697"/>
        <v>-2.2435897435897467</v>
      </c>
      <c r="GJ102" s="73">
        <f>GJ85</f>
        <v>551</v>
      </c>
      <c r="GK102" s="61">
        <f t="shared" si="697"/>
        <v>-9.6721311475409859</v>
      </c>
      <c r="GL102" s="73">
        <f>GL85</f>
        <v>581</v>
      </c>
      <c r="GM102" s="61">
        <f t="shared" si="697"/>
        <v>5.444646098003636</v>
      </c>
      <c r="GN102" s="73">
        <f>GN85</f>
        <v>581</v>
      </c>
      <c r="GO102" s="61">
        <f t="shared" si="697"/>
        <v>0</v>
      </c>
      <c r="GP102" s="73">
        <f>GP85</f>
        <v>600.11821020934849</v>
      </c>
      <c r="GQ102" s="61">
        <f t="shared" si="697"/>
        <v>3.2905697434334691</v>
      </c>
      <c r="GR102" s="69">
        <f>GR85</f>
        <v>644.30118613859372</v>
      </c>
      <c r="GS102" s="61">
        <f t="shared" si="697"/>
        <v>7.3623788076406127</v>
      </c>
      <c r="GT102" s="69">
        <f>GT85</f>
        <v>688.95894058406395</v>
      </c>
      <c r="GU102" s="61">
        <f t="shared" si="697"/>
        <v>6.9311923377189055</v>
      </c>
      <c r="GV102" s="69">
        <f>GV85</f>
        <v>732.47671221606709</v>
      </c>
      <c r="GW102" s="61">
        <f t="shared" si="697"/>
        <v>6.3164535748837292</v>
      </c>
      <c r="GX102" s="69">
        <f>GX85</f>
        <v>774.96111314429663</v>
      </c>
      <c r="GY102" s="61">
        <f t="shared" si="698"/>
        <v>5.8001026134599343</v>
      </c>
      <c r="GZ102" s="61">
        <f t="shared" si="651"/>
        <v>5.9304349823744662</v>
      </c>
      <c r="HA102" s="61"/>
      <c r="HB102" s="452"/>
      <c r="HC102"/>
      <c r="HD102"/>
      <c r="HE102"/>
      <c r="HF102"/>
      <c r="HG102"/>
      <c r="HH102"/>
    </row>
    <row r="103" spans="1:216" s="5" customFormat="1" ht="12.75" customHeight="1" x14ac:dyDescent="0.2">
      <c r="B103" s="123" t="s">
        <v>521</v>
      </c>
      <c r="C103" s="124"/>
      <c r="D103" s="107"/>
      <c r="E103" s="124"/>
      <c r="F103" s="64"/>
      <c r="G103" s="124"/>
      <c r="H103" s="64"/>
      <c r="I103" s="124"/>
      <c r="J103" s="61"/>
      <c r="K103" s="72"/>
      <c r="L103" s="61"/>
      <c r="M103" s="72"/>
      <c r="N103" s="61"/>
      <c r="O103" s="72"/>
      <c r="P103" s="61"/>
      <c r="Q103" s="72"/>
      <c r="R103" s="61"/>
      <c r="S103" s="72"/>
      <c r="T103" s="61"/>
      <c r="U103" s="72"/>
      <c r="V103" s="61"/>
      <c r="W103" s="72"/>
      <c r="X103" s="61"/>
      <c r="Y103" s="72"/>
      <c r="Z103" s="61"/>
      <c r="AA103" s="72"/>
      <c r="AB103" s="61"/>
      <c r="AC103" s="72"/>
      <c r="AD103" s="61"/>
      <c r="AE103" s="72"/>
      <c r="AF103" s="61"/>
      <c r="AG103" s="72"/>
      <c r="AH103" s="61"/>
      <c r="AI103" s="72"/>
      <c r="AJ103" s="61"/>
      <c r="AK103" s="72"/>
      <c r="AL103" s="61"/>
      <c r="AM103" s="72"/>
      <c r="AN103" s="61"/>
      <c r="AO103" s="72"/>
      <c r="AP103" s="61"/>
      <c r="AQ103" s="72">
        <f>-102.3+52.5</f>
        <v>-49.8</v>
      </c>
      <c r="AR103" s="61" t="str">
        <f t="shared" si="658"/>
        <v>NA</v>
      </c>
      <c r="AS103" s="72">
        <f>-108.6+43.8</f>
        <v>-64.8</v>
      </c>
      <c r="AT103" s="61" t="str">
        <f t="shared" si="659"/>
        <v>NA</v>
      </c>
      <c r="AU103" s="72">
        <f>-112.1+26.8</f>
        <v>-85.3</v>
      </c>
      <c r="AV103" s="61" t="str">
        <f t="shared" si="660"/>
        <v>NA</v>
      </c>
      <c r="AW103" s="72">
        <f>-118.9+59.5</f>
        <v>-59.400000000000006</v>
      </c>
      <c r="AX103" s="61" t="str">
        <f t="shared" si="660"/>
        <v>NA</v>
      </c>
      <c r="AY103" s="72">
        <f>-122.7+65.8</f>
        <v>-56.900000000000006</v>
      </c>
      <c r="AZ103" s="61">
        <f t="shared" si="661"/>
        <v>14.25702811244982</v>
      </c>
      <c r="BA103" s="72">
        <f>-150+72.7</f>
        <v>-77.3</v>
      </c>
      <c r="BB103" s="61">
        <f t="shared" si="662"/>
        <v>19.290123456790131</v>
      </c>
      <c r="BC103" s="72">
        <f>-157.6+75.6</f>
        <v>-82</v>
      </c>
      <c r="BD103" s="61">
        <f t="shared" si="663"/>
        <v>-3.86869871043376</v>
      </c>
      <c r="BE103" s="72">
        <f>-181.8+101.7</f>
        <v>-80.100000000000009</v>
      </c>
      <c r="BF103" s="61">
        <f t="shared" si="664"/>
        <v>34.848484848484837</v>
      </c>
      <c r="BG103" s="72">
        <f>-157.6+90.2</f>
        <v>-67.399999999999991</v>
      </c>
      <c r="BH103" s="61">
        <f t="shared" si="665"/>
        <v>18.453427065026329</v>
      </c>
      <c r="BI103" s="72">
        <f>-189.3+96.8</f>
        <v>-92.500000000000014</v>
      </c>
      <c r="BJ103" s="61">
        <f t="shared" si="665"/>
        <v>19.663648124191479</v>
      </c>
      <c r="BK103" s="72">
        <f>-196.1+83.9</f>
        <v>-112.19999999999999</v>
      </c>
      <c r="BL103" s="61">
        <f t="shared" si="665"/>
        <v>36.829268292682912</v>
      </c>
      <c r="BM103" s="72">
        <f>-230.5+102.3</f>
        <v>-128.19999999999999</v>
      </c>
      <c r="BN103" s="61">
        <f t="shared" si="665"/>
        <v>60.049937578027432</v>
      </c>
      <c r="BO103" s="72">
        <f>-172.8+79.1</f>
        <v>-93.700000000000017</v>
      </c>
      <c r="BP103" s="61">
        <f t="shared" si="665"/>
        <v>39.020771513353168</v>
      </c>
      <c r="BQ103" s="72">
        <f>-191.7+100.8</f>
        <v>-90.899999999999991</v>
      </c>
      <c r="BR103" s="61">
        <f t="shared" si="665"/>
        <v>-1.7297297297297565</v>
      </c>
      <c r="BS103" s="72">
        <f>-169.8+94.6</f>
        <v>-75.200000000000017</v>
      </c>
      <c r="BT103" s="61">
        <f t="shared" si="665"/>
        <v>-32.976827094474125</v>
      </c>
      <c r="BU103" s="72">
        <f>-151.2+441</f>
        <v>289.8</v>
      </c>
      <c r="BV103" s="61" t="str">
        <f t="shared" si="665"/>
        <v>NM</v>
      </c>
      <c r="BW103" s="72">
        <f>-127.3+80.5</f>
        <v>-46.8</v>
      </c>
      <c r="BX103" s="61" t="str">
        <f t="shared" si="665"/>
        <v>NM</v>
      </c>
      <c r="BY103" s="72">
        <f>-158.2+87.4</f>
        <v>-70.799999999999983</v>
      </c>
      <c r="BZ103" s="61">
        <f t="shared" si="665"/>
        <v>-22.112211221122124</v>
      </c>
      <c r="CA103" s="72">
        <f>-181+92.1</f>
        <v>-88.9</v>
      </c>
      <c r="CB103" s="61">
        <f t="shared" si="665"/>
        <v>18.218085106382965</v>
      </c>
      <c r="CC103" s="72">
        <f>-157.2+91.1</f>
        <v>-66.099999999999994</v>
      </c>
      <c r="CD103" s="61" t="str">
        <f t="shared" si="665"/>
        <v>NM</v>
      </c>
      <c r="CE103" s="72">
        <f>-131.6+80.7</f>
        <v>-50.899999999999991</v>
      </c>
      <c r="CF103" s="61">
        <f t="shared" si="665"/>
        <v>8.7606837606837509</v>
      </c>
      <c r="CG103" s="72">
        <v>-60.4</v>
      </c>
      <c r="CH103" s="61">
        <f t="shared" si="665"/>
        <v>-14.68926553672315</v>
      </c>
      <c r="CI103" s="72">
        <f>-171.3+113.1</f>
        <v>-58.200000000000017</v>
      </c>
      <c r="CJ103" s="61">
        <f t="shared" si="665"/>
        <v>-34.533183352080975</v>
      </c>
      <c r="CK103" s="72">
        <f>-156.1+121.5</f>
        <v>-34.599999999999994</v>
      </c>
      <c r="CL103" s="61">
        <f t="shared" si="665"/>
        <v>-47.655068078668684</v>
      </c>
      <c r="CM103" s="72">
        <f>103.3-127</f>
        <v>-23.700000000000003</v>
      </c>
      <c r="CN103" s="61" t="str">
        <f t="shared" si="665"/>
        <v>NM</v>
      </c>
      <c r="CO103" s="72">
        <f>92.7-140.8</f>
        <v>-48.100000000000009</v>
      </c>
      <c r="CP103" s="61">
        <f t="shared" si="665"/>
        <v>-20.364238410596013</v>
      </c>
      <c r="CQ103" s="72">
        <f>64.9-136.8</f>
        <v>-71.900000000000006</v>
      </c>
      <c r="CR103" s="61">
        <f t="shared" si="665"/>
        <v>23.539518900343626</v>
      </c>
      <c r="CS103" s="72">
        <f>90-123</f>
        <v>-33</v>
      </c>
      <c r="CT103" s="61">
        <f t="shared" si="665"/>
        <v>-4.6242774566473859</v>
      </c>
      <c r="CU103" s="72">
        <f>98-124</f>
        <v>-26</v>
      </c>
      <c r="CV103" s="61">
        <f t="shared" si="666"/>
        <v>9.704641350210963</v>
      </c>
      <c r="CW103" s="72">
        <f>86-149</f>
        <v>-63</v>
      </c>
      <c r="CX103" s="61">
        <f t="shared" si="667"/>
        <v>30.977130977130951</v>
      </c>
      <c r="CY103" s="72">
        <f>40-138</f>
        <v>-98</v>
      </c>
      <c r="CZ103" s="61">
        <f t="shared" si="668"/>
        <v>36.300417246175229</v>
      </c>
      <c r="DA103" s="72">
        <f>97-182</f>
        <v>-85</v>
      </c>
      <c r="DB103" s="61" t="str">
        <f t="shared" si="669"/>
        <v>NM</v>
      </c>
      <c r="DC103" s="72">
        <f>105-163</f>
        <v>-58</v>
      </c>
      <c r="DD103" s="61" t="str">
        <f t="shared" si="670"/>
        <v>NM</v>
      </c>
      <c r="DE103" s="72">
        <f>92-213</f>
        <v>-121</v>
      </c>
      <c r="DF103" s="61">
        <f t="shared" si="671"/>
        <v>92.063492063492063</v>
      </c>
      <c r="DG103" s="72">
        <f>90-181</f>
        <v>-91</v>
      </c>
      <c r="DH103" s="61">
        <f t="shared" si="672"/>
        <v>-7.1428571428571397</v>
      </c>
      <c r="DI103" s="72">
        <f>97-193</f>
        <v>-96</v>
      </c>
      <c r="DJ103" s="61">
        <f t="shared" si="673"/>
        <v>12.941176470588234</v>
      </c>
      <c r="DK103" s="72">
        <f>100-165</f>
        <v>-65</v>
      </c>
      <c r="DL103" s="61">
        <f t="shared" si="674"/>
        <v>12.06896551724137</v>
      </c>
      <c r="DM103" s="72">
        <f>100-174</f>
        <v>-74</v>
      </c>
      <c r="DN103" s="130">
        <f t="shared" si="675"/>
        <v>-38.842975206611577</v>
      </c>
      <c r="DO103" s="72">
        <f>66-175</f>
        <v>-109</v>
      </c>
      <c r="DP103" s="130">
        <f t="shared" si="675"/>
        <v>19.780219780219777</v>
      </c>
      <c r="DQ103" s="72">
        <f>95-168</f>
        <v>-73</v>
      </c>
      <c r="DR103" s="130">
        <f t="shared" si="675"/>
        <v>-23.958333333333336</v>
      </c>
      <c r="DS103" s="72">
        <f>-147+100</f>
        <v>-47</v>
      </c>
      <c r="DT103" s="130">
        <f t="shared" si="675"/>
        <v>-27.692307692307693</v>
      </c>
      <c r="DU103" s="72">
        <f>-165+101</f>
        <v>-64</v>
      </c>
      <c r="DV103" s="130">
        <f t="shared" si="675"/>
        <v>-13.513513513513509</v>
      </c>
      <c r="DW103" s="72">
        <f>-160+58</f>
        <v>-102</v>
      </c>
      <c r="DX103" s="72">
        <f t="shared" ref="DX103" si="706">-160+58</f>
        <v>-102</v>
      </c>
      <c r="DY103" s="72">
        <f>-146+83</f>
        <v>-63</v>
      </c>
      <c r="DZ103" s="130">
        <f t="shared" si="675"/>
        <v>-13.698630136986301</v>
      </c>
      <c r="EA103" s="72">
        <f>-112+87</f>
        <v>-25</v>
      </c>
      <c r="EB103" s="130">
        <f t="shared" si="676"/>
        <v>-46.808510638297875</v>
      </c>
      <c r="EC103" s="72">
        <f>-105+86</f>
        <v>-19</v>
      </c>
      <c r="ED103" s="130" t="str">
        <f t="shared" si="677"/>
        <v>NM</v>
      </c>
      <c r="EE103" s="72">
        <f>-100+109</f>
        <v>9</v>
      </c>
      <c r="EF103" s="130" t="str">
        <f t="shared" si="678"/>
        <v>NM</v>
      </c>
      <c r="EG103" s="72">
        <f>-92+100</f>
        <v>8</v>
      </c>
      <c r="EH103" s="130" t="str">
        <f t="shared" si="679"/>
        <v>NM</v>
      </c>
      <c r="EI103" s="72">
        <f>-97+101</f>
        <v>4</v>
      </c>
      <c r="EJ103" s="130" t="str">
        <f t="shared" si="680"/>
        <v>NM</v>
      </c>
      <c r="EK103" s="72">
        <f>-98+99</f>
        <v>1</v>
      </c>
      <c r="EL103" s="130" t="str">
        <f t="shared" si="681"/>
        <v>NM</v>
      </c>
      <c r="EM103" s="72">
        <f>-90+97</f>
        <v>7</v>
      </c>
      <c r="EN103" s="130">
        <f t="shared" si="682"/>
        <v>-22.222222222222221</v>
      </c>
      <c r="EO103" s="72">
        <f>-126+104</f>
        <v>-22</v>
      </c>
      <c r="EP103" s="130" t="str">
        <f t="shared" si="683"/>
        <v>NM</v>
      </c>
      <c r="EQ103" s="72">
        <f>EM103</f>
        <v>7</v>
      </c>
      <c r="ER103" s="130">
        <f t="shared" si="685"/>
        <v>75</v>
      </c>
      <c r="ES103" s="72">
        <f t="shared" ref="ES103" si="707">EQ103</f>
        <v>7</v>
      </c>
      <c r="ET103" s="130" t="str">
        <f t="shared" si="686"/>
        <v>NM</v>
      </c>
      <c r="EU103" s="72">
        <f t="shared" ref="EU103" si="708">ES103</f>
        <v>7</v>
      </c>
      <c r="EV103" s="130">
        <f t="shared" si="687"/>
        <v>0</v>
      </c>
      <c r="EW103" s="72">
        <f t="shared" ref="EW103" si="709">EU103</f>
        <v>7</v>
      </c>
      <c r="EX103" s="130" t="str">
        <f t="shared" si="688"/>
        <v>NM</v>
      </c>
      <c r="EY103" s="64"/>
      <c r="EZ103" s="558"/>
      <c r="FA103" s="64"/>
      <c r="FB103" s="124"/>
      <c r="FC103" s="71"/>
      <c r="FD103" s="124"/>
      <c r="FE103" s="70"/>
      <c r="FF103" s="124"/>
      <c r="FG103" s="70"/>
      <c r="FH103" s="69"/>
      <c r="FI103" s="70"/>
      <c r="FJ103" s="69"/>
      <c r="FK103" s="70"/>
      <c r="FL103" s="69"/>
      <c r="FM103" s="61"/>
      <c r="FN103" s="778">
        <v>0</v>
      </c>
      <c r="FO103" s="61"/>
      <c r="FP103" s="73">
        <f>AQ103+AS103+AU103+AW103</f>
        <v>-259.29999999999995</v>
      </c>
      <c r="FQ103" s="61" t="str">
        <f t="shared" si="689"/>
        <v>NA</v>
      </c>
      <c r="FR103" s="73">
        <f>AY103+BA103+BC103+BE103</f>
        <v>-296.3</v>
      </c>
      <c r="FS103" s="61">
        <f t="shared" si="690"/>
        <v>14.269186270728905</v>
      </c>
      <c r="FT103" s="73">
        <f>BG103+BI103+BK103+BM103</f>
        <v>-400.3</v>
      </c>
      <c r="FU103" s="61">
        <f t="shared" si="691"/>
        <v>35.099561255484304</v>
      </c>
      <c r="FV103" s="73">
        <f>BO103+BQ103+BS103+BU103</f>
        <v>29.999999999999943</v>
      </c>
      <c r="FW103" s="61" t="str">
        <f t="shared" si="692"/>
        <v>NM</v>
      </c>
      <c r="FX103" s="75">
        <f>BW103+BY103+CA103+CC103</f>
        <v>-272.60000000000002</v>
      </c>
      <c r="FY103" s="61" t="str">
        <f t="shared" si="693"/>
        <v>NM</v>
      </c>
      <c r="FZ103" s="75">
        <f>CE103+CG103+CI103+CK103</f>
        <v>-204.1</v>
      </c>
      <c r="GA103" s="61">
        <f t="shared" si="694"/>
        <v>-25.128393250183422</v>
      </c>
      <c r="GB103" s="75">
        <f>CM103+CO103+CQ103+CS103</f>
        <v>-176.70000000000002</v>
      </c>
      <c r="GC103" s="61">
        <f t="shared" si="695"/>
        <v>-13.424791768740807</v>
      </c>
      <c r="GD103" s="75">
        <f>CU103+CW103+CY103+DA103</f>
        <v>-272</v>
      </c>
      <c r="GE103" s="61">
        <f t="shared" si="696"/>
        <v>53.933220147142038</v>
      </c>
      <c r="GF103" s="75">
        <f>DC103+DE103+DG103+DI103</f>
        <v>-366</v>
      </c>
      <c r="GG103" s="61">
        <f t="shared" si="697"/>
        <v>34.558823529411775</v>
      </c>
      <c r="GH103" s="75">
        <f>DK103+DM103+DO103+DQ103</f>
        <v>-321</v>
      </c>
      <c r="GI103" s="61">
        <f t="shared" si="697"/>
        <v>-12.295081967213118</v>
      </c>
      <c r="GJ103" s="75">
        <f>DS103+DU103+DW103+DY103</f>
        <v>-276</v>
      </c>
      <c r="GK103" s="61">
        <f t="shared" si="697"/>
        <v>-14.018691588785048</v>
      </c>
      <c r="GL103" s="75">
        <f>EA103+EC103+EE103+EG103</f>
        <v>-27</v>
      </c>
      <c r="GM103" s="61" t="str">
        <f t="shared" si="697"/>
        <v>NM</v>
      </c>
      <c r="GN103" s="75">
        <f>EI103+EK103+EM103+EO103</f>
        <v>-10</v>
      </c>
      <c r="GO103" s="61" t="str">
        <f t="shared" si="697"/>
        <v>NM</v>
      </c>
      <c r="GP103" s="75">
        <f>EQ103+ES103+EU103+EW103</f>
        <v>28</v>
      </c>
      <c r="GQ103" s="61" t="str">
        <f t="shared" si="697"/>
        <v>NM</v>
      </c>
      <c r="GR103" s="72">
        <f>GP103*1.01</f>
        <v>28.28</v>
      </c>
      <c r="GS103" s="61">
        <f t="shared" si="697"/>
        <v>1.0000000000000009</v>
      </c>
      <c r="GT103" s="72">
        <f>GR103*1.01</f>
        <v>28.562800000000003</v>
      </c>
      <c r="GU103" s="61">
        <f t="shared" si="697"/>
        <v>1.0000000000000009</v>
      </c>
      <c r="GV103" s="72">
        <f>GT103*1.01</f>
        <v>28.848428000000002</v>
      </c>
      <c r="GW103" s="61">
        <f t="shared" si="697"/>
        <v>1.0000000000000009</v>
      </c>
      <c r="GX103" s="72">
        <f>GV103*1.01</f>
        <v>29.136912280000001</v>
      </c>
      <c r="GY103" s="61">
        <f t="shared" si="698"/>
        <v>1.0000000000000009</v>
      </c>
      <c r="GZ103" s="61" t="str">
        <f t="shared" si="651"/>
        <v>NM</v>
      </c>
      <c r="HA103" s="61"/>
      <c r="HB103" s="452"/>
      <c r="HC103"/>
      <c r="HD103"/>
      <c r="HE103"/>
      <c r="HF103"/>
      <c r="HG103"/>
      <c r="HH103"/>
    </row>
    <row r="104" spans="1:216" s="5" customFormat="1" ht="12.75" customHeight="1" x14ac:dyDescent="0.2">
      <c r="B104" s="123" t="s">
        <v>369</v>
      </c>
      <c r="C104" s="124"/>
      <c r="D104" s="107"/>
      <c r="E104" s="124"/>
      <c r="F104" s="64"/>
      <c r="G104" s="124"/>
      <c r="H104" s="64"/>
      <c r="I104" s="124"/>
      <c r="J104" s="61"/>
      <c r="K104" s="69"/>
      <c r="L104" s="61"/>
      <c r="M104" s="69"/>
      <c r="N104" s="61"/>
      <c r="O104" s="69"/>
      <c r="P104" s="61"/>
      <c r="Q104" s="69"/>
      <c r="R104" s="61"/>
      <c r="S104" s="69"/>
      <c r="T104" s="61"/>
      <c r="U104" s="69"/>
      <c r="V104" s="61"/>
      <c r="W104" s="69"/>
      <c r="X104" s="61"/>
      <c r="Y104" s="69"/>
      <c r="Z104" s="61"/>
      <c r="AA104" s="69"/>
      <c r="AB104" s="61"/>
      <c r="AC104" s="69"/>
      <c r="AD104" s="61"/>
      <c r="AE104" s="69"/>
      <c r="AF104" s="61"/>
      <c r="AG104" s="69"/>
      <c r="AH104" s="61"/>
      <c r="AI104" s="69"/>
      <c r="AJ104" s="61"/>
      <c r="AK104" s="69"/>
      <c r="AL104" s="61"/>
      <c r="AM104" s="69"/>
      <c r="AN104" s="61"/>
      <c r="AO104" s="69"/>
      <c r="AP104" s="61"/>
      <c r="AQ104" s="69">
        <f>+AQ105-AQ103</f>
        <v>206.89999999999998</v>
      </c>
      <c r="AR104" s="61" t="str">
        <f t="shared" si="658"/>
        <v>NA</v>
      </c>
      <c r="AS104" s="69">
        <f>+AS105-AS103</f>
        <v>217.39999999999998</v>
      </c>
      <c r="AT104" s="61" t="str">
        <f t="shared" si="659"/>
        <v>NA</v>
      </c>
      <c r="AU104" s="69">
        <f>+AU105-AU103</f>
        <v>225.10000000000002</v>
      </c>
      <c r="AV104" s="61" t="str">
        <f t="shared" si="660"/>
        <v>NA</v>
      </c>
      <c r="AW104" s="69">
        <f>+AW105-AW103</f>
        <v>224.1</v>
      </c>
      <c r="AX104" s="61" t="str">
        <f t="shared" si="660"/>
        <v>NA</v>
      </c>
      <c r="AY104" s="69">
        <f>+AY105-AY103</f>
        <v>229.5</v>
      </c>
      <c r="AZ104" s="61">
        <f t="shared" si="661"/>
        <v>10.923151280812004</v>
      </c>
      <c r="BA104" s="69">
        <f>+BA105-BA103</f>
        <v>294.2</v>
      </c>
      <c r="BB104" s="61">
        <f t="shared" si="662"/>
        <v>35.326586936522553</v>
      </c>
      <c r="BC104" s="69">
        <f>+BC105-BC103</f>
        <v>309.3</v>
      </c>
      <c r="BD104" s="61">
        <f t="shared" si="663"/>
        <v>37.405597512216794</v>
      </c>
      <c r="BE104" s="69">
        <f>+BE105-BE103</f>
        <v>332.7</v>
      </c>
      <c r="BF104" s="61">
        <f t="shared" si="664"/>
        <v>48.460508701472563</v>
      </c>
      <c r="BG104" s="69">
        <f>+BG105-BG103</f>
        <v>317.39999999999998</v>
      </c>
      <c r="BH104" s="61">
        <f t="shared" si="665"/>
        <v>38.300653594771241</v>
      </c>
      <c r="BI104" s="69">
        <f>+BI105-BI103</f>
        <v>359.5</v>
      </c>
      <c r="BJ104" s="61">
        <f t="shared" si="665"/>
        <v>22.195785180149553</v>
      </c>
      <c r="BK104" s="69">
        <f>+BK105-BK103</f>
        <v>367.6</v>
      </c>
      <c r="BL104" s="61">
        <f t="shared" si="665"/>
        <v>18.849013902360177</v>
      </c>
      <c r="BM104" s="69">
        <f>+BM105-BM103</f>
        <v>415.5</v>
      </c>
      <c r="BN104" s="61">
        <f t="shared" si="665"/>
        <v>24.887285843101893</v>
      </c>
      <c r="BO104" s="69">
        <f>+BO105-BO103</f>
        <v>345.4</v>
      </c>
      <c r="BP104" s="61">
        <f t="shared" si="665"/>
        <v>8.8216761184625181</v>
      </c>
      <c r="BQ104" s="69">
        <f>+BQ105-BQ103</f>
        <v>359.09999999999997</v>
      </c>
      <c r="BR104" s="61">
        <f t="shared" si="665"/>
        <v>-0.11126564673158423</v>
      </c>
      <c r="BS104" s="69">
        <f>+BS105-BS103</f>
        <v>328.9</v>
      </c>
      <c r="BT104" s="61">
        <f t="shared" si="665"/>
        <v>-10.527747551686629</v>
      </c>
      <c r="BU104" s="69">
        <f>+BU105-BU103</f>
        <v>298.49999999999994</v>
      </c>
      <c r="BV104" s="61">
        <f t="shared" si="665"/>
        <v>-28.158844765342973</v>
      </c>
      <c r="BW104" s="69">
        <f>+BW105-BW103</f>
        <v>266.5</v>
      </c>
      <c r="BX104" s="61">
        <f t="shared" si="665"/>
        <v>-22.843080486392587</v>
      </c>
      <c r="BY104" s="69">
        <f>+BY105-BY103</f>
        <v>309.29999999999995</v>
      </c>
      <c r="BZ104" s="61">
        <f t="shared" si="665"/>
        <v>-13.868003341687551</v>
      </c>
      <c r="CA104" s="69">
        <f>+CA105-CA103</f>
        <v>347.70000000000005</v>
      </c>
      <c r="CB104" s="61">
        <f t="shared" si="665"/>
        <v>5.7160231073274836</v>
      </c>
      <c r="CC104" s="69">
        <f>+CC105-CC103</f>
        <v>332.1</v>
      </c>
      <c r="CD104" s="61">
        <f t="shared" si="665"/>
        <v>11.256281407035207</v>
      </c>
      <c r="CE104" s="69">
        <f>+CE105-CE103</f>
        <v>310.7</v>
      </c>
      <c r="CF104" s="61">
        <f t="shared" si="665"/>
        <v>16.58536585365853</v>
      </c>
      <c r="CG104" s="69">
        <f>+CG105-CG103</f>
        <v>342.4</v>
      </c>
      <c r="CH104" s="61">
        <f t="shared" si="665"/>
        <v>10.701584222437766</v>
      </c>
      <c r="CI104" s="69">
        <f>+CI105-CI103</f>
        <v>355.70000000000005</v>
      </c>
      <c r="CJ104" s="61">
        <f t="shared" si="665"/>
        <v>2.3008340523439808</v>
      </c>
      <c r="CK104" s="69">
        <f>+CK105-CK103</f>
        <v>363.5</v>
      </c>
      <c r="CL104" s="61">
        <f t="shared" si="665"/>
        <v>9.4549834387232643</v>
      </c>
      <c r="CM104" s="69">
        <f>+CM105-CM103</f>
        <v>363.2</v>
      </c>
      <c r="CN104" s="61">
        <f t="shared" si="665"/>
        <v>16.897328612809794</v>
      </c>
      <c r="CO104" s="69">
        <f>+CO105-CO103</f>
        <v>383.6</v>
      </c>
      <c r="CP104" s="61">
        <f t="shared" si="665"/>
        <v>12.032710280373848</v>
      </c>
      <c r="CQ104" s="69">
        <f>+CQ105-CQ103</f>
        <v>358.70000000000005</v>
      </c>
      <c r="CR104" s="61">
        <f t="shared" si="665"/>
        <v>0.84340736575765352</v>
      </c>
      <c r="CS104" s="69">
        <f>+CS105-CS103</f>
        <v>354</v>
      </c>
      <c r="CT104" s="61">
        <f t="shared" si="665"/>
        <v>-2.6134800550206339</v>
      </c>
      <c r="CU104" s="69">
        <f>+CU105-CU103</f>
        <v>379</v>
      </c>
      <c r="CV104" s="61">
        <f t="shared" si="666"/>
        <v>4.3502202643171728</v>
      </c>
      <c r="CW104" s="69">
        <f>+CW105-CW103</f>
        <v>389</v>
      </c>
      <c r="CX104" s="61">
        <f t="shared" si="667"/>
        <v>1.4077163712200136</v>
      </c>
      <c r="CY104" s="69">
        <f>+CY105-CY103</f>
        <v>393</v>
      </c>
      <c r="CZ104" s="61">
        <f t="shared" si="668"/>
        <v>9.5623083356565211</v>
      </c>
      <c r="DA104" s="69">
        <f>+DA105-DA103</f>
        <v>457</v>
      </c>
      <c r="DB104" s="61">
        <f t="shared" si="669"/>
        <v>29.096045197740118</v>
      </c>
      <c r="DC104" s="69">
        <f>+DC105-DC103</f>
        <v>423</v>
      </c>
      <c r="DD104" s="61">
        <f t="shared" si="670"/>
        <v>11.609498680738795</v>
      </c>
      <c r="DE104" s="69">
        <f>+DE105-DE103</f>
        <v>476</v>
      </c>
      <c r="DF104" s="61">
        <f t="shared" si="671"/>
        <v>22.365038560411321</v>
      </c>
      <c r="DG104" s="69">
        <f>+DG105-DG103</f>
        <v>463</v>
      </c>
      <c r="DH104" s="61">
        <f t="shared" si="672"/>
        <v>17.811704834605592</v>
      </c>
      <c r="DI104" s="69">
        <f>+DI105-DI103</f>
        <v>501</v>
      </c>
      <c r="DJ104" s="61">
        <f t="shared" si="673"/>
        <v>9.6280087527352407</v>
      </c>
      <c r="DK104" s="69">
        <f>+DK105-DK103</f>
        <v>467</v>
      </c>
      <c r="DL104" s="61">
        <f t="shared" si="674"/>
        <v>10.401891252955075</v>
      </c>
      <c r="DM104" s="69">
        <f>+DM105-DM103</f>
        <v>480</v>
      </c>
      <c r="DN104" s="130">
        <f t="shared" si="675"/>
        <v>0.84033613445377853</v>
      </c>
      <c r="DO104" s="69">
        <f>+DO105-DO103</f>
        <v>485</v>
      </c>
      <c r="DP104" s="130">
        <f t="shared" si="675"/>
        <v>4.7516198704103729</v>
      </c>
      <c r="DQ104" s="69">
        <f>+DQ105-DQ103</f>
        <v>500</v>
      </c>
      <c r="DR104" s="130">
        <f t="shared" si="675"/>
        <v>-0.19960079840319889</v>
      </c>
      <c r="DS104" s="69">
        <f>+DS105-DS103</f>
        <v>471</v>
      </c>
      <c r="DT104" s="130">
        <f t="shared" si="675"/>
        <v>0.8565310492505418</v>
      </c>
      <c r="DU104" s="69">
        <f>+DU105-DU103</f>
        <v>498</v>
      </c>
      <c r="DV104" s="130">
        <f t="shared" si="675"/>
        <v>3.7500000000000089</v>
      </c>
      <c r="DW104" s="69">
        <f>+DW105-DW103</f>
        <v>481</v>
      </c>
      <c r="DX104" s="69">
        <f t="shared" ref="DX104:DY104" si="710">+DX105-DX103</f>
        <v>610</v>
      </c>
      <c r="DY104" s="69">
        <f t="shared" si="710"/>
        <v>484</v>
      </c>
      <c r="DZ104" s="130">
        <f t="shared" si="675"/>
        <v>-3.2000000000000028</v>
      </c>
      <c r="EA104" s="69">
        <f t="shared" ref="EA104:EC104" si="711">+EA105-EA103</f>
        <v>436</v>
      </c>
      <c r="EB104" s="130">
        <f t="shared" si="676"/>
        <v>-7.4309978768577478</v>
      </c>
      <c r="EC104" s="69">
        <f t="shared" si="711"/>
        <v>426</v>
      </c>
      <c r="ED104" s="130">
        <f t="shared" si="677"/>
        <v>-14.457831325301207</v>
      </c>
      <c r="EE104" s="69">
        <f t="shared" ref="EE104:EG104" si="712">+EE105-EE103</f>
        <v>428</v>
      </c>
      <c r="EF104" s="130">
        <f t="shared" si="678"/>
        <v>-11.018711018711013</v>
      </c>
      <c r="EG104" s="69">
        <f t="shared" si="712"/>
        <v>416</v>
      </c>
      <c r="EH104" s="130">
        <f t="shared" si="679"/>
        <v>-14.049586776859503</v>
      </c>
      <c r="EI104" s="69">
        <f t="shared" ref="EI104:EK104" si="713">+EI105-EI103</f>
        <v>437</v>
      </c>
      <c r="EJ104" s="130">
        <f t="shared" si="680"/>
        <v>0.22935779816513069</v>
      </c>
      <c r="EK104" s="69">
        <f t="shared" si="713"/>
        <v>446</v>
      </c>
      <c r="EL104" s="130">
        <f t="shared" si="681"/>
        <v>4.6948356807511749</v>
      </c>
      <c r="EM104" s="69">
        <f t="shared" ref="EM104" si="714">+EM105-EM103</f>
        <v>436</v>
      </c>
      <c r="EN104" s="130">
        <f t="shared" si="682"/>
        <v>1.8691588785046731</v>
      </c>
      <c r="EO104" s="69">
        <f t="shared" ref="EO104" si="715">+EO105-EO103</f>
        <v>488</v>
      </c>
      <c r="EP104" s="130">
        <f t="shared" si="683"/>
        <v>17.307692307692314</v>
      </c>
      <c r="EQ104" s="69">
        <f t="shared" ref="EQ104:EW104" si="716">+EQ110*EQ87/100</f>
        <v>452.4748176678076</v>
      </c>
      <c r="ER104" s="130">
        <f t="shared" si="685"/>
        <v>3.5411482077362999</v>
      </c>
      <c r="ES104" s="69">
        <f t="shared" si="716"/>
        <v>451.48871929151659</v>
      </c>
      <c r="ET104" s="130">
        <f t="shared" si="686"/>
        <v>1.2306545496673982</v>
      </c>
      <c r="EU104" s="69">
        <f t="shared" si="716"/>
        <v>457.37859745831918</v>
      </c>
      <c r="EV104" s="130">
        <f t="shared" si="687"/>
        <v>4.9033480408988916</v>
      </c>
      <c r="EW104" s="69">
        <f t="shared" si="716"/>
        <v>464.14599733617672</v>
      </c>
      <c r="EX104" s="130">
        <f t="shared" si="688"/>
        <v>-4.8881152999637916</v>
      </c>
      <c r="EY104" s="64"/>
      <c r="EZ104" s="558"/>
      <c r="FA104" s="64"/>
      <c r="FB104" s="124"/>
      <c r="FC104" s="71"/>
      <c r="FD104" s="124"/>
      <c r="FE104" s="70"/>
      <c r="FF104" s="124"/>
      <c r="FG104" s="70"/>
      <c r="FH104" s="69"/>
      <c r="FI104" s="70"/>
      <c r="FJ104" s="69"/>
      <c r="FK104" s="70"/>
      <c r="FL104" s="69"/>
      <c r="FM104" s="61"/>
      <c r="FN104" s="778">
        <v>595</v>
      </c>
      <c r="FO104" s="61"/>
      <c r="FP104" s="73">
        <f>AQ104+AS104+AU104+AW104</f>
        <v>873.5</v>
      </c>
      <c r="FQ104" s="61">
        <f t="shared" si="689"/>
        <v>46.80672268907562</v>
      </c>
      <c r="FR104" s="73">
        <f>AY104+BA104+BC104+BE104</f>
        <v>1165.7</v>
      </c>
      <c r="FS104" s="61">
        <f t="shared" si="690"/>
        <v>33.45163136805953</v>
      </c>
      <c r="FT104" s="73">
        <f>BG104+BI104+BK104+BM104</f>
        <v>1460</v>
      </c>
      <c r="FU104" s="61">
        <f t="shared" si="691"/>
        <v>25.246632924423086</v>
      </c>
      <c r="FV104" s="73">
        <f>BO104+BQ104+BS104+BU104</f>
        <v>1331.9</v>
      </c>
      <c r="FW104" s="61">
        <f t="shared" si="692"/>
        <v>-8.7739726027397218</v>
      </c>
      <c r="FX104" s="75">
        <f>BW104+BY104+CA104+CC104</f>
        <v>1255.5999999999999</v>
      </c>
      <c r="FY104" s="61">
        <f t="shared" si="693"/>
        <v>-5.7286583076807673</v>
      </c>
      <c r="FZ104" s="75">
        <f>CE104+CG104+CI104+CK104</f>
        <v>1372.3</v>
      </c>
      <c r="GA104" s="61">
        <f t="shared" si="694"/>
        <v>9.2943612615482785</v>
      </c>
      <c r="GB104" s="75">
        <f>CM104+CO104+CQ104+CS104</f>
        <v>1459.5</v>
      </c>
      <c r="GC104" s="61">
        <f t="shared" si="695"/>
        <v>6.3542957079355755</v>
      </c>
      <c r="GD104" s="75">
        <f>CU104+CW104+CY104+DA104</f>
        <v>1618</v>
      </c>
      <c r="GE104" s="61">
        <f t="shared" si="696"/>
        <v>10.859883521754021</v>
      </c>
      <c r="GF104" s="75">
        <f>DC104+DE104+DG104+DI104</f>
        <v>1863</v>
      </c>
      <c r="GG104" s="61">
        <f t="shared" si="697"/>
        <v>15.142150803461064</v>
      </c>
      <c r="GH104" s="75">
        <f>DK104+DM104+DO104+DQ104</f>
        <v>1932</v>
      </c>
      <c r="GI104" s="61">
        <f t="shared" si="697"/>
        <v>3.7037037037036979</v>
      </c>
      <c r="GJ104" s="75">
        <f>DS104+DU104+DW104+DY104</f>
        <v>1934</v>
      </c>
      <c r="GK104" s="61">
        <f t="shared" si="697"/>
        <v>0.10351966873705098</v>
      </c>
      <c r="GL104" s="75">
        <f>EA104+EC104+EE104+EG104</f>
        <v>1706</v>
      </c>
      <c r="GM104" s="61">
        <f t="shared" si="697"/>
        <v>-11.789038262668051</v>
      </c>
      <c r="GN104" s="75">
        <f>EI104+EK104+EM104+EO104</f>
        <v>1807</v>
      </c>
      <c r="GO104" s="61">
        <f t="shared" si="697"/>
        <v>5.9202813599062099</v>
      </c>
      <c r="GP104" s="75">
        <f>EQ104+ES104+EU104+EW104</f>
        <v>1825.4881317538202</v>
      </c>
      <c r="GQ104" s="61">
        <f t="shared" si="697"/>
        <v>1.0231395547216415</v>
      </c>
      <c r="GR104" s="69">
        <f>+GR110*GR87/100</f>
        <v>1914.1854440464092</v>
      </c>
      <c r="GS104" s="61">
        <f t="shared" si="697"/>
        <v>4.8588271131280392</v>
      </c>
      <c r="GT104" s="69">
        <f>+GT110*GT87/100</f>
        <v>2024.5991418561371</v>
      </c>
      <c r="GU104" s="61">
        <f t="shared" si="697"/>
        <v>5.7681818735557666</v>
      </c>
      <c r="GV104" s="69">
        <f>+GV110*GV87/100</f>
        <v>2151.9730104114324</v>
      </c>
      <c r="GW104" s="61">
        <f t="shared" si="697"/>
        <v>6.29131297756651</v>
      </c>
      <c r="GX104" s="69">
        <f>+GX110*GX87/100</f>
        <v>2303.4708263269736</v>
      </c>
      <c r="GY104" s="61">
        <f t="shared" si="698"/>
        <v>7.0399496268113815</v>
      </c>
      <c r="GZ104" s="61">
        <f t="shared" si="651"/>
        <v>4.974765399188108</v>
      </c>
      <c r="HA104" s="61"/>
      <c r="HB104" s="452"/>
      <c r="HC104"/>
      <c r="HD104"/>
      <c r="HE104"/>
      <c r="HF104"/>
      <c r="HG104"/>
      <c r="HH104"/>
    </row>
    <row r="105" spans="1:216" s="5" customFormat="1" ht="12.75" customHeight="1" x14ac:dyDescent="0.2">
      <c r="B105" s="2" t="s">
        <v>542</v>
      </c>
      <c r="C105" s="72"/>
      <c r="D105" s="70"/>
      <c r="E105" s="72"/>
      <c r="F105" s="71"/>
      <c r="G105" s="74"/>
      <c r="H105" s="71"/>
      <c r="I105" s="74"/>
      <c r="J105" s="61"/>
      <c r="K105" s="74"/>
      <c r="L105" s="61"/>
      <c r="M105" s="72"/>
      <c r="N105" s="61"/>
      <c r="O105" s="74"/>
      <c r="P105" s="61"/>
      <c r="Q105" s="74"/>
      <c r="R105" s="61"/>
      <c r="S105" s="74"/>
      <c r="T105" s="61"/>
      <c r="U105" s="74"/>
      <c r="V105" s="61"/>
      <c r="W105" s="74"/>
      <c r="X105" s="61"/>
      <c r="Y105" s="74"/>
      <c r="Z105" s="61"/>
      <c r="AA105" s="74"/>
      <c r="AB105" s="61"/>
      <c r="AC105" s="74"/>
      <c r="AD105" s="61"/>
      <c r="AE105" s="74"/>
      <c r="AF105" s="61"/>
      <c r="AG105" s="74"/>
      <c r="AH105" s="61"/>
      <c r="AI105" s="74"/>
      <c r="AJ105" s="61"/>
      <c r="AK105" s="74"/>
      <c r="AL105" s="61"/>
      <c r="AM105" s="74"/>
      <c r="AN105" s="61"/>
      <c r="AO105" s="74"/>
      <c r="AP105" s="61"/>
      <c r="AQ105" s="74">
        <v>157.1</v>
      </c>
      <c r="AR105" s="61" t="str">
        <f t="shared" si="658"/>
        <v>NA</v>
      </c>
      <c r="AS105" s="74">
        <f>152.7-0.1</f>
        <v>152.6</v>
      </c>
      <c r="AT105" s="61" t="str">
        <f t="shared" si="659"/>
        <v>NA</v>
      </c>
      <c r="AU105" s="74">
        <v>139.80000000000001</v>
      </c>
      <c r="AV105" s="61" t="str">
        <f t="shared" si="660"/>
        <v>NA</v>
      </c>
      <c r="AW105" s="74">
        <v>164.7</v>
      </c>
      <c r="AX105" s="61" t="str">
        <f t="shared" si="660"/>
        <v>NA</v>
      </c>
      <c r="AY105" s="74">
        <v>172.6</v>
      </c>
      <c r="AZ105" s="61">
        <f t="shared" si="661"/>
        <v>9.8663271801400434</v>
      </c>
      <c r="BA105" s="74">
        <v>216.9</v>
      </c>
      <c r="BB105" s="61">
        <f t="shared" si="662"/>
        <v>42.136304062909581</v>
      </c>
      <c r="BC105" s="74">
        <v>227.3</v>
      </c>
      <c r="BD105" s="61">
        <f t="shared" si="663"/>
        <v>62.589413447782547</v>
      </c>
      <c r="BE105" s="74">
        <v>252.6</v>
      </c>
      <c r="BF105" s="61">
        <f t="shared" si="664"/>
        <v>53.369763205828782</v>
      </c>
      <c r="BG105" s="74">
        <v>250</v>
      </c>
      <c r="BH105" s="61">
        <f t="shared" si="665"/>
        <v>44.843568945538827</v>
      </c>
      <c r="BI105" s="74">
        <v>267</v>
      </c>
      <c r="BJ105" s="61">
        <f t="shared" si="665"/>
        <v>23.098201936376217</v>
      </c>
      <c r="BK105" s="74">
        <v>255.4</v>
      </c>
      <c r="BL105" s="61">
        <f t="shared" si="665"/>
        <v>12.362516498020227</v>
      </c>
      <c r="BM105" s="74">
        <v>287.3</v>
      </c>
      <c r="BN105" s="61">
        <f t="shared" si="665"/>
        <v>13.73713380839272</v>
      </c>
      <c r="BO105" s="74">
        <v>251.7</v>
      </c>
      <c r="BP105" s="61">
        <f t="shared" si="665"/>
        <v>0.67999999999999172</v>
      </c>
      <c r="BQ105" s="74">
        <v>268.2</v>
      </c>
      <c r="BR105" s="61">
        <f t="shared" si="665"/>
        <v>0.44943820224718767</v>
      </c>
      <c r="BS105" s="74">
        <v>253.7</v>
      </c>
      <c r="BT105" s="61">
        <f t="shared" si="665"/>
        <v>-0.66562255285826932</v>
      </c>
      <c r="BU105" s="74">
        <v>588.29999999999995</v>
      </c>
      <c r="BV105" s="61" t="str">
        <f t="shared" si="665"/>
        <v>NM</v>
      </c>
      <c r="BW105" s="74">
        <v>219.7</v>
      </c>
      <c r="BX105" s="61">
        <f t="shared" si="665"/>
        <v>-12.713547874453713</v>
      </c>
      <c r="BY105" s="74">
        <v>238.5</v>
      </c>
      <c r="BZ105" s="61">
        <f t="shared" si="665"/>
        <v>-11.073825503355705</v>
      </c>
      <c r="CA105" s="74">
        <v>258.8</v>
      </c>
      <c r="CB105" s="61">
        <f t="shared" si="665"/>
        <v>2.0102483247930625</v>
      </c>
      <c r="CC105" s="74">
        <v>266</v>
      </c>
      <c r="CD105" s="61" t="str">
        <f t="shared" si="665"/>
        <v>NM</v>
      </c>
      <c r="CE105" s="74">
        <v>259.8</v>
      </c>
      <c r="CF105" s="61">
        <f t="shared" si="665"/>
        <v>18.252162039144302</v>
      </c>
      <c r="CG105" s="74">
        <v>282</v>
      </c>
      <c r="CH105" s="61">
        <f t="shared" si="665"/>
        <v>18.238993710691819</v>
      </c>
      <c r="CI105" s="74">
        <v>297.5</v>
      </c>
      <c r="CJ105" s="61">
        <f t="shared" si="665"/>
        <v>14.953632148377128</v>
      </c>
      <c r="CK105" s="74">
        <v>328.9</v>
      </c>
      <c r="CL105" s="61">
        <f t="shared" si="665"/>
        <v>23.646616541353382</v>
      </c>
      <c r="CM105" s="74">
        <v>339.5</v>
      </c>
      <c r="CN105" s="61">
        <f t="shared" si="665"/>
        <v>30.677444187836798</v>
      </c>
      <c r="CO105" s="74">
        <v>335.5</v>
      </c>
      <c r="CP105" s="61">
        <f t="shared" si="665"/>
        <v>18.971631205673756</v>
      </c>
      <c r="CQ105" s="74">
        <v>286.8</v>
      </c>
      <c r="CR105" s="61">
        <f t="shared" si="665"/>
        <v>-3.596638655462181</v>
      </c>
      <c r="CS105" s="74">
        <f>537-CS102-CS101</f>
        <v>321</v>
      </c>
      <c r="CT105" s="61">
        <f t="shared" si="665"/>
        <v>-2.4019458802067462</v>
      </c>
      <c r="CU105" s="74">
        <f>569-CU102-CU101</f>
        <v>353</v>
      </c>
      <c r="CV105" s="61">
        <f t="shared" si="666"/>
        <v>3.9764359351988299</v>
      </c>
      <c r="CW105" s="74">
        <f>538-CW102-CW101</f>
        <v>326</v>
      </c>
      <c r="CX105" s="61">
        <f t="shared" si="667"/>
        <v>-2.8315946348733245</v>
      </c>
      <c r="CY105" s="74">
        <f>572-CY102-CY101</f>
        <v>295</v>
      </c>
      <c r="CZ105" s="61">
        <f t="shared" si="668"/>
        <v>2.8591352859135277</v>
      </c>
      <c r="DA105" s="74">
        <f>580-DA102-DA101</f>
        <v>372</v>
      </c>
      <c r="DB105" s="61">
        <f t="shared" si="669"/>
        <v>15.887850467289709</v>
      </c>
      <c r="DC105" s="74">
        <f>583-DC102-DC101</f>
        <v>365</v>
      </c>
      <c r="DD105" s="61">
        <f t="shared" si="670"/>
        <v>3.3994334277620331</v>
      </c>
      <c r="DE105" s="74">
        <f>574-DE102-DE101</f>
        <v>355</v>
      </c>
      <c r="DF105" s="61">
        <f t="shared" si="671"/>
        <v>8.8957055214723866</v>
      </c>
      <c r="DG105" s="74">
        <f>603-DG102-DG101</f>
        <v>372</v>
      </c>
      <c r="DH105" s="61">
        <f t="shared" si="672"/>
        <v>26.101694915254249</v>
      </c>
      <c r="DI105" s="74">
        <f>634-DI102-DI101</f>
        <v>405</v>
      </c>
      <c r="DJ105" s="61">
        <f t="shared" si="673"/>
        <v>8.8709677419354769</v>
      </c>
      <c r="DK105" s="74">
        <f>643-DK102-DK101</f>
        <v>402</v>
      </c>
      <c r="DL105" s="61">
        <f t="shared" si="674"/>
        <v>10.136986301369856</v>
      </c>
      <c r="DM105" s="74">
        <f>640-DM102-DM101</f>
        <v>406</v>
      </c>
      <c r="DN105" s="130">
        <f t="shared" si="675"/>
        <v>14.366197183098596</v>
      </c>
      <c r="DO105" s="74">
        <f>629-DO102-DO101</f>
        <v>376</v>
      </c>
      <c r="DP105" s="130">
        <f t="shared" si="675"/>
        <v>1.0752688172043001</v>
      </c>
      <c r="DQ105" s="74">
        <f>669-DQ102-DQ101</f>
        <v>427</v>
      </c>
      <c r="DR105" s="130">
        <f t="shared" si="675"/>
        <v>5.4320987654320918</v>
      </c>
      <c r="DS105" s="74">
        <f>696-DS102-DS101</f>
        <v>424</v>
      </c>
      <c r="DT105" s="130">
        <f t="shared" si="675"/>
        <v>5.4726368159204064</v>
      </c>
      <c r="DU105" s="74">
        <f>663-DU102-DU101</f>
        <v>434</v>
      </c>
      <c r="DV105" s="130">
        <f t="shared" si="675"/>
        <v>6.8965517241379226</v>
      </c>
      <c r="DW105" s="74">
        <f>732-DW102-DW101</f>
        <v>379</v>
      </c>
      <c r="DX105" s="74">
        <f t="shared" ref="DX105" si="717">732-DX102-DX101</f>
        <v>508</v>
      </c>
      <c r="DY105" s="74">
        <f>770-DY102-DY101</f>
        <v>421</v>
      </c>
      <c r="DZ105" s="130">
        <f t="shared" si="675"/>
        <v>-1.4051522248243575</v>
      </c>
      <c r="EA105" s="74">
        <f>767-EA102-EA101</f>
        <v>411</v>
      </c>
      <c r="EB105" s="130">
        <f t="shared" si="676"/>
        <v>-3.0660377358490587</v>
      </c>
      <c r="EC105" s="74">
        <f>687-EC102-EC101</f>
        <v>407</v>
      </c>
      <c r="ED105" s="130">
        <f t="shared" si="677"/>
        <v>-6.2211981566820285</v>
      </c>
      <c r="EE105" s="74">
        <f>697-EE102-EE101</f>
        <v>437</v>
      </c>
      <c r="EF105" s="130">
        <f t="shared" si="678"/>
        <v>15.303430079155667</v>
      </c>
      <c r="EG105" s="74">
        <f>705-EG102-EG101</f>
        <v>424</v>
      </c>
      <c r="EH105" s="130">
        <f t="shared" si="679"/>
        <v>0.71258907363420665</v>
      </c>
      <c r="EI105" s="74">
        <f>781-EI102-EI101</f>
        <v>441</v>
      </c>
      <c r="EJ105" s="130">
        <f t="shared" si="680"/>
        <v>7.2992700729926918</v>
      </c>
      <c r="EK105" s="74">
        <f>766-EK102-EK101</f>
        <v>447</v>
      </c>
      <c r="EL105" s="130">
        <f t="shared" si="681"/>
        <v>9.8280098280098205</v>
      </c>
      <c r="EM105" s="74">
        <f>723-EM102-EM101</f>
        <v>443</v>
      </c>
      <c r="EN105" s="130">
        <f t="shared" si="682"/>
        <v>1.3729977116704761</v>
      </c>
      <c r="EO105" s="74">
        <f>834-EO102-EO101</f>
        <v>466</v>
      </c>
      <c r="EP105" s="130">
        <f t="shared" si="683"/>
        <v>9.9056603773584939</v>
      </c>
      <c r="EQ105" s="91">
        <f t="shared" ref="EQ105:EW105" si="718">EQ104+EQ103</f>
        <v>459.4748176678076</v>
      </c>
      <c r="ER105" s="130">
        <f t="shared" si="685"/>
        <v>4.1893010584597823</v>
      </c>
      <c r="ES105" s="91">
        <f t="shared" si="718"/>
        <v>458.48871929151659</v>
      </c>
      <c r="ET105" s="130">
        <f t="shared" si="686"/>
        <v>2.5701832866927399</v>
      </c>
      <c r="EU105" s="91">
        <f t="shared" si="718"/>
        <v>464.37859745831918</v>
      </c>
      <c r="EV105" s="130">
        <f t="shared" si="687"/>
        <v>4.8258685007492419</v>
      </c>
      <c r="EW105" s="91">
        <f t="shared" si="718"/>
        <v>471.14599733617672</v>
      </c>
      <c r="EX105" s="130">
        <f t="shared" si="688"/>
        <v>1.1042912738576716</v>
      </c>
      <c r="EY105" s="64"/>
      <c r="EZ105" s="558"/>
      <c r="FA105" s="64"/>
      <c r="FB105" s="72"/>
      <c r="FC105" s="71"/>
      <c r="FD105" s="72"/>
      <c r="FE105" s="70"/>
      <c r="FF105" s="69"/>
      <c r="FG105" s="70"/>
      <c r="FH105" s="72"/>
      <c r="FI105" s="70"/>
      <c r="FJ105" s="69"/>
      <c r="FK105" s="70"/>
      <c r="FL105" s="69"/>
      <c r="FM105" s="61"/>
      <c r="FN105" s="778">
        <v>0</v>
      </c>
      <c r="FO105" s="61"/>
      <c r="FP105" s="75">
        <f>AQ105+AS105+AU105+AW105</f>
        <v>614.20000000000005</v>
      </c>
      <c r="FQ105" s="61" t="str">
        <f t="shared" si="689"/>
        <v>NA</v>
      </c>
      <c r="FR105" s="75">
        <f>AY105+BA105+BC105+BE105</f>
        <v>869.4</v>
      </c>
      <c r="FS105" s="61">
        <f t="shared" si="690"/>
        <v>41.54998371865841</v>
      </c>
      <c r="FT105" s="75">
        <f>BG105+BI105+BK105+BM105</f>
        <v>1059.7</v>
      </c>
      <c r="FU105" s="61">
        <f t="shared" si="691"/>
        <v>21.888658845180586</v>
      </c>
      <c r="FV105" s="75">
        <f>BO105+BQ105+BS105+BU105</f>
        <v>1361.8999999999999</v>
      </c>
      <c r="FW105" s="61">
        <f t="shared" si="692"/>
        <v>28.517504954232308</v>
      </c>
      <c r="FX105" s="75">
        <f>BW105+BY105+CA105+CC105</f>
        <v>983</v>
      </c>
      <c r="FY105" s="61">
        <f t="shared" si="693"/>
        <v>-27.821425949041778</v>
      </c>
      <c r="FZ105" s="75">
        <f>CE105+CG105+CI105+CK105</f>
        <v>1168.1999999999998</v>
      </c>
      <c r="GA105" s="61">
        <f t="shared" si="694"/>
        <v>18.840284842319409</v>
      </c>
      <c r="GB105" s="75">
        <f>CM105+CO105+CQ105+CS105</f>
        <v>1282.8</v>
      </c>
      <c r="GC105" s="61">
        <f t="shared" si="695"/>
        <v>9.8099640472522065</v>
      </c>
      <c r="GD105" s="75">
        <f>CU105+CW105+CY105+DA105</f>
        <v>1346</v>
      </c>
      <c r="GE105" s="61">
        <f t="shared" si="696"/>
        <v>4.9267227938883718</v>
      </c>
      <c r="GF105" s="75">
        <f>DC105+DE105+DG105+DI105</f>
        <v>1497</v>
      </c>
      <c r="GG105" s="61">
        <f t="shared" si="697"/>
        <v>11.218424962852902</v>
      </c>
      <c r="GH105" s="75">
        <f>DK105+DM105+DO105+DQ105</f>
        <v>1611</v>
      </c>
      <c r="GI105" s="61">
        <f t="shared" si="697"/>
        <v>7.6152304609218513</v>
      </c>
      <c r="GJ105" s="75">
        <f>DS105+DU105+DW105+DY105</f>
        <v>1658</v>
      </c>
      <c r="GK105" s="61">
        <f t="shared" si="697"/>
        <v>2.9174425822470429</v>
      </c>
      <c r="GL105" s="75">
        <f>EA105+EC105+EE105+EG105</f>
        <v>1679</v>
      </c>
      <c r="GM105" s="61">
        <f t="shared" si="697"/>
        <v>1.2665862484921631</v>
      </c>
      <c r="GN105" s="75">
        <f>EI105+EK105+EM105+EO105</f>
        <v>1797</v>
      </c>
      <c r="GO105" s="61">
        <f t="shared" si="697"/>
        <v>7.0279928528886204</v>
      </c>
      <c r="GP105" s="75">
        <f>EQ105+ES105+EU105+EW105</f>
        <v>1853.4881317538202</v>
      </c>
      <c r="GQ105" s="61">
        <f t="shared" si="697"/>
        <v>3.143468656306081</v>
      </c>
      <c r="GR105" s="91">
        <f>GR104+GR103</f>
        <v>1942.4654440464092</v>
      </c>
      <c r="GS105" s="61">
        <f t="shared" si="697"/>
        <v>4.8005331552026798</v>
      </c>
      <c r="GT105" s="91">
        <f>GT104+GT103</f>
        <v>2053.1619418561372</v>
      </c>
      <c r="GU105" s="61">
        <f t="shared" si="697"/>
        <v>5.6987627836062149</v>
      </c>
      <c r="GV105" s="91">
        <f>GV104+GV103</f>
        <v>2180.8214384114322</v>
      </c>
      <c r="GW105" s="61">
        <f t="shared" si="697"/>
        <v>6.2177022646292546</v>
      </c>
      <c r="GX105" s="91">
        <f>GX104+GX103</f>
        <v>2332.6077386069737</v>
      </c>
      <c r="GY105" s="61">
        <f t="shared" si="698"/>
        <v>6.9600517273943563</v>
      </c>
      <c r="GZ105" s="61">
        <f t="shared" si="651"/>
        <v>5.3558673945096391</v>
      </c>
      <c r="HA105" s="61"/>
      <c r="HB105" s="452"/>
      <c r="HC105"/>
      <c r="HD105"/>
      <c r="HE105"/>
      <c r="HF105"/>
      <c r="HG105"/>
      <c r="HH105"/>
    </row>
    <row r="106" spans="1:216" s="5" customFormat="1" ht="12.75" customHeight="1" x14ac:dyDescent="0.2">
      <c r="B106" s="63" t="s">
        <v>524</v>
      </c>
      <c r="C106" s="125"/>
      <c r="D106" s="99"/>
      <c r="E106" s="125"/>
      <c r="F106" s="100"/>
      <c r="G106" s="125"/>
      <c r="H106" s="100"/>
      <c r="I106" s="125"/>
      <c r="J106" s="101"/>
      <c r="K106" s="125"/>
      <c r="L106" s="61"/>
      <c r="M106" s="125"/>
      <c r="N106" s="61"/>
      <c r="O106" s="125"/>
      <c r="P106" s="61"/>
      <c r="Q106" s="125"/>
      <c r="R106" s="61"/>
      <c r="S106" s="125"/>
      <c r="T106" s="61"/>
      <c r="U106" s="125"/>
      <c r="V106" s="61"/>
      <c r="W106" s="125"/>
      <c r="X106" s="61"/>
      <c r="Y106" s="125"/>
      <c r="Z106" s="61"/>
      <c r="AA106" s="125"/>
      <c r="AB106" s="61"/>
      <c r="AC106" s="125"/>
      <c r="AD106" s="61"/>
      <c r="AE106" s="125"/>
      <c r="AF106" s="61"/>
      <c r="AG106" s="125"/>
      <c r="AH106" s="61"/>
      <c r="AI106" s="125"/>
      <c r="AJ106" s="61"/>
      <c r="AK106" s="125"/>
      <c r="AL106" s="61"/>
      <c r="AM106" s="125"/>
      <c r="AN106" s="61"/>
      <c r="AO106" s="125"/>
      <c r="AP106" s="61"/>
      <c r="AQ106" s="102">
        <f>AQ105+AQ101+AQ102</f>
        <v>278.39999999999998</v>
      </c>
      <c r="AR106" s="126" t="str">
        <f t="shared" si="658"/>
        <v>NA</v>
      </c>
      <c r="AS106" s="102">
        <f>AS105+AS101+AS102+0.1</f>
        <v>283</v>
      </c>
      <c r="AT106" s="126" t="str">
        <f t="shared" si="659"/>
        <v>NA</v>
      </c>
      <c r="AU106" s="102">
        <f>AU105+AU101+AU102</f>
        <v>257.60000000000002</v>
      </c>
      <c r="AV106" s="61" t="str">
        <f t="shared" si="660"/>
        <v>NA</v>
      </c>
      <c r="AW106" s="102">
        <f>AW105+AW101+AW102</f>
        <v>282.2</v>
      </c>
      <c r="AX106" s="61" t="str">
        <f t="shared" si="660"/>
        <v>NA</v>
      </c>
      <c r="AY106" s="102">
        <f>AY105+AY101+AY102</f>
        <v>288.10000000000002</v>
      </c>
      <c r="AZ106" s="61">
        <f t="shared" si="661"/>
        <v>3.484195402298873</v>
      </c>
      <c r="BA106" s="102">
        <f>BA105+BA101+BA102</f>
        <v>431</v>
      </c>
      <c r="BB106" s="61">
        <f t="shared" si="662"/>
        <v>52.296819787985861</v>
      </c>
      <c r="BC106" s="102">
        <f>BC105+BC101+BC102</f>
        <v>462.9</v>
      </c>
      <c r="BD106" s="61">
        <f t="shared" si="663"/>
        <v>79.697204968944078</v>
      </c>
      <c r="BE106" s="102">
        <f>BE105+BE101+BE102</f>
        <v>476</v>
      </c>
      <c r="BF106" s="61">
        <f t="shared" si="664"/>
        <v>68.674698795180731</v>
      </c>
      <c r="BG106" s="102">
        <f>BG105+BG101+BG102</f>
        <v>436.5</v>
      </c>
      <c r="BH106" s="61">
        <f t="shared" si="665"/>
        <v>51.509892398472743</v>
      </c>
      <c r="BI106" s="102">
        <f>BI105+BI101+BI102</f>
        <v>458.70000000000005</v>
      </c>
      <c r="BJ106" s="61">
        <f t="shared" si="665"/>
        <v>6.4269141531322571</v>
      </c>
      <c r="BK106" s="102">
        <f>BK105+BK101+BK102</f>
        <v>477</v>
      </c>
      <c r="BL106" s="61">
        <f t="shared" si="665"/>
        <v>3.0460142579390892</v>
      </c>
      <c r="BM106" s="102">
        <f>BM105+BM101+BM102</f>
        <v>517.20000000000005</v>
      </c>
      <c r="BN106" s="61">
        <f t="shared" si="665"/>
        <v>8.6554621848739632</v>
      </c>
      <c r="BO106" s="102">
        <f>BO105+BO101+BO102</f>
        <v>466.2</v>
      </c>
      <c r="BP106" s="61">
        <f t="shared" si="665"/>
        <v>6.8041237113402042</v>
      </c>
      <c r="BQ106" s="102">
        <f>BQ105+BQ101+BQ102</f>
        <v>466.4</v>
      </c>
      <c r="BR106" s="61">
        <f t="shared" si="665"/>
        <v>1.6786570743405171</v>
      </c>
      <c r="BS106" s="102">
        <f>BS105+BS101+BS102</f>
        <v>536.6</v>
      </c>
      <c r="BT106" s="61">
        <f t="shared" si="665"/>
        <v>12.494758909853253</v>
      </c>
      <c r="BU106" s="102">
        <f>BU105+BU101+BU102</f>
        <v>876.2</v>
      </c>
      <c r="BV106" s="61">
        <f t="shared" si="665"/>
        <v>69.412219644238206</v>
      </c>
      <c r="BW106" s="102">
        <f>BW105+BW101+BW102</f>
        <v>459.1</v>
      </c>
      <c r="BX106" s="61">
        <f t="shared" si="665"/>
        <v>-1.5229515229515211</v>
      </c>
      <c r="BY106" s="102">
        <f>BY105+BY101+BY102</f>
        <v>475.9</v>
      </c>
      <c r="BZ106" s="61">
        <f t="shared" si="665"/>
        <v>2.0368782161235055</v>
      </c>
      <c r="CA106" s="102">
        <f>CA105+CA101+CA102</f>
        <v>486.20000000000005</v>
      </c>
      <c r="CB106" s="61">
        <f t="shared" si="665"/>
        <v>-9.3924711144241506</v>
      </c>
      <c r="CC106" s="102">
        <f>CC105+CC101+CC102</f>
        <v>486</v>
      </c>
      <c r="CD106" s="61">
        <f t="shared" si="665"/>
        <v>-44.533211595526133</v>
      </c>
      <c r="CE106" s="102">
        <f>CE105+CE101+CE102</f>
        <v>479.8</v>
      </c>
      <c r="CF106" s="61">
        <f t="shared" si="665"/>
        <v>4.5088216074929077</v>
      </c>
      <c r="CG106" s="102">
        <f>CG105+CG101+CG102</f>
        <v>499.6</v>
      </c>
      <c r="CH106" s="61">
        <f t="shared" si="665"/>
        <v>4.980037823072081</v>
      </c>
      <c r="CI106" s="102">
        <f>CI105+CI101+CI102</f>
        <v>524</v>
      </c>
      <c r="CJ106" s="61">
        <f t="shared" si="665"/>
        <v>7.7745783628136556</v>
      </c>
      <c r="CK106" s="102">
        <f>CK105+CK101+CK102</f>
        <v>565</v>
      </c>
      <c r="CL106" s="61">
        <f t="shared" si="665"/>
        <v>16.255144032921809</v>
      </c>
      <c r="CM106" s="102">
        <f>CM105+CM101+CM102</f>
        <v>549.29999999999995</v>
      </c>
      <c r="CN106" s="61">
        <f t="shared" si="665"/>
        <v>14.48520216756981</v>
      </c>
      <c r="CO106" s="102">
        <f>CO105+CO101+CO102</f>
        <v>556.1</v>
      </c>
      <c r="CP106" s="61">
        <f t="shared" si="665"/>
        <v>11.309047237790226</v>
      </c>
      <c r="CQ106" s="102">
        <f>CQ105+CQ101+CQ102</f>
        <v>551</v>
      </c>
      <c r="CR106" s="61">
        <f t="shared" si="665"/>
        <v>5.15267175572518</v>
      </c>
      <c r="CS106" s="102">
        <f>CS105+CS101+CS102</f>
        <v>537</v>
      </c>
      <c r="CT106" s="61">
        <f t="shared" si="665"/>
        <v>-4.9557522123893865</v>
      </c>
      <c r="CU106" s="102">
        <f>CU105+CU101+CU102</f>
        <v>569</v>
      </c>
      <c r="CV106" s="61">
        <f t="shared" si="666"/>
        <v>3.5863826688512734</v>
      </c>
      <c r="CW106" s="102">
        <f>CW105+CW101+CW102</f>
        <v>538</v>
      </c>
      <c r="CX106" s="61">
        <f t="shared" si="667"/>
        <v>-3.2548102859198069</v>
      </c>
      <c r="CY106" s="102">
        <f>CY105+CY101+CY102</f>
        <v>572</v>
      </c>
      <c r="CZ106" s="61">
        <f t="shared" si="668"/>
        <v>3.8112522686025496</v>
      </c>
      <c r="DA106" s="102">
        <f>DA105+DA101+DA102</f>
        <v>580</v>
      </c>
      <c r="DB106" s="61">
        <f t="shared" si="669"/>
        <v>8.0074487895716917</v>
      </c>
      <c r="DC106" s="102">
        <f>DC105+DC101+DC102</f>
        <v>583</v>
      </c>
      <c r="DD106" s="61">
        <f t="shared" si="670"/>
        <v>2.4604569420035194</v>
      </c>
      <c r="DE106" s="102">
        <f>DE105+DE101+DE102</f>
        <v>574</v>
      </c>
      <c r="DF106" s="61">
        <f t="shared" si="671"/>
        <v>6.6914498141263934</v>
      </c>
      <c r="DG106" s="102">
        <f>DG105+DG101+DG102</f>
        <v>603</v>
      </c>
      <c r="DH106" s="61">
        <f t="shared" si="672"/>
        <v>5.4195804195804165</v>
      </c>
      <c r="DI106" s="102">
        <f>DI105+DI101+DI102</f>
        <v>634</v>
      </c>
      <c r="DJ106" s="61">
        <f t="shared" si="673"/>
        <v>9.3103448275862135</v>
      </c>
      <c r="DK106" s="102">
        <f>DK105+DK101+DK102</f>
        <v>643</v>
      </c>
      <c r="DL106" s="61">
        <f t="shared" si="674"/>
        <v>10.291595197255576</v>
      </c>
      <c r="DM106" s="102">
        <f>DM105+DM101+DM102</f>
        <v>640</v>
      </c>
      <c r="DN106" s="130">
        <f t="shared" si="675"/>
        <v>11.498257839721248</v>
      </c>
      <c r="DO106" s="102">
        <f>DO105+DO101+DO102</f>
        <v>629</v>
      </c>
      <c r="DP106" s="130">
        <f t="shared" si="675"/>
        <v>4.3117744610281949</v>
      </c>
      <c r="DQ106" s="102">
        <f>DQ105+DQ101+DQ102</f>
        <v>669</v>
      </c>
      <c r="DR106" s="130">
        <f t="shared" si="675"/>
        <v>5.5205047318612088</v>
      </c>
      <c r="DS106" s="102">
        <f>DS105+DS101+DS102</f>
        <v>696</v>
      </c>
      <c r="DT106" s="130">
        <f t="shared" si="675"/>
        <v>8.2426127527216231</v>
      </c>
      <c r="DU106" s="102">
        <f>DU105+DU101+DU102</f>
        <v>663</v>
      </c>
      <c r="DV106" s="130">
        <f t="shared" si="675"/>
        <v>3.5937499999999956</v>
      </c>
      <c r="DW106" s="102">
        <f>DW105+DW101+DW102</f>
        <v>732</v>
      </c>
      <c r="DX106" s="102">
        <f t="shared" ref="DX106:DY106" si="719">DX105+DX101+DX102</f>
        <v>732</v>
      </c>
      <c r="DY106" s="102">
        <f t="shared" si="719"/>
        <v>770</v>
      </c>
      <c r="DZ106" s="130">
        <f t="shared" si="675"/>
        <v>15.097159940209259</v>
      </c>
      <c r="EA106" s="102">
        <f t="shared" ref="EA106:EC106" si="720">EA105+EA101+EA102</f>
        <v>767</v>
      </c>
      <c r="EB106" s="130">
        <f t="shared" si="676"/>
        <v>10.201149425287358</v>
      </c>
      <c r="EC106" s="102">
        <f t="shared" si="720"/>
        <v>687</v>
      </c>
      <c r="ED106" s="130">
        <f t="shared" si="677"/>
        <v>3.6199095022624528</v>
      </c>
      <c r="EE106" s="102">
        <f t="shared" ref="EE106:EG106" si="721">EE105+EE101+EE102</f>
        <v>697</v>
      </c>
      <c r="EF106" s="130">
        <f t="shared" si="678"/>
        <v>-4.7814207650273222</v>
      </c>
      <c r="EG106" s="102">
        <f t="shared" si="721"/>
        <v>705</v>
      </c>
      <c r="EH106" s="130">
        <f t="shared" si="679"/>
        <v>-8.4415584415584384</v>
      </c>
      <c r="EI106" s="102">
        <f t="shared" ref="EI106:EK106" si="722">EI105+EI101+EI102</f>
        <v>781</v>
      </c>
      <c r="EJ106" s="130">
        <f t="shared" si="680"/>
        <v>1.8252933507170832</v>
      </c>
      <c r="EK106" s="102">
        <f t="shared" si="722"/>
        <v>766</v>
      </c>
      <c r="EL106" s="130">
        <f t="shared" si="681"/>
        <v>11.499272197962163</v>
      </c>
      <c r="EM106" s="102">
        <f t="shared" ref="EM106" si="723">EM105+EM101+EM102</f>
        <v>723</v>
      </c>
      <c r="EN106" s="130">
        <f t="shared" si="682"/>
        <v>3.7302725968436201</v>
      </c>
      <c r="EO106" s="102">
        <f t="shared" ref="EO106" si="724">EO105+EO101+EO102</f>
        <v>834</v>
      </c>
      <c r="EP106" s="130">
        <f t="shared" si="683"/>
        <v>18.297872340425524</v>
      </c>
      <c r="EQ106" s="102">
        <f t="shared" ref="EQ106:EW106" si="725">EQ105+EQ101+EQ102</f>
        <v>778.90632491955557</v>
      </c>
      <c r="ER106" s="130">
        <f t="shared" si="685"/>
        <v>-0.26807619467917876</v>
      </c>
      <c r="ES106" s="102">
        <f t="shared" si="725"/>
        <v>779.9140116181095</v>
      </c>
      <c r="ET106" s="130">
        <f t="shared" si="686"/>
        <v>1.8164506028863547</v>
      </c>
      <c r="EU106" s="102">
        <f t="shared" si="725"/>
        <v>790.75884662083047</v>
      </c>
      <c r="EV106" s="130">
        <f t="shared" si="687"/>
        <v>9.3719013306819541</v>
      </c>
      <c r="EW106" s="102">
        <f t="shared" si="725"/>
        <v>803.15027309337006</v>
      </c>
      <c r="EX106" s="130">
        <f t="shared" si="688"/>
        <v>-3.6990080223776922</v>
      </c>
      <c r="EY106" s="103"/>
      <c r="EZ106" s="558"/>
      <c r="FA106" s="103"/>
      <c r="FB106" s="102"/>
      <c r="FC106" s="100"/>
      <c r="FD106" s="102"/>
      <c r="FE106" s="70"/>
      <c r="FF106" s="98"/>
      <c r="FG106" s="70"/>
      <c r="FH106" s="127"/>
      <c r="FI106" s="70"/>
      <c r="FJ106" s="127"/>
      <c r="FK106" s="70"/>
      <c r="FL106" s="125"/>
      <c r="FM106" s="61"/>
      <c r="FN106" s="102">
        <f>SUM(FN101:FN105)</f>
        <v>1073</v>
      </c>
      <c r="FO106" s="61"/>
      <c r="FP106" s="104">
        <f>FP105+FP101+FP102</f>
        <v>1101.0999999999999</v>
      </c>
      <c r="FQ106" s="61">
        <f t="shared" si="689"/>
        <v>2.6188257222739875</v>
      </c>
      <c r="FR106" s="104">
        <f>FR105+FR101+FR102</f>
        <v>1658</v>
      </c>
      <c r="FS106" s="61">
        <f t="shared" si="690"/>
        <v>50.576696031241511</v>
      </c>
      <c r="FT106" s="104">
        <f>FT105+FT101+FT102</f>
        <v>1889.4</v>
      </c>
      <c r="FU106" s="61">
        <f t="shared" si="691"/>
        <v>13.956574185765991</v>
      </c>
      <c r="FV106" s="104">
        <f>FV105+FV101+FV102</f>
        <v>2345.3999999999996</v>
      </c>
      <c r="FW106" s="61">
        <f t="shared" si="692"/>
        <v>24.134645919339448</v>
      </c>
      <c r="FX106" s="104">
        <f>FX105+FX101+FX102</f>
        <v>1907.1999999999998</v>
      </c>
      <c r="FY106" s="61">
        <f t="shared" si="693"/>
        <v>-18.68338023364884</v>
      </c>
      <c r="FZ106" s="104">
        <f>FZ105+FZ101+FZ102</f>
        <v>2068.3999999999996</v>
      </c>
      <c r="GA106" s="61">
        <f t="shared" si="694"/>
        <v>8.4521812080536876</v>
      </c>
      <c r="GB106" s="104">
        <f>GB105+GB101+GB102</f>
        <v>2193.3999999999996</v>
      </c>
      <c r="GC106" s="61">
        <f t="shared" si="695"/>
        <v>6.0433185070585926</v>
      </c>
      <c r="GD106" s="104">
        <f>GD105+GD101+GD102</f>
        <v>2259</v>
      </c>
      <c r="GE106" s="61">
        <f t="shared" si="696"/>
        <v>2.9907905534786394</v>
      </c>
      <c r="GF106" s="104">
        <f>GF105+GF101+GF102</f>
        <v>2394</v>
      </c>
      <c r="GG106" s="61">
        <f t="shared" si="697"/>
        <v>5.9760956175298752</v>
      </c>
      <c r="GH106" s="104">
        <f>GH105+GH101+GH102</f>
        <v>2581</v>
      </c>
      <c r="GI106" s="61">
        <f t="shared" si="697"/>
        <v>7.8111946532999132</v>
      </c>
      <c r="GJ106" s="104">
        <f>GJ105+GJ101+GJ102</f>
        <v>2861</v>
      </c>
      <c r="GK106" s="61">
        <f t="shared" si="697"/>
        <v>10.8485083301046</v>
      </c>
      <c r="GL106" s="104">
        <f>GL105+GL101+GL102</f>
        <v>2856</v>
      </c>
      <c r="GM106" s="61">
        <f t="shared" si="697"/>
        <v>-0.1747640685075158</v>
      </c>
      <c r="GN106" s="104">
        <f>GN105+GN101+GN102</f>
        <v>3104</v>
      </c>
      <c r="GO106" s="61">
        <f t="shared" si="697"/>
        <v>8.6834733893557328</v>
      </c>
      <c r="GP106" s="104">
        <f>GP105+GP101+GP102</f>
        <v>3152.7294562518659</v>
      </c>
      <c r="GQ106" s="61">
        <f t="shared" si="697"/>
        <v>1.5698922761554712</v>
      </c>
      <c r="GR106" s="102">
        <f>GR105+GR101+GR102</f>
        <v>3327.1898508821032</v>
      </c>
      <c r="GS106" s="61">
        <f t="shared" si="697"/>
        <v>5.5336303685773691</v>
      </c>
      <c r="GT106" s="102">
        <f>GT105+GT101+GT102</f>
        <v>3525.2530611411494</v>
      </c>
      <c r="GU106" s="61">
        <f t="shared" si="697"/>
        <v>5.9528677092632876</v>
      </c>
      <c r="GV106" s="102">
        <f>GV105+GV101+GV102</f>
        <v>3747.988958708359</v>
      </c>
      <c r="GW106" s="61">
        <f t="shared" si="697"/>
        <v>6.3182952742436127</v>
      </c>
      <c r="GX106" s="102">
        <f>GX105+GX101+GX102</f>
        <v>3999.1245452531966</v>
      </c>
      <c r="GY106" s="61">
        <f t="shared" si="698"/>
        <v>6.7005423258073016</v>
      </c>
      <c r="GZ106" s="61">
        <f t="shared" si="651"/>
        <v>5.1982810372172228</v>
      </c>
      <c r="HA106" s="61"/>
      <c r="HB106" s="452"/>
      <c r="HC106"/>
      <c r="HD106"/>
      <c r="HE106"/>
      <c r="HF106"/>
      <c r="HG106"/>
      <c r="HH106"/>
    </row>
    <row r="107" spans="1:216" s="5" customFormat="1" ht="12.75" customHeight="1" x14ac:dyDescent="0.2">
      <c r="B107" s="2"/>
      <c r="C107" s="69"/>
      <c r="D107" s="70"/>
      <c r="E107" s="69"/>
      <c r="F107" s="71"/>
      <c r="G107" s="69"/>
      <c r="H107" s="71"/>
      <c r="I107" s="69"/>
      <c r="J107" s="61"/>
      <c r="K107" s="69"/>
      <c r="L107" s="61"/>
      <c r="M107" s="69"/>
      <c r="N107" s="61"/>
      <c r="O107" s="69"/>
      <c r="P107" s="61"/>
      <c r="Q107" s="69"/>
      <c r="R107" s="61"/>
      <c r="S107" s="69"/>
      <c r="T107" s="61"/>
      <c r="U107" s="69"/>
      <c r="V107" s="61"/>
      <c r="W107" s="69"/>
      <c r="X107" s="61"/>
      <c r="Y107" s="69"/>
      <c r="Z107" s="61"/>
      <c r="AA107" s="69"/>
      <c r="AB107" s="61"/>
      <c r="AC107" s="69"/>
      <c r="AD107" s="61"/>
      <c r="AE107" s="69"/>
      <c r="AF107" s="61"/>
      <c r="AG107" s="84"/>
      <c r="AH107" s="61"/>
      <c r="AI107" s="69"/>
      <c r="AJ107" s="61"/>
      <c r="AK107" s="69"/>
      <c r="AL107" s="61"/>
      <c r="AM107" s="69"/>
      <c r="AN107" s="61"/>
      <c r="AO107" s="69"/>
      <c r="AP107" s="61"/>
      <c r="AQ107" s="69"/>
      <c r="AR107" s="61"/>
      <c r="AS107" s="69"/>
      <c r="AT107" s="61"/>
      <c r="AU107" s="69"/>
      <c r="AV107" s="61"/>
      <c r="AW107" s="69"/>
      <c r="AX107" s="61"/>
      <c r="AY107" s="69"/>
      <c r="AZ107" s="61"/>
      <c r="BA107" s="69"/>
      <c r="BB107" s="61"/>
      <c r="BC107" s="69"/>
      <c r="BD107" s="61"/>
      <c r="BE107" s="69"/>
      <c r="BF107" s="61"/>
      <c r="BG107" s="69"/>
      <c r="BH107" s="61"/>
      <c r="BI107" s="69"/>
      <c r="BJ107" s="61"/>
      <c r="BK107" s="69"/>
      <c r="BL107" s="61"/>
      <c r="BM107" s="69"/>
      <c r="BN107" s="61"/>
      <c r="BO107" s="69"/>
      <c r="BP107" s="61"/>
      <c r="BQ107" s="69"/>
      <c r="BR107" s="61"/>
      <c r="BS107" s="69"/>
      <c r="BT107" s="61"/>
      <c r="BU107" s="69"/>
      <c r="BV107" s="61"/>
      <c r="BW107" s="69"/>
      <c r="BX107" s="61"/>
      <c r="BY107" s="69"/>
      <c r="BZ107" s="61"/>
      <c r="CA107" s="69"/>
      <c r="CB107" s="61"/>
      <c r="CC107" s="69"/>
      <c r="CD107" s="61"/>
      <c r="CE107" s="69"/>
      <c r="CF107" s="61"/>
      <c r="CG107" s="69"/>
      <c r="CH107" s="61"/>
      <c r="CI107" s="69"/>
      <c r="CJ107" s="61"/>
      <c r="CK107" s="69"/>
      <c r="CL107" s="61"/>
      <c r="CM107" s="69"/>
      <c r="CN107" s="61"/>
      <c r="CO107" s="69"/>
      <c r="CP107" s="61"/>
      <c r="CQ107" s="69"/>
      <c r="CR107" s="61"/>
      <c r="CS107" s="69"/>
      <c r="CT107" s="61"/>
      <c r="CU107" s="69"/>
      <c r="CV107" s="61"/>
      <c r="CW107" s="69"/>
      <c r="CX107" s="61"/>
      <c r="CY107" s="69"/>
      <c r="CZ107" s="61"/>
      <c r="DA107" s="69"/>
      <c r="DB107" s="61"/>
      <c r="DC107" s="69"/>
      <c r="DD107" s="61"/>
      <c r="DE107" s="69"/>
      <c r="DF107" s="61"/>
      <c r="DG107" s="69"/>
      <c r="DH107" s="61"/>
      <c r="DI107" s="69"/>
      <c r="DJ107" s="61"/>
      <c r="DK107" s="69"/>
      <c r="DL107" s="61"/>
      <c r="DM107" s="69"/>
      <c r="DN107" s="61"/>
      <c r="DO107" s="69"/>
      <c r="DP107" s="61"/>
      <c r="DQ107" s="69"/>
      <c r="DR107" s="61"/>
      <c r="DS107" s="69"/>
      <c r="DT107" s="61"/>
      <c r="DU107" s="69"/>
      <c r="DV107" s="61"/>
      <c r="DW107" s="69"/>
      <c r="DX107" s="69"/>
      <c r="DY107" s="69"/>
      <c r="DZ107" s="61"/>
      <c r="EA107" s="69"/>
      <c r="EB107" s="61"/>
      <c r="EC107" s="69"/>
      <c r="ED107" s="61"/>
      <c r="EE107" s="69"/>
      <c r="EF107" s="61"/>
      <c r="EG107" s="69"/>
      <c r="EH107" s="61"/>
      <c r="EI107" s="69"/>
      <c r="EJ107" s="61"/>
      <c r="EK107" s="69"/>
      <c r="EL107" s="61"/>
      <c r="EM107" s="69"/>
      <c r="EN107" s="61"/>
      <c r="EO107" s="69"/>
      <c r="EP107" s="61"/>
      <c r="EQ107" s="69"/>
      <c r="ER107" s="61"/>
      <c r="ES107" s="69"/>
      <c r="ET107" s="61"/>
      <c r="EU107" s="69"/>
      <c r="EV107" s="61"/>
      <c r="EW107" s="69"/>
      <c r="EX107" s="61"/>
      <c r="EY107" s="64"/>
      <c r="EZ107" s="558"/>
      <c r="FA107" s="64"/>
      <c r="FB107" s="69"/>
      <c r="FC107" s="71"/>
      <c r="FD107" s="69"/>
      <c r="FE107" s="70"/>
      <c r="FF107" s="69"/>
      <c r="FG107" s="70"/>
      <c r="FH107" s="69"/>
      <c r="FI107" s="70"/>
      <c r="FJ107" s="69"/>
      <c r="FK107" s="70"/>
      <c r="FL107" s="69"/>
      <c r="FM107" s="61"/>
      <c r="FN107" s="69"/>
      <c r="FO107" s="61"/>
      <c r="FP107" s="73"/>
      <c r="FQ107" s="61"/>
      <c r="FR107" s="73"/>
      <c r="FS107" s="61"/>
      <c r="FT107" s="73"/>
      <c r="FU107" s="61"/>
      <c r="FV107" s="73"/>
      <c r="FW107" s="61"/>
      <c r="FX107" s="73"/>
      <c r="FY107" s="61"/>
      <c r="FZ107" s="73"/>
      <c r="GA107" s="61"/>
      <c r="GB107" s="73"/>
      <c r="GC107" s="61"/>
      <c r="GD107" s="73"/>
      <c r="GE107" s="61"/>
      <c r="GF107" s="73"/>
      <c r="GG107" s="61"/>
      <c r="GH107" s="73"/>
      <c r="GI107" s="61"/>
      <c r="GJ107" s="73"/>
      <c r="GK107" s="61"/>
      <c r="GL107" s="73"/>
      <c r="GM107" s="61"/>
      <c r="GN107" s="73"/>
      <c r="GO107" s="61"/>
      <c r="GP107" s="73"/>
      <c r="GQ107" s="61"/>
      <c r="GR107" s="69"/>
      <c r="GS107" s="61"/>
      <c r="GT107" s="69"/>
      <c r="GU107" s="61"/>
      <c r="GV107" s="69"/>
      <c r="GW107" s="61"/>
      <c r="GX107" s="69"/>
      <c r="GY107" s="61"/>
      <c r="GZ107" s="61" t="str">
        <f t="shared" si="651"/>
        <v/>
      </c>
      <c r="HA107" s="61"/>
      <c r="HB107" s="452"/>
      <c r="HC107"/>
      <c r="HD107"/>
      <c r="HE107"/>
      <c r="HF107"/>
      <c r="HG107"/>
      <c r="HH107"/>
    </row>
    <row r="108" spans="1:216" s="5" customFormat="1" ht="12.75" customHeight="1" x14ac:dyDescent="0.2">
      <c r="B108" s="63" t="s">
        <v>597</v>
      </c>
      <c r="C108" s="66"/>
      <c r="D108" s="67"/>
      <c r="E108" s="66"/>
      <c r="F108" s="66"/>
      <c r="G108" s="64"/>
      <c r="H108" s="66"/>
      <c r="I108" s="64"/>
      <c r="J108" s="66"/>
      <c r="K108" s="64"/>
      <c r="L108" s="61"/>
      <c r="M108" s="66"/>
      <c r="N108" s="61"/>
      <c r="O108" s="64"/>
      <c r="P108" s="61"/>
      <c r="Q108" s="64"/>
      <c r="R108" s="61"/>
      <c r="S108" s="64"/>
      <c r="T108" s="61"/>
      <c r="U108" s="64"/>
      <c r="V108" s="61"/>
      <c r="W108" s="64"/>
      <c r="X108" s="61"/>
      <c r="Y108" s="64"/>
      <c r="Z108" s="61"/>
      <c r="AA108" s="64"/>
      <c r="AB108" s="61"/>
      <c r="AC108" s="64"/>
      <c r="AD108" s="61"/>
      <c r="AE108" s="64"/>
      <c r="AF108" s="61"/>
      <c r="AG108" s="64"/>
      <c r="AH108" s="61"/>
      <c r="AI108" s="64"/>
      <c r="AJ108" s="61"/>
      <c r="AK108" s="64"/>
      <c r="AL108" s="61"/>
      <c r="AM108" s="64"/>
      <c r="AN108" s="61"/>
      <c r="AO108" s="64"/>
      <c r="AP108" s="61"/>
      <c r="AQ108" s="64"/>
      <c r="AR108" s="61"/>
      <c r="AS108" s="64"/>
      <c r="AT108" s="61"/>
      <c r="AU108" s="64"/>
      <c r="AV108" s="61"/>
      <c r="AW108" s="64"/>
      <c r="AX108" s="61"/>
      <c r="AY108" s="64"/>
      <c r="AZ108" s="61"/>
      <c r="BA108" s="64"/>
      <c r="BB108" s="61"/>
      <c r="BC108" s="64"/>
      <c r="BD108" s="61"/>
      <c r="BE108" s="64"/>
      <c r="BF108" s="61"/>
      <c r="BG108" s="64"/>
      <c r="BH108" s="61"/>
      <c r="BI108" s="64"/>
      <c r="BJ108" s="61"/>
      <c r="BK108" s="64"/>
      <c r="BL108" s="61"/>
      <c r="BM108" s="64"/>
      <c r="BN108" s="61"/>
      <c r="BO108" s="64"/>
      <c r="BP108" s="61"/>
      <c r="BQ108" s="64"/>
      <c r="BR108" s="61"/>
      <c r="BS108" s="64"/>
      <c r="BT108" s="61"/>
      <c r="BU108" s="64"/>
      <c r="BV108" s="61"/>
      <c r="BW108" s="64"/>
      <c r="BX108" s="61"/>
      <c r="BY108" s="64"/>
      <c r="BZ108" s="61"/>
      <c r="CA108" s="64"/>
      <c r="CB108" s="61"/>
      <c r="CC108" s="64"/>
      <c r="CD108" s="61"/>
      <c r="CE108" s="64"/>
      <c r="CF108" s="61"/>
      <c r="CG108" s="64"/>
      <c r="CH108" s="61"/>
      <c r="CI108" s="64"/>
      <c r="CJ108" s="61"/>
      <c r="CK108" s="64"/>
      <c r="CL108" s="61"/>
      <c r="CM108" s="64"/>
      <c r="CN108" s="61"/>
      <c r="CO108" s="64"/>
      <c r="CP108" s="61"/>
      <c r="CQ108" s="64"/>
      <c r="CR108" s="61"/>
      <c r="CS108" s="64"/>
      <c r="CT108" s="61"/>
      <c r="CU108" s="64"/>
      <c r="CV108" s="61"/>
      <c r="CW108" s="64"/>
      <c r="CX108" s="61"/>
      <c r="CY108" s="64"/>
      <c r="CZ108" s="61"/>
      <c r="DA108" s="64"/>
      <c r="DB108" s="61"/>
      <c r="DC108" s="64"/>
      <c r="DD108" s="61"/>
      <c r="DE108" s="64"/>
      <c r="DF108" s="61"/>
      <c r="DG108" s="64"/>
      <c r="DH108" s="61"/>
      <c r="DI108" s="64"/>
      <c r="DJ108" s="61"/>
      <c r="DK108" s="64"/>
      <c r="DL108" s="61"/>
      <c r="DM108" s="64"/>
      <c r="DN108" s="61"/>
      <c r="DO108" s="64"/>
      <c r="DP108" s="61"/>
      <c r="DQ108" s="64"/>
      <c r="DR108" s="61"/>
      <c r="DS108" s="64"/>
      <c r="DT108" s="61"/>
      <c r="DU108" s="64"/>
      <c r="DV108" s="61"/>
      <c r="DW108" s="64"/>
      <c r="DX108" s="64"/>
      <c r="DY108" s="64"/>
      <c r="DZ108" s="61"/>
      <c r="EA108" s="64"/>
      <c r="EB108" s="61"/>
      <c r="EC108" s="64"/>
      <c r="ED108" s="61"/>
      <c r="EE108" s="64"/>
      <c r="EF108" s="61"/>
      <c r="EG108" s="64"/>
      <c r="EH108" s="61"/>
      <c r="EI108" s="64"/>
      <c r="EJ108" s="61"/>
      <c r="EK108" s="64"/>
      <c r="EL108" s="61"/>
      <c r="EM108" s="64"/>
      <c r="EN108" s="61"/>
      <c r="EO108" s="64"/>
      <c r="EP108" s="61"/>
      <c r="EQ108" s="64"/>
      <c r="ER108" s="61"/>
      <c r="ES108" s="64"/>
      <c r="ET108" s="61"/>
      <c r="EU108" s="64"/>
      <c r="EV108" s="61"/>
      <c r="EW108" s="64"/>
      <c r="EX108" s="61"/>
      <c r="EY108" s="64"/>
      <c r="EZ108" s="558"/>
      <c r="FA108" s="64"/>
      <c r="FB108" s="66"/>
      <c r="FC108" s="66"/>
      <c r="FD108" s="66"/>
      <c r="FE108" s="67"/>
      <c r="FF108" s="66"/>
      <c r="FG108" s="67"/>
      <c r="FH108" s="66"/>
      <c r="FI108" s="67"/>
      <c r="FJ108" s="66"/>
      <c r="FK108" s="67"/>
      <c r="FL108" s="66"/>
      <c r="FM108" s="61"/>
      <c r="FN108" s="88">
        <f>FN100/FN86*100</f>
        <v>0</v>
      </c>
      <c r="FO108" s="61"/>
      <c r="FP108" s="65"/>
      <c r="FQ108" s="61"/>
      <c r="FR108" s="65"/>
      <c r="FS108" s="61"/>
      <c r="FT108" s="65"/>
      <c r="FU108" s="61"/>
      <c r="FV108" s="65"/>
      <c r="FW108" s="61"/>
      <c r="FX108" s="65"/>
      <c r="FY108" s="61"/>
      <c r="FZ108" s="65"/>
      <c r="GA108" s="61"/>
      <c r="GB108" s="65"/>
      <c r="GC108" s="61"/>
      <c r="GD108" s="65"/>
      <c r="GE108" s="61"/>
      <c r="GF108" s="65"/>
      <c r="GG108" s="61"/>
      <c r="GH108" s="65"/>
      <c r="GI108" s="61"/>
      <c r="GJ108" s="65"/>
      <c r="GK108" s="61"/>
      <c r="GL108" s="65"/>
      <c r="GM108" s="61"/>
      <c r="GN108" s="65"/>
      <c r="GO108" s="61"/>
      <c r="GP108" s="65"/>
      <c r="GQ108" s="61"/>
      <c r="GR108" s="64"/>
      <c r="GS108" s="61"/>
      <c r="GT108" s="64"/>
      <c r="GU108" s="61"/>
      <c r="GV108" s="64"/>
      <c r="GW108" s="61"/>
      <c r="GX108" s="64"/>
      <c r="GY108" s="61"/>
      <c r="GZ108" s="61" t="str">
        <f t="shared" si="651"/>
        <v/>
      </c>
      <c r="HA108" s="61"/>
      <c r="HB108" s="452"/>
      <c r="HC108"/>
      <c r="HD108"/>
      <c r="HE108"/>
      <c r="HF108"/>
      <c r="HG108"/>
      <c r="HH108"/>
    </row>
    <row r="109" spans="1:216" s="5" customFormat="1" ht="12.75" customHeight="1" x14ac:dyDescent="0.2">
      <c r="B109" s="68" t="s">
        <v>584</v>
      </c>
      <c r="C109" s="81"/>
      <c r="D109" s="70"/>
      <c r="E109" s="81"/>
      <c r="F109" s="71"/>
      <c r="G109" s="81"/>
      <c r="H109" s="71"/>
      <c r="I109" s="81"/>
      <c r="J109" s="61"/>
      <c r="K109" s="81"/>
      <c r="L109" s="61"/>
      <c r="M109" s="81"/>
      <c r="N109" s="61"/>
      <c r="O109" s="81"/>
      <c r="P109" s="61"/>
      <c r="Q109" s="81"/>
      <c r="R109" s="61"/>
      <c r="S109" s="81"/>
      <c r="T109" s="61"/>
      <c r="U109" s="81"/>
      <c r="V109" s="61"/>
      <c r="W109" s="81"/>
      <c r="X109" s="61"/>
      <c r="Y109" s="81"/>
      <c r="Z109" s="61"/>
      <c r="AA109" s="81"/>
      <c r="AB109" s="61"/>
      <c r="AC109" s="81"/>
      <c r="AD109" s="61"/>
      <c r="AE109" s="81"/>
      <c r="AF109" s="61"/>
      <c r="AG109" s="81"/>
      <c r="AH109" s="61"/>
      <c r="AI109" s="81"/>
      <c r="AJ109" s="61"/>
      <c r="AK109" s="81"/>
      <c r="AL109" s="61"/>
      <c r="AM109" s="81"/>
      <c r="AN109" s="61"/>
      <c r="AO109" s="81"/>
      <c r="AP109" s="61"/>
      <c r="AQ109" s="81">
        <f>AQ101/AQ87*100</f>
        <v>8.8443888193575297</v>
      </c>
      <c r="AR109" s="61" t="str">
        <f>IF(ISERROR((AQ109/AI109-1)*100),"NA",IF(((AQ109/AI109-1)*100)&gt;100,"NM",IF(((AQ109/AI109-1)*100)&lt;-50,"NM",(AQ109/AI109-1)*100)))</f>
        <v>NA</v>
      </c>
      <c r="AS109" s="81">
        <f>AS101/AS87*100</f>
        <v>12.595266746891296</v>
      </c>
      <c r="AT109" s="61" t="str">
        <f>IF(ISERROR((AS109/AK109-1)*100),"NA",IF(((AS109/AK109-1)*100)&gt;100,"NM",IF(((AS109/AK109-1)*100)&lt;-50,"NM",(AS109/AK109-1)*100)))</f>
        <v>NA</v>
      </c>
      <c r="AU109" s="81">
        <f>AU101/AU87*100</f>
        <v>7.7329309694454933</v>
      </c>
      <c r="AV109" s="61" t="str">
        <f>IF(ISERROR((AU109/AM109-1)*100),"NA",IF(((AU109/AM109-1)*100)&gt;100,"NM",IF(((AU109/AM109-1)*100)&lt;-50,"NM",(AU109/AM109-1)*100)))</f>
        <v>NA</v>
      </c>
      <c r="AW109" s="81">
        <f>AW101/AW87*100</f>
        <v>7.6867295141406808</v>
      </c>
      <c r="AX109" s="61" t="str">
        <f>IF(ISERROR((AW109/AO109-1)*100),"NA",IF(((AW109/AO109-1)*100)&gt;100,"NM",IF(((AW109/AO109-1)*100)&lt;-50,"NM",(AW109/AO109-1)*100)))</f>
        <v>NA</v>
      </c>
      <c r="AY109" s="81">
        <f>AY101/AY87*100</f>
        <v>7.293528780836608</v>
      </c>
      <c r="AZ109" s="61">
        <f>IF(ISERROR((AY109/AQ109-1)*100),"NA",IF(((AY109/AQ109-1)*100)&gt;100,"NM",IF(((AY109/AQ109-1)*100)&lt;-50,"NM",(AY109/AQ109-1)*100)))</f>
        <v>-17.534959963842688</v>
      </c>
      <c r="BA109" s="81">
        <f>BA101/BA87*100</f>
        <v>11.803022407503908</v>
      </c>
      <c r="BB109" s="61">
        <f>IF(ISERROR((BA109/AS109-1)*100),"NA",IF(((BA109/AS109-1)*100)&gt;100,"NM",IF(((BA109/AS109-1)*100)&lt;-50,"NM",(BA109/AS109-1)*100)))</f>
        <v>-6.2900163633527351</v>
      </c>
      <c r="BC109" s="81">
        <f>BC101/BC87*100</f>
        <v>7.0563996909605962</v>
      </c>
      <c r="BD109" s="61">
        <f>IF(ISERROR((BC109/AU109-1)*100),"NA",IF(((BC109/AU109-1)*100)&gt;100,"NM",IF(((BC109/AU109-1)*100)&lt;-50,"NM",(BC109/AU109-1)*100)))</f>
        <v>-8.748704484212011</v>
      </c>
      <c r="BE109" s="81">
        <f>BE101/BE87*100</f>
        <v>2.7490601503759398</v>
      </c>
      <c r="BF109" s="61" t="str">
        <f>IF(ISERROR((BE109/AW109-1)*100),"NA",IF(((BE109/AW109-1)*100)&gt;100,"NM",IF(((BE109/AW109-1)*100)&lt;-50,"NM",(BE109/AW109-1)*100)))</f>
        <v>NM</v>
      </c>
      <c r="BG109" s="81">
        <f>BG101/BG87*100</f>
        <v>5.916608432331703</v>
      </c>
      <c r="BH109" s="61">
        <f>IF(ISERROR((BG109/AY109-1)*100),"NA",IF(((BG109/AY109-1)*100)&gt;100,"NM",IF(((BG109/AY109-1)*100)&lt;-50,"NM",(BG109/AY109-1)*100)))</f>
        <v>-18.878657915530496</v>
      </c>
      <c r="BI109" s="81">
        <f>BI101/BI87*100</f>
        <v>5.800261665939817</v>
      </c>
      <c r="BJ109" s="61" t="str">
        <f>IF(ISERROR((BI109/BA109-1)*100),"NA",IF(((BI109/BA109-1)*100)&gt;100,"NM",IF(((BI109/BA109-1)*100)&lt;-50,"NM",(BI109/BA109-1)*100)))</f>
        <v>NM</v>
      </c>
      <c r="BK109" s="81">
        <f>BK101/BK87*100</f>
        <v>11.687772472493254</v>
      </c>
      <c r="BL109" s="61">
        <f>IF(ISERROR((BK109/BC109-1)*100),"NA",IF(((BK109/BC109-1)*100)&gt;100,"NM",IF(((BK109/BC109-1)*100)&lt;-50,"NM",(BK109/BC109-1)*100)))</f>
        <v>65.633651498873419</v>
      </c>
      <c r="BM109" s="81">
        <f>BM101/BM87*100</f>
        <v>12.291831879460746</v>
      </c>
      <c r="BN109" s="61" t="str">
        <f>IF(ISERROR((BM109/BE109-1)*100),"NA",IF(((BM109/BE109-1)*100)&gt;100,"NM",IF(((BM109/BE109-1)*100)&lt;-50,"NM",(BM109/BE109-1)*100)))</f>
        <v>NM</v>
      </c>
      <c r="BO109" s="81">
        <f>BO101/BO87*100</f>
        <v>11.166739225076185</v>
      </c>
      <c r="BP109" s="61">
        <f>IF(ISERROR((BO109/BG109-1)*100),"NA",IF(((BO109/BG109-1)*100)&gt;100,"NM",IF(((BO109/BG109-1)*100)&lt;-50,"NM",(BO109/BG109-1)*100)))</f>
        <v>88.735478319889992</v>
      </c>
      <c r="BQ109" s="81">
        <f>BQ101/BQ87*100</f>
        <v>7.7243800746104885</v>
      </c>
      <c r="BR109" s="61">
        <f>IF(ISERROR((BQ109/BI109-1)*100),"NA",IF(((BQ109/BI109-1)*100)&gt;100,"NM",IF(((BQ109/BI109-1)*100)&lt;-50,"NM",(BQ109/BI109-1)*100)))</f>
        <v>33.172958729938728</v>
      </c>
      <c r="BS109" s="81">
        <f>BS101/BS87*100</f>
        <v>22.347585114806019</v>
      </c>
      <c r="BT109" s="61">
        <f>IF(ISERROR((BS109/BK109-1)*100),"NA",IF(((BS109/BK109-1)*100)&gt;100,"NM",IF(((BS109/BK109-1)*100)&lt;-50,"NM",(BS109/BK109-1)*100)))</f>
        <v>91.204826817088076</v>
      </c>
      <c r="BU109" s="81">
        <f>BU101/BU87*100</f>
        <v>22.603878116343491</v>
      </c>
      <c r="BV109" s="61">
        <f>IF(ISERROR((BU109/BM109-1)*100),"NA",IF(((BU109/BM109-1)*100)&gt;100,"NM",IF(((BU109/BM109-1)*100)&lt;-50,"NM",(BU109/BM109-1)*100)))</f>
        <v>83.893485836833165</v>
      </c>
      <c r="BW109" s="81">
        <f>BW101/BW87*100</f>
        <v>21.16727171181234</v>
      </c>
      <c r="BX109" s="61">
        <f>IF(ISERROR((BW109/BO109-1)*100),"NA",IF(((BW109/BO109-1)*100)&gt;100,"NM",IF(((BW109/BO109-1)*100)&lt;-50,"NM",(BW109/BO109-1)*100)))</f>
        <v>89.556425427029041</v>
      </c>
      <c r="BY109" s="81">
        <f>BY101/BY87*100</f>
        <v>17.534676786181628</v>
      </c>
      <c r="BZ109" s="61" t="str">
        <f>IF(ISERROR((BY109/BQ109-1)*100),"NA",IF(((BY109/BQ109-1)*100)&gt;100,"NM",IF(((BY109/BQ109-1)*100)&lt;-50,"NM",(BY109/BQ109-1)*100)))</f>
        <v>NM</v>
      </c>
      <c r="CA109" s="81">
        <f>CA101/CA87*100</f>
        <v>12.195121951219511</v>
      </c>
      <c r="CB109" s="61">
        <f>IF(ISERROR((CA109/BS109-1)*100),"NA",IF(((CA109/BS109-1)*100)&gt;100,"NM",IF(((CA109/BS109-1)*100)&lt;-50,"NM",(CA109/BS109-1)*100)))</f>
        <v>-45.429799736438468</v>
      </c>
      <c r="CC109" s="81">
        <f>CC101/CC87*100</f>
        <v>10.407537248028047</v>
      </c>
      <c r="CD109" s="61" t="str">
        <f>IF(ISERROR((CC109/BU109-1)*100),"NA",IF(((CC109/BU109-1)*100)&gt;100,"NM",IF(((CC109/BU109-1)*100)&lt;-50,"NM",(CC109/BU109-1)*100)))</f>
        <v>NM</v>
      </c>
      <c r="CE109" s="81">
        <f>CE101/CE87*100</f>
        <v>9.6539563588274184</v>
      </c>
      <c r="CF109" s="61" t="str">
        <f>IF(ISERROR((CE109/BW109-1)*100),"NA",IF(((CE109/BW109-1)*100)&gt;100,"NM",IF(((CE109/BW109-1)*100)&lt;-50,"NM",(CE109/BW109-1)*100)))</f>
        <v>NM</v>
      </c>
      <c r="CG109" s="81">
        <f>CG101/CG87*100</f>
        <v>8.7021595039555262</v>
      </c>
      <c r="CH109" s="61" t="str">
        <f>IF(ISERROR((CG109/BY109-1)*100),"NA",IF(((CG109/BY109-1)*100)&gt;100,"NM",IF(((CG109/BY109-1)*100)&lt;-50,"NM",(CG109/BY109-1)*100)))</f>
        <v>NM</v>
      </c>
      <c r="CI109" s="81">
        <f>CI101/CI87*100</f>
        <v>9.0184563758389267</v>
      </c>
      <c r="CJ109" s="61">
        <f>IF(ISERROR((CI109/CA109-1)*100),"NA",IF(((CI109/CA109-1)*100)&gt;100,"NM",IF(((CI109/CA109-1)*100)&lt;-50,"NM",(CI109/CA109-1)*100)))</f>
        <v>-26.048657718120793</v>
      </c>
      <c r="CK109" s="81">
        <f>CK101/CK87*100</f>
        <v>8.8888888888888893</v>
      </c>
      <c r="CL109" s="61">
        <f>IF(ISERROR((CK109/CC109-1)*100),"NA",IF(((CK109/CC109-1)*100)&gt;100,"NM",IF(((CK109/CC109-1)*100)&lt;-50,"NM",(CK109/CC109-1)*100)))</f>
        <v>-14.59181286549709</v>
      </c>
      <c r="CM109" s="81">
        <f>CM101/CM87*100</f>
        <v>6.3350035790980668</v>
      </c>
      <c r="CN109" s="61">
        <f>IF(ISERROR((CM109/CE109-1)*100),"NA",IF(((CM109/CE109-1)*100)&gt;100,"NM",IF(((CM109/CE109-1)*100)&lt;-50,"NM",(CM109/CE109-1)*100)))</f>
        <v>-34.379198085917963</v>
      </c>
      <c r="CO109" s="81">
        <f>CO101/CO87*100</f>
        <v>7.6508620689655178</v>
      </c>
      <c r="CP109" s="61">
        <f>IF(ISERROR((CO109/CG109-1)*100),"NA",IF(((CO109/CG109-1)*100)&gt;100,"NM",IF(((CO109/CG109-1)*100)&lt;-50,"NM",(CO109/CG109-1)*100)))</f>
        <v>-12.080879861052264</v>
      </c>
      <c r="CQ109" s="81">
        <f>CQ101/CQ87*100</f>
        <v>16.298239040839267</v>
      </c>
      <c r="CR109" s="61">
        <f>IF(ISERROR((CQ109/CI109-1)*100),"NA",IF(((CQ109/CI109-1)*100)&gt;100,"NM",IF(((CQ109/CI109-1)*100)&lt;-50,"NM",(CQ109/CI109-1)*100)))</f>
        <v>80.720938945864233</v>
      </c>
      <c r="CS109" s="81">
        <f>CS101/CS87*100</f>
        <v>8.9866156787762907</v>
      </c>
      <c r="CT109" s="61">
        <f>IF(ISERROR((CS109/CK109-1)*100),"NA",IF(((CS109/CK109-1)*100)&gt;100,"NM",IF(((CS109/CK109-1)*100)&lt;-50,"NM",(CS109/CK109-1)*100)))</f>
        <v>1.0994263862332598</v>
      </c>
      <c r="CU109" s="81">
        <f>CU101/CU87*100</f>
        <v>8.0357142857142865</v>
      </c>
      <c r="CV109" s="61">
        <f>IF(ISERROR((CU109/CM109-1)*100),"NA",IF(((CU109/CM109-1)*100)&gt;100,"NM",IF(((CU109/CM109-1)*100)&lt;-50,"NM",(CU109/CM109-1)*100)))</f>
        <v>26.846246973365638</v>
      </c>
      <c r="CW109" s="81">
        <f>CW101/CW87*100</f>
        <v>8.5814360770577931</v>
      </c>
      <c r="CX109" s="61">
        <f>IF(ISERROR((CW109/CO109-1)*100),"NA",IF(((CW109/CO109-1)*100)&gt;100,"NM",IF(((CW109/CO109-1)*100)&lt;-50,"NM",(CW109/CO109-1)*100)))</f>
        <v>12.162995486051154</v>
      </c>
      <c r="CY109" s="81">
        <f>CY101/CY87*100</f>
        <v>21.869782971619365</v>
      </c>
      <c r="CZ109" s="61">
        <f>IF(ISERROR((CY109/CQ109-1)*100),"NA",IF(((CY109/CQ109-1)*100)&gt;100,"NM",IF(((CY109/CQ109-1)*100)&lt;-50,"NM",(CY109/CQ109-1)*100)))</f>
        <v>34.184944255751915</v>
      </c>
      <c r="DA109" s="81">
        <f>DA101/DA87*100</f>
        <v>8.9722675367047309</v>
      </c>
      <c r="DB109" s="61">
        <f>IF(ISERROR((DA109/CS109-1)*100),"NA",IF(((DA109/CS109-1)*100)&gt;100,"NM",IF(((DA109/CS109-1)*100)&lt;-50,"NM",(DA109/CS109-1)*100)))</f>
        <v>-0.15966124049842101</v>
      </c>
      <c r="DC109" s="81">
        <f>DC101/DC87*100</f>
        <v>10.416666666666668</v>
      </c>
      <c r="DD109" s="61">
        <f>IF(ISERROR((DC109/CU109-1)*100),"NA",IF(((DC109/CU109-1)*100)&gt;100,"NM",IF(((DC109/CU109-1)*100)&lt;-50,"NM",(DC109/CU109-1)*100)))</f>
        <v>29.629629629629626</v>
      </c>
      <c r="DE109" s="81">
        <f>DE101/DE87*100</f>
        <v>9.3939393939393927</v>
      </c>
      <c r="DF109" s="61">
        <f>IF(ISERROR((DE109/CW109-1)*100),"NA",IF(((DE109/CW109-1)*100)&gt;100,"NM",IF(((DE109/CW109-1)*100)&lt;-50,"NM",(DE109/CW109-1)*100)))</f>
        <v>9.4681508967223049</v>
      </c>
      <c r="DG109" s="81">
        <f>DG101/DG87*100</f>
        <v>11.320754716981133</v>
      </c>
      <c r="DH109" s="61">
        <f>IF(ISERROR((DG109/CY109-1)*100),"NA",IF(((DG109/CY109-1)*100)&gt;100,"NM",IF(((DG109/CY109-1)*100)&lt;-50,"NM",(DG109/CY109-1)*100)))</f>
        <v>-48.235633011666422</v>
      </c>
      <c r="DI109" s="81">
        <f>DI101/DI87*100</f>
        <v>9.3793103448275872</v>
      </c>
      <c r="DJ109" s="61">
        <f>IF(ISERROR((DI109/DA109-1)*100),"NA",IF(((DI109/DA109-1)*100)&gt;100,"NM",IF(((DI109/DA109-1)*100)&lt;-50,"NM",(DI109/DA109-1)*100)))</f>
        <v>4.5366771159874641</v>
      </c>
      <c r="DK109" s="81">
        <f>DK101/DK87*100</f>
        <v>11.523178807947019</v>
      </c>
      <c r="DL109" s="61">
        <f>IF(ISERROR((DK109/DC109-1)*100),"NA",IF(((DK109/DC109-1)*100)&gt;100,"NM",IF(((DK109/DC109-1)*100)&lt;-50,"NM",(DK109/DC109-1)*100)))</f>
        <v>10.622516556291362</v>
      </c>
      <c r="DM109" s="81">
        <f>DM101/DM87*100</f>
        <v>10.362694300518134</v>
      </c>
      <c r="DN109" s="130">
        <f t="shared" ref="DN109:DZ110" si="726">IF(ISERROR((DM109/DE109-1)*100),"NA",IF(((DM109/DE109-1)*100)&gt;100,"NM",IF(((DM109/DE109-1)*100)&lt;-50,"NM",(DM109/DE109-1)*100)))</f>
        <v>10.31255223132208</v>
      </c>
      <c r="DO109" s="81">
        <f>DO101/DO87*100</f>
        <v>12.752525252525251</v>
      </c>
      <c r="DP109" s="130">
        <f t="shared" si="726"/>
        <v>12.64730639730638</v>
      </c>
      <c r="DQ109" s="81">
        <f>DQ101/DQ87*100</f>
        <v>11.274509803921569</v>
      </c>
      <c r="DR109" s="130">
        <f t="shared" si="726"/>
        <v>20.206170703575555</v>
      </c>
      <c r="DS109" s="81">
        <f>DS101/DS87*100</f>
        <v>15.24822695035461</v>
      </c>
      <c r="DT109" s="130">
        <f t="shared" si="726"/>
        <v>32.326567212847479</v>
      </c>
      <c r="DU109" s="81">
        <f>DU101/DU87*100</f>
        <v>10.56338028169014</v>
      </c>
      <c r="DV109" s="130">
        <f t="shared" si="726"/>
        <v>1.936619718309851</v>
      </c>
      <c r="DW109" s="81">
        <f>DW101/DW87*100</f>
        <v>23.650107991360692</v>
      </c>
      <c r="DX109" s="81">
        <f t="shared" ref="DX109:DY109" si="727">DX101/DX87*100</f>
        <v>9.7192224622030245</v>
      </c>
      <c r="DY109" s="81">
        <f t="shared" si="727"/>
        <v>22.66949152542373</v>
      </c>
      <c r="DZ109" s="130" t="str">
        <f t="shared" si="726"/>
        <v>NM</v>
      </c>
      <c r="EA109" s="81">
        <f t="shared" ref="EA109:EC109" si="728">EA101/EA87*100</f>
        <v>24.026696329254726</v>
      </c>
      <c r="EB109" s="130">
        <f t="shared" ref="EB109:EB110" si="729">IF(ISERROR((EA109/DS109-1)*100),"NA",IF(((EA109/DS109-1)*100)&gt;100,"NM",IF(((EA109/DS109-1)*100)&lt;-50,"NM",(EA109/DS109-1)*100)))</f>
        <v>57.570427089530995</v>
      </c>
      <c r="EC109" s="81">
        <f t="shared" si="728"/>
        <v>16.209773539928488</v>
      </c>
      <c r="ED109" s="130">
        <f t="shared" ref="ED109:ED110" si="730">IF(ISERROR((EC109/DU109-1)*100),"NA",IF(((EC109/DU109-1)*100)&gt;100,"NM",IF(((EC109/DU109-1)*100)&lt;-50,"NM",(EC109/DU109-1)*100)))</f>
        <v>53.452522844656357</v>
      </c>
      <c r="EE109" s="81">
        <f t="shared" ref="EE109:EG109" si="731">EE101/EE87*100</f>
        <v>13.145539906103288</v>
      </c>
      <c r="EF109" s="130">
        <f t="shared" ref="EF109:EF110" si="732">IF(ISERROR((EE109/DW109-1)*100),"NA",IF(((EE109/DW109-1)*100)&gt;100,"NM",IF(((EE109/DW109-1)*100)&lt;-50,"NM",(EE109/DW109-1)*100)))</f>
        <v>-44.416575556841806</v>
      </c>
      <c r="EG109" s="81">
        <f t="shared" si="731"/>
        <v>15.31322505800464</v>
      </c>
      <c r="EH109" s="130">
        <f t="shared" ref="EH109:EH110" si="733">IF(ISERROR((EG109/DY109-1)*100),"NA",IF(((EG109/DY109-1)*100)&gt;100,"NM",IF(((EG109/DY109-1)*100)&lt;-50,"NM",(EG109/DY109-1)*100)))</f>
        <v>-32.450072641325335</v>
      </c>
      <c r="EI109" s="81">
        <f t="shared" ref="EI109:EK109" si="734">EI101/EI87*100</f>
        <v>21.11597374179431</v>
      </c>
      <c r="EJ109" s="130">
        <f t="shared" ref="EJ109:EJ110" si="735">IF(ISERROR((EI109/EA109-1)*100),"NA",IF(((EI109/EA109-1)*100)&gt;100,"NM",IF(((EI109/EA109-1)*100)&lt;-50,"NM",(EI109/EA109-1)*100)))</f>
        <v>-12.114535213550525</v>
      </c>
      <c r="EK109" s="81">
        <f t="shared" si="734"/>
        <v>18.689581095596132</v>
      </c>
      <c r="EL109" s="130">
        <f t="shared" ref="EL109:EL110" si="736">IF(ISERROR((EK109/EC109-1)*100),"NA",IF(((EK109/EC109-1)*100)&gt;100,"NM",IF(((EK109/EC109-1)*100)&lt;-50,"NM",(EK109/EC109-1)*100)))</f>
        <v>15.298224552979068</v>
      </c>
      <c r="EM109" s="81">
        <f t="shared" ref="EM109" si="737">EM101/EM87*100</f>
        <v>14.547413793103448</v>
      </c>
      <c r="EN109" s="130">
        <f t="shared" ref="EN109:EN110" si="738">IF(ISERROR((EM109/EE109-1)*100),"NA",IF(((EM109/EE109-1)*100)&gt;100,"NM",IF(((EM109/EE109-1)*100)&lt;-50,"NM",(EM109/EE109-1)*100)))</f>
        <v>10.664254926108363</v>
      </c>
      <c r="EO109" s="81">
        <f t="shared" ref="EO109" si="739">EO101/EO87*100</f>
        <v>21.896383186705766</v>
      </c>
      <c r="EP109" s="130">
        <f t="shared" ref="EP109:EP110" si="740">IF(ISERROR((EO109/EG109-1)*100),"NA",IF(((EO109/EG109-1)*100)&gt;100,"NM",IF(((EO109/EG109-1)*100)&lt;-50,"NM",(EO109/EG109-1)*100)))</f>
        <v>42.990017476820988</v>
      </c>
      <c r="EQ109" s="128">
        <v>18</v>
      </c>
      <c r="ER109" s="130">
        <f t="shared" ref="ER109:ER110" si="741">IF(ISERROR((EQ109/EI109-1)*100),"NA",IF(((EQ109/EI109-1)*100)&gt;100,"NM",IF(((EQ109/EI109-1)*100)&lt;-50,"NM",(EQ109/EI109-1)*100)))</f>
        <v>-14.756476683937825</v>
      </c>
      <c r="ES109" s="128">
        <f>EQ109</f>
        <v>18</v>
      </c>
      <c r="ET109" s="130">
        <f t="shared" ref="ET109:ET110" si="742">IF(ISERROR((ES109/EK109-1)*100),"NA",IF(((ES109/EK109-1)*100)&gt;100,"NM",IF(((ES109/EK109-1)*100)&lt;-50,"NM",(ES109/EK109-1)*100)))</f>
        <v>-3.689655172413786</v>
      </c>
      <c r="EU109" s="128">
        <f>ES109</f>
        <v>18</v>
      </c>
      <c r="EV109" s="130">
        <f t="shared" ref="EV109:EV110" si="743">IF(ISERROR((EU109/EM109-1)*100),"NA",IF(((EU109/EM109-1)*100)&gt;100,"NM",IF(((EU109/EM109-1)*100)&lt;-50,"NM",(EU109/EM109-1)*100)))</f>
        <v>23.733333333333341</v>
      </c>
      <c r="EW109" s="128">
        <f>EU109</f>
        <v>18</v>
      </c>
      <c r="EX109" s="130">
        <f t="shared" ref="EX109:EX110" si="744">IF(ISERROR((EW109/EO109-1)*100),"NA",IF(((EW109/EO109-1)*100)&gt;100,"NM",IF(((EW109/EO109-1)*100)&lt;-50,"NM",(EW109/EO109-1)*100)))</f>
        <v>-17.794642857142851</v>
      </c>
      <c r="EZ109" s="558"/>
      <c r="FB109" s="81"/>
      <c r="FC109" s="124"/>
      <c r="FD109" s="81"/>
      <c r="FE109" s="70"/>
      <c r="FF109" s="81"/>
      <c r="FG109" s="70"/>
      <c r="FH109" s="81"/>
      <c r="FI109" s="70"/>
      <c r="FJ109" s="81"/>
      <c r="FK109" s="70"/>
      <c r="FL109" s="81"/>
      <c r="FM109" s="61"/>
      <c r="FN109" s="88">
        <f>+FN103/FN86*100</f>
        <v>0</v>
      </c>
      <c r="FO109" s="61"/>
      <c r="FP109" s="88">
        <f>FP101/FP87*100</f>
        <v>9.1562287600737928</v>
      </c>
      <c r="FQ109" s="61" t="str">
        <f>IF(ISERROR((FP109/FN109-1)*100),"NA",IF(((FP109/FN109-1)*100)&gt;100,"NM",IF(((FP109/FN109-1)*100)&lt;-50,"NM",(FP109/FN109-1)*100)))</f>
        <v>NA</v>
      </c>
      <c r="FR109" s="88">
        <f>FR101/FR87*100</f>
        <v>7.0935427101665089</v>
      </c>
      <c r="FS109" s="130">
        <f>IF(ISERROR((FR109/FP109-1)*100),"NA",IF(((FR109/FP109-1)*100)&gt;100,"NM",IF(((FR109/FP109-1)*100)&lt;-50,"NM",(FR109/FP109-1)*100)))</f>
        <v>-22.527681471893025</v>
      </c>
      <c r="FT109" s="88">
        <f>FT101/FT87*100</f>
        <v>9.0875133404482416</v>
      </c>
      <c r="FU109" s="130">
        <f>IF(ISERROR((FT109/FR109-1)*100),"NA",IF(((FT109/FR109-1)*100)&gt;100,"NM",IF(((FT109/FR109-1)*100)&lt;-50,"NM",(FT109/FR109-1)*100)))</f>
        <v>28.109658484525113</v>
      </c>
      <c r="FV109" s="88">
        <f>FV101/FV87*100</f>
        <v>15.77499578959187</v>
      </c>
      <c r="FW109" s="61">
        <f>IF(ISERROR((FV109/FT109-1)*100),"NA",IF(((FV109/FT109-1)*100)&gt;100,"NM",IF(((FV109/FT109-1)*100)&lt;-50,"NM",(FV109/FT109-1)*100)))</f>
        <v>73.589795124457751</v>
      </c>
      <c r="FX109" s="88">
        <f>FX101/FX87*100</f>
        <v>14.936067700290319</v>
      </c>
      <c r="FY109" s="61">
        <f>IF(ISERROR((FX109/FV109-1)*100),"NA",IF(((FX109/FV109-1)*100)&gt;100,"NM",IF(((FX109/FV109-1)*100)&lt;-50,"NM",(FX109/FV109-1)*100)))</f>
        <v>-5.3180875639603276</v>
      </c>
      <c r="FZ109" s="88">
        <f>FZ101/FZ87*100</f>
        <v>9.0555670744349985</v>
      </c>
      <c r="GA109" s="61">
        <f>IF(ISERROR((FZ109/FX109-1)*100),"NA",IF(((FZ109/FX109-1)*100)&gt;100,"NM",IF(((FZ109/FX109-1)*100)&lt;-50,"NM",(FZ109/FX109-1)*100)))</f>
        <v>-39.371143354827041</v>
      </c>
      <c r="GB109" s="88">
        <f>GB101/GB87*100</f>
        <v>9.7587921193150429</v>
      </c>
      <c r="GC109" s="130">
        <f>IF(ISERROR((GB109/FZ109-1)*100),"NA",IF(((GB109/FZ109-1)*100)&gt;100,"NM",IF(((GB109/FZ109-1)*100)&lt;-50,"NM",(GB109/FZ109-1)*100)))</f>
        <v>7.7656654641246714</v>
      </c>
      <c r="GD109" s="88">
        <f>GD101/GD87*100</f>
        <v>11.950490823730259</v>
      </c>
      <c r="GE109" s="130">
        <f>IF(ISERROR((GD109/GB109-1)*100),"NA",IF(((GD109/GB109-1)*100)&gt;100,"NM",IF(((GD109/GB109-1)*100)&lt;-50,"NM",(GD109/GB109-1)*100)))</f>
        <v>22.458708799394422</v>
      </c>
      <c r="GF109" s="88">
        <f>GF101/GF87*100</f>
        <v>10.118606375092662</v>
      </c>
      <c r="GG109" s="61">
        <f t="shared" ref="GG109:GW110" si="745">IF(ISERROR((GF109/GD109-1)*100),"NA",IF(((GF109/GD109-1)*100)&gt;100,"NM",IF(((GF109/GD109-1)*100)&lt;-50,"NM",(GF109/GD109-1)*100)))</f>
        <v>-15.32894736842103</v>
      </c>
      <c r="GH109" s="88">
        <f>GH101/GH87*100</f>
        <v>11.483253588516746</v>
      </c>
      <c r="GI109" s="61">
        <f t="shared" si="745"/>
        <v>13.486513486513463</v>
      </c>
      <c r="GJ109" s="88">
        <f>GJ101/GJ87*100</f>
        <v>18.27354260089686</v>
      </c>
      <c r="GK109" s="61">
        <f t="shared" si="745"/>
        <v>59.132100149476827</v>
      </c>
      <c r="GL109" s="88">
        <f>GL101/GL87*100</f>
        <v>17.265353418308226</v>
      </c>
      <c r="GM109" s="61">
        <f t="shared" si="745"/>
        <v>-5.5172070605463919</v>
      </c>
      <c r="GN109" s="88">
        <f>GN101/GN87*100</f>
        <v>19.125395152792414</v>
      </c>
      <c r="GO109" s="61">
        <f t="shared" si="745"/>
        <v>10.77326185811982</v>
      </c>
      <c r="GP109" s="88">
        <f>GP101/GP87*100</f>
        <v>18.000000000000004</v>
      </c>
      <c r="GQ109" s="61">
        <f t="shared" si="745"/>
        <v>-5.884297520661141</v>
      </c>
      <c r="GR109" s="128">
        <f>GP109+0.18</f>
        <v>18.180000000000003</v>
      </c>
      <c r="GS109" s="61">
        <f t="shared" si="745"/>
        <v>1.0000000000000009</v>
      </c>
      <c r="GT109" s="128">
        <f>GR109</f>
        <v>18.180000000000003</v>
      </c>
      <c r="GU109" s="61">
        <f t="shared" si="745"/>
        <v>0</v>
      </c>
      <c r="GV109" s="128">
        <f>GT109+0.05</f>
        <v>18.230000000000004</v>
      </c>
      <c r="GW109" s="61">
        <f t="shared" si="745"/>
        <v>0.27502750275028021</v>
      </c>
      <c r="GX109" s="128">
        <f>GV109</f>
        <v>18.230000000000004</v>
      </c>
      <c r="GY109" s="61">
        <f t="shared" ref="GY109:GY110" si="746">IF(ISERROR((GX109/GV109-1)*100),"NA",IF(((GX109/GV109-1)*100)&gt;100,"NM",IF(((GX109/GV109-1)*100)&lt;-50,"NM",(GX109/GV109-1)*100)))</f>
        <v>0</v>
      </c>
      <c r="GZ109" s="61">
        <f t="shared" si="651"/>
        <v>-0.95438560265080907</v>
      </c>
      <c r="HA109" s="61"/>
      <c r="HB109" s="452"/>
      <c r="HC109"/>
      <c r="HD109"/>
      <c r="HE109"/>
      <c r="HF109"/>
      <c r="HG109"/>
      <c r="HH109"/>
    </row>
    <row r="110" spans="1:216" s="5" customFormat="1" ht="12.75" customHeight="1" x14ac:dyDescent="0.2">
      <c r="B110" s="68" t="s">
        <v>422</v>
      </c>
      <c r="C110" s="124"/>
      <c r="D110" s="70"/>
      <c r="E110" s="124"/>
      <c r="F110" s="71"/>
      <c r="G110" s="124"/>
      <c r="H110" s="71"/>
      <c r="I110" s="124"/>
      <c r="J110" s="61"/>
      <c r="K110" s="81"/>
      <c r="L110" s="61"/>
      <c r="M110" s="81"/>
      <c r="N110" s="61"/>
      <c r="O110" s="81"/>
      <c r="P110" s="61"/>
      <c r="Q110" s="81"/>
      <c r="R110" s="61"/>
      <c r="S110" s="81"/>
      <c r="T110" s="61"/>
      <c r="U110" s="81"/>
      <c r="V110" s="61"/>
      <c r="W110" s="81"/>
      <c r="X110" s="61"/>
      <c r="Y110" s="81"/>
      <c r="Z110" s="61"/>
      <c r="AA110" s="81"/>
      <c r="AB110" s="61"/>
      <c r="AC110" s="81"/>
      <c r="AD110" s="61"/>
      <c r="AE110" s="81"/>
      <c r="AF110" s="61"/>
      <c r="AG110" s="81"/>
      <c r="AH110" s="61"/>
      <c r="AI110" s="81"/>
      <c r="AJ110" s="61"/>
      <c r="AK110" s="81"/>
      <c r="AL110" s="61"/>
      <c r="AM110" s="81"/>
      <c r="AN110" s="61"/>
      <c r="AO110" s="81"/>
      <c r="AP110" s="61"/>
      <c r="AQ110" s="81">
        <f>+AQ104/AQ87*100</f>
        <v>86.316228619107207</v>
      </c>
      <c r="AR110" s="61" t="str">
        <f>IF(ISERROR((AQ110/AI110-1)*100),"NA",IF(((AQ110/AI110-1)*100)&gt;100,"NM",IF(((AQ110/AI110-1)*100)&lt;-50,"NM",(AQ110/AI110-1)*100)))</f>
        <v>NA</v>
      </c>
      <c r="AS110" s="81">
        <f>+AS104/AS87*100</f>
        <v>87.204171680705983</v>
      </c>
      <c r="AT110" s="61" t="str">
        <f>IF(ISERROR((AS110/AK110-1)*100),"NA",IF(((AS110/AK110-1)*100)&gt;100,"NM",IF(((AS110/AK110-1)*100)&lt;-50,"NM",(AS110/AK110-1)*100)))</f>
        <v>NA</v>
      </c>
      <c r="AU110" s="81">
        <f>+AU104/AU87*100</f>
        <v>84.911354205960038</v>
      </c>
      <c r="AV110" s="61" t="str">
        <f>IF(ISERROR((AU110/AM110-1)*100),"NA",IF(((AU110/AM110-1)*100)&gt;100,"NM",IF(((AU110/AM110-1)*100)&lt;-50,"NM",(AU110/AM110-1)*100)))</f>
        <v>NA</v>
      </c>
      <c r="AW110" s="81">
        <f>+AW104/AW87*100</f>
        <v>81.254532269760688</v>
      </c>
      <c r="AX110" s="61" t="str">
        <f>IF(ISERROR((AW110/AO110-1)*100),"NA",IF(((AW110/AO110-1)*100)&gt;100,"NM",IF(((AW110/AO110-1)*100)&lt;-50,"NM",(AW110/AO110-1)*100)))</f>
        <v>NA</v>
      </c>
      <c r="AY110" s="81">
        <f>+AY104/AY87*100</f>
        <v>82.052198784411857</v>
      </c>
      <c r="AZ110" s="61">
        <f>IF(ISERROR((AY110/AQ110-1)*100),"NA",IF(((AY110/AQ110-1)*100)&gt;100,"NM",IF(((AY110/AQ110-1)*100)&lt;-50,"NM",(AY110/AQ110-1)*100)))</f>
        <v>-4.9400094314957732</v>
      </c>
      <c r="BA110" s="81">
        <f>+BA104/BA87*100</f>
        <v>76.654507556018757</v>
      </c>
      <c r="BB110" s="61">
        <f>IF(ISERROR((BA110/AS110-1)*100),"NA",IF(((BA110/AS110-1)*100)&gt;100,"NM",IF(((BA110/AS110-1)*100)&lt;-50,"NM",(BA110/AS110-1)*100)))</f>
        <v>-12.097659918512072</v>
      </c>
      <c r="BC110" s="81">
        <f>+BC104/BC87*100</f>
        <v>79.654906000515069</v>
      </c>
      <c r="BD110" s="61">
        <f>IF(ISERROR((BC110/AU110-1)*100),"NA",IF(((BC110/AU110-1)*100)&gt;100,"NM",IF(((BC110/AU110-1)*100)&lt;-50,"NM",(BC110/AU110-1)*100)))</f>
        <v>-6.190512746616883</v>
      </c>
      <c r="BE110" s="81">
        <f>+BE104/BE87*100</f>
        <v>78.171992481203006</v>
      </c>
      <c r="BF110" s="61">
        <f>IF(ISERROR((BE110/AW110-1)*100),"NA",IF(((BE110/AW110-1)*100)&gt;100,"NM",IF(((BE110/AW110-1)*100)&lt;-50,"NM",(BE110/AW110-1)*100)))</f>
        <v>-3.7936835059536267</v>
      </c>
      <c r="BG110" s="81">
        <f>+BG104/BG87*100</f>
        <v>73.934311670160724</v>
      </c>
      <c r="BH110" s="61">
        <f>IF(ISERROR((BG110/AY110-1)*100),"NA",IF(((BG110/AY110-1)*100)&gt;100,"NM",IF(((BG110/AY110-1)*100)&lt;-50,"NM",(BG110/AY110-1)*100)))</f>
        <v>-9.8935643828150006</v>
      </c>
      <c r="BI110" s="81">
        <f>+BI104/BI87*100</f>
        <v>78.390754470126467</v>
      </c>
      <c r="BJ110" s="61">
        <f>IF(ISERROR((BI110/BA110-1)*100),"NA",IF(((BI110/BA110-1)*100)&gt;100,"NM",IF(((BI110/BA110-1)*100)&lt;-50,"NM",(BI110/BA110-1)*100)))</f>
        <v>2.2650291150052348</v>
      </c>
      <c r="BK110" s="81">
        <f>+BK104/BK87*100</f>
        <v>76.313057919867148</v>
      </c>
      <c r="BL110" s="61">
        <f>IF(ISERROR((BK110/BC110-1)*100),"NA",IF(((BK110/BC110-1)*100)&gt;100,"NM",IF(((BK110/BC110-1)*100)&lt;-50,"NM",(BK110/BC110-1)*100)))</f>
        <v>-4.195407726206235</v>
      </c>
      <c r="BM110" s="81">
        <f>+BM104/BM87*100</f>
        <v>82.375099127676449</v>
      </c>
      <c r="BN110" s="61">
        <f>IF(ISERROR((BM110/BE110-1)*100),"NA",IF(((BM110/BE110-1)*100)&gt;100,"NM",IF(((BM110/BE110-1)*100)&lt;-50,"NM",(BM110/BE110-1)*100)))</f>
        <v>5.3767423767330902</v>
      </c>
      <c r="BO110" s="81">
        <f>+BO104/BO87*100</f>
        <v>75.18502394427513</v>
      </c>
      <c r="BP110" s="61">
        <f>IF(ISERROR((BO110/BG110-1)*100),"NA",IF(((BO110/BG110-1)*100)&gt;100,"NM",IF(((BO110/BG110-1)*100)&lt;-50,"NM",(BO110/BG110-1)*100)))</f>
        <v>1.6916533688636326</v>
      </c>
      <c r="BQ110" s="81">
        <f>+BQ104/BQ87*100</f>
        <v>78.801843317972327</v>
      </c>
      <c r="BR110" s="61">
        <f>IF(ISERROR((BQ110/BI110-1)*100),"NA",IF(((BQ110/BI110-1)*100)&gt;100,"NM",IF(((BQ110/BI110-1)*100)&lt;-50,"NM",(BQ110/BI110-1)*100)))</f>
        <v>0.52440986264843392</v>
      </c>
      <c r="BS110" s="81">
        <f>+BS104/BS87*100</f>
        <v>65.102929532858269</v>
      </c>
      <c r="BT110" s="61">
        <f>IF(ISERROR((BS110/BK110-1)*100),"NA",IF(((BS110/BK110-1)*100)&gt;100,"NM",IF(((BS110/BK110-1)*100)&lt;-50,"NM",(BS110/BK110-1)*100)))</f>
        <v>-14.689659532160437</v>
      </c>
      <c r="BU110" s="81">
        <f>+BU104/BU87*100</f>
        <v>82.686980609418285</v>
      </c>
      <c r="BV110" s="61">
        <f>IF(ISERROR((BU110/BM110-1)*100),"NA",IF(((BU110/BM110-1)*100)&gt;100,"NM",IF(((BU110/BM110-1)*100)&lt;-50,"NM",(BU110/BM110-1)*100)))</f>
        <v>0.37861135834074133</v>
      </c>
      <c r="BW110" s="81">
        <f>+BW104/BW87*100</f>
        <v>74.420552918179268</v>
      </c>
      <c r="BX110" s="61">
        <f>IF(ISERROR((BW110/BO110-1)*100),"NA",IF(((BW110/BO110-1)*100)&gt;100,"NM",IF(((BW110/BO110-1)*100)&lt;-50,"NM",(BW110/BO110-1)*100)))</f>
        <v>-1.0167863039618918</v>
      </c>
      <c r="BY110" s="81">
        <f>+BY104/BY87*100</f>
        <v>80.947395969641434</v>
      </c>
      <c r="BZ110" s="61">
        <f>IF(ISERROR((BY110/BQ110-1)*100),"NA",IF(((BY110/BQ110-1)*100)&gt;100,"NM",IF(((BY110/BQ110-1)*100)&lt;-50,"NM",(BY110/BQ110-1)*100)))</f>
        <v>2.7227188620596365</v>
      </c>
      <c r="CA110" s="81">
        <f>+CA104/CA87*100</f>
        <v>82.334833057068437</v>
      </c>
      <c r="CB110" s="61">
        <f>IF(ISERROR((CA110/BS110-1)*100),"NA",IF(((CA110/BS110-1)*100)&gt;100,"NM",IF(((CA110/BS110-1)*100)&lt;-50,"NM",(CA110/BS110-1)*100)))</f>
        <v>26.468706781486695</v>
      </c>
      <c r="CC110" s="81">
        <f>+CC104/CC87*100</f>
        <v>72.765118317265561</v>
      </c>
      <c r="CD110" s="61">
        <f>IF(ISERROR((CC110/BU110-1)*100),"NA",IF(((CC110/BU110-1)*100)&gt;100,"NM",IF(((CC110/BU110-1)*100)&lt;-50,"NM",(CC110/BU110-1)*100)))</f>
        <v>-11.999304145618538</v>
      </c>
      <c r="CE110" s="81">
        <f>+CE104/CE87*100</f>
        <v>68.48137535816619</v>
      </c>
      <c r="CF110" s="61">
        <f>IF(ISERROR((CE110/BW110-1)*100),"NA",IF(((CE110/BW110-1)*100)&gt;100,"NM",IF(((CE110/BW110-1)*100)&lt;-50,"NM",(CE110/BW110-1)*100)))</f>
        <v>-7.9805609164753655</v>
      </c>
      <c r="CG110" s="81">
        <f>+CG104/CG87*100</f>
        <v>73.209322215095128</v>
      </c>
      <c r="CH110" s="61">
        <f>IF(ISERROR((CG110/BY110-1)*100),"NA",IF(((CG110/BY110-1)*100)&gt;100,"NM",IF(((CG110/BY110-1)*100)&lt;-50,"NM",(CG110/BY110-1)*100)))</f>
        <v>-9.5593856502170897</v>
      </c>
      <c r="CI110" s="81">
        <f>+CI104/CI87*100</f>
        <v>74.601510067114106</v>
      </c>
      <c r="CJ110" s="61">
        <f>IF(ISERROR((CI110/CA110-1)*100),"NA",IF(((CI110/CA110-1)*100)&gt;100,"NM",IF(((CI110/CA110-1)*100)&lt;-50,"NM",(CI110/CA110-1)*100)))</f>
        <v>-9.3925289003673136</v>
      </c>
      <c r="CK110" s="81">
        <f>+CK104/CK87*100</f>
        <v>68.455743879472692</v>
      </c>
      <c r="CL110" s="61">
        <f>IF(ISERROR((CK110/CC110-1)*100),"NA",IF(((CK110/CC110-1)*100)&gt;100,"NM",IF(((CK110/CC110-1)*100)&lt;-50,"NM",(CK110/CC110-1)*100)))</f>
        <v>-5.9223080198996243</v>
      </c>
      <c r="CM110" s="81">
        <f>+CM104/CM87*100</f>
        <v>64.996420901932709</v>
      </c>
      <c r="CN110" s="61">
        <f>IF(ISERROR((CM110/CE110-1)*100),"NA",IF(((CM110/CE110-1)*100)&gt;100,"NM",IF(((CM110/CE110-1)*100)&lt;-50,"NM",(CM110/CE110-1)*100)))</f>
        <v>-5.0889083900647947</v>
      </c>
      <c r="CO110" s="81">
        <f>+CO104/CO87*100</f>
        <v>68.893678160919549</v>
      </c>
      <c r="CP110" s="61">
        <f>IF(ISERROR((CO110/CG110-1)*100),"NA",IF(((CO110/CG110-1)*100)&gt;100,"NM",IF(((CO110/CG110-1)*100)&lt;-50,"NM",(CO110/CG110-1)*100)))</f>
        <v>-5.8949378625523297</v>
      </c>
      <c r="CQ110" s="81">
        <f>+CQ104/CQ87*100</f>
        <v>67.197452229299387</v>
      </c>
      <c r="CR110" s="61">
        <f>IF(ISERROR((CQ110/CI110-1)*100),"NA",IF(((CQ110/CI110-1)*100)&gt;100,"NM",IF(((CQ110/CI110-1)*100)&lt;-50,"NM",(CQ110/CI110-1)*100)))</f>
        <v>-9.9248096066068552</v>
      </c>
      <c r="CS110" s="81">
        <f>+CS104/CS87*100</f>
        <v>67.686424474187376</v>
      </c>
      <c r="CT110" s="61">
        <f>IF(ISERROR((CS110/CK110-1)*100),"NA",IF(((CS110/CK110-1)*100)&gt;100,"NM",IF(((CS110/CK110-1)*100)&lt;-50,"NM",(CS110/CK110-1)*100)))</f>
        <v>-1.1238200941031673</v>
      </c>
      <c r="CU110" s="81">
        <f>+CU104/CU87*100</f>
        <v>67.678571428571431</v>
      </c>
      <c r="CV110" s="61">
        <f>IF(ISERROR((CU110/CM110-1)*100),"NA",IF(((CU110/CM110-1)*100)&gt;100,"NM",IF(((CU110/CM110-1)*100)&lt;-50,"NM",(CU110/CM110-1)*100)))</f>
        <v>4.1266126494650779</v>
      </c>
      <c r="CW110" s="81">
        <f>+CW104/CW87*100</f>
        <v>68.126094570928203</v>
      </c>
      <c r="CX110" s="61">
        <f>IF(ISERROR((CW110/CO110-1)*100),"NA",IF(((CW110/CO110-1)*100)&gt;100,"NM",IF(((CW110/CO110-1)*100)&lt;-50,"NM",(CW110/CO110-1)*100)))</f>
        <v>-1.11415678547232</v>
      </c>
      <c r="CY110" s="81">
        <f>+CY104/CY87*100</f>
        <v>65.609348914858103</v>
      </c>
      <c r="CZ110" s="61">
        <f>IF(ISERROR((CY110/CQ110-1)*100),"NA",IF(((CY110/CQ110-1)*100)&gt;100,"NM",IF(((CY110/CQ110-1)*100)&lt;-50,"NM",(CY110/CQ110-1)*100)))</f>
        <v>-2.3633385816803965</v>
      </c>
      <c r="DA110" s="81">
        <f>+DA104/DA87*100</f>
        <v>74.55138662316476</v>
      </c>
      <c r="DB110" s="61">
        <f>IF(ISERROR((DA110/CS110-1)*100),"NA",IF(((DA110/CS110-1)*100)&gt;100,"NM",IF(((DA110/CS110-1)*100)&lt;-50,"NM",(DA110/CS110-1)*100)))</f>
        <v>10.142302835918571</v>
      </c>
      <c r="DC110" s="81">
        <f>+DC104/DC87*100</f>
        <v>67.788461538461547</v>
      </c>
      <c r="DD110" s="61">
        <f>IF(ISERROR((DC110/CU110-1)*100),"NA",IF(((DC110/CU110-1)*100)&gt;100,"NM",IF(((DC110/CU110-1)*100)&lt;-50,"NM",(DC110/CU110-1)*100)))</f>
        <v>0.16237061091943783</v>
      </c>
      <c r="DE110" s="81">
        <f>+DE104/DE87*100</f>
        <v>72.121212121212125</v>
      </c>
      <c r="DF110" s="61">
        <f>IF(ISERROR((DE110/CW110-1)*100),"NA",IF(((DE110/CW110-1)*100)&gt;100,"NM",IF(((DE110/CW110-1)*100)&lt;-50,"NM",(DE110/CW110-1)*100)))</f>
        <v>5.8642985121134084</v>
      </c>
      <c r="DG110" s="81">
        <f>+DG104/DG87*100</f>
        <v>67.198838896952111</v>
      </c>
      <c r="DH110" s="61">
        <f>IF(ISERROR((DG110/CY110-1)*100),"NA",IF(((DG110/CY110-1)*100)&gt;100,"NM",IF(((DG110/CY110-1)*100)&lt;-50,"NM",(DG110/CY110-1)*100)))</f>
        <v>2.4226577589677056</v>
      </c>
      <c r="DI110" s="81">
        <f>+DI104/DI87*100</f>
        <v>69.103448275862064</v>
      </c>
      <c r="DJ110" s="61">
        <f>IF(ISERROR((DI110/DA110-1)*100),"NA",IF(((DI110/DA110-1)*100)&gt;100,"NM",IF(((DI110/DA110-1)*100)&lt;-50,"NM",(DI110/DA110-1)*100)))</f>
        <v>-7.3076284614804194</v>
      </c>
      <c r="DK110" s="81">
        <f>+DK104/DK87*100</f>
        <v>61.854304635761594</v>
      </c>
      <c r="DL110" s="61">
        <f>IF(ISERROR((DK110/DC110-1)*100),"NA",IF(((DK110/DC110-1)*100)&gt;100,"NM",IF(((DK110/DC110-1)*100)&lt;-50,"NM",(DK110/DC110-1)*100)))</f>
        <v>-8.7539335869616366</v>
      </c>
      <c r="DM110" s="81">
        <f>+DM104/DM87*100</f>
        <v>62.176165803108809</v>
      </c>
      <c r="DN110" s="130">
        <f t="shared" si="726"/>
        <v>-13.789349936865946</v>
      </c>
      <c r="DO110" s="81">
        <f>+DO104/DO87*100</f>
        <v>61.237373737373737</v>
      </c>
      <c r="DP110" s="130">
        <f t="shared" si="726"/>
        <v>-8.8713811985950297</v>
      </c>
      <c r="DQ110" s="81">
        <f>+DQ104/DQ87*100</f>
        <v>61.274509803921575</v>
      </c>
      <c r="DR110" s="130">
        <f t="shared" si="726"/>
        <v>-11.329302179953803</v>
      </c>
      <c r="DS110" s="81">
        <f>+DS104/DS87*100</f>
        <v>55.673758865248224</v>
      </c>
      <c r="DT110" s="130">
        <f t="shared" si="726"/>
        <v>-9.9921029052196904</v>
      </c>
      <c r="DU110" s="81">
        <f>+DU104/DU87*100</f>
        <v>58.450704225352112</v>
      </c>
      <c r="DV110" s="130">
        <f t="shared" si="726"/>
        <v>-5.9917840375586895</v>
      </c>
      <c r="DW110" s="81">
        <f>+DW104/DW87*100</f>
        <v>51.943844492440604</v>
      </c>
      <c r="DX110" s="81">
        <f t="shared" ref="DX110:DY110" si="747">+DX104/DX87*100</f>
        <v>65.874730021598268</v>
      </c>
      <c r="DY110" s="81">
        <f t="shared" si="747"/>
        <v>51.271186440677965</v>
      </c>
      <c r="DZ110" s="130">
        <f t="shared" si="726"/>
        <v>-16.325423728813572</v>
      </c>
      <c r="EA110" s="81">
        <f t="shared" ref="EA110:EC110" si="748">+EA104/EA87*100</f>
        <v>48.49833147942158</v>
      </c>
      <c r="EB110" s="130">
        <f t="shared" si="729"/>
        <v>-12.888347279000723</v>
      </c>
      <c r="EC110" s="81">
        <f t="shared" si="748"/>
        <v>50.774731823599531</v>
      </c>
      <c r="ED110" s="130">
        <f t="shared" si="730"/>
        <v>-13.132386518661043</v>
      </c>
      <c r="EE110" s="81">
        <f t="shared" ref="EE110:EG110" si="749">+EE104/EE87*100</f>
        <v>50.23474178403756</v>
      </c>
      <c r="EF110" s="130">
        <f t="shared" si="732"/>
        <v>-3.2902892057821598</v>
      </c>
      <c r="EG110" s="81">
        <f t="shared" si="749"/>
        <v>48.259860788863108</v>
      </c>
      <c r="EH110" s="130">
        <f t="shared" si="733"/>
        <v>-5.8733293704818728</v>
      </c>
      <c r="EI110" s="81">
        <f t="shared" ref="EI110:EK110" si="750">+EI104/EI87*100</f>
        <v>47.811816192560173</v>
      </c>
      <c r="EJ110" s="130">
        <f t="shared" si="735"/>
        <v>-1.4155441350651499</v>
      </c>
      <c r="EK110" s="81">
        <f t="shared" si="750"/>
        <v>47.90547798066595</v>
      </c>
      <c r="EL110" s="130">
        <f t="shared" si="736"/>
        <v>-5.6509482962940671</v>
      </c>
      <c r="EM110" s="81">
        <f t="shared" ref="EM110" si="751">+EM104/EM87*100</f>
        <v>46.982758620689658</v>
      </c>
      <c r="EN110" s="130">
        <f t="shared" si="738"/>
        <v>-6.4735739606832094</v>
      </c>
      <c r="EO110" s="81">
        <f t="shared" ref="EO110" si="752">+EO104/EO87*100</f>
        <v>47.702834799608993</v>
      </c>
      <c r="EP110" s="130">
        <f t="shared" si="740"/>
        <v>-1.1542221219640547</v>
      </c>
      <c r="EQ110" s="782">
        <v>47</v>
      </c>
      <c r="ER110" s="130">
        <f t="shared" si="741"/>
        <v>-1.6979405034324935</v>
      </c>
      <c r="ES110" s="782">
        <f>EQ110</f>
        <v>47</v>
      </c>
      <c r="ET110" s="130">
        <f t="shared" si="742"/>
        <v>-1.8901345291479799</v>
      </c>
      <c r="EU110" s="782">
        <f>ES110</f>
        <v>47</v>
      </c>
      <c r="EV110" s="130">
        <f t="shared" si="743"/>
        <v>3.6697247706407587E-2</v>
      </c>
      <c r="EW110" s="782">
        <f>EU110</f>
        <v>47</v>
      </c>
      <c r="EX110" s="130">
        <f t="shared" si="744"/>
        <v>-1.4733606557377099</v>
      </c>
      <c r="EZ110" s="558"/>
      <c r="FB110" s="124"/>
      <c r="FC110" s="124"/>
      <c r="FD110" s="124"/>
      <c r="FE110" s="70"/>
      <c r="FF110" s="124"/>
      <c r="FG110" s="70"/>
      <c r="FH110" s="81"/>
      <c r="FI110" s="70"/>
      <c r="FJ110" s="81"/>
      <c r="FK110" s="70"/>
      <c r="FL110" s="81"/>
      <c r="FM110" s="61"/>
      <c r="FN110" s="81"/>
      <c r="FO110" s="61"/>
      <c r="FP110" s="88">
        <f>+FP104/FP87*100</f>
        <v>84.814059617438573</v>
      </c>
      <c r="FQ110" s="61" t="str">
        <f>IF(ISERROR((FP110/FN110-1)*100),"NA",IF(((FP110/FN110-1)*100)&gt;100,"NM",IF(((FP110/FN110-1)*100)&lt;-50,"NM",(FP110/FN110-1)*100)))</f>
        <v>NA</v>
      </c>
      <c r="FR110" s="88">
        <f>+FR104/FR87*100</f>
        <v>78.902125355354016</v>
      </c>
      <c r="FS110" s="130">
        <f>IF(ISERROR((FR110/FP110-1)*100),"NA",IF(((FR110/FP110-1)*100)&gt;100,"NM",IF(((FR110/FP110-1)*100)&lt;-50,"NM",(FR110/FP110-1)*100)))</f>
        <v>-6.9704649072935165</v>
      </c>
      <c r="FT110" s="129">
        <f>+FT104/FT87*100</f>
        <v>77.908217716115274</v>
      </c>
      <c r="FU110" s="130">
        <f>IF(ISERROR((FT110/FR110-1)*100),"NA",IF(((FT110/FR110-1)*100)&gt;100,"NM",IF(((FT110/FR110-1)*100)&lt;-50,"NM",(FT110/FR110-1)*100)))</f>
        <v>-1.2596715674799031</v>
      </c>
      <c r="FV110" s="88">
        <f>+FV104/FV87*100</f>
        <v>74.771234491663392</v>
      </c>
      <c r="FW110" s="61">
        <f>IF(ISERROR((FV110/FT110-1)*100),"NA",IF(((FV110/FT110-1)*100)&gt;100,"NM",IF(((FV110/FT110-1)*100)&lt;-50,"NM",(FV110/FT110-1)*100)))</f>
        <v>-4.0265113442622074</v>
      </c>
      <c r="FX110" s="88">
        <f>+FX104/FX87*100</f>
        <v>77.558836246834261</v>
      </c>
      <c r="FY110" s="61">
        <f>IF(ISERROR((FX110/FV110-1)*100),"NA",IF(((FX110/FV110-1)*100)&gt;100,"NM",IF(((FX110/FV110-1)*100)&lt;-50,"NM",(FX110/FV110-1)*100)))</f>
        <v>3.7281740419595089</v>
      </c>
      <c r="FZ110" s="88">
        <f>+FZ104/FZ87*100</f>
        <v>71.133112170848023</v>
      </c>
      <c r="GA110" s="61">
        <f>IF(ISERROR((FZ110/FX110-1)*100),"NA",IF(((FZ110/FX110-1)*100)&gt;100,"NM",IF(((FZ110/FX110-1)*100)&lt;-50,"NM",(FZ110/FX110-1)*100)))</f>
        <v>-8.2849671126267292</v>
      </c>
      <c r="GB110" s="88">
        <f>+GB104/GB87*100</f>
        <v>67.183759896888233</v>
      </c>
      <c r="GC110" s="130">
        <f>IF(ISERROR((GB110/FZ110-1)*100),"NA",IF(((GB110/FZ110-1)*100)&gt;100,"NM",IF(((GB110/FZ110-1)*100)&lt;-50,"NM",(GB110/FZ110-1)*100)))</f>
        <v>-5.5520588842987824</v>
      </c>
      <c r="GD110" s="88">
        <f>+GD104/GD87*100</f>
        <v>69.056764831412721</v>
      </c>
      <c r="GE110" s="130">
        <f>IF(ISERROR((GD110/GB110-1)*100),"NA",IF(((GD110/GB110-1)*100)&gt;100,"NM",IF(((GD110/GB110-1)*100)&lt;-50,"NM",(GD110/GB110-1)*100)))</f>
        <v>2.7878834667769858</v>
      </c>
      <c r="GF110" s="88">
        <f>+GF104/GF87*100</f>
        <v>69.0511489992587</v>
      </c>
      <c r="GG110" s="61">
        <f t="shared" si="745"/>
        <v>-8.1321969943592975E-3</v>
      </c>
      <c r="GH110" s="783">
        <f>+GH104/GH87*100</f>
        <v>61.626794258373209</v>
      </c>
      <c r="GI110" s="61">
        <f t="shared" si="745"/>
        <v>-10.751964085297406</v>
      </c>
      <c r="GJ110" s="783">
        <f>+GJ104/GJ87*100</f>
        <v>54.204035874439462</v>
      </c>
      <c r="GK110" s="61">
        <f t="shared" si="745"/>
        <v>-12.04469334038939</v>
      </c>
      <c r="GL110" s="783">
        <f>+GL104/GL87*100</f>
        <v>49.420625724217842</v>
      </c>
      <c r="GM110" s="61">
        <f t="shared" si="745"/>
        <v>-8.8248228624564273</v>
      </c>
      <c r="GN110" s="783">
        <f>+GN104/GN87*100</f>
        <v>47.602739726027401</v>
      </c>
      <c r="GO110" s="61">
        <f t="shared" si="745"/>
        <v>-3.6783953492106725</v>
      </c>
      <c r="GP110" s="783">
        <f>+GP104/GP87*100</f>
        <v>47.000000000000007</v>
      </c>
      <c r="GQ110" s="61">
        <f t="shared" si="745"/>
        <v>-1.2661870503597017</v>
      </c>
      <c r="GR110" s="128">
        <f>GP110</f>
        <v>47.000000000000007</v>
      </c>
      <c r="GS110" s="61">
        <f t="shared" si="745"/>
        <v>0</v>
      </c>
      <c r="GT110" s="128">
        <f>GR110</f>
        <v>47.000000000000007</v>
      </c>
      <c r="GU110" s="61">
        <f t="shared" si="745"/>
        <v>0</v>
      </c>
      <c r="GV110" s="128">
        <f>GT110</f>
        <v>47.000000000000007</v>
      </c>
      <c r="GW110" s="61">
        <f t="shared" si="745"/>
        <v>0</v>
      </c>
      <c r="GX110" s="128">
        <f>GV110+0.1</f>
        <v>47.100000000000009</v>
      </c>
      <c r="GY110" s="61">
        <f t="shared" si="746"/>
        <v>0.21276595744681437</v>
      </c>
      <c r="GZ110" s="61">
        <f t="shared" si="651"/>
        <v>-0.21212102126876298</v>
      </c>
      <c r="HA110" s="61"/>
      <c r="HB110" s="452"/>
      <c r="HC110"/>
      <c r="HD110"/>
      <c r="HE110"/>
      <c r="HF110"/>
      <c r="HG110"/>
      <c r="HH110"/>
    </row>
    <row r="111" spans="1:216" s="76" customFormat="1" ht="12.75" customHeight="1" x14ac:dyDescent="0.2">
      <c r="B111" s="77"/>
      <c r="C111" s="131"/>
      <c r="D111" s="78"/>
      <c r="E111" s="131"/>
      <c r="F111" s="79"/>
      <c r="G111" s="131"/>
      <c r="H111" s="79"/>
      <c r="I111" s="131"/>
      <c r="J111" s="80"/>
      <c r="K111" s="132"/>
      <c r="L111" s="80"/>
      <c r="M111" s="132"/>
      <c r="N111" s="80"/>
      <c r="O111" s="132"/>
      <c r="P111" s="80"/>
      <c r="Q111" s="132"/>
      <c r="R111" s="80"/>
      <c r="S111" s="132"/>
      <c r="T111" s="80"/>
      <c r="U111" s="132"/>
      <c r="V111" s="80"/>
      <c r="W111" s="132"/>
      <c r="X111" s="80"/>
      <c r="Y111" s="132"/>
      <c r="Z111" s="80"/>
      <c r="AA111" s="132"/>
      <c r="AB111" s="80"/>
      <c r="AC111" s="132"/>
      <c r="AD111" s="80"/>
      <c r="AE111" s="132"/>
      <c r="AF111" s="80"/>
      <c r="AG111" s="132"/>
      <c r="AH111" s="80"/>
      <c r="AI111" s="132"/>
      <c r="AJ111" s="80"/>
      <c r="AK111" s="132"/>
      <c r="AL111" s="80"/>
      <c r="AM111" s="132"/>
      <c r="AN111" s="80"/>
      <c r="AO111" s="132"/>
      <c r="AP111" s="80"/>
      <c r="AQ111" s="132"/>
      <c r="AR111" s="80"/>
      <c r="AS111" s="132"/>
      <c r="AT111" s="80"/>
      <c r="AU111" s="132"/>
      <c r="AV111" s="80"/>
      <c r="AW111" s="132"/>
      <c r="AX111" s="61"/>
      <c r="AY111" s="132"/>
      <c r="AZ111" s="61"/>
      <c r="BA111" s="132"/>
      <c r="BB111" s="61"/>
      <c r="BC111" s="132"/>
      <c r="BD111" s="61"/>
      <c r="BE111" s="132"/>
      <c r="BF111" s="61"/>
      <c r="BG111" s="132"/>
      <c r="BH111" s="61"/>
      <c r="BI111" s="132"/>
      <c r="BJ111" s="61"/>
      <c r="BK111" s="132"/>
      <c r="BL111" s="61"/>
      <c r="BM111" s="132"/>
      <c r="BN111" s="61"/>
      <c r="BO111" s="132"/>
      <c r="BP111" s="61"/>
      <c r="BQ111" s="132"/>
      <c r="BR111" s="61"/>
      <c r="BS111" s="132"/>
      <c r="BT111" s="61"/>
      <c r="BU111" s="132"/>
      <c r="BV111" s="61"/>
      <c r="BW111" s="132"/>
      <c r="BX111" s="61"/>
      <c r="BY111" s="132"/>
      <c r="BZ111" s="61"/>
      <c r="CA111" s="132"/>
      <c r="CB111" s="61"/>
      <c r="CC111" s="132"/>
      <c r="CD111" s="61"/>
      <c r="CE111" s="132"/>
      <c r="CF111" s="61"/>
      <c r="CG111" s="132"/>
      <c r="CH111" s="61"/>
      <c r="CI111" s="132"/>
      <c r="CJ111" s="61"/>
      <c r="CK111" s="132"/>
      <c r="CL111" s="61"/>
      <c r="CM111" s="132"/>
      <c r="CN111" s="61"/>
      <c r="CO111" s="132"/>
      <c r="CP111" s="61"/>
      <c r="CQ111" s="132"/>
      <c r="CR111" s="61"/>
      <c r="CS111" s="132"/>
      <c r="CT111" s="61"/>
      <c r="CU111" s="132"/>
      <c r="CV111" s="61"/>
      <c r="CW111" s="132"/>
      <c r="CX111" s="61"/>
      <c r="CY111" s="132"/>
      <c r="CZ111" s="61"/>
      <c r="DA111" s="132"/>
      <c r="DB111" s="61"/>
      <c r="DC111" s="132"/>
      <c r="DD111" s="61"/>
      <c r="DE111" s="132"/>
      <c r="DF111" s="61"/>
      <c r="DG111" s="132"/>
      <c r="DH111" s="61"/>
      <c r="DI111" s="132"/>
      <c r="DJ111" s="61"/>
      <c r="DK111" s="132"/>
      <c r="DL111" s="61"/>
      <c r="DM111" s="132"/>
      <c r="DN111" s="61"/>
      <c r="DO111" s="132"/>
      <c r="DP111" s="61"/>
      <c r="DQ111" s="132"/>
      <c r="DR111" s="61"/>
      <c r="DS111" s="132"/>
      <c r="DT111" s="61"/>
      <c r="DU111" s="132"/>
      <c r="DV111" s="61"/>
      <c r="DW111" s="132"/>
      <c r="DX111" s="132"/>
      <c r="DY111" s="132"/>
      <c r="DZ111" s="61"/>
      <c r="EA111" s="132"/>
      <c r="EB111" s="61"/>
      <c r="EC111" s="132"/>
      <c r="ED111" s="61"/>
      <c r="EE111" s="132"/>
      <c r="EF111" s="61"/>
      <c r="EG111" s="132"/>
      <c r="EH111" s="61"/>
      <c r="EI111" s="132"/>
      <c r="EJ111" s="61"/>
      <c r="EK111" s="132"/>
      <c r="EL111" s="61"/>
      <c r="EM111" s="132"/>
      <c r="EN111" s="61"/>
      <c r="EO111" s="132"/>
      <c r="EP111" s="61"/>
      <c r="EQ111" s="132"/>
      <c r="ER111" s="61"/>
      <c r="ES111" s="132"/>
      <c r="ET111" s="61"/>
      <c r="EU111" s="132"/>
      <c r="EV111" s="61"/>
      <c r="EW111" s="132"/>
      <c r="EX111" s="61"/>
      <c r="EY111" s="5"/>
      <c r="EZ111" s="558"/>
      <c r="FA111" s="5"/>
      <c r="FB111" s="131"/>
      <c r="FC111" s="131"/>
      <c r="FD111" s="131"/>
      <c r="FE111" s="78"/>
      <c r="FF111" s="131"/>
      <c r="FG111" s="78"/>
      <c r="FH111" s="132"/>
      <c r="FI111" s="78"/>
      <c r="FJ111" s="132"/>
      <c r="FK111" s="78"/>
      <c r="FL111" s="132"/>
      <c r="FM111" s="80"/>
      <c r="FN111" s="132"/>
      <c r="FO111" s="80"/>
      <c r="FP111" s="88"/>
      <c r="FQ111" s="61"/>
      <c r="FR111" s="88"/>
      <c r="FS111" s="130"/>
      <c r="FT111" s="129"/>
      <c r="FU111" s="130"/>
      <c r="FV111" s="88"/>
      <c r="FW111" s="61"/>
      <c r="FX111" s="88"/>
      <c r="FY111" s="61"/>
      <c r="FZ111" s="88"/>
      <c r="GA111" s="61"/>
      <c r="GB111" s="88"/>
      <c r="GC111" s="130"/>
      <c r="GD111" s="88"/>
      <c r="GE111" s="130"/>
      <c r="GF111" s="88"/>
      <c r="GG111" s="130"/>
      <c r="GH111" s="88"/>
      <c r="GI111" s="130"/>
      <c r="GJ111" s="88"/>
      <c r="GK111" s="130"/>
      <c r="GL111" s="88"/>
      <c r="GM111" s="130"/>
      <c r="GN111" s="88"/>
      <c r="GO111" s="130"/>
      <c r="GP111" s="88"/>
      <c r="GQ111" s="130"/>
      <c r="GR111" s="132"/>
      <c r="GS111" s="130"/>
      <c r="GT111" s="132"/>
      <c r="GU111" s="130"/>
      <c r="GV111" s="132"/>
      <c r="GW111" s="130"/>
      <c r="GX111" s="132"/>
      <c r="GY111" s="130"/>
      <c r="GZ111" s="61" t="str">
        <f t="shared" si="651"/>
        <v/>
      </c>
      <c r="HA111" s="61"/>
      <c r="HB111" s="452"/>
      <c r="HC111"/>
      <c r="HD111"/>
      <c r="HE111"/>
      <c r="HF111"/>
      <c r="HG111"/>
      <c r="HH111"/>
    </row>
    <row r="112" spans="1:216" s="5" customFormat="1" ht="12.75" customHeight="1" x14ac:dyDescent="0.2">
      <c r="B112" s="134" t="s">
        <v>578</v>
      </c>
      <c r="C112" s="66"/>
      <c r="D112" s="67"/>
      <c r="E112" s="66"/>
      <c r="F112" s="66"/>
      <c r="G112" s="64"/>
      <c r="H112" s="66"/>
      <c r="I112" s="64"/>
      <c r="J112" s="66"/>
      <c r="K112" s="64"/>
      <c r="L112" s="61"/>
      <c r="M112" s="66"/>
      <c r="N112" s="61"/>
      <c r="O112" s="64"/>
      <c r="P112" s="61"/>
      <c r="Q112" s="64"/>
      <c r="R112" s="61"/>
      <c r="S112" s="64"/>
      <c r="T112" s="61"/>
      <c r="U112" s="64"/>
      <c r="V112" s="61"/>
      <c r="W112" s="64"/>
      <c r="X112" s="61"/>
      <c r="Y112" s="64"/>
      <c r="Z112" s="61"/>
      <c r="AA112" s="64"/>
      <c r="AB112" s="61"/>
      <c r="AC112" s="64"/>
      <c r="AD112" s="61"/>
      <c r="AE112" s="64"/>
      <c r="AF112" s="61"/>
      <c r="AG112" s="64"/>
      <c r="AH112" s="61"/>
      <c r="AI112" s="64"/>
      <c r="AJ112" s="61"/>
      <c r="AK112" s="64"/>
      <c r="AL112" s="61"/>
      <c r="AM112" s="64"/>
      <c r="AN112" s="61"/>
      <c r="AO112" s="64"/>
      <c r="AP112" s="61"/>
      <c r="AQ112" s="64"/>
      <c r="AR112" s="61"/>
      <c r="AS112" s="64"/>
      <c r="AT112" s="61"/>
      <c r="AU112" s="64"/>
      <c r="AV112" s="61"/>
      <c r="AW112" s="64"/>
      <c r="AX112" s="61"/>
      <c r="AY112" s="64"/>
      <c r="AZ112" s="61"/>
      <c r="BA112" s="64"/>
      <c r="BB112" s="61"/>
      <c r="BC112" s="64"/>
      <c r="BD112" s="61"/>
      <c r="BE112" s="64"/>
      <c r="BF112" s="61"/>
      <c r="BG112" s="64"/>
      <c r="BH112" s="61"/>
      <c r="BI112" s="64"/>
      <c r="BJ112" s="61"/>
      <c r="BK112" s="64"/>
      <c r="BL112" s="61"/>
      <c r="BM112" s="64"/>
      <c r="BN112" s="61"/>
      <c r="BO112" s="64"/>
      <c r="BP112" s="61"/>
      <c r="BQ112" s="64"/>
      <c r="BR112" s="61"/>
      <c r="BS112" s="64"/>
      <c r="BT112" s="61"/>
      <c r="BU112" s="64"/>
      <c r="BV112" s="61"/>
      <c r="BW112" s="64"/>
      <c r="BX112" s="61"/>
      <c r="BY112" s="64"/>
      <c r="BZ112" s="61"/>
      <c r="CA112" s="64"/>
      <c r="CB112" s="61"/>
      <c r="CC112" s="64"/>
      <c r="CD112" s="61"/>
      <c r="CE112" s="64"/>
      <c r="CF112" s="61"/>
      <c r="CG112" s="64"/>
      <c r="CH112" s="61"/>
      <c r="CI112" s="64"/>
      <c r="CJ112" s="61"/>
      <c r="CK112" s="64"/>
      <c r="CL112" s="61"/>
      <c r="CM112" s="64"/>
      <c r="CN112" s="61"/>
      <c r="CO112" s="64"/>
      <c r="CP112" s="61"/>
      <c r="CQ112" s="64"/>
      <c r="CR112" s="61"/>
      <c r="CS112" s="64"/>
      <c r="CT112" s="61"/>
      <c r="CU112" s="64"/>
      <c r="CV112" s="61"/>
      <c r="CW112" s="64"/>
      <c r="CX112" s="61"/>
      <c r="CY112" s="64"/>
      <c r="CZ112" s="61"/>
      <c r="DA112" s="64"/>
      <c r="DB112" s="61"/>
      <c r="DC112" s="64"/>
      <c r="DD112" s="61"/>
      <c r="DE112" s="64"/>
      <c r="DF112" s="61"/>
      <c r="DG112" s="64"/>
      <c r="DH112" s="61"/>
      <c r="DI112" s="64"/>
      <c r="DJ112" s="61"/>
      <c r="DK112" s="64"/>
      <c r="DL112" s="61"/>
      <c r="DM112" s="64"/>
      <c r="DN112" s="61"/>
      <c r="DO112" s="64"/>
      <c r="DP112" s="61"/>
      <c r="DQ112" s="64"/>
      <c r="DR112" s="61"/>
      <c r="DS112" s="64"/>
      <c r="DT112" s="61"/>
      <c r="DU112" s="64"/>
      <c r="DV112" s="61"/>
      <c r="DW112" s="64"/>
      <c r="DX112" s="64"/>
      <c r="DY112" s="64"/>
      <c r="DZ112" s="61"/>
      <c r="EA112" s="64"/>
      <c r="EB112" s="61"/>
      <c r="EC112" s="64"/>
      <c r="ED112" s="61"/>
      <c r="EE112" s="64"/>
      <c r="EF112" s="61"/>
      <c r="EG112" s="64"/>
      <c r="EH112" s="61"/>
      <c r="EI112" s="64"/>
      <c r="EJ112" s="61"/>
      <c r="EK112" s="64"/>
      <c r="EL112" s="61"/>
      <c r="EM112" s="64"/>
      <c r="EN112" s="61"/>
      <c r="EO112" s="64"/>
      <c r="EP112" s="61"/>
      <c r="EQ112" s="64"/>
      <c r="ER112" s="61"/>
      <c r="ES112" s="64"/>
      <c r="ET112" s="61"/>
      <c r="EU112" s="64"/>
      <c r="EV112" s="61"/>
      <c r="EW112" s="64"/>
      <c r="EX112" s="61"/>
      <c r="EY112" s="64"/>
      <c r="EZ112" s="558"/>
      <c r="FA112" s="64"/>
      <c r="FB112" s="66"/>
      <c r="FC112" s="66"/>
      <c r="FD112" s="66"/>
      <c r="FE112" s="67"/>
      <c r="FF112" s="66"/>
      <c r="FG112" s="67"/>
      <c r="FH112" s="66"/>
      <c r="FI112" s="67"/>
      <c r="FJ112" s="66"/>
      <c r="FK112" s="67"/>
      <c r="FL112" s="66"/>
      <c r="FM112" s="61"/>
      <c r="FN112" s="66"/>
      <c r="FO112" s="61"/>
      <c r="FP112" s="65"/>
      <c r="FQ112" s="61"/>
      <c r="FR112" s="65"/>
      <c r="FS112" s="61"/>
      <c r="FT112" s="65"/>
      <c r="FU112" s="61"/>
      <c r="FV112" s="65"/>
      <c r="FW112" s="61"/>
      <c r="FX112" s="65"/>
      <c r="FY112" s="61"/>
      <c r="FZ112" s="65"/>
      <c r="GA112" s="61"/>
      <c r="GB112" s="65"/>
      <c r="GC112" s="61"/>
      <c r="GD112" s="65"/>
      <c r="GE112" s="61"/>
      <c r="GF112" s="65"/>
      <c r="GG112" s="61"/>
      <c r="GH112" s="65"/>
      <c r="GI112" s="61"/>
      <c r="GJ112" s="65"/>
      <c r="GK112" s="61"/>
      <c r="GL112" s="65"/>
      <c r="GM112" s="61"/>
      <c r="GN112" s="65"/>
      <c r="GO112" s="61"/>
      <c r="GP112" s="65"/>
      <c r="GQ112" s="61"/>
      <c r="GR112" s="64"/>
      <c r="GS112" s="61"/>
      <c r="GT112" s="64"/>
      <c r="GU112" s="61"/>
      <c r="GV112" s="64"/>
      <c r="GW112" s="61"/>
      <c r="GX112" s="64"/>
      <c r="GY112" s="61"/>
      <c r="GZ112" s="61" t="str">
        <f t="shared" si="651"/>
        <v/>
      </c>
      <c r="HA112" s="61"/>
      <c r="HB112" s="452"/>
      <c r="HC112"/>
      <c r="HD112"/>
      <c r="HE112"/>
      <c r="HF112"/>
      <c r="HG112"/>
      <c r="HH112"/>
    </row>
    <row r="113" spans="1:216" s="5" customFormat="1" ht="12.75" customHeight="1" x14ac:dyDescent="0.2">
      <c r="A113" s="5" t="s">
        <v>447</v>
      </c>
      <c r="B113" s="2" t="s">
        <v>351</v>
      </c>
      <c r="C113" s="69"/>
      <c r="D113" s="70"/>
      <c r="E113" s="69"/>
      <c r="F113" s="71"/>
      <c r="G113" s="69"/>
      <c r="H113" s="71"/>
      <c r="I113" s="69"/>
      <c r="J113" s="61"/>
      <c r="K113" s="69"/>
      <c r="L113" s="61"/>
      <c r="M113" s="69"/>
      <c r="N113" s="61"/>
      <c r="O113" s="69"/>
      <c r="P113" s="61"/>
      <c r="Q113" s="69"/>
      <c r="R113" s="61"/>
      <c r="S113" s="69"/>
      <c r="T113" s="61"/>
      <c r="U113" s="69"/>
      <c r="V113" s="61"/>
      <c r="W113" s="69"/>
      <c r="X113" s="61"/>
      <c r="Y113" s="69"/>
      <c r="Z113" s="61"/>
      <c r="AA113" s="69"/>
      <c r="AB113" s="61"/>
      <c r="AC113" s="69"/>
      <c r="AD113" s="61"/>
      <c r="AE113" s="69"/>
      <c r="AF113" s="61"/>
      <c r="AG113" s="69"/>
      <c r="AH113" s="61"/>
      <c r="AI113" s="69"/>
      <c r="AJ113" s="61"/>
      <c r="AK113" s="69"/>
      <c r="AL113" s="61"/>
      <c r="AM113" s="69"/>
      <c r="AN113" s="61"/>
      <c r="AO113" s="69"/>
      <c r="AP113" s="61"/>
      <c r="AQ113" s="69">
        <f>AQ86-AQ106</f>
        <v>61.400000000000034</v>
      </c>
      <c r="AR113" s="61" t="str">
        <f t="shared" ref="AR113:AR119" si="753">IF(ISERROR((AQ113/AI113-1)*100),"NA",IF(((AQ113/AI113-1)*100)&gt;100,"NM",IF(((AQ113/AI113-1)*100)&lt;-50,"NM",(AQ113/AI113-1)*100)))</f>
        <v>NA</v>
      </c>
      <c r="AS113" s="69">
        <f>AS86-AS106</f>
        <v>65.199999999999989</v>
      </c>
      <c r="AT113" s="61" t="str">
        <f t="shared" ref="AT113:AT119" si="754">IF(ISERROR((AS113/AK113-1)*100),"NA",IF(((AS113/AK113-1)*100)&gt;100,"NM",IF(((AS113/AK113-1)*100)&lt;-50,"NM",(AS113/AK113-1)*100)))</f>
        <v>NA</v>
      </c>
      <c r="AU113" s="69">
        <f>AU86-AU106</f>
        <v>104.79999999999995</v>
      </c>
      <c r="AV113" s="61" t="str">
        <f t="shared" ref="AV113:AX119" si="755">IF(ISERROR((AU113/AM113-1)*100),"NA",IF(((AU113/AM113-1)*100)&gt;100,"NM",IF(((AU113/AM113-1)*100)&lt;-50,"NM",(AU113/AM113-1)*100)))</f>
        <v>NA</v>
      </c>
      <c r="AW113" s="69">
        <f>AW86-AW106</f>
        <v>89.900000000000034</v>
      </c>
      <c r="AX113" s="61" t="str">
        <f t="shared" si="755"/>
        <v>NA</v>
      </c>
      <c r="AY113" s="69">
        <f>AY86-AY106</f>
        <v>86.699999999999989</v>
      </c>
      <c r="AZ113" s="61">
        <f t="shared" ref="AZ113:AZ119" si="756">IF(ISERROR((AY113/AQ113-1)*100),"NA",IF(((AY113/AQ113-1)*100)&gt;100,"NM",IF(((AY113/AQ113-1)*100)&lt;-50,"NM",(AY113/AQ113-1)*100)))</f>
        <v>41.20521172638427</v>
      </c>
      <c r="BA113" s="69">
        <f>BA86-BA106</f>
        <v>121.60000000000002</v>
      </c>
      <c r="BB113" s="61">
        <f t="shared" ref="BB113:BB119" si="757">IF(ISERROR((BA113/AS113-1)*100),"NA",IF(((BA113/AS113-1)*100)&gt;100,"NM",IF(((BA113/AS113-1)*100)&lt;-50,"NM",(BA113/AS113-1)*100)))</f>
        <v>86.503067484662651</v>
      </c>
      <c r="BC113" s="69">
        <f>BC86-BC106</f>
        <v>133.60000000000002</v>
      </c>
      <c r="BD113" s="61">
        <f t="shared" ref="BD113:BD119" si="758">IF(ISERROR((BC113/AU113-1)*100),"NA",IF(((BC113/AU113-1)*100)&gt;100,"NM",IF(((BC113/AU113-1)*100)&lt;-50,"NM",(BC113/AU113-1)*100)))</f>
        <v>27.48091603053442</v>
      </c>
      <c r="BE113" s="69">
        <f>BE86-BE106</f>
        <v>161.29999999999995</v>
      </c>
      <c r="BF113" s="61">
        <f t="shared" ref="BF113:BF119" si="759">IF(ISERROR((BE113/AW113-1)*100),"NA",IF(((BE113/AW113-1)*100)&gt;100,"NM",IF(((BE113/AW113-1)*100)&lt;-50,"NM",(BE113/AW113-1)*100)))</f>
        <v>79.421579532814121</v>
      </c>
      <c r="BG113" s="69">
        <f>BG86-BG106</f>
        <v>153.89999999999998</v>
      </c>
      <c r="BH113" s="61">
        <f t="shared" ref="BH113:BH119" si="760">IF(ISERROR((BG113/AY113-1)*100),"NA",IF(((BG113/AY113-1)*100)&gt;100,"NM",IF(((BG113/AY113-1)*100)&lt;-50,"NM",(BG113/AY113-1)*100)))</f>
        <v>77.508650519031136</v>
      </c>
      <c r="BI113" s="69">
        <f>BI86-BI106</f>
        <v>165</v>
      </c>
      <c r="BJ113" s="61">
        <f t="shared" ref="BJ113:BJ119" si="761">IF(ISERROR((BI113/BA113-1)*100),"NA",IF(((BI113/BA113-1)*100)&gt;100,"NM",IF(((BI113/BA113-1)*100)&lt;-50,"NM",(BI113/BA113-1)*100)))</f>
        <v>35.690789473684184</v>
      </c>
      <c r="BK113" s="69">
        <f>BK86-BK106</f>
        <v>170</v>
      </c>
      <c r="BL113" s="61">
        <f t="shared" ref="BL113:BL119" si="762">IF(ISERROR((BK113/BC113-1)*100),"NA",IF(((BK113/BC113-1)*100)&gt;100,"NM",IF(((BK113/BC113-1)*100)&lt;-50,"NM",(BK113/BC113-1)*100)))</f>
        <v>27.245508982035904</v>
      </c>
      <c r="BM113" s="69">
        <f>BM86-BM106</f>
        <v>155.09999999999991</v>
      </c>
      <c r="BN113" s="61">
        <f t="shared" ref="BN113:BN119" si="763">IF(ISERROR((BM113/BE113-1)*100),"NA",IF(((BM113/BE113-1)*100)&gt;100,"NM",IF(((BM113/BE113-1)*100)&lt;-50,"NM",(BM113/BE113-1)*100)))</f>
        <v>-3.8437693738376022</v>
      </c>
      <c r="BO113" s="69">
        <f>BO86-BO106</f>
        <v>156.40000000000003</v>
      </c>
      <c r="BP113" s="61">
        <f t="shared" ref="BP113:BP119" si="764">IF(ISERROR((BO113/BG113-1)*100),"NA",IF(((BO113/BG113-1)*100)&gt;100,"NM",IF(((BO113/BG113-1)*100)&lt;-50,"NM",(BO113/BG113-1)*100)))</f>
        <v>1.6244314489928913</v>
      </c>
      <c r="BQ113" s="69">
        <f>BQ86-BQ106</f>
        <v>152.30000000000007</v>
      </c>
      <c r="BR113" s="61">
        <f t="shared" ref="BR113:BR119" si="765">IF(ISERROR((BQ113/BI113-1)*100),"NA",IF(((BQ113/BI113-1)*100)&gt;100,"NM",IF(((BQ113/BI113-1)*100)&lt;-50,"NM",(BQ113/BI113-1)*100)))</f>
        <v>-7.6969696969696582</v>
      </c>
      <c r="BS113" s="69">
        <f>BS86-BS106</f>
        <v>138.60000000000002</v>
      </c>
      <c r="BT113" s="61">
        <f t="shared" ref="BT113:BT119" si="766">IF(ISERROR((BS113/BK113-1)*100),"NA",IF(((BS113/BK113-1)*100)&gt;100,"NM",IF(((BS113/BK113-1)*100)&lt;-50,"NM",(BS113/BK113-1)*100)))</f>
        <v>-18.470588235294105</v>
      </c>
      <c r="BU113" s="69">
        <f>BU86-BU106</f>
        <v>-308.90000000000009</v>
      </c>
      <c r="BV113" s="61" t="str">
        <f t="shared" ref="BV113:BV119" si="767">IF(ISERROR((BU113/BM113-1)*100),"NA",IF(((BU113/BM113-1)*100)&gt;100,"NM",IF(((BU113/BM113-1)*100)&lt;-50,"NM",(BU113/BM113-1)*100)))</f>
        <v>NM</v>
      </c>
      <c r="BW113" s="69">
        <f>BW86-BW106</f>
        <v>62.600000000000023</v>
      </c>
      <c r="BX113" s="61" t="str">
        <f t="shared" ref="BX113:BX119" si="768">IF(ISERROR((BW113/BO113-1)*100),"NA",IF(((BW113/BO113-1)*100)&gt;100,"NM",IF(((BW113/BO113-1)*100)&lt;-50,"NM",(BW113/BO113-1)*100)))</f>
        <v>NM</v>
      </c>
      <c r="BY113" s="69">
        <f>BY86-BY106</f>
        <v>76.600000000000023</v>
      </c>
      <c r="BZ113" s="61">
        <f t="shared" ref="BZ113:BZ119" si="769">IF(ISERROR((BY113/BQ113-1)*100),"NA",IF(((BY113/BQ113-1)*100)&gt;100,"NM",IF(((BY113/BQ113-1)*100)&lt;-50,"NM",(BY113/BQ113-1)*100)))</f>
        <v>-49.704530531845052</v>
      </c>
      <c r="CA113" s="69">
        <f>CA86-CA106</f>
        <v>112</v>
      </c>
      <c r="CB113" s="61">
        <f t="shared" ref="CB113:CB119" si="770">IF(ISERROR((CA113/BS113-1)*100),"NA",IF(((CA113/BS113-1)*100)&gt;100,"NM",IF(((CA113/BS113-1)*100)&lt;-50,"NM",(CA113/BS113-1)*100)))</f>
        <v>-19.191919191919204</v>
      </c>
      <c r="CC113" s="69">
        <f>CC86-CC106</f>
        <v>142.89999999999998</v>
      </c>
      <c r="CD113" s="61" t="str">
        <f t="shared" ref="CD113:CD119" si="771">IF(ISERROR((CC113/BU113-1)*100),"NA",IF(((CC113/BU113-1)*100)&gt;100,"NM",IF(((CC113/BU113-1)*100)&lt;-50,"NM",(CC113/BU113-1)*100)))</f>
        <v>NM</v>
      </c>
      <c r="CE113" s="69">
        <f>CE86-CE106</f>
        <v>150.09999999999997</v>
      </c>
      <c r="CF113" s="61" t="str">
        <f t="shared" ref="CF113:CF119" si="772">IF(ISERROR((CE113/BW113-1)*100),"NA",IF(((CE113/BW113-1)*100)&gt;100,"NM",IF(((CE113/BW113-1)*100)&lt;-50,"NM",(CE113/BW113-1)*100)))</f>
        <v>NM</v>
      </c>
      <c r="CG113" s="69">
        <f>CG86-CG106</f>
        <v>145</v>
      </c>
      <c r="CH113" s="61">
        <f t="shared" ref="CH113:CH119" si="773">IF(ISERROR((CG113/BY113-1)*100),"NA",IF(((CG113/BY113-1)*100)&gt;100,"NM",IF(((CG113/BY113-1)*100)&lt;-50,"NM",(CG113/BY113-1)*100)))</f>
        <v>89.295039164490802</v>
      </c>
      <c r="CI113" s="69">
        <f>CI86-CI106</f>
        <v>136.29999999999995</v>
      </c>
      <c r="CJ113" s="61">
        <f t="shared" ref="CJ113:CJ119" si="774">IF(ISERROR((CI113/CA113-1)*100),"NA",IF(((CI113/CA113-1)*100)&gt;100,"NM",IF(((CI113/CA113-1)*100)&lt;-50,"NM",(CI113/CA113-1)*100)))</f>
        <v>21.696428571428527</v>
      </c>
      <c r="CK113" s="69">
        <f>CK86-CK106</f>
        <v>154.89999999999998</v>
      </c>
      <c r="CL113" s="61">
        <f t="shared" ref="CL113:CL119" si="775">IF(ISERROR((CK113/CC113-1)*100),"NA",IF(((CK113/CC113-1)*100)&gt;100,"NM",IF(((CK113/CC113-1)*100)&lt;-50,"NM",(CK113/CC113-1)*100)))</f>
        <v>8.3974807557732678</v>
      </c>
      <c r="CM113" s="69">
        <f>CM86-CM106</f>
        <v>183.90000000000009</v>
      </c>
      <c r="CN113" s="61">
        <f t="shared" ref="CN113:CN119" si="776">IF(ISERROR((CM113/CE113-1)*100),"NA",IF(((CM113/CE113-1)*100)&gt;100,"NM",IF(((CM113/CE113-1)*100)&lt;-50,"NM",(CM113/CE113-1)*100)))</f>
        <v>22.518321119253915</v>
      </c>
      <c r="CO113" s="69">
        <f>CO86-CO106</f>
        <v>178.69999999999993</v>
      </c>
      <c r="CP113" s="61">
        <f t="shared" ref="CP113:CP119" si="777">IF(ISERROR((CO113/CG113-1)*100),"NA",IF(((CO113/CG113-1)*100)&gt;100,"NM",IF(((CO113/CG113-1)*100)&lt;-50,"NM",(CO113/CG113-1)*100)))</f>
        <v>23.241379310344779</v>
      </c>
      <c r="CQ113" s="69">
        <f>CQ86-CQ106</f>
        <v>160</v>
      </c>
      <c r="CR113" s="61">
        <f t="shared" ref="CR113:CR119" si="778">IF(ISERROR((CQ113/CI113-1)*100),"NA",IF(((CQ113/CI113-1)*100)&gt;100,"NM",IF(((CQ113/CI113-1)*100)&lt;-50,"NM",(CQ113/CI113-1)*100)))</f>
        <v>17.388114453411639</v>
      </c>
      <c r="CS113" s="69">
        <f>CS86-CS106</f>
        <v>155</v>
      </c>
      <c r="CT113" s="61">
        <f t="shared" ref="CT113:CT119" si="779">IF(ISERROR((CS113/CK113-1)*100),"NA",IF(((CS113/CK113-1)*100)&gt;100,"NM",IF(((CS113/CK113-1)*100)&lt;-50,"NM",(CS113/CK113-1)*100)))</f>
        <v>6.4557779212415234E-2</v>
      </c>
      <c r="CU113" s="69">
        <f>CU86-CU106</f>
        <v>162</v>
      </c>
      <c r="CV113" s="61">
        <f t="shared" ref="CV113:CV119" si="780">IF(ISERROR((CU113/CM113-1)*100),"NA",IF(((CU113/CM113-1)*100)&gt;100,"NM",IF(((CU113/CM113-1)*100)&lt;-50,"NM",(CU113/CM113-1)*100)))</f>
        <v>-11.908646003262691</v>
      </c>
      <c r="CW113" s="69">
        <f>CW86-CW106</f>
        <v>196</v>
      </c>
      <c r="CX113" s="61">
        <f t="shared" ref="CX113:CX119" si="781">IF(ISERROR((CW113/CO113-1)*100),"NA",IF(((CW113/CO113-1)*100)&gt;100,"NM",IF(((CW113/CO113-1)*100)&lt;-50,"NM",(CW113/CO113-1)*100)))</f>
        <v>9.6810296586458122</v>
      </c>
      <c r="CY113" s="69">
        <f>CY86-CY106</f>
        <v>173</v>
      </c>
      <c r="CZ113" s="61">
        <f t="shared" ref="CZ113:CZ119" si="782">IF(ISERROR((CY113/CQ113-1)*100),"NA",IF(((CY113/CQ113-1)*100)&gt;100,"NM",IF(((CY113/CQ113-1)*100)&lt;-50,"NM",(CY113/CQ113-1)*100)))</f>
        <v>8.1250000000000036</v>
      </c>
      <c r="DA113" s="69">
        <f>DA86-DA106</f>
        <v>186</v>
      </c>
      <c r="DB113" s="61">
        <f t="shared" ref="DB113:DB119" si="783">IF(ISERROR((DA113/CS113-1)*100),"NA",IF(((DA113/CS113-1)*100)&gt;100,"NM",IF(((DA113/CS113-1)*100)&lt;-50,"NM",(DA113/CS113-1)*100)))</f>
        <v>19.999999999999996</v>
      </c>
      <c r="DC113" s="69">
        <f>DC86-DC106</f>
        <v>194</v>
      </c>
      <c r="DD113" s="61">
        <f t="shared" ref="DD113:DD119" si="784">IF(ISERROR((DC113/CU113-1)*100),"NA",IF(((DC113/CU113-1)*100)&gt;100,"NM",IF(((DC113/CU113-1)*100)&lt;-50,"NM",(DC113/CU113-1)*100)))</f>
        <v>19.753086419753085</v>
      </c>
      <c r="DE113" s="69">
        <f>DE86-DE106</f>
        <v>243</v>
      </c>
      <c r="DF113" s="61">
        <f t="shared" ref="DF113:DF119" si="785">IF(ISERROR((DE113/CW113-1)*100),"NA",IF(((DE113/CW113-1)*100)&gt;100,"NM",IF(((DE113/CW113-1)*100)&lt;-50,"NM",(DE113/CW113-1)*100)))</f>
        <v>23.979591836734706</v>
      </c>
      <c r="DG113" s="69">
        <f>DG86-DG106</f>
        <v>239</v>
      </c>
      <c r="DH113" s="61">
        <f t="shared" ref="DH113:DH119" si="786">IF(ISERROR((DG113/CY113-1)*100),"NA",IF(((DG113/CY113-1)*100)&gt;100,"NM",IF(((DG113/CY113-1)*100)&lt;-50,"NM",(DG113/CY113-1)*100)))</f>
        <v>38.150289017341031</v>
      </c>
      <c r="DI113" s="69">
        <f>DI86-DI106</f>
        <v>252</v>
      </c>
      <c r="DJ113" s="61">
        <f t="shared" ref="DJ113:DJ119" si="787">IF(ISERROR((DI113/DA113-1)*100),"NA",IF(((DI113/DA113-1)*100)&gt;100,"NM",IF(((DI113/DA113-1)*100)&lt;-50,"NM",(DI113/DA113-1)*100)))</f>
        <v>35.483870967741929</v>
      </c>
      <c r="DK113" s="69">
        <f>DK86-DK106</f>
        <v>266</v>
      </c>
      <c r="DL113" s="61">
        <f t="shared" ref="DL113:DL119" si="788">IF(ISERROR((DK113/DC113-1)*100),"NA",IF(((DK113/DC113-1)*100)&gt;100,"NM",IF(((DK113/DC113-1)*100)&lt;-50,"NM",(DK113/DC113-1)*100)))</f>
        <v>37.113402061855673</v>
      </c>
      <c r="DM113" s="69">
        <f>DM86-DM106</f>
        <v>286</v>
      </c>
      <c r="DN113" s="130">
        <f t="shared" ref="DN113:DZ119" si="789">IF(ISERROR((DM113/DE113-1)*100),"NA",IF(((DM113/DE113-1)*100)&gt;100,"NM",IF(((DM113/DE113-1)*100)&lt;-50,"NM",(DM113/DE113-1)*100)))</f>
        <v>17.695473251028805</v>
      </c>
      <c r="DO113" s="69">
        <f>DO86-DO106</f>
        <v>315</v>
      </c>
      <c r="DP113" s="130">
        <f t="shared" si="789"/>
        <v>31.799163179916313</v>
      </c>
      <c r="DQ113" s="69">
        <f>DQ86-DQ106</f>
        <v>297</v>
      </c>
      <c r="DR113" s="130">
        <f t="shared" si="789"/>
        <v>17.857142857142861</v>
      </c>
      <c r="DS113" s="69">
        <f>DS86-DS106</f>
        <v>293</v>
      </c>
      <c r="DT113" s="130">
        <f t="shared" si="789"/>
        <v>10.150375939849621</v>
      </c>
      <c r="DU113" s="69">
        <f>DU86-DU106</f>
        <v>328</v>
      </c>
      <c r="DV113" s="130">
        <f t="shared" si="789"/>
        <v>14.685314685314687</v>
      </c>
      <c r="DW113" s="69">
        <f>DW86-DW106</f>
        <v>328</v>
      </c>
      <c r="DX113" s="69">
        <f t="shared" ref="DX113:DY113" si="790">DX86-DX106</f>
        <v>328</v>
      </c>
      <c r="DY113" s="69">
        <f t="shared" si="790"/>
        <v>309</v>
      </c>
      <c r="DZ113" s="130">
        <f t="shared" si="789"/>
        <v>4.0404040404040442</v>
      </c>
      <c r="EA113" s="69">
        <f t="shared" ref="EA113:EC113" si="791">EA86-EA106</f>
        <v>272</v>
      </c>
      <c r="EB113" s="130">
        <f t="shared" ref="EB113:EB119" si="792">IF(ISERROR((EA113/DS113-1)*100),"NA",IF(((EA113/DS113-1)*100)&gt;100,"NM",IF(((EA113/DS113-1)*100)&lt;-50,"NM",(EA113/DS113-1)*100)))</f>
        <v>-7.1672354948805417</v>
      </c>
      <c r="EC113" s="69">
        <f t="shared" si="791"/>
        <v>296</v>
      </c>
      <c r="ED113" s="130">
        <f t="shared" ref="ED113:ED119" si="793">IF(ISERROR((EC113/DU113-1)*100),"NA",IF(((EC113/DU113-1)*100)&gt;100,"NM",IF(((EC113/DU113-1)*100)&lt;-50,"NM",(EC113/DU113-1)*100)))</f>
        <v>-9.7560975609756078</v>
      </c>
      <c r="EE113" s="69">
        <f t="shared" ref="EE113:EG113" si="794">EE86-EE106</f>
        <v>303</v>
      </c>
      <c r="EF113" s="130">
        <f t="shared" ref="EF113:EF119" si="795">IF(ISERROR((EE113/DW113-1)*100),"NA",IF(((EE113/DW113-1)*100)&gt;100,"NM",IF(((EE113/DW113-1)*100)&lt;-50,"NM",(EE113/DW113-1)*100)))</f>
        <v>-7.6219512195121908</v>
      </c>
      <c r="EG113" s="69">
        <f t="shared" si="794"/>
        <v>306</v>
      </c>
      <c r="EH113" s="130">
        <f t="shared" ref="EH113:EH119" si="796">IF(ISERROR((EG113/DY113-1)*100),"NA",IF(((EG113/DY113-1)*100)&gt;100,"NM",IF(((EG113/DY113-1)*100)&lt;-50,"NM",(EG113/DY113-1)*100)))</f>
        <v>-0.97087378640776656</v>
      </c>
      <c r="EI113" s="69">
        <f t="shared" ref="EI113:EK113" si="797">EI86-EI106</f>
        <v>280</v>
      </c>
      <c r="EJ113" s="130">
        <f t="shared" ref="EJ113:EJ119" si="798">IF(ISERROR((EI113/EA113-1)*100),"NA",IF(((EI113/EA113-1)*100)&gt;100,"NM",IF(((EI113/EA113-1)*100)&lt;-50,"NM",(EI113/EA113-1)*100)))</f>
        <v>2.9411764705882248</v>
      </c>
      <c r="EK113" s="69">
        <f t="shared" si="797"/>
        <v>310</v>
      </c>
      <c r="EL113" s="130">
        <f t="shared" ref="EL113:EL119" si="799">IF(ISERROR((EK113/EC113-1)*100),"NA",IF(((EK113/EC113-1)*100)&gt;100,"NM",IF(((EK113/EC113-1)*100)&lt;-50,"NM",(EK113/EC113-1)*100)))</f>
        <v>4.7297297297297369</v>
      </c>
      <c r="EM113" s="69">
        <f t="shared" ref="EM113" si="800">EM86-EM106</f>
        <v>350</v>
      </c>
      <c r="EN113" s="130">
        <f t="shared" ref="EN113:EN119" si="801">IF(ISERROR((EM113/EE113-1)*100),"NA",IF(((EM113/EE113-1)*100)&gt;100,"NM",IF(((EM113/EE113-1)*100)&lt;-50,"NM",(EM113/EE113-1)*100)))</f>
        <v>15.511551155115511</v>
      </c>
      <c r="EO113" s="69">
        <f t="shared" ref="EO113" si="802">EO86-EO106</f>
        <v>333</v>
      </c>
      <c r="EP113" s="130">
        <f t="shared" ref="EP113:EP119" si="803">IF(ISERROR((EO113/EG113-1)*100),"NA",IF(((EO113/EG113-1)*100)&gt;100,"NM",IF(((EO113/EG113-1)*100)&lt;-50,"NM",(EO113/EG113-1)*100)))</f>
        <v>8.8235294117646959</v>
      </c>
      <c r="EQ113" s="69">
        <f t="shared" ref="EQ113:EW113" si="804">EQ86-EQ106</f>
        <v>329.9493323058141</v>
      </c>
      <c r="ER113" s="130">
        <f t="shared" ref="ER113:ER119" si="805">IF(ISERROR((EQ113/EI113-1)*100),"NA",IF(((EQ113/EI113-1)*100)&gt;100,"NM",IF(((EQ113/EI113-1)*100)&lt;-50,"NM",(EQ113/EI113-1)*100)))</f>
        <v>17.839047252076455</v>
      </c>
      <c r="ES113" s="69">
        <f t="shared" si="804"/>
        <v>329.21500372772516</v>
      </c>
      <c r="ET113" s="130">
        <f t="shared" ref="ET113:ET119" si="806">IF(ISERROR((ES113/EK113-1)*100),"NA",IF(((ES113/EK113-1)*100)&gt;100,"NM",IF(((ES113/EK113-1)*100)&lt;-50,"NM",(ES113/EK113-1)*100)))</f>
        <v>6.1983882992661776</v>
      </c>
      <c r="EU113" s="69">
        <f t="shared" si="804"/>
        <v>333.60108321364203</v>
      </c>
      <c r="EV113" s="130">
        <f t="shared" ref="EV113:EV119" si="807">IF(ISERROR((EU113/EM113-1)*100),"NA",IF(((EU113/EM113-1)*100)&gt;100,"NM",IF(((EU113/EM113-1)*100)&lt;-50,"NM",(EU113/EM113-1)*100)))</f>
        <v>-4.6854047961022776</v>
      </c>
      <c r="EW113" s="69">
        <f t="shared" si="804"/>
        <v>338.64063631417412</v>
      </c>
      <c r="EX113" s="130">
        <f t="shared" ref="EX113:EX119" si="808">IF(ISERROR((EW113/EO113-1)*100),"NA",IF(((EW113/EO113-1)*100)&gt;100,"NM",IF(((EW113/EO113-1)*100)&lt;-50,"NM",(EW113/EO113-1)*100)))</f>
        <v>1.6938847790312739</v>
      </c>
      <c r="EY113" s="64"/>
      <c r="EZ113" s="558"/>
      <c r="FA113" s="64"/>
      <c r="FB113" s="69"/>
      <c r="FC113" s="71"/>
      <c r="FD113" s="69"/>
      <c r="FE113" s="70"/>
      <c r="FF113" s="69"/>
      <c r="FG113" s="70"/>
      <c r="FH113" s="69"/>
      <c r="FI113" s="70"/>
      <c r="FJ113" s="69"/>
      <c r="FK113" s="70"/>
      <c r="FL113" s="69"/>
      <c r="FM113" s="61"/>
      <c r="FN113" s="73">
        <f>FN86-FN106</f>
        <v>262</v>
      </c>
      <c r="FO113" s="61"/>
      <c r="FP113" s="73">
        <f>FP86-FP106</f>
        <v>321.40000000000009</v>
      </c>
      <c r="FQ113" s="61">
        <f t="shared" ref="FQ113:FQ119" si="809">IF(ISERROR((FP113/FN113-1)*100),"NA",IF(((FP113/FN113-1)*100)&gt;100,"NM",IF(((FP113/FN113-1)*100)&lt;-50,"NM",(FP113/FN113-1)*100)))</f>
        <v>22.671755725190867</v>
      </c>
      <c r="FR113" s="73">
        <f>FR86-FR106</f>
        <v>503.19999999999982</v>
      </c>
      <c r="FS113" s="61">
        <f t="shared" ref="FS113:FS119" si="810">IF(ISERROR((FR113/FP113-1)*100),"NA",IF(((FR113/FP113-1)*100)&gt;100,"NM",IF(((FR113/FP113-1)*100)&lt;-50,"NM",(FR113/FP113-1)*100)))</f>
        <v>56.565028002489015</v>
      </c>
      <c r="FT113" s="73">
        <f>FT86-FT106</f>
        <v>643.99999999999955</v>
      </c>
      <c r="FU113" s="61">
        <f t="shared" ref="FU113:FU119" si="811">IF(ISERROR((FT113/FR113-1)*100),"NA",IF(((FT113/FR113-1)*100)&gt;100,"NM",IF(((FT113/FR113-1)*100)&lt;-50,"NM",(FT113/FR113-1)*100)))</f>
        <v>27.980922098569106</v>
      </c>
      <c r="FV113" s="73">
        <f>FV86-FV106</f>
        <v>138.40000000000055</v>
      </c>
      <c r="FW113" s="61" t="str">
        <f t="shared" ref="FW113:FW119" si="812">IF(ISERROR((FV113/FT113-1)*100),"NA",IF(((FV113/FT113-1)*100)&gt;100,"NM",IF(((FV113/FT113-1)*100)&lt;-50,"NM",(FV113/FT113-1)*100)))</f>
        <v>NM</v>
      </c>
      <c r="FX113" s="73">
        <f>FX86-FX106</f>
        <v>394.10000000000036</v>
      </c>
      <c r="FY113" s="61" t="str">
        <f t="shared" ref="FY113:FY119" si="813">IF(ISERROR((FX113/FV113-1)*100),"NA",IF(((FX113/FV113-1)*100)&gt;100,"NM",IF(((FX113/FV113-1)*100)&lt;-50,"NM",(FX113/FV113-1)*100)))</f>
        <v>NM</v>
      </c>
      <c r="FZ113" s="73">
        <f>FZ86-FZ106</f>
        <v>586.30000000000018</v>
      </c>
      <c r="GA113" s="61">
        <f t="shared" ref="GA113:GA119" si="814">IF(ISERROR((FZ113/FX113-1)*100),"NA",IF(((FZ113/FX113-1)*100)&gt;100,"NM",IF(((FZ113/FX113-1)*100)&lt;-50,"NM",(FZ113/FX113-1)*100)))</f>
        <v>48.769347881248315</v>
      </c>
      <c r="GB113" s="73">
        <f>GB86-GB106</f>
        <v>677.60000000000036</v>
      </c>
      <c r="GC113" s="61">
        <f t="shared" ref="GC113:GC119" si="815">IF(ISERROR((GB113/FZ113-1)*100),"NA",IF(((GB113/FZ113-1)*100)&gt;100,"NM",IF(((GB113/FZ113-1)*100)&lt;-50,"NM",(GB113/FZ113-1)*100)))</f>
        <v>15.572232645403394</v>
      </c>
      <c r="GD113" s="73">
        <f>GD86-GD106</f>
        <v>717</v>
      </c>
      <c r="GE113" s="61">
        <f t="shared" ref="GE113:GE119" si="816">IF(ISERROR((GD113/GB113-1)*100),"NA",IF(((GD113/GB113-1)*100)&gt;100,"NM",IF(((GD113/GB113-1)*100)&lt;-50,"NM",(GD113/GB113-1)*100)))</f>
        <v>5.8146399055489351</v>
      </c>
      <c r="GF113" s="73">
        <f>GF86-GF106</f>
        <v>928</v>
      </c>
      <c r="GG113" s="61">
        <f t="shared" ref="GG113:GW119" si="817">IF(ISERROR((GF113/GD113-1)*100),"NA",IF(((GF113/GD113-1)*100)&gt;100,"NM",IF(((GF113/GD113-1)*100)&lt;-50,"NM",(GF113/GD113-1)*100)))</f>
        <v>29.428172942817298</v>
      </c>
      <c r="GH113" s="73">
        <f>GH86-GH106</f>
        <v>1164</v>
      </c>
      <c r="GI113" s="61">
        <f t="shared" si="817"/>
        <v>25.43103448275863</v>
      </c>
      <c r="GJ113" s="73">
        <f>GJ86-GJ106</f>
        <v>1258</v>
      </c>
      <c r="GK113" s="61">
        <f t="shared" si="817"/>
        <v>8.0756013745704394</v>
      </c>
      <c r="GL113" s="73">
        <f>GL86-GL106</f>
        <v>1177</v>
      </c>
      <c r="GM113" s="61">
        <f t="shared" si="817"/>
        <v>-6.4387917329093769</v>
      </c>
      <c r="GN113" s="73">
        <f>GN86-GN106</f>
        <v>1273</v>
      </c>
      <c r="GO113" s="61">
        <f t="shared" si="817"/>
        <v>8.1563296516567583</v>
      </c>
      <c r="GP113" s="73">
        <f>GP86-GP106</f>
        <v>1331.4060555613546</v>
      </c>
      <c r="GQ113" s="61">
        <f t="shared" si="817"/>
        <v>4.5880640660922678</v>
      </c>
      <c r="GR113" s="69">
        <f>GR86-GR106</f>
        <v>1389.8463225892756</v>
      </c>
      <c r="GS113" s="61">
        <f t="shared" si="817"/>
        <v>4.3893646708164535</v>
      </c>
      <c r="GT113" s="69">
        <f>GT86-GT106</f>
        <v>1471.3636280729934</v>
      </c>
      <c r="GU113" s="61">
        <f t="shared" si="817"/>
        <v>5.8652028039942961</v>
      </c>
      <c r="GV113" s="69">
        <f>GV86-GV106</f>
        <v>1563.1537331065001</v>
      </c>
      <c r="GW113" s="61">
        <f t="shared" si="817"/>
        <v>6.2384378193255818</v>
      </c>
      <c r="GX113" s="69">
        <f>GX86-GX106</f>
        <v>1666.4328021309575</v>
      </c>
      <c r="GY113" s="61">
        <f t="shared" ref="GY113:GY119" si="818">IF(ISERROR((GX113/GV113-1)*100),"NA",IF(((GX113/GV113-1)*100)&gt;100,"NM",IF(((GX113/GV113-1)*100)&lt;-50,"NM",(GX113/GV113-1)*100)))</f>
        <v>6.6070960800002743</v>
      </c>
      <c r="GZ113" s="61">
        <f t="shared" si="651"/>
        <v>5.5338739117024582</v>
      </c>
      <c r="HA113" s="61"/>
      <c r="HB113" s="452"/>
      <c r="HC113"/>
      <c r="HD113"/>
      <c r="HE113"/>
      <c r="HF113"/>
      <c r="HG113"/>
      <c r="HH113"/>
    </row>
    <row r="114" spans="1:216" s="5" customFormat="1" ht="12.75" customHeight="1" x14ac:dyDescent="0.2">
      <c r="B114" s="2" t="s">
        <v>115</v>
      </c>
      <c r="C114" s="72"/>
      <c r="D114" s="70"/>
      <c r="E114" s="72"/>
      <c r="F114" s="71"/>
      <c r="G114" s="74"/>
      <c r="H114" s="71"/>
      <c r="I114" s="74"/>
      <c r="J114" s="61"/>
      <c r="K114" s="74"/>
      <c r="L114" s="61"/>
      <c r="M114" s="72"/>
      <c r="N114" s="61"/>
      <c r="O114" s="74"/>
      <c r="P114" s="61"/>
      <c r="Q114" s="74"/>
      <c r="R114" s="61"/>
      <c r="S114" s="74"/>
      <c r="T114" s="61"/>
      <c r="U114" s="74"/>
      <c r="V114" s="61"/>
      <c r="W114" s="74"/>
      <c r="X114" s="61"/>
      <c r="Y114" s="74"/>
      <c r="Z114" s="61"/>
      <c r="AA114" s="135"/>
      <c r="AB114" s="61"/>
      <c r="AC114" s="135"/>
      <c r="AD114" s="61"/>
      <c r="AE114" s="135"/>
      <c r="AF114" s="61"/>
      <c r="AG114" s="135"/>
      <c r="AH114" s="61"/>
      <c r="AI114" s="135"/>
      <c r="AJ114" s="61"/>
      <c r="AK114" s="135"/>
      <c r="AL114" s="61"/>
      <c r="AM114" s="135"/>
      <c r="AN114" s="61"/>
      <c r="AO114" s="135"/>
      <c r="AP114" s="61"/>
      <c r="AQ114" s="135">
        <v>11.7</v>
      </c>
      <c r="AR114" s="61" t="str">
        <f t="shared" si="753"/>
        <v>NA</v>
      </c>
      <c r="AS114" s="135">
        <v>12.7</v>
      </c>
      <c r="AT114" s="61" t="str">
        <f t="shared" si="754"/>
        <v>NA</v>
      </c>
      <c r="AU114" s="135">
        <v>25.8</v>
      </c>
      <c r="AV114" s="61" t="str">
        <f t="shared" si="755"/>
        <v>NA</v>
      </c>
      <c r="AW114" s="135">
        <v>19</v>
      </c>
      <c r="AX114" s="61" t="str">
        <f t="shared" si="755"/>
        <v>NA</v>
      </c>
      <c r="AY114" s="135">
        <v>20.3</v>
      </c>
      <c r="AZ114" s="61">
        <f t="shared" si="756"/>
        <v>73.504273504273527</v>
      </c>
      <c r="BA114" s="135">
        <v>32.5</v>
      </c>
      <c r="BB114" s="61" t="str">
        <f t="shared" si="757"/>
        <v>NM</v>
      </c>
      <c r="BC114" s="135">
        <v>4.2</v>
      </c>
      <c r="BD114" s="61" t="str">
        <f t="shared" si="758"/>
        <v>NM</v>
      </c>
      <c r="BE114" s="135">
        <v>37.6</v>
      </c>
      <c r="BF114" s="61">
        <f t="shared" si="759"/>
        <v>97.894736842105274</v>
      </c>
      <c r="BG114" s="135">
        <v>37.200000000000003</v>
      </c>
      <c r="BH114" s="61">
        <f t="shared" si="760"/>
        <v>83.251231527093594</v>
      </c>
      <c r="BI114" s="135">
        <v>41.5</v>
      </c>
      <c r="BJ114" s="61">
        <f t="shared" si="761"/>
        <v>27.692307692307683</v>
      </c>
      <c r="BK114" s="135">
        <v>44.1</v>
      </c>
      <c r="BL114" s="61" t="str">
        <f t="shared" si="762"/>
        <v>NM</v>
      </c>
      <c r="BM114" s="135">
        <v>36.200000000000003</v>
      </c>
      <c r="BN114" s="61">
        <f t="shared" si="763"/>
        <v>-3.7234042553191404</v>
      </c>
      <c r="BO114" s="135">
        <v>38.5</v>
      </c>
      <c r="BP114" s="61">
        <f t="shared" si="764"/>
        <v>3.4946236559139754</v>
      </c>
      <c r="BQ114" s="135">
        <v>36.1</v>
      </c>
      <c r="BR114" s="61">
        <f t="shared" si="765"/>
        <v>-13.012048192771086</v>
      </c>
      <c r="BS114" s="135">
        <v>7.7</v>
      </c>
      <c r="BT114" s="61" t="str">
        <f t="shared" si="766"/>
        <v>NM</v>
      </c>
      <c r="BU114" s="135">
        <v>-137.19999999999999</v>
      </c>
      <c r="BV114" s="61" t="str">
        <f t="shared" si="767"/>
        <v>NM</v>
      </c>
      <c r="BW114" s="135">
        <v>-11.3</v>
      </c>
      <c r="BX114" s="61" t="str">
        <f t="shared" si="768"/>
        <v>NM</v>
      </c>
      <c r="BY114" s="135">
        <v>11.2</v>
      </c>
      <c r="BZ114" s="61" t="str">
        <f t="shared" si="769"/>
        <v>NM</v>
      </c>
      <c r="CA114" s="135">
        <v>17.5</v>
      </c>
      <c r="CB114" s="61" t="str">
        <f t="shared" si="770"/>
        <v>NM</v>
      </c>
      <c r="CC114" s="135">
        <v>23.2</v>
      </c>
      <c r="CD114" s="61" t="str">
        <f t="shared" si="771"/>
        <v>NM</v>
      </c>
      <c r="CE114" s="135">
        <v>31.4</v>
      </c>
      <c r="CF114" s="61" t="str">
        <f t="shared" si="772"/>
        <v>NM</v>
      </c>
      <c r="CG114" s="135">
        <v>28.6</v>
      </c>
      <c r="CH114" s="61" t="str">
        <f t="shared" si="773"/>
        <v>NM</v>
      </c>
      <c r="CI114" s="135">
        <v>10.199999999999999</v>
      </c>
      <c r="CJ114" s="61">
        <f t="shared" si="774"/>
        <v>-41.714285714285715</v>
      </c>
      <c r="CK114" s="135">
        <v>31.7</v>
      </c>
      <c r="CL114" s="61">
        <f t="shared" si="775"/>
        <v>36.637931034482762</v>
      </c>
      <c r="CM114" s="135">
        <v>39.9</v>
      </c>
      <c r="CN114" s="61">
        <f t="shared" si="776"/>
        <v>27.070063694267521</v>
      </c>
      <c r="CO114" s="135">
        <v>33.9</v>
      </c>
      <c r="CP114" s="61">
        <f t="shared" si="777"/>
        <v>18.531468531468519</v>
      </c>
      <c r="CQ114" s="135">
        <v>6.7</v>
      </c>
      <c r="CR114" s="61">
        <f t="shared" si="778"/>
        <v>-34.31372549019607</v>
      </c>
      <c r="CS114" s="135">
        <v>24</v>
      </c>
      <c r="CT114" s="61">
        <f t="shared" si="779"/>
        <v>-24.290220820189269</v>
      </c>
      <c r="CU114" s="135">
        <v>25</v>
      </c>
      <c r="CV114" s="61">
        <f t="shared" si="780"/>
        <v>-37.343358395989966</v>
      </c>
      <c r="CW114" s="135">
        <v>38</v>
      </c>
      <c r="CX114" s="61">
        <f t="shared" si="781"/>
        <v>12.094395280235993</v>
      </c>
      <c r="CY114" s="135">
        <v>34</v>
      </c>
      <c r="CZ114" s="61" t="str">
        <f t="shared" si="782"/>
        <v>NM</v>
      </c>
      <c r="DA114" s="135">
        <v>24</v>
      </c>
      <c r="DB114" s="61">
        <f t="shared" si="783"/>
        <v>0</v>
      </c>
      <c r="DC114" s="135">
        <v>35</v>
      </c>
      <c r="DD114" s="61">
        <f t="shared" si="784"/>
        <v>39.999999999999993</v>
      </c>
      <c r="DE114" s="135">
        <v>48</v>
      </c>
      <c r="DF114" s="61">
        <f t="shared" si="785"/>
        <v>26.315789473684205</v>
      </c>
      <c r="DG114" s="135">
        <v>41</v>
      </c>
      <c r="DH114" s="61">
        <f t="shared" si="786"/>
        <v>20.588235294117641</v>
      </c>
      <c r="DI114" s="135">
        <v>53</v>
      </c>
      <c r="DJ114" s="61" t="str">
        <f t="shared" si="787"/>
        <v>NM</v>
      </c>
      <c r="DK114" s="135">
        <v>50</v>
      </c>
      <c r="DL114" s="61">
        <f t="shared" si="788"/>
        <v>42.857142857142861</v>
      </c>
      <c r="DM114" s="135">
        <v>59</v>
      </c>
      <c r="DN114" s="130">
        <f t="shared" si="789"/>
        <v>22.916666666666675</v>
      </c>
      <c r="DO114" s="135">
        <v>70</v>
      </c>
      <c r="DP114" s="130">
        <f t="shared" si="789"/>
        <v>70.731707317073173</v>
      </c>
      <c r="DQ114" s="135">
        <v>60</v>
      </c>
      <c r="DR114" s="130">
        <f t="shared" si="789"/>
        <v>13.207547169811317</v>
      </c>
      <c r="DS114" s="135">
        <v>54</v>
      </c>
      <c r="DT114" s="130">
        <f t="shared" si="789"/>
        <v>8.0000000000000071</v>
      </c>
      <c r="DU114" s="135">
        <v>73</v>
      </c>
      <c r="DV114" s="130">
        <f t="shared" si="789"/>
        <v>23.728813559322038</v>
      </c>
      <c r="DW114" s="135">
        <v>69</v>
      </c>
      <c r="DX114" s="135">
        <v>69</v>
      </c>
      <c r="DY114" s="135">
        <v>66</v>
      </c>
      <c r="DZ114" s="130">
        <f t="shared" si="789"/>
        <v>10.000000000000009</v>
      </c>
      <c r="EA114" s="135">
        <v>54</v>
      </c>
      <c r="EB114" s="130">
        <f t="shared" si="792"/>
        <v>0</v>
      </c>
      <c r="EC114" s="135">
        <v>61</v>
      </c>
      <c r="ED114" s="130">
        <f t="shared" si="793"/>
        <v>-16.43835616438356</v>
      </c>
      <c r="EE114" s="135">
        <v>63</v>
      </c>
      <c r="EF114" s="130">
        <f t="shared" si="795"/>
        <v>-8.6956521739130483</v>
      </c>
      <c r="EG114" s="135">
        <v>64</v>
      </c>
      <c r="EH114" s="130">
        <f t="shared" si="796"/>
        <v>-3.0303030303030276</v>
      </c>
      <c r="EI114" s="135">
        <v>-1</v>
      </c>
      <c r="EJ114" s="130" t="str">
        <f t="shared" si="798"/>
        <v>NM</v>
      </c>
      <c r="EK114" s="135">
        <v>59</v>
      </c>
      <c r="EL114" s="130">
        <f t="shared" si="799"/>
        <v>-3.2786885245901676</v>
      </c>
      <c r="EM114" s="135">
        <v>73</v>
      </c>
      <c r="EN114" s="130">
        <f t="shared" si="801"/>
        <v>15.873015873015884</v>
      </c>
      <c r="EO114" s="135">
        <v>68</v>
      </c>
      <c r="EP114" s="130">
        <f t="shared" si="803"/>
        <v>6.25</v>
      </c>
      <c r="EQ114" s="75">
        <f t="shared" ref="EQ114:EW114" si="819">EQ113*EQ115/100</f>
        <v>49.492399845872114</v>
      </c>
      <c r="ER114" s="130" t="str">
        <f t="shared" si="805"/>
        <v>NM</v>
      </c>
      <c r="ES114" s="75">
        <f t="shared" si="819"/>
        <v>49.382250559158777</v>
      </c>
      <c r="ET114" s="130">
        <f t="shared" si="806"/>
        <v>-16.30127023871394</v>
      </c>
      <c r="EU114" s="75">
        <f t="shared" si="819"/>
        <v>50.040162482046306</v>
      </c>
      <c r="EV114" s="130">
        <f t="shared" si="807"/>
        <v>-31.451832216374921</v>
      </c>
      <c r="EW114" s="75">
        <f t="shared" si="819"/>
        <v>50.79609544712612</v>
      </c>
      <c r="EX114" s="130">
        <f t="shared" si="808"/>
        <v>-25.299859636579235</v>
      </c>
      <c r="EY114" s="64"/>
      <c r="EZ114" s="558"/>
      <c r="FA114" s="64"/>
      <c r="FB114" s="72"/>
      <c r="FC114" s="71"/>
      <c r="FD114" s="72"/>
      <c r="FE114" s="61"/>
      <c r="FF114" s="72"/>
      <c r="FG114" s="61"/>
      <c r="FH114" s="69"/>
      <c r="FI114" s="61"/>
      <c r="FJ114" s="69"/>
      <c r="FK114" s="61"/>
      <c r="FL114" s="69"/>
      <c r="FM114" s="61"/>
      <c r="FN114" s="778">
        <v>53</v>
      </c>
      <c r="FO114" s="61"/>
      <c r="FP114" s="75">
        <f>AQ114+AS114+AU114+AW114</f>
        <v>69.2</v>
      </c>
      <c r="FQ114" s="61">
        <f t="shared" si="809"/>
        <v>30.566037735849072</v>
      </c>
      <c r="FR114" s="75">
        <f>AY114+BA114+BC114+BE114</f>
        <v>94.6</v>
      </c>
      <c r="FS114" s="61">
        <f t="shared" si="810"/>
        <v>36.705202312138717</v>
      </c>
      <c r="FT114" s="75">
        <f>BG114+BI114+BK114+BM114</f>
        <v>159</v>
      </c>
      <c r="FU114" s="61">
        <f t="shared" si="811"/>
        <v>68.076109936575065</v>
      </c>
      <c r="FV114" s="75">
        <f>BO114+BQ114+BS114+BU114</f>
        <v>-54.899999999999991</v>
      </c>
      <c r="FW114" s="61" t="str">
        <f t="shared" si="812"/>
        <v>NM</v>
      </c>
      <c r="FX114" s="75">
        <f>BW114+BY114+CA114+CC114</f>
        <v>40.599999999999994</v>
      </c>
      <c r="FY114" s="61" t="str">
        <f t="shared" si="813"/>
        <v>NM</v>
      </c>
      <c r="FZ114" s="75">
        <f>CE114+CG114+CI114+CK114</f>
        <v>101.9</v>
      </c>
      <c r="GA114" s="61" t="str">
        <f t="shared" si="814"/>
        <v>NM</v>
      </c>
      <c r="GB114" s="75">
        <f>CM114+CO114+CQ114+CS114</f>
        <v>104.5</v>
      </c>
      <c r="GC114" s="61">
        <f t="shared" si="815"/>
        <v>2.5515210991167825</v>
      </c>
      <c r="GD114" s="75">
        <f>CU114+CW114+CY114+DA114</f>
        <v>121</v>
      </c>
      <c r="GE114" s="61">
        <f t="shared" si="816"/>
        <v>15.789473684210531</v>
      </c>
      <c r="GF114" s="75">
        <f>DC114+DE114+DG114+DI114</f>
        <v>177</v>
      </c>
      <c r="GG114" s="61">
        <f t="shared" si="817"/>
        <v>46.280991735537192</v>
      </c>
      <c r="GH114" s="75">
        <f>DK114+DM114+DO114+DQ114</f>
        <v>239</v>
      </c>
      <c r="GI114" s="61">
        <f t="shared" si="817"/>
        <v>35.02824858757063</v>
      </c>
      <c r="GJ114" s="75">
        <f>DS114+DU114+DW114+DY114</f>
        <v>262</v>
      </c>
      <c r="GK114" s="61">
        <f t="shared" si="817"/>
        <v>9.6234309623431038</v>
      </c>
      <c r="GL114" s="75">
        <f>EA114+EC114+EE114+EG114</f>
        <v>242</v>
      </c>
      <c r="GM114" s="61">
        <f t="shared" si="817"/>
        <v>-7.6335877862595432</v>
      </c>
      <c r="GN114" s="75">
        <f>EI114+EK114+EM114+EO114</f>
        <v>199</v>
      </c>
      <c r="GO114" s="61">
        <f t="shared" si="817"/>
        <v>-17.76859504132231</v>
      </c>
      <c r="GP114" s="75">
        <f>EQ114+ES114+EU114+EW114</f>
        <v>199.71090833420334</v>
      </c>
      <c r="GQ114" s="61">
        <f t="shared" si="817"/>
        <v>0.35724036894639877</v>
      </c>
      <c r="GR114" s="75">
        <f>GR113*GR115/100</f>
        <v>208.47694838839149</v>
      </c>
      <c r="GS114" s="61">
        <f t="shared" si="817"/>
        <v>4.3893646708164535</v>
      </c>
      <c r="GT114" s="75">
        <f>GT113*GT115/100</f>
        <v>220.70454421094917</v>
      </c>
      <c r="GU114" s="61">
        <f t="shared" si="817"/>
        <v>5.8652028039942961</v>
      </c>
      <c r="GV114" s="75">
        <f>GV113*GV115/100</f>
        <v>234.47305996597518</v>
      </c>
      <c r="GW114" s="61">
        <f t="shared" si="817"/>
        <v>6.2384378193255818</v>
      </c>
      <c r="GX114" s="75">
        <f>GX113*GX115/100</f>
        <v>249.9649203196438</v>
      </c>
      <c r="GY114" s="61">
        <f t="shared" si="818"/>
        <v>6.6070960800002743</v>
      </c>
      <c r="GZ114" s="61">
        <f t="shared" si="651"/>
        <v>4.6658964967995376</v>
      </c>
      <c r="HA114" s="61"/>
      <c r="HB114" s="452"/>
      <c r="HC114"/>
      <c r="HD114"/>
      <c r="HE114"/>
      <c r="HF114"/>
      <c r="HG114"/>
      <c r="HH114"/>
    </row>
    <row r="115" spans="1:216" s="5" customFormat="1" ht="12.75" customHeight="1" x14ac:dyDescent="0.2">
      <c r="B115" s="94" t="s">
        <v>331</v>
      </c>
      <c r="C115" s="81"/>
      <c r="D115" s="70"/>
      <c r="E115" s="81"/>
      <c r="F115" s="71"/>
      <c r="G115" s="81"/>
      <c r="H115" s="71"/>
      <c r="I115" s="81"/>
      <c r="J115" s="61"/>
      <c r="K115" s="81"/>
      <c r="L115" s="61"/>
      <c r="M115" s="81"/>
      <c r="N115" s="61"/>
      <c r="O115" s="81"/>
      <c r="P115" s="61"/>
      <c r="Q115" s="81"/>
      <c r="R115" s="61"/>
      <c r="S115" s="81"/>
      <c r="T115" s="61"/>
      <c r="U115" s="81"/>
      <c r="V115" s="61"/>
      <c r="W115" s="81"/>
      <c r="X115" s="61"/>
      <c r="Y115" s="81"/>
      <c r="Z115" s="61"/>
      <c r="AA115" s="81"/>
      <c r="AB115" s="61"/>
      <c r="AC115" s="81"/>
      <c r="AD115" s="61"/>
      <c r="AE115" s="81"/>
      <c r="AF115" s="61"/>
      <c r="AG115" s="81"/>
      <c r="AH115" s="61"/>
      <c r="AI115" s="81"/>
      <c r="AJ115" s="61"/>
      <c r="AK115" s="81"/>
      <c r="AL115" s="61"/>
      <c r="AM115" s="81"/>
      <c r="AN115" s="61"/>
      <c r="AO115" s="81"/>
      <c r="AP115" s="61"/>
      <c r="AQ115" s="81">
        <f>AQ114/AQ113*100</f>
        <v>19.055374592833864</v>
      </c>
      <c r="AR115" s="61" t="str">
        <f t="shared" si="753"/>
        <v>NA</v>
      </c>
      <c r="AS115" s="81">
        <f>AS114/AS113*100</f>
        <v>19.478527607361965</v>
      </c>
      <c r="AT115" s="61" t="str">
        <f t="shared" si="754"/>
        <v>NA</v>
      </c>
      <c r="AU115" s="81">
        <f>AU114/AU113*100</f>
        <v>24.618320610687032</v>
      </c>
      <c r="AV115" s="61" t="str">
        <f t="shared" si="755"/>
        <v>NA</v>
      </c>
      <c r="AW115" s="81">
        <f>AW114/AW113*100</f>
        <v>21.134593993325907</v>
      </c>
      <c r="AX115" s="61" t="str">
        <f t="shared" si="755"/>
        <v>NA</v>
      </c>
      <c r="AY115" s="81">
        <f>AY114/AY113*100</f>
        <v>23.414071510957328</v>
      </c>
      <c r="AZ115" s="61">
        <f t="shared" si="756"/>
        <v>22.873845365194946</v>
      </c>
      <c r="BA115" s="81">
        <f>BA114/BA113*100</f>
        <v>26.72697368421052</v>
      </c>
      <c r="BB115" s="61">
        <f t="shared" si="757"/>
        <v>37.212494819726437</v>
      </c>
      <c r="BC115" s="81">
        <f>BC114/BC113*100</f>
        <v>3.1437125748502992</v>
      </c>
      <c r="BD115" s="61" t="str">
        <f t="shared" si="758"/>
        <v>NM</v>
      </c>
      <c r="BE115" s="81">
        <f>BE114/BE113*100</f>
        <v>23.310601363918174</v>
      </c>
      <c r="BF115" s="61">
        <f t="shared" si="759"/>
        <v>10.295950664012876</v>
      </c>
      <c r="BG115" s="81">
        <f>BG114/BG113*100</f>
        <v>24.17153996101365</v>
      </c>
      <c r="BH115" s="61">
        <f t="shared" si="760"/>
        <v>3.2350992423587854</v>
      </c>
      <c r="BI115" s="81">
        <f>BI114/BI113*100</f>
        <v>25.151515151515152</v>
      </c>
      <c r="BJ115" s="61">
        <f t="shared" si="761"/>
        <v>-5.8946386946386653</v>
      </c>
      <c r="BK115" s="81">
        <f>BK114/BK113*100</f>
        <v>25.941176470588236</v>
      </c>
      <c r="BL115" s="61" t="str">
        <f t="shared" si="762"/>
        <v>NM</v>
      </c>
      <c r="BM115" s="81">
        <f>BM114/BM113*100</f>
        <v>23.339780786589312</v>
      </c>
      <c r="BN115" s="61">
        <f t="shared" si="763"/>
        <v>0.12517661906528144</v>
      </c>
      <c r="BO115" s="81">
        <f>BO114/BO113*100</f>
        <v>24.616368286445006</v>
      </c>
      <c r="BP115" s="61">
        <f t="shared" si="764"/>
        <v>1.8402978302119788</v>
      </c>
      <c r="BQ115" s="81">
        <f>BQ114/BQ113*100</f>
        <v>23.703217334208791</v>
      </c>
      <c r="BR115" s="61">
        <f t="shared" si="765"/>
        <v>-5.7582925266397522</v>
      </c>
      <c r="BS115" s="81">
        <f>BS114/BS113*100</f>
        <v>5.5555555555555545</v>
      </c>
      <c r="BT115" s="61" t="str">
        <f t="shared" si="766"/>
        <v>NM</v>
      </c>
      <c r="BU115" s="81">
        <f>BU114/BU113*100</f>
        <v>44.415668501133041</v>
      </c>
      <c r="BV115" s="61">
        <f t="shared" si="767"/>
        <v>90.300281340489789</v>
      </c>
      <c r="BW115" s="81">
        <f>BW114/BW113*100</f>
        <v>-18.051118210862615</v>
      </c>
      <c r="BX115" s="61" t="str">
        <f t="shared" si="768"/>
        <v>NM</v>
      </c>
      <c r="BY115" s="81">
        <f>BY114/BY113*100</f>
        <v>14.621409921671013</v>
      </c>
      <c r="BZ115" s="61">
        <f t="shared" si="769"/>
        <v>-38.314661189182928</v>
      </c>
      <c r="CA115" s="81">
        <f>CA114/CA113*100</f>
        <v>15.625</v>
      </c>
      <c r="CB115" s="61" t="str">
        <f t="shared" si="770"/>
        <v>NM</v>
      </c>
      <c r="CC115" s="81">
        <f>CC114/CC113*100</f>
        <v>16.235129461161655</v>
      </c>
      <c r="CD115" s="61" t="str">
        <f t="shared" si="771"/>
        <v>NM</v>
      </c>
      <c r="CE115" s="81">
        <f>CE114/CE113*100</f>
        <v>20.919387075283151</v>
      </c>
      <c r="CF115" s="61" t="str">
        <f t="shared" si="772"/>
        <v>NM</v>
      </c>
      <c r="CG115" s="81">
        <f>CG114/CG113*100</f>
        <v>19.724137931034484</v>
      </c>
      <c r="CH115" s="61">
        <f t="shared" si="773"/>
        <v>34.899014778325174</v>
      </c>
      <c r="CI115" s="81">
        <f>CI114/CI113*100</f>
        <v>7.4834922964049904</v>
      </c>
      <c r="CJ115" s="61" t="str">
        <f t="shared" si="774"/>
        <v>NM</v>
      </c>
      <c r="CK115" s="81">
        <f>CK114/CK113*100</f>
        <v>20.464816010329248</v>
      </c>
      <c r="CL115" s="61">
        <f t="shared" si="775"/>
        <v>26.052681373967612</v>
      </c>
      <c r="CM115" s="81">
        <f>CM114/CM113*100</f>
        <v>21.696574225122337</v>
      </c>
      <c r="CN115" s="61">
        <f t="shared" si="776"/>
        <v>3.7151525856962353</v>
      </c>
      <c r="CO115" s="81">
        <f>CO114/CO113*100</f>
        <v>18.970341354224963</v>
      </c>
      <c r="CP115" s="61">
        <f t="shared" si="777"/>
        <v>-3.8216959313769339</v>
      </c>
      <c r="CQ115" s="81">
        <f>CQ114/CQ113*100</f>
        <v>4.1875</v>
      </c>
      <c r="CR115" s="61">
        <f t="shared" si="778"/>
        <v>-44.043504901960794</v>
      </c>
      <c r="CS115" s="81">
        <f>CS114/CS113*100</f>
        <v>15.483870967741936</v>
      </c>
      <c r="CT115" s="61">
        <f t="shared" si="779"/>
        <v>-24.339065839014971</v>
      </c>
      <c r="CU115" s="81">
        <f>CU114/CU113*100</f>
        <v>15.432098765432098</v>
      </c>
      <c r="CV115" s="61">
        <f t="shared" si="780"/>
        <v>-28.873108697670069</v>
      </c>
      <c r="CW115" s="81">
        <f>CW114/CW113*100</f>
        <v>19.387755102040817</v>
      </c>
      <c r="CX115" s="61">
        <f t="shared" si="781"/>
        <v>2.2003491662151431</v>
      </c>
      <c r="CY115" s="81">
        <f>CY114/CY113*100</f>
        <v>19.653179190751445</v>
      </c>
      <c r="CZ115" s="61" t="str">
        <f t="shared" si="782"/>
        <v>NM</v>
      </c>
      <c r="DA115" s="81">
        <f>DA114/DA113*100</f>
        <v>12.903225806451612</v>
      </c>
      <c r="DB115" s="61">
        <f t="shared" si="783"/>
        <v>-16.666666666666675</v>
      </c>
      <c r="DC115" s="81">
        <f>DC114/DC113*100</f>
        <v>18.041237113402062</v>
      </c>
      <c r="DD115" s="61">
        <f t="shared" si="784"/>
        <v>16.907216494845368</v>
      </c>
      <c r="DE115" s="81">
        <f>DE114/DE113*100</f>
        <v>19.753086419753085</v>
      </c>
      <c r="DF115" s="61">
        <f t="shared" si="785"/>
        <v>1.8843404808317032</v>
      </c>
      <c r="DG115" s="81">
        <f>DG114/DG113*100</f>
        <v>17.154811715481173</v>
      </c>
      <c r="DH115" s="61">
        <f t="shared" si="786"/>
        <v>-12.712281565345796</v>
      </c>
      <c r="DI115" s="81">
        <f>DI114/DI113*100</f>
        <v>21.031746031746032</v>
      </c>
      <c r="DJ115" s="61">
        <f t="shared" si="787"/>
        <v>62.996031746031747</v>
      </c>
      <c r="DK115" s="81">
        <f>DK114/DK113*100</f>
        <v>18.796992481203006</v>
      </c>
      <c r="DL115" s="61">
        <f t="shared" si="788"/>
        <v>4.1890440386680883</v>
      </c>
      <c r="DM115" s="81">
        <f>DM114/DM113*100</f>
        <v>20.62937062937063</v>
      </c>
      <c r="DN115" s="130">
        <f t="shared" si="789"/>
        <v>4.4361888111888126</v>
      </c>
      <c r="DO115" s="81">
        <f>DO114/DO113*100</f>
        <v>22.222222222222221</v>
      </c>
      <c r="DP115" s="130">
        <f t="shared" si="789"/>
        <v>29.539295392953903</v>
      </c>
      <c r="DQ115" s="81">
        <f>DQ114/DQ113*100</f>
        <v>20.202020202020201</v>
      </c>
      <c r="DR115" s="130">
        <f t="shared" si="789"/>
        <v>-3.9451114922813058</v>
      </c>
      <c r="DS115" s="81">
        <f>DS114/DS113*100</f>
        <v>18.430034129692832</v>
      </c>
      <c r="DT115" s="130">
        <f t="shared" si="789"/>
        <v>-1.952218430034125</v>
      </c>
      <c r="DU115" s="81">
        <f>DU114/DU113*100</f>
        <v>22.256097560975611</v>
      </c>
      <c r="DV115" s="130">
        <f t="shared" si="789"/>
        <v>7.8854898718478728</v>
      </c>
      <c r="DW115" s="81">
        <f>DW114/DW113*100</f>
        <v>21.036585365853657</v>
      </c>
      <c r="DX115" s="81">
        <f t="shared" ref="DX115:DY115" si="820">DX114/DX113*100</f>
        <v>21.036585365853657</v>
      </c>
      <c r="DY115" s="81">
        <f t="shared" si="820"/>
        <v>21.359223300970871</v>
      </c>
      <c r="DZ115" s="130">
        <f t="shared" si="789"/>
        <v>5.7281553398058183</v>
      </c>
      <c r="EA115" s="81">
        <f t="shared" ref="EA115:EC115" si="821">EA114/EA113*100</f>
        <v>19.852941176470587</v>
      </c>
      <c r="EB115" s="130">
        <f t="shared" si="792"/>
        <v>7.7205882352941124</v>
      </c>
      <c r="EC115" s="81">
        <f t="shared" si="821"/>
        <v>20.608108108108109</v>
      </c>
      <c r="ED115" s="130">
        <f t="shared" si="793"/>
        <v>-7.4046649389115204</v>
      </c>
      <c r="EE115" s="81">
        <f t="shared" ref="EE115:EG115" si="822">EE114/EE113*100</f>
        <v>20.792079207920793</v>
      </c>
      <c r="EF115" s="130">
        <f t="shared" si="795"/>
        <v>-1.1622901420576759</v>
      </c>
      <c r="EG115" s="81">
        <f t="shared" si="822"/>
        <v>20.915032679738562</v>
      </c>
      <c r="EH115" s="130">
        <f t="shared" si="796"/>
        <v>-2.0796197266785388</v>
      </c>
      <c r="EI115" s="81">
        <f t="shared" ref="EI115:EK115" si="823">EI114/EI113*100</f>
        <v>-0.35714285714285715</v>
      </c>
      <c r="EJ115" s="130" t="str">
        <f t="shared" si="798"/>
        <v>NM</v>
      </c>
      <c r="EK115" s="81">
        <f t="shared" si="823"/>
        <v>19.032258064516128</v>
      </c>
      <c r="EL115" s="130">
        <f t="shared" si="799"/>
        <v>-7.6467477525119065</v>
      </c>
      <c r="EM115" s="81">
        <f t="shared" ref="EM115" si="824">EM114/EM113*100</f>
        <v>20.857142857142858</v>
      </c>
      <c r="EN115" s="130">
        <f t="shared" si="801"/>
        <v>0.31292517006802356</v>
      </c>
      <c r="EO115" s="81">
        <f t="shared" ref="EO115" si="825">EO114/EO113*100</f>
        <v>20.42042042042042</v>
      </c>
      <c r="EP115" s="130">
        <f t="shared" si="803"/>
        <v>-2.3648648648648685</v>
      </c>
      <c r="EQ115" s="89">
        <v>15</v>
      </c>
      <c r="ER115" s="130" t="str">
        <f t="shared" si="805"/>
        <v>NM</v>
      </c>
      <c r="ES115" s="89">
        <f t="shared" ref="ES115" si="826">EQ115</f>
        <v>15</v>
      </c>
      <c r="ET115" s="130">
        <f t="shared" si="806"/>
        <v>-21.1864406779661</v>
      </c>
      <c r="EU115" s="89">
        <f t="shared" ref="EU115" si="827">ES115</f>
        <v>15</v>
      </c>
      <c r="EV115" s="130">
        <f t="shared" si="807"/>
        <v>-28.082191780821919</v>
      </c>
      <c r="EW115" s="89">
        <f t="shared" ref="EW115" si="828">EU115</f>
        <v>15</v>
      </c>
      <c r="EX115" s="130">
        <f t="shared" si="808"/>
        <v>-26.544117647058819</v>
      </c>
      <c r="EY115" s="64"/>
      <c r="EZ115" s="558"/>
      <c r="FA115" s="64"/>
      <c r="FB115" s="81"/>
      <c r="FC115" s="71"/>
      <c r="FD115" s="81"/>
      <c r="FE115" s="70"/>
      <c r="FF115" s="81"/>
      <c r="FG115" s="70"/>
      <c r="FH115" s="81"/>
      <c r="FI115" s="70"/>
      <c r="FJ115" s="81"/>
      <c r="FK115" s="70"/>
      <c r="FL115" s="81"/>
      <c r="FM115" s="61"/>
      <c r="FN115" s="88">
        <f>FN114/FN113*100</f>
        <v>20.229007633587788</v>
      </c>
      <c r="FO115" s="61"/>
      <c r="FP115" s="88">
        <f>FP114/FP113*100</f>
        <v>21.530802738021151</v>
      </c>
      <c r="FQ115" s="61">
        <f t="shared" si="809"/>
        <v>6.4352890068215318</v>
      </c>
      <c r="FR115" s="88">
        <f>FR114/FR113*100</f>
        <v>18.799682034976158</v>
      </c>
      <c r="FS115" s="61">
        <f t="shared" si="810"/>
        <v>-12.684713785529789</v>
      </c>
      <c r="FT115" s="88">
        <f>FT114/FT113*100</f>
        <v>24.689440993788835</v>
      </c>
      <c r="FU115" s="61">
        <f t="shared" si="811"/>
        <v>31.329034969075465</v>
      </c>
      <c r="FV115" s="88">
        <f>FV114/FV113*100</f>
        <v>-39.667630057803308</v>
      </c>
      <c r="FW115" s="61" t="str">
        <f t="shared" si="812"/>
        <v>NM</v>
      </c>
      <c r="FX115" s="88">
        <f>FX114/FX113*100</f>
        <v>10.301953818827696</v>
      </c>
      <c r="FY115" s="61" t="str">
        <f t="shared" si="813"/>
        <v>NM</v>
      </c>
      <c r="FZ115" s="88">
        <f>FZ114/FZ113*100</f>
        <v>17.380180794814937</v>
      </c>
      <c r="GA115" s="61">
        <f t="shared" si="814"/>
        <v>68.707617025531391</v>
      </c>
      <c r="GB115" s="88">
        <f>GB114/GB113*100</f>
        <v>15.422077922077914</v>
      </c>
      <c r="GC115" s="61">
        <f t="shared" si="815"/>
        <v>-11.266297490536958</v>
      </c>
      <c r="GD115" s="88">
        <f>GD114/GD113*100</f>
        <v>16.875871687587168</v>
      </c>
      <c r="GE115" s="61">
        <f t="shared" si="816"/>
        <v>9.4267048374073745</v>
      </c>
      <c r="GF115" s="88">
        <f>GF114/GF113*100</f>
        <v>19.073275862068968</v>
      </c>
      <c r="GG115" s="61">
        <f t="shared" si="817"/>
        <v>13.020981761185535</v>
      </c>
      <c r="GH115" s="88">
        <f>GH114/GH113*100</f>
        <v>20.532646048109964</v>
      </c>
      <c r="GI115" s="61">
        <f t="shared" si="817"/>
        <v>7.6513871900906416</v>
      </c>
      <c r="GJ115" s="88">
        <f>GJ114/GJ113*100</f>
        <v>20.826709062003179</v>
      </c>
      <c r="GK115" s="61">
        <f t="shared" si="817"/>
        <v>1.4321730049025261</v>
      </c>
      <c r="GL115" s="88">
        <f>GL114/GL113*100</f>
        <v>20.5607476635514</v>
      </c>
      <c r="GM115" s="61">
        <f t="shared" si="817"/>
        <v>-1.2770207605051098</v>
      </c>
      <c r="GN115" s="88">
        <f>GN114/GN113*100</f>
        <v>15.632364493322859</v>
      </c>
      <c r="GO115" s="61">
        <f t="shared" si="817"/>
        <v>-23.969863600656993</v>
      </c>
      <c r="GP115" s="88">
        <f>GP114/GP113*100</f>
        <v>15.000000000000011</v>
      </c>
      <c r="GQ115" s="61">
        <f t="shared" si="817"/>
        <v>-4.04522613065319</v>
      </c>
      <c r="GR115" s="89">
        <f>GP115</f>
        <v>15.000000000000011</v>
      </c>
      <c r="GS115" s="61">
        <f t="shared" si="817"/>
        <v>0</v>
      </c>
      <c r="GT115" s="89">
        <f>GR115</f>
        <v>15.000000000000011</v>
      </c>
      <c r="GU115" s="61">
        <f t="shared" si="817"/>
        <v>0</v>
      </c>
      <c r="GV115" s="89">
        <f>GT115</f>
        <v>15.000000000000011</v>
      </c>
      <c r="GW115" s="61">
        <f t="shared" si="817"/>
        <v>0</v>
      </c>
      <c r="GX115" s="89">
        <f>GV115</f>
        <v>15.000000000000011</v>
      </c>
      <c r="GY115" s="61">
        <f t="shared" si="818"/>
        <v>0</v>
      </c>
      <c r="GZ115" s="61">
        <f t="shared" si="651"/>
        <v>-0.82246333118515258</v>
      </c>
      <c r="HA115" s="61"/>
      <c r="HB115" s="452"/>
      <c r="HC115"/>
      <c r="HD115"/>
      <c r="HE115"/>
      <c r="HF115"/>
      <c r="HG115"/>
      <c r="HH115"/>
    </row>
    <row r="116" spans="1:216" s="5" customFormat="1" ht="12.75" customHeight="1" x14ac:dyDescent="0.2">
      <c r="B116" s="63" t="s">
        <v>284</v>
      </c>
      <c r="C116" s="102"/>
      <c r="D116" s="70"/>
      <c r="E116" s="102"/>
      <c r="F116" s="71"/>
      <c r="G116" s="102"/>
      <c r="H116" s="71"/>
      <c r="I116" s="102"/>
      <c r="J116" s="61"/>
      <c r="K116" s="102"/>
      <c r="L116" s="61"/>
      <c r="M116" s="102"/>
      <c r="N116" s="61"/>
      <c r="O116" s="102"/>
      <c r="P116" s="61"/>
      <c r="Q116" s="102"/>
      <c r="R116" s="61"/>
      <c r="S116" s="102"/>
      <c r="T116" s="61"/>
      <c r="U116" s="102"/>
      <c r="V116" s="61"/>
      <c r="W116" s="102"/>
      <c r="X116" s="61"/>
      <c r="Y116" s="102"/>
      <c r="Z116" s="61"/>
      <c r="AA116" s="102"/>
      <c r="AB116" s="61"/>
      <c r="AC116" s="102"/>
      <c r="AD116" s="61"/>
      <c r="AE116" s="102"/>
      <c r="AF116" s="61"/>
      <c r="AG116" s="102"/>
      <c r="AH116" s="61"/>
      <c r="AI116" s="102"/>
      <c r="AJ116" s="61"/>
      <c r="AK116" s="102"/>
      <c r="AL116" s="61"/>
      <c r="AM116" s="102"/>
      <c r="AN116" s="61"/>
      <c r="AO116" s="102"/>
      <c r="AP116" s="61"/>
      <c r="AQ116" s="102">
        <f>AQ113-AQ114</f>
        <v>49.700000000000031</v>
      </c>
      <c r="AR116" s="61" t="str">
        <f t="shared" si="753"/>
        <v>NA</v>
      </c>
      <c r="AS116" s="102">
        <f>AS113-AS114</f>
        <v>52.499999999999986</v>
      </c>
      <c r="AT116" s="61" t="str">
        <f t="shared" si="754"/>
        <v>NA</v>
      </c>
      <c r="AU116" s="102">
        <f>AU113-AU114</f>
        <v>78.999999999999957</v>
      </c>
      <c r="AV116" s="61" t="str">
        <f t="shared" si="755"/>
        <v>NA</v>
      </c>
      <c r="AW116" s="102">
        <f>AW113-AW114</f>
        <v>70.900000000000034</v>
      </c>
      <c r="AX116" s="61" t="str">
        <f t="shared" si="755"/>
        <v>NA</v>
      </c>
      <c r="AY116" s="102">
        <f>AY113-AY114</f>
        <v>66.399999999999991</v>
      </c>
      <c r="AZ116" s="61">
        <f t="shared" si="756"/>
        <v>33.601609657947584</v>
      </c>
      <c r="BA116" s="102">
        <f>BA113-BA114</f>
        <v>89.100000000000023</v>
      </c>
      <c r="BB116" s="61">
        <f t="shared" si="757"/>
        <v>69.714285714285793</v>
      </c>
      <c r="BC116" s="102">
        <f>BC113-BC114</f>
        <v>129.40000000000003</v>
      </c>
      <c r="BD116" s="61">
        <f t="shared" si="758"/>
        <v>63.797468354430521</v>
      </c>
      <c r="BE116" s="102">
        <f>BE113-BE114</f>
        <v>123.69999999999996</v>
      </c>
      <c r="BF116" s="61">
        <f t="shared" si="759"/>
        <v>74.471086036671224</v>
      </c>
      <c r="BG116" s="102">
        <f>BG113-BG114</f>
        <v>116.69999999999997</v>
      </c>
      <c r="BH116" s="126">
        <f t="shared" si="760"/>
        <v>75.753012048192758</v>
      </c>
      <c r="BI116" s="102">
        <f>BI113-BI114</f>
        <v>123.5</v>
      </c>
      <c r="BJ116" s="126">
        <f t="shared" si="761"/>
        <v>38.608305274971897</v>
      </c>
      <c r="BK116" s="102">
        <f>BK113-BK114</f>
        <v>125.9</v>
      </c>
      <c r="BL116" s="126">
        <f t="shared" si="762"/>
        <v>-2.704791344667723</v>
      </c>
      <c r="BM116" s="102">
        <f>BM113-BM114</f>
        <v>118.89999999999991</v>
      </c>
      <c r="BN116" s="126">
        <f t="shared" si="763"/>
        <v>-3.8803556992724753</v>
      </c>
      <c r="BO116" s="102">
        <f>BO113-BO114</f>
        <v>117.90000000000003</v>
      </c>
      <c r="BP116" s="126">
        <f t="shared" si="764"/>
        <v>1.0282776349614942</v>
      </c>
      <c r="BQ116" s="102">
        <f>BQ113-BQ114</f>
        <v>116.20000000000007</v>
      </c>
      <c r="BR116" s="126">
        <f t="shared" si="765"/>
        <v>-5.9109311740890069</v>
      </c>
      <c r="BS116" s="102">
        <f>BS113-BS114</f>
        <v>130.90000000000003</v>
      </c>
      <c r="BT116" s="126">
        <f t="shared" si="766"/>
        <v>3.9714058776807226</v>
      </c>
      <c r="BU116" s="102">
        <f>BU113-BU114</f>
        <v>-171.7000000000001</v>
      </c>
      <c r="BV116" s="126" t="str">
        <f t="shared" si="767"/>
        <v>NM</v>
      </c>
      <c r="BW116" s="102">
        <f>BW113-BW114</f>
        <v>73.90000000000002</v>
      </c>
      <c r="BX116" s="126">
        <f t="shared" si="768"/>
        <v>-37.319762510602203</v>
      </c>
      <c r="BY116" s="102">
        <f>BY113-BY114</f>
        <v>65.40000000000002</v>
      </c>
      <c r="BZ116" s="126">
        <f t="shared" si="769"/>
        <v>-43.717728055077473</v>
      </c>
      <c r="CA116" s="102">
        <f>CA113-CA114</f>
        <v>94.5</v>
      </c>
      <c r="CB116" s="126">
        <f t="shared" si="770"/>
        <v>-27.807486631016065</v>
      </c>
      <c r="CC116" s="102">
        <f>CC113-CC114</f>
        <v>119.69999999999997</v>
      </c>
      <c r="CD116" s="126" t="str">
        <f t="shared" si="771"/>
        <v>NM</v>
      </c>
      <c r="CE116" s="102">
        <f>CE113-CE114</f>
        <v>118.69999999999996</v>
      </c>
      <c r="CF116" s="126">
        <f t="shared" si="772"/>
        <v>60.62246278755066</v>
      </c>
      <c r="CG116" s="102">
        <f>CG113-CG114</f>
        <v>116.4</v>
      </c>
      <c r="CH116" s="126">
        <f t="shared" si="773"/>
        <v>77.981651376146743</v>
      </c>
      <c r="CI116" s="102">
        <f>CI113-CI114</f>
        <v>126.09999999999995</v>
      </c>
      <c r="CJ116" s="126">
        <f t="shared" si="774"/>
        <v>33.43915343915338</v>
      </c>
      <c r="CK116" s="102">
        <f>CK113-CK114</f>
        <v>123.19999999999997</v>
      </c>
      <c r="CL116" s="126">
        <f t="shared" si="775"/>
        <v>2.9239766081871288</v>
      </c>
      <c r="CM116" s="102">
        <f>CM113-CM114</f>
        <v>144.00000000000009</v>
      </c>
      <c r="CN116" s="126">
        <f t="shared" si="776"/>
        <v>21.314237573715356</v>
      </c>
      <c r="CO116" s="102">
        <f>CO113-CO114</f>
        <v>144.79999999999993</v>
      </c>
      <c r="CP116" s="126">
        <f t="shared" si="777"/>
        <v>24.398625429553199</v>
      </c>
      <c r="CQ116" s="102">
        <f>CQ113-CQ114</f>
        <v>153.30000000000001</v>
      </c>
      <c r="CR116" s="126">
        <f t="shared" si="778"/>
        <v>21.570182394924721</v>
      </c>
      <c r="CS116" s="102">
        <f>CS113-CS114</f>
        <v>131</v>
      </c>
      <c r="CT116" s="126">
        <f t="shared" si="779"/>
        <v>6.331168831168843</v>
      </c>
      <c r="CU116" s="102">
        <f>CU113-CU114</f>
        <v>137</v>
      </c>
      <c r="CV116" s="126">
        <f t="shared" si="780"/>
        <v>-4.8611111111111711</v>
      </c>
      <c r="CW116" s="102">
        <f>CW113-CW114</f>
        <v>158</v>
      </c>
      <c r="CX116" s="126">
        <f t="shared" si="781"/>
        <v>9.1160220994475729</v>
      </c>
      <c r="CY116" s="102">
        <f>CY113-CY114</f>
        <v>139</v>
      </c>
      <c r="CZ116" s="126">
        <f t="shared" si="782"/>
        <v>-9.3281148075668678</v>
      </c>
      <c r="DA116" s="102">
        <f>DA113-DA114</f>
        <v>162</v>
      </c>
      <c r="DB116" s="61">
        <f t="shared" si="783"/>
        <v>23.664122137404586</v>
      </c>
      <c r="DC116" s="102">
        <f>DC113-DC114</f>
        <v>159</v>
      </c>
      <c r="DD116" s="61">
        <f t="shared" si="784"/>
        <v>16.058394160583944</v>
      </c>
      <c r="DE116" s="102">
        <f>DE113-DE114</f>
        <v>195</v>
      </c>
      <c r="DF116" s="61">
        <f t="shared" si="785"/>
        <v>23.417721518987335</v>
      </c>
      <c r="DG116" s="102">
        <f>DG113-DG114</f>
        <v>198</v>
      </c>
      <c r="DH116" s="61">
        <f t="shared" si="786"/>
        <v>42.446043165467628</v>
      </c>
      <c r="DI116" s="102">
        <f>DI113-DI114</f>
        <v>199</v>
      </c>
      <c r="DJ116" s="61">
        <f t="shared" si="787"/>
        <v>22.839506172839496</v>
      </c>
      <c r="DK116" s="102">
        <f>DK113-DK114</f>
        <v>216</v>
      </c>
      <c r="DL116" s="61">
        <f t="shared" si="788"/>
        <v>35.849056603773576</v>
      </c>
      <c r="DM116" s="102">
        <f>DM113-DM114</f>
        <v>227</v>
      </c>
      <c r="DN116" s="130">
        <f t="shared" si="789"/>
        <v>16.410256410256419</v>
      </c>
      <c r="DO116" s="102">
        <f>DO113-DO114</f>
        <v>245</v>
      </c>
      <c r="DP116" s="130">
        <f t="shared" si="789"/>
        <v>23.737373737373744</v>
      </c>
      <c r="DQ116" s="102">
        <f>DQ113-DQ114</f>
        <v>237</v>
      </c>
      <c r="DR116" s="130">
        <f t="shared" si="789"/>
        <v>19.095477386934668</v>
      </c>
      <c r="DS116" s="102">
        <f>DS113-DS114</f>
        <v>239</v>
      </c>
      <c r="DT116" s="130">
        <f t="shared" si="789"/>
        <v>10.64814814814814</v>
      </c>
      <c r="DU116" s="102">
        <f>DU113-DU114</f>
        <v>255</v>
      </c>
      <c r="DV116" s="130">
        <f t="shared" si="789"/>
        <v>12.334801762114544</v>
      </c>
      <c r="DW116" s="102">
        <f>DW113-DW114</f>
        <v>259</v>
      </c>
      <c r="DX116" s="102">
        <f t="shared" ref="DX116:DY116" si="829">DX113-DX114</f>
        <v>259</v>
      </c>
      <c r="DY116" s="102">
        <f t="shared" si="829"/>
        <v>243</v>
      </c>
      <c r="DZ116" s="130">
        <f t="shared" si="789"/>
        <v>2.5316455696202445</v>
      </c>
      <c r="EA116" s="102">
        <f t="shared" ref="EA116:EC116" si="830">EA113-EA114</f>
        <v>218</v>
      </c>
      <c r="EB116" s="130">
        <f t="shared" si="792"/>
        <v>-8.786610878661083</v>
      </c>
      <c r="EC116" s="102">
        <f t="shared" si="830"/>
        <v>235</v>
      </c>
      <c r="ED116" s="130">
        <f t="shared" si="793"/>
        <v>-7.8431372549019667</v>
      </c>
      <c r="EE116" s="102">
        <f t="shared" ref="EE116:EG116" si="831">EE113-EE114</f>
        <v>240</v>
      </c>
      <c r="EF116" s="130">
        <f t="shared" si="795"/>
        <v>-7.3359073359073328</v>
      </c>
      <c r="EG116" s="102">
        <f t="shared" si="831"/>
        <v>242</v>
      </c>
      <c r="EH116" s="130">
        <f t="shared" si="796"/>
        <v>-0.41152263374485409</v>
      </c>
      <c r="EI116" s="102">
        <f t="shared" ref="EI116" si="832">EI113-EI114</f>
        <v>281</v>
      </c>
      <c r="EJ116" s="130">
        <f t="shared" si="798"/>
        <v>28.899082568807334</v>
      </c>
      <c r="EK116" s="102">
        <f t="shared" ref="EK116:EM116" si="833">EK113-EK114</f>
        <v>251</v>
      </c>
      <c r="EL116" s="130">
        <f t="shared" si="799"/>
        <v>6.8085106382978822</v>
      </c>
      <c r="EM116" s="102">
        <f t="shared" si="833"/>
        <v>277</v>
      </c>
      <c r="EN116" s="130">
        <f t="shared" si="801"/>
        <v>15.416666666666657</v>
      </c>
      <c r="EO116" s="102">
        <f t="shared" ref="EO116" si="834">EO113-EO114</f>
        <v>265</v>
      </c>
      <c r="EP116" s="130">
        <f t="shared" si="803"/>
        <v>9.5041322314049594</v>
      </c>
      <c r="EQ116" s="102">
        <f t="shared" ref="EQ116:EW116" si="835">EQ113-EQ114</f>
        <v>280.45693245994198</v>
      </c>
      <c r="ER116" s="130">
        <f t="shared" si="805"/>
        <v>-0.19326246977153794</v>
      </c>
      <c r="ES116" s="102">
        <f t="shared" si="835"/>
        <v>279.8327531685664</v>
      </c>
      <c r="ET116" s="130">
        <f t="shared" si="806"/>
        <v>11.48715265679936</v>
      </c>
      <c r="EU116" s="102">
        <f t="shared" si="835"/>
        <v>283.56092073159573</v>
      </c>
      <c r="EV116" s="130">
        <f t="shared" si="807"/>
        <v>2.368563441009286</v>
      </c>
      <c r="EW116" s="102">
        <f t="shared" si="835"/>
        <v>287.84454086704801</v>
      </c>
      <c r="EX116" s="130">
        <f t="shared" si="808"/>
        <v>8.6205814592634091</v>
      </c>
      <c r="EY116" s="64"/>
      <c r="EZ116" s="558"/>
      <c r="FA116" s="64"/>
      <c r="FB116" s="102"/>
      <c r="FC116" s="71"/>
      <c r="FD116" s="102"/>
      <c r="FE116" s="70"/>
      <c r="FF116" s="102"/>
      <c r="FG116" s="70"/>
      <c r="FH116" s="102"/>
      <c r="FI116" s="70"/>
      <c r="FJ116" s="102"/>
      <c r="FK116" s="70"/>
      <c r="FL116" s="102"/>
      <c r="FM116" s="61"/>
      <c r="FN116" s="104">
        <f>FN113-FN114</f>
        <v>209</v>
      </c>
      <c r="FO116" s="61"/>
      <c r="FP116" s="104">
        <f>FP113-FP114</f>
        <v>252.2000000000001</v>
      </c>
      <c r="FQ116" s="61">
        <f t="shared" si="809"/>
        <v>20.669856459330195</v>
      </c>
      <c r="FR116" s="104">
        <f>FR113-FR114</f>
        <v>408.5999999999998</v>
      </c>
      <c r="FS116" s="61">
        <f t="shared" si="810"/>
        <v>62.01427438540825</v>
      </c>
      <c r="FT116" s="104">
        <f>FT113-FT114</f>
        <v>484.99999999999955</v>
      </c>
      <c r="FU116" s="61">
        <f t="shared" si="811"/>
        <v>18.697993147332291</v>
      </c>
      <c r="FV116" s="104">
        <f>FV113-FV114</f>
        <v>193.30000000000052</v>
      </c>
      <c r="FW116" s="61" t="str">
        <f t="shared" si="812"/>
        <v>NM</v>
      </c>
      <c r="FX116" s="104">
        <f>FX113-FX114</f>
        <v>353.50000000000034</v>
      </c>
      <c r="FY116" s="61">
        <f t="shared" si="813"/>
        <v>82.87635799275705</v>
      </c>
      <c r="FZ116" s="104">
        <f>FZ113-FZ114</f>
        <v>484.4000000000002</v>
      </c>
      <c r="GA116" s="61">
        <f t="shared" si="814"/>
        <v>37.029702970296952</v>
      </c>
      <c r="GB116" s="104">
        <f>GB113-GB114</f>
        <v>573.10000000000036</v>
      </c>
      <c r="GC116" s="61">
        <f t="shared" si="815"/>
        <v>18.311312964492178</v>
      </c>
      <c r="GD116" s="104">
        <f>GD113-GD114</f>
        <v>596</v>
      </c>
      <c r="GE116" s="61">
        <f t="shared" si="816"/>
        <v>3.9958122491711157</v>
      </c>
      <c r="GF116" s="104">
        <f>GF113-GF114</f>
        <v>751</v>
      </c>
      <c r="GG116" s="61">
        <f t="shared" si="817"/>
        <v>26.006711409395965</v>
      </c>
      <c r="GH116" s="104">
        <f>GH113-GH114</f>
        <v>925</v>
      </c>
      <c r="GI116" s="61">
        <f t="shared" si="817"/>
        <v>23.169107856191751</v>
      </c>
      <c r="GJ116" s="104">
        <f>GJ113-GJ114</f>
        <v>996</v>
      </c>
      <c r="GK116" s="61">
        <f t="shared" si="817"/>
        <v>7.6756756756756861</v>
      </c>
      <c r="GL116" s="104">
        <f>GL113-GL114</f>
        <v>935</v>
      </c>
      <c r="GM116" s="61">
        <f t="shared" si="817"/>
        <v>-6.1244979919678695</v>
      </c>
      <c r="GN116" s="104">
        <f>GN113-GN114</f>
        <v>1074</v>
      </c>
      <c r="GO116" s="61">
        <f t="shared" si="817"/>
        <v>14.866310160427808</v>
      </c>
      <c r="GP116" s="104">
        <f>GP113-GP114</f>
        <v>1131.6951472271512</v>
      </c>
      <c r="GQ116" s="61">
        <f t="shared" si="817"/>
        <v>5.3719876375373676</v>
      </c>
      <c r="GR116" s="102">
        <f>GR113-GR114</f>
        <v>1181.3693742008841</v>
      </c>
      <c r="GS116" s="61">
        <f t="shared" si="817"/>
        <v>4.3893646708164535</v>
      </c>
      <c r="GT116" s="102">
        <f>GT113-GT114</f>
        <v>1250.6590838620441</v>
      </c>
      <c r="GU116" s="61">
        <f t="shared" si="817"/>
        <v>5.8652028039942961</v>
      </c>
      <c r="GV116" s="102">
        <f>GV113-GV114</f>
        <v>1328.680673140525</v>
      </c>
      <c r="GW116" s="61">
        <f t="shared" si="817"/>
        <v>6.238437819325604</v>
      </c>
      <c r="GX116" s="102">
        <f>GX113-GX114</f>
        <v>1416.4678818113136</v>
      </c>
      <c r="GY116" s="61">
        <f t="shared" si="818"/>
        <v>6.6070960800002521</v>
      </c>
      <c r="GZ116" s="61">
        <f t="shared" si="651"/>
        <v>5.6916042690321245</v>
      </c>
      <c r="HA116" s="61"/>
      <c r="HB116" s="452"/>
      <c r="HC116"/>
      <c r="HD116"/>
      <c r="HE116"/>
      <c r="HF116"/>
      <c r="HG116"/>
      <c r="HH116"/>
    </row>
    <row r="117" spans="1:216" s="5" customFormat="1" ht="12.75" customHeight="1" x14ac:dyDescent="0.2">
      <c r="B117" s="2" t="s">
        <v>4</v>
      </c>
      <c r="C117" s="102"/>
      <c r="D117" s="70"/>
      <c r="E117" s="102"/>
      <c r="F117" s="71"/>
      <c r="G117" s="102"/>
      <c r="H117" s="71"/>
      <c r="I117" s="102"/>
      <c r="J117" s="61"/>
      <c r="K117" s="102"/>
      <c r="L117" s="61"/>
      <c r="M117" s="102"/>
      <c r="N117" s="61"/>
      <c r="O117" s="102"/>
      <c r="P117" s="61"/>
      <c r="Q117" s="102"/>
      <c r="R117" s="61"/>
      <c r="S117" s="102"/>
      <c r="T117" s="61"/>
      <c r="U117" s="102"/>
      <c r="V117" s="61"/>
      <c r="W117" s="102"/>
      <c r="X117" s="61"/>
      <c r="Y117" s="102"/>
      <c r="Z117" s="61"/>
      <c r="AA117" s="125"/>
      <c r="AB117" s="61"/>
      <c r="AC117" s="125"/>
      <c r="AD117" s="61"/>
      <c r="AE117" s="125"/>
      <c r="AF117" s="61"/>
      <c r="AG117" s="125"/>
      <c r="AH117" s="61"/>
      <c r="AI117" s="125"/>
      <c r="AJ117" s="61"/>
      <c r="AK117" s="125"/>
      <c r="AL117" s="61"/>
      <c r="AM117" s="125"/>
      <c r="AN117" s="61"/>
      <c r="AO117" s="125"/>
      <c r="AP117" s="61"/>
      <c r="AQ117" s="540">
        <v>0</v>
      </c>
      <c r="AR117" s="61" t="str">
        <f t="shared" si="753"/>
        <v>NA</v>
      </c>
      <c r="AS117" s="72">
        <v>20</v>
      </c>
      <c r="AT117" s="61" t="str">
        <f t="shared" si="754"/>
        <v>NA</v>
      </c>
      <c r="AU117" s="72">
        <v>0</v>
      </c>
      <c r="AV117" s="61" t="str">
        <f t="shared" si="755"/>
        <v>NA</v>
      </c>
      <c r="AW117" s="72">
        <v>0</v>
      </c>
      <c r="AX117" s="61" t="str">
        <f t="shared" si="755"/>
        <v>NA</v>
      </c>
      <c r="AY117" s="72">
        <v>0</v>
      </c>
      <c r="AZ117" s="61" t="str">
        <f t="shared" si="756"/>
        <v>NA</v>
      </c>
      <c r="BA117" s="72">
        <v>10</v>
      </c>
      <c r="BB117" s="61">
        <f t="shared" si="757"/>
        <v>-50</v>
      </c>
      <c r="BC117" s="72">
        <f>27+2</f>
        <v>29</v>
      </c>
      <c r="BD117" s="61" t="str">
        <f t="shared" si="758"/>
        <v>NA</v>
      </c>
      <c r="BE117" s="72">
        <v>11</v>
      </c>
      <c r="BF117" s="61" t="str">
        <f t="shared" si="759"/>
        <v>NA</v>
      </c>
      <c r="BG117" s="72">
        <v>4</v>
      </c>
      <c r="BH117" s="61" t="str">
        <f t="shared" si="760"/>
        <v>NA</v>
      </c>
      <c r="BI117" s="72">
        <v>8</v>
      </c>
      <c r="BJ117" s="61">
        <f t="shared" si="761"/>
        <v>-19.999999999999996</v>
      </c>
      <c r="BK117" s="72">
        <v>-16</v>
      </c>
      <c r="BL117" s="61" t="str">
        <f t="shared" si="762"/>
        <v>NM</v>
      </c>
      <c r="BM117" s="72">
        <v>-36</v>
      </c>
      <c r="BN117" s="61" t="str">
        <f t="shared" si="763"/>
        <v>NM</v>
      </c>
      <c r="BO117" s="72">
        <v>10</v>
      </c>
      <c r="BP117" s="61" t="str">
        <f t="shared" si="764"/>
        <v>NM</v>
      </c>
      <c r="BQ117" s="72">
        <v>0</v>
      </c>
      <c r="BR117" s="61" t="str">
        <f t="shared" si="765"/>
        <v>NM</v>
      </c>
      <c r="BS117" s="72">
        <v>13</v>
      </c>
      <c r="BT117" s="61" t="str">
        <f t="shared" si="766"/>
        <v>NM</v>
      </c>
      <c r="BU117" s="72">
        <v>-247</v>
      </c>
      <c r="BV117" s="61" t="str">
        <f t="shared" si="767"/>
        <v>NM</v>
      </c>
      <c r="BW117" s="72">
        <v>0</v>
      </c>
      <c r="BX117" s="61" t="str">
        <f t="shared" si="768"/>
        <v>NM</v>
      </c>
      <c r="BY117" s="72">
        <v>0</v>
      </c>
      <c r="BZ117" s="61" t="str">
        <f t="shared" si="769"/>
        <v>NA</v>
      </c>
      <c r="CA117" s="72">
        <v>15</v>
      </c>
      <c r="CB117" s="61">
        <f t="shared" si="770"/>
        <v>15.384615384615374</v>
      </c>
      <c r="CC117" s="72">
        <v>18.5</v>
      </c>
      <c r="CD117" s="61" t="str">
        <f t="shared" si="771"/>
        <v>NM</v>
      </c>
      <c r="CE117" s="72">
        <v>21</v>
      </c>
      <c r="CF117" s="61" t="str">
        <f t="shared" si="772"/>
        <v>NA</v>
      </c>
      <c r="CG117" s="72">
        <v>15</v>
      </c>
      <c r="CH117" s="61" t="str">
        <f t="shared" si="773"/>
        <v>NA</v>
      </c>
      <c r="CI117" s="72">
        <v>12</v>
      </c>
      <c r="CJ117" s="61">
        <f t="shared" si="774"/>
        <v>-19.999999999999996</v>
      </c>
      <c r="CK117" s="72">
        <v>2</v>
      </c>
      <c r="CL117" s="61" t="str">
        <f t="shared" si="775"/>
        <v>NM</v>
      </c>
      <c r="CM117" s="72">
        <v>18</v>
      </c>
      <c r="CN117" s="61">
        <f t="shared" si="776"/>
        <v>-14.28571428571429</v>
      </c>
      <c r="CO117" s="72">
        <v>14</v>
      </c>
      <c r="CP117" s="61">
        <f t="shared" si="777"/>
        <v>-6.6666666666666652</v>
      </c>
      <c r="CQ117" s="72">
        <v>30</v>
      </c>
      <c r="CR117" s="61" t="str">
        <f t="shared" si="778"/>
        <v>NM</v>
      </c>
      <c r="CS117" s="72">
        <v>0</v>
      </c>
      <c r="CT117" s="61" t="str">
        <f t="shared" si="779"/>
        <v>NM</v>
      </c>
      <c r="CU117" s="72">
        <v>0</v>
      </c>
      <c r="CV117" s="61" t="str">
        <f t="shared" si="780"/>
        <v>NM</v>
      </c>
      <c r="CW117" s="72">
        <f>5+7</f>
        <v>12</v>
      </c>
      <c r="CX117" s="61">
        <f t="shared" si="781"/>
        <v>-14.28571428571429</v>
      </c>
      <c r="CY117" s="72">
        <v>-9</v>
      </c>
      <c r="CZ117" s="61" t="str">
        <f t="shared" si="782"/>
        <v>NM</v>
      </c>
      <c r="DA117" s="72">
        <v>8</v>
      </c>
      <c r="DB117" s="61" t="str">
        <f t="shared" si="783"/>
        <v>NA</v>
      </c>
      <c r="DC117" s="72">
        <v>0</v>
      </c>
      <c r="DD117" s="61" t="str">
        <f t="shared" si="784"/>
        <v>NA</v>
      </c>
      <c r="DE117" s="72">
        <v>9</v>
      </c>
      <c r="DF117" s="61">
        <f t="shared" si="785"/>
        <v>-25</v>
      </c>
      <c r="DG117" s="72">
        <v>4</v>
      </c>
      <c r="DH117" s="61" t="str">
        <f t="shared" si="786"/>
        <v>NM</v>
      </c>
      <c r="DI117" s="72">
        <v>-3</v>
      </c>
      <c r="DJ117" s="61" t="str">
        <f t="shared" si="787"/>
        <v>NM</v>
      </c>
      <c r="DK117" s="72">
        <v>0</v>
      </c>
      <c r="DL117" s="61" t="str">
        <f t="shared" si="788"/>
        <v>NA</v>
      </c>
      <c r="DM117" s="72">
        <v>0</v>
      </c>
      <c r="DN117" s="130" t="str">
        <f t="shared" si="789"/>
        <v>NM</v>
      </c>
      <c r="DO117" s="72">
        <v>12</v>
      </c>
      <c r="DP117" s="130" t="str">
        <f t="shared" si="789"/>
        <v>NM</v>
      </c>
      <c r="DQ117" s="72">
        <v>0</v>
      </c>
      <c r="DR117" s="130" t="str">
        <f t="shared" si="789"/>
        <v>NM</v>
      </c>
      <c r="DS117" s="72">
        <v>0</v>
      </c>
      <c r="DT117" s="130" t="str">
        <f t="shared" si="789"/>
        <v>NA</v>
      </c>
      <c r="DU117" s="72">
        <v>0</v>
      </c>
      <c r="DV117" s="130" t="str">
        <f t="shared" si="789"/>
        <v>NA</v>
      </c>
      <c r="DW117" s="72">
        <v>5</v>
      </c>
      <c r="DX117" s="72">
        <v>5</v>
      </c>
      <c r="DY117" s="72">
        <v>0</v>
      </c>
      <c r="DZ117" s="130" t="str">
        <f t="shared" si="789"/>
        <v>NA</v>
      </c>
      <c r="EA117" s="820">
        <v>-4</v>
      </c>
      <c r="EB117" s="130" t="str">
        <f t="shared" si="792"/>
        <v>NA</v>
      </c>
      <c r="EC117" s="820">
        <v>0</v>
      </c>
      <c r="ED117" s="130" t="str">
        <f t="shared" si="793"/>
        <v>NA</v>
      </c>
      <c r="EE117" s="820">
        <f>-10+3.1</f>
        <v>-6.9</v>
      </c>
      <c r="EF117" s="130" t="str">
        <f t="shared" si="795"/>
        <v>NM</v>
      </c>
      <c r="EG117" s="820">
        <v>0</v>
      </c>
      <c r="EH117" s="130" t="str">
        <f t="shared" si="796"/>
        <v>NA</v>
      </c>
      <c r="EI117" s="820">
        <v>41</v>
      </c>
      <c r="EJ117" s="130" t="str">
        <f t="shared" si="798"/>
        <v>NM</v>
      </c>
      <c r="EK117" s="820">
        <v>0</v>
      </c>
      <c r="EL117" s="130" t="str">
        <f t="shared" si="799"/>
        <v>NA</v>
      </c>
      <c r="EM117" s="820">
        <v>15</v>
      </c>
      <c r="EN117" s="130" t="str">
        <f t="shared" si="801"/>
        <v>NM</v>
      </c>
      <c r="EO117" s="820">
        <v>0</v>
      </c>
      <c r="EP117" s="130" t="str">
        <f t="shared" si="803"/>
        <v>NA</v>
      </c>
      <c r="EQ117" s="72">
        <v>0</v>
      </c>
      <c r="ER117" s="130" t="str">
        <f t="shared" si="805"/>
        <v>NM</v>
      </c>
      <c r="ES117" s="72">
        <v>0</v>
      </c>
      <c r="ET117" s="130" t="str">
        <f t="shared" si="806"/>
        <v>NA</v>
      </c>
      <c r="EU117" s="72">
        <v>0</v>
      </c>
      <c r="EV117" s="130" t="str">
        <f t="shared" si="807"/>
        <v>NM</v>
      </c>
      <c r="EW117" s="72">
        <v>0</v>
      </c>
      <c r="EX117" s="130" t="str">
        <f t="shared" si="808"/>
        <v>NA</v>
      </c>
      <c r="EY117" s="64"/>
      <c r="EZ117" s="558"/>
      <c r="FA117" s="64"/>
      <c r="FB117" s="102"/>
      <c r="FC117" s="124"/>
      <c r="FD117" s="102"/>
      <c r="FE117" s="70"/>
      <c r="FF117" s="102"/>
      <c r="FG117" s="70"/>
      <c r="FH117" s="102"/>
      <c r="FI117" s="70"/>
      <c r="FJ117" s="102"/>
      <c r="FK117" s="70"/>
      <c r="FL117" s="102"/>
      <c r="FM117" s="61"/>
      <c r="FN117" s="778">
        <v>0</v>
      </c>
      <c r="FO117" s="61"/>
      <c r="FP117" s="73">
        <f>AQ117+AS117+AU117+AW117</f>
        <v>20</v>
      </c>
      <c r="FQ117" s="61" t="str">
        <f t="shared" si="809"/>
        <v>NA</v>
      </c>
      <c r="FR117" s="73">
        <f>AY117+BA117+BC117+BE117</f>
        <v>50</v>
      </c>
      <c r="FS117" s="61" t="str">
        <f t="shared" si="810"/>
        <v>NM</v>
      </c>
      <c r="FT117" s="73">
        <f>BG117+BI117+BK117+BM117</f>
        <v>-40</v>
      </c>
      <c r="FU117" s="61" t="str">
        <f t="shared" si="811"/>
        <v>NM</v>
      </c>
      <c r="FV117" s="73">
        <f>BO117+BQ117+BS117+BU117</f>
        <v>-224</v>
      </c>
      <c r="FW117" s="61" t="str">
        <f t="shared" si="812"/>
        <v>NM</v>
      </c>
      <c r="FX117" s="75">
        <f>BW117+BY117+CA117+CC117</f>
        <v>33.5</v>
      </c>
      <c r="FY117" s="61" t="str">
        <f t="shared" si="813"/>
        <v>NM</v>
      </c>
      <c r="FZ117" s="75">
        <f>CE117+CG117+CI117+CK117</f>
        <v>50</v>
      </c>
      <c r="GA117" s="61">
        <f t="shared" si="814"/>
        <v>49.25373134328359</v>
      </c>
      <c r="GB117" s="75">
        <f>CM117+CO117+CQ117+CS117</f>
        <v>62</v>
      </c>
      <c r="GC117" s="61">
        <f t="shared" si="815"/>
        <v>24</v>
      </c>
      <c r="GD117" s="75">
        <f>CU117+CW117+CY117+DA117</f>
        <v>11</v>
      </c>
      <c r="GE117" s="61" t="str">
        <f t="shared" si="816"/>
        <v>NM</v>
      </c>
      <c r="GF117" s="75">
        <f>DC117+DE117+DG117+DI117</f>
        <v>10</v>
      </c>
      <c r="GG117" s="61">
        <f t="shared" si="817"/>
        <v>-9.0909090909090935</v>
      </c>
      <c r="GH117" s="75">
        <f>DK117+DM117+DO117+DQ117</f>
        <v>12</v>
      </c>
      <c r="GI117" s="61">
        <f t="shared" si="817"/>
        <v>19.999999999999996</v>
      </c>
      <c r="GJ117" s="75">
        <f>DS117+DU117+DW117+DY117</f>
        <v>5</v>
      </c>
      <c r="GK117" s="61" t="str">
        <f t="shared" si="817"/>
        <v>NM</v>
      </c>
      <c r="GL117" s="75">
        <f>EA117+EC117+EE117+EG117</f>
        <v>-10.9</v>
      </c>
      <c r="GM117" s="61" t="str">
        <f t="shared" si="817"/>
        <v>NM</v>
      </c>
      <c r="GN117" s="75">
        <f>EI117+EK117+EM117+EO117</f>
        <v>56</v>
      </c>
      <c r="GO117" s="61" t="str">
        <f t="shared" si="817"/>
        <v>NM</v>
      </c>
      <c r="GP117" s="75">
        <f>EQ117+ES117+EU117+EW117</f>
        <v>0</v>
      </c>
      <c r="GQ117" s="61" t="str">
        <f t="shared" si="817"/>
        <v>NM</v>
      </c>
      <c r="GR117" s="72">
        <v>0</v>
      </c>
      <c r="GS117" s="61" t="str">
        <f t="shared" si="817"/>
        <v>NA</v>
      </c>
      <c r="GT117" s="72">
        <v>0</v>
      </c>
      <c r="GU117" s="61" t="str">
        <f t="shared" si="817"/>
        <v>NA</v>
      </c>
      <c r="GV117" s="72">
        <v>0</v>
      </c>
      <c r="GW117" s="61" t="str">
        <f t="shared" si="817"/>
        <v>NA</v>
      </c>
      <c r="GX117" s="72">
        <v>0</v>
      </c>
      <c r="GY117" s="61" t="str">
        <f t="shared" si="818"/>
        <v>NA</v>
      </c>
      <c r="GZ117" s="61" t="str">
        <f t="shared" si="651"/>
        <v>NM</v>
      </c>
      <c r="HA117" s="61"/>
      <c r="HB117" s="452"/>
      <c r="HC117"/>
      <c r="HD117"/>
      <c r="HE117"/>
      <c r="HF117"/>
      <c r="HG117"/>
      <c r="HH117"/>
    </row>
    <row r="118" spans="1:216" s="5" customFormat="1" ht="12.75" customHeight="1" x14ac:dyDescent="0.2">
      <c r="B118" s="63" t="s">
        <v>384</v>
      </c>
      <c r="C118" s="102"/>
      <c r="D118" s="70"/>
      <c r="E118" s="102"/>
      <c r="F118" s="71"/>
      <c r="G118" s="102"/>
      <c r="H118" s="71"/>
      <c r="I118" s="102"/>
      <c r="J118" s="61"/>
      <c r="K118" s="102"/>
      <c r="L118" s="61"/>
      <c r="M118" s="102"/>
      <c r="N118" s="61"/>
      <c r="O118" s="102"/>
      <c r="P118" s="61"/>
      <c r="Q118" s="102"/>
      <c r="R118" s="61"/>
      <c r="S118" s="102"/>
      <c r="T118" s="61"/>
      <c r="U118" s="102"/>
      <c r="V118" s="61"/>
      <c r="W118" s="102"/>
      <c r="X118" s="61"/>
      <c r="Y118" s="102"/>
      <c r="Z118" s="61"/>
      <c r="AA118" s="125"/>
      <c r="AB118" s="61"/>
      <c r="AC118" s="125"/>
      <c r="AD118" s="61"/>
      <c r="AE118" s="125"/>
      <c r="AF118" s="61"/>
      <c r="AG118" s="125"/>
      <c r="AH118" s="61"/>
      <c r="AI118" s="125"/>
      <c r="AJ118" s="61"/>
      <c r="AK118" s="125"/>
      <c r="AL118" s="61"/>
      <c r="AM118" s="125"/>
      <c r="AN118" s="61"/>
      <c r="AO118" s="125"/>
      <c r="AP118" s="61"/>
      <c r="AQ118" s="102">
        <f>AQ116-AQ117</f>
        <v>49.700000000000031</v>
      </c>
      <c r="AR118" s="126" t="str">
        <f t="shared" si="753"/>
        <v>NA</v>
      </c>
      <c r="AS118" s="102">
        <f>AS116-AS117</f>
        <v>32.499999999999986</v>
      </c>
      <c r="AT118" s="126" t="str">
        <f t="shared" si="754"/>
        <v>NA</v>
      </c>
      <c r="AU118" s="102">
        <f>AU116-AU117</f>
        <v>78.999999999999957</v>
      </c>
      <c r="AV118" s="61" t="str">
        <f t="shared" si="755"/>
        <v>NA</v>
      </c>
      <c r="AW118" s="102">
        <f>AW116-AW117</f>
        <v>70.900000000000034</v>
      </c>
      <c r="AX118" s="61" t="str">
        <f t="shared" si="755"/>
        <v>NA</v>
      </c>
      <c r="AY118" s="102">
        <f>AY116-AY117</f>
        <v>66.399999999999991</v>
      </c>
      <c r="AZ118" s="61">
        <f t="shared" si="756"/>
        <v>33.601609657947584</v>
      </c>
      <c r="BA118" s="102">
        <f>BA116-BA117</f>
        <v>79.100000000000023</v>
      </c>
      <c r="BB118" s="61" t="str">
        <f t="shared" si="757"/>
        <v>NM</v>
      </c>
      <c r="BC118" s="102">
        <f>BC116-BC117</f>
        <v>100.40000000000003</v>
      </c>
      <c r="BD118" s="61">
        <f t="shared" si="758"/>
        <v>27.088607594936832</v>
      </c>
      <c r="BE118" s="102">
        <f>BE116-BE117</f>
        <v>112.69999999999996</v>
      </c>
      <c r="BF118" s="61">
        <f t="shared" si="759"/>
        <v>58.95627644569803</v>
      </c>
      <c r="BG118" s="102">
        <f>BG116-BG117</f>
        <v>112.69999999999997</v>
      </c>
      <c r="BH118" s="61">
        <f t="shared" si="760"/>
        <v>69.728915662650579</v>
      </c>
      <c r="BI118" s="102">
        <f>BI116-BI117</f>
        <v>115.5</v>
      </c>
      <c r="BJ118" s="61">
        <f t="shared" si="761"/>
        <v>46.017699115044209</v>
      </c>
      <c r="BK118" s="102">
        <f>BK116-BK117</f>
        <v>141.9</v>
      </c>
      <c r="BL118" s="61">
        <f t="shared" si="762"/>
        <v>41.334661354581634</v>
      </c>
      <c r="BM118" s="102">
        <f>BM116-BM117</f>
        <v>154.89999999999992</v>
      </c>
      <c r="BN118" s="61">
        <f t="shared" si="763"/>
        <v>37.444543034605118</v>
      </c>
      <c r="BO118" s="102">
        <f>BO116-BO117</f>
        <v>107.90000000000003</v>
      </c>
      <c r="BP118" s="61">
        <f t="shared" si="764"/>
        <v>-4.2590949423247038</v>
      </c>
      <c r="BQ118" s="102">
        <f>BQ116-BQ117</f>
        <v>116.20000000000007</v>
      </c>
      <c r="BR118" s="61">
        <f t="shared" si="765"/>
        <v>0.60606060606067658</v>
      </c>
      <c r="BS118" s="102">
        <f>BS116-BS117</f>
        <v>117.90000000000003</v>
      </c>
      <c r="BT118" s="61">
        <f t="shared" si="766"/>
        <v>-16.913319238900616</v>
      </c>
      <c r="BU118" s="102">
        <f>BU116-BU117</f>
        <v>75.299999999999898</v>
      </c>
      <c r="BV118" s="61" t="str">
        <f t="shared" si="767"/>
        <v>NM</v>
      </c>
      <c r="BW118" s="102">
        <f>BW116-BW117</f>
        <v>73.90000000000002</v>
      </c>
      <c r="BX118" s="61">
        <f t="shared" si="768"/>
        <v>-31.510658016682115</v>
      </c>
      <c r="BY118" s="102">
        <f>BY116-BY117</f>
        <v>65.40000000000002</v>
      </c>
      <c r="BZ118" s="61">
        <f t="shared" si="769"/>
        <v>-43.717728055077473</v>
      </c>
      <c r="CA118" s="102">
        <f>CA116-CA117</f>
        <v>79.5</v>
      </c>
      <c r="CB118" s="61">
        <f t="shared" si="770"/>
        <v>-32.5699745547074</v>
      </c>
      <c r="CC118" s="102">
        <f>CC116-CC117</f>
        <v>101.19999999999997</v>
      </c>
      <c r="CD118" s="61">
        <f t="shared" si="771"/>
        <v>34.395750332005463</v>
      </c>
      <c r="CE118" s="102">
        <f>CE116-CE117</f>
        <v>97.69999999999996</v>
      </c>
      <c r="CF118" s="61">
        <f t="shared" si="772"/>
        <v>32.205683355886251</v>
      </c>
      <c r="CG118" s="102">
        <f>CG116-CG117</f>
        <v>101.4</v>
      </c>
      <c r="CH118" s="61">
        <f t="shared" si="773"/>
        <v>55.045871559632985</v>
      </c>
      <c r="CI118" s="102">
        <f>CI116-CI117</f>
        <v>114.09999999999995</v>
      </c>
      <c r="CJ118" s="61">
        <f t="shared" si="774"/>
        <v>43.522012578616298</v>
      </c>
      <c r="CK118" s="102">
        <f>CK116-CK117</f>
        <v>121.19999999999997</v>
      </c>
      <c r="CL118" s="61">
        <f t="shared" si="775"/>
        <v>19.762845849802368</v>
      </c>
      <c r="CM118" s="102">
        <f>CM116-CM117</f>
        <v>126.00000000000009</v>
      </c>
      <c r="CN118" s="61">
        <f t="shared" si="776"/>
        <v>28.966223132036983</v>
      </c>
      <c r="CO118" s="102">
        <f>CO116-CO117</f>
        <v>130.79999999999993</v>
      </c>
      <c r="CP118" s="61">
        <f t="shared" si="777"/>
        <v>28.994082840236612</v>
      </c>
      <c r="CQ118" s="102">
        <f>CQ116-CQ117</f>
        <v>123.30000000000001</v>
      </c>
      <c r="CR118" s="61">
        <f t="shared" si="778"/>
        <v>8.063102541630208</v>
      </c>
      <c r="CS118" s="102">
        <f>CS116-CS117</f>
        <v>131</v>
      </c>
      <c r="CT118" s="61">
        <f t="shared" si="779"/>
        <v>8.0858085808580995</v>
      </c>
      <c r="CU118" s="102">
        <f>CU116-CU117</f>
        <v>137</v>
      </c>
      <c r="CV118" s="61">
        <f t="shared" si="780"/>
        <v>8.7301587301586547</v>
      </c>
      <c r="CW118" s="102">
        <f>CW116-CW117</f>
        <v>146</v>
      </c>
      <c r="CX118" s="61">
        <f t="shared" si="781"/>
        <v>11.620795107033711</v>
      </c>
      <c r="CY118" s="102">
        <f>CY116-CY117</f>
        <v>148</v>
      </c>
      <c r="CZ118" s="61">
        <f t="shared" si="782"/>
        <v>20.032441200324392</v>
      </c>
      <c r="DA118" s="102">
        <f>DA116-DA117</f>
        <v>154</v>
      </c>
      <c r="DB118" s="61">
        <f t="shared" si="783"/>
        <v>17.557251908396942</v>
      </c>
      <c r="DC118" s="102">
        <f>DC116-DC117</f>
        <v>159</v>
      </c>
      <c r="DD118" s="61">
        <f t="shared" si="784"/>
        <v>16.058394160583944</v>
      </c>
      <c r="DE118" s="102">
        <f>DE116-DE117</f>
        <v>186</v>
      </c>
      <c r="DF118" s="61">
        <f t="shared" si="785"/>
        <v>27.397260273972602</v>
      </c>
      <c r="DG118" s="102">
        <f>DG116-DG117</f>
        <v>194</v>
      </c>
      <c r="DH118" s="61">
        <f t="shared" si="786"/>
        <v>31.081081081081074</v>
      </c>
      <c r="DI118" s="102">
        <f>DI116-DI117</f>
        <v>202</v>
      </c>
      <c r="DJ118" s="61">
        <f t="shared" si="787"/>
        <v>31.168831168831179</v>
      </c>
      <c r="DK118" s="102">
        <f>DK116-DK117</f>
        <v>216</v>
      </c>
      <c r="DL118" s="61">
        <f t="shared" si="788"/>
        <v>35.849056603773576</v>
      </c>
      <c r="DM118" s="102">
        <f>DM116-DM117</f>
        <v>227</v>
      </c>
      <c r="DN118" s="130">
        <f t="shared" si="789"/>
        <v>22.043010752688176</v>
      </c>
      <c r="DO118" s="102">
        <f>DO116-DO117</f>
        <v>233</v>
      </c>
      <c r="DP118" s="130">
        <f t="shared" si="789"/>
        <v>20.103092783505151</v>
      </c>
      <c r="DQ118" s="102">
        <f>DQ116-DQ117</f>
        <v>237</v>
      </c>
      <c r="DR118" s="130">
        <f t="shared" si="789"/>
        <v>17.326732673267319</v>
      </c>
      <c r="DS118" s="102">
        <f>DS116-DS117</f>
        <v>239</v>
      </c>
      <c r="DT118" s="130">
        <f t="shared" si="789"/>
        <v>10.64814814814814</v>
      </c>
      <c r="DU118" s="102">
        <f>DU116-DU117</f>
        <v>255</v>
      </c>
      <c r="DV118" s="130">
        <f t="shared" si="789"/>
        <v>12.334801762114544</v>
      </c>
      <c r="DW118" s="102">
        <f>DW116-DW117</f>
        <v>254</v>
      </c>
      <c r="DX118" s="102">
        <f t="shared" ref="DX118:DY118" si="836">DX116-DX117</f>
        <v>254</v>
      </c>
      <c r="DY118" s="102">
        <f t="shared" si="836"/>
        <v>243</v>
      </c>
      <c r="DZ118" s="130">
        <f t="shared" si="789"/>
        <v>2.5316455696202445</v>
      </c>
      <c r="EA118" s="102">
        <f t="shared" ref="EA118:EC118" si="837">EA116-EA117</f>
        <v>222</v>
      </c>
      <c r="EB118" s="130">
        <f t="shared" si="792"/>
        <v>-7.1129707112970735</v>
      </c>
      <c r="EC118" s="102">
        <f t="shared" si="837"/>
        <v>235</v>
      </c>
      <c r="ED118" s="130">
        <f t="shared" si="793"/>
        <v>-7.8431372549019667</v>
      </c>
      <c r="EE118" s="102">
        <f t="shared" ref="EE118:EG118" si="838">EE116-EE117</f>
        <v>246.9</v>
      </c>
      <c r="EF118" s="130">
        <f t="shared" si="795"/>
        <v>-2.7952755905511828</v>
      </c>
      <c r="EG118" s="102">
        <f t="shared" si="838"/>
        <v>242</v>
      </c>
      <c r="EH118" s="130">
        <f t="shared" si="796"/>
        <v>-0.41152263374485409</v>
      </c>
      <c r="EI118" s="102">
        <f t="shared" ref="EI118:EK118" si="839">EI116-EI117</f>
        <v>240</v>
      </c>
      <c r="EJ118" s="130">
        <f t="shared" si="798"/>
        <v>8.1081081081081141</v>
      </c>
      <c r="EK118" s="102">
        <f t="shared" si="839"/>
        <v>251</v>
      </c>
      <c r="EL118" s="130">
        <f t="shared" si="799"/>
        <v>6.8085106382978822</v>
      </c>
      <c r="EM118" s="102">
        <f t="shared" ref="EM118" si="840">EM116-EM117</f>
        <v>262</v>
      </c>
      <c r="EN118" s="130">
        <f t="shared" si="801"/>
        <v>6.1158363710003938</v>
      </c>
      <c r="EO118" s="102">
        <f t="shared" ref="EO118" si="841">EO116-EO117</f>
        <v>265</v>
      </c>
      <c r="EP118" s="130">
        <f t="shared" si="803"/>
        <v>9.5041322314049594</v>
      </c>
      <c r="EQ118" s="102">
        <f t="shared" ref="EQ118:EW118" si="842">EQ116-EQ117</f>
        <v>280.45693245994198</v>
      </c>
      <c r="ER118" s="130">
        <f t="shared" si="805"/>
        <v>16.857055191642488</v>
      </c>
      <c r="ES118" s="102">
        <f t="shared" si="842"/>
        <v>279.8327531685664</v>
      </c>
      <c r="ET118" s="130">
        <f t="shared" si="806"/>
        <v>11.48715265679936</v>
      </c>
      <c r="EU118" s="102">
        <f t="shared" si="842"/>
        <v>283.56092073159573</v>
      </c>
      <c r="EV118" s="130">
        <f t="shared" si="807"/>
        <v>8.2293590578609752</v>
      </c>
      <c r="EW118" s="102">
        <f t="shared" si="842"/>
        <v>287.84454086704801</v>
      </c>
      <c r="EX118" s="130">
        <f t="shared" si="808"/>
        <v>8.6205814592634091</v>
      </c>
      <c r="EY118" s="64"/>
      <c r="EZ118" s="558"/>
      <c r="FA118" s="64"/>
      <c r="FB118" s="102"/>
      <c r="FC118" s="124"/>
      <c r="FD118" s="102"/>
      <c r="FE118" s="70"/>
      <c r="FF118" s="102"/>
      <c r="FG118" s="70"/>
      <c r="FH118" s="102"/>
      <c r="FI118" s="70"/>
      <c r="FJ118" s="102"/>
      <c r="FK118" s="70"/>
      <c r="FL118" s="102"/>
      <c r="FM118" s="61"/>
      <c r="FN118" s="104">
        <f>FN116-FN117</f>
        <v>209</v>
      </c>
      <c r="FO118" s="61"/>
      <c r="FP118" s="104">
        <f>FP116-FP117</f>
        <v>232.2000000000001</v>
      </c>
      <c r="FQ118" s="61">
        <f t="shared" si="809"/>
        <v>11.100478468899567</v>
      </c>
      <c r="FR118" s="104">
        <f>FR116-FR117</f>
        <v>358.5999999999998</v>
      </c>
      <c r="FS118" s="61">
        <f t="shared" si="810"/>
        <v>54.435831180017068</v>
      </c>
      <c r="FT118" s="104">
        <f>FT116-FT117</f>
        <v>524.99999999999955</v>
      </c>
      <c r="FU118" s="61">
        <f t="shared" si="811"/>
        <v>46.402677077523656</v>
      </c>
      <c r="FV118" s="104">
        <f>FV116-FV117</f>
        <v>417.30000000000052</v>
      </c>
      <c r="FW118" s="61">
        <f t="shared" si="812"/>
        <v>-20.514285714285542</v>
      </c>
      <c r="FX118" s="104">
        <f>FX116-FX117</f>
        <v>320.00000000000034</v>
      </c>
      <c r="FY118" s="61">
        <f t="shared" si="813"/>
        <v>-23.316558830577538</v>
      </c>
      <c r="FZ118" s="104">
        <f>FZ116-FZ117</f>
        <v>434.4000000000002</v>
      </c>
      <c r="GA118" s="61">
        <f t="shared" si="814"/>
        <v>35.749999999999929</v>
      </c>
      <c r="GB118" s="104">
        <f>GB116-GB117</f>
        <v>511.10000000000036</v>
      </c>
      <c r="GC118" s="61">
        <f t="shared" si="815"/>
        <v>17.656537753222867</v>
      </c>
      <c r="GD118" s="104">
        <f>GD116-GD117</f>
        <v>585</v>
      </c>
      <c r="GE118" s="61">
        <f t="shared" si="816"/>
        <v>14.45900997847771</v>
      </c>
      <c r="GF118" s="104">
        <f>GF116-GF117</f>
        <v>741</v>
      </c>
      <c r="GG118" s="61">
        <f t="shared" si="817"/>
        <v>26.666666666666661</v>
      </c>
      <c r="GH118" s="104">
        <f>GH116-GH117</f>
        <v>913</v>
      </c>
      <c r="GI118" s="61">
        <f t="shared" si="817"/>
        <v>23.211875843454788</v>
      </c>
      <c r="GJ118" s="104">
        <f>GJ116-GJ117</f>
        <v>991</v>
      </c>
      <c r="GK118" s="61">
        <f t="shared" si="817"/>
        <v>8.5432639649507092</v>
      </c>
      <c r="GL118" s="104">
        <f>GL116-GL117</f>
        <v>945.9</v>
      </c>
      <c r="GM118" s="61">
        <f t="shared" si="817"/>
        <v>-4.5509586276488374</v>
      </c>
      <c r="GN118" s="104">
        <f>GN116-GN117</f>
        <v>1018</v>
      </c>
      <c r="GO118" s="61">
        <f t="shared" si="817"/>
        <v>7.6223702294111462</v>
      </c>
      <c r="GP118" s="104">
        <f>GP116-GP117</f>
        <v>1131.6951472271512</v>
      </c>
      <c r="GQ118" s="61">
        <f t="shared" si="817"/>
        <v>11.168482045889117</v>
      </c>
      <c r="GR118" s="102">
        <f>GR116-GR117</f>
        <v>1181.3693742008841</v>
      </c>
      <c r="GS118" s="61">
        <f t="shared" si="817"/>
        <v>4.3893646708164535</v>
      </c>
      <c r="GT118" s="102">
        <f>GT116-GT117</f>
        <v>1250.6590838620441</v>
      </c>
      <c r="GU118" s="61">
        <f t="shared" si="817"/>
        <v>5.8652028039942961</v>
      </c>
      <c r="GV118" s="102">
        <f>GV116-GV117</f>
        <v>1328.680673140525</v>
      </c>
      <c r="GW118" s="61">
        <f t="shared" si="817"/>
        <v>6.238437819325604</v>
      </c>
      <c r="GX118" s="102">
        <f>GX116-GX117</f>
        <v>1416.4678818113136</v>
      </c>
      <c r="GY118" s="61">
        <f t="shared" si="818"/>
        <v>6.6070960800002521</v>
      </c>
      <c r="GZ118" s="61">
        <f t="shared" si="651"/>
        <v>6.8296463446636979</v>
      </c>
      <c r="HA118" s="61"/>
      <c r="HB118" s="452"/>
      <c r="HC118"/>
      <c r="HD118"/>
      <c r="HE118"/>
      <c r="HF118"/>
      <c r="HG118"/>
      <c r="HH118"/>
    </row>
    <row r="119" spans="1:216" s="5" customFormat="1" ht="12.75" customHeight="1" x14ac:dyDescent="0.2">
      <c r="B119" s="2" t="s">
        <v>73</v>
      </c>
      <c r="C119" s="69"/>
      <c r="D119" s="70"/>
      <c r="E119" s="69"/>
      <c r="F119" s="71"/>
      <c r="G119" s="69"/>
      <c r="H119" s="71"/>
      <c r="I119" s="69"/>
      <c r="J119" s="61"/>
      <c r="K119" s="69"/>
      <c r="L119" s="61"/>
      <c r="M119" s="69"/>
      <c r="N119" s="61"/>
      <c r="O119" s="69"/>
      <c r="P119" s="61"/>
      <c r="Q119" s="69"/>
      <c r="R119" s="61"/>
      <c r="S119" s="69"/>
      <c r="T119" s="61"/>
      <c r="U119" s="69"/>
      <c r="V119" s="61"/>
      <c r="W119" s="69"/>
      <c r="X119" s="126"/>
      <c r="Y119" s="69"/>
      <c r="Z119" s="126"/>
      <c r="AA119" s="69"/>
      <c r="AB119" s="126"/>
      <c r="AC119" s="69"/>
      <c r="AD119" s="126"/>
      <c r="AE119" s="69"/>
      <c r="AF119" s="126"/>
      <c r="AG119" s="69"/>
      <c r="AH119" s="126"/>
      <c r="AI119" s="69"/>
      <c r="AJ119" s="126"/>
      <c r="AK119" s="69"/>
      <c r="AL119" s="126"/>
      <c r="AM119" s="69"/>
      <c r="AN119" s="126"/>
      <c r="AO119" s="69"/>
      <c r="AP119" s="126"/>
      <c r="AQ119" s="69">
        <f>AQ113-AQ117/0.65</f>
        <v>61.400000000000034</v>
      </c>
      <c r="AR119" s="61" t="str">
        <f t="shared" si="753"/>
        <v>NA</v>
      </c>
      <c r="AS119" s="69">
        <f>AS113-AS117/0.65</f>
        <v>34.430769230769222</v>
      </c>
      <c r="AT119" s="61" t="str">
        <f t="shared" si="754"/>
        <v>NA</v>
      </c>
      <c r="AU119" s="69">
        <f>AU113-AU117/0.65</f>
        <v>104.79999999999995</v>
      </c>
      <c r="AV119" s="61" t="str">
        <f t="shared" si="755"/>
        <v>NA</v>
      </c>
      <c r="AW119" s="69">
        <f>AW113-AW117/0.65</f>
        <v>89.900000000000034</v>
      </c>
      <c r="AX119" s="61" t="str">
        <f t="shared" si="755"/>
        <v>NA</v>
      </c>
      <c r="AY119" s="69">
        <f>AY113-AY117/0.65</f>
        <v>86.699999999999989</v>
      </c>
      <c r="AZ119" s="61">
        <f t="shared" si="756"/>
        <v>41.20521172638427</v>
      </c>
      <c r="BA119" s="69">
        <f>BA113-BA117/0.65</f>
        <v>106.21538461538464</v>
      </c>
      <c r="BB119" s="61" t="str">
        <f t="shared" si="757"/>
        <v>NM</v>
      </c>
      <c r="BC119" s="69">
        <f>BC113-BC117/0.65</f>
        <v>88.98461538461541</v>
      </c>
      <c r="BD119" s="61">
        <f t="shared" si="758"/>
        <v>-15.091015854374568</v>
      </c>
      <c r="BE119" s="69">
        <f>BE113-BE117/0.65</f>
        <v>144.37692307692302</v>
      </c>
      <c r="BF119" s="61">
        <f t="shared" si="759"/>
        <v>60.597244801916531</v>
      </c>
      <c r="BG119" s="69">
        <f>BG113-BG117/0.65</f>
        <v>147.74615384615382</v>
      </c>
      <c r="BH119" s="61">
        <f t="shared" si="760"/>
        <v>70.410788749889093</v>
      </c>
      <c r="BI119" s="69">
        <f>BI113-BI117/0.65</f>
        <v>152.69230769230768</v>
      </c>
      <c r="BJ119" s="61">
        <f t="shared" si="761"/>
        <v>43.757242178447228</v>
      </c>
      <c r="BK119" s="69">
        <f>BK113-BK117/0.65</f>
        <v>194.61538461538461</v>
      </c>
      <c r="BL119" s="61" t="str">
        <f t="shared" si="762"/>
        <v>NM</v>
      </c>
      <c r="BM119" s="69">
        <f>BM113-BM117/0.65</f>
        <v>210.4846153846153</v>
      </c>
      <c r="BN119" s="61">
        <f t="shared" si="763"/>
        <v>45.7882678885396</v>
      </c>
      <c r="BO119" s="69">
        <f>BO113-BO117/0.65</f>
        <v>141.01538461538465</v>
      </c>
      <c r="BP119" s="61">
        <f t="shared" si="764"/>
        <v>-4.555630759618845</v>
      </c>
      <c r="BQ119" s="69">
        <f>BQ113-BQ117/0.65</f>
        <v>152.30000000000007</v>
      </c>
      <c r="BR119" s="61">
        <f t="shared" si="765"/>
        <v>-0.25692695214100114</v>
      </c>
      <c r="BS119" s="69">
        <f>BS113-BS117/0.65</f>
        <v>118.60000000000002</v>
      </c>
      <c r="BT119" s="61">
        <f t="shared" si="766"/>
        <v>-39.059288537549399</v>
      </c>
      <c r="BU119" s="69">
        <f>BU113-BU117/0.65</f>
        <v>71.099999999999909</v>
      </c>
      <c r="BV119" s="61" t="str">
        <f t="shared" si="767"/>
        <v>NM</v>
      </c>
      <c r="BW119" s="69">
        <f>BW113-BW117/0.65</f>
        <v>62.600000000000023</v>
      </c>
      <c r="BX119" s="61" t="str">
        <f t="shared" si="768"/>
        <v>NM</v>
      </c>
      <c r="BY119" s="69">
        <f>BY113-BY117/0.65</f>
        <v>76.600000000000023</v>
      </c>
      <c r="BZ119" s="61">
        <f t="shared" si="769"/>
        <v>-49.704530531845052</v>
      </c>
      <c r="CA119" s="69">
        <f>CA113-CA117/0.65</f>
        <v>88.92307692307692</v>
      </c>
      <c r="CB119" s="61">
        <f t="shared" si="770"/>
        <v>-25.022700739395532</v>
      </c>
      <c r="CC119" s="69">
        <f>CC113-CC117/0.65</f>
        <v>114.43846153846152</v>
      </c>
      <c r="CD119" s="61">
        <f t="shared" si="771"/>
        <v>60.95423563778013</v>
      </c>
      <c r="CE119" s="69">
        <f>CE113-CE117/0.65</f>
        <v>117.79230769230766</v>
      </c>
      <c r="CF119" s="61">
        <f t="shared" si="772"/>
        <v>88.166625706561689</v>
      </c>
      <c r="CG119" s="69">
        <f>CG113-CG117/0.65</f>
        <v>121.92307692307692</v>
      </c>
      <c r="CH119" s="61">
        <f t="shared" si="773"/>
        <v>59.16850773247635</v>
      </c>
      <c r="CI119" s="69">
        <f>CI113-CI117/0.65</f>
        <v>117.8384615384615</v>
      </c>
      <c r="CJ119" s="61">
        <f t="shared" si="774"/>
        <v>32.51730103806225</v>
      </c>
      <c r="CK119" s="69">
        <f>CK113-CK117/0.65</f>
        <v>151.82307692307691</v>
      </c>
      <c r="CL119" s="61">
        <f t="shared" si="775"/>
        <v>32.667876588021791</v>
      </c>
      <c r="CM119" s="69">
        <f>CM113-CM117/0.65</f>
        <v>156.20769230769241</v>
      </c>
      <c r="CN119" s="61">
        <f t="shared" si="776"/>
        <v>32.612812642852603</v>
      </c>
      <c r="CO119" s="69">
        <f>CO113-CO117/0.65</f>
        <v>157.16153846153838</v>
      </c>
      <c r="CP119" s="61">
        <f t="shared" si="777"/>
        <v>28.902208201892687</v>
      </c>
      <c r="CQ119" s="69">
        <f>CQ113-CQ117/0.65</f>
        <v>113.84615384615384</v>
      </c>
      <c r="CR119" s="61">
        <f t="shared" si="778"/>
        <v>-3.3879496050655766</v>
      </c>
      <c r="CS119" s="69">
        <f>CS113-CS117/0.65</f>
        <v>155</v>
      </c>
      <c r="CT119" s="61">
        <f t="shared" si="779"/>
        <v>2.0925165932005996</v>
      </c>
      <c r="CU119" s="69">
        <f>CU113-CU117/0.65</f>
        <v>162</v>
      </c>
      <c r="CV119" s="61">
        <f t="shared" si="780"/>
        <v>3.7080809573053042</v>
      </c>
      <c r="CW119" s="69">
        <f>CW113-CW117/0.65</f>
        <v>177.53846153846155</v>
      </c>
      <c r="CX119" s="61">
        <f t="shared" si="781"/>
        <v>12.965591503108076</v>
      </c>
      <c r="CY119" s="69">
        <f>CY113-CY117/0.65</f>
        <v>186.84615384615384</v>
      </c>
      <c r="CZ119" s="61">
        <f t="shared" si="782"/>
        <v>64.121621621621628</v>
      </c>
      <c r="DA119" s="69">
        <f>DA113-DA117/0.65</f>
        <v>173.69230769230768</v>
      </c>
      <c r="DB119" s="61">
        <f t="shared" si="783"/>
        <v>12.059553349875918</v>
      </c>
      <c r="DC119" s="69">
        <f>DC113-DC117/0.65</f>
        <v>194</v>
      </c>
      <c r="DD119" s="61">
        <f t="shared" si="784"/>
        <v>19.753086419753085</v>
      </c>
      <c r="DE119" s="69">
        <f>DE113-DE117/0.65</f>
        <v>229.15384615384616</v>
      </c>
      <c r="DF119" s="61">
        <f t="shared" si="785"/>
        <v>29.072790294627371</v>
      </c>
      <c r="DG119" s="69">
        <f>DG113-DG117/0.65</f>
        <v>232.84615384615384</v>
      </c>
      <c r="DH119" s="61">
        <f t="shared" si="786"/>
        <v>24.619184849732399</v>
      </c>
      <c r="DI119" s="69">
        <f>DI113-DI117/0.65</f>
        <v>256.61538461538464</v>
      </c>
      <c r="DJ119" s="61">
        <f t="shared" si="787"/>
        <v>47.741364038972577</v>
      </c>
      <c r="DK119" s="69">
        <f>DK113-DK117/0.65</f>
        <v>266</v>
      </c>
      <c r="DL119" s="61">
        <f t="shared" si="788"/>
        <v>37.113402061855673</v>
      </c>
      <c r="DM119" s="69">
        <f>DM113-DM117/0.65</f>
        <v>286</v>
      </c>
      <c r="DN119" s="61">
        <f t="shared" si="789"/>
        <v>24.806982208794892</v>
      </c>
      <c r="DO119" s="69">
        <f>DO113-DO117/0.65</f>
        <v>296.53846153846155</v>
      </c>
      <c r="DP119" s="61">
        <f t="shared" si="789"/>
        <v>27.353815659068381</v>
      </c>
      <c r="DQ119" s="69">
        <f>DQ113-DQ117/0.65</f>
        <v>297</v>
      </c>
      <c r="DR119" s="61">
        <f t="shared" si="789"/>
        <v>15.737410071942426</v>
      </c>
      <c r="DS119" s="69">
        <f>DS113-DS117/0.65</f>
        <v>293</v>
      </c>
      <c r="DT119" s="61">
        <f t="shared" si="789"/>
        <v>10.150375939849621</v>
      </c>
      <c r="DU119" s="69">
        <f>DU113-DU117/0.65</f>
        <v>328</v>
      </c>
      <c r="DV119" s="61">
        <f t="shared" si="789"/>
        <v>14.685314685314687</v>
      </c>
      <c r="DW119" s="69">
        <f>DW113-DW117/0.65</f>
        <v>320.30769230769232</v>
      </c>
      <c r="DX119" s="69">
        <f t="shared" ref="DX119:DY119" si="843">DX113-DX117/0.65</f>
        <v>320.30769230769232</v>
      </c>
      <c r="DY119" s="69">
        <f t="shared" si="843"/>
        <v>309</v>
      </c>
      <c r="DZ119" s="61">
        <f t="shared" si="789"/>
        <v>4.0404040404040442</v>
      </c>
      <c r="EA119" s="69">
        <f t="shared" ref="EA119:EC119" si="844">EA113-EA117/0.65</f>
        <v>278.15384615384613</v>
      </c>
      <c r="EB119" s="61">
        <f t="shared" si="792"/>
        <v>-5.0669467051719703</v>
      </c>
      <c r="EC119" s="69">
        <f t="shared" si="844"/>
        <v>296</v>
      </c>
      <c r="ED119" s="61">
        <f t="shared" si="793"/>
        <v>-9.7560975609756078</v>
      </c>
      <c r="EE119" s="69">
        <f t="shared" ref="EE119:EG119" si="845">EE113-EE117/0.65</f>
        <v>313.61538461538464</v>
      </c>
      <c r="EF119" s="61">
        <f t="shared" si="795"/>
        <v>-2.089337175792505</v>
      </c>
      <c r="EG119" s="69">
        <f t="shared" si="845"/>
        <v>306</v>
      </c>
      <c r="EH119" s="61">
        <f t="shared" si="796"/>
        <v>-0.97087378640776656</v>
      </c>
      <c r="EI119" s="69">
        <f t="shared" ref="EI119:EK119" si="846">EI113-EI117/0.65</f>
        <v>216.92307692307693</v>
      </c>
      <c r="EJ119" s="61">
        <f t="shared" si="798"/>
        <v>-22.013274336283175</v>
      </c>
      <c r="EK119" s="69">
        <f t="shared" si="846"/>
        <v>310</v>
      </c>
      <c r="EL119" s="61">
        <f t="shared" si="799"/>
        <v>4.7297297297297369</v>
      </c>
      <c r="EM119" s="69">
        <f t="shared" ref="EM119" si="847">EM113-EM117/0.65</f>
        <v>326.92307692307691</v>
      </c>
      <c r="EN119" s="61">
        <f t="shared" si="801"/>
        <v>4.2433161638459449</v>
      </c>
      <c r="EO119" s="69">
        <f t="shared" ref="EO119" si="848">EO113-EO117/0.65</f>
        <v>333</v>
      </c>
      <c r="EP119" s="61">
        <f t="shared" si="803"/>
        <v>8.8235294117646959</v>
      </c>
      <c r="EQ119" s="69">
        <f t="shared" ref="EQ119:EW119" si="849">EQ113-EQ117/0.65</f>
        <v>329.9493323058141</v>
      </c>
      <c r="ER119" s="61">
        <f t="shared" si="805"/>
        <v>52.104302126793733</v>
      </c>
      <c r="ES119" s="69">
        <f t="shared" si="849"/>
        <v>329.21500372772516</v>
      </c>
      <c r="ET119" s="61">
        <f t="shared" si="806"/>
        <v>6.1983882992661776</v>
      </c>
      <c r="EU119" s="69">
        <f t="shared" si="849"/>
        <v>333.60108321364203</v>
      </c>
      <c r="EV119" s="61">
        <f t="shared" si="807"/>
        <v>2.0426842771140485</v>
      </c>
      <c r="EW119" s="69">
        <f t="shared" si="849"/>
        <v>338.64063631417412</v>
      </c>
      <c r="EX119" s="61">
        <f t="shared" si="808"/>
        <v>1.6938847790312739</v>
      </c>
      <c r="EY119" s="69"/>
      <c r="EZ119" s="558"/>
      <c r="FA119" s="69"/>
      <c r="FB119" s="69"/>
      <c r="FC119" s="124"/>
      <c r="FD119" s="69"/>
      <c r="FE119" s="126"/>
      <c r="FF119" s="69"/>
      <c r="FG119" s="126"/>
      <c r="FH119" s="69"/>
      <c r="FI119" s="126"/>
      <c r="FJ119" s="69"/>
      <c r="FK119" s="126"/>
      <c r="FL119" s="69"/>
      <c r="FM119" s="126"/>
      <c r="FN119" s="69">
        <f>FN113-FN117/0.65</f>
        <v>262</v>
      </c>
      <c r="FO119" s="126"/>
      <c r="FP119" s="69">
        <f>FP113-FP117/0.65</f>
        <v>290.63076923076932</v>
      </c>
      <c r="FQ119" s="61">
        <f t="shared" si="809"/>
        <v>10.927774515560817</v>
      </c>
      <c r="FR119" s="69">
        <f>FR113-FR117/0.65</f>
        <v>426.27692307692291</v>
      </c>
      <c r="FS119" s="61">
        <f t="shared" si="810"/>
        <v>46.673018897887772</v>
      </c>
      <c r="FT119" s="69">
        <f>FT113-FT117/0.65</f>
        <v>705.53846153846109</v>
      </c>
      <c r="FU119" s="61">
        <f t="shared" si="811"/>
        <v>65.511765555074291</v>
      </c>
      <c r="FV119" s="69">
        <f>FV113-FV117/0.65</f>
        <v>483.01538461538513</v>
      </c>
      <c r="FW119" s="61">
        <f t="shared" si="812"/>
        <v>-31.539467945922262</v>
      </c>
      <c r="FX119" s="69">
        <f>FX113-FX117/0.65</f>
        <v>342.56153846153882</v>
      </c>
      <c r="FY119" s="61">
        <f t="shared" si="813"/>
        <v>-29.078545037584401</v>
      </c>
      <c r="FZ119" s="69">
        <f>FZ113-FZ117/0.65</f>
        <v>509.37692307692328</v>
      </c>
      <c r="GA119" s="61">
        <f t="shared" si="814"/>
        <v>48.696472278984039</v>
      </c>
      <c r="GB119" s="69">
        <f>GB113-GB117/0.65</f>
        <v>582.21538461538501</v>
      </c>
      <c r="GC119" s="61">
        <f t="shared" si="815"/>
        <v>14.299521285431705</v>
      </c>
      <c r="GD119" s="69">
        <f>GD113-GD117/0.65</f>
        <v>700.07692307692309</v>
      </c>
      <c r="GE119" s="61">
        <f t="shared" si="816"/>
        <v>20.243631751400404</v>
      </c>
      <c r="GF119" s="69">
        <f>GF113-GF117/0.65</f>
        <v>912.61538461538464</v>
      </c>
      <c r="GG119" s="61">
        <f t="shared" si="817"/>
        <v>30.359301175694988</v>
      </c>
      <c r="GH119" s="69">
        <f>GH113-GH117/0.65</f>
        <v>1145.5384615384614</v>
      </c>
      <c r="GI119" s="61">
        <f t="shared" si="817"/>
        <v>25.522589345920423</v>
      </c>
      <c r="GJ119" s="69">
        <f>GJ113-GJ117/0.65</f>
        <v>1250.3076923076924</v>
      </c>
      <c r="GK119" s="61">
        <f t="shared" si="817"/>
        <v>9.1458501208702803</v>
      </c>
      <c r="GL119" s="69">
        <f>GL113-GL117/0.65</f>
        <v>1193.7692307692307</v>
      </c>
      <c r="GM119" s="61">
        <f t="shared" si="817"/>
        <v>-4.5219638242894096</v>
      </c>
      <c r="GN119" s="69">
        <f>GN113-GN117/0.65</f>
        <v>1186.8461538461538</v>
      </c>
      <c r="GO119" s="61">
        <f t="shared" si="817"/>
        <v>-0.57993427411560106</v>
      </c>
      <c r="GP119" s="69">
        <f>GP113-GP117/0.65</f>
        <v>1331.4060555613546</v>
      </c>
      <c r="GQ119" s="61">
        <f t="shared" si="817"/>
        <v>12.180171899005842</v>
      </c>
      <c r="GR119" s="69">
        <f>GR113-GR117/0.65</f>
        <v>1389.8463225892756</v>
      </c>
      <c r="GS119" s="61">
        <f t="shared" si="817"/>
        <v>4.3893646708164535</v>
      </c>
      <c r="GT119" s="69">
        <f>GT113-GT117/0.65</f>
        <v>1471.3636280729934</v>
      </c>
      <c r="GU119" s="61">
        <f t="shared" si="817"/>
        <v>5.8652028039942961</v>
      </c>
      <c r="GV119" s="69">
        <f>GV113-GV117/0.65</f>
        <v>1563.1537331065001</v>
      </c>
      <c r="GW119" s="61">
        <f t="shared" si="817"/>
        <v>6.2384378193255818</v>
      </c>
      <c r="GX119" s="69">
        <f>GX113-GX117/0.65</f>
        <v>1666.4328021309575</v>
      </c>
      <c r="GY119" s="61">
        <f t="shared" si="818"/>
        <v>6.6070960800002743</v>
      </c>
      <c r="GZ119" s="61">
        <f t="shared" si="651"/>
        <v>7.023383228026514</v>
      </c>
      <c r="HA119" s="61"/>
      <c r="HB119" s="452"/>
      <c r="HC119"/>
      <c r="HD119"/>
      <c r="HE119"/>
      <c r="HF119"/>
      <c r="HG119"/>
      <c r="HH119"/>
    </row>
    <row r="120" spans="1:216" s="76" customFormat="1" ht="12.75" customHeight="1" x14ac:dyDescent="0.2">
      <c r="B120" s="136"/>
      <c r="C120" s="137"/>
      <c r="D120" s="78"/>
      <c r="E120" s="137"/>
      <c r="F120" s="79"/>
      <c r="G120" s="137"/>
      <c r="H120" s="79"/>
      <c r="I120" s="137"/>
      <c r="J120" s="80"/>
      <c r="K120" s="137"/>
      <c r="L120" s="61"/>
      <c r="M120" s="137"/>
      <c r="N120" s="61"/>
      <c r="O120" s="137"/>
      <c r="P120" s="61"/>
      <c r="Q120" s="137"/>
      <c r="R120" s="61"/>
      <c r="S120" s="137"/>
      <c r="T120" s="61"/>
      <c r="U120" s="137"/>
      <c r="V120" s="61"/>
      <c r="W120" s="137"/>
      <c r="X120" s="61"/>
      <c r="Y120" s="137"/>
      <c r="Z120" s="61"/>
      <c r="AA120" s="137"/>
      <c r="AB120" s="61"/>
      <c r="AC120" s="137"/>
      <c r="AD120" s="61"/>
      <c r="AE120" s="137"/>
      <c r="AF120" s="61"/>
      <c r="AG120" s="137"/>
      <c r="AH120" s="61"/>
      <c r="AI120" s="137"/>
      <c r="AJ120" s="61"/>
      <c r="AK120" s="137"/>
      <c r="AL120" s="61"/>
      <c r="AM120" s="137"/>
      <c r="AN120" s="61"/>
      <c r="AO120" s="137"/>
      <c r="AP120" s="126"/>
      <c r="AQ120" s="137"/>
      <c r="AR120" s="126"/>
      <c r="AS120" s="137"/>
      <c r="AT120" s="126"/>
      <c r="AU120" s="137"/>
      <c r="AV120" s="61"/>
      <c r="AW120" s="137"/>
      <c r="AX120" s="61"/>
      <c r="AY120" s="137"/>
      <c r="AZ120" s="61"/>
      <c r="BA120" s="137"/>
      <c r="BB120" s="61"/>
      <c r="BC120" s="137"/>
      <c r="BD120" s="61"/>
      <c r="BE120" s="137"/>
      <c r="BF120" s="61"/>
      <c r="BG120" s="137"/>
      <c r="BH120" s="61"/>
      <c r="BI120" s="137"/>
      <c r="BJ120" s="61"/>
      <c r="BK120" s="137"/>
      <c r="BL120" s="61"/>
      <c r="BM120" s="137"/>
      <c r="BN120" s="61"/>
      <c r="BO120" s="137"/>
      <c r="BP120" s="61"/>
      <c r="BQ120" s="137"/>
      <c r="BR120" s="61"/>
      <c r="BS120" s="137"/>
      <c r="BT120" s="61"/>
      <c r="BU120" s="137"/>
      <c r="BV120" s="61"/>
      <c r="BW120" s="137"/>
      <c r="BX120" s="61"/>
      <c r="BY120" s="137"/>
      <c r="BZ120" s="61"/>
      <c r="CA120" s="137"/>
      <c r="CB120" s="61"/>
      <c r="CC120" s="137"/>
      <c r="CD120" s="61"/>
      <c r="CE120" s="137"/>
      <c r="CF120" s="61"/>
      <c r="CG120" s="137"/>
      <c r="CH120" s="61"/>
      <c r="CI120" s="137"/>
      <c r="CJ120" s="61"/>
      <c r="CK120" s="137"/>
      <c r="CL120" s="61"/>
      <c r="CM120" s="137"/>
      <c r="CN120" s="61"/>
      <c r="CO120" s="137"/>
      <c r="CP120" s="61"/>
      <c r="CQ120" s="137"/>
      <c r="CR120" s="61"/>
      <c r="CS120" s="137"/>
      <c r="CT120" s="61"/>
      <c r="CU120" s="137"/>
      <c r="CV120" s="61"/>
      <c r="CW120" s="137"/>
      <c r="CX120" s="61"/>
      <c r="CY120" s="137"/>
      <c r="CZ120" s="61"/>
      <c r="DA120" s="137"/>
      <c r="DB120" s="61"/>
      <c r="DC120" s="137"/>
      <c r="DD120" s="61"/>
      <c r="DE120" s="137"/>
      <c r="DF120" s="61"/>
      <c r="DG120" s="137"/>
      <c r="DH120" s="61"/>
      <c r="DI120" s="137"/>
      <c r="DJ120" s="61"/>
      <c r="DK120" s="137"/>
      <c r="DL120" s="61"/>
      <c r="DM120" s="137"/>
      <c r="DN120" s="61"/>
      <c r="DO120" s="137"/>
      <c r="DP120" s="61"/>
      <c r="DQ120" s="137"/>
      <c r="DR120" s="61"/>
      <c r="DS120" s="137"/>
      <c r="DT120" s="61"/>
      <c r="DU120" s="137"/>
      <c r="DV120" s="61"/>
      <c r="DW120" s="137"/>
      <c r="DX120" s="137"/>
      <c r="DY120" s="137"/>
      <c r="DZ120" s="61"/>
      <c r="EA120" s="137"/>
      <c r="EB120" s="61"/>
      <c r="EC120" s="137"/>
      <c r="ED120" s="61"/>
      <c r="EE120" s="137"/>
      <c r="EF120" s="61"/>
      <c r="EG120" s="137"/>
      <c r="EH120" s="61"/>
      <c r="EI120" s="137"/>
      <c r="EJ120" s="61"/>
      <c r="EK120" s="137"/>
      <c r="EL120" s="61"/>
      <c r="EM120" s="137"/>
      <c r="EN120" s="61"/>
      <c r="EO120" s="137"/>
      <c r="EP120" s="61"/>
      <c r="EQ120" s="137"/>
      <c r="ER120" s="61"/>
      <c r="ES120" s="137"/>
      <c r="ET120" s="61"/>
      <c r="EU120" s="137"/>
      <c r="EV120" s="61"/>
      <c r="EW120" s="137"/>
      <c r="EX120" s="61"/>
      <c r="EY120" s="79"/>
      <c r="EZ120" s="558"/>
      <c r="FA120" s="79"/>
      <c r="FB120" s="137"/>
      <c r="FC120" s="79"/>
      <c r="FD120" s="137"/>
      <c r="FE120" s="78"/>
      <c r="FF120" s="137"/>
      <c r="FG120" s="78"/>
      <c r="FH120" s="137"/>
      <c r="FI120" s="78"/>
      <c r="FJ120" s="137"/>
      <c r="FK120" s="78"/>
      <c r="FL120" s="137"/>
      <c r="FM120" s="61"/>
      <c r="FN120" s="104"/>
      <c r="FO120" s="61"/>
      <c r="FP120" s="104"/>
      <c r="FQ120" s="61"/>
      <c r="FR120" s="104"/>
      <c r="FS120" s="61"/>
      <c r="FT120" s="104"/>
      <c r="FU120" s="61"/>
      <c r="FV120" s="104"/>
      <c r="FW120" s="61"/>
      <c r="FX120" s="104"/>
      <c r="FY120" s="61"/>
      <c r="FZ120" s="104"/>
      <c r="GA120" s="61"/>
      <c r="GB120" s="104"/>
      <c r="GC120" s="61"/>
      <c r="GD120" s="104"/>
      <c r="GE120" s="61"/>
      <c r="GF120" s="104"/>
      <c r="GG120" s="61"/>
      <c r="GH120" s="104"/>
      <c r="GI120" s="61"/>
      <c r="GJ120" s="104"/>
      <c r="GK120" s="61"/>
      <c r="GL120" s="104"/>
      <c r="GM120" s="61"/>
      <c r="GN120" s="104"/>
      <c r="GO120" s="61"/>
      <c r="GP120" s="104"/>
      <c r="GQ120" s="61"/>
      <c r="GR120" s="137"/>
      <c r="GS120" s="61"/>
      <c r="GT120" s="137"/>
      <c r="GU120" s="61"/>
      <c r="GV120" s="137"/>
      <c r="GW120" s="61"/>
      <c r="GX120" s="137"/>
      <c r="GY120" s="61"/>
      <c r="GZ120" s="61" t="str">
        <f t="shared" si="651"/>
        <v/>
      </c>
      <c r="HA120" s="61"/>
      <c r="HB120" s="452"/>
      <c r="HC120"/>
      <c r="HD120"/>
      <c r="HE120"/>
      <c r="HF120"/>
      <c r="HG120"/>
      <c r="HH120"/>
    </row>
    <row r="121" spans="1:216" s="5" customFormat="1" ht="12.75" customHeight="1" x14ac:dyDescent="0.2">
      <c r="B121" s="63" t="s">
        <v>161</v>
      </c>
      <c r="C121" s="66"/>
      <c r="D121" s="67"/>
      <c r="E121" s="66"/>
      <c r="F121" s="66"/>
      <c r="G121" s="64"/>
      <c r="H121" s="66"/>
      <c r="I121" s="64"/>
      <c r="J121" s="66"/>
      <c r="K121" s="64"/>
      <c r="L121" s="61"/>
      <c r="M121" s="66"/>
      <c r="N121" s="61"/>
      <c r="O121" s="64"/>
      <c r="P121" s="61"/>
      <c r="Q121" s="64"/>
      <c r="R121" s="61"/>
      <c r="S121" s="64"/>
      <c r="T121" s="61"/>
      <c r="U121" s="64"/>
      <c r="V121" s="61"/>
      <c r="W121" s="64"/>
      <c r="X121" s="61"/>
      <c r="Y121" s="64"/>
      <c r="Z121" s="61"/>
      <c r="AA121" s="64"/>
      <c r="AB121" s="61"/>
      <c r="AC121" s="64"/>
      <c r="AD121" s="61"/>
      <c r="AE121" s="64"/>
      <c r="AF121" s="61"/>
      <c r="AG121" s="64"/>
      <c r="AH121" s="61"/>
      <c r="AI121" s="64"/>
      <c r="AJ121" s="61"/>
      <c r="AK121" s="64"/>
      <c r="AL121" s="61"/>
      <c r="AM121" s="64"/>
      <c r="AN121" s="61"/>
      <c r="AO121" s="64"/>
      <c r="AP121" s="61"/>
      <c r="AQ121" s="64"/>
      <c r="AR121" s="61"/>
      <c r="AS121" s="64"/>
      <c r="AT121" s="61"/>
      <c r="AU121" s="64"/>
      <c r="AV121" s="61"/>
      <c r="AW121" s="64"/>
      <c r="AX121" s="61"/>
      <c r="AY121" s="64"/>
      <c r="AZ121" s="61"/>
      <c r="BA121" s="64"/>
      <c r="BB121" s="61"/>
      <c r="BC121" s="64"/>
      <c r="BD121" s="61"/>
      <c r="BE121" s="64"/>
      <c r="BF121" s="61"/>
      <c r="BG121" s="64"/>
      <c r="BH121" s="61"/>
      <c r="BI121" s="64"/>
      <c r="BJ121" s="61"/>
      <c r="BK121" s="64"/>
      <c r="BL121" s="61"/>
      <c r="BM121" s="64"/>
      <c r="BN121" s="61"/>
      <c r="BO121" s="64"/>
      <c r="BP121" s="61"/>
      <c r="BQ121" s="64"/>
      <c r="BR121" s="61"/>
      <c r="BS121" s="64"/>
      <c r="BT121" s="61"/>
      <c r="BU121" s="64"/>
      <c r="BV121" s="61"/>
      <c r="BW121" s="64"/>
      <c r="BX121" s="61"/>
      <c r="BY121" s="64"/>
      <c r="BZ121" s="61"/>
      <c r="CA121" s="64"/>
      <c r="CB121" s="61"/>
      <c r="CC121" s="64"/>
      <c r="CD121" s="61"/>
      <c r="CE121" s="64"/>
      <c r="CF121" s="61"/>
      <c r="CG121" s="64"/>
      <c r="CH121" s="61"/>
      <c r="CI121" s="64"/>
      <c r="CJ121" s="61"/>
      <c r="CK121" s="64"/>
      <c r="CL121" s="61"/>
      <c r="CM121" s="64"/>
      <c r="CN121" s="61"/>
      <c r="CO121" s="64"/>
      <c r="CP121" s="61"/>
      <c r="CQ121" s="64"/>
      <c r="CR121" s="61"/>
      <c r="CS121" s="64"/>
      <c r="CT121" s="61"/>
      <c r="CU121" s="64"/>
      <c r="CV121" s="61"/>
      <c r="CW121" s="64"/>
      <c r="CX121" s="61"/>
      <c r="CY121" s="64"/>
      <c r="CZ121" s="61"/>
      <c r="DA121" s="64"/>
      <c r="DB121" s="61"/>
      <c r="DC121" s="64"/>
      <c r="DD121" s="61"/>
      <c r="DE121" s="64"/>
      <c r="DF121" s="61"/>
      <c r="DG121" s="64"/>
      <c r="DH121" s="61"/>
      <c r="DI121" s="64"/>
      <c r="DJ121" s="61"/>
      <c r="DK121" s="64"/>
      <c r="DL121" s="61"/>
      <c r="DM121" s="64"/>
      <c r="DN121" s="61"/>
      <c r="DO121" s="64"/>
      <c r="DP121" s="61"/>
      <c r="DQ121" s="64"/>
      <c r="DR121" s="61"/>
      <c r="DS121" s="64"/>
      <c r="DT121" s="61"/>
      <c r="DU121" s="64"/>
      <c r="DV121" s="61"/>
      <c r="DW121" s="64"/>
      <c r="DX121" s="64"/>
      <c r="DY121" s="64"/>
      <c r="DZ121" s="61"/>
      <c r="EA121" s="64"/>
      <c r="EB121" s="61"/>
      <c r="EC121" s="64"/>
      <c r="ED121" s="61"/>
      <c r="EE121" s="64"/>
      <c r="EF121" s="61"/>
      <c r="EG121" s="64"/>
      <c r="EH121" s="61"/>
      <c r="EI121" s="64"/>
      <c r="EJ121" s="61"/>
      <c r="EK121" s="64"/>
      <c r="EL121" s="61"/>
      <c r="EM121" s="64"/>
      <c r="EN121" s="61"/>
      <c r="EO121" s="64"/>
      <c r="EP121" s="61"/>
      <c r="EQ121" s="64"/>
      <c r="ER121" s="61"/>
      <c r="ES121" s="64"/>
      <c r="ET121" s="61"/>
      <c r="EU121" s="64"/>
      <c r="EV121" s="61"/>
      <c r="EW121" s="64"/>
      <c r="EX121" s="61"/>
      <c r="EY121" s="64"/>
      <c r="EZ121" s="558"/>
      <c r="FA121" s="64"/>
      <c r="FB121" s="66"/>
      <c r="FC121" s="66"/>
      <c r="FD121" s="66"/>
      <c r="FE121" s="67"/>
      <c r="FF121" s="66"/>
      <c r="FG121" s="67"/>
      <c r="FH121" s="66"/>
      <c r="FI121" s="67"/>
      <c r="FJ121" s="66"/>
      <c r="FK121" s="67"/>
      <c r="FL121" s="66"/>
      <c r="FM121" s="61"/>
      <c r="FN121" s="65"/>
      <c r="FO121" s="61"/>
      <c r="FP121" s="65"/>
      <c r="FQ121" s="61"/>
      <c r="FR121" s="65"/>
      <c r="FS121" s="61"/>
      <c r="FT121" s="65"/>
      <c r="FU121" s="61"/>
      <c r="FV121" s="65"/>
      <c r="FW121" s="61"/>
      <c r="FX121" s="65"/>
      <c r="FY121" s="61"/>
      <c r="FZ121" s="65"/>
      <c r="GA121" s="61"/>
      <c r="GB121" s="65"/>
      <c r="GC121" s="61"/>
      <c r="GD121" s="65"/>
      <c r="GE121" s="61"/>
      <c r="GF121" s="65"/>
      <c r="GG121" s="61"/>
      <c r="GH121" s="65"/>
      <c r="GI121" s="61"/>
      <c r="GJ121" s="65"/>
      <c r="GK121" s="61"/>
      <c r="GL121" s="65"/>
      <c r="GM121" s="61"/>
      <c r="GN121" s="65"/>
      <c r="GO121" s="61"/>
      <c r="GP121" s="65"/>
      <c r="GQ121" s="61"/>
      <c r="GR121" s="64"/>
      <c r="GS121" s="61"/>
      <c r="GT121" s="64"/>
      <c r="GU121" s="61"/>
      <c r="GV121" s="64"/>
      <c r="GW121" s="61"/>
      <c r="GX121" s="64"/>
      <c r="GY121" s="61"/>
      <c r="GZ121" s="61" t="str">
        <f t="shared" si="651"/>
        <v/>
      </c>
      <c r="HA121" s="61"/>
      <c r="HB121" s="452"/>
      <c r="HC121"/>
      <c r="HD121"/>
      <c r="HE121"/>
      <c r="HF121"/>
      <c r="HG121"/>
      <c r="HH121"/>
    </row>
    <row r="122" spans="1:216" s="5" customFormat="1" ht="12.75" customHeight="1" x14ac:dyDescent="0.2">
      <c r="B122" s="2" t="s">
        <v>266</v>
      </c>
      <c r="C122" s="81"/>
      <c r="D122" s="70"/>
      <c r="E122" s="81"/>
      <c r="F122" s="71"/>
      <c r="G122" s="81"/>
      <c r="H122" s="71"/>
      <c r="I122" s="81"/>
      <c r="J122" s="61"/>
      <c r="K122" s="81"/>
      <c r="L122" s="61"/>
      <c r="M122" s="81"/>
      <c r="N122" s="61"/>
      <c r="O122" s="81"/>
      <c r="P122" s="61"/>
      <c r="Q122" s="81"/>
      <c r="R122" s="61"/>
      <c r="S122" s="81"/>
      <c r="T122" s="61"/>
      <c r="U122" s="81"/>
      <c r="V122" s="61"/>
      <c r="W122" s="81"/>
      <c r="X122" s="61"/>
      <c r="Y122" s="81"/>
      <c r="Z122" s="61"/>
      <c r="AA122" s="81"/>
      <c r="AB122" s="61"/>
      <c r="AC122" s="81"/>
      <c r="AD122" s="61"/>
      <c r="AE122" s="81"/>
      <c r="AF122" s="61"/>
      <c r="AG122" s="81"/>
      <c r="AH122" s="61"/>
      <c r="AI122" s="81"/>
      <c r="AJ122" s="61"/>
      <c r="AK122" s="81"/>
      <c r="AL122" s="61"/>
      <c r="AM122" s="81"/>
      <c r="AN122" s="61"/>
      <c r="AO122" s="81"/>
      <c r="AP122" s="61"/>
      <c r="AQ122" s="81">
        <f>AQ116/AQ86*100</f>
        <v>14.626250735726906</v>
      </c>
      <c r="AR122" s="61"/>
      <c r="AS122" s="81">
        <f>AS116/AS86*100</f>
        <v>15.077541642734058</v>
      </c>
      <c r="AT122" s="61"/>
      <c r="AU122" s="81">
        <f>AU116/AU86*100</f>
        <v>21.799116997792485</v>
      </c>
      <c r="AV122" s="61"/>
      <c r="AW122" s="81">
        <f>AW116/AW86*100</f>
        <v>19.054017737167435</v>
      </c>
      <c r="AX122" s="61"/>
      <c r="AY122" s="81">
        <f>AY116/AY86*100</f>
        <v>17.716115261472783</v>
      </c>
      <c r="AZ122" s="61"/>
      <c r="BA122" s="81">
        <f>BA116/BA86*100</f>
        <v>16.123778501628667</v>
      </c>
      <c r="BB122" s="61"/>
      <c r="BC122" s="81">
        <f>BC116/BC86*100</f>
        <v>21.693210393964801</v>
      </c>
      <c r="BD122" s="61"/>
      <c r="BE122" s="81">
        <f>BE116/BE86*100</f>
        <v>19.41001098383806</v>
      </c>
      <c r="BF122" s="61"/>
      <c r="BG122" s="81">
        <f>BG116/BG86*100</f>
        <v>19.766260162601622</v>
      </c>
      <c r="BH122" s="61"/>
      <c r="BI122" s="81">
        <f>BI116/BI86*100</f>
        <v>19.801186467853132</v>
      </c>
      <c r="BJ122" s="61"/>
      <c r="BK122" s="81">
        <f>BK116/BK86*100</f>
        <v>19.459041731066463</v>
      </c>
      <c r="BL122" s="61"/>
      <c r="BM122" s="81">
        <f>BM116/BM86*100</f>
        <v>17.685557042986748</v>
      </c>
      <c r="BN122" s="61"/>
      <c r="BO122" s="81">
        <f>BO116/BO86*100</f>
        <v>18.936716993254102</v>
      </c>
      <c r="BP122" s="61"/>
      <c r="BQ122" s="81">
        <f>BQ116/BQ86*100</f>
        <v>18.781315661871677</v>
      </c>
      <c r="BR122" s="61"/>
      <c r="BS122" s="81">
        <f>BS116/BS86*100</f>
        <v>19.386848341232231</v>
      </c>
      <c r="BT122" s="61"/>
      <c r="BU122" s="81">
        <f>BU116/BU86*100</f>
        <v>-30.266173100652232</v>
      </c>
      <c r="BV122" s="61"/>
      <c r="BW122" s="81">
        <f>BW116/BW86*100</f>
        <v>14.165229058846082</v>
      </c>
      <c r="BX122" s="61"/>
      <c r="BY122" s="81">
        <f>BY116/BY86*100</f>
        <v>11.837104072398194</v>
      </c>
      <c r="BZ122" s="61"/>
      <c r="CA122" s="81">
        <f>CA116/CA86*100</f>
        <v>15.797392176529588</v>
      </c>
      <c r="CB122" s="61"/>
      <c r="CC122" s="81">
        <f>CC116/CC86*100</f>
        <v>19.033232628398789</v>
      </c>
      <c r="CD122" s="61"/>
      <c r="CE122" s="81">
        <f>CE116/CE86*100</f>
        <v>18.844260993808533</v>
      </c>
      <c r="CF122" s="61"/>
      <c r="CG122" s="81">
        <f>CG116/CG86*100</f>
        <v>18.057710207880856</v>
      </c>
      <c r="CH122" s="61"/>
      <c r="CI122" s="81">
        <f>CI116/CI86*100</f>
        <v>19.097379978797509</v>
      </c>
      <c r="CJ122" s="61"/>
      <c r="CK122" s="81">
        <f>CK116/CK86*100</f>
        <v>17.11348798444228</v>
      </c>
      <c r="CL122" s="61"/>
      <c r="CM122" s="81">
        <f>CM116/CM86*100</f>
        <v>19.639934533551564</v>
      </c>
      <c r="CN122" s="61"/>
      <c r="CO122" s="81">
        <f>CO116/CO86*100</f>
        <v>19.706042460533467</v>
      </c>
      <c r="CP122" s="61"/>
      <c r="CQ122" s="81">
        <f>CQ116/CQ86*100</f>
        <v>21.56118143459916</v>
      </c>
      <c r="CR122" s="61"/>
      <c r="CS122" s="81">
        <f>CS116/CS86*100</f>
        <v>18.930635838150287</v>
      </c>
      <c r="CT122" s="61"/>
      <c r="CU122" s="81">
        <f>CU116/CU86*100</f>
        <v>18.741450068399455</v>
      </c>
      <c r="CV122" s="61"/>
      <c r="CW122" s="81">
        <f>CW116/CW86*100</f>
        <v>21.525885558583106</v>
      </c>
      <c r="CX122" s="61"/>
      <c r="CY122" s="81">
        <f>CY116/CY86*100</f>
        <v>18.65771812080537</v>
      </c>
      <c r="CZ122" s="61"/>
      <c r="DA122" s="81">
        <f>DA116/DA86*100</f>
        <v>21.148825065274153</v>
      </c>
      <c r="DB122" s="61"/>
      <c r="DC122" s="81">
        <f>DC116/DC86*100</f>
        <v>20.463320463320464</v>
      </c>
      <c r="DD122" s="61"/>
      <c r="DE122" s="81">
        <f>DE116/DE86*100</f>
        <v>23.867809057527538</v>
      </c>
      <c r="DF122" s="61"/>
      <c r="DG122" s="81">
        <f>DG116/DG86*100</f>
        <v>23.51543942992874</v>
      </c>
      <c r="DH122" s="61"/>
      <c r="DI122" s="81">
        <f>DI116/DI86*100</f>
        <v>22.460496613995485</v>
      </c>
      <c r="DJ122" s="61"/>
      <c r="DK122" s="81">
        <f>DK116/DK86*100</f>
        <v>23.762376237623762</v>
      </c>
      <c r="DL122" s="61"/>
      <c r="DM122" s="81">
        <f>DM116/DM86*100</f>
        <v>24.514038876889849</v>
      </c>
      <c r="DN122" s="130">
        <f t="shared" ref="DN122:DZ123" si="850">IF(ISERROR((DM122/DE122-1)*100),"NA",IF(((DM122/DE122-1)*100)&gt;100,"NM",IF(((DM122/DE122-1)*100)&lt;-50,"NM",(DM122/DE122-1)*100)))</f>
        <v>2.7075372431744071</v>
      </c>
      <c r="DO122" s="81">
        <f>DO116/DO86*100</f>
        <v>25.95338983050847</v>
      </c>
      <c r="DP122" s="130">
        <f t="shared" si="850"/>
        <v>10.367445642869356</v>
      </c>
      <c r="DQ122" s="81">
        <f>DQ116/DQ86*100</f>
        <v>24.534161490683228</v>
      </c>
      <c r="DR122" s="130">
        <f t="shared" si="850"/>
        <v>9.2324978931926704</v>
      </c>
      <c r="DS122" s="81">
        <f>DS116/DS86*100</f>
        <v>24.165824064711831</v>
      </c>
      <c r="DT122" s="130">
        <f t="shared" si="850"/>
        <v>1.6978429389956196</v>
      </c>
      <c r="DU122" s="81">
        <f>DU116/DU86*100</f>
        <v>25.731584258324926</v>
      </c>
      <c r="DV122" s="130">
        <f t="shared" si="850"/>
        <v>4.9667269744884557</v>
      </c>
      <c r="DW122" s="81">
        <f>DW116/DW86*100</f>
        <v>24.433962264150942</v>
      </c>
      <c r="DX122" s="81">
        <f t="shared" ref="DX122:DY122" si="851">DX116/DX86*100</f>
        <v>24.433962264150942</v>
      </c>
      <c r="DY122" s="81">
        <f t="shared" si="851"/>
        <v>22.520852641334567</v>
      </c>
      <c r="DZ122" s="130">
        <f t="shared" si="850"/>
        <v>-8.2061449302565652</v>
      </c>
      <c r="EA122" s="81">
        <f t="shared" ref="EA122:EC122" si="852">EA116/EA86*100</f>
        <v>20.981713185755535</v>
      </c>
      <c r="EB122" s="130">
        <f t="shared" ref="EB122:EB123" si="853">IF(ISERROR((EA122/DS122-1)*100),"NA",IF(((EA122/DS122-1)*100)&gt;100,"NM",IF(((EA122/DS122-1)*100)&lt;-50,"NM",(EA122/DS122-1)*100)))</f>
        <v>-13.176090624635052</v>
      </c>
      <c r="EC122" s="81">
        <f t="shared" si="852"/>
        <v>23.906408952187181</v>
      </c>
      <c r="ED122" s="130">
        <f t="shared" ref="ED122:ED123" si="854">IF(ISERROR((EC122/DU122-1)*100),"NA",IF(((EC122/DU122-1)*100)&gt;100,"NM",IF(((EC122/DU122-1)*100)&lt;-50,"NM",(EC122/DU122-1)*100)))</f>
        <v>-7.0931322681666797</v>
      </c>
      <c r="EE122" s="81">
        <f t="shared" ref="EE122:EG122" si="855">EE116/EE86*100</f>
        <v>24</v>
      </c>
      <c r="EF122" s="130">
        <f t="shared" ref="EF122:EF123" si="856">IF(ISERROR((EE122/DW122-1)*100),"NA",IF(((EE122/DW122-1)*100)&gt;100,"NM",IF(((EE122/DW122-1)*100)&lt;-50,"NM",(EE122/DW122-1)*100)))</f>
        <v>-1.7760617760617659</v>
      </c>
      <c r="EG122" s="81">
        <f t="shared" si="855"/>
        <v>23.936696340257171</v>
      </c>
      <c r="EH122" s="130">
        <f t="shared" ref="EH122:EH123" si="857">IF(ISERROR((EG122/DY122-1)*100),"NA",IF(((EG122/DY122-1)*100)&gt;100,"NM",IF(((EG122/DY122-1)*100)&lt;-50,"NM",(EG122/DY122-1)*100)))</f>
        <v>6.2868121445987191</v>
      </c>
      <c r="EI122" s="81">
        <f t="shared" ref="EI122:EK122" si="858">EI116/EI86*100</f>
        <v>26.48444863336475</v>
      </c>
      <c r="EJ122" s="130">
        <f t="shared" ref="EJ122:EJ123" si="859">IF(ISERROR((EI122/EA122-1)*100),"NA",IF(((EI122/EA122-1)*100)&gt;100,"NM",IF(((EI122/EA122-1)*100)&lt;-50,"NM",(EI122/EA122-1)*100)))</f>
        <v>26.22634004617419</v>
      </c>
      <c r="EK122" s="81">
        <f t="shared" si="858"/>
        <v>23.3271375464684</v>
      </c>
      <c r="EL122" s="130">
        <f t="shared" ref="EL122:EL123" si="860">IF(ISERROR((EK122/EC122-1)*100),"NA",IF(((EK122/EC122-1)*100)&gt;100,"NM",IF(((EK122/EC122-1)*100)&lt;-50,"NM",(EK122/EC122-1)*100)))</f>
        <v>-2.4230799651981383</v>
      </c>
      <c r="EM122" s="81">
        <f t="shared" ref="EM122" si="861">EM116/EM86*100</f>
        <v>25.815470643056848</v>
      </c>
      <c r="EN122" s="130">
        <f t="shared" ref="EN122:EN123" si="862">IF(ISERROR((EM122/EE122-1)*100),"NA",IF(((EM122/EE122-1)*100)&gt;100,"NM",IF(((EM122/EE122-1)*100)&lt;-50,"NM",(EM122/EE122-1)*100)))</f>
        <v>7.5644610127368672</v>
      </c>
      <c r="EO122" s="81">
        <f t="shared" ref="EO122" si="863">EO116/EO86*100</f>
        <v>22.707797772065124</v>
      </c>
      <c r="EP122" s="130">
        <f t="shared" ref="EP122:EP123" si="864">IF(ISERROR((EO122/EG122-1)*100),"NA",IF(((EO122/EG122-1)*100)&gt;100,"NM",IF(((EO122/EG122-1)*100)&lt;-50,"NM",(EO122/EG122-1)*100)))</f>
        <v>-5.1339522828188429</v>
      </c>
      <c r="EQ122" s="81">
        <f t="shared" ref="EQ122:EW122" si="865">EQ116/EQ86*100</f>
        <v>25.292465311645195</v>
      </c>
      <c r="ER122" s="130">
        <f t="shared" ref="ER122:ER123" si="866">IF(ISERROR((EQ122/EI122-1)*100),"NA",IF(((EQ122/EI122-1)*100)&gt;100,"NM",IF(((EQ122/EI122-1)*100)&lt;-50,"NM",(EQ122/EI122-1)*100)))</f>
        <v>-4.500691474535401</v>
      </c>
      <c r="ES122" s="81">
        <f t="shared" si="865"/>
        <v>25.229955153712435</v>
      </c>
      <c r="ET122" s="130">
        <f t="shared" ref="ET122:ET123" si="867">IF(ISERROR((ES122/EK122-1)*100),"NA",IF(((ES122/EK122-1)*100)&gt;100,"NM",IF(((ES122/EK122-1)*100)&lt;-50,"NM",(ES122/EK122-1)*100)))</f>
        <v>8.1570985872294166</v>
      </c>
      <c r="EU122" s="81">
        <f t="shared" si="865"/>
        <v>25.219763992598114</v>
      </c>
      <c r="EV122" s="130">
        <f t="shared" ref="EV122:EV123" si="868">IF(ISERROR((EU122/EM122-1)*100),"NA",IF(((EU122/EM122-1)*100)&gt;100,"NM",IF(((EU122/EM122-1)*100)&lt;-50,"NM",(EU122/EM122-1)*100)))</f>
        <v>-2.3075568084556686</v>
      </c>
      <c r="EW122" s="81">
        <f t="shared" si="865"/>
        <v>25.20991702556168</v>
      </c>
      <c r="EX122" s="130">
        <f t="shared" ref="EX122:EX123" si="869">IF(ISERROR((EW122/EO122-1)*100),"NA",IF(((EW122/EO122-1)*100)&gt;100,"NM",IF(((EW122/EO122-1)*100)&lt;-50,"NM",(EW122/EO122-1)*100)))</f>
        <v>11.018766674831992</v>
      </c>
      <c r="EY122" s="66"/>
      <c r="EZ122" s="558"/>
      <c r="FA122" s="66"/>
      <c r="FB122" s="81"/>
      <c r="FC122" s="71"/>
      <c r="FD122" s="81"/>
      <c r="FE122" s="70"/>
      <c r="FF122" s="81"/>
      <c r="FG122" s="70"/>
      <c r="FH122" s="81"/>
      <c r="FI122" s="70"/>
      <c r="FJ122" s="81"/>
      <c r="FK122" s="70"/>
      <c r="FL122" s="81"/>
      <c r="FM122" s="61"/>
      <c r="FN122" s="88">
        <f>FN116/FN86*100</f>
        <v>15.655430711610489</v>
      </c>
      <c r="FO122" s="61"/>
      <c r="FP122" s="88">
        <f>FP116/FP86*100</f>
        <v>17.729349736379621</v>
      </c>
      <c r="FQ122" s="61"/>
      <c r="FR122" s="88">
        <f>FR116/FR86*100</f>
        <v>18.906163242642968</v>
      </c>
      <c r="FS122" s="61"/>
      <c r="FT122" s="88">
        <f>FT116/FT86*100</f>
        <v>19.144233046498758</v>
      </c>
      <c r="FU122" s="61"/>
      <c r="FV122" s="88">
        <f>FV116/FV86*100</f>
        <v>7.78243014735488</v>
      </c>
      <c r="FW122" s="61"/>
      <c r="FX122" s="88">
        <f>FX116/FX86*100</f>
        <v>15.360882979185691</v>
      </c>
      <c r="FY122" s="61"/>
      <c r="FZ122" s="88">
        <f>FZ116/FZ86*100</f>
        <v>18.24688288695522</v>
      </c>
      <c r="GA122" s="61"/>
      <c r="GB122" s="88">
        <f>GB116/GB86*100</f>
        <v>19.961685823754802</v>
      </c>
      <c r="GC122" s="61"/>
      <c r="GD122" s="88">
        <f>GD116/GD86*100</f>
        <v>20.026881720430108</v>
      </c>
      <c r="GE122" s="61"/>
      <c r="GF122" s="88">
        <f>GF116/GF86*100</f>
        <v>22.606863335340158</v>
      </c>
      <c r="GG122" s="61">
        <f t="shared" ref="GG122:GW123" si="870">IF(ISERROR((GF122/GD122-1)*100),"NA",IF(((GF122/GD122-1)*100)&gt;100,"NM",IF(((GF122/GD122-1)*100)&lt;-50,"NM",(GF122/GD122-1)*100)))</f>
        <v>12.882592761698497</v>
      </c>
      <c r="GH122" s="88">
        <f>GH116/GH86*100</f>
        <v>24.699599465954606</v>
      </c>
      <c r="GI122" s="61">
        <f t="shared" si="870"/>
        <v>9.2570831237033246</v>
      </c>
      <c r="GJ122" s="88">
        <f>GJ116/GJ86*100</f>
        <v>24.180626365622722</v>
      </c>
      <c r="GK122" s="61">
        <f t="shared" si="870"/>
        <v>-2.1011397413436828</v>
      </c>
      <c r="GL122" s="88">
        <f>GL116/GL86*100</f>
        <v>23.183734192908506</v>
      </c>
      <c r="GM122" s="61">
        <f t="shared" si="870"/>
        <v>-4.122689617881381</v>
      </c>
      <c r="GN122" s="88">
        <f>GN116/GN86*100</f>
        <v>24.537354352296092</v>
      </c>
      <c r="GO122" s="61">
        <f t="shared" si="870"/>
        <v>5.8386632115616344</v>
      </c>
      <c r="GP122" s="88">
        <f>GP116/GP86*100</f>
        <v>25.237755287407339</v>
      </c>
      <c r="GQ122" s="61">
        <f t="shared" si="870"/>
        <v>2.8544272746573007</v>
      </c>
      <c r="GR122" s="81">
        <f>GR116/GR86*100</f>
        <v>25.044738491617004</v>
      </c>
      <c r="GS122" s="61">
        <f t="shared" si="870"/>
        <v>-0.7647938320673231</v>
      </c>
      <c r="GT122" s="81">
        <f>GT116/GT86*100</f>
        <v>25.030118611294661</v>
      </c>
      <c r="GU122" s="61">
        <f t="shared" si="870"/>
        <v>-5.8375056809778503E-2</v>
      </c>
      <c r="GV122" s="81">
        <f>GV116/GV86*100</f>
        <v>25.016851367751602</v>
      </c>
      <c r="GW122" s="61">
        <f t="shared" si="870"/>
        <v>-5.3005116552151677E-2</v>
      </c>
      <c r="GX122" s="81">
        <f>GX116/GX86*100</f>
        <v>25.001386359019229</v>
      </c>
      <c r="GY122" s="61">
        <f t="shared" ref="GY122:GY123" si="871">IF(ISERROR((GX122/GV122-1)*100),"NA",IF(((GX122/GV122-1)*100)&gt;100,"NM",IF(((GX122/GV122-1)*100)&lt;-50,"NM",(GX122/GV122-1)*100)))</f>
        <v>-6.1818365968746569E-2</v>
      </c>
      <c r="GZ122" s="61">
        <f t="shared" si="651"/>
        <v>0.37539592858832904</v>
      </c>
      <c r="HA122" s="61"/>
      <c r="HB122" s="452"/>
      <c r="HC122"/>
      <c r="HD122"/>
      <c r="HE122"/>
      <c r="HF122"/>
      <c r="HG122"/>
      <c r="HH122"/>
    </row>
    <row r="123" spans="1:216" s="5" customFormat="1" ht="12.75" customHeight="1" x14ac:dyDescent="0.2">
      <c r="B123" s="2" t="s">
        <v>248</v>
      </c>
      <c r="C123" s="82"/>
      <c r="D123" s="70"/>
      <c r="E123" s="82"/>
      <c r="F123" s="71"/>
      <c r="G123" s="82"/>
      <c r="H123" s="71"/>
      <c r="I123" s="82"/>
      <c r="J123" s="61"/>
      <c r="K123" s="82"/>
      <c r="L123" s="61"/>
      <c r="M123" s="82"/>
      <c r="N123" s="61"/>
      <c r="O123" s="82"/>
      <c r="P123" s="61"/>
      <c r="Q123" s="82"/>
      <c r="R123" s="61"/>
      <c r="S123" s="82"/>
      <c r="T123" s="61"/>
      <c r="U123" s="82"/>
      <c r="V123" s="61"/>
      <c r="W123" s="82"/>
      <c r="X123" s="61"/>
      <c r="Y123" s="82"/>
      <c r="Z123" s="61"/>
      <c r="AA123" s="82"/>
      <c r="AB123" s="61"/>
      <c r="AC123" s="82"/>
      <c r="AD123" s="61"/>
      <c r="AE123" s="82"/>
      <c r="AF123" s="61"/>
      <c r="AG123" s="82"/>
      <c r="AH123" s="61"/>
      <c r="AI123" s="82"/>
      <c r="AJ123" s="61"/>
      <c r="AK123" s="82"/>
      <c r="AL123" s="61"/>
      <c r="AM123" s="82"/>
      <c r="AN123" s="61"/>
      <c r="AO123" s="82"/>
      <c r="AP123" s="61"/>
      <c r="AQ123" s="82"/>
      <c r="AR123" s="61"/>
      <c r="AS123" s="82"/>
      <c r="AT123" s="61"/>
      <c r="AU123" s="82"/>
      <c r="AV123" s="61"/>
      <c r="AW123" s="82"/>
      <c r="AX123" s="61"/>
      <c r="AY123" s="81"/>
      <c r="AZ123" s="61"/>
      <c r="BA123" s="81"/>
      <c r="BB123" s="61"/>
      <c r="BC123" s="81"/>
      <c r="BD123" s="61"/>
      <c r="BE123" s="81"/>
      <c r="BF123" s="61"/>
      <c r="BG123" s="81">
        <f>BG116/BG74*400</f>
        <v>0.69077779093169156</v>
      </c>
      <c r="BH123" s="61"/>
      <c r="BI123" s="81">
        <f>BI116/BI74*400</f>
        <v>0.69834672773666395</v>
      </c>
      <c r="BJ123" s="61"/>
      <c r="BK123" s="81">
        <f>BK116/BK74*400</f>
        <v>0.67531143979724573</v>
      </c>
      <c r="BL123" s="61"/>
      <c r="BM123" s="81">
        <f>BM116/BM74*400</f>
        <v>0.62344744414076014</v>
      </c>
      <c r="BN123" s="61"/>
      <c r="BO123" s="81">
        <f>BO116/BO74*400</f>
        <v>0.63246407520904457</v>
      </c>
      <c r="BP123" s="61"/>
      <c r="BQ123" s="81">
        <f>BQ116/BQ74*400</f>
        <v>0.63531550495144284</v>
      </c>
      <c r="BR123" s="61"/>
      <c r="BS123" s="81">
        <f>BS116/BS74*400</f>
        <v>0.74098708650274214</v>
      </c>
      <c r="BT123" s="61"/>
      <c r="BU123" s="81">
        <f>BU116/BU74*400</f>
        <v>-1.0879913822464777</v>
      </c>
      <c r="BV123" s="61"/>
      <c r="BW123" s="81">
        <f>BW116/BW74*400</f>
        <v>0.5108265505383035</v>
      </c>
      <c r="BX123" s="61"/>
      <c r="BY123" s="81">
        <f>BY116/BY74*400</f>
        <v>0.43142331763871605</v>
      </c>
      <c r="BZ123" s="61"/>
      <c r="CA123" s="81">
        <f>CA116/CA74*400</f>
        <v>0.55460187508253</v>
      </c>
      <c r="CB123" s="61"/>
      <c r="CC123" s="81">
        <f>CC116/CC74*400</f>
        <v>0.64920713477014014</v>
      </c>
      <c r="CD123" s="61"/>
      <c r="CE123" s="81">
        <f>CE116/CE74*400</f>
        <v>0.61998498351451026</v>
      </c>
      <c r="CF123" s="61"/>
      <c r="CG123" s="81">
        <f>CG116/CG74*400</f>
        <v>0.6119270576638739</v>
      </c>
      <c r="CH123" s="61"/>
      <c r="CI123" s="81">
        <f>CI116/CI74*400</f>
        <v>0.64864169747628975</v>
      </c>
      <c r="CJ123" s="61"/>
      <c r="CK123" s="81">
        <f>CK116/CK74*400</f>
        <v>0.59011956866666249</v>
      </c>
      <c r="CL123" s="61"/>
      <c r="CM123" s="81">
        <f>CM116/CM74*400</f>
        <v>0.66000550004583414</v>
      </c>
      <c r="CN123" s="61"/>
      <c r="CO123" s="81">
        <f>CO116/CO74*400</f>
        <v>0.64893086623083396</v>
      </c>
      <c r="CP123" s="61"/>
      <c r="CQ123" s="81">
        <f>CQ116/CQ74*400</f>
        <v>0.71333845187408396</v>
      </c>
      <c r="CR123" s="61"/>
      <c r="CS123" s="81">
        <f>CS116/CS74*400</f>
        <v>0.62164486757422077</v>
      </c>
      <c r="CT123" s="61"/>
      <c r="CU123" s="81">
        <f>CU116/CU74*400</f>
        <v>0.61233155295327057</v>
      </c>
      <c r="CV123" s="61"/>
      <c r="CW123" s="81">
        <f>CW116/CW74*400</f>
        <v>0.68770028454687404</v>
      </c>
      <c r="CX123" s="61"/>
      <c r="CY123" s="81">
        <f>CY116/CY74*400</f>
        <v>0.59691237412234555</v>
      </c>
      <c r="CZ123" s="61"/>
      <c r="DA123" s="81">
        <f>DA116/DA74*400</f>
        <v>0.67364218996086012</v>
      </c>
      <c r="DB123" s="61"/>
      <c r="DC123" s="81">
        <f>DC116/DC74*400</f>
        <v>0.63737034624442557</v>
      </c>
      <c r="DD123" s="61"/>
      <c r="DE123" s="81">
        <f>DE116/DE74*400</f>
        <v>0.7568590350047304</v>
      </c>
      <c r="DF123" s="61"/>
      <c r="DG123" s="81">
        <f>DG116/DG74*400</f>
        <v>0.74238284270763522</v>
      </c>
      <c r="DH123" s="61"/>
      <c r="DI123" s="81">
        <f>DI116/DI74*400</f>
        <v>0.70652559823901162</v>
      </c>
      <c r="DJ123" s="61"/>
      <c r="DK123" s="81">
        <f>DK116/DK74*400</f>
        <v>0.74042968917378671</v>
      </c>
      <c r="DL123" s="61"/>
      <c r="DM123" s="82">
        <f>DM116/DM74*400</f>
        <v>0.75841734670865246</v>
      </c>
      <c r="DN123" s="130">
        <f t="shared" si="850"/>
        <v>0.20589193388069749</v>
      </c>
      <c r="DO123" s="82">
        <f>DO116/DO74*400</f>
        <v>0.80690978254604728</v>
      </c>
      <c r="DP123" s="130">
        <f t="shared" si="850"/>
        <v>8.6918684169838833</v>
      </c>
      <c r="DQ123" s="82">
        <f>DQ116/DQ74*400</f>
        <v>0.77794828449273334</v>
      </c>
      <c r="DR123" s="130">
        <f t="shared" si="850"/>
        <v>10.109001914685045</v>
      </c>
      <c r="DS123" s="82">
        <f>DS116/DS74*400</f>
        <v>0.7720136959751922</v>
      </c>
      <c r="DT123" s="130">
        <f t="shared" si="850"/>
        <v>4.2656321407976927</v>
      </c>
      <c r="DU123" s="82">
        <f>DU116/DU74*400</f>
        <v>0.81558568247330343</v>
      </c>
      <c r="DV123" s="130">
        <f t="shared" si="850"/>
        <v>7.5378465448803</v>
      </c>
      <c r="DW123" s="82">
        <f>DW116/DW74*400</f>
        <v>0.84761709961137244</v>
      </c>
      <c r="DX123" s="82">
        <f t="shared" ref="DX123:DY123" si="872">DX116/DX74*400</f>
        <v>-34.881909525714704</v>
      </c>
      <c r="DY123" s="82">
        <f t="shared" si="872"/>
        <v>0.80503227997233728</v>
      </c>
      <c r="DZ123" s="130">
        <f t="shared" si="850"/>
        <v>3.4814647733639736</v>
      </c>
      <c r="EA123" s="82">
        <f t="shared" ref="EA123:EC123" si="873">EA116/EA74*400</f>
        <v>0.71306203721496941</v>
      </c>
      <c r="EB123" s="130">
        <f t="shared" si="853"/>
        <v>-7.636089756899489</v>
      </c>
      <c r="EC123" s="82">
        <f t="shared" si="873"/>
        <v>0.76481835564053535</v>
      </c>
      <c r="ED123" s="130">
        <f t="shared" si="854"/>
        <v>-6.2246466464214611</v>
      </c>
      <c r="EE123" s="82">
        <f t="shared" ref="EE123:EG123" si="874">EE116/EE74*400</f>
        <v>0.76933556654351953</v>
      </c>
      <c r="EF123" s="130">
        <f t="shared" si="856"/>
        <v>-9.2354829915234795</v>
      </c>
      <c r="EG123" s="82">
        <f t="shared" si="874"/>
        <v>0.76948759121766641</v>
      </c>
      <c r="EH123" s="130">
        <f t="shared" si="857"/>
        <v>-4.4153122351680452</v>
      </c>
      <c r="EI123" s="82">
        <f t="shared" ref="EI123:EK123" si="875">EI116/EI74*400</f>
        <v>0.88159974273601804</v>
      </c>
      <c r="EJ123" s="130">
        <f t="shared" si="859"/>
        <v>23.635770343252616</v>
      </c>
      <c r="EK123" s="82">
        <f t="shared" si="875"/>
        <v>0.76907462092051493</v>
      </c>
      <c r="EL123" s="130">
        <f t="shared" si="860"/>
        <v>0.5565066853573386</v>
      </c>
      <c r="EM123" s="82">
        <f t="shared" ref="EM123" si="876">EM116/EM74*400</f>
        <v>0.83347437705688765</v>
      </c>
      <c r="EN123" s="130">
        <f t="shared" si="862"/>
        <v>8.3369095753016875</v>
      </c>
      <c r="EO123" s="82">
        <f t="shared" ref="EO123" si="877">EO116/EO74*400</f>
        <v>0.77921696046576594</v>
      </c>
      <c r="EP123" s="130">
        <f t="shared" si="864"/>
        <v>1.2643958601987748</v>
      </c>
      <c r="EQ123" s="81">
        <f t="shared" ref="EQ123:EW123" si="878">EQ116/EQ74*400</f>
        <v>0.81753350525607094</v>
      </c>
      <c r="ER123" s="130">
        <f t="shared" si="866"/>
        <v>-7.2670435770681436</v>
      </c>
      <c r="ES123" s="81">
        <f t="shared" si="878"/>
        <v>0.81499397333151102</v>
      </c>
      <c r="ET123" s="130">
        <f t="shared" si="867"/>
        <v>5.9707278282092657</v>
      </c>
      <c r="EU123" s="81">
        <f t="shared" si="878"/>
        <v>0.81693978412468105</v>
      </c>
      <c r="EV123" s="130">
        <f t="shared" si="868"/>
        <v>-1.9838153862140939</v>
      </c>
      <c r="EW123" s="81">
        <f t="shared" si="878"/>
        <v>0.81889024152892298</v>
      </c>
      <c r="EX123" s="130">
        <f t="shared" si="869"/>
        <v>5.0914293548542489</v>
      </c>
      <c r="EY123" s="85"/>
      <c r="EZ123" s="558"/>
      <c r="FA123" s="85"/>
      <c r="FB123" s="81"/>
      <c r="FC123" s="86"/>
      <c r="FD123" s="81"/>
      <c r="FE123" s="87"/>
      <c r="FF123" s="81"/>
      <c r="FG123" s="87"/>
      <c r="FH123" s="81"/>
      <c r="FI123" s="87"/>
      <c r="FJ123" s="81"/>
      <c r="FK123" s="87"/>
      <c r="FL123" s="81"/>
      <c r="FM123" s="87"/>
      <c r="FN123" s="81"/>
      <c r="FO123" s="87"/>
      <c r="FP123" s="88"/>
      <c r="FQ123" s="61"/>
      <c r="FR123" s="81"/>
      <c r="FS123" s="61"/>
      <c r="FT123" s="81">
        <f>FT116/FT74*100</f>
        <v>0.67747838355054479</v>
      </c>
      <c r="FU123" s="61"/>
      <c r="FV123" s="81">
        <f>FV116/FV74*100</f>
        <v>0.28627706525280727</v>
      </c>
      <c r="FW123" s="61"/>
      <c r="FX123" s="81">
        <f>FX116/FX74*100</f>
        <v>0.52805329827915926</v>
      </c>
      <c r="FY123" s="61"/>
      <c r="FZ123" s="81">
        <f>FZ116/FZ74*100</f>
        <v>0.60129842723966309</v>
      </c>
      <c r="GA123" s="61"/>
      <c r="GB123" s="81">
        <f>GB116/GB74*100</f>
        <v>0.66544360972098082</v>
      </c>
      <c r="GC123" s="61"/>
      <c r="GD123" s="81">
        <f>GD116/GD74*100</f>
        <v>0.6486015888562412</v>
      </c>
      <c r="GE123" s="61"/>
      <c r="GF123" s="81">
        <f>GF116/GF74*100</f>
        <v>0.70452264135013176</v>
      </c>
      <c r="GG123" s="61">
        <f t="shared" si="870"/>
        <v>8.6217877746033622</v>
      </c>
      <c r="GH123" s="81">
        <f>GH116/GH74*100</f>
        <v>0.77540824196090263</v>
      </c>
      <c r="GI123" s="61">
        <f t="shared" si="870"/>
        <v>10.061507813989801</v>
      </c>
      <c r="GJ123" s="81">
        <f>GJ116/GJ74*100</f>
        <v>0.81318735150758081</v>
      </c>
      <c r="GK123" s="61">
        <f t="shared" si="870"/>
        <v>4.8721573362619841</v>
      </c>
      <c r="GL123" s="81">
        <f>GL116/GL74*100</f>
        <v>0.75489368916949584</v>
      </c>
      <c r="GM123" s="61">
        <f t="shared" si="870"/>
        <v>-7.168540217701791</v>
      </c>
      <c r="GN123" s="81">
        <f>GN116/GN74*100</f>
        <v>0.81588313271774915</v>
      </c>
      <c r="GO123" s="61">
        <f t="shared" si="870"/>
        <v>8.079209618953298</v>
      </c>
      <c r="GP123" s="81">
        <f>GP116/GP74*100</f>
        <v>0.81028132125238927</v>
      </c>
      <c r="GQ123" s="61">
        <f t="shared" si="870"/>
        <v>-0.68659483702033786</v>
      </c>
      <c r="GR123" s="81">
        <f>GR116/GR74*100</f>
        <v>0.81106092723139067</v>
      </c>
      <c r="GS123" s="61">
        <f t="shared" si="870"/>
        <v>9.6214235544311855E-2</v>
      </c>
      <c r="GT123" s="81">
        <f>GT116/GT74*100</f>
        <v>0.81027263073987554</v>
      </c>
      <c r="GU123" s="61">
        <f t="shared" si="870"/>
        <v>-9.719325207860896E-2</v>
      </c>
      <c r="GV123" s="81">
        <f>GV116/GV74*100</f>
        <v>0.80983631481692087</v>
      </c>
      <c r="GW123" s="61">
        <f t="shared" si="870"/>
        <v>-5.3848039092263544E-2</v>
      </c>
      <c r="GX123" s="81">
        <f>GX116/GX74*100</f>
        <v>0.80960976994376499</v>
      </c>
      <c r="GY123" s="61">
        <f t="shared" si="871"/>
        <v>-2.7974155889398666E-2</v>
      </c>
      <c r="GZ123" s="61">
        <f t="shared" si="651"/>
        <v>-0.1542560812122451</v>
      </c>
      <c r="HA123" s="61"/>
      <c r="HB123" s="452"/>
      <c r="HC123"/>
      <c r="HD123"/>
      <c r="HE123"/>
      <c r="HF123"/>
      <c r="HG123"/>
      <c r="HH123"/>
    </row>
    <row r="124" spans="1:216" s="5" customFormat="1" ht="12.75" customHeight="1" x14ac:dyDescent="0.2">
      <c r="B124" s="2"/>
      <c r="C124" s="66"/>
      <c r="D124" s="67"/>
      <c r="E124" s="66"/>
      <c r="F124" s="66"/>
      <c r="G124" s="64"/>
      <c r="H124" s="66"/>
      <c r="I124" s="64"/>
      <c r="J124" s="66"/>
      <c r="K124" s="64"/>
      <c r="L124" s="61"/>
      <c r="M124" s="66"/>
      <c r="N124" s="61"/>
      <c r="O124" s="64"/>
      <c r="P124" s="61"/>
      <c r="Q124" s="64"/>
      <c r="R124" s="61"/>
      <c r="S124" s="64"/>
      <c r="T124" s="61"/>
      <c r="U124" s="64"/>
      <c r="V124" s="61"/>
      <c r="W124" s="64"/>
      <c r="X124" s="61"/>
      <c r="Y124" s="64"/>
      <c r="Z124" s="61"/>
      <c r="AA124" s="64"/>
      <c r="AB124" s="61"/>
      <c r="AC124" s="64"/>
      <c r="AD124" s="61"/>
      <c r="AE124" s="64"/>
      <c r="AF124" s="61"/>
      <c r="AG124" s="64"/>
      <c r="AH124" s="61"/>
      <c r="AI124" s="64"/>
      <c r="AJ124" s="61"/>
      <c r="AK124" s="64"/>
      <c r="AL124" s="61"/>
      <c r="AM124" s="64"/>
      <c r="AN124" s="61"/>
      <c r="AO124" s="64"/>
      <c r="AP124" s="61"/>
      <c r="AQ124" s="64"/>
      <c r="AR124" s="61"/>
      <c r="AS124" s="64"/>
      <c r="AT124" s="61"/>
      <c r="AU124" s="64"/>
      <c r="AV124" s="61"/>
      <c r="AW124" s="64"/>
      <c r="AX124" s="61"/>
      <c r="AY124" s="64"/>
      <c r="AZ124" s="61"/>
      <c r="BA124" s="64"/>
      <c r="BB124" s="61"/>
      <c r="BC124" s="64"/>
      <c r="BD124" s="61"/>
      <c r="BE124" s="64"/>
      <c r="BF124" s="61"/>
      <c r="BG124" s="64"/>
      <c r="BH124" s="61"/>
      <c r="BI124" s="64"/>
      <c r="BJ124" s="61"/>
      <c r="BK124" s="64"/>
      <c r="BL124" s="61"/>
      <c r="BM124" s="64"/>
      <c r="BN124" s="61"/>
      <c r="BO124" s="64"/>
      <c r="BP124" s="61"/>
      <c r="BQ124" s="64"/>
      <c r="BR124" s="61"/>
      <c r="BS124" s="64"/>
      <c r="BT124" s="61"/>
      <c r="BU124" s="64"/>
      <c r="BV124" s="61"/>
      <c r="BW124" s="64"/>
      <c r="BX124" s="61"/>
      <c r="BY124" s="64"/>
      <c r="BZ124" s="61"/>
      <c r="CA124" s="64"/>
      <c r="CB124" s="61"/>
      <c r="CC124" s="64"/>
      <c r="CD124" s="61"/>
      <c r="CE124" s="64"/>
      <c r="CF124" s="61"/>
      <c r="CG124" s="64"/>
      <c r="CH124" s="61"/>
      <c r="CI124" s="64"/>
      <c r="CJ124" s="61"/>
      <c r="CK124" s="64"/>
      <c r="CL124" s="61"/>
      <c r="CM124" s="64"/>
      <c r="CN124" s="61"/>
      <c r="CO124" s="64"/>
      <c r="CP124" s="61"/>
      <c r="CQ124" s="64"/>
      <c r="CR124" s="61"/>
      <c r="CS124" s="64"/>
      <c r="CT124" s="61"/>
      <c r="CU124" s="64"/>
      <c r="CV124" s="61"/>
      <c r="CW124" s="64"/>
      <c r="CX124" s="61"/>
      <c r="CY124" s="64"/>
      <c r="CZ124" s="61"/>
      <c r="DA124" s="64"/>
      <c r="DB124" s="61"/>
      <c r="DC124" s="64"/>
      <c r="DD124" s="61"/>
      <c r="DE124" s="64"/>
      <c r="DF124" s="61"/>
      <c r="DG124" s="64"/>
      <c r="DH124" s="61"/>
      <c r="DI124" s="64"/>
      <c r="DJ124" s="61"/>
      <c r="DK124" s="64"/>
      <c r="DL124" s="61"/>
      <c r="DM124" s="64"/>
      <c r="DN124" s="61"/>
      <c r="DO124" s="64"/>
      <c r="DP124" s="61"/>
      <c r="DQ124" s="64"/>
      <c r="DR124" s="61"/>
      <c r="DS124" s="64"/>
      <c r="DT124" s="61"/>
      <c r="DU124" s="64"/>
      <c r="DV124" s="61"/>
      <c r="DW124" s="64"/>
      <c r="DX124" s="64"/>
      <c r="DY124" s="64"/>
      <c r="DZ124" s="61"/>
      <c r="EA124" s="64"/>
      <c r="EB124" s="61"/>
      <c r="EC124" s="64"/>
      <c r="ED124" s="61"/>
      <c r="EE124" s="64"/>
      <c r="EF124" s="61"/>
      <c r="EG124" s="64"/>
      <c r="EH124" s="61"/>
      <c r="EI124" s="64"/>
      <c r="EJ124" s="61"/>
      <c r="EK124" s="64"/>
      <c r="EL124" s="61"/>
      <c r="EM124" s="64"/>
      <c r="EN124" s="61"/>
      <c r="EO124" s="64"/>
      <c r="EP124" s="61"/>
      <c r="EQ124" s="64"/>
      <c r="ER124" s="61"/>
      <c r="ES124" s="64"/>
      <c r="ET124" s="61"/>
      <c r="EU124" s="64"/>
      <c r="EV124" s="61"/>
      <c r="EW124" s="64"/>
      <c r="EX124" s="61"/>
      <c r="EY124" s="64"/>
      <c r="EZ124" s="558"/>
      <c r="FA124" s="64"/>
      <c r="FB124" s="66"/>
      <c r="FC124" s="66"/>
      <c r="FD124" s="66"/>
      <c r="FE124" s="67"/>
      <c r="FF124" s="66"/>
      <c r="FG124" s="67"/>
      <c r="FH124" s="66"/>
      <c r="FI124" s="67"/>
      <c r="FJ124" s="66"/>
      <c r="FK124" s="67"/>
      <c r="FL124" s="66"/>
      <c r="FM124" s="61"/>
      <c r="FN124" s="66"/>
      <c r="FO124" s="61"/>
      <c r="FP124" s="65"/>
      <c r="FQ124" s="61"/>
      <c r="FR124" s="65"/>
      <c r="FS124" s="61"/>
      <c r="FT124" s="65"/>
      <c r="FU124" s="61"/>
      <c r="FV124" s="65"/>
      <c r="FW124" s="61"/>
      <c r="FX124" s="65"/>
      <c r="FY124" s="61"/>
      <c r="FZ124" s="65"/>
      <c r="GA124" s="61"/>
      <c r="GB124" s="65"/>
      <c r="GC124" s="61"/>
      <c r="GD124" s="65"/>
      <c r="GE124" s="61"/>
      <c r="GF124" s="65"/>
      <c r="GG124" s="61"/>
      <c r="GH124" s="65"/>
      <c r="GI124" s="61"/>
      <c r="GJ124" s="65"/>
      <c r="GK124" s="61"/>
      <c r="GL124" s="65"/>
      <c r="GM124" s="61"/>
      <c r="GN124" s="65"/>
      <c r="GO124" s="61"/>
      <c r="GP124" s="65"/>
      <c r="GQ124" s="61"/>
      <c r="GR124" s="64"/>
      <c r="GS124" s="61"/>
      <c r="GT124" s="64"/>
      <c r="GU124" s="61"/>
      <c r="GV124" s="64"/>
      <c r="GW124" s="61"/>
      <c r="GX124" s="64"/>
      <c r="GY124" s="61"/>
      <c r="GZ124" s="61" t="str">
        <f t="shared" si="651"/>
        <v/>
      </c>
      <c r="HA124" s="61"/>
      <c r="HB124" s="452"/>
      <c r="HC124"/>
      <c r="HD124"/>
      <c r="HE124"/>
      <c r="HF124"/>
      <c r="HG124"/>
      <c r="HH124"/>
    </row>
    <row r="125" spans="1:216" s="623" customFormat="1" ht="12.75" customHeight="1" x14ac:dyDescent="0.2">
      <c r="B125" s="624" t="s">
        <v>433</v>
      </c>
      <c r="C125" s="625"/>
      <c r="D125" s="626"/>
      <c r="E125" s="625"/>
      <c r="F125" s="625"/>
      <c r="G125" s="625"/>
      <c r="H125" s="625"/>
      <c r="I125" s="625"/>
      <c r="J125" s="625"/>
      <c r="K125" s="625"/>
      <c r="L125" s="627"/>
      <c r="M125" s="625"/>
      <c r="N125" s="627"/>
      <c r="O125" s="625"/>
      <c r="P125" s="627"/>
      <c r="Q125" s="625"/>
      <c r="R125" s="627"/>
      <c r="S125" s="625"/>
      <c r="T125" s="627"/>
      <c r="U125" s="625"/>
      <c r="V125" s="627"/>
      <c r="W125" s="625"/>
      <c r="X125" s="627"/>
      <c r="Y125" s="625"/>
      <c r="Z125" s="627"/>
      <c r="AA125" s="625"/>
      <c r="AB125" s="627"/>
      <c r="AC125" s="625"/>
      <c r="AD125" s="627"/>
      <c r="AE125" s="625"/>
      <c r="AF125" s="627"/>
      <c r="AG125" s="625"/>
      <c r="AH125" s="627"/>
      <c r="AI125" s="625"/>
      <c r="AJ125" s="627"/>
      <c r="AK125" s="625"/>
      <c r="AL125" s="627"/>
      <c r="AM125" s="625"/>
      <c r="AN125" s="627"/>
      <c r="AO125" s="625"/>
      <c r="AP125" s="627"/>
      <c r="AQ125" s="625"/>
      <c r="AR125" s="627"/>
      <c r="AS125" s="625"/>
      <c r="AT125" s="627"/>
      <c r="AU125" s="625"/>
      <c r="AV125" s="627"/>
      <c r="AW125" s="625"/>
      <c r="AX125" s="627"/>
      <c r="AY125" s="625"/>
      <c r="AZ125" s="627"/>
      <c r="BA125" s="625"/>
      <c r="BB125" s="627"/>
      <c r="BC125" s="625"/>
      <c r="BD125" s="627"/>
      <c r="BE125" s="625"/>
      <c r="BF125" s="627"/>
      <c r="BG125" s="625"/>
      <c r="BH125" s="627"/>
      <c r="BI125" s="625"/>
      <c r="BJ125" s="627"/>
      <c r="BK125" s="625"/>
      <c r="BL125" s="627"/>
      <c r="BM125" s="625"/>
      <c r="BN125" s="627"/>
      <c r="BO125" s="625"/>
      <c r="BP125" s="627"/>
      <c r="BQ125" s="625"/>
      <c r="BR125" s="627"/>
      <c r="BS125" s="625"/>
      <c r="BT125" s="627"/>
      <c r="BU125" s="625"/>
      <c r="BV125" s="627"/>
      <c r="BW125" s="625"/>
      <c r="BX125" s="627"/>
      <c r="BY125" s="625"/>
      <c r="BZ125" s="627"/>
      <c r="CA125" s="625"/>
      <c r="CB125" s="627"/>
      <c r="CC125" s="625"/>
      <c r="CD125" s="627"/>
      <c r="CE125" s="625"/>
      <c r="CF125" s="627"/>
      <c r="CG125" s="625"/>
      <c r="CH125" s="627"/>
      <c r="CI125" s="625"/>
      <c r="CJ125" s="627"/>
      <c r="CK125" s="625"/>
      <c r="CL125" s="627"/>
      <c r="CM125" s="625"/>
      <c r="CN125" s="627"/>
      <c r="CO125" s="625"/>
      <c r="CP125" s="627"/>
      <c r="CQ125" s="625"/>
      <c r="CR125" s="627"/>
      <c r="CS125" s="625"/>
      <c r="CT125" s="627"/>
      <c r="CU125" s="625"/>
      <c r="CV125" s="627"/>
      <c r="CW125" s="625"/>
      <c r="CX125" s="627"/>
      <c r="CY125" s="625"/>
      <c r="CZ125" s="627"/>
      <c r="DA125" s="625"/>
      <c r="DB125" s="627"/>
      <c r="DC125" s="625"/>
      <c r="DD125" s="627"/>
      <c r="DE125" s="625"/>
      <c r="DF125" s="627"/>
      <c r="DG125" s="625"/>
      <c r="DH125" s="627"/>
      <c r="DI125" s="625"/>
      <c r="DJ125" s="627"/>
      <c r="DK125" s="625"/>
      <c r="DL125" s="627"/>
      <c r="DM125" s="625"/>
      <c r="DN125" s="627"/>
      <c r="DO125" s="625"/>
      <c r="DP125" s="627"/>
      <c r="DQ125" s="625"/>
      <c r="DR125" s="627"/>
      <c r="DS125" s="625"/>
      <c r="DT125" s="627"/>
      <c r="DU125" s="625"/>
      <c r="DV125" s="627"/>
      <c r="DW125" s="625"/>
      <c r="DX125" s="625"/>
      <c r="DY125" s="625"/>
      <c r="DZ125" s="627"/>
      <c r="EA125" s="625"/>
      <c r="EB125" s="627"/>
      <c r="EC125" s="625"/>
      <c r="ED125" s="627"/>
      <c r="EE125" s="625"/>
      <c r="EF125" s="627"/>
      <c r="EG125" s="625"/>
      <c r="EH125" s="627"/>
      <c r="EI125" s="625"/>
      <c r="EJ125" s="627"/>
      <c r="EK125" s="625"/>
      <c r="EL125" s="627"/>
      <c r="EM125" s="625"/>
      <c r="EN125" s="627"/>
      <c r="EO125" s="625"/>
      <c r="EP125" s="627"/>
      <c r="EQ125" s="625"/>
      <c r="ER125" s="627"/>
      <c r="ES125" s="625"/>
      <c r="ET125" s="627"/>
      <c r="EU125" s="625"/>
      <c r="EV125" s="627"/>
      <c r="EW125" s="625"/>
      <c r="EX125" s="627"/>
      <c r="EY125" s="628"/>
      <c r="EZ125" s="558"/>
      <c r="FA125" s="628"/>
      <c r="FB125" s="625"/>
      <c r="FC125" s="625"/>
      <c r="FD125" s="625"/>
      <c r="FE125" s="626"/>
      <c r="FF125" s="625"/>
      <c r="FG125" s="626"/>
      <c r="FH125" s="625"/>
      <c r="FI125" s="626"/>
      <c r="FJ125" s="625"/>
      <c r="FK125" s="626"/>
      <c r="FL125" s="625"/>
      <c r="FM125" s="627"/>
      <c r="FN125" s="625"/>
      <c r="FO125" s="627"/>
      <c r="FP125" s="625"/>
      <c r="FQ125" s="627"/>
      <c r="FR125" s="625"/>
      <c r="FS125" s="627"/>
      <c r="FT125" s="625"/>
      <c r="FU125" s="627"/>
      <c r="FV125" s="625"/>
      <c r="FW125" s="627"/>
      <c r="FX125" s="625"/>
      <c r="FY125" s="627"/>
      <c r="FZ125" s="625"/>
      <c r="GA125" s="627"/>
      <c r="GB125" s="625"/>
      <c r="GC125" s="627"/>
      <c r="GD125" s="625"/>
      <c r="GE125" s="627"/>
      <c r="GF125" s="625"/>
      <c r="GG125" s="627"/>
      <c r="GH125" s="625"/>
      <c r="GI125" s="627"/>
      <c r="GJ125" s="625"/>
      <c r="GK125" s="627"/>
      <c r="GL125" s="625"/>
      <c r="GM125" s="627"/>
      <c r="GN125" s="625"/>
      <c r="GO125" s="627"/>
      <c r="GP125" s="625"/>
      <c r="GQ125" s="627"/>
      <c r="GR125" s="625"/>
      <c r="GS125" s="627"/>
      <c r="GT125" s="625"/>
      <c r="GU125" s="627"/>
      <c r="GV125" s="625"/>
      <c r="GW125" s="627"/>
      <c r="GX125" s="625"/>
      <c r="GY125" s="627"/>
      <c r="GZ125" s="627"/>
      <c r="HA125" s="627"/>
      <c r="HB125" s="629"/>
      <c r="HC125"/>
      <c r="HD125"/>
      <c r="HE125"/>
      <c r="HF125"/>
      <c r="HG125"/>
      <c r="HH125"/>
    </row>
    <row r="126" spans="1:216" s="5" customFormat="1" ht="12.75" customHeight="1" x14ac:dyDescent="0.2">
      <c r="B126" s="58"/>
      <c r="C126" s="59"/>
      <c r="D126" s="60"/>
      <c r="E126" s="59"/>
      <c r="F126" s="59"/>
      <c r="G126" s="59"/>
      <c r="H126" s="59"/>
      <c r="I126" s="59"/>
      <c r="J126" s="59"/>
      <c r="K126" s="59"/>
      <c r="L126" s="61"/>
      <c r="M126" s="59"/>
      <c r="N126" s="61"/>
      <c r="O126" s="59"/>
      <c r="P126" s="61"/>
      <c r="Q126" s="59"/>
      <c r="R126" s="61"/>
      <c r="S126" s="59"/>
      <c r="T126" s="61"/>
      <c r="U126" s="59"/>
      <c r="V126" s="61"/>
      <c r="W126" s="59"/>
      <c r="X126" s="61"/>
      <c r="Y126" s="59"/>
      <c r="Z126" s="61"/>
      <c r="AA126" s="59"/>
      <c r="AB126" s="61"/>
      <c r="AC126" s="59"/>
      <c r="AD126" s="61"/>
      <c r="AE126" s="59"/>
      <c r="AF126" s="61"/>
      <c r="AG126" s="59"/>
      <c r="AH126" s="61"/>
      <c r="AI126" s="59"/>
      <c r="AJ126" s="61"/>
      <c r="AK126" s="59"/>
      <c r="AL126" s="61"/>
      <c r="AM126" s="59"/>
      <c r="AN126" s="61"/>
      <c r="AO126" s="59"/>
      <c r="AP126" s="61"/>
      <c r="AQ126" s="59"/>
      <c r="AR126" s="61"/>
      <c r="AS126" s="59"/>
      <c r="AT126" s="61"/>
      <c r="AU126" s="59"/>
      <c r="AV126" s="61"/>
      <c r="AW126" s="59"/>
      <c r="AX126" s="61"/>
      <c r="AY126" s="59"/>
      <c r="AZ126" s="61"/>
      <c r="BA126" s="59"/>
      <c r="BB126" s="61"/>
      <c r="BC126" s="59"/>
      <c r="BD126" s="61"/>
      <c r="BE126" s="59"/>
      <c r="BF126" s="61"/>
      <c r="BG126" s="59"/>
      <c r="BH126" s="61"/>
      <c r="BI126" s="59"/>
      <c r="BJ126" s="61"/>
      <c r="BK126" s="59"/>
      <c r="BL126" s="61"/>
      <c r="BM126" s="59"/>
      <c r="BN126" s="61"/>
      <c r="BO126" s="59"/>
      <c r="BP126" s="61"/>
      <c r="BQ126" s="59"/>
      <c r="BR126" s="61"/>
      <c r="BS126" s="59"/>
      <c r="BT126" s="61"/>
      <c r="BU126" s="59"/>
      <c r="BV126" s="61"/>
      <c r="BW126" s="59"/>
      <c r="BX126" s="61"/>
      <c r="BY126" s="59"/>
      <c r="BZ126" s="61"/>
      <c r="CA126" s="59"/>
      <c r="CB126" s="61"/>
      <c r="CC126" s="59"/>
      <c r="CD126" s="61"/>
      <c r="CE126" s="59"/>
      <c r="CF126" s="61"/>
      <c r="CG126" s="59"/>
      <c r="CH126" s="61"/>
      <c r="CI126" s="59"/>
      <c r="CJ126" s="61"/>
      <c r="CK126" s="59"/>
      <c r="CL126" s="61"/>
      <c r="CM126" s="59"/>
      <c r="CN126" s="61"/>
      <c r="CO126" s="59"/>
      <c r="CP126" s="61"/>
      <c r="CQ126" s="59"/>
      <c r="CR126" s="61"/>
      <c r="CS126" s="59"/>
      <c r="CT126" s="61"/>
      <c r="CU126" s="59"/>
      <c r="CV126" s="61"/>
      <c r="CW126" s="59"/>
      <c r="CX126" s="61"/>
      <c r="CY126" s="59"/>
      <c r="CZ126" s="61"/>
      <c r="DA126" s="59"/>
      <c r="DB126" s="61"/>
      <c r="DC126" s="59"/>
      <c r="DD126" s="61"/>
      <c r="DE126" s="59"/>
      <c r="DF126" s="61"/>
      <c r="DG126" s="59"/>
      <c r="DH126" s="61"/>
      <c r="DI126" s="59"/>
      <c r="DJ126" s="61"/>
      <c r="DK126" s="59"/>
      <c r="DL126" s="61"/>
      <c r="DM126" s="59"/>
      <c r="DN126" s="61"/>
      <c r="DO126" s="59"/>
      <c r="DP126" s="61"/>
      <c r="DQ126" s="59"/>
      <c r="DR126" s="61"/>
      <c r="DS126" s="59"/>
      <c r="DT126" s="61"/>
      <c r="DU126" s="59"/>
      <c r="DV126" s="61"/>
      <c r="DW126" s="59"/>
      <c r="DX126" s="59"/>
      <c r="DY126" s="59"/>
      <c r="DZ126" s="61"/>
      <c r="EA126" s="59"/>
      <c r="EB126" s="61"/>
      <c r="EC126" s="59"/>
      <c r="ED126" s="61"/>
      <c r="EE126" s="59"/>
      <c r="EF126" s="61"/>
      <c r="EG126" s="59"/>
      <c r="EH126" s="61"/>
      <c r="EI126" s="59"/>
      <c r="EJ126" s="61"/>
      <c r="EK126" s="59"/>
      <c r="EL126" s="61"/>
      <c r="EM126" s="59"/>
      <c r="EN126" s="61"/>
      <c r="EO126" s="59"/>
      <c r="EP126" s="61"/>
      <c r="EQ126" s="59"/>
      <c r="ER126" s="61"/>
      <c r="ES126" s="59"/>
      <c r="ET126" s="61"/>
      <c r="EU126" s="59"/>
      <c r="EV126" s="61"/>
      <c r="EW126" s="59"/>
      <c r="EX126" s="61"/>
      <c r="EY126" s="59"/>
      <c r="EZ126" s="558"/>
      <c r="FA126" s="59"/>
      <c r="FB126" s="59"/>
      <c r="FC126" s="59"/>
      <c r="FD126" s="59"/>
      <c r="FE126" s="60"/>
      <c r="FF126" s="59"/>
      <c r="FG126" s="60"/>
      <c r="FH126" s="59"/>
      <c r="FI126" s="60"/>
      <c r="FJ126" s="59"/>
      <c r="FK126" s="60"/>
      <c r="FL126" s="59"/>
      <c r="FM126" s="61"/>
      <c r="FN126" s="59"/>
      <c r="FO126" s="61"/>
      <c r="FP126" s="62"/>
      <c r="FQ126" s="61"/>
      <c r="FR126" s="62"/>
      <c r="FS126" s="61"/>
      <c r="FT126" s="62"/>
      <c r="FU126" s="61"/>
      <c r="FV126" s="62"/>
      <c r="FW126" s="61"/>
      <c r="FX126" s="62"/>
      <c r="FY126" s="61"/>
      <c r="FZ126" s="62"/>
      <c r="GA126" s="61"/>
      <c r="GB126" s="62"/>
      <c r="GC126" s="61"/>
      <c r="GD126" s="62"/>
      <c r="GE126" s="61"/>
      <c r="GF126" s="62"/>
      <c r="GG126" s="61"/>
      <c r="GH126" s="62"/>
      <c r="GI126" s="61"/>
      <c r="GJ126" s="62"/>
      <c r="GK126" s="61"/>
      <c r="GL126" s="62"/>
      <c r="GM126" s="61"/>
      <c r="GN126" s="62"/>
      <c r="GO126" s="61"/>
      <c r="GP126" s="62"/>
      <c r="GQ126" s="61"/>
      <c r="GR126" s="59"/>
      <c r="GS126" s="61"/>
      <c r="GT126" s="59"/>
      <c r="GU126" s="61"/>
      <c r="GV126" s="59"/>
      <c r="GW126" s="61"/>
      <c r="GX126" s="59"/>
      <c r="GY126" s="61"/>
      <c r="GZ126" s="61" t="str">
        <f>IF(ISERROR((GX126/GN126)^0.2),"",IF(OR((GX126/GN126)^0.2&lt;0.5,(GX126/GN126)^0.2&gt;2),"NM",((GX126/GN126)^0.2-1)*100))</f>
        <v/>
      </c>
      <c r="HA126" s="61"/>
      <c r="HB126" s="452"/>
      <c r="HC126"/>
      <c r="HD126"/>
      <c r="HE126"/>
      <c r="HF126"/>
      <c r="HG126"/>
      <c r="HH126"/>
    </row>
    <row r="127" spans="1:216" s="5" customFormat="1" ht="12.75" customHeight="1" x14ac:dyDescent="0.2">
      <c r="B127" s="63"/>
      <c r="C127" s="59"/>
      <c r="D127" s="60"/>
      <c r="E127" s="59"/>
      <c r="F127" s="59"/>
      <c r="G127" s="64"/>
      <c r="H127" s="59"/>
      <c r="I127" s="64"/>
      <c r="J127" s="59"/>
      <c r="K127" s="64"/>
      <c r="L127" s="61"/>
      <c r="M127" s="59"/>
      <c r="N127" s="61"/>
      <c r="O127" s="64"/>
      <c r="P127" s="61"/>
      <c r="Q127" s="64"/>
      <c r="R127" s="61"/>
      <c r="S127" s="64"/>
      <c r="T127" s="61"/>
      <c r="U127" s="64"/>
      <c r="V127" s="61"/>
      <c r="W127" s="64"/>
      <c r="X127" s="61"/>
      <c r="Y127" s="64"/>
      <c r="Z127" s="61"/>
      <c r="AA127" s="64"/>
      <c r="AB127" s="61"/>
      <c r="AC127" s="64"/>
      <c r="AD127" s="61"/>
      <c r="AE127" s="64"/>
      <c r="AF127" s="61"/>
      <c r="AG127" s="64"/>
      <c r="AH127" s="61"/>
      <c r="AI127" s="64"/>
      <c r="AJ127" s="61"/>
      <c r="AK127" s="64"/>
      <c r="AL127" s="61"/>
      <c r="AM127" s="64"/>
      <c r="AN127" s="61"/>
      <c r="AO127" s="64"/>
      <c r="AP127" s="61"/>
      <c r="AQ127" s="64"/>
      <c r="AR127" s="61"/>
      <c r="AS127" s="64"/>
      <c r="AT127" s="61"/>
      <c r="AU127" s="64"/>
      <c r="AV127" s="61"/>
      <c r="AW127" s="64"/>
      <c r="AX127" s="61"/>
      <c r="AY127" s="64"/>
      <c r="AZ127" s="61"/>
      <c r="BA127" s="64"/>
      <c r="BB127" s="61"/>
      <c r="BC127" s="64"/>
      <c r="BD127" s="61"/>
      <c r="BE127" s="64"/>
      <c r="BF127" s="61"/>
      <c r="BG127" s="64"/>
      <c r="BH127" s="61"/>
      <c r="BI127" s="64"/>
      <c r="BJ127" s="61"/>
      <c r="BK127" s="64"/>
      <c r="BL127" s="61"/>
      <c r="BM127" s="64"/>
      <c r="BN127" s="61"/>
      <c r="BO127" s="64"/>
      <c r="BP127" s="61"/>
      <c r="BQ127" s="64"/>
      <c r="BR127" s="61"/>
      <c r="BS127" s="64"/>
      <c r="BT127" s="61"/>
      <c r="BU127" s="64"/>
      <c r="BV127" s="61"/>
      <c r="BW127" s="64"/>
      <c r="BX127" s="61"/>
      <c r="BY127" s="64"/>
      <c r="BZ127" s="61"/>
      <c r="CA127" s="64"/>
      <c r="CB127" s="61"/>
      <c r="CC127" s="64"/>
      <c r="CD127" s="61"/>
      <c r="CE127" s="64"/>
      <c r="CF127" s="61"/>
      <c r="CG127" s="64"/>
      <c r="CH127" s="61"/>
      <c r="CI127" s="64"/>
      <c r="CJ127" s="61"/>
      <c r="CK127" s="64"/>
      <c r="CL127" s="61"/>
      <c r="CM127" s="64"/>
      <c r="CN127" s="61"/>
      <c r="CO127" s="64"/>
      <c r="CP127" s="61"/>
      <c r="CQ127" s="64"/>
      <c r="CR127" s="61"/>
      <c r="CS127" s="64"/>
      <c r="CT127" s="61"/>
      <c r="CU127" s="64"/>
      <c r="CV127" s="61"/>
      <c r="CW127" s="64"/>
      <c r="CX127" s="61"/>
      <c r="CY127" s="64"/>
      <c r="CZ127" s="61"/>
      <c r="DA127" s="64"/>
      <c r="DB127" s="61"/>
      <c r="DC127" s="64"/>
      <c r="DD127" s="61"/>
      <c r="DE127" s="64"/>
      <c r="DF127" s="61"/>
      <c r="DG127" s="64"/>
      <c r="DH127" s="61"/>
      <c r="DI127" s="64"/>
      <c r="DJ127" s="61"/>
      <c r="DK127" s="64"/>
      <c r="DL127" s="61"/>
      <c r="DM127" s="64"/>
      <c r="DN127" s="61"/>
      <c r="DO127" s="64"/>
      <c r="DP127" s="61"/>
      <c r="DQ127" s="64"/>
      <c r="DR127" s="61"/>
      <c r="DS127" s="64"/>
      <c r="DT127" s="61"/>
      <c r="DU127" s="64"/>
      <c r="DV127" s="61"/>
      <c r="DW127" s="64"/>
      <c r="DX127" s="64"/>
      <c r="DY127" s="64"/>
      <c r="DZ127" s="61"/>
      <c r="EA127" s="64"/>
      <c r="EB127" s="61"/>
      <c r="EC127" s="64"/>
      <c r="ED127" s="61"/>
      <c r="EE127" s="64"/>
      <c r="EF127" s="61"/>
      <c r="EG127" s="64"/>
      <c r="EH127" s="61"/>
      <c r="EI127" s="64"/>
      <c r="EJ127" s="61"/>
      <c r="EK127" s="64"/>
      <c r="EL127" s="61"/>
      <c r="EM127" s="64"/>
      <c r="EN127" s="61"/>
      <c r="EO127" s="64"/>
      <c r="EP127" s="61"/>
      <c r="EQ127" s="64"/>
      <c r="ER127" s="61"/>
      <c r="ES127" s="64"/>
      <c r="ET127" s="61"/>
      <c r="EU127" s="64"/>
      <c r="EV127" s="61"/>
      <c r="EW127" s="64"/>
      <c r="EX127" s="61"/>
      <c r="EY127" s="64"/>
      <c r="EZ127" s="558"/>
      <c r="FA127" s="64"/>
      <c r="FB127" s="59"/>
      <c r="FC127" s="59"/>
      <c r="FD127" s="59"/>
      <c r="FE127" s="60"/>
      <c r="FF127" s="59"/>
      <c r="FG127" s="60"/>
      <c r="FH127" s="59"/>
      <c r="FI127" s="60"/>
      <c r="FJ127" s="59"/>
      <c r="FK127" s="60"/>
      <c r="FL127" s="59"/>
      <c r="FM127" s="61"/>
      <c r="FN127" s="59"/>
      <c r="FO127" s="61"/>
      <c r="FP127" s="65"/>
      <c r="FQ127" s="61"/>
      <c r="FR127" s="65"/>
      <c r="FS127" s="61"/>
      <c r="FT127" s="65"/>
      <c r="FU127" s="61"/>
      <c r="FV127" s="65"/>
      <c r="FW127" s="61"/>
      <c r="FX127" s="65"/>
      <c r="FY127" s="61"/>
      <c r="FZ127" s="65"/>
      <c r="GA127" s="61"/>
      <c r="GB127" s="65"/>
      <c r="GC127" s="61"/>
      <c r="GD127" s="65"/>
      <c r="GE127" s="61"/>
      <c r="GF127" s="65"/>
      <c r="GG127" s="61"/>
      <c r="GH127" s="65"/>
      <c r="GI127" s="61"/>
      <c r="GJ127" s="65"/>
      <c r="GK127" s="61"/>
      <c r="GL127" s="65"/>
      <c r="GM127" s="61"/>
      <c r="GN127" s="65"/>
      <c r="GO127" s="61"/>
      <c r="GP127" s="65"/>
      <c r="GQ127" s="61"/>
      <c r="GR127" s="64"/>
      <c r="GS127" s="61"/>
      <c r="GT127" s="64"/>
      <c r="GU127" s="61"/>
      <c r="GV127" s="64"/>
      <c r="GW127" s="61"/>
      <c r="GX127" s="64"/>
      <c r="GY127" s="61"/>
      <c r="GZ127" s="61" t="str">
        <f>IF(ISERROR((GX127/GN127)^0.2),"",IF(OR((GX127/GN127)^0.2&lt;0.5,(GX127/GN127)^0.2&gt;2),"NM",((GX127/GN127)^0.2-1)*100))</f>
        <v/>
      </c>
      <c r="HA127" s="61"/>
      <c r="HB127" s="452"/>
      <c r="HC127"/>
      <c r="HD127"/>
      <c r="HE127"/>
      <c r="HF127"/>
      <c r="HG127"/>
      <c r="HH127"/>
    </row>
    <row r="128" spans="1:216" s="5" customFormat="1" ht="12.75" customHeight="1" x14ac:dyDescent="0.2">
      <c r="B128" s="119" t="s">
        <v>250</v>
      </c>
      <c r="C128" s="66"/>
      <c r="D128" s="67"/>
      <c r="E128" s="66"/>
      <c r="F128" s="66"/>
      <c r="G128" s="64"/>
      <c r="H128" s="66"/>
      <c r="I128" s="64"/>
      <c r="J128" s="66"/>
      <c r="K128" s="64"/>
      <c r="L128" s="61"/>
      <c r="M128" s="66"/>
      <c r="N128" s="61"/>
      <c r="O128" s="64"/>
      <c r="P128" s="61"/>
      <c r="Q128" s="64"/>
      <c r="R128" s="61"/>
      <c r="S128" s="64"/>
      <c r="T128" s="61"/>
      <c r="U128" s="64"/>
      <c r="V128" s="61"/>
      <c r="W128" s="64"/>
      <c r="X128" s="61"/>
      <c r="Y128" s="64"/>
      <c r="Z128" s="61"/>
      <c r="AA128" s="64"/>
      <c r="AB128" s="61"/>
      <c r="AC128" s="64"/>
      <c r="AD128" s="61"/>
      <c r="AE128" s="64"/>
      <c r="AF128" s="61"/>
      <c r="AG128" s="64"/>
      <c r="AH128" s="61"/>
      <c r="AI128" s="64"/>
      <c r="AJ128" s="61"/>
      <c r="AK128" s="64"/>
      <c r="AL128" s="61"/>
      <c r="AM128" s="64"/>
      <c r="AN128" s="61"/>
      <c r="AO128" s="64"/>
      <c r="AP128" s="61"/>
      <c r="AQ128" s="64"/>
      <c r="AR128" s="61"/>
      <c r="AS128" s="64"/>
      <c r="AT128" s="61"/>
      <c r="AU128" s="64"/>
      <c r="AV128" s="61"/>
      <c r="AW128" s="64"/>
      <c r="AX128" s="61"/>
      <c r="AY128" s="64"/>
      <c r="AZ128" s="61"/>
      <c r="BA128" s="64"/>
      <c r="BB128" s="61"/>
      <c r="BC128" s="64"/>
      <c r="BD128" s="61"/>
      <c r="BE128" s="64"/>
      <c r="BF128" s="61"/>
      <c r="BG128" s="64"/>
      <c r="BH128" s="61"/>
      <c r="BI128" s="64"/>
      <c r="BJ128" s="61"/>
      <c r="BK128" s="64"/>
      <c r="BL128" s="61"/>
      <c r="BM128" s="64"/>
      <c r="BN128" s="61"/>
      <c r="BO128" s="64"/>
      <c r="BP128" s="61"/>
      <c r="BQ128" s="64"/>
      <c r="BR128" s="61"/>
      <c r="BS128" s="64"/>
      <c r="BT128" s="61"/>
      <c r="BU128" s="64"/>
      <c r="BV128" s="61"/>
      <c r="BW128" s="64"/>
      <c r="BX128" s="61"/>
      <c r="BY128" s="64"/>
      <c r="BZ128" s="61"/>
      <c r="CA128" s="64"/>
      <c r="CB128" s="61"/>
      <c r="CC128" s="64"/>
      <c r="CD128" s="61"/>
      <c r="CE128" s="64"/>
      <c r="CF128" s="61"/>
      <c r="CG128" s="64"/>
      <c r="CH128" s="61"/>
      <c r="CI128" s="64"/>
      <c r="CJ128" s="61"/>
      <c r="CK128" s="64"/>
      <c r="CL128" s="61"/>
      <c r="CM128" s="64"/>
      <c r="CN128" s="61"/>
      <c r="CO128" s="64"/>
      <c r="CP128" s="61"/>
      <c r="CQ128" s="64"/>
      <c r="CR128" s="61"/>
      <c r="CS128" s="64"/>
      <c r="CT128" s="61"/>
      <c r="CU128" s="64"/>
      <c r="CV128" s="61"/>
      <c r="CW128" s="64"/>
      <c r="CX128" s="61"/>
      <c r="CY128" s="64"/>
      <c r="CZ128" s="61"/>
      <c r="DA128" s="64"/>
      <c r="DB128" s="61"/>
      <c r="DC128" s="64"/>
      <c r="DD128" s="61"/>
      <c r="DE128" s="64"/>
      <c r="DF128" s="61"/>
      <c r="DG128" s="64"/>
      <c r="DH128" s="61"/>
      <c r="DI128" s="64"/>
      <c r="DJ128" s="61"/>
      <c r="DK128" s="64"/>
      <c r="DL128" s="61"/>
      <c r="DM128" s="64"/>
      <c r="DN128" s="61"/>
      <c r="DO128" s="64"/>
      <c r="DP128" s="61"/>
      <c r="DQ128" s="64"/>
      <c r="DR128" s="61"/>
      <c r="DS128" s="64"/>
      <c r="DT128" s="61"/>
      <c r="DU128" s="64"/>
      <c r="DV128" s="61"/>
      <c r="DW128" s="64"/>
      <c r="DX128" s="64"/>
      <c r="DY128" s="64"/>
      <c r="DZ128" s="61"/>
      <c r="EA128" s="64"/>
      <c r="EB128" s="61"/>
      <c r="EC128" s="64"/>
      <c r="ED128" s="61"/>
      <c r="EE128" s="64"/>
      <c r="EF128" s="61"/>
      <c r="EG128" s="64"/>
      <c r="EH128" s="61"/>
      <c r="EI128" s="64"/>
      <c r="EJ128" s="61"/>
      <c r="EK128" s="64"/>
      <c r="EL128" s="61"/>
      <c r="EM128" s="64"/>
      <c r="EN128" s="61"/>
      <c r="EO128" s="64"/>
      <c r="EP128" s="61"/>
      <c r="EQ128" s="64"/>
      <c r="ER128" s="61"/>
      <c r="ES128" s="64"/>
      <c r="ET128" s="61"/>
      <c r="EU128" s="64"/>
      <c r="EV128" s="61"/>
      <c r="EW128" s="64"/>
      <c r="EX128" s="61"/>
      <c r="EY128" s="64"/>
      <c r="EZ128" s="558"/>
      <c r="FA128" s="64"/>
      <c r="FB128" s="66"/>
      <c r="FC128" s="66"/>
      <c r="FD128" s="66"/>
      <c r="FE128" s="67"/>
      <c r="FF128" s="66"/>
      <c r="FG128" s="67"/>
      <c r="FH128" s="66"/>
      <c r="FI128" s="67"/>
      <c r="FJ128" s="66"/>
      <c r="FK128" s="67"/>
      <c r="FL128" s="66"/>
      <c r="FM128" s="61"/>
      <c r="FN128" s="66"/>
      <c r="FO128" s="61"/>
      <c r="FP128" s="65"/>
      <c r="FQ128" s="61"/>
      <c r="FR128" s="65"/>
      <c r="FS128" s="61"/>
      <c r="FT128" s="65"/>
      <c r="FU128" s="61"/>
      <c r="FV128" s="65"/>
      <c r="FW128" s="61"/>
      <c r="FX128" s="65"/>
      <c r="FY128" s="61"/>
      <c r="FZ128" s="65"/>
      <c r="GA128" s="61"/>
      <c r="GB128" s="65"/>
      <c r="GC128" s="61"/>
      <c r="GD128" s="65"/>
      <c r="GE128" s="61"/>
      <c r="GF128" s="65"/>
      <c r="GG128" s="61"/>
      <c r="GH128" s="65"/>
      <c r="GI128" s="61"/>
      <c r="GJ128" s="65"/>
      <c r="GK128" s="61"/>
      <c r="GL128" s="65"/>
      <c r="GM128" s="61"/>
      <c r="GN128" s="65"/>
      <c r="GO128" s="61"/>
      <c r="GP128" s="65"/>
      <c r="GQ128" s="61"/>
      <c r="GR128" s="64"/>
      <c r="GS128" s="61"/>
      <c r="GT128" s="64"/>
      <c r="GU128" s="61"/>
      <c r="GV128" s="64"/>
      <c r="GW128" s="61"/>
      <c r="GX128" s="64"/>
      <c r="GY128" s="61"/>
      <c r="GZ128" s="61"/>
      <c r="HA128" s="61"/>
      <c r="HB128" s="452"/>
      <c r="HC128"/>
      <c r="HD128"/>
      <c r="HE128"/>
      <c r="HF128"/>
      <c r="HG128"/>
      <c r="HH128"/>
    </row>
    <row r="129" spans="2:216" s="5" customFormat="1" ht="12.75" customHeight="1" x14ac:dyDescent="0.2">
      <c r="B129" s="241" t="s">
        <v>236</v>
      </c>
      <c r="C129" s="66"/>
      <c r="D129" s="67"/>
      <c r="E129" s="66"/>
      <c r="F129" s="66"/>
      <c r="G129" s="64"/>
      <c r="H129" s="66"/>
      <c r="I129" s="64"/>
      <c r="J129" s="66"/>
      <c r="K129" s="64"/>
      <c r="L129" s="61"/>
      <c r="M129" s="66"/>
      <c r="N129" s="61"/>
      <c r="O129" s="64"/>
      <c r="P129" s="61"/>
      <c r="Q129" s="64"/>
      <c r="R129" s="61"/>
      <c r="S129" s="64"/>
      <c r="T129" s="61"/>
      <c r="U129" s="64"/>
      <c r="V129" s="61"/>
      <c r="W129" s="64"/>
      <c r="X129" s="61"/>
      <c r="Y129" s="64"/>
      <c r="Z129" s="61"/>
      <c r="AA129" s="64"/>
      <c r="AB129" s="61"/>
      <c r="AC129" s="64"/>
      <c r="AD129" s="61"/>
      <c r="AE129" s="64"/>
      <c r="AF129" s="61"/>
      <c r="AG129" s="64"/>
      <c r="AH129" s="61"/>
      <c r="AI129" s="64"/>
      <c r="AJ129" s="61"/>
      <c r="AK129" s="64"/>
      <c r="AL129" s="61"/>
      <c r="AM129" s="64"/>
      <c r="AN129" s="61"/>
      <c r="AO129" s="64"/>
      <c r="AP129" s="61"/>
      <c r="AQ129" s="64"/>
      <c r="AR129" s="61"/>
      <c r="AS129" s="64"/>
      <c r="AT129" s="61"/>
      <c r="AU129" s="64"/>
      <c r="AV129" s="61"/>
      <c r="AW129" s="64"/>
      <c r="AX129" s="61"/>
      <c r="AY129" s="64"/>
      <c r="AZ129" s="61"/>
      <c r="BA129" s="64"/>
      <c r="BB129" s="61"/>
      <c r="BC129" s="64"/>
      <c r="BD129" s="61"/>
      <c r="BE129" s="64"/>
      <c r="BF129" s="61"/>
      <c r="BG129" s="72">
        <v>33656</v>
      </c>
      <c r="BH129" s="61" t="str">
        <f>IF(ISERROR((BG129/AY129-1)*100),"NA",IF(((BG129/AY129-1)*100)&gt;100,"NM",IF(((BG129/AY129-1)*100)&lt;-50,"NM",(BG129/AY129-1)*100)))</f>
        <v>NA</v>
      </c>
      <c r="BI129" s="73">
        <f>BG134</f>
        <v>34475</v>
      </c>
      <c r="BJ129" s="61" t="str">
        <f>IF(ISERROR((BI129/BA129-1)*100),"NA",IF(((BI129/BA129-1)*100)&gt;100,"NM",IF(((BI129/BA129-1)*100)&lt;-50,"NM",(BI129/BA129-1)*100)))</f>
        <v>NA</v>
      </c>
      <c r="BK129" s="73">
        <f>BI134</f>
        <v>35963</v>
      </c>
      <c r="BL129" s="61" t="str">
        <f>IF(ISERROR((BK129/BC129-1)*100),"NA",IF(((BK129/BC129-1)*100)&gt;100,"NM",IF(((BK129/BC129-1)*100)&lt;-50,"NM",(BK129/BC129-1)*100)))</f>
        <v>NA</v>
      </c>
      <c r="BM129" s="73">
        <f>BK134</f>
        <v>36637</v>
      </c>
      <c r="BN129" s="61" t="str">
        <f>IF(ISERROR((BM129/BE129-1)*100),"NA",IF(((BM129/BE129-1)*100)&gt;100,"NM",IF(((BM129/BE129-1)*100)&lt;-50,"NM",(BM129/BE129-1)*100)))</f>
        <v>NA</v>
      </c>
      <c r="BO129" s="73">
        <f>BM134</f>
        <v>36058</v>
      </c>
      <c r="BP129" s="61">
        <f>IF(ISERROR((BO129/BG129-1)*100),"NA",IF(((BO129/BG129-1)*100)&gt;100,"NM",IF(((BO129/BG129-1)*100)&lt;-50,"NM",(BO129/BG129-1)*100)))</f>
        <v>7.136914666032812</v>
      </c>
      <c r="BQ129" s="73">
        <f>BO134</f>
        <v>34764</v>
      </c>
      <c r="BR129" s="61">
        <f>IF(ISERROR((BQ129/BI129-1)*100),"NA",IF(((BQ129/BI129-1)*100)&gt;100,"NM",IF(((BQ129/BI129-1)*100)&lt;-50,"NM",(BQ129/BI129-1)*100)))</f>
        <v>0.83828861493835394</v>
      </c>
      <c r="BS129" s="73">
        <f>BQ134</f>
        <v>35042</v>
      </c>
      <c r="BT129" s="61">
        <f>IF(ISERROR((BS129/BK129-1)*100),"NA",IF(((BS129/BK129-1)*100)&gt;100,"NM",IF(((BS129/BK129-1)*100)&lt;-50,"NM",(BS129/BK129-1)*100)))</f>
        <v>-2.5609654366988255</v>
      </c>
      <c r="BU129" s="73">
        <f>BS134</f>
        <v>32573</v>
      </c>
      <c r="BV129" s="61">
        <f>IF(ISERROR((BU129/BM129-1)*100),"NA",IF(((BU129/BM129-1)*100)&gt;100,"NM",IF(((BU129/BM129-1)*100)&lt;-50,"NM",(BU129/BM129-1)*100)))</f>
        <v>-11.092611294592903</v>
      </c>
      <c r="BW129" s="73">
        <f>BU134</f>
        <v>28878</v>
      </c>
      <c r="BX129" s="61">
        <f>IF(ISERROR((BW129/BO129-1)*100),"NA",IF(((BW129/BO129-1)*100)&gt;100,"NM",IF(((BW129/BO129-1)*100)&lt;-50,"NM",(BW129/BO129-1)*100)))</f>
        <v>-19.91236341449887</v>
      </c>
      <c r="BY129" s="73">
        <f>BW134</f>
        <v>28493</v>
      </c>
      <c r="BZ129" s="61">
        <f>IF(ISERROR((BY129/BQ129-1)*100),"NA",IF(((BY129/BQ129-1)*100)&gt;100,"NM",IF(((BY129/BQ129-1)*100)&lt;-50,"NM",(BY129/BQ129-1)*100)))</f>
        <v>-18.038775745023582</v>
      </c>
      <c r="CA129" s="73">
        <f>BY134</f>
        <v>31327</v>
      </c>
      <c r="CB129" s="61">
        <f>IF(ISERROR((CA129/BS129-1)*100),"NA",IF(((CA129/BS129-1)*100)&gt;100,"NM",IF(((CA129/BS129-1)*100)&lt;-50,"NM",(CA129/BS129-1)*100)))</f>
        <v>-10.601563837680494</v>
      </c>
      <c r="CC129" s="73">
        <f>CA134</f>
        <v>34322</v>
      </c>
      <c r="CD129" s="61">
        <f>IF(ISERROR((CC129/BU129-1)*100),"NA",IF(((CC129/BU129-1)*100)&gt;100,"NM",IF(((CC129/BU129-1)*100)&lt;-50,"NM",(CC129/BU129-1)*100)))</f>
        <v>5.3694777883523059</v>
      </c>
      <c r="CE129" s="73">
        <f>CC134</f>
        <v>35302</v>
      </c>
      <c r="CF129" s="61">
        <f>IF(ISERROR((CE129/BW129-1)*100),"NA",IF(((CE129/BW129-1)*100)&gt;100,"NM",IF(((CE129/BW129-1)*100)&lt;-50,"NM",(CE129/BW129-1)*100)))</f>
        <v>22.245307846803787</v>
      </c>
      <c r="CG129" s="73">
        <f>CE134</f>
        <v>36699</v>
      </c>
      <c r="CH129" s="61">
        <f>IF(ISERROR((CG129/BY129-1)*100),"NA",IF(((CG129/BY129-1)*100)&gt;100,"NM",IF(((CG129/BY129-1)*100)&lt;-50,"NM",(CG129/BY129-1)*100)))</f>
        <v>28.800056154143117</v>
      </c>
      <c r="CI129" s="73">
        <f>CG134</f>
        <v>35040</v>
      </c>
      <c r="CJ129" s="61">
        <f>IF(ISERROR((CI129/CA129-1)*100),"NA",IF(((CI129/CA129-1)*100)&gt;100,"NM",IF(((CI129/CA129-1)*100)&lt;-50,"NM",(CI129/CA129-1)*100)))</f>
        <v>11.852395697002581</v>
      </c>
      <c r="CK129" s="73">
        <f>CI134</f>
        <v>37088</v>
      </c>
      <c r="CL129" s="61">
        <f>IF(ISERROR((CK129/CC129-1)*100),"NA",IF(((CK129/CC129-1)*100)&gt;100,"NM",IF(((CK129/CC129-1)*100)&lt;-50,"NM",(CK129/CC129-1)*100)))</f>
        <v>8.0589709224404125</v>
      </c>
      <c r="CM129" s="73">
        <f>CK134</f>
        <v>38824</v>
      </c>
      <c r="CN129" s="61">
        <f t="shared" ref="CN129:DJ135" si="879">IF(ISERROR((CM129/CE129-1)*100),"NA",IF(((CM129/CE129-1)*100)&gt;100,"NM",IF(((CM129/CE129-1)*100)&lt;-50,"NM",(CM129/CE129-1)*100)))</f>
        <v>9.9767718542858717</v>
      </c>
      <c r="CO129" s="73">
        <f>CM134</f>
        <v>40308</v>
      </c>
      <c r="CP129" s="61">
        <f t="shared" si="879"/>
        <v>9.8340554238535169</v>
      </c>
      <c r="CQ129" s="73">
        <f>CO134</f>
        <v>40287</v>
      </c>
      <c r="CR129" s="61">
        <f t="shared" si="879"/>
        <v>14.97431506849316</v>
      </c>
      <c r="CS129" s="73">
        <f>CQ134</f>
        <v>37020</v>
      </c>
      <c r="CT129" s="61">
        <f t="shared" si="879"/>
        <v>-0.18334771354615587</v>
      </c>
      <c r="CU129" s="73">
        <f>CS134</f>
        <v>39133</v>
      </c>
      <c r="CV129" s="61">
        <f t="shared" si="879"/>
        <v>0.79589944364311105</v>
      </c>
      <c r="CW129" s="73">
        <f>CU134</f>
        <v>42020</v>
      </c>
      <c r="CX129" s="61">
        <f t="shared" si="879"/>
        <v>4.2472958221692947</v>
      </c>
      <c r="CY129" s="73">
        <f>CW134</f>
        <v>41397</v>
      </c>
      <c r="CZ129" s="61">
        <f t="shared" si="879"/>
        <v>2.7552312160250114</v>
      </c>
      <c r="DA129" s="73">
        <f>CY134</f>
        <v>43103</v>
      </c>
      <c r="DB129" s="61">
        <f t="shared" si="879"/>
        <v>16.431658562938956</v>
      </c>
      <c r="DC129" s="73">
        <f>DA134</f>
        <v>43931</v>
      </c>
      <c r="DD129" s="61">
        <f t="shared" si="879"/>
        <v>12.260751795160086</v>
      </c>
      <c r="DE129" s="73">
        <f>DC134</f>
        <v>46442</v>
      </c>
      <c r="DF129" s="61">
        <f t="shared" si="879"/>
        <v>10.523560209424087</v>
      </c>
      <c r="DG129" s="73">
        <f>DE134</f>
        <v>47097</v>
      </c>
      <c r="DH129" s="61">
        <f t="shared" si="879"/>
        <v>13.769113703891577</v>
      </c>
      <c r="DI129" s="73">
        <f>DG134</f>
        <v>49309</v>
      </c>
      <c r="DJ129" s="61">
        <f t="shared" si="879"/>
        <v>14.398069739925301</v>
      </c>
      <c r="DK129" s="73">
        <f>DI134</f>
        <v>51618</v>
      </c>
      <c r="DL129" s="61">
        <f t="shared" ref="DL129:DL135" si="880">IF(ISERROR((DK129/DC129-1)*100),"NA",IF(((DK129/DC129-1)*100)&gt;100,"NM",IF(((DK129/DC129-1)*100)&lt;-50,"NM",(DK129/DC129-1)*100)))</f>
        <v>17.497894425348836</v>
      </c>
      <c r="DM129" s="73">
        <f>DK134</f>
        <v>51851</v>
      </c>
      <c r="DN129" s="130">
        <f t="shared" ref="DN129:DZ135" si="881">IF(ISERROR((DM129/DE129-1)*100),"NA",IF(((DM129/DE129-1)*100)&gt;100,"NM",IF(((DM129/DE129-1)*100)&lt;-50,"NM",(DM129/DE129-1)*100)))</f>
        <v>11.646785237500534</v>
      </c>
      <c r="DO129" s="73">
        <f>DM134</f>
        <v>53748</v>
      </c>
      <c r="DP129" s="130">
        <f t="shared" si="881"/>
        <v>14.121918593540993</v>
      </c>
      <c r="DQ129" s="73">
        <f>DO134</f>
        <v>53362</v>
      </c>
      <c r="DR129" s="130">
        <f t="shared" si="881"/>
        <v>8.219594800137898</v>
      </c>
      <c r="DS129" s="73">
        <f>DQ134</f>
        <v>53539</v>
      </c>
      <c r="DT129" s="130">
        <f t="shared" si="881"/>
        <v>3.7215699949630032</v>
      </c>
      <c r="DU129" s="73">
        <f>DS134</f>
        <v>54632</v>
      </c>
      <c r="DV129" s="130">
        <f t="shared" si="881"/>
        <v>5.3634452566006408</v>
      </c>
      <c r="DW129" s="73">
        <f>DU134</f>
        <v>54989</v>
      </c>
      <c r="DX129" s="73">
        <f t="shared" ref="DX129:EI129" si="882">DV134</f>
        <v>2.3089231227208407</v>
      </c>
      <c r="DY129" s="73">
        <f t="shared" si="882"/>
        <v>52844</v>
      </c>
      <c r="DZ129" s="130">
        <f t="shared" si="881"/>
        <v>-0.97072823357445825</v>
      </c>
      <c r="EA129" s="73">
        <f t="shared" si="882"/>
        <v>54100</v>
      </c>
      <c r="EB129" s="130">
        <f t="shared" ref="EB129:EB135" si="883">IF(ISERROR((EA129/DS129-1)*100),"NA",IF(((EA129/DS129-1)*100)&gt;100,"NM",IF(((EA129/DS129-1)*100)&lt;-50,"NM",(EA129/DS129-1)*100)))</f>
        <v>1.0478342890229531</v>
      </c>
      <c r="EC129" s="73">
        <f t="shared" si="882"/>
        <v>54499</v>
      </c>
      <c r="ED129" s="130">
        <f t="shared" ref="ED129:ED135" si="884">IF(ISERROR((EC129/DU129-1)*100),"NA",IF(((EC129/DU129-1)*100)&gt;100,"NM",IF(((EC129/DU129-1)*100)&lt;-50,"NM",(EC129/DU129-1)*100)))</f>
        <v>-0.24344706399179739</v>
      </c>
      <c r="EE129" s="73">
        <f t="shared" si="882"/>
        <v>55430</v>
      </c>
      <c r="EF129" s="130">
        <f t="shared" ref="EF129:EF135" si="885">IF(ISERROR((EE129/DW129-1)*100),"NA",IF(((EE129/DW129-1)*100)&gt;100,"NM",IF(((EE129/DW129-1)*100)&lt;-50,"NM",(EE129/DW129-1)*100)))</f>
        <v>0.80197857753367963</v>
      </c>
      <c r="EG129" s="73">
        <f t="shared" si="882"/>
        <v>57268</v>
      </c>
      <c r="EH129" s="130">
        <f t="shared" ref="EH129:EH135" si="886">IF(ISERROR((EG129/DY129-1)*100),"NA",IF(((EG129/DY129-1)*100)&gt;100,"NM",IF(((EG129/DY129-1)*100)&lt;-50,"NM",(EG129/DY129-1)*100)))</f>
        <v>8.3718113693134413</v>
      </c>
      <c r="EI129" s="73">
        <f t="shared" si="882"/>
        <v>58434</v>
      </c>
      <c r="EJ129" s="130">
        <f t="shared" ref="EJ129:EJ135" si="887">IF(ISERROR((EI129/EA129-1)*100),"NA",IF(((EI129/EA129-1)*100)&gt;100,"NM",IF(((EI129/EA129-1)*100)&lt;-50,"NM",(EI129/EA129-1)*100)))</f>
        <v>8.0110905730129467</v>
      </c>
      <c r="EK129" s="73">
        <f t="shared" ref="EK129:EM129" si="888">EI134</f>
        <v>60733</v>
      </c>
      <c r="EL129" s="130">
        <f t="shared" ref="EL129:EL135" si="889">IF(ISERROR((EK129/EC129-1)*100),"NA",IF(((EK129/EC129-1)*100)&gt;100,"NM",IF(((EK129/EC129-1)*100)&lt;-50,"NM",(EK129/EC129-1)*100)))</f>
        <v>11.438741995265978</v>
      </c>
      <c r="EM129" s="73">
        <f t="shared" si="888"/>
        <v>62568</v>
      </c>
      <c r="EN129" s="130">
        <f t="shared" ref="EN129:EN135" si="890">IF(ISERROR((EM129/EE129-1)*100),"NA",IF(((EM129/EE129-1)*100)&gt;100,"NM",IF(((EM129/EE129-1)*100)&lt;-50,"NM",(EM129/EE129-1)*100)))</f>
        <v>12.877503157135116</v>
      </c>
      <c r="EO129" s="73">
        <f t="shared" ref="EO129" si="891">EM134</f>
        <v>64829</v>
      </c>
      <c r="EP129" s="130">
        <f t="shared" ref="EP129:EP135" si="892">IF(ISERROR((EO129/EG129-1)*100),"NA",IF(((EO129/EG129-1)*100)&gt;100,"NM",IF(((EO129/EG129-1)*100)&lt;-50,"NM",(EO129/EG129-1)*100)))</f>
        <v>13.202835789620737</v>
      </c>
      <c r="EQ129" s="73">
        <f t="shared" ref="EQ129" si="893">EO134</f>
        <v>67369</v>
      </c>
      <c r="ER129" s="130">
        <f t="shared" ref="ER129:ER135" si="894">IF(ISERROR((EQ129/EI129-1)*100),"NA",IF(((EQ129/EI129-1)*100)&gt;100,"NM",IF(((EQ129/EI129-1)*100)&lt;-50,"NM",(EQ129/EI129-1)*100)))</f>
        <v>15.290755382140532</v>
      </c>
      <c r="ES129" s="73">
        <f t="shared" ref="ES129" si="895">EQ134</f>
        <v>67201.521090355222</v>
      </c>
      <c r="ET129" s="130">
        <f t="shared" ref="ET129:ET135" si="896">IF(ISERROR((ES129/EK129-1)*100),"NA",IF(((ES129/EK129-1)*100)&gt;100,"NM",IF(((ES129/EK129-1)*100)&lt;-50,"NM",(ES129/EK129-1)*100)))</f>
        <v>10.650751799442194</v>
      </c>
      <c r="EU129" s="73">
        <f t="shared" ref="EU129" si="897">ES134</f>
        <v>68576.228873239394</v>
      </c>
      <c r="EV129" s="130">
        <f t="shared" ref="EV129:EV135" si="898">IF(ISERROR((EU129/EM129-1)*100),"NA",IF(((EU129/EM129-1)*100)&gt;100,"NM",IF(((EU129/EM129-1)*100)&lt;-50,"NM",(EU129/EM129-1)*100)))</f>
        <v>9.6027184395208298</v>
      </c>
      <c r="EW129" s="73">
        <f t="shared" ref="EW129" si="899">EU134</f>
        <v>70078.981563384164</v>
      </c>
      <c r="EX129" s="130">
        <f t="shared" ref="EX129:EX135" si="900">IF(ISERROR((EW129/EO129-1)*100),"NA",IF(((EW129/EO129-1)*100)&gt;100,"NM",IF(((EW129/EO129-1)*100)&lt;-50,"NM",(EW129/EO129-1)*100)))</f>
        <v>8.0981992061950123</v>
      </c>
      <c r="EY129" s="64"/>
      <c r="EZ129" s="558"/>
      <c r="FA129" s="64"/>
      <c r="FB129" s="66"/>
      <c r="FC129" s="66"/>
      <c r="FD129" s="66"/>
      <c r="FE129" s="67"/>
      <c r="FF129" s="66"/>
      <c r="FG129" s="67"/>
      <c r="FH129" s="66"/>
      <c r="FI129" s="67"/>
      <c r="FJ129" s="66"/>
      <c r="FK129" s="67"/>
      <c r="FL129" s="66"/>
      <c r="FM129" s="61"/>
      <c r="FN129" s="66"/>
      <c r="FO129" s="61"/>
      <c r="FP129" s="65"/>
      <c r="FQ129" s="61"/>
      <c r="FR129" s="65"/>
      <c r="FS129" s="61"/>
      <c r="FT129" s="65">
        <f>BG129</f>
        <v>33656</v>
      </c>
      <c r="FU129" s="61" t="str">
        <f t="shared" ref="FU129:FU137" si="901">IF(ISERROR((FT129/FR129-1)*100),"NA",IF(((FT129/FR129-1)*100)&gt;100,"NM",IF(((FT129/FR129-1)*100)&lt;-50,"NM",(FT129/FR129-1)*100)))</f>
        <v>NA</v>
      </c>
      <c r="FV129" s="65">
        <f>FT134</f>
        <v>36058</v>
      </c>
      <c r="FW129" s="61">
        <f t="shared" ref="FW129:FW135" si="902">IF(ISERROR((FV129/FT129-1)*100),"NA",IF(((FV129/FT129-1)*100)&gt;100,"NM",IF(((FV129/FT129-1)*100)&lt;-50,"NM",(FV129/FT129-1)*100)))</f>
        <v>7.136914666032812</v>
      </c>
      <c r="FX129" s="65">
        <f>FV134</f>
        <v>28878</v>
      </c>
      <c r="FY129" s="61">
        <f t="shared" ref="FY129:FY135" si="903">IF(ISERROR((FX129/FV129-1)*100),"NA",IF(((FX129/FV129-1)*100)&gt;100,"NM",IF(((FX129/FV129-1)*100)&lt;-50,"NM",(FX129/FV129-1)*100)))</f>
        <v>-19.91236341449887</v>
      </c>
      <c r="FZ129" s="65">
        <f>FX134</f>
        <v>35302</v>
      </c>
      <c r="GA129" s="61">
        <f t="shared" ref="GA129:GA135" si="904">IF(ISERROR((FZ129/FX129-1)*100),"NA",IF(((FZ129/FX129-1)*100)&gt;100,"NM",IF(((FZ129/FX129-1)*100)&lt;-50,"NM",(FZ129/FX129-1)*100)))</f>
        <v>22.245307846803787</v>
      </c>
      <c r="GB129" s="65">
        <f>FZ134</f>
        <v>38824</v>
      </c>
      <c r="GC129" s="61">
        <f t="shared" ref="GC129:GE135" si="905">IF(ISERROR((GB129/FZ129-1)*100),"NA",IF(((GB129/FZ129-1)*100)&gt;100,"NM",IF(((GB129/FZ129-1)*100)&lt;-50,"NM",(GB129/FZ129-1)*100)))</f>
        <v>9.9767718542858717</v>
      </c>
      <c r="GD129" s="65">
        <f>GB134</f>
        <v>39133</v>
      </c>
      <c r="GE129" s="61">
        <f t="shared" si="905"/>
        <v>0.79589944364311105</v>
      </c>
      <c r="GF129" s="65">
        <f>GD134</f>
        <v>43931</v>
      </c>
      <c r="GG129" s="61">
        <f t="shared" ref="GG129:GW135" si="906">IF(ISERROR((GF129/GD129-1)*100),"NA",IF(((GF129/GD129-1)*100)&gt;100,"NM",IF(((GF129/GD129-1)*100)&lt;-50,"NM",(GF129/GD129-1)*100)))</f>
        <v>12.260751795160086</v>
      </c>
      <c r="GH129" s="65">
        <f>GF134</f>
        <v>51618</v>
      </c>
      <c r="GI129" s="61">
        <f t="shared" si="906"/>
        <v>17.497894425348836</v>
      </c>
      <c r="GJ129" s="65">
        <f>GH134</f>
        <v>53539</v>
      </c>
      <c r="GK129" s="61">
        <f t="shared" si="906"/>
        <v>3.7215699949630032</v>
      </c>
      <c r="GL129" s="65">
        <f>GJ134</f>
        <v>54100</v>
      </c>
      <c r="GM129" s="61">
        <f t="shared" si="906"/>
        <v>1.0478342890229531</v>
      </c>
      <c r="GN129" s="65">
        <f>GL134</f>
        <v>58434</v>
      </c>
      <c r="GO129" s="61">
        <f t="shared" si="906"/>
        <v>8.0110905730129467</v>
      </c>
      <c r="GP129" s="65">
        <f>GN134</f>
        <v>67369</v>
      </c>
      <c r="GQ129" s="61">
        <f t="shared" si="906"/>
        <v>15.290755382140532</v>
      </c>
      <c r="GR129" s="65">
        <f>GP134</f>
        <v>71055.010561796822</v>
      </c>
      <c r="GS129" s="61">
        <f t="shared" si="906"/>
        <v>5.4713749080390395</v>
      </c>
      <c r="GT129" s="65">
        <f>GR134</f>
        <v>73141.685661774143</v>
      </c>
      <c r="GU129" s="61">
        <f t="shared" si="906"/>
        <v>2.936703665904794</v>
      </c>
      <c r="GV129" s="65">
        <f>GT134</f>
        <v>75511.702493865028</v>
      </c>
      <c r="GW129" s="61">
        <f t="shared" si="906"/>
        <v>3.2403092855289861</v>
      </c>
      <c r="GX129" s="65">
        <f>GV134</f>
        <v>78157.371250236931</v>
      </c>
      <c r="GY129" s="61">
        <f t="shared" ref="GY129:GY135" si="907">IF(ISERROR((GX129/GV129-1)*100),"NA",IF(((GX129/GV129-1)*100)&gt;100,"NM",IF(((GX129/GV129-1)*100)&lt;-50,"NM",(GX129/GV129-1)*100)))</f>
        <v>3.5036539622277152</v>
      </c>
      <c r="GZ129" s="61">
        <f t="shared" ref="GZ129:GZ135" si="908">IF(ISERROR((GX129/GN129)^0.2),"",IF(OR((GX129/GN129)^0.2&lt;0.5,(GX129/GN129)^0.2&gt;2),"NM",((GX129/GN129)^0.2-1)*100))</f>
        <v>5.9890173029451876</v>
      </c>
      <c r="HA129" s="61"/>
      <c r="HB129" s="452"/>
      <c r="HC129"/>
      <c r="HD129"/>
      <c r="HE129"/>
      <c r="HF129"/>
      <c r="HG129"/>
      <c r="HH129"/>
    </row>
    <row r="130" spans="2:216" s="5" customFormat="1" ht="12.75" customHeight="1" x14ac:dyDescent="0.2">
      <c r="B130" s="93" t="s">
        <v>156</v>
      </c>
      <c r="C130" s="66"/>
      <c r="D130" s="67"/>
      <c r="E130" s="66"/>
      <c r="F130" s="66"/>
      <c r="G130" s="64"/>
      <c r="H130" s="66"/>
      <c r="I130" s="64"/>
      <c r="J130" s="66"/>
      <c r="K130" s="64"/>
      <c r="L130" s="61"/>
      <c r="M130" s="66"/>
      <c r="N130" s="61"/>
      <c r="O130" s="64"/>
      <c r="P130" s="61"/>
      <c r="Q130" s="64"/>
      <c r="R130" s="61"/>
      <c r="S130" s="64"/>
      <c r="T130" s="61"/>
      <c r="U130" s="64"/>
      <c r="V130" s="61"/>
      <c r="W130" s="64"/>
      <c r="X130" s="61"/>
      <c r="Y130" s="64"/>
      <c r="Z130" s="61"/>
      <c r="AA130" s="64"/>
      <c r="AB130" s="61"/>
      <c r="AC130" s="64"/>
      <c r="AD130" s="61"/>
      <c r="AE130" s="64"/>
      <c r="AF130" s="61"/>
      <c r="AG130" s="64"/>
      <c r="AH130" s="61"/>
      <c r="AI130" s="64"/>
      <c r="AJ130" s="61"/>
      <c r="AK130" s="64"/>
      <c r="AL130" s="61"/>
      <c r="AM130" s="64"/>
      <c r="AN130" s="61"/>
      <c r="AO130" s="64"/>
      <c r="AP130" s="61"/>
      <c r="AQ130" s="64"/>
      <c r="AR130" s="61"/>
      <c r="AS130" s="64"/>
      <c r="AT130" s="61"/>
      <c r="AU130" s="64"/>
      <c r="AV130" s="61"/>
      <c r="AW130" s="64"/>
      <c r="AX130" s="61"/>
      <c r="AY130" s="64"/>
      <c r="AZ130" s="61"/>
      <c r="BA130" s="64"/>
      <c r="BB130" s="61"/>
      <c r="BC130" s="64"/>
      <c r="BD130" s="61"/>
      <c r="BE130" s="64"/>
      <c r="BF130" s="61"/>
      <c r="BG130" s="72">
        <v>1487</v>
      </c>
      <c r="BH130" s="61" t="str">
        <f>IF(ISERROR((BG130/AY130-1)*100),"NA",IF(((BG130/AY130-1)*100)&gt;100,"NM",IF(((BG130/AY130-1)*100)&lt;-50,"NM",(BG130/AY130-1)*100)))</f>
        <v>NA</v>
      </c>
      <c r="BI130" s="72">
        <v>1273</v>
      </c>
      <c r="BJ130" s="61" t="str">
        <f>IF(ISERROR((BI130/BA130-1)*100),"NA",IF(((BI130/BA130-1)*100)&gt;100,"NM",IF(((BI130/BA130-1)*100)&lt;-50,"NM",(BI130/BA130-1)*100)))</f>
        <v>NA</v>
      </c>
      <c r="BK130" s="72">
        <v>1525</v>
      </c>
      <c r="BL130" s="61" t="str">
        <f>IF(ISERROR((BK130/BC130-1)*100),"NA",IF(((BK130/BC130-1)*100)&gt;100,"NM",IF(((BK130/BC130-1)*100)&lt;-50,"NM",(BK130/BC130-1)*100)))</f>
        <v>NA</v>
      </c>
      <c r="BM130" s="72">
        <v>1264</v>
      </c>
      <c r="BN130" s="61" t="str">
        <f>IF(ISERROR((BM130/BE130-1)*100),"NA",IF(((BM130/BE130-1)*100)&gt;100,"NM",IF(((BM130/BE130-1)*100)&lt;-50,"NM",(BM130/BE130-1)*100)))</f>
        <v>NA</v>
      </c>
      <c r="BO130" s="72">
        <v>1551</v>
      </c>
      <c r="BP130" s="61">
        <f>IF(ISERROR((BO130/BG130-1)*100),"NA",IF(((BO130/BG130-1)*100)&gt;100,"NM",IF(((BO130/BG130-1)*100)&lt;-50,"NM",(BO130/BG130-1)*100)))</f>
        <v>4.3039677202421078</v>
      </c>
      <c r="BQ130" s="72">
        <v>1421</v>
      </c>
      <c r="BR130" s="61">
        <f>IF(ISERROR((BQ130/BI130-1)*100),"NA",IF(((BQ130/BI130-1)*100)&gt;100,"NM",IF(((BQ130/BI130-1)*100)&lt;-50,"NM",(BQ130/BI130-1)*100)))</f>
        <v>11.626080125687356</v>
      </c>
      <c r="BS130" s="72">
        <v>1334</v>
      </c>
      <c r="BT130" s="61">
        <f>IF(ISERROR((BS130/BK130-1)*100),"NA",IF(((BS130/BK130-1)*100)&gt;100,"NM",IF(((BS130/BK130-1)*100)&lt;-50,"NM",(BS130/BK130-1)*100)))</f>
        <v>-12.524590163934423</v>
      </c>
      <c r="BU130" s="72">
        <v>1241</v>
      </c>
      <c r="BV130" s="61">
        <f>IF(ISERROR((BU130/BM130-1)*100),"NA",IF(((BU130/BM130-1)*100)&gt;100,"NM",IF(((BU130/BM130-1)*100)&lt;-50,"NM",(BU130/BM130-1)*100)))</f>
        <v>-1.8196202531645556</v>
      </c>
      <c r="BW130" s="72">
        <v>1561</v>
      </c>
      <c r="BX130" s="61">
        <f>IF(ISERROR((BW130/BO130-1)*100),"NA",IF(((BW130/BO130-1)*100)&gt;100,"NM",IF(((BW130/BO130-1)*100)&lt;-50,"NM",(BW130/BO130-1)*100)))</f>
        <v>0.64474532559639641</v>
      </c>
      <c r="BY130" s="72">
        <v>1130</v>
      </c>
      <c r="BZ130" s="61">
        <f>IF(ISERROR((BY130/BQ130-1)*100),"NA",IF(((BY130/BQ130-1)*100)&gt;100,"NM",IF(((BY130/BQ130-1)*100)&lt;-50,"NM",(BY130/BQ130-1)*100)))</f>
        <v>-20.478536242083045</v>
      </c>
      <c r="CA130" s="72">
        <v>1103</v>
      </c>
      <c r="CB130" s="61">
        <f>IF(ISERROR((CA130/BS130-1)*100),"NA",IF(((CA130/BS130-1)*100)&gt;100,"NM",IF(((CA130/BS130-1)*100)&lt;-50,"NM",(CA130/BS130-1)*100)))</f>
        <v>-17.316341829085459</v>
      </c>
      <c r="CC130" s="72">
        <v>1158</v>
      </c>
      <c r="CD130" s="61">
        <f>IF(ISERROR((CC130/BU130-1)*100),"NA",IF(((CC130/BU130-1)*100)&gt;100,"NM",IF(((CC130/BU130-1)*100)&lt;-50,"NM",(CC130/BU130-1)*100)))</f>
        <v>-6.6881547139403752</v>
      </c>
      <c r="CE130" s="72">
        <v>1307</v>
      </c>
      <c r="CF130" s="61">
        <f>IF(ISERROR((CE130/BW130-1)*100),"NA",IF(((CE130/BW130-1)*100)&gt;100,"NM",IF(((CE130/BW130-1)*100)&lt;-50,"NM",(CE130/BW130-1)*100)))</f>
        <v>-16.271620755925685</v>
      </c>
      <c r="CG130" s="72">
        <v>1374</v>
      </c>
      <c r="CH130" s="61">
        <f>IF(ISERROR((CG130/BY130-1)*100),"NA",IF(((CG130/BY130-1)*100)&gt;100,"NM",IF(((CG130/BY130-1)*100)&lt;-50,"NM",(CG130/BY130-1)*100)))</f>
        <v>21.592920353982304</v>
      </c>
      <c r="CI130" s="72">
        <v>1262</v>
      </c>
      <c r="CJ130" s="61">
        <f>IF(ISERROR((CI130/CA130-1)*100),"NA",IF(((CI130/CA130-1)*100)&gt;100,"NM",IF(((CI130/CA130-1)*100)&lt;-50,"NM",(CI130/CA130-1)*100)))</f>
        <v>14.415231187669985</v>
      </c>
      <c r="CK130" s="72">
        <v>1358</v>
      </c>
      <c r="CL130" s="61">
        <f>IF(ISERROR((CK130/CC130-1)*100),"NA",IF(((CK130/CC130-1)*100)&gt;100,"NM",IF(((CK130/CC130-1)*100)&lt;-50,"NM",(CK130/CC130-1)*100)))</f>
        <v>17.271157167530227</v>
      </c>
      <c r="CM130" s="72">
        <v>1341</v>
      </c>
      <c r="CN130" s="61">
        <f t="shared" si="879"/>
        <v>2.601377199693955</v>
      </c>
      <c r="CO130" s="72">
        <v>1199</v>
      </c>
      <c r="CP130" s="61">
        <f t="shared" si="879"/>
        <v>-12.736535662299852</v>
      </c>
      <c r="CQ130" s="72">
        <v>1456</v>
      </c>
      <c r="CR130" s="61">
        <f t="shared" si="879"/>
        <v>15.372424722662448</v>
      </c>
      <c r="CS130" s="72">
        <v>1570</v>
      </c>
      <c r="CT130" s="61">
        <f t="shared" si="879"/>
        <v>15.611192930780549</v>
      </c>
      <c r="CU130" s="72">
        <v>1511</v>
      </c>
      <c r="CV130" s="61">
        <f t="shared" si="879"/>
        <v>12.677106636838186</v>
      </c>
      <c r="CW130" s="72">
        <v>1291</v>
      </c>
      <c r="CX130" s="61">
        <f t="shared" si="879"/>
        <v>7.6730608840700487</v>
      </c>
      <c r="CY130" s="72">
        <v>1717</v>
      </c>
      <c r="CZ130" s="61">
        <f t="shared" si="879"/>
        <v>17.925824175824179</v>
      </c>
      <c r="DA130" s="72">
        <v>1861</v>
      </c>
      <c r="DB130" s="61">
        <f t="shared" si="879"/>
        <v>18.535031847133766</v>
      </c>
      <c r="DC130" s="72">
        <v>1667</v>
      </c>
      <c r="DD130" s="61">
        <f t="shared" si="879"/>
        <v>10.324288550628724</v>
      </c>
      <c r="DE130" s="72">
        <v>1617</v>
      </c>
      <c r="DF130" s="61">
        <f t="shared" si="879"/>
        <v>25.251742835011616</v>
      </c>
      <c r="DG130" s="72">
        <v>1860</v>
      </c>
      <c r="DH130" s="61">
        <f t="shared" si="879"/>
        <v>8.3284799068142021</v>
      </c>
      <c r="DI130" s="72">
        <v>1643</v>
      </c>
      <c r="DJ130" s="61">
        <f t="shared" si="879"/>
        <v>-11.71413218699624</v>
      </c>
      <c r="DK130" s="72">
        <v>1758</v>
      </c>
      <c r="DL130" s="72">
        <f t="shared" si="880"/>
        <v>5.4589082183563287</v>
      </c>
      <c r="DM130" s="72">
        <v>1814</v>
      </c>
      <c r="DN130" s="130">
        <f t="shared" si="881"/>
        <v>12.1830550401979</v>
      </c>
      <c r="DO130" s="72">
        <v>1611</v>
      </c>
      <c r="DP130" s="130">
        <f t="shared" si="881"/>
        <v>-13.387096774193552</v>
      </c>
      <c r="DQ130" s="72">
        <v>2332</v>
      </c>
      <c r="DR130" s="130">
        <f t="shared" si="881"/>
        <v>41.935483870967751</v>
      </c>
      <c r="DS130" s="72">
        <v>1704</v>
      </c>
      <c r="DT130" s="130">
        <f t="shared" si="881"/>
        <v>-3.0716723549488067</v>
      </c>
      <c r="DU130" s="72">
        <v>1862</v>
      </c>
      <c r="DV130" s="130">
        <f t="shared" si="881"/>
        <v>2.6460859977949225</v>
      </c>
      <c r="DW130" s="72">
        <v>1884</v>
      </c>
      <c r="DX130" s="72">
        <v>1884</v>
      </c>
      <c r="DY130" s="72">
        <v>2095</v>
      </c>
      <c r="DZ130" s="130">
        <f t="shared" si="881"/>
        <v>-10.162950257289882</v>
      </c>
      <c r="EA130" s="72">
        <v>1791</v>
      </c>
      <c r="EB130" s="130">
        <f t="shared" si="883"/>
        <v>5.1056338028169002</v>
      </c>
      <c r="EC130" s="72">
        <v>1660</v>
      </c>
      <c r="ED130" s="130">
        <f t="shared" si="884"/>
        <v>-10.848549946294305</v>
      </c>
      <c r="EE130" s="72">
        <v>1799</v>
      </c>
      <c r="EF130" s="130">
        <f t="shared" si="885"/>
        <v>-4.5116772823779243</v>
      </c>
      <c r="EG130" s="72">
        <v>2406</v>
      </c>
      <c r="EH130" s="130">
        <f t="shared" si="886"/>
        <v>14.844868735083526</v>
      </c>
      <c r="EI130" s="72">
        <v>2252</v>
      </c>
      <c r="EJ130" s="130">
        <f t="shared" si="887"/>
        <v>25.739810161920708</v>
      </c>
      <c r="EK130" s="72">
        <v>1978</v>
      </c>
      <c r="EL130" s="130">
        <f t="shared" si="889"/>
        <v>19.1566265060241</v>
      </c>
      <c r="EM130" s="72">
        <v>1908</v>
      </c>
      <c r="EN130" s="130">
        <f t="shared" si="890"/>
        <v>6.0589216231239584</v>
      </c>
      <c r="EO130" s="72">
        <v>2426</v>
      </c>
      <c r="EP130" s="130">
        <f t="shared" si="892"/>
        <v>0.83125519534497094</v>
      </c>
      <c r="EQ130" s="72">
        <v>2750</v>
      </c>
      <c r="ER130" s="130">
        <f t="shared" si="894"/>
        <v>22.113676731793962</v>
      </c>
      <c r="ES130" s="72">
        <v>2500</v>
      </c>
      <c r="ET130" s="130">
        <f t="shared" si="896"/>
        <v>26.390293225480278</v>
      </c>
      <c r="EU130" s="72">
        <v>2500</v>
      </c>
      <c r="EV130" s="130">
        <f t="shared" si="898"/>
        <v>31.027253668763109</v>
      </c>
      <c r="EW130" s="72">
        <v>2500</v>
      </c>
      <c r="EX130" s="130">
        <f t="shared" si="900"/>
        <v>3.0502885408079106</v>
      </c>
      <c r="EY130" s="64"/>
      <c r="EZ130" s="558"/>
      <c r="FA130" s="64"/>
      <c r="FB130" s="66"/>
      <c r="FC130" s="66"/>
      <c r="FD130" s="66"/>
      <c r="FE130" s="67"/>
      <c r="FF130" s="66"/>
      <c r="FG130" s="67"/>
      <c r="FH130" s="66"/>
      <c r="FI130" s="67"/>
      <c r="FJ130" s="66"/>
      <c r="FK130" s="67"/>
      <c r="FL130" s="66"/>
      <c r="FM130" s="61"/>
      <c r="FN130" s="66"/>
      <c r="FO130" s="61"/>
      <c r="FP130" s="65"/>
      <c r="FQ130" s="61"/>
      <c r="FR130" s="65"/>
      <c r="FS130" s="61"/>
      <c r="FT130" s="75">
        <f>BG130+BI130+BK130+BM130</f>
        <v>5549</v>
      </c>
      <c r="FU130" s="61" t="str">
        <f t="shared" si="901"/>
        <v>NA</v>
      </c>
      <c r="FV130" s="75">
        <f>BO130+BQ130+BS130+BU130</f>
        <v>5547</v>
      </c>
      <c r="FW130" s="61">
        <f t="shared" si="902"/>
        <v>-3.6042530185620425E-2</v>
      </c>
      <c r="FX130" s="75">
        <f>BW130+BY130+CA130+CC130</f>
        <v>4952</v>
      </c>
      <c r="FY130" s="61">
        <f t="shared" si="903"/>
        <v>-10.726518839012078</v>
      </c>
      <c r="FZ130" s="75">
        <f>CE130+CG130+CI130+CK130</f>
        <v>5301</v>
      </c>
      <c r="GA130" s="61">
        <f t="shared" si="904"/>
        <v>7.0476575121163121</v>
      </c>
      <c r="GB130" s="75">
        <f>CM130+CO130+CQ130+CS130</f>
        <v>5566</v>
      </c>
      <c r="GC130" s="61">
        <f t="shared" si="905"/>
        <v>4.9990567817392861</v>
      </c>
      <c r="GD130" s="75">
        <f>CU130+CW130+CY130+DA130</f>
        <v>6380</v>
      </c>
      <c r="GE130" s="61">
        <f t="shared" si="905"/>
        <v>14.624505928853759</v>
      </c>
      <c r="GF130" s="75">
        <f>DC130+DE130+DG130+DI130</f>
        <v>6787</v>
      </c>
      <c r="GG130" s="61">
        <f t="shared" si="906"/>
        <v>6.3793103448275934</v>
      </c>
      <c r="GH130" s="75">
        <f>DK130+DM130+DO130+DQ130</f>
        <v>7515</v>
      </c>
      <c r="GI130" s="61">
        <f t="shared" si="906"/>
        <v>10.726388684249311</v>
      </c>
      <c r="GJ130" s="75">
        <f>DS130+DU130+DW130+DY130</f>
        <v>7545</v>
      </c>
      <c r="GK130" s="61">
        <f t="shared" si="906"/>
        <v>0.39920159680639777</v>
      </c>
      <c r="GL130" s="75">
        <f>EA130+EC130+EE130+EG130</f>
        <v>7656</v>
      </c>
      <c r="GM130" s="61">
        <f t="shared" si="906"/>
        <v>1.4711729622266301</v>
      </c>
      <c r="GN130" s="75">
        <f>EI130+EK130+EM130+EO130</f>
        <v>8564</v>
      </c>
      <c r="GO130" s="61">
        <f t="shared" si="906"/>
        <v>11.859979101358409</v>
      </c>
      <c r="GP130" s="75">
        <f>EQ130+ES130+EU130+EW130</f>
        <v>10250</v>
      </c>
      <c r="GQ130" s="61">
        <f t="shared" si="906"/>
        <v>19.687062120504439</v>
      </c>
      <c r="GR130" s="72">
        <f>GP130*1.05</f>
        <v>10762.5</v>
      </c>
      <c r="GS130" s="61">
        <f t="shared" si="906"/>
        <v>5.0000000000000044</v>
      </c>
      <c r="GT130" s="72">
        <f>GR130*1.05</f>
        <v>11300.625</v>
      </c>
      <c r="GU130" s="61">
        <f t="shared" si="906"/>
        <v>5.0000000000000044</v>
      </c>
      <c r="GV130" s="72">
        <f>GT130*1.05</f>
        <v>11865.65625</v>
      </c>
      <c r="GW130" s="61">
        <f t="shared" si="906"/>
        <v>5.0000000000000044</v>
      </c>
      <c r="GX130" s="72">
        <f>GV130*1.05</f>
        <v>12458.9390625</v>
      </c>
      <c r="GY130" s="61">
        <f t="shared" si="907"/>
        <v>5.0000000000000044</v>
      </c>
      <c r="GZ130" s="61">
        <f t="shared" si="908"/>
        <v>7.7856340007403491</v>
      </c>
      <c r="HA130" s="61"/>
      <c r="HB130" s="452"/>
      <c r="HC130"/>
      <c r="HD130"/>
      <c r="HE130"/>
      <c r="HF130"/>
      <c r="HG130"/>
      <c r="HH130"/>
    </row>
    <row r="131" spans="2:216" s="5" customFormat="1" ht="12.75" customHeight="1" x14ac:dyDescent="0.2">
      <c r="B131" s="93" t="s">
        <v>366</v>
      </c>
      <c r="C131" s="66"/>
      <c r="D131" s="67"/>
      <c r="E131" s="66"/>
      <c r="F131" s="66"/>
      <c r="G131" s="64"/>
      <c r="H131" s="66"/>
      <c r="I131" s="64"/>
      <c r="J131" s="66"/>
      <c r="K131" s="64"/>
      <c r="L131" s="61"/>
      <c r="M131" s="66"/>
      <c r="N131" s="61"/>
      <c r="O131" s="64"/>
      <c r="P131" s="61"/>
      <c r="Q131" s="64"/>
      <c r="R131" s="61"/>
      <c r="S131" s="64"/>
      <c r="T131" s="61"/>
      <c r="U131" s="64"/>
      <c r="V131" s="61"/>
      <c r="W131" s="64"/>
      <c r="X131" s="61"/>
      <c r="Y131" s="64"/>
      <c r="Z131" s="61"/>
      <c r="AA131" s="64"/>
      <c r="AB131" s="61"/>
      <c r="AC131" s="64"/>
      <c r="AD131" s="61"/>
      <c r="AE131" s="64"/>
      <c r="AF131" s="61"/>
      <c r="AG131" s="64"/>
      <c r="AH131" s="61"/>
      <c r="AI131" s="64"/>
      <c r="AJ131" s="61"/>
      <c r="AK131" s="64"/>
      <c r="AL131" s="61"/>
      <c r="AM131" s="64"/>
      <c r="AN131" s="61"/>
      <c r="AO131" s="64"/>
      <c r="AP131" s="61"/>
      <c r="AQ131" s="64"/>
      <c r="AR131" s="61"/>
      <c r="AS131" s="64"/>
      <c r="AT131" s="61"/>
      <c r="AU131" s="64"/>
      <c r="AV131" s="61"/>
      <c r="AW131" s="64"/>
      <c r="AX131" s="61"/>
      <c r="AY131" s="64"/>
      <c r="AZ131" s="61"/>
      <c r="BA131" s="64"/>
      <c r="BB131" s="61"/>
      <c r="BC131" s="64"/>
      <c r="BD131" s="61"/>
      <c r="BE131" s="64"/>
      <c r="BF131" s="61"/>
      <c r="BG131" s="72">
        <v>-1266</v>
      </c>
      <c r="BH131" s="61" t="str">
        <f>IF(ISERROR((BG131/AY131-1)*100),"NA",IF(((BG131/AY131-1)*100)&gt;100,"NM",IF(((BG131/AY131-1)*100)&lt;-50,"NM",(BG131/AY131-1)*100)))</f>
        <v>NA</v>
      </c>
      <c r="BI131" s="72">
        <v>-1200</v>
      </c>
      <c r="BJ131" s="61" t="str">
        <f>IF(ISERROR((BI131/BA131-1)*100),"NA",IF(((BI131/BA131-1)*100)&gt;100,"NM",IF(((BI131/BA131-1)*100)&lt;-50,"NM",(BI131/BA131-1)*100)))</f>
        <v>NA</v>
      </c>
      <c r="BK131" s="72">
        <v>-1392</v>
      </c>
      <c r="BL131" s="61" t="str">
        <f>IF(ISERROR((BK131/BC131-1)*100),"NA",IF(((BK131/BC131-1)*100)&gt;100,"NM",IF(((BK131/BC131-1)*100)&lt;-50,"NM",(BK131/BC131-1)*100)))</f>
        <v>NA</v>
      </c>
      <c r="BM131" s="72">
        <v>-1355</v>
      </c>
      <c r="BN131" s="61" t="str">
        <f>IF(ISERROR((BM131/BE131-1)*100),"NA",IF(((BM131/BE131-1)*100)&gt;100,"NM",IF(((BM131/BE131-1)*100)&lt;-50,"NM",(BM131/BE131-1)*100)))</f>
        <v>NA</v>
      </c>
      <c r="BO131" s="72">
        <v>-1271</v>
      </c>
      <c r="BP131" s="61">
        <f>IF(ISERROR((BO131/BG131-1)*100),"NA",IF(((BO131/BG131-1)*100)&gt;100,"NM",IF(((BO131/BG131-1)*100)&lt;-50,"NM",(BO131/BG131-1)*100)))</f>
        <v>0.3949447077409074</v>
      </c>
      <c r="BQ131" s="72">
        <v>-1184</v>
      </c>
      <c r="BR131" s="61">
        <f>IF(ISERROR((BQ131/BI131-1)*100),"NA",IF(((BQ131/BI131-1)*100)&gt;100,"NM",IF(((BQ131/BI131-1)*100)&lt;-50,"NM",(BQ131/BI131-1)*100)))</f>
        <v>-1.3333333333333308</v>
      </c>
      <c r="BS131" s="72">
        <v>-1241</v>
      </c>
      <c r="BT131" s="61">
        <f>IF(ISERROR((BS131/BK131-1)*100),"NA",IF(((BS131/BK131-1)*100)&gt;100,"NM",IF(((BS131/BK131-1)*100)&lt;-50,"NM",(BS131/BK131-1)*100)))</f>
        <v>-10.847701149425292</v>
      </c>
      <c r="BU131" s="72">
        <v>-1070</v>
      </c>
      <c r="BV131" s="61">
        <f>IF(ISERROR((BU131/BM131-1)*100),"NA",IF(((BU131/BM131-1)*100)&gt;100,"NM",IF(((BU131/BM131-1)*100)&lt;-50,"NM",(BU131/BM131-1)*100)))</f>
        <v>-21.033210332103323</v>
      </c>
      <c r="BW131" s="72">
        <v>-904</v>
      </c>
      <c r="BX131" s="61">
        <f>IF(ISERROR((BW131/BO131-1)*100),"NA",IF(((BW131/BO131-1)*100)&gt;100,"NM",IF(((BW131/BO131-1)*100)&lt;-50,"NM",(BW131/BO131-1)*100)))</f>
        <v>-28.874901652242325</v>
      </c>
      <c r="BY131" s="72">
        <v>-874</v>
      </c>
      <c r="BZ131" s="61">
        <f>IF(ISERROR((BY131/BQ131-1)*100),"NA",IF(((BY131/BQ131-1)*100)&gt;100,"NM",IF(((BY131/BQ131-1)*100)&lt;-50,"NM",(BY131/BQ131-1)*100)))</f>
        <v>-26.182432432432435</v>
      </c>
      <c r="CA131" s="72">
        <v>-959</v>
      </c>
      <c r="CB131" s="61">
        <f>IF(ISERROR((CA131/BS131-1)*100),"NA",IF(((CA131/BS131-1)*100)&gt;100,"NM",IF(((CA131/BS131-1)*100)&lt;-50,"NM",(CA131/BS131-1)*100)))</f>
        <v>-22.723609991941984</v>
      </c>
      <c r="CC131" s="72">
        <v>-1220</v>
      </c>
      <c r="CD131" s="61">
        <f>IF(ISERROR((CC131/BU131-1)*100),"NA",IF(((CC131/BU131-1)*100)&gt;100,"NM",IF(((CC131/BU131-1)*100)&lt;-50,"NM",(CC131/BU131-1)*100)))</f>
        <v>14.018691588785037</v>
      </c>
      <c r="CE131" s="72">
        <v>-1198</v>
      </c>
      <c r="CF131" s="61">
        <f>IF(ISERROR((CE131/BW131-1)*100),"NA",IF(((CE131/BW131-1)*100)&gt;100,"NM",IF(((CE131/BW131-1)*100)&lt;-50,"NM",(CE131/BW131-1)*100)))</f>
        <v>32.522123893805308</v>
      </c>
      <c r="CG131" s="72">
        <v>-1192</v>
      </c>
      <c r="CH131" s="61">
        <f>IF(ISERROR((CG131/BY131-1)*100),"NA",IF(((CG131/BY131-1)*100)&gt;100,"NM",IF(((CG131/BY131-1)*100)&lt;-50,"NM",(CG131/BY131-1)*100)))</f>
        <v>36.384439359267738</v>
      </c>
      <c r="CI131" s="72">
        <v>-1540</v>
      </c>
      <c r="CJ131" s="61">
        <f>IF(ISERROR((CI131/CA131-1)*100),"NA",IF(((CI131/CA131-1)*100)&gt;100,"NM",IF(((CI131/CA131-1)*100)&lt;-50,"NM",(CI131/CA131-1)*100)))</f>
        <v>60.583941605839421</v>
      </c>
      <c r="CK131" s="72">
        <v>-1662</v>
      </c>
      <c r="CL131" s="61">
        <f>IF(ISERROR((CK131/CC131-1)*100),"NA",IF(((CK131/CC131-1)*100)&gt;100,"NM",IF(((CK131/CC131-1)*100)&lt;-50,"NM",(CK131/CC131-1)*100)))</f>
        <v>36.229508196721305</v>
      </c>
      <c r="CM131" s="72">
        <v>-1207</v>
      </c>
      <c r="CN131" s="61">
        <f t="shared" si="879"/>
        <v>0.75125208681134925</v>
      </c>
      <c r="CO131" s="72">
        <v>-1377</v>
      </c>
      <c r="CP131" s="61">
        <f t="shared" si="879"/>
        <v>15.520134228187921</v>
      </c>
      <c r="CQ131" s="72">
        <v>-1127</v>
      </c>
      <c r="CR131" s="61">
        <f t="shared" si="879"/>
        <v>-26.81818181818182</v>
      </c>
      <c r="CS131" s="72">
        <v>-1351</v>
      </c>
      <c r="CT131" s="61">
        <f t="shared" si="879"/>
        <v>-18.712394705174486</v>
      </c>
      <c r="CU131" s="72">
        <v>-1299</v>
      </c>
      <c r="CV131" s="61">
        <f t="shared" si="879"/>
        <v>7.6222038111019019</v>
      </c>
      <c r="CW131" s="72">
        <v>-1097</v>
      </c>
      <c r="CX131" s="61">
        <f t="shared" si="879"/>
        <v>-20.33405954974582</v>
      </c>
      <c r="CY131" s="72">
        <v>-1485</v>
      </c>
      <c r="CZ131" s="61">
        <f t="shared" si="879"/>
        <v>31.765749778172147</v>
      </c>
      <c r="DA131" s="72">
        <v>-1513</v>
      </c>
      <c r="DB131" s="61">
        <f t="shared" si="879"/>
        <v>11.991117690599552</v>
      </c>
      <c r="DC131" s="72">
        <v>-1323</v>
      </c>
      <c r="DD131" s="61">
        <f t="shared" si="879"/>
        <v>1.8475750577367167</v>
      </c>
      <c r="DE131" s="72">
        <v>-1280</v>
      </c>
      <c r="DF131" s="61">
        <f t="shared" si="879"/>
        <v>16.68185961713764</v>
      </c>
      <c r="DG131" s="72">
        <v>-1641</v>
      </c>
      <c r="DH131" s="61">
        <f t="shared" si="879"/>
        <v>10.505050505050505</v>
      </c>
      <c r="DI131" s="72">
        <v>-1750</v>
      </c>
      <c r="DJ131" s="61">
        <f t="shared" si="879"/>
        <v>15.664243225380048</v>
      </c>
      <c r="DK131" s="72">
        <v>-2119</v>
      </c>
      <c r="DL131" s="61">
        <f t="shared" si="880"/>
        <v>60.166288737717302</v>
      </c>
      <c r="DM131" s="72">
        <v>-1448</v>
      </c>
      <c r="DN131" s="130">
        <f t="shared" si="881"/>
        <v>13.125000000000009</v>
      </c>
      <c r="DO131" s="72">
        <v>-1561</v>
      </c>
      <c r="DP131" s="130">
        <f t="shared" si="881"/>
        <v>-4.8750761730652066</v>
      </c>
      <c r="DQ131" s="72">
        <v>-3268</v>
      </c>
      <c r="DR131" s="130">
        <f t="shared" si="881"/>
        <v>86.742857142857147</v>
      </c>
      <c r="DS131" s="72">
        <v>-1589</v>
      </c>
      <c r="DT131" s="130">
        <f t="shared" si="881"/>
        <v>-25.011798017932986</v>
      </c>
      <c r="DU131" s="72">
        <v>-1556</v>
      </c>
      <c r="DV131" s="130">
        <f t="shared" si="881"/>
        <v>7.4585635359116109</v>
      </c>
      <c r="DW131" s="72">
        <v>-1633</v>
      </c>
      <c r="DX131" s="72">
        <v>-1633</v>
      </c>
      <c r="DY131" s="72">
        <v>-2316</v>
      </c>
      <c r="DZ131" s="130">
        <f t="shared" si="881"/>
        <v>-29.13096695226438</v>
      </c>
      <c r="EA131" s="72">
        <v>-1713</v>
      </c>
      <c r="EB131" s="130">
        <f t="shared" si="883"/>
        <v>7.8036500943989839</v>
      </c>
      <c r="EC131" s="72">
        <v>-1656</v>
      </c>
      <c r="ED131" s="130">
        <f t="shared" si="884"/>
        <v>6.4267352185090054</v>
      </c>
      <c r="EE131" s="72">
        <v>-1702</v>
      </c>
      <c r="EF131" s="130">
        <f t="shared" si="885"/>
        <v>4.2253521126760507</v>
      </c>
      <c r="EG131" s="72">
        <v>-2020</v>
      </c>
      <c r="EH131" s="130">
        <f t="shared" si="886"/>
        <v>-12.780656303972371</v>
      </c>
      <c r="EI131" s="72">
        <v>-2136</v>
      </c>
      <c r="EJ131" s="130">
        <f t="shared" si="887"/>
        <v>24.693520140105086</v>
      </c>
      <c r="EK131" s="72">
        <v>-1583</v>
      </c>
      <c r="EL131" s="130">
        <f t="shared" si="889"/>
        <v>-4.4082125603864704</v>
      </c>
      <c r="EM131" s="72">
        <v>-1493</v>
      </c>
      <c r="EN131" s="130">
        <f t="shared" si="890"/>
        <v>-12.279670975323153</v>
      </c>
      <c r="EO131" s="72">
        <v>-2014</v>
      </c>
      <c r="EP131" s="130">
        <f t="shared" si="892"/>
        <v>-0.29702970297029729</v>
      </c>
      <c r="EQ131" s="73">
        <f t="shared" ref="EQ131:EW131" si="909">EQ129*EQ139/400</f>
        <v>-2462.6105349625218</v>
      </c>
      <c r="ER131" s="130">
        <f t="shared" si="894"/>
        <v>15.290755382140532</v>
      </c>
      <c r="ES131" s="73">
        <f t="shared" si="909"/>
        <v>-1751.6014009851697</v>
      </c>
      <c r="ET131" s="130">
        <f t="shared" si="896"/>
        <v>10.650751799442171</v>
      </c>
      <c r="EU131" s="73">
        <f t="shared" si="909"/>
        <v>-1636.368586302046</v>
      </c>
      <c r="EV131" s="130">
        <f t="shared" si="898"/>
        <v>9.6027184395208298</v>
      </c>
      <c r="EW131" s="73">
        <f t="shared" si="909"/>
        <v>-2177.0977320127677</v>
      </c>
      <c r="EX131" s="130">
        <f t="shared" si="900"/>
        <v>8.0981992061950123</v>
      </c>
      <c r="EY131" s="64"/>
      <c r="EZ131" s="558"/>
      <c r="FA131" s="64"/>
      <c r="FB131" s="66"/>
      <c r="FC131" s="66"/>
      <c r="FD131" s="66"/>
      <c r="FE131" s="67"/>
      <c r="FF131" s="66"/>
      <c r="FG131" s="67"/>
      <c r="FH131" s="66"/>
      <c r="FI131" s="67"/>
      <c r="FJ131" s="66"/>
      <c r="FK131" s="67"/>
      <c r="FL131" s="66"/>
      <c r="FM131" s="61"/>
      <c r="FN131" s="66"/>
      <c r="FO131" s="61"/>
      <c r="FP131" s="65"/>
      <c r="FQ131" s="61"/>
      <c r="FR131" s="65"/>
      <c r="FS131" s="61"/>
      <c r="FT131" s="75">
        <f>BG131+BI131+BK131+BM131</f>
        <v>-5213</v>
      </c>
      <c r="FU131" s="61" t="str">
        <f t="shared" si="901"/>
        <v>NA</v>
      </c>
      <c r="FV131" s="75">
        <f>BO131+BQ131+BS131+BU131</f>
        <v>-4766</v>
      </c>
      <c r="FW131" s="61">
        <f t="shared" si="902"/>
        <v>-8.5747170535200432</v>
      </c>
      <c r="FX131" s="75">
        <f>BW131+BY131+CA131+CC131</f>
        <v>-3957</v>
      </c>
      <c r="FY131" s="61">
        <f t="shared" si="903"/>
        <v>-16.974402014267731</v>
      </c>
      <c r="FZ131" s="75">
        <f>CE131+CG131+CI131+CK131</f>
        <v>-5592</v>
      </c>
      <c r="GA131" s="61">
        <f t="shared" si="904"/>
        <v>41.319181197877185</v>
      </c>
      <c r="GB131" s="75">
        <f>CM131+CO131+CQ131+CS131</f>
        <v>-5062</v>
      </c>
      <c r="GC131" s="61">
        <f t="shared" si="905"/>
        <v>-9.4778254649499303</v>
      </c>
      <c r="GD131" s="75">
        <f>CU131+CW131+CY131+DA131</f>
        <v>-5394</v>
      </c>
      <c r="GE131" s="61">
        <f t="shared" si="905"/>
        <v>6.558672461477677</v>
      </c>
      <c r="GF131" s="75">
        <f>DC131+DE131+DG131+DI131</f>
        <v>-5994</v>
      </c>
      <c r="GG131" s="61">
        <f t="shared" si="906"/>
        <v>11.123470522803114</v>
      </c>
      <c r="GH131" s="75">
        <f>DK131+DM131+DO131+DQ131</f>
        <v>-8396</v>
      </c>
      <c r="GI131" s="61">
        <f t="shared" si="906"/>
        <v>40.073406740073402</v>
      </c>
      <c r="GJ131" s="75">
        <f>DS131+DU131+DW131+DY131</f>
        <v>-7094</v>
      </c>
      <c r="GK131" s="61">
        <f t="shared" si="906"/>
        <v>-15.50738446879466</v>
      </c>
      <c r="GL131" s="75">
        <f>EA131+EC131+EE131+EG131</f>
        <v>-7091</v>
      </c>
      <c r="GM131" s="61">
        <f t="shared" si="906"/>
        <v>-4.2289258528338536E-2</v>
      </c>
      <c r="GN131" s="75">
        <f>EI131+EK131+EM131+EO131</f>
        <v>-7226</v>
      </c>
      <c r="GO131" s="61">
        <f t="shared" si="906"/>
        <v>1.903821745875045</v>
      </c>
      <c r="GP131" s="75">
        <f>EQ131+ES131+EU131+EW131</f>
        <v>-8027.6782542625042</v>
      </c>
      <c r="GQ131" s="61">
        <f t="shared" si="906"/>
        <v>11.094357241385344</v>
      </c>
      <c r="GR131" s="73">
        <f>GR129*GR139/100</f>
        <v>-8466.9026279643276</v>
      </c>
      <c r="GS131" s="61">
        <f t="shared" si="906"/>
        <v>5.4713749080390173</v>
      </c>
      <c r="GT131" s="73">
        <f>GT129*GT139/100</f>
        <v>-8715.5504678283451</v>
      </c>
      <c r="GU131" s="61">
        <f t="shared" si="906"/>
        <v>2.936703665904794</v>
      </c>
      <c r="GV131" s="73">
        <f>GV129*GV139/100</f>
        <v>-8997.9612589223525</v>
      </c>
      <c r="GW131" s="61">
        <f t="shared" si="906"/>
        <v>3.2403092855289861</v>
      </c>
      <c r="GX131" s="73">
        <f>GX129*GX139/100</f>
        <v>-9313.2186850902999</v>
      </c>
      <c r="GY131" s="61">
        <f t="shared" si="907"/>
        <v>3.5036539622277152</v>
      </c>
      <c r="GZ131" s="61">
        <f t="shared" si="908"/>
        <v>5.2059660751110126</v>
      </c>
      <c r="HA131" s="61"/>
      <c r="HB131" s="452"/>
      <c r="HC131"/>
      <c r="HD131"/>
      <c r="HE131"/>
      <c r="HF131"/>
      <c r="HG131"/>
      <c r="HH131"/>
    </row>
    <row r="132" spans="2:216" s="5" customFormat="1" ht="12.75" customHeight="1" x14ac:dyDescent="0.2">
      <c r="B132" s="93" t="s">
        <v>537</v>
      </c>
      <c r="C132" s="66"/>
      <c r="D132" s="67"/>
      <c r="E132" s="66"/>
      <c r="F132" s="66"/>
      <c r="G132" s="64"/>
      <c r="H132" s="66"/>
      <c r="I132" s="64"/>
      <c r="J132" s="66"/>
      <c r="K132" s="64"/>
      <c r="L132" s="61"/>
      <c r="M132" s="66"/>
      <c r="N132" s="61"/>
      <c r="O132" s="64"/>
      <c r="P132" s="61"/>
      <c r="Q132" s="64"/>
      <c r="R132" s="61"/>
      <c r="S132" s="64"/>
      <c r="T132" s="61"/>
      <c r="U132" s="64"/>
      <c r="V132" s="61"/>
      <c r="W132" s="64"/>
      <c r="X132" s="61"/>
      <c r="Y132" s="64"/>
      <c r="Z132" s="61"/>
      <c r="AA132" s="64"/>
      <c r="AB132" s="61"/>
      <c r="AC132" s="64"/>
      <c r="AD132" s="61"/>
      <c r="AE132" s="64"/>
      <c r="AF132" s="61"/>
      <c r="AG132" s="64"/>
      <c r="AH132" s="61"/>
      <c r="AI132" s="64"/>
      <c r="AJ132" s="61"/>
      <c r="AK132" s="64"/>
      <c r="AL132" s="61"/>
      <c r="AM132" s="64"/>
      <c r="AN132" s="61"/>
      <c r="AO132" s="64"/>
      <c r="AP132" s="61"/>
      <c r="AQ132" s="64"/>
      <c r="AR132" s="61"/>
      <c r="AS132" s="64"/>
      <c r="AT132" s="61"/>
      <c r="AU132" s="64"/>
      <c r="AV132" s="61"/>
      <c r="AW132" s="64"/>
      <c r="AX132" s="61"/>
      <c r="AY132" s="64"/>
      <c r="AZ132" s="61"/>
      <c r="BA132" s="64"/>
      <c r="BB132" s="61"/>
      <c r="BC132" s="64"/>
      <c r="BD132" s="61"/>
      <c r="BE132" s="64"/>
      <c r="BF132" s="61"/>
      <c r="BG132" s="73">
        <f>BG134-BG131-BG130-BG129</f>
        <v>598</v>
      </c>
      <c r="BH132" s="61" t="str">
        <f>IF(ISERROR((BG132/AY132-1)*100),"NA",IF(((BG132/AY132-1)*100)&gt;100,"NM",IF(((BG132/AY132-1)*100)&lt;-50,"NM",(BG132/AY132-1)*100)))</f>
        <v>NA</v>
      </c>
      <c r="BI132" s="73">
        <f>BI134-BI131-BI130-BI129</f>
        <v>1415</v>
      </c>
      <c r="BJ132" s="61" t="str">
        <f>IF(ISERROR((BI132/BA132-1)*100),"NA",IF(((BI132/BA132-1)*100)&gt;100,"NM",IF(((BI132/BA132-1)*100)&lt;-50,"NM",(BI132/BA132-1)*100)))</f>
        <v>NA</v>
      </c>
      <c r="BK132" s="73">
        <f>BK134-BK131-BK130-BK129</f>
        <v>541</v>
      </c>
      <c r="BL132" s="61" t="str">
        <f>IF(ISERROR((BK132/BC132-1)*100),"NA",IF(((BK132/BC132-1)*100)&gt;100,"NM",IF(((BK132/BC132-1)*100)&lt;-50,"NM",(BK132/BC132-1)*100)))</f>
        <v>NA</v>
      </c>
      <c r="BM132" s="73">
        <f>BM134-BM131-BM130-BM129</f>
        <v>-488</v>
      </c>
      <c r="BN132" s="61" t="str">
        <f>IF(ISERROR((BM132/BE132-1)*100),"NA",IF(((BM132/BE132-1)*100)&gt;100,"NM",IF(((BM132/BE132-1)*100)&lt;-50,"NM",(BM132/BE132-1)*100)))</f>
        <v>NA</v>
      </c>
      <c r="BO132" s="73">
        <f>BO134-BO131-BO130-BO129</f>
        <v>-1574</v>
      </c>
      <c r="BP132" s="61" t="str">
        <f>IF(ISERROR((BO132/BG132-1)*100),"NA",IF(((BO132/BG132-1)*100)&gt;100,"NM",IF(((BO132/BG132-1)*100)&lt;-50,"NM",(BO132/BG132-1)*100)))</f>
        <v>NM</v>
      </c>
      <c r="BQ132" s="73">
        <f>BQ134-BQ131-BQ130-BQ129</f>
        <v>41</v>
      </c>
      <c r="BR132" s="61" t="str">
        <f>IF(ISERROR((BQ132/BI132-1)*100),"NA",IF(((BQ132/BI132-1)*100)&gt;100,"NM",IF(((BQ132/BI132-1)*100)&lt;-50,"NM",(BQ132/BI132-1)*100)))</f>
        <v>NM</v>
      </c>
      <c r="BS132" s="73">
        <f>BS134-BS131-BS130-BS129</f>
        <v>-2562</v>
      </c>
      <c r="BT132" s="61" t="str">
        <f>IF(ISERROR((BS132/BK132-1)*100),"NA",IF(((BS132/BK132-1)*100)&gt;100,"NM",IF(((BS132/BK132-1)*100)&lt;-50,"NM",(BS132/BK132-1)*100)))</f>
        <v>NM</v>
      </c>
      <c r="BU132" s="73">
        <f>BU134-BU131-BU130-BU129</f>
        <v>-3866</v>
      </c>
      <c r="BV132" s="61" t="str">
        <f>IF(ISERROR((BU132/BM132-1)*100),"NA",IF(((BU132/BM132-1)*100)&gt;100,"NM",IF(((BU132/BM132-1)*100)&lt;-50,"NM",(BU132/BM132-1)*100)))</f>
        <v>NM</v>
      </c>
      <c r="BW132" s="73">
        <f>BW134-BW131-BW130-BW129</f>
        <v>-1042</v>
      </c>
      <c r="BX132" s="61">
        <f>IF(ISERROR((BW132/BO132-1)*100),"NA",IF(((BW132/BO132-1)*100)&gt;100,"NM",IF(((BW132/BO132-1)*100)&lt;-50,"NM",(BW132/BO132-1)*100)))</f>
        <v>-33.799237611181695</v>
      </c>
      <c r="BY132" s="73">
        <f>BY134-BY131-BY130-BY129</f>
        <v>2578</v>
      </c>
      <c r="BZ132" s="61" t="str">
        <f>IF(ISERROR((BY132/BQ132-1)*100),"NA",IF(((BY132/BQ132-1)*100)&gt;100,"NM",IF(((BY132/BQ132-1)*100)&lt;-50,"NM",(BY132/BQ132-1)*100)))</f>
        <v>NM</v>
      </c>
      <c r="CA132" s="73">
        <f>CA134-CA131-CA130-CA129</f>
        <v>2851</v>
      </c>
      <c r="CB132" s="61" t="str">
        <f>IF(ISERROR((CA132/BS132-1)*100),"NA",IF(((CA132/BS132-1)*100)&gt;100,"NM",IF(((CA132/BS132-1)*100)&lt;-50,"NM",(CA132/BS132-1)*100)))</f>
        <v>NM</v>
      </c>
      <c r="CC132" s="73">
        <f>CC134-CC131-CC130-CC129</f>
        <v>1042</v>
      </c>
      <c r="CD132" s="61" t="str">
        <f>IF(ISERROR((CC132/BU132-1)*100),"NA",IF(((CC132/BU132-1)*100)&gt;100,"NM",IF(((CC132/BU132-1)*100)&lt;-50,"NM",(CC132/BU132-1)*100)))</f>
        <v>NM</v>
      </c>
      <c r="CE132" s="73">
        <f>CE134-CE131-CE130-CE129</f>
        <v>1288</v>
      </c>
      <c r="CF132" s="61" t="str">
        <f>IF(ISERROR((CE132/BW132-1)*100),"NA",IF(((CE132/BW132-1)*100)&gt;100,"NM",IF(((CE132/BW132-1)*100)&lt;-50,"NM",(CE132/BW132-1)*100)))</f>
        <v>NM</v>
      </c>
      <c r="CG132" s="73">
        <f>CG134-CG131-CG130-CG129</f>
        <v>-1841</v>
      </c>
      <c r="CH132" s="61" t="str">
        <f>IF(ISERROR((CG132/BY132-1)*100),"NA",IF(((CG132/BY132-1)*100)&gt;100,"NM",IF(((CG132/BY132-1)*100)&lt;-50,"NM",(CG132/BY132-1)*100)))</f>
        <v>NM</v>
      </c>
      <c r="CI132" s="73">
        <f>CI134-CI131-CI130-CI129</f>
        <v>2326</v>
      </c>
      <c r="CJ132" s="61">
        <f>IF(ISERROR((CI132/CA132-1)*100),"NA",IF(((CI132/CA132-1)*100)&gt;100,"NM",IF(((CI132/CA132-1)*100)&lt;-50,"NM",(CI132/CA132-1)*100)))</f>
        <v>-18.414591371448619</v>
      </c>
      <c r="CK132" s="73">
        <f>CK134-CK131-CK130-CK129</f>
        <v>2040</v>
      </c>
      <c r="CL132" s="61">
        <f>IF(ISERROR((CK132/CC132-1)*100),"NA",IF(((CK132/CC132-1)*100)&gt;100,"NM",IF(((CK132/CC132-1)*100)&lt;-50,"NM",(CK132/CC132-1)*100)))</f>
        <v>95.777351247600762</v>
      </c>
      <c r="CM132" s="73">
        <f>CM134-CM131-CM130-CM129</f>
        <v>1350</v>
      </c>
      <c r="CN132" s="61">
        <f t="shared" si="879"/>
        <v>4.8136645962732816</v>
      </c>
      <c r="CO132" s="72">
        <v>174</v>
      </c>
      <c r="CP132" s="61" t="str">
        <f t="shared" si="879"/>
        <v>NM</v>
      </c>
      <c r="CQ132" s="72">
        <v>-3577</v>
      </c>
      <c r="CR132" s="61" t="str">
        <f t="shared" si="879"/>
        <v>NM</v>
      </c>
      <c r="CS132" s="72">
        <v>1894</v>
      </c>
      <c r="CT132" s="61">
        <f t="shared" si="879"/>
        <v>-7.156862745098036</v>
      </c>
      <c r="CU132" s="72">
        <v>2688</v>
      </c>
      <c r="CV132" s="61">
        <f t="shared" si="879"/>
        <v>99.1111111111111</v>
      </c>
      <c r="CW132" s="72">
        <v>-812</v>
      </c>
      <c r="CX132" s="61" t="str">
        <f t="shared" si="879"/>
        <v>NM</v>
      </c>
      <c r="CY132" s="72">
        <v>1496</v>
      </c>
      <c r="CZ132" s="61" t="str">
        <f t="shared" si="879"/>
        <v>NM</v>
      </c>
      <c r="DA132" s="72">
        <v>514</v>
      </c>
      <c r="DB132" s="61" t="str">
        <f t="shared" si="879"/>
        <v>NM</v>
      </c>
      <c r="DC132" s="72">
        <v>2168</v>
      </c>
      <c r="DD132" s="61">
        <f t="shared" si="879"/>
        <v>-19.345238095238095</v>
      </c>
      <c r="DE132" s="72">
        <v>310</v>
      </c>
      <c r="DF132" s="61" t="str">
        <f t="shared" si="879"/>
        <v>NM</v>
      </c>
      <c r="DG132" s="72">
        <v>2007</v>
      </c>
      <c r="DH132" s="61">
        <f t="shared" si="879"/>
        <v>34.157754010695186</v>
      </c>
      <c r="DI132" s="72">
        <v>2409</v>
      </c>
      <c r="DJ132" s="61" t="str">
        <f t="shared" si="879"/>
        <v>NM</v>
      </c>
      <c r="DK132" s="72">
        <v>585</v>
      </c>
      <c r="DL132" s="61" t="str">
        <f t="shared" si="880"/>
        <v>NM</v>
      </c>
      <c r="DM132" s="72">
        <v>1524</v>
      </c>
      <c r="DN132" s="130" t="str">
        <f t="shared" si="881"/>
        <v>NM</v>
      </c>
      <c r="DO132" s="72">
        <v>-424</v>
      </c>
      <c r="DP132" s="130" t="str">
        <f t="shared" si="881"/>
        <v>NM</v>
      </c>
      <c r="DQ132" s="72">
        <v>1112</v>
      </c>
      <c r="DR132" s="130" t="str">
        <f t="shared" si="881"/>
        <v>NM</v>
      </c>
      <c r="DS132" s="72">
        <v>991</v>
      </c>
      <c r="DT132" s="130">
        <f t="shared" si="881"/>
        <v>69.401709401709397</v>
      </c>
      <c r="DU132" s="72">
        <v>48</v>
      </c>
      <c r="DV132" s="130" t="str">
        <f t="shared" si="881"/>
        <v>NM</v>
      </c>
      <c r="DW132" s="72">
        <v>-2411</v>
      </c>
      <c r="DX132" s="72">
        <v>-2411</v>
      </c>
      <c r="DY132" s="72">
        <v>1468</v>
      </c>
      <c r="DZ132" s="130">
        <f t="shared" si="881"/>
        <v>32.014388489208635</v>
      </c>
      <c r="EA132" s="72">
        <v>302</v>
      </c>
      <c r="EB132" s="130" t="str">
        <f t="shared" si="883"/>
        <v>NM</v>
      </c>
      <c r="EC132" s="72">
        <v>904</v>
      </c>
      <c r="ED132" s="130" t="str">
        <f t="shared" si="884"/>
        <v>NM</v>
      </c>
      <c r="EE132" s="72">
        <v>1704</v>
      </c>
      <c r="EF132" s="130" t="str">
        <f t="shared" si="885"/>
        <v>NM</v>
      </c>
      <c r="EG132" s="72">
        <v>714</v>
      </c>
      <c r="EH132" s="130" t="str">
        <f t="shared" si="886"/>
        <v>NM</v>
      </c>
      <c r="EI132" s="72">
        <v>2190</v>
      </c>
      <c r="EJ132" s="130" t="str">
        <f t="shared" si="887"/>
        <v>NM</v>
      </c>
      <c r="EK132" s="72">
        <v>1503</v>
      </c>
      <c r="EL132" s="130">
        <f t="shared" si="889"/>
        <v>66.261061946902643</v>
      </c>
      <c r="EM132" s="72">
        <v>1875</v>
      </c>
      <c r="EN132" s="130">
        <f t="shared" si="890"/>
        <v>10.035211267605625</v>
      </c>
      <c r="EO132" s="72">
        <v>2175</v>
      </c>
      <c r="EP132" s="130" t="str">
        <f t="shared" si="892"/>
        <v>NM</v>
      </c>
      <c r="EQ132" s="73">
        <f t="shared" ref="EQ132:EW132" si="910">EQ129*(EQ142/100*EQ$23/100)</f>
        <v>-406.02691484174443</v>
      </c>
      <c r="ER132" s="130" t="str">
        <f t="shared" si="894"/>
        <v>NM</v>
      </c>
      <c r="ES132" s="73">
        <f t="shared" si="910"/>
        <v>675.02922414833108</v>
      </c>
      <c r="ET132" s="130" t="str">
        <f t="shared" si="896"/>
        <v>NM</v>
      </c>
      <c r="EU132" s="73">
        <f t="shared" si="910"/>
        <v>688.83795813313611</v>
      </c>
      <c r="EV132" s="130" t="str">
        <f t="shared" si="898"/>
        <v>NM</v>
      </c>
      <c r="EW132" s="73">
        <f t="shared" si="910"/>
        <v>703.93288405231783</v>
      </c>
      <c r="EX132" s="130" t="str">
        <f t="shared" si="900"/>
        <v>NM</v>
      </c>
      <c r="EY132" s="64"/>
      <c r="EZ132" s="558"/>
      <c r="FA132" s="64"/>
      <c r="FB132" s="66"/>
      <c r="FC132" s="66"/>
      <c r="FD132" s="66"/>
      <c r="FE132" s="67"/>
      <c r="FF132" s="66"/>
      <c r="FG132" s="67"/>
      <c r="FH132" s="66"/>
      <c r="FI132" s="67"/>
      <c r="FJ132" s="66"/>
      <c r="FK132" s="67"/>
      <c r="FL132" s="66"/>
      <c r="FM132" s="61"/>
      <c r="FN132" s="66"/>
      <c r="FO132" s="61"/>
      <c r="FP132" s="65"/>
      <c r="FQ132" s="61"/>
      <c r="FR132" s="65"/>
      <c r="FS132" s="61"/>
      <c r="FT132" s="75">
        <f>BG132+BI132+BK132+BM132</f>
        <v>2066</v>
      </c>
      <c r="FU132" s="61" t="str">
        <f t="shared" si="901"/>
        <v>NA</v>
      </c>
      <c r="FV132" s="75">
        <f>BO132+BQ132+BS132+BU132</f>
        <v>-7961</v>
      </c>
      <c r="FW132" s="61" t="str">
        <f t="shared" si="902"/>
        <v>NM</v>
      </c>
      <c r="FX132" s="75">
        <f>BW132+BY132+CA132+CC132</f>
        <v>5429</v>
      </c>
      <c r="FY132" s="61" t="str">
        <f t="shared" si="903"/>
        <v>NM</v>
      </c>
      <c r="FZ132" s="75">
        <f>CE132+CG132+CI132+CK132</f>
        <v>3813</v>
      </c>
      <c r="GA132" s="61">
        <f t="shared" si="904"/>
        <v>-29.766071099650027</v>
      </c>
      <c r="GB132" s="75">
        <f>CM132+CO132+CQ132+CS132</f>
        <v>-159</v>
      </c>
      <c r="GC132" s="61" t="str">
        <f t="shared" si="905"/>
        <v>NM</v>
      </c>
      <c r="GD132" s="75">
        <f>CU132+CW132+CY132+DA132</f>
        <v>3886</v>
      </c>
      <c r="GE132" s="61" t="str">
        <f t="shared" si="905"/>
        <v>NM</v>
      </c>
      <c r="GF132" s="75">
        <f>DC132+DE132+DG132+DI132</f>
        <v>6894</v>
      </c>
      <c r="GG132" s="61">
        <f t="shared" si="906"/>
        <v>77.406073082861553</v>
      </c>
      <c r="GH132" s="75">
        <f>DK132+DM132+DO132+DQ132</f>
        <v>2797</v>
      </c>
      <c r="GI132" s="61" t="str">
        <f t="shared" si="906"/>
        <v>NM</v>
      </c>
      <c r="GJ132" s="75">
        <f>DS132+DU132+DW132+DY132</f>
        <v>96</v>
      </c>
      <c r="GK132" s="61" t="str">
        <f t="shared" si="906"/>
        <v>NM</v>
      </c>
      <c r="GL132" s="75">
        <f>EA132+EC132+EE132+EG132</f>
        <v>3624</v>
      </c>
      <c r="GM132" s="61" t="str">
        <f t="shared" si="906"/>
        <v>NM</v>
      </c>
      <c r="GN132" s="75">
        <f>EI132+EK132+EM132+EO132</f>
        <v>7743</v>
      </c>
      <c r="GO132" s="61" t="str">
        <f t="shared" si="906"/>
        <v>NM</v>
      </c>
      <c r="GP132" s="75">
        <f>EQ132+ES132+EU132+EW132</f>
        <v>1661.7731514920406</v>
      </c>
      <c r="GQ132" s="61" t="str">
        <f t="shared" si="906"/>
        <v>NM</v>
      </c>
      <c r="GR132" s="73">
        <f>GR129*(GR142/100*GR$23/100)</f>
        <v>0</v>
      </c>
      <c r="GS132" s="61" t="str">
        <f t="shared" si="906"/>
        <v>NM</v>
      </c>
      <c r="GT132" s="73">
        <f>GT129*(GT142/100*GT$23/100)</f>
        <v>0</v>
      </c>
      <c r="GU132" s="61" t="str">
        <f t="shared" si="906"/>
        <v>NA</v>
      </c>
      <c r="GV132" s="73">
        <f>GV129*(GV142/100*GV$23/100)</f>
        <v>0</v>
      </c>
      <c r="GW132" s="61" t="str">
        <f t="shared" si="906"/>
        <v>NA</v>
      </c>
      <c r="GX132" s="73">
        <f>GX129*(GX142/100*GX$23/100)</f>
        <v>0</v>
      </c>
      <c r="GY132" s="61" t="str">
        <f t="shared" si="907"/>
        <v>NA</v>
      </c>
      <c r="GZ132" s="61" t="str">
        <f t="shared" si="908"/>
        <v>NM</v>
      </c>
      <c r="HA132" s="61"/>
      <c r="HB132" s="452"/>
      <c r="HC132"/>
      <c r="HD132"/>
      <c r="HE132"/>
      <c r="HF132"/>
      <c r="HG132"/>
      <c r="HH132"/>
    </row>
    <row r="133" spans="2:216" s="5" customFormat="1" ht="12.75" customHeight="1" x14ac:dyDescent="0.2">
      <c r="B133" s="93" t="s">
        <v>249</v>
      </c>
      <c r="C133" s="66"/>
      <c r="D133" s="67"/>
      <c r="E133" s="66"/>
      <c r="F133" s="66"/>
      <c r="G133" s="64"/>
      <c r="H133" s="66"/>
      <c r="I133" s="64"/>
      <c r="J133" s="66"/>
      <c r="K133" s="64"/>
      <c r="L133" s="61"/>
      <c r="M133" s="66"/>
      <c r="N133" s="61"/>
      <c r="O133" s="64"/>
      <c r="P133" s="61"/>
      <c r="Q133" s="64"/>
      <c r="R133" s="61"/>
      <c r="S133" s="64"/>
      <c r="T133" s="61"/>
      <c r="U133" s="64"/>
      <c r="V133" s="61"/>
      <c r="W133" s="64"/>
      <c r="X133" s="61"/>
      <c r="Y133" s="64"/>
      <c r="Z133" s="61"/>
      <c r="AA133" s="64"/>
      <c r="AB133" s="61"/>
      <c r="AC133" s="64"/>
      <c r="AD133" s="61"/>
      <c r="AE133" s="64"/>
      <c r="AF133" s="61"/>
      <c r="AG133" s="64"/>
      <c r="AH133" s="61"/>
      <c r="AI133" s="64"/>
      <c r="AJ133" s="61"/>
      <c r="AK133" s="64"/>
      <c r="AL133" s="61"/>
      <c r="AM133" s="64"/>
      <c r="AN133" s="61"/>
      <c r="AO133" s="64"/>
      <c r="AP133" s="61"/>
      <c r="AQ133" s="64"/>
      <c r="AR133" s="61"/>
      <c r="AS133" s="64"/>
      <c r="AT133" s="61"/>
      <c r="AU133" s="64"/>
      <c r="AV133" s="61"/>
      <c r="AW133" s="64"/>
      <c r="AX133" s="61"/>
      <c r="AY133" s="64"/>
      <c r="AZ133" s="61"/>
      <c r="BA133" s="64"/>
      <c r="BB133" s="61"/>
      <c r="BC133" s="64"/>
      <c r="BD133" s="61"/>
      <c r="BE133" s="64"/>
      <c r="BF133" s="61"/>
      <c r="BG133" s="72"/>
      <c r="BH133" s="61"/>
      <c r="BI133" s="72"/>
      <c r="BJ133" s="61"/>
      <c r="BK133" s="72"/>
      <c r="BL133" s="61"/>
      <c r="BM133" s="72"/>
      <c r="BN133" s="61"/>
      <c r="BO133" s="72"/>
      <c r="BP133" s="61"/>
      <c r="BQ133" s="72"/>
      <c r="BR133" s="61"/>
      <c r="BS133" s="72"/>
      <c r="BT133" s="61"/>
      <c r="BU133" s="72"/>
      <c r="BV133" s="61"/>
      <c r="BW133" s="72"/>
      <c r="BX133" s="61"/>
      <c r="BY133" s="72"/>
      <c r="BZ133" s="61"/>
      <c r="CA133" s="72"/>
      <c r="CB133" s="61"/>
      <c r="CC133" s="72"/>
      <c r="CD133" s="61"/>
      <c r="CE133" s="72"/>
      <c r="CF133" s="61"/>
      <c r="CG133" s="72"/>
      <c r="CH133" s="61"/>
      <c r="CI133" s="72"/>
      <c r="CJ133" s="61"/>
      <c r="CK133" s="72"/>
      <c r="CL133" s="61"/>
      <c r="CM133" s="72"/>
      <c r="CN133" s="61"/>
      <c r="CO133" s="72">
        <v>-17</v>
      </c>
      <c r="CP133" s="61" t="str">
        <f t="shared" si="879"/>
        <v>NA</v>
      </c>
      <c r="CQ133" s="72">
        <v>-19</v>
      </c>
      <c r="CR133" s="61" t="str">
        <f t="shared" si="879"/>
        <v>NA</v>
      </c>
      <c r="CS133" s="72">
        <v>0</v>
      </c>
      <c r="CT133" s="61" t="str">
        <f t="shared" si="879"/>
        <v>NA</v>
      </c>
      <c r="CU133" s="72">
        <v>-13</v>
      </c>
      <c r="CV133" s="61" t="str">
        <f t="shared" si="879"/>
        <v>NA</v>
      </c>
      <c r="CW133" s="72">
        <v>-5</v>
      </c>
      <c r="CX133" s="61" t="str">
        <f t="shared" si="879"/>
        <v>NM</v>
      </c>
      <c r="CY133" s="72">
        <v>-22</v>
      </c>
      <c r="CZ133" s="61">
        <f t="shared" si="879"/>
        <v>15.789473684210531</v>
      </c>
      <c r="DA133" s="72">
        <v>-34</v>
      </c>
      <c r="DB133" s="61" t="str">
        <f t="shared" si="879"/>
        <v>NA</v>
      </c>
      <c r="DC133" s="72">
        <v>-1</v>
      </c>
      <c r="DD133" s="61" t="str">
        <f t="shared" si="879"/>
        <v>NM</v>
      </c>
      <c r="DE133" s="72">
        <v>8</v>
      </c>
      <c r="DF133" s="61" t="str">
        <f t="shared" si="879"/>
        <v>NM</v>
      </c>
      <c r="DG133" s="72">
        <v>-14</v>
      </c>
      <c r="DH133" s="61">
        <f t="shared" si="879"/>
        <v>-36.363636363636367</v>
      </c>
      <c r="DI133" s="72">
        <v>7</v>
      </c>
      <c r="DJ133" s="61" t="str">
        <f t="shared" si="879"/>
        <v>NM</v>
      </c>
      <c r="DK133" s="72">
        <v>9</v>
      </c>
      <c r="DL133" s="61" t="str">
        <f t="shared" si="880"/>
        <v>NM</v>
      </c>
      <c r="DM133" s="72">
        <v>7</v>
      </c>
      <c r="DN133" s="130">
        <f t="shared" si="881"/>
        <v>-12.5</v>
      </c>
      <c r="DO133" s="72">
        <v>-12</v>
      </c>
      <c r="DP133" s="130">
        <f t="shared" si="881"/>
        <v>-14.28571428571429</v>
      </c>
      <c r="DQ133" s="72">
        <v>1</v>
      </c>
      <c r="DR133" s="130" t="str">
        <f t="shared" si="881"/>
        <v>NM</v>
      </c>
      <c r="DS133" s="72">
        <v>-13</v>
      </c>
      <c r="DT133" s="130" t="str">
        <f t="shared" si="881"/>
        <v>NM</v>
      </c>
      <c r="DU133" s="72">
        <v>3</v>
      </c>
      <c r="DV133" s="130" t="str">
        <f t="shared" si="881"/>
        <v>NM</v>
      </c>
      <c r="DW133" s="72">
        <v>15</v>
      </c>
      <c r="DX133" s="72">
        <v>15</v>
      </c>
      <c r="DY133" s="72">
        <v>9</v>
      </c>
      <c r="DZ133" s="130" t="str">
        <f t="shared" si="881"/>
        <v>NM</v>
      </c>
      <c r="EA133" s="72">
        <v>19</v>
      </c>
      <c r="EB133" s="130" t="str">
        <f t="shared" si="883"/>
        <v>NM</v>
      </c>
      <c r="EC133" s="72">
        <v>23</v>
      </c>
      <c r="ED133" s="130" t="str">
        <f t="shared" si="884"/>
        <v>NM</v>
      </c>
      <c r="EE133" s="72">
        <v>37</v>
      </c>
      <c r="EF133" s="130" t="str">
        <f t="shared" si="885"/>
        <v>NM</v>
      </c>
      <c r="EG133" s="72">
        <v>66</v>
      </c>
      <c r="EH133" s="130" t="str">
        <f t="shared" si="886"/>
        <v>NM</v>
      </c>
      <c r="EI133" s="72">
        <v>-7</v>
      </c>
      <c r="EJ133" s="130" t="str">
        <f t="shared" si="887"/>
        <v>NM</v>
      </c>
      <c r="EK133" s="72">
        <v>-63</v>
      </c>
      <c r="EL133" s="130" t="str">
        <f t="shared" si="889"/>
        <v>NM</v>
      </c>
      <c r="EM133" s="72">
        <v>-29</v>
      </c>
      <c r="EN133" s="130" t="str">
        <f t="shared" si="890"/>
        <v>NM</v>
      </c>
      <c r="EO133" s="72">
        <v>-47</v>
      </c>
      <c r="EP133" s="130" t="str">
        <f t="shared" si="892"/>
        <v>NM</v>
      </c>
      <c r="EQ133" s="73">
        <f t="shared" ref="EQ133:EW133" si="911">EQ129*EQ140/400</f>
        <v>-48.841459840503482</v>
      </c>
      <c r="ER133" s="130" t="str">
        <f t="shared" si="894"/>
        <v>NM</v>
      </c>
      <c r="ES133" s="73">
        <f t="shared" si="911"/>
        <v>-48.720040278990815</v>
      </c>
      <c r="ET133" s="130">
        <f t="shared" si="896"/>
        <v>-22.666602731760609</v>
      </c>
      <c r="EU133" s="73">
        <f t="shared" si="911"/>
        <v>-49.716681686317109</v>
      </c>
      <c r="EV133" s="130">
        <f t="shared" si="898"/>
        <v>71.43683340109348</v>
      </c>
      <c r="EW133" s="73">
        <f t="shared" si="911"/>
        <v>-50.806153626911652</v>
      </c>
      <c r="EX133" s="130">
        <f t="shared" si="900"/>
        <v>8.0981992061950123</v>
      </c>
      <c r="EY133" s="64"/>
      <c r="EZ133" s="558"/>
      <c r="FA133" s="64"/>
      <c r="FB133" s="66"/>
      <c r="FC133" s="66"/>
      <c r="FD133" s="66"/>
      <c r="FE133" s="67"/>
      <c r="FF133" s="66"/>
      <c r="FG133" s="67"/>
      <c r="FH133" s="66"/>
      <c r="FI133" s="67"/>
      <c r="FJ133" s="66"/>
      <c r="FK133" s="67"/>
      <c r="FL133" s="66"/>
      <c r="FM133" s="61"/>
      <c r="FN133" s="66"/>
      <c r="FO133" s="61"/>
      <c r="FP133" s="65"/>
      <c r="FQ133" s="61"/>
      <c r="FR133" s="65"/>
      <c r="FS133" s="61"/>
      <c r="FT133" s="75">
        <f>BG133+BI133+BK133+BM133</f>
        <v>0</v>
      </c>
      <c r="FU133" s="61" t="str">
        <f t="shared" si="901"/>
        <v>NA</v>
      </c>
      <c r="FV133" s="75">
        <f>BO133+BQ133+BS133+BU133</f>
        <v>0</v>
      </c>
      <c r="FW133" s="61" t="str">
        <f t="shared" si="902"/>
        <v>NA</v>
      </c>
      <c r="FX133" s="75">
        <f>BW133+BY133+CA133+CC133</f>
        <v>0</v>
      </c>
      <c r="FY133" s="61" t="str">
        <f t="shared" si="903"/>
        <v>NA</v>
      </c>
      <c r="FZ133" s="75">
        <f>CE133+CG133+CI133+CK133</f>
        <v>0</v>
      </c>
      <c r="GA133" s="61" t="str">
        <f t="shared" si="904"/>
        <v>NA</v>
      </c>
      <c r="GB133" s="75">
        <f>CM133+CO133+CQ133+CS133</f>
        <v>-36</v>
      </c>
      <c r="GC133" s="61" t="str">
        <f t="shared" si="905"/>
        <v>NA</v>
      </c>
      <c r="GD133" s="75">
        <f>CU133+CW133+CY133+DA133</f>
        <v>-74</v>
      </c>
      <c r="GE133" s="61" t="str">
        <f t="shared" si="905"/>
        <v>NM</v>
      </c>
      <c r="GF133" s="75">
        <f>DC133+DE133+DG133+DI133</f>
        <v>0</v>
      </c>
      <c r="GG133" s="61" t="str">
        <f t="shared" si="906"/>
        <v>NM</v>
      </c>
      <c r="GH133" s="75">
        <f>DK133+DM133+DO133+DQ133</f>
        <v>5</v>
      </c>
      <c r="GI133" s="61" t="str">
        <f t="shared" si="906"/>
        <v>NA</v>
      </c>
      <c r="GJ133" s="75">
        <f>DS133+DU133+DW133+DY133</f>
        <v>14</v>
      </c>
      <c r="GK133" s="61" t="str">
        <f t="shared" si="906"/>
        <v>NM</v>
      </c>
      <c r="GL133" s="75">
        <f>EA133+EC133+EE133+EG133</f>
        <v>145</v>
      </c>
      <c r="GM133" s="61" t="str">
        <f t="shared" si="906"/>
        <v>NM</v>
      </c>
      <c r="GN133" s="75">
        <f>EI133+EK133+EM133+EO133</f>
        <v>-146</v>
      </c>
      <c r="GO133" s="61" t="str">
        <f t="shared" si="906"/>
        <v>NM</v>
      </c>
      <c r="GP133" s="75">
        <f>EQ133+ES133+EU133+EW133</f>
        <v>-198.08433543272307</v>
      </c>
      <c r="GQ133" s="61">
        <f t="shared" si="906"/>
        <v>35.67420235118017</v>
      </c>
      <c r="GR133" s="73">
        <f>GR129*GR140/100</f>
        <v>-208.92227205834493</v>
      </c>
      <c r="GS133" s="61">
        <f t="shared" si="906"/>
        <v>5.4713749080390173</v>
      </c>
      <c r="GT133" s="73">
        <f>GT129*GT140/100</f>
        <v>-215.05770008077394</v>
      </c>
      <c r="GU133" s="61">
        <f t="shared" si="906"/>
        <v>2.936703665904794</v>
      </c>
      <c r="GV133" s="73">
        <f>GV129*GV140/100</f>
        <v>-222.02623470573633</v>
      </c>
      <c r="GW133" s="61">
        <f t="shared" si="906"/>
        <v>3.2403092855289861</v>
      </c>
      <c r="GX133" s="73">
        <f>GX129*GX140/100</f>
        <v>-229.80526567518885</v>
      </c>
      <c r="GY133" s="61">
        <f t="shared" si="907"/>
        <v>3.5036539622277152</v>
      </c>
      <c r="GZ133" s="61">
        <f t="shared" si="908"/>
        <v>9.4967991705257493</v>
      </c>
      <c r="HA133" s="61"/>
      <c r="HB133" s="452"/>
      <c r="HC133"/>
      <c r="HD133"/>
      <c r="HE133"/>
      <c r="HF133"/>
      <c r="HG133"/>
      <c r="HH133"/>
    </row>
    <row r="134" spans="2:216" s="5" customFormat="1" ht="12.75" customHeight="1" x14ac:dyDescent="0.2">
      <c r="B134" s="241" t="s">
        <v>237</v>
      </c>
      <c r="C134" s="66"/>
      <c r="D134" s="67"/>
      <c r="E134" s="66"/>
      <c r="F134" s="66"/>
      <c r="G134" s="64"/>
      <c r="H134" s="66"/>
      <c r="I134" s="64"/>
      <c r="J134" s="66"/>
      <c r="K134" s="64"/>
      <c r="L134" s="61"/>
      <c r="M134" s="66"/>
      <c r="N134" s="61"/>
      <c r="O134" s="64"/>
      <c r="P134" s="61"/>
      <c r="Q134" s="64"/>
      <c r="R134" s="61"/>
      <c r="S134" s="64"/>
      <c r="T134" s="61"/>
      <c r="U134" s="64"/>
      <c r="V134" s="61"/>
      <c r="W134" s="64"/>
      <c r="X134" s="61"/>
      <c r="Y134" s="64"/>
      <c r="Z134" s="61"/>
      <c r="AA134" s="64"/>
      <c r="AB134" s="61"/>
      <c r="AC134" s="64"/>
      <c r="AD134" s="61"/>
      <c r="AE134" s="64"/>
      <c r="AF134" s="61"/>
      <c r="AG134" s="64"/>
      <c r="AH134" s="61"/>
      <c r="AI134" s="64"/>
      <c r="AJ134" s="61"/>
      <c r="AK134" s="64"/>
      <c r="AL134" s="61"/>
      <c r="AM134" s="64"/>
      <c r="AN134" s="61"/>
      <c r="AO134" s="64"/>
      <c r="AP134" s="61"/>
      <c r="AQ134" s="64"/>
      <c r="AR134" s="61"/>
      <c r="AS134" s="64"/>
      <c r="AT134" s="61"/>
      <c r="AU134" s="64"/>
      <c r="AV134" s="61"/>
      <c r="AW134" s="64"/>
      <c r="AX134" s="61"/>
      <c r="AY134" s="64"/>
      <c r="AZ134" s="61"/>
      <c r="BA134" s="64"/>
      <c r="BB134" s="61"/>
      <c r="BC134" s="64"/>
      <c r="BD134" s="61"/>
      <c r="BE134" s="64"/>
      <c r="BF134" s="61"/>
      <c r="BG134" s="72">
        <v>34475</v>
      </c>
      <c r="BH134" s="61" t="str">
        <f>IF(ISERROR((BG134/AY134-1)*100),"NA",IF(((BG134/AY134-1)*100)&gt;100,"NM",IF(((BG134/AY134-1)*100)&lt;-50,"NM",(BG134/AY134-1)*100)))</f>
        <v>NA</v>
      </c>
      <c r="BI134" s="72">
        <v>35963</v>
      </c>
      <c r="BJ134" s="61" t="str">
        <f>IF(ISERROR((BI134/BA134-1)*100),"NA",IF(((BI134/BA134-1)*100)&gt;100,"NM",IF(((BI134/BA134-1)*100)&lt;-50,"NM",(BI134/BA134-1)*100)))</f>
        <v>NA</v>
      </c>
      <c r="BK134" s="72">
        <v>36637</v>
      </c>
      <c r="BL134" s="61" t="str">
        <f>IF(ISERROR((BK134/BC134-1)*100),"NA",IF(((BK134/BC134-1)*100)&gt;100,"NM",IF(((BK134/BC134-1)*100)&lt;-50,"NM",(BK134/BC134-1)*100)))</f>
        <v>NA</v>
      </c>
      <c r="BM134" s="72">
        <v>36058</v>
      </c>
      <c r="BN134" s="61" t="str">
        <f>IF(ISERROR((BM134/BE134-1)*100),"NA",IF(((BM134/BE134-1)*100)&gt;100,"NM",IF(((BM134/BE134-1)*100)&lt;-50,"NM",(BM134/BE134-1)*100)))</f>
        <v>NA</v>
      </c>
      <c r="BO134" s="72">
        <v>34764</v>
      </c>
      <c r="BP134" s="61">
        <f>IF(ISERROR((BO134/BG134-1)*100),"NA",IF(((BO134/BG134-1)*100)&gt;100,"NM",IF(((BO134/BG134-1)*100)&lt;-50,"NM",(BO134/BG134-1)*100)))</f>
        <v>0.83828861493835394</v>
      </c>
      <c r="BQ134" s="72">
        <v>35042</v>
      </c>
      <c r="BR134" s="61">
        <f>IF(ISERROR((BQ134/BI134-1)*100),"NA",IF(((BQ134/BI134-1)*100)&gt;100,"NM",IF(((BQ134/BI134-1)*100)&lt;-50,"NM",(BQ134/BI134-1)*100)))</f>
        <v>-2.5609654366988255</v>
      </c>
      <c r="BS134" s="72">
        <v>32573</v>
      </c>
      <c r="BT134" s="61">
        <f>IF(ISERROR((BS134/BK134-1)*100),"NA",IF(((BS134/BK134-1)*100)&gt;100,"NM",IF(((BS134/BK134-1)*100)&lt;-50,"NM",(BS134/BK134-1)*100)))</f>
        <v>-11.092611294592903</v>
      </c>
      <c r="BU134" s="72">
        <v>28878</v>
      </c>
      <c r="BV134" s="61">
        <f>IF(ISERROR((BU134/BM134-1)*100),"NA",IF(((BU134/BM134-1)*100)&gt;100,"NM",IF(((BU134/BM134-1)*100)&lt;-50,"NM",(BU134/BM134-1)*100)))</f>
        <v>-19.91236341449887</v>
      </c>
      <c r="BW134" s="72">
        <v>28493</v>
      </c>
      <c r="BX134" s="61">
        <f>IF(ISERROR((BW134/BO134-1)*100),"NA",IF(((BW134/BO134-1)*100)&gt;100,"NM",IF(((BW134/BO134-1)*100)&lt;-50,"NM",(BW134/BO134-1)*100)))</f>
        <v>-18.038775745023582</v>
      </c>
      <c r="BY134" s="72">
        <v>31327</v>
      </c>
      <c r="BZ134" s="61">
        <f>IF(ISERROR((BY134/BQ134-1)*100),"NA",IF(((BY134/BQ134-1)*100)&gt;100,"NM",IF(((BY134/BQ134-1)*100)&lt;-50,"NM",(BY134/BQ134-1)*100)))</f>
        <v>-10.601563837680494</v>
      </c>
      <c r="CA134" s="72">
        <v>34322</v>
      </c>
      <c r="CB134" s="61">
        <f>IF(ISERROR((CA134/BS134-1)*100),"NA",IF(((CA134/BS134-1)*100)&gt;100,"NM",IF(((CA134/BS134-1)*100)&lt;-50,"NM",(CA134/BS134-1)*100)))</f>
        <v>5.3694777883523059</v>
      </c>
      <c r="CC134" s="72">
        <v>35302</v>
      </c>
      <c r="CD134" s="61">
        <f>IF(ISERROR((CC134/BU134-1)*100),"NA",IF(((CC134/BU134-1)*100)&gt;100,"NM",IF(((CC134/BU134-1)*100)&lt;-50,"NM",(CC134/BU134-1)*100)))</f>
        <v>22.245307846803787</v>
      </c>
      <c r="CE134" s="72">
        <v>36699</v>
      </c>
      <c r="CF134" s="61">
        <f>IF(ISERROR((CE134/BW134-1)*100),"NA",IF(((CE134/BW134-1)*100)&gt;100,"NM",IF(((CE134/BW134-1)*100)&lt;-50,"NM",(CE134/BW134-1)*100)))</f>
        <v>28.800056154143117</v>
      </c>
      <c r="CG134" s="72">
        <v>35040</v>
      </c>
      <c r="CH134" s="61">
        <f>IF(ISERROR((CG134/BY134-1)*100),"NA",IF(((CG134/BY134-1)*100)&gt;100,"NM",IF(((CG134/BY134-1)*100)&lt;-50,"NM",(CG134/BY134-1)*100)))</f>
        <v>11.852395697002581</v>
      </c>
      <c r="CI134" s="72">
        <v>37088</v>
      </c>
      <c r="CJ134" s="61">
        <f>IF(ISERROR((CI134/CA134-1)*100),"NA",IF(((CI134/CA134-1)*100)&gt;100,"NM",IF(((CI134/CA134-1)*100)&lt;-50,"NM",(CI134/CA134-1)*100)))</f>
        <v>8.0589709224404125</v>
      </c>
      <c r="CK134" s="72">
        <v>38824</v>
      </c>
      <c r="CL134" s="61">
        <f>IF(ISERROR((CK134/CC134-1)*100),"NA",IF(((CK134/CC134-1)*100)&gt;100,"NM",IF(((CK134/CC134-1)*100)&lt;-50,"NM",(CK134/CC134-1)*100)))</f>
        <v>9.9767718542858717</v>
      </c>
      <c r="CM134" s="72">
        <v>40308</v>
      </c>
      <c r="CN134" s="61">
        <f t="shared" si="879"/>
        <v>9.8340554238535169</v>
      </c>
      <c r="CO134" s="69">
        <f>CO129+CO130+CO131+CO132+CO133</f>
        <v>40287</v>
      </c>
      <c r="CP134" s="61">
        <f t="shared" si="879"/>
        <v>14.97431506849316</v>
      </c>
      <c r="CQ134" s="69">
        <f>CQ129+CQ130+CQ131+CQ132+CQ133</f>
        <v>37020</v>
      </c>
      <c r="CR134" s="61">
        <f t="shared" si="879"/>
        <v>-0.18334771354615587</v>
      </c>
      <c r="CS134" s="69">
        <f>CS129+CS130+CS131+CS132+CS133</f>
        <v>39133</v>
      </c>
      <c r="CT134" s="61">
        <f t="shared" si="879"/>
        <v>0.79589944364311105</v>
      </c>
      <c r="CU134" s="69">
        <f>CU129+CU130+CU131+CU132+CU133</f>
        <v>42020</v>
      </c>
      <c r="CV134" s="61">
        <f t="shared" si="879"/>
        <v>4.2472958221692947</v>
      </c>
      <c r="CW134" s="69">
        <f>CW129+CW130+CW131+CW132+CW133</f>
        <v>41397</v>
      </c>
      <c r="CX134" s="61">
        <f t="shared" si="879"/>
        <v>2.7552312160250114</v>
      </c>
      <c r="CY134" s="69">
        <f>CY129+CY130+CY131+CY132+CY133</f>
        <v>43103</v>
      </c>
      <c r="CZ134" s="61">
        <f t="shared" si="879"/>
        <v>16.431658562938956</v>
      </c>
      <c r="DA134" s="69">
        <f>DA129+DA130+DA131+DA132+DA133</f>
        <v>43931</v>
      </c>
      <c r="DB134" s="61">
        <f t="shared" si="879"/>
        <v>12.260751795160086</v>
      </c>
      <c r="DC134" s="69">
        <f>DC129+DC130+DC131+DC132+DC133</f>
        <v>46442</v>
      </c>
      <c r="DD134" s="61">
        <f t="shared" si="879"/>
        <v>10.523560209424087</v>
      </c>
      <c r="DE134" s="69">
        <f>DE129+DE130+DE131+DE132+DE133</f>
        <v>47097</v>
      </c>
      <c r="DF134" s="61">
        <f t="shared" si="879"/>
        <v>13.769113703891577</v>
      </c>
      <c r="DG134" s="69">
        <f>DG129+DG130+DG131+DG132+DG133</f>
        <v>49309</v>
      </c>
      <c r="DH134" s="61">
        <f t="shared" si="879"/>
        <v>14.398069739925301</v>
      </c>
      <c r="DI134" s="69">
        <f>DI129+DI130+DI131+DI132+DI133</f>
        <v>51618</v>
      </c>
      <c r="DJ134" s="61">
        <f t="shared" si="879"/>
        <v>17.497894425348836</v>
      </c>
      <c r="DK134" s="69">
        <f>DK129+DK130+DK131+DK132+DK133</f>
        <v>51851</v>
      </c>
      <c r="DL134" s="61">
        <f t="shared" si="880"/>
        <v>11.646785237500534</v>
      </c>
      <c r="DM134" s="69">
        <f>DM129+DM130+DM131+DM132+DM133</f>
        <v>53748</v>
      </c>
      <c r="DN134" s="130">
        <f t="shared" si="881"/>
        <v>14.121918593540993</v>
      </c>
      <c r="DO134" s="69">
        <f>DO129+DO130+DO131+DO132+DO133</f>
        <v>53362</v>
      </c>
      <c r="DP134" s="130">
        <f t="shared" si="881"/>
        <v>8.219594800137898</v>
      </c>
      <c r="DQ134" s="69">
        <f>DQ129+DQ130+DQ131+DQ132+DQ133</f>
        <v>53539</v>
      </c>
      <c r="DR134" s="130">
        <f t="shared" si="881"/>
        <v>3.7215699949630032</v>
      </c>
      <c r="DS134" s="69">
        <f>DS129+DS130+DS131+DS132+DS133</f>
        <v>54632</v>
      </c>
      <c r="DT134" s="130">
        <f t="shared" si="881"/>
        <v>5.3634452566006408</v>
      </c>
      <c r="DU134" s="69">
        <f>DU129+DU130+DU131+DU132+DU133</f>
        <v>54989</v>
      </c>
      <c r="DV134" s="130">
        <f t="shared" si="881"/>
        <v>2.3089231227208407</v>
      </c>
      <c r="DW134" s="69">
        <f>DW129+DW130+DW131+DW132+DW133</f>
        <v>52844</v>
      </c>
      <c r="DX134" s="69">
        <f t="shared" ref="DX134:DY134" si="912">DX129+DX130+DX131+DX132+DX133</f>
        <v>-2142.6910768772791</v>
      </c>
      <c r="DY134" s="69">
        <f t="shared" si="912"/>
        <v>54100</v>
      </c>
      <c r="DZ134" s="130">
        <f t="shared" si="881"/>
        <v>1.0478342890229531</v>
      </c>
      <c r="EA134" s="69">
        <f t="shared" ref="EA134:EC134" si="913">EA129+EA130+EA131+EA132+EA133</f>
        <v>54499</v>
      </c>
      <c r="EB134" s="130">
        <f t="shared" si="883"/>
        <v>-0.24344706399179739</v>
      </c>
      <c r="EC134" s="69">
        <f t="shared" si="913"/>
        <v>55430</v>
      </c>
      <c r="ED134" s="130">
        <f t="shared" si="884"/>
        <v>0.80197857753367963</v>
      </c>
      <c r="EE134" s="69">
        <f t="shared" ref="EE134:EG134" si="914">EE129+EE130+EE131+EE132+EE133</f>
        <v>57268</v>
      </c>
      <c r="EF134" s="130">
        <f t="shared" si="885"/>
        <v>8.3718113693134413</v>
      </c>
      <c r="EG134" s="69">
        <f t="shared" si="914"/>
        <v>58434</v>
      </c>
      <c r="EH134" s="130">
        <f t="shared" si="886"/>
        <v>8.0110905730129467</v>
      </c>
      <c r="EI134" s="69">
        <f t="shared" ref="EI134:EK134" si="915">EI129+EI130+EI131+EI132+EI133</f>
        <v>60733</v>
      </c>
      <c r="EJ134" s="130">
        <f t="shared" si="887"/>
        <v>11.438741995265978</v>
      </c>
      <c r="EK134" s="69">
        <f t="shared" si="915"/>
        <v>62568</v>
      </c>
      <c r="EL134" s="130">
        <f t="shared" si="889"/>
        <v>12.877503157135116</v>
      </c>
      <c r="EM134" s="69">
        <f t="shared" ref="EM134" si="916">EM129+EM130+EM131+EM132+EM133</f>
        <v>64829</v>
      </c>
      <c r="EN134" s="130">
        <f t="shared" si="890"/>
        <v>13.202835789620737</v>
      </c>
      <c r="EO134" s="69">
        <f t="shared" ref="EO134" si="917">EO129+EO130+EO131+EO132+EO133</f>
        <v>67369</v>
      </c>
      <c r="EP134" s="130">
        <f t="shared" si="892"/>
        <v>15.290755382140532</v>
      </c>
      <c r="EQ134" s="69">
        <f t="shared" ref="EQ134:EW134" si="918">EQ129+EQ130+EQ131+EQ132+EQ133</f>
        <v>67201.521090355222</v>
      </c>
      <c r="ER134" s="130">
        <f t="shared" si="894"/>
        <v>10.650751799442194</v>
      </c>
      <c r="ES134" s="69">
        <f t="shared" si="918"/>
        <v>68576.228873239394</v>
      </c>
      <c r="ET134" s="130">
        <f t="shared" si="896"/>
        <v>9.6027184395208298</v>
      </c>
      <c r="EU134" s="69">
        <f t="shared" si="918"/>
        <v>70078.981563384164</v>
      </c>
      <c r="EV134" s="130">
        <f t="shared" si="898"/>
        <v>8.0981992061950123</v>
      </c>
      <c r="EW134" s="69">
        <f t="shared" si="918"/>
        <v>71055.010561796807</v>
      </c>
      <c r="EX134" s="130">
        <f t="shared" si="900"/>
        <v>5.4713749080390173</v>
      </c>
      <c r="EY134" s="64"/>
      <c r="EZ134" s="558"/>
      <c r="FA134" s="64"/>
      <c r="FB134" s="66"/>
      <c r="FC134" s="66"/>
      <c r="FD134" s="66"/>
      <c r="FE134" s="67"/>
      <c r="FF134" s="66"/>
      <c r="FG134" s="67"/>
      <c r="FH134" s="66"/>
      <c r="FI134" s="67"/>
      <c r="FJ134" s="66"/>
      <c r="FK134" s="67"/>
      <c r="FL134" s="66"/>
      <c r="FM134" s="61"/>
      <c r="FN134" s="66"/>
      <c r="FO134" s="61"/>
      <c r="FP134" s="65"/>
      <c r="FQ134" s="61"/>
      <c r="FR134" s="65"/>
      <c r="FS134" s="61"/>
      <c r="FT134" s="65">
        <f>FT129+FT130+FT131+FT132+FT133</f>
        <v>36058</v>
      </c>
      <c r="FU134" s="61" t="str">
        <f t="shared" si="901"/>
        <v>NA</v>
      </c>
      <c r="FV134" s="65">
        <f>FV129+FV130+FV131+FV132+FV133</f>
        <v>28878</v>
      </c>
      <c r="FW134" s="61">
        <f t="shared" si="902"/>
        <v>-19.91236341449887</v>
      </c>
      <c r="FX134" s="65">
        <f>FX129+FX130+FX131+FX132+FX133</f>
        <v>35302</v>
      </c>
      <c r="FY134" s="61">
        <f t="shared" si="903"/>
        <v>22.245307846803787</v>
      </c>
      <c r="FZ134" s="65">
        <f>FZ129+FZ130+FZ131+FZ132+FZ133</f>
        <v>38824</v>
      </c>
      <c r="GA134" s="61">
        <f t="shared" si="904"/>
        <v>9.9767718542858717</v>
      </c>
      <c r="GB134" s="65">
        <f>GB129+GB130+GB131+GB132+GB133</f>
        <v>39133</v>
      </c>
      <c r="GC134" s="61">
        <f t="shared" si="905"/>
        <v>0.79589944364311105</v>
      </c>
      <c r="GD134" s="65">
        <f>GD129+GD130+GD131+GD132+GD133</f>
        <v>43931</v>
      </c>
      <c r="GE134" s="61">
        <f t="shared" si="905"/>
        <v>12.260751795160086</v>
      </c>
      <c r="GF134" s="65">
        <f>GF129+GF130+GF131+GF132+GF133</f>
        <v>51618</v>
      </c>
      <c r="GG134" s="61">
        <f t="shared" si="906"/>
        <v>17.497894425348836</v>
      </c>
      <c r="GH134" s="65">
        <f>GH129+GH130+GH131+GH132+GH133</f>
        <v>53539</v>
      </c>
      <c r="GI134" s="61">
        <f t="shared" si="906"/>
        <v>3.7215699949630032</v>
      </c>
      <c r="GJ134" s="65">
        <f>GJ129+GJ130+GJ131+GJ132+GJ133</f>
        <v>54100</v>
      </c>
      <c r="GK134" s="61">
        <f t="shared" si="906"/>
        <v>1.0478342890229531</v>
      </c>
      <c r="GL134" s="65">
        <f>GL129+GL130+GL131+GL132+GL133</f>
        <v>58434</v>
      </c>
      <c r="GM134" s="61">
        <f t="shared" si="906"/>
        <v>8.0110905730129467</v>
      </c>
      <c r="GN134" s="65">
        <f>GN129+GN130+GN131+GN132+GN133</f>
        <v>67369</v>
      </c>
      <c r="GO134" s="61">
        <f t="shared" si="906"/>
        <v>15.290755382140532</v>
      </c>
      <c r="GP134" s="65">
        <f>GP129+GP130+GP131+GP132+GP133</f>
        <v>71055.010561796822</v>
      </c>
      <c r="GQ134" s="61">
        <f t="shared" si="906"/>
        <v>5.4713749080390395</v>
      </c>
      <c r="GR134" s="65">
        <f>GR129+GR130+GR131+GR132+GR133</f>
        <v>73141.685661774143</v>
      </c>
      <c r="GS134" s="61">
        <f t="shared" si="906"/>
        <v>2.936703665904794</v>
      </c>
      <c r="GT134" s="65">
        <f>GT129+GT130+GT131+GT132+GT133</f>
        <v>75511.702493865028</v>
      </c>
      <c r="GU134" s="61">
        <f t="shared" si="906"/>
        <v>3.2403092855289861</v>
      </c>
      <c r="GV134" s="65">
        <f>GV129+GV130+GV131+GV132+GV133</f>
        <v>78157.371250236931</v>
      </c>
      <c r="GW134" s="61">
        <f t="shared" si="906"/>
        <v>3.5036539622277152</v>
      </c>
      <c r="GX134" s="65">
        <f>GX129+GX130+GX131+GX132+GX133</f>
        <v>81073.286361971448</v>
      </c>
      <c r="GY134" s="61">
        <f t="shared" si="907"/>
        <v>3.7308254680145536</v>
      </c>
      <c r="GZ134" s="61">
        <f t="shared" si="908"/>
        <v>3.7728000825730357</v>
      </c>
      <c r="HA134" s="61"/>
      <c r="HB134" s="452"/>
      <c r="HC134"/>
      <c r="HD134"/>
      <c r="HE134"/>
      <c r="HF134"/>
      <c r="HG134"/>
      <c r="HH134"/>
    </row>
    <row r="135" spans="2:216" s="5" customFormat="1" ht="12.75" customHeight="1" x14ac:dyDescent="0.2">
      <c r="B135" s="241" t="s">
        <v>230</v>
      </c>
      <c r="C135" s="66"/>
      <c r="D135" s="67"/>
      <c r="E135" s="66"/>
      <c r="F135" s="66"/>
      <c r="G135" s="64"/>
      <c r="H135" s="66"/>
      <c r="I135" s="64"/>
      <c r="J135" s="66"/>
      <c r="K135" s="64"/>
      <c r="L135" s="61"/>
      <c r="M135" s="66"/>
      <c r="N135" s="61"/>
      <c r="O135" s="64"/>
      <c r="P135" s="61"/>
      <c r="Q135" s="64"/>
      <c r="R135" s="61"/>
      <c r="S135" s="64"/>
      <c r="T135" s="61"/>
      <c r="U135" s="64"/>
      <c r="V135" s="61"/>
      <c r="W135" s="64"/>
      <c r="X135" s="61"/>
      <c r="Y135" s="64"/>
      <c r="Z135" s="61"/>
      <c r="AA135" s="64"/>
      <c r="AB135" s="61"/>
      <c r="AC135" s="64"/>
      <c r="AD135" s="61"/>
      <c r="AE135" s="64"/>
      <c r="AF135" s="61"/>
      <c r="AG135" s="64"/>
      <c r="AH135" s="61"/>
      <c r="AI135" s="64"/>
      <c r="AJ135" s="61"/>
      <c r="AK135" s="64"/>
      <c r="AL135" s="61"/>
      <c r="AM135" s="64"/>
      <c r="AN135" s="61"/>
      <c r="AO135" s="64"/>
      <c r="AP135" s="61"/>
      <c r="AQ135" s="64"/>
      <c r="AR135" s="61"/>
      <c r="AS135" s="64"/>
      <c r="AT135" s="61"/>
      <c r="AU135" s="64"/>
      <c r="AV135" s="61"/>
      <c r="AW135" s="64"/>
      <c r="AX135" s="61"/>
      <c r="AY135" s="64"/>
      <c r="AZ135" s="61"/>
      <c r="BA135" s="64"/>
      <c r="BB135" s="61"/>
      <c r="BC135" s="64"/>
      <c r="BD135" s="61"/>
      <c r="BE135" s="64"/>
      <c r="BF135" s="61"/>
      <c r="BG135" s="65">
        <f>AVERAGE(BG129,BG134)</f>
        <v>34065.5</v>
      </c>
      <c r="BH135" s="61" t="str">
        <f>IF(ISERROR((BG135/AY135-1)*100),"NA",IF(((BG135/AY135-1)*100)&gt;100,"NM",IF(((BG135/AY135-1)*100)&lt;-50,"NM",(BG135/AY135-1)*100)))</f>
        <v>NA</v>
      </c>
      <c r="BI135" s="65">
        <f>AVERAGE(BI129,BI134)</f>
        <v>35219</v>
      </c>
      <c r="BJ135" s="61" t="str">
        <f>IF(ISERROR((BI135/BA135-1)*100),"NA",IF(((BI135/BA135-1)*100)&gt;100,"NM",IF(((BI135/BA135-1)*100)&lt;-50,"NM",(BI135/BA135-1)*100)))</f>
        <v>NA</v>
      </c>
      <c r="BK135" s="65">
        <f>AVERAGE(BK129,BK134)</f>
        <v>36300</v>
      </c>
      <c r="BL135" s="61" t="str">
        <f>IF(ISERROR((BK135/BC135-1)*100),"NA",IF(((BK135/BC135-1)*100)&gt;100,"NM",IF(((BK135/BC135-1)*100)&lt;-50,"NM",(BK135/BC135-1)*100)))</f>
        <v>NA</v>
      </c>
      <c r="BM135" s="65">
        <f>AVERAGE(BM129,BM134)</f>
        <v>36347.5</v>
      </c>
      <c r="BN135" s="61" t="str">
        <f>IF(ISERROR((BM135/BE135-1)*100),"NA",IF(((BM135/BE135-1)*100)&gt;100,"NM",IF(((BM135/BE135-1)*100)&lt;-50,"NM",(BM135/BE135-1)*100)))</f>
        <v>NA</v>
      </c>
      <c r="BO135" s="65">
        <f>AVERAGE(BO129,BO134)</f>
        <v>35411</v>
      </c>
      <c r="BP135" s="61">
        <f>IF(ISERROR((BO135/BG135-1)*100),"NA",IF(((BO135/BG135-1)*100)&gt;100,"NM",IF(((BO135/BG135-1)*100)&lt;-50,"NM",(BO135/BG135-1)*100)))</f>
        <v>3.9497438757687409</v>
      </c>
      <c r="BQ135" s="65">
        <f>AVERAGE(BQ129,BQ134)</f>
        <v>34903</v>
      </c>
      <c r="BR135" s="61">
        <f>IF(ISERROR((BQ135/BI135-1)*100),"NA",IF(((BQ135/BI135-1)*100)&gt;100,"NM",IF(((BQ135/BI135-1)*100)&lt;-50,"NM",(BQ135/BI135-1)*100)))</f>
        <v>-0.89724296544478888</v>
      </c>
      <c r="BS135" s="65">
        <f>AVERAGE(BS129,BS134)</f>
        <v>33807.5</v>
      </c>
      <c r="BT135" s="61">
        <f>IF(ISERROR((BS135/BK135-1)*100),"NA",IF(((BS135/BK135-1)*100)&gt;100,"NM",IF(((BS135/BK135-1)*100)&lt;-50,"NM",(BS135/BK135-1)*100)))</f>
        <v>-6.8663911845730059</v>
      </c>
      <c r="BU135" s="65">
        <f>AVERAGE(BU129,BU134)</f>
        <v>30725.5</v>
      </c>
      <c r="BV135" s="61">
        <f>IF(ISERROR((BU135/BM135-1)*100),"NA",IF(((BU135/BM135-1)*100)&gt;100,"NM",IF(((BU135/BM135-1)*100)&lt;-50,"NM",(BU135/BM135-1)*100)))</f>
        <v>-15.467363642616416</v>
      </c>
      <c r="BW135" s="65">
        <f>AVERAGE(BW129,BW134)</f>
        <v>28685.5</v>
      </c>
      <c r="BX135" s="61">
        <f>IF(ISERROR((BW135/BO135-1)*100),"NA",IF(((BW135/BO135-1)*100)&gt;100,"NM",IF(((BW135/BO135-1)*100)&lt;-50,"NM",(BW135/BO135-1)*100)))</f>
        <v>-18.992685888565696</v>
      </c>
      <c r="BY135" s="65">
        <f>AVERAGE(BY129,BY134)</f>
        <v>29910</v>
      </c>
      <c r="BZ135" s="61">
        <f>IF(ISERROR((BY135/BQ135-1)*100),"NA",IF(((BY135/BQ135-1)*100)&gt;100,"NM",IF(((BY135/BQ135-1)*100)&lt;-50,"NM",(BY135/BQ135-1)*100)))</f>
        <v>-14.305360570724579</v>
      </c>
      <c r="CA135" s="65">
        <f>AVERAGE(CA129,CA134)</f>
        <v>32824.5</v>
      </c>
      <c r="CB135" s="61">
        <f>IF(ISERROR((CA135/BS135-1)*100),"NA",IF(((CA135/BS135-1)*100)&gt;100,"NM",IF(((CA135/BS135-1)*100)&lt;-50,"NM",(CA135/BS135-1)*100)))</f>
        <v>-2.9076388375360529</v>
      </c>
      <c r="CC135" s="65">
        <f>AVERAGE(CC129,CC134)</f>
        <v>34812</v>
      </c>
      <c r="CD135" s="61">
        <f>IF(ISERROR((CC135/BU135-1)*100),"NA",IF(((CC135/BU135-1)*100)&gt;100,"NM",IF(((CC135/BU135-1)*100)&lt;-50,"NM",(CC135/BU135-1)*100)))</f>
        <v>13.300027664317904</v>
      </c>
      <c r="CE135" s="65">
        <f>AVERAGE(CE129,CE134)</f>
        <v>36000.5</v>
      </c>
      <c r="CF135" s="61">
        <f>IF(ISERROR((CE135/BW135-1)*100),"NA",IF(((CE135/BW135-1)*100)&gt;100,"NM",IF(((CE135/BW135-1)*100)&lt;-50,"NM",(CE135/BW135-1)*100)))</f>
        <v>25.500688501159118</v>
      </c>
      <c r="CG135" s="65">
        <f>AVERAGE(CG129,CG134)</f>
        <v>35869.5</v>
      </c>
      <c r="CH135" s="61">
        <f>IF(ISERROR((CG135/BY135-1)*100),"NA",IF(((CG135/BY135-1)*100)&gt;100,"NM",IF(((CG135/BY135-1)*100)&lt;-50,"NM",(CG135/BY135-1)*100)))</f>
        <v>19.924774322968908</v>
      </c>
      <c r="CI135" s="65">
        <f>AVERAGE(CI129,CI134)</f>
        <v>36064</v>
      </c>
      <c r="CJ135" s="61">
        <f>IF(ISERROR((CI135/CA135-1)*100),"NA",IF(((CI135/CA135-1)*100)&gt;100,"NM",IF(((CI135/CA135-1)*100)&lt;-50,"NM",(CI135/CA135-1)*100)))</f>
        <v>9.8691526146628341</v>
      </c>
      <c r="CK135" s="65">
        <f>AVERAGE(CK129,CK134)</f>
        <v>37956</v>
      </c>
      <c r="CL135" s="61">
        <f>IF(ISERROR((CK135/CC135-1)*100),"NA",IF(((CK135/CC135-1)*100)&gt;100,"NM",IF(((CK135/CC135-1)*100)&lt;-50,"NM",(CK135/CC135-1)*100)))</f>
        <v>9.0313684936228924</v>
      </c>
      <c r="CM135" s="65">
        <f>AVERAGE(CM129,CM134)</f>
        <v>39566</v>
      </c>
      <c r="CN135" s="61">
        <f t="shared" si="879"/>
        <v>9.9040291107068015</v>
      </c>
      <c r="CO135" s="65">
        <f>AVERAGE(CO129,CO134)</f>
        <v>40297.5</v>
      </c>
      <c r="CP135" s="61">
        <f t="shared" si="879"/>
        <v>12.344749717726767</v>
      </c>
      <c r="CQ135" s="65">
        <f>AVERAGE(CQ129,CQ134)</f>
        <v>38653.5</v>
      </c>
      <c r="CR135" s="61">
        <f t="shared" si="879"/>
        <v>7.1802905944986728</v>
      </c>
      <c r="CS135" s="65">
        <f>AVERAGE(CS129,CS134)</f>
        <v>38076.5</v>
      </c>
      <c r="CT135" s="61">
        <f t="shared" si="879"/>
        <v>0.31747286331542668</v>
      </c>
      <c r="CU135" s="65">
        <f>AVERAGE(CU129,CU134)</f>
        <v>40576.5</v>
      </c>
      <c r="CV135" s="61">
        <f t="shared" si="879"/>
        <v>2.5539604711115604</v>
      </c>
      <c r="CW135" s="65">
        <f>AVERAGE(CW129,CW134)</f>
        <v>41708.5</v>
      </c>
      <c r="CX135" s="61">
        <f t="shared" si="879"/>
        <v>3.5014579068180396</v>
      </c>
      <c r="CY135" s="65">
        <f>AVERAGE(CY129,CY134)</f>
        <v>42250</v>
      </c>
      <c r="CZ135" s="61">
        <f t="shared" si="879"/>
        <v>9.3044614329879529</v>
      </c>
      <c r="DA135" s="65">
        <f>AVERAGE(DA129,DA134)</f>
        <v>43517</v>
      </c>
      <c r="DB135" s="61">
        <f t="shared" si="879"/>
        <v>14.288340577521573</v>
      </c>
      <c r="DC135" s="65">
        <f>AVERAGE(DC129,DC134)</f>
        <v>45186.5</v>
      </c>
      <c r="DD135" s="61">
        <f t="shared" si="879"/>
        <v>11.361255899350621</v>
      </c>
      <c r="DE135" s="65">
        <f>AVERAGE(DE129,DE134)</f>
        <v>46769.5</v>
      </c>
      <c r="DF135" s="61">
        <f t="shared" si="879"/>
        <v>12.134217245885125</v>
      </c>
      <c r="DG135" s="65">
        <f>AVERAGE(DG129,DG134)</f>
        <v>48203</v>
      </c>
      <c r="DH135" s="61">
        <f t="shared" si="879"/>
        <v>14.089940828402359</v>
      </c>
      <c r="DI135" s="65">
        <f>AVERAGE(DI129,DI134)</f>
        <v>50463.5</v>
      </c>
      <c r="DJ135" s="61">
        <f t="shared" si="879"/>
        <v>15.962727210055849</v>
      </c>
      <c r="DK135" s="65">
        <f>AVERAGE(DK129,DK134)</f>
        <v>51734.5</v>
      </c>
      <c r="DL135" s="61">
        <f t="shared" si="880"/>
        <v>14.491053743927939</v>
      </c>
      <c r="DM135" s="65">
        <f>AVERAGE(DM129,DM134)</f>
        <v>52799.5</v>
      </c>
      <c r="DN135" s="130">
        <f t="shared" si="881"/>
        <v>12.893017885587831</v>
      </c>
      <c r="DO135" s="65">
        <f>AVERAGE(DO129,DO134)</f>
        <v>53555</v>
      </c>
      <c r="DP135" s="130">
        <f t="shared" si="881"/>
        <v>11.103043379042798</v>
      </c>
      <c r="DQ135" s="65">
        <f>AVERAGE(DQ129,DQ134)</f>
        <v>53450.5</v>
      </c>
      <c r="DR135" s="130">
        <f t="shared" si="881"/>
        <v>5.9191296679778516</v>
      </c>
      <c r="DS135" s="65">
        <f>AVERAGE(DS129,DS134)</f>
        <v>54085.5</v>
      </c>
      <c r="DT135" s="130">
        <f t="shared" si="881"/>
        <v>4.5443562806251059</v>
      </c>
      <c r="DU135" s="65">
        <f>AVERAGE(DU129,DU134)</f>
        <v>54810.5</v>
      </c>
      <c r="DV135" s="130">
        <f t="shared" si="881"/>
        <v>3.8087481889033103</v>
      </c>
      <c r="DW135" s="65">
        <f>AVERAGE(DW129,DW134)</f>
        <v>53916.5</v>
      </c>
      <c r="DX135" s="65">
        <f t="shared" ref="DX135:DY135" si="919">AVERAGE(DX129,DX134)</f>
        <v>-1070.1910768772791</v>
      </c>
      <c r="DY135" s="65">
        <f t="shared" si="919"/>
        <v>53472</v>
      </c>
      <c r="DZ135" s="130">
        <f t="shared" si="881"/>
        <v>4.0224132608668306E-2</v>
      </c>
      <c r="EA135" s="65">
        <f>(EA129*0.95)+(0.5*(EA130+EA131))</f>
        <v>51434</v>
      </c>
      <c r="EB135" s="130">
        <f t="shared" si="883"/>
        <v>-4.9024230154107844</v>
      </c>
      <c r="EC135" s="65">
        <f t="shared" ref="EC135:EI135" si="920">AVERAGE(EC129,EC134)</f>
        <v>54964.5</v>
      </c>
      <c r="ED135" s="130">
        <f t="shared" si="884"/>
        <v>0.28096806268871344</v>
      </c>
      <c r="EE135" s="65">
        <f t="shared" si="920"/>
        <v>56349</v>
      </c>
      <c r="EF135" s="130">
        <f t="shared" si="885"/>
        <v>4.511605909137284</v>
      </c>
      <c r="EG135" s="65">
        <f t="shared" si="920"/>
        <v>57851</v>
      </c>
      <c r="EH135" s="130">
        <f t="shared" si="886"/>
        <v>8.1893327348892875</v>
      </c>
      <c r="EI135" s="65">
        <f t="shared" si="920"/>
        <v>59583.5</v>
      </c>
      <c r="EJ135" s="130">
        <f t="shared" si="887"/>
        <v>15.844577516817671</v>
      </c>
      <c r="EK135" s="65">
        <f t="shared" ref="EK135:EM135" si="921">AVERAGE(EK129,EK134)</f>
        <v>61650.5</v>
      </c>
      <c r="EL135" s="130">
        <f t="shared" si="889"/>
        <v>12.164215084281672</v>
      </c>
      <c r="EM135" s="65">
        <f t="shared" si="921"/>
        <v>63698.5</v>
      </c>
      <c r="EN135" s="130">
        <f t="shared" si="890"/>
        <v>13.042822410335585</v>
      </c>
      <c r="EO135" s="65">
        <f t="shared" ref="EO135" si="922">AVERAGE(EO129,EO134)</f>
        <v>66099</v>
      </c>
      <c r="EP135" s="130">
        <f t="shared" si="892"/>
        <v>14.257316208881443</v>
      </c>
      <c r="EQ135" s="65">
        <f t="shared" ref="EQ135:EW135" si="923">AVERAGE(EQ129,EQ134)</f>
        <v>67285.260545177618</v>
      </c>
      <c r="ER135" s="130">
        <f t="shared" si="894"/>
        <v>12.925995527583334</v>
      </c>
      <c r="ES135" s="65">
        <f t="shared" si="923"/>
        <v>67888.8749817973</v>
      </c>
      <c r="ET135" s="130">
        <f t="shared" si="896"/>
        <v>10.118936556552338</v>
      </c>
      <c r="EU135" s="65">
        <f t="shared" si="923"/>
        <v>69327.605218311772</v>
      </c>
      <c r="EV135" s="130">
        <f t="shared" si="898"/>
        <v>8.8371079669250729</v>
      </c>
      <c r="EW135" s="65">
        <f t="shared" si="923"/>
        <v>70566.996062590479</v>
      </c>
      <c r="EX135" s="130">
        <f t="shared" si="900"/>
        <v>6.759551676410358</v>
      </c>
      <c r="EY135" s="64"/>
      <c r="EZ135" s="558"/>
      <c r="FA135" s="64"/>
      <c r="FB135" s="66"/>
      <c r="FC135" s="66"/>
      <c r="FD135" s="66"/>
      <c r="FE135" s="67"/>
      <c r="FF135" s="66"/>
      <c r="FG135" s="67"/>
      <c r="FH135" s="66"/>
      <c r="FI135" s="67"/>
      <c r="FJ135" s="66"/>
      <c r="FK135" s="67"/>
      <c r="FL135" s="66"/>
      <c r="FM135" s="61"/>
      <c r="FN135" s="66"/>
      <c r="FO135" s="61"/>
      <c r="FP135" s="65"/>
      <c r="FQ135" s="61"/>
      <c r="FR135" s="65"/>
      <c r="FS135" s="61"/>
      <c r="FT135" s="65">
        <f>AVERAGE(FT129,FT134)</f>
        <v>34857</v>
      </c>
      <c r="FU135" s="61" t="str">
        <f t="shared" si="901"/>
        <v>NA</v>
      </c>
      <c r="FV135" s="65">
        <f>AVERAGE(FV129,FV134)</f>
        <v>32468</v>
      </c>
      <c r="FW135" s="61">
        <f t="shared" si="902"/>
        <v>-6.8537166135926757</v>
      </c>
      <c r="FX135" s="65">
        <f>AVERAGE(FX129,FX134)</f>
        <v>32090</v>
      </c>
      <c r="FY135" s="61">
        <f t="shared" si="903"/>
        <v>-1.1642232351854132</v>
      </c>
      <c r="FZ135" s="65">
        <f>AVERAGE(FZ129,FZ134)</f>
        <v>37063</v>
      </c>
      <c r="GA135" s="61">
        <f t="shared" si="904"/>
        <v>15.497039576191952</v>
      </c>
      <c r="GB135" s="65">
        <f>AVERAGE(GB129,GB134)</f>
        <v>38978.5</v>
      </c>
      <c r="GC135" s="61">
        <f t="shared" si="905"/>
        <v>5.1682270728219626</v>
      </c>
      <c r="GD135" s="65">
        <f>AVERAGE(GD129,GD134)</f>
        <v>41532</v>
      </c>
      <c r="GE135" s="61">
        <f t="shared" si="905"/>
        <v>6.5510473722693252</v>
      </c>
      <c r="GF135" s="65">
        <f>AVERAGE(GF129,GF134)</f>
        <v>47774.5</v>
      </c>
      <c r="GG135" s="61">
        <f t="shared" si="906"/>
        <v>15.030578830781094</v>
      </c>
      <c r="GH135" s="65">
        <f>AVERAGE(GH129,GH134)</f>
        <v>52578.5</v>
      </c>
      <c r="GI135" s="61">
        <f t="shared" si="906"/>
        <v>10.055573580047938</v>
      </c>
      <c r="GJ135" s="65">
        <f>AVERAGE(GJ129,GJ134)</f>
        <v>53819.5</v>
      </c>
      <c r="GK135" s="61">
        <f t="shared" si="906"/>
        <v>2.3602803427256402</v>
      </c>
      <c r="GL135" s="65">
        <f>AVERAGE(GL129,GL134)</f>
        <v>56267</v>
      </c>
      <c r="GM135" s="61">
        <f t="shared" si="906"/>
        <v>4.5476082089205505</v>
      </c>
      <c r="GN135" s="65">
        <f>AVERAGE(GN129,GN134)</f>
        <v>62901.5</v>
      </c>
      <c r="GO135" s="61">
        <f t="shared" si="906"/>
        <v>11.791103133275271</v>
      </c>
      <c r="GP135" s="65">
        <f>AVERAGE(GP129,GP134)</f>
        <v>69212.005280898418</v>
      </c>
      <c r="GQ135" s="61">
        <f t="shared" si="906"/>
        <v>10.032360565166831</v>
      </c>
      <c r="GR135" s="65">
        <f>AVERAGE(GR129,GR134)</f>
        <v>72098.348111785483</v>
      </c>
      <c r="GS135" s="61">
        <f t="shared" si="906"/>
        <v>4.1702921612699617</v>
      </c>
      <c r="GT135" s="65">
        <f>AVERAGE(GT129,GT134)</f>
        <v>74326.694077819586</v>
      </c>
      <c r="GU135" s="61">
        <f t="shared" si="906"/>
        <v>3.0907032191349826</v>
      </c>
      <c r="GV135" s="65">
        <f>AVERAGE(GV129,GV134)</f>
        <v>76834.536872050987</v>
      </c>
      <c r="GW135" s="61">
        <f t="shared" si="906"/>
        <v>3.3740809077364764</v>
      </c>
      <c r="GX135" s="65">
        <f>AVERAGE(GX129,GX134)</f>
        <v>79615.328806104197</v>
      </c>
      <c r="GY135" s="61">
        <f t="shared" si="907"/>
        <v>3.6191952828243501</v>
      </c>
      <c r="GZ135" s="61">
        <f t="shared" si="908"/>
        <v>4.8255472111793374</v>
      </c>
      <c r="HA135" s="61"/>
      <c r="HB135" s="452"/>
      <c r="HC135"/>
      <c r="HD135"/>
      <c r="HE135"/>
      <c r="HF135"/>
      <c r="HG135"/>
      <c r="HH135"/>
    </row>
    <row r="136" spans="2:216" s="5" customFormat="1" ht="12.75" customHeight="1" x14ac:dyDescent="0.2">
      <c r="B136" s="92"/>
      <c r="C136" s="66"/>
      <c r="D136" s="67"/>
      <c r="E136" s="66"/>
      <c r="F136" s="66"/>
      <c r="G136" s="64"/>
      <c r="H136" s="66"/>
      <c r="I136" s="64"/>
      <c r="J136" s="66"/>
      <c r="K136" s="64"/>
      <c r="L136" s="61"/>
      <c r="M136" s="66"/>
      <c r="N136" s="61"/>
      <c r="O136" s="64"/>
      <c r="P136" s="61"/>
      <c r="Q136" s="64"/>
      <c r="R136" s="61"/>
      <c r="S136" s="64"/>
      <c r="T136" s="61"/>
      <c r="U136" s="64"/>
      <c r="V136" s="61"/>
      <c r="W136" s="64"/>
      <c r="X136" s="61"/>
      <c r="Y136" s="64"/>
      <c r="Z136" s="61"/>
      <c r="AA136" s="64"/>
      <c r="AB136" s="61"/>
      <c r="AC136" s="64"/>
      <c r="AD136" s="61"/>
      <c r="AE136" s="64"/>
      <c r="AF136" s="61"/>
      <c r="AG136" s="64"/>
      <c r="AH136" s="61"/>
      <c r="AI136" s="64"/>
      <c r="AJ136" s="61"/>
      <c r="AK136" s="64"/>
      <c r="AL136" s="61"/>
      <c r="AM136" s="64"/>
      <c r="AN136" s="61"/>
      <c r="AO136" s="64"/>
      <c r="AP136" s="61"/>
      <c r="AQ136" s="64"/>
      <c r="AR136" s="61"/>
      <c r="AS136" s="64"/>
      <c r="AT136" s="61"/>
      <c r="AU136" s="64"/>
      <c r="AV136" s="61"/>
      <c r="AW136" s="64"/>
      <c r="AX136" s="61"/>
      <c r="AY136" s="64"/>
      <c r="AZ136" s="61"/>
      <c r="BA136" s="64"/>
      <c r="BB136" s="61"/>
      <c r="BC136" s="64"/>
      <c r="BD136" s="61"/>
      <c r="BE136" s="64"/>
      <c r="BF136" s="61"/>
      <c r="BG136" s="64"/>
      <c r="BH136" s="61"/>
      <c r="BI136" s="64"/>
      <c r="BJ136" s="61"/>
      <c r="BK136" s="64"/>
      <c r="BL136" s="61"/>
      <c r="BM136" s="64"/>
      <c r="BN136" s="61"/>
      <c r="BO136" s="64"/>
      <c r="BP136" s="61"/>
      <c r="BQ136" s="64"/>
      <c r="BR136" s="61"/>
      <c r="BS136" s="64"/>
      <c r="BT136" s="61"/>
      <c r="BU136" s="64"/>
      <c r="BV136" s="61"/>
      <c r="BW136" s="64"/>
      <c r="BX136" s="61"/>
      <c r="BY136" s="64"/>
      <c r="BZ136" s="61"/>
      <c r="CA136" s="64"/>
      <c r="CB136" s="61"/>
      <c r="CC136" s="64"/>
      <c r="CD136" s="61"/>
      <c r="CE136" s="64"/>
      <c r="CF136" s="61"/>
      <c r="CG136" s="64"/>
      <c r="CH136" s="61"/>
      <c r="CI136" s="64"/>
      <c r="CJ136" s="61"/>
      <c r="CK136" s="64"/>
      <c r="CL136" s="61"/>
      <c r="CM136" s="64"/>
      <c r="CN136" s="61"/>
      <c r="CO136" s="64"/>
      <c r="CP136" s="61"/>
      <c r="CQ136" s="64"/>
      <c r="CR136" s="61"/>
      <c r="CS136" s="64"/>
      <c r="CT136" s="61"/>
      <c r="CU136" s="64"/>
      <c r="CV136" s="61"/>
      <c r="CW136" s="64"/>
      <c r="CX136" s="61"/>
      <c r="CY136" s="64"/>
      <c r="CZ136" s="61"/>
      <c r="DA136" s="64"/>
      <c r="DB136" s="61"/>
      <c r="DC136" s="64"/>
      <c r="DD136" s="61"/>
      <c r="DE136" s="64"/>
      <c r="DF136" s="61"/>
      <c r="DG136" s="64"/>
      <c r="DH136" s="61"/>
      <c r="DI136" s="64"/>
      <c r="DJ136" s="61"/>
      <c r="DK136" s="64"/>
      <c r="DL136" s="61"/>
      <c r="DM136" s="64"/>
      <c r="DN136" s="61"/>
      <c r="DO136" s="64"/>
      <c r="DP136" s="61"/>
      <c r="DQ136" s="64"/>
      <c r="DR136" s="61"/>
      <c r="DS136" s="64"/>
      <c r="DT136" s="61"/>
      <c r="DU136" s="64"/>
      <c r="DV136" s="61"/>
      <c r="DW136" s="64"/>
      <c r="DX136" s="64"/>
      <c r="DY136" s="64"/>
      <c r="DZ136" s="61"/>
      <c r="EA136" s="64"/>
      <c r="EB136" s="61"/>
      <c r="EC136" s="64"/>
      <c r="ED136" s="61"/>
      <c r="EE136" s="64"/>
      <c r="EF136" s="61"/>
      <c r="EG136" s="64"/>
      <c r="EH136" s="61"/>
      <c r="EI136" s="64"/>
      <c r="EJ136" s="61"/>
      <c r="EK136" s="64"/>
      <c r="EL136" s="61"/>
      <c r="EM136" s="64"/>
      <c r="EN136" s="61"/>
      <c r="EO136" s="64"/>
      <c r="EP136" s="61"/>
      <c r="EQ136" s="64"/>
      <c r="ER136" s="61"/>
      <c r="ES136" s="64"/>
      <c r="ET136" s="61"/>
      <c r="EU136" s="64"/>
      <c r="EV136" s="61"/>
      <c r="EW136" s="64"/>
      <c r="EX136" s="61"/>
      <c r="EY136" s="64"/>
      <c r="EZ136" s="558"/>
      <c r="FA136" s="64"/>
      <c r="FB136" s="66"/>
      <c r="FC136" s="66"/>
      <c r="FD136" s="66"/>
      <c r="FE136" s="67"/>
      <c r="FF136" s="66"/>
      <c r="FG136" s="67"/>
      <c r="FH136" s="66"/>
      <c r="FI136" s="67"/>
      <c r="FJ136" s="66"/>
      <c r="FK136" s="67"/>
      <c r="FL136" s="66"/>
      <c r="FM136" s="61"/>
      <c r="FN136" s="66"/>
      <c r="FO136" s="61"/>
      <c r="FP136" s="65"/>
      <c r="FQ136" s="61"/>
      <c r="FR136" s="65"/>
      <c r="FS136" s="61"/>
      <c r="FT136" s="65"/>
      <c r="FU136" s="61"/>
      <c r="FV136" s="65"/>
      <c r="FW136" s="61"/>
      <c r="FX136" s="65"/>
      <c r="FY136" s="61"/>
      <c r="FZ136" s="65"/>
      <c r="GA136" s="61"/>
      <c r="GB136" s="65"/>
      <c r="GC136" s="61"/>
      <c r="GD136" s="65"/>
      <c r="GE136" s="61"/>
      <c r="GF136" s="65"/>
      <c r="GG136" s="61"/>
      <c r="GH136" s="65"/>
      <c r="GI136" s="61"/>
      <c r="GJ136" s="65"/>
      <c r="GK136" s="61"/>
      <c r="GL136" s="65"/>
      <c r="GM136" s="61"/>
      <c r="GN136" s="65"/>
      <c r="GO136" s="61"/>
      <c r="GP136" s="65"/>
      <c r="GQ136" s="61"/>
      <c r="GR136" s="64"/>
      <c r="GS136" s="61"/>
      <c r="GT136" s="64"/>
      <c r="GU136" s="61"/>
      <c r="GV136" s="64"/>
      <c r="GW136" s="61"/>
      <c r="GX136" s="64"/>
      <c r="GY136" s="61"/>
      <c r="GZ136" s="61"/>
      <c r="HA136" s="61"/>
      <c r="HB136" s="452"/>
      <c r="HC136"/>
      <c r="HD136"/>
      <c r="HE136"/>
      <c r="HF136"/>
      <c r="HG136"/>
      <c r="HH136"/>
    </row>
    <row r="137" spans="2:216" s="5" customFormat="1" ht="12.75" customHeight="1" x14ac:dyDescent="0.2">
      <c r="B137" s="68" t="s">
        <v>233</v>
      </c>
      <c r="C137" s="66"/>
      <c r="D137" s="67"/>
      <c r="E137" s="66"/>
      <c r="F137" s="66"/>
      <c r="G137" s="64"/>
      <c r="H137" s="66"/>
      <c r="I137" s="64"/>
      <c r="J137" s="66"/>
      <c r="K137" s="64"/>
      <c r="L137" s="61"/>
      <c r="M137" s="66"/>
      <c r="N137" s="61"/>
      <c r="O137" s="64"/>
      <c r="P137" s="61"/>
      <c r="Q137" s="64"/>
      <c r="R137" s="61"/>
      <c r="S137" s="64"/>
      <c r="T137" s="61"/>
      <c r="U137" s="64"/>
      <c r="V137" s="61"/>
      <c r="W137" s="64"/>
      <c r="X137" s="61"/>
      <c r="Y137" s="64"/>
      <c r="Z137" s="61"/>
      <c r="AA137" s="64"/>
      <c r="AB137" s="61"/>
      <c r="AC137" s="64"/>
      <c r="AD137" s="61"/>
      <c r="AE137" s="64"/>
      <c r="AF137" s="61"/>
      <c r="AG137" s="64"/>
      <c r="AH137" s="61"/>
      <c r="AI137" s="64"/>
      <c r="AJ137" s="61"/>
      <c r="AK137" s="64"/>
      <c r="AL137" s="61"/>
      <c r="AM137" s="64"/>
      <c r="AN137" s="61"/>
      <c r="AO137" s="64"/>
      <c r="AP137" s="61"/>
      <c r="AQ137" s="64"/>
      <c r="AR137" s="61"/>
      <c r="AS137" s="64"/>
      <c r="AT137" s="61"/>
      <c r="AU137" s="64"/>
      <c r="AV137" s="61"/>
      <c r="AW137" s="64"/>
      <c r="AX137" s="61"/>
      <c r="AY137" s="64"/>
      <c r="AZ137" s="61"/>
      <c r="BA137" s="64"/>
      <c r="BB137" s="61"/>
      <c r="BC137" s="64"/>
      <c r="BD137" s="61"/>
      <c r="BE137" s="64"/>
      <c r="BF137" s="61"/>
      <c r="BG137" s="550">
        <f>BG130+BG131</f>
        <v>221</v>
      </c>
      <c r="BH137" s="61" t="str">
        <f>IF(ISERROR((BG137/AY137-1)*100),"NA",IF(((BG137/AY137-1)*100)&gt;100,"NM",IF(((BG137/AY137-1)*100)&lt;-50,"NM",(BG137/AY137-1)*100)))</f>
        <v>NA</v>
      </c>
      <c r="BI137" s="550">
        <f>BI130+BI131</f>
        <v>73</v>
      </c>
      <c r="BJ137" s="61" t="str">
        <f>IF(ISERROR((BI137/BA137-1)*100),"NA",IF(((BI137/BA137-1)*100)&gt;100,"NM",IF(((BI137/BA137-1)*100)&lt;-50,"NM",(BI137/BA137-1)*100)))</f>
        <v>NA</v>
      </c>
      <c r="BK137" s="550">
        <f>BK130+BK131</f>
        <v>133</v>
      </c>
      <c r="BL137" s="61" t="str">
        <f>IF(ISERROR((BK137/BC137-1)*100),"NA",IF(((BK137/BC137-1)*100)&gt;100,"NM",IF(((BK137/BC137-1)*100)&lt;-50,"NM",(BK137/BC137-1)*100)))</f>
        <v>NA</v>
      </c>
      <c r="BM137" s="550">
        <f>BM130+BM131</f>
        <v>-91</v>
      </c>
      <c r="BN137" s="61" t="str">
        <f>IF(ISERROR((BM137/BE137-1)*100),"NA",IF(((BM137/BE137-1)*100)&gt;100,"NM",IF(((BM137/BE137-1)*100)&lt;-50,"NM",(BM137/BE137-1)*100)))</f>
        <v>NA</v>
      </c>
      <c r="BO137" s="550">
        <f>BO130+BO131</f>
        <v>280</v>
      </c>
      <c r="BP137" s="61">
        <f>IF(ISERROR((BO137/BG137-1)*100),"NA",IF(((BO137/BG137-1)*100)&gt;100,"NM",IF(((BO137/BG137-1)*100)&lt;-50,"NM",(BO137/BG137-1)*100)))</f>
        <v>26.696832579185514</v>
      </c>
      <c r="BQ137" s="550">
        <f>BQ130+BQ131</f>
        <v>237</v>
      </c>
      <c r="BR137" s="61" t="str">
        <f>IF(ISERROR((BQ137/BI137-1)*100),"NA",IF(((BQ137/BI137-1)*100)&gt;100,"NM",IF(((BQ137/BI137-1)*100)&lt;-50,"NM",(BQ137/BI137-1)*100)))</f>
        <v>NM</v>
      </c>
      <c r="BS137" s="550">
        <f>BS130+BS131</f>
        <v>93</v>
      </c>
      <c r="BT137" s="61">
        <f>IF(ISERROR((BS137/BK137-1)*100),"NA",IF(((BS137/BK137-1)*100)&gt;100,"NM",IF(((BS137/BK137-1)*100)&lt;-50,"NM",(BS137/BK137-1)*100)))</f>
        <v>-30.075187969924812</v>
      </c>
      <c r="BU137" s="550">
        <f>BU130+BU131</f>
        <v>171</v>
      </c>
      <c r="BV137" s="61" t="str">
        <f>IF(ISERROR((BU137/BM137-1)*100),"NA",IF(((BU137/BM137-1)*100)&gt;100,"NM",IF(((BU137/BM137-1)*100)&lt;-50,"NM",(BU137/BM137-1)*100)))</f>
        <v>NM</v>
      </c>
      <c r="BW137" s="550">
        <f>BW130+BW131</f>
        <v>657</v>
      </c>
      <c r="BX137" s="61" t="str">
        <f>IF(ISERROR((BW137/BO137-1)*100),"NA",IF(((BW137/BO137-1)*100)&gt;100,"NM",IF(((BW137/BO137-1)*100)&lt;-50,"NM",(BW137/BO137-1)*100)))</f>
        <v>NM</v>
      </c>
      <c r="BY137" s="550">
        <f>BY130+BY131</f>
        <v>256</v>
      </c>
      <c r="BZ137" s="61">
        <f>IF(ISERROR((BY137/BQ137-1)*100),"NA",IF(((BY137/BQ137-1)*100)&gt;100,"NM",IF(((BY137/BQ137-1)*100)&lt;-50,"NM",(BY137/BQ137-1)*100)))</f>
        <v>8.0168776371307935</v>
      </c>
      <c r="CA137" s="550">
        <f>CA130+CA131</f>
        <v>144</v>
      </c>
      <c r="CB137" s="61">
        <f>IF(ISERROR((CA137/BS137-1)*100),"NA",IF(((CA137/BS137-1)*100)&gt;100,"NM",IF(((CA137/BS137-1)*100)&lt;-50,"NM",(CA137/BS137-1)*100)))</f>
        <v>54.838709677419352</v>
      </c>
      <c r="CC137" s="550">
        <f>CC130+CC131</f>
        <v>-62</v>
      </c>
      <c r="CD137" s="61" t="str">
        <f>IF(ISERROR((CC137/BU137-1)*100),"NA",IF(((CC137/BU137-1)*100)&gt;100,"NM",IF(((CC137/BU137-1)*100)&lt;-50,"NM",(CC137/BU137-1)*100)))</f>
        <v>NM</v>
      </c>
      <c r="CE137" s="550">
        <f>CE130+CE131</f>
        <v>109</v>
      </c>
      <c r="CF137" s="61" t="str">
        <f>IF(ISERROR((CE137/BW137-1)*100),"NA",IF(((CE137/BW137-1)*100)&gt;100,"NM",IF(((CE137/BW137-1)*100)&lt;-50,"NM",(CE137/BW137-1)*100)))</f>
        <v>NM</v>
      </c>
      <c r="CG137" s="550">
        <f>CG130+CG131</f>
        <v>182</v>
      </c>
      <c r="CH137" s="61">
        <f>IF(ISERROR((CG137/BY137-1)*100),"NA",IF(((CG137/BY137-1)*100)&gt;100,"NM",IF(((CG137/BY137-1)*100)&lt;-50,"NM",(CG137/BY137-1)*100)))</f>
        <v>-28.90625</v>
      </c>
      <c r="CI137" s="550">
        <f>CI130+CI131</f>
        <v>-278</v>
      </c>
      <c r="CJ137" s="61" t="str">
        <f>IF(ISERROR((CI137/CA137-1)*100),"NA",IF(((CI137/CA137-1)*100)&gt;100,"NM",IF(((CI137/CA137-1)*100)&lt;-50,"NM",(CI137/CA137-1)*100)))</f>
        <v>NM</v>
      </c>
      <c r="CK137" s="550">
        <f>CK130+CK131</f>
        <v>-304</v>
      </c>
      <c r="CL137" s="61" t="str">
        <f>IF(ISERROR((CK137/CC137-1)*100),"NA",IF(((CK137/CC137-1)*100)&gt;100,"NM",IF(((CK137/CC137-1)*100)&lt;-50,"NM",(CK137/CC137-1)*100)))</f>
        <v>NM</v>
      </c>
      <c r="CM137" s="550">
        <f>CM130+CM131</f>
        <v>134</v>
      </c>
      <c r="CN137" s="61">
        <f>IF(ISERROR((CM137/CE137-1)*100),"NA",IF(((CM137/CE137-1)*100)&gt;100,"NM",IF(((CM137/CE137-1)*100)&lt;-50,"NM",(CM137/CE137-1)*100)))</f>
        <v>22.935779816513758</v>
      </c>
      <c r="CO137" s="550">
        <f>CO130+CO131</f>
        <v>-178</v>
      </c>
      <c r="CP137" s="61" t="str">
        <f>IF(ISERROR((CO137/CG137-1)*100),"NA",IF(((CO137/CG137-1)*100)&gt;100,"NM",IF(((CO137/CG137-1)*100)&lt;-50,"NM",(CO137/CG137-1)*100)))</f>
        <v>NM</v>
      </c>
      <c r="CQ137" s="550">
        <f>CQ130+CQ131</f>
        <v>329</v>
      </c>
      <c r="CR137" s="61" t="str">
        <f>IF(ISERROR((CQ137/CI137-1)*100),"NA",IF(((CQ137/CI137-1)*100)&gt;100,"NM",IF(((CQ137/CI137-1)*100)&lt;-50,"NM",(CQ137/CI137-1)*100)))</f>
        <v>NM</v>
      </c>
      <c r="CS137" s="550">
        <f>CS130+CS131</f>
        <v>219</v>
      </c>
      <c r="CT137" s="61" t="str">
        <f>IF(ISERROR((CS137/CK137-1)*100),"NA",IF(((CS137/CK137-1)*100)&gt;100,"NM",IF(((CS137/CK137-1)*100)&lt;-50,"NM",(CS137/CK137-1)*100)))</f>
        <v>NM</v>
      </c>
      <c r="CU137" s="550">
        <f>CU130+CU131</f>
        <v>212</v>
      </c>
      <c r="CV137" s="61">
        <f>IF(ISERROR((CU137/CM137-1)*100),"NA",IF(((CU137/CM137-1)*100)&gt;100,"NM",IF(((CU137/CM137-1)*100)&lt;-50,"NM",(CU137/CM137-1)*100)))</f>
        <v>58.208955223880587</v>
      </c>
      <c r="CW137" s="550">
        <f>CW130+CW131</f>
        <v>194</v>
      </c>
      <c r="CX137" s="61" t="str">
        <f>IF(ISERROR((CW137/CO137-1)*100),"NA",IF(((CW137/CO137-1)*100)&gt;100,"NM",IF(((CW137/CO137-1)*100)&lt;-50,"NM",(CW137/CO137-1)*100)))</f>
        <v>NM</v>
      </c>
      <c r="CY137" s="550">
        <f>CY130+CY131</f>
        <v>232</v>
      </c>
      <c r="CZ137" s="61">
        <f>IF(ISERROR((CY137/CQ137-1)*100),"NA",IF(((CY137/CQ137-1)*100)&gt;100,"NM",IF(((CY137/CQ137-1)*100)&lt;-50,"NM",(CY137/CQ137-1)*100)))</f>
        <v>-29.483282674772038</v>
      </c>
      <c r="DA137" s="550">
        <f>DA130+DA131</f>
        <v>348</v>
      </c>
      <c r="DB137" s="61">
        <f>IF(ISERROR((DA137/CS137-1)*100),"NA",IF(((DA137/CS137-1)*100)&gt;100,"NM",IF(((DA137/CS137-1)*100)&lt;-50,"NM",(DA137/CS137-1)*100)))</f>
        <v>58.904109589041084</v>
      </c>
      <c r="DC137" s="550">
        <f>DC130+DC131</f>
        <v>344</v>
      </c>
      <c r="DD137" s="61">
        <f>IF(ISERROR((DC137/CU137-1)*100),"NA",IF(((DC137/CU137-1)*100)&gt;100,"NM",IF(((DC137/CU137-1)*100)&lt;-50,"NM",(DC137/CU137-1)*100)))</f>
        <v>62.264150943396231</v>
      </c>
      <c r="DE137" s="550">
        <f>DE130+DE131</f>
        <v>337</v>
      </c>
      <c r="DF137" s="61">
        <f>IF(ISERROR((DE137/CW137-1)*100),"NA",IF(((DE137/CW137-1)*100)&gt;100,"NM",IF(((DE137/CW137-1)*100)&lt;-50,"NM",(DE137/CW137-1)*100)))</f>
        <v>73.711340206185568</v>
      </c>
      <c r="DG137" s="550">
        <f>DG130+DG131</f>
        <v>219</v>
      </c>
      <c r="DH137" s="61">
        <f>IF(ISERROR((DG137/CY137-1)*100),"NA",IF(((DG137/CY137-1)*100)&gt;100,"NM",IF(((DG137/CY137-1)*100)&lt;-50,"NM",(DG137/CY137-1)*100)))</f>
        <v>-5.6034482758620658</v>
      </c>
      <c r="DI137" s="550">
        <f>DI130+DI131</f>
        <v>-107</v>
      </c>
      <c r="DJ137" s="61" t="str">
        <f>IF(ISERROR((DI137/DA137-1)*100),"NA",IF(((DI137/DA137-1)*100)&gt;100,"NM",IF(((DI137/DA137-1)*100)&lt;-50,"NM",(DI137/DA137-1)*100)))</f>
        <v>NM</v>
      </c>
      <c r="DK137" s="550">
        <f>DK130+DK131</f>
        <v>-361</v>
      </c>
      <c r="DL137" s="61" t="str">
        <f>IF(ISERROR((DK137/DC137-1)*100),"NA",IF(((DK137/DC137-1)*100)&gt;100,"NM",IF(((DK137/DC137-1)*100)&lt;-50,"NM",(DK137/DC137-1)*100)))</f>
        <v>NM</v>
      </c>
      <c r="DM137" s="550">
        <f>DM130+DM131</f>
        <v>366</v>
      </c>
      <c r="DN137" s="130">
        <f t="shared" ref="DN137:DZ137" si="924">IF(ISERROR((DM137/DE137-1)*100),"NA",IF(((DM137/DE137-1)*100)&gt;100,"NM",IF(((DM137/DE137-1)*100)&lt;-50,"NM",(DM137/DE137-1)*100)))</f>
        <v>8.6053412462907986</v>
      </c>
      <c r="DO137" s="550">
        <f>DO130+DO131</f>
        <v>50</v>
      </c>
      <c r="DP137" s="130" t="str">
        <f t="shared" si="924"/>
        <v>NM</v>
      </c>
      <c r="DQ137" s="550">
        <f>DQ130+DQ131</f>
        <v>-936</v>
      </c>
      <c r="DR137" s="130" t="str">
        <f t="shared" si="924"/>
        <v>NM</v>
      </c>
      <c r="DS137" s="550">
        <f>DS130+DS131</f>
        <v>115</v>
      </c>
      <c r="DT137" s="130" t="str">
        <f t="shared" si="924"/>
        <v>NM</v>
      </c>
      <c r="DU137" s="550">
        <f>DU130+DU131</f>
        <v>306</v>
      </c>
      <c r="DV137" s="130">
        <f t="shared" si="924"/>
        <v>-16.393442622950815</v>
      </c>
      <c r="DW137" s="550">
        <f>DW130+DW131</f>
        <v>251</v>
      </c>
      <c r="DX137" s="550">
        <f t="shared" ref="DX137:DY137" si="925">DX130+DX131</f>
        <v>251</v>
      </c>
      <c r="DY137" s="550">
        <f t="shared" si="925"/>
        <v>-221</v>
      </c>
      <c r="DZ137" s="130" t="str">
        <f t="shared" si="924"/>
        <v>NM</v>
      </c>
      <c r="EA137" s="550">
        <f t="shared" ref="EA137:EC137" si="926">EA130+EA131</f>
        <v>78</v>
      </c>
      <c r="EB137" s="130">
        <f t="shared" ref="EB137" si="927">IF(ISERROR((EA137/DS137-1)*100),"NA",IF(((EA137/DS137-1)*100)&gt;100,"NM",IF(((EA137/DS137-1)*100)&lt;-50,"NM",(EA137/DS137-1)*100)))</f>
        <v>-32.173913043478265</v>
      </c>
      <c r="EC137" s="550">
        <f t="shared" si="926"/>
        <v>4</v>
      </c>
      <c r="ED137" s="130" t="str">
        <f t="shared" ref="ED137" si="928">IF(ISERROR((EC137/DU137-1)*100),"NA",IF(((EC137/DU137-1)*100)&gt;100,"NM",IF(((EC137/DU137-1)*100)&lt;-50,"NM",(EC137/DU137-1)*100)))</f>
        <v>NM</v>
      </c>
      <c r="EE137" s="550">
        <f t="shared" ref="EE137:EG137" si="929">EE130+EE131</f>
        <v>97</v>
      </c>
      <c r="EF137" s="130" t="str">
        <f t="shared" ref="EF137" si="930">IF(ISERROR((EE137/DW137-1)*100),"NA",IF(((EE137/DW137-1)*100)&gt;100,"NM",IF(((EE137/DW137-1)*100)&lt;-50,"NM",(EE137/DW137-1)*100)))</f>
        <v>NM</v>
      </c>
      <c r="EG137" s="550">
        <f t="shared" si="929"/>
        <v>386</v>
      </c>
      <c r="EH137" s="130" t="str">
        <f t="shared" ref="EH137" si="931">IF(ISERROR((EG137/DY137-1)*100),"NA",IF(((EG137/DY137-1)*100)&gt;100,"NM",IF(((EG137/DY137-1)*100)&lt;-50,"NM",(EG137/DY137-1)*100)))</f>
        <v>NM</v>
      </c>
      <c r="EI137" s="550">
        <f t="shared" ref="EI137:EK137" si="932">EI130+EI131</f>
        <v>116</v>
      </c>
      <c r="EJ137" s="130">
        <f t="shared" ref="EJ137" si="933">IF(ISERROR((EI137/EA137-1)*100),"NA",IF(((EI137/EA137-1)*100)&gt;100,"NM",IF(((EI137/EA137-1)*100)&lt;-50,"NM",(EI137/EA137-1)*100)))</f>
        <v>48.717948717948723</v>
      </c>
      <c r="EK137" s="550">
        <f t="shared" si="932"/>
        <v>395</v>
      </c>
      <c r="EL137" s="130" t="str">
        <f t="shared" ref="EL137" si="934">IF(ISERROR((EK137/EC137-1)*100),"NA",IF(((EK137/EC137-1)*100)&gt;100,"NM",IF(((EK137/EC137-1)*100)&lt;-50,"NM",(EK137/EC137-1)*100)))</f>
        <v>NM</v>
      </c>
      <c r="EM137" s="550">
        <f t="shared" ref="EM137" si="935">EM130+EM131</f>
        <v>415</v>
      </c>
      <c r="EN137" s="130" t="str">
        <f t="shared" ref="EN137" si="936">IF(ISERROR((EM137/EE137-1)*100),"NA",IF(((EM137/EE137-1)*100)&gt;100,"NM",IF(((EM137/EE137-1)*100)&lt;-50,"NM",(EM137/EE137-1)*100)))</f>
        <v>NM</v>
      </c>
      <c r="EO137" s="550">
        <f t="shared" ref="EO137" si="937">EO130+EO131</f>
        <v>412</v>
      </c>
      <c r="EP137" s="130">
        <f t="shared" ref="EP137" si="938">IF(ISERROR((EO137/EG137-1)*100),"NA",IF(((EO137/EG137-1)*100)&gt;100,"NM",IF(((EO137/EG137-1)*100)&lt;-50,"NM",(EO137/EG137-1)*100)))</f>
        <v>6.7357512953367893</v>
      </c>
      <c r="EQ137" s="550">
        <f t="shared" ref="EQ137:EW137" si="939">EQ130+EQ131</f>
        <v>287.3894650374782</v>
      </c>
      <c r="ER137" s="130" t="str">
        <f t="shared" ref="ER137" si="940">IF(ISERROR((EQ137/EI137-1)*100),"NA",IF(((EQ137/EI137-1)*100)&gt;100,"NM",IF(((EQ137/EI137-1)*100)&lt;-50,"NM",(EQ137/EI137-1)*100)))</f>
        <v>NM</v>
      </c>
      <c r="ES137" s="550">
        <f t="shared" si="939"/>
        <v>748.39859901483032</v>
      </c>
      <c r="ET137" s="130">
        <f t="shared" ref="ET137" si="941">IF(ISERROR((ES137/EK137-1)*100),"NA",IF(((ES137/EK137-1)*100)&gt;100,"NM",IF(((ES137/EK137-1)*100)&lt;-50,"NM",(ES137/EK137-1)*100)))</f>
        <v>89.467999750589968</v>
      </c>
      <c r="EU137" s="550">
        <f t="shared" si="939"/>
        <v>863.63141369795403</v>
      </c>
      <c r="EV137" s="130" t="str">
        <f t="shared" ref="EV137" si="942">IF(ISERROR((EU137/EM137-1)*100),"NA",IF(((EU137/EM137-1)*100)&gt;100,"NM",IF(((EU137/EM137-1)*100)&lt;-50,"NM",(EU137/EM137-1)*100)))</f>
        <v>NM</v>
      </c>
      <c r="EW137" s="550">
        <f t="shared" si="939"/>
        <v>322.90226798723234</v>
      </c>
      <c r="EX137" s="130">
        <f t="shared" ref="EX137" si="943">IF(ISERROR((EW137/EO137-1)*100),"NA",IF(((EW137/EO137-1)*100)&gt;100,"NM",IF(((EW137/EO137-1)*100)&lt;-50,"NM",(EW137/EO137-1)*100)))</f>
        <v>-21.625663109895065</v>
      </c>
      <c r="EY137" s="64"/>
      <c r="EZ137" s="558"/>
      <c r="FA137" s="64"/>
      <c r="FB137" s="66"/>
      <c r="FC137" s="66"/>
      <c r="FD137" s="66"/>
      <c r="FE137" s="67"/>
      <c r="FF137" s="66"/>
      <c r="FG137" s="67"/>
      <c r="FH137" s="66"/>
      <c r="FI137" s="67"/>
      <c r="FJ137" s="66"/>
      <c r="FK137" s="67"/>
      <c r="FL137" s="66"/>
      <c r="FM137" s="61"/>
      <c r="FN137" s="66"/>
      <c r="FO137" s="61"/>
      <c r="FP137" s="65"/>
      <c r="FQ137" s="61"/>
      <c r="FR137" s="65"/>
      <c r="FS137" s="61"/>
      <c r="FT137" s="550">
        <f>FT130+FT131</f>
        <v>336</v>
      </c>
      <c r="FU137" s="61" t="str">
        <f t="shared" si="901"/>
        <v>NA</v>
      </c>
      <c r="FV137" s="550">
        <f>FV130+FV131</f>
        <v>781</v>
      </c>
      <c r="FW137" s="61" t="str">
        <f>IF(ISERROR((FV137/FT137-1)*100),"NA",IF(((FV137/FT137-1)*100)&gt;100,"NM",IF(((FV137/FT137-1)*100)&lt;-50,"NM",(FV137/FT137-1)*100)))</f>
        <v>NM</v>
      </c>
      <c r="FX137" s="550">
        <f>FX130+FX131</f>
        <v>995</v>
      </c>
      <c r="FY137" s="61">
        <f>IF(ISERROR((FX137/FV137-1)*100),"NA",IF(((FX137/FV137-1)*100)&gt;100,"NM",IF(((FX137/FV137-1)*100)&lt;-50,"NM",(FX137/FV137-1)*100)))</f>
        <v>27.400768245838659</v>
      </c>
      <c r="FZ137" s="550">
        <f>FZ130+FZ131</f>
        <v>-291</v>
      </c>
      <c r="GA137" s="61" t="str">
        <f>IF(ISERROR((FZ137/FX137-1)*100),"NA",IF(((FZ137/FX137-1)*100)&gt;100,"NM",IF(((FZ137/FX137-1)*100)&lt;-50,"NM",(FZ137/FX137-1)*100)))</f>
        <v>NM</v>
      </c>
      <c r="GB137" s="550">
        <f>GB130+GB131</f>
        <v>504</v>
      </c>
      <c r="GC137" s="61" t="str">
        <f>IF(ISERROR((GB137/FZ137-1)*100),"NA",IF(((GB137/FZ137-1)*100)&gt;100,"NM",IF(((GB137/FZ137-1)*100)&lt;-50,"NM",(GB137/FZ137-1)*100)))</f>
        <v>NM</v>
      </c>
      <c r="GD137" s="550">
        <f>GD130+GD131</f>
        <v>986</v>
      </c>
      <c r="GE137" s="61">
        <f>IF(ISERROR((GD137/GB137-1)*100),"NA",IF(((GD137/GB137-1)*100)&gt;100,"NM",IF(((GD137/GB137-1)*100)&lt;-50,"NM",(GD137/GB137-1)*100)))</f>
        <v>95.634920634920633</v>
      </c>
      <c r="GF137" s="550">
        <f>GF130+GF131</f>
        <v>793</v>
      </c>
      <c r="GG137" s="61">
        <f t="shared" ref="GG137:GW137" si="944">IF(ISERROR((GF137/GD137-1)*100),"NA",IF(((GF137/GD137-1)*100)&gt;100,"NM",IF(((GF137/GD137-1)*100)&lt;-50,"NM",(GF137/GD137-1)*100)))</f>
        <v>-19.574036511156191</v>
      </c>
      <c r="GH137" s="550">
        <f>GH130+GH131</f>
        <v>-881</v>
      </c>
      <c r="GI137" s="61" t="str">
        <f t="shared" si="944"/>
        <v>NM</v>
      </c>
      <c r="GJ137" s="550">
        <f>GJ130+GJ131</f>
        <v>451</v>
      </c>
      <c r="GK137" s="61" t="str">
        <f t="shared" si="944"/>
        <v>NM</v>
      </c>
      <c r="GL137" s="550">
        <f>GL130+GL131</f>
        <v>565</v>
      </c>
      <c r="GM137" s="61">
        <f t="shared" si="944"/>
        <v>25.277161862527709</v>
      </c>
      <c r="GN137" s="550">
        <f>GN130+GN131</f>
        <v>1338</v>
      </c>
      <c r="GO137" s="61" t="str">
        <f t="shared" si="944"/>
        <v>NM</v>
      </c>
      <c r="GP137" s="550">
        <f>GP130+GP131</f>
        <v>2222.3217457374958</v>
      </c>
      <c r="GQ137" s="61">
        <f t="shared" si="944"/>
        <v>66.09280610893093</v>
      </c>
      <c r="GR137" s="550">
        <f>GR130+GR131</f>
        <v>2295.5973720356724</v>
      </c>
      <c r="GS137" s="61">
        <f t="shared" si="944"/>
        <v>3.2972555139111792</v>
      </c>
      <c r="GT137" s="550">
        <f>GT130+GT131</f>
        <v>2585.0745321716549</v>
      </c>
      <c r="GU137" s="61">
        <f t="shared" si="944"/>
        <v>12.610101564948305</v>
      </c>
      <c r="GV137" s="550">
        <f>GV130+GV131</f>
        <v>2867.6949910776475</v>
      </c>
      <c r="GW137" s="61">
        <f t="shared" si="944"/>
        <v>10.932777967858831</v>
      </c>
      <c r="GX137" s="550">
        <f>GX130+GX131</f>
        <v>3145.7203774096997</v>
      </c>
      <c r="GY137" s="61">
        <f t="shared" ref="GY137" si="945">IF(ISERROR((GX137/GV137-1)*100),"NA",IF(((GX137/GV137-1)*100)&gt;100,"NM",IF(((GX137/GV137-1)*100)&lt;-50,"NM",(GX137/GV137-1)*100)))</f>
        <v>9.6950821896011128</v>
      </c>
      <c r="GZ137" s="61">
        <f>IF(ISERROR((GX137/GN137)^0.2),"",IF(OR((GX137/GN137)^0.2&lt;0.5,(GX137/GN137)^0.2&gt;2),"NM",((GX137/GN137)^0.2-1)*100))</f>
        <v>18.645917859290705</v>
      </c>
      <c r="HA137" s="61"/>
      <c r="HB137" s="452"/>
      <c r="HC137"/>
      <c r="HD137"/>
      <c r="HE137"/>
      <c r="HF137"/>
      <c r="HG137"/>
      <c r="HH137"/>
    </row>
    <row r="138" spans="2:216" s="5" customFormat="1" ht="12.75" customHeight="1" x14ac:dyDescent="0.2">
      <c r="B138" s="92"/>
      <c r="C138" s="66"/>
      <c r="D138" s="67"/>
      <c r="E138" s="66"/>
      <c r="F138" s="66"/>
      <c r="G138" s="64"/>
      <c r="H138" s="66"/>
      <c r="I138" s="64"/>
      <c r="J138" s="66"/>
      <c r="K138" s="64"/>
      <c r="L138" s="61"/>
      <c r="M138" s="66"/>
      <c r="N138" s="61"/>
      <c r="O138" s="64"/>
      <c r="P138" s="61"/>
      <c r="Q138" s="64"/>
      <c r="R138" s="61"/>
      <c r="S138" s="64"/>
      <c r="T138" s="61"/>
      <c r="U138" s="64"/>
      <c r="V138" s="61"/>
      <c r="W138" s="64"/>
      <c r="X138" s="61"/>
      <c r="Y138" s="64"/>
      <c r="Z138" s="61"/>
      <c r="AA138" s="64"/>
      <c r="AB138" s="61"/>
      <c r="AC138" s="64"/>
      <c r="AD138" s="61"/>
      <c r="AE138" s="64"/>
      <c r="AF138" s="61"/>
      <c r="AG138" s="64"/>
      <c r="AH138" s="61"/>
      <c r="AI138" s="64"/>
      <c r="AJ138" s="61"/>
      <c r="AK138" s="64"/>
      <c r="AL138" s="61"/>
      <c r="AM138" s="64"/>
      <c r="AN138" s="61"/>
      <c r="AO138" s="64"/>
      <c r="AP138" s="61"/>
      <c r="AQ138" s="64"/>
      <c r="AR138" s="61"/>
      <c r="AS138" s="64"/>
      <c r="AT138" s="61"/>
      <c r="AU138" s="64"/>
      <c r="AV138" s="61"/>
      <c r="AW138" s="64"/>
      <c r="AX138" s="61"/>
      <c r="AY138" s="64"/>
      <c r="AZ138" s="61"/>
      <c r="BA138" s="64"/>
      <c r="BB138" s="61"/>
      <c r="BC138" s="64"/>
      <c r="BD138" s="61"/>
      <c r="BE138" s="64"/>
      <c r="BF138" s="61"/>
      <c r="BG138" s="64"/>
      <c r="BH138" s="61"/>
      <c r="BI138" s="64"/>
      <c r="BJ138" s="61"/>
      <c r="BK138" s="64"/>
      <c r="BL138" s="61"/>
      <c r="BM138" s="64"/>
      <c r="BN138" s="61"/>
      <c r="BO138" s="64"/>
      <c r="BP138" s="61"/>
      <c r="BQ138" s="64"/>
      <c r="BR138" s="61"/>
      <c r="BS138" s="64"/>
      <c r="BT138" s="61"/>
      <c r="BU138" s="64"/>
      <c r="BV138" s="61"/>
      <c r="BW138" s="64"/>
      <c r="BX138" s="61"/>
      <c r="BY138" s="64"/>
      <c r="BZ138" s="61"/>
      <c r="CA138" s="64"/>
      <c r="CB138" s="61"/>
      <c r="CC138" s="64"/>
      <c r="CD138" s="61"/>
      <c r="CE138" s="64"/>
      <c r="CF138" s="61"/>
      <c r="CG138" s="64"/>
      <c r="CH138" s="61"/>
      <c r="CI138" s="64"/>
      <c r="CJ138" s="61"/>
      <c r="CK138" s="64"/>
      <c r="CL138" s="61"/>
      <c r="CM138" s="64"/>
      <c r="CN138" s="61"/>
      <c r="CO138" s="64"/>
      <c r="CP138" s="61"/>
      <c r="CQ138" s="64"/>
      <c r="CR138" s="61"/>
      <c r="CS138" s="64"/>
      <c r="CT138" s="61"/>
      <c r="CU138" s="64"/>
      <c r="CV138" s="61"/>
      <c r="CW138" s="64"/>
      <c r="CX138" s="61"/>
      <c r="CY138" s="64"/>
      <c r="CZ138" s="61"/>
      <c r="DA138" s="64"/>
      <c r="DB138" s="61"/>
      <c r="DC138" s="64"/>
      <c r="DD138" s="61"/>
      <c r="DE138" s="64"/>
      <c r="DF138" s="61"/>
      <c r="DG138" s="64"/>
      <c r="DH138" s="61"/>
      <c r="DI138" s="64"/>
      <c r="DJ138" s="61"/>
      <c r="DK138" s="64"/>
      <c r="DL138" s="61"/>
      <c r="DM138" s="64"/>
      <c r="DN138" s="61"/>
      <c r="DO138" s="64"/>
      <c r="DP138" s="61"/>
      <c r="DQ138" s="64"/>
      <c r="DR138" s="61"/>
      <c r="DS138" s="64"/>
      <c r="DT138" s="61"/>
      <c r="DU138" s="64"/>
      <c r="DV138" s="61"/>
      <c r="DW138" s="64"/>
      <c r="DX138" s="64"/>
      <c r="DY138" s="64"/>
      <c r="DZ138" s="61"/>
      <c r="EA138" s="64"/>
      <c r="EB138" s="61"/>
      <c r="EC138" s="64"/>
      <c r="ED138" s="61"/>
      <c r="EE138" s="64"/>
      <c r="EF138" s="61"/>
      <c r="EG138" s="64"/>
      <c r="EH138" s="61"/>
      <c r="EI138" s="64"/>
      <c r="EJ138" s="61"/>
      <c r="EK138" s="64"/>
      <c r="EL138" s="61"/>
      <c r="EM138" s="64"/>
      <c r="EN138" s="61"/>
      <c r="EO138" s="64"/>
      <c r="EP138" s="61"/>
      <c r="EQ138" s="64"/>
      <c r="ER138" s="61"/>
      <c r="ES138" s="64"/>
      <c r="ET138" s="61"/>
      <c r="EU138" s="64"/>
      <c r="EV138" s="61"/>
      <c r="EW138" s="64"/>
      <c r="EX138" s="61"/>
      <c r="EY138" s="64"/>
      <c r="EZ138" s="558"/>
      <c r="FA138" s="64"/>
      <c r="FB138" s="66"/>
      <c r="FC138" s="66"/>
      <c r="FD138" s="66"/>
      <c r="FE138" s="67"/>
      <c r="FF138" s="66"/>
      <c r="FG138" s="67"/>
      <c r="FH138" s="66"/>
      <c r="FI138" s="67"/>
      <c r="FJ138" s="66"/>
      <c r="FK138" s="67"/>
      <c r="FL138" s="66"/>
      <c r="FM138" s="61"/>
      <c r="FN138" s="66"/>
      <c r="FO138" s="61"/>
      <c r="FP138" s="65"/>
      <c r="FQ138" s="61"/>
      <c r="FR138" s="65"/>
      <c r="FS138" s="61"/>
      <c r="FT138" s="65"/>
      <c r="FU138" s="61"/>
      <c r="FV138" s="65"/>
      <c r="FW138" s="61"/>
      <c r="FX138" s="65"/>
      <c r="FY138" s="61"/>
      <c r="FZ138" s="65"/>
      <c r="GA138" s="61"/>
      <c r="GB138" s="65"/>
      <c r="GC138" s="61"/>
      <c r="GD138" s="65"/>
      <c r="GE138" s="61"/>
      <c r="GF138" s="65"/>
      <c r="GG138" s="61"/>
      <c r="GH138" s="65"/>
      <c r="GI138" s="61"/>
      <c r="GJ138" s="65"/>
      <c r="GK138" s="61"/>
      <c r="GL138" s="65"/>
      <c r="GM138" s="61"/>
      <c r="GN138" s="65"/>
      <c r="GO138" s="61"/>
      <c r="GP138" s="65"/>
      <c r="GQ138" s="61"/>
      <c r="GR138" s="64"/>
      <c r="GS138" s="61"/>
      <c r="GT138" s="64"/>
      <c r="GU138" s="61"/>
      <c r="GV138" s="64"/>
      <c r="GW138" s="61"/>
      <c r="GX138" s="64"/>
      <c r="GY138" s="61"/>
      <c r="GZ138" s="61"/>
      <c r="HA138" s="61"/>
      <c r="HB138" s="452"/>
      <c r="HC138"/>
      <c r="HD138"/>
      <c r="HE138"/>
      <c r="HF138"/>
      <c r="HG138"/>
      <c r="HH138"/>
    </row>
    <row r="139" spans="2:216" s="5" customFormat="1" ht="12.75" customHeight="1" x14ac:dyDescent="0.2">
      <c r="B139" s="68" t="s">
        <v>667</v>
      </c>
      <c r="C139" s="66"/>
      <c r="D139" s="67"/>
      <c r="E139" s="66"/>
      <c r="F139" s="66"/>
      <c r="G139" s="64"/>
      <c r="H139" s="66"/>
      <c r="I139" s="64"/>
      <c r="J139" s="66"/>
      <c r="K139" s="64"/>
      <c r="L139" s="61"/>
      <c r="M139" s="66"/>
      <c r="N139" s="61"/>
      <c r="O139" s="64"/>
      <c r="P139" s="61"/>
      <c r="Q139" s="64"/>
      <c r="R139" s="61"/>
      <c r="S139" s="64"/>
      <c r="T139" s="61"/>
      <c r="U139" s="64"/>
      <c r="V139" s="61"/>
      <c r="W139" s="64"/>
      <c r="X139" s="61"/>
      <c r="Y139" s="64"/>
      <c r="Z139" s="61"/>
      <c r="AA139" s="64"/>
      <c r="AB139" s="61"/>
      <c r="AC139" s="64"/>
      <c r="AD139" s="61"/>
      <c r="AE139" s="64"/>
      <c r="AF139" s="61"/>
      <c r="AG139" s="64"/>
      <c r="AH139" s="61"/>
      <c r="AI139" s="64"/>
      <c r="AJ139" s="61"/>
      <c r="AK139" s="64"/>
      <c r="AL139" s="61"/>
      <c r="AM139" s="64"/>
      <c r="AN139" s="61"/>
      <c r="AO139" s="64"/>
      <c r="AP139" s="61"/>
      <c r="AQ139" s="64"/>
      <c r="AR139" s="61"/>
      <c r="AS139" s="64"/>
      <c r="AT139" s="61"/>
      <c r="AU139" s="64"/>
      <c r="AV139" s="61"/>
      <c r="AW139" s="64"/>
      <c r="AX139" s="61"/>
      <c r="AY139" s="64"/>
      <c r="AZ139" s="61"/>
      <c r="BA139" s="64"/>
      <c r="BB139" s="61"/>
      <c r="BC139" s="64"/>
      <c r="BD139" s="61"/>
      <c r="BE139" s="64"/>
      <c r="BF139" s="61"/>
      <c r="BG139" s="139">
        <f>BG131/BG129*400</f>
        <v>-15.046351319229856</v>
      </c>
      <c r="BH139" s="61"/>
      <c r="BI139" s="139">
        <f>BI131/BI129*400</f>
        <v>-13.923132704858594</v>
      </c>
      <c r="BJ139" s="61"/>
      <c r="BK139" s="139">
        <f>BK131/BK129*400</f>
        <v>-15.482579317632011</v>
      </c>
      <c r="BL139" s="61"/>
      <c r="BM139" s="139">
        <f>BM131/BM129*400</f>
        <v>-14.793787700958047</v>
      </c>
      <c r="BN139" s="61"/>
      <c r="BO139" s="139">
        <f>BO131/BO129*400</f>
        <v>-14.099506350879141</v>
      </c>
      <c r="BP139" s="61"/>
      <c r="BQ139" s="139">
        <f>BQ131/BQ129*400</f>
        <v>-13.623288459325739</v>
      </c>
      <c r="BR139" s="61"/>
      <c r="BS139" s="139">
        <f>BS131/BS129*400</f>
        <v>-14.165858113121397</v>
      </c>
      <c r="BT139" s="61"/>
      <c r="BU139" s="139">
        <f>BU131/BU129*400</f>
        <v>-13.139716943480797</v>
      </c>
      <c r="BV139" s="61"/>
      <c r="BW139" s="139">
        <f>BW131/BW129*400</f>
        <v>-12.521642773045224</v>
      </c>
      <c r="BX139" s="61"/>
      <c r="BY139" s="139">
        <f>BY131/BY129*400</f>
        <v>-12.269680272347594</v>
      </c>
      <c r="BZ139" s="61"/>
      <c r="CA139" s="139">
        <f>CA131/CA129*400</f>
        <v>-12.245028250391037</v>
      </c>
      <c r="CB139" s="61"/>
      <c r="CC139" s="139">
        <f>CC131/CC129*400</f>
        <v>-14.21828564768953</v>
      </c>
      <c r="CD139" s="61"/>
      <c r="CE139" s="139">
        <f>CE131/CE129*400</f>
        <v>-13.574301739278226</v>
      </c>
      <c r="CF139" s="61"/>
      <c r="CG139" s="139">
        <f>CG131/CG129*400</f>
        <v>-12.992179623422981</v>
      </c>
      <c r="CH139" s="61"/>
      <c r="CI139" s="139">
        <f>CI131/CI129*400</f>
        <v>-17.579908675799086</v>
      </c>
      <c r="CJ139" s="61"/>
      <c r="CK139" s="139">
        <f>CK131/CK129*400</f>
        <v>-17.924935289042278</v>
      </c>
      <c r="CL139" s="61"/>
      <c r="CM139" s="139">
        <f>CM131/CM129*400</f>
        <v>-12.435606841129198</v>
      </c>
      <c r="CN139" s="61"/>
      <c r="CO139" s="139">
        <f>CO131/CO129*400</f>
        <v>-13.664781184876452</v>
      </c>
      <c r="CP139" s="61"/>
      <c r="CQ139" s="139">
        <f>CQ131/CQ129*400</f>
        <v>-11.189713803460172</v>
      </c>
      <c r="CR139" s="61"/>
      <c r="CS139" s="139">
        <f>CS131/CS129*400</f>
        <v>-14.597514856834144</v>
      </c>
      <c r="CT139" s="61"/>
      <c r="CU139" s="139">
        <f>CU131/CU129*400</f>
        <v>-13.277796233358035</v>
      </c>
      <c r="CV139" s="61"/>
      <c r="CW139" s="139">
        <f>CW131/CW129*400</f>
        <v>-10.442646358876726</v>
      </c>
      <c r="CX139" s="61"/>
      <c r="CY139" s="139">
        <f>CY131/CY129*400</f>
        <v>-14.348865859844917</v>
      </c>
      <c r="CZ139" s="61"/>
      <c r="DA139" s="139">
        <f>DA131/DA129*400</f>
        <v>-14.04078602417465</v>
      </c>
      <c r="DB139" s="61"/>
      <c r="DC139" s="139">
        <f>DC131/DC129*400</f>
        <v>-12.046163301541053</v>
      </c>
      <c r="DD139" s="61"/>
      <c r="DE139" s="139">
        <f>DE131/DE129*400</f>
        <v>-11.024503682011972</v>
      </c>
      <c r="DF139" s="61"/>
      <c r="DG139" s="139">
        <f>DG131/DG129*400</f>
        <v>-13.937193451812218</v>
      </c>
      <c r="DH139" s="61"/>
      <c r="DI139" s="139">
        <f>DI131/DI129*400</f>
        <v>-14.196191364659597</v>
      </c>
      <c r="DJ139" s="61"/>
      <c r="DK139" s="139">
        <f>DK131/DK129*400</f>
        <v>-16.420628462939284</v>
      </c>
      <c r="DL139" s="61"/>
      <c r="DM139" s="139">
        <f>DM131/DM129*400</f>
        <v>-11.170469229137336</v>
      </c>
      <c r="DN139" s="130">
        <f t="shared" ref="DN139:DZ142" si="946">IF(ISERROR((DM139/DE139-1)*100),"NA",IF(((DM139/DE139-1)*100)&gt;100,"NM",IF(((DM139/DE139-1)*100)&lt;-50,"NM",(DM139/DE139-1)*100)))</f>
        <v>1.3240101444523811</v>
      </c>
      <c r="DO139" s="139">
        <f>DO131/DO129*400</f>
        <v>-11.617176453077324</v>
      </c>
      <c r="DP139" s="130">
        <f t="shared" si="946"/>
        <v>-16.646227999606545</v>
      </c>
      <c r="DQ139" s="139">
        <f>DQ131/DQ129*400</f>
        <v>-24.496832952288145</v>
      </c>
      <c r="DR139" s="130">
        <f t="shared" si="946"/>
        <v>72.559190863482286</v>
      </c>
      <c r="DS139" s="139">
        <f>DS131/DS129*400</f>
        <v>-11.87171968098022</v>
      </c>
      <c r="DT139" s="130">
        <f t="shared" si="946"/>
        <v>-27.702403670028662</v>
      </c>
      <c r="DU139" s="139">
        <f>DU131/DU129*400</f>
        <v>-11.392590423195196</v>
      </c>
      <c r="DV139" s="130">
        <f t="shared" si="946"/>
        <v>1.9884678924541044</v>
      </c>
      <c r="DW139" s="139">
        <f>DW131/DW129*400</f>
        <v>-11.878739384240484</v>
      </c>
      <c r="DX139" s="139">
        <f t="shared" ref="DX139:DY139" si="947">DX131/DX129*400</f>
        <v>-282902.44641418272</v>
      </c>
      <c r="DY139" s="139">
        <f t="shared" si="947"/>
        <v>-17.530845507531602</v>
      </c>
      <c r="DZ139" s="130">
        <f t="shared" si="946"/>
        <v>-28.436277694851487</v>
      </c>
      <c r="EA139" s="139">
        <f t="shared" ref="EA139:EC139" si="948">EA131/EA129*400</f>
        <v>-12.665434380776341</v>
      </c>
      <c r="EB139" s="130">
        <f t="shared" ref="EB139:EB142" si="949">IF(ISERROR((EA139/DS139-1)*100),"NA",IF(((EA139/DS139-1)*100)&gt;100,"NM",IF(((EA139/DS139-1)*100)&lt;-50,"NM",(EA139/DS139-1)*100)))</f>
        <v>6.6857601183738957</v>
      </c>
      <c r="EC139" s="139">
        <f t="shared" si="948"/>
        <v>-12.154351455990019</v>
      </c>
      <c r="ED139" s="130">
        <f t="shared" ref="ED139:ED142" si="950">IF(ISERROR((EC139/DU139-1)*100),"NA",IF(((EC139/DU139-1)*100)&gt;100,"NM",IF(((EC139/DU139-1)*100)&lt;-50,"NM",(EC139/DU139-1)*100)))</f>
        <v>6.6864602737221723</v>
      </c>
      <c r="EE139" s="139">
        <f t="shared" ref="EE139:EG139" si="951">EE131/EE129*400</f>
        <v>-12.282157676348547</v>
      </c>
      <c r="EF139" s="130">
        <f t="shared" ref="EF139:EF142" si="952">IF(ISERROR((EE139/DW139-1)*100),"NA",IF(((EE139/DW139-1)*100)&gt;100,"NM",IF(((EE139/DW139-1)*100)&lt;-50,"NM",(EE139/DW139-1)*100)))</f>
        <v>3.3961372419978986</v>
      </c>
      <c r="EG139" s="139">
        <f t="shared" si="951"/>
        <v>-14.109101068659635</v>
      </c>
      <c r="EH139" s="130">
        <f t="shared" ref="EH139:EH142" si="953">IF(ISERROR((EG139/DY139-1)*100),"NA",IF(((EG139/DY139-1)*100)&gt;100,"NM",IF(((EG139/DY139-1)*100)&lt;-50,"NM",(EG139/DY139-1)*100)))</f>
        <v>-19.518422185637974</v>
      </c>
      <c r="EI139" s="139">
        <f t="shared" ref="EI139:EK139" si="954">EI131/EI129*400</f>
        <v>-14.621624396755314</v>
      </c>
      <c r="EJ139" s="130">
        <f t="shared" ref="EJ139:EJ142" si="955">IF(ISERROR((EI139/EA139-1)*100),"NA",IF(((EI139/EA139-1)*100)&gt;100,"NM",IF(((EI139/EA139-1)*100)&lt;-50,"NM",(EI139/EA139-1)*100)))</f>
        <v>15.445107977884188</v>
      </c>
      <c r="EK139" s="139">
        <f t="shared" si="954"/>
        <v>-10.425962820871684</v>
      </c>
      <c r="EL139" s="130">
        <f t="shared" ref="EL139:EL142" si="956">IF(ISERROR((EK139/EC139-1)*100),"NA",IF(((EK139/EC139-1)*100)&gt;100,"NM",IF(((EK139/EC139-1)*100)&lt;-50,"NM",(EK139/EC139-1)*100)))</f>
        <v>-14.220327932565546</v>
      </c>
      <c r="EM139" s="139">
        <f t="shared" ref="EM139" si="957">EM131/EM129*400</f>
        <v>-9.5448152410177727</v>
      </c>
      <c r="EN139" s="130">
        <f t="shared" ref="EN139:EN142" si="958">IF(ISERROR((EM139/EE139-1)*100),"NA",IF(((EM139/EE139-1)*100)&gt;100,"NM",IF(((EM139/EE139-1)*100)&lt;-50,"NM",(EM139/EE139-1)*100)))</f>
        <v>-22.287146179551232</v>
      </c>
      <c r="EO139" s="139">
        <f t="shared" ref="EO139" si="959">EO131/EO129*400</f>
        <v>-12.426537506362893</v>
      </c>
      <c r="EP139" s="130">
        <f t="shared" ref="EP139:EP142" si="960">IF(ISERROR((EO139/EG139-1)*100),"NA",IF(((EO139/EG139-1)*100)&gt;100,"NM",IF(((EO139/EG139-1)*100)&lt;-50,"NM",(EO139/EG139-1)*100)))</f>
        <v>-11.925377485842803</v>
      </c>
      <c r="EQ139" s="571">
        <f t="shared" ref="EQ139" si="961">EI139</f>
        <v>-14.621624396755314</v>
      </c>
      <c r="ER139" s="130">
        <f t="shared" ref="ER139:ER142" si="962">IF(ISERROR((EQ139/EI139-1)*100),"NA",IF(((EQ139/EI139-1)*100)&gt;100,"NM",IF(((EQ139/EI139-1)*100)&lt;-50,"NM",(EQ139/EI139-1)*100)))</f>
        <v>0</v>
      </c>
      <c r="ES139" s="571">
        <f t="shared" ref="ES139" si="963">EK139</f>
        <v>-10.425962820871684</v>
      </c>
      <c r="ET139" s="130">
        <f t="shared" ref="ET139:ET142" si="964">IF(ISERROR((ES139/EK139-1)*100),"NA",IF(((ES139/EK139-1)*100)&gt;100,"NM",IF(((ES139/EK139-1)*100)&lt;-50,"NM",(ES139/EK139-1)*100)))</f>
        <v>0</v>
      </c>
      <c r="EU139" s="571">
        <f t="shared" ref="EU139" si="965">EM139</f>
        <v>-9.5448152410177727</v>
      </c>
      <c r="EV139" s="130">
        <f t="shared" ref="EV139:EV142" si="966">IF(ISERROR((EU139/EM139-1)*100),"NA",IF(((EU139/EM139-1)*100)&gt;100,"NM",IF(((EU139/EM139-1)*100)&lt;-50,"NM",(EU139/EM139-1)*100)))</f>
        <v>0</v>
      </c>
      <c r="EW139" s="571">
        <f t="shared" ref="EW139" si="967">EO139</f>
        <v>-12.426537506362893</v>
      </c>
      <c r="EX139" s="130">
        <f t="shared" ref="EX139:EX142" si="968">IF(ISERROR((EW139/EO139-1)*100),"NA",IF(((EW139/EO139-1)*100)&gt;100,"NM",IF(((EW139/EO139-1)*100)&lt;-50,"NM",(EW139/EO139-1)*100)))</f>
        <v>0</v>
      </c>
      <c r="EY139" s="64"/>
      <c r="EZ139" s="558"/>
      <c r="FA139" s="64"/>
      <c r="FB139" s="66"/>
      <c r="FC139" s="66"/>
      <c r="FD139" s="66"/>
      <c r="FE139" s="67"/>
      <c r="FF139" s="66"/>
      <c r="FG139" s="67"/>
      <c r="FH139" s="66"/>
      <c r="FI139" s="67"/>
      <c r="FJ139" s="66"/>
      <c r="FK139" s="67"/>
      <c r="FL139" s="66"/>
      <c r="FM139" s="61"/>
      <c r="FN139" s="66"/>
      <c r="FO139" s="61"/>
      <c r="FP139" s="65"/>
      <c r="FQ139" s="61"/>
      <c r="FR139" s="65"/>
      <c r="FS139" s="61"/>
      <c r="FT139" s="139">
        <f>FT131/FT129*100</f>
        <v>-15.489065842643212</v>
      </c>
      <c r="FU139" s="61"/>
      <c r="FV139" s="139">
        <f>FV131/FV129*100</f>
        <v>-13.217593876532256</v>
      </c>
      <c r="FW139" s="61"/>
      <c r="FX139" s="139">
        <f>FX131/FX129*100</f>
        <v>-13.702472470392687</v>
      </c>
      <c r="FY139" s="61"/>
      <c r="FZ139" s="139">
        <f>FZ131/FZ129*100</f>
        <v>-15.840462296753724</v>
      </c>
      <c r="GA139" s="61"/>
      <c r="GB139" s="139">
        <f>GB131/GB129*100</f>
        <v>-13.0383268081599</v>
      </c>
      <c r="GC139" s="61"/>
      <c r="GD139" s="139">
        <f>GD131/GD129*100</f>
        <v>-13.783763064421331</v>
      </c>
      <c r="GE139" s="61"/>
      <c r="GF139" s="139">
        <f>GF131/GF129*100</f>
        <v>-13.64412373950058</v>
      </c>
      <c r="GG139" s="61">
        <f t="shared" ref="GG139:GW141" si="969">IF(ISERROR((GF139/GD139-1)*100),"NA",IF(((GF139/GD139-1)*100)&gt;100,"NM",IF(((GF139/GD139-1)*100)&lt;-50,"NM",(GF139/GD139-1)*100)))</f>
        <v>-1.0130711349877197</v>
      </c>
      <c r="GH139" s="139">
        <f>GH131/GH129*100</f>
        <v>-16.265643767677943</v>
      </c>
      <c r="GI139" s="61">
        <f t="shared" si="969"/>
        <v>19.213546272582537</v>
      </c>
      <c r="GJ139" s="139">
        <f>GJ131/GJ129*100</f>
        <v>-13.250154093277796</v>
      </c>
      <c r="GK139" s="61">
        <f t="shared" si="969"/>
        <v>-18.539012150212809</v>
      </c>
      <c r="GL139" s="139">
        <f>GL131/GL129*100</f>
        <v>-13.107208872458409</v>
      </c>
      <c r="GM139" s="61">
        <f t="shared" si="969"/>
        <v>-1.0788193089158682</v>
      </c>
      <c r="GN139" s="139">
        <f>GN131/GN129*100</f>
        <v>-12.366088236300783</v>
      </c>
      <c r="GO139" s="61">
        <f t="shared" si="969"/>
        <v>-5.6542979010192678</v>
      </c>
      <c r="GP139" s="139">
        <f>GP131/GP129*100</f>
        <v>-11.915982505696245</v>
      </c>
      <c r="GQ139" s="61">
        <f t="shared" si="969"/>
        <v>-3.6398392280854619</v>
      </c>
      <c r="GR139" s="138">
        <f>GP139</f>
        <v>-11.915982505696245</v>
      </c>
      <c r="GS139" s="61">
        <f t="shared" si="969"/>
        <v>0</v>
      </c>
      <c r="GT139" s="138">
        <f>GR139</f>
        <v>-11.915982505696245</v>
      </c>
      <c r="GU139" s="61">
        <f t="shared" si="969"/>
        <v>0</v>
      </c>
      <c r="GV139" s="138">
        <f>GT139</f>
        <v>-11.915982505696245</v>
      </c>
      <c r="GW139" s="61">
        <f t="shared" si="969"/>
        <v>0</v>
      </c>
      <c r="GX139" s="138">
        <f>GV139</f>
        <v>-11.915982505696245</v>
      </c>
      <c r="GY139" s="61">
        <f t="shared" ref="GY139:GY141" si="970">IF(ISERROR((GX139/GV139-1)*100),"NA",IF(((GX139/GV139-1)*100)&gt;100,"NM",IF(((GX139/GV139-1)*100)&lt;-50,"NM",(GX139/GV139-1)*100)))</f>
        <v>0</v>
      </c>
      <c r="GZ139" s="61">
        <f>IF(ISERROR((GX139/GN139)^0.2),"",IF(OR((GX139/GN139)^0.2&lt;0.5,(GX139/GN139)^0.2&gt;2),"NM",((GX139/GN139)^0.2-1)*100))</f>
        <v>-0.73880412118173533</v>
      </c>
      <c r="HA139" s="61"/>
      <c r="HB139" s="452"/>
      <c r="HC139"/>
      <c r="HD139"/>
      <c r="HE139"/>
      <c r="HF139"/>
      <c r="HG139"/>
      <c r="HH139"/>
    </row>
    <row r="140" spans="2:216" s="5" customFormat="1" ht="12.75" customHeight="1" x14ac:dyDescent="0.2">
      <c r="B140" s="68" t="s">
        <v>290</v>
      </c>
      <c r="C140" s="66"/>
      <c r="D140" s="67"/>
      <c r="E140" s="66"/>
      <c r="F140" s="66"/>
      <c r="G140" s="64"/>
      <c r="H140" s="66"/>
      <c r="I140" s="64"/>
      <c r="J140" s="66"/>
      <c r="K140" s="64"/>
      <c r="L140" s="61"/>
      <c r="M140" s="66"/>
      <c r="N140" s="61"/>
      <c r="O140" s="64"/>
      <c r="P140" s="61"/>
      <c r="Q140" s="64"/>
      <c r="R140" s="61"/>
      <c r="S140" s="64"/>
      <c r="T140" s="61"/>
      <c r="U140" s="64"/>
      <c r="V140" s="61"/>
      <c r="W140" s="64"/>
      <c r="X140" s="61"/>
      <c r="Y140" s="64"/>
      <c r="Z140" s="61"/>
      <c r="AA140" s="64"/>
      <c r="AB140" s="61"/>
      <c r="AC140" s="64"/>
      <c r="AD140" s="61"/>
      <c r="AE140" s="64"/>
      <c r="AF140" s="61"/>
      <c r="AG140" s="64"/>
      <c r="AH140" s="61"/>
      <c r="AI140" s="64"/>
      <c r="AJ140" s="61"/>
      <c r="AK140" s="64"/>
      <c r="AL140" s="61"/>
      <c r="AM140" s="64"/>
      <c r="AN140" s="61"/>
      <c r="AO140" s="64"/>
      <c r="AP140" s="61"/>
      <c r="AQ140" s="64"/>
      <c r="AR140" s="61"/>
      <c r="AS140" s="64"/>
      <c r="AT140" s="61"/>
      <c r="AU140" s="64"/>
      <c r="AV140" s="61"/>
      <c r="AW140" s="64"/>
      <c r="AX140" s="61"/>
      <c r="AY140" s="64"/>
      <c r="AZ140" s="61"/>
      <c r="BA140" s="64"/>
      <c r="BB140" s="61"/>
      <c r="BC140" s="64"/>
      <c r="BD140" s="61"/>
      <c r="BE140" s="64"/>
      <c r="BF140" s="61"/>
      <c r="BG140" s="139">
        <f>BG133/BG129*400</f>
        <v>0</v>
      </c>
      <c r="BH140" s="61"/>
      <c r="BI140" s="139">
        <f>BI133/BI129*400</f>
        <v>0</v>
      </c>
      <c r="BJ140" s="61"/>
      <c r="BK140" s="139">
        <f>BK133/BK129*400</f>
        <v>0</v>
      </c>
      <c r="BL140" s="61"/>
      <c r="BM140" s="139">
        <f>BM133/BM129*400</f>
        <v>0</v>
      </c>
      <c r="BN140" s="61"/>
      <c r="BO140" s="139">
        <f>BO133/BO129*400</f>
        <v>0</v>
      </c>
      <c r="BP140" s="61"/>
      <c r="BQ140" s="139">
        <f>BQ133/BQ129*400</f>
        <v>0</v>
      </c>
      <c r="BR140" s="61"/>
      <c r="BS140" s="139">
        <f>BS133/BS129*400</f>
        <v>0</v>
      </c>
      <c r="BT140" s="61"/>
      <c r="BU140" s="139">
        <f>BU133/BU129*400</f>
        <v>0</v>
      </c>
      <c r="BV140" s="61"/>
      <c r="BW140" s="139">
        <f>BW133/BW129*400</f>
        <v>0</v>
      </c>
      <c r="BX140" s="61"/>
      <c r="BY140" s="139">
        <f>BY133/BY129*400</f>
        <v>0</v>
      </c>
      <c r="BZ140" s="61"/>
      <c r="CA140" s="139">
        <f>CA133/CA129*400</f>
        <v>0</v>
      </c>
      <c r="CB140" s="61"/>
      <c r="CC140" s="139">
        <f>CC133/CC129*400</f>
        <v>0</v>
      </c>
      <c r="CD140" s="61"/>
      <c r="CE140" s="139">
        <f>CE133/CE129*400</f>
        <v>0</v>
      </c>
      <c r="CF140" s="61"/>
      <c r="CG140" s="139">
        <f>CG133/CG129*400</f>
        <v>0</v>
      </c>
      <c r="CH140" s="61"/>
      <c r="CI140" s="139">
        <f>CI133/CI129*400</f>
        <v>0</v>
      </c>
      <c r="CJ140" s="61"/>
      <c r="CK140" s="139">
        <f>CK133/CK129*400</f>
        <v>0</v>
      </c>
      <c r="CL140" s="61"/>
      <c r="CM140" s="139">
        <f>CM133/CM129*400</f>
        <v>0</v>
      </c>
      <c r="CN140" s="61"/>
      <c r="CO140" s="139">
        <f>CO133/CO129*400</f>
        <v>-0.16870100228242532</v>
      </c>
      <c r="CP140" s="61"/>
      <c r="CQ140" s="139">
        <f>CQ133/CQ129*400</f>
        <v>-0.18864646163774917</v>
      </c>
      <c r="CR140" s="61"/>
      <c r="CS140" s="139">
        <f>CS133/CS129*400</f>
        <v>0</v>
      </c>
      <c r="CT140" s="61"/>
      <c r="CU140" s="139">
        <f>CU133/CU129*400</f>
        <v>-0.13288017785500728</v>
      </c>
      <c r="CV140" s="61"/>
      <c r="CW140" s="139">
        <f>CW133/CW129*400</f>
        <v>-4.7596382674916705E-2</v>
      </c>
      <c r="CX140" s="61"/>
      <c r="CY140" s="139">
        <f>CY133/CY129*400</f>
        <v>-0.21257579051622097</v>
      </c>
      <c r="CZ140" s="61"/>
      <c r="DA140" s="139">
        <f>DA133/DA129*400</f>
        <v>-0.31552328144212699</v>
      </c>
      <c r="DB140" s="61"/>
      <c r="DC140" s="139">
        <f>DC133/DC129*400</f>
        <v>-9.1051876806810678E-3</v>
      </c>
      <c r="DD140" s="61"/>
      <c r="DE140" s="139">
        <f>DE133/DE129*400</f>
        <v>6.8903148012574827E-2</v>
      </c>
      <c r="DF140" s="61"/>
      <c r="DG140" s="139">
        <f>DG133/DG129*400</f>
        <v>-0.11890353950357772</v>
      </c>
      <c r="DH140" s="61"/>
      <c r="DI140" s="139">
        <f>DI133/DI129*400</f>
        <v>5.6784765458638378E-2</v>
      </c>
      <c r="DJ140" s="61"/>
      <c r="DK140" s="139">
        <f>DK133/DK129*400</f>
        <v>6.9743112867604318E-2</v>
      </c>
      <c r="DL140" s="61"/>
      <c r="DM140" s="139">
        <f>DM133/DM129*400</f>
        <v>5.4000887157431871E-2</v>
      </c>
      <c r="DN140" s="130">
        <f t="shared" si="946"/>
        <v>-21.627837457329658</v>
      </c>
      <c r="DO140" s="139">
        <f>DO133/DO129*400</f>
        <v>-8.9305648582272829E-2</v>
      </c>
      <c r="DP140" s="130">
        <f t="shared" si="946"/>
        <v>-24.89235479858387</v>
      </c>
      <c r="DQ140" s="139">
        <f>DQ133/DQ129*400</f>
        <v>7.4959709156328484E-3</v>
      </c>
      <c r="DR140" s="130" t="str">
        <f t="shared" si="946"/>
        <v>NM</v>
      </c>
      <c r="DS140" s="139">
        <f>DS133/DS129*400</f>
        <v>-9.7125459945086756E-2</v>
      </c>
      <c r="DT140" s="130" t="str">
        <f t="shared" si="946"/>
        <v>NM</v>
      </c>
      <c r="DU140" s="139">
        <f>DU133/DU129*400</f>
        <v>2.1965148630839069E-2</v>
      </c>
      <c r="DV140" s="130" t="str">
        <f t="shared" si="946"/>
        <v>NM</v>
      </c>
      <c r="DW140" s="139">
        <f>DW133/DW129*400</f>
        <v>0.10911273163723655</v>
      </c>
      <c r="DX140" s="139">
        <f t="shared" ref="DX140:DY140" si="971">DX133/DX129*400</f>
        <v>2598.6140209508517</v>
      </c>
      <c r="DY140" s="139">
        <f t="shared" si="971"/>
        <v>6.8125047309060632E-2</v>
      </c>
      <c r="DZ140" s="130" t="str">
        <f t="shared" si="946"/>
        <v>NM</v>
      </c>
      <c r="EA140" s="139">
        <f t="shared" ref="EA140:EC140" si="972">EA133/EA129*400</f>
        <v>0.14048059149722736</v>
      </c>
      <c r="EB140" s="130" t="str">
        <f t="shared" si="949"/>
        <v>NM</v>
      </c>
      <c r="EC140" s="139">
        <f t="shared" si="972"/>
        <v>0.16881043688875025</v>
      </c>
      <c r="ED140" s="130" t="str">
        <f t="shared" si="950"/>
        <v>NM</v>
      </c>
      <c r="EE140" s="139">
        <f t="shared" ref="EE140:EG140" si="973">EE133/EE129*400</f>
        <v>0.2670034277467076</v>
      </c>
      <c r="EF140" s="130" t="str">
        <f t="shared" si="952"/>
        <v>NM</v>
      </c>
      <c r="EG140" s="139">
        <f t="shared" si="973"/>
        <v>0.4609904309562059</v>
      </c>
      <c r="EH140" s="130" t="str">
        <f t="shared" si="953"/>
        <v>NM</v>
      </c>
      <c r="EI140" s="139">
        <f t="shared" ref="EI140:EK140" si="974">EI133/EI129*400</f>
        <v>-4.791730841633296E-2</v>
      </c>
      <c r="EJ140" s="130" t="str">
        <f t="shared" si="955"/>
        <v>NM</v>
      </c>
      <c r="EK140" s="139">
        <f t="shared" si="974"/>
        <v>-0.41493092717303609</v>
      </c>
      <c r="EL140" s="130" t="str">
        <f t="shared" si="956"/>
        <v>NM</v>
      </c>
      <c r="EM140" s="139">
        <f t="shared" ref="EM140" si="975">EM133/EM129*400</f>
        <v>-0.18539828666410946</v>
      </c>
      <c r="EN140" s="130" t="str">
        <f t="shared" si="958"/>
        <v>NM</v>
      </c>
      <c r="EO140" s="139">
        <f t="shared" ref="EO140" si="976">EO133/EO129*400</f>
        <v>-0.28999367566983913</v>
      </c>
      <c r="EP140" s="130" t="str">
        <f t="shared" si="960"/>
        <v>NM</v>
      </c>
      <c r="EQ140" s="138">
        <f t="shared" ref="EQ140" si="977">EO140</f>
        <v>-0.28999367566983913</v>
      </c>
      <c r="ER140" s="130" t="str">
        <f t="shared" si="962"/>
        <v>NM</v>
      </c>
      <c r="ES140" s="138">
        <f t="shared" ref="ES140" si="978">EQ140</f>
        <v>-0.28999367566983913</v>
      </c>
      <c r="ET140" s="130">
        <f t="shared" si="964"/>
        <v>-30.110373395014523</v>
      </c>
      <c r="EU140" s="138">
        <f t="shared" ref="EU140" si="979">ES140</f>
        <v>-0.28999367566983913</v>
      </c>
      <c r="EV140" s="130">
        <f t="shared" si="966"/>
        <v>56.416588787159426</v>
      </c>
      <c r="EW140" s="138">
        <f t="shared" ref="EW140" si="980">EU140</f>
        <v>-0.28999367566983913</v>
      </c>
      <c r="EX140" s="130">
        <f t="shared" si="968"/>
        <v>0</v>
      </c>
      <c r="EY140" s="64"/>
      <c r="EZ140" s="558"/>
      <c r="FA140" s="64"/>
      <c r="FB140" s="66"/>
      <c r="FC140" s="66"/>
      <c r="FD140" s="66"/>
      <c r="FE140" s="67"/>
      <c r="FF140" s="66"/>
      <c r="FG140" s="67"/>
      <c r="FH140" s="66"/>
      <c r="FI140" s="67"/>
      <c r="FJ140" s="66"/>
      <c r="FK140" s="67"/>
      <c r="FL140" s="66"/>
      <c r="FM140" s="61"/>
      <c r="FN140" s="66"/>
      <c r="FO140" s="61"/>
      <c r="FP140" s="65"/>
      <c r="FQ140" s="61"/>
      <c r="FR140" s="65"/>
      <c r="FS140" s="61"/>
      <c r="FT140" s="139">
        <f>FT133/FT129*100</f>
        <v>0</v>
      </c>
      <c r="FU140" s="61"/>
      <c r="FV140" s="139">
        <f>FV133/FV129*100</f>
        <v>0</v>
      </c>
      <c r="FW140" s="61"/>
      <c r="FX140" s="139">
        <f>FX133/FX129*100</f>
        <v>0</v>
      </c>
      <c r="FY140" s="61"/>
      <c r="FZ140" s="139">
        <f>FZ133/FZ129*100</f>
        <v>0</v>
      </c>
      <c r="GA140" s="61"/>
      <c r="GB140" s="139">
        <f>GB133/GB129*100</f>
        <v>-9.2726148773954256E-2</v>
      </c>
      <c r="GC140" s="61"/>
      <c r="GD140" s="139">
        <f>GD133/GD129*100</f>
        <v>-0.18909871463981806</v>
      </c>
      <c r="GE140" s="61"/>
      <c r="GF140" s="139">
        <f>GF133/GF129*100</f>
        <v>0</v>
      </c>
      <c r="GG140" s="61" t="str">
        <f t="shared" si="969"/>
        <v>NM</v>
      </c>
      <c r="GH140" s="139">
        <f>GH133/GH129*100</f>
        <v>9.6865434538339346E-3</v>
      </c>
      <c r="GI140" s="61" t="str">
        <f t="shared" si="969"/>
        <v>NA</v>
      </c>
      <c r="GJ140" s="139">
        <f>GJ133/GJ129*100</f>
        <v>2.6149162292907972E-2</v>
      </c>
      <c r="GK140" s="61" t="str">
        <f t="shared" si="969"/>
        <v>NM</v>
      </c>
      <c r="GL140" s="139">
        <f>GL133/GL129*100</f>
        <v>0.26802218114602588</v>
      </c>
      <c r="GM140" s="61" t="str">
        <f t="shared" si="969"/>
        <v>NM</v>
      </c>
      <c r="GN140" s="139">
        <f>GN133/GN129*100</f>
        <v>-0.24985453674230754</v>
      </c>
      <c r="GO140" s="61" t="str">
        <f t="shared" si="969"/>
        <v>NM</v>
      </c>
      <c r="GP140" s="139">
        <f>GP133/GP129*100</f>
        <v>-0.29402890859701503</v>
      </c>
      <c r="GQ140" s="61">
        <f t="shared" si="969"/>
        <v>17.680035924369708</v>
      </c>
      <c r="GR140" s="138">
        <f>GP140</f>
        <v>-0.29402890859701503</v>
      </c>
      <c r="GS140" s="61">
        <f t="shared" si="969"/>
        <v>0</v>
      </c>
      <c r="GT140" s="138">
        <f>GR140</f>
        <v>-0.29402890859701503</v>
      </c>
      <c r="GU140" s="61">
        <f t="shared" si="969"/>
        <v>0</v>
      </c>
      <c r="GV140" s="138">
        <f>GT140</f>
        <v>-0.29402890859701503</v>
      </c>
      <c r="GW140" s="61">
        <f t="shared" si="969"/>
        <v>0</v>
      </c>
      <c r="GX140" s="138">
        <f>GV140</f>
        <v>-0.29402890859701503</v>
      </c>
      <c r="GY140" s="61">
        <f t="shared" si="970"/>
        <v>0</v>
      </c>
      <c r="GZ140" s="61">
        <f>IF(ISERROR((GX140/GN140)^0.2),"",IF(OR((GX140/GN140)^0.2&lt;0.5,(GX140/GN140)^0.2&gt;2),"NM",((GX140/GN140)^0.2-1)*100))</f>
        <v>3.3095710827796054</v>
      </c>
      <c r="HA140" s="61"/>
      <c r="HB140" s="452"/>
      <c r="HC140"/>
      <c r="HD140"/>
      <c r="HE140"/>
      <c r="HF140"/>
      <c r="HG140"/>
      <c r="HH140"/>
    </row>
    <row r="141" spans="2:216" s="5" customFormat="1" ht="12.75" customHeight="1" x14ac:dyDescent="0.2">
      <c r="B141" s="527" t="s">
        <v>514</v>
      </c>
      <c r="C141" s="66"/>
      <c r="D141" s="67"/>
      <c r="E141" s="66"/>
      <c r="F141" s="66"/>
      <c r="G141" s="64"/>
      <c r="H141" s="66"/>
      <c r="I141" s="64"/>
      <c r="J141" s="66"/>
      <c r="K141" s="64"/>
      <c r="L141" s="61"/>
      <c r="M141" s="66"/>
      <c r="N141" s="61"/>
      <c r="O141" s="64"/>
      <c r="P141" s="61"/>
      <c r="Q141" s="64"/>
      <c r="R141" s="61"/>
      <c r="S141" s="64"/>
      <c r="T141" s="61"/>
      <c r="U141" s="64"/>
      <c r="V141" s="61"/>
      <c r="W141" s="64"/>
      <c r="X141" s="61"/>
      <c r="Y141" s="64"/>
      <c r="Z141" s="61"/>
      <c r="AA141" s="64"/>
      <c r="AB141" s="61"/>
      <c r="AC141" s="64"/>
      <c r="AD141" s="61"/>
      <c r="AE141" s="64"/>
      <c r="AF141" s="61"/>
      <c r="AG141" s="64"/>
      <c r="AH141" s="61"/>
      <c r="AI141" s="64"/>
      <c r="AJ141" s="61"/>
      <c r="AK141" s="64"/>
      <c r="AL141" s="61"/>
      <c r="AM141" s="64"/>
      <c r="AN141" s="61"/>
      <c r="AO141" s="64"/>
      <c r="AP141" s="61"/>
      <c r="AQ141" s="64"/>
      <c r="AR141" s="61"/>
      <c r="AS141" s="64"/>
      <c r="AT141" s="61"/>
      <c r="AU141" s="64"/>
      <c r="AV141" s="61"/>
      <c r="AW141" s="64"/>
      <c r="AX141" s="61"/>
      <c r="AY141" s="64"/>
      <c r="AZ141" s="61"/>
      <c r="BA141" s="64"/>
      <c r="BB141" s="61"/>
      <c r="BC141" s="64"/>
      <c r="BD141" s="61"/>
      <c r="BE141" s="64"/>
      <c r="BF141" s="61"/>
      <c r="BG141" s="139">
        <f>BG132/BG129*400</f>
        <v>7.1072022819110998</v>
      </c>
      <c r="BH141" s="61"/>
      <c r="BI141" s="139">
        <f>BI132/BI129*400</f>
        <v>16.41769398114576</v>
      </c>
      <c r="BJ141" s="61"/>
      <c r="BK141" s="139">
        <f>BK132/BK129*400</f>
        <v>6.0172955537635904</v>
      </c>
      <c r="BL141" s="61"/>
      <c r="BM141" s="139">
        <f>BM132/BM129*400</f>
        <v>-5.3279471572454078</v>
      </c>
      <c r="BN141" s="61"/>
      <c r="BO141" s="139">
        <f>BO132/BO129*400</f>
        <v>-17.460757668201232</v>
      </c>
      <c r="BP141" s="61"/>
      <c r="BQ141" s="139">
        <f>BQ132/BQ129*400</f>
        <v>0.47175238752732707</v>
      </c>
      <c r="BR141" s="61"/>
      <c r="BS141" s="139">
        <f>BS132/BS129*400</f>
        <v>-29.244906112664804</v>
      </c>
      <c r="BT141" s="61"/>
      <c r="BU141" s="139">
        <f>BU132/BU129*400</f>
        <v>-47.474902526632491</v>
      </c>
      <c r="BV141" s="61"/>
      <c r="BW141" s="139">
        <f>BW132/BW129*400</f>
        <v>-14.433132488399474</v>
      </c>
      <c r="BX141" s="61"/>
      <c r="BY141" s="139">
        <f>BY132/BY129*400</f>
        <v>36.191345242691185</v>
      </c>
      <c r="BZ141" s="61"/>
      <c r="CA141" s="139">
        <f>CA132/CA129*400</f>
        <v>36.403102754812146</v>
      </c>
      <c r="CB141" s="61"/>
      <c r="CC141" s="139">
        <f>CC132/CC129*400</f>
        <v>12.143814463026629</v>
      </c>
      <c r="CD141" s="61"/>
      <c r="CE141" s="139">
        <f>CE132/CE129*400</f>
        <v>14.594073990142201</v>
      </c>
      <c r="CF141" s="61"/>
      <c r="CG141" s="139">
        <f>CG132/CG129*400</f>
        <v>-20.065941851276602</v>
      </c>
      <c r="CH141" s="61"/>
      <c r="CI141" s="139">
        <f>CI132/CI129*400</f>
        <v>26.552511415525114</v>
      </c>
      <c r="CJ141" s="61"/>
      <c r="CK141" s="139">
        <f>CK132/CK129*400</f>
        <v>22.001725625539258</v>
      </c>
      <c r="CL141" s="61"/>
      <c r="CM141" s="139">
        <f>CM132/CM129*400</f>
        <v>13.90892231609314</v>
      </c>
      <c r="CN141" s="61"/>
      <c r="CO141" s="139">
        <f>CO132/CO129*400</f>
        <v>1.7267043763024708</v>
      </c>
      <c r="CP141" s="61"/>
      <c r="CQ141" s="139">
        <f>CQ132/CQ129*400</f>
        <v>-35.515178593590981</v>
      </c>
      <c r="CR141" s="61"/>
      <c r="CS141" s="139">
        <f>CS132/CS129*400</f>
        <v>20.464613722312265</v>
      </c>
      <c r="CT141" s="61"/>
      <c r="CU141" s="139">
        <f>CU132/CU129*400</f>
        <v>27.47553215955843</v>
      </c>
      <c r="CV141" s="61"/>
      <c r="CW141" s="139">
        <f>CW132/CW129*400</f>
        <v>-7.7296525464064736</v>
      </c>
      <c r="CX141" s="61"/>
      <c r="CY141" s="139">
        <f>CY132/CY129*400</f>
        <v>14.455153755103026</v>
      </c>
      <c r="CZ141" s="61"/>
      <c r="DA141" s="139">
        <f>DA132/DA129*400</f>
        <v>4.7699696076839198</v>
      </c>
      <c r="DB141" s="61"/>
      <c r="DC141" s="139">
        <f>DC132/DC129*400</f>
        <v>19.740046891716556</v>
      </c>
      <c r="DD141" s="61"/>
      <c r="DE141" s="139">
        <f>DE132/DE129*400</f>
        <v>2.6699969854872747</v>
      </c>
      <c r="DF141" s="61"/>
      <c r="DG141" s="139">
        <f>DG132/DG129*400</f>
        <v>17.045671698834319</v>
      </c>
      <c r="DH141" s="61"/>
      <c r="DI141" s="139">
        <f>DI132/DI129*400</f>
        <v>19.542071427122838</v>
      </c>
      <c r="DJ141" s="61"/>
      <c r="DK141" s="139">
        <f>DK132/DK129*400</f>
        <v>4.5333023363942813</v>
      </c>
      <c r="DL141" s="61"/>
      <c r="DM141" s="139">
        <f>DM132/DM129*400</f>
        <v>11.756764575418025</v>
      </c>
      <c r="DN141" s="130" t="str">
        <f t="shared" si="946"/>
        <v>NM</v>
      </c>
      <c r="DO141" s="139">
        <f>DO132/DO129*400</f>
        <v>-3.1554662499069734</v>
      </c>
      <c r="DP141" s="130" t="str">
        <f t="shared" si="946"/>
        <v>NM</v>
      </c>
      <c r="DQ141" s="139">
        <f>DQ132/DQ129*400</f>
        <v>8.3355196581837259</v>
      </c>
      <c r="DR141" s="130" t="str">
        <f t="shared" si="946"/>
        <v>NM</v>
      </c>
      <c r="DS141" s="139">
        <f>DS132/DS129*400</f>
        <v>7.4039485235062292</v>
      </c>
      <c r="DT141" s="130">
        <f t="shared" si="946"/>
        <v>63.323510635189976</v>
      </c>
      <c r="DU141" s="139">
        <f>DU132/DU129*400</f>
        <v>0.3514423780934251</v>
      </c>
      <c r="DV141" s="130" t="str">
        <f t="shared" si="946"/>
        <v>NM</v>
      </c>
      <c r="DW141" s="139">
        <f>DW132/DW129*400</f>
        <v>-17.538053065158486</v>
      </c>
      <c r="DX141" s="139">
        <f t="shared" ref="DX141:DY141" si="981">DX132/DX129*400</f>
        <v>-417683.8936341668</v>
      </c>
      <c r="DY141" s="139">
        <f t="shared" si="981"/>
        <v>11.111952161077889</v>
      </c>
      <c r="DZ141" s="130">
        <f t="shared" si="946"/>
        <v>33.308451263362947</v>
      </c>
      <c r="EA141" s="139">
        <f t="shared" ref="EA141:EC141" si="982">EA132/EA129*400</f>
        <v>2.2329020332717193</v>
      </c>
      <c r="EB141" s="130" t="str">
        <f t="shared" si="949"/>
        <v>NM</v>
      </c>
      <c r="EC141" s="139">
        <f t="shared" si="982"/>
        <v>6.6349841281491404</v>
      </c>
      <c r="ED141" s="130" t="str">
        <f t="shared" si="950"/>
        <v>NM</v>
      </c>
      <c r="EE141" s="139">
        <f t="shared" ref="EE141:EG141" si="983">EE132/EE129*400</f>
        <v>12.296590294064586</v>
      </c>
      <c r="EF141" s="130" t="str">
        <f t="shared" si="952"/>
        <v>NM</v>
      </c>
      <c r="EG141" s="139">
        <f t="shared" si="983"/>
        <v>4.9870782985262281</v>
      </c>
      <c r="EH141" s="130" t="str">
        <f t="shared" si="953"/>
        <v>NM</v>
      </c>
      <c r="EI141" s="139">
        <f t="shared" ref="EI141:EK141" si="984">EI132/EI129*400</f>
        <v>14.991272204538452</v>
      </c>
      <c r="EJ141" s="130" t="str">
        <f t="shared" si="955"/>
        <v>NM</v>
      </c>
      <c r="EK141" s="139">
        <f t="shared" si="984"/>
        <v>9.8990664054138602</v>
      </c>
      <c r="EL141" s="130">
        <f t="shared" si="956"/>
        <v>49.195027662790359</v>
      </c>
      <c r="EM141" s="139">
        <f t="shared" ref="EM141" si="985">EM132/EM129*400</f>
        <v>11.986958189489835</v>
      </c>
      <c r="EN141" s="130">
        <f t="shared" si="958"/>
        <v>-2.518032211939325</v>
      </c>
      <c r="EO141" s="139">
        <f t="shared" ref="EO141" si="986">EO132/EO129*400</f>
        <v>13.419920097487237</v>
      </c>
      <c r="EP141" s="130" t="str">
        <f t="shared" si="960"/>
        <v>NM</v>
      </c>
      <c r="EQ141" s="139">
        <f t="shared" ref="EQ141:EW141" si="987">EQ132/EQ129*400</f>
        <v>-2.4107640893689646</v>
      </c>
      <c r="ER141" s="130" t="str">
        <f t="shared" si="962"/>
        <v>NM</v>
      </c>
      <c r="ES141" s="139">
        <f t="shared" si="987"/>
        <v>4.0179401489482744</v>
      </c>
      <c r="ET141" s="130" t="str">
        <f t="shared" si="964"/>
        <v>NM</v>
      </c>
      <c r="EU141" s="139">
        <f t="shared" si="987"/>
        <v>4.0179401489482744</v>
      </c>
      <c r="EV141" s="130" t="str">
        <f t="shared" si="966"/>
        <v>NM</v>
      </c>
      <c r="EW141" s="139">
        <f t="shared" si="987"/>
        <v>4.0179401489482744</v>
      </c>
      <c r="EX141" s="130" t="str">
        <f t="shared" si="968"/>
        <v>NM</v>
      </c>
      <c r="EY141" s="64"/>
      <c r="EZ141" s="558"/>
      <c r="FA141" s="64"/>
      <c r="FB141" s="66"/>
      <c r="FC141" s="66"/>
      <c r="FD141" s="66"/>
      <c r="FE141" s="67"/>
      <c r="FF141" s="66"/>
      <c r="FG141" s="67"/>
      <c r="FH141" s="66"/>
      <c r="FI141" s="67"/>
      <c r="FJ141" s="66"/>
      <c r="FK141" s="67"/>
      <c r="FL141" s="66"/>
      <c r="FM141" s="61"/>
      <c r="FN141" s="66"/>
      <c r="FO141" s="61"/>
      <c r="FP141" s="65"/>
      <c r="FQ141" s="61"/>
      <c r="FR141" s="65"/>
      <c r="FS141" s="61"/>
      <c r="FT141" s="139">
        <f>FT132/FT129*100</f>
        <v>6.1385785595436175</v>
      </c>
      <c r="FU141" s="61"/>
      <c r="FV141" s="139">
        <f>FV132/FV129*100</f>
        <v>-22.078318265017472</v>
      </c>
      <c r="FW141" s="61"/>
      <c r="FX141" s="139">
        <f>FX132/FX129*100</f>
        <v>18.799778378004017</v>
      </c>
      <c r="FY141" s="61"/>
      <c r="FZ141" s="139">
        <f>FZ132/FZ129*100</f>
        <v>10.801087757067588</v>
      </c>
      <c r="GA141" s="61"/>
      <c r="GB141" s="139">
        <f>GB132/GB129*100</f>
        <v>-0.40954049041829799</v>
      </c>
      <c r="GC141" s="61"/>
      <c r="GD141" s="139">
        <f>GD132/GD129*100</f>
        <v>9.9302379066261217</v>
      </c>
      <c r="GE141" s="61"/>
      <c r="GF141" s="139">
        <f>GF132/GF129*100</f>
        <v>15.692790967653822</v>
      </c>
      <c r="GG141" s="61">
        <f t="shared" si="969"/>
        <v>58.030362567472203</v>
      </c>
      <c r="GH141" s="139">
        <f>GH132/GH129*100</f>
        <v>5.4186524080747027</v>
      </c>
      <c r="GI141" s="61" t="str">
        <f t="shared" si="969"/>
        <v>NM</v>
      </c>
      <c r="GJ141" s="139">
        <f>GJ132/GJ129*100</f>
        <v>0.17930854143708325</v>
      </c>
      <c r="GK141" s="61" t="str">
        <f t="shared" si="969"/>
        <v>NM</v>
      </c>
      <c r="GL141" s="139">
        <f>GL132/GL129*100</f>
        <v>6.6987060998151575</v>
      </c>
      <c r="GM141" s="61" t="str">
        <f t="shared" si="969"/>
        <v>NM</v>
      </c>
      <c r="GN141" s="139">
        <f>GN132/GN129*100</f>
        <v>13.250847109559501</v>
      </c>
      <c r="GO141" s="61">
        <f t="shared" si="969"/>
        <v>97.812038804406455</v>
      </c>
      <c r="GP141" s="139">
        <f>GP132/GP129*100</f>
        <v>2.4666733237721217</v>
      </c>
      <c r="GQ141" s="61" t="str">
        <f t="shared" si="969"/>
        <v>NM</v>
      </c>
      <c r="GR141" s="139">
        <f>GR132/GR129*100</f>
        <v>0</v>
      </c>
      <c r="GS141" s="61" t="str">
        <f t="shared" si="969"/>
        <v>NM</v>
      </c>
      <c r="GT141" s="139">
        <f>GT132/GT129*100</f>
        <v>0</v>
      </c>
      <c r="GU141" s="61" t="str">
        <f t="shared" si="969"/>
        <v>NA</v>
      </c>
      <c r="GV141" s="139">
        <f>GV132/GV129*100</f>
        <v>0</v>
      </c>
      <c r="GW141" s="61" t="str">
        <f t="shared" si="969"/>
        <v>NA</v>
      </c>
      <c r="GX141" s="139">
        <f>GX132/GX129*100</f>
        <v>0</v>
      </c>
      <c r="GY141" s="61" t="str">
        <f t="shared" si="970"/>
        <v>NA</v>
      </c>
      <c r="GZ141" s="61" t="str">
        <f>IF(ISERROR((GX141/GN141)^0.2),"",IF(OR((GX141/GN141)^0.2&lt;0.5,(GX141/GN141)^0.2&gt;2),"NM",((GX141/GN141)^0.2-1)*100))</f>
        <v>NM</v>
      </c>
      <c r="HA141" s="61"/>
      <c r="HB141" s="452"/>
      <c r="HC141"/>
      <c r="HD141"/>
      <c r="HE141"/>
      <c r="HF141"/>
      <c r="HG141"/>
      <c r="HH141"/>
    </row>
    <row r="142" spans="2:216" s="5" customFormat="1" ht="12.75" customHeight="1" x14ac:dyDescent="0.2">
      <c r="B142" s="527" t="s">
        <v>515</v>
      </c>
      <c r="C142" s="66"/>
      <c r="D142" s="67"/>
      <c r="E142" s="66"/>
      <c r="F142" s="66"/>
      <c r="G142" s="64"/>
      <c r="H142" s="66"/>
      <c r="I142" s="64"/>
      <c r="J142" s="66"/>
      <c r="K142" s="64"/>
      <c r="L142" s="61"/>
      <c r="M142" s="66"/>
      <c r="N142" s="61"/>
      <c r="O142" s="64"/>
      <c r="P142" s="61"/>
      <c r="Q142" s="64"/>
      <c r="R142" s="61"/>
      <c r="S142" s="64"/>
      <c r="T142" s="61"/>
      <c r="U142" s="64"/>
      <c r="V142" s="61"/>
      <c r="W142" s="64"/>
      <c r="X142" s="61"/>
      <c r="Y142" s="64"/>
      <c r="Z142" s="61"/>
      <c r="AA142" s="64"/>
      <c r="AB142" s="61"/>
      <c r="AC142" s="64"/>
      <c r="AD142" s="61"/>
      <c r="AE142" s="64"/>
      <c r="AF142" s="61"/>
      <c r="AG142" s="64"/>
      <c r="AH142" s="61"/>
      <c r="AI142" s="64"/>
      <c r="AJ142" s="61"/>
      <c r="AK142" s="64"/>
      <c r="AL142" s="61"/>
      <c r="AM142" s="64"/>
      <c r="AN142" s="61"/>
      <c r="AO142" s="64"/>
      <c r="AP142" s="61"/>
      <c r="AQ142" s="64"/>
      <c r="AR142" s="61"/>
      <c r="AS142" s="64"/>
      <c r="AT142" s="61"/>
      <c r="AU142" s="64"/>
      <c r="AV142" s="61"/>
      <c r="AW142" s="64"/>
      <c r="AX142" s="61"/>
      <c r="AY142" s="64"/>
      <c r="AZ142" s="61"/>
      <c r="BA142" s="64"/>
      <c r="BB142" s="61"/>
      <c r="BC142" s="64"/>
      <c r="BD142" s="61"/>
      <c r="BE142" s="64"/>
      <c r="BF142" s="61"/>
      <c r="BG142" s="300">
        <f>(BG141/4)/BG$23*100</f>
        <v>984.54320290243174</v>
      </c>
      <c r="BH142" s="61"/>
      <c r="BI142" s="300">
        <f>(BI141/4)/BI$23*100</f>
        <v>70.697184592924415</v>
      </c>
      <c r="BJ142" s="61"/>
      <c r="BK142" s="300">
        <f>(BK141/4)/BK$23*100</f>
        <v>96.645961652096673</v>
      </c>
      <c r="BL142" s="61"/>
      <c r="BM142" s="300">
        <f>(BM141/4)/BM$23*100</f>
        <v>26.190127035480149</v>
      </c>
      <c r="BN142" s="61"/>
      <c r="BO142" s="300">
        <f>(BO141/4)/BO$23*100</f>
        <v>44.004349144143653</v>
      </c>
      <c r="BP142" s="61"/>
      <c r="BQ142" s="300">
        <f>(BQ141/4)/BQ$23*100</f>
        <v>-1.791931931531916</v>
      </c>
      <c r="BR142" s="61"/>
      <c r="BS142" s="300">
        <f>(BS141/4)/BS$23*100</f>
        <v>79.241354058545653</v>
      </c>
      <c r="BT142" s="61"/>
      <c r="BU142" s="300">
        <f>(BU141/4)/BU$23*100</f>
        <v>53.45164470236201</v>
      </c>
      <c r="BV142" s="61"/>
      <c r="BW142" s="300">
        <f>(BW141/4)/BW$23*100</f>
        <v>30.92566040408488</v>
      </c>
      <c r="BX142" s="61"/>
      <c r="BY142" s="300">
        <f>(BY141/4)/BY$23*100</f>
        <v>67.793007527387545</v>
      </c>
      <c r="BZ142" s="61"/>
      <c r="CA142" s="300">
        <f>(CA141/4)/CA$23*100</f>
        <v>62.826272829530417</v>
      </c>
      <c r="CB142" s="61"/>
      <c r="CC142" s="300">
        <f>(CC141/4)/CC$23*100</f>
        <v>36.675384487878354</v>
      </c>
      <c r="CD142" s="61"/>
      <c r="CE142" s="300">
        <f>(CE141/4)/CE$23*100</f>
        <v>74.88413626608515</v>
      </c>
      <c r="CF142" s="61"/>
      <c r="CG142" s="300">
        <f>(CG141/4)/CG$23*100</f>
        <v>40.097191341460288</v>
      </c>
      <c r="CH142" s="61"/>
      <c r="CI142" s="300">
        <f>(CI141/4)/CI$23*100</f>
        <v>59.912209067981237</v>
      </c>
      <c r="CJ142" s="61"/>
      <c r="CK142" s="300">
        <f>(CK141/4)/CK$23*100</f>
        <v>56.596231192797632</v>
      </c>
      <c r="CL142" s="61"/>
      <c r="CM142" s="300">
        <f>(CM141/4)/CM$23*100</f>
        <v>64.131161719897108</v>
      </c>
      <c r="CN142" s="61"/>
      <c r="CO142" s="300">
        <f>(CO141/4)/CO$23*100</f>
        <v>-48.867005760977946</v>
      </c>
      <c r="CP142" s="61"/>
      <c r="CQ142" s="300">
        <f>(CQ141/4)/CQ$23*100</f>
        <v>57.11719004378876</v>
      </c>
      <c r="CR142" s="61"/>
      <c r="CS142" s="300">
        <f>(CS141/4)/CS$23*100</f>
        <v>45.875122063218008</v>
      </c>
      <c r="CT142" s="61"/>
      <c r="CU142" s="300">
        <f>(CU141/4)/CU$23*100</f>
        <v>57.256584466218719</v>
      </c>
      <c r="CV142" s="61"/>
      <c r="CW142" s="300">
        <f>(CW141/4)/CW$23*100</f>
        <v>58.772315493614371</v>
      </c>
      <c r="CX142" s="61"/>
      <c r="CY142" s="300">
        <f>(CY141/4)/CY$23*100</f>
        <v>62.699758753824689</v>
      </c>
      <c r="CZ142" s="61"/>
      <c r="DA142" s="300">
        <f>(DA141/4)/DA$23*100</f>
        <v>-85.178028708641435</v>
      </c>
      <c r="DB142" s="61"/>
      <c r="DC142" s="300">
        <f>(DC141/4)/DC$23*100</f>
        <v>41.136515779167063</v>
      </c>
      <c r="DD142" s="61"/>
      <c r="DE142" s="300">
        <f>(DE141/4)/DE$23*100</f>
        <v>27.812468598825781</v>
      </c>
      <c r="DF142" s="61"/>
      <c r="DG142" s="300">
        <f>(DG141/4)/DG$23*100</f>
        <v>103.93702255386781</v>
      </c>
      <c r="DH142" s="61"/>
      <c r="DI142" s="300">
        <f>(DI141/4)/DI$23*100</f>
        <v>49.548862644834784</v>
      </c>
      <c r="DJ142" s="61"/>
      <c r="DK142" s="300">
        <f>(DK141/4)/DK$23*100</f>
        <v>87.35586168856868</v>
      </c>
      <c r="DL142" s="61"/>
      <c r="DM142" s="300">
        <f>(DM141/4)/DM$23*100</f>
        <v>74.178667674859895</v>
      </c>
      <c r="DN142" s="130" t="str">
        <f t="shared" si="946"/>
        <v>NM</v>
      </c>
      <c r="DO142" s="300">
        <f>(DO141/4)/DO$23*100</f>
        <v>1511.1989963885699</v>
      </c>
      <c r="DP142" s="130" t="str">
        <f t="shared" si="946"/>
        <v>NM</v>
      </c>
      <c r="DQ142" s="300">
        <f>(DQ141/4)/DQ$23*100</f>
        <v>35.972713628638573</v>
      </c>
      <c r="DR142" s="130">
        <f t="shared" si="946"/>
        <v>-27.399516944535673</v>
      </c>
      <c r="DS142" s="300">
        <f>(DS141/4)/DS$23*100</f>
        <v>462.74678271913928</v>
      </c>
      <c r="DT142" s="130" t="str">
        <f t="shared" si="946"/>
        <v>NM</v>
      </c>
      <c r="DU142" s="300">
        <f>(DU141/4)/DU$23*100</f>
        <v>21.965148630839067</v>
      </c>
      <c r="DV142" s="130" t="str">
        <f t="shared" si="946"/>
        <v>NM</v>
      </c>
      <c r="DW142" s="300">
        <f>(DW141/4)/DW$23*100</f>
        <v>57.871935798133464</v>
      </c>
      <c r="DX142" s="300" t="e">
        <f t="shared" ref="DX142:DY142" si="988">(DX141/4)/DX$23*100</f>
        <v>#DIV/0!</v>
      </c>
      <c r="DY142" s="300">
        <f t="shared" si="988"/>
        <v>44.491710162016204</v>
      </c>
      <c r="DZ142" s="130">
        <f t="shared" si="946"/>
        <v>23.681829014410226</v>
      </c>
      <c r="EA142" s="300">
        <f t="shared" ref="EA142:EC142" si="989">(EA141/4)/EA$23*100</f>
        <v>72.213888953883227</v>
      </c>
      <c r="EB142" s="130" t="str">
        <f t="shared" si="949"/>
        <v>NM</v>
      </c>
      <c r="EC142" s="300">
        <f t="shared" si="989"/>
        <v>131.83290204167326</v>
      </c>
      <c r="ED142" s="130" t="str">
        <f t="shared" si="950"/>
        <v>NM</v>
      </c>
      <c r="EE142" s="300">
        <f t="shared" ref="EE142:EG142" si="990">(EE141/4)/EE$23*100</f>
        <v>98.971194641223121</v>
      </c>
      <c r="EF142" s="130">
        <f t="shared" si="952"/>
        <v>71.017598212802866</v>
      </c>
      <c r="EG142" s="300">
        <f t="shared" si="990"/>
        <v>38.312485614851084</v>
      </c>
      <c r="EH142" s="130">
        <f t="shared" si="953"/>
        <v>-13.888485123775919</v>
      </c>
      <c r="EI142" s="300">
        <f t="shared" ref="EI142:EK142" si="991">(EI141/4)/EI$23*100</f>
        <v>67.727180078472102</v>
      </c>
      <c r="EJ142" s="130">
        <f t="shared" si="955"/>
        <v>-6.2130830237884016</v>
      </c>
      <c r="EK142" s="300">
        <f t="shared" si="991"/>
        <v>96.345041099849041</v>
      </c>
      <c r="EL142" s="130">
        <f t="shared" si="956"/>
        <v>-26.918819499707492</v>
      </c>
      <c r="EM142" s="300">
        <f t="shared" ref="EM142" si="992">(EM141/4)/EM$23*100</f>
        <v>83.242765204790516</v>
      </c>
      <c r="EN142" s="130">
        <f t="shared" si="958"/>
        <v>-15.891926427127778</v>
      </c>
      <c r="EO142" s="300">
        <f t="shared" ref="EO142" si="993">(EO141/4)/EO$23*100</f>
        <v>50.224251861853432</v>
      </c>
      <c r="EP142" s="130">
        <f t="shared" si="960"/>
        <v>31.091081812726308</v>
      </c>
      <c r="EQ142" s="138">
        <f t="shared" ref="EQ142" si="994">EO142</f>
        <v>50.224251861853432</v>
      </c>
      <c r="ER142" s="130">
        <f t="shared" si="962"/>
        <v>-25.843285068622237</v>
      </c>
      <c r="ES142" s="138">
        <f t="shared" ref="ES142" si="995">EQ142</f>
        <v>50.224251861853432</v>
      </c>
      <c r="ET142" s="130">
        <f t="shared" si="964"/>
        <v>-47.870433923212964</v>
      </c>
      <c r="EU142" s="138">
        <f t="shared" ref="EU142" si="996">ES142</f>
        <v>50.224251861853432</v>
      </c>
      <c r="EV142" s="130">
        <f t="shared" si="966"/>
        <v>-39.665324982545044</v>
      </c>
      <c r="EW142" s="138">
        <f t="shared" ref="EW142" si="997">EU142</f>
        <v>50.224251861853432</v>
      </c>
      <c r="EX142" s="130">
        <f t="shared" si="968"/>
        <v>0</v>
      </c>
      <c r="EY142" s="64"/>
      <c r="EZ142" s="558"/>
      <c r="FA142" s="64"/>
      <c r="FB142" s="66"/>
      <c r="FC142" s="66"/>
      <c r="FD142" s="66"/>
      <c r="FE142" s="67"/>
      <c r="FF142" s="66"/>
      <c r="FG142" s="67"/>
      <c r="FH142" s="66"/>
      <c r="FI142" s="67"/>
      <c r="FJ142" s="66"/>
      <c r="FK142" s="67"/>
      <c r="FL142" s="66"/>
      <c r="FM142" s="61"/>
      <c r="FN142" s="66"/>
      <c r="FO142" s="61"/>
      <c r="FP142" s="65"/>
      <c r="FQ142" s="61"/>
      <c r="FR142" s="65"/>
      <c r="FS142" s="61"/>
      <c r="FT142" s="65"/>
      <c r="FU142" s="61"/>
      <c r="FV142" s="65"/>
      <c r="FW142" s="61"/>
      <c r="FX142" s="65"/>
      <c r="FY142" s="61"/>
      <c r="FZ142" s="65"/>
      <c r="GA142" s="61"/>
      <c r="GB142" s="65"/>
      <c r="GC142" s="61"/>
      <c r="GD142" s="300"/>
      <c r="GE142" s="61"/>
      <c r="GF142" s="65"/>
      <c r="GG142" s="61"/>
      <c r="GH142" s="65"/>
      <c r="GI142" s="61"/>
      <c r="GJ142" s="65"/>
      <c r="GK142" s="61"/>
      <c r="GL142" s="65"/>
      <c r="GM142" s="61"/>
      <c r="GN142" s="65"/>
      <c r="GO142" s="61"/>
      <c r="GP142" s="65"/>
      <c r="GQ142" s="61"/>
      <c r="GR142" s="138">
        <f>GP142</f>
        <v>0</v>
      </c>
      <c r="GS142" s="61"/>
      <c r="GT142" s="138">
        <f>GR142</f>
        <v>0</v>
      </c>
      <c r="GU142" s="61"/>
      <c r="GV142" s="138">
        <f>GT142</f>
        <v>0</v>
      </c>
      <c r="GW142" s="61"/>
      <c r="GX142" s="138">
        <f>GV142</f>
        <v>0</v>
      </c>
      <c r="GY142" s="61"/>
      <c r="GZ142" s="61" t="str">
        <f>IF(ISERROR((GX142/GN142)^0.2),"",IF(OR((GX142/GN142)^0.2&lt;0.5,(GX142/GN142)^0.2&gt;2),"NM",((GX142/GN142)^0.2-1)*100))</f>
        <v/>
      </c>
      <c r="HA142" s="61"/>
      <c r="HB142" s="452"/>
      <c r="HC142"/>
      <c r="HD142"/>
      <c r="HE142"/>
      <c r="HF142"/>
      <c r="HG142"/>
      <c r="HH142"/>
    </row>
    <row r="143" spans="2:216" s="5" customFormat="1" ht="12.75" customHeight="1" x14ac:dyDescent="0.2">
      <c r="B143" s="92"/>
      <c r="C143" s="66"/>
      <c r="D143" s="67"/>
      <c r="E143" s="66"/>
      <c r="F143" s="66"/>
      <c r="G143" s="64"/>
      <c r="H143" s="66"/>
      <c r="I143" s="64"/>
      <c r="J143" s="66"/>
      <c r="K143" s="64"/>
      <c r="L143" s="61"/>
      <c r="M143" s="66"/>
      <c r="N143" s="61"/>
      <c r="O143" s="64"/>
      <c r="P143" s="61"/>
      <c r="Q143" s="64"/>
      <c r="R143" s="61"/>
      <c r="S143" s="64"/>
      <c r="T143" s="61"/>
      <c r="U143" s="64"/>
      <c r="V143" s="61"/>
      <c r="W143" s="64"/>
      <c r="X143" s="61"/>
      <c r="Y143" s="64"/>
      <c r="Z143" s="61"/>
      <c r="AA143" s="64"/>
      <c r="AB143" s="61"/>
      <c r="AC143" s="64"/>
      <c r="AD143" s="61"/>
      <c r="AE143" s="64"/>
      <c r="AF143" s="61"/>
      <c r="AG143" s="64"/>
      <c r="AH143" s="61"/>
      <c r="AI143" s="64"/>
      <c r="AJ143" s="61"/>
      <c r="AK143" s="64"/>
      <c r="AL143" s="61"/>
      <c r="AM143" s="64"/>
      <c r="AN143" s="61"/>
      <c r="AO143" s="64"/>
      <c r="AP143" s="61"/>
      <c r="AQ143" s="64"/>
      <c r="AR143" s="61"/>
      <c r="AS143" s="64"/>
      <c r="AT143" s="61"/>
      <c r="AU143" s="64"/>
      <c r="AV143" s="61"/>
      <c r="AW143" s="64"/>
      <c r="AX143" s="61"/>
      <c r="AY143" s="64"/>
      <c r="AZ143" s="61"/>
      <c r="BA143" s="64"/>
      <c r="BB143" s="61"/>
      <c r="BC143" s="64"/>
      <c r="BD143" s="61"/>
      <c r="BE143" s="64"/>
      <c r="BF143" s="61"/>
      <c r="BG143" s="64"/>
      <c r="BH143" s="61"/>
      <c r="BI143" s="64"/>
      <c r="BJ143" s="61"/>
      <c r="BK143" s="64"/>
      <c r="BL143" s="61"/>
      <c r="BM143" s="64"/>
      <c r="BN143" s="61"/>
      <c r="BO143" s="64"/>
      <c r="BP143" s="61"/>
      <c r="BQ143" s="64"/>
      <c r="BR143" s="61"/>
      <c r="BS143" s="64"/>
      <c r="BT143" s="61"/>
      <c r="BU143" s="64"/>
      <c r="BV143" s="61"/>
      <c r="BW143" s="64"/>
      <c r="BX143" s="61"/>
      <c r="BY143" s="64"/>
      <c r="BZ143" s="61"/>
      <c r="CA143" s="64"/>
      <c r="CB143" s="61"/>
      <c r="CC143" s="64"/>
      <c r="CD143" s="61"/>
      <c r="CE143" s="64"/>
      <c r="CF143" s="61"/>
      <c r="CG143" s="64"/>
      <c r="CH143" s="61"/>
      <c r="CI143" s="64"/>
      <c r="CJ143" s="61"/>
      <c r="CK143" s="64"/>
      <c r="CL143" s="61"/>
      <c r="CM143" s="64"/>
      <c r="CN143" s="61"/>
      <c r="CO143" s="64"/>
      <c r="CP143" s="61"/>
      <c r="CQ143" s="64"/>
      <c r="CR143" s="61"/>
      <c r="CS143" s="64"/>
      <c r="CT143" s="61"/>
      <c r="CU143" s="64"/>
      <c r="CV143" s="61"/>
      <c r="CW143" s="64"/>
      <c r="CX143" s="61"/>
      <c r="CY143" s="64"/>
      <c r="CZ143" s="61"/>
      <c r="DA143" s="64"/>
      <c r="DB143" s="61"/>
      <c r="DC143" s="64"/>
      <c r="DD143" s="61"/>
      <c r="DE143" s="64"/>
      <c r="DF143" s="61"/>
      <c r="DG143" s="64"/>
      <c r="DH143" s="61"/>
      <c r="DI143" s="64"/>
      <c r="DJ143" s="61"/>
      <c r="DK143" s="64"/>
      <c r="DL143" s="61"/>
      <c r="DM143" s="64"/>
      <c r="DN143" s="61"/>
      <c r="DO143" s="64"/>
      <c r="DP143" s="61"/>
      <c r="DQ143" s="64"/>
      <c r="DR143" s="61"/>
      <c r="DS143" s="64"/>
      <c r="DT143" s="61"/>
      <c r="DU143" s="64"/>
      <c r="DV143" s="61"/>
      <c r="DW143" s="64"/>
      <c r="DX143" s="64"/>
      <c r="DY143" s="64"/>
      <c r="DZ143" s="61"/>
      <c r="EA143" s="64"/>
      <c r="EB143" s="61"/>
      <c r="EC143" s="64"/>
      <c r="ED143" s="61"/>
      <c r="EE143" s="64"/>
      <c r="EF143" s="61"/>
      <c r="EG143" s="64"/>
      <c r="EH143" s="61"/>
      <c r="EI143" s="64"/>
      <c r="EJ143" s="61"/>
      <c r="EK143" s="64"/>
      <c r="EL143" s="61"/>
      <c r="EM143" s="64"/>
      <c r="EN143" s="61"/>
      <c r="EO143" s="64"/>
      <c r="EP143" s="61"/>
      <c r="EQ143" s="64"/>
      <c r="ER143" s="61"/>
      <c r="ES143" s="64"/>
      <c r="ET143" s="61"/>
      <c r="EU143" s="64"/>
      <c r="EV143" s="61"/>
      <c r="EW143" s="64"/>
      <c r="EX143" s="61"/>
      <c r="EY143" s="64"/>
      <c r="EZ143" s="558"/>
      <c r="FA143" s="64"/>
      <c r="FB143" s="66"/>
      <c r="FC143" s="66"/>
      <c r="FD143" s="66"/>
      <c r="FE143" s="67"/>
      <c r="FF143" s="66"/>
      <c r="FG143" s="67"/>
      <c r="FH143" s="66"/>
      <c r="FI143" s="67"/>
      <c r="FJ143" s="66"/>
      <c r="FK143" s="67"/>
      <c r="FL143" s="66"/>
      <c r="FM143" s="61"/>
      <c r="FN143" s="66"/>
      <c r="FO143" s="61"/>
      <c r="FP143" s="65"/>
      <c r="FQ143" s="61"/>
      <c r="FR143" s="65"/>
      <c r="FS143" s="61"/>
      <c r="FT143" s="65"/>
      <c r="FU143" s="61"/>
      <c r="FV143" s="65"/>
      <c r="FW143" s="61"/>
      <c r="FX143" s="65"/>
      <c r="FY143" s="61"/>
      <c r="FZ143" s="65"/>
      <c r="GA143" s="61"/>
      <c r="GB143" s="65"/>
      <c r="GC143" s="61"/>
      <c r="GD143" s="65"/>
      <c r="GE143" s="61"/>
      <c r="GF143" s="65"/>
      <c r="GG143" s="61"/>
      <c r="GH143" s="65"/>
      <c r="GI143" s="61"/>
      <c r="GJ143" s="65"/>
      <c r="GK143" s="61"/>
      <c r="GL143" s="65"/>
      <c r="GM143" s="61"/>
      <c r="GN143" s="65"/>
      <c r="GO143" s="61"/>
      <c r="GP143" s="65"/>
      <c r="GQ143" s="61"/>
      <c r="GR143" s="64"/>
      <c r="GS143" s="61"/>
      <c r="GT143" s="64"/>
      <c r="GU143" s="61"/>
      <c r="GV143" s="64"/>
      <c r="GW143" s="61"/>
      <c r="GX143" s="64"/>
      <c r="GY143" s="61"/>
      <c r="GZ143" s="61"/>
      <c r="HA143" s="61"/>
      <c r="HB143" s="452"/>
      <c r="HC143"/>
      <c r="HD143"/>
      <c r="HE143"/>
      <c r="HF143"/>
      <c r="HG143"/>
      <c r="HH143"/>
    </row>
    <row r="144" spans="2:216" s="5" customFormat="1" ht="12.75" customHeight="1" x14ac:dyDescent="0.2">
      <c r="B144" s="63" t="s">
        <v>188</v>
      </c>
      <c r="C144" s="66"/>
      <c r="D144" s="67"/>
      <c r="E144" s="66"/>
      <c r="F144" s="66"/>
      <c r="G144" s="66"/>
      <c r="H144" s="66"/>
      <c r="I144" s="66"/>
      <c r="J144" s="66"/>
      <c r="K144" s="66"/>
      <c r="L144" s="61"/>
      <c r="M144" s="66"/>
      <c r="N144" s="61"/>
      <c r="O144" s="66"/>
      <c r="P144" s="61"/>
      <c r="Q144" s="66"/>
      <c r="R144" s="61"/>
      <c r="S144" s="66"/>
      <c r="T144" s="61"/>
      <c r="U144" s="66"/>
      <c r="V144" s="61"/>
      <c r="W144" s="66"/>
      <c r="X144" s="61"/>
      <c r="Y144" s="66"/>
      <c r="Z144" s="61"/>
      <c r="AA144" s="66"/>
      <c r="AB144" s="61"/>
      <c r="AC144" s="66"/>
      <c r="AD144" s="61"/>
      <c r="AE144" s="66"/>
      <c r="AF144" s="61"/>
      <c r="AG144" s="66"/>
      <c r="AH144" s="61"/>
      <c r="AI144" s="66"/>
      <c r="AJ144" s="61"/>
      <c r="AK144" s="66"/>
      <c r="AL144" s="61"/>
      <c r="AM144" s="66"/>
      <c r="AN144" s="61"/>
      <c r="AO144" s="66"/>
      <c r="AP144" s="61"/>
      <c r="AQ144" s="66"/>
      <c r="AR144" s="95"/>
      <c r="AS144" s="66"/>
      <c r="AT144" s="95"/>
      <c r="AU144" s="66"/>
      <c r="AV144" s="61"/>
      <c r="AW144" s="66"/>
      <c r="AX144" s="61"/>
      <c r="AY144" s="66"/>
      <c r="AZ144" s="61"/>
      <c r="BA144" s="66"/>
      <c r="BB144" s="61"/>
      <c r="BC144" s="66"/>
      <c r="BD144" s="61"/>
      <c r="BE144" s="66"/>
      <c r="BF144" s="61"/>
      <c r="BG144" s="66"/>
      <c r="BH144" s="61"/>
      <c r="BI144" s="66"/>
      <c r="BJ144" s="61"/>
      <c r="BK144" s="66"/>
      <c r="BL144" s="61"/>
      <c r="BM144" s="66"/>
      <c r="BN144" s="61"/>
      <c r="BO144" s="66"/>
      <c r="BP144" s="61"/>
      <c r="BQ144" s="66"/>
      <c r="BR144" s="61"/>
      <c r="BS144" s="66"/>
      <c r="BT144" s="61"/>
      <c r="BU144" s="66"/>
      <c r="BV144" s="61"/>
      <c r="BW144" s="96"/>
      <c r="BX144" s="61"/>
      <c r="BY144" s="96"/>
      <c r="BZ144" s="61"/>
      <c r="CA144" s="96"/>
      <c r="CB144" s="61"/>
      <c r="CC144" s="96"/>
      <c r="CD144" s="61"/>
      <c r="CE144" s="96"/>
      <c r="CF144" s="61"/>
      <c r="CG144" s="96"/>
      <c r="CH144" s="61"/>
      <c r="CI144" s="96"/>
      <c r="CJ144" s="61"/>
      <c r="CK144" s="96"/>
      <c r="CL144" s="61"/>
      <c r="CM144" s="96"/>
      <c r="CN144" s="61"/>
      <c r="CO144" s="96"/>
      <c r="CP144" s="61"/>
      <c r="CQ144" s="96"/>
      <c r="CR144" s="61"/>
      <c r="CS144" s="96"/>
      <c r="CT144" s="61"/>
      <c r="CU144" s="96"/>
      <c r="CV144" s="61"/>
      <c r="CW144" s="96"/>
      <c r="CX144" s="61"/>
      <c r="CY144" s="96"/>
      <c r="CZ144" s="61"/>
      <c r="DA144" s="96"/>
      <c r="DB144" s="61"/>
      <c r="DC144" s="96"/>
      <c r="DD144" s="61"/>
      <c r="DE144" s="96"/>
      <c r="DF144" s="61"/>
      <c r="DG144" s="96"/>
      <c r="DH144" s="61"/>
      <c r="DI144" s="96"/>
      <c r="DJ144" s="61"/>
      <c r="DK144" s="96"/>
      <c r="DL144" s="61"/>
      <c r="DM144" s="96"/>
      <c r="DN144" s="61"/>
      <c r="DO144" s="96"/>
      <c r="DP144" s="61"/>
      <c r="DQ144" s="96"/>
      <c r="DR144" s="61"/>
      <c r="DS144" s="96"/>
      <c r="DT144" s="61"/>
      <c r="DU144" s="96"/>
      <c r="DV144" s="61"/>
      <c r="DW144" s="96"/>
      <c r="DX144" s="96"/>
      <c r="DY144" s="96"/>
      <c r="DZ144" s="61"/>
      <c r="EA144" s="96"/>
      <c r="EB144" s="61"/>
      <c r="EC144" s="96"/>
      <c r="ED144" s="61"/>
      <c r="EE144" s="96"/>
      <c r="EF144" s="61"/>
      <c r="EG144" s="96"/>
      <c r="EH144" s="61"/>
      <c r="EI144" s="96"/>
      <c r="EJ144" s="61"/>
      <c r="EK144" s="96"/>
      <c r="EL144" s="61"/>
      <c r="EM144" s="96"/>
      <c r="EN144" s="61"/>
      <c r="EO144" s="96"/>
      <c r="EP144" s="61"/>
      <c r="EQ144" s="96"/>
      <c r="ER144" s="61"/>
      <c r="ES144" s="96"/>
      <c r="ET144" s="61"/>
      <c r="EU144" s="96"/>
      <c r="EV144" s="61"/>
      <c r="EW144" s="96"/>
      <c r="EX144" s="61"/>
      <c r="EY144" s="66"/>
      <c r="EZ144" s="558"/>
      <c r="FA144" s="66"/>
      <c r="FB144" s="66"/>
      <c r="FC144" s="66"/>
      <c r="FD144" s="66"/>
      <c r="FE144" s="67"/>
      <c r="FF144" s="66"/>
      <c r="FG144" s="67"/>
      <c r="FH144" s="66"/>
      <c r="FI144" s="67"/>
      <c r="FJ144" s="66"/>
      <c r="FK144" s="67"/>
      <c r="FL144" s="66"/>
      <c r="FM144" s="61"/>
      <c r="FN144" s="66"/>
      <c r="FO144" s="61"/>
      <c r="FP144" s="97"/>
      <c r="FQ144" s="61"/>
      <c r="FR144" s="97"/>
      <c r="FS144" s="61"/>
      <c r="FT144" s="97"/>
      <c r="FU144" s="61"/>
      <c r="FV144" s="97"/>
      <c r="FW144" s="61"/>
      <c r="FX144" s="97"/>
      <c r="FY144" s="61"/>
      <c r="FZ144" s="97"/>
      <c r="GA144" s="61"/>
      <c r="GB144" s="97"/>
      <c r="GC144" s="61"/>
      <c r="GD144" s="97"/>
      <c r="GE144" s="61"/>
      <c r="GF144" s="97"/>
      <c r="GG144" s="61"/>
      <c r="GH144" s="97"/>
      <c r="GI144" s="61"/>
      <c r="GJ144" s="97"/>
      <c r="GK144" s="61"/>
      <c r="GL144" s="97"/>
      <c r="GM144" s="61"/>
      <c r="GN144" s="97"/>
      <c r="GO144" s="61"/>
      <c r="GP144" s="97"/>
      <c r="GQ144" s="61"/>
      <c r="GR144" s="96"/>
      <c r="GS144" s="61"/>
      <c r="GT144" s="96"/>
      <c r="GU144" s="61"/>
      <c r="GV144" s="96"/>
      <c r="GW144" s="61"/>
      <c r="GX144" s="96"/>
      <c r="GY144" s="61"/>
      <c r="GZ144" s="61" t="str">
        <f t="shared" ref="GZ144:GZ150" si="998">IF(ISERROR((GX144/GN144)^0.2),"",IF(OR((GX144/GN144)^0.2&lt;0.5,(GX144/GN144)^0.2&gt;2),"NM",((GX144/GN144)^0.2-1)*100))</f>
        <v/>
      </c>
      <c r="HA144" s="61"/>
      <c r="HB144" s="452"/>
      <c r="HC144"/>
      <c r="HD144"/>
      <c r="HE144"/>
      <c r="HF144"/>
      <c r="HG144"/>
      <c r="HH144"/>
    </row>
    <row r="145" spans="1:216" s="7" customFormat="1" ht="12.75" customHeight="1" x14ac:dyDescent="0.2">
      <c r="B145" s="2" t="s">
        <v>619</v>
      </c>
      <c r="C145" s="72"/>
      <c r="D145" s="70"/>
      <c r="E145" s="72"/>
      <c r="F145" s="71"/>
      <c r="G145" s="74"/>
      <c r="H145" s="71"/>
      <c r="I145" s="74"/>
      <c r="J145" s="61"/>
      <c r="K145" s="74"/>
      <c r="L145" s="61"/>
      <c r="M145" s="72"/>
      <c r="N145" s="61"/>
      <c r="O145" s="74"/>
      <c r="P145" s="61"/>
      <c r="Q145" s="74"/>
      <c r="R145" s="61"/>
      <c r="S145" s="74"/>
      <c r="T145" s="61"/>
      <c r="U145" s="74"/>
      <c r="V145" s="61"/>
      <c r="W145" s="74"/>
      <c r="X145" s="61"/>
      <c r="Y145" s="74"/>
      <c r="Z145" s="61"/>
      <c r="AA145" s="74"/>
      <c r="AB145" s="61"/>
      <c r="AC145" s="74"/>
      <c r="AD145" s="61"/>
      <c r="AE145" s="74"/>
      <c r="AF145" s="61"/>
      <c r="AG145" s="74"/>
      <c r="AH145" s="61"/>
      <c r="AI145" s="74"/>
      <c r="AJ145" s="61"/>
      <c r="AK145" s="74"/>
      <c r="AL145" s="61"/>
      <c r="AM145" s="74"/>
      <c r="AN145" s="61"/>
      <c r="AO145" s="74"/>
      <c r="AP145" s="61"/>
      <c r="AQ145" s="74">
        <f>2.8+50</f>
        <v>52.8</v>
      </c>
      <c r="AR145" s="61" t="str">
        <f t="shared" ref="AR145:AR150" si="999">IF(ISERROR((AQ145/AI145-1)*100),"NA",IF(((AQ145/AI145-1)*100)&gt;100,"NM",IF(((AQ145/AI145-1)*100)&lt;-50,"NM",(AQ145/AI145-1)*100)))</f>
        <v>NA</v>
      </c>
      <c r="AS145" s="74">
        <f>2.2+51.1</f>
        <v>53.300000000000004</v>
      </c>
      <c r="AT145" s="61" t="str">
        <f t="shared" ref="AT145:AT150" si="1000">IF(ISERROR((AS145/AK145-1)*100),"NA",IF(((AS145/AK145-1)*100)&gt;100,"NM",IF(((AS145/AK145-1)*100)&lt;-50,"NM",(AS145/AK145-1)*100)))</f>
        <v>NA</v>
      </c>
      <c r="AU145" s="74">
        <f>2.8+53.9</f>
        <v>56.699999999999996</v>
      </c>
      <c r="AV145" s="61" t="str">
        <f t="shared" ref="AV145:AX150" si="1001">IF(ISERROR((AU145/AM145-1)*100),"NA",IF(((AU145/AM145-1)*100)&gt;100,"NM",IF(((AU145/AM145-1)*100)&lt;-50,"NM",(AU145/AM145-1)*100)))</f>
        <v>NA</v>
      </c>
      <c r="AW145" s="74">
        <f>2+53.6</f>
        <v>55.6</v>
      </c>
      <c r="AX145" s="61" t="str">
        <f t="shared" si="1001"/>
        <v>NA</v>
      </c>
      <c r="AY145" s="74">
        <f>2.3+55.6</f>
        <v>57.9</v>
      </c>
      <c r="AZ145" s="61">
        <f t="shared" ref="AZ145:AZ150" si="1002">IF(ISERROR((AY145/AQ145-1)*100),"NA",IF(((AY145/AQ145-1)*100)&gt;100,"NM",IF(((AY145/AQ145-1)*100)&lt;-50,"NM",(AY145/AQ145-1)*100)))</f>
        <v>9.6590909090909172</v>
      </c>
      <c r="BA145" s="74">
        <f>2.1+54.7</f>
        <v>56.800000000000004</v>
      </c>
      <c r="BB145" s="61">
        <f t="shared" ref="BB145:BB150" si="1003">IF(ISERROR((BA145/AS145-1)*100),"NA",IF(((BA145/AS145-1)*100)&gt;100,"NM",IF(((BA145/AS145-1)*100)&lt;-50,"NM",(BA145/AS145-1)*100)))</f>
        <v>6.5666041275797449</v>
      </c>
      <c r="BC145" s="74">
        <f>1.7+54</f>
        <v>55.7</v>
      </c>
      <c r="BD145" s="61">
        <f t="shared" ref="BD145:BD150" si="1004">IF(ISERROR((BC145/AU145-1)*100),"NA",IF(((BC145/AU145-1)*100)&gt;100,"NM",IF(((BC145/AU145-1)*100)&lt;-50,"NM",(BC145/AU145-1)*100)))</f>
        <v>-1.7636684303350858</v>
      </c>
      <c r="BE145" s="74">
        <f>1.5+58.4</f>
        <v>59.9</v>
      </c>
      <c r="BF145" s="61">
        <f t="shared" ref="BF145:BF150" si="1005">IF(ISERROR((BE145/AW145-1)*100),"NA",IF(((BE145/AW145-1)*100)&gt;100,"NM",IF(((BE145/AW145-1)*100)&lt;-50,"NM",(BE145/AW145-1)*100)))</f>
        <v>7.7338129496402841</v>
      </c>
      <c r="BG145" s="74">
        <f>2+59.8</f>
        <v>61.8</v>
      </c>
      <c r="BH145" s="61">
        <f t="shared" ref="BH145:CT150" si="1006">IF(ISERROR((BG145/AY145-1)*100),"NA",IF(((BG145/AY145-1)*100)&gt;100,"NM",IF(((BG145/AY145-1)*100)&lt;-50,"NM",(BG145/AY145-1)*100)))</f>
        <v>6.7357512953367893</v>
      </c>
      <c r="BI145" s="74">
        <f>2.2+63</f>
        <v>65.2</v>
      </c>
      <c r="BJ145" s="61">
        <f t="shared" si="1006"/>
        <v>14.7887323943662</v>
      </c>
      <c r="BK145" s="74">
        <f>1.8+63.5</f>
        <v>65.3</v>
      </c>
      <c r="BL145" s="61">
        <f t="shared" si="1006"/>
        <v>17.235188509874313</v>
      </c>
      <c r="BM145" s="74">
        <f>1.8+64.7</f>
        <v>66.5</v>
      </c>
      <c r="BN145" s="61">
        <f t="shared" si="1006"/>
        <v>11.018363939899833</v>
      </c>
      <c r="BO145" s="74">
        <f>1.9+59.3</f>
        <v>61.199999999999996</v>
      </c>
      <c r="BP145" s="61">
        <f t="shared" si="1006"/>
        <v>-0.97087378640776656</v>
      </c>
      <c r="BQ145" s="74">
        <f>1.5+59.3</f>
        <v>60.8</v>
      </c>
      <c r="BR145" s="61">
        <f t="shared" si="1006"/>
        <v>-6.7484662576687171</v>
      </c>
      <c r="BS145" s="74">
        <f>1.3+54.6</f>
        <v>55.9</v>
      </c>
      <c r="BT145" s="61">
        <f t="shared" si="1006"/>
        <v>-14.395099540581924</v>
      </c>
      <c r="BU145" s="74">
        <f>1.5+42.7</f>
        <v>44.2</v>
      </c>
      <c r="BV145" s="61">
        <f t="shared" si="1006"/>
        <v>-33.533834586466163</v>
      </c>
      <c r="BW145" s="74">
        <f>1+39.6</f>
        <v>40.6</v>
      </c>
      <c r="BX145" s="61">
        <f t="shared" si="1006"/>
        <v>-33.660130718954242</v>
      </c>
      <c r="BY145" s="74">
        <f>1.3+43.4</f>
        <v>44.699999999999996</v>
      </c>
      <c r="BZ145" s="61">
        <f t="shared" si="1006"/>
        <v>-26.480263157894747</v>
      </c>
      <c r="CA145" s="74">
        <f>1.3+46.5</f>
        <v>47.8</v>
      </c>
      <c r="CB145" s="61">
        <f t="shared" si="1006"/>
        <v>-14.490161001788914</v>
      </c>
      <c r="CC145" s="74">
        <f>0.9+48.8</f>
        <v>49.699999999999996</v>
      </c>
      <c r="CD145" s="61">
        <f t="shared" si="1006"/>
        <v>12.443438914027126</v>
      </c>
      <c r="CE145" s="74">
        <f>1.1+49.1</f>
        <v>50.2</v>
      </c>
      <c r="CF145" s="61">
        <f t="shared" si="1006"/>
        <v>23.645320197044327</v>
      </c>
      <c r="CG145" s="74">
        <f>0.7+48.7</f>
        <v>49.400000000000006</v>
      </c>
      <c r="CH145" s="61">
        <f t="shared" si="1006"/>
        <v>10.514541387024634</v>
      </c>
      <c r="CI145" s="74">
        <f>47.4+0.7</f>
        <v>48.1</v>
      </c>
      <c r="CJ145" s="61">
        <f t="shared" si="1006"/>
        <v>0.62761506276152179</v>
      </c>
      <c r="CK145" s="74">
        <f>52.3+0.7</f>
        <v>53</v>
      </c>
      <c r="CL145" s="61">
        <f t="shared" si="1006"/>
        <v>6.6398390342052416</v>
      </c>
      <c r="CM145" s="74">
        <v>55</v>
      </c>
      <c r="CN145" s="61">
        <f t="shared" si="1006"/>
        <v>9.5617529880478003</v>
      </c>
      <c r="CO145" s="74">
        <f>54.7+0.7</f>
        <v>55.400000000000006</v>
      </c>
      <c r="CP145" s="61">
        <f t="shared" si="1006"/>
        <v>12.145748987854255</v>
      </c>
      <c r="CQ145" s="74">
        <f>50.5+0.5</f>
        <v>51</v>
      </c>
      <c r="CR145" s="61">
        <f t="shared" si="1006"/>
        <v>6.0291060291060239</v>
      </c>
      <c r="CS145" s="74">
        <v>49</v>
      </c>
      <c r="CT145" s="61">
        <f t="shared" si="1006"/>
        <v>-7.547169811320753</v>
      </c>
      <c r="CU145" s="74">
        <v>52</v>
      </c>
      <c r="CV145" s="61">
        <f t="shared" ref="CV145:CV150" si="1007">IF(ISERROR((CU145/CM145-1)*100),"NA",IF(((CU145/CM145-1)*100)&gt;100,"NM",IF(((CU145/CM145-1)*100)&lt;-50,"NM",(CU145/CM145-1)*100)))</f>
        <v>-5.4545454545454568</v>
      </c>
      <c r="CW145" s="74">
        <v>53</v>
      </c>
      <c r="CX145" s="61">
        <f t="shared" ref="CX145:CX150" si="1008">IF(ISERROR((CW145/CO145-1)*100),"NA",IF(((CW145/CO145-1)*100)&gt;100,"NM",IF(((CW145/CO145-1)*100)&lt;-50,"NM",(CW145/CO145-1)*100)))</f>
        <v>-4.3321299638989235</v>
      </c>
      <c r="CY145" s="74">
        <v>53</v>
      </c>
      <c r="CZ145" s="61">
        <f t="shared" ref="CZ145:CZ150" si="1009">IF(ISERROR((CY145/CQ145-1)*100),"NA",IF(((CY145/CQ145-1)*100)&gt;100,"NM",IF(((CY145/CQ145-1)*100)&lt;-50,"NM",(CY145/CQ145-1)*100)))</f>
        <v>3.9215686274509887</v>
      </c>
      <c r="DA145" s="74">
        <v>54</v>
      </c>
      <c r="DB145" s="61">
        <f t="shared" ref="DB145:DB150" si="1010">IF(ISERROR((DA145/CS145-1)*100),"NA",IF(((DA145/CS145-1)*100)&gt;100,"NM",IF(((DA145/CS145-1)*100)&lt;-50,"NM",(DA145/CS145-1)*100)))</f>
        <v>10.20408163265305</v>
      </c>
      <c r="DC145" s="74">
        <v>56</v>
      </c>
      <c r="DD145" s="61">
        <f t="shared" ref="DD145:DD150" si="1011">IF(ISERROR((DC145/CU145-1)*100),"NA",IF(((DC145/CU145-1)*100)&gt;100,"NM",IF(((DC145/CU145-1)*100)&lt;-50,"NM",(DC145/CU145-1)*100)))</f>
        <v>7.6923076923076872</v>
      </c>
      <c r="DE145" s="74">
        <v>58</v>
      </c>
      <c r="DF145" s="61">
        <f t="shared" ref="DF145:DF150" si="1012">IF(ISERROR((DE145/CW145-1)*100),"NA",IF(((DE145/CW145-1)*100)&gt;100,"NM",IF(((DE145/CW145-1)*100)&lt;-50,"NM",(DE145/CW145-1)*100)))</f>
        <v>9.4339622641509422</v>
      </c>
      <c r="DG145" s="74">
        <v>59</v>
      </c>
      <c r="DH145" s="61">
        <f t="shared" ref="DH145:DH150" si="1013">IF(ISERROR((DG145/CY145-1)*100),"NA",IF(((DG145/CY145-1)*100)&gt;100,"NM",IF(((DG145/CY145-1)*100)&lt;-50,"NM",(DG145/CY145-1)*100)))</f>
        <v>11.32075471698113</v>
      </c>
      <c r="DI145" s="74">
        <v>60</v>
      </c>
      <c r="DJ145" s="61">
        <f t="shared" ref="DJ145:DJ150" si="1014">IF(ISERROR((DI145/DA145-1)*100),"NA",IF(((DI145/DA145-1)*100)&gt;100,"NM",IF(((DI145/DA145-1)*100)&lt;-50,"NM",(DI145/DA145-1)*100)))</f>
        <v>11.111111111111116</v>
      </c>
      <c r="DK145" s="74">
        <v>61</v>
      </c>
      <c r="DL145" s="61">
        <f t="shared" ref="DL145:DL150" si="1015">IF(ISERROR((DK145/DC145-1)*100),"NA",IF(((DK145/DC145-1)*100)&gt;100,"NM",IF(((DK145/DC145-1)*100)&lt;-50,"NM",(DK145/DC145-1)*100)))</f>
        <v>8.9285714285714199</v>
      </c>
      <c r="DM145" s="74">
        <v>62</v>
      </c>
      <c r="DN145" s="130">
        <f t="shared" ref="DN145:DZ150" si="1016">IF(ISERROR((DM145/DE145-1)*100),"NA",IF(((DM145/DE145-1)*100)&gt;100,"NM",IF(((DM145/DE145-1)*100)&lt;-50,"NM",(DM145/DE145-1)*100)))</f>
        <v>6.8965517241379226</v>
      </c>
      <c r="DO145" s="74">
        <v>62</v>
      </c>
      <c r="DP145" s="130">
        <f t="shared" si="1016"/>
        <v>5.0847457627118731</v>
      </c>
      <c r="DQ145" s="74">
        <v>62</v>
      </c>
      <c r="DR145" s="130">
        <f t="shared" si="1016"/>
        <v>3.3333333333333437</v>
      </c>
      <c r="DS145" s="74">
        <v>62</v>
      </c>
      <c r="DT145" s="130">
        <f t="shared" si="1016"/>
        <v>1.6393442622950838</v>
      </c>
      <c r="DU145" s="74">
        <v>61</v>
      </c>
      <c r="DV145" s="130">
        <f t="shared" si="1016"/>
        <v>-1.6129032258064502</v>
      </c>
      <c r="DW145" s="74">
        <v>60</v>
      </c>
      <c r="DX145" s="74">
        <v>60</v>
      </c>
      <c r="DY145" s="74">
        <v>61</v>
      </c>
      <c r="DZ145" s="130">
        <f t="shared" si="1016"/>
        <v>-1.6129032258064502</v>
      </c>
      <c r="EA145" s="74">
        <v>55</v>
      </c>
      <c r="EB145" s="130">
        <f t="shared" ref="EB145:EB150" si="1017">IF(ISERROR((EA145/DS145-1)*100),"NA",IF(((EA145/DS145-1)*100)&gt;100,"NM",IF(((EA145/DS145-1)*100)&lt;-50,"NM",(EA145/DS145-1)*100)))</f>
        <v>-11.290322580645162</v>
      </c>
      <c r="EC145" s="74">
        <v>57</v>
      </c>
      <c r="ED145" s="130">
        <f t="shared" ref="ED145:ED150" si="1018">IF(ISERROR((EC145/DU145-1)*100),"NA",IF(((EC145/DU145-1)*100)&gt;100,"NM",IF(((EC145/DU145-1)*100)&lt;-50,"NM",(EC145/DU145-1)*100)))</f>
        <v>-6.5573770491803245</v>
      </c>
      <c r="EE145" s="74">
        <v>58</v>
      </c>
      <c r="EF145" s="130">
        <f t="shared" ref="EF145:EF150" si="1019">IF(ISERROR((EE145/DW145-1)*100),"NA",IF(((EE145/DW145-1)*100)&gt;100,"NM",IF(((EE145/DW145-1)*100)&lt;-50,"NM",(EE145/DW145-1)*100)))</f>
        <v>-3.3333333333333326</v>
      </c>
      <c r="EG145" s="74">
        <v>58</v>
      </c>
      <c r="EH145" s="130">
        <f t="shared" ref="EH145:EH150" si="1020">IF(ISERROR((EG145/DY145-1)*100),"NA",IF(((EG145/DY145-1)*100)&gt;100,"NM",IF(((EG145/DY145-1)*100)&lt;-50,"NM",(EG145/DY145-1)*100)))</f>
        <v>-4.9180327868852514</v>
      </c>
      <c r="EI145" s="74">
        <v>59</v>
      </c>
      <c r="EJ145" s="130">
        <f t="shared" ref="EJ145:EJ150" si="1021">IF(ISERROR((EI145/EA145-1)*100),"NA",IF(((EI145/EA145-1)*100)&gt;100,"NM",IF(((EI145/EA145-1)*100)&lt;-50,"NM",(EI145/EA145-1)*100)))</f>
        <v>7.2727272727272751</v>
      </c>
      <c r="EK145" s="74">
        <v>62</v>
      </c>
      <c r="EL145" s="130">
        <f t="shared" ref="EL145:EL150" si="1022">IF(ISERROR((EK145/EC145-1)*100),"NA",IF(((EK145/EC145-1)*100)&gt;100,"NM",IF(((EK145/EC145-1)*100)&lt;-50,"NM",(EK145/EC145-1)*100)))</f>
        <v>8.7719298245614077</v>
      </c>
      <c r="EM145" s="74">
        <v>63</v>
      </c>
      <c r="EN145" s="130">
        <f t="shared" ref="EN145:EN150" si="1023">IF(ISERROR((EM145/EE145-1)*100),"NA",IF(((EM145/EE145-1)*100)&gt;100,"NM",IF(((EM145/EE145-1)*100)&lt;-50,"NM",(EM145/EE145-1)*100)))</f>
        <v>8.6206896551724199</v>
      </c>
      <c r="EO145" s="74">
        <v>64</v>
      </c>
      <c r="EP145" s="130">
        <f t="shared" ref="EP145:EP150" si="1024">IF(ISERROR((EO145/EG145-1)*100),"NA",IF(((EO145/EG145-1)*100)&gt;100,"NM",IF(((EO145/EG145-1)*100)&lt;-50,"NM",(EO145/EG145-1)*100)))</f>
        <v>10.344827586206895</v>
      </c>
      <c r="EQ145" s="91">
        <f t="shared" ref="EQ145:EW145" si="1025">EQ153*EQ135/400</f>
        <v>67.285260545177621</v>
      </c>
      <c r="ER145" s="130">
        <f t="shared" ref="ER145:ER150" si="1026">IF(ISERROR((EQ145/EI145-1)*100),"NA",IF(((EQ145/EI145-1)*100)&gt;100,"NM",IF(((EQ145/EI145-1)*100)&lt;-50,"NM",(EQ145/EI145-1)*100)))</f>
        <v>14.042814483351895</v>
      </c>
      <c r="ES145" s="91">
        <f t="shared" si="1025"/>
        <v>67.888874981797301</v>
      </c>
      <c r="ET145" s="130">
        <f t="shared" ref="ET145:ET150" si="1027">IF(ISERROR((ES145/EK145-1)*100),"NA",IF(((ES145/EK145-1)*100)&gt;100,"NM",IF(((ES145/EK145-1)*100)&lt;-50,"NM",(ES145/EK145-1)*100)))</f>
        <v>9.498185454511777</v>
      </c>
      <c r="EU145" s="91">
        <f t="shared" si="1025"/>
        <v>69.327605218311774</v>
      </c>
      <c r="EV145" s="130">
        <f t="shared" ref="EV145:EV150" si="1028">IF(ISERROR((EU145/EM145-1)*100),"NA",IF(((EU145/EM145-1)*100)&gt;100,"NM",IF(((EU145/EM145-1)*100)&lt;-50,"NM",(EU145/EM145-1)*100)))</f>
        <v>10.043817806844091</v>
      </c>
      <c r="EW145" s="91">
        <f t="shared" si="1025"/>
        <v>70.566996062590476</v>
      </c>
      <c r="EX145" s="130">
        <f t="shared" ref="EX145:EX150" si="1029">IF(ISERROR((EW145/EO145-1)*100),"NA",IF(((EW145/EO145-1)*100)&gt;100,"NM",IF(((EW145/EO145-1)*100)&lt;-50,"NM",(EW145/EO145-1)*100)))</f>
        <v>10.260931347797619</v>
      </c>
      <c r="EY145" s="64"/>
      <c r="EZ145" s="558"/>
      <c r="FA145" s="64"/>
      <c r="FB145" s="72"/>
      <c r="FC145" s="71"/>
      <c r="FD145" s="72"/>
      <c r="FE145" s="70"/>
      <c r="FF145" s="69"/>
      <c r="FG145" s="70"/>
      <c r="FH145" s="69"/>
      <c r="FI145" s="70"/>
      <c r="FJ145" s="69"/>
      <c r="FK145" s="70"/>
      <c r="FL145" s="69"/>
      <c r="FM145" s="61"/>
      <c r="FN145" s="778">
        <v>188</v>
      </c>
      <c r="FO145" s="61"/>
      <c r="FP145" s="75">
        <f>AQ145+AS145+AU145+AW145</f>
        <v>218.39999999999998</v>
      </c>
      <c r="FQ145" s="61">
        <f t="shared" ref="FQ145:FQ150" si="1030">IF(ISERROR((FP145/FN145-1)*100),"NA",IF(((FP145/FN145-1)*100)&gt;100,"NM",IF(((FP145/FN145-1)*100)&lt;-50,"NM",(FP145/FN145-1)*100)))</f>
        <v>16.170212765957427</v>
      </c>
      <c r="FR145" s="75">
        <f>AY145+BA145+BC145+BE145</f>
        <v>230.3</v>
      </c>
      <c r="FS145" s="61">
        <f t="shared" ref="FS145:FS150" si="1031">IF(ISERROR((FR145/FP145-1)*100),"NA",IF(((FR145/FP145-1)*100)&gt;100,"NM",IF(((FR145/FP145-1)*100)&lt;-50,"NM",(FR145/FP145-1)*100)))</f>
        <v>5.4487179487179738</v>
      </c>
      <c r="FT145" s="75">
        <f>BG145+BI145+BK145+BM145</f>
        <v>258.8</v>
      </c>
      <c r="FU145" s="61">
        <f t="shared" ref="FU145:FU150" si="1032">IF(ISERROR((FT145/FR145-1)*100),"NA",IF(((FT145/FR145-1)*100)&gt;100,"NM",IF(((FT145/FR145-1)*100)&lt;-50,"NM",(FT145/FR145-1)*100)))</f>
        <v>12.375162831089881</v>
      </c>
      <c r="FV145" s="75">
        <f>BO145+BQ145+BS145+BU145</f>
        <v>222.10000000000002</v>
      </c>
      <c r="FW145" s="61">
        <f t="shared" ref="FW145:FW150" si="1033">IF(ISERROR((FV145/FT145-1)*100),"NA",IF(((FV145/FT145-1)*100)&gt;100,"NM",IF(((FV145/FT145-1)*100)&lt;-50,"NM",(FV145/FT145-1)*100)))</f>
        <v>-14.180834621329208</v>
      </c>
      <c r="FX145" s="75">
        <f>BW145+BY145+CA145+CC145</f>
        <v>182.79999999999998</v>
      </c>
      <c r="FY145" s="61">
        <f t="shared" ref="FY145:FY150" si="1034">IF(ISERROR((FX145/FV145-1)*100),"NA",IF(((FX145/FV145-1)*100)&gt;100,"NM",IF(((FX145/FV145-1)*100)&lt;-50,"NM",(FX145/FV145-1)*100)))</f>
        <v>-17.694732102656474</v>
      </c>
      <c r="FZ145" s="75">
        <f>CE145+CG145+CI145+CK145</f>
        <v>200.70000000000002</v>
      </c>
      <c r="GA145" s="61">
        <f t="shared" ref="GA145:GA150" si="1035">IF(ISERROR((FZ145/FX145-1)*100),"NA",IF(((FZ145/FX145-1)*100)&gt;100,"NM",IF(((FZ145/FX145-1)*100)&lt;-50,"NM",(FZ145/FX145-1)*100)))</f>
        <v>9.7921225382932455</v>
      </c>
      <c r="GB145" s="75">
        <f>CM145+CO145+CQ145+CS145</f>
        <v>210.4</v>
      </c>
      <c r="GC145" s="61">
        <f t="shared" ref="GC145:GC150" si="1036">IF(ISERROR((GB145/FZ145-1)*100),"NA",IF(((GB145/FZ145-1)*100)&gt;100,"NM",IF(((GB145/FZ145-1)*100)&lt;-50,"NM",(GB145/FZ145-1)*100)))</f>
        <v>4.8330842052815015</v>
      </c>
      <c r="GD145" s="75">
        <f>CU145+CW145+CY145+DA145</f>
        <v>212</v>
      </c>
      <c r="GE145" s="61">
        <f t="shared" ref="GE145:GE150" si="1037">IF(ISERROR((GD145/GB145-1)*100),"NA",IF(((GD145/GB145-1)*100)&gt;100,"NM",IF(((GD145/GB145-1)*100)&lt;-50,"NM",(GD145/GB145-1)*100)))</f>
        <v>0.76045627376426506</v>
      </c>
      <c r="GF145" s="75">
        <f>DC145+DE145+DG145+DI145</f>
        <v>233</v>
      </c>
      <c r="GG145" s="61">
        <f t="shared" ref="GG145:GW150" si="1038">IF(ISERROR((GF145/GD145-1)*100),"NA",IF(((GF145/GD145-1)*100)&gt;100,"NM",IF(((GF145/GD145-1)*100)&lt;-50,"NM",(GF145/GD145-1)*100)))</f>
        <v>9.9056603773584939</v>
      </c>
      <c r="GH145" s="75">
        <f>DK145+DM145+DO145+DQ145</f>
        <v>247</v>
      </c>
      <c r="GI145" s="61">
        <f t="shared" si="1038"/>
        <v>6.0085836909871349</v>
      </c>
      <c r="GJ145" s="75">
        <f>DS145+DU145+DW145+DY145</f>
        <v>244</v>
      </c>
      <c r="GK145" s="61">
        <f t="shared" si="1038"/>
        <v>-1.2145748987854255</v>
      </c>
      <c r="GL145" s="75">
        <f>EA145+EC145+EE145+EG145</f>
        <v>228</v>
      </c>
      <c r="GM145" s="61">
        <f t="shared" si="1038"/>
        <v>-6.5573770491803245</v>
      </c>
      <c r="GN145" s="75">
        <f>EI145+EK145+EM145+EO145</f>
        <v>248</v>
      </c>
      <c r="GO145" s="61">
        <f t="shared" si="1038"/>
        <v>8.7719298245614077</v>
      </c>
      <c r="GP145" s="75">
        <f>EQ145+ES145+EU145+EW145</f>
        <v>275.06873680787714</v>
      </c>
      <c r="GQ145" s="61">
        <f t="shared" si="1038"/>
        <v>10.914813228982712</v>
      </c>
      <c r="GR145" s="91">
        <f>GR153*GR135/100</f>
        <v>286.53990677708038</v>
      </c>
      <c r="GS145" s="61">
        <f t="shared" si="1038"/>
        <v>4.1702921612699617</v>
      </c>
      <c r="GT145" s="91">
        <f>GT153*GT135/100</f>
        <v>295.39600489994604</v>
      </c>
      <c r="GU145" s="61">
        <f t="shared" si="1038"/>
        <v>3.0907032191350048</v>
      </c>
      <c r="GV145" s="91">
        <f>GV153*GV135/100</f>
        <v>305.36290510349136</v>
      </c>
      <c r="GW145" s="61">
        <f t="shared" si="1038"/>
        <v>3.3740809077364542</v>
      </c>
      <c r="GX145" s="91">
        <f>GX153*GX135/100</f>
        <v>316.41458496049233</v>
      </c>
      <c r="GY145" s="61">
        <f t="shared" ref="GY145:GY150" si="1039">IF(ISERROR((GX145/GV145-1)*100),"NA",IF(((GX145/GV145-1)*100)&gt;100,"NM",IF(((GX145/GV145-1)*100)&lt;-50,"NM",(GX145/GV145-1)*100)))</f>
        <v>3.6191952828243501</v>
      </c>
      <c r="GZ145" s="61">
        <f t="shared" si="998"/>
        <v>4.9931492760464602</v>
      </c>
      <c r="HA145" s="61"/>
      <c r="HB145" s="452"/>
      <c r="HC145"/>
      <c r="HD145"/>
      <c r="HE145"/>
      <c r="HF145"/>
      <c r="HG145"/>
      <c r="HH145"/>
    </row>
    <row r="146" spans="1:216" s="5" customFormat="1" ht="12.75" customHeight="1" x14ac:dyDescent="0.2">
      <c r="B146" s="2" t="s">
        <v>498</v>
      </c>
      <c r="C146" s="72"/>
      <c r="D146" s="70"/>
      <c r="E146" s="72"/>
      <c r="F146" s="71"/>
      <c r="G146" s="72"/>
      <c r="H146" s="71"/>
      <c r="I146" s="72"/>
      <c r="J146" s="61"/>
      <c r="K146" s="72"/>
      <c r="L146" s="61"/>
      <c r="M146" s="72"/>
      <c r="N146" s="61"/>
      <c r="O146" s="72"/>
      <c r="P146" s="61"/>
      <c r="Q146" s="72"/>
      <c r="R146" s="61"/>
      <c r="S146" s="72"/>
      <c r="T146" s="61"/>
      <c r="U146" s="72"/>
      <c r="V146" s="61"/>
      <c r="W146" s="72"/>
      <c r="X146" s="61"/>
      <c r="Y146" s="72"/>
      <c r="Z146" s="61"/>
      <c r="AA146" s="72"/>
      <c r="AB146" s="61"/>
      <c r="AC146" s="72"/>
      <c r="AD146" s="61"/>
      <c r="AE146" s="72"/>
      <c r="AF146" s="61"/>
      <c r="AG146" s="72"/>
      <c r="AH146" s="61"/>
      <c r="AI146" s="72"/>
      <c r="AJ146" s="61"/>
      <c r="AK146" s="72"/>
      <c r="AL146" s="61"/>
      <c r="AM146" s="72"/>
      <c r="AN146" s="61"/>
      <c r="AO146" s="72"/>
      <c r="AP146" s="61"/>
      <c r="AQ146" s="72">
        <v>176.1</v>
      </c>
      <c r="AR146" s="61" t="str">
        <f t="shared" si="999"/>
        <v>NA</v>
      </c>
      <c r="AS146" s="72">
        <v>176.7</v>
      </c>
      <c r="AT146" s="61" t="str">
        <f t="shared" si="1000"/>
        <v>NA</v>
      </c>
      <c r="AU146" s="72">
        <v>177.5</v>
      </c>
      <c r="AV146" s="61" t="str">
        <f t="shared" si="1001"/>
        <v>NA</v>
      </c>
      <c r="AW146" s="72">
        <v>181.3</v>
      </c>
      <c r="AX146" s="61" t="str">
        <f t="shared" si="1001"/>
        <v>NA</v>
      </c>
      <c r="AY146" s="72">
        <v>185.7</v>
      </c>
      <c r="AZ146" s="61">
        <f t="shared" si="1002"/>
        <v>5.4514480408858645</v>
      </c>
      <c r="BA146" s="72">
        <v>187.5</v>
      </c>
      <c r="BB146" s="61">
        <f t="shared" si="1003"/>
        <v>6.1120543293718299</v>
      </c>
      <c r="BC146" s="72">
        <v>184.6</v>
      </c>
      <c r="BD146" s="61">
        <f t="shared" si="1004"/>
        <v>4.0000000000000036</v>
      </c>
      <c r="BE146" s="72">
        <v>180.6</v>
      </c>
      <c r="BF146" s="61">
        <f t="shared" si="1005"/>
        <v>-0.38610038610039643</v>
      </c>
      <c r="BG146" s="72">
        <v>180.3</v>
      </c>
      <c r="BH146" s="61">
        <f t="shared" si="1006"/>
        <v>-2.9079159935379573</v>
      </c>
      <c r="BI146" s="72">
        <v>182.2</v>
      </c>
      <c r="BJ146" s="61">
        <f t="shared" si="1006"/>
        <v>-2.8266666666666773</v>
      </c>
      <c r="BK146" s="72">
        <v>172.9</v>
      </c>
      <c r="BL146" s="61">
        <f t="shared" si="1006"/>
        <v>-6.3380281690140761</v>
      </c>
      <c r="BM146" s="72">
        <v>173.3</v>
      </c>
      <c r="BN146" s="61">
        <f t="shared" si="1006"/>
        <v>-4.0420819490586846</v>
      </c>
      <c r="BO146" s="72">
        <v>171.7</v>
      </c>
      <c r="BP146" s="61">
        <f t="shared" si="1006"/>
        <v>-4.7698280643372222</v>
      </c>
      <c r="BQ146" s="72">
        <v>174.8</v>
      </c>
      <c r="BR146" s="61">
        <f t="shared" si="1006"/>
        <v>-4.0614709110867064</v>
      </c>
      <c r="BS146" s="72">
        <v>180.9</v>
      </c>
      <c r="BT146" s="61">
        <f t="shared" si="1006"/>
        <v>4.6269519953730409</v>
      </c>
      <c r="BU146" s="72">
        <v>167.6</v>
      </c>
      <c r="BV146" s="61">
        <f t="shared" si="1006"/>
        <v>-3.2890940565493465</v>
      </c>
      <c r="BW146" s="72">
        <v>175.5</v>
      </c>
      <c r="BX146" s="61">
        <f t="shared" si="1006"/>
        <v>2.2131624927198779</v>
      </c>
      <c r="BY146" s="72">
        <v>175.6</v>
      </c>
      <c r="BZ146" s="61">
        <f t="shared" si="1006"/>
        <v>0.45766590389015871</v>
      </c>
      <c r="CA146" s="72">
        <v>189.8</v>
      </c>
      <c r="CB146" s="61">
        <f t="shared" si="1006"/>
        <v>4.919845218352692</v>
      </c>
      <c r="CC146" s="72">
        <v>190.6</v>
      </c>
      <c r="CD146" s="61">
        <f t="shared" si="1006"/>
        <v>13.723150357995229</v>
      </c>
      <c r="CE146" s="72">
        <v>186.2</v>
      </c>
      <c r="CF146" s="61">
        <f t="shared" si="1006"/>
        <v>6.0968660968660826</v>
      </c>
      <c r="CG146" s="72">
        <v>191.2</v>
      </c>
      <c r="CH146" s="61">
        <f t="shared" si="1006"/>
        <v>8.8838268792710728</v>
      </c>
      <c r="CI146" s="72">
        <v>191.9</v>
      </c>
      <c r="CJ146" s="61">
        <f t="shared" si="1006"/>
        <v>1.1064278187565835</v>
      </c>
      <c r="CK146" s="72">
        <v>199.9</v>
      </c>
      <c r="CL146" s="61">
        <f t="shared" si="1006"/>
        <v>4.8793284365162615</v>
      </c>
      <c r="CM146" s="72">
        <v>205</v>
      </c>
      <c r="CN146" s="61">
        <f t="shared" si="1006"/>
        <v>10.096670247046191</v>
      </c>
      <c r="CO146" s="72">
        <v>199.9</v>
      </c>
      <c r="CP146" s="61">
        <f t="shared" si="1006"/>
        <v>4.5502092050209386</v>
      </c>
      <c r="CQ146" s="72">
        <v>193.3</v>
      </c>
      <c r="CR146" s="61">
        <f t="shared" si="1006"/>
        <v>0.72954663887441207</v>
      </c>
      <c r="CS146" s="72">
        <v>194</v>
      </c>
      <c r="CT146" s="61">
        <f t="shared" si="1006"/>
        <v>-2.951475737868936</v>
      </c>
      <c r="CU146" s="72">
        <v>197</v>
      </c>
      <c r="CV146" s="61">
        <f t="shared" si="1007"/>
        <v>-3.9024390243902474</v>
      </c>
      <c r="CW146" s="72">
        <v>202</v>
      </c>
      <c r="CX146" s="61">
        <f t="shared" si="1008"/>
        <v>1.0505252626313188</v>
      </c>
      <c r="CY146" s="72">
        <v>199</v>
      </c>
      <c r="CZ146" s="61">
        <f t="shared" si="1009"/>
        <v>2.9487842731505287</v>
      </c>
      <c r="DA146" s="72">
        <v>201</v>
      </c>
      <c r="DB146" s="61">
        <f t="shared" si="1010"/>
        <v>3.6082474226804218</v>
      </c>
      <c r="DC146" s="72">
        <v>202</v>
      </c>
      <c r="DD146" s="61">
        <f t="shared" si="1011"/>
        <v>2.5380710659898442</v>
      </c>
      <c r="DE146" s="72">
        <v>211</v>
      </c>
      <c r="DF146" s="61">
        <f t="shared" si="1012"/>
        <v>4.4554455445544594</v>
      </c>
      <c r="DG146" s="72">
        <v>207</v>
      </c>
      <c r="DH146" s="61">
        <f t="shared" si="1013"/>
        <v>4.020100502512558</v>
      </c>
      <c r="DI146" s="72">
        <v>208</v>
      </c>
      <c r="DJ146" s="61">
        <f t="shared" si="1014"/>
        <v>3.4825870646766122</v>
      </c>
      <c r="DK146" s="72">
        <v>207</v>
      </c>
      <c r="DL146" s="61">
        <f t="shared" si="1015"/>
        <v>2.4752475247524774</v>
      </c>
      <c r="DM146" s="72">
        <v>204</v>
      </c>
      <c r="DN146" s="130">
        <f t="shared" si="1016"/>
        <v>-3.3175355450236976</v>
      </c>
      <c r="DO146" s="72">
        <v>207</v>
      </c>
      <c r="DP146" s="130">
        <f t="shared" si="1016"/>
        <v>0</v>
      </c>
      <c r="DQ146" s="72">
        <v>213</v>
      </c>
      <c r="DR146" s="130">
        <f t="shared" si="1016"/>
        <v>2.4038461538461453</v>
      </c>
      <c r="DS146" s="72">
        <v>208</v>
      </c>
      <c r="DT146" s="130">
        <f t="shared" si="1016"/>
        <v>0.48309178743961567</v>
      </c>
      <c r="DU146" s="72">
        <v>206</v>
      </c>
      <c r="DV146" s="130">
        <f t="shared" si="1016"/>
        <v>0.98039215686274161</v>
      </c>
      <c r="DW146" s="72">
        <v>219</v>
      </c>
      <c r="DX146" s="72">
        <v>219</v>
      </c>
      <c r="DY146" s="72">
        <v>213</v>
      </c>
      <c r="DZ146" s="130">
        <f t="shared" si="1016"/>
        <v>0</v>
      </c>
      <c r="EA146" s="72">
        <v>207</v>
      </c>
      <c r="EB146" s="130">
        <f t="shared" si="1017"/>
        <v>-0.48076923076922906</v>
      </c>
      <c r="EC146" s="72">
        <v>209</v>
      </c>
      <c r="ED146" s="130">
        <f t="shared" si="1018"/>
        <v>1.4563106796116498</v>
      </c>
      <c r="EE146" s="72">
        <v>220</v>
      </c>
      <c r="EF146" s="130">
        <f t="shared" si="1019"/>
        <v>0.45662100456620447</v>
      </c>
      <c r="EG146" s="72">
        <v>222</v>
      </c>
      <c r="EH146" s="130">
        <f t="shared" si="1020"/>
        <v>4.2253521126760507</v>
      </c>
      <c r="EI146" s="72">
        <v>218</v>
      </c>
      <c r="EJ146" s="130">
        <f t="shared" si="1021"/>
        <v>5.3140096618357502</v>
      </c>
      <c r="EK146" s="72">
        <v>224</v>
      </c>
      <c r="EL146" s="130">
        <f t="shared" si="1022"/>
        <v>7.1770334928229707</v>
      </c>
      <c r="EM146" s="72">
        <v>223</v>
      </c>
      <c r="EN146" s="130">
        <f t="shared" si="1023"/>
        <v>1.3636363636363669</v>
      </c>
      <c r="EO146" s="72">
        <v>233</v>
      </c>
      <c r="EP146" s="130">
        <f t="shared" si="1024"/>
        <v>4.9549549549549488</v>
      </c>
      <c r="EQ146" s="73">
        <f t="shared" ref="EQ146:EW146" si="1040">EQ154*EQ135/400</f>
        <v>235.49945530351431</v>
      </c>
      <c r="ER146" s="130">
        <f t="shared" si="1026"/>
        <v>8.0272730750065691</v>
      </c>
      <c r="ES146" s="73">
        <f t="shared" si="1040"/>
        <v>235.91489331741298</v>
      </c>
      <c r="ET146" s="130">
        <f t="shared" si="1027"/>
        <v>5.3191488024165068</v>
      </c>
      <c r="EU146" s="73">
        <f t="shared" si="1040"/>
        <v>239.18131306929382</v>
      </c>
      <c r="EV146" s="130">
        <f t="shared" si="1028"/>
        <v>7.2561942014770509</v>
      </c>
      <c r="EW146" s="73">
        <f t="shared" si="1040"/>
        <v>241.69305579977706</v>
      </c>
      <c r="EX146" s="130">
        <f t="shared" si="1029"/>
        <v>3.7309252359558176</v>
      </c>
      <c r="EY146" s="64"/>
      <c r="EZ146" s="558"/>
      <c r="FA146" s="64"/>
      <c r="FB146" s="72"/>
      <c r="FC146" s="71"/>
      <c r="FD146" s="72"/>
      <c r="FE146" s="70"/>
      <c r="FF146" s="69"/>
      <c r="FG146" s="70"/>
      <c r="FH146" s="69"/>
      <c r="FI146" s="70"/>
      <c r="FJ146" s="69"/>
      <c r="FK146" s="70"/>
      <c r="FL146" s="69"/>
      <c r="FM146" s="61"/>
      <c r="FN146" s="778">
        <v>714</v>
      </c>
      <c r="FO146" s="61"/>
      <c r="FP146" s="73">
        <f>AQ146+AS146+AU146+AW146</f>
        <v>711.59999999999991</v>
      </c>
      <c r="FQ146" s="61">
        <f t="shared" si="1030"/>
        <v>-0.33613445378152251</v>
      </c>
      <c r="FR146" s="73">
        <f>AY146+BA146+BC146+BE146</f>
        <v>738.4</v>
      </c>
      <c r="FS146" s="61">
        <f t="shared" si="1031"/>
        <v>3.7661607644744244</v>
      </c>
      <c r="FT146" s="73">
        <f>BG146+BI146+BK146+BM146</f>
        <v>708.7</v>
      </c>
      <c r="FU146" s="61">
        <f t="shared" si="1032"/>
        <v>-4.0222101841820068</v>
      </c>
      <c r="FV146" s="73">
        <f>BO146+BQ146+BS146+BU146</f>
        <v>695</v>
      </c>
      <c r="FW146" s="61">
        <f t="shared" si="1033"/>
        <v>-1.9331169747424881</v>
      </c>
      <c r="FX146" s="75">
        <f>BW146+BY146+CA146+CC146</f>
        <v>731.50000000000011</v>
      </c>
      <c r="FY146" s="61">
        <f t="shared" si="1034"/>
        <v>5.2517985611510998</v>
      </c>
      <c r="FZ146" s="75">
        <f>CE146+CG146+CI146+CK146</f>
        <v>769.19999999999993</v>
      </c>
      <c r="GA146" s="61">
        <f t="shared" si="1035"/>
        <v>5.1537935748461772</v>
      </c>
      <c r="GB146" s="75">
        <f>CM146+CO146+CQ146+CS146</f>
        <v>792.2</v>
      </c>
      <c r="GC146" s="61">
        <f t="shared" si="1036"/>
        <v>2.9901196047842138</v>
      </c>
      <c r="GD146" s="75">
        <f>CU146+CW146+CY146+DA146</f>
        <v>799</v>
      </c>
      <c r="GE146" s="61">
        <f t="shared" si="1037"/>
        <v>0.85836909871244149</v>
      </c>
      <c r="GF146" s="75">
        <f>DC146+DE146+DG146+DI146</f>
        <v>828</v>
      </c>
      <c r="GG146" s="61">
        <f t="shared" si="1038"/>
        <v>3.6295369211514439</v>
      </c>
      <c r="GH146" s="75">
        <f>DK146+DM146+DO146+DQ146</f>
        <v>831</v>
      </c>
      <c r="GI146" s="61">
        <f t="shared" si="1038"/>
        <v>0.36231884057971175</v>
      </c>
      <c r="GJ146" s="75">
        <f>DS146+DU146+DW146+DY146</f>
        <v>846</v>
      </c>
      <c r="GK146" s="61">
        <f t="shared" si="1038"/>
        <v>1.8050541516245522</v>
      </c>
      <c r="GL146" s="75">
        <f>EA146+EC146+EE146+EG146</f>
        <v>858</v>
      </c>
      <c r="GM146" s="61">
        <f t="shared" si="1038"/>
        <v>1.4184397163120588</v>
      </c>
      <c r="GN146" s="75">
        <f>EI146+EK146+EM146+EO146</f>
        <v>898</v>
      </c>
      <c r="GO146" s="61">
        <f t="shared" si="1038"/>
        <v>4.6620046620046596</v>
      </c>
      <c r="GP146" s="75">
        <f>EQ146+ES146+EU146+EW146</f>
        <v>952.28871748999813</v>
      </c>
      <c r="GQ146" s="61">
        <f t="shared" si="1038"/>
        <v>6.0455141971044624</v>
      </c>
      <c r="GR146" s="73">
        <f>GR154*GR135/100</f>
        <v>984.7921044169633</v>
      </c>
      <c r="GS146" s="61">
        <f t="shared" si="1038"/>
        <v>3.4131861829294952</v>
      </c>
      <c r="GT146" s="73">
        <f>GT154*GT135/100</f>
        <v>1015.2291056899655</v>
      </c>
      <c r="GU146" s="61">
        <f t="shared" si="1038"/>
        <v>3.0907032191349826</v>
      </c>
      <c r="GV146" s="73">
        <f>GV154*GV135/100</f>
        <v>1049.4837571148344</v>
      </c>
      <c r="GW146" s="61">
        <f t="shared" si="1038"/>
        <v>3.3740809077364764</v>
      </c>
      <c r="GX146" s="73">
        <f>GX154*GX135/100</f>
        <v>1087.4666237463423</v>
      </c>
      <c r="GY146" s="61">
        <f t="shared" si="1039"/>
        <v>3.6191952828243501</v>
      </c>
      <c r="GZ146" s="61">
        <f t="shared" si="998"/>
        <v>3.9029600034690803</v>
      </c>
      <c r="HA146" s="61"/>
      <c r="HB146" s="452"/>
      <c r="HC146"/>
      <c r="HD146"/>
      <c r="HE146"/>
      <c r="HF146"/>
      <c r="HG146"/>
      <c r="HH146"/>
    </row>
    <row r="147" spans="1:216" s="5" customFormat="1" ht="12.75" customHeight="1" x14ac:dyDescent="0.2">
      <c r="B147" s="2" t="s">
        <v>162</v>
      </c>
      <c r="C147" s="72"/>
      <c r="D147" s="70"/>
      <c r="E147" s="72"/>
      <c r="F147" s="71"/>
      <c r="G147" s="72"/>
      <c r="H147" s="71"/>
      <c r="I147" s="72"/>
      <c r="J147" s="61"/>
      <c r="K147" s="72"/>
      <c r="L147" s="61"/>
      <c r="M147" s="72"/>
      <c r="N147" s="61"/>
      <c r="O147" s="72"/>
      <c r="P147" s="61"/>
      <c r="Q147" s="72"/>
      <c r="R147" s="61"/>
      <c r="S147" s="72"/>
      <c r="T147" s="61"/>
      <c r="U147" s="72"/>
      <c r="V147" s="61"/>
      <c r="W147" s="72"/>
      <c r="X147" s="61"/>
      <c r="Y147" s="72"/>
      <c r="Z147" s="61"/>
      <c r="AA147" s="72"/>
      <c r="AB147" s="61"/>
      <c r="AC147" s="72"/>
      <c r="AD147" s="61"/>
      <c r="AE147" s="72"/>
      <c r="AF147" s="61"/>
      <c r="AG147" s="72"/>
      <c r="AH147" s="61"/>
      <c r="AI147" s="72"/>
      <c r="AJ147" s="61"/>
      <c r="AK147" s="72"/>
      <c r="AL147" s="61"/>
      <c r="AM147" s="72"/>
      <c r="AN147" s="61"/>
      <c r="AO147" s="72"/>
      <c r="AP147" s="61"/>
      <c r="AQ147" s="72">
        <v>99.6</v>
      </c>
      <c r="AR147" s="61" t="str">
        <f t="shared" si="999"/>
        <v>NA</v>
      </c>
      <c r="AS147" s="72">
        <v>100.4</v>
      </c>
      <c r="AT147" s="61" t="str">
        <f t="shared" si="1000"/>
        <v>NA</v>
      </c>
      <c r="AU147" s="72">
        <v>100.7</v>
      </c>
      <c r="AV147" s="61" t="str">
        <f t="shared" si="1001"/>
        <v>NA</v>
      </c>
      <c r="AW147" s="72">
        <v>101.1</v>
      </c>
      <c r="AX147" s="61" t="str">
        <f t="shared" si="1001"/>
        <v>NA</v>
      </c>
      <c r="AY147" s="72">
        <v>100.7</v>
      </c>
      <c r="AZ147" s="61">
        <f t="shared" si="1002"/>
        <v>1.1044176706827447</v>
      </c>
      <c r="BA147" s="72">
        <v>102.4</v>
      </c>
      <c r="BB147" s="61">
        <f t="shared" si="1003"/>
        <v>1.9920318725099584</v>
      </c>
      <c r="BC147" s="72">
        <v>103.1</v>
      </c>
      <c r="BD147" s="61">
        <f t="shared" si="1004"/>
        <v>2.3833167825223267</v>
      </c>
      <c r="BE147" s="72">
        <v>104.4</v>
      </c>
      <c r="BF147" s="61">
        <f t="shared" si="1005"/>
        <v>3.264094955489627</v>
      </c>
      <c r="BG147" s="72">
        <v>104.3</v>
      </c>
      <c r="BH147" s="61">
        <f t="shared" si="1006"/>
        <v>3.5749751737835123</v>
      </c>
      <c r="BI147" s="72">
        <v>104.6</v>
      </c>
      <c r="BJ147" s="61">
        <f t="shared" si="1006"/>
        <v>2.1484374999999778</v>
      </c>
      <c r="BK147" s="72">
        <v>104.6</v>
      </c>
      <c r="BL147" s="61">
        <f t="shared" si="1006"/>
        <v>1.4548981571290032</v>
      </c>
      <c r="BM147" s="72">
        <v>104.8</v>
      </c>
      <c r="BN147" s="61">
        <f t="shared" si="1006"/>
        <v>0.38314176245208831</v>
      </c>
      <c r="BO147" s="72">
        <v>105.9</v>
      </c>
      <c r="BP147" s="61">
        <f t="shared" si="1006"/>
        <v>1.5340364333652934</v>
      </c>
      <c r="BQ147" s="72">
        <v>107</v>
      </c>
      <c r="BR147" s="61">
        <f t="shared" si="1006"/>
        <v>2.2944550669216079</v>
      </c>
      <c r="BS147" s="72">
        <v>106.8</v>
      </c>
      <c r="BT147" s="61">
        <f t="shared" si="1006"/>
        <v>2.1032504780114758</v>
      </c>
      <c r="BU147" s="72">
        <v>109.8</v>
      </c>
      <c r="BV147" s="61">
        <f t="shared" si="1006"/>
        <v>4.7709923664122078</v>
      </c>
      <c r="BW147" s="72">
        <v>111.5</v>
      </c>
      <c r="BX147" s="61">
        <f t="shared" si="1006"/>
        <v>5.2880075542965033</v>
      </c>
      <c r="BY147" s="72">
        <v>112</v>
      </c>
      <c r="BZ147" s="61">
        <f t="shared" si="1006"/>
        <v>4.6728971962616717</v>
      </c>
      <c r="CA147" s="72">
        <v>110.9</v>
      </c>
      <c r="CB147" s="61">
        <f t="shared" si="1006"/>
        <v>3.838951310861427</v>
      </c>
      <c r="CC147" s="72">
        <v>111.1</v>
      </c>
      <c r="CD147" s="61">
        <f t="shared" si="1006"/>
        <v>1.1839708561020013</v>
      </c>
      <c r="CE147" s="72">
        <v>110.4</v>
      </c>
      <c r="CF147" s="61">
        <f t="shared" si="1006"/>
        <v>-0.98654708520178325</v>
      </c>
      <c r="CG147" s="72">
        <v>110</v>
      </c>
      <c r="CH147" s="61">
        <f t="shared" si="1006"/>
        <v>-1.7857142857142905</v>
      </c>
      <c r="CI147" s="72">
        <v>110.2</v>
      </c>
      <c r="CJ147" s="61">
        <f t="shared" si="1006"/>
        <v>-0.63119927862940184</v>
      </c>
      <c r="CK147" s="72">
        <v>109.4</v>
      </c>
      <c r="CL147" s="61">
        <f t="shared" si="1006"/>
        <v>-1.5301530153015164</v>
      </c>
      <c r="CM147" s="72">
        <v>108</v>
      </c>
      <c r="CN147" s="61">
        <f t="shared" si="1006"/>
        <v>-2.1739130434782705</v>
      </c>
      <c r="CO147" s="72">
        <v>108.6</v>
      </c>
      <c r="CP147" s="61">
        <f t="shared" si="1006"/>
        <v>-1.2727272727272809</v>
      </c>
      <c r="CQ147" s="72">
        <v>109.5</v>
      </c>
      <c r="CR147" s="61">
        <f t="shared" si="1006"/>
        <v>-0.63520871143375457</v>
      </c>
      <c r="CS147" s="72">
        <v>112</v>
      </c>
      <c r="CT147" s="61">
        <f t="shared" si="1006"/>
        <v>2.3765996343692919</v>
      </c>
      <c r="CU147" s="72">
        <v>111</v>
      </c>
      <c r="CV147" s="61">
        <f t="shared" si="1007"/>
        <v>2.7777777777777679</v>
      </c>
      <c r="CW147" s="72">
        <v>112</v>
      </c>
      <c r="CX147" s="61">
        <f t="shared" si="1008"/>
        <v>3.130755064456725</v>
      </c>
      <c r="CY147" s="72">
        <v>114</v>
      </c>
      <c r="CZ147" s="61">
        <f t="shared" si="1009"/>
        <v>4.1095890410958846</v>
      </c>
      <c r="DA147" s="72">
        <v>115</v>
      </c>
      <c r="DB147" s="61">
        <f t="shared" si="1010"/>
        <v>2.6785714285714191</v>
      </c>
      <c r="DC147" s="72">
        <v>117</v>
      </c>
      <c r="DD147" s="61">
        <f t="shared" si="1011"/>
        <v>5.4054054054053946</v>
      </c>
      <c r="DE147" s="72">
        <v>117</v>
      </c>
      <c r="DF147" s="61">
        <f t="shared" si="1012"/>
        <v>4.4642857142857206</v>
      </c>
      <c r="DG147" s="72">
        <v>118</v>
      </c>
      <c r="DH147" s="61">
        <f t="shared" si="1013"/>
        <v>3.5087719298245723</v>
      </c>
      <c r="DI147" s="72">
        <v>118</v>
      </c>
      <c r="DJ147" s="61">
        <f t="shared" si="1014"/>
        <v>2.6086956521739202</v>
      </c>
      <c r="DK147" s="72">
        <v>118</v>
      </c>
      <c r="DL147" s="61">
        <f t="shared" si="1015"/>
        <v>0.85470085470085166</v>
      </c>
      <c r="DM147" s="72">
        <v>118</v>
      </c>
      <c r="DN147" s="130">
        <f t="shared" si="1016"/>
        <v>0.85470085470085166</v>
      </c>
      <c r="DO147" s="72">
        <v>118</v>
      </c>
      <c r="DP147" s="130">
        <f t="shared" si="1016"/>
        <v>0</v>
      </c>
      <c r="DQ147" s="72">
        <v>119</v>
      </c>
      <c r="DR147" s="130">
        <f t="shared" si="1016"/>
        <v>0.84745762711864181</v>
      </c>
      <c r="DS147" s="72">
        <v>123</v>
      </c>
      <c r="DT147" s="130">
        <f t="shared" si="1016"/>
        <v>4.2372881355932313</v>
      </c>
      <c r="DU147" s="72">
        <v>123</v>
      </c>
      <c r="DV147" s="130">
        <f t="shared" si="1016"/>
        <v>4.2372881355932313</v>
      </c>
      <c r="DW147" s="72">
        <v>124</v>
      </c>
      <c r="DX147" s="72">
        <v>124</v>
      </c>
      <c r="DY147" s="72">
        <v>126</v>
      </c>
      <c r="DZ147" s="130">
        <f t="shared" si="1016"/>
        <v>5.8823529411764719</v>
      </c>
      <c r="EA147" s="72">
        <v>125</v>
      </c>
      <c r="EB147" s="130">
        <f t="shared" si="1017"/>
        <v>1.6260162601626105</v>
      </c>
      <c r="EC147" s="72">
        <v>127</v>
      </c>
      <c r="ED147" s="130">
        <f t="shared" si="1018"/>
        <v>3.2520325203251987</v>
      </c>
      <c r="EE147" s="72">
        <v>128</v>
      </c>
      <c r="EF147" s="130">
        <f t="shared" si="1019"/>
        <v>3.2258064516129004</v>
      </c>
      <c r="EG147" s="72">
        <v>134</v>
      </c>
      <c r="EH147" s="130">
        <f t="shared" si="1020"/>
        <v>6.3492063492063489</v>
      </c>
      <c r="EI147" s="72">
        <v>132</v>
      </c>
      <c r="EJ147" s="130">
        <f t="shared" si="1021"/>
        <v>5.600000000000005</v>
      </c>
      <c r="EK147" s="72">
        <v>134</v>
      </c>
      <c r="EL147" s="130">
        <f t="shared" si="1022"/>
        <v>5.5118110236220375</v>
      </c>
      <c r="EM147" s="72">
        <v>136</v>
      </c>
      <c r="EN147" s="130">
        <f t="shared" si="1023"/>
        <v>6.25</v>
      </c>
      <c r="EO147" s="72">
        <v>136</v>
      </c>
      <c r="EP147" s="130">
        <f t="shared" si="1024"/>
        <v>1.4925373134328401</v>
      </c>
      <c r="EQ147" s="73">
        <f t="shared" ref="EQ147:EW147" si="1041">EQ155*EQ135/400</f>
        <v>138.44075453704528</v>
      </c>
      <c r="ER147" s="130">
        <f t="shared" si="1026"/>
        <v>4.8793594977615706</v>
      </c>
      <c r="ES147" s="73">
        <f t="shared" si="1041"/>
        <v>139.68270318044802</v>
      </c>
      <c r="ET147" s="130">
        <f t="shared" si="1027"/>
        <v>4.2408232689910674</v>
      </c>
      <c r="EU147" s="73">
        <f t="shared" si="1041"/>
        <v>142.64291910150533</v>
      </c>
      <c r="EV147" s="130">
        <f t="shared" si="1028"/>
        <v>4.8844993393421632</v>
      </c>
      <c r="EW147" s="73">
        <f t="shared" si="1041"/>
        <v>145.19299027991809</v>
      </c>
      <c r="EX147" s="130">
        <f t="shared" si="1029"/>
        <v>6.759551676410358</v>
      </c>
      <c r="EY147" s="64"/>
      <c r="EZ147" s="558"/>
      <c r="FA147" s="64"/>
      <c r="FB147" s="72"/>
      <c r="FC147" s="71"/>
      <c r="FD147" s="72"/>
      <c r="FE147" s="70"/>
      <c r="FF147" s="69"/>
      <c r="FG147" s="70"/>
      <c r="FH147" s="69"/>
      <c r="FI147" s="70"/>
      <c r="FJ147" s="69"/>
      <c r="FK147" s="70"/>
      <c r="FL147" s="69"/>
      <c r="FM147" s="61"/>
      <c r="FN147" s="778">
        <v>0</v>
      </c>
      <c r="FO147" s="61"/>
      <c r="FP147" s="73">
        <f>AQ147+AS147+AU147+AW147</f>
        <v>401.79999999999995</v>
      </c>
      <c r="FQ147" s="61" t="str">
        <f t="shared" si="1030"/>
        <v>NA</v>
      </c>
      <c r="FR147" s="73">
        <f>AY147+BA147+BC147+BE147</f>
        <v>410.6</v>
      </c>
      <c r="FS147" s="61">
        <f t="shared" si="1031"/>
        <v>2.1901443504231066</v>
      </c>
      <c r="FT147" s="73">
        <f>BG147+BI147+BK147+BM147</f>
        <v>418.3</v>
      </c>
      <c r="FU147" s="61">
        <f t="shared" si="1032"/>
        <v>1.8753044325377388</v>
      </c>
      <c r="FV147" s="73">
        <f>BO147+BQ147+BS147+BU147</f>
        <v>429.5</v>
      </c>
      <c r="FW147" s="61">
        <f t="shared" si="1033"/>
        <v>2.6775041836002877</v>
      </c>
      <c r="FX147" s="75">
        <f>BW147+BY147+CA147+CC147</f>
        <v>445.5</v>
      </c>
      <c r="FY147" s="61">
        <f t="shared" si="1034"/>
        <v>3.7252619324796177</v>
      </c>
      <c r="FZ147" s="75">
        <f>CE147+CG147+CI147+CK147</f>
        <v>440</v>
      </c>
      <c r="GA147" s="61">
        <f t="shared" si="1035"/>
        <v>-1.2345679012345734</v>
      </c>
      <c r="GB147" s="75">
        <f>CM147+CO147+CQ147+CS147</f>
        <v>438.1</v>
      </c>
      <c r="GC147" s="61">
        <f t="shared" si="1036"/>
        <v>-0.43181818181817766</v>
      </c>
      <c r="GD147" s="75">
        <f>CU147+CW147+CY147+DA147</f>
        <v>452</v>
      </c>
      <c r="GE147" s="61">
        <f t="shared" si="1037"/>
        <v>3.1727916000912959</v>
      </c>
      <c r="GF147" s="75">
        <f>DC147+DE147+DG147+DI147</f>
        <v>470</v>
      </c>
      <c r="GG147" s="61">
        <f t="shared" si="1038"/>
        <v>3.9823008849557473</v>
      </c>
      <c r="GH147" s="75">
        <f>DK147+DM147+DO147+DQ147</f>
        <v>473</v>
      </c>
      <c r="GI147" s="61">
        <f t="shared" si="1038"/>
        <v>0.6382978723404209</v>
      </c>
      <c r="GJ147" s="75">
        <f>DS147+DU147+DW147+DY147</f>
        <v>496</v>
      </c>
      <c r="GK147" s="61">
        <f t="shared" si="1038"/>
        <v>4.862579281183943</v>
      </c>
      <c r="GL147" s="75">
        <f>EA147+EC147+EE147+EG147</f>
        <v>514</v>
      </c>
      <c r="GM147" s="61">
        <f t="shared" si="1038"/>
        <v>3.629032258064524</v>
      </c>
      <c r="GN147" s="75">
        <f>EI147+EK147+EM147+EO147</f>
        <v>538</v>
      </c>
      <c r="GO147" s="61">
        <f t="shared" si="1038"/>
        <v>4.6692607003891107</v>
      </c>
      <c r="GP147" s="75">
        <f>EQ147+ES147+EU147+EW147</f>
        <v>565.9593670989168</v>
      </c>
      <c r="GQ147" s="61">
        <f t="shared" si="1038"/>
        <v>5.1969083826982843</v>
      </c>
      <c r="GR147" s="73">
        <f>GR155*GR135/100</f>
        <v>589.56152622101604</v>
      </c>
      <c r="GS147" s="61">
        <f t="shared" si="1038"/>
        <v>4.1702921612699617</v>
      </c>
      <c r="GT147" s="73">
        <f>GT155*GT135/100</f>
        <v>607.78312329071036</v>
      </c>
      <c r="GU147" s="61">
        <f t="shared" si="1038"/>
        <v>3.0907032191349826</v>
      </c>
      <c r="GV147" s="73">
        <f>GV155*GV135/100</f>
        <v>628.29021761410661</v>
      </c>
      <c r="GW147" s="61">
        <f t="shared" si="1038"/>
        <v>3.3740809077364764</v>
      </c>
      <c r="GX147" s="73">
        <f>GX155*GX135/100</f>
        <v>651.02926753244321</v>
      </c>
      <c r="GY147" s="61">
        <f t="shared" si="1039"/>
        <v>3.6191952828243501</v>
      </c>
      <c r="GZ147" s="61">
        <f t="shared" si="998"/>
        <v>3.8875842400824645</v>
      </c>
      <c r="HA147" s="61"/>
      <c r="HB147" s="452"/>
      <c r="HC147"/>
      <c r="HD147"/>
      <c r="HE147"/>
      <c r="HF147"/>
      <c r="HG147"/>
      <c r="HH147"/>
    </row>
    <row r="148" spans="1:216" s="5" customFormat="1" ht="12.75" customHeight="1" x14ac:dyDescent="0.2">
      <c r="B148" s="2" t="s">
        <v>620</v>
      </c>
      <c r="C148" s="73"/>
      <c r="D148" s="422"/>
      <c r="E148" s="73"/>
      <c r="F148" s="65"/>
      <c r="G148" s="73"/>
      <c r="H148" s="65"/>
      <c r="I148" s="73"/>
      <c r="J148" s="13"/>
      <c r="K148" s="73"/>
      <c r="L148" s="13"/>
      <c r="M148" s="73"/>
      <c r="N148" s="13"/>
      <c r="O148" s="73"/>
      <c r="P148" s="13"/>
      <c r="Q148" s="73"/>
      <c r="R148" s="13"/>
      <c r="S148" s="73"/>
      <c r="T148" s="13"/>
      <c r="U148" s="73"/>
      <c r="V148" s="13"/>
      <c r="W148" s="73"/>
      <c r="X148" s="13"/>
      <c r="Y148" s="73"/>
      <c r="Z148" s="13"/>
      <c r="AA148" s="73"/>
      <c r="AB148" s="13"/>
      <c r="AC148" s="73"/>
      <c r="AD148" s="13"/>
      <c r="AE148" s="73"/>
      <c r="AF148" s="13"/>
      <c r="AG148" s="73"/>
      <c r="AH148" s="13"/>
      <c r="AI148" s="73"/>
      <c r="AJ148" s="13"/>
      <c r="AK148" s="73"/>
      <c r="AL148" s="13"/>
      <c r="AM148" s="73"/>
      <c r="AN148" s="13"/>
      <c r="AO148" s="73"/>
      <c r="AP148" s="13"/>
      <c r="AQ148" s="73">
        <f>AQ149-AQ146-AQ145</f>
        <v>2.4000000000000199</v>
      </c>
      <c r="AR148" s="13" t="str">
        <f t="shared" si="999"/>
        <v>NA</v>
      </c>
      <c r="AS148" s="73">
        <f>AS149-AS146-AS145</f>
        <v>4.3000000000000185</v>
      </c>
      <c r="AT148" s="13" t="str">
        <f t="shared" si="1000"/>
        <v>NA</v>
      </c>
      <c r="AU148" s="73">
        <f>AU149-AU146-AU145</f>
        <v>4.4999999999999929</v>
      </c>
      <c r="AV148" s="13" t="str">
        <f t="shared" si="1001"/>
        <v>NA</v>
      </c>
      <c r="AW148" s="73">
        <f>AW149-AW146-AW145</f>
        <v>4.2999999999999758</v>
      </c>
      <c r="AX148" s="13" t="str">
        <f t="shared" si="1001"/>
        <v>NA</v>
      </c>
      <c r="AY148" s="73">
        <f>AY149-AY146-AY145</f>
        <v>5.6000000000000014</v>
      </c>
      <c r="AZ148" s="13" t="str">
        <f t="shared" si="1002"/>
        <v>NM</v>
      </c>
      <c r="BA148" s="73">
        <f>BA149-BA146-BA145</f>
        <v>4.6000000000000014</v>
      </c>
      <c r="BB148" s="13">
        <f t="shared" si="1003"/>
        <v>6.9767441860460799</v>
      </c>
      <c r="BC148" s="73">
        <f>BC149-BC146-BC145</f>
        <v>4.7999999999999972</v>
      </c>
      <c r="BD148" s="13">
        <f t="shared" si="1004"/>
        <v>6.6666666666667762</v>
      </c>
      <c r="BE148" s="73">
        <f>BE149-BE146-BE145</f>
        <v>4.5000000000000071</v>
      </c>
      <c r="BF148" s="13">
        <f t="shared" si="1005"/>
        <v>4.6511627906984376</v>
      </c>
      <c r="BG148" s="73">
        <f>BG149-BG146-BG145</f>
        <v>4.5999999999999801</v>
      </c>
      <c r="BH148" s="13">
        <f t="shared" si="1006"/>
        <v>-17.857142857143238</v>
      </c>
      <c r="BI148" s="73">
        <f>BI149-BI146-BI145</f>
        <v>4.6000000000000085</v>
      </c>
      <c r="BJ148" s="13">
        <f t="shared" si="1006"/>
        <v>1.5543122344752192E-13</v>
      </c>
      <c r="BK148" s="73">
        <f>BK149-BK146-BK145</f>
        <v>5.2000000000000028</v>
      </c>
      <c r="BL148" s="13">
        <f t="shared" si="1006"/>
        <v>8.33333333333346</v>
      </c>
      <c r="BM148" s="73">
        <f>BM149-BM146-BM145</f>
        <v>3.5</v>
      </c>
      <c r="BN148" s="13">
        <f t="shared" si="1006"/>
        <v>-22.222222222222342</v>
      </c>
      <c r="BO148" s="73">
        <f>BO149-BO146-BO145</f>
        <v>4.8000000000000043</v>
      </c>
      <c r="BP148" s="13">
        <f t="shared" si="1006"/>
        <v>4.347826086957074</v>
      </c>
      <c r="BQ148" s="73">
        <f>BQ149-BQ146-BQ145</f>
        <v>3.7999999999999972</v>
      </c>
      <c r="BR148" s="13">
        <f t="shared" si="1006"/>
        <v>-17.391304347826299</v>
      </c>
      <c r="BS148" s="73">
        <f>BS149-BS146-BS145</f>
        <v>4.1000000000000014</v>
      </c>
      <c r="BT148" s="13">
        <f t="shared" si="1006"/>
        <v>-21.153846153846168</v>
      </c>
      <c r="BU148" s="73">
        <f>BU149-BU146-BU145</f>
        <v>2.7000000000000028</v>
      </c>
      <c r="BV148" s="13">
        <f t="shared" si="1006"/>
        <v>-22.857142857142776</v>
      </c>
      <c r="BW148" s="73">
        <f>BW149-BW146-BW145</f>
        <v>2.3999999999999986</v>
      </c>
      <c r="BX148" s="13" t="str">
        <f t="shared" si="1006"/>
        <v>NM</v>
      </c>
      <c r="BY148" s="73">
        <f>BY149-BY146-BY145</f>
        <v>3.2000000000000099</v>
      </c>
      <c r="BZ148" s="13">
        <f t="shared" si="1006"/>
        <v>-15.789473684210197</v>
      </c>
      <c r="CA148" s="73">
        <f>CA149-CA146-CA145</f>
        <v>2.9999999999999858</v>
      </c>
      <c r="CB148" s="13">
        <f t="shared" si="1006"/>
        <v>-26.829268292683295</v>
      </c>
      <c r="CC148" s="73">
        <f>CC149-CC146-CC145</f>
        <v>3.3999999999999986</v>
      </c>
      <c r="CD148" s="13">
        <f t="shared" si="1006"/>
        <v>25.925925925925732</v>
      </c>
      <c r="CE148" s="73">
        <f>CE149-CE146-CE145</f>
        <v>4.1000000000000085</v>
      </c>
      <c r="CF148" s="13">
        <f t="shared" si="1006"/>
        <v>70.833333333333798</v>
      </c>
      <c r="CG148" s="73">
        <f>CG149-CG146-CG145</f>
        <v>4.7000000000000171</v>
      </c>
      <c r="CH148" s="13">
        <f t="shared" si="1006"/>
        <v>46.875000000000064</v>
      </c>
      <c r="CI148" s="73">
        <f>CI149-CI146-CI145</f>
        <v>4.5999999999999872</v>
      </c>
      <c r="CJ148" s="61">
        <f t="shared" si="1006"/>
        <v>53.333333333333634</v>
      </c>
      <c r="CK148" s="73">
        <f>CK149-CK146-CK145</f>
        <v>4.4000000000000057</v>
      </c>
      <c r="CL148" s="61">
        <f t="shared" si="1006"/>
        <v>29.411764705882582</v>
      </c>
      <c r="CM148" s="73">
        <f>CM149-CM146-CM145</f>
        <v>3</v>
      </c>
      <c r="CN148" s="61">
        <f t="shared" si="1006"/>
        <v>-26.829268292683082</v>
      </c>
      <c r="CO148" s="73">
        <f>CO149-CO146-CO145</f>
        <v>4.3999999999999773</v>
      </c>
      <c r="CP148" s="61">
        <f t="shared" si="1006"/>
        <v>-6.382978723405075</v>
      </c>
      <c r="CQ148" s="73">
        <f>CQ149-CQ146-CQ145</f>
        <v>3.5</v>
      </c>
      <c r="CR148" s="61">
        <f t="shared" si="1006"/>
        <v>-23.913043478260654</v>
      </c>
      <c r="CS148" s="73">
        <f>CS149-CS146-CS145</f>
        <v>3</v>
      </c>
      <c r="CT148" s="61">
        <f t="shared" si="1006"/>
        <v>-31.818181818181902</v>
      </c>
      <c r="CU148" s="73">
        <f>CU149-CU146-CU145</f>
        <v>3</v>
      </c>
      <c r="CV148" s="61">
        <f t="shared" si="1007"/>
        <v>0</v>
      </c>
      <c r="CW148" s="73">
        <f>CW149-CW146-CW145</f>
        <v>3</v>
      </c>
      <c r="CX148" s="61">
        <f t="shared" si="1008"/>
        <v>-31.818181818181468</v>
      </c>
      <c r="CY148" s="73">
        <f>CY149-CY146-CY145</f>
        <v>3</v>
      </c>
      <c r="CZ148" s="61">
        <f t="shared" si="1009"/>
        <v>-14.28571428571429</v>
      </c>
      <c r="DA148" s="73">
        <f>DA149-DA146-DA145</f>
        <v>4</v>
      </c>
      <c r="DB148" s="61">
        <f t="shared" si="1010"/>
        <v>33.333333333333329</v>
      </c>
      <c r="DC148" s="73">
        <f>DC149-DC146-DC145</f>
        <v>2</v>
      </c>
      <c r="DD148" s="61">
        <f t="shared" si="1011"/>
        <v>-33.333333333333336</v>
      </c>
      <c r="DE148" s="73">
        <f>DE149-DE146-DE145</f>
        <v>2</v>
      </c>
      <c r="DF148" s="61">
        <f t="shared" si="1012"/>
        <v>-33.333333333333336</v>
      </c>
      <c r="DG148" s="73">
        <f>DG149-DG146-DG145</f>
        <v>3</v>
      </c>
      <c r="DH148" s="61">
        <f t="shared" si="1013"/>
        <v>0</v>
      </c>
      <c r="DI148" s="73">
        <f>DI149-DI146-DI145</f>
        <v>3</v>
      </c>
      <c r="DJ148" s="61">
        <f t="shared" si="1014"/>
        <v>-25</v>
      </c>
      <c r="DK148" s="73">
        <f>DK149-DK146-DK145</f>
        <v>3</v>
      </c>
      <c r="DL148" s="61">
        <f t="shared" si="1015"/>
        <v>50</v>
      </c>
      <c r="DM148" s="73">
        <f>DM149-DM146-DM145</f>
        <v>4</v>
      </c>
      <c r="DN148" s="130">
        <f t="shared" si="1016"/>
        <v>100</v>
      </c>
      <c r="DO148" s="73">
        <f>DO149-DO146-DO145</f>
        <v>3</v>
      </c>
      <c r="DP148" s="130">
        <f t="shared" si="1016"/>
        <v>0</v>
      </c>
      <c r="DQ148" s="73">
        <f>DQ149-DQ146-DQ145</f>
        <v>2</v>
      </c>
      <c r="DR148" s="130">
        <f t="shared" si="1016"/>
        <v>-33.333333333333336</v>
      </c>
      <c r="DS148" s="73">
        <f>DS149-DS146-DS145</f>
        <v>3</v>
      </c>
      <c r="DT148" s="130">
        <f t="shared" si="1016"/>
        <v>0</v>
      </c>
      <c r="DU148" s="73">
        <f>DU149-DU146-DU145</f>
        <v>3</v>
      </c>
      <c r="DV148" s="130">
        <f t="shared" si="1016"/>
        <v>-25</v>
      </c>
      <c r="DW148" s="73">
        <f>DW149-DW146-DW145</f>
        <v>3</v>
      </c>
      <c r="DX148" s="73">
        <f t="shared" ref="DX148:DY148" si="1042">DX149-DX146-DX145</f>
        <v>3</v>
      </c>
      <c r="DY148" s="73">
        <f t="shared" si="1042"/>
        <v>2</v>
      </c>
      <c r="DZ148" s="130">
        <f t="shared" si="1016"/>
        <v>0</v>
      </c>
      <c r="EA148" s="73">
        <f t="shared" ref="EA148:EC148" si="1043">EA149-EA146-EA145</f>
        <v>5</v>
      </c>
      <c r="EB148" s="130">
        <f t="shared" si="1017"/>
        <v>66.666666666666671</v>
      </c>
      <c r="EC148" s="73">
        <f t="shared" si="1043"/>
        <v>4</v>
      </c>
      <c r="ED148" s="130">
        <f t="shared" si="1018"/>
        <v>33.333333333333329</v>
      </c>
      <c r="EE148" s="73">
        <f t="shared" ref="EE148:EG148" si="1044">EE149-EE146-EE145</f>
        <v>4</v>
      </c>
      <c r="EF148" s="130">
        <f t="shared" si="1019"/>
        <v>33.333333333333329</v>
      </c>
      <c r="EG148" s="73">
        <f t="shared" si="1044"/>
        <v>4</v>
      </c>
      <c r="EH148" s="130">
        <f t="shared" si="1020"/>
        <v>100</v>
      </c>
      <c r="EI148" s="73">
        <f t="shared" ref="EI148:EK148" si="1045">EI149-EI146-EI145</f>
        <v>5</v>
      </c>
      <c r="EJ148" s="130">
        <f t="shared" si="1021"/>
        <v>0</v>
      </c>
      <c r="EK148" s="73">
        <f t="shared" si="1045"/>
        <v>4</v>
      </c>
      <c r="EL148" s="130">
        <f t="shared" si="1022"/>
        <v>0</v>
      </c>
      <c r="EM148" s="73">
        <f t="shared" ref="EM148" si="1046">EM149-EM146-EM145</f>
        <v>5</v>
      </c>
      <c r="EN148" s="130">
        <f t="shared" si="1023"/>
        <v>25</v>
      </c>
      <c r="EO148" s="73">
        <f t="shared" ref="EO148" si="1047">EO149-EO146-EO145</f>
        <v>5</v>
      </c>
      <c r="EP148" s="130">
        <f t="shared" si="1024"/>
        <v>25</v>
      </c>
      <c r="EQ148" s="72">
        <f t="shared" ref="EQ148" si="1048">EO148</f>
        <v>5</v>
      </c>
      <c r="ER148" s="130">
        <f t="shared" si="1026"/>
        <v>0</v>
      </c>
      <c r="ES148" s="72">
        <f t="shared" ref="ES148" si="1049">EQ148</f>
        <v>5</v>
      </c>
      <c r="ET148" s="130">
        <f t="shared" si="1027"/>
        <v>25</v>
      </c>
      <c r="EU148" s="72">
        <f t="shared" ref="EU148" si="1050">ES148</f>
        <v>5</v>
      </c>
      <c r="EV148" s="130">
        <f t="shared" si="1028"/>
        <v>0</v>
      </c>
      <c r="EW148" s="72">
        <f t="shared" ref="EW148" si="1051">EU148</f>
        <v>5</v>
      </c>
      <c r="EX148" s="130">
        <f t="shared" si="1029"/>
        <v>0</v>
      </c>
      <c r="EY148" s="64"/>
      <c r="EZ148" s="558"/>
      <c r="FA148" s="64"/>
      <c r="FB148" s="72"/>
      <c r="FC148" s="71"/>
      <c r="FD148" s="72"/>
      <c r="FE148" s="70"/>
      <c r="FF148" s="69"/>
      <c r="FG148" s="70"/>
      <c r="FH148" s="69"/>
      <c r="FI148" s="70"/>
      <c r="FJ148" s="69"/>
      <c r="FK148" s="70"/>
      <c r="FL148" s="69"/>
      <c r="FM148" s="61"/>
      <c r="FN148" s="778">
        <v>16</v>
      </c>
      <c r="FO148" s="61"/>
      <c r="FP148" s="73">
        <f>AQ148+AS148+AU148+AW148</f>
        <v>15.500000000000007</v>
      </c>
      <c r="FQ148" s="61">
        <f t="shared" si="1030"/>
        <v>-3.1249999999999556</v>
      </c>
      <c r="FR148" s="73">
        <f>AY148+BA148+BC148+BE148</f>
        <v>19.500000000000007</v>
      </c>
      <c r="FS148" s="61">
        <f t="shared" si="1031"/>
        <v>25.806451612903203</v>
      </c>
      <c r="FT148" s="73">
        <f>BG148+BI148+BK148+BM148</f>
        <v>17.899999999999991</v>
      </c>
      <c r="FU148" s="61">
        <f t="shared" si="1032"/>
        <v>-8.2051282051282861</v>
      </c>
      <c r="FV148" s="73">
        <f>BO148+BQ148+BS148+BU148</f>
        <v>15.400000000000006</v>
      </c>
      <c r="FW148" s="61">
        <f t="shared" si="1033"/>
        <v>-13.966480446927299</v>
      </c>
      <c r="FX148" s="75">
        <f>BW148+BY148+CA148+CC148</f>
        <v>11.999999999999993</v>
      </c>
      <c r="FY148" s="61">
        <f t="shared" si="1034"/>
        <v>-22.077922077922153</v>
      </c>
      <c r="FZ148" s="75">
        <f>CE148+CG148+CI148+CK148</f>
        <v>17.800000000000018</v>
      </c>
      <c r="GA148" s="61">
        <f t="shared" si="1035"/>
        <v>48.333333333333584</v>
      </c>
      <c r="GB148" s="75">
        <f>CM148+CO148+CQ148+CS148</f>
        <v>13.899999999999977</v>
      </c>
      <c r="GC148" s="61">
        <f t="shared" si="1036"/>
        <v>-21.910112359550769</v>
      </c>
      <c r="GD148" s="75">
        <f>CU148+CW148+CY148+DA148</f>
        <v>13</v>
      </c>
      <c r="GE148" s="61">
        <f t="shared" si="1037"/>
        <v>-6.4748201438847408</v>
      </c>
      <c r="GF148" s="75">
        <f>DC148+DE148+DG148+DI148</f>
        <v>10</v>
      </c>
      <c r="GG148" s="61">
        <f t="shared" si="1038"/>
        <v>-23.076923076923073</v>
      </c>
      <c r="GH148" s="75">
        <f>DK148+DM148+DO148+DQ148</f>
        <v>12</v>
      </c>
      <c r="GI148" s="61">
        <f t="shared" si="1038"/>
        <v>19.999999999999996</v>
      </c>
      <c r="GJ148" s="75">
        <f>DS148+DU148+DW148+DY148</f>
        <v>11</v>
      </c>
      <c r="GK148" s="61">
        <f t="shared" si="1038"/>
        <v>-8.3333333333333375</v>
      </c>
      <c r="GL148" s="75">
        <f>EA148+EC148+EE148+EG148</f>
        <v>17</v>
      </c>
      <c r="GM148" s="61">
        <f t="shared" si="1038"/>
        <v>54.54545454545454</v>
      </c>
      <c r="GN148" s="75">
        <f>EI148+EK148+EM148+EO148</f>
        <v>19</v>
      </c>
      <c r="GO148" s="61">
        <f t="shared" si="1038"/>
        <v>11.764705882352944</v>
      </c>
      <c r="GP148" s="75">
        <f>EQ148+ES148+EU148+EW148</f>
        <v>20</v>
      </c>
      <c r="GQ148" s="61">
        <f t="shared" si="1038"/>
        <v>5.2631578947368363</v>
      </c>
      <c r="GR148" s="72">
        <f>GP148</f>
        <v>20</v>
      </c>
      <c r="GS148" s="61">
        <f t="shared" si="1038"/>
        <v>0</v>
      </c>
      <c r="GT148" s="72">
        <f>GR148</f>
        <v>20</v>
      </c>
      <c r="GU148" s="61">
        <f t="shared" si="1038"/>
        <v>0</v>
      </c>
      <c r="GV148" s="72">
        <f>GT148</f>
        <v>20</v>
      </c>
      <c r="GW148" s="61">
        <f t="shared" si="1038"/>
        <v>0</v>
      </c>
      <c r="GX148" s="72">
        <f>GV148</f>
        <v>20</v>
      </c>
      <c r="GY148" s="61">
        <f t="shared" si="1039"/>
        <v>0</v>
      </c>
      <c r="GZ148" s="61">
        <f t="shared" si="998"/>
        <v>1.0311459317936089</v>
      </c>
      <c r="HA148" s="61"/>
      <c r="HB148" s="452"/>
      <c r="HC148"/>
      <c r="HD148"/>
      <c r="HE148"/>
      <c r="HF148"/>
      <c r="HG148"/>
      <c r="HH148"/>
    </row>
    <row r="149" spans="1:216" s="106" customFormat="1" ht="12.75" customHeight="1" x14ac:dyDescent="0.2">
      <c r="A149" s="5"/>
      <c r="B149" s="63" t="s">
        <v>523</v>
      </c>
      <c r="C149" s="98"/>
      <c r="D149" s="99"/>
      <c r="E149" s="98"/>
      <c r="F149" s="100"/>
      <c r="G149" s="98"/>
      <c r="H149" s="100"/>
      <c r="I149" s="98"/>
      <c r="J149" s="101"/>
      <c r="K149" s="98"/>
      <c r="L149" s="61"/>
      <c r="M149" s="98"/>
      <c r="N149" s="61"/>
      <c r="O149" s="98"/>
      <c r="P149" s="61"/>
      <c r="Q149" s="98"/>
      <c r="R149" s="61"/>
      <c r="S149" s="98"/>
      <c r="T149" s="61"/>
      <c r="U149" s="98"/>
      <c r="V149" s="61"/>
      <c r="W149" s="98"/>
      <c r="X149" s="61"/>
      <c r="Y149" s="98"/>
      <c r="Z149" s="61"/>
      <c r="AA149" s="98"/>
      <c r="AB149" s="61"/>
      <c r="AC149" s="98"/>
      <c r="AD149" s="61"/>
      <c r="AE149" s="98"/>
      <c r="AF149" s="61"/>
      <c r="AG149" s="98"/>
      <c r="AH149" s="61"/>
      <c r="AI149" s="98"/>
      <c r="AJ149" s="61"/>
      <c r="AK149" s="98"/>
      <c r="AL149" s="61"/>
      <c r="AM149" s="98"/>
      <c r="AN149" s="61"/>
      <c r="AO149" s="98"/>
      <c r="AP149" s="61"/>
      <c r="AQ149" s="98">
        <v>231.3</v>
      </c>
      <c r="AR149" s="61" t="str">
        <f t="shared" si="999"/>
        <v>NA</v>
      </c>
      <c r="AS149" s="98">
        <v>234.3</v>
      </c>
      <c r="AT149" s="61" t="str">
        <f t="shared" si="1000"/>
        <v>NA</v>
      </c>
      <c r="AU149" s="98">
        <v>238.7</v>
      </c>
      <c r="AV149" s="61" t="str">
        <f t="shared" si="1001"/>
        <v>NA</v>
      </c>
      <c r="AW149" s="98">
        <v>241.2</v>
      </c>
      <c r="AX149" s="61" t="str">
        <f t="shared" si="1001"/>
        <v>NA</v>
      </c>
      <c r="AY149" s="98">
        <v>249.2</v>
      </c>
      <c r="AZ149" s="61">
        <f t="shared" si="1002"/>
        <v>7.7388672719411966</v>
      </c>
      <c r="BA149" s="98">
        <v>248.9</v>
      </c>
      <c r="BB149" s="61">
        <f t="shared" si="1003"/>
        <v>6.2313273580879125</v>
      </c>
      <c r="BC149" s="98">
        <v>245.1</v>
      </c>
      <c r="BD149" s="61">
        <f t="shared" si="1004"/>
        <v>2.681189777963966</v>
      </c>
      <c r="BE149" s="98">
        <v>245</v>
      </c>
      <c r="BF149" s="61">
        <f t="shared" si="1005"/>
        <v>1.5754560530679917</v>
      </c>
      <c r="BG149" s="98">
        <v>246.7</v>
      </c>
      <c r="BH149" s="61">
        <f t="shared" si="1006"/>
        <v>-1.0032102728731895</v>
      </c>
      <c r="BI149" s="98">
        <v>252</v>
      </c>
      <c r="BJ149" s="61">
        <f t="shared" si="1006"/>
        <v>1.2454801124949677</v>
      </c>
      <c r="BK149" s="98">
        <v>243.4</v>
      </c>
      <c r="BL149" s="61">
        <f t="shared" si="1006"/>
        <v>-0.69359445124438368</v>
      </c>
      <c r="BM149" s="98">
        <v>243.3</v>
      </c>
      <c r="BN149" s="61">
        <f t="shared" si="1006"/>
        <v>-0.69387755102040538</v>
      </c>
      <c r="BO149" s="98">
        <v>237.7</v>
      </c>
      <c r="BP149" s="61">
        <f t="shared" si="1006"/>
        <v>-3.6481556546412608</v>
      </c>
      <c r="BQ149" s="98">
        <v>239.4</v>
      </c>
      <c r="BR149" s="61">
        <f t="shared" si="1006"/>
        <v>-4.9999999999999929</v>
      </c>
      <c r="BS149" s="98">
        <v>240.9</v>
      </c>
      <c r="BT149" s="61">
        <f t="shared" si="1006"/>
        <v>-1.0271158586688589</v>
      </c>
      <c r="BU149" s="98">
        <v>214.5</v>
      </c>
      <c r="BV149" s="61">
        <f t="shared" si="1006"/>
        <v>-11.837237977805181</v>
      </c>
      <c r="BW149" s="98">
        <v>218.5</v>
      </c>
      <c r="BX149" s="61">
        <f t="shared" si="1006"/>
        <v>-8.0774084981068519</v>
      </c>
      <c r="BY149" s="98">
        <v>223.5</v>
      </c>
      <c r="BZ149" s="61">
        <f t="shared" si="1006"/>
        <v>-6.6416040100250591</v>
      </c>
      <c r="CA149" s="98">
        <v>240.6</v>
      </c>
      <c r="CB149" s="61">
        <f t="shared" si="1006"/>
        <v>-0.12453300124533051</v>
      </c>
      <c r="CC149" s="98">
        <v>243.7</v>
      </c>
      <c r="CD149" s="61">
        <f t="shared" si="1006"/>
        <v>13.613053613053605</v>
      </c>
      <c r="CE149" s="98">
        <v>240.5</v>
      </c>
      <c r="CF149" s="61">
        <f t="shared" si="1006"/>
        <v>10.068649885583515</v>
      </c>
      <c r="CG149" s="98">
        <v>245.3</v>
      </c>
      <c r="CH149" s="61">
        <f t="shared" si="1006"/>
        <v>9.7539149888143264</v>
      </c>
      <c r="CI149" s="98">
        <v>244.6</v>
      </c>
      <c r="CJ149" s="61">
        <f t="shared" si="1006"/>
        <v>1.6625103906899419</v>
      </c>
      <c r="CK149" s="98">
        <v>257.3</v>
      </c>
      <c r="CL149" s="61">
        <f t="shared" si="1006"/>
        <v>5.5806319244973368</v>
      </c>
      <c r="CM149" s="98">
        <v>263</v>
      </c>
      <c r="CN149" s="61">
        <f t="shared" si="1006"/>
        <v>9.3555093555093514</v>
      </c>
      <c r="CO149" s="98">
        <v>259.7</v>
      </c>
      <c r="CP149" s="61">
        <f t="shared" si="1006"/>
        <v>5.8703628210354575</v>
      </c>
      <c r="CQ149" s="98">
        <v>247.8</v>
      </c>
      <c r="CR149" s="61">
        <f t="shared" si="1006"/>
        <v>1.3082583810302584</v>
      </c>
      <c r="CS149" s="98">
        <v>246</v>
      </c>
      <c r="CT149" s="61">
        <f t="shared" si="1006"/>
        <v>-4.3917605907501045</v>
      </c>
      <c r="CU149" s="98">
        <v>252</v>
      </c>
      <c r="CV149" s="61">
        <f t="shared" si="1007"/>
        <v>-4.1825095057034245</v>
      </c>
      <c r="CW149" s="98">
        <v>258</v>
      </c>
      <c r="CX149" s="61">
        <f t="shared" si="1008"/>
        <v>-0.65460146322680046</v>
      </c>
      <c r="CY149" s="98">
        <v>255</v>
      </c>
      <c r="CZ149" s="61">
        <f t="shared" si="1009"/>
        <v>2.9055690072639084</v>
      </c>
      <c r="DA149" s="98">
        <v>259</v>
      </c>
      <c r="DB149" s="61">
        <f t="shared" si="1010"/>
        <v>5.2845528455284452</v>
      </c>
      <c r="DC149" s="98">
        <v>260</v>
      </c>
      <c r="DD149" s="61">
        <f t="shared" si="1011"/>
        <v>3.1746031746031855</v>
      </c>
      <c r="DE149" s="98">
        <v>271</v>
      </c>
      <c r="DF149" s="61">
        <f t="shared" si="1012"/>
        <v>5.0387596899224896</v>
      </c>
      <c r="DG149" s="98">
        <v>269</v>
      </c>
      <c r="DH149" s="61">
        <f t="shared" si="1013"/>
        <v>5.4901960784313752</v>
      </c>
      <c r="DI149" s="98">
        <v>271</v>
      </c>
      <c r="DJ149" s="61">
        <f t="shared" si="1014"/>
        <v>4.6332046332046239</v>
      </c>
      <c r="DK149" s="98">
        <v>271</v>
      </c>
      <c r="DL149" s="61">
        <f t="shared" si="1015"/>
        <v>4.2307692307692379</v>
      </c>
      <c r="DM149" s="98">
        <v>270</v>
      </c>
      <c r="DN149" s="130">
        <f t="shared" si="1016"/>
        <v>-0.36900369003689537</v>
      </c>
      <c r="DO149" s="98">
        <v>272</v>
      </c>
      <c r="DP149" s="130">
        <f t="shared" si="1016"/>
        <v>1.1152416356877248</v>
      </c>
      <c r="DQ149" s="98">
        <v>277</v>
      </c>
      <c r="DR149" s="130">
        <f t="shared" si="1016"/>
        <v>2.2140221402213944</v>
      </c>
      <c r="DS149" s="98">
        <v>273</v>
      </c>
      <c r="DT149" s="130">
        <f t="shared" si="1016"/>
        <v>0.73800738007379074</v>
      </c>
      <c r="DU149" s="98">
        <v>270</v>
      </c>
      <c r="DV149" s="130">
        <f t="shared" si="1016"/>
        <v>0</v>
      </c>
      <c r="DW149" s="98">
        <v>282</v>
      </c>
      <c r="DX149" s="98">
        <v>282</v>
      </c>
      <c r="DY149" s="98">
        <v>276</v>
      </c>
      <c r="DZ149" s="130">
        <f t="shared" si="1016"/>
        <v>-0.36101083032491488</v>
      </c>
      <c r="EA149" s="98">
        <v>267</v>
      </c>
      <c r="EB149" s="130">
        <f t="shared" si="1017"/>
        <v>-2.1978021978022011</v>
      </c>
      <c r="EC149" s="98">
        <v>270</v>
      </c>
      <c r="ED149" s="130">
        <f t="shared" si="1018"/>
        <v>0</v>
      </c>
      <c r="EE149" s="98">
        <v>282</v>
      </c>
      <c r="EF149" s="130">
        <f t="shared" si="1019"/>
        <v>0</v>
      </c>
      <c r="EG149" s="98">
        <v>284</v>
      </c>
      <c r="EH149" s="130">
        <f t="shared" si="1020"/>
        <v>2.8985507246376718</v>
      </c>
      <c r="EI149" s="98">
        <v>282</v>
      </c>
      <c r="EJ149" s="130">
        <f t="shared" si="1021"/>
        <v>5.6179775280898792</v>
      </c>
      <c r="EK149" s="98">
        <v>290</v>
      </c>
      <c r="EL149" s="130">
        <f t="shared" si="1022"/>
        <v>7.4074074074074181</v>
      </c>
      <c r="EM149" s="98">
        <v>291</v>
      </c>
      <c r="EN149" s="130">
        <f t="shared" si="1023"/>
        <v>3.1914893617021267</v>
      </c>
      <c r="EO149" s="98">
        <v>302</v>
      </c>
      <c r="EP149" s="130">
        <f t="shared" si="1024"/>
        <v>6.3380281690140761</v>
      </c>
      <c r="EQ149" s="102">
        <f t="shared" ref="EQ149:EW149" si="1052">EQ145+EQ146+EQ148</f>
        <v>307.78471584869192</v>
      </c>
      <c r="ER149" s="130">
        <f t="shared" si="1026"/>
        <v>9.1435162584013963</v>
      </c>
      <c r="ES149" s="102">
        <f t="shared" si="1052"/>
        <v>308.80376829921028</v>
      </c>
      <c r="ET149" s="130">
        <f t="shared" si="1027"/>
        <v>6.4840580342104381</v>
      </c>
      <c r="EU149" s="102">
        <f t="shared" si="1052"/>
        <v>313.50891828760558</v>
      </c>
      <c r="EV149" s="130">
        <f t="shared" si="1028"/>
        <v>7.7350234665311213</v>
      </c>
      <c r="EW149" s="102">
        <f t="shared" si="1052"/>
        <v>317.2600518623675</v>
      </c>
      <c r="EX149" s="130">
        <f t="shared" si="1029"/>
        <v>5.0529973054197042</v>
      </c>
      <c r="EY149" s="103"/>
      <c r="EZ149" s="558"/>
      <c r="FA149" s="103"/>
      <c r="FB149" s="102"/>
      <c r="FC149" s="100"/>
      <c r="FD149" s="102"/>
      <c r="FE149" s="70"/>
      <c r="FF149" s="102"/>
      <c r="FG149" s="70"/>
      <c r="FH149" s="102"/>
      <c r="FI149" s="70"/>
      <c r="FJ149" s="102"/>
      <c r="FK149" s="70"/>
      <c r="FL149" s="102"/>
      <c r="FM149" s="61"/>
      <c r="FN149" s="102">
        <f>SUM(FN145:FN148)</f>
        <v>918</v>
      </c>
      <c r="FO149" s="61"/>
      <c r="FP149" s="104">
        <f>AQ149+AS149+AU149+AW149</f>
        <v>945.5</v>
      </c>
      <c r="FQ149" s="61">
        <f t="shared" si="1030"/>
        <v>2.9956427015250586</v>
      </c>
      <c r="FR149" s="104">
        <f>FR145+FR146+FR148</f>
        <v>988.2</v>
      </c>
      <c r="FS149" s="61">
        <f t="shared" si="1031"/>
        <v>4.5161290322580649</v>
      </c>
      <c r="FT149" s="104">
        <f>FT145+FT146+FT148</f>
        <v>985.4</v>
      </c>
      <c r="FU149" s="61">
        <f t="shared" si="1032"/>
        <v>-0.28334345274236838</v>
      </c>
      <c r="FV149" s="104">
        <f>FV145+FV146+FV148</f>
        <v>932.5</v>
      </c>
      <c r="FW149" s="61">
        <f t="shared" si="1033"/>
        <v>-5.3683783235234372</v>
      </c>
      <c r="FX149" s="104">
        <f>FX145+FX146+FX148</f>
        <v>926.30000000000007</v>
      </c>
      <c r="FY149" s="61">
        <f t="shared" si="1034"/>
        <v>-0.66487935656835973</v>
      </c>
      <c r="FZ149" s="104">
        <f>FZ145+FZ146+FZ148</f>
        <v>987.7</v>
      </c>
      <c r="GA149" s="61">
        <f t="shared" si="1035"/>
        <v>6.6285220770808673</v>
      </c>
      <c r="GB149" s="104">
        <f>GB145+GB146+GB148</f>
        <v>1016.5</v>
      </c>
      <c r="GC149" s="61">
        <f t="shared" si="1036"/>
        <v>2.9158651412372061</v>
      </c>
      <c r="GD149" s="104">
        <f>GD145+GD146+GD148</f>
        <v>1024</v>
      </c>
      <c r="GE149" s="61">
        <f t="shared" si="1037"/>
        <v>0.73782587309394465</v>
      </c>
      <c r="GF149" s="104">
        <f>GF145+GF146+GF148</f>
        <v>1071</v>
      </c>
      <c r="GG149" s="61">
        <f t="shared" si="1038"/>
        <v>4.58984375</v>
      </c>
      <c r="GH149" s="104">
        <f>GH145+GH146+GH148</f>
        <v>1090</v>
      </c>
      <c r="GI149" s="61">
        <f t="shared" si="1038"/>
        <v>1.7740429505135324</v>
      </c>
      <c r="GJ149" s="104">
        <f>GJ145+GJ146+GJ148</f>
        <v>1101</v>
      </c>
      <c r="GK149" s="61">
        <f t="shared" si="1038"/>
        <v>1.0091743119265972</v>
      </c>
      <c r="GL149" s="104">
        <f>GL145+GL146+GL148</f>
        <v>1103</v>
      </c>
      <c r="GM149" s="61">
        <f t="shared" si="1038"/>
        <v>0.18165304268846771</v>
      </c>
      <c r="GN149" s="104">
        <f>GN145+GN146+GN148</f>
        <v>1165</v>
      </c>
      <c r="GO149" s="61">
        <f t="shared" si="1038"/>
        <v>5.6210335448775961</v>
      </c>
      <c r="GP149" s="104">
        <f>GP145+GP146+GP148</f>
        <v>1247.3574542978754</v>
      </c>
      <c r="GQ149" s="61">
        <f t="shared" si="1038"/>
        <v>7.0693093817918884</v>
      </c>
      <c r="GR149" s="102">
        <f>GR145+GR146+GR148</f>
        <v>1291.3320111940436</v>
      </c>
      <c r="GS149" s="61">
        <f t="shared" si="1038"/>
        <v>3.5254174129997873</v>
      </c>
      <c r="GT149" s="102">
        <f>GT145+GT146+GT148</f>
        <v>1330.6251105899116</v>
      </c>
      <c r="GU149" s="61">
        <f t="shared" si="1038"/>
        <v>3.0428347671436651</v>
      </c>
      <c r="GV149" s="102">
        <f>GV145+GV146+GV148</f>
        <v>1374.8466622183257</v>
      </c>
      <c r="GW149" s="61">
        <f t="shared" si="1038"/>
        <v>3.3233666850619681</v>
      </c>
      <c r="GX149" s="102">
        <f>GX145+GX146+GX148</f>
        <v>1423.8812087068345</v>
      </c>
      <c r="GY149" s="61">
        <f t="shared" si="1039"/>
        <v>3.566546571047513</v>
      </c>
      <c r="GZ149" s="61">
        <f t="shared" si="998"/>
        <v>4.0949274029697724</v>
      </c>
      <c r="HA149" s="61"/>
      <c r="HB149" s="452"/>
      <c r="HC149"/>
      <c r="HD149"/>
      <c r="HE149"/>
      <c r="HF149"/>
      <c r="HG149"/>
      <c r="HH149"/>
    </row>
    <row r="150" spans="1:216" s="106" customFormat="1" ht="12.75" customHeight="1" x14ac:dyDescent="0.2">
      <c r="A150" s="5"/>
      <c r="B150" s="63" t="s">
        <v>75</v>
      </c>
      <c r="C150" s="98"/>
      <c r="D150" s="99"/>
      <c r="E150" s="98"/>
      <c r="F150" s="100"/>
      <c r="G150" s="98"/>
      <c r="H150" s="100"/>
      <c r="I150" s="98"/>
      <c r="J150" s="101"/>
      <c r="K150" s="98"/>
      <c r="L150" s="61"/>
      <c r="M150" s="98"/>
      <c r="N150" s="61"/>
      <c r="O150" s="98"/>
      <c r="P150" s="61"/>
      <c r="Q150" s="98"/>
      <c r="R150" s="61"/>
      <c r="S150" s="98"/>
      <c r="T150" s="61"/>
      <c r="U150" s="98"/>
      <c r="V150" s="61"/>
      <c r="W150" s="98"/>
      <c r="X150" s="61"/>
      <c r="Y150" s="98"/>
      <c r="Z150" s="61"/>
      <c r="AA150" s="98"/>
      <c r="AB150" s="61"/>
      <c r="AC150" s="98"/>
      <c r="AD150" s="61"/>
      <c r="AE150" s="98"/>
      <c r="AF150" s="61"/>
      <c r="AG150" s="98"/>
      <c r="AH150" s="61"/>
      <c r="AI150" s="98"/>
      <c r="AJ150" s="61"/>
      <c r="AK150" s="98"/>
      <c r="AL150" s="61"/>
      <c r="AM150" s="98"/>
      <c r="AN150" s="61"/>
      <c r="AO150" s="98"/>
      <c r="AP150" s="61"/>
      <c r="AQ150" s="102">
        <f>AQ149-AQ147</f>
        <v>131.70000000000002</v>
      </c>
      <c r="AR150" s="61" t="str">
        <f t="shared" si="999"/>
        <v>NA</v>
      </c>
      <c r="AS150" s="102">
        <f>AS149-AS147</f>
        <v>133.9</v>
      </c>
      <c r="AT150" s="61" t="str">
        <f t="shared" si="1000"/>
        <v>NA</v>
      </c>
      <c r="AU150" s="102">
        <f>AU149-AU147</f>
        <v>138</v>
      </c>
      <c r="AV150" s="61" t="str">
        <f t="shared" si="1001"/>
        <v>NA</v>
      </c>
      <c r="AW150" s="102">
        <f>AW149-AW147</f>
        <v>140.1</v>
      </c>
      <c r="AX150" s="61" t="str">
        <f t="shared" si="1001"/>
        <v>NA</v>
      </c>
      <c r="AY150" s="102">
        <f>AY149-AY147</f>
        <v>148.5</v>
      </c>
      <c r="AZ150" s="61">
        <f t="shared" si="1002"/>
        <v>12.756264236902037</v>
      </c>
      <c r="BA150" s="102">
        <f>BA149-BA147</f>
        <v>146.5</v>
      </c>
      <c r="BB150" s="61">
        <f t="shared" si="1003"/>
        <v>9.4100074682598844</v>
      </c>
      <c r="BC150" s="102">
        <f>BC149-BC147</f>
        <v>142</v>
      </c>
      <c r="BD150" s="61">
        <f t="shared" si="1004"/>
        <v>2.8985507246376718</v>
      </c>
      <c r="BE150" s="102">
        <f>BE149-BE147</f>
        <v>140.6</v>
      </c>
      <c r="BF150" s="61">
        <f t="shared" si="1005"/>
        <v>0.35688793718773315</v>
      </c>
      <c r="BG150" s="102">
        <f>BG149-BG147</f>
        <v>142.39999999999998</v>
      </c>
      <c r="BH150" s="61">
        <f t="shared" si="1006"/>
        <v>-4.1077441077441268</v>
      </c>
      <c r="BI150" s="102">
        <f>BI149-BI147</f>
        <v>147.4</v>
      </c>
      <c r="BJ150" s="61">
        <f t="shared" si="1006"/>
        <v>0.61433447098977467</v>
      </c>
      <c r="BK150" s="102">
        <f>BK149-BK147</f>
        <v>138.80000000000001</v>
      </c>
      <c r="BL150" s="61">
        <f t="shared" si="1006"/>
        <v>-2.2535211267605604</v>
      </c>
      <c r="BM150" s="102">
        <f>BM149-BM147</f>
        <v>138.5</v>
      </c>
      <c r="BN150" s="61">
        <f t="shared" si="1006"/>
        <v>-1.493598862019907</v>
      </c>
      <c r="BO150" s="102">
        <f>BO149-BO147</f>
        <v>131.79999999999998</v>
      </c>
      <c r="BP150" s="61">
        <f t="shared" si="1006"/>
        <v>-7.4438202247190999</v>
      </c>
      <c r="BQ150" s="102">
        <f>BQ149-BQ147</f>
        <v>132.4</v>
      </c>
      <c r="BR150" s="61">
        <f t="shared" si="1006"/>
        <v>-10.176390773405696</v>
      </c>
      <c r="BS150" s="102">
        <f>BS149-BS147</f>
        <v>134.10000000000002</v>
      </c>
      <c r="BT150" s="61">
        <f t="shared" si="1006"/>
        <v>-3.3861671469740506</v>
      </c>
      <c r="BU150" s="102">
        <f>BU149-BU147</f>
        <v>104.7</v>
      </c>
      <c r="BV150" s="61">
        <f t="shared" si="1006"/>
        <v>-24.404332129963901</v>
      </c>
      <c r="BW150" s="102">
        <f>BW149-BW147</f>
        <v>107</v>
      </c>
      <c r="BX150" s="61">
        <f t="shared" si="1006"/>
        <v>-18.8163884673748</v>
      </c>
      <c r="BY150" s="102">
        <f>BY149-BY147</f>
        <v>111.5</v>
      </c>
      <c r="BZ150" s="61">
        <f t="shared" si="1006"/>
        <v>-15.785498489425986</v>
      </c>
      <c r="CA150" s="102">
        <f>CA149-CA147</f>
        <v>129.69999999999999</v>
      </c>
      <c r="CB150" s="61">
        <f t="shared" si="1006"/>
        <v>-3.2811334824757843</v>
      </c>
      <c r="CC150" s="102">
        <f>CC149-CC147</f>
        <v>132.6</v>
      </c>
      <c r="CD150" s="61">
        <f t="shared" si="1006"/>
        <v>26.64756446991403</v>
      </c>
      <c r="CE150" s="102">
        <f>CE149-CE147</f>
        <v>130.1</v>
      </c>
      <c r="CF150" s="61">
        <f t="shared" si="1006"/>
        <v>21.588785046728965</v>
      </c>
      <c r="CG150" s="102">
        <f>CG149-CG147</f>
        <v>135.30000000000001</v>
      </c>
      <c r="CH150" s="61">
        <f t="shared" si="1006"/>
        <v>21.345291479820627</v>
      </c>
      <c r="CI150" s="102">
        <f>CI149-CI147</f>
        <v>134.39999999999998</v>
      </c>
      <c r="CJ150" s="61">
        <f t="shared" si="1006"/>
        <v>3.6237471087124051</v>
      </c>
      <c r="CK150" s="102">
        <f>CK149-CK147</f>
        <v>147.9</v>
      </c>
      <c r="CL150" s="61">
        <f t="shared" si="1006"/>
        <v>11.538461538461542</v>
      </c>
      <c r="CM150" s="102">
        <f>CM149-CM147</f>
        <v>155</v>
      </c>
      <c r="CN150" s="61">
        <f t="shared" si="1006"/>
        <v>19.139123750960806</v>
      </c>
      <c r="CO150" s="102">
        <f>CO149-CO147</f>
        <v>151.1</v>
      </c>
      <c r="CP150" s="61">
        <f t="shared" si="1006"/>
        <v>11.677753141167768</v>
      </c>
      <c r="CQ150" s="102">
        <f>CQ149-CQ147</f>
        <v>138.30000000000001</v>
      </c>
      <c r="CR150" s="61">
        <f t="shared" si="1006"/>
        <v>2.9017857142857428</v>
      </c>
      <c r="CS150" s="102">
        <f>CS149-CS147</f>
        <v>134</v>
      </c>
      <c r="CT150" s="61">
        <f t="shared" si="1006"/>
        <v>-9.3982420554428732</v>
      </c>
      <c r="CU150" s="102">
        <f>CU149-CU147</f>
        <v>141</v>
      </c>
      <c r="CV150" s="61">
        <f t="shared" si="1007"/>
        <v>-9.0322580645161299</v>
      </c>
      <c r="CW150" s="102">
        <f>CW149-CW147</f>
        <v>146</v>
      </c>
      <c r="CX150" s="61">
        <f t="shared" si="1008"/>
        <v>-3.375248180013235</v>
      </c>
      <c r="CY150" s="102">
        <f>CY149-CY147</f>
        <v>141</v>
      </c>
      <c r="CZ150" s="61">
        <f t="shared" si="1009"/>
        <v>1.9522776572667988</v>
      </c>
      <c r="DA150" s="102">
        <f>DA149-DA147</f>
        <v>144</v>
      </c>
      <c r="DB150" s="61">
        <f t="shared" si="1010"/>
        <v>7.4626865671641784</v>
      </c>
      <c r="DC150" s="102">
        <f>DC149-DC147</f>
        <v>143</v>
      </c>
      <c r="DD150" s="61">
        <f t="shared" si="1011"/>
        <v>1.4184397163120588</v>
      </c>
      <c r="DE150" s="102">
        <f>DE149-DE147</f>
        <v>154</v>
      </c>
      <c r="DF150" s="61">
        <f t="shared" si="1012"/>
        <v>5.4794520547945202</v>
      </c>
      <c r="DG150" s="102">
        <f>DG149-DG147</f>
        <v>151</v>
      </c>
      <c r="DH150" s="61">
        <f t="shared" si="1013"/>
        <v>7.0921985815602939</v>
      </c>
      <c r="DI150" s="102">
        <f>DI149-DI147</f>
        <v>153</v>
      </c>
      <c r="DJ150" s="61">
        <f t="shared" si="1014"/>
        <v>6.25</v>
      </c>
      <c r="DK150" s="102">
        <f>DK149-DK147</f>
        <v>153</v>
      </c>
      <c r="DL150" s="61">
        <f t="shared" si="1015"/>
        <v>6.9930069930070005</v>
      </c>
      <c r="DM150" s="102">
        <f>DM149-DM147</f>
        <v>152</v>
      </c>
      <c r="DN150" s="130">
        <f t="shared" si="1016"/>
        <v>-1.2987012987012991</v>
      </c>
      <c r="DO150" s="102">
        <f>DO149-DO147</f>
        <v>154</v>
      </c>
      <c r="DP150" s="130">
        <f t="shared" si="1016"/>
        <v>1.9867549668874274</v>
      </c>
      <c r="DQ150" s="102">
        <f>DQ149-DQ147</f>
        <v>158</v>
      </c>
      <c r="DR150" s="130">
        <f t="shared" si="1016"/>
        <v>3.2679738562091609</v>
      </c>
      <c r="DS150" s="102">
        <f>DS149-DS147</f>
        <v>150</v>
      </c>
      <c r="DT150" s="130">
        <f t="shared" si="1016"/>
        <v>-1.9607843137254943</v>
      </c>
      <c r="DU150" s="102">
        <f>DU149-DU147</f>
        <v>147</v>
      </c>
      <c r="DV150" s="130">
        <f t="shared" si="1016"/>
        <v>-3.289473684210531</v>
      </c>
      <c r="DW150" s="102">
        <f>DW149-DW147</f>
        <v>158</v>
      </c>
      <c r="DX150" s="102">
        <f t="shared" ref="DX150:DY150" si="1053">DX149-DX147</f>
        <v>158</v>
      </c>
      <c r="DY150" s="102">
        <f t="shared" si="1053"/>
        <v>150</v>
      </c>
      <c r="DZ150" s="130">
        <f t="shared" si="1016"/>
        <v>-5.0632911392405111</v>
      </c>
      <c r="EA150" s="102">
        <f t="shared" ref="EA150:EC150" si="1054">EA149-EA147</f>
        <v>142</v>
      </c>
      <c r="EB150" s="130">
        <f t="shared" si="1017"/>
        <v>-5.3333333333333339</v>
      </c>
      <c r="EC150" s="102">
        <f t="shared" si="1054"/>
        <v>143</v>
      </c>
      <c r="ED150" s="130">
        <f t="shared" si="1018"/>
        <v>-2.7210884353741527</v>
      </c>
      <c r="EE150" s="102">
        <f t="shared" ref="EE150:EG150" si="1055">EE149-EE147</f>
        <v>154</v>
      </c>
      <c r="EF150" s="130">
        <f t="shared" si="1019"/>
        <v>-2.5316455696202556</v>
      </c>
      <c r="EG150" s="102">
        <f t="shared" si="1055"/>
        <v>150</v>
      </c>
      <c r="EH150" s="130">
        <f t="shared" si="1020"/>
        <v>0</v>
      </c>
      <c r="EI150" s="102">
        <f t="shared" ref="EI150:EK150" si="1056">EI149-EI147</f>
        <v>150</v>
      </c>
      <c r="EJ150" s="130">
        <f t="shared" si="1021"/>
        <v>5.6338028169014009</v>
      </c>
      <c r="EK150" s="102">
        <f t="shared" si="1056"/>
        <v>156</v>
      </c>
      <c r="EL150" s="130">
        <f t="shared" si="1022"/>
        <v>9.0909090909090828</v>
      </c>
      <c r="EM150" s="102">
        <f t="shared" ref="EM150" si="1057">EM149-EM147</f>
        <v>155</v>
      </c>
      <c r="EN150" s="130">
        <f t="shared" si="1023"/>
        <v>0.64935064935065512</v>
      </c>
      <c r="EO150" s="102">
        <f t="shared" ref="EO150" si="1058">EO149-EO147</f>
        <v>166</v>
      </c>
      <c r="EP150" s="130">
        <f t="shared" si="1024"/>
        <v>10.666666666666668</v>
      </c>
      <c r="EQ150" s="102">
        <f t="shared" ref="EQ150:EW150" si="1059">EQ149-EQ147</f>
        <v>169.34396131164664</v>
      </c>
      <c r="ER150" s="130">
        <f t="shared" si="1026"/>
        <v>12.895974207764427</v>
      </c>
      <c r="ES150" s="102">
        <f t="shared" si="1059"/>
        <v>169.12106511876226</v>
      </c>
      <c r="ET150" s="130">
        <f t="shared" si="1027"/>
        <v>8.4109391786937557</v>
      </c>
      <c r="EU150" s="102">
        <f t="shared" si="1059"/>
        <v>170.86599918610025</v>
      </c>
      <c r="EV150" s="130">
        <f t="shared" si="1028"/>
        <v>10.236128507161446</v>
      </c>
      <c r="EW150" s="102">
        <f t="shared" si="1059"/>
        <v>172.06706158244941</v>
      </c>
      <c r="EX150" s="130">
        <f t="shared" si="1029"/>
        <v>3.6548563749695173</v>
      </c>
      <c r="EY150" s="103"/>
      <c r="EZ150" s="558"/>
      <c r="FA150" s="103"/>
      <c r="FB150" s="102"/>
      <c r="FC150" s="100"/>
      <c r="FD150" s="102"/>
      <c r="FE150" s="70"/>
      <c r="FF150" s="102"/>
      <c r="FG150" s="70"/>
      <c r="FH150" s="102"/>
      <c r="FI150" s="70"/>
      <c r="FJ150" s="102"/>
      <c r="FK150" s="70"/>
      <c r="FL150" s="102"/>
      <c r="FM150" s="61"/>
      <c r="FN150" s="102"/>
      <c r="FO150" s="61"/>
      <c r="FP150" s="104">
        <f>FP149-FP147</f>
        <v>543.70000000000005</v>
      </c>
      <c r="FQ150" s="61" t="str">
        <f t="shared" si="1030"/>
        <v>NA</v>
      </c>
      <c r="FR150" s="104">
        <f>FR149-FR147</f>
        <v>577.6</v>
      </c>
      <c r="FS150" s="61">
        <f t="shared" si="1031"/>
        <v>6.2350560971123681</v>
      </c>
      <c r="FT150" s="104">
        <f>FT149-FT147</f>
        <v>567.09999999999991</v>
      </c>
      <c r="FU150" s="61">
        <f t="shared" si="1032"/>
        <v>-1.8178670360111004</v>
      </c>
      <c r="FV150" s="104">
        <f>FV149-FV147</f>
        <v>503</v>
      </c>
      <c r="FW150" s="61">
        <f t="shared" si="1033"/>
        <v>-11.303121142655604</v>
      </c>
      <c r="FX150" s="104">
        <f>FX149-FX147</f>
        <v>480.80000000000007</v>
      </c>
      <c r="FY150" s="61">
        <f t="shared" si="1034"/>
        <v>-4.4135188866799124</v>
      </c>
      <c r="FZ150" s="104">
        <f>FZ149-FZ147</f>
        <v>547.70000000000005</v>
      </c>
      <c r="GA150" s="61">
        <f t="shared" si="1035"/>
        <v>13.91430948419301</v>
      </c>
      <c r="GB150" s="104">
        <f>GB149-GB147</f>
        <v>578.4</v>
      </c>
      <c r="GC150" s="61">
        <f t="shared" si="1036"/>
        <v>5.6052583531130074</v>
      </c>
      <c r="GD150" s="104">
        <f>GD149-GD147</f>
        <v>572</v>
      </c>
      <c r="GE150" s="61">
        <f t="shared" si="1037"/>
        <v>-1.1065006915629283</v>
      </c>
      <c r="GF150" s="104">
        <f>GF149-GF147</f>
        <v>601</v>
      </c>
      <c r="GG150" s="61">
        <f t="shared" si="1038"/>
        <v>5.069930069930062</v>
      </c>
      <c r="GH150" s="104">
        <f>GH149-GH147</f>
        <v>617</v>
      </c>
      <c r="GI150" s="61">
        <f t="shared" si="1038"/>
        <v>2.6622296173044901</v>
      </c>
      <c r="GJ150" s="104">
        <f>GJ149-GJ147</f>
        <v>605</v>
      </c>
      <c r="GK150" s="61">
        <f t="shared" si="1038"/>
        <v>-1.9448946515397081</v>
      </c>
      <c r="GL150" s="104">
        <f>GL149-GL147</f>
        <v>589</v>
      </c>
      <c r="GM150" s="61">
        <f t="shared" si="1038"/>
        <v>-2.6446280991735516</v>
      </c>
      <c r="GN150" s="104">
        <f>GN149-GN147</f>
        <v>627</v>
      </c>
      <c r="GO150" s="61">
        <f t="shared" si="1038"/>
        <v>6.4516129032258007</v>
      </c>
      <c r="GP150" s="104">
        <f>GP149-GP147</f>
        <v>681.39808719895859</v>
      </c>
      <c r="GQ150" s="61">
        <f t="shared" si="1038"/>
        <v>8.6759309727206571</v>
      </c>
      <c r="GR150" s="102">
        <f>GR149-GR147</f>
        <v>701.77048497302758</v>
      </c>
      <c r="GS150" s="61">
        <f t="shared" si="1038"/>
        <v>2.9897938014200154</v>
      </c>
      <c r="GT150" s="102">
        <f>GT149-GT147</f>
        <v>722.84198729920126</v>
      </c>
      <c r="GU150" s="61">
        <f t="shared" si="1038"/>
        <v>3.0026201981098621</v>
      </c>
      <c r="GV150" s="102">
        <f>GV149-GV147</f>
        <v>746.55644460421911</v>
      </c>
      <c r="GW150" s="61">
        <f t="shared" si="1038"/>
        <v>3.2807249332075461</v>
      </c>
      <c r="GX150" s="102">
        <f>GX149-GX147</f>
        <v>772.8519411743913</v>
      </c>
      <c r="GY150" s="61">
        <f t="shared" si="1039"/>
        <v>3.5222382393487406</v>
      </c>
      <c r="GZ150" s="61">
        <f t="shared" si="998"/>
        <v>4.2715314790472414</v>
      </c>
      <c r="HA150" s="61"/>
      <c r="HB150" s="452"/>
      <c r="HC150"/>
      <c r="HD150"/>
      <c r="HE150"/>
      <c r="HF150"/>
      <c r="HG150"/>
      <c r="HH150"/>
    </row>
    <row r="151" spans="1:216" s="5" customFormat="1" ht="12.75" customHeight="1" x14ac:dyDescent="0.2">
      <c r="B151" s="2"/>
      <c r="C151" s="72"/>
      <c r="D151" s="70"/>
      <c r="E151" s="72"/>
      <c r="F151" s="71"/>
      <c r="G151" s="72"/>
      <c r="H151" s="71"/>
      <c r="I151" s="72"/>
      <c r="J151" s="61"/>
      <c r="K151" s="72"/>
      <c r="L151" s="61"/>
      <c r="M151" s="72"/>
      <c r="N151" s="61"/>
      <c r="O151" s="72"/>
      <c r="P151" s="61"/>
      <c r="Q151" s="72"/>
      <c r="R151" s="61"/>
      <c r="S151" s="72"/>
      <c r="T151" s="61"/>
      <c r="U151" s="72"/>
      <c r="V151" s="61"/>
      <c r="W151" s="72"/>
      <c r="X151" s="61"/>
      <c r="Y151" s="72"/>
      <c r="Z151" s="61"/>
      <c r="AA151" s="72"/>
      <c r="AB151" s="61"/>
      <c r="AC151" s="72"/>
      <c r="AD151" s="61"/>
      <c r="AE151" s="72"/>
      <c r="AF151" s="61"/>
      <c r="AG151" s="72"/>
      <c r="AH151" s="61"/>
      <c r="AI151" s="72"/>
      <c r="AJ151" s="61"/>
      <c r="AK151" s="72"/>
      <c r="AL151" s="61"/>
      <c r="AM151" s="72"/>
      <c r="AN151" s="61"/>
      <c r="AO151" s="72"/>
      <c r="AP151" s="61"/>
      <c r="AQ151" s="69"/>
      <c r="AR151" s="61"/>
      <c r="AS151" s="69"/>
      <c r="AT151" s="61"/>
      <c r="AU151" s="69"/>
      <c r="AV151" s="61"/>
      <c r="AW151" s="69"/>
      <c r="AX151" s="61"/>
      <c r="AY151" s="69"/>
      <c r="AZ151" s="61"/>
      <c r="BA151" s="69"/>
      <c r="BB151" s="61"/>
      <c r="BC151" s="69"/>
      <c r="BD151" s="61"/>
      <c r="BE151" s="69"/>
      <c r="BF151" s="61"/>
      <c r="BG151" s="69"/>
      <c r="BH151" s="61"/>
      <c r="BI151" s="69"/>
      <c r="BJ151" s="61"/>
      <c r="BK151" s="69"/>
      <c r="BL151" s="61"/>
      <c r="BM151" s="69"/>
      <c r="BN151" s="61"/>
      <c r="BO151" s="69"/>
      <c r="BP151" s="61"/>
      <c r="BQ151" s="69"/>
      <c r="BR151" s="61"/>
      <c r="BS151" s="69"/>
      <c r="BT151" s="61"/>
      <c r="BU151" s="69"/>
      <c r="BV151" s="61"/>
      <c r="BW151" s="69"/>
      <c r="BX151" s="61"/>
      <c r="BY151" s="69"/>
      <c r="BZ151" s="61"/>
      <c r="CA151" s="69"/>
      <c r="CB151" s="61"/>
      <c r="CC151" s="69"/>
      <c r="CD151" s="61"/>
      <c r="CE151" s="69"/>
      <c r="CF151" s="61"/>
      <c r="CG151" s="69"/>
      <c r="CH151" s="61"/>
      <c r="CI151" s="69"/>
      <c r="CJ151" s="61"/>
      <c r="CK151" s="69"/>
      <c r="CL151" s="61"/>
      <c r="CM151" s="69"/>
      <c r="CN151" s="61"/>
      <c r="CO151" s="69"/>
      <c r="CP151" s="61"/>
      <c r="CQ151" s="69"/>
      <c r="CR151" s="61"/>
      <c r="CS151" s="69"/>
      <c r="CT151" s="61"/>
      <c r="CU151" s="69"/>
      <c r="CV151" s="61"/>
      <c r="CW151" s="69"/>
      <c r="CX151" s="61"/>
      <c r="CY151" s="69"/>
      <c r="CZ151" s="61"/>
      <c r="DA151" s="69"/>
      <c r="DB151" s="61"/>
      <c r="DC151" s="69"/>
      <c r="DD151" s="61"/>
      <c r="DE151" s="69"/>
      <c r="DF151" s="61"/>
      <c r="DG151" s="69"/>
      <c r="DH151" s="61"/>
      <c r="DI151" s="69"/>
      <c r="DJ151" s="61"/>
      <c r="DK151" s="69"/>
      <c r="DL151" s="61"/>
      <c r="DM151" s="69"/>
      <c r="DN151" s="61"/>
      <c r="DO151" s="69"/>
      <c r="DP151" s="61"/>
      <c r="DQ151" s="69"/>
      <c r="DR151" s="61"/>
      <c r="DS151" s="69"/>
      <c r="DT151" s="61"/>
      <c r="DU151" s="69"/>
      <c r="DV151" s="61"/>
      <c r="DW151" s="69"/>
      <c r="DX151" s="69"/>
      <c r="DY151" s="69"/>
      <c r="DZ151" s="61"/>
      <c r="EA151" s="69"/>
      <c r="EB151" s="61"/>
      <c r="EC151" s="69"/>
      <c r="ED151" s="61"/>
      <c r="EE151" s="69"/>
      <c r="EF151" s="61"/>
      <c r="EG151" s="69"/>
      <c r="EH151" s="61"/>
      <c r="EI151" s="69"/>
      <c r="EJ151" s="61"/>
      <c r="EK151" s="69"/>
      <c r="EL151" s="61"/>
      <c r="EM151" s="69"/>
      <c r="EN151" s="61"/>
      <c r="EO151" s="69"/>
      <c r="EP151" s="61"/>
      <c r="EQ151" s="69"/>
      <c r="ER151" s="61"/>
      <c r="ES151" s="69"/>
      <c r="ET151" s="61"/>
      <c r="EU151" s="69"/>
      <c r="EV151" s="61"/>
      <c r="EW151" s="69"/>
      <c r="EX151" s="61"/>
      <c r="EY151" s="64"/>
      <c r="EZ151" s="558"/>
      <c r="FA151" s="64"/>
      <c r="FB151" s="69"/>
      <c r="FC151" s="71"/>
      <c r="FD151" s="69"/>
      <c r="FE151" s="70"/>
      <c r="FF151" s="69"/>
      <c r="FG151" s="70"/>
      <c r="FH151" s="69"/>
      <c r="FI151" s="70"/>
      <c r="FJ151" s="69"/>
      <c r="FK151" s="70"/>
      <c r="FL151" s="69"/>
      <c r="FM151" s="61"/>
      <c r="FN151" s="69"/>
      <c r="FO151" s="61"/>
      <c r="FP151" s="73"/>
      <c r="FQ151" s="61"/>
      <c r="FR151" s="73"/>
      <c r="FS151" s="61"/>
      <c r="FT151" s="73"/>
      <c r="FU151" s="61"/>
      <c r="FV151" s="73"/>
      <c r="FW151" s="61"/>
      <c r="FX151" s="73"/>
      <c r="FY151" s="61"/>
      <c r="FZ151" s="73"/>
      <c r="GA151" s="61"/>
      <c r="GB151" s="73"/>
      <c r="GC151" s="61"/>
      <c r="GD151" s="73"/>
      <c r="GE151" s="61"/>
      <c r="GF151" s="73"/>
      <c r="GG151" s="61"/>
      <c r="GH151" s="73"/>
      <c r="GI151" s="61"/>
      <c r="GJ151" s="73"/>
      <c r="GK151" s="61"/>
      <c r="GL151" s="73"/>
      <c r="GM151" s="61"/>
      <c r="GN151" s="73"/>
      <c r="GO151" s="61"/>
      <c r="GP151" s="73"/>
      <c r="GQ151" s="61"/>
      <c r="GR151" s="69"/>
      <c r="GS151" s="61"/>
      <c r="GT151" s="69"/>
      <c r="GU151" s="61"/>
      <c r="GV151" s="69"/>
      <c r="GW151" s="61"/>
      <c r="GX151" s="69"/>
      <c r="GY151" s="61"/>
      <c r="GZ151" s="61"/>
      <c r="HA151" s="61"/>
      <c r="HB151" s="452"/>
      <c r="HC151"/>
      <c r="HD151"/>
      <c r="HE151"/>
      <c r="HF151"/>
      <c r="HG151"/>
      <c r="HH151"/>
    </row>
    <row r="152" spans="1:216" s="106" customFormat="1" ht="12.75" customHeight="1" x14ac:dyDescent="0.2">
      <c r="A152" s="5"/>
      <c r="B152" s="63" t="s">
        <v>635</v>
      </c>
      <c r="C152" s="98"/>
      <c r="D152" s="99"/>
      <c r="E152" s="98"/>
      <c r="F152" s="100"/>
      <c r="G152" s="98"/>
      <c r="H152" s="100"/>
      <c r="I152" s="98"/>
      <c r="J152" s="101"/>
      <c r="K152" s="98"/>
      <c r="L152" s="61"/>
      <c r="M152" s="98"/>
      <c r="N152" s="61"/>
      <c r="O152" s="98"/>
      <c r="P152" s="61"/>
      <c r="Q152" s="98"/>
      <c r="R152" s="61"/>
      <c r="S152" s="98"/>
      <c r="T152" s="61"/>
      <c r="U152" s="98"/>
      <c r="V152" s="61"/>
      <c r="W152" s="98"/>
      <c r="X152" s="61"/>
      <c r="Y152" s="98"/>
      <c r="Z152" s="61"/>
      <c r="AA152" s="98"/>
      <c r="AB152" s="61"/>
      <c r="AC152" s="98"/>
      <c r="AD152" s="61"/>
      <c r="AE152" s="98"/>
      <c r="AF152" s="61"/>
      <c r="AG152" s="98"/>
      <c r="AH152" s="61"/>
      <c r="AI152" s="98"/>
      <c r="AJ152" s="61"/>
      <c r="AK152" s="98"/>
      <c r="AL152" s="61"/>
      <c r="AM152" s="98"/>
      <c r="AN152" s="61"/>
      <c r="AO152" s="98"/>
      <c r="AP152" s="61"/>
      <c r="AQ152" s="98"/>
      <c r="AR152" s="61"/>
      <c r="AS152" s="98"/>
      <c r="AT152" s="61"/>
      <c r="AU152" s="98"/>
      <c r="AV152" s="61"/>
      <c r="AW152" s="98"/>
      <c r="AX152" s="61"/>
      <c r="AY152" s="98"/>
      <c r="AZ152" s="61"/>
      <c r="BA152" s="98"/>
      <c r="BB152" s="61"/>
      <c r="BC152" s="98"/>
      <c r="BD152" s="61"/>
      <c r="BE152" s="98"/>
      <c r="BF152" s="61"/>
      <c r="BG152" s="98"/>
      <c r="BH152" s="61"/>
      <c r="BI152" s="98"/>
      <c r="BJ152" s="61"/>
      <c r="BK152" s="98"/>
      <c r="BL152" s="61"/>
      <c r="BM152" s="98"/>
      <c r="BN152" s="61"/>
      <c r="BO152" s="98"/>
      <c r="BP152" s="61"/>
      <c r="BQ152" s="98"/>
      <c r="BR152" s="61"/>
      <c r="BS152" s="98"/>
      <c r="BT152" s="61"/>
      <c r="BU152" s="98"/>
      <c r="BV152" s="61"/>
      <c r="BW152" s="102"/>
      <c r="BX152" s="61"/>
      <c r="BY152" s="102"/>
      <c r="BZ152" s="61"/>
      <c r="CA152" s="102"/>
      <c r="CB152" s="61"/>
      <c r="CC152" s="102"/>
      <c r="CD152" s="61"/>
      <c r="CE152" s="102"/>
      <c r="CF152" s="61"/>
      <c r="CG152" s="102"/>
      <c r="CH152" s="61"/>
      <c r="CI152" s="102"/>
      <c r="CJ152" s="61"/>
      <c r="CK152" s="102"/>
      <c r="CL152" s="61"/>
      <c r="CM152" s="102"/>
      <c r="CN152" s="61"/>
      <c r="CO152" s="102"/>
      <c r="CP152" s="61"/>
      <c r="CQ152" s="102"/>
      <c r="CR152" s="61"/>
      <c r="CS152" s="102"/>
      <c r="CT152" s="61"/>
      <c r="CU152" s="102"/>
      <c r="CV152" s="61"/>
      <c r="CW152" s="102"/>
      <c r="CX152" s="61"/>
      <c r="CY152" s="102"/>
      <c r="CZ152" s="61"/>
      <c r="DA152" s="102"/>
      <c r="DB152" s="61"/>
      <c r="DC152" s="102"/>
      <c r="DD152" s="61"/>
      <c r="DE152" s="102"/>
      <c r="DF152" s="61"/>
      <c r="DG152" s="102"/>
      <c r="DH152" s="61"/>
      <c r="DI152" s="102"/>
      <c r="DJ152" s="61"/>
      <c r="DK152" s="102"/>
      <c r="DL152" s="61"/>
      <c r="DM152" s="102"/>
      <c r="DN152" s="61"/>
      <c r="DO152" s="102"/>
      <c r="DP152" s="61"/>
      <c r="DQ152" s="102"/>
      <c r="DR152" s="61"/>
      <c r="DS152" s="102"/>
      <c r="DT152" s="61"/>
      <c r="DU152" s="102"/>
      <c r="DV152" s="61"/>
      <c r="DW152" s="102"/>
      <c r="DX152" s="102"/>
      <c r="DY152" s="102"/>
      <c r="DZ152" s="61"/>
      <c r="EA152" s="102"/>
      <c r="EB152" s="61"/>
      <c r="EC152" s="102"/>
      <c r="ED152" s="61"/>
      <c r="EE152" s="102"/>
      <c r="EF152" s="61"/>
      <c r="EG152" s="102"/>
      <c r="EH152" s="61"/>
      <c r="EI152" s="102"/>
      <c r="EJ152" s="61"/>
      <c r="EK152" s="102"/>
      <c r="EL152" s="61"/>
      <c r="EM152" s="102"/>
      <c r="EN152" s="61"/>
      <c r="EO152" s="102"/>
      <c r="EP152" s="61"/>
      <c r="EQ152" s="102"/>
      <c r="ER152" s="61"/>
      <c r="ES152" s="102"/>
      <c r="ET152" s="61"/>
      <c r="EU152" s="102"/>
      <c r="EV152" s="61"/>
      <c r="EW152" s="102"/>
      <c r="EX152" s="61"/>
      <c r="EY152" s="103"/>
      <c r="EZ152" s="558"/>
      <c r="FA152" s="103"/>
      <c r="FB152" s="102"/>
      <c r="FC152" s="100"/>
      <c r="FD152" s="102"/>
      <c r="FE152" s="70"/>
      <c r="FF152" s="102"/>
      <c r="FG152" s="70"/>
      <c r="FH152" s="102"/>
      <c r="FI152" s="70"/>
      <c r="FJ152" s="102"/>
      <c r="FK152" s="70"/>
      <c r="FL152" s="102"/>
      <c r="FM152" s="61"/>
      <c r="FN152" s="102"/>
      <c r="FO152" s="61"/>
      <c r="FP152" s="104"/>
      <c r="FQ152" s="61"/>
      <c r="FR152" s="104"/>
      <c r="FS152" s="61"/>
      <c r="FT152" s="104"/>
      <c r="FU152" s="61"/>
      <c r="FV152" s="104"/>
      <c r="FW152" s="61"/>
      <c r="FX152" s="104"/>
      <c r="FY152" s="61"/>
      <c r="FZ152" s="104"/>
      <c r="GA152" s="61"/>
      <c r="GB152" s="104"/>
      <c r="GC152" s="61"/>
      <c r="GD152" s="104"/>
      <c r="GE152" s="61"/>
      <c r="GF152" s="104"/>
      <c r="GG152" s="61"/>
      <c r="GH152" s="104"/>
      <c r="GI152" s="61"/>
      <c r="GJ152" s="104"/>
      <c r="GK152" s="61"/>
      <c r="GL152" s="104"/>
      <c r="GM152" s="61"/>
      <c r="GN152" s="104"/>
      <c r="GO152" s="61"/>
      <c r="GP152" s="104"/>
      <c r="GQ152" s="61"/>
      <c r="GR152" s="102"/>
      <c r="GS152" s="61"/>
      <c r="GT152" s="102"/>
      <c r="GU152" s="61"/>
      <c r="GV152" s="102"/>
      <c r="GW152" s="61"/>
      <c r="GX152" s="102"/>
      <c r="GY152" s="61"/>
      <c r="GZ152" s="61" t="str">
        <f>IF(ISERROR((GX152/GN152)^0.2),"",IF(OR((GX152/GN152)^0.2&lt;0.5,(GX152/GN152)^0.2&gt;2),"NM",((GX152/GN152)^0.2-1)*100))</f>
        <v/>
      </c>
      <c r="HA152" s="61"/>
      <c r="HB152" s="452"/>
      <c r="HC152"/>
      <c r="HD152"/>
      <c r="HE152"/>
      <c r="HF152"/>
      <c r="HG152"/>
      <c r="HH152"/>
    </row>
    <row r="153" spans="1:216" s="5" customFormat="1" ht="12.75" customHeight="1" x14ac:dyDescent="0.2">
      <c r="B153" s="2" t="s">
        <v>251</v>
      </c>
      <c r="C153" s="66"/>
      <c r="D153" s="67"/>
      <c r="E153" s="66"/>
      <c r="F153" s="66"/>
      <c r="G153" s="64"/>
      <c r="H153" s="66"/>
      <c r="I153" s="64"/>
      <c r="J153" s="66"/>
      <c r="K153" s="64"/>
      <c r="L153" s="61"/>
      <c r="M153" s="66"/>
      <c r="N153" s="61"/>
      <c r="O153" s="64"/>
      <c r="P153" s="61"/>
      <c r="Q153" s="64"/>
      <c r="R153" s="61"/>
      <c r="S153" s="64"/>
      <c r="T153" s="61"/>
      <c r="U153" s="64"/>
      <c r="V153" s="61"/>
      <c r="W153" s="64"/>
      <c r="X153" s="61"/>
      <c r="Y153" s="64"/>
      <c r="Z153" s="61"/>
      <c r="AA153" s="118"/>
      <c r="AB153" s="61"/>
      <c r="AC153" s="118"/>
      <c r="AD153" s="61"/>
      <c r="AE153" s="118"/>
      <c r="AF153" s="61"/>
      <c r="AG153" s="118"/>
      <c r="AH153" s="61"/>
      <c r="AI153" s="118"/>
      <c r="AJ153" s="61"/>
      <c r="AK153" s="118"/>
      <c r="AL153" s="61"/>
      <c r="AM153" s="118"/>
      <c r="AN153" s="61"/>
      <c r="AO153" s="118"/>
      <c r="AP153" s="61"/>
      <c r="AQ153" s="118"/>
      <c r="AR153" s="61"/>
      <c r="AS153" s="118"/>
      <c r="AT153" s="61"/>
      <c r="AU153" s="118"/>
      <c r="AV153" s="61"/>
      <c r="AW153" s="118"/>
      <c r="AX153" s="61"/>
      <c r="AY153" s="118"/>
      <c r="AZ153" s="61"/>
      <c r="BA153" s="118"/>
      <c r="BB153" s="61"/>
      <c r="BC153" s="118"/>
      <c r="BD153" s="61"/>
      <c r="BE153" s="118"/>
      <c r="BF153" s="61"/>
      <c r="BG153" s="140">
        <f>BG145/BG135*400</f>
        <v>0.72566085922707724</v>
      </c>
      <c r="BH153" s="61"/>
      <c r="BI153" s="140">
        <f>BI145/BI135*400</f>
        <v>0.74050938413924305</v>
      </c>
      <c r="BJ153" s="61"/>
      <c r="BK153" s="140">
        <f>BK145/BK135*400</f>
        <v>0.71955922865013766</v>
      </c>
      <c r="BL153" s="61"/>
      <c r="BM153" s="140">
        <f>BM145/BM135*400</f>
        <v>0.73182474723158397</v>
      </c>
      <c r="BN153" s="61"/>
      <c r="BO153" s="140">
        <f>BO145/BO135*400</f>
        <v>0.69131060969755154</v>
      </c>
      <c r="BP153" s="61"/>
      <c r="BQ153" s="140">
        <f>BQ145/BQ135*400</f>
        <v>0.69678824169842124</v>
      </c>
      <c r="BR153" s="61"/>
      <c r="BS153" s="140">
        <f>BS145/BS135*400</f>
        <v>0.66139170302447681</v>
      </c>
      <c r="BT153" s="61"/>
      <c r="BU153" s="140">
        <f>BU145/BU135*400</f>
        <v>0.57541781256610969</v>
      </c>
      <c r="BV153" s="61"/>
      <c r="BW153" s="140">
        <f>BW145/BW135*400</f>
        <v>0.56613968729846087</v>
      </c>
      <c r="BX153" s="61"/>
      <c r="BY153" s="140">
        <f>BY145/BY135*400</f>
        <v>0.59779338014042127</v>
      </c>
      <c r="BZ153" s="61"/>
      <c r="CA153" s="140">
        <f>CA145/CA135*400</f>
        <v>0.58249173635546614</v>
      </c>
      <c r="CB153" s="61"/>
      <c r="CC153" s="140">
        <f>CC145/CC135*400</f>
        <v>0.5710674480064345</v>
      </c>
      <c r="CD153" s="61"/>
      <c r="CE153" s="140">
        <f>CE145/CE135*400</f>
        <v>0.55777003097179212</v>
      </c>
      <c r="CF153" s="61"/>
      <c r="CG153" s="140">
        <f>CG145/CG135*400</f>
        <v>0.55088585009548507</v>
      </c>
      <c r="CH153" s="61"/>
      <c r="CI153" s="140">
        <f>CI145/CI135*400</f>
        <v>0.53349600709849154</v>
      </c>
      <c r="CJ153" s="61"/>
      <c r="CK153" s="140">
        <f>CK145/CK135*400</f>
        <v>0.55854146906944879</v>
      </c>
      <c r="CL153" s="61"/>
      <c r="CM153" s="140">
        <f>CM145/CM135*400</f>
        <v>0.55603295758984983</v>
      </c>
      <c r="CN153" s="61"/>
      <c r="CO153" s="140">
        <f>CO145/CO135*400</f>
        <v>0.54991004404739752</v>
      </c>
      <c r="CP153" s="61"/>
      <c r="CQ153" s="140">
        <f>CQ145/CQ135*400</f>
        <v>0.52776592029182345</v>
      </c>
      <c r="CR153" s="61"/>
      <c r="CS153" s="140">
        <f>CS145/CS135*400</f>
        <v>0.51475319422741062</v>
      </c>
      <c r="CT153" s="61"/>
      <c r="CU153" s="140">
        <f>CU145/CU135*400</f>
        <v>0.51261197984054807</v>
      </c>
      <c r="CV153" s="61"/>
      <c r="CW153" s="140">
        <f>CW145/CW135*400</f>
        <v>0.50828967716412721</v>
      </c>
      <c r="CX153" s="61"/>
      <c r="CY153" s="140">
        <f>CY145/CY135*400</f>
        <v>0.50177514792899414</v>
      </c>
      <c r="CZ153" s="61"/>
      <c r="DA153" s="140">
        <f>DA145/DA135*400</f>
        <v>0.49635774524898313</v>
      </c>
      <c r="DB153" s="61"/>
      <c r="DC153" s="140">
        <f>DC145/DC135*400</f>
        <v>0.49572328018324058</v>
      </c>
      <c r="DD153" s="61"/>
      <c r="DE153" s="140">
        <f>DE145/DE135*400</f>
        <v>0.49604977602924988</v>
      </c>
      <c r="DF153" s="61"/>
      <c r="DG153" s="140">
        <f>DG145/DG135*400</f>
        <v>0.48959608323133408</v>
      </c>
      <c r="DH153" s="61"/>
      <c r="DI153" s="140">
        <f>DI145/DI135*400</f>
        <v>0.47559126893695441</v>
      </c>
      <c r="DJ153" s="61"/>
      <c r="DK153" s="140">
        <f>DK145/DK135*400</f>
        <v>0.47163884835071374</v>
      </c>
      <c r="DL153" s="61"/>
      <c r="DM153" s="140">
        <f>DM145/DM135*400</f>
        <v>0.46970141762706086</v>
      </c>
      <c r="DN153" s="130">
        <f t="shared" ref="DN153:DZ156" si="1060">IF(ISERROR((DM153/DE153-1)*100),"NA",IF(((DM153/DE153-1)*100)&gt;100,"NM",IF(((DM153/DE153-1)*100)&lt;-50,"NM",(DM153/DE153-1)*100)))</f>
        <v>-5.3116359840137068</v>
      </c>
      <c r="DO153" s="140">
        <f>DO145/DO135*400</f>
        <v>0.46307534310521892</v>
      </c>
      <c r="DP153" s="130">
        <f t="shared" si="1060"/>
        <v>-5.4168611707590237</v>
      </c>
      <c r="DQ153" s="140">
        <f>DQ145/DQ135*400</f>
        <v>0.46398069241634782</v>
      </c>
      <c r="DR153" s="130">
        <f t="shared" si="1060"/>
        <v>-2.4412930343651329</v>
      </c>
      <c r="DS153" s="140">
        <f>DS145/DS135*400</f>
        <v>0.45853324828281145</v>
      </c>
      <c r="DT153" s="130">
        <f t="shared" si="1060"/>
        <v>-2.7787363389872533</v>
      </c>
      <c r="DU153" s="140">
        <f>DU145/DU135*400</f>
        <v>0.44517017724706026</v>
      </c>
      <c r="DV153" s="130">
        <f t="shared" si="1060"/>
        <v>-5.2227307517896833</v>
      </c>
      <c r="DW153" s="140">
        <f>DW145/DW135*400</f>
        <v>0.44513275156955667</v>
      </c>
      <c r="DX153" s="140">
        <f t="shared" ref="DX153:DY153" si="1061">DX145/DX135*400</f>
        <v>-22.42590180253589</v>
      </c>
      <c r="DY153" s="140">
        <f t="shared" si="1061"/>
        <v>0.45631358467983246</v>
      </c>
      <c r="DZ153" s="130">
        <f t="shared" si="1060"/>
        <v>-1.6524626696395761</v>
      </c>
      <c r="EA153" s="140">
        <f t="shared" ref="EA153:EC153" si="1062">EA145/EA135*400</f>
        <v>0.42773262822257652</v>
      </c>
      <c r="EB153" s="130">
        <f t="shared" ref="EB153:EB156" si="1063">IF(ISERROR((EA153/DS153-1)*100),"NA",IF(((EA153/DS153-1)*100)&gt;100,"NM",IF(((EA153/DS153-1)*100)&lt;-50,"NM",(EA153/DS153-1)*100)))</f>
        <v>-6.7172053881767617</v>
      </c>
      <c r="EC153" s="140">
        <f t="shared" si="1062"/>
        <v>0.41481319760936602</v>
      </c>
      <c r="ED153" s="130">
        <f t="shared" ref="ED153:ED156" si="1064">IF(ISERROR((EC153/DU153-1)*100),"NA",IF(((EC153/DU153-1)*100)&gt;100,"NM",IF(((EC153/DU153-1)*100)&lt;-50,"NM",(EC153/DU153-1)*100)))</f>
        <v>-6.8191853788190144</v>
      </c>
      <c r="EE153" s="140">
        <f t="shared" ref="EE153:EG153" si="1065">EE145/EE135*400</f>
        <v>0.41171981756552911</v>
      </c>
      <c r="EF153" s="130">
        <f t="shared" ref="EF153:EF156" si="1066">IF(ISERROR((EE153/DW153-1)*100),"NA",IF(((EE153/DW153-1)*100)&gt;100,"NM",IF(((EE153/DW153-1)*100)&lt;-50,"NM",(EE153/DW153-1)*100)))</f>
        <v>-7.5062852342839719</v>
      </c>
      <c r="EG153" s="140">
        <f t="shared" si="1065"/>
        <v>0.40103023283953609</v>
      </c>
      <c r="EH153" s="130">
        <f t="shared" ref="EH153:EH156" si="1067">IF(ISERROR((EG153/DY153-1)*100),"NA",IF(((EG153/DY153-1)*100)&gt;100,"NM",IF(((EG153/DY153-1)*100)&lt;-50,"NM",(EG153/DY153-1)*100)))</f>
        <v>-12.115210613132488</v>
      </c>
      <c r="EI153" s="140">
        <f t="shared" ref="EI153:EK153" si="1068">EI145/EI135*400</f>
        <v>0.39608280815997715</v>
      </c>
      <c r="EJ153" s="130">
        <f t="shared" ref="EJ153:EJ156" si="1069">IF(ISERROR((EI153/EA153-1)*100),"NA",IF(((EI153/EA153-1)*100)&gt;100,"NM",IF(((EI153/EA153-1)*100)&lt;-50,"NM",(EI153/EA153-1)*100)))</f>
        <v>-7.3994402049987968</v>
      </c>
      <c r="EK153" s="140">
        <f t="shared" si="1068"/>
        <v>0.40226762151158552</v>
      </c>
      <c r="EL153" s="130">
        <f t="shared" ref="EL153:EL156" si="1070">IF(ISERROR((EK153/EC153-1)*100),"NA",IF(((EK153/EC153-1)*100)&gt;100,"NM",IF(((EK153/EC153-1)*100)&lt;-50,"NM",(EK153/EC153-1)*100)))</f>
        <v>-3.0243917430984979</v>
      </c>
      <c r="EM153" s="140">
        <f t="shared" ref="EM153" si="1071">EM145/EM135*400</f>
        <v>0.39561371146887292</v>
      </c>
      <c r="EN153" s="130">
        <f t="shared" ref="EN153:EN156" si="1072">IF(ISERROR((EM153/EE153-1)*100),"NA",IF(((EM153/EE153-1)*100)&gt;100,"NM",IF(((EM153/EE153-1)*100)&lt;-50,"NM",(EM153/EE153-1)*100)))</f>
        <v>-3.9119093639675806</v>
      </c>
      <c r="EO153" s="140">
        <f t="shared" ref="EO153" si="1073">EO145/EO135*400</f>
        <v>0.38729784111711218</v>
      </c>
      <c r="EP153" s="130">
        <f t="shared" ref="EP153:EP156" si="1074">IF(ISERROR((EO153/EG153-1)*100),"NA",IF(((EO153/EG153-1)*100)&gt;100,"NM",IF(((EO153/EG153-1)*100)&lt;-50,"NM",(EO153/EG153-1)*100)))</f>
        <v>-3.4242784204049359</v>
      </c>
      <c r="EQ153" s="141">
        <v>0.4</v>
      </c>
      <c r="ER153" s="130">
        <f t="shared" ref="ER153:ER156" si="1075">IF(ISERROR((EQ153/EI153-1)*100),"NA",IF(((EQ153/EI153-1)*100)&gt;100,"NM",IF(((EQ153/EI153-1)*100)&lt;-50,"NM",(EQ153/EI153-1)*100)))</f>
        <v>0.98898305084746951</v>
      </c>
      <c r="ES153" s="141">
        <f t="shared" ref="ES153" si="1076">EQ153</f>
        <v>0.4</v>
      </c>
      <c r="ET153" s="130">
        <f t="shared" ref="ET153:ET156" si="1077">IF(ISERROR((ES153/EK153-1)*100),"NA",IF(((ES153/EK153-1)*100)&gt;100,"NM",IF(((ES153/EK153-1)*100)&lt;-50,"NM",(ES153/EK153-1)*100)))</f>
        <v>-0.56370967741936617</v>
      </c>
      <c r="EU153" s="141">
        <f t="shared" ref="EU153" si="1078">ES153</f>
        <v>0.4</v>
      </c>
      <c r="EV153" s="130">
        <f t="shared" ref="EV153:EV156" si="1079">IF(ISERROR((EU153/EM153-1)*100),"NA",IF(((EU153/EM153-1)*100)&gt;100,"NM",IF(((EU153/EM153-1)*100)&lt;-50,"NM",(EU153/EM153-1)*100)))</f>
        <v>1.1087301587301646</v>
      </c>
      <c r="EW153" s="141">
        <f t="shared" ref="EW153" si="1080">EU153</f>
        <v>0.4</v>
      </c>
      <c r="EX153" s="130">
        <f t="shared" ref="EX153:EX156" si="1081">IF(ISERROR((EW153/EO153-1)*100),"NA",IF(((EW153/EO153-1)*100)&gt;100,"NM",IF(((EW153/EO153-1)*100)&lt;-50,"NM",(EW153/EO153-1)*100)))</f>
        <v>3.2796875000000059</v>
      </c>
      <c r="EY153" s="64"/>
      <c r="EZ153" s="558"/>
      <c r="FA153" s="64"/>
      <c r="FB153" s="66"/>
      <c r="FC153" s="66"/>
      <c r="FD153" s="66"/>
      <c r="FE153" s="67"/>
      <c r="FF153" s="66"/>
      <c r="FG153" s="67"/>
      <c r="FH153" s="66"/>
      <c r="FI153" s="67"/>
      <c r="FJ153" s="66"/>
      <c r="FK153" s="67"/>
      <c r="FL153" s="66"/>
      <c r="FM153" s="61"/>
      <c r="FN153" s="66"/>
      <c r="FO153" s="61"/>
      <c r="FP153" s="65"/>
      <c r="FQ153" s="61"/>
      <c r="FR153" s="65"/>
      <c r="FS153" s="61"/>
      <c r="FT153" s="140">
        <f>FT145/FT135*100</f>
        <v>0.74246205927073472</v>
      </c>
      <c r="FU153" s="61"/>
      <c r="FV153" s="140">
        <f>FV145/FV135*100</f>
        <v>0.68405814956264632</v>
      </c>
      <c r="FW153" s="61"/>
      <c r="FX153" s="140">
        <f>FX145/FX135*100</f>
        <v>0.56964786537862255</v>
      </c>
      <c r="FY153" s="61"/>
      <c r="FZ153" s="140">
        <f>FZ145/FZ135*100</f>
        <v>0.54151040120875271</v>
      </c>
      <c r="GA153" s="61"/>
      <c r="GB153" s="140">
        <f>GB145/GB135*100</f>
        <v>0.53978475313313756</v>
      </c>
      <c r="GC153" s="61"/>
      <c r="GD153" s="140">
        <f>GD145/GD135*100</f>
        <v>0.51044977366849664</v>
      </c>
      <c r="GE153" s="61"/>
      <c r="GF153" s="140">
        <f>GF145/GF135*100</f>
        <v>0.48770787763346551</v>
      </c>
      <c r="GG153" s="61">
        <f t="shared" ref="GG153:GW156" si="1082">IF(ISERROR((GF153/GD153-1)*100),"NA",IF(((GF153/GD153-1)*100)&gt;100,"NM",IF(((GF153/GD153-1)*100)&lt;-50,"NM",(GF153/GD153-1)*100)))</f>
        <v>-4.4552661609760014</v>
      </c>
      <c r="GH153" s="140">
        <f>GH145/GH135*100</f>
        <v>0.46977376684386202</v>
      </c>
      <c r="GI153" s="61">
        <f t="shared" si="1082"/>
        <v>-3.6772239309781685</v>
      </c>
      <c r="GJ153" s="140">
        <f>GJ145/GJ135*100</f>
        <v>0.45336727394345916</v>
      </c>
      <c r="GK153" s="61">
        <f t="shared" si="1082"/>
        <v>-3.4924242387199711</v>
      </c>
      <c r="GL153" s="140">
        <f>GL145/GL135*100</f>
        <v>0.405210869603853</v>
      </c>
      <c r="GM153" s="61">
        <f t="shared" si="1082"/>
        <v>-10.621940997358337</v>
      </c>
      <c r="GN153" s="140">
        <f>GN145/GN135*100</f>
        <v>0.39426722733162162</v>
      </c>
      <c r="GO153" s="61">
        <f t="shared" si="1082"/>
        <v>-2.700727718121243</v>
      </c>
      <c r="GP153" s="140">
        <f>GP145/GP135*100</f>
        <v>0.39742922588574736</v>
      </c>
      <c r="GQ153" s="61">
        <f t="shared" si="1082"/>
        <v>0.8019937582755654</v>
      </c>
      <c r="GR153" s="141">
        <f>GP153</f>
        <v>0.39742922588574736</v>
      </c>
      <c r="GS153" s="61">
        <f t="shared" si="1082"/>
        <v>0</v>
      </c>
      <c r="GT153" s="141">
        <f>GR153</f>
        <v>0.39742922588574736</v>
      </c>
      <c r="GU153" s="61">
        <f t="shared" si="1082"/>
        <v>0</v>
      </c>
      <c r="GV153" s="141">
        <f>GT153</f>
        <v>0.39742922588574736</v>
      </c>
      <c r="GW153" s="61">
        <f t="shared" si="1082"/>
        <v>0</v>
      </c>
      <c r="GX153" s="141">
        <f>GV153</f>
        <v>0.39742922588574736</v>
      </c>
      <c r="GY153" s="61">
        <f t="shared" ref="GY153:GY156" si="1083">IF(ISERROR((GX153/GV153-1)*100),"NA",IF(((GX153/GV153-1)*100)&gt;100,"NM",IF(((GX153/GV153-1)*100)&lt;-50,"NM",(GX153/GV153-1)*100)))</f>
        <v>0</v>
      </c>
      <c r="GZ153" s="61">
        <f>IF(ISERROR((GX153/GN153)^0.2),"",IF(OR((GX153/GN153)^0.2&lt;0.5,(GX153/GN153)^0.2&gt;2),"NM",((GX153/GN153)^0.2-1)*100))</f>
        <v>0.15988665866868423</v>
      </c>
      <c r="HA153" s="61"/>
      <c r="HB153" s="452"/>
      <c r="HC153"/>
      <c r="HD153"/>
      <c r="HE153"/>
      <c r="HF153"/>
      <c r="HG153"/>
      <c r="HH153"/>
    </row>
    <row r="154" spans="1:216" s="5" customFormat="1" ht="12.75" customHeight="1" x14ac:dyDescent="0.2">
      <c r="B154" s="2" t="s">
        <v>252</v>
      </c>
      <c r="C154" s="66"/>
      <c r="D154" s="67"/>
      <c r="E154" s="66"/>
      <c r="F154" s="66"/>
      <c r="G154" s="64"/>
      <c r="H154" s="66"/>
      <c r="I154" s="64"/>
      <c r="J154" s="66"/>
      <c r="K154" s="64"/>
      <c r="L154" s="61"/>
      <c r="M154" s="66"/>
      <c r="N154" s="61"/>
      <c r="O154" s="64"/>
      <c r="P154" s="61"/>
      <c r="Q154" s="64"/>
      <c r="R154" s="61"/>
      <c r="S154" s="64"/>
      <c r="T154" s="61"/>
      <c r="U154" s="64"/>
      <c r="V154" s="61"/>
      <c r="W154" s="64"/>
      <c r="X154" s="61"/>
      <c r="Y154" s="64"/>
      <c r="Z154" s="61"/>
      <c r="AA154" s="118"/>
      <c r="AB154" s="61"/>
      <c r="AC154" s="118"/>
      <c r="AD154" s="61"/>
      <c r="AE154" s="118"/>
      <c r="AF154" s="61"/>
      <c r="AG154" s="118"/>
      <c r="AH154" s="61"/>
      <c r="AI154" s="118"/>
      <c r="AJ154" s="61"/>
      <c r="AK154" s="118"/>
      <c r="AL154" s="61"/>
      <c r="AM154" s="118"/>
      <c r="AN154" s="61"/>
      <c r="AO154" s="118"/>
      <c r="AP154" s="61"/>
      <c r="AQ154" s="118"/>
      <c r="AR154" s="61"/>
      <c r="AS154" s="118"/>
      <c r="AT154" s="61"/>
      <c r="AU154" s="118"/>
      <c r="AV154" s="61"/>
      <c r="AW154" s="118"/>
      <c r="AX154" s="61"/>
      <c r="AY154" s="118"/>
      <c r="AZ154" s="61"/>
      <c r="BA154" s="118"/>
      <c r="BB154" s="61"/>
      <c r="BC154" s="118"/>
      <c r="BD154" s="61"/>
      <c r="BE154" s="118"/>
      <c r="BF154" s="61"/>
      <c r="BG154" s="140">
        <f>BG146/BG135*400</f>
        <v>2.1170979436673467</v>
      </c>
      <c r="BH154" s="61"/>
      <c r="BI154" s="140">
        <f>BI146/BI135*400</f>
        <v>2.0693375734688662</v>
      </c>
      <c r="BJ154" s="61"/>
      <c r="BK154" s="140">
        <f>BK146/BK135*400</f>
        <v>1.9052341597796143</v>
      </c>
      <c r="BL154" s="61"/>
      <c r="BM154" s="140">
        <f>BM146/BM135*400</f>
        <v>1.9071462961689249</v>
      </c>
      <c r="BN154" s="61"/>
      <c r="BO154" s="140">
        <f>BO146/BO135*400</f>
        <v>1.939510321651464</v>
      </c>
      <c r="BP154" s="61"/>
      <c r="BQ154" s="140">
        <f>BQ146/BQ135*400</f>
        <v>2.0032661948829618</v>
      </c>
      <c r="BR154" s="61"/>
      <c r="BS154" s="140">
        <f>BS146/BS135*400</f>
        <v>2.1403534718627526</v>
      </c>
      <c r="BT154" s="61"/>
      <c r="BU154" s="140">
        <f>BU146/BU135*400</f>
        <v>2.1819010268343884</v>
      </c>
      <c r="BV154" s="61"/>
      <c r="BW154" s="140">
        <f>BW146/BW135*400</f>
        <v>2.4472294364748741</v>
      </c>
      <c r="BX154" s="61"/>
      <c r="BY154" s="140">
        <f>BY146/BY135*400</f>
        <v>2.3483784687395519</v>
      </c>
      <c r="BZ154" s="61"/>
      <c r="CA154" s="140">
        <f>CA146/CA135*400</f>
        <v>2.3129065179972277</v>
      </c>
      <c r="CB154" s="61"/>
      <c r="CC154" s="140">
        <f>CC146/CC135*400</f>
        <v>2.1900494082500286</v>
      </c>
      <c r="CD154" s="61"/>
      <c r="CE154" s="140">
        <f>CE146/CE135*400</f>
        <v>2.0688601547200736</v>
      </c>
      <c r="CF154" s="61"/>
      <c r="CG154" s="140">
        <f>CG146/CG135*400</f>
        <v>2.132173573648922</v>
      </c>
      <c r="CH154" s="61"/>
      <c r="CI154" s="140">
        <f>CI146/CI135*400</f>
        <v>2.1284383318544808</v>
      </c>
      <c r="CJ154" s="61"/>
      <c r="CK154" s="140">
        <f>CK146/CK135*400</f>
        <v>2.1066498050374118</v>
      </c>
      <c r="CL154" s="61"/>
      <c r="CM154" s="140">
        <f>CM146/CM135*400</f>
        <v>2.0724864782894405</v>
      </c>
      <c r="CN154" s="61"/>
      <c r="CO154" s="140">
        <f>CO146/CO135*400</f>
        <v>1.9842421986475587</v>
      </c>
      <c r="CP154" s="61"/>
      <c r="CQ154" s="140">
        <f>CQ146/CQ135*400</f>
        <v>2.0003363214197942</v>
      </c>
      <c r="CR154" s="61"/>
      <c r="CS154" s="140">
        <f>CS146/CS135*400</f>
        <v>2.0380024424513805</v>
      </c>
      <c r="CT154" s="61"/>
      <c r="CU154" s="140">
        <f>CU146/CU135*400</f>
        <v>1.9420107697805378</v>
      </c>
      <c r="CV154" s="61"/>
      <c r="CW154" s="140">
        <f>CW146/CW135*400</f>
        <v>1.9372549959840322</v>
      </c>
      <c r="CX154" s="61"/>
      <c r="CY154" s="140">
        <f>CY146/CY135*400</f>
        <v>1.884023668639053</v>
      </c>
      <c r="CZ154" s="61"/>
      <c r="DA154" s="140">
        <f>DA146/DA135*400</f>
        <v>1.8475538295378819</v>
      </c>
      <c r="DB154" s="61"/>
      <c r="DC154" s="140">
        <f>DC146/DC135*400</f>
        <v>1.7881446892324036</v>
      </c>
      <c r="DD154" s="61"/>
      <c r="DE154" s="140">
        <f>DE146/DE135*400</f>
        <v>1.8045948748650298</v>
      </c>
      <c r="DF154" s="61"/>
      <c r="DG154" s="140">
        <f>DG146/DG135*400</f>
        <v>1.7177354106590876</v>
      </c>
      <c r="DH154" s="61"/>
      <c r="DI154" s="140">
        <f>DI146/DI135*400</f>
        <v>1.648716398981442</v>
      </c>
      <c r="DJ154" s="61"/>
      <c r="DK154" s="140">
        <f>DK146/DK135*400</f>
        <v>1.60047937063275</v>
      </c>
      <c r="DL154" s="61"/>
      <c r="DM154" s="140">
        <f>DM146/DM135*400</f>
        <v>1.5454691805793614</v>
      </c>
      <c r="DN154" s="130">
        <f t="shared" si="1060"/>
        <v>-14.359217012907067</v>
      </c>
      <c r="DO154" s="140">
        <f>DO146/DO135*400</f>
        <v>1.5460741293996825</v>
      </c>
      <c r="DP154" s="130">
        <f t="shared" si="1060"/>
        <v>-9.9934646624965104</v>
      </c>
      <c r="DQ154" s="140">
        <f>DQ146/DQ135*400</f>
        <v>1.5939981852368077</v>
      </c>
      <c r="DR154" s="130">
        <f t="shared" si="1060"/>
        <v>-3.3188372347384032</v>
      </c>
      <c r="DS154" s="140">
        <f>DS146/DS135*400</f>
        <v>1.5383050910133029</v>
      </c>
      <c r="DT154" s="130">
        <f t="shared" si="1060"/>
        <v>-3.8847285857153246</v>
      </c>
      <c r="DU154" s="140">
        <f>DU146/DU135*400</f>
        <v>1.5033615821785971</v>
      </c>
      <c r="DV154" s="130">
        <f t="shared" si="1060"/>
        <v>-2.7245835070602409</v>
      </c>
      <c r="DW154" s="140">
        <f>DW146/DW135*400</f>
        <v>1.6247345432288816</v>
      </c>
      <c r="DX154" s="140">
        <f t="shared" ref="DX154:DY154" si="1084">DX146/DX135*400</f>
        <v>-81.854541579256008</v>
      </c>
      <c r="DY154" s="140">
        <f t="shared" si="1084"/>
        <v>1.5933572710951527</v>
      </c>
      <c r="DZ154" s="61">
        <f t="shared" si="1060"/>
        <v>-4.020795930578247E-2</v>
      </c>
      <c r="EA154" s="140">
        <f t="shared" ref="EA154:EC154" si="1085">EA146/EA135*400</f>
        <v>1.6098300734922424</v>
      </c>
      <c r="EB154" s="61">
        <f t="shared" si="1063"/>
        <v>4.6495966825296664</v>
      </c>
      <c r="EC154" s="140">
        <f t="shared" si="1085"/>
        <v>1.5209817245676756</v>
      </c>
      <c r="ED154" s="61">
        <f t="shared" si="1064"/>
        <v>1.1720495320589608</v>
      </c>
      <c r="EE154" s="140">
        <f t="shared" ref="EE154:EG154" si="1086">EE146/EE135*400</f>
        <v>1.5616958597313173</v>
      </c>
      <c r="EF154" s="61">
        <f t="shared" si="1066"/>
        <v>-3.879937418717383</v>
      </c>
      <c r="EG154" s="140">
        <f t="shared" si="1086"/>
        <v>1.5349777877651207</v>
      </c>
      <c r="EH154" s="130">
        <f t="shared" si="1067"/>
        <v>-3.6639292636425735</v>
      </c>
      <c r="EI154" s="140">
        <f t="shared" ref="EI154:EK154" si="1087">EI146/EI135*400</f>
        <v>1.463492409811441</v>
      </c>
      <c r="EJ154" s="130">
        <f t="shared" si="1069"/>
        <v>-9.090255306471418</v>
      </c>
      <c r="EK154" s="140">
        <f t="shared" si="1087"/>
        <v>1.4533539873966959</v>
      </c>
      <c r="EL154" s="130">
        <f t="shared" si="1070"/>
        <v>-4.4463214829357778</v>
      </c>
      <c r="EM154" s="140">
        <f t="shared" ref="EM154" si="1088">EM146/EM135*400</f>
        <v>1.4003469469453755</v>
      </c>
      <c r="EN154" s="130">
        <f t="shared" si="1072"/>
        <v>-10.331647598380723</v>
      </c>
      <c r="EO154" s="140">
        <f t="shared" ref="EO154" si="1089">EO146/EO135*400</f>
        <v>1.4100062028169866</v>
      </c>
      <c r="EP154" s="130">
        <f t="shared" si="1074"/>
        <v>-8.1415891450839055</v>
      </c>
      <c r="EQ154" s="141">
        <f t="shared" ref="EQ154" si="1090">EO154-0.01</f>
        <v>1.4000062028169866</v>
      </c>
      <c r="ER154" s="130">
        <f t="shared" si="1075"/>
        <v>-4.3379935945574211</v>
      </c>
      <c r="ES154" s="141">
        <f t="shared" ref="ES154" si="1091">EQ154-0.01</f>
        <v>1.3900062028169866</v>
      </c>
      <c r="ET154" s="130">
        <f t="shared" si="1077"/>
        <v>-4.3587305728028607</v>
      </c>
      <c r="EU154" s="141">
        <f t="shared" ref="EU154" si="1092">ES154-0.01</f>
        <v>1.3800062028169866</v>
      </c>
      <c r="EV154" s="130">
        <f t="shared" si="1079"/>
        <v>-1.4525503249576022</v>
      </c>
      <c r="EW154" s="141">
        <f t="shared" ref="EW154" si="1093">EU154-0.01</f>
        <v>1.3700062028169866</v>
      </c>
      <c r="EX154" s="130">
        <f t="shared" si="1081"/>
        <v>-2.8368669527897072</v>
      </c>
      <c r="EY154" s="64"/>
      <c r="EZ154" s="558"/>
      <c r="FA154" s="64"/>
      <c r="FB154" s="66"/>
      <c r="FC154" s="66"/>
      <c r="FD154" s="66"/>
      <c r="FE154" s="67"/>
      <c r="FF154" s="66"/>
      <c r="FG154" s="67"/>
      <c r="FH154" s="66"/>
      <c r="FI154" s="67"/>
      <c r="FJ154" s="66"/>
      <c r="FK154" s="67"/>
      <c r="FL154" s="66"/>
      <c r="FM154" s="61"/>
      <c r="FN154" s="66"/>
      <c r="FO154" s="61"/>
      <c r="FP154" s="65"/>
      <c r="FQ154" s="61"/>
      <c r="FR154" s="65"/>
      <c r="FS154" s="61"/>
      <c r="FT154" s="140">
        <f>FT146/FT135*100</f>
        <v>2.0331640703445508</v>
      </c>
      <c r="FU154" s="61"/>
      <c r="FV154" s="140">
        <f>FV146/FV135*100</f>
        <v>2.1405691758038685</v>
      </c>
      <c r="FW154" s="61"/>
      <c r="FX154" s="140">
        <f>FX146/FX135*100</f>
        <v>2.2795263321907138</v>
      </c>
      <c r="FY154" s="61"/>
      <c r="FZ154" s="140">
        <f>FZ146/FZ135*100</f>
        <v>2.0753851550063405</v>
      </c>
      <c r="GA154" s="61"/>
      <c r="GB154" s="140">
        <f>GB146/GB135*100</f>
        <v>2.0324024782893133</v>
      </c>
      <c r="GC154" s="61"/>
      <c r="GD154" s="140">
        <f>GD146/GD135*100</f>
        <v>1.923817779061928</v>
      </c>
      <c r="GE154" s="61"/>
      <c r="GF154" s="140">
        <f>GF146/GF135*100</f>
        <v>1.7331421574270793</v>
      </c>
      <c r="GG154" s="61">
        <f t="shared" si="1082"/>
        <v>-9.9113140397228179</v>
      </c>
      <c r="GH154" s="140">
        <f>GH146/GH135*100</f>
        <v>1.5804939281265158</v>
      </c>
      <c r="GI154" s="61">
        <f t="shared" si="1082"/>
        <v>-8.8076000371011709</v>
      </c>
      <c r="GJ154" s="140">
        <f>GJ146/GJ135*100</f>
        <v>1.5719209580170757</v>
      </c>
      <c r="GK154" s="61">
        <f t="shared" si="1082"/>
        <v>-0.54242347641298982</v>
      </c>
      <c r="GL154" s="140">
        <f>GL146/GL135*100</f>
        <v>1.5248724829829208</v>
      </c>
      <c r="GM154" s="61">
        <f t="shared" si="1082"/>
        <v>-2.9930560308518928</v>
      </c>
      <c r="GN154" s="140">
        <f>GN146/GN135*100</f>
        <v>1.4276289118701462</v>
      </c>
      <c r="GO154" s="61">
        <f t="shared" si="1082"/>
        <v>-6.3771608575786569</v>
      </c>
      <c r="GP154" s="140">
        <f>GP146/GP135*100</f>
        <v>1.375901064598712</v>
      </c>
      <c r="GQ154" s="61">
        <f t="shared" si="1082"/>
        <v>-3.6233398498264124</v>
      </c>
      <c r="GR154" s="141">
        <f>GP154-0.01</f>
        <v>1.365901064598712</v>
      </c>
      <c r="GS154" s="61">
        <f t="shared" si="1082"/>
        <v>-0.72679644323965231</v>
      </c>
      <c r="GT154" s="141">
        <f>GR154</f>
        <v>1.365901064598712</v>
      </c>
      <c r="GU154" s="61">
        <f t="shared" si="1082"/>
        <v>0</v>
      </c>
      <c r="GV154" s="141">
        <f>GT154</f>
        <v>1.365901064598712</v>
      </c>
      <c r="GW154" s="61">
        <f t="shared" si="1082"/>
        <v>0</v>
      </c>
      <c r="GX154" s="141">
        <f>GV154</f>
        <v>1.365901064598712</v>
      </c>
      <c r="GY154" s="61">
        <f t="shared" si="1083"/>
        <v>0</v>
      </c>
      <c r="GZ154" s="61">
        <f>IF(ISERROR((GX154/GN154)^0.2),"",IF(OR((GX154/GN154)^0.2&lt;0.5,(GX154/GN154)^0.2&gt;2),"NM",((GX154/GN154)^0.2-1)*100))</f>
        <v>-0.88011675803766343</v>
      </c>
      <c r="HA154" s="61"/>
      <c r="HB154" s="452"/>
      <c r="HC154"/>
      <c r="HD154"/>
      <c r="HE154"/>
      <c r="HF154"/>
      <c r="HG154"/>
      <c r="HH154"/>
    </row>
    <row r="155" spans="1:216" s="5" customFormat="1" ht="12.75" customHeight="1" x14ac:dyDescent="0.2">
      <c r="B155" s="2" t="s">
        <v>253</v>
      </c>
      <c r="C155" s="66"/>
      <c r="D155" s="67"/>
      <c r="E155" s="66"/>
      <c r="F155" s="66"/>
      <c r="G155" s="64"/>
      <c r="H155" s="66"/>
      <c r="I155" s="64"/>
      <c r="J155" s="66"/>
      <c r="K155" s="64"/>
      <c r="L155" s="61"/>
      <c r="M155" s="66"/>
      <c r="N155" s="61"/>
      <c r="O155" s="64"/>
      <c r="P155" s="61"/>
      <c r="Q155" s="64"/>
      <c r="R155" s="61"/>
      <c r="S155" s="64"/>
      <c r="T155" s="61"/>
      <c r="U155" s="64"/>
      <c r="V155" s="61"/>
      <c r="W155" s="64"/>
      <c r="X155" s="61"/>
      <c r="Y155" s="64"/>
      <c r="Z155" s="61"/>
      <c r="AA155" s="118"/>
      <c r="AB155" s="61"/>
      <c r="AC155" s="118"/>
      <c r="AD155" s="61"/>
      <c r="AE155" s="118"/>
      <c r="AF155" s="61"/>
      <c r="AG155" s="118"/>
      <c r="AH155" s="61"/>
      <c r="AI155" s="118"/>
      <c r="AJ155" s="61"/>
      <c r="AK155" s="118"/>
      <c r="AL155" s="61"/>
      <c r="AM155" s="118"/>
      <c r="AN155" s="61"/>
      <c r="AO155" s="118"/>
      <c r="AP155" s="61"/>
      <c r="AQ155" s="118"/>
      <c r="AR155" s="61"/>
      <c r="AS155" s="118"/>
      <c r="AT155" s="61"/>
      <c r="AU155" s="118"/>
      <c r="AV155" s="61"/>
      <c r="AW155" s="118"/>
      <c r="AX155" s="61"/>
      <c r="AY155" s="118"/>
      <c r="AZ155" s="61"/>
      <c r="BA155" s="118"/>
      <c r="BB155" s="61"/>
      <c r="BC155" s="118"/>
      <c r="BD155" s="61"/>
      <c r="BE155" s="118"/>
      <c r="BF155" s="61"/>
      <c r="BG155" s="140">
        <f>BG147/BG135*400</f>
        <v>1.2246994760094523</v>
      </c>
      <c r="BH155" s="61"/>
      <c r="BI155" s="140">
        <f>BI147/BI135*400</f>
        <v>1.1879951162724665</v>
      </c>
      <c r="BJ155" s="61"/>
      <c r="BK155" s="140">
        <f>BK147/BK135*400</f>
        <v>1.1526170798898072</v>
      </c>
      <c r="BL155" s="61"/>
      <c r="BM155" s="140">
        <f>BM147/BM135*400</f>
        <v>1.1533117821033083</v>
      </c>
      <c r="BN155" s="61"/>
      <c r="BO155" s="140">
        <f>BO147/BO135*400</f>
        <v>1.1962384569766458</v>
      </c>
      <c r="BP155" s="61"/>
      <c r="BQ155" s="140">
        <f>BQ147/BQ135*400</f>
        <v>1.2262556227258403</v>
      </c>
      <c r="BR155" s="61"/>
      <c r="BS155" s="140">
        <f>BS147/BS135*400</f>
        <v>1.2636249352954225</v>
      </c>
      <c r="BT155" s="61"/>
      <c r="BU155" s="140">
        <f>BU147/BU135*400</f>
        <v>1.4294315796325527</v>
      </c>
      <c r="BV155" s="61"/>
      <c r="BW155" s="140">
        <f>BW147/BW135*400</f>
        <v>1.5547924909797632</v>
      </c>
      <c r="BX155" s="61"/>
      <c r="BY155" s="140">
        <f>BY147/BY135*400</f>
        <v>1.4978268137746573</v>
      </c>
      <c r="BZ155" s="61"/>
      <c r="CA155" s="140">
        <f>CA147/CA135*400</f>
        <v>1.3514295724230379</v>
      </c>
      <c r="CB155" s="61"/>
      <c r="CC155" s="140">
        <f>CC147/CC135*400</f>
        <v>1.2765712972538206</v>
      </c>
      <c r="CD155" s="61"/>
      <c r="CE155" s="140">
        <f>CE147/CE135*400</f>
        <v>1.2266496298662519</v>
      </c>
      <c r="CF155" s="61"/>
      <c r="CG155" s="140">
        <f>CG147/CG135*400</f>
        <v>1.226668896973752</v>
      </c>
      <c r="CH155" s="61"/>
      <c r="CI155" s="140">
        <f>CI147/CI135*400</f>
        <v>1.2222715173025733</v>
      </c>
      <c r="CJ155" s="61"/>
      <c r="CK155" s="140">
        <f>CK147/CK135*400</f>
        <v>1.152913900305617</v>
      </c>
      <c r="CL155" s="61"/>
      <c r="CM155" s="140">
        <f>CM147/CM135*400</f>
        <v>1.0918465349037052</v>
      </c>
      <c r="CN155" s="61"/>
      <c r="CO155" s="140">
        <f>CO147/CO135*400</f>
        <v>1.0779825051181835</v>
      </c>
      <c r="CP155" s="61"/>
      <c r="CQ155" s="140">
        <f>CQ147/CQ135*400</f>
        <v>1.1331444759206799</v>
      </c>
      <c r="CR155" s="61"/>
      <c r="CS155" s="140">
        <f>CS147/CS135*400</f>
        <v>1.1765787296626529</v>
      </c>
      <c r="CT155" s="61"/>
      <c r="CU155" s="140">
        <f>CU147/CU135*400</f>
        <v>1.0942294185057855</v>
      </c>
      <c r="CV155" s="61"/>
      <c r="CW155" s="140">
        <f>CW147/CW135*400</f>
        <v>1.0741215819317407</v>
      </c>
      <c r="CX155" s="61"/>
      <c r="CY155" s="140">
        <f>CY147/CY135*400</f>
        <v>1.0792899408284022</v>
      </c>
      <c r="CZ155" s="61"/>
      <c r="DA155" s="140">
        <f>DA147/DA135*400</f>
        <v>1.05705816117839</v>
      </c>
      <c r="DB155" s="61"/>
      <c r="DC155" s="140">
        <f>DC147/DC135*400</f>
        <v>1.035707567525699</v>
      </c>
      <c r="DD155" s="61"/>
      <c r="DE155" s="140">
        <f>DE147/DE135*400</f>
        <v>1.0006521344038317</v>
      </c>
      <c r="DF155" s="61"/>
      <c r="DG155" s="140">
        <f>DG147/DG135*400</f>
        <v>0.97919216646266816</v>
      </c>
      <c r="DH155" s="61"/>
      <c r="DI155" s="140">
        <f>DI147/DI135*400</f>
        <v>0.93532949557601042</v>
      </c>
      <c r="DJ155" s="61"/>
      <c r="DK155" s="140">
        <f>DK147/DK135*400</f>
        <v>0.91235055910465945</v>
      </c>
      <c r="DL155" s="61"/>
      <c r="DM155" s="140">
        <f>DM147/DM135*400</f>
        <v>0.89394785935472865</v>
      </c>
      <c r="DN155" s="130">
        <f t="shared" si="1060"/>
        <v>-10.663473486985097</v>
      </c>
      <c r="DO155" s="140">
        <f>DO147/DO135*400</f>
        <v>0.88133694332928769</v>
      </c>
      <c r="DP155" s="130">
        <f t="shared" si="1060"/>
        <v>-9.9934646624964767</v>
      </c>
      <c r="DQ155" s="140">
        <f>DQ147/DQ135*400</f>
        <v>0.89054358705718384</v>
      </c>
      <c r="DR155" s="130">
        <f t="shared" si="1060"/>
        <v>-4.7882493528385695</v>
      </c>
      <c r="DS155" s="140">
        <f>DS147/DS135*400</f>
        <v>0.90967079901267434</v>
      </c>
      <c r="DT155" s="130">
        <f t="shared" si="1060"/>
        <v>-0.29372044169237999</v>
      </c>
      <c r="DU155" s="140">
        <f>DU147/DU135*400</f>
        <v>0.8976382262522693</v>
      </c>
      <c r="DV155" s="130">
        <f t="shared" si="1060"/>
        <v>0.4128167945057104</v>
      </c>
      <c r="DW155" s="140">
        <f>DW147/DW135*400</f>
        <v>0.9199410199104171</v>
      </c>
      <c r="DX155" s="140">
        <f t="shared" ref="DX155:DY155" si="1094">DX147/DX135*400</f>
        <v>-46.346863725240844</v>
      </c>
      <c r="DY155" s="140">
        <f t="shared" si="1094"/>
        <v>0.94254937163375219</v>
      </c>
      <c r="DZ155" s="130">
        <f t="shared" si="1060"/>
        <v>5.8397798077938434</v>
      </c>
      <c r="EA155" s="140">
        <f t="shared" ref="EA155:EC155" si="1095">EA147/EA135*400</f>
        <v>0.9721196095967648</v>
      </c>
      <c r="EB155" s="130">
        <f t="shared" si="1063"/>
        <v>6.8649901318004636</v>
      </c>
      <c r="EC155" s="140">
        <f t="shared" si="1095"/>
        <v>0.92423291397174534</v>
      </c>
      <c r="ED155" s="130">
        <f t="shared" si="1064"/>
        <v>2.9627401041632861</v>
      </c>
      <c r="EE155" s="140">
        <f t="shared" ref="EE155:EG155" si="1096">EE147/EE135*400</f>
        <v>0.90862304566185736</v>
      </c>
      <c r="EF155" s="130">
        <f t="shared" si="1066"/>
        <v>-1.2302934648638519</v>
      </c>
      <c r="EG155" s="140">
        <f t="shared" si="1096"/>
        <v>0.92651812414651435</v>
      </c>
      <c r="EH155" s="130">
        <f t="shared" si="1067"/>
        <v>-1.7008390191221801</v>
      </c>
      <c r="EI155" s="140">
        <f t="shared" ref="EI155:EK155" si="1097">EI147/EI135*400</f>
        <v>0.88615136740876255</v>
      </c>
      <c r="EJ155" s="130">
        <f t="shared" si="1069"/>
        <v>-8.8433811373954114</v>
      </c>
      <c r="EK155" s="140">
        <f t="shared" si="1097"/>
        <v>0.86941711746052341</v>
      </c>
      <c r="EL155" s="130">
        <f t="shared" si="1070"/>
        <v>-5.9309504868918506</v>
      </c>
      <c r="EM155" s="140">
        <f t="shared" ref="EM155" si="1098">EM147/EM135*400</f>
        <v>0.85402325015502722</v>
      </c>
      <c r="EN155" s="130">
        <f t="shared" si="1072"/>
        <v>-6.0090700722936985</v>
      </c>
      <c r="EO155" s="140">
        <f t="shared" ref="EO155" si="1099">EO147/EO135*400</f>
        <v>0.8230079123738635</v>
      </c>
      <c r="EP155" s="130">
        <f t="shared" si="1074"/>
        <v>-11.17195757697691</v>
      </c>
      <c r="EQ155" s="141">
        <f t="shared" ref="EQ155" si="1100">EO155</f>
        <v>0.8230079123738635</v>
      </c>
      <c r="ER155" s="130">
        <f t="shared" si="1075"/>
        <v>-7.1255834338483037</v>
      </c>
      <c r="ES155" s="141">
        <f t="shared" ref="ES155" si="1101">EQ155</f>
        <v>0.8230079123738635</v>
      </c>
      <c r="ET155" s="130">
        <f t="shared" si="1077"/>
        <v>-5.3379677205132925</v>
      </c>
      <c r="EU155" s="141">
        <f t="shared" ref="EU155" si="1102">ES155</f>
        <v>0.8230079123738635</v>
      </c>
      <c r="EV155" s="130">
        <f t="shared" si="1079"/>
        <v>-3.6316737015688605</v>
      </c>
      <c r="EW155" s="141">
        <f t="shared" ref="EW155" si="1103">EU155</f>
        <v>0.8230079123738635</v>
      </c>
      <c r="EX155" s="130">
        <f t="shared" si="1081"/>
        <v>0</v>
      </c>
      <c r="EY155" s="64"/>
      <c r="EZ155" s="558"/>
      <c r="FA155" s="64"/>
      <c r="FB155" s="66"/>
      <c r="FC155" s="66"/>
      <c r="FD155" s="66"/>
      <c r="FE155" s="67"/>
      <c r="FF155" s="66"/>
      <c r="FG155" s="67"/>
      <c r="FH155" s="66"/>
      <c r="FI155" s="67"/>
      <c r="FJ155" s="66"/>
      <c r="FK155" s="67"/>
      <c r="FL155" s="66"/>
      <c r="FM155" s="61"/>
      <c r="FN155" s="66"/>
      <c r="FO155" s="61"/>
      <c r="FP155" s="65"/>
      <c r="FQ155" s="61"/>
      <c r="FR155" s="65"/>
      <c r="FS155" s="61"/>
      <c r="FT155" s="140">
        <f>FT147/FT135*100</f>
        <v>1.2000459018274665</v>
      </c>
      <c r="FU155" s="61"/>
      <c r="FV155" s="140">
        <f>FV147/FV135*100</f>
        <v>1.3228409510903043</v>
      </c>
      <c r="FW155" s="61"/>
      <c r="FX155" s="140">
        <f>FX147/FX135*100</f>
        <v>1.3882829541913368</v>
      </c>
      <c r="FY155" s="61"/>
      <c r="FZ155" s="140">
        <f>FZ147/FZ135*100</f>
        <v>1.1871677953754418</v>
      </c>
      <c r="GA155" s="61"/>
      <c r="GB155" s="140">
        <f>GB147/GB135*100</f>
        <v>1.123952948420283</v>
      </c>
      <c r="GC155" s="61"/>
      <c r="GD155" s="140">
        <f>GD147/GD135*100</f>
        <v>1.0883174419724548</v>
      </c>
      <c r="GE155" s="61"/>
      <c r="GF155" s="140">
        <f>GF147/GF135*100</f>
        <v>0.98378842269411493</v>
      </c>
      <c r="GG155" s="61">
        <f t="shared" si="1082"/>
        <v>-9.604644311212418</v>
      </c>
      <c r="GH155" s="140">
        <f>GH147/GH135*100</f>
        <v>0.89960725391557383</v>
      </c>
      <c r="GI155" s="61">
        <f t="shared" si="1082"/>
        <v>-8.5568366974689614</v>
      </c>
      <c r="GJ155" s="140">
        <f>GJ147/GJ135*100</f>
        <v>0.92159904867194986</v>
      </c>
      <c r="GK155" s="61">
        <f t="shared" si="1082"/>
        <v>2.4445995361482398</v>
      </c>
      <c r="GL155" s="140">
        <f>GL147/GL135*100</f>
        <v>0.91350169726482666</v>
      </c>
      <c r="GM155" s="61">
        <f t="shared" si="1082"/>
        <v>-0.87861976624126203</v>
      </c>
      <c r="GN155" s="140">
        <f>GN147/GN135*100</f>
        <v>0.85530551735650184</v>
      </c>
      <c r="GO155" s="61">
        <f t="shared" si="1082"/>
        <v>-6.370670145723178</v>
      </c>
      <c r="GP155" s="140">
        <f>GP147/GP135*100</f>
        <v>0.81771849378147399</v>
      </c>
      <c r="GQ155" s="61">
        <f t="shared" si="1082"/>
        <v>-4.3945727944323725</v>
      </c>
      <c r="GR155" s="141">
        <f>GP155</f>
        <v>0.81771849378147399</v>
      </c>
      <c r="GS155" s="61">
        <f t="shared" si="1082"/>
        <v>0</v>
      </c>
      <c r="GT155" s="141">
        <f>GR155</f>
        <v>0.81771849378147399</v>
      </c>
      <c r="GU155" s="61">
        <f t="shared" si="1082"/>
        <v>0</v>
      </c>
      <c r="GV155" s="141">
        <f>GT155</f>
        <v>0.81771849378147399</v>
      </c>
      <c r="GW155" s="61">
        <f t="shared" si="1082"/>
        <v>0</v>
      </c>
      <c r="GX155" s="141">
        <f>GV155</f>
        <v>0.81771849378147399</v>
      </c>
      <c r="GY155" s="61">
        <f t="shared" si="1083"/>
        <v>0</v>
      </c>
      <c r="GZ155" s="61">
        <f>IF(ISERROR((GX155/GN155)^0.2),"",IF(OR((GX155/GN155)^0.2&lt;0.5,(GX155/GN155)^0.2&gt;2),"NM",((GX155/GN155)^0.2-1)*100))</f>
        <v>-0.89478471236338342</v>
      </c>
      <c r="HA155" s="61"/>
      <c r="HB155" s="452"/>
      <c r="HC155"/>
      <c r="HD155"/>
      <c r="HE155"/>
      <c r="HF155"/>
      <c r="HG155"/>
      <c r="HH155"/>
    </row>
    <row r="156" spans="1:216" s="5" customFormat="1" ht="12.75" customHeight="1" x14ac:dyDescent="0.2">
      <c r="B156" s="68" t="s">
        <v>330</v>
      </c>
      <c r="C156" s="66"/>
      <c r="D156" s="67"/>
      <c r="E156" s="66"/>
      <c r="F156" s="66"/>
      <c r="G156" s="64"/>
      <c r="H156" s="66"/>
      <c r="I156" s="64"/>
      <c r="J156" s="66"/>
      <c r="K156" s="64"/>
      <c r="L156" s="61"/>
      <c r="M156" s="66"/>
      <c r="N156" s="61"/>
      <c r="O156" s="64"/>
      <c r="P156" s="61"/>
      <c r="Q156" s="64"/>
      <c r="R156" s="61"/>
      <c r="S156" s="64"/>
      <c r="T156" s="61"/>
      <c r="U156" s="64"/>
      <c r="V156" s="61"/>
      <c r="W156" s="64"/>
      <c r="X156" s="61"/>
      <c r="Y156" s="64"/>
      <c r="Z156" s="61"/>
      <c r="AA156" s="118"/>
      <c r="AB156" s="61"/>
      <c r="AC156" s="118"/>
      <c r="AD156" s="61"/>
      <c r="AE156" s="118"/>
      <c r="AF156" s="61"/>
      <c r="AG156" s="118"/>
      <c r="AH156" s="61"/>
      <c r="AI156" s="118"/>
      <c r="AJ156" s="61"/>
      <c r="AK156" s="118"/>
      <c r="AL156" s="61"/>
      <c r="AM156" s="118"/>
      <c r="AN156" s="61"/>
      <c r="AO156" s="118"/>
      <c r="AP156" s="61"/>
      <c r="AQ156" s="118"/>
      <c r="AR156" s="61"/>
      <c r="AS156" s="118"/>
      <c r="AT156" s="61"/>
      <c r="AU156" s="118"/>
      <c r="AV156" s="61"/>
      <c r="AW156" s="118"/>
      <c r="AX156" s="61"/>
      <c r="AY156" s="118"/>
      <c r="AZ156" s="61"/>
      <c r="BA156" s="118"/>
      <c r="BB156" s="61"/>
      <c r="BC156" s="118"/>
      <c r="BD156" s="61"/>
      <c r="BE156" s="118"/>
      <c r="BF156" s="61"/>
      <c r="BG156" s="82">
        <f>BG154-BG155</f>
        <v>0.89239846765789443</v>
      </c>
      <c r="BH156" s="61"/>
      <c r="BI156" s="82">
        <f>BI154-BI155</f>
        <v>0.8813424571963997</v>
      </c>
      <c r="BJ156" s="61"/>
      <c r="BK156" s="82">
        <f>BK154-BK155</f>
        <v>0.75261707988980708</v>
      </c>
      <c r="BL156" s="61"/>
      <c r="BM156" s="82">
        <f>BM154-BM155</f>
        <v>0.75383451406561663</v>
      </c>
      <c r="BN156" s="61"/>
      <c r="BO156" s="82">
        <f>BO154-BO155</f>
        <v>0.74327186467481821</v>
      </c>
      <c r="BP156" s="61"/>
      <c r="BQ156" s="82">
        <f>BQ154-BQ155</f>
        <v>0.77701057215712144</v>
      </c>
      <c r="BR156" s="61"/>
      <c r="BS156" s="82">
        <f>BS154-BS155</f>
        <v>0.87672853656733007</v>
      </c>
      <c r="BT156" s="61"/>
      <c r="BU156" s="82">
        <f>BU154-BU155</f>
        <v>0.75246944720183562</v>
      </c>
      <c r="BV156" s="61"/>
      <c r="BW156" s="82">
        <f>BW154-BW155</f>
        <v>0.89243694549511088</v>
      </c>
      <c r="BX156" s="61"/>
      <c r="BY156" s="82">
        <f>BY154-BY155</f>
        <v>0.8505516549648946</v>
      </c>
      <c r="BZ156" s="61"/>
      <c r="CA156" s="82">
        <f>CA154-CA155</f>
        <v>0.96147694557418983</v>
      </c>
      <c r="CB156" s="61"/>
      <c r="CC156" s="82">
        <f>CC154-CC155</f>
        <v>0.91347811099620801</v>
      </c>
      <c r="CD156" s="61"/>
      <c r="CE156" s="82">
        <f>CE154-CE155</f>
        <v>0.84221052485382164</v>
      </c>
      <c r="CF156" s="61"/>
      <c r="CG156" s="82">
        <f>CG154-CG155</f>
        <v>0.90550467667516998</v>
      </c>
      <c r="CH156" s="61"/>
      <c r="CI156" s="82">
        <f>CI154-CI155</f>
        <v>0.90616681455190751</v>
      </c>
      <c r="CJ156" s="61"/>
      <c r="CK156" s="82">
        <f>CK154-CK155</f>
        <v>0.95373590473179481</v>
      </c>
      <c r="CL156" s="61"/>
      <c r="CM156" s="82">
        <f>CM154-CM155</f>
        <v>0.98063994338573535</v>
      </c>
      <c r="CN156" s="61"/>
      <c r="CO156" s="82">
        <f>CO154-CO155</f>
        <v>0.90625969352937519</v>
      </c>
      <c r="CP156" s="61"/>
      <c r="CQ156" s="82">
        <f>CQ154-CQ155</f>
        <v>0.86719184549911432</v>
      </c>
      <c r="CR156" s="61"/>
      <c r="CS156" s="82">
        <f>CS154-CS155</f>
        <v>0.86142371278872765</v>
      </c>
      <c r="CT156" s="61"/>
      <c r="CU156" s="82">
        <f>CU154-CU155</f>
        <v>0.84778135127475229</v>
      </c>
      <c r="CV156" s="61"/>
      <c r="CW156" s="82">
        <f>CW154-CW155</f>
        <v>0.86313341405229149</v>
      </c>
      <c r="CX156" s="61"/>
      <c r="CY156" s="82">
        <f>CY154-CY155</f>
        <v>0.80473372781065078</v>
      </c>
      <c r="CZ156" s="61"/>
      <c r="DA156" s="82">
        <f>DA154-DA155</f>
        <v>0.79049566835949192</v>
      </c>
      <c r="DB156" s="61"/>
      <c r="DC156" s="82">
        <f>DC154-DC155</f>
        <v>0.75243712170670451</v>
      </c>
      <c r="DD156" s="61"/>
      <c r="DE156" s="82">
        <f>DE154-DE155</f>
        <v>0.80394274046119807</v>
      </c>
      <c r="DF156" s="61"/>
      <c r="DG156" s="82">
        <f>DG154-DG155</f>
        <v>0.73854324419641948</v>
      </c>
      <c r="DH156" s="61"/>
      <c r="DI156" s="82">
        <f>DI154-DI155</f>
        <v>0.71338690340543154</v>
      </c>
      <c r="DJ156" s="61"/>
      <c r="DK156" s="82">
        <f>DK154-DK155</f>
        <v>0.68812881152809058</v>
      </c>
      <c r="DL156" s="61"/>
      <c r="DM156" s="82">
        <f>DM154-DM155</f>
        <v>0.6515213212246328</v>
      </c>
      <c r="DN156" s="130">
        <f t="shared" si="1060"/>
        <v>-18.959238210065266</v>
      </c>
      <c r="DO156" s="82">
        <f>DO154-DO155</f>
        <v>0.66473718607039478</v>
      </c>
      <c r="DP156" s="130">
        <f t="shared" si="1060"/>
        <v>-9.9934646624965424</v>
      </c>
      <c r="DQ156" s="82">
        <f>DQ154-DQ155</f>
        <v>0.70345459817962386</v>
      </c>
      <c r="DR156" s="130">
        <f t="shared" si="1060"/>
        <v>-1.3922746798959662</v>
      </c>
      <c r="DS156" s="82">
        <f>DS154-DS155</f>
        <v>0.62863429200062859</v>
      </c>
      <c r="DT156" s="130">
        <f t="shared" si="1060"/>
        <v>-8.6458405070041664</v>
      </c>
      <c r="DU156" s="82">
        <f>DU154-DU155</f>
        <v>0.60572335592632776</v>
      </c>
      <c r="DV156" s="130">
        <f t="shared" si="1060"/>
        <v>-7.0293885719995846</v>
      </c>
      <c r="DW156" s="82">
        <f>DW154-DW155</f>
        <v>0.70479352331846445</v>
      </c>
      <c r="DX156" s="82">
        <f t="shared" ref="DX156:DY156" si="1104">DX154-DX155</f>
        <v>-35.507677854015164</v>
      </c>
      <c r="DY156" s="82">
        <f t="shared" si="1104"/>
        <v>0.6508078994614005</v>
      </c>
      <c r="DZ156" s="130">
        <f t="shared" si="1060"/>
        <v>-7.484022260208512</v>
      </c>
      <c r="EA156" s="82">
        <f t="shared" ref="EA156:EC156" si="1105">EA154-EA155</f>
        <v>0.63771046389547759</v>
      </c>
      <c r="EB156" s="130">
        <f t="shared" si="1063"/>
        <v>1.4437920441731089</v>
      </c>
      <c r="EC156" s="82">
        <f t="shared" si="1105"/>
        <v>0.59674881059593021</v>
      </c>
      <c r="ED156" s="130">
        <f t="shared" si="1064"/>
        <v>-1.4816244482884211</v>
      </c>
      <c r="EE156" s="82">
        <f t="shared" ref="EE156:EG156" si="1106">EE154-EE155</f>
        <v>0.65307281406945994</v>
      </c>
      <c r="EF156" s="130">
        <f t="shared" si="1066"/>
        <v>-7.3384200532209292</v>
      </c>
      <c r="EG156" s="82">
        <f t="shared" si="1106"/>
        <v>0.60845966361860637</v>
      </c>
      <c r="EH156" s="130">
        <f t="shared" si="1067"/>
        <v>-6.5070254798445077</v>
      </c>
      <c r="EI156" s="82">
        <f t="shared" ref="EI156:EK156" si="1107">EI154-EI155</f>
        <v>0.57734104240267847</v>
      </c>
      <c r="EJ156" s="130">
        <f t="shared" si="1069"/>
        <v>-9.4665878812824076</v>
      </c>
      <c r="EK156" s="82">
        <f t="shared" si="1107"/>
        <v>0.58393686993617244</v>
      </c>
      <c r="EL156" s="130">
        <f t="shared" si="1070"/>
        <v>-2.1469570499794366</v>
      </c>
      <c r="EM156" s="82">
        <f t="shared" ref="EM156" si="1108">EM154-EM155</f>
        <v>0.54632369679034831</v>
      </c>
      <c r="EN156" s="130">
        <f t="shared" si="1072"/>
        <v>-16.34566850424093</v>
      </c>
      <c r="EO156" s="82">
        <f t="shared" ref="EO156" si="1109">EO154-EO155</f>
        <v>0.58699829044312313</v>
      </c>
      <c r="EP156" s="130">
        <f t="shared" si="1074"/>
        <v>-3.5271644874286356</v>
      </c>
      <c r="EQ156" s="82">
        <f t="shared" ref="EQ156:EW156" si="1110">EQ154-EQ155</f>
        <v>0.57699829044312312</v>
      </c>
      <c r="ER156" s="130">
        <f t="shared" si="1075"/>
        <v>-5.936732959932467E-2</v>
      </c>
      <c r="ES156" s="82">
        <f t="shared" si="1110"/>
        <v>0.56699829044312311</v>
      </c>
      <c r="ET156" s="130">
        <f t="shared" si="1077"/>
        <v>-2.9007552639895517</v>
      </c>
      <c r="EU156" s="82">
        <f t="shared" si="1110"/>
        <v>0.5569982904431231</v>
      </c>
      <c r="EV156" s="130">
        <f t="shared" si="1079"/>
        <v>1.9538954131933295</v>
      </c>
      <c r="EW156" s="82">
        <f t="shared" si="1110"/>
        <v>0.54699829044312309</v>
      </c>
      <c r="EX156" s="130">
        <f t="shared" si="1081"/>
        <v>-6.814329896907223</v>
      </c>
      <c r="EY156" s="64"/>
      <c r="EZ156" s="558"/>
      <c r="FA156" s="64"/>
      <c r="FB156" s="66"/>
      <c r="FC156" s="66"/>
      <c r="FD156" s="66"/>
      <c r="FE156" s="67"/>
      <c r="FF156" s="66"/>
      <c r="FG156" s="67"/>
      <c r="FH156" s="66"/>
      <c r="FI156" s="67"/>
      <c r="FJ156" s="66"/>
      <c r="FK156" s="67"/>
      <c r="FL156" s="66"/>
      <c r="FM156" s="61"/>
      <c r="FN156" s="66"/>
      <c r="FO156" s="61"/>
      <c r="FP156" s="65"/>
      <c r="FQ156" s="61"/>
      <c r="FR156" s="65"/>
      <c r="FS156" s="61"/>
      <c r="FT156" s="82">
        <f>FT154-FT155</f>
        <v>0.83311816851708431</v>
      </c>
      <c r="FU156" s="61"/>
      <c r="FV156" s="82">
        <f>FV154-FV155</f>
        <v>0.81772822471356421</v>
      </c>
      <c r="FW156" s="61"/>
      <c r="FX156" s="82">
        <f>FX154-FX155</f>
        <v>0.89124337799937692</v>
      </c>
      <c r="FY156" s="61"/>
      <c r="FZ156" s="82">
        <f>FZ154-FZ155</f>
        <v>0.88821735963089865</v>
      </c>
      <c r="GA156" s="61"/>
      <c r="GB156" s="82">
        <f>GB154-GB155</f>
        <v>0.90844952986903027</v>
      </c>
      <c r="GC156" s="61"/>
      <c r="GD156" s="82">
        <f>GD154-GD155</f>
        <v>0.83550033708947313</v>
      </c>
      <c r="GE156" s="61"/>
      <c r="GF156" s="82">
        <f>GF154-GF155</f>
        <v>0.7493537347329644</v>
      </c>
      <c r="GG156" s="61">
        <f t="shared" si="1082"/>
        <v>-10.310780083776717</v>
      </c>
      <c r="GH156" s="82">
        <f>GH154-GH155</f>
        <v>0.68088667421094196</v>
      </c>
      <c r="GI156" s="61">
        <f t="shared" si="1082"/>
        <v>-9.1368144774004456</v>
      </c>
      <c r="GJ156" s="82">
        <f>GJ154-GJ155</f>
        <v>0.65032190934512579</v>
      </c>
      <c r="GK156" s="61">
        <f t="shared" si="1082"/>
        <v>-4.4889650544617687</v>
      </c>
      <c r="GL156" s="82">
        <f>GL154-GL155</f>
        <v>0.61137078571809411</v>
      </c>
      <c r="GM156" s="61">
        <f t="shared" si="1082"/>
        <v>-5.9895142801286605</v>
      </c>
      <c r="GN156" s="82">
        <f>GN154-GN155</f>
        <v>0.57232339451364433</v>
      </c>
      <c r="GO156" s="61">
        <f t="shared" si="1082"/>
        <v>-6.386859188665051</v>
      </c>
      <c r="GP156" s="82">
        <f>GP154-GP155</f>
        <v>0.55818257081723799</v>
      </c>
      <c r="GQ156" s="61">
        <f t="shared" si="1082"/>
        <v>-2.4707750603875089</v>
      </c>
      <c r="GR156" s="82">
        <f>GR154-GR155</f>
        <v>0.54818257081723798</v>
      </c>
      <c r="GS156" s="61">
        <f t="shared" si="1082"/>
        <v>-1.7915285289827221</v>
      </c>
      <c r="GT156" s="82">
        <f>GT154-GT155</f>
        <v>0.54818257081723798</v>
      </c>
      <c r="GU156" s="61">
        <f t="shared" si="1082"/>
        <v>0</v>
      </c>
      <c r="GV156" s="82">
        <f>GV154-GV155</f>
        <v>0.54818257081723798</v>
      </c>
      <c r="GW156" s="61">
        <f t="shared" si="1082"/>
        <v>0</v>
      </c>
      <c r="GX156" s="82">
        <f>GX154-GX155</f>
        <v>0.54818257081723798</v>
      </c>
      <c r="GY156" s="61">
        <f t="shared" si="1083"/>
        <v>0</v>
      </c>
      <c r="GZ156" s="61">
        <f>IF(ISERROR((GX156/GN156)^0.2),"",IF(OR((GX156/GN156)^0.2&lt;0.5,(GX156/GN156)^0.2&gt;2),"NM",((GX156/GN156)^0.2-1)*100))</f>
        <v>-0.85821248517277127</v>
      </c>
      <c r="HA156" s="61"/>
      <c r="HB156" s="452"/>
      <c r="HC156"/>
      <c r="HD156"/>
      <c r="HE156"/>
      <c r="HF156"/>
      <c r="HG156"/>
      <c r="HH156"/>
    </row>
    <row r="157" spans="1:216" s="5" customFormat="1" ht="12.75" customHeight="1" x14ac:dyDescent="0.2">
      <c r="B157" s="68"/>
      <c r="C157" s="66"/>
      <c r="D157" s="67"/>
      <c r="E157" s="66"/>
      <c r="F157" s="66"/>
      <c r="G157" s="64"/>
      <c r="H157" s="66"/>
      <c r="I157" s="64"/>
      <c r="J157" s="66"/>
      <c r="K157" s="64"/>
      <c r="L157" s="61"/>
      <c r="M157" s="66"/>
      <c r="N157" s="61"/>
      <c r="O157" s="64"/>
      <c r="P157" s="61"/>
      <c r="Q157" s="64"/>
      <c r="R157" s="61"/>
      <c r="S157" s="64"/>
      <c r="T157" s="61"/>
      <c r="U157" s="64"/>
      <c r="V157" s="61"/>
      <c r="W157" s="64"/>
      <c r="X157" s="61"/>
      <c r="Y157" s="64"/>
      <c r="Z157" s="61"/>
      <c r="AA157" s="118"/>
      <c r="AB157" s="61"/>
      <c r="AC157" s="118"/>
      <c r="AD157" s="61"/>
      <c r="AE157" s="118"/>
      <c r="AF157" s="61"/>
      <c r="AG157" s="118"/>
      <c r="AH157" s="61"/>
      <c r="AI157" s="118"/>
      <c r="AJ157" s="61"/>
      <c r="AK157" s="118"/>
      <c r="AL157" s="61"/>
      <c r="AM157" s="118"/>
      <c r="AN157" s="61"/>
      <c r="AO157" s="118"/>
      <c r="AP157" s="61"/>
      <c r="AQ157" s="118"/>
      <c r="AR157" s="61"/>
      <c r="AS157" s="118"/>
      <c r="AT157" s="61"/>
      <c r="AU157" s="118"/>
      <c r="AV157" s="61"/>
      <c r="AW157" s="118"/>
      <c r="AX157" s="61"/>
      <c r="AY157" s="118"/>
      <c r="AZ157" s="61"/>
      <c r="BA157" s="118"/>
      <c r="BB157" s="61"/>
      <c r="BC157" s="118"/>
      <c r="BD157" s="61"/>
      <c r="BE157" s="118"/>
      <c r="BF157" s="61"/>
      <c r="BG157" s="118"/>
      <c r="BH157" s="61"/>
      <c r="BI157" s="118"/>
      <c r="BJ157" s="61"/>
      <c r="BK157" s="118"/>
      <c r="BL157" s="61"/>
      <c r="BM157" s="118"/>
      <c r="BN157" s="61"/>
      <c r="BO157" s="118"/>
      <c r="BP157" s="61"/>
      <c r="BQ157" s="118"/>
      <c r="BR157" s="61"/>
      <c r="BS157" s="118"/>
      <c r="BT157" s="61"/>
      <c r="BU157" s="118"/>
      <c r="BV157" s="61"/>
      <c r="BW157" s="64"/>
      <c r="BX157" s="61"/>
      <c r="BY157" s="64"/>
      <c r="BZ157" s="61"/>
      <c r="CA157" s="64"/>
      <c r="CB157" s="61"/>
      <c r="CC157" s="64"/>
      <c r="CD157" s="61"/>
      <c r="CE157" s="64"/>
      <c r="CF157" s="61"/>
      <c r="CG157" s="64"/>
      <c r="CH157" s="61"/>
      <c r="CI157" s="64"/>
      <c r="CJ157" s="61"/>
      <c r="CK157" s="64"/>
      <c r="CL157" s="61"/>
      <c r="CM157" s="64"/>
      <c r="CN157" s="61"/>
      <c r="CO157" s="64"/>
      <c r="CP157" s="61"/>
      <c r="CQ157" s="64"/>
      <c r="CR157" s="61"/>
      <c r="CS157" s="64"/>
      <c r="CT157" s="61"/>
      <c r="CU157" s="64"/>
      <c r="CV157" s="61"/>
      <c r="CW157" s="64"/>
      <c r="CX157" s="61"/>
      <c r="CY157" s="64"/>
      <c r="CZ157" s="61"/>
      <c r="DA157" s="64"/>
      <c r="DB157" s="61"/>
      <c r="DC157" s="64"/>
      <c r="DD157" s="61"/>
      <c r="DE157" s="64"/>
      <c r="DF157" s="61"/>
      <c r="DG157" s="64"/>
      <c r="DH157" s="61"/>
      <c r="DI157" s="64"/>
      <c r="DJ157" s="61"/>
      <c r="DK157" s="64"/>
      <c r="DL157" s="61"/>
      <c r="DM157" s="64"/>
      <c r="DN157" s="61"/>
      <c r="DO157" s="64"/>
      <c r="DP157" s="61"/>
      <c r="DQ157" s="64"/>
      <c r="DR157" s="61"/>
      <c r="DS157" s="64"/>
      <c r="DT157" s="61"/>
      <c r="DU157" s="64"/>
      <c r="DV157" s="61"/>
      <c r="DW157" s="64"/>
      <c r="DX157" s="64"/>
      <c r="DY157" s="64"/>
      <c r="DZ157" s="61"/>
      <c r="EA157" s="64"/>
      <c r="EB157" s="61"/>
      <c r="EC157" s="64"/>
      <c r="ED157" s="61"/>
      <c r="EE157" s="64"/>
      <c r="EF157" s="61"/>
      <c r="EG157" s="64"/>
      <c r="EH157" s="61"/>
      <c r="EI157" s="64"/>
      <c r="EJ157" s="61"/>
      <c r="EK157" s="64"/>
      <c r="EL157" s="61"/>
      <c r="EM157" s="64"/>
      <c r="EN157" s="61"/>
      <c r="EO157" s="64"/>
      <c r="EP157" s="61"/>
      <c r="EQ157" s="64"/>
      <c r="ER157" s="61"/>
      <c r="ES157" s="64"/>
      <c r="ET157" s="61"/>
      <c r="EU157" s="64"/>
      <c r="EV157" s="61"/>
      <c r="EW157" s="64"/>
      <c r="EX157" s="61"/>
      <c r="EY157" s="64"/>
      <c r="EZ157" s="558"/>
      <c r="FA157" s="64"/>
      <c r="FB157" s="66"/>
      <c r="FC157" s="66"/>
      <c r="FD157" s="66"/>
      <c r="FE157" s="67"/>
      <c r="FF157" s="66"/>
      <c r="FG157" s="67"/>
      <c r="FH157" s="66"/>
      <c r="FI157" s="67"/>
      <c r="FJ157" s="66"/>
      <c r="FK157" s="67"/>
      <c r="FL157" s="66"/>
      <c r="FM157" s="61"/>
      <c r="FN157" s="66"/>
      <c r="FO157" s="61"/>
      <c r="FP157" s="65"/>
      <c r="FQ157" s="61"/>
      <c r="FR157" s="65"/>
      <c r="FS157" s="61"/>
      <c r="FT157" s="65"/>
      <c r="FU157" s="61"/>
      <c r="FV157" s="65"/>
      <c r="FW157" s="61"/>
      <c r="FX157" s="65"/>
      <c r="FY157" s="61"/>
      <c r="FZ157" s="65"/>
      <c r="GA157" s="61"/>
      <c r="GB157" s="65"/>
      <c r="GC157" s="61"/>
      <c r="GD157" s="65"/>
      <c r="GE157" s="61"/>
      <c r="GF157" s="65"/>
      <c r="GG157" s="61"/>
      <c r="GH157" s="65"/>
      <c r="GI157" s="61"/>
      <c r="GJ157" s="65"/>
      <c r="GK157" s="61"/>
      <c r="GL157" s="65"/>
      <c r="GM157" s="61"/>
      <c r="GN157" s="65"/>
      <c r="GO157" s="61"/>
      <c r="GP157" s="65"/>
      <c r="GQ157" s="61"/>
      <c r="GR157" s="64"/>
      <c r="GS157" s="61"/>
      <c r="GT157" s="64"/>
      <c r="GU157" s="61"/>
      <c r="GV157" s="64"/>
      <c r="GW157" s="61"/>
      <c r="GX157" s="64"/>
      <c r="GY157" s="61"/>
      <c r="GZ157" s="61"/>
      <c r="HA157" s="61"/>
      <c r="HB157" s="452"/>
      <c r="HC157"/>
      <c r="HD157"/>
      <c r="HE157"/>
      <c r="HF157"/>
      <c r="HG157"/>
      <c r="HH157"/>
    </row>
    <row r="158" spans="1:216" s="5" customFormat="1" ht="12.75" customHeight="1" x14ac:dyDescent="0.2">
      <c r="B158" s="119" t="s">
        <v>564</v>
      </c>
      <c r="C158" s="66"/>
      <c r="D158" s="67"/>
      <c r="E158" s="66"/>
      <c r="F158" s="66"/>
      <c r="G158" s="64"/>
      <c r="H158" s="66"/>
      <c r="I158" s="64"/>
      <c r="J158" s="66"/>
      <c r="K158" s="64"/>
      <c r="L158" s="61"/>
      <c r="M158" s="66"/>
      <c r="N158" s="61"/>
      <c r="O158" s="64"/>
      <c r="P158" s="61"/>
      <c r="Q158" s="64"/>
      <c r="R158" s="61"/>
      <c r="S158" s="64"/>
      <c r="T158" s="61"/>
      <c r="U158" s="64"/>
      <c r="V158" s="61"/>
      <c r="W158" s="64"/>
      <c r="X158" s="61"/>
      <c r="Y158" s="64"/>
      <c r="Z158" s="61"/>
      <c r="AA158" s="118"/>
      <c r="AB158" s="61"/>
      <c r="AC158" s="118"/>
      <c r="AD158" s="61"/>
      <c r="AE158" s="118"/>
      <c r="AF158" s="61"/>
      <c r="AG158" s="118"/>
      <c r="AH158" s="61"/>
      <c r="AI158" s="118"/>
      <c r="AJ158" s="61"/>
      <c r="AK158" s="118"/>
      <c r="AL158" s="61"/>
      <c r="AM158" s="118"/>
      <c r="AN158" s="61"/>
      <c r="AO158" s="118"/>
      <c r="AP158" s="61"/>
      <c r="AQ158" s="118"/>
      <c r="AR158" s="61"/>
      <c r="AS158" s="118"/>
      <c r="AT158" s="61"/>
      <c r="AU158" s="118"/>
      <c r="AV158" s="61"/>
      <c r="AW158" s="118"/>
      <c r="AX158" s="61"/>
      <c r="AY158" s="118"/>
      <c r="AZ158" s="61"/>
      <c r="BA158" s="118"/>
      <c r="BB158" s="61"/>
      <c r="BC158" s="118"/>
      <c r="BD158" s="61"/>
      <c r="BE158" s="118"/>
      <c r="BF158" s="61"/>
      <c r="BG158" s="118"/>
      <c r="BH158" s="61"/>
      <c r="BI158" s="118"/>
      <c r="BJ158" s="61"/>
      <c r="BK158" s="118"/>
      <c r="BL158" s="61"/>
      <c r="BM158" s="118"/>
      <c r="BN158" s="61"/>
      <c r="BO158" s="118"/>
      <c r="BP158" s="61"/>
      <c r="BQ158" s="118"/>
      <c r="BR158" s="61"/>
      <c r="BS158" s="118"/>
      <c r="BT158" s="61"/>
      <c r="BU158" s="118"/>
      <c r="BV158" s="61"/>
      <c r="BW158" s="64"/>
      <c r="BX158" s="61"/>
      <c r="BY158" s="64"/>
      <c r="BZ158" s="61"/>
      <c r="CA158" s="64"/>
      <c r="CB158" s="61"/>
      <c r="CC158" s="64"/>
      <c r="CD158" s="61"/>
      <c r="CE158" s="64"/>
      <c r="CF158" s="61"/>
      <c r="CG158" s="64"/>
      <c r="CH158" s="61"/>
      <c r="CI158" s="64"/>
      <c r="CJ158" s="61"/>
      <c r="CK158" s="64"/>
      <c r="CL158" s="61"/>
      <c r="CM158" s="64"/>
      <c r="CN158" s="61"/>
      <c r="CO158" s="64"/>
      <c r="CP158" s="61"/>
      <c r="CQ158" s="64"/>
      <c r="CR158" s="61"/>
      <c r="CS158" s="64"/>
      <c r="CT158" s="61"/>
      <c r="CU158" s="64"/>
      <c r="CV158" s="61"/>
      <c r="CW158" s="64"/>
      <c r="CX158" s="61"/>
      <c r="CY158" s="64"/>
      <c r="CZ158" s="61"/>
      <c r="DA158" s="64"/>
      <c r="DB158" s="61"/>
      <c r="DC158" s="64"/>
      <c r="DD158" s="61"/>
      <c r="DE158" s="64"/>
      <c r="DF158" s="61"/>
      <c r="DG158" s="64"/>
      <c r="DH158" s="61"/>
      <c r="DI158" s="64"/>
      <c r="DJ158" s="61"/>
      <c r="DK158" s="64"/>
      <c r="DL158" s="61"/>
      <c r="DM158" s="64"/>
      <c r="DN158" s="61"/>
      <c r="DO158" s="64"/>
      <c r="DP158" s="61"/>
      <c r="DQ158" s="64"/>
      <c r="DR158" s="61"/>
      <c r="DS158" s="64"/>
      <c r="DT158" s="61"/>
      <c r="DU158" s="64"/>
      <c r="DV158" s="61"/>
      <c r="DW158" s="64"/>
      <c r="DX158" s="64"/>
      <c r="DY158" s="64"/>
      <c r="DZ158" s="61"/>
      <c r="EA158" s="64"/>
      <c r="EB158" s="61"/>
      <c r="EC158" s="64"/>
      <c r="ED158" s="61"/>
      <c r="EE158" s="64"/>
      <c r="EF158" s="61"/>
      <c r="EG158" s="64"/>
      <c r="EH158" s="61"/>
      <c r="EI158" s="64"/>
      <c r="EJ158" s="61"/>
      <c r="EK158" s="64"/>
      <c r="EL158" s="61"/>
      <c r="EM158" s="64"/>
      <c r="EN158" s="61"/>
      <c r="EO158" s="64"/>
      <c r="EP158" s="61"/>
      <c r="EQ158" s="64"/>
      <c r="ER158" s="61"/>
      <c r="ES158" s="64"/>
      <c r="ET158" s="61"/>
      <c r="EU158" s="64"/>
      <c r="EV158" s="61"/>
      <c r="EW158" s="64"/>
      <c r="EX158" s="61"/>
      <c r="EY158" s="64"/>
      <c r="EZ158" s="558"/>
      <c r="FA158" s="64"/>
      <c r="FB158" s="66"/>
      <c r="FC158" s="66"/>
      <c r="FD158" s="66"/>
      <c r="FE158" s="67"/>
      <c r="FF158" s="66"/>
      <c r="FG158" s="67"/>
      <c r="FH158" s="66"/>
      <c r="FI158" s="67"/>
      <c r="FJ158" s="66"/>
      <c r="FK158" s="67"/>
      <c r="FL158" s="66"/>
      <c r="FM158" s="61"/>
      <c r="FN158" s="66"/>
      <c r="FO158" s="61"/>
      <c r="FP158" s="65"/>
      <c r="FQ158" s="61"/>
      <c r="FR158" s="65"/>
      <c r="FS158" s="61"/>
      <c r="FT158" s="65"/>
      <c r="FU158" s="61"/>
      <c r="FV158" s="65"/>
      <c r="FW158" s="61"/>
      <c r="FX158" s="65"/>
      <c r="FY158" s="61"/>
      <c r="FZ158" s="65"/>
      <c r="GA158" s="61"/>
      <c r="GB158" s="65"/>
      <c r="GC158" s="61"/>
      <c r="GD158" s="65"/>
      <c r="GE158" s="61"/>
      <c r="GF158" s="65"/>
      <c r="GG158" s="61"/>
      <c r="GH158" s="65"/>
      <c r="GI158" s="61"/>
      <c r="GJ158" s="65"/>
      <c r="GK158" s="61"/>
      <c r="GL158" s="65"/>
      <c r="GM158" s="61"/>
      <c r="GN158" s="65"/>
      <c r="GO158" s="61"/>
      <c r="GP158" s="65"/>
      <c r="GQ158" s="61"/>
      <c r="GR158" s="64"/>
      <c r="GS158" s="61"/>
      <c r="GT158" s="64"/>
      <c r="GU158" s="61"/>
      <c r="GV158" s="64"/>
      <c r="GW158" s="61"/>
      <c r="GX158" s="64"/>
      <c r="GY158" s="61"/>
      <c r="GZ158" s="61" t="str">
        <f t="shared" ref="GZ158:GZ202" si="1111">IF(ISERROR((GX158/GN158)^0.2),"",IF(OR((GX158/GN158)^0.2&lt;0.5,(GX158/GN158)^0.2&gt;2),"NM",((GX158/GN158)^0.2-1)*100))</f>
        <v/>
      </c>
      <c r="HA158" s="61"/>
      <c r="HB158" s="452"/>
      <c r="HC158"/>
      <c r="HD158"/>
      <c r="HE158"/>
      <c r="HF158"/>
      <c r="HG158"/>
      <c r="HH158"/>
    </row>
    <row r="159" spans="1:216" s="5" customFormat="1" ht="12.75" customHeight="1" x14ac:dyDescent="0.2">
      <c r="B159" s="443" t="s">
        <v>294</v>
      </c>
      <c r="C159" s="120"/>
      <c r="D159" s="67"/>
      <c r="E159" s="120"/>
      <c r="F159" s="66"/>
      <c r="G159" s="120"/>
      <c r="H159" s="120"/>
      <c r="I159" s="120"/>
      <c r="J159" s="120"/>
      <c r="K159" s="120"/>
      <c r="L159" s="61"/>
      <c r="M159" s="120"/>
      <c r="N159" s="61"/>
      <c r="O159" s="120"/>
      <c r="P159" s="61"/>
      <c r="Q159" s="120"/>
      <c r="R159" s="61"/>
      <c r="S159" s="120"/>
      <c r="T159" s="61"/>
      <c r="U159" s="120"/>
      <c r="V159" s="61"/>
      <c r="W159" s="120"/>
      <c r="X159" s="61"/>
      <c r="Y159" s="120"/>
      <c r="Z159" s="61"/>
      <c r="AA159" s="120"/>
      <c r="AB159" s="61"/>
      <c r="AC159" s="120"/>
      <c r="AD159" s="61"/>
      <c r="AE159" s="120"/>
      <c r="AF159" s="61"/>
      <c r="AG159" s="120"/>
      <c r="AH159" s="61"/>
      <c r="AI159" s="120"/>
      <c r="AJ159" s="61"/>
      <c r="AK159" s="120"/>
      <c r="AL159" s="61"/>
      <c r="AM159" s="120"/>
      <c r="AN159" s="61"/>
      <c r="AO159" s="120"/>
      <c r="AP159" s="61"/>
      <c r="AQ159" s="120">
        <v>6.28</v>
      </c>
      <c r="AR159" s="61" t="str">
        <f>IF(ISERROR((AQ159/AI159-1)*100),"NA",IF(((AQ159/AI159-1)*100)&gt;100,"NM",IF(((AQ159/AI159-1)*100)&lt;-50,"NM",(AQ159/AI159-1)*100)))</f>
        <v>NA</v>
      </c>
      <c r="AS159" s="120">
        <v>6.25</v>
      </c>
      <c r="AT159" s="61" t="str">
        <f>IF(ISERROR((AS159/AK159-1)*100),"NA",IF(((AS159/AK159-1)*100)&gt;100,"NM",IF(((AS159/AK159-1)*100)&lt;-50,"NM",(AS159/AK159-1)*100)))</f>
        <v>NA</v>
      </c>
      <c r="AU159" s="120">
        <v>6.25</v>
      </c>
      <c r="AV159" s="61" t="str">
        <f>IF(ISERROR((AU159/AM159-1)*100),"NA",IF(((AU159/AM159-1)*100)&gt;100,"NM",IF(((AU159/AM159-1)*100)&lt;-50,"NM",(AU159/AM159-1)*100)))</f>
        <v>NA</v>
      </c>
      <c r="AW159" s="120">
        <v>6.36</v>
      </c>
      <c r="AX159" s="61" t="str">
        <f>IF(ISERROR((AW159/AO159-1)*100),"NA",IF(((AW159/AO159-1)*100)&gt;100,"NM",IF(((AW159/AO159-1)*100)&lt;-50,"NM",(AW159/AO159-1)*100)))</f>
        <v>NA</v>
      </c>
      <c r="AY159" s="120">
        <v>6.34</v>
      </c>
      <c r="AZ159" s="61">
        <f>IF(ISERROR((AY159/AQ159-1)*100),"NA",IF(((AY159/AQ159-1)*100)&gt;100,"NM",IF(((AY159/AQ159-1)*100)&lt;-50,"NM",(AY159/AQ159-1)*100)))</f>
        <v>0.95541401273884219</v>
      </c>
      <c r="BA159" s="120">
        <v>6.31</v>
      </c>
      <c r="BB159" s="61">
        <f>IF(ISERROR((BA159/AS159-1)*100),"NA",IF(((BA159/AS159-1)*100)&gt;100,"NM",IF(((BA159/AS159-1)*100)&lt;-50,"NM",(BA159/AS159-1)*100)))</f>
        <v>0.95999999999998309</v>
      </c>
      <c r="BC159" s="120">
        <v>6.39</v>
      </c>
      <c r="BD159" s="61">
        <f>IF(ISERROR((BC159/AU159-1)*100),"NA",IF(((BC159/AU159-1)*100)&gt;100,"NM",IF(((BC159/AU159-1)*100)&lt;-50,"NM",(BC159/AU159-1)*100)))</f>
        <v>2.2399999999999975</v>
      </c>
      <c r="BE159" s="120">
        <v>6.23</v>
      </c>
      <c r="BF159" s="61">
        <f>IF(ISERROR((BE159/AW159-1)*100),"NA",IF(((BE159/AW159-1)*100)&gt;100,"NM",IF(((BE159/AW159-1)*100)&lt;-50,"NM",(BE159/AW159-1)*100)))</f>
        <v>-2.0440251572326984</v>
      </c>
      <c r="BG159" s="120">
        <v>6.2</v>
      </c>
      <c r="BH159" s="61"/>
      <c r="BI159" s="120">
        <v>6.13</v>
      </c>
      <c r="BJ159" s="61"/>
      <c r="BK159" s="120">
        <v>6</v>
      </c>
      <c r="BL159" s="61"/>
      <c r="BM159" s="120">
        <v>6.05</v>
      </c>
      <c r="BN159" s="61"/>
      <c r="BO159" s="120">
        <v>5.92</v>
      </c>
      <c r="BP159" s="61"/>
      <c r="BQ159" s="120">
        <v>5.91</v>
      </c>
      <c r="BR159" s="61"/>
      <c r="BS159" s="120">
        <v>6.1</v>
      </c>
      <c r="BT159" s="61"/>
      <c r="BU159" s="120">
        <v>5.7</v>
      </c>
      <c r="BV159" s="61"/>
      <c r="BW159" s="120">
        <v>5.69</v>
      </c>
      <c r="BX159" s="61"/>
      <c r="BY159" s="120">
        <v>5.78</v>
      </c>
      <c r="BZ159" s="61"/>
      <c r="CA159" s="120">
        <v>5.96</v>
      </c>
      <c r="CB159" s="61"/>
      <c r="CC159" s="120">
        <v>5.82</v>
      </c>
      <c r="CD159" s="61"/>
      <c r="CE159" s="120">
        <v>5.74</v>
      </c>
      <c r="CF159" s="61"/>
      <c r="CG159" s="120">
        <v>5.79</v>
      </c>
      <c r="CH159" s="61"/>
      <c r="CI159" s="120">
        <v>5.76</v>
      </c>
      <c r="CJ159" s="61"/>
      <c r="CK159" s="120">
        <v>5.92</v>
      </c>
      <c r="CL159" s="61"/>
      <c r="CM159" s="120">
        <v>5.99</v>
      </c>
      <c r="CN159" s="61"/>
      <c r="CO159" s="120">
        <v>5.79</v>
      </c>
      <c r="CP159" s="61"/>
      <c r="CQ159" s="120">
        <v>5.57</v>
      </c>
      <c r="CR159" s="61"/>
      <c r="CS159" s="120">
        <v>5.46</v>
      </c>
      <c r="CT159" s="61"/>
      <c r="CU159" s="120">
        <v>5.39</v>
      </c>
      <c r="CV159" s="61"/>
      <c r="CW159" s="120">
        <v>5.32</v>
      </c>
      <c r="CX159" s="61"/>
      <c r="CY159" s="120">
        <v>5.24</v>
      </c>
      <c r="CZ159" s="61"/>
      <c r="DA159" s="120">
        <v>5.1100000000000003</v>
      </c>
      <c r="DB159" s="61"/>
      <c r="DC159" s="120">
        <v>5.12</v>
      </c>
      <c r="DD159" s="61"/>
      <c r="DE159" s="120">
        <v>5.25</v>
      </c>
      <c r="DF159" s="61"/>
      <c r="DG159" s="120">
        <v>5.15</v>
      </c>
      <c r="DH159" s="61"/>
      <c r="DI159" s="120">
        <v>5.0599999999999996</v>
      </c>
      <c r="DJ159" s="61"/>
      <c r="DK159" s="120">
        <v>5.01</v>
      </c>
      <c r="DL159" s="61"/>
      <c r="DM159" s="120">
        <v>4.9000000000000004</v>
      </c>
      <c r="DN159" s="130">
        <f t="shared" ref="DN159:DZ161" si="1112">IF(ISERROR((DM159/DE159-1)*100),"NA",IF(((DM159/DE159-1)*100)&gt;100,"NM",IF(((DM159/DE159-1)*100)&lt;-50,"NM",(DM159/DE159-1)*100)))</f>
        <v>-6.6666666666666652</v>
      </c>
      <c r="DO159" s="120">
        <v>4.92</v>
      </c>
      <c r="DP159" s="130">
        <f t="shared" si="1112"/>
        <v>-4.4660194174757306</v>
      </c>
      <c r="DQ159" s="120">
        <v>5</v>
      </c>
      <c r="DR159" s="130">
        <f t="shared" si="1112"/>
        <v>-1.1857707509881354</v>
      </c>
      <c r="DS159" s="120">
        <v>4.83</v>
      </c>
      <c r="DT159" s="130">
        <f t="shared" si="1112"/>
        <v>-3.59281437125748</v>
      </c>
      <c r="DU159" s="120">
        <v>4.6399999999999997</v>
      </c>
      <c r="DV159" s="130">
        <f t="shared" si="1112"/>
        <v>-5.3061224489796004</v>
      </c>
      <c r="DW159" s="120">
        <v>4.9000000000000004</v>
      </c>
      <c r="DX159" s="120">
        <v>4.9000000000000004</v>
      </c>
      <c r="DY159" s="120">
        <v>4.74</v>
      </c>
      <c r="DZ159" s="130">
        <f t="shared" si="1112"/>
        <v>-5.199999999999994</v>
      </c>
      <c r="EA159" s="120">
        <v>4.63</v>
      </c>
      <c r="EB159" s="130">
        <f t="shared" ref="EB159:EB161" si="1113">IF(ISERROR((EA159/DS159-1)*100),"NA",IF(((EA159/DS159-1)*100)&gt;100,"NM",IF(((EA159/DS159-1)*100)&lt;-50,"NM",(EA159/DS159-1)*100)))</f>
        <v>-4.1407867494824053</v>
      </c>
      <c r="EC159" s="120">
        <v>4.58</v>
      </c>
      <c r="ED159" s="130">
        <f t="shared" ref="ED159:ED161" si="1114">IF(ISERROR((EC159/DU159-1)*100),"NA",IF(((EC159/DU159-1)*100)&gt;100,"NM",IF(((EC159/DU159-1)*100)&lt;-50,"NM",(EC159/DU159-1)*100)))</f>
        <v>-1.2931034482758563</v>
      </c>
      <c r="EE159" s="120">
        <v>4.75</v>
      </c>
      <c r="EF159" s="130">
        <f t="shared" ref="EF159:EF161" si="1115">IF(ISERROR((EE159/DW159-1)*100),"NA",IF(((EE159/DW159-1)*100)&gt;100,"NM",IF(((EE159/DW159-1)*100)&lt;-50,"NM",(EE159/DW159-1)*100)))</f>
        <v>-3.0612244897959218</v>
      </c>
      <c r="EG159" s="120">
        <v>4.6900000000000004</v>
      </c>
      <c r="EH159" s="130">
        <f t="shared" ref="EH159:EH161" si="1116">IF(ISERROR((EG159/DY159-1)*100),"NA",IF(((EG159/DY159-1)*100)&gt;100,"NM",IF(((EG159/DY159-1)*100)&lt;-50,"NM",(EG159/DY159-1)*100)))</f>
        <v>-1.0548523206751037</v>
      </c>
      <c r="EI159" s="120">
        <v>4.45</v>
      </c>
      <c r="EJ159" s="130">
        <f t="shared" ref="EJ159:EJ161" si="1117">IF(ISERROR((EI159/EA159-1)*100),"NA",IF(((EI159/EA159-1)*100)&gt;100,"NM",IF(((EI159/EA159-1)*100)&lt;-50,"NM",(EI159/EA159-1)*100)))</f>
        <v>-3.8876889848811991</v>
      </c>
      <c r="EK159" s="120">
        <v>4.47</v>
      </c>
      <c r="EL159" s="130">
        <f t="shared" ref="EL159:EL161" si="1118">IF(ISERROR((EK159/EC159-1)*100),"NA",IF(((EK159/EC159-1)*100)&gt;100,"NM",IF(((EK159/EC159-1)*100)&lt;-50,"NM",(EK159/EC159-1)*100)))</f>
        <v>-2.4017467248908408</v>
      </c>
      <c r="EM159" s="120">
        <v>4.46</v>
      </c>
      <c r="EN159" s="130">
        <f t="shared" ref="EN159:EN161" si="1119">IF(ISERROR((EM159/EE159-1)*100),"NA",IF(((EM159/EE159-1)*100)&gt;100,"NM",IF(((EM159/EE159-1)*100)&lt;-50,"NM",(EM159/EE159-1)*100)))</f>
        <v>-6.1052631578947363</v>
      </c>
      <c r="EO159" s="120">
        <v>4.66</v>
      </c>
      <c r="EP159" s="130">
        <f t="shared" ref="EP159:EP161" si="1120">IF(ISERROR((EO159/EG159-1)*100),"NA",IF(((EO159/EG159-1)*100)&gt;100,"NM",IF(((EO159/EG159-1)*100)&lt;-50,"NM",(EO159/EG159-1)*100)))</f>
        <v>-0.63965884861407751</v>
      </c>
      <c r="EQ159" s="120"/>
      <c r="ER159" s="130" t="str">
        <f t="shared" ref="ER159:ER161" si="1121">IF(ISERROR((EQ159/EI159-1)*100),"NA",IF(((EQ159/EI159-1)*100)&gt;100,"NM",IF(((EQ159/EI159-1)*100)&lt;-50,"NM",(EQ159/EI159-1)*100)))</f>
        <v>NM</v>
      </c>
      <c r="ES159" s="120"/>
      <c r="ET159" s="130" t="str">
        <f t="shared" ref="ET159:ET161" si="1122">IF(ISERROR((ES159/EK159-1)*100),"NA",IF(((ES159/EK159-1)*100)&gt;100,"NM",IF(((ES159/EK159-1)*100)&lt;-50,"NM",(ES159/EK159-1)*100)))</f>
        <v>NM</v>
      </c>
      <c r="EU159" s="120"/>
      <c r="EV159" s="130" t="str">
        <f t="shared" ref="EV159:EV161" si="1123">IF(ISERROR((EU159/EM159-1)*100),"NA",IF(((EU159/EM159-1)*100)&gt;100,"NM",IF(((EU159/EM159-1)*100)&lt;-50,"NM",(EU159/EM159-1)*100)))</f>
        <v>NM</v>
      </c>
      <c r="EW159" s="120"/>
      <c r="EX159" s="130" t="str">
        <f t="shared" ref="EX159:EX161" si="1124">IF(ISERROR((EW159/EO159-1)*100),"NA",IF(((EW159/EO159-1)*100)&gt;100,"NM",IF(((EW159/EO159-1)*100)&lt;-50,"NM",(EW159/EO159-1)*100)))</f>
        <v>NM</v>
      </c>
      <c r="EY159" s="120"/>
      <c r="EZ159" s="558"/>
      <c r="FA159" s="120"/>
      <c r="FB159" s="120"/>
      <c r="FC159" s="120"/>
      <c r="FD159" s="120"/>
      <c r="FE159" s="70"/>
      <c r="FF159" s="120"/>
      <c r="FG159" s="70"/>
      <c r="FH159" s="120"/>
      <c r="FI159" s="70"/>
      <c r="FJ159" s="120"/>
      <c r="FK159" s="70"/>
      <c r="FL159" s="120"/>
      <c r="FM159" s="61"/>
      <c r="FN159" s="120"/>
      <c r="FO159" s="61"/>
      <c r="FP159" s="121"/>
      <c r="FQ159" s="61"/>
      <c r="FR159" s="121"/>
      <c r="FS159" s="61"/>
      <c r="FT159" s="121"/>
      <c r="FU159" s="61"/>
      <c r="FV159" s="121"/>
      <c r="FW159" s="61"/>
      <c r="FX159" s="121"/>
      <c r="FY159" s="61"/>
      <c r="FZ159" s="121"/>
      <c r="GA159" s="61"/>
      <c r="GB159" s="121"/>
      <c r="GC159" s="61"/>
      <c r="GD159" s="121"/>
      <c r="GE159" s="61"/>
      <c r="GF159" s="121"/>
      <c r="GG159" s="61"/>
      <c r="GH159" s="121"/>
      <c r="GI159" s="61"/>
      <c r="GJ159" s="121"/>
      <c r="GK159" s="61"/>
      <c r="GL159" s="121"/>
      <c r="GM159" s="61"/>
      <c r="GN159" s="121"/>
      <c r="GO159" s="61"/>
      <c r="GP159" s="121"/>
      <c r="GQ159" s="61"/>
      <c r="GR159" s="120"/>
      <c r="GS159" s="61"/>
      <c r="GT159" s="120"/>
      <c r="GU159" s="61"/>
      <c r="GV159" s="120"/>
      <c r="GW159" s="61"/>
      <c r="GX159" s="120"/>
      <c r="GY159" s="61"/>
      <c r="GZ159" s="61" t="str">
        <f t="shared" si="1111"/>
        <v/>
      </c>
      <c r="HA159" s="61"/>
      <c r="HB159" s="452"/>
      <c r="HC159"/>
      <c r="HD159"/>
      <c r="HE159"/>
      <c r="HF159"/>
      <c r="HG159"/>
      <c r="HH159"/>
    </row>
    <row r="160" spans="1:216" s="5" customFormat="1" ht="12.75" customHeight="1" x14ac:dyDescent="0.2">
      <c r="B160" s="2" t="s">
        <v>463</v>
      </c>
      <c r="C160" s="120"/>
      <c r="D160" s="67"/>
      <c r="E160" s="120"/>
      <c r="F160" s="66"/>
      <c r="G160" s="120"/>
      <c r="H160" s="120"/>
      <c r="I160" s="120"/>
      <c r="J160" s="120"/>
      <c r="K160" s="120"/>
      <c r="L160" s="61"/>
      <c r="M160" s="120"/>
      <c r="N160" s="61"/>
      <c r="O160" s="120"/>
      <c r="P160" s="61"/>
      <c r="Q160" s="120"/>
      <c r="R160" s="61"/>
      <c r="S160" s="120"/>
      <c r="T160" s="61"/>
      <c r="U160" s="120"/>
      <c r="V160" s="61"/>
      <c r="W160" s="120"/>
      <c r="X160" s="61"/>
      <c r="Y160" s="120"/>
      <c r="Z160" s="61"/>
      <c r="AA160" s="120"/>
      <c r="AB160" s="61"/>
      <c r="AC160" s="120"/>
      <c r="AD160" s="61"/>
      <c r="AE160" s="120"/>
      <c r="AF160" s="61"/>
      <c r="AG160" s="120"/>
      <c r="AH160" s="61"/>
      <c r="AI160" s="120"/>
      <c r="AJ160" s="61"/>
      <c r="AK160" s="120"/>
      <c r="AL160" s="61"/>
      <c r="AM160" s="120"/>
      <c r="AN160" s="61"/>
      <c r="AO160" s="120"/>
      <c r="AP160" s="61"/>
      <c r="AQ160" s="120">
        <v>3.69</v>
      </c>
      <c r="AR160" s="61" t="str">
        <f>IF(ISERROR((AQ160/AI160-1)*100),"NA",IF(((AQ160/AI160-1)*100)&gt;100,"NM",IF(((AQ160/AI160-1)*100)&lt;-50,"NM",(AQ160/AI160-1)*100)))</f>
        <v>NA</v>
      </c>
      <c r="AS160" s="120">
        <v>3.68</v>
      </c>
      <c r="AT160" s="61" t="str">
        <f>IF(ISERROR((AS160/AK160-1)*100),"NA",IF(((AS160/AK160-1)*100)&gt;100,"NM",IF(((AS160/AK160-1)*100)&lt;-50,"NM",(AS160/AK160-1)*100)))</f>
        <v>NA</v>
      </c>
      <c r="AU160" s="120">
        <v>3.67</v>
      </c>
      <c r="AV160" s="61" t="str">
        <f>IF(ISERROR((AU160/AM160-1)*100),"NA",IF(((AU160/AM160-1)*100)&gt;100,"NM",IF(((AU160/AM160-1)*100)&lt;-50,"NM",(AU160/AM160-1)*100)))</f>
        <v>NA</v>
      </c>
      <c r="AW160" s="120">
        <v>3.67</v>
      </c>
      <c r="AX160" s="61" t="str">
        <f>IF(ISERROR((AW160/AO160-1)*100),"NA",IF(((AW160/AO160-1)*100)&gt;100,"NM",IF(((AW160/AO160-1)*100)&lt;-50,"NM",(AW160/AO160-1)*100)))</f>
        <v>NA</v>
      </c>
      <c r="AY160" s="120">
        <v>3.66</v>
      </c>
      <c r="AZ160" s="61">
        <f>IF(ISERROR((AY160/AQ160-1)*100),"NA",IF(((AY160/AQ160-1)*100)&gt;100,"NM",IF(((AY160/AQ160-1)*100)&lt;-50,"NM",(AY160/AQ160-1)*100)))</f>
        <v>-0.81300813008129413</v>
      </c>
      <c r="BA160" s="120">
        <v>3.73</v>
      </c>
      <c r="BB160" s="61">
        <f>IF(ISERROR((BA160/AS160-1)*100),"NA",IF(((BA160/AS160-1)*100)&gt;100,"NM",IF(((BA160/AS160-1)*100)&lt;-50,"NM",(BA160/AS160-1)*100)))</f>
        <v>1.3586956521739024</v>
      </c>
      <c r="BC160" s="120">
        <v>3.76</v>
      </c>
      <c r="BD160" s="61">
        <f>IF(ISERROR((BC160/AU160-1)*100),"NA",IF(((BC160/AU160-1)*100)&gt;100,"NM",IF(((BC160/AU160-1)*100)&lt;-50,"NM",(BC160/AU160-1)*100)))</f>
        <v>2.4523160762942808</v>
      </c>
      <c r="BE160" s="120">
        <v>3.79</v>
      </c>
      <c r="BF160" s="61">
        <f>IF(ISERROR((BE160/AW160-1)*100),"NA",IF(((BE160/AW160-1)*100)&gt;100,"NM",IF(((BE160/AW160-1)*100)&lt;-50,"NM",(BE160/AW160-1)*100)))</f>
        <v>3.2697547683923744</v>
      </c>
      <c r="BG160" s="120">
        <v>3.81</v>
      </c>
      <c r="BH160" s="61"/>
      <c r="BI160" s="120">
        <v>3.82</v>
      </c>
      <c r="BJ160" s="61"/>
      <c r="BK160" s="120">
        <v>3.84</v>
      </c>
      <c r="BL160" s="61"/>
      <c r="BM160" s="120">
        <v>3.85</v>
      </c>
      <c r="BN160" s="61"/>
      <c r="BO160" s="120">
        <v>3.81</v>
      </c>
      <c r="BP160" s="61"/>
      <c r="BQ160" s="120">
        <v>3.8</v>
      </c>
      <c r="BR160" s="61"/>
      <c r="BS160" s="120">
        <v>3.77</v>
      </c>
      <c r="BT160" s="61"/>
      <c r="BU160" s="120">
        <v>3.79</v>
      </c>
      <c r="BV160" s="61"/>
      <c r="BW160" s="120">
        <v>3.78</v>
      </c>
      <c r="BX160" s="61"/>
      <c r="BY160" s="120">
        <v>3.73</v>
      </c>
      <c r="BZ160" s="61"/>
      <c r="CA160" s="120">
        <v>3.66</v>
      </c>
      <c r="CB160" s="61"/>
      <c r="CC160" s="120">
        <v>3.63</v>
      </c>
      <c r="CD160" s="61"/>
      <c r="CE160" s="120">
        <v>3.58</v>
      </c>
      <c r="CF160" s="61"/>
      <c r="CG160" s="120">
        <v>3.51</v>
      </c>
      <c r="CH160" s="61"/>
      <c r="CI160" s="120">
        <v>3.47</v>
      </c>
      <c r="CJ160" s="61"/>
      <c r="CK160" s="120">
        <v>3.42</v>
      </c>
      <c r="CL160" s="61"/>
      <c r="CM160" s="120">
        <v>3.36</v>
      </c>
      <c r="CN160" s="61"/>
      <c r="CO160" s="120">
        <v>3.34</v>
      </c>
      <c r="CP160" s="61"/>
      <c r="CQ160" s="120">
        <v>3.31</v>
      </c>
      <c r="CR160" s="61"/>
      <c r="CS160" s="120">
        <v>3.28</v>
      </c>
      <c r="CT160" s="61"/>
      <c r="CU160" s="120">
        <v>3.22</v>
      </c>
      <c r="CV160" s="61"/>
      <c r="CW160" s="120">
        <v>3.22</v>
      </c>
      <c r="CX160" s="61"/>
      <c r="CY160" s="120">
        <v>3.22</v>
      </c>
      <c r="CZ160" s="61"/>
      <c r="DA160" s="120">
        <v>3.16</v>
      </c>
      <c r="DB160" s="61"/>
      <c r="DC160" s="120">
        <v>3.14</v>
      </c>
      <c r="DD160" s="61"/>
      <c r="DE160" s="120">
        <v>3.11</v>
      </c>
      <c r="DF160" s="61"/>
      <c r="DG160" s="120">
        <v>3.12</v>
      </c>
      <c r="DH160" s="61"/>
      <c r="DI160" s="120">
        <v>3.08</v>
      </c>
      <c r="DJ160" s="61"/>
      <c r="DK160" s="120">
        <v>3.06</v>
      </c>
      <c r="DL160" s="61"/>
      <c r="DM160" s="120">
        <v>3.05</v>
      </c>
      <c r="DN160" s="130">
        <f t="shared" si="1112"/>
        <v>-1.9292604501607746</v>
      </c>
      <c r="DO160" s="120">
        <v>3.04</v>
      </c>
      <c r="DP160" s="130">
        <f t="shared" si="1112"/>
        <v>-2.5641025641025661</v>
      </c>
      <c r="DQ160" s="120">
        <v>3</v>
      </c>
      <c r="DR160" s="130">
        <f t="shared" si="1112"/>
        <v>-2.5974025974025983</v>
      </c>
      <c r="DS160" s="120">
        <v>3.02</v>
      </c>
      <c r="DT160" s="130">
        <f t="shared" si="1112"/>
        <v>-1.3071895424836666</v>
      </c>
      <c r="DU160" s="120">
        <v>3.01</v>
      </c>
      <c r="DV160" s="130">
        <f t="shared" si="1112"/>
        <v>-1.3114754098360715</v>
      </c>
      <c r="DW160" s="120">
        <v>3.01</v>
      </c>
      <c r="DX160" s="120">
        <v>3.01</v>
      </c>
      <c r="DY160" s="120">
        <v>3.01</v>
      </c>
      <c r="DZ160" s="130">
        <f t="shared" si="1112"/>
        <v>0.33333333333331883</v>
      </c>
      <c r="EA160" s="120">
        <v>2.98</v>
      </c>
      <c r="EB160" s="130">
        <f t="shared" si="1113"/>
        <v>-1.3245033112582738</v>
      </c>
      <c r="EC160" s="120">
        <v>3.01</v>
      </c>
      <c r="ED160" s="130">
        <f t="shared" si="1114"/>
        <v>0</v>
      </c>
      <c r="EE160" s="120">
        <v>3</v>
      </c>
      <c r="EF160" s="130">
        <f t="shared" si="1115"/>
        <v>-0.33222591362125353</v>
      </c>
      <c r="EG160" s="120">
        <v>3.04</v>
      </c>
      <c r="EH160" s="130">
        <f t="shared" si="1116"/>
        <v>0.99667774086380501</v>
      </c>
      <c r="EI160" s="120">
        <v>2.93</v>
      </c>
      <c r="EJ160" s="130">
        <f t="shared" si="1117"/>
        <v>-1.6778523489932806</v>
      </c>
      <c r="EK160" s="120">
        <v>2.91</v>
      </c>
      <c r="EL160" s="130">
        <f t="shared" si="1118"/>
        <v>-3.322259136212613</v>
      </c>
      <c r="EM160" s="120">
        <v>2.93</v>
      </c>
      <c r="EN160" s="130">
        <f t="shared" si="1119"/>
        <v>-2.3333333333333317</v>
      </c>
      <c r="EO160" s="120">
        <v>2.91</v>
      </c>
      <c r="EP160" s="130">
        <f t="shared" si="1120"/>
        <v>-4.2763157894736832</v>
      </c>
      <c r="EQ160" s="120"/>
      <c r="ER160" s="130" t="str">
        <f t="shared" si="1121"/>
        <v>NM</v>
      </c>
      <c r="ES160" s="120"/>
      <c r="ET160" s="130" t="str">
        <f t="shared" si="1122"/>
        <v>NM</v>
      </c>
      <c r="EU160" s="120"/>
      <c r="EV160" s="130" t="str">
        <f t="shared" si="1123"/>
        <v>NM</v>
      </c>
      <c r="EW160" s="120"/>
      <c r="EX160" s="130" t="str">
        <f t="shared" si="1124"/>
        <v>NM</v>
      </c>
      <c r="EY160" s="120"/>
      <c r="EZ160" s="558"/>
      <c r="FA160" s="120"/>
      <c r="FB160" s="120"/>
      <c r="FC160" s="120"/>
      <c r="FD160" s="120"/>
      <c r="FE160" s="70"/>
      <c r="FF160" s="120"/>
      <c r="FG160" s="70"/>
      <c r="FH160" s="120"/>
      <c r="FI160" s="70"/>
      <c r="FJ160" s="120"/>
      <c r="FK160" s="70"/>
      <c r="FL160" s="120"/>
      <c r="FM160" s="61"/>
      <c r="FN160" s="120"/>
      <c r="FO160" s="61"/>
      <c r="FP160" s="121"/>
      <c r="FQ160" s="61"/>
      <c r="FR160" s="121"/>
      <c r="FS160" s="61"/>
      <c r="FT160" s="121"/>
      <c r="FU160" s="61"/>
      <c r="FV160" s="121"/>
      <c r="FW160" s="61"/>
      <c r="FX160" s="121"/>
      <c r="FY160" s="61"/>
      <c r="FZ160" s="121"/>
      <c r="GA160" s="61"/>
      <c r="GB160" s="121"/>
      <c r="GC160" s="61"/>
      <c r="GD160" s="121"/>
      <c r="GE160" s="61"/>
      <c r="GF160" s="121"/>
      <c r="GG160" s="61"/>
      <c r="GH160" s="121"/>
      <c r="GI160" s="61"/>
      <c r="GJ160" s="121"/>
      <c r="GK160" s="61"/>
      <c r="GL160" s="121"/>
      <c r="GM160" s="61"/>
      <c r="GN160" s="121"/>
      <c r="GO160" s="61"/>
      <c r="GP160" s="121"/>
      <c r="GQ160" s="61"/>
      <c r="GR160" s="120"/>
      <c r="GS160" s="61"/>
      <c r="GT160" s="120"/>
      <c r="GU160" s="61"/>
      <c r="GV160" s="120"/>
      <c r="GW160" s="61"/>
      <c r="GX160" s="120"/>
      <c r="GY160" s="61"/>
      <c r="GZ160" s="61" t="str">
        <f t="shared" si="1111"/>
        <v/>
      </c>
      <c r="HA160" s="61"/>
      <c r="HB160" s="452"/>
      <c r="HC160"/>
      <c r="HD160"/>
      <c r="HE160"/>
      <c r="HF160"/>
      <c r="HG160"/>
      <c r="HH160"/>
    </row>
    <row r="161" spans="1:216" s="5" customFormat="1" ht="12.75" customHeight="1" x14ac:dyDescent="0.2">
      <c r="B161" s="68" t="s">
        <v>383</v>
      </c>
      <c r="C161" s="121"/>
      <c r="D161" s="122"/>
      <c r="E161" s="121"/>
      <c r="F161" s="16"/>
      <c r="G161" s="121"/>
      <c r="H161" s="121"/>
      <c r="I161" s="121"/>
      <c r="J161" s="121"/>
      <c r="K161" s="121"/>
      <c r="L161" s="61"/>
      <c r="M161" s="121"/>
      <c r="N161" s="61"/>
      <c r="O161" s="121"/>
      <c r="P161" s="61"/>
      <c r="Q161" s="121"/>
      <c r="R161" s="61"/>
      <c r="S161" s="121"/>
      <c r="T161" s="61"/>
      <c r="U161" s="121"/>
      <c r="V161" s="61"/>
      <c r="W161" s="121"/>
      <c r="X161" s="61"/>
      <c r="Y161" s="121"/>
      <c r="Z161" s="61"/>
      <c r="AA161" s="121"/>
      <c r="AB161" s="61"/>
      <c r="AC161" s="121"/>
      <c r="AD161" s="61"/>
      <c r="AE161" s="121"/>
      <c r="AF161" s="61"/>
      <c r="AG161" s="121"/>
      <c r="AH161" s="61"/>
      <c r="AI161" s="121"/>
      <c r="AJ161" s="61"/>
      <c r="AK161" s="121"/>
      <c r="AL161" s="61"/>
      <c r="AM161" s="121"/>
      <c r="AN161" s="61"/>
      <c r="AO161" s="121"/>
      <c r="AP161" s="61"/>
      <c r="AQ161" s="121">
        <f>+AQ159-AQ160</f>
        <v>2.5900000000000003</v>
      </c>
      <c r="AR161" s="61" t="str">
        <f>IF(ISERROR((AQ161/AI161-1)*100),"NA",IF(((AQ161/AI161-1)*100)&gt;100,"NM",IF(((AQ161/AI161-1)*100)&lt;-50,"NM",(AQ161/AI161-1)*100)))</f>
        <v>NA</v>
      </c>
      <c r="AS161" s="121">
        <f>+AS159-AS160</f>
        <v>2.57</v>
      </c>
      <c r="AT161" s="61" t="str">
        <f>IF(ISERROR((AS161/AK161-1)*100),"NA",IF(((AS161/AK161-1)*100)&gt;100,"NM",IF(((AS161/AK161-1)*100)&lt;-50,"NM",(AS161/AK161-1)*100)))</f>
        <v>NA</v>
      </c>
      <c r="AU161" s="121">
        <f>+AU159-AU160</f>
        <v>2.58</v>
      </c>
      <c r="AV161" s="61" t="str">
        <f>IF(ISERROR((AU161/AM161-1)*100),"NA",IF(((AU161/AM161-1)*100)&gt;100,"NM",IF(((AU161/AM161-1)*100)&lt;-50,"NM",(AU161/AM161-1)*100)))</f>
        <v>NA</v>
      </c>
      <c r="AW161" s="121">
        <f>+AW159-AW160</f>
        <v>2.6900000000000004</v>
      </c>
      <c r="AX161" s="61" t="str">
        <f>IF(ISERROR((AW161/AO161-1)*100),"NA",IF(((AW161/AO161-1)*100)&gt;100,"NM",IF(((AW161/AO161-1)*100)&lt;-50,"NM",(AW161/AO161-1)*100)))</f>
        <v>NA</v>
      </c>
      <c r="AY161" s="121">
        <f>+AY159-AY160</f>
        <v>2.6799999999999997</v>
      </c>
      <c r="AZ161" s="61">
        <f>IF(ISERROR((AY161/AQ161-1)*100),"NA",IF(((AY161/AQ161-1)*100)&gt;100,"NM",IF(((AY161/AQ161-1)*100)&lt;-50,"NM",(AY161/AQ161-1)*100)))</f>
        <v>3.4749034749034458</v>
      </c>
      <c r="BA161" s="121">
        <f>+BA159-BA160</f>
        <v>2.5799999999999996</v>
      </c>
      <c r="BB161" s="61">
        <f>IF(ISERROR((BA161/AS161-1)*100),"NA",IF(((BA161/AS161-1)*100)&gt;100,"NM",IF(((BA161/AS161-1)*100)&lt;-50,"NM",(BA161/AS161-1)*100)))</f>
        <v>0.38910505836575737</v>
      </c>
      <c r="BC161" s="121">
        <f>+BC159-BC160</f>
        <v>2.63</v>
      </c>
      <c r="BD161" s="61">
        <f>IF(ISERROR((BC161/AU161-1)*100),"NA",IF(((BC161/AU161-1)*100)&gt;100,"NM",IF(((BC161/AU161-1)*100)&lt;-50,"NM",(BC161/AU161-1)*100)))</f>
        <v>1.9379844961240345</v>
      </c>
      <c r="BE161" s="121">
        <f>+BE159-BE160</f>
        <v>2.4400000000000004</v>
      </c>
      <c r="BF161" s="61">
        <f>IF(ISERROR((BE161/AW161-1)*100),"NA",IF(((BE161/AW161-1)*100)&gt;100,"NM",IF(((BE161/AW161-1)*100)&lt;-50,"NM",(BE161/AW161-1)*100)))</f>
        <v>-9.293680297397767</v>
      </c>
      <c r="BG161" s="121">
        <f>+BG159-BG160</f>
        <v>2.39</v>
      </c>
      <c r="BH161" s="61"/>
      <c r="BI161" s="121">
        <f>+BI159-BI160</f>
        <v>2.31</v>
      </c>
      <c r="BJ161" s="61"/>
      <c r="BK161" s="121">
        <f>+BK159-BK160</f>
        <v>2.16</v>
      </c>
      <c r="BL161" s="61"/>
      <c r="BM161" s="121">
        <f>+BM159-BM160</f>
        <v>2.1999999999999997</v>
      </c>
      <c r="BN161" s="61"/>
      <c r="BO161" s="121">
        <f>+BO159-BO160</f>
        <v>2.11</v>
      </c>
      <c r="BP161" s="61"/>
      <c r="BQ161" s="121">
        <f>+BQ159-BQ160</f>
        <v>2.1100000000000003</v>
      </c>
      <c r="BR161" s="61"/>
      <c r="BS161" s="121">
        <f>+BS159-BS160</f>
        <v>2.3299999999999996</v>
      </c>
      <c r="BT161" s="61"/>
      <c r="BU161" s="121">
        <f>+BU159-BU160</f>
        <v>1.9100000000000001</v>
      </c>
      <c r="BV161" s="61"/>
      <c r="BW161" s="121">
        <f>+BW159-BW160</f>
        <v>1.9100000000000006</v>
      </c>
      <c r="BX161" s="61"/>
      <c r="BY161" s="121">
        <f>+BY159-BY160</f>
        <v>2.0500000000000003</v>
      </c>
      <c r="BZ161" s="61"/>
      <c r="CA161" s="121">
        <f>+CA159-CA160</f>
        <v>2.2999999999999998</v>
      </c>
      <c r="CB161" s="61"/>
      <c r="CC161" s="121">
        <f>+CC159-CC160</f>
        <v>2.1900000000000004</v>
      </c>
      <c r="CD161" s="61"/>
      <c r="CE161" s="121">
        <f>+CE159-CE160</f>
        <v>2.16</v>
      </c>
      <c r="CF161" s="61"/>
      <c r="CG161" s="121">
        <f>+CG159-CG160</f>
        <v>2.2800000000000002</v>
      </c>
      <c r="CH161" s="61"/>
      <c r="CI161" s="121">
        <f>+CI159-CI160</f>
        <v>2.2899999999999996</v>
      </c>
      <c r="CJ161" s="61"/>
      <c r="CK161" s="121">
        <f>+CK159-CK160</f>
        <v>2.5</v>
      </c>
      <c r="CL161" s="61"/>
      <c r="CM161" s="121">
        <f>+CM159-CM160</f>
        <v>2.6300000000000003</v>
      </c>
      <c r="CN161" s="61"/>
      <c r="CO161" s="121">
        <f>+CO159-CO160</f>
        <v>2.4500000000000002</v>
      </c>
      <c r="CP161" s="61"/>
      <c r="CQ161" s="121">
        <f>+CQ159-CQ160</f>
        <v>2.2600000000000002</v>
      </c>
      <c r="CR161" s="61"/>
      <c r="CS161" s="121">
        <f>+CS159-CS160</f>
        <v>2.1800000000000002</v>
      </c>
      <c r="CT161" s="61"/>
      <c r="CU161" s="121">
        <f>+CU159-CU160</f>
        <v>2.1699999999999995</v>
      </c>
      <c r="CV161" s="61"/>
      <c r="CW161" s="121">
        <f>+CW159-CW160</f>
        <v>2.1</v>
      </c>
      <c r="CX161" s="61"/>
      <c r="CY161" s="121">
        <f>+CY159-CY160</f>
        <v>2.02</v>
      </c>
      <c r="CZ161" s="61"/>
      <c r="DA161" s="121">
        <f>+DA159-DA160</f>
        <v>1.9500000000000002</v>
      </c>
      <c r="DB161" s="61"/>
      <c r="DC161" s="121">
        <f>+DC159-DC160</f>
        <v>1.98</v>
      </c>
      <c r="DD161" s="61"/>
      <c r="DE161" s="121">
        <f>+DE159-DE160</f>
        <v>2.14</v>
      </c>
      <c r="DF161" s="61"/>
      <c r="DG161" s="121">
        <f>+DG159-DG160</f>
        <v>2.0300000000000002</v>
      </c>
      <c r="DH161" s="61"/>
      <c r="DI161" s="121">
        <f>+DI159-DI160</f>
        <v>1.9799999999999995</v>
      </c>
      <c r="DJ161" s="61"/>
      <c r="DK161" s="121">
        <f>+DK159-DK160</f>
        <v>1.9499999999999997</v>
      </c>
      <c r="DL161" s="61"/>
      <c r="DM161" s="121">
        <f>+DM159-DM160</f>
        <v>1.8500000000000005</v>
      </c>
      <c r="DN161" s="130">
        <f t="shared" si="1112"/>
        <v>-13.551401869158862</v>
      </c>
      <c r="DO161" s="121">
        <f>+DO159-DO160</f>
        <v>1.88</v>
      </c>
      <c r="DP161" s="130">
        <f t="shared" si="1112"/>
        <v>-7.3891625615763683</v>
      </c>
      <c r="DQ161" s="121">
        <f>+DQ159-DQ160</f>
        <v>2</v>
      </c>
      <c r="DR161" s="130">
        <f t="shared" si="1112"/>
        <v>1.0101010101010388</v>
      </c>
      <c r="DS161" s="121">
        <f>+DS159-DS160</f>
        <v>1.81</v>
      </c>
      <c r="DT161" s="130">
        <f t="shared" si="1112"/>
        <v>-7.1794871794871646</v>
      </c>
      <c r="DU161" s="121">
        <f>+DU159-DU160</f>
        <v>1.63</v>
      </c>
      <c r="DV161" s="130">
        <f t="shared" si="1112"/>
        <v>-11.891891891891927</v>
      </c>
      <c r="DW161" s="121">
        <f>+DW159-DW160</f>
        <v>1.8900000000000006</v>
      </c>
      <c r="DX161" s="121">
        <f t="shared" ref="DX161:DY161" si="1125">+DX159-DX160</f>
        <v>1.8900000000000006</v>
      </c>
      <c r="DY161" s="121">
        <f t="shared" si="1125"/>
        <v>1.7300000000000004</v>
      </c>
      <c r="DZ161" s="130">
        <f t="shared" si="1112"/>
        <v>-13.499999999999979</v>
      </c>
      <c r="EA161" s="121">
        <f t="shared" ref="EA161:EC161" si="1126">+EA159-EA160</f>
        <v>1.65</v>
      </c>
      <c r="EB161" s="130">
        <f t="shared" si="1113"/>
        <v>-8.8397790055248731</v>
      </c>
      <c r="EC161" s="121">
        <f t="shared" si="1126"/>
        <v>1.5700000000000003</v>
      </c>
      <c r="ED161" s="130">
        <f t="shared" si="1114"/>
        <v>-3.6809815950920033</v>
      </c>
      <c r="EE161" s="121">
        <f t="shared" ref="EE161:EG161" si="1127">+EE159-EE160</f>
        <v>1.75</v>
      </c>
      <c r="EF161" s="130">
        <f t="shared" si="1115"/>
        <v>-7.4074074074074403</v>
      </c>
      <c r="EG161" s="121">
        <f t="shared" si="1127"/>
        <v>1.6500000000000004</v>
      </c>
      <c r="EH161" s="130">
        <f t="shared" si="1116"/>
        <v>-4.6242774566473965</v>
      </c>
      <c r="EI161" s="121">
        <f t="shared" ref="EI161:EK161" si="1128">+EI159-EI160</f>
        <v>1.52</v>
      </c>
      <c r="EJ161" s="130">
        <f t="shared" si="1117"/>
        <v>-7.8787878787878736</v>
      </c>
      <c r="EK161" s="121">
        <f t="shared" si="1128"/>
        <v>1.5599999999999996</v>
      </c>
      <c r="EL161" s="130">
        <f t="shared" si="1118"/>
        <v>-0.63694267515927994</v>
      </c>
      <c r="EM161" s="121">
        <f t="shared" ref="EM161" si="1129">+EM159-EM160</f>
        <v>1.5299999999999998</v>
      </c>
      <c r="EN161" s="130">
        <f t="shared" si="1119"/>
        <v>-12.571428571428578</v>
      </c>
      <c r="EO161" s="121">
        <f t="shared" ref="EO161" si="1130">+EO159-EO160</f>
        <v>1.75</v>
      </c>
      <c r="EP161" s="130">
        <f t="shared" si="1120"/>
        <v>6.060606060606033</v>
      </c>
      <c r="EQ161" s="121"/>
      <c r="ER161" s="130" t="str">
        <f t="shared" si="1121"/>
        <v>NM</v>
      </c>
      <c r="ES161" s="121"/>
      <c r="ET161" s="130" t="str">
        <f t="shared" si="1122"/>
        <v>NM</v>
      </c>
      <c r="EU161" s="121"/>
      <c r="EV161" s="130" t="str">
        <f t="shared" si="1123"/>
        <v>NM</v>
      </c>
      <c r="EW161" s="121"/>
      <c r="EX161" s="130" t="str">
        <f t="shared" si="1124"/>
        <v>NM</v>
      </c>
      <c r="EY161" s="121"/>
      <c r="EZ161" s="558"/>
      <c r="FA161" s="121"/>
      <c r="FB161" s="121"/>
      <c r="FC161" s="121"/>
      <c r="FD161" s="121"/>
      <c r="FE161" s="70"/>
      <c r="FF161" s="121"/>
      <c r="FG161" s="70"/>
      <c r="FH161" s="121"/>
      <c r="FI161" s="70"/>
      <c r="FJ161" s="121"/>
      <c r="FK161" s="70"/>
      <c r="FL161" s="121"/>
      <c r="FM161" s="61"/>
      <c r="FN161" s="121"/>
      <c r="FO161" s="61"/>
      <c r="FP161" s="121"/>
      <c r="FQ161" s="61"/>
      <c r="FR161" s="121"/>
      <c r="FS161" s="61"/>
      <c r="FT161" s="121"/>
      <c r="FU161" s="61"/>
      <c r="FV161" s="121"/>
      <c r="FW161" s="61"/>
      <c r="FX161" s="121"/>
      <c r="FY161" s="61"/>
      <c r="FZ161" s="121"/>
      <c r="GA161" s="61"/>
      <c r="GB161" s="121"/>
      <c r="GC161" s="61"/>
      <c r="GD161" s="121"/>
      <c r="GE161" s="61"/>
      <c r="GF161" s="121"/>
      <c r="GG161" s="61"/>
      <c r="GH161" s="121"/>
      <c r="GI161" s="61"/>
      <c r="GJ161" s="121"/>
      <c r="GK161" s="61"/>
      <c r="GL161" s="121"/>
      <c r="GM161" s="61"/>
      <c r="GN161" s="121"/>
      <c r="GO161" s="61"/>
      <c r="GP161" s="121"/>
      <c r="GQ161" s="61"/>
      <c r="GR161" s="121"/>
      <c r="GS161" s="61"/>
      <c r="GT161" s="121"/>
      <c r="GU161" s="61"/>
      <c r="GV161" s="121"/>
      <c r="GW161" s="61"/>
      <c r="GX161" s="121"/>
      <c r="GY161" s="61"/>
      <c r="GZ161" s="61" t="str">
        <f t="shared" si="1111"/>
        <v/>
      </c>
      <c r="HA161" s="61"/>
      <c r="HB161" s="452"/>
      <c r="HC161"/>
      <c r="HD161"/>
      <c r="HE161"/>
      <c r="HF161"/>
      <c r="HG161"/>
      <c r="HH161"/>
    </row>
    <row r="162" spans="1:216" s="7" customFormat="1" ht="12.75" customHeight="1" x14ac:dyDescent="0.2">
      <c r="B162" s="92"/>
      <c r="C162" s="66"/>
      <c r="D162" s="67"/>
      <c r="E162" s="66"/>
      <c r="F162" s="66"/>
      <c r="G162" s="64"/>
      <c r="H162" s="66"/>
      <c r="I162" s="64"/>
      <c r="J162" s="66"/>
      <c r="K162" s="64"/>
      <c r="L162" s="61"/>
      <c r="M162" s="66"/>
      <c r="N162" s="61"/>
      <c r="O162" s="64"/>
      <c r="P162" s="61"/>
      <c r="Q162" s="64"/>
      <c r="R162" s="61"/>
      <c r="S162" s="64"/>
      <c r="T162" s="61"/>
      <c r="U162" s="64"/>
      <c r="V162" s="61"/>
      <c r="W162" s="64"/>
      <c r="X162" s="61"/>
      <c r="Y162" s="64"/>
      <c r="Z162" s="61"/>
      <c r="AB162" s="61"/>
      <c r="AD162" s="61"/>
      <c r="AF162" s="61"/>
      <c r="AH162" s="61"/>
      <c r="AJ162" s="61"/>
      <c r="AL162" s="61"/>
      <c r="AN162" s="61"/>
      <c r="AP162" s="61"/>
      <c r="AR162" s="61"/>
      <c r="AT162" s="61"/>
      <c r="AV162" s="61"/>
      <c r="AX162" s="61"/>
      <c r="AZ162" s="61"/>
      <c r="BB162" s="61"/>
      <c r="BD162" s="61"/>
      <c r="BF162" s="61"/>
      <c r="BH162" s="61"/>
      <c r="BJ162" s="61"/>
      <c r="BL162" s="61"/>
      <c r="BN162" s="61"/>
      <c r="BP162" s="61"/>
      <c r="BR162" s="61"/>
      <c r="BT162" s="61"/>
      <c r="BV162" s="61"/>
      <c r="BW162" s="64"/>
      <c r="BX162" s="61"/>
      <c r="BY162" s="64"/>
      <c r="BZ162" s="61"/>
      <c r="CA162" s="64"/>
      <c r="CB162" s="61"/>
      <c r="CC162" s="64"/>
      <c r="CD162" s="61"/>
      <c r="CE162" s="64"/>
      <c r="CF162" s="61"/>
      <c r="CG162" s="64"/>
      <c r="CH162" s="61"/>
      <c r="CI162" s="64"/>
      <c r="CJ162" s="61"/>
      <c r="CK162" s="64"/>
      <c r="CL162" s="61"/>
      <c r="CM162" s="64"/>
      <c r="CN162" s="61"/>
      <c r="CO162" s="64"/>
      <c r="CP162" s="61"/>
      <c r="CQ162" s="64"/>
      <c r="CR162" s="61"/>
      <c r="CS162" s="64"/>
      <c r="CT162" s="61"/>
      <c r="CU162" s="64"/>
      <c r="CV162" s="61"/>
      <c r="CW162" s="64"/>
      <c r="CX162" s="61"/>
      <c r="CY162" s="64"/>
      <c r="CZ162" s="61"/>
      <c r="DA162" s="64"/>
      <c r="DB162" s="61"/>
      <c r="DC162" s="64"/>
      <c r="DD162" s="61"/>
      <c r="DE162" s="64"/>
      <c r="DF162" s="61"/>
      <c r="DG162" s="64"/>
      <c r="DH162" s="61"/>
      <c r="DI162" s="64"/>
      <c r="DJ162" s="61"/>
      <c r="DK162" s="64"/>
      <c r="DL162" s="61"/>
      <c r="DM162" s="64"/>
      <c r="DN162" s="61"/>
      <c r="DO162" s="64"/>
      <c r="DP162" s="61"/>
      <c r="DQ162" s="64"/>
      <c r="DR162" s="61"/>
      <c r="DS162" s="64"/>
      <c r="DT162" s="61"/>
      <c r="DU162" s="64"/>
      <c r="DV162" s="61"/>
      <c r="DW162" s="64"/>
      <c r="DX162" s="64"/>
      <c r="DY162" s="64"/>
      <c r="DZ162" s="61"/>
      <c r="EA162" s="64"/>
      <c r="EB162" s="61"/>
      <c r="EC162" s="64"/>
      <c r="ED162" s="61"/>
      <c r="EE162" s="64"/>
      <c r="EF162" s="61"/>
      <c r="EG162" s="64"/>
      <c r="EH162" s="61"/>
      <c r="EI162" s="64"/>
      <c r="EJ162" s="61"/>
      <c r="EK162" s="64"/>
      <c r="EL162" s="61"/>
      <c r="EM162" s="64"/>
      <c r="EN162" s="61"/>
      <c r="EO162" s="64"/>
      <c r="EP162" s="61"/>
      <c r="EQ162" s="64"/>
      <c r="ER162" s="61"/>
      <c r="ES162" s="64"/>
      <c r="ET162" s="61"/>
      <c r="EU162" s="64"/>
      <c r="EV162" s="61"/>
      <c r="EW162" s="64"/>
      <c r="EX162" s="61"/>
      <c r="EY162" s="64"/>
      <c r="EZ162" s="558"/>
      <c r="FA162" s="64"/>
      <c r="FB162" s="66"/>
      <c r="FC162" s="66"/>
      <c r="FD162" s="66"/>
      <c r="FE162" s="67"/>
      <c r="FF162" s="66"/>
      <c r="FG162" s="67"/>
      <c r="FH162" s="66"/>
      <c r="FI162" s="67"/>
      <c r="FJ162" s="66"/>
      <c r="FK162" s="67"/>
      <c r="FL162" s="66"/>
      <c r="FM162" s="61"/>
      <c r="FN162" s="66"/>
      <c r="FO162" s="61"/>
      <c r="FP162" s="65"/>
      <c r="FQ162" s="61"/>
      <c r="FR162" s="65"/>
      <c r="FS162" s="61"/>
      <c r="FT162" s="65"/>
      <c r="FU162" s="61"/>
      <c r="FV162" s="65"/>
      <c r="FW162" s="61"/>
      <c r="FX162" s="65"/>
      <c r="FY162" s="61"/>
      <c r="FZ162" s="65"/>
      <c r="GA162" s="61"/>
      <c r="GB162" s="65"/>
      <c r="GC162" s="61"/>
      <c r="GD162" s="65"/>
      <c r="GE162" s="61"/>
      <c r="GF162" s="65"/>
      <c r="GG162" s="61"/>
      <c r="GH162" s="65"/>
      <c r="GI162" s="61"/>
      <c r="GJ162" s="65"/>
      <c r="GK162" s="61"/>
      <c r="GL162" s="65"/>
      <c r="GM162" s="61"/>
      <c r="GN162" s="65"/>
      <c r="GO162" s="61"/>
      <c r="GP162" s="65"/>
      <c r="GQ162" s="61"/>
      <c r="GR162" s="64"/>
      <c r="GS162" s="61"/>
      <c r="GT162" s="64"/>
      <c r="GU162" s="61"/>
      <c r="GV162" s="64"/>
      <c r="GW162" s="61"/>
      <c r="GX162" s="64"/>
      <c r="GY162" s="61"/>
      <c r="GZ162" s="61" t="str">
        <f t="shared" si="1111"/>
        <v/>
      </c>
      <c r="HA162" s="61"/>
      <c r="HB162" s="452"/>
      <c r="HC162"/>
      <c r="HD162"/>
      <c r="HE162"/>
      <c r="HF162"/>
      <c r="HG162"/>
      <c r="HH162"/>
    </row>
    <row r="163" spans="1:216" s="5" customFormat="1" ht="12.75" customHeight="1" x14ac:dyDescent="0.2">
      <c r="B163" s="63" t="s">
        <v>497</v>
      </c>
      <c r="C163" s="66"/>
      <c r="D163" s="67"/>
      <c r="E163" s="66"/>
      <c r="F163" s="66"/>
      <c r="G163" s="64"/>
      <c r="H163" s="66"/>
      <c r="I163" s="64"/>
      <c r="J163" s="66"/>
      <c r="K163" s="64"/>
      <c r="L163" s="61"/>
      <c r="M163" s="66"/>
      <c r="N163" s="61"/>
      <c r="O163" s="64"/>
      <c r="P163" s="61"/>
      <c r="Q163" s="64"/>
      <c r="R163" s="61"/>
      <c r="S163" s="64"/>
      <c r="T163" s="61"/>
      <c r="U163" s="64"/>
      <c r="V163" s="61"/>
      <c r="W163" s="64"/>
      <c r="X163" s="61"/>
      <c r="Y163" s="64"/>
      <c r="Z163" s="61"/>
      <c r="AA163" s="64"/>
      <c r="AB163" s="61"/>
      <c r="AC163" s="64"/>
      <c r="AD163" s="61"/>
      <c r="AE163" s="64"/>
      <c r="AF163" s="61"/>
      <c r="AG163" s="64"/>
      <c r="AH163" s="61"/>
      <c r="AI163" s="64"/>
      <c r="AJ163" s="61"/>
      <c r="AK163" s="64"/>
      <c r="AL163" s="61"/>
      <c r="AM163" s="64"/>
      <c r="AN163" s="61"/>
      <c r="AO163" s="64"/>
      <c r="AP163" s="61"/>
      <c r="AQ163" s="64"/>
      <c r="AR163" s="61"/>
      <c r="AS163" s="64"/>
      <c r="AT163" s="61"/>
      <c r="AU163" s="64"/>
      <c r="AV163" s="61"/>
      <c r="AW163" s="64"/>
      <c r="AX163" s="61"/>
      <c r="AY163" s="64"/>
      <c r="AZ163" s="61"/>
      <c r="BA163" s="64"/>
      <c r="BB163" s="61"/>
      <c r="BC163" s="64"/>
      <c r="BD163" s="61"/>
      <c r="BE163" s="64"/>
      <c r="BF163" s="61"/>
      <c r="BG163" s="64"/>
      <c r="BH163" s="61"/>
      <c r="BI163" s="64"/>
      <c r="BJ163" s="61"/>
      <c r="BK163" s="64"/>
      <c r="BL163" s="61"/>
      <c r="BM163" s="64"/>
      <c r="BN163" s="61"/>
      <c r="BO163" s="64"/>
      <c r="BP163" s="61"/>
      <c r="BQ163" s="64"/>
      <c r="BR163" s="61"/>
      <c r="BS163" s="64"/>
      <c r="BT163" s="61"/>
      <c r="BU163" s="64"/>
      <c r="BV163" s="61"/>
      <c r="BW163" s="64"/>
      <c r="BX163" s="61"/>
      <c r="BY163" s="64"/>
      <c r="BZ163" s="61"/>
      <c r="CA163" s="64"/>
      <c r="CB163" s="61"/>
      <c r="CC163" s="64"/>
      <c r="CD163" s="61"/>
      <c r="CE163" s="64"/>
      <c r="CF163" s="61"/>
      <c r="CG163" s="64"/>
      <c r="CH163" s="61"/>
      <c r="CI163" s="64"/>
      <c r="CJ163" s="61"/>
      <c r="CK163" s="64"/>
      <c r="CL163" s="61"/>
      <c r="CM163" s="64"/>
      <c r="CN163" s="61"/>
      <c r="CO163" s="64"/>
      <c r="CP163" s="61"/>
      <c r="CQ163" s="64"/>
      <c r="CR163" s="61"/>
      <c r="CS163" s="64"/>
      <c r="CT163" s="61"/>
      <c r="CU163" s="64"/>
      <c r="CV163" s="61"/>
      <c r="CW163" s="64"/>
      <c r="CX163" s="61"/>
      <c r="CY163" s="64"/>
      <c r="CZ163" s="61"/>
      <c r="DA163" s="64"/>
      <c r="DB163" s="61"/>
      <c r="DC163" s="64"/>
      <c r="DD163" s="61"/>
      <c r="DE163" s="64"/>
      <c r="DF163" s="61"/>
      <c r="DG163" s="64"/>
      <c r="DH163" s="61"/>
      <c r="DI163" s="64"/>
      <c r="DJ163" s="61"/>
      <c r="DK163" s="64"/>
      <c r="DL163" s="61"/>
      <c r="DM163" s="64"/>
      <c r="DN163" s="61"/>
      <c r="DO163" s="64"/>
      <c r="DP163" s="61"/>
      <c r="DQ163" s="64"/>
      <c r="DR163" s="61"/>
      <c r="DS163" s="64"/>
      <c r="DT163" s="61"/>
      <c r="DU163" s="64"/>
      <c r="DV163" s="61"/>
      <c r="DW163" s="64"/>
      <c r="DX163" s="64"/>
      <c r="DY163" s="64"/>
      <c r="DZ163" s="61"/>
      <c r="EA163" s="64"/>
      <c r="EB163" s="61"/>
      <c r="EC163" s="64"/>
      <c r="ED163" s="61"/>
      <c r="EE163" s="64"/>
      <c r="EF163" s="61"/>
      <c r="EG163" s="64"/>
      <c r="EH163" s="61"/>
      <c r="EI163" s="64"/>
      <c r="EJ163" s="61"/>
      <c r="EK163" s="64"/>
      <c r="EL163" s="61"/>
      <c r="EM163" s="64"/>
      <c r="EN163" s="61"/>
      <c r="EO163" s="64"/>
      <c r="EP163" s="61"/>
      <c r="EQ163" s="64"/>
      <c r="ER163" s="61"/>
      <c r="ES163" s="64"/>
      <c r="ET163" s="61"/>
      <c r="EU163" s="64"/>
      <c r="EV163" s="61"/>
      <c r="EW163" s="64"/>
      <c r="EX163" s="61"/>
      <c r="EY163" s="64"/>
      <c r="EZ163" s="558"/>
      <c r="FA163" s="64"/>
      <c r="FB163" s="66"/>
      <c r="FC163" s="66"/>
      <c r="FD163" s="66"/>
      <c r="FE163" s="67"/>
      <c r="FF163" s="66"/>
      <c r="FG163" s="67"/>
      <c r="FH163" s="66"/>
      <c r="FI163" s="67"/>
      <c r="FJ163" s="66"/>
      <c r="FK163" s="67"/>
      <c r="FL163" s="66"/>
      <c r="FM163" s="61"/>
      <c r="FN163" s="66"/>
      <c r="FO163" s="61"/>
      <c r="FP163" s="65"/>
      <c r="FQ163" s="61"/>
      <c r="FR163" s="65"/>
      <c r="FS163" s="61"/>
      <c r="FT163" s="65"/>
      <c r="FU163" s="61"/>
      <c r="FV163" s="65"/>
      <c r="FW163" s="61"/>
      <c r="FX163" s="65"/>
      <c r="FY163" s="61"/>
      <c r="FZ163" s="65"/>
      <c r="GA163" s="61"/>
      <c r="GB163" s="65"/>
      <c r="GC163" s="61"/>
      <c r="GD163" s="65"/>
      <c r="GE163" s="61"/>
      <c r="GF163" s="65"/>
      <c r="GG163" s="61"/>
      <c r="GH163" s="65"/>
      <c r="GI163" s="61"/>
      <c r="GJ163" s="65"/>
      <c r="GK163" s="61"/>
      <c r="GL163" s="65"/>
      <c r="GM163" s="61"/>
      <c r="GN163" s="65"/>
      <c r="GO163" s="61"/>
      <c r="GP163" s="65"/>
      <c r="GQ163" s="61"/>
      <c r="GR163" s="64"/>
      <c r="GS163" s="61"/>
      <c r="GT163" s="64"/>
      <c r="GU163" s="61"/>
      <c r="GV163" s="64"/>
      <c r="GW163" s="61"/>
      <c r="GX163" s="64"/>
      <c r="GY163" s="61"/>
      <c r="GZ163" s="61" t="str">
        <f t="shared" si="1111"/>
        <v/>
      </c>
      <c r="HA163" s="61"/>
      <c r="HB163" s="452"/>
      <c r="HC163"/>
      <c r="HD163"/>
      <c r="HE163"/>
      <c r="HF163"/>
      <c r="HG163"/>
      <c r="HH163"/>
    </row>
    <row r="164" spans="1:216" s="5" customFormat="1" ht="12.75" customHeight="1" x14ac:dyDescent="0.2">
      <c r="B164" s="2" t="s">
        <v>114</v>
      </c>
      <c r="C164" s="69"/>
      <c r="D164" s="70"/>
      <c r="E164" s="69"/>
      <c r="F164" s="71"/>
      <c r="G164" s="69"/>
      <c r="H164" s="71"/>
      <c r="I164" s="69"/>
      <c r="J164" s="61"/>
      <c r="K164" s="69"/>
      <c r="L164" s="61"/>
      <c r="M164" s="69"/>
      <c r="N164" s="61"/>
      <c r="O164" s="69"/>
      <c r="P164" s="61"/>
      <c r="Q164" s="69"/>
      <c r="R164" s="61"/>
      <c r="S164" s="69"/>
      <c r="T164" s="61"/>
      <c r="U164" s="69"/>
      <c r="V164" s="61"/>
      <c r="W164" s="69"/>
      <c r="X164" s="61"/>
      <c r="Y164" s="69"/>
      <c r="Z164" s="61"/>
      <c r="AA164" s="69"/>
      <c r="AB164" s="61"/>
      <c r="AC164" s="69"/>
      <c r="AD164" s="61"/>
      <c r="AE164" s="69"/>
      <c r="AF164" s="61"/>
      <c r="AG164" s="69"/>
      <c r="AH164" s="61"/>
      <c r="AI164" s="69"/>
      <c r="AJ164" s="61"/>
      <c r="AK164" s="69"/>
      <c r="AL164" s="61"/>
      <c r="AM164" s="69"/>
      <c r="AN164" s="61"/>
      <c r="AO164" s="69"/>
      <c r="AP164" s="61"/>
      <c r="AQ164" s="69">
        <f>AQ147</f>
        <v>99.6</v>
      </c>
      <c r="AR164" s="61" t="str">
        <f>IF(ISERROR((AQ164/AI164-1)*100),"NA",IF(((AQ164/AI164-1)*100)&gt;100,"NM",IF(((AQ164/AI164-1)*100)&lt;-50,"NM",(AQ164/AI164-1)*100)))</f>
        <v>NA</v>
      </c>
      <c r="AS164" s="69">
        <f>AS147</f>
        <v>100.4</v>
      </c>
      <c r="AT164" s="61" t="str">
        <f>IF(ISERROR((AS164/AK164-1)*100),"NA",IF(((AS164/AK164-1)*100)&gt;100,"NM",IF(((AS164/AK164-1)*100)&lt;-50,"NM",(AS164/AK164-1)*100)))</f>
        <v>NA</v>
      </c>
      <c r="AU164" s="69">
        <f>AU147</f>
        <v>100.7</v>
      </c>
      <c r="AV164" s="61" t="str">
        <f>IF(ISERROR((AU164/AM164-1)*100),"NA",IF(((AU164/AM164-1)*100)&gt;100,"NM",IF(((AU164/AM164-1)*100)&lt;-50,"NM",(AU164/AM164-1)*100)))</f>
        <v>NA</v>
      </c>
      <c r="AW164" s="69">
        <f>AW147</f>
        <v>101.1</v>
      </c>
      <c r="AX164" s="61" t="str">
        <f>IF(ISERROR((AW164/AO164-1)*100),"NA",IF(((AW164/AO164-1)*100)&gt;100,"NM",IF(((AW164/AO164-1)*100)&lt;-50,"NM",(AW164/AO164-1)*100)))</f>
        <v>NA</v>
      </c>
      <c r="AY164" s="69">
        <f>AY147</f>
        <v>100.7</v>
      </c>
      <c r="AZ164" s="61">
        <f>IF(ISERROR((AY164/AQ164-1)*100),"NA",IF(((AY164/AQ164-1)*100)&gt;100,"NM",IF(((AY164/AQ164-1)*100)&lt;-50,"NM",(AY164/AQ164-1)*100)))</f>
        <v>1.1044176706827447</v>
      </c>
      <c r="BA164" s="69">
        <f>BA147</f>
        <v>102.4</v>
      </c>
      <c r="BB164" s="61">
        <f>IF(ISERROR((BA164/AS164-1)*100),"NA",IF(((BA164/AS164-1)*100)&gt;100,"NM",IF(((BA164/AS164-1)*100)&lt;-50,"NM",(BA164/AS164-1)*100)))</f>
        <v>1.9920318725099584</v>
      </c>
      <c r="BC164" s="69">
        <f>BC147</f>
        <v>103.1</v>
      </c>
      <c r="BD164" s="61">
        <f>IF(ISERROR((BC164/AU164-1)*100),"NA",IF(((BC164/AU164-1)*100)&gt;100,"NM",IF(((BC164/AU164-1)*100)&lt;-50,"NM",(BC164/AU164-1)*100)))</f>
        <v>2.3833167825223267</v>
      </c>
      <c r="BE164" s="69">
        <f>BE147</f>
        <v>104.4</v>
      </c>
      <c r="BF164" s="61">
        <f>IF(ISERROR((BE164/AW164-1)*100),"NA",IF(((BE164/AW164-1)*100)&gt;100,"NM",IF(((BE164/AW164-1)*100)&lt;-50,"NM",(BE164/AW164-1)*100)))</f>
        <v>3.264094955489627</v>
      </c>
      <c r="BG164" s="69">
        <f>BG147</f>
        <v>104.3</v>
      </c>
      <c r="BH164" s="61">
        <f>IF(ISERROR((BG164/AY164-1)*100),"NA",IF(((BG164/AY164-1)*100)&gt;100,"NM",IF(((BG164/AY164-1)*100)&lt;-50,"NM",(BG164/AY164-1)*100)))</f>
        <v>3.5749751737835123</v>
      </c>
      <c r="BI164" s="69">
        <f>BI147</f>
        <v>104.6</v>
      </c>
      <c r="BJ164" s="61">
        <f>IF(ISERROR((BI164/BA164-1)*100),"NA",IF(((BI164/BA164-1)*100)&gt;100,"NM",IF(((BI164/BA164-1)*100)&lt;-50,"NM",(BI164/BA164-1)*100)))</f>
        <v>2.1484374999999778</v>
      </c>
      <c r="BK164" s="69">
        <f>BK147</f>
        <v>104.6</v>
      </c>
      <c r="BL164" s="61">
        <f>IF(ISERROR((BK164/BC164-1)*100),"NA",IF(((BK164/BC164-1)*100)&gt;100,"NM",IF(((BK164/BC164-1)*100)&lt;-50,"NM",(BK164/BC164-1)*100)))</f>
        <v>1.4548981571290032</v>
      </c>
      <c r="BM164" s="69">
        <f>BM147</f>
        <v>104.8</v>
      </c>
      <c r="BN164" s="61">
        <f>IF(ISERROR((BM164/BE164-1)*100),"NA",IF(((BM164/BE164-1)*100)&gt;100,"NM",IF(((BM164/BE164-1)*100)&lt;-50,"NM",(BM164/BE164-1)*100)))</f>
        <v>0.38314176245208831</v>
      </c>
      <c r="BO164" s="69">
        <f>BO147</f>
        <v>105.9</v>
      </c>
      <c r="BP164" s="61">
        <f>IF(ISERROR((BO164/BG164-1)*100),"NA",IF(((BO164/BG164-1)*100)&gt;100,"NM",IF(((BO164/BG164-1)*100)&lt;-50,"NM",(BO164/BG164-1)*100)))</f>
        <v>1.5340364333652934</v>
      </c>
      <c r="BQ164" s="69">
        <f>BQ147</f>
        <v>107</v>
      </c>
      <c r="BR164" s="61">
        <f>IF(ISERROR((BQ164/BI164-1)*100),"NA",IF(((BQ164/BI164-1)*100)&gt;100,"NM",IF(((BQ164/BI164-1)*100)&lt;-50,"NM",(BQ164/BI164-1)*100)))</f>
        <v>2.2944550669216079</v>
      </c>
      <c r="BS164" s="69">
        <f>BS147</f>
        <v>106.8</v>
      </c>
      <c r="BT164" s="61">
        <f>IF(ISERROR((BS164/BK164-1)*100),"NA",IF(((BS164/BK164-1)*100)&gt;100,"NM",IF(((BS164/BK164-1)*100)&lt;-50,"NM",(BS164/BK164-1)*100)))</f>
        <v>2.1032504780114758</v>
      </c>
      <c r="BU164" s="69">
        <f>BU147</f>
        <v>109.8</v>
      </c>
      <c r="BV164" s="61">
        <f>IF(ISERROR((BU164/BM164-1)*100),"NA",IF(((BU164/BM164-1)*100)&gt;100,"NM",IF(((BU164/BM164-1)*100)&lt;-50,"NM",(BU164/BM164-1)*100)))</f>
        <v>4.7709923664122078</v>
      </c>
      <c r="BW164" s="69">
        <f>BW147</f>
        <v>111.5</v>
      </c>
      <c r="BX164" s="61">
        <f>IF(ISERROR((BW164/BO164-1)*100),"NA",IF(((BW164/BO164-1)*100)&gt;100,"NM",IF(((BW164/BO164-1)*100)&lt;-50,"NM",(BW164/BO164-1)*100)))</f>
        <v>5.2880075542965033</v>
      </c>
      <c r="BY164" s="69">
        <f>BY147</f>
        <v>112</v>
      </c>
      <c r="BZ164" s="61">
        <f>IF(ISERROR((BY164/BQ164-1)*100),"NA",IF(((BY164/BQ164-1)*100)&gt;100,"NM",IF(((BY164/BQ164-1)*100)&lt;-50,"NM",(BY164/BQ164-1)*100)))</f>
        <v>4.6728971962616717</v>
      </c>
      <c r="CA164" s="69">
        <f>CA147</f>
        <v>110.9</v>
      </c>
      <c r="CB164" s="61">
        <f>IF(ISERROR((CA164/BS164-1)*100),"NA",IF(((CA164/BS164-1)*100)&gt;100,"NM",IF(((CA164/BS164-1)*100)&lt;-50,"NM",(CA164/BS164-1)*100)))</f>
        <v>3.838951310861427</v>
      </c>
      <c r="CC164" s="69">
        <f>CC147</f>
        <v>111.1</v>
      </c>
      <c r="CD164" s="61">
        <f>IF(ISERROR((CC164/BU164-1)*100),"NA",IF(((CC164/BU164-1)*100)&gt;100,"NM",IF(((CC164/BU164-1)*100)&lt;-50,"NM",(CC164/BU164-1)*100)))</f>
        <v>1.1839708561020013</v>
      </c>
      <c r="CE164" s="69">
        <f>CE147</f>
        <v>110.4</v>
      </c>
      <c r="CF164" s="61">
        <f>IF(ISERROR((CE164/BW164-1)*100),"NA",IF(((CE164/BW164-1)*100)&gt;100,"NM",IF(((CE164/BW164-1)*100)&lt;-50,"NM",(CE164/BW164-1)*100)))</f>
        <v>-0.98654708520178325</v>
      </c>
      <c r="CG164" s="69">
        <f>CG147</f>
        <v>110</v>
      </c>
      <c r="CH164" s="61">
        <f>IF(ISERROR((CG164/BY164-1)*100),"NA",IF(((CG164/BY164-1)*100)&gt;100,"NM",IF(((CG164/BY164-1)*100)&lt;-50,"NM",(CG164/BY164-1)*100)))</f>
        <v>-1.7857142857142905</v>
      </c>
      <c r="CI164" s="69">
        <f>CI147</f>
        <v>110.2</v>
      </c>
      <c r="CJ164" s="61">
        <f>IF(ISERROR((CI164/CA164-1)*100),"NA",IF(((CI164/CA164-1)*100)&gt;100,"NM",IF(((CI164/CA164-1)*100)&lt;-50,"NM",(CI164/CA164-1)*100)))</f>
        <v>-0.63119927862940184</v>
      </c>
      <c r="CK164" s="69">
        <f>CK147</f>
        <v>109.4</v>
      </c>
      <c r="CL164" s="61">
        <f>IF(ISERROR((CK164/CC164-1)*100),"NA",IF(((CK164/CC164-1)*100)&gt;100,"NM",IF(((CK164/CC164-1)*100)&lt;-50,"NM",(CK164/CC164-1)*100)))</f>
        <v>-1.5301530153015164</v>
      </c>
      <c r="CM164" s="69">
        <f>CM147</f>
        <v>108</v>
      </c>
      <c r="CN164" s="61">
        <f>IF(ISERROR((CM164/CE164-1)*100),"NA",IF(((CM164/CE164-1)*100)&gt;100,"NM",IF(((CM164/CE164-1)*100)&lt;-50,"NM",(CM164/CE164-1)*100)))</f>
        <v>-2.1739130434782705</v>
      </c>
      <c r="CO164" s="69">
        <f>CO147</f>
        <v>108.6</v>
      </c>
      <c r="CP164" s="61">
        <f>IF(ISERROR((CO164/CG164-1)*100),"NA",IF(((CO164/CG164-1)*100)&gt;100,"NM",IF(((CO164/CG164-1)*100)&lt;-50,"NM",(CO164/CG164-1)*100)))</f>
        <v>-1.2727272727272809</v>
      </c>
      <c r="CQ164" s="69">
        <f>CQ147</f>
        <v>109.5</v>
      </c>
      <c r="CR164" s="61">
        <f>IF(ISERROR((CQ164/CI164-1)*100),"NA",IF(((CQ164/CI164-1)*100)&gt;100,"NM",IF(((CQ164/CI164-1)*100)&lt;-50,"NM",(CQ164/CI164-1)*100)))</f>
        <v>-0.63520871143375457</v>
      </c>
      <c r="CS164" s="69">
        <f>CS147</f>
        <v>112</v>
      </c>
      <c r="CT164" s="61">
        <f>IF(ISERROR((CS164/CK164-1)*100),"NA",IF(((CS164/CK164-1)*100)&gt;100,"NM",IF(((CS164/CK164-1)*100)&lt;-50,"NM",(CS164/CK164-1)*100)))</f>
        <v>2.3765996343692919</v>
      </c>
      <c r="CU164" s="69">
        <f>CU147</f>
        <v>111</v>
      </c>
      <c r="CV164" s="61">
        <f>IF(ISERROR((CU164/CM164-1)*100),"NA",IF(((CU164/CM164-1)*100)&gt;100,"NM",IF(((CU164/CM164-1)*100)&lt;-50,"NM",(CU164/CM164-1)*100)))</f>
        <v>2.7777777777777679</v>
      </c>
      <c r="CW164" s="69">
        <f>CW147</f>
        <v>112</v>
      </c>
      <c r="CX164" s="61">
        <f>IF(ISERROR((CW164/CO164-1)*100),"NA",IF(((CW164/CO164-1)*100)&gt;100,"NM",IF(((CW164/CO164-1)*100)&lt;-50,"NM",(CW164/CO164-1)*100)))</f>
        <v>3.130755064456725</v>
      </c>
      <c r="CY164" s="69">
        <f>CY147</f>
        <v>114</v>
      </c>
      <c r="CZ164" s="61">
        <f>IF(ISERROR((CY164/CQ164-1)*100),"NA",IF(((CY164/CQ164-1)*100)&gt;100,"NM",IF(((CY164/CQ164-1)*100)&lt;-50,"NM",(CY164/CQ164-1)*100)))</f>
        <v>4.1095890410958846</v>
      </c>
      <c r="DA164" s="69">
        <f>DA147</f>
        <v>115</v>
      </c>
      <c r="DB164" s="61">
        <f>IF(ISERROR((DA164/CS164-1)*100),"NA",IF(((DA164/CS164-1)*100)&gt;100,"NM",IF(((DA164/CS164-1)*100)&lt;-50,"NM",(DA164/CS164-1)*100)))</f>
        <v>2.6785714285714191</v>
      </c>
      <c r="DC164" s="69">
        <f>DC147</f>
        <v>117</v>
      </c>
      <c r="DD164" s="61">
        <f>IF(ISERROR((DC164/CU164-1)*100),"NA",IF(((DC164/CU164-1)*100)&gt;100,"NM",IF(((DC164/CU164-1)*100)&lt;-50,"NM",(DC164/CU164-1)*100)))</f>
        <v>5.4054054054053946</v>
      </c>
      <c r="DE164" s="69">
        <f>DE147</f>
        <v>117</v>
      </c>
      <c r="DF164" s="61">
        <f>IF(ISERROR((DE164/CW164-1)*100),"NA",IF(((DE164/CW164-1)*100)&gt;100,"NM",IF(((DE164/CW164-1)*100)&lt;-50,"NM",(DE164/CW164-1)*100)))</f>
        <v>4.4642857142857206</v>
      </c>
      <c r="DG164" s="69">
        <f>DG147</f>
        <v>118</v>
      </c>
      <c r="DH164" s="61">
        <f>IF(ISERROR((DG164/CY164-1)*100),"NA",IF(((DG164/CY164-1)*100)&gt;100,"NM",IF(((DG164/CY164-1)*100)&lt;-50,"NM",(DG164/CY164-1)*100)))</f>
        <v>3.5087719298245723</v>
      </c>
      <c r="DI164" s="69">
        <f>DI147</f>
        <v>118</v>
      </c>
      <c r="DJ164" s="61">
        <f>IF(ISERROR((DI164/DA164-1)*100),"NA",IF(((DI164/DA164-1)*100)&gt;100,"NM",IF(((DI164/DA164-1)*100)&lt;-50,"NM",(DI164/DA164-1)*100)))</f>
        <v>2.6086956521739202</v>
      </c>
      <c r="DK164" s="69">
        <f>DK147</f>
        <v>118</v>
      </c>
      <c r="DL164" s="61">
        <f>IF(ISERROR((DK164/DC164-1)*100),"NA",IF(((DK164/DC164-1)*100)&gt;100,"NM",IF(((DK164/DC164-1)*100)&lt;-50,"NM",(DK164/DC164-1)*100)))</f>
        <v>0.85470085470085166</v>
      </c>
      <c r="DM164" s="69">
        <f>DM147</f>
        <v>118</v>
      </c>
      <c r="DN164" s="130">
        <f t="shared" ref="DN164:DZ168" si="1131">IF(ISERROR((DM164/DE164-1)*100),"NA",IF(((DM164/DE164-1)*100)&gt;100,"NM",IF(((DM164/DE164-1)*100)&lt;-50,"NM",(DM164/DE164-1)*100)))</f>
        <v>0.85470085470085166</v>
      </c>
      <c r="DO164" s="69">
        <f>DO147</f>
        <v>118</v>
      </c>
      <c r="DP164" s="130">
        <f t="shared" si="1131"/>
        <v>0</v>
      </c>
      <c r="DQ164" s="69">
        <f>DQ147</f>
        <v>119</v>
      </c>
      <c r="DR164" s="130">
        <f t="shared" si="1131"/>
        <v>0.84745762711864181</v>
      </c>
      <c r="DS164" s="69">
        <f>DS147</f>
        <v>123</v>
      </c>
      <c r="DT164" s="130">
        <f t="shared" si="1131"/>
        <v>4.2372881355932313</v>
      </c>
      <c r="DU164" s="69">
        <f>DU147</f>
        <v>123</v>
      </c>
      <c r="DV164" s="130">
        <f t="shared" si="1131"/>
        <v>4.2372881355932313</v>
      </c>
      <c r="DW164" s="69">
        <f>DW147</f>
        <v>124</v>
      </c>
      <c r="DX164" s="69">
        <f t="shared" ref="DX164:DY164" si="1132">DX147</f>
        <v>124</v>
      </c>
      <c r="DY164" s="69">
        <f t="shared" si="1132"/>
        <v>126</v>
      </c>
      <c r="DZ164" s="130">
        <f t="shared" si="1131"/>
        <v>5.8823529411764719</v>
      </c>
      <c r="EA164" s="69">
        <f t="shared" ref="EA164:EC164" si="1133">EA147</f>
        <v>125</v>
      </c>
      <c r="EB164" s="130">
        <f t="shared" ref="EB164:EB168" si="1134">IF(ISERROR((EA164/DS164-1)*100),"NA",IF(((EA164/DS164-1)*100)&gt;100,"NM",IF(((EA164/DS164-1)*100)&lt;-50,"NM",(EA164/DS164-1)*100)))</f>
        <v>1.6260162601626105</v>
      </c>
      <c r="EC164" s="69">
        <f t="shared" si="1133"/>
        <v>127</v>
      </c>
      <c r="ED164" s="130">
        <f t="shared" ref="ED164:ED168" si="1135">IF(ISERROR((EC164/DU164-1)*100),"NA",IF(((EC164/DU164-1)*100)&gt;100,"NM",IF(((EC164/DU164-1)*100)&lt;-50,"NM",(EC164/DU164-1)*100)))</f>
        <v>3.2520325203251987</v>
      </c>
      <c r="EE164" s="69">
        <f t="shared" ref="EE164:EG164" si="1136">EE147</f>
        <v>128</v>
      </c>
      <c r="EF164" s="130">
        <f t="shared" ref="EF164:EF168" si="1137">IF(ISERROR((EE164/DW164-1)*100),"NA",IF(((EE164/DW164-1)*100)&gt;100,"NM",IF(((EE164/DW164-1)*100)&lt;-50,"NM",(EE164/DW164-1)*100)))</f>
        <v>3.2258064516129004</v>
      </c>
      <c r="EG164" s="69">
        <f t="shared" si="1136"/>
        <v>134</v>
      </c>
      <c r="EH164" s="130">
        <f t="shared" ref="EH164:EH168" si="1138">IF(ISERROR((EG164/DY164-1)*100),"NA",IF(((EG164/DY164-1)*100)&gt;100,"NM",IF(((EG164/DY164-1)*100)&lt;-50,"NM",(EG164/DY164-1)*100)))</f>
        <v>6.3492063492063489</v>
      </c>
      <c r="EI164" s="69">
        <f t="shared" ref="EI164:EK164" si="1139">EI147</f>
        <v>132</v>
      </c>
      <c r="EJ164" s="130">
        <f t="shared" ref="EJ164:EJ168" si="1140">IF(ISERROR((EI164/EA164-1)*100),"NA",IF(((EI164/EA164-1)*100)&gt;100,"NM",IF(((EI164/EA164-1)*100)&lt;-50,"NM",(EI164/EA164-1)*100)))</f>
        <v>5.600000000000005</v>
      </c>
      <c r="EK164" s="69">
        <f t="shared" si="1139"/>
        <v>134</v>
      </c>
      <c r="EL164" s="130">
        <f t="shared" ref="EL164:EL168" si="1141">IF(ISERROR((EK164/EC164-1)*100),"NA",IF(((EK164/EC164-1)*100)&gt;100,"NM",IF(((EK164/EC164-1)*100)&lt;-50,"NM",(EK164/EC164-1)*100)))</f>
        <v>5.5118110236220375</v>
      </c>
      <c r="EM164" s="69">
        <f t="shared" ref="EM164" si="1142">EM147</f>
        <v>136</v>
      </c>
      <c r="EN164" s="130">
        <f t="shared" ref="EN164:EN168" si="1143">IF(ISERROR((EM164/EE164-1)*100),"NA",IF(((EM164/EE164-1)*100)&gt;100,"NM",IF(((EM164/EE164-1)*100)&lt;-50,"NM",(EM164/EE164-1)*100)))</f>
        <v>6.25</v>
      </c>
      <c r="EO164" s="69">
        <f t="shared" ref="EO164" si="1144">EO147</f>
        <v>136</v>
      </c>
      <c r="EP164" s="130">
        <f t="shared" ref="EP164:EP168" si="1145">IF(ISERROR((EO164/EG164-1)*100),"NA",IF(((EO164/EG164-1)*100)&gt;100,"NM",IF(((EO164/EG164-1)*100)&lt;-50,"NM",(EO164/EG164-1)*100)))</f>
        <v>1.4925373134328401</v>
      </c>
      <c r="EQ164" s="69">
        <f t="shared" ref="EQ164:EW164" si="1146">EQ147</f>
        <v>138.44075453704528</v>
      </c>
      <c r="ER164" s="130">
        <f t="shared" ref="ER164:ER168" si="1147">IF(ISERROR((EQ164/EI164-1)*100),"NA",IF(((EQ164/EI164-1)*100)&gt;100,"NM",IF(((EQ164/EI164-1)*100)&lt;-50,"NM",(EQ164/EI164-1)*100)))</f>
        <v>4.8793594977615706</v>
      </c>
      <c r="ES164" s="69">
        <f t="shared" si="1146"/>
        <v>139.68270318044802</v>
      </c>
      <c r="ET164" s="130">
        <f t="shared" ref="ET164:ET168" si="1148">IF(ISERROR((ES164/EK164-1)*100),"NA",IF(((ES164/EK164-1)*100)&gt;100,"NM",IF(((ES164/EK164-1)*100)&lt;-50,"NM",(ES164/EK164-1)*100)))</f>
        <v>4.2408232689910674</v>
      </c>
      <c r="EU164" s="69">
        <f t="shared" si="1146"/>
        <v>142.64291910150533</v>
      </c>
      <c r="EV164" s="130">
        <f t="shared" ref="EV164:EV168" si="1149">IF(ISERROR((EU164/EM164-1)*100),"NA",IF(((EU164/EM164-1)*100)&gt;100,"NM",IF(((EU164/EM164-1)*100)&lt;-50,"NM",(EU164/EM164-1)*100)))</f>
        <v>4.8844993393421632</v>
      </c>
      <c r="EW164" s="69">
        <f t="shared" si="1146"/>
        <v>145.19299027991809</v>
      </c>
      <c r="EX164" s="130">
        <f t="shared" ref="EX164:EX168" si="1150">IF(ISERROR((EW164/EO164-1)*100),"NA",IF(((EW164/EO164-1)*100)&gt;100,"NM",IF(((EW164/EO164-1)*100)&lt;-50,"NM",(EW164/EO164-1)*100)))</f>
        <v>6.759551676410358</v>
      </c>
      <c r="EY164" s="64"/>
      <c r="EZ164" s="558"/>
      <c r="FA164" s="64"/>
      <c r="FB164" s="69"/>
      <c r="FC164" s="71"/>
      <c r="FD164" s="69"/>
      <c r="FE164" s="70"/>
      <c r="FF164" s="69"/>
      <c r="FG164" s="70"/>
      <c r="FH164" s="69"/>
      <c r="FI164" s="70"/>
      <c r="FJ164" s="69"/>
      <c r="FK164" s="70"/>
      <c r="FL164" s="69"/>
      <c r="FM164" s="61"/>
      <c r="FN164" s="778">
        <v>397</v>
      </c>
      <c r="FO164" s="61"/>
      <c r="FP164" s="73">
        <f>FP147</f>
        <v>401.79999999999995</v>
      </c>
      <c r="FQ164" s="61">
        <f>IF(ISERROR((FP164/FN164-1)*100),"NA",IF(((FP164/FN164-1)*100)&gt;100,"NM",IF(((FP164/FN164-1)*100)&lt;-50,"NM",(FP164/FN164-1)*100)))</f>
        <v>1.2090680100755646</v>
      </c>
      <c r="FR164" s="73">
        <f>FR147</f>
        <v>410.6</v>
      </c>
      <c r="FS164" s="61">
        <f>IF(ISERROR((FR164/FP164-1)*100),"NA",IF(((FR164/FP164-1)*100)&gt;100,"NM",IF(((FR164/FP164-1)*100)&lt;-50,"NM",(FR164/FP164-1)*100)))</f>
        <v>2.1901443504231066</v>
      </c>
      <c r="FT164" s="73">
        <f>FT147</f>
        <v>418.3</v>
      </c>
      <c r="FU164" s="61">
        <f>IF(ISERROR((FT164/FR164-1)*100),"NA",IF(((FT164/FR164-1)*100)&gt;100,"NM",IF(((FT164/FR164-1)*100)&lt;-50,"NM",(FT164/FR164-1)*100)))</f>
        <v>1.8753044325377388</v>
      </c>
      <c r="FV164" s="73">
        <f>FV147</f>
        <v>429.5</v>
      </c>
      <c r="FW164" s="61">
        <f>IF(ISERROR((FV164/FT164-1)*100),"NA",IF(((FV164/FT164-1)*100)&gt;100,"NM",IF(((FV164/FT164-1)*100)&lt;-50,"NM",(FV164/FT164-1)*100)))</f>
        <v>2.6775041836002877</v>
      </c>
      <c r="FX164" s="73">
        <f>FX147</f>
        <v>445.5</v>
      </c>
      <c r="FY164" s="61">
        <f>IF(ISERROR((FX164/FV164-1)*100),"NA",IF(((FX164/FV164-1)*100)&gt;100,"NM",IF(((FX164/FV164-1)*100)&lt;-50,"NM",(FX164/FV164-1)*100)))</f>
        <v>3.7252619324796177</v>
      </c>
      <c r="FZ164" s="73">
        <f>FZ147</f>
        <v>440</v>
      </c>
      <c r="GA164" s="61">
        <f>IF(ISERROR((FZ164/FX164-1)*100),"NA",IF(((FZ164/FX164-1)*100)&gt;100,"NM",IF(((FZ164/FX164-1)*100)&lt;-50,"NM",(FZ164/FX164-1)*100)))</f>
        <v>-1.2345679012345734</v>
      </c>
      <c r="GB164" s="73">
        <f>GB147</f>
        <v>438.1</v>
      </c>
      <c r="GC164" s="61">
        <f>IF(ISERROR((GB164/FZ164-1)*100),"NA",IF(((GB164/FZ164-1)*100)&gt;100,"NM",IF(((GB164/FZ164-1)*100)&lt;-50,"NM",(GB164/FZ164-1)*100)))</f>
        <v>-0.43181818181817766</v>
      </c>
      <c r="GD164" s="73">
        <f>GD147</f>
        <v>452</v>
      </c>
      <c r="GE164" s="61">
        <f>IF(ISERROR((GD164/GB164-1)*100),"NA",IF(((GD164/GB164-1)*100)&gt;100,"NM",IF(((GD164/GB164-1)*100)&lt;-50,"NM",(GD164/GB164-1)*100)))</f>
        <v>3.1727916000912959</v>
      </c>
      <c r="GF164" s="73">
        <f>GF147</f>
        <v>470</v>
      </c>
      <c r="GG164" s="61">
        <f t="shared" ref="GG164:GW168" si="1151">IF(ISERROR((GF164/GD164-1)*100),"NA",IF(((GF164/GD164-1)*100)&gt;100,"NM",IF(((GF164/GD164-1)*100)&lt;-50,"NM",(GF164/GD164-1)*100)))</f>
        <v>3.9823008849557473</v>
      </c>
      <c r="GH164" s="73">
        <f>GH147</f>
        <v>473</v>
      </c>
      <c r="GI164" s="61">
        <f t="shared" si="1151"/>
        <v>0.6382978723404209</v>
      </c>
      <c r="GJ164" s="73">
        <f>GJ147</f>
        <v>496</v>
      </c>
      <c r="GK164" s="61">
        <f t="shared" si="1151"/>
        <v>4.862579281183943</v>
      </c>
      <c r="GL164" s="73">
        <f>GL147</f>
        <v>514</v>
      </c>
      <c r="GM164" s="61">
        <f t="shared" si="1151"/>
        <v>3.629032258064524</v>
      </c>
      <c r="GN164" s="73">
        <f>GN147</f>
        <v>538</v>
      </c>
      <c r="GO164" s="61">
        <f t="shared" si="1151"/>
        <v>4.6692607003891107</v>
      </c>
      <c r="GP164" s="73">
        <f>GP147</f>
        <v>565.9593670989168</v>
      </c>
      <c r="GQ164" s="61">
        <f t="shared" si="1151"/>
        <v>5.1969083826982843</v>
      </c>
      <c r="GR164" s="69">
        <f>GR147</f>
        <v>589.56152622101604</v>
      </c>
      <c r="GS164" s="61">
        <f t="shared" si="1151"/>
        <v>4.1702921612699617</v>
      </c>
      <c r="GT164" s="69">
        <f>GT147</f>
        <v>607.78312329071036</v>
      </c>
      <c r="GU164" s="61">
        <f t="shared" si="1151"/>
        <v>3.0907032191349826</v>
      </c>
      <c r="GV164" s="69">
        <f>GV147</f>
        <v>628.29021761410661</v>
      </c>
      <c r="GW164" s="61">
        <f t="shared" si="1151"/>
        <v>3.3740809077364764</v>
      </c>
      <c r="GX164" s="69">
        <f>GX147</f>
        <v>651.02926753244321</v>
      </c>
      <c r="GY164" s="61">
        <f t="shared" ref="GY164:GY168" si="1152">IF(ISERROR((GX164/GV164-1)*100),"NA",IF(((GX164/GV164-1)*100)&gt;100,"NM",IF(((GX164/GV164-1)*100)&lt;-50,"NM",(GX164/GV164-1)*100)))</f>
        <v>3.6191952828243501</v>
      </c>
      <c r="GZ164" s="61">
        <f t="shared" si="1111"/>
        <v>3.8875842400824645</v>
      </c>
      <c r="HA164" s="61"/>
      <c r="HB164" s="452"/>
      <c r="HC164"/>
      <c r="HD164"/>
      <c r="HE164"/>
      <c r="HF164"/>
      <c r="HG164"/>
      <c r="HH164"/>
    </row>
    <row r="165" spans="1:216" s="5" customFormat="1" ht="12.75" customHeight="1" x14ac:dyDescent="0.2">
      <c r="B165" s="123" t="s">
        <v>521</v>
      </c>
      <c r="C165" s="124"/>
      <c r="D165" s="107"/>
      <c r="E165" s="124"/>
      <c r="F165" s="64"/>
      <c r="G165" s="124"/>
      <c r="H165" s="64"/>
      <c r="I165" s="124"/>
      <c r="J165" s="61"/>
      <c r="K165" s="72"/>
      <c r="L165" s="61"/>
      <c r="M165" s="72"/>
      <c r="N165" s="61"/>
      <c r="O165" s="72"/>
      <c r="P165" s="61"/>
      <c r="Q165" s="72"/>
      <c r="R165" s="61"/>
      <c r="S165" s="72"/>
      <c r="T165" s="61"/>
      <c r="U165" s="72"/>
      <c r="V165" s="61"/>
      <c r="W165" s="72"/>
      <c r="X165" s="61"/>
      <c r="Y165" s="72"/>
      <c r="Z165" s="61"/>
      <c r="AA165" s="72"/>
      <c r="AB165" s="61"/>
      <c r="AC165" s="72"/>
      <c r="AD165" s="61"/>
      <c r="AE165" s="72"/>
      <c r="AF165" s="61"/>
      <c r="AG165" s="72"/>
      <c r="AH165" s="61"/>
      <c r="AI165" s="72"/>
      <c r="AJ165" s="61"/>
      <c r="AK165" s="72"/>
      <c r="AL165" s="61"/>
      <c r="AM165" s="72"/>
      <c r="AN165" s="61"/>
      <c r="AO165" s="72"/>
      <c r="AP165" s="61"/>
      <c r="AQ165" s="72">
        <f>-24.7+19.1</f>
        <v>-5.5999999999999979</v>
      </c>
      <c r="AR165" s="61" t="str">
        <f>IF(ISERROR((AQ165/AI165-1)*100),"NA",IF(((AQ165/AI165-1)*100)&gt;100,"NM",IF(((AQ165/AI165-1)*100)&lt;-50,"NM",(AQ165/AI165-1)*100)))</f>
        <v>NA</v>
      </c>
      <c r="AS165" s="72">
        <f>-23.7+18.1</f>
        <v>-5.5999999999999979</v>
      </c>
      <c r="AT165" s="61" t="str">
        <f>IF(ISERROR((AS165/AK165-1)*100),"NA",IF(((AS165/AK165-1)*100)&gt;100,"NM",IF(((AS165/AK165-1)*100)&lt;-50,"NM",(AS165/AK165-1)*100)))</f>
        <v>NA</v>
      </c>
      <c r="AU165" s="72">
        <f>-24.5+0.5</f>
        <v>-24</v>
      </c>
      <c r="AV165" s="61" t="str">
        <f>IF(ISERROR((AU165/AM165-1)*100),"NA",IF(((AU165/AM165-1)*100)&gt;100,"NM",IF(((AU165/AM165-1)*100)&lt;-50,"NM",(AU165/AM165-1)*100)))</f>
        <v>NA</v>
      </c>
      <c r="AW165" s="72">
        <f>-24.4+17.9</f>
        <v>-6.5</v>
      </c>
      <c r="AX165" s="61" t="str">
        <f>IF(ISERROR((AW165/AO165-1)*100),"NA",IF(((AW165/AO165-1)*100)&gt;100,"NM",IF(((AW165/AO165-1)*100)&lt;-50,"NM",(AW165/AO165-1)*100)))</f>
        <v>NA</v>
      </c>
      <c r="AY165" s="72">
        <f>-25.5+20</f>
        <v>-5.5</v>
      </c>
      <c r="AZ165" s="61">
        <f>IF(ISERROR((AY165/AQ165-1)*100),"NA",IF(((AY165/AQ165-1)*100)&gt;100,"NM",IF(((AY165/AQ165-1)*100)&lt;-50,"NM",(AY165/AQ165-1)*100)))</f>
        <v>-1.7857142857142461</v>
      </c>
      <c r="BA165" s="72">
        <f>-22.6+19.8</f>
        <v>-2.8000000000000007</v>
      </c>
      <c r="BB165" s="61">
        <f>IF(ISERROR((BA165/AS165-1)*100),"NA",IF(((BA165/AS165-1)*100)&gt;100,"NM",IF(((BA165/AS165-1)*100)&lt;-50,"NM",(BA165/AS165-1)*100)))</f>
        <v>-49.999999999999964</v>
      </c>
      <c r="BC165" s="72">
        <f>-21.5+14.9</f>
        <v>-6.6</v>
      </c>
      <c r="BD165" s="61" t="str">
        <f>IF(ISERROR((BC165/AU165-1)*100),"NA",IF(((BC165/AU165-1)*100)&gt;100,"NM",IF(((BC165/AU165-1)*100)&lt;-50,"NM",(BC165/AU165-1)*100)))</f>
        <v>NM</v>
      </c>
      <c r="BE165" s="72">
        <f>-18.5+19.4</f>
        <v>0.89999999999999858</v>
      </c>
      <c r="BF165" s="61" t="str">
        <f>IF(ISERROR((BE165/AW165-1)*100),"NA",IF(((BE165/AW165-1)*100)&gt;100,"NM",IF(((BE165/AW165-1)*100)&lt;-50,"NM",(BE165/AW165-1)*100)))</f>
        <v>NM</v>
      </c>
      <c r="BG165" s="72">
        <f>-22.2+19.6</f>
        <v>-2.5999999999999979</v>
      </c>
      <c r="BH165" s="61" t="str">
        <f>IF(ISERROR((BG165/AY165-1)*100),"NA",IF(((BG165/AY165-1)*100)&gt;100,"NM",IF(((BG165/AY165-1)*100)&lt;-50,"NM",(BG165/AY165-1)*100)))</f>
        <v>NM</v>
      </c>
      <c r="BI165" s="72">
        <f>-22.5+22.5</f>
        <v>0</v>
      </c>
      <c r="BJ165" s="61" t="str">
        <f>IF(ISERROR((BI165/BA165-1)*100),"NA",IF(((BI165/BA165-1)*100)&gt;100,"NM",IF(((BI165/BA165-1)*100)&lt;-50,"NM",(BI165/BA165-1)*100)))</f>
        <v>NM</v>
      </c>
      <c r="BK165" s="72">
        <f>-23.7+24.9</f>
        <v>1.1999999999999993</v>
      </c>
      <c r="BL165" s="61" t="str">
        <f>IF(ISERROR((BK165/BC165-1)*100),"NA",IF(((BK165/BC165-1)*100)&gt;100,"NM",IF(((BK165/BC165-1)*100)&lt;-50,"NM",(BK165/BC165-1)*100)))</f>
        <v>NM</v>
      </c>
      <c r="BM165" s="72">
        <f>-23.7+24.9</f>
        <v>1.1999999999999993</v>
      </c>
      <c r="BN165" s="61">
        <f>IF(ISERROR((BM165/BE165-1)*100),"NA",IF(((BM165/BE165-1)*100)&gt;100,"NM",IF(((BM165/BE165-1)*100)&lt;-50,"NM",(BM165/BE165-1)*100)))</f>
        <v>33.333333333333456</v>
      </c>
      <c r="BO165" s="72">
        <f>-23.6+23.9</f>
        <v>0.29999999999999716</v>
      </c>
      <c r="BP165" s="61" t="str">
        <f>IF(ISERROR((BO165/BG165-1)*100),"NA",IF(((BO165/BG165-1)*100)&gt;100,"NM",IF(((BO165/BG165-1)*100)&lt;-50,"NM",(BO165/BG165-1)*100)))</f>
        <v>NM</v>
      </c>
      <c r="BQ165" s="72">
        <f>-22.2+23.2</f>
        <v>1</v>
      </c>
      <c r="BR165" s="61" t="str">
        <f>IF(ISERROR((BQ165/BI165-1)*100),"NA",IF(((BQ165/BI165-1)*100)&gt;100,"NM",IF(((BQ165/BI165-1)*100)&lt;-50,"NM",(BQ165/BI165-1)*100)))</f>
        <v>NA</v>
      </c>
      <c r="BS165" s="72">
        <f>-19.7+23.5</f>
        <v>3.8000000000000007</v>
      </c>
      <c r="BT165" s="61" t="str">
        <f>IF(ISERROR((BS165/BK165-1)*100),"NA",IF(((BS165/BK165-1)*100)&gt;100,"NM",IF(((BS165/BK165-1)*100)&lt;-50,"NM",(BS165/BK165-1)*100)))</f>
        <v>NM</v>
      </c>
      <c r="BU165" s="72">
        <f>-28.2+58.9</f>
        <v>30.7</v>
      </c>
      <c r="BV165" s="61" t="str">
        <f>IF(ISERROR((BU165/BM165-1)*100),"NA",IF(((BU165/BM165-1)*100)&gt;100,"NM",IF(((BU165/BM165-1)*100)&lt;-50,"NM",(BU165/BM165-1)*100)))</f>
        <v>NM</v>
      </c>
      <c r="BW165" s="72">
        <f>-18.3+19.5</f>
        <v>1.1999999999999993</v>
      </c>
      <c r="BX165" s="61" t="str">
        <f>IF(ISERROR((BW165/BO165-1)*100),"NA",IF(((BW165/BO165-1)*100)&gt;100,"NM",IF(((BW165/BO165-1)*100)&lt;-50,"NM",(BW165/BO165-1)*100)))</f>
        <v>NM</v>
      </c>
      <c r="BY165" s="72">
        <f>-17+18.7</f>
        <v>1.6999999999999993</v>
      </c>
      <c r="BZ165" s="61">
        <f>IF(ISERROR((BY165/BQ165-1)*100),"NA",IF(((BY165/BQ165-1)*100)&gt;100,"NM",IF(((BY165/BQ165-1)*100)&lt;-50,"NM",(BY165/BQ165-1)*100)))</f>
        <v>69.999999999999929</v>
      </c>
      <c r="CA165" s="72">
        <f>-15.4+13.6</f>
        <v>-1.8000000000000007</v>
      </c>
      <c r="CB165" s="61" t="str">
        <f>IF(ISERROR((CA165/BS165-1)*100),"NA",IF(((CA165/BS165-1)*100)&gt;100,"NM",IF(((CA165/BS165-1)*100)&lt;-50,"NM",(CA165/BS165-1)*100)))</f>
        <v>NM</v>
      </c>
      <c r="CC165" s="72">
        <f>-17.9+21.1</f>
        <v>3.2000000000000028</v>
      </c>
      <c r="CD165" s="61" t="str">
        <f>IF(ISERROR((CC165/BU165-1)*100),"NA",IF(((CC165/BU165-1)*100)&gt;100,"NM",IF(((CC165/BU165-1)*100)&lt;-50,"NM",(CC165/BU165-1)*100)))</f>
        <v>NM</v>
      </c>
      <c r="CE165" s="72">
        <f>-15.9+20.8</f>
        <v>4.9000000000000004</v>
      </c>
      <c r="CF165" s="61" t="str">
        <f>IF(ISERROR((CE165/BW165-1)*100),"NA",IF(((CE165/BW165-1)*100)&gt;100,"NM",IF(((CE165/BW165-1)*100)&lt;-50,"NM",(CE165/BW165-1)*100)))</f>
        <v>NM</v>
      </c>
      <c r="CG165" s="72">
        <v>8.6</v>
      </c>
      <c r="CH165" s="61" t="str">
        <f>IF(ISERROR((CG165/BY165-1)*100),"NA",IF(((CG165/BY165-1)*100)&gt;100,"NM",IF(((CG165/BY165-1)*100)&lt;-50,"NM",(CG165/BY165-1)*100)))</f>
        <v>NM</v>
      </c>
      <c r="CI165" s="72">
        <f>-15.1+2.4</f>
        <v>-12.7</v>
      </c>
      <c r="CJ165" s="61" t="str">
        <f>IF(ISERROR((CI165/CA165-1)*100),"NA",IF(((CI165/CA165-1)*100)&gt;100,"NM",IF(((CI165/CA165-1)*100)&lt;-50,"NM",(CI165/CA165-1)*100)))</f>
        <v>NM</v>
      </c>
      <c r="CK165" s="72">
        <f>-20.8+32</f>
        <v>11.2</v>
      </c>
      <c r="CL165" s="61" t="str">
        <f>IF(ISERROR((CK165/CC165-1)*100),"NA",IF(((CK165/CC165-1)*100)&gt;100,"NM",IF(((CK165/CC165-1)*100)&lt;-50,"NM",(CK165/CC165-1)*100)))</f>
        <v>NM</v>
      </c>
      <c r="CM165" s="72">
        <v>0</v>
      </c>
      <c r="CN165" s="61" t="str">
        <f>IF(ISERROR((CM165/CE165-1)*100),"NA",IF(((CM165/CE165-1)*100)&gt;100,"NM",IF(((CM165/CE165-1)*100)&lt;-50,"NM",(CM165/CE165-1)*100)))</f>
        <v>NM</v>
      </c>
      <c r="CO165" s="72">
        <f>9.8-9</f>
        <v>0.80000000000000071</v>
      </c>
      <c r="CP165" s="61" t="str">
        <f>IF(ISERROR((CO165/CG165-1)*100),"NA",IF(((CO165/CG165-1)*100)&gt;100,"NM",IF(((CO165/CG165-1)*100)&lt;-50,"NM",(CO165/CG165-1)*100)))</f>
        <v>NM</v>
      </c>
      <c r="CQ165" s="72">
        <f>6.8-8.3</f>
        <v>-1.5000000000000009</v>
      </c>
      <c r="CR165" s="61" t="str">
        <f>IF(ISERROR((CQ165/CI165-1)*100),"NA",IF(((CQ165/CI165-1)*100)&gt;100,"NM",IF(((CQ165/CI165-1)*100)&lt;-50,"NM",(CQ165/CI165-1)*100)))</f>
        <v>NM</v>
      </c>
      <c r="CS165" s="72">
        <f>-9+7</f>
        <v>-2</v>
      </c>
      <c r="CT165" s="61" t="str">
        <f>IF(ISERROR((CS165/CK165-1)*100),"NA",IF(((CS165/CK165-1)*100)&gt;100,"NM",IF(((CS165/CK165-1)*100)&lt;-50,"NM",(CS165/CK165-1)*100)))</f>
        <v>NM</v>
      </c>
      <c r="CU165" s="72">
        <f>10-10</f>
        <v>0</v>
      </c>
      <c r="CV165" s="61" t="str">
        <f>IF(ISERROR((CU165/CM165-1)*100),"NA",IF(((CU165/CM165-1)*100)&gt;100,"NM",IF(((CU165/CM165-1)*100)&lt;-50,"NM",(CU165/CM165-1)*100)))</f>
        <v>NA</v>
      </c>
      <c r="CW165" s="72">
        <f>10-9</f>
        <v>1</v>
      </c>
      <c r="CX165" s="61">
        <f>IF(ISERROR((CW165/CO165-1)*100),"NA",IF(((CW165/CO165-1)*100)&gt;100,"NM",IF(((CW165/CO165-1)*100)&lt;-50,"NM",(CW165/CO165-1)*100)))</f>
        <v>24.99999999999989</v>
      </c>
      <c r="CY165" s="72">
        <f>13-9</f>
        <v>4</v>
      </c>
      <c r="CZ165" s="61" t="str">
        <f>IF(ISERROR((CY165/CQ165-1)*100),"NA",IF(((CY165/CQ165-1)*100)&gt;100,"NM",IF(((CY165/CQ165-1)*100)&lt;-50,"NM",(CY165/CQ165-1)*100)))</f>
        <v>NM</v>
      </c>
      <c r="DA165" s="72">
        <f>10-10</f>
        <v>0</v>
      </c>
      <c r="DB165" s="61" t="str">
        <f>IF(ISERROR((DA165/CS165-1)*100),"NA",IF(((DA165/CS165-1)*100)&gt;100,"NM",IF(((DA165/CS165-1)*100)&lt;-50,"NM",(DA165/CS165-1)*100)))</f>
        <v>NM</v>
      </c>
      <c r="DC165" s="72">
        <f>9+-9</f>
        <v>0</v>
      </c>
      <c r="DD165" s="61" t="str">
        <f>IF(ISERROR((DC165/CU165-1)*100),"NA",IF(((DC165/CU165-1)*100)&gt;100,"NM",IF(((DC165/CU165-1)*100)&lt;-50,"NM",(DC165/CU165-1)*100)))</f>
        <v>NA</v>
      </c>
      <c r="DE165" s="72">
        <f>-7+10</f>
        <v>3</v>
      </c>
      <c r="DF165" s="61" t="str">
        <f>IF(ISERROR((DE165/CW165-1)*100),"NA",IF(((DE165/CW165-1)*100)&gt;100,"NM",IF(((DE165/CW165-1)*100)&lt;-50,"NM",(DE165/CW165-1)*100)))</f>
        <v>NM</v>
      </c>
      <c r="DG165" s="72">
        <f>-7+18</f>
        <v>11</v>
      </c>
      <c r="DH165" s="61" t="str">
        <f>IF(ISERROR((DG165/CY165-1)*100),"NA",IF(((DG165/CY165-1)*100)&gt;100,"NM",IF(((DG165/CY165-1)*100)&lt;-50,"NM",(DG165/CY165-1)*100)))</f>
        <v>NM</v>
      </c>
      <c r="DI165" s="72">
        <f>-9+11</f>
        <v>2</v>
      </c>
      <c r="DJ165" s="61" t="str">
        <f>IF(ISERROR((DI165/DA165-1)*100),"NA",IF(((DI165/DA165-1)*100)&gt;100,"NM",IF(((DI165/DA165-1)*100)&lt;-50,"NM",(DI165/DA165-1)*100)))</f>
        <v>NA</v>
      </c>
      <c r="DK165" s="72">
        <f>-8+10</f>
        <v>2</v>
      </c>
      <c r="DL165" s="130" t="str">
        <f>IF(ISERROR((DK165/DC165-1)*100),"NA",IF(((DK165/DC165-1)*100)&gt;100,"NM",IF(((DK165/DC165-1)*100)&lt;-50,"NM",(DK165/DC165-1)*100)))</f>
        <v>NA</v>
      </c>
      <c r="DM165" s="72">
        <f>-6+10</f>
        <v>4</v>
      </c>
      <c r="DN165" s="130">
        <f t="shared" si="1131"/>
        <v>33.333333333333329</v>
      </c>
      <c r="DO165" s="72">
        <f>-8+9</f>
        <v>1</v>
      </c>
      <c r="DP165" s="130" t="str">
        <f t="shared" si="1131"/>
        <v>NM</v>
      </c>
      <c r="DQ165" s="72">
        <f>-9+9</f>
        <v>0</v>
      </c>
      <c r="DR165" s="130" t="str">
        <f t="shared" si="1131"/>
        <v>NM</v>
      </c>
      <c r="DS165" s="72">
        <f>-7+9</f>
        <v>2</v>
      </c>
      <c r="DT165" s="130">
        <f t="shared" si="1131"/>
        <v>0</v>
      </c>
      <c r="DU165" s="72">
        <f>-7+9</f>
        <v>2</v>
      </c>
      <c r="DV165" s="130">
        <f t="shared" si="1131"/>
        <v>-50</v>
      </c>
      <c r="DW165" s="72">
        <f>-6+5</f>
        <v>-1</v>
      </c>
      <c r="DX165" s="72">
        <f t="shared" ref="DX165" si="1153">-6+5</f>
        <v>-1</v>
      </c>
      <c r="DY165" s="72">
        <f>-9+7</f>
        <v>-2</v>
      </c>
      <c r="DZ165" s="130" t="str">
        <f t="shared" si="1131"/>
        <v>NA</v>
      </c>
      <c r="EA165" s="72">
        <f>-6+6</f>
        <v>0</v>
      </c>
      <c r="EB165" s="130" t="str">
        <f t="shared" si="1134"/>
        <v>NM</v>
      </c>
      <c r="EC165" s="72">
        <f>-6+5</f>
        <v>-1</v>
      </c>
      <c r="ED165" s="130" t="str">
        <f t="shared" si="1135"/>
        <v>NM</v>
      </c>
      <c r="EE165" s="72">
        <f>-6+10</f>
        <v>4</v>
      </c>
      <c r="EF165" s="130" t="str">
        <f t="shared" si="1137"/>
        <v>NM</v>
      </c>
      <c r="EG165" s="72">
        <f>-10+7</f>
        <v>-3</v>
      </c>
      <c r="EH165" s="130">
        <f t="shared" si="1138"/>
        <v>50</v>
      </c>
      <c r="EI165" s="72">
        <f>-8+6</f>
        <v>-2</v>
      </c>
      <c r="EJ165" s="130" t="str">
        <f t="shared" si="1140"/>
        <v>NA</v>
      </c>
      <c r="EK165" s="72">
        <f>-8+6</f>
        <v>-2</v>
      </c>
      <c r="EL165" s="130">
        <f t="shared" si="1141"/>
        <v>100</v>
      </c>
      <c r="EM165" s="72">
        <f>-8+6</f>
        <v>-2</v>
      </c>
      <c r="EN165" s="130" t="str">
        <f t="shared" si="1143"/>
        <v>NM</v>
      </c>
      <c r="EO165" s="72">
        <f>-7+7</f>
        <v>0</v>
      </c>
      <c r="EP165" s="130" t="str">
        <f t="shared" si="1145"/>
        <v>NM</v>
      </c>
      <c r="EQ165" s="573">
        <f t="shared" ref="EQ165" si="1154">EO165</f>
        <v>0</v>
      </c>
      <c r="ER165" s="130" t="str">
        <f t="shared" si="1147"/>
        <v>NM</v>
      </c>
      <c r="ES165" s="573">
        <f t="shared" ref="ES165" si="1155">EQ165</f>
        <v>0</v>
      </c>
      <c r="ET165" s="130" t="str">
        <f t="shared" si="1148"/>
        <v>NM</v>
      </c>
      <c r="EU165" s="573">
        <f t="shared" ref="EU165" si="1156">ES165</f>
        <v>0</v>
      </c>
      <c r="EV165" s="130" t="str">
        <f t="shared" si="1149"/>
        <v>NM</v>
      </c>
      <c r="EW165" s="573">
        <f t="shared" ref="EW165" si="1157">EU165</f>
        <v>0</v>
      </c>
      <c r="EX165" s="130" t="str">
        <f t="shared" si="1150"/>
        <v>NA</v>
      </c>
      <c r="EY165" s="74"/>
      <c r="EZ165" s="558"/>
      <c r="FA165" s="74"/>
      <c r="FB165" s="124"/>
      <c r="FC165" s="91"/>
      <c r="FD165" s="124"/>
      <c r="FE165" s="126"/>
      <c r="FF165" s="124"/>
      <c r="FG165" s="126"/>
      <c r="FH165" s="69"/>
      <c r="FI165" s="126"/>
      <c r="FJ165" s="69"/>
      <c r="FK165" s="126"/>
      <c r="FL165" s="69"/>
      <c r="FM165" s="126"/>
      <c r="FN165" s="778"/>
      <c r="FO165" s="126"/>
      <c r="FP165" s="73">
        <f>AQ165+AS165+AU165+AW165</f>
        <v>-41.699999999999996</v>
      </c>
      <c r="FQ165" s="61" t="str">
        <f>IF(ISERROR((FP165/FN165-1)*100),"NA",IF(((FP165/FN165-1)*100)&gt;100,"NM",IF(((FP165/FN165-1)*100)&lt;-50,"NM",(FP165/FN165-1)*100)))</f>
        <v>NA</v>
      </c>
      <c r="FR165" s="73">
        <f>AY165+BA165+BC165+BE165</f>
        <v>-14.000000000000002</v>
      </c>
      <c r="FS165" s="61" t="str">
        <f>IF(ISERROR((FR165/FP165-1)*100),"NA",IF(((FR165/FP165-1)*100)&gt;100,"NM",IF(((FR165/FP165-1)*100)&lt;-50,"NM",(FR165/FP165-1)*100)))</f>
        <v>NM</v>
      </c>
      <c r="FT165" s="73">
        <f>BG165+BI165+BK165+BM165</f>
        <v>-0.19999999999999929</v>
      </c>
      <c r="FU165" s="61" t="str">
        <f>IF(ISERROR((FT165/FR165-1)*100),"NA",IF(((FT165/FR165-1)*100)&gt;100,"NM",IF(((FT165/FR165-1)*100)&lt;-50,"NM",(FT165/FR165-1)*100)))</f>
        <v>NM</v>
      </c>
      <c r="FV165" s="73">
        <f>BO165+BQ165+BS165+BU165</f>
        <v>35.799999999999997</v>
      </c>
      <c r="FW165" s="61" t="str">
        <f>IF(ISERROR((FV165/FT165-1)*100),"NA",IF(((FV165/FT165-1)*100)&gt;100,"NM",IF(((FV165/FT165-1)*100)&lt;-50,"NM",(FV165/FT165-1)*100)))</f>
        <v>NM</v>
      </c>
      <c r="FX165" s="73">
        <f>BW165+BY165+CA165+CC165</f>
        <v>4.3000000000000007</v>
      </c>
      <c r="FY165" s="61" t="str">
        <f>IF(ISERROR((FX165/FV165-1)*100),"NA",IF(((FX165/FV165-1)*100)&gt;100,"NM",IF(((FX165/FV165-1)*100)&lt;-50,"NM",(FX165/FV165-1)*100)))</f>
        <v>NM</v>
      </c>
      <c r="FZ165" s="73">
        <f>CE165+CG165+CI165+CK165</f>
        <v>12</v>
      </c>
      <c r="GA165" s="61" t="str">
        <f>IF(ISERROR((FZ165/FX165-1)*100),"NA",IF(((FZ165/FX165-1)*100)&gt;100,"NM",IF(((FZ165/FX165-1)*100)&lt;-50,"NM",(FZ165/FX165-1)*100)))</f>
        <v>NM</v>
      </c>
      <c r="GB165" s="73">
        <f>CM165+CO165+CQ165+CS165</f>
        <v>-2.7</v>
      </c>
      <c r="GC165" s="61" t="str">
        <f>IF(ISERROR((GB165/FZ165-1)*100),"NA",IF(((GB165/FZ165-1)*100)&gt;100,"NM",IF(((GB165/FZ165-1)*100)&lt;-50,"NM",(GB165/FZ165-1)*100)))</f>
        <v>NM</v>
      </c>
      <c r="GD165" s="73">
        <f>CU165+CW165+CY165+DA165</f>
        <v>5</v>
      </c>
      <c r="GE165" s="61" t="str">
        <f>IF(ISERROR((GD165/GB165-1)*100),"NA",IF(((GD165/GB165-1)*100)&gt;100,"NM",IF(((GD165/GB165-1)*100)&lt;-50,"NM",(GD165/GB165-1)*100)))</f>
        <v>NM</v>
      </c>
      <c r="GF165" s="73">
        <f>DC165+DE165+DG165+DI165</f>
        <v>16</v>
      </c>
      <c r="GG165" s="61" t="str">
        <f t="shared" si="1151"/>
        <v>NM</v>
      </c>
      <c r="GH165" s="73">
        <f>DK165+DM165+DO165+DQ165</f>
        <v>7</v>
      </c>
      <c r="GI165" s="61" t="str">
        <f t="shared" si="1151"/>
        <v>NM</v>
      </c>
      <c r="GJ165" s="73">
        <f>DS165+DU165+DW165+DY165</f>
        <v>1</v>
      </c>
      <c r="GK165" s="61" t="str">
        <f t="shared" si="1151"/>
        <v>NM</v>
      </c>
      <c r="GL165" s="73">
        <f>EA165+EC165+EE165+EG165</f>
        <v>0</v>
      </c>
      <c r="GM165" s="61" t="str">
        <f t="shared" si="1151"/>
        <v>NM</v>
      </c>
      <c r="GN165" s="73">
        <f>EI165+EK165+EM165+EO165</f>
        <v>-6</v>
      </c>
      <c r="GO165" s="61" t="str">
        <f t="shared" si="1151"/>
        <v>NA</v>
      </c>
      <c r="GP165" s="73">
        <f>EQ165+ES165+EU165+EW165</f>
        <v>0</v>
      </c>
      <c r="GQ165" s="61" t="str">
        <f t="shared" si="1151"/>
        <v>NM</v>
      </c>
      <c r="GR165" s="72">
        <f>GP165*1.05</f>
        <v>0</v>
      </c>
      <c r="GS165" s="61" t="str">
        <f t="shared" si="1151"/>
        <v>NA</v>
      </c>
      <c r="GT165" s="72">
        <f>GR165*1.05</f>
        <v>0</v>
      </c>
      <c r="GU165" s="61" t="str">
        <f t="shared" si="1151"/>
        <v>NA</v>
      </c>
      <c r="GV165" s="72">
        <f>GT165*1.05</f>
        <v>0</v>
      </c>
      <c r="GW165" s="61" t="str">
        <f t="shared" si="1151"/>
        <v>NA</v>
      </c>
      <c r="GX165" s="72">
        <f>GV165*1.05</f>
        <v>0</v>
      </c>
      <c r="GY165" s="61" t="str">
        <f t="shared" si="1152"/>
        <v>NA</v>
      </c>
      <c r="GZ165" s="61" t="str">
        <f t="shared" si="1111"/>
        <v>NM</v>
      </c>
      <c r="HA165" s="61"/>
      <c r="HB165" s="452"/>
      <c r="HC165"/>
      <c r="HD165"/>
      <c r="HE165"/>
      <c r="HF165"/>
      <c r="HG165"/>
      <c r="HH165"/>
    </row>
    <row r="166" spans="1:216" s="5" customFormat="1" ht="12.75" customHeight="1" x14ac:dyDescent="0.2">
      <c r="B166" s="123" t="s">
        <v>369</v>
      </c>
      <c r="C166" s="124"/>
      <c r="D166" s="107"/>
      <c r="E166" s="124"/>
      <c r="F166" s="64"/>
      <c r="G166" s="124"/>
      <c r="H166" s="64"/>
      <c r="I166" s="124"/>
      <c r="J166" s="61"/>
      <c r="K166" s="69"/>
      <c r="L166" s="61"/>
      <c r="M166" s="69"/>
      <c r="N166" s="61"/>
      <c r="O166" s="69"/>
      <c r="P166" s="61"/>
      <c r="Q166" s="69"/>
      <c r="R166" s="61"/>
      <c r="S166" s="69"/>
      <c r="T166" s="61"/>
      <c r="U166" s="69"/>
      <c r="V166" s="61"/>
      <c r="W166" s="69"/>
      <c r="X166" s="61"/>
      <c r="Y166" s="69"/>
      <c r="Z166" s="61"/>
      <c r="AA166" s="69"/>
      <c r="AB166" s="61"/>
      <c r="AC166" s="69"/>
      <c r="AD166" s="61"/>
      <c r="AE166" s="69"/>
      <c r="AF166" s="61"/>
      <c r="AG166" s="69"/>
      <c r="AH166" s="61"/>
      <c r="AI166" s="69"/>
      <c r="AJ166" s="61"/>
      <c r="AK166" s="69"/>
      <c r="AL166" s="61"/>
      <c r="AM166" s="69"/>
      <c r="AN166" s="61"/>
      <c r="AO166" s="69"/>
      <c r="AP166" s="61"/>
      <c r="AQ166" s="69">
        <f>+AQ167-AQ165</f>
        <v>77.5</v>
      </c>
      <c r="AR166" s="61" t="str">
        <f>IF(ISERROR((AQ166/AI166-1)*100),"NA",IF(((AQ166/AI166-1)*100)&gt;100,"NM",IF(((AQ166/AI166-1)*100)&lt;-50,"NM",(AQ166/AI166-1)*100)))</f>
        <v>NA</v>
      </c>
      <c r="AS166" s="69">
        <f>+AS167-AS165</f>
        <v>76.8</v>
      </c>
      <c r="AT166" s="61" t="str">
        <f>IF(ISERROR((AS166/AK166-1)*100),"NA",IF(((AS166/AK166-1)*100)&gt;100,"NM",IF(((AS166/AK166-1)*100)&lt;-50,"NM",(AS166/AK166-1)*100)))</f>
        <v>NA</v>
      </c>
      <c r="AU166" s="69">
        <f>+AU167-AU165</f>
        <v>86.2</v>
      </c>
      <c r="AV166" s="61" t="str">
        <f>IF(ISERROR((AU166/AM166-1)*100),"NA",IF(((AU166/AM166-1)*100)&gt;100,"NM",IF(((AU166/AM166-1)*100)&lt;-50,"NM",(AU166/AM166-1)*100)))</f>
        <v>NA</v>
      </c>
      <c r="AW166" s="69">
        <f>+AW167-AW165</f>
        <v>83.7</v>
      </c>
      <c r="AX166" s="61" t="str">
        <f>IF(ISERROR((AW166/AO166-1)*100),"NA",IF(((AW166/AO166-1)*100)&gt;100,"NM",IF(((AW166/AO166-1)*100)&lt;-50,"NM",(AW166/AO166-1)*100)))</f>
        <v>NA</v>
      </c>
      <c r="AY166" s="69">
        <f>+AY167-AY165</f>
        <v>78.8</v>
      </c>
      <c r="AZ166" s="61">
        <f>IF(ISERROR((AY166/AQ166-1)*100),"NA",IF(((AY166/AQ166-1)*100)&gt;100,"NM",IF(((AY166/AQ166-1)*100)&lt;-50,"NM",(AY166/AQ166-1)*100)))</f>
        <v>1.6774193548387162</v>
      </c>
      <c r="BA166" s="69">
        <f>+BA167-BA165</f>
        <v>72.3</v>
      </c>
      <c r="BB166" s="61">
        <f>IF(ISERROR((BA166/AS166-1)*100),"NA",IF(((BA166/AS166-1)*100)&gt;100,"NM",IF(((BA166/AS166-1)*100)&lt;-50,"NM",(BA166/AS166-1)*100)))</f>
        <v>-5.859375</v>
      </c>
      <c r="BC166" s="69">
        <f>+BC167-BC165</f>
        <v>81.099999999999994</v>
      </c>
      <c r="BD166" s="61">
        <f>IF(ISERROR((BC166/AU166-1)*100),"NA",IF(((BC166/AU166-1)*100)&gt;100,"NM",IF(((BC166/AU166-1)*100)&lt;-50,"NM",(BC166/AU166-1)*100)))</f>
        <v>-5.9164733178654334</v>
      </c>
      <c r="BE166" s="69">
        <f>+BE167-BE165</f>
        <v>79.300000000000011</v>
      </c>
      <c r="BF166" s="61">
        <f>IF(ISERROR((BE166/AW166-1)*100),"NA",IF(((BE166/AW166-1)*100)&gt;100,"NM",IF(((BE166/AW166-1)*100)&lt;-50,"NM",(BE166/AW166-1)*100)))</f>
        <v>-5.2568697729987957</v>
      </c>
      <c r="BG166" s="69">
        <f>+BG167-BG165</f>
        <v>74.199999999999989</v>
      </c>
      <c r="BH166" s="61">
        <f>IF(ISERROR((BG166/AY166-1)*100),"NA",IF(((BG166/AY166-1)*100)&gt;100,"NM",IF(((BG166/AY166-1)*100)&lt;-50,"NM",(BG166/AY166-1)*100)))</f>
        <v>-5.8375634517766617</v>
      </c>
      <c r="BI166" s="69">
        <f>+BI167-BI165</f>
        <v>80.599999999999994</v>
      </c>
      <c r="BJ166" s="61">
        <f>IF(ISERROR((BI166/BA166-1)*100),"NA",IF(((BI166/BA166-1)*100)&gt;100,"NM",IF(((BI166/BA166-1)*100)&lt;-50,"NM",(BI166/BA166-1)*100)))</f>
        <v>11.479944674965425</v>
      </c>
      <c r="BK166" s="69">
        <f>+BK167-BK165</f>
        <v>83.5</v>
      </c>
      <c r="BL166" s="61">
        <f>IF(ISERROR((BK166/BC166-1)*100),"NA",IF(((BK166/BC166-1)*100)&gt;100,"NM",IF(((BK166/BC166-1)*100)&lt;-50,"NM",(BK166/BC166-1)*100)))</f>
        <v>2.9593094944513121</v>
      </c>
      <c r="BM166" s="69">
        <f>+BM167-BM165</f>
        <v>76.099999999999994</v>
      </c>
      <c r="BN166" s="61">
        <f>IF(ISERROR((BM166/BE166-1)*100),"NA",IF(((BM166/BE166-1)*100)&gt;100,"NM",IF(((BM166/BE166-1)*100)&lt;-50,"NM",(BM166/BE166-1)*100)))</f>
        <v>-4.0353089533417652</v>
      </c>
      <c r="BO166" s="69">
        <f>+BO167-BO165</f>
        <v>76</v>
      </c>
      <c r="BP166" s="61">
        <f>IF(ISERROR((BO166/BG166-1)*100),"NA",IF(((BO166/BG166-1)*100)&gt;100,"NM",IF(((BO166/BG166-1)*100)&lt;-50,"NM",(BO166/BG166-1)*100)))</f>
        <v>2.4258760107816801</v>
      </c>
      <c r="BQ166" s="69">
        <f>+BQ167-BQ165</f>
        <v>74.400000000000006</v>
      </c>
      <c r="BR166" s="61">
        <f>IF(ISERROR((BQ166/BI166-1)*100),"NA",IF(((BQ166/BI166-1)*100)&gt;100,"NM",IF(((BQ166/BI166-1)*100)&lt;-50,"NM",(BQ166/BI166-1)*100)))</f>
        <v>-7.6923076923076756</v>
      </c>
      <c r="BS166" s="69">
        <f>+BS167-BS165</f>
        <v>73.300000000000011</v>
      </c>
      <c r="BT166" s="61">
        <f>IF(ISERROR((BS166/BK166-1)*100),"NA",IF(((BS166/BK166-1)*100)&gt;100,"NM",IF(((BS166/BK166-1)*100)&lt;-50,"NM",(BS166/BK166-1)*100)))</f>
        <v>-12.21556886227544</v>
      </c>
      <c r="BU166" s="69">
        <f>+BU167-BU165</f>
        <v>91.3</v>
      </c>
      <c r="BV166" s="61">
        <f>IF(ISERROR((BU166/BM166-1)*100),"NA",IF(((BU166/BM166-1)*100)&gt;100,"NM",IF(((BU166/BM166-1)*100)&lt;-50,"NM",(BU166/BM166-1)*100)))</f>
        <v>19.9737187910644</v>
      </c>
      <c r="BW166" s="69">
        <f>+BW167-BW165</f>
        <v>69.400000000000006</v>
      </c>
      <c r="BX166" s="61">
        <f>IF(ISERROR((BW166/BO166-1)*100),"NA",IF(((BW166/BO166-1)*100)&gt;100,"NM",IF(((BW166/BO166-1)*100)&lt;-50,"NM",(BW166/BO166-1)*100)))</f>
        <v>-8.6842105263157841</v>
      </c>
      <c r="BY166" s="69">
        <f>+BY167-BY165</f>
        <v>71.5</v>
      </c>
      <c r="BZ166" s="61">
        <f>IF(ISERROR((BY166/BQ166-1)*100),"NA",IF(((BY166/BQ166-1)*100)&gt;100,"NM",IF(((BY166/BQ166-1)*100)&lt;-50,"NM",(BY166/BQ166-1)*100)))</f>
        <v>-3.897849462365599</v>
      </c>
      <c r="CA166" s="69">
        <f>+CA167-CA165</f>
        <v>72.099999999999994</v>
      </c>
      <c r="CB166" s="61">
        <f>IF(ISERROR((CA166/BS166-1)*100),"NA",IF(((CA166/BS166-1)*100)&gt;100,"NM",IF(((CA166/BS166-1)*100)&lt;-50,"NM",(CA166/BS166-1)*100)))</f>
        <v>-1.637107776261959</v>
      </c>
      <c r="CC166" s="69">
        <f>+CC167-CC165</f>
        <v>80</v>
      </c>
      <c r="CD166" s="61">
        <f>IF(ISERROR((CC166/BU166-1)*100),"NA",IF(((CC166/BU166-1)*100)&gt;100,"NM",IF(((CC166/BU166-1)*100)&lt;-50,"NM",(CC166/BU166-1)*100)))</f>
        <v>-12.376779846659359</v>
      </c>
      <c r="CE166" s="69">
        <f>+CE167-CE165</f>
        <v>75</v>
      </c>
      <c r="CF166" s="61">
        <f>IF(ISERROR((CE166/BW166-1)*100),"NA",IF(((CE166/BW166-1)*100)&gt;100,"NM",IF(((CE166/BW166-1)*100)&lt;-50,"NM",(CE166/BW166-1)*100)))</f>
        <v>8.0691642651296682</v>
      </c>
      <c r="CG166" s="69">
        <f>+CG167-CG165</f>
        <v>76.600000000000009</v>
      </c>
      <c r="CH166" s="61">
        <f>IF(ISERROR((CG166/BY166-1)*100),"NA",IF(((CG166/BY166-1)*100)&gt;100,"NM",IF(((CG166/BY166-1)*100)&lt;-50,"NM",(CG166/BY166-1)*100)))</f>
        <v>7.1328671328671378</v>
      </c>
      <c r="CI166" s="69">
        <f>+CI167-CI165</f>
        <v>78.2</v>
      </c>
      <c r="CJ166" s="61">
        <f>IF(ISERROR((CI166/CA166-1)*100),"NA",IF(((CI166/CA166-1)*100)&gt;100,"NM",IF(((CI166/CA166-1)*100)&lt;-50,"NM",(CI166/CA166-1)*100)))</f>
        <v>8.4604715672677031</v>
      </c>
      <c r="CK166" s="69">
        <f>+CK167-CK165</f>
        <v>91.7</v>
      </c>
      <c r="CL166" s="61">
        <f>IF(ISERROR((CK166/CC166-1)*100),"NA",IF(((CK166/CC166-1)*100)&gt;100,"NM",IF(((CK166/CC166-1)*100)&lt;-50,"NM",(CK166/CC166-1)*100)))</f>
        <v>14.625</v>
      </c>
      <c r="CM166" s="69">
        <f>+CM167-CM165</f>
        <v>86</v>
      </c>
      <c r="CN166" s="61">
        <f>IF(ISERROR((CM166/CE166-1)*100),"NA",IF(((CM166/CE166-1)*100)&gt;100,"NM",IF(((CM166/CE166-1)*100)&lt;-50,"NM",(CM166/CE166-1)*100)))</f>
        <v>14.666666666666671</v>
      </c>
      <c r="CO166" s="69">
        <f>+CO167-CO165</f>
        <v>92.100000000000009</v>
      </c>
      <c r="CP166" s="61">
        <f>IF(ISERROR((CO166/CG166-1)*100),"NA",IF(((CO166/CG166-1)*100)&gt;100,"NM",IF(((CO166/CG166-1)*100)&lt;-50,"NM",(CO166/CG166-1)*100)))</f>
        <v>20.23498694516972</v>
      </c>
      <c r="CQ166" s="69">
        <f>+CQ167-CQ165</f>
        <v>86.3</v>
      </c>
      <c r="CR166" s="61">
        <f>IF(ISERROR((CQ166/CI166-1)*100),"NA",IF(((CQ166/CI166-1)*100)&gt;100,"NM",IF(((CQ166/CI166-1)*100)&lt;-50,"NM",(CQ166/CI166-1)*100)))</f>
        <v>10.358056265984651</v>
      </c>
      <c r="CS166" s="69">
        <f>+CS167-CS165</f>
        <v>91</v>
      </c>
      <c r="CT166" s="61">
        <f>IF(ISERROR((CS166/CK166-1)*100),"NA",IF(((CS166/CK166-1)*100)&gt;100,"NM",IF(((CS166/CK166-1)*100)&lt;-50,"NM",(CS166/CK166-1)*100)))</f>
        <v>-0.76335877862595547</v>
      </c>
      <c r="CU166" s="69">
        <f>+CU167-CU165</f>
        <v>94</v>
      </c>
      <c r="CV166" s="61">
        <f>IF(ISERROR((CU166/CM166-1)*100),"NA",IF(((CU166/CM166-1)*100)&gt;100,"NM",IF(((CU166/CM166-1)*100)&lt;-50,"NM",(CU166/CM166-1)*100)))</f>
        <v>9.302325581395344</v>
      </c>
      <c r="CW166" s="69">
        <f>+CW167-CW165</f>
        <v>95</v>
      </c>
      <c r="CX166" s="61">
        <f>IF(ISERROR((CW166/CO166-1)*100),"NA",IF(((CW166/CO166-1)*100)&gt;100,"NM",IF(((CW166/CO166-1)*100)&lt;-50,"NM",(CW166/CO166-1)*100)))</f>
        <v>3.148751357220414</v>
      </c>
      <c r="CY166" s="69">
        <f>+CY167-CY165</f>
        <v>98</v>
      </c>
      <c r="CZ166" s="61">
        <f>IF(ISERROR((CY166/CQ166-1)*100),"NA",IF(((CY166/CQ166-1)*100)&gt;100,"NM",IF(((CY166/CQ166-1)*100)&lt;-50,"NM",(CY166/CQ166-1)*100)))</f>
        <v>13.557358053302426</v>
      </c>
      <c r="DA166" s="69">
        <f>+DA167-DA165</f>
        <v>112</v>
      </c>
      <c r="DB166" s="61">
        <f>IF(ISERROR((DA166/CS166-1)*100),"NA",IF(((DA166/CS166-1)*100)&gt;100,"NM",IF(((DA166/CS166-1)*100)&lt;-50,"NM",(DA166/CS166-1)*100)))</f>
        <v>23.076923076923084</v>
      </c>
      <c r="DC166" s="69">
        <f>+DC167-DC165</f>
        <v>95</v>
      </c>
      <c r="DD166" s="61">
        <f>IF(ISERROR((DC166/CU166-1)*100),"NA",IF(((DC166/CU166-1)*100)&gt;100,"NM",IF(((DC166/CU166-1)*100)&lt;-50,"NM",(DC166/CU166-1)*100)))</f>
        <v>1.0638297872340496</v>
      </c>
      <c r="DE166" s="69">
        <f>+DE167-DE165</f>
        <v>97</v>
      </c>
      <c r="DF166" s="61">
        <f>IF(ISERROR((DE166/CW166-1)*100),"NA",IF(((DE166/CW166-1)*100)&gt;100,"NM",IF(((DE166/CW166-1)*100)&lt;-50,"NM",(DE166/CW166-1)*100)))</f>
        <v>2.1052631578947434</v>
      </c>
      <c r="DG166" s="69">
        <f>+DG167-DG165</f>
        <v>96</v>
      </c>
      <c r="DH166" s="61">
        <f>IF(ISERROR((DG166/CY166-1)*100),"NA",IF(((DG166/CY166-1)*100)&gt;100,"NM",IF(((DG166/CY166-1)*100)&lt;-50,"NM",(DG166/CY166-1)*100)))</f>
        <v>-2.0408163265306145</v>
      </c>
      <c r="DI166" s="69">
        <f>+DI167-DI165</f>
        <v>107</v>
      </c>
      <c r="DJ166" s="61">
        <f>IF(ISERROR((DI166/DA166-1)*100),"NA",IF(((DI166/DA166-1)*100)&gt;100,"NM",IF(((DI166/DA166-1)*100)&lt;-50,"NM",(DI166/DA166-1)*100)))</f>
        <v>-4.46428571428571</v>
      </c>
      <c r="DK166" s="69">
        <f>+DK167-DK165</f>
        <v>98</v>
      </c>
      <c r="DL166" s="61">
        <f>IF(ISERROR((DK166/DC166-1)*100),"NA",IF(((DK166/DC166-1)*100)&gt;100,"NM",IF(((DK166/DC166-1)*100)&lt;-50,"NM",(DK166/DC166-1)*100)))</f>
        <v>3.1578947368421151</v>
      </c>
      <c r="DM166" s="69">
        <f>+DM167-DM165</f>
        <v>94</v>
      </c>
      <c r="DN166" s="130">
        <f t="shared" si="1131"/>
        <v>-3.0927835051546393</v>
      </c>
      <c r="DO166" s="69">
        <f>+DO167-DO165</f>
        <v>98</v>
      </c>
      <c r="DP166" s="130">
        <f t="shared" si="1131"/>
        <v>2.0833333333333259</v>
      </c>
      <c r="DQ166" s="69">
        <f>+DQ167-DQ165</f>
        <v>109</v>
      </c>
      <c r="DR166" s="130">
        <f t="shared" si="1131"/>
        <v>1.8691588785046731</v>
      </c>
      <c r="DS166" s="69">
        <f>+DS167-DS165</f>
        <v>100</v>
      </c>
      <c r="DT166" s="130">
        <f t="shared" si="1131"/>
        <v>2.0408163265306145</v>
      </c>
      <c r="DU166" s="69">
        <f>+DU167-DU165</f>
        <v>106</v>
      </c>
      <c r="DV166" s="130">
        <f t="shared" si="1131"/>
        <v>12.765957446808507</v>
      </c>
      <c r="DW166" s="69">
        <f>+DW167-DW165</f>
        <v>102</v>
      </c>
      <c r="DX166" s="69">
        <f t="shared" ref="DX166:DY166" si="1158">+DX167-DX165</f>
        <v>102</v>
      </c>
      <c r="DY166" s="69">
        <f t="shared" si="1158"/>
        <v>107</v>
      </c>
      <c r="DZ166" s="130">
        <f t="shared" si="1131"/>
        <v>-1.834862385321101</v>
      </c>
      <c r="EA166" s="69">
        <f t="shared" ref="EA166:EC166" si="1159">+EA167-EA165</f>
        <v>101</v>
      </c>
      <c r="EB166" s="130">
        <f t="shared" si="1134"/>
        <v>1.0000000000000009</v>
      </c>
      <c r="EC166" s="69">
        <f t="shared" si="1159"/>
        <v>103</v>
      </c>
      <c r="ED166" s="130">
        <f t="shared" si="1135"/>
        <v>-2.8301886792452824</v>
      </c>
      <c r="EE166" s="69">
        <f t="shared" ref="EE166:EG166" si="1160">+EE167-EE165</f>
        <v>105</v>
      </c>
      <c r="EF166" s="130">
        <f t="shared" si="1137"/>
        <v>2.9411764705882248</v>
      </c>
      <c r="EG166" s="69">
        <f t="shared" si="1160"/>
        <v>107</v>
      </c>
      <c r="EH166" s="130">
        <f t="shared" si="1138"/>
        <v>0</v>
      </c>
      <c r="EI166" s="69">
        <f t="shared" ref="EI166:EK166" si="1161">+EI167-EI165</f>
        <v>104</v>
      </c>
      <c r="EJ166" s="130">
        <f t="shared" si="1140"/>
        <v>2.9702970297029729</v>
      </c>
      <c r="EK166" s="69">
        <f t="shared" si="1161"/>
        <v>108</v>
      </c>
      <c r="EL166" s="130">
        <f t="shared" si="1141"/>
        <v>4.8543689320388328</v>
      </c>
      <c r="EM166" s="69">
        <f t="shared" ref="EM166" si="1162">+EM167-EM165</f>
        <v>109</v>
      </c>
      <c r="EN166" s="130">
        <f t="shared" si="1143"/>
        <v>3.8095238095238182</v>
      </c>
      <c r="EO166" s="69">
        <f t="shared" ref="EO166" si="1163">+EO167-EO165</f>
        <v>109</v>
      </c>
      <c r="EP166" s="130">
        <f t="shared" si="1145"/>
        <v>1.8691588785046731</v>
      </c>
      <c r="EQ166" s="69">
        <f t="shared" ref="EQ166:EW166" si="1164">+EQ171*EQ150/100</f>
        <v>116.00061349847795</v>
      </c>
      <c r="ER166" s="130">
        <f t="shared" si="1147"/>
        <v>11.539051440844172</v>
      </c>
      <c r="ES166" s="69">
        <f t="shared" si="1164"/>
        <v>115.84792960635215</v>
      </c>
      <c r="ET166" s="130">
        <f t="shared" si="1148"/>
        <v>7.2666014873631113</v>
      </c>
      <c r="EU166" s="69">
        <f t="shared" si="1164"/>
        <v>117.04320944247867</v>
      </c>
      <c r="EV166" s="130">
        <f t="shared" si="1149"/>
        <v>7.3790912316318069</v>
      </c>
      <c r="EW166" s="69">
        <f t="shared" si="1164"/>
        <v>117.86593718397783</v>
      </c>
      <c r="EX166" s="130">
        <f t="shared" si="1150"/>
        <v>8.1338873247503116</v>
      </c>
      <c r="EY166" s="64"/>
      <c r="EZ166" s="558"/>
      <c r="FA166" s="64"/>
      <c r="FB166" s="124"/>
      <c r="FC166" s="71"/>
      <c r="FD166" s="124"/>
      <c r="FE166" s="70"/>
      <c r="FF166" s="124"/>
      <c r="FG166" s="70"/>
      <c r="FH166" s="69"/>
      <c r="FI166" s="70"/>
      <c r="FJ166" s="69"/>
      <c r="FK166" s="70"/>
      <c r="FL166" s="69"/>
      <c r="FM166" s="61"/>
      <c r="FN166" s="778"/>
      <c r="FO166" s="61"/>
      <c r="FP166" s="73">
        <f>AQ166+AS166+AU166+AW166</f>
        <v>324.2</v>
      </c>
      <c r="FQ166" s="61" t="str">
        <f>IF(ISERROR((FP166/FN166-1)*100),"NA",IF(((FP166/FN166-1)*100)&gt;100,"NM",IF(((FP166/FN166-1)*100)&lt;-50,"NM",(FP166/FN166-1)*100)))</f>
        <v>NA</v>
      </c>
      <c r="FR166" s="73">
        <f>AY166+BA166+BC166+BE166</f>
        <v>311.5</v>
      </c>
      <c r="FS166" s="61">
        <f>IF(ISERROR((FR166/FP166-1)*100),"NA",IF(((FR166/FP166-1)*100)&gt;100,"NM",IF(((FR166/FP166-1)*100)&lt;-50,"NM",(FR166/FP166-1)*100)))</f>
        <v>-3.9173349784083822</v>
      </c>
      <c r="FT166" s="73">
        <f>BG166+BI166+BK166+BM166</f>
        <v>314.39999999999998</v>
      </c>
      <c r="FU166" s="61">
        <f>IF(ISERROR((FT166/FR166-1)*100),"NA",IF(((FT166/FR166-1)*100)&gt;100,"NM",IF(((FT166/FR166-1)*100)&lt;-50,"NM",(FT166/FR166-1)*100)))</f>
        <v>0.93097913322630621</v>
      </c>
      <c r="FV166" s="73">
        <f>BO166+BQ166+BS166+BU166</f>
        <v>315</v>
      </c>
      <c r="FW166" s="61">
        <f>IF(ISERROR((FV166/FT166-1)*100),"NA",IF(((FV166/FT166-1)*100)&gt;100,"NM",IF(((FV166/FT166-1)*100)&lt;-50,"NM",(FV166/FT166-1)*100)))</f>
        <v>0.19083969465649719</v>
      </c>
      <c r="FX166" s="73">
        <f>BW166+BY166+CA166+CC166</f>
        <v>293</v>
      </c>
      <c r="FY166" s="61">
        <f>IF(ISERROR((FX166/FV166-1)*100),"NA",IF(((FX166/FV166-1)*100)&gt;100,"NM",IF(((FX166/FV166-1)*100)&lt;-50,"NM",(FX166/FV166-1)*100)))</f>
        <v>-6.9841269841269815</v>
      </c>
      <c r="FZ166" s="73">
        <f>CE166+CG166+CI166+CK166</f>
        <v>321.5</v>
      </c>
      <c r="GA166" s="61">
        <f>IF(ISERROR((FZ166/FX166-1)*100),"NA",IF(((FZ166/FX166-1)*100)&gt;100,"NM",IF(((FZ166/FX166-1)*100)&lt;-50,"NM",(FZ166/FX166-1)*100)))</f>
        <v>9.7269624573378834</v>
      </c>
      <c r="GB166" s="73">
        <f>CM166+CO166+CQ166+CS166</f>
        <v>355.40000000000003</v>
      </c>
      <c r="GC166" s="61">
        <f>IF(ISERROR((GB166/FZ166-1)*100),"NA",IF(((GB166/FZ166-1)*100)&gt;100,"NM",IF(((GB166/FZ166-1)*100)&lt;-50,"NM",(GB166/FZ166-1)*100)))</f>
        <v>10.544323483670315</v>
      </c>
      <c r="GD166" s="73">
        <f>CU166+CW166+CY166+DA166</f>
        <v>399</v>
      </c>
      <c r="GE166" s="61">
        <f>IF(ISERROR((GD166/GB166-1)*100),"NA",IF(((GD166/GB166-1)*100)&gt;100,"NM",IF(((GD166/GB166-1)*100)&lt;-50,"NM",(GD166/GB166-1)*100)))</f>
        <v>12.267867191896453</v>
      </c>
      <c r="GF166" s="73">
        <f>DC166+DE166+DG166+DI166</f>
        <v>395</v>
      </c>
      <c r="GG166" s="61">
        <f t="shared" si="1151"/>
        <v>-1.0025062656641603</v>
      </c>
      <c r="GH166" s="73">
        <f>DK166+DM166+DO166+DQ166</f>
        <v>399</v>
      </c>
      <c r="GI166" s="61">
        <f t="shared" si="1151"/>
        <v>1.0126582278481067</v>
      </c>
      <c r="GJ166" s="73">
        <f>DS166+DU166+DW166+DY166</f>
        <v>415</v>
      </c>
      <c r="GK166" s="61">
        <f t="shared" si="1151"/>
        <v>4.0100250626566414</v>
      </c>
      <c r="GL166" s="73">
        <f>EA166+EC166+EE166+EG166</f>
        <v>416</v>
      </c>
      <c r="GM166" s="61">
        <f t="shared" si="1151"/>
        <v>0.24096385542169418</v>
      </c>
      <c r="GN166" s="73">
        <f>EI166+EK166+EM166+EO166</f>
        <v>430</v>
      </c>
      <c r="GO166" s="61">
        <f t="shared" si="1151"/>
        <v>3.3653846153846256</v>
      </c>
      <c r="GP166" s="73">
        <f>EQ166+ES166+EU166+EW166</f>
        <v>466.75768973128663</v>
      </c>
      <c r="GQ166" s="61">
        <f t="shared" si="1151"/>
        <v>8.5482999375085189</v>
      </c>
      <c r="GR166" s="69">
        <f>+GR171*GR150/100</f>
        <v>480.71278220652391</v>
      </c>
      <c r="GS166" s="61">
        <f t="shared" si="1151"/>
        <v>2.9897938014200154</v>
      </c>
      <c r="GT166" s="69">
        <f>+GT171*GT150/100</f>
        <v>495.14676129995286</v>
      </c>
      <c r="GU166" s="61">
        <f t="shared" si="1151"/>
        <v>3.0026201981098621</v>
      </c>
      <c r="GV166" s="69">
        <f>+GV171*GV150/100</f>
        <v>511.39116455389012</v>
      </c>
      <c r="GW166" s="61">
        <f t="shared" si="1151"/>
        <v>3.2807249332075683</v>
      </c>
      <c r="GX166" s="69">
        <f>+GX171*GX150/100</f>
        <v>529.40357970445802</v>
      </c>
      <c r="GY166" s="61">
        <f t="shared" si="1152"/>
        <v>3.5222382393487406</v>
      </c>
      <c r="GZ166" s="61">
        <f t="shared" si="1111"/>
        <v>4.2470282802360204</v>
      </c>
      <c r="HA166" s="61"/>
      <c r="HB166" s="452"/>
      <c r="HC166"/>
      <c r="HD166"/>
      <c r="HE166"/>
      <c r="HF166"/>
      <c r="HG166"/>
      <c r="HH166"/>
    </row>
    <row r="167" spans="1:216" s="5" customFormat="1" ht="12.75" customHeight="1" x14ac:dyDescent="0.2">
      <c r="B167" s="2" t="s">
        <v>542</v>
      </c>
      <c r="C167" s="72"/>
      <c r="D167" s="70"/>
      <c r="E167" s="72"/>
      <c r="F167" s="71"/>
      <c r="G167" s="74"/>
      <c r="H167" s="71"/>
      <c r="I167" s="74"/>
      <c r="J167" s="61"/>
      <c r="K167" s="74"/>
      <c r="L167" s="61"/>
      <c r="M167" s="72"/>
      <c r="N167" s="61"/>
      <c r="O167" s="74"/>
      <c r="P167" s="61"/>
      <c r="Q167" s="74"/>
      <c r="R167" s="61"/>
      <c r="S167" s="74"/>
      <c r="T167" s="61"/>
      <c r="U167" s="74"/>
      <c r="V167" s="61"/>
      <c r="W167" s="74"/>
      <c r="X167" s="61"/>
      <c r="Y167" s="74"/>
      <c r="Z167" s="61"/>
      <c r="AA167" s="74"/>
      <c r="AB167" s="61"/>
      <c r="AC167" s="74"/>
      <c r="AD167" s="61"/>
      <c r="AE167" s="74"/>
      <c r="AF167" s="61"/>
      <c r="AG167" s="74"/>
      <c r="AH167" s="61"/>
      <c r="AI167" s="74"/>
      <c r="AJ167" s="61"/>
      <c r="AK167" s="74"/>
      <c r="AL167" s="61"/>
      <c r="AM167" s="74"/>
      <c r="AN167" s="61"/>
      <c r="AO167" s="74"/>
      <c r="AP167" s="61"/>
      <c r="AQ167" s="74">
        <v>71.900000000000006</v>
      </c>
      <c r="AR167" s="61" t="str">
        <f>IF(ISERROR((AQ167/AI167-1)*100),"NA",IF(((AQ167/AI167-1)*100)&gt;100,"NM",IF(((AQ167/AI167-1)*100)&lt;-50,"NM",(AQ167/AI167-1)*100)))</f>
        <v>NA</v>
      </c>
      <c r="AS167" s="74">
        <v>71.2</v>
      </c>
      <c r="AT167" s="61" t="str">
        <f>IF(ISERROR((AS167/AK167-1)*100),"NA",IF(((AS167/AK167-1)*100)&gt;100,"NM",IF(((AS167/AK167-1)*100)&lt;-50,"NM",(AS167/AK167-1)*100)))</f>
        <v>NA</v>
      </c>
      <c r="AU167" s="74">
        <v>62.2</v>
      </c>
      <c r="AV167" s="61" t="str">
        <f>IF(ISERROR((AU167/AM167-1)*100),"NA",IF(((AU167/AM167-1)*100)&gt;100,"NM",IF(((AU167/AM167-1)*100)&lt;-50,"NM",(AU167/AM167-1)*100)))</f>
        <v>NA</v>
      </c>
      <c r="AW167" s="74">
        <v>77.2</v>
      </c>
      <c r="AX167" s="61" t="str">
        <f>IF(ISERROR((AW167/AO167-1)*100),"NA",IF(((AW167/AO167-1)*100)&gt;100,"NM",IF(((AW167/AO167-1)*100)&lt;-50,"NM",(AW167/AO167-1)*100)))</f>
        <v>NA</v>
      </c>
      <c r="AY167" s="74">
        <v>73.3</v>
      </c>
      <c r="AZ167" s="61">
        <f>IF(ISERROR((AY167/AQ167-1)*100),"NA",IF(((AY167/AQ167-1)*100)&gt;100,"NM",IF(((AY167/AQ167-1)*100)&lt;-50,"NM",(AY167/AQ167-1)*100)))</f>
        <v>1.9471488178024909</v>
      </c>
      <c r="BA167" s="74">
        <v>69.5</v>
      </c>
      <c r="BB167" s="61">
        <f>IF(ISERROR((BA167/AS167-1)*100),"NA",IF(((BA167/AS167-1)*100)&gt;100,"NM",IF(((BA167/AS167-1)*100)&lt;-50,"NM",(BA167/AS167-1)*100)))</f>
        <v>-2.3876404494382109</v>
      </c>
      <c r="BC167" s="74">
        <v>74.5</v>
      </c>
      <c r="BD167" s="61">
        <f>IF(ISERROR((BC167/AU167-1)*100),"NA",IF(((BC167/AU167-1)*100)&gt;100,"NM",IF(((BC167/AU167-1)*100)&lt;-50,"NM",(BC167/AU167-1)*100)))</f>
        <v>19.774919614147901</v>
      </c>
      <c r="BE167" s="74">
        <v>80.2</v>
      </c>
      <c r="BF167" s="61">
        <f>IF(ISERROR((BE167/AW167-1)*100),"NA",IF(((BE167/AW167-1)*100)&gt;100,"NM",IF(((BE167/AW167-1)*100)&lt;-50,"NM",(BE167/AW167-1)*100)))</f>
        <v>3.8860103626942921</v>
      </c>
      <c r="BG167" s="74">
        <f>71.6</f>
        <v>71.599999999999994</v>
      </c>
      <c r="BH167" s="61">
        <f>IF(ISERROR((BG167/AY167-1)*100),"NA",IF(((BG167/AY167-1)*100)&gt;100,"NM",IF(((BG167/AY167-1)*100)&lt;-50,"NM",(BG167/AY167-1)*100)))</f>
        <v>-2.3192360163710846</v>
      </c>
      <c r="BI167" s="74">
        <v>80.599999999999994</v>
      </c>
      <c r="BJ167" s="61">
        <f>IF(ISERROR((BI167/BA167-1)*100),"NA",IF(((BI167/BA167-1)*100)&gt;100,"NM",IF(((BI167/BA167-1)*100)&lt;-50,"NM",(BI167/BA167-1)*100)))</f>
        <v>15.971223021582738</v>
      </c>
      <c r="BK167" s="74">
        <v>84.7</v>
      </c>
      <c r="BL167" s="61">
        <f>IF(ISERROR((BK167/BC167-1)*100),"NA",IF(((BK167/BC167-1)*100)&gt;100,"NM",IF(((BK167/BC167-1)*100)&lt;-50,"NM",(BK167/BC167-1)*100)))</f>
        <v>13.691275167785232</v>
      </c>
      <c r="BM167" s="74">
        <v>77.3</v>
      </c>
      <c r="BN167" s="61">
        <f>IF(ISERROR((BM167/BE167-1)*100),"NA",IF(((BM167/BE167-1)*100)&gt;100,"NM",IF(((BM167/BE167-1)*100)&lt;-50,"NM",(BM167/BE167-1)*100)))</f>
        <v>-3.6159600997506258</v>
      </c>
      <c r="BO167" s="74">
        <v>76.3</v>
      </c>
      <c r="BP167" s="61">
        <f>IF(ISERROR((BO167/BG167-1)*100),"NA",IF(((BO167/BG167-1)*100)&gt;100,"NM",IF(((BO167/BG167-1)*100)&lt;-50,"NM",(BO167/BG167-1)*100)))</f>
        <v>6.5642458100558798</v>
      </c>
      <c r="BQ167" s="74">
        <v>75.400000000000006</v>
      </c>
      <c r="BR167" s="61">
        <f>IF(ISERROR((BQ167/BI167-1)*100),"NA",IF(((BQ167/BI167-1)*100)&gt;100,"NM",IF(((BQ167/BI167-1)*100)&lt;-50,"NM",(BQ167/BI167-1)*100)))</f>
        <v>-6.4516129032257901</v>
      </c>
      <c r="BS167" s="74">
        <f>76.9+0.2</f>
        <v>77.100000000000009</v>
      </c>
      <c r="BT167" s="61">
        <f>IF(ISERROR((BS167/BK167-1)*100),"NA",IF(((BS167/BK167-1)*100)&gt;100,"NM",IF(((BS167/BK167-1)*100)&lt;-50,"NM",(BS167/BK167-1)*100)))</f>
        <v>-8.9728453364816936</v>
      </c>
      <c r="BU167" s="74">
        <f>112.8+9.2</f>
        <v>122</v>
      </c>
      <c r="BV167" s="61">
        <f>IF(ISERROR((BU167/BM167-1)*100),"NA",IF(((BU167/BM167-1)*100)&gt;100,"NM",IF(((BU167/BM167-1)*100)&lt;-50,"NM",(BU167/BM167-1)*100)))</f>
        <v>57.826649417852536</v>
      </c>
      <c r="BW167" s="74">
        <f>72.4-1.8</f>
        <v>70.600000000000009</v>
      </c>
      <c r="BX167" s="61">
        <f>IF(ISERROR((BW167/BO167-1)*100),"NA",IF(((BW167/BO167-1)*100)&gt;100,"NM",IF(((BW167/BO167-1)*100)&lt;-50,"NM",(BW167/BO167-1)*100)))</f>
        <v>-7.4705111402358915</v>
      </c>
      <c r="BY167" s="74">
        <f>73.9-0.7</f>
        <v>73.2</v>
      </c>
      <c r="BZ167" s="61">
        <f>IF(ISERROR((BY167/BQ167-1)*100),"NA",IF(((BY167/BQ167-1)*100)&gt;100,"NM",IF(((BY167/BQ167-1)*100)&lt;-50,"NM",(BY167/BQ167-1)*100)))</f>
        <v>-2.9177718832891331</v>
      </c>
      <c r="CA167" s="74">
        <f>-0.3+70.6</f>
        <v>70.3</v>
      </c>
      <c r="CB167" s="61">
        <f>IF(ISERROR((CA167/BS167-1)*100),"NA",IF(((CA167/BS167-1)*100)&gt;100,"NM",IF(((CA167/BS167-1)*100)&lt;-50,"NM",(CA167/BS167-1)*100)))</f>
        <v>-8.8197146562905449</v>
      </c>
      <c r="CC167" s="74">
        <f>-0.2+83.4</f>
        <v>83.2</v>
      </c>
      <c r="CD167" s="61">
        <f>IF(ISERROR((CC167/BU167-1)*100),"NA",IF(((CC167/BU167-1)*100)&gt;100,"NM",IF(((CC167/BU167-1)*100)&lt;-50,"NM",(CC167/BU167-1)*100)))</f>
        <v>-31.803278688524582</v>
      </c>
      <c r="CE167" s="74">
        <f>77.9+2</f>
        <v>79.900000000000006</v>
      </c>
      <c r="CF167" s="61">
        <f>IF(ISERROR((CE167/BW167-1)*100),"NA",IF(((CE167/BW167-1)*100)&gt;100,"NM",IF(((CE167/BW167-1)*100)&lt;-50,"NM",(CE167/BW167-1)*100)))</f>
        <v>13.172804532577898</v>
      </c>
      <c r="CG167" s="74">
        <v>85.2</v>
      </c>
      <c r="CH167" s="61">
        <f>IF(ISERROR((CG167/BY167-1)*100),"NA",IF(((CG167/BY167-1)*100)&gt;100,"NM",IF(((CG167/BY167-1)*100)&lt;-50,"NM",(CG167/BY167-1)*100)))</f>
        <v>16.393442622950815</v>
      </c>
      <c r="CI167" s="74">
        <v>65.5</v>
      </c>
      <c r="CJ167" s="61">
        <f>IF(ISERROR((CI167/CA167-1)*100),"NA",IF(((CI167/CA167-1)*100)&gt;100,"NM",IF(((CI167/CA167-1)*100)&lt;-50,"NM",(CI167/CA167-1)*100)))</f>
        <v>-6.8278805120910331</v>
      </c>
      <c r="CK167" s="74">
        <v>102.9</v>
      </c>
      <c r="CL167" s="61">
        <f>IF(ISERROR((CK167/CC167-1)*100),"NA",IF(((CK167/CC167-1)*100)&gt;100,"NM",IF(((CK167/CC167-1)*100)&lt;-50,"NM",(CK167/CC167-1)*100)))</f>
        <v>23.677884615384627</v>
      </c>
      <c r="CM167" s="74">
        <v>86</v>
      </c>
      <c r="CN167" s="61">
        <f>IF(ISERROR((CM167/CE167-1)*100),"NA",IF(((CM167/CE167-1)*100)&gt;100,"NM",IF(((CM167/CE167-1)*100)&lt;-50,"NM",(CM167/CE167-1)*100)))</f>
        <v>7.6345431789737184</v>
      </c>
      <c r="CO167" s="74">
        <v>92.9</v>
      </c>
      <c r="CP167" s="61">
        <f>IF(ISERROR((CO167/CG167-1)*100),"NA",IF(((CO167/CG167-1)*100)&gt;100,"NM",IF(((CO167/CG167-1)*100)&lt;-50,"NM",(CO167/CG167-1)*100)))</f>
        <v>9.0375586854460224</v>
      </c>
      <c r="CQ167" s="74">
        <f>1.6+83.2</f>
        <v>84.8</v>
      </c>
      <c r="CR167" s="61">
        <f>IF(ISERROR((CQ167/CI167-1)*100),"NA",IF(((CQ167/CI167-1)*100)&gt;100,"NM",IF(((CQ167/CI167-1)*100)&lt;-50,"NM",(CQ167/CI167-1)*100)))</f>
        <v>29.465648854961835</v>
      </c>
      <c r="CS167" s="74">
        <f>201-CS164</f>
        <v>89</v>
      </c>
      <c r="CT167" s="61">
        <f>IF(ISERROR((CS167/CK167-1)*100),"NA",IF(((CS167/CK167-1)*100)&gt;100,"NM",IF(((CS167/CK167-1)*100)&lt;-50,"NM",(CS167/CK167-1)*100)))</f>
        <v>-13.508260447035958</v>
      </c>
      <c r="CU167" s="74">
        <f>205-CU164</f>
        <v>94</v>
      </c>
      <c r="CV167" s="61">
        <f>IF(ISERROR((CU167/CM167-1)*100),"NA",IF(((CU167/CM167-1)*100)&gt;100,"NM",IF(((CU167/CM167-1)*100)&lt;-50,"NM",(CU167/CM167-1)*100)))</f>
        <v>9.302325581395344</v>
      </c>
      <c r="CW167" s="74">
        <f>208-CW164</f>
        <v>96</v>
      </c>
      <c r="CX167" s="61">
        <f>IF(ISERROR((CW167/CO167-1)*100),"NA",IF(((CW167/CO167-1)*100)&gt;100,"NM",IF(((CW167/CO167-1)*100)&lt;-50,"NM",(CW167/CO167-1)*100)))</f>
        <v>3.3369214208826659</v>
      </c>
      <c r="CY167" s="74">
        <f>216-CY164</f>
        <v>102</v>
      </c>
      <c r="CZ167" s="61">
        <f>IF(ISERROR((CY167/CQ167-1)*100),"NA",IF(((CY167/CQ167-1)*100)&gt;100,"NM",IF(((CY167/CQ167-1)*100)&lt;-50,"NM",(CY167/CQ167-1)*100)))</f>
        <v>20.28301886792454</v>
      </c>
      <c r="DA167" s="74">
        <f>227-DA164</f>
        <v>112</v>
      </c>
      <c r="DB167" s="61">
        <f>IF(ISERROR((DA167/CS167-1)*100),"NA",IF(((DA167/CS167-1)*100)&gt;100,"NM",IF(((DA167/CS167-1)*100)&lt;-50,"NM",(DA167/CS167-1)*100)))</f>
        <v>25.842696629213478</v>
      </c>
      <c r="DC167" s="74">
        <f>212-DC164</f>
        <v>95</v>
      </c>
      <c r="DD167" s="61">
        <f>IF(ISERROR((DC167/CU167-1)*100),"NA",IF(((DC167/CU167-1)*100)&gt;100,"NM",IF(((DC167/CU167-1)*100)&lt;-50,"NM",(DC167/CU167-1)*100)))</f>
        <v>1.0638297872340496</v>
      </c>
      <c r="DE167" s="74">
        <f>217-DE164</f>
        <v>100</v>
      </c>
      <c r="DF167" s="61">
        <f>IF(ISERROR((DE167/CW167-1)*100),"NA",IF(((DE167/CW167-1)*100)&gt;100,"NM",IF(((DE167/CW167-1)*100)&lt;-50,"NM",(DE167/CW167-1)*100)))</f>
        <v>4.1666666666666741</v>
      </c>
      <c r="DG167" s="74">
        <f>225-DG164</f>
        <v>107</v>
      </c>
      <c r="DH167" s="61">
        <f>IF(ISERROR((DG167/CY167-1)*100),"NA",IF(((DG167/CY167-1)*100)&gt;100,"NM",IF(((DG167/CY167-1)*100)&lt;-50,"NM",(DG167/CY167-1)*100)))</f>
        <v>4.9019607843137303</v>
      </c>
      <c r="DI167" s="74">
        <f>227-DI164</f>
        <v>109</v>
      </c>
      <c r="DJ167" s="61">
        <f>IF(ISERROR((DI167/DA167-1)*100),"NA",IF(((DI167/DA167-1)*100)&gt;100,"NM",IF(((DI167/DA167-1)*100)&lt;-50,"NM",(DI167/DA167-1)*100)))</f>
        <v>-2.6785714285714302</v>
      </c>
      <c r="DK167" s="74">
        <f>218-DK164</f>
        <v>100</v>
      </c>
      <c r="DL167" s="61">
        <f>IF(ISERROR((DK167/DC167-1)*100),"NA",IF(((DK167/DC167-1)*100)&gt;100,"NM",IF(((DK167/DC167-1)*100)&lt;-50,"NM",(DK167/DC167-1)*100)))</f>
        <v>5.2631578947368363</v>
      </c>
      <c r="DM167" s="74">
        <f>216-DM164</f>
        <v>98</v>
      </c>
      <c r="DN167" s="130">
        <f t="shared" si="1131"/>
        <v>-2.0000000000000018</v>
      </c>
      <c r="DO167" s="74">
        <f>217-DO164</f>
        <v>99</v>
      </c>
      <c r="DP167" s="130">
        <f t="shared" si="1131"/>
        <v>-7.4766355140186924</v>
      </c>
      <c r="DQ167" s="74">
        <f>228-DQ164</f>
        <v>109</v>
      </c>
      <c r="DR167" s="130">
        <f t="shared" si="1131"/>
        <v>0</v>
      </c>
      <c r="DS167" s="74">
        <f>225-DS164</f>
        <v>102</v>
      </c>
      <c r="DT167" s="130">
        <f t="shared" si="1131"/>
        <v>2.0000000000000018</v>
      </c>
      <c r="DU167" s="74">
        <f>231-DU164</f>
        <v>108</v>
      </c>
      <c r="DV167" s="130">
        <f t="shared" si="1131"/>
        <v>10.20408163265305</v>
      </c>
      <c r="DW167" s="74">
        <f>225-DW164</f>
        <v>101</v>
      </c>
      <c r="DX167" s="74">
        <f t="shared" ref="DX167" si="1165">225-DX164</f>
        <v>101</v>
      </c>
      <c r="DY167" s="74">
        <f>231-DY164</f>
        <v>105</v>
      </c>
      <c r="DZ167" s="130">
        <f t="shared" si="1131"/>
        <v>-3.669724770642202</v>
      </c>
      <c r="EA167" s="74">
        <f>226-EA164</f>
        <v>101</v>
      </c>
      <c r="EB167" s="130">
        <f t="shared" si="1134"/>
        <v>-0.98039215686274161</v>
      </c>
      <c r="EC167" s="74">
        <f>229-EC164</f>
        <v>102</v>
      </c>
      <c r="ED167" s="130">
        <f t="shared" si="1135"/>
        <v>-5.555555555555558</v>
      </c>
      <c r="EE167" s="74">
        <f>237-EE164</f>
        <v>109</v>
      </c>
      <c r="EF167" s="130">
        <f t="shared" si="1137"/>
        <v>7.9207920792079278</v>
      </c>
      <c r="EG167" s="74">
        <f>238-EG164</f>
        <v>104</v>
      </c>
      <c r="EH167" s="130">
        <f t="shared" si="1138"/>
        <v>-0.952380952380949</v>
      </c>
      <c r="EI167" s="74">
        <f>234-EI164</f>
        <v>102</v>
      </c>
      <c r="EJ167" s="130">
        <f t="shared" si="1140"/>
        <v>0.99009900990099098</v>
      </c>
      <c r="EK167" s="74">
        <f>240-EK164</f>
        <v>106</v>
      </c>
      <c r="EL167" s="130">
        <f t="shared" si="1141"/>
        <v>3.9215686274509887</v>
      </c>
      <c r="EM167" s="74">
        <f>243-EM164</f>
        <v>107</v>
      </c>
      <c r="EN167" s="130">
        <f t="shared" si="1143"/>
        <v>-1.834862385321101</v>
      </c>
      <c r="EO167" s="74">
        <f>245-EO164</f>
        <v>109</v>
      </c>
      <c r="EP167" s="130">
        <f t="shared" si="1145"/>
        <v>4.8076923076923128</v>
      </c>
      <c r="EQ167" s="91">
        <f t="shared" ref="EQ167:EW167" si="1166">EQ166+EQ165</f>
        <v>116.00061349847795</v>
      </c>
      <c r="ER167" s="130">
        <f t="shared" si="1147"/>
        <v>13.726091665174467</v>
      </c>
      <c r="ES167" s="91">
        <f t="shared" si="1166"/>
        <v>115.84792960635215</v>
      </c>
      <c r="ET167" s="130">
        <f t="shared" si="1148"/>
        <v>9.2904996286341088</v>
      </c>
      <c r="EU167" s="91">
        <f t="shared" si="1166"/>
        <v>117.04320944247867</v>
      </c>
      <c r="EV167" s="130">
        <f t="shared" si="1149"/>
        <v>9.3861770490454965</v>
      </c>
      <c r="EW167" s="91">
        <f t="shared" si="1166"/>
        <v>117.86593718397783</v>
      </c>
      <c r="EX167" s="130">
        <f t="shared" si="1150"/>
        <v>8.1338873247503116</v>
      </c>
      <c r="EY167" s="64"/>
      <c r="EZ167" s="558"/>
      <c r="FA167" s="64"/>
      <c r="FB167" s="72"/>
      <c r="FC167" s="71"/>
      <c r="FD167" s="72"/>
      <c r="FE167" s="70"/>
      <c r="FF167" s="69"/>
      <c r="FG167" s="70"/>
      <c r="FH167" s="72"/>
      <c r="FI167" s="70"/>
      <c r="FJ167" s="69"/>
      <c r="FK167" s="70"/>
      <c r="FL167" s="69"/>
      <c r="FM167" s="61"/>
      <c r="FN167" s="778">
        <v>275</v>
      </c>
      <c r="FO167" s="61"/>
      <c r="FP167" s="75">
        <f>AQ167+AS167+AU167+AW167</f>
        <v>282.5</v>
      </c>
      <c r="FQ167" s="61">
        <f>IF(ISERROR((FP167/FN167-1)*100),"NA",IF(((FP167/FN167-1)*100)&gt;100,"NM",IF(((FP167/FN167-1)*100)&lt;-50,"NM",(FP167/FN167-1)*100)))</f>
        <v>2.7272727272727337</v>
      </c>
      <c r="FR167" s="75">
        <f>AY167+BA167+BC167+BE167</f>
        <v>297.5</v>
      </c>
      <c r="FS167" s="61">
        <f>IF(ISERROR((FR167/FP167-1)*100),"NA",IF(((FR167/FP167-1)*100)&gt;100,"NM",IF(((FR167/FP167-1)*100)&lt;-50,"NM",(FR167/FP167-1)*100)))</f>
        <v>5.3097345132743445</v>
      </c>
      <c r="FT167" s="75">
        <f>BG167+BI167+BK167+BM167</f>
        <v>314.2</v>
      </c>
      <c r="FU167" s="61">
        <f>IF(ISERROR((FT167/FR167-1)*100),"NA",IF(((FT167/FR167-1)*100)&gt;100,"NM",IF(((FT167/FR167-1)*100)&lt;-50,"NM",(FT167/FR167-1)*100)))</f>
        <v>5.6134453781512494</v>
      </c>
      <c r="FV167" s="75">
        <f>BO167+BQ167+BS167+BU167</f>
        <v>350.8</v>
      </c>
      <c r="FW167" s="61">
        <f>IF(ISERROR((FV167/FT167-1)*100),"NA",IF(((FV167/FT167-1)*100)&gt;100,"NM",IF(((FV167/FT167-1)*100)&lt;-50,"NM",(FV167/FT167-1)*100)))</f>
        <v>11.648631444939529</v>
      </c>
      <c r="FX167" s="73">
        <f>BW167+BY167+CA167+CC167</f>
        <v>297.3</v>
      </c>
      <c r="FY167" s="61">
        <f>IF(ISERROR((FX167/FV167-1)*100),"NA",IF(((FX167/FV167-1)*100)&gt;100,"NM",IF(((FX167/FV167-1)*100)&lt;-50,"NM",(FX167/FV167-1)*100)))</f>
        <v>-15.250855188141388</v>
      </c>
      <c r="FZ167" s="73">
        <f>CE167+CG167+CI167+CK167</f>
        <v>333.5</v>
      </c>
      <c r="GA167" s="61">
        <f>IF(ISERROR((FZ167/FX167-1)*100),"NA",IF(((FZ167/FX167-1)*100)&gt;100,"NM",IF(((FZ167/FX167-1)*100)&lt;-50,"NM",(FZ167/FX167-1)*100)))</f>
        <v>12.176252943155053</v>
      </c>
      <c r="GB167" s="73">
        <f>CM167+CO167+CQ167+CS167</f>
        <v>352.7</v>
      </c>
      <c r="GC167" s="61">
        <f>IF(ISERROR((GB167/FZ167-1)*100),"NA",IF(((GB167/FZ167-1)*100)&gt;100,"NM",IF(((GB167/FZ167-1)*100)&lt;-50,"NM",(GB167/FZ167-1)*100)))</f>
        <v>5.7571214392803549</v>
      </c>
      <c r="GD167" s="73">
        <f>CU167+CW167+CY167+DA167</f>
        <v>404</v>
      </c>
      <c r="GE167" s="61">
        <f>IF(ISERROR((GD167/GB167-1)*100),"NA",IF(((GD167/GB167-1)*100)&gt;100,"NM",IF(((GD167/GB167-1)*100)&lt;-50,"NM",(GD167/GB167-1)*100)))</f>
        <v>14.544939041678484</v>
      </c>
      <c r="GF167" s="73">
        <f>DC167+DE167+DG167+DI167</f>
        <v>411</v>
      </c>
      <c r="GG167" s="61">
        <f t="shared" si="1151"/>
        <v>1.7326732673267342</v>
      </c>
      <c r="GH167" s="73">
        <f>DK167+DM167+DO167+DQ167</f>
        <v>406</v>
      </c>
      <c r="GI167" s="61">
        <f t="shared" si="1151"/>
        <v>-1.2165450121654486</v>
      </c>
      <c r="GJ167" s="73">
        <f>DS167+DU167+DW167+DY167</f>
        <v>416</v>
      </c>
      <c r="GK167" s="61">
        <f t="shared" si="1151"/>
        <v>2.4630541871921263</v>
      </c>
      <c r="GL167" s="73">
        <f>EA167+EC167+EE167+EG167</f>
        <v>416</v>
      </c>
      <c r="GM167" s="61">
        <f t="shared" si="1151"/>
        <v>0</v>
      </c>
      <c r="GN167" s="73">
        <f>EI167+EK167+EM167+EO167</f>
        <v>424</v>
      </c>
      <c r="GO167" s="61">
        <f t="shared" si="1151"/>
        <v>1.9230769230769162</v>
      </c>
      <c r="GP167" s="73">
        <f>EQ167+ES167+EU167+EW167</f>
        <v>466.75768973128663</v>
      </c>
      <c r="GQ167" s="61">
        <f t="shared" si="1151"/>
        <v>10.084360785680801</v>
      </c>
      <c r="GR167" s="91">
        <f>GR166+GR165</f>
        <v>480.71278220652391</v>
      </c>
      <c r="GS167" s="61">
        <f t="shared" si="1151"/>
        <v>2.9897938014200154</v>
      </c>
      <c r="GT167" s="91">
        <f>GT166+GT165</f>
        <v>495.14676129995286</v>
      </c>
      <c r="GU167" s="61">
        <f t="shared" si="1151"/>
        <v>3.0026201981098621</v>
      </c>
      <c r="GV167" s="91">
        <f>GV166+GV165</f>
        <v>511.39116455389012</v>
      </c>
      <c r="GW167" s="61">
        <f t="shared" si="1151"/>
        <v>3.2807249332075683</v>
      </c>
      <c r="GX167" s="91">
        <f>GX166+GX165</f>
        <v>529.40357970445802</v>
      </c>
      <c r="GY167" s="61">
        <f t="shared" si="1152"/>
        <v>3.5222382393487406</v>
      </c>
      <c r="GZ167" s="61">
        <f t="shared" si="1111"/>
        <v>4.5404110493491467</v>
      </c>
      <c r="HA167" s="61"/>
      <c r="HB167" s="452"/>
      <c r="HC167"/>
      <c r="HD167"/>
      <c r="HE167"/>
      <c r="HF167"/>
      <c r="HG167"/>
      <c r="HH167"/>
    </row>
    <row r="168" spans="1:216" s="5" customFormat="1" ht="12.75" customHeight="1" x14ac:dyDescent="0.2">
      <c r="B168" s="63" t="s">
        <v>524</v>
      </c>
      <c r="C168" s="125"/>
      <c r="D168" s="99"/>
      <c r="E168" s="125"/>
      <c r="F168" s="100"/>
      <c r="G168" s="125"/>
      <c r="H168" s="100"/>
      <c r="I168" s="125"/>
      <c r="J168" s="101"/>
      <c r="K168" s="125"/>
      <c r="L168" s="61"/>
      <c r="M168" s="125"/>
      <c r="N168" s="61"/>
      <c r="O168" s="125"/>
      <c r="P168" s="61"/>
      <c r="Q168" s="125"/>
      <c r="R168" s="61"/>
      <c r="S168" s="125"/>
      <c r="T168" s="61"/>
      <c r="U168" s="125"/>
      <c r="V168" s="61"/>
      <c r="W168" s="125"/>
      <c r="X168" s="61"/>
      <c r="Y168" s="125"/>
      <c r="Z168" s="61"/>
      <c r="AA168" s="125"/>
      <c r="AB168" s="61"/>
      <c r="AC168" s="125"/>
      <c r="AD168" s="61"/>
      <c r="AE168" s="125"/>
      <c r="AF168" s="61"/>
      <c r="AG168" s="125"/>
      <c r="AH168" s="61"/>
      <c r="AI168" s="125"/>
      <c r="AJ168" s="61"/>
      <c r="AK168" s="125"/>
      <c r="AL168" s="61"/>
      <c r="AM168" s="125"/>
      <c r="AN168" s="61"/>
      <c r="AO168" s="125"/>
      <c r="AP168" s="61"/>
      <c r="AQ168" s="102">
        <f>AQ167+AQ164</f>
        <v>171.5</v>
      </c>
      <c r="AR168" s="61" t="str">
        <f>IF(ISERROR((AQ168/AI168-1)*100),"NA",IF(((AQ168/AI168-1)*100)&gt;100,"NM",IF(((AQ168/AI168-1)*100)&lt;-50,"NM",(AQ168/AI168-1)*100)))</f>
        <v>NA</v>
      </c>
      <c r="AS168" s="102">
        <f>AS167+AS164</f>
        <v>171.60000000000002</v>
      </c>
      <c r="AT168" s="61" t="str">
        <f>IF(ISERROR((AS168/AK168-1)*100),"NA",IF(((AS168/AK168-1)*100)&gt;100,"NM",IF(((AS168/AK168-1)*100)&lt;-50,"NM",(AS168/AK168-1)*100)))</f>
        <v>NA</v>
      </c>
      <c r="AU168" s="102">
        <f>AU167+AU164</f>
        <v>162.9</v>
      </c>
      <c r="AV168" s="61" t="str">
        <f>IF(ISERROR((AU168/AM168-1)*100),"NA",IF(((AU168/AM168-1)*100)&gt;100,"NM",IF(((AU168/AM168-1)*100)&lt;-50,"NM",(AU168/AM168-1)*100)))</f>
        <v>NA</v>
      </c>
      <c r="AW168" s="102">
        <f>AW167+AW164</f>
        <v>178.3</v>
      </c>
      <c r="AX168" s="61" t="str">
        <f>IF(ISERROR((AW168/AO168-1)*100),"NA",IF(((AW168/AO168-1)*100)&gt;100,"NM",IF(((AW168/AO168-1)*100)&lt;-50,"NM",(AW168/AO168-1)*100)))</f>
        <v>NA</v>
      </c>
      <c r="AY168" s="102">
        <f>AY167+AY164</f>
        <v>174</v>
      </c>
      <c r="AZ168" s="61">
        <f>IF(ISERROR((AY168/AQ168-1)*100),"NA",IF(((AY168/AQ168-1)*100)&gt;100,"NM",IF(((AY168/AQ168-1)*100)&lt;-50,"NM",(AY168/AQ168-1)*100)))</f>
        <v>1.4577259475218707</v>
      </c>
      <c r="BA168" s="102">
        <f>BA167+BA164</f>
        <v>171.9</v>
      </c>
      <c r="BB168" s="61">
        <f>IF(ISERROR((BA168/AS168-1)*100),"NA",IF(((BA168/AS168-1)*100)&gt;100,"NM",IF(((BA168/AS168-1)*100)&lt;-50,"NM",(BA168/AS168-1)*100)))</f>
        <v>0.17482517482516613</v>
      </c>
      <c r="BC168" s="102">
        <f>BC167+BC164</f>
        <v>177.6</v>
      </c>
      <c r="BD168" s="61">
        <f>IF(ISERROR((BC168/AU168-1)*100),"NA",IF(((BC168/AU168-1)*100)&gt;100,"NM",IF(((BC168/AU168-1)*100)&lt;-50,"NM",(BC168/AU168-1)*100)))</f>
        <v>9.0239410681399512</v>
      </c>
      <c r="BE168" s="102">
        <f>BE167+BE164</f>
        <v>184.60000000000002</v>
      </c>
      <c r="BF168" s="61">
        <f>IF(ISERROR((BE168/AW168-1)*100),"NA",IF(((BE168/AW168-1)*100)&gt;100,"NM",IF(((BE168/AW168-1)*100)&lt;-50,"NM",(BE168/AW168-1)*100)))</f>
        <v>3.5333707234997291</v>
      </c>
      <c r="BG168" s="102">
        <f>BG167+BG164</f>
        <v>175.89999999999998</v>
      </c>
      <c r="BH168" s="61">
        <f>IF(ISERROR((BG168/AY168-1)*100),"NA",IF(((BG168/AY168-1)*100)&gt;100,"NM",IF(((BG168/AY168-1)*100)&lt;-50,"NM",(BG168/AY168-1)*100)))</f>
        <v>1.091954022988495</v>
      </c>
      <c r="BI168" s="102">
        <f>BI167+BI164</f>
        <v>185.2</v>
      </c>
      <c r="BJ168" s="61">
        <f>IF(ISERROR((BI168/BA168-1)*100),"NA",IF(((BI168/BA168-1)*100)&gt;100,"NM",IF(((BI168/BA168-1)*100)&lt;-50,"NM",(BI168/BA168-1)*100)))</f>
        <v>7.7370564281558973</v>
      </c>
      <c r="BK168" s="102">
        <f>BK167+BK164</f>
        <v>189.3</v>
      </c>
      <c r="BL168" s="61">
        <f>IF(ISERROR((BK168/BC168-1)*100),"NA",IF(((BK168/BC168-1)*100)&gt;100,"NM",IF(((BK168/BC168-1)*100)&lt;-50,"NM",(BK168/BC168-1)*100)))</f>
        <v>6.587837837837851</v>
      </c>
      <c r="BM168" s="102">
        <f>BM167+BM164</f>
        <v>182.1</v>
      </c>
      <c r="BN168" s="61">
        <f>IF(ISERROR((BM168/BE168-1)*100),"NA",IF(((BM168/BE168-1)*100)&gt;100,"NM",IF(((BM168/BE168-1)*100)&lt;-50,"NM",(BM168/BE168-1)*100)))</f>
        <v>-1.3542795232936222</v>
      </c>
      <c r="BO168" s="102">
        <f>BO167+BO164</f>
        <v>182.2</v>
      </c>
      <c r="BP168" s="61">
        <f>IF(ISERROR((BO168/BG168-1)*100),"NA",IF(((BO168/BG168-1)*100)&gt;100,"NM",IF(((BO168/BG168-1)*100)&lt;-50,"NM",(BO168/BG168-1)*100)))</f>
        <v>3.5815804434337739</v>
      </c>
      <c r="BQ168" s="102">
        <f>BQ167+BQ164</f>
        <v>182.4</v>
      </c>
      <c r="BR168" s="61">
        <f>IF(ISERROR((BQ168/BI168-1)*100),"NA",IF(((BQ168/BI168-1)*100)&gt;100,"NM",IF(((BQ168/BI168-1)*100)&lt;-50,"NM",(BQ168/BI168-1)*100)))</f>
        <v>-1.5118790496760126</v>
      </c>
      <c r="BS168" s="102">
        <f>BS167+BS164</f>
        <v>183.9</v>
      </c>
      <c r="BT168" s="61">
        <f>IF(ISERROR((BS168/BK168-1)*100),"NA",IF(((BS168/BK168-1)*100)&gt;100,"NM",IF(((BS168/BK168-1)*100)&lt;-50,"NM",(BS168/BK168-1)*100)))</f>
        <v>-2.8526148969889142</v>
      </c>
      <c r="BU168" s="102">
        <f>BU167+BU164</f>
        <v>231.8</v>
      </c>
      <c r="BV168" s="61">
        <f>IF(ISERROR((BU168/BM168-1)*100),"NA",IF(((BU168/BM168-1)*100)&gt;100,"NM",IF(((BU168/BM168-1)*100)&lt;-50,"NM",(BU168/BM168-1)*100)))</f>
        <v>27.292696320702923</v>
      </c>
      <c r="BW168" s="102">
        <f>BW167+BW164</f>
        <v>182.10000000000002</v>
      </c>
      <c r="BX168" s="61">
        <f>IF(ISERROR((BW168/BO168-1)*100),"NA",IF(((BW168/BO168-1)*100)&gt;100,"NM",IF(((BW168/BO168-1)*100)&lt;-50,"NM",(BW168/BO168-1)*100)))</f>
        <v>-5.4884742041694246E-2</v>
      </c>
      <c r="BY168" s="102">
        <f>BY167+BY164</f>
        <v>185.2</v>
      </c>
      <c r="BZ168" s="61">
        <f>IF(ISERROR((BY168/BQ168-1)*100),"NA",IF(((BY168/BQ168-1)*100)&gt;100,"NM",IF(((BY168/BQ168-1)*100)&lt;-50,"NM",(BY168/BQ168-1)*100)))</f>
        <v>1.5350877192982448</v>
      </c>
      <c r="CA168" s="102">
        <f>CA167+CA164</f>
        <v>181.2</v>
      </c>
      <c r="CB168" s="61">
        <f>IF(ISERROR((CA168/BS168-1)*100),"NA",IF(((CA168/BS168-1)*100)&gt;100,"NM",IF(((CA168/BS168-1)*100)&lt;-50,"NM",(CA168/BS168-1)*100)))</f>
        <v>-1.4681892332789603</v>
      </c>
      <c r="CC168" s="102">
        <f>CC167+CC164</f>
        <v>194.3</v>
      </c>
      <c r="CD168" s="61">
        <f>IF(ISERROR((CC168/BU168-1)*100),"NA",IF(((CC168/BU168-1)*100)&gt;100,"NM",IF(((CC168/BU168-1)*100)&lt;-50,"NM",(CC168/BU168-1)*100)))</f>
        <v>-16.177739430543568</v>
      </c>
      <c r="CE168" s="102">
        <f>CE167+CE164</f>
        <v>190.3</v>
      </c>
      <c r="CF168" s="61">
        <f>IF(ISERROR((CE168/BW168-1)*100),"NA",IF(((CE168/BW168-1)*100)&gt;100,"NM",IF(((CE168/BW168-1)*100)&lt;-50,"NM",(CE168/BW168-1)*100)))</f>
        <v>4.5030203185063122</v>
      </c>
      <c r="CG168" s="102">
        <f>CG167+CG164</f>
        <v>195.2</v>
      </c>
      <c r="CH168" s="61">
        <f>IF(ISERROR((CG168/BY168-1)*100),"NA",IF(((CG168/BY168-1)*100)&gt;100,"NM",IF(((CG168/BY168-1)*100)&lt;-50,"NM",(CG168/BY168-1)*100)))</f>
        <v>5.3995680345572339</v>
      </c>
      <c r="CI168" s="102">
        <f>CI167+CI164</f>
        <v>175.7</v>
      </c>
      <c r="CJ168" s="61">
        <f>IF(ISERROR((CI168/CA168-1)*100),"NA",IF(((CI168/CA168-1)*100)&gt;100,"NM",IF(((CI168/CA168-1)*100)&lt;-50,"NM",(CI168/CA168-1)*100)))</f>
        <v>-3.0353200883002196</v>
      </c>
      <c r="CK168" s="102">
        <f>CK167+CK164</f>
        <v>212.3</v>
      </c>
      <c r="CL168" s="61">
        <f>IF(ISERROR((CK168/CC168-1)*100),"NA",IF(((CK168/CC168-1)*100)&gt;100,"NM",IF(((CK168/CC168-1)*100)&lt;-50,"NM",(CK168/CC168-1)*100)))</f>
        <v>9.2640247040658874</v>
      </c>
      <c r="CM168" s="102">
        <f>CM167+CM164</f>
        <v>194</v>
      </c>
      <c r="CN168" s="61">
        <f>IF(ISERROR((CM168/CE168-1)*100),"NA",IF(((CM168/CE168-1)*100)&gt;100,"NM",IF(((CM168/CE168-1)*100)&lt;-50,"NM",(CM168/CE168-1)*100)))</f>
        <v>1.944298476090367</v>
      </c>
      <c r="CO168" s="102">
        <f>CO167+CO164</f>
        <v>201.5</v>
      </c>
      <c r="CP168" s="61">
        <f>IF(ISERROR((CO168/CG168-1)*100),"NA",IF(((CO168/CG168-1)*100)&gt;100,"NM",IF(((CO168/CG168-1)*100)&lt;-50,"NM",(CO168/CG168-1)*100)))</f>
        <v>3.2274590163934525</v>
      </c>
      <c r="CQ168" s="102">
        <f>CQ167+CQ164</f>
        <v>194.3</v>
      </c>
      <c r="CR168" s="61">
        <f>IF(ISERROR((CQ168/CI168-1)*100),"NA",IF(((CQ168/CI168-1)*100)&gt;100,"NM",IF(((CQ168/CI168-1)*100)&lt;-50,"NM",(CQ168/CI168-1)*100)))</f>
        <v>10.586226522481512</v>
      </c>
      <c r="CS168" s="102">
        <f>CS167+CS164</f>
        <v>201</v>
      </c>
      <c r="CT168" s="61">
        <f>IF(ISERROR((CS168/CK168-1)*100),"NA",IF(((CS168/CK168-1)*100)&gt;100,"NM",IF(((CS168/CK168-1)*100)&lt;-50,"NM",(CS168/CK168-1)*100)))</f>
        <v>-5.3226566179934149</v>
      </c>
      <c r="CU168" s="102">
        <f>CU167+CU164</f>
        <v>205</v>
      </c>
      <c r="CV168" s="61">
        <f>IF(ISERROR((CU168/CM168-1)*100),"NA",IF(((CU168/CM168-1)*100)&gt;100,"NM",IF(((CU168/CM168-1)*100)&lt;-50,"NM",(CU168/CM168-1)*100)))</f>
        <v>5.6701030927835072</v>
      </c>
      <c r="CW168" s="102">
        <f>CW167+CW164</f>
        <v>208</v>
      </c>
      <c r="CX168" s="61">
        <f>IF(ISERROR((CW168/CO168-1)*100),"NA",IF(((CW168/CO168-1)*100)&gt;100,"NM",IF(((CW168/CO168-1)*100)&lt;-50,"NM",(CW168/CO168-1)*100)))</f>
        <v>3.2258064516129004</v>
      </c>
      <c r="CY168" s="102">
        <f>CY167+CY164</f>
        <v>216</v>
      </c>
      <c r="CZ168" s="61">
        <f>IF(ISERROR((CY168/CQ168-1)*100),"NA",IF(((CY168/CQ168-1)*100)&gt;100,"NM",IF(((CY168/CQ168-1)*100)&lt;-50,"NM",(CY168/CQ168-1)*100)))</f>
        <v>11.168296448790516</v>
      </c>
      <c r="DA168" s="102">
        <f>DA167+DA164</f>
        <v>227</v>
      </c>
      <c r="DB168" s="61">
        <f>IF(ISERROR((DA168/CS168-1)*100),"NA",IF(((DA168/CS168-1)*100)&gt;100,"NM",IF(((DA168/CS168-1)*100)&lt;-50,"NM",(DA168/CS168-1)*100)))</f>
        <v>12.935323383084585</v>
      </c>
      <c r="DC168" s="102">
        <f>DC167+DC164</f>
        <v>212</v>
      </c>
      <c r="DD168" s="61">
        <f>IF(ISERROR((DC168/CU168-1)*100),"NA",IF(((DC168/CU168-1)*100)&gt;100,"NM",IF(((DC168/CU168-1)*100)&lt;-50,"NM",(DC168/CU168-1)*100)))</f>
        <v>3.4146341463414664</v>
      </c>
      <c r="DE168" s="102">
        <f>DE167+DE164</f>
        <v>217</v>
      </c>
      <c r="DF168" s="61">
        <f>IF(ISERROR((DE168/CW168-1)*100),"NA",IF(((DE168/CW168-1)*100)&gt;100,"NM",IF(((DE168/CW168-1)*100)&lt;-50,"NM",(DE168/CW168-1)*100)))</f>
        <v>4.3269230769230838</v>
      </c>
      <c r="DG168" s="102">
        <f>DG167+DG164</f>
        <v>225</v>
      </c>
      <c r="DH168" s="61">
        <f>IF(ISERROR((DG168/CY168-1)*100),"NA",IF(((DG168/CY168-1)*100)&gt;100,"NM",IF(((DG168/CY168-1)*100)&lt;-50,"NM",(DG168/CY168-1)*100)))</f>
        <v>4.1666666666666741</v>
      </c>
      <c r="DI168" s="102">
        <f>DI167+DI164</f>
        <v>227</v>
      </c>
      <c r="DJ168" s="61">
        <f>IF(ISERROR((DI168/DA168-1)*100),"NA",IF(((DI168/DA168-1)*100)&gt;100,"NM",IF(((DI168/DA168-1)*100)&lt;-50,"NM",(DI168/DA168-1)*100)))</f>
        <v>0</v>
      </c>
      <c r="DK168" s="102">
        <f>DK167+DK164</f>
        <v>218</v>
      </c>
      <c r="DL168" s="61">
        <f>IF(ISERROR((DK168/DC168-1)*100),"NA",IF(((DK168/DC168-1)*100)&gt;100,"NM",IF(((DK168/DC168-1)*100)&lt;-50,"NM",(DK168/DC168-1)*100)))</f>
        <v>2.8301886792452935</v>
      </c>
      <c r="DM168" s="102">
        <f>DM167+DM164</f>
        <v>216</v>
      </c>
      <c r="DN168" s="130">
        <f t="shared" si="1131"/>
        <v>-0.46082949308755561</v>
      </c>
      <c r="DO168" s="102">
        <f>DO167+DO164</f>
        <v>217</v>
      </c>
      <c r="DP168" s="130">
        <f t="shared" si="1131"/>
        <v>-3.5555555555555562</v>
      </c>
      <c r="DQ168" s="102">
        <f>DQ167+DQ164</f>
        <v>228</v>
      </c>
      <c r="DR168" s="130">
        <f t="shared" si="1131"/>
        <v>0.4405286343612369</v>
      </c>
      <c r="DS168" s="102">
        <f>DS167+DS164</f>
        <v>225</v>
      </c>
      <c r="DT168" s="130">
        <f t="shared" si="1131"/>
        <v>3.2110091743119185</v>
      </c>
      <c r="DU168" s="102">
        <f>DU167+DU164</f>
        <v>231</v>
      </c>
      <c r="DV168" s="130">
        <f t="shared" si="1131"/>
        <v>6.944444444444442</v>
      </c>
      <c r="DW168" s="102">
        <f>DW167+DW164</f>
        <v>225</v>
      </c>
      <c r="DX168" s="102">
        <f t="shared" ref="DX168:DY168" si="1167">DX167+DX164</f>
        <v>225</v>
      </c>
      <c r="DY168" s="102">
        <f t="shared" si="1167"/>
        <v>231</v>
      </c>
      <c r="DZ168" s="130">
        <f t="shared" si="1131"/>
        <v>1.3157894736842035</v>
      </c>
      <c r="EA168" s="102">
        <f t="shared" ref="EA168:EC168" si="1168">EA167+EA164</f>
        <v>226</v>
      </c>
      <c r="EB168" s="130">
        <f t="shared" si="1134"/>
        <v>0.44444444444444731</v>
      </c>
      <c r="EC168" s="102">
        <f t="shared" si="1168"/>
        <v>229</v>
      </c>
      <c r="ED168" s="130">
        <f t="shared" si="1135"/>
        <v>-0.86580086580086979</v>
      </c>
      <c r="EE168" s="102">
        <f t="shared" ref="EE168:EG168" si="1169">EE167+EE164</f>
        <v>237</v>
      </c>
      <c r="EF168" s="130">
        <f t="shared" si="1137"/>
        <v>5.3333333333333233</v>
      </c>
      <c r="EG168" s="102">
        <f t="shared" si="1169"/>
        <v>238</v>
      </c>
      <c r="EH168" s="130">
        <f t="shared" si="1138"/>
        <v>3.0303030303030276</v>
      </c>
      <c r="EI168" s="102">
        <f t="shared" ref="EI168" si="1170">EI167+EI164</f>
        <v>234</v>
      </c>
      <c r="EJ168" s="130">
        <f t="shared" si="1140"/>
        <v>3.539823008849563</v>
      </c>
      <c r="EK168" s="102">
        <f t="shared" ref="EK168:EM168" si="1171">EK167+EK164</f>
        <v>240</v>
      </c>
      <c r="EL168" s="130">
        <f t="shared" si="1141"/>
        <v>4.8034934497816595</v>
      </c>
      <c r="EM168" s="102">
        <f t="shared" si="1171"/>
        <v>243</v>
      </c>
      <c r="EN168" s="130">
        <f t="shared" si="1143"/>
        <v>2.5316455696202445</v>
      </c>
      <c r="EO168" s="102">
        <f t="shared" ref="EO168" si="1172">EO167+EO164</f>
        <v>245</v>
      </c>
      <c r="EP168" s="130">
        <f t="shared" si="1145"/>
        <v>2.9411764705882248</v>
      </c>
      <c r="EQ168" s="102">
        <f t="shared" ref="EQ168:EW168" si="1173">EQ167+EQ164</f>
        <v>254.44136803552323</v>
      </c>
      <c r="ER168" s="130">
        <f t="shared" si="1147"/>
        <v>8.7356273656082237</v>
      </c>
      <c r="ES168" s="102">
        <f t="shared" si="1173"/>
        <v>255.53063278680017</v>
      </c>
      <c r="ET168" s="130">
        <f t="shared" si="1148"/>
        <v>6.4710969945000807</v>
      </c>
      <c r="EU168" s="102">
        <f t="shared" si="1173"/>
        <v>259.68612854398401</v>
      </c>
      <c r="EV168" s="130">
        <f t="shared" si="1149"/>
        <v>6.8667195654255275</v>
      </c>
      <c r="EW168" s="102">
        <f t="shared" si="1173"/>
        <v>263.05892746389594</v>
      </c>
      <c r="EX168" s="130">
        <f t="shared" si="1150"/>
        <v>7.3709908015901826</v>
      </c>
      <c r="EY168" s="103"/>
      <c r="EZ168" s="558"/>
      <c r="FA168" s="103"/>
      <c r="FB168" s="102"/>
      <c r="FC168" s="100"/>
      <c r="FD168" s="102"/>
      <c r="FE168" s="70"/>
      <c r="FF168" s="98"/>
      <c r="FG168" s="70"/>
      <c r="FH168" s="127"/>
      <c r="FI168" s="70"/>
      <c r="FJ168" s="127"/>
      <c r="FK168" s="70"/>
      <c r="FL168" s="125"/>
      <c r="FM168" s="61"/>
      <c r="FN168" s="125">
        <f>SUM(FN164:FN167)</f>
        <v>672</v>
      </c>
      <c r="FO168" s="61"/>
      <c r="FP168" s="104">
        <f>FP167+FP164</f>
        <v>684.3</v>
      </c>
      <c r="FQ168" s="61">
        <f>IF(ISERROR((FP168/FN168-1)*100),"NA",IF(((FP168/FN168-1)*100)&gt;100,"NM",IF(((FP168/FN168-1)*100)&lt;-50,"NM",(FP168/FN168-1)*100)))</f>
        <v>1.8303571428571308</v>
      </c>
      <c r="FR168" s="104">
        <f>FR167+FR164</f>
        <v>708.1</v>
      </c>
      <c r="FS168" s="61">
        <f>IF(ISERROR((FR168/FP168-1)*100),"NA",IF(((FR168/FP168-1)*100)&gt;100,"NM",IF(((FR168/FP168-1)*100)&lt;-50,"NM",(FR168/FP168-1)*100)))</f>
        <v>3.4780067221978683</v>
      </c>
      <c r="FT168" s="104">
        <f>FT167+FT164</f>
        <v>732.5</v>
      </c>
      <c r="FU168" s="61">
        <f>IF(ISERROR((FT168/FR168-1)*100),"NA",IF(((FT168/FR168-1)*100)&gt;100,"NM",IF(((FT168/FR168-1)*100)&lt;-50,"NM",(FT168/FR168-1)*100)))</f>
        <v>3.4458409829120074</v>
      </c>
      <c r="FV168" s="104">
        <f>FV167+FV164</f>
        <v>780.3</v>
      </c>
      <c r="FW168" s="61">
        <f>IF(ISERROR((FV168/FT168-1)*100),"NA",IF(((FV168/FT168-1)*100)&gt;100,"NM",IF(((FV168/FT168-1)*100)&lt;-50,"NM",(FV168/FT168-1)*100)))</f>
        <v>6.5255972696245612</v>
      </c>
      <c r="FX168" s="104">
        <f>FX167+FX164</f>
        <v>742.8</v>
      </c>
      <c r="FY168" s="61">
        <f>IF(ISERROR((FX168/FV168-1)*100),"NA",IF(((FX168/FV168-1)*100)&gt;100,"NM",IF(((FX168/FV168-1)*100)&lt;-50,"NM",(FX168/FV168-1)*100)))</f>
        <v>-4.8058439061899332</v>
      </c>
      <c r="FZ168" s="104">
        <f>FZ167+FZ164</f>
        <v>773.5</v>
      </c>
      <c r="GA168" s="61">
        <f>IF(ISERROR((FZ168/FX168-1)*100),"NA",IF(((FZ168/FX168-1)*100)&gt;100,"NM",IF(((FZ168/FX168-1)*100)&lt;-50,"NM",(FZ168/FX168-1)*100)))</f>
        <v>4.1330102315562778</v>
      </c>
      <c r="GB168" s="104">
        <f>GB167+GB164</f>
        <v>790.8</v>
      </c>
      <c r="GC168" s="61">
        <f>IF(ISERROR((GB168/FZ168-1)*100),"NA",IF(((GB168/FZ168-1)*100)&gt;100,"NM",IF(((GB168/FZ168-1)*100)&lt;-50,"NM",(GB168/FZ168-1)*100)))</f>
        <v>2.2365869424692875</v>
      </c>
      <c r="GD168" s="104">
        <f>GD167+GD164</f>
        <v>856</v>
      </c>
      <c r="GE168" s="61">
        <f>IF(ISERROR((GD168/GB168-1)*100),"NA",IF(((GD168/GB168-1)*100)&gt;100,"NM",IF(((GD168/GB168-1)*100)&lt;-50,"NM",(GD168/GB168-1)*100)))</f>
        <v>8.2448153768335928</v>
      </c>
      <c r="GF168" s="104">
        <f>GF167+GF164</f>
        <v>881</v>
      </c>
      <c r="GG168" s="61">
        <f t="shared" si="1151"/>
        <v>2.9205607476635587</v>
      </c>
      <c r="GH168" s="104">
        <f>GH167+GH164</f>
        <v>879</v>
      </c>
      <c r="GI168" s="61">
        <f t="shared" si="1151"/>
        <v>-0.22701475595914289</v>
      </c>
      <c r="GJ168" s="104">
        <f>GJ167+GJ164</f>
        <v>912</v>
      </c>
      <c r="GK168" s="61">
        <f t="shared" si="1151"/>
        <v>3.7542662116040848</v>
      </c>
      <c r="GL168" s="104">
        <f>GL167+GL164</f>
        <v>930</v>
      </c>
      <c r="GM168" s="61">
        <f t="shared" si="1151"/>
        <v>1.9736842105263053</v>
      </c>
      <c r="GN168" s="104">
        <f>GN167+GN164</f>
        <v>962</v>
      </c>
      <c r="GO168" s="61">
        <f t="shared" si="1151"/>
        <v>3.4408602150537648</v>
      </c>
      <c r="GP168" s="104">
        <f>GP167+GP164</f>
        <v>1032.7170568302035</v>
      </c>
      <c r="GQ168" s="61">
        <f t="shared" si="1151"/>
        <v>7.351045408545076</v>
      </c>
      <c r="GR168" s="102">
        <f>GR167+GR164</f>
        <v>1070.2743084275398</v>
      </c>
      <c r="GS168" s="61">
        <f t="shared" si="1151"/>
        <v>3.6367416756544646</v>
      </c>
      <c r="GT168" s="102">
        <f>GT167+GT164</f>
        <v>1102.9298845906633</v>
      </c>
      <c r="GU168" s="61">
        <f t="shared" si="1151"/>
        <v>3.0511408062388723</v>
      </c>
      <c r="GV168" s="102">
        <f>GV167+GV164</f>
        <v>1139.6813821679966</v>
      </c>
      <c r="GW168" s="61">
        <f t="shared" si="1151"/>
        <v>3.332169895004089</v>
      </c>
      <c r="GX168" s="102">
        <f>GX167+GX164</f>
        <v>1180.4328472369011</v>
      </c>
      <c r="GY168" s="61">
        <f t="shared" si="1152"/>
        <v>3.5756892853144429</v>
      </c>
      <c r="GZ168" s="61">
        <f t="shared" si="1111"/>
        <v>4.1773348508998387</v>
      </c>
      <c r="HA168" s="61"/>
      <c r="HB168" s="452"/>
      <c r="HC168"/>
      <c r="HD168"/>
      <c r="HE168"/>
      <c r="HF168"/>
      <c r="HG168"/>
      <c r="HH168"/>
    </row>
    <row r="169" spans="1:216" s="5" customFormat="1" ht="12.75" customHeight="1" x14ac:dyDescent="0.2">
      <c r="B169" s="2"/>
      <c r="C169" s="69"/>
      <c r="D169" s="70"/>
      <c r="E169" s="69"/>
      <c r="F169" s="71"/>
      <c r="G169" s="69"/>
      <c r="H169" s="71"/>
      <c r="I169" s="69"/>
      <c r="J169" s="61"/>
      <c r="K169" s="69"/>
      <c r="L169" s="61"/>
      <c r="M169" s="69"/>
      <c r="N169" s="61"/>
      <c r="O169" s="69"/>
      <c r="P169" s="61"/>
      <c r="Q169" s="69"/>
      <c r="R169" s="61"/>
      <c r="S169" s="69"/>
      <c r="T169" s="61"/>
      <c r="U169" s="69"/>
      <c r="V169" s="61"/>
      <c r="W169" s="69"/>
      <c r="X169" s="61"/>
      <c r="Y169" s="69"/>
      <c r="Z169" s="61"/>
      <c r="AA169" s="69"/>
      <c r="AB169" s="61"/>
      <c r="AC169" s="69"/>
      <c r="AD169" s="61"/>
      <c r="AE169" s="69"/>
      <c r="AF169" s="61"/>
      <c r="AG169" s="84"/>
      <c r="AH169" s="61"/>
      <c r="AI169" s="69"/>
      <c r="AJ169" s="61"/>
      <c r="AK169" s="69"/>
      <c r="AL169" s="61"/>
      <c r="AM169" s="69"/>
      <c r="AN169" s="61"/>
      <c r="AO169" s="69"/>
      <c r="AP169" s="61"/>
      <c r="AQ169" s="69"/>
      <c r="AR169" s="61"/>
      <c r="AS169" s="69"/>
      <c r="AT169" s="61"/>
      <c r="AU169" s="69"/>
      <c r="AV169" s="61"/>
      <c r="AW169" s="69"/>
      <c r="AX169" s="61"/>
      <c r="AY169" s="69"/>
      <c r="AZ169" s="61"/>
      <c r="BA169" s="69"/>
      <c r="BB169" s="61"/>
      <c r="BC169" s="69"/>
      <c r="BD169" s="61"/>
      <c r="BE169" s="69"/>
      <c r="BF169" s="61"/>
      <c r="BG169" s="69"/>
      <c r="BH169" s="61"/>
      <c r="BI169" s="69"/>
      <c r="BJ169" s="61"/>
      <c r="BK169" s="69"/>
      <c r="BL169" s="61"/>
      <c r="BM169" s="69"/>
      <c r="BN169" s="61"/>
      <c r="BO169" s="69"/>
      <c r="BP169" s="61"/>
      <c r="BQ169" s="69"/>
      <c r="BR169" s="61"/>
      <c r="BS169" s="69"/>
      <c r="BT169" s="61"/>
      <c r="BU169" s="69"/>
      <c r="BV169" s="61"/>
      <c r="BW169" s="69"/>
      <c r="BX169" s="61"/>
      <c r="BY169" s="69"/>
      <c r="BZ169" s="61"/>
      <c r="CA169" s="69"/>
      <c r="CB169" s="61"/>
      <c r="CC169" s="69"/>
      <c r="CD169" s="61"/>
      <c r="CE169" s="69"/>
      <c r="CF169" s="61"/>
      <c r="CG169" s="69"/>
      <c r="CH169" s="61"/>
      <c r="CI169" s="69"/>
      <c r="CJ169" s="61"/>
      <c r="CK169" s="69"/>
      <c r="CL169" s="61"/>
      <c r="CM169" s="69"/>
      <c r="CN169" s="61"/>
      <c r="CO169" s="69"/>
      <c r="CP169" s="61"/>
      <c r="CQ169" s="69"/>
      <c r="CR169" s="61"/>
      <c r="CS169" s="69"/>
      <c r="CT169" s="61"/>
      <c r="CU169" s="69"/>
      <c r="CV169" s="61"/>
      <c r="CW169" s="69"/>
      <c r="CX169" s="61"/>
      <c r="CY169" s="69"/>
      <c r="CZ169" s="61"/>
      <c r="DA169" s="69"/>
      <c r="DB169" s="61"/>
      <c r="DC169" s="69"/>
      <c r="DD169" s="61"/>
      <c r="DE169" s="69"/>
      <c r="DF169" s="61"/>
      <c r="DG169" s="69"/>
      <c r="DH169" s="61"/>
      <c r="DI169" s="69"/>
      <c r="DJ169" s="61"/>
      <c r="DK169" s="69"/>
      <c r="DL169" s="61"/>
      <c r="DM169" s="69"/>
      <c r="DN169" s="61"/>
      <c r="DO169" s="69"/>
      <c r="DP169" s="61"/>
      <c r="DQ169" s="69"/>
      <c r="DR169" s="61"/>
      <c r="DS169" s="69"/>
      <c r="DT169" s="61"/>
      <c r="DU169" s="69"/>
      <c r="DV169" s="61"/>
      <c r="DW169" s="69"/>
      <c r="DX169" s="69"/>
      <c r="DY169" s="69"/>
      <c r="DZ169" s="61"/>
      <c r="EA169" s="69"/>
      <c r="EB169" s="61"/>
      <c r="EC169" s="69"/>
      <c r="ED169" s="61"/>
      <c r="EE169" s="69"/>
      <c r="EF169" s="61"/>
      <c r="EG169" s="69"/>
      <c r="EH169" s="61"/>
      <c r="EI169" s="69"/>
      <c r="EJ169" s="61"/>
      <c r="EK169" s="69"/>
      <c r="EL169" s="61"/>
      <c r="EM169" s="69"/>
      <c r="EN169" s="61"/>
      <c r="EO169" s="69"/>
      <c r="EP169" s="61"/>
      <c r="EQ169" s="69"/>
      <c r="ER169" s="61"/>
      <c r="ES169" s="69"/>
      <c r="ET169" s="61"/>
      <c r="EU169" s="69"/>
      <c r="EV169" s="61"/>
      <c r="EW169" s="69"/>
      <c r="EX169" s="61"/>
      <c r="EY169" s="64"/>
      <c r="EZ169" s="558"/>
      <c r="FA169" s="64"/>
      <c r="FB169" s="69"/>
      <c r="FC169" s="71"/>
      <c r="FD169" s="69"/>
      <c r="FE169" s="70"/>
      <c r="FF169" s="69"/>
      <c r="FG169" s="70"/>
      <c r="FH169" s="69"/>
      <c r="FI169" s="70"/>
      <c r="FJ169" s="69"/>
      <c r="FK169" s="70"/>
      <c r="FL169" s="69"/>
      <c r="FM169" s="61"/>
      <c r="FN169" s="69"/>
      <c r="FO169" s="61"/>
      <c r="FP169" s="73"/>
      <c r="FQ169" s="61"/>
      <c r="FR169" s="73"/>
      <c r="FS169" s="61"/>
      <c r="FT169" s="73"/>
      <c r="FU169" s="61"/>
      <c r="FV169" s="73"/>
      <c r="FW169" s="61"/>
      <c r="FX169" s="73"/>
      <c r="FY169" s="61"/>
      <c r="FZ169" s="73"/>
      <c r="GA169" s="61"/>
      <c r="GB169" s="73"/>
      <c r="GC169" s="61"/>
      <c r="GD169" s="73"/>
      <c r="GE169" s="61"/>
      <c r="GF169" s="73"/>
      <c r="GG169" s="61"/>
      <c r="GH169" s="73"/>
      <c r="GI169" s="61"/>
      <c r="GJ169" s="73"/>
      <c r="GK169" s="61"/>
      <c r="GL169" s="73"/>
      <c r="GM169" s="61"/>
      <c r="GN169" s="73"/>
      <c r="GO169" s="61"/>
      <c r="GP169" s="73"/>
      <c r="GQ169" s="61"/>
      <c r="GR169" s="69"/>
      <c r="GS169" s="61"/>
      <c r="GT169" s="69"/>
      <c r="GU169" s="61"/>
      <c r="GV169" s="69"/>
      <c r="GW169" s="61"/>
      <c r="GX169" s="69"/>
      <c r="GY169" s="61"/>
      <c r="GZ169" s="61" t="str">
        <f t="shared" si="1111"/>
        <v/>
      </c>
      <c r="HA169" s="61"/>
      <c r="HB169" s="452"/>
      <c r="HC169"/>
      <c r="HD169"/>
      <c r="HE169"/>
      <c r="HF169"/>
      <c r="HG169"/>
      <c r="HH169"/>
    </row>
    <row r="170" spans="1:216" s="5" customFormat="1" ht="12.75" customHeight="1" x14ac:dyDescent="0.2">
      <c r="B170" s="63" t="s">
        <v>597</v>
      </c>
      <c r="C170" s="66"/>
      <c r="D170" s="67"/>
      <c r="E170" s="66"/>
      <c r="F170" s="66"/>
      <c r="G170" s="64"/>
      <c r="H170" s="66"/>
      <c r="I170" s="64"/>
      <c r="J170" s="66"/>
      <c r="K170" s="64"/>
      <c r="L170" s="61"/>
      <c r="M170" s="66"/>
      <c r="N170" s="61"/>
      <c r="O170" s="64"/>
      <c r="P170" s="61"/>
      <c r="Q170" s="64"/>
      <c r="R170" s="61"/>
      <c r="S170" s="64"/>
      <c r="T170" s="61"/>
      <c r="U170" s="64"/>
      <c r="V170" s="61"/>
      <c r="W170" s="64"/>
      <c r="X170" s="61"/>
      <c r="Y170" s="64"/>
      <c r="Z170" s="61"/>
      <c r="AA170" s="64"/>
      <c r="AB170" s="61"/>
      <c r="AC170" s="64"/>
      <c r="AD170" s="61"/>
      <c r="AE170" s="64"/>
      <c r="AF170" s="61"/>
      <c r="AG170" s="64"/>
      <c r="AH170" s="61"/>
      <c r="AI170" s="64"/>
      <c r="AJ170" s="61"/>
      <c r="AK170" s="64"/>
      <c r="AL170" s="61"/>
      <c r="AM170" s="64"/>
      <c r="AN170" s="61"/>
      <c r="AO170" s="64"/>
      <c r="AP170" s="61"/>
      <c r="AQ170" s="64"/>
      <c r="AR170" s="61"/>
      <c r="AS170" s="64"/>
      <c r="AT170" s="61"/>
      <c r="AU170" s="64"/>
      <c r="AV170" s="61"/>
      <c r="AW170" s="64"/>
      <c r="AX170" s="61"/>
      <c r="AY170" s="64"/>
      <c r="AZ170" s="61"/>
      <c r="BA170" s="64"/>
      <c r="BB170" s="61"/>
      <c r="BC170" s="64"/>
      <c r="BD170" s="61"/>
      <c r="BE170" s="64"/>
      <c r="BF170" s="61"/>
      <c r="BG170" s="64"/>
      <c r="BH170" s="61"/>
      <c r="BI170" s="64"/>
      <c r="BJ170" s="61"/>
      <c r="BK170" s="64"/>
      <c r="BL170" s="61"/>
      <c r="BM170" s="64"/>
      <c r="BN170" s="61"/>
      <c r="BO170" s="64"/>
      <c r="BP170" s="61"/>
      <c r="BQ170" s="64"/>
      <c r="BR170" s="61"/>
      <c r="BS170" s="64"/>
      <c r="BT170" s="61"/>
      <c r="BU170" s="64"/>
      <c r="BV170" s="61"/>
      <c r="BW170" s="64"/>
      <c r="BX170" s="61"/>
      <c r="BY170" s="64"/>
      <c r="BZ170" s="61"/>
      <c r="CA170" s="64"/>
      <c r="CB170" s="61"/>
      <c r="CC170" s="64"/>
      <c r="CD170" s="61"/>
      <c r="CE170" s="64"/>
      <c r="CF170" s="61"/>
      <c r="CG170" s="64"/>
      <c r="CH170" s="61"/>
      <c r="CI170" s="64"/>
      <c r="CJ170" s="61"/>
      <c r="CK170" s="64"/>
      <c r="CL170" s="61"/>
      <c r="CM170" s="64"/>
      <c r="CN170" s="61"/>
      <c r="CO170" s="64"/>
      <c r="CP170" s="61"/>
      <c r="CQ170" s="64"/>
      <c r="CR170" s="61"/>
      <c r="CS170" s="64"/>
      <c r="CT170" s="61"/>
      <c r="CU170" s="64"/>
      <c r="CV170" s="61"/>
      <c r="CW170" s="64"/>
      <c r="CX170" s="61"/>
      <c r="CY170" s="64"/>
      <c r="CZ170" s="61"/>
      <c r="DA170" s="64"/>
      <c r="DB170" s="61"/>
      <c r="DC170" s="64"/>
      <c r="DD170" s="61"/>
      <c r="DE170" s="64"/>
      <c r="DF170" s="61"/>
      <c r="DG170" s="64"/>
      <c r="DH170" s="61"/>
      <c r="DI170" s="64"/>
      <c r="DJ170" s="61"/>
      <c r="DK170" s="64"/>
      <c r="DL170" s="61"/>
      <c r="DM170" s="64"/>
      <c r="DN170" s="61"/>
      <c r="DO170" s="64"/>
      <c r="DP170" s="61"/>
      <c r="DQ170" s="64"/>
      <c r="DR170" s="61"/>
      <c r="DS170" s="64"/>
      <c r="DT170" s="61"/>
      <c r="DU170" s="64"/>
      <c r="DV170" s="61"/>
      <c r="DW170" s="64"/>
      <c r="DX170" s="64"/>
      <c r="DY170" s="64"/>
      <c r="DZ170" s="61"/>
      <c r="EA170" s="64"/>
      <c r="EB170" s="61"/>
      <c r="EC170" s="64"/>
      <c r="ED170" s="61"/>
      <c r="EE170" s="64"/>
      <c r="EF170" s="61"/>
      <c r="EG170" s="64"/>
      <c r="EH170" s="61"/>
      <c r="EI170" s="64"/>
      <c r="EJ170" s="61"/>
      <c r="EK170" s="64"/>
      <c r="EL170" s="61"/>
      <c r="EM170" s="64"/>
      <c r="EN170" s="61"/>
      <c r="EO170" s="64"/>
      <c r="EP170" s="61"/>
      <c r="EQ170" s="64"/>
      <c r="ER170" s="61"/>
      <c r="ES170" s="64"/>
      <c r="ET170" s="61"/>
      <c r="EU170" s="64"/>
      <c r="EV170" s="61"/>
      <c r="EW170" s="64"/>
      <c r="EX170" s="61"/>
      <c r="EY170" s="64"/>
      <c r="EZ170" s="558"/>
      <c r="FA170" s="64"/>
      <c r="FB170" s="66"/>
      <c r="FC170" s="66"/>
      <c r="FD170" s="66"/>
      <c r="FE170" s="67"/>
      <c r="FF170" s="66"/>
      <c r="FG170" s="67"/>
      <c r="FH170" s="66"/>
      <c r="FI170" s="67"/>
      <c r="FJ170" s="66"/>
      <c r="FK170" s="67"/>
      <c r="FL170" s="66"/>
      <c r="FM170" s="61"/>
      <c r="FN170" s="66"/>
      <c r="FO170" s="61"/>
      <c r="FP170" s="65"/>
      <c r="FQ170" s="61"/>
      <c r="FR170" s="65"/>
      <c r="FS170" s="61"/>
      <c r="FT170" s="65"/>
      <c r="FU170" s="61"/>
      <c r="FV170" s="65"/>
      <c r="FW170" s="61"/>
      <c r="FX170" s="65"/>
      <c r="FY170" s="61"/>
      <c r="FZ170" s="65"/>
      <c r="GA170" s="61"/>
      <c r="GB170" s="65"/>
      <c r="GC170" s="61"/>
      <c r="GD170" s="65"/>
      <c r="GE170" s="61"/>
      <c r="GF170" s="65"/>
      <c r="GG170" s="61"/>
      <c r="GH170" s="65"/>
      <c r="GI170" s="61"/>
      <c r="GJ170" s="65"/>
      <c r="GK170" s="61"/>
      <c r="GL170" s="65"/>
      <c r="GM170" s="61"/>
      <c r="GN170" s="65"/>
      <c r="GO170" s="61"/>
      <c r="GP170" s="65"/>
      <c r="GQ170" s="61"/>
      <c r="GR170" s="64"/>
      <c r="GS170" s="61"/>
      <c r="GT170" s="64"/>
      <c r="GU170" s="61"/>
      <c r="GV170" s="64"/>
      <c r="GW170" s="61"/>
      <c r="GX170" s="64"/>
      <c r="GY170" s="61"/>
      <c r="GZ170" s="61" t="str">
        <f t="shared" si="1111"/>
        <v/>
      </c>
      <c r="HA170" s="61"/>
      <c r="HB170" s="452"/>
      <c r="HC170"/>
      <c r="HD170"/>
      <c r="HE170"/>
      <c r="HF170"/>
      <c r="HG170"/>
      <c r="HH170"/>
    </row>
    <row r="171" spans="1:216" s="5" customFormat="1" ht="12.75" customHeight="1" x14ac:dyDescent="0.2">
      <c r="B171" s="68" t="s">
        <v>422</v>
      </c>
      <c r="C171" s="124"/>
      <c r="D171" s="70"/>
      <c r="E171" s="124"/>
      <c r="F171" s="71"/>
      <c r="G171" s="124"/>
      <c r="H171" s="71"/>
      <c r="I171" s="124"/>
      <c r="J171" s="61"/>
      <c r="K171" s="81"/>
      <c r="L171" s="61"/>
      <c r="M171" s="81"/>
      <c r="N171" s="61"/>
      <c r="O171" s="81"/>
      <c r="P171" s="61"/>
      <c r="Q171" s="81"/>
      <c r="R171" s="61"/>
      <c r="S171" s="81"/>
      <c r="T171" s="61"/>
      <c r="U171" s="81"/>
      <c r="V171" s="61"/>
      <c r="W171" s="81"/>
      <c r="X171" s="61"/>
      <c r="Y171" s="81"/>
      <c r="Z171" s="61"/>
      <c r="AA171" s="81"/>
      <c r="AB171" s="61"/>
      <c r="AC171" s="81"/>
      <c r="AD171" s="61"/>
      <c r="AE171" s="81"/>
      <c r="AF171" s="61"/>
      <c r="AG171" s="81"/>
      <c r="AH171" s="61"/>
      <c r="AI171" s="81"/>
      <c r="AJ171" s="61"/>
      <c r="AK171" s="81"/>
      <c r="AL171" s="61"/>
      <c r="AM171" s="81"/>
      <c r="AN171" s="61"/>
      <c r="AO171" s="81"/>
      <c r="AP171" s="61"/>
      <c r="AQ171" s="81">
        <f>+AQ166/AQ150*100</f>
        <v>58.845861807137425</v>
      </c>
      <c r="AR171" s="61" t="str">
        <f>IF(ISERROR((AQ171/AI171-1)*100),"NA",IF(((AQ171/AI171-1)*100)&gt;100,"NM",IF(((AQ171/AI171-1)*100)&lt;-50,"NM",(AQ171/AI171-1)*100)))</f>
        <v>NA</v>
      </c>
      <c r="AS171" s="81">
        <f>+AS166/AS150*100</f>
        <v>57.356235997012696</v>
      </c>
      <c r="AT171" s="61" t="str">
        <f>IF(ISERROR((AS171/AK171-1)*100),"NA",IF(((AS171/AK171-1)*100)&gt;100,"NM",IF(((AS171/AK171-1)*100)&lt;-50,"NM",(AS171/AK171-1)*100)))</f>
        <v>NA</v>
      </c>
      <c r="AU171" s="81">
        <f>+AU166/AU150*100</f>
        <v>62.463768115942031</v>
      </c>
      <c r="AV171" s="61" t="str">
        <f>IF(ISERROR((AU171/AM171-1)*100),"NA",IF(((AU171/AM171-1)*100)&gt;100,"NM",IF(((AU171/AM171-1)*100)&lt;-50,"NM",(AU171/AM171-1)*100)))</f>
        <v>NA</v>
      </c>
      <c r="AW171" s="81">
        <f>+AW166/AW150*100</f>
        <v>59.743040685224848</v>
      </c>
      <c r="AX171" s="61" t="str">
        <f>IF(ISERROR((AW171/AO171-1)*100),"NA",IF(((AW171/AO171-1)*100)&gt;100,"NM",IF(((AW171/AO171-1)*100)&lt;-50,"NM",(AW171/AO171-1)*100)))</f>
        <v>NA</v>
      </c>
      <c r="AY171" s="81">
        <f>+AY166/AY150*100</f>
        <v>53.063973063973059</v>
      </c>
      <c r="AZ171" s="61">
        <f>IF(ISERROR((AY171/AQ171-1)*100),"NA",IF(((AY171/AQ171-1)*100)&gt;100,"NM",IF(((AY171/AQ171-1)*100)&lt;-50,"NM",(AY171/AQ171-1)*100)))</f>
        <v>-9.8254806125773868</v>
      </c>
      <c r="BA171" s="81">
        <f>+BA166/BA150*100</f>
        <v>49.351535836177476</v>
      </c>
      <c r="BB171" s="61">
        <f>IF(ISERROR((BA171/AS171-1)*100),"NA",IF(((BA171/AS171-1)*100)&gt;100,"NM",IF(((BA171/AS171-1)*100)&lt;-50,"NM",(BA171/AS171-1)*100)))</f>
        <v>-13.956111348122867</v>
      </c>
      <c r="BC171" s="81">
        <f>+BC166/BC150*100</f>
        <v>57.112676056338017</v>
      </c>
      <c r="BD171" s="61">
        <f>IF(ISERROR((BC171/AU171-1)*100),"NA",IF(((BC171/AU171-1)*100)&gt;100,"NM",IF(((BC171/AU171-1)*100)&lt;-50,"NM",(BC171/AU171-1)*100)))</f>
        <v>-8.566713506094592</v>
      </c>
      <c r="BE171" s="81">
        <f>+BE166/BE150*100</f>
        <v>56.401137980085359</v>
      </c>
      <c r="BF171" s="61">
        <f>IF(ISERROR((BE171/AW171-1)*100),"NA",IF(((BE171/AW171-1)*100)&gt;100,"NM",IF(((BE171/AW171-1)*100)&lt;-50,"NM",(BE171/AW171-1)*100)))</f>
        <v>-5.5937941336922652</v>
      </c>
      <c r="BG171" s="81">
        <f>+BG166/BG150*100</f>
        <v>52.106741573033709</v>
      </c>
      <c r="BH171" s="61">
        <f>IF(ISERROR((BG171/AY171-1)*100),"NA",IF(((BG171/AY171-1)*100)&gt;100,"NM",IF(((BG171/AY171-1)*100)&lt;-50,"NM",(BG171/AY171-1)*100)))</f>
        <v>-1.8039197513260552</v>
      </c>
      <c r="BI171" s="81">
        <f>+BI166/BI150*100</f>
        <v>54.681139755766615</v>
      </c>
      <c r="BJ171" s="61">
        <f>IF(ISERROR((BI171/BA171-1)*100),"NA",IF(((BI171/BA171-1)*100)&gt;100,"NM",IF(((BI171/BA171-1)*100)&lt;-50,"NM",(BI171/BA171-1)*100)))</f>
        <v>10.799266586719348</v>
      </c>
      <c r="BK171" s="81">
        <f>+BK166/BK150*100</f>
        <v>60.158501440922187</v>
      </c>
      <c r="BL171" s="61">
        <f>IF(ISERROR((BK171/BC171-1)*100),"NA",IF(((BK171/BC171-1)*100)&gt;100,"NM",IF(((BK171/BC171-1)*100)&lt;-50,"NM",(BK171/BC171-1)*100)))</f>
        <v>5.3330111542657432</v>
      </c>
      <c r="BM171" s="81">
        <f>+BM166/BM150*100</f>
        <v>54.945848375451256</v>
      </c>
      <c r="BN171" s="61">
        <f>IF(ISERROR((BM171/BE171-1)*100),"NA",IF(((BM171/BE171-1)*100)&gt;100,"NM",IF(((BM171/BE171-1)*100)&lt;-50,"NM",(BM171/BE171-1)*100)))</f>
        <v>-2.5802486558834214</v>
      </c>
      <c r="BO171" s="81">
        <f>+BO166/BO150*100</f>
        <v>57.66312594840668</v>
      </c>
      <c r="BP171" s="61">
        <f>IF(ISERROR((BO171/BG171-1)*100),"NA",IF(((BO171/BG171-1)*100)&gt;100,"NM",IF(((BO171/BG171-1)*100)&lt;-50,"NM",(BO171/BG171-1)*100)))</f>
        <v>10.663465431982623</v>
      </c>
      <c r="BQ171" s="81">
        <f>+BQ166/BQ150*100</f>
        <v>56.19335347432024</v>
      </c>
      <c r="BR171" s="61">
        <f>IF(ISERROR((BQ171/BI171-1)*100),"NA",IF(((BQ171/BI171-1)*100)&gt;100,"NM",IF(((BQ171/BI171-1)*100)&lt;-50,"NM",(BQ171/BI171-1)*100)))</f>
        <v>2.765512433186168</v>
      </c>
      <c r="BS171" s="81">
        <f>+BS166/BS150*100</f>
        <v>54.660700969425804</v>
      </c>
      <c r="BT171" s="61">
        <f>IF(ISERROR((BS171/BK171-1)*100),"NA",IF(((BS171/BK171-1)*100)&gt;100,"NM",IF(((BS171/BK171-1)*100)&lt;-50,"NM",(BS171/BK171-1)*100)))</f>
        <v>-9.1388587478287153</v>
      </c>
      <c r="BU171" s="81">
        <f>+BU166/BU150*100</f>
        <v>87.201528175740208</v>
      </c>
      <c r="BV171" s="61">
        <f>IF(ISERROR((BU171/BM171-1)*100),"NA",IF(((BU171/BM171-1)*100)&gt;100,"NM",IF(((BU171/BM171-1)*100)&lt;-50,"NM",(BU171/BM171-1)*100)))</f>
        <v>58.704489518265703</v>
      </c>
      <c r="BW171" s="81">
        <f>+BW166/BW150*100</f>
        <v>64.859813084112147</v>
      </c>
      <c r="BX171" s="61">
        <f>IF(ISERROR((BW171/BO171-1)*100),"NA",IF(((BW171/BO171-1)*100)&gt;100,"NM",IF(((BW171/BO171-1)*100)&lt;-50,"NM",(BW171/BO171-1)*100)))</f>
        <v>12.480570585341844</v>
      </c>
      <c r="BY171" s="81">
        <f>+BY166/BY150*100</f>
        <v>64.125560538116588</v>
      </c>
      <c r="BZ171" s="61">
        <f>IF(ISERROR((BY171/BQ171-1)*100),"NA",IF(((BY171/BQ171-1)*100)&gt;100,"NM",IF(((BY171/BQ171-1)*100)&lt;-50,"NM",(BY171/BQ171-1)*100)))</f>
        <v>14.115916871594569</v>
      </c>
      <c r="CA171" s="81">
        <f>+CA166/CA150*100</f>
        <v>55.589822667694676</v>
      </c>
      <c r="CB171" s="61">
        <f>IF(ISERROR((CA171/BS171-1)*100),"NA",IF(((CA171/BS171-1)*100)&gt;100,"NM",IF(((CA171/BS171-1)*100)&lt;-50,"NM",(CA171/BS171-1)*100)))</f>
        <v>1.6997983593159072</v>
      </c>
      <c r="CC171" s="81">
        <f>+CC166/CC150*100</f>
        <v>60.331825037707397</v>
      </c>
      <c r="CD171" s="61">
        <f>IF(ISERROR((CC171/BU171-1)*100),"NA",IF(((CC171/BU171-1)*100)&gt;100,"NM",IF(((CC171/BU171-1)*100)&lt;-50,"NM",(CC171/BU171-1)*100)))</f>
        <v>-30.813339743176726</v>
      </c>
      <c r="CE171" s="81">
        <f>+CE166/CE150*100</f>
        <v>57.64796310530361</v>
      </c>
      <c r="CF171" s="61">
        <f>IF(ISERROR((CE171/BW171-1)*100),"NA",IF(((CE171/BW171-1)*100)&gt;100,"NM",IF(((CE171/BW171-1)*100)&lt;-50,"NM",(CE171/BW171-1)*100)))</f>
        <v>-11.119134693552068</v>
      </c>
      <c r="CG171" s="81">
        <f>+CG166/CG150*100</f>
        <v>56.614929785661495</v>
      </c>
      <c r="CH171" s="61">
        <f>IF(ISERROR((CG171/BY171-1)*100),"NA",IF(((CG171/BY171-1)*100)&gt;100,"NM",IF(((CG171/BY171-1)*100)&lt;-50,"NM",(CG171/BY171-1)*100)))</f>
        <v>-11.712382222360041</v>
      </c>
      <c r="CI171" s="81">
        <f>+CI166/CI150*100</f>
        <v>58.184523809523824</v>
      </c>
      <c r="CJ171" s="61">
        <f>IF(ISERROR((CI171/CA171-1)*100),"NA",IF(((CI171/CA171-1)*100)&gt;100,"NM",IF(((CI171/CA171-1)*100)&lt;-50,"NM",(CI171/CA171-1)*100)))</f>
        <v>4.6675830526385687</v>
      </c>
      <c r="CK171" s="81">
        <f>+CK166/CK150*100</f>
        <v>62.001352265043948</v>
      </c>
      <c r="CL171" s="61">
        <f>IF(ISERROR((CK171/CC171-1)*100),"NA",IF(((CK171/CC171-1)*100)&gt;100,"NM",IF(((CK171/CC171-1)*100)&lt;-50,"NM",(CK171/CC171-1)*100)))</f>
        <v>2.7672413793103257</v>
      </c>
      <c r="CM171" s="81">
        <f>+CM166/CM150*100</f>
        <v>55.483870967741936</v>
      </c>
      <c r="CN171" s="61">
        <f>IF(ISERROR((CM171/CE171-1)*100),"NA",IF(((CM171/CE171-1)*100)&gt;100,"NM",IF(((CM171/CE171-1)*100)&lt;-50,"NM",(CM171/CE171-1)*100)))</f>
        <v>-3.7539784946236554</v>
      </c>
      <c r="CO171" s="81">
        <f>+CO166/CO150*100</f>
        <v>60.953011250827274</v>
      </c>
      <c r="CP171" s="61">
        <f>IF(ISERROR((CO171/CG171-1)*100),"NA",IF(((CO171/CG171-1)*100)&gt;100,"NM",IF(((CO171/CG171-1)*100)&lt;-50,"NM",(CO171/CG171-1)*100)))</f>
        <v>7.6624337106648843</v>
      </c>
      <c r="CQ171" s="81">
        <f>+CQ166/CQ150*100</f>
        <v>62.400578452639188</v>
      </c>
      <c r="CR171" s="61">
        <f>IF(ISERROR((CQ171/CI171-1)*100),"NA",IF(((CQ171/CI171-1)*100)&gt;100,"NM",IF(((CQ171/CI171-1)*100)&lt;-50,"NM",(CQ171/CI171-1)*100)))</f>
        <v>7.2460069569655339</v>
      </c>
      <c r="CS171" s="81">
        <f>+CS166/CS150*100</f>
        <v>67.910447761194021</v>
      </c>
      <c r="CT171" s="61">
        <f>IF(ISERROR((CS171/CK171-1)*100),"NA",IF(((CS171/CK171-1)*100)&gt;100,"NM",IF(((CS171/CK171-1)*100)&lt;-50,"NM",(CS171/CK171-1)*100)))</f>
        <v>9.5305913182180504</v>
      </c>
      <c r="CU171" s="81">
        <f>+CU166/CU150*100</f>
        <v>66.666666666666657</v>
      </c>
      <c r="CV171" s="61">
        <f>IF(ISERROR((CU171/CM171-1)*100),"NA",IF(((CU171/CM171-1)*100)&gt;100,"NM",IF(((CU171/CM171-1)*100)&lt;-50,"NM",(CU171/CM171-1)*100)))</f>
        <v>20.155038759689916</v>
      </c>
      <c r="CW171" s="81">
        <f>+CW166/CW150*100</f>
        <v>65.06849315068493</v>
      </c>
      <c r="CX171" s="61">
        <f>IF(ISERROR((CW171/CO171-1)*100),"NA",IF(((CW171/CO171-1)*100)&gt;100,"NM",IF(((CW171/CO171-1)*100)&lt;-50,"NM",(CW171/CO171-1)*100)))</f>
        <v>6.7518926717534455</v>
      </c>
      <c r="CY171" s="81">
        <f>+CY166/CY150*100</f>
        <v>69.503546099290787</v>
      </c>
      <c r="CZ171" s="61">
        <f>IF(ISERROR((CY171/CQ171-1)*100),"NA",IF(((CY171/CQ171-1)*100)&gt;100,"NM",IF(((CY171/CQ171-1)*100)&lt;-50,"NM",(CY171/CQ171-1)*100)))</f>
        <v>11.38285545228177</v>
      </c>
      <c r="DA171" s="81">
        <f>+DA166/DA150*100</f>
        <v>77.777777777777786</v>
      </c>
      <c r="DB171" s="61">
        <f>IF(ISERROR((DA171/CS171-1)*100),"NA",IF(((DA171/CS171-1)*100)&gt;100,"NM",IF(((DA171/CS171-1)*100)&lt;-50,"NM",(DA171/CS171-1)*100)))</f>
        <v>14.529914529914567</v>
      </c>
      <c r="DC171" s="81">
        <f>+DC166/DC150*100</f>
        <v>66.43356643356644</v>
      </c>
      <c r="DD171" s="61">
        <f>IF(ISERROR((DC171/CU171-1)*100),"NA",IF(((DC171/CU171-1)*100)&gt;100,"NM",IF(((DC171/CU171-1)*100)&lt;-50,"NM",(DC171/CU171-1)*100)))</f>
        <v>-0.34965034965032116</v>
      </c>
      <c r="DE171" s="81">
        <f>+DE166/DE150*100</f>
        <v>62.987012987012989</v>
      </c>
      <c r="DF171" s="61">
        <f>IF(ISERROR((DE171/CW171-1)*100),"NA",IF(((DE171/CW171-1)*100)&gt;100,"NM",IF(((DE171/CW171-1)*100)&lt;-50,"NM",(DE171/CW171-1)*100)))</f>
        <v>-3.19890635680109</v>
      </c>
      <c r="DG171" s="81">
        <f>+DG166/DG150*100</f>
        <v>63.576158940397356</v>
      </c>
      <c r="DH171" s="61">
        <f>IF(ISERROR((DG171/CY171-1)*100),"NA",IF(((DG171/CY171-1)*100)&gt;100,"NM",IF(((DG171/CY171-1)*100)&lt;-50,"NM",(DG171/CY171-1)*100)))</f>
        <v>-8.5281794837140161</v>
      </c>
      <c r="DI171" s="81">
        <f>+DI166/DI150*100</f>
        <v>69.93464052287581</v>
      </c>
      <c r="DJ171" s="61">
        <f>IF(ISERROR((DI171/DA171-1)*100),"NA",IF(((DI171/DA171-1)*100)&gt;100,"NM",IF(((DI171/DA171-1)*100)&lt;-50,"NM",(DI171/DA171-1)*100)))</f>
        <v>-10.084033613445397</v>
      </c>
      <c r="DK171" s="81">
        <f>+DK166/DK150*100</f>
        <v>64.052287581699346</v>
      </c>
      <c r="DL171" s="61">
        <f>IF(ISERROR((DK171/DC171-1)*100),"NA",IF(((DK171/DC171-1)*100)&gt;100,"NM",IF(((DK171/DC171-1)*100)&lt;-50,"NM",(DK171/DC171-1)*100)))</f>
        <v>-3.5844513243894149</v>
      </c>
      <c r="DM171" s="81">
        <f>+DM166/DM150*100</f>
        <v>61.842105263157897</v>
      </c>
      <c r="DN171" s="130">
        <f t="shared" ref="DN171:DZ171" si="1174">IF(ISERROR((DM171/DE171-1)*100),"NA",IF(((DM171/DE171-1)*100)&gt;100,"NM",IF(((DM171/DE171-1)*100)&lt;-50,"NM",(DM171/DE171-1)*100)))</f>
        <v>-1.8176885512750984</v>
      </c>
      <c r="DO171" s="81">
        <f>+DO166/DO150*100</f>
        <v>63.636363636363633</v>
      </c>
      <c r="DP171" s="130">
        <f t="shared" si="1174"/>
        <v>9.4696969696950184E-2</v>
      </c>
      <c r="DQ171" s="81">
        <f>+DQ166/DQ150*100</f>
        <v>68.987341772151893</v>
      </c>
      <c r="DR171" s="130">
        <f t="shared" si="1174"/>
        <v>-1.3545486809416807</v>
      </c>
      <c r="DS171" s="81">
        <f>+DS166/DS150*100</f>
        <v>66.666666666666657</v>
      </c>
      <c r="DT171" s="130">
        <f t="shared" si="1174"/>
        <v>4.0816326530612068</v>
      </c>
      <c r="DU171" s="81">
        <f>+DU166/DU150*100</f>
        <v>72.10884353741497</v>
      </c>
      <c r="DV171" s="805">
        <f t="shared" si="1174"/>
        <v>16.601534230713554</v>
      </c>
      <c r="DW171" s="81">
        <f>+DW166/DW150*100</f>
        <v>64.556962025316452</v>
      </c>
      <c r="DX171" s="81">
        <f t="shared" ref="DX171:DY171" si="1175">+DX166/DX150*100</f>
        <v>64.556962025316452</v>
      </c>
      <c r="DY171" s="81">
        <f t="shared" si="1175"/>
        <v>71.333333333333343</v>
      </c>
      <c r="DZ171" s="61">
        <f t="shared" si="1174"/>
        <v>3.4006116207951242</v>
      </c>
      <c r="EA171" s="81">
        <f t="shared" ref="EA171:EC171" si="1176">+EA166/EA150*100</f>
        <v>71.126760563380287</v>
      </c>
      <c r="EB171" s="61">
        <f t="shared" ref="EB171" si="1177">IF(ISERROR((EA171/DS171-1)*100),"NA",IF(((EA171/DS171-1)*100)&gt;100,"NM",IF(((EA171/DS171-1)*100)&lt;-50,"NM",(EA171/DS171-1)*100)))</f>
        <v>6.6901408450704469</v>
      </c>
      <c r="EC171" s="81">
        <f t="shared" si="1176"/>
        <v>72.027972027972027</v>
      </c>
      <c r="ED171" s="61">
        <f t="shared" ref="ED171" si="1178">IF(ISERROR((EC171/DU171-1)*100),"NA",IF(((EC171/DU171-1)*100)&gt;100,"NM",IF(((EC171/DU171-1)*100)&lt;-50,"NM",(EC171/DU171-1)*100)))</f>
        <v>-0.11215199894445416</v>
      </c>
      <c r="EE171" s="81">
        <f t="shared" ref="EE171:EG171" si="1179">+EE166/EE150*100</f>
        <v>68.181818181818173</v>
      </c>
      <c r="EF171" s="61">
        <f t="shared" ref="EF171" si="1180">IF(ISERROR((EE171/DW171-1)*100),"NA",IF(((EE171/DW171-1)*100)&gt;100,"NM",IF(((EE171/DW171-1)*100)&lt;-50,"NM",(EE171/DW171-1)*100)))</f>
        <v>5.6149732620320858</v>
      </c>
      <c r="EG171" s="81">
        <f t="shared" si="1179"/>
        <v>71.333333333333343</v>
      </c>
      <c r="EH171" s="130">
        <f t="shared" ref="EH171" si="1181">IF(ISERROR((EG171/DY171-1)*100),"NA",IF(((EG171/DY171-1)*100)&gt;100,"NM",IF(((EG171/DY171-1)*100)&lt;-50,"NM",(EG171/DY171-1)*100)))</f>
        <v>0</v>
      </c>
      <c r="EI171" s="81">
        <f t="shared" ref="EI171:EK171" si="1182">+EI166/EI150*100</f>
        <v>69.333333333333343</v>
      </c>
      <c r="EJ171" s="130">
        <f t="shared" ref="EJ171" si="1183">IF(ISERROR((EI171/EA171-1)*100),"NA",IF(((EI171/EA171-1)*100)&gt;100,"NM",IF(((EI171/EA171-1)*100)&lt;-50,"NM",(EI171/EA171-1)*100)))</f>
        <v>-2.52145214521452</v>
      </c>
      <c r="EK171" s="81">
        <f t="shared" si="1182"/>
        <v>69.230769230769226</v>
      </c>
      <c r="EL171" s="130">
        <f t="shared" ref="EL171" si="1184">IF(ISERROR((EK171/EC171-1)*100),"NA",IF(((EK171/EC171-1)*100)&gt;100,"NM",IF(((EK171/EC171-1)*100)&lt;-50,"NM",(EK171/EC171-1)*100)))</f>
        <v>-3.8834951456310773</v>
      </c>
      <c r="EM171" s="81">
        <f t="shared" ref="EM171" si="1185">+EM166/EM150*100</f>
        <v>70.322580645161295</v>
      </c>
      <c r="EN171" s="130">
        <f t="shared" ref="EN171" si="1186">IF(ISERROR((EM171/EE171-1)*100),"NA",IF(((EM171/EE171-1)*100)&gt;100,"NM",IF(((EM171/EE171-1)*100)&lt;-50,"NM",(EM171/EE171-1)*100)))</f>
        <v>3.1397849462365901</v>
      </c>
      <c r="EO171" s="81">
        <f t="shared" ref="EO171" si="1187">+EO166/EO150*100</f>
        <v>65.662650602409627</v>
      </c>
      <c r="EP171" s="130">
        <f t="shared" ref="EP171" si="1188">IF(ISERROR((EO171/EG171-1)*100),"NA",IF(((EO171/EG171-1)*100)&gt;100,"NM",IF(((EO171/EG171-1)*100)&lt;-50,"NM",(EO171/EG171-1)*100)))</f>
        <v>-7.9495552302668919</v>
      </c>
      <c r="EQ171" s="89">
        <v>68.5</v>
      </c>
      <c r="ER171" s="130">
        <f t="shared" ref="ER171" si="1189">IF(ISERROR((EQ171/EI171-1)*100),"NA",IF(((EQ171/EI171-1)*100)&gt;100,"NM",IF(((EQ171/EI171-1)*100)&lt;-50,"NM",(EQ171/EI171-1)*100)))</f>
        <v>-1.2019230769230949</v>
      </c>
      <c r="ES171" s="89">
        <f t="shared" ref="ES171" si="1190">EQ171</f>
        <v>68.5</v>
      </c>
      <c r="ET171" s="130">
        <f t="shared" ref="ET171" si="1191">IF(ISERROR((ES171/EK171-1)*100),"NA",IF(((ES171/EK171-1)*100)&gt;100,"NM",IF(((ES171/EK171-1)*100)&lt;-50,"NM",(ES171/EK171-1)*100)))</f>
        <v>-1.055555555555554</v>
      </c>
      <c r="EU171" s="89">
        <f t="shared" ref="EU171" si="1192">ES171</f>
        <v>68.5</v>
      </c>
      <c r="EV171" s="130">
        <f t="shared" ref="EV171" si="1193">IF(ISERROR((EU171/EM171-1)*100),"NA",IF(((EU171/EM171-1)*100)&gt;100,"NM",IF(((EU171/EM171-1)*100)&lt;-50,"NM",(EU171/EM171-1)*100)))</f>
        <v>-2.5917431192660656</v>
      </c>
      <c r="EW171" s="89">
        <f t="shared" ref="EW171" si="1194">EU171</f>
        <v>68.5</v>
      </c>
      <c r="EX171" s="130">
        <f t="shared" ref="EX171" si="1195">IF(ISERROR((EW171/EO171-1)*100),"NA",IF(((EW171/EO171-1)*100)&gt;100,"NM",IF(((EW171/EO171-1)*100)&lt;-50,"NM",(EW171/EO171-1)*100)))</f>
        <v>4.3211009174312087</v>
      </c>
      <c r="EY171" s="89"/>
      <c r="EZ171" s="558"/>
      <c r="FA171" s="89"/>
      <c r="FB171" s="124"/>
      <c r="FC171" s="124"/>
      <c r="FD171" s="124"/>
      <c r="FE171" s="70"/>
      <c r="FF171" s="124"/>
      <c r="FG171" s="70"/>
      <c r="FH171" s="81"/>
      <c r="FI171" s="70"/>
      <c r="FJ171" s="81"/>
      <c r="FK171" s="70"/>
      <c r="FL171" s="81"/>
      <c r="FM171" s="61"/>
      <c r="FN171" s="81"/>
      <c r="FO171" s="61"/>
      <c r="FP171" s="88">
        <f>+FP166/FP150*100</f>
        <v>59.628471583593893</v>
      </c>
      <c r="FQ171" s="61" t="str">
        <f>IF(ISERROR((FP171/FN171-1)*100),"NA",IF(((FP171/FN171-1)*100)&gt;100,"NM",IF(((FP171/FN171-1)*100)&lt;-50,"NM",(FP171/FN171-1)*100)))</f>
        <v>NA</v>
      </c>
      <c r="FR171" s="88">
        <f>+FR166/FR150*100</f>
        <v>53.930055401662045</v>
      </c>
      <c r="FS171" s="61">
        <f>IF(ISERROR((FR171/FP171-1)*100),"NA",IF(((FR171/FP171-1)*100)&gt;100,"NM",IF(((FR171/FP171-1)*100)&lt;-50,"NM",(FR171/FP171-1)*100)))</f>
        <v>-9.5565357128820079</v>
      </c>
      <c r="FT171" s="88">
        <f>+FT166/FT150*100</f>
        <v>55.439957679421624</v>
      </c>
      <c r="FU171" s="61">
        <f>IF(ISERROR((FT171/FR171-1)*100),"NA",IF(((FT171/FR171-1)*100)&gt;100,"NM",IF(((FT171/FR171-1)*100)&lt;-50,"NM",(FT171/FR171-1)*100)))</f>
        <v>2.7997417516338219</v>
      </c>
      <c r="FV171" s="88">
        <f>+FV166/FV150*100</f>
        <v>62.624254473161031</v>
      </c>
      <c r="FW171" s="61">
        <f>IF(ISERROR((FV171/FT171-1)*100),"NA",IF(((FV171/FT171-1)*100)&gt;100,"NM",IF(((FV171/FT171-1)*100)&lt;-50,"NM",(FV171/FT171-1)*100)))</f>
        <v>12.958698192524221</v>
      </c>
      <c r="FX171" s="88">
        <f>+FX166/FX150*100</f>
        <v>60.940099833610638</v>
      </c>
      <c r="FY171" s="61">
        <f>IF(ISERROR((FX171/FV171-1)*100),"NA",IF(((FX171/FV171-1)*100)&gt;100,"NM",IF(((FX171/FV171-1)*100)&lt;-50,"NM",(FX171/FV171-1)*100)))</f>
        <v>-2.6893009006153878</v>
      </c>
      <c r="FZ171" s="88">
        <f>+FZ166/FZ150*100</f>
        <v>58.70001825817053</v>
      </c>
      <c r="GA171" s="61">
        <f>IF(ISERROR((FZ171/FX171-1)*100),"NA",IF(((FZ171/FX171-1)*100)&gt;100,"NM",IF(((FZ171/FX171-1)*100)&lt;-50,"NM",(FZ171/FX171-1)*100)))</f>
        <v>-3.6758744760122974</v>
      </c>
      <c r="GB171" s="88">
        <f>+GB166/GB150*100</f>
        <v>61.445366528354086</v>
      </c>
      <c r="GC171" s="61">
        <f>IF(ISERROR((GB171/FZ171-1)*100),"NA",IF(((GB171/FZ171-1)*100)&gt;100,"NM",IF(((GB171/FZ171-1)*100)&lt;-50,"NM",(GB171/FZ171-1)*100)))</f>
        <v>4.6769121231089672</v>
      </c>
      <c r="GD171" s="88">
        <f>+GD166/GD150*100</f>
        <v>69.75524475524476</v>
      </c>
      <c r="GE171" s="61">
        <f>IF(ISERROR((GD171/GB171-1)*100),"NA",IF(((GD171/GB171-1)*100)&gt;100,"NM",IF(((GD171/GB171-1)*100)&lt;-50,"NM",(GD171/GB171-1)*100)))</f>
        <v>13.524011160477123</v>
      </c>
      <c r="GF171" s="88">
        <f>+GF166/GF150*100</f>
        <v>65.723793677204654</v>
      </c>
      <c r="GG171" s="61">
        <f t="shared" ref="GG171:GW171" si="1196">IF(ISERROR((GF171/GD171-1)*100),"NA",IF(((GF171/GD171-1)*100)&gt;100,"NM",IF(((GF171/GD171-1)*100)&lt;-50,"NM",(GF171/GD171-1)*100)))</f>
        <v>-5.7794236005988537</v>
      </c>
      <c r="GH171" s="88">
        <f>+GH166/GH150*100</f>
        <v>64.667747163695296</v>
      </c>
      <c r="GI171" s="61">
        <f t="shared" si="1196"/>
        <v>-1.6067948218205674</v>
      </c>
      <c r="GJ171" s="783">
        <f>+GJ166/GJ150*100</f>
        <v>68.59504132231406</v>
      </c>
      <c r="GK171" s="805">
        <f t="shared" si="1196"/>
        <v>6.0730338242300119</v>
      </c>
      <c r="GL171" s="783">
        <f>+GL166/GL150*100</f>
        <v>70.62818336162988</v>
      </c>
      <c r="GM171" s="61">
        <f t="shared" si="1196"/>
        <v>2.9639781537013743</v>
      </c>
      <c r="GN171" s="783">
        <f>+GN166/GN150*100</f>
        <v>68.580542264752779</v>
      </c>
      <c r="GO171" s="61">
        <f t="shared" si="1196"/>
        <v>-2.8991841491841641</v>
      </c>
      <c r="GP171" s="783">
        <f>+GP166/GP150*100</f>
        <v>68.5</v>
      </c>
      <c r="GQ171" s="61">
        <f t="shared" si="1196"/>
        <v>-0.11744186046509508</v>
      </c>
      <c r="GR171" s="89">
        <f>GP171</f>
        <v>68.5</v>
      </c>
      <c r="GS171" s="61">
        <f t="shared" si="1196"/>
        <v>0</v>
      </c>
      <c r="GT171" s="89">
        <f>GR171</f>
        <v>68.5</v>
      </c>
      <c r="GU171" s="61">
        <f t="shared" si="1196"/>
        <v>0</v>
      </c>
      <c r="GV171" s="89">
        <f>GT171</f>
        <v>68.5</v>
      </c>
      <c r="GW171" s="61">
        <f t="shared" si="1196"/>
        <v>0</v>
      </c>
      <c r="GX171" s="89">
        <f>GV171</f>
        <v>68.5</v>
      </c>
      <c r="GY171" s="61">
        <f t="shared" ref="GY171" si="1197">IF(ISERROR((GX171/GV171-1)*100),"NA",IF(((GX171/GV171-1)*100)&gt;100,"NM",IF(((GX171/GV171-1)*100)&lt;-50,"NM",(GX171/GV171-1)*100)))</f>
        <v>0</v>
      </c>
      <c r="GZ171" s="61">
        <f t="shared" si="1111"/>
        <v>-2.3499413947059011E-2</v>
      </c>
      <c r="HA171" s="61"/>
      <c r="HB171" s="452"/>
      <c r="HC171"/>
      <c r="HD171"/>
      <c r="HE171"/>
      <c r="HF171"/>
      <c r="HG171"/>
      <c r="HH171"/>
    </row>
    <row r="172" spans="1:216" s="5" customFormat="1" ht="12.75" customHeight="1" x14ac:dyDescent="0.2">
      <c r="B172" s="68"/>
      <c r="C172" s="133"/>
      <c r="D172" s="70"/>
      <c r="E172" s="133"/>
      <c r="F172" s="71"/>
      <c r="G172" s="133"/>
      <c r="H172" s="71"/>
      <c r="I172" s="133"/>
      <c r="J172" s="61"/>
      <c r="K172" s="133"/>
      <c r="L172" s="61"/>
      <c r="M172" s="133"/>
      <c r="N172" s="61"/>
      <c r="O172" s="133"/>
      <c r="P172" s="61"/>
      <c r="Q172" s="133"/>
      <c r="R172" s="61"/>
      <c r="S172" s="133"/>
      <c r="T172" s="61"/>
      <c r="U172" s="133"/>
      <c r="V172" s="61"/>
      <c r="W172" s="133"/>
      <c r="X172" s="61"/>
      <c r="Y172" s="133"/>
      <c r="Z172" s="61"/>
      <c r="AA172" s="133"/>
      <c r="AB172" s="61"/>
      <c r="AC172" s="133"/>
      <c r="AD172" s="61"/>
      <c r="AE172" s="133"/>
      <c r="AF172" s="61"/>
      <c r="AG172" s="133"/>
      <c r="AH172" s="61"/>
      <c r="AI172" s="133"/>
      <c r="AJ172" s="61"/>
      <c r="AK172" s="133"/>
      <c r="AL172" s="61"/>
      <c r="AM172" s="133"/>
      <c r="AN172" s="61"/>
      <c r="AO172" s="133"/>
      <c r="AP172" s="61"/>
      <c r="AQ172" s="133"/>
      <c r="AR172" s="61"/>
      <c r="AS172" s="133"/>
      <c r="AT172" s="61"/>
      <c r="AU172" s="133"/>
      <c r="AV172" s="61"/>
      <c r="AW172" s="133"/>
      <c r="AX172" s="61"/>
      <c r="AY172" s="133"/>
      <c r="AZ172" s="61"/>
      <c r="BA172" s="133"/>
      <c r="BB172" s="61"/>
      <c r="BC172" s="133"/>
      <c r="BD172" s="61"/>
      <c r="BE172" s="133"/>
      <c r="BF172" s="61"/>
      <c r="BG172" s="133"/>
      <c r="BH172" s="61"/>
      <c r="BI172" s="133"/>
      <c r="BJ172" s="61"/>
      <c r="BK172" s="133"/>
      <c r="BL172" s="61"/>
      <c r="BM172" s="133"/>
      <c r="BN172" s="61"/>
      <c r="BO172" s="133"/>
      <c r="BP172" s="61"/>
      <c r="BQ172" s="133"/>
      <c r="BR172" s="61"/>
      <c r="BS172" s="133"/>
      <c r="BT172" s="61"/>
      <c r="BU172" s="133"/>
      <c r="BV172" s="61"/>
      <c r="BW172" s="133"/>
      <c r="BX172" s="61"/>
      <c r="BY172" s="133"/>
      <c r="BZ172" s="61"/>
      <c r="CA172" s="133"/>
      <c r="CB172" s="61"/>
      <c r="CC172" s="133"/>
      <c r="CD172" s="61"/>
      <c r="CE172" s="133"/>
      <c r="CF172" s="61"/>
      <c r="CG172" s="133"/>
      <c r="CH172" s="61"/>
      <c r="CI172" s="133"/>
      <c r="CJ172" s="61"/>
      <c r="CK172" s="133"/>
      <c r="CL172" s="61"/>
      <c r="CM172" s="133"/>
      <c r="CN172" s="61"/>
      <c r="CO172" s="133"/>
      <c r="CP172" s="61"/>
      <c r="CQ172" s="133"/>
      <c r="CR172" s="61"/>
      <c r="CS172" s="133"/>
      <c r="CT172" s="61"/>
      <c r="CU172" s="133"/>
      <c r="CV172" s="61"/>
      <c r="CW172" s="133"/>
      <c r="CX172" s="61"/>
      <c r="CY172" s="133"/>
      <c r="CZ172" s="61"/>
      <c r="DA172" s="133"/>
      <c r="DB172" s="61"/>
      <c r="DC172" s="133"/>
      <c r="DD172" s="61"/>
      <c r="DE172" s="133"/>
      <c r="DF172" s="61"/>
      <c r="DG172" s="133"/>
      <c r="DH172" s="61"/>
      <c r="DI172" s="133"/>
      <c r="DJ172" s="61"/>
      <c r="DK172" s="133"/>
      <c r="DL172" s="61"/>
      <c r="DM172" s="133"/>
      <c r="DN172" s="61"/>
      <c r="DO172" s="133"/>
      <c r="DP172" s="61"/>
      <c r="DQ172" s="133"/>
      <c r="DR172" s="61"/>
      <c r="DS172" s="133"/>
      <c r="DT172" s="61"/>
      <c r="DU172" s="133"/>
      <c r="DV172" s="61"/>
      <c r="DW172" s="133"/>
      <c r="DX172" s="133"/>
      <c r="DY172" s="133"/>
      <c r="DZ172" s="61"/>
      <c r="EA172" s="133"/>
      <c r="EB172" s="61"/>
      <c r="EC172" s="133"/>
      <c r="ED172" s="61"/>
      <c r="EE172" s="133"/>
      <c r="EF172" s="61"/>
      <c r="EG172" s="133"/>
      <c r="EH172" s="61"/>
      <c r="EI172" s="133"/>
      <c r="EJ172" s="61"/>
      <c r="EK172" s="133"/>
      <c r="EL172" s="61"/>
      <c r="EM172" s="133"/>
      <c r="EN172" s="61"/>
      <c r="EO172" s="133"/>
      <c r="EP172" s="61"/>
      <c r="EQ172" s="133"/>
      <c r="ER172" s="61"/>
      <c r="ES172" s="133"/>
      <c r="ET172" s="61"/>
      <c r="EU172" s="133"/>
      <c r="EV172" s="61"/>
      <c r="EW172" s="133"/>
      <c r="EX172" s="61"/>
      <c r="EY172" s="64"/>
      <c r="EZ172" s="558"/>
      <c r="FA172" s="64"/>
      <c r="FB172" s="124"/>
      <c r="FC172" s="124"/>
      <c r="FD172" s="124"/>
      <c r="FE172" s="70"/>
      <c r="FF172" s="124"/>
      <c r="FG172" s="70"/>
      <c r="FH172" s="81"/>
      <c r="FI172" s="70"/>
      <c r="FJ172" s="81"/>
      <c r="FK172" s="70"/>
      <c r="FL172" s="133"/>
      <c r="FM172" s="61"/>
      <c r="FN172" s="133"/>
      <c r="FO172" s="61"/>
      <c r="FP172" s="133"/>
      <c r="FQ172" s="61"/>
      <c r="FR172" s="133"/>
      <c r="FS172" s="61"/>
      <c r="FT172" s="133"/>
      <c r="FU172" s="61"/>
      <c r="FV172" s="133"/>
      <c r="FW172" s="61"/>
      <c r="FX172" s="133"/>
      <c r="FY172" s="61"/>
      <c r="FZ172" s="133"/>
      <c r="GA172" s="61"/>
      <c r="GB172" s="133"/>
      <c r="GC172" s="61"/>
      <c r="GD172" s="133"/>
      <c r="GE172" s="61"/>
      <c r="GF172" s="133"/>
      <c r="GG172" s="61"/>
      <c r="GH172" s="133"/>
      <c r="GI172" s="61"/>
      <c r="GJ172" s="133"/>
      <c r="GK172" s="61"/>
      <c r="GL172" s="133"/>
      <c r="GM172" s="61"/>
      <c r="GN172" s="133"/>
      <c r="GO172" s="61"/>
      <c r="GP172" s="133"/>
      <c r="GQ172" s="61"/>
      <c r="GR172" s="133"/>
      <c r="GS172" s="61"/>
      <c r="GT172" s="133"/>
      <c r="GU172" s="61"/>
      <c r="GV172" s="133"/>
      <c r="GW172" s="61"/>
      <c r="GX172" s="133"/>
      <c r="GY172" s="61"/>
      <c r="GZ172" s="61" t="str">
        <f t="shared" si="1111"/>
        <v/>
      </c>
      <c r="HA172" s="61"/>
      <c r="HB172" s="452"/>
      <c r="HC172"/>
      <c r="HD172"/>
      <c r="HE172"/>
      <c r="HF172"/>
      <c r="HG172"/>
      <c r="HH172"/>
    </row>
    <row r="173" spans="1:216" s="5" customFormat="1" ht="12.75" customHeight="1" x14ac:dyDescent="0.2">
      <c r="B173" s="134" t="s">
        <v>578</v>
      </c>
      <c r="C173" s="66"/>
      <c r="D173" s="67"/>
      <c r="E173" s="66"/>
      <c r="F173" s="66"/>
      <c r="G173" s="64"/>
      <c r="H173" s="66"/>
      <c r="I173" s="64"/>
      <c r="J173" s="66"/>
      <c r="K173" s="64"/>
      <c r="L173" s="61"/>
      <c r="M173" s="66"/>
      <c r="N173" s="61"/>
      <c r="O173" s="64"/>
      <c r="P173" s="61"/>
      <c r="Q173" s="64"/>
      <c r="R173" s="61"/>
      <c r="S173" s="64"/>
      <c r="T173" s="61"/>
      <c r="U173" s="64"/>
      <c r="V173" s="61"/>
      <c r="W173" s="64"/>
      <c r="X173" s="61"/>
      <c r="Y173" s="64"/>
      <c r="Z173" s="61"/>
      <c r="AA173" s="64"/>
      <c r="AB173" s="61"/>
      <c r="AC173" s="64"/>
      <c r="AD173" s="61"/>
      <c r="AE173" s="64"/>
      <c r="AF173" s="61"/>
      <c r="AG173" s="64"/>
      <c r="AH173" s="61"/>
      <c r="AI173" s="64"/>
      <c r="AJ173" s="61"/>
      <c r="AK173" s="64"/>
      <c r="AL173" s="61"/>
      <c r="AM173" s="64"/>
      <c r="AN173" s="61"/>
      <c r="AO173" s="64"/>
      <c r="AP173" s="61"/>
      <c r="AQ173" s="64"/>
      <c r="AR173" s="61"/>
      <c r="AS173" s="64"/>
      <c r="AT173" s="61"/>
      <c r="AU173" s="64"/>
      <c r="AV173" s="61"/>
      <c r="AW173" s="64"/>
      <c r="AX173" s="61"/>
      <c r="AY173" s="64"/>
      <c r="AZ173" s="61"/>
      <c r="BA173" s="64"/>
      <c r="BB173" s="61"/>
      <c r="BC173" s="64"/>
      <c r="BD173" s="61"/>
      <c r="BE173" s="64"/>
      <c r="BF173" s="61"/>
      <c r="BG173" s="64"/>
      <c r="BH173" s="61"/>
      <c r="BI173" s="64"/>
      <c r="BJ173" s="61"/>
      <c r="BK173" s="64"/>
      <c r="BL173" s="61"/>
      <c r="BM173" s="64"/>
      <c r="BN173" s="61"/>
      <c r="BO173" s="64"/>
      <c r="BP173" s="61"/>
      <c r="BQ173" s="64"/>
      <c r="BR173" s="61"/>
      <c r="BS173" s="64"/>
      <c r="BT173" s="61"/>
      <c r="BU173" s="64"/>
      <c r="BV173" s="61"/>
      <c r="BW173" s="64"/>
      <c r="BX173" s="61"/>
      <c r="BY173" s="64"/>
      <c r="BZ173" s="61"/>
      <c r="CA173" s="64"/>
      <c r="CB173" s="61"/>
      <c r="CC173" s="64"/>
      <c r="CD173" s="61"/>
      <c r="CE173" s="64"/>
      <c r="CF173" s="61"/>
      <c r="CG173" s="64"/>
      <c r="CH173" s="61"/>
      <c r="CI173" s="64"/>
      <c r="CJ173" s="61"/>
      <c r="CK173" s="64"/>
      <c r="CL173" s="61"/>
      <c r="CM173" s="64"/>
      <c r="CN173" s="61"/>
      <c r="CO173" s="64"/>
      <c r="CP173" s="61"/>
      <c r="CQ173" s="64"/>
      <c r="CR173" s="61"/>
      <c r="CS173" s="64"/>
      <c r="CT173" s="61"/>
      <c r="CU173" s="64"/>
      <c r="CV173" s="61"/>
      <c r="CW173" s="64"/>
      <c r="CX173" s="61"/>
      <c r="CY173" s="64"/>
      <c r="CZ173" s="61"/>
      <c r="DA173" s="64"/>
      <c r="DB173" s="61"/>
      <c r="DC173" s="64"/>
      <c r="DD173" s="61"/>
      <c r="DE173" s="64"/>
      <c r="DF173" s="61"/>
      <c r="DG173" s="64"/>
      <c r="DH173" s="61"/>
      <c r="DI173" s="64"/>
      <c r="DJ173" s="61"/>
      <c r="DK173" s="64"/>
      <c r="DL173" s="61"/>
      <c r="DM173" s="64"/>
      <c r="DN173" s="61"/>
      <c r="DO173" s="64"/>
      <c r="DP173" s="61"/>
      <c r="DQ173" s="64"/>
      <c r="DR173" s="61"/>
      <c r="DS173" s="64"/>
      <c r="DT173" s="61"/>
      <c r="DU173" s="64"/>
      <c r="DV173" s="61"/>
      <c r="DW173" s="64"/>
      <c r="DX173" s="64"/>
      <c r="DY173" s="64"/>
      <c r="DZ173" s="61"/>
      <c r="EA173" s="64"/>
      <c r="EB173" s="61"/>
      <c r="EC173" s="64"/>
      <c r="ED173" s="61"/>
      <c r="EE173" s="64"/>
      <c r="EF173" s="61"/>
      <c r="EG173" s="64"/>
      <c r="EH173" s="61"/>
      <c r="EI173" s="64"/>
      <c r="EJ173" s="61"/>
      <c r="EK173" s="64"/>
      <c r="EL173" s="61"/>
      <c r="EM173" s="64"/>
      <c r="EN173" s="61"/>
      <c r="EO173" s="64"/>
      <c r="EP173" s="61"/>
      <c r="EQ173" s="64"/>
      <c r="ER173" s="61"/>
      <c r="ES173" s="64"/>
      <c r="ET173" s="61"/>
      <c r="EU173" s="64"/>
      <c r="EV173" s="61"/>
      <c r="EW173" s="64"/>
      <c r="EX173" s="61"/>
      <c r="EY173" s="64"/>
      <c r="EZ173" s="558"/>
      <c r="FA173" s="64"/>
      <c r="FB173" s="66"/>
      <c r="FC173" s="66"/>
      <c r="FD173" s="66"/>
      <c r="FE173" s="67"/>
      <c r="FF173" s="66"/>
      <c r="FG173" s="67"/>
      <c r="FH173" s="66"/>
      <c r="FI173" s="67"/>
      <c r="FJ173" s="66"/>
      <c r="FK173" s="67"/>
      <c r="FL173" s="66"/>
      <c r="FM173" s="61"/>
      <c r="FN173" s="66"/>
      <c r="FO173" s="61"/>
      <c r="FP173" s="65"/>
      <c r="FQ173" s="61"/>
      <c r="FR173" s="65"/>
      <c r="FS173" s="61"/>
      <c r="FT173" s="65"/>
      <c r="FU173" s="61"/>
      <c r="FV173" s="65"/>
      <c r="FW173" s="61"/>
      <c r="FX173" s="65"/>
      <c r="FY173" s="61"/>
      <c r="FZ173" s="65"/>
      <c r="GA173" s="61"/>
      <c r="GB173" s="65"/>
      <c r="GC173" s="61"/>
      <c r="GD173" s="65"/>
      <c r="GE173" s="61"/>
      <c r="GF173" s="65"/>
      <c r="GG173" s="61"/>
      <c r="GH173" s="65"/>
      <c r="GI173" s="61"/>
      <c r="GJ173" s="65"/>
      <c r="GK173" s="61"/>
      <c r="GL173" s="65"/>
      <c r="GM173" s="61"/>
      <c r="GN173" s="65"/>
      <c r="GO173" s="61"/>
      <c r="GP173" s="65"/>
      <c r="GQ173" s="61"/>
      <c r="GR173" s="64"/>
      <c r="GS173" s="61"/>
      <c r="GT173" s="64"/>
      <c r="GU173" s="61"/>
      <c r="GV173" s="64"/>
      <c r="GW173" s="61"/>
      <c r="GX173" s="64"/>
      <c r="GY173" s="61"/>
      <c r="GZ173" s="61" t="str">
        <f t="shared" si="1111"/>
        <v/>
      </c>
      <c r="HA173" s="61"/>
      <c r="HB173" s="452"/>
      <c r="HC173"/>
      <c r="HD173"/>
      <c r="HE173"/>
      <c r="HF173"/>
      <c r="HG173"/>
      <c r="HH173"/>
    </row>
    <row r="174" spans="1:216" s="5" customFormat="1" ht="12.75" customHeight="1" x14ac:dyDescent="0.2">
      <c r="A174" s="5" t="s">
        <v>493</v>
      </c>
      <c r="B174" s="2" t="s">
        <v>351</v>
      </c>
      <c r="C174" s="69"/>
      <c r="D174" s="70"/>
      <c r="E174" s="69"/>
      <c r="F174" s="71"/>
      <c r="G174" s="69"/>
      <c r="H174" s="71"/>
      <c r="I174" s="69"/>
      <c r="J174" s="61"/>
      <c r="K174" s="69"/>
      <c r="L174" s="61"/>
      <c r="M174" s="69"/>
      <c r="N174" s="61"/>
      <c r="O174" s="69"/>
      <c r="P174" s="61"/>
      <c r="Q174" s="69"/>
      <c r="R174" s="61"/>
      <c r="S174" s="69"/>
      <c r="T174" s="61"/>
      <c r="U174" s="69"/>
      <c r="V174" s="61"/>
      <c r="W174" s="69"/>
      <c r="X174" s="61"/>
      <c r="Y174" s="69"/>
      <c r="Z174" s="61"/>
      <c r="AA174" s="69"/>
      <c r="AB174" s="61"/>
      <c r="AC174" s="69"/>
      <c r="AD174" s="61"/>
      <c r="AE174" s="69"/>
      <c r="AF174" s="61"/>
      <c r="AG174" s="69"/>
      <c r="AH174" s="61"/>
      <c r="AI174" s="69"/>
      <c r="AJ174" s="61"/>
      <c r="AK174" s="69"/>
      <c r="AL174" s="61"/>
      <c r="AM174" s="69"/>
      <c r="AN174" s="61"/>
      <c r="AO174" s="69"/>
      <c r="AP174" s="61"/>
      <c r="AQ174" s="69">
        <f>AQ149-AQ168</f>
        <v>59.800000000000011</v>
      </c>
      <c r="AR174" s="61" t="str">
        <f t="shared" ref="AR174:AR180" si="1198">IF(ISERROR((AQ174/AI174-1)*100),"NA",IF(((AQ174/AI174-1)*100)&gt;100,"NM",IF(((AQ174/AI174-1)*100)&lt;-50,"NM",(AQ174/AI174-1)*100)))</f>
        <v>NA</v>
      </c>
      <c r="AS174" s="69">
        <f>AS149-AS168</f>
        <v>62.699999999999989</v>
      </c>
      <c r="AT174" s="61" t="str">
        <f t="shared" ref="AT174:AT180" si="1199">IF(ISERROR((AS174/AK174-1)*100),"NA",IF(((AS174/AK174-1)*100)&gt;100,"NM",IF(((AS174/AK174-1)*100)&lt;-50,"NM",(AS174/AK174-1)*100)))</f>
        <v>NA</v>
      </c>
      <c r="AU174" s="69">
        <f>AU149-AU168</f>
        <v>75.799999999999983</v>
      </c>
      <c r="AV174" s="61" t="str">
        <f t="shared" ref="AV174:AX180" si="1200">IF(ISERROR((AU174/AM174-1)*100),"NA",IF(((AU174/AM174-1)*100)&gt;100,"NM",IF(((AU174/AM174-1)*100)&lt;-50,"NM",(AU174/AM174-1)*100)))</f>
        <v>NA</v>
      </c>
      <c r="AW174" s="69">
        <f>AW149-AW168</f>
        <v>62.899999999999977</v>
      </c>
      <c r="AX174" s="61" t="str">
        <f t="shared" si="1200"/>
        <v>NA</v>
      </c>
      <c r="AY174" s="69">
        <f>AY149-AY168</f>
        <v>75.199999999999989</v>
      </c>
      <c r="AZ174" s="61">
        <f t="shared" ref="AZ174:AZ180" si="1201">IF(ISERROR((AY174/AQ174-1)*100),"NA",IF(((AY174/AQ174-1)*100)&gt;100,"NM",IF(((AY174/AQ174-1)*100)&lt;-50,"NM",(AY174/AQ174-1)*100)))</f>
        <v>25.752508361203972</v>
      </c>
      <c r="BA174" s="69">
        <f>BA149-BA168</f>
        <v>77</v>
      </c>
      <c r="BB174" s="61">
        <f t="shared" ref="BB174:BB180" si="1202">IF(ISERROR((BA174/AS174-1)*100),"NA",IF(((BA174/AS174-1)*100)&gt;100,"NM",IF(((BA174/AS174-1)*100)&lt;-50,"NM",(BA174/AS174-1)*100)))</f>
        <v>22.807017543859676</v>
      </c>
      <c r="BC174" s="69">
        <f>BC149-BC168</f>
        <v>67.5</v>
      </c>
      <c r="BD174" s="61">
        <f t="shared" ref="BD174:BD180" si="1203">IF(ISERROR((BC174/AU174-1)*100),"NA",IF(((BC174/AU174-1)*100)&gt;100,"NM",IF(((BC174/AU174-1)*100)&lt;-50,"NM",(BC174/AU174-1)*100)))</f>
        <v>-10.94986807387861</v>
      </c>
      <c r="BE174" s="69">
        <f>BE149-BE168</f>
        <v>60.399999999999977</v>
      </c>
      <c r="BF174" s="61">
        <f t="shared" ref="BF174:BF180" si="1204">IF(ISERROR((BE174/AW174-1)*100),"NA",IF(((BE174/AW174-1)*100)&gt;100,"NM",IF(((BE174/AW174-1)*100)&lt;-50,"NM",(BE174/AW174-1)*100)))</f>
        <v>-3.9745627980922071</v>
      </c>
      <c r="BG174" s="69">
        <f>BG149-BG168</f>
        <v>70.800000000000011</v>
      </c>
      <c r="BH174" s="61">
        <f t="shared" ref="BH174:CT180" si="1205">IF(ISERROR((BG174/AY174-1)*100),"NA",IF(((BG174/AY174-1)*100)&gt;100,"NM",IF(((BG174/AY174-1)*100)&lt;-50,"NM",(BG174/AY174-1)*100)))</f>
        <v>-5.851063829787206</v>
      </c>
      <c r="BI174" s="69">
        <f>BI149-BI168</f>
        <v>66.800000000000011</v>
      </c>
      <c r="BJ174" s="61">
        <f t="shared" si="1205"/>
        <v>-13.246753246753229</v>
      </c>
      <c r="BK174" s="69">
        <f>BK149-BK168</f>
        <v>54.099999999999994</v>
      </c>
      <c r="BL174" s="61">
        <f t="shared" si="1205"/>
        <v>-19.851851851851865</v>
      </c>
      <c r="BM174" s="69">
        <f>BM149-BM168</f>
        <v>61.200000000000017</v>
      </c>
      <c r="BN174" s="61">
        <f t="shared" si="1205"/>
        <v>1.3245033112583515</v>
      </c>
      <c r="BO174" s="69">
        <f>BO149-BO168</f>
        <v>55.5</v>
      </c>
      <c r="BP174" s="61">
        <f t="shared" si="1205"/>
        <v>-21.610169491525433</v>
      </c>
      <c r="BQ174" s="69">
        <f>BQ149-BQ168</f>
        <v>57</v>
      </c>
      <c r="BR174" s="61">
        <f t="shared" si="1205"/>
        <v>-14.670658682634741</v>
      </c>
      <c r="BS174" s="69">
        <f>BS149-BS168</f>
        <v>57</v>
      </c>
      <c r="BT174" s="61">
        <f t="shared" si="1205"/>
        <v>5.3604436229205188</v>
      </c>
      <c r="BU174" s="69">
        <f>BU149-BU168</f>
        <v>-17.300000000000011</v>
      </c>
      <c r="BV174" s="61" t="str">
        <f t="shared" si="1205"/>
        <v>NM</v>
      </c>
      <c r="BW174" s="69">
        <f>BW149-BW168</f>
        <v>36.399999999999977</v>
      </c>
      <c r="BX174" s="61">
        <f t="shared" si="1205"/>
        <v>-34.414414414414452</v>
      </c>
      <c r="BY174" s="69">
        <f>BY149-BY168</f>
        <v>38.300000000000011</v>
      </c>
      <c r="BZ174" s="61">
        <f t="shared" si="1205"/>
        <v>-32.807017543859629</v>
      </c>
      <c r="CA174" s="69">
        <f>CA149-CA168</f>
        <v>59.400000000000006</v>
      </c>
      <c r="CB174" s="61">
        <f t="shared" si="1205"/>
        <v>4.2105263157894868</v>
      </c>
      <c r="CC174" s="69">
        <f>CC149-CC168</f>
        <v>49.399999999999977</v>
      </c>
      <c r="CD174" s="61" t="str">
        <f t="shared" si="1205"/>
        <v>NM</v>
      </c>
      <c r="CE174" s="69">
        <f>CE149-CE168</f>
        <v>50.199999999999989</v>
      </c>
      <c r="CF174" s="61">
        <f t="shared" si="1205"/>
        <v>37.912087912087976</v>
      </c>
      <c r="CG174" s="69">
        <f>CG149-CG168</f>
        <v>50.100000000000023</v>
      </c>
      <c r="CH174" s="61">
        <f t="shared" si="1205"/>
        <v>30.80939947780681</v>
      </c>
      <c r="CI174" s="69">
        <f>CI149-CI168</f>
        <v>68.900000000000006</v>
      </c>
      <c r="CJ174" s="61">
        <f t="shared" si="1205"/>
        <v>15.993265993265982</v>
      </c>
      <c r="CK174" s="69">
        <f>CK149-CK168</f>
        <v>45</v>
      </c>
      <c r="CL174" s="61">
        <f t="shared" si="1205"/>
        <v>-8.9068825910930798</v>
      </c>
      <c r="CM174" s="69">
        <f>CM149-CM168</f>
        <v>69</v>
      </c>
      <c r="CN174" s="61">
        <f t="shared" si="1205"/>
        <v>37.450199203187282</v>
      </c>
      <c r="CO174" s="69">
        <f>CO149-CO168</f>
        <v>58.199999999999989</v>
      </c>
      <c r="CP174" s="61">
        <f t="shared" si="1205"/>
        <v>16.167664670658599</v>
      </c>
      <c r="CQ174" s="69">
        <f>CQ149-CQ168</f>
        <v>53.5</v>
      </c>
      <c r="CR174" s="61">
        <f t="shared" si="1205"/>
        <v>-22.351233671988389</v>
      </c>
      <c r="CS174" s="69">
        <f>CS149-CS168</f>
        <v>45</v>
      </c>
      <c r="CT174" s="61">
        <f t="shared" si="1205"/>
        <v>0</v>
      </c>
      <c r="CU174" s="69">
        <f>CU149-CU168</f>
        <v>47</v>
      </c>
      <c r="CV174" s="61">
        <f t="shared" ref="CV174:CV180" si="1206">IF(ISERROR((CU174/CM174-1)*100),"NA",IF(((CU174/CM174-1)*100)&gt;100,"NM",IF(((CU174/CM174-1)*100)&lt;-50,"NM",(CU174/CM174-1)*100)))</f>
        <v>-31.884057971014489</v>
      </c>
      <c r="CW174" s="69">
        <f>CW149-CW168</f>
        <v>50</v>
      </c>
      <c r="CX174" s="61">
        <f t="shared" ref="CX174:CX180" si="1207">IF(ISERROR((CW174/CO174-1)*100),"NA",IF(((CW174/CO174-1)*100)&gt;100,"NM",IF(((CW174/CO174-1)*100)&lt;-50,"NM",(CW174/CO174-1)*100)))</f>
        <v>-14.089347079037784</v>
      </c>
      <c r="CY174" s="69">
        <f>CY149-CY168</f>
        <v>39</v>
      </c>
      <c r="CZ174" s="61">
        <f t="shared" ref="CZ174:CZ180" si="1208">IF(ISERROR((CY174/CQ174-1)*100),"NA",IF(((CY174/CQ174-1)*100)&gt;100,"NM",IF(((CY174/CQ174-1)*100)&lt;-50,"NM",(CY174/CQ174-1)*100)))</f>
        <v>-27.10280373831776</v>
      </c>
      <c r="DA174" s="69">
        <f>DA149-DA168</f>
        <v>32</v>
      </c>
      <c r="DB174" s="61">
        <f t="shared" ref="DB174:DB180" si="1209">IF(ISERROR((DA174/CS174-1)*100),"NA",IF(((DA174/CS174-1)*100)&gt;100,"NM",IF(((DA174/CS174-1)*100)&lt;-50,"NM",(DA174/CS174-1)*100)))</f>
        <v>-28.888888888888886</v>
      </c>
      <c r="DC174" s="69">
        <f>DC149-DC168</f>
        <v>48</v>
      </c>
      <c r="DD174" s="61">
        <f t="shared" ref="DD174:DD180" si="1210">IF(ISERROR((DC174/CU174-1)*100),"NA",IF(((DC174/CU174-1)*100)&gt;100,"NM",IF(((DC174/CU174-1)*100)&lt;-50,"NM",(DC174/CU174-1)*100)))</f>
        <v>2.1276595744680771</v>
      </c>
      <c r="DE174" s="69">
        <f>DE149-DE168</f>
        <v>54</v>
      </c>
      <c r="DF174" s="61">
        <f t="shared" ref="DF174:DF180" si="1211">IF(ISERROR((DE174/CW174-1)*100),"NA",IF(((DE174/CW174-1)*100)&gt;100,"NM",IF(((DE174/CW174-1)*100)&lt;-50,"NM",(DE174/CW174-1)*100)))</f>
        <v>8.0000000000000071</v>
      </c>
      <c r="DG174" s="69">
        <f>DG149-DG168</f>
        <v>44</v>
      </c>
      <c r="DH174" s="61">
        <f t="shared" ref="DH174:DH180" si="1212">IF(ISERROR((DG174/CY174-1)*100),"NA",IF(((DG174/CY174-1)*100)&gt;100,"NM",IF(((DG174/CY174-1)*100)&lt;-50,"NM",(DG174/CY174-1)*100)))</f>
        <v>12.820512820512819</v>
      </c>
      <c r="DI174" s="69">
        <f>DI149-DI168</f>
        <v>44</v>
      </c>
      <c r="DJ174" s="61">
        <f t="shared" ref="DJ174:DJ180" si="1213">IF(ISERROR((DI174/DA174-1)*100),"NA",IF(((DI174/DA174-1)*100)&gt;100,"NM",IF(((DI174/DA174-1)*100)&lt;-50,"NM",(DI174/DA174-1)*100)))</f>
        <v>37.5</v>
      </c>
      <c r="DK174" s="69">
        <f>DK149-DK168</f>
        <v>53</v>
      </c>
      <c r="DL174" s="61">
        <f t="shared" ref="DL174:DL180" si="1214">IF(ISERROR((DK174/DC174-1)*100),"NA",IF(((DK174/DC174-1)*100)&gt;100,"NM",IF(((DK174/DC174-1)*100)&lt;-50,"NM",(DK174/DC174-1)*100)))</f>
        <v>10.416666666666675</v>
      </c>
      <c r="DM174" s="69">
        <f>DM149-DM168</f>
        <v>54</v>
      </c>
      <c r="DN174" s="130">
        <f t="shared" ref="DN174:DZ180" si="1215">IF(ISERROR((DM174/DE174-1)*100),"NA",IF(((DM174/DE174-1)*100)&gt;100,"NM",IF(((DM174/DE174-1)*100)&lt;-50,"NM",(DM174/DE174-1)*100)))</f>
        <v>0</v>
      </c>
      <c r="DO174" s="69">
        <f>DO149-DO168</f>
        <v>55</v>
      </c>
      <c r="DP174" s="130">
        <f t="shared" si="1215"/>
        <v>25</v>
      </c>
      <c r="DQ174" s="69">
        <f>DQ149-DQ168</f>
        <v>49</v>
      </c>
      <c r="DR174" s="130">
        <f t="shared" si="1215"/>
        <v>11.363636363636353</v>
      </c>
      <c r="DS174" s="69">
        <f>DS149-DS168</f>
        <v>48</v>
      </c>
      <c r="DT174" s="130">
        <f t="shared" si="1215"/>
        <v>-9.4339622641509422</v>
      </c>
      <c r="DU174" s="69">
        <f>DU149-DU168</f>
        <v>39</v>
      </c>
      <c r="DV174" s="130">
        <f t="shared" si="1215"/>
        <v>-27.777777777777779</v>
      </c>
      <c r="DW174" s="69">
        <f>DW149-DW168</f>
        <v>57</v>
      </c>
      <c r="DX174" s="69">
        <f t="shared" ref="DX174:DY174" si="1216">DX149-DX168</f>
        <v>57</v>
      </c>
      <c r="DY174" s="69">
        <f t="shared" si="1216"/>
        <v>45</v>
      </c>
      <c r="DZ174" s="130">
        <f t="shared" si="1215"/>
        <v>-8.1632653061224474</v>
      </c>
      <c r="EA174" s="69">
        <f t="shared" ref="EA174:EC174" si="1217">EA149-EA168</f>
        <v>41</v>
      </c>
      <c r="EB174" s="130">
        <f t="shared" ref="EB174:EB180" si="1218">IF(ISERROR((EA174/DS174-1)*100),"NA",IF(((EA174/DS174-1)*100)&gt;100,"NM",IF(((EA174/DS174-1)*100)&lt;-50,"NM",(EA174/DS174-1)*100)))</f>
        <v>-14.583333333333337</v>
      </c>
      <c r="EC174" s="69">
        <f t="shared" si="1217"/>
        <v>41</v>
      </c>
      <c r="ED174" s="130">
        <f t="shared" ref="ED174:ED180" si="1219">IF(ISERROR((EC174/DU174-1)*100),"NA",IF(((EC174/DU174-1)*100)&gt;100,"NM",IF(((EC174/DU174-1)*100)&lt;-50,"NM",(EC174/DU174-1)*100)))</f>
        <v>5.1282051282051322</v>
      </c>
      <c r="EE174" s="69">
        <f t="shared" ref="EE174:EG174" si="1220">EE149-EE168</f>
        <v>45</v>
      </c>
      <c r="EF174" s="130">
        <f t="shared" ref="EF174:EF180" si="1221">IF(ISERROR((EE174/DW174-1)*100),"NA",IF(((EE174/DW174-1)*100)&gt;100,"NM",IF(((EE174/DW174-1)*100)&lt;-50,"NM",(EE174/DW174-1)*100)))</f>
        <v>-21.052631578947366</v>
      </c>
      <c r="EG174" s="69">
        <f t="shared" si="1220"/>
        <v>46</v>
      </c>
      <c r="EH174" s="130">
        <f t="shared" ref="EH174:EH180" si="1222">IF(ISERROR((EG174/DY174-1)*100),"NA",IF(((EG174/DY174-1)*100)&gt;100,"NM",IF(((EG174/DY174-1)*100)&lt;-50,"NM",(EG174/DY174-1)*100)))</f>
        <v>2.2222222222222143</v>
      </c>
      <c r="EI174" s="69">
        <f t="shared" ref="EI174" si="1223">EI149-EI168</f>
        <v>48</v>
      </c>
      <c r="EJ174" s="130">
        <f t="shared" ref="EJ174:EJ180" si="1224">IF(ISERROR((EI174/EA174-1)*100),"NA",IF(((EI174/EA174-1)*100)&gt;100,"NM",IF(((EI174/EA174-1)*100)&lt;-50,"NM",(EI174/EA174-1)*100)))</f>
        <v>17.073170731707311</v>
      </c>
      <c r="EK174" s="69">
        <f t="shared" ref="EK174:EM174" si="1225">EK149-EK168</f>
        <v>50</v>
      </c>
      <c r="EL174" s="130">
        <f t="shared" ref="EL174:EL180" si="1226">IF(ISERROR((EK174/EC174-1)*100),"NA",IF(((EK174/EC174-1)*100)&gt;100,"NM",IF(((EK174/EC174-1)*100)&lt;-50,"NM",(EK174/EC174-1)*100)))</f>
        <v>21.95121951219512</v>
      </c>
      <c r="EM174" s="69">
        <f t="shared" si="1225"/>
        <v>48</v>
      </c>
      <c r="EN174" s="130">
        <f t="shared" ref="EN174:EN180" si="1227">IF(ISERROR((EM174/EE174-1)*100),"NA",IF(((EM174/EE174-1)*100)&gt;100,"NM",IF(((EM174/EE174-1)*100)&lt;-50,"NM",(EM174/EE174-1)*100)))</f>
        <v>6.6666666666666652</v>
      </c>
      <c r="EO174" s="69">
        <f t="shared" ref="EO174" si="1228">EO149-EO168</f>
        <v>57</v>
      </c>
      <c r="EP174" s="130">
        <f t="shared" ref="EP174:EP180" si="1229">IF(ISERROR((EO174/EG174-1)*100),"NA",IF(((EO174/EG174-1)*100)&gt;100,"NM",IF(((EO174/EG174-1)*100)&lt;-50,"NM",(EO174/EG174-1)*100)))</f>
        <v>23.913043478260864</v>
      </c>
      <c r="EQ174" s="69">
        <f t="shared" ref="EQ174:EW174" si="1230">EQ149-EQ168</f>
        <v>53.343347813168691</v>
      </c>
      <c r="ER174" s="130">
        <f t="shared" ref="ER174:ER180" si="1231">IF(ISERROR((EQ174/EI174-1)*100),"NA",IF(((EQ174/EI174-1)*100)&gt;100,"NM",IF(((EQ174/EI174-1)*100)&lt;-50,"NM",(EQ174/EI174-1)*100)))</f>
        <v>11.131974610768115</v>
      </c>
      <c r="ES174" s="69">
        <f t="shared" si="1230"/>
        <v>53.273135512410107</v>
      </c>
      <c r="ET174" s="130">
        <f t="shared" ref="ET174:ET180" si="1232">IF(ISERROR((ES174/EK174-1)*100),"NA",IF(((ES174/EK174-1)*100)&gt;100,"NM",IF(((ES174/EK174-1)*100)&lt;-50,"NM",(ES174/EK174-1)*100)))</f>
        <v>6.5462710248202161</v>
      </c>
      <c r="EU174" s="69">
        <f t="shared" si="1230"/>
        <v>53.82278974362157</v>
      </c>
      <c r="EV174" s="130">
        <f t="shared" ref="EV174:EV180" si="1233">IF(ISERROR((EU174/EM174-1)*100),"NA",IF(((EU174/EM174-1)*100)&gt;100,"NM",IF(((EU174/EM174-1)*100)&lt;-50,"NM",(EU174/EM174-1)*100)))</f>
        <v>12.130811965878262</v>
      </c>
      <c r="EW174" s="69">
        <f t="shared" si="1230"/>
        <v>54.201124398471563</v>
      </c>
      <c r="EX174" s="130">
        <f t="shared" ref="EX174:EX180" si="1234">IF(ISERROR((EW174/EO174-1)*100),"NA",IF(((EW174/EO174-1)*100)&gt;100,"NM",IF(((EW174/EO174-1)*100)&lt;-50,"NM",(EW174/EO174-1)*100)))</f>
        <v>-4.910308072856906</v>
      </c>
      <c r="EY174" s="64"/>
      <c r="EZ174" s="558"/>
      <c r="FA174" s="64"/>
      <c r="FB174" s="69"/>
      <c r="FC174" s="71"/>
      <c r="FD174" s="69"/>
      <c r="FE174" s="70"/>
      <c r="FF174" s="69"/>
      <c r="FG174" s="70"/>
      <c r="FH174" s="69"/>
      <c r="FI174" s="70"/>
      <c r="FJ174" s="69"/>
      <c r="FK174" s="70"/>
      <c r="FL174" s="69"/>
      <c r="FM174" s="61"/>
      <c r="FN174" s="73">
        <f>FN149-FN168</f>
        <v>246</v>
      </c>
      <c r="FO174" s="61"/>
      <c r="FP174" s="73">
        <f>FP149-FP168</f>
        <v>261.20000000000005</v>
      </c>
      <c r="FQ174" s="61">
        <f t="shared" ref="FQ174:FQ180" si="1235">IF(ISERROR((FP174/FN174-1)*100),"NA",IF(((FP174/FN174-1)*100)&gt;100,"NM",IF(((FP174/FN174-1)*100)&lt;-50,"NM",(FP174/FN174-1)*100)))</f>
        <v>6.1788617886179065</v>
      </c>
      <c r="FR174" s="73">
        <f>FR149-FR168</f>
        <v>280.10000000000002</v>
      </c>
      <c r="FS174" s="61">
        <f t="shared" ref="FS174:FS180" si="1236">IF(ISERROR((FR174/FP174-1)*100),"NA",IF(((FR174/FP174-1)*100)&gt;100,"NM",IF(((FR174/FP174-1)*100)&lt;-50,"NM",(FR174/FP174-1)*100)))</f>
        <v>7.2358346094946402</v>
      </c>
      <c r="FT174" s="73">
        <f>FT149-FT168</f>
        <v>252.89999999999998</v>
      </c>
      <c r="FU174" s="61">
        <f t="shared" ref="FU174:FU180" si="1237">IF(ISERROR((FT174/FR174-1)*100),"NA",IF(((FT174/FR174-1)*100)&gt;100,"NM",IF(((FT174/FR174-1)*100)&lt;-50,"NM",(FT174/FR174-1)*100)))</f>
        <v>-9.7108175651553168</v>
      </c>
      <c r="FV174" s="73">
        <f>FV149-FV168</f>
        <v>152.20000000000005</v>
      </c>
      <c r="FW174" s="61">
        <f t="shared" ref="FW174:FW180" si="1238">IF(ISERROR((FV174/FT174-1)*100),"NA",IF(((FV174/FT174-1)*100)&gt;100,"NM",IF(((FV174/FT174-1)*100)&lt;-50,"NM",(FV174/FT174-1)*100)))</f>
        <v>-39.818109924871472</v>
      </c>
      <c r="FX174" s="73">
        <f>FX149-FX168</f>
        <v>183.50000000000011</v>
      </c>
      <c r="FY174" s="61">
        <f t="shared" ref="FY174:FY180" si="1239">IF(ISERROR((FX174/FV174-1)*100),"NA",IF(((FX174/FV174-1)*100)&gt;100,"NM",IF(((FX174/FV174-1)*100)&lt;-50,"NM",(FX174/FV174-1)*100)))</f>
        <v>20.565045992115682</v>
      </c>
      <c r="FZ174" s="73">
        <f>FZ149-FZ168</f>
        <v>214.20000000000005</v>
      </c>
      <c r="GA174" s="61">
        <f t="shared" ref="GA174:GA180" si="1240">IF(ISERROR((FZ174/FX174-1)*100),"NA",IF(((FZ174/FX174-1)*100)&gt;100,"NM",IF(((FZ174/FX174-1)*100)&lt;-50,"NM",(FZ174/FX174-1)*100)))</f>
        <v>16.730245231607576</v>
      </c>
      <c r="GB174" s="73">
        <f>GB149-GB168</f>
        <v>225.70000000000005</v>
      </c>
      <c r="GC174" s="61">
        <f t="shared" ref="GC174:GC180" si="1241">IF(ISERROR((GB174/FZ174-1)*100),"NA",IF(((GB174/FZ174-1)*100)&gt;100,"NM",IF(((GB174/FZ174-1)*100)&lt;-50,"NM",(GB174/FZ174-1)*100)))</f>
        <v>5.3688141923436072</v>
      </c>
      <c r="GD174" s="73">
        <f>GD149-GD168</f>
        <v>168</v>
      </c>
      <c r="GE174" s="61">
        <f t="shared" ref="GE174:GE180" si="1242">IF(ISERROR((GD174/GB174-1)*100),"NA",IF(((GD174/GB174-1)*100)&gt;100,"NM",IF(((GD174/GB174-1)*100)&lt;-50,"NM",(GD174/GB174-1)*100)))</f>
        <v>-25.564909171466567</v>
      </c>
      <c r="GF174" s="73">
        <f>GF149-GF168</f>
        <v>190</v>
      </c>
      <c r="GG174" s="61">
        <f t="shared" ref="GG174:GW180" si="1243">IF(ISERROR((GF174/GD174-1)*100),"NA",IF(((GF174/GD174-1)*100)&gt;100,"NM",IF(((GF174/GD174-1)*100)&lt;-50,"NM",(GF174/GD174-1)*100)))</f>
        <v>13.095238095238093</v>
      </c>
      <c r="GH174" s="73">
        <f>GH149-GH168</f>
        <v>211</v>
      </c>
      <c r="GI174" s="61">
        <f t="shared" si="1243"/>
        <v>11.052631578947359</v>
      </c>
      <c r="GJ174" s="73">
        <f>GJ149-GJ168</f>
        <v>189</v>
      </c>
      <c r="GK174" s="61">
        <f t="shared" si="1243"/>
        <v>-10.426540284360186</v>
      </c>
      <c r="GL174" s="73">
        <f>GL149-GL168</f>
        <v>173</v>
      </c>
      <c r="GM174" s="61">
        <f t="shared" si="1243"/>
        <v>-8.4656084656084651</v>
      </c>
      <c r="GN174" s="73">
        <f>GN149-GN168</f>
        <v>203</v>
      </c>
      <c r="GO174" s="61">
        <f t="shared" si="1243"/>
        <v>17.341040462427749</v>
      </c>
      <c r="GP174" s="73">
        <f>GP149-GP168</f>
        <v>214.64039746767185</v>
      </c>
      <c r="GQ174" s="61">
        <f t="shared" si="1243"/>
        <v>5.734185944665926</v>
      </c>
      <c r="GR174" s="69">
        <f>GR149-GR168</f>
        <v>221.05770276650378</v>
      </c>
      <c r="GS174" s="61">
        <f t="shared" si="1243"/>
        <v>2.9897938014201042</v>
      </c>
      <c r="GT174" s="69">
        <f>GT149-GT168</f>
        <v>227.69522599924835</v>
      </c>
      <c r="GU174" s="61">
        <f t="shared" si="1243"/>
        <v>3.0026201981097955</v>
      </c>
      <c r="GV174" s="69">
        <f>GV149-GV168</f>
        <v>235.1652800503291</v>
      </c>
      <c r="GW174" s="61">
        <f t="shared" si="1243"/>
        <v>3.2807249332076127</v>
      </c>
      <c r="GX174" s="69">
        <f>GX149-GX168</f>
        <v>243.44836146993339</v>
      </c>
      <c r="GY174" s="61">
        <f t="shared" ref="GY174:GY180" si="1244">IF(ISERROR((GX174/GV174-1)*100),"NA",IF(((GX174/GV174-1)*100)&gt;100,"NM",IF(((GX174/GV174-1)*100)&lt;-50,"NM",(GX174/GV174-1)*100)))</f>
        <v>3.5222382393487628</v>
      </c>
      <c r="GZ174" s="61">
        <f t="shared" si="1111"/>
        <v>3.7008135684554411</v>
      </c>
      <c r="HA174" s="61"/>
      <c r="HB174" s="452"/>
      <c r="HC174"/>
      <c r="HD174"/>
      <c r="HE174"/>
      <c r="HF174"/>
      <c r="HG174"/>
      <c r="HH174"/>
    </row>
    <row r="175" spans="1:216" s="5" customFormat="1" ht="12.75" customHeight="1" x14ac:dyDescent="0.2">
      <c r="B175" s="2" t="s">
        <v>115</v>
      </c>
      <c r="C175" s="72"/>
      <c r="D175" s="70"/>
      <c r="E175" s="72"/>
      <c r="F175" s="71"/>
      <c r="G175" s="74"/>
      <c r="H175" s="71"/>
      <c r="I175" s="74"/>
      <c r="J175" s="61"/>
      <c r="K175" s="74"/>
      <c r="L175" s="61"/>
      <c r="M175" s="72"/>
      <c r="N175" s="61"/>
      <c r="O175" s="74"/>
      <c r="P175" s="61"/>
      <c r="Q175" s="74"/>
      <c r="R175" s="61"/>
      <c r="S175" s="74"/>
      <c r="T175" s="61"/>
      <c r="U175" s="74"/>
      <c r="V175" s="61"/>
      <c r="W175" s="74"/>
      <c r="X175" s="61"/>
      <c r="Y175" s="74"/>
      <c r="Z175" s="61"/>
      <c r="AA175" s="135"/>
      <c r="AB175" s="61"/>
      <c r="AC175" s="135"/>
      <c r="AD175" s="61"/>
      <c r="AE175" s="135"/>
      <c r="AF175" s="61"/>
      <c r="AG175" s="135"/>
      <c r="AH175" s="61"/>
      <c r="AI175" s="135"/>
      <c r="AJ175" s="61"/>
      <c r="AK175" s="135"/>
      <c r="AL175" s="61"/>
      <c r="AM175" s="135"/>
      <c r="AN175" s="61"/>
      <c r="AO175" s="135"/>
      <c r="AP175" s="61"/>
      <c r="AQ175" s="135">
        <v>16.600000000000001</v>
      </c>
      <c r="AR175" s="61" t="str">
        <f t="shared" si="1198"/>
        <v>NA</v>
      </c>
      <c r="AS175" s="135">
        <v>17.399999999999999</v>
      </c>
      <c r="AT175" s="61" t="str">
        <f t="shared" si="1199"/>
        <v>NA</v>
      </c>
      <c r="AU175" s="135">
        <v>22.4</v>
      </c>
      <c r="AV175" s="61" t="str">
        <f t="shared" si="1200"/>
        <v>NA</v>
      </c>
      <c r="AW175" s="135">
        <v>17.7</v>
      </c>
      <c r="AX175" s="61" t="str">
        <f t="shared" si="1200"/>
        <v>NA</v>
      </c>
      <c r="AY175" s="135">
        <v>22.7</v>
      </c>
      <c r="AZ175" s="61">
        <f t="shared" si="1201"/>
        <v>36.74698795180722</v>
      </c>
      <c r="BA175" s="135">
        <v>22.7</v>
      </c>
      <c r="BB175" s="61">
        <f t="shared" si="1202"/>
        <v>30.459770114942543</v>
      </c>
      <c r="BC175" s="135">
        <v>15</v>
      </c>
      <c r="BD175" s="61">
        <f t="shared" si="1203"/>
        <v>-33.035714285714278</v>
      </c>
      <c r="BE175" s="135">
        <v>15.8</v>
      </c>
      <c r="BF175" s="61">
        <f t="shared" si="1204"/>
        <v>-10.734463276836149</v>
      </c>
      <c r="BG175" s="135">
        <v>21.1</v>
      </c>
      <c r="BH175" s="61">
        <f t="shared" si="1205"/>
        <v>-7.0484581497797238</v>
      </c>
      <c r="BI175" s="135">
        <v>19.5</v>
      </c>
      <c r="BJ175" s="61">
        <f t="shared" si="1205"/>
        <v>-14.096916299559471</v>
      </c>
      <c r="BK175" s="135">
        <v>12.9</v>
      </c>
      <c r="BL175" s="61">
        <f t="shared" si="1205"/>
        <v>-14.000000000000002</v>
      </c>
      <c r="BM175" s="135">
        <v>18.100000000000001</v>
      </c>
      <c r="BN175" s="61">
        <f t="shared" si="1205"/>
        <v>14.556962025316466</v>
      </c>
      <c r="BO175" s="135">
        <v>15.1</v>
      </c>
      <c r="BP175" s="61">
        <f t="shared" si="1205"/>
        <v>-28.436018957345976</v>
      </c>
      <c r="BQ175" s="135">
        <v>15.7</v>
      </c>
      <c r="BR175" s="61">
        <f t="shared" si="1205"/>
        <v>-19.487179487179496</v>
      </c>
      <c r="BS175" s="135">
        <v>14.9</v>
      </c>
      <c r="BT175" s="61">
        <f t="shared" si="1205"/>
        <v>15.503875968992254</v>
      </c>
      <c r="BU175" s="135">
        <v>-16.2</v>
      </c>
      <c r="BV175" s="61" t="str">
        <f t="shared" si="1205"/>
        <v>NM</v>
      </c>
      <c r="BW175" s="135">
        <v>6.6</v>
      </c>
      <c r="BX175" s="61" t="str">
        <f t="shared" si="1205"/>
        <v>NM</v>
      </c>
      <c r="BY175" s="135">
        <v>10.6</v>
      </c>
      <c r="BZ175" s="61">
        <f t="shared" si="1205"/>
        <v>-32.484076433121025</v>
      </c>
      <c r="CA175" s="135">
        <v>16.8</v>
      </c>
      <c r="CB175" s="61">
        <f t="shared" si="1205"/>
        <v>12.751677852348987</v>
      </c>
      <c r="CC175" s="135">
        <v>16.100000000000001</v>
      </c>
      <c r="CD175" s="61" t="str">
        <f t="shared" si="1205"/>
        <v>NM</v>
      </c>
      <c r="CE175" s="135">
        <v>14.3</v>
      </c>
      <c r="CF175" s="61" t="str">
        <f t="shared" si="1205"/>
        <v>NM</v>
      </c>
      <c r="CG175" s="135">
        <v>14.1</v>
      </c>
      <c r="CH175" s="61">
        <f t="shared" si="1205"/>
        <v>33.018867924528308</v>
      </c>
      <c r="CI175" s="135">
        <v>19.100000000000001</v>
      </c>
      <c r="CJ175" s="61">
        <f t="shared" si="1205"/>
        <v>13.690476190476186</v>
      </c>
      <c r="CK175" s="135">
        <v>12.4</v>
      </c>
      <c r="CL175" s="61">
        <f t="shared" si="1205"/>
        <v>-22.981366459627338</v>
      </c>
      <c r="CM175" s="135">
        <v>21.3</v>
      </c>
      <c r="CN175" s="61">
        <f t="shared" si="1205"/>
        <v>48.951048951048961</v>
      </c>
      <c r="CO175" s="135">
        <v>16.8</v>
      </c>
      <c r="CP175" s="61">
        <f t="shared" si="1205"/>
        <v>19.148936170212782</v>
      </c>
      <c r="CQ175" s="135">
        <v>14.3</v>
      </c>
      <c r="CR175" s="61">
        <f t="shared" si="1205"/>
        <v>-25.130890052356026</v>
      </c>
      <c r="CS175" s="135">
        <v>12</v>
      </c>
      <c r="CT175" s="61">
        <f t="shared" si="1205"/>
        <v>-3.2258064516129115</v>
      </c>
      <c r="CU175" s="135">
        <v>12</v>
      </c>
      <c r="CV175" s="61">
        <f t="shared" si="1206"/>
        <v>-43.661971830985912</v>
      </c>
      <c r="CW175" s="135">
        <v>12</v>
      </c>
      <c r="CX175" s="61">
        <f t="shared" si="1207"/>
        <v>-28.571428571428569</v>
      </c>
      <c r="CY175" s="135">
        <v>10</v>
      </c>
      <c r="CZ175" s="61">
        <f t="shared" si="1208"/>
        <v>-30.069930069930074</v>
      </c>
      <c r="DA175" s="135">
        <v>4</v>
      </c>
      <c r="DB175" s="61" t="str">
        <f t="shared" si="1209"/>
        <v>NM</v>
      </c>
      <c r="DC175" s="135">
        <v>13</v>
      </c>
      <c r="DD175" s="61">
        <f t="shared" si="1210"/>
        <v>8.333333333333325</v>
      </c>
      <c r="DE175" s="135">
        <v>15</v>
      </c>
      <c r="DF175" s="61">
        <f t="shared" si="1211"/>
        <v>25</v>
      </c>
      <c r="DG175" s="135">
        <v>11</v>
      </c>
      <c r="DH175" s="61">
        <f t="shared" si="1212"/>
        <v>10.000000000000009</v>
      </c>
      <c r="DI175" s="135">
        <v>10</v>
      </c>
      <c r="DJ175" s="61" t="str">
        <f t="shared" si="1213"/>
        <v>NM</v>
      </c>
      <c r="DK175" s="135">
        <v>14</v>
      </c>
      <c r="DL175" s="61">
        <f t="shared" si="1214"/>
        <v>7.6923076923076872</v>
      </c>
      <c r="DM175" s="135">
        <v>15</v>
      </c>
      <c r="DN175" s="130">
        <f t="shared" si="1215"/>
        <v>0</v>
      </c>
      <c r="DO175" s="135">
        <v>15</v>
      </c>
      <c r="DP175" s="130">
        <f t="shared" si="1215"/>
        <v>36.363636363636353</v>
      </c>
      <c r="DQ175" s="135">
        <v>7</v>
      </c>
      <c r="DR175" s="130">
        <f t="shared" si="1215"/>
        <v>-30.000000000000004</v>
      </c>
      <c r="DS175" s="135">
        <v>13</v>
      </c>
      <c r="DT175" s="130">
        <f t="shared" si="1215"/>
        <v>-7.1428571428571397</v>
      </c>
      <c r="DU175" s="135">
        <v>9</v>
      </c>
      <c r="DV175" s="130">
        <f t="shared" si="1215"/>
        <v>-40</v>
      </c>
      <c r="DW175" s="135">
        <v>15</v>
      </c>
      <c r="DX175" s="135">
        <v>15</v>
      </c>
      <c r="DY175" s="135">
        <v>12</v>
      </c>
      <c r="DZ175" s="130">
        <f t="shared" si="1215"/>
        <v>71.428571428571416</v>
      </c>
      <c r="EA175" s="135">
        <v>10</v>
      </c>
      <c r="EB175" s="130">
        <f t="shared" si="1218"/>
        <v>-23.076923076923073</v>
      </c>
      <c r="EC175" s="135">
        <v>10</v>
      </c>
      <c r="ED175" s="130">
        <f t="shared" si="1219"/>
        <v>11.111111111111116</v>
      </c>
      <c r="EE175" s="135">
        <v>13</v>
      </c>
      <c r="EF175" s="130">
        <f t="shared" si="1221"/>
        <v>-13.33333333333333</v>
      </c>
      <c r="EG175" s="135">
        <v>12</v>
      </c>
      <c r="EH175" s="130">
        <f t="shared" si="1222"/>
        <v>0</v>
      </c>
      <c r="EI175" s="135">
        <v>11</v>
      </c>
      <c r="EJ175" s="130">
        <f t="shared" si="1224"/>
        <v>10.000000000000009</v>
      </c>
      <c r="EK175" s="135">
        <v>13</v>
      </c>
      <c r="EL175" s="130">
        <f t="shared" si="1226"/>
        <v>30.000000000000004</v>
      </c>
      <c r="EM175" s="135">
        <v>13</v>
      </c>
      <c r="EN175" s="130">
        <f t="shared" si="1227"/>
        <v>0</v>
      </c>
      <c r="EO175" s="135">
        <v>16</v>
      </c>
      <c r="EP175" s="130">
        <f t="shared" si="1229"/>
        <v>33.333333333333329</v>
      </c>
      <c r="EQ175" s="75">
        <f t="shared" ref="EQ175:EW175" si="1245">EQ174*EQ176/100</f>
        <v>8.5349356501069913</v>
      </c>
      <c r="ER175" s="130">
        <f t="shared" si="1231"/>
        <v>-22.409675908118267</v>
      </c>
      <c r="ES175" s="75">
        <f t="shared" si="1245"/>
        <v>8.5237016819856173</v>
      </c>
      <c r="ET175" s="130">
        <f t="shared" si="1232"/>
        <v>-34.433063984726019</v>
      </c>
      <c r="EU175" s="75">
        <f t="shared" si="1245"/>
        <v>8.611646358979451</v>
      </c>
      <c r="EV175" s="130">
        <f t="shared" si="1233"/>
        <v>-33.756566469388837</v>
      </c>
      <c r="EW175" s="75">
        <f t="shared" si="1245"/>
        <v>8.6721799037554508</v>
      </c>
      <c r="EX175" s="130">
        <f t="shared" si="1234"/>
        <v>-45.79887560152843</v>
      </c>
      <c r="EY175" s="64"/>
      <c r="EZ175" s="558"/>
      <c r="FA175" s="64"/>
      <c r="FB175" s="72"/>
      <c r="FC175" s="71"/>
      <c r="FD175" s="72"/>
      <c r="FE175" s="61"/>
      <c r="FF175" s="72"/>
      <c r="FG175" s="61"/>
      <c r="FH175" s="69"/>
      <c r="FI175" s="61"/>
      <c r="FJ175" s="69"/>
      <c r="FK175" s="61"/>
      <c r="FL175" s="69"/>
      <c r="FM175" s="61"/>
      <c r="FN175" s="778">
        <v>67</v>
      </c>
      <c r="FO175" s="61"/>
      <c r="FP175" s="75">
        <f>AQ175+AS175+AU175+AW175</f>
        <v>74.099999999999994</v>
      </c>
      <c r="FQ175" s="61">
        <f t="shared" si="1235"/>
        <v>10.597014925373127</v>
      </c>
      <c r="FR175" s="75">
        <f>AY175+BA175+BC175+BE175</f>
        <v>76.2</v>
      </c>
      <c r="FS175" s="61">
        <f t="shared" si="1236"/>
        <v>2.8340080971660075</v>
      </c>
      <c r="FT175" s="75">
        <f>BG175+BI175+BK175+BM175</f>
        <v>71.599999999999994</v>
      </c>
      <c r="FU175" s="61">
        <f t="shared" si="1237"/>
        <v>-6.0367454068241617</v>
      </c>
      <c r="FV175" s="75">
        <f>BO175+BQ175+BS175+BU175</f>
        <v>29.499999999999996</v>
      </c>
      <c r="FW175" s="61" t="str">
        <f t="shared" si="1238"/>
        <v>NM</v>
      </c>
      <c r="FX175" s="73">
        <f>BW175+BY175+CA175+CC175</f>
        <v>50.1</v>
      </c>
      <c r="FY175" s="61">
        <f t="shared" si="1239"/>
        <v>69.830508474576305</v>
      </c>
      <c r="FZ175" s="73">
        <f>CE175+CG175+CI175+CK175</f>
        <v>59.9</v>
      </c>
      <c r="GA175" s="61">
        <f t="shared" si="1240"/>
        <v>19.56087824351296</v>
      </c>
      <c r="GB175" s="73">
        <f>CM175+CO175+CQ175+CS175</f>
        <v>64.400000000000006</v>
      </c>
      <c r="GC175" s="61">
        <f t="shared" si="1241"/>
        <v>7.5125208681135369</v>
      </c>
      <c r="GD175" s="73">
        <f>CU175+CW175+CY175+DA175</f>
        <v>38</v>
      </c>
      <c r="GE175" s="61">
        <f t="shared" si="1242"/>
        <v>-40.993788819875789</v>
      </c>
      <c r="GF175" s="73">
        <f>DC175+DE175+DG175+DI175</f>
        <v>49</v>
      </c>
      <c r="GG175" s="61">
        <f t="shared" si="1243"/>
        <v>28.947368421052634</v>
      </c>
      <c r="GH175" s="73">
        <f>DK175+DM175+DO175+DQ175</f>
        <v>51</v>
      </c>
      <c r="GI175" s="61">
        <f t="shared" si="1243"/>
        <v>4.081632653061229</v>
      </c>
      <c r="GJ175" s="73">
        <f>DS175+DU175+DW175+DY175</f>
        <v>49</v>
      </c>
      <c r="GK175" s="61">
        <f t="shared" si="1243"/>
        <v>-3.9215686274509776</v>
      </c>
      <c r="GL175" s="73">
        <f>EA175+EC175+EE175+EG175</f>
        <v>45</v>
      </c>
      <c r="GM175" s="61">
        <f t="shared" si="1243"/>
        <v>-8.1632653061224474</v>
      </c>
      <c r="GN175" s="73">
        <f>EI175+EK175+EM175+EO175</f>
        <v>53</v>
      </c>
      <c r="GO175" s="61">
        <f t="shared" si="1243"/>
        <v>17.777777777777782</v>
      </c>
      <c r="GP175" s="73">
        <f>EQ175+ES175+EU175+EW175</f>
        <v>34.342463594827507</v>
      </c>
      <c r="GQ175" s="61">
        <f t="shared" si="1243"/>
        <v>-35.20289887768395</v>
      </c>
      <c r="GR175" s="75">
        <f>GR174*GR176/100</f>
        <v>35.369232442640616</v>
      </c>
      <c r="GS175" s="61">
        <f t="shared" si="1243"/>
        <v>2.9897938014201042</v>
      </c>
      <c r="GT175" s="75">
        <f>GT174*GT176/100</f>
        <v>36.431236159879752</v>
      </c>
      <c r="GU175" s="61">
        <f t="shared" si="1243"/>
        <v>3.0026201981098177</v>
      </c>
      <c r="GV175" s="75">
        <f>GV174*GV176/100</f>
        <v>37.626444808052675</v>
      </c>
      <c r="GW175" s="61">
        <f t="shared" si="1243"/>
        <v>3.2807249332076127</v>
      </c>
      <c r="GX175" s="75">
        <f>GX174*GX176/100</f>
        <v>38.951737835189363</v>
      </c>
      <c r="GY175" s="61">
        <f t="shared" si="1244"/>
        <v>3.5222382393487628</v>
      </c>
      <c r="GZ175" s="61">
        <f t="shared" si="1111"/>
        <v>-5.9735165933741836</v>
      </c>
      <c r="HA175" s="61"/>
      <c r="HB175" s="452"/>
      <c r="HC175"/>
      <c r="HD175"/>
      <c r="HE175"/>
      <c r="HF175"/>
      <c r="HG175"/>
      <c r="HH175"/>
    </row>
    <row r="176" spans="1:216" s="5" customFormat="1" ht="12.75" customHeight="1" x14ac:dyDescent="0.2">
      <c r="B176" s="94" t="s">
        <v>331</v>
      </c>
      <c r="C176" s="81"/>
      <c r="D176" s="70"/>
      <c r="E176" s="81"/>
      <c r="F176" s="71"/>
      <c r="G176" s="81"/>
      <c r="H176" s="71"/>
      <c r="I176" s="81"/>
      <c r="J176" s="61"/>
      <c r="K176" s="81"/>
      <c r="L176" s="61"/>
      <c r="M176" s="81"/>
      <c r="N176" s="61"/>
      <c r="O176" s="81"/>
      <c r="P176" s="61"/>
      <c r="Q176" s="81"/>
      <c r="R176" s="61"/>
      <c r="S176" s="81"/>
      <c r="T176" s="61"/>
      <c r="U176" s="81"/>
      <c r="V176" s="61"/>
      <c r="W176" s="81"/>
      <c r="X176" s="61"/>
      <c r="Y176" s="81"/>
      <c r="Z176" s="61"/>
      <c r="AA176" s="81"/>
      <c r="AB176" s="61"/>
      <c r="AC176" s="81"/>
      <c r="AD176" s="61"/>
      <c r="AE176" s="81"/>
      <c r="AF176" s="61"/>
      <c r="AG176" s="81"/>
      <c r="AH176" s="61"/>
      <c r="AI176" s="81"/>
      <c r="AJ176" s="61"/>
      <c r="AK176" s="81"/>
      <c r="AL176" s="61"/>
      <c r="AM176" s="81"/>
      <c r="AN176" s="61"/>
      <c r="AO176" s="81"/>
      <c r="AP176" s="61"/>
      <c r="AQ176" s="81">
        <f>AQ175/AQ174*100</f>
        <v>27.759197324414714</v>
      </c>
      <c r="AR176" s="61" t="str">
        <f t="shared" si="1198"/>
        <v>NA</v>
      </c>
      <c r="AS176" s="81">
        <f>AS175/AS174*100</f>
        <v>27.751196172248804</v>
      </c>
      <c r="AT176" s="61" t="str">
        <f t="shared" si="1199"/>
        <v>NA</v>
      </c>
      <c r="AU176" s="81">
        <f>AU175/AU174*100</f>
        <v>29.551451187335097</v>
      </c>
      <c r="AV176" s="61" t="str">
        <f t="shared" si="1200"/>
        <v>NA</v>
      </c>
      <c r="AW176" s="81">
        <f>AW175/AW174*100</f>
        <v>28.139904610492856</v>
      </c>
      <c r="AX176" s="61" t="str">
        <f t="shared" si="1200"/>
        <v>NA</v>
      </c>
      <c r="AY176" s="81">
        <f>AY175/AY174*100</f>
        <v>30.186170212765962</v>
      </c>
      <c r="AZ176" s="61">
        <f t="shared" si="1201"/>
        <v>8.7429505255063091</v>
      </c>
      <c r="BA176" s="81">
        <f>BA175/BA174*100</f>
        <v>29.480519480519479</v>
      </c>
      <c r="BB176" s="61">
        <f t="shared" si="1202"/>
        <v>6.2315270935960454</v>
      </c>
      <c r="BC176" s="81">
        <f>BC175/BC174*100</f>
        <v>22.222222222222221</v>
      </c>
      <c r="BD176" s="61">
        <f t="shared" si="1203"/>
        <v>-24.801587301587315</v>
      </c>
      <c r="BE176" s="81">
        <f>BE175/BE174*100</f>
        <v>26.158940397351003</v>
      </c>
      <c r="BF176" s="61">
        <f t="shared" si="1204"/>
        <v>-7.0396976839899761</v>
      </c>
      <c r="BG176" s="81">
        <f>BG175/BG174*100</f>
        <v>29.802259887005643</v>
      </c>
      <c r="BH176" s="61">
        <f t="shared" si="1205"/>
        <v>-1.2718086562632624</v>
      </c>
      <c r="BI176" s="81">
        <f>BI175/BI174*100</f>
        <v>29.19161676646706</v>
      </c>
      <c r="BJ176" s="61">
        <f t="shared" si="1205"/>
        <v>-0.97997836925269866</v>
      </c>
      <c r="BK176" s="81">
        <f>BK175/BK174*100</f>
        <v>23.844731977818856</v>
      </c>
      <c r="BL176" s="61">
        <f t="shared" si="1205"/>
        <v>7.3012939001848576</v>
      </c>
      <c r="BM176" s="81">
        <f>BM175/BM174*100</f>
        <v>29.575163398692805</v>
      </c>
      <c r="BN176" s="61">
        <f t="shared" si="1205"/>
        <v>13.059485397534477</v>
      </c>
      <c r="BO176" s="81">
        <f>BO175/BO174*100</f>
        <v>27.207207207207208</v>
      </c>
      <c r="BP176" s="61">
        <f t="shared" si="1205"/>
        <v>-8.7075701293710566</v>
      </c>
      <c r="BQ176" s="81">
        <f>BQ175/BQ174*100</f>
        <v>27.543859649122805</v>
      </c>
      <c r="BR176" s="61">
        <f t="shared" si="1205"/>
        <v>-5.6446243814664783</v>
      </c>
      <c r="BS176" s="81">
        <f>BS175/BS174*100</f>
        <v>26.140350877192979</v>
      </c>
      <c r="BT176" s="61">
        <f t="shared" si="1205"/>
        <v>9.6273629810961214</v>
      </c>
      <c r="BU176" s="81">
        <f>BU175/BU174*100</f>
        <v>93.641618497109761</v>
      </c>
      <c r="BV176" s="61" t="str">
        <f t="shared" si="1205"/>
        <v>NM</v>
      </c>
      <c r="BW176" s="81">
        <f>BW175/BW174*100</f>
        <v>18.131868131868142</v>
      </c>
      <c r="BX176" s="61">
        <f t="shared" si="1205"/>
        <v>-33.356378720617094</v>
      </c>
      <c r="BY176" s="81">
        <f>BY175/BY174*100</f>
        <v>27.676240208877275</v>
      </c>
      <c r="BZ176" s="61">
        <f t="shared" si="1205"/>
        <v>0.48061731885380432</v>
      </c>
      <c r="CA176" s="81">
        <f>CA175/CA174*100</f>
        <v>28.28282828282828</v>
      </c>
      <c r="CB176" s="61">
        <f t="shared" si="1205"/>
        <v>8.1960545047793367</v>
      </c>
      <c r="CC176" s="81">
        <f>CC175/CC174*100</f>
        <v>32.591093117408924</v>
      </c>
      <c r="CD176" s="61" t="str">
        <f t="shared" si="1205"/>
        <v>NM</v>
      </c>
      <c r="CE176" s="81">
        <f>CE175/CE174*100</f>
        <v>28.486055776892439</v>
      </c>
      <c r="CF176" s="61">
        <f t="shared" si="1205"/>
        <v>57.104913678618807</v>
      </c>
      <c r="CG176" s="81">
        <f>CG175/CG174*100</f>
        <v>28.143712574850287</v>
      </c>
      <c r="CH176" s="61">
        <f t="shared" si="1205"/>
        <v>1.6890746808270185</v>
      </c>
      <c r="CI176" s="81">
        <f>CI175/CI174*100</f>
        <v>27.721335268505083</v>
      </c>
      <c r="CJ176" s="61">
        <f t="shared" si="1205"/>
        <v>-1.9852788720713055</v>
      </c>
      <c r="CK176" s="81">
        <f>CK175/CK174*100</f>
        <v>27.555555555555557</v>
      </c>
      <c r="CL176" s="61">
        <f t="shared" si="1205"/>
        <v>-15.450655624568711</v>
      </c>
      <c r="CM176" s="81">
        <f>CM175/CM174*100</f>
        <v>30.869565217391305</v>
      </c>
      <c r="CN176" s="61">
        <f t="shared" si="1205"/>
        <v>8.3672848890239848</v>
      </c>
      <c r="CO176" s="81">
        <f>CO175/CO174*100</f>
        <v>28.865979381443307</v>
      </c>
      <c r="CP176" s="61">
        <f t="shared" si="1205"/>
        <v>2.5663522702347619</v>
      </c>
      <c r="CQ176" s="81">
        <f>CQ175/CQ174*100</f>
        <v>26.728971962616825</v>
      </c>
      <c r="CR176" s="61">
        <f t="shared" si="1205"/>
        <v>-3.579781768361312</v>
      </c>
      <c r="CS176" s="81">
        <f>CS175/CS174*100</f>
        <v>26.666666666666668</v>
      </c>
      <c r="CT176" s="61">
        <f t="shared" si="1205"/>
        <v>-3.2258064516129004</v>
      </c>
      <c r="CU176" s="81">
        <f>CU175/CU174*100</f>
        <v>25.531914893617021</v>
      </c>
      <c r="CV176" s="61">
        <f t="shared" si="1206"/>
        <v>-17.290979922085704</v>
      </c>
      <c r="CW176" s="81">
        <f>CW175/CW174*100</f>
        <v>24</v>
      </c>
      <c r="CX176" s="61">
        <f t="shared" si="1207"/>
        <v>-16.857142857142883</v>
      </c>
      <c r="CY176" s="81">
        <f>CY175/CY174*100</f>
        <v>25.641025641025639</v>
      </c>
      <c r="CZ176" s="61">
        <f t="shared" si="1208"/>
        <v>-4.0702886856733178</v>
      </c>
      <c r="DA176" s="81">
        <f>DA175/DA174*100</f>
        <v>12.5</v>
      </c>
      <c r="DB176" s="61" t="str">
        <f t="shared" si="1209"/>
        <v>NM</v>
      </c>
      <c r="DC176" s="81">
        <f>DC175/DC174*100</f>
        <v>27.083333333333332</v>
      </c>
      <c r="DD176" s="61">
        <f t="shared" si="1210"/>
        <v>6.076388888888884</v>
      </c>
      <c r="DE176" s="81">
        <f>DE175/DE174*100</f>
        <v>27.777777777777779</v>
      </c>
      <c r="DF176" s="61">
        <f t="shared" si="1211"/>
        <v>15.740740740740744</v>
      </c>
      <c r="DG176" s="81">
        <f>DG175/DG174*100</f>
        <v>25</v>
      </c>
      <c r="DH176" s="61">
        <f t="shared" si="1212"/>
        <v>-2.4999999999999911</v>
      </c>
      <c r="DI176" s="81">
        <f>DI175/DI174*100</f>
        <v>22.727272727272727</v>
      </c>
      <c r="DJ176" s="61">
        <f t="shared" si="1213"/>
        <v>81.818181818181813</v>
      </c>
      <c r="DK176" s="81">
        <f>DK175/DK174*100</f>
        <v>26.415094339622641</v>
      </c>
      <c r="DL176" s="61">
        <f t="shared" si="1214"/>
        <v>-2.4673439767779359</v>
      </c>
      <c r="DM176" s="81">
        <f>DM175/DM174*100</f>
        <v>27.777777777777779</v>
      </c>
      <c r="DN176" s="130">
        <f t="shared" si="1215"/>
        <v>0</v>
      </c>
      <c r="DO176" s="81">
        <f>DO175/DO174*100</f>
        <v>27.27272727272727</v>
      </c>
      <c r="DP176" s="130">
        <f t="shared" si="1215"/>
        <v>9.0909090909090828</v>
      </c>
      <c r="DQ176" s="81">
        <f>DQ175/DQ174*100</f>
        <v>14.285714285714285</v>
      </c>
      <c r="DR176" s="130">
        <f t="shared" si="1215"/>
        <v>-37.142857142857146</v>
      </c>
      <c r="DS176" s="81">
        <f>DS175/DS174*100</f>
        <v>27.083333333333332</v>
      </c>
      <c r="DT176" s="130">
        <f t="shared" si="1215"/>
        <v>2.5297619047619069</v>
      </c>
      <c r="DU176" s="81">
        <f>DU175/DU174*100</f>
        <v>23.076923076923077</v>
      </c>
      <c r="DV176" s="130">
        <f t="shared" si="1215"/>
        <v>-16.92307692307693</v>
      </c>
      <c r="DW176" s="81">
        <f>DW175/DW174*100</f>
        <v>26.315789473684209</v>
      </c>
      <c r="DX176" s="81">
        <f t="shared" ref="DX176:DY176" si="1246">DX175/DX174*100</f>
        <v>26.315789473684209</v>
      </c>
      <c r="DY176" s="81">
        <f t="shared" si="1246"/>
        <v>26.666666666666668</v>
      </c>
      <c r="DZ176" s="130">
        <f t="shared" si="1215"/>
        <v>86.666666666666686</v>
      </c>
      <c r="EA176" s="81">
        <f t="shared" ref="EA176:EC176" si="1247">EA175/EA174*100</f>
        <v>24.390243902439025</v>
      </c>
      <c r="EB176" s="130">
        <f t="shared" si="1218"/>
        <v>-9.943714821763594</v>
      </c>
      <c r="EC176" s="81">
        <f t="shared" si="1247"/>
        <v>24.390243902439025</v>
      </c>
      <c r="ED176" s="130">
        <f t="shared" si="1219"/>
        <v>5.6910569105691033</v>
      </c>
      <c r="EE176" s="81">
        <f t="shared" ref="EE176:EG176" si="1248">EE175/EE174*100</f>
        <v>28.888888888888886</v>
      </c>
      <c r="EF176" s="130">
        <f t="shared" si="1221"/>
        <v>9.777777777777775</v>
      </c>
      <c r="EG176" s="81">
        <f t="shared" si="1248"/>
        <v>26.086956521739129</v>
      </c>
      <c r="EH176" s="130">
        <f t="shared" si="1222"/>
        <v>-2.1739130434782705</v>
      </c>
      <c r="EI176" s="81">
        <f t="shared" ref="EI176:EK176" si="1249">EI175/EI174*100</f>
        <v>22.916666666666664</v>
      </c>
      <c r="EJ176" s="130">
        <f t="shared" si="1224"/>
        <v>-6.0416666666666785</v>
      </c>
      <c r="EK176" s="81">
        <f t="shared" si="1249"/>
        <v>26</v>
      </c>
      <c r="EL176" s="130">
        <f t="shared" si="1226"/>
        <v>6.6000000000000059</v>
      </c>
      <c r="EM176" s="81">
        <f t="shared" ref="EM176" si="1250">EM175/EM174*100</f>
        <v>27.083333333333332</v>
      </c>
      <c r="EN176" s="130">
        <f t="shared" si="1227"/>
        <v>-6.2499999999999893</v>
      </c>
      <c r="EO176" s="81">
        <f t="shared" ref="EO176" si="1251">EO175/EO174*100</f>
        <v>28.07017543859649</v>
      </c>
      <c r="EP176" s="130">
        <f t="shared" si="1229"/>
        <v>7.6023391812865437</v>
      </c>
      <c r="EQ176" s="89">
        <v>16</v>
      </c>
      <c r="ER176" s="130">
        <f t="shared" si="1231"/>
        <v>-30.181818181818176</v>
      </c>
      <c r="ES176" s="89">
        <f t="shared" ref="ES176" si="1252">EQ176</f>
        <v>16</v>
      </c>
      <c r="ET176" s="130">
        <f t="shared" si="1232"/>
        <v>-38.46153846153846</v>
      </c>
      <c r="EU176" s="89">
        <f t="shared" ref="EU176" si="1253">ES176</f>
        <v>16</v>
      </c>
      <c r="EV176" s="130">
        <f t="shared" si="1233"/>
        <v>-40.92307692307692</v>
      </c>
      <c r="EW176" s="89">
        <f t="shared" ref="EW176" si="1254">EU176</f>
        <v>16</v>
      </c>
      <c r="EX176" s="130">
        <f t="shared" si="1234"/>
        <v>-42.999999999999993</v>
      </c>
      <c r="EY176" s="64"/>
      <c r="EZ176" s="558"/>
      <c r="FA176" s="64"/>
      <c r="FB176" s="81"/>
      <c r="FC176" s="71"/>
      <c r="FD176" s="81"/>
      <c r="FE176" s="70"/>
      <c r="FF176" s="81"/>
      <c r="FG176" s="70"/>
      <c r="FH176" s="81"/>
      <c r="FI176" s="70"/>
      <c r="FJ176" s="81"/>
      <c r="FK176" s="70"/>
      <c r="FL176" s="81"/>
      <c r="FM176" s="61"/>
      <c r="FN176" s="88">
        <f>FN175/FN174*100</f>
        <v>27.235772357723576</v>
      </c>
      <c r="FO176" s="61"/>
      <c r="FP176" s="88">
        <f>FP175/FP174*100</f>
        <v>28.369065849923423</v>
      </c>
      <c r="FQ176" s="61">
        <f t="shared" si="1235"/>
        <v>4.1610477474800289</v>
      </c>
      <c r="FR176" s="88">
        <f>FR175/FR174*100</f>
        <v>27.20456979650125</v>
      </c>
      <c r="FS176" s="61">
        <f t="shared" si="1236"/>
        <v>-4.1048093003221542</v>
      </c>
      <c r="FT176" s="88">
        <f>FT175/FT174*100</f>
        <v>28.311585606959273</v>
      </c>
      <c r="FU176" s="61">
        <f t="shared" si="1237"/>
        <v>4.0692274082584357</v>
      </c>
      <c r="FV176" s="88">
        <f>FV175/FV174*100</f>
        <v>19.382391590013132</v>
      </c>
      <c r="FW176" s="61">
        <f t="shared" si="1238"/>
        <v>-31.539010710693837</v>
      </c>
      <c r="FX176" s="88">
        <f>FX175/FX174*100</f>
        <v>27.302452316076277</v>
      </c>
      <c r="FY176" s="61">
        <f t="shared" si="1239"/>
        <v>40.862143813790212</v>
      </c>
      <c r="FZ176" s="88">
        <f>FZ175/FZ174*100</f>
        <v>27.964519140989726</v>
      </c>
      <c r="GA176" s="61">
        <f t="shared" si="1240"/>
        <v>2.4249353766790049</v>
      </c>
      <c r="GB176" s="88">
        <f>GB175/GB174*100</f>
        <v>28.533451484271154</v>
      </c>
      <c r="GC176" s="61">
        <f t="shared" si="1241"/>
        <v>2.0344792642885245</v>
      </c>
      <c r="GD176" s="88">
        <f>GD175/GD174*100</f>
        <v>22.61904761904762</v>
      </c>
      <c r="GE176" s="61">
        <f t="shared" si="1242"/>
        <v>-20.7279650990831</v>
      </c>
      <c r="GF176" s="88">
        <f>GF175/GF174*100</f>
        <v>25.789473684210527</v>
      </c>
      <c r="GG176" s="61">
        <f t="shared" si="1243"/>
        <v>14.016620498614962</v>
      </c>
      <c r="GH176" s="88">
        <f>GH175/GH174*100</f>
        <v>24.170616113744074</v>
      </c>
      <c r="GI176" s="61">
        <f t="shared" si="1243"/>
        <v>-6.2772028242576772</v>
      </c>
      <c r="GJ176" s="88">
        <f>GJ175/GJ174*100</f>
        <v>25.925925925925924</v>
      </c>
      <c r="GK176" s="61">
        <f t="shared" si="1243"/>
        <v>7.2621641249092095</v>
      </c>
      <c r="GL176" s="88">
        <f>GL175/GL174*100</f>
        <v>26.011560693641616</v>
      </c>
      <c r="GM176" s="61">
        <f t="shared" si="1243"/>
        <v>0.3303055326176807</v>
      </c>
      <c r="GN176" s="88">
        <f>GN175/GN174*100</f>
        <v>26.108374384236456</v>
      </c>
      <c r="GO176" s="61">
        <f t="shared" si="1243"/>
        <v>0.37219485495350035</v>
      </c>
      <c r="GP176" s="88">
        <f>GP175/GP174*100</f>
        <v>16.000000000000007</v>
      </c>
      <c r="GQ176" s="61">
        <f t="shared" si="1243"/>
        <v>-38.716981132075446</v>
      </c>
      <c r="GR176" s="89">
        <f>GP176</f>
        <v>16.000000000000007</v>
      </c>
      <c r="GS176" s="61">
        <f t="shared" si="1243"/>
        <v>0</v>
      </c>
      <c r="GT176" s="89">
        <f>GR176</f>
        <v>16.000000000000007</v>
      </c>
      <c r="GU176" s="61">
        <f t="shared" si="1243"/>
        <v>0</v>
      </c>
      <c r="GV176" s="89">
        <f>GT176</f>
        <v>16.000000000000007</v>
      </c>
      <c r="GW176" s="61">
        <f t="shared" si="1243"/>
        <v>0</v>
      </c>
      <c r="GX176" s="89">
        <f>GV176</f>
        <v>16.000000000000007</v>
      </c>
      <c r="GY176" s="61">
        <f t="shared" si="1244"/>
        <v>0</v>
      </c>
      <c r="GZ176" s="61">
        <f t="shared" si="1111"/>
        <v>-9.3290783639256141</v>
      </c>
      <c r="HA176" s="61"/>
      <c r="HB176" s="452"/>
      <c r="HC176"/>
      <c r="HD176"/>
      <c r="HE176"/>
      <c r="HF176"/>
      <c r="HG176"/>
      <c r="HH176"/>
    </row>
    <row r="177" spans="2:216" s="5" customFormat="1" ht="12.75" customHeight="1" x14ac:dyDescent="0.2">
      <c r="B177" s="63" t="s">
        <v>284</v>
      </c>
      <c r="C177" s="102"/>
      <c r="D177" s="70"/>
      <c r="E177" s="102"/>
      <c r="F177" s="71"/>
      <c r="G177" s="102"/>
      <c r="H177" s="71"/>
      <c r="I177" s="102"/>
      <c r="J177" s="61"/>
      <c r="K177" s="102"/>
      <c r="L177" s="61"/>
      <c r="M177" s="102"/>
      <c r="N177" s="61"/>
      <c r="O177" s="102"/>
      <c r="P177" s="61"/>
      <c r="Q177" s="102"/>
      <c r="R177" s="61"/>
      <c r="S177" s="102"/>
      <c r="T177" s="61"/>
      <c r="U177" s="102"/>
      <c r="V177" s="61"/>
      <c r="W177" s="102"/>
      <c r="X177" s="61"/>
      <c r="Y177" s="102"/>
      <c r="Z177" s="61"/>
      <c r="AA177" s="102"/>
      <c r="AB177" s="61"/>
      <c r="AC177" s="102"/>
      <c r="AD177" s="61"/>
      <c r="AE177" s="102"/>
      <c r="AF177" s="61"/>
      <c r="AG177" s="102"/>
      <c r="AH177" s="61"/>
      <c r="AI177" s="102"/>
      <c r="AJ177" s="61"/>
      <c r="AK177" s="102"/>
      <c r="AL177" s="61"/>
      <c r="AM177" s="102"/>
      <c r="AN177" s="61"/>
      <c r="AO177" s="102"/>
      <c r="AP177" s="61"/>
      <c r="AQ177" s="125">
        <f>AQ174-AQ175</f>
        <v>43.20000000000001</v>
      </c>
      <c r="AR177" s="61" t="str">
        <f t="shared" si="1198"/>
        <v>NA</v>
      </c>
      <c r="AS177" s="125">
        <f>AS174-AS175</f>
        <v>45.29999999999999</v>
      </c>
      <c r="AT177" s="61" t="str">
        <f t="shared" si="1199"/>
        <v>NA</v>
      </c>
      <c r="AU177" s="125">
        <f>AU174-AU175</f>
        <v>53.399999999999984</v>
      </c>
      <c r="AV177" s="61" t="str">
        <f t="shared" si="1200"/>
        <v>NA</v>
      </c>
      <c r="AW177" s="125">
        <f>AW174-AW175</f>
        <v>45.199999999999974</v>
      </c>
      <c r="AX177" s="61" t="str">
        <f t="shared" si="1200"/>
        <v>NA</v>
      </c>
      <c r="AY177" s="102">
        <f>AY174-AY175</f>
        <v>52.499999999999986</v>
      </c>
      <c r="AZ177" s="61">
        <f t="shared" si="1201"/>
        <v>21.527777777777722</v>
      </c>
      <c r="BA177" s="102">
        <f>BA174-BA175</f>
        <v>54.3</v>
      </c>
      <c r="BB177" s="61">
        <f t="shared" si="1202"/>
        <v>19.867549668874183</v>
      </c>
      <c r="BC177" s="102">
        <f>BC174-BC175</f>
        <v>52.5</v>
      </c>
      <c r="BD177" s="61">
        <f t="shared" si="1203"/>
        <v>-1.6853932584269371</v>
      </c>
      <c r="BE177" s="102">
        <f>BE174-BE175</f>
        <v>44.59999999999998</v>
      </c>
      <c r="BF177" s="61">
        <f t="shared" si="1204"/>
        <v>-1.327433628318575</v>
      </c>
      <c r="BG177" s="125">
        <f>BG174-BG175</f>
        <v>49.70000000000001</v>
      </c>
      <c r="BH177" s="143">
        <f t="shared" si="1205"/>
        <v>-5.3333333333332895</v>
      </c>
      <c r="BI177" s="125">
        <f>BI174-BI175</f>
        <v>47.300000000000011</v>
      </c>
      <c r="BJ177" s="143">
        <f t="shared" si="1205"/>
        <v>-12.891344383057069</v>
      </c>
      <c r="BK177" s="125">
        <f>BK174-BK175</f>
        <v>41.199999999999996</v>
      </c>
      <c r="BL177" s="143">
        <f t="shared" si="1205"/>
        <v>-21.523809523809533</v>
      </c>
      <c r="BM177" s="125">
        <f>BM174-BM175</f>
        <v>43.100000000000016</v>
      </c>
      <c r="BN177" s="143">
        <f t="shared" si="1205"/>
        <v>-3.3632286995514904</v>
      </c>
      <c r="BO177" s="125">
        <f>BO174-BO175</f>
        <v>40.4</v>
      </c>
      <c r="BP177" s="143">
        <f t="shared" si="1205"/>
        <v>-18.71227364185113</v>
      </c>
      <c r="BQ177" s="125">
        <f>BQ174-BQ175</f>
        <v>41.3</v>
      </c>
      <c r="BR177" s="143">
        <f t="shared" si="1205"/>
        <v>-12.684989429175497</v>
      </c>
      <c r="BS177" s="125">
        <f>BS174-BS175</f>
        <v>42.1</v>
      </c>
      <c r="BT177" s="143">
        <f t="shared" si="1205"/>
        <v>2.1844660194174859</v>
      </c>
      <c r="BU177" s="125">
        <f>BU174-BU175</f>
        <v>-1.1000000000000121</v>
      </c>
      <c r="BV177" s="143" t="str">
        <f t="shared" si="1205"/>
        <v>NM</v>
      </c>
      <c r="BW177" s="102">
        <f>BW174-BW175</f>
        <v>29.799999999999976</v>
      </c>
      <c r="BX177" s="61">
        <f t="shared" si="1205"/>
        <v>-26.237623762376295</v>
      </c>
      <c r="BY177" s="102">
        <f>BY174-BY175</f>
        <v>27.70000000000001</v>
      </c>
      <c r="BZ177" s="61">
        <f t="shared" si="1205"/>
        <v>-32.929782082324422</v>
      </c>
      <c r="CA177" s="102">
        <f>CA174-CA175</f>
        <v>42.600000000000009</v>
      </c>
      <c r="CB177" s="61">
        <f t="shared" si="1205"/>
        <v>1.1876484560570333</v>
      </c>
      <c r="CC177" s="102">
        <f>CC174-CC175</f>
        <v>33.299999999999976</v>
      </c>
      <c r="CD177" s="61" t="str">
        <f t="shared" si="1205"/>
        <v>NM</v>
      </c>
      <c r="CE177" s="102">
        <f>CE174-CE175</f>
        <v>35.899999999999991</v>
      </c>
      <c r="CF177" s="61">
        <f t="shared" si="1205"/>
        <v>20.469798657718187</v>
      </c>
      <c r="CG177" s="102">
        <f>CG174-CG175</f>
        <v>36.000000000000021</v>
      </c>
      <c r="CH177" s="61">
        <f t="shared" si="1205"/>
        <v>29.963898916967537</v>
      </c>
      <c r="CI177" s="102">
        <f>CI174-CI175</f>
        <v>49.800000000000004</v>
      </c>
      <c r="CJ177" s="61">
        <f t="shared" si="1205"/>
        <v>16.901408450704203</v>
      </c>
      <c r="CK177" s="102">
        <f>CK174-CK175</f>
        <v>32.6</v>
      </c>
      <c r="CL177" s="61">
        <f t="shared" si="1205"/>
        <v>-2.1021021021020214</v>
      </c>
      <c r="CM177" s="102">
        <f>CM174-CM175</f>
        <v>47.7</v>
      </c>
      <c r="CN177" s="61">
        <f t="shared" si="1205"/>
        <v>32.869080779944326</v>
      </c>
      <c r="CO177" s="102">
        <f>CO174-CO175</f>
        <v>41.399999999999991</v>
      </c>
      <c r="CP177" s="61">
        <f t="shared" si="1205"/>
        <v>14.999999999999902</v>
      </c>
      <c r="CQ177" s="102">
        <f>CQ174-CQ175</f>
        <v>39.200000000000003</v>
      </c>
      <c r="CR177" s="61">
        <f t="shared" si="1205"/>
        <v>-21.285140562248994</v>
      </c>
      <c r="CS177" s="102">
        <f>CS174-CS175</f>
        <v>33</v>
      </c>
      <c r="CT177" s="61">
        <f t="shared" si="1205"/>
        <v>1.2269938650306678</v>
      </c>
      <c r="CU177" s="102">
        <f>CU174-CU175</f>
        <v>35</v>
      </c>
      <c r="CV177" s="61">
        <f t="shared" si="1206"/>
        <v>-26.624737945492672</v>
      </c>
      <c r="CW177" s="102">
        <f>CW174-CW175</f>
        <v>38</v>
      </c>
      <c r="CX177" s="61">
        <f t="shared" si="1207"/>
        <v>-8.2125603864734114</v>
      </c>
      <c r="CY177" s="102">
        <f>CY174-CY175</f>
        <v>29</v>
      </c>
      <c r="CZ177" s="61">
        <f t="shared" si="1208"/>
        <v>-26.020408163265309</v>
      </c>
      <c r="DA177" s="102">
        <f>DA174-DA175</f>
        <v>28</v>
      </c>
      <c r="DB177" s="61">
        <f t="shared" si="1209"/>
        <v>-15.151515151515149</v>
      </c>
      <c r="DC177" s="102">
        <f>DC174-DC175</f>
        <v>35</v>
      </c>
      <c r="DD177" s="61">
        <f t="shared" si="1210"/>
        <v>0</v>
      </c>
      <c r="DE177" s="102">
        <f>DE174-DE175</f>
        <v>39</v>
      </c>
      <c r="DF177" s="61">
        <f t="shared" si="1211"/>
        <v>2.6315789473684292</v>
      </c>
      <c r="DG177" s="102">
        <f>DG174-DG175</f>
        <v>33</v>
      </c>
      <c r="DH177" s="61">
        <f t="shared" si="1212"/>
        <v>13.793103448275868</v>
      </c>
      <c r="DI177" s="102">
        <f>DI174-DI175</f>
        <v>34</v>
      </c>
      <c r="DJ177" s="61">
        <f t="shared" si="1213"/>
        <v>21.42857142857142</v>
      </c>
      <c r="DK177" s="102">
        <f>DK174-DK175</f>
        <v>39</v>
      </c>
      <c r="DL177" s="61">
        <f t="shared" si="1214"/>
        <v>11.428571428571432</v>
      </c>
      <c r="DM177" s="102">
        <f>DM174-DM175</f>
        <v>39</v>
      </c>
      <c r="DN177" s="130">
        <f t="shared" si="1215"/>
        <v>0</v>
      </c>
      <c r="DO177" s="102">
        <f>DO174-DO175</f>
        <v>40</v>
      </c>
      <c r="DP177" s="130">
        <f t="shared" si="1215"/>
        <v>21.212121212121215</v>
      </c>
      <c r="DQ177" s="102">
        <f>DQ174-DQ175</f>
        <v>42</v>
      </c>
      <c r="DR177" s="130">
        <f t="shared" si="1215"/>
        <v>23.529411764705888</v>
      </c>
      <c r="DS177" s="102">
        <f>DS174-DS175</f>
        <v>35</v>
      </c>
      <c r="DT177" s="130">
        <f t="shared" si="1215"/>
        <v>-10.256410256410254</v>
      </c>
      <c r="DU177" s="102">
        <f>DU174-DU175</f>
        <v>30</v>
      </c>
      <c r="DV177" s="130">
        <f t="shared" si="1215"/>
        <v>-23.076923076923073</v>
      </c>
      <c r="DW177" s="102">
        <f>DW174-DW175</f>
        <v>42</v>
      </c>
      <c r="DX177" s="102">
        <f t="shared" ref="DX177:DY177" si="1255">DX174-DX175</f>
        <v>42</v>
      </c>
      <c r="DY177" s="102">
        <f t="shared" si="1255"/>
        <v>33</v>
      </c>
      <c r="DZ177" s="130">
        <f t="shared" si="1215"/>
        <v>-21.428571428571431</v>
      </c>
      <c r="EA177" s="102">
        <f t="shared" ref="EA177:EC177" si="1256">EA174-EA175</f>
        <v>31</v>
      </c>
      <c r="EB177" s="130">
        <f t="shared" si="1218"/>
        <v>-11.428571428571432</v>
      </c>
      <c r="EC177" s="102">
        <f t="shared" si="1256"/>
        <v>31</v>
      </c>
      <c r="ED177" s="130">
        <f t="shared" si="1219"/>
        <v>3.3333333333333437</v>
      </c>
      <c r="EE177" s="102">
        <f t="shared" ref="EE177:EG177" si="1257">EE174-EE175</f>
        <v>32</v>
      </c>
      <c r="EF177" s="130">
        <f t="shared" si="1221"/>
        <v>-23.809523809523814</v>
      </c>
      <c r="EG177" s="102">
        <f t="shared" si="1257"/>
        <v>34</v>
      </c>
      <c r="EH177" s="130">
        <f t="shared" si="1222"/>
        <v>3.0303030303030276</v>
      </c>
      <c r="EI177" s="102">
        <f t="shared" ref="EI177:EK177" si="1258">EI174-EI175</f>
        <v>37</v>
      </c>
      <c r="EJ177" s="130">
        <f t="shared" si="1224"/>
        <v>19.354838709677423</v>
      </c>
      <c r="EK177" s="102">
        <f t="shared" si="1258"/>
        <v>37</v>
      </c>
      <c r="EL177" s="130">
        <f t="shared" si="1226"/>
        <v>19.354838709677423</v>
      </c>
      <c r="EM177" s="102">
        <f t="shared" ref="EM177" si="1259">EM174-EM175</f>
        <v>35</v>
      </c>
      <c r="EN177" s="130">
        <f t="shared" si="1227"/>
        <v>9.375</v>
      </c>
      <c r="EO177" s="102">
        <f t="shared" ref="EO177" si="1260">EO174-EO175</f>
        <v>41</v>
      </c>
      <c r="EP177" s="130">
        <f t="shared" si="1229"/>
        <v>20.588235294117641</v>
      </c>
      <c r="EQ177" s="102">
        <f t="shared" ref="EQ177:EW177" si="1261">EQ174-EQ175</f>
        <v>44.808412163061703</v>
      </c>
      <c r="ER177" s="130">
        <f t="shared" si="1231"/>
        <v>21.103816656923513</v>
      </c>
      <c r="ES177" s="102">
        <f t="shared" si="1261"/>
        <v>44.749433830424493</v>
      </c>
      <c r="ET177" s="130">
        <f t="shared" si="1232"/>
        <v>20.944415757904046</v>
      </c>
      <c r="EU177" s="102">
        <f t="shared" si="1261"/>
        <v>45.211143384642121</v>
      </c>
      <c r="EV177" s="130">
        <f t="shared" si="1233"/>
        <v>29.174695384691773</v>
      </c>
      <c r="EW177" s="102">
        <f t="shared" si="1261"/>
        <v>45.528944494716114</v>
      </c>
      <c r="EX177" s="130">
        <f t="shared" si="1234"/>
        <v>11.046206084673461</v>
      </c>
      <c r="EY177" s="74"/>
      <c r="EZ177" s="558"/>
      <c r="FA177" s="74"/>
      <c r="FB177" s="102"/>
      <c r="FC177" s="91"/>
      <c r="FD177" s="102"/>
      <c r="FE177" s="126"/>
      <c r="FF177" s="102"/>
      <c r="FG177" s="126"/>
      <c r="FH177" s="102"/>
      <c r="FI177" s="126"/>
      <c r="FJ177" s="102"/>
      <c r="FK177" s="126"/>
      <c r="FL177" s="102"/>
      <c r="FM177" s="126"/>
      <c r="FN177" s="104">
        <f>FN174-FN175</f>
        <v>179</v>
      </c>
      <c r="FO177" s="126"/>
      <c r="FP177" s="104">
        <f>FP174-FP175</f>
        <v>187.10000000000005</v>
      </c>
      <c r="FQ177" s="61">
        <f t="shared" si="1235"/>
        <v>4.5251396648045006</v>
      </c>
      <c r="FR177" s="104">
        <f>FR174-FR175</f>
        <v>203.90000000000003</v>
      </c>
      <c r="FS177" s="61">
        <f t="shared" si="1236"/>
        <v>8.979155531801176</v>
      </c>
      <c r="FT177" s="104">
        <f>FT174-FT175</f>
        <v>181.29999999999998</v>
      </c>
      <c r="FU177" s="61">
        <f t="shared" si="1237"/>
        <v>-11.083864639529207</v>
      </c>
      <c r="FV177" s="104">
        <f>FV174-FV175</f>
        <v>122.70000000000005</v>
      </c>
      <c r="FW177" s="61">
        <f t="shared" si="1238"/>
        <v>-32.322118036403722</v>
      </c>
      <c r="FX177" s="104">
        <f>FX174-FX175</f>
        <v>133.40000000000012</v>
      </c>
      <c r="FY177" s="61">
        <f t="shared" si="1239"/>
        <v>8.7204563977180793</v>
      </c>
      <c r="FZ177" s="104">
        <f>FZ174-FZ175</f>
        <v>154.30000000000004</v>
      </c>
      <c r="GA177" s="61">
        <f t="shared" si="1240"/>
        <v>15.667166416791535</v>
      </c>
      <c r="GB177" s="104">
        <f>GB174-GB175</f>
        <v>161.30000000000004</v>
      </c>
      <c r="GC177" s="61">
        <f t="shared" si="1241"/>
        <v>4.5366169799092582</v>
      </c>
      <c r="GD177" s="104">
        <f>GD174-GD175</f>
        <v>130</v>
      </c>
      <c r="GE177" s="61">
        <f t="shared" si="1242"/>
        <v>-19.404835709857426</v>
      </c>
      <c r="GF177" s="104">
        <f>GF174-GF175</f>
        <v>141</v>
      </c>
      <c r="GG177" s="61">
        <f t="shared" si="1243"/>
        <v>8.4615384615384528</v>
      </c>
      <c r="GH177" s="104">
        <f>GH174-GH175</f>
        <v>160</v>
      </c>
      <c r="GI177" s="61">
        <f t="shared" si="1243"/>
        <v>13.475177304964546</v>
      </c>
      <c r="GJ177" s="104">
        <f>GJ174-GJ175</f>
        <v>140</v>
      </c>
      <c r="GK177" s="61">
        <f t="shared" si="1243"/>
        <v>-12.5</v>
      </c>
      <c r="GL177" s="104">
        <f>GL174-GL175</f>
        <v>128</v>
      </c>
      <c r="GM177" s="61">
        <f t="shared" si="1243"/>
        <v>-8.5714285714285747</v>
      </c>
      <c r="GN177" s="104">
        <f>GN174-GN175</f>
        <v>150</v>
      </c>
      <c r="GO177" s="61">
        <f t="shared" si="1243"/>
        <v>17.1875</v>
      </c>
      <c r="GP177" s="104">
        <f>GP174-GP175</f>
        <v>180.29793387284434</v>
      </c>
      <c r="GQ177" s="61">
        <f t="shared" si="1243"/>
        <v>20.19862258189622</v>
      </c>
      <c r="GR177" s="102">
        <f>GR174-GR175</f>
        <v>185.68847032386316</v>
      </c>
      <c r="GS177" s="61">
        <f t="shared" si="1243"/>
        <v>2.9897938014201042</v>
      </c>
      <c r="GT177" s="102">
        <f>GT174-GT175</f>
        <v>191.26398983936861</v>
      </c>
      <c r="GU177" s="61">
        <f t="shared" si="1243"/>
        <v>3.0026201981097955</v>
      </c>
      <c r="GV177" s="102">
        <f>GV174-GV175</f>
        <v>197.53883524227643</v>
      </c>
      <c r="GW177" s="61">
        <f t="shared" si="1243"/>
        <v>3.2807249332076127</v>
      </c>
      <c r="GX177" s="102">
        <f>GX174-GX175</f>
        <v>204.49662363474403</v>
      </c>
      <c r="GY177" s="61">
        <f t="shared" si="1244"/>
        <v>3.5222382393487628</v>
      </c>
      <c r="GZ177" s="61">
        <f t="shared" si="1111"/>
        <v>6.3944506677847457</v>
      </c>
      <c r="HA177" s="61"/>
      <c r="HB177" s="452"/>
      <c r="HC177"/>
      <c r="HD177"/>
      <c r="HE177"/>
      <c r="HF177"/>
      <c r="HG177"/>
      <c r="HH177"/>
    </row>
    <row r="178" spans="2:216" s="5" customFormat="1" ht="12.75" customHeight="1" x14ac:dyDescent="0.2">
      <c r="B178" s="2" t="s">
        <v>4</v>
      </c>
      <c r="C178" s="102"/>
      <c r="D178" s="70"/>
      <c r="E178" s="102"/>
      <c r="F178" s="71"/>
      <c r="G178" s="102"/>
      <c r="H178" s="71"/>
      <c r="I178" s="102"/>
      <c r="J178" s="61"/>
      <c r="K178" s="102"/>
      <c r="L178" s="61"/>
      <c r="M178" s="102"/>
      <c r="N178" s="61"/>
      <c r="O178" s="102"/>
      <c r="P178" s="61"/>
      <c r="Q178" s="102"/>
      <c r="R178" s="61"/>
      <c r="S178" s="102"/>
      <c r="T178" s="61"/>
      <c r="U178" s="102"/>
      <c r="V178" s="61"/>
      <c r="W178" s="102"/>
      <c r="X178" s="61"/>
      <c r="Y178" s="102"/>
      <c r="Z178" s="61"/>
      <c r="AA178" s="125"/>
      <c r="AB178" s="61"/>
      <c r="AC178" s="125"/>
      <c r="AD178" s="61"/>
      <c r="AE178" s="125"/>
      <c r="AF178" s="61"/>
      <c r="AG178" s="125"/>
      <c r="AH178" s="61"/>
      <c r="AI178" s="125"/>
      <c r="AJ178" s="61"/>
      <c r="AK178" s="125"/>
      <c r="AL178" s="61"/>
      <c r="AM178" s="125"/>
      <c r="AN178" s="61"/>
      <c r="AO178" s="125"/>
      <c r="AP178" s="61"/>
      <c r="AQ178" s="540">
        <v>1.3</v>
      </c>
      <c r="AR178" s="61" t="str">
        <f t="shared" si="1198"/>
        <v>NA</v>
      </c>
      <c r="AS178" s="72">
        <v>0</v>
      </c>
      <c r="AT178" s="61" t="str">
        <f t="shared" si="1199"/>
        <v>NA</v>
      </c>
      <c r="AU178" s="72">
        <v>33</v>
      </c>
      <c r="AV178" s="61" t="str">
        <f t="shared" si="1200"/>
        <v>NA</v>
      </c>
      <c r="AW178" s="72">
        <v>0</v>
      </c>
      <c r="AX178" s="61" t="str">
        <f t="shared" si="1200"/>
        <v>NA</v>
      </c>
      <c r="AY178" s="72">
        <v>0</v>
      </c>
      <c r="AZ178" s="61" t="str">
        <f t="shared" si="1201"/>
        <v>NM</v>
      </c>
      <c r="BA178" s="72">
        <v>2</v>
      </c>
      <c r="BB178" s="61" t="str">
        <f t="shared" si="1202"/>
        <v>NA</v>
      </c>
      <c r="BC178" s="72">
        <v>4</v>
      </c>
      <c r="BD178" s="61" t="str">
        <f t="shared" si="1203"/>
        <v>NM</v>
      </c>
      <c r="BE178" s="72">
        <v>-3</v>
      </c>
      <c r="BF178" s="61" t="str">
        <f t="shared" si="1204"/>
        <v>NA</v>
      </c>
      <c r="BG178" s="72">
        <v>0</v>
      </c>
      <c r="BH178" s="61" t="str">
        <f t="shared" si="1205"/>
        <v>NA</v>
      </c>
      <c r="BI178" s="72">
        <v>-2</v>
      </c>
      <c r="BJ178" s="61" t="str">
        <f t="shared" si="1205"/>
        <v>NM</v>
      </c>
      <c r="BK178" s="72">
        <v>-3</v>
      </c>
      <c r="BL178" s="61" t="str">
        <f t="shared" si="1205"/>
        <v>NM</v>
      </c>
      <c r="BM178" s="72">
        <v>0</v>
      </c>
      <c r="BN178" s="61" t="str">
        <f t="shared" si="1205"/>
        <v>NM</v>
      </c>
      <c r="BO178" s="72">
        <v>-2</v>
      </c>
      <c r="BP178" s="61" t="str">
        <f t="shared" si="1205"/>
        <v>NA</v>
      </c>
      <c r="BQ178" s="72">
        <v>0</v>
      </c>
      <c r="BR178" s="61" t="str">
        <f t="shared" si="1205"/>
        <v>NM</v>
      </c>
      <c r="BS178" s="72">
        <v>0</v>
      </c>
      <c r="BT178" s="61" t="str">
        <f t="shared" si="1205"/>
        <v>NM</v>
      </c>
      <c r="BU178" s="72">
        <v>-26</v>
      </c>
      <c r="BV178" s="61" t="str">
        <f t="shared" si="1205"/>
        <v>NA</v>
      </c>
      <c r="BW178" s="72">
        <v>0</v>
      </c>
      <c r="BX178" s="61" t="str">
        <f t="shared" si="1205"/>
        <v>NM</v>
      </c>
      <c r="BY178" s="72">
        <v>0</v>
      </c>
      <c r="BZ178" s="61" t="str">
        <f t="shared" si="1205"/>
        <v>NA</v>
      </c>
      <c r="CA178" s="72">
        <v>5</v>
      </c>
      <c r="CB178" s="61" t="str">
        <f t="shared" si="1205"/>
        <v>NA</v>
      </c>
      <c r="CC178" s="72">
        <v>-3</v>
      </c>
      <c r="CD178" s="61" t="str">
        <f t="shared" si="1205"/>
        <v>NM</v>
      </c>
      <c r="CE178" s="72">
        <v>0</v>
      </c>
      <c r="CF178" s="61" t="str">
        <f t="shared" si="1205"/>
        <v>NA</v>
      </c>
      <c r="CG178" s="72">
        <v>0</v>
      </c>
      <c r="CH178" s="61" t="str">
        <f t="shared" si="1205"/>
        <v>NA</v>
      </c>
      <c r="CI178" s="72">
        <v>11</v>
      </c>
      <c r="CJ178" s="61" t="str">
        <f t="shared" si="1205"/>
        <v>NM</v>
      </c>
      <c r="CK178" s="72">
        <v>-3</v>
      </c>
      <c r="CL178" s="61">
        <f t="shared" si="1205"/>
        <v>0</v>
      </c>
      <c r="CM178" s="72">
        <v>9</v>
      </c>
      <c r="CN178" s="61" t="str">
        <f t="shared" si="1205"/>
        <v>NA</v>
      </c>
      <c r="CO178" s="72">
        <v>2</v>
      </c>
      <c r="CP178" s="61" t="str">
        <f t="shared" si="1205"/>
        <v>NA</v>
      </c>
      <c r="CQ178" s="72">
        <v>3</v>
      </c>
      <c r="CR178" s="61" t="str">
        <f t="shared" si="1205"/>
        <v>NM</v>
      </c>
      <c r="CS178" s="72">
        <v>0</v>
      </c>
      <c r="CT178" s="61" t="str">
        <f t="shared" si="1205"/>
        <v>NM</v>
      </c>
      <c r="CU178" s="72">
        <v>0</v>
      </c>
      <c r="CV178" s="61" t="str">
        <f t="shared" si="1206"/>
        <v>NM</v>
      </c>
      <c r="CW178" s="72">
        <v>4</v>
      </c>
      <c r="CX178" s="61">
        <f t="shared" si="1207"/>
        <v>100</v>
      </c>
      <c r="CY178" s="72">
        <v>-3</v>
      </c>
      <c r="CZ178" s="61" t="str">
        <f t="shared" si="1208"/>
        <v>NM</v>
      </c>
      <c r="DA178" s="72">
        <v>-4</v>
      </c>
      <c r="DB178" s="61" t="str">
        <f t="shared" si="1209"/>
        <v>NA</v>
      </c>
      <c r="DC178" s="72">
        <v>2</v>
      </c>
      <c r="DD178" s="61" t="str">
        <f t="shared" si="1210"/>
        <v>NA</v>
      </c>
      <c r="DE178" s="72">
        <v>5</v>
      </c>
      <c r="DF178" s="61">
        <f t="shared" si="1211"/>
        <v>25</v>
      </c>
      <c r="DG178" s="72">
        <v>0</v>
      </c>
      <c r="DH178" s="61" t="str">
        <f t="shared" si="1212"/>
        <v>NM</v>
      </c>
      <c r="DI178" s="72">
        <v>0</v>
      </c>
      <c r="DJ178" s="61" t="str">
        <f t="shared" si="1213"/>
        <v>NM</v>
      </c>
      <c r="DK178" s="72">
        <v>0</v>
      </c>
      <c r="DL178" s="61" t="str">
        <f t="shared" si="1214"/>
        <v>NM</v>
      </c>
      <c r="DM178" s="72">
        <v>0</v>
      </c>
      <c r="DN178" s="130" t="str">
        <f t="shared" si="1215"/>
        <v>NM</v>
      </c>
      <c r="DO178" s="72">
        <v>0</v>
      </c>
      <c r="DP178" s="130" t="str">
        <f t="shared" si="1215"/>
        <v>NA</v>
      </c>
      <c r="DQ178" s="72">
        <v>0</v>
      </c>
      <c r="DR178" s="130" t="str">
        <f t="shared" si="1215"/>
        <v>NA</v>
      </c>
      <c r="DS178" s="72">
        <v>0</v>
      </c>
      <c r="DT178" s="130" t="str">
        <f t="shared" si="1215"/>
        <v>NA</v>
      </c>
      <c r="DU178" s="72">
        <v>0</v>
      </c>
      <c r="DV178" s="130" t="str">
        <f t="shared" si="1215"/>
        <v>NA</v>
      </c>
      <c r="DW178" s="72">
        <v>2</v>
      </c>
      <c r="DX178" s="72">
        <v>2</v>
      </c>
      <c r="DY178" s="72">
        <v>0</v>
      </c>
      <c r="DZ178" s="130" t="str">
        <f t="shared" si="1215"/>
        <v>NA</v>
      </c>
      <c r="EA178" s="820">
        <v>-4</v>
      </c>
      <c r="EB178" s="130" t="str">
        <f t="shared" si="1218"/>
        <v>NA</v>
      </c>
      <c r="EC178" s="820">
        <v>0</v>
      </c>
      <c r="ED178" s="130" t="str">
        <f t="shared" si="1219"/>
        <v>NA</v>
      </c>
      <c r="EE178" s="820">
        <f>-2+3.1</f>
        <v>1.1000000000000001</v>
      </c>
      <c r="EF178" s="130">
        <f t="shared" si="1221"/>
        <v>-44.999999999999993</v>
      </c>
      <c r="EG178" s="820">
        <v>0</v>
      </c>
      <c r="EH178" s="130" t="str">
        <f t="shared" si="1222"/>
        <v>NA</v>
      </c>
      <c r="EI178" s="820">
        <v>2</v>
      </c>
      <c r="EJ178" s="130" t="str">
        <f t="shared" si="1224"/>
        <v>NM</v>
      </c>
      <c r="EK178" s="820">
        <v>0</v>
      </c>
      <c r="EL178" s="130" t="str">
        <f t="shared" si="1226"/>
        <v>NA</v>
      </c>
      <c r="EM178" s="820">
        <v>-1</v>
      </c>
      <c r="EN178" s="130" t="str">
        <f t="shared" si="1227"/>
        <v>NM</v>
      </c>
      <c r="EO178" s="820">
        <v>0</v>
      </c>
      <c r="EP178" s="130" t="str">
        <f t="shared" si="1229"/>
        <v>NA</v>
      </c>
      <c r="EQ178" s="72">
        <v>0</v>
      </c>
      <c r="ER178" s="130" t="str">
        <f t="shared" si="1231"/>
        <v>NM</v>
      </c>
      <c r="ES178" s="72">
        <v>0</v>
      </c>
      <c r="ET178" s="130" t="str">
        <f t="shared" si="1232"/>
        <v>NA</v>
      </c>
      <c r="EU178" s="72">
        <v>0</v>
      </c>
      <c r="EV178" s="130" t="str">
        <f t="shared" si="1233"/>
        <v>NM</v>
      </c>
      <c r="EW178" s="72">
        <v>0</v>
      </c>
      <c r="EX178" s="130" t="str">
        <f t="shared" si="1234"/>
        <v>NA</v>
      </c>
      <c r="EY178" s="74"/>
      <c r="EZ178" s="558"/>
      <c r="FA178" s="74"/>
      <c r="FB178" s="102"/>
      <c r="FC178" s="124"/>
      <c r="FD178" s="102"/>
      <c r="FE178" s="126"/>
      <c r="FF178" s="102"/>
      <c r="FG178" s="126"/>
      <c r="FH178" s="102"/>
      <c r="FI178" s="126"/>
      <c r="FJ178" s="102"/>
      <c r="FK178" s="126"/>
      <c r="FL178" s="102"/>
      <c r="FM178" s="126"/>
      <c r="FN178" s="778">
        <v>0</v>
      </c>
      <c r="FO178" s="126"/>
      <c r="FP178" s="73">
        <f>AQ178+AS178+AU178+AW178</f>
        <v>34.299999999999997</v>
      </c>
      <c r="FQ178" s="61" t="str">
        <f t="shared" si="1235"/>
        <v>NA</v>
      </c>
      <c r="FR178" s="73">
        <f>AY178+BA178+BC178+BE178</f>
        <v>3</v>
      </c>
      <c r="FS178" s="61" t="str">
        <f t="shared" si="1236"/>
        <v>NM</v>
      </c>
      <c r="FT178" s="73">
        <f>BG178+BI178+BK178+BM178</f>
        <v>-5</v>
      </c>
      <c r="FU178" s="61" t="str">
        <f t="shared" si="1237"/>
        <v>NM</v>
      </c>
      <c r="FV178" s="73">
        <f>BO178+BQ178+BS178+BU178</f>
        <v>-28</v>
      </c>
      <c r="FW178" s="61" t="str">
        <f t="shared" si="1238"/>
        <v>NM</v>
      </c>
      <c r="FX178" s="73">
        <f>BW178+BY178+CA178+CC178</f>
        <v>2</v>
      </c>
      <c r="FY178" s="61" t="str">
        <f t="shared" si="1239"/>
        <v>NM</v>
      </c>
      <c r="FZ178" s="73">
        <f>CE178+CG178+CI178+CK178</f>
        <v>8</v>
      </c>
      <c r="GA178" s="61" t="str">
        <f t="shared" si="1240"/>
        <v>NM</v>
      </c>
      <c r="GB178" s="73">
        <f>CM178+CO178+CQ178+CS178</f>
        <v>14</v>
      </c>
      <c r="GC178" s="61">
        <f t="shared" si="1241"/>
        <v>75</v>
      </c>
      <c r="GD178" s="73">
        <f>CU178+CW178+CY178+DA178</f>
        <v>-3</v>
      </c>
      <c r="GE178" s="61" t="str">
        <f t="shared" si="1242"/>
        <v>NM</v>
      </c>
      <c r="GF178" s="73">
        <f>DC178+DE178+DG178+DI178</f>
        <v>7</v>
      </c>
      <c r="GG178" s="61" t="str">
        <f t="shared" si="1243"/>
        <v>NM</v>
      </c>
      <c r="GH178" s="73">
        <f>DK178+DM178+DO178+DQ178</f>
        <v>0</v>
      </c>
      <c r="GI178" s="61" t="str">
        <f t="shared" si="1243"/>
        <v>NM</v>
      </c>
      <c r="GJ178" s="73">
        <f>DS178+DU178+DW178+DY178</f>
        <v>2</v>
      </c>
      <c r="GK178" s="61" t="str">
        <f t="shared" si="1243"/>
        <v>NA</v>
      </c>
      <c r="GL178" s="73">
        <f>EA178+EC178+EE178+EG178</f>
        <v>-2.9</v>
      </c>
      <c r="GM178" s="61" t="str">
        <f t="shared" si="1243"/>
        <v>NM</v>
      </c>
      <c r="GN178" s="73">
        <f>EI178+EK178+EM178+EO178</f>
        <v>1</v>
      </c>
      <c r="GO178" s="61" t="str">
        <f t="shared" si="1243"/>
        <v>NM</v>
      </c>
      <c r="GP178" s="73">
        <f>EQ178+ES178+EU178+EW178</f>
        <v>0</v>
      </c>
      <c r="GQ178" s="61" t="str">
        <f t="shared" si="1243"/>
        <v>NM</v>
      </c>
      <c r="GR178" s="72">
        <v>0</v>
      </c>
      <c r="GS178" s="61" t="str">
        <f t="shared" si="1243"/>
        <v>NA</v>
      </c>
      <c r="GT178" s="72">
        <v>0</v>
      </c>
      <c r="GU178" s="61" t="str">
        <f t="shared" si="1243"/>
        <v>NA</v>
      </c>
      <c r="GV178" s="72">
        <v>0</v>
      </c>
      <c r="GW178" s="61" t="str">
        <f t="shared" si="1243"/>
        <v>NA</v>
      </c>
      <c r="GX178" s="72">
        <v>0</v>
      </c>
      <c r="GY178" s="61" t="str">
        <f t="shared" si="1244"/>
        <v>NA</v>
      </c>
      <c r="GZ178" s="61" t="str">
        <f t="shared" si="1111"/>
        <v>NM</v>
      </c>
      <c r="HA178" s="61"/>
      <c r="HB178" s="452"/>
      <c r="HC178"/>
      <c r="HD178"/>
      <c r="HE178"/>
      <c r="HF178"/>
      <c r="HG178"/>
      <c r="HH178"/>
    </row>
    <row r="179" spans="2:216" s="5" customFormat="1" ht="12.75" customHeight="1" x14ac:dyDescent="0.2">
      <c r="B179" s="63" t="s">
        <v>384</v>
      </c>
      <c r="C179" s="102"/>
      <c r="D179" s="70"/>
      <c r="E179" s="102"/>
      <c r="F179" s="71"/>
      <c r="G179" s="102"/>
      <c r="H179" s="71"/>
      <c r="I179" s="102"/>
      <c r="J179" s="61"/>
      <c r="K179" s="102"/>
      <c r="L179" s="61"/>
      <c r="M179" s="102"/>
      <c r="N179" s="61"/>
      <c r="O179" s="102"/>
      <c r="P179" s="61"/>
      <c r="Q179" s="102"/>
      <c r="R179" s="61"/>
      <c r="S179" s="102"/>
      <c r="T179" s="61"/>
      <c r="U179" s="102"/>
      <c r="V179" s="61"/>
      <c r="W179" s="102"/>
      <c r="X179" s="61"/>
      <c r="Y179" s="102"/>
      <c r="Z179" s="61"/>
      <c r="AA179" s="125"/>
      <c r="AB179" s="61"/>
      <c r="AC179" s="125"/>
      <c r="AD179" s="61"/>
      <c r="AE179" s="125"/>
      <c r="AF179" s="61"/>
      <c r="AG179" s="125"/>
      <c r="AH179" s="61"/>
      <c r="AI179" s="125"/>
      <c r="AJ179" s="61"/>
      <c r="AK179" s="125"/>
      <c r="AL179" s="61"/>
      <c r="AM179" s="125"/>
      <c r="AN179" s="61"/>
      <c r="AO179" s="125"/>
      <c r="AP179" s="61"/>
      <c r="AQ179" s="125">
        <f>AQ177-AQ178</f>
        <v>41.900000000000013</v>
      </c>
      <c r="AR179" s="61" t="str">
        <f t="shared" si="1198"/>
        <v>NA</v>
      </c>
      <c r="AS179" s="125">
        <f>AS177-AS178</f>
        <v>45.29999999999999</v>
      </c>
      <c r="AT179" s="61" t="str">
        <f t="shared" si="1199"/>
        <v>NA</v>
      </c>
      <c r="AU179" s="125">
        <f>AU177-AU178</f>
        <v>20.399999999999984</v>
      </c>
      <c r="AV179" s="61" t="str">
        <f t="shared" si="1200"/>
        <v>NA</v>
      </c>
      <c r="AW179" s="125">
        <f>AW177-AW178</f>
        <v>45.199999999999974</v>
      </c>
      <c r="AX179" s="61" t="str">
        <f t="shared" si="1200"/>
        <v>NA</v>
      </c>
      <c r="AY179" s="102">
        <f>AY177-AY178</f>
        <v>52.499999999999986</v>
      </c>
      <c r="AZ179" s="61">
        <f t="shared" si="1201"/>
        <v>25.298329355608516</v>
      </c>
      <c r="BA179" s="102">
        <f>BA177-BA178</f>
        <v>52.3</v>
      </c>
      <c r="BB179" s="61">
        <f t="shared" si="1202"/>
        <v>15.452538631346592</v>
      </c>
      <c r="BC179" s="102">
        <f>BC177-BC178</f>
        <v>48.5</v>
      </c>
      <c r="BD179" s="61" t="str">
        <f t="shared" si="1203"/>
        <v>NM</v>
      </c>
      <c r="BE179" s="102">
        <f>BE177-BE178</f>
        <v>47.59999999999998</v>
      </c>
      <c r="BF179" s="61">
        <f t="shared" si="1204"/>
        <v>5.3097345132743445</v>
      </c>
      <c r="BG179" s="102">
        <f>BG177-BG178</f>
        <v>49.70000000000001</v>
      </c>
      <c r="BH179" s="61">
        <f t="shared" si="1205"/>
        <v>-5.3333333333332895</v>
      </c>
      <c r="BI179" s="102">
        <f>BI177-BI178</f>
        <v>49.300000000000011</v>
      </c>
      <c r="BJ179" s="61">
        <f t="shared" si="1205"/>
        <v>-5.7361376673039866</v>
      </c>
      <c r="BK179" s="102">
        <f>BK177-BK178</f>
        <v>44.199999999999996</v>
      </c>
      <c r="BL179" s="61">
        <f t="shared" si="1205"/>
        <v>-8.8659793814433119</v>
      </c>
      <c r="BM179" s="102">
        <f>BM177-BM178</f>
        <v>43.100000000000016</v>
      </c>
      <c r="BN179" s="61">
        <f t="shared" si="1205"/>
        <v>-9.4537815126049747</v>
      </c>
      <c r="BO179" s="102">
        <f>BO177-BO178</f>
        <v>42.4</v>
      </c>
      <c r="BP179" s="61">
        <f t="shared" si="1205"/>
        <v>-14.688128772635833</v>
      </c>
      <c r="BQ179" s="102">
        <f>BQ177-BQ178</f>
        <v>41.3</v>
      </c>
      <c r="BR179" s="61">
        <f t="shared" si="1205"/>
        <v>-16.227180527383389</v>
      </c>
      <c r="BS179" s="102">
        <f>BS177-BS178</f>
        <v>42.1</v>
      </c>
      <c r="BT179" s="61">
        <f t="shared" si="1205"/>
        <v>-4.7511312217194401</v>
      </c>
      <c r="BU179" s="102">
        <f>BU177-BU178</f>
        <v>24.899999999999988</v>
      </c>
      <c r="BV179" s="61">
        <f t="shared" si="1205"/>
        <v>-42.227378190255273</v>
      </c>
      <c r="BW179" s="102">
        <f>BW177-BW178</f>
        <v>29.799999999999976</v>
      </c>
      <c r="BX179" s="61">
        <f t="shared" si="1205"/>
        <v>-29.716981132075524</v>
      </c>
      <c r="BY179" s="102">
        <f>BY177-BY178</f>
        <v>27.70000000000001</v>
      </c>
      <c r="BZ179" s="61">
        <f t="shared" si="1205"/>
        <v>-32.929782082324422</v>
      </c>
      <c r="CA179" s="102">
        <f>CA177-CA178</f>
        <v>37.600000000000009</v>
      </c>
      <c r="CB179" s="61">
        <f t="shared" si="1205"/>
        <v>-10.688836104513044</v>
      </c>
      <c r="CC179" s="102">
        <f>CC177-CC178</f>
        <v>36.299999999999976</v>
      </c>
      <c r="CD179" s="61">
        <f t="shared" si="1205"/>
        <v>45.783132530120454</v>
      </c>
      <c r="CE179" s="102">
        <f>CE177-CE178</f>
        <v>35.899999999999991</v>
      </c>
      <c r="CF179" s="61">
        <f t="shared" si="1205"/>
        <v>20.469798657718187</v>
      </c>
      <c r="CG179" s="102">
        <f>CG177-CG178</f>
        <v>36.000000000000021</v>
      </c>
      <c r="CH179" s="61">
        <f t="shared" si="1205"/>
        <v>29.963898916967537</v>
      </c>
      <c r="CI179" s="102">
        <f>CI177-CI178</f>
        <v>38.800000000000004</v>
      </c>
      <c r="CJ179" s="61">
        <f t="shared" si="1205"/>
        <v>3.1914893617021045</v>
      </c>
      <c r="CK179" s="102">
        <f>CK177-CK178</f>
        <v>35.6</v>
      </c>
      <c r="CL179" s="61">
        <f t="shared" si="1205"/>
        <v>-1.9283746556473136</v>
      </c>
      <c r="CM179" s="102">
        <f>CM177-CM178</f>
        <v>38.700000000000003</v>
      </c>
      <c r="CN179" s="61">
        <f t="shared" si="1205"/>
        <v>7.7994428969359708</v>
      </c>
      <c r="CO179" s="102">
        <f>CO177-CO178</f>
        <v>39.399999999999991</v>
      </c>
      <c r="CP179" s="61">
        <f t="shared" si="1205"/>
        <v>9.4444444444443665</v>
      </c>
      <c r="CQ179" s="102">
        <f>CQ177-CQ178</f>
        <v>36.200000000000003</v>
      </c>
      <c r="CR179" s="61">
        <f t="shared" si="1205"/>
        <v>-6.7010309278350499</v>
      </c>
      <c r="CS179" s="102">
        <f>CS177-CS178</f>
        <v>33</v>
      </c>
      <c r="CT179" s="61">
        <f t="shared" si="1205"/>
        <v>-7.3033707865168607</v>
      </c>
      <c r="CU179" s="102">
        <f>CU177-CU178</f>
        <v>35</v>
      </c>
      <c r="CV179" s="61">
        <f t="shared" si="1206"/>
        <v>-9.5607235142118885</v>
      </c>
      <c r="CW179" s="102">
        <f>CW177-CW178</f>
        <v>34</v>
      </c>
      <c r="CX179" s="61">
        <f t="shared" si="1207"/>
        <v>-13.705583756345163</v>
      </c>
      <c r="CY179" s="102">
        <f>CY177-CY178</f>
        <v>32</v>
      </c>
      <c r="CZ179" s="61">
        <f t="shared" si="1208"/>
        <v>-11.602209944751385</v>
      </c>
      <c r="DA179" s="102">
        <f>DA177-DA178</f>
        <v>32</v>
      </c>
      <c r="DB179" s="61">
        <f t="shared" si="1209"/>
        <v>-3.0303030303030276</v>
      </c>
      <c r="DC179" s="102">
        <f>DC177-DC178</f>
        <v>33</v>
      </c>
      <c r="DD179" s="61">
        <f t="shared" si="1210"/>
        <v>-5.7142857142857162</v>
      </c>
      <c r="DE179" s="102">
        <f>DE177-DE178</f>
        <v>34</v>
      </c>
      <c r="DF179" s="61">
        <f t="shared" si="1211"/>
        <v>0</v>
      </c>
      <c r="DG179" s="102">
        <f>DG177-DG178</f>
        <v>33</v>
      </c>
      <c r="DH179" s="61">
        <f t="shared" si="1212"/>
        <v>3.125</v>
      </c>
      <c r="DI179" s="102">
        <f>DI177-DI178</f>
        <v>34</v>
      </c>
      <c r="DJ179" s="61">
        <f t="shared" si="1213"/>
        <v>6.25</v>
      </c>
      <c r="DK179" s="102">
        <f>DK177-DK178</f>
        <v>39</v>
      </c>
      <c r="DL179" s="61">
        <f t="shared" si="1214"/>
        <v>18.181818181818187</v>
      </c>
      <c r="DM179" s="102">
        <f>DM177-DM178</f>
        <v>39</v>
      </c>
      <c r="DN179" s="130">
        <f t="shared" si="1215"/>
        <v>14.705882352941169</v>
      </c>
      <c r="DO179" s="102">
        <f>DO177-DO178</f>
        <v>40</v>
      </c>
      <c r="DP179" s="130">
        <f t="shared" si="1215"/>
        <v>21.212121212121215</v>
      </c>
      <c r="DQ179" s="102">
        <f>DQ177-DQ178</f>
        <v>42</v>
      </c>
      <c r="DR179" s="130">
        <f t="shared" si="1215"/>
        <v>23.529411764705888</v>
      </c>
      <c r="DS179" s="102">
        <f>DS177-DS178</f>
        <v>35</v>
      </c>
      <c r="DT179" s="130">
        <f t="shared" si="1215"/>
        <v>-10.256410256410254</v>
      </c>
      <c r="DU179" s="102">
        <f>DU177-DU178</f>
        <v>30</v>
      </c>
      <c r="DV179" s="130">
        <f t="shared" si="1215"/>
        <v>-23.076923076923073</v>
      </c>
      <c r="DW179" s="102">
        <f>DW177-DW178</f>
        <v>40</v>
      </c>
      <c r="DX179" s="102">
        <f t="shared" ref="DX179:DY179" si="1262">DX177-DX178</f>
        <v>40</v>
      </c>
      <c r="DY179" s="102">
        <f t="shared" si="1262"/>
        <v>33</v>
      </c>
      <c r="DZ179" s="130">
        <f t="shared" si="1215"/>
        <v>-21.428571428571431</v>
      </c>
      <c r="EA179" s="102">
        <f t="shared" ref="EA179:EC179" si="1263">EA177-EA178</f>
        <v>35</v>
      </c>
      <c r="EB179" s="130">
        <f t="shared" si="1218"/>
        <v>0</v>
      </c>
      <c r="EC179" s="102">
        <f t="shared" si="1263"/>
        <v>31</v>
      </c>
      <c r="ED179" s="130">
        <f t="shared" si="1219"/>
        <v>3.3333333333333437</v>
      </c>
      <c r="EE179" s="102">
        <f t="shared" ref="EE179:EG179" si="1264">EE177-EE178</f>
        <v>30.9</v>
      </c>
      <c r="EF179" s="130">
        <f t="shared" si="1221"/>
        <v>-22.750000000000004</v>
      </c>
      <c r="EG179" s="102">
        <f t="shared" si="1264"/>
        <v>34</v>
      </c>
      <c r="EH179" s="130">
        <f t="shared" si="1222"/>
        <v>3.0303030303030276</v>
      </c>
      <c r="EI179" s="102">
        <f t="shared" ref="EI179:EK179" si="1265">EI177-EI178</f>
        <v>35</v>
      </c>
      <c r="EJ179" s="130">
        <f t="shared" si="1224"/>
        <v>0</v>
      </c>
      <c r="EK179" s="102">
        <f t="shared" si="1265"/>
        <v>37</v>
      </c>
      <c r="EL179" s="130">
        <f t="shared" si="1226"/>
        <v>19.354838709677423</v>
      </c>
      <c r="EM179" s="102">
        <f t="shared" ref="EM179" si="1266">EM177-EM178</f>
        <v>36</v>
      </c>
      <c r="EN179" s="130">
        <f t="shared" si="1227"/>
        <v>16.504854368932055</v>
      </c>
      <c r="EO179" s="102">
        <f t="shared" ref="EO179" si="1267">EO177-EO178</f>
        <v>41</v>
      </c>
      <c r="EP179" s="130">
        <f t="shared" si="1229"/>
        <v>20.588235294117641</v>
      </c>
      <c r="EQ179" s="102">
        <f t="shared" ref="EQ179:EW179" si="1268">EQ177-EQ178</f>
        <v>44.808412163061703</v>
      </c>
      <c r="ER179" s="130">
        <f t="shared" si="1231"/>
        <v>28.024034751604866</v>
      </c>
      <c r="ES179" s="102">
        <f t="shared" si="1268"/>
        <v>44.749433830424493</v>
      </c>
      <c r="ET179" s="130">
        <f t="shared" si="1232"/>
        <v>20.944415757904046</v>
      </c>
      <c r="EU179" s="102">
        <f t="shared" si="1268"/>
        <v>45.211143384642121</v>
      </c>
      <c r="EV179" s="130">
        <f t="shared" si="1233"/>
        <v>25.586509401783665</v>
      </c>
      <c r="EW179" s="102">
        <f t="shared" si="1268"/>
        <v>45.528944494716114</v>
      </c>
      <c r="EX179" s="130">
        <f t="shared" si="1234"/>
        <v>11.046206084673461</v>
      </c>
      <c r="EY179" s="74"/>
      <c r="EZ179" s="558"/>
      <c r="FA179" s="74"/>
      <c r="FB179" s="102"/>
      <c r="FC179" s="124"/>
      <c r="FD179" s="102"/>
      <c r="FE179" s="126"/>
      <c r="FF179" s="102"/>
      <c r="FG179" s="126"/>
      <c r="FH179" s="102"/>
      <c r="FI179" s="126"/>
      <c r="FJ179" s="102"/>
      <c r="FK179" s="126"/>
      <c r="FL179" s="102"/>
      <c r="FM179" s="126"/>
      <c r="FN179" s="104">
        <f>FN177-FN178</f>
        <v>179</v>
      </c>
      <c r="FO179" s="126"/>
      <c r="FP179" s="104">
        <f>FP177-FP178</f>
        <v>152.80000000000007</v>
      </c>
      <c r="FQ179" s="61">
        <f t="shared" si="1235"/>
        <v>-14.636871508379844</v>
      </c>
      <c r="FR179" s="104">
        <f>FR177-FR178</f>
        <v>200.90000000000003</v>
      </c>
      <c r="FS179" s="61">
        <f t="shared" si="1236"/>
        <v>31.479057591622993</v>
      </c>
      <c r="FT179" s="104">
        <f>FT177-FT178</f>
        <v>186.29999999999998</v>
      </c>
      <c r="FU179" s="61">
        <f t="shared" si="1237"/>
        <v>-7.267297162767572</v>
      </c>
      <c r="FV179" s="104">
        <f>FV177-FV178</f>
        <v>150.70000000000005</v>
      </c>
      <c r="FW179" s="61">
        <f t="shared" si="1238"/>
        <v>-19.108964036500232</v>
      </c>
      <c r="FX179" s="104">
        <f>FX177-FX178</f>
        <v>131.40000000000012</v>
      </c>
      <c r="FY179" s="61">
        <f t="shared" si="1239"/>
        <v>-12.80690112806896</v>
      </c>
      <c r="FZ179" s="104">
        <f>FZ177-FZ178</f>
        <v>146.30000000000004</v>
      </c>
      <c r="GA179" s="61">
        <f t="shared" si="1240"/>
        <v>11.339421613394141</v>
      </c>
      <c r="GB179" s="104">
        <f>GB177-GB178</f>
        <v>147.30000000000004</v>
      </c>
      <c r="GC179" s="61">
        <f t="shared" si="1241"/>
        <v>0.68352699931646388</v>
      </c>
      <c r="GD179" s="104">
        <f>GD177-GD178</f>
        <v>133</v>
      </c>
      <c r="GE179" s="61">
        <f t="shared" si="1242"/>
        <v>-9.708078750848637</v>
      </c>
      <c r="GF179" s="104">
        <f>GF177-GF178</f>
        <v>134</v>
      </c>
      <c r="GG179" s="61">
        <f t="shared" si="1243"/>
        <v>0.75187969924812581</v>
      </c>
      <c r="GH179" s="104">
        <f>GH177-GH178</f>
        <v>160</v>
      </c>
      <c r="GI179" s="61">
        <f t="shared" si="1243"/>
        <v>19.402985074626855</v>
      </c>
      <c r="GJ179" s="104">
        <f>GJ177-GJ178</f>
        <v>138</v>
      </c>
      <c r="GK179" s="61">
        <f t="shared" si="1243"/>
        <v>-13.749999999999996</v>
      </c>
      <c r="GL179" s="104">
        <f>GL177-GL178</f>
        <v>130.9</v>
      </c>
      <c r="GM179" s="61">
        <f t="shared" si="1243"/>
        <v>-5.1449275362318803</v>
      </c>
      <c r="GN179" s="104">
        <f>GN177-GN178</f>
        <v>149</v>
      </c>
      <c r="GO179" s="61">
        <f t="shared" si="1243"/>
        <v>13.827349121466771</v>
      </c>
      <c r="GP179" s="104">
        <f>GP177-GP178</f>
        <v>180.29793387284434</v>
      </c>
      <c r="GQ179" s="61">
        <f t="shared" si="1243"/>
        <v>21.005324746875399</v>
      </c>
      <c r="GR179" s="102">
        <f>GR177-GR178</f>
        <v>185.68847032386316</v>
      </c>
      <c r="GS179" s="61">
        <f t="shared" si="1243"/>
        <v>2.9897938014201042</v>
      </c>
      <c r="GT179" s="102">
        <f>GT177-GT178</f>
        <v>191.26398983936861</v>
      </c>
      <c r="GU179" s="61">
        <f t="shared" si="1243"/>
        <v>3.0026201981097955</v>
      </c>
      <c r="GV179" s="102">
        <f>GV177-GV178</f>
        <v>197.53883524227643</v>
      </c>
      <c r="GW179" s="61">
        <f t="shared" si="1243"/>
        <v>3.2807249332076127</v>
      </c>
      <c r="GX179" s="102">
        <f>GX177-GX178</f>
        <v>204.49662363474403</v>
      </c>
      <c r="GY179" s="61">
        <f t="shared" si="1244"/>
        <v>3.5222382393487628</v>
      </c>
      <c r="GZ179" s="61">
        <f t="shared" si="1111"/>
        <v>6.5368801614275496</v>
      </c>
      <c r="HA179" s="61"/>
      <c r="HB179" s="452"/>
      <c r="HC179"/>
      <c r="HD179"/>
      <c r="HE179"/>
      <c r="HF179"/>
      <c r="HG179"/>
      <c r="HH179"/>
    </row>
    <row r="180" spans="2:216" s="5" customFormat="1" ht="12.75" customHeight="1" x14ac:dyDescent="0.2">
      <c r="B180" s="2" t="s">
        <v>73</v>
      </c>
      <c r="C180" s="69"/>
      <c r="D180" s="70"/>
      <c r="E180" s="69"/>
      <c r="F180" s="71"/>
      <c r="G180" s="69"/>
      <c r="H180" s="71"/>
      <c r="I180" s="69"/>
      <c r="J180" s="61"/>
      <c r="K180" s="69"/>
      <c r="L180" s="61"/>
      <c r="M180" s="69"/>
      <c r="N180" s="61"/>
      <c r="O180" s="69"/>
      <c r="P180" s="61"/>
      <c r="Q180" s="69"/>
      <c r="R180" s="61"/>
      <c r="S180" s="69"/>
      <c r="T180" s="61"/>
      <c r="U180" s="69"/>
      <c r="V180" s="61"/>
      <c r="W180" s="69"/>
      <c r="X180" s="126"/>
      <c r="Y180" s="69"/>
      <c r="Z180" s="126"/>
      <c r="AA180" s="69"/>
      <c r="AB180" s="126"/>
      <c r="AC180" s="69"/>
      <c r="AD180" s="126"/>
      <c r="AE180" s="69"/>
      <c r="AF180" s="126"/>
      <c r="AG180" s="69"/>
      <c r="AH180" s="126"/>
      <c r="AI180" s="69"/>
      <c r="AJ180" s="126"/>
      <c r="AK180" s="69"/>
      <c r="AL180" s="126"/>
      <c r="AM180" s="69"/>
      <c r="AN180" s="126"/>
      <c r="AO180" s="69"/>
      <c r="AP180" s="126"/>
      <c r="AQ180" s="69">
        <f>AQ174-AQ178/0.65</f>
        <v>57.800000000000011</v>
      </c>
      <c r="AR180" s="61" t="str">
        <f t="shared" si="1198"/>
        <v>NA</v>
      </c>
      <c r="AS180" s="69">
        <f>AS174-AS178/0.65</f>
        <v>62.699999999999989</v>
      </c>
      <c r="AT180" s="61" t="str">
        <f t="shared" si="1199"/>
        <v>NA</v>
      </c>
      <c r="AU180" s="69">
        <f>AU174-AU178/0.65</f>
        <v>25.030769230769216</v>
      </c>
      <c r="AV180" s="61" t="str">
        <f t="shared" si="1200"/>
        <v>NA</v>
      </c>
      <c r="AW180" s="69">
        <f>AW174-AW178/0.65</f>
        <v>62.899999999999977</v>
      </c>
      <c r="AX180" s="61" t="str">
        <f t="shared" si="1200"/>
        <v>NA</v>
      </c>
      <c r="AY180" s="69">
        <f>AY174-AY178/0.65</f>
        <v>75.199999999999989</v>
      </c>
      <c r="AZ180" s="61">
        <f t="shared" si="1201"/>
        <v>30.103806228373653</v>
      </c>
      <c r="BA180" s="69">
        <f>BA174-BA178/0.65</f>
        <v>73.92307692307692</v>
      </c>
      <c r="BB180" s="61">
        <f t="shared" si="1202"/>
        <v>17.899644215433707</v>
      </c>
      <c r="BC180" s="69">
        <f>BC174-BC178/0.65</f>
        <v>61.346153846153847</v>
      </c>
      <c r="BD180" s="61" t="str">
        <f t="shared" si="1203"/>
        <v>NM</v>
      </c>
      <c r="BE180" s="69">
        <f>BE174-BE178/0.65</f>
        <v>65.01538461538459</v>
      </c>
      <c r="BF180" s="61">
        <f t="shared" si="1204"/>
        <v>3.3630915983857035</v>
      </c>
      <c r="BG180" s="69">
        <f>BG174-BG178/0.65</f>
        <v>70.800000000000011</v>
      </c>
      <c r="BH180" s="61">
        <f t="shared" si="1205"/>
        <v>-5.851063829787206</v>
      </c>
      <c r="BI180" s="69">
        <f>BI174-BI178/0.65</f>
        <v>69.876923076923092</v>
      </c>
      <c r="BJ180" s="61">
        <f t="shared" si="1205"/>
        <v>-5.4734651404786394</v>
      </c>
      <c r="BK180" s="69">
        <f>BK174-BK178/0.65</f>
        <v>58.715384615384608</v>
      </c>
      <c r="BL180" s="61">
        <f t="shared" si="1205"/>
        <v>-4.2884012539185061</v>
      </c>
      <c r="BM180" s="69">
        <f>BM174-BM178/0.65</f>
        <v>61.200000000000017</v>
      </c>
      <c r="BN180" s="61">
        <f t="shared" si="1205"/>
        <v>-5.868433506862214</v>
      </c>
      <c r="BO180" s="69">
        <f>BO174-BO178/0.65</f>
        <v>58.57692307692308</v>
      </c>
      <c r="BP180" s="61">
        <f t="shared" si="1205"/>
        <v>-17.264232942199055</v>
      </c>
      <c r="BQ180" s="69">
        <f>BQ174-BQ178/0.65</f>
        <v>57</v>
      </c>
      <c r="BR180" s="61">
        <f t="shared" si="1205"/>
        <v>-18.428005284015867</v>
      </c>
      <c r="BS180" s="69">
        <f>BS174-BS178/0.65</f>
        <v>57</v>
      </c>
      <c r="BT180" s="61">
        <f t="shared" si="1205"/>
        <v>-2.9215249574217061</v>
      </c>
      <c r="BU180" s="69">
        <f>BU174-BU178/0.65</f>
        <v>22.699999999999989</v>
      </c>
      <c r="BV180" s="61" t="str">
        <f t="shared" si="1205"/>
        <v>NM</v>
      </c>
      <c r="BW180" s="69">
        <f>BW174-BW178/0.65</f>
        <v>36.399999999999977</v>
      </c>
      <c r="BX180" s="61">
        <f t="shared" si="1205"/>
        <v>-37.859487852921902</v>
      </c>
      <c r="BY180" s="69">
        <f>BY174-BY178/0.65</f>
        <v>38.300000000000011</v>
      </c>
      <c r="BZ180" s="61">
        <f t="shared" si="1205"/>
        <v>-32.807017543859629</v>
      </c>
      <c r="CA180" s="69">
        <f>CA174-CA178/0.65</f>
        <v>51.707692307692312</v>
      </c>
      <c r="CB180" s="61">
        <f t="shared" si="1205"/>
        <v>-9.284750337381908</v>
      </c>
      <c r="CC180" s="69">
        <f>CC174-CC178/0.65</f>
        <v>54.01538461538459</v>
      </c>
      <c r="CD180" s="61" t="str">
        <f t="shared" si="1205"/>
        <v>NM</v>
      </c>
      <c r="CE180" s="69">
        <f>CE174-CE178/0.65</f>
        <v>50.199999999999989</v>
      </c>
      <c r="CF180" s="61">
        <f t="shared" si="1205"/>
        <v>37.912087912087976</v>
      </c>
      <c r="CG180" s="69">
        <f>CG174-CG178/0.65</f>
        <v>50.100000000000023</v>
      </c>
      <c r="CH180" s="61">
        <f t="shared" si="1205"/>
        <v>30.80939947780681</v>
      </c>
      <c r="CI180" s="69">
        <f>CI174-CI178/0.65</f>
        <v>51.976923076923086</v>
      </c>
      <c r="CJ180" s="61">
        <f t="shared" si="1205"/>
        <v>0.52067836953288982</v>
      </c>
      <c r="CK180" s="69">
        <f>CK174-CK178/0.65</f>
        <v>49.615384615384613</v>
      </c>
      <c r="CL180" s="61">
        <f t="shared" si="1205"/>
        <v>-8.1458273996012132</v>
      </c>
      <c r="CM180" s="69">
        <f>CM174-CM178/0.65</f>
        <v>55.153846153846153</v>
      </c>
      <c r="CN180" s="61">
        <f t="shared" si="1205"/>
        <v>9.8682194299724468</v>
      </c>
      <c r="CO180" s="69">
        <f>CO174-CO178/0.65</f>
        <v>55.123076923076908</v>
      </c>
      <c r="CP180" s="61">
        <f t="shared" si="1205"/>
        <v>10.026101642868035</v>
      </c>
      <c r="CQ180" s="69">
        <f>CQ174-CQ178/0.65</f>
        <v>48.884615384615387</v>
      </c>
      <c r="CR180" s="61">
        <f t="shared" si="1205"/>
        <v>-5.9493858221104201</v>
      </c>
      <c r="CS180" s="69">
        <f>CS174-CS178/0.65</f>
        <v>45</v>
      </c>
      <c r="CT180" s="61">
        <f t="shared" si="1205"/>
        <v>-9.302325581395344</v>
      </c>
      <c r="CU180" s="69">
        <f>CU174-CU178/0.65</f>
        <v>47</v>
      </c>
      <c r="CV180" s="61">
        <f t="shared" si="1206"/>
        <v>-14.783821478382142</v>
      </c>
      <c r="CW180" s="69">
        <f>CW174-CW178/0.65</f>
        <v>43.846153846153847</v>
      </c>
      <c r="CX180" s="61">
        <f t="shared" si="1207"/>
        <v>-20.457716996929921</v>
      </c>
      <c r="CY180" s="69">
        <f>CY174-CY178/0.65</f>
        <v>43.615384615384613</v>
      </c>
      <c r="CZ180" s="61">
        <f t="shared" si="1208"/>
        <v>-10.778914240755322</v>
      </c>
      <c r="DA180" s="69">
        <f>DA174-DA178/0.65</f>
        <v>38.153846153846153</v>
      </c>
      <c r="DB180" s="61">
        <f t="shared" si="1209"/>
        <v>-15.213675213675215</v>
      </c>
      <c r="DC180" s="69">
        <f>DC174-DC178/0.65</f>
        <v>44.92307692307692</v>
      </c>
      <c r="DD180" s="61">
        <f t="shared" si="1210"/>
        <v>-4.4189852700491024</v>
      </c>
      <c r="DE180" s="69">
        <f>DE174-DE178/0.65</f>
        <v>46.307692307692307</v>
      </c>
      <c r="DF180" s="61">
        <f t="shared" si="1211"/>
        <v>5.6140350877192935</v>
      </c>
      <c r="DG180" s="69">
        <f>DG174-DG178/0.65</f>
        <v>44</v>
      </c>
      <c r="DH180" s="61">
        <f t="shared" si="1212"/>
        <v>0.8818342151675429</v>
      </c>
      <c r="DI180" s="69">
        <f>DI174-DI178/0.65</f>
        <v>44</v>
      </c>
      <c r="DJ180" s="61">
        <f t="shared" si="1213"/>
        <v>15.322580645161299</v>
      </c>
      <c r="DK180" s="69">
        <f>DK174-DK178/0.65</f>
        <v>53</v>
      </c>
      <c r="DL180" s="61">
        <f t="shared" si="1214"/>
        <v>17.979452054794521</v>
      </c>
      <c r="DM180" s="69">
        <f>DM174-DM178/0.65</f>
        <v>54</v>
      </c>
      <c r="DN180" s="61">
        <f t="shared" si="1215"/>
        <v>16.611295681063119</v>
      </c>
      <c r="DO180" s="69">
        <f>DO174-DO178/0.65</f>
        <v>55</v>
      </c>
      <c r="DP180" s="61">
        <f t="shared" si="1215"/>
        <v>25</v>
      </c>
      <c r="DQ180" s="69">
        <f>DQ174-DQ178/0.65</f>
        <v>49</v>
      </c>
      <c r="DR180" s="61">
        <f t="shared" si="1215"/>
        <v>11.363636363636353</v>
      </c>
      <c r="DS180" s="69">
        <f>DS174-DS178/0.65</f>
        <v>48</v>
      </c>
      <c r="DT180" s="61">
        <f t="shared" si="1215"/>
        <v>-9.4339622641509422</v>
      </c>
      <c r="DU180" s="69">
        <f>DU174-DU178/0.65</f>
        <v>39</v>
      </c>
      <c r="DV180" s="61">
        <f t="shared" si="1215"/>
        <v>-27.777777777777779</v>
      </c>
      <c r="DW180" s="69">
        <f>DW174-DW178/0.65</f>
        <v>53.92307692307692</v>
      </c>
      <c r="DX180" s="69">
        <f t="shared" ref="DX180:DY180" si="1269">DX174-DX178/0.65</f>
        <v>53.92307692307692</v>
      </c>
      <c r="DY180" s="69">
        <f t="shared" si="1269"/>
        <v>45</v>
      </c>
      <c r="DZ180" s="61">
        <f t="shared" si="1215"/>
        <v>-8.1632653061224474</v>
      </c>
      <c r="EA180" s="69">
        <f t="shared" ref="EA180:EC180" si="1270">EA174-EA178/0.65</f>
        <v>47.153846153846153</v>
      </c>
      <c r="EB180" s="61">
        <f t="shared" si="1218"/>
        <v>-1.7628205128205177</v>
      </c>
      <c r="EC180" s="69">
        <f t="shared" si="1270"/>
        <v>41</v>
      </c>
      <c r="ED180" s="61">
        <f t="shared" si="1219"/>
        <v>5.1282051282051322</v>
      </c>
      <c r="EE180" s="69">
        <f t="shared" ref="EE180:EG180" si="1271">EE174-EE178/0.65</f>
        <v>43.307692307692307</v>
      </c>
      <c r="EF180" s="61">
        <f t="shared" si="1221"/>
        <v>-19.68616262482168</v>
      </c>
      <c r="EG180" s="69">
        <f t="shared" si="1271"/>
        <v>46</v>
      </c>
      <c r="EH180" s="61">
        <f t="shared" si="1222"/>
        <v>2.2222222222222143</v>
      </c>
      <c r="EI180" s="69">
        <f t="shared" ref="EI180:EK180" si="1272">EI174-EI178/0.65</f>
        <v>44.92307692307692</v>
      </c>
      <c r="EJ180" s="61">
        <f t="shared" si="1224"/>
        <v>-4.730831973898864</v>
      </c>
      <c r="EK180" s="69">
        <f t="shared" si="1272"/>
        <v>50</v>
      </c>
      <c r="EL180" s="61">
        <f t="shared" si="1226"/>
        <v>21.95121951219512</v>
      </c>
      <c r="EM180" s="69">
        <f t="shared" ref="EM180" si="1273">EM174-EM178/0.65</f>
        <v>49.53846153846154</v>
      </c>
      <c r="EN180" s="61">
        <f t="shared" si="1227"/>
        <v>14.387211367673181</v>
      </c>
      <c r="EO180" s="69">
        <f t="shared" ref="EO180" si="1274">EO174-EO178/0.65</f>
        <v>57</v>
      </c>
      <c r="EP180" s="61">
        <f t="shared" si="1229"/>
        <v>23.913043478260864</v>
      </c>
      <c r="EQ180" s="69">
        <f t="shared" ref="EQ180:EW180" si="1275">EQ174-EQ178/0.65</f>
        <v>53.343347813168691</v>
      </c>
      <c r="ER180" s="61">
        <f t="shared" si="1231"/>
        <v>18.743753693697428</v>
      </c>
      <c r="ES180" s="69">
        <f t="shared" si="1275"/>
        <v>53.273135512410107</v>
      </c>
      <c r="ET180" s="61">
        <f t="shared" si="1232"/>
        <v>6.5462710248202161</v>
      </c>
      <c r="EU180" s="69">
        <f t="shared" si="1275"/>
        <v>53.82278974362157</v>
      </c>
      <c r="EV180" s="61">
        <f t="shared" si="1233"/>
        <v>8.6484886129006853</v>
      </c>
      <c r="EW180" s="69">
        <f t="shared" si="1275"/>
        <v>54.201124398471563</v>
      </c>
      <c r="EX180" s="61">
        <f t="shared" si="1234"/>
        <v>-4.910308072856906</v>
      </c>
      <c r="EY180" s="69"/>
      <c r="EZ180" s="558"/>
      <c r="FA180" s="69"/>
      <c r="FB180" s="69"/>
      <c r="FC180" s="124"/>
      <c r="FD180" s="69"/>
      <c r="FE180" s="126"/>
      <c r="FF180" s="69"/>
      <c r="FG180" s="126"/>
      <c r="FH180" s="69"/>
      <c r="FI180" s="126"/>
      <c r="FJ180" s="69"/>
      <c r="FK180" s="126"/>
      <c r="FL180" s="69"/>
      <c r="FM180" s="126"/>
      <c r="FN180" s="69">
        <f>FN174-FN178/0.65</f>
        <v>246</v>
      </c>
      <c r="FO180" s="126"/>
      <c r="FP180" s="69">
        <f>FP174-FP178/0.65</f>
        <v>208.43076923076927</v>
      </c>
      <c r="FQ180" s="61">
        <f t="shared" si="1235"/>
        <v>-15.272045028142578</v>
      </c>
      <c r="FR180" s="69">
        <f>FR174-FR178/0.65</f>
        <v>275.48461538461538</v>
      </c>
      <c r="FS180" s="61">
        <f t="shared" si="1236"/>
        <v>32.170800118098583</v>
      </c>
      <c r="FT180" s="69">
        <f>FT174-FT178/0.65</f>
        <v>260.59230769230766</v>
      </c>
      <c r="FU180" s="61">
        <f t="shared" si="1237"/>
        <v>-5.4058582079133384</v>
      </c>
      <c r="FV180" s="69">
        <f>FV174-FV178/0.65</f>
        <v>195.27692307692311</v>
      </c>
      <c r="FW180" s="61">
        <f t="shared" si="1238"/>
        <v>-25.064202851492134</v>
      </c>
      <c r="FX180" s="69">
        <f>FX174-FX178/0.65</f>
        <v>180.42307692307705</v>
      </c>
      <c r="FY180" s="61">
        <f t="shared" si="1239"/>
        <v>-7.6065547939808908</v>
      </c>
      <c r="FZ180" s="69">
        <f>FZ174-FZ178/0.65</f>
        <v>201.89230769230772</v>
      </c>
      <c r="GA180" s="61">
        <f t="shared" si="1240"/>
        <v>11.8993817949264</v>
      </c>
      <c r="GB180" s="69">
        <f>GB174-GB178/0.65</f>
        <v>204.1615384615385</v>
      </c>
      <c r="GC180" s="61">
        <f t="shared" si="1241"/>
        <v>1.1239807970738314</v>
      </c>
      <c r="GD180" s="69">
        <f>GD174-GD178/0.65</f>
        <v>172.61538461538461</v>
      </c>
      <c r="GE180" s="61">
        <f t="shared" si="1242"/>
        <v>-15.451565502430221</v>
      </c>
      <c r="GF180" s="69">
        <f>GF174-GF178/0.65</f>
        <v>179.23076923076923</v>
      </c>
      <c r="GG180" s="61">
        <f t="shared" si="1243"/>
        <v>3.8324420677361859</v>
      </c>
      <c r="GH180" s="69">
        <f>GH174-GH178/0.65</f>
        <v>211</v>
      </c>
      <c r="GI180" s="61">
        <f t="shared" si="1243"/>
        <v>17.725321888412026</v>
      </c>
      <c r="GJ180" s="69">
        <f>GJ174-GJ178/0.65</f>
        <v>185.92307692307693</v>
      </c>
      <c r="GK180" s="61">
        <f t="shared" si="1243"/>
        <v>-11.884797666788183</v>
      </c>
      <c r="GL180" s="69">
        <f>GL174-GL178/0.65</f>
        <v>177.46153846153845</v>
      </c>
      <c r="GM180" s="61">
        <f t="shared" si="1243"/>
        <v>-4.5510964004964904</v>
      </c>
      <c r="GN180" s="69">
        <f>GN174-GN178/0.65</f>
        <v>201.46153846153845</v>
      </c>
      <c r="GO180" s="61">
        <f t="shared" si="1243"/>
        <v>13.524057217165142</v>
      </c>
      <c r="GP180" s="69">
        <f>GP174-GP178/0.65</f>
        <v>214.64039746767185</v>
      </c>
      <c r="GQ180" s="61">
        <f t="shared" si="1243"/>
        <v>6.5416253180501815</v>
      </c>
      <c r="GR180" s="69">
        <f>GR174-GR178/0.65</f>
        <v>221.05770276650378</v>
      </c>
      <c r="GS180" s="61">
        <f t="shared" si="1243"/>
        <v>2.9897938014201042</v>
      </c>
      <c r="GT180" s="69">
        <f>GT174-GT178/0.65</f>
        <v>227.69522599924835</v>
      </c>
      <c r="GU180" s="61">
        <f t="shared" si="1243"/>
        <v>3.0026201981097955</v>
      </c>
      <c r="GV180" s="69">
        <f>GV174-GV178/0.65</f>
        <v>235.1652800503291</v>
      </c>
      <c r="GW180" s="61">
        <f t="shared" si="1243"/>
        <v>3.2807249332076127</v>
      </c>
      <c r="GX180" s="69">
        <f>GX174-GX178/0.65</f>
        <v>243.44836146993339</v>
      </c>
      <c r="GY180" s="61">
        <f t="shared" si="1244"/>
        <v>3.5222382393487628</v>
      </c>
      <c r="GZ180" s="61">
        <f t="shared" si="1111"/>
        <v>3.8587142826683518</v>
      </c>
      <c r="HA180" s="61"/>
      <c r="HB180" s="452"/>
      <c r="HC180"/>
      <c r="HD180"/>
      <c r="HE180"/>
      <c r="HF180"/>
      <c r="HG180"/>
      <c r="HH180"/>
    </row>
    <row r="181" spans="2:216" s="76" customFormat="1" ht="12.75" customHeight="1" x14ac:dyDescent="0.2">
      <c r="B181" s="136"/>
      <c r="C181" s="137"/>
      <c r="D181" s="78"/>
      <c r="E181" s="137"/>
      <c r="F181" s="79"/>
      <c r="G181" s="137"/>
      <c r="H181" s="79"/>
      <c r="I181" s="137"/>
      <c r="J181" s="80"/>
      <c r="K181" s="137"/>
      <c r="L181" s="61"/>
      <c r="M181" s="137"/>
      <c r="N181" s="61"/>
      <c r="O181" s="137"/>
      <c r="P181" s="61"/>
      <c r="Q181" s="137"/>
      <c r="R181" s="61"/>
      <c r="S181" s="137"/>
      <c r="T181" s="61"/>
      <c r="U181" s="137"/>
      <c r="V181" s="61"/>
      <c r="W181" s="137"/>
      <c r="X181" s="61"/>
      <c r="Y181" s="137"/>
      <c r="Z181" s="61"/>
      <c r="AA181" s="137"/>
      <c r="AB181" s="61"/>
      <c r="AC181" s="137"/>
      <c r="AD181" s="61"/>
      <c r="AE181" s="137"/>
      <c r="AF181" s="61"/>
      <c r="AG181" s="137"/>
      <c r="AH181" s="61"/>
      <c r="AI181" s="137"/>
      <c r="AJ181" s="61"/>
      <c r="AK181" s="137"/>
      <c r="AL181" s="61"/>
      <c r="AM181" s="137"/>
      <c r="AN181" s="61"/>
      <c r="AO181" s="137"/>
      <c r="AP181" s="126"/>
      <c r="AQ181" s="137"/>
      <c r="AR181" s="126"/>
      <c r="AS181" s="137"/>
      <c r="AT181" s="126"/>
      <c r="AU181" s="137"/>
      <c r="AV181" s="61"/>
      <c r="AW181" s="137"/>
      <c r="AX181" s="61"/>
      <c r="AY181" s="137"/>
      <c r="AZ181" s="61"/>
      <c r="BA181" s="137"/>
      <c r="BB181" s="61"/>
      <c r="BC181" s="137"/>
      <c r="BD181" s="61"/>
      <c r="BE181" s="137"/>
      <c r="BF181" s="61"/>
      <c r="BG181" s="137"/>
      <c r="BH181" s="61"/>
      <c r="BI181" s="137"/>
      <c r="BJ181" s="61"/>
      <c r="BK181" s="137"/>
      <c r="BL181" s="61"/>
      <c r="BM181" s="137"/>
      <c r="BN181" s="61"/>
      <c r="BO181" s="137"/>
      <c r="BP181" s="61"/>
      <c r="BQ181" s="137"/>
      <c r="BR181" s="61"/>
      <c r="BS181" s="137"/>
      <c r="BT181" s="61"/>
      <c r="BU181" s="137"/>
      <c r="BV181" s="61"/>
      <c r="BW181" s="137"/>
      <c r="BX181" s="61"/>
      <c r="BY181" s="137"/>
      <c r="BZ181" s="61"/>
      <c r="CA181" s="137"/>
      <c r="CB181" s="61"/>
      <c r="CC181" s="137"/>
      <c r="CD181" s="61"/>
      <c r="CE181" s="137"/>
      <c r="CF181" s="61"/>
      <c r="CG181" s="137"/>
      <c r="CH181" s="61"/>
      <c r="CI181" s="137"/>
      <c r="CJ181" s="61"/>
      <c r="CK181" s="137"/>
      <c r="CL181" s="61"/>
      <c r="CM181" s="137"/>
      <c r="CN181" s="61"/>
      <c r="CO181" s="137"/>
      <c r="CP181" s="61"/>
      <c r="CQ181" s="137"/>
      <c r="CR181" s="61"/>
      <c r="CS181" s="137"/>
      <c r="CT181" s="61"/>
      <c r="CU181" s="137"/>
      <c r="CV181" s="61"/>
      <c r="CW181" s="137"/>
      <c r="CX181" s="61"/>
      <c r="CY181" s="137"/>
      <c r="CZ181" s="61"/>
      <c r="DA181" s="137"/>
      <c r="DB181" s="61"/>
      <c r="DC181" s="137"/>
      <c r="DD181" s="61"/>
      <c r="DE181" s="137"/>
      <c r="DF181" s="61"/>
      <c r="DG181" s="137"/>
      <c r="DH181" s="61"/>
      <c r="DI181" s="137"/>
      <c r="DJ181" s="61"/>
      <c r="DK181" s="137"/>
      <c r="DL181" s="61"/>
      <c r="DM181" s="137"/>
      <c r="DN181" s="61"/>
      <c r="DO181" s="137"/>
      <c r="DP181" s="61"/>
      <c r="DQ181" s="137"/>
      <c r="DR181" s="61"/>
      <c r="DS181" s="137"/>
      <c r="DT181" s="61"/>
      <c r="DU181" s="137"/>
      <c r="DV181" s="61"/>
      <c r="DW181" s="137"/>
      <c r="DX181" s="137"/>
      <c r="DY181" s="137"/>
      <c r="DZ181" s="61"/>
      <c r="EA181" s="137"/>
      <c r="EB181" s="61"/>
      <c r="EC181" s="137"/>
      <c r="ED181" s="61"/>
      <c r="EE181" s="137"/>
      <c r="EF181" s="61"/>
      <c r="EG181" s="137"/>
      <c r="EH181" s="61"/>
      <c r="EI181" s="137"/>
      <c r="EJ181" s="61"/>
      <c r="EK181" s="137"/>
      <c r="EL181" s="61"/>
      <c r="EM181" s="137"/>
      <c r="EN181" s="61"/>
      <c r="EO181" s="137"/>
      <c r="EP181" s="61"/>
      <c r="EQ181" s="137"/>
      <c r="ER181" s="61"/>
      <c r="ES181" s="137"/>
      <c r="ET181" s="61"/>
      <c r="EU181" s="137"/>
      <c r="EV181" s="61"/>
      <c r="EW181" s="137"/>
      <c r="EX181" s="61"/>
      <c r="EY181" s="79"/>
      <c r="EZ181" s="558"/>
      <c r="FA181" s="79"/>
      <c r="FB181" s="137"/>
      <c r="FC181" s="79"/>
      <c r="FD181" s="137"/>
      <c r="FE181" s="78"/>
      <c r="FF181" s="137"/>
      <c r="FG181" s="78"/>
      <c r="FH181" s="137"/>
      <c r="FI181" s="78"/>
      <c r="FJ181" s="137"/>
      <c r="FK181" s="78"/>
      <c r="FL181" s="137"/>
      <c r="FM181" s="61"/>
      <c r="FN181" s="104"/>
      <c r="FO181" s="61"/>
      <c r="FP181" s="104"/>
      <c r="FQ181" s="61"/>
      <c r="FR181" s="104"/>
      <c r="FS181" s="61"/>
      <c r="FT181" s="104"/>
      <c r="FU181" s="61"/>
      <c r="FV181" s="104"/>
      <c r="FW181" s="61"/>
      <c r="FX181" s="104"/>
      <c r="FY181" s="61"/>
      <c r="FZ181" s="104"/>
      <c r="GA181" s="61"/>
      <c r="GB181" s="104"/>
      <c r="GC181" s="61"/>
      <c r="GD181" s="104"/>
      <c r="GE181" s="61"/>
      <c r="GF181" s="104"/>
      <c r="GG181" s="61"/>
      <c r="GH181" s="104"/>
      <c r="GI181" s="61"/>
      <c r="GJ181" s="104"/>
      <c r="GK181" s="61"/>
      <c r="GL181" s="104"/>
      <c r="GM181" s="61"/>
      <c r="GN181" s="104"/>
      <c r="GO181" s="61"/>
      <c r="GP181" s="104"/>
      <c r="GQ181" s="61"/>
      <c r="GR181" s="137"/>
      <c r="GS181" s="61"/>
      <c r="GT181" s="137"/>
      <c r="GU181" s="61"/>
      <c r="GV181" s="137"/>
      <c r="GW181" s="61"/>
      <c r="GX181" s="137"/>
      <c r="GY181" s="61"/>
      <c r="GZ181" s="61" t="str">
        <f t="shared" si="1111"/>
        <v/>
      </c>
      <c r="HA181" s="61"/>
      <c r="HB181" s="452"/>
      <c r="HC181"/>
      <c r="HD181"/>
      <c r="HE181"/>
      <c r="HF181"/>
      <c r="HG181"/>
      <c r="HH181"/>
    </row>
    <row r="182" spans="2:216" s="5" customFormat="1" ht="12.75" customHeight="1" x14ac:dyDescent="0.2">
      <c r="B182" s="63" t="s">
        <v>161</v>
      </c>
      <c r="C182" s="66"/>
      <c r="D182" s="67"/>
      <c r="E182" s="66"/>
      <c r="F182" s="66"/>
      <c r="G182" s="64"/>
      <c r="H182" s="66"/>
      <c r="I182" s="64"/>
      <c r="J182" s="66"/>
      <c r="K182" s="64"/>
      <c r="L182" s="61"/>
      <c r="M182" s="66"/>
      <c r="N182" s="61"/>
      <c r="O182" s="64"/>
      <c r="P182" s="61"/>
      <c r="Q182" s="64"/>
      <c r="R182" s="61"/>
      <c r="S182" s="64"/>
      <c r="T182" s="61"/>
      <c r="U182" s="64"/>
      <c r="V182" s="61"/>
      <c r="W182" s="64"/>
      <c r="X182" s="61"/>
      <c r="Y182" s="64"/>
      <c r="Z182" s="61"/>
      <c r="AA182" s="64"/>
      <c r="AB182" s="61"/>
      <c r="AC182" s="64"/>
      <c r="AD182" s="61"/>
      <c r="AE182" s="64"/>
      <c r="AF182" s="61"/>
      <c r="AG182" s="64"/>
      <c r="AH182" s="61"/>
      <c r="AI182" s="64"/>
      <c r="AJ182" s="61"/>
      <c r="AK182" s="64"/>
      <c r="AL182" s="61"/>
      <c r="AM182" s="64"/>
      <c r="AN182" s="61"/>
      <c r="AO182" s="64"/>
      <c r="AP182" s="61"/>
      <c r="AQ182" s="64"/>
      <c r="AR182" s="61"/>
      <c r="AS182" s="64"/>
      <c r="AT182" s="61"/>
      <c r="AU182" s="64"/>
      <c r="AV182" s="61"/>
      <c r="AW182" s="64"/>
      <c r="AX182" s="61"/>
      <c r="AY182" s="64"/>
      <c r="AZ182" s="61"/>
      <c r="BA182" s="64"/>
      <c r="BB182" s="61"/>
      <c r="BC182" s="64"/>
      <c r="BD182" s="61"/>
      <c r="BE182" s="64"/>
      <c r="BF182" s="61"/>
      <c r="BG182" s="64"/>
      <c r="BH182" s="61"/>
      <c r="BI182" s="64"/>
      <c r="BJ182" s="61"/>
      <c r="BK182" s="64"/>
      <c r="BL182" s="61"/>
      <c r="BM182" s="64"/>
      <c r="BN182" s="61"/>
      <c r="BO182" s="64"/>
      <c r="BP182" s="61"/>
      <c r="BQ182" s="64"/>
      <c r="BR182" s="61"/>
      <c r="BS182" s="64"/>
      <c r="BT182" s="61"/>
      <c r="BU182" s="64"/>
      <c r="BV182" s="61"/>
      <c r="BW182" s="64"/>
      <c r="BX182" s="61"/>
      <c r="BY182" s="64"/>
      <c r="BZ182" s="61"/>
      <c r="CA182" s="64"/>
      <c r="CB182" s="61"/>
      <c r="CC182" s="64"/>
      <c r="CD182" s="61"/>
      <c r="CE182" s="64"/>
      <c r="CF182" s="61"/>
      <c r="CG182" s="64"/>
      <c r="CH182" s="61"/>
      <c r="CI182" s="64"/>
      <c r="CJ182" s="61"/>
      <c r="CK182" s="64"/>
      <c r="CL182" s="61"/>
      <c r="CM182" s="64"/>
      <c r="CN182" s="61"/>
      <c r="CO182" s="64"/>
      <c r="CP182" s="61"/>
      <c r="CQ182" s="64"/>
      <c r="CR182" s="61"/>
      <c r="CS182" s="64"/>
      <c r="CT182" s="61"/>
      <c r="CU182" s="64"/>
      <c r="CV182" s="61"/>
      <c r="CW182" s="64"/>
      <c r="CX182" s="61"/>
      <c r="CY182" s="64"/>
      <c r="CZ182" s="61"/>
      <c r="DA182" s="64"/>
      <c r="DB182" s="61"/>
      <c r="DC182" s="64"/>
      <c r="DD182" s="61"/>
      <c r="DE182" s="64"/>
      <c r="DF182" s="61"/>
      <c r="DG182" s="64"/>
      <c r="DH182" s="61"/>
      <c r="DI182" s="64"/>
      <c r="DJ182" s="61"/>
      <c r="DK182" s="64"/>
      <c r="DL182" s="61"/>
      <c r="DM182" s="64"/>
      <c r="DN182" s="61"/>
      <c r="DO182" s="64"/>
      <c r="DP182" s="61"/>
      <c r="DQ182" s="64"/>
      <c r="DR182" s="61"/>
      <c r="DS182" s="64"/>
      <c r="DT182" s="61"/>
      <c r="DU182" s="64"/>
      <c r="DV182" s="61"/>
      <c r="DW182" s="64"/>
      <c r="DX182" s="64"/>
      <c r="DY182" s="64"/>
      <c r="DZ182" s="61"/>
      <c r="EA182" s="64"/>
      <c r="EB182" s="61"/>
      <c r="EC182" s="64"/>
      <c r="ED182" s="61"/>
      <c r="EE182" s="64"/>
      <c r="EF182" s="61"/>
      <c r="EG182" s="64"/>
      <c r="EH182" s="61"/>
      <c r="EI182" s="64"/>
      <c r="EJ182" s="61"/>
      <c r="EK182" s="64"/>
      <c r="EL182" s="61"/>
      <c r="EM182" s="64"/>
      <c r="EN182" s="61"/>
      <c r="EO182" s="64"/>
      <c r="EP182" s="61"/>
      <c r="EQ182" s="64"/>
      <c r="ER182" s="61"/>
      <c r="ES182" s="64"/>
      <c r="ET182" s="61"/>
      <c r="EU182" s="64"/>
      <c r="EV182" s="61"/>
      <c r="EW182" s="64"/>
      <c r="EX182" s="61"/>
      <c r="EY182" s="64"/>
      <c r="EZ182" s="558"/>
      <c r="FA182" s="64"/>
      <c r="FB182" s="66"/>
      <c r="FC182" s="66"/>
      <c r="FD182" s="66"/>
      <c r="FE182" s="67"/>
      <c r="FF182" s="66"/>
      <c r="FG182" s="67"/>
      <c r="FH182" s="66"/>
      <c r="FI182" s="67"/>
      <c r="FJ182" s="66"/>
      <c r="FK182" s="67"/>
      <c r="FL182" s="66"/>
      <c r="FM182" s="61"/>
      <c r="FN182" s="65"/>
      <c r="FO182" s="61"/>
      <c r="FP182" s="65"/>
      <c r="FQ182" s="61"/>
      <c r="FR182" s="65"/>
      <c r="FS182" s="61"/>
      <c r="FT182" s="65"/>
      <c r="FU182" s="61"/>
      <c r="FV182" s="65"/>
      <c r="FW182" s="61"/>
      <c r="FX182" s="65"/>
      <c r="FY182" s="61"/>
      <c r="FZ182" s="65"/>
      <c r="GA182" s="61"/>
      <c r="GB182" s="65"/>
      <c r="GC182" s="61"/>
      <c r="GD182" s="65"/>
      <c r="GE182" s="61"/>
      <c r="GF182" s="65"/>
      <c r="GG182" s="61"/>
      <c r="GH182" s="65"/>
      <c r="GI182" s="61"/>
      <c r="GJ182" s="65"/>
      <c r="GK182" s="61"/>
      <c r="GL182" s="65"/>
      <c r="GM182" s="61"/>
      <c r="GN182" s="65"/>
      <c r="GO182" s="61"/>
      <c r="GP182" s="65"/>
      <c r="GQ182" s="61"/>
      <c r="GR182" s="64"/>
      <c r="GS182" s="61"/>
      <c r="GT182" s="64"/>
      <c r="GU182" s="61"/>
      <c r="GV182" s="64"/>
      <c r="GW182" s="61"/>
      <c r="GX182" s="64"/>
      <c r="GY182" s="61"/>
      <c r="GZ182" s="61" t="str">
        <f t="shared" si="1111"/>
        <v/>
      </c>
      <c r="HA182" s="61"/>
      <c r="HB182" s="452"/>
      <c r="HC182"/>
      <c r="HD182"/>
      <c r="HE182"/>
      <c r="HF182"/>
      <c r="HG182"/>
      <c r="HH182"/>
    </row>
    <row r="183" spans="2:216" s="5" customFormat="1" ht="12.75" customHeight="1" x14ac:dyDescent="0.2">
      <c r="B183" s="2" t="s">
        <v>266</v>
      </c>
      <c r="C183" s="81"/>
      <c r="D183" s="70"/>
      <c r="E183" s="81"/>
      <c r="F183" s="71"/>
      <c r="G183" s="81"/>
      <c r="H183" s="71"/>
      <c r="I183" s="81"/>
      <c r="J183" s="61"/>
      <c r="K183" s="81"/>
      <c r="L183" s="61"/>
      <c r="M183" s="81"/>
      <c r="N183" s="61"/>
      <c r="O183" s="81"/>
      <c r="P183" s="61"/>
      <c r="Q183" s="81"/>
      <c r="R183" s="61"/>
      <c r="S183" s="81"/>
      <c r="T183" s="61"/>
      <c r="U183" s="81"/>
      <c r="V183" s="61"/>
      <c r="W183" s="81"/>
      <c r="X183" s="61"/>
      <c r="Y183" s="81"/>
      <c r="Z183" s="61"/>
      <c r="AA183" s="81"/>
      <c r="AB183" s="61"/>
      <c r="AC183" s="81"/>
      <c r="AD183" s="61"/>
      <c r="AE183" s="81"/>
      <c r="AF183" s="61"/>
      <c r="AG183" s="81"/>
      <c r="AH183" s="61"/>
      <c r="AI183" s="81"/>
      <c r="AJ183" s="61"/>
      <c r="AK183" s="81"/>
      <c r="AL183" s="61"/>
      <c r="AM183" s="81"/>
      <c r="AN183" s="61"/>
      <c r="AO183" s="81"/>
      <c r="AP183" s="61"/>
      <c r="AQ183" s="81">
        <f>AQ177/AQ149*100</f>
        <v>18.677042801556425</v>
      </c>
      <c r="AR183" s="61"/>
      <c r="AS183" s="81">
        <f>AS177/AS149*100</f>
        <v>19.334186939820739</v>
      </c>
      <c r="AT183" s="61"/>
      <c r="AU183" s="81">
        <f>AU177/AU149*100</f>
        <v>22.371177209886881</v>
      </c>
      <c r="AV183" s="61"/>
      <c r="AW183" s="81">
        <f>AW177/AW149*100</f>
        <v>18.739635157545596</v>
      </c>
      <c r="AX183" s="61"/>
      <c r="AY183" s="81">
        <f>AY177/AY149*100</f>
        <v>21.067415730337075</v>
      </c>
      <c r="AZ183" s="61"/>
      <c r="BA183" s="81">
        <f>BA177/BA149*100</f>
        <v>21.81599035757332</v>
      </c>
      <c r="BB183" s="61"/>
      <c r="BC183" s="81">
        <f>BC177/BC149*100</f>
        <v>21.41982864137087</v>
      </c>
      <c r="BD183" s="61"/>
      <c r="BE183" s="81">
        <f>BE177/BE149*100</f>
        <v>18.20408163265305</v>
      </c>
      <c r="BF183" s="61"/>
      <c r="BG183" s="81">
        <f>BG177/BG149*100</f>
        <v>20.145926226185658</v>
      </c>
      <c r="BH183" s="61"/>
      <c r="BI183" s="81">
        <f>BI177/BI149*100</f>
        <v>18.769841269841276</v>
      </c>
      <c r="BJ183" s="61"/>
      <c r="BK183" s="81">
        <f>BK177/BK149*100</f>
        <v>16.926869350862773</v>
      </c>
      <c r="BL183" s="61"/>
      <c r="BM183" s="81">
        <f>BM177/BM149*100</f>
        <v>17.714755445951504</v>
      </c>
      <c r="BN183" s="61"/>
      <c r="BO183" s="81">
        <f>BO177/BO149*100</f>
        <v>16.996213714766512</v>
      </c>
      <c r="BP183" s="61"/>
      <c r="BQ183" s="81">
        <f>BQ177/BQ149*100</f>
        <v>17.251461988304094</v>
      </c>
      <c r="BR183" s="61"/>
      <c r="BS183" s="81">
        <f>BS177/BS149*100</f>
        <v>17.47613117476131</v>
      </c>
      <c r="BT183" s="61"/>
      <c r="BU183" s="81">
        <f>BU177/BU149*100</f>
        <v>-0.51282051282051844</v>
      </c>
      <c r="BV183" s="61"/>
      <c r="BW183" s="81">
        <f>BW177/BW149*100</f>
        <v>13.638443935926761</v>
      </c>
      <c r="BX183" s="61"/>
      <c r="BY183" s="81">
        <f>BY177/BY149*100</f>
        <v>12.393736017897096</v>
      </c>
      <c r="BZ183" s="61"/>
      <c r="CA183" s="81">
        <f>CA177/CA149*100</f>
        <v>17.705735660847886</v>
      </c>
      <c r="CB183" s="61"/>
      <c r="CC183" s="81">
        <f>CC177/CC149*100</f>
        <v>13.664341403364782</v>
      </c>
      <c r="CD183" s="61"/>
      <c r="CE183" s="81">
        <f>CE177/CE149*100</f>
        <v>14.927234927234922</v>
      </c>
      <c r="CF183" s="61"/>
      <c r="CG183" s="81">
        <f>CG177/CG149*100</f>
        <v>14.675907052588673</v>
      </c>
      <c r="CH183" s="61"/>
      <c r="CI183" s="81">
        <f>CI177/CI149*100</f>
        <v>20.359771054783319</v>
      </c>
      <c r="CJ183" s="61"/>
      <c r="CK183" s="81">
        <f>CK177/CK149*100</f>
        <v>12.670034978624173</v>
      </c>
      <c r="CL183" s="61"/>
      <c r="CM183" s="81">
        <f>CM177/CM149*100</f>
        <v>18.136882129277566</v>
      </c>
      <c r="CN183" s="61"/>
      <c r="CO183" s="81">
        <f>CO177/CO149*100</f>
        <v>15.941470927993837</v>
      </c>
      <c r="CP183" s="61"/>
      <c r="CQ183" s="81">
        <f>CQ177/CQ149*100</f>
        <v>15.819209039548024</v>
      </c>
      <c r="CR183" s="61"/>
      <c r="CS183" s="81">
        <f>CS177/CS149*100</f>
        <v>13.414634146341465</v>
      </c>
      <c r="CT183" s="61"/>
      <c r="CU183" s="81">
        <f>CU177/CU149*100</f>
        <v>13.888888888888889</v>
      </c>
      <c r="CV183" s="61"/>
      <c r="CW183" s="81">
        <f>CW177/CW149*100</f>
        <v>14.728682170542637</v>
      </c>
      <c r="CX183" s="61"/>
      <c r="CY183" s="81">
        <f>CY177/CY149*100</f>
        <v>11.372549019607844</v>
      </c>
      <c r="CZ183" s="61"/>
      <c r="DA183" s="81">
        <f>DA177/DA149*100</f>
        <v>10.810810810810811</v>
      </c>
      <c r="DB183" s="61"/>
      <c r="DC183" s="81">
        <f>DC177/DC149*100</f>
        <v>13.461538461538462</v>
      </c>
      <c r="DD183" s="61"/>
      <c r="DE183" s="81">
        <f>DE177/DE149*100</f>
        <v>14.391143911439114</v>
      </c>
      <c r="DF183" s="61"/>
      <c r="DG183" s="81">
        <f>DG177/DG149*100</f>
        <v>12.267657992565056</v>
      </c>
      <c r="DH183" s="61"/>
      <c r="DI183" s="81">
        <f>DI177/DI149*100</f>
        <v>12.546125461254611</v>
      </c>
      <c r="DJ183" s="61"/>
      <c r="DK183" s="81">
        <f>DK177/DK149*100</f>
        <v>14.391143911439114</v>
      </c>
      <c r="DL183" s="61"/>
      <c r="DM183" s="81">
        <f>DM177/DM149*100</f>
        <v>14.444444444444443</v>
      </c>
      <c r="DN183" s="130">
        <f t="shared" ref="DN183:DZ184" si="1276">IF(ISERROR((DM183/DE183-1)*100),"NA",IF(((DM183/DE183-1)*100)&gt;100,"NM",IF(((DM183/DE183-1)*100)&lt;-50,"NM",(DM183/DE183-1)*100)))</f>
        <v>0.37037037037035425</v>
      </c>
      <c r="DO183" s="81">
        <f>DO177/DO149*100</f>
        <v>14.705882352941178</v>
      </c>
      <c r="DP183" s="130">
        <f t="shared" si="1276"/>
        <v>19.875222816399287</v>
      </c>
      <c r="DQ183" s="81">
        <f>DQ177/DQ149*100</f>
        <v>15.162454873646208</v>
      </c>
      <c r="DR183" s="130">
        <f t="shared" si="1276"/>
        <v>20.853684434062437</v>
      </c>
      <c r="DS183" s="81">
        <f>DS177/DS149*100</f>
        <v>12.820512820512819</v>
      </c>
      <c r="DT183" s="130">
        <f t="shared" si="1276"/>
        <v>-10.913872452333994</v>
      </c>
      <c r="DU183" s="81">
        <f>DU177/DU149*100</f>
        <v>11.111111111111111</v>
      </c>
      <c r="DV183" s="130">
        <f t="shared" si="1276"/>
        <v>-23.076923076923073</v>
      </c>
      <c r="DW183" s="81">
        <f>DW177/DW149*100</f>
        <v>14.893617021276595</v>
      </c>
      <c r="DX183" s="81">
        <f t="shared" ref="DX183:DY183" si="1277">DX177/DX149*100</f>
        <v>14.893617021276595</v>
      </c>
      <c r="DY183" s="81">
        <f t="shared" si="1277"/>
        <v>11.956521739130435</v>
      </c>
      <c r="DZ183" s="130">
        <f t="shared" si="1276"/>
        <v>-21.1438923395445</v>
      </c>
      <c r="EA183" s="81">
        <f t="shared" ref="EA183:EC183" si="1278">EA177/EA149*100</f>
        <v>11.610486891385769</v>
      </c>
      <c r="EB183" s="130">
        <f t="shared" ref="EB183:EB184" si="1279">IF(ISERROR((EA183/DS183-1)*100),"NA",IF(((EA183/DS183-1)*100)&gt;100,"NM",IF(((EA183/DS183-1)*100)&lt;-50,"NM",(EA183/DS183-1)*100)))</f>
        <v>-9.438202247190997</v>
      </c>
      <c r="EC183" s="81">
        <f t="shared" si="1278"/>
        <v>11.481481481481481</v>
      </c>
      <c r="ED183" s="130">
        <f t="shared" ref="ED183:ED184" si="1280">IF(ISERROR((EC183/DU183-1)*100),"NA",IF(((EC183/DU183-1)*100)&gt;100,"NM",IF(((EC183/DU183-1)*100)&lt;-50,"NM",(EC183/DU183-1)*100)))</f>
        <v>3.3333333333333215</v>
      </c>
      <c r="EE183" s="81">
        <f t="shared" ref="EE183:EG183" si="1281">EE177/EE149*100</f>
        <v>11.347517730496454</v>
      </c>
      <c r="EF183" s="130">
        <f t="shared" ref="EF183:EF184" si="1282">IF(ISERROR((EE183/DW183-1)*100),"NA",IF(((EE183/DW183-1)*100)&gt;100,"NM",IF(((EE183/DW183-1)*100)&lt;-50,"NM",(EE183/DW183-1)*100)))</f>
        <v>-23.809523809523803</v>
      </c>
      <c r="EG183" s="81">
        <f t="shared" si="1281"/>
        <v>11.971830985915492</v>
      </c>
      <c r="EH183" s="130">
        <f t="shared" ref="EH183:EH184" si="1283">IF(ISERROR((EG183/DY183-1)*100),"NA",IF(((EG183/DY183-1)*100)&gt;100,"NM",IF(((EG183/DY183-1)*100)&lt;-50,"NM",(EG183/DY183-1)*100)))</f>
        <v>0.1280409731113874</v>
      </c>
      <c r="EI183" s="81">
        <f t="shared" ref="EI183:EK183" si="1284">EI177/EI149*100</f>
        <v>13.120567375886525</v>
      </c>
      <c r="EJ183" s="130">
        <f t="shared" ref="EJ183:EJ184" si="1285">IF(ISERROR((EI183/EA183-1)*100),"NA",IF(((EI183/EA183-1)*100)&gt;100,"NM",IF(((EI183/EA183-1)*100)&lt;-50,"NM",(EI183/EA183-1)*100)))</f>
        <v>13.006177076183922</v>
      </c>
      <c r="EK183" s="81">
        <f t="shared" si="1284"/>
        <v>12.758620689655173</v>
      </c>
      <c r="EL183" s="130">
        <f t="shared" ref="EL183:EL184" si="1286">IF(ISERROR((EK183/EC183-1)*100),"NA",IF(((EK183/EC183-1)*100)&gt;100,"NM",IF(((EK183/EC183-1)*100)&lt;-50,"NM",(EK183/EC183-1)*100)))</f>
        <v>11.123470522803114</v>
      </c>
      <c r="EM183" s="81">
        <f t="shared" ref="EM183" si="1287">EM177/EM149*100</f>
        <v>12.027491408934708</v>
      </c>
      <c r="EN183" s="130">
        <f t="shared" ref="EN183:EN184" si="1288">IF(ISERROR((EM183/EE183-1)*100),"NA",IF(((EM183/EE183-1)*100)&gt;100,"NM",IF(((EM183/EE183-1)*100)&lt;-50,"NM",(EM183/EE183-1)*100)))</f>
        <v>5.9922680412371143</v>
      </c>
      <c r="EO183" s="81">
        <f t="shared" ref="EO183" si="1289">EO177/EO149*100</f>
        <v>13.576158940397351</v>
      </c>
      <c r="EP183" s="130">
        <f t="shared" ref="EP183:EP184" si="1290">IF(ISERROR((EO183/EG183-1)*100),"NA",IF(((EO183/EG183-1)*100)&gt;100,"NM",IF(((EO183/EG183-1)*100)&lt;-50,"NM",(EO183/EG183-1)*100)))</f>
        <v>13.400857031554359</v>
      </c>
      <c r="EQ183" s="81">
        <f t="shared" ref="EQ183:EW183" si="1291">EQ177/EQ149*100</f>
        <v>14.558361691062554</v>
      </c>
      <c r="ER183" s="130">
        <f t="shared" ref="ER183:ER184" si="1292">IF(ISERROR((EQ183/EI183-1)*100),"NA",IF(((EQ183/EI183-1)*100)&gt;100,"NM",IF(((EQ183/EI183-1)*100)&lt;-50,"NM",(EQ183/EI183-1)*100)))</f>
        <v>10.958324239990279</v>
      </c>
      <c r="ES183" s="81">
        <f t="shared" si="1291"/>
        <v>14.491220128850655</v>
      </c>
      <c r="ET183" s="130">
        <f t="shared" ref="ET183:ET184" si="1293">IF(ISERROR((ES183/EK183-1)*100),"NA",IF(((ES183/EK183-1)*100)&gt;100,"NM",IF(((ES183/EK183-1)*100)&lt;-50,"NM",(ES183/EK183-1)*100)))</f>
        <v>13.57983344234297</v>
      </c>
      <c r="EU183" s="81">
        <f t="shared" si="1291"/>
        <v>14.421007106141234</v>
      </c>
      <c r="EV183" s="130">
        <f t="shared" ref="EV183:EV184" si="1294">IF(ISERROR((EU183/EM183-1)*100),"NA",IF(((EU183/EM183-1)*100)&gt;100,"NM",IF(((EU183/EM183-1)*100)&lt;-50,"NM",(EU183/EM183-1)*100)))</f>
        <v>19.900373368202828</v>
      </c>
      <c r="EW183" s="81">
        <f t="shared" si="1291"/>
        <v>14.350670444467839</v>
      </c>
      <c r="EX183" s="130">
        <f t="shared" ref="EX183:EX184" si="1295">IF(ISERROR((EW183/EO183-1)*100),"NA",IF(((EW183/EO183-1)*100)&gt;100,"NM",IF(((EW183/EO183-1)*100)&lt;-50,"NM",(EW183/EO183-1)*100)))</f>
        <v>5.7049383958362787</v>
      </c>
      <c r="EY183" s="66"/>
      <c r="EZ183" s="558"/>
      <c r="FA183" s="66"/>
      <c r="FB183" s="81"/>
      <c r="FC183" s="71"/>
      <c r="FD183" s="81"/>
      <c r="FE183" s="70"/>
      <c r="FF183" s="81"/>
      <c r="FG183" s="70"/>
      <c r="FH183" s="81"/>
      <c r="FI183" s="70"/>
      <c r="FJ183" s="81"/>
      <c r="FK183" s="70"/>
      <c r="FL183" s="81"/>
      <c r="FM183" s="61"/>
      <c r="FN183" s="88">
        <f>FN177/FN149*100</f>
        <v>19.498910675381264</v>
      </c>
      <c r="FO183" s="61"/>
      <c r="FP183" s="88">
        <f>FP177/FP149*100</f>
        <v>19.788471708090963</v>
      </c>
      <c r="FQ183" s="61"/>
      <c r="FR183" s="88">
        <f>FR177/FR149*100</f>
        <v>20.633475005059708</v>
      </c>
      <c r="FS183" s="61"/>
      <c r="FT183" s="88">
        <f>FT177/FT149*100</f>
        <v>18.398619849807183</v>
      </c>
      <c r="FU183" s="61"/>
      <c r="FV183" s="88">
        <f>FV177/FV149*100</f>
        <v>13.158176943699736</v>
      </c>
      <c r="FW183" s="61"/>
      <c r="FX183" s="88">
        <f>FX177/FX149*100</f>
        <v>14.401381841735949</v>
      </c>
      <c r="FY183" s="61"/>
      <c r="FZ183" s="88">
        <f>FZ177/FZ149*100</f>
        <v>15.622152475448015</v>
      </c>
      <c r="GA183" s="61"/>
      <c r="GB183" s="88">
        <f>GB177/GB149*100</f>
        <v>15.868175110673885</v>
      </c>
      <c r="GC183" s="61"/>
      <c r="GD183" s="88">
        <f>GD177/GD149*100</f>
        <v>12.6953125</v>
      </c>
      <c r="GE183" s="61"/>
      <c r="GF183" s="88">
        <f>GF177/GF149*100</f>
        <v>13.165266106442578</v>
      </c>
      <c r="GG183" s="61">
        <f t="shared" ref="GG183:GW184" si="1296">IF(ISERROR((GF183/GD183-1)*100),"NA",IF(((GF183/GD183-1)*100)&gt;100,"NM",IF(((GF183/GD183-1)*100)&lt;-50,"NM",(GF183/GD183-1)*100)))</f>
        <v>3.7017884076707697</v>
      </c>
      <c r="GH183" s="88">
        <f>GH177/GH149*100</f>
        <v>14.678899082568808</v>
      </c>
      <c r="GI183" s="61">
        <f t="shared" si="1296"/>
        <v>11.497169627171576</v>
      </c>
      <c r="GJ183" s="88">
        <f>GJ177/GJ149*100</f>
        <v>12.715712988192552</v>
      </c>
      <c r="GK183" s="61">
        <f t="shared" si="1296"/>
        <v>-13.374205267938244</v>
      </c>
      <c r="GL183" s="88">
        <f>GL177/GL149*100</f>
        <v>11.604714415231188</v>
      </c>
      <c r="GM183" s="61">
        <f t="shared" si="1296"/>
        <v>-8.7372102059318664</v>
      </c>
      <c r="GN183" s="88">
        <f>GN177/GN149*100</f>
        <v>12.875536480686694</v>
      </c>
      <c r="GO183" s="61">
        <f t="shared" si="1296"/>
        <v>10.950912017167379</v>
      </c>
      <c r="GP183" s="88">
        <f>GP177/GP149*100</f>
        <v>14.454391822617692</v>
      </c>
      <c r="GQ183" s="61">
        <f t="shared" si="1296"/>
        <v>12.262443155664094</v>
      </c>
      <c r="GR183" s="81">
        <f>GR177/GR149*100</f>
        <v>14.379607158670558</v>
      </c>
      <c r="GS183" s="61">
        <f t="shared" si="1296"/>
        <v>-0.51738367732715451</v>
      </c>
      <c r="GT183" s="81">
        <f>GT177/GT149*100</f>
        <v>14.373995223536307</v>
      </c>
      <c r="GU183" s="61">
        <f t="shared" si="1296"/>
        <v>-3.9027040671746338E-2</v>
      </c>
      <c r="GV183" s="81">
        <f>GV177/GV149*100</f>
        <v>14.36806304810356</v>
      </c>
      <c r="GW183" s="61">
        <f t="shared" si="1296"/>
        <v>-4.1270192041209519E-2</v>
      </c>
      <c r="GX183" s="81">
        <f>GX177/GX149*100</f>
        <v>14.361916035149264</v>
      </c>
      <c r="GY183" s="61">
        <f t="shared" ref="GY183:GY184" si="1297">IF(ISERROR((GX183/GV183-1)*100),"NA",IF(((GX183/GV183-1)*100)&gt;100,"NM",IF(((GX183/GV183-1)*100)&lt;-50,"NM",(GX183/GV183-1)*100)))</f>
        <v>-4.2782474810387772E-2</v>
      </c>
      <c r="GZ183" s="61">
        <f t="shared" si="1111"/>
        <v>2.2090637096206622</v>
      </c>
      <c r="HA183" s="61"/>
      <c r="HB183" s="452"/>
      <c r="HC183"/>
      <c r="HD183"/>
      <c r="HE183"/>
      <c r="HF183"/>
      <c r="HG183"/>
      <c r="HH183"/>
    </row>
    <row r="184" spans="2:216" s="5" customFormat="1" ht="12.75" customHeight="1" x14ac:dyDescent="0.2">
      <c r="B184" s="2" t="s">
        <v>248</v>
      </c>
      <c r="C184" s="81"/>
      <c r="D184" s="70"/>
      <c r="E184" s="81"/>
      <c r="F184" s="71"/>
      <c r="G184" s="81"/>
      <c r="H184" s="71"/>
      <c r="I184" s="81"/>
      <c r="J184" s="61"/>
      <c r="K184" s="81"/>
      <c r="L184" s="61"/>
      <c r="M184" s="81"/>
      <c r="N184" s="61"/>
      <c r="O184" s="81"/>
      <c r="P184" s="61"/>
      <c r="Q184" s="81"/>
      <c r="R184" s="61"/>
      <c r="S184" s="81"/>
      <c r="T184" s="61"/>
      <c r="U184" s="81"/>
      <c r="V184" s="61"/>
      <c r="W184" s="81"/>
      <c r="X184" s="61"/>
      <c r="Y184" s="81"/>
      <c r="Z184" s="61"/>
      <c r="AA184" s="81"/>
      <c r="AB184" s="61"/>
      <c r="AC184" s="81"/>
      <c r="AD184" s="61"/>
      <c r="AE184" s="81"/>
      <c r="AF184" s="61"/>
      <c r="AG184" s="81"/>
      <c r="AH184" s="61"/>
      <c r="AI184" s="81"/>
      <c r="AJ184" s="61"/>
      <c r="AK184" s="81"/>
      <c r="AL184" s="61"/>
      <c r="AM184" s="81"/>
      <c r="AN184" s="61"/>
      <c r="AO184" s="81"/>
      <c r="AP184" s="61"/>
      <c r="AQ184" s="81"/>
      <c r="AR184" s="61"/>
      <c r="AS184" s="81"/>
      <c r="AT184" s="61"/>
      <c r="AU184" s="81"/>
      <c r="AV184" s="61"/>
      <c r="AW184" s="81"/>
      <c r="AX184" s="61"/>
      <c r="AY184" s="81"/>
      <c r="AZ184" s="61"/>
      <c r="BA184" s="81"/>
      <c r="BB184" s="61"/>
      <c r="BC184" s="81"/>
      <c r="BD184" s="61"/>
      <c r="BE184" s="81"/>
      <c r="BF184" s="61"/>
      <c r="BG184" s="81">
        <f>BG177/BG135*400</f>
        <v>0.58358162950785997</v>
      </c>
      <c r="BH184" s="61"/>
      <c r="BI184" s="81">
        <f>BI177/BI135*400</f>
        <v>0.53721002867770251</v>
      </c>
      <c r="BJ184" s="61"/>
      <c r="BK184" s="81">
        <f>BK177/BK135*400</f>
        <v>0.45399449035812667</v>
      </c>
      <c r="BL184" s="61"/>
      <c r="BM184" s="81">
        <f>BM177/BM135*400</f>
        <v>0.47431047527340275</v>
      </c>
      <c r="BN184" s="61"/>
      <c r="BO184" s="81">
        <f>BO177/BO135*400</f>
        <v>0.45635536980034447</v>
      </c>
      <c r="BP184" s="61"/>
      <c r="BQ184" s="81">
        <f>BQ177/BQ135*400</f>
        <v>0.47331174970632894</v>
      </c>
      <c r="BR184" s="61"/>
      <c r="BS184" s="81">
        <f>BS177/BS135*400</f>
        <v>0.49811432374473119</v>
      </c>
      <c r="BT184" s="61"/>
      <c r="BU184" s="81">
        <f>BU177/BU135*400</f>
        <v>-1.4320352801419172E-2</v>
      </c>
      <c r="BV184" s="61"/>
      <c r="BW184" s="81">
        <f>BW177/BW135*400</f>
        <v>0.4155409527461606</v>
      </c>
      <c r="BX184" s="61"/>
      <c r="BY184" s="81">
        <f>BY177/BY135*400</f>
        <v>0.37044466733533948</v>
      </c>
      <c r="BZ184" s="61"/>
      <c r="CA184" s="81">
        <f>CA177/CA135*400</f>
        <v>0.51912443449252854</v>
      </c>
      <c r="CB184" s="61"/>
      <c r="CC184" s="81">
        <f>CC177/CC135*400</f>
        <v>0.38262668045501524</v>
      </c>
      <c r="CD184" s="61"/>
      <c r="CE184" s="81">
        <f>CE177/CE135*400</f>
        <v>0.39888334884237708</v>
      </c>
      <c r="CF184" s="61"/>
      <c r="CG184" s="81">
        <f>CG177/CG135*400</f>
        <v>0.40145527537322817</v>
      </c>
      <c r="CH184" s="61"/>
      <c r="CI184" s="81">
        <f>CI177/CI135*400</f>
        <v>0.55235137533274181</v>
      </c>
      <c r="CJ184" s="61"/>
      <c r="CK184" s="81">
        <f>CK177/CK135*400</f>
        <v>0.34355569606913272</v>
      </c>
      <c r="CL184" s="61"/>
      <c r="CM184" s="81">
        <f>CM177/CM135*400</f>
        <v>0.48223221958246981</v>
      </c>
      <c r="CN184" s="61"/>
      <c r="CO184" s="81">
        <f>CO177/CO135*400</f>
        <v>0.41094360692350629</v>
      </c>
      <c r="CP184" s="61"/>
      <c r="CQ184" s="81">
        <f>CQ177/CQ135*400</f>
        <v>0.40565537402822516</v>
      </c>
      <c r="CR184" s="61"/>
      <c r="CS184" s="81">
        <f>CS177/CS135*400</f>
        <v>0.34667051856131731</v>
      </c>
      <c r="CT184" s="61"/>
      <c r="CU184" s="81">
        <f>CU177/CU135*400</f>
        <v>0.34502729412344585</v>
      </c>
      <c r="CV184" s="61"/>
      <c r="CW184" s="81">
        <f>CW177/CW135*400</f>
        <v>0.36443410815541194</v>
      </c>
      <c r="CX184" s="61"/>
      <c r="CY184" s="81">
        <f>CY177/CY135*400</f>
        <v>0.27455621301775146</v>
      </c>
      <c r="CZ184" s="61"/>
      <c r="DA184" s="81">
        <f>DA177/DA135*400</f>
        <v>0.25737068272169494</v>
      </c>
      <c r="DB184" s="61"/>
      <c r="DC184" s="81">
        <f>DC177/DC135*400</f>
        <v>0.30982705011452533</v>
      </c>
      <c r="DD184" s="61"/>
      <c r="DE184" s="81">
        <f>DE177/DE135*400</f>
        <v>0.33355071146794385</v>
      </c>
      <c r="DF184" s="61"/>
      <c r="DG184" s="81">
        <f>DG177/DG135*400</f>
        <v>0.27384187706159369</v>
      </c>
      <c r="DH184" s="61"/>
      <c r="DI184" s="81">
        <f>DI177/DI135*400</f>
        <v>0.26950171906427417</v>
      </c>
      <c r="DJ184" s="61"/>
      <c r="DK184" s="81">
        <f>DK177/DK135*400</f>
        <v>0.30153959156848914</v>
      </c>
      <c r="DL184" s="61"/>
      <c r="DM184" s="81">
        <f>DM177/DM135*400</f>
        <v>0.29545734334605445</v>
      </c>
      <c r="DN184" s="130">
        <f t="shared" si="1276"/>
        <v>-11.420562694722481</v>
      </c>
      <c r="DO184" s="81">
        <f>DO177/DO135*400</f>
        <v>0.29875828587433478</v>
      </c>
      <c r="DP184" s="130">
        <f t="shared" si="1276"/>
        <v>9.0988307121254497</v>
      </c>
      <c r="DQ184" s="81">
        <f>DQ177/DQ135*400</f>
        <v>0.31430950131430013</v>
      </c>
      <c r="DR184" s="130">
        <f t="shared" si="1276"/>
        <v>16.626158232163135</v>
      </c>
      <c r="DS184" s="81">
        <f>DS177/DS135*400</f>
        <v>0.25884941435320002</v>
      </c>
      <c r="DT184" s="130">
        <f t="shared" si="1276"/>
        <v>-14.157403674002399</v>
      </c>
      <c r="DU184" s="81">
        <f>DU177/DU135*400</f>
        <v>0.21893615274445588</v>
      </c>
      <c r="DV184" s="130">
        <f t="shared" si="1276"/>
        <v>-25.899234635699376</v>
      </c>
      <c r="DW184" s="81">
        <f>DW177/DW135*400</f>
        <v>0.31159292609868966</v>
      </c>
      <c r="DX184" s="81">
        <f t="shared" ref="DX184:DY184" si="1298">DX177/DX135*400</f>
        <v>-15.698131261775124</v>
      </c>
      <c r="DY184" s="81">
        <f t="shared" si="1298"/>
        <v>0.24685816876122083</v>
      </c>
      <c r="DZ184" s="130">
        <f t="shared" si="1276"/>
        <v>-21.460163396597409</v>
      </c>
      <c r="EA184" s="81">
        <f t="shared" ref="EA184:EC184" si="1299">EA177/EA135*400</f>
        <v>0.24108566317999769</v>
      </c>
      <c r="EB184" s="130">
        <f t="shared" si="1279"/>
        <v>-6.8625811719873919</v>
      </c>
      <c r="EC184" s="81">
        <f t="shared" si="1299"/>
        <v>0.22560016010333941</v>
      </c>
      <c r="ED184" s="130">
        <f t="shared" si="1280"/>
        <v>3.0438131278673897</v>
      </c>
      <c r="EE184" s="81">
        <f t="shared" ref="EE184:EG184" si="1300">EE177/EE135*400</f>
        <v>0.22715576141546434</v>
      </c>
      <c r="EF184" s="130">
        <f t="shared" si="1282"/>
        <v>-27.098549938351891</v>
      </c>
      <c r="EG184" s="81">
        <f t="shared" si="1300"/>
        <v>0.23508668821627976</v>
      </c>
      <c r="EH184" s="130">
        <f t="shared" si="1283"/>
        <v>-4.76851975529613</v>
      </c>
      <c r="EI184" s="81">
        <f t="shared" ref="EI184:EK184" si="1301">EI177/EI135*400</f>
        <v>0.24839091359185012</v>
      </c>
      <c r="EJ184" s="130">
        <f t="shared" si="1285"/>
        <v>3.0301471748646502</v>
      </c>
      <c r="EK184" s="81">
        <f t="shared" si="1301"/>
        <v>0.24006293541820423</v>
      </c>
      <c r="EL184" s="130">
        <f t="shared" si="1286"/>
        <v>6.4108001112410218</v>
      </c>
      <c r="EM184" s="81">
        <f t="shared" ref="EM184" si="1302">EM177/EM135*400</f>
        <v>0.21978539526048493</v>
      </c>
      <c r="EN184" s="130">
        <f t="shared" si="1288"/>
        <v>-3.2446309567729315</v>
      </c>
      <c r="EO184" s="81">
        <f t="shared" ref="EO184" si="1303">EO177/EO135*400</f>
        <v>0.24811267946564999</v>
      </c>
      <c r="EP184" s="130">
        <f t="shared" si="1290"/>
        <v>5.5409310277008572</v>
      </c>
      <c r="EQ184" s="81">
        <f t="shared" ref="EQ184:EW184" si="1304">EQ177/EQ135*400</f>
        <v>0.26637876884180783</v>
      </c>
      <c r="ER184" s="130">
        <f t="shared" si="1292"/>
        <v>7.2417525222017165</v>
      </c>
      <c r="ES184" s="81">
        <f t="shared" si="1304"/>
        <v>0.26366283926444756</v>
      </c>
      <c r="ET184" s="130">
        <f t="shared" si="1293"/>
        <v>9.8307153518434109</v>
      </c>
      <c r="EU184" s="81">
        <f t="shared" si="1304"/>
        <v>0.26085507060151747</v>
      </c>
      <c r="EV184" s="130">
        <f t="shared" si="1294"/>
        <v>18.686262247934017</v>
      </c>
      <c r="EW184" s="81">
        <f t="shared" si="1304"/>
        <v>0.25807500409587236</v>
      </c>
      <c r="EX184" s="130">
        <f t="shared" si="1295"/>
        <v>4.0152420471528671</v>
      </c>
      <c r="EY184" s="66"/>
      <c r="EZ184" s="558"/>
      <c r="FA184" s="66"/>
      <c r="FB184" s="81"/>
      <c r="FC184" s="71"/>
      <c r="FD184" s="81"/>
      <c r="FE184" s="70"/>
      <c r="FF184" s="81"/>
      <c r="FG184" s="70"/>
      <c r="FH184" s="81"/>
      <c r="FI184" s="70"/>
      <c r="FJ184" s="81"/>
      <c r="FK184" s="70"/>
      <c r="FL184" s="81"/>
      <c r="FM184" s="61"/>
      <c r="FN184" s="81"/>
      <c r="FO184" s="61"/>
      <c r="FP184" s="88"/>
      <c r="FQ184" s="61"/>
      <c r="FR184" s="88"/>
      <c r="FS184" s="61"/>
      <c r="FT184" s="88">
        <f>FT177/FT135*100</f>
        <v>0.52012508247984612</v>
      </c>
      <c r="FU184" s="61"/>
      <c r="FV184" s="88">
        <f>FV177/FV135*100</f>
        <v>0.37791055808796364</v>
      </c>
      <c r="FW184" s="61"/>
      <c r="FX184" s="88">
        <f>FX177/FX135*100</f>
        <v>0.41570582736054879</v>
      </c>
      <c r="FY184" s="61"/>
      <c r="FZ184" s="88">
        <f>FZ177/FZ135*100</f>
        <v>0.41631816096916074</v>
      </c>
      <c r="GA184" s="61"/>
      <c r="GB184" s="88">
        <f>GB177/GB135*100</f>
        <v>0.41381787395615544</v>
      </c>
      <c r="GC184" s="61"/>
      <c r="GD184" s="88">
        <f>GD177/GD135*100</f>
        <v>0.31301165366464412</v>
      </c>
      <c r="GE184" s="61"/>
      <c r="GF184" s="88">
        <f>GF177/GF135*100</f>
        <v>0.29513652680823449</v>
      </c>
      <c r="GG184" s="61">
        <f t="shared" si="1296"/>
        <v>-5.7106905276954167</v>
      </c>
      <c r="GH184" s="88">
        <f>GH177/GH135*100</f>
        <v>0.30430689350209683</v>
      </c>
      <c r="GI184" s="61">
        <f t="shared" si="1296"/>
        <v>3.1071608767087033</v>
      </c>
      <c r="GJ184" s="88">
        <f>GJ177/GJ135*100</f>
        <v>0.26012876373805033</v>
      </c>
      <c r="GK184" s="61">
        <f t="shared" si="1296"/>
        <v>-14.517623723743245</v>
      </c>
      <c r="GL184" s="88">
        <f>GL177/GL135*100</f>
        <v>0.22748680398812804</v>
      </c>
      <c r="GM184" s="61">
        <f t="shared" si="1296"/>
        <v>-12.54838537686388</v>
      </c>
      <c r="GN184" s="88">
        <f>GN177/GN135*100</f>
        <v>0.23846808104735184</v>
      </c>
      <c r="GO184" s="61">
        <f t="shared" si="1296"/>
        <v>4.8272149710261392</v>
      </c>
      <c r="GP184" s="88">
        <f>GP177/GP135*100</f>
        <v>0.26050095375954108</v>
      </c>
      <c r="GQ184" s="61">
        <f t="shared" si="1296"/>
        <v>9.2393382860384676</v>
      </c>
      <c r="GR184" s="81">
        <f>GR177/GR135*100</f>
        <v>0.2575488553995175</v>
      </c>
      <c r="GS184" s="61">
        <f t="shared" si="1296"/>
        <v>-1.1332389833584089</v>
      </c>
      <c r="GT184" s="81">
        <f>GT177/GT135*100</f>
        <v>0.25732879985098811</v>
      </c>
      <c r="GU184" s="61">
        <f t="shared" si="1296"/>
        <v>-8.5442254514400684E-2</v>
      </c>
      <c r="GV184" s="81">
        <f>GV177/GV135*100</f>
        <v>0.25709640909429671</v>
      </c>
      <c r="GW184" s="61">
        <f t="shared" si="1296"/>
        <v>-9.0308879855649504E-2</v>
      </c>
      <c r="GX184" s="81">
        <f>GX177/GX135*100</f>
        <v>0.25685584258877675</v>
      </c>
      <c r="GY184" s="61">
        <f t="shared" si="1297"/>
        <v>-9.3570542804322088E-2</v>
      </c>
      <c r="GZ184" s="61">
        <f t="shared" si="1111"/>
        <v>1.4966804355857288</v>
      </c>
      <c r="HA184" s="61"/>
      <c r="HB184" s="452"/>
      <c r="HC184"/>
      <c r="HD184"/>
      <c r="HE184"/>
      <c r="HF184"/>
      <c r="HG184"/>
      <c r="HH184"/>
    </row>
    <row r="185" spans="2:216" s="5" customFormat="1" ht="12.75" customHeight="1" x14ac:dyDescent="0.2">
      <c r="B185" s="2"/>
      <c r="C185" s="66"/>
      <c r="D185" s="67"/>
      <c r="E185" s="66"/>
      <c r="F185" s="66"/>
      <c r="G185" s="64"/>
      <c r="H185" s="66"/>
      <c r="I185" s="64"/>
      <c r="J185" s="66"/>
      <c r="K185" s="64"/>
      <c r="L185" s="61"/>
      <c r="M185" s="66"/>
      <c r="N185" s="61"/>
      <c r="O185" s="64"/>
      <c r="P185" s="61"/>
      <c r="Q185" s="64"/>
      <c r="R185" s="61"/>
      <c r="S185" s="64"/>
      <c r="T185" s="61"/>
      <c r="U185" s="64"/>
      <c r="V185" s="61"/>
      <c r="W185" s="64"/>
      <c r="X185" s="61"/>
      <c r="Y185" s="64"/>
      <c r="Z185" s="61"/>
      <c r="AA185" s="64"/>
      <c r="AB185" s="61"/>
      <c r="AC185" s="64"/>
      <c r="AD185" s="61"/>
      <c r="AE185" s="64"/>
      <c r="AF185" s="61"/>
      <c r="AG185" s="64"/>
      <c r="AH185" s="61"/>
      <c r="AI185" s="64"/>
      <c r="AJ185" s="61"/>
      <c r="AK185" s="64"/>
      <c r="AL185" s="61"/>
      <c r="AM185" s="64"/>
      <c r="AN185" s="61"/>
      <c r="AO185" s="64"/>
      <c r="AP185" s="61"/>
      <c r="AQ185" s="64"/>
      <c r="AR185" s="61"/>
      <c r="AS185" s="64"/>
      <c r="AT185" s="61"/>
      <c r="AU185" s="64"/>
      <c r="AV185" s="61"/>
      <c r="AW185" s="64"/>
      <c r="AX185" s="61"/>
      <c r="AY185" s="64"/>
      <c r="AZ185" s="61"/>
      <c r="BA185" s="64"/>
      <c r="BB185" s="61"/>
      <c r="BC185" s="64"/>
      <c r="BD185" s="61"/>
      <c r="BE185" s="64"/>
      <c r="BF185" s="61"/>
      <c r="BG185" s="64"/>
      <c r="BH185" s="61"/>
      <c r="BI185" s="64"/>
      <c r="BJ185" s="61"/>
      <c r="BK185" s="64"/>
      <c r="BL185" s="61"/>
      <c r="BM185" s="64"/>
      <c r="BN185" s="61"/>
      <c r="BO185" s="64"/>
      <c r="BP185" s="61"/>
      <c r="BQ185" s="64"/>
      <c r="BR185" s="61"/>
      <c r="BS185" s="64"/>
      <c r="BT185" s="61"/>
      <c r="BU185" s="64"/>
      <c r="BV185" s="61"/>
      <c r="BW185" s="64"/>
      <c r="BX185" s="61"/>
      <c r="BY185" s="64"/>
      <c r="BZ185" s="61"/>
      <c r="CA185" s="64"/>
      <c r="CB185" s="61"/>
      <c r="CC185" s="64"/>
      <c r="CD185" s="61"/>
      <c r="CE185" s="64"/>
      <c r="CF185" s="61"/>
      <c r="CG185" s="64"/>
      <c r="CH185" s="61"/>
      <c r="CI185" s="64"/>
      <c r="CJ185" s="61"/>
      <c r="CK185" s="64"/>
      <c r="CL185" s="61"/>
      <c r="CM185" s="64"/>
      <c r="CN185" s="61"/>
      <c r="CO185" s="64"/>
      <c r="CP185" s="61"/>
      <c r="CQ185" s="64"/>
      <c r="CR185" s="61"/>
      <c r="CS185" s="64"/>
      <c r="CT185" s="61"/>
      <c r="CU185" s="64"/>
      <c r="CV185" s="61"/>
      <c r="CW185" s="64"/>
      <c r="CX185" s="61"/>
      <c r="CY185" s="64"/>
      <c r="CZ185" s="61"/>
      <c r="DA185" s="64"/>
      <c r="DB185" s="61"/>
      <c r="DC185" s="64"/>
      <c r="DD185" s="61"/>
      <c r="DE185" s="64"/>
      <c r="DF185" s="61"/>
      <c r="DG185" s="64"/>
      <c r="DH185" s="61"/>
      <c r="DI185" s="64"/>
      <c r="DJ185" s="61"/>
      <c r="DK185" s="64"/>
      <c r="DL185" s="61"/>
      <c r="DM185" s="64"/>
      <c r="DN185" s="61"/>
      <c r="DO185" s="64"/>
      <c r="DP185" s="61"/>
      <c r="DQ185" s="64"/>
      <c r="DR185" s="61"/>
      <c r="DS185" s="64"/>
      <c r="DT185" s="61"/>
      <c r="DU185" s="64"/>
      <c r="DV185" s="61"/>
      <c r="DW185" s="64"/>
      <c r="DX185" s="64"/>
      <c r="DY185" s="64"/>
      <c r="DZ185" s="61"/>
      <c r="EA185" s="64"/>
      <c r="EB185" s="61"/>
      <c r="EC185" s="64"/>
      <c r="ED185" s="61"/>
      <c r="EE185" s="64"/>
      <c r="EF185" s="61"/>
      <c r="EG185" s="64"/>
      <c r="EH185" s="61"/>
      <c r="EI185" s="64"/>
      <c r="EJ185" s="61"/>
      <c r="EK185" s="64"/>
      <c r="EL185" s="61"/>
      <c r="EM185" s="64"/>
      <c r="EN185" s="61"/>
      <c r="EO185" s="64"/>
      <c r="EP185" s="61"/>
      <c r="EQ185" s="64"/>
      <c r="ER185" s="61"/>
      <c r="ES185" s="64"/>
      <c r="ET185" s="61"/>
      <c r="EU185" s="64"/>
      <c r="EV185" s="61"/>
      <c r="EW185" s="64"/>
      <c r="EX185" s="61"/>
      <c r="EY185" s="64"/>
      <c r="EZ185" s="558"/>
      <c r="FA185" s="64"/>
      <c r="FB185" s="66"/>
      <c r="FC185" s="66"/>
      <c r="FD185" s="66"/>
      <c r="FE185" s="67"/>
      <c r="FF185" s="66"/>
      <c r="FG185" s="67"/>
      <c r="FH185" s="66"/>
      <c r="FI185" s="67"/>
      <c r="FJ185" s="66"/>
      <c r="FK185" s="67"/>
      <c r="FL185" s="66"/>
      <c r="FM185" s="61"/>
      <c r="FN185" s="66"/>
      <c r="FO185" s="61"/>
      <c r="FP185" s="65"/>
      <c r="FQ185" s="61"/>
      <c r="FR185" s="65"/>
      <c r="FS185" s="61"/>
      <c r="FT185" s="65"/>
      <c r="FU185" s="61"/>
      <c r="FV185" s="65"/>
      <c r="FW185" s="61"/>
      <c r="FX185" s="65"/>
      <c r="FY185" s="61"/>
      <c r="FZ185" s="65"/>
      <c r="GA185" s="61"/>
      <c r="GB185" s="65"/>
      <c r="GC185" s="61"/>
      <c r="GD185" s="65"/>
      <c r="GE185" s="61"/>
      <c r="GF185" s="65"/>
      <c r="GG185" s="61"/>
      <c r="GH185" s="65"/>
      <c r="GI185" s="61"/>
      <c r="GJ185" s="65"/>
      <c r="GK185" s="61"/>
      <c r="GL185" s="65"/>
      <c r="GM185" s="61"/>
      <c r="GN185" s="65"/>
      <c r="GO185" s="61"/>
      <c r="GP185" s="65"/>
      <c r="GQ185" s="61"/>
      <c r="GR185" s="64"/>
      <c r="GS185" s="61"/>
      <c r="GT185" s="64"/>
      <c r="GU185" s="61"/>
      <c r="GV185" s="64"/>
      <c r="GW185" s="61"/>
      <c r="GX185" s="64"/>
      <c r="GY185" s="61"/>
      <c r="GZ185" s="61" t="str">
        <f t="shared" si="1111"/>
        <v/>
      </c>
      <c r="HA185" s="61"/>
      <c r="HB185" s="452"/>
      <c r="HC185"/>
      <c r="HD185"/>
      <c r="HE185"/>
      <c r="HF185"/>
      <c r="HG185"/>
      <c r="HH185"/>
    </row>
    <row r="186" spans="2:216" s="623" customFormat="1" ht="12.75" customHeight="1" x14ac:dyDescent="0.2">
      <c r="B186" s="624" t="s">
        <v>663</v>
      </c>
      <c r="C186" s="625"/>
      <c r="D186" s="626"/>
      <c r="E186" s="625"/>
      <c r="F186" s="625"/>
      <c r="G186" s="625"/>
      <c r="H186" s="625"/>
      <c r="I186" s="625"/>
      <c r="J186" s="625"/>
      <c r="K186" s="625"/>
      <c r="L186" s="627"/>
      <c r="M186" s="625"/>
      <c r="N186" s="627"/>
      <c r="O186" s="625"/>
      <c r="P186" s="627"/>
      <c r="Q186" s="625"/>
      <c r="R186" s="627"/>
      <c r="S186" s="625"/>
      <c r="T186" s="627"/>
      <c r="U186" s="625"/>
      <c r="V186" s="627"/>
      <c r="W186" s="625"/>
      <c r="X186" s="627"/>
      <c r="Y186" s="625"/>
      <c r="Z186" s="627"/>
      <c r="AA186" s="625"/>
      <c r="AB186" s="627"/>
      <c r="AC186" s="625"/>
      <c r="AD186" s="627"/>
      <c r="AE186" s="625"/>
      <c r="AF186" s="627"/>
      <c r="AG186" s="625"/>
      <c r="AH186" s="627"/>
      <c r="AI186" s="625"/>
      <c r="AJ186" s="627"/>
      <c r="AK186" s="625"/>
      <c r="AL186" s="627"/>
      <c r="AM186" s="625"/>
      <c r="AN186" s="627"/>
      <c r="AO186" s="625"/>
      <c r="AP186" s="627"/>
      <c r="AQ186" s="625"/>
      <c r="AR186" s="627"/>
      <c r="AS186" s="625"/>
      <c r="AT186" s="627"/>
      <c r="AU186" s="625"/>
      <c r="AV186" s="627"/>
      <c r="AW186" s="625"/>
      <c r="AX186" s="627"/>
      <c r="AY186" s="625"/>
      <c r="AZ186" s="627"/>
      <c r="BA186" s="625"/>
      <c r="BB186" s="627"/>
      <c r="BC186" s="625"/>
      <c r="BD186" s="627"/>
      <c r="BE186" s="625"/>
      <c r="BF186" s="627"/>
      <c r="BG186" s="625"/>
      <c r="BH186" s="627"/>
      <c r="BI186" s="625"/>
      <c r="BJ186" s="627"/>
      <c r="BK186" s="625"/>
      <c r="BL186" s="627"/>
      <c r="BM186" s="625"/>
      <c r="BN186" s="627"/>
      <c r="BO186" s="625"/>
      <c r="BP186" s="627"/>
      <c r="BQ186" s="625"/>
      <c r="BR186" s="627"/>
      <c r="BS186" s="625"/>
      <c r="BT186" s="627"/>
      <c r="BU186" s="625"/>
      <c r="BV186" s="627"/>
      <c r="BW186" s="625"/>
      <c r="BX186" s="627"/>
      <c r="BY186" s="625"/>
      <c r="BZ186" s="627"/>
      <c r="CA186" s="625"/>
      <c r="CB186" s="627"/>
      <c r="CC186" s="625"/>
      <c r="CD186" s="627"/>
      <c r="CE186" s="625"/>
      <c r="CF186" s="627"/>
      <c r="CG186" s="625"/>
      <c r="CH186" s="627"/>
      <c r="CI186" s="625"/>
      <c r="CJ186" s="627"/>
      <c r="CK186" s="625"/>
      <c r="CL186" s="627"/>
      <c r="CM186" s="625"/>
      <c r="CN186" s="627"/>
      <c r="CO186" s="625"/>
      <c r="CP186" s="627"/>
      <c r="CQ186" s="625"/>
      <c r="CR186" s="627"/>
      <c r="CS186" s="625"/>
      <c r="CT186" s="627"/>
      <c r="CU186" s="625"/>
      <c r="CV186" s="627"/>
      <c r="CW186" s="625"/>
      <c r="CX186" s="627"/>
      <c r="CY186" s="625"/>
      <c r="CZ186" s="627"/>
      <c r="DA186" s="625"/>
      <c r="DB186" s="627"/>
      <c r="DC186" s="625"/>
      <c r="DD186" s="627"/>
      <c r="DE186" s="625"/>
      <c r="DF186" s="627"/>
      <c r="DG186" s="625"/>
      <c r="DH186" s="627"/>
      <c r="DI186" s="625"/>
      <c r="DJ186" s="627"/>
      <c r="DK186" s="625"/>
      <c r="DL186" s="627"/>
      <c r="DM186" s="625"/>
      <c r="DN186" s="627"/>
      <c r="DO186" s="625"/>
      <c r="DP186" s="627"/>
      <c r="DQ186" s="625"/>
      <c r="DR186" s="627"/>
      <c r="DS186" s="625"/>
      <c r="DT186" s="627"/>
      <c r="DU186" s="625"/>
      <c r="DV186" s="627"/>
      <c r="DW186" s="625"/>
      <c r="DX186" s="625"/>
      <c r="DY186" s="625"/>
      <c r="DZ186" s="627"/>
      <c r="EA186" s="625"/>
      <c r="EB186" s="627"/>
      <c r="EC186" s="625"/>
      <c r="ED186" s="627"/>
      <c r="EE186" s="625"/>
      <c r="EF186" s="627"/>
      <c r="EG186" s="625"/>
      <c r="EH186" s="627"/>
      <c r="EI186" s="625"/>
      <c r="EJ186" s="627"/>
      <c r="EK186" s="625"/>
      <c r="EL186" s="627"/>
      <c r="EM186" s="625"/>
      <c r="EN186" s="627"/>
      <c r="EO186" s="625"/>
      <c r="EP186" s="627"/>
      <c r="EQ186" s="625"/>
      <c r="ER186" s="627"/>
      <c r="ES186" s="625"/>
      <c r="ET186" s="627"/>
      <c r="EU186" s="625"/>
      <c r="EV186" s="627"/>
      <c r="EW186" s="625"/>
      <c r="EX186" s="627"/>
      <c r="EY186" s="628"/>
      <c r="EZ186" s="558"/>
      <c r="FA186" s="628"/>
      <c r="FB186" s="625"/>
      <c r="FC186" s="625"/>
      <c r="FD186" s="625"/>
      <c r="FE186" s="626"/>
      <c r="FF186" s="625"/>
      <c r="FG186" s="626"/>
      <c r="FH186" s="625"/>
      <c r="FI186" s="626"/>
      <c r="FJ186" s="625"/>
      <c r="FK186" s="626"/>
      <c r="FL186" s="625"/>
      <c r="FM186" s="627"/>
      <c r="FN186" s="625"/>
      <c r="FO186" s="627"/>
      <c r="FP186" s="625"/>
      <c r="FQ186" s="627"/>
      <c r="FR186" s="625"/>
      <c r="FS186" s="627"/>
      <c r="FT186" s="625"/>
      <c r="FU186" s="627"/>
      <c r="FV186" s="625"/>
      <c r="FW186" s="627"/>
      <c r="FX186" s="625"/>
      <c r="FY186" s="627"/>
      <c r="FZ186" s="625"/>
      <c r="GA186" s="627"/>
      <c r="GB186" s="625"/>
      <c r="GC186" s="627"/>
      <c r="GD186" s="625"/>
      <c r="GE186" s="627"/>
      <c r="GF186" s="625"/>
      <c r="GG186" s="627"/>
      <c r="GH186" s="625"/>
      <c r="GI186" s="627"/>
      <c r="GJ186" s="625"/>
      <c r="GK186" s="627"/>
      <c r="GL186" s="625"/>
      <c r="GM186" s="627"/>
      <c r="GN186" s="625"/>
      <c r="GO186" s="627"/>
      <c r="GP186" s="625"/>
      <c r="GQ186" s="627"/>
      <c r="GR186" s="625"/>
      <c r="GS186" s="627"/>
      <c r="GT186" s="625"/>
      <c r="GU186" s="627"/>
      <c r="GV186" s="625"/>
      <c r="GW186" s="627"/>
      <c r="GX186" s="625"/>
      <c r="GY186" s="627"/>
      <c r="GZ186" s="627" t="str">
        <f t="shared" si="1111"/>
        <v/>
      </c>
      <c r="HA186" s="627"/>
      <c r="HB186" s="629"/>
      <c r="HC186"/>
      <c r="HD186"/>
      <c r="HE186"/>
      <c r="HF186"/>
      <c r="HG186"/>
      <c r="HH186"/>
    </row>
    <row r="187" spans="2:216" s="5" customFormat="1" ht="12.75" customHeight="1" x14ac:dyDescent="0.2">
      <c r="B187" s="134" t="s">
        <v>607</v>
      </c>
      <c r="C187" s="66"/>
      <c r="D187" s="67"/>
      <c r="E187" s="66"/>
      <c r="F187" s="66"/>
      <c r="G187" s="64"/>
      <c r="H187" s="66"/>
      <c r="I187" s="64"/>
      <c r="J187" s="66"/>
      <c r="K187" s="64"/>
      <c r="L187" s="67"/>
      <c r="M187" s="66"/>
      <c r="N187" s="67"/>
      <c r="O187" s="64"/>
      <c r="P187" s="67"/>
      <c r="Q187" s="64"/>
      <c r="R187" s="67"/>
      <c r="S187" s="64"/>
      <c r="T187" s="67"/>
      <c r="U187" s="64"/>
      <c r="V187" s="67"/>
      <c r="W187" s="64"/>
      <c r="X187" s="67"/>
      <c r="Y187" s="64"/>
      <c r="Z187" s="67"/>
      <c r="AA187" s="64"/>
      <c r="AB187" s="67"/>
      <c r="AC187" s="64"/>
      <c r="AD187" s="67"/>
      <c r="AE187" s="64"/>
      <c r="AF187" s="67"/>
      <c r="AG187" s="64"/>
      <c r="AH187" s="67"/>
      <c r="AI187" s="64"/>
      <c r="AJ187" s="67"/>
      <c r="AK187" s="64"/>
      <c r="AL187" s="67"/>
      <c r="AM187" s="64"/>
      <c r="AN187" s="67"/>
      <c r="AO187" s="64"/>
      <c r="AP187" s="67"/>
      <c r="AQ187" s="64"/>
      <c r="AR187" s="67"/>
      <c r="AS187" s="64"/>
      <c r="AT187" s="67"/>
      <c r="AU187" s="64"/>
      <c r="AV187" s="67"/>
      <c r="AW187" s="64"/>
      <c r="AX187" s="67"/>
      <c r="AY187" s="64"/>
      <c r="AZ187" s="67"/>
      <c r="BA187" s="64"/>
      <c r="BB187" s="67"/>
      <c r="BC187" s="64"/>
      <c r="BD187" s="67"/>
      <c r="BE187" s="64"/>
      <c r="BF187" s="67"/>
      <c r="BG187" s="64"/>
      <c r="BH187" s="67"/>
      <c r="BI187" s="64"/>
      <c r="BJ187" s="67"/>
      <c r="BK187" s="64"/>
      <c r="BL187" s="67"/>
      <c r="BM187" s="64"/>
      <c r="BN187" s="67"/>
      <c r="BO187" s="64"/>
      <c r="BP187" s="67"/>
      <c r="BQ187" s="64"/>
      <c r="BR187" s="67"/>
      <c r="BS187" s="64"/>
      <c r="BT187" s="67"/>
      <c r="BU187" s="64"/>
      <c r="BV187" s="67"/>
      <c r="BW187" s="64"/>
      <c r="BX187" s="67"/>
      <c r="BY187" s="64"/>
      <c r="BZ187" s="67"/>
      <c r="CA187" s="64"/>
      <c r="CB187" s="67"/>
      <c r="CC187" s="64"/>
      <c r="CD187" s="67"/>
      <c r="CE187" s="64"/>
      <c r="CF187" s="67"/>
      <c r="CG187" s="64"/>
      <c r="CH187" s="67"/>
      <c r="CI187" s="64"/>
      <c r="CJ187" s="67"/>
      <c r="CK187" s="64"/>
      <c r="CL187" s="67"/>
      <c r="CM187" s="64"/>
      <c r="CN187" s="67"/>
      <c r="CO187" s="64"/>
      <c r="CP187" s="67"/>
      <c r="CQ187" s="64"/>
      <c r="CR187" s="67"/>
      <c r="CS187" s="64"/>
      <c r="CT187" s="67"/>
      <c r="CU187" s="64"/>
      <c r="CV187" s="67"/>
      <c r="CW187" s="64"/>
      <c r="CX187" s="67"/>
      <c r="CY187" s="64"/>
      <c r="CZ187" s="67"/>
      <c r="DA187" s="64"/>
      <c r="DB187" s="67"/>
      <c r="DC187" s="64"/>
      <c r="DD187" s="67"/>
      <c r="DE187" s="64"/>
      <c r="DF187" s="67"/>
      <c r="DG187" s="64"/>
      <c r="DH187" s="67"/>
      <c r="DI187" s="64"/>
      <c r="DJ187" s="67"/>
      <c r="DK187" s="64"/>
      <c r="DL187" s="67"/>
      <c r="DM187" s="64"/>
      <c r="DN187" s="67"/>
      <c r="DO187" s="64"/>
      <c r="DP187" s="67"/>
      <c r="DQ187" s="64"/>
      <c r="DR187" s="67"/>
      <c r="DS187" s="64"/>
      <c r="DT187" s="67"/>
      <c r="DU187" s="64"/>
      <c r="DV187" s="67"/>
      <c r="DW187" s="64"/>
      <c r="DX187" s="64"/>
      <c r="DY187" s="64"/>
      <c r="DZ187" s="67"/>
      <c r="EA187" s="64"/>
      <c r="EB187" s="67"/>
      <c r="EC187" s="64"/>
      <c r="ED187" s="67"/>
      <c r="EE187" s="64"/>
      <c r="EF187" s="67"/>
      <c r="EG187" s="64"/>
      <c r="EH187" s="67"/>
      <c r="EI187" s="64"/>
      <c r="EJ187" s="67"/>
      <c r="EK187" s="64"/>
      <c r="EL187" s="67"/>
      <c r="EM187" s="64"/>
      <c r="EN187" s="67"/>
      <c r="EO187" s="64"/>
      <c r="EP187" s="67"/>
      <c r="EQ187" s="64"/>
      <c r="ER187" s="67"/>
      <c r="ES187" s="64"/>
      <c r="ET187" s="67"/>
      <c r="EU187" s="64"/>
      <c r="EV187" s="67"/>
      <c r="EW187" s="64"/>
      <c r="EX187" s="67"/>
      <c r="EY187" s="64"/>
      <c r="EZ187" s="558"/>
      <c r="FA187" s="64"/>
      <c r="FB187" s="66"/>
      <c r="FC187" s="66"/>
      <c r="FD187" s="66"/>
      <c r="FE187" s="67"/>
      <c r="FF187" s="66"/>
      <c r="FG187" s="67"/>
      <c r="FH187" s="66"/>
      <c r="FI187" s="67"/>
      <c r="FJ187" s="66"/>
      <c r="FK187" s="67"/>
      <c r="FL187" s="64"/>
      <c r="FM187" s="67"/>
      <c r="FN187" s="64"/>
      <c r="FO187" s="67"/>
      <c r="FP187" s="64"/>
      <c r="FQ187" s="67"/>
      <c r="FR187" s="144"/>
      <c r="FS187" s="61"/>
      <c r="FT187" s="144"/>
      <c r="FU187" s="61"/>
      <c r="FV187" s="144"/>
      <c r="FW187" s="61"/>
      <c r="FX187" s="144"/>
      <c r="FY187" s="61"/>
      <c r="FZ187" s="144"/>
      <c r="GA187" s="61"/>
      <c r="GB187" s="144"/>
      <c r="GC187" s="61"/>
      <c r="GD187" s="144"/>
      <c r="GE187" s="61"/>
      <c r="GF187" s="144"/>
      <c r="GG187" s="61"/>
      <c r="GH187" s="144"/>
      <c r="GI187" s="61"/>
      <c r="GJ187" s="144"/>
      <c r="GK187" s="61"/>
      <c r="GL187" s="144"/>
      <c r="GM187" s="61"/>
      <c r="GN187" s="144"/>
      <c r="GO187" s="61"/>
      <c r="GP187" s="144"/>
      <c r="GQ187" s="61"/>
      <c r="GR187" s="144"/>
      <c r="GS187" s="61"/>
      <c r="GT187" s="144"/>
      <c r="GU187" s="61"/>
      <c r="GV187" s="144"/>
      <c r="GW187" s="61"/>
      <c r="GX187" s="144"/>
      <c r="GY187" s="61"/>
      <c r="GZ187" s="61" t="str">
        <f t="shared" si="1111"/>
        <v/>
      </c>
      <c r="HA187" s="61"/>
      <c r="HB187" s="452"/>
      <c r="HC187"/>
      <c r="HD187"/>
      <c r="HE187"/>
      <c r="HF187"/>
      <c r="HG187"/>
      <c r="HH187"/>
    </row>
    <row r="188" spans="2:216" s="5" customFormat="1" ht="12.75" customHeight="1" x14ac:dyDescent="0.2">
      <c r="B188" s="63" t="s">
        <v>608</v>
      </c>
      <c r="C188" s="66"/>
      <c r="D188" s="67"/>
      <c r="E188" s="66"/>
      <c r="F188" s="66"/>
      <c r="G188" s="64"/>
      <c r="H188" s="66"/>
      <c r="I188" s="64"/>
      <c r="J188" s="66"/>
      <c r="K188" s="64"/>
      <c r="L188" s="67"/>
      <c r="M188" s="66"/>
      <c r="N188" s="67"/>
      <c r="O188" s="64"/>
      <c r="P188" s="67"/>
      <c r="Q188" s="64"/>
      <c r="R188" s="67"/>
      <c r="S188" s="64"/>
      <c r="T188" s="67"/>
      <c r="U188" s="64"/>
      <c r="V188" s="67"/>
      <c r="W188" s="64"/>
      <c r="X188" s="67"/>
      <c r="Y188" s="64"/>
      <c r="Z188" s="67"/>
      <c r="AA188" s="64"/>
      <c r="AB188" s="67"/>
      <c r="AC188" s="64"/>
      <c r="AD188" s="67"/>
      <c r="AE188" s="64"/>
      <c r="AF188" s="67"/>
      <c r="AG188" s="64"/>
      <c r="AH188" s="67"/>
      <c r="AI188" s="64"/>
      <c r="AJ188" s="67"/>
      <c r="AK188" s="64"/>
      <c r="AL188" s="67"/>
      <c r="AM188" s="64"/>
      <c r="AN188" s="67"/>
      <c r="AO188" s="64"/>
      <c r="AP188" s="67"/>
      <c r="AQ188" s="64"/>
      <c r="AR188" s="67"/>
      <c r="AS188" s="64"/>
      <c r="AT188" s="67"/>
      <c r="AU188" s="64"/>
      <c r="AV188" s="67"/>
      <c r="AW188" s="64"/>
      <c r="AX188" s="67"/>
      <c r="AY188" s="64"/>
      <c r="AZ188" s="67"/>
      <c r="BA188" s="64"/>
      <c r="BB188" s="67"/>
      <c r="BC188" s="64"/>
      <c r="BD188" s="67"/>
      <c r="BE188" s="64"/>
      <c r="BF188" s="67"/>
      <c r="BG188" s="64"/>
      <c r="BH188" s="67"/>
      <c r="BI188" s="64"/>
      <c r="BJ188" s="67"/>
      <c r="BK188" s="79"/>
      <c r="BL188" s="67"/>
      <c r="BM188" s="79"/>
      <c r="BN188" s="67"/>
      <c r="BO188" s="79"/>
      <c r="BP188" s="67"/>
      <c r="BQ188" s="79"/>
      <c r="BR188" s="67"/>
      <c r="BS188" s="79"/>
      <c r="BT188" s="67"/>
      <c r="BU188" s="79"/>
      <c r="BV188" s="67"/>
      <c r="BW188" s="64"/>
      <c r="BX188" s="67"/>
      <c r="BY188" s="64"/>
      <c r="BZ188" s="67"/>
      <c r="CA188" s="64"/>
      <c r="CB188" s="67"/>
      <c r="CC188" s="64"/>
      <c r="CD188" s="67"/>
      <c r="CE188" s="64"/>
      <c r="CF188" s="67"/>
      <c r="CG188" s="64"/>
      <c r="CH188" s="67"/>
      <c r="CI188" s="64"/>
      <c r="CJ188" s="67"/>
      <c r="CK188" s="64"/>
      <c r="CL188" s="67"/>
      <c r="CM188" s="64"/>
      <c r="CN188" s="67"/>
      <c r="CO188" s="64"/>
      <c r="CP188" s="67"/>
      <c r="CQ188" s="64"/>
      <c r="CR188" s="67"/>
      <c r="CS188" s="64"/>
      <c r="CT188" s="67"/>
      <c r="CU188" s="64"/>
      <c r="CV188" s="67"/>
      <c r="CW188" s="64"/>
      <c r="CX188" s="67"/>
      <c r="CY188" s="64"/>
      <c r="CZ188" s="67"/>
      <c r="DA188" s="64"/>
      <c r="DB188" s="67"/>
      <c r="DC188" s="64"/>
      <c r="DD188" s="67"/>
      <c r="DE188" s="64"/>
      <c r="DF188" s="67"/>
      <c r="DG188" s="64"/>
      <c r="DH188" s="67"/>
      <c r="DI188" s="64"/>
      <c r="DJ188" s="67"/>
      <c r="DK188" s="64"/>
      <c r="DL188" s="67"/>
      <c r="DM188" s="64"/>
      <c r="DN188" s="67"/>
      <c r="DO188" s="64"/>
      <c r="DP188" s="67"/>
      <c r="DQ188" s="64"/>
      <c r="DR188" s="67"/>
      <c r="DS188" s="64"/>
      <c r="DT188" s="67"/>
      <c r="DU188" s="64"/>
      <c r="DV188" s="67"/>
      <c r="DW188" s="64"/>
      <c r="DX188" s="64"/>
      <c r="DY188" s="64"/>
      <c r="DZ188" s="67"/>
      <c r="EA188" s="64"/>
      <c r="EB188" s="67"/>
      <c r="EC188" s="64"/>
      <c r="ED188" s="67"/>
      <c r="EE188" s="64"/>
      <c r="EF188" s="67"/>
      <c r="EG188" s="64"/>
      <c r="EH188" s="67"/>
      <c r="EI188" s="64"/>
      <c r="EJ188" s="67"/>
      <c r="EK188" s="64"/>
      <c r="EL188" s="67"/>
      <c r="EM188" s="64"/>
      <c r="EN188" s="67"/>
      <c r="EO188" s="64"/>
      <c r="EP188" s="67"/>
      <c r="EQ188" s="64"/>
      <c r="ER188" s="67"/>
      <c r="ES188" s="64"/>
      <c r="ET188" s="67"/>
      <c r="EU188" s="64"/>
      <c r="EV188" s="67"/>
      <c r="EW188" s="64"/>
      <c r="EX188" s="67"/>
      <c r="EY188" s="64"/>
      <c r="EZ188" s="558"/>
      <c r="FA188" s="64"/>
      <c r="FB188" s="66"/>
      <c r="FC188" s="66"/>
      <c r="FD188" s="66"/>
      <c r="FE188" s="67"/>
      <c r="FF188" s="66"/>
      <c r="FG188" s="67"/>
      <c r="FH188" s="66"/>
      <c r="FI188" s="67"/>
      <c r="FJ188" s="66"/>
      <c r="FK188" s="67"/>
      <c r="FL188" s="64"/>
      <c r="FM188" s="67"/>
      <c r="FN188" s="64"/>
      <c r="FO188" s="67"/>
      <c r="FP188" s="64"/>
      <c r="FQ188" s="67"/>
      <c r="FR188" s="64"/>
      <c r="FS188" s="61"/>
      <c r="FT188" s="64"/>
      <c r="FU188" s="61"/>
      <c r="FV188" s="64"/>
      <c r="FW188" s="61"/>
      <c r="FX188" s="64"/>
      <c r="FY188" s="61"/>
      <c r="FZ188" s="64"/>
      <c r="GA188" s="61"/>
      <c r="GB188" s="64"/>
      <c r="GC188" s="61"/>
      <c r="GD188" s="64"/>
      <c r="GE188" s="61"/>
      <c r="GF188" s="64"/>
      <c r="GG188" s="61"/>
      <c r="GH188" s="64"/>
      <c r="GI188" s="61"/>
      <c r="GJ188" s="64"/>
      <c r="GK188" s="61"/>
      <c r="GL188" s="64"/>
      <c r="GM188" s="61"/>
      <c r="GN188" s="64"/>
      <c r="GO188" s="61"/>
      <c r="GP188" s="64"/>
      <c r="GQ188" s="61"/>
      <c r="GR188" s="64"/>
      <c r="GS188" s="61"/>
      <c r="GT188" s="64"/>
      <c r="GU188" s="61"/>
      <c r="GV188" s="64"/>
      <c r="GW188" s="61"/>
      <c r="GX188" s="64"/>
      <c r="GY188" s="61"/>
      <c r="GZ188" s="61" t="str">
        <f t="shared" si="1111"/>
        <v/>
      </c>
      <c r="HA188" s="61"/>
      <c r="HB188" s="452"/>
      <c r="HC188"/>
      <c r="HD188"/>
      <c r="HE188"/>
      <c r="HF188"/>
      <c r="HG188"/>
      <c r="HH188"/>
    </row>
    <row r="189" spans="2:216" s="5" customFormat="1" ht="12.75" customHeight="1" x14ac:dyDescent="0.2">
      <c r="B189" s="62" t="s">
        <v>193</v>
      </c>
      <c r="C189" s="69"/>
      <c r="D189" s="70"/>
      <c r="E189" s="69"/>
      <c r="F189" s="71"/>
      <c r="G189" s="69"/>
      <c r="H189" s="71"/>
      <c r="I189" s="69"/>
      <c r="J189" s="61"/>
      <c r="K189" s="69"/>
      <c r="L189" s="61"/>
      <c r="M189" s="69"/>
      <c r="N189" s="61"/>
      <c r="O189" s="69"/>
      <c r="P189" s="61"/>
      <c r="Q189" s="69"/>
      <c r="R189" s="61"/>
      <c r="S189" s="69"/>
      <c r="T189" s="61"/>
      <c r="U189" s="69"/>
      <c r="V189" s="61"/>
      <c r="W189" s="69"/>
      <c r="X189" s="61"/>
      <c r="Y189" s="69"/>
      <c r="Z189" s="61"/>
      <c r="AA189" s="69"/>
      <c r="AB189" s="61"/>
      <c r="AC189" s="69"/>
      <c r="AD189" s="61"/>
      <c r="AE189" s="69"/>
      <c r="AF189" s="61"/>
      <c r="AG189" s="69"/>
      <c r="AH189" s="61"/>
      <c r="AI189" s="69"/>
      <c r="AJ189" s="61"/>
      <c r="AK189" s="69"/>
      <c r="AL189" s="61"/>
      <c r="AM189" s="69"/>
      <c r="AN189" s="61"/>
      <c r="AO189" s="69"/>
      <c r="AP189" s="61"/>
      <c r="AQ189" s="72">
        <v>11232</v>
      </c>
      <c r="AR189" s="61" t="str">
        <f t="shared" ref="AR189:AR199" si="1305">IF(ISERROR((AQ189/AI189-1)*100),"NA",IF(((AQ189/AI189-1)*100)&gt;100,"NM",IF(((AQ189/AI189-1)*100)&lt;-50,"NM",(AQ189/AI189-1)*100)))</f>
        <v>NA</v>
      </c>
      <c r="AS189" s="69">
        <f>+AQ195</f>
        <v>11325</v>
      </c>
      <c r="AT189" s="61" t="str">
        <f>IF(ISERROR((AS189/AK189-1)*100),"NA",IF(((AS189/AK189-1)*100)&gt;100,"NM",IF(((AS189/AK189-1)*100)&lt;-50,"NM",(AS189/AK189-1)*100)))</f>
        <v>NA</v>
      </c>
      <c r="AU189" s="69">
        <f>+AS195</f>
        <v>11443</v>
      </c>
      <c r="AV189" s="61" t="str">
        <f>IF(ISERROR((AU189/AM189-1)*100),"NA",IF(((AU189/AM189-1)*100)&gt;100,"NM",IF(((AU189/AM189-1)*100)&lt;-50,"NM",(AU189/AM189-1)*100)))</f>
        <v>NA</v>
      </c>
      <c r="AW189" s="69">
        <f>+AU195</f>
        <v>11591</v>
      </c>
      <c r="AX189" s="61" t="str">
        <f>IF(ISERROR((AW189/AO189-1)*100),"NA",IF(((AW189/AO189-1)*100)&gt;100,"NM",IF(((AW189/AO189-1)*100)&lt;-50,"NM",(AW189/AO189-1)*100)))</f>
        <v>NA</v>
      </c>
      <c r="AY189" s="69">
        <f>+AW195</f>
        <v>11809</v>
      </c>
      <c r="AZ189" s="61">
        <f>IF(ISERROR((AY189/AQ189-1)*100),"NA",IF(((AY189/AQ189-1)*100)&gt;100,"NM",IF(((AY189/AQ189-1)*100)&lt;-50,"NM",(AY189/AQ189-1)*100)))</f>
        <v>5.1371082621082698</v>
      </c>
      <c r="BA189" s="69">
        <f>+AY195</f>
        <v>11913</v>
      </c>
      <c r="BB189" s="61">
        <f>IF(ISERROR((BA189/AS189-1)*100),"NA",IF(((BA189/AS189-1)*100)&gt;100,"NM",IF(((BA189/AS189-1)*100)&lt;-50,"NM",(BA189/AS189-1)*100)))</f>
        <v>5.1920529801324555</v>
      </c>
      <c r="BC189" s="69">
        <f>+BA195</f>
        <v>21285</v>
      </c>
      <c r="BD189" s="61">
        <f>IF(ISERROR((BC189/AU189-1)*100),"NA",IF(((BC189/AU189-1)*100)&gt;100,"NM",IF(((BC189/AU189-1)*100)&lt;-50,"NM",(BC189/AU189-1)*100)))</f>
        <v>86.008913746395166</v>
      </c>
      <c r="BE189" s="69">
        <f>+BC195</f>
        <v>21516</v>
      </c>
      <c r="BF189" s="61">
        <f>IF(ISERROR((BE189/AW189-1)*100),"NA",IF(((BE189/AW189-1)*100)&gt;100,"NM",IF(((BE189/AW189-1)*100)&lt;-50,"NM",(BE189/AW189-1)*100)))</f>
        <v>85.626779397808647</v>
      </c>
      <c r="BG189" s="69">
        <v>25237</v>
      </c>
      <c r="BH189" s="61" t="str">
        <f>IF(ISERROR((BG189/AY189-1)*100),"NA",IF(((BG189/AY189-1)*100)&gt;100,"NM",IF(((BG189/AY189-1)*100)&lt;-50,"NM",(BG189/AY189-1)*100)))</f>
        <v>NM</v>
      </c>
      <c r="BI189" s="69">
        <f>+BG195</f>
        <v>25575</v>
      </c>
      <c r="BJ189" s="61" t="str">
        <f>IF(ISERROR((BI189/BA189-1)*100),"NA",IF(((BI189/BA189-1)*100)&gt;100,"NM",IF(((BI189/BA189-1)*100)&lt;-50,"NM",(BI189/BA189-1)*100)))</f>
        <v>NM</v>
      </c>
      <c r="BK189" s="69">
        <f>+BI195</f>
        <v>25864</v>
      </c>
      <c r="BL189" s="61">
        <f>IF(ISERROR((BK189/BC189-1)*100),"NA",IF(((BK189/BC189-1)*100)&gt;100,"NM",IF(((BK189/BC189-1)*100)&lt;-50,"NM",(BK189/BC189-1)*100)))</f>
        <v>21.512802443034996</v>
      </c>
      <c r="BM189" s="69">
        <f>+BK195</f>
        <v>26162</v>
      </c>
      <c r="BN189" s="61">
        <f>IF(ISERROR((BM189/BE189-1)*100),"NA",IF(((BM189/BE189-1)*100)&gt;100,"NM",IF(((BM189/BE189-1)*100)&lt;-50,"NM",(BM189/BE189-1)*100)))</f>
        <v>21.593232942926189</v>
      </c>
      <c r="BO189" s="69">
        <f>+BM195</f>
        <v>26518</v>
      </c>
      <c r="BP189" s="61">
        <f>IF(ISERROR((BO189/BG189-1)*100),"NA",IF(((BO189/BG189-1)*100)&gt;100,"NM",IF(((BO189/BG189-1)*100)&lt;-50,"NM",(BO189/BG189-1)*100)))</f>
        <v>5.0758806514245025</v>
      </c>
      <c r="BQ189" s="69">
        <f>+BO195</f>
        <v>26726</v>
      </c>
      <c r="BR189" s="61">
        <f>IF(ISERROR((BQ189/BI189-1)*100),"NA",IF(((BQ189/BI189-1)*100)&gt;100,"NM",IF(((BQ189/BI189-1)*100)&lt;-50,"NM",(BQ189/BI189-1)*100)))</f>
        <v>4.5004887585532671</v>
      </c>
      <c r="BS189" s="69">
        <f>+BQ195</f>
        <v>26980</v>
      </c>
      <c r="BT189" s="61">
        <f>IF(ISERROR((BS189/BK189-1)*100),"NA",IF(((BS189/BK189-1)*100)&gt;100,"NM",IF(((BS189/BK189-1)*100)&lt;-50,"NM",(BS189/BK189-1)*100)))</f>
        <v>4.3148778224559203</v>
      </c>
      <c r="BU189" s="69">
        <f>+BS195</f>
        <v>27227</v>
      </c>
      <c r="BV189" s="61">
        <f>IF(ISERROR((BU189/BM189-1)*100),"NA",IF(((BU189/BM189-1)*100)&gt;100,"NM",IF(((BU189/BM189-1)*100)&lt;-50,"NM",(BU189/BM189-1)*100)))</f>
        <v>4.0707896949774502</v>
      </c>
      <c r="BW189" s="69">
        <f>+BU195</f>
        <v>27502</v>
      </c>
      <c r="BX189" s="61">
        <f>IF(ISERROR((BW189/BO189-1)*100),"NA",IF(((BW189/BO189-1)*100)&gt;100,"NM",IF(((BW189/BO189-1)*100)&lt;-50,"NM",(BW189/BO189-1)*100)))</f>
        <v>3.7106870804736403</v>
      </c>
      <c r="BY189" s="69">
        <f>+BW195</f>
        <v>27617</v>
      </c>
      <c r="BZ189" s="61">
        <f>IF(ISERROR((BY189/BQ189-1)*100),"NA",IF(((BY189/BQ189-1)*100)&gt;100,"NM",IF(((BY189/BQ189-1)*100)&lt;-50,"NM",(BY189/BQ189-1)*100)))</f>
        <v>3.3338322233031459</v>
      </c>
      <c r="CA189" s="69">
        <f>+BY195</f>
        <v>27709</v>
      </c>
      <c r="CB189" s="61">
        <f>IF(ISERROR((CA189/BS189-1)*100),"NA",IF(((CA189/BS189-1)*100)&gt;100,"NM",IF(((CA189/BS189-1)*100)&lt;-50,"NM",(CA189/BS189-1)*100)))</f>
        <v>2.7020014825796856</v>
      </c>
      <c r="CC189" s="69">
        <f>+CA195</f>
        <v>27825</v>
      </c>
      <c r="CD189" s="61">
        <f>IF(ISERROR((CC189/BU189-1)*100),"NA",IF(((CC189/BU189-1)*100)&gt;100,"NM",IF(((CC189/BU189-1)*100)&lt;-50,"NM",(CC189/BU189-1)*100)))</f>
        <v>2.1963492121790829</v>
      </c>
      <c r="CE189" s="69">
        <f>+CC195</f>
        <v>28192</v>
      </c>
      <c r="CF189" s="61">
        <f>IF(ISERROR((CE189/BW189-1)*100),"NA",IF(((CE189/BW189-1)*100)&gt;100,"NM",IF(((CE189/BW189-1)*100)&lt;-50,"NM",(CE189/BW189-1)*100)))</f>
        <v>2.5089084430223174</v>
      </c>
      <c r="CG189" s="69">
        <f>+CE195</f>
        <v>28355</v>
      </c>
      <c r="CH189" s="61">
        <f>IF(ISERROR((CG189/BY189-1)*100),"NA",IF(((CG189/BY189-1)*100)&gt;100,"NM",IF(((CG189/BY189-1)*100)&lt;-50,"NM",(CG189/BY189-1)*100)))</f>
        <v>2.6722670818698724</v>
      </c>
      <c r="CI189" s="69">
        <f>+CG195</f>
        <v>28584</v>
      </c>
      <c r="CJ189" s="61">
        <f>IF(ISERROR((CI189/CA189-1)*100),"NA",IF(((CI189/CA189-1)*100)&gt;100,"NM",IF(((CI189/CA189-1)*100)&lt;-50,"NM",(CI189/CA189-1)*100)))</f>
        <v>3.157818759247899</v>
      </c>
      <c r="CK189" s="69">
        <f>+CI195</f>
        <v>28794</v>
      </c>
      <c r="CL189" s="61">
        <f>IF(ISERROR((CK189/CC189-1)*100),"NA",IF(((CK189/CC189-1)*100)&gt;100,"NM",IF(((CK189/CC189-1)*100)&lt;-50,"NM",(CK189/CC189-1)*100)))</f>
        <v>3.4824797843665767</v>
      </c>
      <c r="CM189" s="69">
        <f>+CK195</f>
        <v>29365</v>
      </c>
      <c r="CN189" s="61">
        <f>IF(ISERROR((CM189/CE189-1)*100),"NA",IF(((CM189/CE189-1)*100)&gt;100,"NM",IF(((CM189/CE189-1)*100)&lt;-50,"NM",(CM189/CE189-1)*100)))</f>
        <v>4.1607548240635728</v>
      </c>
      <c r="CO189" s="69">
        <f>+CM195</f>
        <v>29739</v>
      </c>
      <c r="CP189" s="61">
        <f>IF(ISERROR((CO189/CG189-1)*100),"NA",IF(((CO189/CG189-1)*100)&gt;100,"NM",IF(((CO189/CG189-1)*100)&lt;-50,"NM",(CO189/CG189-1)*100)))</f>
        <v>4.8809733733027771</v>
      </c>
      <c r="CQ189" s="69">
        <f>+CO195</f>
        <v>30148</v>
      </c>
      <c r="CR189" s="61">
        <f>IF(ISERROR((CQ189/CI189-1)*100),"NA",IF(((CQ189/CI189-1)*100)&gt;100,"NM",IF(((CQ189/CI189-1)*100)&lt;-50,"NM",(CQ189/CI189-1)*100)))</f>
        <v>5.4715924993003151</v>
      </c>
      <c r="CS189" s="69">
        <f>+CQ195</f>
        <v>30638</v>
      </c>
      <c r="CT189" s="61">
        <f>IF(ISERROR((CS189/CK189-1)*100),"NA",IF(((CS189/CK189-1)*100)&gt;100,"NM",IF(((CS189/CK189-1)*100)&lt;-50,"NM",(CS189/CK189-1)*100)))</f>
        <v>6.4041119677710645</v>
      </c>
      <c r="CU189" s="69">
        <f>+CS195</f>
        <v>31219</v>
      </c>
      <c r="CV189" s="61">
        <f>IF(ISERROR((CU189/CM189-1)*100),"NA",IF(((CU189/CM189-1)*100)&gt;100,"NM",IF(((CU189/CM189-1)*100)&lt;-50,"NM",(CU189/CM189-1)*100)))</f>
        <v>6.3136386855099591</v>
      </c>
      <c r="CW189" s="69">
        <f>+CU195</f>
        <v>31494</v>
      </c>
      <c r="CX189" s="61">
        <f>IF(ISERROR((CW189/CO189-1)*100),"NA",IF(((CW189/CO189-1)*100)&gt;100,"NM",IF(((CW189/CO189-1)*100)&lt;-50,"NM",(CW189/CO189-1)*100)))</f>
        <v>5.9013416725511858</v>
      </c>
      <c r="CY189" s="69">
        <f>+CW195</f>
        <v>31750</v>
      </c>
      <c r="CZ189" s="61">
        <f>IF(ISERROR((CY189/CQ189-1)*100),"NA",IF(((CY189/CQ189-1)*100)&gt;100,"NM",IF(((CY189/CQ189-1)*100)&lt;-50,"NM",(CY189/CQ189-1)*100)))</f>
        <v>5.3137853257264167</v>
      </c>
      <c r="DA189" s="69">
        <f>+CY195</f>
        <v>31986</v>
      </c>
      <c r="DB189" s="61">
        <f>IF(ISERROR((DA189/CS189-1)*100),"NA",IF(((DA189/CS189-1)*100)&gt;100,"NM",IF(((DA189/CS189-1)*100)&lt;-50,"NM",(DA189/CS189-1)*100)))</f>
        <v>4.3997649977152609</v>
      </c>
      <c r="DC189" s="69">
        <f>+DA195</f>
        <v>32432</v>
      </c>
      <c r="DD189" s="61">
        <f>IF(ISERROR((DC189/CU189-1)*100),"NA",IF(((DC189/CU189-1)*100)&gt;100,"NM",IF(((DC189/CU189-1)*100)&lt;-50,"NM",(DC189/CU189-1)*100)))</f>
        <v>3.8854543707357747</v>
      </c>
      <c r="DE189" s="69">
        <f>+DC195</f>
        <v>32817</v>
      </c>
      <c r="DF189" s="61">
        <f>IF(ISERROR((DE189/CW189-1)*100),"NA",IF(((DE189/CW189-1)*100)&gt;100,"NM",IF(((DE189/CW189-1)*100)&lt;-50,"NM",(DE189/CW189-1)*100)))</f>
        <v>4.2008001524099781</v>
      </c>
      <c r="DG189" s="69">
        <f>+DE195</f>
        <v>33108</v>
      </c>
      <c r="DH189" s="61">
        <f>IF(ISERROR((DG189/CY189-1)*100),"NA",IF(((DG189/CY189-1)*100)&gt;100,"NM",IF(((DG189/CY189-1)*100)&lt;-50,"NM",(DG189/CY189-1)*100)))</f>
        <v>4.2771653543307142</v>
      </c>
      <c r="DI189" s="69">
        <f>+DG195</f>
        <v>33366</v>
      </c>
      <c r="DJ189" s="61">
        <f>IF(ISERROR((DI189/DA189-1)*100),"NA",IF(((DI189/DA189-1)*100)&gt;100,"NM",IF(((DI189/DA189-1)*100)&lt;-50,"NM",(DI189/DA189-1)*100)))</f>
        <v>4.3143875445507351</v>
      </c>
      <c r="DK189" s="69">
        <f>+DI195</f>
        <v>33721</v>
      </c>
      <c r="DL189" s="61">
        <f>IF(ISERROR((DK189/DC189-1)*100),"NA",IF(((DK189/DC189-1)*100)&gt;100,"NM",IF(((DK189/DC189-1)*100)&lt;-50,"NM",(DK189/DC189-1)*100)))</f>
        <v>3.9744696595954698</v>
      </c>
      <c r="DM189" s="69">
        <f>+DK195</f>
        <v>33886</v>
      </c>
      <c r="DN189" s="130">
        <f t="shared" ref="DN189:DZ197" si="1306">IF(ISERROR((DM189/DE189-1)*100),"NA",IF(((DM189/DE189-1)*100)&gt;100,"NM",IF(((DM189/DE189-1)*100)&lt;-50,"NM",(DM189/DE189-1)*100)))</f>
        <v>3.2574580248042162</v>
      </c>
      <c r="DO189" s="69">
        <f>+DM195</f>
        <v>34094</v>
      </c>
      <c r="DP189" s="130">
        <f t="shared" si="1306"/>
        <v>2.978132173492809</v>
      </c>
      <c r="DQ189" s="69">
        <f>+DO195</f>
        <v>34315</v>
      </c>
      <c r="DR189" s="130">
        <f t="shared" si="1306"/>
        <v>2.8442126715818583</v>
      </c>
      <c r="DS189" s="69">
        <f>+DQ195</f>
        <v>34612</v>
      </c>
      <c r="DT189" s="130">
        <f t="shared" si="1306"/>
        <v>2.6422703953026261</v>
      </c>
      <c r="DU189" s="69">
        <f>+DS195</f>
        <v>34753</v>
      </c>
      <c r="DV189" s="130">
        <f t="shared" si="1306"/>
        <v>2.5585787640913571</v>
      </c>
      <c r="DW189" s="69">
        <f>+DU195</f>
        <v>34930</v>
      </c>
      <c r="DX189" s="69">
        <f t="shared" ref="DX189:EI189" si="1307">+DV195</f>
        <v>2.452044347979121</v>
      </c>
      <c r="DY189" s="69">
        <f t="shared" si="1307"/>
        <v>35213</v>
      </c>
      <c r="DZ189" s="130">
        <f t="shared" si="1306"/>
        <v>2.6169313711205122</v>
      </c>
      <c r="EA189" s="69">
        <f t="shared" si="1307"/>
        <v>35545</v>
      </c>
      <c r="EB189" s="130">
        <f t="shared" ref="EB189:EB197" si="1308">IF(ISERROR((EA189/DS189-1)*100),"NA",IF(((EA189/DS189-1)*100)&gt;100,"NM",IF(((EA189/DS189-1)*100)&lt;-50,"NM",(EA189/DS189-1)*100)))</f>
        <v>2.6955969028082727</v>
      </c>
      <c r="EC189" s="69">
        <f t="shared" si="1307"/>
        <v>35640</v>
      </c>
      <c r="ED189" s="130">
        <f t="shared" ref="ED189:ED197" si="1309">IF(ISERROR((EC189/DU189-1)*100),"NA",IF(((EC189/DU189-1)*100)&gt;100,"NM",IF(((EC189/DU189-1)*100)&lt;-50,"NM",(EC189/DU189-1)*100)))</f>
        <v>2.5522976433689282</v>
      </c>
      <c r="EE189" s="69">
        <f t="shared" si="1307"/>
        <v>35775</v>
      </c>
      <c r="EF189" s="130">
        <f t="shared" ref="EF189:EF197" si="1310">IF(ISERROR((EE189/DW189-1)*100),"NA",IF(((EE189/DW189-1)*100)&gt;100,"NM",IF(((EE189/DW189-1)*100)&lt;-50,"NM",(EE189/DW189-1)*100)))</f>
        <v>2.4191239622101346</v>
      </c>
      <c r="EG189" s="69">
        <f t="shared" si="1307"/>
        <v>35975</v>
      </c>
      <c r="EH189" s="130">
        <f t="shared" ref="EH189:EH197" si="1311">IF(ISERROR((EG189/DY189-1)*100),"NA",IF(((EG189/DY189-1)*100)&gt;100,"NM",IF(((EG189/DY189-1)*100)&lt;-50,"NM",(EG189/DY189-1)*100)))</f>
        <v>2.1639735325021947</v>
      </c>
      <c r="EI189" s="69">
        <f t="shared" si="1307"/>
        <v>36272</v>
      </c>
      <c r="EJ189" s="130">
        <f t="shared" ref="EJ189:EJ197" si="1312">IF(ISERROR((EI189/EA189-1)*100),"NA",IF(((EI189/EA189-1)*100)&gt;100,"NM",IF(((EI189/EA189-1)*100)&lt;-50,"NM",(EI189/EA189-1)*100)))</f>
        <v>2.0452946968631203</v>
      </c>
      <c r="EK189" s="69">
        <f t="shared" ref="EK189:EM189" si="1313">+EI195</f>
        <v>36295</v>
      </c>
      <c r="EL189" s="130">
        <f t="shared" ref="EL189:EL197" si="1314">IF(ISERROR((EK189/EC189-1)*100),"NA",IF(((EK189/EC189-1)*100)&gt;100,"NM",IF(((EK189/EC189-1)*100)&lt;-50,"NM",(EK189/EC189-1)*100)))</f>
        <v>1.8378226711559975</v>
      </c>
      <c r="EM189" s="69">
        <f t="shared" si="1313"/>
        <v>36454</v>
      </c>
      <c r="EN189" s="130">
        <f t="shared" ref="EN189:EN197" si="1315">IF(ISERROR((EM189/EE189-1)*100),"NA",IF(((EM189/EE189-1)*100)&gt;100,"NM",IF(((EM189/EE189-1)*100)&lt;-50,"NM",(EM189/EE189-1)*100)))</f>
        <v>1.8979734451432639</v>
      </c>
      <c r="EO189" s="69">
        <f t="shared" ref="EO189" si="1316">+EM195</f>
        <v>36576</v>
      </c>
      <c r="EP189" s="130">
        <f t="shared" ref="EP189:EP197" si="1317">IF(ISERROR((EO189/EG189-1)*100),"NA",IF(((EO189/EG189-1)*100)&gt;100,"NM",IF(((EO189/EG189-1)*100)&lt;-50,"NM",(EO189/EG189-1)*100)))</f>
        <v>1.6706045865184205</v>
      </c>
      <c r="EQ189" s="69">
        <f t="shared" ref="EQ189" si="1318">+EO195</f>
        <v>36791</v>
      </c>
      <c r="ER189" s="130">
        <f t="shared" ref="ER189:ER197" si="1319">IF(ISERROR((EQ189/EI189-1)*100),"NA",IF(((EQ189/EI189-1)*100)&gt;100,"NM",IF(((EQ189/EI189-1)*100)&lt;-50,"NM",(EQ189/EI189-1)*100)))</f>
        <v>1.4308557565063884</v>
      </c>
      <c r="ES189" s="69">
        <f t="shared" ref="ES189" si="1320">+EQ195</f>
        <v>36990.266669947508</v>
      </c>
      <c r="ET189" s="130">
        <f t="shared" ref="ET189:ET197" si="1321">IF(ISERROR((ES189/EK189-1)*100),"NA",IF(((ES189/EK189-1)*100)&gt;100,"NM",IF(((ES189/EK189-1)*100)&lt;-50,"NM",(ES189/EK189-1)*100)))</f>
        <v>1.9155990355352204</v>
      </c>
      <c r="EU189" s="69">
        <f t="shared" ref="EU189" si="1322">+ES195</f>
        <v>37240.170005476408</v>
      </c>
      <c r="EV189" s="130">
        <f t="shared" ref="EV189:EV197" si="1323">IF(ISERROR((EU189/EM189-1)*100),"NA",IF(((EU189/EM189-1)*100)&gt;100,"NM",IF(((EU189/EM189-1)*100)&lt;-50,"NM",(EU189/EM189-1)*100)))</f>
        <v>2.1566083433269601</v>
      </c>
      <c r="EW189" s="69">
        <f t="shared" ref="EW189" si="1324">+EU195</f>
        <v>37439.378757950959</v>
      </c>
      <c r="EX189" s="130">
        <f t="shared" ref="EX189:EX197" si="1325">IF(ISERROR((EW189/EO189-1)*100),"NA",IF(((EW189/EO189-1)*100)&gt;100,"NM",IF(((EW189/EO189-1)*100)&lt;-50,"NM",(EW189/EO189-1)*100)))</f>
        <v>2.3605062279936639</v>
      </c>
      <c r="EY189" s="64"/>
      <c r="EZ189" s="558"/>
      <c r="FA189" s="64"/>
      <c r="FB189" s="72"/>
      <c r="FC189" s="71"/>
      <c r="FD189" s="69"/>
      <c r="FE189" s="70"/>
      <c r="FF189" s="69"/>
      <c r="FG189" s="70"/>
      <c r="FH189" s="69"/>
      <c r="FI189" s="70"/>
      <c r="FJ189" s="69"/>
      <c r="FK189" s="70"/>
      <c r="FL189" s="69"/>
      <c r="FM189" s="61"/>
      <c r="FN189" s="69"/>
      <c r="FO189" s="61"/>
      <c r="FP189" s="73">
        <f>AQ189</f>
        <v>11232</v>
      </c>
      <c r="FQ189" s="61" t="str">
        <f t="shared" ref="FQ189:FQ199" si="1326">IF(ISERROR((FP189/FN189-1)*100),"NA",IF(((FP189/FN189-1)*100)&gt;100,"NM",IF(((FP189/FN189-1)*100)&lt;-50,"NM",(FP189/FN189-1)*100)))</f>
        <v>NA</v>
      </c>
      <c r="FR189" s="73">
        <f>+FP195</f>
        <v>11810</v>
      </c>
      <c r="FS189" s="61">
        <f t="shared" ref="FS189:FS195" si="1327">IF(ISERROR((FR189/FP189-1)*100),"NA",IF(((FR189/FP189-1)*100)&gt;100,"NM",IF(((FR189/FP189-1)*100)&lt;-50,"NM",(FR189/FP189-1)*100)))</f>
        <v>5.1460113960113851</v>
      </c>
      <c r="FT189" s="73">
        <f>+FT195-FT194-FT193-FT192-FT191-FT190</f>
        <v>25237</v>
      </c>
      <c r="FU189" s="61" t="str">
        <f t="shared" ref="FU189:FU195" si="1328">IF(ISERROR((FT189/FR189-1)*100),"NA",IF(((FT189/FR189-1)*100)&gt;100,"NM",IF(((FT189/FR189-1)*100)&lt;-50,"NM",(FT189/FR189-1)*100)))</f>
        <v>NM</v>
      </c>
      <c r="FV189" s="73">
        <f>+FT195</f>
        <v>26518</v>
      </c>
      <c r="FW189" s="61">
        <f t="shared" ref="FW189:FW195" si="1329">IF(ISERROR((FV189/FT189-1)*100),"NA",IF(((FV189/FT189-1)*100)&gt;100,"NM",IF(((FV189/FT189-1)*100)&lt;-50,"NM",(FV189/FT189-1)*100)))</f>
        <v>5.0758806514245025</v>
      </c>
      <c r="FX189" s="73">
        <f>+FV195</f>
        <v>27502</v>
      </c>
      <c r="FY189" s="61">
        <f t="shared" ref="FY189:FY196" si="1330">IF(ISERROR((FX189/FV189-1)*100),"NA",IF(((FX189/FV189-1)*100)&gt;100,"NM",IF(((FX189/FV189-1)*100)&lt;-50,"NM",(FX189/FV189-1)*100)))</f>
        <v>3.7106870804736403</v>
      </c>
      <c r="FZ189" s="73">
        <f>+FX195</f>
        <v>28192</v>
      </c>
      <c r="GA189" s="61">
        <f t="shared" ref="GA189:GA196" si="1331">IF(ISERROR((FZ189/FX189-1)*100),"NA",IF(((FZ189/FX189-1)*100)&gt;100,"NM",IF(((FZ189/FX189-1)*100)&lt;-50,"NM",(FZ189/FX189-1)*100)))</f>
        <v>2.5089084430223174</v>
      </c>
      <c r="GB189" s="73">
        <f>+FZ195</f>
        <v>29365</v>
      </c>
      <c r="GC189" s="61">
        <f t="shared" ref="GC189:GC196" si="1332">IF(ISERROR((GB189/FZ189-1)*100),"NA",IF(((GB189/FZ189-1)*100)&gt;100,"NM",IF(((GB189/FZ189-1)*100)&lt;-50,"NM",(GB189/FZ189-1)*100)))</f>
        <v>4.1607548240635728</v>
      </c>
      <c r="GD189" s="73">
        <f>+GB195</f>
        <v>31219</v>
      </c>
      <c r="GE189" s="61">
        <f t="shared" ref="GE189:GE196" si="1333">IF(ISERROR((GD189/GB189-1)*100),"NA",IF(((GD189/GB189-1)*100)&gt;100,"NM",IF(((GD189/GB189-1)*100)&lt;-50,"NM",(GD189/GB189-1)*100)))</f>
        <v>6.3136386855099591</v>
      </c>
      <c r="GF189" s="73">
        <f>+GD195</f>
        <v>32432</v>
      </c>
      <c r="GG189" s="61">
        <f t="shared" ref="GG189:GW197" si="1334">IF(ISERROR((GF189/GD189-1)*100),"NA",IF(((GF189/GD189-1)*100)&gt;100,"NM",IF(((GF189/GD189-1)*100)&lt;-50,"NM",(GF189/GD189-1)*100)))</f>
        <v>3.8854543707357747</v>
      </c>
      <c r="GH189" s="73">
        <f>+GF195</f>
        <v>33721</v>
      </c>
      <c r="GI189" s="61">
        <f t="shared" si="1334"/>
        <v>3.9744696595954698</v>
      </c>
      <c r="GJ189" s="73">
        <f>+GH195</f>
        <v>34612</v>
      </c>
      <c r="GK189" s="61">
        <f t="shared" si="1334"/>
        <v>2.6422703953026261</v>
      </c>
      <c r="GL189" s="73">
        <f>+GJ195</f>
        <v>35545</v>
      </c>
      <c r="GM189" s="61">
        <f t="shared" si="1334"/>
        <v>2.6955969028082727</v>
      </c>
      <c r="GN189" s="73">
        <f>+GL195</f>
        <v>36272</v>
      </c>
      <c r="GO189" s="61">
        <f t="shared" si="1334"/>
        <v>2.0452946968631203</v>
      </c>
      <c r="GP189" s="73">
        <f>+GN195</f>
        <v>36791</v>
      </c>
      <c r="GQ189" s="61">
        <f t="shared" si="1334"/>
        <v>1.4308557565063884</v>
      </c>
      <c r="GR189" s="69">
        <f>+GP195</f>
        <v>37693.574028742994</v>
      </c>
      <c r="GS189" s="61">
        <f t="shared" si="1334"/>
        <v>2.4532467960723947</v>
      </c>
      <c r="GT189" s="69">
        <f>+GR195</f>
        <v>38631.663172326815</v>
      </c>
      <c r="GU189" s="61">
        <f t="shared" si="1334"/>
        <v>2.4887243190801822</v>
      </c>
      <c r="GV189" s="69">
        <f>+GT195</f>
        <v>39606.944548908243</v>
      </c>
      <c r="GW189" s="61">
        <f t="shared" si="1334"/>
        <v>2.5245648167694146</v>
      </c>
      <c r="GX189" s="69">
        <f>+GV195</f>
        <v>40621.178120507851</v>
      </c>
      <c r="GY189" s="61">
        <f t="shared" ref="GY189:GY197" si="1335">IF(ISERROR((GX189/GV189-1)*100),"NA",IF(((GX189/GV189-1)*100)&gt;100,"NM",IF(((GX189/GV189-1)*100)&lt;-50,"NM",(GX189/GV189-1)*100)))</f>
        <v>2.5607468163750813</v>
      </c>
      <c r="GZ189" s="61">
        <f t="shared" si="1111"/>
        <v>2.2907122072718389</v>
      </c>
      <c r="HA189" s="61"/>
      <c r="HB189" s="452"/>
      <c r="HC189"/>
      <c r="HD189"/>
      <c r="HE189"/>
      <c r="HF189"/>
      <c r="HG189"/>
      <c r="HH189"/>
    </row>
    <row r="190" spans="2:216" s="5" customFormat="1" ht="12.75" customHeight="1" x14ac:dyDescent="0.2">
      <c r="B190" s="2" t="s">
        <v>156</v>
      </c>
      <c r="C190" s="72"/>
      <c r="D190" s="70"/>
      <c r="E190" s="72"/>
      <c r="F190" s="71"/>
      <c r="G190" s="74"/>
      <c r="H190" s="71"/>
      <c r="I190" s="74"/>
      <c r="J190" s="61"/>
      <c r="K190" s="74"/>
      <c r="L190" s="61"/>
      <c r="M190" s="72"/>
      <c r="N190" s="61"/>
      <c r="O190" s="74"/>
      <c r="P190" s="61"/>
      <c r="Q190" s="74"/>
      <c r="R190" s="61"/>
      <c r="S190" s="74"/>
      <c r="T190" s="61"/>
      <c r="U190" s="74"/>
      <c r="V190" s="61"/>
      <c r="W190" s="74"/>
      <c r="X190" s="61"/>
      <c r="Y190" s="74"/>
      <c r="Z190" s="61"/>
      <c r="AA190" s="74"/>
      <c r="AB190" s="61"/>
      <c r="AC190" s="74"/>
      <c r="AD190" s="61"/>
      <c r="AE190" s="74"/>
      <c r="AF190" s="61"/>
      <c r="AG190" s="74"/>
      <c r="AH190" s="61"/>
      <c r="AI190" s="74"/>
      <c r="AJ190" s="61"/>
      <c r="AK190" s="74"/>
      <c r="AL190" s="61"/>
      <c r="AM190" s="74"/>
      <c r="AN190" s="61"/>
      <c r="AO190" s="74"/>
      <c r="AP190" s="61"/>
      <c r="AQ190" s="74">
        <v>382</v>
      </c>
      <c r="AR190" s="61" t="str">
        <f t="shared" si="1305"/>
        <v>NA</v>
      </c>
      <c r="AS190" s="74">
        <v>390</v>
      </c>
      <c r="AT190" s="61"/>
      <c r="AU190" s="74">
        <v>415</v>
      </c>
      <c r="AV190" s="61" t="str">
        <f>IF(ISERROR((AU190/AM190-1)*100),"NA",IF(((AU190/AM190-1)*100)&gt;100,"NM",IF(((AU190/AM190-1)*100)&lt;-50,"NM",(AU190/AM190-1)*100)))</f>
        <v>NA</v>
      </c>
      <c r="AW190" s="74">
        <v>499</v>
      </c>
      <c r="AX190" s="61" t="str">
        <f>IF(ISERROR((AW190/AO190-1)*100),"NA",IF(((AW190/AO190-1)*100)&gt;100,"NM",IF(((AW190/AO190-1)*100)&lt;-50,"NM",(AW190/AO190-1)*100)))</f>
        <v>NA</v>
      </c>
      <c r="AY190" s="145">
        <v>401</v>
      </c>
      <c r="AZ190" s="61">
        <f>IF(ISERROR((AY190/AQ190-1)*100),"NA",IF(((AY190/AQ190-1)*100)&gt;100,"NM",IF(((AY190/AQ190-1)*100)&lt;-50,"NM",(AY190/AQ190-1)*100)))</f>
        <v>4.9738219895288038</v>
      </c>
      <c r="BA190" s="145">
        <v>799</v>
      </c>
      <c r="BB190" s="61" t="str">
        <f>IF(ISERROR((BA190/AS190-1)*100),"NA",IF(((BA190/AS190-1)*100)&gt;100,"NM",IF(((BA190/AS190-1)*100)&lt;-50,"NM",(BA190/AS190-1)*100)))</f>
        <v>NM</v>
      </c>
      <c r="BC190" s="145">
        <v>717</v>
      </c>
      <c r="BD190" s="61">
        <f>IF(ISERROR((BC190/AU190-1)*100),"NA",IF(((BC190/AU190-1)*100)&gt;100,"NM",IF(((BC190/AU190-1)*100)&lt;-50,"NM",(BC190/AU190-1)*100)))</f>
        <v>72.771084337349407</v>
      </c>
      <c r="BE190" s="145">
        <v>948</v>
      </c>
      <c r="BF190" s="61">
        <f>IF(ISERROR((BE190/AW190-1)*100),"NA",IF(((BE190/AW190-1)*100)&gt;100,"NM",IF(((BE190/AW190-1)*100)&lt;-50,"NM",(BE190/AW190-1)*100)))</f>
        <v>89.979959919839672</v>
      </c>
      <c r="BG190" s="145">
        <v>882</v>
      </c>
      <c r="BH190" s="61" t="str">
        <f>IF(ISERROR((BG190/AY190-1)*100),"NA",IF(((BG190/AY190-1)*100)&gt;100,"NM",IF(((BG190/AY190-1)*100)&lt;-50,"NM",(BG190/AY190-1)*100)))</f>
        <v>NM</v>
      </c>
      <c r="BI190" s="145">
        <v>864</v>
      </c>
      <c r="BJ190" s="61">
        <f>IF(ISERROR((BI190/BA190-1)*100),"NA",IF(((BI190/BA190-1)*100)&gt;100,"NM",IF(((BI190/BA190-1)*100)&lt;-50,"NM",(BI190/BA190-1)*100)))</f>
        <v>8.1351689612015008</v>
      </c>
      <c r="BK190" s="145">
        <v>852</v>
      </c>
      <c r="BL190" s="61">
        <f>IF(ISERROR((BK190/BC190-1)*100),"NA",IF(((BK190/BC190-1)*100)&gt;100,"NM",IF(((BK190/BC190-1)*100)&lt;-50,"NM",(BK190/BC190-1)*100)))</f>
        <v>18.828451882845187</v>
      </c>
      <c r="BM190" s="145">
        <v>977</v>
      </c>
      <c r="BN190" s="61">
        <f>IF(ISERROR((BM190/BE190-1)*100),"NA",IF(((BM190/BE190-1)*100)&gt;100,"NM",IF(((BM190/BE190-1)*100)&lt;-50,"NM",(BM190/BE190-1)*100)))</f>
        <v>3.0590717299578074</v>
      </c>
      <c r="BO190" s="145">
        <v>893</v>
      </c>
      <c r="BP190" s="61">
        <f>IF(ISERROR((BO190/BG190-1)*100),"NA",IF(((BO190/BG190-1)*100)&gt;100,"NM",IF(((BO190/BG190-1)*100)&lt;-50,"NM",(BO190/BG190-1)*100)))</f>
        <v>1.2471655328798237</v>
      </c>
      <c r="BQ190" s="145">
        <v>846</v>
      </c>
      <c r="BR190" s="61">
        <f>IF(ISERROR((BQ190/BI190-1)*100),"NA",IF(((BQ190/BI190-1)*100)&gt;100,"NM",IF(((BQ190/BI190-1)*100)&lt;-50,"NM",(BQ190/BI190-1)*100)))</f>
        <v>-2.083333333333337</v>
      </c>
      <c r="BS190" s="145">
        <v>875</v>
      </c>
      <c r="BT190" s="61">
        <f>IF(ISERROR((BS190/BK190-1)*100),"NA",IF(((BS190/BK190-1)*100)&gt;100,"NM",IF(((BS190/BK190-1)*100)&lt;-50,"NM",(BS190/BK190-1)*100)))</f>
        <v>2.699530516431925</v>
      </c>
      <c r="BU190" s="145">
        <v>951</v>
      </c>
      <c r="BV190" s="61">
        <f>IF(ISERROR((BU190/BM190-1)*100),"NA",IF(((BU190/BM190-1)*100)&gt;100,"NM",IF(((BU190/BM190-1)*100)&lt;-50,"NM",(BU190/BM190-1)*100)))</f>
        <v>-2.6612077789150423</v>
      </c>
      <c r="BW190" s="145">
        <v>815</v>
      </c>
      <c r="BX190" s="61">
        <f>IF(ISERROR((BW190/BO190-1)*100),"NA",IF(((BW190/BO190-1)*100)&gt;100,"NM",IF(((BW190/BO190-1)*100)&lt;-50,"NM",(BW190/BO190-1)*100)))</f>
        <v>-8.7346024636058228</v>
      </c>
      <c r="BY190" s="145">
        <v>840</v>
      </c>
      <c r="BZ190" s="61">
        <f>IF(ISERROR((BY190/BQ190-1)*100),"NA",IF(((BY190/BQ190-1)*100)&gt;100,"NM",IF(((BY190/BQ190-1)*100)&lt;-50,"NM",(BY190/BQ190-1)*100)))</f>
        <v>-0.70921985815602939</v>
      </c>
      <c r="CA190" s="145">
        <v>899</v>
      </c>
      <c r="CB190" s="61">
        <f>IF(ISERROR((CA190/BS190-1)*100),"NA",IF(((CA190/BS190-1)*100)&gt;100,"NM",IF(((CA190/BS190-1)*100)&lt;-50,"NM",(CA190/BS190-1)*100)))</f>
        <v>2.7428571428571358</v>
      </c>
      <c r="CC190" s="145">
        <v>1067</v>
      </c>
      <c r="CD190" s="61">
        <f>IF(ISERROR((CC190/BU190-1)*100),"NA",IF(((CC190/BU190-1)*100)&gt;100,"NM",IF(((CC190/BU190-1)*100)&lt;-50,"NM",(CC190/BU190-1)*100)))</f>
        <v>12.197686645636164</v>
      </c>
      <c r="CE190" s="145">
        <v>910</v>
      </c>
      <c r="CF190" s="61">
        <f>IF(ISERROR((CE190/BW190-1)*100),"NA",IF(((CE190/BW190-1)*100)&gt;100,"NM",IF(((CE190/BW190-1)*100)&lt;-50,"NM",(CE190/BW190-1)*100)))</f>
        <v>11.656441717791409</v>
      </c>
      <c r="CG190" s="145">
        <v>911</v>
      </c>
      <c r="CH190" s="61">
        <f>IF(ISERROR((CG190/BY190-1)*100),"NA",IF(((CG190/BY190-1)*100)&gt;100,"NM",IF(((CG190/BY190-1)*100)&lt;-50,"NM",(CG190/BY190-1)*100)))</f>
        <v>8.4523809523809454</v>
      </c>
      <c r="CI190" s="145">
        <v>983</v>
      </c>
      <c r="CJ190" s="61">
        <f>IF(ISERROR((CI190/CA190-1)*100),"NA",IF(((CI190/CA190-1)*100)&gt;100,"NM",IF(((CI190/CA190-1)*100)&lt;-50,"NM",(CI190/CA190-1)*100)))</f>
        <v>9.3437152391546263</v>
      </c>
      <c r="CK190" s="145">
        <v>1324</v>
      </c>
      <c r="CL190" s="61">
        <f>IF(ISERROR((CK190/CC190-1)*100),"NA",IF(((CK190/CC190-1)*100)&gt;100,"NM",IF(((CK190/CC190-1)*100)&lt;-50,"NM",(CK190/CC190-1)*100)))</f>
        <v>24.086223055295221</v>
      </c>
      <c r="CM190" s="145">
        <v>1085</v>
      </c>
      <c r="CN190" s="61">
        <f>IF(ISERROR((CM190/CE190-1)*100),"NA",IF(((CM190/CE190-1)*100)&gt;100,"NM",IF(((CM190/CE190-1)*100)&lt;-50,"NM",(CM190/CE190-1)*100)))</f>
        <v>19.23076923076923</v>
      </c>
      <c r="CO190" s="145">
        <v>1126</v>
      </c>
      <c r="CP190" s="61">
        <f>IF(ISERROR((CO190/CG190-1)*100),"NA",IF(((CO190/CG190-1)*100)&gt;100,"NM",IF(((CO190/CG190-1)*100)&lt;-50,"NM",(CO190/CG190-1)*100)))</f>
        <v>23.600439077936343</v>
      </c>
      <c r="CQ190" s="145">
        <v>1165</v>
      </c>
      <c r="CR190" s="61">
        <f>IF(ISERROR((CQ190/CI190-1)*100),"NA",IF(((CQ190/CI190-1)*100)&gt;100,"NM",IF(((CQ190/CI190-1)*100)&lt;-50,"NM",(CQ190/CI190-1)*100)))</f>
        <v>18.51475076297049</v>
      </c>
      <c r="CS190" s="145">
        <v>1297</v>
      </c>
      <c r="CT190" s="61">
        <f>IF(ISERROR((CS190/CK190-1)*100),"NA",IF(((CS190/CK190-1)*100)&gt;100,"NM",IF(((CS190/CK190-1)*100)&lt;-50,"NM",(CS190/CK190-1)*100)))</f>
        <v>-2.0392749244713015</v>
      </c>
      <c r="CU190" s="145">
        <v>991</v>
      </c>
      <c r="CV190" s="61">
        <f>IF(ISERROR((CU190/CM190-1)*100),"NA",IF(((CU190/CM190-1)*100)&gt;100,"NM",IF(((CU190/CM190-1)*100)&lt;-50,"NM",(CU190/CM190-1)*100)))</f>
        <v>-8.6635944700460872</v>
      </c>
      <c r="CW190" s="145">
        <v>990</v>
      </c>
      <c r="CX190" s="61">
        <f>IF(ISERROR((CW190/CO190-1)*100),"NA",IF(((CW190/CO190-1)*100)&gt;100,"NM",IF(((CW190/CO190-1)*100)&lt;-50,"NM",(CW190/CO190-1)*100)))</f>
        <v>-12.078152753108352</v>
      </c>
      <c r="CY190" s="145">
        <v>971</v>
      </c>
      <c r="CZ190" s="61">
        <f>IF(ISERROR((CY190/CQ190-1)*100),"NA",IF(((CY190/CQ190-1)*100)&gt;100,"NM",IF(((CY190/CQ190-1)*100)&lt;-50,"NM",(CY190/CQ190-1)*100)))</f>
        <v>-16.652360515021456</v>
      </c>
      <c r="DA190" s="145">
        <v>1132</v>
      </c>
      <c r="DB190" s="61">
        <f>IF(ISERROR((DA190/CS190-1)*100),"NA",IF(((DA190/CS190-1)*100)&gt;100,"NM",IF(((DA190/CS190-1)*100)&lt;-50,"NM",(DA190/CS190-1)*100)))</f>
        <v>-12.721665381649959</v>
      </c>
      <c r="DC190" s="145">
        <v>998</v>
      </c>
      <c r="DD190" s="61">
        <f>IF(ISERROR((DC190/CU190-1)*100),"NA",IF(((DC190/CU190-1)*100)&gt;100,"NM",IF(((DC190/CU190-1)*100)&lt;-50,"NM",(DC190/CU190-1)*100)))</f>
        <v>0.70635721493441661</v>
      </c>
      <c r="DE190" s="145">
        <v>966</v>
      </c>
      <c r="DF190" s="61">
        <f>IF(ISERROR((DE190/CW190-1)*100),"NA",IF(((DE190/CW190-1)*100)&gt;100,"NM",IF(((DE190/CW190-1)*100)&lt;-50,"NM",(DE190/CW190-1)*100)))</f>
        <v>-2.4242424242424288</v>
      </c>
      <c r="DG190" s="145">
        <v>938</v>
      </c>
      <c r="DH190" s="61">
        <f>IF(ISERROR((DG190/CY190-1)*100),"NA",IF(((DG190/CY190-1)*100)&gt;100,"NM",IF(((DG190/CY190-1)*100)&lt;-50,"NM",(DG190/CY190-1)*100)))</f>
        <v>-3.3985581874356297</v>
      </c>
      <c r="DI190" s="145">
        <v>1017</v>
      </c>
      <c r="DJ190" s="61">
        <f>IF(ISERROR((DI190/DA190-1)*100),"NA",IF(((DI190/DA190-1)*100)&gt;100,"NM",IF(((DI190/DA190-1)*100)&lt;-50,"NM",(DI190/DA190-1)*100)))</f>
        <v>-10.159010600706708</v>
      </c>
      <c r="DK190" s="145">
        <v>869</v>
      </c>
      <c r="DL190" s="61">
        <f>IF(ISERROR((DK190/DC190-1)*100),"NA",IF(((DK190/DC190-1)*100)&gt;100,"NM",IF(((DK190/DC190-1)*100)&lt;-50,"NM",(DK190/DC190-1)*100)))</f>
        <v>-12.92585170340681</v>
      </c>
      <c r="DM190" s="145">
        <v>890</v>
      </c>
      <c r="DN190" s="130">
        <f t="shared" si="1306"/>
        <v>-7.8674948240165632</v>
      </c>
      <c r="DO190" s="145">
        <v>934</v>
      </c>
      <c r="DP190" s="130">
        <f t="shared" si="1306"/>
        <v>-0.42643923240938131</v>
      </c>
      <c r="DQ190" s="145">
        <v>1029</v>
      </c>
      <c r="DR190" s="130">
        <f t="shared" si="1306"/>
        <v>1.1799410029498469</v>
      </c>
      <c r="DS190" s="145">
        <v>921</v>
      </c>
      <c r="DT190" s="130">
        <f t="shared" si="1306"/>
        <v>5.9838895281933313</v>
      </c>
      <c r="DU190" s="145">
        <v>964</v>
      </c>
      <c r="DV190" s="130">
        <f t="shared" si="1306"/>
        <v>8.3146067415730265</v>
      </c>
      <c r="DW190" s="145">
        <v>1012</v>
      </c>
      <c r="DX190" s="145">
        <v>1012</v>
      </c>
      <c r="DY190" s="145">
        <v>1082</v>
      </c>
      <c r="DZ190" s="130">
        <f t="shared" si="1306"/>
        <v>5.1506316812439223</v>
      </c>
      <c r="EA190" s="145">
        <v>945</v>
      </c>
      <c r="EB190" s="130">
        <f t="shared" si="1308"/>
        <v>2.6058631921824116</v>
      </c>
      <c r="EC190" s="145">
        <v>992</v>
      </c>
      <c r="ED190" s="130">
        <f t="shared" si="1309"/>
        <v>2.9045643153526868</v>
      </c>
      <c r="EE190" s="145">
        <v>1050</v>
      </c>
      <c r="EF190" s="130">
        <f t="shared" si="1310"/>
        <v>3.7549407114624511</v>
      </c>
      <c r="EG190" s="145">
        <v>1159</v>
      </c>
      <c r="EH190" s="130">
        <f t="shared" si="1311"/>
        <v>7.1164510166358497</v>
      </c>
      <c r="EI190" s="145">
        <v>1042</v>
      </c>
      <c r="EJ190" s="130">
        <f t="shared" si="1312"/>
        <v>10.264550264550266</v>
      </c>
      <c r="EK190" s="145">
        <v>1115</v>
      </c>
      <c r="EL190" s="130">
        <f t="shared" si="1314"/>
        <v>12.3991935483871</v>
      </c>
      <c r="EM190" s="145">
        <v>1070</v>
      </c>
      <c r="EN190" s="130">
        <f t="shared" si="1315"/>
        <v>1.904761904761898</v>
      </c>
      <c r="EO190" s="145">
        <v>1152</v>
      </c>
      <c r="EP190" s="130">
        <f t="shared" si="1317"/>
        <v>-0.60396893874029578</v>
      </c>
      <c r="EQ190" s="74">
        <f t="shared" ref="EQ190" si="1336">EI190*1.05</f>
        <v>1094.1000000000001</v>
      </c>
      <c r="ER190" s="130">
        <f t="shared" si="1319"/>
        <v>5.0000000000000044</v>
      </c>
      <c r="ES190" s="74">
        <f t="shared" ref="ES190" si="1337">EK190*1.05</f>
        <v>1170.75</v>
      </c>
      <c r="ET190" s="130">
        <f t="shared" si="1321"/>
        <v>5.0000000000000044</v>
      </c>
      <c r="EU190" s="74">
        <f t="shared" ref="EU190" si="1338">EM190*1.05</f>
        <v>1123.5</v>
      </c>
      <c r="EV190" s="130">
        <f t="shared" si="1323"/>
        <v>5.0000000000000044</v>
      </c>
      <c r="EW190" s="74">
        <f t="shared" ref="EW190" si="1339">EO190*1.05</f>
        <v>1209.6000000000001</v>
      </c>
      <c r="EX190" s="130">
        <f t="shared" si="1325"/>
        <v>5.0000000000000044</v>
      </c>
      <c r="EY190" s="64"/>
      <c r="EZ190" s="558"/>
      <c r="FA190" s="64"/>
      <c r="FB190" s="72"/>
      <c r="FC190" s="71"/>
      <c r="FD190" s="72"/>
      <c r="FE190" s="70"/>
      <c r="FF190" s="69"/>
      <c r="FG190" s="70"/>
      <c r="FH190" s="69"/>
      <c r="FI190" s="70"/>
      <c r="FJ190" s="69"/>
      <c r="FK190" s="70"/>
      <c r="FL190" s="69"/>
      <c r="FM190" s="61"/>
      <c r="FN190" s="69"/>
      <c r="FO190" s="61"/>
      <c r="FP190" s="75">
        <f>AQ190+AS190+AU190+AW190</f>
        <v>1686</v>
      </c>
      <c r="FQ190" s="61" t="str">
        <f t="shared" si="1326"/>
        <v>NA</v>
      </c>
      <c r="FR190" s="75">
        <f>AY190+BA190+BC190+BE190</f>
        <v>2865</v>
      </c>
      <c r="FS190" s="61">
        <f t="shared" si="1327"/>
        <v>69.928825622775804</v>
      </c>
      <c r="FT190" s="75">
        <f>BG190+BI190+BK190+BM190</f>
        <v>3575</v>
      </c>
      <c r="FU190" s="61">
        <f t="shared" si="1328"/>
        <v>24.781849912739972</v>
      </c>
      <c r="FV190" s="75">
        <f>BO190+BQ190+BS190+BU190</f>
        <v>3565</v>
      </c>
      <c r="FW190" s="61">
        <f t="shared" si="1329"/>
        <v>-0.27972027972027469</v>
      </c>
      <c r="FX190" s="75">
        <f>BW190+BY190+CA190+CC190</f>
        <v>3621</v>
      </c>
      <c r="FY190" s="61">
        <f t="shared" si="1330"/>
        <v>1.5708274894810748</v>
      </c>
      <c r="FZ190" s="75">
        <f>CE190+CG190+CI190+CK190</f>
        <v>4128</v>
      </c>
      <c r="GA190" s="61">
        <f t="shared" si="1331"/>
        <v>14.001657000828494</v>
      </c>
      <c r="GB190" s="75">
        <f>CM190+CO190+CQ190+CS190</f>
        <v>4673</v>
      </c>
      <c r="GC190" s="61">
        <f t="shared" si="1332"/>
        <v>13.202519379844958</v>
      </c>
      <c r="GD190" s="75">
        <f>CU190+CW190+CY190+DA190</f>
        <v>4084</v>
      </c>
      <c r="GE190" s="61">
        <f t="shared" si="1333"/>
        <v>-12.604322704900495</v>
      </c>
      <c r="GF190" s="75">
        <f>DC190+DE190+DG190+DI190</f>
        <v>3919</v>
      </c>
      <c r="GG190" s="61">
        <f t="shared" si="1334"/>
        <v>-4.0401567091087216</v>
      </c>
      <c r="GH190" s="75">
        <f>DK190+DM190+DO190+DQ190</f>
        <v>3722</v>
      </c>
      <c r="GI190" s="61">
        <f t="shared" si="1334"/>
        <v>-5.0267925491196745</v>
      </c>
      <c r="GJ190" s="75">
        <f>DS190+DU190+DW190+DY190</f>
        <v>3979</v>
      </c>
      <c r="GK190" s="61">
        <f t="shared" si="1334"/>
        <v>6.9048898441697926</v>
      </c>
      <c r="GL190" s="75">
        <f>EA190+EC190+EE190+EG190</f>
        <v>4146</v>
      </c>
      <c r="GM190" s="61">
        <f t="shared" si="1334"/>
        <v>4.1970344307614926</v>
      </c>
      <c r="GN190" s="75">
        <f>EI190+EK190+EM190+EO190</f>
        <v>4379</v>
      </c>
      <c r="GO190" s="61">
        <f t="shared" si="1334"/>
        <v>5.6198745779064252</v>
      </c>
      <c r="GP190" s="75">
        <f>EQ190+ES190+EU190+EW190</f>
        <v>4597.9500000000007</v>
      </c>
      <c r="GQ190" s="61">
        <f t="shared" si="1334"/>
        <v>5.0000000000000266</v>
      </c>
      <c r="GR190" s="74">
        <f>GP190*1.05</f>
        <v>4827.8475000000008</v>
      </c>
      <c r="GS190" s="61">
        <f t="shared" si="1334"/>
        <v>5.0000000000000044</v>
      </c>
      <c r="GT190" s="74">
        <f>GR190*1.05</f>
        <v>5069.2398750000011</v>
      </c>
      <c r="GU190" s="61">
        <f t="shared" si="1334"/>
        <v>5.0000000000000044</v>
      </c>
      <c r="GV190" s="74">
        <f>GT190*1.05</f>
        <v>5322.7018687500013</v>
      </c>
      <c r="GW190" s="61">
        <f t="shared" si="1334"/>
        <v>5.0000000000000044</v>
      </c>
      <c r="GX190" s="74">
        <f>GV190*1.05</f>
        <v>5588.8369621875017</v>
      </c>
      <c r="GY190" s="61">
        <f t="shared" si="1335"/>
        <v>5.0000000000000044</v>
      </c>
      <c r="GZ190" s="61">
        <f t="shared" si="1111"/>
        <v>5.0000000000000044</v>
      </c>
      <c r="HA190" s="61"/>
      <c r="HB190" s="452"/>
      <c r="HC190"/>
      <c r="HD190"/>
      <c r="HE190"/>
      <c r="HF190"/>
      <c r="HG190"/>
      <c r="HH190"/>
    </row>
    <row r="191" spans="2:216" s="5" customFormat="1" ht="12.75" customHeight="1" x14ac:dyDescent="0.2">
      <c r="B191" s="2" t="s">
        <v>554</v>
      </c>
      <c r="C191" s="72"/>
      <c r="D191" s="70"/>
      <c r="E191" s="72"/>
      <c r="F191" s="71"/>
      <c r="G191" s="74"/>
      <c r="H191" s="71"/>
      <c r="I191" s="74"/>
      <c r="J191" s="61"/>
      <c r="K191" s="74"/>
      <c r="L191" s="61"/>
      <c r="M191" s="72"/>
      <c r="N191" s="61"/>
      <c r="O191" s="74"/>
      <c r="P191" s="61"/>
      <c r="Q191" s="74"/>
      <c r="R191" s="61"/>
      <c r="S191" s="74"/>
      <c r="T191" s="61"/>
      <c r="U191" s="74"/>
      <c r="V191" s="61"/>
      <c r="W191" s="74"/>
      <c r="X191" s="61"/>
      <c r="Y191" s="74"/>
      <c r="Z191" s="61"/>
      <c r="AA191" s="74"/>
      <c r="AB191" s="61"/>
      <c r="AC191" s="74"/>
      <c r="AD191" s="61"/>
      <c r="AE191" s="74"/>
      <c r="AF191" s="61"/>
      <c r="AG191" s="74"/>
      <c r="AH191" s="61"/>
      <c r="AI191" s="74"/>
      <c r="AJ191" s="61"/>
      <c r="AK191" s="74"/>
      <c r="AL191" s="61"/>
      <c r="AM191" s="74"/>
      <c r="AN191" s="61"/>
      <c r="AO191" s="74"/>
      <c r="AP191" s="61"/>
      <c r="AQ191" s="74">
        <v>-188</v>
      </c>
      <c r="AR191" s="61" t="str">
        <f t="shared" si="1305"/>
        <v>NA</v>
      </c>
      <c r="AS191" s="74">
        <v>-166</v>
      </c>
      <c r="AT191" s="61"/>
      <c r="AU191" s="74">
        <v>-161</v>
      </c>
      <c r="AV191" s="61" t="str">
        <f>IF(ISERROR((AU191/AM191-1)*100),"NA",IF(((AU191/AM191-1)*100)&gt;100,"NM",IF(((AU191/AM191-1)*100)&lt;-50,"NM",(AU191/AM191-1)*100)))</f>
        <v>NA</v>
      </c>
      <c r="AW191" s="74">
        <v>-160</v>
      </c>
      <c r="AX191" s="61" t="str">
        <f>IF(ISERROR((AW191/AO191-1)*100),"NA",IF(((AW191/AO191-1)*100)&gt;100,"NM",IF(((AW191/AO191-1)*100)&lt;-50,"NM",(AW191/AO191-1)*100)))</f>
        <v>NA</v>
      </c>
      <c r="AY191" s="145">
        <v>-182</v>
      </c>
      <c r="AZ191" s="61">
        <f>IF(ISERROR((AY191/AQ191-1)*100),"NA",IF(((AY191/AQ191-1)*100)&gt;100,"NM",IF(((AY191/AQ191-1)*100)&lt;-50,"NM",(AY191/AQ191-1)*100)))</f>
        <v>-3.1914893617021267</v>
      </c>
      <c r="BA191" s="145">
        <v>-317</v>
      </c>
      <c r="BB191" s="61">
        <f>IF(ISERROR((BA191/AS191-1)*100),"NA",IF(((BA191/AS191-1)*100)&gt;100,"NM",IF(((BA191/AS191-1)*100)&lt;-50,"NM",(BA191/AS191-1)*100)))</f>
        <v>90.963855421686745</v>
      </c>
      <c r="BC191" s="145">
        <v>-275</v>
      </c>
      <c r="BD191" s="61">
        <f>IF(ISERROR((BC191/AU191-1)*100),"NA",IF(((BC191/AU191-1)*100)&gt;100,"NM",IF(((BC191/AU191-1)*100)&lt;-50,"NM",(BC191/AU191-1)*100)))</f>
        <v>70.807453416149073</v>
      </c>
      <c r="BE191" s="145">
        <v>-301</v>
      </c>
      <c r="BF191" s="61">
        <f>IF(ISERROR((BE191/AW191-1)*100),"NA",IF(((BE191/AW191-1)*100)&gt;100,"NM",IF(((BE191/AW191-1)*100)&lt;-50,"NM",(BE191/AW191-1)*100)))</f>
        <v>88.125000000000014</v>
      </c>
      <c r="BG191" s="145">
        <v>-264</v>
      </c>
      <c r="BH191" s="61">
        <f>IF(ISERROR((BG191/AY191-1)*100),"NA",IF(((BG191/AY191-1)*100)&gt;100,"NM",IF(((BG191/AY191-1)*100)&lt;-50,"NM",(BG191/AY191-1)*100)))</f>
        <v>45.054945054945051</v>
      </c>
      <c r="BI191" s="145">
        <v>-311</v>
      </c>
      <c r="BJ191" s="61">
        <f>IF(ISERROR((BI191/BA191-1)*100),"NA",IF(((BI191/BA191-1)*100)&gt;100,"NM",IF(((BI191/BA191-1)*100)&lt;-50,"NM",(BI191/BA191-1)*100)))</f>
        <v>-1.8927444794952675</v>
      </c>
      <c r="BK191" s="145">
        <v>-299</v>
      </c>
      <c r="BL191" s="61">
        <f>IF(ISERROR((BK191/BC191-1)*100),"NA",IF(((BK191/BC191-1)*100)&gt;100,"NM",IF(((BK191/BC191-1)*100)&lt;-50,"NM",(BK191/BC191-1)*100)))</f>
        <v>8.727272727272716</v>
      </c>
      <c r="BM191" s="145">
        <v>-320</v>
      </c>
      <c r="BN191" s="61">
        <f>IF(ISERROR((BM191/BE191-1)*100),"NA",IF(((BM191/BE191-1)*100)&gt;100,"NM",IF(((BM191/BE191-1)*100)&lt;-50,"NM",(BM191/BE191-1)*100)))</f>
        <v>6.3122923588039948</v>
      </c>
      <c r="BO191" s="145">
        <v>-398</v>
      </c>
      <c r="BP191" s="61">
        <f>IF(ISERROR((BO191/BG191-1)*100),"NA",IF(((BO191/BG191-1)*100)&gt;100,"NM",IF(((BO191/BG191-1)*100)&lt;-50,"NM",(BO191/BG191-1)*100)))</f>
        <v>50.757575757575758</v>
      </c>
      <c r="BQ191" s="145">
        <v>-277</v>
      </c>
      <c r="BR191" s="61">
        <f>IF(ISERROR((BQ191/BI191-1)*100),"NA",IF(((BQ191/BI191-1)*100)&gt;100,"NM",IF(((BQ191/BI191-1)*100)&lt;-50,"NM",(BQ191/BI191-1)*100)))</f>
        <v>-10.932475884244376</v>
      </c>
      <c r="BS191" s="145">
        <v>-306</v>
      </c>
      <c r="BT191" s="61">
        <f>IF(ISERROR((BS191/BK191-1)*100),"NA",IF(((BS191/BK191-1)*100)&gt;100,"NM",IF(((BS191/BK191-1)*100)&lt;-50,"NM",(BS191/BK191-1)*100)))</f>
        <v>2.3411371237458178</v>
      </c>
      <c r="BU191" s="145">
        <v>-325</v>
      </c>
      <c r="BV191" s="61">
        <f>IF(ISERROR((BU191/BM191-1)*100),"NA",IF(((BU191/BM191-1)*100)&gt;100,"NM",IF(((BU191/BM191-1)*100)&lt;-50,"NM",(BU191/BM191-1)*100)))</f>
        <v>1.5625</v>
      </c>
      <c r="BW191" s="145">
        <v>-358</v>
      </c>
      <c r="BX191" s="61">
        <f>IF(ISERROR((BW191/BO191-1)*100),"NA",IF(((BW191/BO191-1)*100)&gt;100,"NM",IF(((BW191/BO191-1)*100)&lt;-50,"NM",(BW191/BO191-1)*100)))</f>
        <v>-10.050251256281406</v>
      </c>
      <c r="BY191" s="145">
        <v>-391</v>
      </c>
      <c r="BZ191" s="61">
        <f>IF(ISERROR((BY191/BQ191-1)*100),"NA",IF(((BY191/BQ191-1)*100)&gt;100,"NM",IF(((BY191/BQ191-1)*100)&lt;-50,"NM",(BY191/BQ191-1)*100)))</f>
        <v>41.155234657039721</v>
      </c>
      <c r="CA191" s="145">
        <v>-417</v>
      </c>
      <c r="CB191" s="61">
        <f>IF(ISERROR((CA191/BS191-1)*100),"NA",IF(((CA191/BS191-1)*100)&gt;100,"NM",IF(((CA191/BS191-1)*100)&lt;-50,"NM",(CA191/BS191-1)*100)))</f>
        <v>36.274509803921575</v>
      </c>
      <c r="CC191" s="145">
        <v>-296</v>
      </c>
      <c r="CD191" s="61">
        <f>IF(ISERROR((CC191/BU191-1)*100),"NA",IF(((CC191/BU191-1)*100)&gt;100,"NM",IF(((CC191/BU191-1)*100)&lt;-50,"NM",(CC191/BU191-1)*100)))</f>
        <v>-8.9230769230769234</v>
      </c>
      <c r="CE191" s="145">
        <v>-367</v>
      </c>
      <c r="CF191" s="61">
        <f>IF(ISERROR((CE191/BW191-1)*100),"NA",IF(((CE191/BW191-1)*100)&gt;100,"NM",IF(((CE191/BW191-1)*100)&lt;-50,"NM",(CE191/BW191-1)*100)))</f>
        <v>2.5139664804469275</v>
      </c>
      <c r="CG191" s="145">
        <v>-314</v>
      </c>
      <c r="CH191" s="61">
        <f>IF(ISERROR((CG191/BY191-1)*100),"NA",IF(((CG191/BY191-1)*100)&gt;100,"NM",IF(((CG191/BY191-1)*100)&lt;-50,"NM",(CG191/BY191-1)*100)))</f>
        <v>-19.693094629156004</v>
      </c>
      <c r="CI191" s="145">
        <v>-384</v>
      </c>
      <c r="CJ191" s="61">
        <f>IF(ISERROR((CI191/CA191-1)*100),"NA",IF(((CI191/CA191-1)*100)&gt;100,"NM",IF(((CI191/CA191-1)*100)&lt;-50,"NM",(CI191/CA191-1)*100)))</f>
        <v>-7.9136690647481966</v>
      </c>
      <c r="CK191" s="145">
        <v>-318</v>
      </c>
      <c r="CL191" s="61">
        <f>IF(ISERROR((CK191/CC191-1)*100),"NA",IF(((CK191/CC191-1)*100)&gt;100,"NM",IF(((CK191/CC191-1)*100)&lt;-50,"NM",(CK191/CC191-1)*100)))</f>
        <v>7.4324324324324342</v>
      </c>
      <c r="CM191" s="145">
        <v>-295</v>
      </c>
      <c r="CN191" s="61">
        <f>IF(ISERROR((CM191/CE191-1)*100),"NA",IF(((CM191/CE191-1)*100)&gt;100,"NM",IF(((CM191/CE191-1)*100)&lt;-50,"NM",(CM191/CE191-1)*100)))</f>
        <v>-19.618528610354225</v>
      </c>
      <c r="CO191" s="145">
        <v>-296</v>
      </c>
      <c r="CP191" s="61">
        <f>IF(ISERROR((CO191/CG191-1)*100),"NA",IF(((CO191/CG191-1)*100)&gt;100,"NM",IF(((CO191/CG191-1)*100)&lt;-50,"NM",(CO191/CG191-1)*100)))</f>
        <v>-5.7324840764331197</v>
      </c>
      <c r="CQ191" s="145">
        <v>-232</v>
      </c>
      <c r="CR191" s="61">
        <f>IF(ISERROR((CQ191/CI191-1)*100),"NA",IF(((CQ191/CI191-1)*100)&gt;100,"NM",IF(((CQ191/CI191-1)*100)&lt;-50,"NM",(CQ191/CI191-1)*100)))</f>
        <v>-39.583333333333336</v>
      </c>
      <c r="CS191" s="145">
        <v>-268</v>
      </c>
      <c r="CT191" s="61">
        <f>IF(ISERROR((CS191/CK191-1)*100),"NA",IF(((CS191/CK191-1)*100)&gt;100,"NM",IF(((CS191/CK191-1)*100)&lt;-50,"NM",(CS191/CK191-1)*100)))</f>
        <v>-15.723270440251568</v>
      </c>
      <c r="CU191" s="145">
        <v>-317</v>
      </c>
      <c r="CV191" s="61">
        <f>IF(ISERROR((CU191/CM191-1)*100),"NA",IF(((CU191/CM191-1)*100)&gt;100,"NM",IF(((CU191/CM191-1)*100)&lt;-50,"NM",(CU191/CM191-1)*100)))</f>
        <v>7.4576271186440612</v>
      </c>
      <c r="CW191" s="145">
        <v>-331</v>
      </c>
      <c r="CX191" s="61">
        <f>IF(ISERROR((CW191/CO191-1)*100),"NA",IF(((CW191/CO191-1)*100)&gt;100,"NM",IF(((CW191/CO191-1)*100)&lt;-50,"NM",(CW191/CO191-1)*100)))</f>
        <v>11.824324324324319</v>
      </c>
      <c r="CY191" s="145">
        <v>-337</v>
      </c>
      <c r="CZ191" s="61">
        <f>IF(ISERROR((CY191/CQ191-1)*100),"NA",IF(((CY191/CQ191-1)*100)&gt;100,"NM",IF(((CY191/CQ191-1)*100)&lt;-50,"NM",(CY191/CQ191-1)*100)))</f>
        <v>45.258620689655181</v>
      </c>
      <c r="DA191" s="145">
        <v>-267</v>
      </c>
      <c r="DB191" s="61">
        <f>IF(ISERROR((DA191/CS191-1)*100),"NA",IF(((DA191/CS191-1)*100)&gt;100,"NM",IF(((DA191/CS191-1)*100)&lt;-50,"NM",(DA191/CS191-1)*100)))</f>
        <v>-0.37313432835820448</v>
      </c>
      <c r="DC191" s="145">
        <v>-187</v>
      </c>
      <c r="DD191" s="61">
        <f>IF(ISERROR((DC191/CU191-1)*100),"NA",IF(((DC191/CU191-1)*100)&gt;100,"NM",IF(((DC191/CU191-1)*100)&lt;-50,"NM",(DC191/CU191-1)*100)))</f>
        <v>-41.009463722397477</v>
      </c>
      <c r="DE191" s="145">
        <v>-247</v>
      </c>
      <c r="DF191" s="61">
        <f>IF(ISERROR((DE191/CW191-1)*100),"NA",IF(((DE191/CW191-1)*100)&gt;100,"NM",IF(((DE191/CW191-1)*100)&lt;-50,"NM",(DE191/CW191-1)*100)))</f>
        <v>-25.377643504531722</v>
      </c>
      <c r="DG191" s="145">
        <v>-255</v>
      </c>
      <c r="DH191" s="61">
        <f>IF(ISERROR((DG191/CY191-1)*100),"NA",IF(((DG191/CY191-1)*100)&gt;100,"NM",IF(((DG191/CY191-1)*100)&lt;-50,"NM",(DG191/CY191-1)*100)))</f>
        <v>-24.332344213649847</v>
      </c>
      <c r="DI191" s="145">
        <v>-208</v>
      </c>
      <c r="DJ191" s="61">
        <f>IF(ISERROR((DI191/DA191-1)*100),"NA",IF(((DI191/DA191-1)*100)&gt;100,"NM",IF(((DI191/DA191-1)*100)&lt;-50,"NM",(DI191/DA191-1)*100)))</f>
        <v>-22.097378277153556</v>
      </c>
      <c r="DK191" s="145">
        <v>-292</v>
      </c>
      <c r="DL191" s="61">
        <f>IF(ISERROR((DK191/DC191-1)*100),"NA",IF(((DK191/DC191-1)*100)&gt;100,"NM",IF(((DK191/DC191-1)*100)&lt;-50,"NM",(DK191/DC191-1)*100)))</f>
        <v>56.149732620320862</v>
      </c>
      <c r="DM191" s="145">
        <v>-253</v>
      </c>
      <c r="DN191" s="130">
        <f t="shared" si="1306"/>
        <v>2.4291497975708509</v>
      </c>
      <c r="DO191" s="145">
        <v>-259</v>
      </c>
      <c r="DP191" s="130">
        <f t="shared" si="1306"/>
        <v>1.5686274509803866</v>
      </c>
      <c r="DQ191" s="145">
        <v>-256</v>
      </c>
      <c r="DR191" s="130">
        <f t="shared" si="1306"/>
        <v>23.076923076923084</v>
      </c>
      <c r="DS191" s="145">
        <v>-299</v>
      </c>
      <c r="DT191" s="130">
        <f t="shared" si="1306"/>
        <v>2.3972602739726012</v>
      </c>
      <c r="DU191" s="145">
        <v>-299</v>
      </c>
      <c r="DV191" s="130">
        <f t="shared" si="1306"/>
        <v>18.181818181818187</v>
      </c>
      <c r="DW191" s="145">
        <v>-214</v>
      </c>
      <c r="DX191" s="145">
        <v>-214</v>
      </c>
      <c r="DY191" s="145">
        <v>-208</v>
      </c>
      <c r="DZ191" s="130">
        <f t="shared" si="1306"/>
        <v>-18.75</v>
      </c>
      <c r="EA191" s="145">
        <v>-317</v>
      </c>
      <c r="EB191" s="130">
        <f t="shared" si="1308"/>
        <v>6.020066889632103</v>
      </c>
      <c r="EC191" s="145">
        <v>-294</v>
      </c>
      <c r="ED191" s="130">
        <f t="shared" si="1309"/>
        <v>-1.6722408026755842</v>
      </c>
      <c r="EE191" s="145">
        <v>-270</v>
      </c>
      <c r="EF191" s="130">
        <f t="shared" si="1310"/>
        <v>26.168224299065422</v>
      </c>
      <c r="EG191" s="145">
        <v>-241</v>
      </c>
      <c r="EH191" s="130">
        <f t="shared" si="1311"/>
        <v>15.865384615384626</v>
      </c>
      <c r="EI191" s="145">
        <v>-403</v>
      </c>
      <c r="EJ191" s="130">
        <f t="shared" si="1312"/>
        <v>27.129337539432186</v>
      </c>
      <c r="EK191" s="145">
        <v>-316</v>
      </c>
      <c r="EL191" s="130">
        <f t="shared" si="1314"/>
        <v>7.4829931972789199</v>
      </c>
      <c r="EM191" s="145">
        <v>-310</v>
      </c>
      <c r="EN191" s="130">
        <f t="shared" si="1315"/>
        <v>14.814814814814813</v>
      </c>
      <c r="EO191" s="145">
        <v>-281</v>
      </c>
      <c r="EP191" s="130">
        <f t="shared" si="1317"/>
        <v>16.597510373443992</v>
      </c>
      <c r="EQ191" s="75">
        <f t="shared" ref="EQ191:EW191" si="1340">-EQ189*EQ205/400</f>
        <v>-282.65176618547679</v>
      </c>
      <c r="ER191" s="130">
        <f t="shared" si="1319"/>
        <v>-29.863085313777471</v>
      </c>
      <c r="ES191" s="75">
        <f t="shared" si="1340"/>
        <v>-284.18265896367154</v>
      </c>
      <c r="ET191" s="130">
        <f t="shared" si="1321"/>
        <v>-10.068778808964707</v>
      </c>
      <c r="EU191" s="75">
        <f t="shared" si="1340"/>
        <v>-286.10257468118084</v>
      </c>
      <c r="EV191" s="130">
        <f t="shared" si="1323"/>
        <v>-7.7088468770384333</v>
      </c>
      <c r="EW191" s="75">
        <f t="shared" si="1340"/>
        <v>-287.63302250066215</v>
      </c>
      <c r="EX191" s="130">
        <f t="shared" si="1325"/>
        <v>2.3605062279936417</v>
      </c>
      <c r="EY191" s="64"/>
      <c r="EZ191" s="558"/>
      <c r="FA191" s="64"/>
      <c r="FB191" s="72"/>
      <c r="FC191" s="71"/>
      <c r="FD191" s="72"/>
      <c r="FE191" s="70"/>
      <c r="FF191" s="69"/>
      <c r="FG191" s="70"/>
      <c r="FH191" s="69"/>
      <c r="FI191" s="70"/>
      <c r="FJ191" s="69"/>
      <c r="FK191" s="70"/>
      <c r="FL191" s="69"/>
      <c r="FM191" s="61"/>
      <c r="FN191" s="69"/>
      <c r="FO191" s="61"/>
      <c r="FP191" s="75">
        <f>AQ191+AS191+AU191+AW191</f>
        <v>-675</v>
      </c>
      <c r="FQ191" s="61" t="str">
        <f t="shared" si="1326"/>
        <v>NA</v>
      </c>
      <c r="FR191" s="75">
        <f>AY191+BA191+BC191+BE191</f>
        <v>-1075</v>
      </c>
      <c r="FS191" s="61">
        <f t="shared" si="1327"/>
        <v>59.259259259259252</v>
      </c>
      <c r="FT191" s="75">
        <f>BG191+BI191+BK191+BM191</f>
        <v>-1194</v>
      </c>
      <c r="FU191" s="61">
        <f t="shared" si="1328"/>
        <v>11.069767441860456</v>
      </c>
      <c r="FV191" s="75">
        <f>BO191+BQ191+BS191+BU191</f>
        <v>-1306</v>
      </c>
      <c r="FW191" s="61">
        <f t="shared" si="1329"/>
        <v>9.3802345058626493</v>
      </c>
      <c r="FX191" s="75">
        <f>BW191+BY191+CA191+CC191</f>
        <v>-1462</v>
      </c>
      <c r="FY191" s="61">
        <f t="shared" si="1330"/>
        <v>11.944869831546701</v>
      </c>
      <c r="FZ191" s="75">
        <f>CE191+CG191+CI191+CK191</f>
        <v>-1383</v>
      </c>
      <c r="GA191" s="61">
        <f t="shared" si="1331"/>
        <v>-5.4035567715458255</v>
      </c>
      <c r="GB191" s="75">
        <f>CM191+CO191+CQ191+CS191</f>
        <v>-1091</v>
      </c>
      <c r="GC191" s="61">
        <f t="shared" si="1332"/>
        <v>-21.113521330441067</v>
      </c>
      <c r="GD191" s="75">
        <f>CU191+CW191+CY191+DA191</f>
        <v>-1252</v>
      </c>
      <c r="GE191" s="61">
        <f t="shared" si="1333"/>
        <v>14.757103574702102</v>
      </c>
      <c r="GF191" s="75">
        <f>DC191+DE191+DG191+DI191</f>
        <v>-897</v>
      </c>
      <c r="GG191" s="61">
        <f t="shared" si="1334"/>
        <v>-28.354632587859431</v>
      </c>
      <c r="GH191" s="75">
        <f>DK191+DM191+DO191+DQ191</f>
        <v>-1060</v>
      </c>
      <c r="GI191" s="61">
        <f t="shared" si="1334"/>
        <v>18.171683389074687</v>
      </c>
      <c r="GJ191" s="75">
        <f>DS191+DU191+DW191+DY191</f>
        <v>-1020</v>
      </c>
      <c r="GK191" s="61">
        <f t="shared" si="1334"/>
        <v>-3.7735849056603765</v>
      </c>
      <c r="GL191" s="75">
        <f>EA191+EC191+EE191+EG191</f>
        <v>-1122</v>
      </c>
      <c r="GM191" s="61">
        <f t="shared" si="1334"/>
        <v>10.000000000000009</v>
      </c>
      <c r="GN191" s="75">
        <f>EI191+EK191+EM191+EO191</f>
        <v>-1310</v>
      </c>
      <c r="GO191" s="61">
        <f t="shared" si="1334"/>
        <v>16.755793226381456</v>
      </c>
      <c r="GP191" s="75">
        <f>EQ191+ES191+EU191+EW191</f>
        <v>-1140.5700223309914</v>
      </c>
      <c r="GQ191" s="61">
        <f t="shared" si="1334"/>
        <v>-12.93358608160371</v>
      </c>
      <c r="GR191" s="75">
        <f>-GR189*GR205/100</f>
        <v>-1168.5510198607888</v>
      </c>
      <c r="GS191" s="61">
        <f t="shared" si="1334"/>
        <v>2.4532467960724169</v>
      </c>
      <c r="GT191" s="75">
        <f>-GT189*GT205/100</f>
        <v>-1197.6330332729237</v>
      </c>
      <c r="GU191" s="61">
        <f t="shared" si="1334"/>
        <v>2.4887243190801822</v>
      </c>
      <c r="GV191" s="75">
        <f>-GV189*GV205/100</f>
        <v>-1227.8680554649402</v>
      </c>
      <c r="GW191" s="61">
        <f t="shared" si="1334"/>
        <v>2.5245648167694146</v>
      </c>
      <c r="GX191" s="75">
        <f>-GX189*GX205/100</f>
        <v>-1259.310647604545</v>
      </c>
      <c r="GY191" s="61">
        <f t="shared" si="1335"/>
        <v>2.5607468163750591</v>
      </c>
      <c r="GZ191" s="61">
        <f t="shared" si="1111"/>
        <v>-0.78614699392813847</v>
      </c>
      <c r="HA191" s="61"/>
      <c r="HB191" s="452"/>
      <c r="HC191"/>
      <c r="HD191"/>
      <c r="HE191"/>
      <c r="HF191"/>
      <c r="HG191"/>
      <c r="HH191"/>
    </row>
    <row r="192" spans="2:216" s="5" customFormat="1" ht="12.75" customHeight="1" x14ac:dyDescent="0.2">
      <c r="B192" s="7" t="s">
        <v>196</v>
      </c>
      <c r="C192" s="72"/>
      <c r="D192" s="70"/>
      <c r="E192" s="72"/>
      <c r="F192" s="71"/>
      <c r="G192" s="74"/>
      <c r="H192" s="71"/>
      <c r="I192" s="74"/>
      <c r="J192" s="61"/>
      <c r="K192" s="74"/>
      <c r="L192" s="61"/>
      <c r="M192" s="72"/>
      <c r="N192" s="61"/>
      <c r="O192" s="74"/>
      <c r="P192" s="61"/>
      <c r="Q192" s="74"/>
      <c r="R192" s="61"/>
      <c r="S192" s="74"/>
      <c r="T192" s="61"/>
      <c r="U192" s="74"/>
      <c r="V192" s="61"/>
      <c r="W192" s="74"/>
      <c r="X192" s="61"/>
      <c r="Y192" s="74"/>
      <c r="Z192" s="61"/>
      <c r="AA192" s="74"/>
      <c r="AB192" s="61"/>
      <c r="AC192" s="74"/>
      <c r="AD192" s="61"/>
      <c r="AE192" s="74"/>
      <c r="AF192" s="61"/>
      <c r="AG192" s="74"/>
      <c r="AH192" s="61"/>
      <c r="AI192" s="74"/>
      <c r="AJ192" s="61"/>
      <c r="AK192" s="74"/>
      <c r="AL192" s="61"/>
      <c r="AM192" s="74"/>
      <c r="AN192" s="61"/>
      <c r="AO192" s="74"/>
      <c r="AP192" s="61"/>
      <c r="AQ192" s="74">
        <v>-238</v>
      </c>
      <c r="AR192" s="61" t="str">
        <f t="shared" si="1305"/>
        <v>NA</v>
      </c>
      <c r="AS192" s="74">
        <v>-239</v>
      </c>
      <c r="AT192" s="61"/>
      <c r="AU192" s="74">
        <v>-242</v>
      </c>
      <c r="AV192" s="61" t="str">
        <f>IF(ISERROR((AU192/AM192-1)*100),"NA",IF(((AU192/AM192-1)*100)&gt;100,"NM",IF(((AU192/AM192-1)*100)&lt;-50,"NM",(AU192/AM192-1)*100)))</f>
        <v>NA</v>
      </c>
      <c r="AW192" s="74">
        <v>-257</v>
      </c>
      <c r="AX192" s="61" t="str">
        <f>IF(ISERROR((AW192/AO192-1)*100),"NA",IF(((AW192/AO192-1)*100)&gt;100,"NM",IF(((AW192/AO192-1)*100)&lt;-50,"NM",(AW192/AO192-1)*100)))</f>
        <v>NA</v>
      </c>
      <c r="AY192" s="145">
        <v>-250</v>
      </c>
      <c r="AZ192" s="61">
        <f>IF(ISERROR((AY192/AQ192-1)*100),"NA",IF(((AY192/AQ192-1)*100)&gt;100,"NM",IF(((AY192/AQ192-1)*100)&lt;-50,"NM",(AY192/AQ192-1)*100)))</f>
        <v>5.0420168067226934</v>
      </c>
      <c r="BA192" s="145">
        <v>-492</v>
      </c>
      <c r="BB192" s="61" t="str">
        <f>IF(ISERROR((BA192/AS192-1)*100),"NA",IF(((BA192/AS192-1)*100)&gt;100,"NM",IF(((BA192/AS192-1)*100)&lt;-50,"NM",(BA192/AS192-1)*100)))</f>
        <v>NM</v>
      </c>
      <c r="BC192" s="145">
        <v>-449</v>
      </c>
      <c r="BD192" s="61">
        <f>IF(ISERROR((BC192/AU192-1)*100),"NA",IF(((BC192/AU192-1)*100)&gt;100,"NM",IF(((BC192/AU192-1)*100)&lt;-50,"NM",(BC192/AU192-1)*100)))</f>
        <v>85.537190082644628</v>
      </c>
      <c r="BE192" s="145">
        <v>-516</v>
      </c>
      <c r="BF192" s="61" t="str">
        <f>IF(ISERROR((BE192/AW192-1)*100),"NA",IF(((BE192/AW192-1)*100)&gt;100,"NM",IF(((BE192/AW192-1)*100)&lt;-50,"NM",(BE192/AW192-1)*100)))</f>
        <v>NM</v>
      </c>
      <c r="BG192" s="145">
        <v>-523</v>
      </c>
      <c r="BH192" s="61" t="str">
        <f>IF(ISERROR((BG192/AY192-1)*100),"NA",IF(((BG192/AY192-1)*100)&gt;100,"NM",IF(((BG192/AY192-1)*100)&lt;-50,"NM",(BG192/AY192-1)*100)))</f>
        <v>NM</v>
      </c>
      <c r="BI192" s="145">
        <v>-507</v>
      </c>
      <c r="BJ192" s="61">
        <f>IF(ISERROR((BI192/BA192-1)*100),"NA",IF(((BI192/BA192-1)*100)&gt;100,"NM",IF(((BI192/BA192-1)*100)&lt;-50,"NM",(BI192/BA192-1)*100)))</f>
        <v>3.0487804878048808</v>
      </c>
      <c r="BK192" s="145">
        <v>-534</v>
      </c>
      <c r="BL192" s="61">
        <f>IF(ISERROR((BK192/BC192-1)*100),"NA",IF(((BK192/BC192-1)*100)&gt;100,"NM",IF(((BK192/BC192-1)*100)&lt;-50,"NM",(BK192/BC192-1)*100)))</f>
        <v>18.930957683741646</v>
      </c>
      <c r="BM192" s="145">
        <v>-583</v>
      </c>
      <c r="BN192" s="61">
        <f>IF(ISERROR((BM192/BE192-1)*100),"NA",IF(((BM192/BE192-1)*100)&gt;100,"NM",IF(((BM192/BE192-1)*100)&lt;-50,"NM",(BM192/BE192-1)*100)))</f>
        <v>12.984496124031008</v>
      </c>
      <c r="BO192" s="145">
        <v>-568</v>
      </c>
      <c r="BP192" s="61">
        <f>IF(ISERROR((BO192/BG192-1)*100),"NA",IF(((BO192/BG192-1)*100)&gt;100,"NM",IF(((BO192/BG192-1)*100)&lt;-50,"NM",(BO192/BG192-1)*100)))</f>
        <v>8.604206500956014</v>
      </c>
      <c r="BQ192" s="145">
        <v>-601</v>
      </c>
      <c r="BR192" s="61">
        <f>IF(ISERROR((BQ192/BI192-1)*100),"NA",IF(((BQ192/BI192-1)*100)&gt;100,"NM",IF(((BQ192/BI192-1)*100)&lt;-50,"NM",(BQ192/BI192-1)*100)))</f>
        <v>18.540433925049314</v>
      </c>
      <c r="BS192" s="145">
        <v>-613</v>
      </c>
      <c r="BT192" s="61">
        <f>IF(ISERROR((BS192/BK192-1)*100),"NA",IF(((BS192/BK192-1)*100)&gt;100,"NM",IF(((BS192/BK192-1)*100)&lt;-50,"NM",(BS192/BK192-1)*100)))</f>
        <v>14.794007490636707</v>
      </c>
      <c r="BU192" s="145">
        <v>-639</v>
      </c>
      <c r="BV192" s="61">
        <f>IF(ISERROR((BU192/BM192-1)*100),"NA",IF(((BU192/BM192-1)*100)&gt;100,"NM",IF(((BU192/BM192-1)*100)&lt;-50,"NM",(BU192/BM192-1)*100)))</f>
        <v>9.6054888507718594</v>
      </c>
      <c r="BW192" s="145">
        <v>-631</v>
      </c>
      <c r="BX192" s="61">
        <f>IF(ISERROR((BW192/BO192-1)*100),"NA",IF(((BW192/BO192-1)*100)&gt;100,"NM",IF(((BW192/BO192-1)*100)&lt;-50,"NM",(BW192/BO192-1)*100)))</f>
        <v>11.09154929577465</v>
      </c>
      <c r="BY192" s="145">
        <v>-645</v>
      </c>
      <c r="BZ192" s="61">
        <f>IF(ISERROR((BY192/BQ192-1)*100),"NA",IF(((BY192/BQ192-1)*100)&gt;100,"NM",IF(((BY192/BQ192-1)*100)&lt;-50,"NM",(BY192/BQ192-1)*100)))</f>
        <v>7.3211314475873479</v>
      </c>
      <c r="CA192" s="145">
        <v>-657</v>
      </c>
      <c r="CB192" s="61">
        <f>IF(ISERROR((CA192/BS192-1)*100),"NA",IF(((CA192/BS192-1)*100)&gt;100,"NM",IF(((CA192/BS192-1)*100)&lt;-50,"NM",(CA192/BS192-1)*100)))</f>
        <v>7.1778140293637938</v>
      </c>
      <c r="CC192" s="145">
        <v>-698</v>
      </c>
      <c r="CD192" s="61">
        <f>IF(ISERROR((CC192/BU192-1)*100),"NA",IF(((CC192/BU192-1)*100)&gt;100,"NM",IF(((CC192/BU192-1)*100)&lt;-50,"NM",(CC192/BU192-1)*100)))</f>
        <v>9.2331768388106426</v>
      </c>
      <c r="CE192" s="145">
        <v>-673</v>
      </c>
      <c r="CF192" s="61">
        <f>IF(ISERROR((CE192/BW192-1)*100),"NA",IF(((CE192/BW192-1)*100)&gt;100,"NM",IF(((CE192/BW192-1)*100)&lt;-50,"NM",(CE192/BW192-1)*100)))</f>
        <v>6.6561014263074592</v>
      </c>
      <c r="CG192" s="145">
        <v>-663</v>
      </c>
      <c r="CH192" s="61">
        <f>IF(ISERROR((CG192/BY192-1)*100),"NA",IF(((CG192/BY192-1)*100)&gt;100,"NM",IF(((CG192/BY192-1)*100)&lt;-50,"NM",(CG192/BY192-1)*100)))</f>
        <v>2.7906976744185963</v>
      </c>
      <c r="CI192" s="145">
        <v>-687</v>
      </c>
      <c r="CJ192" s="61">
        <f>IF(ISERROR((CI192/CA192-1)*100),"NA",IF(((CI192/CA192-1)*100)&gt;100,"NM",IF(((CI192/CA192-1)*100)&lt;-50,"NM",(CI192/CA192-1)*100)))</f>
        <v>4.5662100456621113</v>
      </c>
      <c r="CK192" s="145">
        <v>-734</v>
      </c>
      <c r="CL192" s="61">
        <f>IF(ISERROR((CK192/CC192-1)*100),"NA",IF(((CK192/CC192-1)*100)&gt;100,"NM",IF(((CK192/CC192-1)*100)&lt;-50,"NM",(CK192/CC192-1)*100)))</f>
        <v>5.1575931232091587</v>
      </c>
      <c r="CM192" s="145">
        <v>-715</v>
      </c>
      <c r="CN192" s="61">
        <f>IF(ISERROR((CM192/CE192-1)*100),"NA",IF(((CM192/CE192-1)*100)&gt;100,"NM",IF(((CM192/CE192-1)*100)&lt;-50,"NM",(CM192/CE192-1)*100)))</f>
        <v>6.2407132243684993</v>
      </c>
      <c r="CO192" s="145">
        <v>-724</v>
      </c>
      <c r="CP192" s="61">
        <f>IF(ISERROR((CO192/CG192-1)*100),"NA",IF(((CO192/CG192-1)*100)&gt;100,"NM",IF(((CO192/CG192-1)*100)&lt;-50,"NM",(CO192/CG192-1)*100)))</f>
        <v>9.2006033182503657</v>
      </c>
      <c r="CQ192" s="145">
        <v>-726</v>
      </c>
      <c r="CR192" s="61">
        <f>IF(ISERROR((CQ192/CI192-1)*100),"NA",IF(((CQ192/CI192-1)*100)&gt;100,"NM",IF(((CQ192/CI192-1)*100)&lt;-50,"NM",(CQ192/CI192-1)*100)))</f>
        <v>5.6768558951965087</v>
      </c>
      <c r="CS192" s="145">
        <v>-751</v>
      </c>
      <c r="CT192" s="61">
        <f>IF(ISERROR((CS192/CK192-1)*100),"NA",IF(((CS192/CK192-1)*100)&gt;100,"NM",IF(((CS192/CK192-1)*100)&lt;-50,"NM",(CS192/CK192-1)*100)))</f>
        <v>2.3160762942779245</v>
      </c>
      <c r="CU192" s="145">
        <v>-710</v>
      </c>
      <c r="CV192" s="61">
        <f>IF(ISERROR((CU192/CM192-1)*100),"NA",IF(((CU192/CM192-1)*100)&gt;100,"NM",IF(((CU192/CM192-1)*100)&lt;-50,"NM",(CU192/CM192-1)*100)))</f>
        <v>-0.69930069930069783</v>
      </c>
      <c r="CW192" s="145">
        <v>-712</v>
      </c>
      <c r="CX192" s="61">
        <f>IF(ISERROR((CW192/CO192-1)*100),"NA",IF(((CW192/CO192-1)*100)&gt;100,"NM",IF(((CW192/CO192-1)*100)&lt;-50,"NM",(CW192/CO192-1)*100)))</f>
        <v>-1.6574585635359074</v>
      </c>
      <c r="CY192" s="145">
        <v>-712</v>
      </c>
      <c r="CZ192" s="61">
        <f>IF(ISERROR((CY192/CQ192-1)*100),"NA",IF(((CY192/CQ192-1)*100)&gt;100,"NM",IF(((CY192/CQ192-1)*100)&lt;-50,"NM",(CY192/CQ192-1)*100)))</f>
        <v>-1.9283746556473802</v>
      </c>
      <c r="DA192" s="145">
        <v>-737</v>
      </c>
      <c r="DB192" s="61">
        <f>IF(ISERROR((DA192/CS192-1)*100),"NA",IF(((DA192/CS192-1)*100)&gt;100,"NM",IF(((DA192/CS192-1)*100)&lt;-50,"NM",(DA192/CS192-1)*100)))</f>
        <v>-1.8641810918774926</v>
      </c>
      <c r="DC192" s="145">
        <v>-743</v>
      </c>
      <c r="DD192" s="61">
        <f>IF(ISERROR((DC192/CU192-1)*100),"NA",IF(((DC192/CU192-1)*100)&gt;100,"NM",IF(((DC192/CU192-1)*100)&lt;-50,"NM",(DC192/CU192-1)*100)))</f>
        <v>4.6478873239436558</v>
      </c>
      <c r="DE192" s="145">
        <v>-748</v>
      </c>
      <c r="DF192" s="61">
        <f>IF(ISERROR((DE192/CW192-1)*100),"NA",IF(((DE192/CW192-1)*100)&gt;100,"NM",IF(((DE192/CW192-1)*100)&lt;-50,"NM",(DE192/CW192-1)*100)))</f>
        <v>5.0561797752809001</v>
      </c>
      <c r="DG192" s="145">
        <v>-752</v>
      </c>
      <c r="DH192" s="61">
        <f>IF(ISERROR((DG192/CY192-1)*100),"NA",IF(((DG192/CY192-1)*100)&gt;100,"NM",IF(((DG192/CY192-1)*100)&lt;-50,"NM",(DG192/CY192-1)*100)))</f>
        <v>5.6179775280898792</v>
      </c>
      <c r="DI192" s="145">
        <v>-785</v>
      </c>
      <c r="DJ192" s="61">
        <f>IF(ISERROR((DI192/DA192-1)*100),"NA",IF(((DI192/DA192-1)*100)&gt;100,"NM",IF(((DI192/DA192-1)*100)&lt;-50,"NM",(DI192/DA192-1)*100)))</f>
        <v>6.5128900949796398</v>
      </c>
      <c r="DK192" s="145">
        <v>-741</v>
      </c>
      <c r="DL192" s="61">
        <f>IF(ISERROR((DK192/DC192-1)*100),"NA",IF(((DK192/DC192-1)*100)&gt;100,"NM",IF(((DK192/DC192-1)*100)&lt;-50,"NM",(DK192/DC192-1)*100)))</f>
        <v>-0.26917900403768957</v>
      </c>
      <c r="DM192" s="145">
        <v>-764</v>
      </c>
      <c r="DN192" s="130">
        <f t="shared" si="1306"/>
        <v>2.1390374331550888</v>
      </c>
      <c r="DO192" s="145">
        <v>-791</v>
      </c>
      <c r="DP192" s="130">
        <f t="shared" si="1306"/>
        <v>5.1861702127659504</v>
      </c>
      <c r="DQ192" s="145">
        <v>-819</v>
      </c>
      <c r="DR192" s="130">
        <f t="shared" si="1306"/>
        <v>4.3312101910828016</v>
      </c>
      <c r="DS192" s="145">
        <v>-814</v>
      </c>
      <c r="DT192" s="130">
        <f t="shared" si="1306"/>
        <v>9.8515519568151078</v>
      </c>
      <c r="DU192" s="145">
        <v>-830</v>
      </c>
      <c r="DV192" s="130">
        <f t="shared" si="1306"/>
        <v>8.6387434554973765</v>
      </c>
      <c r="DW192" s="145">
        <v>-855</v>
      </c>
      <c r="DX192" s="145">
        <v>-855</v>
      </c>
      <c r="DY192" s="145">
        <v>-882</v>
      </c>
      <c r="DZ192" s="130">
        <f t="shared" si="1306"/>
        <v>7.6923076923076872</v>
      </c>
      <c r="EA192" s="145">
        <v>-868</v>
      </c>
      <c r="EB192" s="130">
        <f t="shared" si="1308"/>
        <v>6.6339066339066388</v>
      </c>
      <c r="EC192" s="145">
        <v>-898</v>
      </c>
      <c r="ED192" s="130">
        <f t="shared" si="1309"/>
        <v>8.1927710843373589</v>
      </c>
      <c r="EE192" s="145">
        <v>-921</v>
      </c>
      <c r="EF192" s="130">
        <f t="shared" si="1310"/>
        <v>7.7192982456140369</v>
      </c>
      <c r="EG192" s="145">
        <v>-975</v>
      </c>
      <c r="EH192" s="130">
        <f t="shared" si="1311"/>
        <v>10.544217687074831</v>
      </c>
      <c r="EI192" s="145">
        <v>-969</v>
      </c>
      <c r="EJ192" s="130">
        <f t="shared" si="1312"/>
        <v>11.635944700460833</v>
      </c>
      <c r="EK192" s="145">
        <v>-995</v>
      </c>
      <c r="EL192" s="130">
        <f t="shared" si="1314"/>
        <v>10.801781737193771</v>
      </c>
      <c r="EM192" s="145">
        <v>-999</v>
      </c>
      <c r="EN192" s="130">
        <f t="shared" si="1315"/>
        <v>8.4690553745928376</v>
      </c>
      <c r="EO192" s="145">
        <v>-1030</v>
      </c>
      <c r="EP192" s="130">
        <f t="shared" si="1317"/>
        <v>5.6410256410256432</v>
      </c>
      <c r="EQ192" s="74">
        <f t="shared" ref="EQ192" si="1341">EI192*1.02</f>
        <v>-988.38</v>
      </c>
      <c r="ER192" s="130">
        <f t="shared" si="1319"/>
        <v>2.0000000000000018</v>
      </c>
      <c r="ES192" s="74">
        <f t="shared" ref="ES192" si="1342">EK192*1.02</f>
        <v>-1014.9</v>
      </c>
      <c r="ET192" s="130">
        <f t="shared" si="1321"/>
        <v>2.0000000000000018</v>
      </c>
      <c r="EU192" s="74">
        <f t="shared" ref="EU192" si="1343">EM192*1.02</f>
        <v>-1018.98</v>
      </c>
      <c r="EV192" s="130">
        <f t="shared" si="1323"/>
        <v>2.0000000000000018</v>
      </c>
      <c r="EW192" s="74">
        <f t="shared" ref="EW192" si="1344">EO192*1.02</f>
        <v>-1050.5999999999999</v>
      </c>
      <c r="EX192" s="130">
        <f t="shared" si="1325"/>
        <v>2.0000000000000018</v>
      </c>
      <c r="EY192" s="64"/>
      <c r="EZ192" s="558"/>
      <c r="FA192" s="64"/>
      <c r="FB192" s="72"/>
      <c r="FC192" s="71"/>
      <c r="FD192" s="72"/>
      <c r="FE192" s="70"/>
      <c r="FF192" s="69"/>
      <c r="FG192" s="70"/>
      <c r="FH192" s="69"/>
      <c r="FI192" s="70"/>
      <c r="FJ192" s="69"/>
      <c r="FK192" s="70"/>
      <c r="FL192" s="69"/>
      <c r="FM192" s="61"/>
      <c r="FN192" s="69"/>
      <c r="FO192" s="61"/>
      <c r="FP192" s="75">
        <f>AQ192+AS192+AU192+AW192</f>
        <v>-976</v>
      </c>
      <c r="FQ192" s="61" t="str">
        <f t="shared" si="1326"/>
        <v>NA</v>
      </c>
      <c r="FR192" s="75">
        <f>AY192+BA192+BC192+BE192</f>
        <v>-1707</v>
      </c>
      <c r="FS192" s="61">
        <f t="shared" si="1327"/>
        <v>74.897540983606547</v>
      </c>
      <c r="FT192" s="75">
        <f>BG192+BI192+BK192+BM192</f>
        <v>-2147</v>
      </c>
      <c r="FU192" s="61">
        <f t="shared" si="1328"/>
        <v>25.776215582893958</v>
      </c>
      <c r="FV192" s="75">
        <f>BO192+BQ192+BS192+BU192</f>
        <v>-2421</v>
      </c>
      <c r="FW192" s="61">
        <f t="shared" si="1329"/>
        <v>12.761993479273404</v>
      </c>
      <c r="FX192" s="75">
        <f>BW192+BY192+CA192+CC192</f>
        <v>-2631</v>
      </c>
      <c r="FY192" s="61">
        <f t="shared" si="1330"/>
        <v>8.6741016109045823</v>
      </c>
      <c r="FZ192" s="75">
        <f>CE192+CG192+CI192+CK192</f>
        <v>-2757</v>
      </c>
      <c r="GA192" s="61">
        <f t="shared" si="1331"/>
        <v>4.7890535917902044</v>
      </c>
      <c r="GB192" s="75">
        <f>CM192+CO192+CQ192+CS192</f>
        <v>-2916</v>
      </c>
      <c r="GC192" s="61">
        <f t="shared" si="1332"/>
        <v>5.7671381936887922</v>
      </c>
      <c r="GD192" s="75">
        <f>CU192+CW192+CY192+DA192</f>
        <v>-2871</v>
      </c>
      <c r="GE192" s="61">
        <f t="shared" si="1333"/>
        <v>-1.5432098765432056</v>
      </c>
      <c r="GF192" s="75">
        <f>DC192+DE192+DG192+DI192</f>
        <v>-3028</v>
      </c>
      <c r="GG192" s="61">
        <f t="shared" si="1334"/>
        <v>5.4684778822709834</v>
      </c>
      <c r="GH192" s="75">
        <f>DK192+DM192+DO192+DQ192</f>
        <v>-3115</v>
      </c>
      <c r="GI192" s="61">
        <f t="shared" si="1334"/>
        <v>2.8731836195508675</v>
      </c>
      <c r="GJ192" s="75">
        <f>DS192+DU192+DW192+DY192</f>
        <v>-3381</v>
      </c>
      <c r="GK192" s="61">
        <f t="shared" si="1334"/>
        <v>8.5393258426966323</v>
      </c>
      <c r="GL192" s="75">
        <f>EA192+EC192+EE192+EG192</f>
        <v>-3662</v>
      </c>
      <c r="GM192" s="61">
        <f t="shared" si="1334"/>
        <v>8.3111505471753944</v>
      </c>
      <c r="GN192" s="75">
        <f>EI192+EK192+EM192+EO192</f>
        <v>-3993</v>
      </c>
      <c r="GO192" s="61">
        <f t="shared" si="1334"/>
        <v>9.0387766247951973</v>
      </c>
      <c r="GP192" s="75">
        <f>EQ192+ES192+EU192+EW192</f>
        <v>-4072.86</v>
      </c>
      <c r="GQ192" s="61">
        <f t="shared" si="1334"/>
        <v>2.0000000000000018</v>
      </c>
      <c r="GR192" s="74">
        <f>GP192*1.05</f>
        <v>-4276.5030000000006</v>
      </c>
      <c r="GS192" s="61">
        <f t="shared" si="1334"/>
        <v>5.0000000000000044</v>
      </c>
      <c r="GT192" s="74">
        <f>GR192*1.05</f>
        <v>-4490.3281500000012</v>
      </c>
      <c r="GU192" s="61">
        <f t="shared" si="1334"/>
        <v>5.0000000000000044</v>
      </c>
      <c r="GV192" s="74">
        <f>GT192*1.05</f>
        <v>-4714.8445575000014</v>
      </c>
      <c r="GW192" s="61">
        <f t="shared" si="1334"/>
        <v>5.0000000000000044</v>
      </c>
      <c r="GX192" s="74">
        <f>GV192*1.05</f>
        <v>-4950.5867853750015</v>
      </c>
      <c r="GY192" s="61">
        <f t="shared" si="1335"/>
        <v>5.0000000000000044</v>
      </c>
      <c r="GZ192" s="61">
        <f t="shared" si="1111"/>
        <v>4.3930229028561252</v>
      </c>
      <c r="HA192" s="61"/>
      <c r="HB192" s="452"/>
      <c r="HC192"/>
      <c r="HD192"/>
      <c r="HE192"/>
      <c r="HF192"/>
      <c r="HG192"/>
      <c r="HH192"/>
    </row>
    <row r="193" spans="1:216" s="5" customFormat="1" ht="12.75" customHeight="1" x14ac:dyDescent="0.2">
      <c r="B193" s="2" t="s">
        <v>162</v>
      </c>
      <c r="C193" s="146"/>
      <c r="D193" s="70"/>
      <c r="E193" s="146"/>
      <c r="F193" s="71"/>
      <c r="G193" s="146"/>
      <c r="H193" s="71"/>
      <c r="I193" s="146"/>
      <c r="J193" s="61"/>
      <c r="K193" s="146"/>
      <c r="L193" s="61"/>
      <c r="M193" s="146"/>
      <c r="N193" s="61"/>
      <c r="O193" s="146"/>
      <c r="P193" s="61"/>
      <c r="Q193" s="146"/>
      <c r="R193" s="61"/>
      <c r="S193" s="146"/>
      <c r="T193" s="61"/>
      <c r="U193" s="147"/>
      <c r="V193" s="61"/>
      <c r="W193" s="146"/>
      <c r="X193" s="61"/>
      <c r="Y193" s="146"/>
      <c r="Z193" s="61"/>
      <c r="AA193" s="146"/>
      <c r="AB193" s="61"/>
      <c r="AC193" s="146"/>
      <c r="AD193" s="61"/>
      <c r="AE193" s="146"/>
      <c r="AF193" s="61"/>
      <c r="AG193" s="146"/>
      <c r="AH193" s="61"/>
      <c r="AI193" s="146"/>
      <c r="AJ193" s="61"/>
      <c r="AK193" s="146"/>
      <c r="AL193" s="61"/>
      <c r="AM193" s="146"/>
      <c r="AN193" s="61"/>
      <c r="AO193" s="146"/>
      <c r="AP193" s="61"/>
      <c r="AQ193" s="146">
        <v>137</v>
      </c>
      <c r="AR193" s="61" t="str">
        <f t="shared" si="1305"/>
        <v>NA</v>
      </c>
      <c r="AS193" s="146">
        <v>134</v>
      </c>
      <c r="AT193" s="61"/>
      <c r="AU193" s="146">
        <v>136</v>
      </c>
      <c r="AV193" s="61" t="str">
        <f>IF(ISERROR((AU193/AM193-1)*100),"NA",IF(((AU193/AM193-1)*100)&gt;100,"NM",IF(((AU193/AM193-1)*100)&lt;-50,"NM",(AU193/AM193-1)*100)))</f>
        <v>NA</v>
      </c>
      <c r="AW193" s="146">
        <v>136</v>
      </c>
      <c r="AX193" s="61" t="str">
        <f>IF(ISERROR((AW193/AO193-1)*100),"NA",IF(((AW193/AO193-1)*100)&gt;100,"NM",IF(((AW193/AO193-1)*100)&lt;-50,"NM",(AW193/AO193-1)*100)))</f>
        <v>NA</v>
      </c>
      <c r="AY193" s="148">
        <v>135</v>
      </c>
      <c r="AZ193" s="61">
        <f>IF(ISERROR((AY193/AQ193-1)*100),"NA",IF(((AY193/AQ193-1)*100)&gt;100,"NM",IF(((AY193/AQ193-1)*100)&lt;-50,"NM",(AY193/AQ193-1)*100)))</f>
        <v>-1.4598540145985384</v>
      </c>
      <c r="BA193" s="148">
        <v>232</v>
      </c>
      <c r="BB193" s="61">
        <f>IF(ISERROR((BA193/AS193-1)*100),"NA",IF(((BA193/AS193-1)*100)&gt;100,"NM",IF(((BA193/AS193-1)*100)&lt;-50,"NM",(BA193/AS193-1)*100)))</f>
        <v>73.134328358208947</v>
      </c>
      <c r="BC193" s="148">
        <v>239</v>
      </c>
      <c r="BD193" s="61">
        <f>IF(ISERROR((BC193/AU193-1)*100),"NA",IF(((BC193/AU193-1)*100)&gt;100,"NM",IF(((BC193/AU193-1)*100)&lt;-50,"NM",(BC193/AU193-1)*100)))</f>
        <v>75.735294117647058</v>
      </c>
      <c r="BE193" s="148">
        <v>242</v>
      </c>
      <c r="BF193" s="61">
        <f>IF(ISERROR((BE193/AW193-1)*100),"NA",IF(((BE193/AW193-1)*100)&gt;100,"NM",IF(((BE193/AW193-1)*100)&lt;-50,"NM",(BE193/AW193-1)*100)))</f>
        <v>77.941176470588232</v>
      </c>
      <c r="BG193" s="148">
        <v>243</v>
      </c>
      <c r="BH193" s="61">
        <f>IF(ISERROR((BG193/AY193-1)*100),"NA",IF(((BG193/AY193-1)*100)&gt;100,"NM",IF(((BG193/AY193-1)*100)&lt;-50,"NM",(BG193/AY193-1)*100)))</f>
        <v>80</v>
      </c>
      <c r="BI193" s="148">
        <v>243</v>
      </c>
      <c r="BJ193" s="61">
        <f>IF(ISERROR((BI193/BA193-1)*100),"NA",IF(((BI193/BA193-1)*100)&gt;100,"NM",IF(((BI193/BA193-1)*100)&lt;-50,"NM",(BI193/BA193-1)*100)))</f>
        <v>4.7413793103448176</v>
      </c>
      <c r="BK193" s="148">
        <v>279</v>
      </c>
      <c r="BL193" s="61">
        <f>IF(ISERROR((BK193/BC193-1)*100),"NA",IF(((BK193/BC193-1)*100)&gt;100,"NM",IF(((BK193/BC193-1)*100)&lt;-50,"NM",(BK193/BC193-1)*100)))</f>
        <v>16.736401673640167</v>
      </c>
      <c r="BM193" s="148">
        <v>282</v>
      </c>
      <c r="BN193" s="61">
        <f>IF(ISERROR((BM193/BE193-1)*100),"NA",IF(((BM193/BE193-1)*100)&gt;100,"NM",IF(((BM193/BE193-1)*100)&lt;-50,"NM",(BM193/BE193-1)*100)))</f>
        <v>16.528925619834702</v>
      </c>
      <c r="BO193" s="148">
        <v>281</v>
      </c>
      <c r="BP193" s="61">
        <f>IF(ISERROR((BO193/BG193-1)*100),"NA",IF(((BO193/BG193-1)*100)&gt;100,"NM",IF(((BO193/BG193-1)*100)&lt;-50,"NM",(BO193/BG193-1)*100)))</f>
        <v>15.637860082304522</v>
      </c>
      <c r="BQ193" s="148">
        <v>286</v>
      </c>
      <c r="BR193" s="61">
        <f>IF(ISERROR((BQ193/BI193-1)*100),"NA",IF(((BQ193/BI193-1)*100)&gt;100,"NM",IF(((BQ193/BI193-1)*100)&lt;-50,"NM",(BQ193/BI193-1)*100)))</f>
        <v>17.695473251028805</v>
      </c>
      <c r="BS193" s="148">
        <v>291</v>
      </c>
      <c r="BT193" s="61">
        <f>IF(ISERROR((BS193/BK193-1)*100),"NA",IF(((BS193/BK193-1)*100)&gt;100,"NM",IF(((BS193/BK193-1)*100)&lt;-50,"NM",(BS193/BK193-1)*100)))</f>
        <v>4.3010752688172005</v>
      </c>
      <c r="BU193" s="148">
        <v>288</v>
      </c>
      <c r="BV193" s="61">
        <f>IF(ISERROR((BU193/BM193-1)*100),"NA",IF(((BU193/BM193-1)*100)&gt;100,"NM",IF(((BU193/BM193-1)*100)&lt;-50,"NM",(BU193/BM193-1)*100)))</f>
        <v>2.1276595744680771</v>
      </c>
      <c r="BW193" s="148">
        <v>289</v>
      </c>
      <c r="BX193" s="61">
        <f>IF(ISERROR((BW193/BO193-1)*100),"NA",IF(((BW193/BO193-1)*100)&gt;100,"NM",IF(((BW193/BO193-1)*100)&lt;-50,"NM",(BW193/BO193-1)*100)))</f>
        <v>2.8469750889679624</v>
      </c>
      <c r="BY193" s="148">
        <v>288</v>
      </c>
      <c r="BZ193" s="61">
        <f>IF(ISERROR((BY193/BQ193-1)*100),"NA",IF(((BY193/BQ193-1)*100)&gt;100,"NM",IF(((BY193/BQ193-1)*100)&lt;-50,"NM",(BY193/BQ193-1)*100)))</f>
        <v>0.69930069930070893</v>
      </c>
      <c r="CA193" s="148">
        <v>291</v>
      </c>
      <c r="CB193" s="61">
        <f>IF(ISERROR((CA193/BS193-1)*100),"NA",IF(((CA193/BS193-1)*100)&gt;100,"NM",IF(((CA193/BS193-1)*100)&lt;-50,"NM",(CA193/BS193-1)*100)))</f>
        <v>0</v>
      </c>
      <c r="CC193" s="148">
        <v>294</v>
      </c>
      <c r="CD193" s="61">
        <f>IF(ISERROR((CC193/BU193-1)*100),"NA",IF(((CC193/BU193-1)*100)&gt;100,"NM",IF(((CC193/BU193-1)*100)&lt;-50,"NM",(CC193/BU193-1)*100)))</f>
        <v>2.0833333333333259</v>
      </c>
      <c r="CE193" s="148">
        <v>293</v>
      </c>
      <c r="CF193" s="61">
        <f>IF(ISERROR((CE193/BW193-1)*100),"NA",IF(((CE193/BW193-1)*100)&gt;100,"NM",IF(((CE193/BW193-1)*100)&lt;-50,"NM",(CE193/BW193-1)*100)))</f>
        <v>1.384083044982698</v>
      </c>
      <c r="CG193" s="148">
        <v>295</v>
      </c>
      <c r="CH193" s="61">
        <f>IF(ISERROR((CG193/BY193-1)*100),"NA",IF(((CG193/BY193-1)*100)&gt;100,"NM",IF(((CG193/BY193-1)*100)&lt;-50,"NM",(CG193/BY193-1)*100)))</f>
        <v>2.430555555555558</v>
      </c>
      <c r="CI193" s="148">
        <v>298</v>
      </c>
      <c r="CJ193" s="61">
        <f>IF(ISERROR((CI193/CA193-1)*100),"NA",IF(((CI193/CA193-1)*100)&gt;100,"NM",IF(((CI193/CA193-1)*100)&lt;-50,"NM",(CI193/CA193-1)*100)))</f>
        <v>2.405498281786933</v>
      </c>
      <c r="CK193" s="148">
        <v>299</v>
      </c>
      <c r="CL193" s="61">
        <f>IF(ISERROR((CK193/CC193-1)*100),"NA",IF(((CK193/CC193-1)*100)&gt;100,"NM",IF(((CK193/CC193-1)*100)&lt;-50,"NM",(CK193/CC193-1)*100)))</f>
        <v>1.7006802721088343</v>
      </c>
      <c r="CM193" s="148">
        <v>299</v>
      </c>
      <c r="CN193" s="61">
        <f>IF(ISERROR((CM193/CE193-1)*100),"NA",IF(((CM193/CE193-1)*100)&gt;100,"NM",IF(((CM193/CE193-1)*100)&lt;-50,"NM",(CM193/CE193-1)*100)))</f>
        <v>2.0477815699658786</v>
      </c>
      <c r="CO193" s="148">
        <v>303</v>
      </c>
      <c r="CP193" s="61">
        <f>IF(ISERROR((CO193/CG193-1)*100),"NA",IF(((CO193/CG193-1)*100)&gt;100,"NM",IF(((CO193/CG193-1)*100)&lt;-50,"NM",(CO193/CG193-1)*100)))</f>
        <v>2.7118644067796627</v>
      </c>
      <c r="CQ193" s="148">
        <v>283</v>
      </c>
      <c r="CR193" s="61">
        <f>IF(ISERROR((CQ193/CI193-1)*100),"NA",IF(((CQ193/CI193-1)*100)&gt;100,"NM",IF(((CQ193/CI193-1)*100)&lt;-50,"NM",(CQ193/CI193-1)*100)))</f>
        <v>-5.0335570469798636</v>
      </c>
      <c r="CS193" s="148">
        <v>303</v>
      </c>
      <c r="CT193" s="61">
        <f>IF(ISERROR((CS193/CK193-1)*100),"NA",IF(((CS193/CK193-1)*100)&gt;100,"NM",IF(((CS193/CK193-1)*100)&lt;-50,"NM",(CS193/CK193-1)*100)))</f>
        <v>1.3377926421404673</v>
      </c>
      <c r="CU193" s="148">
        <v>311</v>
      </c>
      <c r="CV193" s="61">
        <f>IF(ISERROR((CU193/CM193-1)*100),"NA",IF(((CU193/CM193-1)*100)&gt;100,"NM",IF(((CU193/CM193-1)*100)&lt;-50,"NM",(CU193/CM193-1)*100)))</f>
        <v>4.013377926421402</v>
      </c>
      <c r="CW193" s="148">
        <v>309</v>
      </c>
      <c r="CX193" s="61">
        <f>IF(ISERROR((CW193/CO193-1)*100),"NA",IF(((CW193/CO193-1)*100)&gt;100,"NM",IF(((CW193/CO193-1)*100)&lt;-50,"NM",(CW193/CO193-1)*100)))</f>
        <v>1.980198019801982</v>
      </c>
      <c r="CY193" s="148">
        <v>314</v>
      </c>
      <c r="CZ193" s="61">
        <f>IF(ISERROR((CY193/CQ193-1)*100),"NA",IF(((CY193/CQ193-1)*100)&gt;100,"NM",IF(((CY193/CQ193-1)*100)&lt;-50,"NM",(CY193/CQ193-1)*100)))</f>
        <v>10.954063604240272</v>
      </c>
      <c r="DA193" s="148">
        <v>318</v>
      </c>
      <c r="DB193" s="61">
        <f>IF(ISERROR((DA193/CS193-1)*100),"NA",IF(((DA193/CS193-1)*100)&gt;100,"NM",IF(((DA193/CS193-1)*100)&lt;-50,"NM",(DA193/CS193-1)*100)))</f>
        <v>4.9504950495049549</v>
      </c>
      <c r="DC193" s="148">
        <v>317</v>
      </c>
      <c r="DD193" s="61">
        <f>IF(ISERROR((DC193/CU193-1)*100),"NA",IF(((DC193/CU193-1)*100)&gt;100,"NM",IF(((DC193/CU193-1)*100)&lt;-50,"NM",(DC193/CU193-1)*100)))</f>
        <v>1.9292604501607746</v>
      </c>
      <c r="DE193" s="148">
        <v>320</v>
      </c>
      <c r="DF193" s="61">
        <f>IF(ISERROR((DE193/CW193-1)*100),"NA",IF(((DE193/CW193-1)*100)&gt;100,"NM",IF(((DE193/CW193-1)*100)&lt;-50,"NM",(DE193/CW193-1)*100)))</f>
        <v>3.5598705501618033</v>
      </c>
      <c r="DG193" s="148">
        <v>327</v>
      </c>
      <c r="DH193" s="61">
        <f>IF(ISERROR((DG193/CY193-1)*100),"NA",IF(((DG193/CY193-1)*100)&gt;100,"NM",IF(((DG193/CY193-1)*100)&lt;-50,"NM",(DG193/CY193-1)*100)))</f>
        <v>4.140127388535042</v>
      </c>
      <c r="DI193" s="148">
        <v>331</v>
      </c>
      <c r="DJ193" s="61">
        <f>IF(ISERROR((DI193/DA193-1)*100),"NA",IF(((DI193/DA193-1)*100)&gt;100,"NM",IF(((DI193/DA193-1)*100)&lt;-50,"NM",(DI193/DA193-1)*100)))</f>
        <v>4.088050314465419</v>
      </c>
      <c r="DK193" s="148">
        <v>329</v>
      </c>
      <c r="DL193" s="61">
        <f>IF(ISERROR((DK193/DC193-1)*100),"NA",IF(((DK193/DC193-1)*100)&gt;100,"NM",IF(((DK193/DC193-1)*100)&lt;-50,"NM",(DK193/DC193-1)*100)))</f>
        <v>3.7854889589905349</v>
      </c>
      <c r="DM193" s="148">
        <v>335</v>
      </c>
      <c r="DN193" s="130">
        <f t="shared" si="1306"/>
        <v>4.6875</v>
      </c>
      <c r="DO193" s="148">
        <v>337</v>
      </c>
      <c r="DP193" s="130">
        <f t="shared" si="1306"/>
        <v>3.0581039755351647</v>
      </c>
      <c r="DQ193" s="148">
        <v>343</v>
      </c>
      <c r="DR193" s="130">
        <f t="shared" si="1306"/>
        <v>3.6253776435045237</v>
      </c>
      <c r="DS193" s="148">
        <v>333</v>
      </c>
      <c r="DT193" s="130">
        <f t="shared" si="1306"/>
        <v>1.2158054711246091</v>
      </c>
      <c r="DU193" s="148">
        <v>342</v>
      </c>
      <c r="DV193" s="130">
        <f t="shared" si="1306"/>
        <v>2.0895522388059806</v>
      </c>
      <c r="DW193" s="148">
        <v>340</v>
      </c>
      <c r="DX193" s="148">
        <v>340</v>
      </c>
      <c r="DY193" s="148">
        <v>340</v>
      </c>
      <c r="DZ193" s="130">
        <f t="shared" si="1306"/>
        <v>-0.87463556851311575</v>
      </c>
      <c r="EA193" s="148">
        <v>335</v>
      </c>
      <c r="EB193" s="130">
        <f t="shared" si="1308"/>
        <v>0.60060060060060927</v>
      </c>
      <c r="EC193" s="148">
        <v>335</v>
      </c>
      <c r="ED193" s="130">
        <f t="shared" si="1309"/>
        <v>-2.0467836257309968</v>
      </c>
      <c r="EE193" s="148">
        <v>341</v>
      </c>
      <c r="EF193" s="130">
        <f t="shared" si="1310"/>
        <v>0.29411764705882248</v>
      </c>
      <c r="EG193" s="148">
        <v>354</v>
      </c>
      <c r="EH193" s="130">
        <f t="shared" si="1311"/>
        <v>4.117647058823537</v>
      </c>
      <c r="EI193" s="148">
        <v>353</v>
      </c>
      <c r="EJ193" s="130">
        <f t="shared" si="1312"/>
        <v>5.37313432835822</v>
      </c>
      <c r="EK193" s="148">
        <v>355</v>
      </c>
      <c r="EL193" s="130">
        <f t="shared" si="1314"/>
        <v>5.9701492537313383</v>
      </c>
      <c r="EM193" s="148">
        <v>361</v>
      </c>
      <c r="EN193" s="130">
        <f t="shared" si="1315"/>
        <v>5.8651026392961825</v>
      </c>
      <c r="EO193" s="148">
        <v>374</v>
      </c>
      <c r="EP193" s="130">
        <f t="shared" si="1317"/>
        <v>5.6497175141242861</v>
      </c>
      <c r="EQ193" s="147">
        <f t="shared" ref="EQ193" si="1345">EO193/EO189*EQ189</f>
        <v>376.19843613298337</v>
      </c>
      <c r="ER193" s="130">
        <f t="shared" si="1319"/>
        <v>6.5717949385222019</v>
      </c>
      <c r="ES193" s="147">
        <f t="shared" ref="ES193" si="1346">EQ193/EQ189*ES189</f>
        <v>378.23599449257347</v>
      </c>
      <c r="ET193" s="130">
        <f t="shared" si="1321"/>
        <v>6.5453505612883101</v>
      </c>
      <c r="EU193" s="147">
        <f t="shared" ref="EU193" si="1347">ES193/ES189*EU189</f>
        <v>380.79132715573536</v>
      </c>
      <c r="EV193" s="130">
        <f t="shared" si="1323"/>
        <v>5.4823620930014805</v>
      </c>
      <c r="EW193" s="147">
        <f t="shared" ref="EW193" si="1348">EU193/EU189*EW189</f>
        <v>382.82829329269623</v>
      </c>
      <c r="EX193" s="130">
        <f t="shared" si="1325"/>
        <v>2.3605062279936417</v>
      </c>
      <c r="EY193" s="64"/>
      <c r="EZ193" s="558"/>
      <c r="FA193" s="64"/>
      <c r="FB193" s="72"/>
      <c r="FC193" s="71"/>
      <c r="FD193" s="146"/>
      <c r="FE193" s="70"/>
      <c r="FF193" s="150"/>
      <c r="FG193" s="70"/>
      <c r="FH193" s="150"/>
      <c r="FI193" s="70"/>
      <c r="FJ193" s="150"/>
      <c r="FK193" s="70"/>
      <c r="FL193" s="69"/>
      <c r="FM193" s="61"/>
      <c r="FN193" s="69"/>
      <c r="FO193" s="61"/>
      <c r="FP193" s="149">
        <f>AQ193+AS193+AU193+AW193</f>
        <v>543</v>
      </c>
      <c r="FQ193" s="61" t="str">
        <f t="shared" si="1326"/>
        <v>NA</v>
      </c>
      <c r="FR193" s="149">
        <f>AY193+BA193+BC193+BE193</f>
        <v>848</v>
      </c>
      <c r="FS193" s="61">
        <f t="shared" si="1327"/>
        <v>56.169429097605892</v>
      </c>
      <c r="FT193" s="149">
        <f>BG193+BI193+BK193+BM193</f>
        <v>1047</v>
      </c>
      <c r="FU193" s="61">
        <f t="shared" si="1328"/>
        <v>23.466981132075482</v>
      </c>
      <c r="FV193" s="149">
        <f>BO193+BQ193+BS193+BU193</f>
        <v>1146</v>
      </c>
      <c r="FW193" s="61">
        <f t="shared" si="1329"/>
        <v>9.4555873925501466</v>
      </c>
      <c r="FX193" s="75">
        <f>BW193+BY193+CA193+CC193</f>
        <v>1162</v>
      </c>
      <c r="FY193" s="61">
        <f t="shared" si="1330"/>
        <v>1.3961605584642323</v>
      </c>
      <c r="FZ193" s="75">
        <f>CE193+CG193+CI193+CK193</f>
        <v>1185</v>
      </c>
      <c r="GA193" s="61">
        <f t="shared" si="1331"/>
        <v>1.9793459552495785</v>
      </c>
      <c r="GB193" s="75">
        <f>CM193+CO193+CQ193+CS193</f>
        <v>1188</v>
      </c>
      <c r="GC193" s="61">
        <f t="shared" si="1332"/>
        <v>0.25316455696202667</v>
      </c>
      <c r="GD193" s="75">
        <f>CU193+CW193+CY193+DA193</f>
        <v>1252</v>
      </c>
      <c r="GE193" s="61">
        <f t="shared" si="1333"/>
        <v>5.3872053872053849</v>
      </c>
      <c r="GF193" s="75">
        <f>DC193+DE193+DG193+DI193</f>
        <v>1295</v>
      </c>
      <c r="GG193" s="61">
        <f t="shared" si="1334"/>
        <v>3.4345047923322714</v>
      </c>
      <c r="GH193" s="75">
        <f>DK193+DM193+DO193+DQ193</f>
        <v>1344</v>
      </c>
      <c r="GI193" s="61">
        <f t="shared" si="1334"/>
        <v>3.7837837837837895</v>
      </c>
      <c r="GJ193" s="75">
        <f>DS193+DU193+DW193+DY193</f>
        <v>1355</v>
      </c>
      <c r="GK193" s="61">
        <f t="shared" si="1334"/>
        <v>0.81845238095237249</v>
      </c>
      <c r="GL193" s="75">
        <f>EA193+EC193+EE193+EG193</f>
        <v>1365</v>
      </c>
      <c r="GM193" s="61">
        <f t="shared" si="1334"/>
        <v>0.73800738007379074</v>
      </c>
      <c r="GN193" s="75">
        <f>EI193+EK193+EM193+EO193</f>
        <v>1443</v>
      </c>
      <c r="GO193" s="61">
        <f t="shared" si="1334"/>
        <v>5.7142857142857162</v>
      </c>
      <c r="GP193" s="75">
        <f>EQ193+ES193+EU193+EW193</f>
        <v>1518.0540510739884</v>
      </c>
      <c r="GQ193" s="61">
        <f t="shared" si="1334"/>
        <v>5.2012509406783369</v>
      </c>
      <c r="GR193" s="149">
        <f>GP193/GP189*GR189</f>
        <v>1555.2956634446082</v>
      </c>
      <c r="GS193" s="61">
        <f t="shared" si="1334"/>
        <v>2.4532467960723947</v>
      </c>
      <c r="GT193" s="149">
        <f>GR193/GR189*GT189</f>
        <v>1594.0026848543537</v>
      </c>
      <c r="GU193" s="61">
        <f t="shared" si="1334"/>
        <v>2.4887243190801822</v>
      </c>
      <c r="GV193" s="149">
        <f>GT193/GT189*GV189</f>
        <v>1634.2443158145463</v>
      </c>
      <c r="GW193" s="61">
        <f t="shared" si="1334"/>
        <v>2.5245648167693924</v>
      </c>
      <c r="GX193" s="149">
        <f>GV193/GV189*GX189</f>
        <v>1676.093175103558</v>
      </c>
      <c r="GY193" s="61">
        <f t="shared" si="1335"/>
        <v>2.5607468163750813</v>
      </c>
      <c r="GZ193" s="61">
        <f t="shared" si="1111"/>
        <v>3.0401222595122679</v>
      </c>
      <c r="HA193" s="61"/>
      <c r="HB193" s="452"/>
      <c r="HC193"/>
      <c r="HD193"/>
      <c r="HE193"/>
      <c r="HF193"/>
      <c r="HG193"/>
      <c r="HH193"/>
    </row>
    <row r="194" spans="1:216" s="5" customFormat="1" ht="12.75" customHeight="1" x14ac:dyDescent="0.2">
      <c r="B194" s="2" t="s">
        <v>577</v>
      </c>
      <c r="C194" s="146"/>
      <c r="D194" s="70"/>
      <c r="E194" s="146"/>
      <c r="F194" s="71"/>
      <c r="G194" s="146"/>
      <c r="H194" s="71"/>
      <c r="I194" s="146"/>
      <c r="J194" s="61"/>
      <c r="K194" s="146"/>
      <c r="L194" s="61"/>
      <c r="M194" s="146"/>
      <c r="N194" s="61"/>
      <c r="O194" s="146"/>
      <c r="P194" s="61"/>
      <c r="Q194" s="146"/>
      <c r="R194" s="61"/>
      <c r="S194" s="146"/>
      <c r="T194" s="61"/>
      <c r="U194" s="147"/>
      <c r="V194" s="61"/>
      <c r="W194" s="146"/>
      <c r="X194" s="61"/>
      <c r="Y194" s="146"/>
      <c r="Z194" s="61"/>
      <c r="AA194" s="146"/>
      <c r="AB194" s="61"/>
      <c r="AC194" s="146"/>
      <c r="AD194" s="61"/>
      <c r="AE194" s="146"/>
      <c r="AF194" s="61"/>
      <c r="AG194" s="146"/>
      <c r="AH194" s="61"/>
      <c r="AI194" s="146"/>
      <c r="AJ194" s="61"/>
      <c r="AK194" s="146"/>
      <c r="AL194" s="61"/>
      <c r="AM194" s="146"/>
      <c r="AN194" s="61"/>
      <c r="AO194" s="146"/>
      <c r="AP194" s="61"/>
      <c r="AQ194" s="146"/>
      <c r="AR194" s="61"/>
      <c r="AS194" s="146"/>
      <c r="AT194" s="61"/>
      <c r="AU194" s="146"/>
      <c r="AV194" s="61"/>
      <c r="AW194" s="146"/>
      <c r="AX194" s="61"/>
      <c r="AY194" s="148"/>
      <c r="AZ194" s="61"/>
      <c r="BA194" s="148">
        <v>9150</v>
      </c>
      <c r="BB194" s="61"/>
      <c r="BC194" s="148">
        <v>0</v>
      </c>
      <c r="BD194" s="61"/>
      <c r="BE194" s="148">
        <v>0</v>
      </c>
      <c r="BF194" s="61"/>
      <c r="BG194" s="148">
        <v>0</v>
      </c>
      <c r="BH194" s="61"/>
      <c r="BI194" s="148">
        <v>0</v>
      </c>
      <c r="BJ194" s="61"/>
      <c r="BK194" s="148">
        <v>0</v>
      </c>
      <c r="BL194" s="61"/>
      <c r="BM194" s="148">
        <v>0</v>
      </c>
      <c r="BN194" s="61"/>
      <c r="BO194" s="148">
        <v>0</v>
      </c>
      <c r="BP194" s="61"/>
      <c r="BQ194" s="148">
        <v>0</v>
      </c>
      <c r="BR194" s="61"/>
      <c r="BS194" s="148">
        <v>0</v>
      </c>
      <c r="BT194" s="61"/>
      <c r="BU194" s="148">
        <v>0</v>
      </c>
      <c r="BV194" s="61"/>
      <c r="BW194" s="148">
        <v>0</v>
      </c>
      <c r="BX194" s="61"/>
      <c r="BY194" s="148">
        <v>0</v>
      </c>
      <c r="BZ194" s="61"/>
      <c r="CA194" s="148">
        <v>0</v>
      </c>
      <c r="CB194" s="61"/>
      <c r="CC194" s="148">
        <v>0</v>
      </c>
      <c r="CD194" s="61"/>
      <c r="CE194" s="148">
        <v>0</v>
      </c>
      <c r="CF194" s="61"/>
      <c r="CG194" s="148">
        <v>0</v>
      </c>
      <c r="CH194" s="61"/>
      <c r="CI194" s="148">
        <v>0</v>
      </c>
      <c r="CJ194" s="61"/>
      <c r="CK194" s="148">
        <v>0</v>
      </c>
      <c r="CL194" s="61"/>
      <c r="CM194" s="148">
        <v>0</v>
      </c>
      <c r="CN194" s="61"/>
      <c r="CO194" s="148">
        <v>0</v>
      </c>
      <c r="CP194" s="61"/>
      <c r="CQ194" s="148">
        <v>0</v>
      </c>
      <c r="CR194" s="61"/>
      <c r="CS194" s="148">
        <v>0</v>
      </c>
      <c r="CT194" s="61"/>
      <c r="CU194" s="148">
        <v>0</v>
      </c>
      <c r="CV194" s="61"/>
      <c r="CW194" s="148">
        <v>0</v>
      </c>
      <c r="CX194" s="61"/>
      <c r="CY194" s="148">
        <v>0</v>
      </c>
      <c r="CZ194" s="61"/>
      <c r="DA194" s="148">
        <v>0</v>
      </c>
      <c r="DB194" s="61"/>
      <c r="DC194" s="148">
        <v>0</v>
      </c>
      <c r="DD194" s="61"/>
      <c r="DE194" s="148">
        <v>0</v>
      </c>
      <c r="DF194" s="61"/>
      <c r="DG194" s="148">
        <v>0</v>
      </c>
      <c r="DH194" s="61"/>
      <c r="DI194" s="148">
        <v>0</v>
      </c>
      <c r="DJ194" s="61"/>
      <c r="DK194" s="148">
        <v>0</v>
      </c>
      <c r="DL194" s="61"/>
      <c r="DM194" s="148">
        <v>0</v>
      </c>
      <c r="DN194" s="130" t="str">
        <f t="shared" si="1306"/>
        <v>NA</v>
      </c>
      <c r="DO194" s="148">
        <v>0</v>
      </c>
      <c r="DP194" s="130" t="str">
        <f t="shared" si="1306"/>
        <v>NA</v>
      </c>
      <c r="DQ194" s="148">
        <v>0</v>
      </c>
      <c r="DR194" s="130" t="str">
        <f t="shared" si="1306"/>
        <v>NA</v>
      </c>
      <c r="DS194" s="148">
        <v>0</v>
      </c>
      <c r="DT194" s="130" t="str">
        <f t="shared" si="1306"/>
        <v>NA</v>
      </c>
      <c r="DU194" s="148">
        <v>0</v>
      </c>
      <c r="DV194" s="130" t="str">
        <f t="shared" si="1306"/>
        <v>NA</v>
      </c>
      <c r="DW194" s="148">
        <v>0</v>
      </c>
      <c r="DX194" s="148">
        <v>0</v>
      </c>
      <c r="DY194" s="148">
        <v>0</v>
      </c>
      <c r="DZ194" s="130" t="str">
        <f t="shared" si="1306"/>
        <v>NA</v>
      </c>
      <c r="EA194" s="148">
        <v>0</v>
      </c>
      <c r="EB194" s="130" t="str">
        <f t="shared" si="1308"/>
        <v>NA</v>
      </c>
      <c r="EC194" s="148">
        <v>0</v>
      </c>
      <c r="ED194" s="130" t="str">
        <f t="shared" si="1309"/>
        <v>NA</v>
      </c>
      <c r="EE194" s="148">
        <v>0</v>
      </c>
      <c r="EF194" s="130" t="str">
        <f t="shared" si="1310"/>
        <v>NA</v>
      </c>
      <c r="EG194" s="148">
        <v>0</v>
      </c>
      <c r="EH194" s="130" t="str">
        <f t="shared" si="1311"/>
        <v>NA</v>
      </c>
      <c r="EI194" s="148">
        <v>0</v>
      </c>
      <c r="EJ194" s="130" t="str">
        <f t="shared" si="1312"/>
        <v>NA</v>
      </c>
      <c r="EK194" s="148">
        <v>0</v>
      </c>
      <c r="EL194" s="130" t="str">
        <f t="shared" si="1314"/>
        <v>NA</v>
      </c>
      <c r="EM194" s="148">
        <v>0</v>
      </c>
      <c r="EN194" s="130" t="str">
        <f t="shared" si="1315"/>
        <v>NA</v>
      </c>
      <c r="EO194" s="148">
        <v>0</v>
      </c>
      <c r="EP194" s="130" t="str">
        <f t="shared" si="1317"/>
        <v>NA</v>
      </c>
      <c r="EQ194" s="148">
        <v>0</v>
      </c>
      <c r="ER194" s="130" t="str">
        <f t="shared" si="1319"/>
        <v>NA</v>
      </c>
      <c r="ES194" s="148">
        <v>0</v>
      </c>
      <c r="ET194" s="130" t="str">
        <f t="shared" si="1321"/>
        <v>NA</v>
      </c>
      <c r="EU194" s="148">
        <v>0</v>
      </c>
      <c r="EV194" s="130" t="str">
        <f t="shared" si="1323"/>
        <v>NA</v>
      </c>
      <c r="EW194" s="148">
        <v>0</v>
      </c>
      <c r="EX194" s="130" t="str">
        <f t="shared" si="1325"/>
        <v>NA</v>
      </c>
      <c r="EY194" s="64"/>
      <c r="EZ194" s="558"/>
      <c r="FA194" s="64"/>
      <c r="FB194" s="72"/>
      <c r="FC194" s="71"/>
      <c r="FD194" s="146"/>
      <c r="FE194" s="70"/>
      <c r="FF194" s="150"/>
      <c r="FG194" s="70"/>
      <c r="FH194" s="150"/>
      <c r="FI194" s="70"/>
      <c r="FJ194" s="150"/>
      <c r="FK194" s="70"/>
      <c r="FL194" s="69"/>
      <c r="FM194" s="61"/>
      <c r="FN194" s="69"/>
      <c r="FO194" s="61"/>
      <c r="FP194" s="149"/>
      <c r="FQ194" s="61"/>
      <c r="FR194" s="149">
        <f>AY194+BA194+BC194+BE194</f>
        <v>9150</v>
      </c>
      <c r="FS194" s="61" t="str">
        <f t="shared" si="1327"/>
        <v>NA</v>
      </c>
      <c r="FT194" s="151">
        <f>BG194+BI194+BK194+BM194</f>
        <v>0</v>
      </c>
      <c r="FU194" s="61" t="str">
        <f t="shared" si="1328"/>
        <v>NM</v>
      </c>
      <c r="FV194" s="151">
        <f>BO194+BQ194+BS194+BU194</f>
        <v>0</v>
      </c>
      <c r="FW194" s="61" t="str">
        <f t="shared" si="1329"/>
        <v>NA</v>
      </c>
      <c r="FX194" s="75">
        <f>BW194+BY194+CA194+CC194</f>
        <v>0</v>
      </c>
      <c r="FY194" s="61" t="str">
        <f t="shared" si="1330"/>
        <v>NA</v>
      </c>
      <c r="FZ194" s="75">
        <f>CE194+CG194+CI194+CK194</f>
        <v>0</v>
      </c>
      <c r="GA194" s="61" t="str">
        <f t="shared" si="1331"/>
        <v>NA</v>
      </c>
      <c r="GB194" s="75">
        <f>CM194+CO194+CQ194+CS194</f>
        <v>0</v>
      </c>
      <c r="GC194" s="61" t="str">
        <f t="shared" si="1332"/>
        <v>NA</v>
      </c>
      <c r="GD194" s="75">
        <f>CU194+CW194+CY194+DA194</f>
        <v>0</v>
      </c>
      <c r="GE194" s="61" t="str">
        <f t="shared" si="1333"/>
        <v>NA</v>
      </c>
      <c r="GF194" s="75">
        <f>DC194+DE194+DG194+DI194</f>
        <v>0</v>
      </c>
      <c r="GG194" s="61" t="str">
        <f t="shared" si="1334"/>
        <v>NA</v>
      </c>
      <c r="GH194" s="75">
        <f>DK194+DM194+DO194+DQ194</f>
        <v>0</v>
      </c>
      <c r="GI194" s="61" t="str">
        <f t="shared" si="1334"/>
        <v>NA</v>
      </c>
      <c r="GJ194" s="75">
        <f>DS194+DU194+DW194+DY194</f>
        <v>0</v>
      </c>
      <c r="GK194" s="61" t="str">
        <f t="shared" si="1334"/>
        <v>NA</v>
      </c>
      <c r="GL194" s="75">
        <f>EA194+EC194+EE194+EG194</f>
        <v>0</v>
      </c>
      <c r="GM194" s="61" t="str">
        <f t="shared" si="1334"/>
        <v>NA</v>
      </c>
      <c r="GN194" s="75">
        <f>EI194+EK194+EM194+EO194</f>
        <v>0</v>
      </c>
      <c r="GO194" s="61" t="str">
        <f t="shared" si="1334"/>
        <v>NA</v>
      </c>
      <c r="GP194" s="75">
        <f>EQ194+ES194+EU194+EW194</f>
        <v>0</v>
      </c>
      <c r="GQ194" s="61" t="str">
        <f t="shared" si="1334"/>
        <v>NA</v>
      </c>
      <c r="GR194" s="148">
        <v>0</v>
      </c>
      <c r="GS194" s="61" t="str">
        <f t="shared" si="1334"/>
        <v>NA</v>
      </c>
      <c r="GT194" s="148">
        <v>0</v>
      </c>
      <c r="GU194" s="61" t="str">
        <f t="shared" si="1334"/>
        <v>NA</v>
      </c>
      <c r="GV194" s="148">
        <v>0</v>
      </c>
      <c r="GW194" s="61" t="str">
        <f t="shared" si="1334"/>
        <v>NA</v>
      </c>
      <c r="GX194" s="148">
        <v>0</v>
      </c>
      <c r="GY194" s="61" t="str">
        <f t="shared" si="1335"/>
        <v>NA</v>
      </c>
      <c r="GZ194" s="61" t="str">
        <f t="shared" si="1111"/>
        <v/>
      </c>
      <c r="HA194" s="61"/>
      <c r="HB194" s="452"/>
      <c r="HC194"/>
      <c r="HD194"/>
      <c r="HE194"/>
      <c r="HF194"/>
      <c r="HG194"/>
      <c r="HH194"/>
    </row>
    <row r="195" spans="1:216" s="5" customFormat="1" ht="12.75" customHeight="1" x14ac:dyDescent="0.2">
      <c r="B195" s="2" t="s">
        <v>477</v>
      </c>
      <c r="C195" s="69"/>
      <c r="D195" s="70"/>
      <c r="E195" s="69"/>
      <c r="F195" s="71"/>
      <c r="G195" s="69"/>
      <c r="H195" s="71"/>
      <c r="I195" s="69"/>
      <c r="J195" s="61"/>
      <c r="K195" s="69"/>
      <c r="L195" s="61"/>
      <c r="M195" s="69"/>
      <c r="N195" s="61"/>
      <c r="O195" s="69"/>
      <c r="P195" s="61"/>
      <c r="Q195" s="69"/>
      <c r="R195" s="61"/>
      <c r="S195" s="69"/>
      <c r="T195" s="61"/>
      <c r="U195" s="69"/>
      <c r="V195" s="61"/>
      <c r="W195" s="69"/>
      <c r="X195" s="61"/>
      <c r="Y195" s="69"/>
      <c r="Z195" s="61"/>
      <c r="AA195" s="69"/>
      <c r="AB195" s="61"/>
      <c r="AC195" s="69"/>
      <c r="AD195" s="61"/>
      <c r="AE195" s="69"/>
      <c r="AF195" s="61"/>
      <c r="AG195" s="69"/>
      <c r="AH195" s="61"/>
      <c r="AI195" s="69"/>
      <c r="AJ195" s="61"/>
      <c r="AK195" s="69"/>
      <c r="AL195" s="61"/>
      <c r="AM195" s="69"/>
      <c r="AN195" s="61"/>
      <c r="AO195" s="69"/>
      <c r="AP195" s="61"/>
      <c r="AQ195" s="69">
        <f>+AQ193+AQ191+AQ192+AQ190+AQ189+AQ194</f>
        <v>11325</v>
      </c>
      <c r="AR195" s="61" t="str">
        <f t="shared" si="1305"/>
        <v>NA</v>
      </c>
      <c r="AS195" s="69">
        <f>+AS193+AS191+AS192+AS190+AS189+AS194-1</f>
        <v>11443</v>
      </c>
      <c r="AT195" s="61" t="str">
        <f>IF(ISERROR((AS195/AK195-1)*100),"NA",IF(((AS195/AK195-1)*100)&gt;100,"NM",IF(((AS195/AK195-1)*100)&lt;-50,"NM",(AS195/AK195-1)*100)))</f>
        <v>NA</v>
      </c>
      <c r="AU195" s="69">
        <f>+AU193+AU191+AU192+AU190+AU189+AU194</f>
        <v>11591</v>
      </c>
      <c r="AV195" s="61" t="str">
        <f>IF(ISERROR((AU195/AM195-1)*100),"NA",IF(((AU195/AM195-1)*100)&gt;100,"NM",IF(((AU195/AM195-1)*100)&lt;-50,"NM",(AU195/AM195-1)*100)))</f>
        <v>NA</v>
      </c>
      <c r="AW195" s="69">
        <f>+AW193+AW191+AW192+AW190+AW189+AW194</f>
        <v>11809</v>
      </c>
      <c r="AX195" s="61" t="str">
        <f>IF(ISERROR((AW195/AO195-1)*100),"NA",IF(((AW195/AO195-1)*100)&gt;100,"NM",IF(((AW195/AO195-1)*100)&lt;-50,"NM",(AW195/AO195-1)*100)))</f>
        <v>NA</v>
      </c>
      <c r="AY195" s="69">
        <f>+AY193+AY191+AY192+AY190+AY189+AY194</f>
        <v>11913</v>
      </c>
      <c r="AZ195" s="61">
        <f>IF(ISERROR((AY195/AQ195-1)*100),"NA",IF(((AY195/AQ195-1)*100)&gt;100,"NM",IF(((AY195/AQ195-1)*100)&lt;-50,"NM",(AY195/AQ195-1)*100)))</f>
        <v>5.1920529801324555</v>
      </c>
      <c r="BA195" s="69">
        <f>+BA193+BA191+BA192+BA190+BA189+BA194</f>
        <v>21285</v>
      </c>
      <c r="BB195" s="61">
        <f>IF(ISERROR((BA195/AS195-1)*100),"NA",IF(((BA195/AS195-1)*100)&gt;100,"NM",IF(((BA195/AS195-1)*100)&lt;-50,"NM",(BA195/AS195-1)*100)))</f>
        <v>86.008913746395166</v>
      </c>
      <c r="BC195" s="69">
        <f>+BC193+BC191+BC192+BC190+BC189+BC194-1</f>
        <v>21516</v>
      </c>
      <c r="BD195" s="61">
        <f>IF(ISERROR((BC195/AU195-1)*100),"NA",IF(((BC195/AU195-1)*100)&gt;100,"NM",IF(((BC195/AU195-1)*100)&lt;-50,"NM",(BC195/AU195-1)*100)))</f>
        <v>85.626779397808647</v>
      </c>
      <c r="BE195" s="69">
        <f>+BE193+BE191+BE192+BE190+BE189+BE194+1</f>
        <v>21890</v>
      </c>
      <c r="BF195" s="61">
        <f>IF(ISERROR((BE195/AW195-1)*100),"NA",IF(((BE195/AW195-1)*100)&gt;100,"NM",IF(((BE195/AW195-1)*100)&lt;-50,"NM",(BE195/AW195-1)*100)))</f>
        <v>85.367092895249399</v>
      </c>
      <c r="BG195" s="69">
        <f>+BG193+BG191+BG192+BG190+BG189+BG194</f>
        <v>25575</v>
      </c>
      <c r="BH195" s="61" t="str">
        <f>IF(ISERROR((BG195/AY195-1)*100),"NA",IF(((BG195/AY195-1)*100)&gt;100,"NM",IF(((BG195/AY195-1)*100)&lt;-50,"NM",(BG195/AY195-1)*100)))</f>
        <v>NM</v>
      </c>
      <c r="BI195" s="69">
        <f>+BI193+BI191+BI192+BI190+BI189+BI194</f>
        <v>25864</v>
      </c>
      <c r="BJ195" s="61">
        <f>IF(ISERROR((BI195/BA195-1)*100),"NA",IF(((BI195/BA195-1)*100)&gt;100,"NM",IF(((BI195/BA195-1)*100)&lt;-50,"NM",(BI195/BA195-1)*100)))</f>
        <v>21.512802443034996</v>
      </c>
      <c r="BK195" s="69">
        <f>+BK193+BK191+BK192+BK190+BK189+BK194</f>
        <v>26162</v>
      </c>
      <c r="BL195" s="61">
        <f>IF(ISERROR((BK195/BC195-1)*100),"NA",IF(((BK195/BC195-1)*100)&gt;100,"NM",IF(((BK195/BC195-1)*100)&lt;-50,"NM",(BK195/BC195-1)*100)))</f>
        <v>21.593232942926189</v>
      </c>
      <c r="BM195" s="69">
        <f>+BM193+BM191+BM192+BM190+BM189+BM194</f>
        <v>26518</v>
      </c>
      <c r="BN195" s="61">
        <f>IF(ISERROR((BM195/BE195-1)*100),"NA",IF(((BM195/BE195-1)*100)&gt;100,"NM",IF(((BM195/BE195-1)*100)&lt;-50,"NM",(BM195/BE195-1)*100)))</f>
        <v>21.142074006395607</v>
      </c>
      <c r="BO195" s="69">
        <f>+BO193+BO191+BO192+BO190+BO189+BO194</f>
        <v>26726</v>
      </c>
      <c r="BP195" s="61">
        <f>IF(ISERROR((BO195/BG195-1)*100),"NA",IF(((BO195/BG195-1)*100)&gt;100,"NM",IF(((BO195/BG195-1)*100)&lt;-50,"NM",(BO195/BG195-1)*100)))</f>
        <v>4.5004887585532671</v>
      </c>
      <c r="BQ195" s="69">
        <f>+BQ193+BQ191+BQ192+BQ190+BQ189+BQ194</f>
        <v>26980</v>
      </c>
      <c r="BR195" s="61">
        <f>IF(ISERROR((BQ195/BI195-1)*100),"NA",IF(((BQ195/BI195-1)*100)&gt;100,"NM",IF(((BQ195/BI195-1)*100)&lt;-50,"NM",(BQ195/BI195-1)*100)))</f>
        <v>4.3148778224559203</v>
      </c>
      <c r="BS195" s="69">
        <f>+BS193+BS191+BS192+BS190+BS189+BS194</f>
        <v>27227</v>
      </c>
      <c r="BT195" s="61">
        <f>IF(ISERROR((BS195/BK195-1)*100),"NA",IF(((BS195/BK195-1)*100)&gt;100,"NM",IF(((BS195/BK195-1)*100)&lt;-50,"NM",(BS195/BK195-1)*100)))</f>
        <v>4.0707896949774502</v>
      </c>
      <c r="BU195" s="69">
        <f>+BU193+BU191+BU192+BU190+BU189+BU194</f>
        <v>27502</v>
      </c>
      <c r="BV195" s="61">
        <f>IF(ISERROR((BU195/BM195-1)*100),"NA",IF(((BU195/BM195-1)*100)&gt;100,"NM",IF(((BU195/BM195-1)*100)&lt;-50,"NM",(BU195/BM195-1)*100)))</f>
        <v>3.7106870804736403</v>
      </c>
      <c r="BW195" s="69">
        <f>+BW193+BW191+BW192+BW190+BW189+BW194</f>
        <v>27617</v>
      </c>
      <c r="BX195" s="61">
        <f>IF(ISERROR((BW195/BO195-1)*100),"NA",IF(((BW195/BO195-1)*100)&gt;100,"NM",IF(((BW195/BO195-1)*100)&lt;-50,"NM",(BW195/BO195-1)*100)))</f>
        <v>3.3338322233031459</v>
      </c>
      <c r="BY195" s="69">
        <f>+BY193+BY191+BY192+BY190+BY189+BY194</f>
        <v>27709</v>
      </c>
      <c r="BZ195" s="61">
        <f>IF(ISERROR((BY195/BQ195-1)*100),"NA",IF(((BY195/BQ195-1)*100)&gt;100,"NM",IF(((BY195/BQ195-1)*100)&lt;-50,"NM",(BY195/BQ195-1)*100)))</f>
        <v>2.7020014825796856</v>
      </c>
      <c r="CA195" s="69">
        <f>+CA193+CA191+CA192+CA190+CA189+CA194</f>
        <v>27825</v>
      </c>
      <c r="CB195" s="61">
        <f>IF(ISERROR((CA195/BS195-1)*100),"NA",IF(((CA195/BS195-1)*100)&gt;100,"NM",IF(((CA195/BS195-1)*100)&lt;-50,"NM",(CA195/BS195-1)*100)))</f>
        <v>2.1963492121790829</v>
      </c>
      <c r="CC195" s="69">
        <f>+CC193+CC191+CC192+CC190+CC189+CC194</f>
        <v>28192</v>
      </c>
      <c r="CD195" s="61">
        <f>IF(ISERROR((CC195/BU195-1)*100),"NA",IF(((CC195/BU195-1)*100)&gt;100,"NM",IF(((CC195/BU195-1)*100)&lt;-50,"NM",(CC195/BU195-1)*100)))</f>
        <v>2.5089084430223174</v>
      </c>
      <c r="CE195" s="69">
        <f>+CE193+CE191+CE192+CE190+CE189+CE194</f>
        <v>28355</v>
      </c>
      <c r="CF195" s="61">
        <f>IF(ISERROR((CE195/BW195-1)*100),"NA",IF(((CE195/BW195-1)*100)&gt;100,"NM",IF(((CE195/BW195-1)*100)&lt;-50,"NM",(CE195/BW195-1)*100)))</f>
        <v>2.6722670818698724</v>
      </c>
      <c r="CG195" s="69">
        <f>+CG193+CG191+CG192+CG190+CG189+CG194</f>
        <v>28584</v>
      </c>
      <c r="CH195" s="61">
        <f>IF(ISERROR((CG195/BY195-1)*100),"NA",IF(((CG195/BY195-1)*100)&gt;100,"NM",IF(((CG195/BY195-1)*100)&lt;-50,"NM",(CG195/BY195-1)*100)))</f>
        <v>3.157818759247899</v>
      </c>
      <c r="CI195" s="69">
        <f>+CI193+CI191+CI192+CI190+CI189+CI194</f>
        <v>28794</v>
      </c>
      <c r="CJ195" s="61">
        <f>IF(ISERROR((CI195/CA195-1)*100),"NA",IF(((CI195/CA195-1)*100)&gt;100,"NM",IF(((CI195/CA195-1)*100)&lt;-50,"NM",(CI195/CA195-1)*100)))</f>
        <v>3.4824797843665767</v>
      </c>
      <c r="CK195" s="69">
        <f>+CK193+CK191+CK192+CK190+CK189+CK194</f>
        <v>29365</v>
      </c>
      <c r="CL195" s="61">
        <f>IF(ISERROR((CK195/CC195-1)*100),"NA",IF(((CK195/CC195-1)*100)&gt;100,"NM",IF(((CK195/CC195-1)*100)&lt;-50,"NM",(CK195/CC195-1)*100)))</f>
        <v>4.1607548240635728</v>
      </c>
      <c r="CM195" s="69">
        <f>+CM193+CM191+CM192+CM190+CM189+CM194</f>
        <v>29739</v>
      </c>
      <c r="CN195" s="61">
        <f>IF(ISERROR((CM195/CE195-1)*100),"NA",IF(((CM195/CE195-1)*100)&gt;100,"NM",IF(((CM195/CE195-1)*100)&lt;-50,"NM",(CM195/CE195-1)*100)))</f>
        <v>4.8809733733027771</v>
      </c>
      <c r="CO195" s="69">
        <f>+CO193+CO191+CO192+CO190+CO189+CO194</f>
        <v>30148</v>
      </c>
      <c r="CP195" s="61">
        <f>IF(ISERROR((CO195/CG195-1)*100),"NA",IF(((CO195/CG195-1)*100)&gt;100,"NM",IF(((CO195/CG195-1)*100)&lt;-50,"NM",(CO195/CG195-1)*100)))</f>
        <v>5.4715924993003151</v>
      </c>
      <c r="CQ195" s="69">
        <f>+CQ193+CQ191+CQ192+CQ190+CQ189+CQ194</f>
        <v>30638</v>
      </c>
      <c r="CR195" s="61">
        <f>IF(ISERROR((CQ195/CI195-1)*100),"NA",IF(((CQ195/CI195-1)*100)&gt;100,"NM",IF(((CQ195/CI195-1)*100)&lt;-50,"NM",(CQ195/CI195-1)*100)))</f>
        <v>6.4041119677710645</v>
      </c>
      <c r="CS195" s="69">
        <f>+CS193+CS191+CS192+CS190+CS189+CS194</f>
        <v>31219</v>
      </c>
      <c r="CT195" s="61">
        <f>IF(ISERROR((CS195/CK195-1)*100),"NA",IF(((CS195/CK195-1)*100)&gt;100,"NM",IF(((CS195/CK195-1)*100)&lt;-50,"NM",(CS195/CK195-1)*100)))</f>
        <v>6.3136386855099591</v>
      </c>
      <c r="CU195" s="69">
        <f>+CU193+CU191+CU192+CU190+CU189+CU194</f>
        <v>31494</v>
      </c>
      <c r="CV195" s="61">
        <f>IF(ISERROR((CU195/CM195-1)*100),"NA",IF(((CU195/CM195-1)*100)&gt;100,"NM",IF(((CU195/CM195-1)*100)&lt;-50,"NM",(CU195/CM195-1)*100)))</f>
        <v>5.9013416725511858</v>
      </c>
      <c r="CW195" s="69">
        <f>+CW193+CW191+CW192+CW190+CW189+CW194</f>
        <v>31750</v>
      </c>
      <c r="CX195" s="61">
        <f>IF(ISERROR((CW195/CO195-1)*100),"NA",IF(((CW195/CO195-1)*100)&gt;100,"NM",IF(((CW195/CO195-1)*100)&lt;-50,"NM",(CW195/CO195-1)*100)))</f>
        <v>5.3137853257264167</v>
      </c>
      <c r="CY195" s="69">
        <f>+CY193+CY191+CY192+CY190+CY189+CY194</f>
        <v>31986</v>
      </c>
      <c r="CZ195" s="61">
        <f>IF(ISERROR((CY195/CQ195-1)*100),"NA",IF(((CY195/CQ195-1)*100)&gt;100,"NM",IF(((CY195/CQ195-1)*100)&lt;-50,"NM",(CY195/CQ195-1)*100)))</f>
        <v>4.3997649977152609</v>
      </c>
      <c r="DA195" s="69">
        <f>+DA193+DA191+DA192+DA190+DA189+DA194</f>
        <v>32432</v>
      </c>
      <c r="DB195" s="61">
        <f>IF(ISERROR((DA195/CS195-1)*100),"NA",IF(((DA195/CS195-1)*100)&gt;100,"NM",IF(((DA195/CS195-1)*100)&lt;-50,"NM",(DA195/CS195-1)*100)))</f>
        <v>3.8854543707357747</v>
      </c>
      <c r="DC195" s="69">
        <f>+DC193+DC191+DC192+DC190+DC189+DC194</f>
        <v>32817</v>
      </c>
      <c r="DD195" s="61">
        <f>IF(ISERROR((DC195/CU195-1)*100),"NA",IF(((DC195/CU195-1)*100)&gt;100,"NM",IF(((DC195/CU195-1)*100)&lt;-50,"NM",(DC195/CU195-1)*100)))</f>
        <v>4.2008001524099781</v>
      </c>
      <c r="DE195" s="69">
        <f>+DE193+DE191+DE192+DE190+DE189+DE194</f>
        <v>33108</v>
      </c>
      <c r="DF195" s="61">
        <f>IF(ISERROR((DE195/CW195-1)*100),"NA",IF(((DE195/CW195-1)*100)&gt;100,"NM",IF(((DE195/CW195-1)*100)&lt;-50,"NM",(DE195/CW195-1)*100)))</f>
        <v>4.2771653543307142</v>
      </c>
      <c r="DG195" s="69">
        <f>+DG193+DG191+DG192+DG190+DG189+DG194</f>
        <v>33366</v>
      </c>
      <c r="DH195" s="61">
        <f>IF(ISERROR((DG195/CY195-1)*100),"NA",IF(((DG195/CY195-1)*100)&gt;100,"NM",IF(((DG195/CY195-1)*100)&lt;-50,"NM",(DG195/CY195-1)*100)))</f>
        <v>4.3143875445507351</v>
      </c>
      <c r="DI195" s="69">
        <f>+DI193+DI191+DI192+DI190+DI189+DI194</f>
        <v>33721</v>
      </c>
      <c r="DJ195" s="61">
        <f>IF(ISERROR((DI195/DA195-1)*100),"NA",IF(((DI195/DA195-1)*100)&gt;100,"NM",IF(((DI195/DA195-1)*100)&lt;-50,"NM",(DI195/DA195-1)*100)))</f>
        <v>3.9744696595954698</v>
      </c>
      <c r="DK195" s="69">
        <f>+DK193+DK191+DK192+DK190+DK189+DK194</f>
        <v>33886</v>
      </c>
      <c r="DL195" s="61">
        <f>IF(ISERROR((DK195/DC195-1)*100),"NA",IF(((DK195/DC195-1)*100)&gt;100,"NM",IF(((DK195/DC195-1)*100)&lt;-50,"NM",(DK195/DC195-1)*100)))</f>
        <v>3.2574580248042162</v>
      </c>
      <c r="DM195" s="69">
        <f>+DM193+DM191+DM192+DM190+DM189+DM194</f>
        <v>34094</v>
      </c>
      <c r="DN195" s="130">
        <f t="shared" si="1306"/>
        <v>2.978132173492809</v>
      </c>
      <c r="DO195" s="69">
        <f>+DO193+DO191+DO192+DO190+DO189+DO194</f>
        <v>34315</v>
      </c>
      <c r="DP195" s="130">
        <f t="shared" si="1306"/>
        <v>2.8442126715818583</v>
      </c>
      <c r="DQ195" s="69">
        <f>+DQ193+DQ191+DQ192+DQ190+DQ189+DQ194</f>
        <v>34612</v>
      </c>
      <c r="DR195" s="130">
        <f t="shared" si="1306"/>
        <v>2.6422703953026261</v>
      </c>
      <c r="DS195" s="69">
        <f>+DS193+DS191+DS192+DS190+DS189+DS194</f>
        <v>34753</v>
      </c>
      <c r="DT195" s="130">
        <f t="shared" si="1306"/>
        <v>2.5585787640913571</v>
      </c>
      <c r="DU195" s="69">
        <f>+DU193+DU191+DU192+DU190+DU189+DU194</f>
        <v>34930</v>
      </c>
      <c r="DV195" s="130">
        <f t="shared" si="1306"/>
        <v>2.452044347979121</v>
      </c>
      <c r="DW195" s="69">
        <f>+DW193+DW191+DW192+DW190+DW189+DW194</f>
        <v>35213</v>
      </c>
      <c r="DX195" s="69">
        <f t="shared" ref="DX195:DY195" si="1349">+DX193+DX191+DX192+DX190+DX189+DX194</f>
        <v>285.4520443479791</v>
      </c>
      <c r="DY195" s="69">
        <f t="shared" si="1349"/>
        <v>35545</v>
      </c>
      <c r="DZ195" s="130">
        <f t="shared" si="1306"/>
        <v>2.6955969028082727</v>
      </c>
      <c r="EA195" s="69">
        <f t="shared" ref="EA195:EC195" si="1350">+EA193+EA191+EA192+EA190+EA189+EA194</f>
        <v>35640</v>
      </c>
      <c r="EB195" s="130">
        <f t="shared" si="1308"/>
        <v>2.5522976433689282</v>
      </c>
      <c r="EC195" s="69">
        <f t="shared" si="1350"/>
        <v>35775</v>
      </c>
      <c r="ED195" s="130">
        <f t="shared" si="1309"/>
        <v>2.4191239622101346</v>
      </c>
      <c r="EE195" s="69">
        <f t="shared" ref="EE195:EG195" si="1351">+EE193+EE191+EE192+EE190+EE189+EE194</f>
        <v>35975</v>
      </c>
      <c r="EF195" s="130">
        <f t="shared" si="1310"/>
        <v>2.1639735325021947</v>
      </c>
      <c r="EG195" s="69">
        <f t="shared" si="1351"/>
        <v>36272</v>
      </c>
      <c r="EH195" s="130">
        <f t="shared" si="1311"/>
        <v>2.0452946968631203</v>
      </c>
      <c r="EI195" s="69">
        <f t="shared" ref="EI195:EK195" si="1352">+EI193+EI191+EI192+EI190+EI189+EI194</f>
        <v>36295</v>
      </c>
      <c r="EJ195" s="130">
        <f t="shared" si="1312"/>
        <v>1.8378226711559975</v>
      </c>
      <c r="EK195" s="69">
        <f t="shared" si="1352"/>
        <v>36454</v>
      </c>
      <c r="EL195" s="130">
        <f t="shared" si="1314"/>
        <v>1.8979734451432639</v>
      </c>
      <c r="EM195" s="69">
        <f t="shared" ref="EM195" si="1353">+EM193+EM191+EM192+EM190+EM189+EM194</f>
        <v>36576</v>
      </c>
      <c r="EN195" s="130">
        <f t="shared" si="1315"/>
        <v>1.6706045865184205</v>
      </c>
      <c r="EO195" s="69">
        <f t="shared" ref="EO195" si="1354">+EO193+EO191+EO192+EO190+EO189+EO194</f>
        <v>36791</v>
      </c>
      <c r="EP195" s="130">
        <f t="shared" si="1317"/>
        <v>1.4308557565063884</v>
      </c>
      <c r="EQ195" s="69">
        <f t="shared" ref="EQ195:EW195" si="1355">+EQ193+EQ191+EQ192+EQ190+EQ189+EQ194</f>
        <v>36990.266669947508</v>
      </c>
      <c r="ER195" s="130">
        <f t="shared" si="1319"/>
        <v>1.9155990355352204</v>
      </c>
      <c r="ES195" s="69">
        <f t="shared" si="1355"/>
        <v>37240.170005476408</v>
      </c>
      <c r="ET195" s="130">
        <f t="shared" si="1321"/>
        <v>2.1566083433269601</v>
      </c>
      <c r="EU195" s="69">
        <f t="shared" si="1355"/>
        <v>37439.378757950959</v>
      </c>
      <c r="EV195" s="130">
        <f t="shared" si="1323"/>
        <v>2.3605062279936639</v>
      </c>
      <c r="EW195" s="69">
        <f t="shared" si="1355"/>
        <v>37693.574028742994</v>
      </c>
      <c r="EX195" s="130">
        <f t="shared" si="1325"/>
        <v>2.4532467960723947</v>
      </c>
      <c r="EY195" s="64"/>
      <c r="EZ195" s="558"/>
      <c r="FA195" s="64"/>
      <c r="FB195" s="69"/>
      <c r="FC195" s="71"/>
      <c r="FD195" s="69"/>
      <c r="FE195" s="70"/>
      <c r="FF195" s="69"/>
      <c r="FG195" s="70"/>
      <c r="FH195" s="69"/>
      <c r="FI195" s="70"/>
      <c r="FJ195" s="69"/>
      <c r="FK195" s="70"/>
      <c r="FL195" s="69"/>
      <c r="FM195" s="61"/>
      <c r="FN195" s="69"/>
      <c r="FO195" s="61"/>
      <c r="FP195" s="73">
        <f>+FP193+FP191+FP192+FP190+FP189+FP194</f>
        <v>11810</v>
      </c>
      <c r="FQ195" s="61" t="str">
        <f t="shared" si="1326"/>
        <v>NA</v>
      </c>
      <c r="FR195" s="73">
        <f>+FR193+FR191+FR192+FR190+FR189+FR194</f>
        <v>21891</v>
      </c>
      <c r="FS195" s="61">
        <f t="shared" si="1327"/>
        <v>85.359864521591874</v>
      </c>
      <c r="FT195" s="73">
        <v>26518</v>
      </c>
      <c r="FU195" s="61">
        <f t="shared" si="1328"/>
        <v>21.136540130647298</v>
      </c>
      <c r="FV195" s="73">
        <f>+FV193+FV191+FV192+FV190+FV189+FV194</f>
        <v>27502</v>
      </c>
      <c r="FW195" s="61">
        <f t="shared" si="1329"/>
        <v>3.7106870804736403</v>
      </c>
      <c r="FX195" s="73">
        <f>CC195</f>
        <v>28192</v>
      </c>
      <c r="FY195" s="61">
        <f t="shared" si="1330"/>
        <v>2.5089084430223174</v>
      </c>
      <c r="FZ195" s="73">
        <f>CK195</f>
        <v>29365</v>
      </c>
      <c r="GA195" s="61">
        <f t="shared" si="1331"/>
        <v>4.1607548240635728</v>
      </c>
      <c r="GB195" s="73">
        <f>CS195</f>
        <v>31219</v>
      </c>
      <c r="GC195" s="61">
        <f t="shared" si="1332"/>
        <v>6.3136386855099591</v>
      </c>
      <c r="GD195" s="73">
        <f>DA195</f>
        <v>32432</v>
      </c>
      <c r="GE195" s="61">
        <f t="shared" si="1333"/>
        <v>3.8854543707357747</v>
      </c>
      <c r="GF195" s="73">
        <f>DI195</f>
        <v>33721</v>
      </c>
      <c r="GG195" s="61">
        <f t="shared" si="1334"/>
        <v>3.9744696595954698</v>
      </c>
      <c r="GH195" s="73">
        <f>DQ195</f>
        <v>34612</v>
      </c>
      <c r="GI195" s="61">
        <f t="shared" si="1334"/>
        <v>2.6422703953026261</v>
      </c>
      <c r="GJ195" s="73">
        <f>DY195</f>
        <v>35545</v>
      </c>
      <c r="GK195" s="61">
        <f t="shared" si="1334"/>
        <v>2.6955969028082727</v>
      </c>
      <c r="GL195" s="73">
        <f>EG195</f>
        <v>36272</v>
      </c>
      <c r="GM195" s="61">
        <f t="shared" si="1334"/>
        <v>2.0452946968631203</v>
      </c>
      <c r="GN195" s="73">
        <f>EO195</f>
        <v>36791</v>
      </c>
      <c r="GO195" s="61">
        <f t="shared" si="1334"/>
        <v>1.4308557565063884</v>
      </c>
      <c r="GP195" s="73">
        <f>EW195</f>
        <v>37693.574028742994</v>
      </c>
      <c r="GQ195" s="61">
        <f t="shared" si="1334"/>
        <v>2.4532467960723947</v>
      </c>
      <c r="GR195" s="69">
        <f>+GR193+GR191+GR192+GR190+GR189+GR194</f>
        <v>38631.663172326815</v>
      </c>
      <c r="GS195" s="61">
        <f t="shared" si="1334"/>
        <v>2.4887243190801822</v>
      </c>
      <c r="GT195" s="69">
        <f>+GT193+GT191+GT192+GT190+GT189+GT194</f>
        <v>39606.944548908243</v>
      </c>
      <c r="GU195" s="61">
        <f t="shared" si="1334"/>
        <v>2.5245648167694146</v>
      </c>
      <c r="GV195" s="69">
        <f>+GV193+GV191+GV192+GV190+GV189+GV194</f>
        <v>40621.178120507851</v>
      </c>
      <c r="GW195" s="61">
        <f t="shared" si="1334"/>
        <v>2.5607468163750813</v>
      </c>
      <c r="GX195" s="69">
        <f>+GX193+GX191+GX192+GX190+GX189+GX194</f>
        <v>41676.210824819362</v>
      </c>
      <c r="GY195" s="61">
        <f t="shared" si="1335"/>
        <v>2.5972479212237998</v>
      </c>
      <c r="GZ195" s="61">
        <f t="shared" si="1111"/>
        <v>2.5248934909946064</v>
      </c>
      <c r="HA195" s="61"/>
      <c r="HB195" s="452"/>
      <c r="HC195"/>
      <c r="HD195"/>
      <c r="HE195"/>
      <c r="HF195"/>
      <c r="HG195"/>
      <c r="HH195"/>
    </row>
    <row r="196" spans="1:216" s="5" customFormat="1" ht="12.75" customHeight="1" x14ac:dyDescent="0.2">
      <c r="B196" s="2" t="s">
        <v>186</v>
      </c>
      <c r="C196" s="69"/>
      <c r="D196" s="70"/>
      <c r="E196" s="69"/>
      <c r="F196" s="71"/>
      <c r="G196" s="69"/>
      <c r="H196" s="71"/>
      <c r="I196" s="69"/>
      <c r="J196" s="61"/>
      <c r="K196" s="69"/>
      <c r="L196" s="61"/>
      <c r="M196" s="69"/>
      <c r="N196" s="61"/>
      <c r="O196" s="69"/>
      <c r="P196" s="61"/>
      <c r="Q196" s="69"/>
      <c r="R196" s="61"/>
      <c r="S196" s="69"/>
      <c r="T196" s="61"/>
      <c r="U196" s="69"/>
      <c r="V196" s="61"/>
      <c r="W196" s="69"/>
      <c r="X196" s="61"/>
      <c r="Y196" s="69"/>
      <c r="Z196" s="61"/>
      <c r="AA196" s="69"/>
      <c r="AB196" s="61"/>
      <c r="AC196" s="69"/>
      <c r="AD196" s="61"/>
      <c r="AE196" s="69"/>
      <c r="AF196" s="61"/>
      <c r="AG196" s="69"/>
      <c r="AH196" s="61"/>
      <c r="AI196" s="69"/>
      <c r="AJ196" s="61"/>
      <c r="AK196" s="69"/>
      <c r="AL196" s="61"/>
      <c r="AM196" s="69"/>
      <c r="AN196" s="61"/>
      <c r="AO196" s="69"/>
      <c r="AP196" s="61"/>
      <c r="AQ196" s="69"/>
      <c r="AR196" s="61"/>
      <c r="AS196" s="69"/>
      <c r="AT196" s="61"/>
      <c r="AU196" s="69"/>
      <c r="AV196" s="61"/>
      <c r="AW196" s="69"/>
      <c r="AX196" s="61"/>
      <c r="AY196" s="72">
        <v>0</v>
      </c>
      <c r="AZ196" s="61"/>
      <c r="BA196" s="72">
        <v>0</v>
      </c>
      <c r="BB196" s="61"/>
      <c r="BC196" s="72">
        <v>0</v>
      </c>
      <c r="BD196" s="61"/>
      <c r="BE196" s="72">
        <v>0</v>
      </c>
      <c r="BF196" s="61"/>
      <c r="BG196" s="72">
        <v>0</v>
      </c>
      <c r="BH196" s="61"/>
      <c r="BI196" s="72">
        <v>0</v>
      </c>
      <c r="BJ196" s="61"/>
      <c r="BK196" s="72">
        <v>0</v>
      </c>
      <c r="BL196" s="61"/>
      <c r="BM196" s="72">
        <v>0</v>
      </c>
      <c r="BN196" s="61"/>
      <c r="BO196" s="72">
        <v>0</v>
      </c>
      <c r="BP196" s="61"/>
      <c r="BQ196" s="72">
        <v>0</v>
      </c>
      <c r="BR196" s="61"/>
      <c r="BS196" s="72">
        <v>0</v>
      </c>
      <c r="BT196" s="61"/>
      <c r="BU196" s="72">
        <v>0</v>
      </c>
      <c r="BV196" s="61"/>
      <c r="BW196" s="72">
        <v>-938</v>
      </c>
      <c r="BX196" s="61"/>
      <c r="BY196" s="72">
        <v>-930</v>
      </c>
      <c r="BZ196" s="61"/>
      <c r="CA196" s="72">
        <v>-923</v>
      </c>
      <c r="CB196" s="61"/>
      <c r="CC196" s="72">
        <v>-917</v>
      </c>
      <c r="CD196" s="61"/>
      <c r="CE196" s="72">
        <v>-911</v>
      </c>
      <c r="CF196" s="61"/>
      <c r="CG196" s="72">
        <v>-903</v>
      </c>
      <c r="CH196" s="61"/>
      <c r="CI196" s="72">
        <v>-899</v>
      </c>
      <c r="CJ196" s="61"/>
      <c r="CK196" s="72">
        <v>-888</v>
      </c>
      <c r="CL196" s="61"/>
      <c r="CM196" s="72">
        <v>-885</v>
      </c>
      <c r="CN196" s="61"/>
      <c r="CO196" s="72">
        <v>-881</v>
      </c>
      <c r="CP196" s="61"/>
      <c r="CQ196" s="72">
        <v>-877</v>
      </c>
      <c r="CR196" s="61"/>
      <c r="CS196" s="72">
        <v>-870</v>
      </c>
      <c r="CT196" s="61"/>
      <c r="CU196" s="72">
        <v>-862</v>
      </c>
      <c r="CV196" s="61"/>
      <c r="CW196" s="72">
        <v>-859</v>
      </c>
      <c r="CX196" s="61"/>
      <c r="CY196" s="72">
        <v>-847</v>
      </c>
      <c r="CZ196" s="61"/>
      <c r="DA196" s="72">
        <v>-838</v>
      </c>
      <c r="DB196" s="61"/>
      <c r="DC196" s="72">
        <v>-831</v>
      </c>
      <c r="DD196" s="61"/>
      <c r="DE196" s="72">
        <v>-819</v>
      </c>
      <c r="DF196" s="61"/>
      <c r="DG196" s="72">
        <v>-813</v>
      </c>
      <c r="DH196" s="61"/>
      <c r="DI196" s="72">
        <v>-809</v>
      </c>
      <c r="DJ196" s="61"/>
      <c r="DK196" s="72">
        <v>-804</v>
      </c>
      <c r="DL196" s="61"/>
      <c r="DM196" s="72">
        <v>-797</v>
      </c>
      <c r="DN196" s="130">
        <f t="shared" si="1306"/>
        <v>-2.6862026862026878</v>
      </c>
      <c r="DO196" s="72">
        <v>-793</v>
      </c>
      <c r="DP196" s="130">
        <f t="shared" si="1306"/>
        <v>-2.4600246002460024</v>
      </c>
      <c r="DQ196" s="72">
        <v>-784</v>
      </c>
      <c r="DR196" s="130">
        <f t="shared" si="1306"/>
        <v>-3.0902348578491945</v>
      </c>
      <c r="DS196" s="72">
        <v>-782</v>
      </c>
      <c r="DT196" s="130">
        <f t="shared" si="1306"/>
        <v>-2.7363184079602032</v>
      </c>
      <c r="DU196" s="72">
        <v>-773</v>
      </c>
      <c r="DV196" s="130">
        <f t="shared" si="1306"/>
        <v>-3.0112923462986219</v>
      </c>
      <c r="DW196" s="72">
        <v>-770</v>
      </c>
      <c r="DX196" s="72">
        <v>-770</v>
      </c>
      <c r="DY196" s="72">
        <v>-763</v>
      </c>
      <c r="DZ196" s="130">
        <f t="shared" si="1306"/>
        <v>-2.6785714285714302</v>
      </c>
      <c r="EA196" s="72">
        <v>-763</v>
      </c>
      <c r="EB196" s="130">
        <f t="shared" si="1308"/>
        <v>-2.4296675191815886</v>
      </c>
      <c r="EC196" s="72">
        <v>-760</v>
      </c>
      <c r="ED196" s="130">
        <f t="shared" si="1309"/>
        <v>-1.681759379042691</v>
      </c>
      <c r="EE196" s="72">
        <v>-756</v>
      </c>
      <c r="EF196" s="130">
        <f t="shared" si="1310"/>
        <v>-1.8181818181818188</v>
      </c>
      <c r="EG196" s="72">
        <v>-747</v>
      </c>
      <c r="EH196" s="130">
        <f t="shared" si="1311"/>
        <v>-2.0969855832241202</v>
      </c>
      <c r="EI196" s="72">
        <v>-738</v>
      </c>
      <c r="EJ196" s="130">
        <f t="shared" si="1312"/>
        <v>-3.2765399737876844</v>
      </c>
      <c r="EK196" s="72">
        <v>-734</v>
      </c>
      <c r="EL196" s="130">
        <f t="shared" si="1314"/>
        <v>-3.4210526315789469</v>
      </c>
      <c r="EM196" s="72">
        <v>-726</v>
      </c>
      <c r="EN196" s="130">
        <f t="shared" si="1315"/>
        <v>-3.9682539682539653</v>
      </c>
      <c r="EO196" s="72">
        <v>-719</v>
      </c>
      <c r="EP196" s="130">
        <f t="shared" si="1317"/>
        <v>-3.7483266398929072</v>
      </c>
      <c r="EQ196" s="72">
        <f t="shared" ref="EQ196" si="1356">(EO196/EO190)*EQ190</f>
        <v>-682.86276041666667</v>
      </c>
      <c r="ER196" s="130">
        <f t="shared" si="1319"/>
        <v>-7.4711706752484179</v>
      </c>
      <c r="ES196" s="72">
        <f t="shared" ref="ES196" si="1357">(EQ196/EQ190)*ES190</f>
        <v>-730.70247395833326</v>
      </c>
      <c r="ET196" s="130">
        <f t="shared" si="1321"/>
        <v>-0.44925422910990775</v>
      </c>
      <c r="EU196" s="72">
        <f t="shared" ref="EU196" si="1358">(ES196/ES190)*EU190</f>
        <v>-701.21223958333326</v>
      </c>
      <c r="EV196" s="130">
        <f t="shared" si="1323"/>
        <v>-3.4142920684113953</v>
      </c>
      <c r="EW196" s="72">
        <f t="shared" ref="EW196" si="1359">(EU196/EU190)*EW190</f>
        <v>-754.95</v>
      </c>
      <c r="EX196" s="130">
        <f t="shared" si="1325"/>
        <v>5.0000000000000044</v>
      </c>
      <c r="EY196" s="64"/>
      <c r="EZ196" s="558"/>
      <c r="FA196" s="64"/>
      <c r="FB196" s="69"/>
      <c r="FC196" s="71"/>
      <c r="FD196" s="69"/>
      <c r="FE196" s="70"/>
      <c r="FF196" s="69"/>
      <c r="FG196" s="70"/>
      <c r="FH196" s="69"/>
      <c r="FI196" s="70"/>
      <c r="FJ196" s="69"/>
      <c r="FK196" s="70"/>
      <c r="FL196" s="69"/>
      <c r="FM196" s="61"/>
      <c r="FN196" s="69"/>
      <c r="FO196" s="61"/>
      <c r="FP196" s="73"/>
      <c r="FQ196" s="61"/>
      <c r="FR196" s="73"/>
      <c r="FS196" s="61"/>
      <c r="FT196" s="73"/>
      <c r="FU196" s="61"/>
      <c r="FV196" s="73">
        <f>+BO196+BQ196+BS196+BU196</f>
        <v>0</v>
      </c>
      <c r="FW196" s="61"/>
      <c r="FX196" s="73">
        <f>+BW196+BY196+CA196+CC196</f>
        <v>-3708</v>
      </c>
      <c r="FY196" s="61" t="str">
        <f t="shared" si="1330"/>
        <v>NA</v>
      </c>
      <c r="FZ196" s="73">
        <f>+CE196+CG196+CI196+CK196</f>
        <v>-3601</v>
      </c>
      <c r="GA196" s="61">
        <f t="shared" si="1331"/>
        <v>-2.8856526429342</v>
      </c>
      <c r="GB196" s="73">
        <f>+CM196+CO196+CQ196+CS196</f>
        <v>-3513</v>
      </c>
      <c r="GC196" s="61">
        <f t="shared" si="1332"/>
        <v>-2.4437656206609315</v>
      </c>
      <c r="GD196" s="73">
        <f>+CU196+CW196+CY196+DA196</f>
        <v>-3406</v>
      </c>
      <c r="GE196" s="61">
        <f t="shared" si="1333"/>
        <v>-3.0458297751209784</v>
      </c>
      <c r="GF196" s="73">
        <f>+DC196+DE196+DG196+DI196</f>
        <v>-3272</v>
      </c>
      <c r="GG196" s="61">
        <f t="shared" si="1334"/>
        <v>-3.9342337052260756</v>
      </c>
      <c r="GH196" s="73">
        <f>+DK196+DM196+DO196+DQ196</f>
        <v>-3178</v>
      </c>
      <c r="GI196" s="61">
        <f t="shared" si="1334"/>
        <v>-2.8728606356968167</v>
      </c>
      <c r="GJ196" s="73">
        <f>+DS196+DU196+DW196+DY196</f>
        <v>-3088</v>
      </c>
      <c r="GK196" s="61">
        <f t="shared" si="1334"/>
        <v>-2.8319697923222198</v>
      </c>
      <c r="GL196" s="73">
        <f>+EA196+EC196+EE196+EG196</f>
        <v>-3026</v>
      </c>
      <c r="GM196" s="61">
        <f t="shared" si="1334"/>
        <v>-2.0077720207253846</v>
      </c>
      <c r="GN196" s="73">
        <f>+EI196+EK196+EM196+EO196</f>
        <v>-2917</v>
      </c>
      <c r="GO196" s="61">
        <f t="shared" si="1334"/>
        <v>-3.6021150033046956</v>
      </c>
      <c r="GP196" s="73">
        <f>+EQ196+ES196+EU196+EW196</f>
        <v>-2869.7274739583327</v>
      </c>
      <c r="GQ196" s="61">
        <f t="shared" si="1334"/>
        <v>-1.6205871114729931</v>
      </c>
      <c r="GR196" s="69">
        <f>(GP196/GP190)*GR190</f>
        <v>-3013.2138476562491</v>
      </c>
      <c r="GS196" s="61">
        <f t="shared" si="1334"/>
        <v>4.9999999999999822</v>
      </c>
      <c r="GT196" s="69">
        <f>(GR196/GR190)*GT190</f>
        <v>-3163.8745400390621</v>
      </c>
      <c r="GU196" s="61">
        <f t="shared" si="1334"/>
        <v>5.0000000000000266</v>
      </c>
      <c r="GV196" s="69">
        <f>(GT196/GT190)*GV190</f>
        <v>-3322.0682670410151</v>
      </c>
      <c r="GW196" s="61">
        <f t="shared" si="1334"/>
        <v>5.0000000000000044</v>
      </c>
      <c r="GX196" s="69">
        <f>(GV196/GV190)*GX190</f>
        <v>-3488.1716803930663</v>
      </c>
      <c r="GY196" s="61">
        <f t="shared" si="1335"/>
        <v>5.0000000000000044</v>
      </c>
      <c r="GZ196" s="61">
        <f t="shared" si="1111"/>
        <v>3.6411646240846141</v>
      </c>
      <c r="HA196" s="61"/>
      <c r="HB196" s="452"/>
      <c r="HC196"/>
      <c r="HD196"/>
      <c r="HE196"/>
      <c r="HF196"/>
      <c r="HG196"/>
      <c r="HH196"/>
    </row>
    <row r="197" spans="1:216" s="5" customFormat="1" ht="12.75" customHeight="1" x14ac:dyDescent="0.2">
      <c r="B197" s="2" t="s">
        <v>478</v>
      </c>
      <c r="C197" s="69"/>
      <c r="D197" s="70"/>
      <c r="E197" s="69"/>
      <c r="F197" s="71"/>
      <c r="G197" s="69"/>
      <c r="H197" s="71"/>
      <c r="I197" s="69"/>
      <c r="J197" s="61"/>
      <c r="K197" s="69"/>
      <c r="L197" s="61"/>
      <c r="M197" s="69"/>
      <c r="N197" s="61"/>
      <c r="O197" s="69"/>
      <c r="P197" s="61"/>
      <c r="Q197" s="69"/>
      <c r="R197" s="61"/>
      <c r="S197" s="69"/>
      <c r="T197" s="61"/>
      <c r="U197" s="69"/>
      <c r="V197" s="61"/>
      <c r="W197" s="69"/>
      <c r="X197" s="61"/>
      <c r="Y197" s="69"/>
      <c r="Z197" s="61"/>
      <c r="AA197" s="69"/>
      <c r="AB197" s="61"/>
      <c r="AC197" s="69"/>
      <c r="AD197" s="61"/>
      <c r="AE197" s="69"/>
      <c r="AF197" s="61"/>
      <c r="AG197" s="69"/>
      <c r="AH197" s="61"/>
      <c r="AI197" s="69"/>
      <c r="AJ197" s="61"/>
      <c r="AK197" s="69"/>
      <c r="AL197" s="61"/>
      <c r="AM197" s="69"/>
      <c r="AN197" s="61"/>
      <c r="AO197" s="69"/>
      <c r="AP197" s="61"/>
      <c r="AQ197" s="69"/>
      <c r="AR197" s="61"/>
      <c r="AS197" s="69"/>
      <c r="AT197" s="61"/>
      <c r="AU197" s="69"/>
      <c r="AV197" s="61"/>
      <c r="AW197" s="69"/>
      <c r="AX197" s="61"/>
      <c r="AY197" s="69">
        <f>AY195+AY196</f>
        <v>11913</v>
      </c>
      <c r="AZ197" s="61"/>
      <c r="BA197" s="69">
        <f>BA195+BA196</f>
        <v>21285</v>
      </c>
      <c r="BB197" s="61"/>
      <c r="BC197" s="69">
        <f>BC195+BC196</f>
        <v>21516</v>
      </c>
      <c r="BD197" s="61"/>
      <c r="BE197" s="69">
        <f>BE195+BE196</f>
        <v>21890</v>
      </c>
      <c r="BF197" s="61"/>
      <c r="BG197" s="69">
        <f>BG195+BG196</f>
        <v>25575</v>
      </c>
      <c r="BH197" s="61"/>
      <c r="BI197" s="69">
        <f>BI195+BI196</f>
        <v>25864</v>
      </c>
      <c r="BJ197" s="61"/>
      <c r="BK197" s="69">
        <f>BK195+BK196</f>
        <v>26162</v>
      </c>
      <c r="BL197" s="61"/>
      <c r="BM197" s="69">
        <f>BM195+BM196</f>
        <v>26518</v>
      </c>
      <c r="BN197" s="61"/>
      <c r="BO197" s="69">
        <f>BO195+BO196</f>
        <v>26726</v>
      </c>
      <c r="BP197" s="61"/>
      <c r="BQ197" s="69">
        <f>BQ195+BQ196</f>
        <v>26980</v>
      </c>
      <c r="BR197" s="61"/>
      <c r="BS197" s="69">
        <f>BS195+BS196</f>
        <v>27227</v>
      </c>
      <c r="BT197" s="61"/>
      <c r="BU197" s="69">
        <f>BU195+BU196</f>
        <v>27502</v>
      </c>
      <c r="BV197" s="61"/>
      <c r="BW197" s="69">
        <f>BW195+BW196</f>
        <v>26679</v>
      </c>
      <c r="BX197" s="61"/>
      <c r="BY197" s="69">
        <f>BY195+BY196</f>
        <v>26779</v>
      </c>
      <c r="BZ197" s="61"/>
      <c r="CA197" s="69">
        <f>CA195+CA196</f>
        <v>26902</v>
      </c>
      <c r="CB197" s="61"/>
      <c r="CC197" s="69">
        <f>CC195+CC196</f>
        <v>27275</v>
      </c>
      <c r="CD197" s="61"/>
      <c r="CE197" s="69">
        <f>CE195+CE196</f>
        <v>27444</v>
      </c>
      <c r="CF197" s="61"/>
      <c r="CG197" s="69">
        <f>CG195+CG196</f>
        <v>27681</v>
      </c>
      <c r="CH197" s="61"/>
      <c r="CI197" s="69">
        <f>CI195+CI196</f>
        <v>27895</v>
      </c>
      <c r="CJ197" s="61"/>
      <c r="CK197" s="69">
        <f>CK195+CK196</f>
        <v>28477</v>
      </c>
      <c r="CL197" s="61"/>
      <c r="CM197" s="69">
        <f>CM195+CM196</f>
        <v>28854</v>
      </c>
      <c r="CN197" s="61"/>
      <c r="CO197" s="69">
        <f>CO195+CO196</f>
        <v>29267</v>
      </c>
      <c r="CP197" s="61"/>
      <c r="CQ197" s="69">
        <f>CQ195+CQ196</f>
        <v>29761</v>
      </c>
      <c r="CR197" s="61"/>
      <c r="CS197" s="69">
        <f>CS195+CS196</f>
        <v>30349</v>
      </c>
      <c r="CT197" s="61"/>
      <c r="CU197" s="69">
        <f>CU195+CU196</f>
        <v>30632</v>
      </c>
      <c r="CV197" s="61"/>
      <c r="CW197" s="69">
        <f>CW195+CW196</f>
        <v>30891</v>
      </c>
      <c r="CX197" s="61"/>
      <c r="CY197" s="69">
        <f>CY195+CY196</f>
        <v>31139</v>
      </c>
      <c r="CZ197" s="61"/>
      <c r="DA197" s="69">
        <f>DA195+DA196</f>
        <v>31594</v>
      </c>
      <c r="DB197" s="61"/>
      <c r="DC197" s="69">
        <f>DC195+DC196</f>
        <v>31986</v>
      </c>
      <c r="DD197" s="61"/>
      <c r="DE197" s="69">
        <f>DE195+DE196</f>
        <v>32289</v>
      </c>
      <c r="DF197" s="61"/>
      <c r="DG197" s="69">
        <f>DG195+DG196</f>
        <v>32553</v>
      </c>
      <c r="DH197" s="61"/>
      <c r="DI197" s="69">
        <f>DI195+DI196</f>
        <v>32912</v>
      </c>
      <c r="DJ197" s="61"/>
      <c r="DK197" s="69">
        <f>DK195+DK196</f>
        <v>33082</v>
      </c>
      <c r="DL197" s="61"/>
      <c r="DM197" s="69">
        <f>DM195+DM196</f>
        <v>33297</v>
      </c>
      <c r="DN197" s="130">
        <f t="shared" si="1306"/>
        <v>3.1218061878658387</v>
      </c>
      <c r="DO197" s="69">
        <f>DO195+DO196</f>
        <v>33522</v>
      </c>
      <c r="DP197" s="130">
        <f t="shared" si="1306"/>
        <v>2.9766841765735963</v>
      </c>
      <c r="DQ197" s="69">
        <f>DQ195+DQ196</f>
        <v>33828</v>
      </c>
      <c r="DR197" s="130">
        <f t="shared" si="1306"/>
        <v>2.7831793874574684</v>
      </c>
      <c r="DS197" s="69">
        <f>DS195+DS196</f>
        <v>33971</v>
      </c>
      <c r="DT197" s="130">
        <f t="shared" si="1306"/>
        <v>2.6872619551417731</v>
      </c>
      <c r="DU197" s="69">
        <f>DU195+DU196</f>
        <v>34157</v>
      </c>
      <c r="DV197" s="130">
        <f t="shared" si="1306"/>
        <v>2.582815268642813</v>
      </c>
      <c r="DW197" s="69">
        <f>DW195+DW196</f>
        <v>34443</v>
      </c>
      <c r="DX197" s="69">
        <f t="shared" ref="DX197:DY197" si="1360">DX195+DX196</f>
        <v>-484.5479556520209</v>
      </c>
      <c r="DY197" s="69">
        <f t="shared" si="1360"/>
        <v>34782</v>
      </c>
      <c r="DZ197" s="130">
        <f t="shared" si="1306"/>
        <v>2.8201489890032017</v>
      </c>
      <c r="EA197" s="69">
        <f t="shared" ref="EA197:EC197" si="1361">EA195+EA196</f>
        <v>34877</v>
      </c>
      <c r="EB197" s="130">
        <f t="shared" si="1308"/>
        <v>2.6669806599746826</v>
      </c>
      <c r="EC197" s="69">
        <f t="shared" si="1361"/>
        <v>35015</v>
      </c>
      <c r="ED197" s="130">
        <f t="shared" si="1309"/>
        <v>2.5119302046432646</v>
      </c>
      <c r="EE197" s="69">
        <f t="shared" ref="EE197:EG197" si="1362">EE195+EE196</f>
        <v>35219</v>
      </c>
      <c r="EF197" s="130">
        <f t="shared" si="1310"/>
        <v>2.2529977063554307</v>
      </c>
      <c r="EG197" s="69">
        <f t="shared" si="1362"/>
        <v>35525</v>
      </c>
      <c r="EH197" s="130">
        <f t="shared" si="1311"/>
        <v>2.1361623828416887</v>
      </c>
      <c r="EI197" s="69">
        <f t="shared" ref="EI197" si="1363">EI195+EI196</f>
        <v>35557</v>
      </c>
      <c r="EJ197" s="130">
        <f t="shared" si="1312"/>
        <v>1.9497089772629428</v>
      </c>
      <c r="EK197" s="69">
        <f t="shared" ref="EK197:EM197" si="1364">EK195+EK196</f>
        <v>35720</v>
      </c>
      <c r="EL197" s="130">
        <f t="shared" si="1314"/>
        <v>2.0134228187919545</v>
      </c>
      <c r="EM197" s="69">
        <f t="shared" si="1364"/>
        <v>35850</v>
      </c>
      <c r="EN197" s="130">
        <f t="shared" si="1315"/>
        <v>1.7916465544166593</v>
      </c>
      <c r="EO197" s="69">
        <f t="shared" ref="EO197" si="1365">EO195+EO196</f>
        <v>36072</v>
      </c>
      <c r="EP197" s="130">
        <f t="shared" si="1317"/>
        <v>1.5397607318789586</v>
      </c>
      <c r="EQ197" s="69">
        <f t="shared" ref="EQ197:EW197" si="1366">EQ195+EQ196</f>
        <v>36307.40390953084</v>
      </c>
      <c r="ER197" s="130">
        <f t="shared" si="1319"/>
        <v>2.1104252595293138</v>
      </c>
      <c r="ES197" s="69">
        <f t="shared" si="1366"/>
        <v>36509.467531518072</v>
      </c>
      <c r="ET197" s="130">
        <f t="shared" si="1321"/>
        <v>2.210155463376462</v>
      </c>
      <c r="EU197" s="69">
        <f t="shared" si="1366"/>
        <v>36738.166518367623</v>
      </c>
      <c r="EV197" s="130">
        <f t="shared" si="1323"/>
        <v>2.477451934079844</v>
      </c>
      <c r="EW197" s="69">
        <f t="shared" si="1366"/>
        <v>36938.624028742997</v>
      </c>
      <c r="EX197" s="130">
        <f t="shared" si="1325"/>
        <v>2.4024840007290882</v>
      </c>
      <c r="EY197" s="64"/>
      <c r="EZ197" s="558"/>
      <c r="FA197" s="64"/>
      <c r="FB197" s="69"/>
      <c r="FC197" s="71"/>
      <c r="FD197" s="69"/>
      <c r="FE197" s="70"/>
      <c r="FF197" s="69"/>
      <c r="FG197" s="70"/>
      <c r="FH197" s="69"/>
      <c r="FI197" s="70"/>
      <c r="FJ197" s="69"/>
      <c r="FK197" s="70"/>
      <c r="FL197" s="69"/>
      <c r="FM197" s="61"/>
      <c r="FN197" s="69"/>
      <c r="FO197" s="61"/>
      <c r="FP197" s="73"/>
      <c r="FQ197" s="61"/>
      <c r="FR197" s="73"/>
      <c r="FS197" s="61"/>
      <c r="FT197" s="69">
        <f>FT195+FT196</f>
        <v>26518</v>
      </c>
      <c r="FU197" s="61"/>
      <c r="FV197" s="69">
        <f>FV195+FV196</f>
        <v>27502</v>
      </c>
      <c r="FW197" s="61"/>
      <c r="FX197" s="69">
        <f>FX195+FX196</f>
        <v>24484</v>
      </c>
      <c r="FY197" s="61"/>
      <c r="FZ197" s="69">
        <f>FZ195+FZ196</f>
        <v>25764</v>
      </c>
      <c r="GA197" s="61"/>
      <c r="GB197" s="69">
        <f>GB195+GB196</f>
        <v>27706</v>
      </c>
      <c r="GC197" s="61"/>
      <c r="GD197" s="69">
        <f>GD195+GD196</f>
        <v>29026</v>
      </c>
      <c r="GE197" s="61"/>
      <c r="GF197" s="69">
        <f>GF195+GF196</f>
        <v>30449</v>
      </c>
      <c r="GG197" s="61">
        <f t="shared" si="1334"/>
        <v>4.9025012058154793</v>
      </c>
      <c r="GH197" s="69">
        <f>GH195+GH196</f>
        <v>31434</v>
      </c>
      <c r="GI197" s="61">
        <f t="shared" si="1334"/>
        <v>3.2349174028703631</v>
      </c>
      <c r="GJ197" s="69">
        <f>GJ195+GJ196</f>
        <v>32457</v>
      </c>
      <c r="GK197" s="61">
        <f t="shared" si="1334"/>
        <v>3.2544378698224907</v>
      </c>
      <c r="GL197" s="69">
        <f>GL195+GL196</f>
        <v>33246</v>
      </c>
      <c r="GM197" s="61">
        <f t="shared" si="1334"/>
        <v>2.4309085867455504</v>
      </c>
      <c r="GN197" s="69">
        <f>GN195+GN196</f>
        <v>33874</v>
      </c>
      <c r="GO197" s="61">
        <f t="shared" si="1334"/>
        <v>1.888949046501831</v>
      </c>
      <c r="GP197" s="69">
        <f>GP195+GP196</f>
        <v>34823.846554784664</v>
      </c>
      <c r="GQ197" s="61">
        <f t="shared" si="1334"/>
        <v>2.8040578460904131</v>
      </c>
      <c r="GR197" s="69">
        <f>GR195+GR196</f>
        <v>35618.449324670568</v>
      </c>
      <c r="GS197" s="61">
        <f t="shared" si="1334"/>
        <v>2.2817777141185047</v>
      </c>
      <c r="GT197" s="69">
        <f>GT195+GT196</f>
        <v>36443.070008869181</v>
      </c>
      <c r="GU197" s="61">
        <f t="shared" si="1334"/>
        <v>2.315150434208979</v>
      </c>
      <c r="GV197" s="69">
        <f>GV195+GV196</f>
        <v>37299.109853466834</v>
      </c>
      <c r="GW197" s="61">
        <f t="shared" si="1334"/>
        <v>2.3489784049184559</v>
      </c>
      <c r="GX197" s="69">
        <f>GX195+GX196</f>
        <v>38188.039144426293</v>
      </c>
      <c r="GY197" s="61">
        <f t="shared" si="1335"/>
        <v>2.3832453226141359</v>
      </c>
      <c r="GZ197" s="61">
        <f t="shared" si="1111"/>
        <v>2.4264628337937522</v>
      </c>
      <c r="HA197" s="61"/>
      <c r="HB197" s="452"/>
      <c r="HC197"/>
      <c r="HD197"/>
      <c r="HE197"/>
      <c r="HF197"/>
      <c r="HG197"/>
      <c r="HH197"/>
    </row>
    <row r="198" spans="1:216" s="5" customFormat="1" ht="12.75" customHeight="1" x14ac:dyDescent="0.2">
      <c r="B198" s="2"/>
      <c r="C198" s="69"/>
      <c r="D198" s="70"/>
      <c r="E198" s="69"/>
      <c r="F198" s="71"/>
      <c r="G198" s="69"/>
      <c r="H198" s="71"/>
      <c r="I198" s="69"/>
      <c r="J198" s="61"/>
      <c r="K198" s="69"/>
      <c r="L198" s="61"/>
      <c r="M198" s="69"/>
      <c r="N198" s="61"/>
      <c r="O198" s="69"/>
      <c r="P198" s="61"/>
      <c r="Q198" s="69"/>
      <c r="R198" s="61"/>
      <c r="S198" s="69"/>
      <c r="T198" s="61"/>
      <c r="U198" s="69"/>
      <c r="V198" s="61"/>
      <c r="W198" s="69"/>
      <c r="X198" s="61"/>
      <c r="Y198" s="69"/>
      <c r="Z198" s="61"/>
      <c r="AA198" s="69"/>
      <c r="AB198" s="61"/>
      <c r="AC198" s="69"/>
      <c r="AD198" s="61"/>
      <c r="AE198" s="69"/>
      <c r="AF198" s="61"/>
      <c r="AG198" s="69"/>
      <c r="AH198" s="61"/>
      <c r="AI198" s="69"/>
      <c r="AJ198" s="61"/>
      <c r="AK198" s="69"/>
      <c r="AL198" s="61"/>
      <c r="AM198" s="69"/>
      <c r="AN198" s="61"/>
      <c r="AO198" s="69"/>
      <c r="AP198" s="61"/>
      <c r="AQ198" s="69"/>
      <c r="AR198" s="61"/>
      <c r="AS198" s="69"/>
      <c r="AT198" s="61"/>
      <c r="AU198" s="69"/>
      <c r="AV198" s="61"/>
      <c r="AW198" s="69"/>
      <c r="AX198" s="61"/>
      <c r="AY198" s="69"/>
      <c r="AZ198" s="61"/>
      <c r="BA198" s="69"/>
      <c r="BB198" s="61"/>
      <c r="BC198" s="69"/>
      <c r="BD198" s="61"/>
      <c r="BE198" s="69"/>
      <c r="BF198" s="61"/>
      <c r="BG198" s="69"/>
      <c r="BH198" s="61"/>
      <c r="BI198" s="69"/>
      <c r="BJ198" s="61"/>
      <c r="BK198" s="69"/>
      <c r="BL198" s="61"/>
      <c r="BM198" s="69"/>
      <c r="BN198" s="61"/>
      <c r="BO198" s="69"/>
      <c r="BP198" s="61"/>
      <c r="BQ198" s="69"/>
      <c r="BR198" s="61"/>
      <c r="BS198" s="69"/>
      <c r="BT198" s="61"/>
      <c r="BU198" s="69"/>
      <c r="BV198" s="61"/>
      <c r="BW198" s="69"/>
      <c r="BX198" s="61"/>
      <c r="BY198" s="69"/>
      <c r="BZ198" s="61"/>
      <c r="CA198" s="69"/>
      <c r="CB198" s="61"/>
      <c r="CC198" s="69"/>
      <c r="CD198" s="61"/>
      <c r="CE198" s="69"/>
      <c r="CF198" s="61"/>
      <c r="CG198" s="69"/>
      <c r="CH198" s="61"/>
      <c r="CI198" s="69"/>
      <c r="CJ198" s="61"/>
      <c r="CK198" s="69"/>
      <c r="CL198" s="61"/>
      <c r="CM198" s="69"/>
      <c r="CN198" s="61"/>
      <c r="CO198" s="69"/>
      <c r="CP198" s="61"/>
      <c r="CQ198" s="69"/>
      <c r="CR198" s="61"/>
      <c r="CS198" s="69"/>
      <c r="CT198" s="61"/>
      <c r="CU198" s="69"/>
      <c r="CV198" s="61"/>
      <c r="CW198" s="69"/>
      <c r="CX198" s="61"/>
      <c r="CY198" s="69"/>
      <c r="CZ198" s="61"/>
      <c r="DA198" s="69"/>
      <c r="DB198" s="61"/>
      <c r="DC198" s="69"/>
      <c r="DD198" s="61"/>
      <c r="DE198" s="69"/>
      <c r="DF198" s="61"/>
      <c r="DG198" s="69"/>
      <c r="DH198" s="61"/>
      <c r="DI198" s="69"/>
      <c r="DJ198" s="61"/>
      <c r="DK198" s="69"/>
      <c r="DL198" s="61"/>
      <c r="DM198" s="69"/>
      <c r="DN198" s="61"/>
      <c r="DO198" s="69"/>
      <c r="DP198" s="61"/>
      <c r="DQ198" s="69"/>
      <c r="DR198" s="61"/>
      <c r="DS198" s="69"/>
      <c r="DT198" s="61"/>
      <c r="DU198" s="69"/>
      <c r="DV198" s="61"/>
      <c r="DW198" s="69"/>
      <c r="DX198" s="69"/>
      <c r="DY198" s="69"/>
      <c r="DZ198" s="61"/>
      <c r="EA198" s="69"/>
      <c r="EB198" s="61"/>
      <c r="EC198" s="69"/>
      <c r="ED198" s="61"/>
      <c r="EE198" s="69"/>
      <c r="EF198" s="61"/>
      <c r="EG198" s="69"/>
      <c r="EH198" s="61"/>
      <c r="EI198" s="69"/>
      <c r="EJ198" s="61"/>
      <c r="EK198" s="69"/>
      <c r="EL198" s="61"/>
      <c r="EM198" s="69"/>
      <c r="EN198" s="61"/>
      <c r="EO198" s="69"/>
      <c r="EP198" s="61"/>
      <c r="EQ198" s="69"/>
      <c r="ER198" s="61"/>
      <c r="ES198" s="69"/>
      <c r="ET198" s="61"/>
      <c r="EU198" s="69"/>
      <c r="EV198" s="61"/>
      <c r="EW198" s="69"/>
      <c r="EX198" s="61"/>
      <c r="EY198" s="64"/>
      <c r="EZ198" s="558"/>
      <c r="FA198" s="64"/>
      <c r="FB198" s="69"/>
      <c r="FC198" s="71"/>
      <c r="FD198" s="69"/>
      <c r="FE198" s="70"/>
      <c r="FF198" s="69"/>
      <c r="FG198" s="70"/>
      <c r="FH198" s="69"/>
      <c r="FI198" s="70"/>
      <c r="FJ198" s="69"/>
      <c r="FK198" s="70"/>
      <c r="FL198" s="69"/>
      <c r="FM198" s="61"/>
      <c r="FN198" s="69"/>
      <c r="FO198" s="61"/>
      <c r="FP198" s="73"/>
      <c r="FQ198" s="61"/>
      <c r="FR198" s="73"/>
      <c r="FS198" s="61"/>
      <c r="FT198" s="73"/>
      <c r="FU198" s="61"/>
      <c r="FV198" s="73"/>
      <c r="FW198" s="61"/>
      <c r="FX198" s="73"/>
      <c r="FY198" s="61"/>
      <c r="FZ198" s="73"/>
      <c r="GA198" s="61"/>
      <c r="GB198" s="73"/>
      <c r="GC198" s="61"/>
      <c r="GD198" s="73"/>
      <c r="GE198" s="61"/>
      <c r="GF198" s="73"/>
      <c r="GG198" s="61"/>
      <c r="GH198" s="73"/>
      <c r="GI198" s="61"/>
      <c r="GJ198" s="73"/>
      <c r="GK198" s="61"/>
      <c r="GL198" s="73"/>
      <c r="GM198" s="61"/>
      <c r="GN198" s="73"/>
      <c r="GO198" s="61"/>
      <c r="GP198" s="73"/>
      <c r="GQ198" s="61"/>
      <c r="GR198" s="69"/>
      <c r="GS198" s="61"/>
      <c r="GT198" s="69"/>
      <c r="GU198" s="61"/>
      <c r="GV198" s="69"/>
      <c r="GW198" s="61"/>
      <c r="GX198" s="69"/>
      <c r="GY198" s="61"/>
      <c r="GZ198" s="61" t="str">
        <f t="shared" si="1111"/>
        <v/>
      </c>
      <c r="HA198" s="61"/>
      <c r="HB198" s="452"/>
      <c r="HC198"/>
      <c r="HD198"/>
      <c r="HE198"/>
      <c r="HF198"/>
      <c r="HG198"/>
      <c r="HH198"/>
    </row>
    <row r="199" spans="1:216" s="5" customFormat="1" ht="12.75" customHeight="1" x14ac:dyDescent="0.2">
      <c r="B199" s="2" t="s">
        <v>419</v>
      </c>
      <c r="C199" s="69"/>
      <c r="D199" s="70"/>
      <c r="E199" s="69"/>
      <c r="F199" s="71"/>
      <c r="G199" s="69"/>
      <c r="H199" s="71"/>
      <c r="I199" s="69"/>
      <c r="J199" s="61"/>
      <c r="K199" s="69"/>
      <c r="L199" s="61"/>
      <c r="M199" s="69"/>
      <c r="N199" s="61"/>
      <c r="O199" s="69"/>
      <c r="P199" s="61"/>
      <c r="Q199" s="69"/>
      <c r="R199" s="61"/>
      <c r="S199" s="69"/>
      <c r="T199" s="61"/>
      <c r="U199" s="69"/>
      <c r="V199" s="61"/>
      <c r="W199" s="69"/>
      <c r="X199" s="61"/>
      <c r="Y199" s="69"/>
      <c r="Z199" s="61"/>
      <c r="AA199" s="69"/>
      <c r="AB199" s="61"/>
      <c r="AC199" s="69"/>
      <c r="AD199" s="61"/>
      <c r="AE199" s="69"/>
      <c r="AF199" s="61"/>
      <c r="AG199" s="69"/>
      <c r="AH199" s="61"/>
      <c r="AI199" s="69"/>
      <c r="AJ199" s="61"/>
      <c r="AK199" s="69"/>
      <c r="AL199" s="61"/>
      <c r="AM199" s="69"/>
      <c r="AN199" s="61"/>
      <c r="AO199" s="69"/>
      <c r="AP199" s="61"/>
      <c r="AQ199" s="69">
        <f>AVERAGE(AQ189,AQ195)</f>
        <v>11278.5</v>
      </c>
      <c r="AR199" s="61" t="str">
        <f t="shared" si="1305"/>
        <v>NA</v>
      </c>
      <c r="AS199" s="69">
        <f>AVERAGE(AS189,AS195)</f>
        <v>11384</v>
      </c>
      <c r="AT199" s="61" t="str">
        <f>IF(ISERROR((AS199/AK199-1)*100),"NA",IF(((AS199/AK199-1)*100)&gt;100,"NM",IF(((AS199/AK199-1)*100)&lt;-50,"NM",(AS199/AK199-1)*100)))</f>
        <v>NA</v>
      </c>
      <c r="AU199" s="69">
        <f>AVERAGE(AU189,AU195)</f>
        <v>11517</v>
      </c>
      <c r="AV199" s="61" t="str">
        <f>IF(ISERROR((AU199/AM199-1)*100),"NA",IF(((AU199/AM199-1)*100)&gt;100,"NM",IF(((AU199/AM199-1)*100)&lt;-50,"NM",(AU199/AM199-1)*100)))</f>
        <v>NA</v>
      </c>
      <c r="AW199" s="69">
        <f>AVERAGE(AW189,AW195)</f>
        <v>11700</v>
      </c>
      <c r="AX199" s="61" t="str">
        <f>IF(ISERROR((AW199/AO199-1)*100),"NA",IF(((AW199/AO199-1)*100)&gt;100,"NM",IF(((AW199/AO199-1)*100)&lt;-50,"NM",(AW199/AO199-1)*100)))</f>
        <v>NA</v>
      </c>
      <c r="AY199" s="69">
        <f>AVERAGE(AY189,AY195)</f>
        <v>11861</v>
      </c>
      <c r="AZ199" s="61">
        <f>IF(ISERROR((AY199/AQ199-1)*100),"NA",IF(((AY199/AQ199-1)*100)&gt;100,"NM",IF(((AY199/AQ199-1)*100)&lt;-50,"NM",(AY199/AQ199-1)*100)))</f>
        <v>5.1646938865983927</v>
      </c>
      <c r="BA199" s="69">
        <f>AVERAGE(BA189,BA195)</f>
        <v>16599</v>
      </c>
      <c r="BB199" s="61">
        <f>IF(ISERROR((BA199/AS199-1)*100),"NA",IF(((BA199/AS199-1)*100)&gt;100,"NM",IF(((BA199/AS199-1)*100)&lt;-50,"NM",(BA199/AS199-1)*100)))</f>
        <v>45.809908643710465</v>
      </c>
      <c r="BC199" s="69">
        <f>AVERAGE(BC189,BC195)</f>
        <v>21400.5</v>
      </c>
      <c r="BD199" s="61">
        <f>IF(ISERROR((BC199/AU199-1)*100),"NA",IF(((BC199/AU199-1)*100)&gt;100,"NM",IF(((BC199/AU199-1)*100)&lt;-50,"NM",(BC199/AU199-1)*100)))</f>
        <v>85.816618911174785</v>
      </c>
      <c r="BE199" s="69">
        <f>AVERAGE(BE189,BE195)</f>
        <v>21703</v>
      </c>
      <c r="BF199" s="61">
        <f>IF(ISERROR((BE199/AW199-1)*100),"NA",IF(((BE199/AW199-1)*100)&gt;100,"NM",IF(((BE199/AW199-1)*100)&lt;-50,"NM",(BE199/AW199-1)*100)))</f>
        <v>85.495726495726501</v>
      </c>
      <c r="BG199" s="69">
        <f>AVERAGE(BG189,BG195)</f>
        <v>25406</v>
      </c>
      <c r="BH199" s="61" t="str">
        <f>IF(ISERROR((BG199/AY199-1)*100),"NA",IF(((BG199/AY199-1)*100)&gt;100,"NM",IF(((BG199/AY199-1)*100)&lt;-50,"NM",(BG199/AY199-1)*100)))</f>
        <v>NM</v>
      </c>
      <c r="BI199" s="69">
        <f>AVERAGE(BI189,BI195)</f>
        <v>25719.5</v>
      </c>
      <c r="BJ199" s="61">
        <f>IF(ISERROR((BI199/BA199-1)*100),"NA",IF(((BI199/BA199-1)*100)&gt;100,"NM",IF(((BI199/BA199-1)*100)&lt;-50,"NM",(BI199/BA199-1)*100)))</f>
        <v>54.946081089222233</v>
      </c>
      <c r="BK199" s="69">
        <f>AVERAGE(BK189,BK195)</f>
        <v>26013</v>
      </c>
      <c r="BL199" s="61">
        <f>IF(ISERROR((BK199/BC199-1)*100),"NA",IF(((BK199/BC199-1)*100)&gt;100,"NM",IF(((BK199/BC199-1)*100)&lt;-50,"NM",(BK199/BC199-1)*100)))</f>
        <v>21.553234737506145</v>
      </c>
      <c r="BM199" s="69">
        <f>AVERAGE(BM189,BM195)</f>
        <v>26340</v>
      </c>
      <c r="BN199" s="61">
        <f>IF(ISERROR((BM199/BE199-1)*100),"NA",IF(((BM199/BE199-1)*100)&gt;100,"NM",IF(((BM199/BE199-1)*100)&lt;-50,"NM",(BM199/BE199-1)*100)))</f>
        <v>21.365709809703738</v>
      </c>
      <c r="BO199" s="69">
        <f>AVERAGE(BO189,BO195)</f>
        <v>26622</v>
      </c>
      <c r="BP199" s="61">
        <f>IF(ISERROR((BO199/BG199-1)*100),"NA",IF(((BO199/BG199-1)*100)&gt;100,"NM",IF(((BO199/BG199-1)*100)&lt;-50,"NM",(BO199/BG199-1)*100)))</f>
        <v>4.7862709596158348</v>
      </c>
      <c r="BQ199" s="69">
        <f>AVERAGE(BQ189,BQ195)</f>
        <v>26853</v>
      </c>
      <c r="BR199" s="61">
        <f>IF(ISERROR((BQ199/BI199-1)*100),"NA",IF(((BQ199/BI199-1)*100)&gt;100,"NM",IF(((BQ199/BI199-1)*100)&lt;-50,"NM",(BQ199/BI199-1)*100)))</f>
        <v>4.4071618810630042</v>
      </c>
      <c r="BS199" s="69">
        <f>AVERAGE(BS189,BS195)</f>
        <v>27103.5</v>
      </c>
      <c r="BT199" s="61">
        <f>IF(ISERROR((BS199/BK199-1)*100),"NA",IF(((BS199/BK199-1)*100)&gt;100,"NM",IF(((BS199/BK199-1)*100)&lt;-50,"NM",(BS199/BK199-1)*100)))</f>
        <v>4.1921347018798238</v>
      </c>
      <c r="BU199" s="69">
        <f>AVERAGE(BU189,BU195)</f>
        <v>27364.5</v>
      </c>
      <c r="BV199" s="61">
        <f>IF(ISERROR((BU199/BM199-1)*100),"NA",IF(((BU199/BM199-1)*100)&gt;100,"NM",IF(((BU199/BM199-1)*100)&lt;-50,"NM",(BU199/BM199-1)*100)))</f>
        <v>3.8895216400911092</v>
      </c>
      <c r="BW199" s="69">
        <f>AVERAGE(BW189,BW195)</f>
        <v>27559.5</v>
      </c>
      <c r="BX199" s="61">
        <f>IF(ISERROR((BW199/BO199-1)*100),"NA",IF(((BW199/BO199-1)*100)&gt;100,"NM",IF(((BW199/BO199-1)*100)&lt;-50,"NM",(BW199/BO199-1)*100)))</f>
        <v>3.5215235519495236</v>
      </c>
      <c r="BY199" s="69">
        <f>AVERAGE(BY189,BY195)</f>
        <v>27663</v>
      </c>
      <c r="BZ199" s="61">
        <f>IF(ISERROR((BY199/BQ199-1)*100),"NA",IF(((BY199/BQ199-1)*100)&gt;100,"NM",IF(((BY199/BQ199-1)*100)&lt;-50,"NM",(BY199/BQ199-1)*100)))</f>
        <v>3.0164227460618864</v>
      </c>
      <c r="CA199" s="69">
        <f>AVERAGE(CA189,CA195)</f>
        <v>27767</v>
      </c>
      <c r="CB199" s="61">
        <f>IF(ISERROR((CA199/BS199-1)*100),"NA",IF(((CA199/BS199-1)*100)&gt;100,"NM",IF(((CA199/BS199-1)*100)&lt;-50,"NM",(CA199/BS199-1)*100)))</f>
        <v>2.4480233180216526</v>
      </c>
      <c r="CC199" s="69">
        <f>AVERAGE(CC189,CC195)</f>
        <v>28008.5</v>
      </c>
      <c r="CD199" s="61">
        <f>IF(ISERROR((CC199/BU199-1)*100),"NA",IF(((CC199/BU199-1)*100)&gt;100,"NM",IF(((CC199/BU199-1)*100)&lt;-50,"NM",(CC199/BU199-1)*100)))</f>
        <v>2.3534140949039717</v>
      </c>
      <c r="CE199" s="69">
        <f>AVERAGE(CE189,CE195)</f>
        <v>28273.5</v>
      </c>
      <c r="CF199" s="61">
        <f>IF(ISERROR((CE199/BW199-1)*100),"NA",IF(((CE199/BW199-1)*100)&gt;100,"NM",IF(((CE199/BW199-1)*100)&lt;-50,"NM",(CE199/BW199-1)*100)))</f>
        <v>2.5907581777608435</v>
      </c>
      <c r="CG199" s="69">
        <f>AVERAGE(CG189,CG195)</f>
        <v>28469.5</v>
      </c>
      <c r="CH199" s="61">
        <f>IF(ISERROR((CG199/BY199-1)*100),"NA",IF(((CG199/BY199-1)*100)&gt;100,"NM",IF(((CG199/BY199-1)*100)&lt;-50,"NM",(CG199/BY199-1)*100)))</f>
        <v>2.9154466254563749</v>
      </c>
      <c r="CI199" s="69">
        <f>AVERAGE(CI189,CI195)</f>
        <v>28689</v>
      </c>
      <c r="CJ199" s="61">
        <f>IF(ISERROR((CI199/CA199-1)*100),"NA",IF(((CI199/CA199-1)*100)&gt;100,"NM",IF(((CI199/CA199-1)*100)&lt;-50,"NM",(CI199/CA199-1)*100)))</f>
        <v>3.3204883494796</v>
      </c>
      <c r="CK199" s="69">
        <f>AVERAGE(CK189,CK195)</f>
        <v>29079.5</v>
      </c>
      <c r="CL199" s="61">
        <f>IF(ISERROR((CK199/CC199-1)*100),"NA",IF(((CK199/CC199-1)*100)&gt;100,"NM",IF(((CK199/CC199-1)*100)&lt;-50,"NM",(CK199/CC199-1)*100)))</f>
        <v>3.82383919167395</v>
      </c>
      <c r="CM199" s="69">
        <f>AVERAGE(CM189,CM195)</f>
        <v>29552</v>
      </c>
      <c r="CN199" s="61">
        <f>IF(ISERROR((CM199/CE199-1)*100),"NA",IF(((CM199/CE199-1)*100)&gt;100,"NM",IF(((CM199/CE199-1)*100)&lt;-50,"NM",(CM199/CE199-1)*100)))</f>
        <v>4.5219021345075827</v>
      </c>
      <c r="CO199" s="69">
        <f>AVERAGE(CO189,CO195)</f>
        <v>29943.5</v>
      </c>
      <c r="CP199" s="61">
        <f>IF(ISERROR((CO199/CG199-1)*100),"NA",IF(((CO199/CG199-1)*100)&gt;100,"NM",IF(((CO199/CG199-1)*100)&lt;-50,"NM",(CO199/CG199-1)*100)))</f>
        <v>5.1774706264599013</v>
      </c>
      <c r="CQ199" s="69">
        <f>AVERAGE(CQ189,CQ195)</f>
        <v>30393</v>
      </c>
      <c r="CR199" s="61">
        <f>IF(ISERROR((CQ199/CI199-1)*100),"NA",IF(((CQ199/CI199-1)*100)&gt;100,"NM",IF(((CQ199/CI199-1)*100)&lt;-50,"NM",(CQ199/CI199-1)*100)))</f>
        <v>5.9395587158841412</v>
      </c>
      <c r="CS199" s="69">
        <f>AVERAGE(CS189,CS195)</f>
        <v>30928.5</v>
      </c>
      <c r="CT199" s="61">
        <f>IF(ISERROR((CS199/CK199-1)*100),"NA",IF(((CS199/CK199-1)*100)&gt;100,"NM",IF(((CS199/CK199-1)*100)&lt;-50,"NM",(CS199/CK199-1)*100)))</f>
        <v>6.3584311972351593</v>
      </c>
      <c r="CU199" s="69">
        <f>AVERAGE(CU189,CU195)</f>
        <v>31356.5</v>
      </c>
      <c r="CV199" s="61">
        <f>IF(ISERROR((CU199/CM199-1)*100),"NA",IF(((CU199/CM199-1)*100)&gt;100,"NM",IF(((CU199/CM199-1)*100)&lt;-50,"NM",(CU199/CM199-1)*100)))</f>
        <v>6.1061857065511704</v>
      </c>
      <c r="CW199" s="69">
        <f>AVERAGE(CW189,CW195)</f>
        <v>31622</v>
      </c>
      <c r="CX199" s="61">
        <f>IF(ISERROR((CW199/CO199-1)*100),"NA",IF(((CW199/CO199-1)*100)&gt;100,"NM",IF(((CW199/CO199-1)*100)&lt;-50,"NM",(CW199/CO199-1)*100)))</f>
        <v>5.6055571325997366</v>
      </c>
      <c r="CY199" s="69">
        <f>AVERAGE(CY189,CY195)</f>
        <v>31868</v>
      </c>
      <c r="CZ199" s="61">
        <f>IF(ISERROR((CY199/CQ199-1)*100),"NA",IF(((CY199/CQ199-1)*100)&gt;100,"NM",IF(((CY199/CQ199-1)*100)&lt;-50,"NM",(CY199/CQ199-1)*100)))</f>
        <v>4.8530911723094095</v>
      </c>
      <c r="DA199" s="69">
        <f>AVERAGE(DA189,DA195)</f>
        <v>32209</v>
      </c>
      <c r="DB199" s="61">
        <f>IF(ISERROR((DA199/CS199-1)*100),"NA",IF(((DA199/CS199-1)*100)&gt;100,"NM",IF(((DA199/CS199-1)*100)&lt;-50,"NM",(DA199/CS199-1)*100)))</f>
        <v>4.1401943191554658</v>
      </c>
      <c r="DC199" s="69">
        <f>AVERAGE(DC189,DC195)</f>
        <v>32624.5</v>
      </c>
      <c r="DD199" s="61">
        <f>IF(ISERROR((DC199/CU199-1)*100),"NA",IF(((DC199/CU199-1)*100)&gt;100,"NM",IF(((DC199/CU199-1)*100)&lt;-50,"NM",(DC199/CU199-1)*100)))</f>
        <v>4.0438186659863096</v>
      </c>
      <c r="DE199" s="69">
        <f>AVERAGE(DE189,DE195)</f>
        <v>32962.5</v>
      </c>
      <c r="DF199" s="61">
        <f>IF(ISERROR((DE199/CW199-1)*100),"NA",IF(((DE199/CW199-1)*100)&gt;100,"NM",IF(((DE199/CW199-1)*100)&lt;-50,"NM",(DE199/CW199-1)*100)))</f>
        <v>4.2391373094680995</v>
      </c>
      <c r="DG199" s="69">
        <f>AVERAGE(DG189,DG195)</f>
        <v>33237</v>
      </c>
      <c r="DH199" s="61">
        <f>IF(ISERROR((DG199/CY199-1)*100),"NA",IF(((DG199/CY199-1)*100)&gt;100,"NM",IF(((DG199/CY199-1)*100)&lt;-50,"NM",(DG199/CY199-1)*100)))</f>
        <v>4.2958453621187331</v>
      </c>
      <c r="DI199" s="69">
        <f>AVERAGE(DI189,DI195)</f>
        <v>33543.5</v>
      </c>
      <c r="DJ199" s="61">
        <f>IF(ISERROR((DI199/DA199-1)*100),"NA",IF(((DI199/DA199-1)*100)&gt;100,"NM",IF(((DI199/DA199-1)*100)&lt;-50,"NM",(DI199/DA199-1)*100)))</f>
        <v>4.1432518861187928</v>
      </c>
      <c r="DK199" s="69">
        <f>AVERAGE(DK189,DK195)</f>
        <v>33803.5</v>
      </c>
      <c r="DL199" s="61">
        <f>IF(ISERROR((DK199/DC199-1)*100),"NA",IF(((DK199/DC199-1)*100)&gt;100,"NM",IF(((DK199/DC199-1)*100)&lt;-50,"NM",(DK199/DC199-1)*100)))</f>
        <v>3.6138484880994248</v>
      </c>
      <c r="DM199" s="69">
        <f>AVERAGE(DM189,DM195)</f>
        <v>33990</v>
      </c>
      <c r="DN199" s="130">
        <f t="shared" ref="DN199:DZ200" si="1367">IF(ISERROR((DM199/DE199-1)*100),"NA",IF(((DM199/DE199-1)*100)&gt;100,"NM",IF(((DM199/DE199-1)*100)&lt;-50,"NM",(DM199/DE199-1)*100)))</f>
        <v>3.1171786120591571</v>
      </c>
      <c r="DO199" s="69">
        <f>AVERAGE(DO189,DO195)</f>
        <v>34204.5</v>
      </c>
      <c r="DP199" s="130">
        <f t="shared" si="1367"/>
        <v>2.9109125372326128</v>
      </c>
      <c r="DQ199" s="69">
        <f>AVERAGE(DQ189,DQ195)</f>
        <v>34463.5</v>
      </c>
      <c r="DR199" s="130">
        <f t="shared" si="1367"/>
        <v>2.7427072309091249</v>
      </c>
      <c r="DS199" s="69">
        <f>AVERAGE(DS189,DS195)</f>
        <v>34682.5</v>
      </c>
      <c r="DT199" s="130">
        <f t="shared" si="1367"/>
        <v>2.6003224518171164</v>
      </c>
      <c r="DU199" s="69">
        <f>AVERAGE(DU189,DU195)</f>
        <v>34841.5</v>
      </c>
      <c r="DV199" s="130">
        <f t="shared" si="1367"/>
        <v>2.5051485731097278</v>
      </c>
      <c r="DW199" s="69">
        <f>AVERAGE(DW189,DW195)</f>
        <v>35071.5</v>
      </c>
      <c r="DX199" s="69">
        <f t="shared" ref="DX199:DY199" si="1368">AVERAGE(DX189,DX195)</f>
        <v>143.9520443479791</v>
      </c>
      <c r="DY199" s="69">
        <f t="shared" si="1368"/>
        <v>35379</v>
      </c>
      <c r="DZ199" s="130">
        <f t="shared" si="1367"/>
        <v>2.6564336181757575</v>
      </c>
      <c r="EA199" s="69">
        <f t="shared" ref="EA199:EC199" si="1369">AVERAGE(EA189,EA195)</f>
        <v>35592.5</v>
      </c>
      <c r="EB199" s="130">
        <f t="shared" ref="EB199:EB200" si="1370">IF(ISERROR((EA199/DS199-1)*100),"NA",IF(((EA199/DS199-1)*100)&gt;100,"NM",IF(((EA199/DS199-1)*100)&lt;-50,"NM",(EA199/DS199-1)*100)))</f>
        <v>2.6238016290636379</v>
      </c>
      <c r="EC199" s="69">
        <f t="shared" si="1369"/>
        <v>35707.5</v>
      </c>
      <c r="ED199" s="130">
        <f t="shared" ref="ED199:ED200" si="1371">IF(ISERROR((EC199/DU199-1)*100),"NA",IF(((EC199/DU199-1)*100)&gt;100,"NM",IF(((EC199/DU199-1)*100)&lt;-50,"NM",(EC199/DU199-1)*100)))</f>
        <v>2.4855416672646236</v>
      </c>
      <c r="EE199" s="69">
        <f t="shared" ref="EE199:EG199" si="1372">AVERAGE(EE189,EE195)</f>
        <v>35875</v>
      </c>
      <c r="EF199" s="130">
        <f t="shared" ref="EF199:EF200" si="1373">IF(ISERROR((EE199/DW199-1)*100),"NA",IF(((EE199/DW199-1)*100)&gt;100,"NM",IF(((EE199/DW199-1)*100)&lt;-50,"NM",(EE199/DW199-1)*100)))</f>
        <v>2.2910340304805876</v>
      </c>
      <c r="EG199" s="69">
        <f t="shared" si="1372"/>
        <v>36123.5</v>
      </c>
      <c r="EH199" s="130">
        <f t="shared" ref="EH199:EH200" si="1374">IF(ISERROR((EG199/DY199-1)*100),"NA",IF(((EG199/DY199-1)*100)&gt;100,"NM",IF(((EG199/DY199-1)*100)&lt;-50,"NM",(EG199/DY199-1)*100)))</f>
        <v>2.1043556912292649</v>
      </c>
      <c r="EI199" s="69">
        <f t="shared" ref="EI199:EK199" si="1375">AVERAGE(EI189,EI195)</f>
        <v>36283.5</v>
      </c>
      <c r="EJ199" s="130">
        <f t="shared" ref="EJ199:EJ200" si="1376">IF(ISERROR((EI199/EA199-1)*100),"NA",IF(((EI199/EA199-1)*100)&gt;100,"NM",IF(((EI199/EA199-1)*100)&lt;-50,"NM",(EI199/EA199-1)*100)))</f>
        <v>1.9414202430287242</v>
      </c>
      <c r="EK199" s="69">
        <f t="shared" si="1375"/>
        <v>36374.5</v>
      </c>
      <c r="EL199" s="130">
        <f t="shared" ref="EL199:EL200" si="1377">IF(ISERROR((EK199/EC199-1)*100),"NA",IF(((EK199/EC199-1)*100)&gt;100,"NM",IF(((EK199/EC199-1)*100)&lt;-50,"NM",(EK199/EC199-1)*100)))</f>
        <v>1.8679549114331673</v>
      </c>
      <c r="EM199" s="69">
        <f t="shared" ref="EM199" si="1378">AVERAGE(EM189,EM195)</f>
        <v>36515</v>
      </c>
      <c r="EN199" s="130">
        <f t="shared" ref="EN199:EN200" si="1379">IF(ISERROR((EM199/EE199-1)*100),"NA",IF(((EM199/EE199-1)*100)&gt;100,"NM",IF(((EM199/EE199-1)*100)&lt;-50,"NM",(EM199/EE199-1)*100)))</f>
        <v>1.783972125435529</v>
      </c>
      <c r="EO199" s="69">
        <f t="shared" ref="EO199" si="1380">AVERAGE(EO189,EO195)</f>
        <v>36683.5</v>
      </c>
      <c r="EP199" s="130">
        <f t="shared" ref="EP199:EP200" si="1381">IF(ISERROR((EO199/EG199-1)*100),"NA",IF(((EO199/EG199-1)*100)&gt;100,"NM",IF(((EO199/EG199-1)*100)&lt;-50,"NM",(EO199/EG199-1)*100)))</f>
        <v>1.5502373800988289</v>
      </c>
      <c r="EQ199" s="69">
        <f t="shared" ref="EQ199:EW199" si="1382">AVERAGE(EQ189,EQ195)</f>
        <v>36890.633334973754</v>
      </c>
      <c r="ER199" s="130">
        <f t="shared" ref="ER199:ER200" si="1383">IF(ISERROR((EQ199/EI199-1)*100),"NA",IF(((EQ199/EI199-1)*100)&gt;100,"NM",IF(((EQ199/EI199-1)*100)&lt;-50,"NM",(EQ199/EI199-1)*100)))</f>
        <v>1.6733042153423749</v>
      </c>
      <c r="ES199" s="69">
        <f t="shared" si="1382"/>
        <v>37115.218337711958</v>
      </c>
      <c r="ET199" s="130">
        <f t="shared" ref="ET199:ET200" si="1384">IF(ISERROR((ES199/EK199-1)*100),"NA",IF(((ES199/EK199-1)*100)&gt;100,"NM",IF(((ES199/EK199-1)*100)&lt;-50,"NM",(ES199/EK199-1)*100)))</f>
        <v>2.0363670640475062</v>
      </c>
      <c r="EU199" s="69">
        <f t="shared" si="1382"/>
        <v>37339.77438171368</v>
      </c>
      <c r="EV199" s="130">
        <f t="shared" ref="EV199:EV200" si="1385">IF(ISERROR((EU199/EM199-1)*100),"NA",IF(((EU199/EM199-1)*100)&gt;100,"NM",IF(((EU199/EM199-1)*100)&lt;-50,"NM",(EU199/EM199-1)*100)))</f>
        <v>2.258727596093868</v>
      </c>
      <c r="EW199" s="69">
        <f t="shared" si="1382"/>
        <v>37566.47639334698</v>
      </c>
      <c r="EX199" s="130">
        <f t="shared" ref="EX199:EX200" si="1386">IF(ISERROR((EW199/EO199-1)*100),"NA",IF(((EW199/EO199-1)*100)&gt;100,"NM",IF(((EW199/EO199-1)*100)&lt;-50,"NM",(EW199/EO199-1)*100)))</f>
        <v>2.4070123988904513</v>
      </c>
      <c r="EY199" s="64"/>
      <c r="EZ199" s="558"/>
      <c r="FA199" s="64"/>
      <c r="FB199" s="69"/>
      <c r="FC199" s="71"/>
      <c r="FD199" s="69"/>
      <c r="FE199" s="70"/>
      <c r="FF199" s="69"/>
      <c r="FG199" s="70"/>
      <c r="FH199" s="69"/>
      <c r="FI199" s="70"/>
      <c r="FJ199" s="69"/>
      <c r="FK199" s="70"/>
      <c r="FL199" s="69"/>
      <c r="FM199" s="61"/>
      <c r="FN199" s="69"/>
      <c r="FO199" s="61"/>
      <c r="FP199" s="73">
        <f>AVERAGE(FP189,FP195)</f>
        <v>11521</v>
      </c>
      <c r="FQ199" s="61" t="str">
        <f t="shared" si="1326"/>
        <v>NA</v>
      </c>
      <c r="FR199" s="73">
        <f>AVERAGE(FR189,FR195)</f>
        <v>16850.5</v>
      </c>
      <c r="FS199" s="61">
        <f>IF(ISERROR((FR199/FP199-1)*100),"NA",IF(((FR199/FP199-1)*100)&gt;100,"NM",IF(((FR199/FP199-1)*100)&lt;-50,"NM",(FR199/FP199-1)*100)))</f>
        <v>46.259005294679277</v>
      </c>
      <c r="FT199" s="73">
        <f>AVERAGE(FT189,FT195)</f>
        <v>25877.5</v>
      </c>
      <c r="FU199" s="61">
        <f>IF(ISERROR((FT199/FR199-1)*100),"NA",IF(((FT199/FR199-1)*100)&gt;100,"NM",IF(((FT199/FR199-1)*100)&lt;-50,"NM",(FT199/FR199-1)*100)))</f>
        <v>53.571110649535612</v>
      </c>
      <c r="FV199" s="73">
        <f>AVERAGE(FV189,FV195)</f>
        <v>27010</v>
      </c>
      <c r="FW199" s="61">
        <f>IF(ISERROR((FV199/FT199-1)*100),"NA",IF(((FV199/FT199-1)*100)&gt;100,"NM",IF(((FV199/FT199-1)*100)&lt;-50,"NM",(FV199/FT199-1)*100)))</f>
        <v>4.3763887547096925</v>
      </c>
      <c r="FX199" s="73">
        <f>AVERAGE(FX189,FX195)</f>
        <v>27847</v>
      </c>
      <c r="FY199" s="61">
        <f>IF(ISERROR((FX199/FV199-1)*100),"NA",IF(((FX199/FV199-1)*100)&gt;100,"NM",IF(((FX199/FV199-1)*100)&lt;-50,"NM",(FX199/FV199-1)*100)))</f>
        <v>3.0988522769344717</v>
      </c>
      <c r="FZ199" s="73">
        <f>AVERAGE(FZ189,FZ195)</f>
        <v>28778.5</v>
      </c>
      <c r="GA199" s="61">
        <f>IF(ISERROR((FZ199/FX199-1)*100),"NA",IF(((FZ199/FX199-1)*100)&gt;100,"NM",IF(((FZ199/FX199-1)*100)&lt;-50,"NM",(FZ199/FX199-1)*100)))</f>
        <v>3.3450641002621406</v>
      </c>
      <c r="GB199" s="73">
        <f>AVERAGE(GB189,GB195)</f>
        <v>30292</v>
      </c>
      <c r="GC199" s="61">
        <f>IF(ISERROR((GB199/FZ199-1)*100),"NA",IF(((GB199/FZ199-1)*100)&gt;100,"NM",IF(((GB199/FZ199-1)*100)&lt;-50,"NM",(GB199/FZ199-1)*100)))</f>
        <v>5.2591344232673753</v>
      </c>
      <c r="GD199" s="73">
        <f>AVERAGE(GD189,GD195)</f>
        <v>31825.5</v>
      </c>
      <c r="GE199" s="61">
        <f>IF(ISERROR((GD199/GB199-1)*100),"NA",IF(((GD199/GB199-1)*100)&gt;100,"NM",IF(((GD199/GB199-1)*100)&lt;-50,"NM",(GD199/GB199-1)*100)))</f>
        <v>5.0623927109467948</v>
      </c>
      <c r="GF199" s="73">
        <f>AVERAGE(GF189,GF195)</f>
        <v>33076.5</v>
      </c>
      <c r="GG199" s="61">
        <f t="shared" ref="GG199:GW199" si="1387">IF(ISERROR((GF199/GD199-1)*100),"NA",IF(((GF199/GD199-1)*100)&gt;100,"NM",IF(((GF199/GD199-1)*100)&lt;-50,"NM",(GF199/GD199-1)*100)))</f>
        <v>3.9308101993684286</v>
      </c>
      <c r="GH199" s="73">
        <f>AVERAGE(GH189,GH195)</f>
        <v>34166.5</v>
      </c>
      <c r="GI199" s="61">
        <f t="shared" si="1387"/>
        <v>3.2953909875591325</v>
      </c>
      <c r="GJ199" s="73">
        <f>AVERAGE(GJ189,GJ195)</f>
        <v>35078.5</v>
      </c>
      <c r="GK199" s="61">
        <f t="shared" si="1387"/>
        <v>2.6692813135673843</v>
      </c>
      <c r="GL199" s="73">
        <f>AVERAGE(GL189,GL195)</f>
        <v>35908.5</v>
      </c>
      <c r="GM199" s="61">
        <f t="shared" si="1387"/>
        <v>2.3661216984762756</v>
      </c>
      <c r="GN199" s="73">
        <f>AVERAGE(GN189,GN195)</f>
        <v>36531.5</v>
      </c>
      <c r="GO199" s="61">
        <f t="shared" si="1387"/>
        <v>1.7349652589219833</v>
      </c>
      <c r="GP199" s="73">
        <f>AVERAGE(GP189,GP195)</f>
        <v>37242.287014371497</v>
      </c>
      <c r="GQ199" s="61">
        <f t="shared" si="1387"/>
        <v>1.9456825325308236</v>
      </c>
      <c r="GR199" s="69">
        <f>AVERAGE(GR189,GR195)</f>
        <v>38162.618600534901</v>
      </c>
      <c r="GS199" s="61">
        <f t="shared" si="1387"/>
        <v>2.471200508734217</v>
      </c>
      <c r="GT199" s="69">
        <f>AVERAGE(GT189,GT195)</f>
        <v>39119.303860617525</v>
      </c>
      <c r="GU199" s="61">
        <f t="shared" si="1387"/>
        <v>2.5068648199870092</v>
      </c>
      <c r="GV199" s="69">
        <f>AVERAGE(GV189,GV195)</f>
        <v>40114.061334708051</v>
      </c>
      <c r="GW199" s="61">
        <f t="shared" si="1387"/>
        <v>2.5428813294706254</v>
      </c>
      <c r="GX199" s="69">
        <f>AVERAGE(GX189,GX195)</f>
        <v>41148.694472663607</v>
      </c>
      <c r="GY199" s="61">
        <f t="shared" ref="GY199" si="1388">IF(ISERROR((GX199/GV199-1)*100),"NA",IF(((GX199/GV199-1)*100)&gt;100,"NM",IF(((GX199/GV199-1)*100)&lt;-50,"NM",(GX199/GV199-1)*100)))</f>
        <v>2.5792280899275433</v>
      </c>
      <c r="GZ199" s="61">
        <f t="shared" si="1111"/>
        <v>2.4089023337079629</v>
      </c>
      <c r="HA199" s="61"/>
      <c r="HB199" s="452"/>
      <c r="HC199"/>
      <c r="HD199"/>
      <c r="HE199"/>
      <c r="HF199"/>
      <c r="HG199"/>
      <c r="HH199"/>
    </row>
    <row r="200" spans="1:216" s="5" customFormat="1" ht="12.75" customHeight="1" x14ac:dyDescent="0.2">
      <c r="B200" s="2" t="s">
        <v>420</v>
      </c>
      <c r="C200" s="66"/>
      <c r="D200" s="67"/>
      <c r="E200" s="66"/>
      <c r="F200" s="66"/>
      <c r="G200" s="66"/>
      <c r="H200" s="66"/>
      <c r="I200" s="66"/>
      <c r="J200" s="66"/>
      <c r="K200" s="66"/>
      <c r="L200" s="61"/>
      <c r="M200" s="66"/>
      <c r="N200" s="61"/>
      <c r="O200" s="66"/>
      <c r="P200" s="61"/>
      <c r="Q200" s="66"/>
      <c r="R200" s="61"/>
      <c r="S200" s="66"/>
      <c r="T200" s="61"/>
      <c r="U200" s="66"/>
      <c r="V200" s="61"/>
      <c r="W200" s="66"/>
      <c r="X200" s="61"/>
      <c r="Y200" s="66"/>
      <c r="Z200" s="61"/>
      <c r="AA200" s="66"/>
      <c r="AB200" s="61"/>
      <c r="AC200" s="66"/>
      <c r="AD200" s="61"/>
      <c r="AE200" s="66"/>
      <c r="AF200" s="61"/>
      <c r="AG200" s="66"/>
      <c r="AH200" s="61"/>
      <c r="AI200" s="66"/>
      <c r="AJ200" s="61"/>
      <c r="AK200" s="66"/>
      <c r="AL200" s="61"/>
      <c r="AM200" s="66"/>
      <c r="AN200" s="61"/>
      <c r="AO200" s="66"/>
      <c r="AP200" s="61"/>
      <c r="AQ200" s="66"/>
      <c r="AR200" s="61"/>
      <c r="AS200" s="66"/>
      <c r="AT200" s="61"/>
      <c r="AU200" s="66"/>
      <c r="AV200" s="61"/>
      <c r="AW200" s="66"/>
      <c r="AX200" s="61"/>
      <c r="AY200" s="16">
        <f>AVERAGE(AY189,AY197)</f>
        <v>11861</v>
      </c>
      <c r="AZ200" s="61"/>
      <c r="BA200" s="16">
        <f>AVERAGE(BA189,BA197)</f>
        <v>16599</v>
      </c>
      <c r="BB200" s="61"/>
      <c r="BC200" s="16">
        <f>AVERAGE(BC189,BC197)</f>
        <v>21400.5</v>
      </c>
      <c r="BD200" s="61"/>
      <c r="BE200" s="16">
        <f>AVERAGE(BE189,BE197)</f>
        <v>21703</v>
      </c>
      <c r="BF200" s="61"/>
      <c r="BG200" s="16">
        <f>AVERAGE(BG189,BG197)</f>
        <v>25406</v>
      </c>
      <c r="BH200" s="61" t="str">
        <f>IF(ISERROR((BG200/AY200-1)*100),"NA",IF(((BG200/AY200-1)*100)&gt;100,"NM",IF(((BG200/AY200-1)*100)&lt;-50,"NM",(BG200/AY200-1)*100)))</f>
        <v>NM</v>
      </c>
      <c r="BI200" s="16">
        <f>AVERAGE(BI189,BI197)</f>
        <v>25719.5</v>
      </c>
      <c r="BJ200" s="61">
        <f>IF(ISERROR((BI200/BA200-1)*100),"NA",IF(((BI200/BA200-1)*100)&gt;100,"NM",IF(((BI200/BA200-1)*100)&lt;-50,"NM",(BI200/BA200-1)*100)))</f>
        <v>54.946081089222233</v>
      </c>
      <c r="BK200" s="16">
        <f>AVERAGE(BK189,BK197)</f>
        <v>26013</v>
      </c>
      <c r="BL200" s="61">
        <f>IF(ISERROR((BK200/BC200-1)*100),"NA",IF(((BK200/BC200-1)*100)&gt;100,"NM",IF(((BK200/BC200-1)*100)&lt;-50,"NM",(BK200/BC200-1)*100)))</f>
        <v>21.553234737506145</v>
      </c>
      <c r="BM200" s="16">
        <f>AVERAGE(BM189,BM197)</f>
        <v>26340</v>
      </c>
      <c r="BN200" s="61">
        <f>IF(ISERROR((BM200/BE200-1)*100),"NA",IF(((BM200/BE200-1)*100)&gt;100,"NM",IF(((BM200/BE200-1)*100)&lt;-50,"NM",(BM200/BE200-1)*100)))</f>
        <v>21.365709809703738</v>
      </c>
      <c r="BO200" s="16">
        <f>AVERAGE(BO189,BO197)</f>
        <v>26622</v>
      </c>
      <c r="BP200" s="61">
        <f>IF(ISERROR((BO200/BG200-1)*100),"NA",IF(((BO200/BG200-1)*100)&gt;100,"NM",IF(((BO200/BG200-1)*100)&lt;-50,"NM",(BO200/BG200-1)*100)))</f>
        <v>4.7862709596158348</v>
      </c>
      <c r="BQ200" s="16">
        <f>AVERAGE(BQ189,BQ197)</f>
        <v>26853</v>
      </c>
      <c r="BR200" s="61">
        <f>IF(ISERROR((BQ200/BI200-1)*100),"NA",IF(((BQ200/BI200-1)*100)&gt;100,"NM",IF(((BQ200/BI200-1)*100)&lt;-50,"NM",(BQ200/BI200-1)*100)))</f>
        <v>4.4071618810630042</v>
      </c>
      <c r="BS200" s="16">
        <f>AVERAGE(BS189,BS197)</f>
        <v>27103.5</v>
      </c>
      <c r="BT200" s="61">
        <f>IF(ISERROR((BS200/BK200-1)*100),"NA",IF(((BS200/BK200-1)*100)&gt;100,"NM",IF(((BS200/BK200-1)*100)&lt;-50,"NM",(BS200/BK200-1)*100)))</f>
        <v>4.1921347018798238</v>
      </c>
      <c r="BU200" s="16">
        <f>AVERAGE(BU189,BU197)</f>
        <v>27364.5</v>
      </c>
      <c r="BV200" s="61">
        <f>IF(ISERROR((BU200/BM200-1)*100),"NA",IF(((BU200/BM200-1)*100)&gt;100,"NM",IF(((BU200/BM200-1)*100)&lt;-50,"NM",(BU200/BM200-1)*100)))</f>
        <v>3.8895216400911092</v>
      </c>
      <c r="BW200" s="16">
        <f>AVERAGE(BW189,BW197)</f>
        <v>27090.5</v>
      </c>
      <c r="BX200" s="61">
        <f>IF(ISERROR((BW200/BO200-1)*100),"NA",IF(((BW200/BO200-1)*100)&gt;100,"NM",IF(((BW200/BO200-1)*100)&lt;-50,"NM",(BW200/BO200-1)*100)))</f>
        <v>1.7598227030275693</v>
      </c>
      <c r="BY200" s="16">
        <f>AVERAGE(BY189,BY197)</f>
        <v>27198</v>
      </c>
      <c r="BZ200" s="61">
        <f>IF(ISERROR((BY200/BQ200-1)*100),"NA",IF(((BY200/BQ200-1)*100)&gt;100,"NM",IF(((BY200/BQ200-1)*100)&lt;-50,"NM",(BY200/BQ200-1)*100)))</f>
        <v>1.2847726511004298</v>
      </c>
      <c r="CA200" s="16">
        <f>AVERAGE(CA189,CA197)</f>
        <v>27305.5</v>
      </c>
      <c r="CB200" s="61">
        <f>IF(ISERROR((CA200/BS200-1)*100),"NA",IF(((CA200/BS200-1)*100)&gt;100,"NM",IF(((CA200/BS200-1)*100)&lt;-50,"NM",(CA200/BS200-1)*100)))</f>
        <v>0.74529119855368808</v>
      </c>
      <c r="CC200" s="16">
        <f>AVERAGE(CC189,CC197)</f>
        <v>27550</v>
      </c>
      <c r="CD200" s="61">
        <f>IF(ISERROR((CC200/BU200-1)*100),"NA",IF(((CC200/BU200-1)*100)&gt;100,"NM",IF(((CC200/BU200-1)*100)&lt;-50,"NM",(CC200/BU200-1)*100)))</f>
        <v>0.67788558168428992</v>
      </c>
      <c r="CE200" s="16">
        <f>AVERAGE(CE189,CE197)</f>
        <v>27818</v>
      </c>
      <c r="CF200" s="61">
        <f>IF(ISERROR((CE200/BW200-1)*100),"NA",IF(((CE200/BW200-1)*100)&gt;100,"NM",IF(((CE200/BW200-1)*100)&lt;-50,"NM",(CE200/BW200-1)*100)))</f>
        <v>2.6854432365589487</v>
      </c>
      <c r="CG200" s="16">
        <f>AVERAGE(CG189,CG197)</f>
        <v>28018</v>
      </c>
      <c r="CH200" s="61">
        <f>IF(ISERROR((CG200/BY200-1)*100),"NA",IF(((CG200/BY200-1)*100)&gt;100,"NM",IF(((CG200/BY200-1)*100)&lt;-50,"NM",(CG200/BY200-1)*100)))</f>
        <v>3.0149275682035404</v>
      </c>
      <c r="CI200" s="16">
        <f>AVERAGE(CI189,CI197)</f>
        <v>28239.5</v>
      </c>
      <c r="CJ200" s="61">
        <f>IF(ISERROR((CI200/CA200-1)*100),"NA",IF(((CI200/CA200-1)*100)&gt;100,"NM",IF(((CI200/CA200-1)*100)&lt;-50,"NM",(CI200/CA200-1)*100)))</f>
        <v>3.4205562981816762</v>
      </c>
      <c r="CK200" s="16">
        <f>AVERAGE(CK189,CK197)</f>
        <v>28635.5</v>
      </c>
      <c r="CL200" s="61">
        <f>IF(ISERROR((CK200/CC200-1)*100),"NA",IF(((CK200/CC200-1)*100)&gt;100,"NM",IF(((CK200/CC200-1)*100)&lt;-50,"NM",(CK200/CC200-1)*100)))</f>
        <v>3.9401088929219563</v>
      </c>
      <c r="CM200" s="16">
        <f>AVERAGE(CM189,CM197)</f>
        <v>29109.5</v>
      </c>
      <c r="CN200" s="61">
        <f>IF(ISERROR((CM200/CE200-1)*100),"NA",IF(((CM200/CE200-1)*100)&gt;100,"NM",IF(((CM200/CE200-1)*100)&lt;-50,"NM",(CM200/CE200-1)*100)))</f>
        <v>4.6426774031202767</v>
      </c>
      <c r="CO200" s="16">
        <f>AVERAGE(CO189,CO197)</f>
        <v>29503</v>
      </c>
      <c r="CP200" s="61">
        <f>IF(ISERROR((CO200/CG200-1)*100),"NA",IF(((CO200/CG200-1)*100)&gt;100,"NM",IF(((CO200/CG200-1)*100)&lt;-50,"NM",(CO200/CG200-1)*100)))</f>
        <v>5.3001641801698973</v>
      </c>
      <c r="CQ200" s="16">
        <f>AVERAGE(CQ189,CQ197)</f>
        <v>29954.5</v>
      </c>
      <c r="CR200" s="61">
        <f>IF(ISERROR((CQ200/CI200-1)*100),"NA",IF(((CQ200/CI200-1)*100)&gt;100,"NM",IF(((CQ200/CI200-1)*100)&lt;-50,"NM",(CQ200/CI200-1)*100)))</f>
        <v>6.0730537013757413</v>
      </c>
      <c r="CS200" s="16">
        <f>AVERAGE(CS189,CS197)</f>
        <v>30493.5</v>
      </c>
      <c r="CT200" s="61">
        <f>IF(ISERROR((CS200/CK200-1)*100),"NA",IF(((CS200/CK200-1)*100)&gt;100,"NM",IF(((CS200/CK200-1)*100)&lt;-50,"NM",(CS200/CK200-1)*100)))</f>
        <v>6.4884496516561585</v>
      </c>
      <c r="CU200" s="16">
        <f>AVERAGE(CU189,CU197)</f>
        <v>30925.5</v>
      </c>
      <c r="CV200" s="61">
        <f>IF(ISERROR((CU200/CM200-1)*100),"NA",IF(((CU200/CM200-1)*100)&gt;100,"NM",IF(((CU200/CM200-1)*100)&lt;-50,"NM",(CU200/CM200-1)*100)))</f>
        <v>6.2385132001580246</v>
      </c>
      <c r="CW200" s="16">
        <f>AVERAGE(CW189,CW197)</f>
        <v>31192.5</v>
      </c>
      <c r="CX200" s="61">
        <f>IF(ISERROR((CW200/CO200-1)*100),"NA",IF(((CW200/CO200-1)*100)&gt;100,"NM",IF(((CW200/CO200-1)*100)&lt;-50,"NM",(CW200/CO200-1)*100)))</f>
        <v>5.7265362844456602</v>
      </c>
      <c r="CY200" s="16">
        <f>AVERAGE(CY189,CY197)</f>
        <v>31444.5</v>
      </c>
      <c r="CZ200" s="61">
        <f>IF(ISERROR((CY200/CQ200-1)*100),"NA",IF(((CY200/CQ200-1)*100)&gt;100,"NM",IF(((CY200/CQ200-1)*100)&lt;-50,"NM",(CY200/CQ200-1)*100)))</f>
        <v>4.9742108865111989</v>
      </c>
      <c r="DA200" s="16">
        <f>AVERAGE(DA189,DA197)</f>
        <v>31790</v>
      </c>
      <c r="DB200" s="61">
        <f>IF(ISERROR((DA200/CS200-1)*100),"NA",IF(((DA200/CS200-1)*100)&gt;100,"NM",IF(((DA200/CS200-1)*100)&lt;-50,"NM",(DA200/CS200-1)*100)))</f>
        <v>4.2517257776247375</v>
      </c>
      <c r="DC200" s="16">
        <f>AVERAGE(DC189,DC197)</f>
        <v>32209</v>
      </c>
      <c r="DD200" s="61">
        <f>IF(ISERROR((DC200/CU200-1)*100),"NA",IF(((DC200/CU200-1)*100)&gt;100,"NM",IF(((DC200/CU200-1)*100)&lt;-50,"NM",(DC200/CU200-1)*100)))</f>
        <v>4.1502966807327235</v>
      </c>
      <c r="DE200" s="16">
        <f>AVERAGE(DE189,DE197)</f>
        <v>32553</v>
      </c>
      <c r="DF200" s="61">
        <f>IF(ISERROR((DE200/CW200-1)*100),"NA",IF(((DE200/CW200-1)*100)&gt;100,"NM",IF(((DE200/CW200-1)*100)&lt;-50,"NM",(DE200/CW200-1)*100)))</f>
        <v>4.3616253907189151</v>
      </c>
      <c r="DG200" s="16">
        <f>AVERAGE(DG189,DG197)</f>
        <v>32830.5</v>
      </c>
      <c r="DH200" s="61">
        <f>IF(ISERROR((DG200/CY200-1)*100),"NA",IF(((DG200/CY200-1)*100)&gt;100,"NM",IF(((DG200/CY200-1)*100)&lt;-50,"NM",(DG200/CY200-1)*100)))</f>
        <v>4.4077660640175598</v>
      </c>
      <c r="DI200" s="16">
        <f>AVERAGE(DI189,DI197)</f>
        <v>33139</v>
      </c>
      <c r="DJ200" s="61">
        <f>IF(ISERROR((DI200/DA200-1)*100),"NA",IF(((DI200/DA200-1)*100)&gt;100,"NM",IF(((DI200/DA200-1)*100)&lt;-50,"NM",(DI200/DA200-1)*100)))</f>
        <v>4.2434727901855984</v>
      </c>
      <c r="DK200" s="16">
        <f>AVERAGE(DK189,DK197)</f>
        <v>33401.5</v>
      </c>
      <c r="DL200" s="61">
        <f>IF(ISERROR((DK200/DC200-1)*100),"NA",IF(((DK200/DC200-1)*100)&gt;100,"NM",IF(((DK200/DC200-1)*100)&lt;-50,"NM",(DK200/DC200-1)*100)))</f>
        <v>3.7023813219907442</v>
      </c>
      <c r="DM200" s="16">
        <f>AVERAGE(DM189,DM197)</f>
        <v>33591.5</v>
      </c>
      <c r="DN200" s="130">
        <f t="shared" si="1367"/>
        <v>3.1901821644702455</v>
      </c>
      <c r="DO200" s="16">
        <f>AVERAGE(DO189,DO197)</f>
        <v>33808</v>
      </c>
      <c r="DP200" s="130">
        <f t="shared" si="1367"/>
        <v>2.9774142946345616</v>
      </c>
      <c r="DQ200" s="16">
        <f>AVERAGE(DQ189,DQ197)</f>
        <v>34071.5</v>
      </c>
      <c r="DR200" s="130">
        <f t="shared" si="1367"/>
        <v>2.8139050665379139</v>
      </c>
      <c r="DS200" s="16">
        <f>AVERAGE(DS189,DS197)</f>
        <v>34291.5</v>
      </c>
      <c r="DT200" s="130">
        <f t="shared" si="1367"/>
        <v>2.6645509932188727</v>
      </c>
      <c r="DU200" s="16">
        <f>AVERAGE(DU189,DU197)</f>
        <v>34455</v>
      </c>
      <c r="DV200" s="130">
        <f t="shared" si="1367"/>
        <v>2.5705907744518752</v>
      </c>
      <c r="DW200" s="16">
        <f>AVERAGE(DW189,DW197)</f>
        <v>34686.5</v>
      </c>
      <c r="DX200" s="16">
        <f t="shared" ref="DX200:DY200" si="1389">AVERAGE(DX189,DX197)</f>
        <v>-241.0479556520209</v>
      </c>
      <c r="DY200" s="16">
        <f t="shared" si="1389"/>
        <v>34997.5</v>
      </c>
      <c r="DZ200" s="130">
        <f t="shared" si="1367"/>
        <v>2.7178140087756653</v>
      </c>
      <c r="EA200" s="16">
        <f t="shared" ref="EA200:EC200" si="1390">AVERAGE(EA189,EA197)</f>
        <v>35211</v>
      </c>
      <c r="EB200" s="130">
        <f t="shared" si="1370"/>
        <v>2.6814225099514477</v>
      </c>
      <c r="EC200" s="16">
        <f t="shared" si="1390"/>
        <v>35327.5</v>
      </c>
      <c r="ED200" s="130">
        <f t="shared" si="1371"/>
        <v>2.5322884922362565</v>
      </c>
      <c r="EE200" s="16">
        <f t="shared" ref="EE200:EG200" si="1391">AVERAGE(EE189,EE197)</f>
        <v>35497</v>
      </c>
      <c r="EF200" s="130">
        <f t="shared" si="1373"/>
        <v>2.3366439392847438</v>
      </c>
      <c r="EG200" s="16">
        <f t="shared" si="1391"/>
        <v>35750</v>
      </c>
      <c r="EH200" s="130">
        <f t="shared" si="1374"/>
        <v>2.1501535823987394</v>
      </c>
      <c r="EI200" s="16">
        <f t="shared" ref="EI200:EK200" si="1392">AVERAGE(EI189,EI197)</f>
        <v>35914.5</v>
      </c>
      <c r="EJ200" s="130">
        <f t="shared" si="1376"/>
        <v>1.997955184459399</v>
      </c>
      <c r="EK200" s="16">
        <f t="shared" si="1392"/>
        <v>36007.5</v>
      </c>
      <c r="EL200" s="130">
        <f t="shared" si="1377"/>
        <v>1.9248460830797454</v>
      </c>
      <c r="EM200" s="16">
        <f t="shared" ref="EM200" si="1393">AVERAGE(EM189,EM197)</f>
        <v>36152</v>
      </c>
      <c r="EN200" s="130">
        <f t="shared" si="1379"/>
        <v>1.8452263571569372</v>
      </c>
      <c r="EO200" s="16">
        <f t="shared" ref="EO200" si="1394">AVERAGE(EO189,EO197)</f>
        <v>36324</v>
      </c>
      <c r="EP200" s="130">
        <f t="shared" si="1381"/>
        <v>1.6055944055944016</v>
      </c>
      <c r="EQ200" s="16">
        <f t="shared" ref="EQ200:EW200" si="1395">AVERAGE(EQ189,EQ197)</f>
        <v>36549.20195476542</v>
      </c>
      <c r="ER200" s="130">
        <f t="shared" si="1383"/>
        <v>1.7672582237408863</v>
      </c>
      <c r="ES200" s="16">
        <f t="shared" si="1395"/>
        <v>36749.867100732794</v>
      </c>
      <c r="ET200" s="130">
        <f t="shared" si="1384"/>
        <v>2.0617013142617324</v>
      </c>
      <c r="EU200" s="16">
        <f t="shared" si="1395"/>
        <v>36989.168261922016</v>
      </c>
      <c r="EV200" s="130">
        <f t="shared" si="1385"/>
        <v>2.3156900362967914</v>
      </c>
      <c r="EW200" s="16">
        <f t="shared" si="1395"/>
        <v>37189.001393346975</v>
      </c>
      <c r="EX200" s="130">
        <f t="shared" si="1386"/>
        <v>2.381349502662089</v>
      </c>
      <c r="EY200" s="64"/>
      <c r="EZ200" s="558"/>
      <c r="FA200" s="64"/>
      <c r="FB200" s="66"/>
      <c r="FC200" s="66"/>
      <c r="FD200" s="66"/>
      <c r="FE200" s="67"/>
      <c r="FF200" s="66"/>
      <c r="FG200" s="67"/>
      <c r="FH200" s="66"/>
      <c r="FI200" s="67"/>
      <c r="FJ200" s="66"/>
      <c r="FK200" s="67"/>
      <c r="FL200" s="66"/>
      <c r="FM200" s="61"/>
      <c r="FN200" s="66"/>
      <c r="FO200" s="61"/>
      <c r="FP200" s="16"/>
      <c r="FQ200" s="61"/>
      <c r="FR200" s="16"/>
      <c r="FS200" s="61" t="str">
        <f>IF(ISERROR((FR200/FP200-1)*100),"NA",IF(((FR200/FP200-1)*100)&gt;100,"NM",IF(((FR200/FP200-1)*100)&lt;-50,"NM",(FR200/FP200-1)*100)))</f>
        <v>NA</v>
      </c>
      <c r="FT200" s="16"/>
      <c r="FU200" s="61" t="str">
        <f>IF(ISERROR((FT200/FR200-1)*100),"NA",IF(((FT200/FR200-1)*100)&gt;100,"NM",IF(((FT200/FR200-1)*100)&lt;-50,"NM",(FT200/FR200-1)*100)))</f>
        <v>NA</v>
      </c>
      <c r="FV200" s="16"/>
      <c r="FW200" s="61" t="str">
        <f>IF(ISERROR((FV200/FT200-1)*100),"NA",IF(((FV200/FT200-1)*100)&gt;100,"NM",IF(((FV200/FT200-1)*100)&lt;-50,"NM",(FV200/FT200-1)*100)))</f>
        <v>NA</v>
      </c>
      <c r="FX200" s="16"/>
      <c r="FY200" s="61" t="str">
        <f>IF(ISERROR((FX200/FV200-1)*100),"NA",IF(((FX200/FV200-1)*100)&gt;100,"NM",IF(((FX200/FV200-1)*100)&lt;-50,"NM",(FX200/FV200-1)*100)))</f>
        <v>NA</v>
      </c>
      <c r="FZ200" s="16"/>
      <c r="GA200" s="61"/>
      <c r="GB200" s="16"/>
      <c r="GC200" s="61"/>
      <c r="GD200" s="16"/>
      <c r="GE200" s="61"/>
      <c r="GF200" s="16"/>
      <c r="GG200" s="61"/>
      <c r="GH200" s="16"/>
      <c r="GI200" s="61"/>
      <c r="GJ200" s="16"/>
      <c r="GK200" s="61"/>
      <c r="GL200" s="16"/>
      <c r="GM200" s="61"/>
      <c r="GN200" s="16"/>
      <c r="GO200" s="61"/>
      <c r="GP200" s="16"/>
      <c r="GQ200" s="61"/>
      <c r="GR200" s="66"/>
      <c r="GS200" s="61"/>
      <c r="GT200" s="66"/>
      <c r="GU200" s="61"/>
      <c r="GV200" s="66"/>
      <c r="GW200" s="61"/>
      <c r="GX200" s="66"/>
      <c r="GY200" s="61"/>
      <c r="GZ200" s="61" t="str">
        <f t="shared" si="1111"/>
        <v/>
      </c>
      <c r="HA200" s="61"/>
      <c r="HB200" s="452"/>
      <c r="HC200"/>
      <c r="HD200"/>
      <c r="HE200"/>
      <c r="HF200"/>
      <c r="HG200"/>
      <c r="HH200"/>
    </row>
    <row r="201" spans="1:216" s="5" customFormat="1" ht="12.75" customHeight="1" x14ac:dyDescent="0.2">
      <c r="B201" s="2"/>
      <c r="C201" s="66"/>
      <c r="D201" s="67"/>
      <c r="E201" s="66"/>
      <c r="F201" s="66"/>
      <c r="G201" s="66"/>
      <c r="H201" s="66"/>
      <c r="I201" s="66"/>
      <c r="J201" s="66"/>
      <c r="K201" s="66"/>
      <c r="L201" s="61"/>
      <c r="M201" s="66"/>
      <c r="N201" s="61"/>
      <c r="O201" s="66"/>
      <c r="P201" s="61"/>
      <c r="Q201" s="66"/>
      <c r="R201" s="61"/>
      <c r="S201" s="66"/>
      <c r="T201" s="61"/>
      <c r="U201" s="66"/>
      <c r="V201" s="61"/>
      <c r="W201" s="66"/>
      <c r="X201" s="61"/>
      <c r="Y201" s="66"/>
      <c r="Z201" s="61"/>
      <c r="AA201" s="66"/>
      <c r="AB201" s="61"/>
      <c r="AC201" s="66"/>
      <c r="AD201" s="61"/>
      <c r="AE201" s="66"/>
      <c r="AF201" s="61"/>
      <c r="AG201" s="66"/>
      <c r="AH201" s="61"/>
      <c r="AI201" s="66"/>
      <c r="AJ201" s="61"/>
      <c r="AK201" s="66"/>
      <c r="AL201" s="61"/>
      <c r="AM201" s="66"/>
      <c r="AN201" s="61"/>
      <c r="AO201" s="66"/>
      <c r="AP201" s="61"/>
      <c r="AQ201" s="66"/>
      <c r="AR201" s="61"/>
      <c r="AS201" s="66"/>
      <c r="AT201" s="61"/>
      <c r="AU201" s="66"/>
      <c r="AV201" s="61"/>
      <c r="AW201" s="66"/>
      <c r="AX201" s="61"/>
      <c r="AY201" s="66"/>
      <c r="AZ201" s="61"/>
      <c r="BA201" s="66"/>
      <c r="BB201" s="61"/>
      <c r="BC201" s="66"/>
      <c r="BD201" s="61"/>
      <c r="BE201" s="66"/>
      <c r="BF201" s="61"/>
      <c r="BG201" s="66"/>
      <c r="BH201" s="61"/>
      <c r="BI201" s="66"/>
      <c r="BJ201" s="61"/>
      <c r="BK201" s="66"/>
      <c r="BL201" s="61"/>
      <c r="BM201" s="66"/>
      <c r="BN201" s="61"/>
      <c r="BO201" s="66"/>
      <c r="BP201" s="61"/>
      <c r="BQ201" s="66"/>
      <c r="BR201" s="61"/>
      <c r="BS201" s="66"/>
      <c r="BT201" s="61"/>
      <c r="BU201" s="66"/>
      <c r="BV201" s="61"/>
      <c r="BW201" s="66"/>
      <c r="BX201" s="61"/>
      <c r="BY201" s="66"/>
      <c r="BZ201" s="61"/>
      <c r="CA201" s="66"/>
      <c r="CB201" s="61"/>
      <c r="CC201" s="66"/>
      <c r="CD201" s="61"/>
      <c r="CE201" s="66"/>
      <c r="CF201" s="61"/>
      <c r="CG201" s="66"/>
      <c r="CH201" s="61"/>
      <c r="CI201" s="66"/>
      <c r="CJ201" s="61"/>
      <c r="CK201" s="66"/>
      <c r="CL201" s="61"/>
      <c r="CM201" s="66"/>
      <c r="CN201" s="61"/>
      <c r="CO201" s="66"/>
      <c r="CP201" s="61"/>
      <c r="CQ201" s="66"/>
      <c r="CR201" s="61"/>
      <c r="CS201" s="66"/>
      <c r="CT201" s="61"/>
      <c r="CU201" s="66"/>
      <c r="CV201" s="61"/>
      <c r="CW201" s="66"/>
      <c r="CX201" s="61"/>
      <c r="CY201" s="66"/>
      <c r="CZ201" s="61"/>
      <c r="DA201" s="66"/>
      <c r="DB201" s="61"/>
      <c r="DC201" s="66"/>
      <c r="DD201" s="61"/>
      <c r="DE201" s="66"/>
      <c r="DF201" s="61"/>
      <c r="DG201" s="66"/>
      <c r="DH201" s="61"/>
      <c r="DI201" s="66"/>
      <c r="DJ201" s="61"/>
      <c r="DK201" s="66"/>
      <c r="DL201" s="61"/>
      <c r="DM201" s="66"/>
      <c r="DN201" s="61"/>
      <c r="DO201" s="66"/>
      <c r="DP201" s="61"/>
      <c r="DQ201" s="66"/>
      <c r="DR201" s="61"/>
      <c r="DS201" s="66"/>
      <c r="DT201" s="61"/>
      <c r="DU201" s="66"/>
      <c r="DV201" s="61"/>
      <c r="DW201" s="66"/>
      <c r="DX201" s="66"/>
      <c r="DY201" s="66"/>
      <c r="DZ201" s="61"/>
      <c r="EA201" s="66"/>
      <c r="EB201" s="61"/>
      <c r="EC201" s="66"/>
      <c r="ED201" s="61"/>
      <c r="EE201" s="66"/>
      <c r="EF201" s="61"/>
      <c r="EG201" s="66"/>
      <c r="EH201" s="61"/>
      <c r="EI201" s="66"/>
      <c r="EJ201" s="61"/>
      <c r="EK201" s="66"/>
      <c r="EL201" s="61"/>
      <c r="EM201" s="66"/>
      <c r="EN201" s="61"/>
      <c r="EO201" s="66"/>
      <c r="EP201" s="61"/>
      <c r="EQ201" s="66"/>
      <c r="ER201" s="61"/>
      <c r="ES201" s="66"/>
      <c r="ET201" s="61"/>
      <c r="EU201" s="66"/>
      <c r="EV201" s="61"/>
      <c r="EW201" s="66"/>
      <c r="EX201" s="61"/>
      <c r="EY201" s="64"/>
      <c r="EZ201" s="558"/>
      <c r="FA201" s="64"/>
      <c r="FB201" s="66"/>
      <c r="FC201" s="66"/>
      <c r="FD201" s="66"/>
      <c r="FE201" s="67"/>
      <c r="FF201" s="66"/>
      <c r="FG201" s="67"/>
      <c r="FH201" s="66"/>
      <c r="FI201" s="67"/>
      <c r="FJ201" s="66"/>
      <c r="FK201" s="67"/>
      <c r="FL201" s="66"/>
      <c r="FM201" s="61"/>
      <c r="FN201" s="66"/>
      <c r="FO201" s="61"/>
      <c r="FP201" s="16"/>
      <c r="FQ201" s="61"/>
      <c r="FR201" s="16"/>
      <c r="FS201" s="61"/>
      <c r="FT201" s="16"/>
      <c r="FU201" s="61"/>
      <c r="FV201" s="16"/>
      <c r="FW201" s="61"/>
      <c r="FX201" s="16"/>
      <c r="FY201" s="61"/>
      <c r="FZ201" s="16"/>
      <c r="GA201" s="61"/>
      <c r="GB201" s="16"/>
      <c r="GC201" s="61"/>
      <c r="GD201" s="16"/>
      <c r="GE201" s="61"/>
      <c r="GF201" s="16"/>
      <c r="GG201" s="61"/>
      <c r="GH201" s="16"/>
      <c r="GI201" s="61"/>
      <c r="GJ201" s="16"/>
      <c r="GK201" s="61"/>
      <c r="GL201" s="16"/>
      <c r="GM201" s="61"/>
      <c r="GN201" s="16"/>
      <c r="GO201" s="61"/>
      <c r="GP201" s="16"/>
      <c r="GQ201" s="61"/>
      <c r="GR201" s="66"/>
      <c r="GS201" s="61"/>
      <c r="GT201" s="66"/>
      <c r="GU201" s="61"/>
      <c r="GV201" s="66"/>
      <c r="GW201" s="61"/>
      <c r="GX201" s="66"/>
      <c r="GY201" s="61"/>
      <c r="GZ201" s="61" t="str">
        <f t="shared" si="1111"/>
        <v/>
      </c>
      <c r="HA201" s="61"/>
      <c r="HB201" s="452"/>
      <c r="HC201"/>
      <c r="HD201"/>
      <c r="HE201"/>
      <c r="HF201"/>
      <c r="HG201"/>
      <c r="HH201"/>
    </row>
    <row r="202" spans="1:216" s="5" customFormat="1" ht="12.75" customHeight="1" x14ac:dyDescent="0.2">
      <c r="A202" s="5" t="s">
        <v>357</v>
      </c>
      <c r="B202" s="2" t="s">
        <v>527</v>
      </c>
      <c r="C202" s="69"/>
      <c r="D202" s="70"/>
      <c r="E202" s="69"/>
      <c r="F202" s="71"/>
      <c r="G202" s="150"/>
      <c r="H202" s="71"/>
      <c r="I202" s="69"/>
      <c r="J202" s="61"/>
      <c r="K202" s="69"/>
      <c r="L202" s="61"/>
      <c r="M202" s="69"/>
      <c r="N202" s="61"/>
      <c r="O202" s="150"/>
      <c r="P202" s="61"/>
      <c r="Q202" s="150"/>
      <c r="R202" s="61"/>
      <c r="S202" s="150"/>
      <c r="T202" s="61"/>
      <c r="U202" s="69"/>
      <c r="V202" s="61"/>
      <c r="W202" s="150"/>
      <c r="X202" s="61"/>
      <c r="Y202" s="150"/>
      <c r="Z202" s="61"/>
      <c r="AA202" s="150"/>
      <c r="AB202" s="61"/>
      <c r="AC202" s="150"/>
      <c r="AD202" s="61"/>
      <c r="AE202" s="150"/>
      <c r="AF202" s="61"/>
      <c r="AG202" s="150"/>
      <c r="AH202" s="61"/>
      <c r="AI202" s="150"/>
      <c r="AJ202" s="61"/>
      <c r="AK202" s="150"/>
      <c r="AL202" s="61"/>
      <c r="AM202" s="150"/>
      <c r="AN202" s="61"/>
      <c r="AO202" s="150"/>
      <c r="AP202" s="61"/>
      <c r="AQ202" s="150">
        <f>AQ190+AQ191</f>
        <v>194</v>
      </c>
      <c r="AR202" s="61" t="str">
        <f>IF(ISERROR((AQ202/AI202-1)*100),"NA",IF(((AQ202/AI202-1)*100)&gt;100,"NM",IF(((AQ202/AI202-1)*100)&lt;-50,"NM",(AQ202/AI202-1)*100)))</f>
        <v>NA</v>
      </c>
      <c r="AS202" s="150">
        <f>AS190+AS191</f>
        <v>224</v>
      </c>
      <c r="AT202" s="61" t="str">
        <f>IF(ISERROR((AS202/AK202-1)*100),"NA",IF(((AS202/AK202-1)*100)&gt;100,"NM",IF(((AS202/AK202-1)*100)&lt;-50,"NM",(AS202/AK202-1)*100)))</f>
        <v>NA</v>
      </c>
      <c r="AU202" s="150">
        <f>AU190+AU191</f>
        <v>254</v>
      </c>
      <c r="AV202" s="61" t="str">
        <f>IF(ISERROR((AU202/AM202-1)*100),"NA",IF(((AU202/AM202-1)*100)&gt;100,"NM",IF(((AU202/AM202-1)*100)&lt;-50,"NM",(AU202/AM202-1)*100)))</f>
        <v>NA</v>
      </c>
      <c r="AW202" s="150">
        <f>AW190+AW191</f>
        <v>339</v>
      </c>
      <c r="AX202" s="61" t="str">
        <f>IF(ISERROR((AW202/AO202-1)*100),"NA",IF(((AW202/AO202-1)*100)&gt;100,"NM",IF(((AW202/AO202-1)*100)&lt;-50,"NM",(AW202/AO202-1)*100)))</f>
        <v>NA</v>
      </c>
      <c r="AY202" s="150">
        <f>AY190+AY191</f>
        <v>219</v>
      </c>
      <c r="AZ202" s="61">
        <f>IF(ISERROR((AY202/AQ202-1)*100),"NA",IF(((AY202/AQ202-1)*100)&gt;100,"NM",IF(((AY202/AQ202-1)*100)&lt;-50,"NM",(AY202/AQ202-1)*100)))</f>
        <v>12.886597938144329</v>
      </c>
      <c r="BA202" s="150">
        <f>BA190+BA191</f>
        <v>482</v>
      </c>
      <c r="BB202" s="61" t="str">
        <f>IF(ISERROR((BA202/AS202-1)*100),"NA",IF(((BA202/AS202-1)*100)&gt;100,"NM",IF(((BA202/AS202-1)*100)&lt;-50,"NM",(BA202/AS202-1)*100)))</f>
        <v>NM</v>
      </c>
      <c r="BC202" s="150">
        <f>BC190+BC191</f>
        <v>442</v>
      </c>
      <c r="BD202" s="61">
        <f>IF(ISERROR((BC202/AU202-1)*100),"NA",IF(((BC202/AU202-1)*100)&gt;100,"NM",IF(((BC202/AU202-1)*100)&lt;-50,"NM",(BC202/AU202-1)*100)))</f>
        <v>74.015748031496059</v>
      </c>
      <c r="BE202" s="150">
        <f>BE190+BE191</f>
        <v>647</v>
      </c>
      <c r="BF202" s="61">
        <f>IF(ISERROR((BE202/AW202-1)*100),"NA",IF(((BE202/AW202-1)*100)&gt;100,"NM",IF(((BE202/AW202-1)*100)&lt;-50,"NM",(BE202/AW202-1)*100)))</f>
        <v>90.855457227138629</v>
      </c>
      <c r="BG202" s="150">
        <f>BG190+BG191</f>
        <v>618</v>
      </c>
      <c r="BH202" s="61" t="str">
        <f>IF(ISERROR((BG202/AY202-1)*100),"NA",IF(((BG202/AY202-1)*100)&gt;100,"NM",IF(((BG202/AY202-1)*100)&lt;-50,"NM",(BG202/AY202-1)*100)))</f>
        <v>NM</v>
      </c>
      <c r="BI202" s="150">
        <f>BI190+BI191</f>
        <v>553</v>
      </c>
      <c r="BJ202" s="61">
        <f>IF(ISERROR((BI202/BA202-1)*100),"NA",IF(((BI202/BA202-1)*100)&gt;100,"NM",IF(((BI202/BA202-1)*100)&lt;-50,"NM",(BI202/BA202-1)*100)))</f>
        <v>14.730290456431527</v>
      </c>
      <c r="BK202" s="150">
        <f>BK190+BK191</f>
        <v>553</v>
      </c>
      <c r="BL202" s="61">
        <f>IF(ISERROR((BK202/BC202-1)*100),"NA",IF(((BK202/BC202-1)*100)&gt;100,"NM",IF(((BK202/BC202-1)*100)&lt;-50,"NM",(BK202/BC202-1)*100)))</f>
        <v>25.113122171945701</v>
      </c>
      <c r="BM202" s="150">
        <f>BM190+BM191</f>
        <v>657</v>
      </c>
      <c r="BN202" s="61">
        <f>IF(ISERROR((BM202/BE202-1)*100),"NA",IF(((BM202/BE202-1)*100)&gt;100,"NM",IF(((BM202/BE202-1)*100)&lt;-50,"NM",(BM202/BE202-1)*100)))</f>
        <v>1.5455950540958163</v>
      </c>
      <c r="BO202" s="150">
        <f>BO190+BO191</f>
        <v>495</v>
      </c>
      <c r="BP202" s="61">
        <f>IF(ISERROR((BO202/BG202-1)*100),"NA",IF(((BO202/BG202-1)*100)&gt;100,"NM",IF(((BO202/BG202-1)*100)&lt;-50,"NM",(BO202/BG202-1)*100)))</f>
        <v>-19.902912621359224</v>
      </c>
      <c r="BQ202" s="150">
        <f>BQ190+BQ191</f>
        <v>569</v>
      </c>
      <c r="BR202" s="61">
        <f>IF(ISERROR((BQ202/BI202-1)*100),"NA",IF(((BQ202/BI202-1)*100)&gt;100,"NM",IF(((BQ202/BI202-1)*100)&lt;-50,"NM",(BQ202/BI202-1)*100)))</f>
        <v>2.893309222423146</v>
      </c>
      <c r="BS202" s="150">
        <f>BS190+BS191</f>
        <v>569</v>
      </c>
      <c r="BT202" s="61">
        <f>IF(ISERROR((BS202/BK202-1)*100),"NA",IF(((BS202/BK202-1)*100)&gt;100,"NM",IF(((BS202/BK202-1)*100)&lt;-50,"NM",(BS202/BK202-1)*100)))</f>
        <v>2.893309222423146</v>
      </c>
      <c r="BU202" s="150">
        <f>BU190+BU191</f>
        <v>626</v>
      </c>
      <c r="BV202" s="61">
        <f>IF(ISERROR((BU202/BM202-1)*100),"NA",IF(((BU202/BM202-1)*100)&gt;100,"NM",IF(((BU202/BM202-1)*100)&lt;-50,"NM",(BU202/BM202-1)*100)))</f>
        <v>-4.7184170471841753</v>
      </c>
      <c r="BW202" s="150">
        <f>BW190+BW191</f>
        <v>457</v>
      </c>
      <c r="BX202" s="61">
        <f>IF(ISERROR((BW202/BO202-1)*100),"NA",IF(((BW202/BO202-1)*100)&gt;100,"NM",IF(((BW202/BO202-1)*100)&lt;-50,"NM",(BW202/BO202-1)*100)))</f>
        <v>-7.6767676767676818</v>
      </c>
      <c r="BY202" s="150">
        <f>BY190+BY191</f>
        <v>449</v>
      </c>
      <c r="BZ202" s="61">
        <f>IF(ISERROR((BY202/BQ202-1)*100),"NA",IF(((BY202/BQ202-1)*100)&gt;100,"NM",IF(((BY202/BQ202-1)*100)&lt;-50,"NM",(BY202/BQ202-1)*100)))</f>
        <v>-21.089630931458704</v>
      </c>
      <c r="CA202" s="150">
        <f>CA190+CA191</f>
        <v>482</v>
      </c>
      <c r="CB202" s="61">
        <f>IF(ISERROR((CA202/BS202-1)*100),"NA",IF(((CA202/BS202-1)*100)&gt;100,"NM",IF(((CA202/BS202-1)*100)&lt;-50,"NM",(CA202/BS202-1)*100)))</f>
        <v>-15.289982425307558</v>
      </c>
      <c r="CC202" s="150">
        <f>CC190+CC191</f>
        <v>771</v>
      </c>
      <c r="CD202" s="61">
        <f>IF(ISERROR((CC202/BU202-1)*100),"NA",IF(((CC202/BU202-1)*100)&gt;100,"NM",IF(((CC202/BU202-1)*100)&lt;-50,"NM",(CC202/BU202-1)*100)))</f>
        <v>23.162939297124609</v>
      </c>
      <c r="CE202" s="150">
        <f>CE190+CE191</f>
        <v>543</v>
      </c>
      <c r="CF202" s="61">
        <f>IF(ISERROR((CE202/BW202-1)*100),"NA",IF(((CE202/BW202-1)*100)&gt;100,"NM",IF(((CE202/BW202-1)*100)&lt;-50,"NM",(CE202/BW202-1)*100)))</f>
        <v>18.818380743982498</v>
      </c>
      <c r="CG202" s="150">
        <f>CG190+CG191</f>
        <v>597</v>
      </c>
      <c r="CH202" s="61">
        <f>IF(ISERROR((CG202/BY202-1)*100),"NA",IF(((CG202/BY202-1)*100)&gt;100,"NM",IF(((CG202/BY202-1)*100)&lt;-50,"NM",(CG202/BY202-1)*100)))</f>
        <v>32.962138084632507</v>
      </c>
      <c r="CI202" s="150">
        <f>CI190+CI191</f>
        <v>599</v>
      </c>
      <c r="CJ202" s="61">
        <f>IF(ISERROR((CI202/CA202-1)*100),"NA",IF(((CI202/CA202-1)*100)&gt;100,"NM",IF(((CI202/CA202-1)*100)&lt;-50,"NM",(CI202/CA202-1)*100)))</f>
        <v>24.273858921161828</v>
      </c>
      <c r="CK202" s="150">
        <f>CK190+CK191</f>
        <v>1006</v>
      </c>
      <c r="CL202" s="61">
        <f>IF(ISERROR((CK202/CC202-1)*100),"NA",IF(((CK202/CC202-1)*100)&gt;100,"NM",IF(((CK202/CC202-1)*100)&lt;-50,"NM",(CK202/CC202-1)*100)))</f>
        <v>30.479896238651104</v>
      </c>
      <c r="CM202" s="150">
        <f>CM190+CM191</f>
        <v>790</v>
      </c>
      <c r="CN202" s="61">
        <f>IF(ISERROR((CM202/CE202-1)*100),"NA",IF(((CM202/CE202-1)*100)&gt;100,"NM",IF(((CM202/CE202-1)*100)&lt;-50,"NM",(CM202/CE202-1)*100)))</f>
        <v>45.488029465930026</v>
      </c>
      <c r="CO202" s="150">
        <f>CO190+CO191</f>
        <v>830</v>
      </c>
      <c r="CP202" s="61">
        <f>IF(ISERROR((CO202/CG202-1)*100),"NA",IF(((CO202/CG202-1)*100)&gt;100,"NM",IF(((CO202/CG202-1)*100)&lt;-50,"NM",(CO202/CG202-1)*100)))</f>
        <v>39.02847571189281</v>
      </c>
      <c r="CQ202" s="150">
        <f>CQ190+CQ191</f>
        <v>933</v>
      </c>
      <c r="CR202" s="61">
        <f>IF(ISERROR((CQ202/CI202-1)*100),"NA",IF(((CQ202/CI202-1)*100)&gt;100,"NM",IF(((CQ202/CI202-1)*100)&lt;-50,"NM",(CQ202/CI202-1)*100)))</f>
        <v>55.759599332220368</v>
      </c>
      <c r="CS202" s="150">
        <f>CS190+CS191</f>
        <v>1029</v>
      </c>
      <c r="CT202" s="61">
        <f>IF(ISERROR((CS202/CK202-1)*100),"NA",IF(((CS202/CK202-1)*100)&gt;100,"NM",IF(((CS202/CK202-1)*100)&lt;-50,"NM",(CS202/CK202-1)*100)))</f>
        <v>2.2862823061630122</v>
      </c>
      <c r="CU202" s="150">
        <f>CU190+CU191</f>
        <v>674</v>
      </c>
      <c r="CV202" s="61">
        <f>IF(ISERROR((CU202/CM202-1)*100),"NA",IF(((CU202/CM202-1)*100)&gt;100,"NM",IF(((CU202/CM202-1)*100)&lt;-50,"NM",(CU202/CM202-1)*100)))</f>
        <v>-14.683544303797468</v>
      </c>
      <c r="CW202" s="150">
        <f>CW190+CW191</f>
        <v>659</v>
      </c>
      <c r="CX202" s="61">
        <f>IF(ISERROR((CW202/CO202-1)*100),"NA",IF(((CW202/CO202-1)*100)&gt;100,"NM",IF(((CW202/CO202-1)*100)&lt;-50,"NM",(CW202/CO202-1)*100)))</f>
        <v>-20.602409638554221</v>
      </c>
      <c r="CY202" s="150">
        <f>CY190+CY191</f>
        <v>634</v>
      </c>
      <c r="CZ202" s="61">
        <f>IF(ISERROR((CY202/CQ202-1)*100),"NA",IF(((CY202/CQ202-1)*100)&gt;100,"NM",IF(((CY202/CQ202-1)*100)&lt;-50,"NM",(CY202/CQ202-1)*100)))</f>
        <v>-32.047159699892823</v>
      </c>
      <c r="DA202" s="150">
        <f>DA190+DA191</f>
        <v>865</v>
      </c>
      <c r="DB202" s="61">
        <f>IF(ISERROR((DA202/CS202-1)*100),"NA",IF(((DA202/CS202-1)*100)&gt;100,"NM",IF(((DA202/CS202-1)*100)&lt;-50,"NM",(DA202/CS202-1)*100)))</f>
        <v>-15.937803692905739</v>
      </c>
      <c r="DC202" s="150">
        <f>DC190+DC191</f>
        <v>811</v>
      </c>
      <c r="DD202" s="61">
        <f>IF(ISERROR((DC202/CU202-1)*100),"NA",IF(((DC202/CU202-1)*100)&gt;100,"NM",IF(((DC202/CU202-1)*100)&lt;-50,"NM",(DC202/CU202-1)*100)))</f>
        <v>20.326409495548958</v>
      </c>
      <c r="DE202" s="150">
        <f>DE190+DE191</f>
        <v>719</v>
      </c>
      <c r="DF202" s="61">
        <f>IF(ISERROR((DE202/CW202-1)*100),"NA",IF(((DE202/CW202-1)*100)&gt;100,"NM",IF(((DE202/CW202-1)*100)&lt;-50,"NM",(DE202/CW202-1)*100)))</f>
        <v>9.1047040971168336</v>
      </c>
      <c r="DG202" s="150">
        <f>DG190+DG191</f>
        <v>683</v>
      </c>
      <c r="DH202" s="61">
        <f>IF(ISERROR((DG202/CY202-1)*100),"NA",IF(((DG202/CY202-1)*100)&gt;100,"NM",IF(((DG202/CY202-1)*100)&lt;-50,"NM",(DG202/CY202-1)*100)))</f>
        <v>7.7287066246056746</v>
      </c>
      <c r="DI202" s="150">
        <f>DI190+DI191</f>
        <v>809</v>
      </c>
      <c r="DJ202" s="61">
        <f>IF(ISERROR((DI202/DA202-1)*100),"NA",IF(((DI202/DA202-1)*100)&gt;100,"NM",IF(((DI202/DA202-1)*100)&lt;-50,"NM",(DI202/DA202-1)*100)))</f>
        <v>-6.4739884393063551</v>
      </c>
      <c r="DK202" s="150">
        <f>DK190+DK191</f>
        <v>577</v>
      </c>
      <c r="DL202" s="61">
        <f>IF(ISERROR((DK202/DC202-1)*100),"NA",IF(((DK202/DC202-1)*100)&gt;100,"NM",IF(((DK202/DC202-1)*100)&lt;-50,"NM",(DK202/DC202-1)*100)))</f>
        <v>-28.853267570900123</v>
      </c>
      <c r="DM202" s="150">
        <f>DM190+DM191</f>
        <v>637</v>
      </c>
      <c r="DN202" s="130">
        <f t="shared" ref="DN202:DZ202" si="1396">IF(ISERROR((DM202/DE202-1)*100),"NA",IF(((DM202/DE202-1)*100)&gt;100,"NM",IF(((DM202/DE202-1)*100)&lt;-50,"NM",(DM202/DE202-1)*100)))</f>
        <v>-11.404728789986097</v>
      </c>
      <c r="DO202" s="150">
        <f>DO190+DO191</f>
        <v>675</v>
      </c>
      <c r="DP202" s="130">
        <f t="shared" si="1396"/>
        <v>-1.171303074670571</v>
      </c>
      <c r="DQ202" s="150">
        <f>DQ190+DQ191</f>
        <v>773</v>
      </c>
      <c r="DR202" s="130">
        <f t="shared" si="1396"/>
        <v>-4.4499381953028383</v>
      </c>
      <c r="DS202" s="150">
        <f>DS190+DS191</f>
        <v>622</v>
      </c>
      <c r="DT202" s="130">
        <f t="shared" si="1396"/>
        <v>7.7989601386481811</v>
      </c>
      <c r="DU202" s="150">
        <f>DU190+DU191</f>
        <v>665</v>
      </c>
      <c r="DV202" s="130">
        <f t="shared" si="1396"/>
        <v>4.3956043956044022</v>
      </c>
      <c r="DW202" s="150">
        <f>DW190+DW191</f>
        <v>798</v>
      </c>
      <c r="DX202" s="150">
        <f t="shared" ref="DX202:DY202" si="1397">DX190+DX191</f>
        <v>798</v>
      </c>
      <c r="DY202" s="150">
        <f t="shared" si="1397"/>
        <v>874</v>
      </c>
      <c r="DZ202" s="130">
        <f t="shared" si="1396"/>
        <v>13.065976714100902</v>
      </c>
      <c r="EA202" s="150">
        <f t="shared" ref="EA202:EC202" si="1398">EA190+EA191</f>
        <v>628</v>
      </c>
      <c r="EB202" s="130">
        <f t="shared" ref="EB202" si="1399">IF(ISERROR((EA202/DS202-1)*100),"NA",IF(((EA202/DS202-1)*100)&gt;100,"NM",IF(((EA202/DS202-1)*100)&lt;-50,"NM",(EA202/DS202-1)*100)))</f>
        <v>0.96463022508037621</v>
      </c>
      <c r="EC202" s="150">
        <f t="shared" si="1398"/>
        <v>698</v>
      </c>
      <c r="ED202" s="130">
        <f t="shared" ref="ED202" si="1400">IF(ISERROR((EC202/DU202-1)*100),"NA",IF(((EC202/DU202-1)*100)&gt;100,"NM",IF(((EC202/DU202-1)*100)&lt;-50,"NM",(EC202/DU202-1)*100)))</f>
        <v>4.9624060150375904</v>
      </c>
      <c r="EE202" s="150">
        <f t="shared" ref="EE202:EG202" si="1401">EE190+EE191</f>
        <v>780</v>
      </c>
      <c r="EF202" s="130">
        <f t="shared" ref="EF202" si="1402">IF(ISERROR((EE202/DW202-1)*100),"NA",IF(((EE202/DW202-1)*100)&gt;100,"NM",IF(((EE202/DW202-1)*100)&lt;-50,"NM",(EE202/DW202-1)*100)))</f>
        <v>-2.2556390977443663</v>
      </c>
      <c r="EG202" s="150">
        <f t="shared" si="1401"/>
        <v>918</v>
      </c>
      <c r="EH202" s="130">
        <f t="shared" ref="EH202" si="1403">IF(ISERROR((EG202/DY202-1)*100),"NA",IF(((EG202/DY202-1)*100)&gt;100,"NM",IF(((EG202/DY202-1)*100)&lt;-50,"NM",(EG202/DY202-1)*100)))</f>
        <v>5.034324942791768</v>
      </c>
      <c r="EI202" s="150">
        <f t="shared" ref="EI202:EK202" si="1404">EI190+EI191</f>
        <v>639</v>
      </c>
      <c r="EJ202" s="130">
        <f t="shared" ref="EJ202" si="1405">IF(ISERROR((EI202/EA202-1)*100),"NA",IF(((EI202/EA202-1)*100)&gt;100,"NM",IF(((EI202/EA202-1)*100)&lt;-50,"NM",(EI202/EA202-1)*100)))</f>
        <v>1.7515923566878921</v>
      </c>
      <c r="EK202" s="150">
        <f t="shared" si="1404"/>
        <v>799</v>
      </c>
      <c r="EL202" s="130">
        <f t="shared" ref="EL202" si="1406">IF(ISERROR((EK202/EC202-1)*100),"NA",IF(((EK202/EC202-1)*100)&gt;100,"NM",IF(((EK202/EC202-1)*100)&lt;-50,"NM",(EK202/EC202-1)*100)))</f>
        <v>14.469914040114617</v>
      </c>
      <c r="EM202" s="150">
        <f t="shared" ref="EM202" si="1407">EM190+EM191</f>
        <v>760</v>
      </c>
      <c r="EN202" s="130">
        <f t="shared" ref="EN202" si="1408">IF(ISERROR((EM202/EE202-1)*100),"NA",IF(((EM202/EE202-1)*100)&gt;100,"NM",IF(((EM202/EE202-1)*100)&lt;-50,"NM",(EM202/EE202-1)*100)))</f>
        <v>-2.5641025641025661</v>
      </c>
      <c r="EO202" s="150">
        <f t="shared" ref="EO202" si="1409">EO190+EO191</f>
        <v>871</v>
      </c>
      <c r="EP202" s="130">
        <f t="shared" ref="EP202" si="1410">IF(ISERROR((EO202/EG202-1)*100),"NA",IF(((EO202/EG202-1)*100)&gt;100,"NM",IF(((EO202/EG202-1)*100)&lt;-50,"NM",(EO202/EG202-1)*100)))</f>
        <v>-5.1198257080609988</v>
      </c>
      <c r="EQ202" s="69">
        <f t="shared" ref="EQ202:EW202" si="1411">EQ190+EQ191</f>
        <v>811.44823381452329</v>
      </c>
      <c r="ER202" s="130">
        <f t="shared" ref="ER202" si="1412">IF(ISERROR((EQ202/EI202-1)*100),"NA",IF(((EQ202/EI202-1)*100)&gt;100,"NM",IF(((EQ202/EI202-1)*100)&lt;-50,"NM",(EQ202/EI202-1)*100)))</f>
        <v>26.987204039831504</v>
      </c>
      <c r="ES202" s="69">
        <f t="shared" si="1411"/>
        <v>886.56734103632846</v>
      </c>
      <c r="ET202" s="130">
        <f t="shared" ref="ET202" si="1413">IF(ISERROR((ES202/EK202-1)*100),"NA",IF(((ES202/EK202-1)*100)&gt;100,"NM",IF(((ES202/EK202-1)*100)&lt;-50,"NM",(ES202/EK202-1)*100)))</f>
        <v>10.959617150979772</v>
      </c>
      <c r="EU202" s="69">
        <f t="shared" si="1411"/>
        <v>837.39742531881916</v>
      </c>
      <c r="EV202" s="130">
        <f t="shared" ref="EV202" si="1414">IF(ISERROR((EU202/EM202-1)*100),"NA",IF(((EU202/EM202-1)*100)&gt;100,"NM",IF(((EU202/EM202-1)*100)&lt;-50,"NM",(EU202/EM202-1)*100)))</f>
        <v>10.183871752476215</v>
      </c>
      <c r="EW202" s="69">
        <f t="shared" si="1411"/>
        <v>921.96697749933799</v>
      </c>
      <c r="EX202" s="130">
        <f t="shared" ref="EX202" si="1415">IF(ISERROR((EW202/EO202-1)*100),"NA",IF(((EW202/EO202-1)*100)&gt;100,"NM",IF(((EW202/EO202-1)*100)&lt;-50,"NM",(EW202/EO202-1)*100)))</f>
        <v>5.8515473592810618</v>
      </c>
      <c r="EY202" s="64"/>
      <c r="EZ202" s="558"/>
      <c r="FA202" s="64"/>
      <c r="FB202" s="69"/>
      <c r="FC202" s="71"/>
      <c r="FD202" s="69"/>
      <c r="FE202" s="70"/>
      <c r="FF202" s="69"/>
      <c r="FG202" s="70"/>
      <c r="FH202" s="69"/>
      <c r="FI202" s="70"/>
      <c r="FJ202" s="69"/>
      <c r="FK202" s="70"/>
      <c r="FL202" s="69"/>
      <c r="FM202" s="61"/>
      <c r="FN202" s="69"/>
      <c r="FO202" s="61"/>
      <c r="FP202" s="73">
        <f>FP190+FP191</f>
        <v>1011</v>
      </c>
      <c r="FQ202" s="61" t="str">
        <f>IF(ISERROR((FP202/FN202-1)*100),"NA",IF(((FP202/FN202-1)*100)&gt;100,"NM",IF(((FP202/FN202-1)*100)&lt;-50,"NM",(FP202/FN202-1)*100)))</f>
        <v>NA</v>
      </c>
      <c r="FR202" s="73">
        <f>FR190+FR191</f>
        <v>1790</v>
      </c>
      <c r="FS202" s="61">
        <f>IF(ISERROR((FR202/FP202-1)*100),"NA",IF(((FR202/FP202-1)*100)&gt;100,"NM",IF(((FR202/FP202-1)*100)&lt;-50,"NM",(FR202/FP202-1)*100)))</f>
        <v>77.052423343224532</v>
      </c>
      <c r="FT202" s="73">
        <f>FT190+FT191</f>
        <v>2381</v>
      </c>
      <c r="FU202" s="61">
        <f>IF(ISERROR((FT202/FR202-1)*100),"NA",IF(((FT202/FR202-1)*100)&gt;100,"NM",IF(((FT202/FR202-1)*100)&lt;-50,"NM",(FT202/FR202-1)*100)))</f>
        <v>33.016759776536311</v>
      </c>
      <c r="FV202" s="73">
        <f>FV190+FV191</f>
        <v>2259</v>
      </c>
      <c r="FW202" s="61">
        <f>IF(ISERROR((FV202/FT202-1)*100),"NA",IF(((FV202/FT202-1)*100)&gt;100,"NM",IF(((FV202/FT202-1)*100)&lt;-50,"NM",(FV202/FT202-1)*100)))</f>
        <v>-5.1238975220495586</v>
      </c>
      <c r="FX202" s="73">
        <f>FX190+FX191</f>
        <v>2159</v>
      </c>
      <c r="FY202" s="61">
        <f>IF(ISERROR((FX202/FV202-1)*100),"NA",IF(((FX202/FV202-1)*100)&gt;100,"NM",IF(((FX202/FV202-1)*100)&lt;-50,"NM",(FX202/FV202-1)*100)))</f>
        <v>-4.4267374944665816</v>
      </c>
      <c r="FZ202" s="73">
        <f>FZ190+FZ191</f>
        <v>2745</v>
      </c>
      <c r="GA202" s="61">
        <f>IF(ISERROR((FZ202/FX202-1)*100),"NA",IF(((FZ202/FX202-1)*100)&gt;100,"NM",IF(((FZ202/FX202-1)*100)&lt;-50,"NM",(FZ202/FX202-1)*100)))</f>
        <v>27.142195460861519</v>
      </c>
      <c r="GB202" s="73">
        <f>GB190+GB191</f>
        <v>3582</v>
      </c>
      <c r="GC202" s="61">
        <f>IF(ISERROR((GB202/FZ202-1)*100),"NA",IF(((GB202/FZ202-1)*100)&gt;100,"NM",IF(((GB202/FZ202-1)*100)&lt;-50,"NM",(GB202/FZ202-1)*100)))</f>
        <v>30.491803278688522</v>
      </c>
      <c r="GD202" s="73">
        <f>GD190+GD191</f>
        <v>2832</v>
      </c>
      <c r="GE202" s="61">
        <f>IF(ISERROR((GD202/GB202-1)*100),"NA",IF(((GD202/GB202-1)*100)&gt;100,"NM",IF(((GD202/GB202-1)*100)&lt;-50,"NM",(GD202/GB202-1)*100)))</f>
        <v>-20.938023450586265</v>
      </c>
      <c r="GF202" s="73">
        <f>GF190+GF191</f>
        <v>3022</v>
      </c>
      <c r="GG202" s="61">
        <f t="shared" ref="GG202:GW202" si="1416">IF(ISERROR((GF202/GD202-1)*100),"NA",IF(((GF202/GD202-1)*100)&gt;100,"NM",IF(((GF202/GD202-1)*100)&lt;-50,"NM",(GF202/GD202-1)*100)))</f>
        <v>6.7090395480225995</v>
      </c>
      <c r="GH202" s="73">
        <f>GH190+GH191</f>
        <v>2662</v>
      </c>
      <c r="GI202" s="61">
        <f t="shared" si="1416"/>
        <v>-11.912640635340832</v>
      </c>
      <c r="GJ202" s="73">
        <f>GJ190+GJ191</f>
        <v>2959</v>
      </c>
      <c r="GK202" s="61">
        <f t="shared" si="1416"/>
        <v>11.157024793388427</v>
      </c>
      <c r="GL202" s="73">
        <f>GL190+GL191</f>
        <v>3024</v>
      </c>
      <c r="GM202" s="61">
        <f t="shared" si="1416"/>
        <v>2.1966880702940283</v>
      </c>
      <c r="GN202" s="73">
        <f>GN190+GN191</f>
        <v>3069</v>
      </c>
      <c r="GO202" s="61">
        <f t="shared" si="1416"/>
        <v>1.4880952380952328</v>
      </c>
      <c r="GP202" s="73">
        <f>GP190+GP191</f>
        <v>3457.3799776690093</v>
      </c>
      <c r="GQ202" s="61">
        <f t="shared" si="1416"/>
        <v>12.654935733757222</v>
      </c>
      <c r="GR202" s="69">
        <f>GR190+GR191</f>
        <v>3659.2964801392118</v>
      </c>
      <c r="GS202" s="61">
        <f t="shared" si="1416"/>
        <v>5.8401594205545138</v>
      </c>
      <c r="GT202" s="69">
        <f>GT190+GT191</f>
        <v>3871.6068417270772</v>
      </c>
      <c r="GU202" s="61">
        <f t="shared" si="1416"/>
        <v>5.8019447929452461</v>
      </c>
      <c r="GV202" s="69">
        <f>GV190+GV191</f>
        <v>4094.8338132850613</v>
      </c>
      <c r="GW202" s="61">
        <f t="shared" si="1416"/>
        <v>5.7657448362810948</v>
      </c>
      <c r="GX202" s="69">
        <f>GX190+GX191</f>
        <v>4329.5263145829567</v>
      </c>
      <c r="GY202" s="61">
        <f t="shared" ref="GY202" si="1417">IF(ISERROR((GX202/GV202-1)*100),"NA",IF(((GX202/GV202-1)*100)&gt;100,"NM",IF(((GX202/GV202-1)*100)&lt;-50,"NM",(GX202/GV202-1)*100)))</f>
        <v>5.731429210545036</v>
      </c>
      <c r="GZ202" s="61">
        <f t="shared" si="1111"/>
        <v>7.1244731513996795</v>
      </c>
      <c r="HA202" s="61"/>
      <c r="HB202" s="452"/>
      <c r="HC202"/>
      <c r="HD202"/>
      <c r="HE202"/>
      <c r="HF202"/>
      <c r="HG202"/>
      <c r="HH202"/>
    </row>
    <row r="203" spans="1:216" s="5" customFormat="1" ht="12.75" customHeight="1" x14ac:dyDescent="0.2">
      <c r="B203" s="2"/>
      <c r="C203" s="69"/>
      <c r="D203" s="70"/>
      <c r="E203" s="69"/>
      <c r="F203" s="71"/>
      <c r="G203" s="150"/>
      <c r="H203" s="71"/>
      <c r="I203" s="69"/>
      <c r="J203" s="61"/>
      <c r="K203" s="69"/>
      <c r="L203" s="61"/>
      <c r="M203" s="69"/>
      <c r="N203" s="61"/>
      <c r="O203" s="150"/>
      <c r="P203" s="61"/>
      <c r="Q203" s="150"/>
      <c r="R203" s="61"/>
      <c r="S203" s="150"/>
      <c r="T203" s="61"/>
      <c r="U203" s="69"/>
      <c r="V203" s="61"/>
      <c r="W203" s="150"/>
      <c r="X203" s="61"/>
      <c r="Y203" s="150"/>
      <c r="Z203" s="61"/>
      <c r="AA203" s="150"/>
      <c r="AB203" s="61"/>
      <c r="AC203" s="150"/>
      <c r="AD203" s="61"/>
      <c r="AE203" s="150"/>
      <c r="AF203" s="61"/>
      <c r="AG203" s="150"/>
      <c r="AH203" s="61"/>
      <c r="AI203" s="150"/>
      <c r="AJ203" s="61"/>
      <c r="AK203" s="150"/>
      <c r="AL203" s="61"/>
      <c r="AM203" s="150"/>
      <c r="AN203" s="61"/>
      <c r="AO203" s="150"/>
      <c r="AP203" s="61"/>
      <c r="AQ203" s="150"/>
      <c r="AR203" s="61"/>
      <c r="AS203" s="150"/>
      <c r="AT203" s="61"/>
      <c r="AU203" s="150"/>
      <c r="AV203" s="61"/>
      <c r="AW203" s="150"/>
      <c r="AX203" s="61"/>
      <c r="AY203" s="150"/>
      <c r="AZ203" s="61"/>
      <c r="BA203" s="150"/>
      <c r="BB203" s="61"/>
      <c r="BC203" s="150"/>
      <c r="BD203" s="61"/>
      <c r="BE203" s="150"/>
      <c r="BF203" s="61"/>
      <c r="BG203" s="150"/>
      <c r="BH203" s="61"/>
      <c r="BI203" s="150"/>
      <c r="BJ203" s="61"/>
      <c r="BK203" s="150"/>
      <c r="BL203" s="61"/>
      <c r="BM203" s="150"/>
      <c r="BN203" s="61"/>
      <c r="BO203" s="150"/>
      <c r="BP203" s="61"/>
      <c r="BQ203" s="150"/>
      <c r="BR203" s="61"/>
      <c r="BS203" s="150"/>
      <c r="BT203" s="61"/>
      <c r="BU203" s="150"/>
      <c r="BV203" s="61"/>
      <c r="BW203" s="150"/>
      <c r="BX203" s="61"/>
      <c r="BY203" s="150"/>
      <c r="BZ203" s="61"/>
      <c r="CA203" s="150"/>
      <c r="CB203" s="61"/>
      <c r="CC203" s="150"/>
      <c r="CD203" s="61"/>
      <c r="CE203" s="150"/>
      <c r="CF203" s="61"/>
      <c r="CG203" s="150"/>
      <c r="CH203" s="61"/>
      <c r="CI203" s="150"/>
      <c r="CJ203" s="61"/>
      <c r="CK203" s="150"/>
      <c r="CL203" s="61"/>
      <c r="CM203" s="150"/>
      <c r="CN203" s="61"/>
      <c r="CO203" s="150"/>
      <c r="CP203" s="61"/>
      <c r="CQ203" s="150"/>
      <c r="CR203" s="61"/>
      <c r="CS203" s="150"/>
      <c r="CT203" s="61"/>
      <c r="CU203" s="150"/>
      <c r="CV203" s="61"/>
      <c r="CW203" s="150"/>
      <c r="CX203" s="61"/>
      <c r="CY203" s="150"/>
      <c r="CZ203" s="61"/>
      <c r="DA203" s="150"/>
      <c r="DB203" s="61"/>
      <c r="DC203" s="150"/>
      <c r="DD203" s="61"/>
      <c r="DE203" s="150"/>
      <c r="DF203" s="61"/>
      <c r="DG203" s="150"/>
      <c r="DH203" s="61"/>
      <c r="DI203" s="150"/>
      <c r="DJ203" s="61"/>
      <c r="DK203" s="150"/>
      <c r="DL203" s="61"/>
      <c r="DM203" s="150"/>
      <c r="DN203" s="61"/>
      <c r="DO203" s="150"/>
      <c r="DP203" s="61"/>
      <c r="DQ203" s="150"/>
      <c r="DR203" s="61"/>
      <c r="DS203" s="150"/>
      <c r="DT203" s="61"/>
      <c r="DU203" s="150"/>
      <c r="DV203" s="61"/>
      <c r="DW203" s="150"/>
      <c r="DX203" s="150"/>
      <c r="DY203" s="150"/>
      <c r="DZ203" s="61"/>
      <c r="EA203" s="150"/>
      <c r="EB203" s="61"/>
      <c r="EC203" s="150"/>
      <c r="ED203" s="61"/>
      <c r="EE203" s="150"/>
      <c r="EF203" s="61"/>
      <c r="EG203" s="150"/>
      <c r="EH203" s="61"/>
      <c r="EI203" s="150"/>
      <c r="EJ203" s="61"/>
      <c r="EK203" s="150"/>
      <c r="EL203" s="61"/>
      <c r="EM203" s="150"/>
      <c r="EN203" s="61"/>
      <c r="EO203" s="150"/>
      <c r="EP203" s="61"/>
      <c r="EQ203" s="69"/>
      <c r="ER203" s="61"/>
      <c r="ES203" s="69"/>
      <c r="ET203" s="61"/>
      <c r="EU203" s="69"/>
      <c r="EV203" s="61"/>
      <c r="EW203" s="69"/>
      <c r="EX203" s="61"/>
      <c r="EY203" s="64"/>
      <c r="EZ203" s="558"/>
      <c r="FA203" s="64"/>
      <c r="FB203" s="69"/>
      <c r="FC203" s="71"/>
      <c r="FD203" s="69"/>
      <c r="FE203" s="70"/>
      <c r="FF203" s="69"/>
      <c r="FG203" s="70"/>
      <c r="FH203" s="69"/>
      <c r="FI203" s="70"/>
      <c r="FJ203" s="69"/>
      <c r="FK203" s="70"/>
      <c r="FL203" s="69"/>
      <c r="FM203" s="61"/>
      <c r="FN203" s="69"/>
      <c r="FO203" s="61"/>
      <c r="FP203" s="73"/>
      <c r="FQ203" s="61"/>
      <c r="FR203" s="73"/>
      <c r="FS203" s="61"/>
      <c r="FT203" s="73"/>
      <c r="FU203" s="61"/>
      <c r="FV203" s="73"/>
      <c r="FW203" s="61"/>
      <c r="FX203" s="73"/>
      <c r="FY203" s="61"/>
      <c r="FZ203" s="73"/>
      <c r="GA203" s="61"/>
      <c r="GB203" s="73"/>
      <c r="GC203" s="61"/>
      <c r="GD203" s="73"/>
      <c r="GE203" s="61"/>
      <c r="GF203" s="73"/>
      <c r="GG203" s="61"/>
      <c r="GH203" s="73"/>
      <c r="GI203" s="61"/>
      <c r="GJ203" s="73"/>
      <c r="GK203" s="61"/>
      <c r="GL203" s="73"/>
      <c r="GM203" s="61"/>
      <c r="GN203" s="73"/>
      <c r="GO203" s="61"/>
      <c r="GP203" s="73"/>
      <c r="GQ203" s="61"/>
      <c r="GR203" s="69"/>
      <c r="GS203" s="61"/>
      <c r="GT203" s="69"/>
      <c r="GU203" s="61"/>
      <c r="GV203" s="69"/>
      <c r="GW203" s="61"/>
      <c r="GX203" s="69"/>
      <c r="GY203" s="61"/>
      <c r="GZ203" s="61"/>
      <c r="HA203" s="61"/>
      <c r="HB203" s="452"/>
      <c r="HC203"/>
      <c r="HD203"/>
      <c r="HE203"/>
      <c r="HF203"/>
      <c r="HG203"/>
      <c r="HH203"/>
    </row>
    <row r="204" spans="1:216" s="5" customFormat="1" ht="12.75" customHeight="1" x14ac:dyDescent="0.2">
      <c r="B204" s="2" t="s">
        <v>71</v>
      </c>
      <c r="C204" s="82"/>
      <c r="D204" s="70"/>
      <c r="E204" s="82"/>
      <c r="F204" s="71"/>
      <c r="G204" s="82"/>
      <c r="H204" s="71"/>
      <c r="I204" s="82"/>
      <c r="J204" s="61"/>
      <c r="K204" s="82"/>
      <c r="L204" s="61"/>
      <c r="M204" s="82"/>
      <c r="N204" s="61"/>
      <c r="O204" s="82"/>
      <c r="P204" s="61"/>
      <c r="Q204" s="82"/>
      <c r="R204" s="61"/>
      <c r="S204" s="82"/>
      <c r="T204" s="61"/>
      <c r="U204" s="82"/>
      <c r="V204" s="61"/>
      <c r="W204" s="82"/>
      <c r="X204" s="61"/>
      <c r="Y204" s="82"/>
      <c r="Z204" s="61"/>
      <c r="AA204" s="82"/>
      <c r="AB204" s="61"/>
      <c r="AC204" s="82"/>
      <c r="AD204" s="61"/>
      <c r="AE204" s="82"/>
      <c r="AF204" s="61"/>
      <c r="AG204" s="82"/>
      <c r="AH204" s="61"/>
      <c r="AI204" s="82"/>
      <c r="AJ204" s="61"/>
      <c r="AK204" s="82"/>
      <c r="AL204" s="61"/>
      <c r="AM204" s="82"/>
      <c r="AN204" s="61"/>
      <c r="AO204" s="82"/>
      <c r="AP204" s="61"/>
      <c r="AQ204" s="82">
        <f>AQ193/AQ199*400</f>
        <v>4.8588021456753996</v>
      </c>
      <c r="AR204" s="61"/>
      <c r="AS204" s="82">
        <f>AS193/AS199*400</f>
        <v>4.7083626141953623</v>
      </c>
      <c r="AT204" s="61"/>
      <c r="AU204" s="82">
        <f>AU193/AU199*400</f>
        <v>4.7234522879222025</v>
      </c>
      <c r="AV204" s="61"/>
      <c r="AW204" s="82">
        <f>AW193/AW199*400</f>
        <v>4.6495726495726499</v>
      </c>
      <c r="AX204" s="61"/>
      <c r="AY204" s="81">
        <f>AY193/AY199*400</f>
        <v>4.5527358570103704</v>
      </c>
      <c r="AZ204" s="61"/>
      <c r="BA204" s="81">
        <f>BA193/BA199*400</f>
        <v>5.5906982348334235</v>
      </c>
      <c r="BB204" s="61"/>
      <c r="BC204" s="81">
        <f>BC193/BC199*400</f>
        <v>4.4671853461367723</v>
      </c>
      <c r="BD204" s="61"/>
      <c r="BE204" s="81">
        <f>BE193/BE199*400</f>
        <v>4.4602128737962499</v>
      </c>
      <c r="BF204" s="61"/>
      <c r="BG204" s="81">
        <f>BG193/BG199*400</f>
        <v>3.8258679052192393</v>
      </c>
      <c r="BH204" s="61"/>
      <c r="BI204" s="81">
        <f>BI193/BI199*400</f>
        <v>3.7792336553976553</v>
      </c>
      <c r="BJ204" s="61"/>
      <c r="BK204" s="81">
        <f>BK193/BK199*400</f>
        <v>4.2901626110021915</v>
      </c>
      <c r="BL204" s="61"/>
      <c r="BM204" s="81">
        <f>BM193/BM199*400</f>
        <v>4.2824601366742598</v>
      </c>
      <c r="BN204" s="61"/>
      <c r="BO204" s="81">
        <f>BO193/BO199*400</f>
        <v>4.2220719705506724</v>
      </c>
      <c r="BP204" s="61"/>
      <c r="BQ204" s="81">
        <f>BQ193/BQ199*400</f>
        <v>4.2602316314750679</v>
      </c>
      <c r="BR204" s="61"/>
      <c r="BS204" s="81">
        <f>BS193/BS199*400</f>
        <v>4.2946482926559302</v>
      </c>
      <c r="BT204" s="61"/>
      <c r="BU204" s="81">
        <f>BU193/BU199*400</f>
        <v>4.2098339088965631</v>
      </c>
      <c r="BV204" s="61"/>
      <c r="BW204" s="81">
        <f>BW193/BW199*400</f>
        <v>4.194560859231844</v>
      </c>
      <c r="BX204" s="61"/>
      <c r="BY204" s="81">
        <f>BY193/BY199*400</f>
        <v>4.1644073310920726</v>
      </c>
      <c r="BZ204" s="61"/>
      <c r="CA204" s="81">
        <f>CA193/CA199*400</f>
        <v>4.1920265062844377</v>
      </c>
      <c r="CB204" s="61"/>
      <c r="CC204" s="81">
        <f>CC193/CC199*400</f>
        <v>4.1987253869361085</v>
      </c>
      <c r="CD204" s="61"/>
      <c r="CE204" s="81">
        <f>CE193/CE199*400</f>
        <v>4.1452243266663125</v>
      </c>
      <c r="CF204" s="61"/>
      <c r="CG204" s="81">
        <f>CG193/CG199*400</f>
        <v>4.1447865259312602</v>
      </c>
      <c r="CH204" s="61"/>
      <c r="CI204" s="81">
        <f>CI193/CI199*400</f>
        <v>4.1549025759001701</v>
      </c>
      <c r="CJ204" s="61"/>
      <c r="CK204" s="81">
        <f>CK193/CK199*400</f>
        <v>4.1128630134630928</v>
      </c>
      <c r="CL204" s="61"/>
      <c r="CM204" s="81">
        <f>CM193/CM199*400</f>
        <v>4.0471034109366544</v>
      </c>
      <c r="CN204" s="61"/>
      <c r="CO204" s="81">
        <f>CO193/CO199*400</f>
        <v>4.0476230233606625</v>
      </c>
      <c r="CP204" s="61"/>
      <c r="CQ204" s="81">
        <f>CQ193/CQ199*400</f>
        <v>3.7245418352910211</v>
      </c>
      <c r="CR204" s="61"/>
      <c r="CS204" s="81">
        <f>CS193/CS199*400</f>
        <v>3.9187157476114267</v>
      </c>
      <c r="CT204" s="61"/>
      <c r="CU204" s="81">
        <f>CU193/CU199*400</f>
        <v>3.9672795114250632</v>
      </c>
      <c r="CV204" s="61"/>
      <c r="CW204" s="81">
        <f>CW193/CW199*400</f>
        <v>3.9086711782935928</v>
      </c>
      <c r="CX204" s="61"/>
      <c r="CY204" s="81">
        <f>CY193/CY199*400</f>
        <v>3.9412576879628465</v>
      </c>
      <c r="CZ204" s="61"/>
      <c r="DA204" s="81">
        <f>DA193/DA199*400</f>
        <v>3.9492067434567977</v>
      </c>
      <c r="DB204" s="61"/>
      <c r="DC204" s="81">
        <f>DC193/DC199*400</f>
        <v>3.8866496038253464</v>
      </c>
      <c r="DD204" s="61"/>
      <c r="DE204" s="81">
        <f>DE193/DE199*400</f>
        <v>3.8832006067500946</v>
      </c>
      <c r="DF204" s="61"/>
      <c r="DG204" s="81">
        <f>DG193/DG199*400</f>
        <v>3.935373228630743</v>
      </c>
      <c r="DH204" s="61"/>
      <c r="DI204" s="81">
        <f>DI193/DI199*400</f>
        <v>3.9471134496996436</v>
      </c>
      <c r="DJ204" s="61"/>
      <c r="DK204" s="81">
        <f>DK193/DK199*400</f>
        <v>3.8930879938467911</v>
      </c>
      <c r="DL204" s="61"/>
      <c r="DM204" s="81">
        <f>DM193/DM199*400</f>
        <v>3.9423359811709324</v>
      </c>
      <c r="DN204" s="130">
        <f t="shared" ref="DN204:DZ205" si="1418">IF(ISERROR((DM204/DE204-1)*100),"NA",IF(((DM204/DE204-1)*100)&gt;100,"NM",IF(((DM204/DE204-1)*100)&lt;-50,"NM",(DM204/DE204-1)*100)))</f>
        <v>1.5228513901147434</v>
      </c>
      <c r="DO204" s="81">
        <f>DO193/DO199*400</f>
        <v>3.9410019149527109</v>
      </c>
      <c r="DP204" s="130">
        <f t="shared" si="1418"/>
        <v>0.14302801780063934</v>
      </c>
      <c r="DQ204" s="81">
        <f>DQ193/DQ199*400</f>
        <v>3.981023401569777</v>
      </c>
      <c r="DR204" s="130">
        <f t="shared" si="1418"/>
        <v>0.85910760615999227</v>
      </c>
      <c r="DS204" s="81">
        <f>DS193/DS199*400</f>
        <v>3.840553593310748</v>
      </c>
      <c r="DT204" s="130">
        <f t="shared" si="1418"/>
        <v>-1.3494275140730538</v>
      </c>
      <c r="DU204" s="81">
        <f>DU193/DU199*400</f>
        <v>3.9263521949399425</v>
      </c>
      <c r="DV204" s="130">
        <f t="shared" si="1418"/>
        <v>-0.40543947312786655</v>
      </c>
      <c r="DW204" s="81">
        <f>DW193/DW199*400</f>
        <v>3.8777925095875569</v>
      </c>
      <c r="DX204" s="81">
        <f t="shared" ref="DX204:DY204" si="1419">DX193/DX199*400</f>
        <v>944.75907317608903</v>
      </c>
      <c r="DY204" s="81">
        <f t="shared" si="1419"/>
        <v>3.8440883009695019</v>
      </c>
      <c r="DZ204" s="130">
        <f t="shared" si="1418"/>
        <v>-3.4396959471848287</v>
      </c>
      <c r="EA204" s="81">
        <f t="shared" ref="EA204:EC204" si="1420">EA193/EA199*400</f>
        <v>3.764838097913886</v>
      </c>
      <c r="EB204" s="130">
        <f t="shared" ref="EB204:EB205" si="1421">IF(ISERROR((EA204/DS204-1)*100),"NA",IF(((EA204/DS204-1)*100)&gt;100,"NM",IF(((EA204/DS204-1)*100)&lt;-50,"NM",(EA204/DS204-1)*100)))</f>
        <v>-1.971473475301555</v>
      </c>
      <c r="EC204" s="81">
        <f t="shared" si="1420"/>
        <v>3.7527130154729402</v>
      </c>
      <c r="ED204" s="130">
        <f t="shared" ref="ED204:ED205" si="1422">IF(ISERROR((EC204/DU204-1)*100),"NA",IF(((EC204/DU204-1)*100)&gt;100,"NM",IF(((EC204/DU204-1)*100)&lt;-50,"NM",(EC204/DU204-1)*100)))</f>
        <v>-4.4224045843563982</v>
      </c>
      <c r="EE204" s="81">
        <f t="shared" ref="EE204:EG204" si="1423">EE193/EE199*400</f>
        <v>3.802090592334495</v>
      </c>
      <c r="EF204" s="130">
        <f t="shared" ref="EF204:EF205" si="1424">IF(ISERROR((EE204/DW204-1)*100),"NA",IF(((EE204/DW204-1)*100)&gt;100,"NM",IF(((EE204/DW204-1)*100)&lt;-50,"NM",(EE204/DW204-1)*100)))</f>
        <v>-1.9521910227505601</v>
      </c>
      <c r="EG204" s="81">
        <f t="shared" si="1423"/>
        <v>3.9198859468213212</v>
      </c>
      <c r="EH204" s="130">
        <f t="shared" ref="EH204:EH205" si="1425">IF(ISERROR((EG204/DY204-1)*100),"NA",IF(((EG204/DY204-1)*100)&gt;100,"NM",IF(((EG204/DY204-1)*100)&lt;-50,"NM",(EG204/DY204-1)*100)))</f>
        <v>1.9717977298467027</v>
      </c>
      <c r="EI204" s="81">
        <f t="shared" ref="EI204:EK204" si="1426">EI193/EI199*400</f>
        <v>3.8915760607438643</v>
      </c>
      <c r="EJ204" s="130">
        <f t="shared" ref="EJ204:EJ205" si="1427">IF(ISERROR((EI204/EA204-1)*100),"NA",IF(((EI204/EA204-1)*100)&gt;100,"NM",IF(((EI204/EA204-1)*100)&lt;-50,"NM",(EI204/EA204-1)*100)))</f>
        <v>3.3663589119597104</v>
      </c>
      <c r="EK204" s="81">
        <f t="shared" si="1426"/>
        <v>3.9038337296732601</v>
      </c>
      <c r="EL204" s="130">
        <f t="shared" ref="EL204:EL205" si="1428">IF(ISERROR((EK204/EC204-1)*100),"NA",IF(((EK204/EC204-1)*100)&gt;100,"NM",IF(((EK204/EC204-1)*100)&lt;-50,"NM",(EK204/EC204-1)*100)))</f>
        <v>4.026972315155164</v>
      </c>
      <c r="EM204" s="81">
        <f t="shared" ref="EM204" si="1429">EM193/EM199*400</f>
        <v>3.9545392304532383</v>
      </c>
      <c r="EN204" s="130">
        <f t="shared" ref="EN204:EN205" si="1430">IF(ISERROR((EM204/EE204-1)*100),"NA",IF(((EM204/EE204-1)*100)&gt;100,"NM",IF(((EM204/EE204-1)*100)&lt;-50,"NM",(EM204/EE204-1)*100)))</f>
        <v>4.0096003610776476</v>
      </c>
      <c r="EO204" s="81">
        <f t="shared" ref="EO204" si="1431">EO193/EO199*400</f>
        <v>4.0781277686153174</v>
      </c>
      <c r="EP204" s="130">
        <f t="shared" ref="EP204:EP205" si="1432">IF(ISERROR((EO204/EG204-1)*100),"NA",IF(((EO204/EG204-1)*100)&gt;100,"NM",IF(((EO204/EG204-1)*100)&lt;-50,"NM",(EO204/EG204-1)*100)))</f>
        <v>4.0368986225815195</v>
      </c>
      <c r="EQ204" s="81">
        <f t="shared" ref="EQ204:EW204" si="1433">EQ193/EQ199*400</f>
        <v>4.0790672550078737</v>
      </c>
      <c r="ER204" s="130">
        <f t="shared" ref="ER204:ER205" si="1434">IF(ISERROR((EQ204/EI204-1)*100),"NA",IF(((EQ204/EI204-1)*100)&gt;100,"NM",IF(((EQ204/EI204-1)*100)&lt;-50,"NM",(EQ204/EI204-1)*100)))</f>
        <v>4.8178730503386502</v>
      </c>
      <c r="ES204" s="81">
        <f t="shared" si="1433"/>
        <v>4.0763440058576315</v>
      </c>
      <c r="ET204" s="130">
        <f t="shared" ref="ET204:ET205" si="1435">IF(ISERROR((ES204/EK204-1)*100),"NA",IF(((ES204/EK204-1)*100)&gt;100,"NM",IF(((ES204/EK204-1)*100)&lt;-50,"NM",(ES204/EK204-1)*100)))</f>
        <v>4.418996507794648</v>
      </c>
      <c r="EU204" s="81">
        <f t="shared" si="1433"/>
        <v>4.0792032995487979</v>
      </c>
      <c r="EV204" s="130">
        <f t="shared" ref="EV204:EV205" si="1436">IF(ISERROR((EU204/EM204-1)*100),"NA",IF(((EU204/EM204-1)*100)&gt;100,"NM",IF(((EU204/EM204-1)*100)&lt;-50,"NM",(EU204/EM204-1)*100)))</f>
        <v>3.152429697385295</v>
      </c>
      <c r="EW204" s="81">
        <f t="shared" si="1433"/>
        <v>4.076275765490692</v>
      </c>
      <c r="EX204" s="130">
        <f t="shared" ref="EX204:EX205" si="1437">IF(ISERROR((EW204/EO204-1)*100),"NA",IF(((EW204/EO204-1)*100)&gt;100,"NM",IF(((EW204/EO204-1)*100)&lt;-50,"NM",(EW204/EO204-1)*100)))</f>
        <v>-4.5413072608424532E-2</v>
      </c>
      <c r="EY204" s="85"/>
      <c r="EZ204" s="558"/>
      <c r="FA204" s="85"/>
      <c r="FB204" s="81"/>
      <c r="FC204" s="86"/>
      <c r="FD204" s="81"/>
      <c r="FE204" s="87"/>
      <c r="FF204" s="81"/>
      <c r="FG204" s="87"/>
      <c r="FH204" s="81"/>
      <c r="FI204" s="87"/>
      <c r="FJ204" s="81"/>
      <c r="FK204" s="87"/>
      <c r="FL204" s="81"/>
      <c r="FM204" s="87"/>
      <c r="FN204" s="81"/>
      <c r="FO204" s="87"/>
      <c r="FP204" s="88">
        <f>FP193/FP199*400</f>
        <v>18.852530162312302</v>
      </c>
      <c r="FQ204" s="61"/>
      <c r="FR204" s="88">
        <f>FR193/FR199*400</f>
        <v>20.12996646983769</v>
      </c>
      <c r="FS204" s="61"/>
      <c r="FT204" s="88">
        <f>FT193/FT199*400</f>
        <v>16.183943580330403</v>
      </c>
      <c r="FU204" s="61"/>
      <c r="FV204" s="88">
        <f>FV193/FV199*400</f>
        <v>16.97149203998519</v>
      </c>
      <c r="FW204" s="61"/>
      <c r="FX204" s="88">
        <f>FX193/FX199*400</f>
        <v>16.691205515854492</v>
      </c>
      <c r="FY204" s="61"/>
      <c r="FZ204" s="88">
        <f>FZ193/FZ199*400</f>
        <v>16.470629115485519</v>
      </c>
      <c r="GA204" s="61"/>
      <c r="GB204" s="88">
        <f>GB193/GB199*400</f>
        <v>15.68731018090585</v>
      </c>
      <c r="GC204" s="61"/>
      <c r="GD204" s="88">
        <f>GD193/GD199*400</f>
        <v>15.735809335281456</v>
      </c>
      <c r="GE204" s="61"/>
      <c r="GF204" s="88">
        <f>GF193/GF199*400</f>
        <v>15.660665427115926</v>
      </c>
      <c r="GG204" s="61">
        <f t="shared" ref="GG204:GW205" si="1438">IF(ISERROR((GF204/GD204-1)*100),"NA",IF(((GF204/GD204-1)*100)&gt;100,"NM",IF(((GF204/GD204-1)*100)&lt;-50,"NM",(GF204/GD204-1)*100)))</f>
        <v>-0.47753443476877822</v>
      </c>
      <c r="GH204" s="88">
        <f>GH193/GH199*400</f>
        <v>15.734710901028787</v>
      </c>
      <c r="GI204" s="61">
        <f t="shared" si="1438"/>
        <v>0.4728117988182845</v>
      </c>
      <c r="GJ204" s="88">
        <f>GJ193/GJ199*400</f>
        <v>15.451059765953504</v>
      </c>
      <c r="GK204" s="61">
        <f t="shared" si="1438"/>
        <v>-1.802709543629033</v>
      </c>
      <c r="GL204" s="88">
        <f>GL193/GL199*400</f>
        <v>15.205313505158946</v>
      </c>
      <c r="GM204" s="61">
        <f t="shared" si="1438"/>
        <v>-1.590481588428394</v>
      </c>
      <c r="GN204" s="88">
        <f>GN193/GN199*400</f>
        <v>15.800062959363837</v>
      </c>
      <c r="GO204" s="61">
        <f t="shared" si="1438"/>
        <v>3.9114580176403457</v>
      </c>
      <c r="GP204" s="88">
        <f>GP193/GP199*400</f>
        <v>16.304627591621141</v>
      </c>
      <c r="GQ204" s="61">
        <f t="shared" si="1438"/>
        <v>3.1934343145023858</v>
      </c>
      <c r="GR204" s="81">
        <f>GR193/GR199*400</f>
        <v>16.301770900205558</v>
      </c>
      <c r="GS204" s="61">
        <f t="shared" si="1438"/>
        <v>-1.7520740044696392E-2</v>
      </c>
      <c r="GT204" s="81">
        <f>GT193/GT199*400</f>
        <v>16.298885997908361</v>
      </c>
      <c r="GU204" s="61">
        <f t="shared" si="1438"/>
        <v>-1.7696864437966031E-2</v>
      </c>
      <c r="GV204" s="81">
        <f>GV193/GV199*400</f>
        <v>16.295974642692613</v>
      </c>
      <c r="GW204" s="61">
        <f t="shared" si="1438"/>
        <v>-1.7862295718373833E-2</v>
      </c>
      <c r="GX204" s="81">
        <f>GX193/GX199*400</f>
        <v>16.293038664612215</v>
      </c>
      <c r="GY204" s="61">
        <f t="shared" ref="GY204:GY205" si="1439">IF(ISERROR((GX204/GV204-1)*100),"NA",IF(((GX204/GV204-1)*100)&gt;100,"NM",IF(((GX204/GV204-1)*100)&lt;-50,"NM",(GX204/GV204-1)*100)))</f>
        <v>-1.8016584738089758E-2</v>
      </c>
      <c r="GZ204" s="61">
        <f t="shared" ref="GZ204:GZ221" si="1440">IF(ISERROR((GX204/GN204)^0.2),"",IF(OR((GX204/GN204)^0.2&lt;0.5,(GX204/GN204)^0.2&gt;2),"NM",((GX204/GN204)^0.2-1)*100))</f>
        <v>0.61637212334082481</v>
      </c>
      <c r="HA204" s="61"/>
      <c r="HB204" s="452"/>
      <c r="HC204"/>
      <c r="HD204"/>
      <c r="HE204"/>
      <c r="HF204"/>
      <c r="HG204"/>
      <c r="HH204"/>
    </row>
    <row r="205" spans="1:216" s="5" customFormat="1" ht="12.75" customHeight="1" x14ac:dyDescent="0.2">
      <c r="B205" s="68" t="s">
        <v>538</v>
      </c>
      <c r="C205" s="81"/>
      <c r="D205" s="70"/>
      <c r="E205" s="81"/>
      <c r="F205" s="71"/>
      <c r="G205" s="81"/>
      <c r="H205" s="71"/>
      <c r="I205" s="81"/>
      <c r="J205" s="61"/>
      <c r="K205" s="81"/>
      <c r="L205" s="61"/>
      <c r="M205" s="81"/>
      <c r="N205" s="61"/>
      <c r="O205" s="81"/>
      <c r="P205" s="61"/>
      <c r="Q205" s="81"/>
      <c r="R205" s="61"/>
      <c r="S205" s="81"/>
      <c r="T205" s="61"/>
      <c r="U205" s="81"/>
      <c r="V205" s="61"/>
      <c r="W205" s="81"/>
      <c r="X205" s="61"/>
      <c r="Y205" s="81"/>
      <c r="Z205" s="61"/>
      <c r="AA205" s="82"/>
      <c r="AB205" s="61"/>
      <c r="AC205" s="82"/>
      <c r="AD205" s="61"/>
      <c r="AE205" s="82"/>
      <c r="AF205" s="61"/>
      <c r="AG205" s="82"/>
      <c r="AH205" s="61"/>
      <c r="AI205" s="82"/>
      <c r="AJ205" s="61"/>
      <c r="AK205" s="82"/>
      <c r="AL205" s="61"/>
      <c r="AM205" s="82"/>
      <c r="AN205" s="61"/>
      <c r="AO205" s="82"/>
      <c r="AP205" s="61"/>
      <c r="AQ205" s="82">
        <f>-AQ191/AQ189*400</f>
        <v>6.6951566951566956</v>
      </c>
      <c r="AR205" s="61"/>
      <c r="AS205" s="82">
        <f>-AS191/AS189*400</f>
        <v>5.8631346578366443</v>
      </c>
      <c r="AT205" s="61"/>
      <c r="AU205" s="82">
        <f>-AU191/AU189*400</f>
        <v>5.6278947828366688</v>
      </c>
      <c r="AV205" s="61"/>
      <c r="AW205" s="82">
        <f>-AW191/AW189*400</f>
        <v>5.5215253213700288</v>
      </c>
      <c r="AX205" s="61"/>
      <c r="AY205" s="81">
        <f>-AY191/AY189*400</f>
        <v>6.1647895672791941</v>
      </c>
      <c r="AZ205" s="61"/>
      <c r="BA205" s="81">
        <f>-BA191/BA189*400</f>
        <v>10.643834466549148</v>
      </c>
      <c r="BB205" s="61"/>
      <c r="BC205" s="81">
        <f>-BC191/BC189*400</f>
        <v>5.1679586563307494</v>
      </c>
      <c r="BD205" s="61"/>
      <c r="BE205" s="81">
        <f>-BE191/BE189*400</f>
        <v>5.5958356571853507</v>
      </c>
      <c r="BF205" s="61"/>
      <c r="BG205" s="81">
        <f>-BG191/BG189*400</f>
        <v>4.1843325276379923</v>
      </c>
      <c r="BH205" s="61"/>
      <c r="BI205" s="81">
        <f>-BI191/BI189*400</f>
        <v>4.8641251221896384</v>
      </c>
      <c r="BJ205" s="61"/>
      <c r="BK205" s="81">
        <f>-BK191/BK189*400</f>
        <v>4.6241880606248067</v>
      </c>
      <c r="BL205" s="61"/>
      <c r="BM205" s="81">
        <f>-BM191/BM189*400</f>
        <v>4.8925923094564636</v>
      </c>
      <c r="BN205" s="61"/>
      <c r="BO205" s="81">
        <f>-BO191/BO189*400</f>
        <v>6.0034693415793043</v>
      </c>
      <c r="BP205" s="61"/>
      <c r="BQ205" s="81">
        <f>-BQ191/BQ189*400</f>
        <v>4.1457756491805737</v>
      </c>
      <c r="BR205" s="61"/>
      <c r="BS205" s="81">
        <f>-BS191/BS189*400</f>
        <v>4.5366938472942921</v>
      </c>
      <c r="BT205" s="61"/>
      <c r="BU205" s="81">
        <f>-BU191/BU189*400</f>
        <v>4.7746722003893201</v>
      </c>
      <c r="BV205" s="61"/>
      <c r="BW205" s="81">
        <f>-BW191/BW189*400</f>
        <v>5.2068940440695224</v>
      </c>
      <c r="BX205" s="61"/>
      <c r="BY205" s="81">
        <f>-BY191/BY189*400</f>
        <v>5.6631784770250206</v>
      </c>
      <c r="BZ205" s="61"/>
      <c r="CA205" s="81">
        <f>-CA191/CA189*400</f>
        <v>6.0197047890577071</v>
      </c>
      <c r="CB205" s="61"/>
      <c r="CC205" s="81">
        <f>-CC191/CC189*400</f>
        <v>4.2551662174303688</v>
      </c>
      <c r="CD205" s="61"/>
      <c r="CE205" s="81">
        <f>-CE191/CE189*400</f>
        <v>5.2071509648127128</v>
      </c>
      <c r="CF205" s="61"/>
      <c r="CG205" s="81">
        <f>-CG191/CG189*400</f>
        <v>4.4295538705695643</v>
      </c>
      <c r="CH205" s="61"/>
      <c r="CI205" s="81">
        <f>-CI191/CI189*400</f>
        <v>5.3736356003358523</v>
      </c>
      <c r="CJ205" s="61"/>
      <c r="CK205" s="81">
        <f>-CK191/CK189*400</f>
        <v>4.4175869972911022</v>
      </c>
      <c r="CL205" s="61"/>
      <c r="CM205" s="81">
        <f>-CM191/CM189*400</f>
        <v>4.018389238889835</v>
      </c>
      <c r="CN205" s="61"/>
      <c r="CO205" s="81">
        <f>-CO191/CO189*400</f>
        <v>3.981304011567302</v>
      </c>
      <c r="CP205" s="61"/>
      <c r="CQ205" s="81">
        <f>-CQ191/CQ189*400</f>
        <v>3.0781478041661137</v>
      </c>
      <c r="CR205" s="61"/>
      <c r="CS205" s="81">
        <f>-CS191/CS189*400</f>
        <v>3.4989229061949212</v>
      </c>
      <c r="CT205" s="61"/>
      <c r="CU205" s="81">
        <f>-CU191/CU189*400</f>
        <v>4.0616291361030141</v>
      </c>
      <c r="CV205" s="61"/>
      <c r="CW205" s="81">
        <f>-CW191/CW189*400</f>
        <v>4.2039753603861048</v>
      </c>
      <c r="CX205" s="61"/>
      <c r="CY205" s="81">
        <f>-CY191/CY189*400</f>
        <v>4.245669291338583</v>
      </c>
      <c r="CZ205" s="61"/>
      <c r="DA205" s="81">
        <f>-DA191/DA189*400</f>
        <v>3.3389607953479645</v>
      </c>
      <c r="DB205" s="61"/>
      <c r="DC205" s="81">
        <f>-DC191/DC189*400</f>
        <v>2.3063640848544646</v>
      </c>
      <c r="DD205" s="61"/>
      <c r="DE205" s="81">
        <f>-DE191/DE189*400</f>
        <v>3.0106347319986591</v>
      </c>
      <c r="DF205" s="61"/>
      <c r="DG205" s="81">
        <f>-DG191/DG189*400</f>
        <v>3.0808263863718737</v>
      </c>
      <c r="DH205" s="61"/>
      <c r="DI205" s="81">
        <f>-DI191/DI189*400</f>
        <v>2.4935563148114848</v>
      </c>
      <c r="DJ205" s="61"/>
      <c r="DK205" s="81">
        <f>-DK191/DK189*400</f>
        <v>3.4637169716200589</v>
      </c>
      <c r="DL205" s="61"/>
      <c r="DM205" s="81">
        <f>-DM191/DM189*400</f>
        <v>2.9864840937260224</v>
      </c>
      <c r="DN205" s="130">
        <f t="shared" si="1418"/>
        <v>-0.80217762772583079</v>
      </c>
      <c r="DO205" s="81">
        <f>-DO191/DO189*400</f>
        <v>3.0386578283568957</v>
      </c>
      <c r="DP205" s="130">
        <f t="shared" si="1418"/>
        <v>-1.3687417830979376</v>
      </c>
      <c r="DQ205" s="81">
        <f>-DQ191/DQ189*400</f>
        <v>2.9841177327699255</v>
      </c>
      <c r="DR205" s="130">
        <f t="shared" si="1418"/>
        <v>19.673163787982382</v>
      </c>
      <c r="DS205" s="81">
        <f>-DS191/DS189*400</f>
        <v>3.4554489772333294</v>
      </c>
      <c r="DT205" s="130">
        <f t="shared" si="1418"/>
        <v>-0.23870294410522908</v>
      </c>
      <c r="DU205" s="81">
        <f>-DU191/DU189*400</f>
        <v>3.4414295168762412</v>
      </c>
      <c r="DV205" s="130">
        <f t="shared" si="1418"/>
        <v>15.233478862518091</v>
      </c>
      <c r="DW205" s="81">
        <f>-DW191/DW189*400</f>
        <v>2.450615516747781</v>
      </c>
      <c r="DX205" s="81">
        <f t="shared" ref="DX205:DY205" si="1441">-DX191/DX189*400</f>
        <v>34909.64593301429</v>
      </c>
      <c r="DY205" s="81">
        <f t="shared" si="1441"/>
        <v>2.3627637520234006</v>
      </c>
      <c r="DZ205" s="130">
        <f t="shared" si="1418"/>
        <v>-20.822033055973634</v>
      </c>
      <c r="EA205" s="81">
        <f t="shared" ref="EA205:EC205" si="1442">-EA191/EA189*400</f>
        <v>3.5673090448726965</v>
      </c>
      <c r="EB205" s="130">
        <f t="shared" si="1421"/>
        <v>3.2372079106469664</v>
      </c>
      <c r="EC205" s="81">
        <f t="shared" si="1442"/>
        <v>3.2996632996632997</v>
      </c>
      <c r="ED205" s="130">
        <f t="shared" si="1422"/>
        <v>-4.1193991193991248</v>
      </c>
      <c r="EE205" s="81">
        <f t="shared" ref="EE205:EG205" si="1443">-EE191/EE189*400</f>
        <v>3.0188679245283021</v>
      </c>
      <c r="EF205" s="130">
        <f t="shared" si="1424"/>
        <v>23.188150238053275</v>
      </c>
      <c r="EG205" s="81">
        <f t="shared" si="1443"/>
        <v>2.6796386379430159</v>
      </c>
      <c r="EH205" s="130">
        <f t="shared" si="1425"/>
        <v>13.411196343614673</v>
      </c>
      <c r="EI205" s="81">
        <f t="shared" ref="EI205:EK205" si="1444">-EI191/EI189*400</f>
        <v>4.4441993824437578</v>
      </c>
      <c r="EJ205" s="130">
        <f t="shared" si="1427"/>
        <v>24.581283161643029</v>
      </c>
      <c r="EK205" s="81">
        <f t="shared" si="1444"/>
        <v>3.482573357211737</v>
      </c>
      <c r="EL205" s="130">
        <f t="shared" si="1428"/>
        <v>5.5432946012128337</v>
      </c>
      <c r="EM205" s="81">
        <f t="shared" ref="EM205" si="1445">-EM191/EM189*400</f>
        <v>3.4015471553190326</v>
      </c>
      <c r="EN205" s="130">
        <f t="shared" si="1430"/>
        <v>12.676249519942949</v>
      </c>
      <c r="EO205" s="81">
        <f t="shared" ref="EO205" si="1446">-EO191/EO189*400</f>
        <v>3.0730533683289587</v>
      </c>
      <c r="EP205" s="130">
        <f t="shared" si="1432"/>
        <v>14.681633740284528</v>
      </c>
      <c r="EQ205" s="89">
        <f t="shared" ref="EQ205" si="1447">EO205</f>
        <v>3.0730533683289587</v>
      </c>
      <c r="ER205" s="130">
        <f t="shared" si="1434"/>
        <v>-30.852486491297771</v>
      </c>
      <c r="ES205" s="89">
        <f t="shared" ref="ES205" si="1448">EQ205</f>
        <v>3.0730533683289587</v>
      </c>
      <c r="ET205" s="130">
        <f t="shared" si="1435"/>
        <v>-11.759120250395917</v>
      </c>
      <c r="EU205" s="89">
        <f t="shared" ref="EU205" si="1449">ES205</f>
        <v>3.0730533683289587</v>
      </c>
      <c r="EV205" s="130">
        <f t="shared" si="1436"/>
        <v>-9.6571875088194759</v>
      </c>
      <c r="EW205" s="89">
        <f t="shared" ref="EW205" si="1450">EU205</f>
        <v>3.0730533683289587</v>
      </c>
      <c r="EX205" s="130">
        <f t="shared" si="1437"/>
        <v>0</v>
      </c>
      <c r="EY205" s="85"/>
      <c r="EZ205" s="558"/>
      <c r="FA205" s="85"/>
      <c r="FB205" s="81"/>
      <c r="FC205" s="86"/>
      <c r="FD205" s="81"/>
      <c r="FE205" s="87"/>
      <c r="FF205" s="81"/>
      <c r="FG205" s="87"/>
      <c r="FH205" s="81"/>
      <c r="FI205" s="87"/>
      <c r="FJ205" s="81"/>
      <c r="FK205" s="87"/>
      <c r="FL205" s="81"/>
      <c r="FM205" s="87"/>
      <c r="FN205" s="81"/>
      <c r="FO205" s="87"/>
      <c r="FP205" s="88">
        <f>-FP191/FP189*100</f>
        <v>6.009615384615385</v>
      </c>
      <c r="FQ205" s="61"/>
      <c r="FR205" s="88">
        <f>-FR191/FR189*100</f>
        <v>9.1024555461473327</v>
      </c>
      <c r="FS205" s="61"/>
      <c r="FT205" s="88">
        <f>-FT191/FT189*100</f>
        <v>4.731148710227048</v>
      </c>
      <c r="FU205" s="61"/>
      <c r="FV205" s="88">
        <f>-FV191/FV189*100</f>
        <v>4.9249566332302592</v>
      </c>
      <c r="FW205" s="61"/>
      <c r="FX205" s="88">
        <f>-FX191/FX189*100</f>
        <v>5.3159770198531016</v>
      </c>
      <c r="FY205" s="61"/>
      <c r="FZ205" s="88">
        <f>-FZ191/FZ189*100</f>
        <v>4.905646992054483</v>
      </c>
      <c r="GA205" s="61"/>
      <c r="GB205" s="88">
        <f>-GB191/GB189*100</f>
        <v>3.7153073386684832</v>
      </c>
      <c r="GC205" s="61"/>
      <c r="GD205" s="88">
        <f>-GD191/GD189*100</f>
        <v>4.0103782952689073</v>
      </c>
      <c r="GE205" s="61"/>
      <c r="GF205" s="88">
        <f>-GF191/GF189*100</f>
        <v>2.7657868771583622</v>
      </c>
      <c r="GG205" s="61">
        <f t="shared" si="1438"/>
        <v>-31.034264761975315</v>
      </c>
      <c r="GH205" s="88">
        <f>-GH191/GH189*100</f>
        <v>3.143441772189437</v>
      </c>
      <c r="GI205" s="61">
        <f t="shared" si="1438"/>
        <v>13.654519014100131</v>
      </c>
      <c r="GJ205" s="88">
        <f>-GJ191/GJ189*100</f>
        <v>2.9469548133595285</v>
      </c>
      <c r="GK205" s="61">
        <f t="shared" si="1438"/>
        <v>-6.250695036512588</v>
      </c>
      <c r="GL205" s="88">
        <f>-GL191/GL189*100</f>
        <v>3.1565621043747361</v>
      </c>
      <c r="GM205" s="61">
        <f t="shared" si="1438"/>
        <v>7.1126740751160433</v>
      </c>
      <c r="GN205" s="88">
        <f>-GN191/GN189*100</f>
        <v>3.6116012351124835</v>
      </c>
      <c r="GO205" s="61">
        <f t="shared" si="1438"/>
        <v>14.415655884200751</v>
      </c>
      <c r="GP205" s="88">
        <f>-GP191/GP189*100</f>
        <v>3.1001332454431556</v>
      </c>
      <c r="GQ205" s="61">
        <f t="shared" si="1438"/>
        <v>-14.161806810141876</v>
      </c>
      <c r="GR205" s="89">
        <f>GP205</f>
        <v>3.1001332454431556</v>
      </c>
      <c r="GS205" s="61">
        <f t="shared" si="1438"/>
        <v>0</v>
      </c>
      <c r="GT205" s="89">
        <f>GR205</f>
        <v>3.1001332454431556</v>
      </c>
      <c r="GU205" s="61">
        <f t="shared" si="1438"/>
        <v>0</v>
      </c>
      <c r="GV205" s="89">
        <f>GT205</f>
        <v>3.1001332454431556</v>
      </c>
      <c r="GW205" s="61">
        <f t="shared" si="1438"/>
        <v>0</v>
      </c>
      <c r="GX205" s="89">
        <f>GV205</f>
        <v>3.1001332454431556</v>
      </c>
      <c r="GY205" s="61">
        <f t="shared" si="1439"/>
        <v>0</v>
      </c>
      <c r="GZ205" s="61">
        <f t="shared" si="1440"/>
        <v>-3.0079555951916026</v>
      </c>
      <c r="HA205" s="61"/>
      <c r="HB205" s="452"/>
      <c r="HC205"/>
      <c r="HD205"/>
      <c r="HE205"/>
      <c r="HF205"/>
      <c r="HG205"/>
      <c r="HH205"/>
    </row>
    <row r="206" spans="1:216" s="5" customFormat="1" ht="12.75" customHeight="1" x14ac:dyDescent="0.2">
      <c r="B206" s="68"/>
      <c r="C206" s="66"/>
      <c r="D206" s="67"/>
      <c r="E206" s="66"/>
      <c r="F206" s="66"/>
      <c r="G206" s="64"/>
      <c r="H206" s="66"/>
      <c r="I206" s="64"/>
      <c r="J206" s="66"/>
      <c r="K206" s="64"/>
      <c r="L206" s="61"/>
      <c r="M206" s="66"/>
      <c r="N206" s="61"/>
      <c r="O206" s="64"/>
      <c r="P206" s="61"/>
      <c r="Q206" s="64"/>
      <c r="R206" s="61"/>
      <c r="S206" s="64"/>
      <c r="T206" s="61"/>
      <c r="U206" s="64"/>
      <c r="V206" s="61"/>
      <c r="W206" s="64"/>
      <c r="X206" s="61"/>
      <c r="Y206" s="64"/>
      <c r="Z206" s="61"/>
      <c r="AA206" s="64"/>
      <c r="AB206" s="61"/>
      <c r="AC206" s="64"/>
      <c r="AD206" s="61"/>
      <c r="AE206" s="64"/>
      <c r="AF206" s="61"/>
      <c r="AG206" s="64"/>
      <c r="AH206" s="61"/>
      <c r="AI206" s="64"/>
      <c r="AJ206" s="61"/>
      <c r="AK206" s="64"/>
      <c r="AL206" s="61"/>
      <c r="AM206" s="64"/>
      <c r="AN206" s="61"/>
      <c r="AO206" s="64"/>
      <c r="AP206" s="61"/>
      <c r="AQ206" s="64"/>
      <c r="AR206" s="61"/>
      <c r="AS206" s="64"/>
      <c r="AT206" s="61"/>
      <c r="AU206" s="64"/>
      <c r="AV206" s="61"/>
      <c r="AW206" s="64"/>
      <c r="AX206" s="61"/>
      <c r="AY206" s="64"/>
      <c r="AZ206" s="61"/>
      <c r="BA206" s="64"/>
      <c r="BB206" s="61"/>
      <c r="BC206" s="64"/>
      <c r="BD206" s="61"/>
      <c r="BE206" s="64"/>
      <c r="BF206" s="61"/>
      <c r="BG206" s="64"/>
      <c r="BH206" s="61"/>
      <c r="BI206" s="64"/>
      <c r="BJ206" s="61"/>
      <c r="BK206" s="64"/>
      <c r="BL206" s="61"/>
      <c r="BM206" s="64"/>
      <c r="BN206" s="61"/>
      <c r="BO206" s="64"/>
      <c r="BP206" s="61"/>
      <c r="BQ206" s="64"/>
      <c r="BR206" s="61"/>
      <c r="BS206" s="64"/>
      <c r="BT206" s="61"/>
      <c r="BU206" s="64"/>
      <c r="BV206" s="61"/>
      <c r="BW206" s="64"/>
      <c r="BX206" s="61"/>
      <c r="BY206" s="64"/>
      <c r="BZ206" s="61"/>
      <c r="CA206" s="64"/>
      <c r="CB206" s="61"/>
      <c r="CC206" s="64"/>
      <c r="CD206" s="61"/>
      <c r="CE206" s="64"/>
      <c r="CF206" s="61"/>
      <c r="CG206" s="64"/>
      <c r="CH206" s="61"/>
      <c r="CI206" s="64"/>
      <c r="CJ206" s="61"/>
      <c r="CK206" s="64"/>
      <c r="CL206" s="61"/>
      <c r="CM206" s="64"/>
      <c r="CN206" s="61"/>
      <c r="CO206" s="64"/>
      <c r="CP206" s="61"/>
      <c r="CQ206" s="64"/>
      <c r="CR206" s="61"/>
      <c r="CS206" s="64"/>
      <c r="CT206" s="61"/>
      <c r="CU206" s="64"/>
      <c r="CV206" s="61"/>
      <c r="CW206" s="64"/>
      <c r="CX206" s="61"/>
      <c r="CY206" s="64"/>
      <c r="CZ206" s="61"/>
      <c r="DA206" s="64"/>
      <c r="DB206" s="61"/>
      <c r="DC206" s="64"/>
      <c r="DD206" s="61"/>
      <c r="DE206" s="64"/>
      <c r="DF206" s="61"/>
      <c r="DG206" s="64"/>
      <c r="DH206" s="61"/>
      <c r="DI206" s="64"/>
      <c r="DJ206" s="61"/>
      <c r="DK206" s="64"/>
      <c r="DL206" s="61"/>
      <c r="DM206" s="64"/>
      <c r="DN206" s="61"/>
      <c r="DO206" s="64"/>
      <c r="DP206" s="61"/>
      <c r="DQ206" s="64"/>
      <c r="DR206" s="61"/>
      <c r="DS206" s="64"/>
      <c r="DT206" s="61"/>
      <c r="DU206" s="64"/>
      <c r="DV206" s="61"/>
      <c r="DW206" s="64"/>
      <c r="DX206" s="64"/>
      <c r="DY206" s="64"/>
      <c r="DZ206" s="61"/>
      <c r="EA206" s="64"/>
      <c r="EB206" s="61"/>
      <c r="EC206" s="64"/>
      <c r="ED206" s="61"/>
      <c r="EE206" s="64"/>
      <c r="EF206" s="61"/>
      <c r="EG206" s="64"/>
      <c r="EH206" s="61"/>
      <c r="EI206" s="64"/>
      <c r="EJ206" s="61"/>
      <c r="EK206" s="64"/>
      <c r="EL206" s="61"/>
      <c r="EM206" s="64"/>
      <c r="EN206" s="61"/>
      <c r="EO206" s="64"/>
      <c r="EP206" s="61"/>
      <c r="EQ206" s="64"/>
      <c r="ER206" s="61"/>
      <c r="ES206" s="64"/>
      <c r="ET206" s="61"/>
      <c r="EU206" s="64"/>
      <c r="EV206" s="61"/>
      <c r="EW206" s="64"/>
      <c r="EX206" s="61"/>
      <c r="EY206" s="64"/>
      <c r="EZ206" s="558"/>
      <c r="FA206" s="64"/>
      <c r="FB206" s="66"/>
      <c r="FC206" s="66"/>
      <c r="FD206" s="66"/>
      <c r="FE206" s="67"/>
      <c r="FF206" s="66"/>
      <c r="FG206" s="67"/>
      <c r="FH206" s="66"/>
      <c r="FI206" s="67"/>
      <c r="FJ206" s="66"/>
      <c r="FK206" s="67"/>
      <c r="FL206" s="66"/>
      <c r="FM206" s="61"/>
      <c r="FN206" s="66"/>
      <c r="FO206" s="61"/>
      <c r="FP206" s="65"/>
      <c r="FQ206" s="61"/>
      <c r="FR206" s="65"/>
      <c r="FS206" s="61"/>
      <c r="FT206" s="65"/>
      <c r="FU206" s="61"/>
      <c r="FV206" s="65"/>
      <c r="FW206" s="61"/>
      <c r="FX206" s="65"/>
      <c r="FY206" s="61"/>
      <c r="FZ206" s="65"/>
      <c r="GA206" s="61"/>
      <c r="GB206" s="65"/>
      <c r="GC206" s="61"/>
      <c r="GD206" s="65"/>
      <c r="GE206" s="61"/>
      <c r="GF206" s="65"/>
      <c r="GG206" s="61"/>
      <c r="GH206" s="65"/>
      <c r="GI206" s="61"/>
      <c r="GJ206" s="65"/>
      <c r="GK206" s="61"/>
      <c r="GL206" s="65"/>
      <c r="GM206" s="61"/>
      <c r="GN206" s="65"/>
      <c r="GO206" s="61"/>
      <c r="GP206" s="65"/>
      <c r="GQ206" s="61"/>
      <c r="GR206" s="64"/>
      <c r="GS206" s="61"/>
      <c r="GT206" s="64"/>
      <c r="GU206" s="61"/>
      <c r="GV206" s="64"/>
      <c r="GW206" s="61"/>
      <c r="GX206" s="64"/>
      <c r="GY206" s="61"/>
      <c r="GZ206" s="61" t="str">
        <f t="shared" si="1440"/>
        <v/>
      </c>
      <c r="HA206" s="61"/>
      <c r="HB206" s="452"/>
      <c r="HC206"/>
      <c r="HD206"/>
      <c r="HE206"/>
      <c r="HF206"/>
      <c r="HG206"/>
      <c r="HH206"/>
    </row>
    <row r="207" spans="1:216" s="5" customFormat="1" ht="12.75" customHeight="1" x14ac:dyDescent="0.2">
      <c r="B207" s="63" t="s">
        <v>194</v>
      </c>
      <c r="C207" s="66"/>
      <c r="D207" s="67"/>
      <c r="E207" s="66"/>
      <c r="F207" s="66"/>
      <c r="G207" s="64"/>
      <c r="H207" s="66"/>
      <c r="I207" s="64"/>
      <c r="J207" s="66"/>
      <c r="K207" s="64"/>
      <c r="L207" s="61"/>
      <c r="M207" s="66"/>
      <c r="N207" s="61"/>
      <c r="O207" s="64"/>
      <c r="P207" s="61"/>
      <c r="Q207" s="64"/>
      <c r="R207" s="61"/>
      <c r="S207" s="64"/>
      <c r="T207" s="61"/>
      <c r="U207" s="64"/>
      <c r="V207" s="61"/>
      <c r="W207" s="64"/>
      <c r="X207" s="61"/>
      <c r="Y207" s="64"/>
      <c r="Z207" s="61"/>
      <c r="AA207" s="64"/>
      <c r="AB207" s="61"/>
      <c r="AC207" s="64"/>
      <c r="AD207" s="61"/>
      <c r="AE207" s="64"/>
      <c r="AF207" s="61"/>
      <c r="AG207" s="64"/>
      <c r="AH207" s="61"/>
      <c r="AI207" s="64"/>
      <c r="AJ207" s="61"/>
      <c r="AK207" s="64"/>
      <c r="AL207" s="61"/>
      <c r="AM207" s="64"/>
      <c r="AN207" s="61"/>
      <c r="AO207" s="64"/>
      <c r="AP207" s="61"/>
      <c r="AQ207" s="64"/>
      <c r="AR207" s="61"/>
      <c r="AS207" s="64"/>
      <c r="AT207" s="61"/>
      <c r="AU207" s="64"/>
      <c r="AV207" s="61"/>
      <c r="AW207" s="64"/>
      <c r="AX207" s="61"/>
      <c r="AY207" s="64"/>
      <c r="AZ207" s="61"/>
      <c r="BA207" s="64"/>
      <c r="BB207" s="61"/>
      <c r="BC207" s="64"/>
      <c r="BD207" s="61"/>
      <c r="BE207" s="64"/>
      <c r="BF207" s="61"/>
      <c r="BG207" s="64"/>
      <c r="BH207" s="61"/>
      <c r="BI207" s="64"/>
      <c r="BJ207" s="61"/>
      <c r="BK207" s="64"/>
      <c r="BL207" s="61"/>
      <c r="BM207" s="64"/>
      <c r="BN207" s="61"/>
      <c r="BO207" s="64"/>
      <c r="BP207" s="61"/>
      <c r="BQ207" s="64"/>
      <c r="BR207" s="61"/>
      <c r="BS207" s="64"/>
      <c r="BT207" s="61"/>
      <c r="BU207" s="64"/>
      <c r="BV207" s="61"/>
      <c r="BW207" s="64"/>
      <c r="BX207" s="61"/>
      <c r="BY207" s="64"/>
      <c r="BZ207" s="61"/>
      <c r="CA207" s="64"/>
      <c r="CB207" s="61"/>
      <c r="CC207" s="64"/>
      <c r="CD207" s="61"/>
      <c r="CE207" s="64"/>
      <c r="CF207" s="61"/>
      <c r="CG207" s="64"/>
      <c r="CH207" s="61"/>
      <c r="CI207" s="64"/>
      <c r="CJ207" s="61"/>
      <c r="CK207" s="64"/>
      <c r="CL207" s="61"/>
      <c r="CM207" s="64"/>
      <c r="CN207" s="61"/>
      <c r="CO207" s="64"/>
      <c r="CP207" s="61"/>
      <c r="CQ207" s="64"/>
      <c r="CR207" s="61"/>
      <c r="CS207" s="64"/>
      <c r="CT207" s="61"/>
      <c r="CU207" s="64"/>
      <c r="CV207" s="61"/>
      <c r="CW207" s="64"/>
      <c r="CX207" s="61"/>
      <c r="CY207" s="64"/>
      <c r="CZ207" s="61"/>
      <c r="DA207" s="64"/>
      <c r="DB207" s="61"/>
      <c r="DC207" s="64"/>
      <c r="DD207" s="61"/>
      <c r="DE207" s="64"/>
      <c r="DF207" s="61"/>
      <c r="DG207" s="64"/>
      <c r="DH207" s="61"/>
      <c r="DI207" s="64"/>
      <c r="DJ207" s="61"/>
      <c r="DK207" s="64"/>
      <c r="DL207" s="61"/>
      <c r="DM207" s="64"/>
      <c r="DN207" s="61"/>
      <c r="DO207" s="64"/>
      <c r="DP207" s="61"/>
      <c r="DQ207" s="64"/>
      <c r="DR207" s="61"/>
      <c r="DS207" s="64"/>
      <c r="DT207" s="61"/>
      <c r="DU207" s="64"/>
      <c r="DV207" s="61"/>
      <c r="DW207" s="64"/>
      <c r="DX207" s="64"/>
      <c r="DY207" s="64"/>
      <c r="DZ207" s="61"/>
      <c r="EA207" s="64"/>
      <c r="EB207" s="61"/>
      <c r="EC207" s="64"/>
      <c r="ED207" s="61"/>
      <c r="EE207" s="64"/>
      <c r="EF207" s="61"/>
      <c r="EG207" s="64"/>
      <c r="EH207" s="61"/>
      <c r="EI207" s="64"/>
      <c r="EJ207" s="61"/>
      <c r="EK207" s="64"/>
      <c r="EL207" s="61"/>
      <c r="EM207" s="64"/>
      <c r="EN207" s="61"/>
      <c r="EO207" s="64"/>
      <c r="EP207" s="61"/>
      <c r="EQ207" s="64"/>
      <c r="ER207" s="61"/>
      <c r="ES207" s="64"/>
      <c r="ET207" s="61"/>
      <c r="EU207" s="64"/>
      <c r="EV207" s="61"/>
      <c r="EW207" s="64"/>
      <c r="EX207" s="61"/>
      <c r="EY207" s="64"/>
      <c r="EZ207" s="558"/>
      <c r="FA207" s="64"/>
      <c r="FB207" s="66"/>
      <c r="FC207" s="66"/>
      <c r="FD207" s="66"/>
      <c r="FE207" s="67"/>
      <c r="FF207" s="66"/>
      <c r="FG207" s="67"/>
      <c r="FH207" s="66"/>
      <c r="FI207" s="67"/>
      <c r="FJ207" s="66"/>
      <c r="FK207" s="67"/>
      <c r="FL207" s="66"/>
      <c r="FM207" s="61"/>
      <c r="FN207" s="66"/>
      <c r="FO207" s="61"/>
      <c r="FP207" s="65"/>
      <c r="FQ207" s="61"/>
      <c r="FR207" s="65"/>
      <c r="FS207" s="61"/>
      <c r="FT207" s="65"/>
      <c r="FU207" s="61"/>
      <c r="FV207" s="65"/>
      <c r="FW207" s="61"/>
      <c r="FX207" s="65"/>
      <c r="FY207" s="61"/>
      <c r="FZ207" s="65"/>
      <c r="GA207" s="61"/>
      <c r="GB207" s="65"/>
      <c r="GC207" s="61"/>
      <c r="GD207" s="65"/>
      <c r="GE207" s="61"/>
      <c r="GF207" s="65"/>
      <c r="GG207" s="61"/>
      <c r="GH207" s="65"/>
      <c r="GI207" s="61"/>
      <c r="GJ207" s="65"/>
      <c r="GK207" s="61"/>
      <c r="GL207" s="65"/>
      <c r="GM207" s="61"/>
      <c r="GN207" s="65"/>
      <c r="GO207" s="61"/>
      <c r="GP207" s="65"/>
      <c r="GQ207" s="61"/>
      <c r="GR207" s="64"/>
      <c r="GS207" s="61"/>
      <c r="GT207" s="64"/>
      <c r="GU207" s="61"/>
      <c r="GV207" s="64"/>
      <c r="GW207" s="61"/>
      <c r="GX207" s="64"/>
      <c r="GY207" s="61"/>
      <c r="GZ207" s="61" t="str">
        <f t="shared" si="1440"/>
        <v/>
      </c>
      <c r="HA207" s="61"/>
      <c r="HB207" s="452"/>
      <c r="HC207"/>
      <c r="HD207"/>
      <c r="HE207"/>
      <c r="HF207"/>
      <c r="HG207"/>
      <c r="HH207"/>
    </row>
    <row r="208" spans="1:216" s="5" customFormat="1" ht="12.75" customHeight="1" x14ac:dyDescent="0.2">
      <c r="B208" s="2" t="s">
        <v>195</v>
      </c>
      <c r="C208" s="69"/>
      <c r="D208" s="70"/>
      <c r="E208" s="69"/>
      <c r="F208" s="71"/>
      <c r="G208" s="69"/>
      <c r="H208" s="71"/>
      <c r="I208" s="69"/>
      <c r="J208" s="61"/>
      <c r="K208" s="69"/>
      <c r="L208" s="61"/>
      <c r="M208" s="69"/>
      <c r="N208" s="61"/>
      <c r="O208" s="69"/>
      <c r="P208" s="61"/>
      <c r="Q208" s="69"/>
      <c r="R208" s="61"/>
      <c r="S208" s="69"/>
      <c r="T208" s="61"/>
      <c r="U208" s="69"/>
      <c r="V208" s="61"/>
      <c r="W208" s="69"/>
      <c r="X208" s="61"/>
      <c r="Y208" s="69"/>
      <c r="Z208" s="61"/>
      <c r="AA208" s="69"/>
      <c r="AB208" s="61"/>
      <c r="AC208" s="69"/>
      <c r="AD208" s="61"/>
      <c r="AE208" s="69"/>
      <c r="AF208" s="61"/>
      <c r="AG208" s="69"/>
      <c r="AH208" s="61"/>
      <c r="AI208" s="69"/>
      <c r="AJ208" s="61"/>
      <c r="AK208" s="69"/>
      <c r="AL208" s="61"/>
      <c r="AM208" s="69"/>
      <c r="AN208" s="61"/>
      <c r="AO208" s="69"/>
      <c r="AP208" s="61"/>
      <c r="AQ208" s="72">
        <v>2028</v>
      </c>
      <c r="AR208" s="61" t="str">
        <f t="shared" ref="AR208:AR218" si="1451">IF(ISERROR((AQ208/AI208-1)*100),"NA",IF(((AQ208/AI208-1)*100)&gt;100,"NM",IF(((AQ208/AI208-1)*100)&lt;-50,"NM",(AQ208/AI208-1)*100)))</f>
        <v>NA</v>
      </c>
      <c r="AS208" s="69">
        <f>+AQ214</f>
        <v>2002.5</v>
      </c>
      <c r="AT208" s="61" t="str">
        <f>IF(ISERROR((AS208/AK208-1)*100),"NA",IF(((AS208/AK208-1)*100)&gt;100,"NM",IF(((AS208/AK208-1)*100)&lt;-50,"NM",(AS208/AK208-1)*100)))</f>
        <v>NA</v>
      </c>
      <c r="AU208" s="69">
        <f>+AS214</f>
        <v>2052.5</v>
      </c>
      <c r="AV208" s="61" t="str">
        <f t="shared" ref="AV208:AV214" si="1452">IF(ISERROR((AU208/AM208-1)*100),"NA",IF(((AU208/AM208-1)*100)&gt;100,"NM",IF(((AU208/AM208-1)*100)&lt;-50,"NM",(AU208/AM208-1)*100)))</f>
        <v>NA</v>
      </c>
      <c r="AW208" s="69">
        <f>+AU214</f>
        <v>2153.5</v>
      </c>
      <c r="AX208" s="61" t="str">
        <f t="shared" ref="AX208:AX214" si="1453">IF(ISERROR((AW208/AO208-1)*100),"NA",IF(((AW208/AO208-1)*100)&gt;100,"NM",IF(((AW208/AO208-1)*100)&lt;-50,"NM",(AW208/AO208-1)*100)))</f>
        <v>NA</v>
      </c>
      <c r="AY208" s="69">
        <f>+AW214</f>
        <v>2241.5</v>
      </c>
      <c r="AZ208" s="61">
        <f t="shared" ref="AZ208:AZ218" si="1454">IF(ISERROR((AY208/AQ208-1)*100),"NA",IF(((AY208/AQ208-1)*100)&gt;100,"NM",IF(((AY208/AQ208-1)*100)&lt;-50,"NM",(AY208/AQ208-1)*100)))</f>
        <v>10.527613412228787</v>
      </c>
      <c r="BA208" s="69">
        <f>+AY214</f>
        <v>2354.5</v>
      </c>
      <c r="BB208" s="61">
        <f t="shared" ref="BB208:BB218" si="1455">IF(ISERROR((BA208/AS208-1)*100),"NA",IF(((BA208/AS208-1)*100)&gt;100,"NM",IF(((BA208/AS208-1)*100)&lt;-50,"NM",(BA208/AS208-1)*100)))</f>
        <v>17.578027465667923</v>
      </c>
      <c r="BC208" s="69">
        <f>+BA214</f>
        <v>4193.5</v>
      </c>
      <c r="BD208" s="61" t="str">
        <f t="shared" ref="BD208:BD218" si="1456">IF(ISERROR((BC208/AU208-1)*100),"NA",IF(((BC208/AU208-1)*100)&gt;100,"NM",IF(((BC208/AU208-1)*100)&lt;-50,"NM",(BC208/AU208-1)*100)))</f>
        <v>NM</v>
      </c>
      <c r="BE208" s="69">
        <f>+BC214</f>
        <v>4304.5</v>
      </c>
      <c r="BF208" s="61">
        <f t="shared" ref="BF208:BF218" si="1457">IF(ISERROR((BE208/AW208-1)*100),"NA",IF(((BE208/AW208-1)*100)&gt;100,"NM",IF(((BE208/AW208-1)*100)&lt;-50,"NM",(BE208/AW208-1)*100)))</f>
        <v>99.883909914093323</v>
      </c>
      <c r="BG208" s="69">
        <v>5606</v>
      </c>
      <c r="BH208" s="61" t="str">
        <f t="shared" ref="BH208:BH214" si="1458">IF(ISERROR((BG208/AY208-1)*100),"NA",IF(((BG208/AY208-1)*100)&gt;100,"NM",IF(((BG208/AY208-1)*100)&lt;-50,"NM",(BG208/AY208-1)*100)))</f>
        <v>NM</v>
      </c>
      <c r="BI208" s="69">
        <f>+BG214</f>
        <v>5702</v>
      </c>
      <c r="BJ208" s="61" t="str">
        <f t="shared" ref="BJ208:BJ214" si="1459">IF(ISERROR((BI208/BA208-1)*100),"NA",IF(((BI208/BA208-1)*100)&gt;100,"NM",IF(((BI208/BA208-1)*100)&lt;-50,"NM",(BI208/BA208-1)*100)))</f>
        <v>NM</v>
      </c>
      <c r="BK208" s="69">
        <f>BI214</f>
        <v>5954</v>
      </c>
      <c r="BL208" s="61">
        <f t="shared" ref="BL208:BL214" si="1460">IF(ISERROR((BK208/BC208-1)*100),"NA",IF(((BK208/BC208-1)*100)&gt;100,"NM",IF(((BK208/BC208-1)*100)&lt;-50,"NM",(BK208/BC208-1)*100)))</f>
        <v>41.981638249672116</v>
      </c>
      <c r="BM208" s="69">
        <f>+BK214</f>
        <v>6104</v>
      </c>
      <c r="BN208" s="61">
        <f t="shared" ref="BN208:BN214" si="1461">IF(ISERROR((BM208/BE208-1)*100),"NA",IF(((BM208/BE208-1)*100)&gt;100,"NM",IF(((BM208/BE208-1)*100)&lt;-50,"NM",(BM208/BE208-1)*100)))</f>
        <v>41.805087698919728</v>
      </c>
      <c r="BO208" s="69">
        <f>+BM214</f>
        <v>6040</v>
      </c>
      <c r="BP208" s="61">
        <f t="shared" ref="BP208:BP214" si="1462">IF(ISERROR((BO208/BG208-1)*100),"NA",IF(((BO208/BG208-1)*100)&gt;100,"NM",IF(((BO208/BG208-1)*100)&lt;-50,"NM",(BO208/BG208-1)*100)))</f>
        <v>7.7417053157331495</v>
      </c>
      <c r="BQ208" s="69">
        <f>+BO214</f>
        <v>5615</v>
      </c>
      <c r="BR208" s="61">
        <f t="shared" ref="BR208:BR214" si="1463">IF(ISERROR((BQ208/BI208-1)*100),"NA",IF(((BQ208/BI208-1)*100)&gt;100,"NM",IF(((BQ208/BI208-1)*100)&lt;-50,"NM",(BQ208/BI208-1)*100)))</f>
        <v>-1.5257804279200315</v>
      </c>
      <c r="BS208" s="69">
        <f>+BQ214</f>
        <v>5623</v>
      </c>
      <c r="BT208" s="61">
        <f t="shared" ref="BT208:BT214" si="1464">IF(ISERROR((BS208/BK208-1)*100),"NA",IF(((BS208/BK208-1)*100)&gt;100,"NM",IF(((BS208/BK208-1)*100)&lt;-50,"NM",(BS208/BK208-1)*100)))</f>
        <v>-5.5592878736983486</v>
      </c>
      <c r="BU208" s="69">
        <f>+BS214</f>
        <v>5056</v>
      </c>
      <c r="BV208" s="61">
        <f t="shared" ref="BV208:BV214" si="1465">IF(ISERROR((BU208/BM208-1)*100),"NA",IF(((BU208/BM208-1)*100)&gt;100,"NM",IF(((BU208/BM208-1)*100)&lt;-50,"NM",(BU208/BM208-1)*100)))</f>
        <v>-17.169069462647446</v>
      </c>
      <c r="BW208" s="69">
        <f>+BU214</f>
        <v>4251</v>
      </c>
      <c r="BX208" s="61">
        <f t="shared" ref="BX208:BX214" si="1466">IF(ISERROR((BW208/BO208-1)*100),"NA",IF(((BW208/BO208-1)*100)&gt;100,"NM",IF(((BW208/BO208-1)*100)&lt;-50,"NM",(BW208/BO208-1)*100)))</f>
        <v>-29.619205298013242</v>
      </c>
      <c r="BY208" s="69">
        <f>+BW214</f>
        <v>3992</v>
      </c>
      <c r="BZ208" s="61">
        <f t="shared" ref="BZ208:BZ214" si="1467">IF(ISERROR((BY208/BQ208-1)*100),"NA",IF(((BY208/BQ208-1)*100)&gt;100,"NM",IF(((BY208/BQ208-1)*100)&lt;-50,"NM",(BY208/BQ208-1)*100)))</f>
        <v>-28.904719501335705</v>
      </c>
      <c r="CA208" s="69">
        <f>+BY214</f>
        <v>4562</v>
      </c>
      <c r="CB208" s="61">
        <f t="shared" ref="CB208:CB214" si="1468">IF(ISERROR((CA208/BS208-1)*100),"NA",IF(((CA208/BS208-1)*100)&gt;100,"NM",IF(((CA208/BS208-1)*100)&lt;-50,"NM",(CA208/BS208-1)*100)))</f>
        <v>-18.868931175529081</v>
      </c>
      <c r="CC208" s="69">
        <f>+CA214</f>
        <v>5176</v>
      </c>
      <c r="CD208" s="61">
        <f t="shared" ref="CD208:CD214" si="1469">IF(ISERROR((CC208/BU208-1)*100),"NA",IF(((CC208/BU208-1)*100)&gt;100,"NM",IF(((CC208/BU208-1)*100)&lt;-50,"NM",(CC208/BU208-1)*100)))</f>
        <v>2.3734177215189778</v>
      </c>
      <c r="CE208" s="69">
        <f>+CC214</f>
        <v>5287</v>
      </c>
      <c r="CF208" s="61">
        <f t="shared" ref="CF208:CF214" si="1470">IF(ISERROR((CE208/BW208-1)*100),"NA",IF(((CE208/BW208-1)*100)&gt;100,"NM",IF(((CE208/BW208-1)*100)&lt;-50,"NM",(CE208/BW208-1)*100)))</f>
        <v>24.370736297341811</v>
      </c>
      <c r="CG208" s="69">
        <f>+CE214</f>
        <v>5467</v>
      </c>
      <c r="CH208" s="61">
        <f t="shared" ref="CH208:CH214" si="1471">IF(ISERROR((CG208/BY208-1)*100),"NA",IF(((CG208/BY208-1)*100)&gt;100,"NM",IF(((CG208/BY208-1)*100)&lt;-50,"NM",(CG208/BY208-1)*100)))</f>
        <v>36.948897795591186</v>
      </c>
      <c r="CI208" s="69">
        <f>+CG214</f>
        <v>5027</v>
      </c>
      <c r="CJ208" s="61">
        <f t="shared" ref="CJ208:CJ214" si="1472">IF(ISERROR((CI208/CA208-1)*100),"NA",IF(((CI208/CA208-1)*100)&gt;100,"NM",IF(((CI208/CA208-1)*100)&lt;-50,"NM",(CI208/CA208-1)*100)))</f>
        <v>10.192897851819382</v>
      </c>
      <c r="CK208" s="69">
        <f>+CI214</f>
        <v>5562</v>
      </c>
      <c r="CL208" s="61">
        <f t="shared" ref="CL208:CL214" si="1473">IF(ISERROR((CK208/CC208-1)*100),"NA",IF(((CK208/CC208-1)*100)&gt;100,"NM",IF(((CK208/CC208-1)*100)&lt;-50,"NM",(CK208/CC208-1)*100)))</f>
        <v>7.4574961360123648</v>
      </c>
      <c r="CM208" s="69">
        <f>+CK214</f>
        <v>5962</v>
      </c>
      <c r="CN208" s="61">
        <f t="shared" ref="CN208:CN214" si="1474">IF(ISERROR((CM208/CE208-1)*100),"NA",IF(((CM208/CE208-1)*100)&gt;100,"NM",IF(((CM208/CE208-1)*100)&lt;-50,"NM",(CM208/CE208-1)*100)))</f>
        <v>12.767164743710978</v>
      </c>
      <c r="CO208" s="69">
        <f>+CM214</f>
        <v>6171</v>
      </c>
      <c r="CP208" s="61">
        <f t="shared" ref="CP208:CP214" si="1475">IF(ISERROR((CO208/CG208-1)*100),"NA",IF(((CO208/CG208-1)*100)&gt;100,"NM",IF(((CO208/CG208-1)*100)&lt;-50,"NM",(CO208/CG208-1)*100)))</f>
        <v>12.877263581488929</v>
      </c>
      <c r="CQ208" s="69">
        <f>+CO214</f>
        <v>6157</v>
      </c>
      <c r="CR208" s="61">
        <f t="shared" ref="CR208:CR214" si="1476">IF(ISERROR((CQ208/CI208-1)*100),"NA",IF(((CQ208/CI208-1)*100)&gt;100,"NM",IF(((CQ208/CI208-1)*100)&lt;-50,"NM",(CQ208/CI208-1)*100)))</f>
        <v>22.478615476427287</v>
      </c>
      <c r="CS208" s="69">
        <f>+CQ214</f>
        <v>5375</v>
      </c>
      <c r="CT208" s="61">
        <f t="shared" ref="CT208:CT216" si="1477">IF(ISERROR((CS208/CK208-1)*100),"NA",IF(((CS208/CK208-1)*100)&gt;100,"NM",IF(((CS208/CK208-1)*100)&lt;-50,"NM",(CS208/CK208-1)*100)))</f>
        <v>-3.3620999640417093</v>
      </c>
      <c r="CU208" s="69">
        <f>+CS214</f>
        <v>5687</v>
      </c>
      <c r="CV208" s="61">
        <f t="shared" ref="CV208:CV216" si="1478">IF(ISERROR((CU208/CM208-1)*100),"NA",IF(((CU208/CM208-1)*100)&gt;100,"NM",IF(((CU208/CM208-1)*100)&lt;-50,"NM",(CU208/CM208-1)*100)))</f>
        <v>-4.6125461254612592</v>
      </c>
      <c r="CW208" s="69">
        <f>+CU214</f>
        <v>6202</v>
      </c>
      <c r="CX208" s="61">
        <f t="shared" ref="CX208:CX216" si="1479">IF(ISERROR((CW208/CO208-1)*100),"NA",IF(((CW208/CO208-1)*100)&gt;100,"NM",IF(((CW208/CO208-1)*100)&lt;-50,"NM",(CW208/CO208-1)*100)))</f>
        <v>0.50234970021065806</v>
      </c>
      <c r="CY208" s="69">
        <f>+CW214</f>
        <v>6005</v>
      </c>
      <c r="CZ208" s="61">
        <f t="shared" ref="CZ208:CZ214" si="1480">IF(ISERROR((CY208/CQ208-1)*100),"NA",IF(((CY208/CQ208-1)*100)&gt;100,"NM",IF(((CY208/CQ208-1)*100)&lt;-50,"NM",(CY208/CQ208-1)*100)))</f>
        <v>-2.4687347734286158</v>
      </c>
      <c r="DA208" s="69">
        <f>+CY214</f>
        <v>6262</v>
      </c>
      <c r="DB208" s="61">
        <f t="shared" ref="DB208:DB214" si="1481">IF(ISERROR((DA208/CS208-1)*100),"NA",IF(((DA208/CS208-1)*100)&gt;100,"NM",IF(((DA208/CS208-1)*100)&lt;-50,"NM",(DA208/CS208-1)*100)))</f>
        <v>16.50232558139535</v>
      </c>
      <c r="DC208" s="69">
        <f>+DA214</f>
        <v>6523</v>
      </c>
      <c r="DD208" s="61">
        <f t="shared" ref="DD208:DD214" si="1482">IF(ISERROR((DC208/CU208-1)*100),"NA",IF(((DC208/CU208-1)*100)&gt;100,"NM",IF(((DC208/CU208-1)*100)&lt;-50,"NM",(DC208/CU208-1)*100)))</f>
        <v>14.700193423597675</v>
      </c>
      <c r="DE208" s="69">
        <f>+DC214</f>
        <v>6859</v>
      </c>
      <c r="DF208" s="61">
        <f t="shared" ref="DF208:DF214" si="1483">IF(ISERROR((DE208/CW208-1)*100),"NA",IF(((DE208/CW208-1)*100)&gt;100,"NM",IF(((DE208/CW208-1)*100)&lt;-50,"NM",(DE208/CW208-1)*100)))</f>
        <v>10.593356981618829</v>
      </c>
      <c r="DG208" s="69">
        <f>+DE214</f>
        <v>6972</v>
      </c>
      <c r="DH208" s="61">
        <f t="shared" ref="DH208:DH214" si="1484">IF(ISERROR((DG208/CY208-1)*100),"NA",IF(((DG208/CY208-1)*100)&gt;100,"NM",IF(((DG208/CY208-1)*100)&lt;-50,"NM",(DG208/CY208-1)*100)))</f>
        <v>16.10324729392174</v>
      </c>
      <c r="DI208" s="69">
        <f>+DG214</f>
        <v>7453</v>
      </c>
      <c r="DJ208" s="61">
        <f t="shared" ref="DJ208:DJ214" si="1485">IF(ISERROR((DI208/DA208-1)*100),"NA",IF(((DI208/DA208-1)*100)&gt;100,"NM",IF(((DI208/DA208-1)*100)&lt;-50,"NM",(DI208/DA208-1)*100)))</f>
        <v>19.019482593420634</v>
      </c>
      <c r="DK208" s="69">
        <f>+DI214</f>
        <v>8094</v>
      </c>
      <c r="DL208" s="61">
        <f t="shared" ref="DL208:DL214" si="1486">IF(ISERROR((DK208/DC208-1)*100),"NA",IF(((DK208/DC208-1)*100)&gt;100,"NM",IF(((DK208/DC208-1)*100)&lt;-50,"NM",(DK208/DC208-1)*100)))</f>
        <v>24.084010424651225</v>
      </c>
      <c r="DM208" s="69">
        <f>+DK214</f>
        <v>8354</v>
      </c>
      <c r="DN208" s="130">
        <f t="shared" ref="DN208:DZ216" si="1487">IF(ISERROR((DM208/DE208-1)*100),"NA",IF(((DM208/DE208-1)*100)&gt;100,"NM",IF(((DM208/DE208-1)*100)&lt;-50,"NM",(DM208/DE208-1)*100)))</f>
        <v>21.796180201195515</v>
      </c>
      <c r="DO208" s="69">
        <f>+DM214</f>
        <v>8842</v>
      </c>
      <c r="DP208" s="130">
        <f t="shared" si="1487"/>
        <v>26.821572002294893</v>
      </c>
      <c r="DQ208" s="69">
        <f>+DO214</f>
        <v>8854</v>
      </c>
      <c r="DR208" s="130">
        <f t="shared" si="1487"/>
        <v>18.797799543807869</v>
      </c>
      <c r="DS208" s="69">
        <f>+DQ214</f>
        <v>9263</v>
      </c>
      <c r="DT208" s="130">
        <f t="shared" si="1487"/>
        <v>14.442797133679264</v>
      </c>
      <c r="DU208" s="69">
        <f>+DS214</f>
        <v>9635</v>
      </c>
      <c r="DV208" s="130">
        <f t="shared" si="1487"/>
        <v>15.33397175005986</v>
      </c>
      <c r="DW208" s="69">
        <f>+DU214</f>
        <v>9766</v>
      </c>
      <c r="DX208" s="69">
        <f t="shared" ref="DX208:EM208" si="1488">+DV214</f>
        <v>10.450124406242933</v>
      </c>
      <c r="DY208" s="69">
        <f t="shared" si="1488"/>
        <v>9213</v>
      </c>
      <c r="DZ208" s="130">
        <f t="shared" si="1487"/>
        <v>4.0546645583916963</v>
      </c>
      <c r="EA208" s="69">
        <f t="shared" si="1488"/>
        <v>9696</v>
      </c>
      <c r="EB208" s="130">
        <f t="shared" ref="EB208:EB216" si="1489">IF(ISERROR((EA208/DS208-1)*100),"NA",IF(((EA208/DS208-1)*100)&gt;100,"NM",IF(((EA208/DS208-1)*100)&lt;-50,"NM",(EA208/DS208-1)*100)))</f>
        <v>4.6745114973550717</v>
      </c>
      <c r="EC208" s="69">
        <f t="shared" si="1488"/>
        <v>9830</v>
      </c>
      <c r="ED208" s="130">
        <f t="shared" ref="ED208:ED216" si="1490">IF(ISERROR((EC208/DU208-1)*100),"NA",IF(((EC208/DU208-1)*100)&gt;100,"NM",IF(((EC208/DU208-1)*100)&lt;-50,"NM",(EC208/DU208-1)*100)))</f>
        <v>2.0238713025428234</v>
      </c>
      <c r="EE208" s="69">
        <f t="shared" si="1488"/>
        <v>10172</v>
      </c>
      <c r="EF208" s="130">
        <f t="shared" ref="EF208:EF216" si="1491">IF(ISERROR((EE208/DW208-1)*100),"NA",IF(((EE208/DW208-1)*100)&gt;100,"NM",IF(((EE208/DW208-1)*100)&lt;-50,"NM",(EE208/DW208-1)*100)))</f>
        <v>4.1572803604341679</v>
      </c>
      <c r="EG208" s="69">
        <f t="shared" si="1488"/>
        <v>10763</v>
      </c>
      <c r="EH208" s="130">
        <f t="shared" ref="EH208:EH216" si="1492">IF(ISERROR((EG208/DY208-1)*100),"NA",IF(((EG208/DY208-1)*100)&gt;100,"NM",IF(((EG208/DY208-1)*100)&lt;-50,"NM",(EG208/DY208-1)*100)))</f>
        <v>16.824052968631275</v>
      </c>
      <c r="EI208" s="69">
        <f t="shared" si="1488"/>
        <v>11058</v>
      </c>
      <c r="EJ208" s="130">
        <f t="shared" ref="EJ208:EJ216" si="1493">IF(ISERROR((EI208/EA208-1)*100),"NA",IF(((EI208/EA208-1)*100)&gt;100,"NM",IF(((EI208/EA208-1)*100)&lt;-50,"NM",(EI208/EA208-1)*100)))</f>
        <v>14.047029702970292</v>
      </c>
      <c r="EK208" s="69">
        <f t="shared" si="1488"/>
        <v>11772</v>
      </c>
      <c r="EL208" s="130">
        <f t="shared" ref="EL208:EL216" si="1494">IF(ISERROR((EK208/EC208-1)*100),"NA",IF(((EK208/EC208-1)*100)&gt;100,"NM",IF(((EK208/EC208-1)*100)&lt;-50,"NM",(EK208/EC208-1)*100)))</f>
        <v>19.755849440488294</v>
      </c>
      <c r="EM208" s="69">
        <f t="shared" si="1488"/>
        <v>12296</v>
      </c>
      <c r="EN208" s="130">
        <f t="shared" ref="EN208:EN216" si="1495">IF(ISERROR((EM208/EE208-1)*100),"NA",IF(((EM208/EE208-1)*100)&gt;100,"NM",IF(((EM208/EE208-1)*100)&lt;-50,"NM",(EM208/EE208-1)*100)))</f>
        <v>20.880849390483689</v>
      </c>
      <c r="EO208" s="69">
        <f t="shared" ref="EO208" si="1496">+EM214</f>
        <v>12916</v>
      </c>
      <c r="EP208" s="130">
        <f t="shared" ref="EP208:EP216" si="1497">IF(ISERROR((EO208/EG208-1)*100),"NA",IF(((EO208/EG208-1)*100)&gt;100,"NM",IF(((EO208/EG208-1)*100)&lt;-50,"NM",(EO208/EG208-1)*100)))</f>
        <v>20.003716435937946</v>
      </c>
      <c r="EQ208" s="69">
        <f t="shared" ref="EQ208" si="1498">+EO214</f>
        <v>13851</v>
      </c>
      <c r="ER208" s="130">
        <f t="shared" ref="ER208:ER216" si="1499">IF(ISERROR((EQ208/EI208-1)*100),"NA",IF(((EQ208/EI208-1)*100)&gt;100,"NM",IF(((EQ208/EI208-1)*100)&lt;-50,"NM",(EQ208/EI208-1)*100)))</f>
        <v>25.257731958762886</v>
      </c>
      <c r="ES208" s="69">
        <f t="shared" ref="ES208" si="1500">+EQ214</f>
        <v>13798.658379580263</v>
      </c>
      <c r="ET208" s="130">
        <f t="shared" ref="ET208:ET216" si="1501">IF(ISERROR((ES208/EK208-1)*100),"NA",IF(((ES208/EK208-1)*100)&gt;100,"NM",IF(((ES208/EK208-1)*100)&lt;-50,"NM",(ES208/EK208-1)*100)))</f>
        <v>17.21592235457241</v>
      </c>
      <c r="EU208" s="69">
        <f t="shared" ref="EU208" si="1502">+ES214</f>
        <v>14067.769959793946</v>
      </c>
      <c r="EV208" s="130">
        <f t="shared" ref="EV208:EV216" si="1503">IF(ISERROR((EU208/EM208-1)*100),"NA",IF(((EU208/EM208-1)*100)&gt;100,"NM",IF(((EU208/EM208-1)*100)&lt;-50,"NM",(EU208/EM208-1)*100)))</f>
        <v>14.409319777114082</v>
      </c>
      <c r="EW208" s="69">
        <f t="shared" ref="EW208" si="1504">+EU214</f>
        <v>14300.887733031312</v>
      </c>
      <c r="EX208" s="130">
        <f t="shared" ref="EX208:EX216" si="1505">IF(ISERROR((EW208/EO208-1)*100),"NA",IF(((EW208/EO208-1)*100)&gt;100,"NM",IF(((EW208/EO208-1)*100)&lt;-50,"NM",(EW208/EO208-1)*100)))</f>
        <v>10.722264888752807</v>
      </c>
      <c r="EY208" s="64"/>
      <c r="EZ208" s="558"/>
      <c r="FA208" s="64"/>
      <c r="FB208" s="72"/>
      <c r="FC208" s="71"/>
      <c r="FD208" s="69"/>
      <c r="FE208" s="70"/>
      <c r="FF208" s="69"/>
      <c r="FG208" s="70"/>
      <c r="FH208" s="69"/>
      <c r="FI208" s="70"/>
      <c r="FJ208" s="69"/>
      <c r="FK208" s="70"/>
      <c r="FL208" s="69"/>
      <c r="FM208" s="61"/>
      <c r="FN208" s="69"/>
      <c r="FO208" s="61"/>
      <c r="FP208" s="73">
        <f>AQ208</f>
        <v>2028</v>
      </c>
      <c r="FQ208" s="61" t="str">
        <f t="shared" ref="FQ208:FQ218" si="1506">IF(ISERROR((FP208/FN208-1)*100),"NA",IF(((FP208/FN208-1)*100)&gt;100,"NM",IF(((FP208/FN208-1)*100)&lt;-50,"NM",(FP208/FN208-1)*100)))</f>
        <v>NA</v>
      </c>
      <c r="FR208" s="73">
        <f>+FP214</f>
        <v>2241</v>
      </c>
      <c r="FS208" s="61">
        <f t="shared" ref="FS208:FS214" si="1507">IF(ISERROR((FR208/FP208-1)*100),"NA",IF(((FR208/FP208-1)*100)&gt;100,"NM",IF(((FR208/FP208-1)*100)&lt;-50,"NM",(FR208/FP208-1)*100)))</f>
        <v>10.50295857988166</v>
      </c>
      <c r="FT208" s="73">
        <f>+FT214-FT213-FT212-FT211-FT210-FT209</f>
        <v>5606</v>
      </c>
      <c r="FU208" s="61" t="str">
        <f t="shared" ref="FU208:FU214" si="1508">IF(ISERROR((FT208/FR208-1)*100),"NA",IF(((FT208/FR208-1)*100)&gt;100,"NM",IF(((FT208/FR208-1)*100)&lt;-50,"NM",(FT208/FR208-1)*100)))</f>
        <v>NM</v>
      </c>
      <c r="FV208" s="73">
        <f>BO208</f>
        <v>6040</v>
      </c>
      <c r="FW208" s="61">
        <f t="shared" ref="FW208:FW214" si="1509">IF(ISERROR((FV208/FT208-1)*100),"NA",IF(((FV208/FT208-1)*100)&gt;100,"NM",IF(((FV208/FT208-1)*100)&lt;-50,"NM",(FV208/FT208-1)*100)))</f>
        <v>7.7417053157331495</v>
      </c>
      <c r="FX208" s="73">
        <f>+FV214</f>
        <v>4251</v>
      </c>
      <c r="FY208" s="61">
        <f t="shared" ref="FY208:FY214" si="1510">IF(ISERROR((FX208/FV208-1)*100),"NA",IF(((FX208/FV208-1)*100)&gt;100,"NM",IF(((FX208/FV208-1)*100)&lt;-50,"NM",(FX208/FV208-1)*100)))</f>
        <v>-29.619205298013242</v>
      </c>
      <c r="FZ208" s="73">
        <f>+FX214</f>
        <v>5287</v>
      </c>
      <c r="GA208" s="61">
        <f t="shared" ref="GA208:GA214" si="1511">IF(ISERROR((FZ208/FX208-1)*100),"NA",IF(((FZ208/FX208-1)*100)&gt;100,"NM",IF(((FZ208/FX208-1)*100)&lt;-50,"NM",(FZ208/FX208-1)*100)))</f>
        <v>24.370736297341811</v>
      </c>
      <c r="GB208" s="73">
        <f>+FZ214</f>
        <v>5962</v>
      </c>
      <c r="GC208" s="61">
        <f t="shared" ref="GC208:GC214" si="1512">IF(ISERROR((GB208/FZ208-1)*100),"NA",IF(((GB208/FZ208-1)*100)&gt;100,"NM",IF(((GB208/FZ208-1)*100)&lt;-50,"NM",(GB208/FZ208-1)*100)))</f>
        <v>12.767164743710978</v>
      </c>
      <c r="GD208" s="73">
        <f>+GB214</f>
        <v>5687</v>
      </c>
      <c r="GE208" s="61">
        <f t="shared" ref="GE208:GE214" si="1513">IF(ISERROR((GD208/GB208-1)*100),"NA",IF(((GD208/GB208-1)*100)&gt;100,"NM",IF(((GD208/GB208-1)*100)&lt;-50,"NM",(GD208/GB208-1)*100)))</f>
        <v>-4.6125461254612592</v>
      </c>
      <c r="GF208" s="73">
        <f>+GD214</f>
        <v>6523</v>
      </c>
      <c r="GG208" s="61">
        <f t="shared" ref="GG208:GW216" si="1514">IF(ISERROR((GF208/GD208-1)*100),"NA",IF(((GF208/GD208-1)*100)&gt;100,"NM",IF(((GF208/GD208-1)*100)&lt;-50,"NM",(GF208/GD208-1)*100)))</f>
        <v>14.700193423597675</v>
      </c>
      <c r="GH208" s="73">
        <f>+GF214</f>
        <v>8094</v>
      </c>
      <c r="GI208" s="61">
        <f t="shared" si="1514"/>
        <v>24.084010424651225</v>
      </c>
      <c r="GJ208" s="73">
        <f>+GH214</f>
        <v>9263</v>
      </c>
      <c r="GK208" s="61">
        <f t="shared" si="1514"/>
        <v>14.442797133679264</v>
      </c>
      <c r="GL208" s="73">
        <f>+GJ214</f>
        <v>9696</v>
      </c>
      <c r="GM208" s="61">
        <f t="shared" si="1514"/>
        <v>4.6745114973550717</v>
      </c>
      <c r="GN208" s="73">
        <f>+GL214</f>
        <v>11058</v>
      </c>
      <c r="GO208" s="61">
        <f t="shared" si="1514"/>
        <v>14.047029702970292</v>
      </c>
      <c r="GP208" s="73">
        <f>+GN214</f>
        <v>13851</v>
      </c>
      <c r="GQ208" s="61">
        <f t="shared" si="1514"/>
        <v>25.257731958762886</v>
      </c>
      <c r="GR208" s="69">
        <f>+GP214</f>
        <v>14892.182971091101</v>
      </c>
      <c r="GS208" s="61">
        <f t="shared" si="1514"/>
        <v>7.5170238328720052</v>
      </c>
      <c r="GT208" s="69">
        <f>+GR214</f>
        <v>15564.467826210117</v>
      </c>
      <c r="GU208" s="61">
        <f t="shared" si="1514"/>
        <v>4.5143472681208996</v>
      </c>
      <c r="GV208" s="69">
        <f>+GT214</f>
        <v>16316.22248588915</v>
      </c>
      <c r="GW208" s="61">
        <f t="shared" si="1514"/>
        <v>4.8299413001008595</v>
      </c>
      <c r="GX208" s="69">
        <f>+GV214</f>
        <v>17150.651870335565</v>
      </c>
      <c r="GY208" s="61">
        <f t="shared" ref="GY208:GY216" si="1515">IF(ISERROR((GX208/GV208-1)*100),"NA",IF(((GX208/GV208-1)*100)&gt;100,"NM",IF(((GX208/GV208-1)*100)&lt;-50,"NM",(GX208/GV208-1)*100)))</f>
        <v>5.114108888672364</v>
      </c>
      <c r="GZ208" s="61">
        <f t="shared" si="1440"/>
        <v>9.1743988401793217</v>
      </c>
      <c r="HA208" s="61"/>
      <c r="HB208" s="452"/>
      <c r="HC208"/>
      <c r="HD208"/>
      <c r="HE208"/>
      <c r="HF208"/>
      <c r="HG208"/>
      <c r="HH208"/>
    </row>
    <row r="209" spans="1:216" s="5" customFormat="1" ht="12.75" customHeight="1" x14ac:dyDescent="0.2">
      <c r="B209" s="2" t="s">
        <v>156</v>
      </c>
      <c r="C209" s="72"/>
      <c r="D209" s="70"/>
      <c r="E209" s="72"/>
      <c r="F209" s="71"/>
      <c r="G209" s="74"/>
      <c r="H209" s="71"/>
      <c r="I209" s="74"/>
      <c r="J209" s="61"/>
      <c r="K209" s="74"/>
      <c r="L209" s="61"/>
      <c r="M209" s="72"/>
      <c r="N209" s="61"/>
      <c r="O209" s="74"/>
      <c r="P209" s="61"/>
      <c r="Q209" s="74"/>
      <c r="R209" s="61"/>
      <c r="S209" s="74"/>
      <c r="T209" s="61"/>
      <c r="U209" s="74"/>
      <c r="V209" s="61"/>
      <c r="W209" s="74"/>
      <c r="X209" s="61"/>
      <c r="Y209" s="74"/>
      <c r="Z209" s="61"/>
      <c r="AA209" s="74"/>
      <c r="AB209" s="61"/>
      <c r="AC209" s="74"/>
      <c r="AD209" s="61"/>
      <c r="AE209" s="74"/>
      <c r="AF209" s="61"/>
      <c r="AG209" s="74"/>
      <c r="AH209" s="61"/>
      <c r="AI209" s="74"/>
      <c r="AJ209" s="61"/>
      <c r="AK209" s="74"/>
      <c r="AL209" s="61"/>
      <c r="AM209" s="74"/>
      <c r="AN209" s="61"/>
      <c r="AO209" s="74"/>
      <c r="AP209" s="61"/>
      <c r="AQ209" s="74">
        <v>86</v>
      </c>
      <c r="AR209" s="61" t="str">
        <f t="shared" si="1451"/>
        <v>NA</v>
      </c>
      <c r="AS209" s="74">
        <v>81</v>
      </c>
      <c r="AT209" s="61"/>
      <c r="AU209" s="74">
        <v>82</v>
      </c>
      <c r="AV209" s="61" t="str">
        <f t="shared" si="1452"/>
        <v>NA</v>
      </c>
      <c r="AW209" s="74">
        <v>97</v>
      </c>
      <c r="AX209" s="61" t="str">
        <f t="shared" si="1453"/>
        <v>NA</v>
      </c>
      <c r="AY209" s="74">
        <v>87</v>
      </c>
      <c r="AZ209" s="61">
        <f t="shared" si="1454"/>
        <v>1.1627906976744207</v>
      </c>
      <c r="BA209" s="74">
        <v>224</v>
      </c>
      <c r="BB209" s="61" t="str">
        <f t="shared" si="1455"/>
        <v>NM</v>
      </c>
      <c r="BC209" s="74">
        <v>36</v>
      </c>
      <c r="BD209" s="61" t="str">
        <f t="shared" si="1456"/>
        <v>NM</v>
      </c>
      <c r="BE209" s="74">
        <v>153</v>
      </c>
      <c r="BF209" s="61">
        <f t="shared" si="1457"/>
        <v>57.731958762886592</v>
      </c>
      <c r="BG209" s="74">
        <v>157</v>
      </c>
      <c r="BH209" s="61">
        <f t="shared" si="1458"/>
        <v>80.459770114942515</v>
      </c>
      <c r="BI209" s="74">
        <v>142</v>
      </c>
      <c r="BJ209" s="61">
        <f t="shared" si="1459"/>
        <v>-36.607142857142861</v>
      </c>
      <c r="BK209" s="74">
        <v>180</v>
      </c>
      <c r="BL209" s="61" t="str">
        <f t="shared" si="1460"/>
        <v>NM</v>
      </c>
      <c r="BM209" s="74">
        <v>217</v>
      </c>
      <c r="BN209" s="61">
        <f t="shared" si="1461"/>
        <v>41.830065359477132</v>
      </c>
      <c r="BO209" s="74">
        <v>239</v>
      </c>
      <c r="BP209" s="61">
        <f t="shared" si="1462"/>
        <v>52.229299363057336</v>
      </c>
      <c r="BQ209" s="74">
        <v>216</v>
      </c>
      <c r="BR209" s="61">
        <f t="shared" si="1463"/>
        <v>52.112676056338024</v>
      </c>
      <c r="BS209" s="74">
        <v>207</v>
      </c>
      <c r="BT209" s="61">
        <f t="shared" si="1464"/>
        <v>14.999999999999991</v>
      </c>
      <c r="BU209" s="74">
        <v>266</v>
      </c>
      <c r="BV209" s="61">
        <f t="shared" si="1465"/>
        <v>22.580645161290324</v>
      </c>
      <c r="BW209" s="74">
        <v>243</v>
      </c>
      <c r="BX209" s="61">
        <f t="shared" si="1466"/>
        <v>1.6736401673640211</v>
      </c>
      <c r="BY209" s="74">
        <v>180</v>
      </c>
      <c r="BZ209" s="61">
        <f t="shared" si="1467"/>
        <v>-16.666666666666664</v>
      </c>
      <c r="CA209" s="74">
        <v>174</v>
      </c>
      <c r="CB209" s="61">
        <f t="shared" si="1468"/>
        <v>-15.94202898550725</v>
      </c>
      <c r="CC209" s="74">
        <v>233</v>
      </c>
      <c r="CD209" s="61">
        <f t="shared" si="1469"/>
        <v>-12.406015037593987</v>
      </c>
      <c r="CE209" s="74">
        <v>167</v>
      </c>
      <c r="CF209" s="61">
        <f t="shared" si="1470"/>
        <v>-31.275720164609055</v>
      </c>
      <c r="CG209" s="74">
        <v>152</v>
      </c>
      <c r="CH209" s="61">
        <f t="shared" si="1471"/>
        <v>-15.555555555555555</v>
      </c>
      <c r="CI209" s="74">
        <v>247</v>
      </c>
      <c r="CJ209" s="61">
        <f t="shared" si="1472"/>
        <v>41.954022988505749</v>
      </c>
      <c r="CK209" s="74">
        <v>240</v>
      </c>
      <c r="CL209" s="61">
        <f t="shared" si="1473"/>
        <v>3.0042918454935563</v>
      </c>
      <c r="CM209" s="74">
        <v>185</v>
      </c>
      <c r="CN209" s="61">
        <f t="shared" si="1474"/>
        <v>10.77844311377245</v>
      </c>
      <c r="CO209" s="74">
        <v>148</v>
      </c>
      <c r="CP209" s="61">
        <f t="shared" si="1475"/>
        <v>-2.6315789473684181</v>
      </c>
      <c r="CQ209" s="74">
        <v>178</v>
      </c>
      <c r="CR209" s="61">
        <f t="shared" si="1476"/>
        <v>-27.935222672064775</v>
      </c>
      <c r="CS209" s="74">
        <v>209</v>
      </c>
      <c r="CT209" s="61">
        <f t="shared" si="1477"/>
        <v>-12.916666666666664</v>
      </c>
      <c r="CU209" s="74">
        <v>168</v>
      </c>
      <c r="CV209" s="61">
        <f t="shared" si="1478"/>
        <v>-9.1891891891891841</v>
      </c>
      <c r="CW209" s="74">
        <v>147</v>
      </c>
      <c r="CX209" s="61">
        <f t="shared" si="1479"/>
        <v>-0.67567567567567988</v>
      </c>
      <c r="CY209" s="74">
        <v>135</v>
      </c>
      <c r="CZ209" s="61">
        <f t="shared" si="1480"/>
        <v>-24.157303370786522</v>
      </c>
      <c r="DA209" s="74">
        <v>414</v>
      </c>
      <c r="DB209" s="61">
        <f t="shared" si="1481"/>
        <v>98.086124401913864</v>
      </c>
      <c r="DC209" s="74">
        <v>242</v>
      </c>
      <c r="DD209" s="61">
        <f t="shared" si="1482"/>
        <v>44.047619047619044</v>
      </c>
      <c r="DE209" s="74">
        <v>287</v>
      </c>
      <c r="DF209" s="61">
        <f t="shared" si="1483"/>
        <v>95.238095238095227</v>
      </c>
      <c r="DG209" s="74">
        <v>292</v>
      </c>
      <c r="DH209" s="61" t="str">
        <f t="shared" si="1484"/>
        <v>NM</v>
      </c>
      <c r="DI209" s="74">
        <v>428</v>
      </c>
      <c r="DJ209" s="61">
        <f t="shared" si="1485"/>
        <v>3.3816425120772875</v>
      </c>
      <c r="DK209" s="74">
        <v>397</v>
      </c>
      <c r="DL209" s="61">
        <f t="shared" si="1486"/>
        <v>64.049586776859499</v>
      </c>
      <c r="DM209" s="74">
        <v>418</v>
      </c>
      <c r="DN209" s="130">
        <f t="shared" si="1487"/>
        <v>45.644599303135891</v>
      </c>
      <c r="DO209" s="74">
        <v>351</v>
      </c>
      <c r="DP209" s="130">
        <f t="shared" si="1487"/>
        <v>20.205479452054796</v>
      </c>
      <c r="DQ209" s="74">
        <v>445</v>
      </c>
      <c r="DR209" s="130">
        <f t="shared" si="1487"/>
        <v>3.971962616822422</v>
      </c>
      <c r="DS209" s="74">
        <v>390</v>
      </c>
      <c r="DT209" s="130">
        <f t="shared" si="1487"/>
        <v>-1.7632241813602012</v>
      </c>
      <c r="DU209" s="74">
        <v>380</v>
      </c>
      <c r="DV209" s="130">
        <f t="shared" si="1487"/>
        <v>-9.0909090909090935</v>
      </c>
      <c r="DW209" s="74">
        <v>388</v>
      </c>
      <c r="DX209" s="74">
        <v>388</v>
      </c>
      <c r="DY209" s="74">
        <v>460</v>
      </c>
      <c r="DZ209" s="130">
        <f t="shared" si="1487"/>
        <v>3.3707865168539408</v>
      </c>
      <c r="EA209" s="74">
        <v>293</v>
      </c>
      <c r="EB209" s="130">
        <f t="shared" si="1489"/>
        <v>-24.871794871794872</v>
      </c>
      <c r="EC209" s="74">
        <v>399</v>
      </c>
      <c r="ED209" s="130">
        <f t="shared" si="1490"/>
        <v>5.0000000000000044</v>
      </c>
      <c r="EE209" s="74">
        <v>440</v>
      </c>
      <c r="EF209" s="130">
        <f t="shared" si="1491"/>
        <v>13.4020618556701</v>
      </c>
      <c r="EG209" s="74">
        <v>489</v>
      </c>
      <c r="EH209" s="130">
        <f t="shared" si="1492"/>
        <v>6.3043478260869534</v>
      </c>
      <c r="EI209" s="74">
        <v>372</v>
      </c>
      <c r="EJ209" s="130">
        <f t="shared" si="1493"/>
        <v>26.962457337883961</v>
      </c>
      <c r="EK209" s="74">
        <v>428</v>
      </c>
      <c r="EL209" s="130">
        <f t="shared" si="1494"/>
        <v>7.268170426065157</v>
      </c>
      <c r="EM209" s="74">
        <v>392</v>
      </c>
      <c r="EN209" s="130">
        <f t="shared" si="1495"/>
        <v>-10.909090909090914</v>
      </c>
      <c r="EO209" s="74">
        <v>744</v>
      </c>
      <c r="EP209" s="130">
        <f t="shared" si="1497"/>
        <v>52.147239263803691</v>
      </c>
      <c r="EQ209" s="74">
        <f t="shared" ref="EQ209" si="1516">EI209*1.05</f>
        <v>390.6</v>
      </c>
      <c r="ER209" s="130">
        <f t="shared" si="1499"/>
        <v>5.0000000000000044</v>
      </c>
      <c r="ES209" s="74">
        <f t="shared" ref="ES209" si="1517">EK209*1.05</f>
        <v>449.40000000000003</v>
      </c>
      <c r="ET209" s="130">
        <f t="shared" si="1501"/>
        <v>5.0000000000000044</v>
      </c>
      <c r="EU209" s="74">
        <f t="shared" ref="EU209" si="1518">EM209*1.05</f>
        <v>411.6</v>
      </c>
      <c r="EV209" s="130">
        <f t="shared" si="1503"/>
        <v>5.0000000000000044</v>
      </c>
      <c r="EW209" s="74">
        <f t="shared" ref="EW209" si="1519">EO209*1.05</f>
        <v>781.2</v>
      </c>
      <c r="EX209" s="130">
        <f t="shared" si="1505"/>
        <v>5.0000000000000044</v>
      </c>
      <c r="EY209" s="64"/>
      <c r="EZ209" s="558"/>
      <c r="FA209" s="64"/>
      <c r="FB209" s="72"/>
      <c r="FC209" s="71"/>
      <c r="FD209" s="72"/>
      <c r="FE209" s="70"/>
      <c r="FF209" s="69"/>
      <c r="FG209" s="70"/>
      <c r="FH209" s="69"/>
      <c r="FI209" s="70"/>
      <c r="FJ209" s="69"/>
      <c r="FK209" s="70"/>
      <c r="FL209" s="69"/>
      <c r="FM209" s="61"/>
      <c r="FN209" s="69"/>
      <c r="FO209" s="61"/>
      <c r="FP209" s="75">
        <f>AQ209+AS209+AU209+AW209</f>
        <v>346</v>
      </c>
      <c r="FQ209" s="61" t="str">
        <f t="shared" si="1506"/>
        <v>NA</v>
      </c>
      <c r="FR209" s="75">
        <f>AY209+BA209+BC209+BE209</f>
        <v>500</v>
      </c>
      <c r="FS209" s="61">
        <f t="shared" si="1507"/>
        <v>44.50867052023122</v>
      </c>
      <c r="FT209" s="75">
        <f>BG209+BI209+BK209+BM209</f>
        <v>696</v>
      </c>
      <c r="FU209" s="61">
        <f t="shared" si="1508"/>
        <v>39.199999999999989</v>
      </c>
      <c r="FV209" s="75">
        <f>BO209+BQ209+BS209+BU209</f>
        <v>928</v>
      </c>
      <c r="FW209" s="61">
        <f t="shared" si="1509"/>
        <v>33.333333333333329</v>
      </c>
      <c r="FX209" s="75">
        <f>BW209+BY209+CA209+CC209</f>
        <v>830</v>
      </c>
      <c r="FY209" s="61">
        <f t="shared" si="1510"/>
        <v>-10.56034482758621</v>
      </c>
      <c r="FZ209" s="75">
        <f>CE209+CG209+CI209+CK209</f>
        <v>806</v>
      </c>
      <c r="GA209" s="61">
        <f t="shared" si="1511"/>
        <v>-2.8915662650602414</v>
      </c>
      <c r="GB209" s="75">
        <f>CM209+CO209+CQ209+CS209</f>
        <v>720</v>
      </c>
      <c r="GC209" s="61">
        <f t="shared" si="1512"/>
        <v>-10.669975186104219</v>
      </c>
      <c r="GD209" s="75">
        <f>CU209+CW209+CY209+DA209</f>
        <v>864</v>
      </c>
      <c r="GE209" s="61">
        <f t="shared" si="1513"/>
        <v>19.999999999999996</v>
      </c>
      <c r="GF209" s="75">
        <f>DC209+DE209+DG209+DI209</f>
        <v>1249</v>
      </c>
      <c r="GG209" s="61">
        <f t="shared" si="1514"/>
        <v>44.560185185185183</v>
      </c>
      <c r="GH209" s="75">
        <f>DK209+DM209+DO209+DQ209</f>
        <v>1611</v>
      </c>
      <c r="GI209" s="61">
        <f t="shared" si="1514"/>
        <v>28.983186549239392</v>
      </c>
      <c r="GJ209" s="75">
        <f>DS209+DU209+DW209+DY209</f>
        <v>1618</v>
      </c>
      <c r="GK209" s="61">
        <f t="shared" si="1514"/>
        <v>0.4345127250155123</v>
      </c>
      <c r="GL209" s="75">
        <f>EA209+EC209+EE209+EG209</f>
        <v>1621</v>
      </c>
      <c r="GM209" s="61">
        <f t="shared" si="1514"/>
        <v>0.18541409147094789</v>
      </c>
      <c r="GN209" s="75">
        <f>EI209+EK209+EM209+EO209</f>
        <v>1936</v>
      </c>
      <c r="GO209" s="61">
        <f t="shared" si="1514"/>
        <v>19.432449105490445</v>
      </c>
      <c r="GP209" s="75">
        <f>EQ209+ES209+EU209+EW209</f>
        <v>2032.8</v>
      </c>
      <c r="GQ209" s="61">
        <f t="shared" si="1514"/>
        <v>5.0000000000000044</v>
      </c>
      <c r="GR209" s="74">
        <f>GP209*1.06</f>
        <v>2154.768</v>
      </c>
      <c r="GS209" s="61">
        <f t="shared" si="1514"/>
        <v>6.0000000000000053</v>
      </c>
      <c r="GT209" s="74">
        <f>GR209*1.06</f>
        <v>2284.0540800000003</v>
      </c>
      <c r="GU209" s="61">
        <f t="shared" si="1514"/>
        <v>6.0000000000000053</v>
      </c>
      <c r="GV209" s="74">
        <f>GT209*1.06</f>
        <v>2421.0973248000005</v>
      </c>
      <c r="GW209" s="61">
        <f t="shared" si="1514"/>
        <v>6.0000000000000053</v>
      </c>
      <c r="GX209" s="74">
        <f>GV209*1.06</f>
        <v>2566.3631642880005</v>
      </c>
      <c r="GY209" s="61">
        <f t="shared" si="1515"/>
        <v>6.0000000000000053</v>
      </c>
      <c r="GZ209" s="61">
        <f t="shared" si="1440"/>
        <v>5.7992409826209457</v>
      </c>
      <c r="HA209" s="61"/>
      <c r="HB209" s="452"/>
      <c r="HC209"/>
      <c r="HD209"/>
      <c r="HE209"/>
      <c r="HF209"/>
      <c r="HG209"/>
      <c r="HH209"/>
    </row>
    <row r="210" spans="1:216" s="5" customFormat="1" ht="12.75" customHeight="1" x14ac:dyDescent="0.2">
      <c r="B210" s="2" t="s">
        <v>554</v>
      </c>
      <c r="C210" s="72"/>
      <c r="D210" s="70"/>
      <c r="E210" s="72"/>
      <c r="F210" s="71"/>
      <c r="G210" s="74"/>
      <c r="H210" s="71"/>
      <c r="I210" s="74"/>
      <c r="J210" s="61"/>
      <c r="K210" s="74"/>
      <c r="L210" s="61"/>
      <c r="M210" s="72"/>
      <c r="N210" s="61"/>
      <c r="O210" s="74"/>
      <c r="P210" s="61"/>
      <c r="Q210" s="74"/>
      <c r="R210" s="61"/>
      <c r="S210" s="74"/>
      <c r="T210" s="61"/>
      <c r="U210" s="74"/>
      <c r="V210" s="61"/>
      <c r="W210" s="74"/>
      <c r="X210" s="61"/>
      <c r="Y210" s="74"/>
      <c r="Z210" s="61"/>
      <c r="AA210" s="74"/>
      <c r="AB210" s="61"/>
      <c r="AC210" s="74"/>
      <c r="AD210" s="61"/>
      <c r="AE210" s="74"/>
      <c r="AF210" s="61"/>
      <c r="AG210" s="74"/>
      <c r="AH210" s="61"/>
      <c r="AI210" s="74"/>
      <c r="AJ210" s="61"/>
      <c r="AK210" s="74"/>
      <c r="AL210" s="61"/>
      <c r="AM210" s="74"/>
      <c r="AN210" s="61"/>
      <c r="AO210" s="74"/>
      <c r="AP210" s="61"/>
      <c r="AQ210" s="74">
        <v>-44</v>
      </c>
      <c r="AR210" s="61" t="str">
        <f t="shared" si="1451"/>
        <v>NA</v>
      </c>
      <c r="AS210" s="74">
        <v>-41</v>
      </c>
      <c r="AT210" s="61"/>
      <c r="AU210" s="74">
        <v>-41</v>
      </c>
      <c r="AV210" s="61" t="str">
        <f t="shared" si="1452"/>
        <v>NA</v>
      </c>
      <c r="AW210" s="74">
        <v>-36</v>
      </c>
      <c r="AX210" s="61" t="str">
        <f t="shared" si="1453"/>
        <v>NA</v>
      </c>
      <c r="AY210" s="74">
        <v>-49</v>
      </c>
      <c r="AZ210" s="61">
        <f t="shared" si="1454"/>
        <v>11.363636363636353</v>
      </c>
      <c r="BA210" s="74">
        <v>-158</v>
      </c>
      <c r="BB210" s="61" t="str">
        <f t="shared" si="1455"/>
        <v>NM</v>
      </c>
      <c r="BC210" s="74">
        <v>13</v>
      </c>
      <c r="BD210" s="61" t="str">
        <f t="shared" si="1456"/>
        <v>NM</v>
      </c>
      <c r="BE210" s="74">
        <v>-73</v>
      </c>
      <c r="BF210" s="61" t="str">
        <f t="shared" si="1457"/>
        <v>NM</v>
      </c>
      <c r="BG210" s="74">
        <v>-77</v>
      </c>
      <c r="BH210" s="61">
        <f t="shared" si="1458"/>
        <v>57.142857142857139</v>
      </c>
      <c r="BI210" s="74">
        <v>-109</v>
      </c>
      <c r="BJ210" s="61">
        <f t="shared" si="1459"/>
        <v>-31.0126582278481</v>
      </c>
      <c r="BK210" s="74">
        <v>-104</v>
      </c>
      <c r="BL210" s="61" t="str">
        <f t="shared" si="1460"/>
        <v>NM</v>
      </c>
      <c r="BM210" s="74">
        <v>-92</v>
      </c>
      <c r="BN210" s="61">
        <f t="shared" si="1461"/>
        <v>26.027397260273965</v>
      </c>
      <c r="BO210" s="74">
        <v>-83</v>
      </c>
      <c r="BP210" s="61">
        <f t="shared" si="1462"/>
        <v>7.7922077922077948</v>
      </c>
      <c r="BQ210" s="74">
        <v>-108</v>
      </c>
      <c r="BR210" s="61">
        <f t="shared" si="1463"/>
        <v>-0.91743119266054496</v>
      </c>
      <c r="BS210" s="74">
        <v>-86</v>
      </c>
      <c r="BT210" s="61">
        <f t="shared" si="1464"/>
        <v>-17.307692307692314</v>
      </c>
      <c r="BU210" s="74">
        <v>-88</v>
      </c>
      <c r="BV210" s="61">
        <f t="shared" si="1465"/>
        <v>-4.3478260869565188</v>
      </c>
      <c r="BW210" s="74">
        <v>-143</v>
      </c>
      <c r="BX210" s="61">
        <f t="shared" si="1466"/>
        <v>72.289156626506042</v>
      </c>
      <c r="BY210" s="74">
        <v>-89</v>
      </c>
      <c r="BZ210" s="61">
        <f t="shared" si="1467"/>
        <v>-17.592592592592592</v>
      </c>
      <c r="CA210" s="74">
        <v>-95</v>
      </c>
      <c r="CB210" s="61">
        <f t="shared" si="1468"/>
        <v>10.465116279069765</v>
      </c>
      <c r="CC210" s="74">
        <v>-243</v>
      </c>
      <c r="CD210" s="61" t="str">
        <f t="shared" si="1469"/>
        <v>NM</v>
      </c>
      <c r="CE210" s="74">
        <v>-108</v>
      </c>
      <c r="CF210" s="61">
        <f t="shared" si="1470"/>
        <v>-24.47552447552448</v>
      </c>
      <c r="CG210" s="74">
        <v>-99</v>
      </c>
      <c r="CH210" s="61">
        <f t="shared" si="1471"/>
        <v>11.23595505617978</v>
      </c>
      <c r="CI210" s="74">
        <v>-121</v>
      </c>
      <c r="CJ210" s="61">
        <f t="shared" si="1472"/>
        <v>27.368421052631575</v>
      </c>
      <c r="CK210" s="74">
        <v>-166</v>
      </c>
      <c r="CL210" s="61">
        <f t="shared" si="1473"/>
        <v>-31.68724279835391</v>
      </c>
      <c r="CM210" s="74">
        <v>-154</v>
      </c>
      <c r="CN210" s="61">
        <f t="shared" si="1474"/>
        <v>42.592592592592581</v>
      </c>
      <c r="CO210" s="74">
        <v>-110</v>
      </c>
      <c r="CP210" s="61">
        <f t="shared" si="1475"/>
        <v>11.111111111111116</v>
      </c>
      <c r="CQ210" s="74">
        <v>-148</v>
      </c>
      <c r="CR210" s="61">
        <f t="shared" si="1476"/>
        <v>22.314049586776854</v>
      </c>
      <c r="CS210" s="74">
        <v>-207</v>
      </c>
      <c r="CT210" s="61">
        <f t="shared" si="1477"/>
        <v>24.69879518072289</v>
      </c>
      <c r="CU210" s="74">
        <v>-101</v>
      </c>
      <c r="CV210" s="61">
        <f t="shared" si="1478"/>
        <v>-34.415584415584412</v>
      </c>
      <c r="CW210" s="74">
        <v>-93</v>
      </c>
      <c r="CX210" s="61">
        <f t="shared" si="1479"/>
        <v>-15.454545454545453</v>
      </c>
      <c r="CY210" s="74">
        <v>-84</v>
      </c>
      <c r="CZ210" s="61">
        <f t="shared" si="1480"/>
        <v>-43.243243243243242</v>
      </c>
      <c r="DA210" s="74">
        <v>-131</v>
      </c>
      <c r="DB210" s="61">
        <f t="shared" si="1481"/>
        <v>-36.714975845410628</v>
      </c>
      <c r="DC210" s="74">
        <v>-205</v>
      </c>
      <c r="DD210" s="61" t="str">
        <f t="shared" si="1482"/>
        <v>NM</v>
      </c>
      <c r="DE210" s="74">
        <v>-117</v>
      </c>
      <c r="DF210" s="61">
        <f t="shared" si="1483"/>
        <v>25.806451612903224</v>
      </c>
      <c r="DG210" s="74">
        <v>-113</v>
      </c>
      <c r="DH210" s="61">
        <f t="shared" si="1484"/>
        <v>34.523809523809533</v>
      </c>
      <c r="DI210" s="74">
        <v>-125</v>
      </c>
      <c r="DJ210" s="61">
        <f t="shared" si="1485"/>
        <v>-4.5801526717557213</v>
      </c>
      <c r="DK210" s="74">
        <v>-145</v>
      </c>
      <c r="DL210" s="61">
        <f t="shared" si="1486"/>
        <v>-29.268292682926834</v>
      </c>
      <c r="DM210" s="74">
        <v>-136</v>
      </c>
      <c r="DN210" s="130">
        <f t="shared" si="1487"/>
        <v>16.239316239316249</v>
      </c>
      <c r="DO210" s="74">
        <v>-92</v>
      </c>
      <c r="DP210" s="130">
        <f t="shared" si="1487"/>
        <v>-18.584070796460171</v>
      </c>
      <c r="DQ210" s="74">
        <v>-122</v>
      </c>
      <c r="DR210" s="130">
        <f t="shared" si="1487"/>
        <v>-2.4000000000000021</v>
      </c>
      <c r="DS210" s="74">
        <v>-124</v>
      </c>
      <c r="DT210" s="130">
        <f t="shared" si="1487"/>
        <v>-14.482758620689651</v>
      </c>
      <c r="DU210" s="74">
        <v>-116</v>
      </c>
      <c r="DV210" s="130">
        <f t="shared" si="1487"/>
        <v>-14.705882352941179</v>
      </c>
      <c r="DW210" s="74">
        <v>-167</v>
      </c>
      <c r="DX210" s="74">
        <v>-167</v>
      </c>
      <c r="DY210" s="74">
        <v>-164</v>
      </c>
      <c r="DZ210" s="130">
        <f t="shared" si="1487"/>
        <v>34.426229508196712</v>
      </c>
      <c r="EA210" s="74">
        <v>-91</v>
      </c>
      <c r="EB210" s="130">
        <f t="shared" si="1489"/>
        <v>-26.612903225806448</v>
      </c>
      <c r="EC210" s="74">
        <v>-119</v>
      </c>
      <c r="ED210" s="130">
        <f t="shared" si="1490"/>
        <v>2.5862068965517349</v>
      </c>
      <c r="EE210" s="74">
        <v>-118</v>
      </c>
      <c r="EF210" s="130">
        <f t="shared" si="1491"/>
        <v>-29.341317365269461</v>
      </c>
      <c r="EG210" s="74">
        <v>-198</v>
      </c>
      <c r="EH210" s="130">
        <f t="shared" si="1492"/>
        <v>20.731707317073166</v>
      </c>
      <c r="EI210" s="74">
        <v>-87</v>
      </c>
      <c r="EJ210" s="130">
        <f t="shared" si="1493"/>
        <v>-4.3956043956043906</v>
      </c>
      <c r="EK210" s="74">
        <v>-126</v>
      </c>
      <c r="EL210" s="130">
        <f t="shared" si="1494"/>
        <v>5.8823529411764719</v>
      </c>
      <c r="EM210" s="74">
        <v>-88</v>
      </c>
      <c r="EN210" s="130">
        <f t="shared" si="1495"/>
        <v>-25.423728813559322</v>
      </c>
      <c r="EO210" s="74">
        <v>-172</v>
      </c>
      <c r="EP210" s="130">
        <f t="shared" si="1497"/>
        <v>-13.131313131313128</v>
      </c>
      <c r="EQ210" s="75">
        <f t="shared" ref="EQ210:EW210" si="1520">-EQ208*EQ223/400</f>
        <v>-184.45122328894394</v>
      </c>
      <c r="ER210" s="130" t="str">
        <f t="shared" si="1499"/>
        <v>NM</v>
      </c>
      <c r="ES210" s="75">
        <f t="shared" si="1520"/>
        <v>-183.75419954225808</v>
      </c>
      <c r="ET210" s="130">
        <f t="shared" si="1501"/>
        <v>45.836666303379438</v>
      </c>
      <c r="EU210" s="75">
        <f t="shared" si="1520"/>
        <v>-187.33790903410954</v>
      </c>
      <c r="EV210" s="130" t="str">
        <f t="shared" si="1503"/>
        <v>NM</v>
      </c>
      <c r="EW210" s="75">
        <f t="shared" si="1520"/>
        <v>-190.44229560865483</v>
      </c>
      <c r="EX210" s="130">
        <f t="shared" si="1505"/>
        <v>10.722264888752807</v>
      </c>
      <c r="EY210" s="64"/>
      <c r="EZ210" s="558"/>
      <c r="FA210" s="64"/>
      <c r="FB210" s="72"/>
      <c r="FC210" s="71"/>
      <c r="FD210" s="72"/>
      <c r="FE210" s="70"/>
      <c r="FF210" s="69"/>
      <c r="FG210" s="70"/>
      <c r="FH210" s="69"/>
      <c r="FI210" s="70"/>
      <c r="FJ210" s="69"/>
      <c r="FK210" s="70"/>
      <c r="FL210" s="69"/>
      <c r="FM210" s="61"/>
      <c r="FN210" s="69"/>
      <c r="FO210" s="61"/>
      <c r="FP210" s="75">
        <f>AQ210+AS210+AU210+AW210</f>
        <v>-162</v>
      </c>
      <c r="FQ210" s="61" t="str">
        <f t="shared" si="1506"/>
        <v>NA</v>
      </c>
      <c r="FR210" s="75">
        <f>AY210+BA210+BC210+BE210</f>
        <v>-267</v>
      </c>
      <c r="FS210" s="61">
        <f t="shared" si="1507"/>
        <v>64.81481481481481</v>
      </c>
      <c r="FT210" s="75">
        <f>BG210+BI210+BK210+BM210</f>
        <v>-382</v>
      </c>
      <c r="FU210" s="61">
        <f t="shared" si="1508"/>
        <v>43.071161048689135</v>
      </c>
      <c r="FV210" s="75">
        <f>BO210+BQ210+BS210+BU210</f>
        <v>-365</v>
      </c>
      <c r="FW210" s="61">
        <f t="shared" si="1509"/>
        <v>-4.4502617801047144</v>
      </c>
      <c r="FX210" s="75">
        <f>BW210+BY210+CA210+CC210</f>
        <v>-570</v>
      </c>
      <c r="FY210" s="61">
        <f t="shared" si="1510"/>
        <v>56.164383561643838</v>
      </c>
      <c r="FZ210" s="75">
        <f>CE210+CG210+CI210+CK210</f>
        <v>-494</v>
      </c>
      <c r="GA210" s="61">
        <f t="shared" si="1511"/>
        <v>-13.33333333333333</v>
      </c>
      <c r="GB210" s="75">
        <f>CM210+CO210+CQ210+CS210</f>
        <v>-619</v>
      </c>
      <c r="GC210" s="61">
        <f t="shared" si="1512"/>
        <v>25.303643724696357</v>
      </c>
      <c r="GD210" s="75">
        <f>CU210+CW210+CY210+DA210</f>
        <v>-409</v>
      </c>
      <c r="GE210" s="61">
        <f t="shared" si="1513"/>
        <v>-33.925686591276246</v>
      </c>
      <c r="GF210" s="75">
        <f>DC210+DE210+DG210+DI210</f>
        <v>-560</v>
      </c>
      <c r="GG210" s="61">
        <f t="shared" si="1514"/>
        <v>36.919315403422992</v>
      </c>
      <c r="GH210" s="75">
        <f>DK210+DM210+DO210+DQ210</f>
        <v>-495</v>
      </c>
      <c r="GI210" s="61">
        <f t="shared" si="1514"/>
        <v>-11.607142857142861</v>
      </c>
      <c r="GJ210" s="75">
        <f>DS210+DU210+DW210+DY210</f>
        <v>-571</v>
      </c>
      <c r="GK210" s="61">
        <f t="shared" si="1514"/>
        <v>15.353535353535364</v>
      </c>
      <c r="GL210" s="75">
        <f>EA210+EC210+EE210+EG210</f>
        <v>-526</v>
      </c>
      <c r="GM210" s="61">
        <f t="shared" si="1514"/>
        <v>-7.8809106830122548</v>
      </c>
      <c r="GN210" s="75">
        <f>EI210+EK210+EM210+EO210</f>
        <v>-473</v>
      </c>
      <c r="GO210" s="61">
        <f t="shared" si="1514"/>
        <v>-10.076045627376429</v>
      </c>
      <c r="GP210" s="75">
        <f>EQ210+ES210+EU210+EW210</f>
        <v>-745.98562747396636</v>
      </c>
      <c r="GQ210" s="61">
        <f t="shared" si="1514"/>
        <v>57.713663313734955</v>
      </c>
      <c r="GR210" s="75">
        <f>-GR208*GR223/100</f>
        <v>-802.06154488098412</v>
      </c>
      <c r="GS210" s="61">
        <f t="shared" si="1514"/>
        <v>7.5170238328720052</v>
      </c>
      <c r="GT210" s="75">
        <f>-GT208*GT223/100</f>
        <v>-838.2693883209671</v>
      </c>
      <c r="GU210" s="61">
        <f t="shared" si="1514"/>
        <v>4.5143472681208996</v>
      </c>
      <c r="GV210" s="75">
        <f>-GV208*GV223/100</f>
        <v>-878.7573077135844</v>
      </c>
      <c r="GW210" s="61">
        <f t="shared" si="1514"/>
        <v>4.8299413001008595</v>
      </c>
      <c r="GX210" s="75">
        <f>-GX208*GX223/100</f>
        <v>-923.69791329722273</v>
      </c>
      <c r="GY210" s="61">
        <f t="shared" si="1515"/>
        <v>5.114108888672364</v>
      </c>
      <c r="GZ210" s="61">
        <f t="shared" si="1440"/>
        <v>14.323039989082487</v>
      </c>
      <c r="HA210" s="61"/>
      <c r="HB210" s="452"/>
      <c r="HC210"/>
      <c r="HD210"/>
      <c r="HE210"/>
      <c r="HF210"/>
      <c r="HG210"/>
      <c r="HH210"/>
    </row>
    <row r="211" spans="1:216" s="5" customFormat="1" ht="12.75" customHeight="1" x14ac:dyDescent="0.2">
      <c r="B211" s="2" t="s">
        <v>196</v>
      </c>
      <c r="C211" s="72"/>
      <c r="D211" s="70"/>
      <c r="E211" s="72"/>
      <c r="F211" s="71"/>
      <c r="G211" s="74"/>
      <c r="H211" s="71"/>
      <c r="I211" s="74"/>
      <c r="J211" s="71"/>
      <c r="K211" s="74"/>
      <c r="L211" s="61"/>
      <c r="M211" s="72"/>
      <c r="N211" s="61"/>
      <c r="O211" s="74"/>
      <c r="P211" s="61"/>
      <c r="Q211" s="74"/>
      <c r="R211" s="61"/>
      <c r="S211" s="74"/>
      <c r="T211" s="61"/>
      <c r="U211" s="74"/>
      <c r="V211" s="61"/>
      <c r="W211" s="74"/>
      <c r="X211" s="61"/>
      <c r="Y211" s="74"/>
      <c r="Z211" s="61"/>
      <c r="AA211" s="74"/>
      <c r="AB211" s="61"/>
      <c r="AC211" s="74"/>
      <c r="AD211" s="61"/>
      <c r="AE211" s="74"/>
      <c r="AF211" s="61"/>
      <c r="AG211" s="74"/>
      <c r="AH211" s="61"/>
      <c r="AI211" s="74"/>
      <c r="AJ211" s="61"/>
      <c r="AK211" s="74"/>
      <c r="AL211" s="61"/>
      <c r="AM211" s="74"/>
      <c r="AN211" s="61"/>
      <c r="AO211" s="74"/>
      <c r="AP211" s="61"/>
      <c r="AQ211" s="74">
        <v>-42</v>
      </c>
      <c r="AR211" s="61" t="str">
        <f t="shared" si="1451"/>
        <v>NA</v>
      </c>
      <c r="AS211" s="74">
        <v>-42</v>
      </c>
      <c r="AT211" s="61"/>
      <c r="AU211" s="74">
        <v>-43</v>
      </c>
      <c r="AV211" s="61" t="str">
        <f t="shared" si="1452"/>
        <v>NA</v>
      </c>
      <c r="AW211" s="74">
        <v>-44</v>
      </c>
      <c r="AX211" s="61" t="str">
        <f t="shared" si="1453"/>
        <v>NA</v>
      </c>
      <c r="AY211" s="74">
        <v>-44</v>
      </c>
      <c r="AZ211" s="61">
        <f t="shared" si="1454"/>
        <v>4.7619047619047672</v>
      </c>
      <c r="BA211" s="74">
        <v>-77</v>
      </c>
      <c r="BB211" s="61">
        <f t="shared" si="1455"/>
        <v>83.333333333333329</v>
      </c>
      <c r="BC211" s="74">
        <v>-76</v>
      </c>
      <c r="BD211" s="61">
        <f t="shared" si="1456"/>
        <v>76.744186046511629</v>
      </c>
      <c r="BE211" s="74">
        <v>-79</v>
      </c>
      <c r="BF211" s="61">
        <f t="shared" si="1457"/>
        <v>79.545454545454547</v>
      </c>
      <c r="BG211" s="74">
        <v>-79</v>
      </c>
      <c r="BH211" s="61">
        <f t="shared" si="1458"/>
        <v>79.545454545454547</v>
      </c>
      <c r="BI211" s="74">
        <v>-80</v>
      </c>
      <c r="BJ211" s="61">
        <f t="shared" si="1459"/>
        <v>3.8961038961038863</v>
      </c>
      <c r="BK211" s="74">
        <v>-89</v>
      </c>
      <c r="BL211" s="61">
        <f t="shared" si="1460"/>
        <v>17.105263157894733</v>
      </c>
      <c r="BM211" s="74">
        <v>-93</v>
      </c>
      <c r="BN211" s="61">
        <f t="shared" si="1461"/>
        <v>17.721518987341778</v>
      </c>
      <c r="BO211" s="74">
        <v>-95</v>
      </c>
      <c r="BP211" s="61">
        <f t="shared" si="1462"/>
        <v>20.253164556962023</v>
      </c>
      <c r="BQ211" s="74">
        <v>-91</v>
      </c>
      <c r="BR211" s="61">
        <f t="shared" si="1463"/>
        <v>13.749999999999996</v>
      </c>
      <c r="BS211" s="74">
        <v>-92</v>
      </c>
      <c r="BT211" s="61">
        <f t="shared" si="1464"/>
        <v>3.3707865168539408</v>
      </c>
      <c r="BU211" s="74">
        <v>-92</v>
      </c>
      <c r="BV211" s="61">
        <f t="shared" si="1465"/>
        <v>-1.0752688172043001</v>
      </c>
      <c r="BW211" s="74">
        <v>-94</v>
      </c>
      <c r="BX211" s="61">
        <f t="shared" si="1466"/>
        <v>-1.0526315789473717</v>
      </c>
      <c r="BY211" s="74">
        <v>-88</v>
      </c>
      <c r="BZ211" s="61">
        <f t="shared" si="1467"/>
        <v>-3.2967032967032961</v>
      </c>
      <c r="CA211" s="74">
        <v>-91</v>
      </c>
      <c r="CB211" s="61">
        <f t="shared" si="1468"/>
        <v>-1.0869565217391353</v>
      </c>
      <c r="CC211" s="74">
        <v>-92</v>
      </c>
      <c r="CD211" s="61">
        <f t="shared" si="1469"/>
        <v>0</v>
      </c>
      <c r="CE211" s="74">
        <v>-90</v>
      </c>
      <c r="CF211" s="61">
        <f t="shared" si="1470"/>
        <v>-4.2553191489361648</v>
      </c>
      <c r="CG211" s="74">
        <v>-89</v>
      </c>
      <c r="CH211" s="61">
        <f t="shared" si="1471"/>
        <v>1.1363636363636465</v>
      </c>
      <c r="CI211" s="74">
        <v>-90</v>
      </c>
      <c r="CJ211" s="61">
        <f t="shared" si="1472"/>
        <v>-1.098901098901095</v>
      </c>
      <c r="CK211" s="74">
        <v>-92</v>
      </c>
      <c r="CL211" s="61">
        <f t="shared" si="1473"/>
        <v>0</v>
      </c>
      <c r="CM211" s="74">
        <v>-92</v>
      </c>
      <c r="CN211" s="61">
        <f t="shared" si="1474"/>
        <v>2.2222222222222143</v>
      </c>
      <c r="CO211" s="74">
        <v>-91</v>
      </c>
      <c r="CP211" s="61">
        <f t="shared" si="1475"/>
        <v>2.2471910112359605</v>
      </c>
      <c r="CQ211" s="74">
        <v>-93</v>
      </c>
      <c r="CR211" s="61">
        <f t="shared" si="1476"/>
        <v>3.3333333333333437</v>
      </c>
      <c r="CS211" s="74">
        <v>-93</v>
      </c>
      <c r="CT211" s="61">
        <f t="shared" si="1477"/>
        <v>1.0869565217391353</v>
      </c>
      <c r="CU211" s="74">
        <v>-95</v>
      </c>
      <c r="CV211" s="61">
        <f t="shared" si="1478"/>
        <v>3.2608695652173836</v>
      </c>
      <c r="CW211" s="74">
        <v>-88</v>
      </c>
      <c r="CX211" s="61">
        <f t="shared" si="1479"/>
        <v>-3.2967032967032961</v>
      </c>
      <c r="CY211" s="74">
        <v>-104</v>
      </c>
      <c r="CZ211" s="61">
        <f t="shared" si="1480"/>
        <v>11.827956989247301</v>
      </c>
      <c r="DA211" s="74">
        <v>-126</v>
      </c>
      <c r="DB211" s="61">
        <f t="shared" si="1481"/>
        <v>35.483870967741929</v>
      </c>
      <c r="DC211" s="74">
        <v>-85</v>
      </c>
      <c r="DD211" s="61">
        <f t="shared" si="1482"/>
        <v>-10.526315789473683</v>
      </c>
      <c r="DE211" s="74">
        <v>-113</v>
      </c>
      <c r="DF211" s="61">
        <f t="shared" si="1483"/>
        <v>28.409090909090917</v>
      </c>
      <c r="DG211" s="74">
        <v>-104</v>
      </c>
      <c r="DH211" s="61">
        <f t="shared" si="1484"/>
        <v>0</v>
      </c>
      <c r="DI211" s="74">
        <v>-119</v>
      </c>
      <c r="DJ211" s="61">
        <f t="shared" si="1485"/>
        <v>-5.555555555555558</v>
      </c>
      <c r="DK211" s="74">
        <v>-112</v>
      </c>
      <c r="DL211" s="61">
        <f t="shared" si="1486"/>
        <v>31.764705882352938</v>
      </c>
      <c r="DM211" s="74">
        <v>-118</v>
      </c>
      <c r="DN211" s="130">
        <f t="shared" si="1487"/>
        <v>4.4247787610619538</v>
      </c>
      <c r="DO211" s="74">
        <v>-119</v>
      </c>
      <c r="DP211" s="130">
        <f t="shared" si="1487"/>
        <v>14.423076923076916</v>
      </c>
      <c r="DQ211" s="74">
        <v>-128</v>
      </c>
      <c r="DR211" s="130">
        <f t="shared" si="1487"/>
        <v>7.5630252100840289</v>
      </c>
      <c r="DS211" s="74">
        <v>-130</v>
      </c>
      <c r="DT211" s="130">
        <f t="shared" si="1487"/>
        <v>16.07142857142858</v>
      </c>
      <c r="DU211" s="74">
        <v>-127</v>
      </c>
      <c r="DV211" s="130">
        <f t="shared" si="1487"/>
        <v>7.6271186440677985</v>
      </c>
      <c r="DW211" s="74">
        <v>-132</v>
      </c>
      <c r="DX211" s="74">
        <v>-132</v>
      </c>
      <c r="DY211" s="74">
        <v>-143</v>
      </c>
      <c r="DZ211" s="130">
        <f t="shared" si="1487"/>
        <v>11.71875</v>
      </c>
      <c r="EA211" s="74">
        <v>-135</v>
      </c>
      <c r="EB211" s="130">
        <f t="shared" si="1489"/>
        <v>3.8461538461538547</v>
      </c>
      <c r="EC211" s="74">
        <v>-143</v>
      </c>
      <c r="ED211" s="130">
        <f t="shared" si="1490"/>
        <v>12.598425196850393</v>
      </c>
      <c r="EE211" s="74">
        <v>-153</v>
      </c>
      <c r="EF211" s="130">
        <f t="shared" si="1491"/>
        <v>15.909090909090917</v>
      </c>
      <c r="EG211" s="74">
        <v>-158</v>
      </c>
      <c r="EH211" s="130">
        <f t="shared" si="1492"/>
        <v>10.489510489510479</v>
      </c>
      <c r="EI211" s="74">
        <v>-152</v>
      </c>
      <c r="EJ211" s="130">
        <f t="shared" si="1493"/>
        <v>12.592592592592599</v>
      </c>
      <c r="EK211" s="74">
        <v>-165</v>
      </c>
      <c r="EL211" s="130">
        <f t="shared" si="1494"/>
        <v>15.384615384615374</v>
      </c>
      <c r="EM211" s="74">
        <v>-163</v>
      </c>
      <c r="EN211" s="130">
        <f t="shared" si="1495"/>
        <v>6.5359477124182996</v>
      </c>
      <c r="EO211" s="74">
        <v>-174</v>
      </c>
      <c r="EP211" s="130">
        <f t="shared" si="1497"/>
        <v>10.126582278481022</v>
      </c>
      <c r="EQ211" s="74">
        <f t="shared" ref="EQ211" si="1521">EI211*1.02</f>
        <v>-155.04</v>
      </c>
      <c r="ER211" s="130">
        <f t="shared" si="1499"/>
        <v>2.0000000000000018</v>
      </c>
      <c r="ES211" s="74">
        <f t="shared" ref="ES211" si="1522">EK211*1.02</f>
        <v>-168.3</v>
      </c>
      <c r="ET211" s="130">
        <f t="shared" si="1501"/>
        <v>2.0000000000000018</v>
      </c>
      <c r="EU211" s="74">
        <f t="shared" ref="EU211" si="1523">EM211*1.02</f>
        <v>-166.26</v>
      </c>
      <c r="EV211" s="130">
        <f t="shared" si="1503"/>
        <v>2.0000000000000018</v>
      </c>
      <c r="EW211" s="74">
        <f t="shared" ref="EW211" si="1524">EO211*1.02</f>
        <v>-177.48</v>
      </c>
      <c r="EX211" s="130">
        <f t="shared" si="1505"/>
        <v>2.0000000000000018</v>
      </c>
      <c r="EY211" s="64"/>
      <c r="EZ211" s="558"/>
      <c r="FA211" s="64"/>
      <c r="FB211" s="72"/>
      <c r="FC211" s="71"/>
      <c r="FD211" s="72"/>
      <c r="FE211" s="70"/>
      <c r="FF211" s="69"/>
      <c r="FG211" s="70"/>
      <c r="FH211" s="69"/>
      <c r="FI211" s="70"/>
      <c r="FJ211" s="69"/>
      <c r="FK211" s="70"/>
      <c r="FL211" s="69"/>
      <c r="FM211" s="61"/>
      <c r="FN211" s="69"/>
      <c r="FO211" s="61"/>
      <c r="FP211" s="75">
        <f>AQ211+AS211+AU211+AW211</f>
        <v>-171</v>
      </c>
      <c r="FQ211" s="61" t="str">
        <f t="shared" si="1506"/>
        <v>NA</v>
      </c>
      <c r="FR211" s="75">
        <f>AY211+BA211+BC211+BE211</f>
        <v>-276</v>
      </c>
      <c r="FS211" s="61">
        <f t="shared" si="1507"/>
        <v>61.403508771929815</v>
      </c>
      <c r="FT211" s="75">
        <f>BG211+BI211+BK211+BM211</f>
        <v>-341</v>
      </c>
      <c r="FU211" s="61">
        <f t="shared" si="1508"/>
        <v>23.550724637681153</v>
      </c>
      <c r="FV211" s="75">
        <f>BO211+BQ211+BS211+BU211</f>
        <v>-370</v>
      </c>
      <c r="FW211" s="61">
        <f t="shared" si="1509"/>
        <v>8.5043988269794646</v>
      </c>
      <c r="FX211" s="75">
        <f>BW211+BY211+CA211+CC211</f>
        <v>-365</v>
      </c>
      <c r="FY211" s="61">
        <f t="shared" si="1510"/>
        <v>-1.3513513513513487</v>
      </c>
      <c r="FZ211" s="75">
        <f>CE211+CG211+CI211+CK211</f>
        <v>-361</v>
      </c>
      <c r="GA211" s="61">
        <f t="shared" si="1511"/>
        <v>-1.0958904109588996</v>
      </c>
      <c r="GB211" s="75">
        <f>CM211+CO211+CQ211+CS211</f>
        <v>-369</v>
      </c>
      <c r="GC211" s="61">
        <f t="shared" si="1512"/>
        <v>2.2160664819944609</v>
      </c>
      <c r="GD211" s="75">
        <f>CU211+CW211+CY211+DA211</f>
        <v>-413</v>
      </c>
      <c r="GE211" s="61">
        <f t="shared" si="1513"/>
        <v>11.924119241192411</v>
      </c>
      <c r="GF211" s="75">
        <f>DC211+DE211+DG211+DI211</f>
        <v>-421</v>
      </c>
      <c r="GG211" s="61">
        <f t="shared" si="1514"/>
        <v>1.937046004842613</v>
      </c>
      <c r="GH211" s="75">
        <f>DK211+DM211+DO211+DQ211</f>
        <v>-477</v>
      </c>
      <c r="GI211" s="61">
        <f t="shared" si="1514"/>
        <v>13.30166270783848</v>
      </c>
      <c r="GJ211" s="75">
        <f>DS211+DU211+DW211+DY211</f>
        <v>-532</v>
      </c>
      <c r="GK211" s="61">
        <f t="shared" si="1514"/>
        <v>11.530398322851143</v>
      </c>
      <c r="GL211" s="75">
        <f>EA211+EC211+EE211+EG211</f>
        <v>-589</v>
      </c>
      <c r="GM211" s="61">
        <f t="shared" si="1514"/>
        <v>10.714285714285721</v>
      </c>
      <c r="GN211" s="75">
        <f>EI211+EK211+EM211+EO211</f>
        <v>-654</v>
      </c>
      <c r="GO211" s="61">
        <f t="shared" si="1514"/>
        <v>11.035653650254673</v>
      </c>
      <c r="GP211" s="75">
        <f>EQ211+ES211+EU211+EW211</f>
        <v>-667.08</v>
      </c>
      <c r="GQ211" s="61">
        <f t="shared" si="1514"/>
        <v>2.0000000000000018</v>
      </c>
      <c r="GR211" s="74">
        <f>GP211*1.02</f>
        <v>-680.42160000000001</v>
      </c>
      <c r="GS211" s="61">
        <f t="shared" si="1514"/>
        <v>2.0000000000000018</v>
      </c>
      <c r="GT211" s="74">
        <f>GR211*1.02</f>
        <v>-694.03003200000001</v>
      </c>
      <c r="GU211" s="61">
        <f t="shared" si="1514"/>
        <v>2.0000000000000018</v>
      </c>
      <c r="GV211" s="74">
        <f>GT211*1.02</f>
        <v>-707.91063264000002</v>
      </c>
      <c r="GW211" s="61">
        <f t="shared" si="1514"/>
        <v>2.0000000000000018</v>
      </c>
      <c r="GX211" s="74">
        <f>GV211*1.02</f>
        <v>-722.06884529280001</v>
      </c>
      <c r="GY211" s="61">
        <f t="shared" si="1515"/>
        <v>2.0000000000000018</v>
      </c>
      <c r="GZ211" s="61">
        <f t="shared" si="1440"/>
        <v>2.0000000000000018</v>
      </c>
      <c r="HA211" s="61"/>
      <c r="HB211" s="452"/>
      <c r="HC211"/>
      <c r="HD211"/>
      <c r="HE211"/>
      <c r="HF211"/>
      <c r="HG211"/>
      <c r="HH211"/>
    </row>
    <row r="212" spans="1:216" s="5" customFormat="1" ht="12.75" customHeight="1" x14ac:dyDescent="0.2">
      <c r="B212" s="2" t="s">
        <v>197</v>
      </c>
      <c r="C212" s="146"/>
      <c r="D212" s="70"/>
      <c r="E212" s="146"/>
      <c r="F212" s="71"/>
      <c r="G212" s="146"/>
      <c r="H212" s="71"/>
      <c r="I212" s="146"/>
      <c r="J212" s="71"/>
      <c r="K212" s="146"/>
      <c r="L212" s="61"/>
      <c r="M212" s="146"/>
      <c r="N212" s="61"/>
      <c r="O212" s="146"/>
      <c r="P212" s="61"/>
      <c r="Q212" s="146"/>
      <c r="R212" s="61"/>
      <c r="S212" s="146"/>
      <c r="T212" s="61"/>
      <c r="U212" s="146"/>
      <c r="V212" s="61"/>
      <c r="W212" s="146"/>
      <c r="X212" s="61"/>
      <c r="Y212" s="146"/>
      <c r="Z212" s="61"/>
      <c r="AA212" s="146"/>
      <c r="AB212" s="61"/>
      <c r="AC212" s="146"/>
      <c r="AD212" s="61"/>
      <c r="AE212" s="146"/>
      <c r="AF212" s="61"/>
      <c r="AG212" s="146"/>
      <c r="AH212" s="61"/>
      <c r="AI212" s="146"/>
      <c r="AJ212" s="61"/>
      <c r="AK212" s="146"/>
      <c r="AL212" s="61"/>
      <c r="AM212" s="146"/>
      <c r="AN212" s="61"/>
      <c r="AO212" s="146"/>
      <c r="AP212" s="61"/>
      <c r="AQ212" s="146">
        <v>-26</v>
      </c>
      <c r="AR212" s="61" t="str">
        <f t="shared" si="1451"/>
        <v>NA</v>
      </c>
      <c r="AS212" s="146">
        <v>52</v>
      </c>
      <c r="AT212" s="61"/>
      <c r="AU212" s="146">
        <v>103</v>
      </c>
      <c r="AV212" s="61" t="str">
        <f t="shared" si="1452"/>
        <v>NA</v>
      </c>
      <c r="AW212" s="146">
        <v>71</v>
      </c>
      <c r="AX212" s="61" t="str">
        <f t="shared" si="1453"/>
        <v>NA</v>
      </c>
      <c r="AY212" s="146">
        <v>119</v>
      </c>
      <c r="AZ212" s="61" t="str">
        <f t="shared" si="1454"/>
        <v>NM</v>
      </c>
      <c r="BA212" s="146">
        <v>-68</v>
      </c>
      <c r="BB212" s="61" t="str">
        <f t="shared" si="1455"/>
        <v>NM</v>
      </c>
      <c r="BC212" s="146">
        <v>137</v>
      </c>
      <c r="BD212" s="61">
        <f t="shared" si="1456"/>
        <v>33.009708737864088</v>
      </c>
      <c r="BE212" s="146">
        <v>294</v>
      </c>
      <c r="BF212" s="61" t="str">
        <f t="shared" si="1457"/>
        <v>NM</v>
      </c>
      <c r="BG212" s="146">
        <v>95</v>
      </c>
      <c r="BH212" s="61">
        <f t="shared" si="1458"/>
        <v>-20.168067226890752</v>
      </c>
      <c r="BI212" s="146">
        <v>299</v>
      </c>
      <c r="BJ212" s="61" t="str">
        <f t="shared" si="1459"/>
        <v>NM</v>
      </c>
      <c r="BK212" s="146">
        <v>163</v>
      </c>
      <c r="BL212" s="61">
        <f t="shared" si="1460"/>
        <v>18.978102189781019</v>
      </c>
      <c r="BM212" s="146">
        <v>-96</v>
      </c>
      <c r="BN212" s="61" t="str">
        <f t="shared" si="1461"/>
        <v>NM</v>
      </c>
      <c r="BO212" s="146">
        <v>-486</v>
      </c>
      <c r="BP212" s="61" t="str">
        <f t="shared" si="1462"/>
        <v>NM</v>
      </c>
      <c r="BQ212" s="146">
        <v>-9</v>
      </c>
      <c r="BR212" s="61" t="str">
        <f t="shared" si="1463"/>
        <v>NM</v>
      </c>
      <c r="BS212" s="146">
        <v>-596</v>
      </c>
      <c r="BT212" s="61" t="str">
        <f t="shared" si="1464"/>
        <v>NM</v>
      </c>
      <c r="BU212" s="146">
        <v>-891</v>
      </c>
      <c r="BV212" s="61" t="str">
        <f t="shared" si="1465"/>
        <v>NM</v>
      </c>
      <c r="BW212" s="146">
        <v>-265</v>
      </c>
      <c r="BX212" s="61">
        <f t="shared" si="1466"/>
        <v>-45.47325102880658</v>
      </c>
      <c r="BY212" s="146">
        <v>567</v>
      </c>
      <c r="BZ212" s="61" t="str">
        <f t="shared" si="1467"/>
        <v>NM</v>
      </c>
      <c r="CA212" s="146">
        <v>626</v>
      </c>
      <c r="CB212" s="61" t="str">
        <f t="shared" si="1468"/>
        <v>NM</v>
      </c>
      <c r="CC212" s="146">
        <v>213</v>
      </c>
      <c r="CD212" s="61" t="str">
        <f t="shared" si="1469"/>
        <v>NM</v>
      </c>
      <c r="CE212" s="146">
        <v>211</v>
      </c>
      <c r="CF212" s="61" t="str">
        <f t="shared" si="1470"/>
        <v>NM</v>
      </c>
      <c r="CG212" s="146">
        <v>-404</v>
      </c>
      <c r="CH212" s="61" t="str">
        <f t="shared" si="1471"/>
        <v>NM</v>
      </c>
      <c r="CI212" s="146">
        <v>499</v>
      </c>
      <c r="CJ212" s="61">
        <f t="shared" si="1472"/>
        <v>-20.287539936102238</v>
      </c>
      <c r="CK212" s="146">
        <v>418</v>
      </c>
      <c r="CL212" s="61">
        <f t="shared" si="1473"/>
        <v>96.244131455399057</v>
      </c>
      <c r="CM212" s="146">
        <v>270</v>
      </c>
      <c r="CN212" s="61">
        <f t="shared" si="1474"/>
        <v>27.96208530805686</v>
      </c>
      <c r="CO212" s="146">
        <v>39</v>
      </c>
      <c r="CP212" s="61" t="str">
        <f t="shared" si="1475"/>
        <v>NM</v>
      </c>
      <c r="CQ212" s="146">
        <v>-719</v>
      </c>
      <c r="CR212" s="61" t="str">
        <f t="shared" si="1476"/>
        <v>NM</v>
      </c>
      <c r="CS212" s="146">
        <v>403</v>
      </c>
      <c r="CT212" s="61">
        <f t="shared" si="1477"/>
        <v>-3.5885167464114853</v>
      </c>
      <c r="CU212" s="146">
        <v>543</v>
      </c>
      <c r="CV212" s="61" t="str">
        <f t="shared" si="1478"/>
        <v>NM</v>
      </c>
      <c r="CW212" s="146">
        <v>-163</v>
      </c>
      <c r="CX212" s="61" t="str">
        <f t="shared" si="1479"/>
        <v>NM</v>
      </c>
      <c r="CY212" s="146">
        <v>310</v>
      </c>
      <c r="CZ212" s="61" t="str">
        <f t="shared" si="1480"/>
        <v>NM</v>
      </c>
      <c r="DA212" s="146">
        <v>104</v>
      </c>
      <c r="DB212" s="61" t="str">
        <f t="shared" si="1481"/>
        <v>NM</v>
      </c>
      <c r="DC212" s="146">
        <v>384</v>
      </c>
      <c r="DD212" s="61">
        <f t="shared" si="1482"/>
        <v>-29.281767955801108</v>
      </c>
      <c r="DE212" s="146">
        <v>56</v>
      </c>
      <c r="DF212" s="61" t="str">
        <f t="shared" si="1483"/>
        <v>NM</v>
      </c>
      <c r="DG212" s="146">
        <v>406</v>
      </c>
      <c r="DH212" s="61">
        <f t="shared" si="1484"/>
        <v>30.967741935483861</v>
      </c>
      <c r="DI212" s="146">
        <v>457</v>
      </c>
      <c r="DJ212" s="61" t="str">
        <f t="shared" si="1485"/>
        <v>NM</v>
      </c>
      <c r="DK212" s="146">
        <v>120</v>
      </c>
      <c r="DL212" s="61" t="str">
        <f t="shared" si="1486"/>
        <v>NM</v>
      </c>
      <c r="DM212" s="146">
        <v>324</v>
      </c>
      <c r="DN212" s="130" t="str">
        <f t="shared" si="1487"/>
        <v>NM</v>
      </c>
      <c r="DO212" s="146">
        <v>-128</v>
      </c>
      <c r="DP212" s="130" t="str">
        <f t="shared" si="1487"/>
        <v>NM</v>
      </c>
      <c r="DQ212" s="146">
        <v>214</v>
      </c>
      <c r="DR212" s="130" t="str">
        <f t="shared" si="1487"/>
        <v>NM</v>
      </c>
      <c r="DS212" s="146">
        <v>236</v>
      </c>
      <c r="DT212" s="130">
        <f t="shared" si="1487"/>
        <v>96.666666666666657</v>
      </c>
      <c r="DU212" s="146">
        <v>-6</v>
      </c>
      <c r="DV212" s="130" t="str">
        <f t="shared" si="1487"/>
        <v>NM</v>
      </c>
      <c r="DW212" s="146">
        <v>-642</v>
      </c>
      <c r="DX212" s="146">
        <v>-642</v>
      </c>
      <c r="DY212" s="146">
        <v>330</v>
      </c>
      <c r="DZ212" s="130">
        <f t="shared" si="1487"/>
        <v>54.205607476635521</v>
      </c>
      <c r="EA212" s="146">
        <v>67</v>
      </c>
      <c r="EB212" s="130" t="str">
        <f t="shared" si="1489"/>
        <v>NM</v>
      </c>
      <c r="EC212" s="146">
        <v>205</v>
      </c>
      <c r="ED212" s="130" t="str">
        <f t="shared" si="1490"/>
        <v>NM</v>
      </c>
      <c r="EE212" s="146">
        <v>422</v>
      </c>
      <c r="EF212" s="130" t="str">
        <f t="shared" si="1491"/>
        <v>NM</v>
      </c>
      <c r="EG212" s="146">
        <v>162</v>
      </c>
      <c r="EH212" s="130" t="str">
        <f t="shared" si="1492"/>
        <v>NM</v>
      </c>
      <c r="EI212" s="146">
        <v>581</v>
      </c>
      <c r="EJ212" s="130" t="str">
        <f t="shared" si="1493"/>
        <v>NM</v>
      </c>
      <c r="EK212" s="146">
        <v>387</v>
      </c>
      <c r="EL212" s="130">
        <f t="shared" si="1494"/>
        <v>88.780487804878035</v>
      </c>
      <c r="EM212" s="146">
        <v>479</v>
      </c>
      <c r="EN212" s="130">
        <f t="shared" si="1495"/>
        <v>13.507109004739327</v>
      </c>
      <c r="EO212" s="146">
        <v>537</v>
      </c>
      <c r="EP212" s="130" t="str">
        <f t="shared" si="1497"/>
        <v>NM</v>
      </c>
      <c r="EQ212" s="73">
        <f t="shared" ref="EQ212:EW212" si="1525">EQ208*(EQ225/100*EQ$23/100)</f>
        <v>-103.45039713079262</v>
      </c>
      <c r="ER212" s="130" t="str">
        <f t="shared" si="1499"/>
        <v>NM</v>
      </c>
      <c r="ES212" s="73">
        <f t="shared" si="1525"/>
        <v>171.76577975594034</v>
      </c>
      <c r="ET212" s="130" t="str">
        <f t="shared" si="1501"/>
        <v>NM</v>
      </c>
      <c r="EU212" s="73">
        <f t="shared" si="1525"/>
        <v>175.11568227147478</v>
      </c>
      <c r="EV212" s="130" t="str">
        <f t="shared" si="1503"/>
        <v>NM</v>
      </c>
      <c r="EW212" s="73">
        <f t="shared" si="1525"/>
        <v>178.01753366844392</v>
      </c>
      <c r="EX212" s="130" t="str">
        <f t="shared" si="1505"/>
        <v>NM</v>
      </c>
      <c r="EY212" s="64"/>
      <c r="EZ212" s="558"/>
      <c r="FA212" s="64"/>
      <c r="FB212" s="72"/>
      <c r="FC212" s="71"/>
      <c r="FD212" s="72"/>
      <c r="FE212" s="70"/>
      <c r="FF212" s="150"/>
      <c r="FG212" s="70"/>
      <c r="FH212" s="150"/>
      <c r="FI212" s="70"/>
      <c r="FJ212" s="150"/>
      <c r="FK212" s="70"/>
      <c r="FL212" s="69"/>
      <c r="FM212" s="61"/>
      <c r="FN212" s="69"/>
      <c r="FO212" s="61"/>
      <c r="FP212" s="153">
        <f>AQ212+AS212+AU212+AW212</f>
        <v>200</v>
      </c>
      <c r="FQ212" s="61" t="str">
        <f t="shared" si="1506"/>
        <v>NA</v>
      </c>
      <c r="FR212" s="153">
        <f>AY212+BA212+BC212+BE212</f>
        <v>482</v>
      </c>
      <c r="FS212" s="61" t="str">
        <f t="shared" si="1507"/>
        <v>NM</v>
      </c>
      <c r="FT212" s="153">
        <f>BG212+BI212+BK212+BM212</f>
        <v>461</v>
      </c>
      <c r="FU212" s="61">
        <f t="shared" si="1508"/>
        <v>-4.3568464730290408</v>
      </c>
      <c r="FV212" s="153">
        <f>BO212+BQ212+BS212+BU212</f>
        <v>-1982</v>
      </c>
      <c r="FW212" s="61" t="str">
        <f t="shared" si="1509"/>
        <v>NM</v>
      </c>
      <c r="FX212" s="75">
        <f>BW212+BY212+CA212+CC212</f>
        <v>1141</v>
      </c>
      <c r="FY212" s="61" t="str">
        <f t="shared" si="1510"/>
        <v>NM</v>
      </c>
      <c r="FZ212" s="75">
        <f>CE212+CG212+CI212+CK212</f>
        <v>724</v>
      </c>
      <c r="GA212" s="61">
        <f t="shared" si="1511"/>
        <v>-36.546888694127958</v>
      </c>
      <c r="GB212" s="75">
        <f>CM212+CO212+CQ212+CS212</f>
        <v>-7</v>
      </c>
      <c r="GC212" s="61" t="str">
        <f t="shared" si="1512"/>
        <v>NM</v>
      </c>
      <c r="GD212" s="75">
        <f>CU212+CW212+CY212+DA212</f>
        <v>794</v>
      </c>
      <c r="GE212" s="61" t="str">
        <f t="shared" si="1513"/>
        <v>NM</v>
      </c>
      <c r="GF212" s="75">
        <f>DC212+DE212+DG212+DI212</f>
        <v>1303</v>
      </c>
      <c r="GG212" s="61">
        <f t="shared" si="1514"/>
        <v>64.105793450881606</v>
      </c>
      <c r="GH212" s="75">
        <f>DK212+DM212+DO212+DQ212</f>
        <v>530</v>
      </c>
      <c r="GI212" s="61" t="str">
        <f t="shared" si="1514"/>
        <v>NM</v>
      </c>
      <c r="GJ212" s="75">
        <f>DS212+DU212+DW212+DY212</f>
        <v>-82</v>
      </c>
      <c r="GK212" s="61" t="str">
        <f t="shared" si="1514"/>
        <v>NM</v>
      </c>
      <c r="GL212" s="75">
        <f>EA212+EC212+EE212+EG212</f>
        <v>856</v>
      </c>
      <c r="GM212" s="61" t="str">
        <f t="shared" si="1514"/>
        <v>NM</v>
      </c>
      <c r="GN212" s="75">
        <f>EI212+EK212+EM212+EO212</f>
        <v>1984</v>
      </c>
      <c r="GO212" s="61" t="str">
        <f t="shared" si="1514"/>
        <v>NM</v>
      </c>
      <c r="GP212" s="75">
        <f>EQ212+ES212+EU212+EW212</f>
        <v>421.44859856506639</v>
      </c>
      <c r="GQ212" s="61" t="str">
        <f t="shared" si="1514"/>
        <v>NM</v>
      </c>
      <c r="GR212" s="73">
        <f>GR208*(GR225/100*GR$23/100)</f>
        <v>0</v>
      </c>
      <c r="GS212" s="61" t="str">
        <f t="shared" si="1514"/>
        <v>NM</v>
      </c>
      <c r="GT212" s="73">
        <f>GT208*(GT225/100*GT$23/100)</f>
        <v>0</v>
      </c>
      <c r="GU212" s="61" t="str">
        <f t="shared" si="1514"/>
        <v>NA</v>
      </c>
      <c r="GV212" s="73">
        <f>GV208*(GV225/100*GV$23/100)</f>
        <v>0</v>
      </c>
      <c r="GW212" s="61" t="str">
        <f t="shared" si="1514"/>
        <v>NA</v>
      </c>
      <c r="GX212" s="73">
        <f>GX208*(GX225/100*GX$23/100)</f>
        <v>0</v>
      </c>
      <c r="GY212" s="61" t="str">
        <f t="shared" si="1515"/>
        <v>NA</v>
      </c>
      <c r="GZ212" s="61" t="str">
        <f t="shared" si="1440"/>
        <v>NM</v>
      </c>
      <c r="HA212" s="61"/>
      <c r="HB212" s="452"/>
      <c r="HC212"/>
      <c r="HD212"/>
      <c r="HE212"/>
      <c r="HF212"/>
      <c r="HG212"/>
      <c r="HH212"/>
    </row>
    <row r="213" spans="1:216" s="5" customFormat="1" ht="12.75" customHeight="1" x14ac:dyDescent="0.2">
      <c r="B213" s="2" t="s">
        <v>577</v>
      </c>
      <c r="C213" s="146"/>
      <c r="D213" s="70"/>
      <c r="E213" s="146"/>
      <c r="F213" s="71"/>
      <c r="G213" s="146"/>
      <c r="H213" s="71"/>
      <c r="I213" s="146"/>
      <c r="J213" s="71"/>
      <c r="K213" s="146"/>
      <c r="L213" s="61"/>
      <c r="M213" s="146"/>
      <c r="N213" s="61"/>
      <c r="O213" s="146"/>
      <c r="P213" s="61"/>
      <c r="Q213" s="146"/>
      <c r="R213" s="61"/>
      <c r="S213" s="146"/>
      <c r="T213" s="61"/>
      <c r="U213" s="146"/>
      <c r="V213" s="61"/>
      <c r="W213" s="146"/>
      <c r="X213" s="61"/>
      <c r="Y213" s="146"/>
      <c r="Z213" s="61"/>
      <c r="AA213" s="146"/>
      <c r="AB213" s="61"/>
      <c r="AC213" s="146"/>
      <c r="AD213" s="61"/>
      <c r="AE213" s="146"/>
      <c r="AF213" s="61"/>
      <c r="AG213" s="146"/>
      <c r="AH213" s="61"/>
      <c r="AI213" s="146"/>
      <c r="AJ213" s="61"/>
      <c r="AK213" s="146"/>
      <c r="AL213" s="61"/>
      <c r="AM213" s="146"/>
      <c r="AN213" s="61"/>
      <c r="AO213" s="146"/>
      <c r="AP213" s="61"/>
      <c r="AQ213" s="146"/>
      <c r="AR213" s="61"/>
      <c r="AS213" s="146"/>
      <c r="AT213" s="61"/>
      <c r="AU213" s="146"/>
      <c r="AV213" s="61" t="str">
        <f t="shared" si="1452"/>
        <v>NA</v>
      </c>
      <c r="AW213" s="146"/>
      <c r="AX213" s="61" t="str">
        <f t="shared" si="1453"/>
        <v>NA</v>
      </c>
      <c r="AY213" s="74"/>
      <c r="AZ213" s="61" t="str">
        <f t="shared" si="1454"/>
        <v>NA</v>
      </c>
      <c r="BA213" s="146">
        <v>1918</v>
      </c>
      <c r="BB213" s="61" t="str">
        <f t="shared" si="1455"/>
        <v>NA</v>
      </c>
      <c r="BC213" s="146">
        <v>1</v>
      </c>
      <c r="BD213" s="61" t="str">
        <f t="shared" si="1456"/>
        <v>NA</v>
      </c>
      <c r="BE213" s="74">
        <v>0</v>
      </c>
      <c r="BF213" s="61" t="str">
        <f t="shared" si="1457"/>
        <v>NA</v>
      </c>
      <c r="BG213" s="74">
        <v>0</v>
      </c>
      <c r="BH213" s="61" t="str">
        <f t="shared" si="1458"/>
        <v>NA</v>
      </c>
      <c r="BI213" s="74">
        <v>0</v>
      </c>
      <c r="BJ213" s="61" t="str">
        <f t="shared" si="1459"/>
        <v>NM</v>
      </c>
      <c r="BK213" s="74">
        <v>0</v>
      </c>
      <c r="BL213" s="61" t="str">
        <f t="shared" si="1460"/>
        <v>NM</v>
      </c>
      <c r="BM213" s="74">
        <v>0</v>
      </c>
      <c r="BN213" s="61" t="str">
        <f t="shared" si="1461"/>
        <v>NA</v>
      </c>
      <c r="BO213" s="74">
        <v>0</v>
      </c>
      <c r="BP213" s="61" t="str">
        <f t="shared" si="1462"/>
        <v>NA</v>
      </c>
      <c r="BQ213" s="74">
        <v>0</v>
      </c>
      <c r="BR213" s="61" t="str">
        <f t="shared" si="1463"/>
        <v>NA</v>
      </c>
      <c r="BS213" s="74">
        <v>0</v>
      </c>
      <c r="BT213" s="61" t="str">
        <f t="shared" si="1464"/>
        <v>NA</v>
      </c>
      <c r="BU213" s="74">
        <v>0</v>
      </c>
      <c r="BV213" s="61" t="str">
        <f t="shared" si="1465"/>
        <v>NA</v>
      </c>
      <c r="BW213" s="74">
        <v>0</v>
      </c>
      <c r="BX213" s="61" t="str">
        <f t="shared" si="1466"/>
        <v>NA</v>
      </c>
      <c r="BY213" s="74">
        <v>0</v>
      </c>
      <c r="BZ213" s="61" t="str">
        <f t="shared" si="1467"/>
        <v>NA</v>
      </c>
      <c r="CA213" s="74">
        <v>0</v>
      </c>
      <c r="CB213" s="61" t="str">
        <f t="shared" si="1468"/>
        <v>NA</v>
      </c>
      <c r="CC213" s="74">
        <v>0</v>
      </c>
      <c r="CD213" s="61" t="str">
        <f t="shared" si="1469"/>
        <v>NA</v>
      </c>
      <c r="CE213" s="74">
        <v>0</v>
      </c>
      <c r="CF213" s="61" t="str">
        <f t="shared" si="1470"/>
        <v>NA</v>
      </c>
      <c r="CG213" s="74">
        <v>0</v>
      </c>
      <c r="CH213" s="61" t="str">
        <f t="shared" si="1471"/>
        <v>NA</v>
      </c>
      <c r="CI213" s="74">
        <v>0</v>
      </c>
      <c r="CJ213" s="61" t="str">
        <f t="shared" si="1472"/>
        <v>NA</v>
      </c>
      <c r="CK213" s="74">
        <v>0</v>
      </c>
      <c r="CL213" s="61" t="str">
        <f t="shared" si="1473"/>
        <v>NA</v>
      </c>
      <c r="CM213" s="74">
        <v>0</v>
      </c>
      <c r="CN213" s="61" t="str">
        <f t="shared" si="1474"/>
        <v>NA</v>
      </c>
      <c r="CO213" s="74">
        <v>0</v>
      </c>
      <c r="CP213" s="61" t="str">
        <f t="shared" si="1475"/>
        <v>NA</v>
      </c>
      <c r="CQ213" s="74">
        <v>0</v>
      </c>
      <c r="CR213" s="61" t="str">
        <f t="shared" si="1476"/>
        <v>NA</v>
      </c>
      <c r="CS213" s="74">
        <v>0</v>
      </c>
      <c r="CT213" s="61" t="str">
        <f t="shared" si="1477"/>
        <v>NA</v>
      </c>
      <c r="CU213" s="74">
        <v>0</v>
      </c>
      <c r="CV213" s="61" t="str">
        <f t="shared" si="1478"/>
        <v>NA</v>
      </c>
      <c r="CW213" s="74">
        <v>0</v>
      </c>
      <c r="CX213" s="61" t="str">
        <f t="shared" si="1479"/>
        <v>NA</v>
      </c>
      <c r="CY213" s="74">
        <v>0</v>
      </c>
      <c r="CZ213" s="61" t="str">
        <f t="shared" si="1480"/>
        <v>NA</v>
      </c>
      <c r="DA213" s="74">
        <v>0</v>
      </c>
      <c r="DB213" s="61" t="str">
        <f t="shared" si="1481"/>
        <v>NA</v>
      </c>
      <c r="DC213" s="74">
        <v>0</v>
      </c>
      <c r="DD213" s="61" t="str">
        <f t="shared" si="1482"/>
        <v>NA</v>
      </c>
      <c r="DE213" s="74">
        <v>0</v>
      </c>
      <c r="DF213" s="61" t="str">
        <f t="shared" si="1483"/>
        <v>NA</v>
      </c>
      <c r="DG213" s="74">
        <v>0</v>
      </c>
      <c r="DH213" s="61" t="str">
        <f t="shared" si="1484"/>
        <v>NA</v>
      </c>
      <c r="DI213" s="74">
        <v>0</v>
      </c>
      <c r="DJ213" s="61" t="str">
        <f t="shared" si="1485"/>
        <v>NA</v>
      </c>
      <c r="DK213" s="74">
        <v>0</v>
      </c>
      <c r="DL213" s="61" t="str">
        <f t="shared" si="1486"/>
        <v>NA</v>
      </c>
      <c r="DM213" s="74">
        <v>0</v>
      </c>
      <c r="DN213" s="130" t="str">
        <f t="shared" si="1487"/>
        <v>NA</v>
      </c>
      <c r="DO213" s="74">
        <v>0</v>
      </c>
      <c r="DP213" s="130" t="str">
        <f t="shared" si="1487"/>
        <v>NA</v>
      </c>
      <c r="DQ213" s="74">
        <v>0</v>
      </c>
      <c r="DR213" s="130" t="str">
        <f t="shared" si="1487"/>
        <v>NA</v>
      </c>
      <c r="DS213" s="74">
        <v>0</v>
      </c>
      <c r="DT213" s="130" t="str">
        <f t="shared" si="1487"/>
        <v>NA</v>
      </c>
      <c r="DU213" s="74">
        <v>0</v>
      </c>
      <c r="DV213" s="130" t="str">
        <f t="shared" si="1487"/>
        <v>NA</v>
      </c>
      <c r="DW213" s="74">
        <v>0</v>
      </c>
      <c r="DX213" s="74">
        <v>0</v>
      </c>
      <c r="DY213" s="74">
        <v>0</v>
      </c>
      <c r="DZ213" s="130" t="str">
        <f t="shared" si="1487"/>
        <v>NA</v>
      </c>
      <c r="EA213" s="74">
        <v>0</v>
      </c>
      <c r="EB213" s="130" t="str">
        <f t="shared" si="1489"/>
        <v>NA</v>
      </c>
      <c r="EC213" s="74">
        <v>0</v>
      </c>
      <c r="ED213" s="130" t="str">
        <f t="shared" si="1490"/>
        <v>NA</v>
      </c>
      <c r="EE213" s="74">
        <v>0</v>
      </c>
      <c r="EF213" s="130" t="str">
        <f t="shared" si="1491"/>
        <v>NA</v>
      </c>
      <c r="EG213" s="74">
        <v>0</v>
      </c>
      <c r="EH213" s="130" t="str">
        <f t="shared" si="1492"/>
        <v>NA</v>
      </c>
      <c r="EI213" s="74">
        <v>0</v>
      </c>
      <c r="EJ213" s="130" t="str">
        <f t="shared" si="1493"/>
        <v>NA</v>
      </c>
      <c r="EK213" s="74">
        <v>0</v>
      </c>
      <c r="EL213" s="130" t="str">
        <f t="shared" si="1494"/>
        <v>NA</v>
      </c>
      <c r="EM213" s="74">
        <v>0</v>
      </c>
      <c r="EN213" s="130" t="str">
        <f t="shared" si="1495"/>
        <v>NA</v>
      </c>
      <c r="EO213" s="74">
        <v>0</v>
      </c>
      <c r="EP213" s="130" t="str">
        <f t="shared" si="1497"/>
        <v>NA</v>
      </c>
      <c r="EQ213" s="74">
        <v>0</v>
      </c>
      <c r="ER213" s="130" t="str">
        <f t="shared" si="1499"/>
        <v>NA</v>
      </c>
      <c r="ES213" s="74">
        <v>0</v>
      </c>
      <c r="ET213" s="130" t="str">
        <f t="shared" si="1501"/>
        <v>NA</v>
      </c>
      <c r="EU213" s="74">
        <v>0</v>
      </c>
      <c r="EV213" s="130" t="str">
        <f t="shared" si="1503"/>
        <v>NA</v>
      </c>
      <c r="EW213" s="74">
        <v>0</v>
      </c>
      <c r="EX213" s="130" t="str">
        <f t="shared" si="1505"/>
        <v>NA</v>
      </c>
      <c r="EY213" s="64"/>
      <c r="EZ213" s="558"/>
      <c r="FA213" s="64"/>
      <c r="FB213" s="72"/>
      <c r="FC213" s="71"/>
      <c r="FD213" s="72"/>
      <c r="FE213" s="70"/>
      <c r="FF213" s="150"/>
      <c r="FG213" s="70"/>
      <c r="FH213" s="150"/>
      <c r="FI213" s="70"/>
      <c r="FJ213" s="150"/>
      <c r="FK213" s="70"/>
      <c r="FL213" s="69"/>
      <c r="FM213" s="61"/>
      <c r="FN213" s="69"/>
      <c r="FO213" s="61"/>
      <c r="FP213" s="153"/>
      <c r="FQ213" s="61"/>
      <c r="FR213" s="153">
        <f>AY213+BA213+BC213+BE213</f>
        <v>1919</v>
      </c>
      <c r="FS213" s="61" t="str">
        <f t="shared" si="1507"/>
        <v>NA</v>
      </c>
      <c r="FT213" s="75">
        <f>BG213+BI213+BK213+BM213</f>
        <v>0</v>
      </c>
      <c r="FU213" s="61" t="str">
        <f t="shared" si="1508"/>
        <v>NM</v>
      </c>
      <c r="FV213" s="75">
        <f>BO213+BQ213+BS213+BU213</f>
        <v>0</v>
      </c>
      <c r="FW213" s="61" t="str">
        <f t="shared" si="1509"/>
        <v>NA</v>
      </c>
      <c r="FX213" s="75">
        <f>BW213+BY213+CA213+CC213</f>
        <v>0</v>
      </c>
      <c r="FY213" s="61" t="str">
        <f t="shared" si="1510"/>
        <v>NA</v>
      </c>
      <c r="FZ213" s="75">
        <f>CE213+CG213+CI213+CK213</f>
        <v>0</v>
      </c>
      <c r="GA213" s="61" t="str">
        <f t="shared" si="1511"/>
        <v>NA</v>
      </c>
      <c r="GB213" s="75">
        <f>CM213+CO213+CQ213+CS213</f>
        <v>0</v>
      </c>
      <c r="GC213" s="61" t="str">
        <f t="shared" si="1512"/>
        <v>NA</v>
      </c>
      <c r="GD213" s="75">
        <f>CU213+CW213+CY213+DA213</f>
        <v>0</v>
      </c>
      <c r="GE213" s="61" t="str">
        <f t="shared" si="1513"/>
        <v>NA</v>
      </c>
      <c r="GF213" s="75">
        <f>DC213+DE213+DG213+DI213</f>
        <v>0</v>
      </c>
      <c r="GG213" s="61" t="str">
        <f t="shared" si="1514"/>
        <v>NA</v>
      </c>
      <c r="GH213" s="75">
        <f>DK213+DM213+DO213+DQ213</f>
        <v>0</v>
      </c>
      <c r="GI213" s="61" t="str">
        <f t="shared" si="1514"/>
        <v>NA</v>
      </c>
      <c r="GJ213" s="75">
        <f>DS213+DU213+DW213+DY213</f>
        <v>0</v>
      </c>
      <c r="GK213" s="61" t="str">
        <f t="shared" si="1514"/>
        <v>NA</v>
      </c>
      <c r="GL213" s="75">
        <f>EA213+EC213+EE213+EG213</f>
        <v>0</v>
      </c>
      <c r="GM213" s="61" t="str">
        <f t="shared" si="1514"/>
        <v>NA</v>
      </c>
      <c r="GN213" s="75">
        <f>EI213+EK213+EM213+EO213</f>
        <v>0</v>
      </c>
      <c r="GO213" s="61" t="str">
        <f t="shared" si="1514"/>
        <v>NA</v>
      </c>
      <c r="GP213" s="75">
        <f>EQ213+ES213+EU213+EW213</f>
        <v>0</v>
      </c>
      <c r="GQ213" s="61" t="str">
        <f t="shared" si="1514"/>
        <v>NA</v>
      </c>
      <c r="GR213" s="74">
        <v>0</v>
      </c>
      <c r="GS213" s="61" t="str">
        <f t="shared" si="1514"/>
        <v>NA</v>
      </c>
      <c r="GT213" s="74">
        <v>0</v>
      </c>
      <c r="GU213" s="61" t="str">
        <f t="shared" si="1514"/>
        <v>NA</v>
      </c>
      <c r="GV213" s="74">
        <v>0</v>
      </c>
      <c r="GW213" s="61" t="str">
        <f t="shared" si="1514"/>
        <v>NA</v>
      </c>
      <c r="GX213" s="74">
        <v>0</v>
      </c>
      <c r="GY213" s="61" t="str">
        <f t="shared" si="1515"/>
        <v>NA</v>
      </c>
      <c r="GZ213" s="61" t="str">
        <f t="shared" si="1440"/>
        <v/>
      </c>
      <c r="HA213" s="61"/>
      <c r="HB213" s="452"/>
      <c r="HC213"/>
      <c r="HD213"/>
      <c r="HE213"/>
      <c r="HF213"/>
      <c r="HG213"/>
      <c r="HH213"/>
    </row>
    <row r="214" spans="1:216" s="5" customFormat="1" ht="12.75" customHeight="1" x14ac:dyDescent="0.2">
      <c r="B214" s="2" t="s">
        <v>585</v>
      </c>
      <c r="C214" s="69"/>
      <c r="D214" s="70"/>
      <c r="E214" s="69"/>
      <c r="F214" s="71"/>
      <c r="G214" s="69"/>
      <c r="H214" s="71"/>
      <c r="I214" s="69"/>
      <c r="J214" s="61"/>
      <c r="K214" s="69"/>
      <c r="L214" s="61"/>
      <c r="M214" s="69"/>
      <c r="N214" s="61"/>
      <c r="O214" s="69"/>
      <c r="P214" s="61"/>
      <c r="Q214" s="69"/>
      <c r="R214" s="61"/>
      <c r="S214" s="69"/>
      <c r="T214" s="61"/>
      <c r="U214" s="69"/>
      <c r="V214" s="61"/>
      <c r="W214" s="69"/>
      <c r="X214" s="61"/>
      <c r="Y214" s="69"/>
      <c r="Z214" s="61"/>
      <c r="AA214" s="69"/>
      <c r="AB214" s="61"/>
      <c r="AC214" s="69"/>
      <c r="AD214" s="61"/>
      <c r="AE214" s="69"/>
      <c r="AF214" s="61"/>
      <c r="AG214" s="69"/>
      <c r="AH214" s="61"/>
      <c r="AI214" s="69"/>
      <c r="AJ214" s="61"/>
      <c r="AK214" s="69"/>
      <c r="AL214" s="61"/>
      <c r="AM214" s="69"/>
      <c r="AN214" s="61"/>
      <c r="AO214" s="69"/>
      <c r="AP214" s="61"/>
      <c r="AQ214" s="69">
        <f>+AQ212+AQ210+AQ211+AQ209+AQ208+AQ213+0.5</f>
        <v>2002.5</v>
      </c>
      <c r="AR214" s="61" t="str">
        <f t="shared" si="1451"/>
        <v>NA</v>
      </c>
      <c r="AS214" s="69">
        <f>+AS212+AS210+AS211+AS209+AS208+AS213</f>
        <v>2052.5</v>
      </c>
      <c r="AT214" s="61" t="str">
        <f>IF(ISERROR((AS214/AK214-1)*100),"NA",IF(((AS214/AK214-1)*100)&gt;100,"NM",IF(((AS214/AK214-1)*100)&lt;-50,"NM",(AS214/AK214-1)*100)))</f>
        <v>NA</v>
      </c>
      <c r="AU214" s="69">
        <f>+AU212+AU210+AU211+AU209+AU208+AU213</f>
        <v>2153.5</v>
      </c>
      <c r="AV214" s="61" t="str">
        <f t="shared" si="1452"/>
        <v>NA</v>
      </c>
      <c r="AW214" s="69">
        <f>+AW212+AW210+AW211+AW209+AW208+AW213</f>
        <v>2241.5</v>
      </c>
      <c r="AX214" s="61" t="str">
        <f t="shared" si="1453"/>
        <v>NA</v>
      </c>
      <c r="AY214" s="69">
        <f>+AY212+AY210+AY211+AY209+AY208+AY213</f>
        <v>2354.5</v>
      </c>
      <c r="AZ214" s="61">
        <f t="shared" si="1454"/>
        <v>17.578027465667923</v>
      </c>
      <c r="BA214" s="69">
        <f>+BA212+BA210+BA211+BA209+BA208+BA213</f>
        <v>4193.5</v>
      </c>
      <c r="BB214" s="61" t="str">
        <f t="shared" si="1455"/>
        <v>NM</v>
      </c>
      <c r="BC214" s="69">
        <f>+BC212+BC210+BC211+BC209+BC208+BC213</f>
        <v>4304.5</v>
      </c>
      <c r="BD214" s="61">
        <f t="shared" si="1456"/>
        <v>99.883909914093323</v>
      </c>
      <c r="BE214" s="69">
        <f>+BE212+BE210+BE211+BE209+BE208+BE213</f>
        <v>4599.5</v>
      </c>
      <c r="BF214" s="61" t="str">
        <f t="shared" si="1457"/>
        <v>NM</v>
      </c>
      <c r="BG214" s="69">
        <f>+BG212+BG210+BG211+BG209+BG208+BG213</f>
        <v>5702</v>
      </c>
      <c r="BH214" s="61" t="str">
        <f t="shared" si="1458"/>
        <v>NM</v>
      </c>
      <c r="BI214" s="69">
        <f>+BI212+BI210+BI211+BI209+BI208+BI213</f>
        <v>5954</v>
      </c>
      <c r="BJ214" s="61">
        <f t="shared" si="1459"/>
        <v>41.981638249672116</v>
      </c>
      <c r="BK214" s="69">
        <f>+BK212+BK210+BK211+BK209+BK208+BK213</f>
        <v>6104</v>
      </c>
      <c r="BL214" s="61">
        <f t="shared" si="1460"/>
        <v>41.805087698919728</v>
      </c>
      <c r="BM214" s="69">
        <f>+BM212+BM210+BM211+BM209+BM208+BM213</f>
        <v>6040</v>
      </c>
      <c r="BN214" s="61">
        <f t="shared" si="1461"/>
        <v>31.318621589303184</v>
      </c>
      <c r="BO214" s="69">
        <f>+BO212+BO210+BO211+BO209+BO208+BO213</f>
        <v>5615</v>
      </c>
      <c r="BP214" s="61">
        <f t="shared" si="1462"/>
        <v>-1.5257804279200315</v>
      </c>
      <c r="BQ214" s="69">
        <f>+BQ212+BQ210+BQ211+BQ209+BQ208+BQ213</f>
        <v>5623</v>
      </c>
      <c r="BR214" s="61">
        <f t="shared" si="1463"/>
        <v>-5.5592878736983486</v>
      </c>
      <c r="BS214" s="69">
        <f>+BS212+BS210+BS211+BS209+BS208+BS213</f>
        <v>5056</v>
      </c>
      <c r="BT214" s="61">
        <f t="shared" si="1464"/>
        <v>-17.169069462647446</v>
      </c>
      <c r="BU214" s="69">
        <f>+BU212+BU210+BU211+BU209+BU208+BU213</f>
        <v>4251</v>
      </c>
      <c r="BV214" s="61">
        <f t="shared" si="1465"/>
        <v>-29.619205298013242</v>
      </c>
      <c r="BW214" s="69">
        <f>+BW212+BW210+BW211+BW209+BW208+BW213</f>
        <v>3992</v>
      </c>
      <c r="BX214" s="61">
        <f t="shared" si="1466"/>
        <v>-28.904719501335705</v>
      </c>
      <c r="BY214" s="69">
        <f>+BY212+BY210+BY211+BY209+BY208+BY213</f>
        <v>4562</v>
      </c>
      <c r="BZ214" s="61">
        <f t="shared" si="1467"/>
        <v>-18.868931175529081</v>
      </c>
      <c r="CA214" s="69">
        <f>+CA212+CA210+CA211+CA209+CA208+CA213</f>
        <v>5176</v>
      </c>
      <c r="CB214" s="61">
        <f t="shared" si="1468"/>
        <v>2.3734177215189778</v>
      </c>
      <c r="CC214" s="69">
        <f>+CC212+CC210+CC211+CC209+CC208+CC213</f>
        <v>5287</v>
      </c>
      <c r="CD214" s="61">
        <f t="shared" si="1469"/>
        <v>24.370736297341811</v>
      </c>
      <c r="CE214" s="69">
        <f>+CE212+CE210+CE211+CE209+CE208+CE213</f>
        <v>5467</v>
      </c>
      <c r="CF214" s="61">
        <f t="shared" si="1470"/>
        <v>36.948897795591186</v>
      </c>
      <c r="CG214" s="69">
        <f>+CG212+CG210+CG211+CG209+CG208+CG213</f>
        <v>5027</v>
      </c>
      <c r="CH214" s="61">
        <f t="shared" si="1471"/>
        <v>10.192897851819382</v>
      </c>
      <c r="CI214" s="69">
        <f>+CI212+CI210+CI211+CI209+CI208+CI213</f>
        <v>5562</v>
      </c>
      <c r="CJ214" s="61">
        <f t="shared" si="1472"/>
        <v>7.4574961360123648</v>
      </c>
      <c r="CK214" s="69">
        <f>+CK212+CK210+CK211+CK209+CK208+CK213</f>
        <v>5962</v>
      </c>
      <c r="CL214" s="61">
        <f t="shared" si="1473"/>
        <v>12.767164743710978</v>
      </c>
      <c r="CM214" s="69">
        <f>+CM212+CM210+CM211+CM209+CM208+CM213</f>
        <v>6171</v>
      </c>
      <c r="CN214" s="61">
        <f t="shared" si="1474"/>
        <v>12.877263581488929</v>
      </c>
      <c r="CO214" s="69">
        <f>+CO212+CO210+CO211+CO209+CO208+CO213</f>
        <v>6157</v>
      </c>
      <c r="CP214" s="61">
        <f t="shared" si="1475"/>
        <v>22.478615476427287</v>
      </c>
      <c r="CQ214" s="69">
        <f>+CQ212+CQ210+CQ211+CQ209+CQ208+CQ213</f>
        <v>5375</v>
      </c>
      <c r="CR214" s="61">
        <f t="shared" si="1476"/>
        <v>-3.3620999640417093</v>
      </c>
      <c r="CS214" s="69">
        <f>+CS212+CS210+CS211+CS209+CS208+CS213</f>
        <v>5687</v>
      </c>
      <c r="CT214" s="61">
        <f t="shared" si="1477"/>
        <v>-4.6125461254612592</v>
      </c>
      <c r="CU214" s="69">
        <f>+CU212+CU210+CU211+CU209+CU208+CU213</f>
        <v>6202</v>
      </c>
      <c r="CV214" s="61">
        <f t="shared" si="1478"/>
        <v>0.50234970021065806</v>
      </c>
      <c r="CW214" s="69">
        <f>+CW212+CW210+CW211+CW209+CW208+CW213</f>
        <v>6005</v>
      </c>
      <c r="CX214" s="61">
        <f t="shared" si="1479"/>
        <v>-2.4687347734286158</v>
      </c>
      <c r="CY214" s="69">
        <f>+CY212+CY210+CY211+CY209+CY208+CY213</f>
        <v>6262</v>
      </c>
      <c r="CZ214" s="61">
        <f t="shared" si="1480"/>
        <v>16.50232558139535</v>
      </c>
      <c r="DA214" s="69">
        <f>+DA212+DA210+DA211+DA209+DA208+DA213</f>
        <v>6523</v>
      </c>
      <c r="DB214" s="61">
        <f t="shared" si="1481"/>
        <v>14.700193423597675</v>
      </c>
      <c r="DC214" s="69">
        <f>+DC212+DC210+DC211+DC209+DC208+DC213</f>
        <v>6859</v>
      </c>
      <c r="DD214" s="61">
        <f t="shared" si="1482"/>
        <v>10.593356981618829</v>
      </c>
      <c r="DE214" s="69">
        <f>+DE212+DE210+DE211+DE209+DE208+DE213</f>
        <v>6972</v>
      </c>
      <c r="DF214" s="61">
        <f t="shared" si="1483"/>
        <v>16.10324729392174</v>
      </c>
      <c r="DG214" s="69">
        <f>+DG212+DG210+DG211+DG209+DG208+DG213</f>
        <v>7453</v>
      </c>
      <c r="DH214" s="61">
        <f t="shared" si="1484"/>
        <v>19.019482593420634</v>
      </c>
      <c r="DI214" s="69">
        <f>+DI212+DI210+DI211+DI209+DI208+DI213</f>
        <v>8094</v>
      </c>
      <c r="DJ214" s="61">
        <f t="shared" si="1485"/>
        <v>24.084010424651225</v>
      </c>
      <c r="DK214" s="69">
        <f>+DK212+DK210+DK211+DK209+DK208+DK213</f>
        <v>8354</v>
      </c>
      <c r="DL214" s="61">
        <f t="shared" si="1486"/>
        <v>21.796180201195515</v>
      </c>
      <c r="DM214" s="69">
        <f>+DM212+DM210+DM211+DM209+DM208+DM213</f>
        <v>8842</v>
      </c>
      <c r="DN214" s="130">
        <f t="shared" si="1487"/>
        <v>26.821572002294893</v>
      </c>
      <c r="DO214" s="69">
        <f>+DO212+DO210+DO211+DO209+DO208+DO213</f>
        <v>8854</v>
      </c>
      <c r="DP214" s="130">
        <f t="shared" si="1487"/>
        <v>18.797799543807869</v>
      </c>
      <c r="DQ214" s="69">
        <f>+DQ212+DQ210+DQ211+DQ209+DQ208+DQ213</f>
        <v>9263</v>
      </c>
      <c r="DR214" s="130">
        <f t="shared" si="1487"/>
        <v>14.442797133679264</v>
      </c>
      <c r="DS214" s="69">
        <f>+DS212+DS210+DS211+DS209+DS208+DS213</f>
        <v>9635</v>
      </c>
      <c r="DT214" s="130">
        <f t="shared" si="1487"/>
        <v>15.33397175005986</v>
      </c>
      <c r="DU214" s="69">
        <f>+DU212+DU210+DU211+DU209+DU208+DU213</f>
        <v>9766</v>
      </c>
      <c r="DV214" s="130">
        <f t="shared" si="1487"/>
        <v>10.450124406242933</v>
      </c>
      <c r="DW214" s="69">
        <f>+DW212+DW210+DW211+DW209+DW208+DW213</f>
        <v>9213</v>
      </c>
      <c r="DX214" s="69">
        <f t="shared" ref="DX214:DY214" si="1526">+DX212+DX210+DX211+DX209+DX208+DX213</f>
        <v>-542.54987559375706</v>
      </c>
      <c r="DY214" s="69">
        <f t="shared" si="1526"/>
        <v>9696</v>
      </c>
      <c r="DZ214" s="130">
        <f t="shared" si="1487"/>
        <v>4.6745114973550717</v>
      </c>
      <c r="EA214" s="69">
        <f t="shared" ref="EA214:EC214" si="1527">+EA212+EA210+EA211+EA209+EA208+EA213</f>
        <v>9830</v>
      </c>
      <c r="EB214" s="130">
        <f t="shared" si="1489"/>
        <v>2.0238713025428234</v>
      </c>
      <c r="EC214" s="69">
        <f t="shared" si="1527"/>
        <v>10172</v>
      </c>
      <c r="ED214" s="130">
        <f t="shared" si="1490"/>
        <v>4.1572803604341679</v>
      </c>
      <c r="EE214" s="69">
        <f t="shared" ref="EE214:EG214" si="1528">+EE212+EE210+EE211+EE209+EE208+EE213</f>
        <v>10763</v>
      </c>
      <c r="EF214" s="130">
        <f t="shared" si="1491"/>
        <v>16.824052968631275</v>
      </c>
      <c r="EG214" s="69">
        <f t="shared" si="1528"/>
        <v>11058</v>
      </c>
      <c r="EH214" s="130">
        <f t="shared" si="1492"/>
        <v>14.047029702970292</v>
      </c>
      <c r="EI214" s="69">
        <f t="shared" ref="EI214:EK214" si="1529">+EI212+EI210+EI211+EI209+EI208+EI213</f>
        <v>11772</v>
      </c>
      <c r="EJ214" s="130">
        <f t="shared" si="1493"/>
        <v>19.755849440488294</v>
      </c>
      <c r="EK214" s="69">
        <f t="shared" si="1529"/>
        <v>12296</v>
      </c>
      <c r="EL214" s="130">
        <f t="shared" si="1494"/>
        <v>20.880849390483689</v>
      </c>
      <c r="EM214" s="69">
        <f t="shared" ref="EM214" si="1530">+EM212+EM210+EM211+EM209+EM208+EM213</f>
        <v>12916</v>
      </c>
      <c r="EN214" s="130">
        <f t="shared" si="1495"/>
        <v>20.003716435937946</v>
      </c>
      <c r="EO214" s="69">
        <f t="shared" ref="EO214" si="1531">+EO212+EO210+EO211+EO209+EO208+EO213</f>
        <v>13851</v>
      </c>
      <c r="EP214" s="130">
        <f t="shared" si="1497"/>
        <v>25.257731958762886</v>
      </c>
      <c r="EQ214" s="69">
        <f t="shared" ref="EQ214:EW214" si="1532">+EQ212+EQ210+EQ211+EQ209+EQ208+EQ213</f>
        <v>13798.658379580263</v>
      </c>
      <c r="ER214" s="130">
        <f t="shared" si="1499"/>
        <v>17.21592235457241</v>
      </c>
      <c r="ES214" s="69">
        <f t="shared" si="1532"/>
        <v>14067.769959793946</v>
      </c>
      <c r="ET214" s="130">
        <f t="shared" si="1501"/>
        <v>14.409319777114082</v>
      </c>
      <c r="EU214" s="69">
        <f t="shared" si="1532"/>
        <v>14300.887733031312</v>
      </c>
      <c r="EV214" s="130">
        <f t="shared" si="1503"/>
        <v>10.722264888752807</v>
      </c>
      <c r="EW214" s="69">
        <f t="shared" si="1532"/>
        <v>14892.182971091101</v>
      </c>
      <c r="EX214" s="130">
        <f t="shared" si="1505"/>
        <v>7.5170238328720052</v>
      </c>
      <c r="EY214" s="64"/>
      <c r="EZ214" s="558"/>
      <c r="FA214" s="64"/>
      <c r="FB214" s="69"/>
      <c r="FC214" s="71"/>
      <c r="FD214" s="69"/>
      <c r="FE214" s="70"/>
      <c r="FF214" s="69"/>
      <c r="FG214" s="70"/>
      <c r="FH214" s="69"/>
      <c r="FI214" s="70"/>
      <c r="FJ214" s="69"/>
      <c r="FK214" s="70"/>
      <c r="FL214" s="69"/>
      <c r="FM214" s="61"/>
      <c r="FN214" s="69"/>
      <c r="FO214" s="61"/>
      <c r="FP214" s="73">
        <f>+FP212+FP210+FP211+FP209+FP208+FP213</f>
        <v>2241</v>
      </c>
      <c r="FQ214" s="61" t="str">
        <f t="shared" si="1506"/>
        <v>NA</v>
      </c>
      <c r="FR214" s="73">
        <f>+FR212+FR210+FR211+FR209+FR208+FR213</f>
        <v>4599</v>
      </c>
      <c r="FS214" s="61" t="str">
        <f t="shared" si="1507"/>
        <v>NM</v>
      </c>
      <c r="FT214" s="73">
        <v>6040</v>
      </c>
      <c r="FU214" s="61">
        <f t="shared" si="1508"/>
        <v>31.332898456186122</v>
      </c>
      <c r="FV214" s="73">
        <f>BU214</f>
        <v>4251</v>
      </c>
      <c r="FW214" s="61">
        <f t="shared" si="1509"/>
        <v>-29.619205298013242</v>
      </c>
      <c r="FX214" s="73">
        <f>CC214</f>
        <v>5287</v>
      </c>
      <c r="FY214" s="61">
        <f t="shared" si="1510"/>
        <v>24.370736297341811</v>
      </c>
      <c r="FZ214" s="73">
        <f>CK214</f>
        <v>5962</v>
      </c>
      <c r="GA214" s="61">
        <f t="shared" si="1511"/>
        <v>12.767164743710978</v>
      </c>
      <c r="GB214" s="73">
        <f>CS214</f>
        <v>5687</v>
      </c>
      <c r="GC214" s="61">
        <f t="shared" si="1512"/>
        <v>-4.6125461254612592</v>
      </c>
      <c r="GD214" s="73">
        <f>DA214</f>
        <v>6523</v>
      </c>
      <c r="GE214" s="61">
        <f t="shared" si="1513"/>
        <v>14.700193423597675</v>
      </c>
      <c r="GF214" s="73">
        <f>DI214</f>
        <v>8094</v>
      </c>
      <c r="GG214" s="61">
        <f t="shared" si="1514"/>
        <v>24.084010424651225</v>
      </c>
      <c r="GH214" s="73">
        <f>DQ214</f>
        <v>9263</v>
      </c>
      <c r="GI214" s="61">
        <f t="shared" si="1514"/>
        <v>14.442797133679264</v>
      </c>
      <c r="GJ214" s="73">
        <f>DY214</f>
        <v>9696</v>
      </c>
      <c r="GK214" s="61">
        <f t="shared" si="1514"/>
        <v>4.6745114973550717</v>
      </c>
      <c r="GL214" s="73">
        <f>EG214</f>
        <v>11058</v>
      </c>
      <c r="GM214" s="61">
        <f t="shared" si="1514"/>
        <v>14.047029702970292</v>
      </c>
      <c r="GN214" s="73">
        <f>EO214</f>
        <v>13851</v>
      </c>
      <c r="GO214" s="61">
        <f t="shared" si="1514"/>
        <v>25.257731958762886</v>
      </c>
      <c r="GP214" s="73">
        <f>EW214</f>
        <v>14892.182971091101</v>
      </c>
      <c r="GQ214" s="61">
        <f t="shared" si="1514"/>
        <v>7.5170238328720052</v>
      </c>
      <c r="GR214" s="69">
        <f>+GR212+GR210+GR211+GR209+GR208+GR213</f>
        <v>15564.467826210117</v>
      </c>
      <c r="GS214" s="61">
        <f t="shared" si="1514"/>
        <v>4.5143472681208996</v>
      </c>
      <c r="GT214" s="69">
        <f>+GT212+GT210+GT211+GT209+GT208+GT213</f>
        <v>16316.22248588915</v>
      </c>
      <c r="GU214" s="61">
        <f t="shared" si="1514"/>
        <v>4.8299413001008595</v>
      </c>
      <c r="GV214" s="69">
        <f>+GV212+GV210+GV211+GV209+GV208+GV213</f>
        <v>17150.651870335565</v>
      </c>
      <c r="GW214" s="61">
        <f t="shared" si="1514"/>
        <v>5.114108888672364</v>
      </c>
      <c r="GX214" s="69">
        <f>+GX212+GX210+GX211+GX209+GX208+GX213</f>
        <v>18071.248276033544</v>
      </c>
      <c r="GY214" s="61">
        <f t="shared" si="1515"/>
        <v>5.3677050450209318</v>
      </c>
      <c r="GZ214" s="61">
        <f t="shared" si="1440"/>
        <v>5.4633116959083905</v>
      </c>
      <c r="HA214" s="61"/>
      <c r="HB214" s="452"/>
      <c r="HC214"/>
      <c r="HD214"/>
      <c r="HE214"/>
      <c r="HF214"/>
      <c r="HG214"/>
      <c r="HH214"/>
    </row>
    <row r="215" spans="1:216" s="5" customFormat="1" ht="12.75" customHeight="1" x14ac:dyDescent="0.2">
      <c r="B215" s="2" t="s">
        <v>186</v>
      </c>
      <c r="C215" s="69"/>
      <c r="D215" s="70"/>
      <c r="E215" s="69"/>
      <c r="F215" s="71"/>
      <c r="G215" s="69"/>
      <c r="H215" s="71"/>
      <c r="I215" s="69"/>
      <c r="J215" s="61"/>
      <c r="K215" s="69"/>
      <c r="L215" s="61"/>
      <c r="M215" s="69"/>
      <c r="N215" s="61"/>
      <c r="O215" s="69"/>
      <c r="P215" s="61"/>
      <c r="Q215" s="69"/>
      <c r="R215" s="61"/>
      <c r="S215" s="69"/>
      <c r="T215" s="61"/>
      <c r="U215" s="69"/>
      <c r="V215" s="61"/>
      <c r="W215" s="69"/>
      <c r="X215" s="61"/>
      <c r="Y215" s="69"/>
      <c r="Z215" s="61"/>
      <c r="AA215" s="69"/>
      <c r="AB215" s="61"/>
      <c r="AC215" s="69"/>
      <c r="AD215" s="61"/>
      <c r="AE215" s="69"/>
      <c r="AF215" s="61"/>
      <c r="AG215" s="69"/>
      <c r="AH215" s="61"/>
      <c r="AI215" s="69"/>
      <c r="AJ215" s="61"/>
      <c r="AK215" s="69"/>
      <c r="AL215" s="61"/>
      <c r="AM215" s="69"/>
      <c r="AN215" s="61"/>
      <c r="AO215" s="69"/>
      <c r="AP215" s="61"/>
      <c r="AQ215" s="69"/>
      <c r="AR215" s="61"/>
      <c r="AS215" s="69"/>
      <c r="AT215" s="61"/>
      <c r="AU215" s="69"/>
      <c r="AV215" s="61"/>
      <c r="AW215" s="69"/>
      <c r="AX215" s="61"/>
      <c r="AY215" s="72">
        <v>0</v>
      </c>
      <c r="AZ215" s="61"/>
      <c r="BA215" s="72">
        <v>0</v>
      </c>
      <c r="BB215" s="61"/>
      <c r="BC215" s="72">
        <v>0</v>
      </c>
      <c r="BD215" s="61"/>
      <c r="BE215" s="72">
        <v>0</v>
      </c>
      <c r="BF215" s="61"/>
      <c r="BG215" s="72">
        <v>0</v>
      </c>
      <c r="BH215" s="61"/>
      <c r="BI215" s="72">
        <v>0</v>
      </c>
      <c r="BJ215" s="61"/>
      <c r="BK215" s="72">
        <v>0</v>
      </c>
      <c r="BL215" s="61"/>
      <c r="BM215" s="72">
        <v>0</v>
      </c>
      <c r="BN215" s="61"/>
      <c r="BO215" s="72">
        <v>0</v>
      </c>
      <c r="BP215" s="61"/>
      <c r="BQ215" s="72">
        <v>0</v>
      </c>
      <c r="BR215" s="61"/>
      <c r="BS215" s="72">
        <v>0</v>
      </c>
      <c r="BT215" s="61"/>
      <c r="BU215" s="72">
        <v>0</v>
      </c>
      <c r="BV215" s="61"/>
      <c r="BW215" s="72">
        <v>-640</v>
      </c>
      <c r="BX215" s="61"/>
      <c r="BY215" s="72">
        <v>-719</v>
      </c>
      <c r="BZ215" s="61"/>
      <c r="CA215" s="72">
        <v>-807</v>
      </c>
      <c r="CB215" s="61"/>
      <c r="CC215" s="72">
        <v>-820</v>
      </c>
      <c r="CD215" s="61"/>
      <c r="CE215" s="72">
        <v>-837</v>
      </c>
      <c r="CF215" s="61"/>
      <c r="CG215" s="72">
        <v>-743</v>
      </c>
      <c r="CH215" s="61"/>
      <c r="CI215" s="72">
        <v>-803</v>
      </c>
      <c r="CJ215" s="61"/>
      <c r="CK215" s="72">
        <v>-854</v>
      </c>
      <c r="CL215" s="61"/>
      <c r="CM215" s="72">
        <v>-876</v>
      </c>
      <c r="CN215" s="61"/>
      <c r="CO215" s="72">
        <v>-857</v>
      </c>
      <c r="CP215" s="61"/>
      <c r="CQ215" s="72">
        <v>-717</v>
      </c>
      <c r="CR215" s="61"/>
      <c r="CS215" s="72">
        <v>-758</v>
      </c>
      <c r="CT215" s="61">
        <f t="shared" si="1477"/>
        <v>-11.24121779859485</v>
      </c>
      <c r="CU215" s="72">
        <v>-826</v>
      </c>
      <c r="CV215" s="61">
        <f t="shared" si="1478"/>
        <v>-5.707762557077622</v>
      </c>
      <c r="CW215" s="72">
        <v>-775</v>
      </c>
      <c r="CX215" s="61">
        <f t="shared" si="1479"/>
        <v>-9.5682613768961478</v>
      </c>
      <c r="CY215" s="72">
        <v>-812</v>
      </c>
      <c r="CZ215" s="61"/>
      <c r="DA215" s="72">
        <v>-792</v>
      </c>
      <c r="DB215" s="61"/>
      <c r="DC215" s="72">
        <v>-827</v>
      </c>
      <c r="DD215" s="61"/>
      <c r="DE215" s="72">
        <v>-815</v>
      </c>
      <c r="DF215" s="61"/>
      <c r="DG215" s="72">
        <v>-849</v>
      </c>
      <c r="DH215" s="61"/>
      <c r="DI215" s="72">
        <v>-893</v>
      </c>
      <c r="DJ215" s="61"/>
      <c r="DK215" s="72">
        <v>-884</v>
      </c>
      <c r="DL215" s="61"/>
      <c r="DM215" s="72">
        <v>-901</v>
      </c>
      <c r="DN215" s="130">
        <f t="shared" si="1487"/>
        <v>10.55214723926381</v>
      </c>
      <c r="DO215" s="72">
        <v>-872</v>
      </c>
      <c r="DP215" s="130">
        <f t="shared" si="1487"/>
        <v>2.7090694935217874</v>
      </c>
      <c r="DQ215" s="72">
        <v>-878</v>
      </c>
      <c r="DR215" s="130">
        <f t="shared" si="1487"/>
        <v>-1.6797312430011146</v>
      </c>
      <c r="DS215" s="72">
        <v>-882</v>
      </c>
      <c r="DT215" s="130">
        <f t="shared" si="1487"/>
        <v>-0.22624434389140191</v>
      </c>
      <c r="DU215" s="72">
        <v>-864</v>
      </c>
      <c r="DV215" s="130">
        <f t="shared" si="1487"/>
        <v>-4.1065482796892372</v>
      </c>
      <c r="DW215" s="72">
        <v>-788</v>
      </c>
      <c r="DX215" s="72">
        <v>-788</v>
      </c>
      <c r="DY215" s="72">
        <v>-809</v>
      </c>
      <c r="DZ215" s="61">
        <f t="shared" si="1487"/>
        <v>-7.8587699316628683</v>
      </c>
      <c r="EA215" s="72">
        <v>-786</v>
      </c>
      <c r="EB215" s="61">
        <f t="shared" si="1489"/>
        <v>-10.8843537414966</v>
      </c>
      <c r="EC215" s="72">
        <v>-785</v>
      </c>
      <c r="ED215" s="61">
        <f t="shared" si="1490"/>
        <v>-9.1435185185185226</v>
      </c>
      <c r="EE215" s="72">
        <v>-800</v>
      </c>
      <c r="EF215" s="61">
        <f t="shared" si="1491"/>
        <v>1.5228426395939021</v>
      </c>
      <c r="EG215" s="72">
        <v>-794</v>
      </c>
      <c r="EH215" s="130">
        <f t="shared" si="1492"/>
        <v>-1.8541409147095234</v>
      </c>
      <c r="EI215" s="72">
        <v>-824</v>
      </c>
      <c r="EJ215" s="130">
        <f t="shared" si="1493"/>
        <v>4.8346055979643809</v>
      </c>
      <c r="EK215" s="72">
        <v>-836</v>
      </c>
      <c r="EL215" s="130">
        <f t="shared" si="1494"/>
        <v>6.4968152866242024</v>
      </c>
      <c r="EM215" s="72">
        <v>-851</v>
      </c>
      <c r="EN215" s="130">
        <f t="shared" si="1495"/>
        <v>6.3749999999999973</v>
      </c>
      <c r="EO215" s="72">
        <v>-875</v>
      </c>
      <c r="EP215" s="130">
        <f t="shared" si="1497"/>
        <v>10.201511335012592</v>
      </c>
      <c r="EQ215" s="72">
        <f t="shared" ref="EQ215" si="1533">EO215</f>
        <v>-875</v>
      </c>
      <c r="ER215" s="130">
        <f t="shared" si="1499"/>
        <v>6.1893203883495174</v>
      </c>
      <c r="ES215" s="72">
        <f t="shared" ref="ES215" si="1534">EQ215</f>
        <v>-875</v>
      </c>
      <c r="ET215" s="130">
        <f t="shared" si="1501"/>
        <v>4.6650717703349276</v>
      </c>
      <c r="EU215" s="72">
        <f t="shared" ref="EU215" si="1535">ES215</f>
        <v>-875</v>
      </c>
      <c r="EV215" s="130">
        <f t="shared" si="1503"/>
        <v>2.8202115158636909</v>
      </c>
      <c r="EW215" s="72">
        <f t="shared" ref="EW215" si="1536">EU215</f>
        <v>-875</v>
      </c>
      <c r="EX215" s="130">
        <f t="shared" si="1505"/>
        <v>0</v>
      </c>
      <c r="EY215" s="64"/>
      <c r="EZ215" s="558"/>
      <c r="FA215" s="64"/>
      <c r="FB215" s="69"/>
      <c r="FC215" s="71"/>
      <c r="FD215" s="69"/>
      <c r="FE215" s="70"/>
      <c r="FF215" s="69"/>
      <c r="FG215" s="70"/>
      <c r="FH215" s="69"/>
      <c r="FI215" s="70"/>
      <c r="FJ215" s="69"/>
      <c r="FK215" s="70"/>
      <c r="FL215" s="69"/>
      <c r="FM215" s="61"/>
      <c r="FN215" s="69"/>
      <c r="FO215" s="61"/>
      <c r="FP215" s="73"/>
      <c r="FQ215" s="61"/>
      <c r="FR215" s="73"/>
      <c r="FS215" s="61"/>
      <c r="FT215" s="73"/>
      <c r="FU215" s="61"/>
      <c r="FV215" s="73"/>
      <c r="FW215" s="61"/>
      <c r="FX215" s="73"/>
      <c r="FY215" s="61"/>
      <c r="FZ215" s="73"/>
      <c r="GA215" s="61"/>
      <c r="GB215" s="73"/>
      <c r="GC215" s="61"/>
      <c r="GD215" s="73">
        <f>DA215</f>
        <v>-792</v>
      </c>
      <c r="GE215" s="61"/>
      <c r="GF215" s="73">
        <f>DI215</f>
        <v>-893</v>
      </c>
      <c r="GG215" s="61">
        <f t="shared" si="1514"/>
        <v>12.75252525252526</v>
      </c>
      <c r="GH215" s="72">
        <f>DQ215</f>
        <v>-878</v>
      </c>
      <c r="GI215" s="61">
        <f t="shared" si="1514"/>
        <v>-1.6797312430011146</v>
      </c>
      <c r="GJ215" s="72">
        <f>DY215</f>
        <v>-809</v>
      </c>
      <c r="GK215" s="61">
        <f t="shared" si="1514"/>
        <v>-7.8587699316628683</v>
      </c>
      <c r="GL215" s="72">
        <f>EG215</f>
        <v>-794</v>
      </c>
      <c r="GM215" s="61">
        <f t="shared" si="1514"/>
        <v>-1.8541409147095234</v>
      </c>
      <c r="GN215" s="72">
        <f>EO215</f>
        <v>-875</v>
      </c>
      <c r="GO215" s="61">
        <f t="shared" si="1514"/>
        <v>10.201511335012592</v>
      </c>
      <c r="GP215" s="72">
        <f>EW215</f>
        <v>-875</v>
      </c>
      <c r="GQ215" s="61">
        <f t="shared" si="1514"/>
        <v>0</v>
      </c>
      <c r="GR215" s="72">
        <f>GP215</f>
        <v>-875</v>
      </c>
      <c r="GS215" s="61">
        <f t="shared" si="1514"/>
        <v>0</v>
      </c>
      <c r="GT215" s="72">
        <f>GR215</f>
        <v>-875</v>
      </c>
      <c r="GU215" s="61">
        <f t="shared" si="1514"/>
        <v>0</v>
      </c>
      <c r="GV215" s="72">
        <f>GT215</f>
        <v>-875</v>
      </c>
      <c r="GW215" s="61">
        <f t="shared" si="1514"/>
        <v>0</v>
      </c>
      <c r="GX215" s="72">
        <f>GV215</f>
        <v>-875</v>
      </c>
      <c r="GY215" s="61">
        <f t="shared" si="1515"/>
        <v>0</v>
      </c>
      <c r="GZ215" s="61">
        <f t="shared" si="1440"/>
        <v>0</v>
      </c>
      <c r="HA215" s="61"/>
      <c r="HB215" s="452"/>
      <c r="HC215"/>
      <c r="HD215"/>
      <c r="HE215"/>
      <c r="HF215"/>
      <c r="HG215"/>
      <c r="HH215"/>
    </row>
    <row r="216" spans="1:216" s="5" customFormat="1" ht="12.75" customHeight="1" x14ac:dyDescent="0.2">
      <c r="B216" s="2" t="s">
        <v>586</v>
      </c>
      <c r="C216" s="69"/>
      <c r="D216" s="70"/>
      <c r="E216" s="69"/>
      <c r="F216" s="71"/>
      <c r="G216" s="69"/>
      <c r="H216" s="71"/>
      <c r="I216" s="69"/>
      <c r="J216" s="61"/>
      <c r="K216" s="69"/>
      <c r="L216" s="61"/>
      <c r="M216" s="69"/>
      <c r="N216" s="61"/>
      <c r="O216" s="69"/>
      <c r="P216" s="61"/>
      <c r="Q216" s="69"/>
      <c r="R216" s="61"/>
      <c r="S216" s="69"/>
      <c r="T216" s="61"/>
      <c r="U216" s="69"/>
      <c r="V216" s="61"/>
      <c r="W216" s="69"/>
      <c r="X216" s="61"/>
      <c r="Y216" s="69"/>
      <c r="Z216" s="61"/>
      <c r="AA216" s="69"/>
      <c r="AB216" s="61"/>
      <c r="AC216" s="69"/>
      <c r="AD216" s="61"/>
      <c r="AE216" s="69"/>
      <c r="AF216" s="61"/>
      <c r="AG216" s="69"/>
      <c r="AH216" s="61"/>
      <c r="AI216" s="69"/>
      <c r="AJ216" s="61"/>
      <c r="AK216" s="69"/>
      <c r="AL216" s="61"/>
      <c r="AM216" s="69"/>
      <c r="AN216" s="61"/>
      <c r="AO216" s="69"/>
      <c r="AP216" s="61"/>
      <c r="AQ216" s="69"/>
      <c r="AR216" s="61"/>
      <c r="AS216" s="69"/>
      <c r="AT216" s="61"/>
      <c r="AU216" s="69"/>
      <c r="AV216" s="61"/>
      <c r="AW216" s="69"/>
      <c r="AX216" s="61"/>
      <c r="AY216" s="73">
        <f>AY214+AY215</f>
        <v>2354.5</v>
      </c>
      <c r="AZ216" s="61"/>
      <c r="BA216" s="73">
        <f>BA214+BA215</f>
        <v>4193.5</v>
      </c>
      <c r="BB216" s="61"/>
      <c r="BC216" s="73">
        <f>BC214+BC215</f>
        <v>4304.5</v>
      </c>
      <c r="BD216" s="61"/>
      <c r="BE216" s="73">
        <f>BE214+BE215</f>
        <v>4599.5</v>
      </c>
      <c r="BF216" s="61"/>
      <c r="BG216" s="73">
        <f>BG214+BG215</f>
        <v>5702</v>
      </c>
      <c r="BH216" s="61" t="str">
        <f>IF(ISERROR((BG216/AY216-1)*100),"NA",IF(((BG216/AY216-1)*100)&gt;100,"NM",IF(((BG216/AY216-1)*100)&lt;-50,"NM",(BG216/AY216-1)*100)))</f>
        <v>NM</v>
      </c>
      <c r="BI216" s="73">
        <f>BI214+BI215</f>
        <v>5954</v>
      </c>
      <c r="BJ216" s="61">
        <f>IF(ISERROR((BI216/BA216-1)*100),"NA",IF(((BI216/BA216-1)*100)&gt;100,"NM",IF(((BI216/BA216-1)*100)&lt;-50,"NM",(BI216/BA216-1)*100)))</f>
        <v>41.981638249672116</v>
      </c>
      <c r="BK216" s="73">
        <f>BK214+BK215</f>
        <v>6104</v>
      </c>
      <c r="BL216" s="61">
        <f>IF(ISERROR((BK216/BC216-1)*100),"NA",IF(((BK216/BC216-1)*100)&gt;100,"NM",IF(((BK216/BC216-1)*100)&lt;-50,"NM",(BK216/BC216-1)*100)))</f>
        <v>41.805087698919728</v>
      </c>
      <c r="BM216" s="73">
        <f>BM214+BM215</f>
        <v>6040</v>
      </c>
      <c r="BN216" s="61">
        <f>IF(ISERROR((BM216/BE216-1)*100),"NA",IF(((BM216/BE216-1)*100)&gt;100,"NM",IF(((BM216/BE216-1)*100)&lt;-50,"NM",(BM216/BE216-1)*100)))</f>
        <v>31.318621589303184</v>
      </c>
      <c r="BO216" s="73">
        <f>BO214+BO215</f>
        <v>5615</v>
      </c>
      <c r="BP216" s="61">
        <f>IF(ISERROR((BO216/BG216-1)*100),"NA",IF(((BO216/BG216-1)*100)&gt;100,"NM",IF(((BO216/BG216-1)*100)&lt;-50,"NM",(BO216/BG216-1)*100)))</f>
        <v>-1.5257804279200315</v>
      </c>
      <c r="BQ216" s="73">
        <f>BQ214+BQ215</f>
        <v>5623</v>
      </c>
      <c r="BR216" s="61">
        <f>IF(ISERROR((BQ216/BI216-1)*100),"NA",IF(((BQ216/BI216-1)*100)&gt;100,"NM",IF(((BQ216/BI216-1)*100)&lt;-50,"NM",(BQ216/BI216-1)*100)))</f>
        <v>-5.5592878736983486</v>
      </c>
      <c r="BS216" s="73">
        <f>BS214+BS215</f>
        <v>5056</v>
      </c>
      <c r="BT216" s="61">
        <f>IF(ISERROR((BS216/BK216-1)*100),"NA",IF(((BS216/BK216-1)*100)&gt;100,"NM",IF(((BS216/BK216-1)*100)&lt;-50,"NM",(BS216/BK216-1)*100)))</f>
        <v>-17.169069462647446</v>
      </c>
      <c r="BU216" s="73">
        <f>BU214+BU215</f>
        <v>4251</v>
      </c>
      <c r="BV216" s="61">
        <f>IF(ISERROR((BU216/BM216-1)*100),"NA",IF(((BU216/BM216-1)*100)&gt;100,"NM",IF(((BU216/BM216-1)*100)&lt;-50,"NM",(BU216/BM216-1)*100)))</f>
        <v>-29.619205298013242</v>
      </c>
      <c r="BW216" s="73">
        <f>BW214+BW215</f>
        <v>3352</v>
      </c>
      <c r="BX216" s="61">
        <f>IF(ISERROR((BW216/BO216-1)*100),"NA",IF(((BW216/BO216-1)*100)&gt;100,"NM",IF(((BW216/BO216-1)*100)&lt;-50,"NM",(BW216/BO216-1)*100)))</f>
        <v>-40.302760463045416</v>
      </c>
      <c r="BY216" s="73">
        <f>BY214+BY215</f>
        <v>3843</v>
      </c>
      <c r="BZ216" s="61">
        <f>IF(ISERROR((BY216/BQ216-1)*100),"NA",IF(((BY216/BQ216-1)*100)&gt;100,"NM",IF(((BY216/BQ216-1)*100)&lt;-50,"NM",(BY216/BQ216-1)*100)))</f>
        <v>-31.655699804374894</v>
      </c>
      <c r="CA216" s="73">
        <f>CA214+CA215</f>
        <v>4369</v>
      </c>
      <c r="CB216" s="61">
        <f>IF(ISERROR((CA216/BS216-1)*100),"NA",IF(((CA216/BS216-1)*100)&gt;100,"NM",IF(((CA216/BS216-1)*100)&lt;-50,"NM",(CA216/BS216-1)*100)))</f>
        <v>-13.587816455696199</v>
      </c>
      <c r="CC216" s="73">
        <f>CC214+CC215</f>
        <v>4467</v>
      </c>
      <c r="CD216" s="61">
        <f>IF(ISERROR((CC216/BU216-1)*100),"NA",IF(((CC216/BU216-1)*100)&gt;100,"NM",IF(((CC216/BU216-1)*100)&lt;-50,"NM",(CC216/BU216-1)*100)))</f>
        <v>5.0811573747353567</v>
      </c>
      <c r="CE216" s="73">
        <f>CE214+CE215</f>
        <v>4630</v>
      </c>
      <c r="CF216" s="61">
        <f>IF(ISERROR((CE216/BW216-1)*100),"NA",IF(((CE216/BW216-1)*100)&gt;100,"NM",IF(((CE216/BW216-1)*100)&lt;-50,"NM",(CE216/BW216-1)*100)))</f>
        <v>38.126491646778035</v>
      </c>
      <c r="CG216" s="73">
        <f>CG214+CG215</f>
        <v>4284</v>
      </c>
      <c r="CH216" s="61">
        <f>IF(ISERROR((CG216/BY216-1)*100),"NA",IF(((CG216/BY216-1)*100)&gt;100,"NM",IF(((CG216/BY216-1)*100)&lt;-50,"NM",(CG216/BY216-1)*100)))</f>
        <v>11.475409836065564</v>
      </c>
      <c r="CI216" s="73">
        <f>CI214+CI215</f>
        <v>4759</v>
      </c>
      <c r="CJ216" s="61">
        <f>IF(ISERROR((CI216/CA216-1)*100),"NA",IF(((CI216/CA216-1)*100)&gt;100,"NM",IF(((CI216/CA216-1)*100)&lt;-50,"NM",(CI216/CA216-1)*100)))</f>
        <v>8.9265278095673963</v>
      </c>
      <c r="CK216" s="73">
        <f>CK214+CK215</f>
        <v>5108</v>
      </c>
      <c r="CL216" s="61">
        <f>IF(ISERROR((CK216/CC216-1)*100),"NA",IF(((CK216/CC216-1)*100)&gt;100,"NM",IF(((CK216/CC216-1)*100)&lt;-50,"NM",(CK216/CC216-1)*100)))</f>
        <v>14.349675397358407</v>
      </c>
      <c r="CM216" s="73">
        <f>CM214+CM215</f>
        <v>5295</v>
      </c>
      <c r="CN216" s="61">
        <f>IF(ISERROR((CM216/CE216-1)*100),"NA",IF(((CM216/CE216-1)*100)&gt;100,"NM",IF(((CM216/CE216-1)*100)&lt;-50,"NM",(CM216/CE216-1)*100)))</f>
        <v>14.362850971922247</v>
      </c>
      <c r="CO216" s="73">
        <f>CO214+CO215</f>
        <v>5300</v>
      </c>
      <c r="CP216" s="61">
        <f>IF(ISERROR((CO216/CG216-1)*100),"NA",IF(((CO216/CG216-1)*100)&gt;100,"NM",IF(((CO216/CG216-1)*100)&lt;-50,"NM",(CO216/CG216-1)*100)))</f>
        <v>23.716153127917838</v>
      </c>
      <c r="CQ216" s="73">
        <f>CQ214+CQ215</f>
        <v>4658</v>
      </c>
      <c r="CR216" s="61">
        <f>IF(ISERROR((CQ216/CI216-1)*100),"NA",IF(((CQ216/CI216-1)*100)&gt;100,"NM",IF(((CQ216/CI216-1)*100)&lt;-50,"NM",(CQ216/CI216-1)*100)))</f>
        <v>-2.1222945997058207</v>
      </c>
      <c r="CS216" s="73">
        <f>CS214+CS215</f>
        <v>4929</v>
      </c>
      <c r="CT216" s="61">
        <f t="shared" si="1477"/>
        <v>-3.5043069694596696</v>
      </c>
      <c r="CU216" s="73">
        <f>CU214+CU215</f>
        <v>5376</v>
      </c>
      <c r="CV216" s="61">
        <f t="shared" si="1478"/>
        <v>1.5297450424929249</v>
      </c>
      <c r="CW216" s="73">
        <f>CW214+CW215</f>
        <v>5230</v>
      </c>
      <c r="CX216" s="61">
        <f t="shared" si="1479"/>
        <v>-1.3207547169811318</v>
      </c>
      <c r="CY216" s="73">
        <f>CY214+CY215</f>
        <v>5450</v>
      </c>
      <c r="CZ216" s="61">
        <f>IF(ISERROR((CY216/CQ216-1)*100),"NA",IF(((CY216/CQ216-1)*100)&gt;100,"NM",IF(((CY216/CQ216-1)*100)&lt;-50,"NM",(CY216/CQ216-1)*100)))</f>
        <v>17.003005581794774</v>
      </c>
      <c r="DA216" s="73">
        <f>DA214+DA215</f>
        <v>5731</v>
      </c>
      <c r="DB216" s="61">
        <f>IF(ISERROR((DA216/CS216-1)*100),"NA",IF(((DA216/CS216-1)*100)&gt;100,"NM",IF(((DA216/CS216-1)*100)&lt;-50,"NM",(DA216/CS216-1)*100)))</f>
        <v>16.271048894299046</v>
      </c>
      <c r="DC216" s="73">
        <f>DC214+DC215</f>
        <v>6032</v>
      </c>
      <c r="DD216" s="61">
        <f>IF(ISERROR((DC216/CU216-1)*100),"NA",IF(((DC216/CU216-1)*100)&gt;100,"NM",IF(((DC216/CU216-1)*100)&lt;-50,"NM",(DC216/CU216-1)*100)))</f>
        <v>12.202380952380953</v>
      </c>
      <c r="DE216" s="73">
        <f>DE214+DE215</f>
        <v>6157</v>
      </c>
      <c r="DF216" s="61">
        <f>IF(ISERROR((DE216/CW216-1)*100),"NA",IF(((DE216/CW216-1)*100)&gt;100,"NM",IF(((DE216/CW216-1)*100)&lt;-50,"NM",(DE216/CW216-1)*100)))</f>
        <v>17.724665391969396</v>
      </c>
      <c r="DG216" s="73">
        <f>DG214+DG215</f>
        <v>6604</v>
      </c>
      <c r="DH216" s="61">
        <f>IF(ISERROR((DG216/CY216-1)*100),"NA",IF(((DG216/CY216-1)*100)&gt;100,"NM",IF(((DG216/CY216-1)*100)&lt;-50,"NM",(DG216/CY216-1)*100)))</f>
        <v>21.174311926605505</v>
      </c>
      <c r="DI216" s="73">
        <f>DI214+DI215</f>
        <v>7201</v>
      </c>
      <c r="DJ216" s="61">
        <f>IF(ISERROR((DI216/DA216-1)*100),"NA",IF(((DI216/DA216-1)*100)&gt;100,"NM",IF(((DI216/DA216-1)*100)&lt;-50,"NM",(DI216/DA216-1)*100)))</f>
        <v>25.649973826557314</v>
      </c>
      <c r="DK216" s="73">
        <f>DK214+DK215</f>
        <v>7470</v>
      </c>
      <c r="DL216" s="61">
        <f>IF(ISERROR((DK216/DC216-1)*100),"NA",IF(((DK216/DC216-1)*100)&gt;100,"NM",IF(((DK216/DC216-1)*100)&lt;-50,"NM",(DK216/DC216-1)*100)))</f>
        <v>23.839522546419101</v>
      </c>
      <c r="DM216" s="73">
        <f>DM214+DM215</f>
        <v>7941</v>
      </c>
      <c r="DN216" s="130">
        <f t="shared" si="1487"/>
        <v>28.975150235504298</v>
      </c>
      <c r="DO216" s="73">
        <f>DO214+DO215</f>
        <v>7982</v>
      </c>
      <c r="DP216" s="130">
        <f t="shared" si="1487"/>
        <v>20.866141732283474</v>
      </c>
      <c r="DQ216" s="73">
        <f>DQ214+DQ215</f>
        <v>8385</v>
      </c>
      <c r="DR216" s="130">
        <f t="shared" si="1487"/>
        <v>16.442160810998473</v>
      </c>
      <c r="DS216" s="73">
        <f>DS214+DS215</f>
        <v>8753</v>
      </c>
      <c r="DT216" s="130">
        <f t="shared" si="1487"/>
        <v>17.175368139223558</v>
      </c>
      <c r="DU216" s="73">
        <f>DU214+DU215</f>
        <v>8902</v>
      </c>
      <c r="DV216" s="130">
        <f t="shared" si="1487"/>
        <v>12.101750409268352</v>
      </c>
      <c r="DW216" s="73">
        <f>DW214+DW215</f>
        <v>8425</v>
      </c>
      <c r="DX216" s="73">
        <f t="shared" ref="DX216:DY216" si="1537">DX214+DX215</f>
        <v>-1330.549875593757</v>
      </c>
      <c r="DY216" s="73">
        <f t="shared" si="1537"/>
        <v>8887</v>
      </c>
      <c r="DZ216" s="130">
        <f t="shared" si="1487"/>
        <v>5.9868813357185413</v>
      </c>
      <c r="EA216" s="73">
        <f t="shared" ref="EA216:EC216" si="1538">EA214+EA215</f>
        <v>9044</v>
      </c>
      <c r="EB216" s="130">
        <f t="shared" si="1489"/>
        <v>3.3245744316234394</v>
      </c>
      <c r="EC216" s="73">
        <f t="shared" si="1538"/>
        <v>9387</v>
      </c>
      <c r="ED216" s="130">
        <f t="shared" si="1490"/>
        <v>5.4482138845203254</v>
      </c>
      <c r="EE216" s="73">
        <f t="shared" ref="EE216:EG216" si="1539">EE214+EE215</f>
        <v>9963</v>
      </c>
      <c r="EF216" s="130">
        <f t="shared" si="1491"/>
        <v>18.255192878338278</v>
      </c>
      <c r="EG216" s="73">
        <f t="shared" si="1539"/>
        <v>10264</v>
      </c>
      <c r="EH216" s="130">
        <f t="shared" si="1492"/>
        <v>15.49454259030043</v>
      </c>
      <c r="EI216" s="73">
        <f t="shared" ref="EI216" si="1540">EI214+EI215</f>
        <v>10948</v>
      </c>
      <c r="EJ216" s="130">
        <f t="shared" si="1493"/>
        <v>21.052631578947366</v>
      </c>
      <c r="EK216" s="73">
        <f t="shared" ref="EK216:EM216" si="1541">EK214+EK215</f>
        <v>11460</v>
      </c>
      <c r="EL216" s="130">
        <f t="shared" si="1494"/>
        <v>22.083732821987855</v>
      </c>
      <c r="EM216" s="73">
        <f t="shared" si="1541"/>
        <v>12065</v>
      </c>
      <c r="EN216" s="130">
        <f t="shared" si="1495"/>
        <v>21.098062832480167</v>
      </c>
      <c r="EO216" s="73">
        <f t="shared" ref="EO216" si="1542">EO214+EO215</f>
        <v>12976</v>
      </c>
      <c r="EP216" s="130">
        <f t="shared" si="1497"/>
        <v>26.422447388932181</v>
      </c>
      <c r="EQ216" s="73">
        <f t="shared" ref="EQ216:EW216" si="1543">EQ214+EQ215</f>
        <v>12923.658379580263</v>
      </c>
      <c r="ER216" s="130">
        <f t="shared" si="1499"/>
        <v>18.045838322801089</v>
      </c>
      <c r="ES216" s="73">
        <f t="shared" si="1543"/>
        <v>13192.769959793946</v>
      </c>
      <c r="ET216" s="130">
        <f t="shared" si="1501"/>
        <v>15.120156717224663</v>
      </c>
      <c r="EU216" s="73">
        <f t="shared" si="1543"/>
        <v>13425.887733031312</v>
      </c>
      <c r="EV216" s="130">
        <f t="shared" si="1503"/>
        <v>11.279633095990981</v>
      </c>
      <c r="EW216" s="73">
        <f t="shared" si="1543"/>
        <v>14017.182971091101</v>
      </c>
      <c r="EX216" s="130">
        <f t="shared" si="1505"/>
        <v>8.0239131557575671</v>
      </c>
      <c r="EY216" s="64"/>
      <c r="EZ216" s="558"/>
      <c r="FA216" s="64"/>
      <c r="FB216" s="69"/>
      <c r="FC216" s="71"/>
      <c r="FD216" s="69"/>
      <c r="FE216" s="70"/>
      <c r="FF216" s="69"/>
      <c r="FG216" s="70"/>
      <c r="FH216" s="69"/>
      <c r="FI216" s="70"/>
      <c r="FJ216" s="69"/>
      <c r="FK216" s="70"/>
      <c r="FL216" s="69"/>
      <c r="FM216" s="61"/>
      <c r="FN216" s="69"/>
      <c r="FO216" s="61"/>
      <c r="FP216" s="73"/>
      <c r="FQ216" s="61"/>
      <c r="FR216" s="73"/>
      <c r="FS216" s="61"/>
      <c r="FT216" s="73">
        <f>FT214+FT215</f>
        <v>6040</v>
      </c>
      <c r="FU216" s="61"/>
      <c r="FV216" s="73">
        <f>FV214+FV215</f>
        <v>4251</v>
      </c>
      <c r="FW216" s="61"/>
      <c r="FX216" s="73">
        <f>FX214+FX215</f>
        <v>5287</v>
      </c>
      <c r="FY216" s="61"/>
      <c r="FZ216" s="73">
        <f>FZ214+FZ215</f>
        <v>5962</v>
      </c>
      <c r="GA216" s="61"/>
      <c r="GB216" s="73">
        <f>GB214+GB215</f>
        <v>5687</v>
      </c>
      <c r="GC216" s="61"/>
      <c r="GD216" s="73">
        <f>GD214+GD215</f>
        <v>5731</v>
      </c>
      <c r="GE216" s="61"/>
      <c r="GF216" s="73">
        <f>GF214+GF215</f>
        <v>7201</v>
      </c>
      <c r="GG216" s="61">
        <f t="shared" si="1514"/>
        <v>25.649973826557314</v>
      </c>
      <c r="GH216" s="73">
        <f>GH214+GH215</f>
        <v>8385</v>
      </c>
      <c r="GI216" s="61">
        <f t="shared" si="1514"/>
        <v>16.442160810998473</v>
      </c>
      <c r="GJ216" s="73">
        <f>GJ214+GJ215</f>
        <v>8887</v>
      </c>
      <c r="GK216" s="61">
        <f t="shared" si="1514"/>
        <v>5.9868813357185413</v>
      </c>
      <c r="GL216" s="73">
        <f>GL214+GL215</f>
        <v>10264</v>
      </c>
      <c r="GM216" s="61">
        <f t="shared" si="1514"/>
        <v>15.49454259030043</v>
      </c>
      <c r="GN216" s="73">
        <f>GN214+GN215</f>
        <v>12976</v>
      </c>
      <c r="GO216" s="61">
        <f t="shared" si="1514"/>
        <v>26.422447388932181</v>
      </c>
      <c r="GP216" s="73">
        <f>GP214+GP215</f>
        <v>14017.182971091101</v>
      </c>
      <c r="GQ216" s="61">
        <f t="shared" si="1514"/>
        <v>8.0239131557575671</v>
      </c>
      <c r="GR216" s="73">
        <f>GR214+GR215</f>
        <v>14689.467826210117</v>
      </c>
      <c r="GS216" s="61">
        <f t="shared" si="1514"/>
        <v>4.7961481026931763</v>
      </c>
      <c r="GT216" s="73">
        <f>GT214+GT215</f>
        <v>15441.22248588915</v>
      </c>
      <c r="GU216" s="61">
        <f t="shared" si="1514"/>
        <v>5.1176439376360072</v>
      </c>
      <c r="GV216" s="73">
        <f>GV214+GV215</f>
        <v>16275.651870335565</v>
      </c>
      <c r="GW216" s="61">
        <f t="shared" si="1514"/>
        <v>5.4039075287526828</v>
      </c>
      <c r="GX216" s="73">
        <f>GX214+GX215</f>
        <v>17196.248276033544</v>
      </c>
      <c r="GY216" s="61">
        <f t="shared" si="1515"/>
        <v>5.6562797793425545</v>
      </c>
      <c r="GZ216" s="61">
        <f t="shared" si="1440"/>
        <v>5.7933998091255656</v>
      </c>
      <c r="HA216" s="61"/>
      <c r="HB216" s="452"/>
      <c r="HC216"/>
      <c r="HD216"/>
      <c r="HE216"/>
      <c r="HF216"/>
      <c r="HG216"/>
      <c r="HH216"/>
    </row>
    <row r="217" spans="1:216" s="5" customFormat="1" ht="12.75" customHeight="1" x14ac:dyDescent="0.2">
      <c r="B217" s="2"/>
      <c r="C217" s="69"/>
      <c r="D217" s="70"/>
      <c r="E217" s="69"/>
      <c r="F217" s="71"/>
      <c r="G217" s="69"/>
      <c r="H217" s="71"/>
      <c r="I217" s="69"/>
      <c r="J217" s="61"/>
      <c r="K217" s="69"/>
      <c r="L217" s="61"/>
      <c r="M217" s="69"/>
      <c r="N217" s="61"/>
      <c r="O217" s="69"/>
      <c r="P217" s="61"/>
      <c r="Q217" s="69"/>
      <c r="R217" s="61"/>
      <c r="S217" s="69"/>
      <c r="T217" s="61"/>
      <c r="U217" s="69"/>
      <c r="V217" s="61"/>
      <c r="W217" s="69"/>
      <c r="X217" s="61"/>
      <c r="Y217" s="69"/>
      <c r="Z217" s="61"/>
      <c r="AA217" s="69"/>
      <c r="AB217" s="61"/>
      <c r="AC217" s="69"/>
      <c r="AD217" s="61"/>
      <c r="AE217" s="69"/>
      <c r="AF217" s="61"/>
      <c r="AG217" s="69"/>
      <c r="AH217" s="61"/>
      <c r="AI217" s="69"/>
      <c r="AJ217" s="61"/>
      <c r="AK217" s="69"/>
      <c r="AL217" s="61"/>
      <c r="AM217" s="69"/>
      <c r="AN217" s="61"/>
      <c r="AO217" s="69"/>
      <c r="AP217" s="61"/>
      <c r="AQ217" s="69"/>
      <c r="AR217" s="61"/>
      <c r="AS217" s="69"/>
      <c r="AT217" s="61"/>
      <c r="AU217" s="69"/>
      <c r="AV217" s="61"/>
      <c r="AW217" s="69"/>
      <c r="AX217" s="61"/>
      <c r="AY217" s="69"/>
      <c r="AZ217" s="61"/>
      <c r="BA217" s="69"/>
      <c r="BB217" s="61"/>
      <c r="BC217" s="69"/>
      <c r="BD217" s="61"/>
      <c r="BE217" s="69"/>
      <c r="BF217" s="61"/>
      <c r="BG217" s="72"/>
      <c r="BH217" s="61"/>
      <c r="BI217" s="72"/>
      <c r="BJ217" s="61"/>
      <c r="BK217" s="72"/>
      <c r="BL217" s="61"/>
      <c r="BM217" s="72"/>
      <c r="BN217" s="61"/>
      <c r="BO217" s="72"/>
      <c r="BP217" s="61"/>
      <c r="BQ217" s="72"/>
      <c r="BR217" s="61"/>
      <c r="BS217" s="72"/>
      <c r="BT217" s="61"/>
      <c r="BU217" s="72"/>
      <c r="BV217" s="61"/>
      <c r="BW217" s="72"/>
      <c r="BX217" s="61"/>
      <c r="BY217" s="72"/>
      <c r="BZ217" s="61"/>
      <c r="CA217" s="72"/>
      <c r="CB217" s="61"/>
      <c r="CC217" s="72"/>
      <c r="CD217" s="61"/>
      <c r="CE217" s="72"/>
      <c r="CF217" s="61"/>
      <c r="CG217" s="72"/>
      <c r="CH217" s="61"/>
      <c r="CI217" s="72"/>
      <c r="CJ217" s="61"/>
      <c r="CK217" s="72"/>
      <c r="CL217" s="61"/>
      <c r="CM217" s="72"/>
      <c r="CN217" s="61"/>
      <c r="CO217" s="72"/>
      <c r="CP217" s="61"/>
      <c r="CQ217" s="72"/>
      <c r="CR217" s="61"/>
      <c r="CS217" s="72"/>
      <c r="CT217" s="61"/>
      <c r="CU217" s="72"/>
      <c r="CV217" s="61"/>
      <c r="CW217" s="72"/>
      <c r="CX217" s="61"/>
      <c r="CY217" s="72"/>
      <c r="CZ217" s="61"/>
      <c r="DA217" s="72"/>
      <c r="DB217" s="61"/>
      <c r="DC217" s="72"/>
      <c r="DD217" s="61"/>
      <c r="DE217" s="72"/>
      <c r="DF217" s="61"/>
      <c r="DG217" s="72"/>
      <c r="DH217" s="61"/>
      <c r="DI217" s="72"/>
      <c r="DJ217" s="61"/>
      <c r="DK217" s="72"/>
      <c r="DL217" s="61"/>
      <c r="DM217" s="72"/>
      <c r="DN217" s="61"/>
      <c r="DO217" s="72"/>
      <c r="DP217" s="61"/>
      <c r="DQ217" s="72"/>
      <c r="DR217" s="61"/>
      <c r="DS217" s="72"/>
      <c r="DT217" s="61"/>
      <c r="DU217" s="72"/>
      <c r="DV217" s="61"/>
      <c r="DW217" s="72"/>
      <c r="DX217" s="72"/>
      <c r="DY217" s="72"/>
      <c r="DZ217" s="61"/>
      <c r="EA217" s="72"/>
      <c r="EB217" s="61"/>
      <c r="EC217" s="72"/>
      <c r="ED217" s="61"/>
      <c r="EE217" s="72"/>
      <c r="EF217" s="61"/>
      <c r="EG217" s="72"/>
      <c r="EH217" s="61"/>
      <c r="EI217" s="72"/>
      <c r="EJ217" s="61"/>
      <c r="EK217" s="72"/>
      <c r="EL217" s="61"/>
      <c r="EM217" s="72"/>
      <c r="EN217" s="61"/>
      <c r="EO217" s="72"/>
      <c r="EP217" s="61"/>
      <c r="EQ217" s="69"/>
      <c r="ER217" s="61"/>
      <c r="ES217" s="69"/>
      <c r="ET217" s="61"/>
      <c r="EU217" s="69"/>
      <c r="EV217" s="61"/>
      <c r="EW217" s="69"/>
      <c r="EX217" s="61"/>
      <c r="EY217" s="64"/>
      <c r="EZ217" s="558"/>
      <c r="FA217" s="64"/>
      <c r="FB217" s="69"/>
      <c r="FC217" s="71"/>
      <c r="FD217" s="69"/>
      <c r="FE217" s="70"/>
      <c r="FF217" s="69"/>
      <c r="FG217" s="70"/>
      <c r="FH217" s="69"/>
      <c r="FI217" s="70"/>
      <c r="FJ217" s="69"/>
      <c r="FK217" s="70"/>
      <c r="FL217" s="69"/>
      <c r="FM217" s="61"/>
      <c r="FN217" s="69"/>
      <c r="FO217" s="61"/>
      <c r="FP217" s="73"/>
      <c r="FQ217" s="61"/>
      <c r="FR217" s="73"/>
      <c r="FS217" s="61"/>
      <c r="FT217" s="73"/>
      <c r="FU217" s="61"/>
      <c r="FV217" s="73"/>
      <c r="FW217" s="61"/>
      <c r="FX217" s="73"/>
      <c r="FY217" s="61"/>
      <c r="FZ217" s="73"/>
      <c r="GA217" s="61"/>
      <c r="GB217" s="73"/>
      <c r="GC217" s="61"/>
      <c r="GD217" s="73"/>
      <c r="GE217" s="61"/>
      <c r="GF217" s="73"/>
      <c r="GG217" s="61"/>
      <c r="GH217" s="73"/>
      <c r="GI217" s="61"/>
      <c r="GJ217" s="73"/>
      <c r="GK217" s="61"/>
      <c r="GL217" s="73"/>
      <c r="GM217" s="61"/>
      <c r="GN217" s="73"/>
      <c r="GO217" s="61"/>
      <c r="GP217" s="73"/>
      <c r="GQ217" s="61"/>
      <c r="GR217" s="69"/>
      <c r="GS217" s="61"/>
      <c r="GT217" s="69"/>
      <c r="GU217" s="61"/>
      <c r="GV217" s="69"/>
      <c r="GW217" s="61"/>
      <c r="GX217" s="69"/>
      <c r="GY217" s="61"/>
      <c r="GZ217" s="61" t="str">
        <f t="shared" si="1440"/>
        <v/>
      </c>
      <c r="HA217" s="61"/>
      <c r="HB217" s="452"/>
      <c r="HC217"/>
      <c r="HD217"/>
      <c r="HE217"/>
      <c r="HF217"/>
      <c r="HG217"/>
      <c r="HH217"/>
    </row>
    <row r="218" spans="1:216" s="5" customFormat="1" ht="12.75" customHeight="1" x14ac:dyDescent="0.2">
      <c r="B218" s="2" t="s">
        <v>587</v>
      </c>
      <c r="C218" s="69"/>
      <c r="D218" s="70"/>
      <c r="E218" s="69"/>
      <c r="F218" s="71"/>
      <c r="G218" s="69"/>
      <c r="H218" s="71"/>
      <c r="I218" s="69"/>
      <c r="J218" s="61"/>
      <c r="K218" s="69"/>
      <c r="L218" s="61"/>
      <c r="M218" s="69"/>
      <c r="N218" s="61"/>
      <c r="O218" s="69"/>
      <c r="P218" s="61"/>
      <c r="Q218" s="69"/>
      <c r="R218" s="61"/>
      <c r="S218" s="69"/>
      <c r="T218" s="61"/>
      <c r="U218" s="69"/>
      <c r="V218" s="61"/>
      <c r="W218" s="69"/>
      <c r="X218" s="61"/>
      <c r="Y218" s="69"/>
      <c r="Z218" s="61"/>
      <c r="AA218" s="69"/>
      <c r="AB218" s="61"/>
      <c r="AC218" s="69"/>
      <c r="AD218" s="61"/>
      <c r="AE218" s="69"/>
      <c r="AF218" s="61"/>
      <c r="AG218" s="69"/>
      <c r="AH218" s="61"/>
      <c r="AI218" s="69"/>
      <c r="AJ218" s="61"/>
      <c r="AK218" s="69"/>
      <c r="AL218" s="61"/>
      <c r="AM218" s="69"/>
      <c r="AN218" s="61"/>
      <c r="AO218" s="69"/>
      <c r="AP218" s="61"/>
      <c r="AQ218" s="69">
        <f>AVERAGE(AQ208,AQ214)</f>
        <v>2015.25</v>
      </c>
      <c r="AR218" s="61" t="str">
        <f t="shared" si="1451"/>
        <v>NA</v>
      </c>
      <c r="AS218" s="69">
        <f>AVERAGE(AS208,AS214)</f>
        <v>2027.5</v>
      </c>
      <c r="AT218" s="61" t="str">
        <f>IF(ISERROR((AS218/AK218-1)*100),"NA",IF(((AS218/AK218-1)*100)&gt;100,"NM",IF(((AS218/AK218-1)*100)&lt;-50,"NM",(AS218/AK218-1)*100)))</f>
        <v>NA</v>
      </c>
      <c r="AU218" s="69">
        <f>AVERAGE(AU208,AU214)</f>
        <v>2103</v>
      </c>
      <c r="AV218" s="61" t="str">
        <f>IF(ISERROR((AU218/AM218-1)*100),"NA",IF(((AU218/AM218-1)*100)&gt;100,"NM",IF(((AU218/AM218-1)*100)&lt;-50,"NM",(AU218/AM218-1)*100)))</f>
        <v>NA</v>
      </c>
      <c r="AW218" s="69">
        <f>AVERAGE(AW208,AW214)</f>
        <v>2197.5</v>
      </c>
      <c r="AX218" s="61" t="str">
        <f>IF(ISERROR((AW218/AO218-1)*100),"NA",IF(((AW218/AO218-1)*100)&gt;100,"NM",IF(((AW218/AO218-1)*100)&lt;-50,"NM",(AW218/AO218-1)*100)))</f>
        <v>NA</v>
      </c>
      <c r="AY218" s="69">
        <f>AVERAGE(AY208,AY214)</f>
        <v>2298</v>
      </c>
      <c r="AZ218" s="61">
        <f t="shared" si="1454"/>
        <v>14.03051730554521</v>
      </c>
      <c r="BA218" s="69">
        <f>AVERAGE(BA208,BA214)</f>
        <v>3274</v>
      </c>
      <c r="BB218" s="61">
        <f t="shared" si="1455"/>
        <v>61.479654747225652</v>
      </c>
      <c r="BC218" s="69">
        <f>AVERAGE(BC208,BC214)</f>
        <v>4249</v>
      </c>
      <c r="BD218" s="61" t="str">
        <f t="shared" si="1456"/>
        <v>NM</v>
      </c>
      <c r="BE218" s="69">
        <f>AVERAGE(BE208,BE214)</f>
        <v>4452</v>
      </c>
      <c r="BF218" s="61" t="str">
        <f t="shared" si="1457"/>
        <v>NM</v>
      </c>
      <c r="BG218" s="69">
        <f>AVERAGE(BG208,BG214)</f>
        <v>5654</v>
      </c>
      <c r="BH218" s="61" t="str">
        <f>IF(ISERROR((BG218/AY218-1)*100),"NA",IF(((BG218/AY218-1)*100)&gt;100,"NM",IF(((BG218/AY218-1)*100)&lt;-50,"NM",(BG218/AY218-1)*100)))</f>
        <v>NM</v>
      </c>
      <c r="BI218" s="69">
        <f>AVERAGE(BI208,BI214)</f>
        <v>5828</v>
      </c>
      <c r="BJ218" s="61">
        <f>IF(ISERROR((BI218/BA218-1)*100),"NA",IF(((BI218/BA218-1)*100)&gt;100,"NM",IF(((BI218/BA218-1)*100)&lt;-50,"NM",(BI218/BA218-1)*100)))</f>
        <v>78.008552229688462</v>
      </c>
      <c r="BK218" s="69">
        <f>AVERAGE(BK208,BK214)</f>
        <v>6029</v>
      </c>
      <c r="BL218" s="61">
        <f>IF(ISERROR((BK218/BC218-1)*100),"NA",IF(((BK218/BC218-1)*100)&gt;100,"NM",IF(((BK218/BC218-1)*100)&lt;-50,"NM",(BK218/BC218-1)*100)))</f>
        <v>41.892209931748646</v>
      </c>
      <c r="BM218" s="69">
        <f>AVERAGE(BM208,BM214)</f>
        <v>6072</v>
      </c>
      <c r="BN218" s="61">
        <f>IF(ISERROR((BM218/BE218-1)*100),"NA",IF(((BM218/BE218-1)*100)&gt;100,"NM",IF(((BM218/BE218-1)*100)&lt;-50,"NM",(BM218/BE218-1)*100)))</f>
        <v>36.388140161725069</v>
      </c>
      <c r="BO218" s="69">
        <f>AVERAGE(BO208,BO214)</f>
        <v>5827.5</v>
      </c>
      <c r="BP218" s="61">
        <f>IF(ISERROR((BO218/BG218-1)*100),"NA",IF(((BO218/BG218-1)*100)&gt;100,"NM",IF(((BO218/BG218-1)*100)&lt;-50,"NM",(BO218/BG218-1)*100)))</f>
        <v>3.0686239830208795</v>
      </c>
      <c r="BQ218" s="69">
        <f>AVERAGE(BQ208,BQ214)</f>
        <v>5619</v>
      </c>
      <c r="BR218" s="61">
        <f>IF(ISERROR((BQ218/BI218-1)*100),"NA",IF(((BQ218/BI218-1)*100)&gt;100,"NM",IF(((BQ218/BI218-1)*100)&lt;-50,"NM",(BQ218/BI218-1)*100)))</f>
        <v>-3.5861358956760458</v>
      </c>
      <c r="BS218" s="69">
        <f>AVERAGE(BS208,BS214)</f>
        <v>5339.5</v>
      </c>
      <c r="BT218" s="61">
        <f>IF(ISERROR((BS218/BK218-1)*100),"NA",IF(((BS218/BK218-1)*100)&gt;100,"NM",IF(((BS218/BK218-1)*100)&lt;-50,"NM",(BS218/BK218-1)*100)))</f>
        <v>-11.43639077790678</v>
      </c>
      <c r="BU218" s="69">
        <f>AVERAGE(BU208,BU214)</f>
        <v>4653.5</v>
      </c>
      <c r="BV218" s="61">
        <f>IF(ISERROR((BU218/BM218-1)*100),"NA",IF(((BU218/BM218-1)*100)&gt;100,"NM",IF(((BU218/BM218-1)*100)&lt;-50,"NM",(BU218/BM218-1)*100)))</f>
        <v>-23.361330698287219</v>
      </c>
      <c r="BW218" s="69">
        <f>AVERAGE(BW208,BW214)</f>
        <v>4121.5</v>
      </c>
      <c r="BX218" s="61">
        <f>IF(ISERROR((BW218/BO218-1)*100),"NA",IF(((BW218/BO218-1)*100)&gt;100,"NM",IF(((BW218/BO218-1)*100)&lt;-50,"NM",(BW218/BO218-1)*100)))</f>
        <v>-29.27498927498927</v>
      </c>
      <c r="BY218" s="69">
        <f>AVERAGE(BY208,BY214)</f>
        <v>4277</v>
      </c>
      <c r="BZ218" s="61">
        <f>IF(ISERROR((BY218/BQ218-1)*100),"NA",IF(((BY218/BQ218-1)*100)&gt;100,"NM",IF(((BY218/BQ218-1)*100)&lt;-50,"NM",(BY218/BQ218-1)*100)))</f>
        <v>-23.883253247908875</v>
      </c>
      <c r="CA218" s="69">
        <f>AVERAGE(CA208,CA214)</f>
        <v>4869</v>
      </c>
      <c r="CB218" s="61">
        <f>IF(ISERROR((CA218/BS218-1)*100),"NA",IF(((CA218/BS218-1)*100)&gt;100,"NM",IF(((CA218/BS218-1)*100)&lt;-50,"NM",(CA218/BS218-1)*100)))</f>
        <v>-8.811686487498827</v>
      </c>
      <c r="CC218" s="69">
        <f>AVERAGE(CC208,CC214)</f>
        <v>5231.5</v>
      </c>
      <c r="CD218" s="61">
        <f>IF(ISERROR((CC218/BU218-1)*100),"NA",IF(((CC218/BU218-1)*100)&gt;100,"NM",IF(((CC218/BU218-1)*100)&lt;-50,"NM",(CC218/BU218-1)*100)))</f>
        <v>12.420758568819167</v>
      </c>
      <c r="CE218" s="69">
        <f>AVERAGE(CE208,CE214)</f>
        <v>5377</v>
      </c>
      <c r="CF218" s="61">
        <f>IF(ISERROR((CE218/BW218-1)*100),"NA",IF(((CE218/BW218-1)*100)&gt;100,"NM",IF(((CE218/BW218-1)*100)&lt;-50,"NM",(CE218/BW218-1)*100)))</f>
        <v>30.462210360305718</v>
      </c>
      <c r="CG218" s="69">
        <f>AVERAGE(CG208,CG214)</f>
        <v>5247</v>
      </c>
      <c r="CH218" s="61">
        <f>IF(ISERROR((CG218/BY218-1)*100),"NA",IF(((CG218/BY218-1)*100)&gt;100,"NM",IF(((CG218/BY218-1)*100)&lt;-50,"NM",(CG218/BY218-1)*100)))</f>
        <v>22.679448211363095</v>
      </c>
      <c r="CI218" s="69">
        <f>AVERAGE(CI208,CI214)</f>
        <v>5294.5</v>
      </c>
      <c r="CJ218" s="61">
        <f>IF(ISERROR((CI218/CA218-1)*100),"NA",IF(((CI218/CA218-1)*100)&gt;100,"NM",IF(((CI218/CA218-1)*100)&lt;-50,"NM",(CI218/CA218-1)*100)))</f>
        <v>8.7389607722324847</v>
      </c>
      <c r="CK218" s="69">
        <f>AVERAGE(CK208,CK214)</f>
        <v>5762</v>
      </c>
      <c r="CL218" s="61">
        <f>IF(ISERROR((CK218/CC218-1)*100),"NA",IF(((CK218/CC218-1)*100)&gt;100,"NM",IF(((CK218/CC218-1)*100)&lt;-50,"NM",(CK218/CC218-1)*100)))</f>
        <v>10.140495077893519</v>
      </c>
      <c r="CM218" s="69">
        <f>AVERAGE(CM208,CM214)</f>
        <v>6066.5</v>
      </c>
      <c r="CN218" s="61">
        <f>IF(ISERROR((CM218/CE218-1)*100),"NA",IF(((CM218/CE218-1)*100)&gt;100,"NM",IF(((CM218/CE218-1)*100)&lt;-50,"NM",(CM218/CE218-1)*100)))</f>
        <v>12.823135577459555</v>
      </c>
      <c r="CO218" s="69">
        <f>AVERAGE(CO208,CO214)</f>
        <v>6164</v>
      </c>
      <c r="CP218" s="61">
        <f>IF(ISERROR((CO218/CG218-1)*100),"NA",IF(((CO218/CG218-1)*100)&gt;100,"NM",IF(((CO218/CG218-1)*100)&lt;-50,"NM",(CO218/CG218-1)*100)))</f>
        <v>17.476653325709933</v>
      </c>
      <c r="CQ218" s="69">
        <f>AVERAGE(CQ208,CQ214)</f>
        <v>5766</v>
      </c>
      <c r="CR218" s="61">
        <f>IF(ISERROR((CQ218/CI218-1)*100),"NA",IF(((CQ218/CI218-1)*100)&gt;100,"NM",IF(((CQ218/CI218-1)*100)&lt;-50,"NM",(CQ218/CI218-1)*100)))</f>
        <v>8.9054679384266588</v>
      </c>
      <c r="CS218" s="69">
        <f>AVERAGE(CS208,CS214)</f>
        <v>5531</v>
      </c>
      <c r="CT218" s="61">
        <f>IF(ISERROR((CS218/CK218-1)*100),"NA",IF(((CS218/CK218-1)*100)&gt;100,"NM",IF(((CS218/CK218-1)*100)&lt;-50,"NM",(CS218/CK218-1)*100)))</f>
        <v>-4.0090246442207604</v>
      </c>
      <c r="CU218" s="69">
        <f>AVERAGE(CU208,CU214)</f>
        <v>5944.5</v>
      </c>
      <c r="CV218" s="61">
        <f>IF(ISERROR((CU218/CM218-1)*100),"NA",IF(((CU218/CM218-1)*100)&gt;100,"NM",IF(((CU218/CM218-1)*100)&lt;-50,"NM",(CU218/CM218-1)*100)))</f>
        <v>-2.0110442594576727</v>
      </c>
      <c r="CW218" s="69">
        <f>AVERAGE(CW208,CW214)</f>
        <v>6103.5</v>
      </c>
      <c r="CX218" s="61">
        <f>IF(ISERROR((CW218/CO218-1)*100),"NA",IF(((CW218/CO218-1)*100)&gt;100,"NM",IF(((CW218/CO218-1)*100)&lt;-50,"NM",(CW218/CO218-1)*100)))</f>
        <v>-0.98150551589876178</v>
      </c>
      <c r="CY218" s="69">
        <f>AVERAGE(CY208,CY214)</f>
        <v>6133.5</v>
      </c>
      <c r="CZ218" s="61">
        <f>IF(ISERROR((CY218/CQ218-1)*100),"NA",IF(((CY218/CQ218-1)*100)&gt;100,"NM",IF(((CY218/CQ218-1)*100)&lt;-50,"NM",(CY218/CQ218-1)*100)))</f>
        <v>6.3735691987512944</v>
      </c>
      <c r="DA218" s="69">
        <f>AVERAGE(DA208,DA214)</f>
        <v>6392.5</v>
      </c>
      <c r="DB218" s="61">
        <f>IF(ISERROR((DA218/CS218-1)*100),"NA",IF(((DA218/CS218-1)*100)&gt;100,"NM",IF(((DA218/CS218-1)*100)&lt;-50,"NM",(DA218/CS218-1)*100)))</f>
        <v>15.575845235942865</v>
      </c>
      <c r="DC218" s="69">
        <f>AVERAGE(DC208,DC214)</f>
        <v>6691</v>
      </c>
      <c r="DD218" s="61">
        <f>IF(ISERROR((DC218/CU218-1)*100),"NA",IF(((DC218/CU218-1)*100)&gt;100,"NM",IF(((DC218/CU218-1)*100)&lt;-50,"NM",(DC218/CU218-1)*100)))</f>
        <v>12.557826562368568</v>
      </c>
      <c r="DE218" s="69">
        <f>AVERAGE(DE208,DE214)</f>
        <v>6915.5</v>
      </c>
      <c r="DF218" s="61">
        <f>IF(ISERROR((DE218/CW218-1)*100),"NA",IF(((DE218/CW218-1)*100)&gt;100,"NM",IF(((DE218/CW218-1)*100)&lt;-50,"NM",(DE218/CW218-1)*100)))</f>
        <v>13.303842057835658</v>
      </c>
      <c r="DG218" s="69">
        <f>AVERAGE(DG208,DG214)</f>
        <v>7212.5</v>
      </c>
      <c r="DH218" s="61">
        <f>IF(ISERROR((DG218/CY218-1)*100),"NA",IF(((DG218/CY218-1)*100)&gt;100,"NM",IF(((DG218/CY218-1)*100)&lt;-50,"NM",(DG218/CY218-1)*100)))</f>
        <v>17.591913263226534</v>
      </c>
      <c r="DI218" s="69">
        <f>AVERAGE(DI208,DI214)</f>
        <v>7773.5</v>
      </c>
      <c r="DJ218" s="61">
        <f>IF(ISERROR((DI218/DA218-1)*100),"NA",IF(((DI218/DA218-1)*100)&gt;100,"NM",IF(((DI218/DA218-1)*100)&lt;-50,"NM",(DI218/DA218-1)*100)))</f>
        <v>21.603441533046542</v>
      </c>
      <c r="DK218" s="69">
        <f>AVERAGE(DK208,DK214)</f>
        <v>8224</v>
      </c>
      <c r="DL218" s="61">
        <f>IF(ISERROR((DK218/DC218-1)*100),"NA",IF(((DK218/DC218-1)*100)&gt;100,"NM",IF(((DK218/DC218-1)*100)&lt;-50,"NM",(DK218/DC218-1)*100)))</f>
        <v>22.911373486773279</v>
      </c>
      <c r="DM218" s="69">
        <f>AVERAGE(DM208,DM214)</f>
        <v>8598</v>
      </c>
      <c r="DN218" s="130">
        <f t="shared" ref="DN218:DZ219" si="1544">IF(ISERROR((DM218/DE218-1)*100),"NA",IF(((DM218/DE218-1)*100)&gt;100,"NM",IF(((DM218/DE218-1)*100)&lt;-50,"NM",(DM218/DE218-1)*100)))</f>
        <v>24.329404959872747</v>
      </c>
      <c r="DO218" s="69">
        <f>AVERAGE(DO208,DO214)</f>
        <v>8848</v>
      </c>
      <c r="DP218" s="130">
        <f t="shared" si="1544"/>
        <v>22.675909878682845</v>
      </c>
      <c r="DQ218" s="69">
        <f>AVERAGE(DQ208,DQ214)</f>
        <v>9058.5</v>
      </c>
      <c r="DR218" s="130">
        <f t="shared" si="1544"/>
        <v>16.530520357625257</v>
      </c>
      <c r="DS218" s="69">
        <f>AVERAGE(DS208,DS214)</f>
        <v>9449</v>
      </c>
      <c r="DT218" s="130">
        <f t="shared" si="1544"/>
        <v>14.895428015564205</v>
      </c>
      <c r="DU218" s="69">
        <f>AVERAGE(DU208,DU214)</f>
        <v>9700.5</v>
      </c>
      <c r="DV218" s="130">
        <f t="shared" si="1544"/>
        <v>12.822749476622475</v>
      </c>
      <c r="DW218" s="69">
        <f>AVERAGE(DW208,DW214)</f>
        <v>9489.5</v>
      </c>
      <c r="DX218" s="69">
        <f t="shared" ref="DX218:DY218" si="1545">AVERAGE(DX208,DX214)</f>
        <v>-266.04987559375706</v>
      </c>
      <c r="DY218" s="69">
        <f t="shared" si="1545"/>
        <v>9454.5</v>
      </c>
      <c r="DZ218" s="130">
        <f t="shared" si="1544"/>
        <v>4.3715846994535568</v>
      </c>
      <c r="EA218" s="69">
        <f t="shared" ref="EA218:EC218" si="1546">AVERAGE(EA208,EA214)</f>
        <v>9763</v>
      </c>
      <c r="EB218" s="130">
        <f t="shared" ref="EB218:EB219" si="1547">IF(ISERROR((EA218/DS218-1)*100),"NA",IF(((EA218/DS218-1)*100)&gt;100,"NM",IF(((EA218/DS218-1)*100)&lt;-50,"NM",(EA218/DS218-1)*100)))</f>
        <v>3.3231029738596707</v>
      </c>
      <c r="EC218" s="69">
        <f t="shared" si="1546"/>
        <v>10001</v>
      </c>
      <c r="ED218" s="130">
        <f t="shared" ref="ED218:ED219" si="1548">IF(ISERROR((EC218/DU218-1)*100),"NA",IF(((EC218/DU218-1)*100)&gt;100,"NM",IF(((EC218/DU218-1)*100)&lt;-50,"NM",(EC218/DU218-1)*100)))</f>
        <v>3.0977784650275675</v>
      </c>
      <c r="EE218" s="69">
        <f t="shared" ref="EE218:EG218" si="1549">AVERAGE(EE208,EE214)</f>
        <v>10467.5</v>
      </c>
      <c r="EF218" s="130">
        <f t="shared" ref="EF218:EF219" si="1550">IF(ISERROR((EE218/DW218-1)*100),"NA",IF(((EE218/DW218-1)*100)&gt;100,"NM",IF(((EE218/DW218-1)*100)&lt;-50,"NM",(EE218/DW218-1)*100)))</f>
        <v>10.306127825491341</v>
      </c>
      <c r="EG218" s="69">
        <f t="shared" si="1549"/>
        <v>10910.5</v>
      </c>
      <c r="EH218" s="130">
        <f t="shared" ref="EH218:EH219" si="1551">IF(ISERROR((EG218/DY218-1)*100),"NA",IF(((EG218/DY218-1)*100)&gt;100,"NM",IF(((EG218/DY218-1)*100)&lt;-50,"NM",(EG218/DY218-1)*100)))</f>
        <v>15.40007403881749</v>
      </c>
      <c r="EI218" s="69">
        <f t="shared" ref="EI218:EK218" si="1552">AVERAGE(EI208,EI214)</f>
        <v>11415</v>
      </c>
      <c r="EJ218" s="130">
        <f t="shared" ref="EJ218:EJ219" si="1553">IF(ISERROR((EI218/EA218-1)*100),"NA",IF(((EI218/EA218-1)*100)&gt;100,"NM",IF(((EI218/EA218-1)*100)&lt;-50,"NM",(EI218/EA218-1)*100)))</f>
        <v>16.921028372426505</v>
      </c>
      <c r="EK218" s="69">
        <f t="shared" si="1552"/>
        <v>12034</v>
      </c>
      <c r="EL218" s="130">
        <f t="shared" ref="EL218:EL219" si="1554">IF(ISERROR((EK218/EC218-1)*100),"NA",IF(((EK218/EC218-1)*100)&gt;100,"NM",IF(((EK218/EC218-1)*100)&lt;-50,"NM",(EK218/EC218-1)*100)))</f>
        <v>20.327967203279673</v>
      </c>
      <c r="EM218" s="69">
        <f t="shared" ref="EM218" si="1555">AVERAGE(EM208,EM214)</f>
        <v>12606</v>
      </c>
      <c r="EN218" s="130">
        <f t="shared" ref="EN218:EN219" si="1556">IF(ISERROR((EM218/EE218-1)*100),"NA",IF(((EM218/EE218-1)*100)&gt;100,"NM",IF(((EM218/EE218-1)*100)&lt;-50,"NM",(EM218/EE218-1)*100)))</f>
        <v>20.429902077860042</v>
      </c>
      <c r="EO218" s="69">
        <f t="shared" ref="EO218" si="1557">AVERAGE(EO208,EO214)</f>
        <v>13383.5</v>
      </c>
      <c r="EP218" s="130">
        <f t="shared" ref="EP218:EP219" si="1558">IF(ISERROR((EO218/EG218-1)*100),"NA",IF(((EO218/EG218-1)*100)&gt;100,"NM",IF(((EO218/EG218-1)*100)&lt;-50,"NM",(EO218/EG218-1)*100)))</f>
        <v>22.666238944136374</v>
      </c>
      <c r="EQ218" s="69">
        <f t="shared" ref="EQ218:EW218" si="1559">AVERAGE(EQ208,EQ214)</f>
        <v>13824.829189790133</v>
      </c>
      <c r="ER218" s="130">
        <f t="shared" ref="ER218:ER219" si="1560">IF(ISERROR((EQ218/EI218-1)*100),"NA",IF(((EQ218/EI218-1)*100)&gt;100,"NM",IF(((EQ218/EI218-1)*100)&lt;-50,"NM",(EQ218/EI218-1)*100)))</f>
        <v>21.111074812002919</v>
      </c>
      <c r="ES218" s="69">
        <f t="shared" si="1559"/>
        <v>13933.214169687104</v>
      </c>
      <c r="ET218" s="130">
        <f t="shared" ref="ET218:ET219" si="1561">IF(ISERROR((ES218/EK218-1)*100),"NA",IF(((ES218/EK218-1)*100)&gt;100,"NM",IF(((ES218/EK218-1)*100)&lt;-50,"NM",(ES218/EK218-1)*100)))</f>
        <v>15.782068885550139</v>
      </c>
      <c r="EU218" s="69">
        <f t="shared" si="1559"/>
        <v>14184.328846412629</v>
      </c>
      <c r="EV218" s="130">
        <f t="shared" ref="EV218:EV219" si="1562">IF(ISERROR((EU218/EM218-1)*100),"NA",IF(((EU218/EM218-1)*100)&gt;100,"NM",IF(((EU218/EM218-1)*100)&lt;-50,"NM",(EU218/EM218-1)*100)))</f>
        <v>12.520457293452548</v>
      </c>
      <c r="EW218" s="69">
        <f t="shared" si="1559"/>
        <v>14596.535352061206</v>
      </c>
      <c r="EX218" s="130">
        <f t="shared" ref="EX218:EX219" si="1563">IF(ISERROR((EW218/EO218-1)*100),"NA",IF(((EW218/EO218-1)*100)&gt;100,"NM",IF(((EW218/EO218-1)*100)&lt;-50,"NM",(EW218/EO218-1)*100)))</f>
        <v>9.0636631080151417</v>
      </c>
      <c r="EY218" s="64"/>
      <c r="EZ218" s="558"/>
      <c r="FA218" s="64"/>
      <c r="FB218" s="69"/>
      <c r="FC218" s="71"/>
      <c r="FD218" s="69"/>
      <c r="FE218" s="70"/>
      <c r="FF218" s="69"/>
      <c r="FG218" s="70"/>
      <c r="FH218" s="69"/>
      <c r="FI218" s="70"/>
      <c r="FJ218" s="69"/>
      <c r="FK218" s="70"/>
      <c r="FL218" s="69"/>
      <c r="FM218" s="61"/>
      <c r="FN218" s="69"/>
      <c r="FO218" s="61"/>
      <c r="FP218" s="73">
        <f>AVERAGE(FP208,FP214)</f>
        <v>2134.5</v>
      </c>
      <c r="FQ218" s="61" t="str">
        <f t="shared" si="1506"/>
        <v>NA</v>
      </c>
      <c r="FR218" s="73">
        <f>AVERAGE(FR208,FR214)</f>
        <v>3420</v>
      </c>
      <c r="FS218" s="61">
        <f>IF(ISERROR((FR218/FP218-1)*100),"NA",IF(((FR218/FP218-1)*100)&gt;100,"NM",IF(((FR218/FP218-1)*100)&lt;-50,"NM",(FR218/FP218-1)*100)))</f>
        <v>60.224877020379488</v>
      </c>
      <c r="FT218" s="73">
        <f>AVERAGE(FT208,FT214)</f>
        <v>5823</v>
      </c>
      <c r="FU218" s="61">
        <f>IF(ISERROR((FT218/FR218-1)*100),"NA",IF(((FT218/FR218-1)*100)&gt;100,"NM",IF(((FT218/FR218-1)*100)&lt;-50,"NM",(FT218/FR218-1)*100)))</f>
        <v>70.26315789473685</v>
      </c>
      <c r="FV218" s="73">
        <f>AVERAGE(FV208,FV214)</f>
        <v>5145.5</v>
      </c>
      <c r="FW218" s="61">
        <f>IF(ISERROR((FV218/FT218-1)*100),"NA",IF(((FV218/FT218-1)*100)&gt;100,"NM",IF(((FV218/FT218-1)*100)&lt;-50,"NM",(FV218/FT218-1)*100)))</f>
        <v>-11.634896101665804</v>
      </c>
      <c r="FX218" s="73">
        <f>AVERAGE(FX208,FX214)</f>
        <v>4769</v>
      </c>
      <c r="FY218" s="61">
        <f>IF(ISERROR((FX218/FV218-1)*100),"NA",IF(((FX218/FV218-1)*100)&gt;100,"NM",IF(((FX218/FV218-1)*100)&lt;-50,"NM",(FX218/FV218-1)*100)))</f>
        <v>-7.3170731707317032</v>
      </c>
      <c r="FZ218" s="73">
        <f>AVERAGE(FZ208,FZ214)</f>
        <v>5624.5</v>
      </c>
      <c r="GA218" s="61">
        <f>IF(ISERROR((FZ218/FX218-1)*100),"NA",IF(((FZ218/FX218-1)*100)&gt;100,"NM",IF(((FZ218/FX218-1)*100)&lt;-50,"NM",(FZ218/FX218-1)*100)))</f>
        <v>17.938771230866003</v>
      </c>
      <c r="GB218" s="73">
        <f>AVERAGE(GB208,GB214)</f>
        <v>5824.5</v>
      </c>
      <c r="GC218" s="61">
        <f>IF(ISERROR((GB218/FZ218-1)*100),"NA",IF(((GB218/FZ218-1)*100)&gt;100,"NM",IF(((GB218/FZ218-1)*100)&lt;-50,"NM",(GB218/FZ218-1)*100)))</f>
        <v>3.5558716330340578</v>
      </c>
      <c r="GD218" s="73">
        <f>AVERAGE(GD208,GD214)</f>
        <v>6105</v>
      </c>
      <c r="GE218" s="61">
        <f>IF(ISERROR((GD218/GB218-1)*100),"NA",IF(((GD218/GB218-1)*100)&gt;100,"NM",IF(((GD218/GB218-1)*100)&lt;-50,"NM",(GD218/GB218-1)*100)))</f>
        <v>4.8158640226628968</v>
      </c>
      <c r="GF218" s="73">
        <f>AVERAGE(GF208,GF214)</f>
        <v>7308.5</v>
      </c>
      <c r="GG218" s="61">
        <f>IF(ISERROR((GF218/GD218-1)*100),"NA",IF(((GF218/GD218-1)*100)&gt;100,"NM",IF(((GF218/GD218-1)*100)&lt;-50,"NM",(GF218/GD218-1)*100)))</f>
        <v>19.713349713349704</v>
      </c>
      <c r="GH218" s="73">
        <f>AVERAGE(GH208,GH214)</f>
        <v>8678.5</v>
      </c>
      <c r="GI218" s="61">
        <f>IF(ISERROR((GH218/GF218-1)*100),"NA",IF(((GH218/GF218-1)*100)&gt;100,"NM",IF(((GH218/GF218-1)*100)&lt;-50,"NM",(GH218/GF218-1)*100)))</f>
        <v>18.745296572484094</v>
      </c>
      <c r="GJ218" s="73">
        <f>AVERAGE(GJ208,GJ214)</f>
        <v>9479.5</v>
      </c>
      <c r="GK218" s="61">
        <f>IF(ISERROR((GJ218/GH218-1)*100),"NA",IF(((GJ218/GH218-1)*100)&gt;100,"NM",IF(((GJ218/GH218-1)*100)&lt;-50,"NM",(GJ218/GH218-1)*100)))</f>
        <v>9.2297055942847308</v>
      </c>
      <c r="GL218" s="73">
        <f>AVERAGE(GL208,GL214)</f>
        <v>10377</v>
      </c>
      <c r="GM218" s="61">
        <f>IF(ISERROR((GL218/GJ218-1)*100),"NA",IF(((GL218/GJ218-1)*100)&gt;100,"NM",IF(((GL218/GJ218-1)*100)&lt;-50,"NM",(GL218/GJ218-1)*100)))</f>
        <v>9.4677989345429694</v>
      </c>
      <c r="GN218" s="73">
        <f>AVERAGE(GN208,GN214)</f>
        <v>12454.5</v>
      </c>
      <c r="GO218" s="61">
        <f>IF(ISERROR((GN218/GL218-1)*100),"NA",IF(((GN218/GL218-1)*100)&gt;100,"NM",IF(((GN218/GL218-1)*100)&lt;-50,"NM",(GN218/GL218-1)*100)))</f>
        <v>20.020237062734903</v>
      </c>
      <c r="GP218" s="73">
        <f>AVERAGE(GP208,GP214)</f>
        <v>14371.59148554555</v>
      </c>
      <c r="GQ218" s="61">
        <f>IF(ISERROR((GP218/GN218-1)*100),"NA",IF(((GP218/GN218-1)*100)&gt;100,"NM",IF(((GP218/GN218-1)*100)&lt;-50,"NM",(GP218/GN218-1)*100)))</f>
        <v>15.392761536356737</v>
      </c>
      <c r="GR218" s="69">
        <f>AVERAGE(GR208,GR214)</f>
        <v>15228.32539865061</v>
      </c>
      <c r="GS218" s="61">
        <f>IF(ISERROR((GR218/GP218-1)*100),"NA",IF(((GR218/GP218-1)*100)&gt;100,"NM",IF(((GR218/GP218-1)*100)&lt;-50,"NM",(GR218/GP218-1)*100)))</f>
        <v>5.9613015995252372</v>
      </c>
      <c r="GT218" s="69">
        <f>AVERAGE(GT208,GT214)</f>
        <v>15940.345156049632</v>
      </c>
      <c r="GU218" s="61">
        <f>IF(ISERROR((GT218/GR218-1)*100),"NA",IF(((GT218/GR218-1)*100)&gt;100,"NM",IF(((GT218/GR218-1)*100)&lt;-50,"NM",(GT218/GR218-1)*100)))</f>
        <v>4.6756274164072797</v>
      </c>
      <c r="GV218" s="69">
        <f>AVERAGE(GV208,GV214)</f>
        <v>16733.437178112355</v>
      </c>
      <c r="GW218" s="61">
        <f>IF(ISERROR((GV218/GT218-1)*100),"NA",IF(((GV218/GT218-1)*100)&gt;100,"NM",IF(((GV218/GT218-1)*100)&lt;-50,"NM",(GV218/GT218-1)*100)))</f>
        <v>4.9753754658300453</v>
      </c>
      <c r="GX218" s="69">
        <f>AVERAGE(GX208,GX214)</f>
        <v>17610.950073184555</v>
      </c>
      <c r="GY218" s="61">
        <f>IF(ISERROR((GX218/GV218-1)*100),"NA",IF(((GX218/GV218-1)*100)&gt;100,"NM",IF(((GX218/GV218-1)*100)&lt;-50,"NM",(GX218/GV218-1)*100)))</f>
        <v>5.2440684225952161</v>
      </c>
      <c r="GZ218" s="61">
        <f t="shared" si="1440"/>
        <v>7.1744584667159383</v>
      </c>
      <c r="HA218" s="61"/>
      <c r="HB218" s="452"/>
      <c r="HC218"/>
      <c r="HD218"/>
      <c r="HE218"/>
      <c r="HF218"/>
      <c r="HG218"/>
      <c r="HH218"/>
    </row>
    <row r="219" spans="1:216" s="5" customFormat="1" ht="12.75" customHeight="1" x14ac:dyDescent="0.2">
      <c r="B219" s="154" t="s">
        <v>588</v>
      </c>
      <c r="C219" s="66"/>
      <c r="D219" s="67"/>
      <c r="E219" s="66"/>
      <c r="F219" s="66"/>
      <c r="G219" s="64"/>
      <c r="H219" s="66"/>
      <c r="I219" s="64"/>
      <c r="J219" s="66"/>
      <c r="K219" s="64"/>
      <c r="L219" s="61"/>
      <c r="M219" s="66"/>
      <c r="N219" s="61"/>
      <c r="O219" s="64"/>
      <c r="P219" s="61"/>
      <c r="Q219" s="64"/>
      <c r="R219" s="61"/>
      <c r="S219" s="64"/>
      <c r="T219" s="61"/>
      <c r="U219" s="64"/>
      <c r="V219" s="61"/>
      <c r="W219" s="64"/>
      <c r="X219" s="61"/>
      <c r="Y219" s="64"/>
      <c r="Z219" s="61"/>
      <c r="AA219" s="64"/>
      <c r="AB219" s="61"/>
      <c r="AC219" s="64"/>
      <c r="AD219" s="61"/>
      <c r="AE219" s="64"/>
      <c r="AF219" s="61"/>
      <c r="AG219" s="64"/>
      <c r="AH219" s="61"/>
      <c r="AI219" s="64"/>
      <c r="AJ219" s="61"/>
      <c r="AK219" s="64"/>
      <c r="AL219" s="61"/>
      <c r="AM219" s="64"/>
      <c r="AN219" s="61"/>
      <c r="AO219" s="64"/>
      <c r="AP219" s="61"/>
      <c r="AQ219" s="64"/>
      <c r="AR219" s="61"/>
      <c r="AS219" s="64"/>
      <c r="AT219" s="61"/>
      <c r="AU219" s="64"/>
      <c r="AV219" s="61"/>
      <c r="AW219" s="64"/>
      <c r="AX219" s="61"/>
      <c r="AY219" s="69">
        <f>AVERAGE(AY208,AY216)</f>
        <v>2298</v>
      </c>
      <c r="AZ219" s="61"/>
      <c r="BA219" s="69">
        <f>AVERAGE(BA208,BA216)</f>
        <v>3274</v>
      </c>
      <c r="BB219" s="61"/>
      <c r="BC219" s="69">
        <f>AVERAGE(BC208,BC216)</f>
        <v>4249</v>
      </c>
      <c r="BD219" s="61"/>
      <c r="BE219" s="69">
        <f>AVERAGE(BE208,BE216)</f>
        <v>4452</v>
      </c>
      <c r="BF219" s="61"/>
      <c r="BG219" s="69">
        <f>AVERAGE(BG208,BG216)</f>
        <v>5654</v>
      </c>
      <c r="BH219" s="61" t="str">
        <f>IF(ISERROR((BG219/AY219-1)*100),"NA",IF(((BG219/AY219-1)*100)&gt;100,"NM",IF(((BG219/AY219-1)*100)&lt;-50,"NM",(BG219/AY219-1)*100)))</f>
        <v>NM</v>
      </c>
      <c r="BI219" s="69">
        <f>AVERAGE(BI208,BI216)</f>
        <v>5828</v>
      </c>
      <c r="BJ219" s="61">
        <f>IF(ISERROR((BI219/BA219-1)*100),"NA",IF(((BI219/BA219-1)*100)&gt;100,"NM",IF(((BI219/BA219-1)*100)&lt;-50,"NM",(BI219/BA219-1)*100)))</f>
        <v>78.008552229688462</v>
      </c>
      <c r="BK219" s="69">
        <f>AVERAGE(BK208,BK216)</f>
        <v>6029</v>
      </c>
      <c r="BL219" s="61">
        <f>IF(ISERROR((BK219/BC219-1)*100),"NA",IF(((BK219/BC219-1)*100)&gt;100,"NM",IF(((BK219/BC219-1)*100)&lt;-50,"NM",(BK219/BC219-1)*100)))</f>
        <v>41.892209931748646</v>
      </c>
      <c r="BM219" s="69">
        <f>AVERAGE(BM208,BM216)</f>
        <v>6072</v>
      </c>
      <c r="BN219" s="61">
        <f>IF(ISERROR((BM219/BE219-1)*100),"NA",IF(((BM219/BE219-1)*100)&gt;100,"NM",IF(((BM219/BE219-1)*100)&lt;-50,"NM",(BM219/BE219-1)*100)))</f>
        <v>36.388140161725069</v>
      </c>
      <c r="BO219" s="69">
        <f>AVERAGE(BO208,BO216)</f>
        <v>5827.5</v>
      </c>
      <c r="BP219" s="61">
        <f>IF(ISERROR((BO219/BG219-1)*100),"NA",IF(((BO219/BG219-1)*100)&gt;100,"NM",IF(((BO219/BG219-1)*100)&lt;-50,"NM",(BO219/BG219-1)*100)))</f>
        <v>3.0686239830208795</v>
      </c>
      <c r="BQ219" s="69">
        <f>AVERAGE(BQ208,BQ216)</f>
        <v>5619</v>
      </c>
      <c r="BR219" s="61">
        <f>IF(ISERROR((BQ219/BI219-1)*100),"NA",IF(((BQ219/BI219-1)*100)&gt;100,"NM",IF(((BQ219/BI219-1)*100)&lt;-50,"NM",(BQ219/BI219-1)*100)))</f>
        <v>-3.5861358956760458</v>
      </c>
      <c r="BS219" s="69">
        <f>AVERAGE(BS208,BS216)</f>
        <v>5339.5</v>
      </c>
      <c r="BT219" s="61">
        <f>IF(ISERROR((BS219/BK219-1)*100),"NA",IF(((BS219/BK219-1)*100)&gt;100,"NM",IF(((BS219/BK219-1)*100)&lt;-50,"NM",(BS219/BK219-1)*100)))</f>
        <v>-11.43639077790678</v>
      </c>
      <c r="BU219" s="69">
        <f>AVERAGE(BU208,BU216)</f>
        <v>4653.5</v>
      </c>
      <c r="BV219" s="61">
        <f>IF(ISERROR((BU219/BM219-1)*100),"NA",IF(((BU219/BM219-1)*100)&gt;100,"NM",IF(((BU219/BM219-1)*100)&lt;-50,"NM",(BU219/BM219-1)*100)))</f>
        <v>-23.361330698287219</v>
      </c>
      <c r="BW219" s="69">
        <f>AVERAGE(BW208,BW216)</f>
        <v>3801.5</v>
      </c>
      <c r="BX219" s="61">
        <f>IF(ISERROR((BW219/BO219-1)*100),"NA",IF(((BW219/BO219-1)*100)&gt;100,"NM",IF(((BW219/BO219-1)*100)&lt;-50,"NM",(BW219/BO219-1)*100)))</f>
        <v>-34.766194766194772</v>
      </c>
      <c r="BY219" s="69">
        <f>AVERAGE(BY208,BY216)</f>
        <v>3917.5</v>
      </c>
      <c r="BZ219" s="61">
        <f>IF(ISERROR((BY219/BQ219-1)*100),"NA",IF(((BY219/BQ219-1)*100)&gt;100,"NM",IF(((BY219/BQ219-1)*100)&lt;-50,"NM",(BY219/BQ219-1)*100)))</f>
        <v>-30.281188823634096</v>
      </c>
      <c r="CA219" s="69">
        <f>AVERAGE(CA208,CA216)</f>
        <v>4465.5</v>
      </c>
      <c r="CB219" s="61">
        <f>IF(ISERROR((CA219/BS219-1)*100),"NA",IF(((CA219/BS219-1)*100)&gt;100,"NM",IF(((CA219/BS219-1)*100)&lt;-50,"NM",(CA219/BS219-1)*100)))</f>
        <v>-16.368573836501543</v>
      </c>
      <c r="CC219" s="69">
        <f>AVERAGE(CC208,CC216)</f>
        <v>4821.5</v>
      </c>
      <c r="CD219" s="61">
        <f>IF(ISERROR((CC219/BU219-1)*100),"NA",IF(((CC219/BU219-1)*100)&gt;100,"NM",IF(((CC219/BU219-1)*100)&lt;-50,"NM",(CC219/BU219-1)*100)))</f>
        <v>3.6101858815944965</v>
      </c>
      <c r="CE219" s="69">
        <f>AVERAGE(CE208,CE216)</f>
        <v>4958.5</v>
      </c>
      <c r="CF219" s="61">
        <f>IF(ISERROR((CE219/BW219-1)*100),"NA",IF(((CE219/BW219-1)*100)&gt;100,"NM",IF(((CE219/BW219-1)*100)&lt;-50,"NM",(CE219/BW219-1)*100)))</f>
        <v>30.435354465342623</v>
      </c>
      <c r="CG219" s="69">
        <f>AVERAGE(CG208,CG216)</f>
        <v>4875.5</v>
      </c>
      <c r="CH219" s="61">
        <f>IF(ISERROR((CG219/BY219-1)*100),"NA",IF(((CG219/BY219-1)*100)&gt;100,"NM",IF(((CG219/BY219-1)*100)&lt;-50,"NM",(CG219/BY219-1)*100)))</f>
        <v>24.454371410338215</v>
      </c>
      <c r="CI219" s="69">
        <f>AVERAGE(CI208,CI216)</f>
        <v>4893</v>
      </c>
      <c r="CJ219" s="61">
        <f>IF(ISERROR((CI219/CA219-1)*100),"NA",IF(((CI219/CA219-1)*100)&gt;100,"NM",IF(((CI219/CA219-1)*100)&lt;-50,"NM",(CI219/CA219-1)*100)))</f>
        <v>9.5733960362781367</v>
      </c>
      <c r="CK219" s="69">
        <f>AVERAGE(CK208,CK216)</f>
        <v>5335</v>
      </c>
      <c r="CL219" s="61">
        <f>IF(ISERROR((CK219/CC219-1)*100),"NA",IF(((CK219/CC219-1)*100)&gt;100,"NM",IF(((CK219/CC219-1)*100)&lt;-50,"NM",(CK219/CC219-1)*100)))</f>
        <v>10.65021258944312</v>
      </c>
      <c r="CM219" s="69">
        <f>AVERAGE(CM208,CM216)</f>
        <v>5628.5</v>
      </c>
      <c r="CN219" s="61">
        <f>IF(ISERROR((CM219/CE219-1)*100),"NA",IF(((CM219/CE219-1)*100)&gt;100,"NM",IF(((CM219/CE219-1)*100)&lt;-50,"NM",(CM219/CE219-1)*100)))</f>
        <v>13.512150852072203</v>
      </c>
      <c r="CO219" s="69">
        <f>AVERAGE(CO208,CO216)</f>
        <v>5735.5</v>
      </c>
      <c r="CP219" s="61">
        <f>IF(ISERROR((CO219/CG219-1)*100),"NA",IF(((CO219/CG219-1)*100)&gt;100,"NM",IF(((CO219/CG219-1)*100)&lt;-50,"NM",(CO219/CG219-1)*100)))</f>
        <v>17.639216490616349</v>
      </c>
      <c r="CQ219" s="69">
        <f>AVERAGE(CQ208,CQ216)</f>
        <v>5407.5</v>
      </c>
      <c r="CR219" s="61">
        <f>IF(ISERROR((CQ219/CI219-1)*100),"NA",IF(((CQ219/CI219-1)*100)&gt;100,"NM",IF(((CQ219/CI219-1)*100)&lt;-50,"NM",(CQ219/CI219-1)*100)))</f>
        <v>10.515021459227469</v>
      </c>
      <c r="CS219" s="69">
        <f>AVERAGE(CS208,CS216)</f>
        <v>5152</v>
      </c>
      <c r="CT219" s="61">
        <f>IF(ISERROR((CS219/CK219-1)*100),"NA",IF(((CS219/CK219-1)*100)&gt;100,"NM",IF(((CS219/CK219-1)*100)&lt;-50,"NM",(CS219/CK219-1)*100)))</f>
        <v>-3.430178069353329</v>
      </c>
      <c r="CU219" s="69">
        <f>AVERAGE(CU208,CU216)</f>
        <v>5531.5</v>
      </c>
      <c r="CV219" s="61">
        <f>IF(ISERROR((CU219/CM219-1)*100),"NA",IF(((CU219/CM219-1)*100)&gt;100,"NM",IF(((CU219/CM219-1)*100)&lt;-50,"NM",(CU219/CM219-1)*100)))</f>
        <v>-1.7233721240117239</v>
      </c>
      <c r="CW219" s="69">
        <f>AVERAGE(CW208,CW216)</f>
        <v>5716</v>
      </c>
      <c r="CX219" s="61">
        <f>IF(ISERROR((CW219/CO219-1)*100),"NA",IF(((CW219/CO219-1)*100)&gt;100,"NM",IF(((CW219/CO219-1)*100)&lt;-50,"NM",(CW219/CO219-1)*100)))</f>
        <v>-0.33998779530991508</v>
      </c>
      <c r="CY219" s="69">
        <f>AVERAGE(CY208,CY216)</f>
        <v>5727.5</v>
      </c>
      <c r="CZ219" s="61">
        <f>IF(ISERROR((CY219/CQ219-1)*100),"NA",IF(((CY219/CQ219-1)*100)&gt;100,"NM",IF(((CY219/CQ219-1)*100)&lt;-50,"NM",(CY219/CQ219-1)*100)))</f>
        <v>5.917706888580665</v>
      </c>
      <c r="DA219" s="69">
        <f>AVERAGE(DA208,DA216)</f>
        <v>5996.5</v>
      </c>
      <c r="DB219" s="61">
        <f>IF(ISERROR((DA219/CS219-1)*100),"NA",IF(((DA219/CS219-1)*100)&gt;100,"NM",IF(((DA219/CS219-1)*100)&lt;-50,"NM",(DA219/CS219-1)*100)))</f>
        <v>16.391692546583858</v>
      </c>
      <c r="DC219" s="69">
        <f>AVERAGE(DC208,DC216)</f>
        <v>6277.5</v>
      </c>
      <c r="DD219" s="61">
        <f>IF(ISERROR((DC219/CU219-1)*100),"NA",IF(((DC219/CU219-1)*100)&gt;100,"NM",IF(((DC219/CU219-1)*100)&lt;-50,"NM",(DC219/CU219-1)*100)))</f>
        <v>13.486396095091745</v>
      </c>
      <c r="DE219" s="69">
        <f>AVERAGE(DE208,DE216)</f>
        <v>6508</v>
      </c>
      <c r="DF219" s="61">
        <f>IF(ISERROR((DE219/CW219-1)*100),"NA",IF(((DE219/CW219-1)*100)&gt;100,"NM",IF(((DE219/CW219-1)*100)&lt;-50,"NM",(DE219/CW219-1)*100)))</f>
        <v>13.85584324702589</v>
      </c>
      <c r="DG219" s="69">
        <f>AVERAGE(DG208,DG216)</f>
        <v>6788</v>
      </c>
      <c r="DH219" s="61">
        <f>IF(ISERROR((DG219/CY219-1)*100),"NA",IF(((DG219/CY219-1)*100)&gt;100,"NM",IF(((DG219/CY219-1)*100)&lt;-50,"NM",(DG219/CY219-1)*100)))</f>
        <v>18.51593190746399</v>
      </c>
      <c r="DI219" s="69">
        <f>AVERAGE(DI208,DI216)</f>
        <v>7327</v>
      </c>
      <c r="DJ219" s="61">
        <f>IF(ISERROR((DI219/DA219-1)*100),"NA",IF(((DI219/DA219-1)*100)&gt;100,"NM",IF(((DI219/DA219-1)*100)&lt;-50,"NM",(DI219/DA219-1)*100)))</f>
        <v>22.187942966730589</v>
      </c>
      <c r="DK219" s="69">
        <f>AVERAGE(DK208,DK216)</f>
        <v>7782</v>
      </c>
      <c r="DL219" s="61">
        <f>IF(ISERROR((DK219/DC219-1)*100),"NA",IF(((DK219/DC219-1)*100)&gt;100,"NM",IF(((DK219/DC219-1)*100)&lt;-50,"NM",(DK219/DC219-1)*100)))</f>
        <v>23.966547192353648</v>
      </c>
      <c r="DM219" s="69">
        <f>AVERAGE(DM208,DM216)</f>
        <v>8147.5</v>
      </c>
      <c r="DN219" s="130">
        <f t="shared" si="1544"/>
        <v>25.192071296865404</v>
      </c>
      <c r="DO219" s="69">
        <f>AVERAGE(DO208,DO216)</f>
        <v>8412</v>
      </c>
      <c r="DP219" s="130">
        <f t="shared" si="1544"/>
        <v>23.924572775486141</v>
      </c>
      <c r="DQ219" s="69">
        <f>AVERAGE(DQ208,DQ216)</f>
        <v>8619.5</v>
      </c>
      <c r="DR219" s="130">
        <f t="shared" si="1544"/>
        <v>17.640234748191631</v>
      </c>
      <c r="DS219" s="69">
        <f>AVERAGE(DS208,DS216)</f>
        <v>9008</v>
      </c>
      <c r="DT219" s="130">
        <f t="shared" si="1544"/>
        <v>15.754304805962471</v>
      </c>
      <c r="DU219" s="69">
        <f>AVERAGE(DU208,DU216)</f>
        <v>9268.5</v>
      </c>
      <c r="DV219" s="130">
        <f t="shared" si="1544"/>
        <v>13.75882172445535</v>
      </c>
      <c r="DW219" s="69">
        <f>AVERAGE(DW208,DW216)</f>
        <v>9095.5</v>
      </c>
      <c r="DX219" s="69">
        <f t="shared" ref="DX219:DY219" si="1564">AVERAGE(DX208,DX216)</f>
        <v>-660.04987559375706</v>
      </c>
      <c r="DY219" s="69">
        <f t="shared" si="1564"/>
        <v>9050</v>
      </c>
      <c r="DZ219" s="130">
        <f t="shared" si="1544"/>
        <v>4.9944892395150431</v>
      </c>
      <c r="EA219" s="69">
        <f t="shared" ref="EA219:EC219" si="1565">AVERAGE(EA208,EA216)</f>
        <v>9370</v>
      </c>
      <c r="EB219" s="130">
        <f t="shared" si="1547"/>
        <v>4.0186500888099497</v>
      </c>
      <c r="EC219" s="69">
        <f t="shared" si="1565"/>
        <v>9608.5</v>
      </c>
      <c r="ED219" s="130">
        <f t="shared" si="1548"/>
        <v>3.6683389976803094</v>
      </c>
      <c r="EE219" s="69">
        <f t="shared" ref="EE219:EG219" si="1566">AVERAGE(EE208,EE216)</f>
        <v>10067.5</v>
      </c>
      <c r="EF219" s="130">
        <f t="shared" si="1550"/>
        <v>10.686603265351003</v>
      </c>
      <c r="EG219" s="69">
        <f t="shared" si="1566"/>
        <v>10513.5</v>
      </c>
      <c r="EH219" s="130">
        <f t="shared" si="1551"/>
        <v>16.171270718232034</v>
      </c>
      <c r="EI219" s="69">
        <f t="shared" ref="EI219:EK219" si="1567">AVERAGE(EI208,EI216)</f>
        <v>11003</v>
      </c>
      <c r="EJ219" s="130">
        <f t="shared" si="1553"/>
        <v>17.427961579509077</v>
      </c>
      <c r="EK219" s="69">
        <f t="shared" si="1567"/>
        <v>11616</v>
      </c>
      <c r="EL219" s="130">
        <f t="shared" si="1554"/>
        <v>20.892959358900963</v>
      </c>
      <c r="EM219" s="69">
        <f t="shared" ref="EM219" si="1568">AVERAGE(EM208,EM216)</f>
        <v>12180.5</v>
      </c>
      <c r="EN219" s="130">
        <f t="shared" si="1556"/>
        <v>20.988328780730072</v>
      </c>
      <c r="EO219" s="69">
        <f t="shared" ref="EO219" si="1569">AVERAGE(EO208,EO216)</f>
        <v>12946</v>
      </c>
      <c r="EP219" s="130">
        <f t="shared" si="1558"/>
        <v>23.136919199124929</v>
      </c>
      <c r="EQ219" s="69">
        <f t="shared" ref="EQ219:EW219" si="1570">AVERAGE(EQ208,EQ216)</f>
        <v>13387.329189790133</v>
      </c>
      <c r="ER219" s="130">
        <f t="shared" si="1560"/>
        <v>21.669809959012376</v>
      </c>
      <c r="ES219" s="69">
        <f t="shared" si="1570"/>
        <v>13495.714169687104</v>
      </c>
      <c r="ET219" s="130">
        <f t="shared" si="1561"/>
        <v>16.182112342347654</v>
      </c>
      <c r="EU219" s="69">
        <f t="shared" si="1570"/>
        <v>13746.828846412629</v>
      </c>
      <c r="EV219" s="130">
        <f t="shared" si="1562"/>
        <v>12.859314859099612</v>
      </c>
      <c r="EW219" s="69">
        <f t="shared" si="1570"/>
        <v>14159.035352061206</v>
      </c>
      <c r="EX219" s="130">
        <f t="shared" si="1563"/>
        <v>9.3699625526124422</v>
      </c>
      <c r="EY219" s="64"/>
      <c r="EZ219" s="558"/>
      <c r="FA219" s="64"/>
      <c r="FB219" s="66"/>
      <c r="FC219" s="66"/>
      <c r="FD219" s="66"/>
      <c r="FE219" s="67"/>
      <c r="FF219" s="66"/>
      <c r="FG219" s="67"/>
      <c r="FH219" s="66"/>
      <c r="FI219" s="67"/>
      <c r="FJ219" s="66"/>
      <c r="FK219" s="67"/>
      <c r="FL219" s="66"/>
      <c r="FM219" s="61"/>
      <c r="FN219" s="66"/>
      <c r="FO219" s="61"/>
      <c r="FP219" s="65"/>
      <c r="FQ219" s="61"/>
      <c r="FR219" s="65"/>
      <c r="FS219" s="61"/>
      <c r="FT219" s="65"/>
      <c r="FU219" s="61"/>
      <c r="FV219" s="65">
        <f>AVERAGE(FV216, FT216)</f>
        <v>5145.5</v>
      </c>
      <c r="FW219" s="61" t="str">
        <f>IF(ISERROR((FV219/FT219-1)*100),"NA",IF(((FV219/FT219-1)*100)&gt;100,"NM",IF(((FV219/FT219-1)*100)&lt;-50,"NM",(FV219/FT219-1)*100)))</f>
        <v>NA</v>
      </c>
      <c r="FX219" s="65">
        <f>AVERAGE(FX216, FV216)</f>
        <v>4769</v>
      </c>
      <c r="FY219" s="61">
        <f>IF(ISERROR((FX219/FV219-1)*100),"NA",IF(((FX219/FV219-1)*100)&gt;100,"NM",IF(((FX219/FV219-1)*100)&lt;-50,"NM",(FX219/FV219-1)*100)))</f>
        <v>-7.3170731707317032</v>
      </c>
      <c r="FZ219" s="65">
        <f>AVERAGE(FZ216, FX216)</f>
        <v>5624.5</v>
      </c>
      <c r="GA219" s="61">
        <f>IF(ISERROR((FZ219/FX219-1)*100),"NA",IF(((FZ219/FX219-1)*100)&gt;100,"NM",IF(((FZ219/FX219-1)*100)&lt;-50,"NM",(FZ219/FX219-1)*100)))</f>
        <v>17.938771230866003</v>
      </c>
      <c r="GB219" s="65">
        <f>AVERAGE(GB216, FZ216)</f>
        <v>5824.5</v>
      </c>
      <c r="GC219" s="61">
        <f>IF(ISERROR((GB219/FZ219-1)*100),"NA",IF(((GB219/FZ219-1)*100)&gt;100,"NM",IF(((GB219/FZ219-1)*100)&lt;-50,"NM",(GB219/FZ219-1)*100)))</f>
        <v>3.5558716330340578</v>
      </c>
      <c r="GD219" s="65">
        <f>AVERAGE(GD216, GB216)</f>
        <v>5709</v>
      </c>
      <c r="GE219" s="61">
        <f>IF(ISERROR((GD219/GB219-1)*100),"NA",IF(((GD219/GB219-1)*100)&gt;100,"NM",IF(((GD219/GB219-1)*100)&lt;-50,"NM",(GD219/GB219-1)*100)))</f>
        <v>-1.9830028328611915</v>
      </c>
      <c r="GF219" s="65">
        <f>AVERAGE(GF216, GD216)</f>
        <v>6466</v>
      </c>
      <c r="GG219" s="61">
        <f>IF(ISERROR((GF219/GD219-1)*100),"NA",IF(((GF219/GD219-1)*100)&gt;100,"NM",IF(((GF219/GD219-1)*100)&lt;-50,"NM",(GF219/GD219-1)*100)))</f>
        <v>13.25976528288666</v>
      </c>
      <c r="GH219" s="65">
        <f>AVERAGE(GH216, GF216)</f>
        <v>7793</v>
      </c>
      <c r="GI219" s="61">
        <f>IF(ISERROR((GH219/GF219-1)*100),"NA",IF(((GH219/GF219-1)*100)&gt;100,"NM",IF(((GH219/GF219-1)*100)&lt;-50,"NM",(GH219/GF219-1)*100)))</f>
        <v>20.52273430250542</v>
      </c>
      <c r="GJ219" s="65">
        <f>AVERAGE(GJ216, GH216)</f>
        <v>8636</v>
      </c>
      <c r="GK219" s="61">
        <f>IF(ISERROR((GJ219/GH219-1)*100),"NA",IF(((GJ219/GH219-1)*100)&gt;100,"NM",IF(((GJ219/GH219-1)*100)&lt;-50,"NM",(GJ219/GH219-1)*100)))</f>
        <v>10.817400230976526</v>
      </c>
      <c r="GL219" s="65">
        <f>AVERAGE(GL216, GJ216)</f>
        <v>9575.5</v>
      </c>
      <c r="GM219" s="61">
        <f>IF(ISERROR((GL219/GJ219-1)*100),"NA",IF(((GL219/GJ219-1)*100)&gt;100,"NM",IF(((GL219/GJ219-1)*100)&lt;-50,"NM",(GL219/GJ219-1)*100)))</f>
        <v>10.878879110699401</v>
      </c>
      <c r="GN219" s="65">
        <f>AVERAGE(GN216, GL216)</f>
        <v>11620</v>
      </c>
      <c r="GO219" s="61">
        <f>IF(ISERROR((GN219/GL219-1)*100),"NA",IF(((GN219/GL219-1)*100)&gt;100,"NM",IF(((GN219/GL219-1)*100)&lt;-50,"NM",(GN219/GL219-1)*100)))</f>
        <v>21.35136546394445</v>
      </c>
      <c r="GP219" s="65">
        <f>AVERAGE(GP216, GN216)</f>
        <v>13496.59148554555</v>
      </c>
      <c r="GQ219" s="61">
        <f>IF(ISERROR((GP219/GN219-1)*100),"NA",IF(((GP219/GN219-1)*100)&gt;100,"NM",IF(((GP219/GN219-1)*100)&lt;-50,"NM",(GP219/GN219-1)*100)))</f>
        <v>16.14966855030595</v>
      </c>
      <c r="GR219" s="65">
        <f>AVERAGE(GR216, GP216)</f>
        <v>14353.32539865061</v>
      </c>
      <c r="GS219" s="61">
        <f>IF(ISERROR((GR219/GP219-1)*100),"NA",IF(((GR219/GP219-1)*100)&gt;100,"NM",IF(((GR219/GP219-1)*100)&lt;-50,"NM",(GR219/GP219-1)*100)))</f>
        <v>6.3477798377656658</v>
      </c>
      <c r="GT219" s="65">
        <f>AVERAGE(GT216, GR216)</f>
        <v>15065.345156049632</v>
      </c>
      <c r="GU219" s="61">
        <f>IF(ISERROR((GT219/GR219-1)*100),"NA",IF(((GT219/GR219-1)*100)&gt;100,"NM",IF(((GT219/GR219-1)*100)&lt;-50,"NM",(GT219/GR219-1)*100)))</f>
        <v>4.9606605969231499</v>
      </c>
      <c r="GV219" s="65">
        <f>AVERAGE(GV216, GT216)</f>
        <v>15858.437178112357</v>
      </c>
      <c r="GW219" s="61">
        <f>IF(ISERROR((GV219/GT219-1)*100),"NA",IF(((GV219/GT219-1)*100)&gt;100,"NM",IF(((GV219/GT219-1)*100)&lt;-50,"NM",(GV219/GT219-1)*100)))</f>
        <v>5.2643468426891715</v>
      </c>
      <c r="GX219" s="65">
        <f>AVERAGE(GX216, GV216)</f>
        <v>16735.950073184555</v>
      </c>
      <c r="GY219" s="61">
        <f>IF(ISERROR((GX219/GV219-1)*100),"NA",IF(((GX219/GV219-1)*100)&gt;100,"NM",IF(((GX219/GV219-1)*100)&lt;-50,"NM",(GX219/GV219-1)*100)))</f>
        <v>5.5334134455779171</v>
      </c>
      <c r="GZ219" s="61">
        <f t="shared" si="1440"/>
        <v>7.5694253836002368</v>
      </c>
      <c r="HA219" s="61"/>
      <c r="HB219" s="452"/>
      <c r="HC219"/>
      <c r="HD219"/>
      <c r="HE219"/>
      <c r="HF219"/>
      <c r="HG219"/>
      <c r="HH219"/>
    </row>
    <row r="220" spans="1:216" s="5" customFormat="1" ht="12.75" customHeight="1" x14ac:dyDescent="0.2">
      <c r="B220" s="93"/>
      <c r="C220" s="66"/>
      <c r="D220" s="67"/>
      <c r="E220" s="66"/>
      <c r="F220" s="66"/>
      <c r="G220" s="64"/>
      <c r="H220" s="66"/>
      <c r="I220" s="64"/>
      <c r="J220" s="66"/>
      <c r="K220" s="64"/>
      <c r="L220" s="61"/>
      <c r="M220" s="66"/>
      <c r="N220" s="61"/>
      <c r="O220" s="64"/>
      <c r="P220" s="61"/>
      <c r="Q220" s="64"/>
      <c r="R220" s="61"/>
      <c r="S220" s="64"/>
      <c r="T220" s="61"/>
      <c r="U220" s="64"/>
      <c r="V220" s="61"/>
      <c r="W220" s="64"/>
      <c r="X220" s="61"/>
      <c r="Y220" s="64"/>
      <c r="Z220" s="61"/>
      <c r="AA220" s="64"/>
      <c r="AB220" s="61"/>
      <c r="AC220" s="64"/>
      <c r="AD220" s="61"/>
      <c r="AE220" s="64"/>
      <c r="AF220" s="61"/>
      <c r="AG220" s="64"/>
      <c r="AH220" s="61"/>
      <c r="AI220" s="64"/>
      <c r="AJ220" s="61"/>
      <c r="AK220" s="64"/>
      <c r="AL220" s="61"/>
      <c r="AM220" s="64"/>
      <c r="AN220" s="61"/>
      <c r="AO220" s="64"/>
      <c r="AP220" s="61"/>
      <c r="AQ220" s="64"/>
      <c r="AR220" s="61"/>
      <c r="AS220" s="64"/>
      <c r="AT220" s="61"/>
      <c r="AU220" s="64"/>
      <c r="AV220" s="61"/>
      <c r="AW220" s="64"/>
      <c r="AX220" s="61"/>
      <c r="AY220" s="64"/>
      <c r="AZ220" s="61"/>
      <c r="BA220" s="64"/>
      <c r="BB220" s="61"/>
      <c r="BC220" s="64"/>
      <c r="BD220" s="61"/>
      <c r="BE220" s="64"/>
      <c r="BF220" s="61"/>
      <c r="BG220" s="64"/>
      <c r="BH220" s="61"/>
      <c r="BI220" s="64"/>
      <c r="BJ220" s="61"/>
      <c r="BK220" s="64"/>
      <c r="BL220" s="61"/>
      <c r="BM220" s="64"/>
      <c r="BN220" s="61"/>
      <c r="BO220" s="64"/>
      <c r="BP220" s="61"/>
      <c r="BQ220" s="64"/>
      <c r="BR220" s="61"/>
      <c r="BS220" s="64"/>
      <c r="BT220" s="61"/>
      <c r="BU220" s="64"/>
      <c r="BV220" s="61"/>
      <c r="BW220" s="64"/>
      <c r="BX220" s="61"/>
      <c r="BY220" s="64"/>
      <c r="BZ220" s="61"/>
      <c r="CA220" s="64"/>
      <c r="CB220" s="61"/>
      <c r="CC220" s="64"/>
      <c r="CD220" s="61"/>
      <c r="CE220" s="64"/>
      <c r="CF220" s="61"/>
      <c r="CG220" s="64"/>
      <c r="CH220" s="61"/>
      <c r="CI220" s="64"/>
      <c r="CJ220" s="61"/>
      <c r="CK220" s="64"/>
      <c r="CL220" s="61"/>
      <c r="CM220" s="64"/>
      <c r="CN220" s="61"/>
      <c r="CO220" s="64"/>
      <c r="CP220" s="61"/>
      <c r="CQ220" s="64"/>
      <c r="CR220" s="61"/>
      <c r="CS220" s="64"/>
      <c r="CT220" s="61"/>
      <c r="CU220" s="64"/>
      <c r="CV220" s="61"/>
      <c r="CW220" s="64"/>
      <c r="CX220" s="61"/>
      <c r="CY220" s="64"/>
      <c r="CZ220" s="61"/>
      <c r="DA220" s="64"/>
      <c r="DB220" s="61"/>
      <c r="DC220" s="64"/>
      <c r="DD220" s="61"/>
      <c r="DE220" s="64"/>
      <c r="DF220" s="61"/>
      <c r="DG220" s="64"/>
      <c r="DH220" s="61"/>
      <c r="DI220" s="64"/>
      <c r="DJ220" s="61"/>
      <c r="DK220" s="64"/>
      <c r="DL220" s="61"/>
      <c r="DM220" s="64"/>
      <c r="DN220" s="61"/>
      <c r="DO220" s="64"/>
      <c r="DP220" s="61"/>
      <c r="DQ220" s="64"/>
      <c r="DR220" s="61"/>
      <c r="DS220" s="64"/>
      <c r="DT220" s="61"/>
      <c r="DU220" s="64"/>
      <c r="DV220" s="61"/>
      <c r="DW220" s="64"/>
      <c r="DX220" s="64"/>
      <c r="DY220" s="64"/>
      <c r="DZ220" s="61"/>
      <c r="EA220" s="64"/>
      <c r="EB220" s="61"/>
      <c r="EC220" s="64"/>
      <c r="ED220" s="61"/>
      <c r="EE220" s="64"/>
      <c r="EF220" s="61"/>
      <c r="EG220" s="64"/>
      <c r="EH220" s="61"/>
      <c r="EI220" s="64"/>
      <c r="EJ220" s="61"/>
      <c r="EK220" s="64"/>
      <c r="EL220" s="61"/>
      <c r="EM220" s="64"/>
      <c r="EN220" s="61"/>
      <c r="EO220" s="64"/>
      <c r="EP220" s="61"/>
      <c r="EQ220" s="64"/>
      <c r="ER220" s="61"/>
      <c r="ES220" s="64"/>
      <c r="ET220" s="61"/>
      <c r="EU220" s="64"/>
      <c r="EV220" s="61"/>
      <c r="EW220" s="64"/>
      <c r="EX220" s="61"/>
      <c r="EY220" s="64"/>
      <c r="EZ220" s="558"/>
      <c r="FA220" s="64"/>
      <c r="FB220" s="66"/>
      <c r="FC220" s="66"/>
      <c r="FD220" s="66"/>
      <c r="FE220" s="67"/>
      <c r="FF220" s="66"/>
      <c r="FG220" s="67"/>
      <c r="FH220" s="66"/>
      <c r="FI220" s="67"/>
      <c r="FJ220" s="66"/>
      <c r="FK220" s="67"/>
      <c r="FL220" s="66"/>
      <c r="FM220" s="61"/>
      <c r="FN220" s="66"/>
      <c r="FO220" s="61"/>
      <c r="FP220" s="65"/>
      <c r="FQ220" s="61"/>
      <c r="FR220" s="65"/>
      <c r="FS220" s="61"/>
      <c r="FT220" s="65"/>
      <c r="FU220" s="61"/>
      <c r="FV220" s="65"/>
      <c r="FW220" s="61"/>
      <c r="FX220" s="65"/>
      <c r="FY220" s="61"/>
      <c r="FZ220" s="65"/>
      <c r="GA220" s="61"/>
      <c r="GB220" s="65"/>
      <c r="GC220" s="61"/>
      <c r="GD220" s="65"/>
      <c r="GE220" s="61"/>
      <c r="GF220" s="65"/>
      <c r="GG220" s="61"/>
      <c r="GH220" s="65"/>
      <c r="GI220" s="61"/>
      <c r="GJ220" s="65"/>
      <c r="GK220" s="61"/>
      <c r="GL220" s="65"/>
      <c r="GM220" s="61"/>
      <c r="GN220" s="65"/>
      <c r="GO220" s="61"/>
      <c r="GP220" s="65"/>
      <c r="GQ220" s="61"/>
      <c r="GR220" s="64"/>
      <c r="GS220" s="61"/>
      <c r="GT220" s="64"/>
      <c r="GU220" s="61"/>
      <c r="GV220" s="64"/>
      <c r="GW220" s="61"/>
      <c r="GX220" s="64"/>
      <c r="GY220" s="61"/>
      <c r="GZ220" s="61" t="str">
        <f t="shared" si="1440"/>
        <v/>
      </c>
      <c r="HA220" s="61"/>
      <c r="HB220" s="452"/>
      <c r="HC220"/>
      <c r="HD220"/>
      <c r="HE220"/>
      <c r="HF220"/>
      <c r="HG220"/>
      <c r="HH220"/>
    </row>
    <row r="221" spans="1:216" s="5" customFormat="1" ht="12.75" customHeight="1" x14ac:dyDescent="0.2">
      <c r="A221" s="5" t="s">
        <v>358</v>
      </c>
      <c r="B221" s="2" t="s">
        <v>527</v>
      </c>
      <c r="C221" s="69"/>
      <c r="D221" s="70"/>
      <c r="E221" s="69"/>
      <c r="F221" s="71"/>
      <c r="G221" s="69"/>
      <c r="H221" s="71"/>
      <c r="I221" s="69"/>
      <c r="J221" s="61"/>
      <c r="K221" s="69"/>
      <c r="L221" s="61"/>
      <c r="M221" s="69"/>
      <c r="N221" s="61"/>
      <c r="O221" s="69"/>
      <c r="P221" s="61"/>
      <c r="Q221" s="69"/>
      <c r="R221" s="61"/>
      <c r="S221" s="69"/>
      <c r="T221" s="61"/>
      <c r="U221" s="69"/>
      <c r="V221" s="61"/>
      <c r="W221" s="69"/>
      <c r="X221" s="61"/>
      <c r="Y221" s="69"/>
      <c r="Z221" s="61"/>
      <c r="AA221" s="69"/>
      <c r="AB221" s="61"/>
      <c r="AC221" s="69"/>
      <c r="AD221" s="61"/>
      <c r="AE221" s="69"/>
      <c r="AF221" s="61"/>
      <c r="AG221" s="69"/>
      <c r="AH221" s="61"/>
      <c r="AI221" s="69"/>
      <c r="AJ221" s="61"/>
      <c r="AK221" s="69"/>
      <c r="AL221" s="61"/>
      <c r="AM221" s="69"/>
      <c r="AN221" s="61"/>
      <c r="AO221" s="69"/>
      <c r="AP221" s="61"/>
      <c r="AQ221" s="69">
        <f>AQ209+AQ210</f>
        <v>42</v>
      </c>
      <c r="AR221" s="61" t="str">
        <f>IF(ISERROR((AQ221/AI221-1)*100),"NA",IF(((AQ221/AI221-1)*100)&gt;100,"NM",IF(((AQ221/AI221-1)*100)&lt;-50,"NM",(AQ221/AI221-1)*100)))</f>
        <v>NA</v>
      </c>
      <c r="AS221" s="69">
        <f>AS209+AS210</f>
        <v>40</v>
      </c>
      <c r="AT221" s="61" t="str">
        <f>IF(ISERROR((AS221/AK221-1)*100),"NA",IF(((AS221/AK221-1)*100)&gt;100,"NM",IF(((AS221/AK221-1)*100)&lt;-50,"NM",(AS221/AK221-1)*100)))</f>
        <v>NA</v>
      </c>
      <c r="AU221" s="69">
        <f>AU209+AU210</f>
        <v>41</v>
      </c>
      <c r="AV221" s="61" t="str">
        <f>IF(ISERROR((AU221/AM221-1)*100),"NA",IF(((AU221/AM221-1)*100)&gt;100,"NM",IF(((AU221/AM221-1)*100)&lt;-50,"NM",(AU221/AM221-1)*100)))</f>
        <v>NA</v>
      </c>
      <c r="AW221" s="69">
        <f>AW209+AW210</f>
        <v>61</v>
      </c>
      <c r="AX221" s="61" t="str">
        <f>IF(ISERROR((AW221/AO221-1)*100),"NA",IF(((AW221/AO221-1)*100)&gt;100,"NM",IF(((AW221/AO221-1)*100)&lt;-50,"NM",(AW221/AO221-1)*100)))</f>
        <v>NA</v>
      </c>
      <c r="AY221" s="69">
        <f>AY209+AY210</f>
        <v>38</v>
      </c>
      <c r="AZ221" s="61">
        <f>IF(ISERROR((AY221/AQ221-1)*100),"NA",IF(((AY221/AQ221-1)*100)&gt;100,"NM",IF(((AY221/AQ221-1)*100)&lt;-50,"NM",(AY221/AQ221-1)*100)))</f>
        <v>-9.5238095238095237</v>
      </c>
      <c r="BA221" s="69">
        <f>BA209+BA210</f>
        <v>66</v>
      </c>
      <c r="BB221" s="61">
        <f>IF(ISERROR((BA221/AS221-1)*100),"NA",IF(((BA221/AS221-1)*100)&gt;100,"NM",IF(((BA221/AS221-1)*100)&lt;-50,"NM",(BA221/AS221-1)*100)))</f>
        <v>64.999999999999986</v>
      </c>
      <c r="BC221" s="69">
        <f>BC209+BC210</f>
        <v>49</v>
      </c>
      <c r="BD221" s="61">
        <f>IF(ISERROR((BC221/AU221-1)*100),"NA",IF(((BC221/AU221-1)*100)&gt;100,"NM",IF(((BC221/AU221-1)*100)&lt;-50,"NM",(BC221/AU221-1)*100)))</f>
        <v>19.512195121951216</v>
      </c>
      <c r="BE221" s="69">
        <f>BE209+BE210</f>
        <v>80</v>
      </c>
      <c r="BF221" s="61">
        <f>IF(ISERROR((BE221/AW221-1)*100),"NA",IF(((BE221/AW221-1)*100)&gt;100,"NM",IF(((BE221/AW221-1)*100)&lt;-50,"NM",(BE221/AW221-1)*100)))</f>
        <v>31.147540983606547</v>
      </c>
      <c r="BG221" s="69">
        <f>BG209+BG210</f>
        <v>80</v>
      </c>
      <c r="BH221" s="61" t="str">
        <f>IF(ISERROR((BG221/AY221-1)*100),"NA",IF(((BG221/AY221-1)*100)&gt;100,"NM",IF(((BG221/AY221-1)*100)&lt;-50,"NM",(BG221/AY221-1)*100)))</f>
        <v>NM</v>
      </c>
      <c r="BI221" s="69">
        <f>BI209+BI210</f>
        <v>33</v>
      </c>
      <c r="BJ221" s="61">
        <f>IF(ISERROR((BI221/BA221-1)*100),"NA",IF(((BI221/BA221-1)*100)&gt;100,"NM",IF(((BI221/BA221-1)*100)&lt;-50,"NM",(BI221/BA221-1)*100)))</f>
        <v>-50</v>
      </c>
      <c r="BK221" s="69">
        <f>BK209+BK210</f>
        <v>76</v>
      </c>
      <c r="BL221" s="61">
        <f>IF(ISERROR((BK221/BC221-1)*100),"NA",IF(((BK221/BC221-1)*100)&gt;100,"NM",IF(((BK221/BC221-1)*100)&lt;-50,"NM",(BK221/BC221-1)*100)))</f>
        <v>55.102040816326522</v>
      </c>
      <c r="BM221" s="69">
        <f>BM209+BM210</f>
        <v>125</v>
      </c>
      <c r="BN221" s="61">
        <f>IF(ISERROR((BM221/BE221-1)*100),"NA",IF(((BM221/BE221-1)*100)&gt;100,"NM",IF(((BM221/BE221-1)*100)&lt;-50,"NM",(BM221/BE221-1)*100)))</f>
        <v>56.25</v>
      </c>
      <c r="BO221" s="69">
        <f>BO209+BO210</f>
        <v>156</v>
      </c>
      <c r="BP221" s="61">
        <f>IF(ISERROR((BO221/BG221-1)*100),"NA",IF(((BO221/BG221-1)*100)&gt;100,"NM",IF(((BO221/BG221-1)*100)&lt;-50,"NM",(BO221/BG221-1)*100)))</f>
        <v>95</v>
      </c>
      <c r="BQ221" s="69">
        <f>BQ209+BQ210</f>
        <v>108</v>
      </c>
      <c r="BR221" s="61" t="str">
        <f>IF(ISERROR((BQ221/BI221-1)*100),"NA",IF(((BQ221/BI221-1)*100)&gt;100,"NM",IF(((BQ221/BI221-1)*100)&lt;-50,"NM",(BQ221/BI221-1)*100)))</f>
        <v>NM</v>
      </c>
      <c r="BS221" s="69">
        <f>BS209+BS210</f>
        <v>121</v>
      </c>
      <c r="BT221" s="61">
        <f>IF(ISERROR((BS221/BK221-1)*100),"NA",IF(((BS221/BK221-1)*100)&gt;100,"NM",IF(((BS221/BK221-1)*100)&lt;-50,"NM",(BS221/BK221-1)*100)))</f>
        <v>59.210526315789465</v>
      </c>
      <c r="BU221" s="69">
        <f>BU209+BU210</f>
        <v>178</v>
      </c>
      <c r="BV221" s="61">
        <f>IF(ISERROR((BU221/BM221-1)*100),"NA",IF(((BU221/BM221-1)*100)&gt;100,"NM",IF(((BU221/BM221-1)*100)&lt;-50,"NM",(BU221/BM221-1)*100)))</f>
        <v>42.399999999999991</v>
      </c>
      <c r="BW221" s="69">
        <f>BW209+BW210</f>
        <v>100</v>
      </c>
      <c r="BX221" s="61">
        <f>IF(ISERROR((BW221/BO221-1)*100),"NA",IF(((BW221/BO221-1)*100)&gt;100,"NM",IF(((BW221/BO221-1)*100)&lt;-50,"NM",(BW221/BO221-1)*100)))</f>
        <v>-35.897435897435891</v>
      </c>
      <c r="BY221" s="69">
        <f>BY209+BY210</f>
        <v>91</v>
      </c>
      <c r="BZ221" s="61">
        <f>IF(ISERROR((BY221/BQ221-1)*100),"NA",IF(((BY221/BQ221-1)*100)&gt;100,"NM",IF(((BY221/BQ221-1)*100)&lt;-50,"NM",(BY221/BQ221-1)*100)))</f>
        <v>-15.740740740740744</v>
      </c>
      <c r="CA221" s="69">
        <f>CA209+CA210</f>
        <v>79</v>
      </c>
      <c r="CB221" s="61">
        <f>IF(ISERROR((CA221/BS221-1)*100),"NA",IF(((CA221/BS221-1)*100)&gt;100,"NM",IF(((CA221/BS221-1)*100)&lt;-50,"NM",(CA221/BS221-1)*100)))</f>
        <v>-34.710743801652889</v>
      </c>
      <c r="CC221" s="69">
        <f>CC209+CC210</f>
        <v>-10</v>
      </c>
      <c r="CD221" s="61" t="str">
        <f>IF(ISERROR((CC221/BU221-1)*100),"NA",IF(((CC221/BU221-1)*100)&gt;100,"NM",IF(((CC221/BU221-1)*100)&lt;-50,"NM",(CC221/BU221-1)*100)))</f>
        <v>NM</v>
      </c>
      <c r="CE221" s="69">
        <f>CE209+CE210</f>
        <v>59</v>
      </c>
      <c r="CF221" s="61">
        <f>IF(ISERROR((CE221/BW221-1)*100),"NA",IF(((CE221/BW221-1)*100)&gt;100,"NM",IF(((CE221/BW221-1)*100)&lt;-50,"NM",(CE221/BW221-1)*100)))</f>
        <v>-41</v>
      </c>
      <c r="CG221" s="69">
        <f>CG209+CG210</f>
        <v>53</v>
      </c>
      <c r="CH221" s="61">
        <f>IF(ISERROR((CG221/BY221-1)*100),"NA",IF(((CG221/BY221-1)*100)&gt;100,"NM",IF(((CG221/BY221-1)*100)&lt;-50,"NM",(CG221/BY221-1)*100)))</f>
        <v>-41.758241758241752</v>
      </c>
      <c r="CI221" s="69">
        <f>CI209+CI210</f>
        <v>126</v>
      </c>
      <c r="CJ221" s="61">
        <f>IF(ISERROR((CI221/CA221-1)*100),"NA",IF(((CI221/CA221-1)*100)&gt;100,"NM",IF(((CI221/CA221-1)*100)&lt;-50,"NM",(CI221/CA221-1)*100)))</f>
        <v>59.493670886075954</v>
      </c>
      <c r="CK221" s="69">
        <f>CK209+CK210</f>
        <v>74</v>
      </c>
      <c r="CL221" s="61" t="str">
        <f>IF(ISERROR((CK221/CC221-1)*100),"NA",IF(((CK221/CC221-1)*100)&gt;100,"NM",IF(((CK221/CC221-1)*100)&lt;-50,"NM",(CK221/CC221-1)*100)))</f>
        <v>NM</v>
      </c>
      <c r="CM221" s="69">
        <f>CM209+CM210</f>
        <v>31</v>
      </c>
      <c r="CN221" s="61">
        <f>IF(ISERROR((CM221/CE221-1)*100),"NA",IF(((CM221/CE221-1)*100)&gt;100,"NM",IF(((CM221/CE221-1)*100)&lt;-50,"NM",(CM221/CE221-1)*100)))</f>
        <v>-47.457627118644062</v>
      </c>
      <c r="CO221" s="69">
        <f>CO209+CO210</f>
        <v>38</v>
      </c>
      <c r="CP221" s="61">
        <f>IF(ISERROR((CO221/CG221-1)*100),"NA",IF(((CO221/CG221-1)*100)&gt;100,"NM",IF(((CO221/CG221-1)*100)&lt;-50,"NM",(CO221/CG221-1)*100)))</f>
        <v>-28.301886792452834</v>
      </c>
      <c r="CQ221" s="69">
        <f>CQ209+CQ210</f>
        <v>30</v>
      </c>
      <c r="CR221" s="61" t="str">
        <f>IF(ISERROR((CQ221/CI221-1)*100),"NA",IF(((CQ221/CI221-1)*100)&gt;100,"NM",IF(((CQ221/CI221-1)*100)&lt;-50,"NM",(CQ221/CI221-1)*100)))</f>
        <v>NM</v>
      </c>
      <c r="CS221" s="69">
        <f>CS209+CS210</f>
        <v>2</v>
      </c>
      <c r="CT221" s="61" t="str">
        <f>IF(ISERROR((CS221/CK221-1)*100),"NA",IF(((CS221/CK221-1)*100)&gt;100,"NM",IF(((CS221/CK221-1)*100)&lt;-50,"NM",(CS221/CK221-1)*100)))</f>
        <v>NM</v>
      </c>
      <c r="CU221" s="69">
        <f>CU209+CU210</f>
        <v>67</v>
      </c>
      <c r="CV221" s="61" t="str">
        <f>IF(ISERROR((CU221/CM221-1)*100),"NA",IF(((CU221/CM221-1)*100)&gt;100,"NM",IF(((CU221/CM221-1)*100)&lt;-50,"NM",(CU221/CM221-1)*100)))</f>
        <v>NM</v>
      </c>
      <c r="CW221" s="69">
        <f>CW209+CW210</f>
        <v>54</v>
      </c>
      <c r="CX221" s="61">
        <f>IF(ISERROR((CW221/CO221-1)*100),"NA",IF(((CW221/CO221-1)*100)&gt;100,"NM",IF(((CW221/CO221-1)*100)&lt;-50,"NM",(CW221/CO221-1)*100)))</f>
        <v>42.105263157894733</v>
      </c>
      <c r="CY221" s="69">
        <f>CY209+CY210</f>
        <v>51</v>
      </c>
      <c r="CZ221" s="61">
        <f>IF(ISERROR((CY221/CQ221-1)*100),"NA",IF(((CY221/CQ221-1)*100)&gt;100,"NM",IF(((CY221/CQ221-1)*100)&lt;-50,"NM",(CY221/CQ221-1)*100)))</f>
        <v>70</v>
      </c>
      <c r="DA221" s="69">
        <f>DA209+DA210</f>
        <v>283</v>
      </c>
      <c r="DB221" s="61" t="str">
        <f>IF(ISERROR((DA221/CS221-1)*100),"NA",IF(((DA221/CS221-1)*100)&gt;100,"NM",IF(((DA221/CS221-1)*100)&lt;-50,"NM",(DA221/CS221-1)*100)))</f>
        <v>NM</v>
      </c>
      <c r="DC221" s="69">
        <f>DC209+DC210</f>
        <v>37</v>
      </c>
      <c r="DD221" s="61">
        <f>IF(ISERROR((DC221/CU221-1)*100),"NA",IF(((DC221/CU221-1)*100)&gt;100,"NM",IF(((DC221/CU221-1)*100)&lt;-50,"NM",(DC221/CU221-1)*100)))</f>
        <v>-44.776119402985074</v>
      </c>
      <c r="DE221" s="69">
        <f>DE209+DE210</f>
        <v>170</v>
      </c>
      <c r="DF221" s="61" t="str">
        <f>IF(ISERROR((DE221/CW221-1)*100),"NA",IF(((DE221/CW221-1)*100)&gt;100,"NM",IF(((DE221/CW221-1)*100)&lt;-50,"NM",(DE221/CW221-1)*100)))</f>
        <v>NM</v>
      </c>
      <c r="DG221" s="69">
        <f>DG209+DG210</f>
        <v>179</v>
      </c>
      <c r="DH221" s="61" t="str">
        <f>IF(ISERROR((DG221/CY221-1)*100),"NA",IF(((DG221/CY221-1)*100)&gt;100,"NM",IF(((DG221/CY221-1)*100)&lt;-50,"NM",(DG221/CY221-1)*100)))</f>
        <v>NM</v>
      </c>
      <c r="DI221" s="69">
        <f>DI209+DI210</f>
        <v>303</v>
      </c>
      <c r="DJ221" s="61">
        <f>IF(ISERROR((DI221/DA221-1)*100),"NA",IF(((DI221/DA221-1)*100)&gt;100,"NM",IF(((DI221/DA221-1)*100)&lt;-50,"NM",(DI221/DA221-1)*100)))</f>
        <v>7.067137809187285</v>
      </c>
      <c r="DK221" s="69">
        <f>DK209+DK210</f>
        <v>252</v>
      </c>
      <c r="DL221" s="61" t="str">
        <f>IF(ISERROR((DK221/DC221-1)*100),"NA",IF(((DK221/DC221-1)*100)&gt;100,"NM",IF(((DK221/DC221-1)*100)&lt;-50,"NM",(DK221/DC221-1)*100)))</f>
        <v>NM</v>
      </c>
      <c r="DM221" s="69">
        <f>DM209+DM210</f>
        <v>282</v>
      </c>
      <c r="DN221" s="130">
        <f t="shared" ref="DN221:DZ221" si="1571">IF(ISERROR((DM221/DE221-1)*100),"NA",IF(((DM221/DE221-1)*100)&gt;100,"NM",IF(((DM221/DE221-1)*100)&lt;-50,"NM",(DM221/DE221-1)*100)))</f>
        <v>65.882352941176478</v>
      </c>
      <c r="DO221" s="69">
        <f>DO209+DO210</f>
        <v>259</v>
      </c>
      <c r="DP221" s="130">
        <f t="shared" si="1571"/>
        <v>44.692737430167597</v>
      </c>
      <c r="DQ221" s="69">
        <f>DQ209+DQ210</f>
        <v>323</v>
      </c>
      <c r="DR221" s="130">
        <f t="shared" si="1571"/>
        <v>6.6006600660065917</v>
      </c>
      <c r="DS221" s="69">
        <f>DS209+DS210</f>
        <v>266</v>
      </c>
      <c r="DT221" s="130">
        <f t="shared" si="1571"/>
        <v>5.555555555555558</v>
      </c>
      <c r="DU221" s="69">
        <f>DU209+DU210</f>
        <v>264</v>
      </c>
      <c r="DV221" s="130">
        <f t="shared" si="1571"/>
        <v>-6.3829787234042534</v>
      </c>
      <c r="DW221" s="69">
        <f>DW209+DW210</f>
        <v>221</v>
      </c>
      <c r="DX221" s="69">
        <f t="shared" ref="DX221:DY221" si="1572">DX209+DX210</f>
        <v>221</v>
      </c>
      <c r="DY221" s="69">
        <f t="shared" si="1572"/>
        <v>296</v>
      </c>
      <c r="DZ221" s="130">
        <f t="shared" si="1571"/>
        <v>-8.3591331269349816</v>
      </c>
      <c r="EA221" s="69">
        <f t="shared" ref="EA221:EC221" si="1573">EA209+EA210</f>
        <v>202</v>
      </c>
      <c r="EB221" s="130">
        <f t="shared" ref="EB221" si="1574">IF(ISERROR((EA221/DS221-1)*100),"NA",IF(((EA221/DS221-1)*100)&gt;100,"NM",IF(((EA221/DS221-1)*100)&lt;-50,"NM",(EA221/DS221-1)*100)))</f>
        <v>-24.060150375939848</v>
      </c>
      <c r="EC221" s="69">
        <f t="shared" si="1573"/>
        <v>280</v>
      </c>
      <c r="ED221" s="130">
        <f t="shared" ref="ED221" si="1575">IF(ISERROR((EC221/DU221-1)*100),"NA",IF(((EC221/DU221-1)*100)&gt;100,"NM",IF(((EC221/DU221-1)*100)&lt;-50,"NM",(EC221/DU221-1)*100)))</f>
        <v>6.0606060606060552</v>
      </c>
      <c r="EE221" s="69">
        <f t="shared" ref="EE221:EG221" si="1576">EE209+EE210</f>
        <v>322</v>
      </c>
      <c r="EF221" s="130">
        <f t="shared" ref="EF221" si="1577">IF(ISERROR((EE221/DW221-1)*100),"NA",IF(((EE221/DW221-1)*100)&gt;100,"NM",IF(((EE221/DW221-1)*100)&lt;-50,"NM",(EE221/DW221-1)*100)))</f>
        <v>45.701357466063342</v>
      </c>
      <c r="EG221" s="69">
        <f t="shared" si="1576"/>
        <v>291</v>
      </c>
      <c r="EH221" s="130">
        <f t="shared" ref="EH221" si="1578">IF(ISERROR((EG221/DY221-1)*100),"NA",IF(((EG221/DY221-1)*100)&gt;100,"NM",IF(((EG221/DY221-1)*100)&lt;-50,"NM",(EG221/DY221-1)*100)))</f>
        <v>-1.6891891891891886</v>
      </c>
      <c r="EI221" s="69">
        <f t="shared" ref="EI221:EK221" si="1579">EI209+EI210</f>
        <v>285</v>
      </c>
      <c r="EJ221" s="130">
        <f t="shared" ref="EJ221" si="1580">IF(ISERROR((EI221/EA221-1)*100),"NA",IF(((EI221/EA221-1)*100)&gt;100,"NM",IF(((EI221/EA221-1)*100)&lt;-50,"NM",(EI221/EA221-1)*100)))</f>
        <v>41.089108910891085</v>
      </c>
      <c r="EK221" s="69">
        <f t="shared" si="1579"/>
        <v>302</v>
      </c>
      <c r="EL221" s="130">
        <f t="shared" ref="EL221" si="1581">IF(ISERROR((EK221/EC221-1)*100),"NA",IF(((EK221/EC221-1)*100)&gt;100,"NM",IF(((EK221/EC221-1)*100)&lt;-50,"NM",(EK221/EC221-1)*100)))</f>
        <v>7.8571428571428514</v>
      </c>
      <c r="EM221" s="69">
        <f t="shared" ref="EM221" si="1582">EM209+EM210</f>
        <v>304</v>
      </c>
      <c r="EN221" s="130">
        <f t="shared" ref="EN221" si="1583">IF(ISERROR((EM221/EE221-1)*100),"NA",IF(((EM221/EE221-1)*100)&gt;100,"NM",IF(((EM221/EE221-1)*100)&lt;-50,"NM",(EM221/EE221-1)*100)))</f>
        <v>-5.5900621118012417</v>
      </c>
      <c r="EO221" s="69">
        <f t="shared" ref="EO221" si="1584">EO209+EO210</f>
        <v>572</v>
      </c>
      <c r="EP221" s="130">
        <f t="shared" ref="EP221" si="1585">IF(ISERROR((EO221/EG221-1)*100),"NA",IF(((EO221/EG221-1)*100)&gt;100,"NM",IF(((EO221/EG221-1)*100)&lt;-50,"NM",(EO221/EG221-1)*100)))</f>
        <v>96.563573883161496</v>
      </c>
      <c r="EQ221" s="69">
        <f t="shared" ref="EQ221:EW221" si="1586">EQ209+EQ210</f>
        <v>206.14877671105609</v>
      </c>
      <c r="ER221" s="130">
        <f t="shared" ref="ER221" si="1587">IF(ISERROR((EQ221/EI221-1)*100),"NA",IF(((EQ221/EI221-1)*100)&gt;100,"NM",IF(((EQ221/EI221-1)*100)&lt;-50,"NM",(EQ221/EI221-1)*100)))</f>
        <v>-27.667095890857517</v>
      </c>
      <c r="ES221" s="69">
        <f t="shared" si="1586"/>
        <v>265.64580045774198</v>
      </c>
      <c r="ET221" s="130">
        <f t="shared" ref="ET221" si="1588">IF(ISERROR((ES221/EK221-1)*100),"NA",IF(((ES221/EK221-1)*100)&gt;100,"NM",IF(((ES221/EK221-1)*100)&lt;-50,"NM",(ES221/EK221-1)*100)))</f>
        <v>-12.037814417966231</v>
      </c>
      <c r="EU221" s="69">
        <f t="shared" si="1586"/>
        <v>224.26209096589048</v>
      </c>
      <c r="EV221" s="130">
        <f t="shared" ref="EV221" si="1589">IF(ISERROR((EU221/EM221-1)*100),"NA",IF(((EU221/EM221-1)*100)&gt;100,"NM",IF(((EU221/EM221-1)*100)&lt;-50,"NM",(EU221/EM221-1)*100)))</f>
        <v>-26.22957534016761</v>
      </c>
      <c r="EW221" s="69">
        <f t="shared" si="1586"/>
        <v>590.75770439134521</v>
      </c>
      <c r="EX221" s="130">
        <f t="shared" ref="EX221" si="1590">IF(ISERROR((EW221/EO221-1)*100),"NA",IF(((EW221/EO221-1)*100)&gt;100,"NM",IF(((EW221/EO221-1)*100)&lt;-50,"NM",(EW221/EO221-1)*100)))</f>
        <v>3.279318949535881</v>
      </c>
      <c r="EY221" s="64"/>
      <c r="EZ221" s="558"/>
      <c r="FA221" s="64"/>
      <c r="FB221" s="69"/>
      <c r="FC221" s="71"/>
      <c r="FD221" s="69"/>
      <c r="FE221" s="70"/>
      <c r="FF221" s="69"/>
      <c r="FG221" s="70"/>
      <c r="FH221" s="69"/>
      <c r="FI221" s="70"/>
      <c r="FJ221" s="69"/>
      <c r="FK221" s="70"/>
      <c r="FL221" s="69"/>
      <c r="FM221" s="61"/>
      <c r="FN221" s="69"/>
      <c r="FO221" s="61"/>
      <c r="FP221" s="73">
        <f>FP209+FP210</f>
        <v>184</v>
      </c>
      <c r="FQ221" s="61" t="str">
        <f>IF(ISERROR((FP221/FN221-1)*100),"NA",IF(((FP221/FN221-1)*100)&gt;100,"NM",IF(((FP221/FN221-1)*100)&lt;-50,"NM",(FP221/FN221-1)*100)))</f>
        <v>NA</v>
      </c>
      <c r="FR221" s="73">
        <f>FR209+FR210</f>
        <v>233</v>
      </c>
      <c r="FS221" s="61">
        <f>IF(ISERROR((FR221/FP221-1)*100),"NA",IF(((FR221/FP221-1)*100)&gt;100,"NM",IF(((FR221/FP221-1)*100)&lt;-50,"NM",(FR221/FP221-1)*100)))</f>
        <v>26.630434782608692</v>
      </c>
      <c r="FT221" s="73">
        <f>FT209+FT210</f>
        <v>314</v>
      </c>
      <c r="FU221" s="61">
        <f>IF(ISERROR((FT221/FR221-1)*100),"NA",IF(((FT221/FR221-1)*100)&gt;100,"NM",IF(((FT221/FR221-1)*100)&lt;-50,"NM",(FT221/FR221-1)*100)))</f>
        <v>34.763948497854066</v>
      </c>
      <c r="FV221" s="73">
        <f>FV209+FV210</f>
        <v>563</v>
      </c>
      <c r="FW221" s="61">
        <f>IF(ISERROR((FV221/FT221-1)*100),"NA",IF(((FV221/FT221-1)*100)&gt;100,"NM",IF(((FV221/FT221-1)*100)&lt;-50,"NM",(FV221/FT221-1)*100)))</f>
        <v>79.29936305732484</v>
      </c>
      <c r="FX221" s="73">
        <f>FX209+FX210</f>
        <v>260</v>
      </c>
      <c r="FY221" s="61" t="str">
        <f>IF(ISERROR((FX221/FV221-1)*100),"NA",IF(((FX221/FV221-1)*100)&gt;100,"NM",IF(((FX221/FV221-1)*100)&lt;-50,"NM",(FX221/FV221-1)*100)))</f>
        <v>NM</v>
      </c>
      <c r="FZ221" s="73">
        <f>FZ209+FZ210</f>
        <v>312</v>
      </c>
      <c r="GA221" s="61">
        <f>IF(ISERROR((FZ221/FX221-1)*100),"NA",IF(((FZ221/FX221-1)*100)&gt;100,"NM",IF(((FZ221/FX221-1)*100)&lt;-50,"NM",(FZ221/FX221-1)*100)))</f>
        <v>19.999999999999996</v>
      </c>
      <c r="GB221" s="73">
        <f>GB209+GB210</f>
        <v>101</v>
      </c>
      <c r="GC221" s="61" t="str">
        <f>IF(ISERROR((GB221/FZ221-1)*100),"NA",IF(((GB221/FZ221-1)*100)&gt;100,"NM",IF(((GB221/FZ221-1)*100)&lt;-50,"NM",(GB221/FZ221-1)*100)))</f>
        <v>NM</v>
      </c>
      <c r="GD221" s="73">
        <f>GD209+GD210</f>
        <v>455</v>
      </c>
      <c r="GE221" s="61" t="str">
        <f>IF(ISERROR((GD221/GB221-1)*100),"NA",IF(((GD221/GB221-1)*100)&gt;100,"NM",IF(((GD221/GB221-1)*100)&lt;-50,"NM",(GD221/GB221-1)*100)))</f>
        <v>NM</v>
      </c>
      <c r="GF221" s="73">
        <f>GF209+GF210</f>
        <v>689</v>
      </c>
      <c r="GG221" s="61">
        <f>IF(ISERROR((GF221/GD221-1)*100),"NA",IF(((GF221/GD221-1)*100)&gt;100,"NM",IF(((GF221/GD221-1)*100)&lt;-50,"NM",(GF221/GD221-1)*100)))</f>
        <v>51.428571428571423</v>
      </c>
      <c r="GH221" s="73">
        <f>GH209+GH210</f>
        <v>1116</v>
      </c>
      <c r="GI221" s="61">
        <f>IF(ISERROR((GH221/GF221-1)*100),"NA",IF(((GH221/GF221-1)*100)&gt;100,"NM",IF(((GH221/GF221-1)*100)&lt;-50,"NM",(GH221/GF221-1)*100)))</f>
        <v>61.973875181422343</v>
      </c>
      <c r="GJ221" s="73">
        <f>GJ209+GJ210</f>
        <v>1047</v>
      </c>
      <c r="GK221" s="61">
        <f>IF(ISERROR((GJ221/GH221-1)*100),"NA",IF(((GJ221/GH221-1)*100)&gt;100,"NM",IF(((GJ221/GH221-1)*100)&lt;-50,"NM",(GJ221/GH221-1)*100)))</f>
        <v>-6.1827956989247257</v>
      </c>
      <c r="GL221" s="73">
        <f>GL209+GL210</f>
        <v>1095</v>
      </c>
      <c r="GM221" s="61">
        <f>IF(ISERROR((GL221/GJ221-1)*100),"NA",IF(((GL221/GJ221-1)*100)&gt;100,"NM",IF(((GL221/GJ221-1)*100)&lt;-50,"NM",(GL221/GJ221-1)*100)))</f>
        <v>4.5845272206303633</v>
      </c>
      <c r="GN221" s="73">
        <f>GN209+GN210</f>
        <v>1463</v>
      </c>
      <c r="GO221" s="61">
        <f>IF(ISERROR((GN221/GL221-1)*100),"NA",IF(((GN221/GL221-1)*100)&gt;100,"NM",IF(((GN221/GL221-1)*100)&lt;-50,"NM",(GN221/GL221-1)*100)))</f>
        <v>33.607305936073061</v>
      </c>
      <c r="GP221" s="73">
        <f>GP209+GP210</f>
        <v>1286.8143725260336</v>
      </c>
      <c r="GQ221" s="61">
        <f>IF(ISERROR((GP221/GN221-1)*100),"NA",IF(((GP221/GN221-1)*100)&gt;100,"NM",IF(((GP221/GN221-1)*100)&lt;-50,"NM",(GP221/GN221-1)*100)))</f>
        <v>-12.042763326997019</v>
      </c>
      <c r="GR221" s="69">
        <f>GR209+GR210</f>
        <v>1352.706455119016</v>
      </c>
      <c r="GS221" s="61">
        <f>IF(ISERROR((GR221/GP221-1)*100),"NA",IF(((GR221/GP221-1)*100)&gt;100,"NM",IF(((GR221/GP221-1)*100)&lt;-50,"NM",(GR221/GP221-1)*100)))</f>
        <v>5.120558489227589</v>
      </c>
      <c r="GT221" s="69">
        <f>GT209+GT210</f>
        <v>1445.7846916790331</v>
      </c>
      <c r="GU221" s="61">
        <f>IF(ISERROR((GT221/GR221-1)*100),"NA",IF(((GT221/GR221-1)*100)&gt;100,"NM",IF(((GT221/GR221-1)*100)&lt;-50,"NM",(GT221/GR221-1)*100)))</f>
        <v>6.8808895091601929</v>
      </c>
      <c r="GV221" s="69">
        <f>GV209+GV210</f>
        <v>1542.3400170864161</v>
      </c>
      <c r="GW221" s="61">
        <f>IF(ISERROR((GV221/GT221-1)*100),"NA",IF(((GV221/GT221-1)*100)&gt;100,"NM",IF(((GV221/GT221-1)*100)&lt;-50,"NM",(GV221/GT221-1)*100)))</f>
        <v>6.6784028052787381</v>
      </c>
      <c r="GX221" s="69">
        <f>GX209+GX210</f>
        <v>1642.6652509907776</v>
      </c>
      <c r="GY221" s="61">
        <f>IF(ISERROR((GX221/GV221-1)*100),"NA",IF(((GX221/GV221-1)*100)&gt;100,"NM",IF(((GX221/GV221-1)*100)&lt;-50,"NM",(GX221/GV221-1)*100)))</f>
        <v>6.5047416777710643</v>
      </c>
      <c r="GZ221" s="61">
        <f t="shared" si="1440"/>
        <v>2.3436611104266092</v>
      </c>
      <c r="HA221" s="61"/>
      <c r="HB221" s="452"/>
      <c r="HC221"/>
      <c r="HD221"/>
      <c r="HE221"/>
      <c r="HF221"/>
      <c r="HG221"/>
      <c r="HH221"/>
    </row>
    <row r="222" spans="1:216" s="5" customFormat="1" ht="12.75" customHeight="1" x14ac:dyDescent="0.2">
      <c r="B222" s="2"/>
      <c r="C222" s="69"/>
      <c r="D222" s="70"/>
      <c r="E222" s="69"/>
      <c r="F222" s="71"/>
      <c r="G222" s="69"/>
      <c r="H222" s="71"/>
      <c r="I222" s="69"/>
      <c r="J222" s="61"/>
      <c r="K222" s="69"/>
      <c r="L222" s="61"/>
      <c r="M222" s="69"/>
      <c r="N222" s="61"/>
      <c r="O222" s="69"/>
      <c r="P222" s="61"/>
      <c r="Q222" s="69"/>
      <c r="R222" s="61"/>
      <c r="S222" s="69"/>
      <c r="T222" s="61"/>
      <c r="U222" s="69"/>
      <c r="V222" s="61"/>
      <c r="W222" s="69"/>
      <c r="X222" s="61"/>
      <c r="Y222" s="69"/>
      <c r="Z222" s="61"/>
      <c r="AA222" s="69"/>
      <c r="AB222" s="61"/>
      <c r="AC222" s="69"/>
      <c r="AD222" s="61"/>
      <c r="AE222" s="69"/>
      <c r="AF222" s="61"/>
      <c r="AG222" s="69"/>
      <c r="AH222" s="61"/>
      <c r="AI222" s="69"/>
      <c r="AJ222" s="61"/>
      <c r="AK222" s="69"/>
      <c r="AL222" s="61"/>
      <c r="AM222" s="69"/>
      <c r="AN222" s="61"/>
      <c r="AO222" s="69"/>
      <c r="AP222" s="61"/>
      <c r="AQ222" s="69"/>
      <c r="AR222" s="61"/>
      <c r="AS222" s="69"/>
      <c r="AT222" s="61"/>
      <c r="AU222" s="69"/>
      <c r="AV222" s="61"/>
      <c r="AW222" s="69"/>
      <c r="AX222" s="61"/>
      <c r="AY222" s="69"/>
      <c r="AZ222" s="61"/>
      <c r="BA222" s="69"/>
      <c r="BB222" s="61"/>
      <c r="BC222" s="69"/>
      <c r="BD222" s="61"/>
      <c r="BE222" s="69"/>
      <c r="BF222" s="61"/>
      <c r="BG222" s="69"/>
      <c r="BH222" s="61"/>
      <c r="BI222" s="69"/>
      <c r="BJ222" s="61"/>
      <c r="BK222" s="69"/>
      <c r="BL222" s="61"/>
      <c r="BM222" s="69"/>
      <c r="BN222" s="61"/>
      <c r="BO222" s="69"/>
      <c r="BP222" s="61"/>
      <c r="BQ222" s="69"/>
      <c r="BR222" s="61"/>
      <c r="BS222" s="69"/>
      <c r="BT222" s="61"/>
      <c r="BU222" s="69"/>
      <c r="BV222" s="61"/>
      <c r="BW222" s="69"/>
      <c r="BX222" s="61"/>
      <c r="BY222" s="69"/>
      <c r="BZ222" s="61"/>
      <c r="CA222" s="69"/>
      <c r="CB222" s="61"/>
      <c r="CC222" s="69"/>
      <c r="CD222" s="61"/>
      <c r="CE222" s="69"/>
      <c r="CF222" s="61"/>
      <c r="CG222" s="69"/>
      <c r="CH222" s="61"/>
      <c r="CI222" s="69"/>
      <c r="CJ222" s="61"/>
      <c r="CK222" s="69"/>
      <c r="CL222" s="61"/>
      <c r="CM222" s="69"/>
      <c r="CN222" s="61"/>
      <c r="CO222" s="69"/>
      <c r="CP222" s="61"/>
      <c r="CQ222" s="69"/>
      <c r="CR222" s="61"/>
      <c r="CS222" s="69"/>
      <c r="CT222" s="61"/>
      <c r="CU222" s="69"/>
      <c r="CV222" s="61"/>
      <c r="CW222" s="69"/>
      <c r="CX222" s="61"/>
      <c r="CY222" s="69"/>
      <c r="CZ222" s="61"/>
      <c r="DA222" s="69"/>
      <c r="DB222" s="61"/>
      <c r="DC222" s="69"/>
      <c r="DD222" s="61"/>
      <c r="DE222" s="69"/>
      <c r="DF222" s="61"/>
      <c r="DG222" s="69"/>
      <c r="DH222" s="61"/>
      <c r="DI222" s="69"/>
      <c r="DJ222" s="61"/>
      <c r="DK222" s="69"/>
      <c r="DL222" s="61"/>
      <c r="DM222" s="69"/>
      <c r="DN222" s="61"/>
      <c r="DO222" s="69"/>
      <c r="DP222" s="61"/>
      <c r="DQ222" s="69"/>
      <c r="DR222" s="61"/>
      <c r="DS222" s="69"/>
      <c r="DT222" s="61"/>
      <c r="DU222" s="69"/>
      <c r="DV222" s="61"/>
      <c r="DW222" s="69"/>
      <c r="DX222" s="69"/>
      <c r="DY222" s="69"/>
      <c r="DZ222" s="61"/>
      <c r="EA222" s="69"/>
      <c r="EB222" s="61"/>
      <c r="EC222" s="69"/>
      <c r="ED222" s="61"/>
      <c r="EE222" s="69"/>
      <c r="EF222" s="61"/>
      <c r="EG222" s="69"/>
      <c r="EH222" s="61"/>
      <c r="EI222" s="69"/>
      <c r="EJ222" s="61"/>
      <c r="EK222" s="69"/>
      <c r="EL222" s="61"/>
      <c r="EM222" s="69"/>
      <c r="EN222" s="61"/>
      <c r="EO222" s="69"/>
      <c r="EP222" s="61"/>
      <c r="EQ222" s="69"/>
      <c r="ER222" s="61"/>
      <c r="ES222" s="69"/>
      <c r="ET222" s="61"/>
      <c r="EU222" s="69"/>
      <c r="EV222" s="61"/>
      <c r="EW222" s="69"/>
      <c r="EX222" s="61"/>
      <c r="EY222" s="64"/>
      <c r="EZ222" s="558"/>
      <c r="FA222" s="64"/>
      <c r="FB222" s="69"/>
      <c r="FC222" s="71"/>
      <c r="FD222" s="69"/>
      <c r="FE222" s="70"/>
      <c r="FF222" s="69"/>
      <c r="FG222" s="70"/>
      <c r="FH222" s="69"/>
      <c r="FI222" s="70"/>
      <c r="FJ222" s="69"/>
      <c r="FK222" s="70"/>
      <c r="FL222" s="69"/>
      <c r="FM222" s="61"/>
      <c r="FN222" s="69"/>
      <c r="FO222" s="61"/>
      <c r="FP222" s="73"/>
      <c r="FQ222" s="61"/>
      <c r="FR222" s="73"/>
      <c r="FS222" s="61"/>
      <c r="FT222" s="73"/>
      <c r="FU222" s="61"/>
      <c r="FV222" s="73"/>
      <c r="FW222" s="61"/>
      <c r="FX222" s="73"/>
      <c r="FY222" s="61"/>
      <c r="FZ222" s="73"/>
      <c r="GA222" s="61"/>
      <c r="GB222" s="73"/>
      <c r="GC222" s="61"/>
      <c r="GD222" s="73"/>
      <c r="GE222" s="61"/>
      <c r="GF222" s="73"/>
      <c r="GG222" s="61"/>
      <c r="GH222" s="73"/>
      <c r="GI222" s="61"/>
      <c r="GJ222" s="73"/>
      <c r="GK222" s="61"/>
      <c r="GL222" s="73"/>
      <c r="GM222" s="61"/>
      <c r="GN222" s="73"/>
      <c r="GO222" s="61"/>
      <c r="GP222" s="73"/>
      <c r="GQ222" s="61"/>
      <c r="GR222" s="69"/>
      <c r="GS222" s="61"/>
      <c r="GT222" s="69"/>
      <c r="GU222" s="61"/>
      <c r="GV222" s="69"/>
      <c r="GW222" s="61"/>
      <c r="GX222" s="69"/>
      <c r="GY222" s="61"/>
      <c r="GZ222" s="61"/>
      <c r="HA222" s="61"/>
      <c r="HB222" s="452"/>
      <c r="HC222"/>
      <c r="HD222"/>
      <c r="HE222"/>
      <c r="HF222"/>
      <c r="HG222"/>
      <c r="HH222"/>
    </row>
    <row r="223" spans="1:216" s="5" customFormat="1" ht="12.75" customHeight="1" x14ac:dyDescent="0.2">
      <c r="B223" s="68" t="s">
        <v>531</v>
      </c>
      <c r="C223" s="81"/>
      <c r="D223" s="70"/>
      <c r="E223" s="81"/>
      <c r="F223" s="71"/>
      <c r="G223" s="81"/>
      <c r="H223" s="71"/>
      <c r="I223" s="81"/>
      <c r="J223" s="61"/>
      <c r="K223" s="81"/>
      <c r="L223" s="61"/>
      <c r="M223" s="81"/>
      <c r="N223" s="61"/>
      <c r="O223" s="81"/>
      <c r="P223" s="61"/>
      <c r="Q223" s="81"/>
      <c r="R223" s="61"/>
      <c r="S223" s="81"/>
      <c r="T223" s="61"/>
      <c r="U223" s="81"/>
      <c r="V223" s="61"/>
      <c r="W223" s="81"/>
      <c r="X223" s="61"/>
      <c r="Y223" s="81"/>
      <c r="Z223" s="61"/>
      <c r="AA223" s="81"/>
      <c r="AB223" s="61"/>
      <c r="AC223" s="81"/>
      <c r="AD223" s="61"/>
      <c r="AE223" s="81"/>
      <c r="AF223" s="61"/>
      <c r="AG223" s="81"/>
      <c r="AH223" s="61"/>
      <c r="AI223" s="81"/>
      <c r="AJ223" s="61"/>
      <c r="AK223" s="81"/>
      <c r="AL223" s="61"/>
      <c r="AM223" s="81"/>
      <c r="AN223" s="61"/>
      <c r="AO223" s="81"/>
      <c r="AP223" s="61"/>
      <c r="AQ223" s="155">
        <f>-AQ210/AQ208*400</f>
        <v>8.6785009861932938</v>
      </c>
      <c r="AR223" s="61"/>
      <c r="AS223" s="155">
        <f>-AS210/AS208*400</f>
        <v>8.18976279650437</v>
      </c>
      <c r="AT223" s="61"/>
      <c r="AU223" s="155">
        <f>-AU210/AU208*400</f>
        <v>7.9902557856272844</v>
      </c>
      <c r="AV223" s="61"/>
      <c r="AW223" s="155">
        <f>-AW210/AW208*400</f>
        <v>6.6867889482238221</v>
      </c>
      <c r="AX223" s="61"/>
      <c r="AY223" s="155">
        <f>-AY210/AY208*400</f>
        <v>8.7441445460629037</v>
      </c>
      <c r="AZ223" s="61"/>
      <c r="BA223" s="155">
        <f>-BA210/BA208*400</f>
        <v>26.842217031216819</v>
      </c>
      <c r="BB223" s="61"/>
      <c r="BC223" s="155">
        <f>-BC210/BC208*400</f>
        <v>-1.2400143078573982</v>
      </c>
      <c r="BD223" s="61"/>
      <c r="BE223" s="155">
        <f>-BE210/BE208*400</f>
        <v>6.7835985596468804</v>
      </c>
      <c r="BF223" s="61"/>
      <c r="BG223" s="155">
        <f>-BG210/BG208*400</f>
        <v>5.4941134498751332</v>
      </c>
      <c r="BH223" s="61"/>
      <c r="BI223" s="155">
        <f>-BI210/BI208*400</f>
        <v>7.6464398456681861</v>
      </c>
      <c r="BJ223" s="61"/>
      <c r="BK223" s="155">
        <f>-BK210/BK208*400</f>
        <v>6.9868995633187767</v>
      </c>
      <c r="BL223" s="61"/>
      <c r="BM223" s="155">
        <f>-BM210/BM208*400</f>
        <v>6.0288335517693321</v>
      </c>
      <c r="BN223" s="61"/>
      <c r="BO223" s="155">
        <f>-BO210/BO208*400</f>
        <v>5.4966887417218544</v>
      </c>
      <c r="BP223" s="61"/>
      <c r="BQ223" s="155">
        <f>-BQ210/BQ208*400</f>
        <v>7.6936776491540515</v>
      </c>
      <c r="BR223" s="61"/>
      <c r="BS223" s="155">
        <f>-BS210/BS208*400</f>
        <v>6.1177307487106525</v>
      </c>
      <c r="BT223" s="61"/>
      <c r="BU223" s="155">
        <f>-BU210/BU208*400</f>
        <v>6.962025316455696</v>
      </c>
      <c r="BV223" s="61"/>
      <c r="BW223" s="155">
        <f>-BW210/BW208*400</f>
        <v>13.455657492354739</v>
      </c>
      <c r="BX223" s="61"/>
      <c r="BY223" s="155">
        <f>-BY210/BY208*400</f>
        <v>8.9178356713426865</v>
      </c>
      <c r="BZ223" s="61"/>
      <c r="CA223" s="155">
        <f>-CA210/CA208*400</f>
        <v>8.3296799649276636</v>
      </c>
      <c r="CB223" s="61"/>
      <c r="CC223" s="155">
        <f>-CC210/CC208*400</f>
        <v>18.778979907264297</v>
      </c>
      <c r="CD223" s="61"/>
      <c r="CE223" s="155">
        <f>-CE210/CE208*400</f>
        <v>8.170985435975032</v>
      </c>
      <c r="CF223" s="61"/>
      <c r="CG223" s="155">
        <f>-CG210/CG208*400</f>
        <v>7.2434607645875255</v>
      </c>
      <c r="CH223" s="61"/>
      <c r="CI223" s="155">
        <f>-CI210/CI208*400</f>
        <v>9.62800875273523</v>
      </c>
      <c r="CJ223" s="61"/>
      <c r="CK223" s="155">
        <f>-CK210/CK208*400</f>
        <v>11.938151743976986</v>
      </c>
      <c r="CL223" s="61"/>
      <c r="CM223" s="155">
        <f>-CM210/CM208*400</f>
        <v>10.332103321033211</v>
      </c>
      <c r="CN223" s="61"/>
      <c r="CO223" s="155">
        <f>-CO210/CO208*400</f>
        <v>7.1301247771836014</v>
      </c>
      <c r="CP223" s="61"/>
      <c r="CQ223" s="155">
        <f>-CQ210/CQ208*400</f>
        <v>9.6150722754588269</v>
      </c>
      <c r="CR223" s="61"/>
      <c r="CS223" s="155">
        <f>-CS210/CS208*400</f>
        <v>15.404651162790698</v>
      </c>
      <c r="CT223" s="61"/>
      <c r="CU223" s="155">
        <f>-CU210/CU208*400</f>
        <v>7.1039212238438534</v>
      </c>
      <c r="CV223" s="61"/>
      <c r="CW223" s="155">
        <f>-CW210/CW208*400</f>
        <v>5.9980651402773297</v>
      </c>
      <c r="CX223" s="61"/>
      <c r="CY223" s="155">
        <f>-CY210/CY208*400</f>
        <v>5.5953372189841799</v>
      </c>
      <c r="CZ223" s="61"/>
      <c r="DA223" s="155">
        <f>-DA210/DA208*400</f>
        <v>8.3679335675503044</v>
      </c>
      <c r="DB223" s="61"/>
      <c r="DC223" s="155">
        <f>-DC210/DC208*400</f>
        <v>12.570902958761307</v>
      </c>
      <c r="DD223" s="61"/>
      <c r="DE223" s="155">
        <f>-DE210/DE208*400</f>
        <v>6.8231520629829419</v>
      </c>
      <c r="DF223" s="61"/>
      <c r="DG223" s="155">
        <f>-DG210/DG208*400</f>
        <v>6.4830751577739525</v>
      </c>
      <c r="DH223" s="61"/>
      <c r="DI223" s="155">
        <f>-DI210/DI208*400</f>
        <v>6.7087079028579089</v>
      </c>
      <c r="DJ223" s="61"/>
      <c r="DK223" s="155">
        <f>-DK210/DK208*400</f>
        <v>7.1658018285149492</v>
      </c>
      <c r="DL223" s="61"/>
      <c r="DM223" s="155">
        <f>-DM210/DM208*400</f>
        <v>6.511850610485995</v>
      </c>
      <c r="DN223" s="130">
        <f t="shared" ref="DN223:DZ225" si="1591">IF(ISERROR((DM223/DE223-1)*100),"NA",IF(((DM223/DE223-1)*100)&gt;100,"NM",IF(((DM223/DE223-1)*100)&lt;-50,"NM",(DM223/DE223-1)*100)))</f>
        <v>-4.5624287664029044</v>
      </c>
      <c r="DO223" s="155">
        <f>-DO210/DO208*400</f>
        <v>4.161954308979869</v>
      </c>
      <c r="DP223" s="130">
        <f t="shared" si="1591"/>
        <v>-35.802775570337062</v>
      </c>
      <c r="DQ223" s="155">
        <f>-DQ210/DQ208*400</f>
        <v>5.5116331601536031</v>
      </c>
      <c r="DR223" s="130">
        <f t="shared" si="1591"/>
        <v>-17.843596114750383</v>
      </c>
      <c r="DS223" s="155">
        <f>-DS210/DS208*400</f>
        <v>5.3546367267623882</v>
      </c>
      <c r="DT223" s="130">
        <f t="shared" si="1591"/>
        <v>-25.275121264802113</v>
      </c>
      <c r="DU223" s="155">
        <f>-DU210/DU208*400</f>
        <v>4.815775817332641</v>
      </c>
      <c r="DV223" s="130">
        <f t="shared" si="1591"/>
        <v>-26.045972099270443</v>
      </c>
      <c r="DW223" s="155">
        <f>-DW210/DW208*400</f>
        <v>6.840057341798075</v>
      </c>
      <c r="DX223" s="155">
        <f t="shared" ref="DX223:DY223" si="1592">-DX210/DX208*400</f>
        <v>6392.2683982683975</v>
      </c>
      <c r="DY223" s="155">
        <f t="shared" si="1592"/>
        <v>7.1203733854336262</v>
      </c>
      <c r="DZ223" s="130">
        <f t="shared" si="1591"/>
        <v>29.188085972601073</v>
      </c>
      <c r="EA223" s="155">
        <f t="shared" ref="EA223:EC223" si="1593">-EA210/EA208*400</f>
        <v>3.7541254125412546</v>
      </c>
      <c r="EB223" s="130">
        <f t="shared" ref="EB223:EB225" si="1594">IF(ISERROR((EA223/DS223-1)*100),"NA",IF(((EA223/DS223-1)*100)&gt;100,"NM",IF(((EA223/DS223-1)*100)&lt;-50,"NM",(EA223/DS223-1)*100)))</f>
        <v>-29.890194160545079</v>
      </c>
      <c r="EC223" s="155">
        <f t="shared" si="1593"/>
        <v>4.8423194303153609</v>
      </c>
      <c r="ED223" s="130">
        <f t="shared" ref="ED223:ED225" si="1595">IF(ISERROR((EC223/DU223-1)*100),"NA",IF(((EC223/DU223-1)*100)&gt;100,"NM",IF(((EC223/DU223-1)*100)&lt;-50,"NM",(EC223/DU223-1)*100)))</f>
        <v>0.55118041182866673</v>
      </c>
      <c r="EE223" s="155">
        <f t="shared" ref="EE223:EG223" si="1596">-EE210/EE208*400</f>
        <v>4.6401887534408184</v>
      </c>
      <c r="EF223" s="130">
        <f t="shared" ref="EF223:EF225" si="1597">IF(ISERROR((EE223/DW223-1)*100),"NA",IF(((EE223/DW223-1)*100)&gt;100,"NM",IF(((EE223/DW223-1)*100)&lt;-50,"NM",(EE223/DW223-1)*100)))</f>
        <v>-32.161551847151145</v>
      </c>
      <c r="EG223" s="155">
        <f t="shared" si="1596"/>
        <v>7.3585431571123294</v>
      </c>
      <c r="EH223" s="130">
        <f t="shared" ref="EH223:EH225" si="1598">IF(ISERROR((EG223/DY223-1)*100),"NA",IF(((EG223/DY223-1)*100)&gt;100,"NM",IF(((EG223/DY223-1)*100)&lt;-50,"NM",(EG223/DY223-1)*100)))</f>
        <v>3.3449056501156926</v>
      </c>
      <c r="EI223" s="155">
        <f t="shared" ref="EI223:EK223" si="1599">-EI210/EI208*400</f>
        <v>3.1470428648941944</v>
      </c>
      <c r="EJ223" s="130">
        <f t="shared" ref="EJ223:EJ225" si="1600">IF(ISERROR((EI223/EA223-1)*100),"NA",IF(((EI223/EA223-1)*100)&gt;100,"NM",IF(((EI223/EA223-1)*100)&lt;-50,"NM",(EI223/EA223-1)*100)))</f>
        <v>-16.171077972488725</v>
      </c>
      <c r="EK223" s="155">
        <f t="shared" si="1599"/>
        <v>4.281345565749235</v>
      </c>
      <c r="EL223" s="130">
        <f t="shared" ref="EL223:EL225" si="1601">IF(ISERROR((EK223/EC223-1)*100),"NA",IF(((EK223/EC223-1)*100)&gt;100,"NM",IF(((EK223/EC223-1)*100)&lt;-50,"NM",(EK223/EC223-1)*100)))</f>
        <v>-11.584817413203819</v>
      </c>
      <c r="EM223" s="155">
        <f t="shared" ref="EM223" si="1602">-EM210/EM208*400</f>
        <v>2.8627195836044241</v>
      </c>
      <c r="EN223" s="130">
        <f t="shared" ref="EN223:EN225" si="1603">IF(ISERROR((EM223/EE223-1)*100),"NA",IF(((EM223/EE223-1)*100)&gt;100,"NM",IF(((EM223/EE223-1)*100)&lt;-50,"NM",(EM223/EE223-1)*100)))</f>
        <v>-38.305966939779232</v>
      </c>
      <c r="EO223" s="155">
        <f t="shared" ref="EO223" si="1604">-EO210/EO208*400</f>
        <v>5.3267265407246827</v>
      </c>
      <c r="EP223" s="130">
        <f t="shared" ref="EP223:EP225" si="1605">IF(ISERROR((EO223/EG223-1)*100),"NA",IF(((EO223/EG223-1)*100)&gt;100,"NM",IF(((EO223/EG223-1)*100)&lt;-50,"NM",(EO223/EG223-1)*100)))</f>
        <v>-27.61166949770233</v>
      </c>
      <c r="EQ223" s="157">
        <f t="shared" ref="EQ223" si="1606">EO223</f>
        <v>5.3267265407246827</v>
      </c>
      <c r="ER223" s="130">
        <f t="shared" ref="ER223:ER225" si="1607">IF(ISERROR((EQ223/EI223-1)*100),"NA",IF(((EQ223/EI223-1)*100)&gt;100,"NM",IF(((EQ223/EI223-1)*100)&lt;-50,"NM",(EQ223/EI223-1)*100)))</f>
        <v>69.261327837165339</v>
      </c>
      <c r="ES223" s="157">
        <f t="shared" ref="ES223" si="1608">EQ223</f>
        <v>5.3267265407246827</v>
      </c>
      <c r="ET223" s="130">
        <f t="shared" ref="ET223:ET225" si="1609">IF(ISERROR((ES223/EK223-1)*100),"NA",IF(((ES223/EK223-1)*100)&gt;100,"NM",IF(((ES223/EK223-1)*100)&lt;-50,"NM",(ES223/EK223-1)*100)))</f>
        <v>24.417112772640827</v>
      </c>
      <c r="EU223" s="157">
        <f t="shared" ref="EU223" si="1610">ES223</f>
        <v>5.3267265407246827</v>
      </c>
      <c r="EV223" s="130">
        <f t="shared" ref="EV223:EV225" si="1611">IF(ISERROR((EU223/EM223-1)*100),"NA",IF(((EU223/EM223-1)*100)&gt;100,"NM",IF(((EU223/EM223-1)*100)&lt;-50,"NM",(EU223/EM223-1)*100)))</f>
        <v>86.072243024859944</v>
      </c>
      <c r="EW223" s="157">
        <f t="shared" ref="EW223" si="1612">EU223</f>
        <v>5.3267265407246827</v>
      </c>
      <c r="EX223" s="130">
        <f t="shared" ref="EX223:EX225" si="1613">IF(ISERROR((EW223/EO223-1)*100),"NA",IF(((EW223/EO223-1)*100)&gt;100,"NM",IF(((EW223/EO223-1)*100)&lt;-50,"NM",(EW223/EO223-1)*100)))</f>
        <v>0</v>
      </c>
      <c r="EY223" s="64"/>
      <c r="EZ223" s="558"/>
      <c r="FA223" s="64"/>
      <c r="FB223" s="81"/>
      <c r="FC223" s="71"/>
      <c r="FD223" s="81"/>
      <c r="FE223" s="70"/>
      <c r="FF223" s="81"/>
      <c r="FG223" s="70"/>
      <c r="FH223" s="81"/>
      <c r="FI223" s="70"/>
      <c r="FJ223" s="81"/>
      <c r="FK223" s="70"/>
      <c r="FL223" s="81"/>
      <c r="FM223" s="61"/>
      <c r="FN223" s="81"/>
      <c r="FO223" s="61"/>
      <c r="FP223" s="156">
        <f>-FP210/FP208*100</f>
        <v>7.9881656804733732</v>
      </c>
      <c r="FQ223" s="61"/>
      <c r="FR223" s="156">
        <f>-FR210/FR208*100</f>
        <v>11.914323962516733</v>
      </c>
      <c r="FS223" s="61"/>
      <c r="FT223" s="156">
        <f>-FT210/FT208*100</f>
        <v>6.8141277202996786</v>
      </c>
      <c r="FU223" s="61"/>
      <c r="FV223" s="156">
        <f>-FV210/FV208*100</f>
        <v>6.0430463576158946</v>
      </c>
      <c r="FW223" s="61"/>
      <c r="FX223" s="156">
        <f>-FX210/FX208*100</f>
        <v>13.408609738884969</v>
      </c>
      <c r="FY223" s="61"/>
      <c r="FZ223" s="156">
        <f>-FZ210/FZ208*100</f>
        <v>9.3436731605825614</v>
      </c>
      <c r="GA223" s="61"/>
      <c r="GB223" s="156">
        <f>-GB210/GB208*100</f>
        <v>10.382422006038242</v>
      </c>
      <c r="GC223" s="61"/>
      <c r="GD223" s="156">
        <f>-GD210/GD208*100</f>
        <v>7.191841040970635</v>
      </c>
      <c r="GE223" s="61"/>
      <c r="GF223" s="156">
        <f>-GF210/GF208*100</f>
        <v>8.5850068986662578</v>
      </c>
      <c r="GG223" s="61">
        <f t="shared" ref="GG223:GW224" si="1614">IF(ISERROR((GF223/GD223-1)*100),"NA",IF(((GF223/GD223-1)*100)&gt;100,"NM",IF(((GF223/GD223-1)*100)&lt;-50,"NM",(GF223/GD223-1)*100)))</f>
        <v>19.371477341601473</v>
      </c>
      <c r="GH223" s="156">
        <f>-GH210/GH208*100</f>
        <v>6.1156412157153452</v>
      </c>
      <c r="GI223" s="61">
        <f t="shared" si="1614"/>
        <v>-28.763700624801437</v>
      </c>
      <c r="GJ223" s="156">
        <f>-GJ210/GJ208*100</f>
        <v>6.1643096189139586</v>
      </c>
      <c r="GK223" s="61">
        <f t="shared" si="1614"/>
        <v>0.79580213230217023</v>
      </c>
      <c r="GL223" s="156">
        <f>-GL210/GL208*100</f>
        <v>5.4249174917491745</v>
      </c>
      <c r="GM223" s="61">
        <f t="shared" si="1614"/>
        <v>-11.994727274829064</v>
      </c>
      <c r="GN223" s="156">
        <f>-GN210/GN208*100</f>
        <v>4.277446192801591</v>
      </c>
      <c r="GO223" s="61">
        <f t="shared" si="1614"/>
        <v>-21.151866377558505</v>
      </c>
      <c r="GP223" s="156">
        <f>-GP210/GP208*100</f>
        <v>5.3857889500683447</v>
      </c>
      <c r="GQ223" s="61">
        <f t="shared" si="1614"/>
        <v>25.911319682570323</v>
      </c>
      <c r="GR223" s="157">
        <f>GP223</f>
        <v>5.3857889500683447</v>
      </c>
      <c r="GS223" s="61">
        <f t="shared" si="1614"/>
        <v>0</v>
      </c>
      <c r="GT223" s="157">
        <f>GR223</f>
        <v>5.3857889500683447</v>
      </c>
      <c r="GU223" s="61">
        <f t="shared" si="1614"/>
        <v>0</v>
      </c>
      <c r="GV223" s="157">
        <f>GT223</f>
        <v>5.3857889500683447</v>
      </c>
      <c r="GW223" s="61">
        <f t="shared" si="1614"/>
        <v>0</v>
      </c>
      <c r="GX223" s="157">
        <f>GV223</f>
        <v>5.3857889500683447</v>
      </c>
      <c r="GY223" s="61">
        <f t="shared" ref="GY223:GY224" si="1615">IF(ISERROR((GX223/GV223-1)*100),"NA",IF(((GX223/GV223-1)*100)&gt;100,"NM",IF(((GX223/GV223-1)*100)&lt;-50,"NM",(GX223/GV223-1)*100)))</f>
        <v>0</v>
      </c>
      <c r="GZ223" s="61">
        <f t="shared" ref="GZ223:GZ232" si="1616">IF(ISERROR((GX223/GN223)^0.2),"",IF(OR((GX223/GN223)^0.2&lt;0.5,(GX223/GN223)^0.2&gt;2),"NM",((GX223/GN223)^0.2-1)*100))</f>
        <v>4.7159784744409627</v>
      </c>
      <c r="HA223" s="61"/>
      <c r="HB223" s="452"/>
      <c r="HC223"/>
      <c r="HD223"/>
      <c r="HE223"/>
      <c r="HF223"/>
      <c r="HG223"/>
      <c r="HH223"/>
    </row>
    <row r="224" spans="1:216" s="5" customFormat="1" ht="12.75" customHeight="1" x14ac:dyDescent="0.2">
      <c r="B224" s="527" t="s">
        <v>514</v>
      </c>
      <c r="C224" s="81"/>
      <c r="D224" s="70"/>
      <c r="E224" s="81"/>
      <c r="F224" s="71"/>
      <c r="G224" s="82"/>
      <c r="H224" s="71"/>
      <c r="I224" s="82"/>
      <c r="J224" s="71"/>
      <c r="K224" s="82"/>
      <c r="L224" s="61"/>
      <c r="M224" s="81"/>
      <c r="N224" s="61"/>
      <c r="O224" s="82"/>
      <c r="P224" s="61"/>
      <c r="Q224" s="82"/>
      <c r="R224" s="61"/>
      <c r="S224" s="82"/>
      <c r="T224" s="61"/>
      <c r="U224" s="82"/>
      <c r="V224" s="61"/>
      <c r="W224" s="82"/>
      <c r="X224" s="61"/>
      <c r="Y224" s="82"/>
      <c r="Z224" s="61"/>
      <c r="AA224" s="82"/>
      <c r="AB224" s="61"/>
      <c r="AC224" s="82"/>
      <c r="AD224" s="61"/>
      <c r="AE224" s="82"/>
      <c r="AF224" s="61"/>
      <c r="AG224" s="82"/>
      <c r="AH224" s="61"/>
      <c r="AI224" s="82"/>
      <c r="AJ224" s="61"/>
      <c r="AK224" s="82"/>
      <c r="AL224" s="61"/>
      <c r="AM224" s="82"/>
      <c r="AN224" s="61"/>
      <c r="AO224" s="82"/>
      <c r="AP224" s="61"/>
      <c r="AQ224" s="155">
        <f>AQ212/AQ208*400</f>
        <v>-5.1282051282051277</v>
      </c>
      <c r="AR224" s="61"/>
      <c r="AS224" s="155">
        <f>AS212/AS208*400</f>
        <v>10.387016229712859</v>
      </c>
      <c r="AT224" s="61"/>
      <c r="AU224" s="155">
        <f>AU212/AU208*400</f>
        <v>20.07308160779537</v>
      </c>
      <c r="AV224" s="61"/>
      <c r="AW224" s="155">
        <f>AW212/AW208*400</f>
        <v>13.18783375899698</v>
      </c>
      <c r="AX224" s="61"/>
      <c r="AY224" s="155">
        <f>AY212/AY208*400</f>
        <v>21.235779611867052</v>
      </c>
      <c r="AZ224" s="61"/>
      <c r="BA224" s="155">
        <f>BA212/BA208*400</f>
        <v>-11.552346570397113</v>
      </c>
      <c r="BB224" s="61"/>
      <c r="BC224" s="155">
        <f>BC212/BC208*400</f>
        <v>13.067843090497197</v>
      </c>
      <c r="BD224" s="61"/>
      <c r="BE224" s="155">
        <f>BE212/BE208*400</f>
        <v>27.320246253920317</v>
      </c>
      <c r="BF224" s="61"/>
      <c r="BG224" s="155">
        <f>BG212/BG208*400</f>
        <v>6.7784516589368531</v>
      </c>
      <c r="BH224" s="61"/>
      <c r="BI224" s="155">
        <f>BI212/BI208*400</f>
        <v>20.975096457383373</v>
      </c>
      <c r="BJ224" s="61"/>
      <c r="BK224" s="155">
        <f>BK212/BK208*400</f>
        <v>10.950621430970777</v>
      </c>
      <c r="BL224" s="61"/>
      <c r="BM224" s="155">
        <f>BM212/BM208*400</f>
        <v>-6.2909567496723451</v>
      </c>
      <c r="BN224" s="61"/>
      <c r="BO224" s="155">
        <f>BO212/BO208*400</f>
        <v>-32.185430463576161</v>
      </c>
      <c r="BP224" s="61"/>
      <c r="BQ224" s="155">
        <f>BQ212/BQ208*400</f>
        <v>-0.64113980409617088</v>
      </c>
      <c r="BR224" s="61"/>
      <c r="BS224" s="155">
        <f>BS212/BS208*400</f>
        <v>-42.39729681664592</v>
      </c>
      <c r="BT224" s="61"/>
      <c r="BU224" s="155">
        <f>BU212/BU208*400</f>
        <v>-70.490506329113927</v>
      </c>
      <c r="BV224" s="61"/>
      <c r="BW224" s="155">
        <f>BW212/BW208*400</f>
        <v>-24.935309338979064</v>
      </c>
      <c r="BX224" s="61"/>
      <c r="BY224" s="155">
        <f>BY212/BY208*400</f>
        <v>56.813627254509015</v>
      </c>
      <c r="BZ224" s="61"/>
      <c r="CA224" s="155">
        <f>CA212/CA208*400</f>
        <v>54.888206926786495</v>
      </c>
      <c r="CB224" s="61"/>
      <c r="CC224" s="155">
        <f>CC212/CC208*400</f>
        <v>16.460587326120557</v>
      </c>
      <c r="CD224" s="61"/>
      <c r="CE224" s="155">
        <f>CE212/CE208*400</f>
        <v>15.963684509173445</v>
      </c>
      <c r="CF224" s="61"/>
      <c r="CG224" s="155">
        <f>CG212/CG208*400</f>
        <v>-29.559173221145052</v>
      </c>
      <c r="CH224" s="61"/>
      <c r="CI224" s="155">
        <f>CI212/CI208*400</f>
        <v>39.705589814999001</v>
      </c>
      <c r="CJ224" s="61"/>
      <c r="CK224" s="155">
        <f>CK212/CK208*400</f>
        <v>30.061129090255307</v>
      </c>
      <c r="CL224" s="61"/>
      <c r="CM224" s="155">
        <f>CM212/CM208*400</f>
        <v>18.114726601811473</v>
      </c>
      <c r="CN224" s="61"/>
      <c r="CO224" s="155">
        <f>CO212/CO208*400</f>
        <v>2.5279533300923673</v>
      </c>
      <c r="CP224" s="61"/>
      <c r="CQ224" s="155">
        <f>CQ212/CQ208*400</f>
        <v>-46.71106058145201</v>
      </c>
      <c r="CR224" s="61"/>
      <c r="CS224" s="155">
        <f>CS212/CS208*400</f>
        <v>29.990697674418605</v>
      </c>
      <c r="CT224" s="61"/>
      <c r="CU224" s="155">
        <f>CU212/CU208*400</f>
        <v>38.192368559873394</v>
      </c>
      <c r="CV224" s="61"/>
      <c r="CW224" s="155">
        <f>CW212/CW208*400</f>
        <v>-10.512737826507578</v>
      </c>
      <c r="CX224" s="61"/>
      <c r="CY224" s="155">
        <f>CY212/CY208*400</f>
        <v>20.649458784346379</v>
      </c>
      <c r="CZ224" s="61"/>
      <c r="DA224" s="155">
        <f>DA212/DA208*400</f>
        <v>6.6432449696582561</v>
      </c>
      <c r="DB224" s="61"/>
      <c r="DC224" s="155">
        <f>DC212/DC208*400</f>
        <v>23.547447493484594</v>
      </c>
      <c r="DD224" s="61"/>
      <c r="DE224" s="155">
        <f>DE212/DE208*400</f>
        <v>3.2657821839918353</v>
      </c>
      <c r="DF224" s="61"/>
      <c r="DG224" s="155">
        <f>DG212/DG208*400</f>
        <v>23.293172690763054</v>
      </c>
      <c r="DH224" s="61"/>
      <c r="DI224" s="155">
        <f>DI212/DI208*400</f>
        <v>24.527036092848515</v>
      </c>
      <c r="DJ224" s="61"/>
      <c r="DK224" s="155">
        <f>DK212/DK208*400</f>
        <v>5.9303187546330616</v>
      </c>
      <c r="DL224" s="61"/>
      <c r="DM224" s="155">
        <f>DM212/DM208*400</f>
        <v>15.513526454393107</v>
      </c>
      <c r="DN224" s="130" t="str">
        <f t="shared" si="1591"/>
        <v>NM</v>
      </c>
      <c r="DO224" s="155">
        <f>DO212/DO208*400</f>
        <v>-5.7905451255372089</v>
      </c>
      <c r="DP224" s="130" t="str">
        <f t="shared" si="1591"/>
        <v>NM</v>
      </c>
      <c r="DQ224" s="155">
        <f>DQ212/DQ208*400</f>
        <v>9.6679466907612372</v>
      </c>
      <c r="DR224" s="130" t="str">
        <f t="shared" si="1591"/>
        <v>NM</v>
      </c>
      <c r="DS224" s="155">
        <f>DS212/DS208*400</f>
        <v>10.191082802547772</v>
      </c>
      <c r="DT224" s="130">
        <f t="shared" si="1591"/>
        <v>71.847133757961814</v>
      </c>
      <c r="DU224" s="155">
        <f>DU212/DU208*400</f>
        <v>-0.24909185262065389</v>
      </c>
      <c r="DV224" s="130" t="str">
        <f t="shared" si="1591"/>
        <v>NM</v>
      </c>
      <c r="DW224" s="155">
        <f>DW212/DW208*400</f>
        <v>-26.295310260086012</v>
      </c>
      <c r="DX224" s="155">
        <f t="shared" ref="DX224:DY224" si="1617">DX212/DX208*400</f>
        <v>-24573.870129870123</v>
      </c>
      <c r="DY224" s="155">
        <f t="shared" si="1617"/>
        <v>14.327580592640835</v>
      </c>
      <c r="DZ224" s="130">
        <f t="shared" si="1591"/>
        <v>48.196727298179852</v>
      </c>
      <c r="EA224" s="155">
        <f t="shared" ref="EA224:EC224" si="1618">EA212/EA208*400</f>
        <v>2.7640264026402641</v>
      </c>
      <c r="EB224" s="130" t="str">
        <f t="shared" si="1594"/>
        <v>NM</v>
      </c>
      <c r="EC224" s="155">
        <f t="shared" si="1618"/>
        <v>8.3418107833163777</v>
      </c>
      <c r="ED224" s="130" t="str">
        <f t="shared" si="1595"/>
        <v>NM</v>
      </c>
      <c r="EE224" s="155">
        <f t="shared" ref="EE224:EG224" si="1619">EE212/EE208*400</f>
        <v>16.594573338576485</v>
      </c>
      <c r="EF224" s="130" t="str">
        <f t="shared" si="1597"/>
        <v>NM</v>
      </c>
      <c r="EG224" s="155">
        <f t="shared" si="1619"/>
        <v>6.0206262194555427</v>
      </c>
      <c r="EH224" s="130" t="str">
        <f t="shared" si="1598"/>
        <v>NM</v>
      </c>
      <c r="EI224" s="155">
        <f t="shared" ref="EI224:EK224" si="1620">EI212/EI208*400</f>
        <v>21.016458672454334</v>
      </c>
      <c r="EJ224" s="130" t="str">
        <f t="shared" si="1600"/>
        <v>NM</v>
      </c>
      <c r="EK224" s="155">
        <f t="shared" si="1620"/>
        <v>13.149847094801222</v>
      </c>
      <c r="EL224" s="130">
        <f t="shared" si="1601"/>
        <v>57.637801148653686</v>
      </c>
      <c r="EM224" s="155">
        <f t="shared" ref="EM224" si="1621">EM212/EM208*400</f>
        <v>15.582303188028627</v>
      </c>
      <c r="EN224" s="130">
        <f t="shared" si="1603"/>
        <v>-6.1000070920455007</v>
      </c>
      <c r="EO224" s="155">
        <f t="shared" ref="EO224" si="1622">EO212/EO208*400</f>
        <v>16.630535769588111</v>
      </c>
      <c r="EP224" s="130" t="str">
        <f t="shared" si="1605"/>
        <v>NM</v>
      </c>
      <c r="EQ224" s="155">
        <f t="shared" ref="EQ224:EW224" si="1623">EQ212/EQ208*400</f>
        <v>-2.9875213957343911</v>
      </c>
      <c r="ER224" s="130" t="str">
        <f t="shared" si="1607"/>
        <v>NM</v>
      </c>
      <c r="ES224" s="155">
        <f t="shared" si="1623"/>
        <v>4.9792023262239855</v>
      </c>
      <c r="ET224" s="130" t="str">
        <f t="shared" si="1609"/>
        <v>NM</v>
      </c>
      <c r="EU224" s="155">
        <f t="shared" si="1623"/>
        <v>4.9792023262239855</v>
      </c>
      <c r="EV224" s="130" t="str">
        <f t="shared" si="1611"/>
        <v>NM</v>
      </c>
      <c r="EW224" s="155">
        <f t="shared" si="1623"/>
        <v>4.9792023262239855</v>
      </c>
      <c r="EX224" s="130" t="str">
        <f t="shared" si="1613"/>
        <v>NM</v>
      </c>
      <c r="EY224" s="85"/>
      <c r="EZ224" s="558"/>
      <c r="FA224" s="85"/>
      <c r="FB224" s="81"/>
      <c r="FC224" s="86"/>
      <c r="FD224" s="81"/>
      <c r="FE224" s="87"/>
      <c r="FF224" s="81"/>
      <c r="FG224" s="87"/>
      <c r="FH224" s="81"/>
      <c r="FI224" s="87"/>
      <c r="FJ224" s="81"/>
      <c r="FK224" s="87"/>
      <c r="FL224" s="81"/>
      <c r="FM224" s="87"/>
      <c r="FN224" s="81"/>
      <c r="FO224" s="87"/>
      <c r="FP224" s="156">
        <f>FP212/FP208*400</f>
        <v>39.447731755424066</v>
      </c>
      <c r="FQ224" s="61"/>
      <c r="FR224" s="156">
        <f>FR212/FR208*400</f>
        <v>86.033020972780008</v>
      </c>
      <c r="FS224" s="61"/>
      <c r="FT224" s="156">
        <f>FT212/FT208*400</f>
        <v>32.89332857652515</v>
      </c>
      <c r="FU224" s="61"/>
      <c r="FV224" s="156">
        <f>FV212/FV208*400</f>
        <v>-131.25827814569539</v>
      </c>
      <c r="FW224" s="61"/>
      <c r="FX224" s="156">
        <f>FX212/FX208*400</f>
        <v>107.36297341801928</v>
      </c>
      <c r="FY224" s="61"/>
      <c r="FZ224" s="156">
        <f>FZ212/FZ208*400</f>
        <v>54.775865330054849</v>
      </c>
      <c r="GA224" s="61"/>
      <c r="GB224" s="156">
        <f>GB212/GB208*400</f>
        <v>-0.4696410600469641</v>
      </c>
      <c r="GC224" s="61"/>
      <c r="GD224" s="156">
        <f>GD212/GD208*400</f>
        <v>55.846667838930898</v>
      </c>
      <c r="GE224" s="61"/>
      <c r="GF224" s="156">
        <f>GF212/GF208*400</f>
        <v>79.901885635443819</v>
      </c>
      <c r="GG224" s="61">
        <f t="shared" si="1614"/>
        <v>43.073685015355466</v>
      </c>
      <c r="GH224" s="156">
        <f>GH212/GH208*400</f>
        <v>26.192241166296022</v>
      </c>
      <c r="GI224" s="61" t="str">
        <f t="shared" si="1614"/>
        <v>NM</v>
      </c>
      <c r="GJ224" s="156">
        <f>GJ212/GJ208*400</f>
        <v>-3.5409694483428691</v>
      </c>
      <c r="GK224" s="61" t="str">
        <f t="shared" si="1614"/>
        <v>NM</v>
      </c>
      <c r="GL224" s="156">
        <f>GL212/GL208*400</f>
        <v>35.313531353135311</v>
      </c>
      <c r="GM224" s="61" t="str">
        <f t="shared" si="1614"/>
        <v>NM</v>
      </c>
      <c r="GN224" s="156">
        <f>GN212/GN208*400</f>
        <v>71.767046482184853</v>
      </c>
      <c r="GO224" s="61" t="str">
        <f t="shared" si="1614"/>
        <v>NM</v>
      </c>
      <c r="GP224" s="156">
        <f>GP212/GP208*400</f>
        <v>12.170921913654361</v>
      </c>
      <c r="GQ224" s="61" t="str">
        <f t="shared" si="1614"/>
        <v>NM</v>
      </c>
      <c r="GR224" s="156">
        <f>GR212/GR208*400</f>
        <v>0</v>
      </c>
      <c r="GS224" s="61" t="str">
        <f t="shared" si="1614"/>
        <v>NM</v>
      </c>
      <c r="GT224" s="156">
        <f>GT212/GT208*400</f>
        <v>0</v>
      </c>
      <c r="GU224" s="61" t="str">
        <f t="shared" si="1614"/>
        <v>NA</v>
      </c>
      <c r="GV224" s="156">
        <f>GV212/GV208*400</f>
        <v>0</v>
      </c>
      <c r="GW224" s="61" t="str">
        <f t="shared" si="1614"/>
        <v>NA</v>
      </c>
      <c r="GX224" s="156">
        <f>GX212/GX208*400</f>
        <v>0</v>
      </c>
      <c r="GY224" s="61" t="str">
        <f t="shared" si="1615"/>
        <v>NA</v>
      </c>
      <c r="GZ224" s="61" t="str">
        <f t="shared" si="1616"/>
        <v>NM</v>
      </c>
      <c r="HA224" s="61"/>
      <c r="HB224" s="452"/>
      <c r="HC224"/>
      <c r="HD224"/>
      <c r="HE224"/>
      <c r="HF224"/>
      <c r="HG224"/>
      <c r="HH224"/>
    </row>
    <row r="225" spans="2:216" s="5" customFormat="1" ht="12.75" customHeight="1" x14ac:dyDescent="0.2">
      <c r="B225" s="527" t="s">
        <v>515</v>
      </c>
      <c r="C225" s="81"/>
      <c r="D225" s="70"/>
      <c r="E225" s="81"/>
      <c r="F225" s="71"/>
      <c r="G225" s="82"/>
      <c r="H225" s="71"/>
      <c r="I225" s="82"/>
      <c r="J225" s="71"/>
      <c r="K225" s="82"/>
      <c r="L225" s="61"/>
      <c r="M225" s="81"/>
      <c r="N225" s="61"/>
      <c r="O225" s="82"/>
      <c r="P225" s="61"/>
      <c r="Q225" s="82"/>
      <c r="R225" s="61"/>
      <c r="S225" s="82"/>
      <c r="T225" s="61"/>
      <c r="U225" s="82"/>
      <c r="V225" s="61"/>
      <c r="W225" s="82"/>
      <c r="X225" s="61"/>
      <c r="Y225" s="82"/>
      <c r="Z225" s="61"/>
      <c r="AA225" s="82"/>
      <c r="AB225" s="61"/>
      <c r="AC225" s="82"/>
      <c r="AD225" s="61"/>
      <c r="AE225" s="82"/>
      <c r="AF225" s="61"/>
      <c r="AG225" s="82"/>
      <c r="AH225" s="61"/>
      <c r="AI225" s="82"/>
      <c r="AJ225" s="61"/>
      <c r="AK225" s="82"/>
      <c r="AL225" s="61"/>
      <c r="AM225" s="82"/>
      <c r="AN225" s="61"/>
      <c r="AO225" s="82"/>
      <c r="AP225" s="61"/>
      <c r="AQ225" s="82"/>
      <c r="AR225" s="61"/>
      <c r="AS225" s="82"/>
      <c r="AT225" s="61"/>
      <c r="AU225" s="82"/>
      <c r="AV225" s="61"/>
      <c r="AW225" s="82"/>
      <c r="AX225" s="61"/>
      <c r="AY225" s="300">
        <f>(AY224/4)/AY$23*100</f>
        <v>142.39552066143852</v>
      </c>
      <c r="AZ225" s="61"/>
      <c r="BA225" s="300">
        <f>(BA224/4)/BA$23*100</f>
        <v>151.83094282267376</v>
      </c>
      <c r="BB225" s="61"/>
      <c r="BC225" s="300">
        <f>(BC224/4)/BC$23*100</f>
        <v>63.209442411753734</v>
      </c>
      <c r="BD225" s="61"/>
      <c r="BE225" s="300">
        <f>(BE224/4)/BE$23*100</f>
        <v>110.65970640007446</v>
      </c>
      <c r="BF225" s="61"/>
      <c r="BG225" s="300">
        <f>(BG224/4)/BG$23*100</f>
        <v>939.00218993266981</v>
      </c>
      <c r="BH225" s="61"/>
      <c r="BI225" s="300">
        <f>(BI224/4)/BI$23*100</f>
        <v>90.32207981248655</v>
      </c>
      <c r="BJ225" s="61"/>
      <c r="BK225" s="300">
        <f>(BK224/4)/BK$23*100</f>
        <v>175.88189402168925</v>
      </c>
      <c r="BL225" s="61"/>
      <c r="BM225" s="300">
        <f>(BM224/4)/BM$23*100</f>
        <v>30.923909638362996</v>
      </c>
      <c r="BN225" s="61"/>
      <c r="BO225" s="300">
        <f>(BO224/4)/BO$23*100</f>
        <v>81.113256731869342</v>
      </c>
      <c r="BP225" s="61"/>
      <c r="BQ225" s="300">
        <f>(BQ224/4)/BQ$23*100</f>
        <v>2.4353430272136034</v>
      </c>
      <c r="BR225" s="61"/>
      <c r="BS225" s="300">
        <f>(BS224/4)/BS$23*100</f>
        <v>114.8787824871208</v>
      </c>
      <c r="BT225" s="61"/>
      <c r="BU225" s="300">
        <f>(BU224/4)/BU$23*100</f>
        <v>79.364744289463616</v>
      </c>
      <c r="BV225" s="61"/>
      <c r="BW225" s="300">
        <f>(BW224/4)/BW$23*100</f>
        <v>53.428520060206729</v>
      </c>
      <c r="BX225" s="61"/>
      <c r="BY225" s="300">
        <f>(BY224/4)/BY$23*100</f>
        <v>106.42231269093104</v>
      </c>
      <c r="BZ225" s="61"/>
      <c r="CA225" s="300">
        <f>(CA224/4)/CA$23*100</f>
        <v>94.728778662971564</v>
      </c>
      <c r="CB225" s="61"/>
      <c r="CC225" s="300">
        <f>(CC224/4)/CC$23*100</f>
        <v>49.712417043244898</v>
      </c>
      <c r="CD225" s="61"/>
      <c r="CE225" s="300">
        <f>(CE224/4)/CE$23*100</f>
        <v>81.911790148604624</v>
      </c>
      <c r="CF225" s="61"/>
      <c r="CG225" s="300">
        <f>(CG224/4)/CG$23*100</f>
        <v>59.067241065896781</v>
      </c>
      <c r="CH225" s="61"/>
      <c r="CI225" s="300">
        <f>(CI224/4)/CI$23*100</f>
        <v>89.590380395160125</v>
      </c>
      <c r="CJ225" s="61"/>
      <c r="CK225" s="300">
        <f>(CK224/4)/CK$23*100</f>
        <v>77.327871498121368</v>
      </c>
      <c r="CL225" s="61"/>
      <c r="CM225" s="300">
        <f>(CM224/4)/CM$23*100</f>
        <v>83.523254700210842</v>
      </c>
      <c r="CN225" s="61"/>
      <c r="CO225" s="300">
        <f>(CO224/4)/CO$23*100</f>
        <v>-71.542941363037045</v>
      </c>
      <c r="CP225" s="61"/>
      <c r="CQ225" s="300">
        <f>(CQ224/4)/CQ$23*100</f>
        <v>75.122937009788501</v>
      </c>
      <c r="CR225" s="61"/>
      <c r="CS225" s="300">
        <f>(CS224/4)/CS$23*100</f>
        <v>67.229557090294762</v>
      </c>
      <c r="CT225" s="61"/>
      <c r="CU225" s="300">
        <f>(CU224/4)/CU$23*100</f>
        <v>79.589525826621582</v>
      </c>
      <c r="CV225" s="61"/>
      <c r="CW225" s="300">
        <f>(CW224/4)/CW$23*100</f>
        <v>79.933469264203893</v>
      </c>
      <c r="CX225" s="61"/>
      <c r="CY225" s="300">
        <f>(CY224/4)/CY$23*100</f>
        <v>89.56778365076174</v>
      </c>
      <c r="CZ225" s="61"/>
      <c r="DA225" s="300">
        <f>(DA224/4)/DA$23*100</f>
        <v>-118.62937445818315</v>
      </c>
      <c r="DB225" s="61"/>
      <c r="DC225" s="300">
        <f>(DC224/4)/DC$23*100</f>
        <v>49.070802652516086</v>
      </c>
      <c r="DD225" s="61"/>
      <c r="DE225" s="300">
        <f>(DE224/4)/DE$23*100</f>
        <v>34.018564416581619</v>
      </c>
      <c r="DF225" s="61"/>
      <c r="DG225" s="300">
        <f>(DG224/4)/DG$23*100</f>
        <v>142.03154079733571</v>
      </c>
      <c r="DH225" s="61"/>
      <c r="DI225" s="300">
        <f>(DI224/4)/DI$23*100</f>
        <v>62.18822538754695</v>
      </c>
      <c r="DJ225" s="61"/>
      <c r="DK225" s="300">
        <f>(DK224/4)/DK$23*100</f>
        <v>114.27609862679004</v>
      </c>
      <c r="DL225" s="61"/>
      <c r="DM225" s="300">
        <f>(DM224/4)/DM$23*100</f>
        <v>97.8817527512374</v>
      </c>
      <c r="DN225" s="130" t="str">
        <f t="shared" si="1591"/>
        <v>NM</v>
      </c>
      <c r="DO225" s="300">
        <f>(DO224/4)/DO$23*100</f>
        <v>2773.1768585743976</v>
      </c>
      <c r="DP225" s="130" t="str">
        <f t="shared" si="1591"/>
        <v>NM</v>
      </c>
      <c r="DQ225" s="300">
        <f>(DQ224/4)/DQ$23*100</f>
        <v>41.722926937404438</v>
      </c>
      <c r="DR225" s="130">
        <f t="shared" si="1591"/>
        <v>-32.908638769809052</v>
      </c>
      <c r="DS225" s="300">
        <f>(DS224/4)/DS$23*100</f>
        <v>636.9426751592357</v>
      </c>
      <c r="DT225" s="130" t="str">
        <f t="shared" si="1591"/>
        <v>NM</v>
      </c>
      <c r="DU225" s="300">
        <f>(DU224/4)/DU$23*100</f>
        <v>-15.568240788790868</v>
      </c>
      <c r="DV225" s="130" t="str">
        <f t="shared" si="1591"/>
        <v>NM</v>
      </c>
      <c r="DW225" s="300">
        <f>(DW224/4)/DW$23*100</f>
        <v>86.769067325201775</v>
      </c>
      <c r="DX225" s="300" t="e">
        <f t="shared" ref="DX225:DY225" si="1624">(DX224/4)/DX$23*100</f>
        <v>#DIV/0!</v>
      </c>
      <c r="DY225" s="300">
        <f t="shared" si="1624"/>
        <v>57.366928313779674</v>
      </c>
      <c r="DZ225" s="61">
        <f t="shared" si="1591"/>
        <v>37.494975843486309</v>
      </c>
      <c r="EA225" s="300">
        <f t="shared" ref="EA225:EC225" si="1625">(EA224/4)/EA$23*100</f>
        <v>89.390888060325452</v>
      </c>
      <c r="EB225" s="61" t="str">
        <f t="shared" si="1594"/>
        <v>NM</v>
      </c>
      <c r="EC225" s="300">
        <f t="shared" si="1625"/>
        <v>165.74645886212468</v>
      </c>
      <c r="ED225" s="61" t="str">
        <f t="shared" si="1595"/>
        <v>NM</v>
      </c>
      <c r="EE225" s="300">
        <f t="shared" ref="EE225:EG225" si="1626">(EE224/4)/EE$23*100</f>
        <v>133.56424086708526</v>
      </c>
      <c r="EF225" s="61">
        <f t="shared" si="1597"/>
        <v>53.930709392668554</v>
      </c>
      <c r="EG225" s="300">
        <f t="shared" si="1626"/>
        <v>46.252563448512824</v>
      </c>
      <c r="EH225" s="61">
        <f t="shared" si="1598"/>
        <v>-19.374167646687745</v>
      </c>
      <c r="EI225" s="300">
        <f t="shared" ref="EI225:EK225" si="1627">(EI224/4)/EI$23*100</f>
        <v>94.947610963275437</v>
      </c>
      <c r="EJ225" s="61">
        <f t="shared" si="1600"/>
        <v>6.2162072930744605</v>
      </c>
      <c r="EK225" s="300">
        <f t="shared" si="1627"/>
        <v>127.98404485017562</v>
      </c>
      <c r="EL225" s="61">
        <f t="shared" si="1601"/>
        <v>-22.783240300392492</v>
      </c>
      <c r="EM225" s="300">
        <f t="shared" ref="EM225" si="1628">(EM224/4)/EM$23*100</f>
        <v>108.21043880575436</v>
      </c>
      <c r="EN225" s="61">
        <f t="shared" si="1603"/>
        <v>-18.982477567900379</v>
      </c>
      <c r="EO225" s="300">
        <f t="shared" ref="EO225" si="1629">(EO224/4)/EO$23*100</f>
        <v>62.240029077799818</v>
      </c>
      <c r="EP225" s="61">
        <f t="shared" si="1605"/>
        <v>34.565577423797997</v>
      </c>
      <c r="EQ225" s="157">
        <f t="shared" ref="EQ225" si="1630">EO225</f>
        <v>62.240029077799818</v>
      </c>
      <c r="ER225" s="61">
        <f t="shared" si="1607"/>
        <v>-34.448030396601034</v>
      </c>
      <c r="ES225" s="157">
        <f t="shared" ref="ES225" si="1631">EQ225</f>
        <v>62.240029077799818</v>
      </c>
      <c r="ET225" s="61" t="str">
        <f t="shared" si="1609"/>
        <v>NM</v>
      </c>
      <c r="EU225" s="157">
        <f t="shared" ref="EU225" si="1632">ES225</f>
        <v>62.240029077799818</v>
      </c>
      <c r="EV225" s="61">
        <f t="shared" si="1611"/>
        <v>-42.482416886299468</v>
      </c>
      <c r="EW225" s="157">
        <f t="shared" ref="EW225" si="1633">EU225</f>
        <v>62.240029077799818</v>
      </c>
      <c r="EX225" s="61">
        <f t="shared" si="1613"/>
        <v>0</v>
      </c>
      <c r="EY225" s="85"/>
      <c r="EZ225" s="558"/>
      <c r="FA225" s="85"/>
      <c r="FB225" s="81"/>
      <c r="FC225" s="86"/>
      <c r="FD225" s="81"/>
      <c r="FE225" s="87"/>
      <c r="FF225" s="81"/>
      <c r="FG225" s="87"/>
      <c r="FH225" s="81"/>
      <c r="FI225" s="87"/>
      <c r="FJ225" s="81"/>
      <c r="FK225" s="87"/>
      <c r="FL225" s="81"/>
      <c r="FM225" s="87"/>
      <c r="FN225" s="81"/>
      <c r="FO225" s="87"/>
      <c r="FP225" s="156"/>
      <c r="FQ225" s="61"/>
      <c r="FR225" s="156"/>
      <c r="FS225" s="61"/>
      <c r="FT225" s="156"/>
      <c r="FU225" s="61"/>
      <c r="FV225" s="156"/>
      <c r="FW225" s="61"/>
      <c r="FX225" s="156"/>
      <c r="FY225" s="61"/>
      <c r="FZ225" s="156"/>
      <c r="GA225" s="61"/>
      <c r="GB225" s="156"/>
      <c r="GC225" s="61"/>
      <c r="GD225" s="156"/>
      <c r="GE225" s="61"/>
      <c r="GF225" s="156"/>
      <c r="GG225" s="61"/>
      <c r="GH225" s="156"/>
      <c r="GI225" s="61"/>
      <c r="GJ225" s="156"/>
      <c r="GK225" s="61"/>
      <c r="GL225" s="156"/>
      <c r="GM225" s="61"/>
      <c r="GN225" s="156"/>
      <c r="GO225" s="61"/>
      <c r="GP225" s="156"/>
      <c r="GQ225" s="61"/>
      <c r="GR225" s="157">
        <f>GP225</f>
        <v>0</v>
      </c>
      <c r="GS225" s="61"/>
      <c r="GT225" s="157">
        <f>GR225</f>
        <v>0</v>
      </c>
      <c r="GU225" s="61"/>
      <c r="GV225" s="157">
        <f>GT225</f>
        <v>0</v>
      </c>
      <c r="GW225" s="61"/>
      <c r="GX225" s="157">
        <f>GV225</f>
        <v>0</v>
      </c>
      <c r="GY225" s="61"/>
      <c r="GZ225" s="61" t="str">
        <f t="shared" si="1616"/>
        <v/>
      </c>
      <c r="HA225" s="61"/>
      <c r="HB225" s="452"/>
      <c r="HC225"/>
      <c r="HD225"/>
      <c r="HE225"/>
      <c r="HF225"/>
      <c r="HG225"/>
      <c r="HH225"/>
    </row>
    <row r="226" spans="2:216" s="5" customFormat="1" ht="12.75" customHeight="1" x14ac:dyDescent="0.2">
      <c r="B226" s="68"/>
      <c r="C226" s="66"/>
      <c r="D226" s="107"/>
      <c r="E226" s="66"/>
      <c r="F226" s="64"/>
      <c r="G226" s="64"/>
      <c r="H226" s="64"/>
      <c r="I226" s="64"/>
      <c r="J226" s="64"/>
      <c r="K226" s="64"/>
      <c r="L226" s="61"/>
      <c r="M226" s="66"/>
      <c r="N226" s="61"/>
      <c r="O226" s="64"/>
      <c r="P226" s="61"/>
      <c r="Q226" s="64"/>
      <c r="R226" s="61"/>
      <c r="S226" s="64"/>
      <c r="T226" s="61"/>
      <c r="U226" s="64"/>
      <c r="V226" s="61"/>
      <c r="W226" s="64"/>
      <c r="X226" s="61"/>
      <c r="Y226" s="64"/>
      <c r="Z226" s="61"/>
      <c r="AA226" s="64"/>
      <c r="AB226" s="61"/>
      <c r="AC226" s="64"/>
      <c r="AD226" s="61"/>
      <c r="AE226" s="64"/>
      <c r="AF226" s="61"/>
      <c r="AG226" s="64"/>
      <c r="AH226" s="61"/>
      <c r="AI226" s="64"/>
      <c r="AJ226" s="61"/>
      <c r="AK226" s="64"/>
      <c r="AL226" s="61"/>
      <c r="AM226" s="64"/>
      <c r="AN226" s="61"/>
      <c r="AO226" s="64"/>
      <c r="AP226" s="61"/>
      <c r="AQ226" s="64"/>
      <c r="AR226" s="61"/>
      <c r="AS226" s="64"/>
      <c r="AT226" s="61"/>
      <c r="AU226" s="64"/>
      <c r="AV226" s="61"/>
      <c r="AW226" s="64"/>
      <c r="AX226" s="61"/>
      <c r="AY226" s="64"/>
      <c r="AZ226" s="61"/>
      <c r="BA226" s="64"/>
      <c r="BB226" s="61"/>
      <c r="BC226" s="64"/>
      <c r="BD226" s="61"/>
      <c r="BE226" s="64"/>
      <c r="BF226" s="61"/>
      <c r="BG226" s="64"/>
      <c r="BH226" s="61"/>
      <c r="BI226" s="64"/>
      <c r="BJ226" s="61"/>
      <c r="BK226" s="64"/>
      <c r="BL226" s="61"/>
      <c r="BM226" s="64"/>
      <c r="BN226" s="61"/>
      <c r="BO226" s="64"/>
      <c r="BP226" s="61"/>
      <c r="BQ226" s="64"/>
      <c r="BR226" s="61"/>
      <c r="BS226" s="158"/>
      <c r="BT226" s="61"/>
      <c r="BU226" s="158"/>
      <c r="BV226" s="61"/>
      <c r="BW226" s="64"/>
      <c r="BX226" s="61"/>
      <c r="BY226" s="64"/>
      <c r="BZ226" s="61"/>
      <c r="CA226" s="64"/>
      <c r="CB226" s="61"/>
      <c r="CC226" s="64"/>
      <c r="CD226" s="61"/>
      <c r="CE226" s="64"/>
      <c r="CF226" s="61"/>
      <c r="CG226" s="64"/>
      <c r="CH226" s="61"/>
      <c r="CI226" s="64"/>
      <c r="CJ226" s="61"/>
      <c r="CK226" s="64"/>
      <c r="CL226" s="61"/>
      <c r="CM226" s="64"/>
      <c r="CN226" s="61"/>
      <c r="CO226" s="64"/>
      <c r="CP226" s="61"/>
      <c r="CQ226" s="64"/>
      <c r="CR226" s="61"/>
      <c r="CS226" s="64"/>
      <c r="CT226" s="61"/>
      <c r="CU226" s="64"/>
      <c r="CV226" s="61"/>
      <c r="CW226" s="64"/>
      <c r="CX226" s="61"/>
      <c r="CY226" s="64"/>
      <c r="CZ226" s="61"/>
      <c r="DA226" s="64"/>
      <c r="DB226" s="61"/>
      <c r="DC226" s="64"/>
      <c r="DD226" s="61"/>
      <c r="DE226" s="64"/>
      <c r="DF226" s="61"/>
      <c r="DG226" s="64"/>
      <c r="DH226" s="61"/>
      <c r="DI226" s="64"/>
      <c r="DJ226" s="61"/>
      <c r="DK226" s="64"/>
      <c r="DL226" s="61"/>
      <c r="DM226" s="64"/>
      <c r="DN226" s="61"/>
      <c r="DO226" s="64"/>
      <c r="DP226" s="61"/>
      <c r="DQ226" s="64"/>
      <c r="DR226" s="61"/>
      <c r="DS226" s="64"/>
      <c r="DT226" s="61"/>
      <c r="DU226" s="64"/>
      <c r="DV226" s="61"/>
      <c r="DW226" s="64"/>
      <c r="DX226" s="64"/>
      <c r="DY226" s="64"/>
      <c r="DZ226" s="61"/>
      <c r="EA226" s="64"/>
      <c r="EB226" s="61"/>
      <c r="EC226" s="64"/>
      <c r="ED226" s="61"/>
      <c r="EE226" s="64"/>
      <c r="EF226" s="61"/>
      <c r="EG226" s="64"/>
      <c r="EH226" s="61"/>
      <c r="EI226" s="64"/>
      <c r="EJ226" s="61"/>
      <c r="EK226" s="64"/>
      <c r="EL226" s="61"/>
      <c r="EM226" s="64"/>
      <c r="EN226" s="61"/>
      <c r="EO226" s="64"/>
      <c r="EP226" s="61"/>
      <c r="EQ226" s="64"/>
      <c r="ER226" s="61"/>
      <c r="ES226" s="64"/>
      <c r="ET226" s="61"/>
      <c r="EU226" s="64"/>
      <c r="EV226" s="61"/>
      <c r="EW226" s="64"/>
      <c r="EX226" s="61"/>
      <c r="EY226" s="64"/>
      <c r="EZ226" s="558"/>
      <c r="FA226" s="64"/>
      <c r="FB226" s="66"/>
      <c r="FC226" s="64"/>
      <c r="FD226" s="66"/>
      <c r="FE226" s="107"/>
      <c r="FF226" s="66"/>
      <c r="FG226" s="107"/>
      <c r="FH226" s="66"/>
      <c r="FI226" s="107"/>
      <c r="FJ226" s="66"/>
      <c r="FK226" s="107"/>
      <c r="FL226" s="66"/>
      <c r="FM226" s="61"/>
      <c r="FN226" s="66"/>
      <c r="FO226" s="61"/>
      <c r="FP226" s="65"/>
      <c r="FQ226" s="61"/>
      <c r="FR226" s="65"/>
      <c r="FS226" s="61"/>
      <c r="FT226" s="65"/>
      <c r="FU226" s="61"/>
      <c r="FV226" s="65"/>
      <c r="FW226" s="61"/>
      <c r="FX226" s="65"/>
      <c r="FY226" s="61"/>
      <c r="FZ226" s="65"/>
      <c r="GA226" s="61"/>
      <c r="GB226" s="65"/>
      <c r="GC226" s="61"/>
      <c r="GD226" s="65"/>
      <c r="GE226" s="61"/>
      <c r="GF226" s="65"/>
      <c r="GG226" s="61"/>
      <c r="GH226" s="65"/>
      <c r="GI226" s="61"/>
      <c r="GJ226" s="65"/>
      <c r="GK226" s="61"/>
      <c r="GL226" s="65"/>
      <c r="GM226" s="61"/>
      <c r="GN226" s="65"/>
      <c r="GO226" s="61"/>
      <c r="GP226" s="65"/>
      <c r="GQ226" s="61"/>
      <c r="GR226" s="64"/>
      <c r="GS226" s="61"/>
      <c r="GT226" s="64"/>
      <c r="GU226" s="61"/>
      <c r="GV226" s="64"/>
      <c r="GW226" s="61"/>
      <c r="GX226" s="64"/>
      <c r="GY226" s="61"/>
      <c r="GZ226" s="61" t="str">
        <f t="shared" si="1616"/>
        <v/>
      </c>
      <c r="HA226" s="61"/>
      <c r="HB226" s="452"/>
      <c r="HC226"/>
      <c r="HD226"/>
      <c r="HE226"/>
      <c r="HF226"/>
      <c r="HG226"/>
      <c r="HH226"/>
    </row>
    <row r="227" spans="2:216" s="5" customFormat="1" ht="12.75" customHeight="1" x14ac:dyDescent="0.2">
      <c r="B227" s="63" t="s">
        <v>268</v>
      </c>
      <c r="C227" s="66"/>
      <c r="D227" s="67"/>
      <c r="E227" s="66"/>
      <c r="F227" s="66"/>
      <c r="G227" s="64"/>
      <c r="H227" s="66"/>
      <c r="I227" s="64"/>
      <c r="J227" s="66"/>
      <c r="K227" s="64"/>
      <c r="L227" s="61"/>
      <c r="M227" s="66"/>
      <c r="N227" s="61"/>
      <c r="O227" s="64"/>
      <c r="P227" s="61"/>
      <c r="Q227" s="64"/>
      <c r="R227" s="61"/>
      <c r="S227" s="64"/>
      <c r="T227" s="61"/>
      <c r="U227" s="64"/>
      <c r="V227" s="61"/>
      <c r="W227" s="64"/>
      <c r="X227" s="61"/>
      <c r="Y227" s="64"/>
      <c r="Z227" s="61"/>
      <c r="AA227" s="64"/>
      <c r="AB227" s="61"/>
      <c r="AC227" s="64"/>
      <c r="AD227" s="61"/>
      <c r="AE227" s="64"/>
      <c r="AF227" s="61"/>
      <c r="AG227" s="64"/>
      <c r="AH227" s="61"/>
      <c r="AI227" s="64"/>
      <c r="AJ227" s="61"/>
      <c r="AK227" s="64"/>
      <c r="AL227" s="61"/>
      <c r="AM227" s="64"/>
      <c r="AN227" s="61"/>
      <c r="AO227" s="64"/>
      <c r="AP227" s="61"/>
      <c r="AQ227" s="64"/>
      <c r="AR227" s="61"/>
      <c r="AS227" s="64"/>
      <c r="AT227" s="61"/>
      <c r="AU227" s="64"/>
      <c r="AV227" s="61"/>
      <c r="AW227" s="64"/>
      <c r="AX227" s="61"/>
      <c r="AY227" s="64"/>
      <c r="AZ227" s="61"/>
      <c r="BA227" s="64"/>
      <c r="BB227" s="61"/>
      <c r="BC227" s="64"/>
      <c r="BD227" s="61"/>
      <c r="BE227" s="64"/>
      <c r="BF227" s="61"/>
      <c r="BG227" s="64"/>
      <c r="BH227" s="61"/>
      <c r="BI227" s="64"/>
      <c r="BJ227" s="61"/>
      <c r="BK227" s="64"/>
      <c r="BL227" s="61"/>
      <c r="BM227" s="64"/>
      <c r="BN227" s="61"/>
      <c r="BO227" s="64"/>
      <c r="BP227" s="61"/>
      <c r="BQ227" s="64"/>
      <c r="BR227" s="61"/>
      <c r="BS227" s="64"/>
      <c r="BT227" s="61"/>
      <c r="BU227" s="64"/>
      <c r="BV227" s="61"/>
      <c r="BW227" s="64"/>
      <c r="BX227" s="61"/>
      <c r="BY227" s="64"/>
      <c r="BZ227" s="61"/>
      <c r="CA227" s="64"/>
      <c r="CB227" s="61"/>
      <c r="CC227" s="64"/>
      <c r="CD227" s="61"/>
      <c r="CE227" s="64"/>
      <c r="CF227" s="61"/>
      <c r="CG227" s="64"/>
      <c r="CH227" s="61"/>
      <c r="CI227" s="64"/>
      <c r="CJ227" s="61"/>
      <c r="CK227" s="64"/>
      <c r="CL227" s="61"/>
      <c r="CM227" s="64"/>
      <c r="CN227" s="61"/>
      <c r="CO227" s="64"/>
      <c r="CP227" s="61"/>
      <c r="CQ227" s="64"/>
      <c r="CR227" s="61"/>
      <c r="CS227" s="64"/>
      <c r="CT227" s="61"/>
      <c r="CU227" s="64"/>
      <c r="CV227" s="61"/>
      <c r="CW227" s="64"/>
      <c r="CX227" s="61"/>
      <c r="CY227" s="64"/>
      <c r="CZ227" s="61"/>
      <c r="DA227" s="64"/>
      <c r="DB227" s="61"/>
      <c r="DC227" s="64"/>
      <c r="DD227" s="61"/>
      <c r="DE227" s="64"/>
      <c r="DF227" s="61"/>
      <c r="DG227" s="64"/>
      <c r="DH227" s="61"/>
      <c r="DI227" s="64"/>
      <c r="DJ227" s="61"/>
      <c r="DK227" s="64"/>
      <c r="DL227" s="61"/>
      <c r="DM227" s="64"/>
      <c r="DN227" s="61"/>
      <c r="DO227" s="64"/>
      <c r="DP227" s="61"/>
      <c r="DQ227" s="64"/>
      <c r="DR227" s="61"/>
      <c r="DS227" s="64"/>
      <c r="DT227" s="61"/>
      <c r="DU227" s="64"/>
      <c r="DV227" s="61"/>
      <c r="DW227" s="64"/>
      <c r="DX227" s="64"/>
      <c r="DY227" s="64"/>
      <c r="DZ227" s="61"/>
      <c r="EA227" s="64"/>
      <c r="EB227" s="61"/>
      <c r="EC227" s="64"/>
      <c r="ED227" s="61"/>
      <c r="EE227" s="64"/>
      <c r="EF227" s="61"/>
      <c r="EG227" s="64"/>
      <c r="EH227" s="61"/>
      <c r="EI227" s="64"/>
      <c r="EJ227" s="61"/>
      <c r="EK227" s="64"/>
      <c r="EL227" s="61"/>
      <c r="EM227" s="64"/>
      <c r="EN227" s="61"/>
      <c r="EO227" s="64"/>
      <c r="EP227" s="61"/>
      <c r="EQ227" s="64"/>
      <c r="ER227" s="61"/>
      <c r="ES227" s="64"/>
      <c r="ET227" s="61"/>
      <c r="EU227" s="64"/>
      <c r="EV227" s="61"/>
      <c r="EW227" s="64"/>
      <c r="EX227" s="61"/>
      <c r="EY227" s="64"/>
      <c r="EZ227" s="558"/>
      <c r="FA227" s="64"/>
      <c r="FB227" s="66"/>
      <c r="FC227" s="66"/>
      <c r="FD227" s="66"/>
      <c r="FE227" s="67"/>
      <c r="FF227" s="66"/>
      <c r="FG227" s="67"/>
      <c r="FH227" s="66"/>
      <c r="FI227" s="67"/>
      <c r="FJ227" s="66"/>
      <c r="FK227" s="67"/>
      <c r="FL227" s="66"/>
      <c r="FM227" s="61"/>
      <c r="FN227" s="66"/>
      <c r="FO227" s="61"/>
      <c r="FP227" s="65"/>
      <c r="FQ227" s="61"/>
      <c r="FR227" s="65"/>
      <c r="FS227" s="61"/>
      <c r="FT227" s="65"/>
      <c r="FU227" s="61"/>
      <c r="FV227" s="65"/>
      <c r="FW227" s="61"/>
      <c r="FX227" s="65"/>
      <c r="FY227" s="61"/>
      <c r="FZ227" s="65"/>
      <c r="GA227" s="61"/>
      <c r="GB227" s="65"/>
      <c r="GC227" s="61"/>
      <c r="GD227" s="65"/>
      <c r="GE227" s="61"/>
      <c r="GF227" s="65"/>
      <c r="GG227" s="61"/>
      <c r="GH227" s="65"/>
      <c r="GI227" s="61"/>
      <c r="GJ227" s="65"/>
      <c r="GK227" s="61"/>
      <c r="GL227" s="65"/>
      <c r="GM227" s="61"/>
      <c r="GN227" s="65"/>
      <c r="GO227" s="61"/>
      <c r="GP227" s="65"/>
      <c r="GQ227" s="61"/>
      <c r="GR227" s="64"/>
      <c r="GS227" s="61"/>
      <c r="GT227" s="64"/>
      <c r="GU227" s="61"/>
      <c r="GV227" s="64"/>
      <c r="GW227" s="61"/>
      <c r="GX227" s="64"/>
      <c r="GY227" s="61"/>
      <c r="GZ227" s="61" t="str">
        <f t="shared" si="1616"/>
        <v/>
      </c>
      <c r="HA227" s="61"/>
      <c r="HB227" s="452"/>
      <c r="HC227"/>
      <c r="HD227"/>
      <c r="HE227"/>
      <c r="HF227"/>
      <c r="HG227"/>
      <c r="HH227"/>
    </row>
    <row r="228" spans="2:216" s="5" customFormat="1" ht="12.75" customHeight="1" x14ac:dyDescent="0.2">
      <c r="B228" s="2" t="s">
        <v>608</v>
      </c>
      <c r="C228" s="69"/>
      <c r="D228" s="70"/>
      <c r="E228" s="69"/>
      <c r="F228" s="71"/>
      <c r="G228" s="69"/>
      <c r="H228" s="71"/>
      <c r="I228" s="69"/>
      <c r="J228" s="61"/>
      <c r="K228" s="69"/>
      <c r="L228" s="61"/>
      <c r="M228" s="69"/>
      <c r="N228" s="61"/>
      <c r="O228" s="69"/>
      <c r="P228" s="61"/>
      <c r="Q228" s="69"/>
      <c r="R228" s="61"/>
      <c r="S228" s="69"/>
      <c r="T228" s="61"/>
      <c r="U228" s="69"/>
      <c r="V228" s="61"/>
      <c r="W228" s="69"/>
      <c r="X228" s="61"/>
      <c r="Y228" s="69"/>
      <c r="Z228" s="61"/>
      <c r="AA228" s="69"/>
      <c r="AB228" s="61"/>
      <c r="AC228" s="69"/>
      <c r="AD228" s="61"/>
      <c r="AE228" s="69"/>
      <c r="AF228" s="61"/>
      <c r="AG228" s="69"/>
      <c r="AH228" s="61"/>
      <c r="AI228" s="69"/>
      <c r="AJ228" s="61"/>
      <c r="AK228" s="69"/>
      <c r="AL228" s="61"/>
      <c r="AM228" s="69"/>
      <c r="AN228" s="61"/>
      <c r="AO228" s="69"/>
      <c r="AP228" s="61"/>
      <c r="AQ228" s="69">
        <f>AQ195</f>
        <v>11325</v>
      </c>
      <c r="AR228" s="61" t="str">
        <f>IF(ISERROR((AQ228/AI228-1)*100),"NA",IF(((AQ228/AI228-1)*100)&gt;100,"NM",IF(((AQ228/AI228-1)*100)&lt;-50,"NM",(AQ228/AI228-1)*100)))</f>
        <v>NA</v>
      </c>
      <c r="AS228" s="69">
        <f>AS195</f>
        <v>11443</v>
      </c>
      <c r="AT228" s="61" t="str">
        <f>IF(ISERROR((AS228/AK228-1)*100),"NA",IF(((AS228/AK228-1)*100)&gt;100,"NM",IF(((AS228/AK228-1)*100)&lt;-50,"NM",(AS228/AK228-1)*100)))</f>
        <v>NA</v>
      </c>
      <c r="AU228" s="69">
        <f>AU195</f>
        <v>11591</v>
      </c>
      <c r="AV228" s="61" t="str">
        <f>IF(ISERROR((AU228/AM228-1)*100),"NA",IF(((AU228/AM228-1)*100)&gt;100,"NM",IF(((AU228/AM228-1)*100)&lt;-50,"NM",(AU228/AM228-1)*100)))</f>
        <v>NA</v>
      </c>
      <c r="AW228" s="69">
        <f>AW195</f>
        <v>11809</v>
      </c>
      <c r="AX228" s="61" t="str">
        <f>IF(ISERROR((AW228/AO228-1)*100),"NA",IF(((AW228/AO228-1)*100)&gt;100,"NM",IF(((AW228/AO228-1)*100)&lt;-50,"NM",(AW228/AO228-1)*100)))</f>
        <v>NA</v>
      </c>
      <c r="AY228" s="69">
        <f>AY195</f>
        <v>11913</v>
      </c>
      <c r="AZ228" s="61">
        <f>IF(ISERROR((AY228/AQ228-1)*100),"NA",IF(((AY228/AQ228-1)*100)&gt;100,"NM",IF(((AY228/AQ228-1)*100)&lt;-50,"NM",(AY228/AQ228-1)*100)))</f>
        <v>5.1920529801324555</v>
      </c>
      <c r="BA228" s="69">
        <f>BA195</f>
        <v>21285</v>
      </c>
      <c r="BB228" s="61">
        <f>IF(ISERROR((BA228/AS228-1)*100),"NA",IF(((BA228/AS228-1)*100)&gt;100,"NM",IF(((BA228/AS228-1)*100)&lt;-50,"NM",(BA228/AS228-1)*100)))</f>
        <v>86.008913746395166</v>
      </c>
      <c r="BC228" s="69">
        <f>BC195</f>
        <v>21516</v>
      </c>
      <c r="BD228" s="61">
        <f>IF(ISERROR((BC228/AU228-1)*100),"NA",IF(((BC228/AU228-1)*100)&gt;100,"NM",IF(((BC228/AU228-1)*100)&lt;-50,"NM",(BC228/AU228-1)*100)))</f>
        <v>85.626779397808647</v>
      </c>
      <c r="BE228" s="69">
        <f>BE195</f>
        <v>21890</v>
      </c>
      <c r="BF228" s="61">
        <f>IF(ISERROR((BE228/AW228-1)*100),"NA",IF(((BE228/AW228-1)*100)&gt;100,"NM",IF(((BE228/AW228-1)*100)&lt;-50,"NM",(BE228/AW228-1)*100)))</f>
        <v>85.367092895249399</v>
      </c>
      <c r="BG228" s="69">
        <f>BG195</f>
        <v>25575</v>
      </c>
      <c r="BH228" s="61" t="str">
        <f>IF(ISERROR((BG228/AY228-1)*100),"NA",IF(((BG228/AY228-1)*100)&gt;100,"NM",IF(((BG228/AY228-1)*100)&lt;-50,"NM",(BG228/AY228-1)*100)))</f>
        <v>NM</v>
      </c>
      <c r="BI228" s="69">
        <f>BI195</f>
        <v>25864</v>
      </c>
      <c r="BJ228" s="61">
        <f>IF(ISERROR((BI228/BA228-1)*100),"NA",IF(((BI228/BA228-1)*100)&gt;100,"NM",IF(((BI228/BA228-1)*100)&lt;-50,"NM",(BI228/BA228-1)*100)))</f>
        <v>21.512802443034996</v>
      </c>
      <c r="BK228" s="69">
        <f>BK195</f>
        <v>26162</v>
      </c>
      <c r="BL228" s="61">
        <f>IF(ISERROR((BK228/BC228-1)*100),"NA",IF(((BK228/BC228-1)*100)&gt;100,"NM",IF(((BK228/BC228-1)*100)&lt;-50,"NM",(BK228/BC228-1)*100)))</f>
        <v>21.593232942926189</v>
      </c>
      <c r="BM228" s="69">
        <f>BM195</f>
        <v>26518</v>
      </c>
      <c r="BN228" s="61">
        <f>IF(ISERROR((BM228/BE228-1)*100),"NA",IF(((BM228/BE228-1)*100)&gt;100,"NM",IF(((BM228/BE228-1)*100)&lt;-50,"NM",(BM228/BE228-1)*100)))</f>
        <v>21.142074006395607</v>
      </c>
      <c r="BO228" s="69">
        <f>BO195</f>
        <v>26726</v>
      </c>
      <c r="BP228" s="61">
        <f>IF(ISERROR((BO228/BG228-1)*100),"NA",IF(((BO228/BG228-1)*100)&gt;100,"NM",IF(((BO228/BG228-1)*100)&lt;-50,"NM",(BO228/BG228-1)*100)))</f>
        <v>4.5004887585532671</v>
      </c>
      <c r="BQ228" s="69">
        <f>BQ195</f>
        <v>26980</v>
      </c>
      <c r="BR228" s="61">
        <f>IF(ISERROR((BQ228/BI228-1)*100),"NA",IF(((BQ228/BI228-1)*100)&gt;100,"NM",IF(((BQ228/BI228-1)*100)&lt;-50,"NM",(BQ228/BI228-1)*100)))</f>
        <v>4.3148778224559203</v>
      </c>
      <c r="BS228" s="69">
        <f>BS195</f>
        <v>27227</v>
      </c>
      <c r="BT228" s="61">
        <f>IF(ISERROR((BS228/BK228-1)*100),"NA",IF(((BS228/BK228-1)*100)&gt;100,"NM",IF(((BS228/BK228-1)*100)&lt;-50,"NM",(BS228/BK228-1)*100)))</f>
        <v>4.0707896949774502</v>
      </c>
      <c r="BU228" s="69">
        <f>BU195</f>
        <v>27502</v>
      </c>
      <c r="BV228" s="61">
        <f>IF(ISERROR((BU228/BM228-1)*100),"NA",IF(((BU228/BM228-1)*100)&gt;100,"NM",IF(((BU228/BM228-1)*100)&lt;-50,"NM",(BU228/BM228-1)*100)))</f>
        <v>3.7106870804736403</v>
      </c>
      <c r="BW228" s="69">
        <f>BW195</f>
        <v>27617</v>
      </c>
      <c r="BX228" s="61">
        <f>IF(ISERROR((BW228/BO228-1)*100),"NA",IF(((BW228/BO228-1)*100)&gt;100,"NM",IF(((BW228/BO228-1)*100)&lt;-50,"NM",(BW228/BO228-1)*100)))</f>
        <v>3.3338322233031459</v>
      </c>
      <c r="BY228" s="69">
        <f>BY195</f>
        <v>27709</v>
      </c>
      <c r="BZ228" s="61">
        <f>IF(ISERROR((BY228/BQ228-1)*100),"NA",IF(((BY228/BQ228-1)*100)&gt;100,"NM",IF(((BY228/BQ228-1)*100)&lt;-50,"NM",(BY228/BQ228-1)*100)))</f>
        <v>2.7020014825796856</v>
      </c>
      <c r="CA228" s="69">
        <f>CA195</f>
        <v>27825</v>
      </c>
      <c r="CB228" s="61">
        <f>IF(ISERROR((CA228/BS228-1)*100),"NA",IF(((CA228/BS228-1)*100)&gt;100,"NM",IF(((CA228/BS228-1)*100)&lt;-50,"NM",(CA228/BS228-1)*100)))</f>
        <v>2.1963492121790829</v>
      </c>
      <c r="CC228" s="69">
        <f>CC195</f>
        <v>28192</v>
      </c>
      <c r="CD228" s="61">
        <f>IF(ISERROR((CC228/BU228-1)*100),"NA",IF(((CC228/BU228-1)*100)&gt;100,"NM",IF(((CC228/BU228-1)*100)&lt;-50,"NM",(CC228/BU228-1)*100)))</f>
        <v>2.5089084430223174</v>
      </c>
      <c r="CE228" s="69">
        <f>CE195</f>
        <v>28355</v>
      </c>
      <c r="CF228" s="61">
        <f>IF(ISERROR((CE228/BW228-1)*100),"NA",IF(((CE228/BW228-1)*100)&gt;100,"NM",IF(((CE228/BW228-1)*100)&lt;-50,"NM",(CE228/BW228-1)*100)))</f>
        <v>2.6722670818698724</v>
      </c>
      <c r="CG228" s="69">
        <f>CG195</f>
        <v>28584</v>
      </c>
      <c r="CH228" s="61">
        <f>IF(ISERROR((CG228/BY228-1)*100),"NA",IF(((CG228/BY228-1)*100)&gt;100,"NM",IF(((CG228/BY228-1)*100)&lt;-50,"NM",(CG228/BY228-1)*100)))</f>
        <v>3.157818759247899</v>
      </c>
      <c r="CI228" s="69">
        <f>CI195</f>
        <v>28794</v>
      </c>
      <c r="CJ228" s="61">
        <f>IF(ISERROR((CI228/CA228-1)*100),"NA",IF(((CI228/CA228-1)*100)&gt;100,"NM",IF(((CI228/CA228-1)*100)&lt;-50,"NM",(CI228/CA228-1)*100)))</f>
        <v>3.4824797843665767</v>
      </c>
      <c r="CK228" s="69">
        <f>CK195</f>
        <v>29365</v>
      </c>
      <c r="CL228" s="61">
        <f>IF(ISERROR((CK228/CC228-1)*100),"NA",IF(((CK228/CC228-1)*100)&gt;100,"NM",IF(((CK228/CC228-1)*100)&lt;-50,"NM",(CK228/CC228-1)*100)))</f>
        <v>4.1607548240635728</v>
      </c>
      <c r="CM228" s="69">
        <f>CM195</f>
        <v>29739</v>
      </c>
      <c r="CN228" s="61">
        <f>IF(ISERROR((CM228/CE228-1)*100),"NA",IF(((CM228/CE228-1)*100)&gt;100,"NM",IF(((CM228/CE228-1)*100)&lt;-50,"NM",(CM228/CE228-1)*100)))</f>
        <v>4.8809733733027771</v>
      </c>
      <c r="CO228" s="69">
        <f>CO195</f>
        <v>30148</v>
      </c>
      <c r="CP228" s="61">
        <f>IF(ISERROR((CO228/CG228-1)*100),"NA",IF(((CO228/CG228-1)*100)&gt;100,"NM",IF(((CO228/CG228-1)*100)&lt;-50,"NM",(CO228/CG228-1)*100)))</f>
        <v>5.4715924993003151</v>
      </c>
      <c r="CQ228" s="69">
        <f>CQ195</f>
        <v>30638</v>
      </c>
      <c r="CR228" s="61">
        <f>IF(ISERROR((CQ228/CI228-1)*100),"NA",IF(((CQ228/CI228-1)*100)&gt;100,"NM",IF(((CQ228/CI228-1)*100)&lt;-50,"NM",(CQ228/CI228-1)*100)))</f>
        <v>6.4041119677710645</v>
      </c>
      <c r="CS228" s="69">
        <f>CS195</f>
        <v>31219</v>
      </c>
      <c r="CT228" s="61">
        <f>IF(ISERROR((CS228/CK228-1)*100),"NA",IF(((CS228/CK228-1)*100)&gt;100,"NM",IF(((CS228/CK228-1)*100)&lt;-50,"NM",(CS228/CK228-1)*100)))</f>
        <v>6.3136386855099591</v>
      </c>
      <c r="CU228" s="69">
        <f>CU195</f>
        <v>31494</v>
      </c>
      <c r="CV228" s="61">
        <f>IF(ISERROR((CU228/CM228-1)*100),"NA",IF(((CU228/CM228-1)*100)&gt;100,"NM",IF(((CU228/CM228-1)*100)&lt;-50,"NM",(CU228/CM228-1)*100)))</f>
        <v>5.9013416725511858</v>
      </c>
      <c r="CW228" s="69">
        <f>CW195</f>
        <v>31750</v>
      </c>
      <c r="CX228" s="61">
        <f>IF(ISERROR((CW228/CO228-1)*100),"NA",IF(((CW228/CO228-1)*100)&gt;100,"NM",IF(((CW228/CO228-1)*100)&lt;-50,"NM",(CW228/CO228-1)*100)))</f>
        <v>5.3137853257264167</v>
      </c>
      <c r="CY228" s="69">
        <f>CY195</f>
        <v>31986</v>
      </c>
      <c r="CZ228" s="61">
        <f>IF(ISERROR((CY228/CQ228-1)*100),"NA",IF(((CY228/CQ228-1)*100)&gt;100,"NM",IF(((CY228/CQ228-1)*100)&lt;-50,"NM",(CY228/CQ228-1)*100)))</f>
        <v>4.3997649977152609</v>
      </c>
      <c r="DA228" s="69">
        <f>DA195</f>
        <v>32432</v>
      </c>
      <c r="DB228" s="61">
        <f>IF(ISERROR((DA228/CS228-1)*100),"NA",IF(((DA228/CS228-1)*100)&gt;100,"NM",IF(((DA228/CS228-1)*100)&lt;-50,"NM",(DA228/CS228-1)*100)))</f>
        <v>3.8854543707357747</v>
      </c>
      <c r="DC228" s="69">
        <f>DC195</f>
        <v>32817</v>
      </c>
      <c r="DD228" s="61">
        <f>IF(ISERROR((DC228/CU228-1)*100),"NA",IF(((DC228/CU228-1)*100)&gt;100,"NM",IF(((DC228/CU228-1)*100)&lt;-50,"NM",(DC228/CU228-1)*100)))</f>
        <v>4.2008001524099781</v>
      </c>
      <c r="DE228" s="69">
        <f>DE195</f>
        <v>33108</v>
      </c>
      <c r="DF228" s="61">
        <f>IF(ISERROR((DE228/CW228-1)*100),"NA",IF(((DE228/CW228-1)*100)&gt;100,"NM",IF(((DE228/CW228-1)*100)&lt;-50,"NM",(DE228/CW228-1)*100)))</f>
        <v>4.2771653543307142</v>
      </c>
      <c r="DG228" s="69">
        <f>DG195</f>
        <v>33366</v>
      </c>
      <c r="DH228" s="61">
        <f>IF(ISERROR((DG228/CY228-1)*100),"NA",IF(((DG228/CY228-1)*100)&gt;100,"NM",IF(((DG228/CY228-1)*100)&lt;-50,"NM",(DG228/CY228-1)*100)))</f>
        <v>4.3143875445507351</v>
      </c>
      <c r="DI228" s="69">
        <f>DI195</f>
        <v>33721</v>
      </c>
      <c r="DJ228" s="61">
        <f>IF(ISERROR((DI228/DA228-1)*100),"NA",IF(((DI228/DA228-1)*100)&gt;100,"NM",IF(((DI228/DA228-1)*100)&lt;-50,"NM",(DI228/DA228-1)*100)))</f>
        <v>3.9744696595954698</v>
      </c>
      <c r="DK228" s="69">
        <f>DK195</f>
        <v>33886</v>
      </c>
      <c r="DL228" s="61">
        <f>IF(ISERROR((DK228/DC228-1)*100),"NA",IF(((DK228/DC228-1)*100)&gt;100,"NM",IF(((DK228/DC228-1)*100)&lt;-50,"NM",(DK228/DC228-1)*100)))</f>
        <v>3.2574580248042162</v>
      </c>
      <c r="DM228" s="69">
        <f>DM195</f>
        <v>34094</v>
      </c>
      <c r="DN228" s="130">
        <f t="shared" ref="DN228:DZ230" si="1634">IF(ISERROR((DM228/DE228-1)*100),"NA",IF(((DM228/DE228-1)*100)&gt;100,"NM",IF(((DM228/DE228-1)*100)&lt;-50,"NM",(DM228/DE228-1)*100)))</f>
        <v>2.978132173492809</v>
      </c>
      <c r="DO228" s="69">
        <f>DO195</f>
        <v>34315</v>
      </c>
      <c r="DP228" s="130">
        <f t="shared" si="1634"/>
        <v>2.8442126715818583</v>
      </c>
      <c r="DQ228" s="69">
        <f>DQ195</f>
        <v>34612</v>
      </c>
      <c r="DR228" s="130">
        <f t="shared" si="1634"/>
        <v>2.6422703953026261</v>
      </c>
      <c r="DS228" s="69">
        <f>DS195</f>
        <v>34753</v>
      </c>
      <c r="DT228" s="130">
        <f t="shared" si="1634"/>
        <v>2.5585787640913571</v>
      </c>
      <c r="DU228" s="69">
        <f>DU195</f>
        <v>34930</v>
      </c>
      <c r="DV228" s="130">
        <f t="shared" si="1634"/>
        <v>2.452044347979121</v>
      </c>
      <c r="DW228" s="69">
        <f>DW195</f>
        <v>35213</v>
      </c>
      <c r="DX228" s="69">
        <f t="shared" ref="DX228:DY228" si="1635">DX195</f>
        <v>285.4520443479791</v>
      </c>
      <c r="DY228" s="69">
        <f t="shared" si="1635"/>
        <v>35545</v>
      </c>
      <c r="DZ228" s="130">
        <f t="shared" si="1634"/>
        <v>2.6955969028082727</v>
      </c>
      <c r="EA228" s="69">
        <f t="shared" ref="EA228:EC228" si="1636">EA195</f>
        <v>35640</v>
      </c>
      <c r="EB228" s="130">
        <f t="shared" ref="EB228:EB230" si="1637">IF(ISERROR((EA228/DS228-1)*100),"NA",IF(((EA228/DS228-1)*100)&gt;100,"NM",IF(((EA228/DS228-1)*100)&lt;-50,"NM",(EA228/DS228-1)*100)))</f>
        <v>2.5522976433689282</v>
      </c>
      <c r="EC228" s="69">
        <f t="shared" si="1636"/>
        <v>35775</v>
      </c>
      <c r="ED228" s="130">
        <f t="shared" ref="ED228:ED230" si="1638">IF(ISERROR((EC228/DU228-1)*100),"NA",IF(((EC228/DU228-1)*100)&gt;100,"NM",IF(((EC228/DU228-1)*100)&lt;-50,"NM",(EC228/DU228-1)*100)))</f>
        <v>2.4191239622101346</v>
      </c>
      <c r="EE228" s="69">
        <f t="shared" ref="EE228:EG228" si="1639">EE195</f>
        <v>35975</v>
      </c>
      <c r="EF228" s="130">
        <f t="shared" ref="EF228:EF230" si="1640">IF(ISERROR((EE228/DW228-1)*100),"NA",IF(((EE228/DW228-1)*100)&gt;100,"NM",IF(((EE228/DW228-1)*100)&lt;-50,"NM",(EE228/DW228-1)*100)))</f>
        <v>2.1639735325021947</v>
      </c>
      <c r="EG228" s="69">
        <f t="shared" si="1639"/>
        <v>36272</v>
      </c>
      <c r="EH228" s="130">
        <f t="shared" ref="EH228:EH230" si="1641">IF(ISERROR((EG228/DY228-1)*100),"NA",IF(((EG228/DY228-1)*100)&gt;100,"NM",IF(((EG228/DY228-1)*100)&lt;-50,"NM",(EG228/DY228-1)*100)))</f>
        <v>2.0452946968631203</v>
      </c>
      <c r="EI228" s="69">
        <f t="shared" ref="EI228:EK228" si="1642">EI195</f>
        <v>36295</v>
      </c>
      <c r="EJ228" s="130">
        <f t="shared" ref="EJ228:EJ230" si="1643">IF(ISERROR((EI228/EA228-1)*100),"NA",IF(((EI228/EA228-1)*100)&gt;100,"NM",IF(((EI228/EA228-1)*100)&lt;-50,"NM",(EI228/EA228-1)*100)))</f>
        <v>1.8378226711559975</v>
      </c>
      <c r="EK228" s="69">
        <f t="shared" si="1642"/>
        <v>36454</v>
      </c>
      <c r="EL228" s="130">
        <f t="shared" ref="EL228:EL230" si="1644">IF(ISERROR((EK228/EC228-1)*100),"NA",IF(((EK228/EC228-1)*100)&gt;100,"NM",IF(((EK228/EC228-1)*100)&lt;-50,"NM",(EK228/EC228-1)*100)))</f>
        <v>1.8979734451432639</v>
      </c>
      <c r="EM228" s="69">
        <f t="shared" ref="EM228" si="1645">EM195</f>
        <v>36576</v>
      </c>
      <c r="EN228" s="130">
        <f t="shared" ref="EN228:EN230" si="1646">IF(ISERROR((EM228/EE228-1)*100),"NA",IF(((EM228/EE228-1)*100)&gt;100,"NM",IF(((EM228/EE228-1)*100)&lt;-50,"NM",(EM228/EE228-1)*100)))</f>
        <v>1.6706045865184205</v>
      </c>
      <c r="EO228" s="69">
        <f t="shared" ref="EO228" si="1647">EO195</f>
        <v>36791</v>
      </c>
      <c r="EP228" s="130">
        <f t="shared" ref="EP228:EP230" si="1648">IF(ISERROR((EO228/EG228-1)*100),"NA",IF(((EO228/EG228-1)*100)&gt;100,"NM",IF(((EO228/EG228-1)*100)&lt;-50,"NM",(EO228/EG228-1)*100)))</f>
        <v>1.4308557565063884</v>
      </c>
      <c r="EQ228" s="69">
        <f t="shared" ref="EQ228:EW228" si="1649">EQ195</f>
        <v>36990.266669947508</v>
      </c>
      <c r="ER228" s="130">
        <f t="shared" ref="ER228:ER230" si="1650">IF(ISERROR((EQ228/EI228-1)*100),"NA",IF(((EQ228/EI228-1)*100)&gt;100,"NM",IF(((EQ228/EI228-1)*100)&lt;-50,"NM",(EQ228/EI228-1)*100)))</f>
        <v>1.9155990355352204</v>
      </c>
      <c r="ES228" s="69">
        <f t="shared" si="1649"/>
        <v>37240.170005476408</v>
      </c>
      <c r="ET228" s="130">
        <f t="shared" ref="ET228:ET230" si="1651">IF(ISERROR((ES228/EK228-1)*100),"NA",IF(((ES228/EK228-1)*100)&gt;100,"NM",IF(((ES228/EK228-1)*100)&lt;-50,"NM",(ES228/EK228-1)*100)))</f>
        <v>2.1566083433269601</v>
      </c>
      <c r="EU228" s="69">
        <f t="shared" si="1649"/>
        <v>37439.378757950959</v>
      </c>
      <c r="EV228" s="130">
        <f t="shared" ref="EV228:EV230" si="1652">IF(ISERROR((EU228/EM228-1)*100),"NA",IF(((EU228/EM228-1)*100)&gt;100,"NM",IF(((EU228/EM228-1)*100)&lt;-50,"NM",(EU228/EM228-1)*100)))</f>
        <v>2.3605062279936639</v>
      </c>
      <c r="EW228" s="69">
        <f t="shared" si="1649"/>
        <v>37693.574028742994</v>
      </c>
      <c r="EX228" s="130">
        <f t="shared" ref="EX228:EX230" si="1653">IF(ISERROR((EW228/EO228-1)*100),"NA",IF(((EW228/EO228-1)*100)&gt;100,"NM",IF(((EW228/EO228-1)*100)&lt;-50,"NM",(EW228/EO228-1)*100)))</f>
        <v>2.4532467960723947</v>
      </c>
      <c r="EY228" s="64"/>
      <c r="EZ228" s="558"/>
      <c r="FA228" s="64"/>
      <c r="FB228" s="69"/>
      <c r="FC228" s="71"/>
      <c r="FD228" s="69"/>
      <c r="FE228" s="70"/>
      <c r="FF228" s="69"/>
      <c r="FG228" s="70"/>
      <c r="FH228" s="69"/>
      <c r="FI228" s="70"/>
      <c r="FJ228" s="69"/>
      <c r="FK228" s="70"/>
      <c r="FL228" s="69"/>
      <c r="FM228" s="61"/>
      <c r="FN228" s="69"/>
      <c r="FO228" s="61"/>
      <c r="FP228" s="73">
        <f>FP195</f>
        <v>11810</v>
      </c>
      <c r="FQ228" s="61" t="str">
        <f>IF(ISERROR((FP228/FN228-1)*100),"NA",IF(((FP228/FN228-1)*100)&gt;100,"NM",IF(((FP228/FN228-1)*100)&lt;-50,"NM",(FP228/FN228-1)*100)))</f>
        <v>NA</v>
      </c>
      <c r="FR228" s="73">
        <f>FR195</f>
        <v>21891</v>
      </c>
      <c r="FS228" s="61">
        <f>IF(ISERROR((FR228/FP228-1)*100),"NA",IF(((FR228/FP228-1)*100)&gt;100,"NM",IF(((FR228/FP228-1)*100)&lt;-50,"NM",(FR228/FP228-1)*100)))</f>
        <v>85.359864521591874</v>
      </c>
      <c r="FT228" s="73">
        <f>FT195</f>
        <v>26518</v>
      </c>
      <c r="FU228" s="61">
        <f>IF(ISERROR((FT228/FR228-1)*100),"NA",IF(((FT228/FR228-1)*100)&gt;100,"NM",IF(((FT228/FR228-1)*100)&lt;-50,"NM",(FT228/FR228-1)*100)))</f>
        <v>21.136540130647298</v>
      </c>
      <c r="FV228" s="73">
        <f>BU228</f>
        <v>27502</v>
      </c>
      <c r="FW228" s="61">
        <f>IF(ISERROR((FV228/FT228-1)*100),"NA",IF(((FV228/FT228-1)*100)&gt;100,"NM",IF(((FV228/FT228-1)*100)&lt;-50,"NM",(FV228/FT228-1)*100)))</f>
        <v>3.7106870804736403</v>
      </c>
      <c r="FX228" s="73">
        <f>CC228</f>
        <v>28192</v>
      </c>
      <c r="FY228" s="61">
        <f>IF(ISERROR((FX228/FV228-1)*100),"NA",IF(((FX228/FV228-1)*100)&gt;100,"NM",IF(((FX228/FV228-1)*100)&lt;-50,"NM",(FX228/FV228-1)*100)))</f>
        <v>2.5089084430223174</v>
      </c>
      <c r="FZ228" s="73">
        <f>CK228</f>
        <v>29365</v>
      </c>
      <c r="GA228" s="61">
        <f>IF(ISERROR((FZ228/FX228-1)*100),"NA",IF(((FZ228/FX228-1)*100)&gt;100,"NM",IF(((FZ228/FX228-1)*100)&lt;-50,"NM",(FZ228/FX228-1)*100)))</f>
        <v>4.1607548240635728</v>
      </c>
      <c r="GB228" s="73">
        <f>CS228</f>
        <v>31219</v>
      </c>
      <c r="GC228" s="61">
        <f>IF(ISERROR((GB228/FZ228-1)*100),"NA",IF(((GB228/FZ228-1)*100)&gt;100,"NM",IF(((GB228/FZ228-1)*100)&lt;-50,"NM",(GB228/FZ228-1)*100)))</f>
        <v>6.3136386855099591</v>
      </c>
      <c r="GD228" s="73">
        <f>DA228</f>
        <v>32432</v>
      </c>
      <c r="GE228" s="61">
        <f>IF(ISERROR((GD228/GB228-1)*100),"NA",IF(((GD228/GB228-1)*100)&gt;100,"NM",IF(((GD228/GB228-1)*100)&lt;-50,"NM",(GD228/GB228-1)*100)))</f>
        <v>3.8854543707357747</v>
      </c>
      <c r="GF228" s="73">
        <f>DI228</f>
        <v>33721</v>
      </c>
      <c r="GG228" s="61">
        <f>IF(ISERROR((GF228/GD228-1)*100),"NA",IF(((GF228/GD228-1)*100)&gt;100,"NM",IF(((GF228/GD228-1)*100)&lt;-50,"NM",(GF228/GD228-1)*100)))</f>
        <v>3.9744696595954698</v>
      </c>
      <c r="GH228" s="73">
        <f>DQ228</f>
        <v>34612</v>
      </c>
      <c r="GI228" s="61">
        <f>IF(ISERROR((GH228/GF228-1)*100),"NA",IF(((GH228/GF228-1)*100)&gt;100,"NM",IF(((GH228/GF228-1)*100)&lt;-50,"NM",(GH228/GF228-1)*100)))</f>
        <v>2.6422703953026261</v>
      </c>
      <c r="GJ228" s="73">
        <f>DY228</f>
        <v>35545</v>
      </c>
      <c r="GK228" s="61">
        <f>IF(ISERROR((GJ228/GH228-1)*100),"NA",IF(((GJ228/GH228-1)*100)&gt;100,"NM",IF(((GJ228/GH228-1)*100)&lt;-50,"NM",(GJ228/GH228-1)*100)))</f>
        <v>2.6955969028082727</v>
      </c>
      <c r="GL228" s="73">
        <f>EG228</f>
        <v>36272</v>
      </c>
      <c r="GM228" s="61">
        <f>IF(ISERROR((GL228/GJ228-1)*100),"NA",IF(((GL228/GJ228-1)*100)&gt;100,"NM",IF(((GL228/GJ228-1)*100)&lt;-50,"NM",(GL228/GJ228-1)*100)))</f>
        <v>2.0452946968631203</v>
      </c>
      <c r="GN228" s="73">
        <f>EO228</f>
        <v>36791</v>
      </c>
      <c r="GO228" s="61">
        <f>IF(ISERROR((GN228/GL228-1)*100),"NA",IF(((GN228/GL228-1)*100)&gt;100,"NM",IF(((GN228/GL228-1)*100)&lt;-50,"NM",(GN228/GL228-1)*100)))</f>
        <v>1.4308557565063884</v>
      </c>
      <c r="GP228" s="73">
        <f>EW228</f>
        <v>37693.574028742994</v>
      </c>
      <c r="GQ228" s="61">
        <f>IF(ISERROR((GP228/GN228-1)*100),"NA",IF(((GP228/GN228-1)*100)&gt;100,"NM",IF(((GP228/GN228-1)*100)&lt;-50,"NM",(GP228/GN228-1)*100)))</f>
        <v>2.4532467960723947</v>
      </c>
      <c r="GR228" s="69">
        <f>GR195</f>
        <v>38631.663172326815</v>
      </c>
      <c r="GS228" s="61">
        <f>IF(ISERROR((GR228/GP228-1)*100),"NA",IF(((GR228/GP228-1)*100)&gt;100,"NM",IF(((GR228/GP228-1)*100)&lt;-50,"NM",(GR228/GP228-1)*100)))</f>
        <v>2.4887243190801822</v>
      </c>
      <c r="GT228" s="69">
        <f>GT195</f>
        <v>39606.944548908243</v>
      </c>
      <c r="GU228" s="61">
        <f>IF(ISERROR((GT228/GR228-1)*100),"NA",IF(((GT228/GR228-1)*100)&gt;100,"NM",IF(((GT228/GR228-1)*100)&lt;-50,"NM",(GT228/GR228-1)*100)))</f>
        <v>2.5245648167694146</v>
      </c>
      <c r="GV228" s="69">
        <f>GV195</f>
        <v>40621.178120507851</v>
      </c>
      <c r="GW228" s="61">
        <f>IF(ISERROR((GV228/GT228-1)*100),"NA",IF(((GV228/GT228-1)*100)&gt;100,"NM",IF(((GV228/GT228-1)*100)&lt;-50,"NM",(GV228/GT228-1)*100)))</f>
        <v>2.5607468163750813</v>
      </c>
      <c r="GX228" s="69">
        <f>GX195</f>
        <v>41676.210824819362</v>
      </c>
      <c r="GY228" s="61">
        <f>IF(ISERROR((GX228/GV228-1)*100),"NA",IF(((GX228/GV228-1)*100)&gt;100,"NM",IF(((GX228/GV228-1)*100)&lt;-50,"NM",(GX228/GV228-1)*100)))</f>
        <v>2.5972479212237998</v>
      </c>
      <c r="GZ228" s="61">
        <f t="shared" si="1616"/>
        <v>2.5248934909946064</v>
      </c>
      <c r="HA228" s="61"/>
      <c r="HB228" s="452"/>
      <c r="HC228"/>
      <c r="HD228"/>
      <c r="HE228"/>
      <c r="HF228"/>
      <c r="HG228"/>
      <c r="HH228"/>
    </row>
    <row r="229" spans="2:216" s="5" customFormat="1" ht="12.75" customHeight="1" x14ac:dyDescent="0.2">
      <c r="B229" s="2" t="s">
        <v>194</v>
      </c>
      <c r="C229" s="69"/>
      <c r="D229" s="70"/>
      <c r="E229" s="69"/>
      <c r="F229" s="71"/>
      <c r="G229" s="69"/>
      <c r="H229" s="71"/>
      <c r="I229" s="69"/>
      <c r="J229" s="61"/>
      <c r="K229" s="69"/>
      <c r="L229" s="61"/>
      <c r="M229" s="69"/>
      <c r="N229" s="61"/>
      <c r="O229" s="69"/>
      <c r="P229" s="61"/>
      <c r="Q229" s="69"/>
      <c r="R229" s="61"/>
      <c r="S229" s="69"/>
      <c r="T229" s="61"/>
      <c r="U229" s="69"/>
      <c r="V229" s="61"/>
      <c r="W229" s="69"/>
      <c r="X229" s="61"/>
      <c r="Y229" s="69"/>
      <c r="Z229" s="61"/>
      <c r="AA229" s="69"/>
      <c r="AB229" s="61"/>
      <c r="AC229" s="69"/>
      <c r="AD229" s="61"/>
      <c r="AE229" s="69"/>
      <c r="AF229" s="61"/>
      <c r="AG229" s="69"/>
      <c r="AH229" s="61"/>
      <c r="AI229" s="69"/>
      <c r="AJ229" s="61"/>
      <c r="AK229" s="69"/>
      <c r="AL229" s="61"/>
      <c r="AM229" s="69"/>
      <c r="AN229" s="61"/>
      <c r="AO229" s="69"/>
      <c r="AP229" s="61"/>
      <c r="AQ229" s="69">
        <f>AQ214</f>
        <v>2002.5</v>
      </c>
      <c r="AR229" s="61" t="str">
        <f>IF(ISERROR((AQ229/AI229-1)*100),"NA",IF(((AQ229/AI229-1)*100)&gt;100,"NM",IF(((AQ229/AI229-1)*100)&lt;-50,"NM",(AQ229/AI229-1)*100)))</f>
        <v>NA</v>
      </c>
      <c r="AS229" s="69">
        <f>AS214</f>
        <v>2052.5</v>
      </c>
      <c r="AT229" s="61" t="str">
        <f>IF(ISERROR((AS229/AK229-1)*100),"NA",IF(((AS229/AK229-1)*100)&gt;100,"NM",IF(((AS229/AK229-1)*100)&lt;-50,"NM",(AS229/AK229-1)*100)))</f>
        <v>NA</v>
      </c>
      <c r="AU229" s="69">
        <f>AU214</f>
        <v>2153.5</v>
      </c>
      <c r="AV229" s="61" t="str">
        <f>IF(ISERROR((AU229/AM229-1)*100),"NA",IF(((AU229/AM229-1)*100)&gt;100,"NM",IF(((AU229/AM229-1)*100)&lt;-50,"NM",(AU229/AM229-1)*100)))</f>
        <v>NA</v>
      </c>
      <c r="AW229" s="69">
        <f>AW214</f>
        <v>2241.5</v>
      </c>
      <c r="AX229" s="61" t="str">
        <f>IF(ISERROR((AW229/AO229-1)*100),"NA",IF(((AW229/AO229-1)*100)&gt;100,"NM",IF(((AW229/AO229-1)*100)&lt;-50,"NM",(AW229/AO229-1)*100)))</f>
        <v>NA</v>
      </c>
      <c r="AY229" s="69">
        <f>AY214</f>
        <v>2354.5</v>
      </c>
      <c r="AZ229" s="61">
        <f>IF(ISERROR((AY229/AQ229-1)*100),"NA",IF(((AY229/AQ229-1)*100)&gt;100,"NM",IF(((AY229/AQ229-1)*100)&lt;-50,"NM",(AY229/AQ229-1)*100)))</f>
        <v>17.578027465667923</v>
      </c>
      <c r="BA229" s="69">
        <f>BA214</f>
        <v>4193.5</v>
      </c>
      <c r="BB229" s="61" t="str">
        <f>IF(ISERROR((BA229/AS229-1)*100),"NA",IF(((BA229/AS229-1)*100)&gt;100,"NM",IF(((BA229/AS229-1)*100)&lt;-50,"NM",(BA229/AS229-1)*100)))</f>
        <v>NM</v>
      </c>
      <c r="BC229" s="69">
        <f>BC214</f>
        <v>4304.5</v>
      </c>
      <c r="BD229" s="61">
        <f>IF(ISERROR((BC229/AU229-1)*100),"NA",IF(((BC229/AU229-1)*100)&gt;100,"NM",IF(((BC229/AU229-1)*100)&lt;-50,"NM",(BC229/AU229-1)*100)))</f>
        <v>99.883909914093323</v>
      </c>
      <c r="BE229" s="69">
        <f>BE214</f>
        <v>4599.5</v>
      </c>
      <c r="BF229" s="61" t="str">
        <f>IF(ISERROR((BE229/AW229-1)*100),"NA",IF(((BE229/AW229-1)*100)&gt;100,"NM",IF(((BE229/AW229-1)*100)&lt;-50,"NM",(BE229/AW229-1)*100)))</f>
        <v>NM</v>
      </c>
      <c r="BG229" s="69">
        <f>BG214</f>
        <v>5702</v>
      </c>
      <c r="BH229" s="61" t="str">
        <f>IF(ISERROR((BG229/AY229-1)*100),"NA",IF(((BG229/AY229-1)*100)&gt;100,"NM",IF(((BG229/AY229-1)*100)&lt;-50,"NM",(BG229/AY229-1)*100)))</f>
        <v>NM</v>
      </c>
      <c r="BI229" s="69">
        <f>BI214</f>
        <v>5954</v>
      </c>
      <c r="BJ229" s="61">
        <f>IF(ISERROR((BI229/BA229-1)*100),"NA",IF(((BI229/BA229-1)*100)&gt;100,"NM",IF(((BI229/BA229-1)*100)&lt;-50,"NM",(BI229/BA229-1)*100)))</f>
        <v>41.981638249672116</v>
      </c>
      <c r="BK229" s="69">
        <f>BK214</f>
        <v>6104</v>
      </c>
      <c r="BL229" s="61">
        <f>IF(ISERROR((BK229/BC229-1)*100),"NA",IF(((BK229/BC229-1)*100)&gt;100,"NM",IF(((BK229/BC229-1)*100)&lt;-50,"NM",(BK229/BC229-1)*100)))</f>
        <v>41.805087698919728</v>
      </c>
      <c r="BM229" s="69">
        <f>BM214</f>
        <v>6040</v>
      </c>
      <c r="BN229" s="61">
        <f>IF(ISERROR((BM229/BE229-1)*100),"NA",IF(((BM229/BE229-1)*100)&gt;100,"NM",IF(((BM229/BE229-1)*100)&lt;-50,"NM",(BM229/BE229-1)*100)))</f>
        <v>31.318621589303184</v>
      </c>
      <c r="BO229" s="69">
        <f>BO214</f>
        <v>5615</v>
      </c>
      <c r="BP229" s="61">
        <f>IF(ISERROR((BO229/BG229-1)*100),"NA",IF(((BO229/BG229-1)*100)&gt;100,"NM",IF(((BO229/BG229-1)*100)&lt;-50,"NM",(BO229/BG229-1)*100)))</f>
        <v>-1.5257804279200315</v>
      </c>
      <c r="BQ229" s="69">
        <f>BQ214</f>
        <v>5623</v>
      </c>
      <c r="BR229" s="61">
        <f>IF(ISERROR((BQ229/BI229-1)*100),"NA",IF(((BQ229/BI229-1)*100)&gt;100,"NM",IF(((BQ229/BI229-1)*100)&lt;-50,"NM",(BQ229/BI229-1)*100)))</f>
        <v>-5.5592878736983486</v>
      </c>
      <c r="BS229" s="69">
        <f>BS214</f>
        <v>5056</v>
      </c>
      <c r="BT229" s="61">
        <f>IF(ISERROR((BS229/BK229-1)*100),"NA",IF(((BS229/BK229-1)*100)&gt;100,"NM",IF(((BS229/BK229-1)*100)&lt;-50,"NM",(BS229/BK229-1)*100)))</f>
        <v>-17.169069462647446</v>
      </c>
      <c r="BU229" s="69">
        <f>BU214</f>
        <v>4251</v>
      </c>
      <c r="BV229" s="61">
        <f>IF(ISERROR((BU229/BM229-1)*100),"NA",IF(((BU229/BM229-1)*100)&gt;100,"NM",IF(((BU229/BM229-1)*100)&lt;-50,"NM",(BU229/BM229-1)*100)))</f>
        <v>-29.619205298013242</v>
      </c>
      <c r="BW229" s="69">
        <f>BW214</f>
        <v>3992</v>
      </c>
      <c r="BX229" s="61">
        <f>IF(ISERROR((BW229/BO229-1)*100),"NA",IF(((BW229/BO229-1)*100)&gt;100,"NM",IF(((BW229/BO229-1)*100)&lt;-50,"NM",(BW229/BO229-1)*100)))</f>
        <v>-28.904719501335705</v>
      </c>
      <c r="BY229" s="69">
        <f>BY214</f>
        <v>4562</v>
      </c>
      <c r="BZ229" s="61">
        <f>IF(ISERROR((BY229/BQ229-1)*100),"NA",IF(((BY229/BQ229-1)*100)&gt;100,"NM",IF(((BY229/BQ229-1)*100)&lt;-50,"NM",(BY229/BQ229-1)*100)))</f>
        <v>-18.868931175529081</v>
      </c>
      <c r="CA229" s="69">
        <f>CA214</f>
        <v>5176</v>
      </c>
      <c r="CB229" s="61">
        <f>IF(ISERROR((CA229/BS229-1)*100),"NA",IF(((CA229/BS229-1)*100)&gt;100,"NM",IF(((CA229/BS229-1)*100)&lt;-50,"NM",(CA229/BS229-1)*100)))</f>
        <v>2.3734177215189778</v>
      </c>
      <c r="CC229" s="69">
        <f>CC214</f>
        <v>5287</v>
      </c>
      <c r="CD229" s="61">
        <f>IF(ISERROR((CC229/BU229-1)*100),"NA",IF(((CC229/BU229-1)*100)&gt;100,"NM",IF(((CC229/BU229-1)*100)&lt;-50,"NM",(CC229/BU229-1)*100)))</f>
        <v>24.370736297341811</v>
      </c>
      <c r="CE229" s="69">
        <f>CE214</f>
        <v>5467</v>
      </c>
      <c r="CF229" s="61">
        <f>IF(ISERROR((CE229/BW229-1)*100),"NA",IF(((CE229/BW229-1)*100)&gt;100,"NM",IF(((CE229/BW229-1)*100)&lt;-50,"NM",(CE229/BW229-1)*100)))</f>
        <v>36.948897795591186</v>
      </c>
      <c r="CG229" s="69">
        <f>CG214</f>
        <v>5027</v>
      </c>
      <c r="CH229" s="61">
        <f>IF(ISERROR((CG229/BY229-1)*100),"NA",IF(((CG229/BY229-1)*100)&gt;100,"NM",IF(((CG229/BY229-1)*100)&lt;-50,"NM",(CG229/BY229-1)*100)))</f>
        <v>10.192897851819382</v>
      </c>
      <c r="CI229" s="69">
        <f>CI214</f>
        <v>5562</v>
      </c>
      <c r="CJ229" s="61">
        <f>IF(ISERROR((CI229/CA229-1)*100),"NA",IF(((CI229/CA229-1)*100)&gt;100,"NM",IF(((CI229/CA229-1)*100)&lt;-50,"NM",(CI229/CA229-1)*100)))</f>
        <v>7.4574961360123648</v>
      </c>
      <c r="CK229" s="69">
        <f>CK214</f>
        <v>5962</v>
      </c>
      <c r="CL229" s="61">
        <f>IF(ISERROR((CK229/CC229-1)*100),"NA",IF(((CK229/CC229-1)*100)&gt;100,"NM",IF(((CK229/CC229-1)*100)&lt;-50,"NM",(CK229/CC229-1)*100)))</f>
        <v>12.767164743710978</v>
      </c>
      <c r="CM229" s="69">
        <f>CM214</f>
        <v>6171</v>
      </c>
      <c r="CN229" s="61">
        <f>IF(ISERROR((CM229/CE229-1)*100),"NA",IF(((CM229/CE229-1)*100)&gt;100,"NM",IF(((CM229/CE229-1)*100)&lt;-50,"NM",(CM229/CE229-1)*100)))</f>
        <v>12.877263581488929</v>
      </c>
      <c r="CO229" s="69">
        <f>CO214</f>
        <v>6157</v>
      </c>
      <c r="CP229" s="61">
        <f>IF(ISERROR((CO229/CG229-1)*100),"NA",IF(((CO229/CG229-1)*100)&gt;100,"NM",IF(((CO229/CG229-1)*100)&lt;-50,"NM",(CO229/CG229-1)*100)))</f>
        <v>22.478615476427287</v>
      </c>
      <c r="CQ229" s="69">
        <f>CQ214</f>
        <v>5375</v>
      </c>
      <c r="CR229" s="61">
        <f>IF(ISERROR((CQ229/CI229-1)*100),"NA",IF(((CQ229/CI229-1)*100)&gt;100,"NM",IF(((CQ229/CI229-1)*100)&lt;-50,"NM",(CQ229/CI229-1)*100)))</f>
        <v>-3.3620999640417093</v>
      </c>
      <c r="CS229" s="69">
        <f>CS214</f>
        <v>5687</v>
      </c>
      <c r="CT229" s="61">
        <f>IF(ISERROR((CS229/CK229-1)*100),"NA",IF(((CS229/CK229-1)*100)&gt;100,"NM",IF(((CS229/CK229-1)*100)&lt;-50,"NM",(CS229/CK229-1)*100)))</f>
        <v>-4.6125461254612592</v>
      </c>
      <c r="CU229" s="69">
        <f>CU214</f>
        <v>6202</v>
      </c>
      <c r="CV229" s="61">
        <f>IF(ISERROR((CU229/CM229-1)*100),"NA",IF(((CU229/CM229-1)*100)&gt;100,"NM",IF(((CU229/CM229-1)*100)&lt;-50,"NM",(CU229/CM229-1)*100)))</f>
        <v>0.50234970021065806</v>
      </c>
      <c r="CW229" s="69">
        <f>CW214</f>
        <v>6005</v>
      </c>
      <c r="CX229" s="61">
        <f>IF(ISERROR((CW229/CO229-1)*100),"NA",IF(((CW229/CO229-1)*100)&gt;100,"NM",IF(((CW229/CO229-1)*100)&lt;-50,"NM",(CW229/CO229-1)*100)))</f>
        <v>-2.4687347734286158</v>
      </c>
      <c r="CY229" s="69">
        <f>CY214</f>
        <v>6262</v>
      </c>
      <c r="CZ229" s="61">
        <f>IF(ISERROR((CY229/CQ229-1)*100),"NA",IF(((CY229/CQ229-1)*100)&gt;100,"NM",IF(((CY229/CQ229-1)*100)&lt;-50,"NM",(CY229/CQ229-1)*100)))</f>
        <v>16.50232558139535</v>
      </c>
      <c r="DA229" s="69">
        <f>DA214</f>
        <v>6523</v>
      </c>
      <c r="DB229" s="61">
        <f>IF(ISERROR((DA229/CS229-1)*100),"NA",IF(((DA229/CS229-1)*100)&gt;100,"NM",IF(((DA229/CS229-1)*100)&lt;-50,"NM",(DA229/CS229-1)*100)))</f>
        <v>14.700193423597675</v>
      </c>
      <c r="DC229" s="69">
        <f>DC214</f>
        <v>6859</v>
      </c>
      <c r="DD229" s="61">
        <f>IF(ISERROR((DC229/CU229-1)*100),"NA",IF(((DC229/CU229-1)*100)&gt;100,"NM",IF(((DC229/CU229-1)*100)&lt;-50,"NM",(DC229/CU229-1)*100)))</f>
        <v>10.593356981618829</v>
      </c>
      <c r="DE229" s="69">
        <f>DE214</f>
        <v>6972</v>
      </c>
      <c r="DF229" s="61">
        <f>IF(ISERROR((DE229/CW229-1)*100),"NA",IF(((DE229/CW229-1)*100)&gt;100,"NM",IF(((DE229/CW229-1)*100)&lt;-50,"NM",(DE229/CW229-1)*100)))</f>
        <v>16.10324729392174</v>
      </c>
      <c r="DG229" s="69">
        <f>DG214</f>
        <v>7453</v>
      </c>
      <c r="DH229" s="61">
        <f>IF(ISERROR((DG229/CY229-1)*100),"NA",IF(((DG229/CY229-1)*100)&gt;100,"NM",IF(((DG229/CY229-1)*100)&lt;-50,"NM",(DG229/CY229-1)*100)))</f>
        <v>19.019482593420634</v>
      </c>
      <c r="DI229" s="69">
        <f>DI214</f>
        <v>8094</v>
      </c>
      <c r="DJ229" s="61">
        <f>IF(ISERROR((DI229/DA229-1)*100),"NA",IF(((DI229/DA229-1)*100)&gt;100,"NM",IF(((DI229/DA229-1)*100)&lt;-50,"NM",(DI229/DA229-1)*100)))</f>
        <v>24.084010424651225</v>
      </c>
      <c r="DK229" s="69">
        <f>DK214</f>
        <v>8354</v>
      </c>
      <c r="DL229" s="61">
        <f>IF(ISERROR((DK229/DC229-1)*100),"NA",IF(((DK229/DC229-1)*100)&gt;100,"NM",IF(((DK229/DC229-1)*100)&lt;-50,"NM",(DK229/DC229-1)*100)))</f>
        <v>21.796180201195515</v>
      </c>
      <c r="DM229" s="69">
        <f>DM214</f>
        <v>8842</v>
      </c>
      <c r="DN229" s="130">
        <f t="shared" si="1634"/>
        <v>26.821572002294893</v>
      </c>
      <c r="DO229" s="69">
        <f>DO214</f>
        <v>8854</v>
      </c>
      <c r="DP229" s="130">
        <f t="shared" si="1634"/>
        <v>18.797799543807869</v>
      </c>
      <c r="DQ229" s="69">
        <f>DQ214</f>
        <v>9263</v>
      </c>
      <c r="DR229" s="130">
        <f t="shared" si="1634"/>
        <v>14.442797133679264</v>
      </c>
      <c r="DS229" s="69">
        <f>DS214</f>
        <v>9635</v>
      </c>
      <c r="DT229" s="130">
        <f t="shared" si="1634"/>
        <v>15.33397175005986</v>
      </c>
      <c r="DU229" s="69">
        <f>DU214</f>
        <v>9766</v>
      </c>
      <c r="DV229" s="130">
        <f t="shared" si="1634"/>
        <v>10.450124406242933</v>
      </c>
      <c r="DW229" s="69">
        <f>DW214</f>
        <v>9213</v>
      </c>
      <c r="DX229" s="69">
        <f t="shared" ref="DX229:DY229" si="1654">DX214</f>
        <v>-542.54987559375706</v>
      </c>
      <c r="DY229" s="69">
        <f t="shared" si="1654"/>
        <v>9696</v>
      </c>
      <c r="DZ229" s="130">
        <f t="shared" si="1634"/>
        <v>4.6745114973550717</v>
      </c>
      <c r="EA229" s="69">
        <f t="shared" ref="EA229:EC229" si="1655">EA214</f>
        <v>9830</v>
      </c>
      <c r="EB229" s="130">
        <f t="shared" si="1637"/>
        <v>2.0238713025428234</v>
      </c>
      <c r="EC229" s="69">
        <f t="shared" si="1655"/>
        <v>10172</v>
      </c>
      <c r="ED229" s="130">
        <f t="shared" si="1638"/>
        <v>4.1572803604341679</v>
      </c>
      <c r="EE229" s="69">
        <f t="shared" ref="EE229:EG229" si="1656">EE214</f>
        <v>10763</v>
      </c>
      <c r="EF229" s="130">
        <f t="shared" si="1640"/>
        <v>16.824052968631275</v>
      </c>
      <c r="EG229" s="69">
        <f t="shared" si="1656"/>
        <v>11058</v>
      </c>
      <c r="EH229" s="130">
        <f t="shared" si="1641"/>
        <v>14.047029702970292</v>
      </c>
      <c r="EI229" s="69">
        <f t="shared" ref="EI229:EK229" si="1657">EI214</f>
        <v>11772</v>
      </c>
      <c r="EJ229" s="130">
        <f t="shared" si="1643"/>
        <v>19.755849440488294</v>
      </c>
      <c r="EK229" s="69">
        <f t="shared" si="1657"/>
        <v>12296</v>
      </c>
      <c r="EL229" s="130">
        <f t="shared" si="1644"/>
        <v>20.880849390483689</v>
      </c>
      <c r="EM229" s="69">
        <f t="shared" ref="EM229" si="1658">EM214</f>
        <v>12916</v>
      </c>
      <c r="EN229" s="130">
        <f t="shared" si="1646"/>
        <v>20.003716435937946</v>
      </c>
      <c r="EO229" s="69">
        <f t="shared" ref="EO229" si="1659">EO214</f>
        <v>13851</v>
      </c>
      <c r="EP229" s="130">
        <f t="shared" si="1648"/>
        <v>25.257731958762886</v>
      </c>
      <c r="EQ229" s="69">
        <f t="shared" ref="EQ229:EW229" si="1660">EQ214</f>
        <v>13798.658379580263</v>
      </c>
      <c r="ER229" s="130">
        <f t="shared" si="1650"/>
        <v>17.21592235457241</v>
      </c>
      <c r="ES229" s="69">
        <f t="shared" si="1660"/>
        <v>14067.769959793946</v>
      </c>
      <c r="ET229" s="130">
        <f t="shared" si="1651"/>
        <v>14.409319777114082</v>
      </c>
      <c r="EU229" s="69">
        <f t="shared" si="1660"/>
        <v>14300.887733031312</v>
      </c>
      <c r="EV229" s="130">
        <f t="shared" si="1652"/>
        <v>10.722264888752807</v>
      </c>
      <c r="EW229" s="69">
        <f t="shared" si="1660"/>
        <v>14892.182971091101</v>
      </c>
      <c r="EX229" s="130">
        <f t="shared" si="1653"/>
        <v>7.5170238328720052</v>
      </c>
      <c r="EY229" s="64"/>
      <c r="EZ229" s="558"/>
      <c r="FA229" s="64"/>
      <c r="FB229" s="69"/>
      <c r="FC229" s="71"/>
      <c r="FD229" s="69"/>
      <c r="FE229" s="70"/>
      <c r="FF229" s="69"/>
      <c r="FG229" s="70"/>
      <c r="FH229" s="69"/>
      <c r="FI229" s="70"/>
      <c r="FJ229" s="69"/>
      <c r="FK229" s="70"/>
      <c r="FL229" s="69"/>
      <c r="FM229" s="61"/>
      <c r="FN229" s="69"/>
      <c r="FO229" s="61"/>
      <c r="FP229" s="73">
        <f>FP214</f>
        <v>2241</v>
      </c>
      <c r="FQ229" s="61" t="str">
        <f>IF(ISERROR((FP229/FN229-1)*100),"NA",IF(((FP229/FN229-1)*100)&gt;100,"NM",IF(((FP229/FN229-1)*100)&lt;-50,"NM",(FP229/FN229-1)*100)))</f>
        <v>NA</v>
      </c>
      <c r="FR229" s="73">
        <f>FR214</f>
        <v>4599</v>
      </c>
      <c r="FS229" s="61" t="str">
        <f>IF(ISERROR((FR229/FP229-1)*100),"NA",IF(((FR229/FP229-1)*100)&gt;100,"NM",IF(((FR229/FP229-1)*100)&lt;-50,"NM",(FR229/FP229-1)*100)))</f>
        <v>NM</v>
      </c>
      <c r="FT229" s="73">
        <f>FT214</f>
        <v>6040</v>
      </c>
      <c r="FU229" s="61">
        <f>IF(ISERROR((FT229/FR229-1)*100),"NA",IF(((FT229/FR229-1)*100)&gt;100,"NM",IF(((FT229/FR229-1)*100)&lt;-50,"NM",(FT229/FR229-1)*100)))</f>
        <v>31.332898456186122</v>
      </c>
      <c r="FV229" s="73">
        <f>BU229</f>
        <v>4251</v>
      </c>
      <c r="FW229" s="61">
        <f>IF(ISERROR((FV229/FT229-1)*100),"NA",IF(((FV229/FT229-1)*100)&gt;100,"NM",IF(((FV229/FT229-1)*100)&lt;-50,"NM",(FV229/FT229-1)*100)))</f>
        <v>-29.619205298013242</v>
      </c>
      <c r="FX229" s="73">
        <f>CC229</f>
        <v>5287</v>
      </c>
      <c r="FY229" s="61">
        <f>IF(ISERROR((FX229/FV229-1)*100),"NA",IF(((FX229/FV229-1)*100)&gt;100,"NM",IF(((FX229/FV229-1)*100)&lt;-50,"NM",(FX229/FV229-1)*100)))</f>
        <v>24.370736297341811</v>
      </c>
      <c r="FZ229" s="73">
        <f>CK229</f>
        <v>5962</v>
      </c>
      <c r="GA229" s="61">
        <f>IF(ISERROR((FZ229/FX229-1)*100),"NA",IF(((FZ229/FX229-1)*100)&gt;100,"NM",IF(((FZ229/FX229-1)*100)&lt;-50,"NM",(FZ229/FX229-1)*100)))</f>
        <v>12.767164743710978</v>
      </c>
      <c r="GB229" s="73">
        <f>CS229</f>
        <v>5687</v>
      </c>
      <c r="GC229" s="61">
        <f>IF(ISERROR((GB229/FZ229-1)*100),"NA",IF(((GB229/FZ229-1)*100)&gt;100,"NM",IF(((GB229/FZ229-1)*100)&lt;-50,"NM",(GB229/FZ229-1)*100)))</f>
        <v>-4.6125461254612592</v>
      </c>
      <c r="GD229" s="73">
        <f>DA229</f>
        <v>6523</v>
      </c>
      <c r="GE229" s="61">
        <f>IF(ISERROR((GD229/GB229-1)*100),"NA",IF(((GD229/GB229-1)*100)&gt;100,"NM",IF(((GD229/GB229-1)*100)&lt;-50,"NM",(GD229/GB229-1)*100)))</f>
        <v>14.700193423597675</v>
      </c>
      <c r="GF229" s="73">
        <f>DI229</f>
        <v>8094</v>
      </c>
      <c r="GG229" s="61">
        <f>IF(ISERROR((GF229/GD229-1)*100),"NA",IF(((GF229/GD229-1)*100)&gt;100,"NM",IF(((GF229/GD229-1)*100)&lt;-50,"NM",(GF229/GD229-1)*100)))</f>
        <v>24.084010424651225</v>
      </c>
      <c r="GH229" s="73">
        <f>DQ229</f>
        <v>9263</v>
      </c>
      <c r="GI229" s="61">
        <f>IF(ISERROR((GH229/GF229-1)*100),"NA",IF(((GH229/GF229-1)*100)&gt;100,"NM",IF(((GH229/GF229-1)*100)&lt;-50,"NM",(GH229/GF229-1)*100)))</f>
        <v>14.442797133679264</v>
      </c>
      <c r="GJ229" s="73">
        <f>DY229</f>
        <v>9696</v>
      </c>
      <c r="GK229" s="61">
        <f>IF(ISERROR((GJ229/GH229-1)*100),"NA",IF(((GJ229/GH229-1)*100)&gt;100,"NM",IF(((GJ229/GH229-1)*100)&lt;-50,"NM",(GJ229/GH229-1)*100)))</f>
        <v>4.6745114973550717</v>
      </c>
      <c r="GL229" s="73">
        <f>EG229</f>
        <v>11058</v>
      </c>
      <c r="GM229" s="61">
        <f>IF(ISERROR((GL229/GJ229-1)*100),"NA",IF(((GL229/GJ229-1)*100)&gt;100,"NM",IF(((GL229/GJ229-1)*100)&lt;-50,"NM",(GL229/GJ229-1)*100)))</f>
        <v>14.047029702970292</v>
      </c>
      <c r="GN229" s="73">
        <f>EO229</f>
        <v>13851</v>
      </c>
      <c r="GO229" s="61">
        <f>IF(ISERROR((GN229/GL229-1)*100),"NA",IF(((GN229/GL229-1)*100)&gt;100,"NM",IF(((GN229/GL229-1)*100)&lt;-50,"NM",(GN229/GL229-1)*100)))</f>
        <v>25.257731958762886</v>
      </c>
      <c r="GP229" s="73">
        <f>EW229</f>
        <v>14892.182971091101</v>
      </c>
      <c r="GQ229" s="61">
        <f>IF(ISERROR((GP229/GN229-1)*100),"NA",IF(((GP229/GN229-1)*100)&gt;100,"NM",IF(((GP229/GN229-1)*100)&lt;-50,"NM",(GP229/GN229-1)*100)))</f>
        <v>7.5170238328720052</v>
      </c>
      <c r="GR229" s="69">
        <f>GR214</f>
        <v>15564.467826210117</v>
      </c>
      <c r="GS229" s="61">
        <f>IF(ISERROR((GR229/GP229-1)*100),"NA",IF(((GR229/GP229-1)*100)&gt;100,"NM",IF(((GR229/GP229-1)*100)&lt;-50,"NM",(GR229/GP229-1)*100)))</f>
        <v>4.5143472681208996</v>
      </c>
      <c r="GT229" s="69">
        <f>GT214</f>
        <v>16316.22248588915</v>
      </c>
      <c r="GU229" s="61">
        <f>IF(ISERROR((GT229/GR229-1)*100),"NA",IF(((GT229/GR229-1)*100)&gt;100,"NM",IF(((GT229/GR229-1)*100)&lt;-50,"NM",(GT229/GR229-1)*100)))</f>
        <v>4.8299413001008595</v>
      </c>
      <c r="GV229" s="69">
        <f>GV214</f>
        <v>17150.651870335565</v>
      </c>
      <c r="GW229" s="61">
        <f>IF(ISERROR((GV229/GT229-1)*100),"NA",IF(((GV229/GT229-1)*100)&gt;100,"NM",IF(((GV229/GT229-1)*100)&lt;-50,"NM",(GV229/GT229-1)*100)))</f>
        <v>5.114108888672364</v>
      </c>
      <c r="GX229" s="69">
        <f>GX214</f>
        <v>18071.248276033544</v>
      </c>
      <c r="GY229" s="61">
        <f>IF(ISERROR((GX229/GV229-1)*100),"NA",IF(((GX229/GV229-1)*100)&gt;100,"NM",IF(((GX229/GV229-1)*100)&lt;-50,"NM",(GX229/GV229-1)*100)))</f>
        <v>5.3677050450209318</v>
      </c>
      <c r="GZ229" s="61">
        <f t="shared" si="1616"/>
        <v>5.4633116959083905</v>
      </c>
      <c r="HA229" s="61"/>
      <c r="HB229" s="452"/>
      <c r="HC229"/>
      <c r="HD229"/>
      <c r="HE229"/>
      <c r="HF229"/>
      <c r="HG229"/>
      <c r="HH229"/>
    </row>
    <row r="230" spans="2:216" s="5" customFormat="1" ht="12.75" customHeight="1" x14ac:dyDescent="0.2">
      <c r="B230" s="2" t="s">
        <v>596</v>
      </c>
      <c r="C230" s="69"/>
      <c r="D230" s="70"/>
      <c r="E230" s="69"/>
      <c r="F230" s="71"/>
      <c r="G230" s="69"/>
      <c r="H230" s="71"/>
      <c r="I230" s="69"/>
      <c r="J230" s="61"/>
      <c r="K230" s="69"/>
      <c r="L230" s="61"/>
      <c r="M230" s="69"/>
      <c r="N230" s="61"/>
      <c r="O230" s="69"/>
      <c r="P230" s="61"/>
      <c r="Q230" s="69"/>
      <c r="R230" s="61"/>
      <c r="S230" s="69"/>
      <c r="T230" s="61"/>
      <c r="U230" s="69"/>
      <c r="V230" s="61"/>
      <c r="W230" s="69"/>
      <c r="X230" s="61"/>
      <c r="Y230" s="69"/>
      <c r="Z230" s="61"/>
      <c r="AA230" s="69"/>
      <c r="AB230" s="61"/>
      <c r="AC230" s="69"/>
      <c r="AD230" s="61"/>
      <c r="AE230" s="69"/>
      <c r="AF230" s="61"/>
      <c r="AG230" s="69"/>
      <c r="AH230" s="61"/>
      <c r="AI230" s="69"/>
      <c r="AJ230" s="61"/>
      <c r="AK230" s="69"/>
      <c r="AL230" s="61"/>
      <c r="AM230" s="69"/>
      <c r="AN230" s="61"/>
      <c r="AO230" s="69"/>
      <c r="AP230" s="61"/>
      <c r="AQ230" s="69">
        <f>SUM(AQ228:AQ229)</f>
        <v>13327.5</v>
      </c>
      <c r="AR230" s="61" t="str">
        <f>IF(ISERROR((AQ230/AI230-1)*100),"NA",IF(((AQ230/AI230-1)*100)&gt;100,"NM",IF(((AQ230/AI230-1)*100)&lt;-50,"NM",(AQ230/AI230-1)*100)))</f>
        <v>NA</v>
      </c>
      <c r="AS230" s="69">
        <f>SUM(AS228:AS229)</f>
        <v>13495.5</v>
      </c>
      <c r="AT230" s="61" t="str">
        <f>IF(ISERROR((AS230/AK230-1)*100),"NA",IF(((AS230/AK230-1)*100)&gt;100,"NM",IF(((AS230/AK230-1)*100)&lt;-50,"NM",(AS230/AK230-1)*100)))</f>
        <v>NA</v>
      </c>
      <c r="AU230" s="69">
        <f>SUM(AU228:AU229)</f>
        <v>13744.5</v>
      </c>
      <c r="AV230" s="61" t="str">
        <f>IF(ISERROR((AU230/AM230-1)*100),"NA",IF(((AU230/AM230-1)*100)&gt;100,"NM",IF(((AU230/AM230-1)*100)&lt;-50,"NM",(AU230/AM230-1)*100)))</f>
        <v>NA</v>
      </c>
      <c r="AW230" s="69">
        <f>SUM(AW228:AW229)</f>
        <v>14050.5</v>
      </c>
      <c r="AX230" s="61" t="str">
        <f>IF(ISERROR((AW230/AO230-1)*100),"NA",IF(((AW230/AO230-1)*100)&gt;100,"NM",IF(((AW230/AO230-1)*100)&lt;-50,"NM",(AW230/AO230-1)*100)))</f>
        <v>NA</v>
      </c>
      <c r="AY230" s="69">
        <f>SUM(AY228:AY229)</f>
        <v>14267.5</v>
      </c>
      <c r="AZ230" s="61">
        <f>IF(ISERROR((AY230/AQ230-1)*100),"NA",IF(((AY230/AQ230-1)*100)&gt;100,"NM",IF(((AY230/AQ230-1)*100)&lt;-50,"NM",(AY230/AQ230-1)*100)))</f>
        <v>7.053085725004693</v>
      </c>
      <c r="BA230" s="69">
        <f>SUM(BA228:BA229)</f>
        <v>25478.5</v>
      </c>
      <c r="BB230" s="61">
        <f>IF(ISERROR((BA230/AS230-1)*100),"NA",IF(((BA230/AS230-1)*100)&gt;100,"NM",IF(((BA230/AS230-1)*100)&lt;-50,"NM",(BA230/AS230-1)*100)))</f>
        <v>88.792560483124007</v>
      </c>
      <c r="BC230" s="69">
        <f>SUM(BC228:BC229)</f>
        <v>25820.5</v>
      </c>
      <c r="BD230" s="61">
        <f>IF(ISERROR((BC230/AU230-1)*100),"NA",IF(((BC230/AU230-1)*100)&gt;100,"NM",IF(((BC230/AU230-1)*100)&lt;-50,"NM",(BC230/AU230-1)*100)))</f>
        <v>87.860598784968531</v>
      </c>
      <c r="BE230" s="69">
        <f>SUM(BE228:BE229)</f>
        <v>26489.5</v>
      </c>
      <c r="BF230" s="61">
        <f>IF(ISERROR((BE230/AW230-1)*100),"NA",IF(((BE230/AW230-1)*100)&gt;100,"NM",IF(((BE230/AW230-1)*100)&lt;-50,"NM",(BE230/AW230-1)*100)))</f>
        <v>88.530657271983188</v>
      </c>
      <c r="BG230" s="69">
        <f>SUM(BG228:BG229)</f>
        <v>31277</v>
      </c>
      <c r="BH230" s="61" t="str">
        <f>IF(ISERROR((BG230/AY230-1)*100),"NA",IF(((BG230/AY230-1)*100)&gt;100,"NM",IF(((BG230/AY230-1)*100)&lt;-50,"NM",(BG230/AY230-1)*100)))</f>
        <v>NM</v>
      </c>
      <c r="BI230" s="69">
        <f>SUM(BI228:BI229)</f>
        <v>31818</v>
      </c>
      <c r="BJ230" s="61">
        <f>IF(ISERROR((BI230/BA230-1)*100),"NA",IF(((BI230/BA230-1)*100)&gt;100,"NM",IF(((BI230/BA230-1)*100)&lt;-50,"NM",(BI230/BA230-1)*100)))</f>
        <v>24.881763055124907</v>
      </c>
      <c r="BK230" s="69">
        <f>SUM(BK228:BK229)</f>
        <v>32266</v>
      </c>
      <c r="BL230" s="61">
        <f>IF(ISERROR((BK230/BC230-1)*100),"NA",IF(((BK230/BC230-1)*100)&gt;100,"NM",IF(((BK230/BC230-1)*100)&lt;-50,"NM",(BK230/BC230-1)*100)))</f>
        <v>24.962723417439637</v>
      </c>
      <c r="BM230" s="69">
        <f>SUM(BM228:BM229)</f>
        <v>32558</v>
      </c>
      <c r="BN230" s="61">
        <f>IF(ISERROR((BM230/BE230-1)*100),"NA",IF(((BM230/BE230-1)*100)&gt;100,"NM",IF(((BM230/BE230-1)*100)&lt;-50,"NM",(BM230/BE230-1)*100)))</f>
        <v>22.909077181524751</v>
      </c>
      <c r="BO230" s="69">
        <f>SUM(BO228:BO229)</f>
        <v>32341</v>
      </c>
      <c r="BP230" s="61">
        <f>IF(ISERROR((BO230/BG230-1)*100),"NA",IF(((BO230/BG230-1)*100)&gt;100,"NM",IF(((BO230/BG230-1)*100)&lt;-50,"NM",(BO230/BG230-1)*100)))</f>
        <v>3.4018607922754684</v>
      </c>
      <c r="BQ230" s="69">
        <f>SUM(BQ228:BQ229)</f>
        <v>32603</v>
      </c>
      <c r="BR230" s="61">
        <f>IF(ISERROR((BQ230/BI230-1)*100),"NA",IF(((BQ230/BI230-1)*100)&gt;100,"NM",IF(((BQ230/BI230-1)*100)&lt;-50,"NM",(BQ230/BI230-1)*100)))</f>
        <v>2.4671569551826034</v>
      </c>
      <c r="BS230" s="69">
        <f>SUM(BS228:BS229)</f>
        <v>32283</v>
      </c>
      <c r="BT230" s="61">
        <f>IF(ISERROR((BS230/BK230-1)*100),"NA",IF(((BS230/BK230-1)*100)&gt;100,"NM",IF(((BS230/BK230-1)*100)&lt;-50,"NM",(BS230/BK230-1)*100)))</f>
        <v>5.268703898841931E-2</v>
      </c>
      <c r="BU230" s="69">
        <f>SUM(BU228:BU229)</f>
        <v>31753</v>
      </c>
      <c r="BV230" s="61">
        <f>IF(ISERROR((BU230/BM230-1)*100),"NA",IF(((BU230/BM230-1)*100)&gt;100,"NM",IF(((BU230/BM230-1)*100)&lt;-50,"NM",(BU230/BM230-1)*100)))</f>
        <v>-2.4725105964739869</v>
      </c>
      <c r="BW230" s="69">
        <f>SUM(BW228:BW229)</f>
        <v>31609</v>
      </c>
      <c r="BX230" s="61">
        <f>IF(ISERROR((BW230/BO230-1)*100),"NA",IF(((BW230/BO230-1)*100)&gt;100,"NM",IF(((BW230/BO230-1)*100)&lt;-50,"NM",(BW230/BO230-1)*100)))</f>
        <v>-2.2633808478402018</v>
      </c>
      <c r="BY230" s="69">
        <f>SUM(BY228:BY229)</f>
        <v>32271</v>
      </c>
      <c r="BZ230" s="61">
        <f>IF(ISERROR((BY230/BQ230-1)*100),"NA",IF(((BY230/BQ230-1)*100)&gt;100,"NM",IF(((BY230/BQ230-1)*100)&lt;-50,"NM",(BY230/BQ230-1)*100)))</f>
        <v>-1.0183111983559812</v>
      </c>
      <c r="CA230" s="69">
        <f>SUM(CA228:CA229)</f>
        <v>33001</v>
      </c>
      <c r="CB230" s="61">
        <f>IF(ISERROR((CA230/BS230-1)*100),"NA",IF(((CA230/BS230-1)*100)&gt;100,"NM",IF(((CA230/BS230-1)*100)&lt;-50,"NM",(CA230/BS230-1)*100)))</f>
        <v>2.2240807855527622</v>
      </c>
      <c r="CC230" s="69">
        <f>SUM(CC228:CC229)</f>
        <v>33479</v>
      </c>
      <c r="CD230" s="61">
        <f>IF(ISERROR((CC230/BU230-1)*100),"NA",IF(((CC230/BU230-1)*100)&gt;100,"NM",IF(((CC230/BU230-1)*100)&lt;-50,"NM",(CC230/BU230-1)*100)))</f>
        <v>5.4357068623437144</v>
      </c>
      <c r="CE230" s="69">
        <f>SUM(CE228:CE229)</f>
        <v>33822</v>
      </c>
      <c r="CF230" s="61">
        <f>IF(ISERROR((CE230/BW230-1)*100),"NA",IF(((CE230/BW230-1)*100)&gt;100,"NM",IF(((CE230/BW230-1)*100)&lt;-50,"NM",(CE230/BW230-1)*100)))</f>
        <v>7.0011705526906942</v>
      </c>
      <c r="CG230" s="69">
        <f>SUM(CG228:CG229)</f>
        <v>33611</v>
      </c>
      <c r="CH230" s="61">
        <f>IF(ISERROR((CG230/BY230-1)*100),"NA",IF(((CG230/BY230-1)*100)&gt;100,"NM",IF(((CG230/BY230-1)*100)&lt;-50,"NM",(CG230/BY230-1)*100)))</f>
        <v>4.1523349136995957</v>
      </c>
      <c r="CI230" s="69">
        <f>SUM(CI228:CI229)</f>
        <v>34356</v>
      </c>
      <c r="CJ230" s="61">
        <f>IF(ISERROR((CI230/CA230-1)*100),"NA",IF(((CI230/CA230-1)*100)&gt;100,"NM",IF(((CI230/CA230-1)*100)&lt;-50,"NM",(CI230/CA230-1)*100)))</f>
        <v>4.1059361837520125</v>
      </c>
      <c r="CK230" s="69">
        <f>SUM(CK228:CK229)</f>
        <v>35327</v>
      </c>
      <c r="CL230" s="61">
        <f>IF(ISERROR((CK230/CC230-1)*100),"NA",IF(((CK230/CC230-1)*100)&gt;100,"NM",IF(((CK230/CC230-1)*100)&lt;-50,"NM",(CK230/CC230-1)*100)))</f>
        <v>5.5198781325607182</v>
      </c>
      <c r="CM230" s="69">
        <f>SUM(CM228:CM229)</f>
        <v>35910</v>
      </c>
      <c r="CN230" s="61">
        <f>IF(ISERROR((CM230/CE230-1)*100),"NA",IF(((CM230/CE230-1)*100)&gt;100,"NM",IF(((CM230/CE230-1)*100)&lt;-50,"NM",(CM230/CE230-1)*100)))</f>
        <v>6.1734965407131526</v>
      </c>
      <c r="CO230" s="69">
        <f>SUM(CO228:CO229)</f>
        <v>36305</v>
      </c>
      <c r="CP230" s="61">
        <f>IF(ISERROR((CO230/CG230-1)*100),"NA",IF(((CO230/CG230-1)*100)&gt;100,"NM",IF(((CO230/CG230-1)*100)&lt;-50,"NM",(CO230/CG230-1)*100)))</f>
        <v>8.0152331082086192</v>
      </c>
      <c r="CQ230" s="69">
        <f>SUM(CQ228:CQ229)</f>
        <v>36013</v>
      </c>
      <c r="CR230" s="61">
        <f>IF(ISERROR((CQ230/CI230-1)*100),"NA",IF(((CQ230/CI230-1)*100)&gt;100,"NM",IF(((CQ230/CI230-1)*100)&lt;-50,"NM",(CQ230/CI230-1)*100)))</f>
        <v>4.8230294562812803</v>
      </c>
      <c r="CS230" s="69">
        <f>SUM(CS228:CS229)</f>
        <v>36906</v>
      </c>
      <c r="CT230" s="61">
        <f>IF(ISERROR((CS230/CK230-1)*100),"NA",IF(((CS230/CK230-1)*100)&gt;100,"NM",IF(((CS230/CK230-1)*100)&lt;-50,"NM",(CS230/CK230-1)*100)))</f>
        <v>4.4696690916296244</v>
      </c>
      <c r="CU230" s="69">
        <f>SUM(CU228:CU229)</f>
        <v>37696</v>
      </c>
      <c r="CV230" s="61">
        <f>IF(ISERROR((CU230/CM230-1)*100),"NA",IF(((CU230/CM230-1)*100)&gt;100,"NM",IF(((CU230/CM230-1)*100)&lt;-50,"NM",(CU230/CM230-1)*100)))</f>
        <v>4.9735449735449633</v>
      </c>
      <c r="CW230" s="69">
        <f>SUM(CW228:CW229)</f>
        <v>37755</v>
      </c>
      <c r="CX230" s="61">
        <f>IF(ISERROR((CW230/CO230-1)*100),"NA",IF(((CW230/CO230-1)*100)&gt;100,"NM",IF(((CW230/CO230-1)*100)&lt;-50,"NM",(CW230/CO230-1)*100)))</f>
        <v>3.9939402286186532</v>
      </c>
      <c r="CY230" s="69">
        <f>SUM(CY228:CY229)</f>
        <v>38248</v>
      </c>
      <c r="CZ230" s="61">
        <f>IF(ISERROR((CY230/CQ230-1)*100),"NA",IF(((CY230/CQ230-1)*100)&gt;100,"NM",IF(((CY230/CQ230-1)*100)&lt;-50,"NM",(CY230/CQ230-1)*100)))</f>
        <v>6.206092244467265</v>
      </c>
      <c r="DA230" s="69">
        <f>SUM(DA228:DA229)</f>
        <v>38955</v>
      </c>
      <c r="DB230" s="61">
        <f>IF(ISERROR((DA230/CS230-1)*100),"NA",IF(((DA230/CS230-1)*100)&gt;100,"NM",IF(((DA230/CS230-1)*100)&lt;-50,"NM",(DA230/CS230-1)*100)))</f>
        <v>5.5519427735327698</v>
      </c>
      <c r="DC230" s="69">
        <f>SUM(DC228:DC229)</f>
        <v>39676</v>
      </c>
      <c r="DD230" s="61">
        <f>IF(ISERROR((DC230/CU230-1)*100),"NA",IF(((DC230/CU230-1)*100)&gt;100,"NM",IF(((DC230/CU230-1)*100)&lt;-50,"NM",(DC230/CU230-1)*100)))</f>
        <v>5.2525466893039052</v>
      </c>
      <c r="DE230" s="69">
        <f>SUM(DE228:DE229)</f>
        <v>40080</v>
      </c>
      <c r="DF230" s="61">
        <f>IF(ISERROR((DE230/CW230-1)*100),"NA",IF(((DE230/CW230-1)*100)&gt;100,"NM",IF(((DE230/CW230-1)*100)&lt;-50,"NM",(DE230/CW230-1)*100)))</f>
        <v>6.1581247516885096</v>
      </c>
      <c r="DG230" s="69">
        <f>SUM(DG228:DG229)</f>
        <v>40819</v>
      </c>
      <c r="DH230" s="61">
        <f>IF(ISERROR((DG230/CY230-1)*100),"NA",IF(((DG230/CY230-1)*100)&gt;100,"NM",IF(((DG230/CY230-1)*100)&lt;-50,"NM",(DG230/CY230-1)*100)))</f>
        <v>6.721920100397405</v>
      </c>
      <c r="DI230" s="69">
        <f>SUM(DI228:DI229)</f>
        <v>41815</v>
      </c>
      <c r="DJ230" s="61">
        <f>IF(ISERROR((DI230/DA230-1)*100),"NA",IF(((DI230/DA230-1)*100)&gt;100,"NM",IF(((DI230/DA230-1)*100)&lt;-50,"NM",(DI230/DA230-1)*100)))</f>
        <v>7.3418046463868514</v>
      </c>
      <c r="DK230" s="69">
        <f>SUM(DK228:DK229)</f>
        <v>42240</v>
      </c>
      <c r="DL230" s="61">
        <f>IF(ISERROR((DK230/DC230-1)*100),"NA",IF(((DK230/DC230-1)*100)&gt;100,"NM",IF(((DK230/DC230-1)*100)&lt;-50,"NM",(DK230/DC230-1)*100)))</f>
        <v>6.4623449944550826</v>
      </c>
      <c r="DM230" s="69">
        <f>SUM(DM228:DM229)</f>
        <v>42936</v>
      </c>
      <c r="DN230" s="130">
        <f t="shared" si="1634"/>
        <v>7.1257485029940115</v>
      </c>
      <c r="DO230" s="69">
        <f>SUM(DO228:DO229)</f>
        <v>43169</v>
      </c>
      <c r="DP230" s="130">
        <f t="shared" si="1634"/>
        <v>5.7571229084494968</v>
      </c>
      <c r="DQ230" s="69">
        <f>SUM(DQ228:DQ229)</f>
        <v>43875</v>
      </c>
      <c r="DR230" s="130">
        <f t="shared" si="1634"/>
        <v>4.9264617960062207</v>
      </c>
      <c r="DS230" s="69">
        <f>SUM(DS228:DS229)</f>
        <v>44388</v>
      </c>
      <c r="DT230" s="130">
        <f t="shared" si="1634"/>
        <v>5.0852272727272663</v>
      </c>
      <c r="DU230" s="69">
        <f>SUM(DU228:DU229)</f>
        <v>44696</v>
      </c>
      <c r="DV230" s="130">
        <f t="shared" si="1634"/>
        <v>4.0991242779951476</v>
      </c>
      <c r="DW230" s="69">
        <f>SUM(DW228:DW229)</f>
        <v>44426</v>
      </c>
      <c r="DX230" s="69">
        <f t="shared" ref="DX230:DY230" si="1661">SUM(DX228:DX229)</f>
        <v>-257.09783124577797</v>
      </c>
      <c r="DY230" s="69">
        <f t="shared" si="1661"/>
        <v>45241</v>
      </c>
      <c r="DZ230" s="130">
        <f t="shared" si="1634"/>
        <v>3.1133903133903074</v>
      </c>
      <c r="EA230" s="69">
        <f t="shared" ref="EA230:EC230" si="1662">SUM(EA228:EA229)</f>
        <v>45470</v>
      </c>
      <c r="EB230" s="130">
        <f t="shared" si="1637"/>
        <v>2.4375957465981868</v>
      </c>
      <c r="EC230" s="69">
        <f t="shared" si="1662"/>
        <v>45947</v>
      </c>
      <c r="ED230" s="130">
        <f t="shared" si="1638"/>
        <v>2.7989081797028748</v>
      </c>
      <c r="EE230" s="69">
        <f t="shared" ref="EE230:EG230" si="1663">SUM(EE228:EE229)</f>
        <v>46738</v>
      </c>
      <c r="EF230" s="130">
        <f t="shared" si="1640"/>
        <v>5.2041597262864059</v>
      </c>
      <c r="EG230" s="69">
        <f t="shared" si="1663"/>
        <v>47330</v>
      </c>
      <c r="EH230" s="130">
        <f t="shared" si="1641"/>
        <v>4.6174929820295807</v>
      </c>
      <c r="EI230" s="69">
        <f t="shared" ref="EI230:EK230" si="1664">SUM(EI228:EI229)</f>
        <v>48067</v>
      </c>
      <c r="EJ230" s="130">
        <f t="shared" si="1643"/>
        <v>5.71145810424456</v>
      </c>
      <c r="EK230" s="69">
        <f t="shared" si="1664"/>
        <v>48750</v>
      </c>
      <c r="EL230" s="130">
        <f t="shared" si="1644"/>
        <v>6.1005071060134419</v>
      </c>
      <c r="EM230" s="69">
        <f t="shared" ref="EM230" si="1665">SUM(EM228:EM229)</f>
        <v>49492</v>
      </c>
      <c r="EN230" s="130">
        <f t="shared" si="1646"/>
        <v>5.8924215841499317</v>
      </c>
      <c r="EO230" s="69">
        <f t="shared" ref="EO230" si="1666">SUM(EO228:EO229)</f>
        <v>50642</v>
      </c>
      <c r="EP230" s="130">
        <f t="shared" si="1648"/>
        <v>6.9976758926684868</v>
      </c>
      <c r="EQ230" s="69">
        <f t="shared" ref="EQ230:EW230" si="1667">SUM(EQ228:EQ229)</f>
        <v>50788.925049527774</v>
      </c>
      <c r="ER230" s="130">
        <f t="shared" si="1650"/>
        <v>5.6627728993442039</v>
      </c>
      <c r="ES230" s="69">
        <f t="shared" si="1667"/>
        <v>51307.939965270358</v>
      </c>
      <c r="ET230" s="130">
        <f t="shared" si="1651"/>
        <v>5.2470563390161207</v>
      </c>
      <c r="EU230" s="69">
        <f t="shared" si="1667"/>
        <v>51740.266490982271</v>
      </c>
      <c r="EV230" s="130">
        <f t="shared" si="1652"/>
        <v>4.5426866786193232</v>
      </c>
      <c r="EW230" s="69">
        <f t="shared" si="1667"/>
        <v>52585.756999834091</v>
      </c>
      <c r="EX230" s="130">
        <f t="shared" si="1653"/>
        <v>3.8382311121876844</v>
      </c>
      <c r="EY230" s="64"/>
      <c r="EZ230" s="558"/>
      <c r="FA230" s="64"/>
      <c r="FB230" s="69"/>
      <c r="FC230" s="71"/>
      <c r="FD230" s="69"/>
      <c r="FE230" s="70"/>
      <c r="FF230" s="69"/>
      <c r="FG230" s="70"/>
      <c r="FH230" s="69"/>
      <c r="FI230" s="70"/>
      <c r="FJ230" s="69"/>
      <c r="FK230" s="70"/>
      <c r="FL230" s="69"/>
      <c r="FM230" s="61"/>
      <c r="FN230" s="69"/>
      <c r="FO230" s="61"/>
      <c r="FP230" s="73">
        <f>SUM(FP228:FP229)</f>
        <v>14051</v>
      </c>
      <c r="FQ230" s="61" t="str">
        <f>IF(ISERROR((FP230/FN230-1)*100),"NA",IF(((FP230/FN230-1)*100)&gt;100,"NM",IF(((FP230/FN230-1)*100)&lt;-50,"NM",(FP230/FN230-1)*100)))</f>
        <v>NA</v>
      </c>
      <c r="FR230" s="73">
        <f>SUM(FR228:FR229)</f>
        <v>26490</v>
      </c>
      <c r="FS230" s="61">
        <f>IF(ISERROR((FR230/FP230-1)*100),"NA",IF(((FR230/FP230-1)*100)&gt;100,"NM",IF(((FR230/FP230-1)*100)&lt;-50,"NM",(FR230/FP230-1)*100)))</f>
        <v>88.527506939007907</v>
      </c>
      <c r="FT230" s="73">
        <f>SUM(FT228:FT229)</f>
        <v>32558</v>
      </c>
      <c r="FU230" s="61">
        <f>IF(ISERROR((FT230/FR230-1)*100),"NA",IF(((FT230/FR230-1)*100)&gt;100,"NM",IF(((FT230/FR230-1)*100)&lt;-50,"NM",(FT230/FR230-1)*100)))</f>
        <v>22.906757266893173</v>
      </c>
      <c r="FV230" s="73">
        <f>SUM(FV228:FV229)</f>
        <v>31753</v>
      </c>
      <c r="FW230" s="61">
        <f>IF(ISERROR((FV230/FT230-1)*100),"NA",IF(((FV230/FT230-1)*100)&gt;100,"NM",IF(((FV230/FT230-1)*100)&lt;-50,"NM",(FV230/FT230-1)*100)))</f>
        <v>-2.4725105964739869</v>
      </c>
      <c r="FX230" s="73">
        <f>SUM(FX228:FX229)</f>
        <v>33479</v>
      </c>
      <c r="FY230" s="61">
        <f>IF(ISERROR((FX230/FV230-1)*100),"NA",IF(((FX230/FV230-1)*100)&gt;100,"NM",IF(((FX230/FV230-1)*100)&lt;-50,"NM",(FX230/FV230-1)*100)))</f>
        <v>5.4357068623437144</v>
      </c>
      <c r="FZ230" s="73">
        <f>SUM(FZ228:FZ229)</f>
        <v>35327</v>
      </c>
      <c r="GA230" s="61">
        <f>IF(ISERROR((FZ230/FX230-1)*100),"NA",IF(((FZ230/FX230-1)*100)&gt;100,"NM",IF(((FZ230/FX230-1)*100)&lt;-50,"NM",(FZ230/FX230-1)*100)))</f>
        <v>5.5198781325607182</v>
      </c>
      <c r="GB230" s="73">
        <f>SUM(GB228:GB229)</f>
        <v>36906</v>
      </c>
      <c r="GC230" s="61">
        <f>IF(ISERROR((GB230/FZ230-1)*100),"NA",IF(((GB230/FZ230-1)*100)&gt;100,"NM",IF(((GB230/FZ230-1)*100)&lt;-50,"NM",(GB230/FZ230-1)*100)))</f>
        <v>4.4696690916296244</v>
      </c>
      <c r="GD230" s="73">
        <f>SUM(GD228:GD229)</f>
        <v>38955</v>
      </c>
      <c r="GE230" s="61">
        <f>IF(ISERROR((GD230/GB230-1)*100),"NA",IF(((GD230/GB230-1)*100)&gt;100,"NM",IF(((GD230/GB230-1)*100)&lt;-50,"NM",(GD230/GB230-1)*100)))</f>
        <v>5.5519427735327698</v>
      </c>
      <c r="GF230" s="73">
        <f>SUM(GF228:GF229)</f>
        <v>41815</v>
      </c>
      <c r="GG230" s="61">
        <f>IF(ISERROR((GF230/GD230-1)*100),"NA",IF(((GF230/GD230-1)*100)&gt;100,"NM",IF(((GF230/GD230-1)*100)&lt;-50,"NM",(GF230/GD230-1)*100)))</f>
        <v>7.3418046463868514</v>
      </c>
      <c r="GH230" s="73">
        <f>SUM(GH228:GH229)</f>
        <v>43875</v>
      </c>
      <c r="GI230" s="61">
        <f>IF(ISERROR((GH230/GF230-1)*100),"NA",IF(((GH230/GF230-1)*100)&gt;100,"NM",IF(((GH230/GF230-1)*100)&lt;-50,"NM",(GH230/GF230-1)*100)))</f>
        <v>4.9264617960062207</v>
      </c>
      <c r="GJ230" s="73">
        <f>SUM(GJ228:GJ229)</f>
        <v>45241</v>
      </c>
      <c r="GK230" s="61">
        <f>IF(ISERROR((GJ230/GH230-1)*100),"NA",IF(((GJ230/GH230-1)*100)&gt;100,"NM",IF(((GJ230/GH230-1)*100)&lt;-50,"NM",(GJ230/GH230-1)*100)))</f>
        <v>3.1133903133903074</v>
      </c>
      <c r="GL230" s="73">
        <f>SUM(GL228:GL229)</f>
        <v>47330</v>
      </c>
      <c r="GM230" s="61">
        <f>IF(ISERROR((GL230/GJ230-1)*100),"NA",IF(((GL230/GJ230-1)*100)&gt;100,"NM",IF(((GL230/GJ230-1)*100)&lt;-50,"NM",(GL230/GJ230-1)*100)))</f>
        <v>4.6174929820295807</v>
      </c>
      <c r="GN230" s="73">
        <f>SUM(GN228:GN229)</f>
        <v>50642</v>
      </c>
      <c r="GO230" s="61">
        <f>IF(ISERROR((GN230/GL230-1)*100),"NA",IF(((GN230/GL230-1)*100)&gt;100,"NM",IF(((GN230/GL230-1)*100)&lt;-50,"NM",(GN230/GL230-1)*100)))</f>
        <v>6.9976758926684868</v>
      </c>
      <c r="GP230" s="73">
        <f>SUM(GP228:GP229)</f>
        <v>52585.756999834091</v>
      </c>
      <c r="GQ230" s="61">
        <f>IF(ISERROR((GP230/GN230-1)*100),"NA",IF(((GP230/GN230-1)*100)&gt;100,"NM",IF(((GP230/GN230-1)*100)&lt;-50,"NM",(GP230/GN230-1)*100)))</f>
        <v>3.8382311121876844</v>
      </c>
      <c r="GR230" s="69">
        <f>SUM(GR228:GR229)</f>
        <v>54196.13099853693</v>
      </c>
      <c r="GS230" s="61">
        <f>IF(ISERROR((GR230/GP230-1)*100),"NA",IF(((GR230/GP230-1)*100)&gt;100,"NM",IF(((GR230/GP230-1)*100)&lt;-50,"NM",(GR230/GP230-1)*100)))</f>
        <v>3.0623767548081826</v>
      </c>
      <c r="GT230" s="69">
        <f>SUM(GT228:GT229)</f>
        <v>55923.167034797392</v>
      </c>
      <c r="GU230" s="61">
        <f>IF(ISERROR((GT230/GR230-1)*100),"NA",IF(((GT230/GR230-1)*100)&gt;100,"NM",IF(((GT230/GR230-1)*100)&lt;-50,"NM",(GT230/GR230-1)*100)))</f>
        <v>3.1866408255362133</v>
      </c>
      <c r="GV230" s="69">
        <f>SUM(GV228:GV229)</f>
        <v>57771.829990843413</v>
      </c>
      <c r="GW230" s="61">
        <f>IF(ISERROR((GV230/GT230-1)*100),"NA",IF(((GV230/GT230-1)*100)&gt;100,"NM",IF(((GV230/GT230-1)*100)&lt;-50,"NM",(GV230/GT230-1)*100)))</f>
        <v>3.3057193540124707</v>
      </c>
      <c r="GX230" s="69">
        <f>SUM(GX228:GX229)</f>
        <v>59747.45910085291</v>
      </c>
      <c r="GY230" s="61">
        <f>IF(ISERROR((GX230/GV230-1)*100),"NA",IF(((GX230/GV230-1)*100)&gt;100,"NM",IF(((GX230/GV230-1)*100)&lt;-50,"NM",(GX230/GV230-1)*100)))</f>
        <v>3.4197101084085801</v>
      </c>
      <c r="GZ230" s="61">
        <f t="shared" si="1616"/>
        <v>3.3621937905123689</v>
      </c>
      <c r="HA230" s="61"/>
      <c r="HB230" s="452"/>
      <c r="HC230"/>
      <c r="HD230"/>
      <c r="HE230"/>
      <c r="HF230"/>
      <c r="HG230"/>
      <c r="HH230"/>
    </row>
    <row r="231" spans="2:216" s="5" customFormat="1" ht="12.75" customHeight="1" x14ac:dyDescent="0.2">
      <c r="B231" s="2"/>
      <c r="C231" s="66"/>
      <c r="D231" s="67"/>
      <c r="E231" s="66"/>
      <c r="F231" s="66"/>
      <c r="G231" s="66"/>
      <c r="H231" s="66"/>
      <c r="I231" s="66"/>
      <c r="J231" s="66"/>
      <c r="K231" s="66"/>
      <c r="L231" s="61"/>
      <c r="M231" s="66"/>
      <c r="N231" s="61"/>
      <c r="O231" s="66"/>
      <c r="P231" s="61"/>
      <c r="Q231" s="66"/>
      <c r="R231" s="61"/>
      <c r="S231" s="66"/>
      <c r="T231" s="61"/>
      <c r="U231" s="66"/>
      <c r="V231" s="61"/>
      <c r="W231" s="66"/>
      <c r="X231" s="61"/>
      <c r="Y231" s="66"/>
      <c r="Z231" s="61"/>
      <c r="AA231" s="66"/>
      <c r="AB231" s="61"/>
      <c r="AC231" s="66"/>
      <c r="AD231" s="61"/>
      <c r="AE231" s="66"/>
      <c r="AF231" s="61"/>
      <c r="AG231" s="66"/>
      <c r="AH231" s="61"/>
      <c r="AI231" s="66"/>
      <c r="AJ231" s="61"/>
      <c r="AK231" s="66"/>
      <c r="AL231" s="61"/>
      <c r="AM231" s="66"/>
      <c r="AN231" s="61"/>
      <c r="AO231" s="66"/>
      <c r="AP231" s="61"/>
      <c r="AQ231" s="66"/>
      <c r="AR231" s="61"/>
      <c r="AS231" s="66"/>
      <c r="AT231" s="61"/>
      <c r="AU231" s="66"/>
      <c r="AV231" s="61"/>
      <c r="AW231" s="66"/>
      <c r="AX231" s="61"/>
      <c r="AY231" s="66"/>
      <c r="AZ231" s="61"/>
      <c r="BA231" s="66"/>
      <c r="BB231" s="61"/>
      <c r="BC231" s="66"/>
      <c r="BD231" s="61"/>
      <c r="BE231" s="66"/>
      <c r="BF231" s="61"/>
      <c r="BG231" s="66"/>
      <c r="BH231" s="61"/>
      <c r="BI231" s="66"/>
      <c r="BJ231" s="61"/>
      <c r="BK231" s="66"/>
      <c r="BL231" s="61"/>
      <c r="BM231" s="66"/>
      <c r="BN231" s="61"/>
      <c r="BO231" s="66"/>
      <c r="BP231" s="61"/>
      <c r="BQ231" s="66"/>
      <c r="BR231" s="61"/>
      <c r="BS231" s="66"/>
      <c r="BT231" s="61"/>
      <c r="BU231" s="66"/>
      <c r="BV231" s="61"/>
      <c r="BW231" s="66"/>
      <c r="BX231" s="61"/>
      <c r="BY231" s="66"/>
      <c r="BZ231" s="61"/>
      <c r="CA231" s="66"/>
      <c r="CB231" s="61"/>
      <c r="CC231" s="66"/>
      <c r="CD231" s="61"/>
      <c r="CE231" s="66"/>
      <c r="CF231" s="61"/>
      <c r="CG231" s="66"/>
      <c r="CH231" s="61"/>
      <c r="CI231" s="66"/>
      <c r="CJ231" s="61"/>
      <c r="CK231" s="66"/>
      <c r="CL231" s="61"/>
      <c r="CM231" s="66"/>
      <c r="CN231" s="61"/>
      <c r="CO231" s="66"/>
      <c r="CP231" s="61"/>
      <c r="CQ231" s="66"/>
      <c r="CR231" s="61"/>
      <c r="CS231" s="66"/>
      <c r="CT231" s="61"/>
      <c r="CU231" s="66"/>
      <c r="CV231" s="61"/>
      <c r="CW231" s="66"/>
      <c r="CX231" s="61"/>
      <c r="CY231" s="66"/>
      <c r="CZ231" s="61"/>
      <c r="DA231" s="66"/>
      <c r="DB231" s="61"/>
      <c r="DC231" s="66"/>
      <c r="DD231" s="61"/>
      <c r="DE231" s="66"/>
      <c r="DF231" s="61"/>
      <c r="DG231" s="66"/>
      <c r="DH231" s="61"/>
      <c r="DI231" s="66"/>
      <c r="DJ231" s="61"/>
      <c r="DK231" s="66"/>
      <c r="DL231" s="61"/>
      <c r="DM231" s="66"/>
      <c r="DN231" s="61"/>
      <c r="DO231" s="66"/>
      <c r="DP231" s="61"/>
      <c r="DQ231" s="66"/>
      <c r="DR231" s="61"/>
      <c r="DS231" s="66"/>
      <c r="DT231" s="61"/>
      <c r="DU231" s="66"/>
      <c r="DV231" s="61"/>
      <c r="DW231" s="66"/>
      <c r="DX231" s="66"/>
      <c r="DY231" s="66"/>
      <c r="DZ231" s="61"/>
      <c r="EA231" s="66"/>
      <c r="EB231" s="61"/>
      <c r="EC231" s="66"/>
      <c r="ED231" s="61"/>
      <c r="EE231" s="66"/>
      <c r="EF231" s="61"/>
      <c r="EG231" s="66"/>
      <c r="EH231" s="61"/>
      <c r="EI231" s="66"/>
      <c r="EJ231" s="61"/>
      <c r="EK231" s="66"/>
      <c r="EL231" s="61"/>
      <c r="EM231" s="66"/>
      <c r="EN231" s="61"/>
      <c r="EO231" s="66"/>
      <c r="EP231" s="61"/>
      <c r="EQ231" s="66"/>
      <c r="ER231" s="61"/>
      <c r="ES231" s="66"/>
      <c r="ET231" s="61"/>
      <c r="EU231" s="66"/>
      <c r="EV231" s="61"/>
      <c r="EW231" s="66"/>
      <c r="EX231" s="61"/>
      <c r="EY231" s="64"/>
      <c r="EZ231" s="558"/>
      <c r="FA231" s="64"/>
      <c r="FB231" s="66"/>
      <c r="FC231" s="66"/>
      <c r="FD231" s="66"/>
      <c r="FE231" s="67"/>
      <c r="FF231" s="66"/>
      <c r="FG231" s="67"/>
      <c r="FH231" s="66"/>
      <c r="FI231" s="67"/>
      <c r="FJ231" s="66"/>
      <c r="FK231" s="67"/>
      <c r="FL231" s="66"/>
      <c r="FM231" s="61"/>
      <c r="FN231" s="66"/>
      <c r="FO231" s="61"/>
      <c r="FP231" s="16"/>
      <c r="FQ231" s="61"/>
      <c r="FR231" s="16"/>
      <c r="FS231" s="61"/>
      <c r="FT231" s="16"/>
      <c r="FU231" s="61"/>
      <c r="FV231" s="16"/>
      <c r="FW231" s="61"/>
      <c r="FX231" s="16"/>
      <c r="FY231" s="61"/>
      <c r="FZ231" s="16"/>
      <c r="GA231" s="61"/>
      <c r="GB231" s="16"/>
      <c r="GC231" s="61"/>
      <c r="GD231" s="16"/>
      <c r="GE231" s="61"/>
      <c r="GF231" s="16"/>
      <c r="GG231" s="61"/>
      <c r="GH231" s="16"/>
      <c r="GI231" s="61"/>
      <c r="GJ231" s="16"/>
      <c r="GK231" s="61"/>
      <c r="GL231" s="16"/>
      <c r="GM231" s="61"/>
      <c r="GN231" s="16"/>
      <c r="GO231" s="61"/>
      <c r="GP231" s="16"/>
      <c r="GQ231" s="61"/>
      <c r="GR231" s="66"/>
      <c r="GS231" s="61"/>
      <c r="GT231" s="66"/>
      <c r="GU231" s="61"/>
      <c r="GV231" s="66"/>
      <c r="GW231" s="61"/>
      <c r="GX231" s="66"/>
      <c r="GY231" s="61"/>
      <c r="GZ231" s="61" t="str">
        <f t="shared" si="1616"/>
        <v/>
      </c>
      <c r="HA231" s="61"/>
      <c r="HB231" s="452"/>
      <c r="HC231"/>
      <c r="HD231"/>
      <c r="HE231"/>
      <c r="HF231"/>
      <c r="HG231"/>
      <c r="HH231"/>
    </row>
    <row r="232" spans="2:216" s="5" customFormat="1" ht="12.75" customHeight="1" x14ac:dyDescent="0.2">
      <c r="B232" s="2" t="s">
        <v>49</v>
      </c>
      <c r="C232" s="69"/>
      <c r="D232" s="70"/>
      <c r="E232" s="69"/>
      <c r="F232" s="71"/>
      <c r="G232" s="69"/>
      <c r="H232" s="71"/>
      <c r="I232" s="69"/>
      <c r="J232" s="61"/>
      <c r="K232" s="69"/>
      <c r="L232" s="61"/>
      <c r="M232" s="69"/>
      <c r="N232" s="61"/>
      <c r="O232" s="69"/>
      <c r="P232" s="61"/>
      <c r="Q232" s="69"/>
      <c r="R232" s="61"/>
      <c r="S232" s="69"/>
      <c r="T232" s="61"/>
      <c r="U232" s="69"/>
      <c r="V232" s="61"/>
      <c r="W232" s="69"/>
      <c r="X232" s="61"/>
      <c r="Y232" s="69"/>
      <c r="Z232" s="61"/>
      <c r="AA232" s="69"/>
      <c r="AB232" s="61"/>
      <c r="AC232" s="69"/>
      <c r="AD232" s="61"/>
      <c r="AE232" s="69"/>
      <c r="AF232" s="61"/>
      <c r="AG232" s="69"/>
      <c r="AH232" s="61"/>
      <c r="AI232" s="69"/>
      <c r="AJ232" s="61"/>
      <c r="AK232" s="69"/>
      <c r="AL232" s="61"/>
      <c r="AM232" s="69"/>
      <c r="AN232" s="61"/>
      <c r="AO232" s="69"/>
      <c r="AP232" s="61"/>
      <c r="AQ232" s="69">
        <f>AVERAGE(AO230,AQ230)</f>
        <v>13327.5</v>
      </c>
      <c r="AR232" s="61" t="str">
        <f>IF(ISERROR((AQ232/AI232-1)*100),"NA",IF(((AQ232/AI232-1)*100)&gt;100,"NM",IF(((AQ232/AI232-1)*100)&lt;-50,"NM",(AQ232/AI232-1)*100)))</f>
        <v>NA</v>
      </c>
      <c r="AS232" s="69">
        <f>AVERAGE(AQ230,AS230)</f>
        <v>13411.5</v>
      </c>
      <c r="AT232" s="61" t="str">
        <f>IF(ISERROR((AS232/AK232-1)*100),"NA",IF(((AS232/AK232-1)*100)&gt;100,"NM",IF(((AS232/AK232-1)*100)&lt;-50,"NM",(AS232/AK232-1)*100)))</f>
        <v>NA</v>
      </c>
      <c r="AU232" s="69">
        <f>AVERAGE(AS230,AU230)</f>
        <v>13620</v>
      </c>
      <c r="AV232" s="61" t="str">
        <f>IF(ISERROR((AU232/AM232-1)*100),"NA",IF(((AU232/AM232-1)*100)&gt;100,"NM",IF(((AU232/AM232-1)*100)&lt;-50,"NM",(AU232/AM232-1)*100)))</f>
        <v>NA</v>
      </c>
      <c r="AW232" s="69">
        <f>AVERAGE(AU230,AW230)</f>
        <v>13897.5</v>
      </c>
      <c r="AX232" s="61" t="str">
        <f>IF(ISERROR((AW232/AO232-1)*100),"NA",IF(((AW232/AO232-1)*100)&gt;100,"NM",IF(((AW232/AO232-1)*100)&lt;-50,"NM",(AW232/AO232-1)*100)))</f>
        <v>NA</v>
      </c>
      <c r="AY232" s="69">
        <f>AVERAGE(AW230,AY230)</f>
        <v>14159</v>
      </c>
      <c r="AZ232" s="61">
        <f>IF(ISERROR((AY232/AQ232-1)*100),"NA",IF(((AY232/AQ232-1)*100)&gt;100,"NM",IF(((AY232/AQ232-1)*100)&lt;-50,"NM",(AY232/AQ232-1)*100)))</f>
        <v>6.2389795535546799</v>
      </c>
      <c r="BA232" s="69">
        <f>AVERAGE(AY230,BA230)</f>
        <v>19873</v>
      </c>
      <c r="BB232" s="61">
        <f>IF(ISERROR((BA232/AS232-1)*100),"NA",IF(((BA232/AS232-1)*100)&gt;100,"NM",IF(((BA232/AS232-1)*100)&lt;-50,"NM",(BA232/AS232-1)*100)))</f>
        <v>48.178801774596437</v>
      </c>
      <c r="BC232" s="69">
        <f>AVERAGE(BA230,BC230)</f>
        <v>25649.5</v>
      </c>
      <c r="BD232" s="61">
        <f>IF(ISERROR((BC232/AU232-1)*100),"NA",IF(((BC232/AU232-1)*100)&gt;100,"NM",IF(((BC232/AU232-1)*100)&lt;-50,"NM",(BC232/AU232-1)*100)))</f>
        <v>88.322320117474291</v>
      </c>
      <c r="BE232" s="69">
        <f>AVERAGE(BC230,BE230)</f>
        <v>26155</v>
      </c>
      <c r="BF232" s="61">
        <f>IF(ISERROR((BE232/AW232-1)*100),"NA",IF(((BE232/AW232-1)*100)&gt;100,"NM",IF(((BE232/AW232-1)*100)&lt;-50,"NM",(BE232/AW232-1)*100)))</f>
        <v>88.199316423817237</v>
      </c>
      <c r="BG232" s="69">
        <f>+BG218+BG199</f>
        <v>31060</v>
      </c>
      <c r="BH232" s="61" t="str">
        <f>IF(ISERROR((BG232/AY232-1)*100),"NA",IF(((BG232/AY232-1)*100)&gt;100,"NM",IF(((BG232/AY232-1)*100)&lt;-50,"NM",(BG232/AY232-1)*100)))</f>
        <v>NM</v>
      </c>
      <c r="BI232" s="69">
        <f>AVERAGE(BG230,BI230)</f>
        <v>31547.5</v>
      </c>
      <c r="BJ232" s="61">
        <f>IF(ISERROR((BI232/BA232-1)*100),"NA",IF(((BI232/BA232-1)*100)&gt;100,"NM",IF(((BI232/BA232-1)*100)&lt;-50,"NM",(BI232/BA232-1)*100)))</f>
        <v>58.745534141800434</v>
      </c>
      <c r="BK232" s="69">
        <f>AVERAGE(BI230,BK230)</f>
        <v>32042</v>
      </c>
      <c r="BL232" s="61">
        <f>IF(ISERROR((BK232/BC232-1)*100),"NA",IF(((BK232/BC232-1)*100)&gt;100,"NM",IF(((BK232/BC232-1)*100)&lt;-50,"NM",(BK232/BC232-1)*100)))</f>
        <v>24.922513109417331</v>
      </c>
      <c r="BM232" s="69">
        <f>AVERAGE(BK230,BM230)</f>
        <v>32412</v>
      </c>
      <c r="BN232" s="61">
        <f>IF(ISERROR((BM232/BE232-1)*100),"NA",IF(((BM232/BE232-1)*100)&gt;100,"NM",IF(((BM232/BE232-1)*100)&lt;-50,"NM",(BM232/BE232-1)*100)))</f>
        <v>23.92276811317149</v>
      </c>
      <c r="BO232" s="69">
        <f>AVERAGE(BM230,BO230)</f>
        <v>32449.5</v>
      </c>
      <c r="BP232" s="61">
        <f>IF(ISERROR((BO232/BG232-1)*100),"NA",IF(((BO232/BG232-1)*100)&gt;100,"NM",IF(((BO232/BG232-1)*100)&lt;-50,"NM",(BO232/BG232-1)*100)))</f>
        <v>4.4735994848680072</v>
      </c>
      <c r="BQ232" s="69">
        <f>AVERAGE(BO230,BQ230)</f>
        <v>32472</v>
      </c>
      <c r="BR232" s="61">
        <f>IF(ISERROR((BQ232/BI232-1)*100),"NA",IF(((BQ232/BI232-1)*100)&gt;100,"NM",IF(((BQ232/BI232-1)*100)&lt;-50,"NM",(BQ232/BI232-1)*100)))</f>
        <v>2.9305016245344317</v>
      </c>
      <c r="BS232" s="69">
        <f>AVERAGE(BQ230,BS230)</f>
        <v>32443</v>
      </c>
      <c r="BT232" s="61">
        <f>IF(ISERROR((BS232/BK232-1)*100),"NA",IF(((BS232/BK232-1)*100)&gt;100,"NM",IF(((BS232/BK232-1)*100)&lt;-50,"NM",(BS232/BK232-1)*100)))</f>
        <v>1.2514824293115234</v>
      </c>
      <c r="BU232" s="69">
        <f>AVERAGE(BS230,BU230)</f>
        <v>32018</v>
      </c>
      <c r="BV232" s="61">
        <f>IF(ISERROR((BU232/BM232-1)*100),"NA",IF(((BU232/BM232-1)*100)&gt;100,"NM",IF(((BU232/BM232-1)*100)&lt;-50,"NM",(BU232/BM232-1)*100)))</f>
        <v>-1.2155991608046368</v>
      </c>
      <c r="BW232" s="69">
        <f>AVERAGE(BU230,BW230)</f>
        <v>31681</v>
      </c>
      <c r="BX232" s="61">
        <f>IF(ISERROR((BW232/BO232-1)*100),"NA",IF(((BW232/BO232-1)*100)&gt;100,"NM",IF(((BW232/BO232-1)*100)&lt;-50,"NM",(BW232/BO232-1)*100)))</f>
        <v>-2.3682953512380811</v>
      </c>
      <c r="BY232" s="69">
        <f>AVERAGE(BW230,BY230)</f>
        <v>31940</v>
      </c>
      <c r="BZ232" s="61">
        <f>IF(ISERROR((BY232/BQ232-1)*100),"NA",IF(((BY232/BQ232-1)*100)&gt;100,"NM",IF(((BY232/BQ232-1)*100)&lt;-50,"NM",(BY232/BQ232-1)*100)))</f>
        <v>-1.6383345651638348</v>
      </c>
      <c r="CA232" s="69">
        <f>AVERAGE(BY230,CA230)</f>
        <v>32636</v>
      </c>
      <c r="CB232" s="61">
        <f>IF(ISERROR((CA232/BS232-1)*100),"NA",IF(((CA232/BS232-1)*100)&gt;100,"NM",IF(((CA232/BS232-1)*100)&lt;-50,"NM",(CA232/BS232-1)*100)))</f>
        <v>0.59488949850508011</v>
      </c>
      <c r="CC232" s="69">
        <f>AVERAGE(CA230,CC230)</f>
        <v>33240</v>
      </c>
      <c r="CD232" s="61">
        <f>IF(ISERROR((CC232/BU232-1)*100),"NA",IF(((CC232/BU232-1)*100)&gt;100,"NM",IF(((CC232/BU232-1)*100)&lt;-50,"NM",(CC232/BU232-1)*100)))</f>
        <v>3.8166031607220985</v>
      </c>
      <c r="CE232" s="69">
        <f>AVERAGE(CC230,CE230)</f>
        <v>33650.5</v>
      </c>
      <c r="CF232" s="61">
        <f>IF(ISERROR((CE232/BW232-1)*100),"NA",IF(((CE232/BW232-1)*100)&gt;100,"NM",IF(((CE232/BW232-1)*100)&lt;-50,"NM",(CE232/BW232-1)*100)))</f>
        <v>6.2166598276569562</v>
      </c>
      <c r="CG232" s="69">
        <f>AVERAGE(CE230,CG230)</f>
        <v>33716.5</v>
      </c>
      <c r="CH232" s="61">
        <f>IF(ISERROR((CG232/BY232-1)*100),"NA",IF(((CG232/BY232-1)*100)&gt;100,"NM",IF(((CG232/BY232-1)*100)&lt;-50,"NM",(CG232/BY232-1)*100)))</f>
        <v>5.5619912335629351</v>
      </c>
      <c r="CI232" s="69">
        <f>AVERAGE(CG230,CI230)</f>
        <v>33983.5</v>
      </c>
      <c r="CJ232" s="61">
        <f>IF(ISERROR((CI232/CA232-1)*100),"NA",IF(((CI232/CA232-1)*100)&gt;100,"NM",IF(((CI232/CA232-1)*100)&lt;-50,"NM",(CI232/CA232-1)*100)))</f>
        <v>4.1288760877558506</v>
      </c>
      <c r="CK232" s="69">
        <f>AVERAGE(CI230,CK230)</f>
        <v>34841.5</v>
      </c>
      <c r="CL232" s="61">
        <f>IF(ISERROR((CK232/CC232-1)*100),"NA",IF(((CK232/CC232-1)*100)&gt;100,"NM",IF(((CK232/CC232-1)*100)&lt;-50,"NM",(CK232/CC232-1)*100)))</f>
        <v>4.8179903730445339</v>
      </c>
      <c r="CM232" s="69">
        <f>AVERAGE(CK230,CM230)</f>
        <v>35618.5</v>
      </c>
      <c r="CN232" s="61">
        <f>IF(ISERROR((CM232/CE232-1)*100),"NA",IF(((CM232/CE232-1)*100)&gt;100,"NM",IF(((CM232/CE232-1)*100)&lt;-50,"NM",(CM232/CE232-1)*100)))</f>
        <v>5.8483529219476749</v>
      </c>
      <c r="CO232" s="69">
        <f>AVERAGE(CM230,CO230)</f>
        <v>36107.5</v>
      </c>
      <c r="CP232" s="61">
        <f>IF(ISERROR((CO232/CG232-1)*100),"NA",IF(((CO232/CG232-1)*100)&gt;100,"NM",IF(((CO232/CG232-1)*100)&lt;-50,"NM",(CO232/CG232-1)*100)))</f>
        <v>7.0914833983361181</v>
      </c>
      <c r="CQ232" s="69">
        <f>AVERAGE(CO230,CQ230)</f>
        <v>36159</v>
      </c>
      <c r="CR232" s="61">
        <f>IF(ISERROR((CQ232/CI232-1)*100),"NA",IF(((CQ232/CI232-1)*100)&gt;100,"NM",IF(((CQ232/CI232-1)*100)&lt;-50,"NM",(CQ232/CI232-1)*100)))</f>
        <v>6.401636088101581</v>
      </c>
      <c r="CS232" s="69">
        <f>AVERAGE(CQ230,CS230)</f>
        <v>36459.5</v>
      </c>
      <c r="CT232" s="61">
        <f>IF(ISERROR((CS232/CK232-1)*100),"NA",IF(((CS232/CK232-1)*100)&gt;100,"NM",IF(((CS232/CK232-1)*100)&lt;-50,"NM",(CS232/CK232-1)*100)))</f>
        <v>4.6438873182842233</v>
      </c>
      <c r="CU232" s="69">
        <f>AVERAGE(CS230,CU230)</f>
        <v>37301</v>
      </c>
      <c r="CV232" s="61">
        <f>IF(ISERROR((CU232/CM232-1)*100),"NA",IF(((CU232/CM232-1)*100)&gt;100,"NM",IF(((CU232/CM232-1)*100)&lt;-50,"NM",(CU232/CM232-1)*100)))</f>
        <v>4.7236688799359827</v>
      </c>
      <c r="CW232" s="69">
        <f>AVERAGE(CU230,CW230)</f>
        <v>37725.5</v>
      </c>
      <c r="CX232" s="61">
        <f>IF(ISERROR((CW232/CO232-1)*100),"NA",IF(((CW232/CO232-1)*100)&gt;100,"NM",IF(((CW232/CO232-1)*100)&lt;-50,"NM",(CW232/CO232-1)*100)))</f>
        <v>4.4810634909644875</v>
      </c>
      <c r="CY232" s="69">
        <f>AVERAGE(CW230,CY230)</f>
        <v>38001.5</v>
      </c>
      <c r="CZ232" s="61">
        <f>IF(ISERROR((CY232/CQ232-1)*100),"NA",IF(((CY232/CQ232-1)*100)&gt;100,"NM",IF(((CY232/CQ232-1)*100)&lt;-50,"NM",(CY232/CQ232-1)*100)))</f>
        <v>5.0955502088000149</v>
      </c>
      <c r="DA232" s="69">
        <f>AVERAGE(CY230,DA230)</f>
        <v>38601.5</v>
      </c>
      <c r="DB232" s="61">
        <f>IF(ISERROR((DA232/CS232-1)*100),"NA",IF(((DA232/CS232-1)*100)&gt;100,"NM",IF(((DA232/CS232-1)*100)&lt;-50,"NM",(DA232/CS232-1)*100)))</f>
        <v>5.8750119996160199</v>
      </c>
      <c r="DC232" s="69">
        <f>AVERAGE(DA230,DC230)</f>
        <v>39315.5</v>
      </c>
      <c r="DD232" s="61">
        <f>IF(ISERROR((DC232/CU232-1)*100),"NA",IF(((DC232/CU232-1)*100)&gt;100,"NM",IF(((DC232/CU232-1)*100)&lt;-50,"NM",(DC232/CU232-1)*100)))</f>
        <v>5.4006594997453083</v>
      </c>
      <c r="DE232" s="69">
        <f>AVERAGE(DC230,DE230)</f>
        <v>39878</v>
      </c>
      <c r="DF232" s="61">
        <f>IF(ISERROR((DE232/CW232-1)*100),"NA",IF(((DE232/CW232-1)*100)&gt;100,"NM",IF(((DE232/CW232-1)*100)&lt;-50,"NM",(DE232/CW232-1)*100)))</f>
        <v>5.705689785423651</v>
      </c>
      <c r="DG232" s="69">
        <f>AVERAGE(DE230,DG230)</f>
        <v>40449.5</v>
      </c>
      <c r="DH232" s="61">
        <f>IF(ISERROR((DG232/CY232-1)*100),"NA",IF(((DG232/CY232-1)*100)&gt;100,"NM",IF(((DG232/CY232-1)*100)&lt;-50,"NM",(DG232/CY232-1)*100)))</f>
        <v>6.441850979566599</v>
      </c>
      <c r="DI232" s="69">
        <f>AVERAGE(DG230,DI230)</f>
        <v>41317</v>
      </c>
      <c r="DJ232" s="61">
        <f>IF(ISERROR((DI232/DA232-1)*100),"NA",IF(((DI232/DA232-1)*100)&gt;100,"NM",IF(((DI232/DA232-1)*100)&lt;-50,"NM",(DI232/DA232-1)*100)))</f>
        <v>7.0347007240651349</v>
      </c>
      <c r="DK232" s="69">
        <f>AVERAGE(DI230,DK230)</f>
        <v>42027.5</v>
      </c>
      <c r="DL232" s="61">
        <f>IF(ISERROR((DK232/DC232-1)*100),"NA",IF(((DK232/DC232-1)*100)&gt;100,"NM",IF(((DK232/DC232-1)*100)&lt;-50,"NM",(DK232/DC232-1)*100)))</f>
        <v>6.8980427566735836</v>
      </c>
      <c r="DM232" s="69">
        <f>AVERAGE(DK230,DM230)</f>
        <v>42588</v>
      </c>
      <c r="DN232" s="130">
        <f t="shared" ref="DN232:DZ233" si="1668">IF(ISERROR((DM232/DE232-1)*100),"NA",IF(((DM232/DE232-1)*100)&gt;100,"NM",IF(((DM232/DE232-1)*100)&lt;-50,"NM",(DM232/DE232-1)*100)))</f>
        <v>6.7957269672501042</v>
      </c>
      <c r="DO232" s="69">
        <f>AVERAGE(DM230,DO230)</f>
        <v>43052.5</v>
      </c>
      <c r="DP232" s="130">
        <f t="shared" si="1668"/>
        <v>6.4351846129123924</v>
      </c>
      <c r="DQ232" s="69">
        <f>AVERAGE(DO230,DQ230)</f>
        <v>43522</v>
      </c>
      <c r="DR232" s="130">
        <f t="shared" si="1668"/>
        <v>5.3367863107195657</v>
      </c>
      <c r="DS232" s="69">
        <f>AVERAGE(DQ230,DS230)</f>
        <v>44131.5</v>
      </c>
      <c r="DT232" s="130">
        <f t="shared" si="1668"/>
        <v>5.0062459104158075</v>
      </c>
      <c r="DU232" s="69">
        <f>AVERAGE(DS230,DU230)</f>
        <v>44542</v>
      </c>
      <c r="DV232" s="130">
        <f t="shared" si="1668"/>
        <v>4.5881468958391958</v>
      </c>
      <c r="DW232" s="69">
        <f>AVERAGE(DU230,DW230)</f>
        <v>44561</v>
      </c>
      <c r="DX232" s="69">
        <f t="shared" ref="DX232:EM232" si="1669">AVERAGE(DV230,DX230)</f>
        <v>-126.49935348389141</v>
      </c>
      <c r="DY232" s="69">
        <f t="shared" si="1669"/>
        <v>44833.5</v>
      </c>
      <c r="DZ232" s="130">
        <f t="shared" si="1668"/>
        <v>3.0134185009879966</v>
      </c>
      <c r="EA232" s="69">
        <f t="shared" si="1669"/>
        <v>45355.5</v>
      </c>
      <c r="EB232" s="130">
        <f t="shared" ref="EB232:EB233" si="1670">IF(ISERROR((EA232/DS232-1)*100),"NA",IF(((EA232/DS232-1)*100)&gt;100,"NM",IF(((EA232/DS232-1)*100)&lt;-50,"NM",(EA232/DS232-1)*100)))</f>
        <v>2.7735291118588856</v>
      </c>
      <c r="EC232" s="69">
        <f t="shared" si="1669"/>
        <v>45708.5</v>
      </c>
      <c r="ED232" s="130">
        <f t="shared" ref="ED232:ED233" si="1671">IF(ISERROR((EC232/DU232-1)*100),"NA",IF(((EC232/DU232-1)*100)&gt;100,"NM",IF(((EC232/DU232-1)*100)&lt;-50,"NM",(EC232/DU232-1)*100)))</f>
        <v>2.6188765659377555</v>
      </c>
      <c r="EE232" s="69">
        <f t="shared" si="1669"/>
        <v>46342.5</v>
      </c>
      <c r="EF232" s="130">
        <f t="shared" ref="EF232:EF233" si="1672">IF(ISERROR((EE232/DW232-1)*100),"NA",IF(((EE232/DW232-1)*100)&gt;100,"NM",IF(((EE232/DW232-1)*100)&lt;-50,"NM",(EE232/DW232-1)*100)))</f>
        <v>3.9978905320796176</v>
      </c>
      <c r="EG232" s="69">
        <f t="shared" si="1669"/>
        <v>47034</v>
      </c>
      <c r="EH232" s="130">
        <f t="shared" ref="EH232:EH233" si="1673">IF(ISERROR((EG232/DY232-1)*100),"NA",IF(((EG232/DY232-1)*100)&gt;100,"NM",IF(((EG232/DY232-1)*100)&lt;-50,"NM",(EG232/DY232-1)*100)))</f>
        <v>4.9081601927130292</v>
      </c>
      <c r="EI232" s="69">
        <f t="shared" si="1669"/>
        <v>47698.5</v>
      </c>
      <c r="EJ232" s="130">
        <f t="shared" ref="EJ232:EJ233" si="1674">IF(ISERROR((EI232/EA232-1)*100),"NA",IF(((EI232/EA232-1)*100)&gt;100,"NM",IF(((EI232/EA232-1)*100)&lt;-50,"NM",(EI232/EA232-1)*100)))</f>
        <v>5.1658564010979902</v>
      </c>
      <c r="EK232" s="69">
        <f t="shared" si="1669"/>
        <v>48408.5</v>
      </c>
      <c r="EL232" s="130">
        <f t="shared" ref="EL232:EL233" si="1675">IF(ISERROR((EK232/EC232-1)*100),"NA",IF(((EK232/EC232-1)*100)&gt;100,"NM",IF(((EK232/EC232-1)*100)&lt;-50,"NM",(EK232/EC232-1)*100)))</f>
        <v>5.906997604384312</v>
      </c>
      <c r="EM232" s="69">
        <f t="shared" si="1669"/>
        <v>49121</v>
      </c>
      <c r="EN232" s="130">
        <f t="shared" ref="EN232:EN233" si="1676">IF(ISERROR((EM232/EE232-1)*100),"NA",IF(((EM232/EE232-1)*100)&gt;100,"NM",IF(((EM232/EE232-1)*100)&lt;-50,"NM",(EM232/EE232-1)*100)))</f>
        <v>5.9955764147380908</v>
      </c>
      <c r="EO232" s="69">
        <f t="shared" ref="EO232" si="1677">AVERAGE(EM230,EO230)</f>
        <v>50067</v>
      </c>
      <c r="EP232" s="130">
        <f t="shared" ref="EP232:EP233" si="1678">IF(ISERROR((EO232/EG232-1)*100),"NA",IF(((EO232/EG232-1)*100)&gt;100,"NM",IF(((EO232/EG232-1)*100)&lt;-50,"NM",(EO232/EG232-1)*100)))</f>
        <v>6.4485265977803241</v>
      </c>
      <c r="EQ232" s="69">
        <f t="shared" ref="EQ232:EW232" si="1679">+EQ218+EQ199</f>
        <v>50715.462524763891</v>
      </c>
      <c r="ER232" s="130">
        <f t="shared" ref="ER232:ER233" si="1680">IF(ISERROR((EQ232/EI232-1)*100),"NA",IF(((EQ232/EI232-1)*100)&gt;100,"NM",IF(((EQ232/EI232-1)*100)&lt;-50,"NM",(EQ232/EI232-1)*100)))</f>
        <v>6.3250679261693588</v>
      </c>
      <c r="ES232" s="69">
        <f t="shared" si="1679"/>
        <v>51048.432507399062</v>
      </c>
      <c r="ET232" s="130">
        <f t="shared" ref="ET232:ET233" si="1681">IF(ISERROR((ES232/EK232-1)*100),"NA",IF(((ES232/EK232-1)*100)&gt;100,"NM",IF(((ES232/EK232-1)*100)&lt;-50,"NM",(ES232/EK232-1)*100)))</f>
        <v>5.4534482733384904</v>
      </c>
      <c r="EU232" s="69">
        <f t="shared" si="1679"/>
        <v>51524.103228126311</v>
      </c>
      <c r="EV232" s="130">
        <f t="shared" ref="EV232:EV233" si="1682">IF(ISERROR((EU232/EM232-1)*100),"NA",IF(((EU232/EM232-1)*100)&gt;100,"NM",IF(((EU232/EM232-1)*100)&lt;-50,"NM",(EU232/EM232-1)*100)))</f>
        <v>4.8922115350386042</v>
      </c>
      <c r="EW232" s="69">
        <f t="shared" si="1679"/>
        <v>52163.011745408185</v>
      </c>
      <c r="EX232" s="130">
        <f t="shared" ref="EX232:EX233" si="1683">IF(ISERROR((EW232/EO232-1)*100),"NA",IF(((EW232/EO232-1)*100)&gt;100,"NM",IF(((EW232/EO232-1)*100)&lt;-50,"NM",(EW232/EO232-1)*100)))</f>
        <v>4.1864136964631093</v>
      </c>
      <c r="EY232" s="64"/>
      <c r="EZ232" s="558"/>
      <c r="FA232" s="64"/>
      <c r="FB232" s="72"/>
      <c r="FC232" s="71"/>
      <c r="FD232" s="69"/>
      <c r="FE232" s="70"/>
      <c r="FF232" s="69"/>
      <c r="FG232" s="70"/>
      <c r="FH232" s="69"/>
      <c r="FI232" s="70"/>
      <c r="FJ232" s="69"/>
      <c r="FK232" s="70"/>
      <c r="FL232" s="69"/>
      <c r="FM232" s="61"/>
      <c r="FN232" s="69"/>
      <c r="FO232" s="61"/>
      <c r="FP232" s="73">
        <f>AVERAGE(FN230,FP230)</f>
        <v>14051</v>
      </c>
      <c r="FQ232" s="61" t="str">
        <f>IF(ISERROR((FP232/FN232-1)*100),"NA",IF(((FP232/FN232-1)*100)&gt;100,"NM",IF(((FP232/FN232-1)*100)&lt;-50,"NM",(FP232/FN232-1)*100)))</f>
        <v>NA</v>
      </c>
      <c r="FR232" s="73">
        <f>AVERAGE(FP230,FR230)</f>
        <v>20270.5</v>
      </c>
      <c r="FS232" s="61">
        <f>IF(ISERROR((FR232/FP232-1)*100),"NA",IF(((FR232/FP232-1)*100)&gt;100,"NM",IF(((FR232/FP232-1)*100)&lt;-50,"NM",(FR232/FP232-1)*100)))</f>
        <v>44.263753469503953</v>
      </c>
      <c r="FT232" s="73">
        <f>AVERAGE(FR230,FT230)</f>
        <v>29524</v>
      </c>
      <c r="FU232" s="61">
        <f>IF(ISERROR((FT232/FR232-1)*100),"NA",IF(((FT232/FR232-1)*100)&gt;100,"NM",IF(((FT232/FR232-1)*100)&lt;-50,"NM",(FT232/FR232-1)*100)))</f>
        <v>45.650082632396824</v>
      </c>
      <c r="FV232" s="73">
        <f>AVERAGE(FT230,FV230)</f>
        <v>32155.5</v>
      </c>
      <c r="FW232" s="61">
        <f>IF(ISERROR((FV232/FT232-1)*100),"NA",IF(((FV232/FT232-1)*100)&gt;100,"NM",IF(((FV232/FT232-1)*100)&lt;-50,"NM",(FV232/FT232-1)*100)))</f>
        <v>8.9130876574989859</v>
      </c>
      <c r="FX232" s="73">
        <f>AVERAGE(FV230,FX230)</f>
        <v>32616</v>
      </c>
      <c r="FY232" s="61">
        <f>IF(ISERROR((FX232/FV232-1)*100),"NA",IF(((FX232/FV232-1)*100)&gt;100,"NM",IF(((FX232/FV232-1)*100)&lt;-50,"NM",(FX232/FV232-1)*100)))</f>
        <v>1.43210337267341</v>
      </c>
      <c r="FZ232" s="73">
        <f>AVERAGE(FX230,FZ230)</f>
        <v>34403</v>
      </c>
      <c r="GA232" s="61">
        <f>IF(ISERROR((FZ232/FX232-1)*100),"NA",IF(((FZ232/FX232-1)*100)&gt;100,"NM",IF(((FZ232/FX232-1)*100)&lt;-50,"NM",(FZ232/FX232-1)*100)))</f>
        <v>5.478906058376265</v>
      </c>
      <c r="GB232" s="73">
        <f>AVERAGE(FZ230,GB230)</f>
        <v>36116.5</v>
      </c>
      <c r="GC232" s="61">
        <f>IF(ISERROR((GB232/FZ232-1)*100),"NA",IF(((GB232/FZ232-1)*100)&gt;100,"NM",IF(((GB232/FZ232-1)*100)&lt;-50,"NM",(GB232/FZ232-1)*100)))</f>
        <v>4.9806702903816502</v>
      </c>
      <c r="GD232" s="73">
        <f>AVERAGE(GB230,GD230)</f>
        <v>37930.5</v>
      </c>
      <c r="GE232" s="61">
        <f>IF(ISERROR((GD232/GB232-1)*100),"NA",IF(((GD232/GB232-1)*100)&gt;100,"NM",IF(((GD232/GB232-1)*100)&lt;-50,"NM",(GD232/GB232-1)*100)))</f>
        <v>5.0226350836875211</v>
      </c>
      <c r="GF232" s="73">
        <f>AVERAGE(GD230,GF230)</f>
        <v>40385</v>
      </c>
      <c r="GG232" s="61">
        <f>IF(ISERROR((GF232/GD232-1)*100),"NA",IF(((GF232/GD232-1)*100)&gt;100,"NM",IF(((GF232/GD232-1)*100)&lt;-50,"NM",(GF232/GD232-1)*100)))</f>
        <v>6.4710457283716272</v>
      </c>
      <c r="GH232" s="73">
        <f>AVERAGE(GF230,GH230)</f>
        <v>42845</v>
      </c>
      <c r="GI232" s="61">
        <f>IF(ISERROR((GH232/GF232-1)*100),"NA",IF(((GH232/GF232-1)*100)&gt;100,"NM",IF(((GH232/GF232-1)*100)&lt;-50,"NM",(GH232/GF232-1)*100)))</f>
        <v>6.0913705583756306</v>
      </c>
      <c r="GJ232" s="73">
        <f>AVERAGE(GH230,GJ230)</f>
        <v>44558</v>
      </c>
      <c r="GK232" s="61">
        <f>IF(ISERROR((GJ232/GH232-1)*100),"NA",IF(((GJ232/GH232-1)*100)&gt;100,"NM",IF(((GJ232/GH232-1)*100)&lt;-50,"NM",(GJ232/GH232-1)*100)))</f>
        <v>3.9981328042945519</v>
      </c>
      <c r="GL232" s="73">
        <f>AVERAGE(GJ230,GL230)</f>
        <v>46285.5</v>
      </c>
      <c r="GM232" s="61">
        <f>IF(ISERROR((GL232/GJ232-1)*100),"NA",IF(((GL232/GJ232-1)*100)&gt;100,"NM",IF(((GL232/GJ232-1)*100)&lt;-50,"NM",(GL232/GJ232-1)*100)))</f>
        <v>3.8769693433277963</v>
      </c>
      <c r="GN232" s="73">
        <f>AVERAGE(GL230,GN230)</f>
        <v>48986</v>
      </c>
      <c r="GO232" s="61">
        <f>IF(ISERROR((GN232/GL232-1)*100),"NA",IF(((GN232/GL232-1)*100)&gt;100,"NM",IF(((GN232/GL232-1)*100)&lt;-50,"NM",(GN232/GL232-1)*100)))</f>
        <v>5.8344405915459419</v>
      </c>
      <c r="GP232" s="73">
        <f>AVERAGE(GN230,GP230)</f>
        <v>51613.878499917046</v>
      </c>
      <c r="GQ232" s="61">
        <f>IF(ISERROR((GP232/GN232-1)*100),"NA",IF(((GP232/GN232-1)*100)&gt;100,"NM",IF(((GP232/GN232-1)*100)&lt;-50,"NM",(GP232/GN232-1)*100)))</f>
        <v>5.3645500753624509</v>
      </c>
      <c r="GR232" s="69">
        <f>AVERAGE(GP230,GR230)</f>
        <v>53390.943999185511</v>
      </c>
      <c r="GS232" s="61">
        <f>IF(ISERROR((GR232/GP232-1)*100),"NA",IF(((GR232/GP232-1)*100)&gt;100,"NM",IF(((GR232/GP232-1)*100)&lt;-50,"NM",(GR232/GP232-1)*100)))</f>
        <v>3.4429993461377206</v>
      </c>
      <c r="GT232" s="69">
        <f>AVERAGE(GR230,GT230)</f>
        <v>55059.649016667157</v>
      </c>
      <c r="GU232" s="61">
        <f>IF(ISERROR((GT232/GR232-1)*100),"NA",IF(((GT232/GR232-1)*100)&gt;100,"NM",IF(((GT232/GR232-1)*100)&lt;-50,"NM",(GT232/GR232-1)*100)))</f>
        <v>3.125445801271276</v>
      </c>
      <c r="GV232" s="69">
        <f>AVERAGE(GT230,GV230)</f>
        <v>56847.498512820399</v>
      </c>
      <c r="GW232" s="61">
        <f>IF(ISERROR((GV232/GT232-1)*100),"NA",IF(((GV232/GT232-1)*100)&gt;100,"NM",IF(((GV232/GT232-1)*100)&lt;-50,"NM",(GV232/GT232-1)*100)))</f>
        <v>3.2471138630252527</v>
      </c>
      <c r="GX232" s="69">
        <f>AVERAGE(GV230,GX230)</f>
        <v>58759.644545848161</v>
      </c>
      <c r="GY232" s="61">
        <f>IF(ISERROR((GX232/GV232-1)*100),"NA",IF(((GX232/GV232-1)*100)&gt;100,"NM",IF(((GX232/GV232-1)*100)&lt;-50,"NM",(GX232/GV232-1)*100)))</f>
        <v>3.363641467172962</v>
      </c>
      <c r="GZ232" s="61">
        <f t="shared" si="1616"/>
        <v>3.7054156207933397</v>
      </c>
      <c r="HA232" s="61"/>
      <c r="HB232" s="452"/>
      <c r="HC232"/>
      <c r="HD232"/>
      <c r="HE232"/>
      <c r="HF232"/>
      <c r="HG232"/>
      <c r="HH232"/>
    </row>
    <row r="233" spans="2:216" s="5" customFormat="1" ht="12.75" customHeight="1" x14ac:dyDescent="0.2">
      <c r="B233" s="2" t="s">
        <v>418</v>
      </c>
      <c r="C233" s="69"/>
      <c r="D233" s="70"/>
      <c r="E233" s="69"/>
      <c r="F233" s="71"/>
      <c r="G233" s="69"/>
      <c r="H233" s="71"/>
      <c r="I233" s="69"/>
      <c r="J233" s="61"/>
      <c r="K233" s="69"/>
      <c r="L233" s="61"/>
      <c r="M233" s="69"/>
      <c r="N233" s="61"/>
      <c r="O233" s="69"/>
      <c r="P233" s="61"/>
      <c r="Q233" s="69"/>
      <c r="R233" s="61"/>
      <c r="S233" s="69"/>
      <c r="T233" s="61"/>
      <c r="U233" s="69"/>
      <c r="V233" s="61"/>
      <c r="W233" s="69"/>
      <c r="X233" s="61"/>
      <c r="Y233" s="69"/>
      <c r="Z233" s="61"/>
      <c r="AA233" s="69"/>
      <c r="AB233" s="61"/>
      <c r="AC233" s="69"/>
      <c r="AD233" s="61"/>
      <c r="AE233" s="69"/>
      <c r="AF233" s="61"/>
      <c r="AG233" s="69"/>
      <c r="AH233" s="61"/>
      <c r="AI233" s="69"/>
      <c r="AJ233" s="61"/>
      <c r="AK233" s="69"/>
      <c r="AL233" s="61"/>
      <c r="AM233" s="69"/>
      <c r="AN233" s="61"/>
      <c r="AO233" s="69"/>
      <c r="AP233" s="61"/>
      <c r="AQ233" s="69"/>
      <c r="AR233" s="61"/>
      <c r="AS233" s="69"/>
      <c r="AT233" s="61"/>
      <c r="AU233" s="69"/>
      <c r="AV233" s="61"/>
      <c r="AW233" s="69"/>
      <c r="AX233" s="61"/>
      <c r="AY233" s="69"/>
      <c r="AZ233" s="61"/>
      <c r="BA233" s="69"/>
      <c r="BB233" s="61"/>
      <c r="BC233" s="69"/>
      <c r="BD233" s="61"/>
      <c r="BE233" s="69"/>
      <c r="BF233" s="61"/>
      <c r="BG233" s="69">
        <f>+BG219+BG200</f>
        <v>31060</v>
      </c>
      <c r="BH233" s="61" t="str">
        <f>IF(ISERROR((BG233/AY233-1)*100),"NA",IF(((BG233/AY233-1)*100)&gt;100,"NM",IF(((BG233/AY233-1)*100)&lt;-50,"NM",(BG233/AY233-1)*100)))</f>
        <v>NA</v>
      </c>
      <c r="BI233" s="69">
        <f>+BI219+BI200</f>
        <v>31547.5</v>
      </c>
      <c r="BJ233" s="61" t="str">
        <f>IF(ISERROR((BI233/BA233-1)*100),"NA",IF(((BI233/BA233-1)*100)&gt;100,"NM",IF(((BI233/BA233-1)*100)&lt;-50,"NM",(BI233/BA233-1)*100)))</f>
        <v>NA</v>
      </c>
      <c r="BK233" s="69">
        <f>+BK219+BK200</f>
        <v>32042</v>
      </c>
      <c r="BL233" s="61" t="str">
        <f>IF(ISERROR((BK233/BC233-1)*100),"NA",IF(((BK233/BC233-1)*100)&gt;100,"NM",IF(((BK233/BC233-1)*100)&lt;-50,"NM",(BK233/BC233-1)*100)))</f>
        <v>NA</v>
      </c>
      <c r="BM233" s="69">
        <f>+BM219+BM200</f>
        <v>32412</v>
      </c>
      <c r="BN233" s="61" t="str">
        <f>IF(ISERROR((BM233/BE233-1)*100),"NA",IF(((BM233/BE233-1)*100)&gt;100,"NM",IF(((BM233/BE233-1)*100)&lt;-50,"NM",(BM233/BE233-1)*100)))</f>
        <v>NA</v>
      </c>
      <c r="BO233" s="69">
        <f>+BO219+BO200</f>
        <v>32449.5</v>
      </c>
      <c r="BP233" s="61">
        <f>IF(ISERROR((BO233/BG233-1)*100),"NA",IF(((BO233/BG233-1)*100)&gt;100,"NM",IF(((BO233/BG233-1)*100)&lt;-50,"NM",(BO233/BG233-1)*100)))</f>
        <v>4.4735994848680072</v>
      </c>
      <c r="BQ233" s="69">
        <f>+BQ219+BQ200</f>
        <v>32472</v>
      </c>
      <c r="BR233" s="61">
        <f>IF(ISERROR((BQ233/BI233-1)*100),"NA",IF(((BQ233/BI233-1)*100)&gt;100,"NM",IF(((BQ233/BI233-1)*100)&lt;-50,"NM",(BQ233/BI233-1)*100)))</f>
        <v>2.9305016245344317</v>
      </c>
      <c r="BS233" s="69">
        <f>+BS219+BS200</f>
        <v>32443</v>
      </c>
      <c r="BT233" s="61">
        <f>IF(ISERROR((BS233/BK233-1)*100),"NA",IF(((BS233/BK233-1)*100)&gt;100,"NM",IF(((BS233/BK233-1)*100)&lt;-50,"NM",(BS233/BK233-1)*100)))</f>
        <v>1.2514824293115234</v>
      </c>
      <c r="BU233" s="69">
        <f>+BU219+BU200</f>
        <v>32018</v>
      </c>
      <c r="BV233" s="61">
        <f>IF(ISERROR((BU233/BM233-1)*100),"NA",IF(((BU233/BM233-1)*100)&gt;100,"NM",IF(((BU233/BM233-1)*100)&lt;-50,"NM",(BU233/BM233-1)*100)))</f>
        <v>-1.2155991608046368</v>
      </c>
      <c r="BW233" s="69">
        <f>+BW219+BW200</f>
        <v>30892</v>
      </c>
      <c r="BX233" s="61">
        <f>IF(ISERROR((BW233/BO233-1)*100),"NA",IF(((BW233/BO233-1)*100)&gt;100,"NM",IF(((BW233/BO233-1)*100)&lt;-50,"NM",(BW233/BO233-1)*100)))</f>
        <v>-4.7997657899197188</v>
      </c>
      <c r="BY233" s="69">
        <f>+BY219+BY200</f>
        <v>31115.5</v>
      </c>
      <c r="BZ233" s="61">
        <f>IF(ISERROR((BY233/BQ233-1)*100),"NA",IF(((BY233/BQ233-1)*100)&gt;100,"NM",IF(((BY233/BQ233-1)*100)&lt;-50,"NM",(BY233/BQ233-1)*100)))</f>
        <v>-4.1774451835427495</v>
      </c>
      <c r="CA233" s="69">
        <f>+CA219+CA200</f>
        <v>31771</v>
      </c>
      <c r="CB233" s="61">
        <f>IF(ISERROR((CA233/BS233-1)*100),"NA",IF(((CA233/BS233-1)*100)&gt;100,"NM",IF(((CA233/BS233-1)*100)&lt;-50,"NM",(CA233/BS233-1)*100)))</f>
        <v>-2.0713250932404503</v>
      </c>
      <c r="CC233" s="69">
        <f>+CC219+CC200</f>
        <v>32371.5</v>
      </c>
      <c r="CD233" s="61">
        <f>IF(ISERROR((CC233/BU233-1)*100),"NA",IF(((CC233/BU233-1)*100)&gt;100,"NM",IF(((CC233/BU233-1)*100)&lt;-50,"NM",(CC233/BU233-1)*100)))</f>
        <v>1.1040664626147834</v>
      </c>
      <c r="CE233" s="69">
        <f>+CE219+CE200</f>
        <v>32776.5</v>
      </c>
      <c r="CF233" s="61">
        <f>IF(ISERROR((CE233/BW233-1)*100),"NA",IF(((CE233/BW233-1)*100)&gt;100,"NM",IF(((CE233/BW233-1)*100)&lt;-50,"NM",(CE233/BW233-1)*100)))</f>
        <v>6.1002848633950446</v>
      </c>
      <c r="CG233" s="69">
        <f>+CG219+CG200</f>
        <v>32893.5</v>
      </c>
      <c r="CH233" s="61">
        <f>IF(ISERROR((CG233/BY233-1)*100),"NA",IF(((CG233/BY233-1)*100)&gt;100,"NM",IF(((CG233/BY233-1)*100)&lt;-50,"NM",(CG233/BY233-1)*100)))</f>
        <v>5.7141938905047374</v>
      </c>
      <c r="CI233" s="69">
        <f>+CI219+CI200</f>
        <v>33132.5</v>
      </c>
      <c r="CJ233" s="61">
        <f>IF(ISERROR((CI233/CA233-1)*100),"NA",IF(((CI233/CA233-1)*100)&gt;100,"NM",IF(((CI233/CA233-1)*100)&lt;-50,"NM",(CI233/CA233-1)*100)))</f>
        <v>4.2853545686317718</v>
      </c>
      <c r="CK233" s="69">
        <f>+CK219+CK200</f>
        <v>33970.5</v>
      </c>
      <c r="CL233" s="61">
        <f>IF(ISERROR((CK233/CC233-1)*100),"NA",IF(((CK233/CC233-1)*100)&gt;100,"NM",IF(((CK233/CC233-1)*100)&lt;-50,"NM",(CK233/CC233-1)*100)))</f>
        <v>4.9395301422547666</v>
      </c>
      <c r="CM233" s="69">
        <f>+CM219+CM200</f>
        <v>34738</v>
      </c>
      <c r="CN233" s="61">
        <f>IF(ISERROR((CM233/CE233-1)*100),"NA",IF(((CM233/CE233-1)*100)&gt;100,"NM",IF(((CM233/CE233-1)*100)&lt;-50,"NM",(CM233/CE233-1)*100)))</f>
        <v>5.9844705810565557</v>
      </c>
      <c r="CO233" s="69">
        <f>+CO219+CO200</f>
        <v>35238.5</v>
      </c>
      <c r="CP233" s="61">
        <f>IF(ISERROR((CO233/CG233-1)*100),"NA",IF(((CO233/CG233-1)*100)&gt;100,"NM",IF(((CO233/CG233-1)*100)&lt;-50,"NM",(CO233/CG233-1)*100)))</f>
        <v>7.1290680529587869</v>
      </c>
      <c r="CQ233" s="69">
        <f>+CQ219+CQ200</f>
        <v>35362</v>
      </c>
      <c r="CR233" s="61">
        <f>IF(ISERROR((CQ233/CI233-1)*100),"NA",IF(((CQ233/CI233-1)*100)&gt;100,"NM",IF(((CQ233/CI233-1)*100)&lt;-50,"NM",(CQ233/CI233-1)*100)))</f>
        <v>6.7290424809477001</v>
      </c>
      <c r="CS233" s="69">
        <f>+CS219+CS200</f>
        <v>35645.5</v>
      </c>
      <c r="CT233" s="61">
        <f>IF(ISERROR((CS233/CK233-1)*100),"NA",IF(((CS233/CK233-1)*100)&gt;100,"NM",IF(((CS233/CK233-1)*100)&lt;-50,"NM",(CS233/CK233-1)*100)))</f>
        <v>4.9307487378755122</v>
      </c>
      <c r="CU233" s="69">
        <f>+CU219+CU200</f>
        <v>36457</v>
      </c>
      <c r="CV233" s="61">
        <f>IF(ISERROR((CU233/CM233-1)*100),"NA",IF(((CU233/CM233-1)*100)&gt;100,"NM",IF(((CU233/CM233-1)*100)&lt;-50,"NM",(CU233/CM233-1)*100)))</f>
        <v>4.9484714145892061</v>
      </c>
      <c r="CW233" s="69">
        <f>+CW219+CW200</f>
        <v>36908.5</v>
      </c>
      <c r="CX233" s="61">
        <f>IF(ISERROR((CW233/CO233-1)*100),"NA",IF(((CW233/CO233-1)*100)&gt;100,"NM",IF(((CW233/CO233-1)*100)&lt;-50,"NM",(CW233/CO233-1)*100)))</f>
        <v>4.7391347531818839</v>
      </c>
      <c r="CY233" s="69">
        <f>+CY219+CY200</f>
        <v>37172</v>
      </c>
      <c r="CZ233" s="61">
        <f>IF(ISERROR((CY233/CQ233-1)*100),"NA",IF(((CY233/CQ233-1)*100)&gt;100,"NM",IF(((CY233/CQ233-1)*100)&lt;-50,"NM",(CY233/CQ233-1)*100)))</f>
        <v>5.118488773259422</v>
      </c>
      <c r="DA233" s="69">
        <f>+DA219+DA200</f>
        <v>37786.5</v>
      </c>
      <c r="DB233" s="61">
        <f>IF(ISERROR((DA233/CS233-1)*100),"NA",IF(((DA233/CS233-1)*100)&gt;100,"NM",IF(((DA233/CS233-1)*100)&lt;-50,"NM",(DA233/CS233-1)*100)))</f>
        <v>6.0063682652789163</v>
      </c>
      <c r="DC233" s="69">
        <f>+DC219+DC200</f>
        <v>38486.5</v>
      </c>
      <c r="DD233" s="61">
        <f>IF(ISERROR((DC233/CU233-1)*100),"NA",IF(((DC233/CU233-1)*100)&gt;100,"NM",IF(((DC233/CU233-1)*100)&lt;-50,"NM",(DC233/CU233-1)*100)))</f>
        <v>5.5668321584332325</v>
      </c>
      <c r="DE233" s="69">
        <f>+DE219+DE200</f>
        <v>39061</v>
      </c>
      <c r="DF233" s="61">
        <f>IF(ISERROR((DE233/CW233-1)*100),"NA",IF(((DE233/CW233-1)*100)&gt;100,"NM",IF(((DE233/CW233-1)*100)&lt;-50,"NM",(DE233/CW233-1)*100)))</f>
        <v>5.831989921020897</v>
      </c>
      <c r="DG233" s="69">
        <f>+DG219+DG200</f>
        <v>39618.5</v>
      </c>
      <c r="DH233" s="61">
        <f>IF(ISERROR((DG233/CY233-1)*100),"NA",IF(((DG233/CY233-1)*100)&gt;100,"NM",IF(((DG233/CY233-1)*100)&lt;-50,"NM",(DG233/CY233-1)*100)))</f>
        <v>6.5815667706876191</v>
      </c>
      <c r="DI233" s="69">
        <f>+DI219+DI200</f>
        <v>40466</v>
      </c>
      <c r="DJ233" s="61">
        <f>IF(ISERROR((DI233/DA233-1)*100),"NA",IF(((DI233/DA233-1)*100)&gt;100,"NM",IF(((DI233/DA233-1)*100)&lt;-50,"NM",(DI233/DA233-1)*100)))</f>
        <v>7.0911568946581349</v>
      </c>
      <c r="DK233" s="69">
        <f>+DK219+DK200</f>
        <v>41183.5</v>
      </c>
      <c r="DL233" s="61">
        <f>IF(ISERROR((DK233/DC233-1)*100),"NA",IF(((DK233/DC233-1)*100)&gt;100,"NM",IF(((DK233/DC233-1)*100)&lt;-50,"NM",(DK233/DC233-1)*100)))</f>
        <v>7.0076520338300474</v>
      </c>
      <c r="DM233" s="69">
        <f>+DM219+DM200</f>
        <v>41739</v>
      </c>
      <c r="DN233" s="130">
        <f t="shared" si="1668"/>
        <v>6.8559432682214982</v>
      </c>
      <c r="DO233" s="69">
        <f>+DO219+DO200</f>
        <v>42220</v>
      </c>
      <c r="DP233" s="130">
        <f t="shared" si="1668"/>
        <v>6.5663768189103466</v>
      </c>
      <c r="DQ233" s="69">
        <f>+DQ219+DQ200</f>
        <v>42691</v>
      </c>
      <c r="DR233" s="130">
        <f t="shared" si="1668"/>
        <v>5.4984431374487164</v>
      </c>
      <c r="DS233" s="69">
        <f>+DS219+DS200</f>
        <v>43299.5</v>
      </c>
      <c r="DT233" s="130">
        <f t="shared" si="1668"/>
        <v>5.1379800162686617</v>
      </c>
      <c r="DU233" s="69">
        <f>+DU219+DU200</f>
        <v>43723.5</v>
      </c>
      <c r="DV233" s="130">
        <f t="shared" si="1668"/>
        <v>4.7545461079565809</v>
      </c>
      <c r="DW233" s="69">
        <f>+DW219+DW200</f>
        <v>43782</v>
      </c>
      <c r="DX233" s="69">
        <f t="shared" ref="DX233:DY233" si="1684">+DX219+DX200</f>
        <v>-901.09783124577802</v>
      </c>
      <c r="DY233" s="69">
        <f t="shared" si="1684"/>
        <v>44047.5</v>
      </c>
      <c r="DZ233" s="130">
        <f t="shared" si="1668"/>
        <v>3.1774847157480579</v>
      </c>
      <c r="EA233" s="69">
        <f t="shared" ref="EA233:EC233" si="1685">+EA219+EA200</f>
        <v>44581</v>
      </c>
      <c r="EB233" s="130">
        <f t="shared" si="1670"/>
        <v>2.9596184713449381</v>
      </c>
      <c r="EC233" s="69">
        <f t="shared" si="1685"/>
        <v>44936</v>
      </c>
      <c r="ED233" s="130">
        <f t="shared" si="1671"/>
        <v>2.7731082827312514</v>
      </c>
      <c r="EE233" s="69">
        <f t="shared" ref="EE233:EG233" si="1686">+EE219+EE200</f>
        <v>45564.5</v>
      </c>
      <c r="EF233" s="130">
        <f t="shared" si="1672"/>
        <v>4.0713078434059691</v>
      </c>
      <c r="EG233" s="69">
        <f t="shared" si="1686"/>
        <v>46263.5</v>
      </c>
      <c r="EH233" s="130">
        <f t="shared" si="1673"/>
        <v>5.030932516033837</v>
      </c>
      <c r="EI233" s="69">
        <f t="shared" ref="EI233:EK233" si="1687">+EI219+EI200</f>
        <v>46917.5</v>
      </c>
      <c r="EJ233" s="130">
        <f t="shared" si="1674"/>
        <v>5.2410219600278252</v>
      </c>
      <c r="EK233" s="69">
        <f t="shared" si="1687"/>
        <v>47623.5</v>
      </c>
      <c r="EL233" s="130">
        <f t="shared" si="1675"/>
        <v>5.9807281466975226</v>
      </c>
      <c r="EM233" s="69">
        <f t="shared" ref="EM233" si="1688">+EM219+EM200</f>
        <v>48332.5</v>
      </c>
      <c r="EN233" s="130">
        <f t="shared" si="1676"/>
        <v>6.0749048052760379</v>
      </c>
      <c r="EO233" s="69">
        <f t="shared" ref="EO233" si="1689">+EO219+EO200</f>
        <v>49270</v>
      </c>
      <c r="EP233" s="130">
        <f t="shared" si="1678"/>
        <v>6.4986436391539781</v>
      </c>
      <c r="EQ233" s="69">
        <f t="shared" ref="EQ233:EW233" si="1690">+EQ219+EQ200</f>
        <v>49936.531144555556</v>
      </c>
      <c r="ER233" s="130">
        <f t="shared" si="1680"/>
        <v>6.4347655875857779</v>
      </c>
      <c r="ES233" s="69">
        <f t="shared" si="1690"/>
        <v>50245.581270419898</v>
      </c>
      <c r="ET233" s="130">
        <f t="shared" si="1681"/>
        <v>5.5058558703579008</v>
      </c>
      <c r="EU233" s="69">
        <f t="shared" si="1690"/>
        <v>50735.997108334646</v>
      </c>
      <c r="EV233" s="130">
        <f t="shared" si="1682"/>
        <v>4.972838376526445</v>
      </c>
      <c r="EW233" s="69">
        <f t="shared" si="1690"/>
        <v>51348.036745408179</v>
      </c>
      <c r="EX233" s="130">
        <f t="shared" si="1683"/>
        <v>4.2176511983117004</v>
      </c>
      <c r="EY233" s="64"/>
      <c r="EZ233" s="558"/>
      <c r="FA233" s="64"/>
      <c r="FB233" s="72"/>
      <c r="FC233" s="71"/>
      <c r="FD233" s="69"/>
      <c r="FE233" s="70"/>
      <c r="FF233" s="69"/>
      <c r="FG233" s="70"/>
      <c r="FH233" s="69"/>
      <c r="FI233" s="70"/>
      <c r="FJ233" s="69"/>
      <c r="FK233" s="70"/>
      <c r="FL233" s="69"/>
      <c r="FM233" s="61"/>
      <c r="FN233" s="69"/>
      <c r="FO233" s="61"/>
      <c r="FP233" s="73"/>
      <c r="FQ233" s="61"/>
      <c r="FR233" s="73"/>
      <c r="FS233" s="61"/>
      <c r="FT233" s="73"/>
      <c r="FU233" s="61"/>
      <c r="FV233" s="69">
        <f>+FV219+FV200</f>
        <v>5145.5</v>
      </c>
      <c r="FW233" s="61" t="str">
        <f>IF(ISERROR((FV233/FN233-1)*100),"NA",IF(((FV233/FN233-1)*100)&gt;100,"NM",IF(((FV233/FN233-1)*100)&lt;-50,"NM",(FV233/FN233-1)*100)))</f>
        <v>NA</v>
      </c>
      <c r="FX233" s="69">
        <f>+FX219+FX200</f>
        <v>4769</v>
      </c>
      <c r="FY233" s="61" t="str">
        <f>IF(ISERROR((FX233/FP233-1)*100),"NA",IF(((FX233/FP233-1)*100)&gt;100,"NM",IF(((FX233/FP233-1)*100)&lt;-50,"NM",(FX233/FP233-1)*100)))</f>
        <v>NA</v>
      </c>
      <c r="FZ233" s="69">
        <f>+FZ219+FZ200</f>
        <v>5624.5</v>
      </c>
      <c r="GA233" s="61" t="str">
        <f>IF(ISERROR((FZ233/FR233-1)*100),"NA",IF(((FZ233/FR233-1)*100)&gt;100,"NM",IF(((FZ233/FR233-1)*100)&lt;-50,"NM",(FZ233/FR233-1)*100)))</f>
        <v>NA</v>
      </c>
      <c r="GB233" s="69">
        <f>+GB219+GB200</f>
        <v>5824.5</v>
      </c>
      <c r="GC233" s="61" t="str">
        <f>IF(ISERROR((GB233/FT233-1)*100),"NA",IF(((GB233/FT233-1)*100)&gt;100,"NM",IF(((GB233/FT233-1)*100)&lt;-50,"NM",(GB233/FT233-1)*100)))</f>
        <v>NA</v>
      </c>
      <c r="GD233" s="73"/>
      <c r="GE233" s="61"/>
      <c r="GF233" s="73"/>
      <c r="GG233" s="61"/>
      <c r="GH233" s="73"/>
      <c r="GI233" s="61"/>
      <c r="GJ233" s="73"/>
      <c r="GK233" s="61"/>
      <c r="GL233" s="73"/>
      <c r="GM233" s="61"/>
      <c r="GN233" s="73"/>
      <c r="GO233" s="61"/>
      <c r="GP233" s="73"/>
      <c r="GQ233" s="61"/>
      <c r="GR233" s="69"/>
      <c r="GS233" s="61"/>
      <c r="GT233" s="69"/>
      <c r="GU233" s="61"/>
      <c r="GV233" s="69"/>
      <c r="GW233" s="61"/>
      <c r="GX233" s="69"/>
      <c r="GY233" s="61"/>
      <c r="GZ233" s="61"/>
      <c r="HA233" s="61"/>
      <c r="HB233" s="452"/>
      <c r="HC233"/>
      <c r="HD233"/>
      <c r="HE233"/>
      <c r="HF233"/>
      <c r="HG233"/>
      <c r="HH233"/>
    </row>
    <row r="234" spans="2:216" s="5" customFormat="1" ht="12.75" customHeight="1" x14ac:dyDescent="0.2">
      <c r="B234" s="2"/>
      <c r="C234" s="66"/>
      <c r="D234" s="67"/>
      <c r="E234" s="66"/>
      <c r="F234" s="66"/>
      <c r="G234" s="64"/>
      <c r="H234" s="66"/>
      <c r="I234" s="64"/>
      <c r="J234" s="66"/>
      <c r="K234" s="64"/>
      <c r="L234" s="61"/>
      <c r="M234" s="66"/>
      <c r="N234" s="61"/>
      <c r="O234" s="64"/>
      <c r="P234" s="61"/>
      <c r="Q234" s="64"/>
      <c r="R234" s="61"/>
      <c r="S234" s="64"/>
      <c r="T234" s="61"/>
      <c r="U234" s="64"/>
      <c r="V234" s="61"/>
      <c r="W234" s="64"/>
      <c r="X234" s="61"/>
      <c r="Y234" s="64"/>
      <c r="Z234" s="61"/>
      <c r="AA234" s="64"/>
      <c r="AB234" s="61"/>
      <c r="AC234" s="64"/>
      <c r="AD234" s="61"/>
      <c r="AE234" s="64"/>
      <c r="AF234" s="61"/>
      <c r="AG234" s="64"/>
      <c r="AH234" s="61"/>
      <c r="AI234" s="64"/>
      <c r="AJ234" s="61"/>
      <c r="AK234" s="64"/>
      <c r="AL234" s="61"/>
      <c r="AM234" s="64"/>
      <c r="AN234" s="61"/>
      <c r="AO234" s="64"/>
      <c r="AP234" s="61"/>
      <c r="AQ234" s="64"/>
      <c r="AR234" s="61"/>
      <c r="AS234" s="64"/>
      <c r="AT234" s="61"/>
      <c r="AU234" s="64"/>
      <c r="AV234" s="61"/>
      <c r="AW234" s="64"/>
      <c r="AX234" s="61"/>
      <c r="AY234" s="64"/>
      <c r="AZ234" s="61"/>
      <c r="BA234" s="64"/>
      <c r="BB234" s="61"/>
      <c r="BC234" s="64"/>
      <c r="BD234" s="61"/>
      <c r="BE234" s="64"/>
      <c r="BF234" s="61"/>
      <c r="BG234" s="64"/>
      <c r="BH234" s="61"/>
      <c r="BI234" s="64"/>
      <c r="BJ234" s="61"/>
      <c r="BK234" s="64"/>
      <c r="BL234" s="61"/>
      <c r="BM234" s="64"/>
      <c r="BN234" s="61"/>
      <c r="BO234" s="64"/>
      <c r="BP234" s="61"/>
      <c r="BQ234" s="64"/>
      <c r="BR234" s="61"/>
      <c r="BS234" s="64"/>
      <c r="BT234" s="61"/>
      <c r="BU234" s="64"/>
      <c r="BV234" s="61"/>
      <c r="BW234" s="64"/>
      <c r="BX234" s="61"/>
      <c r="BY234" s="64"/>
      <c r="BZ234" s="61"/>
      <c r="CA234" s="64"/>
      <c r="CB234" s="61"/>
      <c r="CC234" s="64"/>
      <c r="CD234" s="61"/>
      <c r="CE234" s="64"/>
      <c r="CF234" s="61"/>
      <c r="CG234" s="64"/>
      <c r="CH234" s="61"/>
      <c r="CI234" s="64"/>
      <c r="CJ234" s="61"/>
      <c r="CK234" s="64"/>
      <c r="CL234" s="61"/>
      <c r="CM234" s="64"/>
      <c r="CN234" s="61"/>
      <c r="CO234" s="64"/>
      <c r="CP234" s="61"/>
      <c r="CQ234" s="64"/>
      <c r="CR234" s="61"/>
      <c r="CS234" s="64"/>
      <c r="CT234" s="61"/>
      <c r="CU234" s="64"/>
      <c r="CV234" s="61"/>
      <c r="CW234" s="64"/>
      <c r="CX234" s="61"/>
      <c r="CY234" s="64"/>
      <c r="CZ234" s="61"/>
      <c r="DA234" s="64"/>
      <c r="DB234" s="61"/>
      <c r="DC234" s="64"/>
      <c r="DD234" s="61"/>
      <c r="DE234" s="64"/>
      <c r="DF234" s="61"/>
      <c r="DG234" s="64"/>
      <c r="DH234" s="61"/>
      <c r="DI234" s="64"/>
      <c r="DJ234" s="61"/>
      <c r="DK234" s="64"/>
      <c r="DL234" s="61"/>
      <c r="DM234" s="64"/>
      <c r="DN234" s="61"/>
      <c r="DO234" s="64"/>
      <c r="DP234" s="61"/>
      <c r="DQ234" s="64"/>
      <c r="DR234" s="61"/>
      <c r="DS234" s="64"/>
      <c r="DT234" s="61"/>
      <c r="DU234" s="64"/>
      <c r="DV234" s="61"/>
      <c r="DW234" s="64"/>
      <c r="DX234" s="64"/>
      <c r="DY234" s="64"/>
      <c r="DZ234" s="61"/>
      <c r="EA234" s="64"/>
      <c r="EB234" s="61"/>
      <c r="EC234" s="64"/>
      <c r="ED234" s="61"/>
      <c r="EE234" s="64"/>
      <c r="EF234" s="61"/>
      <c r="EG234" s="64"/>
      <c r="EH234" s="61"/>
      <c r="EI234" s="64"/>
      <c r="EJ234" s="61"/>
      <c r="EK234" s="64"/>
      <c r="EL234" s="61"/>
      <c r="EM234" s="64"/>
      <c r="EN234" s="61"/>
      <c r="EO234" s="64"/>
      <c r="EP234" s="61"/>
      <c r="EQ234" s="64"/>
      <c r="ER234" s="61"/>
      <c r="ES234" s="64"/>
      <c r="ET234" s="61"/>
      <c r="EU234" s="64"/>
      <c r="EV234" s="61"/>
      <c r="EW234" s="64"/>
      <c r="EX234" s="61"/>
      <c r="EY234" s="64"/>
      <c r="EZ234" s="558"/>
      <c r="FA234" s="64"/>
      <c r="FB234" s="66"/>
      <c r="FC234" s="66"/>
      <c r="FD234" s="66"/>
      <c r="FE234" s="67"/>
      <c r="FF234" s="66"/>
      <c r="FG234" s="67"/>
      <c r="FH234" s="66"/>
      <c r="FI234" s="67"/>
      <c r="FJ234" s="66"/>
      <c r="FK234" s="67"/>
      <c r="FL234" s="66"/>
      <c r="FM234" s="61"/>
      <c r="FN234" s="66"/>
      <c r="FO234" s="61"/>
      <c r="FP234" s="65"/>
      <c r="FQ234" s="61"/>
      <c r="FR234" s="65"/>
      <c r="FS234" s="61"/>
      <c r="FT234" s="65"/>
      <c r="FU234" s="61"/>
      <c r="FV234" s="65"/>
      <c r="FW234" s="61"/>
      <c r="FX234" s="65"/>
      <c r="FY234" s="61"/>
      <c r="FZ234" s="65"/>
      <c r="GA234" s="61"/>
      <c r="GB234" s="65"/>
      <c r="GC234" s="61"/>
      <c r="GD234" s="65"/>
      <c r="GE234" s="61"/>
      <c r="GF234" s="65"/>
      <c r="GG234" s="61"/>
      <c r="GH234" s="65"/>
      <c r="GI234" s="61"/>
      <c r="GJ234" s="65"/>
      <c r="GK234" s="61"/>
      <c r="GL234" s="65"/>
      <c r="GM234" s="61"/>
      <c r="GN234" s="65"/>
      <c r="GO234" s="61"/>
      <c r="GP234" s="65"/>
      <c r="GQ234" s="61"/>
      <c r="GR234" s="64"/>
      <c r="GS234" s="61"/>
      <c r="GT234" s="64"/>
      <c r="GU234" s="61"/>
      <c r="GV234" s="64"/>
      <c r="GW234" s="61"/>
      <c r="GX234" s="64"/>
      <c r="GY234" s="61"/>
      <c r="GZ234" s="61" t="str">
        <f t="shared" ref="GZ234:GZ250" si="1691">IF(ISERROR((GX234/GN234)^0.2),"",IF(OR((GX234/GN234)^0.2&lt;0.5,(GX234/GN234)^0.2&gt;2),"NM",((GX234/GN234)^0.2-1)*100))</f>
        <v/>
      </c>
      <c r="HA234" s="61"/>
      <c r="HB234" s="452"/>
      <c r="HC234"/>
      <c r="HD234"/>
      <c r="HE234"/>
      <c r="HF234"/>
      <c r="HG234"/>
      <c r="HH234"/>
    </row>
    <row r="235" spans="2:216" s="5" customFormat="1" ht="12.75" customHeight="1" x14ac:dyDescent="0.2">
      <c r="B235" s="63" t="s">
        <v>188</v>
      </c>
      <c r="C235" s="66"/>
      <c r="D235" s="67"/>
      <c r="E235" s="66"/>
      <c r="F235" s="66"/>
      <c r="G235" s="64"/>
      <c r="H235" s="66"/>
      <c r="I235" s="64"/>
      <c r="J235" s="66"/>
      <c r="K235" s="64"/>
      <c r="L235" s="61"/>
      <c r="M235" s="66"/>
      <c r="N235" s="61"/>
      <c r="O235" s="64"/>
      <c r="P235" s="61"/>
      <c r="Q235" s="64"/>
      <c r="R235" s="61"/>
      <c r="S235" s="64"/>
      <c r="T235" s="61"/>
      <c r="U235" s="64"/>
      <c r="V235" s="61"/>
      <c r="W235" s="64"/>
      <c r="X235" s="61"/>
      <c r="Y235" s="64"/>
      <c r="Z235" s="61"/>
      <c r="AA235" s="64"/>
      <c r="AB235" s="61"/>
      <c r="AC235" s="64"/>
      <c r="AD235" s="61"/>
      <c r="AE235" s="64"/>
      <c r="AF235" s="61"/>
      <c r="AG235" s="64"/>
      <c r="AH235" s="61"/>
      <c r="AI235" s="64"/>
      <c r="AJ235" s="61"/>
      <c r="AK235" s="64"/>
      <c r="AL235" s="61"/>
      <c r="AM235" s="64"/>
      <c r="AN235" s="61"/>
      <c r="AO235" s="64"/>
      <c r="AP235" s="61"/>
      <c r="AQ235" s="64"/>
      <c r="AR235" s="61"/>
      <c r="AS235" s="64"/>
      <c r="AT235" s="61"/>
      <c r="AU235" s="64"/>
      <c r="AV235" s="61"/>
      <c r="AW235" s="64"/>
      <c r="AX235" s="61"/>
      <c r="AY235" s="64"/>
      <c r="AZ235" s="61"/>
      <c r="BA235" s="64"/>
      <c r="BB235" s="61"/>
      <c r="BC235" s="64"/>
      <c r="BD235" s="61"/>
      <c r="BE235" s="64"/>
      <c r="BF235" s="61"/>
      <c r="BG235" s="64"/>
      <c r="BH235" s="61"/>
      <c r="BI235" s="64"/>
      <c r="BJ235" s="61"/>
      <c r="BK235" s="64"/>
      <c r="BL235" s="61"/>
      <c r="BM235" s="64"/>
      <c r="BN235" s="61"/>
      <c r="BO235" s="64"/>
      <c r="BP235" s="61"/>
      <c r="BQ235" s="64"/>
      <c r="BR235" s="61"/>
      <c r="BS235" s="64"/>
      <c r="BT235" s="61"/>
      <c r="BU235" s="64"/>
      <c r="BV235" s="61"/>
      <c r="BW235" s="64"/>
      <c r="BX235" s="61"/>
      <c r="BY235" s="64"/>
      <c r="BZ235" s="61"/>
      <c r="CA235" s="64"/>
      <c r="CB235" s="61"/>
      <c r="CC235" s="64"/>
      <c r="CD235" s="61"/>
      <c r="CE235" s="64"/>
      <c r="CF235" s="61"/>
      <c r="CG235" s="64"/>
      <c r="CH235" s="61"/>
      <c r="CI235" s="64"/>
      <c r="CJ235" s="61"/>
      <c r="CK235" s="64"/>
      <c r="CL235" s="61"/>
      <c r="CM235" s="64"/>
      <c r="CN235" s="61"/>
      <c r="CO235" s="64"/>
      <c r="CP235" s="61"/>
      <c r="CQ235" s="64"/>
      <c r="CR235" s="61"/>
      <c r="CS235" s="64"/>
      <c r="CT235" s="61"/>
      <c r="CU235" s="64"/>
      <c r="CV235" s="61"/>
      <c r="CW235" s="64"/>
      <c r="CX235" s="61"/>
      <c r="CY235" s="64"/>
      <c r="CZ235" s="61"/>
      <c r="DA235" s="64"/>
      <c r="DB235" s="61"/>
      <c r="DC235" s="64"/>
      <c r="DD235" s="61"/>
      <c r="DE235" s="64"/>
      <c r="DF235" s="61"/>
      <c r="DG235" s="64"/>
      <c r="DH235" s="61"/>
      <c r="DI235" s="64"/>
      <c r="DJ235" s="61"/>
      <c r="DK235" s="64"/>
      <c r="DL235" s="61"/>
      <c r="DM235" s="64"/>
      <c r="DN235" s="61"/>
      <c r="DO235" s="64"/>
      <c r="DP235" s="61"/>
      <c r="DQ235" s="64"/>
      <c r="DR235" s="61"/>
      <c r="DS235" s="64"/>
      <c r="DT235" s="61"/>
      <c r="DU235" s="64"/>
      <c r="DV235" s="61"/>
      <c r="DW235" s="64"/>
      <c r="DX235" s="64"/>
      <c r="DY235" s="64"/>
      <c r="DZ235" s="61"/>
      <c r="EA235" s="64"/>
      <c r="EB235" s="61"/>
      <c r="EC235" s="64"/>
      <c r="ED235" s="61"/>
      <c r="EE235" s="64"/>
      <c r="EF235" s="61"/>
      <c r="EG235" s="64"/>
      <c r="EH235" s="61"/>
      <c r="EI235" s="64"/>
      <c r="EJ235" s="61"/>
      <c r="EK235" s="64"/>
      <c r="EL235" s="61"/>
      <c r="EM235" s="64"/>
      <c r="EN235" s="61"/>
      <c r="EO235" s="64"/>
      <c r="EP235" s="61"/>
      <c r="EQ235" s="64"/>
      <c r="ER235" s="61"/>
      <c r="ES235" s="64"/>
      <c r="ET235" s="61"/>
      <c r="EU235" s="64"/>
      <c r="EV235" s="61"/>
      <c r="EW235" s="64"/>
      <c r="EX235" s="61"/>
      <c r="EY235" s="64"/>
      <c r="EZ235" s="558"/>
      <c r="FA235" s="64"/>
      <c r="FB235" s="66"/>
      <c r="FC235" s="66"/>
      <c r="FD235" s="66"/>
      <c r="FE235" s="67"/>
      <c r="FF235" s="66"/>
      <c r="FG235" s="67"/>
      <c r="FH235" s="66"/>
      <c r="FI235" s="67"/>
      <c r="FJ235" s="66"/>
      <c r="FK235" s="67"/>
      <c r="FL235" s="66"/>
      <c r="FM235" s="61"/>
      <c r="FN235" s="66"/>
      <c r="FO235" s="61"/>
      <c r="FP235" s="65"/>
      <c r="FQ235" s="61"/>
      <c r="FR235" s="65"/>
      <c r="FS235" s="61"/>
      <c r="FT235" s="65"/>
      <c r="FU235" s="61"/>
      <c r="FV235" s="65"/>
      <c r="FW235" s="61"/>
      <c r="FX235" s="65"/>
      <c r="FY235" s="61"/>
      <c r="FZ235" s="65"/>
      <c r="GA235" s="61"/>
      <c r="GB235" s="65"/>
      <c r="GC235" s="61"/>
      <c r="GD235" s="65"/>
      <c r="GE235" s="61"/>
      <c r="GF235" s="65"/>
      <c r="GG235" s="61"/>
      <c r="GH235" s="65"/>
      <c r="GI235" s="61"/>
      <c r="GJ235" s="65"/>
      <c r="GK235" s="61"/>
      <c r="GL235" s="65"/>
      <c r="GM235" s="61"/>
      <c r="GN235" s="65"/>
      <c r="GO235" s="61"/>
      <c r="GP235" s="65"/>
      <c r="GQ235" s="61"/>
      <c r="GR235" s="64"/>
      <c r="GS235" s="61"/>
      <c r="GT235" s="64"/>
      <c r="GU235" s="61"/>
      <c r="GV235" s="64"/>
      <c r="GW235" s="61"/>
      <c r="GX235" s="64"/>
      <c r="GY235" s="61"/>
      <c r="GZ235" s="61" t="str">
        <f t="shared" si="1691"/>
        <v/>
      </c>
      <c r="HA235" s="61"/>
      <c r="HB235" s="452"/>
      <c r="HC235"/>
      <c r="HD235"/>
      <c r="HE235"/>
      <c r="HF235"/>
      <c r="HG235"/>
      <c r="HH235"/>
    </row>
    <row r="236" spans="2:216" s="7" customFormat="1" ht="12.75" customHeight="1" x14ac:dyDescent="0.2">
      <c r="B236" s="2" t="s">
        <v>65</v>
      </c>
      <c r="C236" s="72"/>
      <c r="D236" s="70"/>
      <c r="E236" s="72"/>
      <c r="F236" s="71"/>
      <c r="G236" s="74"/>
      <c r="H236" s="71"/>
      <c r="I236" s="74"/>
      <c r="J236" s="61"/>
      <c r="K236" s="74"/>
      <c r="L236" s="61"/>
      <c r="M236" s="72"/>
      <c r="N236" s="61"/>
      <c r="O236" s="74"/>
      <c r="P236" s="61"/>
      <c r="Q236" s="74"/>
      <c r="R236" s="61"/>
      <c r="S236" s="74"/>
      <c r="T236" s="61"/>
      <c r="U236" s="74"/>
      <c r="V236" s="61"/>
      <c r="W236" s="74"/>
      <c r="X236" s="61"/>
      <c r="Y236" s="74"/>
      <c r="Z236" s="61"/>
      <c r="AA236" s="74"/>
      <c r="AB236" s="61"/>
      <c r="AC236" s="74"/>
      <c r="AD236" s="61"/>
      <c r="AE236" s="74"/>
      <c r="AF236" s="61"/>
      <c r="AG236" s="74"/>
      <c r="AH236" s="61"/>
      <c r="AI236" s="74"/>
      <c r="AJ236" s="61"/>
      <c r="AK236" s="74"/>
      <c r="AL236" s="61"/>
      <c r="AM236" s="74"/>
      <c r="AN236" s="61"/>
      <c r="AO236" s="74"/>
      <c r="AP236" s="61"/>
      <c r="AQ236" s="74">
        <v>45.5</v>
      </c>
      <c r="AR236" s="61" t="str">
        <f>IF(ISERROR((AQ236/AI236-1)*100),"NA",IF(((AQ236/AI236-1)*100)&gt;100,"NM",IF(((AQ236/AI236-1)*100)&lt;-50,"NM",(AQ236/AI236-1)*100)))</f>
        <v>NA</v>
      </c>
      <c r="AS236" s="74">
        <v>47.8</v>
      </c>
      <c r="AT236" s="61" t="str">
        <f>IF(ISERROR((AS236/AK236-1)*100),"NA",IF(((AS236/AK236-1)*100)&gt;100,"NM",IF(((AS236/AK236-1)*100)&lt;-50,"NM",(AS236/AK236-1)*100)))</f>
        <v>NA</v>
      </c>
      <c r="AU236" s="74">
        <v>47.4</v>
      </c>
      <c r="AV236" s="61" t="str">
        <f>IF(ISERROR((AU236/AM236-1)*100),"NA",IF(((AU236/AM236-1)*100)&gt;100,"NM",IF(((AU236/AM236-1)*100)&lt;-50,"NM",(AU236/AM236-1)*100)))</f>
        <v>NA</v>
      </c>
      <c r="AW236" s="74">
        <v>57.7</v>
      </c>
      <c r="AX236" s="61" t="str">
        <f>IF(ISERROR((AW236/AO236-1)*100),"NA",IF(((AW236/AO236-1)*100)&gt;100,"NM",IF(((AW236/AO236-1)*100)&lt;-50,"NM",(AW236/AO236-1)*100)))</f>
        <v>NA</v>
      </c>
      <c r="AY236" s="74">
        <v>51.1</v>
      </c>
      <c r="AZ236" s="61">
        <f>IF(ISERROR((AY236/AQ236-1)*100),"NA",IF(((AY236/AQ236-1)*100)&gt;100,"NM",IF(((AY236/AQ236-1)*100)&lt;-50,"NM",(AY236/AQ236-1)*100)))</f>
        <v>12.307692307692308</v>
      </c>
      <c r="BA236" s="74">
        <v>89.9</v>
      </c>
      <c r="BB236" s="61">
        <f>IF(ISERROR((BA236/AS236-1)*100),"NA",IF(((BA236/AS236-1)*100)&gt;100,"NM",IF(((BA236/AS236-1)*100)&lt;-50,"NM",(BA236/AS236-1)*100)))</f>
        <v>88.075313807531401</v>
      </c>
      <c r="BC236" s="74">
        <v>87</v>
      </c>
      <c r="BD236" s="61">
        <f>IF(ISERROR((BC236/AU236-1)*100),"NA",IF(((BC236/AU236-1)*100)&gt;100,"NM",IF(((BC236/AU236-1)*100)&lt;-50,"NM",(BC236/AU236-1)*100)))</f>
        <v>83.544303797468359</v>
      </c>
      <c r="BE236" s="74">
        <v>93.5</v>
      </c>
      <c r="BF236" s="61">
        <f>IF(ISERROR((BE236/AW236-1)*100),"NA",IF(((BE236/AW236-1)*100)&gt;100,"NM",IF(((BE236/AW236-1)*100)&lt;-50,"NM",(BE236/AW236-1)*100)))</f>
        <v>62.045060658578841</v>
      </c>
      <c r="BG236" s="74">
        <v>87.7</v>
      </c>
      <c r="BH236" s="61">
        <f t="shared" ref="BH236:CT241" si="1692">IF(ISERROR((BG236/AY236-1)*100),"NA",IF(((BG236/AY236-1)*100)&gt;100,"NM",IF(((BG236/AY236-1)*100)&lt;-50,"NM",(BG236/AY236-1)*100)))</f>
        <v>71.624266144814101</v>
      </c>
      <c r="BI236" s="74">
        <v>87.8</v>
      </c>
      <c r="BJ236" s="61">
        <f t="shared" si="1692"/>
        <v>-2.3359288097886677</v>
      </c>
      <c r="BK236" s="74">
        <v>84.7</v>
      </c>
      <c r="BL236" s="61">
        <f t="shared" si="1692"/>
        <v>-2.6436781609195381</v>
      </c>
      <c r="BM236" s="74">
        <v>90.1</v>
      </c>
      <c r="BN236" s="61">
        <f t="shared" si="1692"/>
        <v>-3.6363636363636376</v>
      </c>
      <c r="BO236" s="74">
        <v>86.4</v>
      </c>
      <c r="BP236" s="61">
        <f t="shared" si="1692"/>
        <v>-1.4823261117445807</v>
      </c>
      <c r="BQ236" s="74">
        <v>89.4</v>
      </c>
      <c r="BR236" s="61">
        <f t="shared" si="1692"/>
        <v>1.822323462414599</v>
      </c>
      <c r="BS236" s="74">
        <v>90.9</v>
      </c>
      <c r="BT236" s="61">
        <f t="shared" si="1692"/>
        <v>7.3199527744982396</v>
      </c>
      <c r="BU236" s="74">
        <v>93.6</v>
      </c>
      <c r="BV236" s="61">
        <f t="shared" si="1692"/>
        <v>3.8845726970033301</v>
      </c>
      <c r="BW236" s="74">
        <v>90.5</v>
      </c>
      <c r="BX236" s="61">
        <f t="shared" si="1692"/>
        <v>4.745370370370372</v>
      </c>
      <c r="BY236" s="74">
        <v>93.3</v>
      </c>
      <c r="BZ236" s="61">
        <f t="shared" si="1692"/>
        <v>4.3624161073825496</v>
      </c>
      <c r="CA236" s="74">
        <v>93.5</v>
      </c>
      <c r="CB236" s="61">
        <f t="shared" si="1692"/>
        <v>2.8602860286028431</v>
      </c>
      <c r="CC236" s="74">
        <v>115.2</v>
      </c>
      <c r="CD236" s="61">
        <f t="shared" si="1692"/>
        <v>23.076923076923084</v>
      </c>
      <c r="CE236" s="74">
        <v>112.3</v>
      </c>
      <c r="CF236" s="61">
        <f t="shared" si="1692"/>
        <v>24.08839779005525</v>
      </c>
      <c r="CG236" s="74">
        <v>107.5</v>
      </c>
      <c r="CH236" s="61">
        <f t="shared" si="1692"/>
        <v>15.219721329046099</v>
      </c>
      <c r="CI236" s="74">
        <v>107.5</v>
      </c>
      <c r="CJ236" s="61">
        <f t="shared" si="1692"/>
        <v>14.973262032085554</v>
      </c>
      <c r="CK236" s="74">
        <v>112.1</v>
      </c>
      <c r="CL236" s="61">
        <f t="shared" si="1692"/>
        <v>-2.6909722222222321</v>
      </c>
      <c r="CM236" s="74">
        <v>108</v>
      </c>
      <c r="CN236" s="61">
        <f t="shared" si="1692"/>
        <v>-3.8290293855743562</v>
      </c>
      <c r="CO236" s="74">
        <v>112</v>
      </c>
      <c r="CP236" s="61">
        <f t="shared" si="1692"/>
        <v>4.1860465116279055</v>
      </c>
      <c r="CQ236" s="74">
        <v>104</v>
      </c>
      <c r="CR236" s="61">
        <f t="shared" si="1692"/>
        <v>-3.2558139534883734</v>
      </c>
      <c r="CS236" s="74">
        <v>117</v>
      </c>
      <c r="CT236" s="61">
        <f t="shared" si="1692"/>
        <v>4.3710972346119537</v>
      </c>
      <c r="CU236" s="74">
        <v>109</v>
      </c>
      <c r="CV236" s="61">
        <f t="shared" ref="CV236:CV241" si="1693">IF(ISERROR((CU236/CM236-1)*100),"NA",IF(((CU236/CM236-1)*100)&gt;100,"NM",IF(((CU236/CM236-1)*100)&lt;-50,"NM",(CU236/CM236-1)*100)))</f>
        <v>0.92592592592593004</v>
      </c>
      <c r="CW236" s="74">
        <v>114</v>
      </c>
      <c r="CX236" s="61">
        <f t="shared" ref="CX236:CX241" si="1694">IF(ISERROR((CW236/CO236-1)*100),"NA",IF(((CW236/CO236-1)*100)&gt;100,"NM",IF(((CW236/CO236-1)*100)&lt;-50,"NM",(CW236/CO236-1)*100)))</f>
        <v>1.7857142857142794</v>
      </c>
      <c r="CY236" s="74">
        <v>103</v>
      </c>
      <c r="CZ236" s="61">
        <f t="shared" ref="CZ236:CZ241" si="1695">IF(ISERROR((CY236/CQ236-1)*100),"NA",IF(((CY236/CQ236-1)*100)&gt;100,"NM",IF(((CY236/CQ236-1)*100)&lt;-50,"NM",(CY236/CQ236-1)*100)))</f>
        <v>-0.96153846153845812</v>
      </c>
      <c r="DA236" s="74">
        <v>116</v>
      </c>
      <c r="DB236" s="61">
        <f t="shared" ref="DB236:DB241" si="1696">IF(ISERROR((DA236/CS236-1)*100),"NA",IF(((DA236/CS236-1)*100)&gt;100,"NM",IF(((DA236/CS236-1)*100)&lt;-50,"NM",(DA236/CS236-1)*100)))</f>
        <v>-0.85470085470085166</v>
      </c>
      <c r="DC236" s="74">
        <v>113</v>
      </c>
      <c r="DD236" s="61">
        <f t="shared" ref="DD236:DD241" si="1697">IF(ISERROR((DC236/CU236-1)*100),"NA",IF(((DC236/CU236-1)*100)&gt;100,"NM",IF(((DC236/CU236-1)*100)&lt;-50,"NM",(DC236/CU236-1)*100)))</f>
        <v>3.669724770642202</v>
      </c>
      <c r="DE236" s="74">
        <v>119</v>
      </c>
      <c r="DF236" s="61">
        <f t="shared" ref="DF236:DF241" si="1698">IF(ISERROR((DE236/CW236-1)*100),"NA",IF(((DE236/CW236-1)*100)&gt;100,"NM",IF(((DE236/CW236-1)*100)&lt;-50,"NM",(DE236/CW236-1)*100)))</f>
        <v>4.3859649122806932</v>
      </c>
      <c r="DG236" s="74">
        <v>125</v>
      </c>
      <c r="DH236" s="61">
        <f t="shared" ref="DH236:DH241" si="1699">IF(ISERROR((DG236/CY236-1)*100),"NA",IF(((DG236/CY236-1)*100)&gt;100,"NM",IF(((DG236/CY236-1)*100)&lt;-50,"NM",(DG236/CY236-1)*100)))</f>
        <v>21.359223300970864</v>
      </c>
      <c r="DI236" s="74">
        <v>129</v>
      </c>
      <c r="DJ236" s="61">
        <f t="shared" ref="DJ236:DJ241" si="1700">IF(ISERROR((DI236/DA236-1)*100),"NA",IF(((DI236/DA236-1)*100)&gt;100,"NM",IF(((DI236/DA236-1)*100)&lt;-50,"NM",(DI236/DA236-1)*100)))</f>
        <v>11.206896551724132</v>
      </c>
      <c r="DK236" s="74">
        <v>132</v>
      </c>
      <c r="DL236" s="61">
        <f t="shared" ref="DL236:DL241" si="1701">IF(ISERROR((DK236/DC236-1)*100),"NA",IF(((DK236/DC236-1)*100)&gt;100,"NM",IF(((DK236/DC236-1)*100)&lt;-50,"NM",(DK236/DC236-1)*100)))</f>
        <v>16.814159292035402</v>
      </c>
      <c r="DM236" s="74">
        <v>139</v>
      </c>
      <c r="DN236" s="130">
        <f t="shared" ref="DN236:DZ241" si="1702">IF(ISERROR((DM236/DE236-1)*100),"NA",IF(((DM236/DE236-1)*100)&gt;100,"NM",IF(((DM236/DE236-1)*100)&lt;-50,"NM",(DM236/DE236-1)*100)))</f>
        <v>16.806722689075638</v>
      </c>
      <c r="DO236" s="74">
        <v>153</v>
      </c>
      <c r="DP236" s="130">
        <f t="shared" si="1702"/>
        <v>22.4</v>
      </c>
      <c r="DQ236" s="74">
        <v>133</v>
      </c>
      <c r="DR236" s="130">
        <f t="shared" si="1702"/>
        <v>3.1007751937984551</v>
      </c>
      <c r="DS236" s="74">
        <v>149</v>
      </c>
      <c r="DT236" s="130">
        <f t="shared" si="1702"/>
        <v>12.87878787878789</v>
      </c>
      <c r="DU236" s="74">
        <v>160</v>
      </c>
      <c r="DV236" s="130">
        <f t="shared" si="1702"/>
        <v>15.107913669064743</v>
      </c>
      <c r="DW236" s="74">
        <v>166</v>
      </c>
      <c r="DX236" s="74">
        <v>166</v>
      </c>
      <c r="DY236" s="74">
        <v>174</v>
      </c>
      <c r="DZ236" s="130">
        <f t="shared" si="1702"/>
        <v>30.827067669172937</v>
      </c>
      <c r="EA236" s="74">
        <v>172</v>
      </c>
      <c r="EB236" s="130">
        <f t="shared" ref="EB236:EB241" si="1703">IF(ISERROR((EA236/DS236-1)*100),"NA",IF(((EA236/DS236-1)*100)&gt;100,"NM",IF(((EA236/DS236-1)*100)&lt;-50,"NM",(EA236/DS236-1)*100)))</f>
        <v>15.436241610738266</v>
      </c>
      <c r="EC236" s="74">
        <v>177</v>
      </c>
      <c r="ED236" s="130">
        <f t="shared" ref="ED236:ED241" si="1704">IF(ISERROR((EC236/DU236-1)*100),"NA",IF(((EC236/DU236-1)*100)&gt;100,"NM",IF(((EC236/DU236-1)*100)&lt;-50,"NM",(EC236/DU236-1)*100)))</f>
        <v>10.624999999999996</v>
      </c>
      <c r="EE236" s="74">
        <v>174</v>
      </c>
      <c r="EF236" s="130">
        <f t="shared" ref="EF236:EF241" si="1705">IF(ISERROR((EE236/DW236-1)*100),"NA",IF(((EE236/DW236-1)*100)&gt;100,"NM",IF(((EE236/DW236-1)*100)&lt;-50,"NM",(EE236/DW236-1)*100)))</f>
        <v>4.8192771084337283</v>
      </c>
      <c r="EG236" s="74">
        <v>179</v>
      </c>
      <c r="EH236" s="130">
        <f t="shared" ref="EH236:EH241" si="1706">IF(ISERROR((EG236/DY236-1)*100),"NA",IF(((EG236/DY236-1)*100)&gt;100,"NM",IF(((EG236/DY236-1)*100)&lt;-50,"NM",(EG236/DY236-1)*100)))</f>
        <v>2.8735632183908066</v>
      </c>
      <c r="EI236" s="74">
        <v>185</v>
      </c>
      <c r="EJ236" s="130">
        <f t="shared" ref="EJ236:EJ241" si="1707">IF(ISERROR((EI236/EA236-1)*100),"NA",IF(((EI236/EA236-1)*100)&gt;100,"NM",IF(((EI236/EA236-1)*100)&lt;-50,"NM",(EI236/EA236-1)*100)))</f>
        <v>7.5581395348837122</v>
      </c>
      <c r="EK236" s="74">
        <v>199</v>
      </c>
      <c r="EL236" s="130">
        <f t="shared" ref="EL236:EL241" si="1708">IF(ISERROR((EK236/EC236-1)*100),"NA",IF(((EK236/EC236-1)*100)&gt;100,"NM",IF(((EK236/EC236-1)*100)&lt;-50,"NM",(EK236/EC236-1)*100)))</f>
        <v>12.429378531073443</v>
      </c>
      <c r="EM236" s="74">
        <v>191</v>
      </c>
      <c r="EN236" s="130">
        <f t="shared" ref="EN236:EN241" si="1709">IF(ISERROR((EM236/EE236-1)*100),"NA",IF(((EM236/EE236-1)*100)&gt;100,"NM",IF(((EM236/EE236-1)*100)&lt;-50,"NM",(EM236/EE236-1)*100)))</f>
        <v>9.7701149425287284</v>
      </c>
      <c r="EO236" s="74">
        <v>199</v>
      </c>
      <c r="EP236" s="130">
        <f t="shared" ref="EP236:EP241" si="1710">IF(ISERROR((EO236/EG236-1)*100),"NA",IF(((EO236/EG236-1)*100)&gt;100,"NM",IF(((EO236/EG236-1)*100)&lt;-50,"NM",(EO236/EG236-1)*100)))</f>
        <v>11.17318435754191</v>
      </c>
      <c r="EQ236" s="75">
        <f t="shared" ref="EQ236" si="1711">+(EQ244/400)*AVERAGE(EO230,EQ230)</f>
        <v>201.57742709625131</v>
      </c>
      <c r="ER236" s="130">
        <f t="shared" ref="ER236:ER241" si="1712">IF(ISERROR((EQ236/EI236-1)*100),"NA",IF(((EQ236/EI236-1)*100)&gt;100,"NM",IF(((EQ236/EI236-1)*100)&lt;-50,"NM",(EQ236/EI236-1)*100)))</f>
        <v>8.9607714033790984</v>
      </c>
      <c r="ES236" s="75">
        <f t="shared" ref="ES236" si="1713">+(ES244/400)*AVERAGE(EQ230,ES230)</f>
        <v>202.90087420800953</v>
      </c>
      <c r="ET236" s="130">
        <f t="shared" ref="ET236:ET241" si="1714">IF(ISERROR((ES236/EK236-1)*100),"NA",IF(((ES236/EK236-1)*100)&gt;100,"NM",IF(((ES236/EK236-1)*100)&lt;-50,"NM",(ES236/EK236-1)*100)))</f>
        <v>1.9602382954821751</v>
      </c>
      <c r="EU236" s="75">
        <f t="shared" ref="EU236" si="1715">+(EU244/400)*AVERAGE(ES230,EU230)</f>
        <v>204.79151022424227</v>
      </c>
      <c r="EV236" s="130">
        <f t="shared" ref="EV236:EV241" si="1716">IF(ISERROR((EU236/EM236-1)*100),"NA",IF(((EU236/EM236-1)*100)&gt;100,"NM",IF(((EU236/EM236-1)*100)&lt;-50,"NM",(EU236/EM236-1)*100)))</f>
        <v>7.2206859812786739</v>
      </c>
      <c r="EW236" s="75">
        <f t="shared" ref="EW236" si="1717">+(EW244/400)*AVERAGE(EU230,EW230)</f>
        <v>207.33096325596156</v>
      </c>
      <c r="EX236" s="130">
        <f t="shared" ref="EX236:EX241" si="1718">IF(ISERROR((EW236/EO236-1)*100),"NA",IF(((EW236/EO236-1)*100)&gt;100,"NM",IF(((EW236/EO236-1)*100)&lt;-50,"NM",(EW236/EO236-1)*100)))</f>
        <v>4.1864136964630871</v>
      </c>
      <c r="EY236" s="64"/>
      <c r="EZ236" s="558"/>
      <c r="FA236" s="64"/>
      <c r="FB236" s="72"/>
      <c r="FC236" s="71"/>
      <c r="FD236" s="72"/>
      <c r="FE236" s="70"/>
      <c r="FF236" s="69"/>
      <c r="FG236" s="70"/>
      <c r="FH236" s="69"/>
      <c r="FI236" s="70"/>
      <c r="FJ236" s="69"/>
      <c r="FK236" s="70"/>
      <c r="FL236" s="778"/>
      <c r="FM236" s="61"/>
      <c r="FN236" s="778">
        <v>194</v>
      </c>
      <c r="FO236" s="61"/>
      <c r="FP236" s="75">
        <f>AQ236+AS236+AU236+AW236</f>
        <v>198.39999999999998</v>
      </c>
      <c r="FQ236" s="61">
        <f t="shared" ref="FQ236:FQ241" si="1719">IF(ISERROR((FP236/FN236-1)*100),"NA",IF(((FP236/FN236-1)*100)&gt;100,"NM",IF(((FP236/FN236-1)*100)&lt;-50,"NM",(FP236/FN236-1)*100)))</f>
        <v>2.268041237113394</v>
      </c>
      <c r="FR236" s="75">
        <v>321.5</v>
      </c>
      <c r="FS236" s="61">
        <f t="shared" ref="FS236:FS241" si="1720">IF(ISERROR((FR236/FP236-1)*100),"NA",IF(((FR236/FP236-1)*100)&gt;100,"NM",IF(((FR236/FP236-1)*100)&lt;-50,"NM",(FR236/FP236-1)*100)))</f>
        <v>62.04637096774195</v>
      </c>
      <c r="FT236" s="75">
        <f>BG236+BI236+BK236+BM236</f>
        <v>350.29999999999995</v>
      </c>
      <c r="FU236" s="61">
        <f t="shared" ref="FU236:FU241" si="1721">IF(ISERROR((FT236/FR236-1)*100),"NA",IF(((FT236/FR236-1)*100)&gt;100,"NM",IF(((FT236/FR236-1)*100)&lt;-50,"NM",(FT236/FR236-1)*100)))</f>
        <v>8.9580093312596976</v>
      </c>
      <c r="FV236" s="75">
        <f>BO236+BQ236+BS236+BU236</f>
        <v>360.30000000000007</v>
      </c>
      <c r="FW236" s="61">
        <f t="shared" ref="FW236:FW241" si="1722">IF(ISERROR((FV236/FT236-1)*100),"NA",IF(((FV236/FT236-1)*100)&gt;100,"NM",IF(((FV236/FT236-1)*100)&lt;-50,"NM",(FV236/FT236-1)*100)))</f>
        <v>2.8546959748787071</v>
      </c>
      <c r="FX236" s="75">
        <f>BW236+BY236+CA236+CC236</f>
        <v>392.5</v>
      </c>
      <c r="FY236" s="61">
        <f t="shared" ref="FY236:FY241" si="1723">IF(ISERROR((FX236/FV236-1)*100),"NA",IF(((FX236/FV236-1)*100)&gt;100,"NM",IF(((FX236/FV236-1)*100)&lt;-50,"NM",(FX236/FV236-1)*100)))</f>
        <v>8.9369969469885966</v>
      </c>
      <c r="FZ236" s="75">
        <f>CE236+CG236+CI236+CK236</f>
        <v>439.4</v>
      </c>
      <c r="GA236" s="61">
        <f t="shared" ref="GA236:GA241" si="1724">IF(ISERROR((FZ236/FX236-1)*100),"NA",IF(((FZ236/FX236-1)*100)&gt;100,"NM",IF(((FZ236/FX236-1)*100)&lt;-50,"NM",(FZ236/FX236-1)*100)))</f>
        <v>11.949044585987245</v>
      </c>
      <c r="GB236" s="75">
        <f>CM236+CO236+CQ236+CS236</f>
        <v>441</v>
      </c>
      <c r="GC236" s="61">
        <f t="shared" ref="GC236:GC241" si="1725">IF(ISERROR((GB236/FZ236-1)*100),"NA",IF(((GB236/FZ236-1)*100)&gt;100,"NM",IF(((GB236/FZ236-1)*100)&lt;-50,"NM",(GB236/FZ236-1)*100)))</f>
        <v>0.36413290851160518</v>
      </c>
      <c r="GD236" s="75">
        <f>CU236+CW236+CY236+DA236</f>
        <v>442</v>
      </c>
      <c r="GE236" s="61">
        <f t="shared" ref="GE236:GW241" si="1726">IF(ISERROR((GD236/GB236-1)*100),"NA",IF(((GD236/GB236-1)*100)&gt;100,"NM",IF(((GD236/GB236-1)*100)&lt;-50,"NM",(GD236/GB236-1)*100)))</f>
        <v>0.22675736961450532</v>
      </c>
      <c r="GF236" s="75">
        <f>DC236+DE236+DG236+DI236</f>
        <v>486</v>
      </c>
      <c r="GG236" s="61">
        <f t="shared" si="1726"/>
        <v>9.9547511312217285</v>
      </c>
      <c r="GH236" s="75">
        <f>DK236+DM236+DO236+DQ236</f>
        <v>557</v>
      </c>
      <c r="GI236" s="61">
        <f t="shared" si="1726"/>
        <v>14.609053497942392</v>
      </c>
      <c r="GJ236" s="75">
        <f>DS236+DU236+DW236+DY236</f>
        <v>649</v>
      </c>
      <c r="GK236" s="61">
        <f t="shared" si="1726"/>
        <v>16.517055655296218</v>
      </c>
      <c r="GL236" s="75">
        <f>EA236+EC236+EE236+EG236</f>
        <v>702</v>
      </c>
      <c r="GM236" s="61">
        <f t="shared" si="1726"/>
        <v>8.166409861325107</v>
      </c>
      <c r="GN236" s="75">
        <f>EI236+EK236+EM236+EO236</f>
        <v>774</v>
      </c>
      <c r="GO236" s="61">
        <f t="shared" si="1726"/>
        <v>10.256410256410264</v>
      </c>
      <c r="GP236" s="75">
        <f>EQ236+ES236+EU236+EW236</f>
        <v>816.60077478446476</v>
      </c>
      <c r="GQ236" s="61">
        <f t="shared" si="1726"/>
        <v>5.5039760703442742</v>
      </c>
      <c r="GR236" s="75">
        <f>+(GR244/100)*AVERAGE(GP230,GR230)</f>
        <v>844.71633412084952</v>
      </c>
      <c r="GS236" s="61">
        <f t="shared" si="1726"/>
        <v>3.4429993461377206</v>
      </c>
      <c r="GT236" s="75">
        <f>+(GT244/100)*AVERAGE(GR230,GT230)</f>
        <v>871.11748531828232</v>
      </c>
      <c r="GU236" s="61">
        <f t="shared" si="1726"/>
        <v>3.125445801271276</v>
      </c>
      <c r="GV236" s="75">
        <f>+(GV244/100)*AVERAGE(GT230,GV230)</f>
        <v>899.40366194728915</v>
      </c>
      <c r="GW236" s="61">
        <f t="shared" si="1726"/>
        <v>3.2471138630252527</v>
      </c>
      <c r="GX236" s="75">
        <f>+(GX244/100)*AVERAGE(GV230,GX230)</f>
        <v>929.65637647782034</v>
      </c>
      <c r="GY236" s="61">
        <f t="shared" ref="GY236:GY241" si="1727">IF(ISERROR((GX236/GV236-1)*100),"NA",IF(((GX236/GV236-1)*100)&gt;100,"NM",IF(((GX236/GV236-1)*100)&lt;-50,"NM",(GX236/GV236-1)*100)))</f>
        <v>3.363641467172962</v>
      </c>
      <c r="GZ236" s="61">
        <f t="shared" si="1691"/>
        <v>3.7328472064992235</v>
      </c>
      <c r="HA236" s="61"/>
      <c r="HB236" s="452"/>
      <c r="HC236"/>
      <c r="HD236"/>
      <c r="HE236"/>
      <c r="HF236"/>
      <c r="HG236"/>
      <c r="HH236"/>
    </row>
    <row r="237" spans="2:216" s="7" customFormat="1" ht="12.75" customHeight="1" x14ac:dyDescent="0.2">
      <c r="B237" s="2" t="s">
        <v>207</v>
      </c>
      <c r="C237" s="69"/>
      <c r="D237" s="70"/>
      <c r="E237" s="69"/>
      <c r="F237" s="71"/>
      <c r="G237" s="69"/>
      <c r="H237" s="71"/>
      <c r="I237" s="69"/>
      <c r="J237" s="61"/>
      <c r="K237" s="72"/>
      <c r="L237" s="61"/>
      <c r="M237" s="72"/>
      <c r="N237" s="61"/>
      <c r="O237" s="72"/>
      <c r="P237" s="61"/>
      <c r="Q237" s="72"/>
      <c r="R237" s="61"/>
      <c r="S237" s="72"/>
      <c r="T237" s="61"/>
      <c r="U237" s="72"/>
      <c r="V237" s="61"/>
      <c r="W237" s="72"/>
      <c r="X237" s="61"/>
      <c r="Y237" s="72"/>
      <c r="Z237" s="61"/>
      <c r="AA237" s="72"/>
      <c r="AB237" s="61"/>
      <c r="AC237" s="72"/>
      <c r="AD237" s="61"/>
      <c r="AE237" s="72"/>
      <c r="AF237" s="61"/>
      <c r="AG237" s="72"/>
      <c r="AH237" s="61"/>
      <c r="AI237" s="72"/>
      <c r="AJ237" s="61"/>
      <c r="AK237" s="72"/>
      <c r="AL237" s="61"/>
      <c r="AM237" s="72"/>
      <c r="AN237" s="61"/>
      <c r="AO237" s="72"/>
      <c r="AP237" s="61"/>
      <c r="AQ237" s="72">
        <f>12+131.1+50.1+12.9+0.1</f>
        <v>206.2</v>
      </c>
      <c r="AR237" s="61" t="str">
        <f>IF(ISERROR((AQ237/AI237-1)*100),"NA",IF(((AQ237/AI237-1)*100)&gt;100,"NM",IF(((AQ237/AI237-1)*100)&lt;-50,"NM",(AQ237/AI237-1)*100)))</f>
        <v>NA</v>
      </c>
      <c r="AS237" s="72">
        <f>9.4+130.6+49.1+10.7</f>
        <v>199.79999999999998</v>
      </c>
      <c r="AT237" s="61" t="str">
        <f>IF(ISERROR((AS237/AK237-1)*100),"NA",IF(((AS237/AK237-1)*100)&gt;100,"NM",IF(((AS237/AK237-1)*100)&lt;-50,"NM",(AS237/AK237-1)*100)))</f>
        <v>NA</v>
      </c>
      <c r="AU237" s="72">
        <f>10.9+127.7+31.7+11.2</f>
        <v>181.49999999999997</v>
      </c>
      <c r="AV237" s="61" t="str">
        <f>IF(ISERROR((AU237/AM237-1)*100),"NA",IF(((AU237/AM237-1)*100)&gt;100,"NM",IF(((AU237/AM237-1)*100)&lt;-50,"NM",(AU237/AM237-1)*100)))</f>
        <v>NA</v>
      </c>
      <c r="AW237" s="72">
        <f>11.6+135.3+58.8+10.3</f>
        <v>216</v>
      </c>
      <c r="AX237" s="61" t="str">
        <f>IF(ISERROR((AW237/AO237-1)*100),"NA",IF(((AW237/AO237-1)*100)&gt;100,"NM",IF(((AW237/AO237-1)*100)&lt;-50,"NM",(AW237/AO237-1)*100)))</f>
        <v>NA</v>
      </c>
      <c r="AY237" s="72">
        <f>10.3+135.6+54.3+9.7</f>
        <v>209.89999999999998</v>
      </c>
      <c r="AZ237" s="61">
        <f>IF(ISERROR((AY237/AQ237-1)*100),"NA",IF(((AY237/AQ237-1)*100)&gt;100,"NM",IF(((AY237/AQ237-1)*100)&lt;-50,"NM",(AY237/AQ237-1)*100)))</f>
        <v>1.7943743937924195</v>
      </c>
      <c r="BA237" s="72">
        <f>15.5+277.3+90.6+12.2</f>
        <v>395.59999999999997</v>
      </c>
      <c r="BB237" s="61">
        <f>IF(ISERROR((BA237/AS237-1)*100),"NA",IF(((BA237/AS237-1)*100)&gt;100,"NM",IF(((BA237/AS237-1)*100)&lt;-50,"NM",(BA237/AS237-1)*100)))</f>
        <v>97.997997997997999</v>
      </c>
      <c r="BC237" s="72">
        <f>18.3+278.9+83.6+13.1</f>
        <v>393.9</v>
      </c>
      <c r="BD237" s="61" t="str">
        <f>IF(ISERROR((BC237/AU237-1)*100),"NA",IF(((BC237/AU237-1)*100)&gt;100,"NM",IF(((BC237/AU237-1)*100)&lt;-50,"NM",(BC237/AU237-1)*100)))</f>
        <v>NM</v>
      </c>
      <c r="BE237" s="72">
        <f>16.1+278.4+116.4+13-0.1</f>
        <v>423.79999999999995</v>
      </c>
      <c r="BF237" s="61">
        <f>IF(ISERROR((BE237/AW237-1)*100),"NA",IF(((BE237/AW237-1)*100)&gt;100,"NM",IF(((BE237/AW237-1)*100)&lt;-50,"NM",(BE237/AW237-1)*100)))</f>
        <v>96.203703703703681</v>
      </c>
      <c r="BG237" s="72">
        <f>15.2+292.3+111.9+10.2+0.1</f>
        <v>429.7</v>
      </c>
      <c r="BH237" s="61" t="str">
        <f t="shared" si="1692"/>
        <v>NM</v>
      </c>
      <c r="BI237" s="72">
        <f>15.7+282.4+69.9+8.4</f>
        <v>376.4</v>
      </c>
      <c r="BJ237" s="61">
        <f t="shared" si="1692"/>
        <v>-4.8533872598584438</v>
      </c>
      <c r="BK237" s="72">
        <f>14+311+143.8+5.9</f>
        <v>474.7</v>
      </c>
      <c r="BL237" s="61">
        <f t="shared" si="1692"/>
        <v>20.512820512820507</v>
      </c>
      <c r="BM237" s="72">
        <f>14.2+319.3+117.6+10.7</f>
        <v>461.8</v>
      </c>
      <c r="BN237" s="61">
        <f t="shared" si="1692"/>
        <v>8.9664936290703388</v>
      </c>
      <c r="BO237" s="72">
        <f>15.7+321.7+121.3+8.7</f>
        <v>467.4</v>
      </c>
      <c r="BP237" s="61">
        <f t="shared" si="1692"/>
        <v>8.7735629508959754</v>
      </c>
      <c r="BQ237" s="72">
        <f>14.6+328.1+129.6+5</f>
        <v>477.30000000000007</v>
      </c>
      <c r="BR237" s="61">
        <f t="shared" si="1692"/>
        <v>26.806588735387905</v>
      </c>
      <c r="BS237" s="72">
        <f>18+331.9+101.4+9.3</f>
        <v>460.59999999999997</v>
      </c>
      <c r="BT237" s="61">
        <f t="shared" si="1692"/>
        <v>-2.9702970297029729</v>
      </c>
      <c r="BU237" s="72">
        <f>18.1+137.6+7.5+339.1</f>
        <v>502.3</v>
      </c>
      <c r="BV237" s="61">
        <f t="shared" si="1692"/>
        <v>8.7700303161541768</v>
      </c>
      <c r="BW237" s="72">
        <f>344.1+116.5+21.6+5.8</f>
        <v>488.00000000000006</v>
      </c>
      <c r="BX237" s="61">
        <f t="shared" si="1692"/>
        <v>4.4073598630723243</v>
      </c>
      <c r="BY237" s="72">
        <f>26.7+320+103+6.6-0.7</f>
        <v>455.6</v>
      </c>
      <c r="BZ237" s="61">
        <f t="shared" si="1692"/>
        <v>-4.5464068719882729</v>
      </c>
      <c r="CA237" s="72">
        <f>32.8+317.1+144.1-0.7+7</f>
        <v>500.3</v>
      </c>
      <c r="CB237" s="61">
        <f t="shared" si="1692"/>
        <v>8.6191923577942031</v>
      </c>
      <c r="CC237" s="72">
        <f>30.5+317.6+127.4+1.4+5.6</f>
        <v>482.5</v>
      </c>
      <c r="CD237" s="61">
        <f t="shared" si="1692"/>
        <v>-3.9418674099144013</v>
      </c>
      <c r="CE237" s="72">
        <f>30.8+317.9+128.7+8.2</f>
        <v>485.59999999999997</v>
      </c>
      <c r="CF237" s="61">
        <f t="shared" si="1692"/>
        <v>-0.49180327868854068</v>
      </c>
      <c r="CG237" s="72">
        <f>24.1+325.3+125.9+8.2</f>
        <v>483.50000000000006</v>
      </c>
      <c r="CH237" s="61">
        <f t="shared" si="1692"/>
        <v>6.1237928007023879</v>
      </c>
      <c r="CI237" s="72">
        <f>22.5+319.9+109+6.2</f>
        <v>457.59999999999997</v>
      </c>
      <c r="CJ237" s="61">
        <f t="shared" si="1692"/>
        <v>-8.5348790725564783</v>
      </c>
      <c r="CK237" s="72">
        <f>22.6+324.3+7.4+183.1</f>
        <v>537.4</v>
      </c>
      <c r="CL237" s="61">
        <f t="shared" si="1692"/>
        <v>11.378238341968917</v>
      </c>
      <c r="CM237" s="72">
        <f>452+7</f>
        <v>459</v>
      </c>
      <c r="CN237" s="61">
        <f t="shared" si="1692"/>
        <v>-5.4777594728171231</v>
      </c>
      <c r="CO237" s="72">
        <f>29.6+326.7+166.7+6</f>
        <v>529</v>
      </c>
      <c r="CP237" s="61">
        <f t="shared" si="1692"/>
        <v>9.4105480868665872</v>
      </c>
      <c r="CQ237" s="72">
        <f>20.9+335+142.2+5.5</f>
        <v>503.59999999999997</v>
      </c>
      <c r="CR237" s="61">
        <f t="shared" si="1692"/>
        <v>10.052447552447564</v>
      </c>
      <c r="CS237" s="72">
        <f>505+7</f>
        <v>512</v>
      </c>
      <c r="CT237" s="61">
        <f t="shared" si="1692"/>
        <v>-4.7264607368812772</v>
      </c>
      <c r="CU237" s="72">
        <f>524+6</f>
        <v>530</v>
      </c>
      <c r="CV237" s="61">
        <f t="shared" si="1693"/>
        <v>15.468409586056641</v>
      </c>
      <c r="CW237" s="72">
        <f>510+6-1</f>
        <v>515</v>
      </c>
      <c r="CX237" s="61">
        <f t="shared" si="1694"/>
        <v>-2.6465028355387554</v>
      </c>
      <c r="CY237" s="72">
        <f>605+1+9</f>
        <v>615</v>
      </c>
      <c r="CZ237" s="61">
        <f t="shared" si="1695"/>
        <v>22.120730738681505</v>
      </c>
      <c r="DA237" s="72">
        <f>551-1+7</f>
        <v>557</v>
      </c>
      <c r="DB237" s="61">
        <f t="shared" si="1696"/>
        <v>8.7890625</v>
      </c>
      <c r="DC237" s="72">
        <f>533+2+8</f>
        <v>543</v>
      </c>
      <c r="DD237" s="61">
        <f t="shared" si="1697"/>
        <v>2.4528301886792558</v>
      </c>
      <c r="DE237" s="72">
        <f>534+6</f>
        <v>540</v>
      </c>
      <c r="DF237" s="61">
        <f t="shared" si="1698"/>
        <v>4.8543689320388328</v>
      </c>
      <c r="DG237" s="72">
        <f>556+4+1</f>
        <v>561</v>
      </c>
      <c r="DH237" s="61">
        <f t="shared" si="1699"/>
        <v>-8.7804878048780459</v>
      </c>
      <c r="DI237" s="72">
        <f>581+7</f>
        <v>588</v>
      </c>
      <c r="DJ237" s="61">
        <f t="shared" si="1700"/>
        <v>5.5655296229802476</v>
      </c>
      <c r="DK237" s="72">
        <f>574+1+6</f>
        <v>581</v>
      </c>
      <c r="DL237" s="61">
        <f t="shared" si="1701"/>
        <v>6.9981583793738533</v>
      </c>
      <c r="DM237" s="72">
        <f>586+6</f>
        <v>592</v>
      </c>
      <c r="DN237" s="130">
        <f t="shared" si="1702"/>
        <v>9.6296296296296333</v>
      </c>
      <c r="DO237" s="72">
        <f>651+6</f>
        <v>657</v>
      </c>
      <c r="DP237" s="130">
        <f t="shared" si="1702"/>
        <v>17.112299465240643</v>
      </c>
      <c r="DQ237" s="72">
        <f>656+429+1</f>
        <v>1086</v>
      </c>
      <c r="DR237" s="130">
        <f t="shared" si="1702"/>
        <v>84.693877551020407</v>
      </c>
      <c r="DS237" s="72">
        <f>649+8</f>
        <v>657</v>
      </c>
      <c r="DT237" s="130">
        <f t="shared" si="1702"/>
        <v>13.080895008605854</v>
      </c>
      <c r="DU237" s="72">
        <f>647+8+2</f>
        <v>657</v>
      </c>
      <c r="DV237" s="130">
        <f t="shared" si="1702"/>
        <v>10.979729729729737</v>
      </c>
      <c r="DW237" s="72">
        <f>890+9</f>
        <v>899</v>
      </c>
      <c r="DX237" s="72">
        <f t="shared" ref="DX237" si="1728">890+9</f>
        <v>899</v>
      </c>
      <c r="DY237" s="72">
        <f>538+9-1</f>
        <v>546</v>
      </c>
      <c r="DZ237" s="130">
        <f t="shared" si="1702"/>
        <v>-49.723756906077341</v>
      </c>
      <c r="EA237" s="72">
        <f>687+8+0</f>
        <v>695</v>
      </c>
      <c r="EB237" s="130">
        <f t="shared" si="1703"/>
        <v>5.7838660578386714</v>
      </c>
      <c r="EC237" s="72">
        <f>721+7</f>
        <v>728</v>
      </c>
      <c r="ED237" s="130">
        <f t="shared" si="1704"/>
        <v>10.806697108066965</v>
      </c>
      <c r="EE237" s="72">
        <f>780+12-1</f>
        <v>791</v>
      </c>
      <c r="EF237" s="130">
        <f t="shared" si="1705"/>
        <v>-12.013348164627368</v>
      </c>
      <c r="EG237" s="72">
        <f>758+3+8</f>
        <v>769</v>
      </c>
      <c r="EH237" s="130">
        <f t="shared" si="1706"/>
        <v>40.842490842490854</v>
      </c>
      <c r="EI237" s="72">
        <f>760-4+7</f>
        <v>763</v>
      </c>
      <c r="EJ237" s="130">
        <f t="shared" si="1707"/>
        <v>9.7841726618705049</v>
      </c>
      <c r="EK237" s="72">
        <f>778-3+9</f>
        <v>784</v>
      </c>
      <c r="EL237" s="130">
        <f t="shared" si="1708"/>
        <v>7.6923076923076872</v>
      </c>
      <c r="EM237" s="72">
        <f>764-3+7</f>
        <v>768</v>
      </c>
      <c r="EN237" s="130">
        <f t="shared" si="1709"/>
        <v>-2.9077117572692823</v>
      </c>
      <c r="EO237" s="72">
        <f>821-3+8</f>
        <v>826</v>
      </c>
      <c r="EP237" s="130">
        <f t="shared" si="1710"/>
        <v>7.4122236671001263</v>
      </c>
      <c r="EQ237" s="69">
        <f t="shared" ref="EQ237:EW237" si="1729">+EQ232*EQ245/400</f>
        <v>811.44740039622241</v>
      </c>
      <c r="ER237" s="130">
        <f t="shared" si="1712"/>
        <v>6.3495937609727937</v>
      </c>
      <c r="ES237" s="69">
        <f t="shared" si="1729"/>
        <v>816.77492011838501</v>
      </c>
      <c r="ET237" s="130">
        <f t="shared" si="1714"/>
        <v>4.1804745048960479</v>
      </c>
      <c r="EU237" s="69">
        <f t="shared" si="1729"/>
        <v>824.38565165002103</v>
      </c>
      <c r="EV237" s="130">
        <f t="shared" si="1716"/>
        <v>7.3418817252631552</v>
      </c>
      <c r="EW237" s="69">
        <f t="shared" si="1729"/>
        <v>834.60818792653095</v>
      </c>
      <c r="EX237" s="130">
        <f t="shared" si="1718"/>
        <v>1.0421535020013195</v>
      </c>
      <c r="EY237" s="64"/>
      <c r="EZ237" s="558"/>
      <c r="FA237" s="64"/>
      <c r="FB237" s="72"/>
      <c r="FC237" s="71"/>
      <c r="FD237" s="72"/>
      <c r="FE237" s="70"/>
      <c r="FF237" s="69"/>
      <c r="FG237" s="70"/>
      <c r="FH237" s="69"/>
      <c r="FI237" s="70"/>
      <c r="FJ237" s="69"/>
      <c r="FK237" s="70"/>
      <c r="FL237" s="778"/>
      <c r="FM237" s="61"/>
      <c r="FN237" s="778">
        <f>748+20</f>
        <v>768</v>
      </c>
      <c r="FO237" s="61"/>
      <c r="FP237" s="73">
        <f>AQ237+AS237+AU237+AW237</f>
        <v>803.5</v>
      </c>
      <c r="FQ237" s="61">
        <f t="shared" si="1719"/>
        <v>4.6223958333333259</v>
      </c>
      <c r="FR237" s="73">
        <f>AY237+BA237+BC237+BE237</f>
        <v>1423.1999999999998</v>
      </c>
      <c r="FS237" s="61">
        <f t="shared" si="1720"/>
        <v>77.125077784691953</v>
      </c>
      <c r="FT237" s="73">
        <f>BG237+BI237+BK237+BM237</f>
        <v>1742.6</v>
      </c>
      <c r="FU237" s="61">
        <f t="shared" si="1721"/>
        <v>22.44238336143902</v>
      </c>
      <c r="FV237" s="73">
        <f>BO237+BQ237+BS237+BU237</f>
        <v>1907.6</v>
      </c>
      <c r="FW237" s="61">
        <f t="shared" si="1722"/>
        <v>9.4686101228049999</v>
      </c>
      <c r="FX237" s="75">
        <f>BW237+BY237+CA237+CC237</f>
        <v>1926.4</v>
      </c>
      <c r="FY237" s="61">
        <f t="shared" si="1723"/>
        <v>0.98553155797862502</v>
      </c>
      <c r="FZ237" s="75">
        <f>CE237+CG237+CI237+CK237</f>
        <v>1964.1</v>
      </c>
      <c r="GA237" s="61">
        <f t="shared" si="1724"/>
        <v>1.9570182724252483</v>
      </c>
      <c r="GB237" s="75">
        <f>CM237+CO237+CQ237+CS237</f>
        <v>2003.6</v>
      </c>
      <c r="GC237" s="61">
        <f t="shared" si="1725"/>
        <v>2.011099231200042</v>
      </c>
      <c r="GD237" s="75">
        <f>CU237+CW237+CY237+DA237</f>
        <v>2217</v>
      </c>
      <c r="GE237" s="61">
        <f t="shared" si="1726"/>
        <v>10.650828508684373</v>
      </c>
      <c r="GF237" s="75">
        <f>DC237+DE237+DG237+DI237</f>
        <v>2232</v>
      </c>
      <c r="GG237" s="61">
        <f t="shared" si="1726"/>
        <v>0.67658998646820123</v>
      </c>
      <c r="GH237" s="75">
        <f>DK237+DM237+DO237+DQ237</f>
        <v>2916</v>
      </c>
      <c r="GI237" s="61">
        <f t="shared" si="1726"/>
        <v>30.645161290322577</v>
      </c>
      <c r="GJ237" s="75">
        <f>DS237+DU237+DW237+DY237</f>
        <v>2759</v>
      </c>
      <c r="GK237" s="61">
        <f t="shared" si="1726"/>
        <v>-5.3840877914951957</v>
      </c>
      <c r="GL237" s="75">
        <f>EA237+EC237+EE237+EG237</f>
        <v>2983</v>
      </c>
      <c r="GM237" s="61">
        <f t="shared" si="1726"/>
        <v>8.1188836534976438</v>
      </c>
      <c r="GN237" s="75">
        <f>EI237+EK237+EM237+EO237</f>
        <v>3141</v>
      </c>
      <c r="GO237" s="61">
        <f t="shared" si="1726"/>
        <v>5.2966811934294311</v>
      </c>
      <c r="GP237" s="75">
        <f>EQ237+ES237+EU237+EW237</f>
        <v>3287.2161600911595</v>
      </c>
      <c r="GQ237" s="61">
        <f t="shared" si="1726"/>
        <v>4.6550830974581237</v>
      </c>
      <c r="GR237" s="69">
        <f>+GR232*GR245/100</f>
        <v>3400.3949909892317</v>
      </c>
      <c r="GS237" s="61">
        <f t="shared" si="1726"/>
        <v>3.4429993461377206</v>
      </c>
      <c r="GT237" s="69">
        <f>+GT232*GT245/100</f>
        <v>3506.6724934617437</v>
      </c>
      <c r="GU237" s="61">
        <f t="shared" si="1726"/>
        <v>3.125445801271276</v>
      </c>
      <c r="GV237" s="69">
        <f>+GV232*GV245/100</f>
        <v>3620.538142127833</v>
      </c>
      <c r="GW237" s="61">
        <f t="shared" si="1726"/>
        <v>3.2471138630252527</v>
      </c>
      <c r="GX237" s="69">
        <f>+GX232*GX245/100</f>
        <v>3742.320064411259</v>
      </c>
      <c r="GY237" s="61">
        <f t="shared" si="1727"/>
        <v>3.3636414671729842</v>
      </c>
      <c r="GZ237" s="61">
        <f t="shared" si="1691"/>
        <v>3.5653788833178934</v>
      </c>
      <c r="HA237" s="61"/>
      <c r="HB237" s="452"/>
      <c r="HC237"/>
      <c r="HD237"/>
      <c r="HE237"/>
      <c r="HF237"/>
      <c r="HG237"/>
      <c r="HH237"/>
    </row>
    <row r="238" spans="2:216" s="5" customFormat="1" ht="12.75" customHeight="1" x14ac:dyDescent="0.2">
      <c r="B238" s="2" t="s">
        <v>498</v>
      </c>
      <c r="C238" s="72"/>
      <c r="D238" s="70"/>
      <c r="E238" s="72"/>
      <c r="F238" s="71"/>
      <c r="G238" s="72"/>
      <c r="H238" s="71"/>
      <c r="I238" s="72"/>
      <c r="J238" s="61"/>
      <c r="K238" s="72"/>
      <c r="L238" s="61"/>
      <c r="M238" s="72"/>
      <c r="N238" s="61"/>
      <c r="O238" s="72"/>
      <c r="P238" s="61"/>
      <c r="Q238" s="72"/>
      <c r="R238" s="61"/>
      <c r="S238" s="72"/>
      <c r="T238" s="61"/>
      <c r="U238" s="72"/>
      <c r="V238" s="61"/>
      <c r="W238" s="72"/>
      <c r="X238" s="61"/>
      <c r="Y238" s="72"/>
      <c r="Z238" s="61"/>
      <c r="AA238" s="72"/>
      <c r="AB238" s="61"/>
      <c r="AC238" s="72"/>
      <c r="AD238" s="61"/>
      <c r="AE238" s="72"/>
      <c r="AF238" s="61"/>
      <c r="AG238" s="72"/>
      <c r="AH238" s="61"/>
      <c r="AI238" s="72"/>
      <c r="AJ238" s="61"/>
      <c r="AK238" s="72"/>
      <c r="AL238" s="61"/>
      <c r="AM238" s="72"/>
      <c r="AN238" s="61"/>
      <c r="AO238" s="72"/>
      <c r="AP238" s="61"/>
      <c r="AQ238" s="72">
        <v>223.9</v>
      </c>
      <c r="AR238" s="61" t="str">
        <f>IF(ISERROR((AQ238/AI238-1)*100),"NA",IF(((AQ238/AI238-1)*100)&gt;100,"NM",IF(((AQ238/AI238-1)*100)&lt;-50,"NM",(AQ238/AI238-1)*100)))</f>
        <v>NA</v>
      </c>
      <c r="AS238" s="72">
        <v>227.8</v>
      </c>
      <c r="AT238" s="61" t="str">
        <f>IF(ISERROR((AS238/AK238-1)*100),"NA",IF(((AS238/AK238-1)*100)&gt;100,"NM",IF(((AS238/AK238-1)*100)&lt;-50,"NM",(AS238/AK238-1)*100)))</f>
        <v>NA</v>
      </c>
      <c r="AU238" s="72">
        <v>229.5</v>
      </c>
      <c r="AV238" s="61" t="str">
        <f>IF(ISERROR((AU238/AM238-1)*100),"NA",IF(((AU238/AM238-1)*100)&gt;100,"NM",IF(((AU238/AM238-1)*100)&lt;-50,"NM",(AU238/AM238-1)*100)))</f>
        <v>NA</v>
      </c>
      <c r="AW238" s="72">
        <v>227.5</v>
      </c>
      <c r="AX238" s="61" t="str">
        <f>IF(ISERROR((AW238/AO238-1)*100),"NA",IF(((AW238/AO238-1)*100)&gt;100,"NM",IF(((AW238/AO238-1)*100)&lt;-50,"NM",(AW238/AO238-1)*100)))</f>
        <v>NA</v>
      </c>
      <c r="AY238" s="72">
        <v>239.5</v>
      </c>
      <c r="AZ238" s="61">
        <f>IF(ISERROR((AY238/AQ238-1)*100),"NA",IF(((AY238/AQ238-1)*100)&gt;100,"NM",IF(((AY238/AQ238-1)*100)&lt;-50,"NM",(AY238/AQ238-1)*100)))</f>
        <v>6.9673961589995503</v>
      </c>
      <c r="BA238" s="72">
        <v>415.9</v>
      </c>
      <c r="BB238" s="61">
        <f>IF(ISERROR((BA238/AS238-1)*100),"NA",IF(((BA238/AS238-1)*100)&gt;100,"NM",IF(((BA238/AS238-1)*100)&lt;-50,"NM",(BA238/AS238-1)*100)))</f>
        <v>82.572431957857745</v>
      </c>
      <c r="BC238" s="72">
        <v>414.4</v>
      </c>
      <c r="BD238" s="61">
        <f>IF(ISERROR((BC238/AU238-1)*100),"NA",IF(((BC238/AU238-1)*100)&gt;100,"NM",IF(((BC238/AU238-1)*100)&lt;-50,"NM",(BC238/AU238-1)*100)))</f>
        <v>80.566448801742908</v>
      </c>
      <c r="BE238" s="72">
        <v>441.1</v>
      </c>
      <c r="BF238" s="61">
        <f>IF(ISERROR((BE238/AW238-1)*100),"NA",IF(((BE238/AW238-1)*100)&gt;100,"NM",IF(((BE238/AW238-1)*100)&lt;-50,"NM",(BE238/AW238-1)*100)))</f>
        <v>93.890109890109912</v>
      </c>
      <c r="BG238" s="72">
        <v>454</v>
      </c>
      <c r="BH238" s="61">
        <f t="shared" si="1692"/>
        <v>89.561586638830889</v>
      </c>
      <c r="BI238" s="72">
        <v>493.3</v>
      </c>
      <c r="BJ238" s="61">
        <f t="shared" si="1692"/>
        <v>18.610242846838187</v>
      </c>
      <c r="BK238" s="72">
        <v>496.3</v>
      </c>
      <c r="BL238" s="61">
        <f t="shared" si="1692"/>
        <v>19.76351351351353</v>
      </c>
      <c r="BM238" s="72">
        <v>516.29999999999995</v>
      </c>
      <c r="BN238" s="61">
        <f t="shared" si="1692"/>
        <v>17.04828836998411</v>
      </c>
      <c r="BO238" s="72">
        <v>499.3</v>
      </c>
      <c r="BP238" s="61">
        <f t="shared" si="1692"/>
        <v>9.9779735682819393</v>
      </c>
      <c r="BQ238" s="72">
        <v>519.20000000000005</v>
      </c>
      <c r="BR238" s="61">
        <f t="shared" si="1692"/>
        <v>5.2503547536995709</v>
      </c>
      <c r="BS238" s="72">
        <v>522.4</v>
      </c>
      <c r="BT238" s="61">
        <f t="shared" si="1692"/>
        <v>5.2589159782389538</v>
      </c>
      <c r="BU238" s="72">
        <v>446.9</v>
      </c>
      <c r="BV238" s="61">
        <f t="shared" si="1692"/>
        <v>-13.441797404609723</v>
      </c>
      <c r="BW238" s="72">
        <v>497.7</v>
      </c>
      <c r="BX238" s="61">
        <f t="shared" si="1692"/>
        <v>-0.32044862807931729</v>
      </c>
      <c r="BY238" s="72">
        <v>453.3</v>
      </c>
      <c r="BZ238" s="61">
        <f t="shared" si="1692"/>
        <v>-12.692604006163332</v>
      </c>
      <c r="CA238" s="72">
        <v>495.3</v>
      </c>
      <c r="CB238" s="61">
        <f t="shared" si="1692"/>
        <v>-5.1875957120980036</v>
      </c>
      <c r="CC238" s="72">
        <v>528.20000000000005</v>
      </c>
      <c r="CD238" s="61">
        <f t="shared" si="1692"/>
        <v>18.191989259342158</v>
      </c>
      <c r="CE238" s="72">
        <v>530.1</v>
      </c>
      <c r="CF238" s="61">
        <f t="shared" si="1692"/>
        <v>6.5099457504520952</v>
      </c>
      <c r="CG238" s="72">
        <v>545</v>
      </c>
      <c r="CH238" s="61">
        <f t="shared" si="1692"/>
        <v>20.229428634458422</v>
      </c>
      <c r="CI238" s="72">
        <v>542.79999999999995</v>
      </c>
      <c r="CJ238" s="61">
        <f t="shared" si="1692"/>
        <v>9.5901473854229646</v>
      </c>
      <c r="CK238" s="72">
        <v>567.9</v>
      </c>
      <c r="CL238" s="61">
        <f t="shared" si="1692"/>
        <v>7.516092389246487</v>
      </c>
      <c r="CM238" s="72">
        <v>579</v>
      </c>
      <c r="CN238" s="61">
        <f t="shared" si="1692"/>
        <v>9.2246745897000437</v>
      </c>
      <c r="CO238" s="72">
        <v>588</v>
      </c>
      <c r="CP238" s="61">
        <f t="shared" si="1692"/>
        <v>7.8899082568807399</v>
      </c>
      <c r="CQ238" s="72">
        <v>568.70000000000005</v>
      </c>
      <c r="CR238" s="61">
        <f t="shared" si="1692"/>
        <v>4.771554900515862</v>
      </c>
      <c r="CS238" s="72">
        <v>558</v>
      </c>
      <c r="CT238" s="61">
        <f t="shared" si="1692"/>
        <v>-1.7432646592709933</v>
      </c>
      <c r="CU238" s="72">
        <v>588</v>
      </c>
      <c r="CV238" s="61">
        <f t="shared" si="1693"/>
        <v>1.5544041450777257</v>
      </c>
      <c r="CW238" s="72">
        <v>606</v>
      </c>
      <c r="CX238" s="61">
        <f t="shared" si="1694"/>
        <v>3.0612244897959107</v>
      </c>
      <c r="CY238" s="72">
        <v>578</v>
      </c>
      <c r="CZ238" s="61">
        <f t="shared" si="1695"/>
        <v>1.6353085985581162</v>
      </c>
      <c r="DA238" s="72">
        <v>624</v>
      </c>
      <c r="DB238" s="61">
        <f t="shared" si="1696"/>
        <v>11.827956989247301</v>
      </c>
      <c r="DC238" s="72">
        <v>585</v>
      </c>
      <c r="DD238" s="61">
        <f t="shared" si="1697"/>
        <v>-0.51020408163264808</v>
      </c>
      <c r="DE238" s="72">
        <v>625</v>
      </c>
      <c r="DF238" s="61">
        <f t="shared" si="1698"/>
        <v>3.1353135313531455</v>
      </c>
      <c r="DG238" s="72">
        <v>615</v>
      </c>
      <c r="DH238" s="61">
        <f t="shared" si="1699"/>
        <v>6.4013840830449809</v>
      </c>
      <c r="DI238" s="72">
        <v>627</v>
      </c>
      <c r="DJ238" s="61">
        <f t="shared" si="1700"/>
        <v>0.48076923076922906</v>
      </c>
      <c r="DK238" s="72">
        <v>624</v>
      </c>
      <c r="DL238" s="61">
        <f t="shared" si="1701"/>
        <v>6.6666666666666652</v>
      </c>
      <c r="DM238" s="72">
        <v>632</v>
      </c>
      <c r="DN238" s="130">
        <f t="shared" si="1702"/>
        <v>1.1200000000000099</v>
      </c>
      <c r="DO238" s="72">
        <v>636</v>
      </c>
      <c r="DP238" s="130">
        <f t="shared" si="1702"/>
        <v>3.4146341463414664</v>
      </c>
      <c r="DQ238" s="72">
        <v>639</v>
      </c>
      <c r="DR238" s="130">
        <f t="shared" si="1702"/>
        <v>1.9138755980861344</v>
      </c>
      <c r="DS238" s="72">
        <v>626</v>
      </c>
      <c r="DT238" s="130">
        <f t="shared" si="1702"/>
        <v>0.32051282051281937</v>
      </c>
      <c r="DU238" s="72">
        <v>626</v>
      </c>
      <c r="DV238" s="130">
        <f t="shared" si="1702"/>
        <v>-0.9493670886076</v>
      </c>
      <c r="DW238" s="72">
        <v>662</v>
      </c>
      <c r="DX238" s="72">
        <v>662</v>
      </c>
      <c r="DY238" s="72">
        <v>628</v>
      </c>
      <c r="DZ238" s="130">
        <f t="shared" si="1702"/>
        <v>-1.7214397496087663</v>
      </c>
      <c r="EA238" s="72">
        <v>611</v>
      </c>
      <c r="EB238" s="130">
        <f t="shared" si="1703"/>
        <v>-2.3961661341853069</v>
      </c>
      <c r="EC238" s="72">
        <v>633</v>
      </c>
      <c r="ED238" s="130">
        <f t="shared" si="1704"/>
        <v>1.1182108626198062</v>
      </c>
      <c r="EE238" s="72">
        <v>665</v>
      </c>
      <c r="EF238" s="130">
        <f t="shared" si="1705"/>
        <v>0.45317220543805714</v>
      </c>
      <c r="EG238" s="72">
        <v>652</v>
      </c>
      <c r="EH238" s="130">
        <f t="shared" si="1706"/>
        <v>3.8216560509554132</v>
      </c>
      <c r="EI238" s="72">
        <v>658</v>
      </c>
      <c r="EJ238" s="130">
        <f t="shared" si="1707"/>
        <v>7.6923076923076872</v>
      </c>
      <c r="EK238" s="72">
        <v>672</v>
      </c>
      <c r="EL238" s="130">
        <f t="shared" si="1708"/>
        <v>6.1611374407583019</v>
      </c>
      <c r="EM238" s="72">
        <v>655</v>
      </c>
      <c r="EN238" s="130">
        <f t="shared" si="1709"/>
        <v>-1.5037593984962405</v>
      </c>
      <c r="EO238" s="72">
        <v>659</v>
      </c>
      <c r="EP238" s="130">
        <f t="shared" si="1710"/>
        <v>1.0736196319018454</v>
      </c>
      <c r="EQ238" s="73">
        <f t="shared" ref="EQ238:EW238" si="1730">EQ246*EQ199/400</f>
        <v>662.72104264172447</v>
      </c>
      <c r="ER238" s="130">
        <f t="shared" si="1712"/>
        <v>0.71748368415265329</v>
      </c>
      <c r="ES238" s="73">
        <f t="shared" si="1730"/>
        <v>664.89983450209513</v>
      </c>
      <c r="ET238" s="130">
        <f t="shared" si="1714"/>
        <v>-1.0565722467120287</v>
      </c>
      <c r="EU238" s="73">
        <f t="shared" si="1730"/>
        <v>667.05565052942484</v>
      </c>
      <c r="EV238" s="130">
        <f t="shared" si="1716"/>
        <v>1.8405573327366254</v>
      </c>
      <c r="EW238" s="73">
        <f t="shared" si="1730"/>
        <v>669.22724024968613</v>
      </c>
      <c r="EX238" s="130">
        <f t="shared" si="1718"/>
        <v>1.551933270058603</v>
      </c>
      <c r="EY238" s="64"/>
      <c r="EZ238" s="558"/>
      <c r="FA238" s="64"/>
      <c r="FB238" s="72"/>
      <c r="FC238" s="71"/>
      <c r="FD238" s="72"/>
      <c r="FE238" s="70"/>
      <c r="FF238" s="69"/>
      <c r="FG238" s="70"/>
      <c r="FH238" s="69"/>
      <c r="FI238" s="70"/>
      <c r="FJ238" s="69"/>
      <c r="FK238" s="70"/>
      <c r="FL238" s="778"/>
      <c r="FM238" s="61"/>
      <c r="FN238" s="778">
        <v>901</v>
      </c>
      <c r="FO238" s="61"/>
      <c r="FP238" s="73">
        <f>AQ238+AS238+AU238+AW238</f>
        <v>908.7</v>
      </c>
      <c r="FQ238" s="61">
        <f t="shared" si="1719"/>
        <v>0.85460599334072906</v>
      </c>
      <c r="FR238" s="73">
        <f>AY238+BA238+BC238+BE238</f>
        <v>1510.9</v>
      </c>
      <c r="FS238" s="61">
        <f t="shared" si="1720"/>
        <v>66.270496313414768</v>
      </c>
      <c r="FT238" s="73">
        <f>BG238+BI238+BK238+BM238</f>
        <v>1959.8999999999999</v>
      </c>
      <c r="FU238" s="61">
        <f t="shared" si="1721"/>
        <v>29.717386987887995</v>
      </c>
      <c r="FV238" s="73">
        <f>BO238+BQ238+BS238+BU238</f>
        <v>1987.8000000000002</v>
      </c>
      <c r="FW238" s="61">
        <f t="shared" si="1722"/>
        <v>1.4235420174498969</v>
      </c>
      <c r="FX238" s="75">
        <f>BW238+BY238+CA238+CC238</f>
        <v>1974.5</v>
      </c>
      <c r="FY238" s="61">
        <f t="shared" si="1723"/>
        <v>-0.66908139651877807</v>
      </c>
      <c r="FZ238" s="75">
        <f>CE238+CG238+CI238+CK238</f>
        <v>2185.7999999999997</v>
      </c>
      <c r="GA238" s="61">
        <f t="shared" si="1724"/>
        <v>10.701443403393252</v>
      </c>
      <c r="GB238" s="75">
        <f>CM238+CO238+CQ238+CS238</f>
        <v>2293.6999999999998</v>
      </c>
      <c r="GC238" s="61">
        <f t="shared" si="1725"/>
        <v>4.9364077225729774</v>
      </c>
      <c r="GD238" s="75">
        <f>CU238+CW238+CY238+DA238</f>
        <v>2396</v>
      </c>
      <c r="GE238" s="61">
        <f t="shared" si="1726"/>
        <v>4.4600427257269981</v>
      </c>
      <c r="GF238" s="75">
        <f>DC238+DE238+DG238+DI238</f>
        <v>2452</v>
      </c>
      <c r="GG238" s="61">
        <f t="shared" si="1726"/>
        <v>2.3372287145241977</v>
      </c>
      <c r="GH238" s="75">
        <f>DK238+DM238+DO238+DQ238</f>
        <v>2531</v>
      </c>
      <c r="GI238" s="61">
        <f t="shared" si="1726"/>
        <v>3.2218597063621512</v>
      </c>
      <c r="GJ238" s="75">
        <f>DS238+DU238+DW238+DY238</f>
        <v>2542</v>
      </c>
      <c r="GK238" s="61">
        <f t="shared" si="1726"/>
        <v>0.43461082576057297</v>
      </c>
      <c r="GL238" s="75">
        <f>EA238+EC238+EE238+EG238</f>
        <v>2561</v>
      </c>
      <c r="GM238" s="61">
        <f t="shared" si="1726"/>
        <v>0.74744295830055929</v>
      </c>
      <c r="GN238" s="75">
        <f>EI238+EK238+EM238+EO238</f>
        <v>2644</v>
      </c>
      <c r="GO238" s="61">
        <f t="shared" si="1726"/>
        <v>3.2409215150331905</v>
      </c>
      <c r="GP238" s="75">
        <f>EQ238+ES238+EU238+EW238</f>
        <v>2663.9037679229305</v>
      </c>
      <c r="GQ238" s="61">
        <f t="shared" si="1726"/>
        <v>0.752790012213711</v>
      </c>
      <c r="GR238" s="73">
        <f>GR246*GR199/100</f>
        <v>2730.8376001521169</v>
      </c>
      <c r="GS238" s="61">
        <f t="shared" si="1726"/>
        <v>2.5126220036610247</v>
      </c>
      <c r="GT238" s="73">
        <f>GT246*GT199/100</f>
        <v>2799.2960072413075</v>
      </c>
      <c r="GU238" s="61">
        <f t="shared" si="1726"/>
        <v>2.506864819986987</v>
      </c>
      <c r="GV238" s="73">
        <f>GV246*GV199/100</f>
        <v>2870.4787827660639</v>
      </c>
      <c r="GW238" s="61">
        <f t="shared" si="1726"/>
        <v>2.5428813294706476</v>
      </c>
      <c r="GX238" s="73">
        <f>GX246*GX199/100</f>
        <v>2944.5149778465766</v>
      </c>
      <c r="GY238" s="61">
        <f t="shared" si="1727"/>
        <v>2.5792280899275433</v>
      </c>
      <c r="GZ238" s="61">
        <f t="shared" si="1691"/>
        <v>2.1763685576412284</v>
      </c>
      <c r="HA238" s="61"/>
      <c r="HB238" s="452"/>
      <c r="HC238"/>
      <c r="HD238"/>
      <c r="HE238"/>
      <c r="HF238"/>
      <c r="HG238"/>
      <c r="HH238"/>
    </row>
    <row r="239" spans="2:216" s="5" customFormat="1" ht="12.75" customHeight="1" x14ac:dyDescent="0.2">
      <c r="B239" s="2" t="s">
        <v>162</v>
      </c>
      <c r="C239" s="72"/>
      <c r="D239" s="70"/>
      <c r="E239" s="72"/>
      <c r="F239" s="71"/>
      <c r="G239" s="72"/>
      <c r="H239" s="71"/>
      <c r="I239" s="72"/>
      <c r="J239" s="61"/>
      <c r="K239" s="72"/>
      <c r="L239" s="61"/>
      <c r="M239" s="72"/>
      <c r="N239" s="61"/>
      <c r="O239" s="72"/>
      <c r="P239" s="61"/>
      <c r="Q239" s="72"/>
      <c r="R239" s="61"/>
      <c r="S239" s="72"/>
      <c r="T239" s="61"/>
      <c r="U239" s="72"/>
      <c r="V239" s="61"/>
      <c r="W239" s="72"/>
      <c r="X239" s="61"/>
      <c r="Y239" s="72"/>
      <c r="Z239" s="61"/>
      <c r="AA239" s="72"/>
      <c r="AB239" s="61"/>
      <c r="AC239" s="72"/>
      <c r="AD239" s="61"/>
      <c r="AE239" s="72"/>
      <c r="AF239" s="61"/>
      <c r="AG239" s="72"/>
      <c r="AH239" s="61"/>
      <c r="AI239" s="72"/>
      <c r="AJ239" s="61"/>
      <c r="AK239" s="72"/>
      <c r="AL239" s="61"/>
      <c r="AM239" s="72"/>
      <c r="AN239" s="61"/>
      <c r="AO239" s="72"/>
      <c r="AP239" s="61"/>
      <c r="AQ239" s="72">
        <v>138.9</v>
      </c>
      <c r="AR239" s="61" t="str">
        <f>IF(ISERROR((AQ239/AI239-1)*100),"NA",IF(((AQ239/AI239-1)*100)&gt;100,"NM",IF(((AQ239/AI239-1)*100)&lt;-50,"NM",(AQ239/AI239-1)*100)))</f>
        <v>NA</v>
      </c>
      <c r="AS239" s="72">
        <v>138</v>
      </c>
      <c r="AT239" s="61" t="str">
        <f>IF(ISERROR((AS239/AK239-1)*100),"NA",IF(((AS239/AK239-1)*100)&gt;100,"NM",IF(((AS239/AK239-1)*100)&lt;-50,"NM",(AS239/AK239-1)*100)))</f>
        <v>NA</v>
      </c>
      <c r="AU239" s="72">
        <v>140.9</v>
      </c>
      <c r="AV239" s="61" t="str">
        <f>IF(ISERROR((AU239/AM239-1)*100),"NA",IF(((AU239/AM239-1)*100)&gt;100,"NM",IF(((AU239/AM239-1)*100)&lt;-50,"NM",(AU239/AM239-1)*100)))</f>
        <v>NA</v>
      </c>
      <c r="AW239" s="72">
        <v>142.1</v>
      </c>
      <c r="AX239" s="61" t="str">
        <f>IF(ISERROR((AW239/AO239-1)*100),"NA",IF(((AW239/AO239-1)*100)&gt;100,"NM",IF(((AW239/AO239-1)*100)&lt;-50,"NM",(AW239/AO239-1)*100)))</f>
        <v>NA</v>
      </c>
      <c r="AY239" s="72">
        <v>142.19999999999999</v>
      </c>
      <c r="AZ239" s="61">
        <f>IF(ISERROR((AY239/AQ239-1)*100),"NA",IF(((AY239/AQ239-1)*100)&gt;100,"NM",IF(((AY239/AQ239-1)*100)&lt;-50,"NM",(AY239/AQ239-1)*100)))</f>
        <v>2.3758099352051643</v>
      </c>
      <c r="BA239" s="72">
        <v>241.5</v>
      </c>
      <c r="BB239" s="61">
        <f>IF(ISERROR((BA239/AS239-1)*100),"NA",IF(((BA239/AS239-1)*100)&gt;100,"NM",IF(((BA239/AS239-1)*100)&lt;-50,"NM",(BA239/AS239-1)*100)))</f>
        <v>75</v>
      </c>
      <c r="BC239" s="72">
        <v>247.1</v>
      </c>
      <c r="BD239" s="61">
        <f>IF(ISERROR((BC239/AU239-1)*100),"NA",IF(((BC239/AU239-1)*100)&gt;100,"NM",IF(((BC239/AU239-1)*100)&lt;-50,"NM",(BC239/AU239-1)*100)))</f>
        <v>75.372604684173169</v>
      </c>
      <c r="BE239" s="72">
        <v>251.3</v>
      </c>
      <c r="BF239" s="61">
        <f>IF(ISERROR((BE239/AW239-1)*100),"NA",IF(((BE239/AW239-1)*100)&gt;100,"NM",IF(((BE239/AW239-1)*100)&lt;-50,"NM",(BE239/AW239-1)*100)))</f>
        <v>76.847290640394107</v>
      </c>
      <c r="BG239" s="72">
        <v>251.7</v>
      </c>
      <c r="BH239" s="61">
        <f t="shared" si="1692"/>
        <v>77.004219409282697</v>
      </c>
      <c r="BI239" s="72">
        <v>254</v>
      </c>
      <c r="BJ239" s="61">
        <f t="shared" si="1692"/>
        <v>5.1759834368529933</v>
      </c>
      <c r="BK239" s="72">
        <v>292.89999999999998</v>
      </c>
      <c r="BL239" s="61">
        <f t="shared" si="1692"/>
        <v>18.535006070416827</v>
      </c>
      <c r="BM239" s="72">
        <v>298.2</v>
      </c>
      <c r="BN239" s="61">
        <f t="shared" si="1692"/>
        <v>18.662952646239539</v>
      </c>
      <c r="BO239" s="72">
        <v>296.5</v>
      </c>
      <c r="BP239" s="61">
        <f t="shared" si="1692"/>
        <v>17.798967024235203</v>
      </c>
      <c r="BQ239" s="72">
        <v>300.60000000000002</v>
      </c>
      <c r="BR239" s="61">
        <f t="shared" si="1692"/>
        <v>18.346456692913392</v>
      </c>
      <c r="BS239" s="72">
        <v>304.7</v>
      </c>
      <c r="BT239" s="61">
        <f t="shared" si="1692"/>
        <v>4.0286787299419702</v>
      </c>
      <c r="BU239" s="72">
        <v>300.7</v>
      </c>
      <c r="BV239" s="61">
        <f t="shared" si="1692"/>
        <v>0.83836351441985979</v>
      </c>
      <c r="BW239" s="72">
        <v>302.8</v>
      </c>
      <c r="BX239" s="61">
        <f t="shared" si="1692"/>
        <v>2.1247892074198971</v>
      </c>
      <c r="BY239" s="72">
        <v>290.8</v>
      </c>
      <c r="BZ239" s="61">
        <f t="shared" si="1692"/>
        <v>-3.2601463739188374</v>
      </c>
      <c r="CA239" s="72">
        <v>292.89999999999998</v>
      </c>
      <c r="CB239" s="61">
        <f t="shared" si="1692"/>
        <v>-3.872661634394492</v>
      </c>
      <c r="CC239" s="72">
        <v>297.7</v>
      </c>
      <c r="CD239" s="61">
        <f t="shared" si="1692"/>
        <v>-0.99767209843698579</v>
      </c>
      <c r="CE239" s="72">
        <v>296.89999999999998</v>
      </c>
      <c r="CF239" s="61">
        <f t="shared" si="1692"/>
        <v>-1.9484808454425462</v>
      </c>
      <c r="CG239" s="72">
        <v>298.8</v>
      </c>
      <c r="CH239" s="61">
        <f t="shared" si="1692"/>
        <v>2.7510316368638321</v>
      </c>
      <c r="CI239" s="72">
        <v>299.5</v>
      </c>
      <c r="CJ239" s="61">
        <f t="shared" si="1692"/>
        <v>2.2533287811539848</v>
      </c>
      <c r="CK239" s="72">
        <v>302.89999999999998</v>
      </c>
      <c r="CL239" s="61">
        <f t="shared" si="1692"/>
        <v>1.7467248908296984</v>
      </c>
      <c r="CM239" s="72">
        <v>302</v>
      </c>
      <c r="CN239" s="61">
        <f t="shared" si="1692"/>
        <v>1.717750084203451</v>
      </c>
      <c r="CO239" s="72">
        <v>307.5</v>
      </c>
      <c r="CP239" s="61">
        <f t="shared" si="1692"/>
        <v>2.9116465863453733</v>
      </c>
      <c r="CQ239" s="72">
        <v>311.89999999999998</v>
      </c>
      <c r="CR239" s="61">
        <f t="shared" si="1692"/>
        <v>4.1402337228714448</v>
      </c>
      <c r="CS239" s="72">
        <v>318</v>
      </c>
      <c r="CT239" s="61">
        <f t="shared" si="1692"/>
        <v>4.9851436117530623</v>
      </c>
      <c r="CU239" s="72">
        <v>312</v>
      </c>
      <c r="CV239" s="61">
        <f t="shared" si="1693"/>
        <v>3.3112582781456901</v>
      </c>
      <c r="CW239" s="72">
        <v>312</v>
      </c>
      <c r="CX239" s="61">
        <f t="shared" si="1694"/>
        <v>1.4634146341463428</v>
      </c>
      <c r="CY239" s="72">
        <v>320</v>
      </c>
      <c r="CZ239" s="61">
        <f t="shared" si="1695"/>
        <v>2.5969862135299948</v>
      </c>
      <c r="DA239" s="72">
        <v>316</v>
      </c>
      <c r="DB239" s="61">
        <f t="shared" si="1696"/>
        <v>-0.62893081761006275</v>
      </c>
      <c r="DC239" s="72">
        <v>320</v>
      </c>
      <c r="DD239" s="61">
        <f t="shared" si="1697"/>
        <v>2.564102564102555</v>
      </c>
      <c r="DE239" s="72">
        <v>325</v>
      </c>
      <c r="DF239" s="61">
        <f t="shared" si="1698"/>
        <v>4.1666666666666741</v>
      </c>
      <c r="DG239" s="72">
        <v>329</v>
      </c>
      <c r="DH239" s="61">
        <f t="shared" si="1699"/>
        <v>2.8124999999999956</v>
      </c>
      <c r="DI239" s="72">
        <v>332</v>
      </c>
      <c r="DJ239" s="61">
        <f t="shared" si="1700"/>
        <v>5.0632911392405111</v>
      </c>
      <c r="DK239" s="72">
        <v>334</v>
      </c>
      <c r="DL239" s="61">
        <f t="shared" si="1701"/>
        <v>4.3749999999999956</v>
      </c>
      <c r="DM239" s="72">
        <v>337</v>
      </c>
      <c r="DN239" s="130">
        <f t="shared" si="1702"/>
        <v>3.6923076923076836</v>
      </c>
      <c r="DO239" s="72">
        <v>337</v>
      </c>
      <c r="DP239" s="130">
        <f t="shared" si="1702"/>
        <v>2.4316109422492405</v>
      </c>
      <c r="DQ239" s="72">
        <v>341</v>
      </c>
      <c r="DR239" s="130">
        <f t="shared" si="1702"/>
        <v>2.7108433734939652</v>
      </c>
      <c r="DS239" s="72">
        <v>338</v>
      </c>
      <c r="DT239" s="130">
        <f t="shared" si="1702"/>
        <v>1.1976047904191711</v>
      </c>
      <c r="DU239" s="72">
        <v>345</v>
      </c>
      <c r="DV239" s="130">
        <f t="shared" si="1702"/>
        <v>2.3738872403560762</v>
      </c>
      <c r="DW239" s="72">
        <v>344</v>
      </c>
      <c r="DX239" s="72">
        <v>344</v>
      </c>
      <c r="DY239" s="72">
        <v>352</v>
      </c>
      <c r="DZ239" s="130">
        <f t="shared" si="1702"/>
        <v>3.2258064516129004</v>
      </c>
      <c r="EA239" s="72">
        <v>348</v>
      </c>
      <c r="EB239" s="130">
        <f t="shared" si="1703"/>
        <v>2.9585798816567976</v>
      </c>
      <c r="EC239" s="72">
        <v>349</v>
      </c>
      <c r="ED239" s="130">
        <f t="shared" si="1704"/>
        <v>1.1594202898550732</v>
      </c>
      <c r="EE239" s="72">
        <v>349</v>
      </c>
      <c r="EF239" s="130">
        <f t="shared" si="1705"/>
        <v>1.4534883720930258</v>
      </c>
      <c r="EG239" s="72">
        <v>348</v>
      </c>
      <c r="EH239" s="130">
        <f t="shared" si="1706"/>
        <v>-1.1363636363636354</v>
      </c>
      <c r="EI239" s="72">
        <v>349</v>
      </c>
      <c r="EJ239" s="130">
        <f t="shared" si="1707"/>
        <v>0.28735632183907178</v>
      </c>
      <c r="EK239" s="72">
        <v>349</v>
      </c>
      <c r="EL239" s="130">
        <f t="shared" si="1708"/>
        <v>0</v>
      </c>
      <c r="EM239" s="72">
        <v>350</v>
      </c>
      <c r="EN239" s="130">
        <f t="shared" si="1709"/>
        <v>0.28653295128939771</v>
      </c>
      <c r="EO239" s="72">
        <v>355</v>
      </c>
      <c r="EP239" s="130">
        <f t="shared" si="1710"/>
        <v>2.0114942528735691</v>
      </c>
      <c r="EQ239" s="73">
        <f t="shared" ref="EQ239:EW239" si="1731">EQ247*EQ199/400</f>
        <v>357.00450703765136</v>
      </c>
      <c r="ER239" s="130">
        <f t="shared" si="1712"/>
        <v>2.2935550251150127</v>
      </c>
      <c r="ES239" s="73">
        <f t="shared" si="1731"/>
        <v>359.17790041538416</v>
      </c>
      <c r="ET239" s="130">
        <f t="shared" si="1714"/>
        <v>2.9163038439496081</v>
      </c>
      <c r="EU239" s="73">
        <f t="shared" si="1731"/>
        <v>361.35101354855328</v>
      </c>
      <c r="EV239" s="130">
        <f t="shared" si="1716"/>
        <v>3.2431467281580861</v>
      </c>
      <c r="EW239" s="73">
        <f t="shared" si="1731"/>
        <v>363.54489401606111</v>
      </c>
      <c r="EX239" s="130">
        <f t="shared" si="1718"/>
        <v>2.4070123988904513</v>
      </c>
      <c r="EY239" s="64"/>
      <c r="EZ239" s="558"/>
      <c r="FA239" s="64"/>
      <c r="FB239" s="72"/>
      <c r="FC239" s="71"/>
      <c r="FD239" s="72"/>
      <c r="FE239" s="70"/>
      <c r="FF239" s="69"/>
      <c r="FG239" s="70"/>
      <c r="FH239" s="69"/>
      <c r="FI239" s="70"/>
      <c r="FJ239" s="69"/>
      <c r="FK239" s="70"/>
      <c r="FL239" s="778"/>
      <c r="FM239" s="61"/>
      <c r="FN239" s="778">
        <v>0</v>
      </c>
      <c r="FO239" s="61"/>
      <c r="FP239" s="73">
        <f>AQ239+AS239+AU239+AW239</f>
        <v>559.9</v>
      </c>
      <c r="FQ239" s="61" t="str">
        <f t="shared" si="1719"/>
        <v>NA</v>
      </c>
      <c r="FR239" s="73">
        <f>AY239+BA239+BC239+BE239</f>
        <v>882.09999999999991</v>
      </c>
      <c r="FS239" s="61">
        <f t="shared" si="1720"/>
        <v>57.545990355420606</v>
      </c>
      <c r="FT239" s="73">
        <f>BG239+BI239+BK239+BM239</f>
        <v>1096.8</v>
      </c>
      <c r="FU239" s="61">
        <f t="shared" si="1721"/>
        <v>24.339644031288987</v>
      </c>
      <c r="FV239" s="73">
        <f>BO239+BQ239+BS239+BU239</f>
        <v>1202.5</v>
      </c>
      <c r="FW239" s="61">
        <f t="shared" si="1722"/>
        <v>9.6371261852662435</v>
      </c>
      <c r="FX239" s="75">
        <f>BW239+BY239+CA239+CC239</f>
        <v>1184.2</v>
      </c>
      <c r="FY239" s="61">
        <f t="shared" si="1723"/>
        <v>-1.5218295218295208</v>
      </c>
      <c r="FZ239" s="75">
        <f>CE239+CG239+CI239+CK239</f>
        <v>1198.0999999999999</v>
      </c>
      <c r="GA239" s="61">
        <f t="shared" si="1724"/>
        <v>1.1737882114507547</v>
      </c>
      <c r="GB239" s="75">
        <f>CM239+CO239+CQ239+CS239</f>
        <v>1239.4000000000001</v>
      </c>
      <c r="GC239" s="61">
        <f t="shared" si="1725"/>
        <v>3.4471246139721412</v>
      </c>
      <c r="GD239" s="75">
        <f>CU239+CW239+CY239+DA239</f>
        <v>1260</v>
      </c>
      <c r="GE239" s="61">
        <f t="shared" si="1726"/>
        <v>1.6620945618847749</v>
      </c>
      <c r="GF239" s="75">
        <f>DC239+DE239+DG239+DI239</f>
        <v>1306</v>
      </c>
      <c r="GG239" s="61">
        <f t="shared" si="1726"/>
        <v>3.65079365079366</v>
      </c>
      <c r="GH239" s="75">
        <f>DK239+DM239+DO239+DQ239</f>
        <v>1349</v>
      </c>
      <c r="GI239" s="61">
        <f t="shared" si="1726"/>
        <v>3.2924961715160794</v>
      </c>
      <c r="GJ239" s="75">
        <f>DS239+DU239+DW239+DY239</f>
        <v>1379</v>
      </c>
      <c r="GK239" s="61">
        <f t="shared" si="1726"/>
        <v>2.2238695329873881</v>
      </c>
      <c r="GL239" s="75">
        <f>EA239+EC239+EE239+EG239</f>
        <v>1394</v>
      </c>
      <c r="GM239" s="61">
        <f t="shared" si="1726"/>
        <v>1.0877447425670761</v>
      </c>
      <c r="GN239" s="75">
        <f>EI239+EK239+EM239+EO239</f>
        <v>1403</v>
      </c>
      <c r="GO239" s="61">
        <f t="shared" si="1726"/>
        <v>0.64562410329984665</v>
      </c>
      <c r="GP239" s="75">
        <f>EQ239+ES239+EU239+EW239</f>
        <v>1441.0783150176499</v>
      </c>
      <c r="GQ239" s="61">
        <f t="shared" si="1726"/>
        <v>2.7140637931325706</v>
      </c>
      <c r="GR239" s="73">
        <f>GR247*GR199/100</f>
        <v>1477.2559437556274</v>
      </c>
      <c r="GS239" s="61">
        <f t="shared" si="1726"/>
        <v>2.5104554250082067</v>
      </c>
      <c r="GT239" s="73">
        <f>GT247*GT199/100</f>
        <v>1522.1126140829278</v>
      </c>
      <c r="GU239" s="61">
        <f t="shared" si="1726"/>
        <v>3.0364860278213834</v>
      </c>
      <c r="GV239" s="73">
        <f>GV247*GV199/100</f>
        <v>1560.8181315599597</v>
      </c>
      <c r="GW239" s="61">
        <f t="shared" si="1726"/>
        <v>2.5428813294706254</v>
      </c>
      <c r="GX239" s="73">
        <f>GX247*GX199/100</f>
        <v>1601.0751912418366</v>
      </c>
      <c r="GY239" s="61">
        <f t="shared" si="1727"/>
        <v>2.5792280899275433</v>
      </c>
      <c r="GZ239" s="61">
        <f t="shared" si="1691"/>
        <v>2.6764421357765134</v>
      </c>
      <c r="HA239" s="61"/>
      <c r="HB239" s="452"/>
      <c r="HC239"/>
      <c r="HD239"/>
      <c r="HE239"/>
      <c r="HF239"/>
      <c r="HG239"/>
      <c r="HH239"/>
    </row>
    <row r="240" spans="2:216" s="106" customFormat="1" ht="12.75" customHeight="1" x14ac:dyDescent="0.2">
      <c r="B240" s="63" t="s">
        <v>523</v>
      </c>
      <c r="C240" s="102"/>
      <c r="D240" s="99"/>
      <c r="E240" s="102"/>
      <c r="F240" s="100"/>
      <c r="G240" s="102"/>
      <c r="H240" s="100"/>
      <c r="I240" s="102"/>
      <c r="J240" s="101"/>
      <c r="K240" s="104"/>
      <c r="L240" s="61"/>
      <c r="M240" s="104"/>
      <c r="N240" s="61"/>
      <c r="O240" s="104"/>
      <c r="P240" s="61"/>
      <c r="Q240" s="104"/>
      <c r="R240" s="61"/>
      <c r="S240" s="104"/>
      <c r="T240" s="61"/>
      <c r="U240" s="104"/>
      <c r="V240" s="61"/>
      <c r="W240" s="104"/>
      <c r="X240" s="61"/>
      <c r="Y240" s="104"/>
      <c r="Z240" s="61"/>
      <c r="AA240" s="104"/>
      <c r="AB240" s="61"/>
      <c r="AC240" s="104"/>
      <c r="AD240" s="61"/>
      <c r="AE240" s="104"/>
      <c r="AF240" s="61"/>
      <c r="AG240" s="104"/>
      <c r="AH240" s="61"/>
      <c r="AI240" s="104"/>
      <c r="AJ240" s="61"/>
      <c r="AK240" s="104"/>
      <c r="AL240" s="61"/>
      <c r="AM240" s="104"/>
      <c r="AN240" s="61"/>
      <c r="AO240" s="159"/>
      <c r="AP240" s="61"/>
      <c r="AQ240" s="104">
        <f>AQ238+AQ237+AQ236</f>
        <v>475.6</v>
      </c>
      <c r="AR240" s="61" t="str">
        <f>IF(ISERROR((AQ240/AI240-1)*100),"NA",IF(((AQ240/AI240-1)*100)&gt;100,"NM",IF(((AQ240/AI240-1)*100)&lt;-50,"NM",(AQ240/AI240-1)*100)))</f>
        <v>NA</v>
      </c>
      <c r="AS240" s="104">
        <f>AS238+AS237+AS236</f>
        <v>475.40000000000003</v>
      </c>
      <c r="AT240" s="61" t="str">
        <f>IF(ISERROR((AS240/AK240-1)*100),"NA",IF(((AS240/AK240-1)*100)&gt;100,"NM",IF(((AS240/AK240-1)*100)&lt;-50,"NM",(AS240/AK240-1)*100)))</f>
        <v>NA</v>
      </c>
      <c r="AU240" s="104">
        <f>AU238+AU237+AU236</f>
        <v>458.4</v>
      </c>
      <c r="AV240" s="61" t="str">
        <f>IF(ISERROR((AU240/AM240-1)*100),"NA",IF(((AU240/AM240-1)*100)&gt;100,"NM",IF(((AU240/AM240-1)*100)&lt;-50,"NM",(AU240/AM240-1)*100)))</f>
        <v>NA</v>
      </c>
      <c r="AW240" s="104">
        <f>AW238+AW237+AW236</f>
        <v>501.2</v>
      </c>
      <c r="AX240" s="61" t="str">
        <f>IF(ISERROR((AW240/AO240-1)*100),"NA",IF(((AW240/AO240-1)*100)&gt;100,"NM",IF(((AW240/AO240-1)*100)&lt;-50,"NM",(AW240/AO240-1)*100)))</f>
        <v>NA</v>
      </c>
      <c r="AY240" s="104">
        <f>AY238+AY237+AY236</f>
        <v>500.5</v>
      </c>
      <c r="AZ240" s="61">
        <f>IF(ISERROR((AY240/AQ240-1)*100),"NA",IF(((AY240/AQ240-1)*100)&gt;100,"NM",IF(((AY240/AQ240-1)*100)&lt;-50,"NM",(AY240/AQ240-1)*100)))</f>
        <v>5.2354920100925018</v>
      </c>
      <c r="BA240" s="104">
        <f>BA238+BA237+BA236</f>
        <v>901.4</v>
      </c>
      <c r="BB240" s="61">
        <f>IF(ISERROR((BA240/AS240-1)*100),"NA",IF(((BA240/AS240-1)*100)&gt;100,"NM",IF(((BA240/AS240-1)*100)&lt;-50,"NM",(BA240/AS240-1)*100)))</f>
        <v>89.608750525872935</v>
      </c>
      <c r="BC240" s="104">
        <f>BC238+BC237+BC236</f>
        <v>895.3</v>
      </c>
      <c r="BD240" s="61">
        <f>IF(ISERROR((BC240/AU240-1)*100),"NA",IF(((BC240/AU240-1)*100)&gt;100,"NM",IF(((BC240/AU240-1)*100)&lt;-50,"NM",(BC240/AU240-1)*100)))</f>
        <v>95.309773123909252</v>
      </c>
      <c r="BE240" s="104">
        <f>BE238+BE237+BE236</f>
        <v>958.4</v>
      </c>
      <c r="BF240" s="61">
        <f>IF(ISERROR((BE240/AW240-1)*100),"NA",IF(((BE240/AW240-1)*100)&gt;100,"NM",IF(((BE240/AW240-1)*100)&lt;-50,"NM",(BE240/AW240-1)*100)))</f>
        <v>91.221069433359943</v>
      </c>
      <c r="BG240" s="104">
        <f>BG238+BG237+BG236</f>
        <v>971.40000000000009</v>
      </c>
      <c r="BH240" s="61">
        <f t="shared" si="1692"/>
        <v>94.085914085914112</v>
      </c>
      <c r="BI240" s="104">
        <f>BI238+BI237+BI236</f>
        <v>957.5</v>
      </c>
      <c r="BJ240" s="61">
        <f t="shared" si="1692"/>
        <v>6.2236520967384079</v>
      </c>
      <c r="BK240" s="104">
        <f>BK238+BK237+BK236</f>
        <v>1055.7</v>
      </c>
      <c r="BL240" s="61">
        <f t="shared" si="1692"/>
        <v>17.915782419300808</v>
      </c>
      <c r="BM240" s="104">
        <f>BM238+BM237+BM236</f>
        <v>1068.1999999999998</v>
      </c>
      <c r="BN240" s="61">
        <f t="shared" si="1692"/>
        <v>11.456594323873116</v>
      </c>
      <c r="BO240" s="104">
        <f>BO238+BO237+BO236</f>
        <v>1053.1000000000001</v>
      </c>
      <c r="BP240" s="61">
        <f t="shared" si="1692"/>
        <v>8.4105414865143224</v>
      </c>
      <c r="BQ240" s="104">
        <f>BQ238+BQ237+BQ236</f>
        <v>1085.9000000000001</v>
      </c>
      <c r="BR240" s="61">
        <f t="shared" si="1692"/>
        <v>13.409921671018289</v>
      </c>
      <c r="BS240" s="104">
        <f>BS238+BS237+BS236</f>
        <v>1073.9000000000001</v>
      </c>
      <c r="BT240" s="61">
        <f t="shared" si="1692"/>
        <v>1.723974614000201</v>
      </c>
      <c r="BU240" s="104">
        <f>BU238+BU237+BU236</f>
        <v>1042.8</v>
      </c>
      <c r="BV240" s="61">
        <f t="shared" si="1692"/>
        <v>-2.3778318666916154</v>
      </c>
      <c r="BW240" s="104">
        <f>BW238+BW237+BW236</f>
        <v>1076.2</v>
      </c>
      <c r="BX240" s="61">
        <f t="shared" si="1692"/>
        <v>2.19352388187255</v>
      </c>
      <c r="BY240" s="104">
        <f>BY238+BY237+BY236</f>
        <v>1002.2</v>
      </c>
      <c r="BZ240" s="61">
        <f t="shared" si="1692"/>
        <v>-7.7078920710931031</v>
      </c>
      <c r="CA240" s="104">
        <f>CA238+CA237+CA236</f>
        <v>1089.0999999999999</v>
      </c>
      <c r="CB240" s="61">
        <f t="shared" si="1692"/>
        <v>1.415401806499661</v>
      </c>
      <c r="CC240" s="104">
        <f>CC238+CC237+CC236</f>
        <v>1125.9000000000001</v>
      </c>
      <c r="CD240" s="61">
        <f t="shared" si="1692"/>
        <v>7.9689298043728485</v>
      </c>
      <c r="CE240" s="104">
        <f>CE238+CE237+CE236</f>
        <v>1128</v>
      </c>
      <c r="CF240" s="61">
        <f t="shared" si="1692"/>
        <v>4.8132317413120296</v>
      </c>
      <c r="CG240" s="104">
        <f>CG238+CG237+CG236</f>
        <v>1136</v>
      </c>
      <c r="CH240" s="61">
        <f t="shared" si="1692"/>
        <v>13.350628617042503</v>
      </c>
      <c r="CI240" s="104">
        <f>CI238+CI237+CI236</f>
        <v>1107.8999999999999</v>
      </c>
      <c r="CJ240" s="61">
        <f t="shared" si="1692"/>
        <v>1.726195941603148</v>
      </c>
      <c r="CK240" s="104">
        <f>CK238+CK237+CK236</f>
        <v>1217.3999999999999</v>
      </c>
      <c r="CL240" s="61">
        <f t="shared" si="1692"/>
        <v>8.1268318678390461</v>
      </c>
      <c r="CM240" s="104">
        <f>CM238+CM237+CM236</f>
        <v>1146</v>
      </c>
      <c r="CN240" s="61">
        <f t="shared" si="1692"/>
        <v>1.5957446808510634</v>
      </c>
      <c r="CO240" s="104">
        <f>CO238+CO237+CO236</f>
        <v>1229</v>
      </c>
      <c r="CP240" s="61">
        <f t="shared" si="1692"/>
        <v>8.186619718309851</v>
      </c>
      <c r="CQ240" s="104">
        <f>CQ238+CQ237+CQ236</f>
        <v>1176.3</v>
      </c>
      <c r="CR240" s="61">
        <f t="shared" si="1692"/>
        <v>6.1738424045491458</v>
      </c>
      <c r="CS240" s="104">
        <f>CS238+CS237+CS236</f>
        <v>1187</v>
      </c>
      <c r="CT240" s="126">
        <f t="shared" si="1692"/>
        <v>-2.4971250205355622</v>
      </c>
      <c r="CU240" s="104">
        <f>CU238+CU237+CU236</f>
        <v>1227</v>
      </c>
      <c r="CV240" s="126">
        <f t="shared" si="1693"/>
        <v>7.0680628272251411</v>
      </c>
      <c r="CW240" s="104">
        <f>CW238+CW237+CW236</f>
        <v>1235</v>
      </c>
      <c r="CX240" s="126">
        <f t="shared" si="1694"/>
        <v>0.48820179007322828</v>
      </c>
      <c r="CY240" s="104">
        <f>CY238+CY237+CY236</f>
        <v>1296</v>
      </c>
      <c r="CZ240" s="126">
        <f t="shared" si="1695"/>
        <v>10.175975516449887</v>
      </c>
      <c r="DA240" s="104">
        <f>DA238+DA237+DA236</f>
        <v>1297</v>
      </c>
      <c r="DB240" s="61">
        <f t="shared" si="1696"/>
        <v>9.2670598146588077</v>
      </c>
      <c r="DC240" s="104">
        <f>DC238+DC237+DC236</f>
        <v>1241</v>
      </c>
      <c r="DD240" s="61">
        <f t="shared" si="1697"/>
        <v>1.140994295028519</v>
      </c>
      <c r="DE240" s="104">
        <f>DE238+DE237+DE236</f>
        <v>1284</v>
      </c>
      <c r="DF240" s="61">
        <f t="shared" si="1698"/>
        <v>3.9676113360323839</v>
      </c>
      <c r="DG240" s="104">
        <f>DG238+DG237+DG236</f>
        <v>1301</v>
      </c>
      <c r="DH240" s="61">
        <f t="shared" si="1699"/>
        <v>0.38580246913579863</v>
      </c>
      <c r="DI240" s="104">
        <f>DI238+DI237+DI236</f>
        <v>1344</v>
      </c>
      <c r="DJ240" s="61">
        <f t="shared" si="1700"/>
        <v>3.6237471087124051</v>
      </c>
      <c r="DK240" s="104">
        <f>DK238+DK237+DK236</f>
        <v>1337</v>
      </c>
      <c r="DL240" s="61">
        <f t="shared" si="1701"/>
        <v>7.7356970185334495</v>
      </c>
      <c r="DM240" s="104">
        <f>DM238+DM237+DM236</f>
        <v>1363</v>
      </c>
      <c r="DN240" s="130">
        <f t="shared" si="1702"/>
        <v>6.1526479750778851</v>
      </c>
      <c r="DO240" s="104">
        <f>DO238+DO237+DO236</f>
        <v>1446</v>
      </c>
      <c r="DP240" s="130">
        <f t="shared" si="1702"/>
        <v>11.145272867025358</v>
      </c>
      <c r="DQ240" s="104">
        <f>DQ238+DQ237+DQ236</f>
        <v>1858</v>
      </c>
      <c r="DR240" s="130">
        <f t="shared" si="1702"/>
        <v>38.244047619047628</v>
      </c>
      <c r="DS240" s="104">
        <f>DS238+DS237+DS236</f>
        <v>1432</v>
      </c>
      <c r="DT240" s="130">
        <f t="shared" si="1702"/>
        <v>7.1054599850411293</v>
      </c>
      <c r="DU240" s="104">
        <f>DU238+DU237+DU236</f>
        <v>1443</v>
      </c>
      <c r="DV240" s="130">
        <f t="shared" si="1702"/>
        <v>5.8694057226705842</v>
      </c>
      <c r="DW240" s="104">
        <f>DW238+DW237+DW236</f>
        <v>1727</v>
      </c>
      <c r="DX240" s="104">
        <f t="shared" ref="DX240:DY240" si="1732">DX238+DX237+DX236</f>
        <v>1727</v>
      </c>
      <c r="DY240" s="104">
        <f t="shared" si="1732"/>
        <v>1348</v>
      </c>
      <c r="DZ240" s="130">
        <f t="shared" si="1702"/>
        <v>-27.448869752421956</v>
      </c>
      <c r="EA240" s="104">
        <f t="shared" ref="EA240:EC240" si="1733">EA238+EA237+EA236</f>
        <v>1478</v>
      </c>
      <c r="EB240" s="130">
        <f t="shared" si="1703"/>
        <v>3.2122905027933024</v>
      </c>
      <c r="EC240" s="104">
        <f t="shared" si="1733"/>
        <v>1538</v>
      </c>
      <c r="ED240" s="130">
        <f t="shared" si="1704"/>
        <v>6.5835065835065931</v>
      </c>
      <c r="EE240" s="104">
        <f t="shared" ref="EE240:EG240" si="1734">EE238+EE237+EE236</f>
        <v>1630</v>
      </c>
      <c r="EF240" s="130">
        <f t="shared" si="1705"/>
        <v>-5.6166763173132628</v>
      </c>
      <c r="EG240" s="104">
        <f t="shared" si="1734"/>
        <v>1600</v>
      </c>
      <c r="EH240" s="130">
        <f t="shared" si="1706"/>
        <v>18.694362017804146</v>
      </c>
      <c r="EI240" s="104">
        <f t="shared" ref="EI240:EK240" si="1735">EI238+EI237+EI236</f>
        <v>1606</v>
      </c>
      <c r="EJ240" s="130">
        <f t="shared" si="1707"/>
        <v>8.6603518267929669</v>
      </c>
      <c r="EK240" s="104">
        <f t="shared" si="1735"/>
        <v>1655</v>
      </c>
      <c r="EL240" s="130">
        <f t="shared" si="1708"/>
        <v>7.6072821846554062</v>
      </c>
      <c r="EM240" s="104">
        <f t="shared" ref="EM240" si="1736">EM238+EM237+EM236</f>
        <v>1614</v>
      </c>
      <c r="EN240" s="130">
        <f t="shared" si="1709"/>
        <v>-0.98159509202454531</v>
      </c>
      <c r="EO240" s="104">
        <f t="shared" ref="EO240" si="1737">EO238+EO237+EO236</f>
        <v>1684</v>
      </c>
      <c r="EP240" s="130">
        <f t="shared" si="1710"/>
        <v>5.2499999999999991</v>
      </c>
      <c r="EQ240" s="102">
        <f t="shared" ref="EQ240:EW240" si="1738">EQ236+EQ237+EQ238</f>
        <v>1675.7458701341982</v>
      </c>
      <c r="ER240" s="130">
        <f t="shared" si="1712"/>
        <v>4.3428312661393687</v>
      </c>
      <c r="ES240" s="102">
        <f t="shared" si="1738"/>
        <v>1684.5756288284897</v>
      </c>
      <c r="ET240" s="130">
        <f t="shared" si="1714"/>
        <v>1.7870470591232479</v>
      </c>
      <c r="EU240" s="102">
        <f t="shared" si="1738"/>
        <v>1696.2328124036881</v>
      </c>
      <c r="EV240" s="130">
        <f t="shared" si="1716"/>
        <v>5.0949697895717572</v>
      </c>
      <c r="EW240" s="102">
        <f t="shared" si="1738"/>
        <v>1711.1663914321784</v>
      </c>
      <c r="EX240" s="130">
        <f t="shared" si="1718"/>
        <v>1.6132061420533583</v>
      </c>
      <c r="EY240" s="103"/>
      <c r="EZ240" s="558"/>
      <c r="FA240" s="103"/>
      <c r="FB240" s="102"/>
      <c r="FC240" s="100"/>
      <c r="FD240" s="102"/>
      <c r="FE240" s="70"/>
      <c r="FF240" s="102"/>
      <c r="FG240" s="70"/>
      <c r="FH240" s="102"/>
      <c r="FI240" s="70"/>
      <c r="FJ240" s="102"/>
      <c r="FK240" s="70"/>
      <c r="FL240" s="104"/>
      <c r="FM240" s="61"/>
      <c r="FN240" s="104">
        <f>SUM(FN236:FN238)</f>
        <v>1863</v>
      </c>
      <c r="FO240" s="61"/>
      <c r="FP240" s="104">
        <f>AW240+AU240+AS240+AQ240</f>
        <v>1910.6</v>
      </c>
      <c r="FQ240" s="61">
        <f t="shared" si="1719"/>
        <v>2.5550187869028296</v>
      </c>
      <c r="FR240" s="104">
        <f>AY240+BA240+BC240+BE240</f>
        <v>3255.6</v>
      </c>
      <c r="FS240" s="61">
        <f t="shared" si="1720"/>
        <v>70.396734010258569</v>
      </c>
      <c r="FT240" s="104">
        <f>BG240+BI240+BK240+BM240</f>
        <v>4052.8</v>
      </c>
      <c r="FU240" s="61">
        <f t="shared" si="1721"/>
        <v>24.487037719621576</v>
      </c>
      <c r="FV240" s="104">
        <f>BO240+BQ240+BS240+BU240</f>
        <v>4255.7</v>
      </c>
      <c r="FW240" s="61">
        <f t="shared" si="1722"/>
        <v>5.0064153178049686</v>
      </c>
      <c r="FX240" s="160">
        <f>BW240+BY240+CA240+CC240</f>
        <v>4293.3999999999996</v>
      </c>
      <c r="FY240" s="61">
        <f t="shared" si="1723"/>
        <v>0.88587071457104649</v>
      </c>
      <c r="FZ240" s="160">
        <f>CE240+CG240+CI240+CK240</f>
        <v>4589.2999999999993</v>
      </c>
      <c r="GA240" s="61">
        <f t="shared" si="1724"/>
        <v>6.8919737271160297</v>
      </c>
      <c r="GB240" s="160">
        <f>CM240+CO240+CQ240+CS240</f>
        <v>4738.3</v>
      </c>
      <c r="GC240" s="61">
        <f t="shared" si="1725"/>
        <v>3.2466825005992295</v>
      </c>
      <c r="GD240" s="160">
        <f>CU240+CW240+CY240+DA240</f>
        <v>5055</v>
      </c>
      <c r="GE240" s="61">
        <f t="shared" si="1726"/>
        <v>6.6838317540045988</v>
      </c>
      <c r="GF240" s="160">
        <f>DC240+DE240+DG240+DI240</f>
        <v>5170</v>
      </c>
      <c r="GG240" s="61">
        <f t="shared" si="1726"/>
        <v>2.2749752720079064</v>
      </c>
      <c r="GH240" s="160">
        <f>DK240+DM240+DO240+DQ240</f>
        <v>6004</v>
      </c>
      <c r="GI240" s="61">
        <f t="shared" si="1726"/>
        <v>16.131528046421661</v>
      </c>
      <c r="GJ240" s="160">
        <f>DS240+DU240+DW240+DY240</f>
        <v>5950</v>
      </c>
      <c r="GK240" s="61">
        <f t="shared" si="1726"/>
        <v>-0.89940039973350761</v>
      </c>
      <c r="GL240" s="160">
        <f>EA240+EC240+EE240+EG240</f>
        <v>6246</v>
      </c>
      <c r="GM240" s="61">
        <f t="shared" si="1726"/>
        <v>4.9747899159663822</v>
      </c>
      <c r="GN240" s="160">
        <f>EI240+EK240+EM240+EO240</f>
        <v>6559</v>
      </c>
      <c r="GO240" s="61">
        <f t="shared" si="1726"/>
        <v>5.0112071725904483</v>
      </c>
      <c r="GP240" s="160">
        <f>EQ240+ES240+EU240+EW240</f>
        <v>6767.7207027985532</v>
      </c>
      <c r="GQ240" s="61">
        <f t="shared" si="1726"/>
        <v>3.1822031224051361</v>
      </c>
      <c r="GR240" s="102">
        <f>GR236+GR237+GR238</f>
        <v>6975.9489252621988</v>
      </c>
      <c r="GS240" s="61">
        <f t="shared" si="1726"/>
        <v>3.0767851039943173</v>
      </c>
      <c r="GT240" s="102">
        <f>GT236+GT237+GT238</f>
        <v>7177.0859860213332</v>
      </c>
      <c r="GU240" s="61">
        <f t="shared" si="1726"/>
        <v>2.883293196582204</v>
      </c>
      <c r="GV240" s="102">
        <f>GV236+GV237+GV238</f>
        <v>7390.4205868411864</v>
      </c>
      <c r="GW240" s="61">
        <f t="shared" si="1726"/>
        <v>2.972440364172324</v>
      </c>
      <c r="GX240" s="102">
        <f>GX236+GX237+GX238</f>
        <v>7616.4914187356562</v>
      </c>
      <c r="GY240" s="61">
        <f t="shared" si="1727"/>
        <v>3.0589711267176689</v>
      </c>
      <c r="GZ240" s="61">
        <f t="shared" si="1691"/>
        <v>3.0346891621191974</v>
      </c>
      <c r="HA240" s="61"/>
      <c r="HB240" s="452"/>
      <c r="HC240"/>
      <c r="HD240"/>
      <c r="HE240"/>
      <c r="HF240"/>
      <c r="HG240"/>
      <c r="HH240"/>
    </row>
    <row r="241" spans="2:216" s="106" customFormat="1" ht="12.75" customHeight="1" x14ac:dyDescent="0.2">
      <c r="B241" s="63" t="s">
        <v>75</v>
      </c>
      <c r="C241" s="102"/>
      <c r="D241" s="99"/>
      <c r="E241" s="102"/>
      <c r="F241" s="100"/>
      <c r="G241" s="102"/>
      <c r="H241" s="100"/>
      <c r="I241" s="102"/>
      <c r="J241" s="101"/>
      <c r="K241" s="104"/>
      <c r="L241" s="61"/>
      <c r="M241" s="104"/>
      <c r="N241" s="61"/>
      <c r="O241" s="104"/>
      <c r="P241" s="61"/>
      <c r="Q241" s="104"/>
      <c r="R241" s="61"/>
      <c r="S241" s="104"/>
      <c r="T241" s="61"/>
      <c r="U241" s="104"/>
      <c r="V241" s="61"/>
      <c r="W241" s="104"/>
      <c r="X241" s="61"/>
      <c r="Y241" s="104"/>
      <c r="Z241" s="61"/>
      <c r="AA241" s="104"/>
      <c r="AB241" s="61"/>
      <c r="AC241" s="104"/>
      <c r="AD241" s="61"/>
      <c r="AE241" s="104"/>
      <c r="AF241" s="61"/>
      <c r="AG241" s="104"/>
      <c r="AH241" s="61"/>
      <c r="AI241" s="104"/>
      <c r="AJ241" s="61"/>
      <c r="AK241" s="104"/>
      <c r="AL241" s="61"/>
      <c r="AM241" s="104"/>
      <c r="AN241" s="61"/>
      <c r="AO241" s="159"/>
      <c r="AP241" s="61"/>
      <c r="AQ241" s="104">
        <f>AQ240-AQ239</f>
        <v>336.70000000000005</v>
      </c>
      <c r="AR241" s="61"/>
      <c r="AS241" s="104">
        <f>AS240-AS239</f>
        <v>337.40000000000003</v>
      </c>
      <c r="AT241" s="61"/>
      <c r="AU241" s="104">
        <f>AU240-AU239</f>
        <v>317.5</v>
      </c>
      <c r="AV241" s="61"/>
      <c r="AW241" s="104">
        <f>AW240-AW239</f>
        <v>359.1</v>
      </c>
      <c r="AX241" s="61"/>
      <c r="AY241" s="104">
        <f>AY240-AY239</f>
        <v>358.3</v>
      </c>
      <c r="AZ241" s="61"/>
      <c r="BA241" s="104">
        <f>BA240-BA239</f>
        <v>659.9</v>
      </c>
      <c r="BB241" s="61"/>
      <c r="BC241" s="104">
        <f>BC240-BC239</f>
        <v>648.19999999999993</v>
      </c>
      <c r="BD241" s="61"/>
      <c r="BE241" s="104">
        <f>BE240-BE239</f>
        <v>707.09999999999991</v>
      </c>
      <c r="BF241" s="61"/>
      <c r="BG241" s="104">
        <f>BG240-BG239</f>
        <v>719.7</v>
      </c>
      <c r="BH241" s="61" t="str">
        <f t="shared" si="1692"/>
        <v>NM</v>
      </c>
      <c r="BI241" s="104">
        <f>BI240-BI239</f>
        <v>703.5</v>
      </c>
      <c r="BJ241" s="61">
        <f t="shared" si="1692"/>
        <v>6.6070616760115275</v>
      </c>
      <c r="BK241" s="104">
        <f>BK240-BK239</f>
        <v>762.80000000000007</v>
      </c>
      <c r="BL241" s="61">
        <f t="shared" si="1692"/>
        <v>17.679728478864565</v>
      </c>
      <c r="BM241" s="104">
        <f>BM240-BM239</f>
        <v>769.99999999999977</v>
      </c>
      <c r="BN241" s="61">
        <f t="shared" si="1692"/>
        <v>8.8954886154716242</v>
      </c>
      <c r="BO241" s="104">
        <f>BO240-BO239</f>
        <v>756.60000000000014</v>
      </c>
      <c r="BP241" s="61">
        <f t="shared" si="1692"/>
        <v>5.1271363067945108</v>
      </c>
      <c r="BQ241" s="104">
        <f>BQ240-BQ239</f>
        <v>785.30000000000007</v>
      </c>
      <c r="BR241" s="61">
        <f t="shared" si="1692"/>
        <v>11.627576403695826</v>
      </c>
      <c r="BS241" s="104">
        <f>BS240-BS239</f>
        <v>769.2</v>
      </c>
      <c r="BT241" s="61">
        <f t="shared" si="1692"/>
        <v>0.83901415836391546</v>
      </c>
      <c r="BU241" s="104">
        <f>BU240-BU239</f>
        <v>742.09999999999991</v>
      </c>
      <c r="BV241" s="61">
        <f t="shared" si="1692"/>
        <v>-3.6233766233766063</v>
      </c>
      <c r="BW241" s="104">
        <f>BW240-BW239</f>
        <v>773.40000000000009</v>
      </c>
      <c r="BX241" s="61">
        <f t="shared" si="1692"/>
        <v>2.2204599524187074</v>
      </c>
      <c r="BY241" s="104">
        <f>BY240-BY239</f>
        <v>711.40000000000009</v>
      </c>
      <c r="BZ241" s="61">
        <f t="shared" si="1692"/>
        <v>-9.4104164013752651</v>
      </c>
      <c r="CA241" s="104">
        <f>CA240-CA239</f>
        <v>796.19999999999993</v>
      </c>
      <c r="CB241" s="61">
        <f t="shared" si="1692"/>
        <v>3.5101404056162133</v>
      </c>
      <c r="CC241" s="104">
        <f>CC240-CC239</f>
        <v>828.2</v>
      </c>
      <c r="CD241" s="61">
        <f t="shared" si="1692"/>
        <v>11.602209944751408</v>
      </c>
      <c r="CE241" s="104">
        <f>CE240-CE239</f>
        <v>831.1</v>
      </c>
      <c r="CF241" s="61">
        <f t="shared" si="1692"/>
        <v>7.4605637445047668</v>
      </c>
      <c r="CG241" s="104">
        <f>CG240-CG239</f>
        <v>837.2</v>
      </c>
      <c r="CH241" s="61">
        <f t="shared" si="1692"/>
        <v>17.683441102052289</v>
      </c>
      <c r="CI241" s="104">
        <f>CI240-CI239</f>
        <v>808.39999999999986</v>
      </c>
      <c r="CJ241" s="61">
        <f t="shared" si="1692"/>
        <v>1.5322783220296232</v>
      </c>
      <c r="CK241" s="104">
        <f>CK240-CK239</f>
        <v>914.49999999999989</v>
      </c>
      <c r="CL241" s="61">
        <f t="shared" si="1692"/>
        <v>10.420188360299431</v>
      </c>
      <c r="CM241" s="104">
        <f>CM240-CM239</f>
        <v>844</v>
      </c>
      <c r="CN241" s="61">
        <f t="shared" si="1692"/>
        <v>1.5521597882324656</v>
      </c>
      <c r="CO241" s="104">
        <f>CO240-CO239</f>
        <v>921.5</v>
      </c>
      <c r="CP241" s="61">
        <f t="shared" si="1692"/>
        <v>10.069278547539406</v>
      </c>
      <c r="CQ241" s="104">
        <f>CQ240-CQ239</f>
        <v>864.4</v>
      </c>
      <c r="CR241" s="61">
        <f t="shared" si="1692"/>
        <v>6.9272637308263496</v>
      </c>
      <c r="CS241" s="104">
        <f>CS240-CS239</f>
        <v>869</v>
      </c>
      <c r="CT241" s="61">
        <f t="shared" si="1692"/>
        <v>-4.9753963914707322</v>
      </c>
      <c r="CU241" s="104">
        <f>CU240-CU239</f>
        <v>915</v>
      </c>
      <c r="CV241" s="61">
        <f t="shared" si="1693"/>
        <v>8.412322274881511</v>
      </c>
      <c r="CW241" s="104">
        <f>CW240-CW239</f>
        <v>923</v>
      </c>
      <c r="CX241" s="61">
        <f t="shared" si="1694"/>
        <v>0.16277807921867282</v>
      </c>
      <c r="CY241" s="104">
        <f>CY240-CY239</f>
        <v>976</v>
      </c>
      <c r="CZ241" s="61">
        <f t="shared" si="1695"/>
        <v>12.910689495603901</v>
      </c>
      <c r="DA241" s="104">
        <f>DA240-DA239</f>
        <v>981</v>
      </c>
      <c r="DB241" s="61">
        <f t="shared" si="1696"/>
        <v>12.888377445339462</v>
      </c>
      <c r="DC241" s="104">
        <f>DC240-DC239</f>
        <v>921</v>
      </c>
      <c r="DD241" s="61">
        <f t="shared" si="1697"/>
        <v>0.65573770491802463</v>
      </c>
      <c r="DE241" s="104">
        <f>DE240-DE239</f>
        <v>959</v>
      </c>
      <c r="DF241" s="61">
        <f t="shared" si="1698"/>
        <v>3.9003250270855938</v>
      </c>
      <c r="DG241" s="104">
        <f>DG240-DG239</f>
        <v>972</v>
      </c>
      <c r="DH241" s="61">
        <f t="shared" si="1699"/>
        <v>-0.4098360655737654</v>
      </c>
      <c r="DI241" s="104">
        <f>DI240-DI239</f>
        <v>1012</v>
      </c>
      <c r="DJ241" s="61">
        <f t="shared" si="1700"/>
        <v>3.1600407747196746</v>
      </c>
      <c r="DK241" s="104">
        <f>DK240-DK239</f>
        <v>1003</v>
      </c>
      <c r="DL241" s="61">
        <f t="shared" si="1701"/>
        <v>8.9033659066232396</v>
      </c>
      <c r="DM241" s="104">
        <f>DM240-DM239</f>
        <v>1026</v>
      </c>
      <c r="DN241" s="130">
        <f t="shared" si="1702"/>
        <v>6.9864442127215876</v>
      </c>
      <c r="DO241" s="104">
        <f>DO240-DO239</f>
        <v>1109</v>
      </c>
      <c r="DP241" s="130">
        <f t="shared" si="1702"/>
        <v>14.094650205761328</v>
      </c>
      <c r="DQ241" s="104">
        <f>DQ240-DQ239</f>
        <v>1517</v>
      </c>
      <c r="DR241" s="130">
        <f t="shared" si="1702"/>
        <v>49.901185770750978</v>
      </c>
      <c r="DS241" s="104">
        <f>DS240-DS239</f>
        <v>1094</v>
      </c>
      <c r="DT241" s="130">
        <f t="shared" si="1702"/>
        <v>9.0727816550348894</v>
      </c>
      <c r="DU241" s="104">
        <f>DU240-DU239</f>
        <v>1098</v>
      </c>
      <c r="DV241" s="130">
        <f t="shared" si="1702"/>
        <v>7.0175438596491224</v>
      </c>
      <c r="DW241" s="104">
        <f>DW240-DW239</f>
        <v>1383</v>
      </c>
      <c r="DX241" s="104">
        <f t="shared" ref="DX241:DY241" si="1739">DX240-DX239</f>
        <v>1383</v>
      </c>
      <c r="DY241" s="104">
        <f t="shared" si="1739"/>
        <v>996</v>
      </c>
      <c r="DZ241" s="130">
        <f t="shared" si="1702"/>
        <v>-34.344100197758735</v>
      </c>
      <c r="EA241" s="104">
        <f t="shared" ref="EA241:EC241" si="1740">EA240-EA239</f>
        <v>1130</v>
      </c>
      <c r="EB241" s="130">
        <f t="shared" si="1703"/>
        <v>3.2906764168190161</v>
      </c>
      <c r="EC241" s="104">
        <f t="shared" si="1740"/>
        <v>1189</v>
      </c>
      <c r="ED241" s="130">
        <f t="shared" si="1704"/>
        <v>8.287795992714031</v>
      </c>
      <c r="EE241" s="104">
        <f t="shared" ref="EE241:EG241" si="1741">EE240-EE239</f>
        <v>1281</v>
      </c>
      <c r="EF241" s="130">
        <f t="shared" si="1705"/>
        <v>-7.3752711496746226</v>
      </c>
      <c r="EG241" s="104">
        <f t="shared" si="1741"/>
        <v>1252</v>
      </c>
      <c r="EH241" s="130">
        <f t="shared" si="1706"/>
        <v>25.702811244979927</v>
      </c>
      <c r="EI241" s="104">
        <f t="shared" ref="EI241:EK241" si="1742">EI240-EI239</f>
        <v>1257</v>
      </c>
      <c r="EJ241" s="130">
        <f t="shared" si="1707"/>
        <v>11.238938053097346</v>
      </c>
      <c r="EK241" s="104">
        <f t="shared" si="1742"/>
        <v>1306</v>
      </c>
      <c r="EL241" s="130">
        <f t="shared" si="1708"/>
        <v>9.8402018502943722</v>
      </c>
      <c r="EM241" s="104">
        <f t="shared" ref="EM241" si="1743">EM240-EM239</f>
        <v>1264</v>
      </c>
      <c r="EN241" s="130">
        <f t="shared" si="1709"/>
        <v>-1.3270882123341154</v>
      </c>
      <c r="EO241" s="104">
        <f t="shared" ref="EO241" si="1744">EO240-EO239</f>
        <v>1329</v>
      </c>
      <c r="EP241" s="130">
        <f t="shared" si="1710"/>
        <v>6.1501597444089562</v>
      </c>
      <c r="EQ241" s="104">
        <f t="shared" ref="EQ241:EW241" si="1745">EQ240-EQ239</f>
        <v>1318.7413630965468</v>
      </c>
      <c r="ER241" s="130">
        <f t="shared" si="1712"/>
        <v>4.9118029511970418</v>
      </c>
      <c r="ES241" s="104">
        <f t="shared" si="1745"/>
        <v>1325.3977284131056</v>
      </c>
      <c r="ET241" s="130">
        <f t="shared" si="1714"/>
        <v>1.4852778264246247</v>
      </c>
      <c r="EU241" s="104">
        <f t="shared" si="1745"/>
        <v>1334.8817988551348</v>
      </c>
      <c r="EV241" s="130">
        <f t="shared" si="1716"/>
        <v>5.6077372511973644</v>
      </c>
      <c r="EW241" s="104">
        <f t="shared" si="1745"/>
        <v>1347.6214974161173</v>
      </c>
      <c r="EX241" s="130">
        <f t="shared" si="1718"/>
        <v>1.4011660960208783</v>
      </c>
      <c r="EY241" s="103"/>
      <c r="EZ241" s="558"/>
      <c r="FA241" s="103"/>
      <c r="FB241" s="102"/>
      <c r="FC241" s="100"/>
      <c r="FD241" s="102"/>
      <c r="FE241" s="70"/>
      <c r="FF241" s="102"/>
      <c r="FG241" s="70"/>
      <c r="FH241" s="102"/>
      <c r="FI241" s="70"/>
      <c r="FJ241" s="102"/>
      <c r="FK241" s="70"/>
      <c r="FL241" s="104"/>
      <c r="FM241" s="61"/>
      <c r="FN241" s="104">
        <f>FN240-FN239</f>
        <v>1863</v>
      </c>
      <c r="FO241" s="61"/>
      <c r="FP241" s="104">
        <f>FP240-FP239</f>
        <v>1350.6999999999998</v>
      </c>
      <c r="FQ241" s="61">
        <f t="shared" si="1719"/>
        <v>-27.498658078368234</v>
      </c>
      <c r="FR241" s="104">
        <f>FR240-FR239</f>
        <v>2373.5</v>
      </c>
      <c r="FS241" s="61">
        <f t="shared" si="1720"/>
        <v>75.723698822832631</v>
      </c>
      <c r="FT241" s="104">
        <f>FT240-FT239</f>
        <v>2956</v>
      </c>
      <c r="FU241" s="61">
        <f t="shared" si="1721"/>
        <v>24.541815883716023</v>
      </c>
      <c r="FV241" s="104">
        <f>FV240-FV239</f>
        <v>3053.2</v>
      </c>
      <c r="FW241" s="61">
        <f t="shared" si="1722"/>
        <v>3.2882273342354384</v>
      </c>
      <c r="FX241" s="104">
        <f>FX240-FX239</f>
        <v>3109.2</v>
      </c>
      <c r="FY241" s="61">
        <f t="shared" si="1723"/>
        <v>1.8341412288746195</v>
      </c>
      <c r="FZ241" s="104">
        <f>FZ240-FZ239</f>
        <v>3391.1999999999994</v>
      </c>
      <c r="GA241" s="61">
        <f t="shared" si="1724"/>
        <v>9.0698571979930485</v>
      </c>
      <c r="GB241" s="104">
        <f>GB240-GB239</f>
        <v>3498.9</v>
      </c>
      <c r="GC241" s="61">
        <f t="shared" si="1725"/>
        <v>3.1758669497523151</v>
      </c>
      <c r="GD241" s="104">
        <f>GD240-GD239</f>
        <v>3795</v>
      </c>
      <c r="GE241" s="61">
        <f t="shared" si="1726"/>
        <v>8.4626596930463815</v>
      </c>
      <c r="GF241" s="104">
        <f>GF240-GF239</f>
        <v>3864</v>
      </c>
      <c r="GG241" s="61">
        <f t="shared" si="1726"/>
        <v>1.8181818181818077</v>
      </c>
      <c r="GH241" s="104">
        <f>GH240-GH239</f>
        <v>4655</v>
      </c>
      <c r="GI241" s="61">
        <f t="shared" si="1726"/>
        <v>20.471014492753614</v>
      </c>
      <c r="GJ241" s="104">
        <f>GJ240-GJ239</f>
        <v>4571</v>
      </c>
      <c r="GK241" s="61">
        <f t="shared" si="1726"/>
        <v>-1.8045112781954864</v>
      </c>
      <c r="GL241" s="104">
        <f>GL240-GL239</f>
        <v>4852</v>
      </c>
      <c r="GM241" s="61">
        <f t="shared" si="1726"/>
        <v>6.1474513235615813</v>
      </c>
      <c r="GN241" s="104">
        <f>GN240-GN239</f>
        <v>5156</v>
      </c>
      <c r="GO241" s="61">
        <f t="shared" si="1726"/>
        <v>6.2654575432811166</v>
      </c>
      <c r="GP241" s="104">
        <f>GP240-GP239</f>
        <v>5326.6423877809029</v>
      </c>
      <c r="GQ241" s="61">
        <f t="shared" si="1726"/>
        <v>3.309588591561341</v>
      </c>
      <c r="GR241" s="104">
        <f>GR240-GR239</f>
        <v>5498.6929815065714</v>
      </c>
      <c r="GS241" s="61">
        <f t="shared" si="1726"/>
        <v>3.2300008373069122</v>
      </c>
      <c r="GT241" s="104">
        <f>GT240-GT239</f>
        <v>5654.9733719384058</v>
      </c>
      <c r="GU241" s="61">
        <f t="shared" si="1726"/>
        <v>2.8421370488849407</v>
      </c>
      <c r="GV241" s="104">
        <f>GV240-GV239</f>
        <v>5829.6024552812269</v>
      </c>
      <c r="GW241" s="61">
        <f t="shared" si="1726"/>
        <v>3.0880619917572183</v>
      </c>
      <c r="GX241" s="104">
        <f>GX240-GX239</f>
        <v>6015.4162274938199</v>
      </c>
      <c r="GY241" s="61">
        <f t="shared" si="1727"/>
        <v>3.1874175578517905</v>
      </c>
      <c r="GZ241" s="61">
        <f t="shared" si="1691"/>
        <v>3.1313148851394912</v>
      </c>
      <c r="HA241" s="61"/>
      <c r="HB241" s="452"/>
      <c r="HC241"/>
      <c r="HD241"/>
      <c r="HE241"/>
      <c r="HF241"/>
      <c r="HG241"/>
      <c r="HH241"/>
    </row>
    <row r="242" spans="2:216" s="106" customFormat="1" ht="12.75" customHeight="1" x14ac:dyDescent="0.2">
      <c r="B242" s="63"/>
      <c r="C242" s="102"/>
      <c r="D242" s="99"/>
      <c r="E242" s="102"/>
      <c r="F242" s="100"/>
      <c r="G242" s="102"/>
      <c r="H242" s="100"/>
      <c r="I242" s="102"/>
      <c r="J242" s="101"/>
      <c r="K242" s="104"/>
      <c r="L242" s="61"/>
      <c r="M242" s="104"/>
      <c r="N242" s="61"/>
      <c r="O242" s="104"/>
      <c r="P242" s="61"/>
      <c r="Q242" s="104"/>
      <c r="R242" s="61"/>
      <c r="S242" s="104"/>
      <c r="T242" s="61"/>
      <c r="U242" s="104"/>
      <c r="V242" s="61"/>
      <c r="W242" s="104"/>
      <c r="X242" s="61"/>
      <c r="Y242" s="104"/>
      <c r="Z242" s="61"/>
      <c r="AA242" s="104"/>
      <c r="AB242" s="61"/>
      <c r="AC242" s="104"/>
      <c r="AD242" s="61"/>
      <c r="AE242" s="104"/>
      <c r="AF242" s="61"/>
      <c r="AG242" s="104"/>
      <c r="AH242" s="61"/>
      <c r="AI242" s="104"/>
      <c r="AJ242" s="61"/>
      <c r="AK242" s="104"/>
      <c r="AL242" s="61"/>
      <c r="AM242" s="104"/>
      <c r="AN242" s="61"/>
      <c r="AO242" s="159"/>
      <c r="AP242" s="61"/>
      <c r="AQ242" s="104"/>
      <c r="AR242" s="61"/>
      <c r="AS242" s="104"/>
      <c r="AT242" s="61"/>
      <c r="AU242" s="104"/>
      <c r="AV242" s="61"/>
      <c r="AW242" s="104"/>
      <c r="AX242" s="61"/>
      <c r="AY242" s="104"/>
      <c r="AZ242" s="61"/>
      <c r="BA242" s="104"/>
      <c r="BB242" s="61"/>
      <c r="BC242" s="104"/>
      <c r="BD242" s="61"/>
      <c r="BE242" s="104"/>
      <c r="BF242" s="61"/>
      <c r="BG242" s="104"/>
      <c r="BH242" s="61"/>
      <c r="BI242" s="104"/>
      <c r="BJ242" s="61"/>
      <c r="BK242" s="104"/>
      <c r="BL242" s="61"/>
      <c r="BM242" s="104"/>
      <c r="BN242" s="61"/>
      <c r="BO242" s="104"/>
      <c r="BP242" s="61"/>
      <c r="BQ242" s="104"/>
      <c r="BR242" s="61"/>
      <c r="BS242" s="104"/>
      <c r="BT242" s="61"/>
      <c r="BU242" s="104"/>
      <c r="BV242" s="61"/>
      <c r="BW242" s="104"/>
      <c r="BX242" s="61"/>
      <c r="BY242" s="104"/>
      <c r="BZ242" s="61"/>
      <c r="CA242" s="104"/>
      <c r="CB242" s="61"/>
      <c r="CC242" s="104"/>
      <c r="CD242" s="61"/>
      <c r="CE242" s="104"/>
      <c r="CF242" s="61"/>
      <c r="CG242" s="104"/>
      <c r="CH242" s="61"/>
      <c r="CI242" s="104"/>
      <c r="CJ242" s="61"/>
      <c r="CK242" s="104"/>
      <c r="CL242" s="61"/>
      <c r="CM242" s="104"/>
      <c r="CN242" s="61"/>
      <c r="CO242" s="104"/>
      <c r="CP242" s="61"/>
      <c r="CQ242" s="104"/>
      <c r="CR242" s="61"/>
      <c r="CS242" s="104"/>
      <c r="CT242" s="61"/>
      <c r="CU242" s="104"/>
      <c r="CV242" s="61"/>
      <c r="CW242" s="104"/>
      <c r="CX242" s="61"/>
      <c r="CY242" s="104"/>
      <c r="CZ242" s="61"/>
      <c r="DA242" s="104"/>
      <c r="DB242" s="61"/>
      <c r="DC242" s="104"/>
      <c r="DD242" s="61"/>
      <c r="DE242" s="104"/>
      <c r="DF242" s="61"/>
      <c r="DG242" s="104"/>
      <c r="DH242" s="61"/>
      <c r="DI242" s="104"/>
      <c r="DJ242" s="61"/>
      <c r="DK242" s="104"/>
      <c r="DL242" s="61"/>
      <c r="DM242" s="104"/>
      <c r="DN242" s="61"/>
      <c r="DO242" s="104"/>
      <c r="DP242" s="61"/>
      <c r="DQ242" s="104"/>
      <c r="DR242" s="61"/>
      <c r="DS242" s="104"/>
      <c r="DT242" s="795"/>
      <c r="DU242" s="104"/>
      <c r="DV242" s="61"/>
      <c r="DW242" s="104"/>
      <c r="DX242" s="104"/>
      <c r="DY242" s="104"/>
      <c r="DZ242" s="61"/>
      <c r="EA242" s="104"/>
      <c r="EB242" s="61"/>
      <c r="EC242" s="104"/>
      <c r="ED242" s="61"/>
      <c r="EE242" s="104"/>
      <c r="EF242" s="61"/>
      <c r="EG242" s="104"/>
      <c r="EH242" s="61"/>
      <c r="EI242" s="104"/>
      <c r="EJ242" s="61"/>
      <c r="EK242" s="104"/>
      <c r="EL242" s="61"/>
      <c r="EM242" s="104"/>
      <c r="EN242" s="61"/>
      <c r="EO242" s="104"/>
      <c r="EP242" s="61"/>
      <c r="EQ242" s="104"/>
      <c r="ER242" s="61"/>
      <c r="ES242" s="104"/>
      <c r="ET242" s="61"/>
      <c r="EU242" s="104"/>
      <c r="EV242" s="61"/>
      <c r="EW242" s="104"/>
      <c r="EX242" s="61"/>
      <c r="EY242" s="103"/>
      <c r="EZ242" s="558"/>
      <c r="FA242" s="103"/>
      <c r="FB242" s="102"/>
      <c r="FC242" s="100"/>
      <c r="FD242" s="102"/>
      <c r="FE242" s="70"/>
      <c r="FF242" s="102"/>
      <c r="FG242" s="70"/>
      <c r="FH242" s="102"/>
      <c r="FI242" s="70"/>
      <c r="FJ242" s="102"/>
      <c r="FK242" s="70"/>
      <c r="FL242" s="102"/>
      <c r="FM242" s="61"/>
      <c r="FN242" s="102"/>
      <c r="FO242" s="61"/>
      <c r="FP242" s="104"/>
      <c r="FQ242" s="61"/>
      <c r="FR242" s="104"/>
      <c r="FS242" s="61"/>
      <c r="FT242" s="104"/>
      <c r="FU242" s="61"/>
      <c r="FV242" s="104"/>
      <c r="FW242" s="61"/>
      <c r="FX242" s="104"/>
      <c r="FY242" s="61"/>
      <c r="FZ242" s="104"/>
      <c r="GA242" s="61"/>
      <c r="GB242" s="104"/>
      <c r="GC242" s="61"/>
      <c r="GD242" s="104"/>
      <c r="GE242" s="61"/>
      <c r="GF242" s="104"/>
      <c r="GG242" s="61"/>
      <c r="GH242" s="104"/>
      <c r="GI242" s="61"/>
      <c r="GJ242" s="104"/>
      <c r="GK242" s="61"/>
      <c r="GL242" s="104"/>
      <c r="GM242" s="61"/>
      <c r="GN242" s="104"/>
      <c r="GO242" s="61"/>
      <c r="GP242" s="104"/>
      <c r="GQ242" s="61"/>
      <c r="GR242" s="104"/>
      <c r="GS242" s="61"/>
      <c r="GT242" s="104"/>
      <c r="GU242" s="61"/>
      <c r="GV242" s="104"/>
      <c r="GW242" s="61"/>
      <c r="GX242" s="104"/>
      <c r="GY242" s="61"/>
      <c r="GZ242" s="61" t="str">
        <f t="shared" si="1691"/>
        <v/>
      </c>
      <c r="HA242" s="61"/>
      <c r="HB242" s="452"/>
      <c r="HC242"/>
      <c r="HD242"/>
      <c r="HE242"/>
      <c r="HF242"/>
      <c r="HG242"/>
      <c r="HH242"/>
    </row>
    <row r="243" spans="2:216" s="106" customFormat="1" ht="12.75" customHeight="1" x14ac:dyDescent="0.2">
      <c r="B243" s="63" t="s">
        <v>635</v>
      </c>
      <c r="C243" s="102"/>
      <c r="D243" s="99"/>
      <c r="E243" s="102"/>
      <c r="F243" s="100"/>
      <c r="G243" s="102"/>
      <c r="H243" s="100"/>
      <c r="I243" s="102"/>
      <c r="J243" s="101"/>
      <c r="K243" s="104"/>
      <c r="L243" s="61"/>
      <c r="M243" s="104"/>
      <c r="N243" s="61"/>
      <c r="O243" s="104"/>
      <c r="P243" s="61"/>
      <c r="Q243" s="104"/>
      <c r="R243" s="61"/>
      <c r="S243" s="104"/>
      <c r="T243" s="61"/>
      <c r="U243" s="104"/>
      <c r="V243" s="61"/>
      <c r="W243" s="104"/>
      <c r="X243" s="61"/>
      <c r="Y243" s="104"/>
      <c r="Z243" s="61"/>
      <c r="AA243" s="104"/>
      <c r="AB243" s="61"/>
      <c r="AC243" s="104"/>
      <c r="AD243" s="61"/>
      <c r="AE243" s="104"/>
      <c r="AF243" s="61"/>
      <c r="AG243" s="104"/>
      <c r="AH243" s="61"/>
      <c r="AI243" s="104"/>
      <c r="AJ243" s="61"/>
      <c r="AK243" s="104"/>
      <c r="AL243" s="61"/>
      <c r="AM243" s="104"/>
      <c r="AN243" s="61"/>
      <c r="AO243" s="159"/>
      <c r="AP243" s="61"/>
      <c r="AQ243" s="104"/>
      <c r="AR243" s="61"/>
      <c r="AS243" s="104"/>
      <c r="AT243" s="61"/>
      <c r="AU243" s="104"/>
      <c r="AV243" s="61"/>
      <c r="AW243" s="104"/>
      <c r="AX243" s="61"/>
      <c r="AY243" s="104"/>
      <c r="AZ243" s="61"/>
      <c r="BA243" s="104"/>
      <c r="BB243" s="61"/>
      <c r="BC243" s="104"/>
      <c r="BD243" s="61"/>
      <c r="BE243" s="104"/>
      <c r="BF243" s="61"/>
      <c r="BG243" s="104"/>
      <c r="BH243" s="61"/>
      <c r="BI243" s="104"/>
      <c r="BJ243" s="61"/>
      <c r="BK243" s="104"/>
      <c r="BL243" s="61"/>
      <c r="BM243" s="104"/>
      <c r="BN243" s="61"/>
      <c r="BO243" s="104"/>
      <c r="BP243" s="61"/>
      <c r="BQ243" s="104"/>
      <c r="BR243" s="61"/>
      <c r="BS243" s="104"/>
      <c r="BT243" s="61"/>
      <c r="BU243" s="104"/>
      <c r="BV243" s="61"/>
      <c r="BW243" s="104"/>
      <c r="BX243" s="61"/>
      <c r="BY243" s="104"/>
      <c r="BZ243" s="61"/>
      <c r="CA243" s="104"/>
      <c r="CB243" s="61"/>
      <c r="CC243" s="104"/>
      <c r="CD243" s="61"/>
      <c r="CE243" s="104"/>
      <c r="CF243" s="61"/>
      <c r="CG243" s="104"/>
      <c r="CH243" s="61"/>
      <c r="CI243" s="104"/>
      <c r="CJ243" s="61"/>
      <c r="CK243" s="104"/>
      <c r="CL243" s="61"/>
      <c r="CM243" s="104"/>
      <c r="CN243" s="61"/>
      <c r="CO243" s="104"/>
      <c r="CP243" s="61"/>
      <c r="CQ243" s="104"/>
      <c r="CR243" s="61"/>
      <c r="CS243" s="104"/>
      <c r="CT243" s="61"/>
      <c r="CU243" s="104"/>
      <c r="CV243" s="61"/>
      <c r="CW243" s="104"/>
      <c r="CX243" s="61"/>
      <c r="CY243" s="104"/>
      <c r="CZ243" s="61"/>
      <c r="DA243" s="104"/>
      <c r="DB243" s="61"/>
      <c r="DC243" s="104"/>
      <c r="DD243" s="61"/>
      <c r="DE243" s="104"/>
      <c r="DF243" s="61"/>
      <c r="DG243" s="104"/>
      <c r="DH243" s="61"/>
      <c r="DI243" s="104"/>
      <c r="DJ243" s="61"/>
      <c r="DK243" s="104"/>
      <c r="DL243" s="61"/>
      <c r="DM243" s="104"/>
      <c r="DN243" s="61"/>
      <c r="DO243" s="104"/>
      <c r="DP243" s="61"/>
      <c r="DQ243" s="104"/>
      <c r="DR243" s="61"/>
      <c r="DS243" s="104"/>
      <c r="DT243" s="61"/>
      <c r="DU243" s="104"/>
      <c r="DV243" s="61"/>
      <c r="DW243" s="104"/>
      <c r="DX243" s="104"/>
      <c r="DY243" s="104"/>
      <c r="DZ243" s="61"/>
      <c r="EA243" s="104"/>
      <c r="EB243" s="61"/>
      <c r="EC243" s="104"/>
      <c r="ED243" s="61"/>
      <c r="EE243" s="104"/>
      <c r="EF243" s="61"/>
      <c r="EG243" s="104"/>
      <c r="EH243" s="61"/>
      <c r="EI243" s="104"/>
      <c r="EJ243" s="61"/>
      <c r="EK243" s="104"/>
      <c r="EL243" s="61"/>
      <c r="EM243" s="104"/>
      <c r="EN243" s="61"/>
      <c r="EO243" s="104"/>
      <c r="EP243" s="61"/>
      <c r="EQ243" s="104"/>
      <c r="ER243" s="61"/>
      <c r="ES243" s="104"/>
      <c r="ET243" s="61"/>
      <c r="EU243" s="104"/>
      <c r="EV243" s="61"/>
      <c r="EW243" s="104"/>
      <c r="EX243" s="61"/>
      <c r="EY243" s="103"/>
      <c r="EZ243" s="558"/>
      <c r="FA243" s="103"/>
      <c r="FB243" s="102"/>
      <c r="FC243" s="100"/>
      <c r="FD243" s="102"/>
      <c r="FE243" s="70"/>
      <c r="FF243" s="102"/>
      <c r="FG243" s="70"/>
      <c r="FH243" s="102"/>
      <c r="FI243" s="70"/>
      <c r="FJ243" s="102"/>
      <c r="FK243" s="70"/>
      <c r="FL243" s="102"/>
      <c r="FM243" s="61"/>
      <c r="FN243" s="102"/>
      <c r="FO243" s="61"/>
      <c r="FP243" s="104"/>
      <c r="FQ243" s="61"/>
      <c r="FR243" s="104"/>
      <c r="FS243" s="61"/>
      <c r="FT243" s="104"/>
      <c r="FU243" s="61"/>
      <c r="FV243" s="104"/>
      <c r="FW243" s="61"/>
      <c r="FX243" s="104"/>
      <c r="FY243" s="61"/>
      <c r="FZ243" s="104"/>
      <c r="GA243" s="61"/>
      <c r="GB243" s="104"/>
      <c r="GC243" s="61"/>
      <c r="GD243" s="104"/>
      <c r="GE243" s="61"/>
      <c r="GF243" s="104"/>
      <c r="GG243" s="61"/>
      <c r="GH243" s="104"/>
      <c r="GI243" s="61"/>
      <c r="GJ243" s="104"/>
      <c r="GK243" s="61"/>
      <c r="GL243" s="104"/>
      <c r="GM243" s="61"/>
      <c r="GN243" s="104"/>
      <c r="GO243" s="61"/>
      <c r="GP243" s="104"/>
      <c r="GQ243" s="61"/>
      <c r="GR243" s="104"/>
      <c r="GS243" s="61"/>
      <c r="GT243" s="104"/>
      <c r="GU243" s="61"/>
      <c r="GV243" s="104"/>
      <c r="GW243" s="61"/>
      <c r="GX243" s="104"/>
      <c r="GY243" s="61"/>
      <c r="GZ243" s="61" t="str">
        <f t="shared" si="1691"/>
        <v/>
      </c>
      <c r="HA243" s="61"/>
      <c r="HB243" s="452"/>
      <c r="HC243"/>
      <c r="HD243"/>
      <c r="HE243"/>
      <c r="HF243"/>
      <c r="HG243"/>
      <c r="HH243"/>
    </row>
    <row r="244" spans="2:216" s="7" customFormat="1" ht="12.75" customHeight="1" x14ac:dyDescent="0.2">
      <c r="B244" s="2" t="s">
        <v>590</v>
      </c>
      <c r="C244" s="161"/>
      <c r="D244" s="70"/>
      <c r="E244" s="161"/>
      <c r="F244" s="71"/>
      <c r="G244" s="161"/>
      <c r="H244" s="71"/>
      <c r="I244" s="161"/>
      <c r="J244" s="61"/>
      <c r="K244" s="161"/>
      <c r="L244" s="61"/>
      <c r="M244" s="161"/>
      <c r="N244" s="61"/>
      <c r="O244" s="161"/>
      <c r="P244" s="61"/>
      <c r="Q244" s="161"/>
      <c r="R244" s="61"/>
      <c r="S244" s="161"/>
      <c r="T244" s="61"/>
      <c r="U244" s="161"/>
      <c r="V244" s="61"/>
      <c r="W244" s="161"/>
      <c r="X244" s="61"/>
      <c r="Y244" s="161"/>
      <c r="Z244" s="61"/>
      <c r="AA244" s="161"/>
      <c r="AB244" s="61"/>
      <c r="AC244" s="161"/>
      <c r="AD244" s="61"/>
      <c r="AE244" s="161"/>
      <c r="AF244" s="61"/>
      <c r="AG244" s="161"/>
      <c r="AH244" s="61"/>
      <c r="AI244" s="161"/>
      <c r="AJ244" s="61"/>
      <c r="AK244" s="161"/>
      <c r="AL244" s="61"/>
      <c r="AM244" s="161"/>
      <c r="AN244" s="61"/>
      <c r="AO244" s="161"/>
      <c r="AP244" s="61"/>
      <c r="AQ244" s="161">
        <f>AQ236/AQ232*400</f>
        <v>1.3655974488838867</v>
      </c>
      <c r="AR244" s="61" t="str">
        <f>IF(ISERROR((AQ244/AI244-1)*100),"NA",IF(((AQ244/AI244-1)*100)&gt;100,"NM",IF(((AQ244/AI244-1)*100)&lt;-50,"NM",(AQ244/AI244-1)*100)))</f>
        <v>NA</v>
      </c>
      <c r="AS244" s="161">
        <f>AS236/AS232*400</f>
        <v>1.4256421727621817</v>
      </c>
      <c r="AT244" s="61" t="str">
        <f>IF(ISERROR((AS244/AK244-1)*100),"NA",IF(((AS244/AK244-1)*100)&gt;100,"NM",IF(((AS244/AK244-1)*100)&lt;-50,"NM",(AS244/AK244-1)*100)))</f>
        <v>NA</v>
      </c>
      <c r="AU244" s="161">
        <f>AU236/AU232*400</f>
        <v>1.3920704845814977</v>
      </c>
      <c r="AV244" s="61" t="str">
        <f>IF(ISERROR((AU244/AM244-1)*100),"NA",IF(((AU244/AM244-1)*100)&gt;100,"NM",IF(((AU244/AM244-1)*100)&lt;-50,"NM",(AU244/AM244-1)*100)))</f>
        <v>NA</v>
      </c>
      <c r="AW244" s="161">
        <f>AW236/AW232*400</f>
        <v>1.6607303471847454</v>
      </c>
      <c r="AX244" s="61" t="str">
        <f>IF(ISERROR((AW244/AO244-1)*100),"NA",IF(((AW244/AO244-1)*100)&gt;100,"NM",IF(((AW244/AO244-1)*100)&lt;-50,"NM",(AW244/AO244-1)*100)))</f>
        <v>NA</v>
      </c>
      <c r="AY244" s="161">
        <f>AY236/AY232*400</f>
        <v>1.443604774348471</v>
      </c>
      <c r="AZ244" s="61">
        <f>IF(ISERROR((AY244/AQ244-1)*100),"NA",IF(((AY244/AQ244-1)*100)&gt;100,"NM",IF(((AY244/AQ244-1)*100)&lt;-50,"NM",(AY244/AQ244-1)*100)))</f>
        <v>5.7123221435672944</v>
      </c>
      <c r="BA244" s="161">
        <f>BA236/BA232*400</f>
        <v>1.8094902631711367</v>
      </c>
      <c r="BB244" s="61">
        <f>IF(ISERROR((BA244/AS244-1)*100),"NA",IF(((BA244/AS244-1)*100)&gt;100,"NM",IF(((BA244/AS244-1)*100)&lt;-50,"NM",(BA244/AS244-1)*100)))</f>
        <v>26.924574605228546</v>
      </c>
      <c r="BC244" s="161">
        <f>BC236/BC232*400</f>
        <v>1.3567515935983159</v>
      </c>
      <c r="BD244" s="61">
        <f>IF(ISERROR((BC244/AU244-1)*100),"NA",IF(((BC244/AU244-1)*100)&gt;100,"NM",IF(((BC244/AU244-1)*100)&lt;-50,"NM",(BC244/AU244-1)*100)))</f>
        <v>-2.5371481813867947</v>
      </c>
      <c r="BE244" s="161">
        <f>BE236/BE232*400</f>
        <v>1.4299369145478877</v>
      </c>
      <c r="BF244" s="61">
        <f>IF(ISERROR((BE244/AW244-1)*100),"NA",IF(((BE244/AW244-1)*100)&gt;100,"NM",IF(((BE244/AW244-1)*100)&lt;-50,"NM",(BE244/AW244-1)*100)))</f>
        <v>-13.897104549699868</v>
      </c>
      <c r="BG244" s="161">
        <f>BG236/BG232*400</f>
        <v>1.1294269156471346</v>
      </c>
      <c r="BH244" s="61">
        <f>IF(ISERROR((BG244/AY244-1)*100),"NA",IF(((BG244/AY244-1)*100)&gt;100,"NM",IF(((BG244/AY244-1)*100)&lt;-50,"NM",(BG244/AY244-1)*100)))</f>
        <v>-21.763426131860186</v>
      </c>
      <c r="BI244" s="161">
        <f>BI236/BI232*400</f>
        <v>1.1132419367620254</v>
      </c>
      <c r="BJ244" s="61">
        <f>IF(ISERROR((BI244/BA244-1)*100),"NA",IF(((BI244/BA244-1)*100)&gt;100,"NM",IF(((BI244/BA244-1)*100)&lt;-50,"NM",(BI244/BA244-1)*100)))</f>
        <v>-38.477594523715986</v>
      </c>
      <c r="BK244" s="161">
        <f>BK236/BK232*400</f>
        <v>1.0573622120966231</v>
      </c>
      <c r="BL244" s="61">
        <f>IF(ISERROR((BK244/BC244-1)*100),"NA",IF(((BK244/BC244-1)*100)&gt;100,"NM",IF(((BK244/BC244-1)*100)&lt;-50,"NM",(BK244/BC244-1)*100)))</f>
        <v>-22.06663201387261</v>
      </c>
      <c r="BM244" s="161">
        <f>BM236/BM232*400</f>
        <v>1.1119338516598789</v>
      </c>
      <c r="BN244" s="61">
        <f>IF(ISERROR((BM244/BE244-1)*100),"NA",IF(((BM244/BE244-1)*100)&gt;100,"NM",IF(((BM244/BE244-1)*100)&lt;-50,"NM",(BM244/BE244-1)*100)))</f>
        <v>-22.238957512930135</v>
      </c>
      <c r="BO244" s="161">
        <f>BO236/BO232*400</f>
        <v>1.0650395229510472</v>
      </c>
      <c r="BP244" s="61">
        <f>IF(ISERROR((BO244/BG244-1)*100),"NA",IF(((BO244/BG244-1)*100)&gt;100,"NM",IF(((BO244/BG244-1)*100)&lt;-50,"NM",(BO244/BG244-1)*100)))</f>
        <v>-5.7008905847790059</v>
      </c>
      <c r="BQ244" s="161">
        <f>BQ236/BQ232*400</f>
        <v>1.1012564671101257</v>
      </c>
      <c r="BR244" s="61">
        <f>IF(ISERROR((BQ244/BI244-1)*100),"NA",IF(((BQ244/BI244-1)*100)&gt;100,"NM",IF(((BQ244/BI244-1)*100)&lt;-50,"NM",(BQ244/BI244-1)*100)))</f>
        <v>-1.07662757358572</v>
      </c>
      <c r="BS244" s="161">
        <f>BS236/BS232*400</f>
        <v>1.1207348272354594</v>
      </c>
      <c r="BT244" s="61">
        <f>IF(ISERROR((BS244/BK244-1)*100),"NA",IF(((BS244/BK244-1)*100)&gt;100,"NM",IF(((BS244/BK244-1)*100)&lt;-50,"NM",(BS244/BK244-1)*100)))</f>
        <v>5.9934632062532245</v>
      </c>
      <c r="BU244" s="161">
        <f>BU236/BU232*400</f>
        <v>1.1693422449871946</v>
      </c>
      <c r="BV244" s="61">
        <f>IF(ISERROR((BU244/BM244-1)*100),"NA",IF(((BU244/BM244-1)*100)&gt;100,"NM",IF(((BU244/BM244-1)*100)&lt;-50,"NM",(BU244/BM244-1)*100)))</f>
        <v>5.1629324209904404</v>
      </c>
      <c r="BW244" s="161">
        <f>BW236/BW232*400</f>
        <v>1.1426406994728702</v>
      </c>
      <c r="BX244" s="61">
        <f>IF(ISERROR((BW244/BO244-1)*100),"NA",IF(((BW244/BO244-1)*100)&gt;100,"NM",IF(((BW244/BO244-1)*100)&lt;-50,"NM",(BW244/BO244-1)*100)))</f>
        <v>7.2862250507664816</v>
      </c>
      <c r="BY244" s="161">
        <f>BY236/BY232*400</f>
        <v>1.1684408265497808</v>
      </c>
      <c r="BZ244" s="61">
        <f>IF(ISERROR((BY244/BQ244-1)*100),"NA",IF(((BY244/BQ244-1)*100)&gt;100,"NM",IF(((BY244/BQ244-1)*100)&lt;-50,"NM",(BY244/BQ244-1)*100)))</f>
        <v>6.1007005585136387</v>
      </c>
      <c r="CA244" s="161">
        <f>CA236/CA232*400</f>
        <v>1.1459737712955018</v>
      </c>
      <c r="CB244" s="61">
        <f>IF(ISERROR((CA244/BS244-1)*100),"NA",IF(((CA244/BS244-1)*100)&gt;100,"NM",IF(((CA244/BS244-1)*100)&lt;-50,"NM",(CA244/BS244-1)*100)))</f>
        <v>2.2519996208469673</v>
      </c>
      <c r="CC244" s="161">
        <f>CC236/CC232*400</f>
        <v>1.3862815884476534</v>
      </c>
      <c r="CD244" s="61">
        <f>IF(ISERROR((CC244/BU244-1)*100),"NA",IF(((CC244/BU244-1)*100)&gt;100,"NM",IF(((CC244/BU244-1)*100)&lt;-50,"NM",(CC244/BU244-1)*100)))</f>
        <v>18.552254003517543</v>
      </c>
      <c r="CE244" s="161">
        <f>CE236/CE232*400</f>
        <v>1.3348984413307379</v>
      </c>
      <c r="CF244" s="61">
        <f>IF(ISERROR((CE244/BW244-1)*100),"NA",IF(((CE244/BW244-1)*100)&gt;100,"NM",IF(((CE244/BW244-1)*100)&lt;-50,"NM",(CE244/BW244-1)*100)))</f>
        <v>16.825739004969908</v>
      </c>
      <c r="CG244" s="161">
        <f>CG236/CG232*400</f>
        <v>1.2753399670784336</v>
      </c>
      <c r="CH244" s="61">
        <f>IF(ISERROR((CG244/BY244-1)*100),"NA",IF(((CG244/BY244-1)*100)&gt;100,"NM",IF(((CG244/BY244-1)*100)&lt;-50,"NM",(CG244/BY244-1)*100)))</f>
        <v>9.1488707086955223</v>
      </c>
      <c r="CI244" s="161">
        <f>CI236/CI232*400</f>
        <v>1.2653199346741801</v>
      </c>
      <c r="CJ244" s="61">
        <f>IF(ISERROR((CI244/CA244-1)*100),"NA",IF(((CI244/CA244-1)*100)&gt;100,"NM",IF(((CI244/CA244-1)*100)&lt;-50,"NM",(CI244/CA244-1)*100)))</f>
        <v>10.414388738038882</v>
      </c>
      <c r="CK244" s="161">
        <f>CK236/CK232*400</f>
        <v>1.2869709972303145</v>
      </c>
      <c r="CL244" s="61">
        <f>IF(ISERROR((CK244/CC244-1)*100),"NA",IF(((CK244/CC244-1)*100)&gt;100,"NM",IF(((CK244/CC244-1)*100)&lt;-50,"NM",(CK244/CC244-1)*100)))</f>
        <v>-7.1638108768757425</v>
      </c>
      <c r="CM244" s="161">
        <f>CM236/CM232*400</f>
        <v>1.2128528714010978</v>
      </c>
      <c r="CN244" s="61">
        <f>IF(ISERROR((CM244/CE244-1)*100),"NA",IF(((CM244/CE244-1)*100)&gt;100,"NM",IF(((CM244/CE244-1)*100)&lt;-50,"NM",(CM244/CE244-1)*100)))</f>
        <v>-9.1426857767527903</v>
      </c>
      <c r="CO244" s="161">
        <f>CO236/CO232*400</f>
        <v>1.2407394585612408</v>
      </c>
      <c r="CP244" s="61">
        <f>IF(ISERROR((CO244/CG244-1)*100),"NA",IF(((CO244/CG244-1)*100)&gt;100,"NM",IF(((CO244/CG244-1)*100)&lt;-50,"NM",(CO244/CG244-1)*100)))</f>
        <v>-2.7130419660928551</v>
      </c>
      <c r="CQ244" s="161">
        <f>CQ236/CQ232*400</f>
        <v>1.1504742940899915</v>
      </c>
      <c r="CR244" s="61">
        <f>IF(ISERROR((CQ244/CI244-1)*100),"NA",IF(((CQ244/CI244-1)*100)&gt;100,"NM",IF(((CQ244/CI244-1)*100)&lt;-50,"NM",(CQ244/CI244-1)*100)))</f>
        <v>-9.0764112250994788</v>
      </c>
      <c r="CS244" s="161">
        <f>CS236/CS232*400</f>
        <v>1.2836160671429941</v>
      </c>
      <c r="CT244" s="61">
        <f>IF(ISERROR((CS244/CK244-1)*100),"NA",IF(((CS244/CK244-1)*100)&gt;100,"NM",IF(((CS244/CK244-1)*100)&lt;-50,"NM",(CS244/CK244-1)*100)))</f>
        <v>-0.26068420302715056</v>
      </c>
      <c r="CU244" s="161">
        <f>CU236/CU232*400</f>
        <v>1.1688694673065065</v>
      </c>
      <c r="CV244" s="61">
        <f>IF(ISERROR((CU244/CM244-1)*100),"NA",IF(((CU244/CM244-1)*100)&gt;100,"NM",IF(((CU244/CM244-1)*100)&lt;-50,"NM",(CU244/CM244-1)*100)))</f>
        <v>-3.6264418489425854</v>
      </c>
      <c r="CW244" s="161">
        <f>CW236/CW232*400</f>
        <v>1.2087314946123975</v>
      </c>
      <c r="CX244" s="61">
        <f>IF(ISERROR((CW244/CO244-1)*100),"NA",IF(((CW244/CO244-1)*100)&gt;100,"NM",IF(((CW244/CO244-1)*100)&lt;-50,"NM",(CW244/CO244-1)*100)))</f>
        <v>-2.5797490140242352</v>
      </c>
      <c r="CY244" s="161">
        <f>CY236/CY232*400</f>
        <v>1.0841677302211754</v>
      </c>
      <c r="CZ244" s="61">
        <f>IF(ISERROR((CY244/CQ244-1)*100),"NA",IF(((CY244/CQ244-1)*100)&gt;100,"NM",IF(((CY244/CQ244-1)*100)&lt;-50,"NM",(CY244/CQ244-1)*100)))</f>
        <v>-5.7634111608954814</v>
      </c>
      <c r="DA244" s="161">
        <f>DA236/DA232*400</f>
        <v>1.2020258280118647</v>
      </c>
      <c r="DB244" s="61">
        <f>IF(ISERROR((DA244/CS244-1)*100),"NA",IF(((DA244/CS244-1)*100)&gt;100,"NM",IF(((DA244/CS244-1)*100)&lt;-50,"NM",(DA244/CS244-1)*100)))</f>
        <v>-6.35628060598592</v>
      </c>
      <c r="DC244" s="161">
        <f>DC236/DC232*400</f>
        <v>1.1496737927789296</v>
      </c>
      <c r="DD244" s="61">
        <f>IF(ISERROR((DC244/CU244-1)*100),"NA",IF(((DC244/CU244-1)*100)&gt;100,"NM",IF(((DC244/CU244-1)*100)&lt;-50,"NM",(DC244/CU244-1)*100)))</f>
        <v>-1.6422427879659418</v>
      </c>
      <c r="DE244" s="161">
        <f>DE236/DE232*400</f>
        <v>1.1936406038417173</v>
      </c>
      <c r="DF244" s="61">
        <f>IF(ISERROR((DE244/CW244-1)*100),"NA",IF(((DE244/CW244-1)*100)&gt;100,"NM",IF(((DE244/CW244-1)*100)&lt;-50,"NM",(DE244/CW244-1)*100)))</f>
        <v>-1.2484899117747639</v>
      </c>
      <c r="DG244" s="161">
        <f>DG236/DG232*400</f>
        <v>1.2361092226109098</v>
      </c>
      <c r="DH244" s="61">
        <f>IF(ISERROR((DG244/CY244-1)*100),"NA",IF(((DG244/CY244-1)*100)&gt;100,"NM",IF(((DG244/CY244-1)*100)&lt;-50,"NM",(DG244/CY244-1)*100)))</f>
        <v>14.01457432778761</v>
      </c>
      <c r="DI244" s="161">
        <f>DI236/DI232*400</f>
        <v>1.2488806060459374</v>
      </c>
      <c r="DJ244" s="61">
        <f>IF(ISERROR((DI244/DA244-1)*100),"NA",IF(((DI244/DA244-1)*100)&gt;100,"NM",IF(((DI244/DA244-1)*100)&lt;-50,"NM",(DI244/DA244-1)*100)))</f>
        <v>3.8979842980221058</v>
      </c>
      <c r="DK244" s="161">
        <f>DK236/DK232*400</f>
        <v>1.2563202664921778</v>
      </c>
      <c r="DL244" s="61">
        <f>IF(ISERROR((DK244/DC244-1)*100),"NA",IF(((DK244/DC244-1)*100)&gt;100,"NM",IF(((DK244/DC244-1)*100)&lt;-50,"NM",(DK244/DC244-1)*100)))</f>
        <v>9.2762376930823223</v>
      </c>
      <c r="DM244" s="161">
        <f>DM236/DM232*400</f>
        <v>1.3055320747628441</v>
      </c>
      <c r="DN244" s="130">
        <f t="shared" ref="DN244:DZ248" si="1746">IF(ISERROR((DM244/DE244-1)*100),"NA",IF(((DM244/DE244-1)*100)&gt;100,"NM",IF(((DM244/DE244-1)*100)&lt;-50,"NM",(DM244/DE244-1)*100)))</f>
        <v>9.373966549144308</v>
      </c>
      <c r="DO244" s="161">
        <f>DO236/DO232*400</f>
        <v>1.4215202369200395</v>
      </c>
      <c r="DP244" s="130">
        <f t="shared" si="1746"/>
        <v>14.999565646594281</v>
      </c>
      <c r="DQ244" s="161">
        <f>DQ236/DQ232*400</f>
        <v>1.2223702954827445</v>
      </c>
      <c r="DR244" s="130">
        <f t="shared" si="1746"/>
        <v>-2.1227257781772146</v>
      </c>
      <c r="DS244" s="161">
        <f>DS236/DS232*400</f>
        <v>1.350509273421479</v>
      </c>
      <c r="DT244" s="130">
        <f t="shared" si="1746"/>
        <v>7.4972130468204723</v>
      </c>
      <c r="DU244" s="161">
        <f>DU236/DU232*400</f>
        <v>1.4368461227605405</v>
      </c>
      <c r="DV244" s="130">
        <f t="shared" si="1746"/>
        <v>10.058278194471026</v>
      </c>
      <c r="DW244" s="161">
        <f>DW236/DW232*400</f>
        <v>1.4900922331186464</v>
      </c>
      <c r="DX244" s="161">
        <f t="shared" ref="DX244:DY244" si="1747">DX236/DX232*400</f>
        <v>-524.90386844906254</v>
      </c>
      <c r="DY244" s="161">
        <f t="shared" si="1747"/>
        <v>1.5524105858342534</v>
      </c>
      <c r="DZ244" s="130">
        <f t="shared" si="1746"/>
        <v>27.000025407290163</v>
      </c>
      <c r="EA244" s="161">
        <f t="shared" ref="EA244:EC244" si="1748">EA236/EA232*400</f>
        <v>1.516905336728732</v>
      </c>
      <c r="EB244" s="130">
        <f t="shared" ref="EB244:EB248" si="1749">IF(ISERROR((EA244/DS244-1)*100),"NA",IF(((EA244/DS244-1)*100)&gt;100,"NM",IF(((EA244/DS244-1)*100)&lt;-50,"NM",(EA244/DS244-1)*100)))</f>
        <v>12.320986355443008</v>
      </c>
      <c r="EC244" s="161">
        <f t="shared" si="1748"/>
        <v>1.5489460384829954</v>
      </c>
      <c r="ED244" s="130">
        <f t="shared" ref="ED244:ED248" si="1750">IF(ISERROR((EC244/DU244-1)*100),"NA",IF(((EC244/DU244-1)*100)&gt;100,"NM",IF(((EC244/DU244-1)*100)&lt;-50,"NM",(EC244/DU244-1)*100)))</f>
        <v>7.8018038220462271</v>
      </c>
      <c r="EE244" s="161">
        <f t="shared" ref="EE244:EG244" si="1751">EE236/EE232*400</f>
        <v>1.5018611425797055</v>
      </c>
      <c r="EF244" s="130">
        <f t="shared" ref="EF244:EF248" si="1752">IF(ISERROR((EE244/DW244-1)*100),"NA",IF(((EE244/DW244-1)*100)&gt;100,"NM",IF(((EE244/DW244-1)*100)&lt;-50,"NM",(EE244/DW244-1)*100)))</f>
        <v>0.7898108049612329</v>
      </c>
      <c r="EG244" s="161">
        <f t="shared" si="1751"/>
        <v>1.5223030148403283</v>
      </c>
      <c r="EH244" s="130">
        <f t="shared" ref="EH244:EH248" si="1753">IF(ISERROR((EG244/DY244-1)*100),"NA",IF(((EG244/DY244-1)*100)&gt;100,"NM",IF(((EG244/DY244-1)*100)&lt;-50,"NM",(EG244/DY244-1)*100)))</f>
        <v>-1.9394077358565243</v>
      </c>
      <c r="EI244" s="161">
        <f t="shared" ref="EI244:EK244" si="1754">EI236/EI232*400</f>
        <v>1.5514114699623678</v>
      </c>
      <c r="EJ244" s="130">
        <f t="shared" ref="EJ244:EJ248" si="1755">IF(ISERROR((EI244/EA244-1)*100),"NA",IF(((EI244/EA244-1)*100)&gt;100,"NM",IF(((EI244/EA244-1)*100)&lt;-50,"NM",(EI244/EA244-1)*100)))</f>
        <v>2.2747716945903607</v>
      </c>
      <c r="EK244" s="161">
        <f t="shared" si="1754"/>
        <v>1.6443393205738663</v>
      </c>
      <c r="EL244" s="130">
        <f t="shared" ref="EL244:EL248" si="1756">IF(ISERROR((EK244/EC244-1)*100),"NA",IF(((EK244/EC244-1)*100)&gt;100,"NM",IF(((EK244/EC244-1)*100)&lt;-50,"NM",(EK244/EC244-1)*100)))</f>
        <v>6.1585929865121125</v>
      </c>
      <c r="EM244" s="161">
        <f t="shared" ref="EM244" si="1757">EM236/EM232*400</f>
        <v>1.5553429286863052</v>
      </c>
      <c r="EN244" s="130">
        <f t="shared" ref="EN244:EN248" si="1758">IF(ISERROR((EM244/EE244-1)*100),"NA",IF(((EM244/EE244-1)*100)&gt;100,"NM",IF(((EM244/EE244-1)*100)&lt;-50,"NM",(EM244/EE244-1)*100)))</f>
        <v>3.5610340124211159</v>
      </c>
      <c r="EO244" s="161">
        <f t="shared" ref="EO244" si="1759">EO236/EO232*400</f>
        <v>1.5898695747698084</v>
      </c>
      <c r="EP244" s="130">
        <f t="shared" ref="EP244:EP248" si="1760">IF(ISERROR((EO244/EG244-1)*100),"NA",IF(((EO244/EG244-1)*100)&gt;100,"NM",IF(((EO244/EG244-1)*100)&lt;-50,"NM",(EO244/EG244-1)*100)))</f>
        <v>4.438443547099391</v>
      </c>
      <c r="EQ244" s="162">
        <f t="shared" ref="EQ244" si="1761">EO244</f>
        <v>1.5898695747698084</v>
      </c>
      <c r="ER244" s="130">
        <f t="shared" ref="ER244:ER248" si="1762">IF(ISERROR((EQ244/EI244-1)*100),"NA",IF(((EQ244/EI244-1)*100)&gt;100,"NM",IF(((EQ244/EI244-1)*100)&lt;-50,"NM",(EQ244/EI244-1)*100)))</f>
        <v>2.4789106921050186</v>
      </c>
      <c r="ES244" s="162">
        <f t="shared" ref="ES244:ES245" si="1763">EQ244</f>
        <v>1.5898695747698084</v>
      </c>
      <c r="ET244" s="130">
        <f t="shared" ref="ET244:ET248" si="1764">IF(ISERROR((ES244/EK244-1)*100),"NA",IF(((ES244/EK244-1)*100)&gt;100,"NM",IF(((ES244/EK244-1)*100)&lt;-50,"NM",(ES244/EK244-1)*100)))</f>
        <v>-3.3125611680348443</v>
      </c>
      <c r="EU244" s="162">
        <f t="shared" ref="EU244:EU245" si="1765">ES244</f>
        <v>1.5898695747698084</v>
      </c>
      <c r="EV244" s="130">
        <f t="shared" ref="EV244:EV248" si="1766">IF(ISERROR((EU244/EM244-1)*100),"NA",IF(((EU244/EM244-1)*100)&gt;100,"NM",IF(((EU244/EM244-1)*100)&lt;-50,"NM",(EU244/EM244-1)*100)))</f>
        <v>2.2198735369996836</v>
      </c>
      <c r="EW244" s="162">
        <f t="shared" ref="EW244:EW245" si="1767">EU244</f>
        <v>1.5898695747698084</v>
      </c>
      <c r="EX244" s="130">
        <f t="shared" ref="EX244:EX248" si="1768">IF(ISERROR((EW244/EO244-1)*100),"NA",IF(((EW244/EO244-1)*100)&gt;100,"NM",IF(((EW244/EO244-1)*100)&lt;-50,"NM",(EW244/EO244-1)*100)))</f>
        <v>0</v>
      </c>
      <c r="EY244" s="71"/>
      <c r="EZ244" s="558"/>
      <c r="FA244" s="71"/>
      <c r="FB244" s="161"/>
      <c r="FC244" s="71"/>
      <c r="FD244" s="161"/>
      <c r="FE244" s="70"/>
      <c r="FF244" s="161"/>
      <c r="FG244" s="70"/>
      <c r="FH244" s="161"/>
      <c r="FI244" s="70"/>
      <c r="FJ244" s="161"/>
      <c r="FK244" s="70"/>
      <c r="FL244" s="163"/>
      <c r="FM244" s="61"/>
      <c r="FN244" s="163" t="e">
        <f>FN236/FN232*100</f>
        <v>#DIV/0!</v>
      </c>
      <c r="FO244" s="61"/>
      <c r="FP244" s="163">
        <f>FP236/FP232*100</f>
        <v>1.4119991459682584</v>
      </c>
      <c r="FQ244" s="61" t="str">
        <f>IF(ISERROR((FP244/FN244-1)*100),"NA",IF(((FP244/FN244-1)*100)&gt;100,"NM",IF(((FP244/FN244-1)*100)&lt;-50,"NM",(FP244/FN244-1)*100)))</f>
        <v>NA</v>
      </c>
      <c r="FR244" s="163">
        <f>FR236/FR232*100</f>
        <v>1.5860486914481635</v>
      </c>
      <c r="FS244" s="61">
        <f>IF(ISERROR((FR244/FP244-1)*100),"NA",IF(((FR244/FP244-1)*100)&gt;100,"NM",IF(((FR244/FP244-1)*100)&lt;-50,"NM",(FR244/FP244-1)*100)))</f>
        <v>12.326462517833402</v>
      </c>
      <c r="FT244" s="163">
        <f>FT236/FT232*100</f>
        <v>1.1864923452106759</v>
      </c>
      <c r="FU244" s="61">
        <f>IF(ISERROR((FT244/FR244-1)*100),"NA",IF(((FT244/FR244-1)*100)&gt;100,"NM",IF(((FT244/FR244-1)*100)&lt;-50,"NM",(FT244/FR244-1)*100)))</f>
        <v>-25.191934421172601</v>
      </c>
      <c r="FV244" s="163">
        <f>FV236/FV232*100</f>
        <v>1.1204926062415452</v>
      </c>
      <c r="FW244" s="61">
        <f>IF(ISERROR((FV244/FT244-1)*100),"NA",IF(((FV244/FT244-1)*100)&gt;100,"NM",IF(((FV244/FT244-1)*100)&lt;-50,"NM",(FV244/FT244-1)*100)))</f>
        <v>-5.5625929012977915</v>
      </c>
      <c r="FX244" s="163">
        <f>FX236/FX232*100</f>
        <v>1.2033971057149866</v>
      </c>
      <c r="FY244" s="61">
        <f>IF(ISERROR((FX244/FV244-1)*100),"NA",IF(((FX244/FV244-1)*100)&gt;100,"NM",IF(((FX244/FV244-1)*100)&lt;-50,"NM",(FX244/FV244-1)*100)))</f>
        <v>7.3989332023820298</v>
      </c>
      <c r="FZ244" s="163">
        <f>FZ236/FZ232*100</f>
        <v>1.2772141964363573</v>
      </c>
      <c r="GA244" s="61">
        <f>IF(ISERROR((FZ244/FX244-1)*100),"NA",IF(((FZ244/FX244-1)*100)&gt;100,"NM",IF(((FZ244/FX244-1)*100)&lt;-50,"NM",(FZ244/FX244-1)*100)))</f>
        <v>6.1340591871801964</v>
      </c>
      <c r="GB244" s="163">
        <f>GB236/GB232*100</f>
        <v>1.2210485512162033</v>
      </c>
      <c r="GC244" s="61">
        <f>IF(ISERROR((GB244/FZ244-1)*100),"NA",IF(((GB244/FZ244-1)*100)&gt;100,"NM",IF(((GB244/FZ244-1)*100)&lt;-50,"NM",(GB244/FZ244-1)*100)))</f>
        <v>-4.397511817271182</v>
      </c>
      <c r="GD244" s="163">
        <f>GD236/GD232*100</f>
        <v>1.1652891472561659</v>
      </c>
      <c r="GE244" s="61">
        <f>IF(ISERROR((GD244/GB244-1)*100),"NA",IF(((GD244/GB244-1)*100)&gt;100,"NM",IF(((GD244/GB244-1)*100)&lt;-50,"NM",(GD244/GB244-1)*100)))</f>
        <v>-4.5665181703462343</v>
      </c>
      <c r="GF244" s="163">
        <f>GF236/GF232*100</f>
        <v>1.2034171103132352</v>
      </c>
      <c r="GG244" s="61">
        <f>IF(ISERROR((GF244/GD244-1)*100),"NA",IF(((GF244/GD244-1)*100)&gt;100,"NM",IF(((GF244/GD244-1)*100)&lt;-50,"NM",(GF244/GD244-1)*100)))</f>
        <v>3.2719744405795614</v>
      </c>
      <c r="GH244" s="163">
        <f>GH236/GH232*100</f>
        <v>1.3000350099194771</v>
      </c>
      <c r="GI244" s="61">
        <f>IF(ISERROR((GH244/GF244-1)*100),"NA",IF(((GH244/GF244-1)*100)&gt;100,"NM",IF(((GH244/GF244-1)*100)&lt;-50,"NM",(GH244/GF244-1)*100)))</f>
        <v>8.0286293736586032</v>
      </c>
      <c r="GJ244" s="163">
        <f>GJ236/GJ232*100</f>
        <v>1.4565285695049148</v>
      </c>
      <c r="GK244" s="61">
        <f>IF(ISERROR((GJ244/GH244-1)*100),"NA",IF(((GJ244/GH244-1)*100)&gt;100,"NM",IF(((GJ244/GH244-1)*100)&lt;-50,"NM",(GJ244/GH244-1)*100)))</f>
        <v>12.037641939745214</v>
      </c>
      <c r="GL244" s="163">
        <f>GL236/GL232*100</f>
        <v>1.5166736883041125</v>
      </c>
      <c r="GM244" s="61">
        <f>IF(ISERROR((GL244/GJ244-1)*100),"NA",IF(((GL244/GJ244-1)*100)&gt;100,"NM",IF(((GL244/GJ244-1)*100)&lt;-50,"NM",(GL244/GJ244-1)*100)))</f>
        <v>4.129347000700534</v>
      </c>
      <c r="GN244" s="163">
        <f>GN236/GN232*100</f>
        <v>1.5800432776711713</v>
      </c>
      <c r="GO244" s="61">
        <f>IF(ISERROR((GN244/GL244-1)*100),"NA",IF(((GN244/GL244-1)*100)&gt;100,"NM",IF(((GN244/GL244-1)*100)&lt;-50,"NM",(GN244/GL244-1)*100)))</f>
        <v>4.1781953399558258</v>
      </c>
      <c r="GP244" s="163">
        <f>GP236/GP232*100</f>
        <v>1.5821341052402742</v>
      </c>
      <c r="GQ244" s="61">
        <f>IF(ISERROR((GP244/GN244-1)*100),"NA",IF(((GP244/GN244-1)*100)&gt;100,"NM",IF(((GP244/GN244-1)*100)&lt;-50,"NM",(GP244/GN244-1)*100)))</f>
        <v>0.13232723423781678</v>
      </c>
      <c r="GR244" s="162">
        <f>GP244</f>
        <v>1.5821341052402742</v>
      </c>
      <c r="GS244" s="61">
        <f>IF(ISERROR((GR244/GP244-1)*100),"NA",IF(((GR244/GP244-1)*100)&gt;100,"NM",IF(((GR244/GP244-1)*100)&lt;-50,"NM",(GR244/GP244-1)*100)))</f>
        <v>0</v>
      </c>
      <c r="GT244" s="162">
        <f>GR244</f>
        <v>1.5821341052402742</v>
      </c>
      <c r="GU244" s="61">
        <f>IF(ISERROR((GT244/GR244-1)*100),"NA",IF(((GT244/GR244-1)*100)&gt;100,"NM",IF(((GT244/GR244-1)*100)&lt;-50,"NM",(GT244/GR244-1)*100)))</f>
        <v>0</v>
      </c>
      <c r="GV244" s="162">
        <f>GT244</f>
        <v>1.5821341052402742</v>
      </c>
      <c r="GW244" s="61">
        <f>IF(ISERROR((GV244/GT244-1)*100),"NA",IF(((GV244/GT244-1)*100)&gt;100,"NM",IF(((GV244/GT244-1)*100)&lt;-50,"NM",(GV244/GT244-1)*100)))</f>
        <v>0</v>
      </c>
      <c r="GX244" s="162">
        <f>GV244</f>
        <v>1.5821341052402742</v>
      </c>
      <c r="GY244" s="61">
        <f>IF(ISERROR((GX244/GV244-1)*100),"NA",IF(((GX244/GV244-1)*100)&gt;100,"NM",IF(((GX244/GV244-1)*100)&lt;-50,"NM",(GX244/GV244-1)*100)))</f>
        <v>0</v>
      </c>
      <c r="GZ244" s="61">
        <f t="shared" si="1691"/>
        <v>2.6451449561881724E-2</v>
      </c>
      <c r="HA244" s="61"/>
      <c r="HB244" s="452"/>
      <c r="HC244"/>
      <c r="HD244"/>
      <c r="HE244"/>
      <c r="HF244"/>
      <c r="HG244"/>
      <c r="HH244"/>
    </row>
    <row r="245" spans="2:216" s="7" customFormat="1" ht="12.75" customHeight="1" x14ac:dyDescent="0.2">
      <c r="B245" s="2" t="s">
        <v>208</v>
      </c>
      <c r="C245" s="82"/>
      <c r="D245" s="70"/>
      <c r="E245" s="82"/>
      <c r="F245" s="71"/>
      <c r="G245" s="82"/>
      <c r="H245" s="71"/>
      <c r="I245" s="82"/>
      <c r="J245" s="61"/>
      <c r="K245" s="82"/>
      <c r="L245" s="61"/>
      <c r="M245" s="82"/>
      <c r="N245" s="61"/>
      <c r="O245" s="82"/>
      <c r="P245" s="61"/>
      <c r="Q245" s="82"/>
      <c r="R245" s="61"/>
      <c r="S245" s="82"/>
      <c r="T245" s="61"/>
      <c r="U245" s="82"/>
      <c r="V245" s="61"/>
      <c r="W245" s="82"/>
      <c r="X245" s="61"/>
      <c r="Y245" s="82"/>
      <c r="Z245" s="61"/>
      <c r="AA245" s="82"/>
      <c r="AB245" s="61"/>
      <c r="AC245" s="82"/>
      <c r="AD245" s="61"/>
      <c r="AE245" s="82"/>
      <c r="AF245" s="61"/>
      <c r="AG245" s="82"/>
      <c r="AH245" s="61"/>
      <c r="AI245" s="82"/>
      <c r="AJ245" s="61"/>
      <c r="AK245" s="82"/>
      <c r="AL245" s="61"/>
      <c r="AM245" s="82"/>
      <c r="AN245" s="61"/>
      <c r="AO245" s="82"/>
      <c r="AP245" s="61"/>
      <c r="AQ245" s="82">
        <f>+AQ237/AQ232*400</f>
        <v>6.1887075595573062</v>
      </c>
      <c r="AR245" s="61" t="str">
        <f>IF(ISERROR((AQ245/AI245-1)*100),"NA",IF(((AQ245/AI245-1)*100)&gt;100,"NM",IF(((AQ245/AI245-1)*100)&lt;-50,"NM",(AQ245/AI245-1)*100)))</f>
        <v>NA</v>
      </c>
      <c r="AS245" s="82">
        <f>+AS237/AS232*400</f>
        <v>5.959064981545688</v>
      </c>
      <c r="AT245" s="61" t="str">
        <f>IF(ISERROR((AS245/AK245-1)*100),"NA",IF(((AS245/AK245-1)*100)&gt;100,"NM",IF(((AS245/AK245-1)*100)&lt;-50,"NM",(AS245/AK245-1)*100)))</f>
        <v>NA</v>
      </c>
      <c r="AU245" s="82">
        <f>+AU237/AU232*400</f>
        <v>5.3303964757709243</v>
      </c>
      <c r="AV245" s="61" t="str">
        <f>IF(ISERROR((AU245/AM245-1)*100),"NA",IF(((AU245/AM245-1)*100)&gt;100,"NM",IF(((AU245/AM245-1)*100)&lt;-50,"NM",(AU245/AM245-1)*100)))</f>
        <v>NA</v>
      </c>
      <c r="AW245" s="82">
        <f>+AW237/AW232*400</f>
        <v>6.2169454937938475</v>
      </c>
      <c r="AX245" s="61" t="str">
        <f>IF(ISERROR((AW245/AO245-1)*100),"NA",IF(((AW245/AO245-1)*100)&gt;100,"NM",IF(((AW245/AO245-1)*100)&lt;-50,"NM",(AW245/AO245-1)*100)))</f>
        <v>NA</v>
      </c>
      <c r="AY245" s="82">
        <f>+AY237/AY232*400</f>
        <v>5.9297973020693551</v>
      </c>
      <c r="AZ245" s="61">
        <f>IF(ISERROR((AY245/AQ245-1)*100),"NA",IF(((AY245/AQ245-1)*100)&gt;100,"NM",IF(((AY245/AQ245-1)*100)&lt;-50,"NM",(AY245/AQ245-1)*100)))</f>
        <v>-4.1835917272922796</v>
      </c>
      <c r="BA245" s="82">
        <f>+BA237/BA232*400</f>
        <v>7.9625622704171475</v>
      </c>
      <c r="BB245" s="61">
        <f>IF(ISERROR((BA245/AS245-1)*100),"NA",IF(((BA245/AS245-1)*100)&gt;100,"NM",IF(((BA245/AS245-1)*100)&lt;-50,"NM",(BA245/AS245-1)*100)))</f>
        <v>33.621000862987472</v>
      </c>
      <c r="BC245" s="82">
        <f>+BC237/BC232*400</f>
        <v>6.1428098013606496</v>
      </c>
      <c r="BD245" s="61">
        <f>IF(ISERROR((BC245/AU245-1)*100),"NA",IF(((BC245/AU245-1)*100)&gt;100,"NM",IF(((BC245/AU245-1)*100)&lt;-50,"NM",(BC245/AU245-1)*100)))</f>
        <v>15.24114255445188</v>
      </c>
      <c r="BE245" s="82">
        <f>+BE237/BE232*400</f>
        <v>6.4813611164213327</v>
      </c>
      <c r="BF245" s="61">
        <f>IF(ISERROR((BE245/AW245-1)*100),"NA",IF(((BE245/AW245-1)*100)&gt;100,"NM",IF(((BE245/AW245-1)*100)&lt;-50,"NM",(BE245/AW245-1)*100)))</f>
        <v>4.2531436521591193</v>
      </c>
      <c r="BG245" s="82">
        <f>+BG237/BG232*400</f>
        <v>5.5338055376690276</v>
      </c>
      <c r="BH245" s="61">
        <f>IF(ISERROR((BG245/AY245-1)*100),"NA",IF(((BG245/AY245-1)*100)&gt;100,"NM",IF(((BG245/AY245-1)*100)&lt;-50,"NM",(BG245/AY245-1)*100)))</f>
        <v>-6.677998323182754</v>
      </c>
      <c r="BI245" s="82">
        <f>+BI237/BI232*400</f>
        <v>4.7724859339091843</v>
      </c>
      <c r="BJ245" s="61">
        <f>IF(ISERROR((BI245/BA245-1)*100),"NA",IF(((BI245/BA245-1)*100)&gt;100,"NM",IF(((BI245/BA245-1)*100)&lt;-50,"NM",(BI245/BA245-1)*100)))</f>
        <v>-40.063439734215599</v>
      </c>
      <c r="BK245" s="82">
        <f>+BK237/BK232*400</f>
        <v>5.925972161537981</v>
      </c>
      <c r="BL245" s="61">
        <f>IF(ISERROR((BK245/BC245-1)*100),"NA",IF(((BK245/BC245-1)*100)&gt;100,"NM",IF(((BK245/BC245-1)*100)&lt;-50,"NM",(BK245/BC245-1)*100)))</f>
        <v>-3.5299422712817607</v>
      </c>
      <c r="BM245" s="82">
        <f>+BM237/BM232*400</f>
        <v>5.6991237813155617</v>
      </c>
      <c r="BN245" s="61">
        <f>IF(ISERROR((BM245/BE245-1)*100),"NA",IF(((BM245/BE245-1)*100)&gt;100,"NM",IF(((BM245/BE245-1)*100)&lt;-50,"NM",(BM245/BE245-1)*100)))</f>
        <v>-12.069028727991649</v>
      </c>
      <c r="BO245" s="82">
        <f>+BO237/BO232*400</f>
        <v>5.7615679748532331</v>
      </c>
      <c r="BP245" s="61">
        <f>IF(ISERROR((BO245/BG245-1)*100),"NA",IF(((BO245/BG245-1)*100)&gt;100,"NM",IF(((BO245/BG245-1)*100)&lt;-50,"NM",(BO245/BG245-1)*100)))</f>
        <v>4.1158373859328634</v>
      </c>
      <c r="BQ245" s="82">
        <f>+BQ237/BQ232*400</f>
        <v>5.8795269770879539</v>
      </c>
      <c r="BR245" s="61">
        <f>IF(ISERROR((BQ245/BI245-1)*100),"NA",IF(((BQ245/BI245-1)*100)&gt;100,"NM",IF(((BQ245/BI245-1)*100)&lt;-50,"NM",(BQ245/BI245-1)*100)))</f>
        <v>23.19631861695153</v>
      </c>
      <c r="BS245" s="82">
        <f>+BS237/BS232*400</f>
        <v>5.6788829639675731</v>
      </c>
      <c r="BT245" s="61">
        <f>IF(ISERROR((BS245/BK245-1)*100),"NA",IF(((BS245/BK245-1)*100)&gt;100,"NM",IF(((BS245/BK245-1)*100)&lt;-50,"NM",(BS245/BK245-1)*100)))</f>
        <v>-4.169597676717407</v>
      </c>
      <c r="BU245" s="82">
        <f>+BU237/BU232*400</f>
        <v>6.2752201886438872</v>
      </c>
      <c r="BV245" s="61">
        <f>IF(ISERROR((BU245/BM245-1)*100),"NA",IF(((BU245/BM245-1)*100)&gt;100,"NM",IF(((BU245/BM245-1)*100)&lt;-50,"NM",(BU245/BM245-1)*100)))</f>
        <v>10.108508420488139</v>
      </c>
      <c r="BW245" s="82">
        <f>+BW237/BW232*400</f>
        <v>6.1614216722956989</v>
      </c>
      <c r="BX245" s="61">
        <f>IF(ISERROR((BW245/BO245-1)*100),"NA",IF(((BW245/BO245-1)*100)&gt;100,"NM",IF(((BW245/BO245-1)*100)&lt;-50,"NM",(BW245/BO245-1)*100)))</f>
        <v>6.9400152734057086</v>
      </c>
      <c r="BY245" s="82">
        <f>+BY237/BY232*400</f>
        <v>5.705698184095179</v>
      </c>
      <c r="BZ245" s="61">
        <f>IF(ISERROR((BY245/BQ245-1)*100),"NA",IF(((BY245/BQ245-1)*100)&gt;100,"NM",IF(((BY245/BQ245-1)*100)&lt;-50,"NM",(BY245/BQ245-1)*100)))</f>
        <v>-2.9565098292800074</v>
      </c>
      <c r="CA245" s="82">
        <f>+CA237/CA232*400</f>
        <v>6.1318789067287662</v>
      </c>
      <c r="CB245" s="61">
        <f>IF(ISERROR((CA245/BS245-1)*100),"NA",IF(((CA245/BS245-1)*100)&gt;100,"NM",IF(((CA245/BS245-1)*100)&lt;-50,"NM",(CA245/BS245-1)*100)))</f>
        <v>7.9768494197792972</v>
      </c>
      <c r="CC245" s="82">
        <f>+CC237/CC232*400</f>
        <v>5.8062575210589644</v>
      </c>
      <c r="CD245" s="61">
        <f>IF(ISERROR((CC245/BU245-1)*100),"NA",IF(((CC245/BU245-1)*100)&gt;100,"NM",IF(((CC245/BU245-1)*100)&lt;-50,"NM",(CC245/BU245-1)*100)))</f>
        <v>-7.473246411872414</v>
      </c>
      <c r="CE245" s="82">
        <f>+CE237/CE232*400</f>
        <v>5.7722767863776161</v>
      </c>
      <c r="CF245" s="61">
        <f>IF(ISERROR((CE245/BW245-1)*100),"NA",IF(((CE245/BW245-1)*100)&gt;100,"NM",IF(((CE245/BW245-1)*100)&lt;-50,"NM",(CE245/BW245-1)*100)))</f>
        <v>-6.3158294727309272</v>
      </c>
      <c r="CG245" s="82">
        <f>+CG237/CG232*400</f>
        <v>5.7360639449527682</v>
      </c>
      <c r="CH245" s="61">
        <f>IF(ISERROR((CG245/BY245-1)*100),"NA",IF(((CG245/BY245-1)*100)&gt;100,"NM",IF(((CG245/BY245-1)*100)&lt;-50,"NM",(CG245/BY245-1)*100)))</f>
        <v>0.53220061555716569</v>
      </c>
      <c r="CI245" s="82">
        <f>+CI237/CI232*400</f>
        <v>5.3861432754130671</v>
      </c>
      <c r="CJ245" s="61">
        <f>IF(ISERROR((CI245/CA245-1)*100),"NA",IF(((CI245/CA245-1)*100)&gt;100,"NM",IF(((CI245/CA245-1)*100)&lt;-50,"NM",(CI245/CA245-1)*100)))</f>
        <v>-12.161617061572638</v>
      </c>
      <c r="CK245" s="82">
        <f>+CK237/CK232*400</f>
        <v>6.1696540045635233</v>
      </c>
      <c r="CL245" s="61">
        <f>IF(ISERROR((CK245/CC245-1)*100),"NA",IF(((CK245/CC245-1)*100)&gt;100,"NM",IF(((CK245/CC245-1)*100)&lt;-50,"NM",(CK245/CC245-1)*100)))</f>
        <v>6.2587042029489837</v>
      </c>
      <c r="CM245" s="82">
        <f>+CM237/CM232*400</f>
        <v>5.1546247034546653</v>
      </c>
      <c r="CN245" s="61">
        <f>IF(ISERROR((CM245/CE245-1)*100),"NA",IF(((CM245/CE245-1)*100)&gt;100,"NM",IF(((CM245/CE245-1)*100)&lt;-50,"NM",(CM245/CE245-1)*100)))</f>
        <v>-10.700319921951584</v>
      </c>
      <c r="CO245" s="82">
        <f>+CO237/CO232*400</f>
        <v>5.8602783355258605</v>
      </c>
      <c r="CP245" s="61">
        <f>IF(ISERROR((CO245/CG245-1)*100),"NA",IF(((CO245/CG245-1)*100)&gt;100,"NM",IF(((CO245/CG245-1)*100)&lt;-50,"NM",(CO245/CG245-1)*100)))</f>
        <v>2.165498707216984</v>
      </c>
      <c r="CQ245" s="82">
        <f>+CQ237/CQ232*400</f>
        <v>5.5709505240742274</v>
      </c>
      <c r="CR245" s="61">
        <f>IF(ISERROR((CQ245/CI245-1)*100),"NA",IF(((CQ245/CI245-1)*100)&gt;100,"NM",IF(((CQ245/CI245-1)*100)&lt;-50,"NM",(CQ245/CI245-1)*100)))</f>
        <v>3.4311610221134936</v>
      </c>
      <c r="CS245" s="82">
        <f>+CS237/CS232*400</f>
        <v>5.6171916784377185</v>
      </c>
      <c r="CT245" s="61">
        <f>IF(ISERROR((CS245/CK245-1)*100),"NA",IF(((CS245/CK245-1)*100)&gt;100,"NM",IF(((CS245/CK245-1)*100)&lt;-50,"NM",(CS245/CK245-1)*100)))</f>
        <v>-8.9545106697581982</v>
      </c>
      <c r="CU245" s="82">
        <f>+CU237/CU232*400</f>
        <v>5.6834937401142058</v>
      </c>
      <c r="CV245" s="130">
        <f>IF(ISERROR((CU245/CM245-1)*100),"NA",IF(((CU245/CM245-1)*100)&gt;100,"NM",IF(((CU245/CM245-1)*100)&lt;-50,"NM",(CU245/CM245-1)*100)))</f>
        <v>10.260088116698164</v>
      </c>
      <c r="CW245" s="82">
        <f>+CW237/CW232*400</f>
        <v>5.4604975414507431</v>
      </c>
      <c r="CX245" s="61">
        <f>IF(ISERROR((CW245/CO245-1)*100),"NA",IF(((CW245/CO245-1)*100)&gt;100,"NM",IF(((CW245/CO245-1)*100)&lt;-50,"NM",(CW245/CO245-1)*100)))</f>
        <v>-6.8218738289543062</v>
      </c>
      <c r="CY245" s="82">
        <f>+CY237/CY232*400</f>
        <v>6.4734286804468244</v>
      </c>
      <c r="CZ245" s="130">
        <f>IF(ISERROR((CY245/CQ245-1)*100),"NA",IF(((CY245/CQ245-1)*100)&gt;100,"NM",IF(((CY245/CQ245-1)*100)&lt;-50,"NM",(CY245/CQ245-1)*100)))</f>
        <v>16.199715873846678</v>
      </c>
      <c r="DA245" s="82">
        <f>+DA237/DA232*400</f>
        <v>5.7717964327811098</v>
      </c>
      <c r="DB245" s="61">
        <f>IF(ISERROR((DA245/CS245-1)*100),"NA",IF(((DA245/CS245-1)*100)&gt;100,"NM",IF(((DA245/CS245-1)*100)&lt;-50,"NM",(DA245/CS245-1)*100)))</f>
        <v>2.7523496293861749</v>
      </c>
      <c r="DC245" s="82">
        <f>+DC237/DC232*400</f>
        <v>5.5245386679553867</v>
      </c>
      <c r="DD245" s="61">
        <f>IF(ISERROR((DC245/CU245-1)*100),"NA",IF(((DC245/CU245-1)*100)&gt;100,"NM",IF(((DC245/CU245-1)*100)&lt;-50,"NM",(DC245/CU245-1)*100)))</f>
        <v>-2.7967845031113714</v>
      </c>
      <c r="DE245" s="82">
        <f>+DE237/DE232*400</f>
        <v>5.4165203871809018</v>
      </c>
      <c r="DF245" s="61">
        <f>IF(ISERROR((DE245/CW245-1)*100),"NA",IF(((DE245/CW245-1)*100)&gt;100,"NM",IF(((DE245/CW245-1)*100)&lt;-50,"NM",(DE245/CW245-1)*100)))</f>
        <v>-0.80536899679946039</v>
      </c>
      <c r="DG245" s="82">
        <f>+DG237/DG232*400</f>
        <v>5.5476581910777636</v>
      </c>
      <c r="DH245" s="61">
        <f>IF(ISERROR((DG245/CY245-1)*100),"NA",IF(((DG245/CY245-1)*100)&gt;100,"NM",IF(((DG245/CY245-1)*100)&lt;-50,"NM",(DG245/CY245-1)*100)))</f>
        <v>-14.301084248682262</v>
      </c>
      <c r="DI245" s="82">
        <f>+DI237/DI232*400</f>
        <v>5.6925720647675293</v>
      </c>
      <c r="DJ245" s="61">
        <f>IF(ISERROR((DI245/DA245-1)*100),"NA",IF(((DI245/DA245-1)*100)&gt;100,"NM",IF(((DI245/DA245-1)*100)&lt;-50,"NM",(DI245/DA245-1)*100)))</f>
        <v>-1.372611957754144</v>
      </c>
      <c r="DK245" s="82">
        <f>+DK237/DK232*400</f>
        <v>5.5297126881208731</v>
      </c>
      <c r="DL245" s="61">
        <f>IF(ISERROR((DK245/DC245-1)*100),"NA",IF(((DK245/DC245-1)*100)&gt;100,"NM",IF(((DK245/DC245-1)*100)&lt;-50,"NM",(DK245/DC245-1)*100)))</f>
        <v>9.3655243930101939E-2</v>
      </c>
      <c r="DM245" s="82">
        <f>+DM237/DM232*400</f>
        <v>5.560251714097868</v>
      </c>
      <c r="DN245" s="130">
        <f t="shared" si="1746"/>
        <v>2.6535730809235103</v>
      </c>
      <c r="DO245" s="82">
        <f>+DO237/DO232*400</f>
        <v>6.104175135009581</v>
      </c>
      <c r="DP245" s="130">
        <f t="shared" si="1746"/>
        <v>10.031565117455465</v>
      </c>
      <c r="DQ245" s="82">
        <f>+DQ237/DQ232*400</f>
        <v>9.9811589540921819</v>
      </c>
      <c r="DR245" s="130">
        <f t="shared" si="1746"/>
        <v>75.336541031558951</v>
      </c>
      <c r="DS245" s="82">
        <f>+DS237/DS232*400</f>
        <v>5.9549301519322935</v>
      </c>
      <c r="DT245" s="130">
        <f t="shared" si="1746"/>
        <v>7.6896845784571788</v>
      </c>
      <c r="DU245" s="82">
        <f>+DU237/DU232*400</f>
        <v>5.9000493915854699</v>
      </c>
      <c r="DV245" s="130">
        <f t="shared" si="1746"/>
        <v>6.1111923517069178</v>
      </c>
      <c r="DW245" s="82">
        <f>+DW237/DW232*400</f>
        <v>8.0698368528533919</v>
      </c>
      <c r="DX245" s="82">
        <f t="shared" ref="DX245:DY245" si="1769">+DX237/DX232*400</f>
        <v>-2842.7022755163089</v>
      </c>
      <c r="DY245" s="82">
        <f t="shared" si="1769"/>
        <v>4.8713573555488647</v>
      </c>
      <c r="DZ245" s="130" t="str">
        <f t="shared" si="1746"/>
        <v>NM</v>
      </c>
      <c r="EA245" s="82">
        <f t="shared" ref="EA245:EC245" si="1770">+EA237/EA232*400</f>
        <v>6.1293558664329577</v>
      </c>
      <c r="EB245" s="130">
        <f t="shared" si="1749"/>
        <v>2.9290975721027568</v>
      </c>
      <c r="EC245" s="82">
        <f t="shared" si="1770"/>
        <v>6.3708063051729988</v>
      </c>
      <c r="ED245" s="130">
        <f t="shared" si="1750"/>
        <v>7.9788639440699027</v>
      </c>
      <c r="EE245" s="82">
        <f t="shared" ref="EE245:EG245" si="1771">+EE237/EE232*400</f>
        <v>6.8274262286238336</v>
      </c>
      <c r="EF245" s="130">
        <f t="shared" si="1752"/>
        <v>-15.395734100748982</v>
      </c>
      <c r="EG245" s="82">
        <f t="shared" si="1771"/>
        <v>6.5399498235319129</v>
      </c>
      <c r="EH245" s="130">
        <f t="shared" si="1753"/>
        <v>34.253132057380029</v>
      </c>
      <c r="EI245" s="82">
        <f t="shared" ref="EI245:EK245" si="1772">+EI237/EI232*400</f>
        <v>6.3985240626015489</v>
      </c>
      <c r="EJ245" s="130">
        <f t="shared" si="1755"/>
        <v>4.3914597558721402</v>
      </c>
      <c r="EK245" s="82">
        <f t="shared" si="1772"/>
        <v>6.4782011423613621</v>
      </c>
      <c r="EL245" s="130">
        <f t="shared" si="1756"/>
        <v>1.6857338309149483</v>
      </c>
      <c r="EM245" s="82">
        <f t="shared" ref="EM245" si="1773">+EM237/EM232*400</f>
        <v>6.253944341523991</v>
      </c>
      <c r="EN245" s="130">
        <f t="shared" si="1758"/>
        <v>-8.3996789990279588</v>
      </c>
      <c r="EO245" s="82">
        <f t="shared" ref="EO245" si="1774">+EO237/EO232*400</f>
        <v>6.5991571294465423</v>
      </c>
      <c r="EP245" s="130">
        <f t="shared" si="1760"/>
        <v>0.9053174338064629</v>
      </c>
      <c r="EQ245" s="110">
        <v>6.4</v>
      </c>
      <c r="ER245" s="130">
        <f t="shared" si="1762"/>
        <v>2.306684141548665E-2</v>
      </c>
      <c r="ES245" s="110">
        <f t="shared" si="1763"/>
        <v>6.4</v>
      </c>
      <c r="ET245" s="130">
        <f t="shared" si="1764"/>
        <v>-1.2071428571428511</v>
      </c>
      <c r="EU245" s="110">
        <f t="shared" si="1765"/>
        <v>6.4</v>
      </c>
      <c r="EV245" s="130">
        <f t="shared" si="1766"/>
        <v>2.3354166666666787</v>
      </c>
      <c r="EW245" s="110">
        <f t="shared" si="1767"/>
        <v>6.4</v>
      </c>
      <c r="EX245" s="130">
        <f t="shared" si="1768"/>
        <v>-3.0179176755448012</v>
      </c>
      <c r="EY245" s="64"/>
      <c r="EZ245" s="558"/>
      <c r="FA245" s="64"/>
      <c r="FB245" s="82"/>
      <c r="FC245" s="71"/>
      <c r="FD245" s="82"/>
      <c r="FE245" s="70"/>
      <c r="FF245" s="82"/>
      <c r="FG245" s="70"/>
      <c r="FH245" s="82"/>
      <c r="FI245" s="70"/>
      <c r="FJ245" s="82"/>
      <c r="FK245" s="70"/>
      <c r="FL245" s="111"/>
      <c r="FM245" s="61"/>
      <c r="FN245" s="111" t="e">
        <f>+FN237/FN232*100</f>
        <v>#DIV/0!</v>
      </c>
      <c r="FO245" s="61"/>
      <c r="FP245" s="111">
        <f>+FP237/FP232*100</f>
        <v>5.7184542025478606</v>
      </c>
      <c r="FQ245" s="61" t="str">
        <f>IF(ISERROR((FP245/FN245-1)*100),"NA",IF(((FP245/FN245-1)*100)&gt;100,"NM",IF(((FP245/FN245-1)*100)&lt;-50,"NM",(FP245/FN245-1)*100)))</f>
        <v>NA</v>
      </c>
      <c r="FR245" s="111">
        <f>+FR237/FR232*100</f>
        <v>7.0210404282084786</v>
      </c>
      <c r="FS245" s="61">
        <f>IF(ISERROR((FR245/FP245-1)*100),"NA",IF(((FR245/FP245-1)*100)&gt;100,"NM",IF(((FR245/FP245-1)*100)&lt;-50,"NM",(FR245/FP245-1)*100)))</f>
        <v>22.778642261054571</v>
      </c>
      <c r="FT245" s="111">
        <f>+FT237/FT232*100</f>
        <v>5.9023167592467143</v>
      </c>
      <c r="FU245" s="61">
        <f>IF(ISERROR((FT245/FR245-1)*100),"NA",IF(((FT245/FR245-1)*100)&gt;100,"NM",IF(((FT245/FR245-1)*100)&lt;-50,"NM",(FT245/FR245-1)*100)))</f>
        <v>-15.933873054868918</v>
      </c>
      <c r="FV245" s="111">
        <f>+FV237/FV232*100</f>
        <v>5.93242213618199</v>
      </c>
      <c r="FW245" s="61">
        <f>IF(ISERROR((FV245/FT245-1)*100),"NA",IF(((FV245/FT245-1)*100)&gt;100,"NM",IF(((FV245/FT245-1)*100)&lt;-50,"NM",(FV245/FT245-1)*100)))</f>
        <v>0.51006034008784784</v>
      </c>
      <c r="FX245" s="111">
        <f>+FX237/FX232*100</f>
        <v>5.9063036546480259</v>
      </c>
      <c r="FY245" s="61">
        <f>IF(ISERROR((FX245/FV245-1)*100),"NA",IF(((FX245/FV245-1)*100)&gt;100,"NM",IF(((FX245/FV245-1)*100)&lt;-50,"NM",(FX245/FV245-1)*100)))</f>
        <v>-0.44026673986442555</v>
      </c>
      <c r="FZ245" s="111">
        <f>+FZ237/FZ232*100</f>
        <v>5.7090951370520013</v>
      </c>
      <c r="GA245" s="61">
        <f>IF(ISERROR((FZ245/FX245-1)*100),"NA",IF(((FZ245/FX245-1)*100)&gt;100,"NM",IF(((FZ245/FX245-1)*100)&lt;-50,"NM",(FZ245/FX245-1)*100)))</f>
        <v>-3.3389498597964806</v>
      </c>
      <c r="GB245" s="111">
        <f>+GB237/GB232*100</f>
        <v>5.5476028961831849</v>
      </c>
      <c r="GC245" s="61">
        <f>IF(ISERROR((GB245/FZ245-1)*100),"NA",IF(((GB245/FZ245-1)*100)&gt;100,"NM",IF(((GB245/FZ245-1)*100)&lt;-50,"NM",(GB245/FZ245-1)*100)))</f>
        <v>-2.8286836528740311</v>
      </c>
      <c r="GD245" s="111">
        <f>+GD237/GD232*100</f>
        <v>5.8449005417803619</v>
      </c>
      <c r="GE245" s="61">
        <f>IF(ISERROR((GD245/GB245-1)*100),"NA",IF(((GD245/GB245-1)*100)&gt;100,"NM",IF(((GD245/GB245-1)*100)&lt;-50,"NM",(GD245/GB245-1)*100)))</f>
        <v>5.3590289564835469</v>
      </c>
      <c r="GF245" s="111">
        <f>+GF237/GF232*100</f>
        <v>5.5268045066237459</v>
      </c>
      <c r="GG245" s="61">
        <f>IF(ISERROR((GF245/GD245-1)*100),"NA",IF(((GF245/GD245-1)*100)&gt;100,"NM",IF(((GF245/GD245-1)*100)&lt;-50,"NM",(GF245/GD245-1)*100)))</f>
        <v>-5.4422831129941507</v>
      </c>
      <c r="GH245" s="111">
        <f>+GH237/GH232*100</f>
        <v>6.8059283463648033</v>
      </c>
      <c r="GI245" s="61">
        <f>IF(ISERROR((GH245/GF245-1)*100),"NA",IF(((GH245/GF245-1)*100)&gt;100,"NM",IF(((GH245/GF245-1)*100)&lt;-50,"NM",(GH245/GF245-1)*100)))</f>
        <v>23.144003704275363</v>
      </c>
      <c r="GJ245" s="111">
        <f>+GJ237/GJ232*100</f>
        <v>6.191929619821356</v>
      </c>
      <c r="GK245" s="61">
        <f>IF(ISERROR((GJ245/GH245-1)*100),"NA",IF(((GJ245/GH245-1)*100)&gt;100,"NM",IF(((GJ245/GH245-1)*100)&lt;-50,"NM",(GJ245/GH245-1)*100)))</f>
        <v>-9.0215279282421115</v>
      </c>
      <c r="GL245" s="111">
        <f>+GL237/GL232*100</f>
        <v>6.4447829233777316</v>
      </c>
      <c r="GM245" s="61">
        <f>IF(ISERROR((GL245/GJ245-1)*100),"NA",IF(((GL245/GJ245-1)*100)&gt;100,"NM",IF(((GL245/GJ245-1)*100)&lt;-50,"NM",(GL245/GJ245-1)*100)))</f>
        <v>4.0835945994436296</v>
      </c>
      <c r="GN245" s="111">
        <f>+GN237/GN232*100</f>
        <v>6.4120360919446364</v>
      </c>
      <c r="GO245" s="61">
        <f>IF(ISERROR((GN245/GL245-1)*100),"NA",IF(((GN245/GL245-1)*100)&gt;100,"NM",IF(((GN245/GL245-1)*100)&lt;-50,"NM",(GN245/GL245-1)*100)))</f>
        <v>-0.50811380030054698</v>
      </c>
      <c r="GP245" s="111">
        <f>+GP237/GP232*100</f>
        <v>6.3688609645881247</v>
      </c>
      <c r="GQ245" s="61">
        <f>IF(ISERROR((GP245/GN245-1)*100),"NA",IF(((GP245/GN245-1)*100)&gt;100,"NM",IF(((GP245/GN245-1)*100)&lt;-50,"NM",(GP245/GN245-1)*100)))</f>
        <v>-0.67334504574533272</v>
      </c>
      <c r="GR245" s="110">
        <f>GP245</f>
        <v>6.3688609645881247</v>
      </c>
      <c r="GS245" s="61">
        <f>IF(ISERROR((GR245/GP245-1)*100),"NA",IF(((GR245/GP245-1)*100)&gt;100,"NM",IF(((GR245/GP245-1)*100)&lt;-50,"NM",(GR245/GP245-1)*100)))</f>
        <v>0</v>
      </c>
      <c r="GT245" s="110">
        <f>GR245</f>
        <v>6.3688609645881247</v>
      </c>
      <c r="GU245" s="61">
        <f>IF(ISERROR((GT245/GR245-1)*100),"NA",IF(((GT245/GR245-1)*100)&gt;100,"NM",IF(((GT245/GR245-1)*100)&lt;-50,"NM",(GT245/GR245-1)*100)))</f>
        <v>0</v>
      </c>
      <c r="GV245" s="110">
        <f>GT245</f>
        <v>6.3688609645881247</v>
      </c>
      <c r="GW245" s="61">
        <f>IF(ISERROR((GV245/GT245-1)*100),"NA",IF(((GV245/GT245-1)*100)&gt;100,"NM",IF(((GV245/GT245-1)*100)&lt;-50,"NM",(GV245/GT245-1)*100)))</f>
        <v>0</v>
      </c>
      <c r="GX245" s="110">
        <f>GV245</f>
        <v>6.3688609645881247</v>
      </c>
      <c r="GY245" s="61">
        <f>IF(ISERROR((GX245/GV245-1)*100),"NA",IF(((GX245/GV245-1)*100)&gt;100,"NM",IF(((GX245/GV245-1)*100)&lt;-50,"NM",(GX245/GV245-1)*100)))</f>
        <v>0</v>
      </c>
      <c r="GZ245" s="61">
        <f t="shared" si="1691"/>
        <v>-0.13503319632556243</v>
      </c>
      <c r="HA245" s="61"/>
      <c r="HB245" s="452"/>
      <c r="HC245"/>
      <c r="HD245"/>
      <c r="HE245"/>
      <c r="HF245"/>
      <c r="HG245"/>
      <c r="HH245"/>
    </row>
    <row r="246" spans="2:216" s="5" customFormat="1" ht="12.75" customHeight="1" x14ac:dyDescent="0.2">
      <c r="B246" s="443" t="s">
        <v>630</v>
      </c>
      <c r="C246" s="66"/>
      <c r="D246" s="67"/>
      <c r="E246" s="66"/>
      <c r="F246" s="66"/>
      <c r="G246" s="64"/>
      <c r="H246" s="66"/>
      <c r="I246" s="64"/>
      <c r="J246" s="66"/>
      <c r="K246" s="64"/>
      <c r="L246" s="61"/>
      <c r="M246" s="66"/>
      <c r="N246" s="61"/>
      <c r="O246" s="64"/>
      <c r="P246" s="61"/>
      <c r="Q246" s="64"/>
      <c r="R246" s="61"/>
      <c r="S246" s="64"/>
      <c r="T246" s="61"/>
      <c r="U246" s="64"/>
      <c r="V246" s="61"/>
      <c r="W246" s="64"/>
      <c r="X246" s="61"/>
      <c r="Y246" s="64"/>
      <c r="Z246" s="61"/>
      <c r="AA246" s="64"/>
      <c r="AB246" s="61"/>
      <c r="AC246" s="64"/>
      <c r="AD246" s="61"/>
      <c r="AE246" s="64"/>
      <c r="AF246" s="61"/>
      <c r="AG246" s="64"/>
      <c r="AH246" s="61"/>
      <c r="AI246" s="64"/>
      <c r="AJ246" s="61"/>
      <c r="AK246" s="64"/>
      <c r="AL246" s="61"/>
      <c r="AM246" s="64"/>
      <c r="AN246" s="61"/>
      <c r="AO246" s="64"/>
      <c r="AP246" s="61"/>
      <c r="AQ246" s="164">
        <f>AQ238/AQ199*400</f>
        <v>7.9407722658154896</v>
      </c>
      <c r="AR246" s="61" t="str">
        <f>IF(ISERROR((AQ246/AI246-1)*100),"NA",IF(((AQ246/AI246-1)*100)&gt;100,"NM",IF(((AQ246/AI246-1)*100)&lt;-50,"NM",(AQ246/AI246-1)*100)))</f>
        <v>NA</v>
      </c>
      <c r="AS246" s="164">
        <f>AS238/AS199*400</f>
        <v>8.0042164441321155</v>
      </c>
      <c r="AT246" s="61" t="str">
        <f>IF(ISERROR((AS246/AK246-1)*100),"NA",IF(((AS246/AK246-1)*100)&gt;100,"NM",IF(((AS246/AK246-1)*100)&lt;-50,"NM",(AS246/AK246-1)*100)))</f>
        <v>NA</v>
      </c>
      <c r="AU246" s="164">
        <f>AU238/AU199*400</f>
        <v>7.9708257358687158</v>
      </c>
      <c r="AV246" s="61" t="str">
        <f>IF(ISERROR((AU246/AM246-1)*100),"NA",IF(((AU246/AM246-1)*100)&gt;100,"NM",IF(((AU246/AM246-1)*100)&lt;-50,"NM",(AU246/AM246-1)*100)))</f>
        <v>NA</v>
      </c>
      <c r="AW246" s="164">
        <f>AW238/AW199*400</f>
        <v>7.7777777777777777</v>
      </c>
      <c r="AX246" s="61" t="str">
        <f>IF(ISERROR((AW246/AO246-1)*100),"NA",IF(((AW246/AO246-1)*100)&gt;100,"NM",IF(((AW246/AO246-1)*100)&lt;-50,"NM",(AW246/AO246-1)*100)))</f>
        <v>NA</v>
      </c>
      <c r="AY246" s="164">
        <f>AY238/AY199*400</f>
        <v>8.0768906500295081</v>
      </c>
      <c r="AZ246" s="61">
        <f>IF(ISERROR((AY246/AQ246-1)*100),"NA",IF(((AY246/AQ246-1)*100)&gt;100,"NM",IF(((AY246/AQ246-1)*100)&lt;-50,"NM",(AY246/AQ246-1)*100)))</f>
        <v>1.7141706078135366</v>
      </c>
      <c r="BA246" s="164">
        <f>BA238/BA199*400</f>
        <v>10.022290499427676</v>
      </c>
      <c r="BB246" s="61">
        <f>IF(ISERROR((BA246/AS246-1)*100),"NA",IF(((BA246/AS246-1)*100)&gt;100,"NM",IF(((BA246/AS246-1)*100)&lt;-50,"NM",(BA246/AS246-1)*100)))</f>
        <v>25.212637231655677</v>
      </c>
      <c r="BC246" s="164">
        <f>BC238/BC199*400</f>
        <v>7.7456134202471896</v>
      </c>
      <c r="BD246" s="61">
        <f>IF(ISERROR((BC246/AU246-1)*100),"NA",IF(((BC246/AU246-1)*100)&gt;100,"NM",IF(((BC246/AU246-1)*100)&lt;-50,"NM",(BC246/AU246-1)*100)))</f>
        <v>-2.8254577767027445</v>
      </c>
      <c r="BE246" s="164">
        <f>BE238/BE199*400</f>
        <v>8.1297516472377094</v>
      </c>
      <c r="BF246" s="61">
        <f>IF(ISERROR((BE246/AW246-1)*100),"NA",IF(((BE246/AW246-1)*100)&gt;100,"NM",IF(((BE246/AW246-1)*100)&lt;-50,"NM",(BE246/AW246-1)*100)))</f>
        <v>4.5253783216276933</v>
      </c>
      <c r="BG246" s="164">
        <f>BG238/BG199*400</f>
        <v>7.1479178146894435</v>
      </c>
      <c r="BH246" s="61">
        <f>IF(ISERROR((BG246/AY246-1)*100),"NA",IF(((BG246/AY246-1)*100)&gt;100,"NM",IF(((BG246/AY246-1)*100)&lt;-50,"NM",(BG246/AY246-1)*100)))</f>
        <v>-11.501614613745836</v>
      </c>
      <c r="BI246" s="164">
        <f>BI238/BI199*400</f>
        <v>7.6719998444759812</v>
      </c>
      <c r="BJ246" s="61">
        <f>IF(ISERROR((BI246/BA246-1)*100),"NA",IF(((BI246/BA246-1)*100)&gt;100,"NM",IF(((BI246/BA246-1)*100)&lt;-50,"NM",(BI246/BA246-1)*100)))</f>
        <v>-23.450633915330123</v>
      </c>
      <c r="BK246" s="164">
        <f>BK238/BK199*400</f>
        <v>7.6315688309691305</v>
      </c>
      <c r="BL246" s="61">
        <f>IF(ISERROR((BK246/BC246-1)*100),"NA",IF(((BK246/BC246-1)*100)&gt;100,"NM",IF(((BK246/BC246-1)*100)&lt;-50,"NM",(BK246/BC246-1)*100)))</f>
        <v>-1.4723764676913054</v>
      </c>
      <c r="BM246" s="164">
        <f>BM238/BM199*400</f>
        <v>7.8405466970387234</v>
      </c>
      <c r="BN246" s="61">
        <f>IF(ISERROR((BM246/BE246-1)*100),"NA",IF(((BM246/BE246-1)*100)&gt;100,"NM",IF(((BM246/BE246-1)*100)&lt;-50,"NM",(BM246/BE246-1)*100)))</f>
        <v>-3.5573651293179465</v>
      </c>
      <c r="BO246" s="164">
        <f>BO238/BO199*400</f>
        <v>7.5020659604838098</v>
      </c>
      <c r="BP246" s="61">
        <f>IF(ISERROR((BO246/BG246-1)*100),"NA",IF(((BO246/BG246-1)*100)&gt;100,"NM",IF(((BO246/BG246-1)*100)&lt;-50,"NM",(BO246/BG246-1)*100)))</f>
        <v>4.9545637621429828</v>
      </c>
      <c r="BQ246" s="164">
        <f>BQ238/BQ199*400</f>
        <v>7.7339589617547393</v>
      </c>
      <c r="BR246" s="61">
        <f>IF(ISERROR((BQ246/BI246-1)*100),"NA",IF(((BQ246/BI246-1)*100)&gt;100,"NM",IF(((BQ246/BI246-1)*100)&lt;-50,"NM",(BQ246/BI246-1)*100)))</f>
        <v>0.80760060655331589</v>
      </c>
      <c r="BS246" s="164">
        <f>BS238/BS199*400</f>
        <v>7.7097053886029467</v>
      </c>
      <c r="BT246" s="61">
        <f>IF(ISERROR((BS246/BK246-1)*100),"NA",IF(((BS246/BK246-1)*100)&gt;100,"NM",IF(((BS246/BK246-1)*100)&lt;-50,"NM",(BS246/BK246-1)*100)))</f>
        <v>1.023859698634122</v>
      </c>
      <c r="BU246" s="164">
        <f>BU238/BU199*400</f>
        <v>6.532551298214841</v>
      </c>
      <c r="BV246" s="61">
        <f>IF(ISERROR((BU246/BM246-1)*100),"NA",IF(((BU246/BM246-1)*100)&gt;100,"NM",IF(((BU246/BM246-1)*100)&lt;-50,"NM",(BU246/BM246-1)*100)))</f>
        <v>-16.682451484127959</v>
      </c>
      <c r="BW246" s="164">
        <f>BW238/BW199*400</f>
        <v>7.2236433897567078</v>
      </c>
      <c r="BX246" s="61">
        <f>IF(ISERROR((BW246/BO246-1)*100),"NA",IF(((BW246/BO246-1)*100)&gt;100,"NM",IF(((BW246/BO246-1)*100)&lt;-50,"NM",(BW246/BO246-1)*100)))</f>
        <v>-3.7112786290290911</v>
      </c>
      <c r="BY246" s="164">
        <f>BY238/BY199*400</f>
        <v>6.5546036221667938</v>
      </c>
      <c r="BZ246" s="61">
        <f>IF(ISERROR((BY246/BQ246-1)*100),"NA",IF(((BY246/BQ246-1)*100)&gt;100,"NM",IF(((BY246/BQ246-1)*100)&lt;-50,"NM",(BY246/BQ246-1)*100)))</f>
        <v>-15.249050911958351</v>
      </c>
      <c r="CA246" s="164">
        <f>CA238/CA199*400</f>
        <v>7.135088414304751</v>
      </c>
      <c r="CB246" s="61">
        <f>IF(ISERROR((CA246/BS246-1)*100),"NA",IF(((CA246/BS246-1)*100)&gt;100,"NM",IF(((CA246/BS246-1)*100)&lt;-50,"NM",(CA246/BS246-1)*100)))</f>
        <v>-7.4531638413529606</v>
      </c>
      <c r="CC246" s="164">
        <f>CC238/CC199*400</f>
        <v>7.543424317617867</v>
      </c>
      <c r="CD246" s="61">
        <f>IF(ISERROR((CC246/BU246-1)*100),"NA",IF(((CC246/BU246-1)*100)&gt;100,"NM",IF(((CC246/BU246-1)*100)&lt;-50,"NM",(CC246/BU246-1)*100)))</f>
        <v>15.474398489289598</v>
      </c>
      <c r="CE246" s="164">
        <f>CE238/CE199*400</f>
        <v>7.49960210090721</v>
      </c>
      <c r="CF246" s="61">
        <f>IF(ISERROR((CE246/BW246-1)*100),"NA",IF(((CE246/BW246-1)*100)&gt;100,"NM",IF(((CE246/BW246-1)*100)&lt;-50,"NM",(CE246/BW246-1)*100)))</f>
        <v>3.8202150391562606</v>
      </c>
      <c r="CG246" s="164">
        <f>CG238/CG199*400</f>
        <v>7.6573174801102928</v>
      </c>
      <c r="CH246" s="61">
        <f>IF(ISERROR((CG246/BY246-1)*100),"NA",IF(((CG246/BY246-1)*100)&gt;100,"NM",IF(((CG246/BY246-1)*100)&lt;-50,"NM",(CG246/BY246-1)*100)))</f>
        <v>16.823501793674733</v>
      </c>
      <c r="CI246" s="164">
        <f>CI238/CI199*400</f>
        <v>7.5680574436195052</v>
      </c>
      <c r="CJ246" s="61">
        <f>IF(ISERROR((CI246/CA246-1)*100),"NA",IF(((CI246/CA246-1)*100)&gt;100,"NM",IF(((CI246/CA246-1)*100)&lt;-50,"NM",(CI246/CA246-1)*100)))</f>
        <v>6.0681662815378345</v>
      </c>
      <c r="CK246" s="164">
        <f>CK238/CK199*400</f>
        <v>7.8116886466411044</v>
      </c>
      <c r="CL246" s="61">
        <f>IF(ISERROR((CK246/CC246-1)*100),"NA",IF(((CK246/CC246-1)*100)&gt;100,"NM",IF(((CK246/CC246-1)*100)&lt;-50,"NM",(CK246/CC246-1)*100)))</f>
        <v>3.5562672564593667</v>
      </c>
      <c r="CM246" s="164">
        <f>CM238/CM199*400</f>
        <v>7.8370330265295083</v>
      </c>
      <c r="CN246" s="61">
        <f>IF(ISERROR((CM246/CE246-1)*100),"NA",IF(((CM246/CE246-1)*100)&gt;100,"NM",IF(((CM246/CE246-1)*100)&lt;-50,"NM",(CM246/CE246-1)*100)))</f>
        <v>4.499317711555384</v>
      </c>
      <c r="CO246" s="164">
        <f>CO238/CO199*400</f>
        <v>7.8547931938484137</v>
      </c>
      <c r="CP246" s="61">
        <f>IF(ISERROR((CO246/CG246-1)*100),"NA",IF(((CO246/CG246-1)*100)&gt;100,"NM",IF(((CO246/CG246-1)*100)&lt;-50,"NM",(CO246/CG246-1)*100)))</f>
        <v>2.578915060673137</v>
      </c>
      <c r="CQ246" s="164">
        <f>CQ238/CQ199*400</f>
        <v>7.4846181686572573</v>
      </c>
      <c r="CR246" s="61">
        <f>IF(ISERROR((CQ246/CI246-1)*100),"NA",IF(((CQ246/CI246-1)*100)&gt;100,"NM",IF(((CQ246/CI246-1)*100)&lt;-50,"NM",(CQ246/CI246-1)*100)))</f>
        <v>-1.1025190490935532</v>
      </c>
      <c r="CS246" s="164">
        <f>CS238/CS199*400</f>
        <v>7.216644842135894</v>
      </c>
      <c r="CT246" s="61">
        <f>IF(ISERROR((CS246/CK246-1)*100),"NA",IF(((CS246/CK246-1)*100)&gt;100,"NM",IF(((CS246/CK246-1)*100)&lt;-50,"NM",(CS246/CK246-1)*100)))</f>
        <v>-7.617351784253068</v>
      </c>
      <c r="CU246" s="164">
        <f>CU238/CU199*400</f>
        <v>7.5008371470030148</v>
      </c>
      <c r="CV246" s="61">
        <f>IF(ISERROR((CU246/CM246-1)*100),"NA",IF(((CU246/CM246-1)*100)&gt;100,"NM",IF(((CU246/CM246-1)*100)&lt;-50,"NM",(CU246/CM246-1)*100)))</f>
        <v>-4.2898361967905529</v>
      </c>
      <c r="CW246" s="164">
        <f>CW238/CW199*400</f>
        <v>7.6655493011194746</v>
      </c>
      <c r="CX246" s="61">
        <f>IF(ISERROR((CW246/CO246-1)*100),"NA",IF(((CW246/CO246-1)*100)&gt;100,"NM",IF(((CW246/CO246-1)*100)&lt;-50,"NM",(CW246/CO246-1)*100)))</f>
        <v>-2.4092791249698098</v>
      </c>
      <c r="CY246" s="164">
        <f>CY238/CY199*400</f>
        <v>7.2549265721099525</v>
      </c>
      <c r="CZ246" s="61">
        <f>IF(ISERROR((CY246/CQ246-1)*100),"NA",IF(((CY246/CQ246-1)*100)&gt;100,"NM",IF(((CY246/CQ246-1)*100)&lt;-50,"NM",(CY246/CQ246-1)*100)))</f>
        <v>-3.0688485554168476</v>
      </c>
      <c r="DA246" s="164">
        <f>DA238/DA199*400</f>
        <v>7.7493868173491878</v>
      </c>
      <c r="DB246" s="61">
        <f>IF(ISERROR((DA246/CS246-1)*100),"NA",IF(((DA246/CS246-1)*100)&gt;100,"NM",IF(((DA246/CS246-1)*100)&lt;-50,"NM",(DA246/CS246-1)*100)))</f>
        <v>7.3821282170180913</v>
      </c>
      <c r="DC246" s="164">
        <f>DC238/DC199*400</f>
        <v>7.1725237168385716</v>
      </c>
      <c r="DD246" s="61">
        <f>IF(ISERROR((DC246/CU246-1)*100),"NA",IF(((DC246/CU246-1)*100)&gt;100,"NM",IF(((DC246/CU246-1)*100)&lt;-50,"NM",(DC246/CU246-1)*100)))</f>
        <v>-4.3770238405405504</v>
      </c>
      <c r="DE246" s="164">
        <f>DE238/DE199*400</f>
        <v>7.5843761850587788</v>
      </c>
      <c r="DF246" s="61">
        <f>IF(ISERROR((DE246/CW246-1)*100),"NA",IF(((DE246/CW246-1)*100)&gt;100,"NM",IF(((DE246/CW246-1)*100)&lt;-50,"NM",(DE246/CW246-1)*100)))</f>
        <v>-1.0589341072901548</v>
      </c>
      <c r="DG246" s="164">
        <f>DG238/DG199*400</f>
        <v>7.4013900171495619</v>
      </c>
      <c r="DH246" s="61">
        <f>IF(ISERROR((DG246/CY246-1)*100),"NA",IF(((DG246/CY246-1)*100)&gt;100,"NM",IF(((DG246/CY246-1)*100)&lt;-50,"NM",(DG246/CY246-1)*100)))</f>
        <v>2.0188136100874887</v>
      </c>
      <c r="DI246" s="164">
        <f>DI238/DI199*400</f>
        <v>7.4768584077392033</v>
      </c>
      <c r="DJ246" s="61">
        <f>IF(ISERROR((DI246/DA246-1)*100),"NA",IF(((DI246/DA246-1)*100)&gt;100,"NM",IF(((DI246/DA246-1)*100)&lt;-50,"NM",(DI246/DA246-1)*100)))</f>
        <v>-3.5167738562211448</v>
      </c>
      <c r="DK246" s="164">
        <f>DK238/DK199*400</f>
        <v>7.3838507846820596</v>
      </c>
      <c r="DL246" s="61">
        <f>IF(ISERROR((DK246/DC246-1)*100),"NA",IF(((DK246/DC246-1)*100)&gt;100,"NM",IF(((DK246/DC246-1)*100)&lt;-50,"NM",(DK246/DC246-1)*100)))</f>
        <v>2.9463418482307047</v>
      </c>
      <c r="DM246" s="164">
        <f>DM238/DM199*400</f>
        <v>7.4374816122388943</v>
      </c>
      <c r="DN246" s="130">
        <f t="shared" si="1746"/>
        <v>-1.936804942630177</v>
      </c>
      <c r="DO246" s="164">
        <f>DO238/DO199*400</f>
        <v>7.437617857299478</v>
      </c>
      <c r="DP246" s="130">
        <f t="shared" si="1746"/>
        <v>0.48947346465966213</v>
      </c>
      <c r="DQ246" s="164">
        <f>DQ238/DQ199*400</f>
        <v>7.4165421387845116</v>
      </c>
      <c r="DR246" s="130">
        <f t="shared" si="1746"/>
        <v>-0.8067060477199739</v>
      </c>
      <c r="DS246" s="164">
        <f>DS238/DS199*400</f>
        <v>7.2197794276652489</v>
      </c>
      <c r="DT246" s="130">
        <f t="shared" si="1746"/>
        <v>-2.2220296942779494</v>
      </c>
      <c r="DU246" s="164">
        <f>DU238/DU199*400</f>
        <v>7.1868317954163858</v>
      </c>
      <c r="DV246" s="130">
        <f t="shared" si="1746"/>
        <v>-3.3700899026095965</v>
      </c>
      <c r="DW246" s="164">
        <f>DW238/DW199*400</f>
        <v>7.5502901216087128</v>
      </c>
      <c r="DX246" s="164">
        <f t="shared" ref="DX246:DY246" si="1775">DX238/DX199*400</f>
        <v>1839.5014895369734</v>
      </c>
      <c r="DY246" s="164">
        <f t="shared" si="1775"/>
        <v>7.1002572147319034</v>
      </c>
      <c r="DZ246" s="130">
        <f t="shared" si="1746"/>
        <v>-4.264587433523892</v>
      </c>
      <c r="EA246" s="164">
        <f t="shared" ref="EA246:EC246" si="1776">EA238/EA199*400</f>
        <v>6.8666151576877148</v>
      </c>
      <c r="EB246" s="61">
        <f t="shared" si="1749"/>
        <v>-4.8916213232810808</v>
      </c>
      <c r="EC246" s="164">
        <f t="shared" si="1776"/>
        <v>7.0909472799831965</v>
      </c>
      <c r="ED246" s="61">
        <f t="shared" si="1750"/>
        <v>-1.3341694666395676</v>
      </c>
      <c r="EE246" s="164">
        <f t="shared" ref="EE246:EG246" si="1777">EE238/EE199*400</f>
        <v>7.4146341463414629</v>
      </c>
      <c r="EF246" s="61">
        <f t="shared" si="1752"/>
        <v>-1.7966988431213582</v>
      </c>
      <c r="EG246" s="164">
        <f t="shared" si="1777"/>
        <v>7.2196769416031117</v>
      </c>
      <c r="EH246" s="61">
        <f t="shared" si="1753"/>
        <v>1.6819070529364932</v>
      </c>
      <c r="EI246" s="164">
        <f t="shared" ref="EI246:EK246" si="1778">EI238/EI199*400</f>
        <v>7.2539859715848793</v>
      </c>
      <c r="EJ246" s="61">
        <f t="shared" si="1755"/>
        <v>5.6413648500960756</v>
      </c>
      <c r="EK246" s="164">
        <f t="shared" si="1778"/>
        <v>7.3897922995505088</v>
      </c>
      <c r="EL246" s="61">
        <f t="shared" si="1756"/>
        <v>4.2144583476302566</v>
      </c>
      <c r="EM246" s="164">
        <f t="shared" ref="EM246" si="1779">EM238/EM199*400</f>
        <v>7.1751335067780362</v>
      </c>
      <c r="EN246" s="61">
        <f t="shared" si="1758"/>
        <v>-3.2301073099014754</v>
      </c>
      <c r="EO246" s="164">
        <f t="shared" ref="EO246" si="1780">EO238/EO199*400</f>
        <v>7.1857919773195027</v>
      </c>
      <c r="EP246" s="61">
        <f t="shared" si="1760"/>
        <v>-0.46934183562076237</v>
      </c>
      <c r="EQ246" s="158">
        <f>EO246</f>
        <v>7.1857919773195027</v>
      </c>
      <c r="ER246" s="61">
        <f t="shared" si="1762"/>
        <v>-0.94008996615797535</v>
      </c>
      <c r="ES246" s="158">
        <f t="shared" ref="ES246" si="1781">EQ246-0.02</f>
        <v>7.1657919773195031</v>
      </c>
      <c r="ET246" s="61">
        <f t="shared" si="1764"/>
        <v>-3.031212693821328</v>
      </c>
      <c r="EU246" s="158">
        <f t="shared" ref="EU246" si="1782">ES246-0.02</f>
        <v>7.1457919773195036</v>
      </c>
      <c r="EV246" s="61">
        <f t="shared" si="1766"/>
        <v>-0.40893356800699721</v>
      </c>
      <c r="EW246" s="158">
        <f t="shared" ref="EW246" si="1783">EU246-0.02</f>
        <v>7.125791977319504</v>
      </c>
      <c r="EX246" s="61">
        <f t="shared" si="1768"/>
        <v>-0.83498103186644412</v>
      </c>
      <c r="EY246" s="64"/>
      <c r="EZ246" s="558"/>
      <c r="FA246" s="64"/>
      <c r="FB246" s="66"/>
      <c r="FC246" s="66"/>
      <c r="FD246" s="66"/>
      <c r="FE246" s="67"/>
      <c r="FF246" s="66"/>
      <c r="FG246" s="67"/>
      <c r="FH246" s="66"/>
      <c r="FI246" s="67"/>
      <c r="FJ246" s="66"/>
      <c r="FK246" s="67"/>
      <c r="FL246" s="165"/>
      <c r="FM246" s="61"/>
      <c r="FN246" s="165">
        <f>AVERAGE(AO246,AQ246,AS246,AU246)</f>
        <v>7.9719381486054397</v>
      </c>
      <c r="FO246" s="61"/>
      <c r="FP246" s="165">
        <f>AVERAGE(AQ246,AS246,AU246,AW246)</f>
        <v>7.9233980558985246</v>
      </c>
      <c r="FQ246" s="61">
        <f>IF(ISERROR((FP246/FN246-1)*100),"NA",IF(((FP246/FN246-1)*100)&gt;100,"NM",IF(((FP246/FN246-1)*100)&lt;-50,"NM",(FP246/FN246-1)*100)))</f>
        <v>-0.60888697079776177</v>
      </c>
      <c r="FR246" s="165">
        <f>AVERAGE(AY246,BA246,BC246,BE246)</f>
        <v>8.4936365542355201</v>
      </c>
      <c r="FS246" s="61">
        <f>IF(ISERROR((FR246/FP246-1)*100),"NA",IF(((FR246/FP246-1)*100)&gt;100,"NM",IF(((FR246/FP246-1)*100)&lt;-50,"NM",(FR246/FP246-1)*100)))</f>
        <v>7.1968932308340117</v>
      </c>
      <c r="FT246" s="165">
        <f>AVERAGE(BG246,BI246,BK246,BM246)</f>
        <v>7.5730082967933203</v>
      </c>
      <c r="FU246" s="61">
        <f>IF(ISERROR((FT246/FR246-1)*100),"NA",IF(((FT246/FR246-1)*100)&gt;100,"NM",IF(((FT246/FR246-1)*100)&lt;-50,"NM",(FT246/FR246-1)*100)))</f>
        <v>-10.839035218467297</v>
      </c>
      <c r="FV246" s="165">
        <f>AVERAGE(BO246,BQ246,BS246,BU246)</f>
        <v>7.3695704022640847</v>
      </c>
      <c r="FW246" s="61">
        <f>IF(ISERROR((FV246/FT246-1)*100),"NA",IF(((FV246/FT246-1)*100)&gt;100,"NM",IF(((FV246/FT246-1)*100)&lt;-50,"NM",(FV246/FT246-1)*100)))</f>
        <v>-2.6863550990083862</v>
      </c>
      <c r="FX246" s="165">
        <f>AVERAGE(BW246,BY246,CA246,CC246)</f>
        <v>7.1141899359615293</v>
      </c>
      <c r="FY246" s="61">
        <f>IF(ISERROR((FX246/FV246-1)*100),"NA",IF(((FX246/FV246-1)*100)&gt;100,"NM",IF(((FX246/FV246-1)*100)&lt;-50,"NM",(FX246/FV246-1)*100)))</f>
        <v>-3.4653372226975065</v>
      </c>
      <c r="FZ246" s="165">
        <f>AVERAGE(CE246,CG246,CI246,CK246)</f>
        <v>7.6341664178195279</v>
      </c>
      <c r="GA246" s="61">
        <f>IF(ISERROR((FZ246/FX246-1)*100),"NA",IF(((FZ246/FX246-1)*100)&gt;100,"NM",IF(((FZ246/FX246-1)*100)&lt;-50,"NM",(FZ246/FX246-1)*100)))</f>
        <v>7.3090047712891293</v>
      </c>
      <c r="GB246" s="165">
        <f>AVERAGE(CM246,CO246,CQ246,CS246)</f>
        <v>7.5982723077927687</v>
      </c>
      <c r="GC246" s="61">
        <f>IF(ISERROR((GB246/FZ246-1)*100),"NA",IF(((GB246/FZ246-1)*100)&gt;100,"NM",IF(((GB246/FZ246-1)*100)&lt;-50,"NM",(GB246/FZ246-1)*100)))</f>
        <v>-0.47017720157338516</v>
      </c>
      <c r="GD246" s="165">
        <f>AVERAGE(CU246,CW246,CY246,DA246)</f>
        <v>7.5426749593954074</v>
      </c>
      <c r="GE246" s="61">
        <f>IF(ISERROR((GD246/GB246-1)*100),"NA",IF(((GD246/GB246-1)*100)&gt;100,"NM",IF(((GD246/GB246-1)*100)&lt;-50,"NM",(GD246/GB246-1)*100)))</f>
        <v>-0.73171039606386712</v>
      </c>
      <c r="GF246" s="165">
        <f>AVERAGE(DC246,DE246,DG246,DI246)</f>
        <v>7.4087870816965289</v>
      </c>
      <c r="GG246" s="61">
        <f>IF(ISERROR((GF246/GD246-1)*100),"NA",IF(((GF246/GD246-1)*100)&gt;100,"NM",IF(((GF246/GD246-1)*100)&lt;-50,"NM",(GF246/GD246-1)*100)))</f>
        <v>-1.7750715551132612</v>
      </c>
      <c r="GH246" s="165">
        <f>AVERAGE(DK246,DM246,DO246,DQ246)</f>
        <v>7.4188730982512361</v>
      </c>
      <c r="GI246" s="61">
        <f>IF(ISERROR((GH246/GF246-1)*100),"NA",IF(((GH246/GF246-1)*100)&gt;100,"NM",IF(((GH246/GF246-1)*100)&lt;-50,"NM",(GH246/GF246-1)*100)))</f>
        <v>0.13613586736247463</v>
      </c>
      <c r="GJ246" s="165">
        <f>AVERAGE(DS246,DU246,DW246,DY246)</f>
        <v>7.264289639855563</v>
      </c>
      <c r="GK246" s="61">
        <f>IF(ISERROR((GJ246/GH246-1)*100),"NA",IF(((GJ246/GH246-1)*100)&gt;100,"NM",IF(((GJ246/GH246-1)*100)&lt;-50,"NM",(GJ246/GH246-1)*100)))</f>
        <v>-2.0836514703575615</v>
      </c>
      <c r="GL246" s="165">
        <f>AVERAGE(EA246,EC246,EE246,EG246)</f>
        <v>7.1479683814038717</v>
      </c>
      <c r="GM246" s="61">
        <f>IF(ISERROR((GL246/GJ246-1)*100),"NA",IF(((GL246/GJ246-1)*100)&gt;100,"NM",IF(((GL246/GJ246-1)*100)&lt;-50,"NM",(GL246/GJ246-1)*100)))</f>
        <v>-1.6012750622372507</v>
      </c>
      <c r="GN246" s="165">
        <f>AVERAGE(EI246,EK246,EM246,EO246)</f>
        <v>7.251175938808232</v>
      </c>
      <c r="GO246" s="61">
        <f>IF(ISERROR((GN246/GL246-1)*100),"NA",IF(((GN246/GL246-1)*100)&gt;100,"NM",IF(((GN246/GL246-1)*100)&lt;-50,"NM",(GN246/GL246-1)*100)))</f>
        <v>1.4438726068356056</v>
      </c>
      <c r="GP246" s="165">
        <f>AVERAGE(EQ246,ES246,EU246,EW246)</f>
        <v>7.1557919773195033</v>
      </c>
      <c r="GQ246" s="61">
        <f>IF(ISERROR((GP246/GN246-1)*100),"NA",IF(((GP246/GN246-1)*100)&gt;100,"NM",IF(((GP246/GN246-1)*100)&lt;-50,"NM",(GP246/GN246-1)*100)))</f>
        <v>-1.3154274878124816</v>
      </c>
      <c r="GR246" s="158">
        <f>GP246</f>
        <v>7.1557919773195033</v>
      </c>
      <c r="GS246" s="61">
        <f>IF(ISERROR((GR246/GP246-1)*100),"NA",IF(((GR246/GP246-1)*100)&gt;100,"NM",IF(((GR246/GP246-1)*100)&lt;-50,"NM",(GR246/GP246-1)*100)))</f>
        <v>0</v>
      </c>
      <c r="GT246" s="158">
        <f>GR246</f>
        <v>7.1557919773195033</v>
      </c>
      <c r="GU246" s="61">
        <f>IF(ISERROR((GT246/GR246-1)*100),"NA",IF(((GT246/GR246-1)*100)&gt;100,"NM",IF(((GT246/GR246-1)*100)&lt;-50,"NM",(GT246/GR246-1)*100)))</f>
        <v>0</v>
      </c>
      <c r="GV246" s="158">
        <f>GT246</f>
        <v>7.1557919773195033</v>
      </c>
      <c r="GW246" s="61">
        <f>IF(ISERROR((GV246/GT246-1)*100),"NA",IF(((GV246/GT246-1)*100)&gt;100,"NM",IF(((GV246/GT246-1)*100)&lt;-50,"NM",(GV246/GT246-1)*100)))</f>
        <v>0</v>
      </c>
      <c r="GX246" s="158">
        <f>GV246</f>
        <v>7.1557919773195033</v>
      </c>
      <c r="GY246" s="61">
        <f>IF(ISERROR((GX246/GV246-1)*100),"NA",IF(((GX246/GV246-1)*100)&gt;100,"NM",IF(((GX246/GV246-1)*100)&lt;-50,"NM",(GX246/GV246-1)*100)))</f>
        <v>0</v>
      </c>
      <c r="GZ246" s="61">
        <f t="shared" si="1691"/>
        <v>-0.26448080427803333</v>
      </c>
      <c r="HA246" s="61"/>
      <c r="HB246" s="452"/>
      <c r="HC246"/>
      <c r="HD246"/>
      <c r="HE246"/>
      <c r="HF246"/>
      <c r="HG246"/>
      <c r="HH246"/>
    </row>
    <row r="247" spans="2:216" s="5" customFormat="1" ht="12.75" customHeight="1" x14ac:dyDescent="0.2">
      <c r="B247" s="2" t="s">
        <v>631</v>
      </c>
      <c r="C247" s="66"/>
      <c r="D247" s="67"/>
      <c r="E247" s="66"/>
      <c r="F247" s="66"/>
      <c r="G247" s="64"/>
      <c r="H247" s="66"/>
      <c r="I247" s="64"/>
      <c r="J247" s="66"/>
      <c r="K247" s="64"/>
      <c r="L247" s="61"/>
      <c r="M247" s="66"/>
      <c r="N247" s="61"/>
      <c r="O247" s="64"/>
      <c r="P247" s="61"/>
      <c r="Q247" s="64"/>
      <c r="R247" s="61"/>
      <c r="S247" s="64"/>
      <c r="T247" s="61"/>
      <c r="U247" s="64"/>
      <c r="V247" s="61"/>
      <c r="W247" s="64"/>
      <c r="X247" s="61"/>
      <c r="Y247" s="64"/>
      <c r="Z247" s="61"/>
      <c r="AA247" s="64"/>
      <c r="AB247" s="61"/>
      <c r="AC247" s="64"/>
      <c r="AD247" s="61"/>
      <c r="AE247" s="64"/>
      <c r="AF247" s="61"/>
      <c r="AG247" s="64"/>
      <c r="AH247" s="61"/>
      <c r="AI247" s="64"/>
      <c r="AJ247" s="61"/>
      <c r="AK247" s="64"/>
      <c r="AL247" s="61"/>
      <c r="AM247" s="64"/>
      <c r="AN247" s="61"/>
      <c r="AO247" s="64"/>
      <c r="AP247" s="61"/>
      <c r="AQ247" s="164">
        <f>AQ239/AQ199*400</f>
        <v>4.9261869929511901</v>
      </c>
      <c r="AR247" s="61" t="str">
        <f>IF(ISERROR((AQ247/AI247-1)*100),"NA",IF(((AQ247/AI247-1)*100)&gt;100,"NM",IF(((AQ247/AI247-1)*100)&lt;-50,"NM",(AQ247/AI247-1)*100)))</f>
        <v>NA</v>
      </c>
      <c r="AS247" s="164">
        <f>AS239/AS199*400</f>
        <v>4.8489107519325367</v>
      </c>
      <c r="AT247" s="61" t="str">
        <f>IF(ISERROR((AS247/AK247-1)*100),"NA",IF(((AS247/AK247-1)*100)&gt;100,"NM",IF(((AS247/AK247-1)*100)&lt;-50,"NM",(AS247/AK247-1)*100)))</f>
        <v>NA</v>
      </c>
      <c r="AU247" s="164">
        <f>AU239/AU199*400</f>
        <v>4.893635495354693</v>
      </c>
      <c r="AV247" s="61" t="str">
        <f>IF(ISERROR((AU247/AM247-1)*100),"NA",IF(((AU247/AM247-1)*100)&gt;100,"NM",IF(((AU247/AM247-1)*100)&lt;-50,"NM",(AU247/AM247-1)*100)))</f>
        <v>NA</v>
      </c>
      <c r="AW247" s="164">
        <f>AW239/AW199*400</f>
        <v>4.8581196581196577</v>
      </c>
      <c r="AX247" s="61" t="str">
        <f>IF(ISERROR((AW247/AO247-1)*100),"NA",IF(((AW247/AO247-1)*100)&gt;100,"NM",IF(((AW247/AO247-1)*100)&lt;-50,"NM",(AW247/AO247-1)*100)))</f>
        <v>NA</v>
      </c>
      <c r="AY247" s="164">
        <f>AY239/AY199*400</f>
        <v>4.7955484360509226</v>
      </c>
      <c r="AZ247" s="61">
        <f>IF(ISERROR((AY247/AQ247-1)*100),"NA",IF(((AY247/AQ247-1)*100)&gt;100,"NM",IF(((AY247/AQ247-1)*100)&lt;-50,"NM",(AY247/AQ247-1)*100)))</f>
        <v>-2.651920381568873</v>
      </c>
      <c r="BA247" s="164">
        <f>BA239/BA199*400</f>
        <v>5.8196276884149647</v>
      </c>
      <c r="BB247" s="61">
        <f>IF(ISERROR((BA247/AS247-1)*100),"NA",IF(((BA247/AS247-1)*100)&gt;100,"NM",IF(((BA247/AS247-1)*100)&lt;-50,"NM",(BA247/AS247-1)*100)))</f>
        <v>20.019278269775299</v>
      </c>
      <c r="BC247" s="164">
        <f>BC239/BC199*400</f>
        <v>4.6185836779514498</v>
      </c>
      <c r="BD247" s="61">
        <f>IF(ISERROR((BC247/AU247-1)*100),"NA",IF(((BC247/AU247-1)*100)&gt;100,"NM",IF(((BC247/AU247-1)*100)&lt;-50,"NM",(BC247/AU247-1)*100)))</f>
        <v>-5.6206028762121214</v>
      </c>
      <c r="BE247" s="164">
        <f>BE239/BE199*400</f>
        <v>4.6316177486983374</v>
      </c>
      <c r="BF247" s="61">
        <f>IF(ISERROR((BE247/AW247-1)*100),"NA",IF(((BE247/AW247-1)*100)&gt;100,"NM",IF(((BE247/AW247-1)*100)&lt;-50,"NM",(BE247/AW247-1)*100)))</f>
        <v>-4.6623369814029703</v>
      </c>
      <c r="BG247" s="164">
        <f>BG239/BG199*400</f>
        <v>3.9628434228135085</v>
      </c>
      <c r="BH247" s="61">
        <f>IF(ISERROR((BG247/AY247-1)*100),"NA",IF(((BG247/AY247-1)*100)&gt;100,"NM",IF(((BG247/AY247-1)*100)&lt;-50,"NM",(BG247/AY247-1)*100)))</f>
        <v>-17.364124757399736</v>
      </c>
      <c r="BI247" s="164">
        <f>BI239/BI199*400</f>
        <v>3.9503100760123644</v>
      </c>
      <c r="BJ247" s="61">
        <f>IF(ISERROR((BI247/BA247-1)*100),"NA",IF(((BI247/BA247-1)*100)&gt;100,"NM",IF(((BI247/BA247-1)*100)&lt;-50,"NM",(BI247/BA247-1)*100)))</f>
        <v>-32.120914128644685</v>
      </c>
      <c r="BK247" s="164">
        <f>BK239/BK199*400</f>
        <v>4.5039018952062433</v>
      </c>
      <c r="BL247" s="61">
        <f>IF(ISERROR((BK247/BC247-1)*100),"NA",IF(((BK247/BC247-1)*100)&gt;100,"NM",IF(((BK247/BC247-1)*100)&lt;-50,"NM",(BK247/BC247-1)*100)))</f>
        <v>-2.4830508818684649</v>
      </c>
      <c r="BM247" s="164">
        <f>BM239/BM199*400</f>
        <v>4.5284738041002273</v>
      </c>
      <c r="BN247" s="61">
        <f>IF(ISERROR((BM247/BE247-1)*100),"NA",IF(((BM247/BE247-1)*100)&gt;100,"NM",IF(((BM247/BE247-1)*100)&lt;-50,"NM",(BM247/BE247-1)*100)))</f>
        <v>-2.226952874664534</v>
      </c>
      <c r="BO247" s="164">
        <f>BO239/BO199*400</f>
        <v>4.4549620614529335</v>
      </c>
      <c r="BP247" s="61">
        <f>IF(ISERROR((BO247/BG247-1)*100),"NA",IF(((BO247/BG247-1)*100)&gt;100,"NM",IF(((BO247/BG247-1)*100)&lt;-50,"NM",(BO247/BG247-1)*100)))</f>
        <v>12.418321546755283</v>
      </c>
      <c r="BQ247" s="164">
        <f>BQ239/BQ199*400</f>
        <v>4.4777119874874316</v>
      </c>
      <c r="BR247" s="61">
        <f>IF(ISERROR((BQ247/BI247-1)*100),"NA",IF(((BQ247/BI247-1)*100)&gt;100,"NM",IF(((BQ247/BI247-1)*100)&lt;-50,"NM",(BQ247/BI247-1)*100)))</f>
        <v>13.350899076951773</v>
      </c>
      <c r="BS247" s="164">
        <f>BS239/BS199*400</f>
        <v>4.496836201966536</v>
      </c>
      <c r="BT247" s="61">
        <f>IF(ISERROR((BS247/BK247-1)*100),"NA",IF(((BS247/BK247-1)*100)&gt;100,"NM",IF(((BS247/BK247-1)*100)&lt;-50,"NM",(BS247/BK247-1)*100)))</f>
        <v>-0.15687937712914879</v>
      </c>
      <c r="BU247" s="164">
        <f>BU239/BU199*400</f>
        <v>4.3954758902958213</v>
      </c>
      <c r="BV247" s="61">
        <f>IF(ISERROR((BU247/BM247-1)*100),"NA",IF(((BU247/BM247-1)*100)&gt;100,"NM",IF(((BU247/BM247-1)*100)&lt;-50,"NM",(BU247/BM247-1)*100)))</f>
        <v>-2.9369257625821987</v>
      </c>
      <c r="BW247" s="164">
        <f>BW239/BW199*400</f>
        <v>4.3948547687730182</v>
      </c>
      <c r="BX247" s="61">
        <f>IF(ISERROR((BW247/BO247-1)*100),"NA",IF(((BW247/BO247-1)*100)&gt;100,"NM",IF(((BW247/BO247-1)*100)&lt;-50,"NM",(BW247/BO247-1)*100)))</f>
        <v>-1.3492212021287586</v>
      </c>
      <c r="BY247" s="164">
        <f>BY239/BY199*400</f>
        <v>4.2048946245888006</v>
      </c>
      <c r="BZ247" s="61">
        <f>IF(ISERROR((BY247/BQ247-1)*100),"NA",IF(((BY247/BQ247-1)*100)&gt;100,"NM",IF(((BY247/BQ247-1)*100)&lt;-50,"NM",(BY247/BQ247-1)*100)))</f>
        <v>-6.0927849683274582</v>
      </c>
      <c r="CA247" s="164">
        <f>CA239/CA199*400</f>
        <v>4.219397126084921</v>
      </c>
      <c r="CB247" s="61">
        <f>IF(ISERROR((CA247/BS247-1)*100),"NA",IF(((CA247/BS247-1)*100)&gt;100,"NM",IF(((CA247/BS247-1)*100)&lt;-50,"NM",(CA247/BS247-1)*100)))</f>
        <v>-6.1696504702636652</v>
      </c>
      <c r="CC247" s="164">
        <f>CC239/CC199*400</f>
        <v>4.2515664887444879</v>
      </c>
      <c r="CD247" s="61">
        <f>IF(ISERROR((CC247/BU247-1)*100),"NA",IF(((CC247/BU247-1)*100)&gt;100,"NM",IF(((CC247/BU247-1)*100)&lt;-50,"NM",(CC247/BU247-1)*100)))</f>
        <v>-3.2740346015559196</v>
      </c>
      <c r="CE247" s="164">
        <f>CE239/CE199*400</f>
        <v>4.200399667533202</v>
      </c>
      <c r="CF247" s="61">
        <f>IF(ISERROR((CE247/BW247-1)*100),"NA",IF(((CE247/BW247-1)*100)&gt;100,"NM",IF(((CE247/BW247-1)*100)&lt;-50,"NM",(CE247/BW247-1)*100)))</f>
        <v>-4.424608126336449</v>
      </c>
      <c r="CG247" s="164">
        <f>CG239/CG199*400</f>
        <v>4.198176996434781</v>
      </c>
      <c r="CH247" s="61">
        <f>IF(ISERROR((CG247/BY247-1)*100),"NA",IF(((CG247/BY247-1)*100)&gt;100,"NM",IF(((CG247/BY247-1)*100)&lt;-50,"NM",(CG247/BY247-1)*100)))</f>
        <v>-0.15975734837057054</v>
      </c>
      <c r="CI247" s="164">
        <f>CI239/CI199*400</f>
        <v>4.1758165150406077</v>
      </c>
      <c r="CJ247" s="61">
        <f>IF(ISERROR((CI247/CA247-1)*100),"NA",IF(((CI247/CA247-1)*100)&gt;100,"NM",IF(((CI247/CA247-1)*100)&lt;-50,"NM",(CI247/CA247-1)*100)))</f>
        <v>-1.0328634575515916</v>
      </c>
      <c r="CK247" s="164">
        <f>CK239/CK199*400</f>
        <v>4.1665090527691326</v>
      </c>
      <c r="CL247" s="61">
        <f>IF(ISERROR((CK247/CC247-1)*100),"NA",IF(((CK247/CC247-1)*100)&gt;100,"NM",IF(((CK247/CC247-1)*100)&lt;-50,"NM",(CK247/CC247-1)*100)))</f>
        <v>-2.0006140372150982</v>
      </c>
      <c r="CM247" s="164">
        <f>CM239/CM199*400</f>
        <v>4.0877097996751486</v>
      </c>
      <c r="CN247" s="61">
        <f>IF(ISERROR((CM247/CE247-1)*100),"NA",IF(((CM247/CE247-1)*100)&gt;100,"NM",IF(((CM247/CE247-1)*100)&lt;-50,"NM",(CM247/CE247-1)*100)))</f>
        <v>-2.6828367959621735</v>
      </c>
      <c r="CO247" s="164">
        <f>CO239/CO199*400</f>
        <v>4.1077362365788908</v>
      </c>
      <c r="CP247" s="61">
        <f>IF(ISERROR((CO247/CG247-1)*100),"NA",IF(((CO247/CG247-1)*100)&gt;100,"NM",IF(((CO247/CG247-1)*100)&lt;-50,"NM",(CO247/CG247-1)*100)))</f>
        <v>-2.1542864898906222</v>
      </c>
      <c r="CQ247" s="164">
        <f>CQ239/CQ199*400</f>
        <v>4.1048925739479483</v>
      </c>
      <c r="CR247" s="61">
        <f>IF(ISERROR((CQ247/CI247-1)*100),"NA",IF(((CQ247/CI247-1)*100)&gt;100,"NM",IF(((CQ247/CI247-1)*100)&lt;-50,"NM",(CQ247/CI247-1)*100)))</f>
        <v>-1.6984448631112703</v>
      </c>
      <c r="CS247" s="164">
        <f>CS239/CS199*400</f>
        <v>4.1127115767011011</v>
      </c>
      <c r="CT247" s="61">
        <f>IF(ISERROR((CS247/CK247-1)*100),"NA",IF(((CS247/CK247-1)*100)&gt;100,"NM",IF(((CS247/CK247-1)*100)&lt;-50,"NM",(CS247/CK247-1)*100)))</f>
        <v>-1.2911882678444342</v>
      </c>
      <c r="CU247" s="164">
        <f>CU239/CU199*400</f>
        <v>3.9800360371852728</v>
      </c>
      <c r="CV247" s="61">
        <f>IF(ISERROR((CU247/CM247-1)*100),"NA",IF(((CU247/CM247-1)*100)&gt;100,"NM",IF(((CU247/CM247-1)*100)&lt;-50,"NM",(CU247/CM247-1)*100)))</f>
        <v>-2.6340852889907396</v>
      </c>
      <c r="CW247" s="164">
        <f>CW239/CW199*400</f>
        <v>3.9466194421605212</v>
      </c>
      <c r="CX247" s="61">
        <f>IF(ISERROR((CW247/CO247-1)*100),"NA",IF(((CW247/CO247-1)*100)&gt;100,"NM",IF(((CW247/CO247-1)*100)&lt;-50,"NM",(CW247/CO247-1)*100)))</f>
        <v>-3.9222770192410161</v>
      </c>
      <c r="CY247" s="164">
        <f>CY239/CY199*400</f>
        <v>4.016568344420735</v>
      </c>
      <c r="CZ247" s="61">
        <f>IF(ISERROR((CY247/CQ247-1)*100),"NA",IF(((CY247/CQ247-1)*100)&gt;100,"NM",IF(((CY247/CQ247-1)*100)&lt;-50,"NM",(CY247/CQ247-1)*100)))</f>
        <v>-2.1516818756176614</v>
      </c>
      <c r="DA247" s="164">
        <f>DA239/DA199*400</f>
        <v>3.9243689651960629</v>
      </c>
      <c r="DB247" s="61">
        <f>IF(ISERROR((DA247/CS247-1)*100),"NA",IF(((DA247/CS247-1)*100)&gt;100,"NM",IF(((DA247/CS247-1)*100)&lt;-50,"NM",(DA247/CS247-1)*100)))</f>
        <v>-4.5795239464886617</v>
      </c>
      <c r="DC247" s="164">
        <f>DC239/DC199*400</f>
        <v>3.9234317767322104</v>
      </c>
      <c r="DD247" s="61">
        <f>IF(ISERROR((DC247/CU247-1)*100),"NA",IF(((DC247/CU247-1)*100)&gt;100,"NM",IF(((DC247/CU247-1)*100)&lt;-50,"NM",(DC247/CU247-1)*100)))</f>
        <v>-1.4222047218721556</v>
      </c>
      <c r="DE247" s="164">
        <f>DE239/DE199*400</f>
        <v>3.9438756162305655</v>
      </c>
      <c r="DF247" s="61">
        <f>IF(ISERROR((DE247/CW247-1)*100),"NA",IF(((DE247/CW247-1)*100)&gt;100,"NM",IF(((DE247/CW247-1)*100)&lt;-50,"NM",(DE247/CW247-1)*100)))</f>
        <v>-6.952344836302915E-2</v>
      </c>
      <c r="DG247" s="164">
        <f>DG239/DG199*400</f>
        <v>3.9594427896621238</v>
      </c>
      <c r="DH247" s="61">
        <f>IF(ISERROR((DG247/CY247-1)*100),"NA",IF(((DG247/CY247-1)*100)&gt;100,"NM",IF(((DG247/CY247-1)*100)&lt;-50,"NM",(DG247/CY247-1)*100)))</f>
        <v>-1.4222477961307933</v>
      </c>
      <c r="DI247" s="164">
        <f>DI239/DI199*400</f>
        <v>3.9590382637470749</v>
      </c>
      <c r="DJ247" s="61">
        <f>IF(ISERROR((DI247/DA247-1)*100),"NA",IF(((DI247/DA247-1)*100)&gt;100,"NM",IF(((DI247/DA247-1)*100)&lt;-50,"NM",(DI247/DA247-1)*100)))</f>
        <v>0.88343626347273663</v>
      </c>
      <c r="DK247" s="164">
        <f>DK239/DK199*400</f>
        <v>3.9522534648778973</v>
      </c>
      <c r="DL247" s="61">
        <f>IF(ISERROR((DK247/DC247-1)*100),"NA",IF(((DK247/DC247-1)*100)&gt;100,"NM",IF(((DK247/DC247-1)*100)&lt;-50,"NM",(DK247/DC247-1)*100)))</f>
        <v>0.73460403508511796</v>
      </c>
      <c r="DM247" s="164">
        <f>DM239/DM199*400</f>
        <v>3.9658723153868785</v>
      </c>
      <c r="DN247" s="130">
        <f t="shared" si="1746"/>
        <v>0.55774322764612361</v>
      </c>
      <c r="DO247" s="164">
        <f>DO239/DO199*400</f>
        <v>3.9410019149527109</v>
      </c>
      <c r="DP247" s="130">
        <f t="shared" si="1746"/>
        <v>-0.4657441889944991</v>
      </c>
      <c r="DQ247" s="164">
        <f>DQ239/DQ199*400</f>
        <v>3.9578104371291367</v>
      </c>
      <c r="DR247" s="130">
        <f t="shared" si="1746"/>
        <v>-3.1013254637657361E-2</v>
      </c>
      <c r="DS247" s="164">
        <f>DS239/DS199*400</f>
        <v>3.8982195631802781</v>
      </c>
      <c r="DT247" s="130">
        <f t="shared" si="1746"/>
        <v>-1.3671669132002018</v>
      </c>
      <c r="DU247" s="164">
        <f>DU239/DU199*400</f>
        <v>3.9607938808604679</v>
      </c>
      <c r="DV247" s="130">
        <f t="shared" si="1746"/>
        <v>-0.12805340471268023</v>
      </c>
      <c r="DW247" s="164">
        <f>DW239/DW199*400</f>
        <v>3.9234135979356459</v>
      </c>
      <c r="DX247" s="164">
        <f t="shared" ref="DX247:DY247" si="1784">DX239/DX199*400</f>
        <v>955.87388580168999</v>
      </c>
      <c r="DY247" s="164">
        <f t="shared" si="1784"/>
        <v>3.9797620057096013</v>
      </c>
      <c r="DZ247" s="130">
        <f t="shared" si="1746"/>
        <v>0.55463921097715918</v>
      </c>
      <c r="EA247" s="164">
        <f t="shared" ref="EA247:EC247" si="1785">EA239/EA199*400</f>
        <v>3.910936292758306</v>
      </c>
      <c r="EB247" s="130">
        <f t="shared" si="1749"/>
        <v>0.3262189153771855</v>
      </c>
      <c r="EC247" s="164">
        <f t="shared" si="1785"/>
        <v>3.9095428131344958</v>
      </c>
      <c r="ED247" s="130">
        <f t="shared" si="1750"/>
        <v>-1.2939594754887374</v>
      </c>
      <c r="EE247" s="164">
        <f t="shared" ref="EE247:EG247" si="1786">EE239/EE199*400</f>
        <v>3.8912891986062714</v>
      </c>
      <c r="EF247" s="130">
        <f t="shared" si="1752"/>
        <v>-0.8187869702617423</v>
      </c>
      <c r="EG247" s="164">
        <f t="shared" si="1786"/>
        <v>3.8534472019599426</v>
      </c>
      <c r="EH247" s="130">
        <f t="shared" si="1753"/>
        <v>-3.1739285808658924</v>
      </c>
      <c r="EI247" s="164">
        <f t="shared" ref="EI247:EK247" si="1787">EI239/EI199*400</f>
        <v>3.8474788815852938</v>
      </c>
      <c r="EJ247" s="130">
        <f t="shared" si="1755"/>
        <v>-1.6225631517064909</v>
      </c>
      <c r="EK247" s="164">
        <f t="shared" si="1787"/>
        <v>3.8378534412844161</v>
      </c>
      <c r="EL247" s="130">
        <f t="shared" si="1756"/>
        <v>-1.8337021814732957</v>
      </c>
      <c r="EM247" s="164">
        <f t="shared" ref="EM247" si="1788">EM239/EM199*400</f>
        <v>3.834040805148569</v>
      </c>
      <c r="EN247" s="130">
        <f t="shared" si="1758"/>
        <v>-1.4711934923317127</v>
      </c>
      <c r="EO247" s="164">
        <f t="shared" ref="EO247" si="1789">EO239/EO199*400</f>
        <v>3.8709501547017049</v>
      </c>
      <c r="EP247" s="130">
        <f t="shared" si="1760"/>
        <v>0.45421545500505811</v>
      </c>
      <c r="EQ247" s="158">
        <f t="shared" ref="EQ247" si="1790">EO247</f>
        <v>3.8709501547017049</v>
      </c>
      <c r="ER247" s="130">
        <f t="shared" si="1762"/>
        <v>0.61004293561555123</v>
      </c>
      <c r="ES247" s="158">
        <f t="shared" ref="ES247" si="1791">EQ247</f>
        <v>3.8709501547017049</v>
      </c>
      <c r="ET247" s="130">
        <f t="shared" si="1764"/>
        <v>0.8623756462730503</v>
      </c>
      <c r="EU247" s="158">
        <f t="shared" ref="EU247" si="1792">ES247</f>
        <v>3.8709501547017049</v>
      </c>
      <c r="EV247" s="130">
        <f t="shared" si="1766"/>
        <v>0.96267492780910402</v>
      </c>
      <c r="EW247" s="158">
        <f t="shared" ref="EW247" si="1793">EU247</f>
        <v>3.8709501547017049</v>
      </c>
      <c r="EX247" s="130">
        <f t="shared" si="1768"/>
        <v>0</v>
      </c>
      <c r="EY247" s="64"/>
      <c r="EZ247" s="558"/>
      <c r="FA247" s="64"/>
      <c r="FB247" s="66"/>
      <c r="FC247" s="66"/>
      <c r="FD247" s="66"/>
      <c r="FE247" s="67"/>
      <c r="FF247" s="66"/>
      <c r="FG247" s="67"/>
      <c r="FH247" s="66"/>
      <c r="FI247" s="67"/>
      <c r="FJ247" s="66"/>
      <c r="FK247" s="67"/>
      <c r="FL247" s="165"/>
      <c r="FM247" s="61"/>
      <c r="FN247" s="165">
        <f>AVERAGE(AO247,AQ247,AS247,AU247)</f>
        <v>4.8895777467461405</v>
      </c>
      <c r="FO247" s="61"/>
      <c r="FP247" s="165">
        <f>AVERAGE(AQ247,AS247,AU247,AW247)</f>
        <v>4.8817132245895198</v>
      </c>
      <c r="FQ247" s="61">
        <f>IF(ISERROR((FP247/FN247-1)*100),"NA",IF(((FP247/FN247-1)*100)&gt;100,"NM",IF(((FP247/FN247-1)*100)&lt;-50,"NM",(FP247/FN247-1)*100)))</f>
        <v>-0.16084256277251185</v>
      </c>
      <c r="FR247" s="165">
        <f>AVERAGE(AY247,BA247,BC247,BE247)</f>
        <v>4.9663443877789177</v>
      </c>
      <c r="FS247" s="61">
        <f>IF(ISERROR((FR247/FP247-1)*100),"NA",IF(((FR247/FP247-1)*100)&gt;100,"NM",IF(((FR247/FP247-1)*100)&lt;-50,"NM",(FR247/FP247-1)*100)))</f>
        <v>1.7336365184891456</v>
      </c>
      <c r="FT247" s="165">
        <f>AVERAGE(BG247,BI247,BK247,BM247)</f>
        <v>4.2363822995330853</v>
      </c>
      <c r="FU247" s="61">
        <f>IF(ISERROR((FT247/FR247-1)*100),"NA",IF(((FT247/FR247-1)*100)&gt;100,"NM",IF(((FT247/FR247-1)*100)&lt;-50,"NM",(FT247/FR247-1)*100)))</f>
        <v>-14.698176993969824</v>
      </c>
      <c r="FV247" s="165">
        <f>AVERAGE(BO247,BQ247,BS247,BU247)</f>
        <v>4.4562465353006804</v>
      </c>
      <c r="FW247" s="61">
        <f>IF(ISERROR((FV247/FT247-1)*100),"NA",IF(((FV247/FT247-1)*100)&gt;100,"NM",IF(((FV247/FT247-1)*100)&lt;-50,"NM",(FV247/FT247-1)*100)))</f>
        <v>5.189905448142107</v>
      </c>
      <c r="FX247" s="165">
        <f>AVERAGE(BW247,BY247,CA247,CC247)</f>
        <v>4.2676782520478067</v>
      </c>
      <c r="FY247" s="61">
        <f>IF(ISERROR((FX247/FV247-1)*100),"NA",IF(((FX247/FV247-1)*100)&gt;100,"NM",IF(((FX247/FV247-1)*100)&lt;-50,"NM",(FX247/FV247-1)*100)))</f>
        <v>-4.2315496182517727</v>
      </c>
      <c r="FZ247" s="165">
        <f>AVERAGE(CE247,CG247,CI247,CK247)</f>
        <v>4.1852255579444311</v>
      </c>
      <c r="GA247" s="61">
        <f>IF(ISERROR((FZ247/FX247-1)*100),"NA",IF(((FZ247/FX247-1)*100)&gt;100,"NM",IF(((FZ247/FX247-1)*100)&lt;-50,"NM",(FZ247/FX247-1)*100)))</f>
        <v>-1.9320269531521328</v>
      </c>
      <c r="GB247" s="165">
        <f>AVERAGE(CM247,CO247,CQ247,CS247)</f>
        <v>4.1032625467257722</v>
      </c>
      <c r="GC247" s="61">
        <f>IF(ISERROR((GB247/FZ247-1)*100),"NA",IF(((GB247/FZ247-1)*100)&gt;100,"NM",IF(((GB247/FZ247-1)*100)&lt;-50,"NM",(GB247/FZ247-1)*100)))</f>
        <v>-1.9583893408821385</v>
      </c>
      <c r="GD247" s="165">
        <f>AVERAGE(CU247,CW247,CY247,DA247)</f>
        <v>3.9668981972406478</v>
      </c>
      <c r="GE247" s="61">
        <f>IF(ISERROR((GD247/GB247-1)*100),"NA",IF(((GD247/GB247-1)*100)&gt;100,"NM",IF(((GD247/GB247-1)*100)&lt;-50,"NM",(GD247/GB247-1)*100)))</f>
        <v>-3.3233152383567832</v>
      </c>
      <c r="GF247" s="165">
        <f>AVERAGE(DC247,DE247,DG247,DI247)</f>
        <v>3.9464471115929936</v>
      </c>
      <c r="GG247" s="61">
        <f>IF(ISERROR((GF247/GD247-1)*100),"NA",IF(((GF247/GD247-1)*100)&gt;100,"NM",IF(((GF247/GD247-1)*100)&lt;-50,"NM",(GF247/GD247-1)*100)))</f>
        <v>-0.51554349597072724</v>
      </c>
      <c r="GH247" s="165">
        <f>AVERAGE(DK247,DM247,DO247,DQ247)</f>
        <v>3.9542345330866557</v>
      </c>
      <c r="GI247" s="61">
        <f>IF(ISERROR((GH247/GF247-1)*100),"NA",IF(((GH247/GF247-1)*100)&gt;100,"NM",IF(((GH247/GF247-1)*100)&lt;-50,"NM",(GH247/GF247-1)*100)))</f>
        <v>0.19732740040494523</v>
      </c>
      <c r="GJ247" s="165">
        <f>AVERAGE(DS247,DU247,DW247,DY247)</f>
        <v>3.9405472619214983</v>
      </c>
      <c r="GK247" s="61">
        <f>IF(ISERROR((GJ247/GH247-1)*100),"NA",IF(((GJ247/GH247-1)*100)&gt;100,"NM",IF(((GJ247/GH247-1)*100)&lt;-50,"NM",(GJ247/GH247-1)*100)))</f>
        <v>-0.34614211804157025</v>
      </c>
      <c r="GL247" s="165">
        <f>AVERAGE(EA247,EC247,EE247,EG247)</f>
        <v>3.8913038766147543</v>
      </c>
      <c r="GM247" s="61">
        <f>IF(ISERROR((GL247/GJ247-1)*100),"NA",IF(((GL247/GJ247-1)*100)&gt;100,"NM",IF(((GL247/GJ247-1)*100)&lt;-50,"NM",(GL247/GJ247-1)*100)))</f>
        <v>-1.2496585381070124</v>
      </c>
      <c r="GN247" s="165">
        <f>AVERAGE(EI247,EK247,EM247,EO247)</f>
        <v>3.8475808206799962</v>
      </c>
      <c r="GO247" s="61">
        <f>IF(ISERROR((GN247/GL247-1)*100),"NA",IF(((GN247/GL247-1)*100)&gt;100,"NM",IF(((GN247/GL247-1)*100)&lt;-50,"NM",(GN247/GL247-1)*100)))</f>
        <v>-1.1236093947202819</v>
      </c>
      <c r="GP247" s="165">
        <f>AVERAGE(EQ247,ES247,EU247,EW247)</f>
        <v>3.8709501547017049</v>
      </c>
      <c r="GQ247" s="61">
        <f>IF(ISERROR((GP247/GN247-1)*100),"NA",IF(((GP247/GN247-1)*100)&gt;100,"NM",IF(((GP247/GN247-1)*100)&lt;-50,"NM",(GP247/GN247-1)*100)))</f>
        <v>0.60737733944673522</v>
      </c>
      <c r="GR247" s="158">
        <f>GP247</f>
        <v>3.8709501547017049</v>
      </c>
      <c r="GS247" s="61">
        <f>IF(ISERROR((GR247/GP247-1)*100),"NA",IF(((GR247/GP247-1)*100)&gt;100,"NM",IF(((GR247/GP247-1)*100)&lt;-50,"NM",(GR247/GP247-1)*100)))</f>
        <v>0</v>
      </c>
      <c r="GT247" s="158">
        <f>GR247+0.02</f>
        <v>3.8909501547017049</v>
      </c>
      <c r="GU247" s="61">
        <f>IF(ISERROR((GT247/GR247-1)*100),"NA",IF(((GT247/GR247-1)*100)&gt;100,"NM",IF(((GT247/GR247-1)*100)&lt;-50,"NM",(GT247/GR247-1)*100)))</f>
        <v>0.51666901408451427</v>
      </c>
      <c r="GV247" s="158">
        <f>GT247</f>
        <v>3.8909501547017049</v>
      </c>
      <c r="GW247" s="61">
        <f>IF(ISERROR((GV247/GT247-1)*100),"NA",IF(((GV247/GT247-1)*100)&gt;100,"NM",IF(((GV247/GT247-1)*100)&lt;-50,"NM",(GV247/GT247-1)*100)))</f>
        <v>0</v>
      </c>
      <c r="GX247" s="158">
        <f>GV247</f>
        <v>3.8909501547017049</v>
      </c>
      <c r="GY247" s="61">
        <f>IF(ISERROR((GX247/GV247-1)*100),"NA",IF(((GX247/GV247-1)*100)&gt;100,"NM",IF(((GX247/GV247-1)*100)&lt;-50,"NM",(GX247/GV247-1)*100)))</f>
        <v>0</v>
      </c>
      <c r="GZ247" s="61">
        <f t="shared" si="1691"/>
        <v>0.22442728140481538</v>
      </c>
      <c r="HA247" s="61"/>
      <c r="HB247" s="452"/>
      <c r="HC247"/>
      <c r="HD247"/>
      <c r="HE247"/>
      <c r="HF247"/>
      <c r="HG247"/>
      <c r="HH247"/>
    </row>
    <row r="248" spans="2:216" s="5" customFormat="1" ht="12.75" customHeight="1" x14ac:dyDescent="0.2">
      <c r="B248" s="2" t="s">
        <v>330</v>
      </c>
      <c r="C248" s="66"/>
      <c r="D248" s="67"/>
      <c r="E248" s="66"/>
      <c r="F248" s="66"/>
      <c r="G248" s="64"/>
      <c r="H248" s="66"/>
      <c r="I248" s="64"/>
      <c r="J248" s="66"/>
      <c r="K248" s="64"/>
      <c r="L248" s="61"/>
      <c r="M248" s="66"/>
      <c r="N248" s="61"/>
      <c r="O248" s="64"/>
      <c r="P248" s="61"/>
      <c r="Q248" s="64"/>
      <c r="R248" s="61"/>
      <c r="S248" s="64"/>
      <c r="T248" s="61"/>
      <c r="U248" s="64"/>
      <c r="V248" s="61"/>
      <c r="W248" s="64"/>
      <c r="X248" s="61"/>
      <c r="Y248" s="64"/>
      <c r="Z248" s="61"/>
      <c r="AA248" s="64"/>
      <c r="AB248" s="61"/>
      <c r="AC248" s="64"/>
      <c r="AD248" s="61"/>
      <c r="AE248" s="64"/>
      <c r="AF248" s="61"/>
      <c r="AG248" s="64"/>
      <c r="AH248" s="61"/>
      <c r="AI248" s="64"/>
      <c r="AJ248" s="61"/>
      <c r="AK248" s="64"/>
      <c r="AL248" s="61"/>
      <c r="AM248" s="64"/>
      <c r="AN248" s="61"/>
      <c r="AO248" s="64"/>
      <c r="AP248" s="61"/>
      <c r="AQ248" s="164">
        <f>AQ246-AQ247</f>
        <v>3.0145852728642994</v>
      </c>
      <c r="AR248" s="61" t="str">
        <f>IF(ISERROR((AQ248/AI248-1)*100),"NA",IF(((AQ248/AI248-1)*100)&gt;100,"NM",IF(((AQ248/AI248-1)*100)&lt;-50,"NM",(AQ248/AI248-1)*100)))</f>
        <v>NA</v>
      </c>
      <c r="AS248" s="164">
        <f>AS246-AS247</f>
        <v>3.1553056921995788</v>
      </c>
      <c r="AT248" s="61" t="str">
        <f>IF(ISERROR((AS248/AK248-1)*100),"NA",IF(((AS248/AK248-1)*100)&gt;100,"NM",IF(((AS248/AK248-1)*100)&lt;-50,"NM",(AS248/AK248-1)*100)))</f>
        <v>NA</v>
      </c>
      <c r="AU248" s="164">
        <f>AU246-AU247</f>
        <v>3.0771902405140228</v>
      </c>
      <c r="AV248" s="61" t="str">
        <f>IF(ISERROR((AU248/AM248-1)*100),"NA",IF(((AU248/AM248-1)*100)&gt;100,"NM",IF(((AU248/AM248-1)*100)&lt;-50,"NM",(AU248/AM248-1)*100)))</f>
        <v>NA</v>
      </c>
      <c r="AW248" s="164">
        <f>AW246-AW247</f>
        <v>2.9196581196581199</v>
      </c>
      <c r="AX248" s="61" t="str">
        <f>IF(ISERROR((AW248/AO248-1)*100),"NA",IF(((AW248/AO248-1)*100)&gt;100,"NM",IF(((AW248/AO248-1)*100)&lt;-50,"NM",(AW248/AO248-1)*100)))</f>
        <v>NA</v>
      </c>
      <c r="AY248" s="164">
        <f>AY246-AY247</f>
        <v>3.2813422139785855</v>
      </c>
      <c r="AZ248" s="61">
        <f>IF(ISERROR((AY248/AQ248-1)*100),"NA",IF(((AY248/AQ248-1)*100)&gt;100,"NM",IF(((AY248/AQ248-1)*100)&lt;-50,"NM",(AY248/AQ248-1)*100)))</f>
        <v>8.8488769422278679</v>
      </c>
      <c r="BA248" s="164">
        <f>BA246-BA247</f>
        <v>4.2026628110127113</v>
      </c>
      <c r="BB248" s="61">
        <f>IF(ISERROR((BA248/AS248-1)*100),"NA",IF(((BA248/AS248-1)*100)&gt;100,"NM",IF(((BA248/AS248-1)*100)&lt;-50,"NM",(BA248/AS248-1)*100)))</f>
        <v>33.193522941449615</v>
      </c>
      <c r="BC248" s="164">
        <f>BC246-BC247</f>
        <v>3.1270297422957398</v>
      </c>
      <c r="BD248" s="61">
        <f>IF(ISERROR((BC248/AU248-1)*100),"NA",IF(((BC248/AU248-1)*100)&gt;100,"NM",IF(((BC248/AU248-1)*100)&lt;-50,"NM",(BC248/AU248-1)*100)))</f>
        <v>1.619643177257446</v>
      </c>
      <c r="BE248" s="164">
        <f>BE246-BE247</f>
        <v>3.498133898539372</v>
      </c>
      <c r="BF248" s="61">
        <f>IF(ISERROR((BE248/AW248-1)*100),"NA",IF(((BE248/AW248-1)*100)&gt;100,"NM",IF(((BE248/AW248-1)*100)&lt;-50,"NM",(BE248/AW248-1)*100)))</f>
        <v>19.813134112736087</v>
      </c>
      <c r="BG248" s="164">
        <f>BG246-BG247</f>
        <v>3.185074391875935</v>
      </c>
      <c r="BH248" s="61">
        <f>IF(ISERROR((BG248/AY248-1)*100),"NA",IF(((BG248/AY248-1)*100)&gt;100,"NM",IF(((BG248/AY248-1)*100)&lt;-50,"NM",(BG248/AY248-1)*100)))</f>
        <v>-2.9337940338117652</v>
      </c>
      <c r="BI248" s="164">
        <f>BI246-BI247</f>
        <v>3.7216897684636168</v>
      </c>
      <c r="BJ248" s="61">
        <f>IF(ISERROR((BI248/BA248-1)*100),"NA",IF(((BI248/BA248-1)*100)&gt;100,"NM",IF(((BI248/BA248-1)*100)&lt;-50,"NM",(BI248/BA248-1)*100)))</f>
        <v>-11.44448327590657</v>
      </c>
      <c r="BK248" s="164">
        <f>BK246-BK247</f>
        <v>3.1276669357628872</v>
      </c>
      <c r="BL248" s="61">
        <f>IF(ISERROR((BK248/BC248-1)*100),"NA",IF(((BK248/BC248-1)*100)&gt;100,"NM",IF(((BK248/BC248-1)*100)&lt;-50,"NM",(BK248/BC248-1)*100)))</f>
        <v>2.0376955758649729E-2</v>
      </c>
      <c r="BM248" s="164">
        <f>BM246-BM247</f>
        <v>3.3120728929384962</v>
      </c>
      <c r="BN248" s="61">
        <f>IF(ISERROR((BM248/BE248-1)*100),"NA",IF(((BM248/BE248-1)*100)&gt;100,"NM",IF(((BM248/BE248-1)*100)&lt;-50,"NM",(BM248/BE248-1)*100)))</f>
        <v>-5.3188646003106026</v>
      </c>
      <c r="BO248" s="164">
        <f>BO246-BO247</f>
        <v>3.0471038990308763</v>
      </c>
      <c r="BP248" s="61">
        <f>IF(ISERROR((BO248/BG248-1)*100),"NA",IF(((BO248/BG248-1)*100)&gt;100,"NM",IF(((BO248/BG248-1)*100)&lt;-50,"NM",(BO248/BG248-1)*100)))</f>
        <v>-4.3317824285980748</v>
      </c>
      <c r="BQ248" s="164">
        <f>BQ246-BQ247</f>
        <v>3.2562469742673077</v>
      </c>
      <c r="BR248" s="61">
        <f>IF(ISERROR((BQ248/BI248-1)*100),"NA",IF(((BQ248/BI248-1)*100)&gt;100,"NM",IF(((BQ248/BI248-1)*100)&lt;-50,"NM",(BQ248/BI248-1)*100)))</f>
        <v>-12.506222257973231</v>
      </c>
      <c r="BS248" s="164">
        <f>BS246-BS247</f>
        <v>3.2128691866364107</v>
      </c>
      <c r="BT248" s="61">
        <f>IF(ISERROR((BS248/BK248-1)*100),"NA",IF(((BS248/BK248-1)*100)&gt;100,"NM",IF(((BS248/BK248-1)*100)&lt;-50,"NM",(BS248/BK248-1)*100)))</f>
        <v>2.7241471877740508</v>
      </c>
      <c r="BU248" s="164">
        <f>BU246-BU247</f>
        <v>2.1370754079190197</v>
      </c>
      <c r="BV248" s="61">
        <f>IF(ISERROR((BU248/BM248-1)*100),"NA",IF(((BU248/BM248-1)*100)&gt;100,"NM",IF(((BU248/BM248-1)*100)&lt;-50,"NM",(BU248/BM248-1)*100)))</f>
        <v>-35.476196418400974</v>
      </c>
      <c r="BW248" s="164">
        <f>BW246-BW247</f>
        <v>2.8287886209836897</v>
      </c>
      <c r="BX248" s="61">
        <f>IF(ISERROR((BW248/BO248-1)*100),"NA",IF(((BW248/BO248-1)*100)&gt;100,"NM",IF(((BW248/BO248-1)*100)&lt;-50,"NM",(BW248/BO248-1)*100)))</f>
        <v>-7.164681129403605</v>
      </c>
      <c r="BY248" s="164">
        <f>BY246-BY247</f>
        <v>2.3497089975779932</v>
      </c>
      <c r="BZ248" s="61">
        <f>IF(ISERROR((BY248/BQ248-1)*100),"NA",IF(((BY248/BQ248-1)*100)&gt;100,"NM",IF(((BY248/BQ248-1)*100)&lt;-50,"NM",(BY248/BQ248-1)*100)))</f>
        <v>-27.839963732889018</v>
      </c>
      <c r="CA248" s="164">
        <f>CA246-CA247</f>
        <v>2.91569128821983</v>
      </c>
      <c r="CB248" s="61">
        <f>IF(ISERROR((CA248/BS248-1)*100),"NA",IF(((CA248/BS248-1)*100)&gt;100,"NM",IF(((CA248/BS248-1)*100)&lt;-50,"NM",(CA248/BS248-1)*100)))</f>
        <v>-9.2496108977191067</v>
      </c>
      <c r="CC248" s="164">
        <f>CC246-CC247</f>
        <v>3.2918578288733791</v>
      </c>
      <c r="CD248" s="61">
        <f>IF(ISERROR((CC248/BU248-1)*100),"NA",IF(((CC248/BU248-1)*100)&gt;100,"NM",IF(((CC248/BU248-1)*100)&lt;-50,"NM",(CC248/BU248-1)*100)))</f>
        <v>54.035642199393919</v>
      </c>
      <c r="CE248" s="164">
        <f>CE246-CE247</f>
        <v>3.299202433374008</v>
      </c>
      <c r="CF248" s="61">
        <f>IF(ISERROR((CE248/BW248-1)*100),"NA",IF(((CE248/BW248-1)*100)&gt;100,"NM",IF(((CE248/BW248-1)*100)&lt;-50,"NM",(CE248/BW248-1)*100)))</f>
        <v>16.62951444660208</v>
      </c>
      <c r="CG248" s="164">
        <f>CG246-CG247</f>
        <v>3.4591404836755117</v>
      </c>
      <c r="CH248" s="61">
        <f>IF(ISERROR((CG248/BY248-1)*100),"NA",IF(((CG248/BY248-1)*100)&gt;100,"NM",IF(((CG248/BY248-1)*100)&lt;-50,"NM",(CG248/BY248-1)*100)))</f>
        <v>47.215697230639449</v>
      </c>
      <c r="CI248" s="164">
        <f>CI246-CI247</f>
        <v>3.3922409285788975</v>
      </c>
      <c r="CJ248" s="61">
        <f>IF(ISERROR((CI248/CA248-1)*100),"NA",IF(((CI248/CA248-1)*100)&gt;100,"NM",IF(((CI248/CA248-1)*100)&lt;-50,"NM",(CI248/CA248-1)*100)))</f>
        <v>16.344310602581793</v>
      </c>
      <c r="CK248" s="164">
        <f>CK246-CK247</f>
        <v>3.6451795938719718</v>
      </c>
      <c r="CL248" s="61">
        <f>IF(ISERROR((CK248/CC248-1)*100),"NA",IF(((CK248/CC248-1)*100)&gt;100,"NM",IF(((CK248/CC248-1)*100)&lt;-50,"NM",(CK248/CC248-1)*100)))</f>
        <v>10.733202445730017</v>
      </c>
      <c r="CM248" s="164">
        <f>CM246-CM247</f>
        <v>3.7493232268543597</v>
      </c>
      <c r="CN248" s="61">
        <f>IF(ISERROR((CM248/CE248-1)*100),"NA",IF(((CM248/CE248-1)*100)&gt;100,"NM",IF(((CM248/CE248-1)*100)&lt;-50,"NM",(CM248/CE248-1)*100)))</f>
        <v>13.643321456332247</v>
      </c>
      <c r="CO248" s="164">
        <f>CO246-CO247</f>
        <v>3.7470569572695229</v>
      </c>
      <c r="CP248" s="61">
        <f>IF(ISERROR((CO248/CG248-1)*100),"NA",IF(((CO248/CG248-1)*100)&gt;100,"NM",IF(((CO248/CG248-1)*100)&lt;-50,"NM",(CO248/CG248-1)*100)))</f>
        <v>8.3233530107480682</v>
      </c>
      <c r="CQ248" s="164">
        <f>CQ246-CQ247</f>
        <v>3.379725594709309</v>
      </c>
      <c r="CR248" s="61">
        <f>IF(ISERROR((CQ248/CI248-1)*100),"NA",IF(((CQ248/CI248-1)*100)&gt;100,"NM",IF(((CQ248/CI248-1)*100)&lt;-50,"NM",(CQ248/CI248-1)*100)))</f>
        <v>-0.36894000553290285</v>
      </c>
      <c r="CS248" s="164">
        <f>CS246-CS247</f>
        <v>3.1039332654347929</v>
      </c>
      <c r="CT248" s="61">
        <f>IF(ISERROR((CS248/CK248-1)*100),"NA",IF(((CS248/CK248-1)*100)&gt;100,"NM",IF(((CS248/CK248-1)*100)&lt;-50,"NM",(CS248/CK248-1)*100)))</f>
        <v>-14.848276045083908</v>
      </c>
      <c r="CU248" s="164">
        <f>CU246-CU247</f>
        <v>3.5208011098177421</v>
      </c>
      <c r="CV248" s="61">
        <f>IF(ISERROR((CU248/CM248-1)*100),"NA",IF(((CU248/CM248-1)*100)&gt;100,"NM",IF(((CU248/CM248-1)*100)&lt;-50,"NM",(CU248/CM248-1)*100)))</f>
        <v>-6.0950231070993848</v>
      </c>
      <c r="CW248" s="164">
        <f>CW246-CW247</f>
        <v>3.7189298589589534</v>
      </c>
      <c r="CX248" s="61">
        <f>IF(ISERROR((CW248/CO248-1)*100),"NA",IF(((CW248/CO248-1)*100)&gt;100,"NM",IF(((CW248/CO248-1)*100)&lt;-50,"NM",(CW248/CO248-1)*100)))</f>
        <v>-0.75064506975270895</v>
      </c>
      <c r="CY248" s="164">
        <f>CY246-CY247</f>
        <v>3.2383582276892175</v>
      </c>
      <c r="CZ248" s="61">
        <f>IF(ISERROR((CY248/CQ248-1)*100),"NA",IF(((CY248/CQ248-1)*100)&gt;100,"NM",IF(((CY248/CQ248-1)*100)&lt;-50,"NM",(CY248/CQ248-1)*100)))</f>
        <v>-4.1828060609829016</v>
      </c>
      <c r="DA248" s="164">
        <f>DA246-DA247</f>
        <v>3.8250178521531248</v>
      </c>
      <c r="DB248" s="61">
        <f>IF(ISERROR((DA248/CS248-1)*100),"NA",IF(((DA248/CS248-1)*100)&gt;100,"NM",IF(((DA248/CS248-1)*100)&lt;-50,"NM",(DA248/CS248-1)*100)))</f>
        <v>23.231317333664503</v>
      </c>
      <c r="DC248" s="164">
        <f>DC246-DC247</f>
        <v>3.2490919401063612</v>
      </c>
      <c r="DD248" s="61">
        <f>IF(ISERROR((DC248/CU248-1)*100),"NA",IF(((DC248/CU248-1)*100)&gt;100,"NM",IF(((DC248/CU248-1)*100)&lt;-50,"NM",(DC248/CU248-1)*100)))</f>
        <v>-7.7172541486004604</v>
      </c>
      <c r="DE248" s="164">
        <f>DE246-DE247</f>
        <v>3.6405005688282133</v>
      </c>
      <c r="DF248" s="61">
        <f>IF(ISERROR((DE248/CW248-1)*100),"NA",IF(((DE248/CW248-1)*100)&gt;100,"NM",IF(((DE248/CW248-1)*100)&lt;-50,"NM",(DE248/CW248-1)*100)))</f>
        <v>-2.1089209290087285</v>
      </c>
      <c r="DG248" s="164">
        <f>DG246-DG247</f>
        <v>3.4419472274874381</v>
      </c>
      <c r="DH248" s="61">
        <f>IF(ISERROR((DG248/CY248-1)*100),"NA",IF(((DG248/CY248-1)*100)&gt;100,"NM",IF(((DG248/CY248-1)*100)&lt;-50,"NM",(DG248/CY248-1)*100)))</f>
        <v>6.2867967495830346</v>
      </c>
      <c r="DI248" s="164">
        <f>DI246-DI247</f>
        <v>3.5178201439921284</v>
      </c>
      <c r="DJ248" s="61">
        <f>IF(ISERROR((DI248/DA248-1)*100),"NA",IF(((DI248/DA248-1)*100)&gt;100,"NM",IF(((DI248/DA248-1)*100)&lt;-50,"NM",(DI248/DA248-1)*100)))</f>
        <v>-8.0312751478551441</v>
      </c>
      <c r="DK248" s="164">
        <f>DK246-DK247</f>
        <v>3.4315973198041623</v>
      </c>
      <c r="DL248" s="61">
        <f>IF(ISERROR((DK248/DC248-1)*100),"NA",IF(((DK248/DC248-1)*100)&gt;100,"NM",IF(((DK248/DC248-1)*100)&lt;-50,"NM",(DK248/DC248-1)*100)))</f>
        <v>5.6171195848593536</v>
      </c>
      <c r="DM248" s="164">
        <f>DM246-DM247</f>
        <v>3.4716092968520158</v>
      </c>
      <c r="DN248" s="130">
        <f t="shared" si="1746"/>
        <v>-4.6392321270961716</v>
      </c>
      <c r="DO248" s="164">
        <f>DO246-DO247</f>
        <v>3.4966159423467671</v>
      </c>
      <c r="DP248" s="130">
        <f t="shared" si="1746"/>
        <v>1.5883077585485239</v>
      </c>
      <c r="DQ248" s="164">
        <f>DQ246-DQ247</f>
        <v>3.4587317016553749</v>
      </c>
      <c r="DR248" s="130">
        <f t="shared" si="1746"/>
        <v>-1.6796891233244793</v>
      </c>
      <c r="DS248" s="164">
        <f>DS246-DS247</f>
        <v>3.3215598644849709</v>
      </c>
      <c r="DT248" s="130">
        <f t="shared" si="1746"/>
        <v>-3.2065957938640421</v>
      </c>
      <c r="DU248" s="164">
        <f>DU246-DU247</f>
        <v>3.2260379145559179</v>
      </c>
      <c r="DV248" s="130">
        <f t="shared" si="1746"/>
        <v>-7.0737044781731928</v>
      </c>
      <c r="DW248" s="164">
        <f>DW246-DW247</f>
        <v>3.6268765236730669</v>
      </c>
      <c r="DX248" s="164">
        <f t="shared" ref="DX248:DY248" si="1794">DX246-DX247</f>
        <v>883.6276037352834</v>
      </c>
      <c r="DY248" s="164">
        <f t="shared" si="1794"/>
        <v>3.1204952090223022</v>
      </c>
      <c r="DZ248" s="130">
        <f t="shared" si="1746"/>
        <v>-9.7792058421643517</v>
      </c>
      <c r="EA248" s="164">
        <f t="shared" ref="EA248:EC248" si="1795">EA246-EA247</f>
        <v>2.9556788649294088</v>
      </c>
      <c r="EB248" s="130">
        <f t="shared" si="1749"/>
        <v>-11.015336603373072</v>
      </c>
      <c r="EC248" s="164">
        <f t="shared" si="1795"/>
        <v>3.1814044668487007</v>
      </c>
      <c r="ED248" s="130">
        <f t="shared" si="1750"/>
        <v>-1.3835376052411141</v>
      </c>
      <c r="EE248" s="164">
        <f t="shared" ref="EE248:EG248" si="1796">EE246-EE247</f>
        <v>3.5233449477351915</v>
      </c>
      <c r="EF248" s="130">
        <f t="shared" si="1752"/>
        <v>-2.8545657747682363</v>
      </c>
      <c r="EG248" s="164">
        <f t="shared" si="1796"/>
        <v>3.3662297396431691</v>
      </c>
      <c r="EH248" s="130">
        <f t="shared" si="1753"/>
        <v>7.8748568467714275</v>
      </c>
      <c r="EI248" s="164">
        <f t="shared" ref="EI248:EK248" si="1797">EI246-EI247</f>
        <v>3.4065070899995855</v>
      </c>
      <c r="EJ248" s="130">
        <f t="shared" si="1755"/>
        <v>15.252950190884285</v>
      </c>
      <c r="EK248" s="164">
        <f t="shared" si="1797"/>
        <v>3.5519388582660927</v>
      </c>
      <c r="EL248" s="130">
        <f t="shared" si="1756"/>
        <v>11.646880969662444</v>
      </c>
      <c r="EM248" s="164">
        <f t="shared" ref="EM248" si="1798">EM246-EM247</f>
        <v>3.3410927016294671</v>
      </c>
      <c r="EN248" s="130">
        <f t="shared" si="1758"/>
        <v>-5.1727051653820073</v>
      </c>
      <c r="EO248" s="164">
        <f t="shared" ref="EO248" si="1799">EO246-EO247</f>
        <v>3.3148418226177978</v>
      </c>
      <c r="EP248" s="130">
        <f t="shared" si="1760"/>
        <v>-1.5265718919950655</v>
      </c>
      <c r="EQ248" s="164">
        <f t="shared" ref="EQ248:EW248" si="1800">EQ246-EQ247</f>
        <v>3.3148418226177978</v>
      </c>
      <c r="ER248" s="130">
        <f t="shared" si="1762"/>
        <v>-2.6908873212355133</v>
      </c>
      <c r="ES248" s="164">
        <f t="shared" si="1800"/>
        <v>3.2948418226177982</v>
      </c>
      <c r="ET248" s="130">
        <f t="shared" si="1764"/>
        <v>-7.2382168136136844</v>
      </c>
      <c r="EU248" s="164">
        <f t="shared" si="1800"/>
        <v>3.2748418226177987</v>
      </c>
      <c r="EV248" s="130">
        <f t="shared" si="1766"/>
        <v>-1.9829105304189132</v>
      </c>
      <c r="EW248" s="164">
        <f t="shared" si="1800"/>
        <v>3.2548418226177991</v>
      </c>
      <c r="EX248" s="130">
        <f t="shared" si="1768"/>
        <v>-1.810041118421013</v>
      </c>
      <c r="EY248" s="64"/>
      <c r="EZ248" s="558"/>
      <c r="FA248" s="64"/>
      <c r="FB248" s="66"/>
      <c r="FC248" s="66"/>
      <c r="FD248" s="66"/>
      <c r="FE248" s="67"/>
      <c r="FF248" s="66"/>
      <c r="FG248" s="67"/>
      <c r="FH248" s="66"/>
      <c r="FI248" s="67"/>
      <c r="FJ248" s="66"/>
      <c r="FK248" s="67"/>
      <c r="FL248" s="165"/>
      <c r="FM248" s="61"/>
      <c r="FN248" s="165">
        <f>FN246-FN247</f>
        <v>3.0823604018592992</v>
      </c>
      <c r="FO248" s="61"/>
      <c r="FP248" s="165">
        <f>FP246-FP247</f>
        <v>3.0416848313090048</v>
      </c>
      <c r="FQ248" s="61">
        <f>IF(ISERROR((FP248/FN248-1)*100),"NA",IF(((FP248/FN248-1)*100)&gt;100,"NM",IF(((FP248/FN248-1)*100)&lt;-50,"NM",(FP248/FN248-1)*100)))</f>
        <v>-1.3196240947605853</v>
      </c>
      <c r="FR248" s="165">
        <f>FR246-FR247</f>
        <v>3.5272921664566024</v>
      </c>
      <c r="FS248" s="61">
        <f>IF(ISERROR((FR248/FP248-1)*100),"NA",IF(((FR248/FP248-1)*100)&gt;100,"NM",IF(((FR248/FP248-1)*100)&lt;-50,"NM",(FR248/FP248-1)*100)))</f>
        <v>15.965077319947518</v>
      </c>
      <c r="FT248" s="165">
        <f>FT246-FT247</f>
        <v>3.336625997260235</v>
      </c>
      <c r="FU248" s="61">
        <f>IF(ISERROR((FT248/FR248-1)*100),"NA",IF(((FT248/FR248-1)*100)&gt;100,"NM",IF(((FT248/FR248-1)*100)&lt;-50,"NM",(FT248/FR248-1)*100)))</f>
        <v>-5.4054543882001145</v>
      </c>
      <c r="FV248" s="165">
        <f>FV246-FV247</f>
        <v>2.9133238669634043</v>
      </c>
      <c r="FW248" s="61">
        <f>IF(ISERROR((FV248/FT248-1)*100),"NA",IF(((FV248/FT248-1)*100)&gt;100,"NM",IF(((FV248/FT248-1)*100)&lt;-50,"NM",(FV248/FT248-1)*100)))</f>
        <v>-12.686532162861885</v>
      </c>
      <c r="FX248" s="165">
        <f>FX246-FX247</f>
        <v>2.8465116839137226</v>
      </c>
      <c r="FY248" s="61">
        <f>IF(ISERROR((FX248/FV248-1)*100),"NA",IF(((FX248/FV248-1)*100)&gt;100,"NM",IF(((FX248/FV248-1)*100)&lt;-50,"NM",(FX248/FV248-1)*100)))</f>
        <v>-2.2933318127558833</v>
      </c>
      <c r="FZ248" s="165">
        <f>FZ246-FZ247</f>
        <v>3.4489408598750968</v>
      </c>
      <c r="GA248" s="61">
        <f>IF(ISERROR((FZ248/FX248-1)*100),"NA",IF(((FZ248/FX248-1)*100)&gt;100,"NM",IF(((FZ248/FX248-1)*100)&lt;-50,"NM",(FZ248/FX248-1)*100)))</f>
        <v>21.163769654129183</v>
      </c>
      <c r="GB248" s="165">
        <f>GB246-GB247</f>
        <v>3.4950097610669966</v>
      </c>
      <c r="GC248" s="61">
        <f>IF(ISERROR((GB248/FZ248-1)*100),"NA",IF(((GB248/FZ248-1)*100)&gt;100,"NM",IF(((GB248/FZ248-1)*100)&lt;-50,"NM",(GB248/FZ248-1)*100)))</f>
        <v>1.3357405378521925</v>
      </c>
      <c r="GD248" s="165">
        <f>GD246-GD247</f>
        <v>3.5757767621547596</v>
      </c>
      <c r="GE248" s="61">
        <f>IF(ISERROR((GD248/GB248-1)*100),"NA",IF(((GD248/GB248-1)*100)&gt;100,"NM",IF(((GD248/GB248-1)*100)&lt;-50,"NM",(GD248/GB248-1)*100)))</f>
        <v>2.3109234768805109</v>
      </c>
      <c r="GF248" s="165">
        <f>GF246-GF247</f>
        <v>3.4623399701035353</v>
      </c>
      <c r="GG248" s="61">
        <f>IF(ISERROR((GF248/GD248-1)*100),"NA",IF(((GF248/GD248-1)*100)&gt;100,"NM",IF(((GF248/GD248-1)*100)&lt;-50,"NM",(GF248/GD248-1)*100)))</f>
        <v>-3.1723678405155109</v>
      </c>
      <c r="GH248" s="165">
        <f>GH246-GH247</f>
        <v>3.4646385651645804</v>
      </c>
      <c r="GI248" s="61">
        <f>IF(ISERROR((GH248/GF248-1)*100),"NA",IF(((GH248/GF248-1)*100)&gt;100,"NM",IF(((GH248/GF248-1)*100)&lt;-50,"NM",(GH248/GF248-1)*100)))</f>
        <v>6.6388485269874842E-2</v>
      </c>
      <c r="GJ248" s="165">
        <f>GJ246-GJ247</f>
        <v>3.3237423779340647</v>
      </c>
      <c r="GK248" s="61">
        <f>IF(ISERROR((GJ248/GH248-1)*100),"NA",IF(((GJ248/GH248-1)*100)&gt;100,"NM",IF(((GJ248/GH248-1)*100)&lt;-50,"NM",(GJ248/GH248-1)*100)))</f>
        <v>-4.0666922272113766</v>
      </c>
      <c r="GL248" s="165">
        <f>GL246-GL247</f>
        <v>3.2566645047891174</v>
      </c>
      <c r="GM248" s="61">
        <f>IF(ISERROR((GL248/GJ248-1)*100),"NA",IF(((GL248/GJ248-1)*100)&gt;100,"NM",IF(((GL248/GJ248-1)*100)&lt;-50,"NM",(GL248/GJ248-1)*100)))</f>
        <v>-2.0181429701131348</v>
      </c>
      <c r="GN248" s="165">
        <f>GN246-GN247</f>
        <v>3.4035951181282358</v>
      </c>
      <c r="GO248" s="61">
        <f>IF(ISERROR((GN248/GL248-1)*100),"NA",IF(((GN248/GL248-1)*100)&gt;100,"NM",IF(((GN248/GL248-1)*100)&lt;-50,"NM",(GN248/GL248-1)*100)))</f>
        <v>4.5116902009110227</v>
      </c>
      <c r="GP248" s="165">
        <f>GP246-GP247</f>
        <v>3.2848418226177984</v>
      </c>
      <c r="GQ248" s="61">
        <f>IF(ISERROR((GP248/GN248-1)*100),"NA",IF(((GP248/GN248-1)*100)&gt;100,"NM",IF(((GP248/GN248-1)*100)&lt;-50,"NM",(GP248/GN248-1)*100)))</f>
        <v>-3.4890547021275586</v>
      </c>
      <c r="GR248" s="164">
        <f>GR246-GR247</f>
        <v>3.2848418226177984</v>
      </c>
      <c r="GS248" s="61">
        <f>IF(ISERROR((GR248/GP248-1)*100),"NA",IF(((GR248/GP248-1)*100)&gt;100,"NM",IF(((GR248/GP248-1)*100)&lt;-50,"NM",(GR248/GP248-1)*100)))</f>
        <v>0</v>
      </c>
      <c r="GT248" s="164">
        <f>GT246-GT247</f>
        <v>3.2648418226177984</v>
      </c>
      <c r="GU248" s="61">
        <f>IF(ISERROR((GT248/GR248-1)*100),"NA",IF(((GT248/GR248-1)*100)&gt;100,"NM",IF(((GT248/GR248-1)*100)&lt;-50,"NM",(GT248/GR248-1)*100)))</f>
        <v>-0.60885732342695897</v>
      </c>
      <c r="GV248" s="164">
        <f>GV246-GV247</f>
        <v>3.2648418226177984</v>
      </c>
      <c r="GW248" s="61">
        <f>IF(ISERROR((GV248/GT248-1)*100),"NA",IF(((GV248/GT248-1)*100)&gt;100,"NM",IF(((GV248/GT248-1)*100)&lt;-50,"NM",(GV248/GT248-1)*100)))</f>
        <v>0</v>
      </c>
      <c r="GX248" s="164">
        <f>GX246-GX247</f>
        <v>3.2648418226177984</v>
      </c>
      <c r="GY248" s="61">
        <f>IF(ISERROR((GX248/GV248-1)*100),"NA",IF(((GX248/GV248-1)*100)&gt;100,"NM",IF(((GX248/GV248-1)*100)&lt;-50,"NM",(GX248/GV248-1)*100)))</f>
        <v>0</v>
      </c>
      <c r="GZ248" s="61">
        <f t="shared" si="1691"/>
        <v>-0.82896389670068515</v>
      </c>
      <c r="HA248" s="61"/>
      <c r="HB248" s="452"/>
      <c r="HC248"/>
      <c r="HD248"/>
      <c r="HE248"/>
      <c r="HF248"/>
      <c r="HG248"/>
      <c r="HH248"/>
    </row>
    <row r="249" spans="2:216" s="5" customFormat="1" ht="12.75" customHeight="1" x14ac:dyDescent="0.2">
      <c r="B249" s="2"/>
      <c r="C249" s="66"/>
      <c r="D249" s="67"/>
      <c r="E249" s="66"/>
      <c r="F249" s="66"/>
      <c r="G249" s="64"/>
      <c r="H249" s="66"/>
      <c r="I249" s="64"/>
      <c r="J249" s="66"/>
      <c r="K249" s="64"/>
      <c r="L249" s="61"/>
      <c r="M249" s="66"/>
      <c r="N249" s="61"/>
      <c r="O249" s="64"/>
      <c r="P249" s="61"/>
      <c r="Q249" s="64"/>
      <c r="R249" s="61"/>
      <c r="S249" s="64"/>
      <c r="T249" s="61"/>
      <c r="U249" s="64"/>
      <c r="V249" s="61"/>
      <c r="W249" s="64"/>
      <c r="X249" s="61"/>
      <c r="Y249" s="64"/>
      <c r="Z249" s="61"/>
      <c r="AA249" s="64"/>
      <c r="AB249" s="61"/>
      <c r="AC249" s="64"/>
      <c r="AD249" s="61"/>
      <c r="AE249" s="64"/>
      <c r="AF249" s="61"/>
      <c r="AG249" s="64"/>
      <c r="AH249" s="61"/>
      <c r="AI249" s="64"/>
      <c r="AJ249" s="61"/>
      <c r="AK249" s="64"/>
      <c r="AL249" s="61"/>
      <c r="AM249" s="64"/>
      <c r="AN249" s="61"/>
      <c r="AO249" s="64"/>
      <c r="AP249" s="61"/>
      <c r="AQ249" s="64"/>
      <c r="AR249" s="61"/>
      <c r="AS249" s="64"/>
      <c r="AT249" s="61"/>
      <c r="AU249" s="64"/>
      <c r="AV249" s="61"/>
      <c r="AW249" s="64"/>
      <c r="AX249" s="61"/>
      <c r="AY249" s="64"/>
      <c r="AZ249" s="61"/>
      <c r="BA249" s="64"/>
      <c r="BB249" s="61"/>
      <c r="BC249" s="64"/>
      <c r="BD249" s="61"/>
      <c r="BE249" s="64"/>
      <c r="BF249" s="61"/>
      <c r="BG249" s="64"/>
      <c r="BH249" s="61"/>
      <c r="BI249" s="64"/>
      <c r="BJ249" s="61"/>
      <c r="BK249" s="64"/>
      <c r="BL249" s="61"/>
      <c r="BM249" s="64"/>
      <c r="BN249" s="61"/>
      <c r="BO249" s="64"/>
      <c r="BP249" s="61"/>
      <c r="BQ249" s="64"/>
      <c r="BR249" s="61"/>
      <c r="BS249" s="64"/>
      <c r="BT249" s="61"/>
      <c r="BU249" s="64"/>
      <c r="BV249" s="61"/>
      <c r="BW249" s="64"/>
      <c r="BX249" s="61"/>
      <c r="BY249" s="64"/>
      <c r="BZ249" s="61"/>
      <c r="CA249" s="64"/>
      <c r="CB249" s="61"/>
      <c r="CC249" s="64"/>
      <c r="CD249" s="61"/>
      <c r="CE249" s="64"/>
      <c r="CF249" s="61"/>
      <c r="CG249" s="64"/>
      <c r="CH249" s="61"/>
      <c r="CI249" s="64"/>
      <c r="CJ249" s="61"/>
      <c r="CK249" s="64"/>
      <c r="CL249" s="61"/>
      <c r="CM249" s="64"/>
      <c r="CN249" s="61"/>
      <c r="CO249" s="64"/>
      <c r="CP249" s="61"/>
      <c r="CQ249" s="64"/>
      <c r="CR249" s="61"/>
      <c r="CS249" s="64"/>
      <c r="CT249" s="61"/>
      <c r="CU249" s="64"/>
      <c r="CV249" s="61"/>
      <c r="CW249" s="64"/>
      <c r="CX249" s="61"/>
      <c r="CY249" s="64"/>
      <c r="CZ249" s="61"/>
      <c r="DA249" s="64"/>
      <c r="DB249" s="61"/>
      <c r="DC249" s="64"/>
      <c r="DD249" s="61"/>
      <c r="DE249" s="64"/>
      <c r="DF249" s="61"/>
      <c r="DG249" s="64"/>
      <c r="DH249" s="61"/>
      <c r="DI249" s="64"/>
      <c r="DJ249" s="61"/>
      <c r="DK249" s="64"/>
      <c r="DL249" s="61"/>
      <c r="DM249" s="64"/>
      <c r="DN249" s="61"/>
      <c r="DO249" s="64"/>
      <c r="DP249" s="61"/>
      <c r="DQ249" s="64"/>
      <c r="DR249" s="61"/>
      <c r="DS249" s="64"/>
      <c r="DT249" s="61"/>
      <c r="DU249" s="64"/>
      <c r="DV249" s="61"/>
      <c r="DW249" s="64"/>
      <c r="DX249" s="64"/>
      <c r="DY249" s="64"/>
      <c r="DZ249" s="61"/>
      <c r="EA249" s="64"/>
      <c r="EB249" s="61"/>
      <c r="EC249" s="64"/>
      <c r="ED249" s="61"/>
      <c r="EE249" s="64"/>
      <c r="EF249" s="61"/>
      <c r="EG249" s="64"/>
      <c r="EH249" s="61"/>
      <c r="EI249" s="64"/>
      <c r="EJ249" s="61"/>
      <c r="EK249" s="64"/>
      <c r="EL249" s="61"/>
      <c r="EM249" s="64"/>
      <c r="EN249" s="61"/>
      <c r="EO249" s="64"/>
      <c r="EP249" s="61"/>
      <c r="EQ249" s="64"/>
      <c r="ER249" s="61"/>
      <c r="ES249" s="64"/>
      <c r="ET249" s="61"/>
      <c r="EU249" s="64"/>
      <c r="EV249" s="61"/>
      <c r="EW249" s="64"/>
      <c r="EX249" s="61"/>
      <c r="EY249" s="64"/>
      <c r="EZ249" s="558"/>
      <c r="FA249" s="64"/>
      <c r="FB249" s="66"/>
      <c r="FC249" s="66"/>
      <c r="FD249" s="66"/>
      <c r="FE249" s="67"/>
      <c r="FF249" s="66"/>
      <c r="FG249" s="67"/>
      <c r="FH249" s="66"/>
      <c r="FI249" s="67"/>
      <c r="FJ249" s="66"/>
      <c r="FK249" s="67"/>
      <c r="FL249" s="66"/>
      <c r="FM249" s="61"/>
      <c r="FN249" s="66"/>
      <c r="FO249" s="61"/>
      <c r="FP249" s="65"/>
      <c r="FQ249" s="61"/>
      <c r="FR249" s="65"/>
      <c r="FS249" s="61"/>
      <c r="FT249" s="65"/>
      <c r="FU249" s="61"/>
      <c r="FV249" s="65"/>
      <c r="FW249" s="61"/>
      <c r="FX249" s="65"/>
      <c r="FY249" s="61"/>
      <c r="FZ249" s="65"/>
      <c r="GA249" s="61"/>
      <c r="GB249" s="65"/>
      <c r="GC249" s="61"/>
      <c r="GD249" s="65"/>
      <c r="GE249" s="61"/>
      <c r="GF249" s="65"/>
      <c r="GG249" s="61"/>
      <c r="GH249" s="65"/>
      <c r="GI249" s="61"/>
      <c r="GJ249" s="65"/>
      <c r="GK249" s="61"/>
      <c r="GL249" s="65"/>
      <c r="GM249" s="61"/>
      <c r="GN249" s="65"/>
      <c r="GO249" s="61"/>
      <c r="GP249" s="65"/>
      <c r="GQ249" s="61"/>
      <c r="GR249" s="64"/>
      <c r="GS249" s="61"/>
      <c r="GT249" s="64"/>
      <c r="GU249" s="61"/>
      <c r="GV249" s="64"/>
      <c r="GW249" s="61"/>
      <c r="GX249" s="64"/>
      <c r="GY249" s="61"/>
      <c r="GZ249" s="61" t="str">
        <f t="shared" si="1691"/>
        <v/>
      </c>
      <c r="HA249" s="61"/>
      <c r="HB249" s="452"/>
      <c r="HC249"/>
      <c r="HD249"/>
      <c r="HE249"/>
      <c r="HF249"/>
      <c r="HG249"/>
      <c r="HH249"/>
    </row>
    <row r="250" spans="2:216" s="5" customFormat="1" ht="12.75" customHeight="1" x14ac:dyDescent="0.2">
      <c r="B250" s="63" t="s">
        <v>522</v>
      </c>
      <c r="C250" s="66"/>
      <c r="D250" s="67"/>
      <c r="E250" s="66"/>
      <c r="F250" s="66"/>
      <c r="G250" s="64"/>
      <c r="H250" s="66"/>
      <c r="I250" s="64"/>
      <c r="J250" s="66"/>
      <c r="K250" s="64"/>
      <c r="L250" s="61"/>
      <c r="M250" s="66"/>
      <c r="N250" s="61"/>
      <c r="O250" s="64"/>
      <c r="P250" s="61"/>
      <c r="Q250" s="64"/>
      <c r="R250" s="61"/>
      <c r="S250" s="64"/>
      <c r="T250" s="61"/>
      <c r="U250" s="64"/>
      <c r="V250" s="61"/>
      <c r="W250" s="64"/>
      <c r="X250" s="61"/>
      <c r="Y250" s="64"/>
      <c r="Z250" s="61"/>
      <c r="AA250" s="64"/>
      <c r="AB250" s="61"/>
      <c r="AC250" s="64"/>
      <c r="AD250" s="61"/>
      <c r="AE250" s="64"/>
      <c r="AF250" s="61"/>
      <c r="AG250" s="64"/>
      <c r="AH250" s="61"/>
      <c r="AI250" s="64"/>
      <c r="AJ250" s="61"/>
      <c r="AK250" s="64"/>
      <c r="AL250" s="61"/>
      <c r="AM250" s="64"/>
      <c r="AN250" s="61"/>
      <c r="AO250" s="64"/>
      <c r="AP250" s="61"/>
      <c r="AQ250" s="64"/>
      <c r="AR250" s="61"/>
      <c r="AS250" s="64"/>
      <c r="AT250" s="61"/>
      <c r="AU250" s="64"/>
      <c r="AV250" s="61"/>
      <c r="AW250" s="158"/>
      <c r="AX250" s="61"/>
      <c r="AY250" s="64"/>
      <c r="AZ250" s="61"/>
      <c r="BA250" s="64"/>
      <c r="BB250" s="61"/>
      <c r="BC250" s="64"/>
      <c r="BD250" s="61"/>
      <c r="BE250" s="64"/>
      <c r="BF250" s="61"/>
      <c r="BG250" s="64"/>
      <c r="BH250" s="61"/>
      <c r="BI250" s="64"/>
      <c r="BJ250" s="61"/>
      <c r="BK250" s="64"/>
      <c r="BL250" s="61"/>
      <c r="BM250" s="64"/>
      <c r="BN250" s="61"/>
      <c r="BO250" s="64"/>
      <c r="BP250" s="61"/>
      <c r="BQ250" s="64"/>
      <c r="BR250" s="61"/>
      <c r="BS250" s="64"/>
      <c r="BT250" s="61"/>
      <c r="BU250" s="64"/>
      <c r="BV250" s="61"/>
      <c r="BW250" s="64"/>
      <c r="BX250" s="61"/>
      <c r="BY250" s="64"/>
      <c r="BZ250" s="61"/>
      <c r="CA250" s="64"/>
      <c r="CB250" s="61"/>
      <c r="CC250" s="64"/>
      <c r="CD250" s="61"/>
      <c r="CE250" s="64"/>
      <c r="CF250" s="61"/>
      <c r="CG250" s="64"/>
      <c r="CH250" s="61"/>
      <c r="CI250" s="64"/>
      <c r="CJ250" s="61"/>
      <c r="CK250" s="64"/>
      <c r="CL250" s="61"/>
      <c r="CM250" s="64"/>
      <c r="CN250" s="61"/>
      <c r="CO250" s="64"/>
      <c r="CP250" s="61"/>
      <c r="CQ250" s="64"/>
      <c r="CR250" s="61"/>
      <c r="CS250" s="64"/>
      <c r="CT250" s="61"/>
      <c r="CU250" s="64"/>
      <c r="CV250" s="61"/>
      <c r="CW250" s="64"/>
      <c r="CX250" s="61"/>
      <c r="CY250" s="64"/>
      <c r="CZ250" s="61"/>
      <c r="DA250" s="64"/>
      <c r="DB250" s="61"/>
      <c r="DC250" s="64"/>
      <c r="DD250" s="61"/>
      <c r="DE250" s="64"/>
      <c r="DF250" s="61"/>
      <c r="DG250" s="64"/>
      <c r="DH250" s="61"/>
      <c r="DI250" s="64"/>
      <c r="DJ250" s="61"/>
      <c r="DK250" s="64"/>
      <c r="DL250" s="61"/>
      <c r="DM250" s="64"/>
      <c r="DN250" s="61"/>
      <c r="DO250" s="64"/>
      <c r="DP250" s="61"/>
      <c r="DQ250" s="64"/>
      <c r="DR250" s="61"/>
      <c r="DS250" s="64"/>
      <c r="DT250" s="61"/>
      <c r="DU250" s="64"/>
      <c r="DV250" s="61"/>
      <c r="DW250" s="64"/>
      <c r="DX250" s="64"/>
      <c r="DY250" s="64"/>
      <c r="DZ250" s="61"/>
      <c r="EA250" s="64"/>
      <c r="EB250" s="61"/>
      <c r="EC250" s="64"/>
      <c r="ED250" s="61"/>
      <c r="EE250" s="64"/>
      <c r="EF250" s="61"/>
      <c r="EG250" s="64"/>
      <c r="EH250" s="61"/>
      <c r="EI250" s="64"/>
      <c r="EJ250" s="61"/>
      <c r="EK250" s="64"/>
      <c r="EL250" s="61"/>
      <c r="EM250" s="64"/>
      <c r="EN250" s="61"/>
      <c r="EO250" s="64"/>
      <c r="EP250" s="61"/>
      <c r="EQ250" s="64"/>
      <c r="ER250" s="61"/>
      <c r="ES250" s="64"/>
      <c r="ET250" s="61"/>
      <c r="EU250" s="64"/>
      <c r="EV250" s="61"/>
      <c r="EW250" s="64"/>
      <c r="EX250" s="61"/>
      <c r="EY250" s="64"/>
      <c r="EZ250" s="558"/>
      <c r="FA250" s="64"/>
      <c r="FB250" s="66"/>
      <c r="FC250" s="66"/>
      <c r="FD250" s="66"/>
      <c r="FE250" s="67"/>
      <c r="FF250" s="66"/>
      <c r="FG250" s="67"/>
      <c r="FH250" s="66"/>
      <c r="FI250" s="67"/>
      <c r="FJ250" s="66"/>
      <c r="FK250" s="67"/>
      <c r="FL250" s="66"/>
      <c r="FM250" s="61"/>
      <c r="FN250" s="66"/>
      <c r="FO250" s="61"/>
      <c r="FP250" s="65"/>
      <c r="FQ250" s="61"/>
      <c r="FR250" s="65"/>
      <c r="FS250" s="61"/>
      <c r="FT250" s="65"/>
      <c r="FU250" s="61"/>
      <c r="FV250" s="65"/>
      <c r="FW250" s="61"/>
      <c r="FX250" s="65"/>
      <c r="FY250" s="61"/>
      <c r="FZ250" s="65"/>
      <c r="GA250" s="61"/>
      <c r="GB250" s="65"/>
      <c r="GC250" s="61"/>
      <c r="GD250" s="65"/>
      <c r="GE250" s="61"/>
      <c r="GF250" s="65"/>
      <c r="GG250" s="61"/>
      <c r="GH250" s="65"/>
      <c r="GI250" s="61"/>
      <c r="GJ250" s="65"/>
      <c r="GK250" s="61"/>
      <c r="GL250" s="65"/>
      <c r="GM250" s="61"/>
      <c r="GN250" s="65"/>
      <c r="GO250" s="61"/>
      <c r="GP250" s="65"/>
      <c r="GQ250" s="61"/>
      <c r="GR250" s="64"/>
      <c r="GS250" s="61"/>
      <c r="GT250" s="64"/>
      <c r="GU250" s="61"/>
      <c r="GV250" s="64"/>
      <c r="GW250" s="61"/>
      <c r="GX250" s="64"/>
      <c r="GY250" s="61"/>
      <c r="GZ250" s="61" t="str">
        <f t="shared" si="1691"/>
        <v/>
      </c>
      <c r="HA250" s="61"/>
      <c r="HB250" s="452"/>
      <c r="HC250"/>
      <c r="HD250"/>
      <c r="HE250"/>
      <c r="HF250"/>
      <c r="HG250"/>
      <c r="HH250"/>
    </row>
    <row r="251" spans="2:216" s="5" customFormat="1" ht="12.75" customHeight="1" x14ac:dyDescent="0.2">
      <c r="B251" s="2" t="s">
        <v>499</v>
      </c>
      <c r="C251" s="66"/>
      <c r="D251" s="70"/>
      <c r="E251" s="66"/>
      <c r="F251" s="71"/>
      <c r="G251" s="66"/>
      <c r="H251" s="71"/>
      <c r="I251" s="82"/>
      <c r="J251" s="61"/>
      <c r="K251" s="82"/>
      <c r="L251" s="61"/>
      <c r="M251" s="82"/>
      <c r="N251" s="61"/>
      <c r="O251" s="82"/>
      <c r="P251" s="61"/>
      <c r="Q251" s="82"/>
      <c r="R251" s="61"/>
      <c r="S251" s="82"/>
      <c r="T251" s="61"/>
      <c r="U251" s="82"/>
      <c r="V251" s="61"/>
      <c r="W251" s="82"/>
      <c r="X251" s="61"/>
      <c r="Y251" s="82"/>
      <c r="Z251" s="61"/>
      <c r="AA251" s="82"/>
      <c r="AB251" s="61"/>
      <c r="AC251" s="82"/>
      <c r="AD251" s="61"/>
      <c r="AE251" s="82"/>
      <c r="AF251" s="61"/>
      <c r="AG251" s="82"/>
      <c r="AH251" s="61"/>
      <c r="AI251" s="82"/>
      <c r="AJ251" s="61"/>
      <c r="AK251" s="82"/>
      <c r="AL251" s="61"/>
      <c r="AM251" s="82"/>
      <c r="AN251" s="61"/>
      <c r="AO251" s="82"/>
      <c r="AP251" s="61"/>
      <c r="AQ251" s="110">
        <v>6.32</v>
      </c>
      <c r="AR251" s="61" t="str">
        <f>IF(ISERROR((AQ251/AI251-1)*100),"NA",IF(((AQ251/AI251-1)*100)&gt;100,"NM",IF(((AQ251/AI251-1)*100)&lt;-50,"NM",(AQ251/AI251-1)*100)))</f>
        <v>NA</v>
      </c>
      <c r="AS251" s="110">
        <v>6.35</v>
      </c>
      <c r="AT251" s="61" t="str">
        <f>IF(ISERROR((AS251/AK251-1)*100),"NA",IF(((AS251/AK251-1)*100)&gt;100,"NM",IF(((AS251/AK251-1)*100)&lt;-50,"NM",(AS251/AK251-1)*100)))</f>
        <v>NA</v>
      </c>
      <c r="AU251" s="110">
        <v>6.35</v>
      </c>
      <c r="AV251" s="61" t="str">
        <f>IF(ISERROR((AU251/AM251-1)*100),"NA",IF(((AU251/AM251-1)*100)&gt;100,"NM",IF(((AU251/AM251-1)*100)&lt;-50,"NM",(AU251/AM251-1)*100)))</f>
        <v>NA</v>
      </c>
      <c r="AW251" s="110">
        <v>6.26</v>
      </c>
      <c r="AX251" s="61" t="str">
        <f>IF(ISERROR((AW251/AO251-1)*100),"NA",IF(((AW251/AO251-1)*100)&gt;100,"NM",IF(((AW251/AO251-1)*100)&lt;-50,"NM",(AW251/AO251-1)*100)))</f>
        <v>NA</v>
      </c>
      <c r="AY251" s="110">
        <v>6.48</v>
      </c>
      <c r="AZ251" s="61">
        <f>IF(ISERROR((AY251/AQ251-1)*100),"NA",IF(((AY251/AQ251-1)*100)&gt;100,"NM",IF(((AY251/AQ251-1)*100)&lt;-50,"NM",(AY251/AQ251-1)*100)))</f>
        <v>2.5316455696202445</v>
      </c>
      <c r="BA251" s="110">
        <v>6.22</v>
      </c>
      <c r="BB251" s="61">
        <f>IF(ISERROR((BA251/AS251-1)*100),"NA",IF(((BA251/AS251-1)*100)&gt;100,"NM",IF(((BA251/AS251-1)*100)&lt;-50,"NM",(BA251/AS251-1)*100)))</f>
        <v>-2.0472440944881876</v>
      </c>
      <c r="BC251" s="110">
        <f>6.08+0.004</f>
        <v>6.0839999999999996</v>
      </c>
      <c r="BD251" s="61">
        <f>IF(ISERROR((BC251/AU251-1)*100),"NA",IF(((BC251/AU251-1)*100)&gt;100,"NM",IF(((BC251/AU251-1)*100)&lt;-50,"NM",(BC251/AU251-1)*100)))</f>
        <v>-4.1889763779527573</v>
      </c>
      <c r="BE251" s="110">
        <v>6.44</v>
      </c>
      <c r="BF251" s="61">
        <f>IF(ISERROR((BE251/AW251-1)*100),"NA",IF(((BE251/AW251-1)*100)&gt;100,"NM",IF(((BE251/AW251-1)*100)&lt;-50,"NM",(BE251/AW251-1)*100)))</f>
        <v>2.8753993610223683</v>
      </c>
      <c r="BG251" s="110">
        <v>6.48</v>
      </c>
      <c r="BH251" s="61">
        <f>IF(ISERROR((BG251/AY251-1)*100),"NA",IF(((BG251/AY251-1)*100)&gt;100,"NM",IF(((BG251/AY251-1)*100)&lt;-50,"NM",(BG251/AY251-1)*100)))</f>
        <v>0</v>
      </c>
      <c r="BI251" s="110">
        <v>6.99</v>
      </c>
      <c r="BJ251" s="61">
        <f>IF(ISERROR((BI251/BA251-1)*100),"NA",IF(((BI251/BA251-1)*100)&gt;100,"NM",IF(((BI251/BA251-1)*100)&lt;-50,"NM",(BI251/BA251-1)*100)))</f>
        <v>12.37942122186495</v>
      </c>
      <c r="BK251" s="110">
        <v>6.08</v>
      </c>
      <c r="BL251" s="61">
        <f>IF(ISERROR((BK251/BC251-1)*100),"NA",IF(((BK251/BC251-1)*100)&gt;100,"NM",IF(((BK251/BC251-1)*100)&lt;-50,"NM",(BK251/BC251-1)*100)))</f>
        <v>-6.5746219592366373E-2</v>
      </c>
      <c r="BM251" s="110">
        <v>6.26</v>
      </c>
      <c r="BN251" s="61">
        <f>IF(ISERROR((BM251/BE251-1)*100),"NA",IF(((BM251/BE251-1)*100)&gt;100,"NM",IF(((BM251/BE251-1)*100)&lt;-50,"NM",(BM251/BE251-1)*100)))</f>
        <v>-2.7950310559006319</v>
      </c>
      <c r="BO251" s="110">
        <v>6.04</v>
      </c>
      <c r="BP251" s="61">
        <f>IF(ISERROR((BO251/BG251-1)*100),"NA",IF(((BO251/BG251-1)*100)&gt;100,"NM",IF(((BO251/BG251-1)*100)&lt;-50,"NM",(BO251/BG251-1)*100)))</f>
        <v>-6.7901234567901314</v>
      </c>
      <c r="BQ251" s="110">
        <v>6.24</v>
      </c>
      <c r="BR251" s="61">
        <f>IF(ISERROR((BQ251/BI251-1)*100),"NA",IF(((BQ251/BI251-1)*100)&gt;100,"NM",IF(((BQ251/BI251-1)*100)&lt;-50,"NM",(BQ251/BI251-1)*100)))</f>
        <v>-10.729613733905573</v>
      </c>
      <c r="BS251" s="110">
        <v>6.25</v>
      </c>
      <c r="BT251" s="61">
        <f>IF(ISERROR((BS251/BK251-1)*100),"NA",IF(((BS251/BK251-1)*100)&gt;100,"NM",IF(((BS251/BK251-1)*100)&lt;-50,"NM",(BS251/BK251-1)*100)))</f>
        <v>2.796052631578938</v>
      </c>
      <c r="BU251" s="110">
        <v>5.22</v>
      </c>
      <c r="BV251" s="61">
        <f>IF(ISERROR((BU251/BM251-1)*100),"NA",IF(((BU251/BM251-1)*100)&gt;100,"NM",IF(((BU251/BM251-1)*100)&lt;-50,"NM",(BU251/BM251-1)*100)))</f>
        <v>-16.613418530351442</v>
      </c>
      <c r="BW251" s="110">
        <v>5.77</v>
      </c>
      <c r="BX251" s="61">
        <f>IF(ISERROR((BW251/BO251-1)*100),"NA",IF(((BW251/BO251-1)*100)&gt;100,"NM",IF(((BW251/BO251-1)*100)&lt;-50,"NM",(BW251/BO251-1)*100)))</f>
        <v>-4.4701986754966949</v>
      </c>
      <c r="BY251" s="110">
        <v>5.38</v>
      </c>
      <c r="BZ251" s="61">
        <f>IF(ISERROR((BY251/BQ251-1)*100),"NA",IF(((BY251/BQ251-1)*100)&gt;100,"NM",IF(((BY251/BQ251-1)*100)&lt;-50,"NM",(BY251/BQ251-1)*100)))</f>
        <v>-13.782051282051288</v>
      </c>
      <c r="CA251" s="110">
        <v>5.72</v>
      </c>
      <c r="CB251" s="61">
        <f>IF(ISERROR((CA251/BS251-1)*100),"NA",IF(((CA251/BS251-1)*100)&gt;100,"NM",IF(((CA251/BS251-1)*100)&lt;-50,"NM",(CA251/BS251-1)*100)))</f>
        <v>-8.4799999999999986</v>
      </c>
      <c r="CC251" s="110">
        <v>6</v>
      </c>
      <c r="CD251" s="61">
        <f>IF(ISERROR((CC251/BU251-1)*100),"NA",IF(((CC251/BU251-1)*100)&gt;100,"NM",IF(((CC251/BU251-1)*100)&lt;-50,"NM",(CC251/BU251-1)*100)))</f>
        <v>14.942528735632198</v>
      </c>
      <c r="CE251" s="110">
        <v>6.05</v>
      </c>
      <c r="CF251" s="61">
        <f>IF(ISERROR((CE251/BW251-1)*100),"NA",IF(((CE251/BW251-1)*100)&gt;100,"NM",IF(((CE251/BW251-1)*100)&lt;-50,"NM",(CE251/BW251-1)*100)))</f>
        <v>4.8526863084922045</v>
      </c>
      <c r="CG251" s="110">
        <v>6.17</v>
      </c>
      <c r="CH251" s="61">
        <f>IF(ISERROR((CG251/BY251-1)*100),"NA",IF(((CG251/BY251-1)*100)&gt;100,"NM",IF(((CG251/BY251-1)*100)&lt;-50,"NM",(CG251/BY251-1)*100)))</f>
        <v>14.684014869888484</v>
      </c>
      <c r="CI251" s="110">
        <v>6.07</v>
      </c>
      <c r="CJ251" s="61">
        <f>IF(ISERROR((CI251/CA251-1)*100),"NA",IF(((CI251/CA251-1)*100)&gt;100,"NM",IF(((CI251/CA251-1)*100)&lt;-50,"NM",(CI251/CA251-1)*100)))</f>
        <v>6.1188811188811254</v>
      </c>
      <c r="CK251" s="110">
        <v>6.23</v>
      </c>
      <c r="CL251" s="61">
        <f>IF(ISERROR((CK251/CC251-1)*100),"NA",IF(((CK251/CC251-1)*100)&gt;100,"NM",IF(((CK251/CC251-1)*100)&lt;-50,"NM",(CK251/CC251-1)*100)))</f>
        <v>3.833333333333333</v>
      </c>
      <c r="CM251" s="110">
        <v>6.27</v>
      </c>
      <c r="CN251" s="61">
        <f>IF(ISERROR((CM251/CE251-1)*100),"NA",IF(((CM251/CE251-1)*100)&gt;100,"NM",IF(((CM251/CE251-1)*100)&lt;-50,"NM",(CM251/CE251-1)*100)))</f>
        <v>3.6363636363636376</v>
      </c>
      <c r="CO251" s="110">
        <v>6.25</v>
      </c>
      <c r="CP251" s="61">
        <f>IF(ISERROR((CO251/CG251-1)*100),"NA",IF(((CO251/CG251-1)*100)&gt;100,"NM",IF(((CO251/CG251-1)*100)&lt;-50,"NM",(CO251/CG251-1)*100)))</f>
        <v>1.296596434359798</v>
      </c>
      <c r="CQ251" s="110">
        <v>5.96</v>
      </c>
      <c r="CR251" s="61">
        <f>IF(ISERROR((CQ251/CI251-1)*100),"NA",IF(((CQ251/CI251-1)*100)&gt;100,"NM",IF(((CQ251/CI251-1)*100)&lt;-50,"NM",(CQ251/CI251-1)*100)))</f>
        <v>-1.8121911037891292</v>
      </c>
      <c r="CS251" s="110">
        <v>5.74</v>
      </c>
      <c r="CT251" s="61">
        <f>IF(ISERROR((CS251/CK251-1)*100),"NA",IF(((CS251/CK251-1)*100)&gt;100,"NM",IF(((CS251/CK251-1)*100)&lt;-50,"NM",(CS251/CK251-1)*100)))</f>
        <v>-7.8651685393258504</v>
      </c>
      <c r="CU251" s="110">
        <v>5.96</v>
      </c>
      <c r="CV251" s="61">
        <f>IF(ISERROR((CU251/CM251-1)*100),"NA",IF(((CU251/CM251-1)*100)&gt;100,"NM",IF(((CU251/CM251-1)*100)&lt;-50,"NM",(CU251/CM251-1)*100)))</f>
        <v>-4.9441786283891513</v>
      </c>
      <c r="CW251" s="110">
        <v>6.02</v>
      </c>
      <c r="CX251" s="61">
        <f>IF(ISERROR((CW251/CO251-1)*100),"NA",IF(((CW251/CO251-1)*100)&gt;100,"NM",IF(((CW251/CO251-1)*100)&lt;-50,"NM",(CW251/CO251-1)*100)))</f>
        <v>-3.6800000000000055</v>
      </c>
      <c r="CY251" s="110">
        <v>5.7</v>
      </c>
      <c r="CZ251" s="61">
        <f>IF(ISERROR((CY251/CQ251-1)*100),"NA",IF(((CY251/CQ251-1)*100)&gt;100,"NM",IF(((CY251/CQ251-1)*100)&lt;-50,"NM",(CY251/CQ251-1)*100)))</f>
        <v>-4.3624161073825496</v>
      </c>
      <c r="DA251" s="110">
        <v>6.07</v>
      </c>
      <c r="DB251" s="61">
        <f>IF(ISERROR((DA251/CS251-1)*100),"NA",IF(((DA251/CS251-1)*100)&gt;100,"NM",IF(((DA251/CS251-1)*100)&lt;-50,"NM",(DA251/CS251-1)*100)))</f>
        <v>5.7491289198606355</v>
      </c>
      <c r="DC251" s="110">
        <v>5.63</v>
      </c>
      <c r="DD251" s="61">
        <f>IF(ISERROR((DC251/CU251-1)*100),"NA",IF(((DC251/CU251-1)*100)&gt;100,"NM",IF(((DC251/CU251-1)*100)&lt;-50,"NM",(DC251/CU251-1)*100)))</f>
        <v>-5.5369127516778587</v>
      </c>
      <c r="DE251" s="110">
        <v>5.9</v>
      </c>
      <c r="DF251" s="61">
        <f>IF(ISERROR((DE251/CW251-1)*100),"NA",IF(((DE251/CW251-1)*100)&gt;100,"NM",IF(((DE251/CW251-1)*100)&lt;-50,"NM",(DE251/CW251-1)*100)))</f>
        <v>-1.9933554817275656</v>
      </c>
      <c r="DG251" s="110">
        <v>5.76</v>
      </c>
      <c r="DH251" s="61">
        <f>IF(ISERROR((DG251/CY251-1)*100),"NA",IF(((DG251/CY251-1)*100)&gt;100,"NM",IF(((DG251/CY251-1)*100)&lt;-50,"NM",(DG251/CY251-1)*100)))</f>
        <v>1.0526315789473717</v>
      </c>
      <c r="DI251" s="110">
        <v>5.77</v>
      </c>
      <c r="DJ251" s="61">
        <f>IF(ISERROR((DI251/DA251-1)*100),"NA",IF(((DI251/DA251-1)*100)&gt;100,"NM",IF(((DI251/DA251-1)*100)&lt;-50,"NM",(DI251/DA251-1)*100)))</f>
        <v>-4.9423393739703609</v>
      </c>
      <c r="DK251" s="110">
        <v>5.68</v>
      </c>
      <c r="DL251" s="61">
        <f>IF(ISERROR((DK251/DC251-1)*100),"NA",IF(((DK251/DC251-1)*100)&gt;100,"NM",IF(((DK251/DC251-1)*100)&lt;-50,"NM",(DK251/DC251-1)*100)))</f>
        <v>0.88809946714032417</v>
      </c>
      <c r="DM251" s="110">
        <v>5.72</v>
      </c>
      <c r="DN251" s="130">
        <f t="shared" ref="DN251:DZ253" si="1801">IF(ISERROR((DM251/DE251-1)*100),"NA",IF(((DM251/DE251-1)*100)&gt;100,"NM",IF(((DM251/DE251-1)*100)&lt;-50,"NM",(DM251/DE251-1)*100)))</f>
        <v>-3.0508474576271261</v>
      </c>
      <c r="DO251" s="110">
        <v>5.74</v>
      </c>
      <c r="DP251" s="130">
        <f t="shared" si="1801"/>
        <v>-0.34722222222220989</v>
      </c>
      <c r="DQ251" s="110">
        <v>5.72</v>
      </c>
      <c r="DR251" s="130">
        <f t="shared" si="1801"/>
        <v>-0.86655112651645716</v>
      </c>
      <c r="DS251" s="110">
        <v>5.55</v>
      </c>
      <c r="DT251" s="130">
        <f t="shared" si="1801"/>
        <v>-2.2887323943661997</v>
      </c>
      <c r="DU251" s="110">
        <v>5.5</v>
      </c>
      <c r="DV251" s="130">
        <f t="shared" si="1801"/>
        <v>-3.8461538461538436</v>
      </c>
      <c r="DW251" s="110">
        <v>5.75</v>
      </c>
      <c r="DX251" s="110">
        <v>5.8</v>
      </c>
      <c r="DY251" s="110">
        <v>5.41</v>
      </c>
      <c r="DZ251" s="130">
        <f t="shared" si="1801"/>
        <v>-5.4195804195804165</v>
      </c>
      <c r="EA251" s="110">
        <v>5.24</v>
      </c>
      <c r="EB251" s="130">
        <f t="shared" ref="EB251:EB253" si="1802">IF(ISERROR((EA251/DS251-1)*100),"NA",IF(((EA251/DS251-1)*100)&gt;100,"NM",IF(((EA251/DS251-1)*100)&lt;-50,"NM",(EA251/DS251-1)*100)))</f>
        <v>-5.5855855855855836</v>
      </c>
      <c r="EC251" s="110">
        <v>5.39</v>
      </c>
      <c r="ED251" s="130">
        <f t="shared" ref="ED251:ED253" si="1803">IF(ISERROR((EC251/DU251-1)*100),"NA",IF(((EC251/DU251-1)*100)&gt;100,"NM",IF(((EC251/DU251-1)*100)&lt;-50,"NM",(EC251/DU251-1)*100)))</f>
        <v>-2.0000000000000018</v>
      </c>
      <c r="EE251" s="110">
        <v>5.64</v>
      </c>
      <c r="EF251" s="130">
        <f t="shared" ref="EF251:EF253" si="1804">IF(ISERROR((EE251/DW251-1)*100),"NA",IF(((EE251/DW251-1)*100)&gt;100,"NM",IF(((EE251/DW251-1)*100)&lt;-50,"NM",(EE251/DW251-1)*100)))</f>
        <v>-1.9130434782608785</v>
      </c>
      <c r="EG251" s="110">
        <v>5.48</v>
      </c>
      <c r="EH251" s="130">
        <f t="shared" ref="EH251:EH253" si="1805">IF(ISERROR((EG251/DY251-1)*100),"NA",IF(((EG251/DY251-1)*100)&gt;100,"NM",IF(((EG251/DY251-1)*100)&lt;-50,"NM",(EG251/DY251-1)*100)))</f>
        <v>1.2939001848428777</v>
      </c>
      <c r="EI251" s="110">
        <v>5.45</v>
      </c>
      <c r="EJ251" s="130">
        <f t="shared" ref="EJ251:EJ253" si="1806">IF(ISERROR((EI251/EA251-1)*100),"NA",IF(((EI251/EA251-1)*100)&gt;100,"NM",IF(((EI251/EA251-1)*100)&lt;-50,"NM",(EI251/EA251-1)*100)))</f>
        <v>4.0076335877862634</v>
      </c>
      <c r="EK251" s="110">
        <v>5.49</v>
      </c>
      <c r="EL251" s="130">
        <f t="shared" ref="EL251:EL253" si="1807">IF(ISERROR((EK251/EC251-1)*100),"NA",IF(((EK251/EC251-1)*100)&gt;100,"NM",IF(((EK251/EC251-1)*100)&lt;-50,"NM",(EK251/EC251-1)*100)))</f>
        <v>1.855287569573294</v>
      </c>
      <c r="EM251" s="110">
        <v>5.33</v>
      </c>
      <c r="EN251" s="130">
        <f t="shared" ref="EN251:EN253" si="1808">IF(ISERROR((EM251/EE251-1)*100),"NA",IF(((EM251/EE251-1)*100)&gt;100,"NM",IF(((EM251/EE251-1)*100)&lt;-50,"NM",(EM251/EE251-1)*100)))</f>
        <v>-5.4964539007092084</v>
      </c>
      <c r="EO251" s="110">
        <v>5.33</v>
      </c>
      <c r="EP251" s="130">
        <f t="shared" ref="EP251:EP253" si="1809">IF(ISERROR((EO251/EG251-1)*100),"NA",IF(((EO251/EG251-1)*100)&gt;100,"NM",IF(((EO251/EG251-1)*100)&lt;-50,"NM",(EO251/EG251-1)*100)))</f>
        <v>-2.7372262773722733</v>
      </c>
      <c r="EQ251" s="110"/>
      <c r="ER251" s="130" t="str">
        <f t="shared" ref="ER251:ER253" si="1810">IF(ISERROR((EQ251/EI251-1)*100),"NA",IF(((EQ251/EI251-1)*100)&gt;100,"NM",IF(((EQ251/EI251-1)*100)&lt;-50,"NM",(EQ251/EI251-1)*100)))</f>
        <v>NM</v>
      </c>
      <c r="ES251" s="110"/>
      <c r="ET251" s="130" t="str">
        <f t="shared" ref="ET251:ET253" si="1811">IF(ISERROR((ES251/EK251-1)*100),"NA",IF(((ES251/EK251-1)*100)&gt;100,"NM",IF(((ES251/EK251-1)*100)&lt;-50,"NM",(ES251/EK251-1)*100)))</f>
        <v>NM</v>
      </c>
      <c r="EU251" s="110"/>
      <c r="EV251" s="130" t="str">
        <f t="shared" ref="EV251:EV253" si="1812">IF(ISERROR((EU251/EM251-1)*100),"NA",IF(((EU251/EM251-1)*100)&gt;100,"NM",IF(((EU251/EM251-1)*100)&lt;-50,"NM",(EU251/EM251-1)*100)))</f>
        <v>NM</v>
      </c>
      <c r="EW251" s="110"/>
      <c r="EX251" s="130" t="str">
        <f t="shared" ref="EX251:EX253" si="1813">IF(ISERROR((EW251/EO251-1)*100),"NA",IF(((EW251/EO251-1)*100)&gt;100,"NM",IF(((EW251/EO251-1)*100)&lt;-50,"NM",(EW251/EO251-1)*100)))</f>
        <v>NM</v>
      </c>
      <c r="EY251" s="64"/>
      <c r="EZ251" s="558"/>
      <c r="FA251" s="64"/>
      <c r="FB251" s="66"/>
      <c r="FC251" s="71"/>
      <c r="FD251" s="82"/>
      <c r="FE251" s="70"/>
      <c r="FF251" s="82"/>
      <c r="FG251" s="70"/>
      <c r="FH251" s="82"/>
      <c r="FI251" s="70"/>
      <c r="FJ251" s="82"/>
      <c r="FK251" s="70"/>
      <c r="FL251" s="111"/>
      <c r="FM251" s="61"/>
      <c r="FN251" s="111">
        <f>AVERAGE(AO251,AQ251,AS251,AU251)</f>
        <v>6.34</v>
      </c>
      <c r="FO251" s="61"/>
      <c r="FP251" s="111">
        <f>AVERAGE(AQ251,AS251,AU251,AW251)</f>
        <v>6.32</v>
      </c>
      <c r="FQ251" s="61">
        <f>IF(ISERROR((FP251/FN251-1)*100),"NA",IF(((FP251/FN251-1)*100)&gt;100,"NM",IF(((FP251/FN251-1)*100)&lt;-50,"NM",(FP251/FN251-1)*100)))</f>
        <v>-0.3154574132492094</v>
      </c>
      <c r="FR251" s="111">
        <f>AVERAGE(AY251,BA251,BC251,BE251)</f>
        <v>6.306</v>
      </c>
      <c r="FS251" s="61">
        <f>IF(ISERROR((FR251/FP251-1)*100),"NA",IF(((FR251/FP251-1)*100)&gt;100,"NM",IF(((FR251/FP251-1)*100)&lt;-50,"NM",(FR251/FP251-1)*100)))</f>
        <v>-0.22151898734177333</v>
      </c>
      <c r="FT251" s="165">
        <f>AVERAGE(BG251,BI251,BK251,BM251)</f>
        <v>6.4525000000000006</v>
      </c>
      <c r="FU251" s="61">
        <f>IF(ISERROR((FT251/FR251-1)*100),"NA",IF(((FT251/FR251-1)*100)&gt;100,"NM",IF(((FT251/FR251-1)*100)&lt;-50,"NM",(FT251/FR251-1)*100)))</f>
        <v>2.323184268950218</v>
      </c>
      <c r="FV251" s="165">
        <f>AVERAGE(BO251,BQ251,BS251,BU251)</f>
        <v>5.9375</v>
      </c>
      <c r="FW251" s="61">
        <f>IF(ISERROR((FV251/FT251-1)*100),"NA",IF(((FV251/FT251-1)*100)&gt;100,"NM",IF(((FV251/FT251-1)*100)&lt;-50,"NM",(FV251/FT251-1)*100)))</f>
        <v>-7.9814025571483977</v>
      </c>
      <c r="FX251" s="165">
        <f>AVERAGE(BW251,BY251,CA251,CC251)</f>
        <v>5.7174999999999994</v>
      </c>
      <c r="FY251" s="61">
        <f>IF(ISERROR((FX251/FV251-1)*100),"NA",IF(((FX251/FV251-1)*100)&gt;100,"NM",IF(((FX251/FV251-1)*100)&lt;-50,"NM",(FX251/FV251-1)*100)))</f>
        <v>-3.7052631578947448</v>
      </c>
      <c r="FZ251" s="165">
        <f>AVERAGE(CE251,CG251,CI251,CK251)</f>
        <v>6.13</v>
      </c>
      <c r="GA251" s="61">
        <f>IF(ISERROR((FZ251/FX251-1)*100),"NA",IF(((FZ251/FX251-1)*100)&gt;100,"NM",IF(((FZ251/FX251-1)*100)&lt;-50,"NM",(FZ251/FX251-1)*100)))</f>
        <v>7.2146917358985707</v>
      </c>
      <c r="GB251" s="165">
        <f>AVERAGE(CM251,CO251,CQ251,CS251)</f>
        <v>6.0549999999999997</v>
      </c>
      <c r="GC251" s="61">
        <f>IF(ISERROR((GB251/FZ251-1)*100),"NA",IF(((GB251/FZ251-1)*100)&gt;100,"NM",IF(((GB251/FZ251-1)*100)&lt;-50,"NM",(GB251/FZ251-1)*100)))</f>
        <v>-1.2234910277324706</v>
      </c>
      <c r="GD251" s="165"/>
      <c r="GE251" s="61"/>
      <c r="GF251" s="165"/>
      <c r="GG251" s="61"/>
      <c r="GH251" s="165"/>
      <c r="GI251" s="61"/>
      <c r="GJ251" s="165"/>
      <c r="GK251" s="61"/>
      <c r="GL251" s="165"/>
      <c r="GM251" s="61"/>
      <c r="GN251" s="165"/>
      <c r="GO251" s="61"/>
      <c r="GP251" s="165"/>
      <c r="GQ251" s="61"/>
      <c r="GR251" s="110"/>
      <c r="GS251" s="61"/>
      <c r="GT251" s="110"/>
      <c r="GU251" s="61"/>
      <c r="GV251" s="110"/>
      <c r="GW251" s="61"/>
      <c r="GX251" s="110"/>
      <c r="GY251" s="61"/>
      <c r="GZ251" s="61"/>
      <c r="HA251" s="61"/>
      <c r="HB251" s="452"/>
      <c r="HC251"/>
      <c r="HD251"/>
      <c r="HE251"/>
      <c r="HF251"/>
      <c r="HG251"/>
      <c r="HH251"/>
    </row>
    <row r="252" spans="2:216" s="5" customFormat="1" ht="12.75" customHeight="1" x14ac:dyDescent="0.2">
      <c r="B252" s="2" t="s">
        <v>23</v>
      </c>
      <c r="C252" s="66"/>
      <c r="D252" s="70"/>
      <c r="E252" s="66"/>
      <c r="F252" s="71"/>
      <c r="G252" s="66"/>
      <c r="H252" s="71"/>
      <c r="I252" s="82"/>
      <c r="J252" s="61"/>
      <c r="K252" s="82"/>
      <c r="L252" s="61"/>
      <c r="M252" s="82"/>
      <c r="N252" s="61"/>
      <c r="O252" s="82"/>
      <c r="P252" s="61"/>
      <c r="Q252" s="82"/>
      <c r="R252" s="61"/>
      <c r="S252" s="82"/>
      <c r="T252" s="61"/>
      <c r="U252" s="82"/>
      <c r="V252" s="61"/>
      <c r="W252" s="82"/>
      <c r="X252" s="61"/>
      <c r="Y252" s="82"/>
      <c r="Z252" s="61"/>
      <c r="AA252" s="82"/>
      <c r="AB252" s="61"/>
      <c r="AC252" s="82"/>
      <c r="AD252" s="61"/>
      <c r="AE252" s="82"/>
      <c r="AF252" s="61"/>
      <c r="AG252" s="82"/>
      <c r="AH252" s="61"/>
      <c r="AI252" s="82"/>
      <c r="AJ252" s="61"/>
      <c r="AK252" s="82"/>
      <c r="AL252" s="61"/>
      <c r="AM252" s="82"/>
      <c r="AN252" s="61"/>
      <c r="AO252" s="82"/>
      <c r="AP252" s="61"/>
      <c r="AQ252" s="110">
        <v>4.75</v>
      </c>
      <c r="AR252" s="61" t="str">
        <f>IF(ISERROR((AQ252/AI252-1)*100),"NA",IF(((AQ252/AI252-1)*100)&gt;100,"NM",IF(((AQ252/AI252-1)*100)&lt;-50,"NM",(AQ252/AI252-1)*100)))</f>
        <v>NA</v>
      </c>
      <c r="AS252" s="110">
        <v>4.6500000000000004</v>
      </c>
      <c r="AT252" s="61" t="str">
        <f>IF(ISERROR((AS252/AK252-1)*100),"NA",IF(((AS252/AK252-1)*100)&gt;100,"NM",IF(((AS252/AK252-1)*100)&lt;-50,"NM",(AS252/AK252-1)*100)))</f>
        <v>NA</v>
      </c>
      <c r="AU252" s="110">
        <v>4.7</v>
      </c>
      <c r="AV252" s="61" t="str">
        <f>IF(ISERROR((AU252/AM252-1)*100),"NA",IF(((AU252/AM252-1)*100)&gt;100,"NM",IF(((AU252/AM252-1)*100)&lt;-50,"NM",(AU252/AM252-1)*100)))</f>
        <v>NA</v>
      </c>
      <c r="AW252" s="110">
        <v>4.66</v>
      </c>
      <c r="AX252" s="61" t="str">
        <f>IF(ISERROR((AW252/AO252-1)*100),"NA",IF(((AW252/AO252-1)*100)&gt;100,"NM",IF(((AW252/AO252-1)*100)&lt;-50,"NM",(AW252/AO252-1)*100)))</f>
        <v>NA</v>
      </c>
      <c r="AY252" s="110">
        <v>4.5999999999999996</v>
      </c>
      <c r="AZ252" s="61">
        <f>IF(ISERROR((AY252/AQ252-1)*100),"NA",IF(((AY252/AQ252-1)*100)&gt;100,"NM",IF(((AY252/AQ252-1)*100)&lt;-50,"NM",(AY252/AQ252-1)*100)))</f>
        <v>-3.1578947368421151</v>
      </c>
      <c r="BA252" s="110">
        <v>4.46</v>
      </c>
      <c r="BB252" s="61">
        <f>IF(ISERROR((BA252/AS252-1)*100),"NA",IF(((BA252/AS252-1)*100)&gt;100,"NM",IF(((BA252/AS252-1)*100)&lt;-50,"NM",(BA252/AS252-1)*100)))</f>
        <v>-4.0860215053763476</v>
      </c>
      <c r="BC252" s="110">
        <f>4.52-0.004</f>
        <v>4.516</v>
      </c>
      <c r="BD252" s="61">
        <f>IF(ISERROR((BC252/AU252-1)*100),"NA",IF(((BC252/AU252-1)*100)&gt;100,"NM",IF(((BC252/AU252-1)*100)&lt;-50,"NM",(BC252/AU252-1)*100)))</f>
        <v>-3.9148936170212756</v>
      </c>
      <c r="BE252" s="110">
        <v>4.5199999999999996</v>
      </c>
      <c r="BF252" s="61">
        <f>IF(ISERROR((BE252/AW252-1)*100),"NA",IF(((BE252/AW252-1)*100)&gt;100,"NM",IF(((BE252/AW252-1)*100)&lt;-50,"NM",(BE252/AW252-1)*100)))</f>
        <v>-3.0042918454935785</v>
      </c>
      <c r="BG252" s="110">
        <v>4.46</v>
      </c>
      <c r="BH252" s="61">
        <f>IF(ISERROR((BG252/AY252-1)*100),"NA",IF(((BG252/AY252-1)*100)&gt;100,"NM",IF(((BG252/AY252-1)*100)&lt;-50,"NM",(BG252/AY252-1)*100)))</f>
        <v>-3.0434782608695587</v>
      </c>
      <c r="BI252" s="110">
        <v>4.45</v>
      </c>
      <c r="BJ252" s="61">
        <f>IF(ISERROR((BI252/BA252-1)*100),"NA",IF(((BI252/BA252-1)*100)&gt;100,"NM",IF(((BI252/BA252-1)*100)&lt;-50,"NM",(BI252/BA252-1)*100)))</f>
        <v>-0.22421524663677195</v>
      </c>
      <c r="BK252" s="110">
        <v>4.43</v>
      </c>
      <c r="BL252" s="61">
        <f>IF(ISERROR((BK252/BC252-1)*100),"NA",IF(((BK252/BC252-1)*100)&gt;100,"NM",IF(((BK252/BC252-1)*100)&lt;-50,"NM",(BK252/BC252-1)*100)))</f>
        <v>-1.9043401240035451</v>
      </c>
      <c r="BM252" s="110">
        <v>4.43</v>
      </c>
      <c r="BN252" s="61">
        <f>IF(ISERROR((BM252/BE252-1)*100),"NA",IF(((BM252/BE252-1)*100)&gt;100,"NM",IF(((BM252/BE252-1)*100)&lt;-50,"NM",(BM252/BE252-1)*100)))</f>
        <v>-1.9911504424778736</v>
      </c>
      <c r="BO252" s="110">
        <v>4.37</v>
      </c>
      <c r="BP252" s="61">
        <f>IF(ISERROR((BO252/BG252-1)*100),"NA",IF(((BO252/BG252-1)*100)&gt;100,"NM",IF(((BO252/BG252-1)*100)&lt;-50,"NM",(BO252/BG252-1)*100)))</f>
        <v>-2.0179372197309364</v>
      </c>
      <c r="BQ252" s="110">
        <v>4.3600000000000003</v>
      </c>
      <c r="BR252" s="61">
        <f>IF(ISERROR((BQ252/BI252-1)*100),"NA",IF(((BQ252/BI252-1)*100)&gt;100,"NM",IF(((BQ252/BI252-1)*100)&lt;-50,"NM",(BQ252/BI252-1)*100)))</f>
        <v>-2.0224719101123556</v>
      </c>
      <c r="BS252" s="110">
        <v>4.3499999999999996</v>
      </c>
      <c r="BT252" s="61">
        <f>IF(ISERROR((BS252/BK252-1)*100),"NA",IF(((BS252/BK252-1)*100)&gt;100,"NM",IF(((BS252/BK252-1)*100)&lt;-50,"NM",(BS252/BK252-1)*100)))</f>
        <v>-1.8058690744921058</v>
      </c>
      <c r="BU252" s="110">
        <v>4.25</v>
      </c>
      <c r="BV252" s="61">
        <f>IF(ISERROR((BU252/BM252-1)*100),"NA",IF(((BU252/BM252-1)*100)&gt;100,"NM",IF(((BU252/BM252-1)*100)&lt;-50,"NM",(BU252/BM252-1)*100)))</f>
        <v>-4.0632054176072181</v>
      </c>
      <c r="BW252" s="110">
        <v>4.25</v>
      </c>
      <c r="BX252" s="61">
        <f>IF(ISERROR((BW252/BO252-1)*100),"NA",IF(((BW252/BO252-1)*100)&gt;100,"NM",IF(((BW252/BO252-1)*100)&lt;-50,"NM",(BW252/BO252-1)*100)))</f>
        <v>-2.7459954233409634</v>
      </c>
      <c r="BY252" s="110">
        <v>4.2</v>
      </c>
      <c r="BZ252" s="61">
        <f>IF(ISERROR((BY252/BQ252-1)*100),"NA",IF(((BY252/BQ252-1)*100)&gt;100,"NM",IF(((BY252/BQ252-1)*100)&lt;-50,"NM",(BY252/BQ252-1)*100)))</f>
        <v>-3.669724770642202</v>
      </c>
      <c r="CA252" s="110">
        <v>4.22</v>
      </c>
      <c r="CB252" s="61">
        <f>IF(ISERROR((CA252/BS252-1)*100),"NA",IF(((CA252/BS252-1)*100)&gt;100,"NM",IF(((CA252/BS252-1)*100)&lt;-50,"NM",(CA252/BS252-1)*100)))</f>
        <v>-2.9885057471264354</v>
      </c>
      <c r="CC252" s="110">
        <v>4.25</v>
      </c>
      <c r="CD252" s="61">
        <f>IF(ISERROR((CC252/BU252-1)*100),"NA",IF(((CC252/BU252-1)*100)&gt;100,"NM",IF(((CC252/BU252-1)*100)&lt;-50,"NM",(CC252/BU252-1)*100)))</f>
        <v>0</v>
      </c>
      <c r="CE252" s="110">
        <v>4.18</v>
      </c>
      <c r="CF252" s="61">
        <f>IF(ISERROR((CE252/BW252-1)*100),"NA",IF(((CE252/BW252-1)*100)&gt;100,"NM",IF(((CE252/BW252-1)*100)&lt;-50,"NM",(CE252/BW252-1)*100)))</f>
        <v>-1.6470588235294237</v>
      </c>
      <c r="CG252" s="110">
        <v>4.18</v>
      </c>
      <c r="CH252" s="61">
        <f>IF(ISERROR((CG252/BY252-1)*100),"NA",IF(((CG252/BY252-1)*100)&gt;100,"NM",IF(((CG252/BY252-1)*100)&lt;-50,"NM",(CG252/BY252-1)*100)))</f>
        <v>-0.4761904761904856</v>
      </c>
      <c r="CI252" s="110">
        <v>4.1500000000000004</v>
      </c>
      <c r="CJ252" s="61">
        <f>IF(ISERROR((CI252/CA252-1)*100),"NA",IF(((CI252/CA252-1)*100)&gt;100,"NM",IF(((CI252/CA252-1)*100)&lt;-50,"NM",(CI252/CA252-1)*100)))</f>
        <v>-1.6587677725118377</v>
      </c>
      <c r="CK252" s="110">
        <v>4.1399999999999997</v>
      </c>
      <c r="CL252" s="61">
        <f>IF(ISERROR((CK252/CC252-1)*100),"NA",IF(((CK252/CC252-1)*100)&gt;100,"NM",IF(((CK252/CC252-1)*100)&lt;-50,"NM",(CK252/CC252-1)*100)))</f>
        <v>-2.5882352941176578</v>
      </c>
      <c r="CM252" s="110">
        <v>4.09</v>
      </c>
      <c r="CN252" s="61">
        <f>IF(ISERROR((CM252/CE252-1)*100),"NA",IF(((CM252/CE252-1)*100)&gt;100,"NM",IF(((CM252/CE252-1)*100)&lt;-50,"NM",(CM252/CE252-1)*100)))</f>
        <v>-2.1531100478468845</v>
      </c>
      <c r="CO252" s="110">
        <v>4.09</v>
      </c>
      <c r="CP252" s="61">
        <f>IF(ISERROR((CO252/CG252-1)*100),"NA",IF(((CO252/CG252-1)*100)&gt;100,"NM",IF(((CO252/CG252-1)*100)&lt;-50,"NM",(CO252/CG252-1)*100)))</f>
        <v>-2.1531100478468845</v>
      </c>
      <c r="CQ252" s="110">
        <v>4.0999999999999996</v>
      </c>
      <c r="CR252" s="61">
        <f>IF(ISERROR((CQ252/CI252-1)*100),"NA",IF(((CQ252/CI252-1)*100)&gt;100,"NM",IF(((CQ252/CI252-1)*100)&lt;-50,"NM",(CQ252/CI252-1)*100)))</f>
        <v>-1.2048192771084487</v>
      </c>
      <c r="CS252" s="110">
        <v>3.99</v>
      </c>
      <c r="CT252" s="61">
        <f>IF(ISERROR((CS252/CK252-1)*100),"NA",IF(((CS252/CK252-1)*100)&gt;100,"NM",IF(((CS252/CK252-1)*100)&lt;-50,"NM",(CS252/CK252-1)*100)))</f>
        <v>-3.6231884057970842</v>
      </c>
      <c r="CU252" s="110">
        <v>3.97</v>
      </c>
      <c r="CV252" s="61">
        <f>IF(ISERROR((CU252/CM252-1)*100),"NA",IF(((CU252/CM252-1)*100)&gt;100,"NM",IF(((CU252/CM252-1)*100)&lt;-50,"NM",(CU252/CM252-1)*100)))</f>
        <v>-2.9339853300733409</v>
      </c>
      <c r="CW252" s="110">
        <v>3.93</v>
      </c>
      <c r="CX252" s="61">
        <f>IF(ISERROR((CW252/CO252-1)*100),"NA",IF(((CW252/CO252-1)*100)&gt;100,"NM",IF(((CW252/CO252-1)*100)&lt;-50,"NM",(CW252/CO252-1)*100)))</f>
        <v>-3.9119804400977953</v>
      </c>
      <c r="CY252" s="110">
        <v>3.94</v>
      </c>
      <c r="CZ252" s="61">
        <f>IF(ISERROR((CY252/CQ252-1)*100),"NA",IF(((CY252/CQ252-1)*100)&gt;100,"NM",IF(((CY252/CQ252-1)*100)&lt;-50,"NM",(CY252/CQ252-1)*100)))</f>
        <v>-3.9024390243902363</v>
      </c>
      <c r="DA252" s="110">
        <v>3.99</v>
      </c>
      <c r="DB252" s="61">
        <f>IF(ISERROR((DA252/CS252-1)*100),"NA",IF(((DA252/CS252-1)*100)&gt;100,"NM",IF(((DA252/CS252-1)*100)&lt;-50,"NM",(DA252/CS252-1)*100)))</f>
        <v>0</v>
      </c>
      <c r="DC252" s="110">
        <v>3.92</v>
      </c>
      <c r="DD252" s="61">
        <f>IF(ISERROR((DC252/CU252-1)*100),"NA",IF(((DC252/CU252-1)*100)&gt;100,"NM",IF(((DC252/CU252-1)*100)&lt;-50,"NM",(DC252/CU252-1)*100)))</f>
        <v>-1.2594458438287215</v>
      </c>
      <c r="DE252" s="110">
        <v>3.92</v>
      </c>
      <c r="DF252" s="61">
        <f>IF(ISERROR((DE252/CW252-1)*100),"NA",IF(((DE252/CW252-1)*100)&gt;100,"NM",IF(((DE252/CW252-1)*100)&lt;-50,"NM",(DE252/CW252-1)*100)))</f>
        <v>-0.25445292620865922</v>
      </c>
      <c r="DG252" s="110">
        <v>3.93</v>
      </c>
      <c r="DH252" s="61">
        <f>IF(ISERROR((DG252/CY252-1)*100),"NA",IF(((DG252/CY252-1)*100)&gt;100,"NM",IF(((DG252/CY252-1)*100)&lt;-50,"NM",(DG252/CY252-1)*100)))</f>
        <v>-0.25380710659897998</v>
      </c>
      <c r="DI252" s="110">
        <v>3.96</v>
      </c>
      <c r="DJ252" s="61">
        <f>IF(ISERROR((DI252/DA252-1)*100),"NA",IF(((DI252/DA252-1)*100)&gt;100,"NM",IF(((DI252/DA252-1)*100)&lt;-50,"NM",(DI252/DA252-1)*100)))</f>
        <v>-0.75187969924812581</v>
      </c>
      <c r="DK252" s="110">
        <v>3.94</v>
      </c>
      <c r="DL252" s="61">
        <f>IF(ISERROR((DK252/DC252-1)*100),"NA",IF(((DK252/DC252-1)*100)&gt;100,"NM",IF(((DK252/DC252-1)*100)&lt;-50,"NM",(DK252/DC252-1)*100)))</f>
        <v>0.51020408163264808</v>
      </c>
      <c r="DM252" s="110">
        <v>3.96</v>
      </c>
      <c r="DN252" s="130">
        <f t="shared" si="1801"/>
        <v>1.0204081632652962</v>
      </c>
      <c r="DO252" s="110">
        <v>3.94</v>
      </c>
      <c r="DP252" s="130">
        <f t="shared" si="1801"/>
        <v>0.25445292620864812</v>
      </c>
      <c r="DQ252" s="110">
        <v>3.96</v>
      </c>
      <c r="DR252" s="130">
        <f t="shared" si="1801"/>
        <v>0</v>
      </c>
      <c r="DS252" s="110">
        <v>3.88</v>
      </c>
      <c r="DT252" s="130">
        <f t="shared" si="1801"/>
        <v>-1.5228426395939132</v>
      </c>
      <c r="DU252" s="110">
        <v>3.97</v>
      </c>
      <c r="DV252" s="130">
        <f t="shared" si="1801"/>
        <v>0.2525252525252597</v>
      </c>
      <c r="DW252" s="110">
        <v>3.92</v>
      </c>
      <c r="DX252" s="110">
        <v>3.92</v>
      </c>
      <c r="DY252" s="110">
        <v>3.97</v>
      </c>
      <c r="DZ252" s="130">
        <f t="shared" si="1801"/>
        <v>0.2525252525252597</v>
      </c>
      <c r="EA252" s="110">
        <v>3.92</v>
      </c>
      <c r="EB252" s="130">
        <f t="shared" si="1802"/>
        <v>1.0309278350515427</v>
      </c>
      <c r="EC252" s="110">
        <v>3.92</v>
      </c>
      <c r="ED252" s="130">
        <f t="shared" si="1803"/>
        <v>-1.2594458438287215</v>
      </c>
      <c r="EE252" s="110">
        <v>3.89</v>
      </c>
      <c r="EF252" s="130">
        <f t="shared" si="1804"/>
        <v>-0.76530612244897211</v>
      </c>
      <c r="EG252" s="110">
        <v>3.85</v>
      </c>
      <c r="EH252" s="130">
        <f t="shared" si="1805"/>
        <v>-3.0226700251889227</v>
      </c>
      <c r="EI252" s="110">
        <v>3.85</v>
      </c>
      <c r="EJ252" s="130">
        <f t="shared" si="1806"/>
        <v>-1.7857142857142794</v>
      </c>
      <c r="EK252" s="110">
        <v>3.82</v>
      </c>
      <c r="EL252" s="130">
        <f t="shared" si="1807"/>
        <v>-2.5510204081632626</v>
      </c>
      <c r="EM252" s="110">
        <v>3.83</v>
      </c>
      <c r="EN252" s="130">
        <f t="shared" si="1808"/>
        <v>-1.5424164524421635</v>
      </c>
      <c r="EO252" s="110">
        <v>3.87</v>
      </c>
      <c r="EP252" s="130">
        <f t="shared" si="1809"/>
        <v>0.51948051948051965</v>
      </c>
      <c r="EQ252" s="110"/>
      <c r="ER252" s="130" t="str">
        <f t="shared" si="1810"/>
        <v>NM</v>
      </c>
      <c r="ES252" s="110"/>
      <c r="ET252" s="130" t="str">
        <f t="shared" si="1811"/>
        <v>NM</v>
      </c>
      <c r="EU252" s="110"/>
      <c r="EV252" s="130" t="str">
        <f t="shared" si="1812"/>
        <v>NM</v>
      </c>
      <c r="EW252" s="110"/>
      <c r="EX252" s="130" t="str">
        <f t="shared" si="1813"/>
        <v>NM</v>
      </c>
      <c r="EY252" s="64"/>
      <c r="EZ252" s="558"/>
      <c r="FA252" s="64"/>
      <c r="FB252" s="66"/>
      <c r="FC252" s="71"/>
      <c r="FD252" s="82"/>
      <c r="FE252" s="70"/>
      <c r="FF252" s="82"/>
      <c r="FG252" s="70"/>
      <c r="FH252" s="82"/>
      <c r="FI252" s="70"/>
      <c r="FJ252" s="82"/>
      <c r="FK252" s="70"/>
      <c r="FL252" s="111"/>
      <c r="FM252" s="61"/>
      <c r="FN252" s="111">
        <f>AVERAGE(AO252,AQ252,AS252,AU252)</f>
        <v>4.7</v>
      </c>
      <c r="FO252" s="61"/>
      <c r="FP252" s="111">
        <f>AVERAGE(AQ252,AS252,AU252,AW252)</f>
        <v>4.6900000000000004</v>
      </c>
      <c r="FQ252" s="61">
        <f>IF(ISERROR((FP252/FN252-1)*100),"NA",IF(((FP252/FN252-1)*100)&gt;100,"NM",IF(((FP252/FN252-1)*100)&lt;-50,"NM",(FP252/FN252-1)*100)))</f>
        <v>-0.21276595744680327</v>
      </c>
      <c r="FR252" s="111">
        <f>AVERAGE(AY252,BA252,BC252,BE252)</f>
        <v>4.5239999999999991</v>
      </c>
      <c r="FS252" s="61">
        <f>IF(ISERROR((FR252/FP252-1)*100),"NA",IF(((FR252/FP252-1)*100)&gt;100,"NM",IF(((FR252/FP252-1)*100)&lt;-50,"NM",(FR252/FP252-1)*100)))</f>
        <v>-3.5394456289978948</v>
      </c>
      <c r="FT252" s="165">
        <f>AVERAGE(BG252,BI252,BK252,BM252)</f>
        <v>4.4424999999999999</v>
      </c>
      <c r="FU252" s="61">
        <f>IF(ISERROR((FT252/FR252-1)*100),"NA",IF(((FT252/FR252-1)*100)&gt;100,"NM",IF(((FT252/FR252-1)*100)&lt;-50,"NM",(FT252/FR252-1)*100)))</f>
        <v>-1.8015030946065269</v>
      </c>
      <c r="FV252" s="165">
        <f>AVERAGE(BO252,BQ252,BS252,BU252)</f>
        <v>4.3324999999999996</v>
      </c>
      <c r="FW252" s="61">
        <f>IF(ISERROR((FV252/FT252-1)*100),"NA",IF(((FV252/FT252-1)*100)&gt;100,"NM",IF(((FV252/FT252-1)*100)&lt;-50,"NM",(FV252/FT252-1)*100)))</f>
        <v>-2.4760832864378246</v>
      </c>
      <c r="FX252" s="165">
        <f>AVERAGE(BW252,BY252,CA252,CC252)</f>
        <v>4.2299999999999995</v>
      </c>
      <c r="FY252" s="61">
        <f>IF(ISERROR((FX252/FV252-1)*100),"NA",IF(((FX252/FV252-1)*100)&gt;100,"NM",IF(((FX252/FV252-1)*100)&lt;-50,"NM",(FX252/FV252-1)*100)))</f>
        <v>-2.3658395845354896</v>
      </c>
      <c r="FZ252" s="165">
        <f>AVERAGE(CE252,CG252,CI252,CK252)</f>
        <v>4.1624999999999996</v>
      </c>
      <c r="GA252" s="61">
        <f>IF(ISERROR((FZ252/FX252-1)*100),"NA",IF(((FZ252/FX252-1)*100)&gt;100,"NM",IF(((FZ252/FX252-1)*100)&lt;-50,"NM",(FZ252/FX252-1)*100)))</f>
        <v>-1.5957446808510634</v>
      </c>
      <c r="GB252" s="165">
        <f>AVERAGE(CM252,CO252,CQ252,CS252)</f>
        <v>4.0674999999999999</v>
      </c>
      <c r="GC252" s="61">
        <f>IF(ISERROR((GB252/FZ252-1)*100),"NA",IF(((GB252/FZ252-1)*100)&gt;100,"NM",IF(((GB252/FZ252-1)*100)&lt;-50,"NM",(GB252/FZ252-1)*100)))</f>
        <v>-2.2822822822822775</v>
      </c>
      <c r="GD252" s="165"/>
      <c r="GE252" s="61"/>
      <c r="GF252" s="165"/>
      <c r="GG252" s="61"/>
      <c r="GH252" s="165"/>
      <c r="GI252" s="61"/>
      <c r="GJ252" s="165"/>
      <c r="GK252" s="61"/>
      <c r="GL252" s="165"/>
      <c r="GM252" s="61"/>
      <c r="GN252" s="165"/>
      <c r="GO252" s="61"/>
      <c r="GP252" s="165"/>
      <c r="GQ252" s="61"/>
      <c r="GR252" s="110"/>
      <c r="GS252" s="61"/>
      <c r="GT252" s="110"/>
      <c r="GU252" s="61"/>
      <c r="GV252" s="110"/>
      <c r="GW252" s="61"/>
      <c r="GX252" s="110"/>
      <c r="GY252" s="61"/>
      <c r="GZ252" s="61"/>
      <c r="HA252" s="61"/>
      <c r="HB252" s="452"/>
      <c r="HC252"/>
      <c r="HD252"/>
      <c r="HE252"/>
      <c r="HF252"/>
      <c r="HG252"/>
      <c r="HH252"/>
    </row>
    <row r="253" spans="2:216" s="5" customFormat="1" ht="12.75" customHeight="1" x14ac:dyDescent="0.2">
      <c r="B253" s="68" t="s">
        <v>330</v>
      </c>
      <c r="C253" s="66"/>
      <c r="D253" s="70"/>
      <c r="E253" s="66"/>
      <c r="F253" s="71"/>
      <c r="G253" s="66"/>
      <c r="H253" s="71"/>
      <c r="I253" s="82"/>
      <c r="J253" s="61"/>
      <c r="K253" s="82"/>
      <c r="L253" s="61"/>
      <c r="M253" s="82"/>
      <c r="N253" s="61"/>
      <c r="O253" s="82"/>
      <c r="P253" s="61"/>
      <c r="Q253" s="82"/>
      <c r="R253" s="61"/>
      <c r="S253" s="82"/>
      <c r="T253" s="61"/>
      <c r="U253" s="82"/>
      <c r="V253" s="61"/>
      <c r="W253" s="82"/>
      <c r="X253" s="61"/>
      <c r="Y253" s="82"/>
      <c r="Z253" s="61"/>
      <c r="AA253" s="82"/>
      <c r="AB253" s="61"/>
      <c r="AC253" s="82"/>
      <c r="AD253" s="61"/>
      <c r="AE253" s="82"/>
      <c r="AF253" s="61"/>
      <c r="AG253" s="82"/>
      <c r="AH253" s="61"/>
      <c r="AI253" s="82"/>
      <c r="AJ253" s="61"/>
      <c r="AK253" s="82"/>
      <c r="AL253" s="61"/>
      <c r="AM253" s="82"/>
      <c r="AN253" s="61"/>
      <c r="AO253" s="82"/>
      <c r="AP253" s="61"/>
      <c r="AQ253" s="82">
        <f>AQ251-AQ252</f>
        <v>1.5700000000000003</v>
      </c>
      <c r="AR253" s="61" t="str">
        <f>IF(ISERROR((AQ253/AI253-1)*100),"NA",IF(((AQ253/AI253-1)*100)&gt;100,"NM",IF(((AQ253/AI253-1)*100)&lt;-50,"NM",(AQ253/AI253-1)*100)))</f>
        <v>NA</v>
      </c>
      <c r="AS253" s="82">
        <f>AS251-AS252+0.01</f>
        <v>1.7099999999999993</v>
      </c>
      <c r="AT253" s="61" t="str">
        <f>IF(ISERROR((AS253/AK253-1)*100),"NA",IF(((AS253/AK253-1)*100)&gt;100,"NM",IF(((AS253/AK253-1)*100)&lt;-50,"NM",(AS253/AK253-1)*100)))</f>
        <v>NA</v>
      </c>
      <c r="AU253" s="82">
        <f>AU251-AU252</f>
        <v>1.6499999999999995</v>
      </c>
      <c r="AV253" s="61" t="str">
        <f>IF(ISERROR((AU253/AM253-1)*100),"NA",IF(((AU253/AM253-1)*100)&gt;100,"NM",IF(((AU253/AM253-1)*100)&lt;-50,"NM",(AU253/AM253-1)*100)))</f>
        <v>NA</v>
      </c>
      <c r="AW253" s="82">
        <f>AW251-AW252</f>
        <v>1.5999999999999996</v>
      </c>
      <c r="AX253" s="61" t="str">
        <f>IF(ISERROR((AW253/AO253-1)*100),"NA",IF(((AW253/AO253-1)*100)&gt;100,"NM",IF(((AW253/AO253-1)*100)&lt;-50,"NM",(AW253/AO253-1)*100)))</f>
        <v>NA</v>
      </c>
      <c r="AY253" s="82">
        <f>AY251-AY252</f>
        <v>1.8800000000000008</v>
      </c>
      <c r="AZ253" s="61">
        <f>IF(ISERROR((AY253/AQ253-1)*100),"NA",IF(((AY253/AQ253-1)*100)&gt;100,"NM",IF(((AY253/AQ253-1)*100)&lt;-50,"NM",(AY253/AQ253-1)*100)))</f>
        <v>19.745222929936325</v>
      </c>
      <c r="BA253" s="82">
        <f>BA251-BA252</f>
        <v>1.7599999999999998</v>
      </c>
      <c r="BB253" s="61">
        <f>IF(ISERROR((BA253/AS253-1)*100),"NA",IF(((BA253/AS253-1)*100)&gt;100,"NM",IF(((BA253/AS253-1)*100)&lt;-50,"NM",(BA253/AS253-1)*100)))</f>
        <v>2.9239766081871732</v>
      </c>
      <c r="BC253" s="82">
        <f>BC251-BC252</f>
        <v>1.5679999999999996</v>
      </c>
      <c r="BD253" s="61">
        <f>IF(ISERROR((BC253/AU253-1)*100),"NA",IF(((BC253/AU253-1)*100)&gt;100,"NM",IF(((BC253/AU253-1)*100)&lt;-50,"NM",(BC253/AU253-1)*100)))</f>
        <v>-4.9696969696969573</v>
      </c>
      <c r="BE253" s="82">
        <f>BE251-BE252</f>
        <v>1.9200000000000008</v>
      </c>
      <c r="BF253" s="61">
        <f>IF(ISERROR((BE253/AW253-1)*100),"NA",IF(((BE253/AW253-1)*100)&gt;100,"NM",IF(((BE253/AW253-1)*100)&lt;-50,"NM",(BE253/AW253-1)*100)))</f>
        <v>20.000000000000085</v>
      </c>
      <c r="BG253" s="82">
        <f>BG251-BG252</f>
        <v>2.0200000000000005</v>
      </c>
      <c r="BH253" s="61">
        <f>IF(ISERROR((BG253/AY253-1)*100),"NA",IF(((BG253/AY253-1)*100)&gt;100,"NM",IF(((BG253/AY253-1)*100)&lt;-50,"NM",(BG253/AY253-1)*100)))</f>
        <v>7.4468085106382809</v>
      </c>
      <c r="BI253" s="82">
        <f>BI251-BI252</f>
        <v>2.54</v>
      </c>
      <c r="BJ253" s="61">
        <f>IF(ISERROR((BI253/BA253-1)*100),"NA",IF(((BI253/BA253-1)*100)&gt;100,"NM",IF(((BI253/BA253-1)*100)&lt;-50,"NM",(BI253/BA253-1)*100)))</f>
        <v>44.318181818181834</v>
      </c>
      <c r="BK253" s="82">
        <f>BK251-BK252</f>
        <v>1.6500000000000004</v>
      </c>
      <c r="BL253" s="61">
        <f>IF(ISERROR((BK253/BC253-1)*100),"NA",IF(((BK253/BC253-1)*100)&gt;100,"NM",IF(((BK253/BC253-1)*100)&lt;-50,"NM",(BK253/BC253-1)*100)))</f>
        <v>5.2295918367347483</v>
      </c>
      <c r="BM253" s="82">
        <f>BM251-BM252</f>
        <v>1.83</v>
      </c>
      <c r="BN253" s="61">
        <f>IF(ISERROR((BM253/BE253-1)*100),"NA",IF(((BM253/BE253-1)*100)&gt;100,"NM",IF(((BM253/BE253-1)*100)&lt;-50,"NM",(BM253/BE253-1)*100)))</f>
        <v>-4.6875000000000338</v>
      </c>
      <c r="BO253" s="82">
        <f>BO251-BO252</f>
        <v>1.67</v>
      </c>
      <c r="BP253" s="61">
        <f>IF(ISERROR((BO253/BG253-1)*100),"NA",IF(((BO253/BG253-1)*100)&gt;100,"NM",IF(((BO253/BG253-1)*100)&lt;-50,"NM",(BO253/BG253-1)*100)))</f>
        <v>-17.326732673267355</v>
      </c>
      <c r="BQ253" s="82">
        <f>BQ251-BQ252</f>
        <v>1.88</v>
      </c>
      <c r="BR253" s="61">
        <f>IF(ISERROR((BQ253/BI253-1)*100),"NA",IF(((BQ253/BI253-1)*100)&gt;100,"NM",IF(((BQ253/BI253-1)*100)&lt;-50,"NM",(BQ253/BI253-1)*100)))</f>
        <v>-25.984251968503948</v>
      </c>
      <c r="BS253" s="82">
        <f>BS251-BS252</f>
        <v>1.9000000000000004</v>
      </c>
      <c r="BT253" s="61">
        <f>IF(ISERROR((BS253/BK253-1)*100),"NA",IF(((BS253/BK253-1)*100)&gt;100,"NM",IF(((BS253/BK253-1)*100)&lt;-50,"NM",(BS253/BK253-1)*100)))</f>
        <v>15.151515151515138</v>
      </c>
      <c r="BU253" s="82">
        <f>BU251-BU252</f>
        <v>0.96999999999999975</v>
      </c>
      <c r="BV253" s="61">
        <f>IF(ISERROR((BU253/BM253-1)*100),"NA",IF(((BU253/BM253-1)*100)&gt;100,"NM",IF(((BU253/BM253-1)*100)&lt;-50,"NM",(BU253/BM253-1)*100)))</f>
        <v>-46.994535519125705</v>
      </c>
      <c r="BW253" s="82">
        <f>BW251-BW252</f>
        <v>1.5199999999999996</v>
      </c>
      <c r="BX253" s="61">
        <f>IF(ISERROR((BW253/BO253-1)*100),"NA",IF(((BW253/BO253-1)*100)&gt;100,"NM",IF(((BW253/BO253-1)*100)&lt;-50,"NM",(BW253/BO253-1)*100)))</f>
        <v>-8.9820359281437394</v>
      </c>
      <c r="BY253" s="82">
        <f>BY251-BY252</f>
        <v>1.1799999999999997</v>
      </c>
      <c r="BZ253" s="61">
        <f>IF(ISERROR((BY253/BQ253-1)*100),"NA",IF(((BY253/BQ253-1)*100)&gt;100,"NM",IF(((BY253/BQ253-1)*100)&lt;-50,"NM",(BY253/BQ253-1)*100)))</f>
        <v>-37.234042553191507</v>
      </c>
      <c r="CA253" s="82">
        <f>CA251-CA252</f>
        <v>1.5</v>
      </c>
      <c r="CB253" s="61">
        <f>IF(ISERROR((CA253/BS253-1)*100),"NA",IF(((CA253/BS253-1)*100)&gt;100,"NM",IF(((CA253/BS253-1)*100)&lt;-50,"NM",(CA253/BS253-1)*100)))</f>
        <v>-21.052631578947377</v>
      </c>
      <c r="CC253" s="82">
        <f>CC251-CC252</f>
        <v>1.75</v>
      </c>
      <c r="CD253" s="61">
        <f>IF(ISERROR((CC253/BU253-1)*100),"NA",IF(((CC253/BU253-1)*100)&gt;100,"NM",IF(((CC253/BU253-1)*100)&lt;-50,"NM",(CC253/BU253-1)*100)))</f>
        <v>80.41237113402066</v>
      </c>
      <c r="CE253" s="82">
        <f>CE251-CE252</f>
        <v>1.87</v>
      </c>
      <c r="CF253" s="61">
        <f>IF(ISERROR((CE253/BW253-1)*100),"NA",IF(((CE253/BW253-1)*100)&gt;100,"NM",IF(((CE253/BW253-1)*100)&lt;-50,"NM",(CE253/BW253-1)*100)))</f>
        <v>23.026315789473717</v>
      </c>
      <c r="CG253" s="82">
        <f>CG251-CG252</f>
        <v>1.9900000000000002</v>
      </c>
      <c r="CH253" s="61">
        <f>IF(ISERROR((CG253/BY253-1)*100),"NA",IF(((CG253/BY253-1)*100)&gt;100,"NM",IF(((CG253/BY253-1)*100)&lt;-50,"NM",(CG253/BY253-1)*100)))</f>
        <v>68.64406779661023</v>
      </c>
      <c r="CI253" s="82">
        <f>CI251-CI252</f>
        <v>1.92</v>
      </c>
      <c r="CJ253" s="61">
        <f>IF(ISERROR((CI253/CA253-1)*100),"NA",IF(((CI253/CA253-1)*100)&gt;100,"NM",IF(((CI253/CA253-1)*100)&lt;-50,"NM",(CI253/CA253-1)*100)))</f>
        <v>28.000000000000004</v>
      </c>
      <c r="CK253" s="82">
        <f>CK251-CK252</f>
        <v>2.0900000000000007</v>
      </c>
      <c r="CL253" s="61">
        <f>IF(ISERROR((CK253/CC253-1)*100),"NA",IF(((CK253/CC253-1)*100)&gt;100,"NM",IF(((CK253/CC253-1)*100)&lt;-50,"NM",(CK253/CC253-1)*100)))</f>
        <v>19.428571428571463</v>
      </c>
      <c r="CM253" s="82">
        <f>CM251-CM252</f>
        <v>2.1799999999999997</v>
      </c>
      <c r="CN253" s="61">
        <f>IF(ISERROR((CM253/CE253-1)*100),"NA",IF(((CM253/CE253-1)*100)&gt;100,"NM",IF(((CM253/CE253-1)*100)&lt;-50,"NM",(CM253/CE253-1)*100)))</f>
        <v>16.577540106951851</v>
      </c>
      <c r="CO253" s="82">
        <f>CO251-CO252</f>
        <v>2.16</v>
      </c>
      <c r="CP253" s="61">
        <f>IF(ISERROR((CO253/CG253-1)*100),"NA",IF(((CO253/CG253-1)*100)&gt;100,"NM",IF(((CO253/CG253-1)*100)&lt;-50,"NM",(CO253/CG253-1)*100)))</f>
        <v>8.5427135678392006</v>
      </c>
      <c r="CQ253" s="82">
        <f>CQ251-CQ252</f>
        <v>1.8600000000000003</v>
      </c>
      <c r="CR253" s="61">
        <f>IF(ISERROR((CQ253/CI253-1)*100),"NA",IF(((CQ253/CI253-1)*100)&gt;100,"NM",IF(((CQ253/CI253-1)*100)&lt;-50,"NM",(CQ253/CI253-1)*100)))</f>
        <v>-3.1249999999999778</v>
      </c>
      <c r="CS253" s="82">
        <f>CS251-CS252</f>
        <v>1.75</v>
      </c>
      <c r="CT253" s="61">
        <f>IF(ISERROR((CS253/CK253-1)*100),"NA",IF(((CS253/CK253-1)*100)&gt;100,"NM",IF(((CS253/CK253-1)*100)&lt;-50,"NM",(CS253/CK253-1)*100)))</f>
        <v>-16.267942583732086</v>
      </c>
      <c r="CU253" s="82">
        <f>CU251-CU252</f>
        <v>1.9899999999999998</v>
      </c>
      <c r="CV253" s="61">
        <f>IF(ISERROR((CU253/CM253-1)*100),"NA",IF(((CU253/CM253-1)*100)&gt;100,"NM",IF(((CU253/CM253-1)*100)&lt;-50,"NM",(CU253/CM253-1)*100)))</f>
        <v>-8.7155963302752326</v>
      </c>
      <c r="CW253" s="82">
        <f>CW251-CW252</f>
        <v>2.0899999999999994</v>
      </c>
      <c r="CX253" s="61">
        <f>IF(ISERROR((CW253/CO253-1)*100),"NA",IF(((CW253/CO253-1)*100)&gt;100,"NM",IF(((CW253/CO253-1)*100)&lt;-50,"NM",(CW253/CO253-1)*100)))</f>
        <v>-3.2407407407407773</v>
      </c>
      <c r="CY253" s="82">
        <f>CY251-CY252</f>
        <v>1.7600000000000002</v>
      </c>
      <c r="CZ253" s="61">
        <f>IF(ISERROR((CY253/CQ253-1)*100),"NA",IF(((CY253/CQ253-1)*100)&gt;100,"NM",IF(((CY253/CQ253-1)*100)&lt;-50,"NM",(CY253/CQ253-1)*100)))</f>
        <v>-5.3763440860215113</v>
      </c>
      <c r="DA253" s="82">
        <f>DA251-DA252</f>
        <v>2.08</v>
      </c>
      <c r="DB253" s="61">
        <f>IF(ISERROR((DA253/CS253-1)*100),"NA",IF(((DA253/CS253-1)*100)&gt;100,"NM",IF(((DA253/CS253-1)*100)&lt;-50,"NM",(DA253/CS253-1)*100)))</f>
        <v>18.857142857142861</v>
      </c>
      <c r="DC253" s="82">
        <f>DC251-DC252</f>
        <v>1.71</v>
      </c>
      <c r="DD253" s="61">
        <f>IF(ISERROR((DC253/CU253-1)*100),"NA",IF(((DC253/CU253-1)*100)&gt;100,"NM",IF(((DC253/CU253-1)*100)&lt;-50,"NM",(DC253/CU253-1)*100)))</f>
        <v>-14.070351758793965</v>
      </c>
      <c r="DE253" s="82">
        <f>DE251-DE252</f>
        <v>1.9800000000000004</v>
      </c>
      <c r="DF253" s="61">
        <f>IF(ISERROR((DE253/CW253-1)*100),"NA",IF(((DE253/CW253-1)*100)&gt;100,"NM",IF(((DE253/CW253-1)*100)&lt;-50,"NM",(DE253/CW253-1)*100)))</f>
        <v>-5.2631578947367919</v>
      </c>
      <c r="DG253" s="82">
        <f>DG251-DG252</f>
        <v>1.8299999999999996</v>
      </c>
      <c r="DH253" s="61">
        <f>IF(ISERROR((DG253/CY253-1)*100),"NA",IF(((DG253/CY253-1)*100)&gt;100,"NM",IF(((DG253/CY253-1)*100)&lt;-50,"NM",(DG253/CY253-1)*100)))</f>
        <v>3.9772727272726849</v>
      </c>
      <c r="DI253" s="82">
        <f>DI251-DI252</f>
        <v>1.8099999999999996</v>
      </c>
      <c r="DJ253" s="61">
        <f>IF(ISERROR((DI253/DA253-1)*100),"NA",IF(((DI253/DA253-1)*100)&gt;100,"NM",IF(((DI253/DA253-1)*100)&lt;-50,"NM",(DI253/DA253-1)*100)))</f>
        <v>-12.980769230769251</v>
      </c>
      <c r="DK253" s="82">
        <f>DK251-DK252</f>
        <v>1.7399999999999998</v>
      </c>
      <c r="DL253" s="61">
        <f>IF(ISERROR((DK253/DC253-1)*100),"NA",IF(((DK253/DC253-1)*100)&gt;100,"NM",IF(((DK253/DC253-1)*100)&lt;-50,"NM",(DK253/DC253-1)*100)))</f>
        <v>1.754385964912264</v>
      </c>
      <c r="DM253" s="82">
        <f>DM251-DM252</f>
        <v>1.7599999999999998</v>
      </c>
      <c r="DN253" s="130">
        <f t="shared" si="1801"/>
        <v>-11.111111111111139</v>
      </c>
      <c r="DO253" s="82">
        <f>DO251-DO252</f>
        <v>1.8000000000000003</v>
      </c>
      <c r="DP253" s="130">
        <f t="shared" si="1801"/>
        <v>-1.6393442622950505</v>
      </c>
      <c r="DQ253" s="82">
        <f>DQ251-DQ252</f>
        <v>1.7599999999999998</v>
      </c>
      <c r="DR253" s="130">
        <f t="shared" si="1801"/>
        <v>-2.7624309392265123</v>
      </c>
      <c r="DS253" s="82">
        <f>DS251-DS252</f>
        <v>1.67</v>
      </c>
      <c r="DT253" s="130">
        <f t="shared" si="1801"/>
        <v>-4.022988505747116</v>
      </c>
      <c r="DU253" s="82">
        <f>DU251-DU252</f>
        <v>1.5299999999999998</v>
      </c>
      <c r="DV253" s="130">
        <f t="shared" si="1801"/>
        <v>-13.068181818181824</v>
      </c>
      <c r="DW253" s="82">
        <f>DW251-DW252</f>
        <v>1.83</v>
      </c>
      <c r="DX253" s="82">
        <f t="shared" ref="DX253:DY253" si="1814">DX251-DX252</f>
        <v>1.88</v>
      </c>
      <c r="DY253" s="82">
        <f t="shared" si="1814"/>
        <v>1.44</v>
      </c>
      <c r="DZ253" s="130">
        <f t="shared" si="1801"/>
        <v>-18.181818181818176</v>
      </c>
      <c r="EA253" s="82">
        <f t="shared" ref="EA253:EC253" si="1815">EA251-EA252</f>
        <v>1.3200000000000003</v>
      </c>
      <c r="EB253" s="130">
        <f t="shared" si="1802"/>
        <v>-20.958083832335305</v>
      </c>
      <c r="EC253" s="82">
        <f t="shared" si="1815"/>
        <v>1.4699999999999998</v>
      </c>
      <c r="ED253" s="130">
        <f t="shared" si="1803"/>
        <v>-3.9215686274509887</v>
      </c>
      <c r="EE253" s="82">
        <f t="shared" ref="EE253:EG253" si="1816">EE251-EE252</f>
        <v>1.7499999999999996</v>
      </c>
      <c r="EF253" s="130">
        <f t="shared" si="1804"/>
        <v>-4.371584699453579</v>
      </c>
      <c r="EG253" s="82">
        <f t="shared" si="1816"/>
        <v>1.6300000000000003</v>
      </c>
      <c r="EH253" s="130">
        <f t="shared" si="1805"/>
        <v>13.194444444444464</v>
      </c>
      <c r="EI253" s="82">
        <f t="shared" ref="EI253:EK253" si="1817">EI251-EI252</f>
        <v>1.6</v>
      </c>
      <c r="EJ253" s="130">
        <f t="shared" si="1806"/>
        <v>21.212121212121193</v>
      </c>
      <c r="EK253" s="82">
        <f t="shared" si="1817"/>
        <v>1.6700000000000004</v>
      </c>
      <c r="EL253" s="130">
        <f t="shared" si="1807"/>
        <v>13.605442176870785</v>
      </c>
      <c r="EM253" s="82">
        <f t="shared" ref="EM253" si="1818">EM251-EM252</f>
        <v>1.5</v>
      </c>
      <c r="EN253" s="130">
        <f t="shared" si="1808"/>
        <v>-14.285714285714269</v>
      </c>
      <c r="EO253" s="82">
        <f t="shared" ref="EO253" si="1819">EO251-EO252</f>
        <v>1.46</v>
      </c>
      <c r="EP253" s="130">
        <f t="shared" si="1809"/>
        <v>-10.429447852760754</v>
      </c>
      <c r="EQ253" s="82"/>
      <c r="ER253" s="130" t="str">
        <f t="shared" si="1810"/>
        <v>NM</v>
      </c>
      <c r="ES253" s="82"/>
      <c r="ET253" s="130" t="str">
        <f t="shared" si="1811"/>
        <v>NM</v>
      </c>
      <c r="EU253" s="82"/>
      <c r="EV253" s="130" t="str">
        <f t="shared" si="1812"/>
        <v>NM</v>
      </c>
      <c r="EW253" s="82"/>
      <c r="EX253" s="130" t="str">
        <f t="shared" si="1813"/>
        <v>NM</v>
      </c>
      <c r="EY253" s="64"/>
      <c r="EZ253" s="558"/>
      <c r="FA253" s="64"/>
      <c r="FB253" s="66"/>
      <c r="FC253" s="71"/>
      <c r="FD253" s="82"/>
      <c r="FE253" s="70"/>
      <c r="FF253" s="82"/>
      <c r="FG253" s="70"/>
      <c r="FH253" s="82"/>
      <c r="FI253" s="70"/>
      <c r="FJ253" s="82"/>
      <c r="FK253" s="70"/>
      <c r="FL253" s="111"/>
      <c r="FM253" s="61"/>
      <c r="FN253" s="111">
        <f>FN251-FN252</f>
        <v>1.6399999999999997</v>
      </c>
      <c r="FO253" s="61"/>
      <c r="FP253" s="111">
        <f>FP251-FP252</f>
        <v>1.63</v>
      </c>
      <c r="FQ253" s="61">
        <f>IF(ISERROR((FP253/FN253-1)*100),"NA",IF(((FP253/FN253-1)*100)&gt;100,"NM",IF(((FP253/FN253-1)*100)&lt;-50,"NM",(FP253/FN253-1)*100)))</f>
        <v>-0.60975609756096505</v>
      </c>
      <c r="FR253" s="111">
        <f>FR251-FR252</f>
        <v>1.7820000000000009</v>
      </c>
      <c r="FS253" s="61">
        <f>IF(ISERROR((FR253/FP253-1)*100),"NA",IF(((FR253/FP253-1)*100)&gt;100,"NM",IF(((FR253/FP253-1)*100)&lt;-50,"NM",(FR253/FP253-1)*100)))</f>
        <v>9.3251533742331851</v>
      </c>
      <c r="FT253" s="111">
        <f>FT251-FT252</f>
        <v>2.0100000000000007</v>
      </c>
      <c r="FU253" s="61">
        <f>IF(ISERROR((FT253/FR253-1)*100),"NA",IF(((FT253/FR253-1)*100)&gt;100,"NM",IF(((FT253/FR253-1)*100)&lt;-50,"NM",(FT253/FR253-1)*100)))</f>
        <v>12.794612794612782</v>
      </c>
      <c r="FV253" s="111">
        <f>FV251-FV252</f>
        <v>1.6050000000000004</v>
      </c>
      <c r="FW253" s="61">
        <f>IF(ISERROR((FV253/FT253-1)*100),"NA",IF(((FV253/FT253-1)*100)&gt;100,"NM",IF(((FV253/FT253-1)*100)&lt;-50,"NM",(FV253/FT253-1)*100)))</f>
        <v>-20.149253731343286</v>
      </c>
      <c r="FX253" s="111">
        <f>FX251-FX252</f>
        <v>1.4874999999999998</v>
      </c>
      <c r="FY253" s="61">
        <f>IF(ISERROR((FX253/FV253-1)*100),"NA",IF(((FX253/FV253-1)*100)&gt;100,"NM",IF(((FX253/FV253-1)*100)&lt;-50,"NM",(FX253/FV253-1)*100)))</f>
        <v>-7.3208722741433423</v>
      </c>
      <c r="FZ253" s="111">
        <f>FZ251-FZ252</f>
        <v>1.9675000000000002</v>
      </c>
      <c r="GA253" s="61">
        <f>IF(ISERROR((FZ253/FX253-1)*100),"NA",IF(((FZ253/FX253-1)*100)&gt;100,"NM",IF(((FZ253/FX253-1)*100)&lt;-50,"NM",(FZ253/FX253-1)*100)))</f>
        <v>32.268907563025252</v>
      </c>
      <c r="GB253" s="111">
        <f>GB251-GB252</f>
        <v>1.9874999999999998</v>
      </c>
      <c r="GC253" s="61">
        <f>IF(ISERROR((GB253/FZ253-1)*100),"NA",IF(((GB253/FZ253-1)*100)&gt;100,"NM",IF(((GB253/FZ253-1)*100)&lt;-50,"NM",(GB253/FZ253-1)*100)))</f>
        <v>1.0165184243964287</v>
      </c>
      <c r="GD253" s="111"/>
      <c r="GE253" s="61"/>
      <c r="GF253" s="111"/>
      <c r="GG253" s="61"/>
      <c r="GH253" s="111"/>
      <c r="GI253" s="61"/>
      <c r="GJ253" s="111"/>
      <c r="GK253" s="61"/>
      <c r="GL253" s="111"/>
      <c r="GM253" s="61"/>
      <c r="GN253" s="111"/>
      <c r="GO253" s="61"/>
      <c r="GP253" s="111"/>
      <c r="GQ253" s="61"/>
      <c r="GR253" s="82"/>
      <c r="GS253" s="61"/>
      <c r="GT253" s="82"/>
      <c r="GU253" s="61"/>
      <c r="GV253" s="82"/>
      <c r="GW253" s="61"/>
      <c r="GX253" s="82"/>
      <c r="GY253" s="61"/>
      <c r="GZ253" s="61"/>
      <c r="HA253" s="61"/>
      <c r="HB253" s="452"/>
      <c r="HC253"/>
      <c r="HD253"/>
      <c r="HE253"/>
      <c r="HF253"/>
      <c r="HG253"/>
      <c r="HH253"/>
    </row>
    <row r="254" spans="2:216" s="5" customFormat="1" ht="12.75" customHeight="1" x14ac:dyDescent="0.2">
      <c r="B254" s="2"/>
      <c r="C254" s="66"/>
      <c r="D254" s="67"/>
      <c r="E254" s="66"/>
      <c r="F254" s="66"/>
      <c r="G254" s="64"/>
      <c r="H254" s="66"/>
      <c r="I254" s="64"/>
      <c r="J254" s="66"/>
      <c r="K254" s="64"/>
      <c r="L254" s="61"/>
      <c r="M254" s="66"/>
      <c r="N254" s="61"/>
      <c r="O254" s="64"/>
      <c r="P254" s="61"/>
      <c r="Q254" s="64"/>
      <c r="R254" s="61"/>
      <c r="S254" s="64"/>
      <c r="T254" s="61"/>
      <c r="U254" s="64"/>
      <c r="V254" s="61"/>
      <c r="W254" s="64"/>
      <c r="X254" s="61"/>
      <c r="Y254" s="64"/>
      <c r="Z254" s="61"/>
      <c r="AA254" s="64"/>
      <c r="AB254" s="61"/>
      <c r="AC254" s="64"/>
      <c r="AD254" s="61"/>
      <c r="AE254" s="64"/>
      <c r="AF254" s="61"/>
      <c r="AG254" s="64"/>
      <c r="AH254" s="61"/>
      <c r="AI254" s="64"/>
      <c r="AJ254" s="61"/>
      <c r="AK254" s="64"/>
      <c r="AL254" s="61"/>
      <c r="AM254" s="64"/>
      <c r="AN254" s="61"/>
      <c r="AO254" s="64"/>
      <c r="AP254" s="61"/>
      <c r="AQ254" s="64"/>
      <c r="AR254" s="61"/>
      <c r="AS254" s="64"/>
      <c r="AT254" s="61"/>
      <c r="AU254" s="64"/>
      <c r="AV254" s="61"/>
      <c r="AW254" s="64"/>
      <c r="AX254" s="61"/>
      <c r="AY254" s="64"/>
      <c r="AZ254" s="61"/>
      <c r="BA254" s="64"/>
      <c r="BB254" s="61"/>
      <c r="BC254" s="64"/>
      <c r="BD254" s="61"/>
      <c r="BE254" s="64"/>
      <c r="BF254" s="61"/>
      <c r="BG254" s="64"/>
      <c r="BH254" s="61"/>
      <c r="BI254" s="64"/>
      <c r="BJ254" s="61"/>
      <c r="BK254" s="64"/>
      <c r="BL254" s="61"/>
      <c r="BM254" s="64"/>
      <c r="BN254" s="61"/>
      <c r="BO254" s="64"/>
      <c r="BP254" s="61"/>
      <c r="BQ254" s="64"/>
      <c r="BR254" s="61"/>
      <c r="BS254" s="64"/>
      <c r="BT254" s="61"/>
      <c r="BU254" s="64"/>
      <c r="BV254" s="61"/>
      <c r="BW254" s="64"/>
      <c r="BX254" s="61"/>
      <c r="BY254" s="64"/>
      <c r="BZ254" s="61"/>
      <c r="CA254" s="64"/>
      <c r="CB254" s="61"/>
      <c r="CC254" s="64"/>
      <c r="CD254" s="61"/>
      <c r="CE254" s="64"/>
      <c r="CF254" s="61"/>
      <c r="CG254" s="64"/>
      <c r="CH254" s="61"/>
      <c r="CI254" s="64"/>
      <c r="CJ254" s="61"/>
      <c r="CK254" s="64"/>
      <c r="CL254" s="61"/>
      <c r="CM254" s="64"/>
      <c r="CN254" s="61"/>
      <c r="CO254" s="64"/>
      <c r="CP254" s="61"/>
      <c r="CQ254" s="64"/>
      <c r="CR254" s="61"/>
      <c r="CS254" s="64"/>
      <c r="CT254" s="61"/>
      <c r="CU254" s="64"/>
      <c r="CV254" s="61"/>
      <c r="CW254" s="64"/>
      <c r="CX254" s="61"/>
      <c r="CY254" s="64"/>
      <c r="CZ254" s="61"/>
      <c r="DA254" s="64"/>
      <c r="DB254" s="61"/>
      <c r="DC254" s="64"/>
      <c r="DD254" s="61"/>
      <c r="DE254" s="64"/>
      <c r="DF254" s="61"/>
      <c r="DG254" s="64"/>
      <c r="DH254" s="61"/>
      <c r="DI254" s="64"/>
      <c r="DJ254" s="61"/>
      <c r="DK254" s="64"/>
      <c r="DL254" s="61"/>
      <c r="DM254" s="64"/>
      <c r="DN254" s="61"/>
      <c r="DO254" s="64"/>
      <c r="DP254" s="61"/>
      <c r="DQ254" s="64"/>
      <c r="DR254" s="61"/>
      <c r="DS254" s="64"/>
      <c r="DT254" s="61"/>
      <c r="DU254" s="64"/>
      <c r="DV254" s="61"/>
      <c r="DW254" s="64"/>
      <c r="DX254" s="64"/>
      <c r="DY254" s="64"/>
      <c r="DZ254" s="61"/>
      <c r="EA254" s="64"/>
      <c r="EB254" s="61"/>
      <c r="EC254" s="64"/>
      <c r="ED254" s="61"/>
      <c r="EE254" s="64"/>
      <c r="EF254" s="61"/>
      <c r="EG254" s="64"/>
      <c r="EH254" s="61"/>
      <c r="EI254" s="64"/>
      <c r="EJ254" s="61"/>
      <c r="EK254" s="64"/>
      <c r="EL254" s="61"/>
      <c r="EM254" s="64"/>
      <c r="EN254" s="61"/>
      <c r="EO254" s="64"/>
      <c r="EP254" s="61"/>
      <c r="EQ254" s="64"/>
      <c r="ER254" s="61"/>
      <c r="ES254" s="64"/>
      <c r="ET254" s="61"/>
      <c r="EU254" s="64"/>
      <c r="EV254" s="61"/>
      <c r="EW254" s="64"/>
      <c r="EX254" s="61"/>
      <c r="EY254" s="64"/>
      <c r="EZ254" s="558"/>
      <c r="FA254" s="64"/>
      <c r="FB254" s="66"/>
      <c r="FC254" s="66"/>
      <c r="FD254" s="66"/>
      <c r="FE254" s="67"/>
      <c r="FF254" s="66"/>
      <c r="FG254" s="67"/>
      <c r="FH254" s="66"/>
      <c r="FI254" s="67"/>
      <c r="FJ254" s="66"/>
      <c r="FK254" s="67"/>
      <c r="FL254" s="66"/>
      <c r="FM254" s="61"/>
      <c r="FN254" s="66"/>
      <c r="FO254" s="61"/>
      <c r="FP254" s="65"/>
      <c r="FQ254" s="61"/>
      <c r="FR254" s="65"/>
      <c r="FS254" s="61"/>
      <c r="FT254" s="65"/>
      <c r="FU254" s="61"/>
      <c r="FV254" s="65"/>
      <c r="FW254" s="61"/>
      <c r="FX254" s="65"/>
      <c r="FY254" s="61"/>
      <c r="FZ254" s="65"/>
      <c r="GA254" s="61"/>
      <c r="GB254" s="65"/>
      <c r="GC254" s="61"/>
      <c r="GD254" s="65"/>
      <c r="GE254" s="61"/>
      <c r="GF254" s="65"/>
      <c r="GG254" s="61"/>
      <c r="GH254" s="65"/>
      <c r="GI254" s="61"/>
      <c r="GJ254" s="65"/>
      <c r="GK254" s="61"/>
      <c r="GL254" s="65"/>
      <c r="GM254" s="61"/>
      <c r="GN254" s="65"/>
      <c r="GO254" s="61"/>
      <c r="GP254" s="65"/>
      <c r="GQ254" s="61"/>
      <c r="GR254" s="64"/>
      <c r="GS254" s="61"/>
      <c r="GT254" s="64"/>
      <c r="GU254" s="61"/>
      <c r="GV254" s="64"/>
      <c r="GW254" s="61"/>
      <c r="GX254" s="64"/>
      <c r="GY254" s="61"/>
      <c r="GZ254" s="61"/>
      <c r="HA254" s="61"/>
      <c r="HB254" s="452"/>
      <c r="HC254"/>
      <c r="HD254"/>
      <c r="HE254"/>
      <c r="HF254"/>
      <c r="HG254"/>
      <c r="HH254"/>
    </row>
    <row r="255" spans="2:216" s="5" customFormat="1" ht="12.75" customHeight="1" x14ac:dyDescent="0.2">
      <c r="B255" s="63" t="s">
        <v>497</v>
      </c>
      <c r="C255" s="66"/>
      <c r="D255" s="67"/>
      <c r="E255" s="66"/>
      <c r="F255" s="66"/>
      <c r="G255" s="64"/>
      <c r="H255" s="66"/>
      <c r="I255" s="64"/>
      <c r="J255" s="66"/>
      <c r="K255" s="64"/>
      <c r="L255" s="61"/>
      <c r="M255" s="64"/>
      <c r="N255" s="61"/>
      <c r="O255" s="64"/>
      <c r="P255" s="61"/>
      <c r="Q255" s="64"/>
      <c r="R255" s="61"/>
      <c r="S255" s="64"/>
      <c r="T255" s="61"/>
      <c r="U255" s="64"/>
      <c r="V255" s="61"/>
      <c r="W255" s="64"/>
      <c r="X255" s="61"/>
      <c r="Y255" s="64"/>
      <c r="Z255" s="107"/>
      <c r="AA255" s="64"/>
      <c r="AB255" s="61"/>
      <c r="AC255" s="64"/>
      <c r="AD255" s="61"/>
      <c r="AE255" s="64"/>
      <c r="AF255" s="61"/>
      <c r="AG255" s="64"/>
      <c r="AH255" s="61"/>
      <c r="AI255" s="64"/>
      <c r="AJ255" s="61"/>
      <c r="AK255" s="64"/>
      <c r="AL255" s="61"/>
      <c r="AM255" s="64"/>
      <c r="AN255" s="61"/>
      <c r="AO255" s="64"/>
      <c r="AP255" s="61"/>
      <c r="AQ255" s="64"/>
      <c r="AR255" s="61"/>
      <c r="AS255" s="64"/>
      <c r="AT255" s="61"/>
      <c r="AU255" s="64"/>
      <c r="AV255" s="61"/>
      <c r="AW255" s="64"/>
      <c r="AX255" s="61"/>
      <c r="AY255" s="64"/>
      <c r="AZ255" s="61"/>
      <c r="BA255" s="64"/>
      <c r="BB255" s="61"/>
      <c r="BC255" s="64"/>
      <c r="BD255" s="61"/>
      <c r="BE255" s="64"/>
      <c r="BF255" s="61"/>
      <c r="BG255" s="64"/>
      <c r="BH255" s="61"/>
      <c r="BI255" s="64"/>
      <c r="BJ255" s="61"/>
      <c r="BK255" s="64"/>
      <c r="BL255" s="61"/>
      <c r="BM255" s="64"/>
      <c r="BN255" s="61"/>
      <c r="BO255" s="64"/>
      <c r="BP255" s="61"/>
      <c r="BQ255" s="64"/>
      <c r="BR255" s="61"/>
      <c r="BS255" s="64"/>
      <c r="BT255" s="61"/>
      <c r="BU255" s="64"/>
      <c r="BV255" s="61"/>
      <c r="BW255" s="158"/>
      <c r="BX255" s="61"/>
      <c r="BY255" s="158"/>
      <c r="BZ255" s="61"/>
      <c r="CA255" s="158"/>
      <c r="CB255" s="61"/>
      <c r="CC255" s="158"/>
      <c r="CD255" s="61"/>
      <c r="CE255" s="158"/>
      <c r="CF255" s="61"/>
      <c r="CG255" s="158"/>
      <c r="CH255" s="61"/>
      <c r="CI255" s="158"/>
      <c r="CJ255" s="61"/>
      <c r="CK255" s="158"/>
      <c r="CL255" s="61"/>
      <c r="CM255" s="158"/>
      <c r="CN255" s="61"/>
      <c r="CO255" s="158"/>
      <c r="CP255" s="61"/>
      <c r="CQ255" s="158"/>
      <c r="CR255" s="61"/>
      <c r="CS255" s="158"/>
      <c r="CT255" s="61"/>
      <c r="CU255" s="158"/>
      <c r="CV255" s="61"/>
      <c r="CW255" s="158"/>
      <c r="CX255" s="61"/>
      <c r="CY255" s="158"/>
      <c r="CZ255" s="61"/>
      <c r="DA255" s="158"/>
      <c r="DB255" s="61"/>
      <c r="DC255" s="158"/>
      <c r="DD255" s="61"/>
      <c r="DE255" s="158"/>
      <c r="DF255" s="61"/>
      <c r="DG255" s="158"/>
      <c r="DH255" s="61"/>
      <c r="DI255" s="158"/>
      <c r="DJ255" s="61"/>
      <c r="DK255" s="158"/>
      <c r="DL255" s="61"/>
      <c r="DM255" s="158"/>
      <c r="DN255" s="61"/>
      <c r="DO255" s="158"/>
      <c r="DP255" s="61"/>
      <c r="DQ255" s="158"/>
      <c r="DR255" s="61"/>
      <c r="DS255" s="158"/>
      <c r="DT255" s="61"/>
      <c r="DU255" s="158"/>
      <c r="DV255" s="61"/>
      <c r="DW255" s="158"/>
      <c r="DX255" s="158"/>
      <c r="DY255" s="158"/>
      <c r="DZ255" s="61"/>
      <c r="EA255" s="158"/>
      <c r="EB255" s="61"/>
      <c r="EC255" s="158"/>
      <c r="ED255" s="61"/>
      <c r="EE255" s="158"/>
      <c r="EF255" s="61"/>
      <c r="EG255" s="158"/>
      <c r="EH255" s="61"/>
      <c r="EI255" s="158"/>
      <c r="EJ255" s="61"/>
      <c r="EK255" s="158"/>
      <c r="EL255" s="61"/>
      <c r="EM255" s="158"/>
      <c r="EN255" s="61"/>
      <c r="EO255" s="158"/>
      <c r="EP255" s="61"/>
      <c r="EQ255" s="158"/>
      <c r="ER255" s="61"/>
      <c r="ES255" s="158"/>
      <c r="ET255" s="61"/>
      <c r="EU255" s="158"/>
      <c r="EV255" s="61"/>
      <c r="EW255" s="158"/>
      <c r="EX255" s="61"/>
      <c r="EY255" s="64"/>
      <c r="EZ255" s="558"/>
      <c r="FA255" s="64"/>
      <c r="FB255" s="66"/>
      <c r="FC255" s="66"/>
      <c r="FD255" s="66"/>
      <c r="FE255" s="67"/>
      <c r="FF255" s="66"/>
      <c r="FG255" s="67"/>
      <c r="FH255" s="66"/>
      <c r="FI255" s="67"/>
      <c r="FJ255" s="66"/>
      <c r="FK255" s="67"/>
      <c r="FL255" s="66"/>
      <c r="FM255" s="61"/>
      <c r="FN255" s="66"/>
      <c r="FO255" s="61"/>
      <c r="FP255" s="165"/>
      <c r="FQ255" s="61"/>
      <c r="FR255" s="165"/>
      <c r="FS255" s="61"/>
      <c r="FT255" s="165"/>
      <c r="FU255" s="61"/>
      <c r="FV255" s="165"/>
      <c r="FW255" s="61"/>
      <c r="FX255" s="165"/>
      <c r="FY255" s="61"/>
      <c r="FZ255" s="165"/>
      <c r="GA255" s="61"/>
      <c r="GB255" s="165"/>
      <c r="GC255" s="61"/>
      <c r="GD255" s="165"/>
      <c r="GE255" s="61"/>
      <c r="GF255" s="165"/>
      <c r="GG255" s="61"/>
      <c r="GH255" s="165"/>
      <c r="GI255" s="61"/>
      <c r="GJ255" s="165"/>
      <c r="GK255" s="61"/>
      <c r="GL255" s="165"/>
      <c r="GM255" s="61"/>
      <c r="GN255" s="165"/>
      <c r="GO255" s="61"/>
      <c r="GP255" s="165"/>
      <c r="GQ255" s="61"/>
      <c r="GR255" s="158"/>
      <c r="GS255" s="61"/>
      <c r="GT255" s="158"/>
      <c r="GU255" s="61"/>
      <c r="GV255" s="158"/>
      <c r="GW255" s="61"/>
      <c r="GX255" s="158"/>
      <c r="GY255" s="61"/>
      <c r="GZ255" s="61" t="str">
        <f t="shared" ref="GZ255:GZ267" si="1820">IF(ISERROR((GX255/GN255)^0.2),"",IF(OR((GX255/GN255)^0.2&lt;0.5,(GX255/GN255)^0.2&gt;2),"NM",((GX255/GN255)^0.2-1)*100))</f>
        <v/>
      </c>
      <c r="HA255" s="61"/>
      <c r="HB255" s="452"/>
      <c r="HC255"/>
      <c r="HD255"/>
      <c r="HE255"/>
      <c r="HF255"/>
      <c r="HG255"/>
      <c r="HH255"/>
    </row>
    <row r="256" spans="2:216" s="5" customFormat="1" ht="12.75" customHeight="1" x14ac:dyDescent="0.2">
      <c r="B256" s="2" t="s">
        <v>349</v>
      </c>
      <c r="C256" s="72"/>
      <c r="D256" s="70"/>
      <c r="E256" s="72"/>
      <c r="F256" s="71"/>
      <c r="G256" s="74"/>
      <c r="H256" s="71"/>
      <c r="I256" s="74"/>
      <c r="J256" s="61"/>
      <c r="K256" s="74"/>
      <c r="L256" s="61"/>
      <c r="M256" s="72"/>
      <c r="N256" s="61"/>
      <c r="O256" s="74"/>
      <c r="P256" s="61"/>
      <c r="Q256" s="74"/>
      <c r="R256" s="61"/>
      <c r="S256" s="74"/>
      <c r="T256" s="61"/>
      <c r="U256" s="74"/>
      <c r="V256" s="61"/>
      <c r="W256" s="74"/>
      <c r="X256" s="61"/>
      <c r="Y256" s="74"/>
      <c r="Z256" s="61"/>
      <c r="AA256" s="74"/>
      <c r="AB256" s="61"/>
      <c r="AC256" s="74"/>
      <c r="AD256" s="61"/>
      <c r="AE256" s="74"/>
      <c r="AF256" s="61"/>
      <c r="AG256" s="74"/>
      <c r="AH256" s="61"/>
      <c r="AI256" s="74"/>
      <c r="AJ256" s="61"/>
      <c r="AK256" s="74"/>
      <c r="AL256" s="61"/>
      <c r="AM256" s="74"/>
      <c r="AN256" s="61"/>
      <c r="AO256" s="74"/>
      <c r="AP256" s="61"/>
      <c r="AQ256" s="74">
        <v>113.8</v>
      </c>
      <c r="AR256" s="61" t="str">
        <f>IF(ISERROR((AQ256/AI256-1)*100),"NA",IF(((AQ256/AI256-1)*100)&gt;100,"NM",IF(((AQ256/AI256-1)*100)&lt;-50,"NM",(AQ256/AI256-1)*100)))</f>
        <v>NA</v>
      </c>
      <c r="AS256" s="74">
        <v>119.1</v>
      </c>
      <c r="AT256" s="61" t="str">
        <f>IF(ISERROR((AS256/AK256-1)*100),"NA",IF(((AS256/AK256-1)*100)&gt;100,"NM",IF(((AS256/AK256-1)*100)&lt;-50,"NM",(AS256/AK256-1)*100)))</f>
        <v>NA</v>
      </c>
      <c r="AU256" s="74">
        <v>109.9</v>
      </c>
      <c r="AV256" s="61" t="str">
        <f>IF(ISERROR((AU256/AM256-1)*100),"NA",IF(((AU256/AM256-1)*100)&gt;100,"NM",IF(((AU256/AM256-1)*100)&lt;-50,"NM",(AU256/AM256-1)*100)))</f>
        <v>NA</v>
      </c>
      <c r="AW256" s="74">
        <v>118.6</v>
      </c>
      <c r="AX256" s="61" t="str">
        <f>IF(ISERROR((AW256/AO256-1)*100),"NA",IF(((AW256/AO256-1)*100)&gt;100,"NM",IF(((AW256/AO256-1)*100)&lt;-50,"NM",(AW256/AO256-1)*100)))</f>
        <v>NA</v>
      </c>
      <c r="AY256" s="74">
        <v>120.2</v>
      </c>
      <c r="AZ256" s="61">
        <f>IF(ISERROR((AY256/AQ256-1)*100),"NA",IF(((AY256/AQ256-1)*100)&gt;100,"NM",IF(((AY256/AQ256-1)*100)&lt;-50,"NM",(AY256/AQ256-1)*100)))</f>
        <v>5.6239015817223237</v>
      </c>
      <c r="BA256" s="74">
        <v>256</v>
      </c>
      <c r="BB256" s="61" t="str">
        <f>IF(ISERROR((BA256/AS256-1)*100),"NA",IF(((BA256/AS256-1)*100)&gt;100,"NM",IF(((BA256/AS256-1)*100)&lt;-50,"NM",(BA256/AS256-1)*100)))</f>
        <v>NM</v>
      </c>
      <c r="BC256" s="74">
        <v>261.10000000000002</v>
      </c>
      <c r="BD256" s="61" t="str">
        <f>IF(ISERROR((BC256/AU256-1)*100),"NA",IF(((BC256/AU256-1)*100)&gt;100,"NM",IF(((BC256/AU256-1)*100)&lt;-50,"NM",(BC256/AU256-1)*100)))</f>
        <v>NM</v>
      </c>
      <c r="BE256" s="74">
        <v>249.1</v>
      </c>
      <c r="BF256" s="61" t="str">
        <f>IF(ISERROR((BE256/AW256-1)*100),"NA",IF(((BE256/AW256-1)*100)&gt;100,"NM",IF(((BE256/AW256-1)*100)&lt;-50,"NM",(BE256/AW256-1)*100)))</f>
        <v>NM</v>
      </c>
      <c r="BG256" s="74">
        <v>246</v>
      </c>
      <c r="BH256" s="61" t="str">
        <f>IF(ISERROR((BG256/AY256-1)*100),"NA",IF(((BG256/AY256-1)*100)&gt;100,"NM",IF(((BG256/AY256-1)*100)&lt;-50,"NM",(BG256/AY256-1)*100)))</f>
        <v>NM</v>
      </c>
      <c r="BI256" s="74">
        <v>263</v>
      </c>
      <c r="BJ256" s="61">
        <f>IF(ISERROR((BI256/BA256-1)*100),"NA",IF(((BI256/BA256-1)*100)&gt;100,"NM",IF(((BI256/BA256-1)*100)&lt;-50,"NM",(BI256/BA256-1)*100)))</f>
        <v>2.734375</v>
      </c>
      <c r="BK256" s="74">
        <v>265.60000000000002</v>
      </c>
      <c r="BL256" s="61">
        <f>IF(ISERROR((BK256/BC256-1)*100),"NA",IF(((BK256/BC256-1)*100)&gt;100,"NM",IF(((BK256/BC256-1)*100)&lt;-50,"NM",(BK256/BC256-1)*100)))</f>
        <v>1.7234775947912784</v>
      </c>
      <c r="BM256" s="74">
        <v>308.89999999999998</v>
      </c>
      <c r="BN256" s="61">
        <f>IF(ISERROR((BM256/BE256-1)*100),"NA",IF(((BM256/BE256-1)*100)&gt;100,"NM",IF(((BM256/BE256-1)*100)&lt;-50,"NM",(BM256/BE256-1)*100)))</f>
        <v>24.006423123243682</v>
      </c>
      <c r="BO256" s="74">
        <v>298.60000000000002</v>
      </c>
      <c r="BP256" s="61">
        <f>IF(ISERROR((BO256/BG256-1)*100),"NA",IF(((BO256/BG256-1)*100)&gt;100,"NM",IF(((BO256/BG256-1)*100)&lt;-50,"NM",(BO256/BG256-1)*100)))</f>
        <v>21.382113821138216</v>
      </c>
      <c r="BQ256" s="74">
        <v>304.10000000000002</v>
      </c>
      <c r="BR256" s="61">
        <f>IF(ISERROR((BQ256/BI256-1)*100),"NA",IF(((BQ256/BI256-1)*100)&gt;100,"NM",IF(((BQ256/BI256-1)*100)&lt;-50,"NM",(BQ256/BI256-1)*100)))</f>
        <v>15.627376425855521</v>
      </c>
      <c r="BS256" s="74">
        <v>397.7</v>
      </c>
      <c r="BT256" s="61">
        <f>IF(ISERROR((BS256/BK256-1)*100),"NA",IF(((BS256/BK256-1)*100)&gt;100,"NM",IF(((BS256/BK256-1)*100)&lt;-50,"NM",(BS256/BK256-1)*100)))</f>
        <v>49.736445783132524</v>
      </c>
      <c r="BU256" s="74">
        <v>362.5</v>
      </c>
      <c r="BV256" s="61">
        <f>IF(ISERROR((BU256/BM256-1)*100),"NA",IF(((BU256/BM256-1)*100)&gt;100,"NM",IF(((BU256/BM256-1)*100)&lt;-50,"NM",(BU256/BM256-1)*100)))</f>
        <v>17.351893816769181</v>
      </c>
      <c r="BW256" s="74">
        <v>355.7</v>
      </c>
      <c r="BX256" s="61">
        <f>IF(ISERROR((BW256/BO256-1)*100),"NA",IF(((BW256/BO256-1)*100)&gt;100,"NM",IF(((BW256/BO256-1)*100)&lt;-50,"NM",(BW256/BO256-1)*100)))</f>
        <v>19.122572002679149</v>
      </c>
      <c r="BY256" s="74">
        <v>323</v>
      </c>
      <c r="BZ256" s="61">
        <f>IF(ISERROR((BY256/BQ256-1)*100),"NA",IF(((BY256/BQ256-1)*100)&gt;100,"NM",IF(((BY256/BQ256-1)*100)&lt;-50,"NM",(BY256/BQ256-1)*100)))</f>
        <v>6.2150608352515624</v>
      </c>
      <c r="CA256" s="74">
        <v>320.7</v>
      </c>
      <c r="CB256" s="61">
        <f>IF(ISERROR((CA256/BS256-1)*100),"NA",IF(((CA256/BS256-1)*100)&gt;100,"NM",IF(((CA256/BS256-1)*100)&lt;-50,"NM",(CA256/BS256-1)*100)))</f>
        <v>-19.361327633894899</v>
      </c>
      <c r="CC256" s="74">
        <v>374.6</v>
      </c>
      <c r="CD256" s="61">
        <f>IF(ISERROR((CC256/BU256-1)*100),"NA",IF(((CC256/BU256-1)*100)&gt;100,"NM",IF(((CC256/BU256-1)*100)&lt;-50,"NM",(CC256/BU256-1)*100)))</f>
        <v>3.3379310344827662</v>
      </c>
      <c r="CE256" s="74">
        <v>398.8</v>
      </c>
      <c r="CF256" s="61">
        <f>IF(ISERROR((CE256/BW256-1)*100),"NA",IF(((CE256/BW256-1)*100)&gt;100,"NM",IF(((CE256/BW256-1)*100)&lt;-50,"NM",(CE256/BW256-1)*100)))</f>
        <v>12.116952488051735</v>
      </c>
      <c r="CG256" s="74">
        <v>374.2</v>
      </c>
      <c r="CH256" s="61">
        <f>IF(ISERROR((CG256/BY256-1)*100),"NA",IF(((CG256/BY256-1)*100)&gt;100,"NM",IF(((CG256/BY256-1)*100)&lt;-50,"NM",(CG256/BY256-1)*100)))</f>
        <v>15.851393188854491</v>
      </c>
      <c r="CI256" s="74">
        <v>561</v>
      </c>
      <c r="CJ256" s="61">
        <f>IF(ISERROR((CI256/CA256-1)*100),"NA",IF(((CI256/CA256-1)*100)&gt;100,"NM",IF(((CI256/CA256-1)*100)&lt;-50,"NM",(CI256/CA256-1)*100)))</f>
        <v>74.929840972871858</v>
      </c>
      <c r="CK256" s="74">
        <v>400.7</v>
      </c>
      <c r="CL256" s="61">
        <f>IF(ISERROR((CK256/CC256-1)*100),"NA",IF(((CK256/CC256-1)*100)&gt;100,"NM",IF(((CK256/CC256-1)*100)&lt;-50,"NM",(CK256/CC256-1)*100)))</f>
        <v>6.9674319273892005</v>
      </c>
      <c r="CM256" s="74">
        <v>447</v>
      </c>
      <c r="CN256" s="61">
        <f>IF(ISERROR((CM256/CE256-1)*100),"NA",IF(((CM256/CE256-1)*100)&gt;100,"NM",IF(((CM256/CE256-1)*100)&lt;-50,"NM",(CM256/CE256-1)*100)))</f>
        <v>12.086258776328984</v>
      </c>
      <c r="CO256" s="74">
        <v>609.4</v>
      </c>
      <c r="CP256" s="61">
        <f>IF(ISERROR((CO256/CG256-1)*100),"NA",IF(((CO256/CG256-1)*100)&gt;100,"NM",IF(((CO256/CG256-1)*100)&lt;-50,"NM",(CO256/CG256-1)*100)))</f>
        <v>62.854088722608225</v>
      </c>
      <c r="CQ256" s="74">
        <v>152.5</v>
      </c>
      <c r="CR256" s="61" t="str">
        <f>IF(ISERROR((CQ256/CI256-1)*100),"NA",IF(((CQ256/CI256-1)*100)&gt;100,"NM",IF(((CQ256/CI256-1)*100)&lt;-50,"NM",(CQ256/CI256-1)*100)))</f>
        <v>NM</v>
      </c>
      <c r="CS256" s="74">
        <v>456</v>
      </c>
      <c r="CT256" s="61">
        <f>IF(ISERROR((CS256/CK256-1)*100),"NA",IF(((CS256/CK256-1)*100)&gt;100,"NM",IF(((CS256/CK256-1)*100)&lt;-50,"NM",(CS256/CK256-1)*100)))</f>
        <v>13.800848515098574</v>
      </c>
      <c r="CU256" s="74">
        <v>469</v>
      </c>
      <c r="CV256" s="61">
        <f>IF(ISERROR((CU256/CM256-1)*100),"NA",IF(((CU256/CM256-1)*100)&gt;100,"NM",IF(((CU256/CM256-1)*100)&lt;-50,"NM",(CU256/CM256-1)*100)))</f>
        <v>4.9217002237136542</v>
      </c>
      <c r="CW256" s="74">
        <v>474</v>
      </c>
      <c r="CX256" s="61">
        <f>IF(ISERROR((CW256/CO256-1)*100),"NA",IF(((CW256/CO256-1)*100)&gt;100,"NM",IF(((CW256/CO256-1)*100)&lt;-50,"NM",(CW256/CO256-1)*100)))</f>
        <v>-22.218575648178529</v>
      </c>
      <c r="CY256" s="74">
        <v>295</v>
      </c>
      <c r="CZ256" s="61">
        <f>IF(ISERROR((CY256/CQ256-1)*100),"NA",IF(((CY256/CQ256-1)*100)&gt;100,"NM",IF(((CY256/CQ256-1)*100)&lt;-50,"NM",(CY256/CQ256-1)*100)))</f>
        <v>93.442622950819668</v>
      </c>
      <c r="DA256" s="74">
        <v>486</v>
      </c>
      <c r="DB256" s="61">
        <f>IF(ISERROR((DA256/CS256-1)*100),"NA",IF(((DA256/CS256-1)*100)&gt;100,"NM",IF(((DA256/CS256-1)*100)&lt;-50,"NM",(DA256/CS256-1)*100)))</f>
        <v>6.578947368421062</v>
      </c>
      <c r="DC256" s="74">
        <v>505</v>
      </c>
      <c r="DD256" s="61">
        <f>IF(ISERROR((DC256/CU256-1)*100),"NA",IF(((DC256/CU256-1)*100)&gt;100,"NM",IF(((DC256/CU256-1)*100)&lt;-50,"NM",(DC256/CU256-1)*100)))</f>
        <v>7.6759061833688635</v>
      </c>
      <c r="DE256" s="74">
        <v>500</v>
      </c>
      <c r="DF256" s="61">
        <f>IF(ISERROR((DE256/CW256-1)*100),"NA",IF(((DE256/CW256-1)*100)&gt;100,"NM",IF(((DE256/CW256-1)*100)&lt;-50,"NM",(DE256/CW256-1)*100)))</f>
        <v>5.4852320675105481</v>
      </c>
      <c r="DG256" s="74">
        <v>476</v>
      </c>
      <c r="DH256" s="61">
        <f>IF(ISERROR((DG256/CY256-1)*100),"NA",IF(((DG256/CY256-1)*100)&gt;100,"NM",IF(((DG256/CY256-1)*100)&lt;-50,"NM",(DG256/CY256-1)*100)))</f>
        <v>61.355932203389841</v>
      </c>
      <c r="DI256" s="74">
        <v>496</v>
      </c>
      <c r="DJ256" s="61">
        <f>IF(ISERROR((DI256/DA256-1)*100),"NA",IF(((DI256/DA256-1)*100)&gt;100,"NM",IF(((DI256/DA256-1)*100)&lt;-50,"NM",(DI256/DA256-1)*100)))</f>
        <v>2.0576131687242816</v>
      </c>
      <c r="DK256" s="74">
        <v>541</v>
      </c>
      <c r="DL256" s="61">
        <f>IF(ISERROR((DK256/DC256-1)*100),"NA",IF(((DK256/DC256-1)*100)&gt;100,"NM",IF(((DK256/DC256-1)*100)&lt;-50,"NM",(DK256/DC256-1)*100)))</f>
        <v>7.128712871287135</v>
      </c>
      <c r="DM256" s="74">
        <v>519</v>
      </c>
      <c r="DN256" s="130">
        <f t="shared" ref="DN256:DZ260" si="1821">IF(ISERROR((DM256/DE256-1)*100),"NA",IF(((DM256/DE256-1)*100)&gt;100,"NM",IF(((DM256/DE256-1)*100)&lt;-50,"NM",(DM256/DE256-1)*100)))</f>
        <v>3.8000000000000034</v>
      </c>
      <c r="DO256" s="74">
        <v>550</v>
      </c>
      <c r="DP256" s="130">
        <f t="shared" si="1821"/>
        <v>15.546218487394947</v>
      </c>
      <c r="DQ256" s="74">
        <v>825</v>
      </c>
      <c r="DR256" s="130">
        <f t="shared" si="1821"/>
        <v>66.33064516129032</v>
      </c>
      <c r="DS256" s="74">
        <v>650</v>
      </c>
      <c r="DT256" s="130">
        <f t="shared" si="1821"/>
        <v>20.147874306839199</v>
      </c>
      <c r="DU256" s="74">
        <v>673</v>
      </c>
      <c r="DV256" s="130">
        <f t="shared" si="1821"/>
        <v>29.672447013487478</v>
      </c>
      <c r="DW256" s="74">
        <v>578</v>
      </c>
      <c r="DX256" s="74">
        <v>578</v>
      </c>
      <c r="DY256" s="74">
        <v>661</v>
      </c>
      <c r="DZ256" s="130">
        <f t="shared" si="1821"/>
        <v>-19.878787878787875</v>
      </c>
      <c r="EA256" s="74">
        <v>740</v>
      </c>
      <c r="EB256" s="130">
        <f t="shared" ref="EB256:EB260" si="1822">IF(ISERROR((EA256/DS256-1)*100),"NA",IF(((EA256/DS256-1)*100)&gt;100,"NM",IF(((EA256/DS256-1)*100)&lt;-50,"NM",(EA256/DS256-1)*100)))</f>
        <v>13.846153846153841</v>
      </c>
      <c r="EC256" s="74">
        <v>708</v>
      </c>
      <c r="ED256" s="130">
        <f t="shared" ref="ED256:ED260" si="1823">IF(ISERROR((EC256/DU256-1)*100),"NA",IF(((EC256/DU256-1)*100)&gt;100,"NM",IF(((EC256/DU256-1)*100)&lt;-50,"NM",(EC256/DU256-1)*100)))</f>
        <v>5.2005943536404198</v>
      </c>
      <c r="EE256" s="74">
        <v>522</v>
      </c>
      <c r="EF256" s="130">
        <f t="shared" ref="EF256:EF260" si="1824">IF(ISERROR((EE256/DW256-1)*100),"NA",IF(((EE256/DW256-1)*100)&gt;100,"NM",IF(((EE256/DW256-1)*100)&lt;-50,"NM",(EE256/DW256-1)*100)))</f>
        <v>-9.6885813148788973</v>
      </c>
      <c r="EG256" s="74">
        <v>707</v>
      </c>
      <c r="EH256" s="130">
        <f t="shared" ref="EH256:EH260" si="1825">IF(ISERROR((EG256/DY256-1)*100),"NA",IF(((EG256/DY256-1)*100)&gt;100,"NM",IF(((EG256/DY256-1)*100)&lt;-50,"NM",(EG256/DY256-1)*100)))</f>
        <v>6.9591527987897139</v>
      </c>
      <c r="EI256" s="74">
        <v>797</v>
      </c>
      <c r="EJ256" s="130">
        <f t="shared" ref="EJ256:EJ260" si="1826">IF(ISERROR((EI256/EA256-1)*100),"NA",IF(((EI256/EA256-1)*100)&gt;100,"NM",IF(((EI256/EA256-1)*100)&lt;-50,"NM",(EI256/EA256-1)*100)))</f>
        <v>7.7027027027027017</v>
      </c>
      <c r="EK256" s="74">
        <v>807</v>
      </c>
      <c r="EL256" s="130">
        <f t="shared" ref="EL256:EL260" si="1827">IF(ISERROR((EK256/EC256-1)*100),"NA",IF(((EK256/EC256-1)*100)&gt;100,"NM",IF(((EK256/EC256-1)*100)&lt;-50,"NM",(EK256/EC256-1)*100)))</f>
        <v>13.983050847457633</v>
      </c>
      <c r="EM256" s="74">
        <v>808</v>
      </c>
      <c r="EN256" s="130">
        <f t="shared" ref="EN256:EN260" si="1828">IF(ISERROR((EM256/EE256-1)*100),"NA",IF(((EM256/EE256-1)*100)&gt;100,"NM",IF(((EM256/EE256-1)*100)&lt;-50,"NM",(EM256/EE256-1)*100)))</f>
        <v>54.78927203065134</v>
      </c>
      <c r="EO256" s="74">
        <v>779</v>
      </c>
      <c r="EP256" s="130">
        <f t="shared" ref="EP256:EP260" si="1829">IF(ISERROR((EO256/EG256-1)*100),"NA",IF(((EO256/EG256-1)*100)&gt;100,"NM",IF(((EO256/EG256-1)*100)&lt;-50,"NM",(EO256/EG256-1)*100)))</f>
        <v>10.18387553041018</v>
      </c>
      <c r="EQ256" s="65">
        <f t="shared" ref="EQ256:EW256" si="1830">EQ267/100*SUM(EQ236:EQ237)</f>
        <v>840.81060681875317</v>
      </c>
      <c r="ER256" s="130">
        <f t="shared" ref="ER256:ER260" si="1831">IF(ISERROR((EQ256/EI256-1)*100),"NA",IF(((EQ256/EI256-1)*100)&gt;100,"NM",IF(((EQ256/EI256-1)*100)&lt;-50,"NM",(EQ256/EI256-1)*100)))</f>
        <v>5.4969393750003981</v>
      </c>
      <c r="ES256" s="65">
        <f t="shared" si="1830"/>
        <v>825.93739340437969</v>
      </c>
      <c r="ET256" s="130">
        <f t="shared" ref="ET256:ET260" si="1832">IF(ISERROR((ES256/EK256-1)*100),"NA",IF(((ES256/EK256-1)*100)&gt;100,"NM",IF(((ES256/EK256-1)*100)&lt;-50,"NM",(ES256/EK256-1)*100)))</f>
        <v>2.346641066218047</v>
      </c>
      <c r="EU256" s="65">
        <f t="shared" si="1830"/>
        <v>833.63350111815328</v>
      </c>
      <c r="EV256" s="130">
        <f t="shared" ref="EV256:EV260" si="1833">IF(ISERROR((EU256/EM256-1)*100),"NA",IF(((EU256/EM256-1)*100)&gt;100,"NM",IF(((EU256/EM256-1)*100)&lt;-50,"NM",(EU256/EM256-1)*100)))</f>
        <v>3.1724630096724438</v>
      </c>
      <c r="EW256" s="65">
        <f t="shared" si="1830"/>
        <v>833.55132094599401</v>
      </c>
      <c r="EX256" s="130">
        <f t="shared" ref="EX256:EX260" si="1834">IF(ISERROR((EW256/EO256-1)*100),"NA",IF(((EW256/EO256-1)*100)&gt;100,"NM",IF(((EW256/EO256-1)*100)&lt;-50,"NM",(EW256/EO256-1)*100)))</f>
        <v>7.0027369635422332</v>
      </c>
      <c r="EY256" s="64"/>
      <c r="EZ256" s="558"/>
      <c r="FA256" s="64"/>
      <c r="FB256" s="72"/>
      <c r="FC256" s="71"/>
      <c r="FD256" s="72"/>
      <c r="FE256" s="70"/>
      <c r="FF256" s="69"/>
      <c r="FG256" s="70"/>
      <c r="FH256" s="69"/>
      <c r="FI256" s="70"/>
      <c r="FJ256" s="69"/>
      <c r="FK256" s="70"/>
      <c r="FL256" s="778"/>
      <c r="FM256" s="61"/>
      <c r="FN256" s="778">
        <v>993</v>
      </c>
      <c r="FO256" s="61"/>
      <c r="FP256" s="65">
        <f>AQ256+AS256+AU256+AW256</f>
        <v>461.4</v>
      </c>
      <c r="FQ256" s="61" t="str">
        <f>IF(ISERROR((FP256/FN256-1)*100),"NA",IF(((FP256/FN256-1)*100)&gt;100,"NM",IF(((FP256/FN256-1)*100)&lt;-50,"NM",(FP256/FN256-1)*100)))</f>
        <v>NM</v>
      </c>
      <c r="FR256" s="65">
        <f>AY256+BA256+BC256+BE256</f>
        <v>886.4</v>
      </c>
      <c r="FS256" s="61">
        <f>IF(ISERROR((FR256/FP256-1)*100),"NA",IF(((FR256/FP256-1)*100)&gt;100,"NM",IF(((FR256/FP256-1)*100)&lt;-50,"NM",(FR256/FP256-1)*100)))</f>
        <v>92.110966623320351</v>
      </c>
      <c r="FT256" s="65">
        <f>BG256+BI256+BK256+BM256</f>
        <v>1083.5</v>
      </c>
      <c r="FU256" s="61">
        <f>IF(ISERROR((FT256/FR256-1)*100),"NA",IF(((FT256/FR256-1)*100)&gt;100,"NM",IF(((FT256/FR256-1)*100)&lt;-50,"NM",(FT256/FR256-1)*100)))</f>
        <v>22.236010830324915</v>
      </c>
      <c r="FV256" s="65">
        <f>BO256+BQ256+BS256+BU256</f>
        <v>1362.9</v>
      </c>
      <c r="FW256" s="61">
        <f>IF(ISERROR((FV256/FT256-1)*100),"NA",IF(((FV256/FT256-1)*100)&gt;100,"NM",IF(((FV256/FT256-1)*100)&lt;-50,"NM",(FV256/FT256-1)*100)))</f>
        <v>25.786802030456869</v>
      </c>
      <c r="FX256" s="75">
        <f>BW256+BY256+CA256+CC256</f>
        <v>1374</v>
      </c>
      <c r="FY256" s="61">
        <f>IF(ISERROR((FX256/FV256-1)*100),"NA",IF(((FX256/FV256-1)*100)&gt;100,"NM",IF(((FX256/FV256-1)*100)&lt;-50,"NM",(FX256/FV256-1)*100)))</f>
        <v>0.81443979749062922</v>
      </c>
      <c r="FZ256" s="75">
        <f>CE256+CG256+CI256+CK256</f>
        <v>1734.7</v>
      </c>
      <c r="GA256" s="61">
        <f>IF(ISERROR((FZ256/FX256-1)*100),"NA",IF(((FZ256/FX256-1)*100)&gt;100,"NM",IF(((FZ256/FX256-1)*100)&lt;-50,"NM",(FZ256/FX256-1)*100)))</f>
        <v>26.251819505094609</v>
      </c>
      <c r="GB256" s="75">
        <f>CM256+CO256+CQ256+CS256</f>
        <v>1664.9</v>
      </c>
      <c r="GC256" s="61">
        <f>IF(ISERROR((GB256/FZ256-1)*100),"NA",IF(((GB256/FZ256-1)*100)&gt;100,"NM",IF(((GB256/FZ256-1)*100)&lt;-50,"NM",(GB256/FZ256-1)*100)))</f>
        <v>-4.0237505044099837</v>
      </c>
      <c r="GD256" s="75">
        <f>CU256+CW256+CY256+DA256</f>
        <v>1724</v>
      </c>
      <c r="GE256" s="61">
        <f>IF(ISERROR((GD256/GB256-1)*100),"NA",IF(((GD256/GB256-1)*100)&gt;100,"NM",IF(((GD256/GB256-1)*100)&lt;-50,"NM",(GD256/GB256-1)*100)))</f>
        <v>3.5497627485134187</v>
      </c>
      <c r="GF256" s="75">
        <f>DC256+DE256+DG256+DI256</f>
        <v>1977</v>
      </c>
      <c r="GG256" s="61">
        <f>IF(ISERROR((GF256/GD256-1)*100),"NA",IF(((GF256/GD256-1)*100)&gt;100,"NM",IF(((GF256/GD256-1)*100)&lt;-50,"NM",(GF256/GD256-1)*100)))</f>
        <v>14.675174013921112</v>
      </c>
      <c r="GH256" s="75">
        <f>DK256+DM256+DO256+DQ256</f>
        <v>2435</v>
      </c>
      <c r="GI256" s="61">
        <f>IF(ISERROR((GH256/GF256-1)*100),"NA",IF(((GH256/GF256-1)*100)&gt;100,"NM",IF(((GH256/GF256-1)*100)&lt;-50,"NM",(GH256/GF256-1)*100)))</f>
        <v>23.166413758219527</v>
      </c>
      <c r="GJ256" s="75">
        <f>DS256+DU256+DW256+DY256</f>
        <v>2562</v>
      </c>
      <c r="GK256" s="61">
        <f>IF(ISERROR((GJ256/GH256-1)*100),"NA",IF(((GJ256/GH256-1)*100)&gt;100,"NM",IF(((GJ256/GH256-1)*100)&lt;-50,"NM",(GJ256/GH256-1)*100)))</f>
        <v>5.2156057494866515</v>
      </c>
      <c r="GL256" s="75">
        <f>EA256+EC256+EE256+EG256</f>
        <v>2677</v>
      </c>
      <c r="GM256" s="61">
        <f>IF(ISERROR((GL256/GJ256-1)*100),"NA",IF(((GL256/GJ256-1)*100)&gt;100,"NM",IF(((GL256/GJ256-1)*100)&lt;-50,"NM",(GL256/GJ256-1)*100)))</f>
        <v>4.4886807181889088</v>
      </c>
      <c r="GN256" s="75">
        <f>EI256+EK256+EM256+EO256</f>
        <v>3191</v>
      </c>
      <c r="GO256" s="61">
        <f>IF(ISERROR((GN256/GL256-1)*100),"NA",IF(((GN256/GL256-1)*100)&gt;100,"NM",IF(((GN256/GL256-1)*100)&lt;-50,"NM",(GN256/GL256-1)*100)))</f>
        <v>19.200597683974596</v>
      </c>
      <c r="GP256" s="75">
        <f>EQ256+ES256+EU256+EW256</f>
        <v>3333.93282228728</v>
      </c>
      <c r="GQ256" s="61">
        <f>IF(ISERROR((GP256/GN256-1)*100),"NA",IF(((GP256/GN256-1)*100)&gt;100,"NM",IF(((GP256/GN256-1)*100)&lt;-50,"NM",(GP256/GN256-1)*100)))</f>
        <v>4.4792485831175233</v>
      </c>
      <c r="GR256" s="65">
        <f>GR267/100*SUM(GR236:GR237)</f>
        <v>3452.9652188844116</v>
      </c>
      <c r="GS256" s="61">
        <f>IF(ISERROR((GR256/GP256-1)*100),"NA",IF(((GR256/GP256-1)*100)&gt;100,"NM",IF(((GR256/GP256-1)*100)&lt;-50,"NM",(GR256/GP256-1)*100)))</f>
        <v>3.5703297859333682</v>
      </c>
      <c r="GT256" s="65">
        <f>GT267/100*SUM(GT236:GT237)</f>
        <v>3560.8857753373923</v>
      </c>
      <c r="GU256" s="61">
        <f>IF(ISERROR((GT256/GR256-1)*100),"NA",IF(((GT256/GR256-1)*100)&gt;100,"NM",IF(((GT256/GR256-1)*100)&lt;-50,"NM",(GT256/GR256-1)*100)))</f>
        <v>3.125445801271276</v>
      </c>
      <c r="GV256" s="65">
        <f>GV267/100*SUM(GV236:GV237)</f>
        <v>3676.5117909948667</v>
      </c>
      <c r="GW256" s="61">
        <f>IF(ISERROR((GV256/GT256-1)*100),"NA",IF(((GV256/GT256-1)*100)&gt;100,"NM",IF(((GV256/GT256-1)*100)&lt;-50,"NM",(GV256/GT256-1)*100)))</f>
        <v>3.2471138630252527</v>
      </c>
      <c r="GX256" s="65">
        <f>GX267/100*SUM(GX236:GX237)</f>
        <v>3800.176466142274</v>
      </c>
      <c r="GY256" s="61">
        <f>IF(ISERROR((GX256/GV256-1)*100),"NA",IF(((GX256/GV256-1)*100)&gt;100,"NM",IF(((GX256/GV256-1)*100)&lt;-50,"NM",(GX256/GV256-1)*100)))</f>
        <v>3.3636414671729842</v>
      </c>
      <c r="GZ256" s="61">
        <f t="shared" si="1820"/>
        <v>3.5560298412951497</v>
      </c>
      <c r="HA256" s="61"/>
      <c r="HB256" s="452"/>
      <c r="HC256"/>
      <c r="HD256"/>
      <c r="HE256"/>
      <c r="HF256"/>
      <c r="HG256"/>
      <c r="HH256"/>
    </row>
    <row r="257" spans="1:216" s="5" customFormat="1" ht="12.75" customHeight="1" x14ac:dyDescent="0.2">
      <c r="B257" s="2" t="str">
        <f>B239</f>
        <v>Interest Credited</v>
      </c>
      <c r="C257" s="69"/>
      <c r="D257" s="70"/>
      <c r="E257" s="69"/>
      <c r="F257" s="71"/>
      <c r="G257" s="69"/>
      <c r="H257" s="71"/>
      <c r="I257" s="69"/>
      <c r="J257" s="61"/>
      <c r="K257" s="69"/>
      <c r="L257" s="61"/>
      <c r="M257" s="69"/>
      <c r="N257" s="61"/>
      <c r="O257" s="69"/>
      <c r="P257" s="61"/>
      <c r="Q257" s="69"/>
      <c r="R257" s="61"/>
      <c r="S257" s="69"/>
      <c r="T257" s="61"/>
      <c r="U257" s="69"/>
      <c r="V257" s="61"/>
      <c r="W257" s="69"/>
      <c r="X257" s="61"/>
      <c r="Y257" s="69"/>
      <c r="Z257" s="61"/>
      <c r="AA257" s="69"/>
      <c r="AB257" s="61"/>
      <c r="AC257" s="69"/>
      <c r="AD257" s="61"/>
      <c r="AE257" s="69"/>
      <c r="AF257" s="61"/>
      <c r="AG257" s="69"/>
      <c r="AH257" s="61"/>
      <c r="AI257" s="69"/>
      <c r="AJ257" s="61"/>
      <c r="AK257" s="69"/>
      <c r="AL257" s="61"/>
      <c r="AM257" s="69"/>
      <c r="AN257" s="61"/>
      <c r="AO257" s="69"/>
      <c r="AP257" s="61"/>
      <c r="AQ257" s="69">
        <f>AQ239</f>
        <v>138.9</v>
      </c>
      <c r="AR257" s="61" t="str">
        <f>IF(ISERROR((AQ257/AI257-1)*100),"NA",IF(((AQ257/AI257-1)*100)&gt;100,"NM",IF(((AQ257/AI257-1)*100)&lt;-50,"NM",(AQ257/AI257-1)*100)))</f>
        <v>NA</v>
      </c>
      <c r="AS257" s="69">
        <f>AS239</f>
        <v>138</v>
      </c>
      <c r="AT257" s="61" t="str">
        <f>IF(ISERROR((AS257/AK257-1)*100),"NA",IF(((AS257/AK257-1)*100)&gt;100,"NM",IF(((AS257/AK257-1)*100)&lt;-50,"NM",(AS257/AK257-1)*100)))</f>
        <v>NA</v>
      </c>
      <c r="AU257" s="69">
        <f>AU239</f>
        <v>140.9</v>
      </c>
      <c r="AV257" s="61" t="str">
        <f>IF(ISERROR((AU257/AM257-1)*100),"NA",IF(((AU257/AM257-1)*100)&gt;100,"NM",IF(((AU257/AM257-1)*100)&lt;-50,"NM",(AU257/AM257-1)*100)))</f>
        <v>NA</v>
      </c>
      <c r="AW257" s="69">
        <f>AW239</f>
        <v>142.1</v>
      </c>
      <c r="AX257" s="61" t="str">
        <f>IF(ISERROR((AW257/AO257-1)*100),"NA",IF(((AW257/AO257-1)*100)&gt;100,"NM",IF(((AW257/AO257-1)*100)&lt;-50,"NM",(AW257/AO257-1)*100)))</f>
        <v>NA</v>
      </c>
      <c r="AY257" s="69">
        <f>AY239</f>
        <v>142.19999999999999</v>
      </c>
      <c r="AZ257" s="61">
        <f>IF(ISERROR((AY257/AQ257-1)*100),"NA",IF(((AY257/AQ257-1)*100)&gt;100,"NM",IF(((AY257/AQ257-1)*100)&lt;-50,"NM",(AY257/AQ257-1)*100)))</f>
        <v>2.3758099352051643</v>
      </c>
      <c r="BA257" s="69">
        <f>BA239</f>
        <v>241.5</v>
      </c>
      <c r="BB257" s="61">
        <f>IF(ISERROR((BA257/AS257-1)*100),"NA",IF(((BA257/AS257-1)*100)&gt;100,"NM",IF(((BA257/AS257-1)*100)&lt;-50,"NM",(BA257/AS257-1)*100)))</f>
        <v>75</v>
      </c>
      <c r="BC257" s="69">
        <f>BC239</f>
        <v>247.1</v>
      </c>
      <c r="BD257" s="61">
        <f>IF(ISERROR((BC257/AU257-1)*100),"NA",IF(((BC257/AU257-1)*100)&gt;100,"NM",IF(((BC257/AU257-1)*100)&lt;-50,"NM",(BC257/AU257-1)*100)))</f>
        <v>75.372604684173169</v>
      </c>
      <c r="BE257" s="69">
        <f>BE239</f>
        <v>251.3</v>
      </c>
      <c r="BF257" s="61">
        <f>IF(ISERROR((BE257/AW257-1)*100),"NA",IF(((BE257/AW257-1)*100)&gt;100,"NM",IF(((BE257/AW257-1)*100)&lt;-50,"NM",(BE257/AW257-1)*100)))</f>
        <v>76.847290640394107</v>
      </c>
      <c r="BG257" s="69">
        <f>BG239</f>
        <v>251.7</v>
      </c>
      <c r="BH257" s="61">
        <f>IF(ISERROR((BG257/AY257-1)*100),"NA",IF(((BG257/AY257-1)*100)&gt;100,"NM",IF(((BG257/AY257-1)*100)&lt;-50,"NM",(BG257/AY257-1)*100)))</f>
        <v>77.004219409282697</v>
      </c>
      <c r="BI257" s="69">
        <f>BI239</f>
        <v>254</v>
      </c>
      <c r="BJ257" s="61">
        <f>IF(ISERROR((BI257/BA257-1)*100),"NA",IF(((BI257/BA257-1)*100)&gt;100,"NM",IF(((BI257/BA257-1)*100)&lt;-50,"NM",(BI257/BA257-1)*100)))</f>
        <v>5.1759834368529933</v>
      </c>
      <c r="BK257" s="69">
        <f>BK239</f>
        <v>292.89999999999998</v>
      </c>
      <c r="BL257" s="61">
        <f>IF(ISERROR((BK257/BC257-1)*100),"NA",IF(((BK257/BC257-1)*100)&gt;100,"NM",IF(((BK257/BC257-1)*100)&lt;-50,"NM",(BK257/BC257-1)*100)))</f>
        <v>18.535006070416827</v>
      </c>
      <c r="BM257" s="69">
        <f>BM239</f>
        <v>298.2</v>
      </c>
      <c r="BN257" s="61">
        <f>IF(ISERROR((BM257/BE257-1)*100),"NA",IF(((BM257/BE257-1)*100)&gt;100,"NM",IF(((BM257/BE257-1)*100)&lt;-50,"NM",(BM257/BE257-1)*100)))</f>
        <v>18.662952646239539</v>
      </c>
      <c r="BO257" s="69">
        <f>BO239</f>
        <v>296.5</v>
      </c>
      <c r="BP257" s="61">
        <f>IF(ISERROR((BO257/BG257-1)*100),"NA",IF(((BO257/BG257-1)*100)&gt;100,"NM",IF(((BO257/BG257-1)*100)&lt;-50,"NM",(BO257/BG257-1)*100)))</f>
        <v>17.798967024235203</v>
      </c>
      <c r="BQ257" s="69">
        <f>BQ239</f>
        <v>300.60000000000002</v>
      </c>
      <c r="BR257" s="61">
        <f>IF(ISERROR((BQ257/BI257-1)*100),"NA",IF(((BQ257/BI257-1)*100)&gt;100,"NM",IF(((BQ257/BI257-1)*100)&lt;-50,"NM",(BQ257/BI257-1)*100)))</f>
        <v>18.346456692913392</v>
      </c>
      <c r="BS257" s="69">
        <f>BS239</f>
        <v>304.7</v>
      </c>
      <c r="BT257" s="61">
        <f>IF(ISERROR((BS257/BK257-1)*100),"NA",IF(((BS257/BK257-1)*100)&gt;100,"NM",IF(((BS257/BK257-1)*100)&lt;-50,"NM",(BS257/BK257-1)*100)))</f>
        <v>4.0286787299419702</v>
      </c>
      <c r="BU257" s="69">
        <f>BU239</f>
        <v>300.7</v>
      </c>
      <c r="BV257" s="61">
        <f>IF(ISERROR((BU257/BM257-1)*100),"NA",IF(((BU257/BM257-1)*100)&gt;100,"NM",IF(((BU257/BM257-1)*100)&lt;-50,"NM",(BU257/BM257-1)*100)))</f>
        <v>0.83836351441985979</v>
      </c>
      <c r="BW257" s="69">
        <f>BW239</f>
        <v>302.8</v>
      </c>
      <c r="BX257" s="61">
        <f>IF(ISERROR((BW257/BO257-1)*100),"NA",IF(((BW257/BO257-1)*100)&gt;100,"NM",IF(((BW257/BO257-1)*100)&lt;-50,"NM",(BW257/BO257-1)*100)))</f>
        <v>2.1247892074198971</v>
      </c>
      <c r="BY257" s="69">
        <f>BY239</f>
        <v>290.8</v>
      </c>
      <c r="BZ257" s="61">
        <f>IF(ISERROR((BY257/BQ257-1)*100),"NA",IF(((BY257/BQ257-1)*100)&gt;100,"NM",IF(((BY257/BQ257-1)*100)&lt;-50,"NM",(BY257/BQ257-1)*100)))</f>
        <v>-3.2601463739188374</v>
      </c>
      <c r="CA257" s="69">
        <f>CA239</f>
        <v>292.89999999999998</v>
      </c>
      <c r="CB257" s="61">
        <f>IF(ISERROR((CA257/BS257-1)*100),"NA",IF(((CA257/BS257-1)*100)&gt;100,"NM",IF(((CA257/BS257-1)*100)&lt;-50,"NM",(CA257/BS257-1)*100)))</f>
        <v>-3.872661634394492</v>
      </c>
      <c r="CC257" s="69">
        <f>CC239</f>
        <v>297.7</v>
      </c>
      <c r="CD257" s="61">
        <f>IF(ISERROR((CC257/BU257-1)*100),"NA",IF(((CC257/BU257-1)*100)&gt;100,"NM",IF(((CC257/BU257-1)*100)&lt;-50,"NM",(CC257/BU257-1)*100)))</f>
        <v>-0.99767209843698579</v>
      </c>
      <c r="CE257" s="69">
        <f>CE239</f>
        <v>296.89999999999998</v>
      </c>
      <c r="CF257" s="61">
        <f>IF(ISERROR((CE257/BW257-1)*100),"NA",IF(((CE257/BW257-1)*100)&gt;100,"NM",IF(((CE257/BW257-1)*100)&lt;-50,"NM",(CE257/BW257-1)*100)))</f>
        <v>-1.9484808454425462</v>
      </c>
      <c r="CG257" s="69">
        <f>CG239</f>
        <v>298.8</v>
      </c>
      <c r="CH257" s="61">
        <f>IF(ISERROR((CG257/BY257-1)*100),"NA",IF(((CG257/BY257-1)*100)&gt;100,"NM",IF(((CG257/BY257-1)*100)&lt;-50,"NM",(CG257/BY257-1)*100)))</f>
        <v>2.7510316368638321</v>
      </c>
      <c r="CI257" s="69">
        <f>CI239</f>
        <v>299.5</v>
      </c>
      <c r="CJ257" s="61">
        <f>IF(ISERROR((CI257/CA257-1)*100),"NA",IF(((CI257/CA257-1)*100)&gt;100,"NM",IF(((CI257/CA257-1)*100)&lt;-50,"NM",(CI257/CA257-1)*100)))</f>
        <v>2.2533287811539848</v>
      </c>
      <c r="CK257" s="69">
        <f>CK239</f>
        <v>302.89999999999998</v>
      </c>
      <c r="CL257" s="61">
        <f>IF(ISERROR((CK257/CC257-1)*100),"NA",IF(((CK257/CC257-1)*100)&gt;100,"NM",IF(((CK257/CC257-1)*100)&lt;-50,"NM",(CK257/CC257-1)*100)))</f>
        <v>1.7467248908296984</v>
      </c>
      <c r="CM257" s="69">
        <f>CM239</f>
        <v>302</v>
      </c>
      <c r="CN257" s="61">
        <f>IF(ISERROR((CM257/CE257-1)*100),"NA",IF(((CM257/CE257-1)*100)&gt;100,"NM",IF(((CM257/CE257-1)*100)&lt;-50,"NM",(CM257/CE257-1)*100)))</f>
        <v>1.717750084203451</v>
      </c>
      <c r="CO257" s="69">
        <f>CO239</f>
        <v>307.5</v>
      </c>
      <c r="CP257" s="61">
        <f>IF(ISERROR((CO257/CG257-1)*100),"NA",IF(((CO257/CG257-1)*100)&gt;100,"NM",IF(((CO257/CG257-1)*100)&lt;-50,"NM",(CO257/CG257-1)*100)))</f>
        <v>2.9116465863453733</v>
      </c>
      <c r="CQ257" s="69">
        <f>CQ239</f>
        <v>311.89999999999998</v>
      </c>
      <c r="CR257" s="61">
        <f>IF(ISERROR((CQ257/CI257-1)*100),"NA",IF(((CQ257/CI257-1)*100)&gt;100,"NM",IF(((CQ257/CI257-1)*100)&lt;-50,"NM",(CQ257/CI257-1)*100)))</f>
        <v>4.1402337228714448</v>
      </c>
      <c r="CS257" s="69">
        <f>CS239</f>
        <v>318</v>
      </c>
      <c r="CT257" s="61">
        <f>IF(ISERROR((CS257/CK257-1)*100),"NA",IF(((CS257/CK257-1)*100)&gt;100,"NM",IF(((CS257/CK257-1)*100)&lt;-50,"NM",(CS257/CK257-1)*100)))</f>
        <v>4.9851436117530623</v>
      </c>
      <c r="CU257" s="69">
        <f>CU239</f>
        <v>312</v>
      </c>
      <c r="CV257" s="61">
        <f>IF(ISERROR((CU257/CM257-1)*100),"NA",IF(((CU257/CM257-1)*100)&gt;100,"NM",IF(((CU257/CM257-1)*100)&lt;-50,"NM",(CU257/CM257-1)*100)))</f>
        <v>3.3112582781456901</v>
      </c>
      <c r="CW257" s="69">
        <f>CW239</f>
        <v>312</v>
      </c>
      <c r="CX257" s="61">
        <f>IF(ISERROR((CW257/CO257-1)*100),"NA",IF(((CW257/CO257-1)*100)&gt;100,"NM",IF(((CW257/CO257-1)*100)&lt;-50,"NM",(CW257/CO257-1)*100)))</f>
        <v>1.4634146341463428</v>
      </c>
      <c r="CY257" s="69">
        <f>CY239</f>
        <v>320</v>
      </c>
      <c r="CZ257" s="61">
        <f>IF(ISERROR((CY257/CQ257-1)*100),"NA",IF(((CY257/CQ257-1)*100)&gt;100,"NM",IF(((CY257/CQ257-1)*100)&lt;-50,"NM",(CY257/CQ257-1)*100)))</f>
        <v>2.5969862135299948</v>
      </c>
      <c r="DA257" s="69">
        <f>DA239</f>
        <v>316</v>
      </c>
      <c r="DB257" s="61">
        <f>IF(ISERROR((DA257/CS257-1)*100),"NA",IF(((DA257/CS257-1)*100)&gt;100,"NM",IF(((DA257/CS257-1)*100)&lt;-50,"NM",(DA257/CS257-1)*100)))</f>
        <v>-0.62893081761006275</v>
      </c>
      <c r="DC257" s="69">
        <f>DC239</f>
        <v>320</v>
      </c>
      <c r="DD257" s="61">
        <f>IF(ISERROR((DC257/CU257-1)*100),"NA",IF(((DC257/CU257-1)*100)&gt;100,"NM",IF(((DC257/CU257-1)*100)&lt;-50,"NM",(DC257/CU257-1)*100)))</f>
        <v>2.564102564102555</v>
      </c>
      <c r="DE257" s="69">
        <f>DE239</f>
        <v>325</v>
      </c>
      <c r="DF257" s="61">
        <f>IF(ISERROR((DE257/CW257-1)*100),"NA",IF(((DE257/CW257-1)*100)&gt;100,"NM",IF(((DE257/CW257-1)*100)&lt;-50,"NM",(DE257/CW257-1)*100)))</f>
        <v>4.1666666666666741</v>
      </c>
      <c r="DG257" s="69">
        <f>DG239</f>
        <v>329</v>
      </c>
      <c r="DH257" s="61">
        <f>IF(ISERROR((DG257/CY257-1)*100),"NA",IF(((DG257/CY257-1)*100)&gt;100,"NM",IF(((DG257/CY257-1)*100)&lt;-50,"NM",(DG257/CY257-1)*100)))</f>
        <v>2.8124999999999956</v>
      </c>
      <c r="DI257" s="69">
        <f>DI239</f>
        <v>332</v>
      </c>
      <c r="DJ257" s="61">
        <f>IF(ISERROR((DI257/DA257-1)*100),"NA",IF(((DI257/DA257-1)*100)&gt;100,"NM",IF(((DI257/DA257-1)*100)&lt;-50,"NM",(DI257/DA257-1)*100)))</f>
        <v>5.0632911392405111</v>
      </c>
      <c r="DK257" s="69">
        <f>DK239</f>
        <v>334</v>
      </c>
      <c r="DL257" s="61">
        <f>IF(ISERROR((DK257/DC257-1)*100),"NA",IF(((DK257/DC257-1)*100)&gt;100,"NM",IF(((DK257/DC257-1)*100)&lt;-50,"NM",(DK257/DC257-1)*100)))</f>
        <v>4.3749999999999956</v>
      </c>
      <c r="DM257" s="69">
        <f>DM239</f>
        <v>337</v>
      </c>
      <c r="DN257" s="130">
        <f t="shared" si="1821"/>
        <v>3.6923076923076836</v>
      </c>
      <c r="DO257" s="69">
        <f>DO239</f>
        <v>337</v>
      </c>
      <c r="DP257" s="130">
        <f t="shared" si="1821"/>
        <v>2.4316109422492405</v>
      </c>
      <c r="DQ257" s="69">
        <f>DQ239</f>
        <v>341</v>
      </c>
      <c r="DR257" s="130">
        <f t="shared" si="1821"/>
        <v>2.7108433734939652</v>
      </c>
      <c r="DS257" s="69">
        <f>DS239</f>
        <v>338</v>
      </c>
      <c r="DT257" s="130">
        <f t="shared" si="1821"/>
        <v>1.1976047904191711</v>
      </c>
      <c r="DU257" s="69">
        <f>DU239</f>
        <v>345</v>
      </c>
      <c r="DV257" s="130">
        <f t="shared" si="1821"/>
        <v>2.3738872403560762</v>
      </c>
      <c r="DW257" s="69">
        <f>DW239</f>
        <v>344</v>
      </c>
      <c r="DX257" s="69">
        <f t="shared" ref="DX257:DY257" si="1835">DX239</f>
        <v>344</v>
      </c>
      <c r="DY257" s="69">
        <f t="shared" si="1835"/>
        <v>352</v>
      </c>
      <c r="DZ257" s="130">
        <f t="shared" si="1821"/>
        <v>3.2258064516129004</v>
      </c>
      <c r="EA257" s="69">
        <f t="shared" ref="EA257:EC257" si="1836">EA239</f>
        <v>348</v>
      </c>
      <c r="EB257" s="130">
        <f t="shared" si="1822"/>
        <v>2.9585798816567976</v>
      </c>
      <c r="EC257" s="69">
        <f t="shared" si="1836"/>
        <v>349</v>
      </c>
      <c r="ED257" s="130">
        <f t="shared" si="1823"/>
        <v>1.1594202898550732</v>
      </c>
      <c r="EE257" s="69">
        <f t="shared" ref="EE257:EG257" si="1837">EE239</f>
        <v>349</v>
      </c>
      <c r="EF257" s="130">
        <f t="shared" si="1824"/>
        <v>1.4534883720930258</v>
      </c>
      <c r="EG257" s="69">
        <f t="shared" si="1837"/>
        <v>348</v>
      </c>
      <c r="EH257" s="130">
        <f t="shared" si="1825"/>
        <v>-1.1363636363636354</v>
      </c>
      <c r="EI257" s="69">
        <f t="shared" ref="EI257:EK257" si="1838">EI239</f>
        <v>349</v>
      </c>
      <c r="EJ257" s="130">
        <f t="shared" si="1826"/>
        <v>0.28735632183907178</v>
      </c>
      <c r="EK257" s="69">
        <f t="shared" si="1838"/>
        <v>349</v>
      </c>
      <c r="EL257" s="130">
        <f t="shared" si="1827"/>
        <v>0</v>
      </c>
      <c r="EM257" s="69">
        <f t="shared" ref="EM257" si="1839">EM239</f>
        <v>350</v>
      </c>
      <c r="EN257" s="130">
        <f t="shared" si="1828"/>
        <v>0.28653295128939771</v>
      </c>
      <c r="EO257" s="69">
        <f t="shared" ref="EO257" si="1840">EO239</f>
        <v>355</v>
      </c>
      <c r="EP257" s="130">
        <f t="shared" si="1829"/>
        <v>2.0114942528735691</v>
      </c>
      <c r="EQ257" s="69">
        <f t="shared" ref="EQ257:EW257" si="1841">EQ239</f>
        <v>357.00450703765136</v>
      </c>
      <c r="ER257" s="130">
        <f t="shared" si="1831"/>
        <v>2.2935550251150127</v>
      </c>
      <c r="ES257" s="69">
        <f t="shared" si="1841"/>
        <v>359.17790041538416</v>
      </c>
      <c r="ET257" s="130">
        <f t="shared" si="1832"/>
        <v>2.9163038439496081</v>
      </c>
      <c r="EU257" s="69">
        <f t="shared" si="1841"/>
        <v>361.35101354855328</v>
      </c>
      <c r="EV257" s="130">
        <f t="shared" si="1833"/>
        <v>3.2431467281580861</v>
      </c>
      <c r="EW257" s="69">
        <f t="shared" si="1841"/>
        <v>363.54489401606111</v>
      </c>
      <c r="EX257" s="130">
        <f t="shared" si="1834"/>
        <v>2.4070123988904513</v>
      </c>
      <c r="EY257" s="64"/>
      <c r="EZ257" s="558"/>
      <c r="FA257" s="64"/>
      <c r="FB257" s="69"/>
      <c r="FC257" s="71"/>
      <c r="FD257" s="69"/>
      <c r="FE257" s="70"/>
      <c r="FF257" s="69"/>
      <c r="FG257" s="70"/>
      <c r="FH257" s="69"/>
      <c r="FI257" s="70"/>
      <c r="FJ257" s="69"/>
      <c r="FK257" s="70"/>
      <c r="FL257" s="778"/>
      <c r="FM257" s="61"/>
      <c r="FN257" s="778">
        <v>0</v>
      </c>
      <c r="FO257" s="61"/>
      <c r="FP257" s="73">
        <f>FP239</f>
        <v>559.9</v>
      </c>
      <c r="FQ257" s="61" t="str">
        <f>IF(ISERROR((FP257/FN257-1)*100),"NA",IF(((FP257/FN257-1)*100)&gt;100,"NM",IF(((FP257/FN257-1)*100)&lt;-50,"NM",(FP257/FN257-1)*100)))</f>
        <v>NA</v>
      </c>
      <c r="FR257" s="73">
        <f>FR239</f>
        <v>882.09999999999991</v>
      </c>
      <c r="FS257" s="61">
        <f>IF(ISERROR((FR257/FP257-1)*100),"NA",IF(((FR257/FP257-1)*100)&gt;100,"NM",IF(((FR257/FP257-1)*100)&lt;-50,"NM",(FR257/FP257-1)*100)))</f>
        <v>57.545990355420606</v>
      </c>
      <c r="FT257" s="73">
        <f>FT239</f>
        <v>1096.8</v>
      </c>
      <c r="FU257" s="61">
        <f>IF(ISERROR((FT257/FR257-1)*100),"NA",IF(((FT257/FR257-1)*100)&gt;100,"NM",IF(((FT257/FR257-1)*100)&lt;-50,"NM",(FT257/FR257-1)*100)))</f>
        <v>24.339644031288987</v>
      </c>
      <c r="FV257" s="73">
        <f>FV239</f>
        <v>1202.5</v>
      </c>
      <c r="FW257" s="61">
        <f>IF(ISERROR((FV257/FT257-1)*100),"NA",IF(((FV257/FT257-1)*100)&gt;100,"NM",IF(((FV257/FT257-1)*100)&lt;-50,"NM",(FV257/FT257-1)*100)))</f>
        <v>9.6371261852662435</v>
      </c>
      <c r="FX257" s="73">
        <f>FX239</f>
        <v>1184.2</v>
      </c>
      <c r="FY257" s="61">
        <f>IF(ISERROR((FX257/FV257-1)*100),"NA",IF(((FX257/FV257-1)*100)&gt;100,"NM",IF(((FX257/FV257-1)*100)&lt;-50,"NM",(FX257/FV257-1)*100)))</f>
        <v>-1.5218295218295208</v>
      </c>
      <c r="FZ257" s="73">
        <f>FZ239</f>
        <v>1198.0999999999999</v>
      </c>
      <c r="GA257" s="61">
        <f>IF(ISERROR((FZ257/FX257-1)*100),"NA",IF(((FZ257/FX257-1)*100)&gt;100,"NM",IF(((FZ257/FX257-1)*100)&lt;-50,"NM",(FZ257/FX257-1)*100)))</f>
        <v>1.1737882114507547</v>
      </c>
      <c r="GB257" s="73">
        <f>GB239</f>
        <v>1239.4000000000001</v>
      </c>
      <c r="GC257" s="61">
        <f>IF(ISERROR((GB257/FZ257-1)*100),"NA",IF(((GB257/FZ257-1)*100)&gt;100,"NM",IF(((GB257/FZ257-1)*100)&lt;-50,"NM",(GB257/FZ257-1)*100)))</f>
        <v>3.4471246139721412</v>
      </c>
      <c r="GD257" s="73">
        <f>GD239</f>
        <v>1260</v>
      </c>
      <c r="GE257" s="61">
        <f>IF(ISERROR((GD257/GB257-1)*100),"NA",IF(((GD257/GB257-1)*100)&gt;100,"NM",IF(((GD257/GB257-1)*100)&lt;-50,"NM",(GD257/GB257-1)*100)))</f>
        <v>1.6620945618847749</v>
      </c>
      <c r="GF257" s="73">
        <f>GF239</f>
        <v>1306</v>
      </c>
      <c r="GG257" s="61">
        <f>IF(ISERROR((GF257/GD257-1)*100),"NA",IF(((GF257/GD257-1)*100)&gt;100,"NM",IF(((GF257/GD257-1)*100)&lt;-50,"NM",(GF257/GD257-1)*100)))</f>
        <v>3.65079365079366</v>
      </c>
      <c r="GH257" s="73">
        <f>GH239</f>
        <v>1349</v>
      </c>
      <c r="GI257" s="61">
        <f>IF(ISERROR((GH257/GF257-1)*100),"NA",IF(((GH257/GF257-1)*100)&gt;100,"NM",IF(((GH257/GF257-1)*100)&lt;-50,"NM",(GH257/GF257-1)*100)))</f>
        <v>3.2924961715160794</v>
      </c>
      <c r="GJ257" s="73">
        <f>GJ239</f>
        <v>1379</v>
      </c>
      <c r="GK257" s="61">
        <f>IF(ISERROR((GJ257/GH257-1)*100),"NA",IF(((GJ257/GH257-1)*100)&gt;100,"NM",IF(((GJ257/GH257-1)*100)&lt;-50,"NM",(GJ257/GH257-1)*100)))</f>
        <v>2.2238695329873881</v>
      </c>
      <c r="GL257" s="73">
        <f>GL239</f>
        <v>1394</v>
      </c>
      <c r="GM257" s="61">
        <f>IF(ISERROR((GL257/GJ257-1)*100),"NA",IF(((GL257/GJ257-1)*100)&gt;100,"NM",IF(((GL257/GJ257-1)*100)&lt;-50,"NM",(GL257/GJ257-1)*100)))</f>
        <v>1.0877447425670761</v>
      </c>
      <c r="GN257" s="73">
        <f>GN239</f>
        <v>1403</v>
      </c>
      <c r="GO257" s="61">
        <f>IF(ISERROR((GN257/GL257-1)*100),"NA",IF(((GN257/GL257-1)*100)&gt;100,"NM",IF(((GN257/GL257-1)*100)&lt;-50,"NM",(GN257/GL257-1)*100)))</f>
        <v>0.64562410329984665</v>
      </c>
      <c r="GP257" s="73">
        <f>GP239</f>
        <v>1441.0783150176499</v>
      </c>
      <c r="GQ257" s="61">
        <f>IF(ISERROR((GP257/GN257-1)*100),"NA",IF(((GP257/GN257-1)*100)&gt;100,"NM",IF(((GP257/GN257-1)*100)&lt;-50,"NM",(GP257/GN257-1)*100)))</f>
        <v>2.7140637931325706</v>
      </c>
      <c r="GR257" s="69">
        <f>GR239</f>
        <v>1477.2559437556274</v>
      </c>
      <c r="GS257" s="61">
        <f>IF(ISERROR((GR257/GP257-1)*100),"NA",IF(((GR257/GP257-1)*100)&gt;100,"NM",IF(((GR257/GP257-1)*100)&lt;-50,"NM",(GR257/GP257-1)*100)))</f>
        <v>2.5104554250082067</v>
      </c>
      <c r="GT257" s="69">
        <f>GT239</f>
        <v>1522.1126140829278</v>
      </c>
      <c r="GU257" s="61">
        <f>IF(ISERROR((GT257/GR257-1)*100),"NA",IF(((GT257/GR257-1)*100)&gt;100,"NM",IF(((GT257/GR257-1)*100)&lt;-50,"NM",(GT257/GR257-1)*100)))</f>
        <v>3.0364860278213834</v>
      </c>
      <c r="GV257" s="69">
        <f>GV239</f>
        <v>1560.8181315599597</v>
      </c>
      <c r="GW257" s="61">
        <f>IF(ISERROR((GV257/GT257-1)*100),"NA",IF(((GV257/GT257-1)*100)&gt;100,"NM",IF(((GV257/GT257-1)*100)&lt;-50,"NM",(GV257/GT257-1)*100)))</f>
        <v>2.5428813294706254</v>
      </c>
      <c r="GX257" s="69">
        <f>GX239</f>
        <v>1601.0751912418366</v>
      </c>
      <c r="GY257" s="61">
        <f>IF(ISERROR((GX257/GV257-1)*100),"NA",IF(((GX257/GV257-1)*100)&gt;100,"NM",IF(((GX257/GV257-1)*100)&lt;-50,"NM",(GX257/GV257-1)*100)))</f>
        <v>2.5792280899275433</v>
      </c>
      <c r="GZ257" s="61">
        <f t="shared" si="1820"/>
        <v>2.6764421357765134</v>
      </c>
      <c r="HA257" s="61"/>
      <c r="HB257" s="452"/>
      <c r="HC257"/>
      <c r="HD257"/>
      <c r="HE257"/>
      <c r="HF257"/>
      <c r="HG257"/>
      <c r="HH257"/>
    </row>
    <row r="258" spans="1:216" s="5" customFormat="1" ht="12.75" customHeight="1" x14ac:dyDescent="0.2">
      <c r="B258" s="2" t="s">
        <v>521</v>
      </c>
      <c r="C258" s="72"/>
      <c r="D258" s="70"/>
      <c r="E258" s="72"/>
      <c r="F258" s="71"/>
      <c r="G258" s="74"/>
      <c r="H258" s="71"/>
      <c r="I258" s="74"/>
      <c r="J258" s="61"/>
      <c r="K258" s="74"/>
      <c r="L258" s="61"/>
      <c r="M258" s="72"/>
      <c r="N258" s="61"/>
      <c r="O258" s="74"/>
      <c r="P258" s="61"/>
      <c r="Q258" s="74"/>
      <c r="R258" s="61"/>
      <c r="S258" s="74"/>
      <c r="T258" s="61"/>
      <c r="U258" s="74"/>
      <c r="V258" s="61"/>
      <c r="W258" s="74"/>
      <c r="X258" s="61"/>
      <c r="Y258" s="74"/>
      <c r="Z258" s="61"/>
      <c r="AA258" s="74"/>
      <c r="AB258" s="61"/>
      <c r="AC258" s="74"/>
      <c r="AD258" s="61"/>
      <c r="AE258" s="74"/>
      <c r="AF258" s="61"/>
      <c r="AG258" s="74"/>
      <c r="AH258" s="61"/>
      <c r="AI258" s="74"/>
      <c r="AJ258" s="61"/>
      <c r="AK258" s="74"/>
      <c r="AL258" s="61"/>
      <c r="AM258" s="74"/>
      <c r="AN258" s="61"/>
      <c r="AO258" s="74"/>
      <c r="AP258" s="61"/>
      <c r="AQ258" s="74">
        <f>72.1-79.5</f>
        <v>-7.4000000000000057</v>
      </c>
      <c r="AR258" s="61" t="str">
        <f>IF(ISERROR((AQ258/AI258-1)*100),"NA",IF(((AQ258/AI258-1)*100)&gt;100,"NM",IF(((AQ258/AI258-1)*100)&lt;-50,"NM",(AQ258/AI258-1)*100)))</f>
        <v>NA</v>
      </c>
      <c r="AS258" s="74">
        <f>-85.7+66.9</f>
        <v>-18.799999999999997</v>
      </c>
      <c r="AT258" s="61" t="str">
        <f>IF(ISERROR((AS258/AK258-1)*100),"NA",IF(((AS258/AK258-1)*100)&gt;100,"NM",IF(((AS258/AK258-1)*100)&lt;-50,"NM",(AS258/AK258-1)*100)))</f>
        <v>NA</v>
      </c>
      <c r="AU258" s="74">
        <f>-94.7+44.6</f>
        <v>-50.1</v>
      </c>
      <c r="AV258" s="61" t="str">
        <f>IF(ISERROR((AU258/AM258-1)*100),"NA",IF(((AU258/AM258-1)*100)&gt;100,"NM",IF(((AU258/AM258-1)*100)&lt;-50,"NM",(AU258/AM258-1)*100)))</f>
        <v>NA</v>
      </c>
      <c r="AW258" s="74">
        <f>-113.8+75.2</f>
        <v>-38.599999999999994</v>
      </c>
      <c r="AX258" s="61" t="str">
        <f>IF(ISERROR((AW258/AO258-1)*100),"NA",IF(((AW258/AO258-1)*100)&gt;100,"NM",IF(((AW258/AO258-1)*100)&lt;-50,"NM",(AW258/AO258-1)*100)))</f>
        <v>NA</v>
      </c>
      <c r="AY258" s="74">
        <f>-90.1+73.6</f>
        <v>-16.5</v>
      </c>
      <c r="AZ258" s="61" t="str">
        <f>IF(ISERROR((AY258/AQ258-1)*100),"NA",IF(((AY258/AQ258-1)*100)&gt;100,"NM",IF(((AY258/AQ258-1)*100)&lt;-50,"NM",(AY258/AQ258-1)*100)))</f>
        <v>NM</v>
      </c>
      <c r="BA258" s="74">
        <f>-199.8+106.7</f>
        <v>-93.100000000000009</v>
      </c>
      <c r="BB258" s="61" t="str">
        <f>IF(ISERROR((BA258/AS258-1)*100),"NA",IF(((BA258/AS258-1)*100)&gt;100,"NM",IF(((BA258/AS258-1)*100)&lt;-50,"NM",(BA258/AS258-1)*100)))</f>
        <v>NM</v>
      </c>
      <c r="BC258" s="74">
        <f>-226.6+116.3</f>
        <v>-110.3</v>
      </c>
      <c r="BD258" s="61" t="str">
        <f>IF(ISERROR((BC258/AU258-1)*100),"NA",IF(((BC258/AU258-1)*100)&gt;100,"NM",IF(((BC258/AU258-1)*100)&lt;-50,"NM",(BC258/AU258-1)*100)))</f>
        <v>NM</v>
      </c>
      <c r="BE258" s="74">
        <f>-291.3+140.5</f>
        <v>-150.80000000000001</v>
      </c>
      <c r="BF258" s="61" t="str">
        <f>IF(ISERROR((BE258/AW258-1)*100),"NA",IF(((BE258/AW258-1)*100)&gt;100,"NM",IF(((BE258/AW258-1)*100)&lt;-50,"NM",(BE258/AW258-1)*100)))</f>
        <v>NM</v>
      </c>
      <c r="BG258" s="74">
        <f>-288.9+139.1</f>
        <v>-149.79999999999998</v>
      </c>
      <c r="BH258" s="61" t="str">
        <f>IF(ISERROR((BG258/AY258-1)*100),"NA",IF(((BG258/AY258-1)*100)&gt;100,"NM",IF(((BG258/AY258-1)*100)&lt;-50,"NM",(BG258/AY258-1)*100)))</f>
        <v>NM</v>
      </c>
      <c r="BI258" s="74">
        <f>-272.4+89.6</f>
        <v>-182.79999999999998</v>
      </c>
      <c r="BJ258" s="61">
        <f>IF(ISERROR((BI258/BA258-1)*100),"NA",IF(((BI258/BA258-1)*100)&gt;100,"NM",IF(((BI258/BA258-1)*100)&lt;-50,"NM",(BI258/BA258-1)*100)))</f>
        <v>96.348012889366231</v>
      </c>
      <c r="BK258" s="74">
        <f>-277.1+149.2</f>
        <v>-127.90000000000003</v>
      </c>
      <c r="BL258" s="61">
        <f>IF(ISERROR((BK258/BC258-1)*100),"NA",IF(((BK258/BC258-1)*100)&gt;100,"NM",IF(((BK258/BC258-1)*100)&lt;-50,"NM",(BK258/BC258-1)*100)))</f>
        <v>15.956482320942911</v>
      </c>
      <c r="BM258" s="74">
        <f>-282.2+122.5</f>
        <v>-159.69999999999999</v>
      </c>
      <c r="BN258" s="61">
        <f>IF(ISERROR((BM258/BE258-1)*100),"NA",IF(((BM258/BE258-1)*100)&gt;100,"NM",IF(((BM258/BE258-1)*100)&lt;-50,"NM",(BM258/BE258-1)*100)))</f>
        <v>5.9018567639257169</v>
      </c>
      <c r="BO258" s="74">
        <f>-245.8+132.6</f>
        <v>-113.20000000000002</v>
      </c>
      <c r="BP258" s="61">
        <f>IF(ISERROR((BO258/BG258-1)*100),"NA",IF(((BO258/BG258-1)*100)&gt;100,"NM",IF(((BO258/BG258-1)*100)&lt;-50,"NM",(BO258/BG258-1)*100)))</f>
        <v>-24.432576769025349</v>
      </c>
      <c r="BQ258" s="74">
        <f>-237.2+162.3</f>
        <v>-74.899999999999977</v>
      </c>
      <c r="BR258" s="61" t="str">
        <f>IF(ISERROR((BQ258/BI258-1)*100),"NA",IF(((BQ258/BI258-1)*100)&gt;100,"NM",IF(((BQ258/BI258-1)*100)&lt;-50,"NM",(BQ258/BI258-1)*100)))</f>
        <v>NM</v>
      </c>
      <c r="BS258" s="74">
        <f>-260.8+79.9</f>
        <v>-180.9</v>
      </c>
      <c r="BT258" s="61">
        <f>IF(ISERROR((BS258/BK258-1)*100),"NA",IF(((BS258/BK258-1)*100)&gt;100,"NM",IF(((BS258/BK258-1)*100)&lt;-50,"NM",(BS258/BK258-1)*100)))</f>
        <v>41.438623924941332</v>
      </c>
      <c r="BU258" s="74">
        <f>-272.5+175.7</f>
        <v>-96.800000000000011</v>
      </c>
      <c r="BV258" s="61">
        <f>IF(ISERROR((BU258/BM258-1)*100),"NA",IF(((BU258/BM258-1)*100)&gt;100,"NM",IF(((BU258/BM258-1)*100)&lt;-50,"NM",(BU258/BM258-1)*100)))</f>
        <v>-39.386349405134609</v>
      </c>
      <c r="BW258" s="74">
        <f>-224.5+127.1</f>
        <v>-97.4</v>
      </c>
      <c r="BX258" s="61">
        <f>IF(ISERROR((BW258/BO258-1)*100),"NA",IF(((BW258/BO258-1)*100)&gt;100,"NM",IF(((BW258/BO258-1)*100)&lt;-50,"NM",(BW258/BO258-1)*100)))</f>
        <v>-13.957597173144887</v>
      </c>
      <c r="BY258" s="74">
        <f>-197.5+113.9</f>
        <v>-83.6</v>
      </c>
      <c r="BZ258" s="61">
        <f>IF(ISERROR((BY258/BQ258-1)*100),"NA",IF(((BY258/BQ258-1)*100)&gt;100,"NM",IF(((BY258/BQ258-1)*100)&lt;-50,"NM",(BY258/BQ258-1)*100)))</f>
        <v>11.615487316421923</v>
      </c>
      <c r="CA258" s="74">
        <f>-213.4+194.1</f>
        <v>-19.300000000000011</v>
      </c>
      <c r="CB258" s="61" t="str">
        <f>IF(ISERROR((CA258/BS258-1)*100),"NA",IF(((CA258/BS258-1)*100)&gt;100,"NM",IF(((CA258/BS258-1)*100)&lt;-50,"NM",(CA258/BS258-1)*100)))</f>
        <v>NM</v>
      </c>
      <c r="CC258" s="74">
        <f>-264.2+136</f>
        <v>-128.19999999999999</v>
      </c>
      <c r="CD258" s="61">
        <f>IF(ISERROR((CC258/BU258-1)*100),"NA",IF(((CC258/BU258-1)*100)&gt;100,"NM",IF(((CC258/BU258-1)*100)&lt;-50,"NM",(CC258/BU258-1)*100)))</f>
        <v>32.438016528925594</v>
      </c>
      <c r="CE258" s="74">
        <f>-223+145.8</f>
        <v>-77.199999999999989</v>
      </c>
      <c r="CF258" s="61">
        <f>IF(ISERROR((CE258/BW258-1)*100),"NA",IF(((CE258/BW258-1)*100)&gt;100,"NM",IF(((CE258/BW258-1)*100)&lt;-50,"NM",(CE258/BW258-1)*100)))</f>
        <v>-20.739219712525681</v>
      </c>
      <c r="CG258" s="74">
        <f>-208.2+158.6</f>
        <v>-49.599999999999994</v>
      </c>
      <c r="CH258" s="61">
        <f>IF(ISERROR((CG258/BY258-1)*100),"NA",IF(((CG258/BY258-1)*100)&gt;100,"NM",IF(((CG258/BY258-1)*100)&lt;-50,"NM",(CG258/BY258-1)*100)))</f>
        <v>-40.669856459330148</v>
      </c>
      <c r="CI258" s="74">
        <f>-213+68.4</f>
        <v>-144.6</v>
      </c>
      <c r="CJ258" s="61" t="str">
        <f>IF(ISERROR((CI258/CA258-1)*100),"NA",IF(((CI258/CA258-1)*100)&gt;100,"NM",IF(((CI258/CA258-1)*100)&lt;-50,"NM",(CI258/CA258-1)*100)))</f>
        <v>NM</v>
      </c>
      <c r="CK258" s="74">
        <f>-270.7+165</f>
        <v>-105.69999999999999</v>
      </c>
      <c r="CL258" s="61">
        <f>IF(ISERROR((CK258/CC258-1)*100),"NA",IF(((CK258/CC258-1)*100)&gt;100,"NM",IF(((CK258/CC258-1)*100)&lt;-50,"NM",(CK258/CC258-1)*100)))</f>
        <v>-17.550702028081123</v>
      </c>
      <c r="CM258" s="74">
        <f>44.8-194</f>
        <v>-149.19999999999999</v>
      </c>
      <c r="CN258" s="61">
        <f>IF(ISERROR((CM258/CE258-1)*100),"NA",IF(((CM258/CE258-1)*100)&gt;100,"NM",IF(((CM258/CE258-1)*100)&lt;-50,"NM",(CM258/CE258-1)*100)))</f>
        <v>93.264248704663231</v>
      </c>
      <c r="CO258" s="74">
        <f>-27.1-192.2</f>
        <v>-219.29999999999998</v>
      </c>
      <c r="CP258" s="61" t="str">
        <f>IF(ISERROR((CO258/CG258-1)*100),"NA",IF(((CO258/CG258-1)*100)&gt;100,"NM",IF(((CO258/CG258-1)*100)&lt;-50,"NM",(CO258/CG258-1)*100)))</f>
        <v>NM</v>
      </c>
      <c r="CQ258" s="74">
        <f>344.2-183.2</f>
        <v>161</v>
      </c>
      <c r="CR258" s="61" t="str">
        <f>IF(ISERROR((CQ258/CI258-1)*100),"NA",IF(((CQ258/CI258-1)*100)&gt;100,"NM",IF(((CQ258/CI258-1)*100)&lt;-50,"NM",(CQ258/CI258-1)*100)))</f>
        <v>NM</v>
      </c>
      <c r="CS258" s="74">
        <f>61-211</f>
        <v>-150</v>
      </c>
      <c r="CT258" s="61">
        <f>IF(ISERROR((CS258/CK258-1)*100),"NA",IF(((CS258/CK258-1)*100)&gt;100,"NM",IF(((CS258/CK258-1)*100)&lt;-50,"NM",(CS258/CK258-1)*100)))</f>
        <v>41.911069063386954</v>
      </c>
      <c r="CU258" s="74">
        <f>80-145</f>
        <v>-65</v>
      </c>
      <c r="CV258" s="61" t="str">
        <f>IF(ISERROR((CU258/CM258-1)*100),"NA",IF(((CU258/CM258-1)*100)&gt;100,"NM",IF(((CU258/CM258-1)*100)&lt;-50,"NM",(CU258/CM258-1)*100)))</f>
        <v>NM</v>
      </c>
      <c r="CW258" s="74">
        <f>97-143</f>
        <v>-46</v>
      </c>
      <c r="CX258" s="61" t="str">
        <f>IF(ISERROR((CW258/CO258-1)*100),"NA",IF(((CW258/CO258-1)*100)&gt;100,"NM",IF(((CW258/CO258-1)*100)&lt;-50,"NM",(CW258/CO258-1)*100)))</f>
        <v>NM</v>
      </c>
      <c r="CY258" s="74">
        <f>313-131</f>
        <v>182</v>
      </c>
      <c r="CZ258" s="61">
        <f>IF(ISERROR((CY258/CQ258-1)*100),"NA",IF(((CY258/CQ258-1)*100)&gt;100,"NM",IF(((CY258/CQ258-1)*100)&lt;-50,"NM",(CY258/CQ258-1)*100)))</f>
        <v>13.043478260869556</v>
      </c>
      <c r="DA258" s="74">
        <f>124-181</f>
        <v>-57</v>
      </c>
      <c r="DB258" s="61" t="str">
        <f>IF(ISERROR((DA258/CS258-1)*100),"NA",IF(((DA258/CS258-1)*100)&gt;100,"NM",IF(((DA258/CS258-1)*100)&lt;-50,"NM",(DA258/CS258-1)*100)))</f>
        <v>NM</v>
      </c>
      <c r="DC258" s="74">
        <f>98-157</f>
        <v>-59</v>
      </c>
      <c r="DD258" s="61">
        <f>IF(ISERROR((DC258/CU258-1)*100),"NA",IF(((DC258/CU258-1)*100)&gt;100,"NM",IF(((DC258/CU258-1)*100)&lt;-50,"NM",(DC258/CU258-1)*100)))</f>
        <v>-9.2307692307692317</v>
      </c>
      <c r="DE258" s="74">
        <f>110-166</f>
        <v>-56</v>
      </c>
      <c r="DF258" s="61">
        <f>IF(ISERROR((DE258/CW258-1)*100),"NA",IF(((DE258/CW258-1)*100)&gt;100,"NM",IF(((DE258/CW258-1)*100)&lt;-50,"NM",(DE258/CW258-1)*100)))</f>
        <v>21.739130434782616</v>
      </c>
      <c r="DG258" s="74">
        <f>121-175</f>
        <v>-54</v>
      </c>
      <c r="DH258" s="61" t="str">
        <f>IF(ISERROR((DG258/CY258-1)*100),"NA",IF(((DG258/CY258-1)*100)&gt;100,"NM",IF(((DG258/CY258-1)*100)&lt;-50,"NM",(DG258/CY258-1)*100)))</f>
        <v>NM</v>
      </c>
      <c r="DI258" s="74">
        <f>118-204</f>
        <v>-86</v>
      </c>
      <c r="DJ258" s="61">
        <f>IF(ISERROR((DI258/DA258-1)*100),"NA",IF(((DI258/DA258-1)*100)&gt;100,"NM",IF(((DI258/DA258-1)*100)&lt;-50,"NM",(DI258/DA258-1)*100)))</f>
        <v>50.877192982456144</v>
      </c>
      <c r="DK258" s="74">
        <f>117-178</f>
        <v>-61</v>
      </c>
      <c r="DL258" s="61">
        <f>IF(ISERROR((DK258/DC258-1)*100),"NA",IF(((DK258/DC258-1)*100)&gt;100,"NM",IF(((DK258/DC258-1)*100)&lt;-50,"NM",(DK258/DC258-1)*100)))</f>
        <v>3.3898305084745672</v>
      </c>
      <c r="DM258" s="74">
        <f>121-187</f>
        <v>-66</v>
      </c>
      <c r="DN258" s="130">
        <f t="shared" si="1821"/>
        <v>17.857142857142861</v>
      </c>
      <c r="DO258" s="74">
        <f>177-189</f>
        <v>-12</v>
      </c>
      <c r="DP258" s="130" t="str">
        <f t="shared" si="1821"/>
        <v>NM</v>
      </c>
      <c r="DQ258" s="74">
        <f>-206+240</f>
        <v>34</v>
      </c>
      <c r="DR258" s="130" t="str">
        <f t="shared" si="1821"/>
        <v>NM</v>
      </c>
      <c r="DS258" s="74">
        <f>-179+120</f>
        <v>-59</v>
      </c>
      <c r="DT258" s="130">
        <f t="shared" si="1821"/>
        <v>-3.2786885245901676</v>
      </c>
      <c r="DU258" s="74">
        <f>-182+112</f>
        <v>-70</v>
      </c>
      <c r="DV258" s="130">
        <f t="shared" si="1821"/>
        <v>6.0606060606060552</v>
      </c>
      <c r="DW258" s="74">
        <f>-193+595</f>
        <v>402</v>
      </c>
      <c r="DX258" s="74">
        <f t="shared" ref="DX258" si="1842">-193+595</f>
        <v>402</v>
      </c>
      <c r="DY258" s="74">
        <f>-224+4</f>
        <v>-220</v>
      </c>
      <c r="DZ258" s="130" t="str">
        <f t="shared" si="1821"/>
        <v>NM</v>
      </c>
      <c r="EA258" s="74">
        <f>-165+120</f>
        <v>-45</v>
      </c>
      <c r="EB258" s="130">
        <f t="shared" si="1822"/>
        <v>-23.728813559322038</v>
      </c>
      <c r="EC258" s="74">
        <f>-198+137</f>
        <v>-61</v>
      </c>
      <c r="ED258" s="130">
        <f t="shared" si="1823"/>
        <v>-12.857142857142856</v>
      </c>
      <c r="EE258" s="74">
        <f>-219+341</f>
        <v>122</v>
      </c>
      <c r="EF258" s="130" t="str">
        <f t="shared" si="1824"/>
        <v>NM</v>
      </c>
      <c r="EG258" s="74">
        <f>-249+137</f>
        <v>-112</v>
      </c>
      <c r="EH258" s="130">
        <f t="shared" si="1825"/>
        <v>-49.090909090909093</v>
      </c>
      <c r="EI258" s="74">
        <f>-199+97</f>
        <v>-102</v>
      </c>
      <c r="EJ258" s="130" t="str">
        <f t="shared" si="1826"/>
        <v>NM</v>
      </c>
      <c r="EK258" s="74">
        <f>-219+125</f>
        <v>-94</v>
      </c>
      <c r="EL258" s="130">
        <f t="shared" si="1827"/>
        <v>54.0983606557377</v>
      </c>
      <c r="EM258" s="74">
        <f>-201+101</f>
        <v>-100</v>
      </c>
      <c r="EN258" s="130" t="str">
        <f t="shared" si="1828"/>
        <v>NM</v>
      </c>
      <c r="EO258" s="74">
        <f>-208+146</f>
        <v>-62</v>
      </c>
      <c r="EP258" s="130">
        <f t="shared" si="1829"/>
        <v>-44.642857142857139</v>
      </c>
      <c r="EQ258" s="74">
        <v>-85</v>
      </c>
      <c r="ER258" s="130">
        <f t="shared" si="1831"/>
        <v>-16.666666666666664</v>
      </c>
      <c r="ES258" s="74">
        <f t="shared" ref="ES258" si="1843">EQ258*1.01</f>
        <v>-85.85</v>
      </c>
      <c r="ET258" s="130">
        <f t="shared" si="1832"/>
        <v>-8.6702127659574515</v>
      </c>
      <c r="EU258" s="74">
        <f t="shared" ref="EU258" si="1844">ES258*1.01</f>
        <v>-86.708500000000001</v>
      </c>
      <c r="EV258" s="130">
        <f t="shared" si="1833"/>
        <v>-13.291500000000001</v>
      </c>
      <c r="EW258" s="74">
        <f t="shared" ref="EW258" si="1845">EU258*1.01</f>
        <v>-87.575585000000004</v>
      </c>
      <c r="EX258" s="130">
        <f t="shared" si="1834"/>
        <v>41.250943548387099</v>
      </c>
      <c r="EY258" s="64"/>
      <c r="EZ258" s="558"/>
      <c r="FA258" s="64"/>
      <c r="FB258" s="72"/>
      <c r="FC258" s="71"/>
      <c r="FD258" s="72"/>
      <c r="FE258" s="70"/>
      <c r="FF258" s="69"/>
      <c r="FG258" s="70"/>
      <c r="FH258" s="69"/>
      <c r="FI258" s="70"/>
      <c r="FJ258" s="69"/>
      <c r="FK258" s="70"/>
      <c r="FL258" s="778"/>
      <c r="FM258" s="61"/>
      <c r="FN258" s="778">
        <v>0</v>
      </c>
      <c r="FO258" s="61"/>
      <c r="FP258" s="75">
        <f>AQ258+AS258+AU258+AW258</f>
        <v>-114.9</v>
      </c>
      <c r="FQ258" s="61" t="str">
        <f>IF(ISERROR((FP258/FN258-1)*100),"NA",IF(((FP258/FN258-1)*100)&gt;100,"NM",IF(((FP258/FN258-1)*100)&lt;-50,"NM",(FP258/FN258-1)*100)))</f>
        <v>NA</v>
      </c>
      <c r="FR258" s="75">
        <f>AY258+BA258+BC258+BE258</f>
        <v>-370.70000000000005</v>
      </c>
      <c r="FS258" s="61" t="str">
        <f>IF(ISERROR((FR258/FP258-1)*100),"NA",IF(((FR258/FP258-1)*100)&gt;100,"NM",IF(((FR258/FP258-1)*100)&lt;-50,"NM",(FR258/FP258-1)*100)))</f>
        <v>NM</v>
      </c>
      <c r="FT258" s="75">
        <f>BG258+BI258+BK258+BM258</f>
        <v>-620.20000000000005</v>
      </c>
      <c r="FU258" s="61">
        <f>IF(ISERROR((FT258/FR258-1)*100),"NA",IF(((FT258/FR258-1)*100)&gt;100,"NM",IF(((FT258/FR258-1)*100)&lt;-50,"NM",(FT258/FR258-1)*100)))</f>
        <v>67.305098462368477</v>
      </c>
      <c r="FV258" s="75">
        <f>BO258+BQ258+BS258+BU258</f>
        <v>-465.8</v>
      </c>
      <c r="FW258" s="61">
        <f>IF(ISERROR((FV258/FT258-1)*100),"NA",IF(((FV258/FT258-1)*100)&gt;100,"NM",IF(((FV258/FT258-1)*100)&lt;-50,"NM",(FV258/FT258-1)*100)))</f>
        <v>-24.895195098355373</v>
      </c>
      <c r="FX258" s="75">
        <f>BW258+BY258+CA258+CC258</f>
        <v>-328.5</v>
      </c>
      <c r="FY258" s="61">
        <f>IF(ISERROR((FX258/FV258-1)*100),"NA",IF(((FX258/FV258-1)*100)&gt;100,"NM",IF(((FX258/FV258-1)*100)&lt;-50,"NM",(FX258/FV258-1)*100)))</f>
        <v>-29.476170030055815</v>
      </c>
      <c r="FZ258" s="75">
        <f>CE258+CG258+CI258+CK258</f>
        <v>-377.09999999999997</v>
      </c>
      <c r="GA258" s="61">
        <f>IF(ISERROR((FZ258/FX258-1)*100),"NA",IF(((FZ258/FX258-1)*100)&gt;100,"NM",IF(((FZ258/FX258-1)*100)&lt;-50,"NM",(FZ258/FX258-1)*100)))</f>
        <v>14.79452054794519</v>
      </c>
      <c r="GB258" s="75">
        <f>CM258+CO258+CQ258+CS258</f>
        <v>-357.5</v>
      </c>
      <c r="GC258" s="61">
        <f>IF(ISERROR((GB258/FZ258-1)*100),"NA",IF(((GB258/FZ258-1)*100)&gt;100,"NM",IF(((GB258/FZ258-1)*100)&lt;-50,"NM",(GB258/FZ258-1)*100)))</f>
        <v>-5.1975603288252348</v>
      </c>
      <c r="GD258" s="75">
        <f>CU258+CW258+CY258+DA258</f>
        <v>14</v>
      </c>
      <c r="GE258" s="61" t="str">
        <f>IF(ISERROR((GD258/GB258-1)*100),"NA",IF(((GD258/GB258-1)*100)&gt;100,"NM",IF(((GD258/GB258-1)*100)&lt;-50,"NM",(GD258/GB258-1)*100)))</f>
        <v>NM</v>
      </c>
      <c r="GF258" s="75">
        <f>DC258+DE258+DG258+DI258</f>
        <v>-255</v>
      </c>
      <c r="GG258" s="61" t="str">
        <f>IF(ISERROR((GF258/GD258-1)*100),"NA",IF(((GF258/GD258-1)*100)&gt;100,"NM",IF(((GF258/GD258-1)*100)&lt;-50,"NM",(GF258/GD258-1)*100)))</f>
        <v>NM</v>
      </c>
      <c r="GH258" s="75">
        <f>DK258+DM258+DO258+DQ258</f>
        <v>-105</v>
      </c>
      <c r="GI258" s="61" t="str">
        <f>IF(ISERROR((GH258/GF258-1)*100),"NA",IF(((GH258/GF258-1)*100)&gt;100,"NM",IF(((GH258/GF258-1)*100)&lt;-50,"NM",(GH258/GF258-1)*100)))</f>
        <v>NM</v>
      </c>
      <c r="GJ258" s="75">
        <f>DS258+DU258+DW258+DY258</f>
        <v>53</v>
      </c>
      <c r="GK258" s="61" t="str">
        <f>IF(ISERROR((GJ258/GH258-1)*100),"NA",IF(((GJ258/GH258-1)*100)&gt;100,"NM",IF(((GJ258/GH258-1)*100)&lt;-50,"NM",(GJ258/GH258-1)*100)))</f>
        <v>NM</v>
      </c>
      <c r="GL258" s="75">
        <f>EA258+EC258+EE258+EG258</f>
        <v>-96</v>
      </c>
      <c r="GM258" s="61" t="str">
        <f>IF(ISERROR((GL258/GJ258-1)*100),"NA",IF(((GL258/GJ258-1)*100)&gt;100,"NM",IF(((GL258/GJ258-1)*100)&lt;-50,"NM",(GL258/GJ258-1)*100)))</f>
        <v>NM</v>
      </c>
      <c r="GN258" s="75">
        <f>EI258+EK258+EM258+EO258</f>
        <v>-358</v>
      </c>
      <c r="GO258" s="61" t="str">
        <f>IF(ISERROR((GN258/GL258-1)*100),"NA",IF(((GN258/GL258-1)*100)&gt;100,"NM",IF(((GN258/GL258-1)*100)&lt;-50,"NM",(GN258/GL258-1)*100)))</f>
        <v>NM</v>
      </c>
      <c r="GP258" s="75">
        <f>EQ258+ES258+EU258+EW258</f>
        <v>-345.13408499999997</v>
      </c>
      <c r="GQ258" s="61">
        <f>IF(ISERROR((GP258/GN258-1)*100),"NA",IF(((GP258/GN258-1)*100)&gt;100,"NM",IF(((GP258/GN258-1)*100)&lt;-50,"NM",(GP258/GN258-1)*100)))</f>
        <v>-3.5938310055866007</v>
      </c>
      <c r="GR258" s="74">
        <f>GP258*1.05</f>
        <v>-362.39078925000001</v>
      </c>
      <c r="GS258" s="61">
        <f>IF(ISERROR((GR258/GP258-1)*100),"NA",IF(((GR258/GP258-1)*100)&gt;100,"NM",IF(((GR258/GP258-1)*100)&lt;-50,"NM",(GR258/GP258-1)*100)))</f>
        <v>5.0000000000000044</v>
      </c>
      <c r="GT258" s="74">
        <f>GR258*1.05</f>
        <v>-380.51032871250004</v>
      </c>
      <c r="GU258" s="61">
        <f>IF(ISERROR((GT258/GR258-1)*100),"NA",IF(((GT258/GR258-1)*100)&gt;100,"NM",IF(((GT258/GR258-1)*100)&lt;-50,"NM",(GT258/GR258-1)*100)))</f>
        <v>5.0000000000000044</v>
      </c>
      <c r="GV258" s="74">
        <f>GT258*1.05</f>
        <v>-399.53584514812508</v>
      </c>
      <c r="GW258" s="61">
        <f>IF(ISERROR((GV258/GT258-1)*100),"NA",IF(((GV258/GT258-1)*100)&gt;100,"NM",IF(((GV258/GT258-1)*100)&lt;-50,"NM",(GV258/GT258-1)*100)))</f>
        <v>5.0000000000000044</v>
      </c>
      <c r="GX258" s="74">
        <f>GV258*1.05</f>
        <v>-419.51263740553134</v>
      </c>
      <c r="GY258" s="61">
        <f>IF(ISERROR((GX258/GV258-1)*100),"NA",IF(((GX258/GV258-1)*100)&gt;100,"NM",IF(((GX258/GV258-1)*100)&lt;-50,"NM",(GX258/GV258-1)*100)))</f>
        <v>5.0000000000000044</v>
      </c>
      <c r="GZ258" s="61">
        <f t="shared" si="1820"/>
        <v>3.2220320154066284</v>
      </c>
      <c r="HA258" s="61"/>
      <c r="HB258" s="452"/>
      <c r="HC258"/>
      <c r="HD258"/>
      <c r="HE258"/>
      <c r="HF258"/>
      <c r="HG258"/>
      <c r="HH258"/>
    </row>
    <row r="259" spans="1:216" s="5" customFormat="1" ht="12.75" customHeight="1" x14ac:dyDescent="0.2">
      <c r="B259" s="2" t="s">
        <v>3</v>
      </c>
      <c r="C259" s="72"/>
      <c r="D259" s="70"/>
      <c r="E259" s="72"/>
      <c r="F259" s="71"/>
      <c r="G259" s="74"/>
      <c r="H259" s="71"/>
      <c r="I259" s="74"/>
      <c r="J259" s="61"/>
      <c r="K259" s="69"/>
      <c r="L259" s="61"/>
      <c r="M259" s="69"/>
      <c r="N259" s="61"/>
      <c r="O259" s="69"/>
      <c r="P259" s="61"/>
      <c r="Q259" s="69"/>
      <c r="R259" s="61"/>
      <c r="S259" s="69"/>
      <c r="T259" s="61"/>
      <c r="U259" s="69"/>
      <c r="V259" s="61"/>
      <c r="W259" s="69"/>
      <c r="X259" s="61"/>
      <c r="Y259" s="69"/>
      <c r="Z259" s="61"/>
      <c r="AA259" s="69"/>
      <c r="AB259" s="61"/>
      <c r="AC259" s="69"/>
      <c r="AD259" s="61"/>
      <c r="AE259" s="69"/>
      <c r="AF259" s="61"/>
      <c r="AG259" s="69"/>
      <c r="AH259" s="61"/>
      <c r="AI259" s="69"/>
      <c r="AJ259" s="61"/>
      <c r="AK259" s="69"/>
      <c r="AL259" s="61"/>
      <c r="AM259" s="69"/>
      <c r="AN259" s="61"/>
      <c r="AO259" s="69"/>
      <c r="AP259" s="61"/>
      <c r="AQ259" s="69">
        <f>AQ260-AQ256-AQ257-AQ258</f>
        <v>144</v>
      </c>
      <c r="AR259" s="61" t="str">
        <f>IF(ISERROR((AQ259/AI259-1)*100),"NA",IF(((AQ259/AI259-1)*100)&gt;100,"NM",IF(((AQ259/AI259-1)*100)&lt;-50,"NM",(AQ259/AI259-1)*100)))</f>
        <v>NA</v>
      </c>
      <c r="AS259" s="69">
        <f>AS260-AS256-AS257-AS258</f>
        <v>144.19999999999999</v>
      </c>
      <c r="AT259" s="61" t="str">
        <f>IF(ISERROR((AS259/AK259-1)*100),"NA",IF(((AS259/AK259-1)*100)&gt;100,"NM",IF(((AS259/AK259-1)*100)&lt;-50,"NM",(AS259/AK259-1)*100)))</f>
        <v>NA</v>
      </c>
      <c r="AU259" s="69">
        <f>AU260-AU256-AU257-AU258</f>
        <v>161.1</v>
      </c>
      <c r="AV259" s="61" t="str">
        <f>IF(ISERROR((AU259/AM259-1)*100),"NA",IF(((AU259/AM259-1)*100)&gt;100,"NM",IF(((AU259/AM259-1)*100)&lt;-50,"NM",(AU259/AM259-1)*100)))</f>
        <v>NA</v>
      </c>
      <c r="AW259" s="69">
        <f>AW260-AW256-AW257-AW258</f>
        <v>168.70000000000005</v>
      </c>
      <c r="AX259" s="61" t="str">
        <f>IF(ISERROR((AW259/AO259-1)*100),"NA",IF(((AW259/AO259-1)*100)&gt;100,"NM",IF(((AW259/AO259-1)*100)&lt;-50,"NM",(AW259/AO259-1)*100)))</f>
        <v>NA</v>
      </c>
      <c r="AY259" s="69">
        <f>AY260-AY256-AY257-AY258</f>
        <v>149.40000000000003</v>
      </c>
      <c r="AZ259" s="61">
        <f>IF(ISERROR((AY259/AQ259-1)*100),"NA",IF(((AY259/AQ259-1)*100)&gt;100,"NM",IF(((AY259/AQ259-1)*100)&lt;-50,"NM",(AY259/AQ259-1)*100)))</f>
        <v>3.7500000000000311</v>
      </c>
      <c r="BA259" s="69">
        <f>BA260-BA256-BA257-BA258</f>
        <v>276</v>
      </c>
      <c r="BB259" s="61">
        <f>IF(ISERROR((BA259/AS259-1)*100),"NA",IF(((BA259/AS259-1)*100)&gt;100,"NM",IF(((BA259/AS259-1)*100)&lt;-50,"NM",(BA259/AS259-1)*100)))</f>
        <v>91.400832177531228</v>
      </c>
      <c r="BC259" s="69">
        <f>BC260-BC256-BC257-BC258</f>
        <v>317.8</v>
      </c>
      <c r="BD259" s="61">
        <f>IF(ISERROR((BC259/AU259-1)*100),"NA",IF(((BC259/AU259-1)*100)&gt;100,"NM",IF(((BC259/AU259-1)*100)&lt;-50,"NM",(BC259/AU259-1)*100)))</f>
        <v>97.268777157045335</v>
      </c>
      <c r="BE259" s="69">
        <f>BE260-BE256-BE257-BE258</f>
        <v>369.79999999999995</v>
      </c>
      <c r="BF259" s="61" t="str">
        <f>IF(ISERROR((BE259/AW259-1)*100),"NA",IF(((BE259/AW259-1)*100)&gt;100,"NM",IF(((BE259/AW259-1)*100)&lt;-50,"NM",(BE259/AW259-1)*100)))</f>
        <v>NM</v>
      </c>
      <c r="BG259" s="69">
        <f>BG260-BG256-BG257-BG258</f>
        <v>371</v>
      </c>
      <c r="BH259" s="61" t="str">
        <f>IF(ISERROR((BG259/AY259-1)*100),"NA",IF(((BG259/AY259-1)*100)&gt;100,"NM",IF(((BG259/AY259-1)*100)&lt;-50,"NM",(BG259/AY259-1)*100)))</f>
        <v>NM</v>
      </c>
      <c r="BI259" s="69">
        <f>BI260-BI256-BI257-BI258</f>
        <v>353.79999999999995</v>
      </c>
      <c r="BJ259" s="61">
        <f>IF(ISERROR((BI259/BA259-1)*100),"NA",IF(((BI259/BA259-1)*100)&gt;100,"NM",IF(((BI259/BA259-1)*100)&lt;-50,"NM",(BI259/BA259-1)*100)))</f>
        <v>28.188405797101424</v>
      </c>
      <c r="BK259" s="69">
        <f>BK260-BK256-BK257-BK258</f>
        <v>355.50000000000006</v>
      </c>
      <c r="BL259" s="61">
        <f>IF(ISERROR((BK259/BC259-1)*100),"NA",IF(((BK259/BC259-1)*100)&gt;100,"NM",IF(((BK259/BC259-1)*100)&lt;-50,"NM",(BK259/BC259-1)*100)))</f>
        <v>11.86280679672751</v>
      </c>
      <c r="BM259" s="69">
        <f>BM260-BM256-BM257-BM258</f>
        <v>362.4</v>
      </c>
      <c r="BN259" s="61">
        <f>IF(ISERROR((BM259/BE259-1)*100),"NA",IF(((BM259/BE259-1)*100)&gt;100,"NM",IF(((BM259/BE259-1)*100)&lt;-50,"NM",(BM259/BE259-1)*100)))</f>
        <v>-2.0010816657652697</v>
      </c>
      <c r="BO259" s="69">
        <f>BO260-BO256-BO257-BO258</f>
        <v>332.70000000000005</v>
      </c>
      <c r="BP259" s="61">
        <f>IF(ISERROR((BO259/BG259-1)*100),"NA",IF(((BO259/BG259-1)*100)&gt;100,"NM",IF(((BO259/BG259-1)*100)&lt;-50,"NM",(BO259/BG259-1)*100)))</f>
        <v>-10.323450134770873</v>
      </c>
      <c r="BQ259" s="69">
        <f>BQ260-BQ256-BQ257-BQ258</f>
        <v>308.89999999999998</v>
      </c>
      <c r="BR259" s="61">
        <f>IF(ISERROR((BQ259/BI259-1)*100),"NA",IF(((BQ259/BI259-1)*100)&gt;100,"NM",IF(((BQ259/BI259-1)*100)&lt;-50,"NM",(BQ259/BI259-1)*100)))</f>
        <v>-12.690785754663647</v>
      </c>
      <c r="BS259" s="69">
        <f>BS260-BS256-BS257-BS258</f>
        <v>350.5</v>
      </c>
      <c r="BT259" s="61">
        <f>IF(ISERROR((BS259/BK259-1)*100),"NA",IF(((BS259/BK259-1)*100)&gt;100,"NM",IF(((BS259/BK259-1)*100)&lt;-50,"NM",(BS259/BK259-1)*100)))</f>
        <v>-1.4064697609001531</v>
      </c>
      <c r="BU259" s="69">
        <f>BU260-BU256-BU257-BU258</f>
        <v>355.9</v>
      </c>
      <c r="BV259" s="61">
        <f>IF(ISERROR((BU259/BM259-1)*100),"NA",IF(((BU259/BM259-1)*100)&gt;100,"NM",IF(((BU259/BM259-1)*100)&lt;-50,"NM",(BU259/BM259-1)*100)))</f>
        <v>-1.7935982339955858</v>
      </c>
      <c r="BW259" s="69">
        <f>BW260-BW256-BW257-BW258</f>
        <v>321.39999999999998</v>
      </c>
      <c r="BX259" s="61">
        <f>IF(ISERROR((BW259/BO259-1)*100),"NA",IF(((BW259/BO259-1)*100)&gt;100,"NM",IF(((BW259/BO259-1)*100)&lt;-50,"NM",(BW259/BO259-1)*100)))</f>
        <v>-3.3964532611962972</v>
      </c>
      <c r="BY259" s="69">
        <f>BY260-BY256-BY257-BY258</f>
        <v>275.29999999999995</v>
      </c>
      <c r="BZ259" s="61">
        <f>IF(ISERROR((BY259/BQ259-1)*100),"NA",IF(((BY259/BQ259-1)*100)&gt;100,"NM",IF(((BY259/BQ259-1)*100)&lt;-50,"NM",(BY259/BQ259-1)*100)))</f>
        <v>-10.877306571706058</v>
      </c>
      <c r="CA259" s="69">
        <f>CA260-CA256-CA257-CA258</f>
        <v>303.2</v>
      </c>
      <c r="CB259" s="61">
        <f>IF(ISERROR((CA259/BS259-1)*100),"NA",IF(((CA259/BS259-1)*100)&gt;100,"NM",IF(((CA259/BS259-1)*100)&lt;-50,"NM",(CA259/BS259-1)*100)))</f>
        <v>-13.495007132667624</v>
      </c>
      <c r="CC259" s="69">
        <f>CC260-CC256-CC257-CC258</f>
        <v>349.69999999999993</v>
      </c>
      <c r="CD259" s="61">
        <f>IF(ISERROR((CC259/BU259-1)*100),"NA",IF(((CC259/BU259-1)*100)&gt;100,"NM",IF(((CC259/BU259-1)*100)&lt;-50,"NM",(CC259/BU259-1)*100)))</f>
        <v>-1.7420623770722288</v>
      </c>
      <c r="CE259" s="69">
        <f>CE260-CE256-CE257-CE258</f>
        <v>307.3</v>
      </c>
      <c r="CF259" s="61">
        <f>IF(ISERROR((CE259/BW259-1)*100),"NA",IF(((CE259/BW259-1)*100)&gt;100,"NM",IF(((CE259/BW259-1)*100)&lt;-50,"NM",(CE259/BW259-1)*100)))</f>
        <v>-4.3870566272557472</v>
      </c>
      <c r="CG259" s="69">
        <f>CG260-CG256-CG257-CG258</f>
        <v>290.89999999999986</v>
      </c>
      <c r="CH259" s="61">
        <f>IF(ISERROR((CG259/BY259-1)*100),"NA",IF(((CG259/BY259-1)*100)&gt;100,"NM",IF(((CG259/BY259-1)*100)&lt;-50,"NM",(CG259/BY259-1)*100)))</f>
        <v>5.6665455866327319</v>
      </c>
      <c r="CI259" s="69">
        <f>CI260-CI256-CI257-CI258</f>
        <v>312.19999999999993</v>
      </c>
      <c r="CJ259" s="61">
        <f>IF(ISERROR((CI259/CA259-1)*100),"NA",IF(((CI259/CA259-1)*100)&gt;100,"NM",IF(((CI259/CA259-1)*100)&lt;-50,"NM",(CI259/CA259-1)*100)))</f>
        <v>2.9683377308706849</v>
      </c>
      <c r="CK259" s="69">
        <f>CK260-CK256-CK257-CK258</f>
        <v>373.50000000000006</v>
      </c>
      <c r="CL259" s="61">
        <f>IF(ISERROR((CK259/CC259-1)*100),"NA",IF(((CK259/CC259-1)*100)&gt;100,"NM",IF(((CK259/CC259-1)*100)&lt;-50,"NM",(CK259/CC259-1)*100)))</f>
        <v>6.8058335716328688</v>
      </c>
      <c r="CM259" s="69">
        <f>CM260-CM256-CM257-CM258</f>
        <v>336.2</v>
      </c>
      <c r="CN259" s="61">
        <f>IF(ISERROR((CM259/CE259-1)*100),"NA",IF(((CM259/CE259-1)*100)&gt;100,"NM",IF(((CM259/CE259-1)*100)&lt;-50,"NM",(CM259/CE259-1)*100)))</f>
        <v>9.4044907256752186</v>
      </c>
      <c r="CO259" s="69">
        <f>CO260-CO256-CO257-CO258</f>
        <v>329.9</v>
      </c>
      <c r="CP259" s="61">
        <f>IF(ISERROR((CO259/CG259-1)*100),"NA",IF(((CO259/CG259-1)*100)&gt;100,"NM",IF(((CO259/CG259-1)*100)&lt;-50,"NM",(CO259/CG259-1)*100)))</f>
        <v>13.406668958404989</v>
      </c>
      <c r="CQ259" s="69">
        <f>CQ260-CQ256-CQ257-CQ258</f>
        <v>331.70000000000005</v>
      </c>
      <c r="CR259" s="61">
        <f>IF(ISERROR((CQ259/CI259-1)*100),"NA",IF(((CQ259/CI259-1)*100)&gt;100,"NM",IF(((CQ259/CI259-1)*100)&lt;-50,"NM",(CQ259/CI259-1)*100)))</f>
        <v>6.2459961563100963</v>
      </c>
      <c r="CS259" s="69">
        <f>CS260-CS256-CS257-CS258</f>
        <v>359</v>
      </c>
      <c r="CT259" s="61">
        <f>IF(ISERROR((CS259/CK259-1)*100),"NA",IF(((CS259/CK259-1)*100)&gt;100,"NM",IF(((CS259/CK259-1)*100)&lt;-50,"NM",(CS259/CK259-1)*100)))</f>
        <v>-3.8821954484605237</v>
      </c>
      <c r="CU259" s="69">
        <f>CU260-CU256-CU257-CU258</f>
        <v>304</v>
      </c>
      <c r="CV259" s="61">
        <f>IF(ISERROR((CU259/CM259-1)*100),"NA",IF(((CU259/CM259-1)*100)&gt;100,"NM",IF(((CU259/CM259-1)*100)&lt;-50,"NM",(CU259/CM259-1)*100)))</f>
        <v>-9.5776323616894707</v>
      </c>
      <c r="CW259" s="69">
        <f>CW260-CW256-CW257-CW258</f>
        <v>294</v>
      </c>
      <c r="CX259" s="61">
        <f>IF(ISERROR((CW259/CO259-1)*100),"NA",IF(((CW259/CO259-1)*100)&gt;100,"NM",IF(((CW259/CO259-1)*100)&lt;-50,"NM",(CW259/CO259-1)*100)))</f>
        <v>-10.882085480448611</v>
      </c>
      <c r="CY259" s="69">
        <f>CY260-CY256-CY257-CY258</f>
        <v>283</v>
      </c>
      <c r="CZ259" s="61">
        <f>IF(ISERROR((CY259/CQ259-1)*100),"NA",IF(((CY259/CQ259-1)*100)&gt;100,"NM",IF(((CY259/CQ259-1)*100)&lt;-50,"NM",(CY259/CQ259-1)*100)))</f>
        <v>-14.681941513415753</v>
      </c>
      <c r="DA259" s="69">
        <f>DA260-DA256-DA257-DA258</f>
        <v>339</v>
      </c>
      <c r="DB259" s="61">
        <f>IF(ISERROR((DA259/CS259-1)*100),"NA",IF(((DA259/CS259-1)*100)&gt;100,"NM",IF(((DA259/CS259-1)*100)&lt;-50,"NM",(DA259/CS259-1)*100)))</f>
        <v>-5.5710306406685284</v>
      </c>
      <c r="DC259" s="69">
        <f>DC260-DC256-DC257-DC258</f>
        <v>308</v>
      </c>
      <c r="DD259" s="61">
        <f>IF(ISERROR((DC259/CU259-1)*100),"NA",IF(((DC259/CU259-1)*100)&gt;100,"NM",IF(((DC259/CU259-1)*100)&lt;-50,"NM",(DC259/CU259-1)*100)))</f>
        <v>1.3157894736842035</v>
      </c>
      <c r="DE259" s="69">
        <f>DE260-DE256-DE257-DE258</f>
        <v>314</v>
      </c>
      <c r="DF259" s="61">
        <f>IF(ISERROR((DE259/CW259-1)*100),"NA",IF(((DE259/CW259-1)*100)&gt;100,"NM",IF(((DE259/CW259-1)*100)&lt;-50,"NM",(DE259/CW259-1)*100)))</f>
        <v>6.8027210884353817</v>
      </c>
      <c r="DG259" s="69">
        <f>DG260-DG256-DG257-DG258</f>
        <v>340</v>
      </c>
      <c r="DH259" s="61">
        <f>IF(ISERROR((DG259/CY259-1)*100),"NA",IF(((DG259/CY259-1)*100)&gt;100,"NM",IF(((DG259/CY259-1)*100)&lt;-50,"NM",(DG259/CY259-1)*100)))</f>
        <v>20.141342756183754</v>
      </c>
      <c r="DI259" s="69">
        <f>DI260-DI256-DI257-DI258</f>
        <v>368</v>
      </c>
      <c r="DJ259" s="61">
        <f>IF(ISERROR((DI259/DA259-1)*100),"NA",IF(((DI259/DA259-1)*100)&gt;100,"NM",IF(((DI259/DA259-1)*100)&lt;-50,"NM",(DI259/DA259-1)*100)))</f>
        <v>8.5545722713864301</v>
      </c>
      <c r="DK259" s="69">
        <f>DK260-DK256-DK257-DK258</f>
        <v>345</v>
      </c>
      <c r="DL259" s="61">
        <f>IF(ISERROR((DK259/DC259-1)*100),"NA",IF(((DK259/DC259-1)*100)&gt;100,"NM",IF(((DK259/DC259-1)*100)&lt;-50,"NM",(DK259/DC259-1)*100)))</f>
        <v>12.012987012987008</v>
      </c>
      <c r="DM259" s="69">
        <f>DM260-DM256-DM257-DM258</f>
        <v>350</v>
      </c>
      <c r="DN259" s="130">
        <f t="shared" si="1821"/>
        <v>11.464968152866239</v>
      </c>
      <c r="DO259" s="69">
        <f>DO260-DO256-DO257-DO258</f>
        <v>345</v>
      </c>
      <c r="DP259" s="130">
        <f t="shared" si="1821"/>
        <v>1.4705882352941124</v>
      </c>
      <c r="DQ259" s="69">
        <f>DQ260-DQ256-DQ257-DQ258</f>
        <v>378</v>
      </c>
      <c r="DR259" s="130">
        <f t="shared" si="1821"/>
        <v>2.7173913043478271</v>
      </c>
      <c r="DS259" s="69">
        <f>DS260-DS256-DS257-DS258</f>
        <v>347</v>
      </c>
      <c r="DT259" s="130">
        <f t="shared" si="1821"/>
        <v>0.57971014492752548</v>
      </c>
      <c r="DU259" s="69">
        <f>DU260-DU256-DU257-DU258</f>
        <v>343</v>
      </c>
      <c r="DV259" s="130">
        <f t="shared" si="1821"/>
        <v>-2.0000000000000018</v>
      </c>
      <c r="DW259" s="69">
        <f>DW260-DW256-DW257-DW258</f>
        <v>357</v>
      </c>
      <c r="DX259" s="69">
        <f t="shared" ref="DX259:DY259" si="1846">DX260-DX256-DX257-DX258</f>
        <v>357</v>
      </c>
      <c r="DY259" s="69">
        <f t="shared" si="1846"/>
        <v>380</v>
      </c>
      <c r="DZ259" s="130">
        <f t="shared" si="1821"/>
        <v>0.52910052910053462</v>
      </c>
      <c r="EA259" s="69">
        <f t="shared" ref="EA259:EC259" si="1847">EA260-EA256-EA257-EA258</f>
        <v>332</v>
      </c>
      <c r="EB259" s="130">
        <f t="shared" si="1822"/>
        <v>-4.3227665706051859</v>
      </c>
      <c r="EC259" s="69">
        <f t="shared" si="1847"/>
        <v>367</v>
      </c>
      <c r="ED259" s="130">
        <f t="shared" si="1823"/>
        <v>6.9970845481049482</v>
      </c>
      <c r="EE259" s="69">
        <f t="shared" ref="EE259:EG259" si="1848">EE260-EE256-EE257-EE258</f>
        <v>391</v>
      </c>
      <c r="EF259" s="130">
        <f t="shared" si="1824"/>
        <v>9.5238095238095344</v>
      </c>
      <c r="EG259" s="69">
        <f t="shared" si="1848"/>
        <v>429</v>
      </c>
      <c r="EH259" s="130">
        <f t="shared" si="1825"/>
        <v>12.894736842105271</v>
      </c>
      <c r="EI259" s="69">
        <f t="shared" ref="EI259:EK259" si="1849">EI260-EI256-EI257-EI258</f>
        <v>375</v>
      </c>
      <c r="EJ259" s="130">
        <f t="shared" si="1826"/>
        <v>12.951807228915669</v>
      </c>
      <c r="EK259" s="69">
        <f t="shared" si="1849"/>
        <v>399</v>
      </c>
      <c r="EL259" s="130">
        <f t="shared" si="1827"/>
        <v>8.719346049046317</v>
      </c>
      <c r="EM259" s="69">
        <f t="shared" ref="EM259" si="1850">EM260-EM256-EM257-EM258</f>
        <v>381</v>
      </c>
      <c r="EN259" s="130">
        <f t="shared" si="1828"/>
        <v>-2.5575447570332477</v>
      </c>
      <c r="EO259" s="69">
        <f t="shared" ref="EO259" si="1851">EO260-EO256-EO257-EO258</f>
        <v>389</v>
      </c>
      <c r="EP259" s="130">
        <f t="shared" si="1829"/>
        <v>-9.3240093240093191</v>
      </c>
      <c r="EQ259" s="69">
        <f t="shared" ref="EQ259:EW259" si="1852">EQ266*EQ241/100</f>
        <v>383.35980112975625</v>
      </c>
      <c r="ER259" s="130">
        <f t="shared" si="1831"/>
        <v>2.2292803012683438</v>
      </c>
      <c r="ES259" s="69">
        <f t="shared" si="1852"/>
        <v>385.29481504181791</v>
      </c>
      <c r="ET259" s="130">
        <f t="shared" si="1832"/>
        <v>-3.4348834481659374</v>
      </c>
      <c r="EU259" s="69">
        <f t="shared" si="1852"/>
        <v>388.0518464509334</v>
      </c>
      <c r="EV259" s="130">
        <f t="shared" si="1833"/>
        <v>1.8508783335783097</v>
      </c>
      <c r="EW259" s="69">
        <f t="shared" si="1852"/>
        <v>391.75529311868894</v>
      </c>
      <c r="EX259" s="130">
        <f t="shared" si="1834"/>
        <v>0.70830157292773865</v>
      </c>
      <c r="EY259" s="64"/>
      <c r="EZ259" s="558"/>
      <c r="FA259" s="64"/>
      <c r="FB259" s="72"/>
      <c r="FC259" s="71"/>
      <c r="FD259" s="72"/>
      <c r="FE259" s="70"/>
      <c r="FF259" s="166"/>
      <c r="FG259" s="70"/>
      <c r="FH259" s="69"/>
      <c r="FI259" s="70"/>
      <c r="FJ259" s="69"/>
      <c r="FK259" s="70"/>
      <c r="FL259" s="778"/>
      <c r="FM259" s="61"/>
      <c r="FN259" s="778">
        <v>489</v>
      </c>
      <c r="FO259" s="61"/>
      <c r="FP259" s="73">
        <f>AQ259+AS259+AU259+AW259</f>
        <v>618</v>
      </c>
      <c r="FQ259" s="61">
        <f>IF(ISERROR((FP259/FN259-1)*100),"NA",IF(((FP259/FN259-1)*100)&gt;100,"NM",IF(((FP259/FN259-1)*100)&lt;-50,"NM",(FP259/FN259-1)*100)))</f>
        <v>26.380368098159511</v>
      </c>
      <c r="FR259" s="73">
        <f>AY259+BA259+BC259+BE259</f>
        <v>1113</v>
      </c>
      <c r="FS259" s="61">
        <f>IF(ISERROR((FR259/FP259-1)*100),"NA",IF(((FR259/FP259-1)*100)&gt;100,"NM",IF(((FR259/FP259-1)*100)&lt;-50,"NM",(FR259/FP259-1)*100)))</f>
        <v>80.097087378640779</v>
      </c>
      <c r="FT259" s="73">
        <f>BG259+BI259+BK259+BM259</f>
        <v>1442.6999999999998</v>
      </c>
      <c r="FU259" s="61">
        <f>IF(ISERROR((FT259/FR259-1)*100),"NA",IF(((FT259/FR259-1)*100)&gt;100,"NM",IF(((FT259/FR259-1)*100)&lt;-50,"NM",(FT259/FR259-1)*100)))</f>
        <v>29.622641509433944</v>
      </c>
      <c r="FV259" s="73">
        <f>BO259+BQ259+BS259+BU259</f>
        <v>1348</v>
      </c>
      <c r="FW259" s="61">
        <f>IF(ISERROR((FV259/FT259-1)*100),"NA",IF(((FV259/FT259-1)*100)&gt;100,"NM",IF(((FV259/FT259-1)*100)&lt;-50,"NM",(FV259/FT259-1)*100)))</f>
        <v>-6.5640812365703072</v>
      </c>
      <c r="FX259" s="75">
        <f>BW259+BY259+CA259+CC259</f>
        <v>1249.5999999999999</v>
      </c>
      <c r="FY259" s="61">
        <f>IF(ISERROR((FX259/FV259-1)*100),"NA",IF(((FX259/FV259-1)*100)&gt;100,"NM",IF(((FX259/FV259-1)*100)&lt;-50,"NM",(FX259/FV259-1)*100)))</f>
        <v>-7.2997032640949584</v>
      </c>
      <c r="FZ259" s="75">
        <f>CE259+CG259+CI259+CK259</f>
        <v>1283.8999999999999</v>
      </c>
      <c r="GA259" s="61">
        <f>IF(ISERROR((FZ259/FX259-1)*100),"NA",IF(((FZ259/FX259-1)*100)&gt;100,"NM",IF(((FZ259/FX259-1)*100)&lt;-50,"NM",(FZ259/FX259-1)*100)))</f>
        <v>2.7448783610755312</v>
      </c>
      <c r="GB259" s="75">
        <f>CM259+CO259+CQ259+CS259</f>
        <v>1356.8</v>
      </c>
      <c r="GC259" s="61">
        <f>IF(ISERROR((GB259/FZ259-1)*100),"NA",IF(((GB259/FZ259-1)*100)&gt;100,"NM",IF(((GB259/FZ259-1)*100)&lt;-50,"NM",(GB259/FZ259-1)*100)))</f>
        <v>5.6780123062543986</v>
      </c>
      <c r="GD259" s="75">
        <f>CU259+CW259+CY259+DA259</f>
        <v>1220</v>
      </c>
      <c r="GE259" s="61">
        <f>IF(ISERROR((GD259/GB259-1)*100),"NA",IF(((GD259/GB259-1)*100)&gt;100,"NM",IF(((GD259/GB259-1)*100)&lt;-50,"NM",(GD259/GB259-1)*100)))</f>
        <v>-10.082547169811317</v>
      </c>
      <c r="GF259" s="75">
        <f>DC259+DE259+DG259+DI259</f>
        <v>1330</v>
      </c>
      <c r="GG259" s="61">
        <f>IF(ISERROR((GF259/GD259-1)*100),"NA",IF(((GF259/GD259-1)*100)&gt;100,"NM",IF(((GF259/GD259-1)*100)&lt;-50,"NM",(GF259/GD259-1)*100)))</f>
        <v>9.0163934426229488</v>
      </c>
      <c r="GH259" s="75">
        <f>DK259+DM259+DO259+DQ259</f>
        <v>1418</v>
      </c>
      <c r="GI259" s="61">
        <f>IF(ISERROR((GH259/GF259-1)*100),"NA",IF(((GH259/GF259-1)*100)&gt;100,"NM",IF(((GH259/GF259-1)*100)&lt;-50,"NM",(GH259/GF259-1)*100)))</f>
        <v>6.6165413533834538</v>
      </c>
      <c r="GJ259" s="75">
        <f>DS259+DU259+DW259+DY259</f>
        <v>1427</v>
      </c>
      <c r="GK259" s="61">
        <f>IF(ISERROR((GJ259/GH259-1)*100),"NA",IF(((GJ259/GH259-1)*100)&gt;100,"NM",IF(((GJ259/GH259-1)*100)&lt;-50,"NM",(GJ259/GH259-1)*100)))</f>
        <v>0.63469675599436837</v>
      </c>
      <c r="GL259" s="75">
        <f>EA259+EC259+EE259+EG259</f>
        <v>1519</v>
      </c>
      <c r="GM259" s="61">
        <f>IF(ISERROR((GL259/GJ259-1)*100),"NA",IF(((GL259/GJ259-1)*100)&gt;100,"NM",IF(((GL259/GJ259-1)*100)&lt;-50,"NM",(GL259/GJ259-1)*100)))</f>
        <v>6.4470918009810863</v>
      </c>
      <c r="GN259" s="75">
        <f>EI259+EK259+EM259+EO259</f>
        <v>1544</v>
      </c>
      <c r="GO259" s="61">
        <f>IF(ISERROR((GN259/GL259-1)*100),"NA",IF(((GN259/GL259-1)*100)&gt;100,"NM",IF(((GN259/GL259-1)*100)&lt;-50,"NM",(GN259/GL259-1)*100)))</f>
        <v>1.6458196181698526</v>
      </c>
      <c r="GP259" s="75">
        <f>EQ259+ES259+EU259+EW259</f>
        <v>1548.4617557411966</v>
      </c>
      <c r="GQ259" s="61">
        <f>IF(ISERROR((GP259/GN259-1)*100),"NA",IF(((GP259/GN259-1)*100)&gt;100,"NM",IF(((GP259/GN259-1)*100)&lt;-50,"NM",(GP259/GN259-1)*100)))</f>
        <v>0.28897381743502315</v>
      </c>
      <c r="GR259" s="69">
        <f>GR266*GR241/100</f>
        <v>1609.4744693800278</v>
      </c>
      <c r="GS259" s="61">
        <f>IF(ISERROR((GR259/GP259-1)*100),"NA",IF(((GR259/GP259-1)*100)&gt;100,"NM",IF(((GR259/GP259-1)*100)&lt;-50,"NM",(GR259/GP259-1)*100)))</f>
        <v>3.9402144362052027</v>
      </c>
      <c r="GT259" s="69">
        <f>GT266*GT241/100</f>
        <v>1655.2179395666217</v>
      </c>
      <c r="GU259" s="61">
        <f>IF(ISERROR((GT259/GR259-1)*100),"NA",IF(((GT259/GR259-1)*100)&gt;100,"NM",IF(((GT259/GR259-1)*100)&lt;-50,"NM",(GT259/GR259-1)*100)))</f>
        <v>2.8421370488849185</v>
      </c>
      <c r="GV259" s="69">
        <f>GV266*GV241/100</f>
        <v>1706.3320956391256</v>
      </c>
      <c r="GW259" s="61">
        <f>IF(ISERROR((GV259/GT259-1)*100),"NA",IF(((GV259/GT259-1)*100)&gt;100,"NM",IF(((GV259/GT259-1)*100)&lt;-50,"NM",(GV259/GT259-1)*100)))</f>
        <v>3.0880619917572183</v>
      </c>
      <c r="GX259" s="69">
        <f>GX266*GX241/100</f>
        <v>1760.7200244507874</v>
      </c>
      <c r="GY259" s="61">
        <f>IF(ISERROR((GX259/GV259-1)*100),"NA",IF(((GX259/GV259-1)*100)&gt;100,"NM",IF(((GX259/GV259-1)*100)&lt;-50,"NM",(GX259/GV259-1)*100)))</f>
        <v>3.1874175578517905</v>
      </c>
      <c r="GZ259" s="61">
        <f t="shared" si="1820"/>
        <v>2.6617354381978098</v>
      </c>
      <c r="HA259" s="61"/>
      <c r="HB259" s="452"/>
      <c r="HC259"/>
      <c r="HD259"/>
      <c r="HE259"/>
      <c r="HF259"/>
      <c r="HG259"/>
      <c r="HH259"/>
    </row>
    <row r="260" spans="1:216" s="106" customFormat="1" ht="12.75" customHeight="1" x14ac:dyDescent="0.2">
      <c r="B260" s="63" t="s">
        <v>524</v>
      </c>
      <c r="C260" s="102"/>
      <c r="D260" s="99"/>
      <c r="E260" s="102"/>
      <c r="F260" s="100"/>
      <c r="G260" s="102"/>
      <c r="H260" s="100"/>
      <c r="I260" s="102"/>
      <c r="J260" s="101"/>
      <c r="K260" s="98"/>
      <c r="L260" s="61"/>
      <c r="M260" s="98"/>
      <c r="N260" s="61"/>
      <c r="O260" s="98"/>
      <c r="P260" s="61"/>
      <c r="Q260" s="98"/>
      <c r="R260" s="61"/>
      <c r="S260" s="98"/>
      <c r="T260" s="61"/>
      <c r="U260" s="98"/>
      <c r="V260" s="61"/>
      <c r="W260" s="98"/>
      <c r="X260" s="61"/>
      <c r="Y260" s="98"/>
      <c r="Z260" s="61"/>
      <c r="AA260" s="98"/>
      <c r="AB260" s="61"/>
      <c r="AC260" s="98"/>
      <c r="AD260" s="61"/>
      <c r="AE260" s="98"/>
      <c r="AF260" s="61"/>
      <c r="AG260" s="98"/>
      <c r="AH260" s="61"/>
      <c r="AI260" s="98"/>
      <c r="AJ260" s="61"/>
      <c r="AK260" s="98"/>
      <c r="AL260" s="61"/>
      <c r="AM260" s="98"/>
      <c r="AN260" s="61"/>
      <c r="AO260" s="98"/>
      <c r="AP260" s="61"/>
      <c r="AQ260" s="98">
        <v>389.3</v>
      </c>
      <c r="AR260" s="61" t="str">
        <f>IF(ISERROR((AQ260/AI260-1)*100),"NA",IF(((AQ260/AI260-1)*100)&gt;100,"NM",IF(((AQ260/AI260-1)*100)&lt;-50,"NM",(AQ260/AI260-1)*100)))</f>
        <v>NA</v>
      </c>
      <c r="AS260" s="98">
        <v>382.5</v>
      </c>
      <c r="AT260" s="61" t="str">
        <f>IF(ISERROR((AS260/AK260-1)*100),"NA",IF(((AS260/AK260-1)*100)&gt;100,"NM",IF(((AS260/AK260-1)*100)&lt;-50,"NM",(AS260/AK260-1)*100)))</f>
        <v>NA</v>
      </c>
      <c r="AU260" s="98">
        <v>361.8</v>
      </c>
      <c r="AV260" s="61" t="str">
        <f>IF(ISERROR((AU260/AM260-1)*100),"NA",IF(((AU260/AM260-1)*100)&gt;100,"NM",IF(((AU260/AM260-1)*100)&lt;-50,"NM",(AU260/AM260-1)*100)))</f>
        <v>NA</v>
      </c>
      <c r="AW260" s="98">
        <v>390.8</v>
      </c>
      <c r="AX260" s="61" t="str">
        <f>IF(ISERROR((AW260/AO260-1)*100),"NA",IF(((AW260/AO260-1)*100)&gt;100,"NM",IF(((AW260/AO260-1)*100)&lt;-50,"NM",(AW260/AO260-1)*100)))</f>
        <v>NA</v>
      </c>
      <c r="AY260" s="98">
        <v>395.3</v>
      </c>
      <c r="AZ260" s="61">
        <f>IF(ISERROR((AY260/AQ260-1)*100),"NA",IF(((AY260/AQ260-1)*100)&gt;100,"NM",IF(((AY260/AQ260-1)*100)&lt;-50,"NM",(AY260/AQ260-1)*100)))</f>
        <v>1.5412278448497352</v>
      </c>
      <c r="BA260" s="98">
        <v>680.4</v>
      </c>
      <c r="BB260" s="61">
        <f>IF(ISERROR((BA260/AS260-1)*100),"NA",IF(((BA260/AS260-1)*100)&gt;100,"NM",IF(((BA260/AS260-1)*100)&lt;-50,"NM",(BA260/AS260-1)*100)))</f>
        <v>77.882352941176464</v>
      </c>
      <c r="BC260" s="98">
        <v>715.7</v>
      </c>
      <c r="BD260" s="61">
        <f>IF(ISERROR((BC260/AU260-1)*100),"NA",IF(((BC260/AU260-1)*100)&gt;100,"NM",IF(((BC260/AU260-1)*100)&lt;-50,"NM",(BC260/AU260-1)*100)))</f>
        <v>97.816473189607535</v>
      </c>
      <c r="BE260" s="98">
        <v>719.4</v>
      </c>
      <c r="BF260" s="61">
        <f>IF(ISERROR((BE260/AW260-1)*100),"NA",IF(((BE260/AW260-1)*100)&gt;100,"NM",IF(((BE260/AW260-1)*100)&lt;-50,"NM",(BE260/AW260-1)*100)))</f>
        <v>84.083930399181156</v>
      </c>
      <c r="BG260" s="98">
        <v>718.9</v>
      </c>
      <c r="BH260" s="61">
        <f>IF(ISERROR((BG260/AY260-1)*100),"NA",IF(((BG260/AY260-1)*100)&gt;100,"NM",IF(((BG260/AY260-1)*100)&lt;-50,"NM",(BG260/AY260-1)*100)))</f>
        <v>81.861877055400953</v>
      </c>
      <c r="BI260" s="98">
        <v>688</v>
      </c>
      <c r="BJ260" s="61">
        <f>IF(ISERROR((BI260/BA260-1)*100),"NA",IF(((BI260/BA260-1)*100)&gt;100,"NM",IF(((BI260/BA260-1)*100)&lt;-50,"NM",(BI260/BA260-1)*100)))</f>
        <v>1.116990005878904</v>
      </c>
      <c r="BK260" s="98">
        <v>786.1</v>
      </c>
      <c r="BL260" s="61">
        <f>IF(ISERROR((BK260/BC260-1)*100),"NA",IF(((BK260/BC260-1)*100)&gt;100,"NM",IF(((BK260/BC260-1)*100)&lt;-50,"NM",(BK260/BC260-1)*100)))</f>
        <v>9.8365236831074334</v>
      </c>
      <c r="BM260" s="98">
        <v>809.8</v>
      </c>
      <c r="BN260" s="61">
        <f>IF(ISERROR((BM260/BE260-1)*100),"NA",IF(((BM260/BE260-1)*100)&gt;100,"NM",IF(((BM260/BE260-1)*100)&lt;-50,"NM",(BM260/BE260-1)*100)))</f>
        <v>12.566027244926325</v>
      </c>
      <c r="BO260" s="98">
        <v>814.6</v>
      </c>
      <c r="BP260" s="61">
        <f>IF(ISERROR((BO260/BG260-1)*100),"NA",IF(((BO260/BG260-1)*100)&gt;100,"NM",IF(((BO260/BG260-1)*100)&lt;-50,"NM",(BO260/BG260-1)*100)))</f>
        <v>13.312004451244963</v>
      </c>
      <c r="BQ260" s="98">
        <v>838.7</v>
      </c>
      <c r="BR260" s="61">
        <f>IF(ISERROR((BQ260/BI260-1)*100),"NA",IF(((BQ260/BI260-1)*100)&gt;100,"NM",IF(((BQ260/BI260-1)*100)&lt;-50,"NM",(BQ260/BI260-1)*100)))</f>
        <v>21.904069767441857</v>
      </c>
      <c r="BS260" s="98">
        <v>872</v>
      </c>
      <c r="BT260" s="61">
        <f>IF(ISERROR((BS260/BK260-1)*100),"NA",IF(((BS260/BK260-1)*100)&gt;100,"NM",IF(((BS260/BK260-1)*100)&lt;-50,"NM",(BS260/BK260-1)*100)))</f>
        <v>10.927362930924822</v>
      </c>
      <c r="BU260" s="98">
        <v>922.3</v>
      </c>
      <c r="BV260" s="61">
        <f>IF(ISERROR((BU260/BM260-1)*100),"NA",IF(((BU260/BM260-1)*100)&gt;100,"NM",IF(((BU260/BM260-1)*100)&lt;-50,"NM",(BU260/BM260-1)*100)))</f>
        <v>13.89231909113362</v>
      </c>
      <c r="BW260" s="98">
        <v>882.5</v>
      </c>
      <c r="BX260" s="61">
        <f>IF(ISERROR((BW260/BO260-1)*100),"NA",IF(((BW260/BO260-1)*100)&gt;100,"NM",IF(((BW260/BO260-1)*100)&lt;-50,"NM",(BW260/BO260-1)*100)))</f>
        <v>8.3353793272771917</v>
      </c>
      <c r="BY260" s="98">
        <v>805.5</v>
      </c>
      <c r="BZ260" s="61">
        <f>IF(ISERROR((BY260/BQ260-1)*100),"NA",IF(((BY260/BQ260-1)*100)&gt;100,"NM",IF(((BY260/BQ260-1)*100)&lt;-50,"NM",(BY260/BQ260-1)*100)))</f>
        <v>-3.9585072135447819</v>
      </c>
      <c r="CA260" s="98">
        <v>897.5</v>
      </c>
      <c r="CB260" s="61">
        <f>IF(ISERROR((CA260/BS260-1)*100),"NA",IF(((CA260/BS260-1)*100)&gt;100,"NM",IF(((CA260/BS260-1)*100)&lt;-50,"NM",(CA260/BS260-1)*100)))</f>
        <v>2.924311926605494</v>
      </c>
      <c r="CC260" s="98">
        <v>893.8</v>
      </c>
      <c r="CD260" s="61">
        <f>IF(ISERROR((CC260/BU260-1)*100),"NA",IF(((CC260/BU260-1)*100)&gt;100,"NM",IF(((CC260/BU260-1)*100)&lt;-50,"NM",(CC260/BU260-1)*100)))</f>
        <v>-3.0901008348693471</v>
      </c>
      <c r="CE260" s="98">
        <v>925.8</v>
      </c>
      <c r="CF260" s="61">
        <f>IF(ISERROR((CE260/BW260-1)*100),"NA",IF(((CE260/BW260-1)*100)&gt;100,"NM",IF(((CE260/BW260-1)*100)&lt;-50,"NM",(CE260/BW260-1)*100)))</f>
        <v>4.9065155807365368</v>
      </c>
      <c r="CG260" s="98">
        <v>914.3</v>
      </c>
      <c r="CH260" s="61">
        <f>IF(ISERROR((CG260/BY260-1)*100),"NA",IF(((CG260/BY260-1)*100)&gt;100,"NM",IF(((CG260/BY260-1)*100)&lt;-50,"NM",(CG260/BY260-1)*100)))</f>
        <v>13.507138423339526</v>
      </c>
      <c r="CI260" s="98">
        <v>1028.0999999999999</v>
      </c>
      <c r="CJ260" s="61">
        <f>IF(ISERROR((CI260/CA260-1)*100),"NA",IF(((CI260/CA260-1)*100)&gt;100,"NM",IF(((CI260/CA260-1)*100)&lt;-50,"NM",(CI260/CA260-1)*100)))</f>
        <v>14.551532033426184</v>
      </c>
      <c r="CK260" s="98">
        <v>971.4</v>
      </c>
      <c r="CL260" s="61">
        <f>IF(ISERROR((CK260/CC260-1)*100),"NA",IF(((CK260/CC260-1)*100)&gt;100,"NM",IF(((CK260/CC260-1)*100)&lt;-50,"NM",(CK260/CC260-1)*100)))</f>
        <v>8.6820317744461981</v>
      </c>
      <c r="CM260" s="98">
        <v>936</v>
      </c>
      <c r="CN260" s="61">
        <f>IF(ISERROR((CM260/CE260-1)*100),"NA",IF(((CM260/CE260-1)*100)&gt;100,"NM",IF(((CM260/CE260-1)*100)&lt;-50,"NM",(CM260/CE260-1)*100)))</f>
        <v>1.1017498379779722</v>
      </c>
      <c r="CO260" s="98">
        <v>1027.5</v>
      </c>
      <c r="CP260" s="61">
        <f>IF(ISERROR((CO260/CG260-1)*100),"NA",IF(((CO260/CG260-1)*100)&gt;100,"NM",IF(((CO260/CG260-1)*100)&lt;-50,"NM",(CO260/CG260-1)*100)))</f>
        <v>12.381056545991465</v>
      </c>
      <c r="CQ260" s="98">
        <v>957.1</v>
      </c>
      <c r="CR260" s="61">
        <f>IF(ISERROR((CQ260/CI260-1)*100),"NA",IF(((CQ260/CI260-1)*100)&gt;100,"NM",IF(((CQ260/CI260-1)*100)&lt;-50,"NM",(CQ260/CI260-1)*100)))</f>
        <v>-6.905943001653525</v>
      </c>
      <c r="CS260" s="98">
        <v>983</v>
      </c>
      <c r="CT260" s="61">
        <f>IF(ISERROR((CS260/CK260-1)*100),"NA",IF(((CS260/CK260-1)*100)&gt;100,"NM",IF(((CS260/CK260-1)*100)&lt;-50,"NM",(CS260/CK260-1)*100)))</f>
        <v>1.1941527691990972</v>
      </c>
      <c r="CU260" s="98">
        <v>1020</v>
      </c>
      <c r="CV260" s="61">
        <f>IF(ISERROR((CU260/CM260-1)*100),"NA",IF(((CU260/CM260-1)*100)&gt;100,"NM",IF(((CU260/CM260-1)*100)&lt;-50,"NM",(CU260/CM260-1)*100)))</f>
        <v>8.9743589743589638</v>
      </c>
      <c r="CW260" s="98">
        <v>1034</v>
      </c>
      <c r="CX260" s="61">
        <f>IF(ISERROR((CW260/CO260-1)*100),"NA",IF(((CW260/CO260-1)*100)&gt;100,"NM",IF(((CW260/CO260-1)*100)&lt;-50,"NM",(CW260/CO260-1)*100)))</f>
        <v>0.63260340632602663</v>
      </c>
      <c r="CY260" s="98">
        <v>1080</v>
      </c>
      <c r="CZ260" s="61">
        <f>IF(ISERROR((CY260/CQ260-1)*100),"NA",IF(((CY260/CQ260-1)*100)&gt;100,"NM",IF(((CY260/CQ260-1)*100)&lt;-50,"NM",(CY260/CQ260-1)*100)))</f>
        <v>12.840873471946512</v>
      </c>
      <c r="DA260" s="98">
        <v>1084</v>
      </c>
      <c r="DB260" s="61">
        <f>IF(ISERROR((DA260/CS260-1)*100),"NA",IF(((DA260/CS260-1)*100)&gt;100,"NM",IF(((DA260/CS260-1)*100)&lt;-50,"NM",(DA260/CS260-1)*100)))</f>
        <v>10.274669379450652</v>
      </c>
      <c r="DC260" s="98">
        <v>1074</v>
      </c>
      <c r="DD260" s="61">
        <f>IF(ISERROR((DC260/CU260-1)*100),"NA",IF(((DC260/CU260-1)*100)&gt;100,"NM",IF(((DC260/CU260-1)*100)&lt;-50,"NM",(DC260/CU260-1)*100)))</f>
        <v>5.2941176470588269</v>
      </c>
      <c r="DE260" s="98">
        <v>1083</v>
      </c>
      <c r="DF260" s="61">
        <f>IF(ISERROR((DE260/CW260-1)*100),"NA",IF(((DE260/CW260-1)*100)&gt;100,"NM",IF(((DE260/CW260-1)*100)&lt;-50,"NM",(DE260/CW260-1)*100)))</f>
        <v>4.7388781431334515</v>
      </c>
      <c r="DG260" s="98">
        <v>1091</v>
      </c>
      <c r="DH260" s="61">
        <f>IF(ISERROR((DG260/CY260-1)*100),"NA",IF(((DG260/CY260-1)*100)&gt;100,"NM",IF(((DG260/CY260-1)*100)&lt;-50,"NM",(DG260/CY260-1)*100)))</f>
        <v>1.0185185185185075</v>
      </c>
      <c r="DI260" s="98">
        <v>1110</v>
      </c>
      <c r="DJ260" s="61">
        <f>IF(ISERROR((DI260/DA260-1)*100),"NA",IF(((DI260/DA260-1)*100)&gt;100,"NM",IF(((DI260/DA260-1)*100)&lt;-50,"NM",(DI260/DA260-1)*100)))</f>
        <v>2.3985239852398532</v>
      </c>
      <c r="DK260" s="98">
        <v>1159</v>
      </c>
      <c r="DL260" s="61">
        <f>IF(ISERROR((DK260/DC260-1)*100),"NA",IF(((DK260/DC260-1)*100)&gt;100,"NM",IF(((DK260/DC260-1)*100)&lt;-50,"NM",(DK260/DC260-1)*100)))</f>
        <v>7.9143389199255232</v>
      </c>
      <c r="DM260" s="98">
        <v>1140</v>
      </c>
      <c r="DN260" s="130">
        <f t="shared" si="1821"/>
        <v>5.2631578947368363</v>
      </c>
      <c r="DO260" s="98">
        <v>1220</v>
      </c>
      <c r="DP260" s="130">
        <f t="shared" si="1821"/>
        <v>11.824014665444537</v>
      </c>
      <c r="DQ260" s="98">
        <v>1578</v>
      </c>
      <c r="DR260" s="130">
        <f t="shared" si="1821"/>
        <v>42.162162162162154</v>
      </c>
      <c r="DS260" s="98">
        <v>1276</v>
      </c>
      <c r="DT260" s="130">
        <f t="shared" si="1821"/>
        <v>10.09490940465918</v>
      </c>
      <c r="DU260" s="98">
        <v>1291</v>
      </c>
      <c r="DV260" s="130">
        <f t="shared" si="1821"/>
        <v>13.245614035087726</v>
      </c>
      <c r="DW260" s="98">
        <v>1681</v>
      </c>
      <c r="DX260" s="98">
        <v>1681</v>
      </c>
      <c r="DY260" s="98">
        <v>1173</v>
      </c>
      <c r="DZ260" s="130">
        <f t="shared" si="1821"/>
        <v>-25.665399239543728</v>
      </c>
      <c r="EA260" s="98">
        <v>1375</v>
      </c>
      <c r="EB260" s="130">
        <f t="shared" si="1822"/>
        <v>7.7586206896551824</v>
      </c>
      <c r="EC260" s="98">
        <v>1363</v>
      </c>
      <c r="ED260" s="130">
        <f t="shared" si="1823"/>
        <v>5.577072037180475</v>
      </c>
      <c r="EE260" s="98">
        <v>1384</v>
      </c>
      <c r="EF260" s="130">
        <f t="shared" si="1824"/>
        <v>-17.668054729327775</v>
      </c>
      <c r="EG260" s="98">
        <v>1372</v>
      </c>
      <c r="EH260" s="130">
        <f t="shared" si="1825"/>
        <v>16.965046888320543</v>
      </c>
      <c r="EI260" s="98">
        <v>1419</v>
      </c>
      <c r="EJ260" s="130">
        <f t="shared" si="1826"/>
        <v>3.2000000000000028</v>
      </c>
      <c r="EK260" s="98">
        <v>1461</v>
      </c>
      <c r="EL260" s="130">
        <f t="shared" si="1827"/>
        <v>7.1900220102714574</v>
      </c>
      <c r="EM260" s="98">
        <v>1439</v>
      </c>
      <c r="EN260" s="130">
        <f t="shared" si="1828"/>
        <v>3.973988439306364</v>
      </c>
      <c r="EO260" s="98">
        <v>1461</v>
      </c>
      <c r="EP260" s="130">
        <f t="shared" si="1829"/>
        <v>6.4868804664723001</v>
      </c>
      <c r="EQ260" s="102">
        <f t="shared" ref="EQ260:EW260" si="1853">SUM(EQ256:EQ259)</f>
        <v>1496.1749149861607</v>
      </c>
      <c r="ER260" s="130">
        <f t="shared" si="1831"/>
        <v>5.4386832266497986</v>
      </c>
      <c r="ES260" s="102">
        <f t="shared" si="1853"/>
        <v>1484.5601088615817</v>
      </c>
      <c r="ET260" s="130">
        <f t="shared" si="1832"/>
        <v>1.6126015647899949</v>
      </c>
      <c r="EU260" s="102">
        <f t="shared" si="1853"/>
        <v>1496.3278611176402</v>
      </c>
      <c r="EV260" s="130">
        <f t="shared" si="1833"/>
        <v>3.9838680415316352</v>
      </c>
      <c r="EW260" s="102">
        <f t="shared" si="1853"/>
        <v>1501.275923080744</v>
      </c>
      <c r="EX260" s="130">
        <f t="shared" si="1834"/>
        <v>2.7567366927271797</v>
      </c>
      <c r="EY260" s="103"/>
      <c r="EZ260" s="558"/>
      <c r="FA260" s="103"/>
      <c r="FB260" s="102"/>
      <c r="FC260" s="100"/>
      <c r="FD260" s="102"/>
      <c r="FE260" s="70"/>
      <c r="FF260" s="98"/>
      <c r="FG260" s="70"/>
      <c r="FH260" s="102"/>
      <c r="FI260" s="70"/>
      <c r="FJ260" s="102"/>
      <c r="FK260" s="70"/>
      <c r="FL260" s="104"/>
      <c r="FM260" s="61"/>
      <c r="FN260" s="104">
        <f>SUM(FN256:FN259)</f>
        <v>1482</v>
      </c>
      <c r="FO260" s="61"/>
      <c r="FP260" s="104">
        <f>SUM(FP256:FP259)</f>
        <v>1524.4</v>
      </c>
      <c r="FQ260" s="61">
        <f>IF(ISERROR((FP260/FN260-1)*100),"NA",IF(((FP260/FN260-1)*100)&gt;100,"NM",IF(((FP260/FN260-1)*100)&lt;-50,"NM",(FP260/FN260-1)*100)))</f>
        <v>2.860998650472335</v>
      </c>
      <c r="FR260" s="104">
        <f>SUM(FR256:FR259)</f>
        <v>2510.8000000000002</v>
      </c>
      <c r="FS260" s="61">
        <f>IF(ISERROR((FR260/FP260-1)*100),"NA",IF(((FR260/FP260-1)*100)&gt;100,"NM",IF(((FR260/FP260-1)*100)&lt;-50,"NM",(FR260/FP260-1)*100)))</f>
        <v>64.707425872474417</v>
      </c>
      <c r="FT260" s="104">
        <f>SUM(FT256:FT259)</f>
        <v>3002.8</v>
      </c>
      <c r="FU260" s="61">
        <f>IF(ISERROR((FT260/FR260-1)*100),"NA",IF(((FT260/FR260-1)*100)&gt;100,"NM",IF(((FT260/FR260-1)*100)&lt;-50,"NM",(FT260/FR260-1)*100)))</f>
        <v>19.59534809622432</v>
      </c>
      <c r="FV260" s="104">
        <f>SUM(FV256:FV259)</f>
        <v>3447.6</v>
      </c>
      <c r="FW260" s="61">
        <f>IF(ISERROR((FV260/FT260-1)*100),"NA",IF(((FV260/FT260-1)*100)&gt;100,"NM",IF(((FV260/FT260-1)*100)&lt;-50,"NM",(FV260/FT260-1)*100)))</f>
        <v>14.812841348075123</v>
      </c>
      <c r="FX260" s="104">
        <f>SUM(FX256:FX259)</f>
        <v>3479.2999999999997</v>
      </c>
      <c r="FY260" s="61">
        <f>IF(ISERROR((FX260/FV260-1)*100),"NA",IF(((FX260/FV260-1)*100)&gt;100,"NM",IF(((FX260/FV260-1)*100)&lt;-50,"NM",(FX260/FV260-1)*100)))</f>
        <v>0.91948021812273684</v>
      </c>
      <c r="FZ260" s="104">
        <f>SUM(FZ256:FZ259)</f>
        <v>3839.6000000000004</v>
      </c>
      <c r="GA260" s="61">
        <f>IF(ISERROR((FZ260/FX260-1)*100),"NA",IF(((FZ260/FX260-1)*100)&gt;100,"NM",IF(((FZ260/FX260-1)*100)&lt;-50,"NM",(FZ260/FX260-1)*100)))</f>
        <v>10.355531285028619</v>
      </c>
      <c r="GB260" s="104">
        <f>SUM(GB256:GB259)</f>
        <v>3903.6000000000004</v>
      </c>
      <c r="GC260" s="61">
        <f>IF(ISERROR((GB260/FZ260-1)*100),"NA",IF(((GB260/FZ260-1)*100)&gt;100,"NM",IF(((GB260/FZ260-1)*100)&lt;-50,"NM",(GB260/FZ260-1)*100)))</f>
        <v>1.6668402958641471</v>
      </c>
      <c r="GD260" s="104">
        <f>SUM(GD256:GD259)</f>
        <v>4218</v>
      </c>
      <c r="GE260" s="61">
        <f>IF(ISERROR((GD260/GB260-1)*100),"NA",IF(((GD260/GB260-1)*100)&gt;100,"NM",IF(((GD260/GB260-1)*100)&lt;-50,"NM",(GD260/GB260-1)*100)))</f>
        <v>8.0541039040885174</v>
      </c>
      <c r="GF260" s="104">
        <f>SUM(GF256:GF259)</f>
        <v>4358</v>
      </c>
      <c r="GG260" s="61">
        <f>IF(ISERROR((GF260/GD260-1)*100),"NA",IF(((GF260/GD260-1)*100)&gt;100,"NM",IF(((GF260/GD260-1)*100)&lt;-50,"NM",(GF260/GD260-1)*100)))</f>
        <v>3.3191085822664723</v>
      </c>
      <c r="GH260" s="104">
        <f>SUM(GH256:GH259)</f>
        <v>5097</v>
      </c>
      <c r="GI260" s="61">
        <f>IF(ISERROR((GH260/GF260-1)*100),"NA",IF(((GH260/GF260-1)*100)&gt;100,"NM",IF(((GH260/GF260-1)*100)&lt;-50,"NM",(GH260/GF260-1)*100)))</f>
        <v>16.957319871500687</v>
      </c>
      <c r="GJ260" s="104">
        <f>SUM(GJ256:GJ259)</f>
        <v>5421</v>
      </c>
      <c r="GK260" s="61">
        <f>IF(ISERROR((GJ260/GH260-1)*100),"NA",IF(((GJ260/GH260-1)*100)&gt;100,"NM",IF(((GJ260/GH260-1)*100)&lt;-50,"NM",(GJ260/GH260-1)*100)))</f>
        <v>6.356680400235426</v>
      </c>
      <c r="GL260" s="104">
        <f>SUM(GL256:GL259)</f>
        <v>5494</v>
      </c>
      <c r="GM260" s="61">
        <f>IF(ISERROR((GL260/GJ260-1)*100),"NA",IF(((GL260/GJ260-1)*100)&gt;100,"NM",IF(((GL260/GJ260-1)*100)&lt;-50,"NM",(GL260/GJ260-1)*100)))</f>
        <v>1.346615015679764</v>
      </c>
      <c r="GN260" s="104">
        <f>SUM(GN256:GN259)</f>
        <v>5780</v>
      </c>
      <c r="GO260" s="61">
        <f>IF(ISERROR((GN260/GL260-1)*100),"NA",IF(((GN260/GL260-1)*100)&gt;100,"NM",IF(((GN260/GL260-1)*100)&lt;-50,"NM",(GN260/GL260-1)*100)))</f>
        <v>5.2056789224608657</v>
      </c>
      <c r="GP260" s="104">
        <f>SUM(GP256:GP259)</f>
        <v>5978.3388080461264</v>
      </c>
      <c r="GQ260" s="61">
        <f>IF(ISERROR((GP260/GN260-1)*100),"NA",IF(((GP260/GN260-1)*100)&gt;100,"NM",IF(((GP260/GN260-1)*100)&lt;-50,"NM",(GP260/GN260-1)*100)))</f>
        <v>3.431467267234023</v>
      </c>
      <c r="GR260" s="102">
        <f>SUM(GR256:GR259)</f>
        <v>6177.304842770066</v>
      </c>
      <c r="GS260" s="61">
        <f>IF(ISERROR((GR260/GP260-1)*100),"NA",IF(((GR260/GP260-1)*100)&gt;100,"NM",IF(((GR260/GP260-1)*100)&lt;-50,"NM",(GR260/GP260-1)*100)))</f>
        <v>3.3281157377055282</v>
      </c>
      <c r="GT260" s="102">
        <f>SUM(GT256:GT259)</f>
        <v>6357.7060002744411</v>
      </c>
      <c r="GU260" s="61">
        <f>IF(ISERROR((GT260/GR260-1)*100),"NA",IF(((GT260/GR260-1)*100)&gt;100,"NM",IF(((GT260/GR260-1)*100)&lt;-50,"NM",(GT260/GR260-1)*100)))</f>
        <v>2.9203861893835059</v>
      </c>
      <c r="GV260" s="102">
        <f>SUM(GV256:GV259)</f>
        <v>6544.1261730458264</v>
      </c>
      <c r="GW260" s="61">
        <f>IF(ISERROR((GV260/GT260-1)*100),"NA",IF(((GV260/GT260-1)*100)&gt;100,"NM",IF(((GV260/GT260-1)*100)&lt;-50,"NM",(GV260/GT260-1)*100)))</f>
        <v>2.9321924097046592</v>
      </c>
      <c r="GX260" s="102">
        <f>SUM(GX256:GX259)</f>
        <v>6742.4590444293663</v>
      </c>
      <c r="GY260" s="61">
        <f>IF(ISERROR((GX260/GV260-1)*100),"NA",IF(((GX260/GV260-1)*100)&gt;100,"NM",IF(((GX260/GV260-1)*100)&lt;-50,"NM",(GX260/GV260-1)*100)))</f>
        <v>3.0307006029382633</v>
      </c>
      <c r="GZ260" s="61">
        <f t="shared" si="1820"/>
        <v>3.1283562732941084</v>
      </c>
      <c r="HA260" s="61"/>
      <c r="HB260" s="452"/>
      <c r="HC260"/>
      <c r="HD260"/>
      <c r="HE260"/>
      <c r="HF260"/>
      <c r="HG260"/>
      <c r="HH260"/>
    </row>
    <row r="261" spans="1:216" s="5" customFormat="1" ht="12.75" customHeight="1" x14ac:dyDescent="0.2">
      <c r="B261" s="2"/>
      <c r="C261" s="69"/>
      <c r="D261" s="70"/>
      <c r="E261" s="69"/>
      <c r="F261" s="71"/>
      <c r="G261" s="69"/>
      <c r="H261" s="71"/>
      <c r="I261" s="69"/>
      <c r="J261" s="61"/>
      <c r="K261" s="69"/>
      <c r="L261" s="61"/>
      <c r="M261" s="69"/>
      <c r="N261" s="61"/>
      <c r="O261" s="69"/>
      <c r="P261" s="61"/>
      <c r="Q261" s="69"/>
      <c r="R261" s="61"/>
      <c r="S261" s="69"/>
      <c r="T261" s="61"/>
      <c r="U261" s="69"/>
      <c r="V261" s="61"/>
      <c r="W261" s="69"/>
      <c r="X261" s="61"/>
      <c r="Y261" s="69"/>
      <c r="Z261" s="61"/>
      <c r="AA261" s="69"/>
      <c r="AB261" s="61"/>
      <c r="AC261" s="69"/>
      <c r="AD261" s="61"/>
      <c r="AE261" s="69"/>
      <c r="AF261" s="61"/>
      <c r="AG261" s="69"/>
      <c r="AH261" s="61"/>
      <c r="AI261" s="69"/>
      <c r="AJ261" s="61"/>
      <c r="AK261" s="84"/>
      <c r="AL261" s="61"/>
      <c r="AM261" s="69"/>
      <c r="AN261" s="61"/>
      <c r="AO261" s="69"/>
      <c r="AP261" s="167"/>
      <c r="AQ261" s="69"/>
      <c r="AR261" s="167"/>
      <c r="AS261" s="69"/>
      <c r="AT261" s="167"/>
      <c r="AU261" s="69"/>
      <c r="AV261" s="61"/>
      <c r="AW261" s="69"/>
      <c r="AX261" s="61"/>
      <c r="AY261" s="69"/>
      <c r="AZ261" s="61"/>
      <c r="BA261" s="69"/>
      <c r="BB261" s="61"/>
      <c r="BC261" s="69"/>
      <c r="BD261" s="61"/>
      <c r="BE261" s="69"/>
      <c r="BF261" s="61"/>
      <c r="BG261" s="69"/>
      <c r="BH261" s="61"/>
      <c r="BI261" s="69"/>
      <c r="BJ261" s="61"/>
      <c r="BK261" s="69"/>
      <c r="BL261" s="61"/>
      <c r="BM261" s="69"/>
      <c r="BN261" s="61"/>
      <c r="BO261" s="69"/>
      <c r="BP261" s="61"/>
      <c r="BQ261" s="69"/>
      <c r="BR261" s="61"/>
      <c r="BS261" s="69"/>
      <c r="BT261" s="61"/>
      <c r="BU261" s="69"/>
      <c r="BV261" s="61"/>
      <c r="BW261" s="168"/>
      <c r="BX261" s="61"/>
      <c r="BY261" s="168"/>
      <c r="BZ261" s="61"/>
      <c r="CA261" s="168"/>
      <c r="CB261" s="61"/>
      <c r="CC261" s="168"/>
      <c r="CD261" s="61"/>
      <c r="CE261" s="168"/>
      <c r="CF261" s="61"/>
      <c r="CG261" s="168"/>
      <c r="CH261" s="61"/>
      <c r="CI261" s="168"/>
      <c r="CJ261" s="61"/>
      <c r="CK261" s="168"/>
      <c r="CL261" s="61"/>
      <c r="CM261" s="168"/>
      <c r="CN261" s="61"/>
      <c r="CO261" s="168"/>
      <c r="CP261" s="61"/>
      <c r="CQ261" s="168"/>
      <c r="CR261" s="61"/>
      <c r="CS261" s="168"/>
      <c r="CT261" s="61"/>
      <c r="CU261" s="168"/>
      <c r="CV261" s="61"/>
      <c r="CW261" s="168"/>
      <c r="CX261" s="61"/>
      <c r="CY261" s="168"/>
      <c r="CZ261" s="61"/>
      <c r="DA261" s="168"/>
      <c r="DB261" s="61"/>
      <c r="DC261" s="168"/>
      <c r="DD261" s="61"/>
      <c r="DE261" s="168"/>
      <c r="DF261" s="61"/>
      <c r="DG261" s="168"/>
      <c r="DH261" s="61"/>
      <c r="DI261" s="168"/>
      <c r="DJ261" s="61"/>
      <c r="DK261" s="168"/>
      <c r="DL261" s="61"/>
      <c r="DM261" s="168"/>
      <c r="DN261" s="61"/>
      <c r="DO261" s="168"/>
      <c r="DP261" s="61"/>
      <c r="DQ261" s="168"/>
      <c r="DR261" s="61"/>
      <c r="DS261" s="168"/>
      <c r="DT261" s="61"/>
      <c r="DU261" s="168"/>
      <c r="DV261" s="61"/>
      <c r="DW261" s="168"/>
      <c r="DX261" s="168"/>
      <c r="DY261" s="168"/>
      <c r="DZ261" s="61"/>
      <c r="EA261" s="168"/>
      <c r="EB261" s="61"/>
      <c r="EC261" s="168"/>
      <c r="ED261" s="61"/>
      <c r="EE261" s="168"/>
      <c r="EF261" s="61"/>
      <c r="EG261" s="168"/>
      <c r="EH261" s="61"/>
      <c r="EI261" s="168"/>
      <c r="EJ261" s="61"/>
      <c r="EK261" s="168"/>
      <c r="EL261" s="61"/>
      <c r="EM261" s="168"/>
      <c r="EN261" s="61"/>
      <c r="EO261" s="168"/>
      <c r="EP261" s="61"/>
      <c r="EQ261" s="168"/>
      <c r="ER261" s="61"/>
      <c r="ES261" s="168"/>
      <c r="ET261" s="61"/>
      <c r="EU261" s="168"/>
      <c r="EV261" s="61"/>
      <c r="EW261" s="168"/>
      <c r="EX261" s="61"/>
      <c r="EY261" s="64"/>
      <c r="EZ261" s="558"/>
      <c r="FA261" s="64"/>
      <c r="FB261" s="69"/>
      <c r="FC261" s="71"/>
      <c r="FD261" s="69"/>
      <c r="FE261" s="70"/>
      <c r="FF261" s="69"/>
      <c r="FG261" s="70"/>
      <c r="FH261" s="69"/>
      <c r="FI261" s="70"/>
      <c r="FJ261" s="69"/>
      <c r="FK261" s="70"/>
      <c r="FL261" s="104"/>
      <c r="FM261" s="61"/>
      <c r="FN261" s="104"/>
      <c r="FO261" s="61"/>
      <c r="FP261" s="139"/>
      <c r="FQ261" s="61"/>
      <c r="FR261" s="139"/>
      <c r="FS261" s="61"/>
      <c r="FT261" s="139"/>
      <c r="FU261" s="61"/>
      <c r="FV261" s="139"/>
      <c r="FW261" s="61"/>
      <c r="FX261" s="139"/>
      <c r="FY261" s="61"/>
      <c r="FZ261" s="139"/>
      <c r="GA261" s="61"/>
      <c r="GB261" s="139"/>
      <c r="GC261" s="61"/>
      <c r="GD261" s="139"/>
      <c r="GE261" s="61"/>
      <c r="GF261" s="139"/>
      <c r="GG261" s="61"/>
      <c r="GH261" s="139"/>
      <c r="GI261" s="61"/>
      <c r="GJ261" s="139"/>
      <c r="GK261" s="61"/>
      <c r="GL261" s="139"/>
      <c r="GM261" s="61"/>
      <c r="GN261" s="139"/>
      <c r="GO261" s="61"/>
      <c r="GP261" s="139"/>
      <c r="GQ261" s="61"/>
      <c r="GR261" s="168"/>
      <c r="GS261" s="61"/>
      <c r="GT261" s="168"/>
      <c r="GU261" s="61"/>
      <c r="GV261" s="168"/>
      <c r="GW261" s="61"/>
      <c r="GX261" s="168"/>
      <c r="GY261" s="61"/>
      <c r="GZ261" s="61" t="str">
        <f t="shared" si="1820"/>
        <v/>
      </c>
      <c r="HA261" s="61"/>
      <c r="HB261" s="452"/>
      <c r="HC261"/>
      <c r="HD261"/>
      <c r="HE261"/>
      <c r="HF261"/>
      <c r="HG261"/>
      <c r="HH261"/>
    </row>
    <row r="262" spans="1:216" s="5" customFormat="1" ht="12.75" customHeight="1" x14ac:dyDescent="0.2">
      <c r="B262" s="63" t="s">
        <v>597</v>
      </c>
      <c r="C262" s="66"/>
      <c r="D262" s="67"/>
      <c r="E262" s="66"/>
      <c r="F262" s="66"/>
      <c r="G262" s="64"/>
      <c r="H262" s="66"/>
      <c r="I262" s="64"/>
      <c r="J262" s="66"/>
      <c r="K262" s="64"/>
      <c r="L262" s="61"/>
      <c r="M262" s="66"/>
      <c r="N262" s="61"/>
      <c r="O262" s="64"/>
      <c r="P262" s="61"/>
      <c r="Q262" s="64"/>
      <c r="R262" s="61"/>
      <c r="S262" s="64"/>
      <c r="T262" s="61"/>
      <c r="U262" s="64"/>
      <c r="V262" s="61"/>
      <c r="W262" s="64"/>
      <c r="X262" s="61"/>
      <c r="Y262" s="64"/>
      <c r="Z262" s="61"/>
      <c r="AA262" s="64"/>
      <c r="AB262" s="61"/>
      <c r="AC262" s="64"/>
      <c r="AD262" s="61"/>
      <c r="AE262" s="64"/>
      <c r="AF262" s="61"/>
      <c r="AG262" s="64"/>
      <c r="AH262" s="61"/>
      <c r="AI262" s="64"/>
      <c r="AJ262" s="61"/>
      <c r="AK262" s="64"/>
      <c r="AL262" s="61"/>
      <c r="AM262" s="64"/>
      <c r="AN262" s="61"/>
      <c r="AO262" s="64"/>
      <c r="AP262" s="61"/>
      <c r="AQ262" s="64"/>
      <c r="AR262" s="61"/>
      <c r="AS262" s="64"/>
      <c r="AT262" s="61"/>
      <c r="AU262" s="64"/>
      <c r="AV262" s="61"/>
      <c r="AW262" s="64"/>
      <c r="AX262" s="61"/>
      <c r="AY262" s="64"/>
      <c r="AZ262" s="61"/>
      <c r="BA262" s="64"/>
      <c r="BB262" s="61"/>
      <c r="BC262" s="64"/>
      <c r="BD262" s="61"/>
      <c r="BE262" s="64"/>
      <c r="BF262" s="61"/>
      <c r="BG262" s="64"/>
      <c r="BH262" s="61"/>
      <c r="BI262" s="64"/>
      <c r="BJ262" s="61"/>
      <c r="BK262" s="64"/>
      <c r="BL262" s="61"/>
      <c r="BM262" s="64"/>
      <c r="BN262" s="61"/>
      <c r="BO262" s="64"/>
      <c r="BP262" s="61"/>
      <c r="BQ262" s="64"/>
      <c r="BR262" s="61"/>
      <c r="BS262" s="64"/>
      <c r="BT262" s="61"/>
      <c r="BU262" s="64"/>
      <c r="BV262" s="61"/>
      <c r="BW262" s="64"/>
      <c r="BX262" s="61"/>
      <c r="BY262" s="64"/>
      <c r="BZ262" s="61"/>
      <c r="CA262" s="64"/>
      <c r="CB262" s="61"/>
      <c r="CC262" s="64"/>
      <c r="CD262" s="61"/>
      <c r="CE262" s="64"/>
      <c r="CF262" s="61"/>
      <c r="CG262" s="64"/>
      <c r="CH262" s="61"/>
      <c r="CI262" s="64"/>
      <c r="CJ262" s="61"/>
      <c r="CK262" s="64"/>
      <c r="CL262" s="61"/>
      <c r="CM262" s="64"/>
      <c r="CN262" s="61"/>
      <c r="CO262" s="64"/>
      <c r="CP262" s="61"/>
      <c r="CQ262" s="64"/>
      <c r="CR262" s="61"/>
      <c r="CS262" s="64"/>
      <c r="CT262" s="61"/>
      <c r="CU262" s="64"/>
      <c r="CV262" s="61"/>
      <c r="CW262" s="64"/>
      <c r="CX262" s="61"/>
      <c r="CY262" s="64"/>
      <c r="CZ262" s="61"/>
      <c r="DA262" s="64"/>
      <c r="DB262" s="61"/>
      <c r="DC262" s="64"/>
      <c r="DD262" s="61"/>
      <c r="DE262" s="64"/>
      <c r="DF262" s="61"/>
      <c r="DG262" s="64"/>
      <c r="DH262" s="61"/>
      <c r="DI262" s="64"/>
      <c r="DJ262" s="61"/>
      <c r="DK262" s="64"/>
      <c r="DL262" s="61"/>
      <c r="DM262" s="64"/>
      <c r="DN262" s="61"/>
      <c r="DO262" s="64"/>
      <c r="DP262" s="61"/>
      <c r="DQ262" s="64"/>
      <c r="DR262" s="61"/>
      <c r="DS262" s="64"/>
      <c r="DT262" s="61"/>
      <c r="DU262" s="64"/>
      <c r="DV262" s="61"/>
      <c r="DW262" s="64"/>
      <c r="DX262" s="64"/>
      <c r="DY262" s="64"/>
      <c r="DZ262" s="61"/>
      <c r="EA262" s="64"/>
      <c r="EB262" s="61"/>
      <c r="EC262" s="64"/>
      <c r="ED262" s="61"/>
      <c r="EE262" s="64"/>
      <c r="EF262" s="61"/>
      <c r="EG262" s="64"/>
      <c r="EH262" s="61"/>
      <c r="EI262" s="64"/>
      <c r="EJ262" s="61"/>
      <c r="EK262" s="64"/>
      <c r="EL262" s="61"/>
      <c r="EM262" s="64"/>
      <c r="EN262" s="61"/>
      <c r="EO262" s="64"/>
      <c r="EP262" s="61"/>
      <c r="EQ262" s="64"/>
      <c r="ER262" s="61"/>
      <c r="ES262" s="64"/>
      <c r="ET262" s="61"/>
      <c r="EU262" s="64"/>
      <c r="EV262" s="61"/>
      <c r="EW262" s="64"/>
      <c r="EX262" s="61"/>
      <c r="EY262" s="64"/>
      <c r="EZ262" s="558"/>
      <c r="FA262" s="64"/>
      <c r="FB262" s="66"/>
      <c r="FC262" s="66"/>
      <c r="FD262" s="66"/>
      <c r="FE262" s="67"/>
      <c r="FF262" s="66"/>
      <c r="FG262" s="67"/>
      <c r="FH262" s="66"/>
      <c r="FI262" s="67"/>
      <c r="FJ262" s="66"/>
      <c r="FK262" s="67"/>
      <c r="FL262" s="66"/>
      <c r="FM262" s="61"/>
      <c r="FN262" s="66"/>
      <c r="FO262" s="61"/>
      <c r="FP262" s="65"/>
      <c r="FQ262" s="61"/>
      <c r="FR262" s="65"/>
      <c r="FS262" s="61"/>
      <c r="FT262" s="65"/>
      <c r="FU262" s="61"/>
      <c r="FV262" s="65"/>
      <c r="FW262" s="61"/>
      <c r="FX262" s="65"/>
      <c r="FY262" s="61"/>
      <c r="FZ262" s="65"/>
      <c r="GA262" s="61"/>
      <c r="GB262" s="65"/>
      <c r="GC262" s="61"/>
      <c r="GD262" s="65"/>
      <c r="GE262" s="61"/>
      <c r="GF262" s="65"/>
      <c r="GG262" s="61"/>
      <c r="GH262" s="65"/>
      <c r="GI262" s="61"/>
      <c r="GJ262" s="65"/>
      <c r="GK262" s="61"/>
      <c r="GL262" s="65"/>
      <c r="GM262" s="61"/>
      <c r="GN262" s="65"/>
      <c r="GO262" s="61"/>
      <c r="GP262" s="65"/>
      <c r="GQ262" s="61"/>
      <c r="GR262" s="64"/>
      <c r="GS262" s="61"/>
      <c r="GT262" s="64"/>
      <c r="GU262" s="61"/>
      <c r="GV262" s="64"/>
      <c r="GW262" s="61"/>
      <c r="GX262" s="64"/>
      <c r="GY262" s="61"/>
      <c r="GZ262" s="61" t="str">
        <f t="shared" si="1820"/>
        <v/>
      </c>
      <c r="HA262" s="61"/>
      <c r="HB262" s="452"/>
      <c r="HC262"/>
      <c r="HD262"/>
      <c r="HE262"/>
      <c r="HF262"/>
      <c r="HG262"/>
      <c r="HH262"/>
    </row>
    <row r="263" spans="1:216" s="5" customFormat="1" ht="12.75" customHeight="1" x14ac:dyDescent="0.2">
      <c r="B263" s="68" t="s">
        <v>576</v>
      </c>
      <c r="C263" s="81"/>
      <c r="D263" s="70"/>
      <c r="E263" s="81"/>
      <c r="F263" s="71"/>
      <c r="G263" s="81"/>
      <c r="H263" s="71"/>
      <c r="I263" s="81"/>
      <c r="J263" s="61"/>
      <c r="K263" s="81"/>
      <c r="L263" s="61"/>
      <c r="M263" s="81"/>
      <c r="N263" s="61"/>
      <c r="O263" s="81"/>
      <c r="P263" s="61"/>
      <c r="Q263" s="81"/>
      <c r="R263" s="61"/>
      <c r="S263" s="81"/>
      <c r="T263" s="61"/>
      <c r="U263" s="81"/>
      <c r="V263" s="61"/>
      <c r="W263" s="81"/>
      <c r="X263" s="61"/>
      <c r="Y263" s="81"/>
      <c r="Z263" s="61"/>
      <c r="AA263" s="81"/>
      <c r="AB263" s="61"/>
      <c r="AC263" s="81"/>
      <c r="AD263" s="61"/>
      <c r="AE263" s="81"/>
      <c r="AF263" s="61"/>
      <c r="AG263" s="81"/>
      <c r="AH263" s="61"/>
      <c r="AI263" s="81"/>
      <c r="AJ263" s="61"/>
      <c r="AK263" s="81"/>
      <c r="AL263" s="61"/>
      <c r="AM263" s="81"/>
      <c r="AN263" s="61"/>
      <c r="AO263" s="81"/>
      <c r="AP263" s="61"/>
      <c r="AQ263" s="81">
        <f>(AQ256+AQ257)/AQ241*100</f>
        <v>75.051975051975035</v>
      </c>
      <c r="AR263" s="61" t="str">
        <f>IF(ISERROR((AQ263/AI263-1)*100),"NA",IF(((AQ263/AI263-1)*100)&gt;100,"NM",IF(((AQ263/AI263-1)*100)&lt;-50,"NM",(AQ263/AI263-1)*100)))</f>
        <v>NA</v>
      </c>
      <c r="AS263" s="81">
        <f>(AS256+AS257)/AS241*100</f>
        <v>76.200355660936566</v>
      </c>
      <c r="AT263" s="61" t="str">
        <f>IF(ISERROR((AS263/AK263-1)*100),"NA",IF(((AS263/AK263-1)*100)&gt;100,"NM",IF(((AS263/AK263-1)*100)&lt;-50,"NM",(AS263/AK263-1)*100)))</f>
        <v>NA</v>
      </c>
      <c r="AU263" s="81">
        <f>(AU256+AU257)/AU241*100</f>
        <v>78.99212598425197</v>
      </c>
      <c r="AV263" s="61" t="str">
        <f>IF(ISERROR((AU263/AM263-1)*100),"NA",IF(((AU263/AM263-1)*100)&gt;100,"NM",IF(((AU263/AM263-1)*100)&lt;-50,"NM",(AU263/AM263-1)*100)))</f>
        <v>NA</v>
      </c>
      <c r="AW263" s="81">
        <f>(AW256+AW257)/AW241*100</f>
        <v>72.598162071846275</v>
      </c>
      <c r="AX263" s="61" t="str">
        <f>IF(ISERROR((AW263/AO263-1)*100),"NA",IF(((AW263/AO263-1)*100)&gt;100,"NM",IF(((AW263/AO263-1)*100)&lt;-50,"NM",(AW263/AO263-1)*100)))</f>
        <v>NA</v>
      </c>
      <c r="AY263" s="81">
        <f>(AY256+AY257)/AY241*100</f>
        <v>73.2347195087915</v>
      </c>
      <c r="AZ263" s="61">
        <f>IF(ISERROR((AY263/AQ263-1)*100),"NA",IF(((AY263/AQ263-1)*100)&gt;100,"NM",IF(((AY263/AQ263-1)*100)&lt;-50,"NM",(AY263/AQ263-1)*100)))</f>
        <v>-2.4213294079536873</v>
      </c>
      <c r="BA263" s="81">
        <f>(BA256+BA257)/BA241*100</f>
        <v>75.390210637975457</v>
      </c>
      <c r="BB263" s="61">
        <f>IF(ISERROR((BA263/AS263-1)*100),"NA",IF(((BA263/AS263-1)*100)&gt;100,"NM",IF(((BA263/AS263-1)*100)&lt;-50,"NM",(BA263/AS263-1)*100)))</f>
        <v>-1.0631774824857221</v>
      </c>
      <c r="BC263" s="81">
        <f>(BC256+BC257)/BC241*100</f>
        <v>78.401727861771079</v>
      </c>
      <c r="BD263" s="61">
        <f>IF(ISERROR((BC263/AU263-1)*100),"NA",IF(((BC263/AU263-1)*100)&gt;100,"NM",IF(((BC263/AU263-1)*100)&lt;-50,"NM",(BC263/AU263-1)*100)))</f>
        <v>-0.74741389109921341</v>
      </c>
      <c r="BE263" s="81">
        <f>(BE256+BE257)/BE241*100</f>
        <v>70.767925328807806</v>
      </c>
      <c r="BF263" s="61">
        <f>IF(ISERROR((BE263/AW263-1)*100),"NA",IF(((BE263/AW263-1)*100)&gt;100,"NM",IF(((BE263/AW263-1)*100)&lt;-50,"NM",(BE263/AW263-1)*100)))</f>
        <v>-2.5210510718262968</v>
      </c>
      <c r="BG263" s="81">
        <f>(BG256+BG257)/BG241*100</f>
        <v>69.15381408920382</v>
      </c>
      <c r="BH263" s="61">
        <f>IF(ISERROR((BG263/AY263-1)*100),"NA",IF(((BG263/AY263-1)*100)&gt;100,"NM",IF(((BG263/AY263-1)*100)&lt;-50,"NM",(BG263/AY263-1)*100)))</f>
        <v>-5.572364374383632</v>
      </c>
      <c r="BI263" s="81">
        <f>(BI256+BI257)/BI241*100</f>
        <v>73.489694385216779</v>
      </c>
      <c r="BJ263" s="61">
        <f>IF(ISERROR((BI263/BA263-1)*100),"NA",IF(((BI263/BA263-1)*100)&gt;100,"NM",IF(((BI263/BA263-1)*100)&lt;-50,"NM",(BI263/BA263-1)*100)))</f>
        <v>-2.5209058797898476</v>
      </c>
      <c r="BK263" s="81">
        <f>(BK256+BK257)/BK241*100</f>
        <v>73.217094913476657</v>
      </c>
      <c r="BL263" s="61">
        <f>IF(ISERROR((BK263/BC263-1)*100),"NA",IF(((BK263/BC263-1)*100)&gt;100,"NM",IF(((BK263/BC263-1)*100)&lt;-50,"NM",(BK263/BC263-1)*100)))</f>
        <v>-6.6129064877694654</v>
      </c>
      <c r="BM263" s="81">
        <f>(BM256+BM257)/BM241*100</f>
        <v>78.844155844155864</v>
      </c>
      <c r="BN263" s="61">
        <f>IF(ISERROR((BM263/BE263-1)*100),"NA",IF(((BM263/BE263-1)*100)&gt;100,"NM",IF(((BM263/BE263-1)*100)&lt;-50,"NM",(BM263/BE263-1)*100)))</f>
        <v>11.41227537450562</v>
      </c>
      <c r="BO263" s="81">
        <f>(BO256+BO257)/BO241*100</f>
        <v>78.654507005022452</v>
      </c>
      <c r="BP263" s="61">
        <f>IF(ISERROR((BO263/BG263-1)*100),"NA",IF(((BO263/BG263-1)*100)&gt;100,"NM",IF(((BO263/BG263-1)*100)&lt;-50,"NM",(BO263/BG263-1)*100)))</f>
        <v>13.738494457533989</v>
      </c>
      <c r="BQ263" s="81">
        <f>(BQ256+BQ257)/BQ241*100</f>
        <v>77.002419457532156</v>
      </c>
      <c r="BR263" s="61">
        <f>IF(ISERROR((BQ263/BI263-1)*100),"NA",IF(((BQ263/BI263-1)*100)&gt;100,"NM",IF(((BQ263/BI263-1)*100)&lt;-50,"NM",(BQ263/BI263-1)*100)))</f>
        <v>4.7798879852492648</v>
      </c>
      <c r="BS263" s="81">
        <f>(BS256+BS257)/BS241*100</f>
        <v>91.315652626105035</v>
      </c>
      <c r="BT263" s="61">
        <f>IF(ISERROR((BS263/BK263-1)*100),"NA",IF(((BS263/BK263-1)*100)&gt;100,"NM",IF(((BS263/BK263-1)*100)&lt;-50,"NM",(BS263/BK263-1)*100)))</f>
        <v>24.719032807865581</v>
      </c>
      <c r="BU263" s="81">
        <f>(BU256+BU257)/BU241*100</f>
        <v>89.368009702196488</v>
      </c>
      <c r="BV263" s="61">
        <f>IF(ISERROR((BU263/BM263-1)*100),"NA",IF(((BU263/BM263-1)*100)&gt;100,"NM",IF(((BU263/BM263-1)*100)&lt;-50,"NM",(BU263/BM263-1)*100)))</f>
        <v>13.34766508102665</v>
      </c>
      <c r="BW263" s="81">
        <f>(BW256+BW257)/BW241*100</f>
        <v>85.143522110162905</v>
      </c>
      <c r="BX263" s="61">
        <f>IF(ISERROR((BW263/BO263-1)*100),"NA",IF(((BW263/BO263-1)*100)&gt;100,"NM",IF(((BW263/BO263-1)*100)&lt;-50,"NM",(BW263/BO263-1)*100)))</f>
        <v>8.2500232373538438</v>
      </c>
      <c r="BY263" s="81">
        <f>(BY256+BY257)/BY241*100</f>
        <v>86.28057351700869</v>
      </c>
      <c r="BZ263" s="61">
        <f>IF(ISERROR((BY263/BQ263-1)*100),"NA",IF(((BY263/BQ263-1)*100)&gt;100,"NM",IF(((BY263/BQ263-1)*100)&lt;-50,"NM",(BY263/BQ263-1)*100)))</f>
        <v>12.049172123213037</v>
      </c>
      <c r="CA263" s="81">
        <f>(CA256+CA257)/CA241*100</f>
        <v>77.066063803064552</v>
      </c>
      <c r="CB263" s="61">
        <f>IF(ISERROR((CA263/BS263-1)*100),"NA",IF(((CA263/BS263-1)*100)&gt;100,"NM",IF(((CA263/BS263-1)*100)&lt;-50,"NM",(CA263/BS263-1)*100)))</f>
        <v>-15.604760425231689</v>
      </c>
      <c r="CC263" s="81">
        <f>(CC256+CC257)/CC241*100</f>
        <v>81.176044433711652</v>
      </c>
      <c r="CD263" s="61">
        <f>IF(ISERROR((CC263/BU263-1)*100),"NA",IF(((CC263/BU263-1)*100)&gt;100,"NM",IF(((CC263/BU263-1)*100)&lt;-50,"NM",(CC263/BU263-1)*100)))</f>
        <v>-9.1665522101064489</v>
      </c>
      <c r="CE263" s="81">
        <f>(CE256+CE257)/CE241*100</f>
        <v>83.708338346769338</v>
      </c>
      <c r="CF263" s="61">
        <f>IF(ISERROR((CE263/BW263-1)*100),"NA",IF(((CE263/BW263-1)*100)&gt;100,"NM",IF(((CE263/BW263-1)*100)&lt;-50,"NM",(CE263/BW263-1)*100)))</f>
        <v>-1.6856053494435641</v>
      </c>
      <c r="CG263" s="81">
        <f>(CG256+CG257)/CG241*100</f>
        <v>80.387004300047778</v>
      </c>
      <c r="CH263" s="61">
        <f>IF(ISERROR((CG263/BY263-1)*100),"NA",IF(((CG263/BY263-1)*100)&gt;100,"NM",IF(((CG263/BY263-1)*100)&lt;-50,"NM",(CG263/BY263-1)*100)))</f>
        <v>-6.8307024127500675</v>
      </c>
      <c r="CI263" s="81">
        <f>(CI256+CI257)/CI241*100</f>
        <v>106.44482929242952</v>
      </c>
      <c r="CJ263" s="61">
        <f>IF(ISERROR((CI263/CA263-1)*100),"NA",IF(((CI263/CA263-1)*100)&gt;100,"NM",IF(((CI263/CA263-1)*100)&lt;-50,"NM",(CI263/CA263-1)*100)))</f>
        <v>38.121533707028021</v>
      </c>
      <c r="CK263" s="81">
        <f>(CK256+CK257)/CK241*100</f>
        <v>76.938217605248767</v>
      </c>
      <c r="CL263" s="61">
        <f>IF(ISERROR((CK263/CC263-1)*100),"NA",IF(((CK263/CC263-1)*100)&gt;100,"NM",IF(((CK263/CC263-1)*100)&lt;-50,"NM",(CK263/CC263-1)*100)))</f>
        <v>-5.2205387168421264</v>
      </c>
      <c r="CM263" s="81">
        <f>(CM256+CM257)/CM241*100</f>
        <v>88.744075829383888</v>
      </c>
      <c r="CN263" s="61">
        <f>IF(ISERROR((CM263/CE263-1)*100),"NA",IF(((CM263/CE263-1)*100)&gt;100,"NM",IF(((CM263/CE263-1)*100)&lt;-50,"NM",(CM263/CE263-1)*100)))</f>
        <v>6.0158134566637322</v>
      </c>
      <c r="CO263" s="81">
        <f>(462+CO257)/(CO241-10)*100</f>
        <v>84.421283598464072</v>
      </c>
      <c r="CP263" s="61">
        <f>IF(ISERROR((CO263/CG263-1)*100),"NA",IF(((CO263/CG263-1)*100)&gt;100,"NM",IF(((CO263/CG263-1)*100)&lt;-50,"NM",(CO263/CG263-1)*100)))</f>
        <v>5.0185715135722564</v>
      </c>
      <c r="CQ263" s="81">
        <f>(425+CQ257)/(CQ241-10)*100</f>
        <v>86.24765917602997</v>
      </c>
      <c r="CR263" s="61">
        <f>IF(ISERROR((CQ263/CI263-1)*100),"NA",IF(((CQ263/CI263-1)*100)&gt;100,"NM",IF(((CQ263/CI263-1)*100)&lt;-50,"NM",(CQ263/CI263-1)*100)))</f>
        <v>-18.974308334802316</v>
      </c>
      <c r="CS263" s="81">
        <f>(CS256+CS257)/CS241*100</f>
        <v>89.06789413118527</v>
      </c>
      <c r="CT263" s="61">
        <f>IF(ISERROR((CS263/CK263-1)*100),"NA",IF(((CS263/CK263-1)*100)&gt;100,"NM",IF(((CS263/CK263-1)*100)&lt;-50,"NM",(CS263/CK263-1)*100)))</f>
        <v>15.765476382843847</v>
      </c>
      <c r="CU263" s="81">
        <f>(CU256+CU257)/CU241*100</f>
        <v>85.355191256830594</v>
      </c>
      <c r="CV263" s="130">
        <f>IF(ISERROR((CU263/CM263-1)*100),"NA",IF(((CU263/CM263-1)*100)&gt;100,"NM",IF(((CU263/CM263-1)*100)&lt;-50,"NM",(CU263/CM263-1)*100)))</f>
        <v>-3.8187163941722058</v>
      </c>
      <c r="CW263" s="81">
        <f>(CW256+CW257)/CW241*100</f>
        <v>85.157096424702061</v>
      </c>
      <c r="CX263" s="130">
        <f>IF(ISERROR((CW263/CO263-1)*100),"NA",IF(((CW263/CO263-1)*100)&gt;100,"NM",IF(((CW263/CO263-1)*100)&lt;-50,"NM",(CW263/CO263-1)*100)))</f>
        <v>0.87159634972830968</v>
      </c>
      <c r="CY263" s="81">
        <f>(CY256+CY257)/CY241*100</f>
        <v>63.012295081967217</v>
      </c>
      <c r="CZ263" s="130">
        <f>IF(ISERROR((CY263/CQ263-1)*100),"NA",IF(((CY263/CQ263-1)*100)&gt;100,"NM",IF(((CY263/CQ263-1)*100)&lt;-50,"NM",(CY263/CQ263-1)*100)))</f>
        <v>-26.940283731805149</v>
      </c>
      <c r="DA263" s="81">
        <f>(DA256+DA257)/DA241*100</f>
        <v>81.753312945973505</v>
      </c>
      <c r="DB263" s="61">
        <f>IF(ISERROR((DA263/CS263-1)*100),"NA",IF(((DA263/CS263-1)*100)&gt;100,"NM",IF(((DA263/CS263-1)*100)&lt;-50,"NM",(DA263/CS263-1)*100)))</f>
        <v>-8.2123656976085595</v>
      </c>
      <c r="DC263" s="81">
        <f>(DC256+DC257)/DC241*100</f>
        <v>89.576547231270354</v>
      </c>
      <c r="DD263" s="61">
        <f>IF(ISERROR((DC263/CU263-1)*100),"NA",IF(((DC263/CU263-1)*100)&gt;100,"NM",IF(((DC263/CU263-1)*100)&lt;-50,"NM",(DC263/CU263-1)*100)))</f>
        <v>4.94563472037437</v>
      </c>
      <c r="DE263" s="81">
        <f>(DE256+DE257)/DE241*100</f>
        <v>86.027111574556827</v>
      </c>
      <c r="DF263" s="61">
        <f>IF(ISERROR((DE263/CW263-1)*100),"NA",IF(((DE263/CW263-1)*100)&gt;100,"NM",IF(((DE263/CW263-1)*100)&lt;-50,"NM",(DE263/CW263-1)*100)))</f>
        <v>1.0216590118523605</v>
      </c>
      <c r="DG263" s="81">
        <f>(DG256+DG257)/DG241*100</f>
        <v>82.818930041152257</v>
      </c>
      <c r="DH263" s="61">
        <f>IF(ISERROR((DG263/CY263-1)*100),"NA",IF(((DG263/CY263-1)*100)&gt;100,"NM",IF(((DG263/CY263-1)*100)&lt;-50,"NM",(DG263/CY263-1)*100)))</f>
        <v>31.432968650674155</v>
      </c>
      <c r="DI263" s="81">
        <f>(DI256+DI257)/DI241*100</f>
        <v>81.818181818181827</v>
      </c>
      <c r="DJ263" s="61">
        <f>IF(ISERROR((DI263/DA263-1)*100),"NA",IF(((DI263/DA263-1)*100)&gt;100,"NM",IF(((DI263/DA263-1)*100)&lt;-50,"NM",(DI263/DA263-1)*100)))</f>
        <v>7.9347086828374103E-2</v>
      </c>
      <c r="DK263" s="81">
        <f>(DK256+DK257)/DK241*100</f>
        <v>87.238285144566291</v>
      </c>
      <c r="DL263" s="61">
        <f>IF(ISERROR((DK263/DC263-1)*100),"NA",IF(((DK263/DC263-1)*100)&gt;100,"NM",IF(((DK263/DC263-1)*100)&lt;-50,"NM",(DK263/DC263-1)*100)))</f>
        <v>-2.6103507658841729</v>
      </c>
      <c r="DM263" s="81">
        <f>(DM256+DM257)/DM241*100</f>
        <v>83.430799220272903</v>
      </c>
      <c r="DN263" s="130">
        <f t="shared" ref="DN263:DZ267" si="1854">IF(ISERROR((DM263/DE263-1)*100),"NA",IF(((DM263/DE263-1)*100)&gt;100,"NM",IF(((DM263/DE263-1)*100)&lt;-50,"NM",(DM263/DE263-1)*100)))</f>
        <v>-3.0180164215251937</v>
      </c>
      <c r="DO263" s="81">
        <f>(DO256+DO257)/DO241*100</f>
        <v>79.981965734896292</v>
      </c>
      <c r="DP263" s="130">
        <f t="shared" si="1854"/>
        <v>-3.425502243081735</v>
      </c>
      <c r="DQ263" s="81">
        <f>(DQ256+DQ257)/DQ241*100</f>
        <v>76.862228081740284</v>
      </c>
      <c r="DR263" s="130">
        <f t="shared" si="1854"/>
        <v>-6.0572767889841117</v>
      </c>
      <c r="DS263" s="81">
        <f>(DS256+DS257)/DS241*100</f>
        <v>90.310786106032907</v>
      </c>
      <c r="DT263" s="130">
        <f t="shared" si="1854"/>
        <v>3.5219639592583007</v>
      </c>
      <c r="DU263" s="81">
        <f>(DU256+DU257)/DU241*100</f>
        <v>92.714025500910751</v>
      </c>
      <c r="DV263" s="130">
        <f t="shared" si="1854"/>
        <v>11.126857668147693</v>
      </c>
      <c r="DW263" s="81">
        <f>(DW256+DW257)/DW241*100</f>
        <v>66.666666666666657</v>
      </c>
      <c r="DX263" s="81">
        <f t="shared" ref="DX263:DY263" si="1855">(DX256+DX257)/DX241*100</f>
        <v>66.666666666666657</v>
      </c>
      <c r="DY263" s="81">
        <f t="shared" si="1855"/>
        <v>101.70682730923694</v>
      </c>
      <c r="DZ263" s="130">
        <f t="shared" si="1854"/>
        <v>32.323548051554397</v>
      </c>
      <c r="EA263" s="81">
        <f t="shared" ref="EA263:EC263" si="1856">(EA256+EA257)/EA241*100</f>
        <v>96.283185840707958</v>
      </c>
      <c r="EB263" s="130">
        <f t="shared" ref="EB263:EB267" si="1857">IF(ISERROR((EA263/DS263-1)*100),"NA",IF(((EA263/DS263-1)*100)&gt;100,"NM",IF(((EA263/DS263-1)*100)&lt;-50,"NM",(EA263/DS263-1)*100)))</f>
        <v>6.6131632689620412</v>
      </c>
      <c r="EC263" s="81">
        <f t="shared" si="1856"/>
        <v>88.898233809924307</v>
      </c>
      <c r="ED263" s="130">
        <f t="shared" ref="ED263:ED267" si="1858">IF(ISERROR((EC263/DU263-1)*100),"NA",IF(((EC263/DU263-1)*100)&gt;100,"NM",IF(((EC263/DU263-1)*100)&lt;-50,"NM",(EC263/DU263-1)*100)))</f>
        <v>-4.1156574427338999</v>
      </c>
      <c r="EE263" s="81">
        <f t="shared" ref="EE263:EG263" si="1859">(EE256+EE257)/EE241*100</f>
        <v>67.993754879000775</v>
      </c>
      <c r="EF263" s="130">
        <f t="shared" ref="EF263:EF267" si="1860">IF(ISERROR((EE263/DW263-1)*100),"NA",IF(((EE263/DW263-1)*100)&gt;100,"NM",IF(((EE263/DW263-1)*100)&lt;-50,"NM",(EE263/DW263-1)*100)))</f>
        <v>1.9906323185011843</v>
      </c>
      <c r="EG263" s="81">
        <f t="shared" si="1859"/>
        <v>84.265175718849832</v>
      </c>
      <c r="EH263" s="130">
        <f t="shared" ref="EH263:EH267" si="1861">IF(ISERROR((EG263/DY263-1)*100),"NA",IF(((EG263/DY263-1)*100)&gt;100,"NM",IF(((EG263/DY263-1)*100)&lt;-50,"NM",(EG263/DY263-1)*100)))</f>
        <v>-17.14894865155534</v>
      </c>
      <c r="EI263" s="81">
        <f t="shared" ref="EI263:EK263" si="1862">(EI256+EI257)/EI241*100</f>
        <v>91.169451073985684</v>
      </c>
      <c r="EJ263" s="130">
        <f t="shared" ref="EJ263:EJ267" si="1863">IF(ISERROR((EI263/EA263-1)*100),"NA",IF(((EI263/EA263-1)*100)&gt;100,"NM",IF(((EI263/EA263-1)*100)&lt;-50,"NM",(EI263/EA263-1)*100)))</f>
        <v>-5.3111399691141319</v>
      </c>
      <c r="EK263" s="81">
        <f t="shared" si="1862"/>
        <v>88.51454823889739</v>
      </c>
      <c r="EL263" s="130">
        <f t="shared" ref="EL263:EL267" si="1864">IF(ISERROR((EK263/EC263-1)*100),"NA",IF(((EK263/EC263-1)*100)&gt;100,"NM",IF(((EK263/EC263-1)*100)&lt;-50,"NM",(EK263/EC263-1)*100)))</f>
        <v>-0.43160089304730143</v>
      </c>
      <c r="EM263" s="81">
        <f t="shared" ref="EM263" si="1865">(EM256+EM257)/EM241*100</f>
        <v>91.613924050632917</v>
      </c>
      <c r="EN263" s="130">
        <f t="shared" ref="EN263:EN267" si="1866">IF(ISERROR((EM263/EE263-1)*100),"NA",IF(((EM263/EE263-1)*100)&gt;100,"NM",IF(((EM263/EE263-1)*100)&lt;-50,"NM",(EM263/EE263-1)*100)))</f>
        <v>34.738733305236245</v>
      </c>
      <c r="EO263" s="81">
        <f t="shared" ref="EO263" si="1867">(EO256+EO257)/EO241*100</f>
        <v>85.327313769751683</v>
      </c>
      <c r="EP263" s="130">
        <f t="shared" ref="EP263:EP267" si="1868">IF(ISERROR((EO263/EG263-1)*100),"NA",IF(((EO263/EG263-1)*100)&gt;100,"NM",IF(((EO263/EG263-1)*100)&lt;-50,"NM",(EO263/EG263-1)*100)))</f>
        <v>1.2604709381318635</v>
      </c>
      <c r="EQ263" s="81">
        <f t="shared" ref="EQ263:EW263" si="1869">(EQ256+EQ257)/EQ241*100</f>
        <v>90.830176968424297</v>
      </c>
      <c r="ER263" s="130">
        <f t="shared" ref="ER263:ER267" si="1870">IF(ISERROR((EQ263/EI263-1)*100),"NA",IF(((EQ263/EI263-1)*100)&gt;100,"NM",IF(((EQ263/EI263-1)*100)&lt;-50,"NM",(EQ263/EI263-1)*100)))</f>
        <v>-0.37213573358696461</v>
      </c>
      <c r="ES263" s="81">
        <f t="shared" si="1869"/>
        <v>89.415823523305605</v>
      </c>
      <c r="ET263" s="130">
        <f t="shared" ref="ET263:ET267" si="1871">IF(ISERROR((ES263/EK263-1)*100),"NA",IF(((ES263/EK263-1)*100)&gt;100,"NM",IF(((ES263/EK263-1)*100)&lt;-50,"NM",(ES263/EK263-1)*100)))</f>
        <v>1.0182227694092827</v>
      </c>
      <c r="EU263" s="81">
        <f t="shared" si="1869"/>
        <v>89.519874770304654</v>
      </c>
      <c r="EV263" s="130">
        <f t="shared" ref="EV263:EV267" si="1872">IF(ISERROR((EU263/EM263-1)*100),"NA",IF(((EU263/EM263-1)*100)&gt;100,"NM",IF(((EU263/EM263-1)*100)&lt;-50,"NM",(EU263/EM263-1)*100)))</f>
        <v>-2.2857325477849133</v>
      </c>
      <c r="EW263" s="81">
        <f t="shared" si="1869"/>
        <v>88.830299698938148</v>
      </c>
      <c r="EX263" s="130">
        <f t="shared" ref="EX263:EX267" si="1873">IF(ISERROR((EW263/EO263-1)*100),"NA",IF(((EW263/EO263-1)*100)&gt;100,"NM",IF(((EW263/EO263-1)*100)&lt;-50,"NM",(EW263/EO263-1)*100)))</f>
        <v>4.1053512344698451</v>
      </c>
      <c r="EY263" s="64"/>
      <c r="EZ263" s="558"/>
      <c r="FA263" s="64"/>
      <c r="FB263" s="169"/>
      <c r="FC263" s="170"/>
      <c r="FD263" s="169"/>
      <c r="FE263" s="171"/>
      <c r="FF263" s="169"/>
      <c r="FG263" s="171"/>
      <c r="FH263" s="169"/>
      <c r="FI263" s="171"/>
      <c r="FJ263" s="169"/>
      <c r="FK263" s="171"/>
      <c r="FL263" s="88"/>
      <c r="FM263" s="130"/>
      <c r="FN263" s="88">
        <f>(FN256+FN257)/FN241*100</f>
        <v>53.301127214170698</v>
      </c>
      <c r="FO263" s="130"/>
      <c r="FP263" s="88">
        <f>(FP256+FP257)/FP241*100</f>
        <v>75.612645295032209</v>
      </c>
      <c r="FQ263" s="61">
        <f>IF(ISERROR((FP263/FN263-1)*100),"NA",IF(((FP263/FN263-1)*100)&gt;100,"NM",IF(((FP263/FN263-1)*100)&lt;-50,"NM",(FP263/FN263-1)*100)))</f>
        <v>41.859373801253774</v>
      </c>
      <c r="FR263" s="88">
        <f>(FR256+FR257)/FR241*100</f>
        <v>74.51021697914473</v>
      </c>
      <c r="FS263" s="61">
        <f t="shared" ref="FS263:FS276" si="1874">IF(ISERROR((FR263/FP263-1)*100),"NA",IF(((FR263/FP263-1)*100)&gt;100,"NM",IF(((FR263/FP263-1)*100)&lt;-50,"NM",(FR263/FP263-1)*100)))</f>
        <v>-1.4579946404280952</v>
      </c>
      <c r="FT263" s="88">
        <f>(FT256+FT257)/FT241*100</f>
        <v>73.758457374830854</v>
      </c>
      <c r="FU263" s="61">
        <f t="shared" ref="FU263:FU276" si="1875">IF(ISERROR((FT263/FR263-1)*100),"NA",IF(((FT263/FR263-1)*100)&gt;100,"NM",IF(((FT263/FR263-1)*100)&lt;-50,"NM",(FT263/FR263-1)*100)))</f>
        <v>-1.0089349283794125</v>
      </c>
      <c r="FV263" s="88">
        <f>(FV256+FV257)/FV241*100</f>
        <v>84.023319795624275</v>
      </c>
      <c r="FW263" s="61">
        <f t="shared" ref="FW263:FW276" si="1876">IF(ISERROR((FV263/FT263-1)*100),"NA",IF(((FV263/FT263-1)*100)&gt;100,"NM",IF(((FV263/FT263-1)*100)&lt;-50,"NM",(FV263/FT263-1)*100)))</f>
        <v>13.916861585958507</v>
      </c>
      <c r="FX263" s="88">
        <f>(FX256+FX257)/FX241*100</f>
        <v>82.278399588318536</v>
      </c>
      <c r="FY263" s="61">
        <f>IF(ISERROR((FX263/FV263-1)*100),"NA",IF(((FX263/FV263-1)*100)&gt;100,"NM",IF(((FX263/FV263-1)*100)&lt;-50,"NM",(FX263/FV263-1)*100)))</f>
        <v>-2.0767094320362833</v>
      </c>
      <c r="FZ263" s="88">
        <f>(FZ256+FZ257)/FZ241*100</f>
        <v>86.482661004954025</v>
      </c>
      <c r="GA263" s="61">
        <f>IF(ISERROR((FZ263/FX263-1)*100),"NA",IF(((FZ263/FX263-1)*100)&gt;100,"NM",IF(((FZ263/FX263-1)*100)&lt;-50,"NM",(FZ263/FX263-1)*100)))</f>
        <v>5.1097997015882468</v>
      </c>
      <c r="GB263" s="88">
        <f>(GB256+GB257)/GB241*100</f>
        <v>83.006087627540083</v>
      </c>
      <c r="GC263" s="61">
        <f>IF(ISERROR((GB263/FZ263-1)*100),"NA",IF(((GB263/FZ263-1)*100)&gt;100,"NM",IF(((GB263/FZ263-1)*100)&lt;-50,"NM",(GB263/FZ263-1)*100)))</f>
        <v>-4.0199657792846955</v>
      </c>
      <c r="GD263" s="88">
        <f>(GD256+GD257)/GD241*100</f>
        <v>78.62977602108036</v>
      </c>
      <c r="GE263" s="61">
        <f>IF(ISERROR((GD263/GB263-1)*100),"NA",IF(((GD263/GB263-1)*100)&gt;100,"NM",IF(((GD263/GB263-1)*100)&lt;-50,"NM",(GD263/GB263-1)*100)))</f>
        <v>-5.2722778913479758</v>
      </c>
      <c r="GF263" s="88">
        <f>(GF256+GF257)/GF241*100</f>
        <v>84.963768115942031</v>
      </c>
      <c r="GG263" s="61">
        <f>IF(ISERROR((GF263/GD263-1)*100),"NA",IF(((GF263/GD263-1)*100)&gt;100,"NM",IF(((GF263/GD263-1)*100)&lt;-50,"NM",(GF263/GD263-1)*100)))</f>
        <v>8.0554624664879384</v>
      </c>
      <c r="GH263" s="88">
        <f>(GH256+GH257)/GH241*100</f>
        <v>81.288936627282496</v>
      </c>
      <c r="GI263" s="61">
        <f>IF(ISERROR((GH263/GF263-1)*100),"NA",IF(((GH263/GF263-1)*100)&gt;100,"NM",IF(((GH263/GF263-1)*100)&lt;-50,"NM",(GH263/GF263-1)*100)))</f>
        <v>-4.3251748011515208</v>
      </c>
      <c r="GJ263" s="88">
        <f>(GJ256+GJ257)/GJ241*100</f>
        <v>86.217457886676868</v>
      </c>
      <c r="GK263" s="61">
        <f>IF(ISERROR((GJ263/GH263-1)*100),"NA",IF(((GJ263/GH263-1)*100)&gt;100,"NM",IF(((GJ263/GH263-1)*100)&lt;-50,"NM",(GJ263/GH263-1)*100)))</f>
        <v>6.0629668241228396</v>
      </c>
      <c r="GL263" s="88">
        <f>(GL256+GL257)/GL241*100</f>
        <v>83.9035449299258</v>
      </c>
      <c r="GM263" s="61">
        <f>IF(ISERROR((GL263/GJ263-1)*100),"NA",IF(((GL263/GJ263-1)*100)&gt;100,"NM",IF(((GL263/GJ263-1)*100)&lt;-50,"NM",(GL263/GJ263-1)*100)))</f>
        <v>-2.6838102322530144</v>
      </c>
      <c r="GN263" s="88">
        <f>(GN256+GN257)/GN241*100</f>
        <v>89.100077579519009</v>
      </c>
      <c r="GO263" s="61">
        <f>IF(ISERROR((GN263/GL263-1)*100),"NA",IF(((GN263/GL263-1)*100)&gt;100,"NM",IF(((GN263/GL263-1)*100)&lt;-50,"NM",(GN263/GL263-1)*100)))</f>
        <v>6.1934601856610705</v>
      </c>
      <c r="GP263" s="88">
        <f>(GP256+GP257)/GP241*100</f>
        <v>89.64392181195808</v>
      </c>
      <c r="GQ263" s="61">
        <f>IF(ISERROR((GP263/GN263-1)*100),"NA",IF(((GP263/GN263-1)*100)&gt;100,"NM",IF(((GP263/GN263-1)*100)&lt;-50,"NM",(GP263/GN263-1)*100)))</f>
        <v>0.61037458912840403</v>
      </c>
      <c r="GR263" s="88">
        <f>(GR256+GR257)/GR241*100</f>
        <v>89.66169195518934</v>
      </c>
      <c r="GS263" s="61">
        <f>IF(ISERROR((GR263/GP263-1)*100),"NA",IF(((GR263/GP263-1)*100)&gt;100,"NM",IF(((GR263/GP263-1)*100)&lt;-50,"NM",(GR263/GP263-1)*100)))</f>
        <v>1.9823031915700007E-2</v>
      </c>
      <c r="GT263" s="88">
        <f>(GT256+GT257)/GT241*100</f>
        <v>89.885452240033715</v>
      </c>
      <c r="GU263" s="61">
        <f>IF(ISERROR((GT263/GR263-1)*100),"NA",IF(((GT263/GR263-1)*100)&gt;100,"NM",IF(((GT263/GR263-1)*100)&lt;-50,"NM",(GT263/GR263-1)*100)))</f>
        <v>0.24956063170902265</v>
      </c>
      <c r="GV263" s="88">
        <f>(GV256+GV257)/GV241*100</f>
        <v>89.840258623641802</v>
      </c>
      <c r="GW263" s="61">
        <f>IF(ISERROR((GV263/GT263-1)*100),"NA",IF(((GV263/GT263-1)*100)&gt;100,"NM",IF(((GV263/GT263-1)*100)&lt;-50,"NM",(GV263/GT263-1)*100)))</f>
        <v>-5.0279122222385286E-2</v>
      </c>
      <c r="GX263" s="88">
        <f>(GX256+GX257)/GX241*100</f>
        <v>89.790156709312413</v>
      </c>
      <c r="GY263" s="61">
        <f>IF(ISERROR((GX263/GV263-1)*100),"NA",IF(((GX263/GV263-1)*100)&gt;100,"NM",IF(((GX263/GV263-1)*100)&lt;-50,"NM",(GX263/GV263-1)*100)))</f>
        <v>-5.576777615843298E-2</v>
      </c>
      <c r="GZ263" s="61">
        <f t="shared" si="1820"/>
        <v>0.15442212115464038</v>
      </c>
      <c r="HA263" s="61"/>
      <c r="HB263" s="452"/>
      <c r="HC263"/>
      <c r="HD263"/>
      <c r="HE263"/>
      <c r="HF263"/>
      <c r="HG263"/>
      <c r="HH263"/>
    </row>
    <row r="264" spans="1:216" s="112" customFormat="1" ht="12.75" hidden="1" customHeight="1" outlineLevel="1" x14ac:dyDescent="0.2">
      <c r="B264" s="472" t="s">
        <v>120</v>
      </c>
      <c r="C264" s="172"/>
      <c r="D264" s="114"/>
      <c r="E264" s="172"/>
      <c r="F264" s="115"/>
      <c r="G264" s="172"/>
      <c r="H264" s="115"/>
      <c r="I264" s="172"/>
      <c r="J264" s="116"/>
      <c r="K264" s="172"/>
      <c r="L264" s="116"/>
      <c r="M264" s="172"/>
      <c r="N264" s="116"/>
      <c r="O264" s="172"/>
      <c r="P264" s="116"/>
      <c r="Q264" s="172"/>
      <c r="R264" s="116"/>
      <c r="S264" s="172"/>
      <c r="T264" s="116"/>
      <c r="U264" s="172"/>
      <c r="V264" s="116"/>
      <c r="W264" s="172"/>
      <c r="X264" s="116"/>
      <c r="Y264" s="172"/>
      <c r="Z264" s="116"/>
      <c r="AA264" s="172"/>
      <c r="AB264" s="116"/>
      <c r="AC264" s="172"/>
      <c r="AD264" s="116"/>
      <c r="AE264" s="172"/>
      <c r="AF264" s="116"/>
      <c r="AG264" s="172"/>
      <c r="AH264" s="116"/>
      <c r="AI264" s="172"/>
      <c r="AJ264" s="116"/>
      <c r="AK264" s="172"/>
      <c r="AL264" s="116"/>
      <c r="AM264" s="172"/>
      <c r="AN264" s="116"/>
      <c r="AO264" s="172"/>
      <c r="AP264" s="116"/>
      <c r="AQ264" s="172">
        <f t="shared" ref="AQ264:AW264" si="1877">AQ263</f>
        <v>75.051975051975035</v>
      </c>
      <c r="AR264" s="116" t="str">
        <f>IF(ISERROR((AQ264/AI264-1)*100),"NA",IF(((AQ264/AI264-1)*100)&gt;100,"NM",IF(((AQ264/AI264-1)*100)&lt;-50,"NM",(AQ264/AI264-1)*100)))</f>
        <v>NA</v>
      </c>
      <c r="AS264" s="172">
        <f t="shared" si="1877"/>
        <v>76.200355660936566</v>
      </c>
      <c r="AT264" s="116" t="str">
        <f>IF(ISERROR((AS264/AK264-1)*100),"NA",IF(((AS264/AK264-1)*100)&gt;100,"NM",IF(((AS264/AK264-1)*100)&lt;-50,"NM",(AS264/AK264-1)*100)))</f>
        <v>NA</v>
      </c>
      <c r="AU264" s="172">
        <f t="shared" si="1877"/>
        <v>78.99212598425197</v>
      </c>
      <c r="AV264" s="116" t="str">
        <f>IF(ISERROR((AU264/AM264-1)*100),"NA",IF(((AU264/AM264-1)*100)&gt;100,"NM",IF(((AU264/AM264-1)*100)&lt;-50,"NM",(AU264/AM264-1)*100)))</f>
        <v>NA</v>
      </c>
      <c r="AW264" s="172">
        <f t="shared" si="1877"/>
        <v>72.598162071846275</v>
      </c>
      <c r="AX264" s="116" t="str">
        <f>IF(ISERROR((AW264/AO264-1)*100),"NA",IF(((AW264/AO264-1)*100)&gt;100,"NM",IF(((AW264/AO264-1)*100)&lt;-50,"NM",(AW264/AO264-1)*100)))</f>
        <v>NA</v>
      </c>
      <c r="AY264" s="172">
        <f>AY263</f>
        <v>73.2347195087915</v>
      </c>
      <c r="AZ264" s="116">
        <f>IF(ISERROR((AY264/AQ264-1)*100),"NA",IF(((AY264/AQ264-1)*100)&gt;100,"NM",IF(((AY264/AQ264-1)*100)&lt;-50,"NM",(AY264/AQ264-1)*100)))</f>
        <v>-2.4213294079536873</v>
      </c>
      <c r="BA264" s="172">
        <f>BA263</f>
        <v>75.390210637975457</v>
      </c>
      <c r="BB264" s="116">
        <f>IF(ISERROR((BA264/AS264-1)*100),"NA",IF(((BA264/AS264-1)*100)&gt;100,"NM",IF(((BA264/AS264-1)*100)&lt;-50,"NM",(BA264/AS264-1)*100)))</f>
        <v>-1.0631774824857221</v>
      </c>
      <c r="BC264" s="172">
        <f>BC263</f>
        <v>78.401727861771079</v>
      </c>
      <c r="BD264" s="116">
        <f>IF(ISERROR((BC264/AU264-1)*100),"NA",IF(((BC264/AU264-1)*100)&gt;100,"NM",IF(((BC264/AU264-1)*100)&lt;-50,"NM",(BC264/AU264-1)*100)))</f>
        <v>-0.74741389109921341</v>
      </c>
      <c r="BE264" s="172">
        <f>BE263</f>
        <v>70.767925328807806</v>
      </c>
      <c r="BF264" s="116">
        <f>IF(ISERROR((BE264/AW264-1)*100),"NA",IF(((BE264/AW264-1)*100)&gt;100,"NM",IF(((BE264/AW264-1)*100)&lt;-50,"NM",(BE264/AW264-1)*100)))</f>
        <v>-2.5210510718262968</v>
      </c>
      <c r="BG264" s="172">
        <f>BG263</f>
        <v>69.15381408920382</v>
      </c>
      <c r="BH264" s="116">
        <f>IF(ISERROR((BG264/AY264-1)*100),"NA",IF(((BG264/AY264-1)*100)&gt;100,"NM",IF(((BG264/AY264-1)*100)&lt;-50,"NM",(BG264/AY264-1)*100)))</f>
        <v>-5.572364374383632</v>
      </c>
      <c r="BI264" s="172">
        <f>BI263</f>
        <v>73.489694385216779</v>
      </c>
      <c r="BJ264" s="116">
        <f>IF(ISERROR((BI264/BA264-1)*100),"NA",IF(((BI264/BA264-1)*100)&gt;100,"NM",IF(((BI264/BA264-1)*100)&lt;-50,"NM",(BI264/BA264-1)*100)))</f>
        <v>-2.5209058797898476</v>
      </c>
      <c r="BK264" s="172">
        <f>BK263</f>
        <v>73.217094913476657</v>
      </c>
      <c r="BL264" s="116">
        <f>IF(ISERROR((BK264/BC264-1)*100),"NA",IF(((BK264/BC264-1)*100)&gt;100,"NM",IF(((BK264/BC264-1)*100)&lt;-50,"NM",(BK264/BC264-1)*100)))</f>
        <v>-6.6129064877694654</v>
      </c>
      <c r="BM264" s="172">
        <f>BM263</f>
        <v>78.844155844155864</v>
      </c>
      <c r="BN264" s="116">
        <f>IF(ISERROR((BM264/BE264-1)*100),"NA",IF(((BM264/BE264-1)*100)&gt;100,"NM",IF(((BM264/BE264-1)*100)&lt;-50,"NM",(BM264/BE264-1)*100)))</f>
        <v>11.41227537450562</v>
      </c>
      <c r="BO264" s="172">
        <f>BO263</f>
        <v>78.654507005022452</v>
      </c>
      <c r="BP264" s="116">
        <f>IF(ISERROR((BO264/BG264-1)*100),"NA",IF(((BO264/BG264-1)*100)&gt;100,"NM",IF(((BO264/BG264-1)*100)&lt;-50,"NM",(BO264/BG264-1)*100)))</f>
        <v>13.738494457533989</v>
      </c>
      <c r="BQ264" s="172">
        <f>BQ263</f>
        <v>77.002419457532156</v>
      </c>
      <c r="BR264" s="116">
        <f>IF(ISERROR((BQ264/BI264-1)*100),"NA",IF(((BQ264/BI264-1)*100)&gt;100,"NM",IF(((BQ264/BI264-1)*100)&lt;-50,"NM",(BQ264/BI264-1)*100)))</f>
        <v>4.7798879852492648</v>
      </c>
      <c r="BS264" s="172">
        <f>BS263</f>
        <v>91.315652626105035</v>
      </c>
      <c r="BT264" s="116">
        <f>IF(ISERROR((BS264/BK264-1)*100),"NA",IF(((BS264/BK264-1)*100)&gt;100,"NM",IF(((BS264/BK264-1)*100)&lt;-50,"NM",(BS264/BK264-1)*100)))</f>
        <v>24.719032807865581</v>
      </c>
      <c r="BU264" s="172">
        <f>BU263</f>
        <v>89.368009702196488</v>
      </c>
      <c r="BV264" s="116">
        <f>IF(ISERROR((BU264/BM264-1)*100),"NA",IF(((BU264/BM264-1)*100)&gt;100,"NM",IF(((BU264/BM264-1)*100)&lt;-50,"NM",(BU264/BM264-1)*100)))</f>
        <v>13.34766508102665</v>
      </c>
      <c r="BW264" s="172">
        <f>BW263</f>
        <v>85.143522110162905</v>
      </c>
      <c r="BX264" s="116">
        <f>IF(ISERROR((BW264/BO264-1)*100),"NA",IF(((BW264/BO264-1)*100)&gt;100,"NM",IF(((BW264/BO264-1)*100)&lt;-50,"NM",(BW264/BO264-1)*100)))</f>
        <v>8.2500232373538438</v>
      </c>
      <c r="BY264" s="172">
        <f>BY263</f>
        <v>86.28057351700869</v>
      </c>
      <c r="BZ264" s="116">
        <f>IF(ISERROR((BY264/BQ264-1)*100),"NA",IF(((BY264/BQ264-1)*100)&gt;100,"NM",IF(((BY264/BQ264-1)*100)&lt;-50,"NM",(BY264/BQ264-1)*100)))</f>
        <v>12.049172123213037</v>
      </c>
      <c r="CA264" s="172">
        <f>CA263</f>
        <v>77.066063803064552</v>
      </c>
      <c r="CB264" s="116">
        <f>IF(ISERROR((CA264/BS264-1)*100),"NA",IF(((CA264/BS264-1)*100)&gt;100,"NM",IF(((CA264/BS264-1)*100)&lt;-50,"NM",(CA264/BS264-1)*100)))</f>
        <v>-15.604760425231689</v>
      </c>
      <c r="CC264" s="172">
        <f>CC263</f>
        <v>81.176044433711652</v>
      </c>
      <c r="CD264" s="116">
        <f>IF(ISERROR((CC264/BU264-1)*100),"NA",IF(((CC264/BU264-1)*100)&gt;100,"NM",IF(((CC264/BU264-1)*100)&lt;-50,"NM",(CC264/BU264-1)*100)))</f>
        <v>-9.1665522101064489</v>
      </c>
      <c r="CE264" s="172">
        <f>CE263</f>
        <v>83.708338346769338</v>
      </c>
      <c r="CF264" s="116">
        <f>IF(ISERROR((CE264/BW264-1)*100),"NA",IF(((CE264/BW264-1)*100)&gt;100,"NM",IF(((CE264/BW264-1)*100)&lt;-50,"NM",(CE264/BW264-1)*100)))</f>
        <v>-1.6856053494435641</v>
      </c>
      <c r="CG264" s="172">
        <f>CG263</f>
        <v>80.387004300047778</v>
      </c>
      <c r="CH264" s="116">
        <f>IF(ISERROR((CG264/BY264-1)*100),"NA",IF(((CG264/BY264-1)*100)&gt;100,"NM",IF(((CG264/BY264-1)*100)&lt;-50,"NM",(CG264/BY264-1)*100)))</f>
        <v>-6.8307024127500675</v>
      </c>
      <c r="CI264" s="172">
        <f>CI263</f>
        <v>106.44482929242952</v>
      </c>
      <c r="CJ264" s="116">
        <f>IF(ISERROR((CI264/CA264-1)*100),"NA",IF(((CI264/CA264-1)*100)&gt;100,"NM",IF(((CI264/CA264-1)*100)&lt;-50,"NM",(CI264/CA264-1)*100)))</f>
        <v>38.121533707028021</v>
      </c>
      <c r="CK264" s="172">
        <f>CK263</f>
        <v>76.938217605248767</v>
      </c>
      <c r="CL264" s="116">
        <f>IF(ISERROR((CK264/CC264-1)*100),"NA",IF(((CK264/CC264-1)*100)&gt;100,"NM",IF(((CK264/CC264-1)*100)&lt;-50,"NM",(CK264/CC264-1)*100)))</f>
        <v>-5.2205387168421264</v>
      </c>
      <c r="CM264" s="172">
        <f>CM263</f>
        <v>88.744075829383888</v>
      </c>
      <c r="CN264" s="116">
        <f>IF(ISERROR((CM264/CE264-1)*100),"NA",IF(((CM264/CE264-1)*100)&gt;100,"NM",IF(((CM264/CE264-1)*100)&lt;-50,"NM",(CM264/CE264-1)*100)))</f>
        <v>6.0158134566637322</v>
      </c>
      <c r="CO264" s="172">
        <f>CO263</f>
        <v>84.421283598464072</v>
      </c>
      <c r="CP264" s="116">
        <f>IF(ISERROR((CO264/CG264-1)*100),"NA",IF(((CO264/CG264-1)*100)&gt;100,"NM",IF(((CO264/CG264-1)*100)&lt;-50,"NM",(CO264/CG264-1)*100)))</f>
        <v>5.0185715135722564</v>
      </c>
      <c r="CQ264" s="172">
        <f>CQ263</f>
        <v>86.24765917602997</v>
      </c>
      <c r="CR264" s="116">
        <f>IF(ISERROR((CQ264/CI264-1)*100),"NA",IF(((CQ264/CI264-1)*100)&gt;100,"NM",IF(((CQ264/CI264-1)*100)&lt;-50,"NM",(CQ264/CI264-1)*100)))</f>
        <v>-18.974308334802316</v>
      </c>
      <c r="CS264" s="172">
        <f>CS263</f>
        <v>89.06789413118527</v>
      </c>
      <c r="CT264" s="116">
        <f>IF(ISERROR((CS264/CK264-1)*100),"NA",IF(((CS264/CK264-1)*100)&gt;100,"NM",IF(((CS264/CK264-1)*100)&lt;-50,"NM",(CS264/CK264-1)*100)))</f>
        <v>15.765476382843847</v>
      </c>
      <c r="CU264" s="172">
        <f>CU263</f>
        <v>85.355191256830594</v>
      </c>
      <c r="CV264" s="116">
        <f>IF(ISERROR((CU264/CM264-1)*100),"NA",IF(((CU264/CM264-1)*100)&gt;100,"NM",IF(((CU264/CM264-1)*100)&lt;-50,"NM",(CU264/CM264-1)*100)))</f>
        <v>-3.8187163941722058</v>
      </c>
      <c r="CW264" s="172">
        <f>CW263</f>
        <v>85.157096424702061</v>
      </c>
      <c r="CX264" s="116">
        <f>IF(ISERROR((CW264/CO264-1)*100),"NA",IF(((CW264/CO264-1)*100)&gt;100,"NM",IF(((CW264/CO264-1)*100)&lt;-50,"NM",(CW264/CO264-1)*100)))</f>
        <v>0.87159634972830968</v>
      </c>
      <c r="CY264" s="172">
        <f>CY263</f>
        <v>63.012295081967217</v>
      </c>
      <c r="CZ264" s="116">
        <f>IF(ISERROR((CY264/CQ264-1)*100),"NA",IF(((CY264/CQ264-1)*100)&gt;100,"NM",IF(((CY264/CQ264-1)*100)&lt;-50,"NM",(CY264/CQ264-1)*100)))</f>
        <v>-26.940283731805149</v>
      </c>
      <c r="DA264" s="172">
        <f>DA263</f>
        <v>81.753312945973505</v>
      </c>
      <c r="DB264" s="116">
        <f>IF(ISERROR((DA264/CS264-1)*100),"NA",IF(((DA264/CS264-1)*100)&gt;100,"NM",IF(((DA264/CS264-1)*100)&lt;-50,"NM",(DA264/CS264-1)*100)))</f>
        <v>-8.2123656976085595</v>
      </c>
      <c r="DC264" s="172">
        <f>DC263</f>
        <v>89.576547231270354</v>
      </c>
      <c r="DD264" s="116">
        <f>IF(ISERROR((DC264/CU264-1)*100),"NA",IF(((DC264/CU264-1)*100)&gt;100,"NM",IF(((DC264/CU264-1)*100)&lt;-50,"NM",(DC264/CU264-1)*100)))</f>
        <v>4.94563472037437</v>
      </c>
      <c r="DE264" s="172">
        <f>DE263</f>
        <v>86.027111574556827</v>
      </c>
      <c r="DF264" s="116">
        <f>IF(ISERROR((DE264/CW264-1)*100),"NA",IF(((DE264/CW264-1)*100)&gt;100,"NM",IF(((DE264/CW264-1)*100)&lt;-50,"NM",(DE264/CW264-1)*100)))</f>
        <v>1.0216590118523605</v>
      </c>
      <c r="DG264" s="172">
        <f>DG263</f>
        <v>82.818930041152257</v>
      </c>
      <c r="DH264" s="116">
        <f>IF(ISERROR((DG264/CY264-1)*100),"NA",IF(((DG264/CY264-1)*100)&gt;100,"NM",IF(((DG264/CY264-1)*100)&lt;-50,"NM",(DG264/CY264-1)*100)))</f>
        <v>31.432968650674155</v>
      </c>
      <c r="DI264" s="172">
        <f>DI263</f>
        <v>81.818181818181827</v>
      </c>
      <c r="DJ264" s="116">
        <f>IF(ISERROR((DI264/DA264-1)*100),"NA",IF(((DI264/DA264-1)*100)&gt;100,"NM",IF(((DI264/DA264-1)*100)&lt;-50,"NM",(DI264/DA264-1)*100)))</f>
        <v>7.9347086828374103E-2</v>
      </c>
      <c r="DK264" s="172">
        <f>DK263</f>
        <v>87.238285144566291</v>
      </c>
      <c r="DL264" s="116">
        <f>IF(ISERROR((DK264/DC264-1)*100),"NA",IF(((DK264/DC264-1)*100)&gt;100,"NM",IF(((DK264/DC264-1)*100)&lt;-50,"NM",(DK264/DC264-1)*100)))</f>
        <v>-2.6103507658841729</v>
      </c>
      <c r="DM264" s="172">
        <f>DM263</f>
        <v>83.430799220272903</v>
      </c>
      <c r="DN264" s="130">
        <f t="shared" si="1854"/>
        <v>-3.0180164215251937</v>
      </c>
      <c r="DO264" s="172">
        <f>DO263</f>
        <v>79.981965734896292</v>
      </c>
      <c r="DP264" s="130">
        <f t="shared" si="1854"/>
        <v>-3.425502243081735</v>
      </c>
      <c r="DQ264" s="172">
        <f>DQ263</f>
        <v>76.862228081740284</v>
      </c>
      <c r="DR264" s="130">
        <f t="shared" si="1854"/>
        <v>-6.0572767889841117</v>
      </c>
      <c r="DS264" s="172">
        <f>DS263</f>
        <v>90.310786106032907</v>
      </c>
      <c r="DT264" s="130">
        <f t="shared" si="1854"/>
        <v>3.5219639592583007</v>
      </c>
      <c r="DU264" s="172">
        <f>DU263</f>
        <v>92.714025500910751</v>
      </c>
      <c r="DV264" s="130">
        <f t="shared" si="1854"/>
        <v>11.126857668147693</v>
      </c>
      <c r="DW264" s="172">
        <f>DW263</f>
        <v>66.666666666666657</v>
      </c>
      <c r="DX264" s="172">
        <f t="shared" ref="DX264:DY264" si="1878">DX263</f>
        <v>66.666666666666657</v>
      </c>
      <c r="DY264" s="172">
        <f t="shared" si="1878"/>
        <v>101.70682730923694</v>
      </c>
      <c r="DZ264" s="130">
        <f t="shared" si="1854"/>
        <v>32.323548051554397</v>
      </c>
      <c r="EA264" s="172">
        <f t="shared" ref="EA264:EC264" si="1879">EA263</f>
        <v>96.283185840707958</v>
      </c>
      <c r="EB264" s="130">
        <f t="shared" si="1857"/>
        <v>6.6131632689620412</v>
      </c>
      <c r="EC264" s="172">
        <f t="shared" si="1879"/>
        <v>88.898233809924307</v>
      </c>
      <c r="ED264" s="130">
        <f t="shared" si="1858"/>
        <v>-4.1156574427338999</v>
      </c>
      <c r="EE264" s="172">
        <f t="shared" ref="EE264:EG264" si="1880">EE263</f>
        <v>67.993754879000775</v>
      </c>
      <c r="EF264" s="130">
        <f t="shared" si="1860"/>
        <v>1.9906323185011843</v>
      </c>
      <c r="EG264" s="172">
        <f t="shared" si="1880"/>
        <v>84.265175718849832</v>
      </c>
      <c r="EH264" s="130">
        <f t="shared" si="1861"/>
        <v>-17.14894865155534</v>
      </c>
      <c r="EI264" s="172">
        <f t="shared" ref="EI264:EK264" si="1881">EI263</f>
        <v>91.169451073985684</v>
      </c>
      <c r="EJ264" s="130">
        <f t="shared" si="1863"/>
        <v>-5.3111399691141319</v>
      </c>
      <c r="EK264" s="172">
        <f t="shared" si="1881"/>
        <v>88.51454823889739</v>
      </c>
      <c r="EL264" s="130">
        <f t="shared" si="1864"/>
        <v>-0.43160089304730143</v>
      </c>
      <c r="EM264" s="172">
        <f t="shared" ref="EM264" si="1882">EM263</f>
        <v>91.613924050632917</v>
      </c>
      <c r="EN264" s="130">
        <f t="shared" si="1866"/>
        <v>34.738733305236245</v>
      </c>
      <c r="EO264" s="172">
        <f t="shared" ref="EO264" si="1883">EO263</f>
        <v>85.327313769751683</v>
      </c>
      <c r="EP264" s="130">
        <f t="shared" si="1868"/>
        <v>1.2604709381318635</v>
      </c>
      <c r="EQ264" s="424">
        <f t="shared" ref="EQ264:EW264" si="1884">IF($B$6=1,EQ263,IF($B$6=2,EQ263+EQ771,IF($B$6=3,EQ263+EQ772)))</f>
        <v>90.830176968424297</v>
      </c>
      <c r="ER264" s="130">
        <f t="shared" si="1870"/>
        <v>-0.37213573358696461</v>
      </c>
      <c r="ES264" s="424">
        <f t="shared" si="1884"/>
        <v>89.415823523305605</v>
      </c>
      <c r="ET264" s="130">
        <f t="shared" si="1871"/>
        <v>1.0182227694092827</v>
      </c>
      <c r="EU264" s="424">
        <f t="shared" si="1884"/>
        <v>89.519874770304654</v>
      </c>
      <c r="EV264" s="130">
        <f t="shared" si="1872"/>
        <v>-2.2857325477849133</v>
      </c>
      <c r="EW264" s="424">
        <f t="shared" si="1884"/>
        <v>88.830299698938148</v>
      </c>
      <c r="EX264" s="130">
        <f t="shared" si="1873"/>
        <v>4.1053512344698451</v>
      </c>
      <c r="EY264" s="115"/>
      <c r="EZ264" s="558"/>
      <c r="FA264" s="115"/>
      <c r="FB264" s="172"/>
      <c r="FC264" s="173"/>
      <c r="FD264" s="172"/>
      <c r="FE264" s="114"/>
      <c r="FF264" s="172"/>
      <c r="FG264" s="114"/>
      <c r="FH264" s="172"/>
      <c r="FI264" s="114"/>
      <c r="FJ264" s="172"/>
      <c r="FK264" s="114"/>
      <c r="FL264" s="424"/>
      <c r="FM264" s="116"/>
      <c r="FN264" s="424">
        <f>FN263</f>
        <v>53.301127214170698</v>
      </c>
      <c r="FO264" s="116"/>
      <c r="FP264" s="424">
        <f>FP263</f>
        <v>75.612645295032209</v>
      </c>
      <c r="FQ264" s="116">
        <f>IF(ISERROR((FP264/FN264-1)*100),"NA",IF(((FP264/FN264-1)*100)&gt;100,"NM",IF(((FP264/FN264-1)*100)&lt;-50,"NM",(FP264/FN264-1)*100)))</f>
        <v>41.859373801253774</v>
      </c>
      <c r="FR264" s="424">
        <f>FR263</f>
        <v>74.51021697914473</v>
      </c>
      <c r="FS264" s="116">
        <f t="shared" si="1874"/>
        <v>-1.4579946404280952</v>
      </c>
      <c r="FT264" s="424">
        <f>FT263</f>
        <v>73.758457374830854</v>
      </c>
      <c r="FU264" s="116">
        <f t="shared" si="1875"/>
        <v>-1.0089349283794125</v>
      </c>
      <c r="FV264" s="424">
        <f>FV263</f>
        <v>84.023319795624275</v>
      </c>
      <c r="FW264" s="116">
        <f t="shared" si="1876"/>
        <v>13.916861585958507</v>
      </c>
      <c r="FX264" s="424">
        <f>FX263</f>
        <v>82.278399588318536</v>
      </c>
      <c r="FY264" s="116">
        <f>IF(ISERROR((FX264/FV264-1)*100),"NA",IF(((FX264/FV264-1)*100)&gt;100,"NM",IF(((FX264/FV264-1)*100)&lt;-50,"NM",(FX264/FV264-1)*100)))</f>
        <v>-2.0767094320362833</v>
      </c>
      <c r="FZ264" s="424">
        <f>FZ263</f>
        <v>86.482661004954025</v>
      </c>
      <c r="GA264" s="116">
        <f>IF(ISERROR((FZ264/FX264-1)*100),"NA",IF(((FZ264/FX264-1)*100)&gt;100,"NM",IF(((FZ264/FX264-1)*100)&lt;-50,"NM",(FZ264/FX264-1)*100)))</f>
        <v>5.1097997015882468</v>
      </c>
      <c r="GB264" s="424">
        <f>GB263</f>
        <v>83.006087627540083</v>
      </c>
      <c r="GC264" s="116">
        <f>IF(ISERROR((GB264/FZ264-1)*100),"NA",IF(((GB264/FZ264-1)*100)&gt;100,"NM",IF(((GB264/FZ264-1)*100)&lt;-50,"NM",(GB264/FZ264-1)*100)))</f>
        <v>-4.0199657792846955</v>
      </c>
      <c r="GD264" s="424">
        <f>GD263</f>
        <v>78.62977602108036</v>
      </c>
      <c r="GE264" s="116">
        <f>IF(ISERROR((GD264/GB264-1)*100),"NA",IF(((GD264/GB264-1)*100)&gt;100,"NM",IF(((GD264/GB264-1)*100)&lt;-50,"NM",(GD264/GB264-1)*100)))</f>
        <v>-5.2722778913479758</v>
      </c>
      <c r="GF264" s="424">
        <f>GF263</f>
        <v>84.963768115942031</v>
      </c>
      <c r="GG264" s="116">
        <f>IF(ISERROR((GF264/GD264-1)*100),"NA",IF(((GF264/GD264-1)*100)&gt;100,"NM",IF(((GF264/GD264-1)*100)&lt;-50,"NM",(GF264/GD264-1)*100)))</f>
        <v>8.0554624664879384</v>
      </c>
      <c r="GH264" s="424">
        <f>GH263</f>
        <v>81.288936627282496</v>
      </c>
      <c r="GI264" s="116">
        <f>IF(ISERROR((GH264/GF264-1)*100),"NA",IF(((GH264/GF264-1)*100)&gt;100,"NM",IF(((GH264/GF264-1)*100)&lt;-50,"NM",(GH264/GF264-1)*100)))</f>
        <v>-4.3251748011515208</v>
      </c>
      <c r="GJ264" s="424">
        <f>GJ263</f>
        <v>86.217457886676868</v>
      </c>
      <c r="GK264" s="116">
        <f>IF(ISERROR((GJ264/GH264-1)*100),"NA",IF(((GJ264/GH264-1)*100)&gt;100,"NM",IF(((GJ264/GH264-1)*100)&lt;-50,"NM",(GJ264/GH264-1)*100)))</f>
        <v>6.0629668241228396</v>
      </c>
      <c r="GL264" s="424">
        <f>GL263</f>
        <v>83.9035449299258</v>
      </c>
      <c r="GM264" s="116">
        <f>IF(ISERROR((GL264/GJ264-1)*100),"NA",IF(((GL264/GJ264-1)*100)&gt;100,"NM",IF(((GL264/GJ264-1)*100)&lt;-50,"NM",(GL264/GJ264-1)*100)))</f>
        <v>-2.6838102322530144</v>
      </c>
      <c r="GN264" s="424">
        <f>GN263</f>
        <v>89.100077579519009</v>
      </c>
      <c r="GO264" s="116">
        <f>IF(ISERROR((GN264/GL264-1)*100),"NA",IF(((GN264/GL264-1)*100)&gt;100,"NM",IF(((GN264/GL264-1)*100)&lt;-50,"NM",(GN264/GL264-1)*100)))</f>
        <v>6.1934601856610705</v>
      </c>
      <c r="GP264" s="424">
        <f>GP263</f>
        <v>89.64392181195808</v>
      </c>
      <c r="GQ264" s="116">
        <f>IF(ISERROR((GP264/GN264-1)*100),"NA",IF(((GP264/GN264-1)*100)&gt;100,"NM",IF(((GP264/GN264-1)*100)&lt;-50,"NM",(GP264/GN264-1)*100)))</f>
        <v>0.61037458912840403</v>
      </c>
      <c r="GR264" s="424">
        <f>IF($B$6=1,GR263,IF($B$6=2,GR263+GR771,IF($B$6=3,GR263+GR772)))</f>
        <v>89.66169195518934</v>
      </c>
      <c r="GS264" s="116">
        <f>IF(ISERROR((GR264/GP264-1)*100),"NA",IF(((GR264/GP264-1)*100)&gt;100,"NM",IF(((GR264/GP264-1)*100)&lt;-50,"NM",(GR264/GP264-1)*100)))</f>
        <v>1.9823031915700007E-2</v>
      </c>
      <c r="GT264" s="424">
        <f>IF($B$6=1,GT263,IF($B$6=2,GT263+GT771,IF($B$6=3,GT263+GT772)))</f>
        <v>89.885452240033715</v>
      </c>
      <c r="GU264" s="116">
        <f>IF(ISERROR((GT264/GR264-1)*100),"NA",IF(((GT264/GR264-1)*100)&gt;100,"NM",IF(((GT264/GR264-1)*100)&lt;-50,"NM",(GT264/GR264-1)*100)))</f>
        <v>0.24956063170902265</v>
      </c>
      <c r="GV264" s="424">
        <f>IF($B$6=1,GV263,IF($B$6=2,GV263+GV771,IF($B$6=3,GV263+GV772)))</f>
        <v>89.840258623641802</v>
      </c>
      <c r="GW264" s="116">
        <f>IF(ISERROR((GV264/GT264-1)*100),"NA",IF(((GV264/GT264-1)*100)&gt;100,"NM",IF(((GV264/GT264-1)*100)&lt;-50,"NM",(GV264/GT264-1)*100)))</f>
        <v>-5.0279122222385286E-2</v>
      </c>
      <c r="GX264" s="424">
        <f>IF($B$6=1,GX263,IF($B$6=2,GX263+GX771,IF($B$6=3,GX263+GX772)))</f>
        <v>89.790156709312413</v>
      </c>
      <c r="GY264" s="116">
        <f>IF(ISERROR((GX264/GV264-1)*100),"NA",IF(((GX264/GV264-1)*100)&gt;100,"NM",IF(((GX264/GV264-1)*100)&lt;-50,"NM",(GX264/GV264-1)*100)))</f>
        <v>-5.576777615843298E-2</v>
      </c>
      <c r="GZ264" s="116">
        <f t="shared" si="1820"/>
        <v>0.15442212115464038</v>
      </c>
      <c r="HA264" s="116"/>
      <c r="HB264" s="475"/>
      <c r="HC264"/>
      <c r="HD264"/>
      <c r="HE264"/>
      <c r="HF264"/>
      <c r="HG264"/>
      <c r="HH264"/>
    </row>
    <row r="265" spans="1:216" s="5" customFormat="1" ht="12.75" customHeight="1" collapsed="1" x14ac:dyDescent="0.2">
      <c r="B265" s="68" t="s">
        <v>421</v>
      </c>
      <c r="C265" s="124"/>
      <c r="D265" s="70"/>
      <c r="E265" s="124"/>
      <c r="F265" s="71"/>
      <c r="G265" s="124"/>
      <c r="H265" s="71"/>
      <c r="I265" s="124"/>
      <c r="J265" s="61"/>
      <c r="K265" s="81"/>
      <c r="L265" s="61"/>
      <c r="M265" s="81"/>
      <c r="N265" s="61"/>
      <c r="O265" s="81"/>
      <c r="P265" s="61"/>
      <c r="Q265" s="81"/>
      <c r="R265" s="61"/>
      <c r="S265" s="81"/>
      <c r="T265" s="61"/>
      <c r="U265" s="81"/>
      <c r="V265" s="61"/>
      <c r="W265" s="81"/>
      <c r="X265" s="61"/>
      <c r="Y265" s="81"/>
      <c r="Z265" s="61"/>
      <c r="AA265" s="81"/>
      <c r="AB265" s="61"/>
      <c r="AC265" s="81"/>
      <c r="AD265" s="61"/>
      <c r="AE265" s="81"/>
      <c r="AF265" s="61"/>
      <c r="AG265" s="81"/>
      <c r="AH265" s="61"/>
      <c r="AI265" s="81"/>
      <c r="AJ265" s="61"/>
      <c r="AK265" s="81"/>
      <c r="AL265" s="61"/>
      <c r="AM265" s="81"/>
      <c r="AN265" s="61"/>
      <c r="AO265" s="81"/>
      <c r="AP265" s="61"/>
      <c r="AQ265" s="81">
        <f>AQ259/AQ241*100</f>
        <v>42.768042768042761</v>
      </c>
      <c r="AR265" s="61" t="str">
        <f>IF(ISERROR((AQ265/AI265-1)*100),"NA",IF(((AQ265/AI265-1)*100)&gt;100,"NM",IF(((AQ265/AI265-1)*100)&lt;-50,"NM",(AQ265/AI265-1)*100)))</f>
        <v>NA</v>
      </c>
      <c r="AS265" s="81">
        <f>AS259/AS241*100</f>
        <v>42.738589211618248</v>
      </c>
      <c r="AT265" s="61" t="str">
        <f>IF(ISERROR((AS265/AK265-1)*100),"NA",IF(((AS265/AK265-1)*100)&gt;100,"NM",IF(((AS265/AK265-1)*100)&lt;-50,"NM",(AS265/AK265-1)*100)))</f>
        <v>NA</v>
      </c>
      <c r="AU265" s="81">
        <f>AU259/AU241*100</f>
        <v>50.740157480314963</v>
      </c>
      <c r="AV265" s="61" t="str">
        <f>IF(ISERROR((AU265/AM265-1)*100),"NA",IF(((AU265/AM265-1)*100)&gt;100,"NM",IF(((AU265/AM265-1)*100)&lt;-50,"NM",(AU265/AM265-1)*100)))</f>
        <v>NA</v>
      </c>
      <c r="AW265" s="81">
        <f>AW259/AW241*100</f>
        <v>46.978557504873301</v>
      </c>
      <c r="AX265" s="61" t="str">
        <f>IF(ISERROR((AW265/AO265-1)*100),"NA",IF(((AW265/AO265-1)*100)&gt;100,"NM",IF(((AW265/AO265-1)*100)&lt;-50,"NM",(AW265/AO265-1)*100)))</f>
        <v>NA</v>
      </c>
      <c r="AY265" s="81">
        <f>AY259/AY241*100</f>
        <v>41.696902037398836</v>
      </c>
      <c r="AZ265" s="61">
        <f>IF(ISERROR((AY265/AQ265-1)*100),"NA",IF(((AY265/AQ265-1)*100)&gt;100,"NM",IF(((AY265/AQ265-1)*100)&lt;-50,"NM",(AY265/AQ265-1)*100)))</f>
        <v>-2.5045353056097897</v>
      </c>
      <c r="BA265" s="81">
        <f>BA259/BA241*100</f>
        <v>41.824518866494927</v>
      </c>
      <c r="BB265" s="61">
        <f>IF(ISERROR((BA265/AS265-1)*100),"NA",IF(((BA265/AS265-1)*100)&gt;100,"NM",IF(((BA265/AS265-1)*100)&lt;-50,"NM",(BA265/AS265-1)*100)))</f>
        <v>-2.1387471182011675</v>
      </c>
      <c r="BC265" s="81">
        <f>BC259/BC241*100</f>
        <v>49.028077753779705</v>
      </c>
      <c r="BD265" s="61">
        <f>IF(ISERROR((BC265/AU265-1)*100),"NA",IF(((BC265/AU265-1)*100)&gt;100,"NM",IF(((BC265/AU265-1)*100)&lt;-50,"NM",(BC265/AU265-1)*100)))</f>
        <v>-3.3742105100865616</v>
      </c>
      <c r="BE265" s="81">
        <f>BE259/BE241*100</f>
        <v>52.298119077923907</v>
      </c>
      <c r="BF265" s="61">
        <f>IF(ISERROR((BE265/AW265-1)*100),"NA",IF(((BE265/AW265-1)*100)&gt;100,"NM",IF(((BE265/AW265-1)*100)&lt;-50,"NM",(BE265/AW265-1)*100)))</f>
        <v>11.323382103630554</v>
      </c>
      <c r="BG265" s="81">
        <f>BG259/BG241*100</f>
        <v>51.549256634708904</v>
      </c>
      <c r="BH265" s="61">
        <f>IF(ISERROR((BG265/AY265-1)*100),"NA",IF(((BG265/AY265-1)*100)&gt;100,"NM",IF(((BG265/AY265-1)*100)&lt;-50,"NM",(BG265/AY265-1)*100)))</f>
        <v>23.628505034914294</v>
      </c>
      <c r="BI265" s="81">
        <f>BI259/BI241*100</f>
        <v>50.291400142146401</v>
      </c>
      <c r="BJ265" s="61">
        <f>IF(ISERROR((BI265/BA265-1)*100),"NA",IF(((BI265/BA265-1)*100)&gt;100,"NM",IF(((BI265/BA265-1)*100)&lt;-50,"NM",(BI265/BA265-1)*100)))</f>
        <v>20.243822296385527</v>
      </c>
      <c r="BK265" s="81">
        <f>BK259/BK241*100</f>
        <v>46.604614577871004</v>
      </c>
      <c r="BL265" s="61">
        <f>IF(ISERROR((BK265/BC265-1)*100),"NA",IF(((BK265/BC265-1)*100)&gt;100,"NM",IF(((BK265/BC265-1)*100)&lt;-50,"NM",(BK265/BC265-1)*100)))</f>
        <v>-4.9430107949151036</v>
      </c>
      <c r="BM265" s="81">
        <f>BM259/BM241*100</f>
        <v>47.064935064935078</v>
      </c>
      <c r="BN265" s="61">
        <f>IF(ISERROR((BM265/BE265-1)*100),"NA",IF(((BM265/BE265-1)*100)&gt;100,"NM",IF(((BM265/BE265-1)*100)&lt;-50,"NM",(BM265/BE265-1)*100)))</f>
        <v>-10.006447851769607</v>
      </c>
      <c r="BO265" s="81">
        <f>BO259/BO241*100</f>
        <v>43.973037272006344</v>
      </c>
      <c r="BP265" s="61">
        <f>IF(ISERROR((BO265/BG265-1)*100),"NA",IF(((BO265/BG265-1)*100)&gt;100,"NM",IF(((BO265/BG265-1)*100)&lt;-50,"NM",(BO265/BG265-1)*100)))</f>
        <v>-14.697048720584993</v>
      </c>
      <c r="BQ265" s="81">
        <f>BQ259/BQ241*100</f>
        <v>39.335285878008399</v>
      </c>
      <c r="BR265" s="61">
        <f>IF(ISERROR((BQ265/BI265-1)*100),"NA",IF(((BQ265/BI265-1)*100)&gt;100,"NM",IF(((BQ265/BI265-1)*100)&lt;-50,"NM",(BQ265/BI265-1)*100)))</f>
        <v>-21.785263948052812</v>
      </c>
      <c r="BS265" s="81">
        <f>BS259/BS241*100</f>
        <v>45.566822672906916</v>
      </c>
      <c r="BT265" s="61">
        <f>IF(ISERROR((BS265/BK265-1)*100),"NA",IF(((BS265/BK265-1)*100)&gt;100,"NM",IF(((BS265/BK265-1)*100)&lt;-50,"NM",(BS265/BK265-1)*100)))</f>
        <v>-2.2268007457288519</v>
      </c>
      <c r="BU265" s="81">
        <f>BU259/BU241*100</f>
        <v>47.958496159547231</v>
      </c>
      <c r="BV265" s="61">
        <f>IF(ISERROR((BU265/BM265-1)*100),"NA",IF(((BU265/BM265-1)*100)&gt;100,"NM",IF(((BU265/BM265-1)*100)&lt;-50,"NM",(BU265/BM265-1)*100)))</f>
        <v>1.8985707584198597</v>
      </c>
      <c r="BW265" s="81">
        <f>BW259/BW241*100</f>
        <v>41.556762348073434</v>
      </c>
      <c r="BX265" s="61">
        <f>IF(ISERROR((BW265/BO265-1)*100),"NA",IF(((BW265/BO265-1)*100)&gt;100,"NM",IF(((BW265/BO265-1)*100)&lt;-50,"NM",(BW265/BO265-1)*100)))</f>
        <v>-5.4949011344984644</v>
      </c>
      <c r="BY265" s="81">
        <f>BY259/BY241*100</f>
        <v>38.698341298847332</v>
      </c>
      <c r="BZ265" s="61">
        <f>IF(ISERROR((BY265/BQ265-1)*100),"NA",IF(((BY265/BQ265-1)*100)&gt;100,"NM",IF(((BY265/BQ265-1)*100)&lt;-50,"NM",(BY265/BQ265-1)*100)))</f>
        <v>-1.6192702428461825</v>
      </c>
      <c r="CA265" s="81">
        <f>CA259/CA241*100</f>
        <v>38.080884199949757</v>
      </c>
      <c r="CB265" s="61">
        <f>IF(ISERROR((CA265/BS265-1)*100),"NA",IF(((CA265/BS265-1)*100)&gt;100,"NM",IF(((CA265/BS265-1)*100)&lt;-50,"NM",(CA265/BS265-1)*100)))</f>
        <v>-16.428484660195853</v>
      </c>
      <c r="CC265" s="81">
        <f>CC259/CC241*100</f>
        <v>42.224100458826356</v>
      </c>
      <c r="CD265" s="61">
        <f>IF(ISERROR((CC265/BU265-1)*100),"NA",IF(((CC265/BU265-1)*100)&gt;100,"NM",IF(((CC265/BU265-1)*100)&lt;-50,"NM",(CC265/BU265-1)*100)))</f>
        <v>-11.956996486386517</v>
      </c>
      <c r="CE265" s="81">
        <f>CE259/CE241*100</f>
        <v>36.975093249909754</v>
      </c>
      <c r="CF265" s="61">
        <f>IF(ISERROR((CE265/BW265-1)*100),"NA",IF(((CE265/BW265-1)*100)&gt;100,"NM",IF(((CE265/BW265-1)*100)&lt;-50,"NM",(CE265/BW265-1)*100)))</f>
        <v>-11.02508674710576</v>
      </c>
      <c r="CG265" s="81">
        <f>CG259/CG241*100</f>
        <v>34.746774964166249</v>
      </c>
      <c r="CH265" s="61">
        <f>IF(ISERROR((CG265/BY265-1)*100),"NA",IF(((CG265/BY265-1)*100)&gt;100,"NM",IF(((CG265/BY265-1)*100)&lt;-50,"NM",(CG265/BY265-1)*100)))</f>
        <v>-10.21120337992053</v>
      </c>
      <c r="CI265" s="81">
        <f>CI259/CI241*100</f>
        <v>38.619495299356757</v>
      </c>
      <c r="CJ265" s="61">
        <f>IF(ISERROR((CI265/CA265-1)*100),"NA",IF(((CI265/CA265-1)*100)&gt;100,"NM",IF(((CI265/CA265-1)*100)&lt;-50,"NM",(CI265/CA265-1)*100)))</f>
        <v>1.4143870624929278</v>
      </c>
      <c r="CK265" s="81">
        <f>CK259/CK241*100</f>
        <v>40.841990158556598</v>
      </c>
      <c r="CL265" s="61">
        <f>IF(ISERROR((CK265/CC265-1)*100),"NA",IF(((CK265/CC265-1)*100)&gt;100,"NM",IF(((CK265/CC265-1)*100)&lt;-50,"NM",(CK265/CC265-1)*100)))</f>
        <v>-3.2732735221144282</v>
      </c>
      <c r="CM265" s="81">
        <f>CM259/CM241*100</f>
        <v>39.834123222748815</v>
      </c>
      <c r="CN265" s="61">
        <f>IF(ISERROR((CM265/CE265-1)*100),"NA",IF(((CM265/CE265-1)*100)&gt;100,"NM",IF(((CM265/CE265-1)*100)&lt;-50,"NM",(CM265/CE265-1)*100)))</f>
        <v>7.732313083067166</v>
      </c>
      <c r="CO265" s="81">
        <f>CO259/CO241*100</f>
        <v>35.800325556158434</v>
      </c>
      <c r="CP265" s="61">
        <f>IF(ISERROR((CO265/CG265-1)*100),"NA",IF(((CO265/CG265-1)*100)&gt;100,"NM",IF(((CO265/CG265-1)*100)&lt;-50,"NM",(CO265/CG265-1)*100)))</f>
        <v>3.0320816624814562</v>
      </c>
      <c r="CQ265" s="81">
        <f>CQ259/CQ241*100</f>
        <v>38.373438223044893</v>
      </c>
      <c r="CR265" s="61">
        <f>IF(ISERROR((CQ265/CI265-1)*100),"NA",IF(((CQ265/CI265-1)*100)&gt;100,"NM",IF(((CQ265/CI265-1)*100)&lt;-50,"NM",(CQ265/CI265-1)*100)))</f>
        <v>-0.63713177607466198</v>
      </c>
      <c r="CS265" s="81">
        <f>CS259/CS241*100</f>
        <v>41.311852704257767</v>
      </c>
      <c r="CT265" s="61">
        <f>IF(ISERROR((CS265/CK265-1)*100),"NA",IF(((CS265/CK265-1)*100)&gt;100,"NM",IF(((CS265/CK265-1)*100)&lt;-50,"NM",(CS265/CK265-1)*100)))</f>
        <v>1.1504398876672539</v>
      </c>
      <c r="CU265" s="81">
        <f>CU259/CU241*100</f>
        <v>33.224043715846996</v>
      </c>
      <c r="CV265" s="61">
        <f>IF(ISERROR((CU265/CM265-1)*100),"NA",IF(((CU265/CM265-1)*100)&gt;100,"NM",IF(((CU265/CM265-1)*100)&lt;-50,"NM",(CU265/CM265-1)*100)))</f>
        <v>-16.594012801383506</v>
      </c>
      <c r="CW265" s="81">
        <f>CW259/CW241*100</f>
        <v>31.852654387865652</v>
      </c>
      <c r="CX265" s="61">
        <f>IF(ISERROR((CW265/CO265-1)*100),"NA",IF(((CW265/CO265-1)*100)&gt;100,"NM",IF(((CW265/CO265-1)*100)&lt;-50,"NM",(CW265/CO265-1)*100)))</f>
        <v>-11.026914160599578</v>
      </c>
      <c r="CY265" s="81">
        <f>CY259/CY241*100</f>
        <v>28.995901639344261</v>
      </c>
      <c r="CZ265" s="61">
        <f>IF(ISERROR((CY265/CQ265-1)*100),"NA",IF(((CY265/CQ265-1)*100)&gt;100,"NM",IF(((CY265/CQ265-1)*100)&lt;-50,"NM",(CY265/CQ265-1)*100)))</f>
        <v>-24.437571971512885</v>
      </c>
      <c r="DA265" s="81">
        <f>DA259/DA241*100</f>
        <v>34.556574923547402</v>
      </c>
      <c r="DB265" s="61">
        <f>IF(ISERROR((DA265/CS265-1)*100),"NA",IF(((DA265/CS265-1)*100)&gt;100,"NM",IF(((DA265/CS265-1)*100)&lt;-50,"NM",(DA265/CS265-1)*100)))</f>
        <v>-16.351911953864363</v>
      </c>
      <c r="DC265" s="81">
        <f>DC259/DC241*100</f>
        <v>33.441910966340934</v>
      </c>
      <c r="DD265" s="61">
        <f>IF(ISERROR((DC265/CU265-1)*100),"NA",IF(((DC265/CU265-1)*100)&gt;100,"NM",IF(((DC265/CU265-1)*100)&lt;-50,"NM",(DC265/CU265-1)*100)))</f>
        <v>0.6557517572432614</v>
      </c>
      <c r="DE265" s="81">
        <f>DE259/DE241*100</f>
        <v>32.742440041710111</v>
      </c>
      <c r="DF265" s="61">
        <f>IF(ISERROR((DE265/CW265-1)*100),"NA",IF(((DE265/CW265-1)*100)&gt;100,"NM",IF(((DE265/CW265-1)*100)&lt;-50,"NM",(DE265/CW265-1)*100)))</f>
        <v>2.793442715981076</v>
      </c>
      <c r="DG265" s="81">
        <f>DG259/DG241*100</f>
        <v>34.979423868312757</v>
      </c>
      <c r="DH265" s="61">
        <f>IF(ISERROR((DG265/CY265-1)*100),"NA",IF(((DG265/CY265-1)*100)&gt;100,"NM",IF(((DG265/CY265-1)*100)&lt;-50,"NM",(DG265/CY265-1)*100)))</f>
        <v>20.63575157411044</v>
      </c>
      <c r="DI265" s="81">
        <f>DI259/DI241*100</f>
        <v>36.363636363636367</v>
      </c>
      <c r="DJ265" s="61">
        <f>IF(ISERROR((DI265/DA265-1)*100),"NA",IF(((DI265/DA265-1)*100)&gt;100,"NM",IF(((DI265/DA265-1)*100)&lt;-50,"NM",(DI265/DA265-1)*100)))</f>
        <v>5.2292839903459454</v>
      </c>
      <c r="DK265" s="81">
        <f>DK259/DK241*100</f>
        <v>34.396809571286141</v>
      </c>
      <c r="DL265" s="61">
        <f>IF(ISERROR((DK265/DC265-1)*100),"NA",IF(((DK265/DC265-1)*100)&gt;100,"NM",IF(((DK265/DC265-1)*100)&lt;-50,"NM",(DK265/DC265-1)*100)))</f>
        <v>2.8553948543978525</v>
      </c>
      <c r="DM265" s="81">
        <f>DM259/DM241*100</f>
        <v>34.113060428849899</v>
      </c>
      <c r="DN265" s="130">
        <f t="shared" si="1854"/>
        <v>4.186066723780435</v>
      </c>
      <c r="DO265" s="81">
        <f>DO259/DO241*100</f>
        <v>31.109107303877366</v>
      </c>
      <c r="DP265" s="130">
        <f t="shared" si="1854"/>
        <v>-11.064552060680001</v>
      </c>
      <c r="DQ265" s="81">
        <f>DQ259/DQ241*100</f>
        <v>24.917600527356626</v>
      </c>
      <c r="DR265" s="130">
        <f t="shared" si="1854"/>
        <v>-31.476598549769285</v>
      </c>
      <c r="DS265" s="81">
        <f>DS259/DS241*100</f>
        <v>31.718464351005483</v>
      </c>
      <c r="DT265" s="130">
        <f t="shared" si="1854"/>
        <v>-7.7866094375115935</v>
      </c>
      <c r="DU265" s="81">
        <f>DU259/DU241*100</f>
        <v>31.23861566484517</v>
      </c>
      <c r="DV265" s="130">
        <f t="shared" si="1854"/>
        <v>-8.4262295081967142</v>
      </c>
      <c r="DW265" s="81">
        <f>DW259/DW241*100</f>
        <v>25.813449023861175</v>
      </c>
      <c r="DX265" s="81">
        <f t="shared" ref="DX265:DY265" si="1885">DX259/DX241*100</f>
        <v>25.813449023861175</v>
      </c>
      <c r="DY265" s="81">
        <f t="shared" si="1885"/>
        <v>38.152610441767074</v>
      </c>
      <c r="DZ265" s="130">
        <f t="shared" si="1854"/>
        <v>53.115105926350914</v>
      </c>
      <c r="EA265" s="81">
        <f t="shared" ref="EA265:EC265" si="1886">EA259/EA241*100</f>
        <v>29.380530973451329</v>
      </c>
      <c r="EB265" s="130">
        <f t="shared" si="1857"/>
        <v>-7.3708908214531572</v>
      </c>
      <c r="EC265" s="81">
        <f t="shared" si="1886"/>
        <v>30.866274179983179</v>
      </c>
      <c r="ED265" s="130">
        <f t="shared" si="1858"/>
        <v>-1.19192696903343</v>
      </c>
      <c r="EE265" s="81">
        <f t="shared" ref="EE265:EG265" si="1887">EE259/EE241*100</f>
        <v>30.523028883684621</v>
      </c>
      <c r="EF265" s="130">
        <f t="shared" si="1860"/>
        <v>18.244674919147961</v>
      </c>
      <c r="EG265" s="81">
        <f t="shared" si="1887"/>
        <v>34.265175718849839</v>
      </c>
      <c r="EH265" s="130">
        <f t="shared" si="1861"/>
        <v>-10.18917101059359</v>
      </c>
      <c r="EI265" s="81">
        <f t="shared" ref="EI265:EK265" si="1888">EI259/EI241*100</f>
        <v>29.832935560859188</v>
      </c>
      <c r="EJ265" s="130">
        <f t="shared" si="1863"/>
        <v>1.5398107944906148</v>
      </c>
      <c r="EK265" s="81">
        <f t="shared" si="1888"/>
        <v>30.551301684532927</v>
      </c>
      <c r="EL265" s="130">
        <f t="shared" si="1864"/>
        <v>-1.0204422264042279</v>
      </c>
      <c r="EM265" s="81">
        <f t="shared" ref="EM265" si="1889">EM259/EM241*100</f>
        <v>30.14240506329114</v>
      </c>
      <c r="EN265" s="130">
        <f t="shared" si="1866"/>
        <v>-1.2470054064553704</v>
      </c>
      <c r="EO265" s="81">
        <f t="shared" ref="EO265" si="1890">EO259/EO241*100</f>
        <v>29.270127915726107</v>
      </c>
      <c r="EP265" s="130">
        <f t="shared" si="1868"/>
        <v>-14.577622026831961</v>
      </c>
      <c r="EQ265" s="89">
        <f>EO265-0.2</f>
        <v>29.070127915726108</v>
      </c>
      <c r="ER265" s="130">
        <f t="shared" si="1870"/>
        <v>-2.5569312264860811</v>
      </c>
      <c r="ES265" s="89">
        <f t="shared" ref="ES265" si="1891">EQ265</f>
        <v>29.070127915726108</v>
      </c>
      <c r="ET265" s="130">
        <f t="shared" si="1871"/>
        <v>-4.8481527369967576</v>
      </c>
      <c r="EU265" s="89">
        <f t="shared" ref="EU265" si="1892">ES265</f>
        <v>29.070127915726108</v>
      </c>
      <c r="EV265" s="130">
        <f t="shared" si="1872"/>
        <v>-3.5573709042577395</v>
      </c>
      <c r="EW265" s="89">
        <f t="shared" ref="EW265" si="1893">EU265</f>
        <v>29.070127915726108</v>
      </c>
      <c r="EX265" s="130">
        <f t="shared" si="1873"/>
        <v>-0.68329048843187579</v>
      </c>
      <c r="EY265" s="64"/>
      <c r="EZ265" s="558"/>
      <c r="FA265" s="64"/>
      <c r="FB265" s="124"/>
      <c r="FC265" s="124"/>
      <c r="FD265" s="124"/>
      <c r="FE265" s="70"/>
      <c r="FF265" s="81"/>
      <c r="FG265" s="70"/>
      <c r="FH265" s="81"/>
      <c r="FI265" s="70"/>
      <c r="FJ265" s="81"/>
      <c r="FK265" s="70"/>
      <c r="FL265" s="88"/>
      <c r="FM265" s="61"/>
      <c r="FN265" s="88">
        <f>FN259/FN241*100</f>
        <v>26.247987117552334</v>
      </c>
      <c r="FO265" s="61"/>
      <c r="FP265" s="88">
        <f>FP259/FP241*100</f>
        <v>45.754053453764719</v>
      </c>
      <c r="FQ265" s="61">
        <f>IF(ISERROR((FP265/FN265-1)*100),"NA",IF(((FP265/FN265-1)*100)&gt;100,"NM",IF(((FP265/FN265-1)*100)&lt;-50,"NM",(FP265/FN265-1)*100)))</f>
        <v>74.314522667410358</v>
      </c>
      <c r="FR265" s="88">
        <f>FR259/FR241*100</f>
        <v>46.892774383821362</v>
      </c>
      <c r="FS265" s="61">
        <f t="shared" si="1874"/>
        <v>2.4887869906593973</v>
      </c>
      <c r="FT265" s="88">
        <f>FT259/FT241*100</f>
        <v>48.805818673883621</v>
      </c>
      <c r="FU265" s="61">
        <f t="shared" si="1875"/>
        <v>4.0796142160492099</v>
      </c>
      <c r="FV265" s="88">
        <f>FV259/FV241*100</f>
        <v>44.150399580767726</v>
      </c>
      <c r="FW265" s="61">
        <f t="shared" si="1876"/>
        <v>-9.5386558808141615</v>
      </c>
      <c r="FX265" s="88">
        <f>FX259/FX241*100</f>
        <v>40.190402675929498</v>
      </c>
      <c r="FY265" s="61">
        <f>IF(ISERROR((FX265/FV265-1)*100),"NA",IF(((FX265/FV265-1)*100)&gt;100,"NM",IF(((FX265/FV265-1)*100)&lt;-50,"NM",(FX265/FV265-1)*100)))</f>
        <v>-8.9693342357953121</v>
      </c>
      <c r="FZ265" s="88">
        <f>FZ259/FZ241*100</f>
        <v>37.859754659117719</v>
      </c>
      <c r="GA265" s="61">
        <f>IF(ISERROR((FZ265/FX265-1)*100),"NA",IF(((FZ265/FX265-1)*100)&gt;100,"NM",IF(((FZ265/FX265-1)*100)&lt;-50,"NM",(FZ265/FX265-1)*100)))</f>
        <v>-5.7990163363245699</v>
      </c>
      <c r="GB265" s="88">
        <f>GB259/GB241*100</f>
        <v>38.777901626225379</v>
      </c>
      <c r="GC265" s="61">
        <f>IF(ISERROR((GB265/FZ265-1)*100),"NA",IF(((GB265/FZ265-1)*100)&gt;100,"NM",IF(((GB265/FZ265-1)*100)&lt;-50,"NM",(GB265/FZ265-1)*100)))</f>
        <v>2.425126563482749</v>
      </c>
      <c r="GD265" s="88">
        <f>GD259/GD241*100</f>
        <v>32.147562582345188</v>
      </c>
      <c r="GE265" s="61">
        <f>IF(ISERROR((GD265/GB265-1)*100),"NA",IF(((GD265/GB265-1)*100)&gt;100,"NM",IF(((GD265/GB265-1)*100)&lt;-50,"NM",(GD265/GB265-1)*100)))</f>
        <v>-17.098240920277419</v>
      </c>
      <c r="GF265" s="88">
        <f>GF259/GF241*100</f>
        <v>34.420289855072461</v>
      </c>
      <c r="GG265" s="61">
        <f>IF(ISERROR((GF265/GD265-1)*100),"NA",IF(((GF265/GD265-1)*100)&gt;100,"NM",IF(((GF265/GD265-1)*100)&lt;-50,"NM",(GF265/GD265-1)*100)))</f>
        <v>7.069672131147553</v>
      </c>
      <c r="GH265" s="88">
        <f>GH259/GH241*100</f>
        <v>30.461868958109562</v>
      </c>
      <c r="GI265" s="61">
        <f>IF(ISERROR((GH265/GF265-1)*100),"NA",IF(((GH265/GF265-1)*100)&gt;100,"NM",IF(((GH265/GF265-1)*100)&lt;-50,"NM",(GH265/GF265-1)*100)))</f>
        <v>-11.500254395386944</v>
      </c>
      <c r="GJ265" s="88">
        <f>GJ259/GJ241*100</f>
        <v>31.218551739225553</v>
      </c>
      <c r="GK265" s="61">
        <f>IF(ISERROR((GJ265/GH265-1)*100),"NA",IF(((GJ265/GH265-1)*100)&gt;100,"NM",IF(((GJ265/GH265-1)*100)&lt;-50,"NM",(GJ265/GH265-1)*100)))</f>
        <v>2.4840326841290006</v>
      </c>
      <c r="GL265" s="88">
        <f>GL259/GL241*100</f>
        <v>31.306677658697446</v>
      </c>
      <c r="GM265" s="61">
        <f>IF(ISERROR((GL265/GJ265-1)*100),"NA",IF(((GL265/GJ265-1)*100)&gt;100,"NM",IF(((GL265/GJ265-1)*100)&lt;-50,"NM",(GL265/GJ265-1)*100)))</f>
        <v>0.28228702025649977</v>
      </c>
      <c r="GN265" s="88">
        <f>GN259/GN241*100</f>
        <v>29.945694336695112</v>
      </c>
      <c r="GO265" s="61">
        <f>IF(ISERROR((GN265/GL265-1)*100),"NA",IF(((GN265/GL265-1)*100)&gt;100,"NM",IF(((GN265/GL265-1)*100)&lt;-50,"NM",(GN265/GL265-1)*100)))</f>
        <v>-4.3472620660667038</v>
      </c>
      <c r="GP265" s="88">
        <f>GP259/GP241*100</f>
        <v>29.070127915726118</v>
      </c>
      <c r="GQ265" s="61">
        <f>IF(ISERROR((GP265/GN265-1)*100),"NA",IF(((GP265/GN265-1)*100)&gt;100,"NM",IF(((GP265/GN265-1)*100)&lt;-50,"NM",(GP265/GN265-1)*100)))</f>
        <v>-2.9238474524068248</v>
      </c>
      <c r="GR265" s="89">
        <f>GP265+0.2</f>
        <v>29.270127915726118</v>
      </c>
      <c r="GS265" s="61">
        <f>IF(ISERROR((GR265/GP265-1)*100),"NA",IF(((GR265/GP265-1)*100)&gt;100,"NM",IF(((GR265/GP265-1)*100)&lt;-50,"NM",(GR265/GP265-1)*100)))</f>
        <v>0.68799146869871208</v>
      </c>
      <c r="GT265" s="89">
        <f>GR265</f>
        <v>29.270127915726118</v>
      </c>
      <c r="GU265" s="61">
        <f>IF(ISERROR((GT265/GR265-1)*100),"NA",IF(((GT265/GR265-1)*100)&gt;100,"NM",IF(((GT265/GR265-1)*100)&lt;-50,"NM",(GT265/GR265-1)*100)))</f>
        <v>0</v>
      </c>
      <c r="GV265" s="89">
        <f>GT265</f>
        <v>29.270127915726118</v>
      </c>
      <c r="GW265" s="61">
        <f>IF(ISERROR((GV265/GT265-1)*100),"NA",IF(((GV265/GT265-1)*100)&gt;100,"NM",IF(((GV265/GT265-1)*100)&lt;-50,"NM",(GV265/GT265-1)*100)))</f>
        <v>0</v>
      </c>
      <c r="GX265" s="89">
        <f>GV265</f>
        <v>29.270127915726118</v>
      </c>
      <c r="GY265" s="61">
        <f>IF(ISERROR((GX265/GV265-1)*100),"NA",IF(((GX265/GV265-1)*100)&gt;100,"NM",IF(((GX265/GV265-1)*100)&lt;-50,"NM",(GX265/GV265-1)*100)))</f>
        <v>0</v>
      </c>
      <c r="GZ265" s="61">
        <f t="shared" si="1820"/>
        <v>-0.45532188498194071</v>
      </c>
      <c r="HA265" s="61"/>
      <c r="HB265" s="452"/>
      <c r="HC265"/>
      <c r="HD265"/>
      <c r="HE265"/>
      <c r="HF265"/>
      <c r="HG265"/>
      <c r="HH265"/>
    </row>
    <row r="266" spans="1:216" s="112" customFormat="1" ht="12.75" hidden="1" customHeight="1" outlineLevel="1" x14ac:dyDescent="0.2">
      <c r="B266" s="472" t="s">
        <v>672</v>
      </c>
      <c r="C266" s="173"/>
      <c r="D266" s="114"/>
      <c r="E266" s="173"/>
      <c r="F266" s="115"/>
      <c r="G266" s="173"/>
      <c r="H266" s="115"/>
      <c r="I266" s="173"/>
      <c r="J266" s="116"/>
      <c r="K266" s="172"/>
      <c r="L266" s="116"/>
      <c r="M266" s="172"/>
      <c r="N266" s="116"/>
      <c r="O266" s="172"/>
      <c r="P266" s="116"/>
      <c r="Q266" s="172"/>
      <c r="R266" s="116"/>
      <c r="S266" s="172"/>
      <c r="T266" s="116"/>
      <c r="U266" s="172"/>
      <c r="V266" s="116"/>
      <c r="W266" s="172"/>
      <c r="X266" s="116"/>
      <c r="Y266" s="172"/>
      <c r="Z266" s="116"/>
      <c r="AA266" s="172"/>
      <c r="AB266" s="116"/>
      <c r="AC266" s="172"/>
      <c r="AD266" s="116"/>
      <c r="AE266" s="172"/>
      <c r="AF266" s="116"/>
      <c r="AG266" s="172"/>
      <c r="AH266" s="116"/>
      <c r="AI266" s="172"/>
      <c r="AJ266" s="116"/>
      <c r="AK266" s="172"/>
      <c r="AL266" s="116"/>
      <c r="AM266" s="172"/>
      <c r="AN266" s="116"/>
      <c r="AO266" s="172"/>
      <c r="AP266" s="116"/>
      <c r="AQ266" s="172"/>
      <c r="AR266" s="116"/>
      <c r="AS266" s="172"/>
      <c r="AT266" s="116"/>
      <c r="AU266" s="172"/>
      <c r="AV266" s="116"/>
      <c r="AW266" s="172"/>
      <c r="AX266" s="116"/>
      <c r="AY266" s="172"/>
      <c r="AZ266" s="116"/>
      <c r="BA266" s="172"/>
      <c r="BB266" s="116"/>
      <c r="BC266" s="172"/>
      <c r="BD266" s="116"/>
      <c r="BE266" s="172"/>
      <c r="BF266" s="116"/>
      <c r="BG266" s="172"/>
      <c r="BH266" s="116"/>
      <c r="BI266" s="172"/>
      <c r="BJ266" s="116"/>
      <c r="BK266" s="172"/>
      <c r="BL266" s="116"/>
      <c r="BM266" s="172"/>
      <c r="BN266" s="116"/>
      <c r="BO266" s="172"/>
      <c r="BP266" s="116"/>
      <c r="BQ266" s="172"/>
      <c r="BR266" s="116"/>
      <c r="BS266" s="172"/>
      <c r="BT266" s="116"/>
      <c r="BU266" s="172"/>
      <c r="BV266" s="116"/>
      <c r="BW266" s="172">
        <f>+BW265</f>
        <v>41.556762348073434</v>
      </c>
      <c r="BX266" s="116" t="str">
        <f>IF(ISERROR((BW266/BO266-1)*100),"NA",IF(((BW266/BO266-1)*100)&gt;100,"NM",IF(((BW266/BO266-1)*100)&lt;-50,"NM",(BW266/BO266-1)*100)))</f>
        <v>NA</v>
      </c>
      <c r="BY266" s="172">
        <f>+BY265</f>
        <v>38.698341298847332</v>
      </c>
      <c r="BZ266" s="116" t="str">
        <f>IF(ISERROR((BY266/BQ266-1)*100),"NA",IF(((BY266/BQ266-1)*100)&gt;100,"NM",IF(((BY266/BQ266-1)*100)&lt;-50,"NM",(BY266/BQ266-1)*100)))</f>
        <v>NA</v>
      </c>
      <c r="CA266" s="172">
        <f>+CA265</f>
        <v>38.080884199949757</v>
      </c>
      <c r="CB266" s="116" t="str">
        <f>IF(ISERROR((CA266/BS266-1)*100),"NA",IF(((CA266/BS266-1)*100)&gt;100,"NM",IF(((CA266/BS266-1)*100)&lt;-50,"NM",(CA266/BS266-1)*100)))</f>
        <v>NA</v>
      </c>
      <c r="CC266" s="172">
        <f>+CC265</f>
        <v>42.224100458826356</v>
      </c>
      <c r="CD266" s="116" t="str">
        <f>IF(ISERROR((CC266/BU266-1)*100),"NA",IF(((CC266/BU266-1)*100)&gt;100,"NM",IF(((CC266/BU266-1)*100)&lt;-50,"NM",(CC266/BU266-1)*100)))</f>
        <v>NA</v>
      </c>
      <c r="CE266" s="172">
        <f>+CE265</f>
        <v>36.975093249909754</v>
      </c>
      <c r="CF266" s="116">
        <f>IF(ISERROR((CE266/BW266-1)*100),"NA",IF(((CE266/BW266-1)*100)&gt;100,"NM",IF(((CE266/BW266-1)*100)&lt;-50,"NM",(CE266/BW266-1)*100)))</f>
        <v>-11.02508674710576</v>
      </c>
      <c r="CG266" s="172">
        <f>+CG265</f>
        <v>34.746774964166249</v>
      </c>
      <c r="CH266" s="116">
        <f>IF(ISERROR((CG266/BY266-1)*100),"NA",IF(((CG266/BY266-1)*100)&gt;100,"NM",IF(((CG266/BY266-1)*100)&lt;-50,"NM",(CG266/BY266-1)*100)))</f>
        <v>-10.21120337992053</v>
      </c>
      <c r="CI266" s="172">
        <f>+CI265</f>
        <v>38.619495299356757</v>
      </c>
      <c r="CJ266" s="116">
        <f>IF(ISERROR((CI266/CA266-1)*100),"NA",IF(((CI266/CA266-1)*100)&gt;100,"NM",IF(((CI266/CA266-1)*100)&lt;-50,"NM",(CI266/CA266-1)*100)))</f>
        <v>1.4143870624929278</v>
      </c>
      <c r="CK266" s="172">
        <f>+CK265</f>
        <v>40.841990158556598</v>
      </c>
      <c r="CL266" s="116">
        <f>IF(ISERROR((CK266/CC266-1)*100),"NA",IF(((CK266/CC266-1)*100)&gt;100,"NM",IF(((CK266/CC266-1)*100)&lt;-50,"NM",(CK266/CC266-1)*100)))</f>
        <v>-3.2732735221144282</v>
      </c>
      <c r="CM266" s="172">
        <f>+CM265</f>
        <v>39.834123222748815</v>
      </c>
      <c r="CN266" s="116">
        <f>IF(ISERROR((CM266/CE266-1)*100),"NA",IF(((CM266/CE266-1)*100)&gt;100,"NM",IF(((CM266/CE266-1)*100)&lt;-50,"NM",(CM266/CE266-1)*100)))</f>
        <v>7.732313083067166</v>
      </c>
      <c r="CO266" s="172">
        <f>+CO265</f>
        <v>35.800325556158434</v>
      </c>
      <c r="CP266" s="116">
        <f>IF(ISERROR((CO266/CG266-1)*100),"NA",IF(((CO266/CG266-1)*100)&gt;100,"NM",IF(((CO266/CG266-1)*100)&lt;-50,"NM",(CO266/CG266-1)*100)))</f>
        <v>3.0320816624814562</v>
      </c>
      <c r="CQ266" s="172">
        <f>+CQ265</f>
        <v>38.373438223044893</v>
      </c>
      <c r="CR266" s="116">
        <f>IF(ISERROR((CQ266/CI266-1)*100),"NA",IF(((CQ266/CI266-1)*100)&gt;100,"NM",IF(((CQ266/CI266-1)*100)&lt;-50,"NM",(CQ266/CI266-1)*100)))</f>
        <v>-0.63713177607466198</v>
      </c>
      <c r="CS266" s="172">
        <f>+CS265</f>
        <v>41.311852704257767</v>
      </c>
      <c r="CT266" s="116">
        <f>IF(ISERROR((CS266/CK266-1)*100),"NA",IF(((CS266/CK266-1)*100)&gt;100,"NM",IF(((CS266/CK266-1)*100)&lt;-50,"NM",(CS266/CK266-1)*100)))</f>
        <v>1.1504398876672539</v>
      </c>
      <c r="CU266" s="172">
        <f>+CU265</f>
        <v>33.224043715846996</v>
      </c>
      <c r="CV266" s="116">
        <f>IF(ISERROR((CU266/CM266-1)*100),"NA",IF(((CU266/CM266-1)*100)&gt;100,"NM",IF(((CU266/CM266-1)*100)&lt;-50,"NM",(CU266/CM266-1)*100)))</f>
        <v>-16.594012801383506</v>
      </c>
      <c r="CW266" s="172">
        <f>+CW265</f>
        <v>31.852654387865652</v>
      </c>
      <c r="CX266" s="116">
        <f>IF(ISERROR((CW266/CO266-1)*100),"NA",IF(((CW266/CO266-1)*100)&gt;100,"NM",IF(((CW266/CO266-1)*100)&lt;-50,"NM",(CW266/CO266-1)*100)))</f>
        <v>-11.026914160599578</v>
      </c>
      <c r="CY266" s="172">
        <f>+CY265</f>
        <v>28.995901639344261</v>
      </c>
      <c r="CZ266" s="116">
        <f>IF(ISERROR((CY266/CQ266-1)*100),"NA",IF(((CY266/CQ266-1)*100)&gt;100,"NM",IF(((CY266/CQ266-1)*100)&lt;-50,"NM",(CY266/CQ266-1)*100)))</f>
        <v>-24.437571971512885</v>
      </c>
      <c r="DA266" s="172">
        <f>+DA265</f>
        <v>34.556574923547402</v>
      </c>
      <c r="DB266" s="116">
        <f>IF(ISERROR((DA266/CS266-1)*100),"NA",IF(((DA266/CS266-1)*100)&gt;100,"NM",IF(((DA266/CS266-1)*100)&lt;-50,"NM",(DA266/CS266-1)*100)))</f>
        <v>-16.351911953864363</v>
      </c>
      <c r="DC266" s="172">
        <f>+DC265</f>
        <v>33.441910966340934</v>
      </c>
      <c r="DD266" s="116">
        <f>IF(ISERROR((DC266/CU266-1)*100),"NA",IF(((DC266/CU266-1)*100)&gt;100,"NM",IF(((DC266/CU266-1)*100)&lt;-50,"NM",(DC266/CU266-1)*100)))</f>
        <v>0.6557517572432614</v>
      </c>
      <c r="DE266" s="172">
        <f>+DE265</f>
        <v>32.742440041710111</v>
      </c>
      <c r="DF266" s="116">
        <f>IF(ISERROR((DE266/CW266-1)*100),"NA",IF(((DE266/CW266-1)*100)&gt;100,"NM",IF(((DE266/CW266-1)*100)&lt;-50,"NM",(DE266/CW266-1)*100)))</f>
        <v>2.793442715981076</v>
      </c>
      <c r="DG266" s="172">
        <f>+DG265</f>
        <v>34.979423868312757</v>
      </c>
      <c r="DH266" s="116">
        <f>IF(ISERROR((DG266/CY266-1)*100),"NA",IF(((DG266/CY266-1)*100)&gt;100,"NM",IF(((DG266/CY266-1)*100)&lt;-50,"NM",(DG266/CY266-1)*100)))</f>
        <v>20.63575157411044</v>
      </c>
      <c r="DI266" s="172">
        <f>+DI265</f>
        <v>36.363636363636367</v>
      </c>
      <c r="DJ266" s="116">
        <f>IF(ISERROR((DI266/DA266-1)*100),"NA",IF(((DI266/DA266-1)*100)&gt;100,"NM",IF(((DI266/DA266-1)*100)&lt;-50,"NM",(DI266/DA266-1)*100)))</f>
        <v>5.2292839903459454</v>
      </c>
      <c r="DK266" s="172">
        <f>+DK265</f>
        <v>34.396809571286141</v>
      </c>
      <c r="DL266" s="116">
        <f>IF(ISERROR((DK266/DC266-1)*100),"NA",IF(((DK266/DC266-1)*100)&gt;100,"NM",IF(((DK266/DC266-1)*100)&lt;-50,"NM",(DK266/DC266-1)*100)))</f>
        <v>2.8553948543978525</v>
      </c>
      <c r="DM266" s="172">
        <f>+DM265</f>
        <v>34.113060428849899</v>
      </c>
      <c r="DN266" s="130">
        <f t="shared" si="1854"/>
        <v>4.186066723780435</v>
      </c>
      <c r="DO266" s="172">
        <f>+DO265</f>
        <v>31.109107303877366</v>
      </c>
      <c r="DP266" s="130">
        <f t="shared" si="1854"/>
        <v>-11.064552060680001</v>
      </c>
      <c r="DQ266" s="172">
        <f>+DQ265</f>
        <v>24.917600527356626</v>
      </c>
      <c r="DR266" s="130">
        <f t="shared" si="1854"/>
        <v>-31.476598549769285</v>
      </c>
      <c r="DS266" s="172">
        <f>+DS265</f>
        <v>31.718464351005483</v>
      </c>
      <c r="DT266" s="130">
        <f t="shared" si="1854"/>
        <v>-7.7866094375115935</v>
      </c>
      <c r="DU266" s="172">
        <f>+DU265</f>
        <v>31.23861566484517</v>
      </c>
      <c r="DV266" s="130">
        <f t="shared" si="1854"/>
        <v>-8.4262295081967142</v>
      </c>
      <c r="DW266" s="172">
        <f>+DW265</f>
        <v>25.813449023861175</v>
      </c>
      <c r="DX266" s="172">
        <f t="shared" ref="DX266:DY266" si="1894">+DX265</f>
        <v>25.813449023861175</v>
      </c>
      <c r="DY266" s="172">
        <f t="shared" si="1894"/>
        <v>38.152610441767074</v>
      </c>
      <c r="DZ266" s="130">
        <f t="shared" si="1854"/>
        <v>53.115105926350914</v>
      </c>
      <c r="EA266" s="172">
        <f t="shared" ref="EA266:EC266" si="1895">+EA265</f>
        <v>29.380530973451329</v>
      </c>
      <c r="EB266" s="130">
        <f t="shared" si="1857"/>
        <v>-7.3708908214531572</v>
      </c>
      <c r="EC266" s="172">
        <f t="shared" si="1895"/>
        <v>30.866274179983179</v>
      </c>
      <c r="ED266" s="130">
        <f t="shared" si="1858"/>
        <v>-1.19192696903343</v>
      </c>
      <c r="EE266" s="172">
        <f t="shared" ref="EE266:EG266" si="1896">+EE265</f>
        <v>30.523028883684621</v>
      </c>
      <c r="EF266" s="130">
        <f t="shared" si="1860"/>
        <v>18.244674919147961</v>
      </c>
      <c r="EG266" s="172">
        <f t="shared" si="1896"/>
        <v>34.265175718849839</v>
      </c>
      <c r="EH266" s="130">
        <f t="shared" si="1861"/>
        <v>-10.18917101059359</v>
      </c>
      <c r="EI266" s="172">
        <f t="shared" ref="EI266:EK266" si="1897">+EI265</f>
        <v>29.832935560859188</v>
      </c>
      <c r="EJ266" s="130">
        <f t="shared" si="1863"/>
        <v>1.5398107944906148</v>
      </c>
      <c r="EK266" s="172">
        <f t="shared" si="1897"/>
        <v>30.551301684532927</v>
      </c>
      <c r="EL266" s="130">
        <f t="shared" si="1864"/>
        <v>-1.0204422264042279</v>
      </c>
      <c r="EM266" s="172">
        <f t="shared" ref="EM266" si="1898">+EM265</f>
        <v>30.14240506329114</v>
      </c>
      <c r="EN266" s="130">
        <f t="shared" si="1866"/>
        <v>-1.2470054064553704</v>
      </c>
      <c r="EO266" s="172">
        <f t="shared" ref="EO266" si="1899">+EO265</f>
        <v>29.270127915726107</v>
      </c>
      <c r="EP266" s="130">
        <f t="shared" si="1868"/>
        <v>-14.577622026831961</v>
      </c>
      <c r="EQ266" s="172">
        <f t="shared" ref="EQ266:EW266" si="1900">IF($B$6=1, EQ265, IF($B$6=2, EQ265+EQ775, IF($B$6=3, EQ265+EQ776)))</f>
        <v>29.070127915726108</v>
      </c>
      <c r="ER266" s="130">
        <f t="shared" si="1870"/>
        <v>-2.5569312264860811</v>
      </c>
      <c r="ES266" s="172">
        <f t="shared" si="1900"/>
        <v>29.070127915726108</v>
      </c>
      <c r="ET266" s="130">
        <f t="shared" si="1871"/>
        <v>-4.8481527369967576</v>
      </c>
      <c r="EU266" s="172">
        <f t="shared" si="1900"/>
        <v>29.070127915726108</v>
      </c>
      <c r="EV266" s="130">
        <f t="shared" si="1872"/>
        <v>-3.5573709042577395</v>
      </c>
      <c r="EW266" s="172">
        <f t="shared" si="1900"/>
        <v>29.070127915726108</v>
      </c>
      <c r="EX266" s="130">
        <f t="shared" si="1873"/>
        <v>-0.68329048843187579</v>
      </c>
      <c r="EY266" s="115"/>
      <c r="EZ266" s="558"/>
      <c r="FA266" s="115"/>
      <c r="FB266" s="173"/>
      <c r="FC266" s="173"/>
      <c r="FD266" s="173"/>
      <c r="FE266" s="114"/>
      <c r="FF266" s="172"/>
      <c r="FG266" s="114"/>
      <c r="FH266" s="172"/>
      <c r="FI266" s="114"/>
      <c r="FJ266" s="172"/>
      <c r="FK266" s="114"/>
      <c r="FL266" s="172"/>
      <c r="FM266" s="116"/>
      <c r="FN266" s="172"/>
      <c r="FO266" s="116"/>
      <c r="FP266" s="172"/>
      <c r="FQ266" s="116"/>
      <c r="FR266" s="172"/>
      <c r="FS266" s="116" t="str">
        <f t="shared" si="1874"/>
        <v>NA</v>
      </c>
      <c r="FT266" s="424">
        <f>FT265</f>
        <v>48.805818673883621</v>
      </c>
      <c r="FU266" s="116" t="str">
        <f t="shared" si="1875"/>
        <v>NA</v>
      </c>
      <c r="FV266" s="424">
        <f>FV265</f>
        <v>44.150399580767726</v>
      </c>
      <c r="FW266" s="116">
        <f t="shared" si="1876"/>
        <v>-9.5386558808141615</v>
      </c>
      <c r="FX266" s="424">
        <f>FX265</f>
        <v>40.190402675929498</v>
      </c>
      <c r="FY266" s="116">
        <f>IF(ISERROR((FX266/FV266-1)*100),"NA",IF(((FX266/FV266-1)*100)&gt;100,"NM",IF(((FX266/FV266-1)*100)&lt;-50,"NM",(FX266/FV266-1)*100)))</f>
        <v>-8.9693342357953121</v>
      </c>
      <c r="FZ266" s="424">
        <f>FZ265</f>
        <v>37.859754659117719</v>
      </c>
      <c r="GA266" s="116">
        <f>IF(ISERROR((FZ266/FX266-1)*100),"NA",IF(((FZ266/FX266-1)*100)&gt;100,"NM",IF(((FZ266/FX266-1)*100)&lt;-50,"NM",(FZ266/FX266-1)*100)))</f>
        <v>-5.7990163363245699</v>
      </c>
      <c r="GB266" s="424">
        <f>GB265</f>
        <v>38.777901626225379</v>
      </c>
      <c r="GC266" s="116">
        <f>IF(ISERROR((GB266/FZ266-1)*100),"NA",IF(((GB266/FZ266-1)*100)&gt;100,"NM",IF(((GB266/FZ266-1)*100)&lt;-50,"NM",(GB266/FZ266-1)*100)))</f>
        <v>2.425126563482749</v>
      </c>
      <c r="GD266" s="424">
        <f>GD265</f>
        <v>32.147562582345188</v>
      </c>
      <c r="GE266" s="116">
        <f>IF(ISERROR((GD266/GB266-1)*100),"NA",IF(((GD266/GB266-1)*100)&gt;100,"NM",IF(((GD266/GB266-1)*100)&lt;-50,"NM",(GD266/GB266-1)*100)))</f>
        <v>-17.098240920277419</v>
      </c>
      <c r="GF266" s="424">
        <f>GF265</f>
        <v>34.420289855072461</v>
      </c>
      <c r="GG266" s="116">
        <f>IF(ISERROR((GF266/GD266-1)*100),"NA",IF(((GF266/GD266-1)*100)&gt;100,"NM",IF(((GF266/GD266-1)*100)&lt;-50,"NM",(GF266/GD266-1)*100)))</f>
        <v>7.069672131147553</v>
      </c>
      <c r="GH266" s="424">
        <f>GH265</f>
        <v>30.461868958109562</v>
      </c>
      <c r="GI266" s="116">
        <f>IF(ISERROR((GH266/GF266-1)*100),"NA",IF(((GH266/GF266-1)*100)&gt;100,"NM",IF(((GH266/GF266-1)*100)&lt;-50,"NM",(GH266/GF266-1)*100)))</f>
        <v>-11.500254395386944</v>
      </c>
      <c r="GJ266" s="424">
        <f>GJ265</f>
        <v>31.218551739225553</v>
      </c>
      <c r="GK266" s="116">
        <f>IF(ISERROR((GJ266/GH266-1)*100),"NA",IF(((GJ266/GH266-1)*100)&gt;100,"NM",IF(((GJ266/GH266-1)*100)&lt;-50,"NM",(GJ266/GH266-1)*100)))</f>
        <v>2.4840326841290006</v>
      </c>
      <c r="GL266" s="424">
        <f>GL265</f>
        <v>31.306677658697446</v>
      </c>
      <c r="GM266" s="116">
        <f>IF(ISERROR((GL266/GJ266-1)*100),"NA",IF(((GL266/GJ266-1)*100)&gt;100,"NM",IF(((GL266/GJ266-1)*100)&lt;-50,"NM",(GL266/GJ266-1)*100)))</f>
        <v>0.28228702025649977</v>
      </c>
      <c r="GN266" s="424">
        <f>GN265</f>
        <v>29.945694336695112</v>
      </c>
      <c r="GO266" s="116">
        <f>IF(ISERROR((GN266/GL266-1)*100),"NA",IF(((GN266/GL266-1)*100)&gt;100,"NM",IF(((GN266/GL266-1)*100)&lt;-50,"NM",(GN266/GL266-1)*100)))</f>
        <v>-4.3472620660667038</v>
      </c>
      <c r="GP266" s="424">
        <f>GP265</f>
        <v>29.070127915726118</v>
      </c>
      <c r="GQ266" s="116">
        <f>IF(ISERROR((GP266/GN266-1)*100),"NA",IF(((GP266/GN266-1)*100)&gt;100,"NM",IF(((GP266/GN266-1)*100)&lt;-50,"NM",(GP266/GN266-1)*100)))</f>
        <v>-2.9238474524068248</v>
      </c>
      <c r="GR266" s="172">
        <f>IF($B$6=1, GR265, IF($B$6=2, GR265+GR775, IF($B$6=3, GR265+GR776)))</f>
        <v>29.270127915726118</v>
      </c>
      <c r="GS266" s="116">
        <f>IF(ISERROR((GR266/GP266-1)*100),"NA",IF(((GR266/GP266-1)*100)&gt;100,"NM",IF(((GR266/GP266-1)*100)&lt;-50,"NM",(GR266/GP266-1)*100)))</f>
        <v>0.68799146869871208</v>
      </c>
      <c r="GT266" s="172">
        <f>IF($B$6=1, GT265, IF($B$6=2, GT265+GT775, IF($B$6=3, GT265+GT776)))</f>
        <v>29.270127915726118</v>
      </c>
      <c r="GU266" s="116">
        <f>IF(ISERROR((GT266/GR266-1)*100),"NA",IF(((GT266/GR266-1)*100)&gt;100,"NM",IF(((GT266/GR266-1)*100)&lt;-50,"NM",(GT266/GR266-1)*100)))</f>
        <v>0</v>
      </c>
      <c r="GV266" s="172">
        <f>IF($B$6=1, GV265, IF($B$6=2, GV265+GV775, IF($B$6=3, GV265+GV776)))</f>
        <v>29.270127915726118</v>
      </c>
      <c r="GW266" s="116">
        <f>IF(ISERROR((GV266/GT266-1)*100),"NA",IF(((GV266/GT266-1)*100)&gt;100,"NM",IF(((GV266/GT266-1)*100)&lt;-50,"NM",(GV266/GT266-1)*100)))</f>
        <v>0</v>
      </c>
      <c r="GX266" s="172">
        <f>IF($B$6=1, GX265, IF($B$6=2, GX265+GX775, IF($B$6=3, GX265+GX776)))</f>
        <v>29.270127915726118</v>
      </c>
      <c r="GY266" s="116">
        <f>IF(ISERROR((GX266/GV266-1)*100),"NA",IF(((GX266/GV266-1)*100)&gt;100,"NM",IF(((GX266/GV266-1)*100)&lt;-50,"NM",(GX266/GV266-1)*100)))</f>
        <v>0</v>
      </c>
      <c r="GZ266" s="116">
        <f t="shared" si="1820"/>
        <v>-0.45532188498194071</v>
      </c>
      <c r="HA266" s="116"/>
      <c r="HB266" s="475"/>
      <c r="HC266"/>
      <c r="HD266"/>
      <c r="HE266"/>
      <c r="HF266"/>
      <c r="HG266"/>
      <c r="HH266"/>
    </row>
    <row r="267" spans="1:216" s="5" customFormat="1" ht="12.75" customHeight="1" collapsed="1" x14ac:dyDescent="0.2">
      <c r="B267" s="2" t="s">
        <v>397</v>
      </c>
      <c r="C267" s="69"/>
      <c r="D267" s="70"/>
      <c r="E267" s="69"/>
      <c r="F267" s="71"/>
      <c r="G267" s="69"/>
      <c r="H267" s="71"/>
      <c r="I267" s="69"/>
      <c r="J267" s="61"/>
      <c r="K267" s="73"/>
      <c r="L267" s="61"/>
      <c r="M267" s="73"/>
      <c r="N267" s="61"/>
      <c r="O267" s="73"/>
      <c r="P267" s="61"/>
      <c r="Q267" s="73"/>
      <c r="R267" s="61"/>
      <c r="S267" s="73"/>
      <c r="T267" s="61"/>
      <c r="U267" s="73"/>
      <c r="V267" s="61"/>
      <c r="W267" s="73"/>
      <c r="X267" s="61"/>
      <c r="Y267" s="73"/>
      <c r="Z267" s="61"/>
      <c r="AA267" s="73"/>
      <c r="AB267" s="61"/>
      <c r="AC267" s="73"/>
      <c r="AD267" s="61"/>
      <c r="AE267" s="73"/>
      <c r="AF267" s="61"/>
      <c r="AG267" s="73"/>
      <c r="AH267" s="61"/>
      <c r="AI267" s="73"/>
      <c r="AJ267" s="61"/>
      <c r="AK267" s="73"/>
      <c r="AL267" s="61"/>
      <c r="AM267" s="73"/>
      <c r="AN267" s="61"/>
      <c r="AO267" s="139"/>
      <c r="AP267" s="61"/>
      <c r="AQ267" s="73"/>
      <c r="AR267" s="61"/>
      <c r="AS267" s="73"/>
      <c r="AT267" s="61"/>
      <c r="AU267" s="73"/>
      <c r="AV267" s="61"/>
      <c r="AW267" s="73"/>
      <c r="AX267" s="61"/>
      <c r="AY267" s="73"/>
      <c r="AZ267" s="61"/>
      <c r="BA267" s="73"/>
      <c r="BB267" s="61"/>
      <c r="BC267" s="73"/>
      <c r="BD267" s="61"/>
      <c r="BE267" s="73"/>
      <c r="BF267" s="61"/>
      <c r="BG267" s="81">
        <f>BG256/(BG236+BG237)*100</f>
        <v>47.545419404715886</v>
      </c>
      <c r="BH267" s="61"/>
      <c r="BI267" s="81">
        <f>BI256/(BI236+BI237)*100</f>
        <v>56.656613528651448</v>
      </c>
      <c r="BJ267" s="61"/>
      <c r="BK267" s="81">
        <f>BK256/(BK236+BK237)*100</f>
        <v>47.479442259563825</v>
      </c>
      <c r="BL267" s="61"/>
      <c r="BM267" s="81">
        <f>BM256/(BM236+BM237)*100</f>
        <v>55.970284471824606</v>
      </c>
      <c r="BN267" s="61"/>
      <c r="BO267" s="81">
        <f>BO256/(BO236+BO237)*100</f>
        <v>53.918382087396175</v>
      </c>
      <c r="BP267" s="61"/>
      <c r="BQ267" s="81">
        <f>BQ256/(BQ236+BQ237)*100</f>
        <v>53.661549320628197</v>
      </c>
      <c r="BR267" s="61"/>
      <c r="BS267" s="81">
        <f>BS256/(BS236+BS237)*100</f>
        <v>72.112420670897549</v>
      </c>
      <c r="BT267" s="61"/>
      <c r="BU267" s="81">
        <f>BU256/(BU236+BU237)*100</f>
        <v>60.832354421882876</v>
      </c>
      <c r="BV267" s="61"/>
      <c r="BW267" s="81">
        <f>BW256/(BW236+BW237)*100</f>
        <v>61.486603284356093</v>
      </c>
      <c r="BX267" s="61"/>
      <c r="BY267" s="81">
        <f>BY256/(BY236+BY237)*100</f>
        <v>58.844962652577884</v>
      </c>
      <c r="BZ267" s="61"/>
      <c r="CA267" s="81">
        <f>CA256/(CA236+CA237)*100</f>
        <v>54.008083529808019</v>
      </c>
      <c r="CB267" s="61"/>
      <c r="CC267" s="81">
        <f>CC256/(CC236+CC237)*100</f>
        <v>62.673582064580891</v>
      </c>
      <c r="CD267" s="61"/>
      <c r="CE267" s="81">
        <f>CE256/(CE236+CE237)*100</f>
        <v>66.700117076434196</v>
      </c>
      <c r="CF267" s="61"/>
      <c r="CG267" s="81">
        <f>CG256/(CG236+CG237)*100</f>
        <v>63.316412859560067</v>
      </c>
      <c r="CH267" s="61"/>
      <c r="CI267" s="81">
        <f>CI256/(CI236+CI237)*100</f>
        <v>99.274464696513903</v>
      </c>
      <c r="CJ267" s="61"/>
      <c r="CK267" s="81">
        <f>CK256/(CK236+CK237)*100</f>
        <v>61.693610469591995</v>
      </c>
      <c r="CL267" s="61"/>
      <c r="CM267" s="81">
        <f>CM256/(CM236+CM237)*100</f>
        <v>78.835978835978835</v>
      </c>
      <c r="CN267" s="61"/>
      <c r="CO267" s="81">
        <f>CO256/(CO236+CO237)*100</f>
        <v>95.070202808112327</v>
      </c>
      <c r="CP267" s="61"/>
      <c r="CQ267" s="81">
        <f>CQ256/(CQ236+CQ237)*100</f>
        <v>25.098749177090195</v>
      </c>
      <c r="CR267" s="61"/>
      <c r="CS267" s="81">
        <f>CS256/(CS236+CS237)*100</f>
        <v>72.496025437201908</v>
      </c>
      <c r="CT267" s="61"/>
      <c r="CU267" s="81">
        <f>CU256/(CU236+CU237)*100</f>
        <v>73.395931142410021</v>
      </c>
      <c r="CV267" s="61"/>
      <c r="CW267" s="81">
        <f>CW256/(CW236+CW237)*100</f>
        <v>75.357710651828299</v>
      </c>
      <c r="CX267" s="61"/>
      <c r="CY267" s="81">
        <f>CY256/(CY236+CY237)*100</f>
        <v>41.086350974930362</v>
      </c>
      <c r="CZ267" s="61"/>
      <c r="DA267" s="81">
        <f>DA256/(DA236+DA237)*100</f>
        <v>72.213967310549776</v>
      </c>
      <c r="DB267" s="61"/>
      <c r="DC267" s="81">
        <f>DC256/(DC236+DC237)*100</f>
        <v>76.981707317073173</v>
      </c>
      <c r="DD267" s="61"/>
      <c r="DE267" s="81">
        <f>DE256/(DE236+DE237)*100</f>
        <v>75.872534142640376</v>
      </c>
      <c r="DF267" s="420"/>
      <c r="DG267" s="81">
        <f>DG256/(DG236+DG237)*100</f>
        <v>69.387755102040813</v>
      </c>
      <c r="DH267" s="420"/>
      <c r="DI267" s="81">
        <f>DI256/(DI236+DI237)*100</f>
        <v>69.177126917712698</v>
      </c>
      <c r="DJ267" s="61"/>
      <c r="DK267" s="81">
        <f>DK256/(DK236+DK237)*100</f>
        <v>75.876577840112205</v>
      </c>
      <c r="DL267" s="61"/>
      <c r="DM267" s="81">
        <f>DM256/(DM236+DM237)*100</f>
        <v>70.998632010943908</v>
      </c>
      <c r="DN267" s="130">
        <f t="shared" si="1854"/>
        <v>-6.4238030095759457</v>
      </c>
      <c r="DO267" s="81">
        <f>DO256/(DO236+DO237)*100</f>
        <v>67.901234567901241</v>
      </c>
      <c r="DP267" s="130">
        <f t="shared" si="1854"/>
        <v>-2.1423384168482107</v>
      </c>
      <c r="DQ267" s="81">
        <f>DQ256/(DQ236+DQ237)*100</f>
        <v>67.678424938474151</v>
      </c>
      <c r="DR267" s="130">
        <f t="shared" si="1854"/>
        <v>-2.1664704014395908</v>
      </c>
      <c r="DS267" s="81">
        <f>DS256/(DS236+DS237)*100</f>
        <v>80.645161290322577</v>
      </c>
      <c r="DT267" s="130">
        <f t="shared" si="1854"/>
        <v>6.2846580406654251</v>
      </c>
      <c r="DU267" s="81">
        <f>DU256/(DU236+DU237)*100</f>
        <v>82.374541003671979</v>
      </c>
      <c r="DV267" s="130">
        <f t="shared" si="1854"/>
        <v>16.022715748909878</v>
      </c>
      <c r="DW267" s="81">
        <f>DW256/(DW236+DW237)*100</f>
        <v>54.272300469483568</v>
      </c>
      <c r="DX267" s="81">
        <f t="shared" ref="DX267:DY267" si="1901">DX256/(DX236+DX237)*100</f>
        <v>54.272300469483568</v>
      </c>
      <c r="DY267" s="81">
        <f t="shared" si="1901"/>
        <v>91.805555555555557</v>
      </c>
      <c r="DZ267" s="130">
        <f t="shared" si="1854"/>
        <v>35.649663299663324</v>
      </c>
      <c r="EA267" s="81">
        <f t="shared" ref="EA267:EC267" si="1902">EA256/(EA236+EA237)*100</f>
        <v>85.351787773933111</v>
      </c>
      <c r="EB267" s="130">
        <f t="shared" si="1857"/>
        <v>5.8362168396770553</v>
      </c>
      <c r="EC267" s="81">
        <f t="shared" si="1902"/>
        <v>78.232044198895025</v>
      </c>
      <c r="ED267" s="130">
        <f t="shared" si="1858"/>
        <v>-5.0288557050561238</v>
      </c>
      <c r="EE267" s="81">
        <f t="shared" ref="EE267:EG267" si="1903">EE256/(EE236+EE237)*100</f>
        <v>54.093264248704664</v>
      </c>
      <c r="EF267" s="130">
        <f t="shared" si="1860"/>
        <v>-0.32988507807877321</v>
      </c>
      <c r="EG267" s="81">
        <f t="shared" si="1903"/>
        <v>74.578059071729967</v>
      </c>
      <c r="EH267" s="130">
        <f t="shared" si="1861"/>
        <v>-18.765200405982483</v>
      </c>
      <c r="EI267" s="81">
        <f t="shared" ref="EI267:EK267" si="1904">EI256/(EI236+EI237)*100</f>
        <v>84.071729957805914</v>
      </c>
      <c r="EJ267" s="130">
        <f t="shared" si="1863"/>
        <v>-1.4997434143003807</v>
      </c>
      <c r="EK267" s="81">
        <f t="shared" si="1904"/>
        <v>82.095625635808744</v>
      </c>
      <c r="EL267" s="130">
        <f t="shared" si="1864"/>
        <v>4.9386175146990396</v>
      </c>
      <c r="EM267" s="81">
        <f t="shared" ref="EM267" si="1905">EM256/(EM236+EM237)*100</f>
        <v>84.254431699687174</v>
      </c>
      <c r="EN267" s="130">
        <f t="shared" si="1866"/>
        <v>55.7577137743259</v>
      </c>
      <c r="EO267" s="81">
        <f t="shared" ref="EO267" si="1906">EO256/(EO236+EO237)*100</f>
        <v>76</v>
      </c>
      <c r="EP267" s="130">
        <f t="shared" si="1868"/>
        <v>1.9066478076378957</v>
      </c>
      <c r="EQ267" s="89">
        <v>83</v>
      </c>
      <c r="ER267" s="130">
        <f t="shared" si="1870"/>
        <v>-1.2747804265997531</v>
      </c>
      <c r="ES267" s="89">
        <v>81</v>
      </c>
      <c r="ET267" s="130">
        <f t="shared" si="1871"/>
        <v>-1.3345724907063095</v>
      </c>
      <c r="EU267" s="89">
        <v>81</v>
      </c>
      <c r="EV267" s="130">
        <f t="shared" si="1872"/>
        <v>-3.8626237623762383</v>
      </c>
      <c r="EW267" s="89">
        <v>80</v>
      </c>
      <c r="EX267" s="130">
        <f t="shared" si="1873"/>
        <v>5.2631578947368363</v>
      </c>
      <c r="EY267" s="64"/>
      <c r="EZ267" s="558"/>
      <c r="FA267" s="64"/>
      <c r="FB267" s="69"/>
      <c r="FC267" s="71"/>
      <c r="FD267" s="69"/>
      <c r="FE267" s="70"/>
      <c r="FF267" s="69"/>
      <c r="FG267" s="70"/>
      <c r="FH267" s="69"/>
      <c r="FI267" s="70"/>
      <c r="FJ267" s="69"/>
      <c r="FK267" s="70"/>
      <c r="FL267" s="73"/>
      <c r="FM267" s="61"/>
      <c r="FN267" s="73"/>
      <c r="FO267" s="61"/>
      <c r="FP267" s="73"/>
      <c r="FQ267" s="61"/>
      <c r="FR267" s="73"/>
      <c r="FS267" s="61"/>
      <c r="FT267" s="73"/>
      <c r="FU267" s="61"/>
      <c r="FV267" s="73"/>
      <c r="FW267" s="61"/>
      <c r="FX267" s="73"/>
      <c r="FY267" s="61"/>
      <c r="FZ267" s="81">
        <f>FZ256/(FZ236+FZ237)*100</f>
        <v>72.173913043478265</v>
      </c>
      <c r="GA267" s="61"/>
      <c r="GB267" s="81">
        <f>GB256/(GB236+GB237)*100</f>
        <v>68.105211486541776</v>
      </c>
      <c r="GC267" s="61"/>
      <c r="GD267" s="81">
        <f>GD256/(GD236+GD237)*100</f>
        <v>64.836404663407293</v>
      </c>
      <c r="GE267" s="61"/>
      <c r="GF267" s="81">
        <f>GF256/(GF236+GF237)*100</f>
        <v>72.737306843267106</v>
      </c>
      <c r="GG267" s="61">
        <f t="shared" ref="GG267:GW267" si="1907">IF(ISERROR((GF267/GD267-1)*100),"NA",IF(((GF267/GD267-1)*100)&gt;100,"NM",IF(((GF267/GD267-1)*100)&lt;-50,"NM",(GF267/GD267-1)*100)))</f>
        <v>12.18590423216197</v>
      </c>
      <c r="GH267" s="81">
        <f>GH256/(GH236+GH237)*100</f>
        <v>70.112294845954509</v>
      </c>
      <c r="GI267" s="61">
        <f t="shared" si="1907"/>
        <v>-3.608893580523842</v>
      </c>
      <c r="GJ267" s="81">
        <f>GJ256/(GJ236+GJ237)*100</f>
        <v>75.176056338028175</v>
      </c>
      <c r="GK267" s="61">
        <f t="shared" si="1907"/>
        <v>7.2223587934175937</v>
      </c>
      <c r="GL267" s="81">
        <f>GL256/(GL236+GL237)*100</f>
        <v>72.645861601085485</v>
      </c>
      <c r="GM267" s="61">
        <f t="shared" si="1907"/>
        <v>-3.3656922964483527</v>
      </c>
      <c r="GN267" s="81">
        <f>GN256/(GN236+GN237)*100</f>
        <v>81.507024265644958</v>
      </c>
      <c r="GO267" s="61">
        <f t="shared" si="1907"/>
        <v>12.197752864737254</v>
      </c>
      <c r="GP267" s="81">
        <f>GP256/(GP236+GP237)*100</f>
        <v>81.239803704555897</v>
      </c>
      <c r="GQ267" s="61">
        <f t="shared" si="1907"/>
        <v>-0.3278497325802765</v>
      </c>
      <c r="GR267" s="89">
        <f>GP267+0.1</f>
        <v>81.339803704555891</v>
      </c>
      <c r="GS267" s="61">
        <f t="shared" si="1907"/>
        <v>0.12309237029137776</v>
      </c>
      <c r="GT267" s="89">
        <f>GR267</f>
        <v>81.339803704555891</v>
      </c>
      <c r="GU267" s="61">
        <f t="shared" si="1907"/>
        <v>0</v>
      </c>
      <c r="GV267" s="89">
        <f>GT267</f>
        <v>81.339803704555891</v>
      </c>
      <c r="GW267" s="61">
        <f t="shared" si="1907"/>
        <v>0</v>
      </c>
      <c r="GX267" s="89">
        <f>GV267</f>
        <v>81.339803704555891</v>
      </c>
      <c r="GY267" s="61">
        <f t="shared" ref="GY267" si="1908">IF(ISERROR((GX267/GV267-1)*100),"NA",IF(((GX267/GV267-1)*100)&gt;100,"NM",IF(((GX267/GV267-1)*100)&lt;-50,"NM",(GX267/GV267-1)*100)))</f>
        <v>0</v>
      </c>
      <c r="GZ267" s="61">
        <f t="shared" si="1820"/>
        <v>-4.1065898371395182E-2</v>
      </c>
      <c r="HA267" s="61"/>
      <c r="HB267" s="452"/>
      <c r="HC267"/>
      <c r="HD267"/>
      <c r="HE267"/>
      <c r="HF267"/>
      <c r="HG267"/>
      <c r="HH267"/>
    </row>
    <row r="268" spans="1:216" s="106" customFormat="1" ht="12.75" customHeight="1" x14ac:dyDescent="0.2">
      <c r="B268" s="63"/>
      <c r="C268" s="102"/>
      <c r="D268" s="99"/>
      <c r="E268" s="102"/>
      <c r="F268" s="100"/>
      <c r="G268" s="102"/>
      <c r="H268" s="100"/>
      <c r="I268" s="102"/>
      <c r="J268" s="101"/>
      <c r="K268" s="104"/>
      <c r="L268" s="61"/>
      <c r="M268" s="104"/>
      <c r="N268" s="61"/>
      <c r="O268" s="104"/>
      <c r="P268" s="61"/>
      <c r="Q268" s="104"/>
      <c r="R268" s="61"/>
      <c r="S268" s="104"/>
      <c r="T268" s="61"/>
      <c r="U268" s="104"/>
      <c r="V268" s="61"/>
      <c r="W268" s="104"/>
      <c r="X268" s="61"/>
      <c r="Y268" s="104"/>
      <c r="Z268" s="61"/>
      <c r="AA268" s="104"/>
      <c r="AB268" s="61"/>
      <c r="AC268" s="104"/>
      <c r="AD268" s="61"/>
      <c r="AE268" s="104"/>
      <c r="AF268" s="61"/>
      <c r="AG268" s="104"/>
      <c r="AH268" s="61"/>
      <c r="AI268" s="104"/>
      <c r="AJ268" s="61"/>
      <c r="AK268" s="104"/>
      <c r="AL268" s="61"/>
      <c r="AM268" s="104"/>
      <c r="AN268" s="61"/>
      <c r="AO268" s="159"/>
      <c r="AP268" s="61"/>
      <c r="AQ268" s="104"/>
      <c r="AR268" s="61"/>
      <c r="AS268" s="104"/>
      <c r="AT268" s="61"/>
      <c r="AU268" s="104"/>
      <c r="AV268" s="61"/>
      <c r="AW268" s="104"/>
      <c r="AX268" s="61"/>
      <c r="AY268" s="104"/>
      <c r="AZ268" s="61"/>
      <c r="BA268" s="104"/>
      <c r="BB268" s="61"/>
      <c r="BC268" s="104"/>
      <c r="BD268" s="61"/>
      <c r="BE268" s="104"/>
      <c r="BF268" s="61"/>
      <c r="BG268" s="104"/>
      <c r="BH268" s="61"/>
      <c r="BI268" s="104"/>
      <c r="BJ268" s="61"/>
      <c r="BK268" s="104"/>
      <c r="BL268" s="61"/>
      <c r="BM268" s="104"/>
      <c r="BN268" s="61"/>
      <c r="BO268" s="104"/>
      <c r="BP268" s="61"/>
      <c r="BQ268" s="104"/>
      <c r="BR268" s="61"/>
      <c r="BS268" s="104"/>
      <c r="BT268" s="61"/>
      <c r="BU268" s="104"/>
      <c r="BV268" s="61"/>
      <c r="BW268" s="104"/>
      <c r="BX268" s="61"/>
      <c r="BY268" s="104"/>
      <c r="BZ268" s="61"/>
      <c r="CA268" s="104"/>
      <c r="CB268" s="61"/>
      <c r="CC268" s="104"/>
      <c r="CD268" s="61"/>
      <c r="CE268" s="104"/>
      <c r="CF268" s="61"/>
      <c r="CG268" s="104"/>
      <c r="CH268" s="61"/>
      <c r="CI268" s="104"/>
      <c r="CJ268" s="61"/>
      <c r="CK268" s="104"/>
      <c r="CL268" s="61"/>
      <c r="CM268" s="104"/>
      <c r="CN268" s="61"/>
      <c r="CO268" s="104"/>
      <c r="CP268" s="61"/>
      <c r="CQ268" s="104"/>
      <c r="CR268" s="61"/>
      <c r="CS268" s="104"/>
      <c r="CT268" s="61"/>
      <c r="CU268" s="104"/>
      <c r="CV268" s="61"/>
      <c r="CW268" s="104"/>
      <c r="CX268" s="61"/>
      <c r="CY268" s="104"/>
      <c r="CZ268" s="61"/>
      <c r="DA268" s="104"/>
      <c r="DB268" s="61"/>
      <c r="DC268" s="104"/>
      <c r="DD268" s="61"/>
      <c r="DE268" s="104"/>
      <c r="DF268" s="61"/>
      <c r="DG268" s="104"/>
      <c r="DH268" s="61"/>
      <c r="DI268" s="104"/>
      <c r="DJ268" s="61"/>
      <c r="DK268" s="104"/>
      <c r="DL268" s="61"/>
      <c r="DM268" s="104"/>
      <c r="DN268" s="61"/>
      <c r="DO268" s="104"/>
      <c r="DP268" s="61"/>
      <c r="DQ268" s="104"/>
      <c r="DR268" s="61"/>
      <c r="DS268" s="104"/>
      <c r="DT268" s="61"/>
      <c r="DU268" s="104"/>
      <c r="DV268" s="61"/>
      <c r="DW268" s="104"/>
      <c r="DX268" s="104"/>
      <c r="DY268" s="104"/>
      <c r="DZ268" s="61"/>
      <c r="EA268" s="104"/>
      <c r="EB268" s="61"/>
      <c r="EC268" s="104"/>
      <c r="ED268" s="61"/>
      <c r="EE268" s="104"/>
      <c r="EF268" s="61"/>
      <c r="EG268" s="104"/>
      <c r="EH268" s="61"/>
      <c r="EI268" s="104"/>
      <c r="EJ268" s="61"/>
      <c r="EK268" s="104"/>
      <c r="EL268" s="61"/>
      <c r="EM268" s="104"/>
      <c r="EN268" s="61"/>
      <c r="EO268" s="104"/>
      <c r="EP268" s="61"/>
      <c r="EQ268" s="104"/>
      <c r="ER268" s="61"/>
      <c r="ES268" s="104"/>
      <c r="ET268" s="61"/>
      <c r="EU268" s="104"/>
      <c r="EV268" s="61"/>
      <c r="EW268" s="104"/>
      <c r="EX268" s="61"/>
      <c r="EY268" s="103"/>
      <c r="EZ268" s="558"/>
      <c r="FA268" s="103"/>
      <c r="FB268" s="102"/>
      <c r="FC268" s="100"/>
      <c r="FD268" s="102"/>
      <c r="FE268" s="70"/>
      <c r="FF268" s="102"/>
      <c r="FG268" s="70"/>
      <c r="FH268" s="102"/>
      <c r="FI268" s="70"/>
      <c r="FJ268" s="102"/>
      <c r="FK268" s="70"/>
      <c r="FL268" s="104"/>
      <c r="FM268" s="61"/>
      <c r="FN268" s="104"/>
      <c r="FO268" s="61"/>
      <c r="FP268" s="104"/>
      <c r="FQ268" s="61"/>
      <c r="FR268" s="104"/>
      <c r="FS268" s="61"/>
      <c r="FT268" s="104"/>
      <c r="FU268" s="61"/>
      <c r="FV268" s="104"/>
      <c r="FW268" s="61"/>
      <c r="FX268" s="104"/>
      <c r="FY268" s="61"/>
      <c r="FZ268" s="104"/>
      <c r="GA268" s="61"/>
      <c r="GB268" s="104"/>
      <c r="GC268" s="61"/>
      <c r="GD268" s="104"/>
      <c r="GE268" s="61"/>
      <c r="GF268" s="104"/>
      <c r="GG268" s="61"/>
      <c r="GH268" s="104"/>
      <c r="GI268" s="61"/>
      <c r="GJ268" s="104"/>
      <c r="GK268" s="61"/>
      <c r="GL268" s="104"/>
      <c r="GM268" s="61"/>
      <c r="GN268" s="104"/>
      <c r="GO268" s="61"/>
      <c r="GP268" s="104"/>
      <c r="GQ268" s="61"/>
      <c r="GR268" s="104"/>
      <c r="GS268" s="61"/>
      <c r="GT268" s="104"/>
      <c r="GU268" s="61"/>
      <c r="GV268" s="104"/>
      <c r="GW268" s="61"/>
      <c r="GX268" s="104"/>
      <c r="GY268" s="61"/>
      <c r="GZ268" s="61"/>
      <c r="HA268" s="61"/>
      <c r="HB268" s="452"/>
      <c r="HC268"/>
      <c r="HD268"/>
      <c r="HE268"/>
      <c r="HF268"/>
      <c r="HG268"/>
      <c r="HH268"/>
    </row>
    <row r="269" spans="1:216" s="5" customFormat="1" ht="12.75" customHeight="1" x14ac:dyDescent="0.2">
      <c r="B269" s="174" t="s">
        <v>578</v>
      </c>
      <c r="C269" s="66"/>
      <c r="D269" s="67"/>
      <c r="E269" s="66"/>
      <c r="F269" s="66"/>
      <c r="G269" s="64"/>
      <c r="H269" s="66"/>
      <c r="I269" s="64"/>
      <c r="J269" s="66"/>
      <c r="K269" s="64"/>
      <c r="L269" s="61"/>
      <c r="M269" s="66"/>
      <c r="N269" s="61"/>
      <c r="O269" s="64"/>
      <c r="P269" s="61"/>
      <c r="Q269" s="64"/>
      <c r="R269" s="61"/>
      <c r="S269" s="64"/>
      <c r="T269" s="61"/>
      <c r="U269" s="64"/>
      <c r="V269" s="61"/>
      <c r="W269" s="64"/>
      <c r="X269" s="61"/>
      <c r="Y269" s="64"/>
      <c r="Z269" s="61"/>
      <c r="AA269" s="64"/>
      <c r="AB269" s="61"/>
      <c r="AC269" s="64"/>
      <c r="AD269" s="61"/>
      <c r="AE269" s="64"/>
      <c r="AF269" s="61"/>
      <c r="AG269" s="64"/>
      <c r="AH269" s="61"/>
      <c r="AI269" s="64"/>
      <c r="AJ269" s="61"/>
      <c r="AK269" s="64"/>
      <c r="AL269" s="61"/>
      <c r="AM269" s="64"/>
      <c r="AN269" s="61"/>
      <c r="AO269" s="64"/>
      <c r="AP269" s="61"/>
      <c r="AQ269" s="64"/>
      <c r="AR269" s="61"/>
      <c r="AS269" s="64"/>
      <c r="AT269" s="61"/>
      <c r="AU269" s="64"/>
      <c r="AV269" s="61"/>
      <c r="AW269" s="64"/>
      <c r="AX269" s="61"/>
      <c r="AY269" s="64"/>
      <c r="AZ269" s="61"/>
      <c r="BA269" s="64"/>
      <c r="BB269" s="61"/>
      <c r="BC269" s="64"/>
      <c r="BD269" s="61"/>
      <c r="BE269" s="64"/>
      <c r="BF269" s="61"/>
      <c r="BG269" s="64"/>
      <c r="BH269" s="61"/>
      <c r="BI269" s="64"/>
      <c r="BJ269" s="61"/>
      <c r="BK269" s="64"/>
      <c r="BL269" s="61"/>
      <c r="BM269" s="64"/>
      <c r="BN269" s="61"/>
      <c r="BO269" s="64"/>
      <c r="BP269" s="61"/>
      <c r="BQ269" s="64"/>
      <c r="BR269" s="61"/>
      <c r="BS269" s="64"/>
      <c r="BT269" s="61"/>
      <c r="BU269" s="64"/>
      <c r="BV269" s="61"/>
      <c r="BW269" s="64"/>
      <c r="BX269" s="61"/>
      <c r="BY269" s="64"/>
      <c r="BZ269" s="61"/>
      <c r="CA269" s="64"/>
      <c r="CB269" s="61"/>
      <c r="CC269" s="64"/>
      <c r="CD269" s="61"/>
      <c r="CE269" s="64"/>
      <c r="CF269" s="61"/>
      <c r="CG269" s="64"/>
      <c r="CH269" s="61"/>
      <c r="CI269" s="64"/>
      <c r="CJ269" s="61"/>
      <c r="CK269" s="64"/>
      <c r="CL269" s="61"/>
      <c r="CM269" s="64"/>
      <c r="CN269" s="61"/>
      <c r="CO269" s="64"/>
      <c r="CP269" s="61"/>
      <c r="CQ269" s="64"/>
      <c r="CR269" s="61"/>
      <c r="CS269" s="64"/>
      <c r="CT269" s="61"/>
      <c r="CU269" s="64"/>
      <c r="CV269" s="61"/>
      <c r="CW269" s="64"/>
      <c r="CX269" s="61"/>
      <c r="CY269" s="64"/>
      <c r="CZ269" s="61"/>
      <c r="DA269" s="64"/>
      <c r="DB269" s="61"/>
      <c r="DC269" s="64"/>
      <c r="DD269" s="61"/>
      <c r="DE269" s="64"/>
      <c r="DF269" s="61"/>
      <c r="DG269" s="64"/>
      <c r="DH269" s="61"/>
      <c r="DI269" s="64"/>
      <c r="DJ269" s="61"/>
      <c r="DK269" s="64"/>
      <c r="DL269" s="61"/>
      <c r="DM269" s="64"/>
      <c r="DN269" s="61"/>
      <c r="DO269" s="64"/>
      <c r="DP269" s="61"/>
      <c r="DQ269" s="64"/>
      <c r="DR269" s="61"/>
      <c r="DS269" s="64"/>
      <c r="DT269" s="61"/>
      <c r="DU269" s="64"/>
      <c r="DV269" s="61"/>
      <c r="DW269" s="64"/>
      <c r="DX269" s="64"/>
      <c r="DY269" s="64"/>
      <c r="DZ269" s="61"/>
      <c r="EA269" s="64"/>
      <c r="EB269" s="61"/>
      <c r="EC269" s="64"/>
      <c r="ED269" s="61"/>
      <c r="EE269" s="64"/>
      <c r="EF269" s="61"/>
      <c r="EG269" s="64"/>
      <c r="EH269" s="61"/>
      <c r="EI269" s="64"/>
      <c r="EJ269" s="61"/>
      <c r="EK269" s="64"/>
      <c r="EL269" s="61"/>
      <c r="EM269" s="64"/>
      <c r="EN269" s="61"/>
      <c r="EO269" s="64"/>
      <c r="EP269" s="61"/>
      <c r="EQ269" s="64"/>
      <c r="ER269" s="61"/>
      <c r="ES269" s="64"/>
      <c r="ET269" s="61"/>
      <c r="EU269" s="64"/>
      <c r="EV269" s="61"/>
      <c r="EW269" s="64"/>
      <c r="EX269" s="61"/>
      <c r="EY269" s="64"/>
      <c r="EZ269" s="558"/>
      <c r="FA269" s="64"/>
      <c r="FB269" s="66"/>
      <c r="FC269" s="66"/>
      <c r="FD269" s="66"/>
      <c r="FE269" s="67"/>
      <c r="FF269" s="66"/>
      <c r="FG269" s="67"/>
      <c r="FH269" s="66"/>
      <c r="FI269" s="67"/>
      <c r="FJ269" s="66"/>
      <c r="FK269" s="67"/>
      <c r="FL269" s="65"/>
      <c r="FM269" s="61"/>
      <c r="FN269" s="65"/>
      <c r="FO269" s="61"/>
      <c r="FP269" s="65"/>
      <c r="FQ269" s="61"/>
      <c r="FR269" s="65"/>
      <c r="FS269" s="61"/>
      <c r="FT269" s="65"/>
      <c r="FU269" s="61"/>
      <c r="FV269" s="65"/>
      <c r="FW269" s="61"/>
      <c r="FX269" s="65"/>
      <c r="FY269" s="61"/>
      <c r="FZ269" s="65"/>
      <c r="GA269" s="61"/>
      <c r="GB269" s="65"/>
      <c r="GC269" s="61"/>
      <c r="GD269" s="65"/>
      <c r="GE269" s="61"/>
      <c r="GF269" s="65"/>
      <c r="GG269" s="61"/>
      <c r="GH269" s="65"/>
      <c r="GI269" s="61"/>
      <c r="GJ269" s="65"/>
      <c r="GK269" s="61"/>
      <c r="GL269" s="65"/>
      <c r="GM269" s="61"/>
      <c r="GN269" s="65"/>
      <c r="GO269" s="61"/>
      <c r="GP269" s="65"/>
      <c r="GQ269" s="61"/>
      <c r="GR269" s="64"/>
      <c r="GS269" s="61"/>
      <c r="GT269" s="64"/>
      <c r="GU269" s="61"/>
      <c r="GV269" s="64"/>
      <c r="GW269" s="61"/>
      <c r="GX269" s="64"/>
      <c r="GY269" s="61"/>
      <c r="GZ269" s="61" t="str">
        <f t="shared" ref="GZ269:GZ303" si="1909">IF(ISERROR((GX269/GN269)^0.2),"",IF(OR((GX269/GN269)^0.2&lt;0.5,(GX269/GN269)^0.2&gt;2),"NM",((GX269/GN269)^0.2-1)*100))</f>
        <v/>
      </c>
      <c r="HA269" s="61"/>
      <c r="HB269" s="452"/>
      <c r="HC269"/>
      <c r="HD269"/>
      <c r="HE269"/>
      <c r="HF269"/>
      <c r="HG269"/>
      <c r="HH269"/>
    </row>
    <row r="270" spans="1:216" s="5" customFormat="1" ht="12.75" customHeight="1" x14ac:dyDescent="0.2">
      <c r="A270" s="5" t="s">
        <v>446</v>
      </c>
      <c r="B270" s="175" t="s">
        <v>351</v>
      </c>
      <c r="C270" s="69"/>
      <c r="D270" s="126"/>
      <c r="E270" s="69"/>
      <c r="F270" s="91"/>
      <c r="G270" s="69"/>
      <c r="H270" s="91"/>
      <c r="I270" s="69"/>
      <c r="J270" s="126"/>
      <c r="K270" s="69"/>
      <c r="L270" s="126"/>
      <c r="M270" s="69"/>
      <c r="N270" s="126"/>
      <c r="O270" s="69"/>
      <c r="P270" s="126"/>
      <c r="Q270" s="69"/>
      <c r="R270" s="126"/>
      <c r="S270" s="69"/>
      <c r="T270" s="126"/>
      <c r="U270" s="69"/>
      <c r="V270" s="126"/>
      <c r="W270" s="69"/>
      <c r="X270" s="126"/>
      <c r="Y270" s="69"/>
      <c r="Z270" s="126"/>
      <c r="AA270" s="69"/>
      <c r="AB270" s="126"/>
      <c r="AC270" s="69"/>
      <c r="AD270" s="126"/>
      <c r="AE270" s="69"/>
      <c r="AF270" s="126"/>
      <c r="AG270" s="69"/>
      <c r="AH270" s="126"/>
      <c r="AI270" s="69"/>
      <c r="AJ270" s="126"/>
      <c r="AK270" s="69"/>
      <c r="AL270" s="126"/>
      <c r="AM270" s="69"/>
      <c r="AN270" s="126"/>
      <c r="AO270" s="69"/>
      <c r="AP270" s="126"/>
      <c r="AQ270" s="69">
        <f>AQ240-AQ260</f>
        <v>86.300000000000011</v>
      </c>
      <c r="AR270" s="61" t="str">
        <f t="shared" ref="AR270:AR276" si="1910">IF(ISERROR((AQ270/AI270-1)*100),"NA",IF(((AQ270/AI270-1)*100)&gt;100,"NM",IF(((AQ270/AI270-1)*100)&lt;-50,"NM",(AQ270/AI270-1)*100)))</f>
        <v>NA</v>
      </c>
      <c r="AS270" s="69">
        <f>AS240-AS260</f>
        <v>92.900000000000034</v>
      </c>
      <c r="AT270" s="126" t="str">
        <f t="shared" ref="AT270:AT276" si="1911">IF(ISERROR((AS270/AK270-1)*100),"NA",IF(((AS270/AK270-1)*100)&gt;100,"NM",IF(((AS270/AK270-1)*100)&lt;-50,"NM",(AS270/AK270-1)*100)))</f>
        <v>NA</v>
      </c>
      <c r="AU270" s="69">
        <f>AU240-AU260</f>
        <v>96.599999999999966</v>
      </c>
      <c r="AV270" s="61" t="str">
        <f t="shared" ref="AV270:AX276" si="1912">IF(ISERROR((AU270/AM270-1)*100),"NA",IF(((AU270/AM270-1)*100)&gt;100,"NM",IF(((AU270/AM270-1)*100)&lt;-50,"NM",(AU270/AM270-1)*100)))</f>
        <v>NA</v>
      </c>
      <c r="AW270" s="69">
        <f>AW240-AW260</f>
        <v>110.39999999999998</v>
      </c>
      <c r="AX270" s="61" t="str">
        <f t="shared" si="1912"/>
        <v>NA</v>
      </c>
      <c r="AY270" s="69">
        <f>AY240-AY260</f>
        <v>105.19999999999999</v>
      </c>
      <c r="AZ270" s="61">
        <f t="shared" ref="AZ270:AZ276" si="1913">IF(ISERROR((AY270/AQ270-1)*100),"NA",IF(((AY270/AQ270-1)*100)&gt;100,"NM",IF(((AY270/AQ270-1)*100)&lt;-50,"NM",(AY270/AQ270-1)*100)))</f>
        <v>21.90034762456543</v>
      </c>
      <c r="BA270" s="69">
        <f>BA240-BA260</f>
        <v>221</v>
      </c>
      <c r="BB270" s="61" t="str">
        <f t="shared" ref="BB270:BB276" si="1914">IF(ISERROR((BA270/AS270-1)*100),"NA",IF(((BA270/AS270-1)*100)&gt;100,"NM",IF(((BA270/AS270-1)*100)&lt;-50,"NM",(BA270/AS270-1)*100)))</f>
        <v>NM</v>
      </c>
      <c r="BC270" s="69">
        <f>BC240-BC260</f>
        <v>179.59999999999991</v>
      </c>
      <c r="BD270" s="61">
        <f t="shared" ref="BD270:BD276" si="1915">IF(ISERROR((BC270/AU270-1)*100),"NA",IF(((BC270/AU270-1)*100)&gt;100,"NM",IF(((BC270/AU270-1)*100)&lt;-50,"NM",(BC270/AU270-1)*100)))</f>
        <v>85.921325051759794</v>
      </c>
      <c r="BE270" s="69">
        <f>BE240-BE260</f>
        <v>239</v>
      </c>
      <c r="BF270" s="61" t="str">
        <f t="shared" ref="BF270:BF276" si="1916">IF(ISERROR((BE270/AW270-1)*100),"NA",IF(((BE270/AW270-1)*100)&gt;100,"NM",IF(((BE270/AW270-1)*100)&lt;-50,"NM",(BE270/AW270-1)*100)))</f>
        <v>NM</v>
      </c>
      <c r="BG270" s="69">
        <f>BG240-BG260</f>
        <v>252.50000000000011</v>
      </c>
      <c r="BH270" s="61" t="str">
        <f t="shared" ref="BH270:CT276" si="1917">IF(ISERROR((BG270/AY270-1)*100),"NA",IF(((BG270/AY270-1)*100)&gt;100,"NM",IF(((BG270/AY270-1)*100)&lt;-50,"NM",(BG270/AY270-1)*100)))</f>
        <v>NM</v>
      </c>
      <c r="BI270" s="69">
        <f>BI240-BI260</f>
        <v>269.5</v>
      </c>
      <c r="BJ270" s="61">
        <f t="shared" si="1917"/>
        <v>21.945701357466074</v>
      </c>
      <c r="BK270" s="69">
        <f>BK240-BK260</f>
        <v>269.60000000000002</v>
      </c>
      <c r="BL270" s="61">
        <f t="shared" si="1917"/>
        <v>50.111358574610335</v>
      </c>
      <c r="BM270" s="69">
        <f>BM240-BM260</f>
        <v>258.39999999999986</v>
      </c>
      <c r="BN270" s="61">
        <f t="shared" si="1917"/>
        <v>8.1171548117154213</v>
      </c>
      <c r="BO270" s="69">
        <f>BO240-BO260</f>
        <v>238.50000000000011</v>
      </c>
      <c r="BP270" s="61">
        <f t="shared" si="1917"/>
        <v>-5.5445544554455388</v>
      </c>
      <c r="BQ270" s="69">
        <f>BQ240-BQ260</f>
        <v>247.20000000000005</v>
      </c>
      <c r="BR270" s="61">
        <f t="shared" si="1917"/>
        <v>-8.2745825602968281</v>
      </c>
      <c r="BS270" s="69">
        <f>BS240-BS260</f>
        <v>201.90000000000009</v>
      </c>
      <c r="BT270" s="61">
        <f t="shared" si="1917"/>
        <v>-25.111275964391666</v>
      </c>
      <c r="BU270" s="69">
        <f>BU240-BU260</f>
        <v>120.5</v>
      </c>
      <c r="BV270" s="61" t="str">
        <f t="shared" si="1917"/>
        <v>NM</v>
      </c>
      <c r="BW270" s="69">
        <f>BW240-BW260</f>
        <v>193.70000000000005</v>
      </c>
      <c r="BX270" s="61">
        <f t="shared" si="1917"/>
        <v>-18.784067085953893</v>
      </c>
      <c r="BY270" s="69">
        <f>BY240-BY260</f>
        <v>196.70000000000005</v>
      </c>
      <c r="BZ270" s="61">
        <f t="shared" si="1917"/>
        <v>-20.428802588996763</v>
      </c>
      <c r="CA270" s="69">
        <f>CA240-CA260</f>
        <v>191.59999999999991</v>
      </c>
      <c r="CB270" s="61">
        <f t="shared" si="1917"/>
        <v>-5.1015354135711677</v>
      </c>
      <c r="CC270" s="69">
        <f>CC240-CC260</f>
        <v>232.10000000000014</v>
      </c>
      <c r="CD270" s="61">
        <f t="shared" si="1917"/>
        <v>92.614107883817539</v>
      </c>
      <c r="CE270" s="69">
        <f>CE240-CE260</f>
        <v>202.20000000000005</v>
      </c>
      <c r="CF270" s="61">
        <f t="shared" si="1917"/>
        <v>4.3882292204439954</v>
      </c>
      <c r="CG270" s="69">
        <f>CG240-CG260</f>
        <v>221.70000000000005</v>
      </c>
      <c r="CH270" s="61">
        <f t="shared" si="1917"/>
        <v>12.709710218607007</v>
      </c>
      <c r="CI270" s="69">
        <f>CI240-CI260</f>
        <v>79.799999999999955</v>
      </c>
      <c r="CJ270" s="61" t="str">
        <f t="shared" si="1917"/>
        <v>NM</v>
      </c>
      <c r="CK270" s="69">
        <f>CK240-CK260</f>
        <v>245.99999999999989</v>
      </c>
      <c r="CL270" s="61">
        <f t="shared" si="1917"/>
        <v>5.9887979319257933</v>
      </c>
      <c r="CM270" s="451">
        <f>CM240-CM260</f>
        <v>210</v>
      </c>
      <c r="CN270" s="61">
        <f t="shared" si="1917"/>
        <v>3.8575667655786017</v>
      </c>
      <c r="CO270" s="451">
        <f>CO240-CO260</f>
        <v>201.5</v>
      </c>
      <c r="CP270" s="61">
        <f t="shared" si="1917"/>
        <v>-9.1114118177717867</v>
      </c>
      <c r="CQ270" s="451">
        <f>CQ240-CQ260</f>
        <v>219.19999999999993</v>
      </c>
      <c r="CR270" s="61" t="str">
        <f t="shared" si="1917"/>
        <v>NM</v>
      </c>
      <c r="CS270" s="451">
        <f>CS240-CS260</f>
        <v>204</v>
      </c>
      <c r="CT270" s="61">
        <f t="shared" si="1917"/>
        <v>-17.073170731707275</v>
      </c>
      <c r="CU270" s="451">
        <f>CU240-CU260</f>
        <v>207</v>
      </c>
      <c r="CV270" s="61">
        <f t="shared" ref="CV270:CV276" si="1918">IF(ISERROR((CU270/CM270-1)*100),"NA",IF(((CU270/CM270-1)*100)&gt;100,"NM",IF(((CU270/CM270-1)*100)&lt;-50,"NM",(CU270/CM270-1)*100)))</f>
        <v>-1.4285714285714235</v>
      </c>
      <c r="CW270" s="451">
        <f>CW240-CW260</f>
        <v>201</v>
      </c>
      <c r="CX270" s="61">
        <f t="shared" ref="CX270:CX276" si="1919">IF(ISERROR((CW270/CO270-1)*100),"NA",IF(((CW270/CO270-1)*100)&gt;100,"NM",IF(((CW270/CO270-1)*100)&lt;-50,"NM",(CW270/CO270-1)*100)))</f>
        <v>-0.24813895781637951</v>
      </c>
      <c r="CY270" s="451">
        <f>CY240-CY260</f>
        <v>216</v>
      </c>
      <c r="CZ270" s="61">
        <f t="shared" ref="CZ270:CZ276" si="1920">IF(ISERROR((CY270/CQ270-1)*100),"NA",IF(((CY270/CQ270-1)*100)&gt;100,"NM",IF(((CY270/CQ270-1)*100)&lt;-50,"NM",(CY270/CQ270-1)*100)))</f>
        <v>-1.4598540145985051</v>
      </c>
      <c r="DA270" s="451">
        <f>DA240-DA260</f>
        <v>213</v>
      </c>
      <c r="DB270" s="61">
        <f t="shared" ref="DB270:DB276" si="1921">IF(ISERROR((DA270/CS270-1)*100),"NA",IF(((DA270/CS270-1)*100)&gt;100,"NM",IF(((DA270/CS270-1)*100)&lt;-50,"NM",(DA270/CS270-1)*100)))</f>
        <v>4.4117647058823595</v>
      </c>
      <c r="DC270" s="451">
        <f>DC240-DC260</f>
        <v>167</v>
      </c>
      <c r="DD270" s="61">
        <f t="shared" ref="DD270:DD276" si="1922">IF(ISERROR((DC270/CU270-1)*100),"NA",IF(((DC270/CU270-1)*100)&gt;100,"NM",IF(((DC270/CU270-1)*100)&lt;-50,"NM",(DC270/CU270-1)*100)))</f>
        <v>-19.323671497584538</v>
      </c>
      <c r="DE270" s="451">
        <f>DE240-DE260</f>
        <v>201</v>
      </c>
      <c r="DF270" s="61">
        <f t="shared" ref="DF270:DF276" si="1923">IF(ISERROR((DE270/CW270-1)*100),"NA",IF(((DE270/CW270-1)*100)&gt;100,"NM",IF(((DE270/CW270-1)*100)&lt;-50,"NM",(DE270/CW270-1)*100)))</f>
        <v>0</v>
      </c>
      <c r="DG270" s="451">
        <f>DG240-DG260</f>
        <v>210</v>
      </c>
      <c r="DH270" s="61">
        <f t="shared" ref="DH270:DH276" si="1924">IF(ISERROR((DG270/CY270-1)*100),"NA",IF(((DG270/CY270-1)*100)&gt;100,"NM",IF(((DG270/CY270-1)*100)&lt;-50,"NM",(DG270/CY270-1)*100)))</f>
        <v>-2.777777777777779</v>
      </c>
      <c r="DI270" s="451">
        <f>DI240-DI260</f>
        <v>234</v>
      </c>
      <c r="DJ270" s="61">
        <f t="shared" ref="DJ270:DJ276" si="1925">IF(ISERROR((DI270/DA270-1)*100),"NA",IF(((DI270/DA270-1)*100)&gt;100,"NM",IF(((DI270/DA270-1)*100)&lt;-50,"NM",(DI270/DA270-1)*100)))</f>
        <v>9.8591549295774747</v>
      </c>
      <c r="DK270" s="451">
        <f>DK240-DK260</f>
        <v>178</v>
      </c>
      <c r="DL270" s="61">
        <f t="shared" ref="DL270:DL276" si="1926">IF(ISERROR((DK270/DC270-1)*100),"NA",IF(((DK270/DC270-1)*100)&gt;100,"NM",IF(((DK270/DC270-1)*100)&lt;-50,"NM",(DK270/DC270-1)*100)))</f>
        <v>6.5868263473053856</v>
      </c>
      <c r="DM270" s="451">
        <f>DM240-DM260</f>
        <v>223</v>
      </c>
      <c r="DN270" s="130">
        <f t="shared" ref="DN270:DZ276" si="1927">IF(ISERROR((DM270/DE270-1)*100),"NA",IF(((DM270/DE270-1)*100)&gt;100,"NM",IF(((DM270/DE270-1)*100)&lt;-50,"NM",(DM270/DE270-1)*100)))</f>
        <v>10.945273631840791</v>
      </c>
      <c r="DO270" s="451">
        <f>DO240-DO260</f>
        <v>226</v>
      </c>
      <c r="DP270" s="130">
        <f t="shared" si="1927"/>
        <v>7.6190476190476142</v>
      </c>
      <c r="DQ270" s="451">
        <f>DQ240-DQ260</f>
        <v>280</v>
      </c>
      <c r="DR270" s="130">
        <f t="shared" si="1927"/>
        <v>19.658119658119656</v>
      </c>
      <c r="DS270" s="451">
        <f>DS240-DS260</f>
        <v>156</v>
      </c>
      <c r="DT270" s="130">
        <f t="shared" si="1927"/>
        <v>-12.35955056179775</v>
      </c>
      <c r="DU270" s="451">
        <f>DU240-DU260</f>
        <v>152</v>
      </c>
      <c r="DV270" s="130">
        <f t="shared" si="1927"/>
        <v>-31.838565022421527</v>
      </c>
      <c r="DW270" s="451">
        <f>DW240-DW260</f>
        <v>46</v>
      </c>
      <c r="DX270" s="451">
        <f t="shared" ref="DX270:DY270" si="1928">DX240-DX260</f>
        <v>46</v>
      </c>
      <c r="DY270" s="451">
        <f t="shared" si="1928"/>
        <v>175</v>
      </c>
      <c r="DZ270" s="130">
        <f t="shared" si="1927"/>
        <v>-37.5</v>
      </c>
      <c r="EA270" s="451">
        <f t="shared" ref="EA270:EC270" si="1929">EA240-EA260</f>
        <v>103</v>
      </c>
      <c r="EB270" s="130">
        <f t="shared" ref="EB270:EB276" si="1930">IF(ISERROR((EA270/DS270-1)*100),"NA",IF(((EA270/DS270-1)*100)&gt;100,"NM",IF(((EA270/DS270-1)*100)&lt;-50,"NM",(EA270/DS270-1)*100)))</f>
        <v>-33.974358974358978</v>
      </c>
      <c r="EC270" s="451">
        <f t="shared" si="1929"/>
        <v>175</v>
      </c>
      <c r="ED270" s="130">
        <f t="shared" ref="ED270:ED276" si="1931">IF(ISERROR((EC270/DU270-1)*100),"NA",IF(((EC270/DU270-1)*100)&gt;100,"NM",IF(((EC270/DU270-1)*100)&lt;-50,"NM",(EC270/DU270-1)*100)))</f>
        <v>15.131578947368428</v>
      </c>
      <c r="EE270" s="451">
        <f t="shared" ref="EE270:EG270" si="1932">EE240-EE260</f>
        <v>246</v>
      </c>
      <c r="EF270" s="130" t="str">
        <f t="shared" ref="EF270:EF276" si="1933">IF(ISERROR((EE270/DW270-1)*100),"NA",IF(((EE270/DW270-1)*100)&gt;100,"NM",IF(((EE270/DW270-1)*100)&lt;-50,"NM",(EE270/DW270-1)*100)))</f>
        <v>NM</v>
      </c>
      <c r="EG270" s="451">
        <f t="shared" si="1932"/>
        <v>228</v>
      </c>
      <c r="EH270" s="130">
        <f t="shared" ref="EH270:EH276" si="1934">IF(ISERROR((EG270/DY270-1)*100),"NA",IF(((EG270/DY270-1)*100)&gt;100,"NM",IF(((EG270/DY270-1)*100)&lt;-50,"NM",(EG270/DY270-1)*100)))</f>
        <v>30.285714285714292</v>
      </c>
      <c r="EI270" s="451">
        <f t="shared" ref="EI270:EK270" si="1935">EI240-EI260</f>
        <v>187</v>
      </c>
      <c r="EJ270" s="130">
        <f t="shared" ref="EJ270:EJ276" si="1936">IF(ISERROR((EI270/EA270-1)*100),"NA",IF(((EI270/EA270-1)*100)&gt;100,"NM",IF(((EI270/EA270-1)*100)&lt;-50,"NM",(EI270/EA270-1)*100)))</f>
        <v>81.553398058252441</v>
      </c>
      <c r="EK270" s="451">
        <f t="shared" si="1935"/>
        <v>194</v>
      </c>
      <c r="EL270" s="130">
        <f t="shared" ref="EL270:EL276" si="1937">IF(ISERROR((EK270/EC270-1)*100),"NA",IF(((EK270/EC270-1)*100)&gt;100,"NM",IF(((EK270/EC270-1)*100)&lt;-50,"NM",(EK270/EC270-1)*100)))</f>
        <v>10.857142857142854</v>
      </c>
      <c r="EM270" s="451">
        <f t="shared" ref="EM270" si="1938">EM240-EM260</f>
        <v>175</v>
      </c>
      <c r="EN270" s="130">
        <f t="shared" ref="EN270:EN276" si="1939">IF(ISERROR((EM270/EE270-1)*100),"NA",IF(((EM270/EE270-1)*100)&gt;100,"NM",IF(((EM270/EE270-1)*100)&lt;-50,"NM",(EM270/EE270-1)*100)))</f>
        <v>-28.861788617886177</v>
      </c>
      <c r="EO270" s="451">
        <f>EO240-EO260</f>
        <v>223</v>
      </c>
      <c r="EP270" s="130">
        <f t="shared" ref="EP270:EP276" si="1940">IF(ISERROR((EO270/EG270-1)*100),"NA",IF(((EO270/EG270-1)*100)&gt;100,"NM",IF(((EO270/EG270-1)*100)&lt;-50,"NM",(EO270/EG270-1)*100)))</f>
        <v>-2.1929824561403466</v>
      </c>
      <c r="EQ270" s="69">
        <f>EQ240-EQ260</f>
        <v>179.57095514803746</v>
      </c>
      <c r="ER270" s="130">
        <f t="shared" ref="ER270:ER276" si="1941">IF(ISERROR((EQ270/EI270-1)*100),"NA",IF(((EQ270/EI270-1)*100)&gt;100,"NM",IF(((EQ270/EI270-1)*100)&lt;-50,"NM",(EQ270/EI270-1)*100)))</f>
        <v>-3.9727512577339863</v>
      </c>
      <c r="ES270" s="69">
        <f t="shared" ref="ES270:EW270" si="1942">ES240-ES260</f>
        <v>200.01551996690796</v>
      </c>
      <c r="ET270" s="130">
        <f t="shared" ref="ET270:ET276" si="1943">IF(ISERROR((ES270/EK270-1)*100),"NA",IF(((ES270/EK270-1)*100)&gt;100,"NM",IF(((ES270/EK270-1)*100)&lt;-50,"NM",(ES270/EK270-1)*100)))</f>
        <v>3.100783488096881</v>
      </c>
      <c r="EU270" s="69">
        <f t="shared" si="1942"/>
        <v>199.90495128604789</v>
      </c>
      <c r="EV270" s="130">
        <f t="shared" ref="EV270:EV276" si="1944">IF(ISERROR((EU270/EM270-1)*100),"NA",IF(((EU270/EM270-1)*100)&gt;100,"NM",IF(((EU270/EM270-1)*100)&lt;-50,"NM",(EU270/EM270-1)*100)))</f>
        <v>14.231400734884513</v>
      </c>
      <c r="EW270" s="69">
        <f t="shared" si="1942"/>
        <v>209.89046835143449</v>
      </c>
      <c r="EX270" s="130">
        <f t="shared" ref="EX270:EX276" si="1945">IF(ISERROR((EW270/EO270-1)*100),"NA",IF(((EW270/EO270-1)*100)&gt;100,"NM",IF(((EW270/EO270-1)*100)&lt;-50,"NM",(EW270/EO270-1)*100)))</f>
        <v>-5.8787137437513515</v>
      </c>
      <c r="EY270" s="64"/>
      <c r="EZ270" s="558"/>
      <c r="FA270" s="64"/>
      <c r="FB270" s="69"/>
      <c r="FC270" s="124"/>
      <c r="FD270" s="69"/>
      <c r="FE270" s="70"/>
      <c r="FF270" s="69"/>
      <c r="FG270" s="70"/>
      <c r="FH270" s="69"/>
      <c r="FI270" s="70"/>
      <c r="FJ270" s="69"/>
      <c r="FK270" s="70"/>
      <c r="FL270" s="73"/>
      <c r="FM270" s="61"/>
      <c r="FN270" s="73">
        <f>FN240-FN260</f>
        <v>381</v>
      </c>
      <c r="FO270" s="61"/>
      <c r="FP270" s="73">
        <f>FP240-FP260</f>
        <v>386.19999999999982</v>
      </c>
      <c r="FQ270" s="61">
        <f t="shared" ref="FQ270:FQ276" si="1946">IF(ISERROR((FP270/FN270-1)*100),"NA",IF(((FP270/FN270-1)*100)&gt;100,"NM",IF(((FP270/FN270-1)*100)&lt;-50,"NM",(FP270/FN270-1)*100)))</f>
        <v>1.3648293963254066</v>
      </c>
      <c r="FR270" s="73">
        <f>FR240-FR260</f>
        <v>744.79999999999973</v>
      </c>
      <c r="FS270" s="61">
        <f t="shared" si="1874"/>
        <v>92.853443811496646</v>
      </c>
      <c r="FT270" s="73">
        <f>FT240-FT260</f>
        <v>1050</v>
      </c>
      <c r="FU270" s="61">
        <f t="shared" si="1875"/>
        <v>40.9774436090226</v>
      </c>
      <c r="FV270" s="73">
        <f>FV240-FV260</f>
        <v>808.09999999999991</v>
      </c>
      <c r="FW270" s="61">
        <f t="shared" si="1876"/>
        <v>-23.038095238095245</v>
      </c>
      <c r="FX270" s="73">
        <f>FX240-FX260</f>
        <v>814.09999999999991</v>
      </c>
      <c r="FY270" s="61">
        <f t="shared" ref="FY270:FY276" si="1947">IF(ISERROR((FX270/FV270-1)*100),"NA",IF(((FX270/FV270-1)*100)&gt;100,"NM",IF(((FX270/FV270-1)*100)&lt;-50,"NM",(FX270/FV270-1)*100)))</f>
        <v>0.74248236604381734</v>
      </c>
      <c r="FZ270" s="73">
        <f>FZ240-FZ260</f>
        <v>749.69999999999891</v>
      </c>
      <c r="GA270" s="61">
        <f t="shared" ref="GA270:GA276" si="1948">IF(ISERROR((FZ270/FX270-1)*100),"NA",IF(((FZ270/FX270-1)*100)&gt;100,"NM",IF(((FZ270/FX270-1)*100)&lt;-50,"NM",(FZ270/FX270-1)*100)))</f>
        <v>-7.9105760963027905</v>
      </c>
      <c r="GB270" s="73">
        <f>GB240-GB260</f>
        <v>834.69999999999982</v>
      </c>
      <c r="GC270" s="61">
        <f t="shared" ref="GC270:GW276" si="1949">IF(ISERROR((GB270/FZ270-1)*100),"NA",IF(((GB270/FZ270-1)*100)&gt;100,"NM",IF(((GB270/FZ270-1)*100)&lt;-50,"NM",(GB270/FZ270-1)*100)))</f>
        <v>11.337868480725755</v>
      </c>
      <c r="GD270" s="73">
        <f>GD240-GD260</f>
        <v>837</v>
      </c>
      <c r="GE270" s="61">
        <f t="shared" si="1949"/>
        <v>0.27554810111418693</v>
      </c>
      <c r="GF270" s="73">
        <f>GF240-GF260</f>
        <v>812</v>
      </c>
      <c r="GG270" s="61">
        <f t="shared" si="1949"/>
        <v>-2.9868578255675016</v>
      </c>
      <c r="GH270" s="73">
        <f>GH240-GH260</f>
        <v>907</v>
      </c>
      <c r="GI270" s="61">
        <f t="shared" si="1949"/>
        <v>11.699507389162566</v>
      </c>
      <c r="GJ270" s="73">
        <f>GJ240-GJ260</f>
        <v>529</v>
      </c>
      <c r="GK270" s="61">
        <f t="shared" si="1949"/>
        <v>-41.67585446527012</v>
      </c>
      <c r="GL270" s="73">
        <f>GL240-GL260</f>
        <v>752</v>
      </c>
      <c r="GM270" s="61">
        <f t="shared" si="1949"/>
        <v>42.155009451795841</v>
      </c>
      <c r="GN270" s="73">
        <f>GN240-GN260</f>
        <v>779</v>
      </c>
      <c r="GO270" s="61">
        <f t="shared" si="1949"/>
        <v>3.590425531914887</v>
      </c>
      <c r="GP270" s="73">
        <f>GP240-GP260</f>
        <v>789.38189475242689</v>
      </c>
      <c r="GQ270" s="61">
        <f t="shared" si="1949"/>
        <v>1.3327207641112837</v>
      </c>
      <c r="GR270" s="69">
        <f>GR240-GR260</f>
        <v>798.64408249213284</v>
      </c>
      <c r="GS270" s="61">
        <f t="shared" si="1949"/>
        <v>1.1733468681354609</v>
      </c>
      <c r="GT270" s="69">
        <f>GT240-GT260</f>
        <v>819.37998574689209</v>
      </c>
      <c r="GU270" s="61">
        <f t="shared" si="1949"/>
        <v>2.5963885176552903</v>
      </c>
      <c r="GV270" s="69">
        <f>GV240-GV260</f>
        <v>846.29441379536001</v>
      </c>
      <c r="GW270" s="61">
        <f t="shared" si="1949"/>
        <v>3.2847309571437222</v>
      </c>
      <c r="GX270" s="69">
        <f>GX240-GX260</f>
        <v>874.03237430628997</v>
      </c>
      <c r="GY270" s="61">
        <f t="shared" ref="GY270:GY276" si="1950">IF(ISERROR((GX270/GV270-1)*100),"NA",IF(((GX270/GV270-1)*100)&gt;100,"NM",IF(((GX270/GV270-1)*100)&lt;-50,"NM",(GX270/GV270-1)*100)))</f>
        <v>3.2775781168794538</v>
      </c>
      <c r="GZ270" s="61">
        <f t="shared" si="1909"/>
        <v>2.3288308881943776</v>
      </c>
      <c r="HA270" s="61"/>
      <c r="HB270" s="452"/>
      <c r="HC270"/>
      <c r="HD270"/>
      <c r="HE270"/>
      <c r="HF270"/>
      <c r="HG270"/>
      <c r="HH270"/>
    </row>
    <row r="271" spans="1:216" s="5" customFormat="1" ht="12.75" customHeight="1" x14ac:dyDescent="0.2">
      <c r="B271" s="2" t="s">
        <v>115</v>
      </c>
      <c r="C271" s="72"/>
      <c r="D271" s="70"/>
      <c r="E271" s="72"/>
      <c r="F271" s="61"/>
      <c r="G271" s="74"/>
      <c r="H271" s="61"/>
      <c r="I271" s="74"/>
      <c r="J271" s="61"/>
      <c r="K271" s="74"/>
      <c r="L271" s="61"/>
      <c r="M271" s="72"/>
      <c r="N271" s="61"/>
      <c r="O271" s="74"/>
      <c r="P271" s="61"/>
      <c r="Q271" s="74"/>
      <c r="R271" s="61"/>
      <c r="S271" s="74"/>
      <c r="T271" s="61"/>
      <c r="U271" s="74"/>
      <c r="V271" s="61"/>
      <c r="W271" s="74"/>
      <c r="X271" s="61"/>
      <c r="Y271" s="74"/>
      <c r="Z271" s="61"/>
      <c r="AA271" s="74"/>
      <c r="AB271" s="61"/>
      <c r="AC271" s="74"/>
      <c r="AD271" s="61"/>
      <c r="AE271" s="74"/>
      <c r="AF271" s="61"/>
      <c r="AG271" s="74"/>
      <c r="AH271" s="61"/>
      <c r="AI271" s="74"/>
      <c r="AJ271" s="61"/>
      <c r="AK271" s="90"/>
      <c r="AL271" s="61"/>
      <c r="AM271" s="74"/>
      <c r="AN271" s="61"/>
      <c r="AO271" s="74"/>
      <c r="AP271" s="61"/>
      <c r="AQ271" s="74">
        <v>28.1</v>
      </c>
      <c r="AR271" s="61" t="str">
        <f t="shared" si="1910"/>
        <v>NA</v>
      </c>
      <c r="AS271" s="74">
        <v>30.3</v>
      </c>
      <c r="AT271" s="61" t="str">
        <f t="shared" si="1911"/>
        <v>NA</v>
      </c>
      <c r="AU271" s="74">
        <v>31.8</v>
      </c>
      <c r="AV271" s="61" t="str">
        <f t="shared" si="1912"/>
        <v>NA</v>
      </c>
      <c r="AW271" s="74">
        <v>36.5</v>
      </c>
      <c r="AX271" s="61" t="str">
        <f t="shared" si="1912"/>
        <v>NA</v>
      </c>
      <c r="AY271" s="74">
        <f>36.3-0.1</f>
        <v>36.199999999999996</v>
      </c>
      <c r="AZ271" s="61">
        <f t="shared" si="1913"/>
        <v>28.825622775800696</v>
      </c>
      <c r="BA271" s="74">
        <v>73.900000000000006</v>
      </c>
      <c r="BB271" s="61" t="str">
        <f t="shared" si="1914"/>
        <v>NM</v>
      </c>
      <c r="BC271" s="74">
        <v>56.8</v>
      </c>
      <c r="BD271" s="61">
        <f t="shared" si="1915"/>
        <v>78.61635220125784</v>
      </c>
      <c r="BE271" s="74">
        <v>81.7</v>
      </c>
      <c r="BF271" s="61" t="str">
        <f t="shared" si="1916"/>
        <v>NM</v>
      </c>
      <c r="BG271" s="74">
        <v>85.9</v>
      </c>
      <c r="BH271" s="61" t="str">
        <f t="shared" si="1917"/>
        <v>NM</v>
      </c>
      <c r="BI271" s="74">
        <v>93</v>
      </c>
      <c r="BJ271" s="61">
        <f t="shared" si="1917"/>
        <v>25.845737483085252</v>
      </c>
      <c r="BK271" s="74">
        <v>87.8</v>
      </c>
      <c r="BL271" s="61">
        <f t="shared" si="1917"/>
        <v>54.577464788732399</v>
      </c>
      <c r="BM271" s="74">
        <v>87.8</v>
      </c>
      <c r="BN271" s="61">
        <f t="shared" si="1917"/>
        <v>7.466340269277838</v>
      </c>
      <c r="BO271" s="74">
        <v>81.099999999999994</v>
      </c>
      <c r="BP271" s="61">
        <f t="shared" si="1917"/>
        <v>-5.5878928987194492</v>
      </c>
      <c r="BQ271" s="74">
        <v>83.7</v>
      </c>
      <c r="BR271" s="61">
        <f t="shared" si="1917"/>
        <v>-9.9999999999999982</v>
      </c>
      <c r="BS271" s="74">
        <v>64.5</v>
      </c>
      <c r="BT271" s="61">
        <f t="shared" si="1917"/>
        <v>-26.537585421412302</v>
      </c>
      <c r="BU271" s="74">
        <v>38</v>
      </c>
      <c r="BV271" s="61" t="str">
        <f t="shared" si="1917"/>
        <v>NM</v>
      </c>
      <c r="BW271" s="74">
        <v>51.5</v>
      </c>
      <c r="BX271" s="61">
        <f t="shared" si="1917"/>
        <v>-36.498150431565968</v>
      </c>
      <c r="BY271" s="74">
        <v>63.8</v>
      </c>
      <c r="BZ271" s="61">
        <f t="shared" si="1917"/>
        <v>-23.775388291517331</v>
      </c>
      <c r="CA271" s="74">
        <v>55.1</v>
      </c>
      <c r="CB271" s="61">
        <f t="shared" si="1917"/>
        <v>-14.573643410852711</v>
      </c>
      <c r="CC271" s="74">
        <v>74.5</v>
      </c>
      <c r="CD271" s="61">
        <f t="shared" si="1917"/>
        <v>96.05263157894737</v>
      </c>
      <c r="CE271" s="74">
        <v>65.3</v>
      </c>
      <c r="CF271" s="61">
        <f t="shared" si="1917"/>
        <v>26.796116504854361</v>
      </c>
      <c r="CG271" s="74">
        <v>70</v>
      </c>
      <c r="CH271" s="61">
        <f t="shared" si="1917"/>
        <v>9.717868338557988</v>
      </c>
      <c r="CI271" s="74">
        <v>19.899999999999999</v>
      </c>
      <c r="CJ271" s="61" t="str">
        <f t="shared" si="1917"/>
        <v>NM</v>
      </c>
      <c r="CK271" s="74">
        <v>80.5</v>
      </c>
      <c r="CL271" s="61">
        <f t="shared" si="1917"/>
        <v>8.0536912751677967</v>
      </c>
      <c r="CM271" s="74">
        <v>68</v>
      </c>
      <c r="CN271" s="61">
        <f t="shared" si="1917"/>
        <v>4.1347626339969468</v>
      </c>
      <c r="CO271" s="74">
        <v>65.099999999999994</v>
      </c>
      <c r="CP271" s="61">
        <f t="shared" si="1917"/>
        <v>-7.0000000000000062</v>
      </c>
      <c r="CQ271" s="74">
        <v>65.400000000000006</v>
      </c>
      <c r="CR271" s="61" t="str">
        <f t="shared" si="1917"/>
        <v>NM</v>
      </c>
      <c r="CS271" s="74">
        <v>69</v>
      </c>
      <c r="CT271" s="61">
        <f t="shared" si="1917"/>
        <v>-14.28571428571429</v>
      </c>
      <c r="CU271" s="74">
        <v>68</v>
      </c>
      <c r="CV271" s="61">
        <f t="shared" si="1918"/>
        <v>0</v>
      </c>
      <c r="CW271" s="74">
        <v>66</v>
      </c>
      <c r="CX271" s="61">
        <f t="shared" si="1919"/>
        <v>1.3824884792626779</v>
      </c>
      <c r="CY271" s="74">
        <v>64</v>
      </c>
      <c r="CZ271" s="61">
        <f t="shared" si="1920"/>
        <v>-2.1406727828746308</v>
      </c>
      <c r="DA271" s="74">
        <v>66</v>
      </c>
      <c r="DB271" s="61">
        <f t="shared" si="1921"/>
        <v>-4.3478260869565188</v>
      </c>
      <c r="DC271" s="74">
        <v>55</v>
      </c>
      <c r="DD271" s="61">
        <f t="shared" si="1922"/>
        <v>-19.117647058823529</v>
      </c>
      <c r="DE271" s="74">
        <v>66</v>
      </c>
      <c r="DF271" s="61">
        <f t="shared" si="1923"/>
        <v>0</v>
      </c>
      <c r="DG271" s="74">
        <v>70</v>
      </c>
      <c r="DH271" s="61">
        <f t="shared" si="1924"/>
        <v>9.375</v>
      </c>
      <c r="DI271" s="74">
        <v>77</v>
      </c>
      <c r="DJ271" s="61">
        <f t="shared" si="1925"/>
        <v>16.666666666666675</v>
      </c>
      <c r="DK271" s="74">
        <v>58</v>
      </c>
      <c r="DL271" s="61">
        <f t="shared" si="1926"/>
        <v>5.4545454545454453</v>
      </c>
      <c r="DM271" s="74">
        <v>75</v>
      </c>
      <c r="DN271" s="130">
        <f t="shared" si="1927"/>
        <v>13.636363636363647</v>
      </c>
      <c r="DO271" s="74">
        <v>76</v>
      </c>
      <c r="DP271" s="130">
        <f t="shared" si="1927"/>
        <v>8.5714285714285623</v>
      </c>
      <c r="DQ271" s="74">
        <v>87</v>
      </c>
      <c r="DR271" s="130">
        <f t="shared" si="1927"/>
        <v>12.987012987012992</v>
      </c>
      <c r="DS271" s="74">
        <v>45</v>
      </c>
      <c r="DT271" s="130">
        <f t="shared" si="1927"/>
        <v>-22.413793103448278</v>
      </c>
      <c r="DU271" s="811">
        <v>47</v>
      </c>
      <c r="DV271" s="805">
        <f t="shared" si="1927"/>
        <v>-37.333333333333329</v>
      </c>
      <c r="DW271" s="811">
        <v>10</v>
      </c>
      <c r="DX271" s="811">
        <v>10</v>
      </c>
      <c r="DY271" s="811">
        <v>56</v>
      </c>
      <c r="DZ271" s="805">
        <f t="shared" si="1927"/>
        <v>-35.632183908045981</v>
      </c>
      <c r="EA271" s="811">
        <v>28</v>
      </c>
      <c r="EB271" s="805">
        <f t="shared" si="1930"/>
        <v>-37.777777777777779</v>
      </c>
      <c r="EC271" s="811">
        <v>55</v>
      </c>
      <c r="ED271" s="130">
        <f t="shared" si="1931"/>
        <v>17.021276595744684</v>
      </c>
      <c r="EE271" s="811">
        <v>79</v>
      </c>
      <c r="EF271" s="130" t="str">
        <f t="shared" si="1933"/>
        <v>NM</v>
      </c>
      <c r="EG271" s="811">
        <v>74</v>
      </c>
      <c r="EH271" s="130">
        <f t="shared" si="1934"/>
        <v>32.142857142857139</v>
      </c>
      <c r="EI271" s="811">
        <v>57</v>
      </c>
      <c r="EJ271" s="130" t="str">
        <f t="shared" si="1936"/>
        <v>NM</v>
      </c>
      <c r="EK271" s="811">
        <v>61</v>
      </c>
      <c r="EL271" s="130">
        <f t="shared" si="1937"/>
        <v>10.909090909090914</v>
      </c>
      <c r="EM271" s="811">
        <v>54</v>
      </c>
      <c r="EN271" s="130">
        <f t="shared" si="1939"/>
        <v>-31.645569620253166</v>
      </c>
      <c r="EO271" s="811">
        <v>71</v>
      </c>
      <c r="EP271" s="130">
        <f t="shared" si="1940"/>
        <v>-4.0540540540540571</v>
      </c>
      <c r="EQ271" s="75">
        <f t="shared" ref="EQ271:EW271" si="1951">EQ270*(EQ272/100)</f>
        <v>35.914191029607494</v>
      </c>
      <c r="ER271" s="130">
        <f t="shared" si="1941"/>
        <v>-36.992647316478077</v>
      </c>
      <c r="ES271" s="75">
        <f t="shared" si="1951"/>
        <v>40.003103993381593</v>
      </c>
      <c r="ET271" s="130">
        <f t="shared" si="1943"/>
        <v>-34.421140994456401</v>
      </c>
      <c r="EU271" s="75">
        <f t="shared" si="1951"/>
        <v>39.980990257209584</v>
      </c>
      <c r="EV271" s="130">
        <f t="shared" si="1944"/>
        <v>-25.961129153315589</v>
      </c>
      <c r="EW271" s="75">
        <f t="shared" si="1951"/>
        <v>41.978093670286903</v>
      </c>
      <c r="EX271" s="130">
        <f t="shared" si="1945"/>
        <v>-40.875924408046615</v>
      </c>
      <c r="EY271" s="64"/>
      <c r="EZ271" s="558"/>
      <c r="FA271" s="64"/>
      <c r="FB271" s="72"/>
      <c r="FC271" s="124"/>
      <c r="FD271" s="72"/>
      <c r="FE271" s="70"/>
      <c r="FF271" s="72"/>
      <c r="FG271" s="70"/>
      <c r="FH271" s="69"/>
      <c r="FI271" s="70"/>
      <c r="FJ271" s="69"/>
      <c r="FK271" s="70"/>
      <c r="FL271" s="778"/>
      <c r="FM271" s="61"/>
      <c r="FN271" s="778">
        <v>124</v>
      </c>
      <c r="FO271" s="61"/>
      <c r="FP271" s="75">
        <f>AQ271+AS271+AU271+AW271</f>
        <v>126.7</v>
      </c>
      <c r="FQ271" s="61">
        <f t="shared" si="1946"/>
        <v>2.1774193548387055</v>
      </c>
      <c r="FR271" s="75">
        <f>AY271+BA271+BC271+BE271</f>
        <v>248.59999999999997</v>
      </c>
      <c r="FS271" s="61">
        <f t="shared" si="1874"/>
        <v>96.211523283346452</v>
      </c>
      <c r="FT271" s="75">
        <f>BG271+BI271+BK271+BM271</f>
        <v>354.5</v>
      </c>
      <c r="FU271" s="61">
        <f t="shared" si="1875"/>
        <v>42.598551890587302</v>
      </c>
      <c r="FV271" s="75">
        <f>BO271+BQ271+BS271+BU271</f>
        <v>267.3</v>
      </c>
      <c r="FW271" s="61">
        <f t="shared" si="1876"/>
        <v>-24.598025387870237</v>
      </c>
      <c r="FX271" s="75">
        <f>BW271+BY271+CA271+CC271</f>
        <v>244.9</v>
      </c>
      <c r="FY271" s="61">
        <f t="shared" si="1947"/>
        <v>-8.3800972689861641</v>
      </c>
      <c r="FZ271" s="75">
        <f>CE271+CG271+CI271+CK271</f>
        <v>235.70000000000002</v>
      </c>
      <c r="GA271" s="61">
        <f t="shared" si="1948"/>
        <v>-3.7566353613719849</v>
      </c>
      <c r="GB271" s="75">
        <f>CM271+CO271+CQ271+CS271</f>
        <v>267.5</v>
      </c>
      <c r="GC271" s="61">
        <f t="shared" si="1949"/>
        <v>13.491726771319467</v>
      </c>
      <c r="GD271" s="75">
        <f>CU271+CW271+CY271+DA271</f>
        <v>264</v>
      </c>
      <c r="GE271" s="61">
        <f t="shared" si="1949"/>
        <v>-1.3084112149532756</v>
      </c>
      <c r="GF271" s="75">
        <f>DC271+DE271+DG271+DI271</f>
        <v>268</v>
      </c>
      <c r="GG271" s="61">
        <f t="shared" si="1949"/>
        <v>1.5151515151515138</v>
      </c>
      <c r="GH271" s="75">
        <f>DK271+DM271+DO271+DQ271</f>
        <v>296</v>
      </c>
      <c r="GI271" s="61">
        <f t="shared" si="1949"/>
        <v>10.447761194029859</v>
      </c>
      <c r="GJ271" s="75">
        <f>DS271+DU271+DW271+DY271</f>
        <v>158</v>
      </c>
      <c r="GK271" s="61">
        <f t="shared" si="1949"/>
        <v>-46.621621621621621</v>
      </c>
      <c r="GL271" s="75">
        <f>EA271+EC271+EE271+EG271</f>
        <v>236</v>
      </c>
      <c r="GM271" s="61">
        <f t="shared" si="1949"/>
        <v>49.367088607594937</v>
      </c>
      <c r="GN271" s="75">
        <f>EI271+EK271+EM271+EO271</f>
        <v>243</v>
      </c>
      <c r="GO271" s="61">
        <f t="shared" si="1949"/>
        <v>2.9661016949152463</v>
      </c>
      <c r="GP271" s="75">
        <f>EQ271+ES271+EU271+EW271</f>
        <v>157.87637895048559</v>
      </c>
      <c r="GQ271" s="61">
        <f t="shared" si="1949"/>
        <v>-35.030296728195232</v>
      </c>
      <c r="GR271" s="75">
        <f>GR270*(GR272/100)</f>
        <v>159.72881649842677</v>
      </c>
      <c r="GS271" s="61">
        <f t="shared" si="1949"/>
        <v>1.1733468681354609</v>
      </c>
      <c r="GT271" s="75">
        <f>GT270*(GT272/100)</f>
        <v>163.87599714937863</v>
      </c>
      <c r="GU271" s="61">
        <f t="shared" si="1949"/>
        <v>2.5963885176553125</v>
      </c>
      <c r="GV271" s="75">
        <f>GV270*(GV272/100)</f>
        <v>169.25888275907224</v>
      </c>
      <c r="GW271" s="61">
        <f t="shared" si="1949"/>
        <v>3.2847309571437222</v>
      </c>
      <c r="GX271" s="75">
        <f>GX270*(GX272/100)</f>
        <v>174.80647486125821</v>
      </c>
      <c r="GY271" s="61">
        <f t="shared" si="1950"/>
        <v>3.2775781168794316</v>
      </c>
      <c r="GZ271" s="61">
        <f t="shared" si="1909"/>
        <v>-6.375341141001023</v>
      </c>
      <c r="HA271" s="61"/>
      <c r="HB271" s="452"/>
      <c r="HC271"/>
      <c r="HD271"/>
      <c r="HE271"/>
      <c r="HF271"/>
      <c r="HG271"/>
      <c r="HH271"/>
    </row>
    <row r="272" spans="1:216" s="5" customFormat="1" ht="12.75" customHeight="1" x14ac:dyDescent="0.2">
      <c r="B272" s="94" t="s">
        <v>331</v>
      </c>
      <c r="C272" s="81"/>
      <c r="D272" s="70"/>
      <c r="E272" s="81"/>
      <c r="F272" s="71"/>
      <c r="G272" s="86"/>
      <c r="H272" s="71"/>
      <c r="I272" s="86"/>
      <c r="J272" s="61"/>
      <c r="K272" s="86"/>
      <c r="L272" s="61"/>
      <c r="M272" s="81"/>
      <c r="N272" s="61"/>
      <c r="O272" s="86"/>
      <c r="P272" s="61"/>
      <c r="Q272" s="86"/>
      <c r="R272" s="61"/>
      <c r="S272" s="86"/>
      <c r="T272" s="61"/>
      <c r="U272" s="86"/>
      <c r="V272" s="61"/>
      <c r="W272" s="86"/>
      <c r="X272" s="61"/>
      <c r="Y272" s="86"/>
      <c r="Z272" s="61"/>
      <c r="AA272" s="86"/>
      <c r="AB272" s="61"/>
      <c r="AC272" s="86"/>
      <c r="AD272" s="61"/>
      <c r="AE272" s="86"/>
      <c r="AF272" s="61"/>
      <c r="AG272" s="86"/>
      <c r="AH272" s="61"/>
      <c r="AI272" s="86"/>
      <c r="AJ272" s="61"/>
      <c r="AK272" s="86"/>
      <c r="AL272" s="61"/>
      <c r="AM272" s="86"/>
      <c r="AN272" s="61"/>
      <c r="AO272" s="86"/>
      <c r="AP272" s="61"/>
      <c r="AQ272" s="86">
        <f>AQ271/AQ270*100</f>
        <v>32.560834298957126</v>
      </c>
      <c r="AR272" s="61" t="str">
        <f t="shared" si="1910"/>
        <v>NA</v>
      </c>
      <c r="AS272" s="86">
        <f>AS271/AS270*100</f>
        <v>32.615715823466083</v>
      </c>
      <c r="AT272" s="61" t="str">
        <f t="shared" si="1911"/>
        <v>NA</v>
      </c>
      <c r="AU272" s="86">
        <f>AU271/AU270*100</f>
        <v>32.919254658385107</v>
      </c>
      <c r="AV272" s="61" t="str">
        <f t="shared" si="1912"/>
        <v>NA</v>
      </c>
      <c r="AW272" s="86">
        <f>AW271/AW270*100</f>
        <v>33.061594202898561</v>
      </c>
      <c r="AX272" s="61" t="str">
        <f t="shared" si="1912"/>
        <v>NA</v>
      </c>
      <c r="AY272" s="86">
        <f>AY271/AY270*100</f>
        <v>34.410646387832699</v>
      </c>
      <c r="AZ272" s="61">
        <f t="shared" si="1913"/>
        <v>5.6810954900342381</v>
      </c>
      <c r="BA272" s="86">
        <f>BA271/BA270*100</f>
        <v>33.438914027149323</v>
      </c>
      <c r="BB272" s="61">
        <f t="shared" si="1914"/>
        <v>2.5239311261443298</v>
      </c>
      <c r="BC272" s="86">
        <f>BC271/BC270*100</f>
        <v>31.625835189309591</v>
      </c>
      <c r="BD272" s="61">
        <f t="shared" si="1915"/>
        <v>-3.9290666890784531</v>
      </c>
      <c r="BE272" s="86">
        <f>BE271/BE270*100</f>
        <v>34.18410041841004</v>
      </c>
      <c r="BF272" s="61">
        <f t="shared" si="1916"/>
        <v>3.3951968819853962</v>
      </c>
      <c r="BG272" s="86">
        <f>BG271/BG270*100</f>
        <v>34.019801980198004</v>
      </c>
      <c r="BH272" s="61">
        <f t="shared" si="1917"/>
        <v>-1.1358240796455754</v>
      </c>
      <c r="BI272" s="86">
        <f>BI271/BI270*100</f>
        <v>34.508348794063082</v>
      </c>
      <c r="BJ272" s="61">
        <f t="shared" si="1917"/>
        <v>3.1981743367786253</v>
      </c>
      <c r="BK272" s="86">
        <f>BK271/BK270*100</f>
        <v>32.566765578635007</v>
      </c>
      <c r="BL272" s="61">
        <f t="shared" si="1917"/>
        <v>2.9751953859655789</v>
      </c>
      <c r="BM272" s="86">
        <f>BM271/BM270*100</f>
        <v>33.978328173374628</v>
      </c>
      <c r="BN272" s="61">
        <f t="shared" si="1917"/>
        <v>-0.60195307911216078</v>
      </c>
      <c r="BO272" s="86">
        <f>BO271/BO270*100</f>
        <v>34.004192872117386</v>
      </c>
      <c r="BP272" s="61">
        <f t="shared" si="1917"/>
        <v>-4.5882418979692474E-2</v>
      </c>
      <c r="BQ272" s="86">
        <f>BQ271/BQ270*100</f>
        <v>33.859223300970868</v>
      </c>
      <c r="BR272" s="61">
        <f t="shared" si="1917"/>
        <v>-1.8810679611650727</v>
      </c>
      <c r="BS272" s="86">
        <f>BS271/BS270*100</f>
        <v>31.946508172362542</v>
      </c>
      <c r="BT272" s="61">
        <f t="shared" si="1917"/>
        <v>-1.9045717167546328</v>
      </c>
      <c r="BU272" s="86">
        <f>BU271/BU270*100</f>
        <v>31.535269709543567</v>
      </c>
      <c r="BV272" s="61">
        <f t="shared" si="1917"/>
        <v>-7.1900490552841205</v>
      </c>
      <c r="BW272" s="86">
        <f>BW271/BW270*100</f>
        <v>26.587506453278259</v>
      </c>
      <c r="BX272" s="61">
        <f t="shared" si="1917"/>
        <v>-21.811093845784622</v>
      </c>
      <c r="BY272" s="86">
        <f>BY271/BY270*100</f>
        <v>32.435180477885098</v>
      </c>
      <c r="BZ272" s="61">
        <f t="shared" si="1917"/>
        <v>-4.2057752194361147</v>
      </c>
      <c r="CA272" s="86">
        <f>CA271/CA270*100</f>
        <v>28.757828810020889</v>
      </c>
      <c r="CB272" s="61">
        <f t="shared" si="1917"/>
        <v>-9.9813079574694541</v>
      </c>
      <c r="CC272" s="86">
        <f>CC271/CC270*100</f>
        <v>32.098233520034448</v>
      </c>
      <c r="CD272" s="61">
        <f t="shared" si="1917"/>
        <v>1.7851878727408232</v>
      </c>
      <c r="CE272" s="86">
        <f>CE271/CE270*100</f>
        <v>32.294757665677537</v>
      </c>
      <c r="CF272" s="61">
        <f t="shared" si="1917"/>
        <v>21.465913783334756</v>
      </c>
      <c r="CG272" s="86">
        <f>CG271/CG270*100</f>
        <v>31.574199368516005</v>
      </c>
      <c r="CH272" s="61">
        <f t="shared" si="1917"/>
        <v>-2.6544668371927926</v>
      </c>
      <c r="CI272" s="86">
        <f>CI271/CI270*100</f>
        <v>24.937343358396003</v>
      </c>
      <c r="CJ272" s="61">
        <f t="shared" si="1917"/>
        <v>-13.285027450659314</v>
      </c>
      <c r="CK272" s="86">
        <f>CK271/CK270*100</f>
        <v>32.723577235772375</v>
      </c>
      <c r="CL272" s="61">
        <f t="shared" si="1917"/>
        <v>1.9482184754734622</v>
      </c>
      <c r="CM272" s="86">
        <f>CM271/CM270*100</f>
        <v>32.38095238095238</v>
      </c>
      <c r="CN272" s="61">
        <f t="shared" si="1917"/>
        <v>0.26690002187708117</v>
      </c>
      <c r="CO272" s="86">
        <f>CO271/CO270*100</f>
        <v>32.307692307692307</v>
      </c>
      <c r="CP272" s="61">
        <f t="shared" si="1917"/>
        <v>2.3230769230769388</v>
      </c>
      <c r="CQ272" s="86">
        <f>CQ271/CQ270*100</f>
        <v>29.835766423357672</v>
      </c>
      <c r="CR272" s="61">
        <f t="shared" si="1917"/>
        <v>19.642922642409101</v>
      </c>
      <c r="CS272" s="86">
        <f>CS271/CS270*100</f>
        <v>33.82352941176471</v>
      </c>
      <c r="CT272" s="61">
        <f t="shared" si="1917"/>
        <v>3.3613445378150919</v>
      </c>
      <c r="CU272" s="86">
        <f>CU271/CU270*100</f>
        <v>32.850241545893724</v>
      </c>
      <c r="CV272" s="61">
        <f t="shared" si="1918"/>
        <v>1.449275362318847</v>
      </c>
      <c r="CW272" s="86">
        <f>CW271/CW270*100</f>
        <v>32.835820895522389</v>
      </c>
      <c r="CX272" s="61">
        <f t="shared" si="1919"/>
        <v>1.6346837242359635</v>
      </c>
      <c r="CY272" s="86">
        <f>CY271/CY270*100</f>
        <v>29.629629629629626</v>
      </c>
      <c r="CZ272" s="61">
        <f t="shared" si="1920"/>
        <v>-0.69090497225057224</v>
      </c>
      <c r="DA272" s="86">
        <f>DA271/DA270*100</f>
        <v>30.985915492957744</v>
      </c>
      <c r="DB272" s="61">
        <f t="shared" si="1921"/>
        <v>-8.3894672382118998</v>
      </c>
      <c r="DC272" s="86">
        <f>DC271/DC270*100</f>
        <v>32.934131736526943</v>
      </c>
      <c r="DD272" s="61">
        <f t="shared" si="1922"/>
        <v>0.25537160972171069</v>
      </c>
      <c r="DE272" s="86">
        <f>DE271/DE270*100</f>
        <v>32.835820895522389</v>
      </c>
      <c r="DF272" s="61">
        <f t="shared" si="1923"/>
        <v>0</v>
      </c>
      <c r="DG272" s="86">
        <f>DG271/DG270*100</f>
        <v>33.333333333333329</v>
      </c>
      <c r="DH272" s="61">
        <f t="shared" si="1924"/>
        <v>12.5</v>
      </c>
      <c r="DI272" s="86">
        <f>DI271/DI270*100</f>
        <v>32.905982905982903</v>
      </c>
      <c r="DJ272" s="61">
        <f t="shared" si="1925"/>
        <v>6.1965811965811968</v>
      </c>
      <c r="DK272" s="86">
        <f>DK271/DK270*100</f>
        <v>32.584269662921351</v>
      </c>
      <c r="DL272" s="61">
        <f t="shared" si="1926"/>
        <v>-1.0623084780387981</v>
      </c>
      <c r="DM272" s="86">
        <f>DM271/DM270*100</f>
        <v>33.632286995515699</v>
      </c>
      <c r="DN272" s="130">
        <f t="shared" si="1927"/>
        <v>2.4256013045250713</v>
      </c>
      <c r="DO272" s="86">
        <f>DO271/DO270*100</f>
        <v>33.628318584070797</v>
      </c>
      <c r="DP272" s="130">
        <f t="shared" si="1927"/>
        <v>0.88495575221241296</v>
      </c>
      <c r="DQ272" s="86">
        <f>DQ271/DQ270*100</f>
        <v>31.071428571428573</v>
      </c>
      <c r="DR272" s="130">
        <f t="shared" si="1927"/>
        <v>-5.5751391465677091</v>
      </c>
      <c r="DS272" s="86">
        <f>DS271/DS270*100</f>
        <v>28.846153846153843</v>
      </c>
      <c r="DT272" s="130">
        <f t="shared" si="1927"/>
        <v>-11.47214854111407</v>
      </c>
      <c r="DU272" s="812">
        <f>DU271/DU270*100</f>
        <v>30.921052631578949</v>
      </c>
      <c r="DV272" s="805">
        <f t="shared" si="1927"/>
        <v>-8.0614035087719351</v>
      </c>
      <c r="DW272" s="812">
        <f>DW271/DW270*100</f>
        <v>21.739130434782609</v>
      </c>
      <c r="DX272" s="812">
        <f t="shared" ref="DX272:DY272" si="1952">DX271/DX270*100</f>
        <v>21.739130434782609</v>
      </c>
      <c r="DY272" s="812">
        <f t="shared" si="1952"/>
        <v>32</v>
      </c>
      <c r="DZ272" s="805">
        <f t="shared" si="1927"/>
        <v>2.9885057471264354</v>
      </c>
      <c r="EA272" s="812">
        <f t="shared" ref="EA272:EC272" si="1953">EA271/EA270*100</f>
        <v>27.184466019417474</v>
      </c>
      <c r="EB272" s="805">
        <f t="shared" si="1930"/>
        <v>-5.7605177993527494</v>
      </c>
      <c r="EC272" s="812">
        <f t="shared" si="1953"/>
        <v>31.428571428571427</v>
      </c>
      <c r="ED272" s="130">
        <f t="shared" si="1931"/>
        <v>1.6413373860182379</v>
      </c>
      <c r="EE272" s="812">
        <f t="shared" ref="EE272:EG272" si="1954">EE271/EE270*100</f>
        <v>32.113821138211385</v>
      </c>
      <c r="EF272" s="130">
        <f t="shared" si="1933"/>
        <v>47.72357723577236</v>
      </c>
      <c r="EG272" s="812">
        <f t="shared" si="1954"/>
        <v>32.456140350877192</v>
      </c>
      <c r="EH272" s="130">
        <f t="shared" si="1934"/>
        <v>1.4254385964912242</v>
      </c>
      <c r="EI272" s="812">
        <f t="shared" ref="EI272:EK272" si="1955">EI271/EI270*100</f>
        <v>30.481283422459892</v>
      </c>
      <c r="EJ272" s="130">
        <f t="shared" si="1936"/>
        <v>12.127578304048892</v>
      </c>
      <c r="EK272" s="812">
        <f t="shared" si="1955"/>
        <v>31.443298969072163</v>
      </c>
      <c r="EL272" s="130">
        <f t="shared" si="1937"/>
        <v>4.6860356138700432E-2</v>
      </c>
      <c r="EM272" s="812">
        <f t="shared" ref="EM272" si="1956">EM271/EM270*100</f>
        <v>30.857142857142854</v>
      </c>
      <c r="EN272" s="130">
        <f t="shared" si="1939"/>
        <v>-3.9132007233273258</v>
      </c>
      <c r="EO272" s="812">
        <f t="shared" ref="EO272" si="1957">EO271/EO270*100</f>
        <v>31.838565022421523</v>
      </c>
      <c r="EP272" s="130">
        <f t="shared" si="1940"/>
        <v>-1.902799660647192</v>
      </c>
      <c r="EQ272" s="85">
        <v>20</v>
      </c>
      <c r="ER272" s="130">
        <f t="shared" si="1941"/>
        <v>-34.385964912280699</v>
      </c>
      <c r="ES272" s="85">
        <f t="shared" ref="ES272" si="1958">EQ272</f>
        <v>20</v>
      </c>
      <c r="ET272" s="130">
        <f t="shared" si="1943"/>
        <v>-36.393442622950815</v>
      </c>
      <c r="EU272" s="85">
        <f t="shared" ref="EU272" si="1959">ES272</f>
        <v>20</v>
      </c>
      <c r="EV272" s="130">
        <f t="shared" si="1944"/>
        <v>-35.185185185185176</v>
      </c>
      <c r="EW272" s="85">
        <f t="shared" ref="EW272" si="1960">EU272</f>
        <v>20</v>
      </c>
      <c r="EX272" s="130">
        <f t="shared" si="1945"/>
        <v>-37.183098591549289</v>
      </c>
      <c r="EY272" s="64"/>
      <c r="EZ272" s="558"/>
      <c r="FA272" s="64"/>
      <c r="FB272" s="81"/>
      <c r="FC272" s="124"/>
      <c r="FD272" s="81"/>
      <c r="FE272" s="70"/>
      <c r="FF272" s="81"/>
      <c r="FG272" s="70"/>
      <c r="FH272" s="81"/>
      <c r="FI272" s="70"/>
      <c r="FJ272" s="81"/>
      <c r="FK272" s="70"/>
      <c r="FL272" s="176"/>
      <c r="FM272" s="61"/>
      <c r="FN272" s="176">
        <f>FN271/FN270*100</f>
        <v>32.54593175853018</v>
      </c>
      <c r="FO272" s="61"/>
      <c r="FP272" s="176">
        <f>FP271/FP270*100</f>
        <v>32.806835836354239</v>
      </c>
      <c r="FQ272" s="61">
        <f t="shared" si="1946"/>
        <v>0.80164881976585445</v>
      </c>
      <c r="FR272" s="176">
        <f>FR271/FR270*100</f>
        <v>33.378088077336201</v>
      </c>
      <c r="FS272" s="61">
        <f t="shared" si="1874"/>
        <v>1.7412597905859029</v>
      </c>
      <c r="FT272" s="176">
        <f>FT271/FT270*100</f>
        <v>33.761904761904759</v>
      </c>
      <c r="FU272" s="61">
        <f t="shared" si="1875"/>
        <v>1.149906141056567</v>
      </c>
      <c r="FV272" s="176">
        <f>FV271/FV270*100</f>
        <v>33.077589407251587</v>
      </c>
      <c r="FW272" s="61">
        <f t="shared" si="1876"/>
        <v>-2.0268860998189919</v>
      </c>
      <c r="FX272" s="176">
        <f>FX271/FX270*100</f>
        <v>30.082299471809364</v>
      </c>
      <c r="FY272" s="61">
        <f t="shared" si="1947"/>
        <v>-9.0553452930447484</v>
      </c>
      <c r="FZ272" s="176">
        <f>FZ271/FZ270*100</f>
        <v>31.439242363612159</v>
      </c>
      <c r="GA272" s="61">
        <f t="shared" si="1948"/>
        <v>4.5107685104804229</v>
      </c>
      <c r="GB272" s="176">
        <f>GB271/GB270*100</f>
        <v>32.047442194800539</v>
      </c>
      <c r="GC272" s="61">
        <f t="shared" si="1949"/>
        <v>1.9345244524477279</v>
      </c>
      <c r="GD272" s="176">
        <f>GD271/GD270*100</f>
        <v>31.541218637992831</v>
      </c>
      <c r="GE272" s="61">
        <f t="shared" si="1949"/>
        <v>-1.5796067396911861</v>
      </c>
      <c r="GF272" s="176">
        <f>GF271/GF270*100</f>
        <v>33.004926108374384</v>
      </c>
      <c r="GG272" s="61">
        <f t="shared" si="1949"/>
        <v>4.6406180026869803</v>
      </c>
      <c r="GH272" s="176">
        <f>GH271/GH270*100</f>
        <v>32.63506063947078</v>
      </c>
      <c r="GI272" s="61">
        <f t="shared" si="1949"/>
        <v>-1.1206371669765902</v>
      </c>
      <c r="GJ272" s="176">
        <f>GJ271/GJ270*100</f>
        <v>29.867674858223065</v>
      </c>
      <c r="GK272" s="61">
        <f t="shared" si="1949"/>
        <v>-8.479793593215124</v>
      </c>
      <c r="GL272" s="176">
        <f>GL271/GL270*100</f>
        <v>31.382978723404253</v>
      </c>
      <c r="GM272" s="61">
        <f t="shared" si="1949"/>
        <v>5.0733907891193031</v>
      </c>
      <c r="GN272" s="176">
        <f>GN271/GN270*100</f>
        <v>31.193838254172015</v>
      </c>
      <c r="GO272" s="61">
        <f t="shared" si="1949"/>
        <v>-0.60268488501120654</v>
      </c>
      <c r="GP272" s="176">
        <f>GP271/GP270*100</f>
        <v>20.000000000000025</v>
      </c>
      <c r="GQ272" s="61">
        <f t="shared" si="1949"/>
        <v>-35.88477366255136</v>
      </c>
      <c r="GR272" s="85">
        <f>GP272</f>
        <v>20.000000000000025</v>
      </c>
      <c r="GS272" s="61">
        <f t="shared" si="1949"/>
        <v>0</v>
      </c>
      <c r="GT272" s="85">
        <f>GR272</f>
        <v>20.000000000000025</v>
      </c>
      <c r="GU272" s="61">
        <f t="shared" si="1949"/>
        <v>0</v>
      </c>
      <c r="GV272" s="85">
        <f>GT272</f>
        <v>20.000000000000025</v>
      </c>
      <c r="GW272" s="61">
        <f t="shared" si="1949"/>
        <v>0</v>
      </c>
      <c r="GX272" s="85">
        <f>GV272</f>
        <v>20.000000000000025</v>
      </c>
      <c r="GY272" s="61">
        <f t="shared" si="1950"/>
        <v>0</v>
      </c>
      <c r="GZ272" s="61">
        <f t="shared" si="1909"/>
        <v>-8.5060798150871761</v>
      </c>
      <c r="HA272" s="61"/>
      <c r="HB272" s="452"/>
      <c r="HC272"/>
      <c r="HD272"/>
      <c r="HE272"/>
      <c r="HF272"/>
      <c r="HG272"/>
      <c r="HH272"/>
    </row>
    <row r="273" spans="2:216" s="5" customFormat="1" ht="12.75" customHeight="1" x14ac:dyDescent="0.2">
      <c r="B273" s="63" t="s">
        <v>301</v>
      </c>
      <c r="C273" s="102"/>
      <c r="D273" s="70"/>
      <c r="E273" s="102"/>
      <c r="F273" s="71"/>
      <c r="G273" s="102"/>
      <c r="H273" s="71"/>
      <c r="I273" s="102"/>
      <c r="J273" s="61"/>
      <c r="K273" s="102"/>
      <c r="L273" s="61"/>
      <c r="M273" s="102"/>
      <c r="N273" s="61"/>
      <c r="O273" s="102"/>
      <c r="P273" s="61"/>
      <c r="Q273" s="102"/>
      <c r="R273" s="61"/>
      <c r="S273" s="102"/>
      <c r="T273" s="61"/>
      <c r="U273" s="102"/>
      <c r="V273" s="61"/>
      <c r="W273" s="102"/>
      <c r="X273" s="61"/>
      <c r="Y273" s="102"/>
      <c r="Z273" s="61"/>
      <c r="AA273" s="125"/>
      <c r="AB273" s="61"/>
      <c r="AC273" s="125"/>
      <c r="AD273" s="61"/>
      <c r="AE273" s="125"/>
      <c r="AF273" s="61"/>
      <c r="AG273" s="125"/>
      <c r="AH273" s="61"/>
      <c r="AI273" s="125"/>
      <c r="AJ273" s="61"/>
      <c r="AK273" s="125"/>
      <c r="AL273" s="61"/>
      <c r="AM273" s="125"/>
      <c r="AN273" s="61"/>
      <c r="AO273" s="125"/>
      <c r="AP273" s="61"/>
      <c r="AQ273" s="102">
        <f>AQ270-AQ271</f>
        <v>58.20000000000001</v>
      </c>
      <c r="AR273" s="61" t="str">
        <f t="shared" si="1910"/>
        <v>NA</v>
      </c>
      <c r="AS273" s="102">
        <f>AS270-AS271</f>
        <v>62.600000000000037</v>
      </c>
      <c r="AT273" s="126" t="str">
        <f t="shared" si="1911"/>
        <v>NA</v>
      </c>
      <c r="AU273" s="102">
        <f>AU270-AU271+0.1</f>
        <v>64.899999999999963</v>
      </c>
      <c r="AV273" s="61" t="str">
        <f t="shared" si="1912"/>
        <v>NA</v>
      </c>
      <c r="AW273" s="102">
        <f>AW270-AW271-0.1</f>
        <v>73.799999999999983</v>
      </c>
      <c r="AX273" s="61" t="str">
        <f t="shared" si="1912"/>
        <v>NA</v>
      </c>
      <c r="AY273" s="102">
        <f>AY270-AY271</f>
        <v>69</v>
      </c>
      <c r="AZ273" s="61">
        <f t="shared" si="1913"/>
        <v>18.556701030927812</v>
      </c>
      <c r="BA273" s="102">
        <f>BA270-BA271</f>
        <v>147.1</v>
      </c>
      <c r="BB273" s="61" t="str">
        <f t="shared" si="1914"/>
        <v>NM</v>
      </c>
      <c r="BC273" s="102">
        <f>BC270-BC271</f>
        <v>122.79999999999991</v>
      </c>
      <c r="BD273" s="61">
        <f t="shared" si="1915"/>
        <v>89.214175654853591</v>
      </c>
      <c r="BE273" s="102">
        <f>BE270-BE271</f>
        <v>157.30000000000001</v>
      </c>
      <c r="BF273" s="61" t="str">
        <f t="shared" si="1916"/>
        <v>NM</v>
      </c>
      <c r="BG273" s="102">
        <f>BG270-BG271</f>
        <v>166.60000000000011</v>
      </c>
      <c r="BH273" s="61" t="str">
        <f t="shared" si="1917"/>
        <v>NM</v>
      </c>
      <c r="BI273" s="102">
        <f>BI270-BI271</f>
        <v>176.5</v>
      </c>
      <c r="BJ273" s="61">
        <f t="shared" si="1917"/>
        <v>19.98640380693406</v>
      </c>
      <c r="BK273" s="102">
        <f>BK270-BK271</f>
        <v>181.8</v>
      </c>
      <c r="BL273" s="61">
        <f t="shared" si="1917"/>
        <v>48.045602605863301</v>
      </c>
      <c r="BM273" s="102">
        <f>BM270-BM271</f>
        <v>170.59999999999985</v>
      </c>
      <c r="BN273" s="61">
        <f t="shared" si="1917"/>
        <v>8.4551811824538081</v>
      </c>
      <c r="BO273" s="102">
        <f>BO270-BO271</f>
        <v>157.40000000000012</v>
      </c>
      <c r="BP273" s="61">
        <f t="shared" si="1917"/>
        <v>-5.5222088835534144</v>
      </c>
      <c r="BQ273" s="102">
        <f>BQ270-BQ271</f>
        <v>163.50000000000006</v>
      </c>
      <c r="BR273" s="61">
        <f t="shared" si="1917"/>
        <v>-7.3654390934843832</v>
      </c>
      <c r="BS273" s="102">
        <f>BS270-BS271</f>
        <v>137.40000000000009</v>
      </c>
      <c r="BT273" s="61">
        <f t="shared" si="1917"/>
        <v>-24.422442244224374</v>
      </c>
      <c r="BU273" s="102">
        <f>BU270-BU271</f>
        <v>82.5</v>
      </c>
      <c r="BV273" s="61" t="str">
        <f t="shared" si="1917"/>
        <v>NM</v>
      </c>
      <c r="BW273" s="102">
        <f>BW270-BW271</f>
        <v>142.20000000000005</v>
      </c>
      <c r="BX273" s="61">
        <f t="shared" si="1917"/>
        <v>-9.6569250317662387</v>
      </c>
      <c r="BY273" s="102">
        <f>BY270-BY271</f>
        <v>132.90000000000003</v>
      </c>
      <c r="BZ273" s="61">
        <f t="shared" si="1917"/>
        <v>-18.71559633027524</v>
      </c>
      <c r="CA273" s="102">
        <f>CA270-CA271</f>
        <v>136.49999999999991</v>
      </c>
      <c r="CB273" s="61">
        <f t="shared" si="1917"/>
        <v>-0.65502183406126457</v>
      </c>
      <c r="CC273" s="102">
        <f>CC270-CC271</f>
        <v>157.60000000000014</v>
      </c>
      <c r="CD273" s="61">
        <f t="shared" si="1917"/>
        <v>91.030303030303202</v>
      </c>
      <c r="CE273" s="102">
        <f>CE270-CE271</f>
        <v>136.90000000000003</v>
      </c>
      <c r="CF273" s="61">
        <f t="shared" si="1917"/>
        <v>-3.727144866385379</v>
      </c>
      <c r="CG273" s="102">
        <f>CG270-CG271</f>
        <v>151.70000000000005</v>
      </c>
      <c r="CH273" s="61">
        <f t="shared" si="1917"/>
        <v>14.14597441685479</v>
      </c>
      <c r="CI273" s="102">
        <f>CI270-CI271</f>
        <v>59.899999999999956</v>
      </c>
      <c r="CJ273" s="61" t="str">
        <f t="shared" si="1917"/>
        <v>NM</v>
      </c>
      <c r="CK273" s="102">
        <f>CK270-CK271</f>
        <v>165.49999999999989</v>
      </c>
      <c r="CL273" s="61">
        <f t="shared" si="1917"/>
        <v>5.0126903553297852</v>
      </c>
      <c r="CM273" s="102">
        <f>CM270-CM271</f>
        <v>142</v>
      </c>
      <c r="CN273" s="61">
        <f t="shared" si="1917"/>
        <v>3.725346968590193</v>
      </c>
      <c r="CO273" s="102">
        <f>CO270-CO271</f>
        <v>136.4</v>
      </c>
      <c r="CP273" s="61">
        <f t="shared" si="1917"/>
        <v>-10.085695451549137</v>
      </c>
      <c r="CQ273" s="102">
        <f>CQ270-CQ271</f>
        <v>153.79999999999993</v>
      </c>
      <c r="CR273" s="61" t="str">
        <f t="shared" si="1917"/>
        <v>NM</v>
      </c>
      <c r="CS273" s="102">
        <f>CS270-CS271</f>
        <v>135</v>
      </c>
      <c r="CT273" s="126">
        <f t="shared" si="1917"/>
        <v>-18.429003021147984</v>
      </c>
      <c r="CU273" s="102">
        <f>CU270-CU271</f>
        <v>139</v>
      </c>
      <c r="CV273" s="126">
        <f t="shared" si="1918"/>
        <v>-2.1126760563380254</v>
      </c>
      <c r="CW273" s="102">
        <f>CW270-CW271</f>
        <v>135</v>
      </c>
      <c r="CX273" s="126">
        <f t="shared" si="1919"/>
        <v>-1.0263929618768319</v>
      </c>
      <c r="CY273" s="102">
        <f>CY270-CY271</f>
        <v>152</v>
      </c>
      <c r="CZ273" s="126">
        <f t="shared" si="1920"/>
        <v>-1.1703511053315574</v>
      </c>
      <c r="DA273" s="102">
        <f>DA270-DA271</f>
        <v>147</v>
      </c>
      <c r="DB273" s="61">
        <f t="shared" si="1921"/>
        <v>8.8888888888888786</v>
      </c>
      <c r="DC273" s="102">
        <f>DC270-DC271</f>
        <v>112</v>
      </c>
      <c r="DD273" s="61">
        <f t="shared" si="1922"/>
        <v>-19.424460431654676</v>
      </c>
      <c r="DE273" s="102">
        <f>DE270-DE271</f>
        <v>135</v>
      </c>
      <c r="DF273" s="61">
        <f t="shared" si="1923"/>
        <v>0</v>
      </c>
      <c r="DG273" s="102">
        <f>DG270-DG271</f>
        <v>140</v>
      </c>
      <c r="DH273" s="61">
        <f t="shared" si="1924"/>
        <v>-7.8947368421052655</v>
      </c>
      <c r="DI273" s="102">
        <f>DI270-DI271</f>
        <v>157</v>
      </c>
      <c r="DJ273" s="61">
        <f t="shared" si="1925"/>
        <v>6.8027210884353817</v>
      </c>
      <c r="DK273" s="102">
        <f>DK270-DK271</f>
        <v>120</v>
      </c>
      <c r="DL273" s="61">
        <f t="shared" si="1926"/>
        <v>7.1428571428571397</v>
      </c>
      <c r="DM273" s="102">
        <f>DM270-DM271</f>
        <v>148</v>
      </c>
      <c r="DN273" s="61">
        <f t="shared" si="1927"/>
        <v>9.6296296296296333</v>
      </c>
      <c r="DO273" s="102">
        <f>DO270-DO271</f>
        <v>150</v>
      </c>
      <c r="DP273" s="61">
        <f t="shared" si="1927"/>
        <v>7.1428571428571397</v>
      </c>
      <c r="DQ273" s="817">
        <f>DQ270-DQ271+1</f>
        <v>194</v>
      </c>
      <c r="DR273" s="130">
        <f t="shared" si="1927"/>
        <v>23.566878980891715</v>
      </c>
      <c r="DS273" s="102">
        <f>DS270-DS271</f>
        <v>111</v>
      </c>
      <c r="DT273" s="130">
        <f t="shared" si="1927"/>
        <v>-7.4999999999999956</v>
      </c>
      <c r="DU273" s="813">
        <f>DU270-DU271</f>
        <v>105</v>
      </c>
      <c r="DV273" s="805">
        <f t="shared" si="1927"/>
        <v>-29.054054054054056</v>
      </c>
      <c r="DW273" s="813">
        <f>DW270-DW271</f>
        <v>36</v>
      </c>
      <c r="DX273" s="813">
        <f t="shared" ref="DX273:DY273" si="1961">DX270-DX271</f>
        <v>36</v>
      </c>
      <c r="DY273" s="813">
        <f t="shared" si="1961"/>
        <v>119</v>
      </c>
      <c r="DZ273" s="805">
        <f t="shared" si="1927"/>
        <v>-38.659793814432987</v>
      </c>
      <c r="EA273" s="813">
        <f t="shared" ref="EA273:EC273" si="1962">EA270-EA271</f>
        <v>75</v>
      </c>
      <c r="EB273" s="805">
        <f t="shared" si="1930"/>
        <v>-32.432432432432435</v>
      </c>
      <c r="EC273" s="813">
        <f t="shared" si="1962"/>
        <v>120</v>
      </c>
      <c r="ED273" s="130">
        <f t="shared" si="1931"/>
        <v>14.285714285714279</v>
      </c>
      <c r="EE273" s="813">
        <f t="shared" ref="EE273:EG273" si="1963">EE270-EE271</f>
        <v>167</v>
      </c>
      <c r="EF273" s="805" t="str">
        <f t="shared" si="1933"/>
        <v>NM</v>
      </c>
      <c r="EG273" s="813">
        <f t="shared" si="1963"/>
        <v>154</v>
      </c>
      <c r="EH273" s="130">
        <f t="shared" si="1934"/>
        <v>29.411764705882359</v>
      </c>
      <c r="EI273" s="813">
        <f t="shared" ref="EI273:EK273" si="1964">EI270-EI271</f>
        <v>130</v>
      </c>
      <c r="EJ273" s="130">
        <f t="shared" si="1936"/>
        <v>73.333333333333343</v>
      </c>
      <c r="EK273" s="813">
        <f t="shared" si="1964"/>
        <v>133</v>
      </c>
      <c r="EL273" s="130">
        <f t="shared" si="1937"/>
        <v>10.833333333333339</v>
      </c>
      <c r="EM273" s="813">
        <f t="shared" ref="EM273" si="1965">EM270-EM271</f>
        <v>121</v>
      </c>
      <c r="EN273" s="130">
        <f t="shared" si="1939"/>
        <v>-27.544910179640713</v>
      </c>
      <c r="EO273" s="813">
        <f t="shared" ref="EO273" si="1966">EO270-EO271</f>
        <v>152</v>
      </c>
      <c r="EP273" s="130">
        <f t="shared" si="1940"/>
        <v>-1.2987012987012991</v>
      </c>
      <c r="EQ273" s="813">
        <f t="shared" ref="EQ273:EW273" si="1967">EQ270-EQ271</f>
        <v>143.65676411842998</v>
      </c>
      <c r="ER273" s="130">
        <f t="shared" si="1941"/>
        <v>10.505203168023058</v>
      </c>
      <c r="ES273" s="813">
        <f t="shared" si="1967"/>
        <v>160.01241597352637</v>
      </c>
      <c r="ET273" s="130">
        <f t="shared" si="1943"/>
        <v>20.310087198140138</v>
      </c>
      <c r="EU273" s="813">
        <f t="shared" si="1967"/>
        <v>159.92396102883831</v>
      </c>
      <c r="EV273" s="130">
        <f t="shared" si="1944"/>
        <v>32.16856283375067</v>
      </c>
      <c r="EW273" s="813">
        <f t="shared" si="1967"/>
        <v>167.91237468114758</v>
      </c>
      <c r="EX273" s="130">
        <f t="shared" si="1945"/>
        <v>10.468667553386556</v>
      </c>
      <c r="EY273" s="64"/>
      <c r="EZ273" s="558"/>
      <c r="FA273" s="64"/>
      <c r="FB273" s="102"/>
      <c r="FC273" s="124"/>
      <c r="FD273" s="102"/>
      <c r="FE273" s="70"/>
      <c r="FF273" s="102"/>
      <c r="FG273" s="70"/>
      <c r="FH273" s="102"/>
      <c r="FI273" s="70"/>
      <c r="FJ273" s="102"/>
      <c r="FK273" s="70"/>
      <c r="FL273" s="104"/>
      <c r="FM273" s="61"/>
      <c r="FN273" s="104">
        <f>FN270-FN271</f>
        <v>257</v>
      </c>
      <c r="FO273" s="61"/>
      <c r="FP273" s="104">
        <f>FP270-FP271</f>
        <v>259.49999999999983</v>
      </c>
      <c r="FQ273" s="61">
        <f t="shared" si="1946"/>
        <v>0.97276264591432682</v>
      </c>
      <c r="FR273" s="104">
        <f>FR270-FR271</f>
        <v>496.19999999999976</v>
      </c>
      <c r="FS273" s="61">
        <f t="shared" si="1874"/>
        <v>91.213872832369972</v>
      </c>
      <c r="FT273" s="104">
        <f>FT270-FT271</f>
        <v>695.5</v>
      </c>
      <c r="FU273" s="61">
        <f t="shared" si="1875"/>
        <v>40.165255945183453</v>
      </c>
      <c r="FV273" s="104">
        <f>FV270-FV271</f>
        <v>540.79999999999995</v>
      </c>
      <c r="FW273" s="61">
        <f t="shared" si="1876"/>
        <v>-22.24299065420562</v>
      </c>
      <c r="FX273" s="104">
        <f>FX270-FX271</f>
        <v>569.19999999999993</v>
      </c>
      <c r="FY273" s="61">
        <f t="shared" si="1947"/>
        <v>5.2514792899408302</v>
      </c>
      <c r="FZ273" s="104">
        <f>FZ270-FZ271</f>
        <v>513.99999999999886</v>
      </c>
      <c r="GA273" s="61">
        <f t="shared" si="1948"/>
        <v>-9.6978215038652671</v>
      </c>
      <c r="GB273" s="104">
        <f>GB270-GB271</f>
        <v>567.19999999999982</v>
      </c>
      <c r="GC273" s="61">
        <f t="shared" si="1949"/>
        <v>10.350194552529391</v>
      </c>
      <c r="GD273" s="104">
        <f>GD270-GD271</f>
        <v>573</v>
      </c>
      <c r="GE273" s="61">
        <f t="shared" si="1949"/>
        <v>1.0225669957687256</v>
      </c>
      <c r="GF273" s="104">
        <f>GF270-GF271</f>
        <v>544</v>
      </c>
      <c r="GG273" s="61">
        <f t="shared" si="1949"/>
        <v>-5.0610820244328059</v>
      </c>
      <c r="GH273" s="817">
        <f>GH270-GH271+1</f>
        <v>612</v>
      </c>
      <c r="GI273" s="61">
        <f t="shared" si="1949"/>
        <v>12.5</v>
      </c>
      <c r="GJ273" s="104">
        <f>GJ270-GJ271</f>
        <v>371</v>
      </c>
      <c r="GK273" s="61">
        <f t="shared" si="1949"/>
        <v>-39.379084967320267</v>
      </c>
      <c r="GL273" s="104">
        <f>GL270-GL271</f>
        <v>516</v>
      </c>
      <c r="GM273" s="61">
        <f t="shared" si="1949"/>
        <v>39.083557951482483</v>
      </c>
      <c r="GN273" s="104">
        <f>GN270-GN271</f>
        <v>536</v>
      </c>
      <c r="GO273" s="61">
        <f t="shared" si="1949"/>
        <v>3.8759689922480689</v>
      </c>
      <c r="GP273" s="104">
        <f>GP270-GP271</f>
        <v>631.50551580194133</v>
      </c>
      <c r="GQ273" s="61">
        <f t="shared" si="1949"/>
        <v>17.818193246630855</v>
      </c>
      <c r="GR273" s="102">
        <f>GR270-GR271</f>
        <v>638.91526599370604</v>
      </c>
      <c r="GS273" s="61">
        <f t="shared" si="1949"/>
        <v>1.1733468681354609</v>
      </c>
      <c r="GT273" s="102">
        <f>GT270-GT271</f>
        <v>655.5039885975134</v>
      </c>
      <c r="GU273" s="61">
        <f t="shared" si="1949"/>
        <v>2.5963885176552903</v>
      </c>
      <c r="GV273" s="102">
        <f>GV270-GV271</f>
        <v>677.03553103628781</v>
      </c>
      <c r="GW273" s="61">
        <f t="shared" si="1949"/>
        <v>3.2847309571437222</v>
      </c>
      <c r="GX273" s="102">
        <f>GX270-GX271</f>
        <v>699.2258994450317</v>
      </c>
      <c r="GY273" s="61">
        <f t="shared" si="1950"/>
        <v>3.2775781168794316</v>
      </c>
      <c r="GZ273" s="61">
        <f t="shared" si="1909"/>
        <v>5.460674177429925</v>
      </c>
      <c r="HA273" s="61"/>
      <c r="HB273" s="452"/>
      <c r="HC273"/>
      <c r="HD273"/>
      <c r="HE273"/>
      <c r="HF273"/>
      <c r="HG273"/>
      <c r="HH273"/>
    </row>
    <row r="274" spans="2:216" s="5" customFormat="1" ht="12.75" customHeight="1" x14ac:dyDescent="0.2">
      <c r="B274" s="2" t="s">
        <v>4</v>
      </c>
      <c r="C274" s="102"/>
      <c r="D274" s="70"/>
      <c r="E274" s="102"/>
      <c r="F274" s="71"/>
      <c r="G274" s="102"/>
      <c r="H274" s="71"/>
      <c r="I274" s="102"/>
      <c r="J274" s="61"/>
      <c r="K274" s="102"/>
      <c r="L274" s="61"/>
      <c r="M274" s="102"/>
      <c r="N274" s="61"/>
      <c r="O274" s="102"/>
      <c r="P274" s="61"/>
      <c r="Q274" s="102"/>
      <c r="R274" s="61"/>
      <c r="S274" s="102"/>
      <c r="T274" s="61"/>
      <c r="U274" s="102"/>
      <c r="V274" s="61"/>
      <c r="W274" s="102"/>
      <c r="X274" s="61"/>
      <c r="Y274" s="102"/>
      <c r="Z274" s="61"/>
      <c r="AA274" s="125"/>
      <c r="AB274" s="61"/>
      <c r="AC274" s="125"/>
      <c r="AD274" s="61"/>
      <c r="AE274" s="125"/>
      <c r="AF274" s="61"/>
      <c r="AG274" s="125"/>
      <c r="AH274" s="61"/>
      <c r="AI274" s="125"/>
      <c r="AJ274" s="61"/>
      <c r="AK274" s="125"/>
      <c r="AL274" s="61"/>
      <c r="AM274" s="125"/>
      <c r="AN274" s="61"/>
      <c r="AO274" s="125"/>
      <c r="AP274" s="61"/>
      <c r="AQ274" s="540">
        <v>-4</v>
      </c>
      <c r="AR274" s="61" t="str">
        <f t="shared" si="1910"/>
        <v>NA</v>
      </c>
      <c r="AS274" s="72">
        <f>-2+5</f>
        <v>3</v>
      </c>
      <c r="AT274" s="61" t="str">
        <f t="shared" si="1911"/>
        <v>NA</v>
      </c>
      <c r="AU274" s="72">
        <v>3</v>
      </c>
      <c r="AV274" s="61" t="str">
        <f t="shared" si="1912"/>
        <v>NA</v>
      </c>
      <c r="AW274" s="72">
        <v>0</v>
      </c>
      <c r="AX274" s="61" t="str">
        <f t="shared" si="1912"/>
        <v>NA</v>
      </c>
      <c r="AY274" s="72">
        <v>0</v>
      </c>
      <c r="AZ274" s="61" t="str">
        <f t="shared" si="1913"/>
        <v>NM</v>
      </c>
      <c r="BA274" s="72">
        <v>3</v>
      </c>
      <c r="BB274" s="61">
        <f t="shared" si="1914"/>
        <v>0</v>
      </c>
      <c r="BC274" s="72">
        <f>-13-4</f>
        <v>-17</v>
      </c>
      <c r="BD274" s="61" t="str">
        <f t="shared" si="1915"/>
        <v>NM</v>
      </c>
      <c r="BE274" s="72">
        <v>10</v>
      </c>
      <c r="BF274" s="61" t="str">
        <f t="shared" si="1916"/>
        <v>NA</v>
      </c>
      <c r="BG274" s="72">
        <v>11</v>
      </c>
      <c r="BH274" s="61" t="str">
        <f t="shared" si="1917"/>
        <v>NA</v>
      </c>
      <c r="BI274" s="72">
        <v>16</v>
      </c>
      <c r="BJ274" s="61" t="str">
        <f t="shared" si="1917"/>
        <v>NM</v>
      </c>
      <c r="BK274" s="72">
        <v>16</v>
      </c>
      <c r="BL274" s="61" t="str">
        <f t="shared" si="1917"/>
        <v>NM</v>
      </c>
      <c r="BM274" s="72">
        <v>-4</v>
      </c>
      <c r="BN274" s="61" t="str">
        <f t="shared" si="1917"/>
        <v>NM</v>
      </c>
      <c r="BO274" s="72">
        <v>-9</v>
      </c>
      <c r="BP274" s="61" t="str">
        <f t="shared" si="1917"/>
        <v>NM</v>
      </c>
      <c r="BQ274" s="72">
        <v>0</v>
      </c>
      <c r="BR274" s="61" t="str">
        <f t="shared" si="1917"/>
        <v>NM</v>
      </c>
      <c r="BS274" s="72">
        <v>-30</v>
      </c>
      <c r="BT274" s="61" t="str">
        <f t="shared" si="1917"/>
        <v>NM</v>
      </c>
      <c r="BU274" s="72">
        <v>-51</v>
      </c>
      <c r="BV274" s="61" t="str">
        <f t="shared" si="1917"/>
        <v>NM</v>
      </c>
      <c r="BW274" s="72">
        <v>0</v>
      </c>
      <c r="BX274" s="61" t="str">
        <f t="shared" si="1917"/>
        <v>NM</v>
      </c>
      <c r="BY274" s="72">
        <v>0</v>
      </c>
      <c r="BZ274" s="61" t="str">
        <f t="shared" si="1917"/>
        <v>NA</v>
      </c>
      <c r="CA274" s="72">
        <v>-6</v>
      </c>
      <c r="CB274" s="61" t="str">
        <f t="shared" si="1917"/>
        <v>NM</v>
      </c>
      <c r="CC274" s="72">
        <v>0</v>
      </c>
      <c r="CD274" s="61" t="str">
        <f t="shared" si="1917"/>
        <v>NM</v>
      </c>
      <c r="CE274" s="72">
        <v>-14</v>
      </c>
      <c r="CF274" s="61" t="str">
        <f t="shared" si="1917"/>
        <v>NA</v>
      </c>
      <c r="CG274" s="72">
        <v>0</v>
      </c>
      <c r="CH274" s="61" t="str">
        <f t="shared" si="1917"/>
        <v>NA</v>
      </c>
      <c r="CI274" s="72">
        <v>-92</v>
      </c>
      <c r="CJ274" s="61" t="str">
        <f t="shared" si="1917"/>
        <v>NM</v>
      </c>
      <c r="CK274" s="72">
        <v>10</v>
      </c>
      <c r="CL274" s="61" t="str">
        <f t="shared" si="1917"/>
        <v>NA</v>
      </c>
      <c r="CM274" s="72">
        <v>14</v>
      </c>
      <c r="CN274" s="61" t="str">
        <f t="shared" si="1917"/>
        <v>NM</v>
      </c>
      <c r="CO274" s="72">
        <v>1</v>
      </c>
      <c r="CP274" s="61" t="str">
        <f t="shared" si="1917"/>
        <v>NA</v>
      </c>
      <c r="CQ274" s="72">
        <f>-19+8</f>
        <v>-11</v>
      </c>
      <c r="CR274" s="61" t="str">
        <f t="shared" si="1917"/>
        <v>NM</v>
      </c>
      <c r="CS274" s="72">
        <v>4</v>
      </c>
      <c r="CT274" s="61" t="str">
        <f t="shared" si="1917"/>
        <v>NM</v>
      </c>
      <c r="CU274" s="72">
        <v>0</v>
      </c>
      <c r="CV274" s="61" t="str">
        <f t="shared" si="1918"/>
        <v>NM</v>
      </c>
      <c r="CW274" s="72">
        <v>6</v>
      </c>
      <c r="CX274" s="61" t="str">
        <f t="shared" si="1919"/>
        <v>NM</v>
      </c>
      <c r="CY274" s="72">
        <v>17</v>
      </c>
      <c r="CZ274" s="61" t="str">
        <f t="shared" si="1920"/>
        <v>NM</v>
      </c>
      <c r="DA274" s="72">
        <v>9</v>
      </c>
      <c r="DB274" s="61" t="str">
        <f t="shared" si="1921"/>
        <v>NM</v>
      </c>
      <c r="DC274" s="72">
        <f>-20+12.502</f>
        <v>-7.4979999999999993</v>
      </c>
      <c r="DD274" s="61" t="str">
        <f t="shared" si="1922"/>
        <v>NA</v>
      </c>
      <c r="DE274" s="72">
        <v>5</v>
      </c>
      <c r="DF274" s="61">
        <f t="shared" si="1923"/>
        <v>-16.666666666666664</v>
      </c>
      <c r="DG274" s="72">
        <v>15</v>
      </c>
      <c r="DH274" s="61">
        <f t="shared" si="1924"/>
        <v>-11.764705882352944</v>
      </c>
      <c r="DI274" s="72">
        <v>11</v>
      </c>
      <c r="DJ274" s="61">
        <f t="shared" si="1925"/>
        <v>22.222222222222232</v>
      </c>
      <c r="DK274" s="72">
        <v>0</v>
      </c>
      <c r="DL274" s="61" t="str">
        <f t="shared" si="1926"/>
        <v>NM</v>
      </c>
      <c r="DM274" s="72">
        <v>5</v>
      </c>
      <c r="DN274" s="130">
        <f t="shared" si="1927"/>
        <v>0</v>
      </c>
      <c r="DO274" s="72">
        <v>0</v>
      </c>
      <c r="DP274" s="130" t="str">
        <f t="shared" si="1927"/>
        <v>NM</v>
      </c>
      <c r="DQ274" s="72">
        <v>53</v>
      </c>
      <c r="DR274" s="130" t="str">
        <f t="shared" si="1927"/>
        <v>NM</v>
      </c>
      <c r="DS274" s="72">
        <v>0</v>
      </c>
      <c r="DT274" s="130" t="str">
        <f t="shared" si="1927"/>
        <v>NA</v>
      </c>
      <c r="DU274" s="814">
        <v>0</v>
      </c>
      <c r="DV274" s="805" t="str">
        <f t="shared" si="1927"/>
        <v>NM</v>
      </c>
      <c r="DW274" s="72">
        <v>-117</v>
      </c>
      <c r="DX274" s="72">
        <v>-117</v>
      </c>
      <c r="DY274" s="72">
        <v>0</v>
      </c>
      <c r="DZ274" s="805" t="str">
        <f t="shared" si="1927"/>
        <v>NM</v>
      </c>
      <c r="EA274" s="820">
        <f>-17-30</f>
        <v>-47</v>
      </c>
      <c r="EB274" s="805" t="str">
        <f t="shared" si="1930"/>
        <v>NA</v>
      </c>
      <c r="EC274" s="820">
        <v>0</v>
      </c>
      <c r="ED274" s="130" t="str">
        <f t="shared" si="1931"/>
        <v>NA</v>
      </c>
      <c r="EE274" s="820">
        <f>17+12.5</f>
        <v>29.5</v>
      </c>
      <c r="EF274" s="130" t="str">
        <f t="shared" si="1933"/>
        <v>NM</v>
      </c>
      <c r="EG274" s="820">
        <v>0</v>
      </c>
      <c r="EH274" s="130" t="str">
        <f t="shared" si="1934"/>
        <v>NA</v>
      </c>
      <c r="EI274" s="820">
        <v>1</v>
      </c>
      <c r="EJ274" s="130" t="str">
        <f t="shared" si="1936"/>
        <v>NM</v>
      </c>
      <c r="EK274" s="820">
        <v>0</v>
      </c>
      <c r="EL274" s="130" t="str">
        <f t="shared" si="1937"/>
        <v>NA</v>
      </c>
      <c r="EM274" s="820">
        <v>-16</v>
      </c>
      <c r="EN274" s="130" t="str">
        <f t="shared" si="1939"/>
        <v>NM</v>
      </c>
      <c r="EO274" s="820">
        <v>0</v>
      </c>
      <c r="EP274" s="130" t="str">
        <f t="shared" si="1940"/>
        <v>NA</v>
      </c>
      <c r="EQ274" s="72">
        <v>0</v>
      </c>
      <c r="ER274" s="130" t="str">
        <f t="shared" si="1941"/>
        <v>NM</v>
      </c>
      <c r="ES274" s="72">
        <v>0</v>
      </c>
      <c r="ET274" s="130" t="str">
        <f t="shared" si="1943"/>
        <v>NA</v>
      </c>
      <c r="EU274" s="72">
        <v>0</v>
      </c>
      <c r="EV274" s="130" t="str">
        <f t="shared" si="1944"/>
        <v>NM</v>
      </c>
      <c r="EW274" s="72">
        <v>0</v>
      </c>
      <c r="EX274" s="130" t="str">
        <f t="shared" si="1945"/>
        <v>NA</v>
      </c>
      <c r="EY274" s="64"/>
      <c r="EZ274" s="558"/>
      <c r="FA274" s="64"/>
      <c r="FB274" s="102"/>
      <c r="FC274" s="124"/>
      <c r="FD274" s="102"/>
      <c r="FE274" s="70"/>
      <c r="FF274" s="102"/>
      <c r="FG274" s="70"/>
      <c r="FH274" s="102"/>
      <c r="FI274" s="70"/>
      <c r="FJ274" s="102"/>
      <c r="FK274" s="70"/>
      <c r="FL274" s="778"/>
      <c r="FM274" s="61"/>
      <c r="FN274" s="778">
        <v>0</v>
      </c>
      <c r="FO274" s="61"/>
      <c r="FP274" s="73">
        <f>AQ274+AS274+AU274+AW274</f>
        <v>2</v>
      </c>
      <c r="FQ274" s="61" t="str">
        <f t="shared" si="1946"/>
        <v>NA</v>
      </c>
      <c r="FR274" s="73">
        <f>AY274+BA274+BC274+BE274</f>
        <v>-4</v>
      </c>
      <c r="FS274" s="61" t="str">
        <f t="shared" si="1874"/>
        <v>NM</v>
      </c>
      <c r="FT274" s="73">
        <f>BG274+BI274+BK274+BM274</f>
        <v>39</v>
      </c>
      <c r="FU274" s="61" t="str">
        <f t="shared" si="1875"/>
        <v>NM</v>
      </c>
      <c r="FV274" s="73">
        <f>BO274+BQ274+BS274+BU274</f>
        <v>-90</v>
      </c>
      <c r="FW274" s="61" t="str">
        <f t="shared" si="1876"/>
        <v>NM</v>
      </c>
      <c r="FX274" s="75">
        <f>BW274+BY274+CA274+CC274</f>
        <v>-6</v>
      </c>
      <c r="FY274" s="61" t="str">
        <f t="shared" si="1947"/>
        <v>NM</v>
      </c>
      <c r="FZ274" s="75">
        <f>CE274+CG274+CI274+CK274</f>
        <v>-96</v>
      </c>
      <c r="GA274" s="61" t="str">
        <f t="shared" si="1948"/>
        <v>NM</v>
      </c>
      <c r="GB274" s="75">
        <f>CM274+CO274+CQ274+CS274</f>
        <v>8</v>
      </c>
      <c r="GC274" s="61" t="str">
        <f t="shared" si="1949"/>
        <v>NM</v>
      </c>
      <c r="GD274" s="75">
        <f>CU274+CW274+CY274+DA274</f>
        <v>32</v>
      </c>
      <c r="GE274" s="61" t="str">
        <f t="shared" si="1949"/>
        <v>NM</v>
      </c>
      <c r="GF274" s="75">
        <f>DC274+DE274+DG274+DI274</f>
        <v>23.502000000000002</v>
      </c>
      <c r="GG274" s="61">
        <f t="shared" si="1949"/>
        <v>-26.556249999999991</v>
      </c>
      <c r="GH274" s="75">
        <f>DK274+DM274+DO274+DQ274</f>
        <v>58</v>
      </c>
      <c r="GI274" s="61" t="str">
        <f t="shared" si="1949"/>
        <v>NM</v>
      </c>
      <c r="GJ274" s="75">
        <f>DS274+DU274+DW274+DY274</f>
        <v>-117</v>
      </c>
      <c r="GK274" s="61" t="str">
        <f t="shared" si="1949"/>
        <v>NM</v>
      </c>
      <c r="GL274" s="75">
        <f>EA274+EC274+EE274+EG274</f>
        <v>-17.5</v>
      </c>
      <c r="GM274" s="61" t="str">
        <f t="shared" si="1949"/>
        <v>NM</v>
      </c>
      <c r="GN274" s="75">
        <f>EI274+EK274+EM274+EO274</f>
        <v>-15</v>
      </c>
      <c r="GO274" s="61">
        <f t="shared" si="1949"/>
        <v>-14.28571428571429</v>
      </c>
      <c r="GP274" s="75">
        <f>EQ274+ES274+EU274+EW274</f>
        <v>0</v>
      </c>
      <c r="GQ274" s="61" t="str">
        <f t="shared" si="1949"/>
        <v>NM</v>
      </c>
      <c r="GR274" s="72">
        <v>0</v>
      </c>
      <c r="GS274" s="61" t="str">
        <f t="shared" si="1949"/>
        <v>NA</v>
      </c>
      <c r="GT274" s="72">
        <v>0</v>
      </c>
      <c r="GU274" s="61" t="str">
        <f t="shared" si="1949"/>
        <v>NA</v>
      </c>
      <c r="GV274" s="72">
        <v>0</v>
      </c>
      <c r="GW274" s="61" t="str">
        <f t="shared" si="1949"/>
        <v>NA</v>
      </c>
      <c r="GX274" s="72">
        <v>0</v>
      </c>
      <c r="GY274" s="61" t="str">
        <f t="shared" si="1950"/>
        <v>NA</v>
      </c>
      <c r="GZ274" s="61" t="str">
        <f t="shared" si="1909"/>
        <v>NM</v>
      </c>
      <c r="HA274" s="61"/>
      <c r="HB274" s="452"/>
      <c r="HC274"/>
      <c r="HD274"/>
      <c r="HE274"/>
      <c r="HF274"/>
      <c r="HG274"/>
      <c r="HH274"/>
    </row>
    <row r="275" spans="2:216" s="5" customFormat="1" ht="12.75" customHeight="1" x14ac:dyDescent="0.2">
      <c r="B275" s="63" t="s">
        <v>384</v>
      </c>
      <c r="C275" s="102"/>
      <c r="D275" s="70"/>
      <c r="E275" s="102"/>
      <c r="F275" s="71"/>
      <c r="G275" s="102"/>
      <c r="H275" s="71"/>
      <c r="I275" s="102"/>
      <c r="J275" s="61"/>
      <c r="K275" s="102"/>
      <c r="L275" s="61"/>
      <c r="M275" s="102"/>
      <c r="N275" s="61"/>
      <c r="O275" s="102"/>
      <c r="P275" s="61"/>
      <c r="Q275" s="102"/>
      <c r="R275" s="61"/>
      <c r="S275" s="102"/>
      <c r="T275" s="61"/>
      <c r="U275" s="102"/>
      <c r="V275" s="61"/>
      <c r="W275" s="102"/>
      <c r="X275" s="61"/>
      <c r="Y275" s="102"/>
      <c r="Z275" s="61"/>
      <c r="AA275" s="125"/>
      <c r="AB275" s="61"/>
      <c r="AC275" s="125"/>
      <c r="AD275" s="61"/>
      <c r="AE275" s="125"/>
      <c r="AF275" s="61"/>
      <c r="AG275" s="125"/>
      <c r="AH275" s="61"/>
      <c r="AI275" s="125"/>
      <c r="AJ275" s="61"/>
      <c r="AK275" s="125"/>
      <c r="AL275" s="61"/>
      <c r="AM275" s="125"/>
      <c r="AN275" s="61"/>
      <c r="AO275" s="125"/>
      <c r="AP275" s="61"/>
      <c r="AQ275" s="102">
        <f>AQ273-AQ274</f>
        <v>62.20000000000001</v>
      </c>
      <c r="AR275" s="61" t="str">
        <f t="shared" si="1910"/>
        <v>NA</v>
      </c>
      <c r="AS275" s="102">
        <f>AS273-AS274</f>
        <v>59.600000000000037</v>
      </c>
      <c r="AT275" s="126" t="str">
        <f t="shared" si="1911"/>
        <v>NA</v>
      </c>
      <c r="AU275" s="102">
        <f>AU273-AU274</f>
        <v>61.899999999999963</v>
      </c>
      <c r="AV275" s="61" t="str">
        <f t="shared" si="1912"/>
        <v>NA</v>
      </c>
      <c r="AW275" s="102">
        <f>AW273-AW274</f>
        <v>73.799999999999983</v>
      </c>
      <c r="AX275" s="61" t="str">
        <f t="shared" si="1912"/>
        <v>NA</v>
      </c>
      <c r="AY275" s="102">
        <f>AY273-AY274</f>
        <v>69</v>
      </c>
      <c r="AZ275" s="61">
        <f t="shared" si="1913"/>
        <v>10.932475884244353</v>
      </c>
      <c r="BA275" s="102">
        <f>BA273-BA274</f>
        <v>144.1</v>
      </c>
      <c r="BB275" s="61" t="str">
        <f t="shared" si="1914"/>
        <v>NM</v>
      </c>
      <c r="BC275" s="102">
        <f>BC273-BC274</f>
        <v>139.7999999999999</v>
      </c>
      <c r="BD275" s="61" t="str">
        <f t="shared" si="1915"/>
        <v>NM</v>
      </c>
      <c r="BE275" s="102">
        <f>BE273-BE274</f>
        <v>147.30000000000001</v>
      </c>
      <c r="BF275" s="61">
        <f t="shared" si="1916"/>
        <v>99.593495934959407</v>
      </c>
      <c r="BG275" s="102">
        <f>BG273-BG274</f>
        <v>155.60000000000011</v>
      </c>
      <c r="BH275" s="61" t="str">
        <f t="shared" si="1917"/>
        <v>NM</v>
      </c>
      <c r="BI275" s="102">
        <f>BI273-BI274</f>
        <v>160.5</v>
      </c>
      <c r="BJ275" s="61">
        <f t="shared" si="1917"/>
        <v>11.38098542678696</v>
      </c>
      <c r="BK275" s="102">
        <f>BK273-BK274</f>
        <v>165.8</v>
      </c>
      <c r="BL275" s="61">
        <f t="shared" si="1917"/>
        <v>18.597997138769774</v>
      </c>
      <c r="BM275" s="102">
        <f>BM273-BM274</f>
        <v>174.59999999999985</v>
      </c>
      <c r="BN275" s="61">
        <f t="shared" si="1917"/>
        <v>18.533604887983589</v>
      </c>
      <c r="BO275" s="102">
        <f>BO273-BO274</f>
        <v>166.40000000000012</v>
      </c>
      <c r="BP275" s="61">
        <f t="shared" si="1917"/>
        <v>6.9408740359897303</v>
      </c>
      <c r="BQ275" s="102">
        <f>BQ273-BQ274</f>
        <v>163.50000000000006</v>
      </c>
      <c r="BR275" s="61">
        <f t="shared" si="1917"/>
        <v>1.8691588785047175</v>
      </c>
      <c r="BS275" s="102">
        <f>BS273-BS274</f>
        <v>167.40000000000009</v>
      </c>
      <c r="BT275" s="61">
        <f t="shared" si="1917"/>
        <v>0.96501809408930939</v>
      </c>
      <c r="BU275" s="102">
        <f>BU273-BU274</f>
        <v>133.5</v>
      </c>
      <c r="BV275" s="61">
        <f t="shared" si="1917"/>
        <v>-23.53951890034358</v>
      </c>
      <c r="BW275" s="102">
        <f>BW273-BW274</f>
        <v>142.20000000000005</v>
      </c>
      <c r="BX275" s="61">
        <f t="shared" si="1917"/>
        <v>-14.543269230769262</v>
      </c>
      <c r="BY275" s="102">
        <f>BY273-BY274</f>
        <v>132.90000000000003</v>
      </c>
      <c r="BZ275" s="61">
        <f t="shared" si="1917"/>
        <v>-18.71559633027524</v>
      </c>
      <c r="CA275" s="102">
        <f>CA273-CA274</f>
        <v>142.49999999999991</v>
      </c>
      <c r="CB275" s="61">
        <f t="shared" si="1917"/>
        <v>-14.874551971326266</v>
      </c>
      <c r="CC275" s="102">
        <f>CC273-CC274</f>
        <v>157.60000000000014</v>
      </c>
      <c r="CD275" s="61">
        <f t="shared" si="1917"/>
        <v>18.052434456928946</v>
      </c>
      <c r="CE275" s="102">
        <f>CE273-CE274</f>
        <v>150.90000000000003</v>
      </c>
      <c r="CF275" s="61">
        <f t="shared" si="1917"/>
        <v>6.1181434599155926</v>
      </c>
      <c r="CG275" s="102">
        <f>CG273-CG274</f>
        <v>151.70000000000005</v>
      </c>
      <c r="CH275" s="61">
        <f t="shared" si="1917"/>
        <v>14.14597441685479</v>
      </c>
      <c r="CI275" s="102">
        <f>CI273-CI274</f>
        <v>151.89999999999995</v>
      </c>
      <c r="CJ275" s="61">
        <f t="shared" si="1917"/>
        <v>6.5964912280702004</v>
      </c>
      <c r="CK275" s="102">
        <f>CK273-CK274</f>
        <v>155.49999999999989</v>
      </c>
      <c r="CL275" s="61">
        <f t="shared" si="1917"/>
        <v>-1.3324873096448253</v>
      </c>
      <c r="CM275" s="102">
        <f>CM273-CM274</f>
        <v>128</v>
      </c>
      <c r="CN275" s="61">
        <f t="shared" si="1917"/>
        <v>-15.175612988734278</v>
      </c>
      <c r="CO275" s="102">
        <f>CO273-CO274</f>
        <v>135.4</v>
      </c>
      <c r="CP275" s="61">
        <f t="shared" si="1917"/>
        <v>-10.74489123269613</v>
      </c>
      <c r="CQ275" s="102">
        <f>CQ273-CQ274</f>
        <v>164.79999999999993</v>
      </c>
      <c r="CR275" s="61">
        <f t="shared" si="1917"/>
        <v>8.4924292297564143</v>
      </c>
      <c r="CS275" s="102">
        <f>CS273-CS274</f>
        <v>131</v>
      </c>
      <c r="CT275" s="61">
        <f t="shared" si="1917"/>
        <v>-15.755627009646245</v>
      </c>
      <c r="CU275" s="102">
        <f>CU273-CU274</f>
        <v>139</v>
      </c>
      <c r="CV275" s="61">
        <f t="shared" si="1918"/>
        <v>8.59375</v>
      </c>
      <c r="CW275" s="102">
        <f>CW273-CW274</f>
        <v>129</v>
      </c>
      <c r="CX275" s="61">
        <f t="shared" si="1919"/>
        <v>-4.7267355982274832</v>
      </c>
      <c r="CY275" s="102">
        <f>CY273-CY274</f>
        <v>135</v>
      </c>
      <c r="CZ275" s="61">
        <f t="shared" si="1920"/>
        <v>-18.082524271844626</v>
      </c>
      <c r="DA275" s="102">
        <f>DA273-DA274</f>
        <v>138</v>
      </c>
      <c r="DB275" s="61">
        <f t="shared" si="1921"/>
        <v>5.3435114503816772</v>
      </c>
      <c r="DC275" s="102">
        <f>DC273-DC274</f>
        <v>119.498</v>
      </c>
      <c r="DD275" s="61">
        <f t="shared" si="1922"/>
        <v>-14.030215827338122</v>
      </c>
      <c r="DE275" s="102">
        <f>DE273-DE274</f>
        <v>130</v>
      </c>
      <c r="DF275" s="61">
        <f t="shared" si="1923"/>
        <v>0.77519379844961378</v>
      </c>
      <c r="DG275" s="102">
        <f>DG273-DG274</f>
        <v>125</v>
      </c>
      <c r="DH275" s="61">
        <f t="shared" si="1924"/>
        <v>-7.4074074074074066</v>
      </c>
      <c r="DI275" s="102">
        <f>DI273-DI274</f>
        <v>146</v>
      </c>
      <c r="DJ275" s="61">
        <f t="shared" si="1925"/>
        <v>5.7971014492753659</v>
      </c>
      <c r="DK275" s="102">
        <f>DK273-DK274</f>
        <v>120</v>
      </c>
      <c r="DL275" s="61">
        <f t="shared" si="1926"/>
        <v>0.42009071281527977</v>
      </c>
      <c r="DM275" s="102">
        <f>DM273-DM274</f>
        <v>143</v>
      </c>
      <c r="DN275" s="130">
        <f t="shared" si="1927"/>
        <v>10.000000000000009</v>
      </c>
      <c r="DO275" s="102">
        <f>DO273-DO274</f>
        <v>150</v>
      </c>
      <c r="DP275" s="130">
        <f t="shared" si="1927"/>
        <v>19.999999999999996</v>
      </c>
      <c r="DQ275" s="102">
        <f>DQ273-DQ274</f>
        <v>141</v>
      </c>
      <c r="DR275" s="130">
        <f t="shared" si="1927"/>
        <v>-3.4246575342465779</v>
      </c>
      <c r="DS275" s="102">
        <f>DS273-DS274</f>
        <v>111</v>
      </c>
      <c r="DT275" s="130">
        <f t="shared" si="1927"/>
        <v>-7.4999999999999956</v>
      </c>
      <c r="DU275" s="813">
        <f>DU273-DU274</f>
        <v>105</v>
      </c>
      <c r="DV275" s="805">
        <f t="shared" si="1927"/>
        <v>-26.573426573426573</v>
      </c>
      <c r="DW275" s="813">
        <f>DW273-DW274</f>
        <v>153</v>
      </c>
      <c r="DX275" s="813">
        <f t="shared" ref="DX275:DY275" si="1968">DX273-DX274</f>
        <v>153</v>
      </c>
      <c r="DY275" s="813">
        <f t="shared" si="1968"/>
        <v>119</v>
      </c>
      <c r="DZ275" s="805">
        <f t="shared" si="1927"/>
        <v>-15.602836879432624</v>
      </c>
      <c r="EA275" s="813">
        <f t="shared" ref="EA275:EC275" si="1969">EA273-EA274</f>
        <v>122</v>
      </c>
      <c r="EB275" s="805">
        <f t="shared" si="1930"/>
        <v>9.9099099099099206</v>
      </c>
      <c r="EC275" s="813">
        <f t="shared" si="1969"/>
        <v>120</v>
      </c>
      <c r="ED275" s="130">
        <f t="shared" si="1931"/>
        <v>14.285714285714279</v>
      </c>
      <c r="EE275" s="813">
        <f t="shared" ref="EE275:EG275" si="1970">EE273-EE274</f>
        <v>137.5</v>
      </c>
      <c r="EF275" s="130">
        <f t="shared" si="1933"/>
        <v>-10.130718954248364</v>
      </c>
      <c r="EG275" s="813">
        <f t="shared" si="1970"/>
        <v>154</v>
      </c>
      <c r="EH275" s="130">
        <f t="shared" si="1934"/>
        <v>29.411764705882359</v>
      </c>
      <c r="EI275" s="813">
        <f t="shared" ref="EI275:EK275" si="1971">EI273-EI274</f>
        <v>129</v>
      </c>
      <c r="EJ275" s="130">
        <f t="shared" si="1936"/>
        <v>5.7377049180327822</v>
      </c>
      <c r="EK275" s="813">
        <f t="shared" si="1971"/>
        <v>133</v>
      </c>
      <c r="EL275" s="130">
        <f t="shared" si="1937"/>
        <v>10.833333333333339</v>
      </c>
      <c r="EM275" s="813">
        <f t="shared" ref="EM275" si="1972">EM273-EM274</f>
        <v>137</v>
      </c>
      <c r="EN275" s="130">
        <f t="shared" si="1939"/>
        <v>-0.36363636363636598</v>
      </c>
      <c r="EO275" s="813">
        <f t="shared" ref="EO275" si="1973">EO273-EO274</f>
        <v>152</v>
      </c>
      <c r="EP275" s="130">
        <f t="shared" si="1940"/>
        <v>-1.2987012987012991</v>
      </c>
      <c r="EQ275" s="102">
        <f t="shared" ref="EQ275:EW275" si="1974">EQ273-EQ274</f>
        <v>143.65676411842998</v>
      </c>
      <c r="ER275" s="130">
        <f t="shared" si="1941"/>
        <v>11.361832649945725</v>
      </c>
      <c r="ES275" s="102">
        <f t="shared" si="1974"/>
        <v>160.01241597352637</v>
      </c>
      <c r="ET275" s="130">
        <f t="shared" si="1943"/>
        <v>20.310087198140138</v>
      </c>
      <c r="EU275" s="102">
        <f t="shared" si="1974"/>
        <v>159.92396102883831</v>
      </c>
      <c r="EV275" s="130">
        <f t="shared" si="1944"/>
        <v>16.732818269225035</v>
      </c>
      <c r="EW275" s="102">
        <f t="shared" si="1974"/>
        <v>167.91237468114758</v>
      </c>
      <c r="EX275" s="130">
        <f t="shared" si="1945"/>
        <v>10.468667553386556</v>
      </c>
      <c r="EY275" s="64"/>
      <c r="EZ275" s="558"/>
      <c r="FA275" s="64"/>
      <c r="FB275" s="102"/>
      <c r="FC275" s="124"/>
      <c r="FD275" s="102"/>
      <c r="FE275" s="70"/>
      <c r="FF275" s="102"/>
      <c r="FG275" s="70"/>
      <c r="FH275" s="102"/>
      <c r="FI275" s="70"/>
      <c r="FJ275" s="102"/>
      <c r="FK275" s="70"/>
      <c r="FL275" s="104"/>
      <c r="FM275" s="61"/>
      <c r="FN275" s="104">
        <f>FN273-FN274</f>
        <v>257</v>
      </c>
      <c r="FO275" s="61"/>
      <c r="FP275" s="104">
        <f>FP273-FP274</f>
        <v>257.49999999999983</v>
      </c>
      <c r="FQ275" s="61">
        <f t="shared" si="1946"/>
        <v>0.19455252918281207</v>
      </c>
      <c r="FR275" s="104">
        <f>FR273-FR274</f>
        <v>500.19999999999976</v>
      </c>
      <c r="FS275" s="61">
        <f t="shared" si="1874"/>
        <v>94.252427184466043</v>
      </c>
      <c r="FT275" s="104">
        <f>FT273-FT274</f>
        <v>656.5</v>
      </c>
      <c r="FU275" s="61">
        <f t="shared" si="1875"/>
        <v>31.247500999600231</v>
      </c>
      <c r="FV275" s="104">
        <f>FV273-FV274</f>
        <v>630.79999999999995</v>
      </c>
      <c r="FW275" s="61">
        <f t="shared" si="1876"/>
        <v>-3.9146991622239224</v>
      </c>
      <c r="FX275" s="104">
        <f>FX273-FX274</f>
        <v>575.19999999999993</v>
      </c>
      <c r="FY275" s="61">
        <f t="shared" si="1947"/>
        <v>-8.8142041851616995</v>
      </c>
      <c r="FZ275" s="104">
        <f>FZ273-FZ274</f>
        <v>609.99999999999886</v>
      </c>
      <c r="GA275" s="61">
        <f t="shared" si="1948"/>
        <v>6.0500695410290239</v>
      </c>
      <c r="GB275" s="104">
        <f>GB273-GB274</f>
        <v>559.19999999999982</v>
      </c>
      <c r="GC275" s="61">
        <f t="shared" si="1949"/>
        <v>-8.3278688524588755</v>
      </c>
      <c r="GD275" s="104">
        <f>GD273-GD274</f>
        <v>541</v>
      </c>
      <c r="GE275" s="61">
        <f t="shared" si="1949"/>
        <v>-3.2546494992846564</v>
      </c>
      <c r="GF275" s="104">
        <f>GF273-GF274</f>
        <v>520.49800000000005</v>
      </c>
      <c r="GG275" s="61">
        <f t="shared" si="1949"/>
        <v>-3.7896487985212501</v>
      </c>
      <c r="GH275" s="104">
        <f>GH273-GH274</f>
        <v>554</v>
      </c>
      <c r="GI275" s="61">
        <f t="shared" si="1949"/>
        <v>6.4365280942481951</v>
      </c>
      <c r="GJ275" s="104">
        <f>GJ273-GJ274</f>
        <v>488</v>
      </c>
      <c r="GK275" s="61">
        <f t="shared" si="1949"/>
        <v>-11.913357400722024</v>
      </c>
      <c r="GL275" s="104">
        <f>GL273-GL274</f>
        <v>533.5</v>
      </c>
      <c r="GM275" s="61">
        <f t="shared" si="1949"/>
        <v>9.323770491803284</v>
      </c>
      <c r="GN275" s="104">
        <f>GN273-GN274</f>
        <v>551</v>
      </c>
      <c r="GO275" s="61">
        <f t="shared" si="1949"/>
        <v>3.2802249297094743</v>
      </c>
      <c r="GP275" s="104">
        <f>GP273-GP274</f>
        <v>631.50551580194133</v>
      </c>
      <c r="GQ275" s="61">
        <f t="shared" si="1949"/>
        <v>14.610801415960317</v>
      </c>
      <c r="GR275" s="102">
        <f>GR273-GR274</f>
        <v>638.91526599370604</v>
      </c>
      <c r="GS275" s="61">
        <f t="shared" si="1949"/>
        <v>1.1733468681354609</v>
      </c>
      <c r="GT275" s="102">
        <f>GT273-GT274</f>
        <v>655.5039885975134</v>
      </c>
      <c r="GU275" s="61">
        <f t="shared" si="1949"/>
        <v>2.5963885176552903</v>
      </c>
      <c r="GV275" s="102">
        <f>GV273-GV274</f>
        <v>677.03553103628781</v>
      </c>
      <c r="GW275" s="61">
        <f t="shared" si="1949"/>
        <v>3.2847309571437222</v>
      </c>
      <c r="GX275" s="102">
        <f>GX273-GX274</f>
        <v>699.2258994450317</v>
      </c>
      <c r="GY275" s="61">
        <f t="shared" si="1950"/>
        <v>3.2775781168794316</v>
      </c>
      <c r="GZ275" s="61">
        <f t="shared" si="1909"/>
        <v>4.8801214239673874</v>
      </c>
      <c r="HA275" s="61"/>
      <c r="HB275" s="452"/>
      <c r="HC275"/>
      <c r="HD275"/>
      <c r="HE275"/>
      <c r="HF275"/>
      <c r="HG275"/>
      <c r="HH275"/>
    </row>
    <row r="276" spans="2:216" s="5" customFormat="1" ht="12.75" customHeight="1" x14ac:dyDescent="0.2">
      <c r="B276" s="2" t="s">
        <v>73</v>
      </c>
      <c r="C276" s="69"/>
      <c r="D276" s="70"/>
      <c r="E276" s="69"/>
      <c r="F276" s="71"/>
      <c r="G276" s="69"/>
      <c r="H276" s="71"/>
      <c r="I276" s="69"/>
      <c r="J276" s="61"/>
      <c r="K276" s="69"/>
      <c r="L276" s="61"/>
      <c r="M276" s="69"/>
      <c r="N276" s="61"/>
      <c r="O276" s="69"/>
      <c r="P276" s="61"/>
      <c r="Q276" s="69"/>
      <c r="R276" s="61"/>
      <c r="S276" s="69"/>
      <c r="T276" s="61"/>
      <c r="U276" s="69"/>
      <c r="V276" s="61"/>
      <c r="W276" s="69"/>
      <c r="X276" s="126"/>
      <c r="Y276" s="69"/>
      <c r="Z276" s="126"/>
      <c r="AA276" s="69"/>
      <c r="AB276" s="126"/>
      <c r="AC276" s="69"/>
      <c r="AD276" s="126"/>
      <c r="AE276" s="69"/>
      <c r="AF276" s="126"/>
      <c r="AG276" s="69"/>
      <c r="AH276" s="126"/>
      <c r="AI276" s="69"/>
      <c r="AJ276" s="126"/>
      <c r="AK276" s="69"/>
      <c r="AL276" s="126"/>
      <c r="AM276" s="69"/>
      <c r="AN276" s="126"/>
      <c r="AO276" s="69"/>
      <c r="AP276" s="126"/>
      <c r="AQ276" s="69">
        <f>AQ270-AQ274/0.65</f>
        <v>92.453846153846172</v>
      </c>
      <c r="AR276" s="61" t="str">
        <f t="shared" si="1910"/>
        <v>NA</v>
      </c>
      <c r="AS276" s="69">
        <f>AS270-AS274/0.65</f>
        <v>88.284615384615421</v>
      </c>
      <c r="AT276" s="61" t="str">
        <f t="shared" si="1911"/>
        <v>NA</v>
      </c>
      <c r="AU276" s="69">
        <f>AU270-AU274/0.65</f>
        <v>91.984615384615353</v>
      </c>
      <c r="AV276" s="61" t="str">
        <f t="shared" si="1912"/>
        <v>NA</v>
      </c>
      <c r="AW276" s="69">
        <f>AW270-AW274/0.65</f>
        <v>110.39999999999998</v>
      </c>
      <c r="AX276" s="61" t="str">
        <f t="shared" si="1912"/>
        <v>NA</v>
      </c>
      <c r="AY276" s="69">
        <f>AY270-AY274/0.65</f>
        <v>105.19999999999999</v>
      </c>
      <c r="AZ276" s="61">
        <f t="shared" si="1913"/>
        <v>13.786504700890223</v>
      </c>
      <c r="BA276" s="69">
        <f>BA270-BA274/0.65</f>
        <v>216.38461538461539</v>
      </c>
      <c r="BB276" s="61" t="str">
        <f t="shared" si="1914"/>
        <v>NM</v>
      </c>
      <c r="BC276" s="69">
        <f>BC270-BC274/0.65</f>
        <v>205.75384615384607</v>
      </c>
      <c r="BD276" s="61" t="str">
        <f t="shared" si="1915"/>
        <v>NM</v>
      </c>
      <c r="BE276" s="69">
        <f>BE270-BE274/0.65</f>
        <v>223.61538461538461</v>
      </c>
      <c r="BF276" s="61" t="str">
        <f t="shared" si="1916"/>
        <v>NM</v>
      </c>
      <c r="BG276" s="69">
        <f>BG270-BG274/0.65</f>
        <v>235.57692307692318</v>
      </c>
      <c r="BH276" s="61" t="str">
        <f t="shared" si="1917"/>
        <v>NM</v>
      </c>
      <c r="BI276" s="69">
        <f>BI270-BI274/0.65</f>
        <v>244.88461538461539</v>
      </c>
      <c r="BJ276" s="61">
        <f t="shared" si="1917"/>
        <v>13.170991823675781</v>
      </c>
      <c r="BK276" s="69">
        <f>BK270-BK274/0.65</f>
        <v>244.98461538461541</v>
      </c>
      <c r="BL276" s="61">
        <f t="shared" si="1917"/>
        <v>19.066846119336091</v>
      </c>
      <c r="BM276" s="69">
        <f>BM270-BM274/0.65</f>
        <v>264.553846153846</v>
      </c>
      <c r="BN276" s="61">
        <f t="shared" si="1917"/>
        <v>18.307533539731601</v>
      </c>
      <c r="BO276" s="69">
        <f>BO270-BO274/0.65</f>
        <v>252.34615384615395</v>
      </c>
      <c r="BP276" s="61">
        <f t="shared" si="1917"/>
        <v>7.1183673469387809</v>
      </c>
      <c r="BQ276" s="69">
        <f>BQ270-BQ274/0.65</f>
        <v>247.20000000000005</v>
      </c>
      <c r="BR276" s="61">
        <f t="shared" si="1917"/>
        <v>0.94550023558976903</v>
      </c>
      <c r="BS276" s="69">
        <f>BS270-BS274/0.65</f>
        <v>248.05384615384625</v>
      </c>
      <c r="BT276" s="61">
        <f t="shared" si="1917"/>
        <v>1.2528259231349148</v>
      </c>
      <c r="BU276" s="69">
        <f>BU270-BU274/0.65</f>
        <v>198.96153846153845</v>
      </c>
      <c r="BV276" s="61">
        <f t="shared" si="1917"/>
        <v>-24.793556641079284</v>
      </c>
      <c r="BW276" s="69">
        <f>BW270-BW274/0.65</f>
        <v>193.70000000000005</v>
      </c>
      <c r="BX276" s="61">
        <f t="shared" si="1917"/>
        <v>-23.240359701265067</v>
      </c>
      <c r="BY276" s="69">
        <f>BY270-BY274/0.65</f>
        <v>196.70000000000005</v>
      </c>
      <c r="BZ276" s="61">
        <f t="shared" si="1917"/>
        <v>-20.428802588996763</v>
      </c>
      <c r="CA276" s="69">
        <f>CA270-CA274/0.65</f>
        <v>200.83076923076914</v>
      </c>
      <c r="CB276" s="61">
        <f t="shared" si="1917"/>
        <v>-19.037429838434651</v>
      </c>
      <c r="CC276" s="69">
        <f>CC270-CC274/0.65</f>
        <v>232.10000000000014</v>
      </c>
      <c r="CD276" s="61">
        <f t="shared" si="1917"/>
        <v>16.655712352600105</v>
      </c>
      <c r="CE276" s="69">
        <f>CE270-CE274/0.65</f>
        <v>223.73846153846159</v>
      </c>
      <c r="CF276" s="61">
        <f t="shared" si="1917"/>
        <v>15.50772407767762</v>
      </c>
      <c r="CG276" s="69">
        <f>CG270-CG274/0.65</f>
        <v>221.70000000000005</v>
      </c>
      <c r="CH276" s="61">
        <f t="shared" si="1917"/>
        <v>12.709710218607007</v>
      </c>
      <c r="CI276" s="69">
        <f>CI270-CI274/0.65</f>
        <v>221.3384615384615</v>
      </c>
      <c r="CJ276" s="61">
        <f t="shared" si="1917"/>
        <v>10.211429446912867</v>
      </c>
      <c r="CK276" s="69">
        <f>CK270-CK274/0.65</f>
        <v>230.6153846153845</v>
      </c>
      <c r="CL276" s="61">
        <f t="shared" si="1917"/>
        <v>-0.63964471547420798</v>
      </c>
      <c r="CM276" s="69">
        <f>CM270-CM274/0.65</f>
        <v>188.46153846153845</v>
      </c>
      <c r="CN276" s="61">
        <f t="shared" si="1917"/>
        <v>-15.767035687272246</v>
      </c>
      <c r="CO276" s="69">
        <f>CO270-CO274/0.65</f>
        <v>199.96153846153845</v>
      </c>
      <c r="CP276" s="61">
        <f t="shared" si="1917"/>
        <v>-9.8053502654314784</v>
      </c>
      <c r="CQ276" s="69">
        <f>CQ270-CQ274/0.65</f>
        <v>236.12307692307687</v>
      </c>
      <c r="CR276" s="61">
        <f t="shared" si="1917"/>
        <v>6.6796413428789725</v>
      </c>
      <c r="CS276" s="69">
        <f>CS270-CS274/0.65</f>
        <v>197.84615384615384</v>
      </c>
      <c r="CT276" s="61">
        <f t="shared" si="1917"/>
        <v>-14.209472981987947</v>
      </c>
      <c r="CU276" s="69">
        <f>CU270-CU274/0.65</f>
        <v>207</v>
      </c>
      <c r="CV276" s="61">
        <f t="shared" si="1918"/>
        <v>9.8367346938775579</v>
      </c>
      <c r="CW276" s="69">
        <f>CW270-CW274/0.65</f>
        <v>191.76923076923077</v>
      </c>
      <c r="CX276" s="61">
        <f t="shared" si="1919"/>
        <v>-4.0969417195614533</v>
      </c>
      <c r="CY276" s="69">
        <f>CY270-CY274/0.65</f>
        <v>189.84615384615384</v>
      </c>
      <c r="CZ276" s="61">
        <f t="shared" si="1920"/>
        <v>-19.598644774563446</v>
      </c>
      <c r="DA276" s="69">
        <f>DA270-DA274/0.65</f>
        <v>199.15384615384616</v>
      </c>
      <c r="DB276" s="61">
        <f t="shared" si="1921"/>
        <v>0.66096423017107941</v>
      </c>
      <c r="DC276" s="69">
        <f>DC270-DC274/0.65</f>
        <v>178.5353846153846</v>
      </c>
      <c r="DD276" s="61">
        <f t="shared" si="1922"/>
        <v>-13.751021924934982</v>
      </c>
      <c r="DE276" s="69">
        <f>DE270-DE274/0.65</f>
        <v>193.30769230769232</v>
      </c>
      <c r="DF276" s="61">
        <f t="shared" si="1923"/>
        <v>0.80224628961091948</v>
      </c>
      <c r="DG276" s="69">
        <f>DG270-DG274/0.65</f>
        <v>186.92307692307693</v>
      </c>
      <c r="DH276" s="61">
        <f t="shared" si="1924"/>
        <v>-1.5397082658022643</v>
      </c>
      <c r="DI276" s="69">
        <f>DI270-DI274/0.65</f>
        <v>217.07692307692307</v>
      </c>
      <c r="DJ276" s="61">
        <f t="shared" si="1925"/>
        <v>8.9996137504827942</v>
      </c>
      <c r="DK276" s="69">
        <f>DK270-DK274/0.65</f>
        <v>178</v>
      </c>
      <c r="DL276" s="61">
        <f t="shared" si="1926"/>
        <v>-0.29987591341512632</v>
      </c>
      <c r="DM276" s="69">
        <f>DM270-DM274/0.65</f>
        <v>215.30769230769232</v>
      </c>
      <c r="DN276" s="61">
        <f t="shared" si="1927"/>
        <v>11.380819737365687</v>
      </c>
      <c r="DO276" s="69">
        <f>DO270-DO274/0.65</f>
        <v>226</v>
      </c>
      <c r="DP276" s="61">
        <f t="shared" si="1927"/>
        <v>20.905349794238681</v>
      </c>
      <c r="DQ276" s="69">
        <f>DQ270-DQ274/0.65</f>
        <v>198.46153846153845</v>
      </c>
      <c r="DR276" s="61">
        <f t="shared" si="1927"/>
        <v>-8.575478384124736</v>
      </c>
      <c r="DS276" s="69">
        <f>DS270-DS274/0.65</f>
        <v>156</v>
      </c>
      <c r="DT276" s="61">
        <f t="shared" si="1927"/>
        <v>-12.35955056179775</v>
      </c>
      <c r="DU276" s="815">
        <f>DU270-DU274/0.65</f>
        <v>152</v>
      </c>
      <c r="DV276" s="805">
        <f t="shared" si="1927"/>
        <v>-29.403358342265097</v>
      </c>
      <c r="DW276" s="815">
        <f>DW270-DW274/0.65</f>
        <v>226</v>
      </c>
      <c r="DX276" s="815">
        <f t="shared" ref="DX276:DY276" si="1975">DX270-DX274/0.65</f>
        <v>226</v>
      </c>
      <c r="DY276" s="815">
        <f t="shared" si="1975"/>
        <v>175</v>
      </c>
      <c r="DZ276" s="805">
        <f t="shared" si="1927"/>
        <v>-11.821705426356587</v>
      </c>
      <c r="EA276" s="815">
        <f t="shared" ref="EA276:EC276" si="1976">EA270-EA274/0.65</f>
        <v>175.30769230769232</v>
      </c>
      <c r="EB276" s="805">
        <f t="shared" si="1930"/>
        <v>12.376725838264303</v>
      </c>
      <c r="EC276" s="815">
        <f t="shared" si="1976"/>
        <v>175</v>
      </c>
      <c r="ED276" s="61">
        <f t="shared" si="1931"/>
        <v>15.131578947368428</v>
      </c>
      <c r="EE276" s="815">
        <f t="shared" ref="EE276:EG276" si="1977">EE270-EE274/0.65</f>
        <v>200.61538461538461</v>
      </c>
      <c r="EF276" s="61">
        <f t="shared" si="1933"/>
        <v>-11.232130701157249</v>
      </c>
      <c r="EG276" s="815">
        <f t="shared" si="1977"/>
        <v>228</v>
      </c>
      <c r="EH276" s="61">
        <f t="shared" si="1934"/>
        <v>30.285714285714292</v>
      </c>
      <c r="EI276" s="815">
        <f t="shared" ref="EI276:EK276" si="1978">EI270-EI274/0.65</f>
        <v>185.46153846153845</v>
      </c>
      <c r="EJ276" s="61">
        <f t="shared" si="1936"/>
        <v>5.7920140412461407</v>
      </c>
      <c r="EK276" s="815">
        <f t="shared" si="1978"/>
        <v>194</v>
      </c>
      <c r="EL276" s="61">
        <f t="shared" si="1937"/>
        <v>10.857142857142854</v>
      </c>
      <c r="EM276" s="815">
        <f t="shared" ref="EM276" si="1979">EM270-EM274/0.65</f>
        <v>199.61538461538461</v>
      </c>
      <c r="EN276" s="61">
        <f t="shared" si="1939"/>
        <v>-0.49846625766871711</v>
      </c>
      <c r="EO276" s="815">
        <f t="shared" ref="EO276" si="1980">EO270-EO274/0.65</f>
        <v>223</v>
      </c>
      <c r="EP276" s="61">
        <f t="shared" si="1940"/>
        <v>-2.1929824561403466</v>
      </c>
      <c r="EQ276" s="69">
        <f t="shared" ref="EQ276:EW276" si="1981">EQ270-EQ274/0.65</f>
        <v>179.57095514803746</v>
      </c>
      <c r="ER276" s="61">
        <f t="shared" si="1941"/>
        <v>-3.1761751586691367</v>
      </c>
      <c r="ES276" s="69">
        <f t="shared" si="1981"/>
        <v>200.01551996690796</v>
      </c>
      <c r="ET276" s="61">
        <f t="shared" si="1943"/>
        <v>3.100783488096881</v>
      </c>
      <c r="EU276" s="69">
        <f t="shared" si="1981"/>
        <v>199.90495128604789</v>
      </c>
      <c r="EV276" s="61">
        <f t="shared" si="1944"/>
        <v>0.1450623012956731</v>
      </c>
      <c r="EW276" s="69">
        <f t="shared" si="1981"/>
        <v>209.89046835143449</v>
      </c>
      <c r="EX276" s="61">
        <f t="shared" si="1945"/>
        <v>-5.8787137437513515</v>
      </c>
      <c r="EY276" s="69"/>
      <c r="EZ276" s="558"/>
      <c r="FA276" s="69"/>
      <c r="FB276" s="69"/>
      <c r="FC276" s="124"/>
      <c r="FD276" s="69"/>
      <c r="FE276" s="126"/>
      <c r="FF276" s="69"/>
      <c r="FG276" s="126"/>
      <c r="FH276" s="69"/>
      <c r="FI276" s="126"/>
      <c r="FJ276" s="69"/>
      <c r="FK276" s="126"/>
      <c r="FL276" s="69"/>
      <c r="FM276" s="126"/>
      <c r="FN276" s="69">
        <f>FN270-FN274/0.65</f>
        <v>381</v>
      </c>
      <c r="FO276" s="126"/>
      <c r="FP276" s="69">
        <f>FP270-FP274/0.65</f>
        <v>383.12307692307672</v>
      </c>
      <c r="FQ276" s="61">
        <f t="shared" si="1946"/>
        <v>0.55723803755294288</v>
      </c>
      <c r="FR276" s="69">
        <f>FR270-FR274/0.65</f>
        <v>750.95384615384592</v>
      </c>
      <c r="FS276" s="61">
        <f t="shared" si="1874"/>
        <v>96.008513030558618</v>
      </c>
      <c r="FT276" s="69">
        <f>FT270-FT274/0.65</f>
        <v>990</v>
      </c>
      <c r="FU276" s="61">
        <f t="shared" si="1875"/>
        <v>31.832336310743294</v>
      </c>
      <c r="FV276" s="69">
        <f>FV270-FV274/0.65</f>
        <v>946.56153846153836</v>
      </c>
      <c r="FW276" s="61">
        <f t="shared" si="1876"/>
        <v>-4.3877233877233968</v>
      </c>
      <c r="FX276" s="69">
        <f>FX270-FX274/0.65</f>
        <v>823.33076923076919</v>
      </c>
      <c r="FY276" s="61">
        <f t="shared" si="1947"/>
        <v>-13.018780525464635</v>
      </c>
      <c r="FZ276" s="69">
        <f>FZ270-FZ274/0.65</f>
        <v>897.39230769230653</v>
      </c>
      <c r="GA276" s="61">
        <f t="shared" si="1948"/>
        <v>8.9953565722719731</v>
      </c>
      <c r="GB276" s="69">
        <f>GB270-GB274/0.65</f>
        <v>822.39230769230755</v>
      </c>
      <c r="GC276" s="61">
        <f t="shared" si="1949"/>
        <v>-8.3575487952270997</v>
      </c>
      <c r="GD276" s="69">
        <f>GD270-GD274/0.65</f>
        <v>787.76923076923072</v>
      </c>
      <c r="GE276" s="61">
        <f t="shared" si="1949"/>
        <v>-4.210043868264246</v>
      </c>
      <c r="GF276" s="69">
        <f>GF270-GF274/0.65</f>
        <v>775.84307692307698</v>
      </c>
      <c r="GG276" s="61">
        <f t="shared" si="1949"/>
        <v>-1.5139146567717865</v>
      </c>
      <c r="GH276" s="69">
        <f>GH270-GH274/0.65</f>
        <v>817.76923076923072</v>
      </c>
      <c r="GI276" s="61">
        <f t="shared" si="1949"/>
        <v>5.4039476658642061</v>
      </c>
      <c r="GJ276" s="69">
        <f>GJ270-GJ274/0.65</f>
        <v>709</v>
      </c>
      <c r="GK276" s="61">
        <f t="shared" si="1949"/>
        <v>-13.300724296867649</v>
      </c>
      <c r="GL276" s="69">
        <f>GL270-GL274/0.65</f>
        <v>778.92307692307691</v>
      </c>
      <c r="GM276" s="61">
        <f t="shared" si="1949"/>
        <v>9.8622111316046368</v>
      </c>
      <c r="GN276" s="69">
        <f>GN270-GN274/0.65</f>
        <v>802.07692307692309</v>
      </c>
      <c r="GO276" s="61">
        <f t="shared" si="1949"/>
        <v>2.9725459213904903</v>
      </c>
      <c r="GP276" s="69">
        <f>GP270-GP274/0.65</f>
        <v>789.38189475242689</v>
      </c>
      <c r="GQ276" s="61">
        <f t="shared" si="1949"/>
        <v>-1.5827694276249193</v>
      </c>
      <c r="GR276" s="69">
        <f>GR270-GR274/0.65</f>
        <v>798.64408249213284</v>
      </c>
      <c r="GS276" s="61">
        <f t="shared" si="1949"/>
        <v>1.1733468681354609</v>
      </c>
      <c r="GT276" s="69">
        <f>GT270-GT274/0.65</f>
        <v>819.37998574689209</v>
      </c>
      <c r="GU276" s="61">
        <f t="shared" si="1949"/>
        <v>2.5963885176552903</v>
      </c>
      <c r="GV276" s="69">
        <f>GV270-GV274/0.65</f>
        <v>846.29441379536001</v>
      </c>
      <c r="GW276" s="61">
        <f t="shared" si="1949"/>
        <v>3.2847309571437222</v>
      </c>
      <c r="GX276" s="69">
        <f>GX270-GX274/0.65</f>
        <v>874.03237430628997</v>
      </c>
      <c r="GY276" s="61">
        <f t="shared" si="1950"/>
        <v>3.2775781168794538</v>
      </c>
      <c r="GZ276" s="61">
        <f t="shared" si="1909"/>
        <v>1.7331049506255747</v>
      </c>
      <c r="HA276" s="61"/>
      <c r="HB276" s="452"/>
      <c r="HC276"/>
      <c r="HD276"/>
      <c r="HE276"/>
      <c r="HF276"/>
      <c r="HG276"/>
      <c r="HH276"/>
    </row>
    <row r="277" spans="2:216" s="106" customFormat="1" ht="12.75" customHeight="1" x14ac:dyDescent="0.2">
      <c r="B277" s="63"/>
      <c r="C277" s="102"/>
      <c r="D277" s="99"/>
      <c r="E277" s="102"/>
      <c r="F277" s="100"/>
      <c r="G277" s="102"/>
      <c r="H277" s="100"/>
      <c r="I277" s="102"/>
      <c r="J277" s="101"/>
      <c r="K277" s="104"/>
      <c r="L277" s="61"/>
      <c r="M277" s="104"/>
      <c r="N277" s="61"/>
      <c r="O277" s="104"/>
      <c r="P277" s="61"/>
      <c r="Q277" s="104"/>
      <c r="R277" s="61"/>
      <c r="S277" s="104"/>
      <c r="T277" s="61"/>
      <c r="U277" s="104"/>
      <c r="V277" s="61"/>
      <c r="W277" s="104"/>
      <c r="X277" s="61"/>
      <c r="Y277" s="104"/>
      <c r="Z277" s="61"/>
      <c r="AA277" s="104"/>
      <c r="AB277" s="61"/>
      <c r="AC277" s="104"/>
      <c r="AD277" s="61"/>
      <c r="AE277" s="104"/>
      <c r="AF277" s="61"/>
      <c r="AG277" s="104"/>
      <c r="AH277" s="61"/>
      <c r="AI277" s="104"/>
      <c r="AJ277" s="61"/>
      <c r="AK277" s="104"/>
      <c r="AL277" s="61"/>
      <c r="AM277" s="104"/>
      <c r="AN277" s="61"/>
      <c r="AO277" s="159"/>
      <c r="AP277" s="61"/>
      <c r="AQ277" s="104"/>
      <c r="AR277" s="61"/>
      <c r="AS277" s="104"/>
      <c r="AT277" s="61"/>
      <c r="AU277" s="104"/>
      <c r="AV277" s="61"/>
      <c r="AW277" s="104"/>
      <c r="AX277" s="61"/>
      <c r="AY277" s="104"/>
      <c r="AZ277" s="61"/>
      <c r="BA277" s="104"/>
      <c r="BB277" s="61"/>
      <c r="BC277" s="104"/>
      <c r="BD277" s="61"/>
      <c r="BE277" s="104"/>
      <c r="BF277" s="61"/>
      <c r="BG277" s="104"/>
      <c r="BH277" s="61"/>
      <c r="BI277" s="104"/>
      <c r="BJ277" s="61"/>
      <c r="BK277" s="104"/>
      <c r="BL277" s="61"/>
      <c r="BM277" s="104"/>
      <c r="BN277" s="61"/>
      <c r="BO277" s="104"/>
      <c r="BP277" s="61"/>
      <c r="BQ277" s="104"/>
      <c r="BR277" s="61"/>
      <c r="BS277" s="104"/>
      <c r="BT277" s="61"/>
      <c r="BU277" s="104"/>
      <c r="BV277" s="61"/>
      <c r="BW277" s="104"/>
      <c r="BX277" s="61"/>
      <c r="BY277" s="104"/>
      <c r="BZ277" s="61"/>
      <c r="CA277" s="104"/>
      <c r="CB277" s="61"/>
      <c r="CC277" s="104"/>
      <c r="CD277" s="61"/>
      <c r="CE277" s="104"/>
      <c r="CF277" s="61"/>
      <c r="CG277" s="104"/>
      <c r="CH277" s="61"/>
      <c r="CI277" s="104"/>
      <c r="CJ277" s="61"/>
      <c r="CK277" s="104"/>
      <c r="CL277" s="61"/>
      <c r="CM277" s="104"/>
      <c r="CN277" s="61"/>
      <c r="CO277" s="104"/>
      <c r="CP277" s="61"/>
      <c r="CQ277" s="104"/>
      <c r="CR277" s="61"/>
      <c r="CS277" s="104"/>
      <c r="CT277" s="61"/>
      <c r="CU277" s="104"/>
      <c r="CV277" s="61"/>
      <c r="CW277" s="104"/>
      <c r="CX277" s="61"/>
      <c r="CY277" s="104"/>
      <c r="CZ277" s="61"/>
      <c r="DA277" s="104"/>
      <c r="DB277" s="61"/>
      <c r="DC277" s="104"/>
      <c r="DD277" s="61"/>
      <c r="DE277" s="104"/>
      <c r="DF277" s="61"/>
      <c r="DG277" s="104"/>
      <c r="DH277" s="61"/>
      <c r="DI277" s="104"/>
      <c r="DJ277" s="61"/>
      <c r="DK277" s="104"/>
      <c r="DL277" s="61"/>
      <c r="DM277" s="104"/>
      <c r="DN277" s="61"/>
      <c r="DO277" s="104"/>
      <c r="DP277" s="61"/>
      <c r="DQ277" s="104"/>
      <c r="DR277" s="61"/>
      <c r="DS277" s="104"/>
      <c r="DT277" s="61"/>
      <c r="DU277" s="104"/>
      <c r="DV277" s="61"/>
      <c r="DW277" s="104"/>
      <c r="DX277" s="104"/>
      <c r="DY277" s="104"/>
      <c r="DZ277" s="61"/>
      <c r="EA277" s="104"/>
      <c r="EB277" s="61"/>
      <c r="EC277" s="104"/>
      <c r="ED277" s="61"/>
      <c r="EE277" s="104"/>
      <c r="EF277" s="61"/>
      <c r="EG277" s="104"/>
      <c r="EH277" s="61"/>
      <c r="EI277" s="104"/>
      <c r="EJ277" s="61"/>
      <c r="EK277" s="104"/>
      <c r="EL277" s="61"/>
      <c r="EM277" s="104"/>
      <c r="EN277" s="61"/>
      <c r="EO277" s="104"/>
      <c r="EP277" s="61"/>
      <c r="EQ277" s="104"/>
      <c r="ER277" s="61"/>
      <c r="ES277" s="104"/>
      <c r="ET277" s="61"/>
      <c r="EU277" s="104"/>
      <c r="EV277" s="61"/>
      <c r="EW277" s="104"/>
      <c r="EX277" s="61"/>
      <c r="EY277" s="103"/>
      <c r="EZ277" s="558"/>
      <c r="FA277" s="103"/>
      <c r="FB277" s="102"/>
      <c r="FC277" s="100"/>
      <c r="FD277" s="102"/>
      <c r="FE277" s="70"/>
      <c r="FF277" s="102"/>
      <c r="FG277" s="70"/>
      <c r="FH277" s="102"/>
      <c r="FI277" s="70"/>
      <c r="FJ277" s="102"/>
      <c r="FK277" s="70"/>
      <c r="FL277" s="104"/>
      <c r="FM277" s="61"/>
      <c r="FN277" s="104"/>
      <c r="FO277" s="61"/>
      <c r="FP277" s="104"/>
      <c r="FQ277" s="61"/>
      <c r="FR277" s="104"/>
      <c r="FS277" s="61"/>
      <c r="FT277" s="104"/>
      <c r="FU277" s="61"/>
      <c r="FV277" s="104"/>
      <c r="FW277" s="61"/>
      <c r="FX277" s="104"/>
      <c r="FY277" s="61"/>
      <c r="FZ277" s="104"/>
      <c r="GA277" s="61"/>
      <c r="GB277" s="104"/>
      <c r="GC277" s="61"/>
      <c r="GD277" s="104"/>
      <c r="GE277" s="61"/>
      <c r="GF277" s="104"/>
      <c r="GG277" s="61"/>
      <c r="GH277" s="104"/>
      <c r="GI277" s="61"/>
      <c r="GJ277" s="104"/>
      <c r="GK277" s="61"/>
      <c r="GL277" s="104"/>
      <c r="GM277" s="61"/>
      <c r="GN277" s="104"/>
      <c r="GO277" s="61"/>
      <c r="GP277" s="104"/>
      <c r="GQ277" s="61"/>
      <c r="GR277" s="104"/>
      <c r="GS277" s="61"/>
      <c r="GT277" s="104"/>
      <c r="GU277" s="61"/>
      <c r="GV277" s="104"/>
      <c r="GW277" s="61"/>
      <c r="GX277" s="104"/>
      <c r="GY277" s="61"/>
      <c r="GZ277" s="61" t="str">
        <f t="shared" si="1909"/>
        <v/>
      </c>
      <c r="HA277" s="61"/>
      <c r="HB277" s="452"/>
      <c r="HC277"/>
      <c r="HD277"/>
      <c r="HE277"/>
      <c r="HF277"/>
      <c r="HG277"/>
      <c r="HH277"/>
    </row>
    <row r="278" spans="2:216" s="5" customFormat="1" ht="12.75" customHeight="1" x14ac:dyDescent="0.2">
      <c r="B278" s="63" t="s">
        <v>161</v>
      </c>
      <c r="C278" s="66"/>
      <c r="D278" s="67"/>
      <c r="E278" s="66"/>
      <c r="F278" s="66"/>
      <c r="G278" s="64"/>
      <c r="H278" s="66"/>
      <c r="I278" s="64"/>
      <c r="J278" s="66"/>
      <c r="K278" s="64"/>
      <c r="L278" s="61"/>
      <c r="M278" s="66"/>
      <c r="N278" s="61"/>
      <c r="O278" s="64"/>
      <c r="P278" s="61"/>
      <c r="Q278" s="64"/>
      <c r="R278" s="61"/>
      <c r="S278" s="64"/>
      <c r="T278" s="61"/>
      <c r="U278" s="64"/>
      <c r="V278" s="61"/>
      <c r="W278" s="64"/>
      <c r="X278" s="61"/>
      <c r="Y278" s="64"/>
      <c r="Z278" s="61"/>
      <c r="AA278" s="64"/>
      <c r="AB278" s="61"/>
      <c r="AC278" s="64"/>
      <c r="AD278" s="61"/>
      <c r="AE278" s="64"/>
      <c r="AF278" s="61"/>
      <c r="AG278" s="64"/>
      <c r="AH278" s="61"/>
      <c r="AI278" s="64"/>
      <c r="AJ278" s="61"/>
      <c r="AK278" s="64"/>
      <c r="AL278" s="61"/>
      <c r="AM278" s="64"/>
      <c r="AN278" s="61"/>
      <c r="AO278" s="64"/>
      <c r="AP278" s="61"/>
      <c r="AQ278" s="64"/>
      <c r="AR278" s="61"/>
      <c r="AS278" s="64"/>
      <c r="AT278" s="61"/>
      <c r="AU278" s="64"/>
      <c r="AV278" s="61"/>
      <c r="AW278" s="64"/>
      <c r="AX278" s="61"/>
      <c r="AY278" s="64"/>
      <c r="AZ278" s="61"/>
      <c r="BA278" s="64"/>
      <c r="BB278" s="61"/>
      <c r="BC278" s="64"/>
      <c r="BD278" s="61"/>
      <c r="BE278" s="64"/>
      <c r="BF278" s="61"/>
      <c r="BG278" s="64"/>
      <c r="BH278" s="61"/>
      <c r="BI278" s="64"/>
      <c r="BJ278" s="61"/>
      <c r="BK278" s="64"/>
      <c r="BL278" s="61"/>
      <c r="BM278" s="64"/>
      <c r="BN278" s="61"/>
      <c r="BO278" s="64"/>
      <c r="BP278" s="61"/>
      <c r="BQ278" s="64"/>
      <c r="BR278" s="61"/>
      <c r="BS278" s="64"/>
      <c r="BT278" s="61"/>
      <c r="BU278" s="64"/>
      <c r="BV278" s="61"/>
      <c r="BW278" s="64"/>
      <c r="BX278" s="61"/>
      <c r="BY278" s="64"/>
      <c r="BZ278" s="61"/>
      <c r="CA278" s="64"/>
      <c r="CB278" s="61"/>
      <c r="CC278" s="64"/>
      <c r="CD278" s="61"/>
      <c r="CE278" s="64"/>
      <c r="CF278" s="61"/>
      <c r="CG278" s="64"/>
      <c r="CH278" s="61"/>
      <c r="CI278" s="64"/>
      <c r="CJ278" s="61"/>
      <c r="CK278" s="64"/>
      <c r="CL278" s="61"/>
      <c r="CM278" s="64"/>
      <c r="CN278" s="61"/>
      <c r="CO278" s="64"/>
      <c r="CP278" s="61"/>
      <c r="CQ278" s="64"/>
      <c r="CR278" s="61"/>
      <c r="CS278" s="64"/>
      <c r="CT278" s="61"/>
      <c r="CU278" s="64"/>
      <c r="CV278" s="61"/>
      <c r="CW278" s="64"/>
      <c r="CX278" s="61"/>
      <c r="CY278" s="64"/>
      <c r="CZ278" s="61"/>
      <c r="DA278" s="64"/>
      <c r="DB278" s="61"/>
      <c r="DC278" s="64"/>
      <c r="DD278" s="61"/>
      <c r="DE278" s="64"/>
      <c r="DF278" s="61"/>
      <c r="DG278" s="64"/>
      <c r="DH278" s="61"/>
      <c r="DI278" s="64"/>
      <c r="DJ278" s="61"/>
      <c r="DK278" s="64"/>
      <c r="DL278" s="61"/>
      <c r="DM278" s="64"/>
      <c r="DN278" s="61"/>
      <c r="DO278" s="64"/>
      <c r="DP278" s="61"/>
      <c r="DQ278" s="64"/>
      <c r="DR278" s="61"/>
      <c r="DS278" s="64"/>
      <c r="DT278" s="61"/>
      <c r="DU278" s="64"/>
      <c r="DV278" s="61"/>
      <c r="DW278" s="64"/>
      <c r="DX278" s="64"/>
      <c r="DY278" s="64"/>
      <c r="DZ278" s="61"/>
      <c r="EA278" s="64"/>
      <c r="EB278" s="61"/>
      <c r="EC278" s="64"/>
      <c r="ED278" s="61"/>
      <c r="EE278" s="64"/>
      <c r="EF278" s="61"/>
      <c r="EG278" s="64"/>
      <c r="EH278" s="61"/>
      <c r="EI278" s="64"/>
      <c r="EJ278" s="61"/>
      <c r="EK278" s="64"/>
      <c r="EL278" s="61"/>
      <c r="EM278" s="64"/>
      <c r="EN278" s="61"/>
      <c r="EO278" s="64"/>
      <c r="EP278" s="61"/>
      <c r="EQ278" s="64"/>
      <c r="ER278" s="61"/>
      <c r="ES278" s="64"/>
      <c r="ET278" s="61"/>
      <c r="EU278" s="64"/>
      <c r="EV278" s="61"/>
      <c r="EW278" s="64"/>
      <c r="EX278" s="61"/>
      <c r="EY278" s="64"/>
      <c r="EZ278" s="558"/>
      <c r="FA278" s="64"/>
      <c r="FB278" s="66"/>
      <c r="FC278" s="66"/>
      <c r="FD278" s="66"/>
      <c r="FE278" s="67"/>
      <c r="FF278" s="66"/>
      <c r="FG278" s="67"/>
      <c r="FH278" s="66"/>
      <c r="FI278" s="67"/>
      <c r="FJ278" s="66"/>
      <c r="FK278" s="67"/>
      <c r="FL278" s="65"/>
      <c r="FM278" s="61"/>
      <c r="FN278" s="65"/>
      <c r="FO278" s="61"/>
      <c r="FP278" s="65"/>
      <c r="FQ278" s="61"/>
      <c r="FR278" s="65"/>
      <c r="FS278" s="61"/>
      <c r="FT278" s="65"/>
      <c r="FU278" s="61"/>
      <c r="FV278" s="65"/>
      <c r="FW278" s="61"/>
      <c r="FX278" s="65"/>
      <c r="FY278" s="61"/>
      <c r="FZ278" s="65"/>
      <c r="GA278" s="61"/>
      <c r="GB278" s="65"/>
      <c r="GC278" s="61"/>
      <c r="GD278" s="65"/>
      <c r="GE278" s="61"/>
      <c r="GF278" s="65"/>
      <c r="GG278" s="61"/>
      <c r="GH278" s="65"/>
      <c r="GI278" s="61"/>
      <c r="GJ278" s="65"/>
      <c r="GK278" s="61"/>
      <c r="GL278" s="65"/>
      <c r="GM278" s="61"/>
      <c r="GN278" s="65"/>
      <c r="GO278" s="61"/>
      <c r="GP278" s="65"/>
      <c r="GQ278" s="61"/>
      <c r="GR278" s="64"/>
      <c r="GS278" s="61"/>
      <c r="GT278" s="64"/>
      <c r="GU278" s="61"/>
      <c r="GV278" s="64"/>
      <c r="GW278" s="61"/>
      <c r="GX278" s="64"/>
      <c r="GY278" s="61"/>
      <c r="GZ278" s="61" t="str">
        <f t="shared" si="1909"/>
        <v/>
      </c>
      <c r="HA278" s="61"/>
      <c r="HB278" s="452"/>
      <c r="HC278"/>
      <c r="HD278"/>
      <c r="HE278"/>
      <c r="HF278"/>
      <c r="HG278"/>
      <c r="HH278"/>
    </row>
    <row r="279" spans="2:216" s="5" customFormat="1" ht="12.75" customHeight="1" x14ac:dyDescent="0.2">
      <c r="B279" s="2" t="s">
        <v>266</v>
      </c>
      <c r="C279" s="81"/>
      <c r="D279" s="70"/>
      <c r="E279" s="81"/>
      <c r="F279" s="71"/>
      <c r="G279" s="81"/>
      <c r="H279" s="71"/>
      <c r="I279" s="81"/>
      <c r="J279" s="61"/>
      <c r="K279" s="81"/>
      <c r="L279" s="61"/>
      <c r="M279" s="81"/>
      <c r="N279" s="61"/>
      <c r="O279" s="81"/>
      <c r="P279" s="61"/>
      <c r="Q279" s="81"/>
      <c r="R279" s="61"/>
      <c r="S279" s="81"/>
      <c r="T279" s="61"/>
      <c r="U279" s="81"/>
      <c r="V279" s="61"/>
      <c r="W279" s="81"/>
      <c r="X279" s="61"/>
      <c r="Y279" s="81"/>
      <c r="Z279" s="61"/>
      <c r="AA279" s="81"/>
      <c r="AB279" s="61"/>
      <c r="AC279" s="81"/>
      <c r="AD279" s="61"/>
      <c r="AE279" s="81"/>
      <c r="AF279" s="61"/>
      <c r="AG279" s="81"/>
      <c r="AH279" s="61"/>
      <c r="AI279" s="81"/>
      <c r="AJ279" s="61"/>
      <c r="AK279" s="81"/>
      <c r="AL279" s="61"/>
      <c r="AM279" s="81"/>
      <c r="AN279" s="61"/>
      <c r="AO279" s="81"/>
      <c r="AP279" s="61"/>
      <c r="AQ279" s="81">
        <f>AQ273/AQ240*100</f>
        <v>12.237174095878892</v>
      </c>
      <c r="AR279" s="61" t="str">
        <f>IF(ISERROR((AQ279/AI279-1)*100),"NA",IF(((AQ279/AI279-1)*100)&gt;100,"NM",IF(((AQ279/AI279-1)*100)&lt;-50,"NM",(AQ279/AI279-1)*100)))</f>
        <v>NA</v>
      </c>
      <c r="AS279" s="81">
        <f>AS273/AS240*100</f>
        <v>13.167858645351291</v>
      </c>
      <c r="AT279" s="61" t="str">
        <f>IF(ISERROR((AS279/AK279-1)*100),"NA",IF(((AS279/AK279-1)*100)&gt;100,"NM",IF(((AS279/AK279-1)*100)&lt;-50,"NM",(AS279/AK279-1)*100)))</f>
        <v>NA</v>
      </c>
      <c r="AU279" s="81">
        <f>AU273/AU240*100</f>
        <v>14.157940663176257</v>
      </c>
      <c r="AV279" s="61" t="str">
        <f>IF(ISERROR((AU279/AM279-1)*100),"NA",IF(((AU279/AM279-1)*100)&gt;100,"NM",IF(((AU279/AM279-1)*100)&lt;-50,"NM",(AU279/AM279-1)*100)))</f>
        <v>NA</v>
      </c>
      <c r="AW279" s="81">
        <f>AW273/AW240*100</f>
        <v>14.724660814046286</v>
      </c>
      <c r="AX279" s="61" t="str">
        <f>IF(ISERROR((AW279/AO279-1)*100),"NA",IF(((AW279/AO279-1)*100)&gt;100,"NM",IF(((AW279/AO279-1)*100)&lt;-50,"NM",(AW279/AO279-1)*100)))</f>
        <v>NA</v>
      </c>
      <c r="AY279" s="81">
        <f>AY273/AY240*100</f>
        <v>13.786213786213786</v>
      </c>
      <c r="AZ279" s="61">
        <f>IF(ISERROR((AY279/AQ279-1)*100),"NA",IF(((AY279/AQ279-1)*100)&gt;100,"NM",IF(((AY279/AQ279-1)*100)&lt;-50,"NM",(AY279/AQ279-1)*100)))</f>
        <v>12.658475545073467</v>
      </c>
      <c r="BA279" s="81">
        <f>BA273/BA240*100</f>
        <v>16.319059241180387</v>
      </c>
      <c r="BB279" s="61">
        <f>IF(ISERROR((BA279/AS279-1)*100),"NA",IF(((BA279/AS279-1)*100)&gt;100,"NM",IF(((BA279/AS279-1)*100)&lt;-50,"NM",(BA279/AS279-1)*100)))</f>
        <v>23.931002607941721</v>
      </c>
      <c r="BC279" s="81">
        <f>BC273/BC240*100</f>
        <v>13.716072824751471</v>
      </c>
      <c r="BD279" s="61">
        <f>IF(ISERROR((BC279/AU279-1)*100),"NA",IF(((BC279/AU279-1)*100)&gt;100,"NM",IF(((BC279/AU279-1)*100)&lt;-50,"NM",(BC279/AU279-1)*100)))</f>
        <v>-3.1209894781806136</v>
      </c>
      <c r="BE279" s="81">
        <f>BE273/BE240*100</f>
        <v>16.412771285475795</v>
      </c>
      <c r="BF279" s="61">
        <f>IF(ISERROR((BE279/AW279-1)*100),"NA",IF(((BE279/AW279-1)*100)&gt;100,"NM",IF(((BE279/AW279-1)*100)&lt;-50,"NM",(BE279/AW279-1)*100)))</f>
        <v>11.464511765318019</v>
      </c>
      <c r="BG279" s="81">
        <f>BG273/BG240*100</f>
        <v>17.15050442660079</v>
      </c>
      <c r="BH279" s="61">
        <f>IF(ISERROR((BG279/AY279-1)*100),"NA",IF(((BG279/AY279-1)*100)&gt;100,"NM",IF(((BG279/AY279-1)*100)&lt;-50,"NM",(BG279/AY279-1)*100)))</f>
        <v>24.403296601647774</v>
      </c>
      <c r="BI279" s="81">
        <f>BI273/BI240*100</f>
        <v>18.433420365535248</v>
      </c>
      <c r="BJ279" s="61">
        <f>IF(ISERROR((BI279/BA279-1)*100),"NA",IF(((BI279/BA279-1)*100)&gt;100,"NM",IF(((BI279/BA279-1)*100)&lt;-50,"NM",(BI279/BA279-1)*100)))</f>
        <v>12.956391009472945</v>
      </c>
      <c r="BK279" s="81">
        <f>BK273/BK240*100</f>
        <v>17.22080136402387</v>
      </c>
      <c r="BL279" s="61">
        <f>IF(ISERROR((BK279/BC279-1)*100),"NA",IF(((BK279/BC279-1)*100)&gt;100,"NM",IF(((BK279/BC279-1)*100)&lt;-50,"NM",(BK279/BC279-1)*100)))</f>
        <v>25.55198258314806</v>
      </c>
      <c r="BM279" s="81">
        <f>BM273/BM240*100</f>
        <v>15.970791986519368</v>
      </c>
      <c r="BN279" s="61">
        <f>IF(ISERROR((BM279/BE279-1)*100),"NA",IF(((BM279/BE279-1)*100)&gt;100,"NM",IF(((BM279/BE279-1)*100)&lt;-50,"NM",(BM279/BE279-1)*100)))</f>
        <v>-2.6928986657332454</v>
      </c>
      <c r="BO279" s="81">
        <f>BO273/BO240*100</f>
        <v>14.946348874750745</v>
      </c>
      <c r="BP279" s="61">
        <f>IF(ISERROR((BO279/BG279-1)*100),"NA",IF(((BO279/BG279-1)*100)&gt;100,"NM",IF(((BO279/BG279-1)*100)&lt;-50,"NM",(BO279/BG279-1)*100)))</f>
        <v>-12.851840954784709</v>
      </c>
      <c r="BQ279" s="81">
        <f>BQ273/BQ240*100</f>
        <v>15.056635049267891</v>
      </c>
      <c r="BR279" s="61">
        <f>IF(ISERROR((BQ279/BI279-1)*100),"NA",IF(((BQ279/BI279-1)*100)&gt;100,"NM",IF(((BQ279/BI279-1)*100)&lt;-50,"NM",(BQ279/BI279-1)*100)))</f>
        <v>-18.318821191648695</v>
      </c>
      <c r="BS279" s="81">
        <f>BS273/BS240*100</f>
        <v>12.79448738243785</v>
      </c>
      <c r="BT279" s="61">
        <f>IF(ISERROR((BS279/BK279-1)*100),"NA",IF(((BS279/BK279-1)*100)&gt;100,"NM",IF(((BS279/BK279-1)*100)&lt;-50,"NM",(BS279/BK279-1)*100)))</f>
        <v>-25.703298516833673</v>
      </c>
      <c r="BU279" s="81">
        <f>BU273/BU240*100</f>
        <v>7.9113924050632916</v>
      </c>
      <c r="BV279" s="61" t="str">
        <f>IF(ISERROR((BU279/BM279-1)*100),"NA",IF(((BU279/BM279-1)*100)&gt;100,"NM",IF(((BU279/BM279-1)*100)&lt;-50,"NM",(BU279/BM279-1)*100)))</f>
        <v>NM</v>
      </c>
      <c r="BW279" s="81">
        <f>BW273/BW240*100</f>
        <v>13.21315740568668</v>
      </c>
      <c r="BX279" s="61">
        <f>IF(ISERROR((BW279/BO279-1)*100),"NA",IF(((BW279/BO279-1)*100)&gt;100,"NM",IF(((BW279/BO279-1)*100)&lt;-50,"NM",(BW279/BO279-1)*100)))</f>
        <v>-11.596085997912109</v>
      </c>
      <c r="BY279" s="81">
        <f>BY273/BY240*100</f>
        <v>13.260826182398725</v>
      </c>
      <c r="BZ279" s="61">
        <f>IF(ISERROR((BY279/BQ279-1)*100),"NA",IF(((BY279/BQ279-1)*100)&gt;100,"NM",IF(((BY279/BQ279-1)*100)&lt;-50,"NM",(BY279/BQ279-1)*100)))</f>
        <v>-11.927026596533496</v>
      </c>
      <c r="CA279" s="81">
        <f>CA273/CA240*100</f>
        <v>12.533284363235692</v>
      </c>
      <c r="CB279" s="61">
        <f>IF(ISERROR((CA279/BS279-1)*100),"NA",IF(((CA279/BS279-1)*100)&gt;100,"NM",IF(((CA279/BS279-1)*100)&lt;-50,"NM",(CA279/BS279-1)*100)))</f>
        <v>-2.0415278189315655</v>
      </c>
      <c r="CC279" s="81">
        <f>CC273/CC240*100</f>
        <v>13.997690736299859</v>
      </c>
      <c r="CD279" s="61">
        <f>IF(ISERROR((CC279/BU279-1)*100),"NA",IF(((CC279/BU279-1)*100)&gt;100,"NM",IF(((CC279/BU279-1)*100)&lt;-50,"NM",(CC279/BU279-1)*100)))</f>
        <v>76.930810906830203</v>
      </c>
      <c r="CE279" s="81">
        <f>CE273/CE240*100</f>
        <v>12.136524822695039</v>
      </c>
      <c r="CF279" s="61">
        <f>IF(ISERROR((CE279/BW279-1)*100),"NA",IF(((CE279/BW279-1)*100)&gt;100,"NM",IF(((CE279/BW279-1)*100)&lt;-50,"NM",(CE279/BW279-1)*100)))</f>
        <v>-8.1481855542588129</v>
      </c>
      <c r="CG279" s="81">
        <f>CG273/CG240*100</f>
        <v>13.353873239436624</v>
      </c>
      <c r="CH279" s="61">
        <f>IF(ISERROR((CG279/BY279-1)*100),"NA",IF(((CG279/BY279-1)*100)&gt;100,"NM",IF(((CG279/BY279-1)*100)&lt;-50,"NM",(CG279/BY279-1)*100)))</f>
        <v>0.70166862726397383</v>
      </c>
      <c r="CI279" s="81">
        <f>CI273/CI240*100</f>
        <v>5.4066251466738846</v>
      </c>
      <c r="CJ279" s="61" t="str">
        <f>IF(ISERROR((CI279/CA279-1)*100),"NA",IF(((CI279/CA279-1)*100)&gt;100,"NM",IF(((CI279/CA279-1)*100)&lt;-50,"NM",(CI279/CA279-1)*100)))</f>
        <v>NM</v>
      </c>
      <c r="CK279" s="81">
        <f>CK273/CK240*100</f>
        <v>13.59454575324461</v>
      </c>
      <c r="CL279" s="61">
        <f>IF(ISERROR((CK279/CC279-1)*100),"NA",IF(((CK279/CC279-1)*100)&gt;100,"NM",IF(((CK279/CC279-1)*100)&lt;-50,"NM",(CK279/CC279-1)*100)))</f>
        <v>-2.88008208389533</v>
      </c>
      <c r="CM279" s="81">
        <f>CM273/CM240*100</f>
        <v>12.390924956369982</v>
      </c>
      <c r="CN279" s="61">
        <f>IF(ISERROR((CM279/CE279-1)*100),"NA",IF(((CM279/CE279-1)*100)&gt;100,"NM",IF(((CM279/CE279-1)*100)&lt;-50,"NM",(CM279/CE279-1)*100)))</f>
        <v>2.0961530371463644</v>
      </c>
      <c r="CO279" s="81">
        <f>CO273/CO240*100</f>
        <v>11.098454027664769</v>
      </c>
      <c r="CP279" s="61">
        <f>IF(ISERROR((CO279/CG279-1)*100),"NA",IF(((CO279/CG279-1)*100)&gt;100,"NM",IF(((CO279/CG279-1)*100)&lt;-50,"NM",(CO279/CG279-1)*100)))</f>
        <v>-16.889625738779344</v>
      </c>
      <c r="CQ279" s="81">
        <f>CQ273/CQ240*100</f>
        <v>13.07489585989968</v>
      </c>
      <c r="CR279" s="61" t="str">
        <f>IF(ISERROR((CQ279/CI279-1)*100),"NA",IF(((CQ279/CI279-1)*100)&gt;100,"NM",IF(((CQ279/CI279-1)*100)&lt;-50,"NM",(CQ279/CI279-1)*100)))</f>
        <v>NM</v>
      </c>
      <c r="CS279" s="81">
        <f>CS273/CS240*100</f>
        <v>11.373209772535803</v>
      </c>
      <c r="CT279" s="61">
        <f>IF(ISERROR((CS279/CK279-1)*100),"NA",IF(((CS279/CK279-1)*100)&gt;100,"NM",IF(((CS279/CK279-1)*100)&lt;-50,"NM",(CS279/CK279-1)*100)))</f>
        <v>-16.339905878639893</v>
      </c>
      <c r="CU279" s="81">
        <f>CU273/CU240*100</f>
        <v>11.328443357783211</v>
      </c>
      <c r="CV279" s="61">
        <f>IF(ISERROR((CU279/CM279-1)*100),"NA",IF(((CU279/CM279-1)*100)&gt;100,"NM",IF(((CU279/CM279-1)*100)&lt;-50,"NM",(CU279/CM279-1)*100)))</f>
        <v>-8.5746754364819715</v>
      </c>
      <c r="CW279" s="81">
        <f>CW273/CW240*100</f>
        <v>10.931174089068826</v>
      </c>
      <c r="CX279" s="61">
        <f>IF(ISERROR((CW279/CO279-1)*100),"NA",IF(((CW279/CO279-1)*100)&gt;100,"NM",IF(((CW279/CO279-1)*100)&lt;-50,"NM",(CW279/CO279-1)*100)))</f>
        <v>-1.507236396879863</v>
      </c>
      <c r="CY279" s="81">
        <f>CY273/CY240*100</f>
        <v>11.728395061728394</v>
      </c>
      <c r="CZ279" s="61">
        <f>IF(ISERROR((CY279/CQ279-1)*100),"NA",IF(((CY279/CQ279-1)*100)&gt;100,"NM",IF(((CY279/CQ279-1)*100)&lt;-50,"NM",(CY279/CQ279-1)*100)))</f>
        <v>-10.298367287964139</v>
      </c>
      <c r="DA279" s="81">
        <f>DA273/DA240*100</f>
        <v>11.333847340015419</v>
      </c>
      <c r="DB279" s="61">
        <f>IF(ISERROR((DA279/CS279-1)*100),"NA",IF(((DA279/CS279-1)*100)&gt;100,"NM",IF(((DA279/CS279-1)*100)&lt;-50,"NM",(DA279/CS279-1)*100)))</f>
        <v>-0.34609783260516336</v>
      </c>
      <c r="DC279" s="81">
        <f>DC273/DC240*100</f>
        <v>9.0249798549556814</v>
      </c>
      <c r="DD279" s="61">
        <f>IF(ISERROR((DC279/CU279-1)*100),"NA",IF(((DC279/CU279-1)*100)&gt;100,"NM",IF(((DC279/CU279-1)*100)&lt;-50,"NM",(DC279/CU279-1)*100)))</f>
        <v>-20.3334512084128</v>
      </c>
      <c r="DE279" s="81">
        <f>DE273/DE240*100</f>
        <v>10.514018691588785</v>
      </c>
      <c r="DF279" s="61">
        <f>IF(ISERROR((DE279/CW279-1)*100),"NA",IF(((DE279/CW279-1)*100)&gt;100,"NM",IF(((DE279/CW279-1)*100)&lt;-50,"NM",(DE279/CW279-1)*100)))</f>
        <v>-3.8161993769470381</v>
      </c>
      <c r="DG279" s="81">
        <f>DG273/DG240*100</f>
        <v>10.760953112990007</v>
      </c>
      <c r="DH279" s="61">
        <f>IF(ISERROR((DG279/CY279-1)*100),"NA",IF(((DG279/CY279-1)*100)&gt;100,"NM",IF(((DG279/CY279-1)*100)&lt;-50,"NM",(DG279/CY279-1)*100)))</f>
        <v>-8.2487155629273001</v>
      </c>
      <c r="DI279" s="81">
        <f>DI273/DI240*100</f>
        <v>11.681547619047619</v>
      </c>
      <c r="DJ279" s="61">
        <f>IF(ISERROR((DI279/DA279-1)*100),"NA",IF(((DI279/DA279-1)*100)&gt;100,"NM",IF(((DI279/DA279-1)*100)&lt;-50,"NM",(DI279/DA279-1)*100)))</f>
        <v>3.0678045027534795</v>
      </c>
      <c r="DK279" s="81">
        <f>DK273/DK240*100</f>
        <v>8.9753178758414354</v>
      </c>
      <c r="DL279" s="61">
        <f>IF(ISERROR((DK279/DC279-1)*100),"NA",IF(((DK279/DC279-1)*100)&gt;100,"NM",IF(((DK279/DC279-1)*100)&lt;-50,"NM",(DK279/DC279-1)*100)))</f>
        <v>-0.55027246500696236</v>
      </c>
      <c r="DM279" s="81">
        <f>DM273/DM240*100</f>
        <v>10.858400586940572</v>
      </c>
      <c r="DN279" s="130">
        <f t="shared" ref="DN279:DZ280" si="1982">IF(ISERROR((DM279/DE279-1)*100),"NA",IF(((DM279/DE279-1)*100)&gt;100,"NM",IF(((DM279/DE279-1)*100)&lt;-50,"NM",(DM279/DE279-1)*100)))</f>
        <v>3.2754544713458955</v>
      </c>
      <c r="DO279" s="81">
        <f>DO273/DO240*100</f>
        <v>10.37344398340249</v>
      </c>
      <c r="DP279" s="130">
        <f t="shared" si="1982"/>
        <v>-3.6010669828097086</v>
      </c>
      <c r="DQ279" s="81">
        <f>DQ273/DQ240*100</f>
        <v>10.441334768568353</v>
      </c>
      <c r="DR279" s="130">
        <f t="shared" si="1982"/>
        <v>-10.616853955695117</v>
      </c>
      <c r="DS279" s="81">
        <f>DS273/DS240*100</f>
        <v>7.7513966480446923</v>
      </c>
      <c r="DT279" s="130">
        <f t="shared" si="1982"/>
        <v>-13.636522346368718</v>
      </c>
      <c r="DU279" s="81">
        <f>DU273/DU240*100</f>
        <v>7.2765072765072771</v>
      </c>
      <c r="DV279" s="130">
        <f t="shared" si="1982"/>
        <v>-32.98730123054446</v>
      </c>
      <c r="DW279" s="81">
        <f>DW273/DW240*100</f>
        <v>2.0845396641574987</v>
      </c>
      <c r="DX279" s="81">
        <f t="shared" ref="DX279:DY279" si="1983">DX273/DX240*100</f>
        <v>2.0845396641574987</v>
      </c>
      <c r="DY279" s="81">
        <f t="shared" si="1983"/>
        <v>8.827893175074184</v>
      </c>
      <c r="DZ279" s="130">
        <f t="shared" si="1982"/>
        <v>-15.452445776866842</v>
      </c>
      <c r="EA279" s="81">
        <f t="shared" ref="EA279:EC279" si="1984">EA273/EA240*100</f>
        <v>5.0744248985115021</v>
      </c>
      <c r="EB279" s="130">
        <f t="shared" ref="EB279:EB280" si="1985">IF(ISERROR((EA279/DS279-1)*100),"NA",IF(((EA279/DS279-1)*100)&gt;100,"NM",IF(((EA279/DS279-1)*100)&lt;-50,"NM",(EA279/DS279-1)*100)))</f>
        <v>-34.535347255238989</v>
      </c>
      <c r="EC279" s="81">
        <f t="shared" si="1984"/>
        <v>7.8023407022106639</v>
      </c>
      <c r="ED279" s="130">
        <f t="shared" ref="ED279:ED280" si="1986">IF(ISERROR((EC279/DU279-1)*100),"NA",IF(((EC279/DU279-1)*100)&gt;100,"NM",IF(((EC279/DU279-1)*100)&lt;-50,"NM",(EC279/DU279-1)*100)))</f>
        <v>7.2264536503808374</v>
      </c>
      <c r="EE279" s="81">
        <f t="shared" ref="EE279:EG279" si="1987">EE273/EE240*100</f>
        <v>10.245398773006135</v>
      </c>
      <c r="EF279" s="130" t="str">
        <f t="shared" ref="EF279:EF280" si="1988">IF(ISERROR((EE279/DW279-1)*100),"NA",IF(((EE279/DW279-1)*100)&gt;100,"NM",IF(((EE279/DW279-1)*100)&lt;-50,"NM",(EE279/DW279-1)*100)))</f>
        <v>NM</v>
      </c>
      <c r="EG279" s="81">
        <f t="shared" si="1987"/>
        <v>9.625</v>
      </c>
      <c r="EH279" s="130">
        <f t="shared" ref="EH279:EH280" si="1989">IF(ISERROR((EG279/DY279-1)*100),"NA",IF(((EG279/DY279-1)*100)&gt;100,"NM",IF(((EG279/DY279-1)*100)&lt;-50,"NM",(EG279/DY279-1)*100)))</f>
        <v>9.0294117647058858</v>
      </c>
      <c r="EI279" s="81">
        <f t="shared" ref="EI279:EK279" si="1990">EI273/EI240*100</f>
        <v>8.0946450809464512</v>
      </c>
      <c r="EJ279" s="130">
        <f t="shared" ref="EJ279:EJ280" si="1991">IF(ISERROR((EI279/EA279-1)*100),"NA",IF(((EI279/EA279-1)*100)&gt;100,"NM",IF(((EI279/EA279-1)*100)&lt;-50,"NM",(EI279/EA279-1)*100)))</f>
        <v>59.51847239518473</v>
      </c>
      <c r="EK279" s="81">
        <f t="shared" si="1990"/>
        <v>8.0362537764350463</v>
      </c>
      <c r="EL279" s="130">
        <f t="shared" ref="EL279:EL280" si="1992">IF(ISERROR((EK279/EC279-1)*100),"NA",IF(((EK279/EC279-1)*100)&gt;100,"NM",IF(((EK279/EC279-1)*100)&lt;-50,"NM",(EK279/EC279-1)*100)))</f>
        <v>2.9979859013091747</v>
      </c>
      <c r="EM279" s="81">
        <f t="shared" ref="EM279" si="1993">EM273/EM240*100</f>
        <v>7.4969021065675339</v>
      </c>
      <c r="EN279" s="130">
        <f t="shared" ref="EN279:EN280" si="1994">IF(ISERROR((EM279/EE279-1)*100),"NA",IF(((EM279/EE279-1)*100)&gt;100,"NM",IF(((EM279/EE279-1)*100)&lt;-50,"NM",(EM279/EE279-1)*100)))</f>
        <v>-26.826644109550422</v>
      </c>
      <c r="EO279" s="81">
        <f t="shared" ref="EO279" si="1995">EO273/EO240*100</f>
        <v>9.026128266033254</v>
      </c>
      <c r="EP279" s="130">
        <f t="shared" ref="EP279:EP280" si="1996">IF(ISERROR((EO279/EG279-1)*100),"NA",IF(((EO279/EG279-1)*100)&gt;100,"NM",IF(((EO279/EG279-1)*100)&lt;-50,"NM",(EO279/EG279-1)*100)))</f>
        <v>-6.2220439892648916</v>
      </c>
      <c r="EQ279" s="81">
        <f t="shared" ref="EQ279:EW279" si="1997">EQ273/EQ240*100</f>
        <v>8.5727058427376921</v>
      </c>
      <c r="ER279" s="130">
        <f t="shared" ref="ER279:ER280" si="1998">IF(ISERROR((EQ279/EI279-1)*100),"NA",IF(((EQ279/EI279-1)*100)&gt;100,"NM",IF(((EQ279/EI279-1)*100)&lt;-50,"NM",(EQ279/EI279-1)*100)))</f>
        <v>5.905889103359474</v>
      </c>
      <c r="ES279" s="81">
        <f t="shared" si="1997"/>
        <v>9.498678078633036</v>
      </c>
      <c r="ET279" s="130">
        <f t="shared" ref="ET279:ET280" si="1999">IF(ISERROR((ES279/EK279-1)*100),"NA",IF(((ES279/EK279-1)*100)&gt;100,"NM",IF(((ES279/EK279-1)*100)&lt;-50,"NM",(ES279/EK279-1)*100)))</f>
        <v>18.197836241636644</v>
      </c>
      <c r="EU279" s="81">
        <f t="shared" si="1997"/>
        <v>9.428184613538642</v>
      </c>
      <c r="EV279" s="130">
        <f t="shared" ref="EV279:EV280" si="2000">IF(ISERROR((EU279/EM279-1)*100),"NA",IF(((EU279/EM279-1)*100)&gt;100,"NM",IF(((EU279/EM279-1)*100)&lt;-50,"NM",(EU279/EM279-1)*100)))</f>
        <v>25.761074101250991</v>
      </c>
      <c r="EW279" s="81">
        <f t="shared" si="1997"/>
        <v>9.8127438408027388</v>
      </c>
      <c r="EX279" s="130">
        <f t="shared" ref="EX279:EX280" si="2001">IF(ISERROR((EW279/EO279-1)*100),"NA",IF(((EW279/EO279-1)*100)&gt;100,"NM",IF(((EW279/EO279-1)*100)&lt;-50,"NM",(EW279/EO279-1)*100)))</f>
        <v>8.7148725520513892</v>
      </c>
      <c r="EY279" s="64"/>
      <c r="EZ279" s="558"/>
      <c r="FA279" s="64"/>
      <c r="FB279" s="81"/>
      <c r="FC279" s="71"/>
      <c r="FD279" s="81"/>
      <c r="FE279" s="70"/>
      <c r="FF279" s="81"/>
      <c r="FG279" s="70"/>
      <c r="FH279" s="81"/>
      <c r="FI279" s="70"/>
      <c r="FJ279" s="81"/>
      <c r="FK279" s="70"/>
      <c r="FL279" s="88"/>
      <c r="FM279" s="61"/>
      <c r="FN279" s="88">
        <f>FN273/FN240*100</f>
        <v>13.79495437466452</v>
      </c>
      <c r="FO279" s="61"/>
      <c r="FP279" s="88">
        <f>FP273/FP240*100</f>
        <v>13.582120799748761</v>
      </c>
      <c r="FQ279" s="61">
        <f>IF(ISERROR((FP279/FN279-1)*100),"NA",IF(((FP279/FN279-1)*100)&gt;100,"NM",IF(((FP279/FN279-1)*100)&lt;-50,"NM",(FP279/FN279-1)*100)))</f>
        <v>-1.5428363815877755</v>
      </c>
      <c r="FR279" s="88">
        <f>FR273/FR240*100</f>
        <v>15.241430151124211</v>
      </c>
      <c r="FS279" s="61">
        <f>IF(ISERROR((FR279/FP279-1)*100),"NA",IF(((FR279/FP279-1)*100)&gt;100,"NM",IF(((FR279/FP279-1)*100)&lt;-50,"NM",(FR279/FP279-1)*100)))</f>
        <v>12.216864919992055</v>
      </c>
      <c r="FT279" s="88">
        <f>FT273/FT240*100</f>
        <v>17.160975128306355</v>
      </c>
      <c r="FU279" s="61">
        <f>IF(ISERROR((FT279/FR279-1)*100),"NA",IF(((FT279/FR279-1)*100)&gt;100,"NM",IF(((FT279/FR279-1)*100)&lt;-50,"NM",(FT279/FR279-1)*100)))</f>
        <v>12.594257613289383</v>
      </c>
      <c r="FV279" s="88">
        <f>FV273/FV240*100</f>
        <v>12.707662664191554</v>
      </c>
      <c r="FW279" s="61">
        <f>IF(ISERROR((FV279/FT279-1)*100),"NA",IF(((FV279/FT279-1)*100)&gt;100,"NM",IF(((FV279/FT279-1)*100)&lt;-50,"NM",(FV279/FT279-1)*100)))</f>
        <v>-25.950229697432736</v>
      </c>
      <c r="FX279" s="88">
        <f>FX273/FX240*100</f>
        <v>13.257558112451671</v>
      </c>
      <c r="FY279" s="61">
        <f>IF(ISERROR((FX279/FV279-1)*100),"NA",IF(((FX279/FV279-1)*100)&gt;100,"NM",IF(((FX279/FV279-1)*100)&lt;-50,"NM",(FX279/FV279-1)*100)))</f>
        <v>4.327274517678581</v>
      </c>
      <c r="FZ279" s="88">
        <f>FZ273/FZ240*100</f>
        <v>11.199965136295273</v>
      </c>
      <c r="GA279" s="61">
        <f>IF(ISERROR((FZ279/FX279-1)*100),"NA",IF(((FZ279/FX279-1)*100)&gt;100,"NM",IF(((FZ279/FX279-1)*100)&lt;-50,"NM",(FZ279/FX279-1)*100)))</f>
        <v>-15.520150533784049</v>
      </c>
      <c r="GB279" s="88">
        <f>GB273/GB240*100</f>
        <v>11.970537956651116</v>
      </c>
      <c r="GC279" s="61">
        <f>IF(ISERROR((GB279/FZ279-1)*100),"NA",IF(((GB279/FZ279-1)*100)&gt;100,"NM",IF(((GB279/FZ279-1)*100)&lt;-50,"NM",(GB279/FZ279-1)*100)))</f>
        <v>6.8801358841616311</v>
      </c>
      <c r="GD279" s="88">
        <f>GD273/GD240*100</f>
        <v>11.335311572700297</v>
      </c>
      <c r="GE279" s="61">
        <f>IF(ISERROR((GD279/GB279-1)*100),"NA",IF(((GD279/GB279-1)*100)&gt;100,"NM",IF(((GD279/GB279-1)*100)&lt;-50,"NM",(GD279/GB279-1)*100)))</f>
        <v>-5.306581761414253</v>
      </c>
      <c r="GF279" s="88">
        <f>GF273/GF240*100</f>
        <v>10.522243713733076</v>
      </c>
      <c r="GG279" s="61">
        <f>IF(ISERROR((GF279/GD279-1)*100),"NA",IF(((GF279/GD279-1)*100)&gt;100,"NM",IF(((GF279/GD279-1)*100)&lt;-50,"NM",(GF279/GD279-1)*100)))</f>
        <v>-7.1728761380092543</v>
      </c>
      <c r="GH279" s="88">
        <f>GH273/GH240*100</f>
        <v>10.193204530313125</v>
      </c>
      <c r="GI279" s="61">
        <f>IF(ISERROR((GH279/GF279-1)*100),"NA",IF(((GH279/GF279-1)*100)&gt;100,"NM",IF(((GH279/GF279-1)*100)&lt;-50,"NM",(GH279/GF279-1)*100)))</f>
        <v>-3.1270819453697585</v>
      </c>
      <c r="GJ279" s="88">
        <f>GJ273/GJ240*100</f>
        <v>6.2352941176470589</v>
      </c>
      <c r="GK279" s="61">
        <f>IF(ISERROR((GJ279/GH279-1)*100),"NA",IF(((GJ279/GH279-1)*100)&gt;100,"NM",IF(((GJ279/GH279-1)*100)&lt;-50,"NM",(GJ279/GH279-1)*100)))</f>
        <v>-38.828911956939635</v>
      </c>
      <c r="GL279" s="88">
        <f>GL273/GL240*100</f>
        <v>8.2612872238232473</v>
      </c>
      <c r="GM279" s="61">
        <f>IF(ISERROR((GL279/GJ279-1)*100),"NA",IF(((GL279/GJ279-1)*100)&gt;100,"NM",IF(((GL279/GJ279-1)*100)&lt;-50,"NM",(GL279/GJ279-1)*100)))</f>
        <v>32.492342268863396</v>
      </c>
      <c r="GN279" s="88">
        <f>GN273/GN240*100</f>
        <v>8.1719774355846937</v>
      </c>
      <c r="GO279" s="61">
        <f>IF(ISERROR((GN279/GL279-1)*100),"NA",IF(((GN279/GL279-1)*100)&gt;100,"NM",IF(((GN279/GL279-1)*100)&lt;-50,"NM",(GN279/GL279-1)*100)))</f>
        <v>-1.0810638320503996</v>
      </c>
      <c r="GP279" s="88">
        <f>GP273/GP240*100</f>
        <v>9.331140328246768</v>
      </c>
      <c r="GQ279" s="61">
        <f>IF(ISERROR((GP279/GN279-1)*100),"NA",IF(((GP279/GN279-1)*100)&gt;100,"NM",IF(((GP279/GN279-1)*100)&lt;-50,"NM",(GP279/GN279-1)*100)))</f>
        <v>14.184607113751024</v>
      </c>
      <c r="GR279" s="81">
        <f>GR273/GR240*100</f>
        <v>9.1588294702099144</v>
      </c>
      <c r="GS279" s="61">
        <f>IF(ISERROR((GR279/GP279-1)*100),"NA",IF(((GR279/GP279-1)*100)&gt;100,"NM",IF(((GR279/GP279-1)*100)&lt;-50,"NM",(GR279/GP279-1)*100)))</f>
        <v>-1.846621655825309</v>
      </c>
      <c r="GT279" s="81">
        <f>GT273/GT240*100</f>
        <v>9.1332887731068766</v>
      </c>
      <c r="GU279" s="61">
        <f>IF(ISERROR((GT279/GR279-1)*100),"NA",IF(((GT279/GR279-1)*100)&gt;100,"NM",IF(((GT279/GR279-1)*100)&lt;-50,"NM",(GT279/GR279-1)*100)))</f>
        <v>-0.27886420624066988</v>
      </c>
      <c r="GV279" s="81">
        <f>GV273/GV240*100</f>
        <v>9.1609878366295572</v>
      </c>
      <c r="GW279" s="61">
        <f>IF(ISERROR((GV279/GT279-1)*100),"NA",IF(((GV279/GT279-1)*100)&gt;100,"NM",IF(((GV279/GT279-1)*100)&lt;-50,"NM",(GV279/GT279-1)*100)))</f>
        <v>0.30327589777126018</v>
      </c>
      <c r="GX279" s="81">
        <f>GX273/GX240*100</f>
        <v>9.1804199729683909</v>
      </c>
      <c r="GY279" s="61">
        <f>IF(ISERROR((GX279/GV279-1)*100),"NA",IF(((GX279/GV279-1)*100)&gt;100,"NM",IF(((GX279/GV279-1)*100)&lt;-50,"NM",(GX279/GV279-1)*100)))</f>
        <v>0.212118351048729</v>
      </c>
      <c r="GZ279" s="61">
        <f t="shared" si="1909"/>
        <v>2.3545322794089163</v>
      </c>
      <c r="HA279" s="61"/>
      <c r="HB279" s="452"/>
      <c r="HC279"/>
      <c r="HD279"/>
      <c r="HE279"/>
      <c r="HF279"/>
      <c r="HG279"/>
      <c r="HH279"/>
    </row>
    <row r="280" spans="2:216" s="5" customFormat="1" ht="12.75" customHeight="1" x14ac:dyDescent="0.2">
      <c r="B280" s="2" t="s">
        <v>382</v>
      </c>
      <c r="C280" s="82"/>
      <c r="D280" s="70"/>
      <c r="E280" s="82"/>
      <c r="F280" s="71"/>
      <c r="G280" s="82"/>
      <c r="H280" s="71"/>
      <c r="I280" s="82"/>
      <c r="J280" s="61"/>
      <c r="K280" s="82"/>
      <c r="L280" s="61"/>
      <c r="M280" s="82"/>
      <c r="N280" s="61"/>
      <c r="O280" s="82"/>
      <c r="P280" s="61"/>
      <c r="Q280" s="82"/>
      <c r="R280" s="61"/>
      <c r="S280" s="82"/>
      <c r="T280" s="61"/>
      <c r="U280" s="82"/>
      <c r="V280" s="61"/>
      <c r="W280" s="82"/>
      <c r="X280" s="61"/>
      <c r="Y280" s="82"/>
      <c r="Z280" s="61"/>
      <c r="AA280" s="82"/>
      <c r="AB280" s="61"/>
      <c r="AC280" s="82"/>
      <c r="AD280" s="61"/>
      <c r="AE280" s="82"/>
      <c r="AF280" s="61"/>
      <c r="AG280" s="82"/>
      <c r="AH280" s="61"/>
      <c r="AI280" s="82"/>
      <c r="AJ280" s="61"/>
      <c r="AK280" s="82"/>
      <c r="AL280" s="61"/>
      <c r="AM280" s="82"/>
      <c r="AN280" s="61"/>
      <c r="AO280" s="82"/>
      <c r="AP280" s="61"/>
      <c r="AQ280" s="82">
        <f>AQ273/AQ232*400</f>
        <v>1.7467642093415872</v>
      </c>
      <c r="AR280" s="61" t="str">
        <f>IF(ISERROR((AQ280/AI280-1)*100),"NA",IF(((AQ280/AI280-1)*100)&gt;100,"NM",IF(((AQ280/AI280-1)*100)&lt;-50,"NM",(AQ280/AI280-1)*100)))</f>
        <v>NA</v>
      </c>
      <c r="AS280" s="82">
        <f>AS273/AS232*400</f>
        <v>1.8670543936174191</v>
      </c>
      <c r="AT280" s="61" t="str">
        <f>IF(ISERROR((AS280/AK280-1)*100),"NA",IF(((AS280/AK280-1)*100)&gt;100,"NM",IF(((AS280/AK280-1)*100)&lt;-50,"NM",(AS280/AK280-1)*100)))</f>
        <v>NA</v>
      </c>
      <c r="AU280" s="82">
        <f>AU273/AU232*400</f>
        <v>1.9060205580029359</v>
      </c>
      <c r="AV280" s="61" t="str">
        <f>IF(ISERROR((AU280/AM280-1)*100),"NA",IF(((AU280/AM280-1)*100)&gt;100,"NM",IF(((AU280/AM280-1)*100)&lt;-50,"NM",(AU280/AM280-1)*100)))</f>
        <v>NA</v>
      </c>
      <c r="AW280" s="82">
        <f>AW273/AW232*400</f>
        <v>2.1241230437128977</v>
      </c>
      <c r="AX280" s="61" t="str">
        <f>IF(ISERROR((AW280/AO280-1)*100),"NA",IF(((AW280/AO280-1)*100)&gt;100,"NM",IF(((AW280/AO280-1)*100)&lt;-50,"NM",(AW280/AO280-1)*100)))</f>
        <v>NA</v>
      </c>
      <c r="AY280" s="81">
        <f>AY273/AY232*400</f>
        <v>1.9492902041104598</v>
      </c>
      <c r="AZ280" s="61">
        <f>IF(ISERROR((AY280/AQ280-1)*100),"NA",IF(((AY280/AQ280-1)*100)&gt;100,"NM",IF(((AY280/AQ280-1)*100)&lt;-50,"NM",(AY280/AQ280-1)*100)))</f>
        <v>11.594352213411296</v>
      </c>
      <c r="BA280" s="81">
        <f>BA273/BA232*400</f>
        <v>2.9608010869018262</v>
      </c>
      <c r="BB280" s="61">
        <f>IF(ISERROR((BA280/AS280-1)*100),"NA",IF(((BA280/AS280-1)*100)&gt;100,"NM",IF(((BA280/AS280-1)*100)&lt;-50,"NM",(BA280/AS280-1)*100)))</f>
        <v>58.581404860159012</v>
      </c>
      <c r="BC280" s="81">
        <f>BC273/BC232*400</f>
        <v>1.9150470769410697</v>
      </c>
      <c r="BD280" s="61">
        <f>IF(ISERROR((BC280/AU280-1)*100),"NA",IF(((BC280/AU280-1)*100)&gt;100,"NM",IF(((BC280/AU280-1)*100)&lt;-50,"NM",(BC280/AU280-1)*100)))</f>
        <v>0.47357930638436407</v>
      </c>
      <c r="BE280" s="81">
        <f>BE273/BE232*400</f>
        <v>2.4056585738864467</v>
      </c>
      <c r="BF280" s="61">
        <f>IF(ISERROR((BE280/AW280-1)*100),"NA",IF(((BE280/AW280-1)*100)&gt;100,"NM",IF(((BE280/AW280-1)*100)&lt;-50,"NM",(BE280/AW280-1)*100)))</f>
        <v>13.254200645619573</v>
      </c>
      <c r="BG280" s="81">
        <f>BG273/BG232*400</f>
        <v>2.1455247907276256</v>
      </c>
      <c r="BH280" s="61">
        <f>IF(ISERROR((BG280/AY280-1)*100),"NA",IF(((BG280/AY280-1)*100)&gt;100,"NM",IF(((BG280/AY280-1)*100)&lt;-50,"NM",(BG280/AY280-1)*100)))</f>
        <v>10.066976492436419</v>
      </c>
      <c r="BI280" s="81">
        <f>BI273/BI232*400</f>
        <v>2.2378952373405183</v>
      </c>
      <c r="BJ280" s="61">
        <f>IF(ISERROR((BI280/BA280-1)*100),"NA",IF(((BI280/BA280-1)*100)&gt;100,"NM",IF(((BI280/BA280-1)*100)&lt;-50,"NM",(BI280/BA280-1)*100)))</f>
        <v>-24.415887063786322</v>
      </c>
      <c r="BK280" s="81">
        <f>BK273/BK232*400</f>
        <v>2.2695212533549718</v>
      </c>
      <c r="BL280" s="61">
        <f>IF(ISERROR((BK280/BC280-1)*100),"NA",IF(((BK280/BC280-1)*100)&gt;100,"NM",IF(((BK280/BC280-1)*100)&lt;-50,"NM",(BK280/BC280-1)*100)))</f>
        <v>18.509945822329787</v>
      </c>
      <c r="BM280" s="81">
        <f>BM273/BM232*400</f>
        <v>2.1053930642971719</v>
      </c>
      <c r="BN280" s="61">
        <f>IF(ISERROR((BM280/BE280-1)*100),"NA",IF(((BM280/BE280-1)*100)&gt;100,"NM",IF(((BM280/BE280-1)*100)&lt;-50,"NM",(BM280/BE280-1)*100)))</f>
        <v>-12.481634461709278</v>
      </c>
      <c r="BO280" s="81">
        <f>BO273/BO232*400</f>
        <v>1.9402456124131358</v>
      </c>
      <c r="BP280" s="61">
        <f>IF(ISERROR((BO280/BG280-1)*100),"NA",IF(((BO280/BG280-1)*100)&gt;100,"NM",IF(((BO280/BG280-1)*100)&lt;-50,"NM",(BO280/BG280-1)*100)))</f>
        <v>-9.567784031284587</v>
      </c>
      <c r="BQ280" s="81">
        <f>BQ273/BQ232*400</f>
        <v>2.0140428677014053</v>
      </c>
      <c r="BR280" s="61">
        <f>IF(ISERROR((BQ280/BI280-1)*100),"NA",IF(((BQ280/BI280-1)*100)&gt;100,"NM",IF(((BQ280/BI280-1)*100)&lt;-50,"NM",(BQ280/BI280-1)*100)))</f>
        <v>-10.002808259475804</v>
      </c>
      <c r="BS280" s="81">
        <f>BS273/BS232*400</f>
        <v>1.6940480226859429</v>
      </c>
      <c r="BT280" s="61">
        <f>IF(ISERROR((BS280/BK280-1)*100),"NA",IF(((BS280/BK280-1)*100)&gt;100,"NM",IF(((BS280/BK280-1)*100)&lt;-50,"NM",(BS280/BK280-1)*100)))</f>
        <v>-25.356591387647164</v>
      </c>
      <c r="BU280" s="81">
        <f>BU273/BU232*400</f>
        <v>1.0306702479855081</v>
      </c>
      <c r="BV280" s="61" t="str">
        <f>IF(ISERROR((BU280/BM280-1)*100),"NA",IF(((BU280/BM280-1)*100)&gt;100,"NM",IF(((BU280/BM280-1)*100)&lt;-50,"NM",(BU280/BM280-1)*100)))</f>
        <v>NM</v>
      </c>
      <c r="BW280" s="82">
        <f>BW273/BW232*400</f>
        <v>1.7953978725419026</v>
      </c>
      <c r="BX280" s="61">
        <f>IF(ISERROR((BW280/BO280-1)*100),"NA",IF(((BW280/BO280-1)*100)&gt;100,"NM",IF(((BW280/BO280-1)*100)&lt;-50,"NM",(BW280/BO280-1)*100)))</f>
        <v>-7.46543318766133</v>
      </c>
      <c r="BY280" s="82">
        <f>BY273/BY232*400</f>
        <v>1.6643706950532251</v>
      </c>
      <c r="BZ280" s="61">
        <f>IF(ISERROR((BY280/BQ280-1)*100),"NA",IF(((BY280/BQ280-1)*100)&gt;100,"NM",IF(((BY280/BQ280-1)*100)&lt;-50,"NM",(BY280/BQ280-1)*100)))</f>
        <v>-17.361704572219729</v>
      </c>
      <c r="CA280" s="82">
        <f>CA273/CA232*400</f>
        <v>1.6729991420517212</v>
      </c>
      <c r="CB280" s="61">
        <f>IF(ISERROR((CA280/BS280-1)*100),"NA",IF(((CA280/BS280-1)*100)&gt;100,"NM",IF(((CA280/BS280-1)*100)&lt;-50,"NM",(CA280/BS280-1)*100)))</f>
        <v>-1.2425197132752142</v>
      </c>
      <c r="CC280" s="82">
        <f>CC273/CC232*400</f>
        <v>1.896510228640194</v>
      </c>
      <c r="CD280" s="61">
        <f>IF(ISERROR((CC280/BU280-1)*100),"NA",IF(((CC280/BU280-1)*100)&gt;100,"NM",IF(((CC280/BU280-1)*100)&lt;-50,"NM",(CC280/BU280-1)*100)))</f>
        <v>84.00746818364162</v>
      </c>
      <c r="CE280" s="82">
        <f>CE273/CE232*400</f>
        <v>1.6273160874281218</v>
      </c>
      <c r="CF280" s="61">
        <f>IF(ISERROR((CE280/BW280-1)*100),"NA",IF(((CE280/BW280-1)*100)&gt;100,"NM",IF(((CE280/BW280-1)*100)&lt;-50,"NM",(CE280/BW280-1)*100)))</f>
        <v>-9.3618126480128119</v>
      </c>
      <c r="CG280" s="82">
        <f>CG273/CG232*400</f>
        <v>1.7997123070306831</v>
      </c>
      <c r="CH280" s="61">
        <f>IF(ISERROR((CG280/BY280-1)*100),"NA",IF(((CG280/BY280-1)*100)&gt;100,"NM",IF(((CG280/BY280-1)*100)&lt;-50,"NM",(CG280/BY280-1)*100)))</f>
        <v>8.1316988084274122</v>
      </c>
      <c r="CI280" s="82">
        <f>CI273/CI232*400</f>
        <v>0.70504803801844962</v>
      </c>
      <c r="CJ280" s="61" t="str">
        <f>IF(ISERROR((CI280/CA280-1)*100),"NA",IF(((CI280/CA280-1)*100)&gt;100,"NM",IF(((CI280/CA280-1)*100)&lt;-50,"NM",(CI280/CA280-1)*100)))</f>
        <v>NM</v>
      </c>
      <c r="CK280" s="82">
        <f>CK273/CK232*400</f>
        <v>1.9000330066156725</v>
      </c>
      <c r="CL280" s="61">
        <f>IF(ISERROR((CK280/CC280-1)*100),"NA",IF(((CK280/CC280-1)*100)&gt;100,"NM",IF(((CK280/CC280-1)*100)&lt;-50,"NM",(CK280/CC280-1)*100)))</f>
        <v>0.18575053918925555</v>
      </c>
      <c r="CM280" s="82">
        <f>CM273/CM232*400</f>
        <v>1.5946769235088507</v>
      </c>
      <c r="CN280" s="61">
        <f>IF(ISERROR((CM280/CE280-1)*100),"NA",IF(((CM280/CE280-1)*100)&gt;100,"NM",IF(((CM280/CE280-1)*100)&lt;-50,"NM",(CM280/CE280-1)*100)))</f>
        <v>-2.0057052327710601</v>
      </c>
      <c r="CO280" s="82">
        <f>CO273/CO232*400</f>
        <v>1.511043412033511</v>
      </c>
      <c r="CP280" s="61">
        <f>IF(ISERROR((CO280/CG280-1)*100),"NA",IF(((CO280/CG280-1)*100)&gt;100,"NM",IF(((CO280/CG280-1)*100)&lt;-50,"NM",(CO280/CG280-1)*100)))</f>
        <v>-16.039724453151205</v>
      </c>
      <c r="CQ280" s="82">
        <f>CQ273/CQ232*400</f>
        <v>1.7013744849138517</v>
      </c>
      <c r="CR280" s="61" t="str">
        <f>IF(ISERROR((CQ280/CI280-1)*100),"NA",IF(((CQ280/CI280-1)*100)&gt;100,"NM",IF(((CQ280/CI280-1)*100)&lt;-50,"NM",(CQ280/CI280-1)*100)))</f>
        <v>NM</v>
      </c>
      <c r="CS280" s="82">
        <f>CS273/CS232*400</f>
        <v>1.4810954620880703</v>
      </c>
      <c r="CT280" s="61">
        <f>IF(ISERROR((CS280/CK280-1)*100),"NA",IF(((CS280/CK280-1)*100)&gt;100,"NM",IF(((CS280/CK280-1)*100)&lt;-50,"NM",(CS280/CK280-1)*100)))</f>
        <v>-22.048961416402513</v>
      </c>
      <c r="CU280" s="82">
        <f>CU273/CU232*400</f>
        <v>1.4905766601431596</v>
      </c>
      <c r="CV280" s="61">
        <f>IF(ISERROR((CU280/CM280-1)*100),"NA",IF(((CU280/CM280-1)*100)&gt;100,"NM",IF(((CU280/CM280-1)*100)&lt;-50,"NM",(CU280/CM280-1)*100)))</f>
        <v>-6.5279845610754723</v>
      </c>
      <c r="CW280" s="82">
        <f>CW273/CW232*400</f>
        <v>1.4313925594094179</v>
      </c>
      <c r="CX280" s="61">
        <f>IF(ISERROR((CW280/CO280-1)*100),"NA",IF(((CW280/CO280-1)*100)&gt;100,"NM",IF(((CW280/CO280-1)*100)&lt;-50,"NM",(CW280/CO280-1)*100)))</f>
        <v>-5.2712484624714895</v>
      </c>
      <c r="CY280" s="82">
        <f>CY273/CY232*400</f>
        <v>1.5999368445982396</v>
      </c>
      <c r="CZ280" s="61">
        <f>IF(ISERROR((CY280/CQ280-1)*100),"NA",IF(((CY280/CQ280-1)*100)&gt;100,"NM",IF(((CY280/CQ280-1)*100)&lt;-50,"NM",(CY280/CQ280-1)*100)))</f>
        <v>-5.9620995386414517</v>
      </c>
      <c r="DA280" s="82">
        <f>DA273/DA232*400</f>
        <v>1.5232568682564149</v>
      </c>
      <c r="DB280" s="61">
        <f>IF(ISERROR((DA280/CS280-1)*100),"NA",IF(((DA280/CS280-1)*100)&gt;100,"NM",IF(((DA280/CS280-1)*100)&lt;-50,"NM",(DA280/CS280-1)*100)))</f>
        <v>2.8466366448051117</v>
      </c>
      <c r="DC280" s="82">
        <f>DC273/DC232*400</f>
        <v>1.1394996884180539</v>
      </c>
      <c r="DD280" s="61">
        <f>IF(ISERROR((DC280/CU280-1)*100),"NA",IF(((DC280/CU280-1)*100)&gt;100,"NM",IF(((DC280/CU280-1)*100)&lt;-50,"NM",(DC280/CU280-1)*100)))</f>
        <v>-23.553097342298855</v>
      </c>
      <c r="DE280" s="82">
        <f>DE273/DE232*400</f>
        <v>1.3541300967952254</v>
      </c>
      <c r="DF280" s="61">
        <f>IF(ISERROR((DE280/CW280-1)*100),"NA",IF(((DE280/CW280-1)*100)&gt;100,"NM",IF(((DE280/CW280-1)*100)&lt;-50,"NM",(DE280/CW280-1)*100)))</f>
        <v>-5.3977130247254035</v>
      </c>
      <c r="DG280" s="82">
        <f>DG273/DG232*400</f>
        <v>1.3844423293242192</v>
      </c>
      <c r="DH280" s="61">
        <f>IF(ISERROR((DG280/CY280-1)*100),"NA",IF(((DG280/CY280-1)*100)&gt;100,"NM",IF(((DG280/CY280-1)*100)&lt;-50,"NM",(DG280/CY280-1)*100)))</f>
        <v>-13.468938852279088</v>
      </c>
      <c r="DI280" s="82">
        <f>DI273/DI232*400</f>
        <v>1.5199554662729626</v>
      </c>
      <c r="DJ280" s="61">
        <f>IF(ISERROR((DI280/DA280-1)*100),"NA",IF(((DI280/DA280-1)*100)&gt;100,"NM",IF(((DI280/DA280-1)*100)&lt;-50,"NM",(DI280/DA280-1)*100)))</f>
        <v>-0.2167331099731884</v>
      </c>
      <c r="DK280" s="82">
        <f>DK273/DK232*400</f>
        <v>1.1421093331747072</v>
      </c>
      <c r="DL280" s="61">
        <f>IF(ISERROR((DK280/DC280-1)*100),"NA",IF(((DK280/DC280-1)*100)&gt;100,"NM",IF(((DK280/DC280-1)*100)&lt;-50,"NM",(DK280/DC280-1)*100)))</f>
        <v>0.22901671524597766</v>
      </c>
      <c r="DM280" s="82">
        <f>DM273/DM232*400</f>
        <v>1.390062928524467</v>
      </c>
      <c r="DN280" s="130">
        <f t="shared" si="1982"/>
        <v>2.6535730809235103</v>
      </c>
      <c r="DO280" s="82">
        <f>DO273/DO232*400</f>
        <v>1.3936472910980779</v>
      </c>
      <c r="DP280" s="130">
        <f t="shared" si="1982"/>
        <v>0.6648858951280312</v>
      </c>
      <c r="DQ280" s="82">
        <f>DQ273/DQ232*400</f>
        <v>1.7830062956665595</v>
      </c>
      <c r="DR280" s="130">
        <f t="shared" si="1982"/>
        <v>17.306482672062494</v>
      </c>
      <c r="DS280" s="82">
        <f>DS273/DS232*400</f>
        <v>1.0060840895958669</v>
      </c>
      <c r="DT280" s="130">
        <f t="shared" si="1982"/>
        <v>-11.910001926061897</v>
      </c>
      <c r="DU280" s="82">
        <f>DU273/DU232*400</f>
        <v>0.94293026806160485</v>
      </c>
      <c r="DV280" s="130">
        <f t="shared" si="1982"/>
        <v>-32.166361053703326</v>
      </c>
      <c r="DW280" s="82">
        <f>DW273/DW232*400</f>
        <v>0.32315253248356185</v>
      </c>
      <c r="DX280" s="82">
        <f t="shared" ref="DX280:DY280" si="2002">DX273/DX232*400</f>
        <v>-113.83457388051959</v>
      </c>
      <c r="DY280" s="82">
        <f t="shared" si="2002"/>
        <v>1.061706090311932</v>
      </c>
      <c r="DZ280" s="130">
        <f t="shared" si="1982"/>
        <v>-40.454159197737241</v>
      </c>
      <c r="EA280" s="82">
        <f t="shared" ref="EA280:EC280" si="2003">EA273/EA232*400</f>
        <v>0.66144128055031914</v>
      </c>
      <c r="EB280" s="130">
        <f t="shared" si="1985"/>
        <v>-34.255865151787368</v>
      </c>
      <c r="EC280" s="82">
        <f t="shared" si="2003"/>
        <v>1.0501329074460986</v>
      </c>
      <c r="ED280" s="130">
        <f t="shared" si="1986"/>
        <v>11.369095151105046</v>
      </c>
      <c r="EE280" s="82">
        <f t="shared" ref="EE280:EG280" si="2004">EE273/EE232*400</f>
        <v>1.4414414414414414</v>
      </c>
      <c r="EF280" s="130" t="str">
        <f t="shared" si="1988"/>
        <v>NM</v>
      </c>
      <c r="EG280" s="82">
        <f t="shared" si="2004"/>
        <v>1.3096908619296679</v>
      </c>
      <c r="EH280" s="130">
        <f t="shared" si="1989"/>
        <v>23.357195920848241</v>
      </c>
      <c r="EI280" s="82">
        <f t="shared" ref="EI280:EK280" si="2005">EI273/EI232*400</f>
        <v>1.0901810329465289</v>
      </c>
      <c r="EJ280" s="130">
        <f t="shared" si="1991"/>
        <v>64.819019466020976</v>
      </c>
      <c r="EK280" s="82">
        <f t="shared" si="2005"/>
        <v>1.0989805509363026</v>
      </c>
      <c r="EL280" s="130">
        <f t="shared" si="1992"/>
        <v>4.6515677343166528</v>
      </c>
      <c r="EM280" s="82">
        <f t="shared" ref="EM280" si="2006">EM273/EM232*400</f>
        <v>0.98532196005781636</v>
      </c>
      <c r="EN280" s="130">
        <f t="shared" si="1994"/>
        <v>-31.643289020988984</v>
      </c>
      <c r="EO280" s="82">
        <f t="shared" ref="EO280" si="2007">EO273/EO232*400</f>
        <v>1.2143727405276927</v>
      </c>
      <c r="EP280" s="130">
        <f t="shared" si="1996"/>
        <v>-7.2779099383449619</v>
      </c>
      <c r="EQ280" s="82">
        <f t="shared" ref="EQ280:EW280" si="2008">EQ273/EQ232*400</f>
        <v>1.1330411434050016</v>
      </c>
      <c r="ER280" s="130">
        <f t="shared" si="1998"/>
        <v>3.9314672667374317</v>
      </c>
      <c r="ES280" s="82">
        <f t="shared" si="2008"/>
        <v>1.2538086527952359</v>
      </c>
      <c r="ET280" s="130">
        <f t="shared" si="1999"/>
        <v>14.088338663229649</v>
      </c>
      <c r="EU280" s="82">
        <f t="shared" si="2008"/>
        <v>1.2415467791512225</v>
      </c>
      <c r="EV280" s="130">
        <f t="shared" si="2000"/>
        <v>26.004172187370255</v>
      </c>
      <c r="EW280" s="82">
        <f t="shared" si="2008"/>
        <v>1.2875972384468664</v>
      </c>
      <c r="EX280" s="130">
        <f t="shared" si="2001"/>
        <v>6.0298206205908977</v>
      </c>
      <c r="EY280" s="64"/>
      <c r="EZ280" s="558"/>
      <c r="FA280" s="64"/>
      <c r="FB280" s="82"/>
      <c r="FC280" s="71"/>
      <c r="FD280" s="82"/>
      <c r="FE280" s="70"/>
      <c r="FF280" s="82"/>
      <c r="FG280" s="70"/>
      <c r="FH280" s="82"/>
      <c r="FI280" s="70"/>
      <c r="FJ280" s="82"/>
      <c r="FK280" s="70"/>
      <c r="FL280" s="111"/>
      <c r="FM280" s="61"/>
      <c r="FN280" s="111" t="e">
        <f>FN273/FN232*100</f>
        <v>#DIV/0!</v>
      </c>
      <c r="FO280" s="61"/>
      <c r="FP280" s="111">
        <f>FP273/FP232*100</f>
        <v>1.8468436410219902</v>
      </c>
      <c r="FQ280" s="61" t="str">
        <f>IF(ISERROR((FP280/FN280-1)*100),"NA",IF(((FP280/FN280-1)*100)&gt;100,"NM",IF(((FP280/FN280-1)*100)&lt;-50,"NM",(FP280/FN280-1)*100)))</f>
        <v>NA</v>
      </c>
      <c r="FR280" s="111">
        <f>FR273/FR232*100</f>
        <v>2.4478922572210839</v>
      </c>
      <c r="FS280" s="61">
        <f>IF(ISERROR((FR280/FP280-1)*100),"NA",IF(((FR280/FP280-1)*100)&gt;100,"NM",IF(((FR280/FP280-1)*100)&lt;-50,"NM",(FR280/FP280-1)*100)))</f>
        <v>32.544640101015297</v>
      </c>
      <c r="FT280" s="111">
        <f>FT273/FT232*100</f>
        <v>2.3557106083186561</v>
      </c>
      <c r="FU280" s="61">
        <f>IF(ISERROR((FT280/FR280-1)*100),"NA",IF(((FT280/FR280-1)*100)&gt;100,"NM",IF(((FT280/FR280-1)*100)&lt;-50,"NM",(FT280/FR280-1)*100)))</f>
        <v>-3.7657559735523316</v>
      </c>
      <c r="FV280" s="111">
        <f>FV273/FV232*100</f>
        <v>1.6818273701233071</v>
      </c>
      <c r="FW280" s="61">
        <f>IF(ISERROR((FV280/FT280-1)*100),"NA",IF(((FV280/FT280-1)*100)&gt;100,"NM",IF(((FV280/FT280-1)*100)&lt;-50,"NM",(FV280/FT280-1)*100)))</f>
        <v>-28.606367684370216</v>
      </c>
      <c r="FX280" s="111">
        <f>FX273/FX232*100</f>
        <v>1.7451557517782681</v>
      </c>
      <c r="FY280" s="61">
        <f>IF(ISERROR((FX280/FV280-1)*100),"NA",IF(((FX280/FV280-1)*100)&gt;100,"NM",IF(((FX280/FV280-1)*100)&lt;-50,"NM",(FX280/FV280-1)*100)))</f>
        <v>3.7654507697967743</v>
      </c>
      <c r="FZ280" s="111">
        <f>FZ273/FZ232*100</f>
        <v>1.4940557509519485</v>
      </c>
      <c r="GA280" s="61">
        <f>IF(ISERROR((FZ280/FX280-1)*100),"NA",IF(((FZ280/FX280-1)*100)&gt;100,"NM",IF(((FZ280/FX280-1)*100)&lt;-50,"NM",(FZ280/FX280-1)*100)))</f>
        <v>-14.388400609541884</v>
      </c>
      <c r="GB280" s="111">
        <f>GB273/GB232*100</f>
        <v>1.5704733293646942</v>
      </c>
      <c r="GC280" s="61">
        <f>IF(ISERROR((GB280/FZ280-1)*100),"NA",IF(((GB280/FZ280-1)*100)&gt;100,"NM",IF(((GB280/FZ280-1)*100)&lt;-50,"NM",(GB280/FZ280-1)*100)))</f>
        <v>5.1147742220500003</v>
      </c>
      <c r="GD280" s="111">
        <f>GD273/GD232*100</f>
        <v>1.5106576501759796</v>
      </c>
      <c r="GE280" s="61">
        <f>IF(ISERROR((GD280/GB280-1)*100),"NA",IF(((GD280/GB280-1)*100)&gt;100,"NM",IF(((GD280/GB280-1)*100)&lt;-50,"NM",(GD280/GB280-1)*100)))</f>
        <v>-3.8087675906544605</v>
      </c>
      <c r="GF280" s="111">
        <f>GF273/GF232*100</f>
        <v>1.3470347901448556</v>
      </c>
      <c r="GG280" s="61">
        <f>IF(ISERROR((GF280/GD280-1)*100),"NA",IF(((GF280/GD280-1)*100)&gt;100,"NM",IF(((GF280/GD280-1)*100)&lt;-50,"NM",(GF280/GD280-1)*100)))</f>
        <v>-10.831233669128359</v>
      </c>
      <c r="GH280" s="111">
        <f>GH273/GH232*100</f>
        <v>1.4284047146691563</v>
      </c>
      <c r="GI280" s="61">
        <f>IF(ISERROR((GH280/GF280-1)*100),"NA",IF(((GH280/GF280-1)*100)&gt;100,"NM",IF(((GH280/GF280-1)*100)&lt;-50,"NM",(GH280/GF280-1)*100)))</f>
        <v>6.0406698564593464</v>
      </c>
      <c r="GJ280" s="111">
        <f>GJ273/GJ232*100</f>
        <v>0.83262264913146911</v>
      </c>
      <c r="GK280" s="61">
        <f>IF(ISERROR((GJ280/GH280-1)*100),"NA",IF(((GJ280/GH280-1)*100)&gt;100,"NM",IF(((GJ280/GH280-1)*100)&lt;-50,"NM",(GJ280/GH280-1)*100)))</f>
        <v>-41.709612088173543</v>
      </c>
      <c r="GL280" s="111">
        <f>GL273/GL232*100</f>
        <v>1.1148199760184074</v>
      </c>
      <c r="GM280" s="61">
        <f>IF(ISERROR((GL280/GJ280-1)*100),"NA",IF(((GL280/GJ280-1)*100)&gt;100,"NM",IF(((GL280/GJ280-1)*100)&lt;-50,"NM",(GL280/GJ280-1)*100)))</f>
        <v>33.892583534846899</v>
      </c>
      <c r="GN280" s="111">
        <f>GN273/GN232*100</f>
        <v>1.094190176785204</v>
      </c>
      <c r="GO280" s="61">
        <f>IF(ISERROR((GN280/GL280-1)*100),"NA",IF(((GN280/GL280-1)*100)&gt;100,"NM",IF(((GN280/GL280-1)*100)&lt;-50,"NM",(GN280/GL280-1)*100)))</f>
        <v>-1.8505049852876709</v>
      </c>
      <c r="GP280" s="111">
        <f>GP273/GP232*100</f>
        <v>1.2235188173331255</v>
      </c>
      <c r="GQ280" s="61">
        <f>IF(ISERROR((GP280/GN280-1)*100),"NA",IF(((GP280/GN280-1)*100)&gt;100,"NM",IF(((GP280/GN280-1)*100)&lt;-50,"NM",(GP280/GN280-1)*100)))</f>
        <v>11.81957609306059</v>
      </c>
      <c r="GR280" s="82">
        <f>GR273/GR232*100</f>
        <v>1.1966734770665466</v>
      </c>
      <c r="GS280" s="61">
        <f>IF(ISERROR((GR280/GP280-1)*100),"NA",IF(((GR280/GP280-1)*100)&gt;100,"NM",IF(((GR280/GP280-1)*100)&lt;-50,"NM",(GR280/GP280-1)*100)))</f>
        <v>-2.1941093088452046</v>
      </c>
      <c r="GT280" s="82">
        <f>GT273/GT232*100</f>
        <v>1.1905342665716687</v>
      </c>
      <c r="GU280" s="61">
        <f>IF(ISERROR((GT280/GR280-1)*100),"NA",IF(((GT280/GR280-1)*100)&gt;100,"NM",IF(((GT280/GR280-1)*100)&lt;-50,"NM",(GT280/GR280-1)*100)))</f>
        <v>-0.513023026960302</v>
      </c>
      <c r="GV280" s="82">
        <f>GV273/GV232*100</f>
        <v>1.1909680262951254</v>
      </c>
      <c r="GW280" s="61">
        <f>IF(ISERROR((GV280/GT280-1)*100),"NA",IF(((GV280/GT280-1)*100)&gt;100,"NM",IF(((GV280/GT280-1)*100)&lt;-50,"NM",(GV280/GT280-1)*100)))</f>
        <v>3.6434039375099481E-2</v>
      </c>
      <c r="GX280" s="82">
        <f>GX273/GX232*100</f>
        <v>1.1899763942572004</v>
      </c>
      <c r="GY280" s="61">
        <f>IF(ISERROR((GX280/GV280-1)*100),"NA",IF(((GX280/GV280-1)*100)&gt;100,"NM",IF(((GX280/GV280-1)*100)&lt;-50,"NM",(GX280/GV280-1)*100)))</f>
        <v>-8.3262691863339455E-2</v>
      </c>
      <c r="GZ280" s="61">
        <f t="shared" si="1909"/>
        <v>1.6925428109316965</v>
      </c>
      <c r="HA280" s="61"/>
      <c r="HB280" s="452"/>
      <c r="HC280"/>
      <c r="HD280"/>
      <c r="HE280"/>
      <c r="HF280"/>
      <c r="HG280"/>
      <c r="HH280"/>
    </row>
    <row r="281" spans="2:216" s="5" customFormat="1" ht="12.75" customHeight="1" x14ac:dyDescent="0.2">
      <c r="B281" s="2"/>
      <c r="C281" s="66"/>
      <c r="D281" s="67"/>
      <c r="E281" s="66"/>
      <c r="F281" s="66"/>
      <c r="G281" s="64"/>
      <c r="H281" s="66"/>
      <c r="I281" s="64"/>
      <c r="J281" s="66"/>
      <c r="K281" s="64"/>
      <c r="L281" s="61"/>
      <c r="M281" s="66"/>
      <c r="N281" s="61"/>
      <c r="O281" s="64"/>
      <c r="P281" s="61"/>
      <c r="Q281" s="64"/>
      <c r="R281" s="61"/>
      <c r="S281" s="64"/>
      <c r="T281" s="61"/>
      <c r="U281" s="64"/>
      <c r="V281" s="61"/>
      <c r="W281" s="64"/>
      <c r="X281" s="61"/>
      <c r="Y281" s="64"/>
      <c r="Z281" s="61"/>
      <c r="AA281" s="64"/>
      <c r="AB281" s="61"/>
      <c r="AC281" s="64"/>
      <c r="AD281" s="61"/>
      <c r="AE281" s="64"/>
      <c r="AF281" s="61"/>
      <c r="AG281" s="64"/>
      <c r="AH281" s="61"/>
      <c r="AI281" s="64"/>
      <c r="AJ281" s="61"/>
      <c r="AK281" s="64"/>
      <c r="AL281" s="61"/>
      <c r="AM281" s="64"/>
      <c r="AN281" s="61"/>
      <c r="AO281" s="64"/>
      <c r="AP281" s="61"/>
      <c r="AQ281" s="64"/>
      <c r="AR281" s="61"/>
      <c r="AS281" s="64"/>
      <c r="AT281" s="61"/>
      <c r="AU281" s="64"/>
      <c r="AV281" s="61"/>
      <c r="AW281" s="64"/>
      <c r="AX281" s="61"/>
      <c r="AY281" s="85"/>
      <c r="AZ281" s="61"/>
      <c r="BA281" s="85"/>
      <c r="BB281" s="61"/>
      <c r="BC281" s="85"/>
      <c r="BD281" s="61"/>
      <c r="BE281" s="85"/>
      <c r="BF281" s="61"/>
      <c r="BG281" s="85"/>
      <c r="BH281" s="61"/>
      <c r="BI281" s="85"/>
      <c r="BJ281" s="61"/>
      <c r="BK281" s="85"/>
      <c r="BL281" s="61"/>
      <c r="BM281" s="85"/>
      <c r="BN281" s="61"/>
      <c r="BO281" s="85"/>
      <c r="BP281" s="61"/>
      <c r="BQ281" s="85"/>
      <c r="BR281" s="61"/>
      <c r="BS281" s="85"/>
      <c r="BT281" s="61"/>
      <c r="BU281" s="85"/>
      <c r="BV281" s="61"/>
      <c r="BW281" s="64"/>
      <c r="BX281" s="61"/>
      <c r="BY281" s="64"/>
      <c r="BZ281" s="61"/>
      <c r="CA281" s="64"/>
      <c r="CB281" s="61"/>
      <c r="CC281" s="64"/>
      <c r="CD281" s="61"/>
      <c r="CE281" s="64"/>
      <c r="CF281" s="61"/>
      <c r="CG281" s="64"/>
      <c r="CH281" s="61"/>
      <c r="CI281" s="64"/>
      <c r="CJ281" s="61"/>
      <c r="CK281" s="64"/>
      <c r="CL281" s="61"/>
      <c r="CM281" s="64"/>
      <c r="CN281" s="61"/>
      <c r="CO281" s="64"/>
      <c r="CP281" s="61"/>
      <c r="CQ281" s="64"/>
      <c r="CR281" s="61"/>
      <c r="CS281" s="64"/>
      <c r="CT281" s="61"/>
      <c r="CU281" s="64"/>
      <c r="CV281" s="61"/>
      <c r="CW281" s="64"/>
      <c r="CX281" s="61"/>
      <c r="CY281" s="64"/>
      <c r="CZ281" s="61"/>
      <c r="DA281" s="64"/>
      <c r="DB281" s="61"/>
      <c r="DC281" s="64"/>
      <c r="DD281" s="61"/>
      <c r="DE281" s="64"/>
      <c r="DF281" s="61"/>
      <c r="DG281" s="64"/>
      <c r="DH281" s="61"/>
      <c r="DI281" s="64"/>
      <c r="DJ281" s="61"/>
      <c r="DK281" s="64"/>
      <c r="DL281" s="61"/>
      <c r="DM281" s="64"/>
      <c r="DN281" s="61"/>
      <c r="DO281" s="64"/>
      <c r="DP281" s="61"/>
      <c r="DQ281" s="64"/>
      <c r="DR281" s="61"/>
      <c r="DS281" s="64"/>
      <c r="DT281" s="61"/>
      <c r="DU281" s="64"/>
      <c r="DV281" s="61"/>
      <c r="DW281" s="64"/>
      <c r="DX281" s="64"/>
      <c r="DY281" s="64"/>
      <c r="DZ281" s="61"/>
      <c r="EA281" s="64"/>
      <c r="EB281" s="61"/>
      <c r="EC281" s="64"/>
      <c r="ED281" s="61"/>
      <c r="EE281" s="64"/>
      <c r="EF281" s="61"/>
      <c r="EG281" s="64"/>
      <c r="EH281" s="61"/>
      <c r="EI281" s="64"/>
      <c r="EJ281" s="61"/>
      <c r="EK281" s="64"/>
      <c r="EL281" s="61"/>
      <c r="EM281" s="64"/>
      <c r="EN281" s="61"/>
      <c r="EO281" s="64"/>
      <c r="EP281" s="61"/>
      <c r="EQ281" s="64"/>
      <c r="ER281" s="61"/>
      <c r="ES281" s="64"/>
      <c r="ET281" s="61"/>
      <c r="EU281" s="64"/>
      <c r="EV281" s="61"/>
      <c r="EW281" s="64"/>
      <c r="EX281" s="61"/>
      <c r="EY281" s="64"/>
      <c r="EZ281" s="558"/>
      <c r="FA281" s="64"/>
      <c r="FB281" s="66"/>
      <c r="FC281" s="66"/>
      <c r="FD281" s="66"/>
      <c r="FE281" s="67"/>
      <c r="FF281" s="66"/>
      <c r="FG281" s="67"/>
      <c r="FH281" s="66"/>
      <c r="FI281" s="67"/>
      <c r="FJ281" s="66"/>
      <c r="FK281" s="67"/>
      <c r="FL281" s="66"/>
      <c r="FM281" s="61"/>
      <c r="FN281" s="66"/>
      <c r="FO281" s="61"/>
      <c r="FP281" s="65"/>
      <c r="FQ281" s="61"/>
      <c r="FR281" s="65"/>
      <c r="FS281" s="61"/>
      <c r="FT281" s="65"/>
      <c r="FU281" s="61"/>
      <c r="FV281" s="65"/>
      <c r="FW281" s="61"/>
      <c r="FX281" s="65"/>
      <c r="FY281" s="61"/>
      <c r="FZ281" s="65"/>
      <c r="GA281" s="61"/>
      <c r="GB281" s="65"/>
      <c r="GC281" s="61"/>
      <c r="GD281" s="65"/>
      <c r="GE281" s="61"/>
      <c r="GF281" s="65"/>
      <c r="GG281" s="61"/>
      <c r="GH281" s="65"/>
      <c r="GI281" s="61"/>
      <c r="GJ281" s="65"/>
      <c r="GK281" s="61"/>
      <c r="GL281" s="65"/>
      <c r="GM281" s="61"/>
      <c r="GN281" s="65"/>
      <c r="GO281" s="61"/>
      <c r="GP281" s="65"/>
      <c r="GQ281" s="61"/>
      <c r="GR281" s="64"/>
      <c r="GS281" s="61"/>
      <c r="GT281" s="64"/>
      <c r="GU281" s="61"/>
      <c r="GV281" s="64"/>
      <c r="GW281" s="61"/>
      <c r="GX281" s="64"/>
      <c r="GY281" s="61"/>
      <c r="GZ281" s="61" t="str">
        <f t="shared" si="1909"/>
        <v/>
      </c>
      <c r="HA281" s="61"/>
      <c r="HB281" s="452"/>
      <c r="HC281"/>
      <c r="HD281"/>
      <c r="HE281"/>
      <c r="HF281"/>
      <c r="HG281"/>
      <c r="HH281"/>
    </row>
    <row r="282" spans="2:216" s="623" customFormat="1" ht="12.75" customHeight="1" x14ac:dyDescent="0.2">
      <c r="B282" s="624" t="s">
        <v>434</v>
      </c>
      <c r="C282" s="625"/>
      <c r="D282" s="626"/>
      <c r="E282" s="625"/>
      <c r="F282" s="625"/>
      <c r="G282" s="625"/>
      <c r="H282" s="625"/>
      <c r="I282" s="625"/>
      <c r="J282" s="625"/>
      <c r="K282" s="625"/>
      <c r="L282" s="627"/>
      <c r="M282" s="625"/>
      <c r="N282" s="627"/>
      <c r="O282" s="625"/>
      <c r="P282" s="627"/>
      <c r="Q282" s="625"/>
      <c r="R282" s="627"/>
      <c r="S282" s="625"/>
      <c r="T282" s="627"/>
      <c r="U282" s="625"/>
      <c r="V282" s="627"/>
      <c r="W282" s="625"/>
      <c r="X282" s="627"/>
      <c r="Y282" s="625"/>
      <c r="Z282" s="627"/>
      <c r="AA282" s="625"/>
      <c r="AB282" s="627"/>
      <c r="AC282" s="625"/>
      <c r="AD282" s="627"/>
      <c r="AE282" s="625"/>
      <c r="AF282" s="627"/>
      <c r="AG282" s="625"/>
      <c r="AH282" s="627"/>
      <c r="AI282" s="625"/>
      <c r="AJ282" s="627"/>
      <c r="AK282" s="625"/>
      <c r="AL282" s="627"/>
      <c r="AM282" s="625"/>
      <c r="AN282" s="627"/>
      <c r="AO282" s="625"/>
      <c r="AP282" s="627"/>
      <c r="AQ282" s="625"/>
      <c r="AR282" s="627"/>
      <c r="AS282" s="625"/>
      <c r="AT282" s="627"/>
      <c r="AU282" s="625"/>
      <c r="AV282" s="627"/>
      <c r="AW282" s="625"/>
      <c r="AX282" s="627"/>
      <c r="AY282" s="625"/>
      <c r="AZ282" s="627"/>
      <c r="BA282" s="625"/>
      <c r="BB282" s="627"/>
      <c r="BC282" s="625"/>
      <c r="BD282" s="627"/>
      <c r="BE282" s="625"/>
      <c r="BF282" s="627"/>
      <c r="BG282" s="625"/>
      <c r="BH282" s="627"/>
      <c r="BI282" s="625"/>
      <c r="BJ282" s="627"/>
      <c r="BK282" s="625"/>
      <c r="BL282" s="627"/>
      <c r="BM282" s="625"/>
      <c r="BN282" s="627"/>
      <c r="BO282" s="625"/>
      <c r="BP282" s="627"/>
      <c r="BQ282" s="625"/>
      <c r="BR282" s="627"/>
      <c r="BS282" s="625"/>
      <c r="BT282" s="627"/>
      <c r="BU282" s="625"/>
      <c r="BV282" s="627"/>
      <c r="BW282" s="625"/>
      <c r="BX282" s="627"/>
      <c r="BY282" s="625"/>
      <c r="BZ282" s="627"/>
      <c r="CA282" s="625"/>
      <c r="CB282" s="627"/>
      <c r="CC282" s="625"/>
      <c r="CD282" s="627"/>
      <c r="CE282" s="625"/>
      <c r="CF282" s="627"/>
      <c r="CG282" s="625"/>
      <c r="CH282" s="627"/>
      <c r="CI282" s="625"/>
      <c r="CJ282" s="627"/>
      <c r="CK282" s="625"/>
      <c r="CL282" s="627"/>
      <c r="CM282" s="625"/>
      <c r="CN282" s="627"/>
      <c r="CO282" s="625"/>
      <c r="CP282" s="627"/>
      <c r="CQ282" s="625"/>
      <c r="CR282" s="627"/>
      <c r="CS282" s="625"/>
      <c r="CT282" s="627"/>
      <c r="CU282" s="625"/>
      <c r="CV282" s="627"/>
      <c r="CW282" s="625"/>
      <c r="CX282" s="627"/>
      <c r="CY282" s="625"/>
      <c r="CZ282" s="627"/>
      <c r="DA282" s="625"/>
      <c r="DB282" s="627"/>
      <c r="DC282" s="625"/>
      <c r="DD282" s="627"/>
      <c r="DE282" s="625"/>
      <c r="DF282" s="627"/>
      <c r="DG282" s="625"/>
      <c r="DH282" s="627"/>
      <c r="DI282" s="625"/>
      <c r="DJ282" s="627"/>
      <c r="DK282" s="625"/>
      <c r="DL282" s="627"/>
      <c r="DM282" s="625"/>
      <c r="DN282" s="627"/>
      <c r="DO282" s="625"/>
      <c r="DP282" s="627"/>
      <c r="DQ282" s="625"/>
      <c r="DR282" s="627"/>
      <c r="DS282" s="625"/>
      <c r="DT282" s="627"/>
      <c r="DU282" s="625"/>
      <c r="DV282" s="627"/>
      <c r="DW282" s="625"/>
      <c r="DX282" s="625"/>
      <c r="DY282" s="625"/>
      <c r="DZ282" s="627"/>
      <c r="EA282" s="625"/>
      <c r="EB282" s="627"/>
      <c r="EC282" s="625"/>
      <c r="ED282" s="627"/>
      <c r="EE282" s="625"/>
      <c r="EF282" s="627"/>
      <c r="EG282" s="625"/>
      <c r="EH282" s="627"/>
      <c r="EI282" s="625"/>
      <c r="EJ282" s="627"/>
      <c r="EK282" s="625"/>
      <c r="EL282" s="627"/>
      <c r="EM282" s="625"/>
      <c r="EN282" s="627"/>
      <c r="EO282" s="625"/>
      <c r="EP282" s="627"/>
      <c r="EQ282" s="625"/>
      <c r="ER282" s="627"/>
      <c r="ES282" s="625"/>
      <c r="ET282" s="627"/>
      <c r="EU282" s="625"/>
      <c r="EV282" s="627"/>
      <c r="EW282" s="625"/>
      <c r="EX282" s="627"/>
      <c r="EY282" s="628"/>
      <c r="EZ282" s="558"/>
      <c r="FA282" s="628"/>
      <c r="FB282" s="625"/>
      <c r="FC282" s="625"/>
      <c r="FD282" s="625"/>
      <c r="FE282" s="626"/>
      <c r="FF282" s="625"/>
      <c r="FG282" s="626"/>
      <c r="FH282" s="625"/>
      <c r="FI282" s="626"/>
      <c r="FJ282" s="625"/>
      <c r="FK282" s="626"/>
      <c r="FL282" s="625"/>
      <c r="FM282" s="627"/>
      <c r="FN282" s="625"/>
      <c r="FO282" s="627"/>
      <c r="FP282" s="625"/>
      <c r="FQ282" s="627"/>
      <c r="FR282" s="625"/>
      <c r="FS282" s="627"/>
      <c r="FT282" s="625"/>
      <c r="FU282" s="627"/>
      <c r="FV282" s="625"/>
      <c r="FW282" s="627"/>
      <c r="FX282" s="625"/>
      <c r="FY282" s="627"/>
      <c r="FZ282" s="625"/>
      <c r="GA282" s="627"/>
      <c r="GB282" s="625"/>
      <c r="GC282" s="627"/>
      <c r="GD282" s="625"/>
      <c r="GE282" s="627"/>
      <c r="GF282" s="625"/>
      <c r="GG282" s="627"/>
      <c r="GH282" s="625"/>
      <c r="GI282" s="627"/>
      <c r="GJ282" s="625"/>
      <c r="GK282" s="627"/>
      <c r="GL282" s="625"/>
      <c r="GM282" s="627"/>
      <c r="GN282" s="625"/>
      <c r="GO282" s="627"/>
      <c r="GP282" s="625"/>
      <c r="GQ282" s="627"/>
      <c r="GR282" s="625"/>
      <c r="GS282" s="627"/>
      <c r="GT282" s="625"/>
      <c r="GU282" s="627"/>
      <c r="GV282" s="625"/>
      <c r="GW282" s="627"/>
      <c r="GX282" s="625"/>
      <c r="GY282" s="627"/>
      <c r="GZ282" s="627" t="str">
        <f t="shared" si="1909"/>
        <v/>
      </c>
      <c r="HA282" s="627"/>
      <c r="HB282" s="629"/>
      <c r="HC282"/>
      <c r="HD282"/>
      <c r="HE282"/>
      <c r="HF282"/>
      <c r="HG282"/>
      <c r="HH282"/>
    </row>
    <row r="283" spans="2:216" s="182" customFormat="1" ht="12.75" customHeight="1" x14ac:dyDescent="0.2">
      <c r="B283" s="442"/>
      <c r="C283" s="59"/>
      <c r="D283" s="60"/>
      <c r="E283" s="59"/>
      <c r="F283" s="59"/>
      <c r="G283" s="59"/>
      <c r="H283" s="59"/>
      <c r="I283" s="59"/>
      <c r="J283" s="59"/>
      <c r="K283" s="59"/>
      <c r="L283" s="61"/>
      <c r="M283" s="59"/>
      <c r="N283" s="61"/>
      <c r="O283" s="59"/>
      <c r="P283" s="61"/>
      <c r="Q283" s="59"/>
      <c r="R283" s="61"/>
      <c r="S283" s="59"/>
      <c r="T283" s="61"/>
      <c r="U283" s="59"/>
      <c r="V283" s="61"/>
      <c r="W283" s="59"/>
      <c r="X283" s="61"/>
      <c r="Y283" s="59"/>
      <c r="Z283" s="61"/>
      <c r="AA283" s="59"/>
      <c r="AB283" s="61"/>
      <c r="AC283" s="59"/>
      <c r="AD283" s="61"/>
      <c r="AE283" s="59"/>
      <c r="AF283" s="61"/>
      <c r="AG283" s="59"/>
      <c r="AH283" s="61"/>
      <c r="AI283" s="59"/>
      <c r="AJ283" s="61"/>
      <c r="AK283" s="59"/>
      <c r="AL283" s="61"/>
      <c r="AM283" s="59"/>
      <c r="AN283" s="61"/>
      <c r="AO283" s="59"/>
      <c r="AP283" s="61"/>
      <c r="AQ283" s="59"/>
      <c r="AR283" s="61"/>
      <c r="AS283" s="59"/>
      <c r="AT283" s="61"/>
      <c r="AU283" s="59"/>
      <c r="AV283" s="61"/>
      <c r="AW283" s="59"/>
      <c r="AX283" s="61"/>
      <c r="AY283" s="59"/>
      <c r="AZ283" s="61"/>
      <c r="BA283" s="59"/>
      <c r="BB283" s="61"/>
      <c r="BC283" s="59"/>
      <c r="BD283" s="61"/>
      <c r="BE283" s="59"/>
      <c r="BF283" s="61"/>
      <c r="BG283" s="59"/>
      <c r="BH283" s="61"/>
      <c r="BI283" s="59"/>
      <c r="BJ283" s="61"/>
      <c r="BK283" s="59"/>
      <c r="BL283" s="61"/>
      <c r="BM283" s="59"/>
      <c r="BN283" s="61"/>
      <c r="BO283" s="59"/>
      <c r="BP283" s="61"/>
      <c r="BQ283" s="59"/>
      <c r="BR283" s="61"/>
      <c r="BS283" s="59"/>
      <c r="BT283" s="61"/>
      <c r="BU283" s="59"/>
      <c r="BV283" s="61"/>
      <c r="BW283" s="59"/>
      <c r="BX283" s="61"/>
      <c r="BY283" s="59"/>
      <c r="BZ283" s="61"/>
      <c r="CA283" s="59"/>
      <c r="CB283" s="61"/>
      <c r="CC283" s="59"/>
      <c r="CD283" s="61"/>
      <c r="CE283" s="59"/>
      <c r="CF283" s="61"/>
      <c r="CG283" s="59"/>
      <c r="CH283" s="61"/>
      <c r="CI283" s="59"/>
      <c r="CJ283" s="61"/>
      <c r="CK283" s="59"/>
      <c r="CL283" s="61"/>
      <c r="CM283" s="59"/>
      <c r="CN283" s="61"/>
      <c r="CO283" s="59"/>
      <c r="CP283" s="61"/>
      <c r="CQ283" s="59"/>
      <c r="CR283" s="61"/>
      <c r="CS283" s="59"/>
      <c r="CT283" s="130"/>
      <c r="CU283" s="59"/>
      <c r="CV283" s="130"/>
      <c r="CW283" s="59"/>
      <c r="CX283" s="130"/>
      <c r="CY283" s="59"/>
      <c r="CZ283" s="130"/>
      <c r="DA283" s="59"/>
      <c r="DB283" s="130"/>
      <c r="DC283" s="59"/>
      <c r="DD283" s="130"/>
      <c r="DE283" s="59"/>
      <c r="DF283" s="130"/>
      <c r="DG283" s="59"/>
      <c r="DH283" s="130"/>
      <c r="DI283" s="59"/>
      <c r="DJ283" s="130"/>
      <c r="DK283" s="59"/>
      <c r="DL283" s="130"/>
      <c r="DM283" s="59"/>
      <c r="DN283" s="130"/>
      <c r="DO283" s="59"/>
      <c r="DP283" s="130"/>
      <c r="DQ283" s="59"/>
      <c r="DR283" s="130"/>
      <c r="DS283" s="59"/>
      <c r="DT283" s="130"/>
      <c r="DU283" s="59"/>
      <c r="DV283" s="130"/>
      <c r="DW283" s="59"/>
      <c r="DX283" s="59"/>
      <c r="DY283" s="59"/>
      <c r="DZ283" s="130"/>
      <c r="EA283" s="59"/>
      <c r="EB283" s="130"/>
      <c r="EC283" s="59"/>
      <c r="ED283" s="130"/>
      <c r="EE283" s="59"/>
      <c r="EF283" s="130"/>
      <c r="EG283" s="59"/>
      <c r="EH283" s="59"/>
      <c r="EI283" s="59"/>
      <c r="EJ283" s="59"/>
      <c r="EK283" s="59"/>
      <c r="EL283" s="59"/>
      <c r="EM283" s="59"/>
      <c r="EN283" s="59"/>
      <c r="EO283" s="59"/>
      <c r="EP283" s="130"/>
      <c r="EQ283" s="59"/>
      <c r="ER283" s="130"/>
      <c r="ES283" s="59"/>
      <c r="ET283" s="130"/>
      <c r="EU283" s="59"/>
      <c r="EV283" s="130"/>
      <c r="EW283" s="59"/>
      <c r="EX283" s="130"/>
      <c r="EY283" s="356"/>
      <c r="EZ283" s="558"/>
      <c r="FA283" s="356"/>
      <c r="FB283" s="178"/>
      <c r="FC283" s="178"/>
      <c r="FD283" s="178"/>
      <c r="FE283" s="179"/>
      <c r="FF283" s="178"/>
      <c r="FG283" s="179"/>
      <c r="FH283" s="178"/>
      <c r="FI283" s="179"/>
      <c r="FJ283" s="178"/>
      <c r="FK283" s="179"/>
      <c r="FL283" s="178"/>
      <c r="FM283" s="130"/>
      <c r="FN283" s="178"/>
      <c r="FO283" s="130"/>
      <c r="FP283" s="181"/>
      <c r="FQ283" s="130"/>
      <c r="FR283" s="181"/>
      <c r="FS283" s="61"/>
      <c r="FT283" s="181"/>
      <c r="FU283" s="61"/>
      <c r="FV283" s="62"/>
      <c r="FW283" s="61"/>
      <c r="FX283" s="62"/>
      <c r="FY283" s="61"/>
      <c r="FZ283" s="62"/>
      <c r="GA283" s="61"/>
      <c r="GB283" s="62"/>
      <c r="GC283" s="61"/>
      <c r="GD283" s="62"/>
      <c r="GE283" s="61"/>
      <c r="GF283" s="62"/>
      <c r="GG283" s="61"/>
      <c r="GH283" s="62"/>
      <c r="GI283" s="61"/>
      <c r="GJ283" s="62"/>
      <c r="GK283" s="61"/>
      <c r="GL283" s="62"/>
      <c r="GM283" s="61"/>
      <c r="GN283" s="62"/>
      <c r="GO283" s="61"/>
      <c r="GP283" s="62"/>
      <c r="GQ283" s="61"/>
      <c r="GR283" s="59"/>
      <c r="GS283" s="61"/>
      <c r="GT283" s="59"/>
      <c r="GU283" s="61"/>
      <c r="GV283" s="59"/>
      <c r="GW283" s="61"/>
      <c r="GX283" s="59"/>
      <c r="GY283" s="61"/>
      <c r="GZ283" s="61" t="str">
        <f t="shared" si="1909"/>
        <v/>
      </c>
      <c r="HA283" s="61"/>
      <c r="HB283" s="452"/>
      <c r="HC283"/>
      <c r="HD283"/>
      <c r="HE283"/>
      <c r="HF283"/>
      <c r="HG283"/>
      <c r="HH283"/>
    </row>
    <row r="284" spans="2:216" s="5" customFormat="1" ht="12.75" customHeight="1" x14ac:dyDescent="0.2">
      <c r="B284" s="63" t="s">
        <v>188</v>
      </c>
      <c r="C284" s="66"/>
      <c r="D284" s="67"/>
      <c r="E284" s="66"/>
      <c r="F284" s="66"/>
      <c r="G284" s="64"/>
      <c r="H284" s="66"/>
      <c r="I284" s="64"/>
      <c r="J284" s="66"/>
      <c r="K284" s="64"/>
      <c r="L284" s="61"/>
      <c r="M284" s="66"/>
      <c r="N284" s="61"/>
      <c r="O284" s="64"/>
      <c r="P284" s="61"/>
      <c r="Q284" s="64"/>
      <c r="R284" s="61"/>
      <c r="S284" s="64"/>
      <c r="T284" s="61"/>
      <c r="U284" s="64"/>
      <c r="V284" s="61"/>
      <c r="W284" s="64"/>
      <c r="X284" s="61"/>
      <c r="Y284" s="64"/>
      <c r="Z284" s="61"/>
      <c r="AA284" s="64"/>
      <c r="AB284" s="61"/>
      <c r="AC284" s="64"/>
      <c r="AD284" s="61"/>
      <c r="AE284" s="64"/>
      <c r="AF284" s="61"/>
      <c r="AG284" s="64"/>
      <c r="AH284" s="61"/>
      <c r="AI284" s="64"/>
      <c r="AJ284" s="61"/>
      <c r="AK284" s="64"/>
      <c r="AL284" s="61"/>
      <c r="AM284" s="64"/>
      <c r="AN284" s="61"/>
      <c r="AO284" s="64"/>
      <c r="AP284" s="61"/>
      <c r="AQ284" s="64"/>
      <c r="AR284" s="61"/>
      <c r="AS284" s="64"/>
      <c r="AT284" s="61"/>
      <c r="AU284" s="64"/>
      <c r="AV284" s="61"/>
      <c r="AW284" s="64"/>
      <c r="AX284" s="61"/>
      <c r="AY284" s="64"/>
      <c r="AZ284" s="61"/>
      <c r="BA284" s="64"/>
      <c r="BB284" s="61"/>
      <c r="BC284" s="64"/>
      <c r="BD284" s="61"/>
      <c r="BE284" s="64"/>
      <c r="BF284" s="61"/>
      <c r="BG284" s="64"/>
      <c r="BH284" s="61"/>
      <c r="BI284" s="64"/>
      <c r="BJ284" s="61"/>
      <c r="BK284" s="64"/>
      <c r="BL284" s="61"/>
      <c r="BM284" s="64"/>
      <c r="BN284" s="61"/>
      <c r="BO284" s="64"/>
      <c r="BP284" s="61"/>
      <c r="BQ284" s="64"/>
      <c r="BR284" s="61"/>
      <c r="BS284" s="64"/>
      <c r="BT284" s="61"/>
      <c r="BU284" s="64"/>
      <c r="BV284" s="61"/>
      <c r="BW284" s="64"/>
      <c r="BX284" s="61"/>
      <c r="BY284" s="64"/>
      <c r="BZ284" s="61"/>
      <c r="CA284" s="64"/>
      <c r="CB284" s="61"/>
      <c r="CC284" s="64"/>
      <c r="CD284" s="61"/>
      <c r="CE284" s="64"/>
      <c r="CF284" s="61"/>
      <c r="CG284" s="64"/>
      <c r="CH284" s="61"/>
      <c r="CI284" s="64"/>
      <c r="CJ284" s="61"/>
      <c r="CK284" s="64"/>
      <c r="CL284" s="61"/>
      <c r="CM284" s="64"/>
      <c r="CN284" s="61"/>
      <c r="CO284" s="64"/>
      <c r="CP284" s="61"/>
      <c r="CQ284" s="64"/>
      <c r="CR284" s="61"/>
      <c r="CS284" s="64"/>
      <c r="CT284" s="61"/>
      <c r="CU284" s="64"/>
      <c r="CV284" s="61"/>
      <c r="CW284" s="64"/>
      <c r="CX284" s="61"/>
      <c r="CY284" s="64"/>
      <c r="CZ284" s="61"/>
      <c r="DA284" s="64"/>
      <c r="DB284" s="61"/>
      <c r="DC284" s="64"/>
      <c r="DD284" s="61"/>
      <c r="DE284" s="64"/>
      <c r="DF284" s="61"/>
      <c r="DG284" s="64"/>
      <c r="DH284" s="61"/>
      <c r="DI284" s="64"/>
      <c r="DJ284" s="61"/>
      <c r="DK284" s="64"/>
      <c r="DL284" s="61"/>
      <c r="DM284" s="64"/>
      <c r="DN284" s="61"/>
      <c r="DO284" s="64"/>
      <c r="DP284" s="61"/>
      <c r="DQ284" s="64"/>
      <c r="DR284" s="61"/>
      <c r="DS284" s="64"/>
      <c r="DT284" s="61"/>
      <c r="DU284" s="64"/>
      <c r="DV284" s="61"/>
      <c r="DW284" s="64"/>
      <c r="DX284" s="64"/>
      <c r="DY284" s="64"/>
      <c r="DZ284" s="61"/>
      <c r="EA284" s="64"/>
      <c r="EB284" s="61"/>
      <c r="EC284" s="64"/>
      <c r="ED284" s="61"/>
      <c r="EE284" s="64"/>
      <c r="EF284" s="61"/>
      <c r="EG284" s="64"/>
      <c r="EH284" s="61"/>
      <c r="EI284" s="64"/>
      <c r="EJ284" s="61"/>
      <c r="EK284" s="64"/>
      <c r="EL284" s="61"/>
      <c r="EM284" s="64"/>
      <c r="EN284" s="61"/>
      <c r="EO284" s="64"/>
      <c r="EP284" s="61"/>
      <c r="EQ284" s="64"/>
      <c r="ER284" s="61"/>
      <c r="ES284" s="64"/>
      <c r="ET284" s="61"/>
      <c r="EU284" s="64"/>
      <c r="EV284" s="61"/>
      <c r="EW284" s="64"/>
      <c r="EX284" s="61"/>
      <c r="EY284" s="64"/>
      <c r="EZ284" s="558"/>
      <c r="FA284" s="64"/>
      <c r="FB284" s="66"/>
      <c r="FC284" s="66"/>
      <c r="FD284" s="66"/>
      <c r="FE284" s="67"/>
      <c r="FF284" s="66"/>
      <c r="FG284" s="67"/>
      <c r="FH284" s="66"/>
      <c r="FI284" s="67"/>
      <c r="FJ284" s="66"/>
      <c r="FK284" s="67"/>
      <c r="FL284" s="66"/>
      <c r="FM284" s="61"/>
      <c r="FN284" s="66"/>
      <c r="FO284" s="61"/>
      <c r="FP284" s="65"/>
      <c r="FQ284" s="61"/>
      <c r="FR284" s="65"/>
      <c r="FS284" s="61"/>
      <c r="FT284" s="65"/>
      <c r="FU284" s="61"/>
      <c r="FV284" s="65"/>
      <c r="FW284" s="61"/>
      <c r="FX284" s="65"/>
      <c r="FY284" s="61"/>
      <c r="FZ284" s="65"/>
      <c r="GA284" s="61"/>
      <c r="GB284" s="65"/>
      <c r="GC284" s="61"/>
      <c r="GD284" s="65"/>
      <c r="GE284" s="61"/>
      <c r="GF284" s="65"/>
      <c r="GG284" s="61"/>
      <c r="GH284" s="65"/>
      <c r="GI284" s="61"/>
      <c r="GJ284" s="65"/>
      <c r="GK284" s="61"/>
      <c r="GL284" s="65"/>
      <c r="GM284" s="61"/>
      <c r="GN284" s="65"/>
      <c r="GO284" s="61"/>
      <c r="GP284" s="65"/>
      <c r="GQ284" s="61"/>
      <c r="GR284" s="64"/>
      <c r="GS284" s="61"/>
      <c r="GT284" s="64"/>
      <c r="GU284" s="61"/>
      <c r="GV284" s="64"/>
      <c r="GW284" s="61"/>
      <c r="GX284" s="64"/>
      <c r="GY284" s="61"/>
      <c r="GZ284" s="61" t="str">
        <f t="shared" si="1909"/>
        <v/>
      </c>
      <c r="HA284" s="61"/>
      <c r="HB284" s="452"/>
      <c r="HC284"/>
      <c r="HD284"/>
      <c r="HE284"/>
      <c r="HF284"/>
      <c r="HG284"/>
      <c r="HH284"/>
    </row>
    <row r="285" spans="2:216" s="7" customFormat="1" ht="12.75" customHeight="1" x14ac:dyDescent="0.2">
      <c r="B285" s="2" t="s">
        <v>65</v>
      </c>
      <c r="C285" s="183">
        <v>115.914</v>
      </c>
      <c r="D285" s="184"/>
      <c r="E285" s="183">
        <v>119.282</v>
      </c>
      <c r="F285" s="184"/>
      <c r="G285" s="185">
        <v>121.568</v>
      </c>
      <c r="H285" s="184"/>
      <c r="I285" s="185">
        <v>128.82599999999999</v>
      </c>
      <c r="J285" s="184"/>
      <c r="K285" s="185">
        <v>129.39500000000001</v>
      </c>
      <c r="L285" s="184">
        <f>IF(ISERROR((K285/C285-1)*100),"NA",IF(((K285/C285-1)*100)&gt;100,"NM",IF(((K285/C285-1)*100)&lt;-50,"NM",(K285/C285-1)*100)))</f>
        <v>11.630174094587375</v>
      </c>
      <c r="M285" s="183">
        <v>130.85400000000001</v>
      </c>
      <c r="N285" s="184">
        <f>IF(ISERROR((M285/E285-1)*100),"NA",IF(((M285/E285-1)*100)&gt;100,"NM",IF(((M285/E285-1)*100)&lt;-50,"NM",(M285/E285-1)*100)))</f>
        <v>9.7013799232072095</v>
      </c>
      <c r="O285" s="183">
        <v>142.678</v>
      </c>
      <c r="P285" s="184">
        <f>IF(ISERROR((O285/G285-1)*100),"NA",IF(((O285/G285-1)*100)&gt;100,"NM",IF(((O285/G285-1)*100)&lt;-50,"NM",(O285/G285-1)*100)))</f>
        <v>17.364767043958928</v>
      </c>
      <c r="Q285" s="185">
        <v>143.785</v>
      </c>
      <c r="R285" s="184">
        <f>IF(ISERROR((Q285/I285-1)*100),"NA",IF(((Q285/I285-1)*100)&gt;100,"NM",IF(((Q285/I285-1)*100)&lt;-50,"NM",(Q285/I285-1)*100)))</f>
        <v>11.611786440625348</v>
      </c>
      <c r="S285" s="185">
        <v>148.339</v>
      </c>
      <c r="T285" s="184">
        <f>IF(ISERROR((S285/K285-1)*100),"NA",IF(((S285/K285-1)*100)&gt;100,"NM",IF(((S285/K285-1)*100)&lt;-50,"NM",(S285/K285-1)*100)))</f>
        <v>14.64044205726649</v>
      </c>
      <c r="U285" s="185">
        <v>162.06399999999999</v>
      </c>
      <c r="V285" s="184">
        <f>IF(ISERROR((U285/M285-1)*100),"NA",IF(((U285/M285-1)*100)&gt;100,"NM",IF(((U285/M285-1)*100)&lt;-50,"NM",(U285/M285-1)*100)))</f>
        <v>23.851009522062739</v>
      </c>
      <c r="W285" s="183">
        <v>165.09399999999999</v>
      </c>
      <c r="X285" s="184">
        <f>IF(ISERROR((W285/O285-1)*100),"NA",IF(((W285/O285-1)*100)&gt;100,"NM",IF(((W285/O285-1)*100)&lt;-50,"NM",(W285/O285-1)*100)))</f>
        <v>15.71090147044394</v>
      </c>
      <c r="Y285" s="185">
        <v>162.643</v>
      </c>
      <c r="Z285" s="184">
        <f>IF(ISERROR((Y285/Q285-1)*100),"NA",IF(((Y285/Q285-1)*100)&gt;100,"NM",IF(((Y285/Q285-1)*100)&lt;-50,"NM",(Y285/Q285-1)*100)))</f>
        <v>13.115415377125572</v>
      </c>
      <c r="AA285" s="185">
        <v>181.792</v>
      </c>
      <c r="AB285" s="184">
        <f>IF(ISERROR((AA285/S285-1)*100),"NA",IF(((AA285/S285-1)*100)&gt;100,"NM",IF(((AA285/S285-1)*100)&lt;-50,"NM",(AA285/S285-1)*100)))</f>
        <v>22.551722743176093</v>
      </c>
      <c r="AC285" s="185">
        <v>191.322</v>
      </c>
      <c r="AD285" s="184">
        <f>IF(ISERROR((AC285/U285-1)*100),"NA",IF(((AC285/U285-1)*100)&gt;100,"NM",IF(((AC285/U285-1)*100)&lt;-50,"NM",(AC285/U285-1)*100)))</f>
        <v>18.05336163490967</v>
      </c>
      <c r="AE285" s="183">
        <v>190.31299999999999</v>
      </c>
      <c r="AF285" s="184">
        <f>IF(ISERROR((AE285/W285-1)*100),"NA",IF(((AE285/W285-1)*100)&gt;100,"NM",IF(((AE285/W285-1)*100)&lt;-50,"NM",(AE285/W285-1)*100)))</f>
        <v>15.275539995396571</v>
      </c>
      <c r="AG285" s="185">
        <v>192.59200000000001</v>
      </c>
      <c r="AH285" s="184">
        <f>IF(ISERROR((AG285/Y285-1)*100),"NA",IF(((AG285/Y285-1)*100)&gt;100,"NM",IF(((AG285/Y285-1)*100)&lt;-50,"NM",(AG285/Y285-1)*100)))</f>
        <v>18.413949570531795</v>
      </c>
      <c r="AI285" s="186">
        <v>232.5</v>
      </c>
      <c r="AJ285" s="184">
        <f>IF(ISERROR((AI285/AA285-1)*100),"NA",IF(((AI285/AA285-1)*100)&gt;100,"NM",IF(((AI285/AA285-1)*100)&lt;-50,"NM",(AI285/AA285-1)*100)))</f>
        <v>27.893416651997892</v>
      </c>
      <c r="AK285" s="185">
        <v>307.72000000000003</v>
      </c>
      <c r="AL285" s="184">
        <f>IF(ISERROR((AK285/AC285-1)*100),"NA",IF(((AK285/AC285-1)*100)&gt;100,"NM",IF(((AK285/AC285-1)*100)&lt;-50,"NM",(AK285/AC285-1)*100)))</f>
        <v>60.838795329340066</v>
      </c>
      <c r="AM285" s="183">
        <v>284.22300000000001</v>
      </c>
      <c r="AN285" s="184">
        <f>IF(ISERROR((AM285/AE285-1)*100),"NA",IF(((AM285/AE285-1)*100)&gt;100,"NM",IF(((AM285/AE285-1)*100)&lt;-50,"NM",(AM285/AE285-1)*100)))</f>
        <v>49.345026351326517</v>
      </c>
      <c r="AO285" s="183">
        <v>288.80700000000002</v>
      </c>
      <c r="AP285" s="184">
        <f>IF(ISERROR((AO285/AG285-1)*100),"NA",IF(((AO285/AG285-1)*100)&gt;100,"NM",IF(((AO285/AG285-1)*100)&lt;-50,"NM",(AO285/AG285-1)*100)))</f>
        <v>49.957942178283623</v>
      </c>
      <c r="AQ285" s="183">
        <v>289.48099999999999</v>
      </c>
      <c r="AR285" s="184">
        <f>IF(ISERROR((AQ285/AI285-1)*100),"NA",IF(((AQ285/AI285-1)*100)&gt;100,"NM",IF(((AQ285/AI285-1)*100)&lt;-50,"NM",(AQ285/AI285-1)*100)))</f>
        <v>24.507956989247305</v>
      </c>
      <c r="AS285" s="183">
        <v>310.34399999999999</v>
      </c>
      <c r="AT285" s="184">
        <f>IF(ISERROR((AS285/AK285-1)*100),"NA",IF(((AS285/AK285-1)*100)&gt;100,"NM",IF(((AS285/AK285-1)*100)&lt;-50,"NM",(AS285/AK285-1)*100)))</f>
        <v>0.8527232549070396</v>
      </c>
      <c r="AU285" s="183">
        <v>286.548</v>
      </c>
      <c r="AV285" s="187">
        <f>IF(ISERROR((AU285/AM285-1)*100),"NA",IF(((AU285/AM285-1)*100)&gt;100,"NM",IF(((AU285/AM285-1)*100)&lt;-50,"NM",(AU285/AM285-1)*100)))</f>
        <v>0.81801965358185846</v>
      </c>
      <c r="AW285" s="183">
        <v>295.60500000000002</v>
      </c>
      <c r="AX285" s="187">
        <f>IF(ISERROR((AW285/AO285-1)*100),"NA",IF(((AW285/AO285-1)*100)&gt;100,"NM",IF(((AW285/AO285-1)*100)&lt;-50,"NM",(AW285/AO285-1)*100)))</f>
        <v>2.3538210638938795</v>
      </c>
      <c r="AY285" s="186"/>
      <c r="AZ285" s="187" t="str">
        <f>IF(ISERROR((AY285/AQ285-1)*100),"NA",IF(((AY285/AQ285-1)*100)&gt;100,"NM",IF(((AY285/AQ285-1)*100)&lt;-50,"NM",(AY285/AQ285-1)*100)))</f>
        <v>NM</v>
      </c>
      <c r="BA285" s="186">
        <v>328.9</v>
      </c>
      <c r="BB285" s="187">
        <f>IF(ISERROR((BA285/AS285-1)*100),"NA",IF(((BA285/AS285-1)*100)&gt;100,"NM",IF(((BA285/AS285-1)*100)&lt;-50,"NM",(BA285/AS285-1)*100)))</f>
        <v>5.9791715000128809</v>
      </c>
      <c r="BC285" s="186">
        <v>304.10000000000002</v>
      </c>
      <c r="BD285" s="187">
        <f>IF(ISERROR((BC285/AU285-1)*100),"NA",IF(((BC285/AU285-1)*100)&gt;100,"NM",IF(((BC285/AU285-1)*100)&lt;-50,"NM",(BC285/AU285-1)*100)))</f>
        <v>6.1253262978628431</v>
      </c>
      <c r="BE285" s="186">
        <v>315.89999999999998</v>
      </c>
      <c r="BF285" s="187">
        <f>IF(ISERROR((BE285/AW285-1)*100),"NA",IF(((BE285/AW285-1)*100)&gt;100,"NM",IF(((BE285/AW285-1)*100)&lt;-50,"NM",(BE285/AW285-1)*100)))</f>
        <v>6.8655807581062378</v>
      </c>
      <c r="BG285" s="188">
        <v>331.3</v>
      </c>
      <c r="BH285" s="187" t="str">
        <f>IF(ISERROR((BG285/AY285-1)*100),"NA",IF(((BG285/AY285-1)*100)&gt;100,"NM",IF(((BG285/AY285-1)*100)&lt;-50,"NM",(BG285/AY285-1)*100)))</f>
        <v>NA</v>
      </c>
      <c r="BI285" s="188">
        <v>361.3</v>
      </c>
      <c r="BJ285" s="187">
        <f>IF(ISERROR((BI285/BA285-1)*100),"NA",IF(((BI285/BA285-1)*100)&gt;100,"NM",IF(((BI285/BA285-1)*100)&lt;-50,"NM",(BI285/BA285-1)*100)))</f>
        <v>9.8510185466707423</v>
      </c>
      <c r="BK285" s="188">
        <v>336.7</v>
      </c>
      <c r="BL285" s="187">
        <f>IF(ISERROR((BK285/BC285-1)*100),"NA",IF(((BK285/BC285-1)*100)&gt;100,"NM",IF(((BK285/BC285-1)*100)&lt;-50,"NM",(BK285/BC285-1)*100)))</f>
        <v>10.72015784281486</v>
      </c>
      <c r="BM285" s="188">
        <v>349.7</v>
      </c>
      <c r="BN285" s="187">
        <f>IF(ISERROR((BM285/BE285-1)*100),"NA",IF(((BM285/BE285-1)*100)&gt;100,"NM",IF(((BM285/BE285-1)*100)&lt;-50,"NM",(BM285/BE285-1)*100)))</f>
        <v>10.699588477366252</v>
      </c>
      <c r="BO285" s="188">
        <v>370.4</v>
      </c>
      <c r="BP285" s="187">
        <f>IF(ISERROR((BO285/BG285-1)*100),"NA",IF(((BO285/BG285-1)*100)&gt;100,"NM",IF(((BO285/BG285-1)*100)&lt;-50,"NM",(BO285/BG285-1)*100)))</f>
        <v>11.80199215212796</v>
      </c>
      <c r="BQ285" s="188">
        <v>393</v>
      </c>
      <c r="BR285" s="187">
        <f>IF(ISERROR((BQ285/BI285-1)*100),"NA",IF(((BQ285/BI285-1)*100)&gt;100,"NM",IF(((BQ285/BI285-1)*100)&lt;-50,"NM",(BQ285/BI285-1)*100)))</f>
        <v>8.7738721284251309</v>
      </c>
      <c r="BS285" s="188">
        <v>370.6</v>
      </c>
      <c r="BT285" s="187">
        <f>IF(ISERROR((BS285/BK285-1)*100),"NA",IF(((BS285/BK285-1)*100)&gt;100,"NM",IF(((BS285/BK285-1)*100)&lt;-50,"NM",(BS285/BK285-1)*100)))</f>
        <v>10.068310068310083</v>
      </c>
      <c r="BU285" s="188">
        <v>382.9</v>
      </c>
      <c r="BV285" s="187">
        <f>IF(ISERROR((BU285/BM285-1)*100),"NA",IF(((BU285/BM285-1)*100)&gt;100,"NM",IF(((BU285/BM285-1)*100)&lt;-50,"NM",(BU285/BM285-1)*100)))</f>
        <v>9.4938518730340213</v>
      </c>
      <c r="BW285" s="188">
        <v>389.8</v>
      </c>
      <c r="BX285" s="187">
        <f>IF(ISERROR((BW285/BO285-1)*100),"NA",IF(((BW285/BO285-1)*100)&gt;100,"NM",IF(((BW285/BO285-1)*100)&lt;-50,"NM",(BW285/BO285-1)*100)))</f>
        <v>5.2375809935205186</v>
      </c>
      <c r="BY285" s="188">
        <v>413.3</v>
      </c>
      <c r="BZ285" s="187">
        <f>IF(ISERROR((BY285/BQ285-1)*100),"NA",IF(((BY285/BQ285-1)*100)&gt;100,"NM",IF(((BY285/BQ285-1)*100)&lt;-50,"NM",(BY285/BQ285-1)*100)))</f>
        <v>5.1653944020356279</v>
      </c>
      <c r="CA285" s="188">
        <v>379.5</v>
      </c>
      <c r="CB285" s="187">
        <f>IF(ISERROR((CA285/BS285-1)*100),"NA",IF(((CA285/BS285-1)*100)&gt;100,"NM",IF(((CA285/BS285-1)*100)&lt;-50,"NM",(CA285/BS285-1)*100)))</f>
        <v>2.4015110631408376</v>
      </c>
      <c r="CC285" s="188">
        <v>396.4</v>
      </c>
      <c r="CD285" s="187">
        <f>IF(ISERROR((CC285/BU285-1)*100),"NA",IF(((CC285/BU285-1)*100)&gt;100,"NM",IF(((CC285/BU285-1)*100)&lt;-50,"NM",(CC285/BU285-1)*100)))</f>
        <v>3.5257247323060792</v>
      </c>
      <c r="CE285" s="188">
        <v>409.9</v>
      </c>
      <c r="CF285" s="187">
        <f>IF(ISERROR((CE285/BW285-1)*100),"NA",IF(((CE285/BW285-1)*100)&gt;100,"NM",IF(((CE285/BW285-1)*100)&lt;-50,"NM",(CE285/BW285-1)*100)))</f>
        <v>5.1564905079527934</v>
      </c>
      <c r="CG285" s="188">
        <v>433.7</v>
      </c>
      <c r="CH285" s="187">
        <f>IF(ISERROR((CG285/BY285-1)*100),"NA",IF(((CG285/BY285-1)*100)&gt;100,"NM",IF(((CG285/BY285-1)*100)&lt;-50,"NM",(CG285/BY285-1)*100)))</f>
        <v>4.9358819259617714</v>
      </c>
      <c r="CI285" s="188">
        <v>414.5</v>
      </c>
      <c r="CJ285" s="187">
        <f>IF(ISERROR((CI285/CA285-1)*100),"NA",IF(((CI285/CA285-1)*100)&gt;100,"NM",IF(((CI285/CA285-1)*100)&lt;-50,"NM",(CI285/CA285-1)*100)))</f>
        <v>9.2226613965744377</v>
      </c>
      <c r="CK285" s="188">
        <v>424.2</v>
      </c>
      <c r="CL285" s="187">
        <f>IF(ISERROR((CK285/CC285-1)*100),"NA",IF(((CK285/CC285-1)*100)&gt;100,"NM",IF(((CK285/CC285-1)*100)&lt;-50,"NM",(CK285/CC285-1)*100)))</f>
        <v>7.0131180625630618</v>
      </c>
      <c r="CM285" s="188">
        <v>436.6</v>
      </c>
      <c r="CN285" s="187">
        <f>IF(ISERROR((CM285/CE285-1)*100),"NA",IF(((CM285/CE285-1)*100)&gt;100,"NM",IF(((CM285/CE285-1)*100)&lt;-50,"NM",(CM285/CE285-1)*100)))</f>
        <v>6.5137838497194567</v>
      </c>
      <c r="CO285" s="188">
        <v>460.2</v>
      </c>
      <c r="CP285" s="187">
        <f>IF(ISERROR((CO285/CG285-1)*100),"NA",IF(((CO285/CG285-1)*100)&gt;100,"NM",IF(((CO285/CG285-1)*100)&lt;-50,"NM",(CO285/CG285-1)*100)))</f>
        <v>6.1102144339405084</v>
      </c>
      <c r="CQ285" s="188">
        <v>439.7</v>
      </c>
      <c r="CR285" s="187">
        <f>IF(ISERROR((CQ285/CI285-1)*100),"NA",IF(((CQ285/CI285-1)*100)&gt;100,"NM",IF(((CQ285/CI285-1)*100)&lt;-50,"NM",(CQ285/CI285-1)*100)))</f>
        <v>6.079613992762356</v>
      </c>
      <c r="CS285" s="188">
        <v>442</v>
      </c>
      <c r="CT285" s="187">
        <f>IF(ISERROR((CS285/CK285-1)*100),"NA",IF(((CS285/CK285-1)*100)&gt;100,"NM",IF(((CS285/CK285-1)*100)&lt;-50,"NM",(CS285/CK285-1)*100)))</f>
        <v>4.1961338991042041</v>
      </c>
      <c r="CU285" s="188">
        <v>463</v>
      </c>
      <c r="CV285" s="187">
        <f>IF(ISERROR((CU285/CM285-1)*100),"NA",IF(((CU285/CM285-1)*100)&gt;100,"NM",IF(((CU285/CM285-1)*100)&lt;-50,"NM",(CU285/CM285-1)*100)))</f>
        <v>6.0467246907924821</v>
      </c>
      <c r="CW285" s="188">
        <v>495</v>
      </c>
      <c r="CX285" s="187">
        <f>IF(ISERROR((CW285/CO285-1)*100),"NA",IF(((CW285/CO285-1)*100)&gt;100,"NM",IF(((CW285/CO285-1)*100)&lt;-50,"NM",(CW285/CO285-1)*100)))</f>
        <v>7.5619295958279098</v>
      </c>
      <c r="CY285" s="188">
        <v>473</v>
      </c>
      <c r="CZ285" s="187">
        <f>IF(ISERROR((CY285/CQ285-1)*100),"NA",IF(((CY285/CQ285-1)*100)&gt;100,"NM",IF(((CY285/CQ285-1)*100)&lt;-50,"NM",(CY285/CQ285-1)*100)))</f>
        <v>7.5733454628155616</v>
      </c>
      <c r="DA285" s="188">
        <v>487</v>
      </c>
      <c r="DB285" s="187">
        <f>IF(ISERROR((DA285/CS285-1)*100),"NA",IF(((DA285/CS285-1)*100)&gt;100,"NM",IF(((DA285/CS285-1)*100)&lt;-50,"NM",(DA285/CS285-1)*100)))</f>
        <v>10.18099547511313</v>
      </c>
      <c r="DC285" s="188">
        <v>508</v>
      </c>
      <c r="DD285" s="187">
        <f>IF(ISERROR((DC285/CU285-1)*100),"NA",IF(((DC285/CU285-1)*100)&gt;100,"NM",IF(((DC285/CU285-1)*100)&lt;-50,"NM",(DC285/CU285-1)*100)))</f>
        <v>9.7192224622030245</v>
      </c>
      <c r="DE285" s="188">
        <v>531</v>
      </c>
      <c r="DF285" s="187">
        <f>IF(ISERROR((DE285/CW285-1)*100),"NA",IF(((DE285/CW285-1)*100)&gt;100,"NM",IF(((DE285/CW285-1)*100)&lt;-50,"NM",(DE285/CW285-1)*100)))</f>
        <v>7.2727272727272751</v>
      </c>
      <c r="DG285" s="188">
        <v>516</v>
      </c>
      <c r="DH285" s="187">
        <f>IF(ISERROR((DG285/CY285-1)*100),"NA",IF(((DG285/CY285-1)*100)&gt;100,"NM",IF(((DG285/CY285-1)*100)&lt;-50,"NM",(DG285/CY285-1)*100)))</f>
        <v>9.0909090909090828</v>
      </c>
      <c r="DI285" s="188">
        <v>529</v>
      </c>
      <c r="DJ285" s="187">
        <f>IF(ISERROR((DI285/DA285-1)*100),"NA",IF(((DI285/DA285-1)*100)&gt;100,"NM",IF(((DI285/DA285-1)*100)&lt;-50,"NM",(DI285/DA285-1)*100)))</f>
        <v>8.6242299794661257</v>
      </c>
      <c r="DK285" s="188">
        <v>562</v>
      </c>
      <c r="DL285" s="187">
        <f>IF(ISERROR((DK285/DC285-1)*100),"NA",IF(((DK285/DC285-1)*100)&gt;100,"NM",IF(((DK285/DC285-1)*100)&lt;-50,"NM",(DK285/DC285-1)*100)))</f>
        <v>10.629921259842522</v>
      </c>
      <c r="DM285" s="188">
        <v>574</v>
      </c>
      <c r="DN285" s="130">
        <f t="shared" ref="DN285:DZ288" si="2009">IF(ISERROR((DM285/DE285-1)*100),"NA",IF(((DM285/DE285-1)*100)&gt;100,"NM",IF(((DM285/DE285-1)*100)&lt;-50,"NM",(DM285/DE285-1)*100)))</f>
        <v>8.0979284369114843</v>
      </c>
      <c r="DO285" s="188">
        <v>550</v>
      </c>
      <c r="DP285" s="130">
        <f t="shared" si="2009"/>
        <v>6.5891472868216949</v>
      </c>
      <c r="DQ285" s="188">
        <v>567</v>
      </c>
      <c r="DR285" s="130">
        <f t="shared" si="2009"/>
        <v>7.1833648393194727</v>
      </c>
      <c r="DS285" s="188">
        <v>561</v>
      </c>
      <c r="DT285" s="130">
        <f t="shared" si="2009"/>
        <v>-0.1779359430605032</v>
      </c>
      <c r="DU285" s="188">
        <v>567</v>
      </c>
      <c r="DV285" s="130">
        <f t="shared" si="2009"/>
        <v>-1.2195121951219523</v>
      </c>
      <c r="DW285" s="188">
        <v>519</v>
      </c>
      <c r="DX285" s="188">
        <v>519</v>
      </c>
      <c r="DY285" s="188">
        <v>516</v>
      </c>
      <c r="DZ285" s="130">
        <f t="shared" si="2009"/>
        <v>-8.9947089947090006</v>
      </c>
      <c r="EA285" s="188">
        <v>489</v>
      </c>
      <c r="EB285" s="130">
        <f t="shared" ref="EB285:EB288" si="2010">IF(ISERROR((EA285/DS285-1)*100),"NA",IF(((EA285/DS285-1)*100)&gt;100,"NM",IF(((EA285/DS285-1)*100)&lt;-50,"NM",(EA285/DS285-1)*100)))</f>
        <v>-12.834224598930478</v>
      </c>
      <c r="EC285" s="188">
        <v>478</v>
      </c>
      <c r="ED285" s="130">
        <f t="shared" ref="ED285:ED288" si="2011">IF(ISERROR((EC285/DU285-1)*100),"NA",IF(((EC285/DU285-1)*100)&gt;100,"NM",IF(((EC285/DU285-1)*100)&lt;-50,"NM",(EC285/DU285-1)*100)))</f>
        <v>-15.696649029982368</v>
      </c>
      <c r="EE285" s="188">
        <v>485</v>
      </c>
      <c r="EF285" s="130">
        <f t="shared" ref="EF285:EF288" si="2012">IF(ISERROR((EE285/DW285-1)*100),"NA",IF(((EE285/DW285-1)*100)&gt;100,"NM",IF(((EE285/DW285-1)*100)&lt;-50,"NM",(EE285/DW285-1)*100)))</f>
        <v>-6.5510597302504863</v>
      </c>
      <c r="EG285" s="188">
        <v>487</v>
      </c>
      <c r="EH285" s="130">
        <f t="shared" ref="EH285:EH288" si="2013">IF(ISERROR((EG285/DY285-1)*100),"NA",IF(((EG285/DY285-1)*100)&gt;100,"NM",IF(((EG285/DY285-1)*100)&lt;-50,"NM",(EG285/DY285-1)*100)))</f>
        <v>-5.6201550387596892</v>
      </c>
      <c r="EI285" s="188">
        <v>495</v>
      </c>
      <c r="EJ285" s="130">
        <f t="shared" ref="EJ285:EJ288" si="2014">IF(ISERROR((EI285/EA285-1)*100),"NA",IF(((EI285/EA285-1)*100)&gt;100,"NM",IF(((EI285/EA285-1)*100)&lt;-50,"NM",(EI285/EA285-1)*100)))</f>
        <v>1.2269938650306678</v>
      </c>
      <c r="EK285" s="188">
        <v>494</v>
      </c>
      <c r="EL285" s="130">
        <f t="shared" ref="EL285:EL288" si="2015">IF(ISERROR((EK285/EC285-1)*100),"NA",IF(((EK285/EC285-1)*100)&gt;100,"NM",IF(((EK285/EC285-1)*100)&lt;-50,"NM",(EK285/EC285-1)*100)))</f>
        <v>3.3472803347280422</v>
      </c>
      <c r="EM285" s="188">
        <v>500</v>
      </c>
      <c r="EN285" s="130">
        <f t="shared" ref="EN285:EN288" si="2016">IF(ISERROR((EM285/EE285-1)*100),"NA",IF(((EM285/EE285-1)*100)&gt;100,"NM",IF(((EM285/EE285-1)*100)&lt;-50,"NM",(EM285/EE285-1)*100)))</f>
        <v>3.0927835051546282</v>
      </c>
      <c r="EO285" s="188">
        <v>509</v>
      </c>
      <c r="EP285" s="130">
        <f t="shared" ref="EP285:EP288" si="2017">IF(ISERROR((EO285/EG285-1)*100),"NA",IF(((EO285/EG285-1)*100)&gt;100,"NM",IF(((EO285/EG285-1)*100)&lt;-50,"NM",(EO285/EG285-1)*100)))</f>
        <v>4.5174537987679564</v>
      </c>
      <c r="EQ285" s="74">
        <f t="shared" ref="EQ285" si="2018">EO285*1.015</f>
        <v>516.63499999999999</v>
      </c>
      <c r="ER285" s="130">
        <f t="shared" ref="ER285:ER288" si="2019">IF(ISERROR((EQ285/EI285-1)*100),"NA",IF(((EQ285/EI285-1)*100)&gt;100,"NM",IF(((EQ285/EI285-1)*100)&lt;-50,"NM",(EQ285/EI285-1)*100)))</f>
        <v>4.3707070707070583</v>
      </c>
      <c r="ES285" s="74">
        <f t="shared" ref="ES285" si="2020">EQ285*1.015</f>
        <v>524.38452499999994</v>
      </c>
      <c r="ET285" s="130">
        <f t="shared" ref="ET285:ET288" si="2021">IF(ISERROR((ES285/EK285-1)*100),"NA",IF(((ES285/EK285-1)*100)&gt;100,"NM",IF(((ES285/EK285-1)*100)&lt;-50,"NM",(ES285/EK285-1)*100)))</f>
        <v>6.1507135627530296</v>
      </c>
      <c r="EU285" s="74">
        <f>(ES285*1.015)+400</f>
        <v>932.2502928749999</v>
      </c>
      <c r="EV285" s="130">
        <f t="shared" ref="EV285:EV288" si="2022">IF(ISERROR((EU285/EM285-1)*100),"NA",IF(((EU285/EM285-1)*100)&gt;100,"NM",IF(((EU285/EM285-1)*100)&lt;-50,"NM",(EU285/EM285-1)*100)))</f>
        <v>86.450058574999986</v>
      </c>
      <c r="EW285" s="74">
        <f t="shared" ref="EW285" si="2023">EU285*1.015</f>
        <v>946.23404726812475</v>
      </c>
      <c r="EX285" s="130">
        <f t="shared" ref="EX285:EX288" si="2024">IF(ISERROR((EW285/EO285-1)*100),"NA",IF(((EW285/EO285-1)*100)&gt;100,"NM",IF(((EW285/EO285-1)*100)&lt;-50,"NM",(EW285/EO285-1)*100)))</f>
        <v>85.900598677431191</v>
      </c>
      <c r="EY285" s="64"/>
      <c r="EZ285" s="558"/>
      <c r="FA285" s="64"/>
      <c r="FB285" s="189">
        <v>274.798</v>
      </c>
      <c r="FC285" s="184"/>
      <c r="FD285" s="189">
        <v>133.678</v>
      </c>
      <c r="FE285" s="184" t="str">
        <f>IF(ISERROR((FD285/FB285-1)*100),"NA",IF(((FD285/FB285-1)*100)&gt;100,"NM",IF(((FD285/FB285-1)*100)&lt;-50,"NM",(FD285/FB285-1)*100)))</f>
        <v>NM</v>
      </c>
      <c r="FF285" s="189">
        <f>C285+E285+G285+I285</f>
        <v>485.59000000000003</v>
      </c>
      <c r="FG285" s="184" t="str">
        <f>IF(ISERROR((FF285/FD285-1)*100),"NA",IF(((FF285/FD285-1)*100)&gt;100,"NM",IF(((FF285/FD285-1)*100)&lt;-50,"NM",(FF285/FD285-1)*100)))</f>
        <v>NM</v>
      </c>
      <c r="FH285" s="189">
        <f>K285+M285+O285+Q285</f>
        <v>546.71199999999999</v>
      </c>
      <c r="FI285" s="184">
        <f>IF(ISERROR((FH285/FF285-1)*100),"NA",IF(((FH285/FF285-1)*100)&gt;100,"NM",IF(((FH285/FF285-1)*100)&lt;-50,"NM",(FH285/FF285-1)*100)))</f>
        <v>12.587162009102325</v>
      </c>
      <c r="FJ285" s="189">
        <f>S285+U285+W285+Y285</f>
        <v>638.14</v>
      </c>
      <c r="FK285" s="184">
        <f>IF(ISERROR((FJ285/FH285-1)*100),"NA",IF(((FJ285/FH285-1)*100)&gt;100,"NM",IF(((FJ285/FH285-1)*100)&lt;-50,"NM",(FJ285/FH285-1)*100)))</f>
        <v>16.723247340464443</v>
      </c>
      <c r="FL285" s="189">
        <f>AA285+AC285+AE285+AG285</f>
        <v>756.01900000000001</v>
      </c>
      <c r="FM285" s="184">
        <f>IF(ISERROR((FL285/FJ285-1)*100),"NA",IF(((FL285/FJ285-1)*100)&gt;100,"NM",IF(((FL285/FJ285-1)*100)&lt;-50,"NM",(FL285/FJ285-1)*100)))</f>
        <v>18.472278810292408</v>
      </c>
      <c r="FN285" s="189">
        <f>AI285+AK285+AM285+AO285</f>
        <v>1113.25</v>
      </c>
      <c r="FO285" s="184">
        <f>IF(ISERROR((FN285/FL285-1)*100),"NA",IF(((FN285/FL285-1)*100)&gt;100,"NM",IF(((FN285/FL285-1)*100)&lt;-50,"NM",(FN285/FL285-1)*100)))</f>
        <v>47.251590237811492</v>
      </c>
      <c r="FP285" s="75">
        <f>AQ285+AS285+AU285+AW285</f>
        <v>1181.9780000000001</v>
      </c>
      <c r="FQ285" s="187">
        <f>IF(ISERROR((FP285/FN285-1)*100),"NA",IF(((FP285/FN285-1)*100)&gt;100,"NM",IF(((FP285/FN285-1)*100)&lt;-50,"NM",(FP285/FN285-1)*100)))</f>
        <v>6.1736357511789963</v>
      </c>
      <c r="FR285" s="75">
        <f>BA285+BC285+BE285</f>
        <v>948.9</v>
      </c>
      <c r="FS285" s="61">
        <f>IF(ISERROR((FR285/FP285-1)*100),"NA",IF(((FR285/FP285-1)*100)&gt;100,"NM",IF(((FR285/FP285-1)*100)&lt;-50,"NM",(FR285/FP285-1)*100)))</f>
        <v>-19.719317956848613</v>
      </c>
      <c r="FT285" s="75">
        <f>BG285+BI285+BK285+BM285</f>
        <v>1379</v>
      </c>
      <c r="FU285" s="61">
        <f>IF(ISERROR((FT285/FR285-1)*100),"NA",IF(((FT285/FR285-1)*100)&gt;100,"NM",IF(((FT285/FR285-1)*100)&lt;-50,"NM",(FT285/FR285-1)*100)))</f>
        <v>45.326167140899983</v>
      </c>
      <c r="FV285" s="75">
        <f>BO285+BQ285+BS285+BU285</f>
        <v>1516.9</v>
      </c>
      <c r="FW285" s="61">
        <f>IF(ISERROR((FV285/FT285-1)*100),"NA",IF(((FV285/FT285-1)*100)&gt;100,"NM",IF(((FV285/FT285-1)*100)&lt;-50,"NM",(FV285/FT285-1)*100)))</f>
        <v>10.000000000000009</v>
      </c>
      <c r="FX285" s="75">
        <f>BW285+BY285+CA285+CC285</f>
        <v>1579</v>
      </c>
      <c r="FY285" s="61">
        <f>IF(ISERROR((FX285/FV285-1)*100),"NA",IF(((FX285/FV285-1)*100)&gt;100,"NM",IF(((FX285/FV285-1)*100)&lt;-50,"NM",(FX285/FV285-1)*100)))</f>
        <v>4.0938756674797183</v>
      </c>
      <c r="FZ285" s="75">
        <f>CE285+CG285+CI285+CK285</f>
        <v>1682.3</v>
      </c>
      <c r="GA285" s="61">
        <f>IF(ISERROR((FZ285/FX285-1)*100),"NA",IF(((FZ285/FX285-1)*100)&gt;100,"NM",IF(((FZ285/FX285-1)*100)&lt;-50,"NM",(FZ285/FX285-1)*100)))</f>
        <v>6.5421152628245771</v>
      </c>
      <c r="GB285" s="75">
        <f>CM285+CO285+CQ285+CS285</f>
        <v>1778.5</v>
      </c>
      <c r="GC285" s="61">
        <f>IF(ISERROR((GB285/FZ285-1)*100),"NA",IF(((GB285/FZ285-1)*100)&gt;100,"NM",IF(((GB285/FZ285-1)*100)&lt;-50,"NM",(GB285/FZ285-1)*100)))</f>
        <v>5.7183617666290321</v>
      </c>
      <c r="GD285" s="75">
        <f>CU285+CW285+CY285+DA285</f>
        <v>1918</v>
      </c>
      <c r="GE285" s="61">
        <f>IF(ISERROR((GD285/GB285-1)*100),"NA",IF(((GD285/GB285-1)*100)&gt;100,"NM",IF(((GD285/GB285-1)*100)&lt;-50,"NM",(GD285/GB285-1)*100)))</f>
        <v>7.8436885015462421</v>
      </c>
      <c r="GF285" s="75">
        <f>DC285+DE285+DG285+DI285</f>
        <v>2084</v>
      </c>
      <c r="GG285" s="61">
        <f>IF(ISERROR((GF285/GD285-1)*100),"NA",IF(((GF285/GD285-1)*100)&gt;100,"NM",IF(((GF285/GD285-1)*100)&lt;-50,"NM",(GF285/GD285-1)*100)))</f>
        <v>8.6548488008342019</v>
      </c>
      <c r="GH285" s="75">
        <f>DK285+DM285+DO285+DQ285</f>
        <v>2253</v>
      </c>
      <c r="GI285" s="61">
        <f>IF(ISERROR((GH285/GF285-1)*100),"NA",IF(((GH285/GF285-1)*100)&gt;100,"NM",IF(((GH285/GF285-1)*100)&lt;-50,"NM",(GH285/GF285-1)*100)))</f>
        <v>8.1094049904030676</v>
      </c>
      <c r="GJ285" s="75">
        <f>DS285+DU285+DW285+DY285</f>
        <v>2163</v>
      </c>
      <c r="GK285" s="61">
        <f>IF(ISERROR((GJ285/GH285-1)*100),"NA",IF(((GJ285/GH285-1)*100)&gt;100,"NM",IF(((GJ285/GH285-1)*100)&lt;-50,"NM",(GJ285/GH285-1)*100)))</f>
        <v>-3.9946737683089206</v>
      </c>
      <c r="GL285" s="75">
        <f>EA285+EC285+EE285+EG285</f>
        <v>1939</v>
      </c>
      <c r="GM285" s="61">
        <f>IF(ISERROR((GL285/GJ285-1)*100),"NA",IF(((GL285/GJ285-1)*100)&gt;100,"NM",IF(((GL285/GJ285-1)*100)&lt;-50,"NM",(GL285/GJ285-1)*100)))</f>
        <v>-10.355987055016181</v>
      </c>
      <c r="GN285" s="75">
        <f>EI285+EK285+EM285+EO285</f>
        <v>1998</v>
      </c>
      <c r="GO285" s="61">
        <f>IF(ISERROR((GN285/GL285-1)*100),"NA",IF(((GN285/GL285-1)*100)&gt;100,"NM",IF(((GN285/GL285-1)*100)&lt;-50,"NM",(GN285/GL285-1)*100)))</f>
        <v>3.0428055698813905</v>
      </c>
      <c r="GP285" s="75">
        <f>EQ285+ES285+EU285+EW285</f>
        <v>2919.5038651431246</v>
      </c>
      <c r="GQ285" s="61">
        <f>IF(ISERROR((GP285/GN285-1)*100),"NA",IF(((GP285/GN285-1)*100)&gt;100,"NM",IF(((GP285/GN285-1)*100)&lt;-50,"NM",(GP285/GN285-1)*100)))</f>
        <v>46.121314571727964</v>
      </c>
      <c r="GR285" s="190">
        <f>EW285*4</f>
        <v>3784.936189072499</v>
      </c>
      <c r="GS285" s="61">
        <f>IF(ISERROR((GR285/GP285-1)*100),"NA",IF(((GR285/GP285-1)*100)&gt;100,"NM",IF(((GR285/GP285-1)*100)&lt;-50,"NM",(GR285/GP285-1)*100)))</f>
        <v>29.643129925671396</v>
      </c>
      <c r="GT285" s="190">
        <f>GR285</f>
        <v>3784.936189072499</v>
      </c>
      <c r="GU285" s="61">
        <f>IF(ISERROR((GT285/GR285-1)*100),"NA",IF(((GT285/GR285-1)*100)&gt;100,"NM",IF(((GT285/GR285-1)*100)&lt;-50,"NM",(GT285/GR285-1)*100)))</f>
        <v>0</v>
      </c>
      <c r="GV285" s="190">
        <f>GT285*1.005</f>
        <v>3803.8608700178611</v>
      </c>
      <c r="GW285" s="61">
        <f>IF(ISERROR((GV285/GT285-1)*100),"NA",IF(((GV285/GT285-1)*100)&gt;100,"NM",IF(((GV285/GT285-1)*100)&lt;-50,"NM",(GV285/GT285-1)*100)))</f>
        <v>0.49999999999998934</v>
      </c>
      <c r="GX285" s="190">
        <f>GV285*1.005</f>
        <v>3822.8801743679501</v>
      </c>
      <c r="GY285" s="61">
        <f>IF(ISERROR((GX285/GV285-1)*100),"NA",IF(((GX285/GV285-1)*100)&gt;100,"NM",IF(((GX285/GV285-1)*100)&lt;-50,"NM",(GX285/GV285-1)*100)))</f>
        <v>0.49999999999998934</v>
      </c>
      <c r="GZ285" s="61">
        <f t="shared" si="1909"/>
        <v>13.856817497417428</v>
      </c>
      <c r="HA285" s="61"/>
      <c r="HB285" s="452"/>
      <c r="HC285"/>
      <c r="HD285"/>
      <c r="HE285"/>
      <c r="HF285"/>
      <c r="HG285"/>
      <c r="HH285"/>
    </row>
    <row r="286" spans="2:216" s="5" customFormat="1" ht="12.75" customHeight="1" x14ac:dyDescent="0.2">
      <c r="B286" s="2" t="s">
        <v>498</v>
      </c>
      <c r="C286" s="183">
        <v>12.364000000000001</v>
      </c>
      <c r="D286" s="184"/>
      <c r="E286" s="183">
        <v>12.731</v>
      </c>
      <c r="F286" s="184"/>
      <c r="G286" s="185">
        <v>13.084</v>
      </c>
      <c r="H286" s="184"/>
      <c r="I286" s="185">
        <v>13.086</v>
      </c>
      <c r="J286" s="184"/>
      <c r="K286" s="185">
        <v>13.291</v>
      </c>
      <c r="L286" s="184">
        <f>IF(ISERROR((K286/C286-1)*100),"NA",IF(((K286/C286-1)*100)&gt;100,"NM",IF(((K286/C286-1)*100)&lt;-50,"NM",(K286/C286-1)*100)))</f>
        <v>7.4975736007764526</v>
      </c>
      <c r="M286" s="183">
        <v>13.4</v>
      </c>
      <c r="N286" s="184">
        <f>IF(ISERROR((M286/E286-1)*100),"NA",IF(((M286/E286-1)*100)&gt;100,"NM",IF(((M286/E286-1)*100)&lt;-50,"NM",(M286/E286-1)*100)))</f>
        <v>5.2548896394627231</v>
      </c>
      <c r="O286" s="183">
        <v>14.05</v>
      </c>
      <c r="P286" s="184">
        <f>IF(ISERROR((O286/G286-1)*100),"NA",IF(((O286/G286-1)*100)&gt;100,"NM",IF(((O286/G286-1)*100)&lt;-50,"NM",(O286/G286-1)*100)))</f>
        <v>7.3830632833995713</v>
      </c>
      <c r="Q286" s="185">
        <v>14.305999999999999</v>
      </c>
      <c r="R286" s="184">
        <f>IF(ISERROR((Q286/I286-1)*100),"NA",IF(((Q286/I286-1)*100)&gt;100,"NM",IF(((Q286/I286-1)*100)&lt;-50,"NM",(Q286/I286-1)*100)))</f>
        <v>9.3229405471496172</v>
      </c>
      <c r="S286" s="185">
        <v>15.022</v>
      </c>
      <c r="T286" s="184">
        <f>IF(ISERROR((S286/K286-1)*100),"NA",IF(((S286/K286-1)*100)&gt;100,"NM",IF(((S286/K286-1)*100)&lt;-50,"NM",(S286/K286-1)*100)))</f>
        <v>13.02385072605523</v>
      </c>
      <c r="U286" s="185">
        <v>14.565</v>
      </c>
      <c r="V286" s="184">
        <f>IF(ISERROR((U286/M286-1)*100),"NA",IF(((U286/M286-1)*100)&gt;100,"NM",IF(((U286/M286-1)*100)&lt;-50,"NM",(U286/M286-1)*100)))</f>
        <v>8.6940298507462543</v>
      </c>
      <c r="W286" s="183">
        <v>14.938000000000001</v>
      </c>
      <c r="X286" s="184">
        <f>IF(ISERROR((W286/O286-1)*100),"NA",IF(((W286/O286-1)*100)&gt;100,"NM",IF(((W286/O286-1)*100)&lt;-50,"NM",(W286/O286-1)*100)))</f>
        <v>6.3202846975088933</v>
      </c>
      <c r="Y286" s="185">
        <v>15.679</v>
      </c>
      <c r="Z286" s="184">
        <f>IF(ISERROR((Y286/Q286-1)*100),"NA",IF(((Y286/Q286-1)*100)&gt;100,"NM",IF(((Y286/Q286-1)*100)&lt;-50,"NM",(Y286/Q286-1)*100)))</f>
        <v>9.5973717321403704</v>
      </c>
      <c r="AA286" s="185">
        <v>15.882</v>
      </c>
      <c r="AB286" s="184">
        <f>IF(ISERROR((AA286/S286-1)*100),"NA",IF(((AA286/S286-1)*100)&gt;100,"NM",IF(((AA286/S286-1)*100)&lt;-50,"NM",(AA286/S286-1)*100)))</f>
        <v>5.7249367594195189</v>
      </c>
      <c r="AC286" s="185">
        <v>16.513999999999999</v>
      </c>
      <c r="AD286" s="184">
        <f>IF(ISERROR((AC286/U286-1)*100),"NA",IF(((AC286/U286-1)*100)&gt;100,"NM",IF(((AC286/U286-1)*100)&lt;-50,"NM",(AC286/U286-1)*100)))</f>
        <v>13.381393752145554</v>
      </c>
      <c r="AE286" s="183">
        <v>15.879</v>
      </c>
      <c r="AF286" s="184">
        <f>IF(ISERROR((AE286/W286-1)*100),"NA",IF(((AE286/W286-1)*100)&gt;100,"NM",IF(((AE286/W286-1)*100)&lt;-50,"NM",(AE286/W286-1)*100)))</f>
        <v>6.2993707323604209</v>
      </c>
      <c r="AG286" s="185">
        <v>15.487</v>
      </c>
      <c r="AH286" s="184">
        <f>IF(ISERROR((AG286/Y286-1)*100),"NA",IF(((AG286/Y286-1)*100)&gt;100,"NM",IF(((AG286/Y286-1)*100)&lt;-50,"NM",(AG286/Y286-1)*100)))</f>
        <v>-1.2245678933605508</v>
      </c>
      <c r="AI286" s="185">
        <v>18.382000000000001</v>
      </c>
      <c r="AJ286" s="184">
        <f>IF(ISERROR((AI286/AA286-1)*100),"NA",IF(((AI286/AA286-1)*100)&gt;100,"NM",IF(((AI286/AA286-1)*100)&lt;-50,"NM",(AI286/AA286-1)*100)))</f>
        <v>15.741090542752811</v>
      </c>
      <c r="AK286" s="185">
        <v>23.231000000000002</v>
      </c>
      <c r="AL286" s="184">
        <f>IF(ISERROR((AK286/AC286-1)*100),"NA",IF(((AK286/AC286-1)*100)&gt;100,"NM",IF(((AK286/AC286-1)*100)&lt;-50,"NM",(AK286/AC286-1)*100)))</f>
        <v>40.674579144967929</v>
      </c>
      <c r="AM286" s="183">
        <v>23.646000000000001</v>
      </c>
      <c r="AN286" s="184">
        <f>IF(ISERROR((AM286/AE286-1)*100),"NA",IF(((AM286/AE286-1)*100)&gt;100,"NM",IF(((AM286/AE286-1)*100)&lt;-50,"NM",(AM286/AE286-1)*100)))</f>
        <v>48.913659550349522</v>
      </c>
      <c r="AO286" s="183">
        <v>23.606999999999999</v>
      </c>
      <c r="AP286" s="184">
        <f>IF(ISERROR((AO286/AG286-1)*100),"NA",IF(((AO286/AG286-1)*100)&gt;100,"NM",IF(((AO286/AG286-1)*100)&lt;-50,"NM",(AO286/AG286-1)*100)))</f>
        <v>52.431071221024084</v>
      </c>
      <c r="AQ286" s="183">
        <v>23.85</v>
      </c>
      <c r="AR286" s="184">
        <f>IF(ISERROR((AQ286/AI286-1)*100),"NA",IF(((AQ286/AI286-1)*100)&gt;100,"NM",IF(((AQ286/AI286-1)*100)&lt;-50,"NM",(AQ286/AI286-1)*100)))</f>
        <v>29.74649113262975</v>
      </c>
      <c r="AS286" s="183">
        <v>23.823</v>
      </c>
      <c r="AT286" s="184">
        <f>IF(ISERROR((AS286/AK286-1)*100),"NA",IF(((AS286/AK286-1)*100)&gt;100,"NM",IF(((AS286/AK286-1)*100)&lt;-50,"NM",(AS286/AK286-1)*100)))</f>
        <v>2.5483190564332014</v>
      </c>
      <c r="AU286" s="183">
        <v>24.327999999999999</v>
      </c>
      <c r="AV286" s="187">
        <f>IF(ISERROR((AU286/AM286-1)*100),"NA",IF(((AU286/AM286-1)*100)&gt;100,"NM",IF(((AU286/AM286-1)*100)&lt;-50,"NM",(AU286/AM286-1)*100)))</f>
        <v>2.8842087456652177</v>
      </c>
      <c r="AW286" s="183">
        <v>24.832999999999998</v>
      </c>
      <c r="AX286" s="187">
        <f>IF(ISERROR((AW286/AO286-1)*100),"NA",IF(((AW286/AO286-1)*100)&gt;100,"NM",IF(((AW286/AO286-1)*100)&lt;-50,"NM",(AW286/AO286-1)*100)))</f>
        <v>5.1933748464438434</v>
      </c>
      <c r="AY286" s="186"/>
      <c r="AZ286" s="187" t="str">
        <f>IF(ISERROR((AY286/AQ286-1)*100),"NA",IF(((AY286/AQ286-1)*100)&gt;100,"NM",IF(((AY286/AQ286-1)*100)&lt;-50,"NM",(AY286/AQ286-1)*100)))</f>
        <v>NM</v>
      </c>
      <c r="BA286" s="186">
        <v>25.1</v>
      </c>
      <c r="BB286" s="187">
        <f>IF(ISERROR((BA286/AS286-1)*100),"NA",IF(((BA286/AS286-1)*100)&gt;100,"NM",IF(((BA286/AS286-1)*100)&lt;-50,"NM",(BA286/AS286-1)*100)))</f>
        <v>5.3603660328254144</v>
      </c>
      <c r="BC286" s="186">
        <v>27.1</v>
      </c>
      <c r="BD286" s="187">
        <f>IF(ISERROR((BC286/AU286-1)*100),"NA",IF(((BC286/AU286-1)*100)&gt;100,"NM",IF(((BC286/AU286-1)*100)&lt;-50,"NM",(BC286/AU286-1)*100)))</f>
        <v>11.394278197961217</v>
      </c>
      <c r="BE286" s="186">
        <v>28</v>
      </c>
      <c r="BF286" s="187">
        <f>IF(ISERROR((BE286/AW286-1)*100),"NA",IF(((BE286/AW286-1)*100)&gt;100,"NM",IF(((BE286/AW286-1)*100)&lt;-50,"NM",(BE286/AW286-1)*100)))</f>
        <v>12.753191318004276</v>
      </c>
      <c r="BG286" s="188">
        <v>27.9</v>
      </c>
      <c r="BH286" s="187" t="str">
        <f>IF(ISERROR((BG286/AY286-1)*100),"NA",IF(((BG286/AY286-1)*100)&gt;100,"NM",IF(((BG286/AY286-1)*100)&lt;-50,"NM",(BG286/AY286-1)*100)))</f>
        <v>NA</v>
      </c>
      <c r="BI286" s="188">
        <v>28.5</v>
      </c>
      <c r="BJ286" s="187">
        <f>IF(ISERROR((BI286/BA286-1)*100),"NA",IF(((BI286/BA286-1)*100)&gt;100,"NM",IF(((BI286/BA286-1)*100)&lt;-50,"NM",(BI286/BA286-1)*100)))</f>
        <v>13.545816733067717</v>
      </c>
      <c r="BK286" s="188">
        <v>29.5</v>
      </c>
      <c r="BL286" s="187">
        <f>IF(ISERROR((BK286/BC286-1)*100),"NA",IF(((BK286/BC286-1)*100)&gt;100,"NM",IF(((BK286/BC286-1)*100)&lt;-50,"NM",(BK286/BC286-1)*100)))</f>
        <v>8.856088560885599</v>
      </c>
      <c r="BM286" s="188">
        <v>29.5</v>
      </c>
      <c r="BN286" s="187">
        <f>IF(ISERROR((BM286/BE286-1)*100),"NA",IF(((BM286/BE286-1)*100)&gt;100,"NM",IF(((BM286/BE286-1)*100)&lt;-50,"NM",(BM286/BE286-1)*100)))</f>
        <v>5.3571428571428603</v>
      </c>
      <c r="BO286" s="188">
        <v>27.7</v>
      </c>
      <c r="BP286" s="187">
        <f>IF(ISERROR((BO286/BG286-1)*100),"NA",IF(((BO286/BG286-1)*100)&gt;100,"NM",IF(((BO286/BG286-1)*100)&lt;-50,"NM",(BO286/BG286-1)*100)))</f>
        <v>-0.71684587813619638</v>
      </c>
      <c r="BQ286" s="188">
        <v>30.5</v>
      </c>
      <c r="BR286" s="187">
        <f>IF(ISERROR((BQ286/BI286-1)*100),"NA",IF(((BQ286/BI286-1)*100)&gt;100,"NM",IF(((BQ286/BI286-1)*100)&lt;-50,"NM",(BQ286/BI286-1)*100)))</f>
        <v>7.0175438596491224</v>
      </c>
      <c r="BS286" s="188">
        <v>30.8</v>
      </c>
      <c r="BT286" s="187">
        <f>IF(ISERROR((BS286/BK286-1)*100),"NA",IF(((BS286/BK286-1)*100)&gt;100,"NM",IF(((BS286/BK286-1)*100)&lt;-50,"NM",(BS286/BK286-1)*100)))</f>
        <v>4.4067796610169463</v>
      </c>
      <c r="BU286" s="188">
        <f>0.1+28.2</f>
        <v>28.3</v>
      </c>
      <c r="BV286" s="187">
        <f>IF(ISERROR((BU286/BM286-1)*100),"NA",IF(((BU286/BM286-1)*100)&gt;100,"NM",IF(((BU286/BM286-1)*100)&lt;-50,"NM",(BU286/BM286-1)*100)))</f>
        <v>-4.067796610169494</v>
      </c>
      <c r="BW286" s="188">
        <v>30.1</v>
      </c>
      <c r="BX286" s="187">
        <f>IF(ISERROR((BW286/BO286-1)*100),"NA",IF(((BW286/BO286-1)*100)&gt;100,"NM",IF(((BW286/BO286-1)*100)&lt;-50,"NM",(BW286/BO286-1)*100)))</f>
        <v>8.6642599277978469</v>
      </c>
      <c r="BY286" s="188">
        <v>28.1</v>
      </c>
      <c r="BZ286" s="187">
        <f>IF(ISERROR((BY286/BQ286-1)*100),"NA",IF(((BY286/BQ286-1)*100)&gt;100,"NM",IF(((BY286/BQ286-1)*100)&lt;-50,"NM",(BY286/BQ286-1)*100)))</f>
        <v>-7.8688524590163844</v>
      </c>
      <c r="CA286" s="188">
        <v>33.5</v>
      </c>
      <c r="CB286" s="187">
        <f>IF(ISERROR((CA286/BS286-1)*100),"NA",IF(((CA286/BS286-1)*100)&gt;100,"NM",IF(((CA286/BS286-1)*100)&lt;-50,"NM",(CA286/BS286-1)*100)))</f>
        <v>8.7662337662337553</v>
      </c>
      <c r="CC286" s="188">
        <v>35.700000000000003</v>
      </c>
      <c r="CD286" s="187">
        <f>IF(ISERROR((CC286/BU286-1)*100),"NA",IF(((CC286/BU286-1)*100)&gt;100,"NM",IF(((CC286/BU286-1)*100)&lt;-50,"NM",(CC286/BU286-1)*100)))</f>
        <v>26.148409893992941</v>
      </c>
      <c r="CE286" s="188">
        <v>33.6</v>
      </c>
      <c r="CF286" s="187">
        <f>IF(ISERROR((CE286/BW286-1)*100),"NA",IF(((CE286/BW286-1)*100)&gt;100,"NM",IF(((CE286/BW286-1)*100)&lt;-50,"NM",(CE286/BW286-1)*100)))</f>
        <v>11.627906976744185</v>
      </c>
      <c r="CG286" s="188">
        <v>34.299999999999997</v>
      </c>
      <c r="CH286" s="187">
        <f>IF(ISERROR((CG286/BY286-1)*100),"NA",IF(((CG286/BY286-1)*100)&gt;100,"NM",IF(((CG286/BY286-1)*100)&lt;-50,"NM",(CG286/BY286-1)*100)))</f>
        <v>22.064056939501754</v>
      </c>
      <c r="CI286" s="188">
        <v>35</v>
      </c>
      <c r="CJ286" s="187">
        <f>IF(ISERROR((CI286/CA286-1)*100),"NA",IF(((CI286/CA286-1)*100)&gt;100,"NM",IF(((CI286/CA286-1)*100)&lt;-50,"NM",(CI286/CA286-1)*100)))</f>
        <v>4.4776119402984982</v>
      </c>
      <c r="CK286" s="188">
        <v>38.1</v>
      </c>
      <c r="CL286" s="187">
        <f>IF(ISERROR((CK286/CC286-1)*100),"NA",IF(((CK286/CC286-1)*100)&gt;100,"NM",IF(((CK286/CC286-1)*100)&lt;-50,"NM",(CK286/CC286-1)*100)))</f>
        <v>6.7226890756302504</v>
      </c>
      <c r="CM286" s="188">
        <v>39.1</v>
      </c>
      <c r="CN286" s="187">
        <f>IF(ISERROR((CM286/CE286-1)*100),"NA",IF(((CM286/CE286-1)*100)&gt;100,"NM",IF(((CM286/CE286-1)*100)&lt;-50,"NM",(CM286/CE286-1)*100)))</f>
        <v>16.369047619047628</v>
      </c>
      <c r="CO286" s="188">
        <v>38.5</v>
      </c>
      <c r="CP286" s="187">
        <f>IF(ISERROR((CO286/CG286-1)*100),"NA",IF(((CO286/CG286-1)*100)&gt;100,"NM",IF(((CO286/CG286-1)*100)&lt;-50,"NM",(CO286/CG286-1)*100)))</f>
        <v>12.244897959183687</v>
      </c>
      <c r="CQ286" s="188">
        <v>37.799999999999997</v>
      </c>
      <c r="CR286" s="187">
        <f>IF(ISERROR((CQ286/CI286-1)*100),"NA",IF(((CQ286/CI286-1)*100)&gt;100,"NM",IF(((CQ286/CI286-1)*100)&lt;-50,"NM",(CQ286/CI286-1)*100)))</f>
        <v>7.9999999999999849</v>
      </c>
      <c r="CS286" s="188">
        <v>37</v>
      </c>
      <c r="CT286" s="187">
        <f>IF(ISERROR((CS286/CK286-1)*100),"NA",IF(((CS286/CK286-1)*100)&gt;100,"NM",IF(((CS286/CK286-1)*100)&lt;-50,"NM",(CS286/CK286-1)*100)))</f>
        <v>-2.8871391076115471</v>
      </c>
      <c r="CU286" s="188">
        <v>38</v>
      </c>
      <c r="CV286" s="187">
        <f>IF(ISERROR((CU286/CM286-1)*100),"NA",IF(((CU286/CM286-1)*100)&gt;100,"NM",IF(((CU286/CM286-1)*100)&lt;-50,"NM",(CU286/CM286-1)*100)))</f>
        <v>-2.8132992327365769</v>
      </c>
      <c r="CW286" s="188">
        <v>42</v>
      </c>
      <c r="CX286" s="187">
        <f>IF(ISERROR((CW286/CO286-1)*100),"NA",IF(((CW286/CO286-1)*100)&gt;100,"NM",IF(((CW286/CO286-1)*100)&lt;-50,"NM",(CW286/CO286-1)*100)))</f>
        <v>9.0909090909090828</v>
      </c>
      <c r="CY286" s="188">
        <v>41</v>
      </c>
      <c r="CZ286" s="187">
        <f>IF(ISERROR((CY286/CQ286-1)*100),"NA",IF(((CY286/CQ286-1)*100)&gt;100,"NM",IF(((CY286/CQ286-1)*100)&lt;-50,"NM",(CY286/CQ286-1)*100)))</f>
        <v>8.4656084656084651</v>
      </c>
      <c r="DA286" s="188">
        <v>41</v>
      </c>
      <c r="DB286" s="187">
        <f>IF(ISERROR((DA286/CS286-1)*100),"NA",IF(((DA286/CS286-1)*100)&gt;100,"NM",IF(((DA286/CS286-1)*100)&lt;-50,"NM",(DA286/CS286-1)*100)))</f>
        <v>10.810810810810811</v>
      </c>
      <c r="DC286" s="188">
        <v>39</v>
      </c>
      <c r="DD286" s="187">
        <f>IF(ISERROR((DC286/CU286-1)*100),"NA",IF(((DC286/CU286-1)*100)&gt;100,"NM",IF(((DC286/CU286-1)*100)&lt;-50,"NM",(DC286/CU286-1)*100)))</f>
        <v>2.6315789473684292</v>
      </c>
      <c r="DE286" s="188">
        <v>42</v>
      </c>
      <c r="DF286" s="187">
        <f>IF(ISERROR((DE286/CW286-1)*100),"NA",IF(((DE286/CW286-1)*100)&gt;100,"NM",IF(((DE286/CW286-1)*100)&lt;-50,"NM",(DE286/CW286-1)*100)))</f>
        <v>0</v>
      </c>
      <c r="DG286" s="188">
        <v>41</v>
      </c>
      <c r="DH286" s="187">
        <f>IF(ISERROR((DG286/CY286-1)*100),"NA",IF(((DG286/CY286-1)*100)&gt;100,"NM",IF(((DG286/CY286-1)*100)&lt;-50,"NM",(DG286/CY286-1)*100)))</f>
        <v>0</v>
      </c>
      <c r="DI286" s="188">
        <v>43</v>
      </c>
      <c r="DJ286" s="187">
        <f>IF(ISERROR((DI286/DA286-1)*100),"NA",IF(((DI286/DA286-1)*100)&gt;100,"NM",IF(((DI286/DA286-1)*100)&lt;-50,"NM",(DI286/DA286-1)*100)))</f>
        <v>4.8780487804878092</v>
      </c>
      <c r="DK286" s="188">
        <v>45</v>
      </c>
      <c r="DL286" s="187">
        <f>IF(ISERROR((DK286/DC286-1)*100),"NA",IF(((DK286/DC286-1)*100)&gt;100,"NM",IF(((DK286/DC286-1)*100)&lt;-50,"NM",(DK286/DC286-1)*100)))</f>
        <v>15.384615384615374</v>
      </c>
      <c r="DM286" s="188">
        <v>44</v>
      </c>
      <c r="DN286" s="130">
        <f t="shared" si="2009"/>
        <v>4.7619047619047672</v>
      </c>
      <c r="DO286" s="188">
        <v>45</v>
      </c>
      <c r="DP286" s="130">
        <f t="shared" si="2009"/>
        <v>9.7560975609756184</v>
      </c>
      <c r="DQ286" s="188">
        <v>46</v>
      </c>
      <c r="DR286" s="130">
        <f t="shared" si="2009"/>
        <v>6.9767441860465018</v>
      </c>
      <c r="DS286" s="188">
        <v>43</v>
      </c>
      <c r="DT286" s="130">
        <f t="shared" si="2009"/>
        <v>-4.4444444444444393</v>
      </c>
      <c r="DU286" s="188">
        <v>47</v>
      </c>
      <c r="DV286" s="130">
        <f t="shared" si="2009"/>
        <v>6.8181818181818121</v>
      </c>
      <c r="DW286" s="188">
        <v>48</v>
      </c>
      <c r="DX286" s="188">
        <v>48</v>
      </c>
      <c r="DY286" s="188">
        <v>45</v>
      </c>
      <c r="DZ286" s="130">
        <f t="shared" si="2009"/>
        <v>-2.1739130434782594</v>
      </c>
      <c r="EA286" s="188">
        <v>42</v>
      </c>
      <c r="EB286" s="130">
        <f t="shared" si="2010"/>
        <v>-2.3255813953488413</v>
      </c>
      <c r="EC286" s="188">
        <v>43</v>
      </c>
      <c r="ED286" s="130">
        <f t="shared" si="2011"/>
        <v>-8.5106382978723421</v>
      </c>
      <c r="EE286" s="188">
        <v>45</v>
      </c>
      <c r="EF286" s="130">
        <f t="shared" si="2012"/>
        <v>-6.25</v>
      </c>
      <c r="EG286" s="188">
        <v>47</v>
      </c>
      <c r="EH286" s="130">
        <f t="shared" si="2013"/>
        <v>4.4444444444444509</v>
      </c>
      <c r="EI286" s="188">
        <v>43</v>
      </c>
      <c r="EJ286" s="130">
        <f t="shared" si="2014"/>
        <v>2.3809523809523725</v>
      </c>
      <c r="EK286" s="188">
        <v>43</v>
      </c>
      <c r="EL286" s="130">
        <f t="shared" si="2015"/>
        <v>0</v>
      </c>
      <c r="EM286" s="188">
        <v>41</v>
      </c>
      <c r="EN286" s="130">
        <f t="shared" si="2016"/>
        <v>-8.8888888888888911</v>
      </c>
      <c r="EO286" s="188">
        <v>41</v>
      </c>
      <c r="EP286" s="130">
        <f t="shared" si="2017"/>
        <v>-12.765957446808507</v>
      </c>
      <c r="EQ286" s="74">
        <f t="shared" ref="EQ286" si="2025">EO286*1.01</f>
        <v>41.410000000000004</v>
      </c>
      <c r="ER286" s="130">
        <f t="shared" si="2019"/>
        <v>-3.6976744186046462</v>
      </c>
      <c r="ES286" s="74">
        <f t="shared" ref="ES286" si="2026">EQ286*1.01</f>
        <v>41.824100000000001</v>
      </c>
      <c r="ET286" s="130">
        <f t="shared" si="2021"/>
        <v>-2.7346511627906911</v>
      </c>
      <c r="EU286" s="74">
        <f>ES286*1.01+18</f>
        <v>60.242341000000003</v>
      </c>
      <c r="EV286" s="130">
        <f t="shared" si="2022"/>
        <v>46.932539024390252</v>
      </c>
      <c r="EW286" s="74">
        <f t="shared" ref="EW286" si="2027">EU286*1.01</f>
        <v>60.844764410000003</v>
      </c>
      <c r="EX286" s="130">
        <f t="shared" si="2024"/>
        <v>48.401864414634147</v>
      </c>
      <c r="EY286" s="64"/>
      <c r="EZ286" s="558"/>
      <c r="FA286" s="64"/>
      <c r="FB286" s="189">
        <v>38.104999999999997</v>
      </c>
      <c r="FC286" s="184"/>
      <c r="FD286" s="189">
        <v>30.423000000000002</v>
      </c>
      <c r="FE286" s="184">
        <f>IF(ISERROR((FD286/FB286-1)*100),"NA",IF(((FD286/FB286-1)*100)&gt;100,"NM",IF(((FD286/FB286-1)*100)&lt;-50,"NM",(FD286/FB286-1)*100)))</f>
        <v>-20.160083978480504</v>
      </c>
      <c r="FF286" s="189">
        <f>C286+E286+G286+I286</f>
        <v>51.265000000000001</v>
      </c>
      <c r="FG286" s="184">
        <f>IF(ISERROR((FF286/FD286-1)*100),"NA",IF(((FF286/FD286-1)*100)&gt;100,"NM",IF(((FF286/FD286-1)*100)&lt;-50,"NM",(FF286/FD286-1)*100)))</f>
        <v>68.507379285409058</v>
      </c>
      <c r="FH286" s="189">
        <f>K286+M286+O286+Q286</f>
        <v>55.046999999999997</v>
      </c>
      <c r="FI286" s="184">
        <f>IF(ISERROR((FH286/FF286-1)*100),"NA",IF(((FH286/FF286-1)*100)&gt;100,"NM",IF(((FH286/FF286-1)*100)&lt;-50,"NM",(FH286/FF286-1)*100)))</f>
        <v>7.3773529698624829</v>
      </c>
      <c r="FJ286" s="189">
        <f>S286+U286+W286+Y286</f>
        <v>60.204000000000001</v>
      </c>
      <c r="FK286" s="184">
        <f>IF(ISERROR((FJ286/FH286-1)*100),"NA",IF(((FJ286/FH286-1)*100)&gt;100,"NM",IF(((FJ286/FH286-1)*100)&lt;-50,"NM",(FJ286/FH286-1)*100)))</f>
        <v>9.3683579486620658</v>
      </c>
      <c r="FL286" s="189">
        <f>AA286+AC286+AE286+AG286</f>
        <v>63.762</v>
      </c>
      <c r="FM286" s="184">
        <f>IF(ISERROR((FL286/FJ286-1)*100),"NA",IF(((FL286/FJ286-1)*100)&gt;100,"NM",IF(((FL286/FJ286-1)*100)&lt;-50,"NM",(FL286/FJ286-1)*100)))</f>
        <v>5.9099063185170442</v>
      </c>
      <c r="FN286" s="191">
        <f>AI286+AK286+AM286+AO286</f>
        <v>88.866</v>
      </c>
      <c r="FO286" s="184">
        <f>IF(ISERROR((FN286/FL286-1)*100),"NA",IF(((FN286/FL286-1)*100)&gt;100,"NM",IF(((FN286/FL286-1)*100)&lt;-50,"NM",(FN286/FL286-1)*100)))</f>
        <v>39.371412440011298</v>
      </c>
      <c r="FP286" s="73">
        <f>AQ286+AS286+AU286+AW286</f>
        <v>96.834000000000003</v>
      </c>
      <c r="FQ286" s="187">
        <f>IF(ISERROR((FP286/FN286-1)*100),"NA",IF(((FP286/FN286-1)*100)&gt;100,"NM",IF(((FP286/FN286-1)*100)&lt;-50,"NM",(FP286/FN286-1)*100)))</f>
        <v>8.9663088245223186</v>
      </c>
      <c r="FR286" s="73">
        <f>BA286+BC286+BE286</f>
        <v>80.2</v>
      </c>
      <c r="FS286" s="61">
        <f>IF(ISERROR((FR286/FP286-1)*100),"NA",IF(((FR286/FP286-1)*100)&gt;100,"NM",IF(((FR286/FP286-1)*100)&lt;-50,"NM",(FR286/FP286-1)*100)))</f>
        <v>-17.177850754900138</v>
      </c>
      <c r="FT286" s="73">
        <f>BG286+BI286+BK286+BM286</f>
        <v>115.4</v>
      </c>
      <c r="FU286" s="61">
        <f>IF(ISERROR((FT286/FR286-1)*100),"NA",IF(((FT286/FR286-1)*100)&gt;100,"NM",IF(((FT286/FR286-1)*100)&lt;-50,"NM",(FT286/FR286-1)*100)))</f>
        <v>43.890274314214459</v>
      </c>
      <c r="FV286" s="73">
        <f>BO286+BQ286+BS286+BU286</f>
        <v>117.3</v>
      </c>
      <c r="FW286" s="61">
        <f>IF(ISERROR((FV286/FT286-1)*100),"NA",IF(((FV286/FT286-1)*100)&gt;100,"NM",IF(((FV286/FT286-1)*100)&lt;-50,"NM",(FV286/FT286-1)*100)))</f>
        <v>1.6464471403812686</v>
      </c>
      <c r="FX286" s="75">
        <f>BW286+BY286+CA286+CC286</f>
        <v>127.4</v>
      </c>
      <c r="FY286" s="61">
        <f>IF(ISERROR((FX286/FV286-1)*100),"NA",IF(((FX286/FV286-1)*100)&gt;100,"NM",IF(((FX286/FV286-1)*100)&lt;-50,"NM",(FX286/FV286-1)*100)))</f>
        <v>8.6104006820119317</v>
      </c>
      <c r="FZ286" s="75">
        <f>CE286+CG286+CI286+CK286</f>
        <v>141</v>
      </c>
      <c r="GA286" s="61">
        <f>IF(ISERROR((FZ286/FX286-1)*100),"NA",IF(((FZ286/FX286-1)*100)&gt;100,"NM",IF(((FZ286/FX286-1)*100)&lt;-50,"NM",(FZ286/FX286-1)*100)))</f>
        <v>10.675039246467822</v>
      </c>
      <c r="GB286" s="75">
        <f>CM286+CO286+CQ286+CS286</f>
        <v>152.39999999999998</v>
      </c>
      <c r="GC286" s="61">
        <f>IF(ISERROR((GB286/FZ286-1)*100),"NA",IF(((GB286/FZ286-1)*100)&gt;100,"NM",IF(((GB286/FZ286-1)*100)&lt;-50,"NM",(GB286/FZ286-1)*100)))</f>
        <v>8.0851063829787009</v>
      </c>
      <c r="GD286" s="75">
        <f>CU286+CW286+CY286+DA286</f>
        <v>162</v>
      </c>
      <c r="GE286" s="61">
        <f>IF(ISERROR((GD286/GB286-1)*100),"NA",IF(((GD286/GB286-1)*100)&gt;100,"NM",IF(((GD286/GB286-1)*100)&lt;-50,"NM",(GD286/GB286-1)*100)))</f>
        <v>6.2992125984252079</v>
      </c>
      <c r="GF286" s="75">
        <f>DC286+DE286+DG286+DI286</f>
        <v>165</v>
      </c>
      <c r="GG286" s="61">
        <f>IF(ISERROR((GF286/GD286-1)*100),"NA",IF(((GF286/GD286-1)*100)&gt;100,"NM",IF(((GF286/GD286-1)*100)&lt;-50,"NM",(GF286/GD286-1)*100)))</f>
        <v>1.8518518518518601</v>
      </c>
      <c r="GH286" s="75">
        <f>DK286+DM286+DO286+DQ286</f>
        <v>180</v>
      </c>
      <c r="GI286" s="61">
        <f>IF(ISERROR((GH286/GF286-1)*100),"NA",IF(((GH286/GF286-1)*100)&gt;100,"NM",IF(((GH286/GF286-1)*100)&lt;-50,"NM",(GH286/GF286-1)*100)))</f>
        <v>9.0909090909090828</v>
      </c>
      <c r="GJ286" s="75">
        <f>DS286+DU286+DW286+DY286</f>
        <v>183</v>
      </c>
      <c r="GK286" s="61">
        <f>IF(ISERROR((GJ286/GH286-1)*100),"NA",IF(((GJ286/GH286-1)*100)&gt;100,"NM",IF(((GJ286/GH286-1)*100)&lt;-50,"NM",(GJ286/GH286-1)*100)))</f>
        <v>1.6666666666666607</v>
      </c>
      <c r="GL286" s="75">
        <f>EA286+EC286+EE286+EG286</f>
        <v>177</v>
      </c>
      <c r="GM286" s="61">
        <f>IF(ISERROR((GL286/GJ286-1)*100),"NA",IF(((GL286/GJ286-1)*100)&gt;100,"NM",IF(((GL286/GJ286-1)*100)&lt;-50,"NM",(GL286/GJ286-1)*100)))</f>
        <v>-3.2786885245901676</v>
      </c>
      <c r="GN286" s="75">
        <f>EI286+EK286+EM286+EO286</f>
        <v>168</v>
      </c>
      <c r="GO286" s="61">
        <f>IF(ISERROR((GN286/GL286-1)*100),"NA",IF(((GN286/GL286-1)*100)&gt;100,"NM",IF(((GN286/GL286-1)*100)&lt;-50,"NM",(GN286/GL286-1)*100)))</f>
        <v>-5.0847457627118615</v>
      </c>
      <c r="GP286" s="75">
        <f>EQ286+ES286+EU286+EW286</f>
        <v>204.32120541000003</v>
      </c>
      <c r="GQ286" s="61">
        <f>IF(ISERROR((GP286/GN286-1)*100),"NA",IF(((GP286/GN286-1)*100)&gt;100,"NM",IF(((GP286/GN286-1)*100)&lt;-50,"NM",(GP286/GN286-1)*100)))</f>
        <v>21.619765125000011</v>
      </c>
      <c r="GR286" s="190">
        <f>EW286*4*1.02</f>
        <v>248.24663879280001</v>
      </c>
      <c r="GS286" s="61">
        <f>IF(ISERROR((GR286/GP286-1)*100),"NA",IF(((GR286/GP286-1)*100)&gt;100,"NM",IF(((GR286/GP286-1)*100)&lt;-50,"NM",(GR286/GP286-1)*100)))</f>
        <v>21.498225450783369</v>
      </c>
      <c r="GT286" s="190">
        <f>GR286*1.02</f>
        <v>253.21157156865601</v>
      </c>
      <c r="GU286" s="61">
        <f>IF(ISERROR((GT286/GR286-1)*100),"NA",IF(((GT286/GR286-1)*100)&gt;100,"NM",IF(((GT286/GR286-1)*100)&lt;-50,"NM",(GT286/GR286-1)*100)))</f>
        <v>2.0000000000000018</v>
      </c>
      <c r="GV286" s="190">
        <f>GT286*1.02</f>
        <v>258.27580300002916</v>
      </c>
      <c r="GW286" s="61">
        <f>IF(ISERROR((GV286/GT286-1)*100),"NA",IF(((GV286/GT286-1)*100)&gt;100,"NM",IF(((GV286/GT286-1)*100)&lt;-50,"NM",(GV286/GT286-1)*100)))</f>
        <v>2.0000000000000018</v>
      </c>
      <c r="GX286" s="190">
        <f>GV286*1.02</f>
        <v>263.44131906002974</v>
      </c>
      <c r="GY286" s="61">
        <f>IF(ISERROR((GX286/GV286-1)*100),"NA",IF(((GX286/GV286-1)*100)&gt;100,"NM",IF(((GX286/GV286-1)*100)&lt;-50,"NM",(GX286/GV286-1)*100)))</f>
        <v>2.0000000000000018</v>
      </c>
      <c r="GZ286" s="61">
        <f t="shared" si="1909"/>
        <v>9.4145105904626991</v>
      </c>
      <c r="HA286" s="61"/>
      <c r="HB286" s="452"/>
      <c r="HC286"/>
      <c r="HD286"/>
      <c r="HE286"/>
      <c r="HF286"/>
      <c r="HG286"/>
      <c r="HH286"/>
    </row>
    <row r="287" spans="2:216" s="5" customFormat="1" ht="12.75" customHeight="1" x14ac:dyDescent="0.2">
      <c r="B287" s="2" t="s">
        <v>620</v>
      </c>
      <c r="C287" s="192">
        <v>0</v>
      </c>
      <c r="D287" s="193"/>
      <c r="E287" s="192">
        <v>0</v>
      </c>
      <c r="F287" s="193"/>
      <c r="G287" s="192">
        <v>0</v>
      </c>
      <c r="H287" s="193"/>
      <c r="I287" s="192">
        <v>0</v>
      </c>
      <c r="J287" s="193"/>
      <c r="K287" s="192">
        <v>0</v>
      </c>
      <c r="L287" s="193" t="str">
        <f>IF(ISERROR((K287/C287-1)*100),"NA",IF(((K287/C287-1)*100)&gt;100,"NM",IF(((K287/C287-1)*100)&lt;-50,"NM",(K287/C287-1)*100)))</f>
        <v>NA</v>
      </c>
      <c r="M287" s="192">
        <v>0</v>
      </c>
      <c r="N287" s="193" t="str">
        <f>IF(ISERROR((M287/E287-1)*100),"NA",IF(((M287/E287-1)*100)&gt;100,"NM",IF(((M287/E287-1)*100)&lt;-50,"NM",(M287/E287-1)*100)))</f>
        <v>NA</v>
      </c>
      <c r="O287" s="192">
        <v>0</v>
      </c>
      <c r="P287" s="193" t="str">
        <f>IF(ISERROR((O287/G287-1)*100),"NA",IF(((O287/G287-1)*100)&gt;100,"NM",IF(((O287/G287-1)*100)&lt;-50,"NM",(O287/G287-1)*100)))</f>
        <v>NA</v>
      </c>
      <c r="Q287" s="192">
        <v>0</v>
      </c>
      <c r="R287" s="193" t="str">
        <f>IF(ISERROR((Q287/I287-1)*100),"NA",IF(((Q287/I287-1)*100)&gt;100,"NM",IF(((Q287/I287-1)*100)&lt;-50,"NM",(Q287/I287-1)*100)))</f>
        <v>NA</v>
      </c>
      <c r="S287" s="192">
        <v>0</v>
      </c>
      <c r="T287" s="193" t="str">
        <f>IF(ISERROR((S287/K287-1)*100),"NA",IF(((S287/K287-1)*100)&gt;100,"NM",IF(((S287/K287-1)*100)&lt;-50,"NM",(S287/K287-1)*100)))</f>
        <v>NA</v>
      </c>
      <c r="U287" s="192">
        <v>0</v>
      </c>
      <c r="V287" s="193" t="str">
        <f>IF(ISERROR((U287/M287-1)*100),"NA",IF(((U287/M287-1)*100)&gt;100,"NM",IF(((U287/M287-1)*100)&lt;-50,"NM",(U287/M287-1)*100)))</f>
        <v>NA</v>
      </c>
      <c r="W287" s="192">
        <v>0</v>
      </c>
      <c r="X287" s="193" t="str">
        <f>IF(ISERROR((W287/O287-1)*100),"NA",IF(((W287/O287-1)*100)&gt;100,"NM",IF(((W287/O287-1)*100)&lt;-50,"NM",(W287/O287-1)*100)))</f>
        <v>NA</v>
      </c>
      <c r="Y287" s="192">
        <v>0</v>
      </c>
      <c r="Z287" s="193" t="str">
        <f>IF(ISERROR((Y287/Q287-1)*100),"NA",IF(((Y287/Q287-1)*100)&gt;100,"NM",IF(((Y287/Q287-1)*100)&lt;-50,"NM",(Y287/Q287-1)*100)))</f>
        <v>NA</v>
      </c>
      <c r="AA287" s="192">
        <v>0</v>
      </c>
      <c r="AB287" s="193" t="str">
        <f>IF(ISERROR((AA287/S287-1)*100),"NA",IF(((AA287/S287-1)*100)&gt;100,"NM",IF(((AA287/S287-1)*100)&lt;-50,"NM",(AA287/S287-1)*100)))</f>
        <v>NA</v>
      </c>
      <c r="AC287" s="192">
        <v>0</v>
      </c>
      <c r="AD287" s="193" t="str">
        <f>IF(ISERROR((AC287/U287-1)*100),"NA",IF(((AC287/U287-1)*100)&gt;100,"NM",IF(((AC287/U287-1)*100)&lt;-50,"NM",(AC287/U287-1)*100)))</f>
        <v>NA</v>
      </c>
      <c r="AE287" s="192">
        <v>0</v>
      </c>
      <c r="AF287" s="193" t="str">
        <f>IF(ISERROR((AE287/W287-1)*100),"NA",IF(((AE287/W287-1)*100)&gt;100,"NM",IF(((AE287/W287-1)*100)&lt;-50,"NM",(AE287/W287-1)*100)))</f>
        <v>NA</v>
      </c>
      <c r="AG287" s="192">
        <v>0</v>
      </c>
      <c r="AH287" s="193" t="str">
        <f>IF(ISERROR((AG287/Y287-1)*100),"NA",IF(((AG287/Y287-1)*100)&gt;100,"NM",IF(((AG287/Y287-1)*100)&lt;-50,"NM",(AG287/Y287-1)*100)))</f>
        <v>NA</v>
      </c>
      <c r="AI287" s="192">
        <v>0</v>
      </c>
      <c r="AJ287" s="193" t="str">
        <f>IF(ISERROR((AI287/AA287-1)*100),"NA",IF(((AI287/AA287-1)*100)&gt;100,"NM",IF(((AI287/AA287-1)*100)&lt;-50,"NM",(AI287/AA287-1)*100)))</f>
        <v>NA</v>
      </c>
      <c r="AK287" s="192">
        <v>0</v>
      </c>
      <c r="AL287" s="193" t="str">
        <f>IF(ISERROR((AK287/AC287-1)*100),"NA",IF(((AK287/AC287-1)*100)&gt;100,"NM",IF(((AK287/AC287-1)*100)&lt;-50,"NM",(AK287/AC287-1)*100)))</f>
        <v>NA</v>
      </c>
      <c r="AM287" s="192">
        <v>0</v>
      </c>
      <c r="AN287" s="193" t="str">
        <f>IF(ISERROR((AM287/AE287-1)*100),"NA",IF(((AM287/AE287-1)*100)&gt;100,"NM",IF(((AM287/AE287-1)*100)&lt;-50,"NM",(AM287/AE287-1)*100)))</f>
        <v>NA</v>
      </c>
      <c r="AO287" s="192">
        <v>0</v>
      </c>
      <c r="AP287" s="193" t="str">
        <f>IF(ISERROR((AO287/AG287-1)*100),"NA",IF(((AO287/AG287-1)*100)&gt;100,"NM",IF(((AO287/AG287-1)*100)&lt;-50,"NM",(AO287/AG287-1)*100)))</f>
        <v>NA</v>
      </c>
      <c r="AQ287" s="192">
        <v>0</v>
      </c>
      <c r="AR287" s="193" t="str">
        <f>IF(ISERROR((AQ287/AI287-1)*100),"NA",IF(((AQ287/AI287-1)*100)&gt;100,"NM",IF(((AQ287/AI287-1)*100)&lt;-50,"NM",(AQ287/AI287-1)*100)))</f>
        <v>NA</v>
      </c>
      <c r="AS287" s="192">
        <v>0</v>
      </c>
      <c r="AT287" s="193" t="str">
        <f>IF(ISERROR((AS287/AK287-1)*100),"NA",IF(((AS287/AK287-1)*100)&gt;100,"NM",IF(((AS287/AK287-1)*100)&lt;-50,"NM",(AS287/AK287-1)*100)))</f>
        <v>NA</v>
      </c>
      <c r="AU287" s="192">
        <v>0</v>
      </c>
      <c r="AV287" s="13" t="str">
        <f>IF(ISERROR((AU287/AM287-1)*100),"NA",IF(((AU287/AM287-1)*100)&gt;100,"NM",IF(((AU287/AM287-1)*100)&lt;-50,"NM",(AU287/AM287-1)*100)))</f>
        <v>NA</v>
      </c>
      <c r="AW287" s="192">
        <v>0</v>
      </c>
      <c r="AX287" s="187" t="str">
        <f>IF(ISERROR((AW287/AO287-1)*100),"NA",IF(((AW287/AO287-1)*100)&gt;100,"NM",IF(((AW287/AO287-1)*100)&lt;-50,"NM",(AW287/AO287-1)*100)))</f>
        <v>NA</v>
      </c>
      <c r="AY287" s="192"/>
      <c r="AZ287" s="187" t="str">
        <f>IF(ISERROR((AY287/AQ287-1)*100),"NA",IF(((AY287/AQ287-1)*100)&gt;100,"NM",IF(((AY287/AQ287-1)*100)&lt;-50,"NM",(AY287/AQ287-1)*100)))</f>
        <v>NA</v>
      </c>
      <c r="BA287" s="192">
        <v>0.8</v>
      </c>
      <c r="BB287" s="187" t="str">
        <f>IF(ISERROR((BA287/AS287-1)*100),"NA",IF(((BA287/AS287-1)*100)&gt;100,"NM",IF(((BA287/AS287-1)*100)&lt;-50,"NM",(BA287/AS287-1)*100)))</f>
        <v>NA</v>
      </c>
      <c r="BC287" s="192">
        <f>0.9+0.1</f>
        <v>1</v>
      </c>
      <c r="BD287" s="187" t="str">
        <f>IF(ISERROR((BC287/AU287-1)*100),"NA",IF(((BC287/AU287-1)*100)&gt;100,"NM",IF(((BC287/AU287-1)*100)&lt;-50,"NM",(BC287/AU287-1)*100)))</f>
        <v>NA</v>
      </c>
      <c r="BE287" s="192">
        <v>0.8</v>
      </c>
      <c r="BF287" s="187" t="str">
        <f>IF(ISERROR((BE287/AW287-1)*100),"NA",IF(((BE287/AW287-1)*100)&gt;100,"NM",IF(((BE287/AW287-1)*100)&lt;-50,"NM",(BE287/AW287-1)*100)))</f>
        <v>NA</v>
      </c>
      <c r="BG287" s="72">
        <f>1.1</f>
        <v>1.1000000000000001</v>
      </c>
      <c r="BH287" s="187" t="str">
        <f>IF(ISERROR((BG287/AY287-1)*100),"NA",IF(((BG287/AY287-1)*100)&gt;100,"NM",IF(((BG287/AY287-1)*100)&lt;-50,"NM",(BG287/AY287-1)*100)))</f>
        <v>NA</v>
      </c>
      <c r="BI287" s="72">
        <v>1.2</v>
      </c>
      <c r="BJ287" s="187">
        <f>IF(ISERROR((BI287/BA287-1)*100),"NA",IF(((BI287/BA287-1)*100)&gt;100,"NM",IF(((BI287/BA287-1)*100)&lt;-50,"NM",(BI287/BA287-1)*100)))</f>
        <v>49.999999999999979</v>
      </c>
      <c r="BK287" s="72">
        <v>1.3</v>
      </c>
      <c r="BL287" s="187">
        <f>IF(ISERROR((BK287/BC287-1)*100),"NA",IF(((BK287/BC287-1)*100)&gt;100,"NM",IF(((BK287/BC287-1)*100)&lt;-50,"NM",(BK287/BC287-1)*100)))</f>
        <v>30.000000000000004</v>
      </c>
      <c r="BM287" s="72">
        <v>1.4</v>
      </c>
      <c r="BN287" s="187">
        <f>IF(ISERROR((BM287/BE287-1)*100),"NA",IF(((BM287/BE287-1)*100)&gt;100,"NM",IF(((BM287/BE287-1)*100)&lt;-50,"NM",(BM287/BE287-1)*100)))</f>
        <v>74.999999999999972</v>
      </c>
      <c r="BO287" s="72">
        <v>1.2</v>
      </c>
      <c r="BP287" s="187">
        <f>IF(ISERROR((BO287/BG287-1)*100),"NA",IF(((BO287/BG287-1)*100)&gt;100,"NM",IF(((BO287/BG287-1)*100)&lt;-50,"NM",(BO287/BG287-1)*100)))</f>
        <v>9.0909090909090828</v>
      </c>
      <c r="BQ287" s="72">
        <v>1.4</v>
      </c>
      <c r="BR287" s="187">
        <f>IF(ISERROR((BQ287/BI287-1)*100),"NA",IF(((BQ287/BI287-1)*100)&gt;100,"NM",IF(((BQ287/BI287-1)*100)&lt;-50,"NM",(BQ287/BI287-1)*100)))</f>
        <v>16.666666666666675</v>
      </c>
      <c r="BS287" s="72">
        <v>1.4</v>
      </c>
      <c r="BT287" s="187">
        <f>IF(ISERROR((BS287/BK287-1)*100),"NA",IF(((BS287/BK287-1)*100)&gt;100,"NM",IF(((BS287/BK287-1)*100)&lt;-50,"NM",(BS287/BK287-1)*100)))</f>
        <v>7.6923076923076872</v>
      </c>
      <c r="BU287" s="72">
        <v>1.3</v>
      </c>
      <c r="BV287" s="187">
        <f>IF(ISERROR((BU287/BM287-1)*100),"NA",IF(((BU287/BM287-1)*100)&gt;100,"NM",IF(((BU287/BM287-1)*100)&lt;-50,"NM",(BU287/BM287-1)*100)))</f>
        <v>-7.1428571428571281</v>
      </c>
      <c r="BW287" s="72">
        <v>1.5</v>
      </c>
      <c r="BX287" s="187">
        <f>IF(ISERROR((BW287/BO287-1)*100),"NA",IF(((BW287/BO287-1)*100)&gt;100,"NM",IF(((BW287/BO287-1)*100)&lt;-50,"NM",(BW287/BO287-1)*100)))</f>
        <v>25</v>
      </c>
      <c r="BY287" s="72">
        <v>1.5</v>
      </c>
      <c r="BZ287" s="187">
        <f>IF(ISERROR((BY287/BQ287-1)*100),"NA",IF(((BY287/BQ287-1)*100)&gt;100,"NM",IF(((BY287/BQ287-1)*100)&lt;-50,"NM",(BY287/BQ287-1)*100)))</f>
        <v>7.1428571428571397</v>
      </c>
      <c r="CA287" s="72">
        <f>1.5+0.11</f>
        <v>1.61</v>
      </c>
      <c r="CB287" s="187">
        <f>IF(ISERROR((CA287/BS287-1)*100),"NA",IF(((CA287/BS287-1)*100)&gt;100,"NM",IF(((CA287/BS287-1)*100)&lt;-50,"NM",(CA287/BS287-1)*100)))</f>
        <v>15.000000000000014</v>
      </c>
      <c r="CC287" s="72">
        <v>1.5</v>
      </c>
      <c r="CD287" s="187">
        <f>IF(ISERROR((CC287/BU287-1)*100),"NA",IF(((CC287/BU287-1)*100)&gt;100,"NM",IF(((CC287/BU287-1)*100)&lt;-50,"NM",(CC287/BU287-1)*100)))</f>
        <v>15.384615384615374</v>
      </c>
      <c r="CE287" s="72">
        <v>1.7</v>
      </c>
      <c r="CF287" s="187">
        <f>IF(ISERROR((CE287/BW287-1)*100),"NA",IF(((CE287/BW287-1)*100)&gt;100,"NM",IF(((CE287/BW287-1)*100)&lt;-50,"NM",(CE287/BW287-1)*100)))</f>
        <v>13.33333333333333</v>
      </c>
      <c r="CG287" s="72">
        <v>2.1</v>
      </c>
      <c r="CH287" s="187">
        <f>IF(ISERROR((CG287/BY287-1)*100),"NA",IF(((CG287/BY287-1)*100)&gt;100,"NM",IF(((CG287/BY287-1)*100)&lt;-50,"NM",(CG287/BY287-1)*100)))</f>
        <v>40.000000000000014</v>
      </c>
      <c r="CI287" s="72">
        <v>2</v>
      </c>
      <c r="CJ287" s="187">
        <f>IF(ISERROR((CI287/CA287-1)*100),"NA",IF(((CI287/CA287-1)*100)&gt;100,"NM",IF(((CI287/CA287-1)*100)&lt;-50,"NM",(CI287/CA287-1)*100)))</f>
        <v>24.223602484472039</v>
      </c>
      <c r="CK287" s="72">
        <v>2</v>
      </c>
      <c r="CL287" s="187">
        <f>IF(ISERROR((CK287/CC287-1)*100),"NA",IF(((CK287/CC287-1)*100)&gt;100,"NM",IF(((CK287/CC287-1)*100)&lt;-50,"NM",(CK287/CC287-1)*100)))</f>
        <v>33.333333333333329</v>
      </c>
      <c r="CM287" s="72">
        <v>2.2000000000000002</v>
      </c>
      <c r="CN287" s="187">
        <f>IF(ISERROR((CM287/CE287-1)*100),"NA",IF(((CM287/CE287-1)*100)&gt;100,"NM",IF(((CM287/CE287-1)*100)&lt;-50,"NM",(CM287/CE287-1)*100)))</f>
        <v>29.411764705882359</v>
      </c>
      <c r="CO287" s="72">
        <v>1.9</v>
      </c>
      <c r="CP287" s="187">
        <f>IF(ISERROR((CO287/CG287-1)*100),"NA",IF(((CO287/CG287-1)*100)&gt;100,"NM",IF(((CO287/CG287-1)*100)&lt;-50,"NM",(CO287/CG287-1)*100)))</f>
        <v>-9.5238095238095344</v>
      </c>
      <c r="CQ287" s="72">
        <v>1.9</v>
      </c>
      <c r="CR287" s="187">
        <f>IF(ISERROR((CQ287/CI287-1)*100),"NA",IF(((CQ287/CI287-1)*100)&gt;100,"NM",IF(((CQ287/CI287-1)*100)&lt;-50,"NM",(CQ287/CI287-1)*100)))</f>
        <v>-5.0000000000000044</v>
      </c>
      <c r="CS287" s="72">
        <v>2</v>
      </c>
      <c r="CT287" s="187">
        <f>IF(ISERROR((CS287/CK287-1)*100),"NA",IF(((CS287/CK287-1)*100)&gt;100,"NM",IF(((CS287/CK287-1)*100)&lt;-50,"NM",(CS287/CK287-1)*100)))</f>
        <v>0</v>
      </c>
      <c r="CU287" s="72">
        <v>3</v>
      </c>
      <c r="CV287" s="187">
        <f>IF(ISERROR((CU287/CM287-1)*100),"NA",IF(((CU287/CM287-1)*100)&gt;100,"NM",IF(((CU287/CM287-1)*100)&lt;-50,"NM",(CU287/CM287-1)*100)))</f>
        <v>36.363636363636353</v>
      </c>
      <c r="CW287" s="72">
        <v>3</v>
      </c>
      <c r="CX287" s="187">
        <f>IF(ISERROR((CW287/CO287-1)*100),"NA",IF(((CW287/CO287-1)*100)&gt;100,"NM",IF(((CW287/CO287-1)*100)&lt;-50,"NM",(CW287/CO287-1)*100)))</f>
        <v>57.894736842105267</v>
      </c>
      <c r="CY287" s="72">
        <v>3</v>
      </c>
      <c r="CZ287" s="187">
        <f>IF(ISERROR((CY287/CQ287-1)*100),"NA",IF(((CY287/CQ287-1)*100)&gt;100,"NM",IF(((CY287/CQ287-1)*100)&lt;-50,"NM",(CY287/CQ287-1)*100)))</f>
        <v>57.894736842105267</v>
      </c>
      <c r="DA287" s="72">
        <v>3</v>
      </c>
      <c r="DB287" s="187">
        <f>IF(ISERROR((DA287/CS287-1)*100),"NA",IF(((DA287/CS287-1)*100)&gt;100,"NM",IF(((DA287/CS287-1)*100)&lt;-50,"NM",(DA287/CS287-1)*100)))</f>
        <v>50</v>
      </c>
      <c r="DC287" s="72">
        <v>3</v>
      </c>
      <c r="DD287" s="187">
        <f>IF(ISERROR((DC287/CU287-1)*100),"NA",IF(((DC287/CU287-1)*100)&gt;100,"NM",IF(((DC287/CU287-1)*100)&lt;-50,"NM",(DC287/CU287-1)*100)))</f>
        <v>0</v>
      </c>
      <c r="DE287" s="72">
        <v>2</v>
      </c>
      <c r="DF287" s="187">
        <f>IF(ISERROR((DE287/CW287-1)*100),"NA",IF(((DE287/CW287-1)*100)&gt;100,"NM",IF(((DE287/CW287-1)*100)&lt;-50,"NM",(DE287/CW287-1)*100)))</f>
        <v>-33.333333333333336</v>
      </c>
      <c r="DG287" s="72">
        <v>4</v>
      </c>
      <c r="DH287" s="187">
        <f>IF(ISERROR((DG287/CY287-1)*100),"NA",IF(((DG287/CY287-1)*100)&gt;100,"NM",IF(((DG287/CY287-1)*100)&lt;-50,"NM",(DG287/CY287-1)*100)))</f>
        <v>33.333333333333329</v>
      </c>
      <c r="DI287" s="72">
        <v>3</v>
      </c>
      <c r="DJ287" s="187">
        <f>IF(ISERROR((DI287/DA287-1)*100),"NA",IF(((DI287/DA287-1)*100)&gt;100,"NM",IF(((DI287/DA287-1)*100)&lt;-50,"NM",(DI287/DA287-1)*100)))</f>
        <v>0</v>
      </c>
      <c r="DK287" s="72">
        <v>3</v>
      </c>
      <c r="DL287" s="187">
        <f>IF(ISERROR((DK287/DC287-1)*100),"NA",IF(((DK287/DC287-1)*100)&gt;100,"NM",IF(((DK287/DC287-1)*100)&lt;-50,"NM",(DK287/DC287-1)*100)))</f>
        <v>0</v>
      </c>
      <c r="DM287" s="72">
        <v>3</v>
      </c>
      <c r="DN287" s="130">
        <f t="shared" si="2009"/>
        <v>50</v>
      </c>
      <c r="DO287" s="72">
        <v>3</v>
      </c>
      <c r="DP287" s="130">
        <f t="shared" si="2009"/>
        <v>-25</v>
      </c>
      <c r="DQ287" s="72">
        <v>3</v>
      </c>
      <c r="DR287" s="130">
        <f t="shared" si="2009"/>
        <v>0</v>
      </c>
      <c r="DS287" s="72">
        <v>1</v>
      </c>
      <c r="DT287" s="130" t="str">
        <f t="shared" si="2009"/>
        <v>NM</v>
      </c>
      <c r="DU287" s="72">
        <v>3</v>
      </c>
      <c r="DV287" s="130">
        <f t="shared" si="2009"/>
        <v>0</v>
      </c>
      <c r="DW287" s="72">
        <v>3</v>
      </c>
      <c r="DX287" s="72">
        <v>3</v>
      </c>
      <c r="DY287" s="72">
        <v>4</v>
      </c>
      <c r="DZ287" s="130">
        <f t="shared" si="2009"/>
        <v>33.333333333333329</v>
      </c>
      <c r="EA287" s="72">
        <v>3</v>
      </c>
      <c r="EB287" s="130" t="str">
        <f t="shared" si="2010"/>
        <v>NM</v>
      </c>
      <c r="EC287" s="72">
        <v>4</v>
      </c>
      <c r="ED287" s="130">
        <f t="shared" si="2011"/>
        <v>33.333333333333329</v>
      </c>
      <c r="EE287" s="72">
        <v>4</v>
      </c>
      <c r="EF287" s="130">
        <f t="shared" si="2012"/>
        <v>33.333333333333329</v>
      </c>
      <c r="EG287" s="72">
        <v>3</v>
      </c>
      <c r="EH287" s="130">
        <f t="shared" si="2013"/>
        <v>-25</v>
      </c>
      <c r="EI287" s="72">
        <v>3</v>
      </c>
      <c r="EJ287" s="130">
        <f t="shared" si="2014"/>
        <v>0</v>
      </c>
      <c r="EK287" s="72">
        <v>4</v>
      </c>
      <c r="EL287" s="130">
        <f t="shared" si="2015"/>
        <v>0</v>
      </c>
      <c r="EM287" s="72">
        <v>23</v>
      </c>
      <c r="EN287" s="130" t="str">
        <f t="shared" si="2016"/>
        <v>NM</v>
      </c>
      <c r="EO287" s="72">
        <v>4</v>
      </c>
      <c r="EP287" s="130">
        <f t="shared" si="2017"/>
        <v>33.333333333333329</v>
      </c>
      <c r="EQ287" s="74">
        <f t="shared" ref="EQ287" si="2028">EO287*0.99</f>
        <v>3.96</v>
      </c>
      <c r="ER287" s="130">
        <f t="shared" si="2019"/>
        <v>32.000000000000007</v>
      </c>
      <c r="ES287" s="74">
        <f t="shared" ref="ES287" si="2029">EQ287*0.99</f>
        <v>3.9203999999999999</v>
      </c>
      <c r="ET287" s="130">
        <f t="shared" si="2021"/>
        <v>-1.9900000000000029</v>
      </c>
      <c r="EU287" s="74">
        <f>ES287*0.99+7</f>
        <v>10.881195999999999</v>
      </c>
      <c r="EV287" s="130" t="str">
        <f t="shared" si="2022"/>
        <v>NM</v>
      </c>
      <c r="EW287" s="74">
        <f t="shared" ref="EW287" si="2030">EU287*0.99</f>
        <v>10.772384039999999</v>
      </c>
      <c r="EX287" s="130" t="str">
        <f t="shared" si="2024"/>
        <v>NM</v>
      </c>
      <c r="EY287" s="162"/>
      <c r="EZ287" s="558"/>
      <c r="FA287" s="162"/>
      <c r="FB287" s="194">
        <f>AK287+AM287+AO287</f>
        <v>0</v>
      </c>
      <c r="FC287" s="195"/>
      <c r="FD287" s="194">
        <f>AM287+AO287+AQ287</f>
        <v>0</v>
      </c>
      <c r="FE287" s="195" t="str">
        <f>IF(ISERROR((FD287/FB287-1)*100),"NA",IF(((FD287/FB287-1)*100)&gt;100,"NM",IF(((FD287/FB287-1)*100)&lt;-50,"NM",(FD287/FB287-1)*100)))</f>
        <v>NA</v>
      </c>
      <c r="FF287" s="194">
        <f>AO287+AQ287+AS287</f>
        <v>0</v>
      </c>
      <c r="FG287" s="195" t="str">
        <f>IF(ISERROR((FF287/FD287-1)*100),"NA",IF(((FF287/FD287-1)*100)&gt;100,"NM",IF(((FF287/FD287-1)*100)&lt;-50,"NM",(FF287/FD287-1)*100)))</f>
        <v>NA</v>
      </c>
      <c r="FH287" s="194">
        <f>AQ287+AS287+AU287</f>
        <v>0</v>
      </c>
      <c r="FI287" s="195" t="str">
        <f>IF(ISERROR((FH287/FF287-1)*100),"NA",IF(((FH287/FF287-1)*100)&gt;100,"NM",IF(((FH287/FF287-1)*100)&lt;-50,"NM",(FH287/FF287-1)*100)))</f>
        <v>NA</v>
      </c>
      <c r="FJ287" s="194">
        <f>AS287+AU287+AW287</f>
        <v>0</v>
      </c>
      <c r="FK287" s="195" t="str">
        <f>IF(ISERROR((FJ287/FH287-1)*100),"NA",IF(((FJ287/FH287-1)*100)&gt;100,"NM",IF(((FJ287/FH287-1)*100)&lt;-50,"NM",(FJ287/FH287-1)*100)))</f>
        <v>NA</v>
      </c>
      <c r="FL287" s="194">
        <f>AU287+AW287+AY287</f>
        <v>0</v>
      </c>
      <c r="FM287" s="195" t="str">
        <f>IF(ISERROR((FL287/FJ287-1)*100),"NA",IF(((FL287/FJ287-1)*100)&gt;100,"NM",IF(((FL287/FJ287-1)*100)&lt;-50,"NM",(FL287/FJ287-1)*100)))</f>
        <v>NA</v>
      </c>
      <c r="FN287" s="194">
        <f>AW287+AY287+BA287</f>
        <v>0.8</v>
      </c>
      <c r="FO287" s="195" t="str">
        <f>IF(ISERROR((FN287/FL287-1)*100),"NA",IF(((FN287/FL287-1)*100)&gt;100,"NM",IF(((FN287/FL287-1)*100)&lt;-50,"NM",(FN287/FL287-1)*100)))</f>
        <v>NA</v>
      </c>
      <c r="FP287" s="142">
        <f>AQ287+AS287+AU287+AW287</f>
        <v>0</v>
      </c>
      <c r="FQ287" s="187" t="str">
        <f>IF(ISERROR((FP287/FN287-1)*100),"NA",IF(((FP287/FN287-1)*100)&gt;100,"NM",IF(((FP287/FN287-1)*100)&lt;-50,"NM",(FP287/FN287-1)*100)))</f>
        <v>NM</v>
      </c>
      <c r="FR287" s="142">
        <f>BA287+BC287+BE287</f>
        <v>2.6</v>
      </c>
      <c r="FS287" s="61" t="str">
        <f>IF(ISERROR((FR287/FP287-1)*100),"NA",IF(((FR287/FP287-1)*100)&gt;100,"NM",IF(((FR287/FP287-1)*100)&lt;-50,"NM",(FR287/FP287-1)*100)))</f>
        <v>NA</v>
      </c>
      <c r="FT287" s="142">
        <f>BG287+BI287+BK287+BM287</f>
        <v>5</v>
      </c>
      <c r="FU287" s="61">
        <f>IF(ISERROR((FT287/FR287-1)*100),"NA",IF(((FT287/FR287-1)*100)&gt;100,"NM",IF(((FT287/FR287-1)*100)&lt;-50,"NM",(FT287/FR287-1)*100)))</f>
        <v>92.307692307692292</v>
      </c>
      <c r="FV287" s="142">
        <f>BO287+BQ287+BS287+BU287</f>
        <v>5.3</v>
      </c>
      <c r="FW287" s="61">
        <f>IF(ISERROR((FV287/FT287-1)*100),"NA",IF(((FV287/FT287-1)*100)&gt;100,"NM",IF(((FV287/FT287-1)*100)&lt;-50,"NM",(FV287/FT287-1)*100)))</f>
        <v>6.0000000000000053</v>
      </c>
      <c r="FX287" s="75">
        <f>BW287+BY287+CA287+CC287</f>
        <v>6.11</v>
      </c>
      <c r="FY287" s="61">
        <f>IF(ISERROR((FX287/FV287-1)*100),"NA",IF(((FX287/FV287-1)*100)&gt;100,"NM",IF(((FX287/FV287-1)*100)&lt;-50,"NM",(FX287/FV287-1)*100)))</f>
        <v>15.283018867924536</v>
      </c>
      <c r="FZ287" s="75">
        <f>CE287+CG287+CI287+CK287</f>
        <v>7.8</v>
      </c>
      <c r="GA287" s="61">
        <f>IF(ISERROR((FZ287/FX287-1)*100),"NA",IF(((FZ287/FX287-1)*100)&gt;100,"NM",IF(((FZ287/FX287-1)*100)&lt;-50,"NM",(FZ287/FX287-1)*100)))</f>
        <v>27.65957446808509</v>
      </c>
      <c r="GB287" s="75">
        <f>CM287+CO287+CQ287+CS287</f>
        <v>8</v>
      </c>
      <c r="GC287" s="61">
        <f>IF(ISERROR((GB287/FZ287-1)*100),"NA",IF(((GB287/FZ287-1)*100)&gt;100,"NM",IF(((GB287/FZ287-1)*100)&lt;-50,"NM",(GB287/FZ287-1)*100)))</f>
        <v>2.5641025641025772</v>
      </c>
      <c r="GD287" s="75">
        <f>CU287+CW287+CY287+DA287</f>
        <v>12</v>
      </c>
      <c r="GE287" s="61">
        <f>IF(ISERROR((GD287/GB287-1)*100),"NA",IF(((GD287/GB287-1)*100)&gt;100,"NM",IF(((GD287/GB287-1)*100)&lt;-50,"NM",(GD287/GB287-1)*100)))</f>
        <v>50</v>
      </c>
      <c r="GF287" s="75">
        <f>DC287+DE287+DG287+DI287</f>
        <v>12</v>
      </c>
      <c r="GG287" s="61">
        <f>IF(ISERROR((GF287/GD287-1)*100),"NA",IF(((GF287/GD287-1)*100)&gt;100,"NM",IF(((GF287/GD287-1)*100)&lt;-50,"NM",(GF287/GD287-1)*100)))</f>
        <v>0</v>
      </c>
      <c r="GH287" s="75">
        <f>DK287+DM287+DO287+DQ287</f>
        <v>12</v>
      </c>
      <c r="GI287" s="61">
        <f>IF(ISERROR((GH287/GF287-1)*100),"NA",IF(((GH287/GF287-1)*100)&gt;100,"NM",IF(((GH287/GF287-1)*100)&lt;-50,"NM",(GH287/GF287-1)*100)))</f>
        <v>0</v>
      </c>
      <c r="GJ287" s="75">
        <f>DS287+DU287+DW287+DY287</f>
        <v>11</v>
      </c>
      <c r="GK287" s="61">
        <f>IF(ISERROR((GJ287/GH287-1)*100),"NA",IF(((GJ287/GH287-1)*100)&gt;100,"NM",IF(((GJ287/GH287-1)*100)&lt;-50,"NM",(GJ287/GH287-1)*100)))</f>
        <v>-8.3333333333333375</v>
      </c>
      <c r="GL287" s="75">
        <f>EA287+EC287+EE287+EG287</f>
        <v>14</v>
      </c>
      <c r="GM287" s="61">
        <f>IF(ISERROR((GL287/GJ287-1)*100),"NA",IF(((GL287/GJ287-1)*100)&gt;100,"NM",IF(((GL287/GJ287-1)*100)&lt;-50,"NM",(GL287/GJ287-1)*100)))</f>
        <v>27.27272727272727</v>
      </c>
      <c r="GN287" s="75">
        <f>EI287+EK287+EM287+EO287</f>
        <v>34</v>
      </c>
      <c r="GO287" s="61" t="str">
        <f>IF(ISERROR((GN287/GL287-1)*100),"NA",IF(((GN287/GL287-1)*100)&gt;100,"NM",IF(((GN287/GL287-1)*100)&lt;-50,"NM",(GN287/GL287-1)*100)))</f>
        <v>NM</v>
      </c>
      <c r="GP287" s="75">
        <f>EQ287+ES287+EU287+EW287</f>
        <v>29.533980039999996</v>
      </c>
      <c r="GQ287" s="61">
        <f>IF(ISERROR((GP287/GN287-1)*100),"NA",IF(((GP287/GN287-1)*100)&gt;100,"NM",IF(((GP287/GN287-1)*100)&lt;-50,"NM",(GP287/GN287-1)*100)))</f>
        <v>-13.135352823529423</v>
      </c>
      <c r="GR287" s="190">
        <f>EW287*4*1.02</f>
        <v>43.951326883199997</v>
      </c>
      <c r="GS287" s="61">
        <f>IF(ISERROR((GR287/GP287-1)*100),"NA",IF(((GR287/GP287-1)*100)&gt;100,"NM",IF(((GR287/GP287-1)*100)&lt;-50,"NM",(GR287/GP287-1)*100)))</f>
        <v>48.816132548588278</v>
      </c>
      <c r="GT287" s="190">
        <f>GR287*1.02</f>
        <v>44.830353420864</v>
      </c>
      <c r="GU287" s="61">
        <f>IF(ISERROR((GT287/GR287-1)*100),"NA",IF(((GT287/GR287-1)*100)&gt;100,"NM",IF(((GT287/GR287-1)*100)&lt;-50,"NM",(GT287/GR287-1)*100)))</f>
        <v>2.0000000000000018</v>
      </c>
      <c r="GV287" s="190">
        <f>GT287*1.02</f>
        <v>45.726960489281282</v>
      </c>
      <c r="GW287" s="61">
        <f>IF(ISERROR((GV287/GT287-1)*100),"NA",IF(((GV287/GT287-1)*100)&gt;100,"NM",IF(((GV287/GT287-1)*100)&lt;-50,"NM",(GV287/GT287-1)*100)))</f>
        <v>2.0000000000000018</v>
      </c>
      <c r="GX287" s="190">
        <f>GV287*1.02</f>
        <v>46.641499699066905</v>
      </c>
      <c r="GY287" s="61">
        <f>IF(ISERROR((GX287/GV287-1)*100),"NA",IF(((GX287/GV287-1)*100)&gt;100,"NM",IF(((GX287/GV287-1)*100)&lt;-50,"NM",(GX287/GV287-1)*100)))</f>
        <v>2.0000000000000018</v>
      </c>
      <c r="GZ287" s="61">
        <f t="shared" si="1909"/>
        <v>6.5267599077230676</v>
      </c>
      <c r="HA287" s="61"/>
      <c r="HB287" s="452"/>
      <c r="HC287"/>
      <c r="HD287"/>
      <c r="HE287"/>
      <c r="HF287"/>
      <c r="HG287"/>
      <c r="HH287"/>
    </row>
    <row r="288" spans="2:216" s="106" customFormat="1" ht="12.75" customHeight="1" x14ac:dyDescent="0.2">
      <c r="B288" s="63" t="s">
        <v>523</v>
      </c>
      <c r="C288" s="196">
        <f>SUM(C285:C287)</f>
        <v>128.27799999999999</v>
      </c>
      <c r="D288" s="193"/>
      <c r="E288" s="196">
        <f>SUM(E285:E287)</f>
        <v>132.01300000000001</v>
      </c>
      <c r="F288" s="193"/>
      <c r="G288" s="196">
        <f>SUM(G285:G287)</f>
        <v>134.65199999999999</v>
      </c>
      <c r="H288" s="193"/>
      <c r="I288" s="196">
        <f>SUM(I285:I287)</f>
        <v>141.91200000000001</v>
      </c>
      <c r="J288" s="193"/>
      <c r="K288" s="196">
        <f>SUM(K285:K287)</f>
        <v>142.68600000000001</v>
      </c>
      <c r="L288" s="193">
        <f>IF(ISERROR((K288/C288-1)*100),"NA",IF(((K288/C288-1)*100)&gt;100,"NM",IF(((K288/C288-1)*100)&lt;-50,"NM",(K288/C288-1)*100)))</f>
        <v>11.231855813155821</v>
      </c>
      <c r="M288" s="196">
        <f>SUM(M285:M287)</f>
        <v>144.25400000000002</v>
      </c>
      <c r="N288" s="193">
        <f>IF(ISERROR((M288/E288-1)*100),"NA",IF(((M288/E288-1)*100)&gt;100,"NM",IF(((M288/E288-1)*100)&lt;-50,"NM",(M288/E288-1)*100)))</f>
        <v>9.2725716406717673</v>
      </c>
      <c r="O288" s="196">
        <f>SUM(O285:O287)</f>
        <v>156.72800000000001</v>
      </c>
      <c r="P288" s="193">
        <f>IF(ISERROR((O288/G288-1)*100),"NA",IF(((O288/G288-1)*100)&gt;100,"NM",IF(((O288/G288-1)*100)&lt;-50,"NM",(O288/G288-1)*100)))</f>
        <v>16.394854885185527</v>
      </c>
      <c r="Q288" s="196">
        <f>SUM(Q285:Q287)</f>
        <v>158.09100000000001</v>
      </c>
      <c r="R288" s="193">
        <f>IF(ISERROR((Q288/I288-1)*100),"NA",IF(((Q288/I288-1)*100)&gt;100,"NM",IF(((Q288/I288-1)*100)&lt;-50,"NM",(Q288/I288-1)*100)))</f>
        <v>11.400727211229489</v>
      </c>
      <c r="S288" s="196">
        <f>SUM(S285:S287)</f>
        <v>163.36099999999999</v>
      </c>
      <c r="T288" s="193">
        <f>IF(ISERROR((S288/K288-1)*100),"NA",IF(((S288/K288-1)*100)&gt;100,"NM",IF(((S288/K288-1)*100)&lt;-50,"NM",(S288/K288-1)*100)))</f>
        <v>14.489858850903371</v>
      </c>
      <c r="U288" s="196">
        <f>SUM(U285:U287)</f>
        <v>176.62899999999999</v>
      </c>
      <c r="V288" s="193">
        <f>IF(ISERROR((U288/M288-1)*100),"NA",IF(((U288/M288-1)*100)&gt;100,"NM",IF(((U288/M288-1)*100)&lt;-50,"NM",(U288/M288-1)*100)))</f>
        <v>22.4430518391171</v>
      </c>
      <c r="W288" s="196">
        <f>SUM(W285:W287)</f>
        <v>180.03199999999998</v>
      </c>
      <c r="X288" s="193">
        <f>IF(ISERROR((W288/O288-1)*100),"NA",IF(((W288/O288-1)*100)&gt;100,"NM",IF(((W288/O288-1)*100)&lt;-50,"NM",(W288/O288-1)*100)))</f>
        <v>14.869072533306094</v>
      </c>
      <c r="Y288" s="196">
        <f>SUM(Y285:Y287)</f>
        <v>178.322</v>
      </c>
      <c r="Z288" s="193">
        <f>IF(ISERROR((Y288/Q288-1)*100),"NA",IF(((Y288/Q288-1)*100)&gt;100,"NM",IF(((Y288/Q288-1)*100)&lt;-50,"NM",(Y288/Q288-1)*100)))</f>
        <v>12.797059921184628</v>
      </c>
      <c r="AA288" s="196">
        <f>SUM(AA285:AA287)</f>
        <v>197.67400000000001</v>
      </c>
      <c r="AB288" s="193">
        <f>IF(ISERROR((AA288/S288-1)*100),"NA",IF(((AA288/S288-1)*100)&gt;100,"NM",IF(((AA288/S288-1)*100)&lt;-50,"NM",(AA288/S288-1)*100)))</f>
        <v>21.004401295290819</v>
      </c>
      <c r="AC288" s="196">
        <f>SUM(AC285:AC287)</f>
        <v>207.83600000000001</v>
      </c>
      <c r="AD288" s="193">
        <f>IF(ISERROR((AC288/U288-1)*100),"NA",IF(((AC288/U288-1)*100)&gt;100,"NM",IF(((AC288/U288-1)*100)&lt;-50,"NM",(AC288/U288-1)*100)))</f>
        <v>17.668106596312061</v>
      </c>
      <c r="AE288" s="196">
        <f>SUM(AE285:AE287)</f>
        <v>206.19199999999998</v>
      </c>
      <c r="AF288" s="193">
        <f>IF(ISERROR((AE288/W288-1)*100),"NA",IF(((AE288/W288-1)*100)&gt;100,"NM",IF(((AE288/W288-1)*100)&lt;-50,"NM",(AE288/W288-1)*100)))</f>
        <v>14.530750088873079</v>
      </c>
      <c r="AG288" s="196">
        <f>SUM(AG285:AG287)</f>
        <v>208.07900000000001</v>
      </c>
      <c r="AH288" s="193">
        <f>IF(ISERROR((AG288/Y288-1)*100),"NA",IF(((AG288/Y288-1)*100)&gt;100,"NM",IF(((AG288/Y288-1)*100)&lt;-50,"NM",(AG288/Y288-1)*100)))</f>
        <v>16.687228721077595</v>
      </c>
      <c r="AI288" s="196">
        <f>SUM(AI285:AI287)</f>
        <v>250.88200000000001</v>
      </c>
      <c r="AJ288" s="193">
        <f>IF(ISERROR((AI288/AA288-1)*100),"NA",IF(((AI288/AA288-1)*100)&gt;100,"NM",IF(((AI288/AA288-1)*100)&lt;-50,"NM",(AI288/AA288-1)*100)))</f>
        <v>26.917045236095795</v>
      </c>
      <c r="AK288" s="196">
        <f>SUM(AK285:AK287)</f>
        <v>330.95100000000002</v>
      </c>
      <c r="AL288" s="193">
        <f>IF(ISERROR((AK288/AC288-1)*100),"NA",IF(((AK288/AC288-1)*100)&gt;100,"NM",IF(((AK288/AC288-1)*100)&lt;-50,"NM",(AK288/AC288-1)*100)))</f>
        <v>59.236609634519532</v>
      </c>
      <c r="AM288" s="196">
        <f>SUM(AM285:AM287)</f>
        <v>307.86900000000003</v>
      </c>
      <c r="AN288" s="193">
        <f>IF(ISERROR((AM288/AE288-1)*100),"NA",IF(((AM288/AE288-1)*100)&gt;100,"NM",IF(((AM288/AE288-1)*100)&lt;-50,"NM",(AM288/AE288-1)*100)))</f>
        <v>49.311806471638107</v>
      </c>
      <c r="AO288" s="196">
        <f>SUM(AO285:AO287)</f>
        <v>312.41399999999999</v>
      </c>
      <c r="AP288" s="193">
        <f>IF(ISERROR((AO288/AG288-1)*100),"NA",IF(((AO288/AG288-1)*100)&gt;100,"NM",IF(((AO288/AG288-1)*100)&lt;-50,"NM",(AO288/AG288-1)*100)))</f>
        <v>50.14201336992199</v>
      </c>
      <c r="AQ288" s="196">
        <f>SUM(AQ285:AQ287)</f>
        <v>313.33100000000002</v>
      </c>
      <c r="AR288" s="193">
        <f>IF(ISERROR((AQ288/AI288-1)*100),"NA",IF(((AQ288/AI288-1)*100)&gt;100,"NM",IF(((AQ288/AI288-1)*100)&lt;-50,"NM",(AQ288/AI288-1)*100)))</f>
        <v>24.891781793831356</v>
      </c>
      <c r="AS288" s="196">
        <f>SUM(AS285:AS287)</f>
        <v>334.16699999999997</v>
      </c>
      <c r="AT288" s="193">
        <f>IF(ISERROR((AS288/AK288-1)*100),"NA",IF(((AS288/AK288-1)*100)&gt;100,"NM",IF(((AS288/AK288-1)*100)&lt;-50,"NM",(AS288/AK288-1)*100)))</f>
        <v>0.97174506195780719</v>
      </c>
      <c r="AU288" s="196">
        <f>SUM(AU285:AU287)</f>
        <v>310.87599999999998</v>
      </c>
      <c r="AV288" s="13">
        <f>IF(ISERROR((AU288/AM288-1)*100),"NA",IF(((AU288/AM288-1)*100)&gt;100,"NM",IF(((AU288/AM288-1)*100)&lt;-50,"NM",(AU288/AM288-1)*100)))</f>
        <v>0.97671412191546736</v>
      </c>
      <c r="AW288" s="196">
        <f>SUM(AW285:AW287)</f>
        <v>320.43799999999999</v>
      </c>
      <c r="AX288" s="187">
        <f>IF(ISERROR((AW288/AO288-1)*100),"NA",IF(((AW288/AO288-1)*100)&gt;100,"NM",IF(((AW288/AO288-1)*100)&lt;-50,"NM",(AW288/AO288-1)*100)))</f>
        <v>2.5683868200528703</v>
      </c>
      <c r="AY288" s="196"/>
      <c r="AZ288" s="187" t="str">
        <f>IF(ISERROR((AY288/AQ288-1)*100),"NA",IF(((AY288/AQ288-1)*100)&gt;100,"NM",IF(((AY288/AQ288-1)*100)&lt;-50,"NM",(AY288/AQ288-1)*100)))</f>
        <v>NM</v>
      </c>
      <c r="BA288" s="196">
        <f>SUM(BA285:BA287)</f>
        <v>354.8</v>
      </c>
      <c r="BB288" s="187">
        <f>IF(ISERROR((BA288/AS288-1)*100),"NA",IF(((BA288/AS288-1)*100)&gt;100,"NM",IF(((BA288/AS288-1)*100)&lt;-50,"NM",(BA288/AS288-1)*100)))</f>
        <v>6.174457681338974</v>
      </c>
      <c r="BC288" s="196">
        <f>SUM(BC285:BC287)</f>
        <v>332.20000000000005</v>
      </c>
      <c r="BD288" s="187">
        <f>IF(ISERROR((BC288/AU288-1)*100),"NA",IF(((BC288/AU288-1)*100)&gt;100,"NM",IF(((BC288/AU288-1)*100)&lt;-50,"NM",(BC288/AU288-1)*100)))</f>
        <v>6.8593265482057353</v>
      </c>
      <c r="BE288" s="196">
        <f>SUM(BE285:BE287)</f>
        <v>344.7</v>
      </c>
      <c r="BF288" s="187">
        <f>IF(ISERROR((BE288/AW288-1)*100),"NA",IF(((BE288/AW288-1)*100)&gt;100,"NM",IF(((BE288/AW288-1)*100)&lt;-50,"NM",(BE288/AW288-1)*100)))</f>
        <v>7.5715114936430794</v>
      </c>
      <c r="BG288" s="104">
        <f>SUM(BG285:BG287)</f>
        <v>360.3</v>
      </c>
      <c r="BH288" s="187" t="str">
        <f>IF(ISERROR((BG288/AY288-1)*100),"NA",IF(((BG288/AY288-1)*100)&gt;100,"NM",IF(((BG288/AY288-1)*100)&lt;-50,"NM",(BG288/AY288-1)*100)))</f>
        <v>NA</v>
      </c>
      <c r="BI288" s="104">
        <f>SUM(BI285:BI287)</f>
        <v>391</v>
      </c>
      <c r="BJ288" s="187">
        <f>IF(ISERROR((BI288/BA288-1)*100),"NA",IF(((BI288/BA288-1)*100)&gt;100,"NM",IF(((BI288/BA288-1)*100)&lt;-50,"NM",(BI288/BA288-1)*100)))</f>
        <v>10.202931228861335</v>
      </c>
      <c r="BK288" s="104">
        <f>SUM(BK285:BK287)</f>
        <v>367.5</v>
      </c>
      <c r="BL288" s="187">
        <f>IF(ISERROR((BK288/BC288-1)*100),"NA",IF(((BK288/BC288-1)*100)&gt;100,"NM",IF(((BK288/BC288-1)*100)&lt;-50,"NM",(BK288/BC288-1)*100)))</f>
        <v>10.626128838049343</v>
      </c>
      <c r="BM288" s="104">
        <f>SUM(BM285:BM287)</f>
        <v>380.59999999999997</v>
      </c>
      <c r="BN288" s="187">
        <f>IF(ISERROR((BM288/BE288-1)*100),"NA",IF(((BM288/BE288-1)*100)&gt;100,"NM",IF(((BM288/BE288-1)*100)&lt;-50,"NM",(BM288/BE288-1)*100)))</f>
        <v>10.41485349579343</v>
      </c>
      <c r="BO288" s="104">
        <f>SUM(BO285:BO287)</f>
        <v>399.29999999999995</v>
      </c>
      <c r="BP288" s="187">
        <f>IF(ISERROR((BO288/BG288-1)*100),"NA",IF(((BO288/BG288-1)*100)&gt;100,"NM",IF(((BO288/BG288-1)*100)&lt;-50,"NM",(BO288/BG288-1)*100)))</f>
        <v>10.824313072439629</v>
      </c>
      <c r="BQ288" s="104">
        <f>SUM(BQ285:BQ287)</f>
        <v>424.9</v>
      </c>
      <c r="BR288" s="187">
        <f>IF(ISERROR((BQ288/BI288-1)*100),"NA",IF(((BQ288/BI288-1)*100)&gt;100,"NM",IF(((BQ288/BI288-1)*100)&lt;-50,"NM",(BQ288/BI288-1)*100)))</f>
        <v>8.6700767263427014</v>
      </c>
      <c r="BS288" s="104">
        <f>SUM(BS285:BS287)</f>
        <v>402.8</v>
      </c>
      <c r="BT288" s="187">
        <f>IF(ISERROR((BS288/BK288-1)*100),"NA",IF(((BS288/BK288-1)*100)&gt;100,"NM",IF(((BS288/BK288-1)*100)&lt;-50,"NM",(BS288/BK288-1)*100)))</f>
        <v>9.6054421768707599</v>
      </c>
      <c r="BU288" s="104">
        <f>SUM(BU285:BU287)</f>
        <v>412.5</v>
      </c>
      <c r="BV288" s="187">
        <f>IF(ISERROR((BU288/BM288-1)*100),"NA",IF(((BU288/BM288-1)*100)&gt;100,"NM",IF(((BU288/BM288-1)*100)&lt;-50,"NM",(BU288/BM288-1)*100)))</f>
        <v>8.3815028901734312</v>
      </c>
      <c r="BW288" s="104">
        <f>SUM(BW285:BW287)</f>
        <v>421.40000000000003</v>
      </c>
      <c r="BX288" s="187">
        <f>IF(ISERROR((BW288/BO288-1)*100),"NA",IF(((BW288/BO288-1)*100)&gt;100,"NM",IF(((BW288/BO288-1)*100)&lt;-50,"NM",(BW288/BO288-1)*100)))</f>
        <v>5.5346856999749727</v>
      </c>
      <c r="BY288" s="104">
        <f>SUM(BY285:BY287)</f>
        <v>442.90000000000003</v>
      </c>
      <c r="BZ288" s="187">
        <f>IF(ISERROR((BY288/BQ288-1)*100),"NA",IF(((BY288/BQ288-1)*100)&gt;100,"NM",IF(((BY288/BQ288-1)*100)&lt;-50,"NM",(BY288/BQ288-1)*100)))</f>
        <v>4.2362908919745923</v>
      </c>
      <c r="CA288" s="104">
        <f>SUM(CA285:CA287)</f>
        <v>414.61</v>
      </c>
      <c r="CB288" s="187">
        <f>IF(ISERROR((CA288/BS288-1)*100),"NA",IF(((CA288/BS288-1)*100)&gt;100,"NM",IF(((CA288/BS288-1)*100)&lt;-50,"NM",(CA288/BS288-1)*100)))</f>
        <v>2.9319761668321842</v>
      </c>
      <c r="CC288" s="104">
        <f>SUM(CC285:CC287)</f>
        <v>433.59999999999997</v>
      </c>
      <c r="CD288" s="187">
        <f>IF(ISERROR((CC288/BU288-1)*100),"NA",IF(((CC288/BU288-1)*100)&gt;100,"NM",IF(((CC288/BU288-1)*100)&lt;-50,"NM",(CC288/BU288-1)*100)))</f>
        <v>5.115151515151517</v>
      </c>
      <c r="CE288" s="104">
        <f>SUM(CE285:CE287)</f>
        <v>445.2</v>
      </c>
      <c r="CF288" s="187">
        <f>IF(ISERROR((CE288/BW288-1)*100),"NA",IF(((CE288/BW288-1)*100)&gt;100,"NM",IF(((CE288/BW288-1)*100)&lt;-50,"NM",(CE288/BW288-1)*100)))</f>
        <v>5.6478405315614433</v>
      </c>
      <c r="CG288" s="104">
        <f>SUM(CG285:CG287)</f>
        <v>470.1</v>
      </c>
      <c r="CH288" s="187">
        <f>IF(ISERROR((CG288/BY288-1)*100),"NA",IF(((CG288/BY288-1)*100)&gt;100,"NM",IF(((CG288/BY288-1)*100)&lt;-50,"NM",(CG288/BY288-1)*100)))</f>
        <v>6.1413411605328427</v>
      </c>
      <c r="CI288" s="104">
        <f>SUM(CI285:CI287)</f>
        <v>451.5</v>
      </c>
      <c r="CJ288" s="187">
        <f>IF(ISERROR((CI288/CA288-1)*100),"NA",IF(((CI288/CA288-1)*100)&gt;100,"NM",IF(((CI288/CA288-1)*100)&lt;-50,"NM",(CI288/CA288-1)*100)))</f>
        <v>8.8975181495863467</v>
      </c>
      <c r="CK288" s="104">
        <f>SUM(CK285:CK287)</f>
        <v>464.3</v>
      </c>
      <c r="CL288" s="187">
        <f>IF(ISERROR((CK288/CC288-1)*100),"NA",IF(((CK288/CC288-1)*100)&gt;100,"NM",IF(((CK288/CC288-1)*100)&lt;-50,"NM",(CK288/CC288-1)*100)))</f>
        <v>7.0802583025830312</v>
      </c>
      <c r="CM288" s="104">
        <f>SUM(CM285:CM287)</f>
        <v>477.90000000000003</v>
      </c>
      <c r="CN288" s="187">
        <f>IF(ISERROR((CM288/CE288-1)*100),"NA",IF(((CM288/CE288-1)*100)&gt;100,"NM",IF(((CM288/CE288-1)*100)&lt;-50,"NM",(CM288/CE288-1)*100)))</f>
        <v>7.3450134770889575</v>
      </c>
      <c r="CO288" s="104">
        <f>SUM(CO285:CO287)</f>
        <v>500.59999999999997</v>
      </c>
      <c r="CP288" s="187">
        <f>IF(ISERROR((CO288/CG288-1)*100),"NA",IF(((CO288/CG288-1)*100)&gt;100,"NM",IF(((CO288/CG288-1)*100)&lt;-50,"NM",(CO288/CG288-1)*100)))</f>
        <v>6.4879812805785919</v>
      </c>
      <c r="CQ288" s="104">
        <f>SUM(CQ285:CQ287)</f>
        <v>479.4</v>
      </c>
      <c r="CR288" s="187">
        <f>IF(ISERROR((CQ288/CI288-1)*100),"NA",IF(((CQ288/CI288-1)*100)&gt;100,"NM",IF(((CQ288/CI288-1)*100)&lt;-50,"NM",(CQ288/CI288-1)*100)))</f>
        <v>6.1794019933554711</v>
      </c>
      <c r="CS288" s="104">
        <f>SUM(CS285:CS287)</f>
        <v>481</v>
      </c>
      <c r="CT288" s="187">
        <f>IF(ISERROR((CS288/CK288-1)*100),"NA",IF(((CS288/CK288-1)*100)&gt;100,"NM",IF(((CS288/CK288-1)*100)&lt;-50,"NM",(CS288/CK288-1)*100)))</f>
        <v>3.5968124057721207</v>
      </c>
      <c r="CU288" s="104">
        <f>SUM(CU285:CU287)</f>
        <v>504</v>
      </c>
      <c r="CV288" s="187">
        <f>IF(ISERROR((CU288/CM288-1)*100),"NA",IF(((CU288/CM288-1)*100)&gt;100,"NM",IF(((CU288/CM288-1)*100)&lt;-50,"NM",(CU288/CM288-1)*100)))</f>
        <v>5.4613935969868077</v>
      </c>
      <c r="CW288" s="104">
        <f>SUM(CW285:CW287)</f>
        <v>540</v>
      </c>
      <c r="CX288" s="187">
        <f>IF(ISERROR((CW288/CO288-1)*100),"NA",IF(((CW288/CO288-1)*100)&gt;100,"NM",IF(((CW288/CO288-1)*100)&lt;-50,"NM",(CW288/CO288-1)*100)))</f>
        <v>7.8705553335996825</v>
      </c>
      <c r="CY288" s="104">
        <f>SUM(CY285:CY287)</f>
        <v>517</v>
      </c>
      <c r="CZ288" s="187">
        <f>IF(ISERROR((CY288/CQ288-1)*100),"NA",IF(((CY288/CQ288-1)*100)&gt;100,"NM",IF(((CY288/CQ288-1)*100)&lt;-50,"NM",(CY288/CQ288-1)*100)))</f>
        <v>7.8431372549019551</v>
      </c>
      <c r="DA288" s="104">
        <f>SUM(DA285:DA287)</f>
        <v>531</v>
      </c>
      <c r="DB288" s="187">
        <f>IF(ISERROR((DA288/CS288-1)*100),"NA",IF(((DA288/CS288-1)*100)&gt;100,"NM",IF(((DA288/CS288-1)*100)&lt;-50,"NM",(DA288/CS288-1)*100)))</f>
        <v>10.395010395010384</v>
      </c>
      <c r="DC288" s="104">
        <f>SUM(DC285:DC287)</f>
        <v>550</v>
      </c>
      <c r="DD288" s="187">
        <f>IF(ISERROR((DC288/CU288-1)*100),"NA",IF(((DC288/CU288-1)*100)&gt;100,"NM",IF(((DC288/CU288-1)*100)&lt;-50,"NM",(DC288/CU288-1)*100)))</f>
        <v>9.1269841269841159</v>
      </c>
      <c r="DE288" s="104">
        <f>SUM(DE285:DE287)</f>
        <v>575</v>
      </c>
      <c r="DF288" s="187">
        <f>IF(ISERROR((DE288/CW288-1)*100),"NA",IF(((DE288/CW288-1)*100)&gt;100,"NM",IF(((DE288/CW288-1)*100)&lt;-50,"NM",(DE288/CW288-1)*100)))</f>
        <v>6.4814814814814881</v>
      </c>
      <c r="DG288" s="104">
        <f>SUM(DG285:DG287)</f>
        <v>561</v>
      </c>
      <c r="DH288" s="187">
        <f>IF(ISERROR((DG288/CY288-1)*100),"NA",IF(((DG288/CY288-1)*100)&gt;100,"NM",IF(((DG288/CY288-1)*100)&lt;-50,"NM",(DG288/CY288-1)*100)))</f>
        <v>8.5106382978723296</v>
      </c>
      <c r="DI288" s="104">
        <f>SUM(DI285:DI287)</f>
        <v>575</v>
      </c>
      <c r="DJ288" s="187">
        <f>IF(ISERROR((DI288/DA288-1)*100),"NA",IF(((DI288/DA288-1)*100)&gt;100,"NM",IF(((DI288/DA288-1)*100)&lt;-50,"NM",(DI288/DA288-1)*100)))</f>
        <v>8.2862523540489619</v>
      </c>
      <c r="DK288" s="104">
        <f>SUM(DK285:DK287)</f>
        <v>610</v>
      </c>
      <c r="DL288" s="187">
        <f>IF(ISERROR((DK288/DC288-1)*100),"NA",IF(((DK288/DC288-1)*100)&gt;100,"NM",IF(((DK288/DC288-1)*100)&lt;-50,"NM",(DK288/DC288-1)*100)))</f>
        <v>10.909090909090914</v>
      </c>
      <c r="DM288" s="104">
        <f>SUM(DM285:DM287)</f>
        <v>621</v>
      </c>
      <c r="DN288" s="130">
        <f t="shared" si="2009"/>
        <v>8.0000000000000071</v>
      </c>
      <c r="DO288" s="104">
        <f>SUM(DO285:DO287)</f>
        <v>598</v>
      </c>
      <c r="DP288" s="130">
        <f t="shared" si="2009"/>
        <v>6.5953654188948274</v>
      </c>
      <c r="DQ288" s="104">
        <f>SUM(DQ285:DQ287)</f>
        <v>616</v>
      </c>
      <c r="DR288" s="130">
        <f t="shared" si="2009"/>
        <v>7.1304347826086856</v>
      </c>
      <c r="DS288" s="104">
        <f>SUM(DS285:DS287)</f>
        <v>605</v>
      </c>
      <c r="DT288" s="130">
        <f t="shared" si="2009"/>
        <v>-0.81967213114754189</v>
      </c>
      <c r="DU288" s="104">
        <f>SUM(DU285:DU287)</f>
        <v>617</v>
      </c>
      <c r="DV288" s="130">
        <f t="shared" si="2009"/>
        <v>-0.6441223832528209</v>
      </c>
      <c r="DW288" s="104">
        <f>SUM(DW285:DW287)</f>
        <v>570</v>
      </c>
      <c r="DX288" s="104">
        <f t="shared" ref="DX288:DY288" si="2031">SUM(DX285:DX287)</f>
        <v>570</v>
      </c>
      <c r="DY288" s="104">
        <f t="shared" si="2031"/>
        <v>565</v>
      </c>
      <c r="DZ288" s="130">
        <f t="shared" si="2009"/>
        <v>-8.2792207792207755</v>
      </c>
      <c r="EA288" s="104">
        <f t="shared" ref="EA288:EC288" si="2032">SUM(EA285:EA287)</f>
        <v>534</v>
      </c>
      <c r="EB288" s="130">
        <f t="shared" si="2010"/>
        <v>-11.735537190082646</v>
      </c>
      <c r="EC288" s="104">
        <f t="shared" si="2032"/>
        <v>525</v>
      </c>
      <c r="ED288" s="130">
        <f t="shared" si="2011"/>
        <v>-14.910858995137765</v>
      </c>
      <c r="EE288" s="104">
        <f t="shared" ref="EE288:EG288" si="2033">SUM(EE285:EE287)</f>
        <v>534</v>
      </c>
      <c r="EF288" s="130">
        <f t="shared" si="2012"/>
        <v>-6.315789473684208</v>
      </c>
      <c r="EG288" s="104">
        <f t="shared" si="2033"/>
        <v>537</v>
      </c>
      <c r="EH288" s="130">
        <f t="shared" si="2013"/>
        <v>-4.9557522123893865</v>
      </c>
      <c r="EI288" s="104">
        <f t="shared" ref="EI288" si="2034">SUM(EI285:EI287)</f>
        <v>541</v>
      </c>
      <c r="EJ288" s="130">
        <f t="shared" si="2014"/>
        <v>1.3108614232209659</v>
      </c>
      <c r="EK288" s="104">
        <f t="shared" ref="EK288:EM288" si="2035">SUM(EK285:EK287)</f>
        <v>541</v>
      </c>
      <c r="EL288" s="130">
        <f t="shared" si="2015"/>
        <v>3.0476190476190546</v>
      </c>
      <c r="EM288" s="104">
        <f t="shared" si="2035"/>
        <v>564</v>
      </c>
      <c r="EN288" s="130">
        <f t="shared" si="2016"/>
        <v>5.6179775280898792</v>
      </c>
      <c r="EO288" s="104">
        <f t="shared" ref="EO288" si="2036">SUM(EO285:EO287)</f>
        <v>554</v>
      </c>
      <c r="EP288" s="130">
        <f t="shared" si="2017"/>
        <v>3.165735567970196</v>
      </c>
      <c r="EQ288" s="102">
        <f t="shared" ref="EQ288:EW288" si="2037">SUM(EQ285:EQ287)</f>
        <v>562.005</v>
      </c>
      <c r="ER288" s="130">
        <f t="shared" si="2019"/>
        <v>3.8826247689463855</v>
      </c>
      <c r="ES288" s="102">
        <f t="shared" si="2037"/>
        <v>570.12902499999996</v>
      </c>
      <c r="ET288" s="130">
        <f t="shared" si="2021"/>
        <v>5.3842929759704061</v>
      </c>
      <c r="EU288" s="102">
        <f t="shared" si="2037"/>
        <v>1003.373829875</v>
      </c>
      <c r="EV288" s="130">
        <f t="shared" si="2022"/>
        <v>77.903161325354603</v>
      </c>
      <c r="EW288" s="102">
        <f t="shared" si="2037"/>
        <v>1017.8511957181248</v>
      </c>
      <c r="EX288" s="130">
        <f t="shared" si="2024"/>
        <v>83.727652656701238</v>
      </c>
      <c r="EY288" s="103"/>
      <c r="EZ288" s="558"/>
      <c r="FA288" s="103"/>
      <c r="FB288" s="196">
        <f>SUM(FB285:FB287)</f>
        <v>312.90300000000002</v>
      </c>
      <c r="FC288" s="193"/>
      <c r="FD288" s="196">
        <f>SUM(FD285:FD287)</f>
        <v>164.101</v>
      </c>
      <c r="FE288" s="193">
        <f>IF(ISERROR((FD288/FB288-1)*100),"NA",IF(((FD288/FB288-1)*100)&gt;100,"NM",IF(((FD288/FB288-1)*100)&lt;-50,"NM",(FD288/FB288-1)*100)))</f>
        <v>-47.555312668782349</v>
      </c>
      <c r="FF288" s="196">
        <f>SUM(FF285:FF287)</f>
        <v>536.85500000000002</v>
      </c>
      <c r="FG288" s="193" t="str">
        <f>IF(ISERROR((FF288/FD288-1)*100),"NA",IF(((FF288/FD288-1)*100)&gt;100,"NM",IF(((FF288/FD288-1)*100)&lt;-50,"NM",(FF288/FD288-1)*100)))</f>
        <v>NM</v>
      </c>
      <c r="FH288" s="196">
        <f>SUM(FH285:FH287)</f>
        <v>601.75900000000001</v>
      </c>
      <c r="FI288" s="193">
        <f>IF(ISERROR((FH288/FF288-1)*100),"NA",IF(((FH288/FF288-1)*100)&gt;100,"NM",IF(((FH288/FF288-1)*100)&lt;-50,"NM",(FH288/FF288-1)*100)))</f>
        <v>12.089670395171881</v>
      </c>
      <c r="FJ288" s="196">
        <f>SUM(FJ285:FJ287)</f>
        <v>698.34399999999994</v>
      </c>
      <c r="FK288" s="193">
        <f>IF(ISERROR((FJ288/FH288-1)*100),"NA",IF(((FJ288/FH288-1)*100)&gt;100,"NM",IF(((FJ288/FH288-1)*100)&lt;-50,"NM",(FJ288/FH288-1)*100)))</f>
        <v>16.050445444106344</v>
      </c>
      <c r="FL288" s="196">
        <f>SUM(FL285:FL287)</f>
        <v>819.78099999999995</v>
      </c>
      <c r="FM288" s="193">
        <f>IF(ISERROR((FL288/FJ288-1)*100),"NA",IF(((FL288/FJ288-1)*100)&gt;100,"NM",IF(((FL288/FJ288-1)*100)&lt;-50,"NM",(FL288/FJ288-1)*100)))</f>
        <v>17.389280927451225</v>
      </c>
      <c r="FN288" s="196">
        <f>SUM(FN285:FN287)</f>
        <v>1202.9159999999999</v>
      </c>
      <c r="FO288" s="193">
        <f>IF(ISERROR((FN288/FL288-1)*100),"NA",IF(((FN288/FL288-1)*100)&gt;100,"NM",IF(((FN288/FL288-1)*100)&lt;-50,"NM",(FN288/FL288-1)*100)))</f>
        <v>46.736262489616131</v>
      </c>
      <c r="FP288" s="104">
        <f>SUM(FP285:FP287)</f>
        <v>1278.8120000000001</v>
      </c>
      <c r="FQ288" s="187">
        <f>IF(ISERROR((FP288/FN288-1)*100),"NA",IF(((FP288/FN288-1)*100)&gt;100,"NM",IF(((FP288/FN288-1)*100)&lt;-50,"NM",(FP288/FN288-1)*100)))</f>
        <v>6.3093349826588208</v>
      </c>
      <c r="FR288" s="104">
        <f>AY288+BA288+BC288+BE288</f>
        <v>1031.7</v>
      </c>
      <c r="FS288" s="61">
        <f>IF(ISERROR((FR288/FP288-1)*100),"NA",IF(((FR288/FP288-1)*100)&gt;100,"NM",IF(((FR288/FP288-1)*100)&lt;-50,"NM",(FR288/FP288-1)*100)))</f>
        <v>-19.323559678826918</v>
      </c>
      <c r="FT288" s="104">
        <f>BG288+BI288+BK288+BM288</f>
        <v>1499.3999999999999</v>
      </c>
      <c r="FU288" s="61">
        <f>IF(ISERROR((FT288/FR288-1)*100),"NA",IF(((FT288/FR288-1)*100)&gt;100,"NM",IF(((FT288/FR288-1)*100)&lt;-50,"NM",(FT288/FR288-1)*100)))</f>
        <v>45.332945623727802</v>
      </c>
      <c r="FV288" s="104">
        <f>BO288+BQ288+BS288+BU288</f>
        <v>1639.5</v>
      </c>
      <c r="FW288" s="61">
        <f>IF(ISERROR((FV288/FT288-1)*100),"NA",IF(((FV288/FT288-1)*100)&gt;100,"NM",IF(((FV288/FT288-1)*100)&lt;-50,"NM",(FV288/FT288-1)*100)))</f>
        <v>9.3437374949980168</v>
      </c>
      <c r="FX288" s="160">
        <f>BW288+BY288+CA288+CC288</f>
        <v>1712.51</v>
      </c>
      <c r="FY288" s="61">
        <f>IF(ISERROR((FX288/FV288-1)*100),"NA",IF(((FX288/FV288-1)*100)&gt;100,"NM",IF(((FX288/FV288-1)*100)&lt;-50,"NM",(FX288/FV288-1)*100)))</f>
        <v>4.4531869472400176</v>
      </c>
      <c r="FZ288" s="160">
        <f>CE288+CG288+CI288+CK288</f>
        <v>1831.1</v>
      </c>
      <c r="GA288" s="61">
        <f>IF(ISERROR((FZ288/FX288-1)*100),"NA",IF(((FZ288/FX288-1)*100)&gt;100,"NM",IF(((FZ288/FX288-1)*100)&lt;-50,"NM",(FZ288/FX288-1)*100)))</f>
        <v>6.9249230661426742</v>
      </c>
      <c r="GB288" s="160">
        <f>CM288+CO288+CQ288+CS288</f>
        <v>1938.9</v>
      </c>
      <c r="GC288" s="61">
        <f>IF(ISERROR((GB288/FZ288-1)*100),"NA",IF(((GB288/FZ288-1)*100)&gt;100,"NM",IF(((GB288/FZ288-1)*100)&lt;-50,"NM",(GB288/FZ288-1)*100)))</f>
        <v>5.8871716454590217</v>
      </c>
      <c r="GD288" s="160">
        <f>CU288+CW288+CY288+DA288</f>
        <v>2092</v>
      </c>
      <c r="GE288" s="61">
        <f>IF(ISERROR((GD288/GB288-1)*100),"NA",IF(((GD288/GB288-1)*100)&gt;100,"NM",IF(((GD288/GB288-1)*100)&lt;-50,"NM",(GD288/GB288-1)*100)))</f>
        <v>7.8962298210325299</v>
      </c>
      <c r="GF288" s="160">
        <f>DC288+DE288+DG288+DI288</f>
        <v>2261</v>
      </c>
      <c r="GG288" s="61">
        <f>IF(ISERROR((GF288/GD288-1)*100),"NA",IF(((GF288/GD288-1)*100)&gt;100,"NM",IF(((GF288/GD288-1)*100)&lt;-50,"NM",(GF288/GD288-1)*100)))</f>
        <v>8.0783938814531489</v>
      </c>
      <c r="GH288" s="160">
        <f>DK288+DM288+DO288+DQ288</f>
        <v>2445</v>
      </c>
      <c r="GI288" s="61">
        <f>IF(ISERROR((GH288/GF288-1)*100),"NA",IF(((GH288/GF288-1)*100)&gt;100,"NM",IF(((GH288/GF288-1)*100)&lt;-50,"NM",(GH288/GF288-1)*100)))</f>
        <v>8.137992038920828</v>
      </c>
      <c r="GJ288" s="160">
        <f>DS288+DU288+DW288+DY288</f>
        <v>2357</v>
      </c>
      <c r="GK288" s="61">
        <f>IF(ISERROR((GJ288/GH288-1)*100),"NA",IF(((GJ288/GH288-1)*100)&gt;100,"NM",IF(((GJ288/GH288-1)*100)&lt;-50,"NM",(GJ288/GH288-1)*100)))</f>
        <v>-3.5991820040899847</v>
      </c>
      <c r="GL288" s="160">
        <f>EA288+EC288+EE288+EG288</f>
        <v>2130</v>
      </c>
      <c r="GM288" s="61">
        <f>IF(ISERROR((GL288/GJ288-1)*100),"NA",IF(((GL288/GJ288-1)*100)&gt;100,"NM",IF(((GL288/GJ288-1)*100)&lt;-50,"NM",(GL288/GJ288-1)*100)))</f>
        <v>-9.630886720407295</v>
      </c>
      <c r="GN288" s="160">
        <f>EI288+EK288+EM288+EO288</f>
        <v>2200</v>
      </c>
      <c r="GO288" s="61">
        <f>IF(ISERROR((GN288/GL288-1)*100),"NA",IF(((GN288/GL288-1)*100)&gt;100,"NM",IF(((GN288/GL288-1)*100)&lt;-50,"NM",(GN288/GL288-1)*100)))</f>
        <v>3.2863849765258246</v>
      </c>
      <c r="GP288" s="160">
        <f>EQ288+ES288+EU288+EW288</f>
        <v>3153.3590505931247</v>
      </c>
      <c r="GQ288" s="61">
        <f>IF(ISERROR((GP288/GN288-1)*100),"NA",IF(((GP288/GN288-1)*100)&gt;100,"NM",IF(((GP288/GN288-1)*100)&lt;-50,"NM",(GP288/GN288-1)*100)))</f>
        <v>43.334502299687493</v>
      </c>
      <c r="GR288" s="102">
        <f>SUM(GR285:GR287)</f>
        <v>4077.1341547484994</v>
      </c>
      <c r="GS288" s="61">
        <f>IF(ISERROR((GR288/GP288-1)*100),"NA",IF(((GR288/GP288-1)*100)&gt;100,"NM",IF(((GR288/GP288-1)*100)&lt;-50,"NM",(GR288/GP288-1)*100)))</f>
        <v>29.294954660542661</v>
      </c>
      <c r="GT288" s="102">
        <f>SUM(GT285:GT287)</f>
        <v>4082.9781140620189</v>
      </c>
      <c r="GU288" s="61">
        <f>IF(ISERROR((GT288/GR288-1)*100),"NA",IF(((GT288/GR288-1)*100)&gt;100,"NM",IF(((GT288/GR288-1)*100)&lt;-50,"NM",(GT288/GR288-1)*100)))</f>
        <v>0.14333497725880218</v>
      </c>
      <c r="GV288" s="102">
        <f>SUM(GV285:GV287)</f>
        <v>4107.8636335071715</v>
      </c>
      <c r="GW288" s="61">
        <f>IF(ISERROR((GV288/GT288-1)*100),"NA",IF(((GV288/GT288-1)*100)&gt;100,"NM",IF(((GV288/GT288-1)*100)&lt;-50,"NM",(GV288/GT288-1)*100)))</f>
        <v>0.60949431395298515</v>
      </c>
      <c r="GX288" s="102">
        <f>SUM(GX285:GX287)</f>
        <v>4132.9629931270465</v>
      </c>
      <c r="GY288" s="61">
        <f>IF(ISERROR((GX288/GV288-1)*100),"NA",IF(((GX288/GV288-1)*100)&gt;100,"NM",IF(((GX288/GV288-1)*100)&lt;-50,"NM",(GX288/GV288-1)*100)))</f>
        <v>0.61100761512975499</v>
      </c>
      <c r="GZ288" s="61">
        <f t="shared" si="1909"/>
        <v>13.440404689953755</v>
      </c>
      <c r="HA288" s="61"/>
      <c r="HB288" s="452"/>
      <c r="HC288"/>
      <c r="HD288"/>
      <c r="HE288"/>
      <c r="HF288"/>
      <c r="HG288"/>
      <c r="HH288"/>
    </row>
    <row r="289" spans="2:216" s="5" customFormat="1" ht="12.75" customHeight="1" x14ac:dyDescent="0.2">
      <c r="B289" s="2"/>
      <c r="C289" s="197"/>
      <c r="D289" s="198"/>
      <c r="E289" s="197"/>
      <c r="F289" s="197"/>
      <c r="G289" s="199"/>
      <c r="H289" s="197"/>
      <c r="I289" s="199"/>
      <c r="J289" s="197"/>
      <c r="K289" s="199"/>
      <c r="L289" s="193"/>
      <c r="M289" s="197"/>
      <c r="N289" s="193"/>
      <c r="O289" s="199"/>
      <c r="P289" s="193"/>
      <c r="Q289" s="199"/>
      <c r="R289" s="193"/>
      <c r="S289" s="199"/>
      <c r="T289" s="193"/>
      <c r="U289" s="199"/>
      <c r="V289" s="193"/>
      <c r="W289" s="199"/>
      <c r="X289" s="193"/>
      <c r="Y289" s="199"/>
      <c r="Z289" s="193"/>
      <c r="AA289" s="199"/>
      <c r="AB289" s="193"/>
      <c r="AC289" s="199"/>
      <c r="AD289" s="193"/>
      <c r="AE289" s="199"/>
      <c r="AF289" s="193"/>
      <c r="AG289" s="199"/>
      <c r="AH289" s="193"/>
      <c r="AI289" s="199"/>
      <c r="AJ289" s="193"/>
      <c r="AK289" s="199"/>
      <c r="AL289" s="193"/>
      <c r="AM289" s="199"/>
      <c r="AN289" s="193"/>
      <c r="AO289" s="199"/>
      <c r="AP289" s="193"/>
      <c r="AQ289" s="199"/>
      <c r="AR289" s="193"/>
      <c r="AS289" s="199"/>
      <c r="AT289" s="193"/>
      <c r="AU289" s="199"/>
      <c r="AV289" s="13"/>
      <c r="AW289" s="199"/>
      <c r="AX289" s="187"/>
      <c r="AY289" s="199"/>
      <c r="AZ289" s="187"/>
      <c r="BA289" s="199"/>
      <c r="BB289" s="187"/>
      <c r="BC289" s="199"/>
      <c r="BD289" s="187"/>
      <c r="BE289" s="199"/>
      <c r="BF289" s="187"/>
      <c r="BG289" s="199"/>
      <c r="BH289" s="187"/>
      <c r="BI289" s="199"/>
      <c r="BJ289" s="187"/>
      <c r="BK289" s="199"/>
      <c r="BL289" s="187"/>
      <c r="BM289" s="199"/>
      <c r="BN289" s="187"/>
      <c r="BO289" s="199"/>
      <c r="BP289" s="187"/>
      <c r="BQ289" s="199"/>
      <c r="BR289" s="187"/>
      <c r="BS289" s="199"/>
      <c r="BT289" s="187"/>
      <c r="BU289" s="199"/>
      <c r="BV289" s="187"/>
      <c r="BW289" s="199"/>
      <c r="BX289" s="187"/>
      <c r="BY289" s="199"/>
      <c r="BZ289" s="187"/>
      <c r="CA289" s="199"/>
      <c r="CB289" s="187"/>
      <c r="CC289" s="199"/>
      <c r="CD289" s="187"/>
      <c r="CE289" s="199"/>
      <c r="CF289" s="187"/>
      <c r="CG289" s="199"/>
      <c r="CH289" s="187"/>
      <c r="CI289" s="199"/>
      <c r="CJ289" s="187"/>
      <c r="CK289" s="199"/>
      <c r="CL289" s="187"/>
      <c r="CM289" s="199"/>
      <c r="CN289" s="187"/>
      <c r="CO289" s="199"/>
      <c r="CP289" s="187"/>
      <c r="CQ289" s="199"/>
      <c r="CR289" s="187"/>
      <c r="CS289" s="199"/>
      <c r="CT289" s="187"/>
      <c r="CU289" s="199"/>
      <c r="CV289" s="187"/>
      <c r="CW289" s="199"/>
      <c r="CX289" s="187"/>
      <c r="CY289" s="199"/>
      <c r="CZ289" s="187"/>
      <c r="DA289" s="199"/>
      <c r="DB289" s="187"/>
      <c r="DC289" s="199"/>
      <c r="DD289" s="187"/>
      <c r="DE289" s="199"/>
      <c r="DF289" s="187"/>
      <c r="DG289" s="199"/>
      <c r="DH289" s="187"/>
      <c r="DI289" s="199"/>
      <c r="DJ289" s="187"/>
      <c r="DK289" s="199"/>
      <c r="DL289" s="187"/>
      <c r="DM289" s="199"/>
      <c r="DN289" s="187"/>
      <c r="DO289" s="199"/>
      <c r="DP289" s="187"/>
      <c r="DQ289" s="199"/>
      <c r="DR289" s="187"/>
      <c r="DS289" s="199"/>
      <c r="DT289" s="187"/>
      <c r="DU289" s="199"/>
      <c r="DV289" s="187"/>
      <c r="DW289" s="199"/>
      <c r="DX289" s="199"/>
      <c r="DY289" s="199"/>
      <c r="DZ289" s="187"/>
      <c r="EA289" s="199"/>
      <c r="EB289" s="187"/>
      <c r="EC289" s="199"/>
      <c r="ED289" s="187"/>
      <c r="EE289" s="199"/>
      <c r="EF289" s="187"/>
      <c r="EG289" s="199"/>
      <c r="EH289" s="187"/>
      <c r="EI289" s="199"/>
      <c r="EJ289" s="187"/>
      <c r="EK289" s="199"/>
      <c r="EL289" s="187"/>
      <c r="EM289" s="199"/>
      <c r="EN289" s="187"/>
      <c r="EO289" s="199"/>
      <c r="EP289" s="187"/>
      <c r="EQ289" s="64"/>
      <c r="ER289" s="187"/>
      <c r="ES289" s="64"/>
      <c r="ET289" s="187"/>
      <c r="EU289" s="64"/>
      <c r="EV289" s="187"/>
      <c r="EW289" s="64"/>
      <c r="EX289" s="187"/>
      <c r="EY289" s="64"/>
      <c r="EZ289" s="558"/>
      <c r="FA289" s="64"/>
      <c r="FB289" s="197"/>
      <c r="FC289" s="197"/>
      <c r="FD289" s="197"/>
      <c r="FE289" s="198"/>
      <c r="FF289" s="197"/>
      <c r="FG289" s="198"/>
      <c r="FH289" s="197"/>
      <c r="FI289" s="198"/>
      <c r="FJ289" s="197"/>
      <c r="FK289" s="198"/>
      <c r="FL289" s="197"/>
      <c r="FM289" s="193"/>
      <c r="FN289" s="197"/>
      <c r="FO289" s="193"/>
      <c r="FP289" s="65"/>
      <c r="FQ289" s="187"/>
      <c r="FR289" s="65"/>
      <c r="FS289" s="61"/>
      <c r="FT289" s="65"/>
      <c r="FU289" s="61"/>
      <c r="FV289" s="65"/>
      <c r="FW289" s="61"/>
      <c r="FX289" s="65"/>
      <c r="FY289" s="61"/>
      <c r="FZ289" s="65"/>
      <c r="GA289" s="61"/>
      <c r="GB289" s="65"/>
      <c r="GC289" s="61"/>
      <c r="GD289" s="65"/>
      <c r="GE289" s="61"/>
      <c r="GF289" s="65"/>
      <c r="GG289" s="61"/>
      <c r="GH289" s="65"/>
      <c r="GI289" s="61"/>
      <c r="GJ289" s="65"/>
      <c r="GK289" s="61"/>
      <c r="GL289" s="65"/>
      <c r="GM289" s="61"/>
      <c r="GN289" s="65"/>
      <c r="GO289" s="61"/>
      <c r="GP289" s="65"/>
      <c r="GQ289" s="61"/>
      <c r="GR289" s="64"/>
      <c r="GS289" s="61"/>
      <c r="GT289" s="64"/>
      <c r="GU289" s="61"/>
      <c r="GV289" s="64"/>
      <c r="GW289" s="61"/>
      <c r="GX289" s="64"/>
      <c r="GY289" s="61"/>
      <c r="GZ289" s="61" t="str">
        <f t="shared" si="1909"/>
        <v/>
      </c>
      <c r="HA289" s="61"/>
      <c r="HB289" s="452"/>
      <c r="HC289"/>
      <c r="HD289"/>
      <c r="HE289"/>
      <c r="HF289"/>
      <c r="HG289"/>
      <c r="HH289"/>
    </row>
    <row r="290" spans="2:216" s="5" customFormat="1" ht="12.75" customHeight="1" x14ac:dyDescent="0.2">
      <c r="B290" s="2" t="s">
        <v>621</v>
      </c>
      <c r="C290" s="191">
        <f>C286/C288*100</f>
        <v>9.6384415098458049</v>
      </c>
      <c r="D290" s="184"/>
      <c r="E290" s="191">
        <f>E286/E288*100</f>
        <v>9.6437472067144903</v>
      </c>
      <c r="F290" s="184"/>
      <c r="G290" s="191">
        <f>G286/G288*100</f>
        <v>9.7168998603808348</v>
      </c>
      <c r="H290" s="184"/>
      <c r="I290" s="191">
        <f>I286/I288*100</f>
        <v>9.2212075088787415</v>
      </c>
      <c r="J290" s="184"/>
      <c r="K290" s="191">
        <f>K286/K288*100</f>
        <v>9.3148592013231841</v>
      </c>
      <c r="L290" s="184">
        <f>IF(ISERROR((K290/C290-1)*100),"NA",IF(((K290/C290-1)*100)&gt;100,"NM",IF(((K290/C290-1)*100)&lt;-50,"NM",(K290/C290-1)*100)))</f>
        <v>-3.3572057079153006</v>
      </c>
      <c r="M290" s="191">
        <f>M286/M288*100</f>
        <v>9.2891704909395916</v>
      </c>
      <c r="N290" s="184">
        <f>IF(ISERROR((M290/E290-1)*100),"NA",IF(((M290/E290-1)*100)&gt;100,"NM",IF(((M290/E290-1)*100)&lt;-50,"NM",(M290/E290-1)*100)))</f>
        <v>-3.6767524923094541</v>
      </c>
      <c r="O290" s="191">
        <f>O286/O288*100</f>
        <v>8.9645755704149863</v>
      </c>
      <c r="P290" s="184">
        <f>IF(ISERROR((O290/G290-1)*100),"NA",IF(((O290/G290-1)*100)&gt;100,"NM",IF(((O290/G290-1)*100)&lt;-50,"NM",(O290/G290-1)*100)))</f>
        <v>-7.7424312360502405</v>
      </c>
      <c r="Q290" s="191">
        <f>Q286/Q288*100</f>
        <v>9.049218488085975</v>
      </c>
      <c r="R290" s="184">
        <f>IF(ISERROR((Q290/I290-1)*100),"NA",IF(((Q290/I290-1)*100)&gt;100,"NM",IF(((Q290/I290-1)*100)&lt;-50,"NM",(Q290/I290-1)*100)))</f>
        <v>-1.8651464098076609</v>
      </c>
      <c r="S290" s="191">
        <f>S286/S288*100</f>
        <v>9.1955852376026108</v>
      </c>
      <c r="T290" s="184">
        <f>IF(ISERROR((S290/K290-1)*100),"NA",IF(((S290/K290-1)*100)&gt;100,"NM",IF(((S290/K290-1)*100)&lt;-50,"NM",(S290/K290-1)*100)))</f>
        <v>-1.2804698508339318</v>
      </c>
      <c r="U290" s="191">
        <f>U286/U288*100</f>
        <v>8.2460977529171302</v>
      </c>
      <c r="V290" s="184">
        <f>IF(ISERROR((U290/M290-1)*100),"NA",IF(((U290/M290-1)*100)&gt;100,"NM",IF(((U290/M290-1)*100)&lt;-50,"NM",(U290/M290-1)*100)))</f>
        <v>-11.228911548559118</v>
      </c>
      <c r="W290" s="191">
        <f>W286/W288*100</f>
        <v>8.2974137931034484</v>
      </c>
      <c r="X290" s="184">
        <f>IF(ISERROR((W290/O290-1)*100),"NA",IF(((W290/O290-1)*100)&gt;100,"NM",IF(((W290/O290-1)*100)&lt;-50,"NM",(W290/O290-1)*100)))</f>
        <v>-7.4422014971162076</v>
      </c>
      <c r="Y290" s="191">
        <f>Y286/Y288*100</f>
        <v>8.7925213938829749</v>
      </c>
      <c r="Z290" s="184">
        <f>IF(ISERROR((Y290/Q290-1)*100),"NA",IF(((Y290/Q290-1)*100)&gt;100,"NM",IF(((Y290/Q290-1)*100)&lt;-50,"NM",(Y290/Q290-1)*100)))</f>
        <v>-2.8366769411188653</v>
      </c>
      <c r="AA290" s="191">
        <f>AA286/AA288*100</f>
        <v>8.0344405435211499</v>
      </c>
      <c r="AB290" s="184">
        <f>IF(ISERROR((AA290/S290-1)*100),"NA",IF(((AA290/S290-1)*100)&gt;100,"NM",IF(((AA290/S290-1)*100)&lt;-50,"NM",(AA290/S290-1)*100)))</f>
        <v>-12.627197335231099</v>
      </c>
      <c r="AC290" s="191">
        <f>AC286/AC288*100</f>
        <v>7.9456879462653243</v>
      </c>
      <c r="AD290" s="184">
        <f>IF(ISERROR((AC290/U290-1)*100),"NA",IF(((AC290/U290-1)*100)&gt;100,"NM",IF(((AC290/U290-1)*100)&lt;-50,"NM",(AC290/U290-1)*100)))</f>
        <v>-3.6430541530450999</v>
      </c>
      <c r="AE290" s="191">
        <f>AE286/AE288*100</f>
        <v>7.7010747264685344</v>
      </c>
      <c r="AF290" s="184">
        <f>IF(ISERROR((AE290/W290-1)*100),"NA",IF(((AE290/W290-1)*100)&gt;100,"NM",IF(((AE290/W290-1)*100)&lt;-50,"NM",(AE290/W290-1)*100)))</f>
        <v>-7.1870474524311723</v>
      </c>
      <c r="AG290" s="191">
        <f>AG286/AG288*100</f>
        <v>7.4428462266735229</v>
      </c>
      <c r="AH290" s="184">
        <f>IF(ISERROR((AG290/Y290-1)*100),"NA",IF(((AG290/Y290-1)*100)&gt;100,"NM",IF(((AG290/Y290-1)*100)&lt;-50,"NM",(AG290/Y290-1)*100)))</f>
        <v>-15.350263101417427</v>
      </c>
      <c r="AI290" s="191">
        <f>AI286/AI288*100</f>
        <v>7.3269505185704835</v>
      </c>
      <c r="AJ290" s="184">
        <f>IF(ISERROR((AI290/AA290-1)*100),"NA",IF(((AI290/AA290-1)*100)&gt;100,"NM",IF(((AI290/AA290-1)*100)&lt;-50,"NM",(AI290/AA290-1)*100)))</f>
        <v>-8.8057161057862992</v>
      </c>
      <c r="AK290" s="191">
        <f>AK286/AK288*100</f>
        <v>7.019468138787917</v>
      </c>
      <c r="AL290" s="184">
        <f>IF(ISERROR((AK290/AC290-1)*100),"NA",IF(((AK290/AC290-1)*100)&gt;100,"NM",IF(((AK290/AC290-1)*100)&lt;-50,"NM",(AK290/AC290-1)*100)))</f>
        <v>-11.656886272670119</v>
      </c>
      <c r="AM290" s="191">
        <f>AM286/AM288*100</f>
        <v>7.6805394502207109</v>
      </c>
      <c r="AN290" s="184">
        <f>IF(ISERROR((AM290/AE290-1)*100),"NA",IF(((AM290/AE290-1)*100)&gt;100,"NM",IF(((AM290/AE290-1)*100)&lt;-50,"NM",(AM290/AE290-1)*100)))</f>
        <v>-0.26665468103099776</v>
      </c>
      <c r="AO290" s="191">
        <f>AO286/AO288*100</f>
        <v>7.5563194991261602</v>
      </c>
      <c r="AP290" s="184">
        <f>IF(ISERROR((AO290/AG290-1)*100),"NA",IF(((AO290/AG290-1)*100)&gt;100,"NM",IF(((AO290/AG290-1)*100)&lt;-50,"NM",(AO290/AG290-1)*100)))</f>
        <v>1.5245951481030806</v>
      </c>
      <c r="AQ290" s="191">
        <f>AQ286/AQ288*100</f>
        <v>7.6117588109698691</v>
      </c>
      <c r="AR290" s="184">
        <f>IF(ISERROR((AQ290/AI290-1)*100),"NA",IF(((AQ290/AI290-1)*100)&gt;100,"NM",IF(((AQ290/AI290-1)*100)&lt;-50,"NM",(AQ290/AI290-1)*100)))</f>
        <v>3.8871327392961952</v>
      </c>
      <c r="AS290" s="191">
        <f>AS286/AS288*100</f>
        <v>7.1290701954412024</v>
      </c>
      <c r="AT290" s="184">
        <f>IF(ISERROR((AS290/AK290-1)*100),"NA",IF(((AS290/AK290-1)*100)&gt;100,"NM",IF(((AS290/AK290-1)*100)&lt;-50,"NM",(AS290/AK290-1)*100)))</f>
        <v>1.5614011558461316</v>
      </c>
      <c r="AU290" s="191">
        <f>AU286/AU288*100</f>
        <v>7.8256282247584252</v>
      </c>
      <c r="AV290" s="187">
        <f>IF(ISERROR((AU290/AM290-1)*100),"NA",IF(((AU290/AM290-1)*100)&gt;100,"NM",IF(((AU290/AM290-1)*100)&lt;-50,"NM",(AU290/AM290-1)*100)))</f>
        <v>1.889044063611256</v>
      </c>
      <c r="AW290" s="191">
        <f>AW286/AW288*100</f>
        <v>7.7497050911564793</v>
      </c>
      <c r="AX290" s="187">
        <f>IF(ISERROR((AW290/AO290-1)*100),"NA",IF(((AW290/AO290-1)*100)&gt;100,"NM",IF(((AW290/AO290-1)*100)&lt;-50,"NM",(AW290/AO290-1)*100)))</f>
        <v>2.5592564217630454</v>
      </c>
      <c r="AY290" s="194"/>
      <c r="AZ290" s="187" t="str">
        <f>IF(ISERROR((AY290/AQ290-1)*100),"NA",IF(((AY290/AQ290-1)*100)&gt;100,"NM",IF(((AY290/AQ290-1)*100)&lt;-50,"NM",(AY290/AQ290-1)*100)))</f>
        <v>NM</v>
      </c>
      <c r="BA290" s="194">
        <f>BA286/BA288*100</f>
        <v>7.0744081172491553</v>
      </c>
      <c r="BB290" s="187">
        <f>IF(ISERROR((BA290/AS290-1)*100),"NA",IF(((BA290/AS290-1)*100)&gt;100,"NM",IF(((BA290/AS290-1)*100)&lt;-50,"NM",(BA290/AS290-1)*100)))</f>
        <v>-0.76674905273063088</v>
      </c>
      <c r="BC290" s="194">
        <f>BC286/BC288*100</f>
        <v>8.1577363034316672</v>
      </c>
      <c r="BD290" s="187">
        <f>IF(ISERROR((BC290/AU290-1)*100),"NA",IF(((BC290/AU290-1)*100)&gt;100,"NM",IF(((BC290/AU290-1)*100)&lt;-50,"NM",(BC290/AU290-1)*100)))</f>
        <v>4.2438519839535838</v>
      </c>
      <c r="BE290" s="194">
        <f>BE286/BE288*100</f>
        <v>8.1230055120394553</v>
      </c>
      <c r="BF290" s="187">
        <f>IF(ISERROR((BE290/AW290-1)*100),"NA",IF(((BE290/AW290-1)*100)&gt;100,"NM",IF(((BE290/AW290-1)*100)&lt;-50,"NM",(BE290/AW290-1)*100)))</f>
        <v>4.816962923001622</v>
      </c>
      <c r="BG290" s="163">
        <f>BG286/BG288*100</f>
        <v>7.7435470441298904</v>
      </c>
      <c r="BH290" s="187" t="str">
        <f>IF(ISERROR((BG290/AY290-1)*100),"NA",IF(((BG290/AY290-1)*100)&gt;100,"NM",IF(((BG290/AY290-1)*100)&lt;-50,"NM",(BG290/AY290-1)*100)))</f>
        <v>NA</v>
      </c>
      <c r="BI290" s="163">
        <f>BI286/BI288*100</f>
        <v>7.2890025575447579</v>
      </c>
      <c r="BJ290" s="187">
        <f>IF(ISERROR((BI290/BA290-1)*100),"NA",IF(((BI290/BA290-1)*100)&gt;100,"NM",IF(((BI290/BA290-1)*100)&lt;-50,"NM",(BI290/BA290-1)*100)))</f>
        <v>3.0333907337402266</v>
      </c>
      <c r="BK290" s="163">
        <f>BK286/BK288*100</f>
        <v>8.0272108843537424</v>
      </c>
      <c r="BL290" s="187">
        <f>IF(ISERROR((BK290/BC290-1)*100),"NA",IF(((BK290/BC290-1)*100)&gt;100,"NM",IF(((BK290/BC290-1)*100)&lt;-50,"NM",(BK290/BC290-1)*100)))</f>
        <v>-1.6000200818334531</v>
      </c>
      <c r="BM290" s="163">
        <f>BM286/BM288*100</f>
        <v>7.7509196006305832</v>
      </c>
      <c r="BN290" s="187">
        <f>IF(ISERROR((BM290/BE290-1)*100),"NA",IF(((BM290/BE290-1)*100)&gt;100,"NM",IF(((BM290/BE290-1)*100)&lt;-50,"NM",(BM290/BE290-1)*100)))</f>
        <v>-4.5806433450942263</v>
      </c>
      <c r="BO290" s="163">
        <f>BO286/BO288*100</f>
        <v>6.9371399949912353</v>
      </c>
      <c r="BP290" s="187">
        <f>IF(ISERROR((BO290/BG290-1)*100),"NA",IF(((BO290/BG290-1)*100)&gt;100,"NM",IF(((BO290/BG290-1)*100)&lt;-50,"NM",(BO290/BG290-1)*100)))</f>
        <v>-10.413923290489514</v>
      </c>
      <c r="BQ290" s="163">
        <f>BQ286/BQ288*100</f>
        <v>7.178159566956932</v>
      </c>
      <c r="BR290" s="187">
        <f>IF(ISERROR((BQ290/BI290-1)*100),"NA",IF(((BQ290/BI290-1)*100)&gt;100,"NM",IF(((BQ290/BI290-1)*100)&lt;-50,"NM",(BQ290/BI290-1)*100)))</f>
        <v>-1.5206880463101702</v>
      </c>
      <c r="BS290" s="163">
        <f>BS286/BS288*100</f>
        <v>7.6464746772591852</v>
      </c>
      <c r="BT290" s="187">
        <f>IF(ISERROR((BS290/BK290-1)*100),"NA",IF(((BS290/BK290-1)*100)&gt;100,"NM",IF(((BS290/BK290-1)*100)&lt;-50,"NM",(BS290/BK290-1)*100)))</f>
        <v>-4.7430696985508387</v>
      </c>
      <c r="BU290" s="163">
        <f>BU286/BU288*100</f>
        <v>6.8606060606060604</v>
      </c>
      <c r="BV290" s="187">
        <f>IF(ISERROR((BU290/BM290-1)*100),"NA",IF(((BU290/BM290-1)*100)&gt;100,"NM",IF(((BU290/BM290-1)*100)&lt;-50,"NM",(BU290/BM290-1)*100)))</f>
        <v>-11.48655367231639</v>
      </c>
      <c r="BW290" s="163">
        <f>BW286/BW288*100</f>
        <v>7.1428571428571423</v>
      </c>
      <c r="BX290" s="187">
        <f>IF(ISERROR((BW290/BO290-1)*100),"NA",IF(((BW290/BO290-1)*100)&gt;100,"NM",IF(((BW290/BO290-1)*100)&lt;-50,"NM",(BW290/BO290-1)*100)))</f>
        <v>2.9654461062403215</v>
      </c>
      <c r="BY290" s="163">
        <f>BY286/BY288*100</f>
        <v>6.3445473018740124</v>
      </c>
      <c r="BZ290" s="187">
        <f>IF(ISERROR((BY290/BQ290-1)*100),"NA",IF(((BY290/BQ290-1)*100)&gt;100,"NM",IF(((BY290/BQ290-1)*100)&lt;-50,"NM",(BY290/BQ290-1)*100)))</f>
        <v>-11.613175456843694</v>
      </c>
      <c r="CA290" s="163">
        <f>CA286/CA288*100</f>
        <v>8.0798822990280019</v>
      </c>
      <c r="CB290" s="187">
        <f>IF(ISERROR((CA290/BS290-1)*100),"NA",IF(((CA290/BS290-1)*100)&gt;100,"NM",IF(((CA290/BS290-1)*100)&lt;-50,"NM",(CA290/BS290-1)*100)))</f>
        <v>5.6680711054701183</v>
      </c>
      <c r="CC290" s="163">
        <f>CC286/CC288*100</f>
        <v>8.2333948339483403</v>
      </c>
      <c r="CD290" s="187">
        <f>IF(ISERROR((CC290/BU290-1)*100),"NA",IF(((CC290/BU290-1)*100)&gt;100,"NM",IF(((CC290/BU290-1)*100)&lt;-50,"NM",(CC290/BU290-1)*100)))</f>
        <v>20.009730353487299</v>
      </c>
      <c r="CE290" s="163">
        <f>CE286/CE288*100</f>
        <v>7.5471698113207557</v>
      </c>
      <c r="CF290" s="187">
        <f>IF(ISERROR((CE290/BW290-1)*100),"NA",IF(((CE290/BW290-1)*100)&gt;100,"NM",IF(((CE290/BW290-1)*100)&lt;-50,"NM",(CE290/BW290-1)*100)))</f>
        <v>5.660377358490587</v>
      </c>
      <c r="CG290" s="163">
        <f>CG286/CG288*100</f>
        <v>7.2963199319293768</v>
      </c>
      <c r="CH290" s="187">
        <f>IF(ISERROR((CG290/BY290-1)*100),"NA",IF(((CG290/BY290-1)*100)&gt;100,"NM",IF(((CG290/BY290-1)*100)&lt;-50,"NM",(CG290/BY290-1)*100)))</f>
        <v>15.001426969805021</v>
      </c>
      <c r="CI290" s="163">
        <f>CI286/CI288*100</f>
        <v>7.7519379844961236</v>
      </c>
      <c r="CJ290" s="187">
        <f>IF(ISERROR((CI290/CA290-1)*100),"NA",IF(((CI290/CA290-1)*100)&gt;100,"NM",IF(((CI290/CA290-1)*100)&lt;-50,"NM",(CI290/CA290-1)*100)))</f>
        <v>-4.0587758880018532</v>
      </c>
      <c r="CK290" s="163">
        <f>CK286/CK288*100</f>
        <v>8.205901356881327</v>
      </c>
      <c r="CL290" s="187">
        <f>IF(ISERROR((CK290/CC290-1)*100),"NA",IF(((CK290/CC290-1)*100)&gt;100,"NM",IF(((CK290/CC290-1)*100)&lt;-50,"NM",(CK290/CC290-1)*100)))</f>
        <v>-0.33392637692596372</v>
      </c>
      <c r="CM290" s="163">
        <f>CM286/CM288*100</f>
        <v>8.1816279556392555</v>
      </c>
      <c r="CN290" s="187">
        <f>IF(ISERROR((CM290/CE290-1)*100),"NA",IF(((CM290/CE290-1)*100)&gt;100,"NM",IF(((CM290/CE290-1)*100)&lt;-50,"NM",(CM290/CE290-1)*100)))</f>
        <v>8.4065704122201268</v>
      </c>
      <c r="CO290" s="163">
        <f>CO286/CO288*100</f>
        <v>7.6907710747103479</v>
      </c>
      <c r="CP290" s="187">
        <f>IF(ISERROR((CO290/CG290-1)*100),"NA",IF(((CO290/CG290-1)*100)&gt;100,"NM",IF(((CO290/CG290-1)*100)&lt;-50,"NM",(CO290/CG290-1)*100)))</f>
        <v>5.406165662429574</v>
      </c>
      <c r="CQ290" s="163">
        <f>CQ286/CQ288*100</f>
        <v>7.8848560700876096</v>
      </c>
      <c r="CR290" s="187">
        <f>IF(ISERROR((CQ290/CI290-1)*100),"NA",IF(((CQ290/CI290-1)*100)&gt;100,"NM",IF(((CQ290/CI290-1)*100)&lt;-50,"NM",(CQ290/CI290-1)*100)))</f>
        <v>1.714643304130159</v>
      </c>
      <c r="CS290" s="163">
        <f>CS286/CS288*100</f>
        <v>7.6923076923076925</v>
      </c>
      <c r="CT290" s="187">
        <f>IF(ISERROR((CS290/CK290-1)*100),"NA",IF(((CS290/CK290-1)*100)&gt;100,"NM",IF(((CS290/CK290-1)*100)&lt;-50,"NM",(CS290/CK290-1)*100)))</f>
        <v>-6.2588330304865769</v>
      </c>
      <c r="CU290" s="163">
        <f>CU286/CU288*100</f>
        <v>7.5396825396825395</v>
      </c>
      <c r="CV290" s="187">
        <f>IF(ISERROR((CU290/CM290-1)*100),"NA",IF(((CU290/CM290-1)*100)&gt;100,"NM",IF(((CU290/CM290-1)*100)&lt;-50,"NM",(CU290/CM290-1)*100)))</f>
        <v>-7.8461819510412978</v>
      </c>
      <c r="CW290" s="163">
        <f>CW286/CW288*100</f>
        <v>7.7777777777777777</v>
      </c>
      <c r="CX290" s="187">
        <f>IF(ISERROR((CW290/CO290-1)*100),"NA",IF(((CW290/CO290-1)*100)&gt;100,"NM",IF(((CW290/CO290-1)*100)&lt;-50,"NM",(CW290/CO290-1)*100)))</f>
        <v>1.1313131313131164</v>
      </c>
      <c r="CY290" s="163">
        <f>CY286/CY288*100</f>
        <v>7.9303675048355888</v>
      </c>
      <c r="CZ290" s="187">
        <f>IF(ISERROR((CY290/CQ290-1)*100),"NA",IF(((CY290/CQ290-1)*100)&gt;100,"NM",IF(((CY290/CQ290-1)*100)&lt;-50,"NM",(CY290/CQ290-1)*100)))</f>
        <v>0.57720057720056506</v>
      </c>
      <c r="DA290" s="163">
        <f>DA286/DA288*100</f>
        <v>7.7212806026365346</v>
      </c>
      <c r="DB290" s="187">
        <f>IF(ISERROR((DA290/CS290-1)*100),"NA",IF(((DA290/CS290-1)*100)&gt;100,"NM",IF(((DA290/CS290-1)*100)&lt;-50,"NM",(DA290/CS290-1)*100)))</f>
        <v>0.37664783427495685</v>
      </c>
      <c r="DC290" s="163">
        <f>DC286/DC288*100</f>
        <v>7.0909090909090908</v>
      </c>
      <c r="DD290" s="187">
        <f>IF(ISERROR((DC290/CU290-1)*100),"NA",IF(((DC290/CU290-1)*100)&gt;100,"NM",IF(((DC290/CU290-1)*100)&lt;-50,"NM",(DC290/CU290-1)*100)))</f>
        <v>-5.952153110047842</v>
      </c>
      <c r="DE290" s="163">
        <f>DE286/DE288*100</f>
        <v>7.304347826086957</v>
      </c>
      <c r="DF290" s="187">
        <f>IF(ISERROR((DE290/CW290-1)*100),"NA",IF(((DE290/CW290-1)*100)&gt;100,"NM",IF(((DE290/CW290-1)*100)&lt;-50,"NM",(DE290/CW290-1)*100)))</f>
        <v>-6.086956521739129</v>
      </c>
      <c r="DG290" s="163">
        <f>DG286/DG288*100</f>
        <v>7.3083778966131909</v>
      </c>
      <c r="DH290" s="187">
        <f>IF(ISERROR((DG290/CY290-1)*100),"NA",IF(((DG290/CY290-1)*100)&gt;100,"NM",IF(((DG290/CY290-1)*100)&lt;-50,"NM",(DG290/CY290-1)*100)))</f>
        <v>-7.8431372549019436</v>
      </c>
      <c r="DI290" s="163">
        <f>DI286/DI288*100</f>
        <v>7.4782608695652177</v>
      </c>
      <c r="DJ290" s="187">
        <f>IF(ISERROR((DI290/DA290-1)*100),"NA",IF(((DI290/DA290-1)*100)&gt;100,"NM",IF(((DI290/DA290-1)*100)&lt;-50,"NM",(DI290/DA290-1)*100)))</f>
        <v>-3.1474019088016947</v>
      </c>
      <c r="DK290" s="163">
        <f>DK286/DK288*100</f>
        <v>7.3770491803278686</v>
      </c>
      <c r="DL290" s="187">
        <f>IF(ISERROR((DK290/DC290-1)*100),"NA",IF(((DK290/DC290-1)*100)&gt;100,"NM",IF(((DK290/DC290-1)*100)&lt;-50,"NM",(DK290/DC290-1)*100)))</f>
        <v>4.035308953341743</v>
      </c>
      <c r="DM290" s="163">
        <f>DM286/DM288*100</f>
        <v>7.0853462157809979</v>
      </c>
      <c r="DN290" s="130">
        <f t="shared" ref="DN290:DZ290" si="2038">IF(ISERROR((DM290/DE290-1)*100),"NA",IF(((DM290/DE290-1)*100)&gt;100,"NM",IF(((DM290/DE290-1)*100)&lt;-50,"NM",(DM290/DE290-1)*100)))</f>
        <v>-2.9982363315696814</v>
      </c>
      <c r="DO290" s="163">
        <f>DO286/DO288*100</f>
        <v>7.5250836120401345</v>
      </c>
      <c r="DP290" s="130">
        <f t="shared" si="2038"/>
        <v>2.965168447671096</v>
      </c>
      <c r="DQ290" s="163">
        <f>DQ286/DQ288*100</f>
        <v>7.4675324675324672</v>
      </c>
      <c r="DR290" s="130">
        <f t="shared" si="2038"/>
        <v>-0.14346118997282664</v>
      </c>
      <c r="DS290" s="163">
        <f>DS286/DS288*100</f>
        <v>7.1074380165289259</v>
      </c>
      <c r="DT290" s="130">
        <f t="shared" si="2038"/>
        <v>-3.6547291092745571</v>
      </c>
      <c r="DU290" s="163">
        <f>DU286/DU288*100</f>
        <v>7.6175040518638575</v>
      </c>
      <c r="DV290" s="130">
        <f t="shared" si="2038"/>
        <v>7.5106821865330797</v>
      </c>
      <c r="DW290" s="163">
        <f>DW286/DW288*100</f>
        <v>8.4210526315789469</v>
      </c>
      <c r="DX290" s="163">
        <f t="shared" ref="DX290:DY290" si="2039">DX286/DX288*100</f>
        <v>8.4210526315789469</v>
      </c>
      <c r="DY290" s="163">
        <f t="shared" si="2039"/>
        <v>7.9646017699115044</v>
      </c>
      <c r="DZ290" s="130">
        <f t="shared" si="2038"/>
        <v>6.6564063101192783</v>
      </c>
      <c r="EA290" s="163">
        <f t="shared" ref="EA290:EC290" si="2040">EA286/EA288*100</f>
        <v>7.8651685393258424</v>
      </c>
      <c r="EB290" s="130">
        <f t="shared" ref="EB290" si="2041">IF(ISERROR((EA290/DS290-1)*100),"NA",IF(((EA290/DS290-1)*100)&gt;100,"NM",IF(((EA290/DS290-1)*100)&lt;-50,"NM",(EA290/DS290-1)*100)))</f>
        <v>10.661092239351966</v>
      </c>
      <c r="EC290" s="163">
        <f t="shared" si="2040"/>
        <v>8.1904761904761916</v>
      </c>
      <c r="ED290" s="130">
        <f t="shared" ref="ED290" si="2042">IF(ISERROR((EC290/DU290-1)*100),"NA",IF(((EC290/DU290-1)*100)&gt;100,"NM",IF(((EC290/DU290-1)*100)&lt;-50,"NM",(EC290/DU290-1)*100)))</f>
        <v>7.5217831813576552</v>
      </c>
      <c r="EE290" s="163">
        <f t="shared" ref="EE290:EG290" si="2043">EE286/EE288*100</f>
        <v>8.4269662921348321</v>
      </c>
      <c r="EF290" s="130">
        <f t="shared" ref="EF290" si="2044">IF(ISERROR((EE290/DW290-1)*100),"NA",IF(((EE290/DW290-1)*100)&gt;100,"NM",IF(((EE290/DW290-1)*100)&lt;-50,"NM",(EE290/DW290-1)*100)))</f>
        <v>7.0224719101141808E-2</v>
      </c>
      <c r="EG290" s="163">
        <f t="shared" si="2043"/>
        <v>8.7523277467411553</v>
      </c>
      <c r="EH290" s="130">
        <f t="shared" ref="EH290" si="2045">IF(ISERROR((EG290/DY290-1)*100),"NA",IF(((EG290/DY290-1)*100)&gt;100,"NM",IF(((EG290/DY290-1)*100)&lt;-50,"NM",(EG290/DY290-1)*100)))</f>
        <v>9.8903372646389478</v>
      </c>
      <c r="EI290" s="163">
        <f t="shared" ref="EI290:EK290" si="2046">EI286/EI288*100</f>
        <v>7.9482439926062849</v>
      </c>
      <c r="EJ290" s="130">
        <f t="shared" ref="EJ290" si="2047">IF(ISERROR((EI290/EA290-1)*100),"NA",IF(((EI290/EA290-1)*100)&gt;100,"NM",IF(((EI290/EA290-1)*100)&lt;-50,"NM",(EI290/EA290-1)*100)))</f>
        <v>1.0562450488513342</v>
      </c>
      <c r="EK290" s="163">
        <f t="shared" si="2046"/>
        <v>7.9482439926062849</v>
      </c>
      <c r="EL290" s="130">
        <f t="shared" ref="EL290" si="2048">IF(ISERROR((EK290/EC290-1)*100),"NA",IF(((EK290/EC290-1)*100)&gt;100,"NM",IF(((EK290/EC290-1)*100)&lt;-50,"NM",(EK290/EC290-1)*100)))</f>
        <v>-2.9574861367837491</v>
      </c>
      <c r="EM290" s="163">
        <f t="shared" ref="EM290" si="2049">EM286/EM288*100</f>
        <v>7.2695035460992905</v>
      </c>
      <c r="EN290" s="130">
        <f t="shared" ref="EN290" si="2050">IF(ISERROR((EM290/EE290-1)*100),"NA",IF(((EM290/EE290-1)*100)&gt;100,"NM",IF(((EM290/EE290-1)*100)&lt;-50,"NM",(EM290/EE290-1)*100)))</f>
        <v>-13.73522458628843</v>
      </c>
      <c r="EO290" s="163">
        <f t="shared" ref="EO290" si="2051">EO286/EO288*100</f>
        <v>7.4007220216606493</v>
      </c>
      <c r="EP290" s="130">
        <f t="shared" ref="EP290" si="2052">IF(ISERROR((EO290/EG290-1)*100),"NA",IF(((EO290/EG290-1)*100)&gt;100,"NM",IF(((EO290/EG290-1)*100)&lt;-50,"NM",(EO290/EG290-1)*100)))</f>
        <v>-15.442814348260248</v>
      </c>
      <c r="EQ290" s="200">
        <f t="shared" ref="EQ290:EW290" si="2053">EQ286/EQ288*100</f>
        <v>7.3682618482041979</v>
      </c>
      <c r="ER290" s="130">
        <f t="shared" ref="ER290" si="2054">IF(ISERROR((EQ290/EI290-1)*100),"NA",IF(((EQ290/EI290-1)*100)&gt;100,"NM",IF(((EQ290/EI290-1)*100)&lt;-50,"NM",(EQ290/EI290-1)*100)))</f>
        <v>-7.2969846539890471</v>
      </c>
      <c r="ES290" s="200">
        <f t="shared" si="2053"/>
        <v>7.3359008515660129</v>
      </c>
      <c r="ET290" s="130">
        <f t="shared" ref="ET290" si="2055">IF(ISERROR((ES290/EK290-1)*100),"NA",IF(((ES290/EK290-1)*100)&gt;100,"NM",IF(((ES290/EK290-1)*100)&lt;-50,"NM",(ES290/EK290-1)*100)))</f>
        <v>-7.7041311465764428</v>
      </c>
      <c r="EU290" s="200">
        <f t="shared" si="2053"/>
        <v>6.0039777006646649</v>
      </c>
      <c r="EV290" s="130">
        <f t="shared" ref="EV290" si="2056">IF(ISERROR((EU290/EM290-1)*100),"NA",IF(((EU290/EM290-1)*100)&gt;100,"NM",IF(((EU290/EM290-1)*100)&lt;-50,"NM",(EU290/EM290-1)*100)))</f>
        <v>-17.40869699573485</v>
      </c>
      <c r="EW290" s="200">
        <f t="shared" si="2053"/>
        <v>5.9777661671922662</v>
      </c>
      <c r="EX290" s="130">
        <f t="shared" ref="EX290" si="2057">IF(ISERROR((EW290/EO290-1)*100),"NA",IF(((EW290/EO290-1)*100)&gt;100,"NM",IF(((EW290/EO290-1)*100)&lt;-50,"NM",(EW290/EO290-1)*100)))</f>
        <v>-19.227257155499622</v>
      </c>
      <c r="EY290" s="64"/>
      <c r="EZ290" s="558"/>
      <c r="FA290" s="64"/>
      <c r="FB290" s="201">
        <f>FB286/FB288*100</f>
        <v>12.17789538611007</v>
      </c>
      <c r="FC290" s="197"/>
      <c r="FD290" s="201">
        <f>FD286/FD288*100</f>
        <v>18.539192326676865</v>
      </c>
      <c r="FE290" s="193">
        <f>IF(ISERROR((FD290/FB290-1)*100),"NA",IF(((FD290/FB290-1)*100)&gt;100,"NM",IF(((FD290/FB290-1)*100)&lt;-50,"NM",(FD290/FB290-1)*100)))</f>
        <v>52.236422952215513</v>
      </c>
      <c r="FF290" s="201">
        <f>FF286/FF288*100</f>
        <v>9.5491333786590413</v>
      </c>
      <c r="FG290" s="193">
        <f>IF(ISERROR((FF290/FD290-1)*100),"NA",IF(((FF290/FD290-1)*100)&gt;100,"NM",IF(((FF290/FD290-1)*100)&lt;-50,"NM",(FF290/FD290-1)*100)))</f>
        <v>-48.492182343249283</v>
      </c>
      <c r="FH290" s="201">
        <f>FH286/FH288*100</f>
        <v>9.1476820454700292</v>
      </c>
      <c r="FI290" s="193">
        <f>IF(ISERROR((FH290/FF290-1)*100),"NA",IF(((FH290/FF290-1)*100)&gt;100,"NM",IF(((FH290/FF290-1)*100)&lt;-50,"NM",(FH290/FF290-1)*100)))</f>
        <v>-4.2040603819211375</v>
      </c>
      <c r="FJ290" s="201">
        <f>FJ286/FJ288*100</f>
        <v>8.6209661713997701</v>
      </c>
      <c r="FK290" s="193">
        <f>IF(ISERROR((FJ290/FH290-1)*100),"NA",IF(((FJ290/FH290-1)*100)&gt;100,"NM",IF(((FJ290/FH290-1)*100)&lt;-50,"NM",(FJ290/FH290-1)*100)))</f>
        <v>-5.7579162836239099</v>
      </c>
      <c r="FL290" s="201">
        <f>FL286/FL288*100</f>
        <v>7.7779309352131856</v>
      </c>
      <c r="FM290" s="193">
        <f>IF(ISERROR((FL290/FJ290-1)*100),"NA",IF(((FL290/FJ290-1)*100)&gt;100,"NM",IF(((FL290/FJ290-1)*100)&lt;-50,"NM",(FL290/FJ290-1)*100)))</f>
        <v>-9.7788950730762778</v>
      </c>
      <c r="FN290" s="201">
        <f>FN286/FN288*100</f>
        <v>7.387548257733707</v>
      </c>
      <c r="FO290" s="193">
        <f>IF(ISERROR((FN290/FL290-1)*100),"NA",IF(((FN290/FL290-1)*100)&gt;100,"NM",IF(((FN290/FL290-1)*100)&lt;-50,"NM",(FN290/FL290-1)*100)))</f>
        <v>-5.0191070187071363</v>
      </c>
      <c r="FP290" s="200">
        <f>FP286/FP288*100</f>
        <v>7.5721841834452599</v>
      </c>
      <c r="FQ290" s="187">
        <f>IF(ISERROR((FP290/FN290-1)*100),"NA",IF(((FP290/FN290-1)*100)&gt;100,"NM",IF(((FP290/FN290-1)*100)&lt;-50,"NM",(FP290/FN290-1)*100)))</f>
        <v>2.4992855446766882</v>
      </c>
      <c r="FR290" s="200">
        <f>FR286/FR288*100</f>
        <v>7.7735775903848019</v>
      </c>
      <c r="FS290" s="61">
        <f>IF(ISERROR((FR290/FP290-1)*100),"NA",IF(((FR290/FP290-1)*100)&gt;100,"NM",IF(((FR290/FP290-1)*100)&lt;-50,"NM",(FR290/FP290-1)*100)))</f>
        <v>2.6596474948382687</v>
      </c>
      <c r="FT290" s="200">
        <f>FT286/FT288*100</f>
        <v>7.6964118980925713</v>
      </c>
      <c r="FU290" s="61">
        <f>IF(ISERROR((FT290/FR290-1)*100),"NA",IF(((FT290/FR290-1)*100)&gt;100,"NM",IF(((FT290/FR290-1)*100)&lt;-50,"NM",(FT290/FR290-1)*100)))</f>
        <v>-0.99266639324058215</v>
      </c>
      <c r="FV290" s="200">
        <f>FV286/FV288*100</f>
        <v>7.1546203110704472</v>
      </c>
      <c r="FW290" s="61">
        <f>IF(ISERROR((FV290/FT290-1)*100),"NA",IF(((FV290/FT290-1)*100)&gt;100,"NM",IF(((FV290/FT290-1)*100)&lt;-50,"NM",(FV290/FT290-1)*100)))</f>
        <v>-7.0395347104070467</v>
      </c>
      <c r="FX290" s="200">
        <f>FX286/FX288*100</f>
        <v>7.4393726168022383</v>
      </c>
      <c r="FY290" s="61">
        <f>IF(ISERROR((FX290/FV290-1)*100),"NA",IF(((FX290/FV290-1)*100)&gt;100,"NM",IF(((FX290/FV290-1)*100)&lt;-50,"NM",(FX290/FV290-1)*100)))</f>
        <v>3.9799778793458751</v>
      </c>
      <c r="FZ290" s="200">
        <f>FZ286/FZ288*100</f>
        <v>7.7002894435039053</v>
      </c>
      <c r="GA290" s="61">
        <f>IF(ISERROR((FZ290/FX290-1)*100),"NA",IF(((FZ290/FX290-1)*100)&gt;100,"NM",IF(((FZ290/FX290-1)*100)&lt;-50,"NM",(FZ290/FX290-1)*100)))</f>
        <v>3.5072423461135926</v>
      </c>
      <c r="GB290" s="200">
        <f>GB286/GB288*100</f>
        <v>7.8601268760637462</v>
      </c>
      <c r="GC290" s="61">
        <f>IF(ISERROR((GB290/FZ290-1)*100),"NA",IF(((GB290/FZ290-1)*100)&gt;100,"NM",IF(((GB290/FZ290-1)*100)&lt;-50,"NM",(GB290/FZ290-1)*100)))</f>
        <v>2.0757327855342123</v>
      </c>
      <c r="GD290" s="200">
        <f>GD286/GD288*100</f>
        <v>7.7437858508604211</v>
      </c>
      <c r="GE290" s="61">
        <f>IF(ISERROR((GD290/GB290-1)*100),"NA",IF(((GD290/GB290-1)*100)&gt;100,"NM",IF(((GD290/GB290-1)*100)&lt;-50,"NM",(GD290/GB290-1)*100)))</f>
        <v>-1.480141822616321</v>
      </c>
      <c r="GF290" s="200">
        <f>GF286/GF288*100</f>
        <v>7.2976559044670504</v>
      </c>
      <c r="GG290" s="61">
        <f>IF(ISERROR((GF290/GD290-1)*100),"NA",IF(((GF290/GD290-1)*100)&gt;100,"NM",IF(((GF290/GD290-1)*100)&lt;-50,"NM",(GF290/GD290-1)*100)))</f>
        <v>-5.7611348633020416</v>
      </c>
      <c r="GH290" s="200">
        <f>GH286/GH288*100</f>
        <v>7.3619631901840492</v>
      </c>
      <c r="GI290" s="61">
        <f>IF(ISERROR((GH290/GF290-1)*100),"NA",IF(((GH290/GF290-1)*100)&gt;100,"NM",IF(((GH290/GF290-1)*100)&lt;-50,"NM",(GH290/GF290-1)*100)))</f>
        <v>0.88120468488566139</v>
      </c>
      <c r="GJ290" s="200">
        <f>GJ286/GJ288*100</f>
        <v>7.7641069155706415</v>
      </c>
      <c r="GK290" s="61">
        <f>IF(ISERROR((GJ290/GH290-1)*100),"NA",IF(((GJ290/GH290-1)*100)&gt;100,"NM",IF(((GJ290/GH290-1)*100)&lt;-50,"NM",(GJ290/GH290-1)*100)))</f>
        <v>5.4624522698345501</v>
      </c>
      <c r="GL290" s="200">
        <f>GL286/GL288*100</f>
        <v>8.3098591549295779</v>
      </c>
      <c r="GM290" s="61">
        <f>IF(ISERROR((GL290/GJ290-1)*100),"NA",IF(((GL290/GJ290-1)*100)&gt;100,"NM",IF(((GL290/GJ290-1)*100)&lt;-50,"NM",(GL290/GJ290-1)*100)))</f>
        <v>7.0291695528361453</v>
      </c>
      <c r="GN290" s="200">
        <f>GN286/GN288*100</f>
        <v>7.6363636363636367</v>
      </c>
      <c r="GO290" s="61">
        <f>IF(ISERROR((GN290/GL290-1)*100),"NA",IF(((GN290/GL290-1)*100)&gt;100,"NM",IF(((GN290/GL290-1)*100)&lt;-50,"NM",(GN290/GL290-1)*100)))</f>
        <v>-8.1047765793528566</v>
      </c>
      <c r="GP290" s="200">
        <f>GP286/GP288*100</f>
        <v>6.479477983059641</v>
      </c>
      <c r="GQ290" s="61">
        <f>IF(ISERROR((GP290/GN290-1)*100),"NA",IF(((GP290/GN290-1)*100)&gt;100,"NM",IF(((GP290/GN290-1)*100)&lt;-50,"NM",(GP290/GN290-1)*100)))</f>
        <v>-15.149693078980897</v>
      </c>
      <c r="GR290" s="200">
        <f>GR286/GR288*100</f>
        <v>6.0887532607597814</v>
      </c>
      <c r="GS290" s="61">
        <f>IF(ISERROR((GR290/GP290-1)*100),"NA",IF(((GR290/GP290-1)*100)&gt;100,"NM",IF(((GR290/GP290-1)*100)&lt;-50,"NM",(GR290/GP290-1)*100)))</f>
        <v>-6.0301882855593458</v>
      </c>
      <c r="GT290" s="200">
        <f>GT286/GT288*100</f>
        <v>6.2016392078267657</v>
      </c>
      <c r="GU290" s="61">
        <f>IF(ISERROR((GT290/GR290-1)*100),"NA",IF(((GT290/GR290-1)*100)&gt;100,"NM",IF(((GT290/GR290-1)*100)&lt;-50,"NM",(GT290/GR290-1)*100)))</f>
        <v>1.8540075813960222</v>
      </c>
      <c r="GV290" s="200">
        <f>GV286/GV288*100</f>
        <v>6.2873509454723795</v>
      </c>
      <c r="GW290" s="61">
        <f>IF(ISERROR((GV290/GT290-1)*100),"NA",IF(((GV290/GT290-1)*100)&gt;100,"NM",IF(((GV290/GT290-1)*100)&lt;-50,"NM",(GV290/GT290-1)*100)))</f>
        <v>1.3820819749952751</v>
      </c>
      <c r="GX290" s="200">
        <f>GX286/GX288*100</f>
        <v>6.3741514138433413</v>
      </c>
      <c r="GY290" s="61">
        <f>IF(ISERROR((GX290/GV290-1)*100),"NA",IF(((GX290/GV290-1)*100)&gt;100,"NM",IF(((GX290/GV290-1)*100)&lt;-50,"NM",(GX290/GV290-1)*100)))</f>
        <v>1.3805570760046182</v>
      </c>
      <c r="GZ290" s="61">
        <f t="shared" si="1909"/>
        <v>-3.5489066796740576</v>
      </c>
      <c r="HA290" s="61"/>
      <c r="HB290" s="452"/>
      <c r="HC290"/>
      <c r="HD290"/>
      <c r="HE290"/>
      <c r="HF290"/>
      <c r="HG290"/>
      <c r="HH290"/>
    </row>
    <row r="291" spans="2:216" s="5" customFormat="1" ht="12.75" customHeight="1" x14ac:dyDescent="0.2">
      <c r="B291" s="92"/>
      <c r="C291" s="197"/>
      <c r="D291" s="198"/>
      <c r="E291" s="197"/>
      <c r="F291" s="197"/>
      <c r="G291" s="199"/>
      <c r="H291" s="197"/>
      <c r="I291" s="199"/>
      <c r="J291" s="197"/>
      <c r="K291" s="199"/>
      <c r="L291" s="193"/>
      <c r="M291" s="197"/>
      <c r="N291" s="193"/>
      <c r="O291" s="199"/>
      <c r="P291" s="193"/>
      <c r="Q291" s="199"/>
      <c r="R291" s="193"/>
      <c r="S291" s="199"/>
      <c r="T291" s="193"/>
      <c r="U291" s="199"/>
      <c r="V291" s="193"/>
      <c r="W291" s="199"/>
      <c r="X291" s="193"/>
      <c r="Y291" s="199"/>
      <c r="Z291" s="193"/>
      <c r="AA291" s="201"/>
      <c r="AB291" s="193"/>
      <c r="AC291" s="201"/>
      <c r="AD291" s="193"/>
      <c r="AE291" s="201"/>
      <c r="AF291" s="193"/>
      <c r="AG291" s="201"/>
      <c r="AH291" s="193"/>
      <c r="AI291" s="201"/>
      <c r="AJ291" s="193"/>
      <c r="AK291" s="201"/>
      <c r="AL291" s="193"/>
      <c r="AM291" s="201"/>
      <c r="AN291" s="193"/>
      <c r="AO291" s="201"/>
      <c r="AP291" s="193"/>
      <c r="AQ291" s="201"/>
      <c r="AR291" s="193"/>
      <c r="AS291" s="201"/>
      <c r="AT291" s="193"/>
      <c r="AU291" s="201"/>
      <c r="AV291" s="13"/>
      <c r="AW291" s="201"/>
      <c r="AX291" s="187"/>
      <c r="AY291" s="201"/>
      <c r="AZ291" s="187"/>
      <c r="BA291" s="201"/>
      <c r="BB291" s="187"/>
      <c r="BC291" s="201"/>
      <c r="BD291" s="187"/>
      <c r="BE291" s="201"/>
      <c r="BF291" s="187"/>
      <c r="BG291" s="201"/>
      <c r="BH291" s="187"/>
      <c r="BI291" s="201"/>
      <c r="BJ291" s="187"/>
      <c r="BK291" s="201"/>
      <c r="BL291" s="187"/>
      <c r="BM291" s="201"/>
      <c r="BN291" s="187"/>
      <c r="BO291" s="201"/>
      <c r="BP291" s="187"/>
      <c r="BQ291" s="201"/>
      <c r="BR291" s="187"/>
      <c r="BS291" s="201"/>
      <c r="BT291" s="187"/>
      <c r="BU291" s="201"/>
      <c r="BV291" s="187"/>
      <c r="BW291" s="64"/>
      <c r="BX291" s="187"/>
      <c r="BY291" s="64"/>
      <c r="BZ291" s="187"/>
      <c r="CA291" s="64"/>
      <c r="CB291" s="187"/>
      <c r="CC291" s="64"/>
      <c r="CD291" s="187"/>
      <c r="CE291" s="64"/>
      <c r="CF291" s="187"/>
      <c r="CG291" s="64"/>
      <c r="CH291" s="187"/>
      <c r="CI291" s="64"/>
      <c r="CJ291" s="187"/>
      <c r="CK291" s="64"/>
      <c r="CL291" s="187"/>
      <c r="CM291" s="64"/>
      <c r="CN291" s="187"/>
      <c r="CO291" s="64"/>
      <c r="CP291" s="187"/>
      <c r="CQ291" s="64"/>
      <c r="CR291" s="187"/>
      <c r="CS291" s="64"/>
      <c r="CT291" s="187"/>
      <c r="CU291" s="64"/>
      <c r="CV291" s="187"/>
      <c r="CW291" s="64"/>
      <c r="CX291" s="187"/>
      <c r="CY291" s="64"/>
      <c r="CZ291" s="187"/>
      <c r="DA291" s="64"/>
      <c r="DB291" s="187"/>
      <c r="DC291" s="64"/>
      <c r="DD291" s="187"/>
      <c r="DE291" s="64"/>
      <c r="DF291" s="187"/>
      <c r="DG291" s="64"/>
      <c r="DH291" s="187"/>
      <c r="DI291" s="64"/>
      <c r="DJ291" s="187"/>
      <c r="DK291" s="64"/>
      <c r="DL291" s="187"/>
      <c r="DM291" s="64"/>
      <c r="DN291" s="187"/>
      <c r="DO291" s="64"/>
      <c r="DP291" s="187"/>
      <c r="DQ291" s="64"/>
      <c r="DR291" s="187"/>
      <c r="DS291" s="64"/>
      <c r="DT291" s="187"/>
      <c r="DU291" s="64"/>
      <c r="DV291" s="187"/>
      <c r="DW291" s="64"/>
      <c r="DX291" s="64"/>
      <c r="DY291" s="64"/>
      <c r="DZ291" s="187"/>
      <c r="EA291" s="64"/>
      <c r="EB291" s="187"/>
      <c r="EC291" s="64"/>
      <c r="ED291" s="187"/>
      <c r="EE291" s="64"/>
      <c r="EF291" s="187"/>
      <c r="EG291" s="64"/>
      <c r="EH291" s="187"/>
      <c r="EI291" s="64"/>
      <c r="EJ291" s="187"/>
      <c r="EK291" s="64"/>
      <c r="EL291" s="187"/>
      <c r="EM291" s="64"/>
      <c r="EN291" s="187"/>
      <c r="EO291" s="64"/>
      <c r="EP291" s="187"/>
      <c r="EQ291" s="64"/>
      <c r="ER291" s="187"/>
      <c r="ES291" s="64"/>
      <c r="ET291" s="187"/>
      <c r="EU291" s="64"/>
      <c r="EV291" s="187"/>
      <c r="EW291" s="64"/>
      <c r="EX291" s="187"/>
      <c r="EY291" s="64"/>
      <c r="EZ291" s="558"/>
      <c r="FA291" s="64"/>
      <c r="FB291" s="197"/>
      <c r="FC291" s="197"/>
      <c r="FD291" s="197"/>
      <c r="FE291" s="198"/>
      <c r="FF291" s="197"/>
      <c r="FG291" s="198"/>
      <c r="FH291" s="197"/>
      <c r="FI291" s="198"/>
      <c r="FJ291" s="197"/>
      <c r="FK291" s="198"/>
      <c r="FL291" s="197"/>
      <c r="FM291" s="193"/>
      <c r="FN291" s="197"/>
      <c r="FO291" s="193"/>
      <c r="FP291" s="65"/>
      <c r="FQ291" s="187"/>
      <c r="FR291" s="65"/>
      <c r="FS291" s="61"/>
      <c r="FT291" s="65"/>
      <c r="FU291" s="61"/>
      <c r="FV291" s="65"/>
      <c r="FW291" s="61"/>
      <c r="FX291" s="65"/>
      <c r="FY291" s="61"/>
      <c r="FZ291" s="65"/>
      <c r="GA291" s="61"/>
      <c r="GB291" s="65"/>
      <c r="GC291" s="61"/>
      <c r="GD291" s="65"/>
      <c r="GE291" s="61"/>
      <c r="GF291" s="65"/>
      <c r="GG291" s="61"/>
      <c r="GH291" s="65"/>
      <c r="GI291" s="61"/>
      <c r="GJ291" s="65"/>
      <c r="GK291" s="61"/>
      <c r="GL291" s="65"/>
      <c r="GM291" s="61"/>
      <c r="GN291" s="65"/>
      <c r="GO291" s="61"/>
      <c r="GP291" s="65"/>
      <c r="GQ291" s="61"/>
      <c r="GR291" s="64"/>
      <c r="GS291" s="61"/>
      <c r="GT291" s="64"/>
      <c r="GU291" s="61"/>
      <c r="GV291" s="64"/>
      <c r="GW291" s="61"/>
      <c r="GX291" s="64"/>
      <c r="GY291" s="61"/>
      <c r="GZ291" s="61" t="str">
        <f t="shared" si="1909"/>
        <v/>
      </c>
      <c r="HA291" s="61"/>
      <c r="HB291" s="452"/>
      <c r="HC291"/>
      <c r="HD291"/>
      <c r="HE291"/>
      <c r="HF291"/>
      <c r="HG291"/>
      <c r="HH291"/>
    </row>
    <row r="292" spans="2:216" s="5" customFormat="1" ht="12.75" customHeight="1" x14ac:dyDescent="0.2">
      <c r="B292" s="63" t="s">
        <v>497</v>
      </c>
      <c r="C292" s="197"/>
      <c r="D292" s="198"/>
      <c r="E292" s="197"/>
      <c r="F292" s="197"/>
      <c r="G292" s="199"/>
      <c r="H292" s="197"/>
      <c r="I292" s="199"/>
      <c r="J292" s="197"/>
      <c r="K292" s="199"/>
      <c r="L292" s="193"/>
      <c r="M292" s="199"/>
      <c r="N292" s="193"/>
      <c r="O292" s="199"/>
      <c r="P292" s="193"/>
      <c r="Q292" s="199"/>
      <c r="R292" s="193"/>
      <c r="S292" s="199"/>
      <c r="T292" s="193"/>
      <c r="U292" s="199"/>
      <c r="V292" s="193"/>
      <c r="W292" s="199"/>
      <c r="X292" s="193"/>
      <c r="Y292" s="199"/>
      <c r="Z292" s="205"/>
      <c r="AA292" s="199"/>
      <c r="AB292" s="193"/>
      <c r="AC292" s="199"/>
      <c r="AD292" s="193"/>
      <c r="AE292" s="199"/>
      <c r="AF292" s="193"/>
      <c r="AG292" s="199"/>
      <c r="AH292" s="193"/>
      <c r="AI292" s="199"/>
      <c r="AJ292" s="193"/>
      <c r="AK292" s="199"/>
      <c r="AL292" s="193"/>
      <c r="AM292" s="199"/>
      <c r="AN292" s="193"/>
      <c r="AO292" s="199"/>
      <c r="AP292" s="193"/>
      <c r="AQ292" s="199"/>
      <c r="AR292" s="193"/>
      <c r="AS292" s="199"/>
      <c r="AT292" s="193"/>
      <c r="AU292" s="199"/>
      <c r="AV292" s="13"/>
      <c r="AW292" s="199"/>
      <c r="AX292" s="187"/>
      <c r="AY292" s="199"/>
      <c r="AZ292" s="187"/>
      <c r="BA292" s="199"/>
      <c r="BB292" s="187"/>
      <c r="BC292" s="199"/>
      <c r="BD292" s="187"/>
      <c r="BE292" s="199"/>
      <c r="BF292" s="187"/>
      <c r="BG292" s="199"/>
      <c r="BH292" s="187"/>
      <c r="BI292" s="199"/>
      <c r="BJ292" s="187"/>
      <c r="BK292" s="199"/>
      <c r="BL292" s="187"/>
      <c r="BM292" s="199"/>
      <c r="BN292" s="187"/>
      <c r="BO292" s="199"/>
      <c r="BP292" s="187"/>
      <c r="BQ292" s="199"/>
      <c r="BR292" s="187"/>
      <c r="BS292" s="199"/>
      <c r="BT292" s="187"/>
      <c r="BU292" s="199"/>
      <c r="BV292" s="187"/>
      <c r="BW292" s="158"/>
      <c r="BX292" s="187"/>
      <c r="BY292" s="158"/>
      <c r="BZ292" s="187"/>
      <c r="CA292" s="74"/>
      <c r="CB292" s="187"/>
      <c r="CC292" s="74"/>
      <c r="CD292" s="187"/>
      <c r="CE292" s="74"/>
      <c r="CF292" s="187"/>
      <c r="CG292" s="74"/>
      <c r="CH292" s="187"/>
      <c r="CI292" s="74"/>
      <c r="CJ292" s="187"/>
      <c r="CK292" s="74"/>
      <c r="CL292" s="187"/>
      <c r="CM292" s="74"/>
      <c r="CN292" s="187"/>
      <c r="CO292" s="74"/>
      <c r="CP292" s="187"/>
      <c r="CQ292" s="74"/>
      <c r="CR292" s="187"/>
      <c r="CS292" s="74"/>
      <c r="CT292" s="187"/>
      <c r="CU292" s="74"/>
      <c r="CV292" s="187"/>
      <c r="CW292" s="74"/>
      <c r="CX292" s="187"/>
      <c r="CY292" s="74"/>
      <c r="CZ292" s="187"/>
      <c r="DA292" s="74"/>
      <c r="DB292" s="187"/>
      <c r="DC292" s="74"/>
      <c r="DD292" s="187"/>
      <c r="DE292" s="74"/>
      <c r="DF292" s="187"/>
      <c r="DG292" s="74"/>
      <c r="DH292" s="187"/>
      <c r="DI292" s="74"/>
      <c r="DJ292" s="187"/>
      <c r="DK292" s="74"/>
      <c r="DL292" s="187"/>
      <c r="DM292" s="74"/>
      <c r="DN292" s="187"/>
      <c r="DO292" s="74"/>
      <c r="DP292" s="187"/>
      <c r="DQ292" s="74"/>
      <c r="DR292" s="187"/>
      <c r="DS292" s="74"/>
      <c r="DT292" s="187"/>
      <c r="DU292" s="74"/>
      <c r="DV292" s="187"/>
      <c r="DW292" s="74"/>
      <c r="DX292" s="74"/>
      <c r="DY292" s="74"/>
      <c r="DZ292" s="187"/>
      <c r="EA292" s="74"/>
      <c r="EB292" s="187"/>
      <c r="EC292" s="74"/>
      <c r="ED292" s="187"/>
      <c r="EE292" s="74"/>
      <c r="EF292" s="187"/>
      <c r="EG292" s="74"/>
      <c r="EH292" s="187"/>
      <c r="EI292" s="74"/>
      <c r="EJ292" s="187"/>
      <c r="EK292" s="74"/>
      <c r="EL292" s="187"/>
      <c r="EM292" s="74"/>
      <c r="EN292" s="187"/>
      <c r="EO292" s="74"/>
      <c r="EP292" s="187"/>
      <c r="EQ292" s="158"/>
      <c r="ER292" s="187"/>
      <c r="ES292" s="158"/>
      <c r="ET292" s="187"/>
      <c r="EU292" s="158"/>
      <c r="EV292" s="187"/>
      <c r="EW292" s="158"/>
      <c r="EX292" s="187"/>
      <c r="EY292" s="64"/>
      <c r="EZ292" s="558"/>
      <c r="FA292" s="64"/>
      <c r="FB292" s="197"/>
      <c r="FC292" s="197"/>
      <c r="FD292" s="197"/>
      <c r="FE292" s="198"/>
      <c r="FF292" s="197"/>
      <c r="FG292" s="198"/>
      <c r="FH292" s="197"/>
      <c r="FI292" s="198"/>
      <c r="FJ292" s="197"/>
      <c r="FK292" s="198"/>
      <c r="FL292" s="197"/>
      <c r="FM292" s="193"/>
      <c r="FN292" s="197"/>
      <c r="FO292" s="193"/>
      <c r="FP292" s="165"/>
      <c r="FQ292" s="187"/>
      <c r="FR292" s="165"/>
      <c r="FS292" s="61"/>
      <c r="FT292" s="165"/>
      <c r="FU292" s="61"/>
      <c r="FV292" s="165"/>
      <c r="FW292" s="61"/>
      <c r="FX292" s="165"/>
      <c r="FY292" s="61"/>
      <c r="FZ292" s="165"/>
      <c r="GA292" s="61"/>
      <c r="GB292" s="165"/>
      <c r="GC292" s="61"/>
      <c r="GD292" s="165"/>
      <c r="GE292" s="61"/>
      <c r="GF292" s="165"/>
      <c r="GG292" s="61"/>
      <c r="GH292" s="165"/>
      <c r="GI292" s="61"/>
      <c r="GJ292" s="165"/>
      <c r="GK292" s="61"/>
      <c r="GL292" s="165"/>
      <c r="GM292" s="61"/>
      <c r="GN292" s="165"/>
      <c r="GO292" s="61"/>
      <c r="GP292" s="165"/>
      <c r="GQ292" s="61"/>
      <c r="GR292" s="158"/>
      <c r="GS292" s="61"/>
      <c r="GT292" s="158"/>
      <c r="GU292" s="61"/>
      <c r="GV292" s="158"/>
      <c r="GW292" s="61"/>
      <c r="GX292" s="158"/>
      <c r="GY292" s="61"/>
      <c r="GZ292" s="61" t="str">
        <f t="shared" si="1909"/>
        <v/>
      </c>
      <c r="HA292" s="61"/>
      <c r="HB292" s="452"/>
      <c r="HC292"/>
      <c r="HD292"/>
      <c r="HE292"/>
      <c r="HF292"/>
      <c r="HG292"/>
      <c r="HH292"/>
    </row>
    <row r="293" spans="2:216" s="5" customFormat="1" ht="12.75" customHeight="1" x14ac:dyDescent="0.2">
      <c r="B293" s="2" t="s">
        <v>349</v>
      </c>
      <c r="C293" s="189">
        <v>84.325999999999993</v>
      </c>
      <c r="D293" s="184"/>
      <c r="E293" s="189">
        <v>87.435000000000002</v>
      </c>
      <c r="F293" s="184"/>
      <c r="G293" s="202">
        <v>91.498999999999995</v>
      </c>
      <c r="H293" s="184"/>
      <c r="I293" s="202">
        <v>96.314999999999998</v>
      </c>
      <c r="J293" s="184"/>
      <c r="K293" s="202">
        <v>95.733999999999995</v>
      </c>
      <c r="L293" s="184">
        <f>IF(ISERROR((K293/C293-1)*100),"NA",IF(((K293/C293-1)*100)&gt;100,"NM",IF(((K293/C293-1)*100)&lt;-50,"NM",(K293/C293-1)*100)))</f>
        <v>13.528449114152231</v>
      </c>
      <c r="M293" s="189">
        <v>96.418000000000006</v>
      </c>
      <c r="N293" s="184">
        <f>IF(ISERROR((M293/E293-1)*100),"NA",IF(((M293/E293-1)*100)&gt;100,"NM",IF(((M293/E293-1)*100)&lt;-50,"NM",(M293/E293-1)*100)))</f>
        <v>10.273917767484431</v>
      </c>
      <c r="O293" s="189">
        <v>104.485</v>
      </c>
      <c r="P293" s="184">
        <f>IF(ISERROR((O293/G293-1)*100),"NA",IF(((O293/G293-1)*100)&gt;100,"NM",IF(((O293/G293-1)*100)&lt;-50,"NM",(O293/G293-1)*100)))</f>
        <v>14.192504836118424</v>
      </c>
      <c r="Q293" s="202">
        <v>107.06399999999999</v>
      </c>
      <c r="R293" s="184">
        <f>IF(ISERROR((Q293/I293-1)*100),"NA",IF(((Q293/I293-1)*100)&gt;100,"NM",IF(((Q293/I293-1)*100)&lt;-50,"NM",(Q293/I293-1)*100)))</f>
        <v>11.160255411929597</v>
      </c>
      <c r="S293" s="202">
        <v>109.227</v>
      </c>
      <c r="T293" s="184">
        <f>IF(ISERROR((S293/K293-1)*100),"NA",IF(((S293/K293-1)*100)&gt;100,"NM",IF(((S293/K293-1)*100)&lt;-50,"NM",(S293/K293-1)*100)))</f>
        <v>14.094261182025214</v>
      </c>
      <c r="U293" s="202">
        <v>120.84</v>
      </c>
      <c r="V293" s="184">
        <f>IF(ISERROR((U293/M293-1)*100),"NA",IF(((U293/M293-1)*100)&gt;100,"NM",IF(((U293/M293-1)*100)&lt;-50,"NM",(U293/M293-1)*100)))</f>
        <v>25.329295359787587</v>
      </c>
      <c r="W293" s="189">
        <v>128.726</v>
      </c>
      <c r="X293" s="184">
        <f>IF(ISERROR((W293/O293-1)*100),"NA",IF(((W293/O293-1)*100)&gt;100,"NM",IF(((W293/O293-1)*100)&lt;-50,"NM",(W293/O293-1)*100)))</f>
        <v>23.20045939608557</v>
      </c>
      <c r="Y293" s="202">
        <v>119.14</v>
      </c>
      <c r="Z293" s="184">
        <f>IF(ISERROR((Y293/Q293-1)*100),"NA",IF(((Y293/Q293-1)*100)&gt;100,"NM",IF(((Y293/Q293-1)*100)&lt;-50,"NM",(Y293/Q293-1)*100)))</f>
        <v>11.279234850183073</v>
      </c>
      <c r="AA293" s="202">
        <v>137.65799999999999</v>
      </c>
      <c r="AB293" s="184">
        <f>IF(ISERROR((AA293/S293-1)*100),"NA",IF(((AA293/S293-1)*100)&gt;100,"NM",IF(((AA293/S293-1)*100)&lt;-50,"NM",(AA293/S293-1)*100)))</f>
        <v>26.029278475102302</v>
      </c>
      <c r="AC293" s="202">
        <v>147.83099999999999</v>
      </c>
      <c r="AD293" s="184">
        <f>IF(ISERROR((AC293/U293-1)*100),"NA",IF(((AC293/U293-1)*100)&gt;100,"NM",IF(((AC293/U293-1)*100)&lt;-50,"NM",(AC293/U293-1)*100)))</f>
        <v>22.336146971201586</v>
      </c>
      <c r="AE293" s="189">
        <v>148.39699999999999</v>
      </c>
      <c r="AF293" s="184">
        <f>IF(ISERROR((AE293/W293-1)*100),"NA",IF(((AE293/W293-1)*100)&gt;100,"NM",IF(((AE293/W293-1)*100)&lt;-50,"NM",(AE293/W293-1)*100)))</f>
        <v>15.281295154048124</v>
      </c>
      <c r="AG293" s="202">
        <v>142.39699999999999</v>
      </c>
      <c r="AH293" s="184">
        <f>IF(ISERROR((AG293/Y293-1)*100),"NA",IF(((AG293/Y293-1)*100)&gt;100,"NM",IF(((AG293/Y293-1)*100)&lt;-50,"NM",(AG293/Y293-1)*100)))</f>
        <v>19.520731912036247</v>
      </c>
      <c r="AI293" s="202">
        <v>180.40100000000001</v>
      </c>
      <c r="AJ293" s="184">
        <f>IF(ISERROR((AI293/AA293-1)*100),"NA",IF(((AI293/AA293-1)*100)&gt;100,"NM",IF(((AI293/AA293-1)*100)&lt;-50,"NM",(AI293/AA293-1)*100)))</f>
        <v>31.050138749654966</v>
      </c>
      <c r="AK293" s="202">
        <v>232.72900000000001</v>
      </c>
      <c r="AL293" s="184">
        <f>IF(ISERROR((AK293/AC293-1)*100),"NA",IF(((AK293/AC293-1)*100)&gt;100,"NM",IF(((AK293/AC293-1)*100)&lt;-50,"NM",(AK293/AC293-1)*100)))</f>
        <v>57.429091327258838</v>
      </c>
      <c r="AM293" s="189">
        <v>212.00200000000001</v>
      </c>
      <c r="AN293" s="184">
        <f>IF(ISERROR((AM293/AE293-1)*100),"NA",IF(((AM293/AE293-1)*100)&gt;100,"NM",IF(((AM293/AE293-1)*100)&lt;-50,"NM",(AM293/AE293-1)*100)))</f>
        <v>42.861378599297836</v>
      </c>
      <c r="AO293" s="189">
        <v>215.596</v>
      </c>
      <c r="AP293" s="184">
        <f>IF(ISERROR((AO293/AG293-1)*100),"NA",IF(((AO293/AG293-1)*100)&gt;100,"NM",IF(((AO293/AG293-1)*100)&lt;-50,"NM",(AO293/AG293-1)*100)))</f>
        <v>51.404875102705837</v>
      </c>
      <c r="AQ293" s="189">
        <v>188.31700000000001</v>
      </c>
      <c r="AR293" s="184">
        <f>IF(ISERROR((AQ293/AI293-1)*100),"NA",IF(((AQ293/AI293-1)*100)&gt;100,"NM",IF(((AQ293/AI293-1)*100)&lt;-50,"NM",(AQ293/AI293-1)*100)))</f>
        <v>4.3880022838010957</v>
      </c>
      <c r="AS293" s="189">
        <v>231.148</v>
      </c>
      <c r="AT293" s="184">
        <f>IF(ISERROR((AS293/AK293-1)*100),"NA",IF(((AS293/AK293-1)*100)&gt;100,"NM",IF(((AS293/AK293-1)*100)&lt;-50,"NM",(AS293/AK293-1)*100)))</f>
        <v>-0.67933089559101267</v>
      </c>
      <c r="AU293" s="189">
        <v>218.18100000000001</v>
      </c>
      <c r="AV293" s="187">
        <f>IF(ISERROR((AU293/AM293-1)*100),"NA",IF(((AU293/AM293-1)*100)&gt;100,"NM",IF(((AU293/AM293-1)*100)&lt;-50,"NM",(AU293/AM293-1)*100)))</f>
        <v>2.9145951453288133</v>
      </c>
      <c r="AW293" s="189">
        <v>223.613</v>
      </c>
      <c r="AX293" s="187">
        <f>IF(ISERROR((AW293/AO293-1)*100),"NA",IF(((AW293/AO293-1)*100)&gt;100,"NM",IF(((AW293/AO293-1)*100)&lt;-50,"NM",(AW293/AO293-1)*100)))</f>
        <v>3.7185291007254317</v>
      </c>
      <c r="AY293" s="203"/>
      <c r="AZ293" s="187" t="str">
        <f>IF(ISERROR((AY293/AQ293-1)*100),"NA",IF(((AY293/AQ293-1)*100)&gt;100,"NM",IF(((AY293/AQ293-1)*100)&lt;-50,"NM",(AY293/AQ293-1)*100)))</f>
        <v>NM</v>
      </c>
      <c r="BA293" s="203">
        <v>226</v>
      </c>
      <c r="BB293" s="187">
        <f>IF(ISERROR((BA293/AS293-1)*100),"NA",IF(((BA293/AS293-1)*100)&gt;100,"NM",IF(((BA293/AS293-1)*100)&lt;-50,"NM",(BA293/AS293-1)*100)))</f>
        <v>-2.2271445134718904</v>
      </c>
      <c r="BC293" s="203">
        <v>213.3</v>
      </c>
      <c r="BD293" s="187">
        <f>IF(ISERROR((BC293/AU293-1)*100),"NA",IF(((BC293/AU293-1)*100)&gt;100,"NM",IF(((BC293/AU293-1)*100)&lt;-50,"NM",(BC293/AU293-1)*100)))</f>
        <v>-2.2371333892502121</v>
      </c>
      <c r="BE293" s="203">
        <v>224</v>
      </c>
      <c r="BF293" s="187">
        <f>IF(ISERROR((BE293/AW293-1)*100),"NA",IF(((BE293/AW293-1)*100)&gt;100,"NM",IF(((BE293/AW293-1)*100)&lt;-50,"NM",(BE293/AW293-1)*100)))</f>
        <v>0.17306686105011959</v>
      </c>
      <c r="BG293" s="204">
        <v>246.6</v>
      </c>
      <c r="BH293" s="187" t="str">
        <f>IF(ISERROR((BG293/AY293-1)*100),"NA",IF(((BG293/AY293-1)*100)&gt;100,"NM",IF(((BG293/AY293-1)*100)&lt;-50,"NM",(BG293/AY293-1)*100)))</f>
        <v>NA</v>
      </c>
      <c r="BI293" s="204">
        <v>265.7</v>
      </c>
      <c r="BJ293" s="187">
        <f>IF(ISERROR((BI293/BA293-1)*100),"NA",IF(((BI293/BA293-1)*100)&gt;100,"NM",IF(((BI293/BA293-1)*100)&lt;-50,"NM",(BI293/BA293-1)*100)))</f>
        <v>17.566371681415927</v>
      </c>
      <c r="BK293" s="204">
        <v>235</v>
      </c>
      <c r="BL293" s="187">
        <f>IF(ISERROR((BK293/BC293-1)*100),"NA",IF(((BK293/BC293-1)*100)&gt;100,"NM",IF(((BK293/BC293-1)*100)&lt;-50,"NM",(BK293/BC293-1)*100)))</f>
        <v>10.173464603844341</v>
      </c>
      <c r="BM293" s="188">
        <v>252.1</v>
      </c>
      <c r="BN293" s="187">
        <f>IF(ISERROR((BM293/BE293-1)*100),"NA",IF(((BM293/BE293-1)*100)&gt;100,"NM",IF(((BM293/BE293-1)*100)&lt;-50,"NM",(BM293/BE293-1)*100)))</f>
        <v>12.544642857142851</v>
      </c>
      <c r="BO293" s="188">
        <f>269.2+0.2</f>
        <v>269.39999999999998</v>
      </c>
      <c r="BP293" s="187">
        <f>IF(ISERROR((BO293/BG293-1)*100),"NA",IF(((BO293/BG293-1)*100)&gt;100,"NM",IF(((BO293/BG293-1)*100)&lt;-50,"NM",(BO293/BG293-1)*100)))</f>
        <v>9.2457420924574087</v>
      </c>
      <c r="BQ293" s="188">
        <f>285.7+0.2</f>
        <v>285.89999999999998</v>
      </c>
      <c r="BR293" s="187">
        <f>IF(ISERROR((BQ293/BI293-1)*100),"NA",IF(((BQ293/BI293-1)*100)&gt;100,"NM",IF(((BQ293/BI293-1)*100)&lt;-50,"NM",(BQ293/BI293-1)*100)))</f>
        <v>7.602559277380494</v>
      </c>
      <c r="BS293" s="188">
        <f>268.8+0.2</f>
        <v>269</v>
      </c>
      <c r="BT293" s="187">
        <f>IF(ISERROR((BS293/BK293-1)*100),"NA",IF(((BS293/BK293-1)*100)&gt;100,"NM",IF(((BS293/BK293-1)*100)&lt;-50,"NM",(BS293/BK293-1)*100)))</f>
        <v>14.468085106382977</v>
      </c>
      <c r="BU293" s="188">
        <f>283.1+0.6</f>
        <v>283.70000000000005</v>
      </c>
      <c r="BV293" s="187">
        <f>IF(ISERROR((BU293/BM293-1)*100),"NA",IF(((BU293/BM293-1)*100)&gt;100,"NM",IF(((BU293/BM293-1)*100)&lt;-50,"NM",(BU293/BM293-1)*100)))</f>
        <v>12.534708449028177</v>
      </c>
      <c r="BW293" s="188">
        <v>282</v>
      </c>
      <c r="BX293" s="187">
        <f>IF(ISERROR((BW293/BO293-1)*100),"NA",IF(((BW293/BO293-1)*100)&gt;100,"NM",IF(((BW293/BO293-1)*100)&lt;-50,"NM",(BW293/BO293-1)*100)))</f>
        <v>4.6770601336302953</v>
      </c>
      <c r="BY293" s="188">
        <v>292.7</v>
      </c>
      <c r="BZ293" s="187">
        <f>IF(ISERROR((BY293/BQ293-1)*100),"NA",IF(((BY293/BQ293-1)*100)&gt;100,"NM",IF(((BY293/BQ293-1)*100)&lt;-50,"NM",(BY293/BQ293-1)*100)))</f>
        <v>2.3784540048968239</v>
      </c>
      <c r="CA293" s="188">
        <v>261.60000000000002</v>
      </c>
      <c r="CB293" s="187">
        <f>IF(ISERROR((CA293/BS293-1)*100),"NA",IF(((CA293/BS293-1)*100)&gt;100,"NM",IF(((CA293/BS293-1)*100)&lt;-50,"NM",(CA293/BS293-1)*100)))</f>
        <v>-2.7509293680297309</v>
      </c>
      <c r="CC293" s="188">
        <v>281.10000000000002</v>
      </c>
      <c r="CD293" s="187">
        <f>IF(ISERROR((CC293/BU293-1)*100),"NA",IF(((CC293/BU293-1)*100)&gt;100,"NM",IF(((CC293/BU293-1)*100)&lt;-50,"NM",(CC293/BU293-1)*100)))</f>
        <v>-0.91646105040537051</v>
      </c>
      <c r="CE293" s="188">
        <v>310.7</v>
      </c>
      <c r="CF293" s="187">
        <f>IF(ISERROR((CE293/BW293-1)*100),"NA",IF(((CE293/BW293-1)*100)&gt;100,"NM",IF(((CE293/BW293-1)*100)&lt;-50,"NM",(CE293/BW293-1)*100)))</f>
        <v>10.177304964539013</v>
      </c>
      <c r="CG293" s="188">
        <v>334.2</v>
      </c>
      <c r="CH293" s="187">
        <f>IF(ISERROR((CG293/BY293-1)*100),"NA",IF(((CG293/BY293-1)*100)&gt;100,"NM",IF(((CG293/BY293-1)*100)&lt;-50,"NM",(CG293/BY293-1)*100)))</f>
        <v>14.178339596856858</v>
      </c>
      <c r="CI293" s="188">
        <v>330.4</v>
      </c>
      <c r="CJ293" s="187">
        <f>IF(ISERROR((CI293/CA293-1)*100),"NA",IF(((CI293/CA293-1)*100)&gt;100,"NM",IF(((CI293/CA293-1)*100)&lt;-50,"NM",(CI293/CA293-1)*100)))</f>
        <v>26.29969418960243</v>
      </c>
      <c r="CK293" s="188">
        <v>323.8</v>
      </c>
      <c r="CL293" s="187">
        <f>IF(ISERROR((CK293/CC293-1)*100),"NA",IF(((CK293/CC293-1)*100)&gt;100,"NM",IF(((CK293/CC293-1)*100)&lt;-50,"NM",(CK293/CC293-1)*100)))</f>
        <v>15.190323728210586</v>
      </c>
      <c r="CM293" s="188">
        <f>326.7+0.9</f>
        <v>327.59999999999997</v>
      </c>
      <c r="CN293" s="187">
        <f>IF(ISERROR((CM293/CE293-1)*100),"NA",IF(((CM293/CE293-1)*100)&gt;100,"NM",IF(((CM293/CE293-1)*100)&lt;-50,"NM",(CM293/CE293-1)*100)))</f>
        <v>5.4393305439330408</v>
      </c>
      <c r="CO293" s="188">
        <f>345.1+0.8</f>
        <v>345.90000000000003</v>
      </c>
      <c r="CP293" s="187">
        <f>IF(ISERROR((CO293/CG293-1)*100),"NA",IF(((CO293/CG293-1)*100)&gt;100,"NM",IF(((CO293/CG293-1)*100)&lt;-50,"NM",(CO293/CG293-1)*100)))</f>
        <v>3.5008976660682256</v>
      </c>
      <c r="CQ293" s="188">
        <f>319.3+0.8</f>
        <v>320.10000000000002</v>
      </c>
      <c r="CR293" s="187">
        <f>IF(ISERROR((CQ293/CI293-1)*100),"NA",IF(((CQ293/CI293-1)*100)&gt;100,"NM",IF(((CQ293/CI293-1)*100)&lt;-50,"NM",(CQ293/CI293-1)*100)))</f>
        <v>-3.1174334140435689</v>
      </c>
      <c r="CS293" s="188">
        <v>323</v>
      </c>
      <c r="CT293" s="187">
        <f>IF(ISERROR((CS293/CK293-1)*100),"NA",IF(((CS293/CK293-1)*100)&gt;100,"NM",IF(((CS293/CK293-1)*100)&lt;-50,"NM",(CS293/CK293-1)*100)))</f>
        <v>-0.24706609017912662</v>
      </c>
      <c r="CU293" s="188">
        <v>350</v>
      </c>
      <c r="CV293" s="187">
        <f>IF(ISERROR((CU293/CM293-1)*100),"NA",IF(((CU293/CM293-1)*100)&gt;100,"NM",IF(((CU293/CM293-1)*100)&lt;-50,"NM",(CU293/CM293-1)*100)))</f>
        <v>6.8376068376068577</v>
      </c>
      <c r="CW293" s="188">
        <v>368</v>
      </c>
      <c r="CX293" s="187">
        <f>IF(ISERROR((CW293/CO293-1)*100),"NA",IF(((CW293/CO293-1)*100)&gt;100,"NM",IF(((CW293/CO293-1)*100)&lt;-50,"NM",(CW293/CO293-1)*100)))</f>
        <v>6.389129806302396</v>
      </c>
      <c r="CY293" s="188">
        <v>360</v>
      </c>
      <c r="CZ293" s="187">
        <f>IF(ISERROR((CY293/CQ293-1)*100),"NA",IF(((CY293/CQ293-1)*100)&gt;100,"NM",IF(((CY293/CQ293-1)*100)&lt;-50,"NM",(CY293/CQ293-1)*100)))</f>
        <v>12.464854732895958</v>
      </c>
      <c r="DA293" s="188">
        <v>367</v>
      </c>
      <c r="DB293" s="187">
        <f>IF(ISERROR((DA293/CS293-1)*100),"NA",IF(((DA293/CS293-1)*100)&gt;100,"NM",IF(((DA293/CS293-1)*100)&lt;-50,"NM",(DA293/CS293-1)*100)))</f>
        <v>13.622291021671828</v>
      </c>
      <c r="DC293" s="188">
        <v>384</v>
      </c>
      <c r="DD293" s="187">
        <f>IF(ISERROR((DC293/CU293-1)*100),"NA",IF(((DC293/CU293-1)*100)&gt;100,"NM",IF(((DC293/CU293-1)*100)&lt;-50,"NM",(DC293/CU293-1)*100)))</f>
        <v>9.7142857142857189</v>
      </c>
      <c r="DE293" s="188">
        <v>397</v>
      </c>
      <c r="DF293" s="187">
        <f>IF(ISERROR((DE293/CW293-1)*100),"NA",IF(((DE293/CW293-1)*100)&gt;100,"NM",IF(((DE293/CW293-1)*100)&lt;-50,"NM",(DE293/CW293-1)*100)))</f>
        <v>7.8804347826086918</v>
      </c>
      <c r="DG293" s="188">
        <v>382</v>
      </c>
      <c r="DH293" s="187">
        <f>IF(ISERROR((DG293/CY293-1)*100),"NA",IF(((DG293/CY293-1)*100)&gt;100,"NM",IF(((DG293/CY293-1)*100)&lt;-50,"NM",(DG293/CY293-1)*100)))</f>
        <v>6.1111111111111116</v>
      </c>
      <c r="DI293" s="188">
        <v>396</v>
      </c>
      <c r="DJ293" s="187">
        <f>IF(ISERROR((DI293/DA293-1)*100),"NA",IF(((DI293/DA293-1)*100)&gt;100,"NM",IF(((DI293/DA293-1)*100)&lt;-50,"NM",(DI293/DA293-1)*100)))</f>
        <v>7.9019073569482234</v>
      </c>
      <c r="DK293" s="188">
        <v>423</v>
      </c>
      <c r="DL293" s="187">
        <f>IF(ISERROR((DK293/DC293-1)*100),"NA",IF(((DK293/DC293-1)*100)&gt;100,"NM",IF(((DK293/DC293-1)*100)&lt;-50,"NM",(DK293/DC293-1)*100)))</f>
        <v>10.15625</v>
      </c>
      <c r="DM293" s="188">
        <v>463</v>
      </c>
      <c r="DN293" s="130">
        <f t="shared" ref="DN293:DZ297" si="2058">IF(ISERROR((DM293/DE293-1)*100),"NA",IF(((DM293/DE293-1)*100)&gt;100,"NM",IF(((DM293/DE293-1)*100)&lt;-50,"NM",(DM293/DE293-1)*100)))</f>
        <v>16.624685138539053</v>
      </c>
      <c r="DO293" s="188">
        <v>428</v>
      </c>
      <c r="DP293" s="130">
        <f t="shared" si="2058"/>
        <v>12.041884816753923</v>
      </c>
      <c r="DQ293" s="188">
        <v>460</v>
      </c>
      <c r="DR293" s="130">
        <f t="shared" si="2058"/>
        <v>16.161616161616156</v>
      </c>
      <c r="DS293" s="188">
        <v>440</v>
      </c>
      <c r="DT293" s="130">
        <f t="shared" si="2058"/>
        <v>4.0189125295508221</v>
      </c>
      <c r="DU293" s="188">
        <v>421</v>
      </c>
      <c r="DV293" s="130">
        <f t="shared" si="2058"/>
        <v>-9.0712742980561529</v>
      </c>
      <c r="DW293" s="188">
        <v>386</v>
      </c>
      <c r="DX293" s="188">
        <v>386</v>
      </c>
      <c r="DY293" s="188">
        <v>387</v>
      </c>
      <c r="DZ293" s="130">
        <f t="shared" si="2058"/>
        <v>-15.869565217391301</v>
      </c>
      <c r="EA293" s="188">
        <v>340</v>
      </c>
      <c r="EB293" s="130">
        <f t="shared" ref="EB293:EB297" si="2059">IF(ISERROR((EA293/DS293-1)*100),"NA",IF(((EA293/DS293-1)*100)&gt;100,"NM",IF(((EA293/DS293-1)*100)&lt;-50,"NM",(EA293/DS293-1)*100)))</f>
        <v>-22.72727272727273</v>
      </c>
      <c r="EC293" s="188">
        <v>345</v>
      </c>
      <c r="ED293" s="130">
        <f t="shared" ref="ED293:ED297" si="2060">IF(ISERROR((EC293/DU293-1)*100),"NA",IF(((EC293/DU293-1)*100)&gt;100,"NM",IF(((EC293/DU293-1)*100)&lt;-50,"NM",(EC293/DU293-1)*100)))</f>
        <v>-18.052256532066512</v>
      </c>
      <c r="EE293" s="188">
        <v>291</v>
      </c>
      <c r="EF293" s="130">
        <f t="shared" ref="EF293:EF297" si="2061">IF(ISERROR((EE293/DW293-1)*100),"NA",IF(((EE293/DW293-1)*100)&gt;100,"NM",IF(((EE293/DW293-1)*100)&lt;-50,"NM",(EE293/DW293-1)*100)))</f>
        <v>-24.611398963730569</v>
      </c>
      <c r="EG293" s="188">
        <v>345</v>
      </c>
      <c r="EH293" s="130">
        <f t="shared" ref="EH293:EH297" si="2062">IF(ISERROR((EG293/DY293-1)*100),"NA",IF(((EG293/DY293-1)*100)&gt;100,"NM",IF(((EG293/DY293-1)*100)&lt;-50,"NM",(EG293/DY293-1)*100)))</f>
        <v>-10.852713178294572</v>
      </c>
      <c r="EI293" s="188">
        <v>351</v>
      </c>
      <c r="EJ293" s="130">
        <f t="shared" ref="EJ293:EJ297" si="2063">IF(ISERROR((EI293/EA293-1)*100),"NA",IF(((EI293/EA293-1)*100)&gt;100,"NM",IF(((EI293/EA293-1)*100)&lt;-50,"NM",(EI293/EA293-1)*100)))</f>
        <v>3.2352941176470695</v>
      </c>
      <c r="EK293" s="188">
        <v>326</v>
      </c>
      <c r="EL293" s="130">
        <f t="shared" ref="EL293:EL297" si="2064">IF(ISERROR((EK293/EC293-1)*100),"NA",IF(((EK293/EC293-1)*100)&gt;100,"NM",IF(((EK293/EC293-1)*100)&lt;-50,"NM",(EK293/EC293-1)*100)))</f>
        <v>-5.507246376811592</v>
      </c>
      <c r="EM293" s="188">
        <v>334</v>
      </c>
      <c r="EN293" s="130">
        <f t="shared" ref="EN293:EN297" si="2065">IF(ISERROR((EM293/EE293-1)*100),"NA",IF(((EM293/EE293-1)*100)&gt;100,"NM",IF(((EM293/EE293-1)*100)&lt;-50,"NM",(EM293/EE293-1)*100)))</f>
        <v>14.77663230240549</v>
      </c>
      <c r="EO293" s="188">
        <v>341</v>
      </c>
      <c r="EP293" s="130">
        <f t="shared" ref="EP293:EP297" si="2066">IF(ISERROR((EO293/EG293-1)*100),"NA",IF(((EO293/EG293-1)*100)&gt;100,"NM",IF(((EO293/EG293-1)*100)&lt;-50,"NM",(EO293/EG293-1)*100)))</f>
        <v>-1.1594202898550732</v>
      </c>
      <c r="EQ293" s="71">
        <f t="shared" ref="EQ293:EW293" si="2067">EQ301*EQ288/100</f>
        <v>354.06315000000001</v>
      </c>
      <c r="ER293" s="130">
        <f t="shared" ref="ER293:ER297" si="2068">IF(ISERROR((EQ293/EI293-1)*100),"NA",IF(((EQ293/EI293-1)*100)&gt;100,"NM",IF(((EQ293/EI293-1)*100)&lt;-50,"NM",(EQ293/EI293-1)*100)))</f>
        <v>0.87269230769231321</v>
      </c>
      <c r="ES293" s="71">
        <f t="shared" si="2067"/>
        <v>347.77870524999997</v>
      </c>
      <c r="ET293" s="130">
        <f t="shared" ref="ET293:ET297" si="2069">IF(ISERROR((ES293/EK293-1)*100),"NA",IF(((ES293/EK293-1)*100)&gt;100,"NM",IF(((ES293/EK293-1)*100)&lt;-50,"NM",(ES293/EK293-1)*100)))</f>
        <v>6.6805844325153352</v>
      </c>
      <c r="EU293" s="71">
        <f t="shared" si="2067"/>
        <v>622.09177452250003</v>
      </c>
      <c r="EV293" s="130">
        <f t="shared" ref="EV293:EV297" si="2070">IF(ISERROR((EU293/EM293-1)*100),"NA",IF(((EU293/EM293-1)*100)&gt;100,"NM",IF(((EU293/EM293-1)*100)&lt;-50,"NM",(EU293/EM293-1)*100)))</f>
        <v>86.25502231212576</v>
      </c>
      <c r="EW293" s="71">
        <f t="shared" si="2067"/>
        <v>631.06774134523732</v>
      </c>
      <c r="EX293" s="130">
        <f t="shared" ref="EX293:EX297" si="2071">IF(ISERROR((EW293/EO293-1)*100),"NA",IF(((EW293/EO293-1)*100)&gt;100,"NM",IF(((EW293/EO293-1)*100)&lt;-50,"NM",(EW293/EO293-1)*100)))</f>
        <v>85.063853766931771</v>
      </c>
      <c r="EY293" s="64"/>
      <c r="EZ293" s="558"/>
      <c r="FA293" s="64"/>
      <c r="FB293" s="189">
        <v>206.72499999999999</v>
      </c>
      <c r="FC293" s="184"/>
      <c r="FD293" s="189">
        <v>93.72</v>
      </c>
      <c r="FE293" s="184" t="str">
        <f>IF(ISERROR((FD293/FB293-1)*100),"NA",IF(((FD293/FB293-1)*100)&gt;100,"NM",IF(((FD293/FB293-1)*100)&lt;-50,"NM",(FD293/FB293-1)*100)))</f>
        <v>NM</v>
      </c>
      <c r="FF293" s="189">
        <f>C293+E293+G293+I293</f>
        <v>359.57499999999999</v>
      </c>
      <c r="FG293" s="184" t="str">
        <f>IF(ISERROR((FF293/FD293-1)*100),"NA",IF(((FF293/FD293-1)*100)&gt;100,"NM",IF(((FF293/FD293-1)*100)&lt;-50,"NM",(FF293/FD293-1)*100)))</f>
        <v>NM</v>
      </c>
      <c r="FH293" s="189">
        <f>K293+M293+O293+Q293</f>
        <v>403.70100000000002</v>
      </c>
      <c r="FI293" s="184">
        <f>IF(ISERROR((FH293/FF293-1)*100),"NA",IF(((FH293/FF293-1)*100)&gt;100,"NM",IF(((FH293/FF293-1)*100)&lt;-50,"NM",(FH293/FF293-1)*100)))</f>
        <v>12.271709657234254</v>
      </c>
      <c r="FJ293" s="189">
        <f>S293+U293+W293+Y293</f>
        <v>477.93299999999999</v>
      </c>
      <c r="FK293" s="184">
        <f>IF(ISERROR((FJ293/FH293-1)*100),"NA",IF(((FJ293/FH293-1)*100)&gt;100,"NM",IF(((FJ293/FH293-1)*100)&lt;-50,"NM",(FJ293/FH293-1)*100)))</f>
        <v>18.38786626736124</v>
      </c>
      <c r="FL293" s="189">
        <f>AA293+AC293+AE293+AG293</f>
        <v>576.2829999999999</v>
      </c>
      <c r="FM293" s="184">
        <f>IF(ISERROR((FL293/FJ293-1)*100),"NA",IF(((FL293/FJ293-1)*100)&gt;100,"NM",IF(((FL293/FJ293-1)*100)&lt;-50,"NM",(FL293/FJ293-1)*100)))</f>
        <v>20.578198199329179</v>
      </c>
      <c r="FN293" s="189">
        <f>AI293+AK293+AM293+AO293</f>
        <v>840.72800000000007</v>
      </c>
      <c r="FO293" s="184">
        <f>IF(ISERROR((FN293/FL293-1)*100),"NA",IF(((FN293/FL293-1)*100)&gt;100,"NM",IF(((FN293/FL293-1)*100)&lt;-50,"NM",(FN293/FL293-1)*100)))</f>
        <v>45.888044589203616</v>
      </c>
      <c r="FP293" s="65">
        <f>AQ293+AS293+AU293+AW293</f>
        <v>861.25900000000001</v>
      </c>
      <c r="FQ293" s="187">
        <f>IF(ISERROR((FP293/FN293-1)*100),"NA",IF(((FP293/FN293-1)*100)&gt;100,"NM",IF(((FP293/FN293-1)*100)&lt;-50,"NM",(FP293/FN293-1)*100)))</f>
        <v>2.4420502231399466</v>
      </c>
      <c r="FR293" s="65">
        <f>BA293+BC293+BE293</f>
        <v>663.3</v>
      </c>
      <c r="FS293" s="61">
        <f>IF(ISERROR((FR293/FP293-1)*100),"NA",IF(((FR293/FP293-1)*100)&gt;100,"NM",IF(((FR293/FP293-1)*100)&lt;-50,"NM",(FR293/FP293-1)*100)))</f>
        <v>-22.984839635928346</v>
      </c>
      <c r="FT293" s="65">
        <f>BG293+BI293+BK293+BM293</f>
        <v>999.4</v>
      </c>
      <c r="FU293" s="61">
        <f>IF(ISERROR((FT293/FR293-1)*100),"NA",IF(((FT293/FR293-1)*100)&gt;100,"NM",IF(((FT293/FR293-1)*100)&lt;-50,"NM",(FT293/FR293-1)*100)))</f>
        <v>50.670887984320821</v>
      </c>
      <c r="FV293" s="65">
        <f>BO293+BQ293+BS293+BU293</f>
        <v>1108</v>
      </c>
      <c r="FW293" s="61">
        <f>IF(ISERROR((FV293/FT293-1)*100),"NA",IF(((FV293/FT293-1)*100)&gt;100,"NM",IF(((FV293/FT293-1)*100)&lt;-50,"NM",(FV293/FT293-1)*100)))</f>
        <v>10.866519911947181</v>
      </c>
      <c r="FX293" s="75">
        <f>BW293+BY293+CA293+CC293</f>
        <v>1117.4000000000001</v>
      </c>
      <c r="FY293" s="61">
        <f>IF(ISERROR((FX293/FV293-1)*100),"NA",IF(((FX293/FV293-1)*100)&gt;100,"NM",IF(((FX293/FV293-1)*100)&lt;-50,"NM",(FX293/FV293-1)*100)))</f>
        <v>0.84837545126354996</v>
      </c>
      <c r="FZ293" s="75">
        <f>CE293+CG293+CI293+CK293</f>
        <v>1299.0999999999999</v>
      </c>
      <c r="GA293" s="61">
        <f>IF(ISERROR((FZ293/FX293-1)*100),"NA",IF(((FZ293/FX293-1)*100)&gt;100,"NM",IF(((FZ293/FX293-1)*100)&lt;-50,"NM",(FZ293/FX293-1)*100)))</f>
        <v>16.260962949704648</v>
      </c>
      <c r="GB293" s="75">
        <f>CM293+CO293+CQ293+CS293</f>
        <v>1316.6</v>
      </c>
      <c r="GC293" s="61">
        <f>IF(ISERROR((GB293/FZ293-1)*100),"NA",IF(((GB293/FZ293-1)*100)&gt;100,"NM",IF(((GB293/FZ293-1)*100)&lt;-50,"NM",(GB293/FZ293-1)*100)))</f>
        <v>1.3470864444615538</v>
      </c>
      <c r="GD293" s="75">
        <f>CU293+CW293+CY293+DA293</f>
        <v>1445</v>
      </c>
      <c r="GE293" s="61">
        <f>IF(ISERROR((GD293/GB293-1)*100),"NA",IF(((GD293/GB293-1)*100)&gt;100,"NM",IF(((GD293/GB293-1)*100)&lt;-50,"NM",(GD293/GB293-1)*100)))</f>
        <v>9.752392526203856</v>
      </c>
      <c r="GF293" s="75">
        <f>DC293+DE293+DG293+DI293</f>
        <v>1559</v>
      </c>
      <c r="GG293" s="61">
        <f>IF(ISERROR((GF293/GD293-1)*100),"NA",IF(((GF293/GD293-1)*100)&gt;100,"NM",IF(((GF293/GD293-1)*100)&lt;-50,"NM",(GF293/GD293-1)*100)))</f>
        <v>7.8892733564013939</v>
      </c>
      <c r="GH293" s="75">
        <f>DK293+DM293+DO293+DQ293</f>
        <v>1774</v>
      </c>
      <c r="GI293" s="61">
        <f>IF(ISERROR((GH293/GF293-1)*100),"NA",IF(((GH293/GF293-1)*100)&gt;100,"NM",IF(((GH293/GF293-1)*100)&lt;-50,"NM",(GH293/GF293-1)*100)))</f>
        <v>13.79089159717768</v>
      </c>
      <c r="GJ293" s="75">
        <f>DS293+DU293+DW293+DY293</f>
        <v>1634</v>
      </c>
      <c r="GK293" s="61">
        <f>IF(ISERROR((GJ293/GH293-1)*100),"NA",IF(((GJ293/GH293-1)*100)&gt;100,"NM",IF(((GJ293/GH293-1)*100)&lt;-50,"NM",(GJ293/GH293-1)*100)))</f>
        <v>-7.8917700112739571</v>
      </c>
      <c r="GL293" s="75">
        <f>EA293+EC293+EE293+EG293</f>
        <v>1321</v>
      </c>
      <c r="GM293" s="61">
        <f>IF(ISERROR((GL293/GJ293-1)*100),"NA",IF(((GL293/GJ293-1)*100)&gt;100,"NM",IF(((GL293/GJ293-1)*100)&lt;-50,"NM",(GL293/GJ293-1)*100)))</f>
        <v>-19.155446756425953</v>
      </c>
      <c r="GN293" s="75">
        <f>EI293+EK293+EM293+EO293</f>
        <v>1352</v>
      </c>
      <c r="GO293" s="61">
        <f>IF(ISERROR((GN293/GL293-1)*100),"NA",IF(((GN293/GL293-1)*100)&gt;100,"NM",IF(((GN293/GL293-1)*100)&lt;-50,"NM",(GN293/GL293-1)*100)))</f>
        <v>2.346707040121121</v>
      </c>
      <c r="GP293" s="75">
        <f>EQ293+ES293+EU293+EW293</f>
        <v>1955.0013711177371</v>
      </c>
      <c r="GQ293" s="61">
        <f>IF(ISERROR((GP293/GN293-1)*100),"NA",IF(((GP293/GN293-1)*100)&gt;100,"NM",IF(((GP293/GN293-1)*100)&lt;-50,"NM",(GP293/GN293-1)*100)))</f>
        <v>44.600693130010136</v>
      </c>
      <c r="GR293" s="71">
        <f>GR288*(GR301/100)</f>
        <v>2552.2859808725607</v>
      </c>
      <c r="GS293" s="61">
        <f>IF(ISERROR((GR293/GP293-1)*100),"NA",IF(((GR293/GP293-1)*100)&gt;100,"NM",IF(((GR293/GP293-1)*100)&lt;-50,"NM",(GR293/GP293-1)*100)))</f>
        <v>30.55162101565876</v>
      </c>
      <c r="GT293" s="71">
        <f>GT288*(GT301/100)</f>
        <v>2551.8613212887617</v>
      </c>
      <c r="GU293" s="61">
        <f>IF(ISERROR((GT293/GR293-1)*100),"NA",IF(((GT293/GR293-1)*100)&gt;100,"NM",IF(((GT293/GR293-1)*100)&lt;-50,"NM",(GT293/GR293-1)*100)))</f>
        <v>-1.6638401299129413E-2</v>
      </c>
      <c r="GV293" s="71">
        <f>GV288*(GV301/100)</f>
        <v>2567.4147709419822</v>
      </c>
      <c r="GW293" s="61">
        <f>IF(ISERROR((GV293/GT293-1)*100),"NA",IF(((GV293/GT293-1)*100)&gt;100,"NM",IF(((GV293/GT293-1)*100)&lt;-50,"NM",(GV293/GT293-1)*100)))</f>
        <v>0.60949431395298515</v>
      </c>
      <c r="GX293" s="71">
        <f>GX288*(GX301/100)</f>
        <v>2583.1018707044041</v>
      </c>
      <c r="GY293" s="61">
        <f>IF(ISERROR((GX293/GV293-1)*100),"NA",IF(((GX293/GV293-1)*100)&gt;100,"NM",IF(((GX293/GV293-1)*100)&lt;-50,"NM",(GX293/GV293-1)*100)))</f>
        <v>0.61100761512975499</v>
      </c>
      <c r="GZ293" s="61">
        <f t="shared" si="1909"/>
        <v>13.823770661612777</v>
      </c>
      <c r="HA293" s="61"/>
      <c r="HB293" s="452"/>
      <c r="HC293"/>
      <c r="HD293"/>
      <c r="HE293"/>
      <c r="HF293"/>
      <c r="HG293"/>
      <c r="HH293"/>
    </row>
    <row r="294" spans="2:216" s="5" customFormat="1" ht="12.75" customHeight="1" x14ac:dyDescent="0.2">
      <c r="B294" s="2" t="s">
        <v>489</v>
      </c>
      <c r="C294" s="192"/>
      <c r="D294" s="205"/>
      <c r="E294" s="192"/>
      <c r="F294" s="199"/>
      <c r="G294" s="192"/>
      <c r="H294" s="199"/>
      <c r="I294" s="192"/>
      <c r="J294" s="193"/>
      <c r="K294" s="192"/>
      <c r="L294" s="193"/>
      <c r="M294" s="192"/>
      <c r="N294" s="193"/>
      <c r="O294" s="192"/>
      <c r="P294" s="193"/>
      <c r="Q294" s="192"/>
      <c r="R294" s="193"/>
      <c r="S294" s="192"/>
      <c r="T294" s="193"/>
      <c r="U294" s="192"/>
      <c r="V294" s="193"/>
      <c r="W294" s="192"/>
      <c r="X294" s="193"/>
      <c r="Y294" s="192"/>
      <c r="Z294" s="193"/>
      <c r="AA294" s="192"/>
      <c r="AB294" s="193"/>
      <c r="AC294" s="192"/>
      <c r="AD294" s="193"/>
      <c r="AE294" s="192"/>
      <c r="AF294" s="193"/>
      <c r="AG294" s="192"/>
      <c r="AH294" s="193"/>
      <c r="AI294" s="192"/>
      <c r="AJ294" s="193"/>
      <c r="AK294" s="192"/>
      <c r="AL294" s="193"/>
      <c r="AM294" s="192"/>
      <c r="AN294" s="193"/>
      <c r="AO294" s="192"/>
      <c r="AP294" s="193"/>
      <c r="AQ294" s="192"/>
      <c r="AR294" s="193"/>
      <c r="AS294" s="192"/>
      <c r="AT294" s="193"/>
      <c r="AU294" s="192"/>
      <c r="AV294" s="187" t="str">
        <f>IF(ISERROR((AU294/AM294-1)*100),"NA",IF(((AU294/AM294-1)*100)&gt;100,"NM",IF(((AU294/AM294-1)*100)&lt;-50,"NM",(AU294/AM294-1)*100)))</f>
        <v>NA</v>
      </c>
      <c r="AW294" s="192"/>
      <c r="AX294" s="187" t="str">
        <f>IF(ISERROR((AW294/AO294-1)*100),"NA",IF(((AW294/AO294-1)*100)&gt;100,"NM",IF(((AW294/AO294-1)*100)&lt;-50,"NM",(AW294/AO294-1)*100)))</f>
        <v>NA</v>
      </c>
      <c r="AY294" s="192"/>
      <c r="AZ294" s="187" t="str">
        <f>IF(ISERROR((AY294/AQ294-1)*100),"NA",IF(((AY294/AQ294-1)*100)&gt;100,"NM",IF(((AY294/AQ294-1)*100)&lt;-50,"NM",(AY294/AQ294-1)*100)))</f>
        <v>NA</v>
      </c>
      <c r="BA294" s="192">
        <f>BA296-BA295</f>
        <v>77.2</v>
      </c>
      <c r="BB294" s="187" t="str">
        <f>IF(ISERROR((BA294/AS294-1)*100),"NA",IF(((BA294/AS294-1)*100)&gt;100,"NM",IF(((BA294/AS294-1)*100)&lt;-50,"NM",(BA294/AS294-1)*100)))</f>
        <v>NA</v>
      </c>
      <c r="BC294" s="192">
        <f>BC296-BC295</f>
        <v>79.3</v>
      </c>
      <c r="BD294" s="187" t="str">
        <f>IF(ISERROR((BC294/AU294-1)*100),"NA",IF(((BC294/AU294-1)*100)&gt;100,"NM",IF(((BC294/AU294-1)*100)&lt;-50,"NM",(BC294/AU294-1)*100)))</f>
        <v>NA</v>
      </c>
      <c r="BE294" s="192">
        <f>BE296-BE295</f>
        <v>81.199999999999989</v>
      </c>
      <c r="BF294" s="187" t="str">
        <f>IF(ISERROR((BE294/AW294-1)*100),"NA",IF(((BE294/AW294-1)*100)&gt;100,"NM",IF(((BE294/AW294-1)*100)&lt;-50,"NM",(BE294/AW294-1)*100)))</f>
        <v>NA</v>
      </c>
      <c r="BG294" s="73">
        <f>BG296-BG295</f>
        <v>81.899999999999991</v>
      </c>
      <c r="BH294" s="187" t="str">
        <f>IF(ISERROR((BG294/AY294-1)*100),"NA",IF(((BG294/AY294-1)*100)&gt;100,"NM",IF(((BG294/AY294-1)*100)&lt;-50,"NM",(BG294/AY294-1)*100)))</f>
        <v>NA</v>
      </c>
      <c r="BI294" s="73">
        <f>BI296-BI295</f>
        <v>88.4</v>
      </c>
      <c r="BJ294" s="187">
        <f>IF(ISERROR((BI294/BA294-1)*100),"NA",IF(((BI294/BA294-1)*100)&gt;100,"NM",IF(((BI294/BA294-1)*100)&lt;-50,"NM",(BI294/BA294-1)*100)))</f>
        <v>14.507772020725396</v>
      </c>
      <c r="BK294" s="73">
        <f>BK296-BK295</f>
        <v>86.300000000000011</v>
      </c>
      <c r="BL294" s="187">
        <f>IF(ISERROR((BK294/BC294-1)*100),"NA",IF(((BK294/BC294-1)*100)&gt;100,"NM",IF(((BK294/BC294-1)*100)&lt;-50,"NM",(BK294/BC294-1)*100)))</f>
        <v>8.8272383354350836</v>
      </c>
      <c r="BM294" s="73">
        <f>BM296-BM295</f>
        <v>78.099999999999994</v>
      </c>
      <c r="BN294" s="187">
        <f>IF(ISERROR((BM294/BE294-1)*100),"NA",IF(((BM294/BE294-1)*100)&gt;100,"NM",IF(((BM294/BE294-1)*100)&lt;-50,"NM",(BM294/BE294-1)*100)))</f>
        <v>-3.8177339901477758</v>
      </c>
      <c r="BO294" s="73">
        <f>BO296-BO295</f>
        <v>83.899999999999991</v>
      </c>
      <c r="BP294" s="187">
        <f>IF(ISERROR((BO294/BG294-1)*100),"NA",IF(((BO294/BG294-1)*100)&gt;100,"NM",IF(((BO294/BG294-1)*100)&lt;-50,"NM",(BO294/BG294-1)*100)))</f>
        <v>2.4420024420024333</v>
      </c>
      <c r="BQ294" s="73">
        <f>BQ296-BQ295</f>
        <v>85.1</v>
      </c>
      <c r="BR294" s="187">
        <f>IF(ISERROR((BQ294/BI294-1)*100),"NA",IF(((BQ294/BI294-1)*100)&gt;100,"NM",IF(((BQ294/BI294-1)*100)&lt;-50,"NM",(BQ294/BI294-1)*100)))</f>
        <v>-3.7330316742081537</v>
      </c>
      <c r="BS294" s="73">
        <f>BS296-BS295</f>
        <v>87.899999999999991</v>
      </c>
      <c r="BT294" s="187">
        <f>IF(ISERROR((BS294/BK294-1)*100),"NA",IF(((BS294/BK294-1)*100)&gt;100,"NM",IF(((BS294/BK294-1)*100)&lt;-50,"NM",(BS294/BK294-1)*100)))</f>
        <v>1.8539976825028726</v>
      </c>
      <c r="BU294" s="73">
        <f>BU296-BU295</f>
        <v>109.2</v>
      </c>
      <c r="BV294" s="187">
        <f>IF(ISERROR((BU294/BM294-1)*100),"NA",IF(((BU294/BM294-1)*100)&gt;100,"NM",IF(((BU294/BM294-1)*100)&lt;-50,"NM",(BU294/BM294-1)*100)))</f>
        <v>39.820742637644059</v>
      </c>
      <c r="BW294" s="73">
        <f>BW296-BW295</f>
        <v>102.69999999999999</v>
      </c>
      <c r="BX294" s="187">
        <f>IF(ISERROR((BW294/BO294-1)*100),"NA",IF(((BW294/BO294-1)*100)&gt;100,"NM",IF(((BW294/BO294-1)*100)&lt;-50,"NM",(BW294/BO294-1)*100)))</f>
        <v>22.407628128724678</v>
      </c>
      <c r="BY294" s="73">
        <f>BY296-BY295</f>
        <v>99.6</v>
      </c>
      <c r="BZ294" s="187">
        <f>IF(ISERROR((BY294/BQ294-1)*100),"NA",IF(((BY294/BQ294-1)*100)&gt;100,"NM",IF(((BY294/BQ294-1)*100)&lt;-50,"NM",(BY294/BQ294-1)*100)))</f>
        <v>17.038777908343118</v>
      </c>
      <c r="CA294" s="73">
        <f>CA296-CA295</f>
        <v>101.2</v>
      </c>
      <c r="CB294" s="187">
        <f>IF(ISERROR((CA294/BS294-1)*100),"NA",IF(((CA294/BS294-1)*100)&gt;100,"NM",IF(((CA294/BS294-1)*100)&lt;-50,"NM",(CA294/BS294-1)*100)))</f>
        <v>15.130830489192281</v>
      </c>
      <c r="CC294" s="73">
        <f>CC296-CC295</f>
        <v>114.30000000000001</v>
      </c>
      <c r="CD294" s="187">
        <f>IF(ISERROR((CC294/BU294-1)*100),"NA",IF(((CC294/BU294-1)*100)&gt;100,"NM",IF(((CC294/BU294-1)*100)&lt;-50,"NM",(CC294/BU294-1)*100)))</f>
        <v>4.6703296703296759</v>
      </c>
      <c r="CE294" s="73">
        <f>CE296-CE295</f>
        <v>105.19999999999999</v>
      </c>
      <c r="CF294" s="187">
        <f>IF(ISERROR((CE294/BW294-1)*100),"NA",IF(((CE294/BW294-1)*100)&gt;100,"NM",IF(((CE294/BW294-1)*100)&lt;-50,"NM",(CE294/BW294-1)*100)))</f>
        <v>2.4342745861733128</v>
      </c>
      <c r="CG294" s="73">
        <f>CG296-CG295</f>
        <v>104.2</v>
      </c>
      <c r="CH294" s="187">
        <f>IF(ISERROR((CG294/BY294-1)*100),"NA",IF(((CG294/BY294-1)*100)&gt;100,"NM",IF(((CG294/BY294-1)*100)&lt;-50,"NM",(CG294/BY294-1)*100)))</f>
        <v>4.6184738955823423</v>
      </c>
      <c r="CI294" s="73">
        <f>CI296-CI295</f>
        <v>104</v>
      </c>
      <c r="CJ294" s="187">
        <f>IF(ISERROR((CI294/CA294-1)*100),"NA",IF(((CI294/CA294-1)*100)&gt;100,"NM",IF(((CI294/CA294-1)*100)&lt;-50,"NM",(CI294/CA294-1)*100)))</f>
        <v>2.7667984189723382</v>
      </c>
      <c r="CK294" s="73">
        <f>CK296-CK295</f>
        <v>119.6</v>
      </c>
      <c r="CL294" s="187">
        <f>IF(ISERROR((CK294/CC294-1)*100),"NA",IF(((CK294/CC294-1)*100)&gt;100,"NM",IF(((CK294/CC294-1)*100)&lt;-50,"NM",(CK294/CC294-1)*100)))</f>
        <v>4.6369203849518703</v>
      </c>
      <c r="CM294" s="73">
        <f>CM296-CM295</f>
        <v>112.39999999999999</v>
      </c>
      <c r="CN294" s="187">
        <f>IF(ISERROR((CM294/CE294-1)*100),"NA",IF(((CM294/CE294-1)*100)&gt;100,"NM",IF(((CM294/CE294-1)*100)&lt;-50,"NM",(CM294/CE294-1)*100)))</f>
        <v>6.8441064638783411</v>
      </c>
      <c r="CO294" s="73">
        <f>CO296-CO295</f>
        <v>115.8</v>
      </c>
      <c r="CP294" s="187">
        <f>IF(ISERROR((CO294/CG294-1)*100),"NA",IF(((CO294/CG294-1)*100)&gt;100,"NM",IF(((CO294/CG294-1)*100)&lt;-50,"NM",(CO294/CG294-1)*100)))</f>
        <v>11.13243761996161</v>
      </c>
      <c r="CQ294" s="73">
        <f>CQ296-CQ295</f>
        <v>121.8</v>
      </c>
      <c r="CR294" s="187">
        <f>IF(ISERROR((CQ294/CI294-1)*100),"NA",IF(((CQ294/CI294-1)*100)&gt;100,"NM",IF(((CQ294/CI294-1)*100)&lt;-50,"NM",(CQ294/CI294-1)*100)))</f>
        <v>17.11538461538462</v>
      </c>
      <c r="CS294" s="73">
        <f>CS296-CS295</f>
        <v>137</v>
      </c>
      <c r="CT294" s="187">
        <f>IF(ISERROR((CS294/CK294-1)*100),"NA",IF(((CS294/CK294-1)*100)&gt;100,"NM",IF(((CS294/CK294-1)*100)&lt;-50,"NM",(CS294/CK294-1)*100)))</f>
        <v>14.548494983277592</v>
      </c>
      <c r="CU294" s="73">
        <f>CU296-CU295</f>
        <v>128</v>
      </c>
      <c r="CV294" s="187">
        <f>IF(ISERROR((CU294/CM294-1)*100),"NA",IF(((CU294/CM294-1)*100)&gt;100,"NM",IF(((CU294/CM294-1)*100)&lt;-50,"NM",(CU294/CM294-1)*100)))</f>
        <v>13.879003558718871</v>
      </c>
      <c r="CW294" s="73">
        <f>CW296-CW295</f>
        <v>136</v>
      </c>
      <c r="CX294" s="187">
        <f>IF(ISERROR((CW294/CO294-1)*100),"NA",IF(((CW294/CO294-1)*100)&gt;100,"NM",IF(((CW294/CO294-1)*100)&lt;-50,"NM",(CW294/CO294-1)*100)))</f>
        <v>17.443868739205538</v>
      </c>
      <c r="CY294" s="73">
        <f>CY296-CY295</f>
        <v>138</v>
      </c>
      <c r="CZ294" s="187">
        <f>IF(ISERROR((CY294/CQ294-1)*100),"NA",IF(((CY294/CQ294-1)*100)&gt;100,"NM",IF(((CY294/CQ294-1)*100)&lt;-50,"NM",(CY294/CQ294-1)*100)))</f>
        <v>13.300492610837434</v>
      </c>
      <c r="DA294" s="73">
        <f>DA296-DA295</f>
        <v>161</v>
      </c>
      <c r="DB294" s="187">
        <f>IF(ISERROR((DA294/CS294-1)*100),"NA",IF(((DA294/CS294-1)*100)&gt;100,"NM",IF(((DA294/CS294-1)*100)&lt;-50,"NM",(DA294/CS294-1)*100)))</f>
        <v>17.518248175182482</v>
      </c>
      <c r="DC294" s="73">
        <f>DC296-DC295</f>
        <v>144</v>
      </c>
      <c r="DD294" s="187">
        <f>IF(ISERROR((DC294/CU294-1)*100),"NA",IF(((DC294/CU294-1)*100)&gt;100,"NM",IF(((DC294/CU294-1)*100)&lt;-50,"NM",(DC294/CU294-1)*100)))</f>
        <v>12.5</v>
      </c>
      <c r="DE294" s="73">
        <f>DE296-DE295</f>
        <v>153</v>
      </c>
      <c r="DF294" s="187">
        <f>IF(ISERROR((DE294/CW294-1)*100),"NA",IF(((DE294/CW294-1)*100)&gt;100,"NM",IF(((DE294/CW294-1)*100)&lt;-50,"NM",(DE294/CW294-1)*100)))</f>
        <v>12.5</v>
      </c>
      <c r="DG294" s="73">
        <f>DG296-DG295</f>
        <v>153</v>
      </c>
      <c r="DH294" s="187">
        <f>IF(ISERROR((DG294/CY294-1)*100),"NA",IF(((DG294/CY294-1)*100)&gt;100,"NM",IF(((DG294/CY294-1)*100)&lt;-50,"NM",(DG294/CY294-1)*100)))</f>
        <v>10.869565217391308</v>
      </c>
      <c r="DI294" s="73">
        <f>DI296-DI295</f>
        <v>182</v>
      </c>
      <c r="DJ294" s="187">
        <f>IF(ISERROR((DI294/DA294-1)*100),"NA",IF(((DI294/DA294-1)*100)&gt;100,"NM",IF(((DI294/DA294-1)*100)&lt;-50,"NM",(DI294/DA294-1)*100)))</f>
        <v>13.043478260869556</v>
      </c>
      <c r="DK294" s="73">
        <f>DK296-DK295</f>
        <v>154</v>
      </c>
      <c r="DL294" s="187">
        <f>IF(ISERROR((DK294/DC294-1)*100),"NA",IF(((DK294/DC294-1)*100)&gt;100,"NM",IF(((DK294/DC294-1)*100)&lt;-50,"NM",(DK294/DC294-1)*100)))</f>
        <v>6.944444444444442</v>
      </c>
      <c r="DM294" s="73">
        <f>DM296-DM295</f>
        <v>162</v>
      </c>
      <c r="DN294" s="130">
        <f t="shared" si="2058"/>
        <v>5.8823529411764719</v>
      </c>
      <c r="DO294" s="73">
        <f>DO296-DO295</f>
        <v>156</v>
      </c>
      <c r="DP294" s="130">
        <f t="shared" si="2058"/>
        <v>1.9607843137254832</v>
      </c>
      <c r="DQ294" s="73">
        <f>DQ296-DQ295</f>
        <v>182</v>
      </c>
      <c r="DR294" s="130">
        <f t="shared" si="2058"/>
        <v>0</v>
      </c>
      <c r="DS294" s="73">
        <f>DS296-DS295</f>
        <v>161</v>
      </c>
      <c r="DT294" s="130">
        <f t="shared" si="2058"/>
        <v>4.5454545454545414</v>
      </c>
      <c r="DU294" s="73">
        <f>DU296-DU295</f>
        <v>163</v>
      </c>
      <c r="DV294" s="130">
        <f t="shared" si="2058"/>
        <v>0.61728395061728669</v>
      </c>
      <c r="DW294" s="73">
        <f>DW296-DW295</f>
        <v>157</v>
      </c>
      <c r="DX294" s="73">
        <f t="shared" ref="DX294:DY294" si="2072">DX296-DX295</f>
        <v>157</v>
      </c>
      <c r="DY294" s="73">
        <f t="shared" si="2072"/>
        <v>168</v>
      </c>
      <c r="DZ294" s="130">
        <f t="shared" si="2058"/>
        <v>-7.6923076923076872</v>
      </c>
      <c r="EA294" s="73">
        <f t="shared" ref="EA294:EC294" si="2073">EA296-EA295</f>
        <v>156</v>
      </c>
      <c r="EB294" s="130">
        <f t="shared" si="2059"/>
        <v>-3.105590062111796</v>
      </c>
      <c r="EC294" s="73">
        <f t="shared" si="2073"/>
        <v>159</v>
      </c>
      <c r="ED294" s="130">
        <f t="shared" si="2060"/>
        <v>-2.4539877300613466</v>
      </c>
      <c r="EE294" s="73">
        <f t="shared" ref="EE294:EG294" si="2074">EE296-EE295</f>
        <v>160</v>
      </c>
      <c r="EF294" s="130">
        <f t="shared" si="2061"/>
        <v>1.9108280254777066</v>
      </c>
      <c r="EG294" s="73">
        <f t="shared" si="2074"/>
        <v>184</v>
      </c>
      <c r="EH294" s="130">
        <f t="shared" si="2062"/>
        <v>9.5238095238095344</v>
      </c>
      <c r="EI294" s="73">
        <f t="shared" ref="EI294" si="2075">EI296-EI295</f>
        <v>159</v>
      </c>
      <c r="EJ294" s="130">
        <f t="shared" si="2063"/>
        <v>1.9230769230769162</v>
      </c>
      <c r="EK294" s="73">
        <f t="shared" ref="EK294:EM294" si="2076">EK296-EK295</f>
        <v>161</v>
      </c>
      <c r="EL294" s="130">
        <f t="shared" si="2064"/>
        <v>1.2578616352201255</v>
      </c>
      <c r="EM294" s="73">
        <f t="shared" si="2076"/>
        <v>169</v>
      </c>
      <c r="EN294" s="130">
        <f t="shared" si="2065"/>
        <v>5.6249999999999911</v>
      </c>
      <c r="EO294" s="73">
        <f t="shared" ref="EO294" si="2077">EO296-EO295</f>
        <v>190</v>
      </c>
      <c r="EP294" s="130">
        <f t="shared" si="2066"/>
        <v>3.2608695652173836</v>
      </c>
      <c r="EQ294" s="69">
        <f t="shared" ref="EQ294:EW294" si="2078">EQ296-EQ295</f>
        <v>175.46165000000002</v>
      </c>
      <c r="ER294" s="130">
        <f t="shared" si="2068"/>
        <v>10.353238993710701</v>
      </c>
      <c r="ES294" s="69">
        <f t="shared" si="2078"/>
        <v>187.29193312499999</v>
      </c>
      <c r="ET294" s="130">
        <f t="shared" si="2069"/>
        <v>16.3303932453416</v>
      </c>
      <c r="EU294" s="69">
        <f t="shared" si="2078"/>
        <v>328.09649470937501</v>
      </c>
      <c r="EV294" s="130">
        <f t="shared" si="2070"/>
        <v>94.139937697855032</v>
      </c>
      <c r="EW294" s="69">
        <f t="shared" si="2078"/>
        <v>332.80163860839059</v>
      </c>
      <c r="EX294" s="130">
        <f t="shared" si="2071"/>
        <v>75.158757162310835</v>
      </c>
      <c r="EY294" s="64"/>
      <c r="EZ294" s="558"/>
      <c r="FA294" s="64"/>
      <c r="FB294" s="192"/>
      <c r="FC294" s="199"/>
      <c r="FD294" s="192"/>
      <c r="FE294" s="205"/>
      <c r="FF294" s="192"/>
      <c r="FG294" s="205"/>
      <c r="FH294" s="192"/>
      <c r="FI294" s="205"/>
      <c r="FJ294" s="192"/>
      <c r="FK294" s="205"/>
      <c r="FL294" s="192"/>
      <c r="FM294" s="193"/>
      <c r="FN294" s="192"/>
      <c r="FO294" s="193"/>
      <c r="FP294" s="73"/>
      <c r="FQ294" s="187"/>
      <c r="FR294" s="73">
        <f>BA294+BC294+BE294</f>
        <v>237.7</v>
      </c>
      <c r="FS294" s="61" t="str">
        <f>IF(ISERROR((FR294/FP294-1)*100),"NA",IF(((FR294/FP294-1)*100)&gt;100,"NM",IF(((FR294/FP294-1)*100)&lt;-50,"NM",(FR294/FP294-1)*100)))</f>
        <v>NA</v>
      </c>
      <c r="FT294" s="73">
        <f>BG294+BI294+BK294+BM294</f>
        <v>334.70000000000005</v>
      </c>
      <c r="FU294" s="61">
        <f>IF(ISERROR((FT294/FR294-1)*100),"NA",IF(((FT294/FR294-1)*100)&gt;100,"NM",IF(((FT294/FR294-1)*100)&lt;-50,"NM",(FT294/FR294-1)*100)))</f>
        <v>40.807740849810713</v>
      </c>
      <c r="FV294" s="73">
        <f>BO294+BQ294+BS294+BU294</f>
        <v>366.09999999999997</v>
      </c>
      <c r="FW294" s="61">
        <f>IF(ISERROR((FV294/FT294-1)*100),"NA",IF(((FV294/FT294-1)*100)&gt;100,"NM",IF(((FV294/FT294-1)*100)&lt;-50,"NM",(FV294/FT294-1)*100)))</f>
        <v>9.3815357036151514</v>
      </c>
      <c r="FX294" s="75">
        <f>BW294+BY294+CA294+CC294</f>
        <v>417.8</v>
      </c>
      <c r="FY294" s="61">
        <f>IF(ISERROR((FX294/FV294-1)*100),"NA",IF(((FX294/FV294-1)*100)&gt;100,"NM",IF(((FX294/FV294-1)*100)&lt;-50,"NM",(FX294/FV294-1)*100)))</f>
        <v>14.121824638077051</v>
      </c>
      <c r="FZ294" s="75">
        <f>CE294+CG294+CI294+CK294</f>
        <v>433</v>
      </c>
      <c r="GA294" s="61">
        <f>IF(ISERROR((FZ294/FX294-1)*100),"NA",IF(((FZ294/FX294-1)*100)&gt;100,"NM",IF(((FZ294/FX294-1)*100)&lt;-50,"NM",(FZ294/FX294-1)*100)))</f>
        <v>3.6381043561512616</v>
      </c>
      <c r="GB294" s="75">
        <f>CM294+CO294+CQ294+CS294</f>
        <v>487</v>
      </c>
      <c r="GC294" s="61">
        <f>IF(ISERROR((GB294/FZ294-1)*100),"NA",IF(((GB294/FZ294-1)*100)&gt;100,"NM",IF(((GB294/FZ294-1)*100)&lt;-50,"NM",(GB294/FZ294-1)*100)))</f>
        <v>12.471131639722866</v>
      </c>
      <c r="GD294" s="75">
        <f>CU294+CW294+CY294+DA294</f>
        <v>563</v>
      </c>
      <c r="GE294" s="61">
        <f>IF(ISERROR((GD294/GB294-1)*100),"NA",IF(((GD294/GB294-1)*100)&gt;100,"NM",IF(((GD294/GB294-1)*100)&lt;-50,"NM",(GD294/GB294-1)*100)))</f>
        <v>15.605749486652986</v>
      </c>
      <c r="GF294" s="75">
        <f>DC294+DE294+DG294+DI294</f>
        <v>632</v>
      </c>
      <c r="GG294" s="61">
        <f>IF(ISERROR((GF294/GD294-1)*100),"NA",IF(((GF294/GD294-1)*100)&gt;100,"NM",IF(((GF294/GD294-1)*100)&lt;-50,"NM",(GF294/GD294-1)*100)))</f>
        <v>12.255772646536411</v>
      </c>
      <c r="GH294" s="75">
        <f>DK294+DM294+DO294+DQ294</f>
        <v>654</v>
      </c>
      <c r="GI294" s="61">
        <f>IF(ISERROR((GH294/GF294-1)*100),"NA",IF(((GH294/GF294-1)*100)&gt;100,"NM",IF(((GH294/GF294-1)*100)&lt;-50,"NM",(GH294/GF294-1)*100)))</f>
        <v>3.4810126582278444</v>
      </c>
      <c r="GJ294" s="75">
        <f>DS294+DU294+DW294+DY294</f>
        <v>649</v>
      </c>
      <c r="GK294" s="61">
        <f>IF(ISERROR((GJ294/GH294-1)*100),"NA",IF(((GJ294/GH294-1)*100)&gt;100,"NM",IF(((GJ294/GH294-1)*100)&lt;-50,"NM",(GJ294/GH294-1)*100)))</f>
        <v>-0.76452599388379117</v>
      </c>
      <c r="GL294" s="75">
        <f>EA294+EC294+EE294+EG294</f>
        <v>659</v>
      </c>
      <c r="GM294" s="61">
        <f>IF(ISERROR((GL294/GJ294-1)*100),"NA",IF(((GL294/GJ294-1)*100)&gt;100,"NM",IF(((GL294/GJ294-1)*100)&lt;-50,"NM",(GL294/GJ294-1)*100)))</f>
        <v>1.5408320493066174</v>
      </c>
      <c r="GN294" s="75">
        <f>EI294+EK294+EM294+EO294</f>
        <v>679</v>
      </c>
      <c r="GO294" s="61">
        <f>IF(ISERROR((GN294/GL294-1)*100),"NA",IF(((GN294/GL294-1)*100)&gt;100,"NM",IF(((GN294/GL294-1)*100)&lt;-50,"NM",(GN294/GL294-1)*100)))</f>
        <v>3.0349013657056112</v>
      </c>
      <c r="GP294" s="75">
        <f>EQ294+ES294+EU294+EW294</f>
        <v>1023.6517164427656</v>
      </c>
      <c r="GQ294" s="61">
        <f>IF(ISERROR((GP294/GN294-1)*100),"NA",IF(((GP294/GN294-1)*100)&gt;100,"NM",IF(((GP294/GN294-1)*100)&lt;-50,"NM",(GP294/GN294-1)*100)))</f>
        <v>50.758721125591407</v>
      </c>
      <c r="GR294" s="69">
        <f>GR296-GR295</f>
        <v>1290.2900941326484</v>
      </c>
      <c r="GS294" s="61">
        <f>IF(ISERROR((GR294/GP294-1)*100),"NA",IF(((GR294/GP294-1)*100)&gt;100,"NM",IF(((GR294/GP294-1)*100)&lt;-50,"NM",(GR294/GP294-1)*100)))</f>
        <v>26.047763453810525</v>
      </c>
      <c r="GT294" s="69">
        <f>GT296-GT295</f>
        <v>1261.3132153592258</v>
      </c>
      <c r="GU294" s="61">
        <f>IF(ISERROR((GT294/GR294-1)*100),"NA",IF(((GT294/GR294-1)*100)&gt;100,"NM",IF(((GT294/GR294-1)*100)&lt;-50,"NM",(GT294/GR294-1)*100)))</f>
        <v>-2.2457646466627623</v>
      </c>
      <c r="GV294" s="69">
        <f>GV296-GV295</f>
        <v>1268.8072263872232</v>
      </c>
      <c r="GW294" s="61">
        <f>IF(ISERROR((GV294/GT294-1)*100),"NA",IF(((GV294/GT294-1)*100)&gt;100,"NM",IF(((GV294/GT294-1)*100)&lt;-50,"NM",(GV294/GT294-1)*100)))</f>
        <v>0.59414354315341367</v>
      </c>
      <c r="GX294" s="69">
        <f>GX296-GX295</f>
        <v>1276.3565028693845</v>
      </c>
      <c r="GY294" s="61">
        <f>IF(ISERROR((GX294/GV294-1)*100),"NA",IF(((GX294/GV294-1)*100)&gt;100,"NM",IF(((GX294/GV294-1)*100)&lt;-50,"NM",(GX294/GV294-1)*100)))</f>
        <v>0.59499002883653951</v>
      </c>
      <c r="GZ294" s="61">
        <f t="shared" si="1909"/>
        <v>13.454165100465932</v>
      </c>
      <c r="HA294" s="61"/>
      <c r="HB294" s="452"/>
      <c r="HC294"/>
      <c r="HD294"/>
      <c r="HE294"/>
      <c r="HF294"/>
      <c r="HG294"/>
      <c r="HH294"/>
    </row>
    <row r="295" spans="2:216" s="5" customFormat="1" ht="12.75" customHeight="1" x14ac:dyDescent="0.2">
      <c r="B295" s="2" t="s">
        <v>520</v>
      </c>
      <c r="C295" s="192"/>
      <c r="D295" s="205"/>
      <c r="E295" s="192"/>
      <c r="F295" s="199"/>
      <c r="G295" s="206"/>
      <c r="H295" s="199"/>
      <c r="I295" s="206"/>
      <c r="J295" s="193"/>
      <c r="K295" s="206"/>
      <c r="L295" s="193"/>
      <c r="M295" s="192"/>
      <c r="N295" s="193"/>
      <c r="O295" s="206"/>
      <c r="P295" s="193"/>
      <c r="Q295" s="206"/>
      <c r="R295" s="193"/>
      <c r="S295" s="206"/>
      <c r="T295" s="193"/>
      <c r="U295" s="206"/>
      <c r="V295" s="193"/>
      <c r="W295" s="206"/>
      <c r="X295" s="193"/>
      <c r="Y295" s="206"/>
      <c r="Z295" s="193"/>
      <c r="AA295" s="206"/>
      <c r="AB295" s="193"/>
      <c r="AC295" s="206"/>
      <c r="AD295" s="193"/>
      <c r="AE295" s="206"/>
      <c r="AF295" s="193"/>
      <c r="AG295" s="206"/>
      <c r="AH295" s="193"/>
      <c r="AI295" s="206"/>
      <c r="AJ295" s="193"/>
      <c r="AK295" s="206"/>
      <c r="AL295" s="193"/>
      <c r="AM295" s="206"/>
      <c r="AN295" s="193"/>
      <c r="AO295" s="206"/>
      <c r="AP295" s="193"/>
      <c r="AQ295" s="206"/>
      <c r="AR295" s="193"/>
      <c r="AS295" s="206"/>
      <c r="AT295" s="193"/>
      <c r="AU295" s="206"/>
      <c r="AV295" s="187" t="str">
        <f>IF(ISERROR((AU295/AM295-1)*100),"NA",IF(((AU295/AM295-1)*100)&gt;100,"NM",IF(((AU295/AM295-1)*100)&lt;-50,"NM",(AU295/AM295-1)*100)))</f>
        <v>NA</v>
      </c>
      <c r="AW295" s="206"/>
      <c r="AX295" s="187" t="str">
        <f>IF(ISERROR((AW295/AO295-1)*100),"NA",IF(((AW295/AO295-1)*100)&gt;100,"NM",IF(((AW295/AO295-1)*100)&lt;-50,"NM",(AW295/AO295-1)*100)))</f>
        <v>NA</v>
      </c>
      <c r="AY295" s="206"/>
      <c r="AZ295" s="187" t="str">
        <f>IF(ISERROR((AY295/AQ295-1)*100),"NA",IF(((AY295/AQ295-1)*100)&gt;100,"NM",IF(((AY295/AQ295-1)*100)&lt;-50,"NM",(AY295/AQ295-1)*100)))</f>
        <v>NA</v>
      </c>
      <c r="BA295" s="206">
        <f>-11.2+6</f>
        <v>-5.1999999999999993</v>
      </c>
      <c r="BB295" s="187" t="str">
        <f>IF(ISERROR((BA295/AS295-1)*100),"NA",IF(((BA295/AS295-1)*100)&gt;100,"NM",IF(((BA295/AS295-1)*100)&lt;-50,"NM",(BA295/AS295-1)*100)))</f>
        <v>NA</v>
      </c>
      <c r="BC295" s="206">
        <f>-11.3+6.6</f>
        <v>-4.7000000000000011</v>
      </c>
      <c r="BD295" s="187" t="str">
        <f>IF(ISERROR((BC295/AU295-1)*100),"NA",IF(((BC295/AU295-1)*100)&gt;100,"NM",IF(((BC295/AU295-1)*100)&lt;-50,"NM",(BC295/AU295-1)*100)))</f>
        <v>NA</v>
      </c>
      <c r="BE295" s="206">
        <f>-14.8+3.2</f>
        <v>-11.600000000000001</v>
      </c>
      <c r="BF295" s="187" t="str">
        <f>IF(ISERROR((BE295/AW295-1)*100),"NA",IF(((BE295/AW295-1)*100)&gt;100,"NM",IF(((BE295/AW295-1)*100)&lt;-50,"NM",(BE295/AW295-1)*100)))</f>
        <v>NA</v>
      </c>
      <c r="BG295" s="74">
        <f>-11.2+7.6</f>
        <v>-3.5999999999999996</v>
      </c>
      <c r="BH295" s="187" t="str">
        <f>IF(ISERROR((BG295/AY295-1)*100),"NA",IF(((BG295/AY295-1)*100)&gt;100,"NM",IF(((BG295/AY295-1)*100)&lt;-50,"NM",(BG295/AY295-1)*100)))</f>
        <v>NA</v>
      </c>
      <c r="BI295" s="74">
        <f>-13.5+5.8</f>
        <v>-7.7</v>
      </c>
      <c r="BJ295" s="187">
        <f>IF(ISERROR((BI295/BA295-1)*100),"NA",IF(((BI295/BA295-1)*100)&gt;100,"NM",IF(((BI295/BA295-1)*100)&lt;-50,"NM",(BI295/BA295-1)*100)))</f>
        <v>48.076923076923109</v>
      </c>
      <c r="BK295" s="74">
        <f>-13+8.1</f>
        <v>-4.9000000000000004</v>
      </c>
      <c r="BL295" s="187">
        <f>IF(ISERROR((BK295/BC295-1)*100),"NA",IF(((BK295/BC295-1)*100)&gt;100,"NM",IF(((BK295/BC295-1)*100)&lt;-50,"NM",(BK295/BC295-1)*100)))</f>
        <v>4.2553191489361541</v>
      </c>
      <c r="BM295" s="74">
        <f>16.7-9.7</f>
        <v>7</v>
      </c>
      <c r="BN295" s="187" t="str">
        <f>IF(ISERROR((BM295/BE295-1)*100),"NA",IF(((BM295/BE295-1)*100)&gt;100,"NM",IF(((BM295/BE295-1)*100)&lt;-50,"NM",(BM295/BE295-1)*100)))</f>
        <v>NM</v>
      </c>
      <c r="BO295" s="74">
        <f>13.8-8.1</f>
        <v>5.7000000000000011</v>
      </c>
      <c r="BP295" s="187" t="str">
        <f>IF(ISERROR((BO295/BG295-1)*100),"NA",IF(((BO295/BG295-1)*100)&gt;100,"NM",IF(((BO295/BG295-1)*100)&lt;-50,"NM",(BO295/BG295-1)*100)))</f>
        <v>NM</v>
      </c>
      <c r="BQ295" s="74">
        <f>13-8.8</f>
        <v>4.1999999999999993</v>
      </c>
      <c r="BR295" s="187" t="str">
        <f>IF(ISERROR((BQ295/BI295-1)*100),"NA",IF(((BQ295/BI295-1)*100)&gt;100,"NM",IF(((BQ295/BI295-1)*100)&lt;-50,"NM",(BQ295/BI295-1)*100)))</f>
        <v>NM</v>
      </c>
      <c r="BS295" s="74">
        <f>13.1-9.2</f>
        <v>3.9000000000000004</v>
      </c>
      <c r="BT295" s="187" t="str">
        <f>IF(ISERROR((BS295/BK295-1)*100),"NA",IF(((BS295/BK295-1)*100)&gt;100,"NM",IF(((BS295/BK295-1)*100)&lt;-50,"NM",(BS295/BK295-1)*100)))</f>
        <v>NM</v>
      </c>
      <c r="BU295" s="74">
        <f>-18.5+9.7</f>
        <v>-8.8000000000000007</v>
      </c>
      <c r="BV295" s="187" t="str">
        <f>IF(ISERROR((BU295/BM295-1)*100),"NA",IF(((BU295/BM295-1)*100)&gt;100,"NM",IF(((BU295/BM295-1)*100)&lt;-50,"NM",(BU295/BM295-1)*100)))</f>
        <v>NM</v>
      </c>
      <c r="BW295" s="74">
        <f>-13.2+10.4</f>
        <v>-2.7999999999999989</v>
      </c>
      <c r="BX295" s="187" t="str">
        <f>IF(ISERROR((BW295/BO295-1)*100),"NA",IF(((BW295/BO295-1)*100)&gt;100,"NM",IF(((BW295/BO295-1)*100)&lt;-50,"NM",(BW295/BO295-1)*100)))</f>
        <v>NM</v>
      </c>
      <c r="BY295" s="74">
        <f>-12.5+11.4</f>
        <v>-1.0999999999999996</v>
      </c>
      <c r="BZ295" s="187" t="str">
        <f>IF(ISERROR((BY295/BQ295-1)*100),"NA",IF(((BY295/BQ295-1)*100)&gt;100,"NM",IF(((BY295/BQ295-1)*100)&lt;-50,"NM",(BY295/BQ295-1)*100)))</f>
        <v>NM</v>
      </c>
      <c r="CA295" s="74">
        <f>-12.8+11.4</f>
        <v>-1.4000000000000004</v>
      </c>
      <c r="CB295" s="187" t="str">
        <f>IF(ISERROR((CA295/BS295-1)*100),"NA",IF(((CA295/BS295-1)*100)&gt;100,"NM",IF(((CA295/BS295-1)*100)&lt;-50,"NM",(CA295/BS295-1)*100)))</f>
        <v>NM</v>
      </c>
      <c r="CC295" s="74">
        <f>-20.8+12.6</f>
        <v>-8.2000000000000011</v>
      </c>
      <c r="CD295" s="187">
        <f>IF(ISERROR((CC295/BU295-1)*100),"NA",IF(((CC295/BU295-1)*100)&gt;100,"NM",IF(((CC295/BU295-1)*100)&lt;-50,"NM",(CC295/BU295-1)*100)))</f>
        <v>-6.8181818181818121</v>
      </c>
      <c r="CE295" s="74">
        <f>-14.6+11</f>
        <v>-3.5999999999999996</v>
      </c>
      <c r="CF295" s="187">
        <f>IF(ISERROR((CE295/BW295-1)*100),"NA",IF(((CE295/BW295-1)*100)&gt;100,"NM",IF(((CE295/BW295-1)*100)&lt;-50,"NM",(CE295/BW295-1)*100)))</f>
        <v>28.571428571428605</v>
      </c>
      <c r="CG295" s="74">
        <f>-13.5+10.6</f>
        <v>-2.9000000000000004</v>
      </c>
      <c r="CH295" s="187" t="str">
        <f>IF(ISERROR((CG295/BY295-1)*100),"NA",IF(((CG295/BY295-1)*100)&gt;100,"NM",IF(((CG295/BY295-1)*100)&lt;-50,"NM",(CG295/BY295-1)*100)))</f>
        <v>NM</v>
      </c>
      <c r="CI295" s="74">
        <f>12.7-10.3</f>
        <v>2.3999999999999986</v>
      </c>
      <c r="CJ295" s="187" t="str">
        <f>IF(ISERROR((CI295/CA295-1)*100),"NA",IF(((CI295/CA295-1)*100)&gt;100,"NM",IF(((CI295/CA295-1)*100)&lt;-50,"NM",(CI295/CA295-1)*100)))</f>
        <v>NM</v>
      </c>
      <c r="CK295" s="74">
        <f>-20.6+13.8</f>
        <v>-6.8000000000000007</v>
      </c>
      <c r="CL295" s="187">
        <f>IF(ISERROR((CK295/CC295-1)*100),"NA",IF(((CK295/CC295-1)*100)&gt;100,"NM",IF(((CK295/CC295-1)*100)&lt;-50,"NM",(CK295/CC295-1)*100)))</f>
        <v>-17.073170731707322</v>
      </c>
      <c r="CM295" s="74">
        <f>9.6-8.9</f>
        <v>0.69999999999999929</v>
      </c>
      <c r="CN295" s="187" t="str">
        <f>IF(ISERROR((CM295/CE295-1)*100),"NA",IF(((CM295/CE295-1)*100)&gt;100,"NM",IF(((CM295/CE295-1)*100)&lt;-50,"NM",(CM295/CE295-1)*100)))</f>
        <v>NM</v>
      </c>
      <c r="CO295" s="74">
        <f>9.3-9.8</f>
        <v>-0.5</v>
      </c>
      <c r="CP295" s="187" t="str">
        <f>IF(ISERROR((CO295/CG295-1)*100),"NA",IF(((CO295/CG295-1)*100)&gt;100,"NM",IF(((CO295/CG295-1)*100)&lt;-50,"NM",(CO295/CG295-1)*100)))</f>
        <v>NM</v>
      </c>
      <c r="CQ295" s="74">
        <f>8.9-12.7</f>
        <v>-3.7999999999999989</v>
      </c>
      <c r="CR295" s="187" t="str">
        <f>IF(ISERROR((CQ295/CI295-1)*100),"NA",IF(((CQ295/CI295-1)*100)&gt;100,"NM",IF(((CQ295/CI295-1)*100)&lt;-50,"NM",(CQ295/CI295-1)*100)))</f>
        <v>NM</v>
      </c>
      <c r="CS295" s="74">
        <f>11-21</f>
        <v>-10</v>
      </c>
      <c r="CT295" s="187">
        <f>IF(ISERROR((CS295/CK295-1)*100),"NA",IF(((CS295/CK295-1)*100)&gt;100,"NM",IF(((CS295/CK295-1)*100)&lt;-50,"NM",(CS295/CK295-1)*100)))</f>
        <v>47.058823529411754</v>
      </c>
      <c r="CU295" s="74">
        <f>12-11</f>
        <v>1</v>
      </c>
      <c r="CV295" s="187">
        <f>IF(ISERROR((CU295/CM295-1)*100),"NA",IF(((CU295/CM295-1)*100)&gt;100,"NM",IF(((CU295/CM295-1)*100)&lt;-50,"NM",(CU295/CM295-1)*100)))</f>
        <v>42.857142857142996</v>
      </c>
      <c r="CW295" s="74">
        <f>11-17</f>
        <v>-6</v>
      </c>
      <c r="CX295" s="187" t="str">
        <f>IF(ISERROR((CW295/CO295-1)*100),"NA",IF(((CW295/CO295-1)*100)&gt;100,"NM",IF(((CW295/CO295-1)*100)&lt;-50,"NM",(CW295/CO295-1)*100)))</f>
        <v>NM</v>
      </c>
      <c r="CY295" s="74">
        <f>10-15</f>
        <v>-5</v>
      </c>
      <c r="CZ295" s="187">
        <f>IF(ISERROR((CY295/CQ295-1)*100),"NA",IF(((CY295/CQ295-1)*100)&gt;100,"NM",IF(((CY295/CQ295-1)*100)&lt;-50,"NM",(CY295/CQ295-1)*100)))</f>
        <v>31.578947368421083</v>
      </c>
      <c r="DA295" s="74">
        <f>14-31</f>
        <v>-17</v>
      </c>
      <c r="DB295" s="187">
        <f>IF(ISERROR((DA295/CS295-1)*100),"NA",IF(((DA295/CS295-1)*100)&gt;100,"NM",IF(((DA295/CS295-1)*100)&lt;-50,"NM",(DA295/CS295-1)*100)))</f>
        <v>70</v>
      </c>
      <c r="DC295" s="74">
        <f>-15+15</f>
        <v>0</v>
      </c>
      <c r="DD295" s="187" t="str">
        <f>IF(ISERROR((DC295/CU295-1)*100),"NA",IF(((DC295/CU295-1)*100)&gt;100,"NM",IF(((DC295/CU295-1)*100)&lt;-50,"NM",(DC295/CU295-1)*100)))</f>
        <v>NM</v>
      </c>
      <c r="DE295" s="74">
        <f>-18+9</f>
        <v>-9</v>
      </c>
      <c r="DF295" s="187">
        <f>IF(ISERROR((DE295/CW295-1)*100),"NA",IF(((DE295/CW295-1)*100)&gt;100,"NM",IF(((DE295/CW295-1)*100)&lt;-50,"NM",(DE295/CW295-1)*100)))</f>
        <v>50</v>
      </c>
      <c r="DG295" s="74">
        <f>-20+10</f>
        <v>-10</v>
      </c>
      <c r="DH295" s="187">
        <f>IF(ISERROR((DG295/CY295-1)*100),"NA",IF(((DG295/CY295-1)*100)&gt;100,"NM",IF(((DG295/CY295-1)*100)&lt;-50,"NM",(DG295/CY295-1)*100)))</f>
        <v>100</v>
      </c>
      <c r="DI295" s="74">
        <f>-38+18</f>
        <v>-20</v>
      </c>
      <c r="DJ295" s="187">
        <f>IF(ISERROR((DI295/DA295-1)*100),"NA",IF(((DI295/DA295-1)*100)&gt;100,"NM",IF(((DI295/DA295-1)*100)&lt;-50,"NM",(DI295/DA295-1)*100)))</f>
        <v>17.647058823529417</v>
      </c>
      <c r="DK295" s="74">
        <f>-16+19</f>
        <v>3</v>
      </c>
      <c r="DL295" s="187" t="str">
        <f>IF(ISERROR((DK295/DC295-1)*100),"NA",IF(((DK295/DC295-1)*100)&gt;100,"NM",IF(((DK295/DC295-1)*100)&lt;-50,"NM",(DK295/DC295-1)*100)))</f>
        <v>NA</v>
      </c>
      <c r="DM295" s="74">
        <f>-18+11</f>
        <v>-7</v>
      </c>
      <c r="DN295" s="130">
        <f t="shared" si="2058"/>
        <v>-22.222222222222221</v>
      </c>
      <c r="DO295" s="74">
        <f>-11+13</f>
        <v>2</v>
      </c>
      <c r="DP295" s="130" t="str">
        <f t="shared" si="2058"/>
        <v>NM</v>
      </c>
      <c r="DQ295" s="74">
        <f>-30+14</f>
        <v>-16</v>
      </c>
      <c r="DR295" s="130">
        <f t="shared" si="2058"/>
        <v>-19.999999999999996</v>
      </c>
      <c r="DS295" s="74">
        <f>-17+31</f>
        <v>14</v>
      </c>
      <c r="DT295" s="130" t="str">
        <f t="shared" si="2058"/>
        <v>NM</v>
      </c>
      <c r="DU295" s="74">
        <f>-12+15</f>
        <v>3</v>
      </c>
      <c r="DV295" s="130" t="str">
        <f t="shared" si="2058"/>
        <v>NM</v>
      </c>
      <c r="DW295" s="74">
        <f>-16+17</f>
        <v>1</v>
      </c>
      <c r="DX295" s="74">
        <f t="shared" ref="DX295" si="2079">-16+17</f>
        <v>1</v>
      </c>
      <c r="DY295" s="74">
        <f>-27+17</f>
        <v>-10</v>
      </c>
      <c r="DZ295" s="130">
        <f t="shared" si="2058"/>
        <v>-37.5</v>
      </c>
      <c r="EA295" s="74">
        <f>-15+45</f>
        <v>30</v>
      </c>
      <c r="EB295" s="130" t="str">
        <f t="shared" si="2059"/>
        <v>NM</v>
      </c>
      <c r="EC295" s="74">
        <f>-17+15</f>
        <v>-2</v>
      </c>
      <c r="ED295" s="130" t="str">
        <f t="shared" si="2060"/>
        <v>NM</v>
      </c>
      <c r="EE295" s="74">
        <f>-14+53</f>
        <v>39</v>
      </c>
      <c r="EF295" s="130" t="str">
        <f t="shared" si="2061"/>
        <v>NM</v>
      </c>
      <c r="EG295" s="74">
        <f>-30+13</f>
        <v>-17</v>
      </c>
      <c r="EH295" s="130">
        <f t="shared" si="2062"/>
        <v>70</v>
      </c>
      <c r="EI295" s="74">
        <f>-13+33</f>
        <v>20</v>
      </c>
      <c r="EJ295" s="130">
        <f t="shared" si="2063"/>
        <v>-33.333333333333336</v>
      </c>
      <c r="EK295" s="74">
        <f>-13+14</f>
        <v>1</v>
      </c>
      <c r="EL295" s="130" t="str">
        <f t="shared" si="2064"/>
        <v>NM</v>
      </c>
      <c r="EM295" s="74">
        <f>-16+14</f>
        <v>-2</v>
      </c>
      <c r="EN295" s="130" t="str">
        <f t="shared" si="2065"/>
        <v>NM</v>
      </c>
      <c r="EO295" s="74">
        <f>-26+18</f>
        <v>-8</v>
      </c>
      <c r="EP295" s="130" t="str">
        <f t="shared" si="2066"/>
        <v>NM</v>
      </c>
      <c r="EQ295" s="74">
        <v>10</v>
      </c>
      <c r="ER295" s="130">
        <f t="shared" si="2068"/>
        <v>-50</v>
      </c>
      <c r="ES295" s="74">
        <v>-2</v>
      </c>
      <c r="ET295" s="130" t="str">
        <f t="shared" si="2069"/>
        <v>NM</v>
      </c>
      <c r="EU295" s="74">
        <v>-2</v>
      </c>
      <c r="EV295" s="130">
        <f t="shared" si="2070"/>
        <v>0</v>
      </c>
      <c r="EW295" s="74">
        <v>-2</v>
      </c>
      <c r="EX295" s="130" t="str">
        <f t="shared" si="2071"/>
        <v>NM</v>
      </c>
      <c r="EY295" s="64"/>
      <c r="EZ295" s="558"/>
      <c r="FA295" s="64"/>
      <c r="FB295" s="192"/>
      <c r="FC295" s="199"/>
      <c r="FD295" s="192"/>
      <c r="FE295" s="205"/>
      <c r="FF295" s="192"/>
      <c r="FG295" s="205"/>
      <c r="FH295" s="192"/>
      <c r="FI295" s="205"/>
      <c r="FJ295" s="192"/>
      <c r="FK295" s="205"/>
      <c r="FL295" s="192"/>
      <c r="FM295" s="193"/>
      <c r="FN295" s="192"/>
      <c r="FO295" s="193"/>
      <c r="FP295" s="75"/>
      <c r="FQ295" s="187"/>
      <c r="FR295" s="75">
        <f>BA295+BC295+BE295</f>
        <v>-21.5</v>
      </c>
      <c r="FS295" s="61" t="str">
        <f>IF(ISERROR((FR295/FP295-1)*100),"NA",IF(((FR295/FP295-1)*100)&gt;100,"NM",IF(((FR295/FP295-1)*100)&lt;-50,"NM",(FR295/FP295-1)*100)))</f>
        <v>NA</v>
      </c>
      <c r="FT295" s="75">
        <f>BG295+BI295+BK295+BM295</f>
        <v>-9.2000000000000028</v>
      </c>
      <c r="FU295" s="61" t="str">
        <f>IF(ISERROR((FT295/FR295-1)*100),"NA",IF(((FT295/FR295-1)*100)&gt;100,"NM",IF(((FT295/FR295-1)*100)&lt;-50,"NM",(FT295/FR295-1)*100)))</f>
        <v>NM</v>
      </c>
      <c r="FV295" s="75">
        <f>BO295+BQ295+BS295+BU295</f>
        <v>5</v>
      </c>
      <c r="FW295" s="61" t="str">
        <f>IF(ISERROR((FV295/FT295-1)*100),"NA",IF(((FV295/FT295-1)*100)&gt;100,"NM",IF(((FV295/FT295-1)*100)&lt;-50,"NM",(FV295/FT295-1)*100)))</f>
        <v>NM</v>
      </c>
      <c r="FX295" s="75">
        <f>BW295+BY295+CA295+CC295</f>
        <v>-13.5</v>
      </c>
      <c r="FY295" s="61" t="str">
        <f>IF(ISERROR((FX295/FV295-1)*100),"NA",IF(((FX295/FV295-1)*100)&gt;100,"NM",IF(((FX295/FV295-1)*100)&lt;-50,"NM",(FX295/FV295-1)*100)))</f>
        <v>NM</v>
      </c>
      <c r="FZ295" s="75">
        <f>CE295+CG295+CI295+CK295</f>
        <v>-10.900000000000002</v>
      </c>
      <c r="GA295" s="61">
        <f>IF(ISERROR((FZ295/FX295-1)*100),"NA",IF(((FZ295/FX295-1)*100)&gt;100,"NM",IF(((FZ295/FX295-1)*100)&lt;-50,"NM",(FZ295/FX295-1)*100)))</f>
        <v>-19.259259259259242</v>
      </c>
      <c r="GB295" s="75">
        <f>CM295+CO295+CQ295+CS295</f>
        <v>-13.6</v>
      </c>
      <c r="GC295" s="61">
        <f>IF(ISERROR((GB295/FZ295-1)*100),"NA",IF(((GB295/FZ295-1)*100)&gt;100,"NM",IF(((GB295/FZ295-1)*100)&lt;-50,"NM",(GB295/FZ295-1)*100)))</f>
        <v>24.770642201834825</v>
      </c>
      <c r="GD295" s="75">
        <f>CU295+CW295+CY295+DA295</f>
        <v>-27</v>
      </c>
      <c r="GE295" s="61">
        <f>IF(ISERROR((GD295/GB295-1)*100),"NA",IF(((GD295/GB295-1)*100)&gt;100,"NM",IF(((GD295/GB295-1)*100)&lt;-50,"NM",(GD295/GB295-1)*100)))</f>
        <v>98.529411764705884</v>
      </c>
      <c r="GF295" s="75">
        <f>DC295+DE295+DG295+DI295</f>
        <v>-39</v>
      </c>
      <c r="GG295" s="61">
        <f>IF(ISERROR((GF295/GD295-1)*100),"NA",IF(((GF295/GD295-1)*100)&gt;100,"NM",IF(((GF295/GD295-1)*100)&lt;-50,"NM",(GF295/GD295-1)*100)))</f>
        <v>44.444444444444443</v>
      </c>
      <c r="GH295" s="75">
        <f>DK295+DM295+DO295+DQ295</f>
        <v>-18</v>
      </c>
      <c r="GI295" s="61" t="str">
        <f>IF(ISERROR((GH295/GF295-1)*100),"NA",IF(((GH295/GF295-1)*100)&gt;100,"NM",IF(((GH295/GF295-1)*100)&lt;-50,"NM",(GH295/GF295-1)*100)))</f>
        <v>NM</v>
      </c>
      <c r="GJ295" s="75">
        <f>DS295+DU295+DW295+DY295</f>
        <v>8</v>
      </c>
      <c r="GK295" s="61" t="str">
        <f>IF(ISERROR((GJ295/GH295-1)*100),"NA",IF(((GJ295/GH295-1)*100)&gt;100,"NM",IF(((GJ295/GH295-1)*100)&lt;-50,"NM",(GJ295/GH295-1)*100)))</f>
        <v>NM</v>
      </c>
      <c r="GL295" s="75">
        <f>EA295+EC295+EE295+EG295</f>
        <v>50</v>
      </c>
      <c r="GM295" s="61" t="str">
        <f>IF(ISERROR((GL295/GJ295-1)*100),"NA",IF(((GL295/GJ295-1)*100)&gt;100,"NM",IF(((GL295/GJ295-1)*100)&lt;-50,"NM",(GL295/GJ295-1)*100)))</f>
        <v>NM</v>
      </c>
      <c r="GN295" s="75">
        <f>EI295+EK295+EM295+EO295</f>
        <v>11</v>
      </c>
      <c r="GO295" s="61" t="str">
        <f>IF(ISERROR((GN295/GL295-1)*100),"NA",IF(((GN295/GL295-1)*100)&gt;100,"NM",IF(((GN295/GL295-1)*100)&lt;-50,"NM",(GN295/GL295-1)*100)))</f>
        <v>NM</v>
      </c>
      <c r="GP295" s="75">
        <f>EQ295+ES295+EU295+EW295</f>
        <v>4</v>
      </c>
      <c r="GQ295" s="61" t="str">
        <f>IF(ISERROR((GP295/GN295-1)*100),"NA",IF(((GP295/GN295-1)*100)&gt;100,"NM",IF(((GP295/GN295-1)*100)&lt;-50,"NM",(GP295/GN295-1)*100)))</f>
        <v>NM</v>
      </c>
      <c r="GR295" s="74">
        <f>GP295*1.05</f>
        <v>4.2</v>
      </c>
      <c r="GS295" s="61">
        <f>IF(ISERROR((GR295/GP295-1)*100),"NA",IF(((GR295/GP295-1)*100)&gt;100,"NM",IF(((GR295/GP295-1)*100)&lt;-50,"NM",(GR295/GP295-1)*100)))</f>
        <v>5.0000000000000044</v>
      </c>
      <c r="GT295" s="74">
        <f>GR295*1.05</f>
        <v>4.41</v>
      </c>
      <c r="GU295" s="61">
        <f>IF(ISERROR((GT295/GR295-1)*100),"NA",IF(((GT295/GR295-1)*100)&gt;100,"NM",IF(((GT295/GR295-1)*100)&lt;-50,"NM",(GT295/GR295-1)*100)))</f>
        <v>5.0000000000000044</v>
      </c>
      <c r="GV295" s="74">
        <f>GT295*1.05</f>
        <v>4.6305000000000005</v>
      </c>
      <c r="GW295" s="61">
        <f>IF(ISERROR((GV295/GT295-1)*100),"NA",IF(((GV295/GT295-1)*100)&gt;100,"NM",IF(((GV295/GT295-1)*100)&lt;-50,"NM",(GV295/GT295-1)*100)))</f>
        <v>5.0000000000000044</v>
      </c>
      <c r="GX295" s="74">
        <f>GV295*1.05</f>
        <v>4.8620250000000009</v>
      </c>
      <c r="GY295" s="61">
        <f>IF(ISERROR((GX295/GV295-1)*100),"NA",IF(((GX295/GV295-1)*100)&gt;100,"NM",IF(((GX295/GV295-1)*100)&lt;-50,"NM",(GX295/GV295-1)*100)))</f>
        <v>5.0000000000000044</v>
      </c>
      <c r="GZ295" s="61">
        <f t="shared" si="1909"/>
        <v>-15.065350193360983</v>
      </c>
      <c r="HA295" s="61"/>
      <c r="HB295" s="452"/>
      <c r="HC295"/>
      <c r="HD295"/>
      <c r="HE295"/>
      <c r="HF295"/>
      <c r="HG295"/>
      <c r="HH295"/>
    </row>
    <row r="296" spans="2:216" s="5" customFormat="1" ht="12.75" customHeight="1" x14ac:dyDescent="0.2">
      <c r="B296" s="2" t="s">
        <v>488</v>
      </c>
      <c r="C296" s="189">
        <v>31.291</v>
      </c>
      <c r="D296" s="184"/>
      <c r="E296" s="189">
        <v>30.881</v>
      </c>
      <c r="F296" s="184"/>
      <c r="G296" s="202">
        <v>31.643999999999998</v>
      </c>
      <c r="H296" s="184"/>
      <c r="I296" s="202">
        <v>33.414999999999999</v>
      </c>
      <c r="J296" s="184"/>
      <c r="K296" s="202">
        <v>31.01</v>
      </c>
      <c r="L296" s="184">
        <f>IF(ISERROR((K296/C296-1)*100),"NA",IF(((K296/C296-1)*100)&gt;100,"NM",IF(((K296/C296-1)*100)&lt;-50,"NM",(K296/C296-1)*100)))</f>
        <v>-0.89802179540442451</v>
      </c>
      <c r="M296" s="189">
        <v>31.619</v>
      </c>
      <c r="N296" s="184">
        <f>IF(ISERROR((M296/E296-1)*100),"NA",IF(((M296/E296-1)*100)&gt;100,"NM",IF(((M296/E296-1)*100)&lt;-50,"NM",(M296/E296-1)*100)))</f>
        <v>2.3898189825459104</v>
      </c>
      <c r="O296" s="189">
        <v>33.729999999999997</v>
      </c>
      <c r="P296" s="184">
        <f>IF(ISERROR((O296/G296-1)*100),"NA",IF(((O296/G296-1)*100)&gt;100,"NM",IF(((O296/G296-1)*100)&lt;-50,"NM",(O296/G296-1)*100)))</f>
        <v>6.5920869675135885</v>
      </c>
      <c r="Q296" s="202">
        <v>33.261000000000003</v>
      </c>
      <c r="R296" s="184">
        <f>IF(ISERROR((Q296/I296-1)*100),"NA",IF(((Q296/I296-1)*100)&gt;100,"NM",IF(((Q296/I296-1)*100)&lt;-50,"NM",(Q296/I296-1)*100)))</f>
        <v>-0.46087086637736085</v>
      </c>
      <c r="S296" s="202">
        <v>34.265000000000001</v>
      </c>
      <c r="T296" s="184">
        <f>IF(ISERROR((S296/K296-1)*100),"NA",IF(((S296/K296-1)*100)&gt;100,"NM",IF(((S296/K296-1)*100)&lt;-50,"NM",(S296/K296-1)*100)))</f>
        <v>10.496613995485315</v>
      </c>
      <c r="U296" s="202">
        <v>36.521000000000001</v>
      </c>
      <c r="V296" s="184">
        <f>IF(ISERROR((U296/M296-1)*100),"NA",IF(((U296/M296-1)*100)&gt;100,"NM",IF(((U296/M296-1)*100)&lt;-50,"NM",(U296/M296-1)*100)))</f>
        <v>15.503336601410545</v>
      </c>
      <c r="W296" s="189">
        <v>37.119999999999997</v>
      </c>
      <c r="X296" s="184">
        <f>IF(ISERROR((W296/O296-1)*100),"NA",IF(((W296/O296-1)*100)&gt;100,"NM",IF(((W296/O296-1)*100)&lt;-50,"NM",(W296/O296-1)*100)))</f>
        <v>10.05040023717758</v>
      </c>
      <c r="Y296" s="202">
        <v>39.44</v>
      </c>
      <c r="Z296" s="184">
        <f>IF(ISERROR((Y296/Q296-1)*100),"NA",IF(((Y296/Q296-1)*100)&gt;100,"NM",IF(((Y296/Q296-1)*100)&lt;-50,"NM",(Y296/Q296-1)*100)))</f>
        <v>18.577312768708087</v>
      </c>
      <c r="AA296" s="202">
        <v>41.682000000000002</v>
      </c>
      <c r="AB296" s="184">
        <f>IF(ISERROR((AA296/S296-1)*100),"NA",IF(((AA296/S296-1)*100)&gt;100,"NM",IF(((AA296/S296-1)*100)&lt;-50,"NM",(AA296/S296-1)*100)))</f>
        <v>21.645994454983231</v>
      </c>
      <c r="AC296" s="202">
        <v>40.765000000000001</v>
      </c>
      <c r="AD296" s="184">
        <f>IF(ISERROR((AC296/U296-1)*100),"NA",IF(((AC296/U296-1)*100)&gt;100,"NM",IF(((AC296/U296-1)*100)&lt;-50,"NM",(AC296/U296-1)*100)))</f>
        <v>11.620711371539659</v>
      </c>
      <c r="AE296" s="189">
        <v>42.368000000000002</v>
      </c>
      <c r="AF296" s="184">
        <f>IF(ISERROR((AE296/W296-1)*100),"NA",IF(((AE296/W296-1)*100)&gt;100,"NM",IF(((AE296/W296-1)*100)&lt;-50,"NM",(AE296/W296-1)*100)))</f>
        <v>14.137931034482776</v>
      </c>
      <c r="AG296" s="202">
        <v>40.755000000000003</v>
      </c>
      <c r="AH296" s="184">
        <f>IF(ISERROR((AG296/Y296-1)*100),"NA",IF(((AG296/Y296-1)*100)&gt;100,"NM",IF(((AG296/Y296-1)*100)&lt;-50,"NM",(AG296/Y296-1)*100)))</f>
        <v>3.334178498985807</v>
      </c>
      <c r="AI296" s="202">
        <v>52.859000000000002</v>
      </c>
      <c r="AJ296" s="184">
        <f>IF(ISERROR((AI296/AA296-1)*100),"NA",IF(((AI296/AA296-1)*100)&gt;100,"NM",IF(((AI296/AA296-1)*100)&lt;-50,"NM",(AI296/AA296-1)*100)))</f>
        <v>26.814932104985356</v>
      </c>
      <c r="AK296" s="202">
        <v>67.974000000000004</v>
      </c>
      <c r="AL296" s="184">
        <f>IF(ISERROR((AK296/AC296-1)*100),"NA",IF(((AK296/AC296-1)*100)&gt;100,"NM",IF(((AK296/AC296-1)*100)&lt;-50,"NM",(AK296/AC296-1)*100)))</f>
        <v>66.745983073715195</v>
      </c>
      <c r="AM296" s="189">
        <v>65.608999999999995</v>
      </c>
      <c r="AN296" s="184">
        <f>IF(ISERROR((AM296/AE296-1)*100),"NA",IF(((AM296/AE296-1)*100)&gt;100,"NM",IF(((AM296/AE296-1)*100)&lt;-50,"NM",(AM296/AE296-1)*100)))</f>
        <v>54.855079305135931</v>
      </c>
      <c r="AO296" s="189">
        <v>66.120999999999995</v>
      </c>
      <c r="AP296" s="184">
        <f>IF(ISERROR((AO296/AG296-1)*100),"NA",IF(((AO296/AG296-1)*100)&gt;100,"NM",IF(((AO296/AG296-1)*100)&lt;-50,"NM",(AO296/AG296-1)*100)))</f>
        <v>62.240215924426437</v>
      </c>
      <c r="AQ296" s="189">
        <v>73.070999999999998</v>
      </c>
      <c r="AR296" s="184">
        <f>IF(ISERROR((AQ296/AI296-1)*100),"NA",IF(((AQ296/AI296-1)*100)&gt;100,"NM",IF(((AQ296/AI296-1)*100)&lt;-50,"NM",(AQ296/AI296-1)*100)))</f>
        <v>38.237575436538719</v>
      </c>
      <c r="AS296" s="189">
        <v>70.188999999999993</v>
      </c>
      <c r="AT296" s="184">
        <f>IF(ISERROR((AS296/AK296-1)*100),"NA",IF(((AS296/AK296-1)*100)&gt;100,"NM",IF(((AS296/AK296-1)*100)&lt;-50,"NM",(AS296/AK296-1)*100)))</f>
        <v>3.2585988760408302</v>
      </c>
      <c r="AU296" s="189">
        <v>69.686999999999998</v>
      </c>
      <c r="AV296" s="187">
        <f>IF(ISERROR((AU296/AM296-1)*100),"NA",IF(((AU296/AM296-1)*100)&gt;100,"NM",IF(((AU296/AM296-1)*100)&lt;-50,"NM",(AU296/AM296-1)*100)))</f>
        <v>6.2156106631712227</v>
      </c>
      <c r="AW296" s="189">
        <v>71.188000000000002</v>
      </c>
      <c r="AX296" s="187">
        <f>IF(ISERROR((AW296/AO296-1)*100),"NA",IF(((AW296/AO296-1)*100)&gt;100,"NM",IF(((AW296/AO296-1)*100)&lt;-50,"NM",(AW296/AO296-1)*100)))</f>
        <v>7.6632234842183289</v>
      </c>
      <c r="AY296" s="203"/>
      <c r="AZ296" s="187" t="str">
        <f>IF(ISERROR((AY296/AQ296-1)*100),"NA",IF(((AY296/AQ296-1)*100)&gt;100,"NM",IF(((AY296/AQ296-1)*100)&lt;-50,"NM",(AY296/AQ296-1)*100)))</f>
        <v>NM</v>
      </c>
      <c r="BA296" s="203">
        <v>72</v>
      </c>
      <c r="BB296" s="187">
        <f>IF(ISERROR((BA296/AS296-1)*100),"NA",IF(((BA296/AS296-1)*100)&gt;100,"NM",IF(((BA296/AS296-1)*100)&lt;-50,"NM",(BA296/AS296-1)*100)))</f>
        <v>2.5801763809143896</v>
      </c>
      <c r="BC296" s="203">
        <v>74.599999999999994</v>
      </c>
      <c r="BD296" s="187">
        <f>IF(ISERROR((BC296/AU296-1)*100),"NA",IF(((BC296/AU296-1)*100)&gt;100,"NM",IF(((BC296/AU296-1)*100)&lt;-50,"NM",(BC296/AU296-1)*100)))</f>
        <v>7.0500954266936366</v>
      </c>
      <c r="BE296" s="203">
        <v>69.599999999999994</v>
      </c>
      <c r="BF296" s="187">
        <f>IF(ISERROR((BE296/AW296-1)*100),"NA",IF(((BE296/AW296-1)*100)&gt;100,"NM",IF(((BE296/AW296-1)*100)&lt;-50,"NM",(BE296/AW296-1)*100)))</f>
        <v>-2.2307130415238685</v>
      </c>
      <c r="BG296" s="204">
        <v>78.3</v>
      </c>
      <c r="BH296" s="187" t="str">
        <f>IF(ISERROR((BG296/AY296-1)*100),"NA",IF(((BG296/AY296-1)*100)&gt;100,"NM",IF(((BG296/AY296-1)*100)&lt;-50,"NM",(BG296/AY296-1)*100)))</f>
        <v>NA</v>
      </c>
      <c r="BI296" s="204">
        <v>80.7</v>
      </c>
      <c r="BJ296" s="187">
        <f>IF(ISERROR((BI296/BA296-1)*100),"NA",IF(((BI296/BA296-1)*100)&gt;100,"NM",IF(((BI296/BA296-1)*100)&lt;-50,"NM",(BI296/BA296-1)*100)))</f>
        <v>12.083333333333336</v>
      </c>
      <c r="BK296" s="204">
        <v>81.400000000000006</v>
      </c>
      <c r="BL296" s="187">
        <f>IF(ISERROR((BK296/BC296-1)*100),"NA",IF(((BK296/BC296-1)*100)&gt;100,"NM",IF(((BK296/BC296-1)*100)&lt;-50,"NM",(BK296/BC296-1)*100)))</f>
        <v>9.1152815013404886</v>
      </c>
      <c r="BM296" s="188">
        <v>85.1</v>
      </c>
      <c r="BN296" s="187">
        <f>IF(ISERROR((BM296/BE296-1)*100),"NA",IF(((BM296/BE296-1)*100)&gt;100,"NM",IF(((BM296/BE296-1)*100)&lt;-50,"NM",(BM296/BE296-1)*100)))</f>
        <v>22.270114942528728</v>
      </c>
      <c r="BO296" s="188">
        <v>89.6</v>
      </c>
      <c r="BP296" s="187">
        <f>IF(ISERROR((BO296/BG296-1)*100),"NA",IF(((BO296/BG296-1)*100)&gt;100,"NM",IF(((BO296/BG296-1)*100)&lt;-50,"NM",(BO296/BG296-1)*100)))</f>
        <v>14.431673052362704</v>
      </c>
      <c r="BQ296" s="188">
        <v>89.3</v>
      </c>
      <c r="BR296" s="187">
        <f>IF(ISERROR((BQ296/BI296-1)*100),"NA",IF(((BQ296/BI296-1)*100)&gt;100,"NM",IF(((BQ296/BI296-1)*100)&lt;-50,"NM",(BQ296/BI296-1)*100)))</f>
        <v>10.656753407682773</v>
      </c>
      <c r="BS296" s="188">
        <v>91.8</v>
      </c>
      <c r="BT296" s="187">
        <f>IF(ISERROR((BS296/BK296-1)*100),"NA",IF(((BS296/BK296-1)*100)&gt;100,"NM",IF(((BS296/BK296-1)*100)&lt;-50,"NM",(BS296/BK296-1)*100)))</f>
        <v>12.776412776412771</v>
      </c>
      <c r="BU296" s="188">
        <f>100.4</f>
        <v>100.4</v>
      </c>
      <c r="BV296" s="187">
        <f>IF(ISERROR((BU296/BM296-1)*100),"NA",IF(((BU296/BM296-1)*100)&gt;100,"NM",IF(((BU296/BM296-1)*100)&lt;-50,"NM",(BU296/BM296-1)*100)))</f>
        <v>17.978848413631042</v>
      </c>
      <c r="BW296" s="188">
        <f>99.3+0.6</f>
        <v>99.899999999999991</v>
      </c>
      <c r="BX296" s="187">
        <f>IF(ISERROR((BW296/BO296-1)*100),"NA",IF(((BW296/BO296-1)*100)&gt;100,"NM",IF(((BW296/BO296-1)*100)&lt;-50,"NM",(BW296/BO296-1)*100)))</f>
        <v>11.495535714285721</v>
      </c>
      <c r="BY296" s="188">
        <f>98+0.5</f>
        <v>98.5</v>
      </c>
      <c r="BZ296" s="187">
        <f>IF(ISERROR((BY296/BQ296-1)*100),"NA",IF(((BY296/BQ296-1)*100)&gt;100,"NM",IF(((BY296/BQ296-1)*100)&lt;-50,"NM",(BY296/BQ296-1)*100)))</f>
        <v>10.302351623740202</v>
      </c>
      <c r="CA296" s="188">
        <f>99.3+0.5</f>
        <v>99.8</v>
      </c>
      <c r="CB296" s="187">
        <f>IF(ISERROR((CA296/BS296-1)*100),"NA",IF(((CA296/BS296-1)*100)&gt;100,"NM",IF(((CA296/BS296-1)*100)&lt;-50,"NM",(CA296/BS296-1)*100)))</f>
        <v>8.7145969498910745</v>
      </c>
      <c r="CC296" s="188">
        <f>105.4+0.7</f>
        <v>106.10000000000001</v>
      </c>
      <c r="CD296" s="187">
        <f>IF(ISERROR((CC296/BU296-1)*100),"NA",IF(((CC296/BU296-1)*100)&gt;100,"NM",IF(((CC296/BU296-1)*100)&lt;-50,"NM",(CC296/BU296-1)*100)))</f>
        <v>5.6772908366533814</v>
      </c>
      <c r="CE296" s="188">
        <f>101.1+0.5</f>
        <v>101.6</v>
      </c>
      <c r="CF296" s="187">
        <f>IF(ISERROR((CE296/BW296-1)*100),"NA",IF(((CE296/BW296-1)*100)&gt;100,"NM",IF(((CE296/BW296-1)*100)&lt;-50,"NM",(CE296/BW296-1)*100)))</f>
        <v>1.7017017017016967</v>
      </c>
      <c r="CG296" s="188">
        <v>101.3</v>
      </c>
      <c r="CH296" s="187">
        <f>IF(ISERROR((CG296/BY296-1)*100),"NA",IF(((CG296/BY296-1)*100)&gt;100,"NM",IF(((CG296/BY296-1)*100)&lt;-50,"NM",(CG296/BY296-1)*100)))</f>
        <v>2.8426395939086246</v>
      </c>
      <c r="CI296" s="188">
        <v>106.4</v>
      </c>
      <c r="CJ296" s="187">
        <f>IF(ISERROR((CI296/CA296-1)*100),"NA",IF(((CI296/CA296-1)*100)&gt;100,"NM",IF(((CI296/CA296-1)*100)&lt;-50,"NM",(CI296/CA296-1)*100)))</f>
        <v>6.6132264529058293</v>
      </c>
      <c r="CK296" s="188">
        <v>112.8</v>
      </c>
      <c r="CL296" s="187">
        <f>IF(ISERROR((CK296/CC296-1)*100),"NA",IF(((CK296/CC296-1)*100)&gt;100,"NM",IF(((CK296/CC296-1)*100)&lt;-50,"NM",(CK296/CC296-1)*100)))</f>
        <v>6.3147973609801955</v>
      </c>
      <c r="CM296" s="188">
        <v>113.1</v>
      </c>
      <c r="CN296" s="187">
        <f>IF(ISERROR((CM296/CE296-1)*100),"NA",IF(((CM296/CE296-1)*100)&gt;100,"NM",IF(((CM296/CE296-1)*100)&lt;-50,"NM",(CM296/CE296-1)*100)))</f>
        <v>11.318897637795278</v>
      </c>
      <c r="CO296" s="188">
        <v>115.3</v>
      </c>
      <c r="CP296" s="187">
        <f>IF(ISERROR((CO296/CG296-1)*100),"NA",IF(((CO296/CG296-1)*100)&gt;100,"NM",IF(((CO296/CG296-1)*100)&lt;-50,"NM",(CO296/CG296-1)*100)))</f>
        <v>13.820335636722604</v>
      </c>
      <c r="CQ296" s="188">
        <v>118</v>
      </c>
      <c r="CR296" s="187">
        <f>IF(ISERROR((CQ296/CI296-1)*100),"NA",IF(((CQ296/CI296-1)*100)&gt;100,"NM",IF(((CQ296/CI296-1)*100)&lt;-50,"NM",(CQ296/CI296-1)*100)))</f>
        <v>10.902255639097746</v>
      </c>
      <c r="CS296" s="188">
        <f>450-CS293</f>
        <v>127</v>
      </c>
      <c r="CT296" s="187">
        <f>IF(ISERROR((CS296/CK296-1)*100),"NA",IF(((CS296/CK296-1)*100)&gt;100,"NM",IF(((CS296/CK296-1)*100)&lt;-50,"NM",(CS296/CK296-1)*100)))</f>
        <v>12.588652482269502</v>
      </c>
      <c r="CU296" s="188">
        <f>479-CU293</f>
        <v>129</v>
      </c>
      <c r="CV296" s="187">
        <f>IF(ISERROR((CU296/CM296-1)*100),"NA",IF(((CU296/CM296-1)*100)&gt;100,"NM",IF(((CU296/CM296-1)*100)&lt;-50,"NM",(CU296/CM296-1)*100)))</f>
        <v>14.058355437665782</v>
      </c>
      <c r="CW296" s="188">
        <f>498-CW293</f>
        <v>130</v>
      </c>
      <c r="CX296" s="187">
        <f>IF(ISERROR((CW296/CO296-1)*100),"NA",IF(((CW296/CO296-1)*100)&gt;100,"NM",IF(((CW296/CO296-1)*100)&lt;-50,"NM",(CW296/CO296-1)*100)))</f>
        <v>12.749349522983522</v>
      </c>
      <c r="CY296" s="188">
        <f>493-CY293</f>
        <v>133</v>
      </c>
      <c r="CZ296" s="187">
        <f>IF(ISERROR((CY296/CQ296-1)*100),"NA",IF(((CY296/CQ296-1)*100)&gt;100,"NM",IF(((CY296/CQ296-1)*100)&lt;-50,"NM",(CY296/CQ296-1)*100)))</f>
        <v>12.711864406779672</v>
      </c>
      <c r="DA296" s="188">
        <f>511-DA293</f>
        <v>144</v>
      </c>
      <c r="DB296" s="187">
        <f>IF(ISERROR((DA296/CS296-1)*100),"NA",IF(((DA296/CS296-1)*100)&gt;100,"NM",IF(((DA296/CS296-1)*100)&lt;-50,"NM",(DA296/CS296-1)*100)))</f>
        <v>13.385826771653541</v>
      </c>
      <c r="DC296" s="188">
        <f>528-DC293</f>
        <v>144</v>
      </c>
      <c r="DD296" s="187">
        <f>IF(ISERROR((DC296/CU296-1)*100),"NA",IF(((DC296/CU296-1)*100)&gt;100,"NM",IF(((DC296/CU296-1)*100)&lt;-50,"NM",(DC296/CU296-1)*100)))</f>
        <v>11.627906976744185</v>
      </c>
      <c r="DE296" s="188">
        <f>541-DE293</f>
        <v>144</v>
      </c>
      <c r="DF296" s="187">
        <f>IF(ISERROR((DE296/CW296-1)*100),"NA",IF(((DE296/CW296-1)*100)&gt;100,"NM",IF(((DE296/CW296-1)*100)&lt;-50,"NM",(DE296/CW296-1)*100)))</f>
        <v>10.769230769230775</v>
      </c>
      <c r="DG296" s="188">
        <f>525-DG293</f>
        <v>143</v>
      </c>
      <c r="DH296" s="187">
        <f>IF(ISERROR((DG296/CY296-1)*100),"NA",IF(((DG296/CY296-1)*100)&gt;100,"NM",IF(((DG296/CY296-1)*100)&lt;-50,"NM",(DG296/CY296-1)*100)))</f>
        <v>7.5187969924812137</v>
      </c>
      <c r="DI296" s="188">
        <f>558-DI293</f>
        <v>162</v>
      </c>
      <c r="DJ296" s="187">
        <f>IF(ISERROR((DI296/DA296-1)*100),"NA",IF(((DI296/DA296-1)*100)&gt;100,"NM",IF(((DI296/DA296-1)*100)&lt;-50,"NM",(DI296/DA296-1)*100)))</f>
        <v>12.5</v>
      </c>
      <c r="DK296" s="188">
        <f>580-DK293</f>
        <v>157</v>
      </c>
      <c r="DL296" s="187">
        <f>IF(ISERROR((DK296/DC296-1)*100),"NA",IF(((DK296/DC296-1)*100)&gt;100,"NM",IF(((DK296/DC296-1)*100)&lt;-50,"NM",(DK296/DC296-1)*100)))</f>
        <v>9.0277777777777679</v>
      </c>
      <c r="DM296" s="188">
        <f>618-DM293</f>
        <v>155</v>
      </c>
      <c r="DN296" s="130">
        <f t="shared" si="2058"/>
        <v>7.638888888888884</v>
      </c>
      <c r="DO296" s="188">
        <f>586-DO293</f>
        <v>158</v>
      </c>
      <c r="DP296" s="130">
        <f t="shared" si="2058"/>
        <v>10.489510489510479</v>
      </c>
      <c r="DQ296" s="188">
        <f>626-DQ293</f>
        <v>166</v>
      </c>
      <c r="DR296" s="130">
        <f t="shared" si="2058"/>
        <v>2.4691358024691468</v>
      </c>
      <c r="DS296" s="188">
        <f>615-DS293</f>
        <v>175</v>
      </c>
      <c r="DT296" s="130">
        <f t="shared" si="2058"/>
        <v>11.464968152866239</v>
      </c>
      <c r="DU296" s="188">
        <f>587-DU293</f>
        <v>166</v>
      </c>
      <c r="DV296" s="130">
        <f t="shared" si="2058"/>
        <v>7.0967741935483941</v>
      </c>
      <c r="DW296" s="188">
        <f>544-DW293</f>
        <v>158</v>
      </c>
      <c r="DX296" s="188">
        <f t="shared" ref="DX296" si="2080">544-DX293</f>
        <v>158</v>
      </c>
      <c r="DY296" s="188">
        <f>545-DY293</f>
        <v>158</v>
      </c>
      <c r="DZ296" s="130">
        <f t="shared" si="2058"/>
        <v>-4.8192771084337398</v>
      </c>
      <c r="EA296" s="188">
        <f>526-EA293</f>
        <v>186</v>
      </c>
      <c r="EB296" s="130">
        <f t="shared" si="2059"/>
        <v>6.2857142857142945</v>
      </c>
      <c r="EC296" s="188">
        <f>502-EC293</f>
        <v>157</v>
      </c>
      <c r="ED296" s="130">
        <f t="shared" si="2060"/>
        <v>-5.4216867469879526</v>
      </c>
      <c r="EE296" s="188">
        <f>490-EE293</f>
        <v>199</v>
      </c>
      <c r="EF296" s="130">
        <f t="shared" si="2061"/>
        <v>25.949367088607602</v>
      </c>
      <c r="EG296" s="188">
        <f>512-EG293</f>
        <v>167</v>
      </c>
      <c r="EH296" s="130">
        <f t="shared" si="2062"/>
        <v>5.6962025316455778</v>
      </c>
      <c r="EI296" s="188">
        <f>530-EI293</f>
        <v>179</v>
      </c>
      <c r="EJ296" s="130">
        <f t="shared" si="2063"/>
        <v>-3.7634408602150504</v>
      </c>
      <c r="EK296" s="188">
        <f>488-EK293</f>
        <v>162</v>
      </c>
      <c r="EL296" s="130">
        <f t="shared" si="2064"/>
        <v>3.1847133757961776</v>
      </c>
      <c r="EM296" s="188">
        <f>501-EM293</f>
        <v>167</v>
      </c>
      <c r="EN296" s="130">
        <f t="shared" si="2065"/>
        <v>-16.080402010050253</v>
      </c>
      <c r="EO296" s="188">
        <f>523-EO293</f>
        <v>182</v>
      </c>
      <c r="EP296" s="130">
        <f t="shared" si="2066"/>
        <v>8.9820359281437057</v>
      </c>
      <c r="EQ296" s="69">
        <f t="shared" ref="EQ296:EW296" si="2081">(EQ302/100)*EQ288</f>
        <v>185.46165000000002</v>
      </c>
      <c r="ER296" s="130">
        <f t="shared" si="2068"/>
        <v>3.6098603351955472</v>
      </c>
      <c r="ES296" s="69">
        <f t="shared" si="2081"/>
        <v>185.29193312499999</v>
      </c>
      <c r="ET296" s="130">
        <f t="shared" si="2069"/>
        <v>14.377736496913563</v>
      </c>
      <c r="EU296" s="69">
        <f t="shared" si="2081"/>
        <v>326.09649470937501</v>
      </c>
      <c r="EV296" s="130">
        <f t="shared" si="2070"/>
        <v>95.267362101422165</v>
      </c>
      <c r="EW296" s="69">
        <f t="shared" si="2081"/>
        <v>330.80163860839059</v>
      </c>
      <c r="EX296" s="130">
        <f t="shared" si="2071"/>
        <v>81.75914209252231</v>
      </c>
      <c r="EY296" s="64"/>
      <c r="EZ296" s="558"/>
      <c r="FA296" s="64"/>
      <c r="FB296" s="189">
        <v>69.793999999999997</v>
      </c>
      <c r="FC296" s="184"/>
      <c r="FD296" s="189">
        <v>32.977000000000004</v>
      </c>
      <c r="FE296" s="184" t="str">
        <f>IF(ISERROR((FD296/FB296-1)*100),"NA",IF(((FD296/FB296-1)*100)&gt;100,"NM",IF(((FD296/FB296-1)*100)&lt;-50,"NM",(FD296/FB296-1)*100)))</f>
        <v>NM</v>
      </c>
      <c r="FF296" s="189">
        <f>C296+E296+G296+I296</f>
        <v>127.23099999999999</v>
      </c>
      <c r="FG296" s="184" t="str">
        <f>IF(ISERROR((FF296/FD296-1)*100),"NA",IF(((FF296/FD296-1)*100)&gt;100,"NM",IF(((FF296/FD296-1)*100)&lt;-50,"NM",(FF296/FD296-1)*100)))</f>
        <v>NM</v>
      </c>
      <c r="FH296" s="189">
        <f>K296+M296+O296+Q296</f>
        <v>129.62</v>
      </c>
      <c r="FI296" s="184">
        <f>IF(ISERROR((FH296/FF296-1)*100),"NA",IF(((FH296/FF296-1)*100)&gt;100,"NM",IF(((FH296/FF296-1)*100)&lt;-50,"NM",(FH296/FF296-1)*100)))</f>
        <v>1.8776870416800984</v>
      </c>
      <c r="FJ296" s="189">
        <f>S296+U296+W296+Y296</f>
        <v>147.346</v>
      </c>
      <c r="FK296" s="184">
        <f>IF(ISERROR((FJ296/FH296-1)*100),"NA",IF(((FJ296/FH296-1)*100)&gt;100,"NM",IF(((FJ296/FH296-1)*100)&lt;-50,"NM",(FJ296/FH296-1)*100)))</f>
        <v>13.675358740935039</v>
      </c>
      <c r="FL296" s="189">
        <f>AA296+AC296+AE296+AG296</f>
        <v>165.57</v>
      </c>
      <c r="FM296" s="184">
        <f>IF(ISERROR((FL296/FJ296-1)*100),"NA",IF(((FL296/FJ296-1)*100)&gt;100,"NM",IF(((FL296/FJ296-1)*100)&lt;-50,"NM",(FL296/FJ296-1)*100)))</f>
        <v>12.368167442618038</v>
      </c>
      <c r="FN296" s="189">
        <f>AI296+AK296+AM296+AO296</f>
        <v>252.56299999999999</v>
      </c>
      <c r="FO296" s="184">
        <f>IF(ISERROR((FN296/FL296-1)*100),"NA",IF(((FN296/FL296-1)*100)&gt;100,"NM",IF(((FN296/FL296-1)*100)&lt;-50,"NM",(FN296/FL296-1)*100)))</f>
        <v>52.541523222806049</v>
      </c>
      <c r="FP296" s="73">
        <f>AQ296+AS296+AU296+AW296</f>
        <v>284.13499999999999</v>
      </c>
      <c r="FQ296" s="187">
        <f>IF(ISERROR((FP296/FN296-1)*100),"NA",IF(((FP296/FN296-1)*100)&gt;100,"NM",IF(((FP296/FN296-1)*100)&lt;-50,"NM",(FP296/FN296-1)*100)))</f>
        <v>12.500643403823997</v>
      </c>
      <c r="FR296" s="73">
        <f>BA296+BC296+BE296</f>
        <v>216.2</v>
      </c>
      <c r="FS296" s="61">
        <f>IF(ISERROR((FR296/FP296-1)*100),"NA",IF(((FR296/FP296-1)*100)&gt;100,"NM",IF(((FR296/FP296-1)*100)&lt;-50,"NM",(FR296/FP296-1)*100)))</f>
        <v>-23.909409259682903</v>
      </c>
      <c r="FT296" s="73">
        <f>BG296+BI296+BK296+BM296</f>
        <v>325.5</v>
      </c>
      <c r="FU296" s="61">
        <f>IF(ISERROR((FT296/FR296-1)*100),"NA",IF(((FT296/FR296-1)*100)&gt;100,"NM",IF(((FT296/FR296-1)*100)&lt;-50,"NM",(FT296/FR296-1)*100)))</f>
        <v>50.555041628122119</v>
      </c>
      <c r="FV296" s="73">
        <f>BO296+BQ296+BS296+BU296</f>
        <v>371.1</v>
      </c>
      <c r="FW296" s="61">
        <f>IF(ISERROR((FV296/FT296-1)*100),"NA",IF(((FV296/FT296-1)*100)&gt;100,"NM",IF(((FV296/FT296-1)*100)&lt;-50,"NM",(FV296/FT296-1)*100)))</f>
        <v>14.009216589861762</v>
      </c>
      <c r="FX296" s="75">
        <f>BW296+BY296+CA296+CC296</f>
        <v>404.3</v>
      </c>
      <c r="FY296" s="61">
        <f>IF(ISERROR((FX296/FV296-1)*100),"NA",IF(((FX296/FV296-1)*100)&gt;100,"NM",IF(((FX296/FV296-1)*100)&lt;-50,"NM",(FX296/FV296-1)*100)))</f>
        <v>8.9463756399892134</v>
      </c>
      <c r="FZ296" s="75">
        <f>CE296+CG296+CI296+CK296</f>
        <v>422.09999999999997</v>
      </c>
      <c r="GA296" s="61">
        <f>IF(ISERROR((FZ296/FX296-1)*100),"NA",IF(((FZ296/FX296-1)*100)&gt;100,"NM",IF(((FZ296/FX296-1)*100)&lt;-50,"NM",(FZ296/FX296-1)*100)))</f>
        <v>4.4026712837002213</v>
      </c>
      <c r="GB296" s="75">
        <f>CM296+CO296+CQ296+CS296</f>
        <v>473.4</v>
      </c>
      <c r="GC296" s="61">
        <f>IF(ISERROR((GB296/FZ296-1)*100),"NA",IF(((GB296/FZ296-1)*100)&gt;100,"NM",IF(((GB296/FZ296-1)*100)&lt;-50,"NM",(GB296/FZ296-1)*100)))</f>
        <v>12.153518123667384</v>
      </c>
      <c r="GD296" s="75">
        <f>CU296+CW296+CY296+DA296</f>
        <v>536</v>
      </c>
      <c r="GE296" s="61">
        <f>IF(ISERROR((GD296/GB296-1)*100),"NA",IF(((GD296/GB296-1)*100)&gt;100,"NM",IF(((GD296/GB296-1)*100)&lt;-50,"NM",(GD296/GB296-1)*100)))</f>
        <v>13.223489649345165</v>
      </c>
      <c r="GF296" s="75">
        <f>DC296+DE296+DG296+DI296</f>
        <v>593</v>
      </c>
      <c r="GG296" s="61">
        <f>IF(ISERROR((GF296/GD296-1)*100),"NA",IF(((GF296/GD296-1)*100)&gt;100,"NM",IF(((GF296/GD296-1)*100)&lt;-50,"NM",(GF296/GD296-1)*100)))</f>
        <v>10.634328358208943</v>
      </c>
      <c r="GH296" s="75">
        <f>DK296+DM296+DO296+DQ296</f>
        <v>636</v>
      </c>
      <c r="GI296" s="61">
        <f>IF(ISERROR((GH296/GF296-1)*100),"NA",IF(((GH296/GF296-1)*100)&gt;100,"NM",IF(((GH296/GF296-1)*100)&lt;-50,"NM",(GH296/GF296-1)*100)))</f>
        <v>7.2512647554806131</v>
      </c>
      <c r="GJ296" s="75">
        <f>DS296+DU296+DW296+DY296</f>
        <v>657</v>
      </c>
      <c r="GK296" s="61">
        <f>IF(ISERROR((GJ296/GH296-1)*100),"NA",IF(((GJ296/GH296-1)*100)&gt;100,"NM",IF(((GJ296/GH296-1)*100)&lt;-50,"NM",(GJ296/GH296-1)*100)))</f>
        <v>3.3018867924528239</v>
      </c>
      <c r="GL296" s="75">
        <f>EA296+EC296+EE296+EG296</f>
        <v>709</v>
      </c>
      <c r="GM296" s="61">
        <f>IF(ISERROR((GL296/GJ296-1)*100),"NA",IF(((GL296/GJ296-1)*100)&gt;100,"NM",IF(((GL296/GJ296-1)*100)&lt;-50,"NM",(GL296/GJ296-1)*100)))</f>
        <v>7.9147640791476404</v>
      </c>
      <c r="GN296" s="75">
        <f>EI296+EK296+EM296+EO296</f>
        <v>690</v>
      </c>
      <c r="GO296" s="61">
        <f>IF(ISERROR((GN296/GL296-1)*100),"NA",IF(((GN296/GL296-1)*100)&gt;100,"NM",IF(((GN296/GL296-1)*100)&lt;-50,"NM",(GN296/GL296-1)*100)))</f>
        <v>-2.6798307475317307</v>
      </c>
      <c r="GP296" s="75">
        <f>EQ296+ES296+EU296+EW296</f>
        <v>1027.6517164427655</v>
      </c>
      <c r="GQ296" s="61">
        <f>IF(ISERROR((GP296/GN296-1)*100),"NA",IF(((GP296/GN296-1)*100)&gt;100,"NM",IF(((GP296/GN296-1)*100)&lt;-50,"NM",(GP296/GN296-1)*100)))</f>
        <v>48.935031368516732</v>
      </c>
      <c r="GR296" s="69">
        <f>GR302*GR288/100</f>
        <v>1294.4900941326484</v>
      </c>
      <c r="GS296" s="61">
        <f>IF(ISERROR((GR296/GP296-1)*100),"NA",IF(((GR296/GP296-1)*100)&gt;100,"NM",IF(((GR296/GP296-1)*100)&lt;-50,"NM",(GR296/GP296-1)*100)))</f>
        <v>25.965837785348977</v>
      </c>
      <c r="GT296" s="69">
        <f>GT302*GT288/100</f>
        <v>1265.7232153592258</v>
      </c>
      <c r="GU296" s="61">
        <f>IF(ISERROR((GT296/GR296-1)*100),"NA",IF(((GT296/GR296-1)*100)&gt;100,"NM",IF(((GT296/GR296-1)*100)&lt;-50,"NM",(GT296/GR296-1)*100)))</f>
        <v>-2.2222556127551862</v>
      </c>
      <c r="GV296" s="69">
        <f>GV302*GV288/100</f>
        <v>1273.4377263872232</v>
      </c>
      <c r="GW296" s="61">
        <f>IF(ISERROR((GV296/GT296-1)*100),"NA",IF(((GV296/GT296-1)*100)&gt;100,"NM",IF(((GV296/GT296-1)*100)&lt;-50,"NM",(GV296/GT296-1)*100)))</f>
        <v>0.60949431395298515</v>
      </c>
      <c r="GX296" s="69">
        <f>GX302*GX288/100</f>
        <v>1281.2185278693844</v>
      </c>
      <c r="GY296" s="61">
        <f>IF(ISERROR((GX296/GV296-1)*100),"NA",IF(((GX296/GV296-1)*100)&gt;100,"NM",IF(((GX296/GV296-1)*100)&lt;-50,"NM",(GX296/GV296-1)*100)))</f>
        <v>0.61100761512975499</v>
      </c>
      <c r="GZ296" s="61">
        <f t="shared" si="1909"/>
        <v>13.176125977110376</v>
      </c>
      <c r="HA296" s="61"/>
      <c r="HB296" s="452"/>
      <c r="HC296"/>
      <c r="HD296"/>
      <c r="HE296"/>
      <c r="HF296"/>
      <c r="HG296"/>
      <c r="HH296"/>
    </row>
    <row r="297" spans="2:216" s="106" customFormat="1" ht="12.75" customHeight="1" x14ac:dyDescent="0.2">
      <c r="B297" s="63" t="s">
        <v>524</v>
      </c>
      <c r="C297" s="196">
        <f>C296+C293</f>
        <v>115.61699999999999</v>
      </c>
      <c r="D297" s="193"/>
      <c r="E297" s="196">
        <f>E296+E293</f>
        <v>118.316</v>
      </c>
      <c r="F297" s="193"/>
      <c r="G297" s="196">
        <f>G296+G293</f>
        <v>123.143</v>
      </c>
      <c r="H297" s="193"/>
      <c r="I297" s="196">
        <f>I296+I293</f>
        <v>129.72999999999999</v>
      </c>
      <c r="J297" s="193"/>
      <c r="K297" s="196">
        <f>K296+K293</f>
        <v>126.744</v>
      </c>
      <c r="L297" s="193">
        <f>IF(ISERROR((K297/C297-1)*100),"NA",IF(((K297/C297-1)*100)&gt;100,"NM",IF(((K297/C297-1)*100)&lt;-50,"NM",(K297/C297-1)*100)))</f>
        <v>9.6240172293001969</v>
      </c>
      <c r="M297" s="196">
        <f>M296+M293</f>
        <v>128.03700000000001</v>
      </c>
      <c r="N297" s="193">
        <f>IF(ISERROR((M297/E297-1)*100),"NA",IF(((M297/E297-1)*100)&gt;100,"NM",IF(((M297/E297-1)*100)&lt;-50,"NM",(M297/E297-1)*100)))</f>
        <v>8.2161330673788946</v>
      </c>
      <c r="O297" s="196">
        <f>O296+O293</f>
        <v>138.215</v>
      </c>
      <c r="P297" s="193">
        <f>IF(ISERROR((O297/G297-1)*100),"NA",IF(((O297/G297-1)*100)&gt;100,"NM",IF(((O297/G297-1)*100)&lt;-50,"NM",(O297/G297-1)*100)))</f>
        <v>12.239428956578946</v>
      </c>
      <c r="Q297" s="196">
        <f>Q296+Q293</f>
        <v>140.32499999999999</v>
      </c>
      <c r="R297" s="193">
        <f>IF(ISERROR((Q297/I297-1)*100),"NA",IF(((Q297/I297-1)*100)&gt;100,"NM",IF(((Q297/I297-1)*100)&lt;-50,"NM",(Q297/I297-1)*100)))</f>
        <v>8.1669621521621938</v>
      </c>
      <c r="S297" s="196">
        <f>S296+S293</f>
        <v>143.49200000000002</v>
      </c>
      <c r="T297" s="193">
        <f>IF(ISERROR((S297/K297-1)*100),"NA",IF(((S297/K297-1)*100)&gt;100,"NM",IF(((S297/K297-1)*100)&lt;-50,"NM",(S297/K297-1)*100)))</f>
        <v>13.214037745376528</v>
      </c>
      <c r="U297" s="196">
        <f>U296+U293</f>
        <v>157.36099999999999</v>
      </c>
      <c r="V297" s="193">
        <f>IF(ISERROR((U297/M297-1)*100),"NA",IF(((U297/M297-1)*100)&gt;100,"NM",IF(((U297/M297-1)*100)&lt;-50,"NM",(U297/M297-1)*100)))</f>
        <v>22.902754672477464</v>
      </c>
      <c r="W297" s="196">
        <f>W296+W293</f>
        <v>165.846</v>
      </c>
      <c r="X297" s="193">
        <f>IF(ISERROR((W297/O297-1)*100),"NA",IF(((W297/O297-1)*100)&gt;100,"NM",IF(((W297/O297-1)*100)&lt;-50,"NM",(W297/O297-1)*100)))</f>
        <v>19.991317874326221</v>
      </c>
      <c r="Y297" s="196">
        <f>Y296+Y293</f>
        <v>158.57999999999998</v>
      </c>
      <c r="Z297" s="193">
        <f>IF(ISERROR((Y297/Q297-1)*100),"NA",IF(((Y297/Q297-1)*100)&gt;100,"NM",IF(((Y297/Q297-1)*100)&lt;-50,"NM",(Y297/Q297-1)*100)))</f>
        <v>13.009086050240516</v>
      </c>
      <c r="AA297" s="196">
        <f>AA296+AA293</f>
        <v>179.33999999999997</v>
      </c>
      <c r="AB297" s="193">
        <f>IF(ISERROR((AA297/S297-1)*100),"NA",IF(((AA297/S297-1)*100)&gt;100,"NM",IF(((AA297/S297-1)*100)&lt;-50,"NM",(AA297/S297-1)*100)))</f>
        <v>24.982577425919182</v>
      </c>
      <c r="AC297" s="196">
        <f>AC296+AC293</f>
        <v>188.596</v>
      </c>
      <c r="AD297" s="193">
        <f>IF(ISERROR((AC297/U297-1)*100),"NA",IF(((AC297/U297-1)*100)&gt;100,"NM",IF(((AC297/U297-1)*100)&lt;-50,"NM",(AC297/U297-1)*100)))</f>
        <v>19.849263794714076</v>
      </c>
      <c r="AE297" s="196">
        <f>AE296+AE293</f>
        <v>190.76499999999999</v>
      </c>
      <c r="AF297" s="193">
        <f>IF(ISERROR((AE297/W297-1)*100),"NA",IF(((AE297/W297-1)*100)&gt;100,"NM",IF(((AE297/W297-1)*100)&lt;-50,"NM",(AE297/W297-1)*100)))</f>
        <v>15.025384995718905</v>
      </c>
      <c r="AG297" s="196">
        <f>AG296+AG293</f>
        <v>183.15199999999999</v>
      </c>
      <c r="AH297" s="193">
        <f>IF(ISERROR((AG297/Y297-1)*100),"NA",IF(((AG297/Y297-1)*100)&gt;100,"NM",IF(((AG297/Y297-1)*100)&lt;-50,"NM",(AG297/Y297-1)*100)))</f>
        <v>15.4950182872998</v>
      </c>
      <c r="AI297" s="196">
        <f>AI296+AI293</f>
        <v>233.26000000000002</v>
      </c>
      <c r="AJ297" s="193">
        <f>IF(ISERROR((AI297/AA297-1)*100),"NA",IF(((AI297/AA297-1)*100)&gt;100,"NM",IF(((AI297/AA297-1)*100)&lt;-50,"NM",(AI297/AA297-1)*100)))</f>
        <v>30.065796810527523</v>
      </c>
      <c r="AK297" s="196">
        <f>AK296+AK293</f>
        <v>300.70300000000003</v>
      </c>
      <c r="AL297" s="193">
        <f>IF(ISERROR((AK297/AC297-1)*100),"NA",IF(((AK297/AC297-1)*100)&gt;100,"NM",IF(((AK297/AC297-1)*100)&lt;-50,"NM",(AK297/AC297-1)*100)))</f>
        <v>59.442936223461793</v>
      </c>
      <c r="AM297" s="196">
        <f>AM296+AM293</f>
        <v>277.61099999999999</v>
      </c>
      <c r="AN297" s="193">
        <f>IF(ISERROR((AM297/AE297-1)*100),"NA",IF(((AM297/AE297-1)*100)&gt;100,"NM",IF(((AM297/AE297-1)*100)&lt;-50,"NM",(AM297/AE297-1)*100)))</f>
        <v>45.525122532959394</v>
      </c>
      <c r="AO297" s="196">
        <f>AO296+AO293</f>
        <v>281.71699999999998</v>
      </c>
      <c r="AP297" s="193">
        <f>IF(ISERROR((AO297/AG297-1)*100),"NA",IF(((AO297/AG297-1)*100)&gt;100,"NM",IF(((AO297/AG297-1)*100)&lt;-50,"NM",(AO297/AG297-1)*100)))</f>
        <v>53.815956145715035</v>
      </c>
      <c r="AQ297" s="196">
        <f>AQ296+AQ293</f>
        <v>261.38800000000003</v>
      </c>
      <c r="AR297" s="193">
        <f>IF(ISERROR((AQ297/AI297-1)*100),"NA",IF(((AQ297/AI297-1)*100)&gt;100,"NM",IF(((AQ297/AI297-1)*100)&lt;-50,"NM",(AQ297/AI297-1)*100)))</f>
        <v>12.058647003343914</v>
      </c>
      <c r="AS297" s="196">
        <f>AS296+AS293</f>
        <v>301.33699999999999</v>
      </c>
      <c r="AT297" s="193">
        <f>IF(ISERROR((AS297/AK297-1)*100),"NA",IF(((AS297/AK297-1)*100)&gt;100,"NM",IF(((AS297/AK297-1)*100)&lt;-50,"NM",(AS297/AK297-1)*100)))</f>
        <v>0.21083926665179664</v>
      </c>
      <c r="AU297" s="196">
        <f>AU296+AU293</f>
        <v>287.86799999999999</v>
      </c>
      <c r="AV297" s="13">
        <f>IF(ISERROR((AU297/AM297-1)*100),"NA",IF(((AU297/AM297-1)*100)&gt;100,"NM",IF(((AU297/AM297-1)*100)&lt;-50,"NM",(AU297/AM297-1)*100)))</f>
        <v>3.6947383208878692</v>
      </c>
      <c r="AW297" s="196">
        <f>AW296+AW293</f>
        <v>294.80099999999999</v>
      </c>
      <c r="AX297" s="187">
        <f>IF(ISERROR((AW297/AO297-1)*100),"NA",IF(((AW297/AO297-1)*100)&gt;100,"NM",IF(((AW297/AO297-1)*100)&lt;-50,"NM",(AW297/AO297-1)*100)))</f>
        <v>4.6443771586379246</v>
      </c>
      <c r="AY297" s="196"/>
      <c r="AZ297" s="187" t="str">
        <f>IF(ISERROR((AY297/AQ297-1)*100),"NA",IF(((AY297/AQ297-1)*100)&gt;100,"NM",IF(((AY297/AQ297-1)*100)&lt;-50,"NM",(AY297/AQ297-1)*100)))</f>
        <v>NM</v>
      </c>
      <c r="BA297" s="196">
        <f>BA296+BA293</f>
        <v>298</v>
      </c>
      <c r="BB297" s="187">
        <f>IF(ISERROR((BA297/AS297-1)*100),"NA",IF(((BA297/AS297-1)*100)&gt;100,"NM",IF(((BA297/AS297-1)*100)&lt;-50,"NM",(BA297/AS297-1)*100)))</f>
        <v>-1.1073980294487584</v>
      </c>
      <c r="BC297" s="196">
        <f>BC296+BC293</f>
        <v>287.89999999999998</v>
      </c>
      <c r="BD297" s="187">
        <f>IF(ISERROR((BC297/AU297-1)*100),"NA",IF(((BC297/AU297-1)*100)&gt;100,"NM",IF(((BC297/AU297-1)*100)&lt;-50,"NM",(BC297/AU297-1)*100)))</f>
        <v>1.1116206038863652E-2</v>
      </c>
      <c r="BE297" s="196">
        <f>BE296+BE293</f>
        <v>293.60000000000002</v>
      </c>
      <c r="BF297" s="187">
        <f>IF(ISERROR((BE297/AW297-1)*100),"NA",IF(((BE297/AW297-1)*100)&gt;100,"NM",IF(((BE297/AW297-1)*100)&lt;-50,"NM",(BE297/AW297-1)*100)))</f>
        <v>-0.40739346203030324</v>
      </c>
      <c r="BG297" s="104">
        <f>BG296+BG293</f>
        <v>324.89999999999998</v>
      </c>
      <c r="BH297" s="187" t="str">
        <f>IF(ISERROR((BG297/AY297-1)*100),"NA",IF(((BG297/AY297-1)*100)&gt;100,"NM",IF(((BG297/AY297-1)*100)&lt;-50,"NM",(BG297/AY297-1)*100)))</f>
        <v>NA</v>
      </c>
      <c r="BI297" s="104">
        <f>BI296+BI293</f>
        <v>346.4</v>
      </c>
      <c r="BJ297" s="187">
        <f>IF(ISERROR((BI297/BA297-1)*100),"NA",IF(((BI297/BA297-1)*100)&gt;100,"NM",IF(((BI297/BA297-1)*100)&lt;-50,"NM",(BI297/BA297-1)*100)))</f>
        <v>16.24161073825503</v>
      </c>
      <c r="BK297" s="104">
        <f>BK296+BK293</f>
        <v>316.39999999999998</v>
      </c>
      <c r="BL297" s="187">
        <f>IF(ISERROR((BK297/BC297-1)*100),"NA",IF(((BK297/BC297-1)*100)&gt;100,"NM",IF(((BK297/BC297-1)*100)&lt;-50,"NM",(BK297/BC297-1)*100)))</f>
        <v>9.8992705800625238</v>
      </c>
      <c r="BM297" s="104">
        <f>BM296+BM293</f>
        <v>337.2</v>
      </c>
      <c r="BN297" s="187">
        <f>IF(ISERROR((BM297/BE297-1)*100),"NA",IF(((BM297/BE297-1)*100)&gt;100,"NM",IF(((BM297/BE297-1)*100)&lt;-50,"NM",(BM297/BE297-1)*100)))</f>
        <v>14.850136239781996</v>
      </c>
      <c r="BO297" s="104">
        <f>BO296+BO293</f>
        <v>359</v>
      </c>
      <c r="BP297" s="187">
        <f>IF(ISERROR((BO297/BG297-1)*100),"NA",IF(((BO297/BG297-1)*100)&gt;100,"NM",IF(((BO297/BG297-1)*100)&lt;-50,"NM",(BO297/BG297-1)*100)))</f>
        <v>10.495537088334883</v>
      </c>
      <c r="BQ297" s="104">
        <f>BQ296+BQ293</f>
        <v>375.2</v>
      </c>
      <c r="BR297" s="187">
        <f>IF(ISERROR((BQ297/BI297-1)*100),"NA",IF(((BQ297/BI297-1)*100)&gt;100,"NM",IF(((BQ297/BI297-1)*100)&lt;-50,"NM",(BQ297/BI297-1)*100)))</f>
        <v>8.3140877598152372</v>
      </c>
      <c r="BS297" s="104">
        <f>BS296+BS293</f>
        <v>360.8</v>
      </c>
      <c r="BT297" s="187">
        <f>IF(ISERROR((BS297/BK297-1)*100),"NA",IF(((BS297/BK297-1)*100)&gt;100,"NM",IF(((BS297/BK297-1)*100)&lt;-50,"NM",(BS297/BK297-1)*100)))</f>
        <v>14.03286978508218</v>
      </c>
      <c r="BU297" s="159">
        <f>BU296+BU293</f>
        <v>384.1</v>
      </c>
      <c r="BV297" s="187">
        <f>IF(ISERROR((BU297/BM297-1)*100),"NA",IF(((BU297/BM297-1)*100)&gt;100,"NM",IF(((BU297/BM297-1)*100)&lt;-50,"NM",(BU297/BM297-1)*100)))</f>
        <v>13.908659549228952</v>
      </c>
      <c r="BW297" s="104">
        <f>BW296+BW293</f>
        <v>381.9</v>
      </c>
      <c r="BX297" s="187">
        <f>IF(ISERROR((BW297/BO297-1)*100),"NA",IF(((BW297/BO297-1)*100)&gt;100,"NM",IF(((BW297/BO297-1)*100)&lt;-50,"NM",(BW297/BO297-1)*100)))</f>
        <v>6.3788300835654566</v>
      </c>
      <c r="BY297" s="104">
        <f>BY296+BY293</f>
        <v>391.2</v>
      </c>
      <c r="BZ297" s="187">
        <f>IF(ISERROR((BY297/BQ297-1)*100),"NA",IF(((BY297/BQ297-1)*100)&gt;100,"NM",IF(((BY297/BQ297-1)*100)&lt;-50,"NM",(BY297/BQ297-1)*100)))</f>
        <v>4.2643923240938131</v>
      </c>
      <c r="CA297" s="104">
        <f>CA296+CA293</f>
        <v>361.40000000000003</v>
      </c>
      <c r="CB297" s="187">
        <f>IF(ISERROR((CA297/BS297-1)*100),"NA",IF(((CA297/BS297-1)*100)&gt;100,"NM",IF(((CA297/BS297-1)*100)&lt;-50,"NM",(CA297/BS297-1)*100)))</f>
        <v>0.1662971175166339</v>
      </c>
      <c r="CC297" s="104">
        <f>CC296+CC293</f>
        <v>387.20000000000005</v>
      </c>
      <c r="CD297" s="187">
        <f>IF(ISERROR((CC297/BU297-1)*100),"NA",IF(((CC297/BU297-1)*100)&gt;100,"NM",IF(((CC297/BU297-1)*100)&lt;-50,"NM",(CC297/BU297-1)*100)))</f>
        <v>0.80708148919552691</v>
      </c>
      <c r="CE297" s="104">
        <f>CE296+CE293</f>
        <v>412.29999999999995</v>
      </c>
      <c r="CF297" s="187">
        <f>IF(ISERROR((CE297/BW297-1)*100),"NA",IF(((CE297/BW297-1)*100)&gt;100,"NM",IF(((CE297/BW297-1)*100)&lt;-50,"NM",(CE297/BW297-1)*100)))</f>
        <v>7.9601990049751103</v>
      </c>
      <c r="CG297" s="104">
        <f>CG296+CG293</f>
        <v>435.5</v>
      </c>
      <c r="CH297" s="187">
        <f>IF(ISERROR((CG297/BY297-1)*100),"NA",IF(((CG297/BY297-1)*100)&gt;100,"NM",IF(((CG297/BY297-1)*100)&lt;-50,"NM",(CG297/BY297-1)*100)))</f>
        <v>11.324130879345606</v>
      </c>
      <c r="CI297" s="104">
        <f>CI296+CI293</f>
        <v>436.79999999999995</v>
      </c>
      <c r="CJ297" s="187">
        <f>IF(ISERROR((CI297/CA297-1)*100),"NA",IF(((CI297/CA297-1)*100)&gt;100,"NM",IF(((CI297/CA297-1)*100)&lt;-50,"NM",(CI297/CA297-1)*100)))</f>
        <v>20.863309352517966</v>
      </c>
      <c r="CK297" s="104">
        <f>CK296+CK293</f>
        <v>436.6</v>
      </c>
      <c r="CL297" s="187">
        <f>IF(ISERROR((CK297/CC297-1)*100),"NA",IF(((CK297/CC297-1)*100)&gt;100,"NM",IF(((CK297/CC297-1)*100)&lt;-50,"NM",(CK297/CC297-1)*100)))</f>
        <v>12.758264462809921</v>
      </c>
      <c r="CM297" s="104">
        <f>CM296+CM293</f>
        <v>440.69999999999993</v>
      </c>
      <c r="CN297" s="187">
        <f>IF(ISERROR((CM297/CE297-1)*100),"NA",IF(((CM297/CE297-1)*100)&gt;100,"NM",IF(((CM297/CE297-1)*100)&lt;-50,"NM",(CM297/CE297-1)*100)))</f>
        <v>6.8881882124666394</v>
      </c>
      <c r="CO297" s="104">
        <f>CO296+CO293</f>
        <v>461.20000000000005</v>
      </c>
      <c r="CP297" s="187">
        <f>IF(ISERROR((CO297/CG297-1)*100),"NA",IF(((CO297/CG297-1)*100)&gt;100,"NM",IF(((CO297/CG297-1)*100)&lt;-50,"NM",(CO297/CG297-1)*100)))</f>
        <v>5.9012629161883101</v>
      </c>
      <c r="CQ297" s="104">
        <f>CQ296+CQ293</f>
        <v>438.1</v>
      </c>
      <c r="CR297" s="187">
        <f>IF(ISERROR((CQ297/CI297-1)*100),"NA",IF(((CQ297/CI297-1)*100)&gt;100,"NM",IF(((CQ297/CI297-1)*100)&lt;-50,"NM",(CQ297/CI297-1)*100)))</f>
        <v>0.29761904761906877</v>
      </c>
      <c r="CS297" s="104">
        <f>CS296+CS293</f>
        <v>450</v>
      </c>
      <c r="CT297" s="187">
        <f>IF(ISERROR((CS297/CK297-1)*100),"NA",IF(((CS297/CK297-1)*100)&gt;100,"NM",IF(((CS297/CK297-1)*100)&lt;-50,"NM",(CS297/CK297-1)*100)))</f>
        <v>3.0691708657810235</v>
      </c>
      <c r="CU297" s="104">
        <f>CU296+CU293</f>
        <v>479</v>
      </c>
      <c r="CV297" s="187">
        <f>IF(ISERROR((CU297/CM297-1)*100),"NA",IF(((CU297/CM297-1)*100)&gt;100,"NM",IF(((CU297/CM297-1)*100)&lt;-50,"NM",(CU297/CM297-1)*100)))</f>
        <v>8.690719310188344</v>
      </c>
      <c r="CW297" s="104">
        <f>CW296+CW293</f>
        <v>498</v>
      </c>
      <c r="CX297" s="187">
        <f>IF(ISERROR((CW297/CO297-1)*100),"NA",IF(((CW297/CO297-1)*100)&gt;100,"NM",IF(((CW297/CO297-1)*100)&lt;-50,"NM",(CW297/CO297-1)*100)))</f>
        <v>7.9791847354726775</v>
      </c>
      <c r="CY297" s="104">
        <f>CY296+CY293</f>
        <v>493</v>
      </c>
      <c r="CZ297" s="187">
        <f>IF(ISERROR((CY297/CQ297-1)*100),"NA",IF(((CY297/CQ297-1)*100)&gt;100,"NM",IF(((CY297/CQ297-1)*100)&lt;-50,"NM",(CY297/CQ297-1)*100)))</f>
        <v>12.53138552841817</v>
      </c>
      <c r="DA297" s="104">
        <f>DA296+DA293</f>
        <v>511</v>
      </c>
      <c r="DB297" s="187">
        <f>IF(ISERROR((DA297/CS297-1)*100),"NA",IF(((DA297/CS297-1)*100)&gt;100,"NM",IF(((DA297/CS297-1)*100)&lt;-50,"NM",(DA297/CS297-1)*100)))</f>
        <v>13.555555555555564</v>
      </c>
      <c r="DC297" s="104">
        <f>DC296+DC293</f>
        <v>528</v>
      </c>
      <c r="DD297" s="187">
        <f>IF(ISERROR((DC297/CU297-1)*100),"NA",IF(((DC297/CU297-1)*100)&gt;100,"NM",IF(((DC297/CU297-1)*100)&lt;-50,"NM",(DC297/CU297-1)*100)))</f>
        <v>10.229645093945727</v>
      </c>
      <c r="DE297" s="104">
        <f>DE296+DE293</f>
        <v>541</v>
      </c>
      <c r="DF297" s="187">
        <f>IF(ISERROR((DE297/CW297-1)*100),"NA",IF(((DE297/CW297-1)*100)&gt;100,"NM",IF(((DE297/CW297-1)*100)&lt;-50,"NM",(DE297/CW297-1)*100)))</f>
        <v>8.634538152610439</v>
      </c>
      <c r="DG297" s="104">
        <f>DG296+DG293</f>
        <v>525</v>
      </c>
      <c r="DH297" s="187">
        <f>IF(ISERROR((DG297/CY297-1)*100),"NA",IF(((DG297/CY297-1)*100)&gt;100,"NM",IF(((DG297/CY297-1)*100)&lt;-50,"NM",(DG297/CY297-1)*100)))</f>
        <v>6.4908722109533468</v>
      </c>
      <c r="DI297" s="104">
        <f>DI296+DI293</f>
        <v>558</v>
      </c>
      <c r="DJ297" s="187">
        <f>IF(ISERROR((DI297/DA297-1)*100),"NA",IF(((DI297/DA297-1)*100)&gt;100,"NM",IF(((DI297/DA297-1)*100)&lt;-50,"NM",(DI297/DA297-1)*100)))</f>
        <v>9.1976516634050931</v>
      </c>
      <c r="DK297" s="104">
        <f>DK296+DK293</f>
        <v>580</v>
      </c>
      <c r="DL297" s="187">
        <f>IF(ISERROR((DK297/DC297-1)*100),"NA",IF(((DK297/DC297-1)*100)&gt;100,"NM",IF(((DK297/DC297-1)*100)&lt;-50,"NM",(DK297/DC297-1)*100)))</f>
        <v>9.8484848484848406</v>
      </c>
      <c r="DM297" s="104">
        <f>DM296+DM293</f>
        <v>618</v>
      </c>
      <c r="DN297" s="130">
        <f t="shared" si="2058"/>
        <v>14.232902033271721</v>
      </c>
      <c r="DO297" s="104">
        <f>DO296+DO293</f>
        <v>586</v>
      </c>
      <c r="DP297" s="130">
        <f t="shared" si="2058"/>
        <v>11.619047619047617</v>
      </c>
      <c r="DQ297" s="104">
        <f>DQ296+DQ293</f>
        <v>626</v>
      </c>
      <c r="DR297" s="130">
        <f t="shared" si="2058"/>
        <v>12.186379928315416</v>
      </c>
      <c r="DS297" s="104">
        <f>DS296+DS293</f>
        <v>615</v>
      </c>
      <c r="DT297" s="130">
        <f t="shared" si="2058"/>
        <v>6.0344827586206851</v>
      </c>
      <c r="DU297" s="104">
        <f>DU296+DU293</f>
        <v>587</v>
      </c>
      <c r="DV297" s="130">
        <f t="shared" si="2058"/>
        <v>-5.0161812297734638</v>
      </c>
      <c r="DW297" s="104">
        <f>DW296+DW293</f>
        <v>544</v>
      </c>
      <c r="DX297" s="104">
        <f t="shared" ref="DX297:DY297" si="2082">DX296+DX293</f>
        <v>544</v>
      </c>
      <c r="DY297" s="104">
        <f t="shared" si="2082"/>
        <v>545</v>
      </c>
      <c r="DZ297" s="130">
        <f t="shared" si="2058"/>
        <v>-12.939297124600635</v>
      </c>
      <c r="EA297" s="104">
        <f t="shared" ref="EA297:EC297" si="2083">EA296+EA293</f>
        <v>526</v>
      </c>
      <c r="EB297" s="130">
        <f t="shared" si="2059"/>
        <v>-14.471544715447159</v>
      </c>
      <c r="EC297" s="104">
        <f t="shared" si="2083"/>
        <v>502</v>
      </c>
      <c r="ED297" s="130">
        <f t="shared" si="2060"/>
        <v>-14.480408858603067</v>
      </c>
      <c r="EE297" s="104">
        <f t="shared" ref="EE297:EG297" si="2084">EE296+EE293</f>
        <v>490</v>
      </c>
      <c r="EF297" s="130">
        <f t="shared" si="2061"/>
        <v>-9.9264705882352917</v>
      </c>
      <c r="EG297" s="104">
        <f t="shared" si="2084"/>
        <v>512</v>
      </c>
      <c r="EH297" s="130">
        <f t="shared" si="2062"/>
        <v>-6.0550458715596278</v>
      </c>
      <c r="EI297" s="104">
        <f t="shared" ref="EI297:EK297" si="2085">EI296+EI293</f>
        <v>530</v>
      </c>
      <c r="EJ297" s="130">
        <f t="shared" si="2063"/>
        <v>0.76045627376426506</v>
      </c>
      <c r="EK297" s="104">
        <f t="shared" si="2085"/>
        <v>488</v>
      </c>
      <c r="EL297" s="130">
        <f t="shared" si="2064"/>
        <v>-2.7888446215139417</v>
      </c>
      <c r="EM297" s="104">
        <f t="shared" ref="EM297" si="2086">EM296+EM293</f>
        <v>501</v>
      </c>
      <c r="EN297" s="130">
        <f t="shared" si="2065"/>
        <v>2.2448979591836782</v>
      </c>
      <c r="EO297" s="104">
        <f t="shared" ref="EO297" si="2087">EO296+EO293</f>
        <v>523</v>
      </c>
      <c r="EP297" s="130">
        <f t="shared" si="2066"/>
        <v>2.1484375</v>
      </c>
      <c r="EQ297" s="102">
        <f t="shared" ref="EQ297:EW297" si="2088">EQ296+EQ293</f>
        <v>539.52480000000003</v>
      </c>
      <c r="ER297" s="130">
        <f t="shared" si="2068"/>
        <v>1.7971320754716968</v>
      </c>
      <c r="ES297" s="102">
        <f t="shared" si="2088"/>
        <v>533.07063837499993</v>
      </c>
      <c r="ET297" s="130">
        <f t="shared" si="2069"/>
        <v>9.2357865522540763</v>
      </c>
      <c r="EU297" s="102">
        <f t="shared" si="2088"/>
        <v>948.18826923187498</v>
      </c>
      <c r="EV297" s="130">
        <f t="shared" si="2070"/>
        <v>89.259135575224562</v>
      </c>
      <c r="EW297" s="102">
        <f t="shared" si="2088"/>
        <v>961.86937995362791</v>
      </c>
      <c r="EX297" s="130">
        <f t="shared" si="2071"/>
        <v>83.91383937927877</v>
      </c>
      <c r="EY297" s="103"/>
      <c r="EZ297" s="558"/>
      <c r="FA297" s="103"/>
      <c r="FB297" s="196">
        <f>FB296+FB293</f>
        <v>276.51900000000001</v>
      </c>
      <c r="FC297" s="207"/>
      <c r="FD297" s="196">
        <f>FD296+FD293</f>
        <v>126.697</v>
      </c>
      <c r="FE297" s="184" t="str">
        <f>IF(ISERROR((FD297/FB297-1)*100),"NA",IF(((FD297/FB297-1)*100)&gt;100,"NM",IF(((FD297/FB297-1)*100)&lt;-50,"NM",(FD297/FB297-1)*100)))</f>
        <v>NM</v>
      </c>
      <c r="FF297" s="196">
        <f>FF296+FF293</f>
        <v>486.80599999999998</v>
      </c>
      <c r="FG297" s="184" t="str">
        <f>IF(ISERROR((FF297/FD297-1)*100),"NA",IF(((FF297/FD297-1)*100)&gt;100,"NM",IF(((FF297/FD297-1)*100)&lt;-50,"NM",(FF297/FD297-1)*100)))</f>
        <v>NM</v>
      </c>
      <c r="FH297" s="196">
        <f>FH296+FH293</f>
        <v>533.32100000000003</v>
      </c>
      <c r="FI297" s="184">
        <f>IF(ISERROR((FH297/FF297-1)*100),"NA",IF(((FH297/FF297-1)*100)&gt;100,"NM",IF(((FH297/FF297-1)*100)&lt;-50,"NM",(FH297/FF297-1)*100)))</f>
        <v>9.5551410623533997</v>
      </c>
      <c r="FJ297" s="196">
        <f>FJ296+FJ293</f>
        <v>625.279</v>
      </c>
      <c r="FK297" s="184">
        <f>IF(ISERROR((FJ297/FH297-1)*100),"NA",IF(((FJ297/FH297-1)*100)&gt;100,"NM",IF(((FJ297/FH297-1)*100)&lt;-50,"NM",(FJ297/FH297-1)*100)))</f>
        <v>17.242523733361324</v>
      </c>
      <c r="FL297" s="196">
        <f>FL296+FL293</f>
        <v>741.85299999999984</v>
      </c>
      <c r="FM297" s="184">
        <f>IF(ISERROR((FL297/FJ297-1)*100),"NA",IF(((FL297/FJ297-1)*100)&gt;100,"NM",IF(((FL297/FJ297-1)*100)&lt;-50,"NM",(FL297/FJ297-1)*100)))</f>
        <v>18.64351753377289</v>
      </c>
      <c r="FN297" s="196">
        <f>FN296+FN293</f>
        <v>1093.2910000000002</v>
      </c>
      <c r="FO297" s="184">
        <f>IF(ISERROR((FN297/FL297-1)*100),"NA",IF(((FN297/FL297-1)*100)&gt;100,"NM",IF(((FN297/FL297-1)*100)&lt;-50,"NM",(FN297/FL297-1)*100)))</f>
        <v>47.372997076240232</v>
      </c>
      <c r="FP297" s="104">
        <f>FP296+FP293</f>
        <v>1145.394</v>
      </c>
      <c r="FQ297" s="187">
        <f>IF(ISERROR((FP297/FN297-1)*100),"NA",IF(((FP297/FN297-1)*100)&gt;100,"NM",IF(((FP297/FN297-1)*100)&lt;-50,"NM",(FP297/FN297-1)*100)))</f>
        <v>4.7657028183712979</v>
      </c>
      <c r="FR297" s="104">
        <f>FR296+FR293</f>
        <v>879.5</v>
      </c>
      <c r="FS297" s="61">
        <f>IF(ISERROR((FR297/FP297-1)*100),"NA",IF(((FR297/FP297-1)*100)&gt;100,"NM",IF(((FR297/FP297-1)*100)&lt;-50,"NM",(FR297/FP297-1)*100)))</f>
        <v>-23.214195290005012</v>
      </c>
      <c r="FT297" s="104">
        <f>FT296+FT293</f>
        <v>1324.9</v>
      </c>
      <c r="FU297" s="61">
        <f>IF(ISERROR((FT297/FR297-1)*100),"NA",IF(((FT297/FR297-1)*100)&gt;100,"NM",IF(((FT297/FR297-1)*100)&lt;-50,"NM",(FT297/FR297-1)*100)))</f>
        <v>50.642410460488918</v>
      </c>
      <c r="FV297" s="159">
        <f>FV296+FV293</f>
        <v>1479.1</v>
      </c>
      <c r="FW297" s="61">
        <f>IF(ISERROR((FV297/FT297-1)*100),"NA",IF(((FV297/FT297-1)*100)&gt;100,"NM",IF(((FV297/FT297-1)*100)&lt;-50,"NM",(FV297/FT297-1)*100)))</f>
        <v>11.638614235036581</v>
      </c>
      <c r="FX297" s="104">
        <f>FX296+FX293</f>
        <v>1521.7</v>
      </c>
      <c r="FY297" s="61">
        <f>IF(ISERROR((FX297/FV297-1)*100),"NA",IF(((FX297/FV297-1)*100)&gt;100,"NM",IF(((FX297/FV297-1)*100)&lt;-50,"NM",(FX297/FV297-1)*100)))</f>
        <v>2.8801298086674532</v>
      </c>
      <c r="FZ297" s="104">
        <f>FZ296+FZ293</f>
        <v>1721.1999999999998</v>
      </c>
      <c r="GA297" s="61">
        <f>IF(ISERROR((FZ297/FX297-1)*100),"NA",IF(((FZ297/FX297-1)*100)&gt;100,"NM",IF(((FZ297/FX297-1)*100)&lt;-50,"NM",(FZ297/FX297-1)*100)))</f>
        <v>13.110337122954574</v>
      </c>
      <c r="GB297" s="104">
        <f>GB296+GB293</f>
        <v>1790</v>
      </c>
      <c r="GC297" s="61">
        <f>IF(ISERROR((GB297/FZ297-1)*100),"NA",IF(((GB297/FZ297-1)*100)&gt;100,"NM",IF(((GB297/FZ297-1)*100)&lt;-50,"NM",(GB297/FZ297-1)*100)))</f>
        <v>3.9972112479665478</v>
      </c>
      <c r="GD297" s="104">
        <f>GD296+GD293</f>
        <v>1981</v>
      </c>
      <c r="GE297" s="61">
        <f>IF(ISERROR((GD297/GB297-1)*100),"NA",IF(((GD297/GB297-1)*100)&gt;100,"NM",IF(((GD297/GB297-1)*100)&lt;-50,"NM",(GD297/GB297-1)*100)))</f>
        <v>10.670391061452511</v>
      </c>
      <c r="GF297" s="104">
        <f>GF296+GF293</f>
        <v>2152</v>
      </c>
      <c r="GG297" s="61">
        <f>IF(ISERROR((GF297/GD297-1)*100),"NA",IF(((GF297/GD297-1)*100)&gt;100,"NM",IF(((GF297/GD297-1)*100)&lt;-50,"NM",(GF297/GD297-1)*100)))</f>
        <v>8.6320040383644603</v>
      </c>
      <c r="GH297" s="104">
        <f>GH296+GH293</f>
        <v>2410</v>
      </c>
      <c r="GI297" s="61">
        <f>IF(ISERROR((GH297/GF297-1)*100),"NA",IF(((GH297/GF297-1)*100)&gt;100,"NM",IF(((GH297/GF297-1)*100)&lt;-50,"NM",(GH297/GF297-1)*100)))</f>
        <v>11.988847583643114</v>
      </c>
      <c r="GJ297" s="104">
        <f>GJ296+GJ293</f>
        <v>2291</v>
      </c>
      <c r="GK297" s="61">
        <f>IF(ISERROR((GJ297/GH297-1)*100),"NA",IF(((GJ297/GH297-1)*100)&gt;100,"NM",IF(((GJ297/GH297-1)*100)&lt;-50,"NM",(GJ297/GH297-1)*100)))</f>
        <v>-4.9377593360995897</v>
      </c>
      <c r="GL297" s="104">
        <f>GL296+GL293</f>
        <v>2030</v>
      </c>
      <c r="GM297" s="61">
        <f>IF(ISERROR((GL297/GJ297-1)*100),"NA",IF(((GL297/GJ297-1)*100)&gt;100,"NM",IF(((GL297/GJ297-1)*100)&lt;-50,"NM",(GL297/GJ297-1)*100)))</f>
        <v>-11.392405063291145</v>
      </c>
      <c r="GN297" s="104">
        <f>GN296+GN293</f>
        <v>2042</v>
      </c>
      <c r="GO297" s="61">
        <f>IF(ISERROR((GN297/GL297-1)*100),"NA",IF(((GN297/GL297-1)*100)&gt;100,"NM",IF(((GN297/GL297-1)*100)&lt;-50,"NM",(GN297/GL297-1)*100)))</f>
        <v>0.59113300492610321</v>
      </c>
      <c r="GP297" s="104">
        <f>GP296+GP293</f>
        <v>2982.6530875605026</v>
      </c>
      <c r="GQ297" s="61">
        <f>IF(ISERROR((GP297/GN297-1)*100),"NA",IF(((GP297/GN297-1)*100)&gt;100,"NM",IF(((GP297/GN297-1)*100)&lt;-50,"NM",(GP297/GN297-1)*100)))</f>
        <v>46.065283426077499</v>
      </c>
      <c r="GR297" s="102">
        <f>GR296+GR293</f>
        <v>3846.7760750052093</v>
      </c>
      <c r="GS297" s="61">
        <f>IF(ISERROR((GR297/GP297-1)*100),"NA",IF(((GR297/GP297-1)*100)&gt;100,"NM",IF(((GR297/GP297-1)*100)&lt;-50,"NM",(GR297/GP297-1)*100)))</f>
        <v>28.971622313323351</v>
      </c>
      <c r="GT297" s="102">
        <f>GT296+GT293</f>
        <v>3817.5845366479875</v>
      </c>
      <c r="GU297" s="61">
        <f>IF(ISERROR((GT297/GR297-1)*100),"NA",IF(((GT297/GR297-1)*100)&gt;100,"NM",IF(((GT297/GR297-1)*100)&lt;-50,"NM",(GT297/GR297-1)*100)))</f>
        <v>-0.75885722974353698</v>
      </c>
      <c r="GV297" s="102">
        <f>GV296+GV293</f>
        <v>3840.8524973292051</v>
      </c>
      <c r="GW297" s="61">
        <f>IF(ISERROR((GV297/GT297-1)*100),"NA",IF(((GV297/GT297-1)*100)&gt;100,"NM",IF(((GV297/GT297-1)*100)&lt;-50,"NM",(GV297/GT297-1)*100)))</f>
        <v>0.60949431395298515</v>
      </c>
      <c r="GX297" s="102">
        <f>GX296+GX293</f>
        <v>3864.3203985737882</v>
      </c>
      <c r="GY297" s="61">
        <f>IF(ISERROR((GX297/GV297-1)*100),"NA",IF(((GX297/GV297-1)*100)&gt;100,"NM",IF(((GX297/GV297-1)*100)&lt;-50,"NM",(GX297/GV297-1)*100)))</f>
        <v>0.61100761512975499</v>
      </c>
      <c r="GZ297" s="61">
        <f t="shared" si="1909"/>
        <v>13.606577870379798</v>
      </c>
      <c r="HA297" s="61"/>
      <c r="HB297" s="452"/>
      <c r="HC297"/>
      <c r="HD297"/>
      <c r="HE297"/>
      <c r="HF297"/>
      <c r="HG297"/>
      <c r="HH297"/>
    </row>
    <row r="298" spans="2:216" s="5" customFormat="1" ht="12.75" customHeight="1" x14ac:dyDescent="0.2">
      <c r="B298" s="2"/>
      <c r="C298" s="192"/>
      <c r="D298" s="205"/>
      <c r="E298" s="192"/>
      <c r="F298" s="199"/>
      <c r="G298" s="192"/>
      <c r="H298" s="199"/>
      <c r="I298" s="192"/>
      <c r="J298" s="193"/>
      <c r="K298" s="192"/>
      <c r="L298" s="193"/>
      <c r="M298" s="192"/>
      <c r="N298" s="193"/>
      <c r="O298" s="192"/>
      <c r="P298" s="193"/>
      <c r="Q298" s="192"/>
      <c r="R298" s="193"/>
      <c r="S298" s="192"/>
      <c r="T298" s="193"/>
      <c r="U298" s="192"/>
      <c r="V298" s="193"/>
      <c r="W298" s="192"/>
      <c r="X298" s="193"/>
      <c r="Y298" s="192"/>
      <c r="Z298" s="193"/>
      <c r="AA298" s="192"/>
      <c r="AB298" s="193"/>
      <c r="AC298" s="192"/>
      <c r="AD298" s="193"/>
      <c r="AE298" s="192"/>
      <c r="AF298" s="193"/>
      <c r="AG298" s="192"/>
      <c r="AH298" s="193"/>
      <c r="AI298" s="192"/>
      <c r="AJ298" s="193"/>
      <c r="AK298" s="208"/>
      <c r="AL298" s="193"/>
      <c r="AM298" s="192"/>
      <c r="AN298" s="193"/>
      <c r="AO298" s="192"/>
      <c r="AP298" s="209"/>
      <c r="AQ298" s="192"/>
      <c r="AR298" s="209"/>
      <c r="AS298" s="192"/>
      <c r="AT298" s="209"/>
      <c r="AU298" s="192"/>
      <c r="AV298" s="13"/>
      <c r="AW298" s="192"/>
      <c r="AX298" s="187"/>
      <c r="AY298" s="192"/>
      <c r="AZ298" s="187"/>
      <c r="BA298" s="192"/>
      <c r="BB298" s="187"/>
      <c r="BC298" s="192"/>
      <c r="BD298" s="187"/>
      <c r="BE298" s="192"/>
      <c r="BF298" s="187"/>
      <c r="BG298" s="192"/>
      <c r="BH298" s="187"/>
      <c r="BI298" s="192"/>
      <c r="BJ298" s="187"/>
      <c r="BK298" s="192"/>
      <c r="BL298" s="187"/>
      <c r="BM298" s="192"/>
      <c r="BN298" s="187"/>
      <c r="BO298" s="192"/>
      <c r="BP298" s="187"/>
      <c r="BQ298" s="192"/>
      <c r="BR298" s="187"/>
      <c r="BS298" s="192"/>
      <c r="BT298" s="187"/>
      <c r="BU298" s="192"/>
      <c r="BV298" s="187"/>
      <c r="BW298" s="168"/>
      <c r="BX298" s="187"/>
      <c r="BY298" s="168"/>
      <c r="BZ298" s="187"/>
      <c r="CA298" s="168"/>
      <c r="CB298" s="187"/>
      <c r="CC298" s="168"/>
      <c r="CD298" s="187"/>
      <c r="CE298" s="168"/>
      <c r="CF298" s="187"/>
      <c r="CG298" s="168"/>
      <c r="CH298" s="187"/>
      <c r="CI298" s="168"/>
      <c r="CJ298" s="187"/>
      <c r="CK298" s="168"/>
      <c r="CL298" s="187"/>
      <c r="CM298" s="168"/>
      <c r="CN298" s="187"/>
      <c r="CO298" s="168"/>
      <c r="CP298" s="187"/>
      <c r="CQ298" s="168"/>
      <c r="CR298" s="187"/>
      <c r="CS298" s="168"/>
      <c r="CT298" s="187"/>
      <c r="CU298" s="168"/>
      <c r="CV298" s="187"/>
      <c r="CW298" s="168"/>
      <c r="CX298" s="187"/>
      <c r="CY298" s="168"/>
      <c r="CZ298" s="187"/>
      <c r="DA298" s="168"/>
      <c r="DB298" s="187"/>
      <c r="DC298" s="168"/>
      <c r="DD298" s="187"/>
      <c r="DE298" s="168"/>
      <c r="DF298" s="187"/>
      <c r="DG298" s="168"/>
      <c r="DH298" s="187"/>
      <c r="DI298" s="168"/>
      <c r="DJ298" s="187"/>
      <c r="DK298" s="168"/>
      <c r="DL298" s="187"/>
      <c r="DM298" s="168"/>
      <c r="DN298" s="187"/>
      <c r="DO298" s="168"/>
      <c r="DP298" s="187"/>
      <c r="DQ298" s="168"/>
      <c r="DR298" s="187"/>
      <c r="DS298" s="168"/>
      <c r="DT298" s="187"/>
      <c r="DU298" s="168"/>
      <c r="DV298" s="187"/>
      <c r="DW298" s="168"/>
      <c r="DX298" s="168"/>
      <c r="DY298" s="168"/>
      <c r="DZ298" s="187"/>
      <c r="EA298" s="168"/>
      <c r="EB298" s="187"/>
      <c r="EC298" s="168"/>
      <c r="ED298" s="187"/>
      <c r="EE298" s="168"/>
      <c r="EF298" s="187"/>
      <c r="EG298" s="168"/>
      <c r="EH298" s="187"/>
      <c r="EI298" s="168"/>
      <c r="EJ298" s="187"/>
      <c r="EK298" s="168"/>
      <c r="EL298" s="187"/>
      <c r="EM298" s="168"/>
      <c r="EN298" s="187"/>
      <c r="EO298" s="168"/>
      <c r="EP298" s="187"/>
      <c r="EQ298" s="168"/>
      <c r="ER298" s="187"/>
      <c r="ES298" s="168"/>
      <c r="ET298" s="187"/>
      <c r="EU298" s="168"/>
      <c r="EV298" s="187"/>
      <c r="EW298" s="168"/>
      <c r="EX298" s="187"/>
      <c r="EY298" s="64"/>
      <c r="EZ298" s="558"/>
      <c r="FA298" s="64"/>
      <c r="FB298" s="192"/>
      <c r="FC298" s="199"/>
      <c r="FD298" s="192"/>
      <c r="FE298" s="205"/>
      <c r="FF298" s="192"/>
      <c r="FG298" s="205"/>
      <c r="FH298" s="192"/>
      <c r="FI298" s="205"/>
      <c r="FJ298" s="192"/>
      <c r="FK298" s="205"/>
      <c r="FL298" s="192"/>
      <c r="FM298" s="193"/>
      <c r="FN298" s="192"/>
      <c r="FO298" s="193"/>
      <c r="FP298" s="139"/>
      <c r="FQ298" s="187"/>
      <c r="FR298" s="139"/>
      <c r="FS298" s="61"/>
      <c r="FT298" s="139"/>
      <c r="FU298" s="61"/>
      <c r="FV298" s="139"/>
      <c r="FW298" s="61"/>
      <c r="FX298" s="139"/>
      <c r="FY298" s="61"/>
      <c r="FZ298" s="139"/>
      <c r="GA298" s="61"/>
      <c r="GB298" s="139"/>
      <c r="GC298" s="61"/>
      <c r="GD298" s="139"/>
      <c r="GE298" s="61"/>
      <c r="GF298" s="139"/>
      <c r="GG298" s="61"/>
      <c r="GH298" s="572"/>
      <c r="GI298" s="61"/>
      <c r="GJ298" s="572"/>
      <c r="GK298" s="61"/>
      <c r="GL298" s="572"/>
      <c r="GM298" s="61"/>
      <c r="GN298" s="572"/>
      <c r="GO298" s="61"/>
      <c r="GP298" s="572"/>
      <c r="GQ298" s="61"/>
      <c r="GR298" s="168"/>
      <c r="GS298" s="61"/>
      <c r="GT298" s="168"/>
      <c r="GU298" s="61"/>
      <c r="GV298" s="168"/>
      <c r="GW298" s="61"/>
      <c r="GX298" s="168"/>
      <c r="GY298" s="61"/>
      <c r="GZ298" s="61" t="str">
        <f t="shared" si="1909"/>
        <v/>
      </c>
      <c r="HA298" s="61"/>
      <c r="HB298" s="452"/>
      <c r="HC298"/>
      <c r="HD298"/>
      <c r="HE298"/>
      <c r="HF298"/>
      <c r="HG298"/>
      <c r="HH298"/>
    </row>
    <row r="299" spans="2:216" s="5" customFormat="1" ht="12.75" customHeight="1" x14ac:dyDescent="0.2">
      <c r="B299" s="63" t="s">
        <v>597</v>
      </c>
      <c r="C299" s="197"/>
      <c r="D299" s="198"/>
      <c r="E299" s="197"/>
      <c r="F299" s="197"/>
      <c r="G299" s="199"/>
      <c r="H299" s="197"/>
      <c r="I299" s="199"/>
      <c r="J299" s="197"/>
      <c r="K299" s="199"/>
      <c r="L299" s="193"/>
      <c r="M299" s="197"/>
      <c r="N299" s="193"/>
      <c r="O299" s="199"/>
      <c r="P299" s="193"/>
      <c r="Q299" s="199"/>
      <c r="R299" s="193"/>
      <c r="S299" s="199"/>
      <c r="T299" s="193"/>
      <c r="U299" s="199"/>
      <c r="V299" s="193"/>
      <c r="W299" s="199"/>
      <c r="X299" s="193"/>
      <c r="Y299" s="199"/>
      <c r="Z299" s="193"/>
      <c r="AA299" s="199"/>
      <c r="AB299" s="193"/>
      <c r="AC299" s="199"/>
      <c r="AD299" s="193"/>
      <c r="AE299" s="199"/>
      <c r="AF299" s="193"/>
      <c r="AG299" s="199"/>
      <c r="AH299" s="193"/>
      <c r="AI299" s="199"/>
      <c r="AJ299" s="193"/>
      <c r="AK299" s="199"/>
      <c r="AL299" s="193"/>
      <c r="AM299" s="199"/>
      <c r="AN299" s="193"/>
      <c r="AO299" s="199"/>
      <c r="AP299" s="193"/>
      <c r="AQ299" s="199"/>
      <c r="AR299" s="193"/>
      <c r="AS299" s="199"/>
      <c r="AT299" s="193"/>
      <c r="AU299" s="199"/>
      <c r="AV299" s="13"/>
      <c r="AW299" s="199"/>
      <c r="AX299" s="187"/>
      <c r="AY299" s="199"/>
      <c r="AZ299" s="187"/>
      <c r="BA299" s="199"/>
      <c r="BB299" s="187"/>
      <c r="BC299" s="199"/>
      <c r="BD299" s="187"/>
      <c r="BE299" s="199"/>
      <c r="BF299" s="187"/>
      <c r="BG299" s="199"/>
      <c r="BH299" s="187"/>
      <c r="BI299" s="199"/>
      <c r="BJ299" s="187"/>
      <c r="BK299" s="199"/>
      <c r="BL299" s="187"/>
      <c r="BM299" s="199"/>
      <c r="BN299" s="187"/>
      <c r="BO299" s="199"/>
      <c r="BP299" s="187"/>
      <c r="BQ299" s="199"/>
      <c r="BR299" s="187"/>
      <c r="BS299" s="199"/>
      <c r="BT299" s="187"/>
      <c r="BU299" s="199"/>
      <c r="BV299" s="187"/>
      <c r="BW299" s="64"/>
      <c r="BX299" s="187"/>
      <c r="BY299" s="64"/>
      <c r="BZ299" s="187"/>
      <c r="CA299" s="64"/>
      <c r="CB299" s="187"/>
      <c r="CC299" s="64"/>
      <c r="CD299" s="187"/>
      <c r="CE299" s="64"/>
      <c r="CF299" s="187"/>
      <c r="CG299" s="64"/>
      <c r="CH299" s="187"/>
      <c r="CI299" s="64"/>
      <c r="CJ299" s="187"/>
      <c r="CK299" s="64"/>
      <c r="CL299" s="187"/>
      <c r="CM299" s="64"/>
      <c r="CN299" s="187"/>
      <c r="CO299" s="64"/>
      <c r="CP299" s="187"/>
      <c r="CQ299" s="64"/>
      <c r="CR299" s="187"/>
      <c r="CS299" s="64"/>
      <c r="CT299" s="187"/>
      <c r="CU299" s="64"/>
      <c r="CV299" s="187"/>
      <c r="CW299" s="64"/>
      <c r="CX299" s="187"/>
      <c r="CY299" s="64"/>
      <c r="CZ299" s="187"/>
      <c r="DA299" s="64"/>
      <c r="DB299" s="187"/>
      <c r="DC299" s="64"/>
      <c r="DD299" s="187"/>
      <c r="DE299" s="64"/>
      <c r="DF299" s="187"/>
      <c r="DG299" s="64"/>
      <c r="DH299" s="187"/>
      <c r="DI299" s="64"/>
      <c r="DJ299" s="187"/>
      <c r="DK299" s="64"/>
      <c r="DL299" s="575"/>
      <c r="DM299" s="64"/>
      <c r="DN299" s="575"/>
      <c r="DO299" s="64"/>
      <c r="DP299" s="575"/>
      <c r="DQ299" s="64"/>
      <c r="DR299" s="575"/>
      <c r="DS299" s="64"/>
      <c r="DT299" s="575"/>
      <c r="DU299" s="64"/>
      <c r="DV299" s="575"/>
      <c r="DW299" s="64"/>
      <c r="DX299" s="64"/>
      <c r="DY299" s="64"/>
      <c r="DZ299" s="575"/>
      <c r="EA299" s="64"/>
      <c r="EB299" s="575"/>
      <c r="EC299" s="64"/>
      <c r="ED299" s="575"/>
      <c r="EE299" s="64"/>
      <c r="EF299" s="575"/>
      <c r="EG299" s="64"/>
      <c r="EH299" s="575"/>
      <c r="EI299" s="64"/>
      <c r="EJ299" s="575"/>
      <c r="EK299" s="64"/>
      <c r="EL299" s="575"/>
      <c r="EM299" s="64"/>
      <c r="EN299" s="575"/>
      <c r="EO299" s="64"/>
      <c r="EP299" s="575"/>
      <c r="EQ299" s="568"/>
      <c r="ER299" s="575"/>
      <c r="ES299" s="568"/>
      <c r="ET299" s="575"/>
      <c r="EU299" s="568"/>
      <c r="EV299" s="575"/>
      <c r="EW299" s="568"/>
      <c r="EX299" s="575"/>
      <c r="EY299" s="64"/>
      <c r="EZ299" s="558"/>
      <c r="FA299" s="64"/>
      <c r="FB299" s="197"/>
      <c r="FC299" s="197"/>
      <c r="FD299" s="197"/>
      <c r="FE299" s="198"/>
      <c r="FF299" s="197"/>
      <c r="FG299" s="198"/>
      <c r="FH299" s="197"/>
      <c r="FI299" s="198"/>
      <c r="FJ299" s="197"/>
      <c r="FK299" s="198"/>
      <c r="FL299" s="197"/>
      <c r="FM299" s="193"/>
      <c r="FN299" s="197"/>
      <c r="FO299" s="193"/>
      <c r="FP299" s="65"/>
      <c r="FQ299" s="187"/>
      <c r="FR299" s="65"/>
      <c r="FS299" s="61"/>
      <c r="FT299" s="65"/>
      <c r="FU299" s="61"/>
      <c r="FV299" s="65"/>
      <c r="FW299" s="61"/>
      <c r="FX299" s="65"/>
      <c r="FY299" s="61"/>
      <c r="FZ299" s="65"/>
      <c r="GA299" s="61"/>
      <c r="GB299" s="65"/>
      <c r="GC299" s="61"/>
      <c r="GD299" s="65"/>
      <c r="GE299" s="61"/>
      <c r="GF299" s="65"/>
      <c r="GG299" s="61"/>
      <c r="GH299" s="567"/>
      <c r="GI299" s="61"/>
      <c r="GJ299" s="567"/>
      <c r="GK299" s="61"/>
      <c r="GL299" s="567"/>
      <c r="GM299" s="61"/>
      <c r="GN299" s="567"/>
      <c r="GO299" s="61"/>
      <c r="GP299" s="567"/>
      <c r="GQ299" s="61"/>
      <c r="GR299" s="64"/>
      <c r="GS299" s="61"/>
      <c r="GT299" s="64"/>
      <c r="GU299" s="61"/>
      <c r="GV299" s="64"/>
      <c r="GW299" s="61"/>
      <c r="GX299" s="64"/>
      <c r="GY299" s="61"/>
      <c r="GZ299" s="61" t="str">
        <f t="shared" si="1909"/>
        <v/>
      </c>
      <c r="HA299" s="61"/>
      <c r="HB299" s="452"/>
      <c r="HC299"/>
      <c r="HD299"/>
      <c r="HE299"/>
      <c r="HF299"/>
      <c r="HG299"/>
      <c r="HH299"/>
    </row>
    <row r="300" spans="2:216" s="5" customFormat="1" ht="12.75" customHeight="1" x14ac:dyDescent="0.2">
      <c r="B300" s="68" t="s">
        <v>490</v>
      </c>
      <c r="C300" s="189">
        <f>C293/C288*100</f>
        <v>65.736915137435886</v>
      </c>
      <c r="D300" s="205"/>
      <c r="E300" s="189">
        <f>E293/E288*100</f>
        <v>66.232113503973096</v>
      </c>
      <c r="F300" s="199"/>
      <c r="G300" s="189">
        <f>G293/G288*100</f>
        <v>67.952202715147195</v>
      </c>
      <c r="H300" s="199"/>
      <c r="I300" s="189">
        <f>I293/I288*100</f>
        <v>67.869524775917469</v>
      </c>
      <c r="J300" s="193"/>
      <c r="K300" s="189">
        <f>K293/K288*100</f>
        <v>67.094178826233815</v>
      </c>
      <c r="L300" s="193">
        <f>IF(ISERROR((K300/C300-1)*100),"NA",IF(((K300/C300-1)*100)&gt;100,"NM",IF(((K300/C300-1)*100)&lt;-50,"NM",(K300/C300-1)*100)))</f>
        <v>2.0646902671966005</v>
      </c>
      <c r="M300" s="189">
        <f>M293/M288*100</f>
        <v>66.839047790702509</v>
      </c>
      <c r="N300" s="193">
        <f>IF(ISERROR((M300/E300-1)*100),"NA",IF(((M300/E300-1)*100)&gt;100,"NM",IF(((M300/E300-1)*100)&lt;-50,"NM",(M300/E300-1)*100)))</f>
        <v>0.91637463251570406</v>
      </c>
      <c r="O300" s="189">
        <f>O293/O288*100</f>
        <v>66.666453983972232</v>
      </c>
      <c r="P300" s="193">
        <f>IF(ISERROR((O300/G300-1)*100),"NA",IF(((O300/G300-1)*100)&gt;100,"NM",IF(((O300/G300-1)*100)&lt;-50,"NM",(O300/G300-1)*100)))</f>
        <v>-1.8921369430285662</v>
      </c>
      <c r="Q300" s="189">
        <f>Q293/Q288*100</f>
        <v>67.72302028578477</v>
      </c>
      <c r="R300" s="193">
        <f>IF(ISERROR((Q300/I300-1)*100),"NA",IF(((Q300/I300-1)*100)&gt;100,"NM",IF(((Q300/I300-1)*100)&lt;-50,"NM",(Q300/I300-1)*100)))</f>
        <v>-0.21586196546448111</v>
      </c>
      <c r="S300" s="189">
        <f>S293/S288*100</f>
        <v>66.86234780639198</v>
      </c>
      <c r="T300" s="193">
        <f>IF(ISERROR((S300/K300-1)*100),"NA",IF(((S300/K300-1)*100)&gt;100,"NM",IF(((S300/K300-1)*100)&lt;-50,"NM",(S300/K300-1)*100)))</f>
        <v>-0.34553075080068218</v>
      </c>
      <c r="U300" s="189">
        <f>U293/U288*100</f>
        <v>68.414586506179617</v>
      </c>
      <c r="V300" s="193">
        <f>IF(ISERROR((U300/M300-1)*100),"NA",IF(((U300/M300-1)*100)&gt;100,"NM",IF(((U300/M300-1)*100)&lt;-50,"NM",(U300/M300-1)*100)))</f>
        <v>2.3572129878490999</v>
      </c>
      <c r="W300" s="189">
        <f>W293/W288*100</f>
        <v>71.501733025239972</v>
      </c>
      <c r="X300" s="193">
        <f>IF(ISERROR((W300/O300-1)*100),"NA",IF(((W300/O300-1)*100)&gt;100,"NM",IF(((W300/O300-1)*100)&lt;-50,"NM",(W300/O300-1)*100)))</f>
        <v>7.2529417005293695</v>
      </c>
      <c r="Y300" s="189">
        <f>Y293/Y288*100</f>
        <v>66.811722614147442</v>
      </c>
      <c r="Z300" s="193">
        <f>IF(ISERROR((Y300/Q300-1)*100),"NA",IF(((Y300/Q300-1)*100)&gt;100,"NM",IF(((Y300/Q300-1)*100)&lt;-50,"NM",(Y300/Q300-1)*100)))</f>
        <v>-1.3456246750244372</v>
      </c>
      <c r="AA300" s="189">
        <f>AA293/AA288*100</f>
        <v>69.638900411789095</v>
      </c>
      <c r="AB300" s="193">
        <f>IF(ISERROR((AA300/S300-1)*100),"NA",IF(((AA300/S300-1)*100)&gt;100,"NM",IF(((AA300/S300-1)*100)&lt;-50,"NM",(AA300/S300-1)*100)))</f>
        <v>4.1526400081507209</v>
      </c>
      <c r="AC300" s="189">
        <f>AC293/AC288*100</f>
        <v>71.128678381031179</v>
      </c>
      <c r="AD300" s="193">
        <f>IF(ISERROR((AC300/U300-1)*100),"NA",IF(((AC300/U300-1)*100)&gt;100,"NM",IF(((AC300/U300-1)*100)&lt;-50,"NM",(AC300/U300-1)*100)))</f>
        <v>3.9671245759943519</v>
      </c>
      <c r="AE300" s="189">
        <f>AE293/AE288*100</f>
        <v>71.97029952665477</v>
      </c>
      <c r="AF300" s="193">
        <f>IF(ISERROR((AE300/W300-1)*100),"NA",IF(((AE300/W300-1)*100)&gt;100,"NM",IF(((AE300/W300-1)*100)&lt;-50,"NM",(AE300/W300-1)*100)))</f>
        <v>0.65532188044923334</v>
      </c>
      <c r="AG300" s="189">
        <f>AG293/AG288*100</f>
        <v>68.434104354596087</v>
      </c>
      <c r="AH300" s="193">
        <f>IF(ISERROR((AG300/Y300-1)*100),"NA",IF(((AG300/Y300-1)*100)&gt;100,"NM",IF(((AG300/Y300-1)*100)&lt;-50,"NM",(AG300/Y300-1)*100)))</f>
        <v>2.4282890441521099</v>
      </c>
      <c r="AI300" s="189">
        <f>AI293/AI288*100</f>
        <v>71.906713116126312</v>
      </c>
      <c r="AJ300" s="193">
        <f>IF(ISERROR((AI300/AA300-1)*100),"NA",IF(((AI300/AA300-1)*100)&gt;100,"NM",IF(((AI300/AA300-1)*100)&lt;-50,"NM",(AI300/AA300-1)*100)))</f>
        <v>3.2565314657859057</v>
      </c>
      <c r="AK300" s="189">
        <f>AK293/AK288*100</f>
        <v>70.321286232705134</v>
      </c>
      <c r="AL300" s="193">
        <f>IF(ISERROR((AK300/AC300-1)*100),"NA",IF(((AK300/AC300-1)*100)&gt;100,"NM",IF(((AK300/AC300-1)*100)&lt;-50,"NM",(AK300/AC300-1)*100)))</f>
        <v>-1.135114790128533</v>
      </c>
      <c r="AM300" s="189">
        <f>AM293/AM288*100</f>
        <v>68.861106509586861</v>
      </c>
      <c r="AN300" s="193">
        <f>IF(ISERROR((AM300/AE300-1)*100),"NA",IF(((AM300/AE300-1)*100)&gt;100,"NM",IF(((AM300/AE300-1)*100)&lt;-50,"NM",(AM300/AE300-1)*100)))</f>
        <v>-4.3201057068220088</v>
      </c>
      <c r="AO300" s="189">
        <f>AO293/AO288*100</f>
        <v>69.009711472597274</v>
      </c>
      <c r="AP300" s="193">
        <f>IF(ISERROR((AO300/AG300-1)*100),"NA",IF(((AO300/AG300-1)*100)&gt;100,"NM",IF(((AO300/AG300-1)*100)&lt;-50,"NM",(AO300/AG300-1)*100)))</f>
        <v>0.84111149467032131</v>
      </c>
      <c r="AQ300" s="189">
        <f>AQ293/AQ288*100</f>
        <v>60.101617778004723</v>
      </c>
      <c r="AR300" s="193">
        <f>IF(ISERROR((AQ300/AI300-1)*100),"NA",IF(((AQ300/AI300-1)*100)&gt;100,"NM",IF(((AQ300/AI300-1)*100)&lt;-50,"NM",(AQ300/AI300-1)*100)))</f>
        <v>-16.41723675932295</v>
      </c>
      <c r="AS300" s="189">
        <f>AS293/AS288*100</f>
        <v>69.171402322790712</v>
      </c>
      <c r="AT300" s="193">
        <f>IF(ISERROR((AS300/AK300-1)*100),"NA",IF(((AS300/AK300-1)*100)&gt;100,"NM",IF(((AS300/AK300-1)*100)&lt;-50,"NM",(AS300/AK300-1)*100)))</f>
        <v>-1.6351861172010707</v>
      </c>
      <c r="AU300" s="189">
        <f>AU293/AU288*100</f>
        <v>70.182645170421651</v>
      </c>
      <c r="AV300" s="13">
        <f>IF(ISERROR((AU300/AM300-1)*100),"NA",IF(((AU300/AM300-1)*100)&gt;100,"NM",IF(((AU300/AM300-1)*100)&lt;-50,"NM",(AU300/AM300-1)*100)))</f>
        <v>1.9191365457521536</v>
      </c>
      <c r="AW300" s="189">
        <f>AW293/AW288*100</f>
        <v>69.783546271041516</v>
      </c>
      <c r="AX300" s="187">
        <f>IF(ISERROR((AW300/AO300-1)*100),"NA",IF(((AW300/AO300-1)*100)&gt;100,"NM",IF(((AW300/AO300-1)*100)&lt;-50,"NM",(AW300/AO300-1)*100)))</f>
        <v>1.1213418835282596</v>
      </c>
      <c r="AY300" s="210"/>
      <c r="AZ300" s="187" t="str">
        <f>IF(ISERROR((AY300/AQ300-1)*100),"NA",IF(((AY300/AQ300-1)*100)&gt;100,"NM",IF(((AY300/AQ300-1)*100)&lt;-50,"NM",(AY300/AQ300-1)*100)))</f>
        <v>NM</v>
      </c>
      <c r="BA300" s="210">
        <f>BA293/BA288*100</f>
        <v>63.697857948139792</v>
      </c>
      <c r="BB300" s="187">
        <f>IF(ISERROR((BA300/AS300-1)*100),"NA",IF(((BA300/AS300-1)*100)&gt;100,"NM",IF(((BA300/AS300-1)*100)&lt;-50,"NM",(BA300/AS300-1)*100)))</f>
        <v>-7.9130163490230281</v>
      </c>
      <c r="BC300" s="210">
        <f>BC293/BC288*100</f>
        <v>64.208308248043338</v>
      </c>
      <c r="BD300" s="187">
        <f>IF(ISERROR((BC300/AU300-1)*100),"NA",IF(((BC300/AU300-1)*100)&gt;100,"NM",IF(((BC300/AU300-1)*100)&lt;-50,"NM",(BC300/AU300-1)*100)))</f>
        <v>-8.5125559287072665</v>
      </c>
      <c r="BE300" s="210">
        <f>BE293/BE288*100</f>
        <v>64.984044096315642</v>
      </c>
      <c r="BF300" s="187">
        <f>IF(ISERROR((BE300/AW300-1)*100),"NA",IF(((BE300/AW300-1)*100)&gt;100,"NM",IF(((BE300/AW300-1)*100)&lt;-50,"NM",(BE300/AW300-1)*100)))</f>
        <v>-6.8776988720012255</v>
      </c>
      <c r="BG300" s="83">
        <f>BG293/BG288*100</f>
        <v>68.442964196502913</v>
      </c>
      <c r="BH300" s="187" t="str">
        <f>IF(ISERROR((BG300/AY300-1)*100),"NA",IF(((BG300/AY300-1)*100)&gt;100,"NM",IF(((BG300/AY300-1)*100)&lt;-50,"NM",(BG300/AY300-1)*100)))</f>
        <v>NA</v>
      </c>
      <c r="BI300" s="83">
        <f>BI293/BI288*100</f>
        <v>67.953964194373398</v>
      </c>
      <c r="BJ300" s="187">
        <f>IF(ISERROR((BI300/BA300-1)*100),"NA",IF(((BI300/BA300-1)*100)&gt;100,"NM",IF(((BI300/BA300-1)*100)&lt;-50,"NM",(BI300/BA300-1)*100)))</f>
        <v>6.6817101600163076</v>
      </c>
      <c r="BK300" s="83">
        <f>BK293/BK288*100</f>
        <v>63.945578231292522</v>
      </c>
      <c r="BL300" s="187">
        <f>IF(ISERROR((BK300/BC300-1)*100),"NA",IF(((BK300/BC300-1)*100)&gt;100,"NM",IF(((BK300/BC300-1)*100)&lt;-50,"NM",(BK300/BC300-1)*100)))</f>
        <v>-0.40918383293305771</v>
      </c>
      <c r="BM300" s="83">
        <f>BM293/BM288*100</f>
        <v>66.237519705727806</v>
      </c>
      <c r="BN300" s="187">
        <f>IF(ISERROR((BM300/BE300-1)*100),"NA",IF(((BM300/BE300-1)*100)&gt;100,"NM",IF(((BM300/BE300-1)*100)&lt;-50,"NM",(BM300/BE300-1)*100)))</f>
        <v>1.9288975114480911</v>
      </c>
      <c r="BO300" s="83">
        <f>BO293/BO288*100</f>
        <v>67.468069120961687</v>
      </c>
      <c r="BP300" s="187">
        <f>IF(ISERROR((BO300/BG300-1)*100),"NA",IF(((BO300/BG300-1)*100)&gt;100,"NM",IF(((BO300/BG300-1)*100)&lt;-50,"NM",(BO300/BG300-1)*100)))</f>
        <v>-1.4243904935827389</v>
      </c>
      <c r="BQ300" s="83">
        <f>BQ293/BQ288*100</f>
        <v>67.286420334196279</v>
      </c>
      <c r="BR300" s="187">
        <f>IF(ISERROR((BQ300/BI300-1)*100),"NA",IF(((BQ300/BI300-1)*100)&gt;100,"NM",IF(((BQ300/BI300-1)*100)&lt;-50,"NM",(BQ300/BI300-1)*100)))</f>
        <v>-0.98234719356136146</v>
      </c>
      <c r="BS300" s="83">
        <f>BS293/BS288*100</f>
        <v>66.782522343594835</v>
      </c>
      <c r="BT300" s="187">
        <f>IF(ISERROR((BS300/BK300-1)*100),"NA",IF(((BS300/BK300-1)*100)&gt;100,"NM",IF(((BS300/BK300-1)*100)&lt;-50,"NM",(BS300/BK300-1)*100)))</f>
        <v>4.4364977075366019</v>
      </c>
      <c r="BU300" s="83">
        <f>BU293/BU288*100</f>
        <v>68.775757575757595</v>
      </c>
      <c r="BV300" s="187">
        <f>IF(ISERROR((BU300/BM300-1)*100),"NA",IF(((BU300/BM300-1)*100)&gt;100,"NM",IF(((BU300/BM300-1)*100)&lt;-50,"NM",(BU300/BM300-1)*100)))</f>
        <v>3.8320243289700073</v>
      </c>
      <c r="BW300" s="83">
        <f>BW293/BW288*100</f>
        <v>66.919791172282856</v>
      </c>
      <c r="BX300" s="187">
        <f>IF(ISERROR((BW300/BO300-1)*100),"NA",IF(((BW300/BO300-1)*100)&gt;100,"NM",IF(((BW300/BO300-1)*100)&lt;-50,"NM",(BW300/BO300-1)*100)))</f>
        <v>-0.812648050881426</v>
      </c>
      <c r="BY300" s="83">
        <f>BY293/BY288*100</f>
        <v>66.087152856175209</v>
      </c>
      <c r="BZ300" s="187">
        <f>IF(ISERROR((BY300/BQ300-1)*100),"NA",IF(((BY300/BQ300-1)*100)&gt;100,"NM",IF(((BY300/BQ300-1)*100)&lt;-50,"NM",(BY300/BQ300-1)*100)))</f>
        <v>-1.7823321140648885</v>
      </c>
      <c r="CA300" s="83">
        <f>CA293/CA288*100</f>
        <v>63.095439087335095</v>
      </c>
      <c r="CB300" s="187">
        <f>IF(ISERROR((CA300/BS300-1)*100),"NA",IF(((CA300/BS300-1)*100)&gt;100,"NM",IF(((CA300/BS300-1)*100)&lt;-50,"NM",(CA300/BS300-1)*100)))</f>
        <v>-5.5210302439458125</v>
      </c>
      <c r="CC300" s="83">
        <f>CC293/CC288*100</f>
        <v>64.829335793357941</v>
      </c>
      <c r="CD300" s="187">
        <f>IF(ISERROR((CC300/BU300-1)*100),"NA",IF(((CC300/BU300-1)*100)&gt;100,"NM",IF(((CC300/BU300-1)*100)&lt;-50,"NM",(CC300/BU300-1)*100)))</f>
        <v>-5.7381000537182096</v>
      </c>
      <c r="CE300" s="83">
        <f>CE293/CE288*100</f>
        <v>69.788858939802338</v>
      </c>
      <c r="CF300" s="187">
        <f>IF(ISERROR((CE300/BW300-1)*100),"NA",IF(((CE300/BW300-1)*100)&gt;100,"NM",IF(((CE300/BW300-1)*100)&lt;-50,"NM",(CE300/BW300-1)*100)))</f>
        <v>4.287323252598263</v>
      </c>
      <c r="CG300" s="83">
        <f>CG293/CG288*100</f>
        <v>71.091257179323549</v>
      </c>
      <c r="CH300" s="187">
        <f>IF(ISERROR((CG300/BY300-1)*100),"NA",IF(((CG300/BY300-1)*100)&gt;100,"NM",IF(((CG300/BY300-1)*100)&lt;-50,"NM",(CG300/BY300-1)*100)))</f>
        <v>7.5719774674492646</v>
      </c>
      <c r="CI300" s="83">
        <f>CI293/CI288*100</f>
        <v>73.178294573643413</v>
      </c>
      <c r="CJ300" s="187">
        <f>IF(ISERROR((CI300/CA300-1)*100),"NA",IF(((CI300/CA300-1)*100)&gt;100,"NM",IF(((CI300/CA300-1)*100)&lt;-50,"NM",(CI300/CA300-1)*100)))</f>
        <v>15.980323827134146</v>
      </c>
      <c r="CK300" s="83">
        <f>CK293/CK288*100</f>
        <v>69.7393926340728</v>
      </c>
      <c r="CL300" s="187">
        <f>IF(ISERROR((CK300/CC300-1)*100),"NA",IF(((CK300/CC300-1)*100)&gt;100,"NM",IF(((CK300/CC300-1)*100)&lt;-50,"NM",(CK300/CC300-1)*100)))</f>
        <v>7.5738194455139185</v>
      </c>
      <c r="CM300" s="83">
        <f>CM293/CM288*100</f>
        <v>68.549905838041411</v>
      </c>
      <c r="CN300" s="187">
        <f>IF(ISERROR((CM300/CE300-1)*100),"NA",IF(((CM300/CE300-1)*100)&gt;100,"NM",IF(((CM300/CE300-1)*100)&lt;-50,"NM",(CM300/CE300-1)*100)))</f>
        <v>-1.7752878046474518</v>
      </c>
      <c r="CO300" s="83">
        <f>CO293/CO288*100</f>
        <v>69.097083499800249</v>
      </c>
      <c r="CP300" s="187">
        <f>IF(ISERROR((CO300/CG300-1)*100),"NA",IF(((CO300/CG300-1)*100)&gt;100,"NM",IF(((CO300/CG300-1)*100)&lt;-50,"NM",(CO300/CG300-1)*100)))</f>
        <v>-2.805089906474878</v>
      </c>
      <c r="CQ300" s="83">
        <f>CQ293/CQ288*100</f>
        <v>66.770963704630788</v>
      </c>
      <c r="CR300" s="187">
        <f>IF(ISERROR((CQ300/CI300-1)*100),"NA",IF(((CQ300/CI300-1)*100)&gt;100,"NM",IF(((CQ300/CI300-1)*100)&lt;-50,"NM",(CQ300/CI300-1)*100)))</f>
        <v>-8.7557805307481811</v>
      </c>
      <c r="CS300" s="83">
        <f>CS293/CS288*100</f>
        <v>67.151767151767146</v>
      </c>
      <c r="CT300" s="187">
        <f>IF(ISERROR((CS300/CK300-1)*100),"NA",IF(((CS300/CK300-1)*100)&gt;100,"NM",IF(((CS300/CK300-1)*100)&lt;-50,"NM",(CS300/CK300-1)*100)))</f>
        <v>-3.7104215918298822</v>
      </c>
      <c r="CU300" s="83">
        <f>CU293/CU288*100</f>
        <v>69.444444444444443</v>
      </c>
      <c r="CV300" s="187">
        <f>IF(ISERROR((CU300/CM300-1)*100),"NA",IF(((CU300/CM300-1)*100)&gt;100,"NM",IF(((CU300/CM300-1)*100)&lt;-50,"NM",(CU300/CM300-1)*100)))</f>
        <v>1.3049450549450725</v>
      </c>
      <c r="CW300" s="83">
        <f>CW293/CW288*100</f>
        <v>68.148148148148152</v>
      </c>
      <c r="CX300" s="187">
        <f>IF(ISERROR((CW300/CO300-1)*100),"NA",IF(((CW300/CO300-1)*100)&gt;100,"NM",IF(((CW300/CO300-1)*100)&lt;-50,"NM",(CW300/CO300-1)*100)))</f>
        <v>-1.373336331416708</v>
      </c>
      <c r="CY300" s="83">
        <f>CY293/CY288*100</f>
        <v>69.632495164410059</v>
      </c>
      <c r="CZ300" s="187">
        <f>IF(ISERROR((CY300/CQ300-1)*100),"NA",IF(((CY300/CQ300-1)*100)&gt;100,"NM",IF(((CY300/CQ300-1)*100)&lt;-50,"NM",(CY300/CQ300-1)*100)))</f>
        <v>4.285592570503538</v>
      </c>
      <c r="DA300" s="83">
        <f>DA293/DA288*100</f>
        <v>69.114877589453855</v>
      </c>
      <c r="DB300" s="187">
        <f>IF(ISERROR((DA300/CS300-1)*100),"NA",IF(((DA300/CS300-1)*100)&gt;100,"NM",IF(((DA300/CS300-1)*100)&lt;-50,"NM",(DA300/CS300-1)*100)))</f>
        <v>2.9233935620040397</v>
      </c>
      <c r="DC300" s="83">
        <f>DC293/DC288*100</f>
        <v>69.818181818181827</v>
      </c>
      <c r="DD300" s="187">
        <f>IF(ISERROR((DC300/CU300-1)*100),"NA",IF(((DC300/CU300-1)*100)&gt;100,"NM",IF(((DC300/CU300-1)*100)&lt;-50,"NM",(DC300/CU300-1)*100)))</f>
        <v>0.53818181818183763</v>
      </c>
      <c r="DE300" s="83">
        <f>DE293/DE288*100</f>
        <v>69.043478260869563</v>
      </c>
      <c r="DF300" s="187">
        <f>IF(ISERROR((DE300/CW300-1)*100),"NA",IF(((DE300/CW300-1)*100)&gt;100,"NM",IF(((DE300/CW300-1)*100)&lt;-50,"NM",(DE300/CW300-1)*100)))</f>
        <v>1.3137996219281467</v>
      </c>
      <c r="DG300" s="83">
        <f>DG293/DG288*100</f>
        <v>68.092691622103388</v>
      </c>
      <c r="DH300" s="187">
        <f>IF(ISERROR((DG300/CY300-1)*100),"NA",IF(((DG300/CY300-1)*100)&gt;100,"NM",IF(((DG300/CY300-1)*100)&lt;-50,"NM",(DG300/CY300-1)*100)))</f>
        <v>-2.2113289760348542</v>
      </c>
      <c r="DI300" s="83">
        <f>DI293/DI288*100</f>
        <v>68.869565217391298</v>
      </c>
      <c r="DJ300" s="187">
        <f>IF(ISERROR((DI300/DA300-1)*100),"NA",IF(((DI300/DA300-1)*100)&gt;100,"NM",IF(((DI300/DA300-1)*100)&lt;-50,"NM",(DI300/DA300-1)*100)))</f>
        <v>-0.35493424949650798</v>
      </c>
      <c r="DK300" s="83">
        <f>DK293/DK288*100</f>
        <v>69.344262295081975</v>
      </c>
      <c r="DL300" s="575">
        <f>IF(ISERROR((DK300/DC300-1)*100),"NA",IF(((DK300/DC300-1)*100)&gt;100,"NM",IF(((DK300/DC300-1)*100)&lt;-50,"NM",(DK300/DC300-1)*100)))</f>
        <v>-0.67879098360655865</v>
      </c>
      <c r="DM300" s="83">
        <f>DM293/DM288*100</f>
        <v>74.557165861513681</v>
      </c>
      <c r="DN300" s="130">
        <f t="shared" ref="DN300:DZ303" si="2089">IF(ISERROR((DM300/DE300-1)*100),"NA",IF(((DM300/DE300-1)*100)&gt;100,"NM",IF(((DM300/DE300-1)*100)&lt;-50,"NM",(DM300/DE300-1)*100)))</f>
        <v>7.985819572721331</v>
      </c>
      <c r="DO300" s="83">
        <f>DO293/DO288*100</f>
        <v>71.57190635451505</v>
      </c>
      <c r="DP300" s="130">
        <f t="shared" si="2089"/>
        <v>5.1095273949815168</v>
      </c>
      <c r="DQ300" s="83">
        <f>DQ293/DQ288*100</f>
        <v>74.675324675324674</v>
      </c>
      <c r="DR300" s="130">
        <f t="shared" si="2089"/>
        <v>8.4300800209891271</v>
      </c>
      <c r="DS300" s="83">
        <f>DS293/DS288*100</f>
        <v>72.727272727272734</v>
      </c>
      <c r="DT300" s="130">
        <f t="shared" si="2089"/>
        <v>4.8785729636793507</v>
      </c>
      <c r="DU300" s="83">
        <f>DU293/DU288*100</f>
        <v>68.233387358184757</v>
      </c>
      <c r="DV300" s="130">
        <f t="shared" si="2089"/>
        <v>-8.4817849904260552</v>
      </c>
      <c r="DW300" s="83">
        <f>DW293/DW288*100</f>
        <v>67.719298245614041</v>
      </c>
      <c r="DX300" s="83">
        <f t="shared" ref="DX300:DY300" si="2090">DX293/DX288*100</f>
        <v>67.719298245614041</v>
      </c>
      <c r="DY300" s="83">
        <f t="shared" si="2090"/>
        <v>68.495575221238937</v>
      </c>
      <c r="DZ300" s="130">
        <f t="shared" si="2089"/>
        <v>-8.275490573297418</v>
      </c>
      <c r="EA300" s="83">
        <f t="shared" ref="EA300:EC300" si="2091">EA293/EA288*100</f>
        <v>63.670411985018724</v>
      </c>
      <c r="EB300" s="130">
        <f t="shared" ref="EB300:EB303" si="2092">IF(ISERROR((EA300/DS300-1)*100),"NA",IF(((EA300/DS300-1)*100)&gt;100,"NM",IF(((EA300/DS300-1)*100)&lt;-50,"NM",(EA300/DS300-1)*100)))</f>
        <v>-12.453183520599264</v>
      </c>
      <c r="EC300" s="83">
        <f t="shared" si="2091"/>
        <v>65.714285714285708</v>
      </c>
      <c r="ED300" s="130">
        <f t="shared" ref="ED300:ED303" si="2093">IF(ISERROR((EC300/DU300-1)*100),"NA",IF(((EC300/DU300-1)*100)&gt;100,"NM",IF(((EC300/DU300-1)*100)&lt;-50,"NM",(EC300/DU300-1)*100)))</f>
        <v>-3.691890057685776</v>
      </c>
      <c r="EE300" s="83">
        <f t="shared" ref="EE300:EG300" si="2094">EE293/EE288*100</f>
        <v>54.49438202247191</v>
      </c>
      <c r="EF300" s="130">
        <f t="shared" ref="EF300:EF303" si="2095">IF(ISERROR((EE300/DW300-1)*100),"NA",IF(((EE300/DW300-1)*100)&gt;100,"NM",IF(((EE300/DW300-1)*100)&lt;-50,"NM",(EE300/DW300-1)*100)))</f>
        <v>-19.52902136577983</v>
      </c>
      <c r="EG300" s="83">
        <f t="shared" si="2094"/>
        <v>64.245810055865931</v>
      </c>
      <c r="EH300" s="130">
        <f t="shared" ref="EH300:EH303" si="2096">IF(ISERROR((EG300/DY300-1)*100),"NA",IF(((EG300/DY300-1)*100)&gt;100,"NM",IF(((EG300/DY300-1)*100)&lt;-50,"NM",(EG300/DY300-1)*100)))</f>
        <v>-6.2044375153378457</v>
      </c>
      <c r="EI300" s="83">
        <f t="shared" ref="EI300" si="2097">EI293/EI288*100</f>
        <v>64.879852125693162</v>
      </c>
      <c r="EJ300" s="130">
        <f t="shared" ref="EJ300:EJ303" si="2098">IF(ISERROR((EI300/EA300-1)*100),"NA",IF(((EI300/EA300-1)*100)&gt;100,"NM",IF(((EI300/EA300-1)*100)&lt;-50,"NM",(EI300/EA300-1)*100)))</f>
        <v>1.8995324562357307</v>
      </c>
      <c r="EK300" s="129">
        <f>EK293/EK288*100</f>
        <v>60.258780036968574</v>
      </c>
      <c r="EL300" s="130">
        <f t="shared" ref="EL300:EL303" si="2099">IF(ISERROR((EK300/EC300-1)*100),"NA",IF(((EK300/EC300-1)*100)&gt;100,"NM",IF(((EK300/EC300-1)*100)&lt;-50,"NM",(EK300/EC300-1)*100)))</f>
        <v>-8.3018564654825937</v>
      </c>
      <c r="EM300" s="129">
        <f>EM293/EM288*100</f>
        <v>59.219858156028373</v>
      </c>
      <c r="EN300" s="130">
        <f t="shared" ref="EN300:EN303" si="2100">IF(ISERROR((EM300/EE300-1)*100),"NA",IF(((EM300/EE300-1)*100)&gt;100,"NM",IF(((EM300/EE300-1)*100)&lt;-50,"NM",(EM300/EE300-1)*100)))</f>
        <v>8.6714922863201149</v>
      </c>
      <c r="EO300" s="129">
        <f>EO293/EO288*100</f>
        <v>61.552346570397113</v>
      </c>
      <c r="EP300" s="130">
        <f t="shared" ref="EP300:EP303" si="2101">IF(ISERROR((EO300/EG300-1)*100),"NA",IF(((EO300/EG300-1)*100)&gt;100,"NM",IF(((EO300/EG300-1)*100)&lt;-50,"NM",(EO300/EG300-1)*100)))</f>
        <v>-4.1924344686862458</v>
      </c>
      <c r="EQ300" s="128">
        <v>63</v>
      </c>
      <c r="ER300" s="130">
        <f t="shared" ref="ER300:ER303" si="2102">IF(ISERROR((EQ300/EI300-1)*100),"NA",IF(((EQ300/EI300-1)*100)&gt;100,"NM",IF(((EQ300/EI300-1)*100)&lt;-50,"NM",(EQ300/EI300-1)*100)))</f>
        <v>-2.897435897435896</v>
      </c>
      <c r="ES300" s="128">
        <v>61</v>
      </c>
      <c r="ET300" s="130">
        <f t="shared" ref="ET300:ET303" si="2103">IF(ISERROR((ES300/EK300-1)*100),"NA",IF(((ES300/EK300-1)*100)&gt;100,"NM",IF(((ES300/EK300-1)*100)&lt;-50,"NM",(ES300/EK300-1)*100)))</f>
        <v>1.2300613496932566</v>
      </c>
      <c r="EU300" s="128">
        <f>ES300+1</f>
        <v>62</v>
      </c>
      <c r="EV300" s="130">
        <f t="shared" ref="EV300:EV303" si="2104">IF(ISERROR((EU300/EM300-1)*100),"NA",IF(((EU300/EM300-1)*100)&gt;100,"NM",IF(((EU300/EM300-1)*100)&lt;-50,"NM",(EU300/EM300-1)*100)))</f>
        <v>4.694610778443109</v>
      </c>
      <c r="EW300" s="128">
        <f>EU300</f>
        <v>62</v>
      </c>
      <c r="EX300" s="130">
        <f t="shared" ref="EX300:EX303" si="2105">IF(ISERROR((EW300/EO300-1)*100),"NA",IF(((EW300/EO300-1)*100)&gt;100,"NM",IF(((EW300/EO300-1)*100)&lt;-50,"NM",(EW300/EO300-1)*100)))</f>
        <v>0.72727272727273196</v>
      </c>
      <c r="EY300" s="64"/>
      <c r="EZ300" s="558"/>
      <c r="FA300" s="64"/>
      <c r="FB300" s="211">
        <f>FB293/FB288*100</f>
        <v>66.066800254391936</v>
      </c>
      <c r="FC300" s="193"/>
      <c r="FD300" s="211">
        <f>FD293/FD288*100</f>
        <v>57.111169340832781</v>
      </c>
      <c r="FE300" s="193">
        <f>IF(ISERROR((FD300/FB300-1)*100),"NA",IF(((FD300/FB300-1)*100)&gt;100,"NM",IF(((FD300/FB300-1)*100)&lt;-50,"NM",(FD300/FB300-1)*100)))</f>
        <v>-13.555417969502482</v>
      </c>
      <c r="FF300" s="211">
        <f>FF293/FF288*100</f>
        <v>66.978048076296204</v>
      </c>
      <c r="FG300" s="193">
        <f>IF(ISERROR((FF300/FD300-1)*100),"NA",IF(((FF300/FD300-1)*100)&gt;100,"NM",IF(((FF300/FD300-1)*100)&lt;-50,"NM",(FF300/FD300-1)*100)))</f>
        <v>17.276618303118685</v>
      </c>
      <c r="FH300" s="211">
        <f>FH293/FH288*100</f>
        <v>67.086823794907929</v>
      </c>
      <c r="FI300" s="193">
        <f>IF(ISERROR((FH300/FF300-1)*100),"NA",IF(((FH300/FF300-1)*100)&gt;100,"NM",IF(((FH300/FF300-1)*100)&lt;-50,"NM",(FH300/FF300-1)*100)))</f>
        <v>0.16240502931321732</v>
      </c>
      <c r="FJ300" s="211">
        <f>FJ293/FJ288*100</f>
        <v>68.438047724330715</v>
      </c>
      <c r="FK300" s="193">
        <f>IF(ISERROR((FJ300/FH300-1)*100),"NA",IF(((FJ300/FH300-1)*100)&gt;100,"NM",IF(((FJ300/FH300-1)*100)&lt;-50,"NM",(FJ300/FH300-1)*100)))</f>
        <v>2.0141420520274345</v>
      </c>
      <c r="FL300" s="211">
        <f>FL293/FL288*100</f>
        <v>70.297189127340104</v>
      </c>
      <c r="FM300" s="193">
        <f>IF(ISERROR((FL300/FJ300-1)*100),"NA",IF(((FL300/FJ300-1)*100)&gt;100,"NM",IF(((FL300/FJ300-1)*100)&lt;-50,"NM",(FL300/FJ300-1)*100)))</f>
        <v>2.7165319070731497</v>
      </c>
      <c r="FN300" s="211">
        <f>FN293/FN288*100</f>
        <v>69.890831945040233</v>
      </c>
      <c r="FO300" s="193">
        <f>IF(ISERROR((FN300/FL300-1)*100),"NA",IF(((FN300/FL300-1)*100)&gt;100,"NM",IF(((FN300/FL300-1)*100)&lt;-50,"NM",(FN300/FL300-1)*100)))</f>
        <v>-0.57805608921827067</v>
      </c>
      <c r="FP300" s="88">
        <f>FP293/FP288*100</f>
        <v>67.348367078194443</v>
      </c>
      <c r="FQ300" s="187">
        <f>IF(ISERROR((FP300/FN300-1)*100),"NA",IF(((FP300/FN300-1)*100)&gt;100,"NM",IF(((FP300/FN300-1)*100)&lt;-50,"NM",(FP300/FN300-1)*100)))</f>
        <v>-3.6377659216377589</v>
      </c>
      <c r="FR300" s="88">
        <f>FR293/FR288*100</f>
        <v>64.291945332945616</v>
      </c>
      <c r="FS300" s="61">
        <f>IF(ISERROR((FR300/FP300-1)*100),"NA",IF(((FR300/FP300-1)*100)&gt;100,"NM",IF(((FR300/FP300-1)*100)&lt;-50,"NM",(FR300/FP300-1)*100)))</f>
        <v>-4.5382269501800803</v>
      </c>
      <c r="FT300" s="88">
        <f>FT293/FT288*100</f>
        <v>66.653327997865816</v>
      </c>
      <c r="FU300" s="61">
        <f>IF(ISERROR((FT300/FR300-1)*100),"NA",IF(((FT300/FR300-1)*100)&gt;100,"NM",IF(((FT300/FR300-1)*100)&lt;-50,"NM",(FT300/FR300-1)*100)))</f>
        <v>3.6729059179830603</v>
      </c>
      <c r="FV300" s="88">
        <f>FV293/FV288*100</f>
        <v>67.581579749923762</v>
      </c>
      <c r="FW300" s="61">
        <f>IF(ISERROR((FV300/FT300-1)*100),"NA",IF(((FV300/FT300-1)*100)&gt;100,"NM",IF(((FV300/FT300-1)*100)&lt;-50,"NM",(FV300/FT300-1)*100)))</f>
        <v>1.3926562707981649</v>
      </c>
      <c r="FX300" s="88">
        <f>FX293/FX288*100</f>
        <v>65.249254018954645</v>
      </c>
      <c r="FY300" s="61">
        <f>IF(ISERROR((FX300/FV300-1)*100),"NA",IF(((FX300/FV300-1)*100)&gt;100,"NM",IF(((FX300/FV300-1)*100)&lt;-50,"NM",(FX300/FV300-1)*100)))</f>
        <v>-3.4511263862128772</v>
      </c>
      <c r="FZ300" s="88">
        <f>FZ293/FZ288*100</f>
        <v>70.946425645786675</v>
      </c>
      <c r="GA300" s="61">
        <f>IF(ISERROR((FZ300/FX300-1)*100),"NA",IF(((FZ300/FX300-1)*100)&gt;100,"NM",IF(((FZ300/FX300-1)*100)&lt;-50,"NM",(FZ300/FX300-1)*100)))</f>
        <v>8.7313973354806951</v>
      </c>
      <c r="GB300" s="88">
        <f>GB293/GB288*100</f>
        <v>67.904481922739691</v>
      </c>
      <c r="GC300" s="61">
        <f>IF(ISERROR((GB300/FZ300-1)*100),"NA",IF(((GB300/FZ300-1)*100)&gt;100,"NM",IF(((GB300/FZ300-1)*100)&lt;-50,"NM",(GB300/FZ300-1)*100)))</f>
        <v>-4.287663113902962</v>
      </c>
      <c r="GD300" s="88">
        <f>GD293/GD288*100</f>
        <v>69.072657743785854</v>
      </c>
      <c r="GE300" s="61">
        <f>IF(ISERROR((GD300/GB300-1)*100),"NA",IF(((GD300/GB300-1)*100)&gt;100,"NM",IF(((GD300/GB300-1)*100)&lt;-50,"NM",(GD300/GB300-1)*100)))</f>
        <v>1.7203221171399052</v>
      </c>
      <c r="GF300" s="88">
        <f>GF293/GF288*100</f>
        <v>68.951791242812916</v>
      </c>
      <c r="GG300" s="61">
        <f>IF(ISERROR((GF300/GD300-1)*100),"NA",IF(((GF300/GD300-1)*100)&gt;100,"NM",IF(((GF300/GD300-1)*100)&lt;-50,"NM",(GF300/GD300-1)*100)))</f>
        <v>-0.17498458133936579</v>
      </c>
      <c r="GH300" s="129">
        <f>GH293/GH288*100</f>
        <v>72.556237218813905</v>
      </c>
      <c r="GI300" s="61">
        <f>IF(ISERROR((GH300/GF300-1)*100),"NA",IF(((GH300/GF300-1)*100)&gt;100,"NM",IF(((GH300/GF300-1)*100)&lt;-50,"NM",(GH300/GF300-1)*100)))</f>
        <v>5.2274870761630732</v>
      </c>
      <c r="GJ300" s="129">
        <f>GJ293/GJ288*100</f>
        <v>69.325413661434027</v>
      </c>
      <c r="GK300" s="61">
        <f>IF(ISERROR((GJ300/GH300-1)*100),"NA",IF(((GJ300/GH300-1)*100)&gt;100,"NM",IF(((GJ300/GH300-1)*100)&lt;-50,"NM",(GJ300/GH300-1)*100)))</f>
        <v>-4.4528543392298729</v>
      </c>
      <c r="GL300" s="129">
        <f>GL293/GL288*100</f>
        <v>62.018779342723008</v>
      </c>
      <c r="GM300" s="61">
        <f>IF(ISERROR((GL300/GJ300-1)*100),"NA",IF(((GL300/GJ300-1)*100)&gt;100,"NM",IF(((GL300/GJ300-1)*100)&lt;-50,"NM",(GL300/GJ300-1)*100)))</f>
        <v>-10.539618781641291</v>
      </c>
      <c r="GN300" s="129">
        <f>GN293/GN288*100</f>
        <v>61.454545454545453</v>
      </c>
      <c r="GO300" s="61">
        <f>IF(ISERROR((GN300/GL300-1)*100),"NA",IF(((GN300/GL300-1)*100)&gt;100,"NM",IF(((GN300/GL300-1)*100)&lt;-50,"NM",(GN300/GL300-1)*100)))</f>
        <v>-0.90977909297365045</v>
      </c>
      <c r="GP300" s="129">
        <f>GP293/GP288*100</f>
        <v>61.997423691730091</v>
      </c>
      <c r="GQ300" s="61">
        <f>IF(ISERROR((GP300/GN300-1)*100),"NA",IF(((GP300/GN300-1)*100)&gt;100,"NM",IF(((GP300/GN300-1)*100)&lt;-50,"NM",(GP300/GN300-1)*100)))</f>
        <v>0.88338174689808202</v>
      </c>
      <c r="GR300" s="128">
        <v>62.6</v>
      </c>
      <c r="GS300" s="61">
        <f>IF(ISERROR((GR300/GP300-1)*100),"NA",IF(((GR300/GP300-1)*100)&gt;100,"NM",IF(((GR300/GP300-1)*100)&lt;-50,"NM",(GR300/GP300-1)*100)))</f>
        <v>0.97193765867773507</v>
      </c>
      <c r="GT300" s="128">
        <v>62.5</v>
      </c>
      <c r="GU300" s="61">
        <f>IF(ISERROR((GT300/GR300-1)*100),"NA",IF(((GT300/GR300-1)*100)&gt;100,"NM",IF(((GT300/GR300-1)*100)&lt;-50,"NM",(GT300/GR300-1)*100)))</f>
        <v>-0.15974440894569453</v>
      </c>
      <c r="GV300" s="128">
        <f>GT300</f>
        <v>62.5</v>
      </c>
      <c r="GW300" s="61">
        <f>IF(ISERROR((GV300/GT300-1)*100),"NA",IF(((GV300/GT300-1)*100)&gt;100,"NM",IF(((GV300/GT300-1)*100)&lt;-50,"NM",(GV300/GT300-1)*100)))</f>
        <v>0</v>
      </c>
      <c r="GX300" s="128">
        <f>GV300</f>
        <v>62.5</v>
      </c>
      <c r="GY300" s="61">
        <f>IF(ISERROR((GX300/GV300-1)*100),"NA",IF(((GX300/GV300-1)*100)&gt;100,"NM",IF(((GX300/GV300-1)*100)&lt;-50,"NM",(GX300/GV300-1)*100)))</f>
        <v>0</v>
      </c>
      <c r="GZ300" s="61">
        <f t="shared" si="1909"/>
        <v>0.33794482019595673</v>
      </c>
      <c r="HA300" s="61"/>
      <c r="HB300" s="452"/>
      <c r="HC300"/>
      <c r="HD300"/>
      <c r="HE300"/>
      <c r="HF300"/>
      <c r="HG300"/>
      <c r="HH300"/>
    </row>
    <row r="301" spans="2:216" s="112" customFormat="1" ht="12.75" hidden="1" customHeight="1" outlineLevel="1" x14ac:dyDescent="0.2">
      <c r="B301" s="472" t="s">
        <v>121</v>
      </c>
      <c r="C301" s="212">
        <f>C300</f>
        <v>65.736915137435886</v>
      </c>
      <c r="D301" s="114"/>
      <c r="E301" s="212">
        <f>E300</f>
        <v>66.232113503973096</v>
      </c>
      <c r="F301" s="115"/>
      <c r="G301" s="212">
        <f>G300</f>
        <v>67.952202715147195</v>
      </c>
      <c r="H301" s="115"/>
      <c r="I301" s="212">
        <f>I300</f>
        <v>67.869524775917469</v>
      </c>
      <c r="J301" s="116"/>
      <c r="K301" s="212">
        <f>K300</f>
        <v>67.094178826233815</v>
      </c>
      <c r="L301" s="116">
        <f>IF(ISERROR((K301/C301-1)*100),"NA",IF(((K301/C301-1)*100)&gt;100,"NM",IF(((K301/C301-1)*100)&lt;-50,"NM",(K301/C301-1)*100)))</f>
        <v>2.0646902671966005</v>
      </c>
      <c r="M301" s="212">
        <f>M300</f>
        <v>66.839047790702509</v>
      </c>
      <c r="N301" s="116">
        <f>IF(ISERROR((M301/E301-1)*100),"NA",IF(((M301/E301-1)*100)&gt;100,"NM",IF(((M301/E301-1)*100)&lt;-50,"NM",(M301/E301-1)*100)))</f>
        <v>0.91637463251570406</v>
      </c>
      <c r="O301" s="212">
        <f>O300</f>
        <v>66.666453983972232</v>
      </c>
      <c r="P301" s="116">
        <f>IF(ISERROR((O301/G301-1)*100),"NA",IF(((O301/G301-1)*100)&gt;100,"NM",IF(((O301/G301-1)*100)&lt;-50,"NM",(O301/G301-1)*100)))</f>
        <v>-1.8921369430285662</v>
      </c>
      <c r="Q301" s="212">
        <f>Q300</f>
        <v>67.72302028578477</v>
      </c>
      <c r="R301" s="116">
        <f>IF(ISERROR((Q301/I301-1)*100),"NA",IF(((Q301/I301-1)*100)&gt;100,"NM",IF(((Q301/I301-1)*100)&lt;-50,"NM",(Q301/I301-1)*100)))</f>
        <v>-0.21586196546448111</v>
      </c>
      <c r="S301" s="212">
        <f>S300</f>
        <v>66.86234780639198</v>
      </c>
      <c r="T301" s="116">
        <f>IF(ISERROR((S301/K301-1)*100),"NA",IF(((S301/K301-1)*100)&gt;100,"NM",IF(((S301/K301-1)*100)&lt;-50,"NM",(S301/K301-1)*100)))</f>
        <v>-0.34553075080068218</v>
      </c>
      <c r="U301" s="212">
        <f>U300</f>
        <v>68.414586506179617</v>
      </c>
      <c r="V301" s="116">
        <f>IF(ISERROR((U301/M301-1)*100),"NA",IF(((U301/M301-1)*100)&gt;100,"NM",IF(((U301/M301-1)*100)&lt;-50,"NM",(U301/M301-1)*100)))</f>
        <v>2.3572129878490999</v>
      </c>
      <c r="W301" s="212">
        <f>W300</f>
        <v>71.501733025239972</v>
      </c>
      <c r="X301" s="116">
        <f>IF(ISERROR((W301/O301-1)*100),"NA",IF(((W301/O301-1)*100)&gt;100,"NM",IF(((W301/O301-1)*100)&lt;-50,"NM",(W301/O301-1)*100)))</f>
        <v>7.2529417005293695</v>
      </c>
      <c r="Y301" s="212">
        <f>Y300</f>
        <v>66.811722614147442</v>
      </c>
      <c r="Z301" s="116">
        <f>IF(ISERROR((Y301/Q301-1)*100),"NA",IF(((Y301/Q301-1)*100)&gt;100,"NM",IF(((Y301/Q301-1)*100)&lt;-50,"NM",(Y301/Q301-1)*100)))</f>
        <v>-1.3456246750244372</v>
      </c>
      <c r="AA301" s="212">
        <f>AA300</f>
        <v>69.638900411789095</v>
      </c>
      <c r="AB301" s="116">
        <f>IF(ISERROR((AA301/S301-1)*100),"NA",IF(((AA301/S301-1)*100)&gt;100,"NM",IF(((AA301/S301-1)*100)&lt;-50,"NM",(AA301/S301-1)*100)))</f>
        <v>4.1526400081507209</v>
      </c>
      <c r="AC301" s="212">
        <f>AC300</f>
        <v>71.128678381031179</v>
      </c>
      <c r="AD301" s="116">
        <f>IF(ISERROR((AC301/U301-1)*100),"NA",IF(((AC301/U301-1)*100)&gt;100,"NM",IF(((AC301/U301-1)*100)&lt;-50,"NM",(AC301/U301-1)*100)))</f>
        <v>3.9671245759943519</v>
      </c>
      <c r="AE301" s="212">
        <f>AE300</f>
        <v>71.97029952665477</v>
      </c>
      <c r="AF301" s="116">
        <f>IF(ISERROR((AE301/W301-1)*100),"NA",IF(((AE301/W301-1)*100)&gt;100,"NM",IF(((AE301/W301-1)*100)&lt;-50,"NM",(AE301/W301-1)*100)))</f>
        <v>0.65532188044923334</v>
      </c>
      <c r="AG301" s="212">
        <f>AG300</f>
        <v>68.434104354596087</v>
      </c>
      <c r="AH301" s="116">
        <f>IF(ISERROR((AG301/Y301-1)*100),"NA",IF(((AG301/Y301-1)*100)&gt;100,"NM",IF(((AG301/Y301-1)*100)&lt;-50,"NM",(AG301/Y301-1)*100)))</f>
        <v>2.4282890441521099</v>
      </c>
      <c r="AI301" s="212">
        <f>AI300</f>
        <v>71.906713116126312</v>
      </c>
      <c r="AJ301" s="116">
        <f>IF(ISERROR((AI301/AA301-1)*100),"NA",IF(((AI301/AA301-1)*100)&gt;100,"NM",IF(((AI301/AA301-1)*100)&lt;-50,"NM",(AI301/AA301-1)*100)))</f>
        <v>3.2565314657859057</v>
      </c>
      <c r="AK301" s="212">
        <f>AK300</f>
        <v>70.321286232705134</v>
      </c>
      <c r="AL301" s="116">
        <f>IF(ISERROR((AK301/AC301-1)*100),"NA",IF(((AK301/AC301-1)*100)&gt;100,"NM",IF(((AK301/AC301-1)*100)&lt;-50,"NM",(AK301/AC301-1)*100)))</f>
        <v>-1.135114790128533</v>
      </c>
      <c r="AM301" s="212">
        <f>AM300</f>
        <v>68.861106509586861</v>
      </c>
      <c r="AN301" s="116">
        <f>IF(ISERROR((AM301/AE301-1)*100),"NA",IF(((AM301/AE301-1)*100)&gt;100,"NM",IF(((AM301/AE301-1)*100)&lt;-50,"NM",(AM301/AE301-1)*100)))</f>
        <v>-4.3201057068220088</v>
      </c>
      <c r="AO301" s="212">
        <f>AO300</f>
        <v>69.009711472597274</v>
      </c>
      <c r="AP301" s="116">
        <f>IF(ISERROR((AO301/AG301-1)*100),"NA",IF(((AO301/AG301-1)*100)&gt;100,"NM",IF(((AO301/AG301-1)*100)&lt;-50,"NM",(AO301/AG301-1)*100)))</f>
        <v>0.84111149467032131</v>
      </c>
      <c r="AQ301" s="212">
        <f t="shared" ref="AQ301:AW301" si="2106">AQ300</f>
        <v>60.101617778004723</v>
      </c>
      <c r="AR301" s="116">
        <f>IF(ISERROR((AQ301/AI301-1)*100),"NA",IF(((AQ301/AI301-1)*100)&gt;100,"NM",IF(((AQ301/AI301-1)*100)&lt;-50,"NM",(AQ301/AI301-1)*100)))</f>
        <v>-16.41723675932295</v>
      </c>
      <c r="AS301" s="212">
        <f t="shared" si="2106"/>
        <v>69.171402322790712</v>
      </c>
      <c r="AT301" s="116">
        <f>IF(ISERROR((AS301/AK301-1)*100),"NA",IF(((AS301/AK301-1)*100)&gt;100,"NM",IF(((AS301/AK301-1)*100)&lt;-50,"NM",(AS301/AK301-1)*100)))</f>
        <v>-1.6351861172010707</v>
      </c>
      <c r="AU301" s="212">
        <f t="shared" si="2106"/>
        <v>70.182645170421651</v>
      </c>
      <c r="AV301" s="116">
        <f>IF(ISERROR((AU301/AM301-1)*100),"NA",IF(((AU301/AM301-1)*100)&gt;100,"NM",IF(((AU301/AM301-1)*100)&lt;-50,"NM",(AU301/AM301-1)*100)))</f>
        <v>1.9191365457521536</v>
      </c>
      <c r="AW301" s="212">
        <f t="shared" si="2106"/>
        <v>69.783546271041516</v>
      </c>
      <c r="AX301" s="476">
        <f>IF(ISERROR((AW301/AO301-1)*100),"NA",IF(((AW301/AO301-1)*100)&gt;100,"NM",IF(((AW301/AO301-1)*100)&lt;-50,"NM",(AW301/AO301-1)*100)))</f>
        <v>1.1213418835282596</v>
      </c>
      <c r="AY301" s="212"/>
      <c r="AZ301" s="476" t="str">
        <f>IF(ISERROR((AY301/AQ301-1)*100),"NA",IF(((AY301/AQ301-1)*100)&gt;100,"NM",IF(((AY301/AQ301-1)*100)&lt;-50,"NM",(AY301/AQ301-1)*100)))</f>
        <v>NM</v>
      </c>
      <c r="BA301" s="212">
        <f>BA300</f>
        <v>63.697857948139792</v>
      </c>
      <c r="BB301" s="476">
        <f>IF(ISERROR((BA301/AS301-1)*100),"NA",IF(((BA301/AS301-1)*100)&gt;100,"NM",IF(((BA301/AS301-1)*100)&lt;-50,"NM",(BA301/AS301-1)*100)))</f>
        <v>-7.9130163490230281</v>
      </c>
      <c r="BC301" s="212">
        <f>BC300</f>
        <v>64.208308248043338</v>
      </c>
      <c r="BD301" s="476">
        <f>IF(ISERROR((BC301/AU301-1)*100),"NA",IF(((BC301/AU301-1)*100)&gt;100,"NM",IF(((BC301/AU301-1)*100)&lt;-50,"NM",(BC301/AU301-1)*100)))</f>
        <v>-8.5125559287072665</v>
      </c>
      <c r="BE301" s="212">
        <f>BE300</f>
        <v>64.984044096315642</v>
      </c>
      <c r="BF301" s="476">
        <f>IF(ISERROR((BE301/AW301-1)*100),"NA",IF(((BE301/AW301-1)*100)&gt;100,"NM",IF(((BE301/AW301-1)*100)&lt;-50,"NM",(BE301/AW301-1)*100)))</f>
        <v>-6.8776988720012255</v>
      </c>
      <c r="BG301" s="212">
        <f>BG300</f>
        <v>68.442964196502913</v>
      </c>
      <c r="BH301" s="476" t="str">
        <f>IF(ISERROR((BG301/AY301-1)*100),"NA",IF(((BG301/AY301-1)*100)&gt;100,"NM",IF(((BG301/AY301-1)*100)&lt;-50,"NM",(BG301/AY301-1)*100)))</f>
        <v>NA</v>
      </c>
      <c r="BI301" s="212">
        <f>BI300</f>
        <v>67.953964194373398</v>
      </c>
      <c r="BJ301" s="476">
        <f>IF(ISERROR((BI301/BA301-1)*100),"NA",IF(((BI301/BA301-1)*100)&gt;100,"NM",IF(((BI301/BA301-1)*100)&lt;-50,"NM",(BI301/BA301-1)*100)))</f>
        <v>6.6817101600163076</v>
      </c>
      <c r="BK301" s="212">
        <f>BK300</f>
        <v>63.945578231292522</v>
      </c>
      <c r="BL301" s="476">
        <f>IF(ISERROR((BK301/BC301-1)*100),"NA",IF(((BK301/BC301-1)*100)&gt;100,"NM",IF(((BK301/BC301-1)*100)&lt;-50,"NM",(BK301/BC301-1)*100)))</f>
        <v>-0.40918383293305771</v>
      </c>
      <c r="BM301" s="212">
        <f>BM300</f>
        <v>66.237519705727806</v>
      </c>
      <c r="BN301" s="476">
        <f>IF(ISERROR((BM301/BE301-1)*100),"NA",IF(((BM301/BE301-1)*100)&gt;100,"NM",IF(((BM301/BE301-1)*100)&lt;-50,"NM",(BM301/BE301-1)*100)))</f>
        <v>1.9288975114480911</v>
      </c>
      <c r="BO301" s="212">
        <f>BO300</f>
        <v>67.468069120961687</v>
      </c>
      <c r="BP301" s="476">
        <f>IF(ISERROR((BO301/BG301-1)*100),"NA",IF(((BO301/BG301-1)*100)&gt;100,"NM",IF(((BO301/BG301-1)*100)&lt;-50,"NM",(BO301/BG301-1)*100)))</f>
        <v>-1.4243904935827389</v>
      </c>
      <c r="BQ301" s="212">
        <f>BQ300</f>
        <v>67.286420334196279</v>
      </c>
      <c r="BR301" s="476">
        <f>IF(ISERROR((BQ301/BI301-1)*100),"NA",IF(((BQ301/BI301-1)*100)&gt;100,"NM",IF(((BQ301/BI301-1)*100)&lt;-50,"NM",(BQ301/BI301-1)*100)))</f>
        <v>-0.98234719356136146</v>
      </c>
      <c r="BS301" s="212">
        <f>BS300</f>
        <v>66.782522343594835</v>
      </c>
      <c r="BT301" s="476">
        <f>IF(ISERROR((BS301/BK301-1)*100),"NA",IF(((BS301/BK301-1)*100)&gt;100,"NM",IF(((BS301/BK301-1)*100)&lt;-50,"NM",(BS301/BK301-1)*100)))</f>
        <v>4.4364977075366019</v>
      </c>
      <c r="BU301" s="212">
        <f>BU300</f>
        <v>68.775757575757595</v>
      </c>
      <c r="BV301" s="476">
        <f>IF(ISERROR((BU301/BM301-1)*100),"NA",IF(((BU301/BM301-1)*100)&gt;100,"NM",IF(((BU301/BM301-1)*100)&lt;-50,"NM",(BU301/BM301-1)*100)))</f>
        <v>3.8320243289700073</v>
      </c>
      <c r="BW301" s="212">
        <f>BW300</f>
        <v>66.919791172282856</v>
      </c>
      <c r="BX301" s="476">
        <f>IF(ISERROR((BW301/BO301-1)*100),"NA",IF(((BW301/BO301-1)*100)&gt;100,"NM",IF(((BW301/BO301-1)*100)&lt;-50,"NM",(BW301/BO301-1)*100)))</f>
        <v>-0.812648050881426</v>
      </c>
      <c r="BY301" s="212">
        <f>BY300</f>
        <v>66.087152856175209</v>
      </c>
      <c r="BZ301" s="476">
        <f>IF(ISERROR((BY301/BQ301-1)*100),"NA",IF(((BY301/BQ301-1)*100)&gt;100,"NM",IF(((BY301/BQ301-1)*100)&lt;-50,"NM",(BY301/BQ301-1)*100)))</f>
        <v>-1.7823321140648885</v>
      </c>
      <c r="CA301" s="212">
        <f>CA300</f>
        <v>63.095439087335095</v>
      </c>
      <c r="CB301" s="476">
        <f>IF(ISERROR((CA301/BS301-1)*100),"NA",IF(((CA301/BS301-1)*100)&gt;100,"NM",IF(((CA301/BS301-1)*100)&lt;-50,"NM",(CA301/BS301-1)*100)))</f>
        <v>-5.5210302439458125</v>
      </c>
      <c r="CC301" s="212">
        <f>CC300</f>
        <v>64.829335793357941</v>
      </c>
      <c r="CD301" s="476">
        <f>IF(ISERROR((CC301/BU301-1)*100),"NA",IF(((CC301/BU301-1)*100)&gt;100,"NM",IF(((CC301/BU301-1)*100)&lt;-50,"NM",(CC301/BU301-1)*100)))</f>
        <v>-5.7381000537182096</v>
      </c>
      <c r="CE301" s="212">
        <f>CE300</f>
        <v>69.788858939802338</v>
      </c>
      <c r="CF301" s="476">
        <f>IF(ISERROR((CE301/BW301-1)*100),"NA",IF(((CE301/BW301-1)*100)&gt;100,"NM",IF(((CE301/BW301-1)*100)&lt;-50,"NM",(CE301/BW301-1)*100)))</f>
        <v>4.287323252598263</v>
      </c>
      <c r="CG301" s="212">
        <f>CG300</f>
        <v>71.091257179323549</v>
      </c>
      <c r="CH301" s="476">
        <f>IF(ISERROR((CG301/BY301-1)*100),"NA",IF(((CG301/BY301-1)*100)&gt;100,"NM",IF(((CG301/BY301-1)*100)&lt;-50,"NM",(CG301/BY301-1)*100)))</f>
        <v>7.5719774674492646</v>
      </c>
      <c r="CI301" s="212">
        <f>CI300</f>
        <v>73.178294573643413</v>
      </c>
      <c r="CJ301" s="476">
        <f>IF(ISERROR((CI301/CA301-1)*100),"NA",IF(((CI301/CA301-1)*100)&gt;100,"NM",IF(((CI301/CA301-1)*100)&lt;-50,"NM",(CI301/CA301-1)*100)))</f>
        <v>15.980323827134146</v>
      </c>
      <c r="CK301" s="212">
        <f>CK300</f>
        <v>69.7393926340728</v>
      </c>
      <c r="CL301" s="476">
        <f>IF(ISERROR((CK301/CC301-1)*100),"NA",IF(((CK301/CC301-1)*100)&gt;100,"NM",IF(((CK301/CC301-1)*100)&lt;-50,"NM",(CK301/CC301-1)*100)))</f>
        <v>7.5738194455139185</v>
      </c>
      <c r="CM301" s="212">
        <f>CM300</f>
        <v>68.549905838041411</v>
      </c>
      <c r="CN301" s="476">
        <f>IF(ISERROR((CM301/CE301-1)*100),"NA",IF(((CM301/CE301-1)*100)&gt;100,"NM",IF(((CM301/CE301-1)*100)&lt;-50,"NM",(CM301/CE301-1)*100)))</f>
        <v>-1.7752878046474518</v>
      </c>
      <c r="CO301" s="212">
        <f>CO300</f>
        <v>69.097083499800249</v>
      </c>
      <c r="CP301" s="476">
        <f>IF(ISERROR((CO301/CG301-1)*100),"NA",IF(((CO301/CG301-1)*100)&gt;100,"NM",IF(((CO301/CG301-1)*100)&lt;-50,"NM",(CO301/CG301-1)*100)))</f>
        <v>-2.805089906474878</v>
      </c>
      <c r="CQ301" s="212">
        <f>CQ300</f>
        <v>66.770963704630788</v>
      </c>
      <c r="CR301" s="476">
        <f>IF(ISERROR((CQ301/CI301-1)*100),"NA",IF(((CQ301/CI301-1)*100)&gt;100,"NM",IF(((CQ301/CI301-1)*100)&lt;-50,"NM",(CQ301/CI301-1)*100)))</f>
        <v>-8.7557805307481811</v>
      </c>
      <c r="CS301" s="212">
        <f>CS300</f>
        <v>67.151767151767146</v>
      </c>
      <c r="CT301" s="476">
        <f>IF(ISERROR((CS301/CK301-1)*100),"NA",IF(((CS301/CK301-1)*100)&gt;100,"NM",IF(((CS301/CK301-1)*100)&lt;-50,"NM",(CS301/CK301-1)*100)))</f>
        <v>-3.7104215918298822</v>
      </c>
      <c r="CU301" s="477">
        <f>CU300</f>
        <v>69.444444444444443</v>
      </c>
      <c r="CV301" s="476">
        <f>IF(ISERROR((CU301/CM301-1)*100),"NA",IF(((CU301/CM301-1)*100)&gt;100,"NM",IF(((CU301/CM301-1)*100)&lt;-50,"NM",(CU301/CM301-1)*100)))</f>
        <v>1.3049450549450725</v>
      </c>
      <c r="CW301" s="477">
        <f>CW300</f>
        <v>68.148148148148152</v>
      </c>
      <c r="CX301" s="476">
        <f>IF(ISERROR((CW301/CO301-1)*100),"NA",IF(((CW301/CO301-1)*100)&gt;100,"NM",IF(((CW301/CO301-1)*100)&lt;-50,"NM",(CW301/CO301-1)*100)))</f>
        <v>-1.373336331416708</v>
      </c>
      <c r="CY301" s="477">
        <f>CY300</f>
        <v>69.632495164410059</v>
      </c>
      <c r="CZ301" s="476">
        <f>IF(ISERROR((CY301/CQ301-1)*100),"NA",IF(((CY301/CQ301-1)*100)&gt;100,"NM",IF(((CY301/CQ301-1)*100)&lt;-50,"NM",(CY301/CQ301-1)*100)))</f>
        <v>4.285592570503538</v>
      </c>
      <c r="DA301" s="477">
        <f>DA300</f>
        <v>69.114877589453855</v>
      </c>
      <c r="DB301" s="476">
        <f>IF(ISERROR((DA301/CS301-1)*100),"NA",IF(((DA301/CS301-1)*100)&gt;100,"NM",IF(((DA301/CS301-1)*100)&lt;-50,"NM",(DA301/CS301-1)*100)))</f>
        <v>2.9233935620040397</v>
      </c>
      <c r="DC301" s="477">
        <f>DC300</f>
        <v>69.818181818181827</v>
      </c>
      <c r="DD301" s="476">
        <f>IF(ISERROR((DC301/CU301-1)*100),"NA",IF(((DC301/CU301-1)*100)&gt;100,"NM",IF(((DC301/CU301-1)*100)&lt;-50,"NM",(DC301/CU301-1)*100)))</f>
        <v>0.53818181818183763</v>
      </c>
      <c r="DE301" s="477">
        <f>DE300</f>
        <v>69.043478260869563</v>
      </c>
      <c r="DF301" s="476">
        <f>IF(ISERROR((DE301/CW301-1)*100),"NA",IF(((DE301/CW301-1)*100)&gt;100,"NM",IF(((DE301/CW301-1)*100)&lt;-50,"NM",(DE301/CW301-1)*100)))</f>
        <v>1.3137996219281467</v>
      </c>
      <c r="DG301" s="477">
        <f>DG300</f>
        <v>68.092691622103388</v>
      </c>
      <c r="DH301" s="476">
        <f>IF(ISERROR((DG301/CY301-1)*100),"NA",IF(((DG301/CY301-1)*100)&gt;100,"NM",IF(((DG301/CY301-1)*100)&lt;-50,"NM",(DG301/CY301-1)*100)))</f>
        <v>-2.2113289760348542</v>
      </c>
      <c r="DI301" s="477">
        <f>DI300</f>
        <v>68.869565217391298</v>
      </c>
      <c r="DJ301" s="476">
        <f>IF(ISERROR((DI301/DA301-1)*100),"NA",IF(((DI301/DA301-1)*100)&gt;100,"NM",IF(((DI301/DA301-1)*100)&lt;-50,"NM",(DI301/DA301-1)*100)))</f>
        <v>-0.35493424949650798</v>
      </c>
      <c r="DK301" s="477">
        <f>DK300</f>
        <v>69.344262295081975</v>
      </c>
      <c r="DL301" s="576">
        <f>IF(ISERROR((DK301/DC301-1)*100),"NA",IF(((DK301/DC301-1)*100)&gt;100,"NM",IF(((DK301/DC301-1)*100)&lt;-50,"NM",(DK301/DC301-1)*100)))</f>
        <v>-0.67879098360655865</v>
      </c>
      <c r="DM301" s="477">
        <f>DM300</f>
        <v>74.557165861513681</v>
      </c>
      <c r="DN301" s="130">
        <f t="shared" si="2089"/>
        <v>7.985819572721331</v>
      </c>
      <c r="DO301" s="477">
        <f>DO300</f>
        <v>71.57190635451505</v>
      </c>
      <c r="DP301" s="130">
        <f t="shared" si="2089"/>
        <v>5.1095273949815168</v>
      </c>
      <c r="DQ301" s="477">
        <f>DQ300</f>
        <v>74.675324675324674</v>
      </c>
      <c r="DR301" s="130">
        <f t="shared" si="2089"/>
        <v>8.4300800209891271</v>
      </c>
      <c r="DS301" s="477">
        <f>DS300</f>
        <v>72.727272727272734</v>
      </c>
      <c r="DT301" s="130">
        <f t="shared" si="2089"/>
        <v>4.8785729636793507</v>
      </c>
      <c r="DU301" s="477">
        <f>DU300</f>
        <v>68.233387358184757</v>
      </c>
      <c r="DV301" s="130">
        <f t="shared" si="2089"/>
        <v>-8.4817849904260552</v>
      </c>
      <c r="DW301" s="477">
        <f>DW300</f>
        <v>67.719298245614041</v>
      </c>
      <c r="DX301" s="477">
        <f t="shared" ref="DX301:DY301" si="2107">DX300</f>
        <v>67.719298245614041</v>
      </c>
      <c r="DY301" s="477">
        <f t="shared" si="2107"/>
        <v>68.495575221238937</v>
      </c>
      <c r="DZ301" s="130">
        <f t="shared" si="2089"/>
        <v>-8.275490573297418</v>
      </c>
      <c r="EA301" s="477">
        <f t="shared" ref="EA301:EC301" si="2108">EA300</f>
        <v>63.670411985018724</v>
      </c>
      <c r="EB301" s="130">
        <f t="shared" si="2092"/>
        <v>-12.453183520599264</v>
      </c>
      <c r="EC301" s="477">
        <f t="shared" si="2108"/>
        <v>65.714285714285708</v>
      </c>
      <c r="ED301" s="130">
        <f t="shared" si="2093"/>
        <v>-3.691890057685776</v>
      </c>
      <c r="EE301" s="477">
        <f t="shared" ref="EE301:EG301" si="2109">EE300</f>
        <v>54.49438202247191</v>
      </c>
      <c r="EF301" s="130">
        <f t="shared" si="2095"/>
        <v>-19.52902136577983</v>
      </c>
      <c r="EG301" s="477">
        <f t="shared" si="2109"/>
        <v>64.245810055865931</v>
      </c>
      <c r="EH301" s="130">
        <f t="shared" si="2096"/>
        <v>-6.2044375153378457</v>
      </c>
      <c r="EI301" s="477">
        <f t="shared" ref="EI301:EK301" si="2110">EI300</f>
        <v>64.879852125693162</v>
      </c>
      <c r="EJ301" s="130">
        <f t="shared" si="2098"/>
        <v>1.8995324562357307</v>
      </c>
      <c r="EK301" s="477">
        <f t="shared" si="2110"/>
        <v>60.258780036968574</v>
      </c>
      <c r="EL301" s="130">
        <f t="shared" si="2099"/>
        <v>-8.3018564654825937</v>
      </c>
      <c r="EM301" s="477">
        <f t="shared" ref="EM301" si="2111">EM300</f>
        <v>59.219858156028373</v>
      </c>
      <c r="EN301" s="130">
        <f t="shared" si="2100"/>
        <v>8.6714922863201149</v>
      </c>
      <c r="EO301" s="477">
        <f t="shared" ref="EO301" si="2112">EO300</f>
        <v>61.552346570397113</v>
      </c>
      <c r="EP301" s="130">
        <f t="shared" si="2101"/>
        <v>-4.1924344686862458</v>
      </c>
      <c r="EQ301" s="574">
        <f t="shared" ref="EQ301:EW301" si="2113">IF($B$6=1,EQ300,IF($B$6=2,EQ300+EQ792,IF($B$6=3,EQ300+EQ793)))</f>
        <v>63</v>
      </c>
      <c r="ER301" s="130">
        <f t="shared" si="2102"/>
        <v>-2.897435897435896</v>
      </c>
      <c r="ES301" s="574">
        <f t="shared" si="2113"/>
        <v>61</v>
      </c>
      <c r="ET301" s="130">
        <f t="shared" si="2103"/>
        <v>1.2300613496932566</v>
      </c>
      <c r="EU301" s="574">
        <f t="shared" si="2113"/>
        <v>62</v>
      </c>
      <c r="EV301" s="130">
        <f t="shared" si="2104"/>
        <v>4.694610778443109</v>
      </c>
      <c r="EW301" s="574">
        <f t="shared" si="2113"/>
        <v>62</v>
      </c>
      <c r="EX301" s="130">
        <f t="shared" si="2105"/>
        <v>0.72727272727273196</v>
      </c>
      <c r="EY301" s="115"/>
      <c r="EZ301" s="558"/>
      <c r="FA301" s="115"/>
      <c r="FB301" s="172">
        <f>FB300</f>
        <v>66.066800254391936</v>
      </c>
      <c r="FC301" s="116"/>
      <c r="FD301" s="172">
        <f>FD300</f>
        <v>57.111169340832781</v>
      </c>
      <c r="FE301" s="116">
        <f>IF(ISERROR((FD301/FB301-1)*100),"NA",IF(((FD301/FB301-1)*100)&gt;100,"NM",IF(((FD301/FB301-1)*100)&lt;-50,"NM",(FD301/FB301-1)*100)))</f>
        <v>-13.555417969502482</v>
      </c>
      <c r="FF301" s="172">
        <f>FF300</f>
        <v>66.978048076296204</v>
      </c>
      <c r="FG301" s="116">
        <f>IF(ISERROR((FF301/FD301-1)*100),"NA",IF(((FF301/FD301-1)*100)&gt;100,"NM",IF(((FF301/FD301-1)*100)&lt;-50,"NM",(FF301/FD301-1)*100)))</f>
        <v>17.276618303118685</v>
      </c>
      <c r="FH301" s="172">
        <f>FH300</f>
        <v>67.086823794907929</v>
      </c>
      <c r="FI301" s="116">
        <f>IF(ISERROR((FH301/FF301-1)*100),"NA",IF(((FH301/FF301-1)*100)&gt;100,"NM",IF(((FH301/FF301-1)*100)&lt;-50,"NM",(FH301/FF301-1)*100)))</f>
        <v>0.16240502931321732</v>
      </c>
      <c r="FJ301" s="172">
        <f>FJ300</f>
        <v>68.438047724330715</v>
      </c>
      <c r="FK301" s="116">
        <f>IF(ISERROR((FJ301/FH301-1)*100),"NA",IF(((FJ301/FH301-1)*100)&gt;100,"NM",IF(((FJ301/FH301-1)*100)&lt;-50,"NM",(FJ301/FH301-1)*100)))</f>
        <v>2.0141420520274345</v>
      </c>
      <c r="FL301" s="172">
        <f>FL300</f>
        <v>70.297189127340104</v>
      </c>
      <c r="FM301" s="116">
        <f>IF(ISERROR((FL301/FJ301-1)*100),"NA",IF(((FL301/FJ301-1)*100)&gt;100,"NM",IF(((FL301/FJ301-1)*100)&lt;-50,"NM",(FL301/FJ301-1)*100)))</f>
        <v>2.7165319070731497</v>
      </c>
      <c r="FN301" s="172">
        <f>FN300</f>
        <v>69.890831945040233</v>
      </c>
      <c r="FO301" s="116">
        <f>IF(ISERROR((FN301/FL301-1)*100),"NA",IF(((FN301/FL301-1)*100)&gt;100,"NM",IF(((FN301/FL301-1)*100)&lt;-50,"NM",(FN301/FL301-1)*100)))</f>
        <v>-0.57805608921827067</v>
      </c>
      <c r="FP301" s="424">
        <f>FP300</f>
        <v>67.348367078194443</v>
      </c>
      <c r="FQ301" s="476">
        <f>IF(ISERROR((FP301/FN301-1)*100),"NA",IF(((FP301/FN301-1)*100)&gt;100,"NM",IF(((FP301/FN301-1)*100)&lt;-50,"NM",(FP301/FN301-1)*100)))</f>
        <v>-3.6377659216377589</v>
      </c>
      <c r="FR301" s="424">
        <f>FR300</f>
        <v>64.291945332945616</v>
      </c>
      <c r="FS301" s="116">
        <f>IF(ISERROR((FR301/FP301-1)*100),"NA",IF(((FR301/FP301-1)*100)&gt;100,"NM",IF(((FR301/FP301-1)*100)&lt;-50,"NM",(FR301/FP301-1)*100)))</f>
        <v>-4.5382269501800803</v>
      </c>
      <c r="FT301" s="424">
        <f>FT300</f>
        <v>66.653327997865816</v>
      </c>
      <c r="FU301" s="116">
        <f>IF(ISERROR((FT301/FR301-1)*100),"NA",IF(((FT301/FR301-1)*100)&gt;100,"NM",IF(((FT301/FR301-1)*100)&lt;-50,"NM",(FT301/FR301-1)*100)))</f>
        <v>3.6729059179830603</v>
      </c>
      <c r="FV301" s="424">
        <f>FV300</f>
        <v>67.581579749923762</v>
      </c>
      <c r="FW301" s="116">
        <f>IF(ISERROR((FV301/FT301-1)*100),"NA",IF(((FV301/FT301-1)*100)&gt;100,"NM",IF(((FV301/FT301-1)*100)&lt;-50,"NM",(FV301/FT301-1)*100)))</f>
        <v>1.3926562707981649</v>
      </c>
      <c r="FX301" s="424">
        <f>FX300</f>
        <v>65.249254018954645</v>
      </c>
      <c r="FY301" s="116">
        <f>IF(ISERROR((FX301/FV301-1)*100),"NA",IF(((FX301/FV301-1)*100)&gt;100,"NM",IF(((FX301/FV301-1)*100)&lt;-50,"NM",(FX301/FV301-1)*100)))</f>
        <v>-3.4511263862128772</v>
      </c>
      <c r="FZ301" s="424">
        <f>FZ300</f>
        <v>70.946425645786675</v>
      </c>
      <c r="GA301" s="116">
        <f>IF(ISERROR((FZ301/FX301-1)*100),"NA",IF(((FZ301/FX301-1)*100)&gt;100,"NM",IF(((FZ301/FX301-1)*100)&lt;-50,"NM",(FZ301/FX301-1)*100)))</f>
        <v>8.7313973354806951</v>
      </c>
      <c r="GB301" s="424">
        <f>GB300</f>
        <v>67.904481922739691</v>
      </c>
      <c r="GC301" s="116">
        <f>IF(ISERROR((GB301/FZ301-1)*100),"NA",IF(((GB301/FZ301-1)*100)&gt;100,"NM",IF(((GB301/FZ301-1)*100)&lt;-50,"NM",(GB301/FZ301-1)*100)))</f>
        <v>-4.287663113902962</v>
      </c>
      <c r="GD301" s="424">
        <f>GD300</f>
        <v>69.072657743785854</v>
      </c>
      <c r="GE301" s="116">
        <f>IF(ISERROR((GD301/GB301-1)*100),"NA",IF(((GD301/GB301-1)*100)&gt;100,"NM",IF(((GD301/GB301-1)*100)&lt;-50,"NM",(GD301/GB301-1)*100)))</f>
        <v>1.7203221171399052</v>
      </c>
      <c r="GF301" s="424">
        <f>GF300</f>
        <v>68.951791242812916</v>
      </c>
      <c r="GG301" s="116">
        <f>IF(ISERROR((GF301/GD301-1)*100),"NA",IF(((GF301/GD301-1)*100)&gt;100,"NM",IF(((GF301/GD301-1)*100)&lt;-50,"NM",(GF301/GD301-1)*100)))</f>
        <v>-0.17498458133936579</v>
      </c>
      <c r="GH301" s="574">
        <f>GH300</f>
        <v>72.556237218813905</v>
      </c>
      <c r="GI301" s="116">
        <f>IF(ISERROR((GH301/GF301-1)*100),"NA",IF(((GH301/GF301-1)*100)&gt;100,"NM",IF(((GH301/GF301-1)*100)&lt;-50,"NM",(GH301/GF301-1)*100)))</f>
        <v>5.2274870761630732</v>
      </c>
      <c r="GJ301" s="574">
        <f>GJ300</f>
        <v>69.325413661434027</v>
      </c>
      <c r="GK301" s="116">
        <f>IF(ISERROR((GJ301/GH301-1)*100),"NA",IF(((GJ301/GH301-1)*100)&gt;100,"NM",IF(((GJ301/GH301-1)*100)&lt;-50,"NM",(GJ301/GH301-1)*100)))</f>
        <v>-4.4528543392298729</v>
      </c>
      <c r="GL301" s="574">
        <f>GL300</f>
        <v>62.018779342723008</v>
      </c>
      <c r="GM301" s="116">
        <f>IF(ISERROR((GL301/GJ301-1)*100),"NA",IF(((GL301/GJ301-1)*100)&gt;100,"NM",IF(((GL301/GJ301-1)*100)&lt;-50,"NM",(GL301/GJ301-1)*100)))</f>
        <v>-10.539618781641291</v>
      </c>
      <c r="GN301" s="574">
        <f>GN300</f>
        <v>61.454545454545453</v>
      </c>
      <c r="GO301" s="116">
        <f>IF(ISERROR((GN301/GL301-1)*100),"NA",IF(((GN301/GL301-1)*100)&gt;100,"NM",IF(((GN301/GL301-1)*100)&lt;-50,"NM",(GN301/GL301-1)*100)))</f>
        <v>-0.90977909297365045</v>
      </c>
      <c r="GP301" s="574">
        <f>GP300</f>
        <v>61.997423691730091</v>
      </c>
      <c r="GQ301" s="116">
        <f>IF(ISERROR((GP301/GN301-1)*100),"NA",IF(((GP301/GN301-1)*100)&gt;100,"NM",IF(((GP301/GN301-1)*100)&lt;-50,"NM",(GP301/GN301-1)*100)))</f>
        <v>0.88338174689808202</v>
      </c>
      <c r="GR301" s="424">
        <f>IF($B$6=1,GR300,IF($B$6=2,GR300+GR792,IF($B$6=3,GR300+GR793)))</f>
        <v>62.6</v>
      </c>
      <c r="GS301" s="116">
        <f>IF(ISERROR((GR301/GP301-1)*100),"NA",IF(((GR301/GP301-1)*100)&gt;100,"NM",IF(((GR301/GP301-1)*100)&lt;-50,"NM",(GR301/GP301-1)*100)))</f>
        <v>0.97193765867773507</v>
      </c>
      <c r="GT301" s="424">
        <f>IF($B$6=1,GT300,IF($B$6=2,GT300+GT792,IF($B$6=3,GT300+GT793)))</f>
        <v>62.5</v>
      </c>
      <c r="GU301" s="116">
        <f>IF(ISERROR((GT301/GR301-1)*100),"NA",IF(((GT301/GR301-1)*100)&gt;100,"NM",IF(((GT301/GR301-1)*100)&lt;-50,"NM",(GT301/GR301-1)*100)))</f>
        <v>-0.15974440894569453</v>
      </c>
      <c r="GV301" s="424">
        <f>IF($B$6=1,GV300,IF($B$6=2,GV300+GV792,IF($B$6=3,GV300+GV793)))</f>
        <v>62.5</v>
      </c>
      <c r="GW301" s="116">
        <f>IF(ISERROR((GV301/GT301-1)*100),"NA",IF(((GV301/GT301-1)*100)&gt;100,"NM",IF(((GV301/GT301-1)*100)&lt;-50,"NM",(GV301/GT301-1)*100)))</f>
        <v>0</v>
      </c>
      <c r="GX301" s="424">
        <f>IF($B$6=1,GX300,IF($B$6=2,GX300+GX792,IF($B$6=3,GX300+GX793)))</f>
        <v>62.5</v>
      </c>
      <c r="GY301" s="116">
        <f>IF(ISERROR((GX301/GV301-1)*100),"NA",IF(((GX301/GV301-1)*100)&gt;100,"NM",IF(((GX301/GV301-1)*100)&lt;-50,"NM",(GX301/GV301-1)*100)))</f>
        <v>0</v>
      </c>
      <c r="GZ301" s="116">
        <f t="shared" si="1909"/>
        <v>0.33794482019595673</v>
      </c>
      <c r="HA301" s="116"/>
      <c r="HB301" s="475"/>
      <c r="HC301"/>
      <c r="HD301"/>
      <c r="HE301"/>
      <c r="HF301"/>
      <c r="HG301"/>
      <c r="HH301"/>
    </row>
    <row r="302" spans="2:216" s="5" customFormat="1" ht="12.75" customHeight="1" collapsed="1" x14ac:dyDescent="0.2">
      <c r="B302" s="68" t="s">
        <v>589</v>
      </c>
      <c r="C302" s="189">
        <f>C296/C288*100</f>
        <v>24.393114953460454</v>
      </c>
      <c r="D302" s="205"/>
      <c r="E302" s="189">
        <f>E296/E288*100</f>
        <v>23.39239317339959</v>
      </c>
      <c r="F302" s="199"/>
      <c r="G302" s="189">
        <f>G296/G288*100</f>
        <v>23.500579271009713</v>
      </c>
      <c r="H302" s="199"/>
      <c r="I302" s="189">
        <f>I296/I288*100</f>
        <v>23.546282203055412</v>
      </c>
      <c r="J302" s="193"/>
      <c r="K302" s="189">
        <f>K296/K288*100</f>
        <v>21.733036177340452</v>
      </c>
      <c r="L302" s="193">
        <f>IF(ISERROR((K302/C302-1)*100),"NA",IF(((K302/C302-1)*100)&gt;100,"NM",IF(((K302/C302-1)*100)&lt;-50,"NM",(K302/C302-1)*100)))</f>
        <v>-10.90503931619704</v>
      </c>
      <c r="M302" s="189">
        <f>M296/M288*100</f>
        <v>21.918976250225295</v>
      </c>
      <c r="N302" s="193">
        <f>IF(ISERROR((M302/E302-1)*100),"NA",IF(((M302/E302-1)*100)&gt;100,"NM",IF(((M302/E302-1)*100)&lt;-50,"NM",(M302/E302-1)*100)))</f>
        <v>-6.2987010873678972</v>
      </c>
      <c r="O302" s="189">
        <f>O296/O288*100</f>
        <v>21.521361849828999</v>
      </c>
      <c r="P302" s="193">
        <f>IF(ISERROR((O302/G302-1)*100),"NA",IF(((O302/G302-1)*100)&gt;100,"NM",IF(((O302/G302-1)*100)&lt;-50,"NM",(O302/G302-1)*100)))</f>
        <v>-8.4219941915315903</v>
      </c>
      <c r="Q302" s="189">
        <f>Q296/Q288*100</f>
        <v>21.039148338615103</v>
      </c>
      <c r="R302" s="193">
        <f>IF(ISERROR((Q302/I302-1)*100),"NA",IF(((Q302/I302-1)*100)&gt;100,"NM",IF(((Q302/I302-1)*100)&lt;-50,"NM",(Q302/I302-1)*100)))</f>
        <v>-10.647684601839092</v>
      </c>
      <c r="S302" s="189">
        <f>S296/S288*100</f>
        <v>20.975018517271565</v>
      </c>
      <c r="T302" s="193">
        <f>IF(ISERROR((S302/K302-1)*100),"NA",IF(((S302/K302-1)*100)&gt;100,"NM",IF(((S302/K302-1)*100)&lt;-50,"NM",(S302/K302-1)*100)))</f>
        <v>-3.4878590082099037</v>
      </c>
      <c r="U302" s="189">
        <f>U296/U288*100</f>
        <v>20.676672573586448</v>
      </c>
      <c r="V302" s="193">
        <f>IF(ISERROR((U302/M302-1)*100),"NA",IF(((U302/M302-1)*100)&gt;100,"NM",IF(((U302/M302-1)*100)&lt;-50,"NM",(U302/M302-1)*100)))</f>
        <v>-5.6677084844511283</v>
      </c>
      <c r="W302" s="189">
        <f>W296/W288*100</f>
        <v>20.618556701030929</v>
      </c>
      <c r="X302" s="193">
        <f>IF(ISERROR((W302/O302-1)*100),"NA",IF(((W302/O302-1)*100)&gt;100,"NM",IF(((W302/O302-1)*100)&lt;-50,"NM",(W302/O302-1)*100)))</f>
        <v>-4.1949257444655714</v>
      </c>
      <c r="Y302" s="189">
        <f>Y296/Y288*100</f>
        <v>22.117293435470664</v>
      </c>
      <c r="Z302" s="193">
        <f>IF(ISERROR((Y302/Q302-1)*100),"NA",IF(((Y302/Q302-1)*100)&gt;100,"NM",IF(((Y302/Q302-1)*100)&lt;-50,"NM",(Y302/Q302-1)*100)))</f>
        <v>5.124471197708802</v>
      </c>
      <c r="AA302" s="189">
        <f>AA296/AA288*100</f>
        <v>21.086232888493175</v>
      </c>
      <c r="AB302" s="193">
        <f>IF(ISERROR((AA302/S302-1)*100),"NA",IF(((AA302/S302-1)*100)&gt;100,"NM",IF(((AA302/S302-1)*100)&lt;-50,"NM",(AA302/S302-1)*100)))</f>
        <v>0.53022299422540442</v>
      </c>
      <c r="AC302" s="189">
        <f>AC296/AC288*100</f>
        <v>19.614022594738159</v>
      </c>
      <c r="AD302" s="193">
        <f>IF(ISERROR((AC302/U302-1)*100),"NA",IF(((AC302/U302-1)*100)&gt;100,"NM",IF(((AC302/U302-1)*100)&lt;-50,"NM",(AC302/U302-1)*100)))</f>
        <v>-5.1393664772047432</v>
      </c>
      <c r="AE302" s="189">
        <f>AE296/AE288*100</f>
        <v>20.54783890742609</v>
      </c>
      <c r="AF302" s="193">
        <f>IF(ISERROR((AE302/W302-1)*100),"NA",IF(((AE302/W302-1)*100)&gt;100,"NM",IF(((AE302/W302-1)*100)&lt;-50,"NM",(AE302/W302-1)*100)))</f>
        <v>-0.34298129898346907</v>
      </c>
      <c r="AG302" s="189">
        <f>AG296/AG288*100</f>
        <v>19.586310968430258</v>
      </c>
      <c r="AH302" s="193">
        <f>IF(ISERROR((AG302/Y302-1)*100),"NA",IF(((AG302/Y302-1)*100)&gt;100,"NM",IF(((AG302/Y302-1)*100)&lt;-50,"NM",(AG302/Y302-1)*100)))</f>
        <v>-11.443454753741866</v>
      </c>
      <c r="AI302" s="189">
        <f>AI296/AI288*100</f>
        <v>21.069267623823151</v>
      </c>
      <c r="AJ302" s="193">
        <f>IF(ISERROR((AI302/AA302-1)*100),"NA",IF(((AI302/AA302-1)*100)&gt;100,"NM",IF(((AI302/AA302-1)*100)&lt;-50,"NM",(AI302/AA302-1)*100)))</f>
        <v>-8.0456593454780734E-2</v>
      </c>
      <c r="AK302" s="189">
        <f>AK296/AK288*100</f>
        <v>20.538992177089661</v>
      </c>
      <c r="AL302" s="193">
        <f>IF(ISERROR((AK302/AC302-1)*100),"NA",IF(((AK302/AC302-1)*100)&gt;100,"NM",IF(((AK302/AC302-1)*100)&lt;-50,"NM",(AK302/AC302-1)*100)))</f>
        <v>4.7158586561414584</v>
      </c>
      <c r="AM302" s="189">
        <f>AM296/AM288*100</f>
        <v>21.310687337796267</v>
      </c>
      <c r="AN302" s="193">
        <f>IF(ISERROR((AM302/AE302-1)*100),"NA",IF(((AM302/AE302-1)*100)&gt;100,"NM",IF(((AM302/AE302-1)*100)&lt;-50,"NM",(AM302/AE302-1)*100)))</f>
        <v>3.71254823345184</v>
      </c>
      <c r="AO302" s="189">
        <f>AO296/AO288*100</f>
        <v>21.164544482641624</v>
      </c>
      <c r="AP302" s="193">
        <f>IF(ISERROR((AO302/AG302-1)*100),"NA",IF(((AO302/AG302-1)*100)&gt;100,"NM",IF(((AO302/AG302-1)*100)&lt;-50,"NM",(AO302/AG302-1)*100)))</f>
        <v>8.0578395633317932</v>
      </c>
      <c r="AQ302" s="189">
        <f>AQ296/AQ288*100</f>
        <v>23.3207055797224</v>
      </c>
      <c r="AR302" s="193">
        <f>IF(ISERROR((AQ302/AI302-1)*100),"NA",IF(((AQ302/AI302-1)*100)&gt;100,"NM",IF(((AQ302/AI302-1)*100)&lt;-50,"NM",(AQ302/AI302-1)*100)))</f>
        <v>10.685886173630132</v>
      </c>
      <c r="AS302" s="189">
        <f>AS296/AS288*100</f>
        <v>21.004168574395436</v>
      </c>
      <c r="AT302" s="193">
        <f>IF(ISERROR((AS302/AK302-1)*100),"NA",IF(((AS302/AK302-1)*100)&gt;100,"NM",IF(((AS302/AK302-1)*100)&lt;-50,"NM",(AS302/AK302-1)*100)))</f>
        <v>2.2648452917989781</v>
      </c>
      <c r="AU302" s="189">
        <f>AU296/AU288*100</f>
        <v>22.416333200375714</v>
      </c>
      <c r="AV302" s="13">
        <f>IF(ISERROR((AU302/AM302-1)*100),"NA",IF(((AU302/AM302-1)*100)&gt;100,"NM",IF(((AU302/AM302-1)*100)&lt;-50,"NM",(AU302/AM302-1)*100)))</f>
        <v>5.1882224400078059</v>
      </c>
      <c r="AW302" s="189">
        <f>AW296/AW288*100</f>
        <v>22.215842066171927</v>
      </c>
      <c r="AX302" s="187">
        <f>IF(ISERROR((AW302/AO302-1)*100),"NA",IF(((AW302/AO302-1)*100)&gt;100,"NM",IF(((AW302/AO302-1)*100)&lt;-50,"NM",(AW302/AO302-1)*100)))</f>
        <v>4.9672582577552582</v>
      </c>
      <c r="AY302" s="210"/>
      <c r="AZ302" s="187" t="str">
        <f>IF(ISERROR((AY302/AQ302-1)*100),"NA",IF(((AY302/AQ302-1)*100)&gt;100,"NM",IF(((AY302/AQ302-1)*100)&lt;-50,"NM",(AY302/AQ302-1)*100)))</f>
        <v>NM</v>
      </c>
      <c r="BA302" s="210">
        <f>BA296/BA288*100</f>
        <v>20.293122886133034</v>
      </c>
      <c r="BB302" s="187">
        <f>IF(ISERROR((BA302/AS302-1)*100),"NA",IF(((BA302/AS302-1)*100)&gt;100,"NM",IF(((BA302/AS302-1)*100)&lt;-50,"NM",(BA302/AS302-1)*100)))</f>
        <v>-3.3852598627930552</v>
      </c>
      <c r="BC302" s="210">
        <f>BC296/BC288*100</f>
        <v>22.45635159542444</v>
      </c>
      <c r="BD302" s="187">
        <f>IF(ISERROR((BC302/AU302-1)*100),"NA",IF(((BC302/AU302-1)*100)&gt;100,"NM",IF(((BC302/AU302-1)*100)&lt;-50,"NM",(BC302/AU302-1)*100)))</f>
        <v>0.17852337708852417</v>
      </c>
      <c r="BE302" s="210">
        <f>BE296/BE288*100</f>
        <v>20.191470844212358</v>
      </c>
      <c r="BF302" s="187">
        <f>IF(ISERROR((BE302/AW302-1)*100),"NA",IF(((BE302/AW302-1)*100)&gt;100,"NM",IF(((BE302/AW302-1)*100)&lt;-50,"NM",(BE302/AW302-1)*100)))</f>
        <v>-9.1122867003185952</v>
      </c>
      <c r="BG302" s="83">
        <f>BG296/BG288*100</f>
        <v>21.731890091590341</v>
      </c>
      <c r="BH302" s="187" t="str">
        <f>IF(ISERROR((BG302/AY302-1)*100),"NA",IF(((BG302/AY302-1)*100)&gt;100,"NM",IF(((BG302/AY302-1)*100)&lt;-50,"NM",(BG302/AY302-1)*100)))</f>
        <v>NA</v>
      </c>
      <c r="BI302" s="83">
        <f>BI296/BI288*100</f>
        <v>20.639386189258314</v>
      </c>
      <c r="BJ302" s="187">
        <f>IF(ISERROR((BI302/BA302-1)*100),"NA",IF(((BI302/BA302-1)*100)&gt;100,"NM",IF(((BI302/BA302-1)*100)&lt;-50,"NM",(BI302/BA302-1)*100)))</f>
        <v>1.7063086104006864</v>
      </c>
      <c r="BK302" s="83">
        <f>BK296/BK288*100</f>
        <v>22.14965986394558</v>
      </c>
      <c r="BL302" s="187">
        <f>IF(ISERROR((BK302/BC302-1)*100),"NA",IF(((BK302/BC302-1)*100)&gt;100,"NM",IF(((BK302/BC302-1)*100)&lt;-50,"NM",(BK302/BC302-1)*100)))</f>
        <v>-1.3657237694005064</v>
      </c>
      <c r="BM302" s="83">
        <f>BM296/BM288*100</f>
        <v>22.359432475039412</v>
      </c>
      <c r="BN302" s="187">
        <f>IF(ISERROR((BM302/BE302-1)*100),"NA",IF(((BM302/BE302-1)*100)&gt;100,"NM",IF(((BM302/BE302-1)*100)&lt;-50,"NM",(BM302/BE302-1)*100)))</f>
        <v>10.737016869915017</v>
      </c>
      <c r="BO302" s="83">
        <f>BO296/BO288*100</f>
        <v>22.439268720260458</v>
      </c>
      <c r="BP302" s="187">
        <f>IF(ISERROR((BO302/BG302-1)*100),"NA",IF(((BO302/BG302-1)*100)&gt;100,"NM",IF(((BO302/BG302-1)*100)&lt;-50,"NM",(BO302/BG302-1)*100)))</f>
        <v>3.2550257970605845</v>
      </c>
      <c r="BQ302" s="83">
        <f>BQ296/BQ288*100</f>
        <v>21.016709814073899</v>
      </c>
      <c r="BR302" s="187">
        <f>IF(ISERROR((BQ302/BI302-1)*100),"NA",IF(((BQ302/BI302-1)*100)&gt;100,"NM",IF(((BQ302/BI302-1)*100)&lt;-50,"NM",(BQ302/BI302-1)*100)))</f>
        <v>1.8281727051163932</v>
      </c>
      <c r="BS302" s="83">
        <f>BS296/BS288*100</f>
        <v>22.790466732869909</v>
      </c>
      <c r="BT302" s="187">
        <f>IF(ISERROR((BS302/BK302-1)*100),"NA",IF(((BS302/BK302-1)*100)&gt;100,"NM",IF(((BS302/BK302-1)*100)&lt;-50,"NM",(BS302/BK302-1)*100)))</f>
        <v>2.8930776944679382</v>
      </c>
      <c r="BU302" s="83">
        <f>BU296/BU288*100</f>
        <v>24.33939393939394</v>
      </c>
      <c r="BV302" s="187">
        <f>IF(ISERROR((BU302/BM302-1)*100),"NA",IF(((BU302/BM302-1)*100)&gt;100,"NM",IF(((BU302/BM302-1)*100)&lt;-50,"NM",(BU302/BM302-1)*100)))</f>
        <v>8.8551508029768975</v>
      </c>
      <c r="BW302" s="83">
        <f>BW296/BW288*100</f>
        <v>23.706691979117224</v>
      </c>
      <c r="BX302" s="187">
        <f>IF(ISERROR((BW302/BO302-1)*100),"NA",IF(((BW302/BO302-1)*100)&gt;100,"NM",IF(((BW302/BO302-1)*100)&lt;-50,"NM",(BW302/BO302-1)*100)))</f>
        <v>5.648237804257894</v>
      </c>
      <c r="BY302" s="83">
        <f>BY296/BY288*100</f>
        <v>22.239783246782569</v>
      </c>
      <c r="BZ302" s="187">
        <f>IF(ISERROR((BY302/BQ302-1)*100),"NA",IF(((BY302/BQ302-1)*100)&gt;100,"NM",IF(((BY302/BQ302-1)*100)&lt;-50,"NM",(BY302/BQ302-1)*100)))</f>
        <v>5.8195285728769752</v>
      </c>
      <c r="CA302" s="83">
        <f>CA296/CA288*100</f>
        <v>24.07081353561178</v>
      </c>
      <c r="CB302" s="187">
        <f>IF(ISERROR((CA302/BS302-1)*100),"NA",IF(((CA302/BS302-1)*100)&gt;100,"NM",IF(((CA302/BS302-1)*100)&lt;-50,"NM",(CA302/BS302-1)*100)))</f>
        <v>5.6179051431854754</v>
      </c>
      <c r="CC302" s="83">
        <f>CC296/CC288*100</f>
        <v>24.469557195571959</v>
      </c>
      <c r="CD302" s="187">
        <f>IF(ISERROR((CC302/BU302-1)*100),"NA",IF(((CC302/BU302-1)*100)&gt;100,"NM",IF(((CC302/BU302-1)*100)&lt;-50,"NM",(CC302/BU302-1)*100)))</f>
        <v>0.53478429455611209</v>
      </c>
      <c r="CE302" s="83">
        <f>CE296/CE288*100</f>
        <v>22.821203953279422</v>
      </c>
      <c r="CF302" s="187">
        <f>IF(ISERROR((CE302/BW302-1)*100),"NA",IF(((CE302/BW302-1)*100)&gt;100,"NM",IF(((CE302/BW302-1)*100)&lt;-50,"NM",(CE302/BW302-1)*100)))</f>
        <v>-3.7351817226030981</v>
      </c>
      <c r="CG302" s="83">
        <f>CG296/CG288*100</f>
        <v>21.548606679429909</v>
      </c>
      <c r="CH302" s="187">
        <f>IF(ISERROR((CG302/BY302-1)*100),"NA",IF(((CG302/BY302-1)*100)&gt;100,"NM",IF(((CG302/BY302-1)*100)&lt;-50,"NM",(CG302/BY302-1)*100)))</f>
        <v>-3.1078385957410415</v>
      </c>
      <c r="CI302" s="83">
        <f>CI296/CI288*100</f>
        <v>23.56589147286822</v>
      </c>
      <c r="CJ302" s="187">
        <f>IF(ISERROR((CI302/CA302-1)*100),"NA",IF(((CI302/CA302-1)*100)&gt;100,"NM",IF(((CI302/CA302-1)*100)&lt;-50,"NM",(CI302/CA302-1)*100)))</f>
        <v>-2.0976526696804387</v>
      </c>
      <c r="CK302" s="83">
        <f>CK296/CK288*100</f>
        <v>24.294637088089598</v>
      </c>
      <c r="CL302" s="187">
        <f>IF(ISERROR((CK302/CC302-1)*100),"NA",IF(((CK302/CC302-1)*100)&gt;100,"NM",IF(((CK302/CC302-1)*100)&lt;-50,"NM",(CK302/CC302-1)*100)))</f>
        <v>-0.71484786620501506</v>
      </c>
      <c r="CM302" s="83">
        <f>CM296/CM288*100</f>
        <v>23.666038920276204</v>
      </c>
      <c r="CN302" s="187">
        <f>IF(ISERROR((CM302/CE302-1)*100),"NA",IF(((CM302/CE302-1)*100)&gt;100,"NM",IF(((CM302/CE302-1)*100)&lt;-50,"NM",(CM302/CE302-1)*100)))</f>
        <v>3.7019736939662096</v>
      </c>
      <c r="CO302" s="83">
        <f>CO296/CO288*100</f>
        <v>23.032361166600083</v>
      </c>
      <c r="CP302" s="187">
        <f>IF(ISERROR((CO302/CG302-1)*100),"NA",IF(((CO302/CG302-1)*100)&gt;100,"NM",IF(((CO302/CG302-1)*100)&lt;-50,"NM",(CO302/CG302-1)*100)))</f>
        <v>6.8856168254560535</v>
      </c>
      <c r="CQ302" s="83">
        <f>CQ296/CQ288*100</f>
        <v>24.614100959532749</v>
      </c>
      <c r="CR302" s="187">
        <f>IF(ISERROR((CQ302/CI302-1)*100),"NA",IF(((CQ302/CI302-1)*100)&gt;100,"NM",IF(((CQ302/CI302-1)*100)&lt;-50,"NM",(CQ302/CI302-1)*100)))</f>
        <v>4.4479942032803921</v>
      </c>
      <c r="CS302" s="83">
        <f>CS296/CS288*100</f>
        <v>26.403326403326403</v>
      </c>
      <c r="CT302" s="187">
        <f>IF(ISERROR((CS302/CK302-1)*100),"NA",IF(((CS302/CK302-1)*100)&gt;100,"NM",IF(((CS302/CK302-1)*100)&lt;-50,"NM",(CS302/CK302-1)*100)))</f>
        <v>8.6796493711387193</v>
      </c>
      <c r="CU302" s="83">
        <f>CU296/CU288*100</f>
        <v>25.595238095238095</v>
      </c>
      <c r="CV302" s="187">
        <f>IF(ISERROR((CU302/CM302-1)*100),"NA",IF(((CU302/CM302-1)*100)&gt;100,"NM",IF(((CU302/CM302-1)*100)&lt;-50,"NM",(CU302/CM302-1)*100)))</f>
        <v>8.1517620310723959</v>
      </c>
      <c r="CW302" s="83">
        <f>CW296/CW288*100</f>
        <v>24.074074074074073</v>
      </c>
      <c r="CX302" s="187">
        <f>IF(ISERROR((CW302/CO302-1)*100),"NA",IF(((CW302/CO302-1)*100)&gt;100,"NM",IF(((CW302/CO302-1)*100)&lt;-50,"NM",(CW302/CO302-1)*100)))</f>
        <v>4.5228229096398787</v>
      </c>
      <c r="CY302" s="83">
        <f>CY296/CY288*100</f>
        <v>25.72533849129594</v>
      </c>
      <c r="CZ302" s="187">
        <f>IF(ISERROR((CY302/CQ302-1)*100),"NA",IF(((CY302/CQ302-1)*100)&gt;100,"NM",IF(((CY302/CQ302-1)*100)&lt;-50,"NM",(CY302/CQ302-1)*100)))</f>
        <v>4.5146379044684215</v>
      </c>
      <c r="DA302" s="83">
        <f>DA296/DA288*100</f>
        <v>27.118644067796609</v>
      </c>
      <c r="DB302" s="187">
        <f>IF(ISERROR((DA302/CS302-1)*100),"NA",IF(((DA302/CS302-1)*100)&gt;100,"NM",IF(((DA302/CS302-1)*100)&lt;-50,"NM",(DA302/CS302-1)*100)))</f>
        <v>2.7091952488989657</v>
      </c>
      <c r="DC302" s="83">
        <f>DC296/DC288*100</f>
        <v>26.181818181818183</v>
      </c>
      <c r="DD302" s="187">
        <f>IF(ISERROR((DC302/CU302-1)*100),"NA",IF(((DC302/CU302-1)*100)&gt;100,"NM",IF(((DC302/CU302-1)*100)&lt;-50,"NM",(DC302/CU302-1)*100)))</f>
        <v>2.291754756871045</v>
      </c>
      <c r="DE302" s="83">
        <f>DE296/DE288*100</f>
        <v>25.043478260869566</v>
      </c>
      <c r="DF302" s="187">
        <f>IF(ISERROR((DE302/CW302-1)*100),"NA",IF(((DE302/CW302-1)*100)&gt;100,"NM",IF(((DE302/CW302-1)*100)&lt;-50,"NM",(DE302/CW302-1)*100)))</f>
        <v>4.0267558528428227</v>
      </c>
      <c r="DG302" s="83">
        <f>DG296/DG288*100</f>
        <v>25.490196078431371</v>
      </c>
      <c r="DH302" s="187">
        <f>IF(ISERROR((DG302/CY302-1)*100),"NA",IF(((DG302/CY302-1)*100)&gt;100,"NM",IF(((DG302/CY302-1)*100)&lt;-50,"NM",(DG302/CY302-1)*100)))</f>
        <v>-0.91404983045850763</v>
      </c>
      <c r="DI302" s="83">
        <f>DI296/DI288*100</f>
        <v>28.173913043478262</v>
      </c>
      <c r="DJ302" s="187">
        <f>IF(ISERROR((DI302/DA302-1)*100),"NA",IF(((DI302/DA302-1)*100)&gt;100,"NM",IF(((DI302/DA302-1)*100)&lt;-50,"NM",(DI302/DA302-1)*100)))</f>
        <v>3.8913043478260967</v>
      </c>
      <c r="DK302" s="83">
        <f>DK296/DK288*100</f>
        <v>25.73770491803279</v>
      </c>
      <c r="DL302" s="575">
        <f>IF(ISERROR((DK302/DC302-1)*100),"NA",IF(((DK302/DC302-1)*100)&gt;100,"NM",IF(((DK302/DC302-1)*100)&lt;-50,"NM",(DK302/DC302-1)*100)))</f>
        <v>-1.696265938069208</v>
      </c>
      <c r="DM302" s="83">
        <f>DM296/DM288*100</f>
        <v>24.9597423510467</v>
      </c>
      <c r="DN302" s="130">
        <f t="shared" si="2089"/>
        <v>-0.33436213991769881</v>
      </c>
      <c r="DO302" s="83">
        <f>DO296/DO288*100</f>
        <v>26.421404682274247</v>
      </c>
      <c r="DP302" s="130">
        <f t="shared" si="2089"/>
        <v>3.6532029843066693</v>
      </c>
      <c r="DQ302" s="83">
        <f>DQ296/DQ288*100</f>
        <v>26.948051948051948</v>
      </c>
      <c r="DR302" s="130">
        <f t="shared" si="2089"/>
        <v>-4.3510501843835208</v>
      </c>
      <c r="DS302" s="83">
        <f>DS296/DS288*100</f>
        <v>28.925619834710741</v>
      </c>
      <c r="DT302" s="130">
        <f t="shared" si="2089"/>
        <v>12.386166236774198</v>
      </c>
      <c r="DU302" s="83">
        <f>DU296/DU288*100</f>
        <v>26.904376012965965</v>
      </c>
      <c r="DV302" s="130">
        <f t="shared" si="2089"/>
        <v>7.7910806713023417</v>
      </c>
      <c r="DW302" s="83">
        <f>DW296/DW288*100</f>
        <v>27.719298245614034</v>
      </c>
      <c r="DX302" s="83">
        <f t="shared" ref="DX302:DY302" si="2114">DX296/DX288*100</f>
        <v>27.719298245614034</v>
      </c>
      <c r="DY302" s="83">
        <f t="shared" si="2114"/>
        <v>27.964601769911507</v>
      </c>
      <c r="DZ302" s="130">
        <f t="shared" si="2089"/>
        <v>3.7722571702740293</v>
      </c>
      <c r="EA302" s="83">
        <f t="shared" ref="EA302:EC302" si="2115">EA296/EA288*100</f>
        <v>34.831460674157306</v>
      </c>
      <c r="EB302" s="130">
        <f t="shared" si="2092"/>
        <v>20.417335473515273</v>
      </c>
      <c r="EC302" s="83">
        <f t="shared" si="2115"/>
        <v>29.904761904761905</v>
      </c>
      <c r="ED302" s="128">
        <f t="shared" ref="ED302:EF302" si="2116">EB302</f>
        <v>20.417335473515273</v>
      </c>
      <c r="EE302" s="83">
        <f t="shared" ref="EE302:EG302" si="2117">EE296/EE288*100</f>
        <v>37.265917602996254</v>
      </c>
      <c r="EF302" s="128">
        <f t="shared" si="2116"/>
        <v>20.417335473515273</v>
      </c>
      <c r="EG302" s="83">
        <f t="shared" si="2117"/>
        <v>31.098696461824954</v>
      </c>
      <c r="EH302" s="130">
        <f t="shared" si="2096"/>
        <v>11.207363929943659</v>
      </c>
      <c r="EI302" s="83">
        <f t="shared" ref="EI302:EK302" si="2118">EI296/EI288*100</f>
        <v>33.086876155268023</v>
      </c>
      <c r="EJ302" s="130">
        <f t="shared" si="2098"/>
        <v>-5.008645876811169</v>
      </c>
      <c r="EK302" s="83">
        <f t="shared" si="2118"/>
        <v>29.944547134935306</v>
      </c>
      <c r="EL302" s="130">
        <f t="shared" si="2099"/>
        <v>0.13303978242698022</v>
      </c>
      <c r="EM302" s="83">
        <f t="shared" ref="EM302" si="2119">EM296/EM288*100</f>
        <v>29.609929078014186</v>
      </c>
      <c r="EN302" s="130">
        <f t="shared" si="2100"/>
        <v>-20.54421041377098</v>
      </c>
      <c r="EO302" s="83">
        <f t="shared" ref="EO302" si="2120">EO296/EO288*100</f>
        <v>32.851985559566785</v>
      </c>
      <c r="EP302" s="130">
        <f t="shared" si="2101"/>
        <v>5.6378218292656435</v>
      </c>
      <c r="EQ302" s="128">
        <v>33</v>
      </c>
      <c r="ER302" s="130">
        <f t="shared" si="2102"/>
        <v>-0.26256983240223741</v>
      </c>
      <c r="ES302" s="128">
        <v>32.5</v>
      </c>
      <c r="ET302" s="130">
        <f t="shared" si="2103"/>
        <v>8.5339506172839474</v>
      </c>
      <c r="EU302" s="128">
        <f>ES302</f>
        <v>32.5</v>
      </c>
      <c r="EV302" s="130">
        <f t="shared" si="2104"/>
        <v>9.7604790419161702</v>
      </c>
      <c r="EW302" s="128">
        <f t="shared" ref="EW302" si="2121">EU302</f>
        <v>32.5</v>
      </c>
      <c r="EX302" s="130">
        <f t="shared" si="2105"/>
        <v>-1.0714285714285676</v>
      </c>
      <c r="EY302" s="64"/>
      <c r="EZ302" s="558"/>
      <c r="FA302" s="64"/>
      <c r="FB302" s="211">
        <f>FB296/FB288*100</f>
        <v>22.305315065691282</v>
      </c>
      <c r="FC302" s="193"/>
      <c r="FD302" s="211">
        <f>FD296/FD288*100</f>
        <v>20.09555091071962</v>
      </c>
      <c r="FE302" s="193">
        <f>IF(ISERROR((FD302/FB302-1)*100),"NA",IF(((FD302/FB302-1)*100)&gt;100,"NM",IF(((FD302/FB302-1)*100)&lt;-50,"NM",(FD302/FB302-1)*100)))</f>
        <v>-9.9068950537739333</v>
      </c>
      <c r="FF302" s="211">
        <f>FF296/FF288*100</f>
        <v>23.699322908420335</v>
      </c>
      <c r="FG302" s="193">
        <f>IF(ISERROR((FF302/FD302-1)*100),"NA",IF(((FF302/FD302-1)*100)&gt;100,"NM",IF(((FF302/FD302-1)*100)&lt;-50,"NM",(FF302/FD302-1)*100)))</f>
        <v>17.933183388261064</v>
      </c>
      <c r="FH302" s="211">
        <f>FH296/FH288*100</f>
        <v>21.540184691878313</v>
      </c>
      <c r="FI302" s="193">
        <f>IF(ISERROR((FH302/FF302-1)*100),"NA",IF(((FH302/FF302-1)*100)&gt;100,"NM",IF(((FH302/FF302-1)*100)&lt;-50,"NM",(FH302/FF302-1)*100)))</f>
        <v>-9.1105481151737226</v>
      </c>
      <c r="FJ302" s="211">
        <f>FJ296/FJ288*100</f>
        <v>21.099343589978581</v>
      </c>
      <c r="FK302" s="193">
        <f>IF(ISERROR((FJ302/FH302-1)*100),"NA",IF(((FJ302/FH302-1)*100)&gt;100,"NM",IF(((FJ302/FH302-1)*100)&lt;-50,"NM",(FJ302/FH302-1)*100)))</f>
        <v>-2.046598523669807</v>
      </c>
      <c r="FL302" s="211">
        <f>FL296/FL288*100</f>
        <v>20.19685745339304</v>
      </c>
      <c r="FM302" s="193">
        <f>IF(ISERROR((FL302/FJ302-1)*100),"NA",IF(((FL302/FJ302-1)*100)&gt;100,"NM",IF(((FL302/FJ302-1)*100)&lt;-50,"NM",(FL302/FJ302-1)*100)))</f>
        <v>-4.2773185466025048</v>
      </c>
      <c r="FN302" s="211">
        <f>FN296/FN288*100</f>
        <v>20.995896637836722</v>
      </c>
      <c r="FO302" s="193">
        <f>IF(ISERROR((FN302/FL302-1)*100),"NA",IF(((FN302/FL302-1)*100)&gt;100,"NM",IF(((FN302/FL302-1)*100)&lt;-50,"NM",(FN302/FL302-1)*100)))</f>
        <v>3.9562550079267123</v>
      </c>
      <c r="FP302" s="88">
        <f>FP296/FP288*100</f>
        <v>22.218668576772814</v>
      </c>
      <c r="FQ302" s="187">
        <f>IF(ISERROR((FP302/FN302-1)*100),"NA",IF(((FP302/FN302-1)*100)&gt;100,"NM",IF(((FP302/FN302-1)*100)&lt;-50,"NM",(FP302/FN302-1)*100)))</f>
        <v>5.8238614907854647</v>
      </c>
      <c r="FR302" s="88">
        <f>FR296/FR288*100</f>
        <v>20.955704177570997</v>
      </c>
      <c r="FS302" s="61">
        <f>IF(ISERROR((FR302/FP302-1)*100),"NA",IF(((FR302/FP302-1)*100)&gt;100,"NM",IF(((FR302/FP302-1)*100)&lt;-50,"NM",(FR302/FP302-1)*100)))</f>
        <v>-5.6842487876258563</v>
      </c>
      <c r="FT302" s="88">
        <f>FT296/FT288*100</f>
        <v>21.708683473389357</v>
      </c>
      <c r="FU302" s="61">
        <f>IF(ISERROR((FT302/FR302-1)*100),"NA",IF(((FT302/FR302-1)*100)&gt;100,"NM",IF(((FT302/FR302-1)*100)&lt;-50,"NM",(FT302/FR302-1)*100)))</f>
        <v>3.5931949097863125</v>
      </c>
      <c r="FV302" s="88">
        <f>FV296/FV288*100</f>
        <v>22.634949679780423</v>
      </c>
      <c r="FW302" s="61">
        <f>IF(ISERROR((FV302/FT302-1)*100),"NA",IF(((FV302/FT302-1)*100)&gt;100,"NM",IF(((FV302/FT302-1)*100)&lt;-50,"NM",(FV302/FT302-1)*100)))</f>
        <v>4.2668004604078824</v>
      </c>
      <c r="FX302" s="88">
        <f>FX296/FX288*100</f>
        <v>23.608621263525471</v>
      </c>
      <c r="FY302" s="61">
        <f>IF(ISERROR((FX302/FV302-1)*100),"NA",IF(((FX302/FV302-1)*100)&gt;100,"NM",IF(((FX302/FV302-1)*100)&lt;-50,"NM",(FX302/FV302-1)*100)))</f>
        <v>4.3016291068445289</v>
      </c>
      <c r="FZ302" s="88">
        <f>FZ296/FZ288*100</f>
        <v>23.051717546829771</v>
      </c>
      <c r="GA302" s="61">
        <f>IF(ISERROR((FZ302/FX302-1)*100),"NA",IF(((FZ302/FX302-1)*100)&gt;100,"NM",IF(((FZ302/FX302-1)*100)&lt;-50,"NM",(FZ302/FX302-1)*100)))</f>
        <v>-2.3588997869862793</v>
      </c>
      <c r="GB302" s="88">
        <f>GB296/GB288*100</f>
        <v>24.415905926040534</v>
      </c>
      <c r="GC302" s="61">
        <f>IF(ISERROR((GB302/FZ302-1)*100),"NA",IF(((GB302/FZ302-1)*100)&gt;100,"NM",IF(((GB302/FZ302-1)*100)&lt;-50,"NM",(GB302/FZ302-1)*100)))</f>
        <v>5.917946792638773</v>
      </c>
      <c r="GD302" s="88">
        <f>GD296/GD288*100</f>
        <v>25.621414913957935</v>
      </c>
      <c r="GE302" s="61">
        <f>IF(ISERROR((GD302/GB302-1)*100),"NA",IF(((GD302/GB302-1)*100)&gt;100,"NM",IF(((GD302/GB302-1)*100)&lt;-50,"NM",(GD302/GB302-1)*100)))</f>
        <v>4.9373920081813516</v>
      </c>
      <c r="GF302" s="88">
        <f>GF296/GF288*100</f>
        <v>26.227333038478552</v>
      </c>
      <c r="GG302" s="61">
        <f>IF(ISERROR((GF302/GD302-1)*100),"NA",IF(((GF302/GD302-1)*100)&gt;100,"NM",IF(((GF302/GD302-1)*100)&lt;-50,"NM",(GF302/GD302-1)*100)))</f>
        <v>2.3648893964498763</v>
      </c>
      <c r="GH302" s="129">
        <f>GH296/GH288*100</f>
        <v>26.012269938650306</v>
      </c>
      <c r="GI302" s="61">
        <f>IF(ISERROR((GH302/GF302-1)*100),"NA",IF(((GH302/GF302-1)*100)&gt;100,"NM",IF(((GH302/GF302-1)*100)&lt;-50,"NM",(GH302/GF302-1)*100)))</f>
        <v>-0.81999606865373886</v>
      </c>
      <c r="GJ302" s="129">
        <f>GJ296/GJ288*100</f>
        <v>27.874416631310989</v>
      </c>
      <c r="GK302" s="61">
        <f>IF(ISERROR((GJ302/GH302-1)*100),"NA",IF(((GJ302/GH302-1)*100)&gt;100,"NM",IF(((GJ302/GH302-1)*100)&lt;-50,"NM",(GJ302/GH302-1)*100)))</f>
        <v>7.1587243137663181</v>
      </c>
      <c r="GL302" s="129">
        <f>GL296/GL288*100</f>
        <v>33.286384976525824</v>
      </c>
      <c r="GM302" s="61">
        <f>IF(ISERROR((GL302/GJ302-1)*100),"NA",IF(((GL302/GJ302-1)*100)&gt;100,"NM",IF(((GL302/GJ302-1)*100)&lt;-50,"NM",(GL302/GJ302-1)*100)))</f>
        <v>19.415539405892488</v>
      </c>
      <c r="GN302" s="129">
        <f>GN296/GN288*100</f>
        <v>31.363636363636367</v>
      </c>
      <c r="GO302" s="61">
        <f>IF(ISERROR((GN302/GL302-1)*100),"NA",IF(((GN302/GL302-1)*100)&gt;100,"NM",IF(((GN302/GL302-1)*100)&lt;-50,"NM",(GN302/GL302-1)*100)))</f>
        <v>-5.7763815873829945</v>
      </c>
      <c r="GP302" s="129">
        <f>GP296/GP288*100</f>
        <v>32.589112116790872</v>
      </c>
      <c r="GQ302" s="61">
        <f>IF(ISERROR((GP302/GN302-1)*100),"NA",IF(((GP302/GN302-1)*100)&gt;100,"NM",IF(((GP302/GN302-1)*100)&lt;-50,"NM",(GP302/GN302-1)*100)))</f>
        <v>3.9073139955650982</v>
      </c>
      <c r="GR302" s="128">
        <v>31.75</v>
      </c>
      <c r="GS302" s="61">
        <f>IF(ISERROR((GR302/GP302-1)*100),"NA",IF(((GR302/GP302-1)*100)&gt;100,"NM",IF(((GR302/GP302-1)*100)&lt;-50,"NM",(GR302/GP302-1)*100)))</f>
        <v>-2.5748234986694762</v>
      </c>
      <c r="GT302" s="128">
        <v>31</v>
      </c>
      <c r="GU302" s="61">
        <f>IF(ISERROR((GT302/GR302-1)*100),"NA",IF(((GT302/GR302-1)*100)&gt;100,"NM",IF(((GT302/GR302-1)*100)&lt;-50,"NM",(GT302/GR302-1)*100)))</f>
        <v>-2.3622047244094446</v>
      </c>
      <c r="GV302" s="128">
        <f>GT302</f>
        <v>31</v>
      </c>
      <c r="GW302" s="61">
        <f>IF(ISERROR((GV302/GT302-1)*100),"NA",IF(((GV302/GT302-1)*100)&gt;100,"NM",IF(((GV302/GT302-1)*100)&lt;-50,"NM",(GV302/GT302-1)*100)))</f>
        <v>0</v>
      </c>
      <c r="GX302" s="128">
        <f>GV302</f>
        <v>31</v>
      </c>
      <c r="GY302" s="61">
        <f>IF(ISERROR((GX302/GV302-1)*100),"NA",IF(((GX302/GV302-1)*100)&gt;100,"NM",IF(((GX302/GV302-1)*100)&lt;-50,"NM",(GX302/GV302-1)*100)))</f>
        <v>0</v>
      </c>
      <c r="GZ302" s="61">
        <f t="shared" si="1909"/>
        <v>-0.2329670046273935</v>
      </c>
      <c r="HA302" s="61"/>
      <c r="HB302" s="452"/>
      <c r="HC302"/>
      <c r="HD302"/>
      <c r="HE302"/>
      <c r="HF302"/>
      <c r="HG302"/>
      <c r="HH302"/>
    </row>
    <row r="303" spans="2:216" s="5" customFormat="1" ht="12.75" customHeight="1" x14ac:dyDescent="0.2">
      <c r="B303" s="2" t="s">
        <v>397</v>
      </c>
      <c r="C303" s="197"/>
      <c r="D303" s="198"/>
      <c r="E303" s="197"/>
      <c r="F303" s="197"/>
      <c r="G303" s="199"/>
      <c r="H303" s="197"/>
      <c r="I303" s="199"/>
      <c r="J303" s="197"/>
      <c r="K303" s="199"/>
      <c r="L303" s="193"/>
      <c r="M303" s="197"/>
      <c r="N303" s="193"/>
      <c r="O303" s="199"/>
      <c r="P303" s="193"/>
      <c r="Q303" s="199"/>
      <c r="R303" s="193"/>
      <c r="S303" s="199"/>
      <c r="T303" s="193"/>
      <c r="U303" s="199"/>
      <c r="V303" s="193"/>
      <c r="W303" s="199"/>
      <c r="X303" s="193"/>
      <c r="Y303" s="199"/>
      <c r="Z303" s="193"/>
      <c r="AA303" s="199"/>
      <c r="AB303" s="193"/>
      <c r="AC303" s="199"/>
      <c r="AD303" s="193"/>
      <c r="AE303" s="199"/>
      <c r="AF303" s="193"/>
      <c r="AG303" s="199"/>
      <c r="AH303" s="193"/>
      <c r="AI303" s="199"/>
      <c r="AJ303" s="193"/>
      <c r="AK303" s="199"/>
      <c r="AL303" s="193"/>
      <c r="AM303" s="199"/>
      <c r="AN303" s="193"/>
      <c r="AO303" s="199"/>
      <c r="AP303" s="193"/>
      <c r="AQ303" s="199"/>
      <c r="AR303" s="193"/>
      <c r="AS303" s="199"/>
      <c r="AT303" s="193"/>
      <c r="AU303" s="199"/>
      <c r="AV303" s="13"/>
      <c r="AW303" s="199"/>
      <c r="AX303" s="187"/>
      <c r="AY303" s="199"/>
      <c r="AZ303" s="187"/>
      <c r="BA303" s="199"/>
      <c r="BB303" s="187"/>
      <c r="BC303" s="199"/>
      <c r="BD303" s="187"/>
      <c r="BE303" s="199"/>
      <c r="BF303" s="187"/>
      <c r="BG303" s="83">
        <f>BG293/BG285*100</f>
        <v>74.434047690914568</v>
      </c>
      <c r="BH303" s="187"/>
      <c r="BI303" s="83">
        <f>BI293/BI285*100</f>
        <v>73.539994464433974</v>
      </c>
      <c r="BJ303" s="187"/>
      <c r="BK303" s="83">
        <f>BK293/BK285*100</f>
        <v>69.795069795069793</v>
      </c>
      <c r="BL303" s="187"/>
      <c r="BM303" s="83">
        <f>BM293/BM285*100</f>
        <v>72.090363168430088</v>
      </c>
      <c r="BN303" s="187"/>
      <c r="BO303" s="83">
        <f>BO293/BO285*100</f>
        <v>72.732181425485962</v>
      </c>
      <c r="BP303" s="187"/>
      <c r="BQ303" s="83">
        <f>BQ293/BQ285*100</f>
        <v>72.748091603053439</v>
      </c>
      <c r="BR303" s="187"/>
      <c r="BS303" s="83">
        <f>BS293/BS285*100</f>
        <v>72.584997301672956</v>
      </c>
      <c r="BT303" s="187"/>
      <c r="BU303" s="83">
        <f>BU293/BU285*100</f>
        <v>74.09245233742493</v>
      </c>
      <c r="BV303" s="187"/>
      <c r="BW303" s="83">
        <f>BW293/BW285*100</f>
        <v>72.344792201128783</v>
      </c>
      <c r="BX303" s="187"/>
      <c r="BY303" s="83">
        <f>BY293/BY285*100</f>
        <v>70.820227437696587</v>
      </c>
      <c r="BZ303" s="187"/>
      <c r="CA303" s="83">
        <f>CA293/CA285*100</f>
        <v>68.932806324110672</v>
      </c>
      <c r="CB303" s="187"/>
      <c r="CC303" s="83">
        <f>CC293/CC285*100</f>
        <v>70.913218970736636</v>
      </c>
      <c r="CD303" s="187"/>
      <c r="CE303" s="83">
        <f>CE293/CE285*100</f>
        <v>75.798975359843865</v>
      </c>
      <c r="CF303" s="187"/>
      <c r="CG303" s="83">
        <f>CG293/CG285*100</f>
        <v>77.057874106525247</v>
      </c>
      <c r="CH303" s="187"/>
      <c r="CI303" s="83">
        <f>CI293/CI285*100</f>
        <v>79.710494571773211</v>
      </c>
      <c r="CJ303" s="187"/>
      <c r="CK303" s="83">
        <f>CK293/CK285*100</f>
        <v>76.331918906176327</v>
      </c>
      <c r="CL303" s="187"/>
      <c r="CM303" s="83">
        <f>CM293/CM285*100</f>
        <v>75.034356390288579</v>
      </c>
      <c r="CN303" s="187"/>
      <c r="CO303" s="83">
        <f>CO293/CO285*100</f>
        <v>75.162972620599746</v>
      </c>
      <c r="CP303" s="187"/>
      <c r="CQ303" s="83">
        <f>CQ293/CQ285*100</f>
        <v>72.799636115533332</v>
      </c>
      <c r="CR303" s="187"/>
      <c r="CS303" s="83">
        <f>CS293/CS285*100</f>
        <v>73.076923076923066</v>
      </c>
      <c r="CT303" s="187"/>
      <c r="CU303" s="83">
        <f>CU293/CU285*100</f>
        <v>75.593952483801303</v>
      </c>
      <c r="CV303" s="187"/>
      <c r="CW303" s="83">
        <f>CW293/CW285*100</f>
        <v>74.343434343434339</v>
      </c>
      <c r="CX303" s="187"/>
      <c r="CY303" s="83">
        <f>CY293/CY285*100</f>
        <v>76.109936575052856</v>
      </c>
      <c r="CZ303" s="187"/>
      <c r="DA303" s="83">
        <f>DA293/DA285*100</f>
        <v>75.359342915811084</v>
      </c>
      <c r="DB303" s="187"/>
      <c r="DC303" s="83">
        <f>DC293/DC285*100</f>
        <v>75.590551181102356</v>
      </c>
      <c r="DD303" s="187"/>
      <c r="DE303" s="83">
        <f>DE293/DE285*100</f>
        <v>74.764595103578159</v>
      </c>
      <c r="DF303" s="187"/>
      <c r="DG303" s="83">
        <f>DG293/DG285*100</f>
        <v>74.031007751937977</v>
      </c>
      <c r="DH303" s="187"/>
      <c r="DI303" s="83">
        <f>DI293/DI285*100</f>
        <v>74.858223062381853</v>
      </c>
      <c r="DJ303" s="187"/>
      <c r="DK303" s="83">
        <f>DK293/DK285*100</f>
        <v>75.266903914590742</v>
      </c>
      <c r="DL303" s="575"/>
      <c r="DM303" s="83">
        <f>DM293/DM285*100</f>
        <v>80.662020905923342</v>
      </c>
      <c r="DN303" s="130">
        <f t="shared" si="2089"/>
        <v>7.8879926978470793</v>
      </c>
      <c r="DO303" s="83">
        <f>DO293/DO285*100</f>
        <v>77.818181818181813</v>
      </c>
      <c r="DP303" s="130">
        <f t="shared" si="2089"/>
        <v>5.1156592099000475</v>
      </c>
      <c r="DQ303" s="83">
        <f>DQ293/DQ285*100</f>
        <v>81.128747795414455</v>
      </c>
      <c r="DR303" s="130">
        <f t="shared" si="2089"/>
        <v>8.3765343024602146</v>
      </c>
      <c r="DS303" s="83">
        <f>DS293/DS285*100</f>
        <v>78.431372549019613</v>
      </c>
      <c r="DT303" s="130">
        <f t="shared" si="2089"/>
        <v>4.2043294859315017</v>
      </c>
      <c r="DU303" s="83">
        <f>DU293/DU285*100</f>
        <v>74.250440917107582</v>
      </c>
      <c r="DV303" s="130">
        <f t="shared" si="2089"/>
        <v>-7.9486974375383319</v>
      </c>
      <c r="DW303" s="83">
        <f>DW293/DW285*100</f>
        <v>74.373795761078995</v>
      </c>
      <c r="DX303" s="83">
        <f t="shared" ref="DX303:DY303" si="2122">DX293/DX285*100</f>
        <v>74.373795761078995</v>
      </c>
      <c r="DY303" s="83">
        <f t="shared" si="2122"/>
        <v>75</v>
      </c>
      <c r="DZ303" s="130">
        <f t="shared" si="2089"/>
        <v>-7.554347826086949</v>
      </c>
      <c r="EA303" s="83">
        <f t="shared" ref="EA303:EC303" si="2123">EA293/EA285*100</f>
        <v>69.529652351738235</v>
      </c>
      <c r="EB303" s="130">
        <f t="shared" si="2092"/>
        <v>-11.349693251533754</v>
      </c>
      <c r="EC303" s="83">
        <f t="shared" si="2123"/>
        <v>72.175732217573213</v>
      </c>
      <c r="ED303" s="130">
        <f t="shared" si="2093"/>
        <v>-2.7942038779952161</v>
      </c>
      <c r="EE303" s="83">
        <f t="shared" ref="EE303:EG303" si="2124">EE293/EE285*100</f>
        <v>60</v>
      </c>
      <c r="EF303" s="805">
        <f t="shared" si="2095"/>
        <v>-19.326424870466319</v>
      </c>
      <c r="EG303" s="83">
        <f t="shared" si="2124"/>
        <v>70.841889117043124</v>
      </c>
      <c r="EH303" s="130">
        <f t="shared" si="2096"/>
        <v>-5.544147843942504</v>
      </c>
      <c r="EI303" s="83">
        <f t="shared" ref="EI303:EK303" si="2125">EI293/EI285*100</f>
        <v>70.909090909090907</v>
      </c>
      <c r="EJ303" s="130">
        <f t="shared" si="2098"/>
        <v>1.9839572192513311</v>
      </c>
      <c r="EK303" s="83">
        <f t="shared" si="2125"/>
        <v>65.991902834008101</v>
      </c>
      <c r="EL303" s="130">
        <f t="shared" si="2099"/>
        <v>-8.5677404212873185</v>
      </c>
      <c r="EM303" s="83">
        <f t="shared" ref="EM303" si="2126">EM293/EM285*100</f>
        <v>66.8</v>
      </c>
      <c r="EN303" s="130">
        <f t="shared" si="2100"/>
        <v>11.333333333333329</v>
      </c>
      <c r="EO303" s="83">
        <f t="shared" ref="EO303" si="2127">EO293/EO285*100</f>
        <v>66.994106090373279</v>
      </c>
      <c r="EP303" s="130">
        <f t="shared" si="2101"/>
        <v>-5.4315082144585913</v>
      </c>
      <c r="EQ303" s="825">
        <f t="shared" ref="EQ303:EW303" si="2128">EQ293/EQ285*100</f>
        <v>68.532551995122276</v>
      </c>
      <c r="ER303" s="130">
        <f t="shared" si="2102"/>
        <v>-3.3515292376480654</v>
      </c>
      <c r="ES303" s="825">
        <f t="shared" si="2128"/>
        <v>66.321313591395565</v>
      </c>
      <c r="ET303" s="130">
        <f t="shared" si="2103"/>
        <v>0.49916844831106033</v>
      </c>
      <c r="EU303" s="825">
        <f t="shared" si="2128"/>
        <v>66.730123795832668</v>
      </c>
      <c r="EV303" s="130">
        <f t="shared" si="2104"/>
        <v>-0.10460509605887403</v>
      </c>
      <c r="EW303" s="825">
        <f t="shared" si="2128"/>
        <v>66.692563342779195</v>
      </c>
      <c r="EX303" s="130">
        <f t="shared" si="2105"/>
        <v>-0.45010339743515315</v>
      </c>
      <c r="EY303" s="64"/>
      <c r="EZ303" s="558"/>
      <c r="FA303" s="64"/>
      <c r="FB303" s="197"/>
      <c r="FC303" s="214"/>
      <c r="FD303" s="197"/>
      <c r="FE303" s="198"/>
      <c r="FF303" s="197"/>
      <c r="FG303" s="198"/>
      <c r="FH303" s="197"/>
      <c r="FI303" s="198"/>
      <c r="FJ303" s="197"/>
      <c r="FK303" s="198"/>
      <c r="FL303" s="197"/>
      <c r="FM303" s="193"/>
      <c r="FN303" s="197"/>
      <c r="FO303" s="193"/>
      <c r="FP303" s="83">
        <f>FP293/FP285*100</f>
        <v>72.865907825695558</v>
      </c>
      <c r="FQ303" s="187"/>
      <c r="FR303" s="83">
        <f>FR293/FR285*100</f>
        <v>69.901991779955736</v>
      </c>
      <c r="FS303" s="61"/>
      <c r="FT303" s="83">
        <f>FT293/FT285*100</f>
        <v>72.472806381435817</v>
      </c>
      <c r="FU303" s="61"/>
      <c r="FV303" s="83">
        <f>FV293/FV285*100</f>
        <v>73.043707561474065</v>
      </c>
      <c r="FW303" s="61"/>
      <c r="FX303" s="83">
        <f>FX293/FX285*100</f>
        <v>70.766307789740353</v>
      </c>
      <c r="FY303" s="61"/>
      <c r="FZ303" s="83">
        <f>FZ293/FZ285*100</f>
        <v>77.221660821494382</v>
      </c>
      <c r="GA303" s="61"/>
      <c r="GB303" s="83">
        <f>GB293/GB285*100</f>
        <v>74.028675850435761</v>
      </c>
      <c r="GC303" s="61"/>
      <c r="GD303" s="83">
        <f>GD293/GD285*100</f>
        <v>75.338894681960383</v>
      </c>
      <c r="GE303" s="61"/>
      <c r="GF303" s="83">
        <f>GF293/GF285*100</f>
        <v>74.808061420345481</v>
      </c>
      <c r="GG303" s="61">
        <f t="shared" ref="GG303:GW303" si="2129">IF(ISERROR((GF303/GD303-1)*100),"NA",IF(((GF303/GD303-1)*100)&gt;100,"NM",IF(((GF303/GD303-1)*100)&lt;-50,"NM",(GF303/GD303-1)*100)))</f>
        <v>-0.70459390711237191</v>
      </c>
      <c r="GH303" s="577">
        <f>GH293/GH285*100</f>
        <v>78.739458499778067</v>
      </c>
      <c r="GI303" s="61">
        <f t="shared" si="2129"/>
        <v>5.25531206769565</v>
      </c>
      <c r="GJ303" s="577">
        <f>GJ293/GJ285*100</f>
        <v>75.54322699953768</v>
      </c>
      <c r="GK303" s="61">
        <f t="shared" si="2129"/>
        <v>-4.0592500394822988</v>
      </c>
      <c r="GL303" s="577">
        <f>GL293/GL285*100</f>
        <v>68.127900979886533</v>
      </c>
      <c r="GM303" s="61">
        <f t="shared" si="2129"/>
        <v>-9.8160037824390649</v>
      </c>
      <c r="GN303" s="577">
        <f>GN293/GN285*100</f>
        <v>67.667667667667658</v>
      </c>
      <c r="GO303" s="61">
        <f t="shared" si="2129"/>
        <v>-0.67554306767024785</v>
      </c>
      <c r="GP303" s="577">
        <f>GP293/GP285*100</f>
        <v>66.963479461668598</v>
      </c>
      <c r="GQ303" s="61">
        <f t="shared" si="2129"/>
        <v>-1.0406568310548203</v>
      </c>
      <c r="GR303" s="83">
        <f>GR293/GR285*100</f>
        <v>67.432734751018359</v>
      </c>
      <c r="GS303" s="61">
        <f t="shared" si="2129"/>
        <v>0.70076300264292346</v>
      </c>
      <c r="GT303" s="83">
        <f>GT293/GT285*100</f>
        <v>67.421515022003504</v>
      </c>
      <c r="GU303" s="61">
        <f t="shared" si="2129"/>
        <v>-1.6638401299129413E-2</v>
      </c>
      <c r="GV303" s="83">
        <f>GV293/GV285*100</f>
        <v>67.494970470093108</v>
      </c>
      <c r="GW303" s="61">
        <f t="shared" si="2129"/>
        <v>0.10894956612237383</v>
      </c>
      <c r="GX303" s="83">
        <f>GX293/GX285*100</f>
        <v>67.569522268154202</v>
      </c>
      <c r="GY303" s="61">
        <f t="shared" ref="GY303" si="2130">IF(ISERROR((GX303/GV303-1)*100),"NA",IF(((GX303/GV303-1)*100)&gt;100,"NM",IF(((GX303/GV303-1)*100)&lt;-50,"NM",(GX303/GV303-1)*100)))</f>
        <v>0.11045533843758726</v>
      </c>
      <c r="GZ303" s="61">
        <f t="shared" si="1909"/>
        <v>-2.9024907362595886E-2</v>
      </c>
      <c r="HA303" s="61"/>
      <c r="HB303" s="452"/>
      <c r="HC303"/>
      <c r="HD303"/>
      <c r="HE303"/>
      <c r="HF303"/>
      <c r="HG303"/>
      <c r="HH303"/>
    </row>
    <row r="304" spans="2:216" s="5" customFormat="1" ht="12.75" customHeight="1" x14ac:dyDescent="0.2">
      <c r="B304" s="68"/>
      <c r="C304" s="197"/>
      <c r="D304" s="198"/>
      <c r="E304" s="197"/>
      <c r="F304" s="197"/>
      <c r="G304" s="199"/>
      <c r="H304" s="197"/>
      <c r="I304" s="199"/>
      <c r="J304" s="197"/>
      <c r="K304" s="199"/>
      <c r="L304" s="193"/>
      <c r="M304" s="197"/>
      <c r="N304" s="193"/>
      <c r="O304" s="199"/>
      <c r="P304" s="193"/>
      <c r="Q304" s="199"/>
      <c r="R304" s="193"/>
      <c r="S304" s="199"/>
      <c r="T304" s="193"/>
      <c r="U304" s="199"/>
      <c r="V304" s="193"/>
      <c r="W304" s="199"/>
      <c r="X304" s="193"/>
      <c r="Y304" s="199"/>
      <c r="Z304" s="193"/>
      <c r="AA304" s="199"/>
      <c r="AB304" s="193"/>
      <c r="AC304" s="199"/>
      <c r="AD304" s="193"/>
      <c r="AE304" s="199"/>
      <c r="AF304" s="193"/>
      <c r="AG304" s="199"/>
      <c r="AH304" s="193"/>
      <c r="AI304" s="199"/>
      <c r="AJ304" s="193"/>
      <c r="AK304" s="199"/>
      <c r="AL304" s="193"/>
      <c r="AM304" s="199"/>
      <c r="AN304" s="193"/>
      <c r="AO304" s="199"/>
      <c r="AP304" s="193"/>
      <c r="AQ304" s="199"/>
      <c r="AR304" s="193"/>
      <c r="AS304" s="199"/>
      <c r="AT304" s="193"/>
      <c r="AU304" s="199"/>
      <c r="AV304" s="13"/>
      <c r="AW304" s="199"/>
      <c r="AX304" s="187"/>
      <c r="AY304" s="199"/>
      <c r="AZ304" s="187"/>
      <c r="BA304" s="199"/>
      <c r="BB304" s="187"/>
      <c r="BC304" s="199"/>
      <c r="BD304" s="187"/>
      <c r="BE304" s="199"/>
      <c r="BF304" s="187"/>
      <c r="BG304" s="199"/>
      <c r="BH304" s="187"/>
      <c r="BI304" s="199"/>
      <c r="BJ304" s="187"/>
      <c r="BK304" s="199"/>
      <c r="BL304" s="187"/>
      <c r="BM304" s="199"/>
      <c r="BN304" s="187"/>
      <c r="BO304" s="199"/>
      <c r="BP304" s="187"/>
      <c r="BQ304" s="199"/>
      <c r="BR304" s="187"/>
      <c r="BS304" s="199"/>
      <c r="BT304" s="187"/>
      <c r="BU304" s="199"/>
      <c r="BV304" s="187"/>
      <c r="BW304" s="64"/>
      <c r="BX304" s="187"/>
      <c r="BY304" s="64"/>
      <c r="BZ304" s="187"/>
      <c r="CA304" s="64"/>
      <c r="CB304" s="187"/>
      <c r="CC304" s="64"/>
      <c r="CD304" s="187"/>
      <c r="CE304" s="64"/>
      <c r="CF304" s="187"/>
      <c r="CG304" s="64"/>
      <c r="CH304" s="187"/>
      <c r="CI304" s="64"/>
      <c r="CJ304" s="187"/>
      <c r="CK304" s="64"/>
      <c r="CL304" s="187"/>
      <c r="CM304" s="64"/>
      <c r="CN304" s="187"/>
      <c r="CO304" s="64"/>
      <c r="CP304" s="187"/>
      <c r="CQ304" s="64"/>
      <c r="CR304" s="187"/>
      <c r="CS304" s="64"/>
      <c r="CT304" s="187"/>
      <c r="CU304" s="64"/>
      <c r="CV304" s="187"/>
      <c r="CW304" s="64"/>
      <c r="CX304" s="187"/>
      <c r="CY304" s="64"/>
      <c r="CZ304" s="187"/>
      <c r="DA304" s="64"/>
      <c r="DB304" s="187"/>
      <c r="DC304" s="64"/>
      <c r="DD304" s="187"/>
      <c r="DE304" s="64"/>
      <c r="DF304" s="187"/>
      <c r="DG304" s="64"/>
      <c r="DH304" s="187"/>
      <c r="DI304" s="64"/>
      <c r="DJ304" s="187"/>
      <c r="DK304" s="64"/>
      <c r="DL304" s="575"/>
      <c r="DM304" s="64"/>
      <c r="DN304" s="575"/>
      <c r="DO304" s="64"/>
      <c r="DP304" s="575"/>
      <c r="DQ304" s="64"/>
      <c r="DR304" s="575"/>
      <c r="DS304" s="64"/>
      <c r="DT304" s="575"/>
      <c r="DU304" s="64"/>
      <c r="DV304" s="575"/>
      <c r="DW304" s="64"/>
      <c r="DX304" s="64"/>
      <c r="DY304" s="64"/>
      <c r="DZ304" s="575"/>
      <c r="EA304" s="64"/>
      <c r="EB304" s="575"/>
      <c r="EC304" s="64"/>
      <c r="ED304" s="575"/>
      <c r="EE304" s="64"/>
      <c r="EF304" s="575"/>
      <c r="EG304" s="64"/>
      <c r="EH304" s="575"/>
      <c r="EI304" s="64"/>
      <c r="EJ304" s="575"/>
      <c r="EK304" s="64"/>
      <c r="EL304" s="575"/>
      <c r="EM304" s="64"/>
      <c r="EN304" s="575"/>
      <c r="EO304" s="64"/>
      <c r="EP304" s="575"/>
      <c r="EQ304" s="568"/>
      <c r="ER304" s="575"/>
      <c r="ES304" s="568"/>
      <c r="ET304" s="575"/>
      <c r="EU304" s="568"/>
      <c r="EV304" s="575"/>
      <c r="EW304" s="568"/>
      <c r="EX304" s="575"/>
      <c r="EY304" s="64"/>
      <c r="EZ304" s="558"/>
      <c r="FA304" s="64"/>
      <c r="FB304" s="197"/>
      <c r="FC304" s="214"/>
      <c r="FD304" s="197"/>
      <c r="FE304" s="198"/>
      <c r="FF304" s="197"/>
      <c r="FG304" s="198"/>
      <c r="FH304" s="197"/>
      <c r="FI304" s="198"/>
      <c r="FJ304" s="197"/>
      <c r="FK304" s="198"/>
      <c r="FL304" s="197"/>
      <c r="FM304" s="193"/>
      <c r="FN304" s="197"/>
      <c r="FO304" s="193"/>
      <c r="FP304" s="65"/>
      <c r="FQ304" s="187"/>
      <c r="FR304" s="65"/>
      <c r="FS304" s="61"/>
      <c r="FT304" s="65"/>
      <c r="FU304" s="61"/>
      <c r="FV304" s="65"/>
      <c r="FW304" s="61"/>
      <c r="FX304" s="65"/>
      <c r="FY304" s="61"/>
      <c r="FZ304" s="65"/>
      <c r="GA304" s="61"/>
      <c r="GB304" s="65"/>
      <c r="GC304" s="61"/>
      <c r="GD304" s="65"/>
      <c r="GE304" s="61"/>
      <c r="GF304" s="65"/>
      <c r="GG304" s="61"/>
      <c r="GH304" s="567"/>
      <c r="GI304" s="61"/>
      <c r="GJ304" s="567"/>
      <c r="GK304" s="61"/>
      <c r="GL304" s="567"/>
      <c r="GM304" s="61"/>
      <c r="GN304" s="567"/>
      <c r="GO304" s="61"/>
      <c r="GP304" s="567"/>
      <c r="GQ304" s="61"/>
      <c r="GR304" s="64"/>
      <c r="GS304" s="61"/>
      <c r="GT304" s="64"/>
      <c r="GU304" s="61"/>
      <c r="GV304" s="64"/>
      <c r="GW304" s="61"/>
      <c r="GX304" s="64"/>
      <c r="GY304" s="61"/>
      <c r="GZ304" s="61"/>
      <c r="HA304" s="61"/>
      <c r="HB304" s="452"/>
      <c r="HC304"/>
      <c r="HD304"/>
      <c r="HE304"/>
      <c r="HF304"/>
      <c r="HG304"/>
      <c r="HH304"/>
    </row>
    <row r="305" spans="1:216" s="5" customFormat="1" ht="12.75" customHeight="1" x14ac:dyDescent="0.2">
      <c r="B305" s="174" t="s">
        <v>578</v>
      </c>
      <c r="C305" s="197"/>
      <c r="D305" s="198"/>
      <c r="E305" s="197"/>
      <c r="F305" s="197"/>
      <c r="G305" s="199"/>
      <c r="H305" s="197"/>
      <c r="I305" s="199"/>
      <c r="J305" s="197"/>
      <c r="K305" s="199"/>
      <c r="L305" s="193"/>
      <c r="M305" s="197"/>
      <c r="N305" s="193"/>
      <c r="O305" s="199"/>
      <c r="P305" s="193"/>
      <c r="Q305" s="199"/>
      <c r="R305" s="193"/>
      <c r="S305" s="199"/>
      <c r="T305" s="193"/>
      <c r="U305" s="199"/>
      <c r="V305" s="193"/>
      <c r="W305" s="199"/>
      <c r="X305" s="193"/>
      <c r="Y305" s="199"/>
      <c r="Z305" s="193"/>
      <c r="AA305" s="199"/>
      <c r="AB305" s="193"/>
      <c r="AC305" s="199"/>
      <c r="AD305" s="193"/>
      <c r="AE305" s="199"/>
      <c r="AF305" s="193"/>
      <c r="AG305" s="199"/>
      <c r="AH305" s="193"/>
      <c r="AI305" s="199"/>
      <c r="AJ305" s="193"/>
      <c r="AK305" s="199"/>
      <c r="AL305" s="193"/>
      <c r="AM305" s="199"/>
      <c r="AN305" s="193"/>
      <c r="AO305" s="199"/>
      <c r="AP305" s="193"/>
      <c r="AQ305" s="199"/>
      <c r="AR305" s="193"/>
      <c r="AS305" s="199"/>
      <c r="AT305" s="193"/>
      <c r="AU305" s="199"/>
      <c r="AV305" s="13"/>
      <c r="AW305" s="199"/>
      <c r="AX305" s="187"/>
      <c r="AY305" s="199"/>
      <c r="AZ305" s="187"/>
      <c r="BA305" s="199"/>
      <c r="BB305" s="187"/>
      <c r="BC305" s="199"/>
      <c r="BD305" s="187"/>
      <c r="BE305" s="199"/>
      <c r="BF305" s="187"/>
      <c r="BG305" s="199"/>
      <c r="BH305" s="187"/>
      <c r="BI305" s="199"/>
      <c r="BJ305" s="187"/>
      <c r="BK305" s="199"/>
      <c r="BL305" s="187"/>
      <c r="BM305" s="199"/>
      <c r="BN305" s="187"/>
      <c r="BO305" s="199"/>
      <c r="BP305" s="187"/>
      <c r="BQ305" s="199"/>
      <c r="BR305" s="187"/>
      <c r="BS305" s="199"/>
      <c r="BT305" s="187"/>
      <c r="BU305" s="199"/>
      <c r="BV305" s="187"/>
      <c r="BW305" s="64"/>
      <c r="BX305" s="187"/>
      <c r="BY305" s="64"/>
      <c r="BZ305" s="187"/>
      <c r="CA305" s="64"/>
      <c r="CB305" s="187"/>
      <c r="CC305" s="64"/>
      <c r="CD305" s="187"/>
      <c r="CE305" s="64"/>
      <c r="CF305" s="187"/>
      <c r="CG305" s="64"/>
      <c r="CH305" s="187"/>
      <c r="CI305" s="64"/>
      <c r="CJ305" s="187"/>
      <c r="CK305" s="64"/>
      <c r="CL305" s="187"/>
      <c r="CM305" s="64"/>
      <c r="CN305" s="187"/>
      <c r="CO305" s="64"/>
      <c r="CP305" s="187"/>
      <c r="CQ305" s="64"/>
      <c r="CR305" s="187"/>
      <c r="CS305" s="64"/>
      <c r="CT305" s="187"/>
      <c r="CU305" s="64"/>
      <c r="CV305" s="187"/>
      <c r="CW305" s="64"/>
      <c r="CX305" s="187"/>
      <c r="CY305" s="64"/>
      <c r="CZ305" s="187"/>
      <c r="DA305" s="64"/>
      <c r="DB305" s="187"/>
      <c r="DC305" s="64"/>
      <c r="DD305" s="187"/>
      <c r="DE305" s="64"/>
      <c r="DF305" s="187"/>
      <c r="DG305" s="64"/>
      <c r="DH305" s="187"/>
      <c r="DI305" s="64"/>
      <c r="DJ305" s="187"/>
      <c r="DK305" s="64"/>
      <c r="DL305" s="187"/>
      <c r="DM305" s="64"/>
      <c r="DN305" s="187"/>
      <c r="DO305" s="64"/>
      <c r="DP305" s="187"/>
      <c r="DQ305" s="64"/>
      <c r="DR305" s="187"/>
      <c r="DS305" s="64"/>
      <c r="DT305" s="187"/>
      <c r="DU305" s="64"/>
      <c r="DV305" s="187"/>
      <c r="DW305" s="64"/>
      <c r="DX305" s="64"/>
      <c r="DY305" s="64"/>
      <c r="DZ305" s="187"/>
      <c r="EA305" s="64"/>
      <c r="EB305" s="187"/>
      <c r="EC305" s="64"/>
      <c r="ED305" s="187"/>
      <c r="EE305" s="64"/>
      <c r="EF305" s="187"/>
      <c r="EG305" s="64"/>
      <c r="EH305" s="187"/>
      <c r="EI305" s="64"/>
      <c r="EJ305" s="187"/>
      <c r="EK305" s="64"/>
      <c r="EL305" s="187"/>
      <c r="EM305" s="64"/>
      <c r="EN305" s="187"/>
      <c r="EO305" s="64"/>
      <c r="EP305" s="187"/>
      <c r="EQ305" s="64"/>
      <c r="ER305" s="187"/>
      <c r="ES305" s="64"/>
      <c r="ET305" s="187"/>
      <c r="EU305" s="64"/>
      <c r="EV305" s="187"/>
      <c r="EW305" s="64"/>
      <c r="EX305" s="187"/>
      <c r="EY305" s="64"/>
      <c r="EZ305" s="558"/>
      <c r="FA305" s="64"/>
      <c r="FB305" s="197"/>
      <c r="FC305" s="197"/>
      <c r="FD305" s="197"/>
      <c r="FE305" s="198"/>
      <c r="FF305" s="197"/>
      <c r="FG305" s="198"/>
      <c r="FH305" s="197"/>
      <c r="FI305" s="198"/>
      <c r="FJ305" s="197"/>
      <c r="FK305" s="198"/>
      <c r="FL305" s="197"/>
      <c r="FM305" s="193"/>
      <c r="FN305" s="197"/>
      <c r="FO305" s="193"/>
      <c r="FP305" s="65"/>
      <c r="FQ305" s="187"/>
      <c r="FR305" s="65"/>
      <c r="FS305" s="61"/>
      <c r="FT305" s="65"/>
      <c r="FU305" s="61"/>
      <c r="FV305" s="65"/>
      <c r="FW305" s="61"/>
      <c r="FX305" s="65"/>
      <c r="FY305" s="61"/>
      <c r="FZ305" s="65"/>
      <c r="GA305" s="61"/>
      <c r="GB305" s="65"/>
      <c r="GC305" s="61"/>
      <c r="GD305" s="65"/>
      <c r="GE305" s="61"/>
      <c r="GF305" s="65"/>
      <c r="GG305" s="61"/>
      <c r="GH305" s="65"/>
      <c r="GI305" s="61"/>
      <c r="GJ305" s="65"/>
      <c r="GK305" s="61"/>
      <c r="GL305" s="65"/>
      <c r="GM305" s="61"/>
      <c r="GN305" s="65"/>
      <c r="GO305" s="61"/>
      <c r="GP305" s="65"/>
      <c r="GQ305" s="61"/>
      <c r="GR305" s="64"/>
      <c r="GS305" s="61"/>
      <c r="GT305" s="64"/>
      <c r="GU305" s="61"/>
      <c r="GV305" s="64"/>
      <c r="GW305" s="61"/>
      <c r="GX305" s="64"/>
      <c r="GY305" s="61"/>
      <c r="GZ305" s="61" t="str">
        <f t="shared" ref="GZ305:GZ336" si="2131">IF(ISERROR((GX305/GN305)^0.2),"",IF(OR((GX305/GN305)^0.2&lt;0.5,(GX305/GN305)^0.2&gt;2),"NM",((GX305/GN305)^0.2-1)*100))</f>
        <v/>
      </c>
      <c r="HA305" s="61"/>
      <c r="HB305" s="452"/>
      <c r="HC305"/>
      <c r="HD305"/>
      <c r="HE305"/>
      <c r="HF305"/>
      <c r="HG305"/>
      <c r="HH305"/>
    </row>
    <row r="306" spans="1:216" s="5" customFormat="1" ht="12.75" customHeight="1" x14ac:dyDescent="0.2">
      <c r="A306" s="5" t="s">
        <v>492</v>
      </c>
      <c r="B306" s="2" t="s">
        <v>351</v>
      </c>
      <c r="C306" s="192">
        <f>C288-C297</f>
        <v>12.661000000000001</v>
      </c>
      <c r="D306" s="193"/>
      <c r="E306" s="192">
        <f>E288-E297</f>
        <v>13.697000000000003</v>
      </c>
      <c r="F306" s="193"/>
      <c r="G306" s="192">
        <f>G288-G297</f>
        <v>11.508999999999986</v>
      </c>
      <c r="H306" s="193"/>
      <c r="I306" s="192">
        <f>I288-I297</f>
        <v>12.182000000000016</v>
      </c>
      <c r="J306" s="193"/>
      <c r="K306" s="192">
        <f>K288-K297</f>
        <v>15.942000000000007</v>
      </c>
      <c r="L306" s="193">
        <f t="shared" ref="L306:L311" si="2132">IF(ISERROR((K306/C306-1)*100),"NA",IF(((K306/C306-1)*100)&gt;100,"NM",IF(((K306/C306-1)*100)&lt;-50,"NM",(K306/C306-1)*100)))</f>
        <v>25.914224784772188</v>
      </c>
      <c r="M306" s="192">
        <f>M288-M297</f>
        <v>16.217000000000013</v>
      </c>
      <c r="N306" s="193">
        <f t="shared" ref="N306:N311" si="2133">IF(ISERROR((M306/E306-1)*100),"NA",IF(((M306/E306-1)*100)&gt;100,"NM",IF(((M306/E306-1)*100)&lt;-50,"NM",(M306/E306-1)*100)))</f>
        <v>18.398189384536835</v>
      </c>
      <c r="O306" s="192">
        <f>O288-O297</f>
        <v>18.513000000000005</v>
      </c>
      <c r="P306" s="193">
        <f t="shared" ref="P306:P311" si="2134">IF(ISERROR((O306/G306-1)*100),"NA",IF(((O306/G306-1)*100)&gt;100,"NM",IF(((O306/G306-1)*100)&lt;-50,"NM",(O306/G306-1)*100)))</f>
        <v>60.856720827178968</v>
      </c>
      <c r="Q306" s="192">
        <f>Q288-Q297</f>
        <v>17.76600000000002</v>
      </c>
      <c r="R306" s="193">
        <f t="shared" ref="R306:R311" si="2135">IF(ISERROR((Q306/I306-1)*100),"NA",IF(((Q306/I306-1)*100)&gt;100,"NM",IF(((Q306/I306-1)*100)&lt;-50,"NM",(Q306/I306-1)*100)))</f>
        <v>45.838121819077294</v>
      </c>
      <c r="S306" s="192">
        <f>S288-S297</f>
        <v>19.868999999999971</v>
      </c>
      <c r="T306" s="193">
        <f t="shared" ref="T306:T311" si="2136">IF(ISERROR((S306/K306-1)*100),"NA",IF(((S306/K306-1)*100)&gt;100,"NM",IF(((S306/K306-1)*100)&lt;-50,"NM",(S306/K306-1)*100)))</f>
        <v>24.633044787353931</v>
      </c>
      <c r="U306" s="192">
        <f>U288-U297</f>
        <v>19.268000000000001</v>
      </c>
      <c r="V306" s="193">
        <f t="shared" ref="V306:V311" si="2137">IF(ISERROR((U306/M306-1)*100),"NA",IF(((U306/M306-1)*100)&gt;100,"NM",IF(((U306/M306-1)*100)&lt;-50,"NM",(U306/M306-1)*100)))</f>
        <v>18.813590676450541</v>
      </c>
      <c r="W306" s="192">
        <f>W288-W297</f>
        <v>14.185999999999979</v>
      </c>
      <c r="X306" s="193">
        <f t="shared" ref="X306:X311" si="2138">IF(ISERROR((W306/O306-1)*100),"NA",IF(((W306/O306-1)*100)&gt;100,"NM",IF(((W306/O306-1)*100)&lt;-50,"NM",(W306/O306-1)*100)))</f>
        <v>-23.372765083995173</v>
      </c>
      <c r="Y306" s="192">
        <f>Y288-Y297</f>
        <v>19.742000000000019</v>
      </c>
      <c r="Z306" s="193">
        <f t="shared" ref="Z306:Z311" si="2139">IF(ISERROR((Y306/Q306-1)*100),"NA",IF(((Y306/Q306-1)*100)&gt;100,"NM",IF(((Y306/Q306-1)*100)&lt;-50,"NM",(Y306/Q306-1)*100)))</f>
        <v>11.122368569177056</v>
      </c>
      <c r="AA306" s="192">
        <f>AA288-AA297</f>
        <v>18.334000000000032</v>
      </c>
      <c r="AB306" s="193">
        <f t="shared" ref="AB306:AB311" si="2140">IF(ISERROR((AA306/S306-1)*100),"NA",IF(((AA306/S306-1)*100)&gt;100,"NM",IF(((AA306/S306-1)*100)&lt;-50,"NM",(AA306/S306-1)*100)))</f>
        <v>-7.7256026976694425</v>
      </c>
      <c r="AC306" s="192">
        <f>AC288-AC297</f>
        <v>19.240000000000009</v>
      </c>
      <c r="AD306" s="193">
        <f t="shared" ref="AD306:AD311" si="2141">IF(ISERROR((AC306/U306-1)*100),"NA",IF(((AC306/U306-1)*100)&gt;100,"NM",IF(((AC306/U306-1)*100)&lt;-50,"NM",(AC306/U306-1)*100)))</f>
        <v>-0.14531866306826124</v>
      </c>
      <c r="AE306" s="192">
        <f>AE288-AE297</f>
        <v>15.426999999999992</v>
      </c>
      <c r="AF306" s="193">
        <f t="shared" ref="AF306:AF311" si="2142">IF(ISERROR((AE306/W306-1)*100),"NA",IF(((AE306/W306-1)*100)&gt;100,"NM",IF(((AE306/W306-1)*100)&lt;-50,"NM",(AE306/W306-1)*100)))</f>
        <v>8.7480614690541145</v>
      </c>
      <c r="AG306" s="192">
        <f>AG288-AG297</f>
        <v>24.927000000000021</v>
      </c>
      <c r="AH306" s="193">
        <f t="shared" ref="AH306:AH311" si="2143">IF(ISERROR((AG306/Y306-1)*100),"NA",IF(((AG306/Y306-1)*100)&gt;100,"NM",IF(((AG306/Y306-1)*100)&lt;-50,"NM",(AG306/Y306-1)*100)))</f>
        <v>26.263803059467115</v>
      </c>
      <c r="AI306" s="192">
        <f>AI288-AI297</f>
        <v>17.621999999999986</v>
      </c>
      <c r="AJ306" s="193">
        <f t="shared" ref="AJ306:AJ311" si="2144">IF(ISERROR((AI306/AA306-1)*100),"NA",IF(((AI306/AA306-1)*100)&gt;100,"NM",IF(((AI306/AA306-1)*100)&lt;-50,"NM",(AI306/AA306-1)*100)))</f>
        <v>-3.8834951456313105</v>
      </c>
      <c r="AK306" s="192">
        <f>AK288-AK297</f>
        <v>30.24799999999999</v>
      </c>
      <c r="AL306" s="193">
        <f t="shared" ref="AL306:AL311" si="2145">IF(ISERROR((AK306/AC306-1)*100),"NA",IF(((AK306/AC306-1)*100)&gt;100,"NM",IF(((AK306/AC306-1)*100)&lt;-50,"NM",(AK306/AC306-1)*100)))</f>
        <v>57.214137214137082</v>
      </c>
      <c r="AM306" s="192">
        <f>AM288-AM297</f>
        <v>30.258000000000038</v>
      </c>
      <c r="AN306" s="193">
        <f t="shared" ref="AN306:AN311" si="2146">IF(ISERROR((AM306/AE306-1)*100),"NA",IF(((AM306/AE306-1)*100)&gt;100,"NM",IF(((AM306/AE306-1)*100)&lt;-50,"NM",(AM306/AE306-1)*100)))</f>
        <v>96.136643547028285</v>
      </c>
      <c r="AO306" s="192">
        <f>AO288-AO297</f>
        <v>30.697000000000003</v>
      </c>
      <c r="AP306" s="193">
        <f t="shared" ref="AP306:AP311" si="2147">IF(ISERROR((AO306/AG306-1)*100),"NA",IF(((AO306/AG306-1)*100)&gt;100,"NM",IF(((AO306/AG306-1)*100)&lt;-50,"NM",(AO306/AG306-1)*100)))</f>
        <v>23.147590965619514</v>
      </c>
      <c r="AQ306" s="192">
        <f>AQ288-AQ297</f>
        <v>51.942999999999984</v>
      </c>
      <c r="AR306" s="193" t="str">
        <f t="shared" ref="AR306:AR312" si="2148">IF(ISERROR((AQ306/AI306-1)*100),"NA",IF(((AQ306/AI306-1)*100)&gt;100,"NM",IF(((AQ306/AI306-1)*100)&lt;-50,"NM",(AQ306/AI306-1)*100)))</f>
        <v>NM</v>
      </c>
      <c r="AS306" s="192">
        <f>AS288-AS297</f>
        <v>32.829999999999984</v>
      </c>
      <c r="AT306" s="193">
        <f t="shared" ref="AT306:AT312" si="2149">IF(ISERROR((AS306/AK306-1)*100),"NA",IF(((AS306/AK306-1)*100)&gt;100,"NM",IF(((AS306/AK306-1)*100)&lt;-50,"NM",(AS306/AK306-1)*100)))</f>
        <v>8.5361015604337389</v>
      </c>
      <c r="AU306" s="192">
        <f>AU288-AU297</f>
        <v>23.007999999999981</v>
      </c>
      <c r="AV306" s="13">
        <f t="shared" ref="AV306:AX312" si="2150">IF(ISERROR((AU306/AM306-1)*100),"NA",IF(((AU306/AM306-1)*100)&gt;100,"NM",IF(((AU306/AM306-1)*100)&lt;-50,"NM",(AU306/AM306-1)*100)))</f>
        <v>-23.960605459713292</v>
      </c>
      <c r="AW306" s="192">
        <f>AW288-AW297</f>
        <v>25.637</v>
      </c>
      <c r="AX306" s="187">
        <f t="shared" si="2150"/>
        <v>-16.483695475127867</v>
      </c>
      <c r="AY306" s="192"/>
      <c r="AZ306" s="187" t="str">
        <f t="shared" ref="AZ306:AZ312" si="2151">IF(ISERROR((AY306/AQ306-1)*100),"NA",IF(((AY306/AQ306-1)*100)&gt;100,"NM",IF(((AY306/AQ306-1)*100)&lt;-50,"NM",(AY306/AQ306-1)*100)))</f>
        <v>NM</v>
      </c>
      <c r="BA306" s="192">
        <f>BA288-BA297</f>
        <v>56.800000000000011</v>
      </c>
      <c r="BB306" s="187">
        <f t="shared" ref="BB306:BB312" si="2152">IF(ISERROR((BA306/AS306-1)*100),"NA",IF(((BA306/AS306-1)*100)&gt;100,"NM",IF(((BA306/AS306-1)*100)&lt;-50,"NM",(BA306/AS306-1)*100)))</f>
        <v>73.012488577520671</v>
      </c>
      <c r="BC306" s="192">
        <f>BC288-BC297</f>
        <v>44.300000000000068</v>
      </c>
      <c r="BD306" s="187">
        <f t="shared" ref="BD306:BD312" si="2153">IF(ISERROR((BC306/AU306-1)*100),"NA",IF(((BC306/AU306-1)*100)&gt;100,"NM",IF(((BC306/AU306-1)*100)&lt;-50,"NM",(BC306/AU306-1)*100)))</f>
        <v>92.541724617524793</v>
      </c>
      <c r="BE306" s="192">
        <f>BE288-BE297</f>
        <v>51.099999999999966</v>
      </c>
      <c r="BF306" s="187">
        <f t="shared" ref="BF306:BF312" si="2154">IF(ISERROR((BE306/AW306-1)*100),"NA",IF(((BE306/AW306-1)*100)&gt;100,"NM",IF(((BE306/AW306-1)*100)&lt;-50,"NM",(BE306/AW306-1)*100)))</f>
        <v>99.321293443070431</v>
      </c>
      <c r="BG306" s="73">
        <f>BG288-BG297</f>
        <v>35.400000000000034</v>
      </c>
      <c r="BH306" s="187" t="str">
        <f t="shared" ref="BH306:CT312" si="2155">IF(ISERROR((BG306/AY306-1)*100),"NA",IF(((BG306/AY306-1)*100)&gt;100,"NM",IF(((BG306/AY306-1)*100)&lt;-50,"NM",(BG306/AY306-1)*100)))</f>
        <v>NA</v>
      </c>
      <c r="BI306" s="73">
        <f>BI288-BI297</f>
        <v>44.600000000000023</v>
      </c>
      <c r="BJ306" s="187">
        <f t="shared" si="2155"/>
        <v>-21.478873239436592</v>
      </c>
      <c r="BK306" s="73">
        <f>BK288-BK297</f>
        <v>51.100000000000023</v>
      </c>
      <c r="BL306" s="187">
        <f t="shared" si="2155"/>
        <v>15.349887133182726</v>
      </c>
      <c r="BM306" s="73">
        <f>BM288-BM297</f>
        <v>43.399999999999977</v>
      </c>
      <c r="BN306" s="187">
        <f t="shared" si="2155"/>
        <v>-15.068493150684914</v>
      </c>
      <c r="BO306" s="73">
        <f>BO288-BO297</f>
        <v>40.299999999999955</v>
      </c>
      <c r="BP306" s="187">
        <f t="shared" si="2155"/>
        <v>13.841807909604276</v>
      </c>
      <c r="BQ306" s="73">
        <f>BQ288-BQ297</f>
        <v>49.699999999999989</v>
      </c>
      <c r="BR306" s="187">
        <f t="shared" si="2155"/>
        <v>11.434977578475248</v>
      </c>
      <c r="BS306" s="73">
        <f>BS288-BS297</f>
        <v>42</v>
      </c>
      <c r="BT306" s="187">
        <f t="shared" si="2155"/>
        <v>-17.808219178082229</v>
      </c>
      <c r="BU306" s="73">
        <f>BU288-BU297</f>
        <v>28.399999999999977</v>
      </c>
      <c r="BV306" s="187">
        <f t="shared" si="2155"/>
        <v>-34.56221198156684</v>
      </c>
      <c r="BW306" s="73">
        <f>BW288-BW297</f>
        <v>39.500000000000057</v>
      </c>
      <c r="BX306" s="187">
        <f t="shared" si="2155"/>
        <v>-1.9851116625307696</v>
      </c>
      <c r="BY306" s="73">
        <f>BY288-BY297</f>
        <v>51.700000000000045</v>
      </c>
      <c r="BZ306" s="187">
        <f t="shared" si="2155"/>
        <v>4.0241448692154069</v>
      </c>
      <c r="CA306" s="73">
        <f>CA288-CA297</f>
        <v>53.20999999999998</v>
      </c>
      <c r="CB306" s="187">
        <f t="shared" si="2155"/>
        <v>26.690476190476133</v>
      </c>
      <c r="CC306" s="73">
        <f>CC288-CC297</f>
        <v>46.39999999999992</v>
      </c>
      <c r="CD306" s="187">
        <f t="shared" si="2155"/>
        <v>63.380281690140691</v>
      </c>
      <c r="CE306" s="73">
        <f>CE288-CE297</f>
        <v>32.900000000000034</v>
      </c>
      <c r="CF306" s="187">
        <f t="shared" si="2155"/>
        <v>-16.708860759493703</v>
      </c>
      <c r="CG306" s="73">
        <f>CG288-CG297</f>
        <v>34.600000000000023</v>
      </c>
      <c r="CH306" s="187">
        <f t="shared" si="2155"/>
        <v>-33.075435203094791</v>
      </c>
      <c r="CI306" s="73">
        <f>CI288-CI297</f>
        <v>14.700000000000045</v>
      </c>
      <c r="CJ306" s="187" t="str">
        <f t="shared" si="2155"/>
        <v>NM</v>
      </c>
      <c r="CK306" s="73">
        <f>CK288-CK297</f>
        <v>27.699999999999989</v>
      </c>
      <c r="CL306" s="187">
        <f t="shared" si="2155"/>
        <v>-40.301724137930961</v>
      </c>
      <c r="CM306" s="73">
        <f>CM288-CM297</f>
        <v>37.200000000000102</v>
      </c>
      <c r="CN306" s="187">
        <f t="shared" si="2155"/>
        <v>13.069908814589869</v>
      </c>
      <c r="CO306" s="73">
        <f>CO288-CO297</f>
        <v>39.39999999999992</v>
      </c>
      <c r="CP306" s="187">
        <f t="shared" si="2155"/>
        <v>13.8728323699419</v>
      </c>
      <c r="CQ306" s="73">
        <f>CQ288-CQ297</f>
        <v>41.299999999999955</v>
      </c>
      <c r="CR306" s="187" t="str">
        <f t="shared" si="2155"/>
        <v>NM</v>
      </c>
      <c r="CS306" s="73">
        <f>CS288-CS297</f>
        <v>31</v>
      </c>
      <c r="CT306" s="187">
        <f t="shared" si="2155"/>
        <v>11.913357400722058</v>
      </c>
      <c r="CU306" s="73">
        <f>CU288-CU297</f>
        <v>25</v>
      </c>
      <c r="CV306" s="187">
        <f t="shared" ref="CV306:CV312" si="2156">IF(ISERROR((CU306/CM306-1)*100),"NA",IF(((CU306/CM306-1)*100)&gt;100,"NM",IF(((CU306/CM306-1)*100)&lt;-50,"NM",(CU306/CM306-1)*100)))</f>
        <v>-32.795698924731362</v>
      </c>
      <c r="CW306" s="73">
        <f>CW288-CW297</f>
        <v>42</v>
      </c>
      <c r="CX306" s="187">
        <f t="shared" ref="CX306:CX312" si="2157">IF(ISERROR((CW306/CO306-1)*100),"NA",IF(((CW306/CO306-1)*100)&gt;100,"NM",IF(((CW306/CO306-1)*100)&lt;-50,"NM",(CW306/CO306-1)*100)))</f>
        <v>6.5989847715738126</v>
      </c>
      <c r="CY306" s="73">
        <f>CY288-CY297</f>
        <v>24</v>
      </c>
      <c r="CZ306" s="187">
        <f t="shared" ref="CZ306:CZ312" si="2158">IF(ISERROR((CY306/CQ306-1)*100),"NA",IF(((CY306/CQ306-1)*100)&gt;100,"NM",IF(((CY306/CQ306-1)*100)&lt;-50,"NM",(CY306/CQ306-1)*100)))</f>
        <v>-41.88861985472149</v>
      </c>
      <c r="DA306" s="73">
        <f>DA288-DA297</f>
        <v>20</v>
      </c>
      <c r="DB306" s="187">
        <f t="shared" ref="DB306:DB312" si="2159">IF(ISERROR((DA306/CS306-1)*100),"NA",IF(((DA306/CS306-1)*100)&gt;100,"NM",IF(((DA306/CS306-1)*100)&lt;-50,"NM",(DA306/CS306-1)*100)))</f>
        <v>-35.483870967741936</v>
      </c>
      <c r="DC306" s="73">
        <f>DC288-DC297</f>
        <v>22</v>
      </c>
      <c r="DD306" s="187">
        <f t="shared" ref="DD306:DD312" si="2160">IF(ISERROR((DC306/CU306-1)*100),"NA",IF(((DC306/CU306-1)*100)&gt;100,"NM",IF(((DC306/CU306-1)*100)&lt;-50,"NM",(DC306/CU306-1)*100)))</f>
        <v>-12</v>
      </c>
      <c r="DE306" s="73">
        <f>DE288-DE297</f>
        <v>34</v>
      </c>
      <c r="DF306" s="187">
        <f t="shared" ref="DF306:DF312" si="2161">IF(ISERROR((DE306/CW306-1)*100),"NA",IF(((DE306/CW306-1)*100)&gt;100,"NM",IF(((DE306/CW306-1)*100)&lt;-50,"NM",(DE306/CW306-1)*100)))</f>
        <v>-19.047619047619047</v>
      </c>
      <c r="DG306" s="73">
        <f>DG288-DG297</f>
        <v>36</v>
      </c>
      <c r="DH306" s="187">
        <f t="shared" ref="DH306:DH312" si="2162">IF(ISERROR((DG306/CY306-1)*100),"NA",IF(((DG306/CY306-1)*100)&gt;100,"NM",IF(((DG306/CY306-1)*100)&lt;-50,"NM",(DG306/CY306-1)*100)))</f>
        <v>50</v>
      </c>
      <c r="DI306" s="73">
        <f>DI288-DI297</f>
        <v>17</v>
      </c>
      <c r="DJ306" s="187">
        <f t="shared" ref="DJ306:DJ312" si="2163">IF(ISERROR((DI306/DA306-1)*100),"NA",IF(((DI306/DA306-1)*100)&gt;100,"NM",IF(((DI306/DA306-1)*100)&lt;-50,"NM",(DI306/DA306-1)*100)))</f>
        <v>-15.000000000000002</v>
      </c>
      <c r="DK306" s="73">
        <f>DK288-DK297</f>
        <v>30</v>
      </c>
      <c r="DL306" s="187">
        <f t="shared" ref="DL306:DL312" si="2164">IF(ISERROR((DK306/DC306-1)*100),"NA",IF(((DK306/DC306-1)*100)&gt;100,"NM",IF(((DK306/DC306-1)*100)&lt;-50,"NM",(DK306/DC306-1)*100)))</f>
        <v>36.363636363636353</v>
      </c>
      <c r="DM306" s="73">
        <f>DM288-DM297</f>
        <v>3</v>
      </c>
      <c r="DN306" s="130" t="str">
        <f t="shared" ref="DN306:DZ312" si="2165">IF(ISERROR((DM306/DE306-1)*100),"NA",IF(((DM306/DE306-1)*100)&gt;100,"NM",IF(((DM306/DE306-1)*100)&lt;-50,"NM",(DM306/DE306-1)*100)))</f>
        <v>NM</v>
      </c>
      <c r="DO306" s="73">
        <f>DO288-DO297</f>
        <v>12</v>
      </c>
      <c r="DP306" s="130" t="str">
        <f t="shared" si="2165"/>
        <v>NM</v>
      </c>
      <c r="DQ306" s="73">
        <f>DQ288-DQ297</f>
        <v>-10</v>
      </c>
      <c r="DR306" s="130" t="str">
        <f t="shared" si="2165"/>
        <v>NM</v>
      </c>
      <c r="DS306" s="73">
        <f>DS288-DS297</f>
        <v>-10</v>
      </c>
      <c r="DT306" s="130" t="str">
        <f t="shared" si="2165"/>
        <v>NM</v>
      </c>
      <c r="DU306" s="73">
        <f>DU288-DU297</f>
        <v>30</v>
      </c>
      <c r="DV306" s="130" t="str">
        <f t="shared" si="2165"/>
        <v>NM</v>
      </c>
      <c r="DW306" s="73">
        <f>DW288-DW297</f>
        <v>26</v>
      </c>
      <c r="DX306" s="73">
        <f t="shared" ref="DX306:DY306" si="2166">DX288-DX297</f>
        <v>26</v>
      </c>
      <c r="DY306" s="73">
        <f t="shared" si="2166"/>
        <v>20</v>
      </c>
      <c r="DZ306" s="130" t="str">
        <f t="shared" si="2165"/>
        <v>NM</v>
      </c>
      <c r="EA306" s="73">
        <f t="shared" ref="EA306:EC306" si="2167">EA288-EA297</f>
        <v>8</v>
      </c>
      <c r="EB306" s="130" t="str">
        <f t="shared" ref="EB306:EB312" si="2168">IF(ISERROR((EA306/DS306-1)*100),"NA",IF(((EA306/DS306-1)*100)&gt;100,"NM",IF(((EA306/DS306-1)*100)&lt;-50,"NM",(EA306/DS306-1)*100)))</f>
        <v>NM</v>
      </c>
      <c r="EC306" s="73">
        <f t="shared" si="2167"/>
        <v>23</v>
      </c>
      <c r="ED306" s="130">
        <f t="shared" ref="ED306:ED312" si="2169">IF(ISERROR((EC306/DU306-1)*100),"NA",IF(((EC306/DU306-1)*100)&gt;100,"NM",IF(((EC306/DU306-1)*100)&lt;-50,"NM",(EC306/DU306-1)*100)))</f>
        <v>-23.333333333333329</v>
      </c>
      <c r="EE306" s="73">
        <f t="shared" ref="EE306:EG306" si="2170">EE288-EE297</f>
        <v>44</v>
      </c>
      <c r="EF306" s="130">
        <f t="shared" ref="EF306:EF312" si="2171">IF(ISERROR((EE306/DW306-1)*100),"NA",IF(((EE306/DW306-1)*100)&gt;100,"NM",IF(((EE306/DW306-1)*100)&lt;-50,"NM",(EE306/DW306-1)*100)))</f>
        <v>69.230769230769226</v>
      </c>
      <c r="EG306" s="73">
        <f t="shared" si="2170"/>
        <v>25</v>
      </c>
      <c r="EH306" s="130">
        <f t="shared" ref="EH306:EH312" si="2172">IF(ISERROR((EG306/DY306-1)*100),"NA",IF(((EG306/DY306-1)*100)&gt;100,"NM",IF(((EG306/DY306-1)*100)&lt;-50,"NM",(EG306/DY306-1)*100)))</f>
        <v>25</v>
      </c>
      <c r="EI306" s="73">
        <f t="shared" ref="EI306:EK306" si="2173">EI288-EI297</f>
        <v>11</v>
      </c>
      <c r="EJ306" s="130">
        <f t="shared" ref="EJ306:EJ312" si="2174">IF(ISERROR((EI306/EA306-1)*100),"NA",IF(((EI306/EA306-1)*100)&gt;100,"NM",IF(((EI306/EA306-1)*100)&lt;-50,"NM",(EI306/EA306-1)*100)))</f>
        <v>37.5</v>
      </c>
      <c r="EK306" s="73">
        <f t="shared" si="2173"/>
        <v>53</v>
      </c>
      <c r="EL306" s="130" t="str">
        <f t="shared" ref="EL306:EL312" si="2175">IF(ISERROR((EK306/EC306-1)*100),"NA",IF(((EK306/EC306-1)*100)&gt;100,"NM",IF(((EK306/EC306-1)*100)&lt;-50,"NM",(EK306/EC306-1)*100)))</f>
        <v>NM</v>
      </c>
      <c r="EM306" s="73">
        <f t="shared" ref="EM306" si="2176">EM288-EM297</f>
        <v>63</v>
      </c>
      <c r="EN306" s="130">
        <f t="shared" ref="EN306:EN312" si="2177">IF(ISERROR((EM306/EE306-1)*100),"NA",IF(((EM306/EE306-1)*100)&gt;100,"NM",IF(((EM306/EE306-1)*100)&lt;-50,"NM",(EM306/EE306-1)*100)))</f>
        <v>43.181818181818187</v>
      </c>
      <c r="EO306" s="73">
        <f t="shared" ref="EO306" si="2178">EO288-EO297</f>
        <v>31</v>
      </c>
      <c r="EP306" s="130">
        <f t="shared" ref="EP306:EP312" si="2179">IF(ISERROR((EO306/EG306-1)*100),"NA",IF(((EO306/EG306-1)*100)&gt;100,"NM",IF(((EO306/EG306-1)*100)&lt;-50,"NM",(EO306/EG306-1)*100)))</f>
        <v>24</v>
      </c>
      <c r="EQ306" s="69">
        <f t="shared" ref="EQ306:EW306" si="2180">EQ288-EQ297</f>
        <v>22.480199999999968</v>
      </c>
      <c r="ER306" s="130" t="str">
        <f t="shared" ref="ER306:ER312" si="2181">IF(ISERROR((EQ306/EI306-1)*100),"NA",IF(((EQ306/EI306-1)*100)&gt;100,"NM",IF(((EQ306/EI306-1)*100)&lt;-50,"NM",(EQ306/EI306-1)*100)))</f>
        <v>NM</v>
      </c>
      <c r="ES306" s="69">
        <f t="shared" si="2180"/>
        <v>37.058386625000026</v>
      </c>
      <c r="ET306" s="130">
        <f t="shared" ref="ET306:ET312" si="2182">IF(ISERROR((ES306/EK306-1)*100),"NA",IF(((ES306/EK306-1)*100)&gt;100,"NM",IF(((ES306/EK306-1)*100)&lt;-50,"NM",(ES306/EK306-1)*100)))</f>
        <v>-30.078515801886741</v>
      </c>
      <c r="EU306" s="69">
        <f t="shared" si="2180"/>
        <v>55.185560643124973</v>
      </c>
      <c r="EV306" s="130">
        <f t="shared" ref="EV306:EV312" si="2183">IF(ISERROR((EU306/EM306-1)*100),"NA",IF(((EU306/EM306-1)*100)&gt;100,"NM",IF(((EU306/EM306-1)*100)&lt;-50,"NM",(EU306/EM306-1)*100)))</f>
        <v>-12.403871995039728</v>
      </c>
      <c r="EW306" s="69">
        <f t="shared" si="2180"/>
        <v>55.981815764496901</v>
      </c>
      <c r="EX306" s="130">
        <f t="shared" ref="EX306:EX312" si="2184">IF(ISERROR((EW306/EO306-1)*100),"NA",IF(((EW306/EO306-1)*100)&gt;100,"NM",IF(((EW306/EO306-1)*100)&lt;-50,"NM",(EW306/EO306-1)*100)))</f>
        <v>80.586502466119029</v>
      </c>
      <c r="EY306" s="64"/>
      <c r="EZ306" s="558"/>
      <c r="FA306" s="64"/>
      <c r="FB306" s="192">
        <f>FB288-FB297</f>
        <v>36.384000000000015</v>
      </c>
      <c r="FC306" s="193"/>
      <c r="FD306" s="192">
        <f>FD288-FD297</f>
        <v>37.403999999999996</v>
      </c>
      <c r="FE306" s="193">
        <f t="shared" ref="FE306:FE311" si="2185">IF(ISERROR((FD306/FB306-1)*100),"NA",IF(((FD306/FB306-1)*100)&gt;100,"NM",IF(((FD306/FB306-1)*100)&lt;-50,"NM",(FD306/FB306-1)*100)))</f>
        <v>2.8034300791556221</v>
      </c>
      <c r="FF306" s="192">
        <f>FF288-FF297</f>
        <v>50.049000000000035</v>
      </c>
      <c r="FG306" s="193">
        <f t="shared" ref="FG306:FG311" si="2186">IF(ISERROR((FF306/FD306-1)*100),"NA",IF(((FF306/FD306-1)*100)&gt;100,"NM",IF(((FF306/FD306-1)*100)&lt;-50,"NM",(FF306/FD306-1)*100)))</f>
        <v>33.80654475457181</v>
      </c>
      <c r="FH306" s="192">
        <f>FH288-FH297</f>
        <v>68.437999999999988</v>
      </c>
      <c r="FI306" s="193">
        <f t="shared" ref="FI306:FI311" si="2187">IF(ISERROR((FH306/FF306-1)*100),"NA",IF(((FH306/FF306-1)*100)&gt;100,"NM",IF(((FH306/FF306-1)*100)&lt;-50,"NM",(FH306/FF306-1)*100)))</f>
        <v>36.741992847009811</v>
      </c>
      <c r="FJ306" s="192">
        <f>FJ288-FJ297</f>
        <v>73.064999999999941</v>
      </c>
      <c r="FK306" s="193">
        <f t="shared" ref="FK306:FK311" si="2188">IF(ISERROR((FJ306/FH306-1)*100),"NA",IF(((FJ306/FH306-1)*100)&gt;100,"NM",IF(((FJ306/FH306-1)*100)&lt;-50,"NM",(FJ306/FH306-1)*100)))</f>
        <v>6.7608638475699978</v>
      </c>
      <c r="FL306" s="192">
        <f>FL288-FL297</f>
        <v>77.928000000000111</v>
      </c>
      <c r="FM306" s="193">
        <f t="shared" ref="FM306:FM311" si="2189">IF(ISERROR((FL306/FJ306-1)*100),"NA",IF(((FL306/FJ306-1)*100)&gt;100,"NM",IF(((FL306/FJ306-1)*100)&lt;-50,"NM",(FL306/FJ306-1)*100)))</f>
        <v>6.655717511804804</v>
      </c>
      <c r="FN306" s="192">
        <f>FN288-FN297</f>
        <v>109.62499999999977</v>
      </c>
      <c r="FO306" s="193">
        <f t="shared" ref="FO306:FO311" si="2190">IF(ISERROR((FN306/FL306-1)*100),"NA",IF(((FN306/FL306-1)*100)&gt;100,"NM",IF(((FN306/FL306-1)*100)&lt;-50,"NM",(FN306/FL306-1)*100)))</f>
        <v>40.674725387536711</v>
      </c>
      <c r="FP306" s="73">
        <f>FP288-FP297</f>
        <v>133.41800000000012</v>
      </c>
      <c r="FQ306" s="187">
        <f t="shared" ref="FQ306:FQ312" si="2191">IF(ISERROR((FP306/FN306-1)*100),"NA",IF(((FP306/FN306-1)*100)&gt;100,"NM",IF(((FP306/FN306-1)*100)&lt;-50,"NM",(FP306/FN306-1)*100)))</f>
        <v>21.70399087799353</v>
      </c>
      <c r="FR306" s="73">
        <f>FR288-FR297</f>
        <v>152.20000000000005</v>
      </c>
      <c r="FS306" s="61">
        <f t="shared" ref="FS306:FS312" si="2192">IF(ISERROR((FR306/FP306-1)*100),"NA",IF(((FR306/FP306-1)*100)&gt;100,"NM",IF(((FR306/FP306-1)*100)&lt;-50,"NM",(FR306/FP306-1)*100)))</f>
        <v>14.077560748924366</v>
      </c>
      <c r="FT306" s="73">
        <f>FT288-FT297</f>
        <v>174.49999999999977</v>
      </c>
      <c r="FU306" s="61">
        <f t="shared" ref="FU306:FU312" si="2193">IF(ISERROR((FT306/FR306-1)*100),"NA",IF(((FT306/FR306-1)*100)&gt;100,"NM",IF(((FT306/FR306-1)*100)&lt;-50,"NM",(FT306/FR306-1)*100)))</f>
        <v>14.651773981602979</v>
      </c>
      <c r="FV306" s="73">
        <f>FV288-FV297</f>
        <v>160.40000000000009</v>
      </c>
      <c r="FW306" s="61">
        <f t="shared" ref="FW306:FW312" si="2194">IF(ISERROR((FV306/FT306-1)*100),"NA",IF(((FV306/FT306-1)*100)&gt;100,"NM",IF(((FV306/FT306-1)*100)&lt;-50,"NM",(FV306/FT306-1)*100)))</f>
        <v>-8.0802292263608582</v>
      </c>
      <c r="FX306" s="73">
        <f>FX288-FX297</f>
        <v>190.80999999999995</v>
      </c>
      <c r="FY306" s="61">
        <f t="shared" ref="FY306:FY312" si="2195">IF(ISERROR((FX306/FV306-1)*100),"NA",IF(((FX306/FV306-1)*100)&gt;100,"NM",IF(((FX306/FV306-1)*100)&lt;-50,"NM",(FX306/FV306-1)*100)))</f>
        <v>18.958852867830323</v>
      </c>
      <c r="FZ306" s="73">
        <f>FZ288-FZ297</f>
        <v>109.90000000000009</v>
      </c>
      <c r="GA306" s="61">
        <f t="shared" ref="GA306:GA312" si="2196">IF(ISERROR((FZ306/FX306-1)*100),"NA",IF(((FZ306/FX306-1)*100)&gt;100,"NM",IF(((FZ306/FX306-1)*100)&lt;-50,"NM",(FZ306/FX306-1)*100)))</f>
        <v>-42.403437974948844</v>
      </c>
      <c r="GB306" s="73">
        <f>GB288-GB297</f>
        <v>148.90000000000009</v>
      </c>
      <c r="GC306" s="61">
        <f t="shared" ref="GC306:GC312" si="2197">IF(ISERROR((GB306/FZ306-1)*100),"NA",IF(((GB306/FZ306-1)*100)&gt;100,"NM",IF(((GB306/FZ306-1)*100)&lt;-50,"NM",(GB306/FZ306-1)*100)))</f>
        <v>35.486806187443108</v>
      </c>
      <c r="GD306" s="73">
        <f>GD288-GD297</f>
        <v>111</v>
      </c>
      <c r="GE306" s="61">
        <f t="shared" ref="GE306:GW312" si="2198">IF(ISERROR((GD306/GB306-1)*100),"NA",IF(((GD306/GB306-1)*100)&gt;100,"NM",IF(((GD306/GB306-1)*100)&lt;-50,"NM",(GD306/GB306-1)*100)))</f>
        <v>-25.453324378777754</v>
      </c>
      <c r="GF306" s="73">
        <f>GF288-GF297</f>
        <v>109</v>
      </c>
      <c r="GG306" s="61">
        <f t="shared" si="2198"/>
        <v>-1.8018018018018056</v>
      </c>
      <c r="GH306" s="73">
        <f>GH288-GH297</f>
        <v>35</v>
      </c>
      <c r="GI306" s="61" t="str">
        <f t="shared" si="2198"/>
        <v>NM</v>
      </c>
      <c r="GJ306" s="73">
        <f>GJ288-GJ297</f>
        <v>66</v>
      </c>
      <c r="GK306" s="61">
        <f t="shared" si="2198"/>
        <v>88.571428571428569</v>
      </c>
      <c r="GL306" s="73">
        <f>GL288-GL297</f>
        <v>100</v>
      </c>
      <c r="GM306" s="61">
        <f t="shared" si="2198"/>
        <v>51.515151515151516</v>
      </c>
      <c r="GN306" s="73">
        <f>GN288-GN297</f>
        <v>158</v>
      </c>
      <c r="GO306" s="61">
        <f t="shared" si="2198"/>
        <v>58.000000000000007</v>
      </c>
      <c r="GP306" s="73">
        <f>GP288-GP297</f>
        <v>170.70596303262209</v>
      </c>
      <c r="GQ306" s="61">
        <f t="shared" si="2198"/>
        <v>8.0417487548241073</v>
      </c>
      <c r="GR306" s="69">
        <f>GR288-GR297</f>
        <v>230.35807974329009</v>
      </c>
      <c r="GS306" s="61">
        <f t="shared" si="2198"/>
        <v>34.94436611992775</v>
      </c>
      <c r="GT306" s="69">
        <f>GT288-GT297</f>
        <v>265.39357741403137</v>
      </c>
      <c r="GU306" s="61">
        <f t="shared" si="2198"/>
        <v>15.209146434014675</v>
      </c>
      <c r="GV306" s="69">
        <f>GV288-GV297</f>
        <v>267.01113617796636</v>
      </c>
      <c r="GW306" s="61">
        <f t="shared" si="2198"/>
        <v>0.60949431395300735</v>
      </c>
      <c r="GX306" s="69">
        <f>GX288-GX297</f>
        <v>268.64259455325828</v>
      </c>
      <c r="GY306" s="61">
        <f t="shared" ref="GY306:GY312" si="2199">IF(ISERROR((GX306/GV306-1)*100),"NA",IF(((GX306/GV306-1)*100)&gt;100,"NM",IF(((GX306/GV306-1)*100)&lt;-50,"NM",(GX306/GV306-1)*100)))</f>
        <v>0.61100761512977719</v>
      </c>
      <c r="GZ306" s="61">
        <f t="shared" si="2131"/>
        <v>11.199685064663534</v>
      </c>
      <c r="HA306" s="61"/>
      <c r="HB306" s="452"/>
      <c r="HC306"/>
      <c r="HD306"/>
      <c r="HE306"/>
      <c r="HF306"/>
      <c r="HG306"/>
      <c r="HH306"/>
    </row>
    <row r="307" spans="1:216" s="5" customFormat="1" ht="12.75" customHeight="1" x14ac:dyDescent="0.2">
      <c r="B307" s="2" t="s">
        <v>115</v>
      </c>
      <c r="C307" s="189">
        <v>4.3940000000000001</v>
      </c>
      <c r="D307" s="184"/>
      <c r="E307" s="189">
        <v>4.7539999999999996</v>
      </c>
      <c r="F307" s="184"/>
      <c r="G307" s="189">
        <v>3.992</v>
      </c>
      <c r="H307" s="184"/>
      <c r="I307" s="189">
        <v>4.2649999999999997</v>
      </c>
      <c r="J307" s="184"/>
      <c r="K307" s="189">
        <v>5.5659999999999998</v>
      </c>
      <c r="L307" s="184">
        <f t="shared" si="2132"/>
        <v>26.672735548475181</v>
      </c>
      <c r="M307" s="189">
        <v>5.6790000000000003</v>
      </c>
      <c r="N307" s="184">
        <f t="shared" si="2133"/>
        <v>19.457299116533466</v>
      </c>
      <c r="O307" s="189">
        <v>6.47</v>
      </c>
      <c r="P307" s="184">
        <f t="shared" si="2134"/>
        <v>62.074148296593194</v>
      </c>
      <c r="Q307" s="189">
        <v>6.24</v>
      </c>
      <c r="R307" s="184">
        <f t="shared" si="2135"/>
        <v>46.307151230949593</v>
      </c>
      <c r="S307" s="189">
        <v>6.9539999999999997</v>
      </c>
      <c r="T307" s="184">
        <f t="shared" si="2136"/>
        <v>24.937118217750619</v>
      </c>
      <c r="U307" s="189">
        <v>6.7439999999999998</v>
      </c>
      <c r="V307" s="184">
        <f t="shared" si="2137"/>
        <v>18.753301637612239</v>
      </c>
      <c r="W307" s="189">
        <v>4.9649999999999999</v>
      </c>
      <c r="X307" s="184">
        <f t="shared" si="2138"/>
        <v>-23.261205564142195</v>
      </c>
      <c r="Y307" s="189">
        <v>6.9119999999999999</v>
      </c>
      <c r="Z307" s="184">
        <f t="shared" si="2139"/>
        <v>10.769230769230752</v>
      </c>
      <c r="AA307" s="189">
        <v>6.4169999999999998</v>
      </c>
      <c r="AB307" s="184">
        <f t="shared" si="2140"/>
        <v>-7.7221742881794615</v>
      </c>
      <c r="AC307" s="189">
        <v>6.734</v>
      </c>
      <c r="AD307" s="184">
        <f t="shared" si="2141"/>
        <v>-0.14827995255041193</v>
      </c>
      <c r="AE307" s="189">
        <v>5.399</v>
      </c>
      <c r="AF307" s="184">
        <f t="shared" si="2142"/>
        <v>8.7411883182275893</v>
      </c>
      <c r="AG307" s="189">
        <v>8.7249999999999996</v>
      </c>
      <c r="AH307" s="184">
        <f t="shared" si="2143"/>
        <v>26.229745370370374</v>
      </c>
      <c r="AI307" s="215">
        <v>6.1680000000000001</v>
      </c>
      <c r="AJ307" s="184">
        <f t="shared" si="2144"/>
        <v>-3.8803179055633463</v>
      </c>
      <c r="AK307" s="189">
        <v>10.587</v>
      </c>
      <c r="AL307" s="184">
        <f t="shared" si="2145"/>
        <v>57.21710721710722</v>
      </c>
      <c r="AM307" s="189">
        <v>10.59</v>
      </c>
      <c r="AN307" s="184">
        <f t="shared" si="2146"/>
        <v>96.147434710131492</v>
      </c>
      <c r="AO307" s="189">
        <v>10.744</v>
      </c>
      <c r="AP307" s="184">
        <f t="shared" si="2147"/>
        <v>23.140401146131808</v>
      </c>
      <c r="AQ307" s="189">
        <v>18.18</v>
      </c>
      <c r="AR307" s="184" t="str">
        <f t="shared" si="2148"/>
        <v>NM</v>
      </c>
      <c r="AS307" s="189">
        <v>11.491</v>
      </c>
      <c r="AT307" s="184">
        <f t="shared" si="2149"/>
        <v>8.5387739680740538</v>
      </c>
      <c r="AU307" s="189">
        <v>8.0519999999999996</v>
      </c>
      <c r="AV307" s="187">
        <f t="shared" si="2150"/>
        <v>-23.966005665722378</v>
      </c>
      <c r="AW307" s="189">
        <v>8.9730000000000008</v>
      </c>
      <c r="AX307" s="187">
        <f t="shared" si="2150"/>
        <v>-16.483618763961271</v>
      </c>
      <c r="AY307" s="210"/>
      <c r="AZ307" s="187" t="str">
        <f t="shared" si="2151"/>
        <v>NM</v>
      </c>
      <c r="BA307" s="210">
        <v>19.899999999999999</v>
      </c>
      <c r="BB307" s="187">
        <f t="shared" si="2152"/>
        <v>73.179009659733694</v>
      </c>
      <c r="BC307" s="210">
        <v>15.5</v>
      </c>
      <c r="BD307" s="187">
        <f t="shared" si="2153"/>
        <v>92.49875807252856</v>
      </c>
      <c r="BE307" s="210">
        <v>17.899999999999999</v>
      </c>
      <c r="BF307" s="187">
        <f t="shared" si="2154"/>
        <v>99.487350941713999</v>
      </c>
      <c r="BG307" s="74">
        <v>12.4</v>
      </c>
      <c r="BH307" s="187" t="str">
        <f t="shared" si="2155"/>
        <v>NA</v>
      </c>
      <c r="BI307" s="74">
        <v>15.7</v>
      </c>
      <c r="BJ307" s="187">
        <f t="shared" si="2155"/>
        <v>-21.105527638190956</v>
      </c>
      <c r="BK307" s="74">
        <v>17.899999999999999</v>
      </c>
      <c r="BL307" s="187">
        <f t="shared" si="2155"/>
        <v>15.483870967741931</v>
      </c>
      <c r="BM307" s="74">
        <v>15.2</v>
      </c>
      <c r="BN307" s="187">
        <f t="shared" si="2155"/>
        <v>-15.083798882681565</v>
      </c>
      <c r="BO307" s="74">
        <v>14.2</v>
      </c>
      <c r="BP307" s="187">
        <f t="shared" si="2155"/>
        <v>14.516129032258052</v>
      </c>
      <c r="BQ307" s="74">
        <v>17.399999999999999</v>
      </c>
      <c r="BR307" s="187">
        <f t="shared" si="2155"/>
        <v>10.828025477707005</v>
      </c>
      <c r="BS307" s="74">
        <v>14.5</v>
      </c>
      <c r="BT307" s="187">
        <f t="shared" si="2155"/>
        <v>-18.99441340782122</v>
      </c>
      <c r="BU307" s="74">
        <v>10</v>
      </c>
      <c r="BV307" s="187">
        <f t="shared" si="2155"/>
        <v>-34.210526315789465</v>
      </c>
      <c r="BW307" s="74">
        <v>13.8</v>
      </c>
      <c r="BX307" s="187">
        <f t="shared" si="2155"/>
        <v>-2.8169014084506894</v>
      </c>
      <c r="BY307" s="74">
        <v>18.100000000000001</v>
      </c>
      <c r="BZ307" s="187">
        <f t="shared" si="2155"/>
        <v>4.0229885057471382</v>
      </c>
      <c r="CA307" s="74">
        <v>18.7</v>
      </c>
      <c r="CB307" s="187">
        <f t="shared" si="2155"/>
        <v>28.965517241379303</v>
      </c>
      <c r="CC307" s="74">
        <v>16.3</v>
      </c>
      <c r="CD307" s="187">
        <f t="shared" si="2155"/>
        <v>63.000000000000014</v>
      </c>
      <c r="CE307" s="74">
        <v>11.6</v>
      </c>
      <c r="CF307" s="187">
        <f t="shared" si="2155"/>
        <v>-15.94202898550725</v>
      </c>
      <c r="CG307" s="74">
        <v>11.9</v>
      </c>
      <c r="CH307" s="187">
        <f t="shared" si="2155"/>
        <v>-34.254143646408842</v>
      </c>
      <c r="CI307" s="74">
        <v>5.2</v>
      </c>
      <c r="CJ307" s="187" t="str">
        <f t="shared" si="2155"/>
        <v>NM</v>
      </c>
      <c r="CK307" s="74">
        <v>9.6999999999999993</v>
      </c>
      <c r="CL307" s="187">
        <f t="shared" si="2155"/>
        <v>-40.490797546012281</v>
      </c>
      <c r="CM307" s="74">
        <v>13.1</v>
      </c>
      <c r="CN307" s="187">
        <f t="shared" si="2155"/>
        <v>12.93103448275863</v>
      </c>
      <c r="CO307" s="74">
        <v>13.8</v>
      </c>
      <c r="CP307" s="187">
        <f t="shared" si="2155"/>
        <v>15.96638655462186</v>
      </c>
      <c r="CQ307" s="74">
        <v>14.5</v>
      </c>
      <c r="CR307" s="187" t="str">
        <f t="shared" si="2155"/>
        <v>NM</v>
      </c>
      <c r="CS307" s="74">
        <v>11</v>
      </c>
      <c r="CT307" s="187">
        <f t="shared" si="2155"/>
        <v>13.402061855670123</v>
      </c>
      <c r="CU307" s="74">
        <v>9</v>
      </c>
      <c r="CV307" s="187">
        <f t="shared" si="2156"/>
        <v>-31.297709923664119</v>
      </c>
      <c r="CW307" s="74">
        <v>15</v>
      </c>
      <c r="CX307" s="187">
        <f t="shared" si="2157"/>
        <v>8.6956521739130377</v>
      </c>
      <c r="CY307" s="74">
        <v>8</v>
      </c>
      <c r="CZ307" s="187">
        <f t="shared" si="2158"/>
        <v>-44.827586206896555</v>
      </c>
      <c r="DA307" s="74">
        <v>7</v>
      </c>
      <c r="DB307" s="187">
        <f t="shared" si="2159"/>
        <v>-36.363636363636367</v>
      </c>
      <c r="DC307" s="74">
        <v>8</v>
      </c>
      <c r="DD307" s="187">
        <f t="shared" si="2160"/>
        <v>-11.111111111111116</v>
      </c>
      <c r="DE307" s="74">
        <v>12</v>
      </c>
      <c r="DF307" s="187">
        <f t="shared" si="2161"/>
        <v>-19.999999999999996</v>
      </c>
      <c r="DG307" s="74">
        <v>13</v>
      </c>
      <c r="DH307" s="187">
        <f t="shared" si="2162"/>
        <v>62.5</v>
      </c>
      <c r="DI307" s="74">
        <v>6</v>
      </c>
      <c r="DJ307" s="187">
        <f t="shared" si="2163"/>
        <v>-14.28571428571429</v>
      </c>
      <c r="DK307" s="74">
        <v>10</v>
      </c>
      <c r="DL307" s="187">
        <f t="shared" si="2164"/>
        <v>25</v>
      </c>
      <c r="DM307" s="74">
        <v>1</v>
      </c>
      <c r="DN307" s="130" t="str">
        <f t="shared" si="2165"/>
        <v>NM</v>
      </c>
      <c r="DO307" s="74">
        <v>4</v>
      </c>
      <c r="DP307" s="130" t="str">
        <f t="shared" si="2165"/>
        <v>NM</v>
      </c>
      <c r="DQ307" s="74">
        <v>-3</v>
      </c>
      <c r="DR307" s="130" t="str">
        <f t="shared" si="2165"/>
        <v>NM</v>
      </c>
      <c r="DS307" s="74">
        <v>-4</v>
      </c>
      <c r="DT307" s="130" t="str">
        <f t="shared" si="2165"/>
        <v>NM</v>
      </c>
      <c r="DU307" s="74">
        <v>11</v>
      </c>
      <c r="DV307" s="130" t="str">
        <f t="shared" si="2165"/>
        <v>NM</v>
      </c>
      <c r="DW307" s="74">
        <v>9</v>
      </c>
      <c r="DX307" s="74">
        <v>9</v>
      </c>
      <c r="DY307" s="74">
        <v>7</v>
      </c>
      <c r="DZ307" s="130" t="str">
        <f t="shared" si="2165"/>
        <v>NM</v>
      </c>
      <c r="EA307" s="74">
        <v>3</v>
      </c>
      <c r="EB307" s="130" t="str">
        <f t="shared" si="2168"/>
        <v>NM</v>
      </c>
      <c r="EC307" s="74">
        <v>8</v>
      </c>
      <c r="ED307" s="130">
        <f t="shared" si="2169"/>
        <v>-27.27272727272727</v>
      </c>
      <c r="EE307" s="74">
        <v>16</v>
      </c>
      <c r="EF307" s="130">
        <f t="shared" si="2171"/>
        <v>77.777777777777771</v>
      </c>
      <c r="EG307" s="74">
        <v>9</v>
      </c>
      <c r="EH307" s="130">
        <f t="shared" si="2172"/>
        <v>28.57142857142858</v>
      </c>
      <c r="EI307" s="74">
        <v>4</v>
      </c>
      <c r="EJ307" s="130">
        <f t="shared" si="2174"/>
        <v>33.333333333333329</v>
      </c>
      <c r="EK307" s="74">
        <v>18</v>
      </c>
      <c r="EL307" s="130" t="str">
        <f t="shared" si="2175"/>
        <v>NM</v>
      </c>
      <c r="EM307" s="74">
        <v>22</v>
      </c>
      <c r="EN307" s="130">
        <f t="shared" si="2177"/>
        <v>37.5</v>
      </c>
      <c r="EO307" s="74">
        <v>11</v>
      </c>
      <c r="EP307" s="130">
        <f t="shared" si="2179"/>
        <v>22.222222222222232</v>
      </c>
      <c r="EQ307" s="75">
        <f t="shared" ref="EQ307:EW307" si="2200">EQ306*(EQ308/100)</f>
        <v>4.7208419999999931</v>
      </c>
      <c r="ER307" s="130">
        <f t="shared" si="2181"/>
        <v>18.021049999999828</v>
      </c>
      <c r="ES307" s="75">
        <f t="shared" si="2200"/>
        <v>7.7822611912500053</v>
      </c>
      <c r="ET307" s="130" t="str">
        <f t="shared" si="2182"/>
        <v>NM</v>
      </c>
      <c r="EU307" s="75">
        <f t="shared" si="2200"/>
        <v>11.588967735056244</v>
      </c>
      <c r="EV307" s="130">
        <f t="shared" si="2183"/>
        <v>-47.322873931562526</v>
      </c>
      <c r="EW307" s="75">
        <f t="shared" si="2200"/>
        <v>11.756181310544349</v>
      </c>
      <c r="EX307" s="130">
        <f t="shared" si="2184"/>
        <v>6.8743755504031778</v>
      </c>
      <c r="EY307" s="64"/>
      <c r="EZ307" s="558"/>
      <c r="FA307" s="64"/>
      <c r="FB307" s="189">
        <v>12.45</v>
      </c>
      <c r="FC307" s="184"/>
      <c r="FD307" s="189">
        <v>12.895</v>
      </c>
      <c r="FE307" s="184">
        <f t="shared" si="2185"/>
        <v>3.5742971887550157</v>
      </c>
      <c r="FF307" s="189">
        <f>C307+E307+G307+I307</f>
        <v>17.405000000000001</v>
      </c>
      <c r="FG307" s="184">
        <f t="shared" si="2186"/>
        <v>34.974796432725874</v>
      </c>
      <c r="FH307" s="189">
        <f>K307+M307+O307+Q307</f>
        <v>23.954999999999998</v>
      </c>
      <c r="FI307" s="184">
        <f t="shared" si="2187"/>
        <v>37.632864119505861</v>
      </c>
      <c r="FJ307" s="189">
        <f>S307+U307+W307+Y307</f>
        <v>25.574999999999999</v>
      </c>
      <c r="FK307" s="184">
        <f t="shared" si="2188"/>
        <v>6.7626800250469632</v>
      </c>
      <c r="FL307" s="189">
        <f>AA307+AC307+AE307+AG307</f>
        <v>27.274999999999999</v>
      </c>
      <c r="FM307" s="184">
        <f t="shared" si="2189"/>
        <v>6.6471163245356735</v>
      </c>
      <c r="FN307" s="189">
        <f>AI307+AK307+AM307+AO307</f>
        <v>38.088999999999999</v>
      </c>
      <c r="FO307" s="184">
        <f t="shared" si="2190"/>
        <v>39.648029330889088</v>
      </c>
      <c r="FP307" s="75">
        <f>AQ307+AS307+AU307+AW307</f>
        <v>46.695999999999998</v>
      </c>
      <c r="FQ307" s="187">
        <f t="shared" si="2191"/>
        <v>22.597075271075639</v>
      </c>
      <c r="FR307" s="75">
        <f>AY307+BA307+BC307+BE307</f>
        <v>53.3</v>
      </c>
      <c r="FS307" s="61">
        <f t="shared" si="2192"/>
        <v>14.142538975501108</v>
      </c>
      <c r="FT307" s="75">
        <f>BG307+BI307+BK307+BM307</f>
        <v>61.2</v>
      </c>
      <c r="FU307" s="61">
        <f t="shared" si="2193"/>
        <v>14.821763602251426</v>
      </c>
      <c r="FV307" s="75">
        <f>BO307+BQ307+BS307+BU307</f>
        <v>56.099999999999994</v>
      </c>
      <c r="FW307" s="61">
        <f t="shared" si="2194"/>
        <v>-8.3333333333333481</v>
      </c>
      <c r="FX307" s="75">
        <f>BW307+BY307+CA307+CC307</f>
        <v>66.900000000000006</v>
      </c>
      <c r="FY307" s="61">
        <f t="shared" si="2195"/>
        <v>19.251336898395756</v>
      </c>
      <c r="FZ307" s="75">
        <f>CE307+CG307+CI307+CK307</f>
        <v>38.4</v>
      </c>
      <c r="GA307" s="61">
        <f t="shared" si="2196"/>
        <v>-42.600896860986559</v>
      </c>
      <c r="GB307" s="75">
        <f>CM307+CO307+CQ307+CS307</f>
        <v>52.4</v>
      </c>
      <c r="GC307" s="61">
        <f t="shared" si="2197"/>
        <v>36.458333333333329</v>
      </c>
      <c r="GD307" s="75">
        <f>CU307+CW307+CY307+DA307</f>
        <v>39</v>
      </c>
      <c r="GE307" s="61">
        <f t="shared" si="2198"/>
        <v>-25.572519083969457</v>
      </c>
      <c r="GF307" s="75">
        <f>DC307+DE307+DG307+DI307</f>
        <v>39</v>
      </c>
      <c r="GG307" s="61">
        <f t="shared" si="2198"/>
        <v>0</v>
      </c>
      <c r="GH307" s="75">
        <f>DK307+DM307+DO307+DQ307</f>
        <v>12</v>
      </c>
      <c r="GI307" s="61" t="str">
        <f t="shared" si="2198"/>
        <v>NM</v>
      </c>
      <c r="GJ307" s="75">
        <f>DS307+DU307+DW307+DY307</f>
        <v>23</v>
      </c>
      <c r="GK307" s="61">
        <f t="shared" si="2198"/>
        <v>91.666666666666671</v>
      </c>
      <c r="GL307" s="75">
        <f>EA307+EC307+EE307+EG307</f>
        <v>36</v>
      </c>
      <c r="GM307" s="61">
        <f t="shared" si="2198"/>
        <v>56.521739130434788</v>
      </c>
      <c r="GN307" s="75">
        <f>EI307+EK307+EM307+EO307</f>
        <v>55</v>
      </c>
      <c r="GO307" s="61">
        <f t="shared" si="2198"/>
        <v>52.777777777777771</v>
      </c>
      <c r="GP307" s="75">
        <f>EQ307+ES307+EU307+EW307</f>
        <v>35.848252236850591</v>
      </c>
      <c r="GQ307" s="61">
        <f t="shared" si="2198"/>
        <v>-34.821359569362563</v>
      </c>
      <c r="GR307" s="75">
        <f>GR306*(GR308/100)</f>
        <v>48.37519674609085</v>
      </c>
      <c r="GS307" s="61">
        <f t="shared" si="2198"/>
        <v>34.94436611992775</v>
      </c>
      <c r="GT307" s="75">
        <f>GT306*(GT308/100)</f>
        <v>55.732651256946511</v>
      </c>
      <c r="GU307" s="61">
        <f t="shared" si="2198"/>
        <v>15.209146434014675</v>
      </c>
      <c r="GV307" s="75">
        <f>GV306*(GV308/100)</f>
        <v>56.072338597372863</v>
      </c>
      <c r="GW307" s="61">
        <f t="shared" si="2198"/>
        <v>0.60949431395300735</v>
      </c>
      <c r="GX307" s="75">
        <f>GX306*(GX308/100)</f>
        <v>56.414944856184164</v>
      </c>
      <c r="GY307" s="61">
        <f t="shared" si="2199"/>
        <v>0.61100761512977719</v>
      </c>
      <c r="GZ307" s="61">
        <f t="shared" si="2131"/>
        <v>0.50931095902007062</v>
      </c>
      <c r="HA307" s="61"/>
      <c r="HB307" s="452"/>
      <c r="HC307"/>
      <c r="HD307"/>
      <c r="HE307"/>
      <c r="HF307"/>
      <c r="HG307"/>
      <c r="HH307"/>
    </row>
    <row r="308" spans="1:216" s="5" customFormat="1" ht="12.75" customHeight="1" x14ac:dyDescent="0.2">
      <c r="B308" s="94" t="s">
        <v>331</v>
      </c>
      <c r="C308" s="189">
        <f>C307/C306*100</f>
        <v>34.704999605086485</v>
      </c>
      <c r="D308" s="184"/>
      <c r="E308" s="189">
        <f>E307/E306*100</f>
        <v>34.708330291304655</v>
      </c>
      <c r="F308" s="184"/>
      <c r="G308" s="189">
        <f>G307/G306*100</f>
        <v>34.685897992875184</v>
      </c>
      <c r="H308" s="184"/>
      <c r="I308" s="189">
        <f>I307/I306*100</f>
        <v>35.010671482515136</v>
      </c>
      <c r="J308" s="184"/>
      <c r="K308" s="189">
        <f>K307/K306*100</f>
        <v>34.914063480115402</v>
      </c>
      <c r="L308" s="184">
        <f t="shared" si="2132"/>
        <v>0.60240275870302451</v>
      </c>
      <c r="M308" s="189">
        <f>M307/M306*100</f>
        <v>35.018807424307795</v>
      </c>
      <c r="N308" s="184">
        <f t="shared" si="2133"/>
        <v>0.89453203423306427</v>
      </c>
      <c r="O308" s="189">
        <f>O307/O306*100</f>
        <v>34.948414627558996</v>
      </c>
      <c r="P308" s="184">
        <f t="shared" si="2134"/>
        <v>0.75683966647694945</v>
      </c>
      <c r="Q308" s="189">
        <v>35.123269165822322</v>
      </c>
      <c r="R308" s="184">
        <f t="shared" si="2135"/>
        <v>0.32160960798315319</v>
      </c>
      <c r="S308" s="189">
        <f>S307/S306*100</f>
        <v>34.999245055111025</v>
      </c>
      <c r="T308" s="184">
        <f t="shared" si="2136"/>
        <v>0.24397496740571345</v>
      </c>
      <c r="U308" s="189">
        <f>U307/U306*100</f>
        <v>35.001037990450484</v>
      </c>
      <c r="V308" s="184">
        <f t="shared" si="2137"/>
        <v>-5.0742544262016853E-2</v>
      </c>
      <c r="W308" s="189">
        <f>W307/W306*100</f>
        <v>34.999295079656051</v>
      </c>
      <c r="X308" s="184">
        <f t="shared" si="2138"/>
        <v>0.14558729670366422</v>
      </c>
      <c r="Y308" s="189">
        <f>Y307/Y306*100</f>
        <v>35.01165028872451</v>
      </c>
      <c r="Z308" s="184">
        <f t="shared" si="2139"/>
        <v>-0.31779182219867641</v>
      </c>
      <c r="AA308" s="189">
        <f>AA307/AA306*100</f>
        <v>35.000545434711405</v>
      </c>
      <c r="AB308" s="184">
        <f t="shared" si="2140"/>
        <v>3.715450428520839E-3</v>
      </c>
      <c r="AC308" s="189">
        <f>AC307/AC306*100</f>
        <v>34.999999999999979</v>
      </c>
      <c r="AD308" s="184">
        <f t="shared" si="2141"/>
        <v>-2.9655990510635277E-3</v>
      </c>
      <c r="AE308" s="189">
        <f>AE307/AE306*100</f>
        <v>34.997083036235189</v>
      </c>
      <c r="AF308" s="184">
        <f t="shared" si="2142"/>
        <v>-6.3202513531424032E-3</v>
      </c>
      <c r="AG308" s="189">
        <f>AG307/AG306*100</f>
        <v>35.002206442812984</v>
      </c>
      <c r="AH308" s="184">
        <f t="shared" si="2143"/>
        <v>-2.697343836594035E-2</v>
      </c>
      <c r="AI308" s="215">
        <f>AI307/AI306*100</f>
        <v>35.001702417432782</v>
      </c>
      <c r="AJ308" s="184">
        <f t="shared" si="2144"/>
        <v>3.3056134040476692E-3</v>
      </c>
      <c r="AK308" s="189">
        <f>AK307/AK306*100</f>
        <v>35.000661200740559</v>
      </c>
      <c r="AL308" s="184">
        <f t="shared" si="2145"/>
        <v>1.8891449730773502E-3</v>
      </c>
      <c r="AM308" s="189">
        <f>AM307/AM306*100</f>
        <v>34.999008526670586</v>
      </c>
      <c r="AN308" s="184">
        <f t="shared" si="2146"/>
        <v>5.5018597790112977E-3</v>
      </c>
      <c r="AO308" s="189">
        <f>AO307/AO306*100</f>
        <v>35.000162882366354</v>
      </c>
      <c r="AP308" s="184">
        <f t="shared" si="2147"/>
        <v>-5.8383760748625946E-3</v>
      </c>
      <c r="AQ308" s="189">
        <f>AQ307/AQ306*100</f>
        <v>34.999903740638786</v>
      </c>
      <c r="AR308" s="184">
        <f t="shared" si="2148"/>
        <v>-5.1388265991936244E-3</v>
      </c>
      <c r="AS308" s="189">
        <f>AS307/AS306*100</f>
        <v>35.001522997258618</v>
      </c>
      <c r="AT308" s="184">
        <f t="shared" si="2149"/>
        <v>2.4622292507991972E-3</v>
      </c>
      <c r="AU308" s="189">
        <f>AU307/AU306*100</f>
        <v>34.996522948539663</v>
      </c>
      <c r="AV308" s="187">
        <f t="shared" si="2150"/>
        <v>-7.1018529825717103E-3</v>
      </c>
      <c r="AW308" s="189">
        <f>AW307/AW306*100</f>
        <v>35.000195030619807</v>
      </c>
      <c r="AX308" s="187">
        <f t="shared" si="2150"/>
        <v>9.1851725270153395E-5</v>
      </c>
      <c r="AY308" s="210"/>
      <c r="AZ308" s="187" t="str">
        <f t="shared" si="2151"/>
        <v>NM</v>
      </c>
      <c r="BA308" s="210">
        <f>BA307/BA306*100</f>
        <v>35.035211267605625</v>
      </c>
      <c r="BB308" s="187">
        <f t="shared" si="2152"/>
        <v>9.62480128354537E-2</v>
      </c>
      <c r="BC308" s="210">
        <f>BC307/BC306*100</f>
        <v>34.988713318284368</v>
      </c>
      <c r="BD308" s="187">
        <f t="shared" si="2153"/>
        <v>-2.231544621383863E-2</v>
      </c>
      <c r="BE308" s="210">
        <f>BE307/BE306*100</f>
        <v>35.02935420743642</v>
      </c>
      <c r="BF308" s="187">
        <f t="shared" si="2154"/>
        <v>8.331146952496038E-2</v>
      </c>
      <c r="BG308" s="83">
        <f>BG307/BG306*100</f>
        <v>35.028248587570587</v>
      </c>
      <c r="BH308" s="187" t="str">
        <f t="shared" si="2155"/>
        <v>NA</v>
      </c>
      <c r="BI308" s="83">
        <f>BI307/BI306*100</f>
        <v>35.201793721973075</v>
      </c>
      <c r="BJ308" s="187">
        <f t="shared" si="2155"/>
        <v>0.47547152804376935</v>
      </c>
      <c r="BK308" s="83">
        <f>BK307/BK306*100</f>
        <v>35.029354207436384</v>
      </c>
      <c r="BL308" s="187">
        <f t="shared" si="2155"/>
        <v>0.11615428318931809</v>
      </c>
      <c r="BM308" s="83">
        <f>BM307/BM306*100</f>
        <v>35.023041474654391</v>
      </c>
      <c r="BN308" s="187">
        <f t="shared" si="2155"/>
        <v>-1.8021265092826866E-2</v>
      </c>
      <c r="BO308" s="83">
        <f>BO307/BO306*100</f>
        <v>35.235732009925599</v>
      </c>
      <c r="BP308" s="187">
        <f t="shared" si="2155"/>
        <v>0.59233170575543337</v>
      </c>
      <c r="BQ308" s="83">
        <f>BQ307/BQ306*100</f>
        <v>35.010060362173043</v>
      </c>
      <c r="BR308" s="187">
        <f t="shared" si="2155"/>
        <v>-0.54466928962302319</v>
      </c>
      <c r="BS308" s="83">
        <f>BS307/BS306*100</f>
        <v>34.523809523809526</v>
      </c>
      <c r="BT308" s="187">
        <f t="shared" si="2155"/>
        <v>-1.4432029795157786</v>
      </c>
      <c r="BU308" s="83">
        <f>BU307/BU306*100</f>
        <v>35.211267605633836</v>
      </c>
      <c r="BV308" s="187">
        <f t="shared" si="2155"/>
        <v>0.53743513713868651</v>
      </c>
      <c r="BW308" s="83">
        <f>BW307/BW306*100</f>
        <v>34.936708860759445</v>
      </c>
      <c r="BX308" s="187">
        <f t="shared" si="2155"/>
        <v>-0.84863612052084036</v>
      </c>
      <c r="BY308" s="83">
        <f>BY307/BY306*100</f>
        <v>35.009671179883917</v>
      </c>
      <c r="BZ308" s="187">
        <f t="shared" si="2155"/>
        <v>-1.1116298718194528E-3</v>
      </c>
      <c r="CA308" s="83">
        <f>CA307/CA306*100</f>
        <v>35.143769968051132</v>
      </c>
      <c r="CB308" s="187">
        <f t="shared" si="2155"/>
        <v>1.7957474936653339</v>
      </c>
      <c r="CC308" s="83">
        <f>CC307/CC306*100</f>
        <v>35.129310344827644</v>
      </c>
      <c r="CD308" s="187">
        <f t="shared" si="2155"/>
        <v>-0.23275862068958819</v>
      </c>
      <c r="CE308" s="83">
        <f>CE307/CE306*100</f>
        <v>35.258358662613944</v>
      </c>
      <c r="CF308" s="187">
        <f t="shared" si="2155"/>
        <v>0.92066428791686139</v>
      </c>
      <c r="CG308" s="83">
        <f>CG307/CG306*100</f>
        <v>34.393063583815007</v>
      </c>
      <c r="CH308" s="187">
        <f t="shared" si="2155"/>
        <v>-1.761249321368108</v>
      </c>
      <c r="CI308" s="83">
        <f>CI307/CI306*100</f>
        <v>35.374149659863832</v>
      </c>
      <c r="CJ308" s="187">
        <f t="shared" si="2155"/>
        <v>0.65553494124885869</v>
      </c>
      <c r="CK308" s="83">
        <f>CK307/CK306*100</f>
        <v>35.018050541516253</v>
      </c>
      <c r="CL308" s="187">
        <f t="shared" si="2155"/>
        <v>-0.31671502292321962</v>
      </c>
      <c r="CM308" s="83">
        <f>CM307/CM306*100</f>
        <v>35.215053763440764</v>
      </c>
      <c r="CN308" s="187">
        <f t="shared" si="2155"/>
        <v>-0.1228216536894533</v>
      </c>
      <c r="CO308" s="83">
        <f>CO307/CO306*100</f>
        <v>35.025380710659974</v>
      </c>
      <c r="CP308" s="187">
        <f t="shared" si="2155"/>
        <v>1.8385018982215007</v>
      </c>
      <c r="CQ308" s="83">
        <f>CQ307/CQ306*100</f>
        <v>35.108958837772434</v>
      </c>
      <c r="CR308" s="187">
        <f t="shared" si="2155"/>
        <v>-0.74967405475837579</v>
      </c>
      <c r="CS308" s="83">
        <f>CS307/CS306*100</f>
        <v>35.483870967741936</v>
      </c>
      <c r="CT308" s="187">
        <f t="shared" si="2155"/>
        <v>1.3302294645826107</v>
      </c>
      <c r="CU308" s="83">
        <f>CU307/CU306*100</f>
        <v>36</v>
      </c>
      <c r="CV308" s="187">
        <f t="shared" si="2156"/>
        <v>2.2290076335880649</v>
      </c>
      <c r="CW308" s="83">
        <f>CW307/CW306*100</f>
        <v>35.714285714285715</v>
      </c>
      <c r="CX308" s="187">
        <f t="shared" si="2157"/>
        <v>1.9668737060039243</v>
      </c>
      <c r="CY308" s="83">
        <f>CY307/CY306*100</f>
        <v>33.333333333333329</v>
      </c>
      <c r="CZ308" s="187">
        <f t="shared" si="2158"/>
        <v>-5.0574712643679298</v>
      </c>
      <c r="DA308" s="83">
        <f>DA307/DA306*100</f>
        <v>35</v>
      </c>
      <c r="DB308" s="187">
        <f t="shared" si="2159"/>
        <v>-1.3636363636363669</v>
      </c>
      <c r="DC308" s="83">
        <f>DC307/DC306*100</f>
        <v>36.363636363636367</v>
      </c>
      <c r="DD308" s="187">
        <f t="shared" si="2160"/>
        <v>1.0101010101010166</v>
      </c>
      <c r="DE308" s="83">
        <f>DE307/DE306*100</f>
        <v>35.294117647058826</v>
      </c>
      <c r="DF308" s="187">
        <f t="shared" si="2161"/>
        <v>-1.1764705882352899</v>
      </c>
      <c r="DG308" s="83">
        <f>DG307/DG306*100</f>
        <v>36.111111111111107</v>
      </c>
      <c r="DH308" s="187">
        <f t="shared" si="2162"/>
        <v>8.333333333333325</v>
      </c>
      <c r="DI308" s="83">
        <f>DI307/DI306*100</f>
        <v>35.294117647058826</v>
      </c>
      <c r="DJ308" s="187">
        <f t="shared" si="2163"/>
        <v>0.84033613445377853</v>
      </c>
      <c r="DK308" s="83">
        <f>DK307/DK306*100</f>
        <v>33.333333333333329</v>
      </c>
      <c r="DL308" s="187">
        <f t="shared" si="2164"/>
        <v>-8.3333333333333588</v>
      </c>
      <c r="DM308" s="83">
        <f>DM307/DM306*100</f>
        <v>33.333333333333329</v>
      </c>
      <c r="DN308" s="130">
        <f t="shared" si="2165"/>
        <v>-5.5555555555555802</v>
      </c>
      <c r="DO308" s="83">
        <f>DO307/DO306*100</f>
        <v>33.333333333333329</v>
      </c>
      <c r="DP308" s="130">
        <f t="shared" si="2165"/>
        <v>-7.6923076923076987</v>
      </c>
      <c r="DQ308" s="83">
        <f>DQ307/DQ306*100</f>
        <v>30</v>
      </c>
      <c r="DR308" s="130">
        <f t="shared" si="2165"/>
        <v>-15.000000000000002</v>
      </c>
      <c r="DS308" s="83">
        <f>DS307/DS306*100</f>
        <v>40</v>
      </c>
      <c r="DT308" s="130">
        <f t="shared" si="2165"/>
        <v>20.000000000000018</v>
      </c>
      <c r="DU308" s="83">
        <f>DU307/DU306*100</f>
        <v>36.666666666666664</v>
      </c>
      <c r="DV308" s="130">
        <f t="shared" si="2165"/>
        <v>10.000000000000009</v>
      </c>
      <c r="DW308" s="83">
        <f>DW307/DW306*100</f>
        <v>34.615384615384613</v>
      </c>
      <c r="DX308" s="83">
        <f t="shared" ref="DX308:DY308" si="2201">DX307/DX306*100</f>
        <v>34.615384615384613</v>
      </c>
      <c r="DY308" s="83">
        <f t="shared" si="2201"/>
        <v>35</v>
      </c>
      <c r="DZ308" s="130">
        <f t="shared" si="2165"/>
        <v>16.666666666666675</v>
      </c>
      <c r="EA308" s="83">
        <f t="shared" ref="EA308:EC308" si="2202">EA307/EA306*100</f>
        <v>37.5</v>
      </c>
      <c r="EB308" s="130">
        <f t="shared" si="2168"/>
        <v>-6.25</v>
      </c>
      <c r="EC308" s="83">
        <f t="shared" si="2202"/>
        <v>34.782608695652172</v>
      </c>
      <c r="ED308" s="130">
        <f t="shared" si="2169"/>
        <v>-5.1383399209486207</v>
      </c>
      <c r="EE308" s="83">
        <f t="shared" ref="EE308:EG308" si="2203">EE307/EE306*100</f>
        <v>36.363636363636367</v>
      </c>
      <c r="EF308" s="130">
        <f t="shared" si="2171"/>
        <v>5.0505050505050608</v>
      </c>
      <c r="EG308" s="83">
        <f t="shared" si="2203"/>
        <v>36</v>
      </c>
      <c r="EH308" s="130">
        <f t="shared" si="2172"/>
        <v>2.857142857142847</v>
      </c>
      <c r="EI308" s="83">
        <f t="shared" ref="EI308:EK308" si="2204">EI307/EI306*100</f>
        <v>36.363636363636367</v>
      </c>
      <c r="EJ308" s="130">
        <f t="shared" si="2174"/>
        <v>-3.0303030303030165</v>
      </c>
      <c r="EK308" s="83">
        <f t="shared" si="2204"/>
        <v>33.962264150943398</v>
      </c>
      <c r="EL308" s="130">
        <f t="shared" si="2175"/>
        <v>-2.3584905660377298</v>
      </c>
      <c r="EM308" s="83">
        <f t="shared" ref="EM308" si="2205">EM307/EM306*100</f>
        <v>34.920634920634917</v>
      </c>
      <c r="EN308" s="130">
        <f t="shared" si="2177"/>
        <v>-3.9682539682539875</v>
      </c>
      <c r="EO308" s="83">
        <f t="shared" ref="EO308" si="2206">EO307/EO306*100</f>
        <v>35.483870967741936</v>
      </c>
      <c r="EP308" s="130">
        <f t="shared" si="2179"/>
        <v>-1.4336917562724039</v>
      </c>
      <c r="EQ308" s="85">
        <v>21</v>
      </c>
      <c r="ER308" s="130">
        <f t="shared" si="2181"/>
        <v>-42.250000000000007</v>
      </c>
      <c r="ES308" s="85">
        <f t="shared" ref="ES308:EU308" si="2207">EQ308</f>
        <v>21</v>
      </c>
      <c r="ET308" s="130">
        <f t="shared" si="2182"/>
        <v>-38.166666666666671</v>
      </c>
      <c r="EU308" s="85">
        <f t="shared" si="2207"/>
        <v>21</v>
      </c>
      <c r="EV308" s="130">
        <f t="shared" si="2183"/>
        <v>-39.86363636363636</v>
      </c>
      <c r="EW308" s="85">
        <f t="shared" ref="EW308" si="2208">EU308</f>
        <v>21</v>
      </c>
      <c r="EX308" s="130">
        <f t="shared" si="2184"/>
        <v>-40.81818181818182</v>
      </c>
      <c r="EY308" s="64"/>
      <c r="EZ308" s="558"/>
      <c r="FA308" s="64"/>
      <c r="FB308" s="189">
        <f>FB307/FB306*100</f>
        <v>34.218337730870694</v>
      </c>
      <c r="FC308" s="184"/>
      <c r="FD308" s="189">
        <f>FD307/FD306*100</f>
        <v>34.47492246818522</v>
      </c>
      <c r="FE308" s="184">
        <f t="shared" si="2185"/>
        <v>0.74984570943388285</v>
      </c>
      <c r="FF308" s="189">
        <f>FF307/FF306*100</f>
        <v>34.775919598793159</v>
      </c>
      <c r="FG308" s="184">
        <f t="shared" si="2186"/>
        <v>0.87309008710814151</v>
      </c>
      <c r="FH308" s="189">
        <f>FH307/FH306*100</f>
        <v>35.002484000116894</v>
      </c>
      <c r="FI308" s="184">
        <f t="shared" si="2187"/>
        <v>0.65149794437526776</v>
      </c>
      <c r="FJ308" s="189">
        <f>FJ307/FJ306*100</f>
        <v>35.003079449805</v>
      </c>
      <c r="FK308" s="184">
        <f t="shared" si="2188"/>
        <v>1.7011640891073654E-3</v>
      </c>
      <c r="FL308" s="189">
        <f>FL307/FL306*100</f>
        <v>35.000256647161429</v>
      </c>
      <c r="FM308" s="184">
        <f t="shared" si="2189"/>
        <v>-8.0644408661845191E-3</v>
      </c>
      <c r="FN308" s="189">
        <f>FN307/FN306*100</f>
        <v>34.744811858608962</v>
      </c>
      <c r="FO308" s="184">
        <f t="shared" si="2190"/>
        <v>-0.7298369012765038</v>
      </c>
      <c r="FP308" s="176">
        <f>FP307/FP306*100</f>
        <v>34.999775142784301</v>
      </c>
      <c r="FQ308" s="187">
        <f t="shared" si="2191"/>
        <v>0.73381685073699021</v>
      </c>
      <c r="FR308" s="176">
        <f>FR307/FR306*100</f>
        <v>35.019710906701697</v>
      </c>
      <c r="FS308" s="61">
        <f t="shared" si="2192"/>
        <v>5.6959691415348068E-2</v>
      </c>
      <c r="FT308" s="176">
        <f>FT307/FT306*100</f>
        <v>35.071633237822397</v>
      </c>
      <c r="FU308" s="61">
        <f t="shared" si="2193"/>
        <v>0.14826601869737388</v>
      </c>
      <c r="FV308" s="176">
        <f>FV307/FV306*100</f>
        <v>34.97506234413963</v>
      </c>
      <c r="FW308" s="61">
        <f t="shared" si="2194"/>
        <v>-0.27535328345821286</v>
      </c>
      <c r="FX308" s="176">
        <f>FX307/FX306*100</f>
        <v>35.061055500235852</v>
      </c>
      <c r="FY308" s="61">
        <f t="shared" si="2195"/>
        <v>0.24586991511290623</v>
      </c>
      <c r="FZ308" s="176">
        <f>FZ307/FZ306*100</f>
        <v>34.940855323020898</v>
      </c>
      <c r="GA308" s="61">
        <f t="shared" si="2196"/>
        <v>-0.34283102861563108</v>
      </c>
      <c r="GB308" s="176">
        <f>GB307/GB306*100</f>
        <v>35.191403626595005</v>
      </c>
      <c r="GC308" s="61">
        <f t="shared" si="2197"/>
        <v>0.71706402507276668</v>
      </c>
      <c r="GD308" s="176">
        <f>GD307/GD306*100</f>
        <v>35.135135135135137</v>
      </c>
      <c r="GE308" s="61">
        <f t="shared" si="2198"/>
        <v>-0.15989271714454967</v>
      </c>
      <c r="GF308" s="176">
        <f>GF307/GF306*100</f>
        <v>35.779816513761467</v>
      </c>
      <c r="GG308" s="61">
        <f t="shared" si="2198"/>
        <v>1.8348623853210899</v>
      </c>
      <c r="GH308" s="176">
        <f>GH307/GH306*100</f>
        <v>34.285714285714285</v>
      </c>
      <c r="GI308" s="61">
        <f t="shared" si="2198"/>
        <v>-4.1758241758241716</v>
      </c>
      <c r="GJ308" s="176">
        <f>GJ307/GJ306*100</f>
        <v>34.848484848484851</v>
      </c>
      <c r="GK308" s="61">
        <f t="shared" si="2198"/>
        <v>1.6414141414141437</v>
      </c>
      <c r="GL308" s="176">
        <f>GL307/GL306*100</f>
        <v>36</v>
      </c>
      <c r="GM308" s="61">
        <f t="shared" si="2198"/>
        <v>3.3043478260869508</v>
      </c>
      <c r="GN308" s="176">
        <f>GN307/GN306*100</f>
        <v>34.810126582278485</v>
      </c>
      <c r="GO308" s="61">
        <f t="shared" si="2198"/>
        <v>-3.3052039381153198</v>
      </c>
      <c r="GP308" s="176">
        <f>GP307/GP306*100</f>
        <v>20.999999999999972</v>
      </c>
      <c r="GQ308" s="61">
        <f t="shared" si="2198"/>
        <v>-39.672727272727357</v>
      </c>
      <c r="GR308" s="85">
        <f>GP308</f>
        <v>20.999999999999972</v>
      </c>
      <c r="GS308" s="61">
        <f t="shared" si="2198"/>
        <v>0</v>
      </c>
      <c r="GT308" s="85">
        <f>GR308</f>
        <v>20.999999999999972</v>
      </c>
      <c r="GU308" s="61">
        <f t="shared" si="2198"/>
        <v>0</v>
      </c>
      <c r="GV308" s="85">
        <f>GT308</f>
        <v>20.999999999999972</v>
      </c>
      <c r="GW308" s="61">
        <f t="shared" si="2198"/>
        <v>0</v>
      </c>
      <c r="GX308" s="85">
        <f>GV308</f>
        <v>20.999999999999972</v>
      </c>
      <c r="GY308" s="61">
        <f t="shared" si="2199"/>
        <v>0</v>
      </c>
      <c r="GZ308" s="61">
        <f t="shared" si="2131"/>
        <v>-9.6136730058425268</v>
      </c>
      <c r="HA308" s="61"/>
      <c r="HB308" s="452"/>
      <c r="HC308"/>
      <c r="HD308"/>
      <c r="HE308"/>
      <c r="HF308"/>
      <c r="HG308"/>
      <c r="HH308"/>
    </row>
    <row r="309" spans="1:216" s="5" customFormat="1" ht="12.75" customHeight="1" x14ac:dyDescent="0.2">
      <c r="B309" s="63" t="s">
        <v>301</v>
      </c>
      <c r="C309" s="216">
        <f>C306-C307</f>
        <v>8.2670000000000012</v>
      </c>
      <c r="D309" s="193"/>
      <c r="E309" s="216">
        <f>E306-E307</f>
        <v>8.9430000000000032</v>
      </c>
      <c r="F309" s="193"/>
      <c r="G309" s="216">
        <f>G306-G307</f>
        <v>7.5169999999999861</v>
      </c>
      <c r="H309" s="193"/>
      <c r="I309" s="216">
        <f>I306-I307</f>
        <v>7.9170000000000167</v>
      </c>
      <c r="J309" s="193"/>
      <c r="K309" s="216">
        <f>K306-K307</f>
        <v>10.376000000000008</v>
      </c>
      <c r="L309" s="193">
        <f t="shared" si="2132"/>
        <v>25.511068102092736</v>
      </c>
      <c r="M309" s="216">
        <f>M306-M307</f>
        <v>10.538000000000013</v>
      </c>
      <c r="N309" s="193">
        <f t="shared" si="2133"/>
        <v>17.835178351783611</v>
      </c>
      <c r="O309" s="216">
        <f>O306-O307</f>
        <v>12.043000000000006</v>
      </c>
      <c r="P309" s="193">
        <f t="shared" si="2134"/>
        <v>60.210190235466655</v>
      </c>
      <c r="Q309" s="216">
        <f>Q306-Q307</f>
        <v>11.526000000000019</v>
      </c>
      <c r="R309" s="193">
        <f t="shared" si="2135"/>
        <v>45.585449033724835</v>
      </c>
      <c r="S309" s="216">
        <f>S306-S307</f>
        <v>12.914999999999971</v>
      </c>
      <c r="T309" s="193">
        <f t="shared" si="2136"/>
        <v>24.469930609097545</v>
      </c>
      <c r="U309" s="216">
        <f>U306-U307</f>
        <v>12.524000000000001</v>
      </c>
      <c r="V309" s="193">
        <f t="shared" si="2137"/>
        <v>18.846080850256076</v>
      </c>
      <c r="W309" s="216">
        <f>W306-W307</f>
        <v>9.2209999999999788</v>
      </c>
      <c r="X309" s="193">
        <f t="shared" si="2138"/>
        <v>-23.432699493481913</v>
      </c>
      <c r="Y309" s="216">
        <f>Y306-Y307</f>
        <v>12.83000000000002</v>
      </c>
      <c r="Z309" s="193">
        <f t="shared" si="2139"/>
        <v>11.313551969460335</v>
      </c>
      <c r="AA309" s="216">
        <f>AA306-AA307</f>
        <v>11.917000000000032</v>
      </c>
      <c r="AB309" s="193">
        <f t="shared" si="2140"/>
        <v>-7.7274487030580037</v>
      </c>
      <c r="AC309" s="216">
        <f>AC306-AC307</f>
        <v>12.506000000000009</v>
      </c>
      <c r="AD309" s="193">
        <f t="shared" si="2141"/>
        <v>-0.14372404982426756</v>
      </c>
      <c r="AE309" s="216">
        <f>AE306-AE307</f>
        <v>10.027999999999992</v>
      </c>
      <c r="AF309" s="193">
        <f t="shared" si="2142"/>
        <v>8.7517622817483431</v>
      </c>
      <c r="AG309" s="216">
        <f>AG306-AG307</f>
        <v>16.202000000000019</v>
      </c>
      <c r="AH309" s="193">
        <f t="shared" si="2143"/>
        <v>26.282151208105951</v>
      </c>
      <c r="AI309" s="216">
        <f>AI306-AI307</f>
        <v>11.453999999999986</v>
      </c>
      <c r="AJ309" s="193">
        <f t="shared" si="2144"/>
        <v>-3.8852060082239182</v>
      </c>
      <c r="AK309" s="216">
        <f>AK306-AK307</f>
        <v>19.660999999999991</v>
      </c>
      <c r="AL309" s="193">
        <f t="shared" si="2145"/>
        <v>57.212537981768548</v>
      </c>
      <c r="AM309" s="216">
        <f>AM306-AM307</f>
        <v>19.668000000000038</v>
      </c>
      <c r="AN309" s="193">
        <f t="shared" si="2146"/>
        <v>96.130833665736489</v>
      </c>
      <c r="AO309" s="216">
        <f>AO306-AO307</f>
        <v>19.953000000000003</v>
      </c>
      <c r="AP309" s="193">
        <f t="shared" si="2147"/>
        <v>23.151462782372413</v>
      </c>
      <c r="AQ309" s="216">
        <f>AQ306-AQ307</f>
        <v>33.762999999999984</v>
      </c>
      <c r="AR309" s="193" t="str">
        <f t="shared" si="2148"/>
        <v>NM</v>
      </c>
      <c r="AS309" s="216">
        <f>AS306-AS307</f>
        <v>21.338999999999984</v>
      </c>
      <c r="AT309" s="193">
        <f t="shared" si="2149"/>
        <v>8.5346625298814658</v>
      </c>
      <c r="AU309" s="216">
        <f>AU306-AU307</f>
        <v>14.955999999999982</v>
      </c>
      <c r="AV309" s="13">
        <f t="shared" si="2150"/>
        <v>-23.957697783201382</v>
      </c>
      <c r="AW309" s="216">
        <f>AW306-AW307</f>
        <v>16.664000000000001</v>
      </c>
      <c r="AX309" s="187">
        <f t="shared" si="2150"/>
        <v>-16.483736781436377</v>
      </c>
      <c r="AY309" s="196">
        <v>29.5</v>
      </c>
      <c r="AZ309" s="187">
        <f t="shared" si="2151"/>
        <v>-12.62624766756505</v>
      </c>
      <c r="BA309" s="196">
        <f>BA306-BA307</f>
        <v>36.900000000000013</v>
      </c>
      <c r="BB309" s="187">
        <f t="shared" si="2152"/>
        <v>72.922817376634512</v>
      </c>
      <c r="BC309" s="196">
        <f>BC306-BC307</f>
        <v>28.800000000000068</v>
      </c>
      <c r="BD309" s="187">
        <f t="shared" si="2153"/>
        <v>92.564856913613951</v>
      </c>
      <c r="BE309" s="196">
        <f>BE306-BE307</f>
        <v>33.199999999999967</v>
      </c>
      <c r="BF309" s="187">
        <f t="shared" si="2154"/>
        <v>99.231877100335836</v>
      </c>
      <c r="BG309" s="104">
        <f>BG306-BG307</f>
        <v>23.000000000000036</v>
      </c>
      <c r="BH309" s="187">
        <f t="shared" si="2155"/>
        <v>-22.03389830508462</v>
      </c>
      <c r="BI309" s="104">
        <f>BI306-BI307</f>
        <v>28.900000000000023</v>
      </c>
      <c r="BJ309" s="187">
        <f t="shared" si="2155"/>
        <v>-21.680216802167983</v>
      </c>
      <c r="BK309" s="104">
        <f>BK306-BK307</f>
        <v>33.200000000000024</v>
      </c>
      <c r="BL309" s="187">
        <f t="shared" si="2155"/>
        <v>15.27777777777759</v>
      </c>
      <c r="BM309" s="104">
        <f>BM306-BM307</f>
        <v>28.199999999999978</v>
      </c>
      <c r="BN309" s="187">
        <f t="shared" si="2155"/>
        <v>-15.06024096385541</v>
      </c>
      <c r="BO309" s="104">
        <f>BO306-BO307</f>
        <v>26.099999999999955</v>
      </c>
      <c r="BP309" s="187">
        <f t="shared" si="2155"/>
        <v>13.478260869564851</v>
      </c>
      <c r="BQ309" s="104">
        <f>BQ306-BQ307</f>
        <v>32.29999999999999</v>
      </c>
      <c r="BR309" s="187">
        <f t="shared" si="2155"/>
        <v>11.764705882352811</v>
      </c>
      <c r="BS309" s="104">
        <f>BS306-BS307</f>
        <v>27.5</v>
      </c>
      <c r="BT309" s="187">
        <f t="shared" si="2155"/>
        <v>-17.16867469879524</v>
      </c>
      <c r="BU309" s="104">
        <f>BU306-BU307</f>
        <v>18.399999999999977</v>
      </c>
      <c r="BV309" s="187">
        <f t="shared" si="2155"/>
        <v>-34.751773049645415</v>
      </c>
      <c r="BW309" s="104">
        <f>BW306-BW307</f>
        <v>25.700000000000056</v>
      </c>
      <c r="BX309" s="187">
        <f t="shared" si="2155"/>
        <v>-1.5325670498080424</v>
      </c>
      <c r="BY309" s="104">
        <f>BY306-BY307</f>
        <v>33.600000000000044</v>
      </c>
      <c r="BZ309" s="187">
        <f t="shared" si="2155"/>
        <v>4.0247678018577426</v>
      </c>
      <c r="CA309" s="104">
        <f>CA306-CA307</f>
        <v>34.509999999999977</v>
      </c>
      <c r="CB309" s="187">
        <f t="shared" si="2155"/>
        <v>25.490909090909007</v>
      </c>
      <c r="CC309" s="104">
        <f>CC306-CC307</f>
        <v>30.09999999999992</v>
      </c>
      <c r="CD309" s="187">
        <f t="shared" si="2155"/>
        <v>63.586956521738891</v>
      </c>
      <c r="CE309" s="104">
        <f>CE306-CE307</f>
        <v>21.300000000000033</v>
      </c>
      <c r="CF309" s="187">
        <f t="shared" si="2155"/>
        <v>-17.120622568093435</v>
      </c>
      <c r="CG309" s="104">
        <f>CG306-CG307</f>
        <v>22.700000000000024</v>
      </c>
      <c r="CH309" s="187">
        <f t="shared" si="2155"/>
        <v>-32.440476190476211</v>
      </c>
      <c r="CI309" s="104">
        <f>CI306-CI307</f>
        <v>9.5000000000000462</v>
      </c>
      <c r="CJ309" s="187" t="str">
        <f t="shared" si="2155"/>
        <v>NM</v>
      </c>
      <c r="CK309" s="104">
        <f>CK306-CK307</f>
        <v>17.999999999999989</v>
      </c>
      <c r="CL309" s="187">
        <f t="shared" si="2155"/>
        <v>-40.199335548172634</v>
      </c>
      <c r="CM309" s="104">
        <f>CM306-CM307</f>
        <v>24.100000000000101</v>
      </c>
      <c r="CN309" s="187">
        <f t="shared" si="2155"/>
        <v>13.145539906103586</v>
      </c>
      <c r="CO309" s="104">
        <f>CO306-CO307</f>
        <v>25.59999999999992</v>
      </c>
      <c r="CP309" s="187">
        <f t="shared" si="2155"/>
        <v>12.775330396475294</v>
      </c>
      <c r="CQ309" s="104">
        <f>CQ306-CQ307</f>
        <v>26.799999999999955</v>
      </c>
      <c r="CR309" s="187" t="str">
        <f t="shared" si="2155"/>
        <v>NM</v>
      </c>
      <c r="CS309" s="104">
        <f>CS306-CS307</f>
        <v>20</v>
      </c>
      <c r="CT309" s="187">
        <f t="shared" si="2155"/>
        <v>11.111111111111182</v>
      </c>
      <c r="CU309" s="104">
        <f>CU306-CU307</f>
        <v>16</v>
      </c>
      <c r="CV309" s="187">
        <f t="shared" si="2156"/>
        <v>-33.609958506224345</v>
      </c>
      <c r="CW309" s="104">
        <f>CW306-CW307</f>
        <v>27</v>
      </c>
      <c r="CX309" s="187">
        <f t="shared" si="2157"/>
        <v>5.4687500000003331</v>
      </c>
      <c r="CY309" s="104">
        <f>CY306-CY307</f>
        <v>16</v>
      </c>
      <c r="CZ309" s="187">
        <f t="shared" si="2158"/>
        <v>-40.298507462686459</v>
      </c>
      <c r="DA309" s="104">
        <f>DA306-DA307</f>
        <v>13</v>
      </c>
      <c r="DB309" s="187">
        <f t="shared" si="2159"/>
        <v>-35</v>
      </c>
      <c r="DC309" s="104">
        <f>DC306-DC307</f>
        <v>14</v>
      </c>
      <c r="DD309" s="187">
        <f t="shared" si="2160"/>
        <v>-12.5</v>
      </c>
      <c r="DE309" s="104">
        <f>DE306-DE307</f>
        <v>22</v>
      </c>
      <c r="DF309" s="187">
        <f t="shared" si="2161"/>
        <v>-18.518518518518523</v>
      </c>
      <c r="DG309" s="104">
        <f>DG306-DG307</f>
        <v>23</v>
      </c>
      <c r="DH309" s="187">
        <f t="shared" si="2162"/>
        <v>43.75</v>
      </c>
      <c r="DI309" s="104">
        <f>DI306-DI307</f>
        <v>11</v>
      </c>
      <c r="DJ309" s="187">
        <f t="shared" si="2163"/>
        <v>-15.384615384615385</v>
      </c>
      <c r="DK309" s="104">
        <f>DK306-DK307</f>
        <v>20</v>
      </c>
      <c r="DL309" s="187">
        <f t="shared" si="2164"/>
        <v>42.857142857142861</v>
      </c>
      <c r="DM309" s="104">
        <f>DM306-DM307</f>
        <v>2</v>
      </c>
      <c r="DN309" s="130" t="str">
        <f t="shared" si="2165"/>
        <v>NM</v>
      </c>
      <c r="DO309" s="104">
        <f>DO306-DO307</f>
        <v>8</v>
      </c>
      <c r="DP309" s="130" t="str">
        <f t="shared" si="2165"/>
        <v>NM</v>
      </c>
      <c r="DQ309" s="104">
        <f>DQ306-DQ307</f>
        <v>-7</v>
      </c>
      <c r="DR309" s="130" t="str">
        <f t="shared" si="2165"/>
        <v>NM</v>
      </c>
      <c r="DS309" s="104">
        <f>DS306-DS307</f>
        <v>-6</v>
      </c>
      <c r="DT309" s="130" t="str">
        <f t="shared" si="2165"/>
        <v>NM</v>
      </c>
      <c r="DU309" s="104">
        <f>DU306-DU307</f>
        <v>19</v>
      </c>
      <c r="DV309" s="130" t="str">
        <f t="shared" si="2165"/>
        <v>NM</v>
      </c>
      <c r="DW309" s="104">
        <f>DW306-DW307</f>
        <v>17</v>
      </c>
      <c r="DX309" s="104">
        <f t="shared" ref="DX309:DY309" si="2209">DX306-DX307</f>
        <v>17</v>
      </c>
      <c r="DY309" s="104">
        <f t="shared" si="2209"/>
        <v>13</v>
      </c>
      <c r="DZ309" s="130" t="str">
        <f t="shared" si="2165"/>
        <v>NM</v>
      </c>
      <c r="EA309" s="104">
        <f t="shared" ref="EA309:EC309" si="2210">EA306-EA307</f>
        <v>5</v>
      </c>
      <c r="EB309" s="130" t="str">
        <f t="shared" si="2168"/>
        <v>NM</v>
      </c>
      <c r="EC309" s="104">
        <f t="shared" si="2210"/>
        <v>15</v>
      </c>
      <c r="ED309" s="130">
        <f t="shared" si="2169"/>
        <v>-21.052631578947366</v>
      </c>
      <c r="EE309" s="104">
        <f t="shared" ref="EE309:EG309" si="2211">EE306-EE307</f>
        <v>28</v>
      </c>
      <c r="EF309" s="130">
        <f t="shared" si="2171"/>
        <v>64.705882352941174</v>
      </c>
      <c r="EG309" s="104">
        <f t="shared" si="2211"/>
        <v>16</v>
      </c>
      <c r="EH309" s="130">
        <f t="shared" si="2172"/>
        <v>23.076923076923084</v>
      </c>
      <c r="EI309" s="104">
        <f t="shared" ref="EI309:EK309" si="2212">EI306-EI307</f>
        <v>7</v>
      </c>
      <c r="EJ309" s="130">
        <f t="shared" si="2174"/>
        <v>39.999999999999993</v>
      </c>
      <c r="EK309" s="104">
        <f t="shared" si="2212"/>
        <v>35</v>
      </c>
      <c r="EL309" s="130" t="str">
        <f t="shared" si="2175"/>
        <v>NM</v>
      </c>
      <c r="EM309" s="104">
        <f t="shared" ref="EM309" si="2213">EM306-EM307</f>
        <v>41</v>
      </c>
      <c r="EN309" s="130">
        <f t="shared" si="2177"/>
        <v>46.428571428571416</v>
      </c>
      <c r="EO309" s="104">
        <f t="shared" ref="EO309" si="2214">EO306-EO307</f>
        <v>20</v>
      </c>
      <c r="EP309" s="130">
        <f t="shared" si="2179"/>
        <v>25</v>
      </c>
      <c r="EQ309" s="102">
        <f t="shared" ref="EQ309:EW309" si="2215">EQ306-EQ307</f>
        <v>17.759357999999974</v>
      </c>
      <c r="ER309" s="130" t="str">
        <f t="shared" si="2181"/>
        <v>NM</v>
      </c>
      <c r="ES309" s="102">
        <f t="shared" si="2215"/>
        <v>29.276125433750021</v>
      </c>
      <c r="ET309" s="130">
        <f t="shared" si="2182"/>
        <v>-16.353927332142792</v>
      </c>
      <c r="EU309" s="102">
        <f t="shared" si="2215"/>
        <v>43.596592908068729</v>
      </c>
      <c r="EV309" s="130">
        <f t="shared" si="2183"/>
        <v>6.3331534343139761</v>
      </c>
      <c r="EW309" s="102">
        <f t="shared" si="2215"/>
        <v>44.225634453952551</v>
      </c>
      <c r="EX309" s="130" t="str">
        <f t="shared" si="2184"/>
        <v>NM</v>
      </c>
      <c r="EY309" s="74"/>
      <c r="EZ309" s="558"/>
      <c r="FA309" s="74"/>
      <c r="FB309" s="196">
        <f>FB306-FB307</f>
        <v>23.934000000000015</v>
      </c>
      <c r="FC309" s="217"/>
      <c r="FD309" s="196">
        <f>FD306-FD307</f>
        <v>24.508999999999997</v>
      </c>
      <c r="FE309" s="217">
        <f t="shared" si="2185"/>
        <v>2.4024400434527582</v>
      </c>
      <c r="FF309" s="196">
        <f>FF306-FF307</f>
        <v>32.644000000000034</v>
      </c>
      <c r="FG309" s="217">
        <f t="shared" si="2186"/>
        <v>33.191888693949309</v>
      </c>
      <c r="FH309" s="196">
        <f>FH306-FH307</f>
        <v>44.48299999999999</v>
      </c>
      <c r="FI309" s="217">
        <f t="shared" si="2187"/>
        <v>36.267001592941874</v>
      </c>
      <c r="FJ309" s="196">
        <f>FJ306-FJ307</f>
        <v>47.489999999999938</v>
      </c>
      <c r="FK309" s="217">
        <f t="shared" si="2188"/>
        <v>6.7598857990691874</v>
      </c>
      <c r="FL309" s="196">
        <f>FL306-FL307</f>
        <v>50.653000000000112</v>
      </c>
      <c r="FM309" s="217">
        <f t="shared" si="2189"/>
        <v>6.6603495472734808</v>
      </c>
      <c r="FN309" s="196">
        <f>FN306-FN307</f>
        <v>71.535999999999774</v>
      </c>
      <c r="FO309" s="217">
        <f t="shared" si="2190"/>
        <v>41.227567962410163</v>
      </c>
      <c r="FP309" s="104">
        <f>FP306-FP307</f>
        <v>86.722000000000122</v>
      </c>
      <c r="FQ309" s="187">
        <f t="shared" si="2191"/>
        <v>21.228472377544726</v>
      </c>
      <c r="FR309" s="104">
        <f>AY309+BA309+BC309+BE309</f>
        <v>128.40000000000003</v>
      </c>
      <c r="FS309" s="61">
        <f t="shared" si="2192"/>
        <v>48.059315975184916</v>
      </c>
      <c r="FT309" s="104">
        <f>FT306-FT307</f>
        <v>113.29999999999977</v>
      </c>
      <c r="FU309" s="61">
        <f t="shared" si="2193"/>
        <v>-11.760124610592104</v>
      </c>
      <c r="FV309" s="104">
        <f>FV306-FV307</f>
        <v>104.3000000000001</v>
      </c>
      <c r="FW309" s="61">
        <f t="shared" si="2194"/>
        <v>-7.9435127978814579</v>
      </c>
      <c r="FX309" s="104">
        <f>FX306-FX307</f>
        <v>123.90999999999994</v>
      </c>
      <c r="FY309" s="61">
        <f t="shared" si="2195"/>
        <v>18.801534036433189</v>
      </c>
      <c r="FZ309" s="104">
        <f>FZ306-FZ307</f>
        <v>71.500000000000085</v>
      </c>
      <c r="GA309" s="61">
        <f t="shared" si="2196"/>
        <v>-42.296828343152193</v>
      </c>
      <c r="GB309" s="104">
        <f>GB306-GB307</f>
        <v>96.500000000000085</v>
      </c>
      <c r="GC309" s="61">
        <f t="shared" si="2197"/>
        <v>34.965034965034917</v>
      </c>
      <c r="GD309" s="104">
        <f>GD306-GD307</f>
        <v>72</v>
      </c>
      <c r="GE309" s="61">
        <f t="shared" si="2198"/>
        <v>-25.388601036269499</v>
      </c>
      <c r="GF309" s="104">
        <f>GF306-GF307</f>
        <v>70</v>
      </c>
      <c r="GG309" s="61">
        <f t="shared" si="2198"/>
        <v>-2.777777777777779</v>
      </c>
      <c r="GH309" s="104">
        <f>GH306-GH307</f>
        <v>23</v>
      </c>
      <c r="GI309" s="61" t="str">
        <f t="shared" si="2198"/>
        <v>NM</v>
      </c>
      <c r="GJ309" s="104">
        <f>GJ306-GJ307</f>
        <v>43</v>
      </c>
      <c r="GK309" s="61">
        <f t="shared" si="2198"/>
        <v>86.956521739130437</v>
      </c>
      <c r="GL309" s="104">
        <f>GL306-GL307</f>
        <v>64</v>
      </c>
      <c r="GM309" s="61">
        <f t="shared" si="2198"/>
        <v>48.837209302325576</v>
      </c>
      <c r="GN309" s="104">
        <f>GN306-GN307</f>
        <v>103</v>
      </c>
      <c r="GO309" s="61">
        <f t="shared" si="2198"/>
        <v>60.9375</v>
      </c>
      <c r="GP309" s="104">
        <f>GP306-GP307</f>
        <v>134.85771079577151</v>
      </c>
      <c r="GQ309" s="61">
        <f t="shared" si="2198"/>
        <v>30.929816306574274</v>
      </c>
      <c r="GR309" s="102">
        <f>GR306-GR307</f>
        <v>181.98288299719923</v>
      </c>
      <c r="GS309" s="61">
        <f t="shared" si="2198"/>
        <v>34.94436611992775</v>
      </c>
      <c r="GT309" s="102">
        <f>GT306-GT307</f>
        <v>209.66092615708487</v>
      </c>
      <c r="GU309" s="61">
        <f t="shared" si="2198"/>
        <v>15.209146434014698</v>
      </c>
      <c r="GV309" s="102">
        <f>GV306-GV307</f>
        <v>210.9387975805935</v>
      </c>
      <c r="GW309" s="61">
        <f t="shared" si="2198"/>
        <v>0.60949431395300735</v>
      </c>
      <c r="GX309" s="102">
        <f>GX306-GX307</f>
        <v>212.22764969707413</v>
      </c>
      <c r="GY309" s="61">
        <f t="shared" si="2199"/>
        <v>0.61100761512977719</v>
      </c>
      <c r="GZ309" s="61">
        <f t="shared" si="2131"/>
        <v>15.556119134803993</v>
      </c>
      <c r="HA309" s="61"/>
      <c r="HB309" s="452"/>
      <c r="HC309"/>
      <c r="HD309"/>
      <c r="HE309"/>
      <c r="HF309"/>
      <c r="HG309"/>
      <c r="HH309"/>
    </row>
    <row r="310" spans="1:216" s="5" customFormat="1" ht="12.75" customHeight="1" x14ac:dyDescent="0.2">
      <c r="B310" s="2" t="s">
        <v>4</v>
      </c>
      <c r="C310" s="192">
        <v>0</v>
      </c>
      <c r="D310" s="205"/>
      <c r="E310" s="192">
        <v>0</v>
      </c>
      <c r="F310" s="199"/>
      <c r="G310" s="192">
        <v>0</v>
      </c>
      <c r="H310" s="199"/>
      <c r="I310" s="192">
        <v>0</v>
      </c>
      <c r="J310" s="193"/>
      <c r="K310" s="192">
        <v>0</v>
      </c>
      <c r="L310" s="193" t="str">
        <f t="shared" si="2132"/>
        <v>NA</v>
      </c>
      <c r="M310" s="192">
        <v>0</v>
      </c>
      <c r="N310" s="193" t="str">
        <f t="shared" si="2133"/>
        <v>NA</v>
      </c>
      <c r="O310" s="192">
        <v>0</v>
      </c>
      <c r="P310" s="193" t="str">
        <f t="shared" si="2134"/>
        <v>NA</v>
      </c>
      <c r="Q310" s="192">
        <v>0</v>
      </c>
      <c r="R310" s="193" t="str">
        <f t="shared" si="2135"/>
        <v>NA</v>
      </c>
      <c r="S310" s="192">
        <v>0</v>
      </c>
      <c r="T310" s="193" t="str">
        <f t="shared" si="2136"/>
        <v>NA</v>
      </c>
      <c r="U310" s="192">
        <v>0</v>
      </c>
      <c r="V310" s="193" t="str">
        <f t="shared" si="2137"/>
        <v>NA</v>
      </c>
      <c r="W310" s="192">
        <v>0</v>
      </c>
      <c r="X310" s="193" t="str">
        <f t="shared" si="2138"/>
        <v>NA</v>
      </c>
      <c r="Y310" s="192">
        <v>0</v>
      </c>
      <c r="Z310" s="193" t="str">
        <f t="shared" si="2139"/>
        <v>NA</v>
      </c>
      <c r="AA310" s="192">
        <v>0</v>
      </c>
      <c r="AB310" s="193" t="str">
        <f t="shared" si="2140"/>
        <v>NA</v>
      </c>
      <c r="AC310" s="192">
        <v>0</v>
      </c>
      <c r="AD310" s="193" t="str">
        <f t="shared" si="2141"/>
        <v>NA</v>
      </c>
      <c r="AE310" s="192">
        <v>0</v>
      </c>
      <c r="AF310" s="193" t="str">
        <f t="shared" si="2142"/>
        <v>NA</v>
      </c>
      <c r="AG310" s="192">
        <v>0</v>
      </c>
      <c r="AH310" s="193" t="str">
        <f t="shared" si="2143"/>
        <v>NA</v>
      </c>
      <c r="AI310" s="192">
        <v>0</v>
      </c>
      <c r="AJ310" s="193" t="str">
        <f t="shared" si="2144"/>
        <v>NA</v>
      </c>
      <c r="AK310" s="192">
        <v>0</v>
      </c>
      <c r="AL310" s="193" t="str">
        <f t="shared" si="2145"/>
        <v>NA</v>
      </c>
      <c r="AM310" s="192">
        <v>0</v>
      </c>
      <c r="AN310" s="193" t="str">
        <f t="shared" si="2146"/>
        <v>NA</v>
      </c>
      <c r="AO310" s="192">
        <v>0</v>
      </c>
      <c r="AP310" s="193" t="str">
        <f t="shared" si="2147"/>
        <v>NA</v>
      </c>
      <c r="AQ310" s="541">
        <v>0</v>
      </c>
      <c r="AR310" s="193" t="str">
        <f t="shared" si="2148"/>
        <v>NA</v>
      </c>
      <c r="AS310" s="192">
        <v>0</v>
      </c>
      <c r="AT310" s="193" t="str">
        <f t="shared" si="2149"/>
        <v>NA</v>
      </c>
      <c r="AU310" s="192">
        <v>0</v>
      </c>
      <c r="AV310" s="13" t="str">
        <f t="shared" si="2150"/>
        <v>NA</v>
      </c>
      <c r="AW310" s="192">
        <v>0</v>
      </c>
      <c r="AX310" s="187" t="str">
        <f t="shared" si="2150"/>
        <v>NA</v>
      </c>
      <c r="AY310" s="192">
        <v>0</v>
      </c>
      <c r="AZ310" s="187" t="str">
        <f t="shared" si="2151"/>
        <v>NA</v>
      </c>
      <c r="BA310" s="192">
        <v>11</v>
      </c>
      <c r="BB310" s="187" t="str">
        <f t="shared" si="2152"/>
        <v>NA</v>
      </c>
      <c r="BC310" s="192">
        <v>5</v>
      </c>
      <c r="BD310" s="187" t="str">
        <f t="shared" si="2153"/>
        <v>NA</v>
      </c>
      <c r="BE310" s="192">
        <f>6+3</f>
        <v>9</v>
      </c>
      <c r="BF310" s="187" t="str">
        <f t="shared" si="2154"/>
        <v>NA</v>
      </c>
      <c r="BG310" s="72">
        <v>0</v>
      </c>
      <c r="BH310" s="187" t="str">
        <f t="shared" si="2155"/>
        <v>NA</v>
      </c>
      <c r="BI310" s="72">
        <v>0</v>
      </c>
      <c r="BJ310" s="187" t="str">
        <f t="shared" si="2155"/>
        <v>NM</v>
      </c>
      <c r="BK310" s="72">
        <v>8</v>
      </c>
      <c r="BL310" s="187">
        <f t="shared" si="2155"/>
        <v>60.000000000000007</v>
      </c>
      <c r="BM310" s="72">
        <v>3</v>
      </c>
      <c r="BN310" s="187" t="str">
        <f t="shared" si="2155"/>
        <v>NM</v>
      </c>
      <c r="BO310" s="72">
        <v>0</v>
      </c>
      <c r="BP310" s="187" t="str">
        <f t="shared" si="2155"/>
        <v>NA</v>
      </c>
      <c r="BQ310" s="72">
        <v>0</v>
      </c>
      <c r="BR310" s="187" t="str">
        <f t="shared" si="2155"/>
        <v>NA</v>
      </c>
      <c r="BS310" s="72">
        <v>0</v>
      </c>
      <c r="BT310" s="187" t="str">
        <f t="shared" si="2155"/>
        <v>NM</v>
      </c>
      <c r="BU310" s="72">
        <v>-3</v>
      </c>
      <c r="BV310" s="187" t="str">
        <f t="shared" si="2155"/>
        <v>NM</v>
      </c>
      <c r="BW310" s="72">
        <v>0</v>
      </c>
      <c r="BX310" s="187" t="str">
        <f t="shared" si="2155"/>
        <v>NA</v>
      </c>
      <c r="BY310" s="72">
        <v>0</v>
      </c>
      <c r="BZ310" s="187" t="str">
        <f t="shared" si="2155"/>
        <v>NA</v>
      </c>
      <c r="CA310" s="72">
        <v>0</v>
      </c>
      <c r="CB310" s="187" t="str">
        <f t="shared" si="2155"/>
        <v>NA</v>
      </c>
      <c r="CC310" s="72">
        <v>-3</v>
      </c>
      <c r="CD310" s="187">
        <f t="shared" si="2155"/>
        <v>0</v>
      </c>
      <c r="CE310" s="72">
        <v>-10</v>
      </c>
      <c r="CF310" s="187" t="str">
        <f t="shared" si="2155"/>
        <v>NA</v>
      </c>
      <c r="CG310" s="72">
        <v>-15</v>
      </c>
      <c r="CH310" s="187" t="str">
        <f t="shared" si="2155"/>
        <v>NA</v>
      </c>
      <c r="CI310" s="72">
        <v>-3</v>
      </c>
      <c r="CJ310" s="187" t="str">
        <f t="shared" si="2155"/>
        <v>NA</v>
      </c>
      <c r="CK310" s="72">
        <v>0</v>
      </c>
      <c r="CL310" s="187" t="str">
        <f t="shared" si="2155"/>
        <v>NM</v>
      </c>
      <c r="CM310" s="72">
        <v>5</v>
      </c>
      <c r="CN310" s="187" t="str">
        <f t="shared" si="2155"/>
        <v>NM</v>
      </c>
      <c r="CO310" s="72">
        <v>3</v>
      </c>
      <c r="CP310" s="187" t="str">
        <f t="shared" si="2155"/>
        <v>NM</v>
      </c>
      <c r="CQ310" s="72">
        <v>0</v>
      </c>
      <c r="CR310" s="187" t="str">
        <f t="shared" si="2155"/>
        <v>NM</v>
      </c>
      <c r="CS310" s="72">
        <v>0</v>
      </c>
      <c r="CT310" s="187" t="str">
        <f t="shared" si="2155"/>
        <v>NA</v>
      </c>
      <c r="CU310" s="72">
        <v>0</v>
      </c>
      <c r="CV310" s="187" t="str">
        <f t="shared" si="2156"/>
        <v>NM</v>
      </c>
      <c r="CW310" s="72">
        <v>3</v>
      </c>
      <c r="CX310" s="187">
        <f t="shared" si="2157"/>
        <v>0</v>
      </c>
      <c r="CY310" s="72">
        <v>0</v>
      </c>
      <c r="CZ310" s="187" t="str">
        <f t="shared" si="2158"/>
        <v>NA</v>
      </c>
      <c r="DA310" s="72">
        <v>0</v>
      </c>
      <c r="DB310" s="187" t="str">
        <f t="shared" si="2159"/>
        <v>NA</v>
      </c>
      <c r="DC310" s="72">
        <v>0</v>
      </c>
      <c r="DD310" s="187" t="str">
        <f t="shared" si="2160"/>
        <v>NA</v>
      </c>
      <c r="DE310" s="72">
        <v>0</v>
      </c>
      <c r="DF310" s="187" t="str">
        <f t="shared" si="2161"/>
        <v>NM</v>
      </c>
      <c r="DG310" s="72">
        <v>3</v>
      </c>
      <c r="DH310" s="187" t="str">
        <f t="shared" si="2162"/>
        <v>NA</v>
      </c>
      <c r="DI310" s="72">
        <v>8</v>
      </c>
      <c r="DJ310" s="187" t="str">
        <f t="shared" si="2163"/>
        <v>NA</v>
      </c>
      <c r="DK310" s="72">
        <v>0</v>
      </c>
      <c r="DL310" s="187" t="str">
        <f t="shared" si="2164"/>
        <v>NA</v>
      </c>
      <c r="DM310" s="72">
        <v>0</v>
      </c>
      <c r="DN310" s="130" t="str">
        <f t="shared" si="2165"/>
        <v>NA</v>
      </c>
      <c r="DO310" s="72">
        <v>0</v>
      </c>
      <c r="DP310" s="130" t="str">
        <f t="shared" si="2165"/>
        <v>NM</v>
      </c>
      <c r="DQ310" s="72">
        <v>0</v>
      </c>
      <c r="DR310" s="130" t="str">
        <f t="shared" si="2165"/>
        <v>NM</v>
      </c>
      <c r="DS310" s="72">
        <v>0</v>
      </c>
      <c r="DT310" s="130" t="str">
        <f t="shared" si="2165"/>
        <v>NA</v>
      </c>
      <c r="DU310" s="72">
        <v>0</v>
      </c>
      <c r="DV310" s="130" t="str">
        <f t="shared" si="2165"/>
        <v>NA</v>
      </c>
      <c r="DW310" s="72">
        <v>0</v>
      </c>
      <c r="DX310" s="72">
        <v>0</v>
      </c>
      <c r="DY310" s="72">
        <v>0</v>
      </c>
      <c r="DZ310" s="130" t="str">
        <f t="shared" si="2165"/>
        <v>NA</v>
      </c>
      <c r="EA310" s="72">
        <v>0</v>
      </c>
      <c r="EB310" s="130" t="str">
        <f t="shared" si="2168"/>
        <v>NA</v>
      </c>
      <c r="EC310" s="72">
        <v>0</v>
      </c>
      <c r="ED310" s="130" t="str">
        <f t="shared" si="2169"/>
        <v>NA</v>
      </c>
      <c r="EE310" s="72">
        <v>5</v>
      </c>
      <c r="EF310" s="130" t="str">
        <f t="shared" si="2171"/>
        <v>NA</v>
      </c>
      <c r="EG310" s="72">
        <v>0</v>
      </c>
      <c r="EH310" s="130" t="str">
        <f t="shared" si="2172"/>
        <v>NA</v>
      </c>
      <c r="EI310" s="72">
        <v>0</v>
      </c>
      <c r="EJ310" s="130" t="str">
        <f t="shared" si="2174"/>
        <v>NA</v>
      </c>
      <c r="EK310" s="72">
        <v>0</v>
      </c>
      <c r="EL310" s="130" t="str">
        <f t="shared" si="2175"/>
        <v>NA</v>
      </c>
      <c r="EM310" s="72">
        <v>3</v>
      </c>
      <c r="EN310" s="130">
        <f t="shared" si="2177"/>
        <v>-40</v>
      </c>
      <c r="EO310" s="72">
        <v>0</v>
      </c>
      <c r="EP310" s="130" t="str">
        <f t="shared" si="2179"/>
        <v>NA</v>
      </c>
      <c r="EQ310" s="72">
        <v>0</v>
      </c>
      <c r="ER310" s="130" t="str">
        <f t="shared" si="2181"/>
        <v>NA</v>
      </c>
      <c r="ES310" s="72">
        <v>0</v>
      </c>
      <c r="ET310" s="130" t="str">
        <f t="shared" si="2182"/>
        <v>NA</v>
      </c>
      <c r="EU310" s="72">
        <v>0</v>
      </c>
      <c r="EV310" s="130" t="str">
        <f t="shared" si="2183"/>
        <v>NM</v>
      </c>
      <c r="EW310" s="72">
        <v>0</v>
      </c>
      <c r="EX310" s="130" t="str">
        <f t="shared" si="2184"/>
        <v>NA</v>
      </c>
      <c r="EY310" s="74"/>
      <c r="EZ310" s="558"/>
      <c r="FA310" s="74"/>
      <c r="FB310" s="72">
        <v>0</v>
      </c>
      <c r="FC310" s="124"/>
      <c r="FD310" s="192">
        <v>0</v>
      </c>
      <c r="FE310" s="217" t="str">
        <f t="shared" si="2185"/>
        <v>NA</v>
      </c>
      <c r="FF310" s="192">
        <f>C310+E310+G310+I310</f>
        <v>0</v>
      </c>
      <c r="FG310" s="217" t="str">
        <f t="shared" si="2186"/>
        <v>NA</v>
      </c>
      <c r="FH310" s="192">
        <f>K310+M310+O310+Q310</f>
        <v>0</v>
      </c>
      <c r="FI310" s="217" t="str">
        <f t="shared" si="2187"/>
        <v>NA</v>
      </c>
      <c r="FJ310" s="192">
        <f>S310+U310+W310+Y310</f>
        <v>0</v>
      </c>
      <c r="FK310" s="217" t="str">
        <f t="shared" si="2188"/>
        <v>NA</v>
      </c>
      <c r="FL310" s="192">
        <f>AA310+AC310+AE310+AG310</f>
        <v>0</v>
      </c>
      <c r="FM310" s="217" t="str">
        <f t="shared" si="2189"/>
        <v>NA</v>
      </c>
      <c r="FN310" s="192">
        <f>AI310+AK310+AM310+AO310</f>
        <v>0</v>
      </c>
      <c r="FO310" s="217" t="str">
        <f t="shared" si="2190"/>
        <v>NA</v>
      </c>
      <c r="FP310" s="73">
        <f>AQ310+AS310+AU310+AW310</f>
        <v>0</v>
      </c>
      <c r="FQ310" s="187" t="str">
        <f t="shared" si="2191"/>
        <v>NA</v>
      </c>
      <c r="FR310" s="73">
        <f>AY310+BA310+BC310+BE310</f>
        <v>25</v>
      </c>
      <c r="FS310" s="61" t="str">
        <f t="shared" si="2192"/>
        <v>NA</v>
      </c>
      <c r="FT310" s="73">
        <f>BG310+BI310+BK310+BM310</f>
        <v>11</v>
      </c>
      <c r="FU310" s="61" t="str">
        <f t="shared" si="2193"/>
        <v>NM</v>
      </c>
      <c r="FV310" s="73">
        <f>BO310+BQ310+BS310+BU310</f>
        <v>-3</v>
      </c>
      <c r="FW310" s="61" t="str">
        <f t="shared" si="2194"/>
        <v>NM</v>
      </c>
      <c r="FX310" s="75">
        <f>BW310+BY310+CA310+CC310</f>
        <v>-3</v>
      </c>
      <c r="FY310" s="61">
        <f t="shared" si="2195"/>
        <v>0</v>
      </c>
      <c r="FZ310" s="75">
        <f>CE310+CG310+CI310+CK310</f>
        <v>-28</v>
      </c>
      <c r="GA310" s="61" t="str">
        <f t="shared" si="2196"/>
        <v>NM</v>
      </c>
      <c r="GB310" s="75">
        <f>CM310+CO310+CQ310+CS310</f>
        <v>8</v>
      </c>
      <c r="GC310" s="61" t="str">
        <f t="shared" si="2197"/>
        <v>NM</v>
      </c>
      <c r="GD310" s="75">
        <f>CU310+CW310+CY310+DA310</f>
        <v>3</v>
      </c>
      <c r="GE310" s="61" t="str">
        <f t="shared" si="2198"/>
        <v>NM</v>
      </c>
      <c r="GF310" s="75">
        <f>DC310+DE310+DG310+DI310</f>
        <v>11</v>
      </c>
      <c r="GG310" s="61" t="str">
        <f t="shared" si="2198"/>
        <v>NM</v>
      </c>
      <c r="GH310" s="75">
        <f>DK310+DM310+DO310+DQ310</f>
        <v>0</v>
      </c>
      <c r="GI310" s="61" t="str">
        <f t="shared" si="2198"/>
        <v>NM</v>
      </c>
      <c r="GJ310" s="75">
        <f>DS310+DU310+DW310+DY310</f>
        <v>0</v>
      </c>
      <c r="GK310" s="61" t="str">
        <f t="shared" si="2198"/>
        <v>NA</v>
      </c>
      <c r="GL310" s="75">
        <f>EA310+EC310+EE310+EG310</f>
        <v>5</v>
      </c>
      <c r="GM310" s="61" t="str">
        <f t="shared" si="2198"/>
        <v>NA</v>
      </c>
      <c r="GN310" s="75">
        <f>EI310+EK310+EM310+EO310</f>
        <v>3</v>
      </c>
      <c r="GO310" s="61">
        <f t="shared" si="2198"/>
        <v>-40</v>
      </c>
      <c r="GP310" s="75">
        <f>EQ310+ES310+EU310+EW310</f>
        <v>0</v>
      </c>
      <c r="GQ310" s="61" t="str">
        <f t="shared" si="2198"/>
        <v>NM</v>
      </c>
      <c r="GR310" s="72">
        <v>0</v>
      </c>
      <c r="GS310" s="61" t="str">
        <f t="shared" si="2198"/>
        <v>NA</v>
      </c>
      <c r="GT310" s="72">
        <v>0</v>
      </c>
      <c r="GU310" s="61" t="str">
        <f t="shared" si="2198"/>
        <v>NA</v>
      </c>
      <c r="GV310" s="72">
        <v>0</v>
      </c>
      <c r="GW310" s="61" t="str">
        <f t="shared" si="2198"/>
        <v>NA</v>
      </c>
      <c r="GX310" s="72">
        <v>0</v>
      </c>
      <c r="GY310" s="61" t="str">
        <f t="shared" si="2199"/>
        <v>NA</v>
      </c>
      <c r="GZ310" s="61" t="str">
        <f t="shared" si="2131"/>
        <v>NM</v>
      </c>
      <c r="HA310" s="61"/>
      <c r="HB310" s="452"/>
      <c r="HC310"/>
      <c r="HD310"/>
      <c r="HE310"/>
      <c r="HF310"/>
      <c r="HG310"/>
      <c r="HH310"/>
    </row>
    <row r="311" spans="1:216" s="5" customFormat="1" ht="12.75" customHeight="1" x14ac:dyDescent="0.2">
      <c r="B311" s="63" t="s">
        <v>384</v>
      </c>
      <c r="C311" s="216">
        <f>C309-C310</f>
        <v>8.2670000000000012</v>
      </c>
      <c r="D311" s="205"/>
      <c r="E311" s="216">
        <f>E309-E310</f>
        <v>8.9430000000000032</v>
      </c>
      <c r="F311" s="199"/>
      <c r="G311" s="216">
        <f>G309-G310</f>
        <v>7.5169999999999861</v>
      </c>
      <c r="H311" s="199"/>
      <c r="I311" s="216">
        <f>I309-I310</f>
        <v>7.9170000000000167</v>
      </c>
      <c r="J311" s="193"/>
      <c r="K311" s="216">
        <f>K309-K310</f>
        <v>10.376000000000008</v>
      </c>
      <c r="L311" s="193">
        <f t="shared" si="2132"/>
        <v>25.511068102092736</v>
      </c>
      <c r="M311" s="216">
        <f>M309-M310</f>
        <v>10.538000000000013</v>
      </c>
      <c r="N311" s="193">
        <f t="shared" si="2133"/>
        <v>17.835178351783611</v>
      </c>
      <c r="O311" s="216">
        <f>O309-O310</f>
        <v>12.043000000000006</v>
      </c>
      <c r="P311" s="193">
        <f t="shared" si="2134"/>
        <v>60.210190235466655</v>
      </c>
      <c r="Q311" s="216">
        <f>Q309-Q310</f>
        <v>11.526000000000019</v>
      </c>
      <c r="R311" s="193">
        <f t="shared" si="2135"/>
        <v>45.585449033724835</v>
      </c>
      <c r="S311" s="216">
        <f>S309-S310</f>
        <v>12.914999999999971</v>
      </c>
      <c r="T311" s="193">
        <f t="shared" si="2136"/>
        <v>24.469930609097545</v>
      </c>
      <c r="U311" s="216">
        <f>U309-U310</f>
        <v>12.524000000000001</v>
      </c>
      <c r="V311" s="193">
        <f t="shared" si="2137"/>
        <v>18.846080850256076</v>
      </c>
      <c r="W311" s="216">
        <f>W309-W310</f>
        <v>9.2209999999999788</v>
      </c>
      <c r="X311" s="193">
        <f t="shared" si="2138"/>
        <v>-23.432699493481913</v>
      </c>
      <c r="Y311" s="216">
        <f>Y309-Y310</f>
        <v>12.83000000000002</v>
      </c>
      <c r="Z311" s="193">
        <f t="shared" si="2139"/>
        <v>11.313551969460335</v>
      </c>
      <c r="AA311" s="216">
        <f>AA309-AA310</f>
        <v>11.917000000000032</v>
      </c>
      <c r="AB311" s="193">
        <f t="shared" si="2140"/>
        <v>-7.7274487030580037</v>
      </c>
      <c r="AC311" s="216">
        <f>AC309-AC310</f>
        <v>12.506000000000009</v>
      </c>
      <c r="AD311" s="193">
        <f t="shared" si="2141"/>
        <v>-0.14372404982426756</v>
      </c>
      <c r="AE311" s="216">
        <f>AE309-AE310</f>
        <v>10.027999999999992</v>
      </c>
      <c r="AF311" s="193">
        <f t="shared" si="2142"/>
        <v>8.7517622817483431</v>
      </c>
      <c r="AG311" s="216">
        <f>AG309-AG310</f>
        <v>16.202000000000019</v>
      </c>
      <c r="AH311" s="193">
        <f t="shared" si="2143"/>
        <v>26.282151208105951</v>
      </c>
      <c r="AI311" s="216">
        <f>AI309-AI310</f>
        <v>11.453999999999986</v>
      </c>
      <c r="AJ311" s="193">
        <f t="shared" si="2144"/>
        <v>-3.8852060082239182</v>
      </c>
      <c r="AK311" s="216">
        <f>AK309-AK310</f>
        <v>19.660999999999991</v>
      </c>
      <c r="AL311" s="193">
        <f t="shared" si="2145"/>
        <v>57.212537981768548</v>
      </c>
      <c r="AM311" s="216">
        <f>AM309-AM310</f>
        <v>19.668000000000038</v>
      </c>
      <c r="AN311" s="193">
        <f t="shared" si="2146"/>
        <v>96.130833665736489</v>
      </c>
      <c r="AO311" s="216">
        <f>AO309-AO310</f>
        <v>19.953000000000003</v>
      </c>
      <c r="AP311" s="193">
        <f t="shared" si="2147"/>
        <v>23.151462782372413</v>
      </c>
      <c r="AQ311" s="216">
        <f>AQ309-AQ310</f>
        <v>33.762999999999984</v>
      </c>
      <c r="AR311" s="193" t="str">
        <f t="shared" si="2148"/>
        <v>NM</v>
      </c>
      <c r="AS311" s="216">
        <f>AS309-AS310</f>
        <v>21.338999999999984</v>
      </c>
      <c r="AT311" s="193">
        <f t="shared" si="2149"/>
        <v>8.5346625298814658</v>
      </c>
      <c r="AU311" s="216">
        <f>AU309-AU310</f>
        <v>14.955999999999982</v>
      </c>
      <c r="AV311" s="13">
        <f t="shared" si="2150"/>
        <v>-23.957697783201382</v>
      </c>
      <c r="AW311" s="216">
        <f>AW309-AW310</f>
        <v>16.664000000000001</v>
      </c>
      <c r="AX311" s="187">
        <f t="shared" si="2150"/>
        <v>-16.483736781436377</v>
      </c>
      <c r="AY311" s="196">
        <f>AY309-AY310</f>
        <v>29.5</v>
      </c>
      <c r="AZ311" s="187">
        <f t="shared" si="2151"/>
        <v>-12.62624766756505</v>
      </c>
      <c r="BA311" s="196">
        <f>BA309-BA310</f>
        <v>25.900000000000013</v>
      </c>
      <c r="BB311" s="187">
        <f t="shared" si="2152"/>
        <v>21.374010028586298</v>
      </c>
      <c r="BC311" s="196">
        <f>BC309-BC310</f>
        <v>23.800000000000068</v>
      </c>
      <c r="BD311" s="187">
        <f t="shared" si="2153"/>
        <v>59.133458143889392</v>
      </c>
      <c r="BE311" s="196">
        <f>BE309-BE310</f>
        <v>24.199999999999967</v>
      </c>
      <c r="BF311" s="187">
        <f t="shared" si="2154"/>
        <v>45.22323571771463</v>
      </c>
      <c r="BG311" s="104">
        <f>BG309-BG310</f>
        <v>23.000000000000036</v>
      </c>
      <c r="BH311" s="187">
        <f t="shared" si="2155"/>
        <v>-22.03389830508462</v>
      </c>
      <c r="BI311" s="104">
        <f>BI309-BI310</f>
        <v>28.900000000000023</v>
      </c>
      <c r="BJ311" s="187">
        <f t="shared" si="2155"/>
        <v>11.583011583011626</v>
      </c>
      <c r="BK311" s="104">
        <f>BK309-BK310</f>
        <v>25.200000000000024</v>
      </c>
      <c r="BL311" s="187">
        <f t="shared" si="2155"/>
        <v>5.8823529411762721</v>
      </c>
      <c r="BM311" s="104">
        <f>BM309-BM310</f>
        <v>25.199999999999978</v>
      </c>
      <c r="BN311" s="187">
        <f t="shared" si="2155"/>
        <v>4.1322314049587305</v>
      </c>
      <c r="BO311" s="104">
        <f>BO309-BO310</f>
        <v>26.099999999999955</v>
      </c>
      <c r="BP311" s="187">
        <f t="shared" si="2155"/>
        <v>13.478260869564851</v>
      </c>
      <c r="BQ311" s="104">
        <f>BQ309-BQ310</f>
        <v>32.29999999999999</v>
      </c>
      <c r="BR311" s="187">
        <f t="shared" si="2155"/>
        <v>11.764705882352811</v>
      </c>
      <c r="BS311" s="104">
        <f>BS309-BS310</f>
        <v>27.5</v>
      </c>
      <c r="BT311" s="187">
        <f t="shared" si="2155"/>
        <v>9.1269841269840271</v>
      </c>
      <c r="BU311" s="104">
        <f>BU309-BU310</f>
        <v>21.399999999999977</v>
      </c>
      <c r="BV311" s="187">
        <f t="shared" si="2155"/>
        <v>-15.079365079365093</v>
      </c>
      <c r="BW311" s="104">
        <f>BW309-BW310</f>
        <v>25.700000000000056</v>
      </c>
      <c r="BX311" s="187">
        <f t="shared" si="2155"/>
        <v>-1.5325670498080424</v>
      </c>
      <c r="BY311" s="104">
        <f>BY309-BY310</f>
        <v>33.600000000000044</v>
      </c>
      <c r="BZ311" s="187">
        <f t="shared" si="2155"/>
        <v>4.0247678018577426</v>
      </c>
      <c r="CA311" s="104">
        <f>CA309-CA310</f>
        <v>34.509999999999977</v>
      </c>
      <c r="CB311" s="187">
        <f t="shared" si="2155"/>
        <v>25.490909090909007</v>
      </c>
      <c r="CC311" s="104">
        <f>CC309-CC310</f>
        <v>33.099999999999923</v>
      </c>
      <c r="CD311" s="187">
        <f t="shared" si="2155"/>
        <v>54.672897196261495</v>
      </c>
      <c r="CE311" s="104">
        <f>CE309-CE310</f>
        <v>31.300000000000033</v>
      </c>
      <c r="CF311" s="187">
        <f t="shared" si="2155"/>
        <v>21.789883268482345</v>
      </c>
      <c r="CG311" s="104">
        <f>CG309-CG310</f>
        <v>37.700000000000024</v>
      </c>
      <c r="CH311" s="187">
        <f t="shared" si="2155"/>
        <v>12.202380952380887</v>
      </c>
      <c r="CI311" s="104">
        <f>CI309-CI310</f>
        <v>12.500000000000046</v>
      </c>
      <c r="CJ311" s="187" t="str">
        <f t="shared" si="2155"/>
        <v>NM</v>
      </c>
      <c r="CK311" s="104">
        <f>CK309-CK310</f>
        <v>17.999999999999989</v>
      </c>
      <c r="CL311" s="187">
        <f t="shared" si="2155"/>
        <v>-45.619335347431935</v>
      </c>
      <c r="CM311" s="104">
        <f>CM309-CM310</f>
        <v>19.100000000000101</v>
      </c>
      <c r="CN311" s="187">
        <f t="shared" si="2155"/>
        <v>-38.977635782747342</v>
      </c>
      <c r="CO311" s="104">
        <f>CO309-CO310</f>
        <v>22.59999999999992</v>
      </c>
      <c r="CP311" s="187">
        <f t="shared" si="2155"/>
        <v>-40.053050397878231</v>
      </c>
      <c r="CQ311" s="104">
        <f>CQ309-CQ310</f>
        <v>26.799999999999955</v>
      </c>
      <c r="CR311" s="187" t="str">
        <f t="shared" si="2155"/>
        <v>NM</v>
      </c>
      <c r="CS311" s="104">
        <f>CS309-CS310</f>
        <v>20</v>
      </c>
      <c r="CT311" s="187">
        <f t="shared" si="2155"/>
        <v>11.111111111111182</v>
      </c>
      <c r="CU311" s="104">
        <f>CU309-CU310</f>
        <v>16</v>
      </c>
      <c r="CV311" s="187">
        <f t="shared" si="2156"/>
        <v>-16.230366492147041</v>
      </c>
      <c r="CW311" s="104">
        <f>CW309-CW310</f>
        <v>24</v>
      </c>
      <c r="CX311" s="187">
        <f t="shared" si="2157"/>
        <v>6.1946902654871128</v>
      </c>
      <c r="CY311" s="104">
        <f>CY309-CY310</f>
        <v>16</v>
      </c>
      <c r="CZ311" s="187">
        <f t="shared" si="2158"/>
        <v>-40.298507462686459</v>
      </c>
      <c r="DA311" s="104">
        <f>DA309-DA310</f>
        <v>13</v>
      </c>
      <c r="DB311" s="187">
        <f t="shared" si="2159"/>
        <v>-35</v>
      </c>
      <c r="DC311" s="104">
        <f>DC309-DC310</f>
        <v>14</v>
      </c>
      <c r="DD311" s="187">
        <f t="shared" si="2160"/>
        <v>-12.5</v>
      </c>
      <c r="DE311" s="104">
        <f>DE309-DE310</f>
        <v>22</v>
      </c>
      <c r="DF311" s="187">
        <f t="shared" si="2161"/>
        <v>-8.3333333333333375</v>
      </c>
      <c r="DG311" s="104">
        <f>DG309-DG310</f>
        <v>20</v>
      </c>
      <c r="DH311" s="187">
        <f t="shared" si="2162"/>
        <v>25</v>
      </c>
      <c r="DI311" s="104">
        <f>DI309-DI310</f>
        <v>3</v>
      </c>
      <c r="DJ311" s="187" t="str">
        <f t="shared" si="2163"/>
        <v>NM</v>
      </c>
      <c r="DK311" s="104">
        <f>DK309-DK310</f>
        <v>20</v>
      </c>
      <c r="DL311" s="187">
        <f t="shared" si="2164"/>
        <v>42.857142857142861</v>
      </c>
      <c r="DM311" s="104">
        <f>DM309-DM310</f>
        <v>2</v>
      </c>
      <c r="DN311" s="130" t="str">
        <f t="shared" si="2165"/>
        <v>NM</v>
      </c>
      <c r="DO311" s="104">
        <f>DO309-DO310</f>
        <v>8</v>
      </c>
      <c r="DP311" s="130" t="str">
        <f t="shared" si="2165"/>
        <v>NM</v>
      </c>
      <c r="DQ311" s="104">
        <f>DQ309-DQ310</f>
        <v>-7</v>
      </c>
      <c r="DR311" s="130" t="str">
        <f t="shared" si="2165"/>
        <v>NM</v>
      </c>
      <c r="DS311" s="104">
        <f>DS309-DS310</f>
        <v>-6</v>
      </c>
      <c r="DT311" s="130" t="str">
        <f t="shared" si="2165"/>
        <v>NM</v>
      </c>
      <c r="DU311" s="104">
        <f>DU309-DU310</f>
        <v>19</v>
      </c>
      <c r="DV311" s="130" t="str">
        <f t="shared" si="2165"/>
        <v>NM</v>
      </c>
      <c r="DW311" s="104">
        <f>DW309-DW310</f>
        <v>17</v>
      </c>
      <c r="DX311" s="104">
        <f t="shared" ref="DX311:DY311" si="2216">DX309-DX310</f>
        <v>17</v>
      </c>
      <c r="DY311" s="104">
        <f t="shared" si="2216"/>
        <v>13</v>
      </c>
      <c r="DZ311" s="130" t="str">
        <f t="shared" si="2165"/>
        <v>NM</v>
      </c>
      <c r="EA311" s="104">
        <f t="shared" ref="EA311:EC311" si="2217">EA309-EA310</f>
        <v>5</v>
      </c>
      <c r="EB311" s="130" t="str">
        <f t="shared" si="2168"/>
        <v>NM</v>
      </c>
      <c r="EC311" s="104">
        <f t="shared" si="2217"/>
        <v>15</v>
      </c>
      <c r="ED311" s="130">
        <f t="shared" si="2169"/>
        <v>-21.052631578947366</v>
      </c>
      <c r="EE311" s="104">
        <f t="shared" ref="EE311:EG311" si="2218">EE309-EE310</f>
        <v>23</v>
      </c>
      <c r="EF311" s="130">
        <f t="shared" si="2171"/>
        <v>35.294117647058833</v>
      </c>
      <c r="EG311" s="104">
        <f t="shared" si="2218"/>
        <v>16</v>
      </c>
      <c r="EH311" s="130">
        <f t="shared" si="2172"/>
        <v>23.076923076923084</v>
      </c>
      <c r="EI311" s="104">
        <f t="shared" ref="EI311:EK311" si="2219">EI309-EI310</f>
        <v>7</v>
      </c>
      <c r="EJ311" s="130">
        <f t="shared" si="2174"/>
        <v>39.999999999999993</v>
      </c>
      <c r="EK311" s="104">
        <f t="shared" si="2219"/>
        <v>35</v>
      </c>
      <c r="EL311" s="130" t="str">
        <f t="shared" si="2175"/>
        <v>NM</v>
      </c>
      <c r="EM311" s="104">
        <f t="shared" ref="EM311" si="2220">EM309-EM310</f>
        <v>38</v>
      </c>
      <c r="EN311" s="130">
        <f t="shared" si="2177"/>
        <v>65.217391304347828</v>
      </c>
      <c r="EO311" s="104">
        <f t="shared" ref="EO311" si="2221">EO309-EO310</f>
        <v>20</v>
      </c>
      <c r="EP311" s="130">
        <f t="shared" si="2179"/>
        <v>25</v>
      </c>
      <c r="EQ311" s="102">
        <f t="shared" ref="EQ311:EW311" si="2222">EQ309-EQ310</f>
        <v>17.759357999999974</v>
      </c>
      <c r="ER311" s="130" t="str">
        <f t="shared" si="2181"/>
        <v>NM</v>
      </c>
      <c r="ES311" s="102">
        <f t="shared" si="2222"/>
        <v>29.276125433750021</v>
      </c>
      <c r="ET311" s="130">
        <f t="shared" si="2182"/>
        <v>-16.353927332142792</v>
      </c>
      <c r="EU311" s="102">
        <f t="shared" si="2222"/>
        <v>43.596592908068729</v>
      </c>
      <c r="EV311" s="130">
        <f t="shared" si="2183"/>
        <v>14.727876073865076</v>
      </c>
      <c r="EW311" s="102">
        <f t="shared" si="2222"/>
        <v>44.225634453952551</v>
      </c>
      <c r="EX311" s="130" t="str">
        <f t="shared" si="2184"/>
        <v>NM</v>
      </c>
      <c r="EY311" s="74"/>
      <c r="EZ311" s="558"/>
      <c r="FA311" s="74"/>
      <c r="FB311" s="102">
        <f>FB309-FB310</f>
        <v>23.934000000000015</v>
      </c>
      <c r="FC311" s="124"/>
      <c r="FD311" s="196">
        <f>FD309-FD310</f>
        <v>24.508999999999997</v>
      </c>
      <c r="FE311" s="217">
        <f t="shared" si="2185"/>
        <v>2.4024400434527582</v>
      </c>
      <c r="FF311" s="196">
        <f>FF309-FF310</f>
        <v>32.644000000000034</v>
      </c>
      <c r="FG311" s="217">
        <f t="shared" si="2186"/>
        <v>33.191888693949309</v>
      </c>
      <c r="FH311" s="196">
        <f>FH309-FH310</f>
        <v>44.48299999999999</v>
      </c>
      <c r="FI311" s="217">
        <f t="shared" si="2187"/>
        <v>36.267001592941874</v>
      </c>
      <c r="FJ311" s="196">
        <f>FJ309-FJ310</f>
        <v>47.489999999999938</v>
      </c>
      <c r="FK311" s="217">
        <f t="shared" si="2188"/>
        <v>6.7598857990691874</v>
      </c>
      <c r="FL311" s="196">
        <f>FL309-FL310</f>
        <v>50.653000000000112</v>
      </c>
      <c r="FM311" s="217">
        <f t="shared" si="2189"/>
        <v>6.6603495472734808</v>
      </c>
      <c r="FN311" s="196">
        <f>FN309-FN310</f>
        <v>71.535999999999774</v>
      </c>
      <c r="FO311" s="217">
        <f t="shared" si="2190"/>
        <v>41.227567962410163</v>
      </c>
      <c r="FP311" s="104">
        <f>FP309-FP310</f>
        <v>86.722000000000122</v>
      </c>
      <c r="FQ311" s="187">
        <f t="shared" si="2191"/>
        <v>21.228472377544726</v>
      </c>
      <c r="FR311" s="104">
        <f>FR309-FR310</f>
        <v>103.40000000000003</v>
      </c>
      <c r="FS311" s="61">
        <f t="shared" si="2192"/>
        <v>19.231567537648921</v>
      </c>
      <c r="FT311" s="104">
        <f>FT309-FT310</f>
        <v>102.29999999999977</v>
      </c>
      <c r="FU311" s="61">
        <f t="shared" si="2193"/>
        <v>-1.0638297872342939</v>
      </c>
      <c r="FV311" s="104">
        <f>FV309-FV310</f>
        <v>107.3000000000001</v>
      </c>
      <c r="FW311" s="61">
        <f t="shared" si="2194"/>
        <v>4.8875855327471518</v>
      </c>
      <c r="FX311" s="104">
        <f>FX309-FX310</f>
        <v>126.90999999999994</v>
      </c>
      <c r="FY311" s="61">
        <f t="shared" si="2195"/>
        <v>18.275862068965367</v>
      </c>
      <c r="FZ311" s="104">
        <f>FZ309-FZ310</f>
        <v>99.500000000000085</v>
      </c>
      <c r="GA311" s="61">
        <f t="shared" si="2196"/>
        <v>-21.597982822472517</v>
      </c>
      <c r="GB311" s="104">
        <f>GB309-GB310</f>
        <v>88.500000000000085</v>
      </c>
      <c r="GC311" s="61">
        <f t="shared" si="2197"/>
        <v>-11.05527638190954</v>
      </c>
      <c r="GD311" s="104">
        <f>GD309-GD310</f>
        <v>69</v>
      </c>
      <c r="GE311" s="61">
        <f t="shared" si="2198"/>
        <v>-22.033898305084819</v>
      </c>
      <c r="GF311" s="104">
        <f>GF309-GF310</f>
        <v>59</v>
      </c>
      <c r="GG311" s="61">
        <f t="shared" si="2198"/>
        <v>-14.492753623188403</v>
      </c>
      <c r="GH311" s="104">
        <f>GH309-GH310</f>
        <v>23</v>
      </c>
      <c r="GI311" s="61" t="str">
        <f t="shared" si="2198"/>
        <v>NM</v>
      </c>
      <c r="GJ311" s="104">
        <f>GJ309-GJ310</f>
        <v>43</v>
      </c>
      <c r="GK311" s="61">
        <f t="shared" si="2198"/>
        <v>86.956521739130437</v>
      </c>
      <c r="GL311" s="104">
        <f>GL309-GL310</f>
        <v>59</v>
      </c>
      <c r="GM311" s="61">
        <f t="shared" si="2198"/>
        <v>37.209302325581397</v>
      </c>
      <c r="GN311" s="104">
        <f>GN309-GN310</f>
        <v>100</v>
      </c>
      <c r="GO311" s="61">
        <f t="shared" si="2198"/>
        <v>69.491525423728802</v>
      </c>
      <c r="GP311" s="104">
        <f>GP309-GP310</f>
        <v>134.85771079577151</v>
      </c>
      <c r="GQ311" s="61">
        <f t="shared" si="2198"/>
        <v>34.85771079577151</v>
      </c>
      <c r="GR311" s="102">
        <f>GR309-GR310</f>
        <v>181.98288299719923</v>
      </c>
      <c r="GS311" s="61">
        <f t="shared" si="2198"/>
        <v>34.94436611992775</v>
      </c>
      <c r="GT311" s="102">
        <f>GT309-GT310</f>
        <v>209.66092615708487</v>
      </c>
      <c r="GU311" s="61">
        <f t="shared" si="2198"/>
        <v>15.209146434014698</v>
      </c>
      <c r="GV311" s="102">
        <f>GV309-GV310</f>
        <v>210.9387975805935</v>
      </c>
      <c r="GW311" s="61">
        <f t="shared" si="2198"/>
        <v>0.60949431395300735</v>
      </c>
      <c r="GX311" s="102">
        <f>GX309-GX310</f>
        <v>212.22764969707413</v>
      </c>
      <c r="GY311" s="61">
        <f t="shared" si="2199"/>
        <v>0.61100761512977719</v>
      </c>
      <c r="GZ311" s="61">
        <f t="shared" si="2131"/>
        <v>16.241282494816399</v>
      </c>
      <c r="HA311" s="61"/>
      <c r="HB311" s="452"/>
      <c r="HC311"/>
      <c r="HD311"/>
      <c r="HE311"/>
      <c r="HF311"/>
      <c r="HG311"/>
      <c r="HH311"/>
    </row>
    <row r="312" spans="1:216" s="5" customFormat="1" ht="12.75" customHeight="1" x14ac:dyDescent="0.2">
      <c r="B312" s="2" t="s">
        <v>73</v>
      </c>
      <c r="C312" s="69"/>
      <c r="D312" s="70"/>
      <c r="E312" s="69"/>
      <c r="F312" s="71"/>
      <c r="G312" s="69"/>
      <c r="H312" s="71"/>
      <c r="I312" s="69"/>
      <c r="J312" s="61"/>
      <c r="K312" s="69"/>
      <c r="L312" s="61"/>
      <c r="M312" s="69"/>
      <c r="N312" s="61"/>
      <c r="O312" s="69"/>
      <c r="P312" s="61"/>
      <c r="Q312" s="69"/>
      <c r="R312" s="61"/>
      <c r="S312" s="69"/>
      <c r="T312" s="61"/>
      <c r="U312" s="69"/>
      <c r="V312" s="61"/>
      <c r="W312" s="69"/>
      <c r="X312" s="126"/>
      <c r="Y312" s="69"/>
      <c r="Z312" s="126"/>
      <c r="AA312" s="69"/>
      <c r="AB312" s="126"/>
      <c r="AC312" s="69"/>
      <c r="AD312" s="126"/>
      <c r="AE312" s="69"/>
      <c r="AF312" s="126"/>
      <c r="AG312" s="69"/>
      <c r="AH312" s="126"/>
      <c r="AI312" s="69"/>
      <c r="AJ312" s="126"/>
      <c r="AK312" s="69"/>
      <c r="AL312" s="126"/>
      <c r="AM312" s="69"/>
      <c r="AN312" s="126"/>
      <c r="AO312" s="69"/>
      <c r="AP312" s="126"/>
      <c r="AQ312" s="69">
        <f>AQ306-AQ310/0.65</f>
        <v>51.942999999999984</v>
      </c>
      <c r="AR312" s="61" t="str">
        <f t="shared" si="2148"/>
        <v>NA</v>
      </c>
      <c r="AS312" s="69">
        <f>AS306-AS310/0.65</f>
        <v>32.829999999999984</v>
      </c>
      <c r="AT312" s="61" t="str">
        <f t="shared" si="2149"/>
        <v>NA</v>
      </c>
      <c r="AU312" s="69">
        <f>AU306-AU310/0.65</f>
        <v>23.007999999999981</v>
      </c>
      <c r="AV312" s="61" t="str">
        <f t="shared" si="2150"/>
        <v>NA</v>
      </c>
      <c r="AW312" s="69">
        <f>AW306-AW310/0.65</f>
        <v>25.637</v>
      </c>
      <c r="AX312" s="61" t="str">
        <f t="shared" si="2150"/>
        <v>NA</v>
      </c>
      <c r="AY312" s="69">
        <f>AY306-AY310/0.65</f>
        <v>0</v>
      </c>
      <c r="AZ312" s="61" t="str">
        <f t="shared" si="2151"/>
        <v>NM</v>
      </c>
      <c r="BA312" s="69">
        <f>BA306-BA310/0.65</f>
        <v>39.876923076923092</v>
      </c>
      <c r="BB312" s="61">
        <f t="shared" si="2152"/>
        <v>21.464889055507498</v>
      </c>
      <c r="BC312" s="69">
        <f>BC306-BC310/0.65</f>
        <v>36.607692307692375</v>
      </c>
      <c r="BD312" s="61">
        <f t="shared" si="2153"/>
        <v>59.108537498663097</v>
      </c>
      <c r="BE312" s="69">
        <f>BE306-BE310/0.65</f>
        <v>37.253846153846119</v>
      </c>
      <c r="BF312" s="61">
        <f t="shared" si="2154"/>
        <v>45.312814111815428</v>
      </c>
      <c r="BG312" s="69">
        <f>BG306-BG310/0.65</f>
        <v>35.400000000000034</v>
      </c>
      <c r="BH312" s="61" t="str">
        <f t="shared" si="2155"/>
        <v>NA</v>
      </c>
      <c r="BI312" s="69">
        <f>BI306-BI310/0.65</f>
        <v>44.600000000000023</v>
      </c>
      <c r="BJ312" s="61">
        <f t="shared" si="2155"/>
        <v>11.844135802469147</v>
      </c>
      <c r="BK312" s="69">
        <f>BK306-BK310/0.65</f>
        <v>38.792307692307716</v>
      </c>
      <c r="BL312" s="61">
        <f t="shared" si="2155"/>
        <v>5.9676402605588041</v>
      </c>
      <c r="BM312" s="69">
        <f>BM306-BM310/0.65</f>
        <v>38.784615384615364</v>
      </c>
      <c r="BN312" s="61">
        <f t="shared" si="2155"/>
        <v>4.1090233326450898</v>
      </c>
      <c r="BO312" s="69">
        <f>BO306-BO310/0.65</f>
        <v>40.299999999999955</v>
      </c>
      <c r="BP312" s="61">
        <f t="shared" si="2155"/>
        <v>13.841807909604276</v>
      </c>
      <c r="BQ312" s="69">
        <f>BQ306-BQ310/0.65</f>
        <v>49.699999999999989</v>
      </c>
      <c r="BR312" s="61">
        <f t="shared" si="2155"/>
        <v>11.434977578475248</v>
      </c>
      <c r="BS312" s="69">
        <f>BS306-BS310/0.65</f>
        <v>42</v>
      </c>
      <c r="BT312" s="61">
        <f t="shared" si="2155"/>
        <v>8.2688875669243878</v>
      </c>
      <c r="BU312" s="69">
        <f>BU306-BU310/0.65</f>
        <v>33.01538461538459</v>
      </c>
      <c r="BV312" s="61">
        <f t="shared" si="2155"/>
        <v>-14.875049583498633</v>
      </c>
      <c r="BW312" s="69">
        <f>BW306-BW310/0.65</f>
        <v>39.500000000000057</v>
      </c>
      <c r="BX312" s="61">
        <f t="shared" si="2155"/>
        <v>-1.9851116625307696</v>
      </c>
      <c r="BY312" s="69">
        <f>BY306-BY310/0.65</f>
        <v>51.700000000000045</v>
      </c>
      <c r="BZ312" s="61">
        <f t="shared" si="2155"/>
        <v>4.0241448692154069</v>
      </c>
      <c r="CA312" s="69">
        <f>CA306-CA310/0.65</f>
        <v>53.20999999999998</v>
      </c>
      <c r="CB312" s="61">
        <f t="shared" si="2155"/>
        <v>26.690476190476133</v>
      </c>
      <c r="CC312" s="69">
        <f>CC306-CC310/0.65</f>
        <v>51.015384615384534</v>
      </c>
      <c r="CD312" s="61">
        <f t="shared" si="2155"/>
        <v>54.520037278657838</v>
      </c>
      <c r="CE312" s="69">
        <f>CE306-CE310/0.65</f>
        <v>48.284615384615421</v>
      </c>
      <c r="CF312" s="61">
        <f t="shared" si="2155"/>
        <v>22.23953261927938</v>
      </c>
      <c r="CG312" s="69">
        <f>CG306-CG310/0.65</f>
        <v>57.676923076923103</v>
      </c>
      <c r="CH312" s="61">
        <f t="shared" si="2155"/>
        <v>11.560779645885976</v>
      </c>
      <c r="CI312" s="69">
        <f>CI306-CI310/0.65</f>
        <v>19.315384615384659</v>
      </c>
      <c r="CJ312" s="61" t="str">
        <f t="shared" si="2155"/>
        <v>NM</v>
      </c>
      <c r="CK312" s="69">
        <f>CK306-CK310/0.65</f>
        <v>27.699999999999989</v>
      </c>
      <c r="CL312" s="61">
        <f t="shared" si="2155"/>
        <v>-45.702653799758686</v>
      </c>
      <c r="CM312" s="69">
        <f>CM306-CM310/0.65</f>
        <v>29.507692307692409</v>
      </c>
      <c r="CN312" s="61">
        <f t="shared" si="2155"/>
        <v>-38.888003823482386</v>
      </c>
      <c r="CO312" s="69">
        <f>CO306-CO310/0.65</f>
        <v>34.784615384615307</v>
      </c>
      <c r="CP312" s="61">
        <f t="shared" si="2155"/>
        <v>-39.690584155775035</v>
      </c>
      <c r="CQ312" s="69">
        <f>CQ306-CQ310/0.65</f>
        <v>41.299999999999955</v>
      </c>
      <c r="CR312" s="61" t="str">
        <f t="shared" si="2155"/>
        <v>NM</v>
      </c>
      <c r="CS312" s="69">
        <f>CS306-CS310/0.65</f>
        <v>31</v>
      </c>
      <c r="CT312" s="61">
        <f t="shared" si="2155"/>
        <v>11.913357400722058</v>
      </c>
      <c r="CU312" s="69">
        <f>CU306-CU310/0.65</f>
        <v>25</v>
      </c>
      <c r="CV312" s="61">
        <f t="shared" si="2156"/>
        <v>-15.276329509906439</v>
      </c>
      <c r="CW312" s="69">
        <f>CW306-CW310/0.65</f>
        <v>37.384615384615387</v>
      </c>
      <c r="CX312" s="61">
        <f t="shared" si="2157"/>
        <v>7.4745687748786205</v>
      </c>
      <c r="CY312" s="69">
        <f>CY306-CY310/0.65</f>
        <v>24</v>
      </c>
      <c r="CZ312" s="61">
        <f t="shared" si="2158"/>
        <v>-41.88861985472149</v>
      </c>
      <c r="DA312" s="69">
        <f>DA306-DA310/0.65</f>
        <v>20</v>
      </c>
      <c r="DB312" s="61">
        <f t="shared" si="2159"/>
        <v>-35.483870967741936</v>
      </c>
      <c r="DC312" s="69">
        <f>DC306-DC310/0.65</f>
        <v>22</v>
      </c>
      <c r="DD312" s="61">
        <f t="shared" si="2160"/>
        <v>-12</v>
      </c>
      <c r="DE312" s="69">
        <f>DE306-DE310/0.65</f>
        <v>34</v>
      </c>
      <c r="DF312" s="61">
        <f t="shared" si="2161"/>
        <v>-9.0534979423868336</v>
      </c>
      <c r="DG312" s="69">
        <f>DG306-DG310/0.65</f>
        <v>31.384615384615387</v>
      </c>
      <c r="DH312" s="61">
        <f t="shared" si="2162"/>
        <v>30.76923076923077</v>
      </c>
      <c r="DI312" s="69">
        <f>DI306-DI310/0.65</f>
        <v>4.6923076923076934</v>
      </c>
      <c r="DJ312" s="61" t="str">
        <f t="shared" si="2163"/>
        <v>NM</v>
      </c>
      <c r="DK312" s="69">
        <f>DK306-DK310/0.65</f>
        <v>30</v>
      </c>
      <c r="DL312" s="61">
        <f t="shared" si="2164"/>
        <v>36.363636363636353</v>
      </c>
      <c r="DM312" s="69">
        <f>DM306-DM310/0.65</f>
        <v>3</v>
      </c>
      <c r="DN312" s="61" t="str">
        <f t="shared" si="2165"/>
        <v>NM</v>
      </c>
      <c r="DO312" s="69">
        <f>DO306-DO310/0.65</f>
        <v>12</v>
      </c>
      <c r="DP312" s="61" t="str">
        <f t="shared" si="2165"/>
        <v>NM</v>
      </c>
      <c r="DQ312" s="69">
        <f>DQ306-DQ310/0.65</f>
        <v>-10</v>
      </c>
      <c r="DR312" s="61" t="str">
        <f t="shared" si="2165"/>
        <v>NM</v>
      </c>
      <c r="DS312" s="69">
        <f>DS306-DS310/0.65</f>
        <v>-10</v>
      </c>
      <c r="DT312" s="61" t="str">
        <f t="shared" si="2165"/>
        <v>NM</v>
      </c>
      <c r="DU312" s="69">
        <f>DU306-DU310/0.65</f>
        <v>30</v>
      </c>
      <c r="DV312" s="61" t="str">
        <f t="shared" si="2165"/>
        <v>NM</v>
      </c>
      <c r="DW312" s="69">
        <f>DW306-DW310/0.65</f>
        <v>26</v>
      </c>
      <c r="DX312" s="69">
        <f t="shared" ref="DX312:DY312" si="2223">DX306-DX310/0.65</f>
        <v>26</v>
      </c>
      <c r="DY312" s="69">
        <f t="shared" si="2223"/>
        <v>20</v>
      </c>
      <c r="DZ312" s="61" t="str">
        <f t="shared" si="2165"/>
        <v>NM</v>
      </c>
      <c r="EA312" s="69">
        <f t="shared" ref="EA312:EC312" si="2224">EA306-EA310/0.65</f>
        <v>8</v>
      </c>
      <c r="EB312" s="61" t="str">
        <f t="shared" si="2168"/>
        <v>NM</v>
      </c>
      <c r="EC312" s="69">
        <f t="shared" si="2224"/>
        <v>23</v>
      </c>
      <c r="ED312" s="61">
        <f t="shared" si="2169"/>
        <v>-23.333333333333329</v>
      </c>
      <c r="EE312" s="69">
        <f t="shared" ref="EE312:EG312" si="2225">EE306-EE310/0.65</f>
        <v>36.307692307692307</v>
      </c>
      <c r="EF312" s="61">
        <f t="shared" si="2171"/>
        <v>39.644970414201183</v>
      </c>
      <c r="EG312" s="69">
        <f t="shared" si="2225"/>
        <v>25</v>
      </c>
      <c r="EH312" s="61">
        <f t="shared" si="2172"/>
        <v>25</v>
      </c>
      <c r="EI312" s="69">
        <f t="shared" ref="EI312:EK312" si="2226">EI306-EI310/0.65</f>
        <v>11</v>
      </c>
      <c r="EJ312" s="61">
        <f t="shared" si="2174"/>
        <v>37.5</v>
      </c>
      <c r="EK312" s="69">
        <f t="shared" si="2226"/>
        <v>53</v>
      </c>
      <c r="EL312" s="61" t="str">
        <f t="shared" si="2175"/>
        <v>NM</v>
      </c>
      <c r="EM312" s="69">
        <f t="shared" ref="EM312" si="2227">EM306-EM310/0.65</f>
        <v>58.384615384615387</v>
      </c>
      <c r="EN312" s="61">
        <f t="shared" si="2177"/>
        <v>60.805084745762713</v>
      </c>
      <c r="EO312" s="69">
        <f t="shared" ref="EO312" si="2228">EO306-EO310/0.65</f>
        <v>31</v>
      </c>
      <c r="EP312" s="61">
        <f t="shared" si="2179"/>
        <v>24</v>
      </c>
      <c r="EQ312" s="69">
        <f t="shared" ref="EQ312:EW312" si="2229">EQ306-EQ310/0.65</f>
        <v>22.480199999999968</v>
      </c>
      <c r="ER312" s="61" t="str">
        <f t="shared" si="2181"/>
        <v>NM</v>
      </c>
      <c r="ES312" s="69">
        <f t="shared" si="2229"/>
        <v>37.058386625000026</v>
      </c>
      <c r="ET312" s="61">
        <f t="shared" si="2182"/>
        <v>-30.078515801886741</v>
      </c>
      <c r="EU312" s="69">
        <f t="shared" si="2229"/>
        <v>55.185560643124973</v>
      </c>
      <c r="EV312" s="61">
        <f t="shared" si="2183"/>
        <v>-5.4792768958333848</v>
      </c>
      <c r="EW312" s="69">
        <f t="shared" si="2229"/>
        <v>55.981815764496901</v>
      </c>
      <c r="EX312" s="61">
        <f t="shared" si="2184"/>
        <v>80.586502466119029</v>
      </c>
      <c r="EY312" s="69"/>
      <c r="EZ312" s="558"/>
      <c r="FA312" s="69"/>
      <c r="FB312" s="69"/>
      <c r="FC312" s="124"/>
      <c r="FD312" s="69"/>
      <c r="FE312" s="126"/>
      <c r="FF312" s="69"/>
      <c r="FG312" s="126"/>
      <c r="FH312" s="69"/>
      <c r="FI312" s="126"/>
      <c r="FJ312" s="69"/>
      <c r="FK312" s="126"/>
      <c r="FL312" s="69"/>
      <c r="FM312" s="126"/>
      <c r="FN312" s="69">
        <f>FN306-FN310/0.65</f>
        <v>109.62499999999977</v>
      </c>
      <c r="FO312" s="126"/>
      <c r="FP312" s="69">
        <f>FP306-FP310/0.65</f>
        <v>133.41800000000012</v>
      </c>
      <c r="FQ312" s="61">
        <f t="shared" si="2191"/>
        <v>21.70399087799353</v>
      </c>
      <c r="FR312" s="69">
        <f>FR306-FR310/0.65</f>
        <v>113.73846153846159</v>
      </c>
      <c r="FS312" s="61">
        <f t="shared" si="2192"/>
        <v>-14.750287413646213</v>
      </c>
      <c r="FT312" s="69">
        <f>FT306-FT310/0.65</f>
        <v>157.57692307692284</v>
      </c>
      <c r="FU312" s="61">
        <f t="shared" si="2193"/>
        <v>38.543216556201543</v>
      </c>
      <c r="FV312" s="69">
        <f>FV306-FV310/0.65</f>
        <v>165.0153846153847</v>
      </c>
      <c r="FW312" s="61">
        <f t="shared" si="2194"/>
        <v>4.720527215035597</v>
      </c>
      <c r="FX312" s="69">
        <f>FX306-FX310/0.65</f>
        <v>195.42538461538456</v>
      </c>
      <c r="FY312" s="61">
        <f t="shared" si="2195"/>
        <v>18.428584747342814</v>
      </c>
      <c r="FZ312" s="69">
        <f>FZ306-FZ310/0.65</f>
        <v>152.97692307692316</v>
      </c>
      <c r="GA312" s="61">
        <f t="shared" si="2196"/>
        <v>-21.721058204390353</v>
      </c>
      <c r="GB312" s="69">
        <f>GB306-GB310/0.65</f>
        <v>136.59230769230777</v>
      </c>
      <c r="GC312" s="61">
        <f t="shared" si="2197"/>
        <v>-10.710514406396133</v>
      </c>
      <c r="GD312" s="69">
        <f>GD306-GD310/0.65</f>
        <v>106.38461538461539</v>
      </c>
      <c r="GE312" s="61">
        <f t="shared" si="2198"/>
        <v>-22.115222165906445</v>
      </c>
      <c r="GF312" s="69">
        <f>GF306-GF310/0.65</f>
        <v>92.07692307692308</v>
      </c>
      <c r="GG312" s="61">
        <f t="shared" si="2198"/>
        <v>-13.44902386117136</v>
      </c>
      <c r="GH312" s="69">
        <f>GH306-GH310/0.65</f>
        <v>35</v>
      </c>
      <c r="GI312" s="61" t="str">
        <f t="shared" si="2198"/>
        <v>NM</v>
      </c>
      <c r="GJ312" s="69">
        <f>GJ306-GJ310/0.65</f>
        <v>66</v>
      </c>
      <c r="GK312" s="61">
        <f t="shared" si="2198"/>
        <v>88.571428571428569</v>
      </c>
      <c r="GL312" s="69">
        <f>GL306-GL310/0.65</f>
        <v>92.307692307692307</v>
      </c>
      <c r="GM312" s="61">
        <f t="shared" si="2198"/>
        <v>39.860139860139853</v>
      </c>
      <c r="GN312" s="69">
        <f>GN306-GN310/0.65</f>
        <v>153.38461538461539</v>
      </c>
      <c r="GO312" s="61">
        <f t="shared" si="2198"/>
        <v>66.166666666666657</v>
      </c>
      <c r="GP312" s="69">
        <f>GP306-GP310/0.65</f>
        <v>170.70596303262209</v>
      </c>
      <c r="GQ312" s="61">
        <f t="shared" si="2198"/>
        <v>11.292754233906077</v>
      </c>
      <c r="GR312" s="69">
        <f>GR306-GR310/0.65</f>
        <v>230.35807974329009</v>
      </c>
      <c r="GS312" s="61">
        <f t="shared" si="2198"/>
        <v>34.94436611992775</v>
      </c>
      <c r="GT312" s="69">
        <f>GT306-GT310/0.65</f>
        <v>265.39357741403137</v>
      </c>
      <c r="GU312" s="61">
        <f t="shared" si="2198"/>
        <v>15.209146434014675</v>
      </c>
      <c r="GV312" s="69">
        <f>GV306-GV310/0.65</f>
        <v>267.01113617796636</v>
      </c>
      <c r="GW312" s="61">
        <f t="shared" si="2198"/>
        <v>0.60949431395300735</v>
      </c>
      <c r="GX312" s="69">
        <f>GX306-GX310/0.65</f>
        <v>268.64259455325828</v>
      </c>
      <c r="GY312" s="61">
        <f t="shared" si="2199"/>
        <v>0.61100761512977719</v>
      </c>
      <c r="GZ312" s="61">
        <f t="shared" si="2131"/>
        <v>11.86097858465156</v>
      </c>
      <c r="HA312" s="61"/>
      <c r="HB312" s="452"/>
      <c r="HC312"/>
      <c r="HD312"/>
      <c r="HE312"/>
      <c r="HF312"/>
      <c r="HG312"/>
      <c r="HH312"/>
    </row>
    <row r="313" spans="1:216" s="5" customFormat="1" ht="12.75" customHeight="1" x14ac:dyDescent="0.2">
      <c r="B313" s="136"/>
      <c r="C313" s="196"/>
      <c r="D313" s="205"/>
      <c r="E313" s="196"/>
      <c r="F313" s="199"/>
      <c r="G313" s="196"/>
      <c r="H313" s="199"/>
      <c r="I313" s="196"/>
      <c r="J313" s="193"/>
      <c r="K313" s="196"/>
      <c r="L313" s="193"/>
      <c r="M313" s="196"/>
      <c r="N313" s="193"/>
      <c r="O313" s="196"/>
      <c r="P313" s="193"/>
      <c r="Q313" s="196"/>
      <c r="R313" s="193"/>
      <c r="S313" s="196"/>
      <c r="T313" s="193"/>
      <c r="U313" s="196"/>
      <c r="V313" s="193"/>
      <c r="W313" s="196"/>
      <c r="X313" s="193"/>
      <c r="Y313" s="196"/>
      <c r="Z313" s="193"/>
      <c r="AA313" s="196"/>
      <c r="AB313" s="193"/>
      <c r="AC313" s="196"/>
      <c r="AD313" s="193"/>
      <c r="AE313" s="196"/>
      <c r="AF313" s="193"/>
      <c r="AG313" s="196"/>
      <c r="AH313" s="193"/>
      <c r="AI313" s="196"/>
      <c r="AJ313" s="193"/>
      <c r="AK313" s="196"/>
      <c r="AL313" s="193"/>
      <c r="AM313" s="196"/>
      <c r="AN313" s="193"/>
      <c r="AO313" s="196"/>
      <c r="AP313" s="193"/>
      <c r="AQ313" s="196"/>
      <c r="AR313" s="209"/>
      <c r="AS313" s="196"/>
      <c r="AT313" s="209"/>
      <c r="AU313" s="196"/>
      <c r="AV313" s="13"/>
      <c r="AW313" s="196"/>
      <c r="AX313" s="187"/>
      <c r="AY313" s="196"/>
      <c r="AZ313" s="187"/>
      <c r="BA313" s="196"/>
      <c r="BB313" s="187"/>
      <c r="BC313" s="196"/>
      <c r="BD313" s="187"/>
      <c r="BE313" s="196"/>
      <c r="BF313" s="187"/>
      <c r="BG313" s="196"/>
      <c r="BH313" s="187"/>
      <c r="BI313" s="196"/>
      <c r="BJ313" s="187"/>
      <c r="BK313" s="196"/>
      <c r="BL313" s="187"/>
      <c r="BM313" s="196"/>
      <c r="BN313" s="187"/>
      <c r="BO313" s="196"/>
      <c r="BP313" s="187"/>
      <c r="BQ313" s="196"/>
      <c r="BR313" s="187"/>
      <c r="BS313" s="196"/>
      <c r="BT313" s="187"/>
      <c r="BU313" s="196"/>
      <c r="BV313" s="187"/>
      <c r="BW313" s="218"/>
      <c r="BX313" s="187"/>
      <c r="BY313" s="218"/>
      <c r="BZ313" s="187"/>
      <c r="CA313" s="218"/>
      <c r="CB313" s="187"/>
      <c r="CC313" s="218"/>
      <c r="CD313" s="187"/>
      <c r="CE313" s="218"/>
      <c r="CF313" s="187"/>
      <c r="CG313" s="218"/>
      <c r="CH313" s="187"/>
      <c r="CI313" s="218"/>
      <c r="CJ313" s="187"/>
      <c r="CK313" s="218"/>
      <c r="CL313" s="187"/>
      <c r="CM313" s="218"/>
      <c r="CN313" s="187"/>
      <c r="CO313" s="218"/>
      <c r="CP313" s="187"/>
      <c r="CQ313" s="218"/>
      <c r="CR313" s="187"/>
      <c r="CS313" s="218"/>
      <c r="CT313" s="187"/>
      <c r="CU313" s="218"/>
      <c r="CV313" s="187"/>
      <c r="CW313" s="218"/>
      <c r="CX313" s="187"/>
      <c r="CY313" s="218"/>
      <c r="CZ313" s="187"/>
      <c r="DA313" s="218"/>
      <c r="DB313" s="187"/>
      <c r="DC313" s="218"/>
      <c r="DD313" s="187"/>
      <c r="DE313" s="218"/>
      <c r="DF313" s="187"/>
      <c r="DG313" s="218"/>
      <c r="DH313" s="187"/>
      <c r="DI313" s="218"/>
      <c r="DJ313" s="187"/>
      <c r="DK313" s="218"/>
      <c r="DL313" s="187"/>
      <c r="DM313" s="218"/>
      <c r="DN313" s="187"/>
      <c r="DO313" s="218"/>
      <c r="DP313" s="187"/>
      <c r="DQ313" s="218"/>
      <c r="DR313" s="187"/>
      <c r="DS313" s="218"/>
      <c r="DT313" s="187"/>
      <c r="DU313" s="218"/>
      <c r="DV313" s="187"/>
      <c r="DW313" s="218"/>
      <c r="DX313" s="218"/>
      <c r="DY313" s="218"/>
      <c r="DZ313" s="187"/>
      <c r="EA313" s="218"/>
      <c r="EB313" s="187"/>
      <c r="EC313" s="218"/>
      <c r="ED313" s="187"/>
      <c r="EE313" s="218"/>
      <c r="EF313" s="187"/>
      <c r="EG313" s="218"/>
      <c r="EH313" s="187"/>
      <c r="EI313" s="218"/>
      <c r="EJ313" s="187"/>
      <c r="EK313" s="218"/>
      <c r="EL313" s="187"/>
      <c r="EM313" s="218"/>
      <c r="EN313" s="187"/>
      <c r="EO313" s="218"/>
      <c r="EP313" s="187"/>
      <c r="EQ313" s="218"/>
      <c r="ER313" s="187"/>
      <c r="ES313" s="218"/>
      <c r="ET313" s="187"/>
      <c r="EU313" s="218"/>
      <c r="EV313" s="187"/>
      <c r="EW313" s="218"/>
      <c r="EX313" s="187"/>
      <c r="EY313" s="79"/>
      <c r="EZ313" s="558"/>
      <c r="FA313" s="79"/>
      <c r="FB313" s="196"/>
      <c r="FC313" s="199"/>
      <c r="FD313" s="196"/>
      <c r="FE313" s="205"/>
      <c r="FF313" s="196"/>
      <c r="FG313" s="205"/>
      <c r="FH313" s="196"/>
      <c r="FI313" s="205"/>
      <c r="FJ313" s="196"/>
      <c r="FK313" s="205"/>
      <c r="FL313" s="196"/>
      <c r="FM313" s="193"/>
      <c r="FN313" s="196"/>
      <c r="FO313" s="193"/>
      <c r="FP313" s="159"/>
      <c r="FQ313" s="187"/>
      <c r="FR313" s="159"/>
      <c r="FS313" s="61"/>
      <c r="FT313" s="159"/>
      <c r="FU313" s="61"/>
      <c r="FV313" s="159"/>
      <c r="FW313" s="61"/>
      <c r="FX313" s="159"/>
      <c r="FY313" s="61"/>
      <c r="FZ313" s="159"/>
      <c r="GA313" s="61"/>
      <c r="GB313" s="159"/>
      <c r="GC313" s="61"/>
      <c r="GD313" s="159"/>
      <c r="GE313" s="61"/>
      <c r="GF313" s="159"/>
      <c r="GG313" s="61"/>
      <c r="GH313" s="159"/>
      <c r="GI313" s="61"/>
      <c r="GJ313" s="159"/>
      <c r="GK313" s="61"/>
      <c r="GL313" s="159"/>
      <c r="GM313" s="61"/>
      <c r="GN313" s="159"/>
      <c r="GO313" s="61"/>
      <c r="GP313" s="159"/>
      <c r="GQ313" s="61"/>
      <c r="GR313" s="218"/>
      <c r="GS313" s="61"/>
      <c r="GT313" s="218"/>
      <c r="GU313" s="61"/>
      <c r="GV313" s="218"/>
      <c r="GW313" s="61"/>
      <c r="GX313" s="218"/>
      <c r="GY313" s="61"/>
      <c r="GZ313" s="61" t="str">
        <f t="shared" si="2131"/>
        <v/>
      </c>
      <c r="HA313" s="61"/>
      <c r="HB313" s="452"/>
      <c r="HC313"/>
      <c r="HD313"/>
      <c r="HE313"/>
      <c r="HF313"/>
      <c r="HG313"/>
      <c r="HH313"/>
    </row>
    <row r="314" spans="1:216" s="5" customFormat="1" ht="12.75" customHeight="1" x14ac:dyDescent="0.2">
      <c r="B314" s="63" t="s">
        <v>161</v>
      </c>
      <c r="C314" s="197"/>
      <c r="D314" s="198"/>
      <c r="E314" s="197"/>
      <c r="F314" s="197"/>
      <c r="G314" s="199"/>
      <c r="H314" s="197"/>
      <c r="I314" s="199"/>
      <c r="J314" s="197"/>
      <c r="K314" s="199"/>
      <c r="L314" s="193"/>
      <c r="M314" s="197"/>
      <c r="N314" s="193"/>
      <c r="O314" s="199"/>
      <c r="P314" s="193"/>
      <c r="Q314" s="199"/>
      <c r="R314" s="193"/>
      <c r="S314" s="199"/>
      <c r="T314" s="193"/>
      <c r="U314" s="199"/>
      <c r="V314" s="193"/>
      <c r="W314" s="199"/>
      <c r="X314" s="193"/>
      <c r="Y314" s="199"/>
      <c r="Z314" s="193"/>
      <c r="AA314" s="199"/>
      <c r="AB314" s="193"/>
      <c r="AC314" s="199"/>
      <c r="AD314" s="193"/>
      <c r="AE314" s="199"/>
      <c r="AF314" s="193"/>
      <c r="AG314" s="199"/>
      <c r="AH314" s="193"/>
      <c r="AI314" s="199"/>
      <c r="AJ314" s="193"/>
      <c r="AK314" s="199"/>
      <c r="AL314" s="193"/>
      <c r="AM314" s="199"/>
      <c r="AN314" s="193"/>
      <c r="AO314" s="199"/>
      <c r="AP314" s="193"/>
      <c r="AQ314" s="199"/>
      <c r="AR314" s="193"/>
      <c r="AS314" s="199"/>
      <c r="AT314" s="193"/>
      <c r="AU314" s="199"/>
      <c r="AV314" s="13"/>
      <c r="AW314" s="199"/>
      <c r="AX314" s="187"/>
      <c r="AY314" s="199"/>
      <c r="AZ314" s="187"/>
      <c r="BA314" s="199"/>
      <c r="BB314" s="187"/>
      <c r="BC314" s="199"/>
      <c r="BD314" s="187"/>
      <c r="BE314" s="199"/>
      <c r="BF314" s="187"/>
      <c r="BG314" s="199"/>
      <c r="BH314" s="187"/>
      <c r="BI314" s="199"/>
      <c r="BJ314" s="187"/>
      <c r="BK314" s="199"/>
      <c r="BL314" s="187"/>
      <c r="BM314" s="199"/>
      <c r="BN314" s="187"/>
      <c r="BO314" s="199"/>
      <c r="BP314" s="187"/>
      <c r="BQ314" s="199"/>
      <c r="BR314" s="187"/>
      <c r="BS314" s="199"/>
      <c r="BT314" s="187"/>
      <c r="BU314" s="199"/>
      <c r="BV314" s="187"/>
      <c r="BW314" s="64"/>
      <c r="BX314" s="187"/>
      <c r="BY314" s="64"/>
      <c r="BZ314" s="187"/>
      <c r="CA314" s="64"/>
      <c r="CB314" s="187"/>
      <c r="CC314" s="64"/>
      <c r="CD314" s="187"/>
      <c r="CE314" s="64"/>
      <c r="CF314" s="187"/>
      <c r="CG314" s="64"/>
      <c r="CH314" s="187"/>
      <c r="CI314" s="64"/>
      <c r="CJ314" s="187"/>
      <c r="CK314" s="64"/>
      <c r="CL314" s="187"/>
      <c r="CM314" s="64"/>
      <c r="CN314" s="187"/>
      <c r="CO314" s="64"/>
      <c r="CP314" s="187"/>
      <c r="CQ314" s="64"/>
      <c r="CR314" s="187"/>
      <c r="CS314" s="64"/>
      <c r="CT314" s="187"/>
      <c r="CU314" s="64"/>
      <c r="CV314" s="187"/>
      <c r="CW314" s="64"/>
      <c r="CX314" s="187"/>
      <c r="CY314" s="64"/>
      <c r="CZ314" s="187"/>
      <c r="DA314" s="64"/>
      <c r="DB314" s="187"/>
      <c r="DC314" s="64"/>
      <c r="DD314" s="187"/>
      <c r="DE314" s="64"/>
      <c r="DF314" s="187"/>
      <c r="DG314" s="64"/>
      <c r="DH314" s="187"/>
      <c r="DI314" s="64"/>
      <c r="DJ314" s="187"/>
      <c r="DK314" s="64"/>
      <c r="DL314" s="187"/>
      <c r="DM314" s="64"/>
      <c r="DN314" s="187"/>
      <c r="DO314" s="64"/>
      <c r="DP314" s="187"/>
      <c r="DQ314" s="64"/>
      <c r="DR314" s="187"/>
      <c r="DS314" s="64"/>
      <c r="DT314" s="187"/>
      <c r="DU314" s="64"/>
      <c r="DV314" s="187"/>
      <c r="DW314" s="64"/>
      <c r="DX314" s="64"/>
      <c r="DY314" s="64"/>
      <c r="DZ314" s="187"/>
      <c r="EA314" s="64"/>
      <c r="EB314" s="187"/>
      <c r="EC314" s="64"/>
      <c r="ED314" s="187"/>
      <c r="EE314" s="64"/>
      <c r="EF314" s="187"/>
      <c r="EG314" s="64"/>
      <c r="EH314" s="187"/>
      <c r="EI314" s="64"/>
      <c r="EJ314" s="187"/>
      <c r="EK314" s="64"/>
      <c r="EL314" s="187"/>
      <c r="EM314" s="64"/>
      <c r="EN314" s="187"/>
      <c r="EO314" s="64"/>
      <c r="EP314" s="187"/>
      <c r="EQ314" s="64"/>
      <c r="ER314" s="187"/>
      <c r="ES314" s="64"/>
      <c r="ET314" s="187"/>
      <c r="EU314" s="64"/>
      <c r="EV314" s="187"/>
      <c r="EW314" s="64"/>
      <c r="EX314" s="187"/>
      <c r="EY314" s="64"/>
      <c r="EZ314" s="558"/>
      <c r="FA314" s="64"/>
      <c r="FB314" s="197"/>
      <c r="FC314" s="197"/>
      <c r="FD314" s="197"/>
      <c r="FE314" s="198"/>
      <c r="FF314" s="197"/>
      <c r="FG314" s="198"/>
      <c r="FH314" s="197"/>
      <c r="FI314" s="198"/>
      <c r="FJ314" s="197"/>
      <c r="FK314" s="198"/>
      <c r="FL314" s="197"/>
      <c r="FM314" s="193"/>
      <c r="FN314" s="197"/>
      <c r="FO314" s="193"/>
      <c r="FP314" s="65"/>
      <c r="FQ314" s="187"/>
      <c r="FR314" s="65"/>
      <c r="FS314" s="61"/>
      <c r="FT314" s="65"/>
      <c r="FU314" s="61"/>
      <c r="FV314" s="65"/>
      <c r="FW314" s="61"/>
      <c r="FX314" s="65"/>
      <c r="FY314" s="61"/>
      <c r="FZ314" s="65"/>
      <c r="GA314" s="61"/>
      <c r="GB314" s="65"/>
      <c r="GC314" s="61"/>
      <c r="GD314" s="65"/>
      <c r="GE314" s="61"/>
      <c r="GF314" s="65"/>
      <c r="GG314" s="61"/>
      <c r="GH314" s="65"/>
      <c r="GI314" s="61"/>
      <c r="GJ314" s="65"/>
      <c r="GK314" s="61"/>
      <c r="GL314" s="448"/>
      <c r="GM314" s="61"/>
      <c r="GN314" s="448"/>
      <c r="GO314" s="61"/>
      <c r="GP314" s="448"/>
      <c r="GQ314" s="61"/>
      <c r="GR314" s="64"/>
      <c r="GS314" s="61"/>
      <c r="GT314" s="64"/>
      <c r="GU314" s="61"/>
      <c r="GV314" s="64"/>
      <c r="GW314" s="61"/>
      <c r="GX314" s="64"/>
      <c r="GY314" s="61"/>
      <c r="GZ314" s="61" t="str">
        <f t="shared" si="2131"/>
        <v/>
      </c>
      <c r="HA314" s="61"/>
      <c r="HB314" s="452"/>
      <c r="HC314"/>
      <c r="HD314"/>
      <c r="HE314"/>
      <c r="HF314"/>
      <c r="HG314"/>
      <c r="HH314"/>
    </row>
    <row r="315" spans="1:216" s="5" customFormat="1" ht="12.75" customHeight="1" x14ac:dyDescent="0.2">
      <c r="B315" s="2" t="s">
        <v>266</v>
      </c>
      <c r="C315" s="211">
        <f>C309/C288*100</f>
        <v>6.4445968911270839</v>
      </c>
      <c r="D315" s="193"/>
      <c r="E315" s="211">
        <f>E309/E288*100</f>
        <v>6.7743328308575697</v>
      </c>
      <c r="F315" s="193"/>
      <c r="G315" s="211">
        <f>G309/G288*100</f>
        <v>5.5825386923328182</v>
      </c>
      <c r="H315" s="193"/>
      <c r="I315" s="211">
        <f>I309/I288*100</f>
        <v>5.5788094030103279</v>
      </c>
      <c r="J315" s="193"/>
      <c r="K315" s="211">
        <f>K309/K288*100</f>
        <v>7.2719117502768365</v>
      </c>
      <c r="L315" s="193">
        <f>IF(ISERROR((K315/C315-1)*100),"NA",IF(((K315/C315-1)*100)&gt;100,"NM",IF(((K315/C315-1)*100)&lt;-50,"NM",(K315/C315-1)*100)))</f>
        <v>12.837340692150946</v>
      </c>
      <c r="M315" s="211">
        <f>M309/M288*100</f>
        <v>7.3051700472777261</v>
      </c>
      <c r="N315" s="193">
        <f>IF(ISERROR((M315/E315-1)*100),"NA",IF(((M315/E315-1)*100)&gt;100,"NM",IF(((M315/E315-1)*100)&lt;-50,"NM",(M315/E315-1)*100)))</f>
        <v>7.8360073187156543</v>
      </c>
      <c r="O315" s="211">
        <f>O309/O288*100</f>
        <v>7.6840130672247504</v>
      </c>
      <c r="P315" s="193">
        <f>IF(ISERROR((O315/G315-1)*100),"NA",IF(((O315/G315-1)*100)&gt;100,"NM",IF(((O315/G315-1)*100)&lt;-50,"NM",(O315/G315-1)*100)))</f>
        <v>37.643704606618186</v>
      </c>
      <c r="Q315" s="211">
        <f>Q309/Q288*100</f>
        <v>7.2907376131468711</v>
      </c>
      <c r="R315" s="193">
        <f>IF(ISERROR((Q315/I315-1)*100),"NA",IF(((Q315/I315-1)*100)&gt;100,"NM",IF(((Q315/I315-1)*100)&lt;-50,"NM",(Q315/I315-1)*100)))</f>
        <v>30.686264513944252</v>
      </c>
      <c r="S315" s="211">
        <f>S309/S288*100</f>
        <v>7.9058037107999901</v>
      </c>
      <c r="T315" s="193">
        <f>IF(ISERROR((S315/K315-1)*100),"NA",IF(((S315/K315-1)*100)&gt;100,"NM",IF(((S315/K315-1)*100)&lt;-50,"NM",(S315/K315-1)*100)))</f>
        <v>8.7169919313036424</v>
      </c>
      <c r="U315" s="211">
        <f>U309/U288*100</f>
        <v>7.0905683664630388</v>
      </c>
      <c r="V315" s="193">
        <f>IF(ISERROR((U315/M315-1)*100),"NA",IF(((U315/M315-1)*100)&gt;100,"NM",IF(((U315/M315-1)*100)&lt;-50,"NM",(U315/M315-1)*100)))</f>
        <v>-2.937668520045722</v>
      </c>
      <c r="W315" s="211">
        <f>W309/W288*100</f>
        <v>5.1218672236046814</v>
      </c>
      <c r="X315" s="193">
        <f>IF(ISERROR((W315/O315-1)*100),"NA",IF(((W315/O315-1)*100)&gt;100,"NM",IF(((W315/O315-1)*100)&lt;-50,"NM",(W315/O315-1)*100)))</f>
        <v>-33.343850683292032</v>
      </c>
      <c r="Y315" s="211">
        <f>Y309/Y288*100</f>
        <v>7.1948497661533741</v>
      </c>
      <c r="Z315" s="193">
        <f>IF(ISERROR((Y315/Q315-1)*100),"NA",IF(((Y315/Q315-1)*100)&gt;100,"NM",IF(((Y315/Q315-1)*100)&lt;-50,"NM",(Y315/Q315-1)*100)))</f>
        <v>-1.3152009039605117</v>
      </c>
      <c r="AA315" s="211">
        <f>AA309/AA288*100</f>
        <v>6.0286127664741098</v>
      </c>
      <c r="AB315" s="193">
        <f>IF(ISERROR((AA315/S315-1)*100),"NA",IF(((AA315/S315-1)*100)&gt;100,"NM",IF(((AA315/S315-1)*100)&lt;-50,"NM",(AA315/S315-1)*100)))</f>
        <v>-23.744466887806492</v>
      </c>
      <c r="AC315" s="211">
        <f>AC309/AC288*100</f>
        <v>6.0172443657499217</v>
      </c>
      <c r="AD315" s="193">
        <f>IF(ISERROR((AC315/U315-1)*100),"NA",IF(((AC315/U315-1)*100)&gt;100,"NM",IF(((AC315/U315-1)*100)&lt;-50,"NM",(AC315/U315-1)*100)))</f>
        <v>-15.13734788581581</v>
      </c>
      <c r="AE315" s="211">
        <f>AE309/AE288*100</f>
        <v>4.8634282610382522</v>
      </c>
      <c r="AF315" s="193">
        <f>IF(ISERROR((AE315/W315-1)*100),"NA",IF(((AE315/W315-1)*100)&gt;100,"NM",IF(((AE315/W315-1)*100)&lt;-50,"NM",(AE315/W315-1)*100)))</f>
        <v>-5.045795825697807</v>
      </c>
      <c r="AG315" s="211">
        <f>AG309/AG288*100</f>
        <v>7.7864657173477472</v>
      </c>
      <c r="AH315" s="193">
        <f>IF(ISERROR((AG315/Y315-1)*100),"NA",IF(((AG315/Y315-1)*100)&gt;100,"NM",IF(((AG315/Y315-1)*100)&lt;-50,"NM",(AG315/Y315-1)*100)))</f>
        <v>8.2227700427812032</v>
      </c>
      <c r="AI315" s="211">
        <f>AI309/AI288*100</f>
        <v>4.565492940904484</v>
      </c>
      <c r="AJ315" s="193">
        <f>IF(ISERROR((AI315/AA315-1)*100),"NA",IF(((AI315/AA315-1)*100)&gt;100,"NM",IF(((AI315/AA315-1)*100)&lt;-50,"NM",(AI315/AA315-1)*100)))</f>
        <v>-24.269593723223082</v>
      </c>
      <c r="AK315" s="211">
        <f>AK309/AK288*100</f>
        <v>5.9407586017265359</v>
      </c>
      <c r="AL315" s="193">
        <f>IF(ISERROR((AK315/AC315-1)*100),"NA",IF(((AK315/AC315-1)*100)&gt;100,"NM",IF(((AK315/AC315-1)*100)&lt;-50,"NM",(AK315/AC315-1)*100)))</f>
        <v>-1.2711094875711204</v>
      </c>
      <c r="AM315" s="211">
        <f>AM309/AM288*100</f>
        <v>6.3884314432437295</v>
      </c>
      <c r="AN315" s="193">
        <f>IF(ISERROR((AM315/AE315-1)*100),"NA",IF(((AM315/AE315-1)*100)&gt;100,"NM",IF(((AM315/AE315-1)*100)&lt;-50,"NM",(AM315/AE315-1)*100)))</f>
        <v>31.356547282141211</v>
      </c>
      <c r="AO315" s="211">
        <f>AO309/AO288*100</f>
        <v>6.3867176246903163</v>
      </c>
      <c r="AP315" s="193">
        <f>IF(ISERROR((AO315/AG315-1)*100),"NA",IF(((AO315/AG315-1)*100)&gt;100,"NM",IF(((AO315/AG315-1)*100)&lt;-50,"NM",(AO315/AG315-1)*100)))</f>
        <v>-17.976680864835526</v>
      </c>
      <c r="AQ315" s="211">
        <f>AQ309/AQ288*100</f>
        <v>10.775505775042999</v>
      </c>
      <c r="AR315" s="193" t="str">
        <f>IF(ISERROR((AQ315/AI315-1)*100),"NA",IF(((AQ315/AI315-1)*100)&gt;100,"NM",IF(((AQ315/AI315-1)*100)&lt;-50,"NM",(AQ315/AI315-1)*100)))</f>
        <v>NM</v>
      </c>
      <c r="AS315" s="211">
        <f>AS309/AS288*100</f>
        <v>6.3857292910430976</v>
      </c>
      <c r="AT315" s="193">
        <f>IF(ISERROR((AS315/AK315-1)*100),"NA",IF(((AS315/AK315-1)*100)&gt;100,"NM",IF(((AS315/AK315-1)*100)&lt;-50,"NM",(AS315/AK315-1)*100)))</f>
        <v>7.4901324754593102</v>
      </c>
      <c r="AU315" s="211">
        <f>AU309/AU288*100</f>
        <v>4.8109213963123505</v>
      </c>
      <c r="AV315" s="13">
        <f>IF(ISERROR((AU315/AM315-1)*100),"NA",IF(((AU315/AM315-1)*100)&gt;100,"NM",IF(((AU315/AM315-1)*100)&lt;-50,"NM",(AU315/AM315-1)*100)))</f>
        <v>-24.693229644026626</v>
      </c>
      <c r="AW315" s="211">
        <f>AW309/AW288*100</f>
        <v>5.2003819771687514</v>
      </c>
      <c r="AX315" s="187">
        <f>IF(ISERROR((AW315/AO315-1)*100),"NA",IF(((AW315/AO315-1)*100)&gt;100,"NM",IF(((AW315/AO315-1)*100)&lt;-50,"NM",(AW315/AO315-1)*100)))</f>
        <v>-18.575044604059642</v>
      </c>
      <c r="AY315" s="211"/>
      <c r="AZ315" s="187" t="str">
        <f>IF(ISERROR((AY315/AQ315-1)*100),"NA",IF(((AY315/AQ315-1)*100)&gt;100,"NM",IF(((AY315/AQ315-1)*100)&lt;-50,"NM",(AY315/AQ315-1)*100)))</f>
        <v>NM</v>
      </c>
      <c r="BA315" s="211">
        <f>BA309/BA288*100</f>
        <v>10.400225479143183</v>
      </c>
      <c r="BB315" s="187">
        <f>IF(ISERROR((BA315/AS315-1)*100),"NA",IF(((BA315/AS315-1)*100)&gt;100,"NM",IF(((BA315/AS315-1)*100)&lt;-50,"NM",(BA315/AS315-1)*100)))</f>
        <v>62.866682960253151</v>
      </c>
      <c r="BC315" s="211">
        <f>BC309/BC288*100</f>
        <v>8.6694762191451122</v>
      </c>
      <c r="BD315" s="187">
        <f>IF(ISERROR((BC315/AU315-1)*100),"NA",IF(((BC315/AU315-1)*100)&gt;100,"NM",IF(((BC315/AU315-1)*100)&lt;-50,"NM",(BC315/AU315-1)*100)))</f>
        <v>80.20407121576352</v>
      </c>
      <c r="BE315" s="211">
        <f>BE309/BE288*100</f>
        <v>9.6315636785610579</v>
      </c>
      <c r="BF315" s="187">
        <f>IF(ISERROR((BE315/AW315-1)*100),"NA",IF(((BE315/AW315-1)*100)&gt;100,"NM",IF(((BE315/AW315-1)*100)&lt;-50,"NM",(BE315/AW315-1)*100)))</f>
        <v>85.208773525608962</v>
      </c>
      <c r="BG315" s="88">
        <f>BG309/BG288*100</f>
        <v>6.3835692478490245</v>
      </c>
      <c r="BH315" s="187" t="str">
        <f>IF(ISERROR((BG315/AY315-1)*100),"NA",IF(((BG315/AY315-1)*100)&gt;100,"NM",IF(((BG315/AY315-1)*100)&lt;-50,"NM",(BG315/AY315-1)*100)))</f>
        <v>NA</v>
      </c>
      <c r="BI315" s="88">
        <f>BI309/BI288*100</f>
        <v>7.3913043478260931</v>
      </c>
      <c r="BJ315" s="187">
        <f>IF(ISERROR((BI315/BA315-1)*100),"NA",IF(((BI315/BA315-1)*100)&gt;100,"NM",IF(((BI315/BA315-1)*100)&lt;-50,"NM",(BI315/BA315-1)*100)))</f>
        <v>-28.931306704371352</v>
      </c>
      <c r="BK315" s="88">
        <f>BK309/BK288*100</f>
        <v>9.0340136054421833</v>
      </c>
      <c r="BL315" s="187">
        <f>IF(ISERROR((BK315/BC315-1)*100),"NA",IF(((BK315/BC315-1)*100)&gt;100,"NM",IF(((BK315/BC315-1)*100)&lt;-50,"NM",(BK315/BC315-1)*100)))</f>
        <v>4.2048374905516273</v>
      </c>
      <c r="BM315" s="88">
        <f>BM309/BM288*100</f>
        <v>7.4093536521282131</v>
      </c>
      <c r="BN315" s="187">
        <f>IF(ISERROR((BM315/BE315-1)*100),"NA",IF(((BM315/BE315-1)*100)&gt;100,"NM",IF(((BM315/BE315-1)*100)&lt;-50,"NM",(BM315/BE315-1)*100)))</f>
        <v>-23.072162533475971</v>
      </c>
      <c r="BO315" s="88">
        <f>BO309/BO288*100</f>
        <v>6.5364387678437161</v>
      </c>
      <c r="BP315" s="187">
        <f>IF(ISERROR((BO315/BG315-1)*100),"NA",IF(((BO315/BG315-1)*100)&gt;100,"NM",IF(((BO315/BG315-1)*100)&lt;-50,"NM",(BO315/BG315-1)*100)))</f>
        <v>2.3947342632211877</v>
      </c>
      <c r="BQ315" s="88">
        <f>BQ309/BQ288*100</f>
        <v>7.6017886561543877</v>
      </c>
      <c r="BR315" s="187">
        <f>IF(ISERROR((BQ315/BI315-1)*100),"NA",IF(((BQ315/BI315-1)*100)&gt;100,"NM",IF(((BQ315/BI315-1)*100)&lt;-50,"NM",(BQ315/BI315-1)*100)))</f>
        <v>2.8477288773828047</v>
      </c>
      <c r="BS315" s="88">
        <f>BS309/BS288*100</f>
        <v>6.8272095332671299</v>
      </c>
      <c r="BT315" s="187">
        <f>IF(ISERROR((BS315/BK315-1)*100),"NA",IF(((BS315/BK315-1)*100)&gt;100,"NM",IF(((BS315/BK315-1)*100)&lt;-50,"NM",(BS315/BK315-1)*100)))</f>
        <v>-24.42772579892565</v>
      </c>
      <c r="BU315" s="88">
        <f>BU309/BU288*100</f>
        <v>4.4606060606060556</v>
      </c>
      <c r="BV315" s="187">
        <f>IF(ISERROR((BU315/BM315-1)*100),"NA",IF(((BU315/BM315-1)*100)&gt;100,"NM",IF(((BU315/BM315-1)*100)&lt;-50,"NM",(BU315/BM315-1)*100)))</f>
        <v>-39.797635933806177</v>
      </c>
      <c r="BW315" s="81">
        <f>BW309/BW288*100</f>
        <v>6.0987185571903311</v>
      </c>
      <c r="BX315" s="187">
        <f>IF(ISERROR((BW315/BO315-1)*100),"NA",IF(((BW315/BO315-1)*100)&gt;100,"NM",IF(((BW315/BO315-1)*100)&lt;-50,"NM",(BW315/BO315-1)*100)))</f>
        <v>-6.6966160963178867</v>
      </c>
      <c r="BY315" s="81">
        <f>BY309/BY288*100</f>
        <v>7.5863626100700019</v>
      </c>
      <c r="BZ315" s="187">
        <f>IF(ISERROR((BY315/BQ315-1)*100),"NA",IF(((BY315/BQ315-1)*100)&gt;100,"NM",IF(((BY315/BQ315-1)*100)&lt;-50,"NM",(BY315/BQ315-1)*100)))</f>
        <v>-0.2029265319274165</v>
      </c>
      <c r="CA315" s="81">
        <f>CA309/CA288*100</f>
        <v>8.3234847205807796</v>
      </c>
      <c r="CB315" s="187">
        <f>IF(ISERROR((CA315/BS315-1)*100),"NA",IF(((CA315/BS315-1)*100)&gt;100,"NM",IF(((CA315/BS315-1)*100)&lt;-50,"NM",(CA315/BS315-1)*100)))</f>
        <v>21.916350743634116</v>
      </c>
      <c r="CC315" s="81">
        <f>CC309/CC288*100</f>
        <v>6.9418819188191705</v>
      </c>
      <c r="CD315" s="187">
        <f>IF(ISERROR((CC315/BU315-1)*100),"NA",IF(((CC315/BU315-1)*100)&gt;100,"NM",IF(((CC315/BU315-1)*100)&lt;-50,"NM",(CC315/BU315-1)*100)))</f>
        <v>55.626428886571254</v>
      </c>
      <c r="CE315" s="81">
        <f>CE309/CE288*100</f>
        <v>4.7843665768194148</v>
      </c>
      <c r="CF315" s="187">
        <f>IF(ISERROR((CE315/BW315-1)*100),"NA",IF(((CE315/BW315-1)*100)&gt;100,"NM",IF(((CE315/BW315-1)*100)&lt;-50,"NM",(CE315/BW315-1)*100)))</f>
        <v>-21.551281110050702</v>
      </c>
      <c r="CG315" s="81">
        <f>CG309/CG288*100</f>
        <v>4.8287598383322745</v>
      </c>
      <c r="CH315" s="187">
        <f>IF(ISERROR((CG315/BY315-1)*100),"NA",IF(((CG315/BY315-1)*100)&gt;100,"NM",IF(((CG315/BY315-1)*100)&lt;-50,"NM",(CG315/BY315-1)*100)))</f>
        <v>-36.34947225007852</v>
      </c>
      <c r="CI315" s="81">
        <f>CI309/CI288*100</f>
        <v>2.1040974529346723</v>
      </c>
      <c r="CJ315" s="187" t="str">
        <f>IF(ISERROR((CI315/CA315-1)*100),"NA",IF(((CI315/CA315-1)*100)&gt;100,"NM",IF(((CI315/CA315-1)*100)&lt;-50,"NM",(CI315/CA315-1)*100)))</f>
        <v>NM</v>
      </c>
      <c r="CK315" s="81">
        <f>CK309/CK288*100</f>
        <v>3.876803790652593</v>
      </c>
      <c r="CL315" s="187">
        <f>IF(ISERROR((CK315/CC315-1)*100),"NA",IF(((CK315/CC315-1)*100)&gt;100,"NM",IF(((CK315/CC315-1)*100)&lt;-50,"NM",(CK315/CC315-1)*100)))</f>
        <v>-44.153417819702042</v>
      </c>
      <c r="CM315" s="81">
        <f>CM309/CM288*100</f>
        <v>5.0428960033480008</v>
      </c>
      <c r="CN315" s="187">
        <f>IF(ISERROR((CM315/CE315-1)*100),"NA",IF(((CM315/CE315-1)*100)&gt;100,"NM",IF(((CM315/CE315-1)*100)&lt;-50,"NM",(CM315/CE315-1)*100)))</f>
        <v>5.4036291404002901</v>
      </c>
      <c r="CO315" s="81">
        <f>CO309/CO288*100</f>
        <v>5.1138633639632287</v>
      </c>
      <c r="CP315" s="187">
        <f>IF(ISERROR((CO315/CG315-1)*100),"NA",IF(((CO315/CG315-1)*100)&gt;100,"NM",IF(((CO315/CG315-1)*100)&lt;-50,"NM",(CO315/CG315-1)*100)))</f>
        <v>5.9042805021634948</v>
      </c>
      <c r="CQ315" s="81">
        <f>CQ309/CQ288*100</f>
        <v>5.59032123487692</v>
      </c>
      <c r="CR315" s="187" t="str">
        <f>IF(ISERROR((CQ315/CI315-1)*100),"NA",IF(((CQ315/CI315-1)*100)&gt;100,"NM",IF(((CQ315/CI315-1)*100)&lt;-50,"NM",(CQ315/CI315-1)*100)))</f>
        <v>NM</v>
      </c>
      <c r="CS315" s="81">
        <f>CS309/CS288*100</f>
        <v>4.1580041580041582</v>
      </c>
      <c r="CT315" s="187">
        <f>IF(ISERROR((CS315/CK315-1)*100),"NA",IF(((CS315/CK315-1)*100)&gt;100,"NM",IF(((CS315/CK315-1)*100)&lt;-50,"NM",(CS315/CK315-1)*100)))</f>
        <v>7.2534072534073291</v>
      </c>
      <c r="CU315" s="81">
        <f>CU309/CU288*100</f>
        <v>3.1746031746031744</v>
      </c>
      <c r="CV315" s="187">
        <f>IF(ISERROR((CU315/CM315-1)*100),"NA",IF(((CU315/CM315-1)*100)&gt;100,"NM",IF(((CU315/CM315-1)*100)&lt;-50,"NM",(CU315/CM315-1)*100)))</f>
        <v>-37.048014226437722</v>
      </c>
      <c r="CW315" s="81">
        <f>CW309/CW288*100</f>
        <v>5</v>
      </c>
      <c r="CX315" s="187">
        <f>IF(ISERROR((CW315/CO315-1)*100),"NA",IF(((CW315/CO315-1)*100)&gt;100,"NM",IF(((CW315/CO315-1)*100)&lt;-50,"NM",(CW315/CO315-1)*100)))</f>
        <v>-2.2265624999997069</v>
      </c>
      <c r="CY315" s="81">
        <f>CY309/CY288*100</f>
        <v>3.0947775628626695</v>
      </c>
      <c r="CZ315" s="187">
        <f>IF(ISERROR((CY315/CQ315-1)*100),"NA",IF(((CY315/CQ315-1)*100)&gt;100,"NM",IF(((CY315/CQ315-1)*100)&lt;-50,"NM",(CY315/CQ315-1)*100)))</f>
        <v>-44.640434192672899</v>
      </c>
      <c r="DA315" s="81">
        <f>DA309/DA288*100</f>
        <v>2.4482109227871938</v>
      </c>
      <c r="DB315" s="187">
        <f>IF(ISERROR((DA315/CS315-1)*100),"NA",IF(((DA315/CS315-1)*100)&gt;100,"NM",IF(((DA315/CS315-1)*100)&lt;-50,"NM",(DA315/CS315-1)*100)))</f>
        <v>-41.120527306967993</v>
      </c>
      <c r="DC315" s="81">
        <f>DC309/DC288*100</f>
        <v>2.5454545454545454</v>
      </c>
      <c r="DD315" s="187">
        <f>IF(ISERROR((DC315/CU315-1)*100),"NA",IF(((DC315/CU315-1)*100)&gt;100,"NM",IF(((DC315/CU315-1)*100)&lt;-50,"NM",(DC315/CU315-1)*100)))</f>
        <v>-19.818181818181813</v>
      </c>
      <c r="DE315" s="81">
        <f>DE309/DE288*100</f>
        <v>3.8260869565217388</v>
      </c>
      <c r="DF315" s="187">
        <f>IF(ISERROR((DE315/CW315-1)*100),"NA",IF(((DE315/CW315-1)*100)&gt;100,"NM",IF(((DE315/CW315-1)*100)&lt;-50,"NM",(DE315/CW315-1)*100)))</f>
        <v>-23.478260869565226</v>
      </c>
      <c r="DG315" s="81">
        <f>DG309/DG288*100</f>
        <v>4.0998217468805702</v>
      </c>
      <c r="DH315" s="187">
        <f>IF(ISERROR((DG315/CY315-1)*100),"NA",IF(((DG315/CY315-1)*100)&gt;100,"NM",IF(((DG315/CY315-1)*100)&lt;-50,"NM",(DG315/CY315-1)*100)))</f>
        <v>32.475490196078404</v>
      </c>
      <c r="DI315" s="81">
        <f>DI309/DI288*100</f>
        <v>1.9130434782608694</v>
      </c>
      <c r="DJ315" s="187">
        <f>IF(ISERROR((DI315/DA315-1)*100),"NA",IF(((DI315/DA315-1)*100)&gt;100,"NM",IF(((DI315/DA315-1)*100)&lt;-50,"NM",(DI315/DA315-1)*100)))</f>
        <v>-21.859531772575245</v>
      </c>
      <c r="DK315" s="81">
        <f>DK309/DK288*100</f>
        <v>3.278688524590164</v>
      </c>
      <c r="DL315" s="187">
        <f>IF(ISERROR((DK315/DC315-1)*100),"NA",IF(((DK315/DC315-1)*100)&gt;100,"NM",IF(((DK315/DC315-1)*100)&lt;-50,"NM",(DK315/DC315-1)*100)))</f>
        <v>28.805620608899307</v>
      </c>
      <c r="DM315" s="81">
        <f>DM309/DM288*100</f>
        <v>0.322061191626409</v>
      </c>
      <c r="DN315" s="130" t="str">
        <f t="shared" ref="DN315:DZ315" si="2230">IF(ISERROR((DM315/DE315-1)*100),"NA",IF(((DM315/DE315-1)*100)&gt;100,"NM",IF(((DM315/DE315-1)*100)&lt;-50,"NM",(DM315/DE315-1)*100)))</f>
        <v>NM</v>
      </c>
      <c r="DO315" s="81">
        <f>DO309/DO288*100</f>
        <v>1.3377926421404682</v>
      </c>
      <c r="DP315" s="130" t="str">
        <f t="shared" si="2230"/>
        <v>NM</v>
      </c>
      <c r="DQ315" s="81">
        <f>DQ309/DQ288*100</f>
        <v>-1.1363636363636365</v>
      </c>
      <c r="DR315" s="130" t="str">
        <f t="shared" si="2230"/>
        <v>NM</v>
      </c>
      <c r="DS315" s="81">
        <f>DS309/DS288*100</f>
        <v>-0.99173553719008267</v>
      </c>
      <c r="DT315" s="130" t="str">
        <f t="shared" si="2230"/>
        <v>NM</v>
      </c>
      <c r="DU315" s="816">
        <f>DU309/DU288*100</f>
        <v>3.0794165316045379</v>
      </c>
      <c r="DV315" s="805" t="str">
        <f t="shared" si="2230"/>
        <v>NM</v>
      </c>
      <c r="DW315" s="816">
        <f>DW309/DW288*100</f>
        <v>2.9824561403508771</v>
      </c>
      <c r="DX315" s="816">
        <f t="shared" ref="DX315:DY315" si="2231">DX309/DX288*100</f>
        <v>2.9824561403508771</v>
      </c>
      <c r="DY315" s="816">
        <f t="shared" si="2231"/>
        <v>2.3008849557522124</v>
      </c>
      <c r="DZ315" s="805" t="str">
        <f t="shared" si="2230"/>
        <v>NM</v>
      </c>
      <c r="EA315" s="816">
        <f t="shared" ref="EA315:EC315" si="2232">EA309/EA288*100</f>
        <v>0.93632958801498134</v>
      </c>
      <c r="EB315" s="130" t="str">
        <f t="shared" ref="EB315" si="2233">IF(ISERROR((EA315/DS315-1)*100),"NA",IF(((EA315/DS315-1)*100)&gt;100,"NM",IF(((EA315/DS315-1)*100)&lt;-50,"NM",(EA315/DS315-1)*100)))</f>
        <v>NM</v>
      </c>
      <c r="EC315" s="816">
        <f t="shared" si="2232"/>
        <v>2.8571428571428572</v>
      </c>
      <c r="ED315" s="130">
        <f t="shared" ref="ED315" si="2234">IF(ISERROR((EC315/DU315-1)*100),"NA",IF(((EC315/DU315-1)*100)&gt;100,"NM",IF(((EC315/DU315-1)*100)&lt;-50,"NM",(EC315/DU315-1)*100)))</f>
        <v>-7.2180451127819456</v>
      </c>
      <c r="EE315" s="816">
        <f t="shared" ref="EE315:EG315" si="2235">EE309/EE288*100</f>
        <v>5.2434456928838955</v>
      </c>
      <c r="EF315" s="805">
        <f t="shared" ref="EF315" si="2236">IF(ISERROR((EE315/DW315-1)*100),"NA",IF(((EE315/DW315-1)*100)&gt;100,"NM",IF(((EE315/DW315-1)*100)&lt;-50,"NM",(EE315/DW315-1)*100)))</f>
        <v>75.809649702577687</v>
      </c>
      <c r="EG315" s="816">
        <f t="shared" si="2235"/>
        <v>2.9795158286778398</v>
      </c>
      <c r="EH315" s="130">
        <f t="shared" ref="EH315" si="2237">IF(ISERROR((EG315/DY315-1)*100),"NA",IF(((EG315/DY315-1)*100)&gt;100,"NM",IF(((EG315/DY315-1)*100)&lt;-50,"NM",(EG315/DY315-1)*100)))</f>
        <v>29.494341784844579</v>
      </c>
      <c r="EI315" s="816">
        <f t="shared" ref="EI315:EK315" si="2238">EI309/EI288*100</f>
        <v>1.2939001848428837</v>
      </c>
      <c r="EJ315" s="130">
        <f t="shared" ref="EJ315" si="2239">IF(ISERROR((EI315/EA315-1)*100),"NA",IF(((EI315/EA315-1)*100)&gt;100,"NM",IF(((EI315/EA315-1)*100)&lt;-50,"NM",(EI315/EA315-1)*100)))</f>
        <v>38.188539741219962</v>
      </c>
      <c r="EK315" s="816">
        <f t="shared" si="2238"/>
        <v>6.4695009242144179</v>
      </c>
      <c r="EL315" s="130" t="str">
        <f t="shared" ref="EL315" si="2240">IF(ISERROR((EK315/EC315-1)*100),"NA",IF(((EK315/EC315-1)*100)&gt;100,"NM",IF(((EK315/EC315-1)*100)&lt;-50,"NM",(EK315/EC315-1)*100)))</f>
        <v>NM</v>
      </c>
      <c r="EM315" s="816">
        <f t="shared" ref="EM315" si="2241">EM309/EM288*100</f>
        <v>7.2695035460992905</v>
      </c>
      <c r="EN315" s="130">
        <f t="shared" ref="EN315" si="2242">IF(ISERROR((EM315/EE315-1)*100),"NA",IF(((EM315/EE315-1)*100)&gt;100,"NM",IF(((EM315/EE315-1)*100)&lt;-50,"NM",(EM315/EE315-1)*100)))</f>
        <v>38.639817629179319</v>
      </c>
      <c r="EO315" s="816">
        <f t="shared" ref="EO315" si="2243">EO309/EO288*100</f>
        <v>3.6101083032490973</v>
      </c>
      <c r="EP315" s="130">
        <f t="shared" ref="EP315" si="2244">IF(ISERROR((EO315/EG315-1)*100),"NA",IF(((EO315/EG315-1)*100)&gt;100,"NM",IF(((EO315/EG315-1)*100)&lt;-50,"NM",(EO315/EG315-1)*100)))</f>
        <v>21.164259927797822</v>
      </c>
      <c r="EQ315" s="816">
        <f t="shared" ref="EQ315:EW315" si="2245">EQ309/EQ288*100</f>
        <v>3.1599999999999953</v>
      </c>
      <c r="ER315" s="130" t="str">
        <f t="shared" ref="ER315" si="2246">IF(ISERROR((EQ315/EI315-1)*100),"NA",IF(((EQ315/EI315-1)*100)&gt;100,"NM",IF(((EQ315/EI315-1)*100)&lt;-50,"NM",(EQ315/EI315-1)*100)))</f>
        <v>NM</v>
      </c>
      <c r="ES315" s="816">
        <f t="shared" si="2245"/>
        <v>5.1350000000000042</v>
      </c>
      <c r="ET315" s="130">
        <f t="shared" ref="ET315" si="2247">IF(ISERROR((ES315/EK315-1)*100),"NA",IF(((ES315/EK315-1)*100)&gt;100,"NM",IF(((ES315/EK315-1)*100)&lt;-50,"NM",(ES315/EK315-1)*100)))</f>
        <v>-20.627571428571368</v>
      </c>
      <c r="EU315" s="816">
        <f t="shared" si="2245"/>
        <v>4.344999999999998</v>
      </c>
      <c r="EV315" s="130">
        <f t="shared" ref="EV315" si="2248">IF(ISERROR((EU315/EM315-1)*100),"NA",IF(((EU315/EM315-1)*100)&gt;100,"NM",IF(((EU315/EM315-1)*100)&lt;-50,"NM",(EU315/EM315-1)*100)))</f>
        <v>-40.229756097561001</v>
      </c>
      <c r="EW315" s="816">
        <f t="shared" si="2245"/>
        <v>4.3450000000000033</v>
      </c>
      <c r="EX315" s="130">
        <f t="shared" ref="EX315" si="2249">IF(ISERROR((EW315/EO315-1)*100),"NA",IF(((EW315/EO315-1)*100)&gt;100,"NM",IF(((EW315/EO315-1)*100)&lt;-50,"NM",(EW315/EO315-1)*100)))</f>
        <v>20.356500000000089</v>
      </c>
      <c r="EY315" s="64"/>
      <c r="EZ315" s="558"/>
      <c r="FA315" s="64"/>
      <c r="FB315" s="211">
        <f>FB309/FB288*100</f>
        <v>7.649015829186685</v>
      </c>
      <c r="FC315" s="193"/>
      <c r="FD315" s="211">
        <f>FD309/FD288*100</f>
        <v>14.935314227213725</v>
      </c>
      <c r="FE315" s="193">
        <f>IF(ISERROR((FD315/FB315-1)*100),"NA",IF(((FD315/FB315-1)*100)&gt;100,"NM",IF(((FD315/FB315-1)*100)&lt;-50,"NM",(FD315/FB315-1)*100)))</f>
        <v>95.257985612010259</v>
      </c>
      <c r="FF315" s="211">
        <f>FF309/FF288*100</f>
        <v>6.0805990444347229</v>
      </c>
      <c r="FG315" s="193" t="str">
        <f>IF(ISERROR((FF315/FD315-1)*100),"NA",IF(((FF315/FD315-1)*100)&gt;100,"NM",IF(((FF315/FD315-1)*100)&lt;-50,"NM",(FF315/FD315-1)*100)))</f>
        <v>NM</v>
      </c>
      <c r="FH315" s="211">
        <f>FH309/FH288*100</f>
        <v>7.3921619784664605</v>
      </c>
      <c r="FI315" s="193">
        <f>IF(ISERROR((FH315/FF315-1)*100),"NA",IF(((FH315/FF315-1)*100)&gt;100,"NM",IF(((FH315/FF315-1)*100)&lt;-50,"NM",(FH315/FF315-1)*100)))</f>
        <v>21.569633591153291</v>
      </c>
      <c r="FJ315" s="211">
        <f>FJ309/FJ288*100</f>
        <v>6.8003734549161932</v>
      </c>
      <c r="FK315" s="193">
        <f>IF(ISERROR((FJ315/FH315-1)*100),"NA",IF(((FJ315/FH315-1)*100)&gt;100,"NM",IF(((FJ315/FH315-1)*100)&lt;-50,"NM",(FJ315/FH315-1)*100)))</f>
        <v>-8.0056217013934621</v>
      </c>
      <c r="FL315" s="211">
        <f>FL309/FL288*100</f>
        <v>6.178845325763846</v>
      </c>
      <c r="FM315" s="193">
        <f>IF(ISERROR((FL315/FJ315-1)*100),"NA",IF(((FL315/FJ315-1)*100)&gt;100,"NM",IF(((FL315/FJ315-1)*100)&lt;-50,"NM",(FL315/FJ315-1)*100)))</f>
        <v>-9.1396176000161589</v>
      </c>
      <c r="FN315" s="211">
        <f>FN309/FN288*100</f>
        <v>5.9468824090792527</v>
      </c>
      <c r="FO315" s="193">
        <f>IF(ISERROR((FN315/FL315-1)*100),"NA",IF(((FN315/FL315-1)*100)&gt;100,"NM",IF(((FN315/FL315-1)*100)&lt;-50,"NM",(FN315/FL315-1)*100)))</f>
        <v>-3.7541466804061341</v>
      </c>
      <c r="FP315" s="88">
        <f>FP309/FP288*100</f>
        <v>6.7814502835444239</v>
      </c>
      <c r="FQ315" s="187">
        <f>IF(ISERROR((FP315/FN315-1)*100),"NA",IF(((FP315/FN315-1)*100)&gt;100,"NM",IF(((FP315/FN315-1)*100)&lt;-50,"NM",(FP315/FN315-1)*100)))</f>
        <v>14.033703999107438</v>
      </c>
      <c r="FR315" s="88">
        <f>FR309/FR288*100</f>
        <v>12.445478336725795</v>
      </c>
      <c r="FS315" s="61">
        <f>IF(ISERROR((FR315/FP315-1)*100),"NA",IF(((FR315/FP315-1)*100)&gt;100,"NM",IF(((FR315/FP315-1)*100)&lt;-50,"NM",(FR315/FP315-1)*100)))</f>
        <v>83.522370825683993</v>
      </c>
      <c r="FT315" s="88">
        <f>FT309/FT288*100</f>
        <v>7.5563558756835913</v>
      </c>
      <c r="FU315" s="61">
        <f>IF(ISERROR((FT315/FR315-1)*100),"NA",IF(((FT315/FR315-1)*100)&gt;100,"NM",IF(((FT315/FR315-1)*100)&lt;-50,"NM",(FT315/FR315-1)*100)))</f>
        <v>-39.284327438140501</v>
      </c>
      <c r="FV315" s="88">
        <f>FV309/FV288*100</f>
        <v>6.3616956389143091</v>
      </c>
      <c r="FW315" s="61">
        <f>IF(ISERROR((FV315/FT315-1)*100),"NA",IF(((FV315/FT315-1)*100)&gt;100,"NM",IF(((FV315/FT315-1)*100)&lt;-50,"NM",(FV315/FT315-1)*100)))</f>
        <v>-15.810004933908782</v>
      </c>
      <c r="FX315" s="88">
        <f>FX309/FX288*100</f>
        <v>7.2355781864047479</v>
      </c>
      <c r="FY315" s="61">
        <f>IF(ISERROR((FX315/FV315-1)*100),"NA",IF(((FX315/FV315-1)*100)&gt;100,"NM",IF(((FX315/FV315-1)*100)&lt;-50,"NM",(FX315/FV315-1)*100)))</f>
        <v>13.736629305949876</v>
      </c>
      <c r="FZ315" s="88">
        <f>FZ309/FZ288*100</f>
        <v>3.9047567036207793</v>
      </c>
      <c r="GA315" s="61">
        <f>IF(ISERROR((FZ315/FX315-1)*100),"NA",IF(((FZ315/FX315-1)*100)&gt;100,"NM",IF(((FZ315/FX315-1)*100)&lt;-50,"NM",(FZ315/FX315-1)*100)))</f>
        <v>-46.033936707952364</v>
      </c>
      <c r="GB315" s="88">
        <f>GB309/GB288*100</f>
        <v>4.9770488421269832</v>
      </c>
      <c r="GC315" s="61">
        <f>IF(ISERROR((GB315/FZ315-1)*100),"NA",IF(((GB315/FZ315-1)*100)&gt;100,"NM",IF(((GB315/FZ315-1)*100)&lt;-50,"NM",(GB315/FZ315-1)*100)))</f>
        <v>27.461176710751147</v>
      </c>
      <c r="GD315" s="88">
        <f>GD309/GD288*100</f>
        <v>3.4416826003824093</v>
      </c>
      <c r="GE315" s="61">
        <f>IF(ISERROR((GD315/GB315-1)*100),"NA",IF(((GD315/GB315-1)*100)&gt;100,"NM",IF(((GD315/GB315-1)*100)&lt;-50,"NM",(GD315/GB315-1)*100)))</f>
        <v>-30.848928560814016</v>
      </c>
      <c r="GF315" s="88">
        <f>GF309/GF288*100</f>
        <v>3.0959752321981426</v>
      </c>
      <c r="GG315" s="61">
        <f>IF(ISERROR((GF315/GD315-1)*100),"NA",IF(((GF315/GD315-1)*100)&gt;100,"NM",IF(((GF315/GD315-1)*100)&lt;-50,"NM",(GF315/GD315-1)*100)))</f>
        <v>-10.04471964224286</v>
      </c>
      <c r="GH315" s="88">
        <f>GH309/GH288*100</f>
        <v>0.94069529652351747</v>
      </c>
      <c r="GI315" s="61" t="str">
        <f>IF(ISERROR((GH315/GF315-1)*100),"NA",IF(((GH315/GF315-1)*100)&gt;100,"NM",IF(((GH315/GF315-1)*100)&lt;-50,"NM",(GH315/GF315-1)*100)))</f>
        <v>NM</v>
      </c>
      <c r="GJ315" s="783">
        <f>GJ309/GJ288*100</f>
        <v>1.8243529910903691</v>
      </c>
      <c r="GK315" s="805">
        <f>IF(ISERROR((GJ315/GH315-1)*100),"NA",IF(((GJ315/GH315-1)*100)&gt;100,"NM",IF(((GJ315/GH315-1)*100)&lt;-50,"NM",(GJ315/GH315-1)*100)))</f>
        <v>93.936654922432709</v>
      </c>
      <c r="GL315" s="783">
        <f>GL309/GL288*100</f>
        <v>3.004694835680751</v>
      </c>
      <c r="GM315" s="805">
        <f>IF(ISERROR((GL315/GJ315-1)*100),"NA",IF(((GL315/GJ315-1)*100)&gt;100,"NM",IF(((GL315/GJ315-1)*100)&lt;-50,"NM",(GL315/GJ315-1)*100)))</f>
        <v>64.699202969756513</v>
      </c>
      <c r="GN315" s="783">
        <f>GN309/GN288*100</f>
        <v>4.6818181818181825</v>
      </c>
      <c r="GO315" s="805">
        <f>IF(ISERROR((GN315/GL315-1)*100),"NA",IF(((GN315/GL315-1)*100)&gt;100,"NM",IF(((GN315/GL315-1)*100)&lt;-50,"NM",(GN315/GL315-1)*100)))</f>
        <v>55.816761363636402</v>
      </c>
      <c r="GP315" s="783">
        <f>GP309/GP288*100</f>
        <v>4.2766367112684396</v>
      </c>
      <c r="GQ315" s="805">
        <f>IF(ISERROR((GP315/GN315-1)*100),"NA",IF(((GP315/GN315-1)*100)&gt;100,"NM",IF(((GP315/GN315-1)*100)&lt;-50,"NM",(GP315/GN315-1)*100)))</f>
        <v>-8.6543615068877084</v>
      </c>
      <c r="GR315" s="81">
        <f>GR309/GR288*100</f>
        <v>4.4634999999999989</v>
      </c>
      <c r="GS315" s="805">
        <f>IF(ISERROR((GR315/GP315-1)*100),"NA",IF(((GR315/GP315-1)*100)&gt;100,"NM",IF(((GR315/GP315-1)*100)&lt;-50,"NM",(GR315/GP315-1)*100)))</f>
        <v>4.3693982292018374</v>
      </c>
      <c r="GT315" s="81">
        <f>GT309/GT288*100</f>
        <v>5.1350000000000051</v>
      </c>
      <c r="GU315" s="61">
        <f>IF(ISERROR((GT315/GR315-1)*100),"NA",IF(((GT315/GR315-1)*100)&gt;100,"NM",IF(((GT315/GR315-1)*100)&lt;-50,"NM",(GT315/GR315-1)*100)))</f>
        <v>15.044247787610754</v>
      </c>
      <c r="GV315" s="81">
        <f>GV309/GV288*100</f>
        <v>5.135000000000006</v>
      </c>
      <c r="GW315" s="61">
        <f>IF(ISERROR((GV315/GT315-1)*100),"NA",IF(((GV315/GT315-1)*100)&gt;100,"NM",IF(((GV315/GT315-1)*100)&lt;-50,"NM",(GV315/GT315-1)*100)))</f>
        <v>2.2204460492503131E-14</v>
      </c>
      <c r="GX315" s="81">
        <f>GX309/GX288*100</f>
        <v>5.1350000000000069</v>
      </c>
      <c r="GY315" s="61">
        <f>IF(ISERROR((GX315/GV315-1)*100),"NA",IF(((GX315/GV315-1)*100)&gt;100,"NM",IF(((GX315/GV315-1)*100)&lt;-50,"NM",(GX315/GV315-1)*100)))</f>
        <v>2.2204460492503131E-14</v>
      </c>
      <c r="GZ315" s="61">
        <f t="shared" si="2131"/>
        <v>1.8650448670672004</v>
      </c>
      <c r="HA315" s="61"/>
      <c r="HB315" s="452"/>
      <c r="HC315"/>
      <c r="HD315"/>
      <c r="HE315"/>
      <c r="HF315"/>
      <c r="HG315"/>
      <c r="HH315"/>
    </row>
    <row r="316" spans="1:216" s="5" customFormat="1" ht="12.75" customHeight="1" x14ac:dyDescent="0.2">
      <c r="B316" s="58"/>
      <c r="C316" s="59"/>
      <c r="D316" s="60"/>
      <c r="E316" s="59"/>
      <c r="F316" s="59"/>
      <c r="G316" s="59"/>
      <c r="H316" s="59"/>
      <c r="I316" s="59"/>
      <c r="J316" s="59"/>
      <c r="K316" s="59"/>
      <c r="L316" s="61"/>
      <c r="M316" s="59"/>
      <c r="N316" s="61"/>
      <c r="O316" s="59"/>
      <c r="P316" s="61"/>
      <c r="Q316" s="59"/>
      <c r="R316" s="61"/>
      <c r="S316" s="59"/>
      <c r="T316" s="61"/>
      <c r="U316" s="59"/>
      <c r="V316" s="61"/>
      <c r="W316" s="59"/>
      <c r="X316" s="61"/>
      <c r="Y316" s="59"/>
      <c r="Z316" s="61"/>
      <c r="AA316" s="59"/>
      <c r="AB316" s="61"/>
      <c r="AC316" s="59"/>
      <c r="AD316" s="61"/>
      <c r="AE316" s="59"/>
      <c r="AF316" s="61"/>
      <c r="AG316" s="59"/>
      <c r="AH316" s="61"/>
      <c r="AI316" s="59"/>
      <c r="AJ316" s="61"/>
      <c r="AK316" s="59"/>
      <c r="AL316" s="61"/>
      <c r="AM316" s="59"/>
      <c r="AN316" s="61"/>
      <c r="AO316" s="59"/>
      <c r="AP316" s="61"/>
      <c r="AQ316" s="59"/>
      <c r="AR316" s="61"/>
      <c r="AS316" s="59"/>
      <c r="AT316" s="61"/>
      <c r="AU316" s="59"/>
      <c r="AV316" s="13"/>
      <c r="AW316" s="59"/>
      <c r="AX316" s="13"/>
      <c r="AY316" s="59"/>
      <c r="AZ316" s="13"/>
      <c r="BA316" s="59"/>
      <c r="BB316" s="13"/>
      <c r="BC316" s="59"/>
      <c r="BD316" s="13"/>
      <c r="BE316" s="59"/>
      <c r="BF316" s="13"/>
      <c r="BG316" s="59"/>
      <c r="BH316" s="13"/>
      <c r="BI316" s="59"/>
      <c r="BJ316" s="13"/>
      <c r="BK316" s="59"/>
      <c r="BL316" s="13"/>
      <c r="BM316" s="59"/>
      <c r="BN316" s="13"/>
      <c r="BO316" s="59"/>
      <c r="BP316" s="13"/>
      <c r="BQ316" s="59"/>
      <c r="BR316" s="13"/>
      <c r="BS316" s="59"/>
      <c r="BT316" s="13"/>
      <c r="BU316" s="59"/>
      <c r="BV316" s="13"/>
      <c r="BW316" s="59"/>
      <c r="BX316" s="13"/>
      <c r="BY316" s="59"/>
      <c r="BZ316" s="13"/>
      <c r="CA316" s="59"/>
      <c r="CB316" s="13"/>
      <c r="CC316" s="59"/>
      <c r="CD316" s="13"/>
      <c r="CE316" s="59"/>
      <c r="CF316" s="13"/>
      <c r="CG316" s="59"/>
      <c r="CH316" s="13"/>
      <c r="CI316" s="59"/>
      <c r="CJ316" s="13"/>
      <c r="CK316" s="59"/>
      <c r="CL316" s="13"/>
      <c r="CM316" s="59"/>
      <c r="CN316" s="13"/>
      <c r="CO316" s="59"/>
      <c r="CP316" s="13"/>
      <c r="CQ316" s="59"/>
      <c r="CR316" s="13"/>
      <c r="CS316" s="59"/>
      <c r="CT316" s="13"/>
      <c r="CU316" s="59"/>
      <c r="CV316" s="13"/>
      <c r="CW316" s="59"/>
      <c r="CX316" s="13"/>
      <c r="CY316" s="59"/>
      <c r="CZ316" s="13"/>
      <c r="DA316" s="59"/>
      <c r="DB316" s="13"/>
      <c r="DC316" s="59"/>
      <c r="DD316" s="13"/>
      <c r="DE316" s="59"/>
      <c r="DF316" s="13"/>
      <c r="DG316" s="59"/>
      <c r="DH316" s="13"/>
      <c r="DI316" s="59"/>
      <c r="DJ316" s="13"/>
      <c r="DK316" s="59"/>
      <c r="DL316" s="13"/>
      <c r="DM316" s="59"/>
      <c r="DN316" s="13"/>
      <c r="DO316" s="59"/>
      <c r="DP316" s="13"/>
      <c r="DQ316" s="59"/>
      <c r="DR316" s="13"/>
      <c r="DS316" s="59"/>
      <c r="DT316" s="13"/>
      <c r="DU316" s="59"/>
      <c r="DV316" s="13"/>
      <c r="DW316" s="59"/>
      <c r="DX316" s="59"/>
      <c r="DY316" s="59"/>
      <c r="DZ316" s="13"/>
      <c r="EA316" s="59"/>
      <c r="EB316" s="13"/>
      <c r="EC316" s="59"/>
      <c r="ED316" s="13"/>
      <c r="EE316" s="59"/>
      <c r="EF316" s="13"/>
      <c r="EG316" s="59"/>
      <c r="EH316" s="13"/>
      <c r="EI316" s="59"/>
      <c r="EJ316" s="13"/>
      <c r="EK316" s="59"/>
      <c r="EL316" s="13"/>
      <c r="EM316" s="59"/>
      <c r="EN316" s="13"/>
      <c r="EO316" s="59"/>
      <c r="EP316" s="13"/>
      <c r="EQ316" s="59"/>
      <c r="ER316" s="13"/>
      <c r="ES316" s="59"/>
      <c r="ET316" s="13"/>
      <c r="EU316" s="59"/>
      <c r="EV316" s="13"/>
      <c r="EW316" s="59"/>
      <c r="EX316" s="13"/>
      <c r="EY316" s="59"/>
      <c r="EZ316" s="558"/>
      <c r="FA316" s="59"/>
      <c r="FB316" s="59"/>
      <c r="FC316" s="59"/>
      <c r="FD316" s="59"/>
      <c r="FE316" s="60"/>
      <c r="FF316" s="59"/>
      <c r="FG316" s="60"/>
      <c r="FH316" s="59"/>
      <c r="FI316" s="60"/>
      <c r="FJ316" s="59"/>
      <c r="FK316" s="60"/>
      <c r="FL316" s="59"/>
      <c r="FM316" s="61"/>
      <c r="FN316" s="59"/>
      <c r="FO316" s="61"/>
      <c r="FP316" s="62"/>
      <c r="FQ316" s="13"/>
      <c r="FR316" s="62"/>
      <c r="FS316" s="61"/>
      <c r="FT316" s="62"/>
      <c r="FU316" s="61"/>
      <c r="FV316" s="62"/>
      <c r="FW316" s="61"/>
      <c r="FX316" s="62"/>
      <c r="FY316" s="61"/>
      <c r="FZ316" s="62"/>
      <c r="GA316" s="61"/>
      <c r="GB316" s="62"/>
      <c r="GC316" s="61"/>
      <c r="GD316" s="62"/>
      <c r="GE316" s="61"/>
      <c r="GF316" s="62"/>
      <c r="GG316" s="61"/>
      <c r="GH316" s="62"/>
      <c r="GI316" s="61"/>
      <c r="GJ316" s="62"/>
      <c r="GK316" s="61"/>
      <c r="GL316" s="62"/>
      <c r="GM316" s="61"/>
      <c r="GN316" s="62"/>
      <c r="GO316" s="61"/>
      <c r="GP316" s="62"/>
      <c r="GQ316" s="61"/>
      <c r="GR316" s="59"/>
      <c r="GS316" s="61"/>
      <c r="GT316" s="59"/>
      <c r="GU316" s="61"/>
      <c r="GV316" s="59"/>
      <c r="GW316" s="61"/>
      <c r="GX316" s="59"/>
      <c r="GY316" s="61"/>
      <c r="GZ316" s="61" t="str">
        <f t="shared" si="2131"/>
        <v/>
      </c>
      <c r="HA316" s="61"/>
      <c r="HB316" s="452"/>
      <c r="HC316"/>
      <c r="HD316"/>
      <c r="HE316"/>
      <c r="HF316"/>
      <c r="HG316"/>
      <c r="HH316"/>
    </row>
    <row r="317" spans="1:216" s="471" customFormat="1" ht="12.75" hidden="1" customHeight="1" outlineLevel="1" x14ac:dyDescent="0.2">
      <c r="B317" s="478" t="s">
        <v>51</v>
      </c>
      <c r="C317" s="479"/>
      <c r="D317" s="480"/>
      <c r="E317" s="479"/>
      <c r="F317" s="479"/>
      <c r="G317" s="479"/>
      <c r="H317" s="479"/>
      <c r="I317" s="479"/>
      <c r="J317" s="479"/>
      <c r="K317" s="479"/>
      <c r="L317" s="481"/>
      <c r="M317" s="479"/>
      <c r="N317" s="481"/>
      <c r="O317" s="479"/>
      <c r="P317" s="481"/>
      <c r="Q317" s="479"/>
      <c r="R317" s="481"/>
      <c r="S317" s="479"/>
      <c r="T317" s="481"/>
      <c r="U317" s="479"/>
      <c r="V317" s="481"/>
      <c r="W317" s="479"/>
      <c r="X317" s="481"/>
      <c r="Y317" s="479"/>
      <c r="Z317" s="481"/>
      <c r="AA317" s="479"/>
      <c r="AB317" s="481"/>
      <c r="AC317" s="479"/>
      <c r="AD317" s="481"/>
      <c r="AE317" s="479"/>
      <c r="AF317" s="481"/>
      <c r="AG317" s="479"/>
      <c r="AH317" s="481"/>
      <c r="AI317" s="479"/>
      <c r="AJ317" s="481"/>
      <c r="AK317" s="479"/>
      <c r="AL317" s="481"/>
      <c r="AM317" s="479"/>
      <c r="AN317" s="481"/>
      <c r="AO317" s="479"/>
      <c r="AP317" s="481"/>
      <c r="AQ317" s="479"/>
      <c r="AR317" s="481"/>
      <c r="AS317" s="479"/>
      <c r="AT317" s="481"/>
      <c r="AU317" s="479"/>
      <c r="AV317" s="481"/>
      <c r="AW317" s="479"/>
      <c r="AX317" s="481"/>
      <c r="AY317" s="479"/>
      <c r="AZ317" s="481"/>
      <c r="BA317" s="479"/>
      <c r="BB317" s="481"/>
      <c r="BC317" s="479"/>
      <c r="BD317" s="481"/>
      <c r="BE317" s="479"/>
      <c r="BF317" s="481"/>
      <c r="BG317" s="479"/>
      <c r="BH317" s="481"/>
      <c r="BI317" s="479"/>
      <c r="BJ317" s="481"/>
      <c r="BK317" s="479"/>
      <c r="BL317" s="481"/>
      <c r="BM317" s="479"/>
      <c r="BN317" s="481"/>
      <c r="BO317" s="479"/>
      <c r="BP317" s="481"/>
      <c r="BQ317" s="479"/>
      <c r="BR317" s="481"/>
      <c r="BS317" s="479"/>
      <c r="BT317" s="481"/>
      <c r="BU317" s="479"/>
      <c r="BV317" s="481"/>
      <c r="BW317" s="479"/>
      <c r="BX317" s="481"/>
      <c r="BY317" s="479"/>
      <c r="BZ317" s="481"/>
      <c r="CA317" s="479"/>
      <c r="CB317" s="481"/>
      <c r="CC317" s="479"/>
      <c r="CD317" s="481"/>
      <c r="CE317" s="479"/>
      <c r="CF317" s="481"/>
      <c r="CG317" s="479"/>
      <c r="CH317" s="481"/>
      <c r="CI317" s="479"/>
      <c r="CJ317" s="481"/>
      <c r="CK317" s="479"/>
      <c r="CL317" s="481"/>
      <c r="CM317" s="479"/>
      <c r="CN317" s="481"/>
      <c r="CO317" s="479"/>
      <c r="CP317" s="481"/>
      <c r="CQ317" s="479"/>
      <c r="CR317" s="481"/>
      <c r="CS317" s="479"/>
      <c r="CT317" s="481"/>
      <c r="CU317" s="479"/>
      <c r="CV317" s="481"/>
      <c r="CW317" s="479"/>
      <c r="CX317" s="481"/>
      <c r="CY317" s="479"/>
      <c r="CZ317" s="481"/>
      <c r="DA317" s="479"/>
      <c r="DB317" s="481"/>
      <c r="DC317" s="479"/>
      <c r="DD317" s="481"/>
      <c r="DE317" s="479"/>
      <c r="DF317" s="481"/>
      <c r="DG317" s="479"/>
      <c r="DH317" s="481"/>
      <c r="DI317" s="479"/>
      <c r="DJ317" s="481"/>
      <c r="DK317" s="479"/>
      <c r="DL317" s="481"/>
      <c r="DM317" s="479"/>
      <c r="DN317" s="481"/>
      <c r="DO317" s="479"/>
      <c r="DP317" s="481"/>
      <c r="DQ317" s="479"/>
      <c r="DR317" s="481"/>
      <c r="DS317" s="479"/>
      <c r="DT317" s="481"/>
      <c r="DU317" s="479"/>
      <c r="DV317" s="481"/>
      <c r="DW317" s="479"/>
      <c r="DX317" s="479"/>
      <c r="DY317" s="479"/>
      <c r="DZ317" s="481"/>
      <c r="EA317" s="479"/>
      <c r="EB317" s="481"/>
      <c r="EC317" s="479"/>
      <c r="ED317" s="481"/>
      <c r="EE317" s="479"/>
      <c r="EF317" s="481"/>
      <c r="EG317" s="479"/>
      <c r="EH317" s="481"/>
      <c r="EI317" s="479"/>
      <c r="EJ317" s="481"/>
      <c r="EK317" s="479"/>
      <c r="EL317" s="481"/>
      <c r="EM317" s="479"/>
      <c r="EN317" s="481"/>
      <c r="EO317" s="479"/>
      <c r="EP317" s="481"/>
      <c r="EQ317" s="479"/>
      <c r="ER317" s="481"/>
      <c r="ES317" s="479"/>
      <c r="ET317" s="481"/>
      <c r="EU317" s="479"/>
      <c r="EV317" s="481"/>
      <c r="EW317" s="479"/>
      <c r="EX317" s="481"/>
      <c r="EY317" s="482"/>
      <c r="EZ317" s="558"/>
      <c r="FA317" s="482"/>
      <c r="FB317" s="479"/>
      <c r="FC317" s="479"/>
      <c r="FD317" s="479"/>
      <c r="FE317" s="480"/>
      <c r="FF317" s="479"/>
      <c r="FG317" s="480"/>
      <c r="FH317" s="479"/>
      <c r="FI317" s="480"/>
      <c r="FJ317" s="479"/>
      <c r="FK317" s="480"/>
      <c r="FL317" s="479"/>
      <c r="FM317" s="481"/>
      <c r="FN317" s="479"/>
      <c r="FO317" s="481"/>
      <c r="FP317" s="479"/>
      <c r="FQ317" s="481"/>
      <c r="FR317" s="479"/>
      <c r="FS317" s="481"/>
      <c r="FT317" s="479"/>
      <c r="FU317" s="481"/>
      <c r="FV317" s="479"/>
      <c r="FW317" s="481"/>
      <c r="FX317" s="479"/>
      <c r="FY317" s="481"/>
      <c r="FZ317" s="479"/>
      <c r="GA317" s="481"/>
      <c r="GB317" s="479"/>
      <c r="GC317" s="481"/>
      <c r="GD317" s="479"/>
      <c r="GE317" s="481"/>
      <c r="GF317" s="479"/>
      <c r="GG317" s="481"/>
      <c r="GH317" s="479"/>
      <c r="GI317" s="481"/>
      <c r="GJ317" s="479"/>
      <c r="GK317" s="481"/>
      <c r="GL317" s="479"/>
      <c r="GM317" s="481"/>
      <c r="GN317" s="479"/>
      <c r="GO317" s="481"/>
      <c r="GP317" s="479"/>
      <c r="GQ317" s="481"/>
      <c r="GR317" s="479"/>
      <c r="GS317" s="481"/>
      <c r="GT317" s="479"/>
      <c r="GU317" s="481"/>
      <c r="GV317" s="479"/>
      <c r="GW317" s="481"/>
      <c r="GX317" s="479"/>
      <c r="GY317" s="481"/>
      <c r="GZ317" s="481" t="str">
        <f t="shared" si="2131"/>
        <v/>
      </c>
      <c r="HA317" s="481"/>
      <c r="HB317" s="484"/>
      <c r="HC317"/>
      <c r="HD317"/>
      <c r="HE317"/>
      <c r="HF317"/>
      <c r="HG317"/>
      <c r="HH317"/>
    </row>
    <row r="318" spans="1:216" s="182" customFormat="1" ht="12.75" hidden="1" customHeight="1" outlineLevel="1" x14ac:dyDescent="0.2">
      <c r="B318" s="177"/>
      <c r="C318" s="178"/>
      <c r="D318" s="179"/>
      <c r="E318" s="178"/>
      <c r="F318" s="178"/>
      <c r="G318" s="178"/>
      <c r="H318" s="178"/>
      <c r="I318" s="178"/>
      <c r="J318" s="178"/>
      <c r="K318" s="178"/>
      <c r="L318" s="130"/>
      <c r="M318" s="178"/>
      <c r="N318" s="130"/>
      <c r="O318" s="178"/>
      <c r="P318" s="130"/>
      <c r="Q318" s="178"/>
      <c r="R318" s="130"/>
      <c r="S318" s="178"/>
      <c r="T318" s="130"/>
      <c r="U318" s="178"/>
      <c r="V318" s="130"/>
      <c r="W318" s="178"/>
      <c r="X318" s="130"/>
      <c r="Y318" s="178"/>
      <c r="Z318" s="130"/>
      <c r="AA318" s="178"/>
      <c r="AB318" s="130"/>
      <c r="AC318" s="178"/>
      <c r="AD318" s="130"/>
      <c r="AE318" s="178"/>
      <c r="AF318" s="130"/>
      <c r="AG318" s="178"/>
      <c r="AH318" s="130"/>
      <c r="AI318" s="178"/>
      <c r="AJ318" s="130"/>
      <c r="AK318" s="178"/>
      <c r="AL318" s="130"/>
      <c r="AM318" s="178"/>
      <c r="AN318" s="130"/>
      <c r="AO318" s="178"/>
      <c r="AP318" s="130"/>
      <c r="AQ318" s="178"/>
      <c r="AR318" s="130"/>
      <c r="AS318" s="178"/>
      <c r="AT318" s="130"/>
      <c r="AU318" s="178"/>
      <c r="AV318" s="130"/>
      <c r="AW318" s="178"/>
      <c r="AX318" s="130"/>
      <c r="AY318" s="178"/>
      <c r="AZ318" s="130"/>
      <c r="BA318" s="178"/>
      <c r="BB318" s="130"/>
      <c r="BC318" s="178"/>
      <c r="BD318" s="130"/>
      <c r="BE318" s="178"/>
      <c r="BF318" s="130"/>
      <c r="BG318" s="59"/>
      <c r="BH318" s="130"/>
      <c r="BI318" s="59"/>
      <c r="BJ318" s="130"/>
      <c r="BK318" s="59"/>
      <c r="BL318" s="130"/>
      <c r="BM318" s="59"/>
      <c r="BN318" s="130"/>
      <c r="BO318" s="178"/>
      <c r="BP318" s="130"/>
      <c r="BQ318" s="178"/>
      <c r="BR318" s="130"/>
      <c r="BS318" s="178"/>
      <c r="BT318" s="130"/>
      <c r="BU318" s="178"/>
      <c r="BV318" s="130"/>
      <c r="BW318" s="178"/>
      <c r="BX318" s="130"/>
      <c r="BY318" s="178"/>
      <c r="BZ318" s="130"/>
      <c r="CA318" s="178"/>
      <c r="CB318" s="130"/>
      <c r="CC318" s="178"/>
      <c r="CD318" s="130"/>
      <c r="CE318" s="178"/>
      <c r="CF318" s="130"/>
      <c r="CG318" s="178"/>
      <c r="CH318" s="130"/>
      <c r="CI318" s="178"/>
      <c r="CJ318" s="130"/>
      <c r="CK318" s="178"/>
      <c r="CL318" s="130"/>
      <c r="CM318" s="178"/>
      <c r="CN318" s="130"/>
      <c r="CO318" s="178"/>
      <c r="CP318" s="130"/>
      <c r="CQ318" s="178"/>
      <c r="CR318" s="130"/>
      <c r="CS318" s="178"/>
      <c r="CT318" s="130"/>
      <c r="CU318" s="178"/>
      <c r="CV318" s="130"/>
      <c r="CW318" s="178"/>
      <c r="CX318" s="130"/>
      <c r="CY318" s="178"/>
      <c r="CZ318" s="130"/>
      <c r="DA318" s="178"/>
      <c r="DB318" s="130"/>
      <c r="DC318" s="178"/>
      <c r="DD318" s="130"/>
      <c r="DE318" s="178"/>
      <c r="DF318" s="130"/>
      <c r="DG318" s="178"/>
      <c r="DH318" s="130"/>
      <c r="DI318" s="178"/>
      <c r="DJ318" s="130"/>
      <c r="DK318" s="178"/>
      <c r="DL318" s="130"/>
      <c r="DM318" s="178"/>
      <c r="DN318" s="130"/>
      <c r="DO318" s="178"/>
      <c r="DP318" s="130"/>
      <c r="DQ318" s="178"/>
      <c r="DR318" s="130"/>
      <c r="DS318" s="178"/>
      <c r="DT318" s="130"/>
      <c r="DU318" s="178"/>
      <c r="DV318" s="130"/>
      <c r="DW318" s="178"/>
      <c r="DX318" s="178"/>
      <c r="DY318" s="178"/>
      <c r="DZ318" s="130"/>
      <c r="EA318" s="178"/>
      <c r="EB318" s="130"/>
      <c r="EC318" s="178"/>
      <c r="ED318" s="130"/>
      <c r="EE318" s="178"/>
      <c r="EF318" s="130"/>
      <c r="EG318" s="178"/>
      <c r="EH318" s="130"/>
      <c r="EI318" s="178"/>
      <c r="EJ318" s="130"/>
      <c r="EK318" s="178"/>
      <c r="EL318" s="130"/>
      <c r="EM318" s="178"/>
      <c r="EN318" s="130"/>
      <c r="EO318" s="178"/>
      <c r="EP318" s="130"/>
      <c r="EQ318" s="178"/>
      <c r="ER318" s="130"/>
      <c r="ES318" s="178"/>
      <c r="ET318" s="130"/>
      <c r="EU318" s="178"/>
      <c r="EV318" s="130"/>
      <c r="EW318" s="178"/>
      <c r="EX318" s="130"/>
      <c r="EY318" s="180"/>
      <c r="EZ318" s="558"/>
      <c r="FA318" s="180"/>
      <c r="FB318" s="178"/>
      <c r="FC318" s="178"/>
      <c r="FD318" s="178"/>
      <c r="FE318" s="179"/>
      <c r="FF318" s="178"/>
      <c r="FG318" s="179"/>
      <c r="FH318" s="178"/>
      <c r="FI318" s="179"/>
      <c r="FJ318" s="178"/>
      <c r="FK318" s="179"/>
      <c r="FL318" s="178"/>
      <c r="FM318" s="130"/>
      <c r="FN318" s="178"/>
      <c r="FO318" s="130"/>
      <c r="FP318" s="181"/>
      <c r="FQ318" s="130"/>
      <c r="FR318" s="181"/>
      <c r="FS318" s="61"/>
      <c r="FT318" s="181"/>
      <c r="FU318" s="61"/>
      <c r="FV318" s="181"/>
      <c r="FW318" s="61"/>
      <c r="FX318" s="181"/>
      <c r="FY318" s="61"/>
      <c r="FZ318" s="181"/>
      <c r="GA318" s="61"/>
      <c r="GB318" s="181"/>
      <c r="GC318" s="61"/>
      <c r="GD318" s="181"/>
      <c r="GE318" s="61"/>
      <c r="GF318" s="181"/>
      <c r="GG318" s="61"/>
      <c r="GH318" s="181"/>
      <c r="GI318" s="61"/>
      <c r="GJ318" s="181"/>
      <c r="GK318" s="61"/>
      <c r="GL318" s="181"/>
      <c r="GM318" s="61"/>
      <c r="GN318" s="181"/>
      <c r="GO318" s="61"/>
      <c r="GP318" s="181"/>
      <c r="GQ318" s="61"/>
      <c r="GR318" s="178"/>
      <c r="GS318" s="61"/>
      <c r="GT318" s="178"/>
      <c r="GU318" s="61"/>
      <c r="GV318" s="178"/>
      <c r="GW318" s="61"/>
      <c r="GX318" s="178"/>
      <c r="GY318" s="61"/>
      <c r="GZ318" s="61" t="str">
        <f t="shared" si="2131"/>
        <v/>
      </c>
      <c r="HA318" s="61"/>
      <c r="HB318" s="452"/>
      <c r="HC318"/>
      <c r="HD318"/>
      <c r="HE318"/>
      <c r="HF318"/>
      <c r="HG318"/>
      <c r="HH318"/>
    </row>
    <row r="319" spans="1:216" s="5" customFormat="1" ht="12.75" hidden="1" customHeight="1" outlineLevel="1" x14ac:dyDescent="0.2">
      <c r="B319" s="63" t="s">
        <v>188</v>
      </c>
      <c r="C319" s="66"/>
      <c r="D319" s="67"/>
      <c r="E319" s="66"/>
      <c r="F319" s="66"/>
      <c r="G319" s="64"/>
      <c r="H319" s="66"/>
      <c r="I319" s="64"/>
      <c r="J319" s="66"/>
      <c r="K319" s="64"/>
      <c r="L319" s="61"/>
      <c r="M319" s="66"/>
      <c r="N319" s="61"/>
      <c r="O319" s="64"/>
      <c r="P319" s="61"/>
      <c r="Q319" s="64"/>
      <c r="R319" s="61"/>
      <c r="S319" s="64"/>
      <c r="T319" s="61"/>
      <c r="U319" s="64"/>
      <c r="V319" s="61"/>
      <c r="W319" s="64"/>
      <c r="X319" s="61"/>
      <c r="Y319" s="64"/>
      <c r="Z319" s="61"/>
      <c r="AA319" s="64"/>
      <c r="AB319" s="61"/>
      <c r="AC319" s="64"/>
      <c r="AD319" s="61"/>
      <c r="AE319" s="64"/>
      <c r="AF319" s="61"/>
      <c r="AG319" s="64"/>
      <c r="AH319" s="61"/>
      <c r="AI319" s="64"/>
      <c r="AJ319" s="61"/>
      <c r="AK319" s="64"/>
      <c r="AL319" s="61"/>
      <c r="AM319" s="64"/>
      <c r="AN319" s="61"/>
      <c r="AO319" s="64"/>
      <c r="AP319" s="61"/>
      <c r="AQ319" s="64"/>
      <c r="AR319" s="61"/>
      <c r="AS319" s="64"/>
      <c r="AT319" s="61"/>
      <c r="AU319" s="64"/>
      <c r="AV319" s="61"/>
      <c r="AW319" s="64"/>
      <c r="AX319" s="61"/>
      <c r="AY319" s="64"/>
      <c r="AZ319" s="61"/>
      <c r="BA319" s="64"/>
      <c r="BB319" s="61"/>
      <c r="BC319" s="64"/>
      <c r="BD319" s="61"/>
      <c r="BE319" s="64"/>
      <c r="BF319" s="61"/>
      <c r="BG319" s="64"/>
      <c r="BH319" s="61"/>
      <c r="BI319" s="64"/>
      <c r="BJ319" s="61"/>
      <c r="BK319" s="64"/>
      <c r="BL319" s="61"/>
      <c r="BM319" s="64"/>
      <c r="BN319" s="61"/>
      <c r="BO319" s="64"/>
      <c r="BP319" s="61"/>
      <c r="BQ319" s="64"/>
      <c r="BR319" s="61"/>
      <c r="BS319" s="64"/>
      <c r="BT319" s="61"/>
      <c r="BU319" s="64"/>
      <c r="BV319" s="61"/>
      <c r="BW319" s="64"/>
      <c r="BX319" s="61"/>
      <c r="BY319" s="64"/>
      <c r="BZ319" s="61"/>
      <c r="CA319" s="64"/>
      <c r="CB319" s="61"/>
      <c r="CC319" s="64"/>
      <c r="CD319" s="61"/>
      <c r="CE319" s="64"/>
      <c r="CF319" s="61"/>
      <c r="CG319" s="64"/>
      <c r="CH319" s="61"/>
      <c r="CI319" s="64"/>
      <c r="CJ319" s="61"/>
      <c r="CK319" s="64"/>
      <c r="CL319" s="61"/>
      <c r="CM319" s="64"/>
      <c r="CN319" s="61"/>
      <c r="CO319" s="64"/>
      <c r="CP319" s="61"/>
      <c r="CQ319" s="64"/>
      <c r="CR319" s="61"/>
      <c r="CS319" s="64"/>
      <c r="CT319" s="61"/>
      <c r="CU319" s="64"/>
      <c r="CV319" s="61"/>
      <c r="CW319" s="64"/>
      <c r="CX319" s="61"/>
      <c r="CY319" s="64"/>
      <c r="CZ319" s="61"/>
      <c r="DA319" s="64"/>
      <c r="DB319" s="61"/>
      <c r="DC319" s="64"/>
      <c r="DD319" s="61"/>
      <c r="DE319" s="64"/>
      <c r="DF319" s="61"/>
      <c r="DG319" s="64"/>
      <c r="DH319" s="61"/>
      <c r="DI319" s="64"/>
      <c r="DJ319" s="61"/>
      <c r="DK319" s="64"/>
      <c r="DL319" s="61"/>
      <c r="DM319" s="64"/>
      <c r="DN319" s="61"/>
      <c r="DO319" s="64"/>
      <c r="DP319" s="61"/>
      <c r="DQ319" s="64"/>
      <c r="DR319" s="61"/>
      <c r="DS319" s="64"/>
      <c r="DT319" s="61"/>
      <c r="DU319" s="64"/>
      <c r="DV319" s="61"/>
      <c r="DW319" s="64"/>
      <c r="DX319" s="64"/>
      <c r="DY319" s="64"/>
      <c r="DZ319" s="61"/>
      <c r="EA319" s="64"/>
      <c r="EB319" s="61"/>
      <c r="EC319" s="64"/>
      <c r="ED319" s="61"/>
      <c r="EE319" s="64"/>
      <c r="EF319" s="61"/>
      <c r="EG319" s="64"/>
      <c r="EH319" s="61"/>
      <c r="EI319" s="64"/>
      <c r="EJ319" s="61"/>
      <c r="EK319" s="64"/>
      <c r="EL319" s="61"/>
      <c r="EM319" s="64"/>
      <c r="EN319" s="61"/>
      <c r="EO319" s="64"/>
      <c r="EP319" s="61"/>
      <c r="EQ319" s="64"/>
      <c r="ER319" s="61"/>
      <c r="ES319" s="64"/>
      <c r="ET319" s="61"/>
      <c r="EU319" s="64"/>
      <c r="EV319" s="61"/>
      <c r="EW319" s="64"/>
      <c r="EX319" s="61"/>
      <c r="EY319" s="64"/>
      <c r="EZ319" s="558"/>
      <c r="FA319" s="64"/>
      <c r="FB319" s="66"/>
      <c r="FC319" s="66"/>
      <c r="FD319" s="66"/>
      <c r="FE319" s="67"/>
      <c r="FF319" s="66"/>
      <c r="FG319" s="67"/>
      <c r="FH319" s="66"/>
      <c r="FI319" s="67"/>
      <c r="FJ319" s="66"/>
      <c r="FK319" s="67"/>
      <c r="FL319" s="66"/>
      <c r="FM319" s="61"/>
      <c r="FN319" s="66"/>
      <c r="FO319" s="61"/>
      <c r="FP319" s="65"/>
      <c r="FQ319" s="61"/>
      <c r="FR319" s="65"/>
      <c r="FS319" s="61"/>
      <c r="FT319" s="65"/>
      <c r="FU319" s="61"/>
      <c r="FV319" s="65"/>
      <c r="FW319" s="61"/>
      <c r="FX319" s="65"/>
      <c r="FY319" s="61"/>
      <c r="FZ319" s="65"/>
      <c r="GA319" s="61"/>
      <c r="GB319" s="65"/>
      <c r="GC319" s="61"/>
      <c r="GD319" s="65"/>
      <c r="GE319" s="61"/>
      <c r="GF319" s="65"/>
      <c r="GG319" s="61"/>
      <c r="GH319" s="65"/>
      <c r="GI319" s="61"/>
      <c r="GJ319" s="65"/>
      <c r="GK319" s="61"/>
      <c r="GL319" s="65"/>
      <c r="GM319" s="61"/>
      <c r="GN319" s="65"/>
      <c r="GO319" s="61"/>
      <c r="GP319" s="65"/>
      <c r="GQ319" s="61"/>
      <c r="GR319" s="64"/>
      <c r="GS319" s="61"/>
      <c r="GT319" s="64"/>
      <c r="GU319" s="61"/>
      <c r="GV319" s="64"/>
      <c r="GW319" s="61"/>
      <c r="GX319" s="64"/>
      <c r="GY319" s="61"/>
      <c r="GZ319" s="61" t="str">
        <f t="shared" si="2131"/>
        <v/>
      </c>
      <c r="HA319" s="61"/>
      <c r="HB319" s="452"/>
      <c r="HC319"/>
      <c r="HD319"/>
      <c r="HE319"/>
      <c r="HF319"/>
      <c r="HG319"/>
      <c r="HH319"/>
    </row>
    <row r="320" spans="1:216" s="7" customFormat="1" ht="12.75" hidden="1" customHeight="1" outlineLevel="1" x14ac:dyDescent="0.2">
      <c r="B320" s="2" t="s">
        <v>65</v>
      </c>
      <c r="C320" s="72"/>
      <c r="D320" s="70"/>
      <c r="E320" s="72"/>
      <c r="F320" s="71"/>
      <c r="G320" s="74"/>
      <c r="H320" s="71"/>
      <c r="I320" s="74"/>
      <c r="J320" s="61"/>
      <c r="K320" s="74"/>
      <c r="L320" s="61"/>
      <c r="M320" s="72"/>
      <c r="N320" s="61"/>
      <c r="O320" s="74"/>
      <c r="P320" s="61"/>
      <c r="Q320" s="74"/>
      <c r="R320" s="61"/>
      <c r="S320" s="74"/>
      <c r="T320" s="61"/>
      <c r="U320" s="74"/>
      <c r="V320" s="61"/>
      <c r="W320" s="74"/>
      <c r="X320" s="61"/>
      <c r="Y320" s="74"/>
      <c r="Z320" s="61"/>
      <c r="AA320" s="74"/>
      <c r="AB320" s="61"/>
      <c r="AC320" s="74"/>
      <c r="AD320" s="61"/>
      <c r="AE320" s="74"/>
      <c r="AF320" s="61"/>
      <c r="AG320" s="74"/>
      <c r="AH320" s="61"/>
      <c r="AI320" s="74"/>
      <c r="AJ320" s="61"/>
      <c r="AK320" s="74"/>
      <c r="AL320" s="61"/>
      <c r="AM320" s="74"/>
      <c r="AN320" s="61"/>
      <c r="AO320" s="74"/>
      <c r="AP320" s="61"/>
      <c r="AQ320" s="74">
        <v>0</v>
      </c>
      <c r="AR320" s="61" t="str">
        <f>IF(ISERROR((AQ320/AI320-1)*100),"NA",IF(((AQ320/AI320-1)*100)&gt;100,"NM",IF(((AQ320/AI320-1)*100)&lt;-50,"NM",(AQ320/AI320-1)*100)))</f>
        <v>NA</v>
      </c>
      <c r="AS320" s="74">
        <v>0.5</v>
      </c>
      <c r="AT320" s="61" t="str">
        <f>IF(ISERROR((AS320/AK320-1)*100),"NA",IF(((AS320/AK320-1)*100)&gt;100,"NM",IF(((AS320/AK320-1)*100)&lt;-50,"NM",(AS320/AK320-1)*100)))</f>
        <v>NA</v>
      </c>
      <c r="AU320" s="74">
        <v>7.4</v>
      </c>
      <c r="AV320" s="61" t="str">
        <f t="shared" ref="AV320:AX325" si="2250">IF(ISERROR((AU320/AM320-1)*100),"NA",IF(((AU320/AM320-1)*100)&gt;100,"NM",IF(((AU320/AM320-1)*100)&lt;-50,"NM",(AU320/AM320-1)*100)))</f>
        <v>NA</v>
      </c>
      <c r="AW320" s="74">
        <v>0.7</v>
      </c>
      <c r="AX320" s="61" t="str">
        <f t="shared" si="2250"/>
        <v>NA</v>
      </c>
      <c r="AY320" s="74">
        <v>1.1000000000000001</v>
      </c>
      <c r="AZ320" s="61" t="str">
        <f t="shared" ref="AZ320:AZ325" si="2251">IF(ISERROR((AY320/AQ320-1)*100),"NA",IF(((AY320/AQ320-1)*100)&gt;100,"NM",IF(((AY320/AQ320-1)*100)&lt;-50,"NM",(AY320/AQ320-1)*100)))</f>
        <v>NA</v>
      </c>
      <c r="BA320" s="74">
        <v>0</v>
      </c>
      <c r="BB320" s="61" t="str">
        <f t="shared" ref="BB320:BB325" si="2252">IF(ISERROR((BA320/AS320-1)*100),"NA",IF(((BA320/AS320-1)*100)&gt;100,"NM",IF(((BA320/AS320-1)*100)&lt;-50,"NM",(BA320/AS320-1)*100)))</f>
        <v>NM</v>
      </c>
      <c r="BC320" s="74">
        <v>0.3</v>
      </c>
      <c r="BD320" s="61" t="str">
        <f t="shared" ref="BD320:BD325" si="2253">IF(ISERROR((BC320/AU320-1)*100),"NA",IF(((BC320/AU320-1)*100)&gt;100,"NM",IF(((BC320/AU320-1)*100)&lt;-50,"NM",(BC320/AU320-1)*100)))</f>
        <v>NM</v>
      </c>
      <c r="BE320" s="74">
        <v>3.3</v>
      </c>
      <c r="BF320" s="61" t="str">
        <f t="shared" ref="BF320:BH325" si="2254">IF(ISERROR((BE320/AW320-1)*100),"NA",IF(((BE320/AW320-1)*100)&gt;100,"NM",IF(((BE320/AW320-1)*100)&lt;-50,"NM",(BE320/AW320-1)*100)))</f>
        <v>NM</v>
      </c>
      <c r="BG320" s="74">
        <v>0.1</v>
      </c>
      <c r="BH320" s="61" t="str">
        <f t="shared" si="2254"/>
        <v>NM</v>
      </c>
      <c r="BI320" s="74">
        <v>0.1</v>
      </c>
      <c r="BJ320" s="61"/>
      <c r="BK320" s="74"/>
      <c r="BL320" s="61"/>
      <c r="BM320" s="74"/>
      <c r="BN320" s="61"/>
      <c r="BO320" s="74"/>
      <c r="BP320" s="61"/>
      <c r="BQ320" s="74"/>
      <c r="BR320" s="61"/>
      <c r="BS320" s="74"/>
      <c r="BT320" s="61"/>
      <c r="BU320" s="74"/>
      <c r="BV320" s="61"/>
      <c r="BW320" s="74"/>
      <c r="BX320" s="61"/>
      <c r="BY320" s="74"/>
      <c r="BZ320" s="61"/>
      <c r="CA320" s="74"/>
      <c r="CB320" s="61"/>
      <c r="CC320" s="74"/>
      <c r="CD320" s="61"/>
      <c r="CE320" s="74"/>
      <c r="CF320" s="61"/>
      <c r="CG320" s="74"/>
      <c r="CH320" s="61"/>
      <c r="CI320" s="74"/>
      <c r="CJ320" s="61"/>
      <c r="CK320" s="74"/>
      <c r="CL320" s="61"/>
      <c r="CM320" s="74"/>
      <c r="CN320" s="61"/>
      <c r="CO320" s="74"/>
      <c r="CP320" s="61"/>
      <c r="CQ320" s="74"/>
      <c r="CR320" s="61"/>
      <c r="CS320" s="74"/>
      <c r="CT320" s="61"/>
      <c r="CU320" s="74"/>
      <c r="CV320" s="61"/>
      <c r="CW320" s="74"/>
      <c r="CX320" s="61"/>
      <c r="CY320" s="74"/>
      <c r="CZ320" s="61"/>
      <c r="DA320" s="74"/>
      <c r="DB320" s="61"/>
      <c r="DC320" s="74"/>
      <c r="DD320" s="61"/>
      <c r="DE320" s="74"/>
      <c r="DF320" s="61"/>
      <c r="DG320" s="74"/>
      <c r="DH320" s="61"/>
      <c r="DI320" s="74"/>
      <c r="DJ320" s="61"/>
      <c r="DK320" s="74"/>
      <c r="DL320" s="61"/>
      <c r="DM320" s="74"/>
      <c r="DN320" s="61"/>
      <c r="DO320" s="74"/>
      <c r="DP320" s="61"/>
      <c r="DQ320" s="74"/>
      <c r="DR320" s="61"/>
      <c r="DS320" s="74"/>
      <c r="DT320" s="61"/>
      <c r="DU320" s="74"/>
      <c r="DV320" s="61"/>
      <c r="DW320" s="74"/>
      <c r="DX320" s="74"/>
      <c r="DY320" s="74"/>
      <c r="DZ320" s="61"/>
      <c r="EA320" s="74"/>
      <c r="EB320" s="61"/>
      <c r="EC320" s="74"/>
      <c r="ED320" s="61"/>
      <c r="EE320" s="74"/>
      <c r="EF320" s="61"/>
      <c r="EG320" s="74"/>
      <c r="EH320" s="61"/>
      <c r="EI320" s="74"/>
      <c r="EJ320" s="61"/>
      <c r="EK320" s="74"/>
      <c r="EL320" s="61"/>
      <c r="EM320" s="74"/>
      <c r="EN320" s="61"/>
      <c r="EO320" s="74"/>
      <c r="EP320" s="61"/>
      <c r="EQ320" s="74"/>
      <c r="ER320" s="61"/>
      <c r="ES320" s="74"/>
      <c r="ET320" s="61"/>
      <c r="EU320" s="74"/>
      <c r="EV320" s="61"/>
      <c r="EW320" s="74"/>
      <c r="EX320" s="61"/>
      <c r="EY320" s="74"/>
      <c r="EZ320" s="558"/>
      <c r="FA320" s="74"/>
      <c r="FB320" s="72"/>
      <c r="FC320" s="91"/>
      <c r="FD320" s="72"/>
      <c r="FE320" s="126"/>
      <c r="FF320" s="69"/>
      <c r="FG320" s="126"/>
      <c r="FH320" s="69"/>
      <c r="FI320" s="126"/>
      <c r="FJ320" s="69"/>
      <c r="FK320" s="126"/>
      <c r="FL320" s="69"/>
      <c r="FM320" s="126"/>
      <c r="FN320" s="69"/>
      <c r="FO320" s="126"/>
      <c r="FP320" s="75">
        <f>AQ320+AS320+AU320+AW320</f>
        <v>8.6</v>
      </c>
      <c r="FQ320" s="61" t="str">
        <f>IF(ISERROR((FP320/FN320-1)*100),"NA",IF(((FP320/FN320-1)*100)&gt;100,"NM",IF(((FP320/FN320-1)*100)&lt;-50,"NM",(FP320/FN320-1)*100)))</f>
        <v>NA</v>
      </c>
      <c r="FR320" s="75">
        <f>AY320+BA320+BC320+BE320</f>
        <v>4.7</v>
      </c>
      <c r="FS320" s="61">
        <f>IF(ISERROR((FR320/FP320-1)*100),"NA",IF(((FR320/FP320-1)*100)&gt;100,"NM",IF(((FR320/FP320-1)*100)&lt;-50,"NM",(FR320/FP320-1)*100)))</f>
        <v>-45.348837209302317</v>
      </c>
      <c r="FT320" s="75">
        <f>BG320+BI320+BK320+BM320</f>
        <v>0.2</v>
      </c>
      <c r="FU320" s="61"/>
      <c r="FV320" s="75"/>
      <c r="FW320" s="61"/>
      <c r="FX320" s="75"/>
      <c r="FY320" s="61"/>
      <c r="FZ320" s="75"/>
      <c r="GA320" s="61"/>
      <c r="GB320" s="75"/>
      <c r="GC320" s="61"/>
      <c r="GD320" s="75"/>
      <c r="GE320" s="61"/>
      <c r="GF320" s="75"/>
      <c r="GG320" s="61"/>
      <c r="GH320" s="75"/>
      <c r="GI320" s="61"/>
      <c r="GJ320" s="75"/>
      <c r="GK320" s="61"/>
      <c r="GL320" s="75"/>
      <c r="GM320" s="61"/>
      <c r="GN320" s="75"/>
      <c r="GO320" s="61"/>
      <c r="GP320" s="75"/>
      <c r="GQ320" s="61"/>
      <c r="GR320" s="74"/>
      <c r="GS320" s="61"/>
      <c r="GT320" s="74"/>
      <c r="GU320" s="61"/>
      <c r="GV320" s="74"/>
      <c r="GW320" s="61"/>
      <c r="GX320" s="74"/>
      <c r="GY320" s="61"/>
      <c r="GZ320" s="61" t="str">
        <f t="shared" si="2131"/>
        <v/>
      </c>
      <c r="HA320" s="61"/>
      <c r="HB320" s="452"/>
      <c r="HC320"/>
      <c r="HD320"/>
      <c r="HE320"/>
      <c r="HF320"/>
      <c r="HG320"/>
      <c r="HH320"/>
    </row>
    <row r="321" spans="2:216" s="7" customFormat="1" ht="12.75" hidden="1" customHeight="1" outlineLevel="1" x14ac:dyDescent="0.2">
      <c r="B321" s="2" t="s">
        <v>491</v>
      </c>
      <c r="C321" s="72"/>
      <c r="D321" s="70"/>
      <c r="E321" s="72"/>
      <c r="F321" s="71"/>
      <c r="G321" s="74"/>
      <c r="H321" s="71"/>
      <c r="I321" s="74"/>
      <c r="J321" s="61"/>
      <c r="K321" s="74"/>
      <c r="L321" s="61"/>
      <c r="M321" s="72"/>
      <c r="N321" s="61"/>
      <c r="O321" s="74"/>
      <c r="P321" s="61"/>
      <c r="Q321" s="74"/>
      <c r="R321" s="61"/>
      <c r="S321" s="74"/>
      <c r="T321" s="61"/>
      <c r="U321" s="74"/>
      <c r="V321" s="61"/>
      <c r="W321" s="74"/>
      <c r="X321" s="61"/>
      <c r="Y321" s="74"/>
      <c r="Z321" s="61"/>
      <c r="AA321" s="74"/>
      <c r="AB321" s="61"/>
      <c r="AC321" s="74"/>
      <c r="AD321" s="61"/>
      <c r="AE321" s="74"/>
      <c r="AF321" s="61"/>
      <c r="AG321" s="74"/>
      <c r="AH321" s="61"/>
      <c r="AI321" s="74"/>
      <c r="AJ321" s="61"/>
      <c r="AK321" s="74"/>
      <c r="AL321" s="61"/>
      <c r="AM321" s="74"/>
      <c r="AN321" s="61"/>
      <c r="AO321" s="74"/>
      <c r="AP321" s="61"/>
      <c r="AQ321" s="74">
        <f>2.2+4.4</f>
        <v>6.6000000000000005</v>
      </c>
      <c r="AR321" s="61" t="str">
        <f>IF(ISERROR((AQ321/AI321-1)*100),"NA",IF(((AQ321/AI321-1)*100)&gt;100,"NM",IF(((AQ321/AI321-1)*100)&lt;-50,"NM",(AQ321/AI321-1)*100)))</f>
        <v>NA</v>
      </c>
      <c r="AS321" s="74">
        <f>-0.2+2.1+4.4</f>
        <v>6.3000000000000007</v>
      </c>
      <c r="AT321" s="61" t="str">
        <f>IF(ISERROR((AS321/AK321-1)*100),"NA",IF(((AS321/AK321-1)*100)&gt;100,"NM",IF(((AS321/AK321-1)*100)&lt;-50,"NM",(AS321/AK321-1)*100)))</f>
        <v>NA</v>
      </c>
      <c r="AU321" s="74">
        <f>-0.1+2+3.7</f>
        <v>5.6</v>
      </c>
      <c r="AV321" s="61" t="str">
        <f t="shared" si="2250"/>
        <v>NA</v>
      </c>
      <c r="AW321" s="74">
        <f>2.5+6.1</f>
        <v>8.6</v>
      </c>
      <c r="AX321" s="61" t="str">
        <f t="shared" si="2250"/>
        <v>NA</v>
      </c>
      <c r="AY321" s="74">
        <f>2.8+3.3</f>
        <v>6.1</v>
      </c>
      <c r="AZ321" s="61">
        <f t="shared" si="2251"/>
        <v>-7.5757575757575912</v>
      </c>
      <c r="BA321" s="74">
        <f>0+8.5+4.9</f>
        <v>13.4</v>
      </c>
      <c r="BB321" s="61" t="str">
        <f t="shared" si="2252"/>
        <v>NM</v>
      </c>
      <c r="BC321" s="74">
        <f>7.2+4.5</f>
        <v>11.7</v>
      </c>
      <c r="BD321" s="61" t="str">
        <f t="shared" si="2253"/>
        <v>NM</v>
      </c>
      <c r="BE321" s="74">
        <f>8.5+5.5</f>
        <v>14</v>
      </c>
      <c r="BF321" s="61">
        <f t="shared" si="2254"/>
        <v>62.790697674418603</v>
      </c>
      <c r="BG321" s="74">
        <f>8.9+4.6</f>
        <v>13.5</v>
      </c>
      <c r="BH321" s="61" t="str">
        <f t="shared" si="2254"/>
        <v>NM</v>
      </c>
      <c r="BI321" s="74">
        <f>8.2+4.7</f>
        <v>12.899999999999999</v>
      </c>
      <c r="BJ321" s="61"/>
      <c r="BK321" s="74"/>
      <c r="BL321" s="61"/>
      <c r="BM321" s="74"/>
      <c r="BN321" s="61"/>
      <c r="BO321" s="74"/>
      <c r="BP321" s="61"/>
      <c r="BQ321" s="74"/>
      <c r="BR321" s="61"/>
      <c r="BS321" s="74"/>
      <c r="BT321" s="61"/>
      <c r="BU321" s="74"/>
      <c r="BV321" s="61"/>
      <c r="BW321" s="74"/>
      <c r="BX321" s="61"/>
      <c r="BY321" s="74"/>
      <c r="BZ321" s="61"/>
      <c r="CA321" s="74"/>
      <c r="CB321" s="61"/>
      <c r="CC321" s="74"/>
      <c r="CD321" s="61"/>
      <c r="CE321" s="74"/>
      <c r="CF321" s="61"/>
      <c r="CG321" s="74"/>
      <c r="CH321" s="61"/>
      <c r="CI321" s="74"/>
      <c r="CJ321" s="61"/>
      <c r="CK321" s="74"/>
      <c r="CL321" s="61"/>
      <c r="CM321" s="74"/>
      <c r="CN321" s="61"/>
      <c r="CO321" s="74"/>
      <c r="CP321" s="61"/>
      <c r="CQ321" s="74"/>
      <c r="CR321" s="61"/>
      <c r="CS321" s="74"/>
      <c r="CT321" s="61"/>
      <c r="CU321" s="74"/>
      <c r="CV321" s="61"/>
      <c r="CW321" s="74"/>
      <c r="CX321" s="61"/>
      <c r="CY321" s="74"/>
      <c r="CZ321" s="61"/>
      <c r="DA321" s="74"/>
      <c r="DB321" s="61"/>
      <c r="DC321" s="74"/>
      <c r="DD321" s="61"/>
      <c r="DE321" s="74"/>
      <c r="DF321" s="61"/>
      <c r="DG321" s="74"/>
      <c r="DH321" s="61"/>
      <c r="DI321" s="74"/>
      <c r="DJ321" s="61"/>
      <c r="DK321" s="74"/>
      <c r="DL321" s="61"/>
      <c r="DM321" s="74"/>
      <c r="DN321" s="61"/>
      <c r="DO321" s="74"/>
      <c r="DP321" s="61"/>
      <c r="DQ321" s="74"/>
      <c r="DR321" s="61"/>
      <c r="DS321" s="74"/>
      <c r="DT321" s="61"/>
      <c r="DU321" s="74"/>
      <c r="DV321" s="61"/>
      <c r="DW321" s="74"/>
      <c r="DX321" s="74"/>
      <c r="DY321" s="74"/>
      <c r="DZ321" s="61"/>
      <c r="EA321" s="74"/>
      <c r="EB321" s="61"/>
      <c r="EC321" s="74"/>
      <c r="ED321" s="61"/>
      <c r="EE321" s="74"/>
      <c r="EF321" s="61"/>
      <c r="EG321" s="74"/>
      <c r="EH321" s="61"/>
      <c r="EI321" s="74"/>
      <c r="EJ321" s="61"/>
      <c r="EK321" s="74"/>
      <c r="EL321" s="61"/>
      <c r="EM321" s="74"/>
      <c r="EN321" s="61"/>
      <c r="EO321" s="74"/>
      <c r="EP321" s="61"/>
      <c r="EQ321" s="74"/>
      <c r="ER321" s="61"/>
      <c r="ES321" s="74"/>
      <c r="ET321" s="61"/>
      <c r="EU321" s="74"/>
      <c r="EV321" s="61"/>
      <c r="EW321" s="74"/>
      <c r="EX321" s="61"/>
      <c r="EY321" s="74"/>
      <c r="EZ321" s="558"/>
      <c r="FA321" s="74"/>
      <c r="FB321" s="72"/>
      <c r="FC321" s="91"/>
      <c r="FD321" s="72"/>
      <c r="FE321" s="126"/>
      <c r="FF321" s="69"/>
      <c r="FG321" s="126"/>
      <c r="FH321" s="69"/>
      <c r="FI321" s="126"/>
      <c r="FJ321" s="69"/>
      <c r="FK321" s="126"/>
      <c r="FL321" s="69"/>
      <c r="FM321" s="126"/>
      <c r="FN321" s="69"/>
      <c r="FO321" s="126"/>
      <c r="FP321" s="75">
        <f>AQ321+AS321+AU321+AW321</f>
        <v>27.1</v>
      </c>
      <c r="FQ321" s="61" t="str">
        <f>IF(ISERROR((FP321/FN321-1)*100),"NA",IF(((FP321/FN321-1)*100)&gt;100,"NM",IF(((FP321/FN321-1)*100)&lt;-50,"NM",(FP321/FN321-1)*100)))</f>
        <v>NA</v>
      </c>
      <c r="FR321" s="75">
        <f>AY321+BA321+BC321+BE321</f>
        <v>45.2</v>
      </c>
      <c r="FS321" s="61">
        <f>IF(ISERROR((FR321/FP321-1)*100),"NA",IF(((FR321/FP321-1)*100)&gt;100,"NM",IF(((FR321/FP321-1)*100)&lt;-50,"NM",(FR321/FP321-1)*100)))</f>
        <v>66.789667896678978</v>
      </c>
      <c r="FT321" s="75">
        <f>BG321+BI321+BK321+BM321</f>
        <v>26.4</v>
      </c>
      <c r="FU321" s="61"/>
      <c r="FV321" s="75"/>
      <c r="FW321" s="61"/>
      <c r="FX321" s="75"/>
      <c r="FY321" s="61"/>
      <c r="FZ321" s="75"/>
      <c r="GA321" s="61"/>
      <c r="GB321" s="75"/>
      <c r="GC321" s="61"/>
      <c r="GD321" s="75"/>
      <c r="GE321" s="61"/>
      <c r="GF321" s="75"/>
      <c r="GG321" s="61"/>
      <c r="GH321" s="75"/>
      <c r="GI321" s="61"/>
      <c r="GJ321" s="75"/>
      <c r="GK321" s="61"/>
      <c r="GL321" s="75"/>
      <c r="GM321" s="61"/>
      <c r="GN321" s="75"/>
      <c r="GO321" s="61"/>
      <c r="GP321" s="75"/>
      <c r="GQ321" s="61"/>
      <c r="GR321" s="74"/>
      <c r="GS321" s="61"/>
      <c r="GT321" s="74"/>
      <c r="GU321" s="61"/>
      <c r="GV321" s="74"/>
      <c r="GW321" s="61"/>
      <c r="GX321" s="74"/>
      <c r="GY321" s="61"/>
      <c r="GZ321" s="61" t="str">
        <f t="shared" si="2131"/>
        <v/>
      </c>
      <c r="HA321" s="61"/>
      <c r="HB321" s="452"/>
      <c r="HC321"/>
      <c r="HD321"/>
      <c r="HE321"/>
      <c r="HF321"/>
      <c r="HG321"/>
      <c r="HH321"/>
    </row>
    <row r="322" spans="2:216" s="5" customFormat="1" ht="12.75" hidden="1" customHeight="1" outlineLevel="1" x14ac:dyDescent="0.2">
      <c r="B322" s="2" t="s">
        <v>498</v>
      </c>
      <c r="C322" s="72"/>
      <c r="D322" s="70"/>
      <c r="E322" s="72"/>
      <c r="F322" s="71"/>
      <c r="G322" s="72"/>
      <c r="H322" s="71"/>
      <c r="I322" s="72"/>
      <c r="J322" s="61"/>
      <c r="K322" s="72"/>
      <c r="L322" s="61"/>
      <c r="M322" s="72"/>
      <c r="N322" s="61"/>
      <c r="O322" s="72"/>
      <c r="P322" s="61"/>
      <c r="Q322" s="72"/>
      <c r="R322" s="61"/>
      <c r="S322" s="72"/>
      <c r="T322" s="61"/>
      <c r="U322" s="72"/>
      <c r="V322" s="61"/>
      <c r="W322" s="72"/>
      <c r="X322" s="61"/>
      <c r="Y322" s="72"/>
      <c r="Z322" s="61"/>
      <c r="AA322" s="72"/>
      <c r="AB322" s="61"/>
      <c r="AC322" s="72"/>
      <c r="AD322" s="61"/>
      <c r="AE322" s="72"/>
      <c r="AF322" s="61"/>
      <c r="AG322" s="72"/>
      <c r="AH322" s="61"/>
      <c r="AI322" s="72"/>
      <c r="AJ322" s="61"/>
      <c r="AK322" s="72"/>
      <c r="AL322" s="61"/>
      <c r="AM322" s="72"/>
      <c r="AN322" s="61"/>
      <c r="AO322" s="72"/>
      <c r="AP322" s="61"/>
      <c r="AQ322" s="72">
        <v>45.3</v>
      </c>
      <c r="AR322" s="61" t="str">
        <f>IF(ISERROR((AQ322/AI322-1)*100),"NA",IF(((AQ322/AI322-1)*100)&gt;100,"NM",IF(((AQ322/AI322-1)*100)&lt;-50,"NM",(AQ322/AI322-1)*100)))</f>
        <v>NA</v>
      </c>
      <c r="AS322" s="72">
        <v>45.2</v>
      </c>
      <c r="AT322" s="61" t="str">
        <f>IF(ISERROR((AS322/AK322-1)*100),"NA",IF(((AS322/AK322-1)*100)&gt;100,"NM",IF(((AS322/AK322-1)*100)&lt;-50,"NM",(AS322/AK322-1)*100)))</f>
        <v>NA</v>
      </c>
      <c r="AU322" s="72">
        <v>45.1</v>
      </c>
      <c r="AV322" s="61" t="str">
        <f t="shared" si="2250"/>
        <v>NA</v>
      </c>
      <c r="AW322" s="72">
        <v>51</v>
      </c>
      <c r="AX322" s="61" t="str">
        <f t="shared" si="2250"/>
        <v>NA</v>
      </c>
      <c r="AY322" s="72">
        <v>48.7</v>
      </c>
      <c r="AZ322" s="61">
        <f t="shared" si="2251"/>
        <v>7.5055187637969256</v>
      </c>
      <c r="BA322" s="72">
        <v>86.5</v>
      </c>
      <c r="BB322" s="61">
        <f t="shared" si="2252"/>
        <v>91.371681415929203</v>
      </c>
      <c r="BC322" s="72">
        <v>91</v>
      </c>
      <c r="BD322" s="61" t="str">
        <f t="shared" si="2253"/>
        <v>NM</v>
      </c>
      <c r="BE322" s="72">
        <v>90.5</v>
      </c>
      <c r="BF322" s="61">
        <f t="shared" si="2254"/>
        <v>77.45098039215685</v>
      </c>
      <c r="BG322" s="72">
        <v>55.8</v>
      </c>
      <c r="BH322" s="61">
        <f t="shared" si="2254"/>
        <v>14.579055441478417</v>
      </c>
      <c r="BI322" s="72">
        <v>53.1</v>
      </c>
      <c r="BJ322" s="61"/>
      <c r="BK322" s="72"/>
      <c r="BL322" s="61"/>
      <c r="BM322" s="72"/>
      <c r="BN322" s="61"/>
      <c r="BO322" s="72"/>
      <c r="BP322" s="61"/>
      <c r="BQ322" s="72"/>
      <c r="BR322" s="61"/>
      <c r="BS322" s="72"/>
      <c r="BT322" s="61"/>
      <c r="BU322" s="72"/>
      <c r="BV322" s="61"/>
      <c r="BW322" s="72"/>
      <c r="BX322" s="61"/>
      <c r="BY322" s="72"/>
      <c r="BZ322" s="61"/>
      <c r="CA322" s="72"/>
      <c r="CB322" s="61"/>
      <c r="CC322" s="72"/>
      <c r="CD322" s="61"/>
      <c r="CE322" s="72"/>
      <c r="CF322" s="61"/>
      <c r="CG322" s="72"/>
      <c r="CH322" s="61"/>
      <c r="CI322" s="72"/>
      <c r="CJ322" s="61"/>
      <c r="CK322" s="72"/>
      <c r="CL322" s="61"/>
      <c r="CM322" s="72"/>
      <c r="CN322" s="61"/>
      <c r="CO322" s="72"/>
      <c r="CP322" s="61"/>
      <c r="CQ322" s="72"/>
      <c r="CR322" s="61"/>
      <c r="CS322" s="72"/>
      <c r="CT322" s="61"/>
      <c r="CU322" s="72"/>
      <c r="CV322" s="61"/>
      <c r="CW322" s="72"/>
      <c r="CX322" s="61"/>
      <c r="CY322" s="72"/>
      <c r="CZ322" s="61"/>
      <c r="DA322" s="72"/>
      <c r="DB322" s="61"/>
      <c r="DC322" s="72"/>
      <c r="DD322" s="61"/>
      <c r="DE322" s="72"/>
      <c r="DF322" s="61"/>
      <c r="DG322" s="72"/>
      <c r="DH322" s="61"/>
      <c r="DI322" s="72"/>
      <c r="DJ322" s="61"/>
      <c r="DK322" s="72"/>
      <c r="DL322" s="61"/>
      <c r="DM322" s="72"/>
      <c r="DN322" s="61"/>
      <c r="DO322" s="72"/>
      <c r="DP322" s="61"/>
      <c r="DQ322" s="72"/>
      <c r="DR322" s="61"/>
      <c r="DS322" s="72"/>
      <c r="DT322" s="61"/>
      <c r="DU322" s="72"/>
      <c r="DV322" s="61"/>
      <c r="DW322" s="72"/>
      <c r="DX322" s="72"/>
      <c r="DY322" s="72"/>
      <c r="DZ322" s="61"/>
      <c r="EA322" s="72"/>
      <c r="EB322" s="61"/>
      <c r="EC322" s="72"/>
      <c r="ED322" s="61"/>
      <c r="EE322" s="72"/>
      <c r="EF322" s="61"/>
      <c r="EG322" s="72"/>
      <c r="EH322" s="61"/>
      <c r="EI322" s="72"/>
      <c r="EJ322" s="61"/>
      <c r="EK322" s="72"/>
      <c r="EL322" s="61"/>
      <c r="EM322" s="72"/>
      <c r="EN322" s="61"/>
      <c r="EO322" s="72"/>
      <c r="EP322" s="61"/>
      <c r="EQ322" s="72"/>
      <c r="ER322" s="61"/>
      <c r="ES322" s="72"/>
      <c r="ET322" s="61"/>
      <c r="EU322" s="72"/>
      <c r="EV322" s="61"/>
      <c r="EW322" s="72"/>
      <c r="EX322" s="61"/>
      <c r="EY322" s="64"/>
      <c r="EZ322" s="558"/>
      <c r="FA322" s="64"/>
      <c r="FB322" s="72"/>
      <c r="FC322" s="71"/>
      <c r="FD322" s="72"/>
      <c r="FE322" s="70"/>
      <c r="FF322" s="69"/>
      <c r="FG322" s="70"/>
      <c r="FH322" s="69"/>
      <c r="FI322" s="70"/>
      <c r="FJ322" s="69"/>
      <c r="FK322" s="70"/>
      <c r="FL322" s="69"/>
      <c r="FM322" s="61"/>
      <c r="FN322" s="69"/>
      <c r="FO322" s="61"/>
      <c r="FP322" s="73">
        <f>AQ322+AS322+AU322+AW322</f>
        <v>186.6</v>
      </c>
      <c r="FQ322" s="61" t="str">
        <f>IF(ISERROR((FP322/FN322-1)*100),"NA",IF(((FP322/FN322-1)*100)&gt;100,"NM",IF(((FP322/FN322-1)*100)&lt;-50,"NM",(FP322/FN322-1)*100)))</f>
        <v>NA</v>
      </c>
      <c r="FR322" s="73">
        <f>AY322+BA322+BC322+BE322</f>
        <v>316.7</v>
      </c>
      <c r="FS322" s="61">
        <f>IF(ISERROR((FR322/FP322-1)*100),"NA",IF(((FR322/FP322-1)*100)&gt;100,"NM",IF(((FR322/FP322-1)*100)&lt;-50,"NM",(FR322/FP322-1)*100)))</f>
        <v>69.721329046087874</v>
      </c>
      <c r="FT322" s="73">
        <f>BG322+BI322+BK322+BM322</f>
        <v>108.9</v>
      </c>
      <c r="FU322" s="61"/>
      <c r="FV322" s="73"/>
      <c r="FW322" s="61"/>
      <c r="FX322" s="75"/>
      <c r="FY322" s="61"/>
      <c r="FZ322" s="75"/>
      <c r="GA322" s="61"/>
      <c r="GB322" s="75"/>
      <c r="GC322" s="61"/>
      <c r="GD322" s="75"/>
      <c r="GE322" s="61"/>
      <c r="GF322" s="75"/>
      <c r="GG322" s="61"/>
      <c r="GH322" s="75"/>
      <c r="GI322" s="61"/>
      <c r="GJ322" s="75"/>
      <c r="GK322" s="61"/>
      <c r="GL322" s="75"/>
      <c r="GM322" s="61"/>
      <c r="GN322" s="75"/>
      <c r="GO322" s="61"/>
      <c r="GP322" s="75"/>
      <c r="GQ322" s="61"/>
      <c r="GR322" s="72"/>
      <c r="GS322" s="61"/>
      <c r="GT322" s="72"/>
      <c r="GU322" s="61"/>
      <c r="GV322" s="72"/>
      <c r="GW322" s="61"/>
      <c r="GX322" s="72"/>
      <c r="GY322" s="61"/>
      <c r="GZ322" s="61" t="str">
        <f t="shared" si="2131"/>
        <v/>
      </c>
      <c r="HA322" s="61"/>
      <c r="HB322" s="452"/>
      <c r="HC322"/>
      <c r="HD322"/>
      <c r="HE322"/>
      <c r="HF322"/>
      <c r="HG322"/>
      <c r="HH322"/>
    </row>
    <row r="323" spans="2:216" s="5" customFormat="1" ht="12.75" hidden="1" customHeight="1" outlineLevel="1" x14ac:dyDescent="0.2">
      <c r="B323" s="2" t="s">
        <v>620</v>
      </c>
      <c r="C323" s="72"/>
      <c r="D323" s="70"/>
      <c r="E323" s="72"/>
      <c r="F323" s="71"/>
      <c r="G323" s="72"/>
      <c r="H323" s="71"/>
      <c r="I323" s="72"/>
      <c r="J323" s="61"/>
      <c r="K323" s="72"/>
      <c r="L323" s="61"/>
      <c r="M323" s="72"/>
      <c r="N323" s="61"/>
      <c r="O323" s="72"/>
      <c r="P323" s="61"/>
      <c r="Q323" s="72"/>
      <c r="R323" s="61"/>
      <c r="S323" s="72"/>
      <c r="T323" s="61"/>
      <c r="U323" s="72"/>
      <c r="V323" s="61"/>
      <c r="W323" s="72"/>
      <c r="X323" s="61"/>
      <c r="Y323" s="72"/>
      <c r="Z323" s="61"/>
      <c r="AA323" s="72"/>
      <c r="AB323" s="61"/>
      <c r="AC323" s="72"/>
      <c r="AD323" s="61"/>
      <c r="AE323" s="72"/>
      <c r="AF323" s="61"/>
      <c r="AG323" s="72"/>
      <c r="AH323" s="61"/>
      <c r="AI323" s="72"/>
      <c r="AJ323" s="61"/>
      <c r="AK323" s="72"/>
      <c r="AL323" s="61"/>
      <c r="AM323" s="72"/>
      <c r="AN323" s="61"/>
      <c r="AO323" s="72"/>
      <c r="AP323" s="61"/>
      <c r="AQ323" s="72">
        <f>1.3-0.1</f>
        <v>1.2</v>
      </c>
      <c r="AR323" s="61" t="str">
        <f>IF(ISERROR((AQ323/AI323-1)*100),"NA",IF(((AQ323/AI323-1)*100)&gt;100,"NM",IF(((AQ323/AI323-1)*100)&lt;-50,"NM",(AQ323/AI323-1)*100)))</f>
        <v>NA</v>
      </c>
      <c r="AS323" s="72">
        <v>1.2</v>
      </c>
      <c r="AT323" s="61" t="str">
        <f>IF(ISERROR((AS323/AK323-1)*100),"NA",IF(((AS323/AK323-1)*100)&gt;100,"NM",IF(((AS323/AK323-1)*100)&lt;-50,"NM",(AS323/AK323-1)*100)))</f>
        <v>NA</v>
      </c>
      <c r="AU323" s="72">
        <f>1.3-0.1</f>
        <v>1.2</v>
      </c>
      <c r="AV323" s="61" t="str">
        <f t="shared" si="2250"/>
        <v>NA</v>
      </c>
      <c r="AW323" s="72">
        <v>1.3</v>
      </c>
      <c r="AX323" s="61" t="str">
        <f t="shared" si="2250"/>
        <v>NA</v>
      </c>
      <c r="AY323" s="72">
        <f>1.4-0.1</f>
        <v>1.2999999999999998</v>
      </c>
      <c r="AZ323" s="61">
        <f t="shared" si="2251"/>
        <v>8.333333333333325</v>
      </c>
      <c r="BA323" s="72">
        <v>1.3</v>
      </c>
      <c r="BB323" s="61">
        <f t="shared" si="2252"/>
        <v>8.3333333333333481</v>
      </c>
      <c r="BC323" s="72">
        <v>1.3</v>
      </c>
      <c r="BD323" s="61">
        <f t="shared" si="2253"/>
        <v>8.3333333333333481</v>
      </c>
      <c r="BE323" s="72">
        <v>1.3</v>
      </c>
      <c r="BF323" s="61">
        <f t="shared" si="2254"/>
        <v>0</v>
      </c>
      <c r="BG323" s="72">
        <f>0-0.1</f>
        <v>-0.1</v>
      </c>
      <c r="BH323" s="61" t="str">
        <f t="shared" si="2254"/>
        <v>NM</v>
      </c>
      <c r="BI323" s="72">
        <f>0+0</f>
        <v>0</v>
      </c>
      <c r="BJ323" s="61"/>
      <c r="BK323" s="72"/>
      <c r="BL323" s="61"/>
      <c r="BM323" s="72"/>
      <c r="BN323" s="61"/>
      <c r="BO323" s="72"/>
      <c r="BP323" s="61"/>
      <c r="BQ323" s="72"/>
      <c r="BR323" s="61"/>
      <c r="BS323" s="72"/>
      <c r="BT323" s="61"/>
      <c r="BU323" s="72"/>
      <c r="BV323" s="61"/>
      <c r="BW323" s="72"/>
      <c r="BX323" s="61"/>
      <c r="BY323" s="72"/>
      <c r="BZ323" s="61"/>
      <c r="CA323" s="72"/>
      <c r="CB323" s="61"/>
      <c r="CC323" s="72"/>
      <c r="CD323" s="61"/>
      <c r="CE323" s="72"/>
      <c r="CF323" s="61"/>
      <c r="CG323" s="72"/>
      <c r="CH323" s="61"/>
      <c r="CI323" s="72"/>
      <c r="CJ323" s="61"/>
      <c r="CK323" s="72"/>
      <c r="CL323" s="61"/>
      <c r="CM323" s="72"/>
      <c r="CN323" s="61"/>
      <c r="CO323" s="72"/>
      <c r="CP323" s="61"/>
      <c r="CQ323" s="72"/>
      <c r="CR323" s="61"/>
      <c r="CS323" s="72"/>
      <c r="CT323" s="61"/>
      <c r="CU323" s="72"/>
      <c r="CV323" s="61"/>
      <c r="CW323" s="72"/>
      <c r="CX323" s="61"/>
      <c r="CY323" s="72"/>
      <c r="CZ323" s="61"/>
      <c r="DA323" s="72"/>
      <c r="DB323" s="61"/>
      <c r="DC323" s="72"/>
      <c r="DD323" s="61"/>
      <c r="DE323" s="72"/>
      <c r="DF323" s="61"/>
      <c r="DG323" s="72"/>
      <c r="DH323" s="61"/>
      <c r="DI323" s="72"/>
      <c r="DJ323" s="61"/>
      <c r="DK323" s="72"/>
      <c r="DL323" s="61"/>
      <c r="DM323" s="72"/>
      <c r="DN323" s="61"/>
      <c r="DO323" s="72"/>
      <c r="DP323" s="61"/>
      <c r="DQ323" s="72"/>
      <c r="DR323" s="61"/>
      <c r="DS323" s="72"/>
      <c r="DT323" s="61"/>
      <c r="DU323" s="72"/>
      <c r="DV323" s="61"/>
      <c r="DW323" s="72"/>
      <c r="DX323" s="72"/>
      <c r="DY323" s="72"/>
      <c r="DZ323" s="61"/>
      <c r="EA323" s="72"/>
      <c r="EB323" s="61"/>
      <c r="EC323" s="72"/>
      <c r="ED323" s="61"/>
      <c r="EE323" s="72"/>
      <c r="EF323" s="61"/>
      <c r="EG323" s="72"/>
      <c r="EH323" s="61"/>
      <c r="EI323" s="72"/>
      <c r="EJ323" s="61"/>
      <c r="EK323" s="72"/>
      <c r="EL323" s="61"/>
      <c r="EM323" s="72"/>
      <c r="EN323" s="61"/>
      <c r="EO323" s="72"/>
      <c r="EP323" s="61"/>
      <c r="EQ323" s="72"/>
      <c r="ER323" s="61"/>
      <c r="ES323" s="72"/>
      <c r="ET323" s="61"/>
      <c r="EU323" s="72"/>
      <c r="EV323" s="61"/>
      <c r="EW323" s="72"/>
      <c r="EX323" s="61"/>
      <c r="EY323" s="90"/>
      <c r="EZ323" s="558"/>
      <c r="FA323" s="90"/>
      <c r="FB323" s="138"/>
      <c r="FC323" s="219"/>
      <c r="FD323" s="138"/>
      <c r="FE323" s="143"/>
      <c r="FF323" s="84"/>
      <c r="FG323" s="143"/>
      <c r="FH323" s="84"/>
      <c r="FI323" s="143"/>
      <c r="FJ323" s="84"/>
      <c r="FK323" s="143"/>
      <c r="FL323" s="84"/>
      <c r="FM323" s="143"/>
      <c r="FN323" s="84"/>
      <c r="FO323" s="143"/>
      <c r="FP323" s="73">
        <f>AQ323+AS323+AU323+AW323</f>
        <v>4.8999999999999995</v>
      </c>
      <c r="FQ323" s="61" t="str">
        <f>IF(ISERROR((FP323/FN323-1)*100),"NA",IF(((FP323/FN323-1)*100)&gt;100,"NM",IF(((FP323/FN323-1)*100)&lt;-50,"NM",(FP323/FN323-1)*100)))</f>
        <v>NA</v>
      </c>
      <c r="FR323" s="73">
        <f>AY323+BA323+BC323+BE323</f>
        <v>5.1999999999999993</v>
      </c>
      <c r="FS323" s="61">
        <f>IF(ISERROR((FR323/FP323-1)*100),"NA",IF(((FR323/FP323-1)*100)&gt;100,"NM",IF(((FR323/FP323-1)*100)&lt;-50,"NM",(FR323/FP323-1)*100)))</f>
        <v>6.1224489795918435</v>
      </c>
      <c r="FT323" s="73">
        <f>BG323+BI323+BK323+BM323</f>
        <v>-0.1</v>
      </c>
      <c r="FU323" s="61"/>
      <c r="FV323" s="73"/>
      <c r="FW323" s="61"/>
      <c r="FX323" s="75"/>
      <c r="FY323" s="61"/>
      <c r="FZ323" s="75"/>
      <c r="GA323" s="61"/>
      <c r="GB323" s="75"/>
      <c r="GC323" s="61"/>
      <c r="GD323" s="75"/>
      <c r="GE323" s="61"/>
      <c r="GF323" s="75"/>
      <c r="GG323" s="61"/>
      <c r="GH323" s="75"/>
      <c r="GI323" s="61"/>
      <c r="GJ323" s="75"/>
      <c r="GK323" s="61"/>
      <c r="GL323" s="75"/>
      <c r="GM323" s="61"/>
      <c r="GN323" s="75"/>
      <c r="GO323" s="61"/>
      <c r="GP323" s="75"/>
      <c r="GQ323" s="61"/>
      <c r="GR323" s="72"/>
      <c r="GS323" s="61"/>
      <c r="GT323" s="72"/>
      <c r="GU323" s="61"/>
      <c r="GV323" s="72"/>
      <c r="GW323" s="61"/>
      <c r="GX323" s="72"/>
      <c r="GY323" s="61"/>
      <c r="GZ323" s="61" t="str">
        <f t="shared" si="2131"/>
        <v/>
      </c>
      <c r="HA323" s="61"/>
      <c r="HB323" s="452"/>
      <c r="HC323"/>
      <c r="HD323"/>
      <c r="HE323"/>
      <c r="HF323"/>
      <c r="HG323"/>
      <c r="HH323"/>
    </row>
    <row r="324" spans="2:216" s="106" customFormat="1" ht="12.75" hidden="1" customHeight="1" outlineLevel="1" x14ac:dyDescent="0.2">
      <c r="B324" s="63" t="s">
        <v>523</v>
      </c>
      <c r="C324" s="102"/>
      <c r="D324" s="99"/>
      <c r="E324" s="102"/>
      <c r="F324" s="100"/>
      <c r="G324" s="102"/>
      <c r="H324" s="100"/>
      <c r="I324" s="102"/>
      <c r="J324" s="101"/>
      <c r="K324" s="104"/>
      <c r="L324" s="61"/>
      <c r="M324" s="104"/>
      <c r="N324" s="61"/>
      <c r="O324" s="104"/>
      <c r="P324" s="61"/>
      <c r="Q324" s="104"/>
      <c r="R324" s="61"/>
      <c r="S324" s="104"/>
      <c r="T324" s="61"/>
      <c r="U324" s="104"/>
      <c r="V324" s="61"/>
      <c r="W324" s="104"/>
      <c r="X324" s="61"/>
      <c r="Y324" s="104"/>
      <c r="Z324" s="61"/>
      <c r="AA324" s="104"/>
      <c r="AB324" s="61"/>
      <c r="AC324" s="104"/>
      <c r="AD324" s="61"/>
      <c r="AE324" s="104"/>
      <c r="AF324" s="61"/>
      <c r="AG324" s="104"/>
      <c r="AH324" s="61"/>
      <c r="AI324" s="104"/>
      <c r="AJ324" s="61"/>
      <c r="AK324" s="104"/>
      <c r="AL324" s="61"/>
      <c r="AM324" s="104"/>
      <c r="AN324" s="61"/>
      <c r="AO324" s="159"/>
      <c r="AP324" s="61"/>
      <c r="AQ324" s="104">
        <f>SUM(AQ320:AQ323)</f>
        <v>53.1</v>
      </c>
      <c r="AR324" s="61" t="str">
        <f>IF(ISERROR((AQ324/AI324-1)*100),"NA",IF(((AQ324/AI324-1)*100)&gt;100,"NM",IF(((AQ324/AI324-1)*100)&lt;-50,"NM",(AQ324/AI324-1)*100)))</f>
        <v>NA</v>
      </c>
      <c r="AS324" s="104">
        <f>SUM(AS320:AS323)</f>
        <v>53.2</v>
      </c>
      <c r="AT324" s="61" t="str">
        <f>IF(ISERROR((AS324/AK324-1)*100),"NA",IF(((AS324/AK324-1)*100)&gt;100,"NM",IF(((AS324/AK324-1)*100)&lt;-50,"NM",(AS324/AK324-1)*100)))</f>
        <v>NA</v>
      </c>
      <c r="AU324" s="104">
        <f>SUM(AU320:AU323)</f>
        <v>59.300000000000004</v>
      </c>
      <c r="AV324" s="61" t="str">
        <f t="shared" si="2250"/>
        <v>NA</v>
      </c>
      <c r="AW324" s="104">
        <f>SUM(AW320:AW323)</f>
        <v>61.599999999999994</v>
      </c>
      <c r="AX324" s="61" t="str">
        <f t="shared" si="2250"/>
        <v>NA</v>
      </c>
      <c r="AY324" s="104">
        <f>SUM(AY320:AY323)</f>
        <v>57.2</v>
      </c>
      <c r="AZ324" s="61">
        <f t="shared" si="2251"/>
        <v>7.7212806026365266</v>
      </c>
      <c r="BA324" s="104">
        <f>SUM(BA320:BA323)</f>
        <v>101.2</v>
      </c>
      <c r="BB324" s="61">
        <f t="shared" si="2252"/>
        <v>90.225563909774436</v>
      </c>
      <c r="BC324" s="104">
        <f>SUM(BC320:BC323)</f>
        <v>104.3</v>
      </c>
      <c r="BD324" s="61">
        <f t="shared" si="2253"/>
        <v>75.885328836424932</v>
      </c>
      <c r="BE324" s="104">
        <f>SUM(BE320:BE323)</f>
        <v>109.1</v>
      </c>
      <c r="BF324" s="61">
        <f t="shared" si="2254"/>
        <v>77.110389610389603</v>
      </c>
      <c r="BG324" s="104">
        <f>SUM(BG320:BG323)</f>
        <v>69.3</v>
      </c>
      <c r="BH324" s="61">
        <f t="shared" si="2254"/>
        <v>21.153846153846146</v>
      </c>
      <c r="BI324" s="104">
        <f>SUM(BI320:BI323)</f>
        <v>66.099999999999994</v>
      </c>
      <c r="BJ324" s="61"/>
      <c r="BK324" s="104"/>
      <c r="BL324" s="61"/>
      <c r="BM324" s="104"/>
      <c r="BN324" s="61"/>
      <c r="BO324" s="104"/>
      <c r="BP324" s="61"/>
      <c r="BQ324" s="104"/>
      <c r="BR324" s="61"/>
      <c r="BS324" s="104"/>
      <c r="BT324" s="61"/>
      <c r="BU324" s="104"/>
      <c r="BV324" s="61"/>
      <c r="BW324" s="102"/>
      <c r="BX324" s="61"/>
      <c r="BY324" s="102"/>
      <c r="BZ324" s="61"/>
      <c r="CA324" s="102"/>
      <c r="CB324" s="61"/>
      <c r="CC324" s="102"/>
      <c r="CD324" s="61"/>
      <c r="CE324" s="102"/>
      <c r="CF324" s="61"/>
      <c r="CG324" s="102"/>
      <c r="CH324" s="61"/>
      <c r="CI324" s="102"/>
      <c r="CJ324" s="61"/>
      <c r="CK324" s="102"/>
      <c r="CL324" s="61"/>
      <c r="CM324" s="102"/>
      <c r="CN324" s="61"/>
      <c r="CO324" s="102"/>
      <c r="CP324" s="61"/>
      <c r="CQ324" s="102"/>
      <c r="CR324" s="61"/>
      <c r="CS324" s="102"/>
      <c r="CT324" s="61"/>
      <c r="CU324" s="102"/>
      <c r="CV324" s="61"/>
      <c r="CW324" s="102"/>
      <c r="CX324" s="61"/>
      <c r="CY324" s="102"/>
      <c r="CZ324" s="61"/>
      <c r="DA324" s="102"/>
      <c r="DB324" s="61"/>
      <c r="DC324" s="102"/>
      <c r="DD324" s="61"/>
      <c r="DE324" s="102"/>
      <c r="DF324" s="61"/>
      <c r="DG324" s="102"/>
      <c r="DH324" s="61"/>
      <c r="DI324" s="102"/>
      <c r="DJ324" s="61"/>
      <c r="DK324" s="102"/>
      <c r="DL324" s="61"/>
      <c r="DM324" s="102"/>
      <c r="DN324" s="61"/>
      <c r="DO324" s="102"/>
      <c r="DP324" s="61"/>
      <c r="DQ324" s="102"/>
      <c r="DR324" s="61"/>
      <c r="DS324" s="102"/>
      <c r="DT324" s="61"/>
      <c r="DU324" s="102"/>
      <c r="DV324" s="61"/>
      <c r="DW324" s="102"/>
      <c r="DX324" s="102"/>
      <c r="DY324" s="102"/>
      <c r="DZ324" s="61"/>
      <c r="EA324" s="102"/>
      <c r="EB324" s="61"/>
      <c r="EC324" s="102"/>
      <c r="ED324" s="61"/>
      <c r="EE324" s="102"/>
      <c r="EF324" s="61"/>
      <c r="EG324" s="102"/>
      <c r="EH324" s="61"/>
      <c r="EI324" s="102"/>
      <c r="EJ324" s="61"/>
      <c r="EK324" s="102"/>
      <c r="EL324" s="61"/>
      <c r="EM324" s="102"/>
      <c r="EN324" s="61"/>
      <c r="EO324" s="102"/>
      <c r="EP324" s="61"/>
      <c r="EQ324" s="102"/>
      <c r="ER324" s="61"/>
      <c r="ES324" s="102"/>
      <c r="ET324" s="61"/>
      <c r="EU324" s="102"/>
      <c r="EV324" s="61"/>
      <c r="EW324" s="102"/>
      <c r="EX324" s="61"/>
      <c r="EY324" s="103"/>
      <c r="EZ324" s="558"/>
      <c r="FA324" s="103"/>
      <c r="FB324" s="102"/>
      <c r="FC324" s="100"/>
      <c r="FD324" s="102"/>
      <c r="FE324" s="70"/>
      <c r="FF324" s="102"/>
      <c r="FG324" s="70"/>
      <c r="FH324" s="102"/>
      <c r="FI324" s="70"/>
      <c r="FJ324" s="102"/>
      <c r="FK324" s="70"/>
      <c r="FL324" s="102"/>
      <c r="FM324" s="61"/>
      <c r="FN324" s="102">
        <f>BE324*4</f>
        <v>436.4</v>
      </c>
      <c r="FO324" s="61"/>
      <c r="FP324" s="104">
        <f>SUM(FP320:FP323)</f>
        <v>227.20000000000002</v>
      </c>
      <c r="FQ324" s="61">
        <f>IF(ISERROR((FP324/FN324-1)*100),"NA",IF(((FP324/FN324-1)*100)&gt;100,"NM",IF(((FP324/FN324-1)*100)&lt;-50,"NM",(FP324/FN324-1)*100)))</f>
        <v>-47.937671860678265</v>
      </c>
      <c r="FR324" s="104">
        <f>AY324+BA324+BC324+BE324</f>
        <v>371.79999999999995</v>
      </c>
      <c r="FS324" s="61">
        <f>IF(ISERROR((FR324/FP324-1)*100),"NA",IF(((FR324/FP324-1)*100)&gt;100,"NM",IF(((FR324/FP324-1)*100)&lt;-50,"NM",(FR324/FP324-1)*100)))</f>
        <v>63.644366197183054</v>
      </c>
      <c r="FT324" s="104">
        <f>BG324+BI324+BK324+BM324</f>
        <v>135.39999999999998</v>
      </c>
      <c r="FU324" s="61"/>
      <c r="FV324" s="104"/>
      <c r="FW324" s="61"/>
      <c r="FX324" s="160"/>
      <c r="FY324" s="61"/>
      <c r="FZ324" s="160"/>
      <c r="GA324" s="61"/>
      <c r="GB324" s="160"/>
      <c r="GC324" s="61"/>
      <c r="GD324" s="160"/>
      <c r="GE324" s="61"/>
      <c r="GF324" s="160"/>
      <c r="GG324" s="61"/>
      <c r="GH324" s="160"/>
      <c r="GI324" s="61"/>
      <c r="GJ324" s="160"/>
      <c r="GK324" s="61"/>
      <c r="GL324" s="160"/>
      <c r="GM324" s="61"/>
      <c r="GN324" s="160"/>
      <c r="GO324" s="61"/>
      <c r="GP324" s="160"/>
      <c r="GQ324" s="61"/>
      <c r="GR324" s="102"/>
      <c r="GS324" s="61"/>
      <c r="GT324" s="102"/>
      <c r="GU324" s="61"/>
      <c r="GV324" s="102"/>
      <c r="GW324" s="61"/>
      <c r="GX324" s="102"/>
      <c r="GY324" s="61"/>
      <c r="GZ324" s="61" t="str">
        <f t="shared" si="2131"/>
        <v/>
      </c>
      <c r="HA324" s="61"/>
      <c r="HB324" s="452"/>
      <c r="HC324"/>
      <c r="HD324"/>
      <c r="HE324"/>
      <c r="HF324"/>
      <c r="HG324"/>
      <c r="HH324"/>
    </row>
    <row r="325" spans="2:216" s="106" customFormat="1" ht="12.75" hidden="1" customHeight="1" outlineLevel="1" x14ac:dyDescent="0.2">
      <c r="B325" s="63" t="s">
        <v>75</v>
      </c>
      <c r="C325" s="102"/>
      <c r="D325" s="99"/>
      <c r="E325" s="102"/>
      <c r="F325" s="100"/>
      <c r="G325" s="102"/>
      <c r="H325" s="100"/>
      <c r="I325" s="102"/>
      <c r="J325" s="101"/>
      <c r="K325" s="104"/>
      <c r="L325" s="61"/>
      <c r="M325" s="104"/>
      <c r="N325" s="61"/>
      <c r="O325" s="104"/>
      <c r="P325" s="61"/>
      <c r="Q325" s="104"/>
      <c r="R325" s="61"/>
      <c r="S325" s="104"/>
      <c r="T325" s="61"/>
      <c r="U325" s="104"/>
      <c r="V325" s="61"/>
      <c r="W325" s="104"/>
      <c r="X325" s="61"/>
      <c r="Y325" s="104"/>
      <c r="Z325" s="61"/>
      <c r="AA325" s="104"/>
      <c r="AB325" s="61"/>
      <c r="AC325" s="104"/>
      <c r="AD325" s="61"/>
      <c r="AE325" s="104"/>
      <c r="AF325" s="61"/>
      <c r="AG325" s="104"/>
      <c r="AH325" s="61"/>
      <c r="AI325" s="104"/>
      <c r="AJ325" s="61"/>
      <c r="AK325" s="104"/>
      <c r="AL325" s="61"/>
      <c r="AM325" s="104"/>
      <c r="AN325" s="61"/>
      <c r="AO325" s="159"/>
      <c r="AP325" s="61"/>
      <c r="AQ325" s="104">
        <f>AQ324-AQ332</f>
        <v>43.8</v>
      </c>
      <c r="AR325" s="61"/>
      <c r="AS325" s="104">
        <f>AS324-AS332</f>
        <v>43.6</v>
      </c>
      <c r="AT325" s="61"/>
      <c r="AU325" s="104">
        <f>AU324-AU332</f>
        <v>48.900000000000006</v>
      </c>
      <c r="AV325" s="61" t="str">
        <f t="shared" si="2250"/>
        <v>NA</v>
      </c>
      <c r="AW325" s="104">
        <f>AW324-AW332</f>
        <v>52.099999999999994</v>
      </c>
      <c r="AX325" s="61" t="str">
        <f t="shared" si="2250"/>
        <v>NA</v>
      </c>
      <c r="AY325" s="104">
        <f>AY324-AY332</f>
        <v>47.900000000000006</v>
      </c>
      <c r="AZ325" s="61">
        <f t="shared" si="2251"/>
        <v>9.3607305936073359</v>
      </c>
      <c r="BA325" s="104">
        <f>BA324-BA332</f>
        <v>61</v>
      </c>
      <c r="BB325" s="61">
        <f t="shared" si="2252"/>
        <v>39.908256880733937</v>
      </c>
      <c r="BC325" s="104">
        <f>BC324-BC332</f>
        <v>64.400000000000006</v>
      </c>
      <c r="BD325" s="61">
        <f t="shared" si="2253"/>
        <v>31.697341513292422</v>
      </c>
      <c r="BE325" s="104">
        <f>BE324-BE332</f>
        <v>67.099999999999994</v>
      </c>
      <c r="BF325" s="61">
        <f t="shared" si="2254"/>
        <v>28.790786948176581</v>
      </c>
      <c r="BG325" s="104">
        <f>BG324-BG332</f>
        <v>31.099999999999994</v>
      </c>
      <c r="BH325" s="61">
        <f t="shared" si="2254"/>
        <v>-35.073068893528202</v>
      </c>
      <c r="BI325" s="104">
        <f>BI324-BI332</f>
        <v>27.999999999999993</v>
      </c>
      <c r="BJ325" s="61"/>
      <c r="BK325" s="104"/>
      <c r="BL325" s="61"/>
      <c r="BM325" s="104"/>
      <c r="BN325" s="61"/>
      <c r="BO325" s="104"/>
      <c r="BP325" s="61"/>
      <c r="BQ325" s="104"/>
      <c r="BR325" s="61"/>
      <c r="BS325" s="104"/>
      <c r="BT325" s="61"/>
      <c r="BU325" s="104"/>
      <c r="BV325" s="61"/>
      <c r="BW325" s="104"/>
      <c r="BX325" s="61"/>
      <c r="BY325" s="104"/>
      <c r="BZ325" s="61"/>
      <c r="CA325" s="104"/>
      <c r="CB325" s="61"/>
      <c r="CC325" s="104"/>
      <c r="CD325" s="61"/>
      <c r="CE325" s="104"/>
      <c r="CF325" s="61"/>
      <c r="CG325" s="104"/>
      <c r="CH325" s="61"/>
      <c r="CI325" s="104"/>
      <c r="CJ325" s="61"/>
      <c r="CK325" s="104"/>
      <c r="CL325" s="61"/>
      <c r="CM325" s="104"/>
      <c r="CN325" s="61"/>
      <c r="CO325" s="104"/>
      <c r="CP325" s="61"/>
      <c r="CQ325" s="104"/>
      <c r="CR325" s="61"/>
      <c r="CS325" s="104"/>
      <c r="CT325" s="61"/>
      <c r="CU325" s="104"/>
      <c r="CV325" s="61"/>
      <c r="CW325" s="104"/>
      <c r="CX325" s="61"/>
      <c r="CY325" s="104"/>
      <c r="CZ325" s="61"/>
      <c r="DA325" s="104"/>
      <c r="DB325" s="61"/>
      <c r="DC325" s="104"/>
      <c r="DD325" s="61"/>
      <c r="DE325" s="104"/>
      <c r="DF325" s="61"/>
      <c r="DG325" s="104"/>
      <c r="DH325" s="61"/>
      <c r="DI325" s="104"/>
      <c r="DJ325" s="61"/>
      <c r="DK325" s="104"/>
      <c r="DL325" s="61"/>
      <c r="DM325" s="104"/>
      <c r="DN325" s="61"/>
      <c r="DO325" s="104"/>
      <c r="DP325" s="61"/>
      <c r="DQ325" s="104"/>
      <c r="DR325" s="61"/>
      <c r="DS325" s="104"/>
      <c r="DT325" s="61"/>
      <c r="DU325" s="104"/>
      <c r="DV325" s="61"/>
      <c r="DW325" s="104"/>
      <c r="DX325" s="104"/>
      <c r="DY325" s="104"/>
      <c r="DZ325" s="61"/>
      <c r="EA325" s="104"/>
      <c r="EB325" s="61"/>
      <c r="EC325" s="104"/>
      <c r="ED325" s="61"/>
      <c r="EE325" s="104"/>
      <c r="EF325" s="61"/>
      <c r="EG325" s="104"/>
      <c r="EH325" s="61"/>
      <c r="EI325" s="104"/>
      <c r="EJ325" s="61"/>
      <c r="EK325" s="104"/>
      <c r="EL325" s="61"/>
      <c r="EM325" s="104"/>
      <c r="EN325" s="61"/>
      <c r="EO325" s="104"/>
      <c r="EP325" s="61"/>
      <c r="EQ325" s="104"/>
      <c r="ER325" s="61"/>
      <c r="ES325" s="104"/>
      <c r="ET325" s="61"/>
      <c r="EU325" s="104"/>
      <c r="EV325" s="61"/>
      <c r="EW325" s="104"/>
      <c r="EX325" s="61"/>
      <c r="EY325" s="103"/>
      <c r="EZ325" s="558"/>
      <c r="FA325" s="103"/>
      <c r="FB325" s="102"/>
      <c r="FC325" s="100"/>
      <c r="FD325" s="102"/>
      <c r="FE325" s="70"/>
      <c r="FF325" s="102"/>
      <c r="FG325" s="70"/>
      <c r="FH325" s="102"/>
      <c r="FI325" s="70"/>
      <c r="FJ325" s="102"/>
      <c r="FK325" s="70"/>
      <c r="FL325" s="102"/>
      <c r="FM325" s="61"/>
      <c r="FN325" s="104"/>
      <c r="FO325" s="61"/>
      <c r="FP325" s="104">
        <f>FP324-FP332</f>
        <v>188.40000000000003</v>
      </c>
      <c r="FQ325" s="61"/>
      <c r="FR325" s="104">
        <f>FR324-FR332</f>
        <v>240.39999999999995</v>
      </c>
      <c r="FS325" s="61"/>
      <c r="FT325" s="104">
        <f>FT324-FT332</f>
        <v>59.099999999999966</v>
      </c>
      <c r="FU325" s="61"/>
      <c r="FV325" s="104"/>
      <c r="FW325" s="61"/>
      <c r="FX325" s="104"/>
      <c r="FY325" s="61"/>
      <c r="FZ325" s="104"/>
      <c r="GA325" s="61"/>
      <c r="GB325" s="104"/>
      <c r="GC325" s="61"/>
      <c r="GD325" s="104"/>
      <c r="GE325" s="61"/>
      <c r="GF325" s="104"/>
      <c r="GG325" s="61"/>
      <c r="GH325" s="104"/>
      <c r="GI325" s="61"/>
      <c r="GJ325" s="104"/>
      <c r="GK325" s="61"/>
      <c r="GL325" s="104"/>
      <c r="GM325" s="61"/>
      <c r="GN325" s="104"/>
      <c r="GO325" s="61"/>
      <c r="GP325" s="104"/>
      <c r="GQ325" s="61"/>
      <c r="GR325" s="104"/>
      <c r="GS325" s="61"/>
      <c r="GT325" s="104"/>
      <c r="GU325" s="61"/>
      <c r="GV325" s="104"/>
      <c r="GW325" s="61"/>
      <c r="GX325" s="104"/>
      <c r="GY325" s="61"/>
      <c r="GZ325" s="61" t="str">
        <f t="shared" si="2131"/>
        <v/>
      </c>
      <c r="HA325" s="61"/>
      <c r="HB325" s="452"/>
      <c r="HC325"/>
      <c r="HD325"/>
      <c r="HE325"/>
      <c r="HF325"/>
      <c r="HG325"/>
      <c r="HH325"/>
    </row>
    <row r="326" spans="2:216" s="5" customFormat="1" ht="12.75" hidden="1" customHeight="1" outlineLevel="1" x14ac:dyDescent="0.2">
      <c r="B326" s="2"/>
      <c r="C326" s="66"/>
      <c r="D326" s="67"/>
      <c r="E326" s="66"/>
      <c r="F326" s="66"/>
      <c r="G326" s="64"/>
      <c r="H326" s="66"/>
      <c r="I326" s="64"/>
      <c r="J326" s="66"/>
      <c r="K326" s="64"/>
      <c r="L326" s="61"/>
      <c r="M326" s="66"/>
      <c r="N326" s="61"/>
      <c r="O326" s="64"/>
      <c r="P326" s="61"/>
      <c r="Q326" s="64"/>
      <c r="R326" s="61"/>
      <c r="S326" s="64"/>
      <c r="T326" s="61"/>
      <c r="U326" s="64"/>
      <c r="V326" s="61"/>
      <c r="W326" s="64"/>
      <c r="X326" s="61"/>
      <c r="Y326" s="64"/>
      <c r="Z326" s="61"/>
      <c r="AA326" s="64"/>
      <c r="AB326" s="61"/>
      <c r="AC326" s="64"/>
      <c r="AD326" s="61"/>
      <c r="AE326" s="64"/>
      <c r="AF326" s="61"/>
      <c r="AG326" s="64"/>
      <c r="AH326" s="61"/>
      <c r="AI326" s="64"/>
      <c r="AJ326" s="61"/>
      <c r="AK326" s="64"/>
      <c r="AL326" s="61"/>
      <c r="AM326" s="64"/>
      <c r="AN326" s="61"/>
      <c r="AO326" s="64"/>
      <c r="AP326" s="61"/>
      <c r="AQ326" s="64"/>
      <c r="AR326" s="61"/>
      <c r="AS326" s="64"/>
      <c r="AT326" s="61"/>
      <c r="AU326" s="64"/>
      <c r="AV326" s="61"/>
      <c r="AW326" s="64"/>
      <c r="AX326" s="61"/>
      <c r="AY326" s="64"/>
      <c r="AZ326" s="61"/>
      <c r="BA326" s="64"/>
      <c r="BB326" s="61"/>
      <c r="BC326" s="64"/>
      <c r="BD326" s="61"/>
      <c r="BE326" s="64"/>
      <c r="BF326" s="61"/>
      <c r="BG326" s="64"/>
      <c r="BH326" s="61"/>
      <c r="BI326" s="64"/>
      <c r="BJ326" s="61"/>
      <c r="BK326" s="64"/>
      <c r="BL326" s="61"/>
      <c r="BM326" s="64"/>
      <c r="BN326" s="61"/>
      <c r="BO326" s="64"/>
      <c r="BP326" s="61"/>
      <c r="BQ326" s="64"/>
      <c r="BR326" s="61"/>
      <c r="BS326" s="64"/>
      <c r="BT326" s="61"/>
      <c r="BU326" s="64"/>
      <c r="BV326" s="61"/>
      <c r="BW326" s="64"/>
      <c r="BX326" s="61"/>
      <c r="BY326" s="64"/>
      <c r="BZ326" s="61"/>
      <c r="CA326" s="64"/>
      <c r="CB326" s="61"/>
      <c r="CC326" s="64"/>
      <c r="CD326" s="61"/>
      <c r="CE326" s="64"/>
      <c r="CF326" s="61"/>
      <c r="CG326" s="64"/>
      <c r="CH326" s="61"/>
      <c r="CI326" s="64"/>
      <c r="CJ326" s="61"/>
      <c r="CK326" s="64"/>
      <c r="CL326" s="61"/>
      <c r="CM326" s="64"/>
      <c r="CN326" s="61"/>
      <c r="CO326" s="64"/>
      <c r="CP326" s="61"/>
      <c r="CQ326" s="64"/>
      <c r="CR326" s="61"/>
      <c r="CS326" s="64"/>
      <c r="CT326" s="61"/>
      <c r="CU326" s="64"/>
      <c r="CV326" s="61"/>
      <c r="CW326" s="64"/>
      <c r="CX326" s="61"/>
      <c r="CY326" s="64"/>
      <c r="CZ326" s="61"/>
      <c r="DA326" s="64"/>
      <c r="DB326" s="61"/>
      <c r="DC326" s="64"/>
      <c r="DD326" s="61"/>
      <c r="DE326" s="64"/>
      <c r="DF326" s="61"/>
      <c r="DG326" s="64"/>
      <c r="DH326" s="61"/>
      <c r="DI326" s="64"/>
      <c r="DJ326" s="61"/>
      <c r="DK326" s="64"/>
      <c r="DL326" s="61"/>
      <c r="DM326" s="64"/>
      <c r="DN326" s="61"/>
      <c r="DO326" s="64"/>
      <c r="DP326" s="61"/>
      <c r="DQ326" s="64"/>
      <c r="DR326" s="61"/>
      <c r="DS326" s="64"/>
      <c r="DT326" s="61"/>
      <c r="DU326" s="64"/>
      <c r="DV326" s="61"/>
      <c r="DW326" s="64"/>
      <c r="DX326" s="64"/>
      <c r="DY326" s="64"/>
      <c r="DZ326" s="61"/>
      <c r="EA326" s="64"/>
      <c r="EB326" s="61"/>
      <c r="EC326" s="64"/>
      <c r="ED326" s="61"/>
      <c r="EE326" s="64"/>
      <c r="EF326" s="61"/>
      <c r="EG326" s="64"/>
      <c r="EH326" s="61"/>
      <c r="EI326" s="64"/>
      <c r="EJ326" s="61"/>
      <c r="EK326" s="64"/>
      <c r="EL326" s="61"/>
      <c r="EM326" s="64"/>
      <c r="EN326" s="61"/>
      <c r="EO326" s="64"/>
      <c r="EP326" s="61"/>
      <c r="EQ326" s="64"/>
      <c r="ER326" s="61"/>
      <c r="ES326" s="64"/>
      <c r="ET326" s="61"/>
      <c r="EU326" s="64"/>
      <c r="EV326" s="61"/>
      <c r="EW326" s="64"/>
      <c r="EX326" s="61"/>
      <c r="EY326" s="64"/>
      <c r="EZ326" s="558"/>
      <c r="FA326" s="64"/>
      <c r="FB326" s="66"/>
      <c r="FC326" s="66"/>
      <c r="FD326" s="66"/>
      <c r="FE326" s="67"/>
      <c r="FF326" s="66"/>
      <c r="FG326" s="67"/>
      <c r="FH326" s="66"/>
      <c r="FI326" s="67"/>
      <c r="FJ326" s="66"/>
      <c r="FK326" s="67"/>
      <c r="FL326" s="66"/>
      <c r="FM326" s="61"/>
      <c r="FN326" s="66"/>
      <c r="FO326" s="61"/>
      <c r="FP326" s="65"/>
      <c r="FQ326" s="61"/>
      <c r="FR326" s="65"/>
      <c r="FS326" s="61"/>
      <c r="FT326" s="65"/>
      <c r="FU326" s="61"/>
      <c r="FV326" s="65"/>
      <c r="FW326" s="61"/>
      <c r="FX326" s="65"/>
      <c r="FY326" s="61"/>
      <c r="FZ326" s="65"/>
      <c r="GA326" s="61"/>
      <c r="GB326" s="65"/>
      <c r="GC326" s="61"/>
      <c r="GD326" s="65"/>
      <c r="GE326" s="61"/>
      <c r="GF326" s="65"/>
      <c r="GG326" s="61"/>
      <c r="GH326" s="65"/>
      <c r="GI326" s="61"/>
      <c r="GJ326" s="65"/>
      <c r="GK326" s="61"/>
      <c r="GL326" s="65"/>
      <c r="GM326" s="61"/>
      <c r="GN326" s="65"/>
      <c r="GO326" s="61"/>
      <c r="GP326" s="65"/>
      <c r="GQ326" s="61"/>
      <c r="GR326" s="64"/>
      <c r="GS326" s="61"/>
      <c r="GT326" s="64"/>
      <c r="GU326" s="61"/>
      <c r="GV326" s="64"/>
      <c r="GW326" s="61"/>
      <c r="GX326" s="64"/>
      <c r="GY326" s="61"/>
      <c r="GZ326" s="61" t="str">
        <f t="shared" si="2131"/>
        <v/>
      </c>
      <c r="HA326" s="61"/>
      <c r="HB326" s="452"/>
      <c r="HC326"/>
      <c r="HD326"/>
      <c r="HE326"/>
      <c r="HF326"/>
      <c r="HG326"/>
      <c r="HH326"/>
    </row>
    <row r="327" spans="2:216" s="5" customFormat="1" ht="12.75" hidden="1" customHeight="1" outlineLevel="1" x14ac:dyDescent="0.2">
      <c r="B327" s="2" t="s">
        <v>621</v>
      </c>
      <c r="C327" s="66"/>
      <c r="D327" s="67"/>
      <c r="E327" s="66"/>
      <c r="F327" s="66"/>
      <c r="G327" s="64"/>
      <c r="H327" s="66"/>
      <c r="I327" s="64"/>
      <c r="J327" s="66"/>
      <c r="K327" s="64"/>
      <c r="L327" s="61"/>
      <c r="M327" s="66"/>
      <c r="N327" s="61"/>
      <c r="O327" s="64"/>
      <c r="P327" s="61"/>
      <c r="Q327" s="64"/>
      <c r="R327" s="61"/>
      <c r="S327" s="64"/>
      <c r="T327" s="61"/>
      <c r="U327" s="64"/>
      <c r="V327" s="61"/>
      <c r="W327" s="64"/>
      <c r="X327" s="61"/>
      <c r="Y327" s="64"/>
      <c r="Z327" s="61"/>
      <c r="AA327" s="64"/>
      <c r="AB327" s="61"/>
      <c r="AC327" s="64"/>
      <c r="AD327" s="61"/>
      <c r="AE327" s="64"/>
      <c r="AF327" s="61"/>
      <c r="AG327" s="64"/>
      <c r="AH327" s="61"/>
      <c r="AI327" s="64"/>
      <c r="AJ327" s="61"/>
      <c r="AK327" s="64"/>
      <c r="AL327" s="61"/>
      <c r="AM327" s="64"/>
      <c r="AN327" s="61"/>
      <c r="AO327" s="64"/>
      <c r="AP327" s="61"/>
      <c r="AQ327" s="220">
        <f>AQ322/AQ324*100</f>
        <v>85.31073446327683</v>
      </c>
      <c r="AR327" s="61" t="str">
        <f>IF(ISERROR((AQ327/AI327-1)*100),"NA",IF(((AQ327/AI327-1)*100)&gt;100,"NM",IF(((AQ327/AI327-1)*100)&lt;-50,"NM",(AQ327/AI327-1)*100)))</f>
        <v>NA</v>
      </c>
      <c r="AS327" s="220">
        <f>AS322/AS324*100</f>
        <v>84.962406015037601</v>
      </c>
      <c r="AT327" s="61" t="str">
        <f>IF(ISERROR((AS327/AK327-1)*100),"NA",IF(((AS327/AK327-1)*100)&gt;100,"NM",IF(((AS327/AK327-1)*100)&lt;-50,"NM",(AS327/AK327-1)*100)))</f>
        <v>NA</v>
      </c>
      <c r="AU327" s="220">
        <f>AU322/AU324*100</f>
        <v>76.053962900505894</v>
      </c>
      <c r="AV327" s="61" t="str">
        <f>IF(ISERROR((AU327/AM327-1)*100),"NA",IF(((AU327/AM327-1)*100)&gt;100,"NM",IF(((AU327/AM327-1)*100)&lt;-50,"NM",(AU327/AM327-1)*100)))</f>
        <v>NA</v>
      </c>
      <c r="AW327" s="220">
        <f>AW322/AW324*100</f>
        <v>82.79220779220779</v>
      </c>
      <c r="AX327" s="61" t="str">
        <f>IF(ISERROR((AW327/AO327-1)*100),"NA",IF(((AW327/AO327-1)*100)&gt;100,"NM",IF(((AW327/AO327-1)*100)&lt;-50,"NM",(AW327/AO327-1)*100)))</f>
        <v>NA</v>
      </c>
      <c r="AY327" s="220">
        <f>AY322/AY324*100</f>
        <v>85.139860139860133</v>
      </c>
      <c r="AZ327" s="61">
        <f>IF(ISERROR((AY327/AQ327-1)*100),"NA",IF(((AY327/AQ327-1)*100)&gt;100,"NM",IF(((AY327/AQ327-1)*100)&lt;-50,"NM",(AY327/AQ327-1)*100)))</f>
        <v>-0.20029639234937502</v>
      </c>
      <c r="BA327" s="220">
        <f>BA322/BA324*100</f>
        <v>85.474308300395251</v>
      </c>
      <c r="BB327" s="61">
        <f>IF(ISERROR((BA327/AS327-1)*100),"NA",IF(((BA327/AS327-1)*100)&gt;100,"NM",IF(((BA327/AS327-1)*100)&lt;-50,"NM",(BA327/AS327-1)*100)))</f>
        <v>0.60250445975722489</v>
      </c>
      <c r="BC327" s="220">
        <f>BC322/BC324*100</f>
        <v>87.24832214765101</v>
      </c>
      <c r="BD327" s="61">
        <f>IF(ISERROR((BC327/AU327-1)*100),"NA",IF(((BC327/AU327-1)*100)&gt;100,"NM",IF(((BC327/AU327-1)*100)&lt;-50,"NM",(BC327/AU327-1)*100)))</f>
        <v>14.718969032277274</v>
      </c>
      <c r="BE327" s="220">
        <f>BE322/BE324*100</f>
        <v>82.951420714940426</v>
      </c>
      <c r="BF327" s="61">
        <f>IF(ISERROR((BE327/AW327-1)*100),"NA",IF(((BE327/AW327-1)*100)&gt;100,"NM",IF(((BE327/AW327-1)*100)&lt;-50,"NM",(BE327/AW327-1)*100)))</f>
        <v>0.19230423608491698</v>
      </c>
      <c r="BG327" s="220">
        <f>BG322/BG324*100</f>
        <v>80.519480519480524</v>
      </c>
      <c r="BH327" s="61">
        <f>IF(ISERROR((BG327/AY327-1)*100),"NA",IF(((BG327/AY327-1)*100)&gt;100,"NM",IF(((BG327/AY327-1)*100)&lt;-50,"NM",(BG327/AY327-1)*100)))</f>
        <v>-5.4268113816368313</v>
      </c>
      <c r="BI327" s="220">
        <f>BI322/BI324*100</f>
        <v>80.332829046898652</v>
      </c>
      <c r="BJ327" s="61"/>
      <c r="BK327" s="220"/>
      <c r="BL327" s="61"/>
      <c r="BM327" s="220"/>
      <c r="BN327" s="61"/>
      <c r="BO327" s="220"/>
      <c r="BP327" s="61"/>
      <c r="BQ327" s="220"/>
      <c r="BR327" s="61"/>
      <c r="BS327" s="220"/>
      <c r="BT327" s="61"/>
      <c r="BU327" s="220"/>
      <c r="BV327" s="61"/>
      <c r="BW327" s="220"/>
      <c r="BX327" s="61"/>
      <c r="BY327" s="220"/>
      <c r="BZ327" s="61"/>
      <c r="CA327" s="220"/>
      <c r="CB327" s="61"/>
      <c r="CC327" s="220"/>
      <c r="CD327" s="61"/>
      <c r="CE327" s="220"/>
      <c r="CF327" s="61"/>
      <c r="CG327" s="220"/>
      <c r="CH327" s="61"/>
      <c r="CI327" s="220"/>
      <c r="CJ327" s="61"/>
      <c r="CK327" s="220"/>
      <c r="CL327" s="61"/>
      <c r="CM327" s="220"/>
      <c r="CN327" s="61"/>
      <c r="CO327" s="220"/>
      <c r="CP327" s="61"/>
      <c r="CQ327" s="220"/>
      <c r="CR327" s="61"/>
      <c r="CS327" s="220"/>
      <c r="CT327" s="61"/>
      <c r="CU327" s="220"/>
      <c r="CV327" s="61"/>
      <c r="CW327" s="220"/>
      <c r="CX327" s="61"/>
      <c r="CY327" s="220"/>
      <c r="CZ327" s="61"/>
      <c r="DA327" s="220"/>
      <c r="DB327" s="61"/>
      <c r="DC327" s="220"/>
      <c r="DD327" s="61"/>
      <c r="DE327" s="220"/>
      <c r="DF327" s="61"/>
      <c r="DG327" s="220"/>
      <c r="DH327" s="61"/>
      <c r="DI327" s="220"/>
      <c r="DJ327" s="61"/>
      <c r="DK327" s="220"/>
      <c r="DL327" s="61"/>
      <c r="DM327" s="220"/>
      <c r="DN327" s="61"/>
      <c r="DO327" s="220"/>
      <c r="DP327" s="61"/>
      <c r="DQ327" s="220"/>
      <c r="DR327" s="61"/>
      <c r="DS327" s="220"/>
      <c r="DT327" s="61"/>
      <c r="DU327" s="220"/>
      <c r="DV327" s="61"/>
      <c r="DW327" s="220"/>
      <c r="DX327" s="220"/>
      <c r="DY327" s="220"/>
      <c r="DZ327" s="61"/>
      <c r="EA327" s="220"/>
      <c r="EB327" s="61"/>
      <c r="EC327" s="220"/>
      <c r="ED327" s="61"/>
      <c r="EE327" s="220"/>
      <c r="EF327" s="61"/>
      <c r="EG327" s="220"/>
      <c r="EH327" s="61"/>
      <c r="EI327" s="220"/>
      <c r="EJ327" s="61"/>
      <c r="EK327" s="220"/>
      <c r="EL327" s="61"/>
      <c r="EM327" s="220"/>
      <c r="EN327" s="61"/>
      <c r="EO327" s="220"/>
      <c r="EP327" s="61"/>
      <c r="EQ327" s="220"/>
      <c r="ER327" s="61"/>
      <c r="ES327" s="220"/>
      <c r="ET327" s="61"/>
      <c r="EU327" s="220"/>
      <c r="EV327" s="61"/>
      <c r="EW327" s="220"/>
      <c r="EX327" s="61"/>
      <c r="EY327" s="64"/>
      <c r="EZ327" s="558"/>
      <c r="FA327" s="64"/>
      <c r="FB327" s="66"/>
      <c r="FC327" s="66"/>
      <c r="FD327" s="66"/>
      <c r="FE327" s="67"/>
      <c r="FF327" s="66"/>
      <c r="FG327" s="67"/>
      <c r="FH327" s="66"/>
      <c r="FI327" s="67"/>
      <c r="FJ327" s="66"/>
      <c r="FK327" s="67"/>
      <c r="FL327" s="66"/>
      <c r="FM327" s="61"/>
      <c r="FN327" s="66"/>
      <c r="FO327" s="61"/>
      <c r="FP327" s="221">
        <f>FP322/FP324*100</f>
        <v>82.130281690140833</v>
      </c>
      <c r="FQ327" s="61" t="str">
        <f>IF(ISERROR((FP327/FN327-1)*100),"NA",IF(((FP327/FN327-1)*100)&gt;100,"NM",IF(((FP327/FN327-1)*100)&lt;-50,"NM",(FP327/FN327-1)*100)))</f>
        <v>NA</v>
      </c>
      <c r="FR327" s="221">
        <f>FR322/FR324*100</f>
        <v>85.180204410973644</v>
      </c>
      <c r="FS327" s="61">
        <f>IF(ISERROR((FR327/FP327-1)*100),"NA",IF(((FR327/FP327-1)*100)&gt;100,"NM",IF(((FR327/FP327-1)*100)&lt;-50,"NM",(FR327/FP327-1)*100)))</f>
        <v>3.7135179108961136</v>
      </c>
      <c r="FT327" s="221">
        <f>FT322/FT324*100</f>
        <v>80.428360413589388</v>
      </c>
      <c r="FU327" s="61"/>
      <c r="FV327" s="221"/>
      <c r="FW327" s="61"/>
      <c r="FX327" s="221"/>
      <c r="FY327" s="61"/>
      <c r="FZ327" s="221"/>
      <c r="GA327" s="61"/>
      <c r="GB327" s="221"/>
      <c r="GC327" s="61"/>
      <c r="GD327" s="221"/>
      <c r="GE327" s="61"/>
      <c r="GF327" s="221"/>
      <c r="GG327" s="61"/>
      <c r="GH327" s="221"/>
      <c r="GI327" s="61"/>
      <c r="GJ327" s="221"/>
      <c r="GK327" s="61"/>
      <c r="GL327" s="221"/>
      <c r="GM327" s="61"/>
      <c r="GN327" s="221"/>
      <c r="GO327" s="61"/>
      <c r="GP327" s="221"/>
      <c r="GQ327" s="61"/>
      <c r="GR327" s="220"/>
      <c r="GS327" s="61"/>
      <c r="GT327" s="220"/>
      <c r="GU327" s="61"/>
      <c r="GV327" s="220"/>
      <c r="GW327" s="61"/>
      <c r="GX327" s="220"/>
      <c r="GY327" s="61"/>
      <c r="GZ327" s="61" t="str">
        <f t="shared" si="2131"/>
        <v/>
      </c>
      <c r="HA327" s="61"/>
      <c r="HB327" s="452"/>
      <c r="HC327"/>
      <c r="HD327"/>
      <c r="HE327"/>
      <c r="HF327"/>
      <c r="HG327"/>
      <c r="HH327"/>
    </row>
    <row r="328" spans="2:216" s="5" customFormat="1" ht="12.75" hidden="1" customHeight="1" outlineLevel="1" x14ac:dyDescent="0.2">
      <c r="B328" s="2" t="s">
        <v>271</v>
      </c>
      <c r="C328" s="66"/>
      <c r="D328" s="67"/>
      <c r="E328" s="66"/>
      <c r="F328" s="66"/>
      <c r="G328" s="64"/>
      <c r="H328" s="66"/>
      <c r="I328" s="64"/>
      <c r="J328" s="66"/>
      <c r="K328" s="64"/>
      <c r="L328" s="61"/>
      <c r="M328" s="66"/>
      <c r="N328" s="61"/>
      <c r="O328" s="64"/>
      <c r="P328" s="61"/>
      <c r="Q328" s="64"/>
      <c r="R328" s="61"/>
      <c r="S328" s="64"/>
      <c r="T328" s="61"/>
      <c r="U328" s="64"/>
      <c r="V328" s="61"/>
      <c r="W328" s="64"/>
      <c r="X328" s="61"/>
      <c r="Y328" s="64"/>
      <c r="Z328" s="61"/>
      <c r="AA328" s="158"/>
      <c r="AB328" s="61"/>
      <c r="AC328" s="158"/>
      <c r="AD328" s="61"/>
      <c r="AE328" s="158"/>
      <c r="AF328" s="61"/>
      <c r="AG328" s="158"/>
      <c r="AH328" s="61"/>
      <c r="AI328" s="158"/>
      <c r="AJ328" s="61"/>
      <c r="AK328" s="158"/>
      <c r="AL328" s="61"/>
      <c r="AM328" s="158"/>
      <c r="AN328" s="61"/>
      <c r="AO328" s="158"/>
      <c r="AP328" s="61"/>
      <c r="AQ328" s="220">
        <f>AQ332/AQ324*100</f>
        <v>17.514124293785311</v>
      </c>
      <c r="AR328" s="61" t="str">
        <f>IF(ISERROR((AQ328/AI328-1)*100),"NA",IF(((AQ328/AI328-1)*100)&gt;100,"NM",IF(((AQ328/AI328-1)*100)&lt;-50,"NM",(AQ328/AI328-1)*100)))</f>
        <v>NA</v>
      </c>
      <c r="AS328" s="220">
        <f>AS332/AS324*100</f>
        <v>18.045112781954884</v>
      </c>
      <c r="AT328" s="61" t="str">
        <f>IF(ISERROR((AS328/AK328-1)*100),"NA",IF(((AS328/AK328-1)*100)&gt;100,"NM",IF(((AS328/AK328-1)*100)&lt;-50,"NM",(AS328/AK328-1)*100)))</f>
        <v>NA</v>
      </c>
      <c r="AU328" s="220">
        <f>AU332/AU324*100</f>
        <v>17.537942664418214</v>
      </c>
      <c r="AV328" s="61" t="str">
        <f>IF(ISERROR((AU328/AM328-1)*100),"NA",IF(((AU328/AM328-1)*100)&gt;100,"NM",IF(((AU328/AM328-1)*100)&lt;-50,"NM",(AU328/AM328-1)*100)))</f>
        <v>NA</v>
      </c>
      <c r="AW328" s="220">
        <f>AW332/AW324*100</f>
        <v>15.422077922077923</v>
      </c>
      <c r="AX328" s="61" t="str">
        <f>IF(ISERROR((AW328/AO328-1)*100),"NA",IF(((AW328/AO328-1)*100)&gt;100,"NM",IF(((AW328/AO328-1)*100)&lt;-50,"NM",(AW328/AO328-1)*100)))</f>
        <v>NA</v>
      </c>
      <c r="AY328" s="220">
        <f>AY332/AY324*100</f>
        <v>16.25874125874126</v>
      </c>
      <c r="AZ328" s="61">
        <f>IF(ISERROR((AY328/AQ328-1)*100),"NA",IF(((AY328/AQ328-1)*100)&gt;100,"NM",IF(((AY328/AQ328-1)*100)&lt;-50,"NM",(AY328/AQ328-1)*100)))</f>
        <v>-7.1678321678321666</v>
      </c>
      <c r="BA328" s="220">
        <f>BA332/BA324*100</f>
        <v>39.723320158102773</v>
      </c>
      <c r="BB328" s="61" t="str">
        <f>IF(ISERROR((BA328/AS328-1)*100),"NA",IF(((BA328/AS328-1)*100)&gt;100,"NM",IF(((BA328/AS328-1)*100)&lt;-50,"NM",(BA328/AS328-1)*100)))</f>
        <v>NM</v>
      </c>
      <c r="BC328" s="220">
        <f>BC332/BC324*100</f>
        <v>38.255033557046978</v>
      </c>
      <c r="BD328" s="61" t="str">
        <f>IF(ISERROR((BC328/AU328-1)*100),"NA",IF(((BC328/AU328-1)*100)&gt;100,"NM",IF(((BC328/AU328-1)*100)&lt;-50,"NM",(BC328/AU328-1)*100)))</f>
        <v>NM</v>
      </c>
      <c r="BE328" s="220">
        <f>BE332/BE324*100</f>
        <v>38.4967919340055</v>
      </c>
      <c r="BF328" s="61" t="str">
        <f>IF(ISERROR((BE328/AW328-1)*100),"NA",IF(((BE328/AW328-1)*100)&gt;100,"NM",IF(((BE328/AW328-1)*100)&lt;-50,"NM",(BE328/AW328-1)*100)))</f>
        <v>NM</v>
      </c>
      <c r="BG328" s="220">
        <f>BG332/BG324*100</f>
        <v>55.122655122655132</v>
      </c>
      <c r="BH328" s="61" t="str">
        <f>IF(ISERROR((BG328/AY328-1)*100),"NA",IF(((BG328/AY328-1)*100)&gt;100,"NM",IF(((BG328/AY328-1)*100)&lt;-50,"NM",(BG328/AY328-1)*100)))</f>
        <v>NM</v>
      </c>
      <c r="BI328" s="220">
        <f>BI332/BI324*100</f>
        <v>57.639939485627842</v>
      </c>
      <c r="BJ328" s="61"/>
      <c r="BK328" s="220"/>
      <c r="BL328" s="61"/>
      <c r="BM328" s="220"/>
      <c r="BN328" s="61"/>
      <c r="BO328" s="220"/>
      <c r="BP328" s="61"/>
      <c r="BQ328" s="220"/>
      <c r="BR328" s="61"/>
      <c r="BS328" s="220"/>
      <c r="BT328" s="61"/>
      <c r="BU328" s="220"/>
      <c r="BV328" s="61"/>
      <c r="BW328" s="118"/>
      <c r="BX328" s="61"/>
      <c r="BY328" s="118"/>
      <c r="BZ328" s="61"/>
      <c r="CA328" s="118"/>
      <c r="CB328" s="61"/>
      <c r="CC328" s="118"/>
      <c r="CD328" s="61"/>
      <c r="CE328" s="118"/>
      <c r="CF328" s="61"/>
      <c r="CG328" s="118"/>
      <c r="CH328" s="61"/>
      <c r="CI328" s="118"/>
      <c r="CJ328" s="61"/>
      <c r="CK328" s="118"/>
      <c r="CL328" s="61"/>
      <c r="CM328" s="118"/>
      <c r="CN328" s="61"/>
      <c r="CO328" s="118"/>
      <c r="CP328" s="61"/>
      <c r="CQ328" s="118"/>
      <c r="CR328" s="61"/>
      <c r="CS328" s="118"/>
      <c r="CT328" s="61"/>
      <c r="CU328" s="118"/>
      <c r="CV328" s="61"/>
      <c r="CW328" s="118"/>
      <c r="CX328" s="61"/>
      <c r="CY328" s="118"/>
      <c r="CZ328" s="61"/>
      <c r="DA328" s="118"/>
      <c r="DB328" s="61"/>
      <c r="DC328" s="118"/>
      <c r="DD328" s="61"/>
      <c r="DE328" s="118"/>
      <c r="DF328" s="61"/>
      <c r="DG328" s="118"/>
      <c r="DH328" s="61"/>
      <c r="DI328" s="118"/>
      <c r="DJ328" s="61"/>
      <c r="DK328" s="118"/>
      <c r="DL328" s="61"/>
      <c r="DM328" s="118"/>
      <c r="DN328" s="61"/>
      <c r="DO328" s="118"/>
      <c r="DP328" s="61"/>
      <c r="DQ328" s="118"/>
      <c r="DR328" s="61"/>
      <c r="DS328" s="118"/>
      <c r="DT328" s="61"/>
      <c r="DU328" s="118"/>
      <c r="DV328" s="61"/>
      <c r="DW328" s="118"/>
      <c r="DX328" s="118"/>
      <c r="DY328" s="118"/>
      <c r="DZ328" s="61"/>
      <c r="EA328" s="118"/>
      <c r="EB328" s="61"/>
      <c r="EC328" s="118"/>
      <c r="ED328" s="61"/>
      <c r="EE328" s="118"/>
      <c r="EF328" s="61"/>
      <c r="EG328" s="118"/>
      <c r="EH328" s="61"/>
      <c r="EI328" s="118"/>
      <c r="EJ328" s="61"/>
      <c r="EK328" s="118"/>
      <c r="EL328" s="61"/>
      <c r="EM328" s="118"/>
      <c r="EN328" s="61"/>
      <c r="EO328" s="118"/>
      <c r="EP328" s="61"/>
      <c r="EQ328" s="118"/>
      <c r="ER328" s="61"/>
      <c r="ES328" s="118"/>
      <c r="ET328" s="61"/>
      <c r="EU328" s="118"/>
      <c r="EV328" s="61"/>
      <c r="EW328" s="118"/>
      <c r="EX328" s="61"/>
      <c r="EY328" s="64"/>
      <c r="EZ328" s="558"/>
      <c r="FA328" s="64"/>
      <c r="FB328" s="66"/>
      <c r="FC328" s="66"/>
      <c r="FD328" s="66"/>
      <c r="FE328" s="67"/>
      <c r="FF328" s="66"/>
      <c r="FG328" s="67"/>
      <c r="FH328" s="66"/>
      <c r="FI328" s="67"/>
      <c r="FJ328" s="66"/>
      <c r="FK328" s="67"/>
      <c r="FL328" s="66"/>
      <c r="FM328" s="61"/>
      <c r="FN328" s="66"/>
      <c r="FO328" s="61"/>
      <c r="FP328" s="221">
        <f>FP332/FP324*100</f>
        <v>17.077464788732392</v>
      </c>
      <c r="FQ328" s="61" t="str">
        <f>IF(ISERROR((FP328/FN328-1)*100),"NA",IF(((FP328/FN328-1)*100)&gt;100,"NM",IF(((FP328/FN328-1)*100)&lt;-50,"NM",(FP328/FN328-1)*100)))</f>
        <v>NA</v>
      </c>
      <c r="FR328" s="221">
        <f>FR332/FR324*100</f>
        <v>35.341581495427654</v>
      </c>
      <c r="FS328" s="61" t="str">
        <f>IF(ISERROR((FR328/FP328-1)*100),"NA",IF(((FR328/FP328-1)*100)&gt;100,"NM",IF(((FR328/FP328-1)*100)&lt;-50,"NM",(FR328/FP328-1)*100)))</f>
        <v>NM</v>
      </c>
      <c r="FT328" s="221">
        <f>FT332/FT324*100</f>
        <v>56.351550960118189</v>
      </c>
      <c r="FU328" s="61"/>
      <c r="FV328" s="221"/>
      <c r="FW328" s="61"/>
      <c r="FX328" s="221"/>
      <c r="FY328" s="61"/>
      <c r="FZ328" s="221"/>
      <c r="GA328" s="61"/>
      <c r="GB328" s="221"/>
      <c r="GC328" s="61"/>
      <c r="GD328" s="221"/>
      <c r="GE328" s="61"/>
      <c r="GF328" s="221"/>
      <c r="GG328" s="61"/>
      <c r="GH328" s="221"/>
      <c r="GI328" s="61"/>
      <c r="GJ328" s="221"/>
      <c r="GK328" s="61"/>
      <c r="GL328" s="221"/>
      <c r="GM328" s="61"/>
      <c r="GN328" s="221"/>
      <c r="GO328" s="61"/>
      <c r="GP328" s="221"/>
      <c r="GQ328" s="61"/>
      <c r="GR328" s="118"/>
      <c r="GS328" s="61"/>
      <c r="GT328" s="118"/>
      <c r="GU328" s="61"/>
      <c r="GV328" s="118"/>
      <c r="GW328" s="61"/>
      <c r="GX328" s="118"/>
      <c r="GY328" s="61"/>
      <c r="GZ328" s="61" t="str">
        <f t="shared" si="2131"/>
        <v/>
      </c>
      <c r="HA328" s="61"/>
      <c r="HB328" s="452"/>
      <c r="HC328"/>
      <c r="HD328"/>
      <c r="HE328"/>
      <c r="HF328"/>
      <c r="HG328"/>
      <c r="HH328"/>
    </row>
    <row r="329" spans="2:216" s="5" customFormat="1" ht="12.75" hidden="1" customHeight="1" outlineLevel="1" x14ac:dyDescent="0.2">
      <c r="B329" s="92"/>
      <c r="C329" s="66"/>
      <c r="D329" s="67"/>
      <c r="E329" s="66"/>
      <c r="F329" s="66"/>
      <c r="G329" s="64"/>
      <c r="H329" s="66"/>
      <c r="I329" s="64"/>
      <c r="J329" s="66"/>
      <c r="K329" s="64"/>
      <c r="L329" s="61"/>
      <c r="M329" s="66"/>
      <c r="N329" s="61"/>
      <c r="O329" s="64"/>
      <c r="P329" s="61"/>
      <c r="Q329" s="64"/>
      <c r="R329" s="61"/>
      <c r="S329" s="64"/>
      <c r="T329" s="61"/>
      <c r="U329" s="64"/>
      <c r="V329" s="61"/>
      <c r="W329" s="64"/>
      <c r="X329" s="61"/>
      <c r="Y329" s="64"/>
      <c r="Z329" s="61"/>
      <c r="AA329" s="158"/>
      <c r="AB329" s="61"/>
      <c r="AC329" s="158"/>
      <c r="AD329" s="61"/>
      <c r="AE329" s="158"/>
      <c r="AF329" s="61"/>
      <c r="AG329" s="158"/>
      <c r="AH329" s="61"/>
      <c r="AI329" s="158"/>
      <c r="AJ329" s="61"/>
      <c r="AK329" s="158"/>
      <c r="AL329" s="61"/>
      <c r="AM329" s="158"/>
      <c r="AN329" s="61"/>
      <c r="AO329" s="158"/>
      <c r="AP329" s="61"/>
      <c r="AQ329" s="158"/>
      <c r="AR329" s="61"/>
      <c r="AS329" s="158"/>
      <c r="AT329" s="61"/>
      <c r="AU329" s="158"/>
      <c r="AV329" s="61"/>
      <c r="AW329" s="158"/>
      <c r="AX329" s="61"/>
      <c r="AY329" s="158"/>
      <c r="AZ329" s="61"/>
      <c r="BA329" s="158"/>
      <c r="BB329" s="61"/>
      <c r="BC329" s="158"/>
      <c r="BD329" s="61"/>
      <c r="BE329" s="158"/>
      <c r="BF329" s="61"/>
      <c r="BG329" s="158"/>
      <c r="BH329" s="61"/>
      <c r="BI329" s="158"/>
      <c r="BJ329" s="61"/>
      <c r="BK329" s="158"/>
      <c r="BL329" s="61"/>
      <c r="BM329" s="158"/>
      <c r="BN329" s="61"/>
      <c r="BO329" s="158"/>
      <c r="BP329" s="61"/>
      <c r="BQ329" s="158"/>
      <c r="BR329" s="61"/>
      <c r="BS329" s="158"/>
      <c r="BT329" s="61"/>
      <c r="BU329" s="158"/>
      <c r="BV329" s="61"/>
      <c r="BW329" s="64"/>
      <c r="BX329" s="61"/>
      <c r="BY329" s="64"/>
      <c r="BZ329" s="61"/>
      <c r="CA329" s="64"/>
      <c r="CB329" s="61"/>
      <c r="CC329" s="64"/>
      <c r="CD329" s="61"/>
      <c r="CE329" s="64"/>
      <c r="CF329" s="61"/>
      <c r="CG329" s="64"/>
      <c r="CH329" s="61"/>
      <c r="CI329" s="64"/>
      <c r="CJ329" s="61"/>
      <c r="CK329" s="64"/>
      <c r="CL329" s="61"/>
      <c r="CM329" s="64"/>
      <c r="CN329" s="61"/>
      <c r="CO329" s="64"/>
      <c r="CP329" s="61"/>
      <c r="CQ329" s="64"/>
      <c r="CR329" s="61"/>
      <c r="CS329" s="64"/>
      <c r="CT329" s="61"/>
      <c r="CU329" s="64"/>
      <c r="CV329" s="61"/>
      <c r="CW329" s="64"/>
      <c r="CX329" s="61"/>
      <c r="CY329" s="64"/>
      <c r="CZ329" s="61"/>
      <c r="DA329" s="64"/>
      <c r="DB329" s="61"/>
      <c r="DC329" s="64"/>
      <c r="DD329" s="61"/>
      <c r="DE329" s="64"/>
      <c r="DF329" s="61"/>
      <c r="DG329" s="64"/>
      <c r="DH329" s="61"/>
      <c r="DI329" s="64"/>
      <c r="DJ329" s="61"/>
      <c r="DK329" s="64"/>
      <c r="DL329" s="61"/>
      <c r="DM329" s="64"/>
      <c r="DN329" s="61"/>
      <c r="DO329" s="64"/>
      <c r="DP329" s="61"/>
      <c r="DQ329" s="64"/>
      <c r="DR329" s="61"/>
      <c r="DS329" s="64"/>
      <c r="DT329" s="61"/>
      <c r="DU329" s="64"/>
      <c r="DV329" s="61"/>
      <c r="DW329" s="64"/>
      <c r="DX329" s="64"/>
      <c r="DY329" s="64"/>
      <c r="DZ329" s="61"/>
      <c r="EA329" s="64"/>
      <c r="EB329" s="61"/>
      <c r="EC329" s="64"/>
      <c r="ED329" s="61"/>
      <c r="EE329" s="64"/>
      <c r="EF329" s="61"/>
      <c r="EG329" s="64"/>
      <c r="EH329" s="61"/>
      <c r="EI329" s="64"/>
      <c r="EJ329" s="61"/>
      <c r="EK329" s="64"/>
      <c r="EL329" s="61"/>
      <c r="EM329" s="64"/>
      <c r="EN329" s="61"/>
      <c r="EO329" s="64"/>
      <c r="EP329" s="61"/>
      <c r="EQ329" s="64"/>
      <c r="ER329" s="61"/>
      <c r="ES329" s="64"/>
      <c r="ET329" s="61"/>
      <c r="EU329" s="64"/>
      <c r="EV329" s="61"/>
      <c r="EW329" s="64"/>
      <c r="EX329" s="61"/>
      <c r="EY329" s="64"/>
      <c r="EZ329" s="558"/>
      <c r="FA329" s="64"/>
      <c r="FB329" s="66"/>
      <c r="FC329" s="66"/>
      <c r="FD329" s="66"/>
      <c r="FE329" s="67"/>
      <c r="FF329" s="66"/>
      <c r="FG329" s="67"/>
      <c r="FH329" s="66"/>
      <c r="FI329" s="67"/>
      <c r="FJ329" s="66"/>
      <c r="FK329" s="67"/>
      <c r="FL329" s="66"/>
      <c r="FM329" s="61"/>
      <c r="FN329" s="66"/>
      <c r="FO329" s="61"/>
      <c r="FP329" s="65"/>
      <c r="FQ329" s="61"/>
      <c r="FR329" s="65"/>
      <c r="FS329" s="61"/>
      <c r="FT329" s="65"/>
      <c r="FU329" s="61"/>
      <c r="FV329" s="65"/>
      <c r="FW329" s="61"/>
      <c r="FX329" s="65"/>
      <c r="FY329" s="61"/>
      <c r="FZ329" s="65"/>
      <c r="GA329" s="61"/>
      <c r="GB329" s="65"/>
      <c r="GC329" s="61"/>
      <c r="GD329" s="65"/>
      <c r="GE329" s="61"/>
      <c r="GF329" s="65"/>
      <c r="GG329" s="61"/>
      <c r="GH329" s="65"/>
      <c r="GI329" s="61"/>
      <c r="GJ329" s="65"/>
      <c r="GK329" s="61"/>
      <c r="GL329" s="65"/>
      <c r="GM329" s="61"/>
      <c r="GN329" s="65"/>
      <c r="GO329" s="61"/>
      <c r="GP329" s="65"/>
      <c r="GQ329" s="61"/>
      <c r="GR329" s="64"/>
      <c r="GS329" s="61"/>
      <c r="GT329" s="64"/>
      <c r="GU329" s="61"/>
      <c r="GV329" s="64"/>
      <c r="GW329" s="61"/>
      <c r="GX329" s="64"/>
      <c r="GY329" s="61"/>
      <c r="GZ329" s="61" t="str">
        <f t="shared" si="2131"/>
        <v/>
      </c>
      <c r="HA329" s="61"/>
      <c r="HB329" s="452"/>
      <c r="HC329"/>
      <c r="HD329"/>
      <c r="HE329"/>
      <c r="HF329"/>
      <c r="HG329"/>
      <c r="HH329"/>
    </row>
    <row r="330" spans="2:216" s="5" customFormat="1" ht="12.75" hidden="1" customHeight="1" outlineLevel="1" x14ac:dyDescent="0.2">
      <c r="B330" s="63" t="s">
        <v>497</v>
      </c>
      <c r="C330" s="66"/>
      <c r="D330" s="67"/>
      <c r="E330" s="66"/>
      <c r="F330" s="66"/>
      <c r="G330" s="64"/>
      <c r="H330" s="66"/>
      <c r="I330" s="64"/>
      <c r="J330" s="66"/>
      <c r="K330" s="64"/>
      <c r="L330" s="61"/>
      <c r="M330" s="64"/>
      <c r="N330" s="61"/>
      <c r="O330" s="64"/>
      <c r="P330" s="61"/>
      <c r="Q330" s="64"/>
      <c r="R330" s="61"/>
      <c r="S330" s="64"/>
      <c r="T330" s="61"/>
      <c r="U330" s="64"/>
      <c r="V330" s="61"/>
      <c r="W330" s="64"/>
      <c r="X330" s="61"/>
      <c r="Y330" s="64"/>
      <c r="Z330" s="107"/>
      <c r="AA330" s="64"/>
      <c r="AB330" s="61"/>
      <c r="AC330" s="64"/>
      <c r="AD330" s="61"/>
      <c r="AE330" s="64"/>
      <c r="AF330" s="61"/>
      <c r="AG330" s="64"/>
      <c r="AH330" s="61"/>
      <c r="AI330" s="64"/>
      <c r="AJ330" s="61"/>
      <c r="AK330" s="64"/>
      <c r="AL330" s="61"/>
      <c r="AM330" s="64"/>
      <c r="AN330" s="61"/>
      <c r="AO330" s="64"/>
      <c r="AP330" s="61"/>
      <c r="AQ330" s="64"/>
      <c r="AR330" s="61"/>
      <c r="AS330" s="64"/>
      <c r="AT330" s="61"/>
      <c r="AU330" s="64"/>
      <c r="AV330" s="61"/>
      <c r="AW330" s="64"/>
      <c r="AX330" s="61"/>
      <c r="AY330" s="64"/>
      <c r="AZ330" s="61"/>
      <c r="BA330" s="64"/>
      <c r="BB330" s="61"/>
      <c r="BC330" s="64"/>
      <c r="BD330" s="61"/>
      <c r="BE330" s="64"/>
      <c r="BF330" s="61"/>
      <c r="BG330" s="64"/>
      <c r="BH330" s="61"/>
      <c r="BI330" s="64"/>
      <c r="BJ330" s="61"/>
      <c r="BK330" s="64"/>
      <c r="BL330" s="61"/>
      <c r="BM330" s="64"/>
      <c r="BN330" s="61"/>
      <c r="BO330" s="64"/>
      <c r="BP330" s="61"/>
      <c r="BQ330" s="64"/>
      <c r="BR330" s="61"/>
      <c r="BS330" s="64"/>
      <c r="BT330" s="61"/>
      <c r="BU330" s="64"/>
      <c r="BV330" s="61"/>
      <c r="BW330" s="158"/>
      <c r="BX330" s="61"/>
      <c r="BY330" s="158"/>
      <c r="BZ330" s="61"/>
      <c r="CA330" s="158"/>
      <c r="CB330" s="61"/>
      <c r="CC330" s="158"/>
      <c r="CD330" s="61"/>
      <c r="CE330" s="158"/>
      <c r="CF330" s="61"/>
      <c r="CG330" s="158"/>
      <c r="CH330" s="61"/>
      <c r="CI330" s="158"/>
      <c r="CJ330" s="61"/>
      <c r="CK330" s="158"/>
      <c r="CL330" s="61"/>
      <c r="CM330" s="158"/>
      <c r="CN330" s="61"/>
      <c r="CO330" s="158"/>
      <c r="CP330" s="61"/>
      <c r="CQ330" s="158"/>
      <c r="CR330" s="61"/>
      <c r="CS330" s="158"/>
      <c r="CT330" s="61"/>
      <c r="CU330" s="158"/>
      <c r="CV330" s="61"/>
      <c r="CW330" s="158"/>
      <c r="CX330" s="61"/>
      <c r="CY330" s="158"/>
      <c r="CZ330" s="61"/>
      <c r="DA330" s="158"/>
      <c r="DB330" s="61"/>
      <c r="DC330" s="158"/>
      <c r="DD330" s="61"/>
      <c r="DE330" s="158"/>
      <c r="DF330" s="61"/>
      <c r="DG330" s="158"/>
      <c r="DH330" s="61"/>
      <c r="DI330" s="158"/>
      <c r="DJ330" s="61"/>
      <c r="DK330" s="158"/>
      <c r="DL330" s="61"/>
      <c r="DM330" s="158"/>
      <c r="DN330" s="61"/>
      <c r="DO330" s="158"/>
      <c r="DP330" s="61"/>
      <c r="DQ330" s="158"/>
      <c r="DR330" s="61"/>
      <c r="DS330" s="158"/>
      <c r="DT330" s="61"/>
      <c r="DU330" s="158"/>
      <c r="DV330" s="61"/>
      <c r="DW330" s="158"/>
      <c r="DX330" s="158"/>
      <c r="DY330" s="158"/>
      <c r="DZ330" s="61"/>
      <c r="EA330" s="158"/>
      <c r="EB330" s="61"/>
      <c r="EC330" s="158"/>
      <c r="ED330" s="61"/>
      <c r="EE330" s="158"/>
      <c r="EF330" s="61"/>
      <c r="EG330" s="158"/>
      <c r="EH330" s="61"/>
      <c r="EI330" s="158"/>
      <c r="EJ330" s="61"/>
      <c r="EK330" s="158"/>
      <c r="EL330" s="61"/>
      <c r="EM330" s="158"/>
      <c r="EN330" s="61"/>
      <c r="EO330" s="158"/>
      <c r="EP330" s="61"/>
      <c r="EQ330" s="158"/>
      <c r="ER330" s="61"/>
      <c r="ES330" s="158"/>
      <c r="ET330" s="61"/>
      <c r="EU330" s="158"/>
      <c r="EV330" s="61"/>
      <c r="EW330" s="158"/>
      <c r="EX330" s="61"/>
      <c r="EY330" s="64"/>
      <c r="EZ330" s="558"/>
      <c r="FA330" s="64"/>
      <c r="FB330" s="66"/>
      <c r="FC330" s="66"/>
      <c r="FD330" s="66"/>
      <c r="FE330" s="67"/>
      <c r="FF330" s="66"/>
      <c r="FG330" s="67"/>
      <c r="FH330" s="66"/>
      <c r="FI330" s="67"/>
      <c r="FJ330" s="66"/>
      <c r="FK330" s="67"/>
      <c r="FL330" s="66"/>
      <c r="FM330" s="61"/>
      <c r="FN330" s="66"/>
      <c r="FO330" s="61"/>
      <c r="FP330" s="165"/>
      <c r="FQ330" s="61"/>
      <c r="FR330" s="165"/>
      <c r="FS330" s="61"/>
      <c r="FT330" s="165"/>
      <c r="FU330" s="61"/>
      <c r="FV330" s="165"/>
      <c r="FW330" s="61"/>
      <c r="FX330" s="165"/>
      <c r="FY330" s="61"/>
      <c r="FZ330" s="165"/>
      <c r="GA330" s="61"/>
      <c r="GB330" s="165"/>
      <c r="GC330" s="61"/>
      <c r="GD330" s="165"/>
      <c r="GE330" s="61"/>
      <c r="GF330" s="165"/>
      <c r="GG330" s="61"/>
      <c r="GH330" s="165"/>
      <c r="GI330" s="61"/>
      <c r="GJ330" s="165"/>
      <c r="GK330" s="61"/>
      <c r="GL330" s="165"/>
      <c r="GM330" s="61"/>
      <c r="GN330" s="165"/>
      <c r="GO330" s="61"/>
      <c r="GP330" s="165"/>
      <c r="GQ330" s="61"/>
      <c r="GR330" s="158"/>
      <c r="GS330" s="61"/>
      <c r="GT330" s="158"/>
      <c r="GU330" s="61"/>
      <c r="GV330" s="158"/>
      <c r="GW330" s="61"/>
      <c r="GX330" s="158"/>
      <c r="GY330" s="61"/>
      <c r="GZ330" s="61" t="str">
        <f t="shared" si="2131"/>
        <v/>
      </c>
      <c r="HA330" s="61"/>
      <c r="HB330" s="452"/>
      <c r="HC330"/>
      <c r="HD330"/>
      <c r="HE330"/>
      <c r="HF330"/>
      <c r="HG330"/>
      <c r="HH330"/>
    </row>
    <row r="331" spans="2:216" s="5" customFormat="1" ht="12.75" hidden="1" customHeight="1" outlineLevel="1" x14ac:dyDescent="0.2">
      <c r="B331" s="2" t="s">
        <v>349</v>
      </c>
      <c r="C331" s="72"/>
      <c r="D331" s="70"/>
      <c r="E331" s="72"/>
      <c r="F331" s="71"/>
      <c r="G331" s="74"/>
      <c r="H331" s="71"/>
      <c r="I331" s="74"/>
      <c r="J331" s="61"/>
      <c r="K331" s="74"/>
      <c r="L331" s="61"/>
      <c r="M331" s="72"/>
      <c r="N331" s="61"/>
      <c r="O331" s="74"/>
      <c r="P331" s="61"/>
      <c r="Q331" s="74"/>
      <c r="R331" s="61"/>
      <c r="S331" s="74"/>
      <c r="T331" s="61"/>
      <c r="U331" s="74"/>
      <c r="V331" s="61"/>
      <c r="W331" s="74"/>
      <c r="X331" s="61"/>
      <c r="Y331" s="74"/>
      <c r="Z331" s="61"/>
      <c r="AA331" s="74"/>
      <c r="AB331" s="61"/>
      <c r="AC331" s="74"/>
      <c r="AD331" s="61"/>
      <c r="AE331" s="74"/>
      <c r="AF331" s="61"/>
      <c r="AG331" s="74"/>
      <c r="AH331" s="61"/>
      <c r="AI331" s="74"/>
      <c r="AJ331" s="61"/>
      <c r="AK331" s="74"/>
      <c r="AL331" s="61"/>
      <c r="AM331" s="74"/>
      <c r="AN331" s="61"/>
      <c r="AO331" s="74"/>
      <c r="AP331" s="61"/>
      <c r="AQ331" s="74">
        <v>31.8</v>
      </c>
      <c r="AR331" s="61" t="str">
        <f t="shared" ref="AR331:AR336" si="2255">IF(ISERROR((AQ331/AI331-1)*100),"NA",IF(((AQ331/AI331-1)*100)&gt;100,"NM",IF(((AQ331/AI331-1)*100)&lt;-50,"NM",(AQ331/AI331-1)*100)))</f>
        <v>NA</v>
      </c>
      <c r="AS331" s="74">
        <v>30.7</v>
      </c>
      <c r="AT331" s="61" t="str">
        <f t="shared" ref="AT331:AT336" si="2256">IF(ISERROR((AS331/AK331-1)*100),"NA",IF(((AS331/AK331-1)*100)&gt;100,"NM",IF(((AS331/AK331-1)*100)&lt;-50,"NM",(AS331/AK331-1)*100)))</f>
        <v>NA</v>
      </c>
      <c r="AU331" s="74">
        <v>39.9</v>
      </c>
      <c r="AV331" s="61" t="str">
        <f t="shared" ref="AV331:AX336" si="2257">IF(ISERROR((AU331/AM331-1)*100),"NA",IF(((AU331/AM331-1)*100)&gt;100,"NM",IF(((AU331/AM331-1)*100)&lt;-50,"NM",(AU331/AM331-1)*100)))</f>
        <v>NA</v>
      </c>
      <c r="AW331" s="74">
        <v>31.2</v>
      </c>
      <c r="AX331" s="61" t="str">
        <f t="shared" si="2257"/>
        <v>NA</v>
      </c>
      <c r="AY331" s="74">
        <v>32.799999999999997</v>
      </c>
      <c r="AZ331" s="61">
        <f t="shared" ref="AZ331:AZ336" si="2258">IF(ISERROR((AY331/AQ331-1)*100),"NA",IF(((AY331/AQ331-1)*100)&gt;100,"NM",IF(((AY331/AQ331-1)*100)&lt;-50,"NM",(AY331/AQ331-1)*100)))</f>
        <v>3.1446540880503138</v>
      </c>
      <c r="BA331" s="74">
        <v>30.4</v>
      </c>
      <c r="BB331" s="61">
        <f t="shared" ref="BB331:BB336" si="2259">IF(ISERROR((BA331/AS331-1)*100),"NA",IF(((BA331/AS331-1)*100)&gt;100,"NM",IF(((BA331/AS331-1)*100)&lt;-50,"NM",(BA331/AS331-1)*100)))</f>
        <v>-0.97719869706840434</v>
      </c>
      <c r="BC331" s="74">
        <v>35.6</v>
      </c>
      <c r="BD331" s="61">
        <f t="shared" ref="BD331:BD336" si="2260">IF(ISERROR((BC331/AU331-1)*100),"NA",IF(((BC331/AU331-1)*100)&gt;100,"NM",IF(((BC331/AU331-1)*100)&lt;-50,"NM",(BC331/AU331-1)*100)))</f>
        <v>-10.776942355889718</v>
      </c>
      <c r="BE331" s="74">
        <v>39.700000000000003</v>
      </c>
      <c r="BF331" s="61">
        <f t="shared" ref="BF331:BH336" si="2261">IF(ISERROR((BE331/AW331-1)*100),"NA",IF(((BE331/AW331-1)*100)&gt;100,"NM",IF(((BE331/AW331-1)*100)&lt;-50,"NM",(BE331/AW331-1)*100)))</f>
        <v>27.243589743589759</v>
      </c>
      <c r="BG331" s="74">
        <v>2.8</v>
      </c>
      <c r="BH331" s="61" t="str">
        <f t="shared" si="2261"/>
        <v>NM</v>
      </c>
      <c r="BI331" s="74">
        <v>2.7</v>
      </c>
      <c r="BJ331" s="61"/>
      <c r="BK331" s="74"/>
      <c r="BL331" s="61"/>
      <c r="BM331" s="74"/>
      <c r="BN331" s="61"/>
      <c r="BO331" s="74"/>
      <c r="BP331" s="61"/>
      <c r="BQ331" s="74"/>
      <c r="BR331" s="61"/>
      <c r="BS331" s="74"/>
      <c r="BT331" s="61"/>
      <c r="BU331" s="74"/>
      <c r="BV331" s="61"/>
      <c r="BW331" s="71"/>
      <c r="BX331" s="61"/>
      <c r="BY331" s="71"/>
      <c r="BZ331" s="61"/>
      <c r="CA331" s="71"/>
      <c r="CB331" s="61"/>
      <c r="CC331" s="71"/>
      <c r="CD331" s="61"/>
      <c r="CE331" s="71"/>
      <c r="CF331" s="61"/>
      <c r="CG331" s="71"/>
      <c r="CH331" s="61"/>
      <c r="CI331" s="71"/>
      <c r="CJ331" s="61"/>
      <c r="CK331" s="71"/>
      <c r="CL331" s="61"/>
      <c r="CM331" s="71"/>
      <c r="CN331" s="61"/>
      <c r="CO331" s="71"/>
      <c r="CP331" s="61"/>
      <c r="CQ331" s="71"/>
      <c r="CR331" s="61"/>
      <c r="CS331" s="71"/>
      <c r="CT331" s="61"/>
      <c r="CU331" s="71"/>
      <c r="CV331" s="61"/>
      <c r="CW331" s="71"/>
      <c r="CX331" s="61"/>
      <c r="CY331" s="71"/>
      <c r="CZ331" s="61"/>
      <c r="DA331" s="71"/>
      <c r="DB331" s="61"/>
      <c r="DC331" s="71"/>
      <c r="DD331" s="61"/>
      <c r="DE331" s="71"/>
      <c r="DF331" s="61"/>
      <c r="DG331" s="71"/>
      <c r="DH331" s="61"/>
      <c r="DI331" s="71"/>
      <c r="DJ331" s="61"/>
      <c r="DK331" s="71"/>
      <c r="DL331" s="61"/>
      <c r="DM331" s="71"/>
      <c r="DN331" s="61"/>
      <c r="DO331" s="71"/>
      <c r="DP331" s="61"/>
      <c r="DQ331" s="71"/>
      <c r="DR331" s="61"/>
      <c r="DS331" s="71"/>
      <c r="DT331" s="61"/>
      <c r="DU331" s="71"/>
      <c r="DV331" s="61"/>
      <c r="DW331" s="71"/>
      <c r="DX331" s="71"/>
      <c r="DY331" s="71"/>
      <c r="DZ331" s="61"/>
      <c r="EA331" s="71"/>
      <c r="EB331" s="61"/>
      <c r="EC331" s="71"/>
      <c r="ED331" s="61"/>
      <c r="EE331" s="71"/>
      <c r="EF331" s="61"/>
      <c r="EG331" s="71"/>
      <c r="EH331" s="61"/>
      <c r="EI331" s="71"/>
      <c r="EJ331" s="61"/>
      <c r="EK331" s="71"/>
      <c r="EL331" s="61"/>
      <c r="EM331" s="71"/>
      <c r="EN331" s="61"/>
      <c r="EO331" s="71"/>
      <c r="EP331" s="61"/>
      <c r="EQ331" s="71"/>
      <c r="ER331" s="61"/>
      <c r="ES331" s="71"/>
      <c r="ET331" s="61"/>
      <c r="EU331" s="71"/>
      <c r="EV331" s="61"/>
      <c r="EW331" s="71"/>
      <c r="EX331" s="61"/>
      <c r="EY331" s="64"/>
      <c r="EZ331" s="558"/>
      <c r="FA331" s="64"/>
      <c r="FB331" s="72"/>
      <c r="FC331" s="71"/>
      <c r="FD331" s="72"/>
      <c r="FE331" s="70"/>
      <c r="FF331" s="69"/>
      <c r="FG331" s="70"/>
      <c r="FH331" s="69"/>
      <c r="FI331" s="70"/>
      <c r="FJ331" s="69"/>
      <c r="FK331" s="70"/>
      <c r="FL331" s="69"/>
      <c r="FM331" s="61"/>
      <c r="FN331" s="69"/>
      <c r="FO331" s="61"/>
      <c r="FP331" s="65">
        <f>AQ331+AS331+AU331+AW331</f>
        <v>133.6</v>
      </c>
      <c r="FQ331" s="61" t="str">
        <f t="shared" ref="FQ331:FS336" si="2262">IF(ISERROR((FP331/FN331-1)*100),"NA",IF(((FP331/FN331-1)*100)&gt;100,"NM",IF(((FP331/FN331-1)*100)&lt;-50,"NM",(FP331/FN331-1)*100)))</f>
        <v>NA</v>
      </c>
      <c r="FR331" s="65">
        <f>AY331+BA331+BC331+BE331</f>
        <v>138.5</v>
      </c>
      <c r="FS331" s="61">
        <f t="shared" si="2262"/>
        <v>3.667664670658688</v>
      </c>
      <c r="FT331" s="65">
        <f>BG331+BI331+BK331+BM331</f>
        <v>5.5</v>
      </c>
      <c r="FU331" s="61"/>
      <c r="FV331" s="65"/>
      <c r="FW331" s="61"/>
      <c r="FX331" s="75"/>
      <c r="FY331" s="61"/>
      <c r="FZ331" s="75"/>
      <c r="GA331" s="61"/>
      <c r="GB331" s="75"/>
      <c r="GC331" s="61"/>
      <c r="GD331" s="75"/>
      <c r="GE331" s="61"/>
      <c r="GF331" s="75"/>
      <c r="GG331" s="61"/>
      <c r="GH331" s="75"/>
      <c r="GI331" s="61"/>
      <c r="GJ331" s="75"/>
      <c r="GK331" s="61"/>
      <c r="GL331" s="75"/>
      <c r="GM331" s="61"/>
      <c r="GN331" s="75"/>
      <c r="GO331" s="61"/>
      <c r="GP331" s="75"/>
      <c r="GQ331" s="61"/>
      <c r="GR331" s="71"/>
      <c r="GS331" s="61"/>
      <c r="GT331" s="71"/>
      <c r="GU331" s="61"/>
      <c r="GV331" s="71"/>
      <c r="GW331" s="61"/>
      <c r="GX331" s="71"/>
      <c r="GY331" s="61"/>
      <c r="GZ331" s="61" t="str">
        <f t="shared" si="2131"/>
        <v/>
      </c>
      <c r="HA331" s="61"/>
      <c r="HB331" s="452"/>
      <c r="HC331"/>
      <c r="HD331"/>
      <c r="HE331"/>
      <c r="HF331"/>
      <c r="HG331"/>
      <c r="HH331"/>
    </row>
    <row r="332" spans="2:216" s="5" customFormat="1" ht="12.75" hidden="1" customHeight="1" outlineLevel="1" x14ac:dyDescent="0.2">
      <c r="B332" s="2" t="s">
        <v>162</v>
      </c>
      <c r="C332" s="72"/>
      <c r="D332" s="70"/>
      <c r="E332" s="72"/>
      <c r="F332" s="71"/>
      <c r="G332" s="74"/>
      <c r="H332" s="71"/>
      <c r="I332" s="74"/>
      <c r="J332" s="61"/>
      <c r="K332" s="74"/>
      <c r="L332" s="61"/>
      <c r="M332" s="72"/>
      <c r="N332" s="61"/>
      <c r="O332" s="74"/>
      <c r="P332" s="61"/>
      <c r="Q332" s="74"/>
      <c r="R332" s="61"/>
      <c r="S332" s="74"/>
      <c r="T332" s="61"/>
      <c r="U332" s="74"/>
      <c r="V332" s="61"/>
      <c r="W332" s="74"/>
      <c r="X332" s="61"/>
      <c r="Y332" s="74"/>
      <c r="Z332" s="61"/>
      <c r="AA332" s="74"/>
      <c r="AB332" s="61"/>
      <c r="AC332" s="74"/>
      <c r="AD332" s="61"/>
      <c r="AE332" s="74"/>
      <c r="AF332" s="61"/>
      <c r="AG332" s="74"/>
      <c r="AH332" s="61"/>
      <c r="AI332" s="74"/>
      <c r="AJ332" s="61"/>
      <c r="AK332" s="74"/>
      <c r="AL332" s="61"/>
      <c r="AM332" s="74"/>
      <c r="AN332" s="61"/>
      <c r="AO332" s="74"/>
      <c r="AP332" s="61"/>
      <c r="AQ332" s="74">
        <v>9.3000000000000007</v>
      </c>
      <c r="AR332" s="61" t="str">
        <f t="shared" si="2255"/>
        <v>NA</v>
      </c>
      <c r="AS332" s="74">
        <v>9.6</v>
      </c>
      <c r="AT332" s="61" t="str">
        <f t="shared" si="2256"/>
        <v>NA</v>
      </c>
      <c r="AU332" s="74">
        <v>10.4</v>
      </c>
      <c r="AV332" s="61" t="str">
        <f t="shared" si="2257"/>
        <v>NA</v>
      </c>
      <c r="AW332" s="74">
        <v>9.5</v>
      </c>
      <c r="AX332" s="61" t="str">
        <f t="shared" si="2257"/>
        <v>NA</v>
      </c>
      <c r="AY332" s="74">
        <v>9.3000000000000007</v>
      </c>
      <c r="AZ332" s="61">
        <f t="shared" si="2258"/>
        <v>0</v>
      </c>
      <c r="BA332" s="74">
        <v>40.200000000000003</v>
      </c>
      <c r="BB332" s="61" t="str">
        <f t="shared" si="2259"/>
        <v>NM</v>
      </c>
      <c r="BC332" s="74">
        <v>39.9</v>
      </c>
      <c r="BD332" s="61" t="str">
        <f t="shared" si="2260"/>
        <v>NM</v>
      </c>
      <c r="BE332" s="74">
        <v>42</v>
      </c>
      <c r="BF332" s="61" t="str">
        <f t="shared" si="2261"/>
        <v>NM</v>
      </c>
      <c r="BG332" s="74">
        <v>38.200000000000003</v>
      </c>
      <c r="BH332" s="61" t="str">
        <f t="shared" si="2261"/>
        <v>NM</v>
      </c>
      <c r="BI332" s="74">
        <v>38.1</v>
      </c>
      <c r="BJ332" s="61"/>
      <c r="BK332" s="74"/>
      <c r="BL332" s="61"/>
      <c r="BM332" s="74"/>
      <c r="BN332" s="61"/>
      <c r="BO332" s="74"/>
      <c r="BP332" s="61"/>
      <c r="BQ332" s="74"/>
      <c r="BR332" s="61"/>
      <c r="BS332" s="74"/>
      <c r="BT332" s="61"/>
      <c r="BU332" s="74"/>
      <c r="BV332" s="61"/>
      <c r="BW332" s="71"/>
      <c r="BX332" s="61"/>
      <c r="BY332" s="71"/>
      <c r="BZ332" s="61"/>
      <c r="CA332" s="71"/>
      <c r="CB332" s="61"/>
      <c r="CC332" s="71"/>
      <c r="CD332" s="61"/>
      <c r="CE332" s="71"/>
      <c r="CF332" s="61"/>
      <c r="CG332" s="71"/>
      <c r="CH332" s="61"/>
      <c r="CI332" s="71"/>
      <c r="CJ332" s="61"/>
      <c r="CK332" s="71"/>
      <c r="CL332" s="61"/>
      <c r="CM332" s="71"/>
      <c r="CN332" s="61"/>
      <c r="CO332" s="71"/>
      <c r="CP332" s="61"/>
      <c r="CQ332" s="71"/>
      <c r="CR332" s="61"/>
      <c r="CS332" s="71"/>
      <c r="CT332" s="61"/>
      <c r="CU332" s="71"/>
      <c r="CV332" s="61"/>
      <c r="CW332" s="71"/>
      <c r="CX332" s="61"/>
      <c r="CY332" s="71"/>
      <c r="CZ332" s="61"/>
      <c r="DA332" s="71"/>
      <c r="DB332" s="61"/>
      <c r="DC332" s="71"/>
      <c r="DD332" s="61"/>
      <c r="DE332" s="71"/>
      <c r="DF332" s="61"/>
      <c r="DG332" s="71"/>
      <c r="DH332" s="61"/>
      <c r="DI332" s="71"/>
      <c r="DJ332" s="61"/>
      <c r="DK332" s="71"/>
      <c r="DL332" s="61"/>
      <c r="DM332" s="71"/>
      <c r="DN332" s="61"/>
      <c r="DO332" s="71"/>
      <c r="DP332" s="61"/>
      <c r="DQ332" s="71"/>
      <c r="DR332" s="61"/>
      <c r="DS332" s="71"/>
      <c r="DT332" s="61"/>
      <c r="DU332" s="71"/>
      <c r="DV332" s="61"/>
      <c r="DW332" s="71"/>
      <c r="DX332" s="71"/>
      <c r="DY332" s="71"/>
      <c r="DZ332" s="61"/>
      <c r="EA332" s="71"/>
      <c r="EB332" s="61"/>
      <c r="EC332" s="71"/>
      <c r="ED332" s="61"/>
      <c r="EE332" s="71"/>
      <c r="EF332" s="61"/>
      <c r="EG332" s="71"/>
      <c r="EH332" s="61"/>
      <c r="EI332" s="71"/>
      <c r="EJ332" s="61"/>
      <c r="EK332" s="71"/>
      <c r="EL332" s="61"/>
      <c r="EM332" s="71"/>
      <c r="EN332" s="61"/>
      <c r="EO332" s="71"/>
      <c r="EP332" s="61"/>
      <c r="EQ332" s="71"/>
      <c r="ER332" s="61"/>
      <c r="ES332" s="71"/>
      <c r="ET332" s="61"/>
      <c r="EU332" s="71"/>
      <c r="EV332" s="61"/>
      <c r="EW332" s="71"/>
      <c r="EX332" s="61"/>
      <c r="EY332" s="64"/>
      <c r="EZ332" s="558"/>
      <c r="FA332" s="64"/>
      <c r="FB332" s="72"/>
      <c r="FC332" s="71"/>
      <c r="FD332" s="72"/>
      <c r="FE332" s="70"/>
      <c r="FF332" s="69"/>
      <c r="FG332" s="70"/>
      <c r="FH332" s="69"/>
      <c r="FI332" s="70"/>
      <c r="FJ332" s="69"/>
      <c r="FK332" s="70"/>
      <c r="FL332" s="69"/>
      <c r="FM332" s="61"/>
      <c r="FN332" s="69"/>
      <c r="FO332" s="61"/>
      <c r="FP332" s="65">
        <f>AQ332+AS332+AU332+AW332</f>
        <v>38.799999999999997</v>
      </c>
      <c r="FQ332" s="61" t="str">
        <f>IF(ISERROR((FP332/FN332-1)*100),"NA",IF(((FP332/FN332-1)*100)&gt;100,"NM",IF(((FP332/FN332-1)*100)&lt;-50,"NM",(FP332/FN332-1)*100)))</f>
        <v>NA</v>
      </c>
      <c r="FR332" s="65">
        <f>AY332+BA332+BC332+BE332</f>
        <v>131.4</v>
      </c>
      <c r="FS332" s="61" t="str">
        <f>IF(ISERROR((FR332/FP332-1)*100),"NA",IF(((FR332/FP332-1)*100)&gt;100,"NM",IF(((FR332/FP332-1)*100)&lt;-50,"NM",(FR332/FP332-1)*100)))</f>
        <v>NM</v>
      </c>
      <c r="FT332" s="65">
        <f>BG332+BI332+BK332+BM332</f>
        <v>76.300000000000011</v>
      </c>
      <c r="FU332" s="61"/>
      <c r="FV332" s="65"/>
      <c r="FW332" s="61"/>
      <c r="FX332" s="75"/>
      <c r="FY332" s="61"/>
      <c r="FZ332" s="75"/>
      <c r="GA332" s="61"/>
      <c r="GB332" s="75"/>
      <c r="GC332" s="61"/>
      <c r="GD332" s="75"/>
      <c r="GE332" s="61"/>
      <c r="GF332" s="75"/>
      <c r="GG332" s="61"/>
      <c r="GH332" s="75"/>
      <c r="GI332" s="61"/>
      <c r="GJ332" s="75"/>
      <c r="GK332" s="61"/>
      <c r="GL332" s="75"/>
      <c r="GM332" s="61"/>
      <c r="GN332" s="75"/>
      <c r="GO332" s="61"/>
      <c r="GP332" s="75"/>
      <c r="GQ332" s="61"/>
      <c r="GR332" s="71"/>
      <c r="GS332" s="61"/>
      <c r="GT332" s="71"/>
      <c r="GU332" s="61"/>
      <c r="GV332" s="71"/>
      <c r="GW332" s="61"/>
      <c r="GX332" s="71"/>
      <c r="GY332" s="61"/>
      <c r="GZ332" s="61" t="str">
        <f t="shared" si="2131"/>
        <v/>
      </c>
      <c r="HA332" s="61"/>
      <c r="HB332" s="452"/>
      <c r="HC332"/>
      <c r="HD332"/>
      <c r="HE332"/>
      <c r="HF332"/>
      <c r="HG332"/>
      <c r="HH332"/>
    </row>
    <row r="333" spans="2:216" s="5" customFormat="1" ht="12.75" hidden="1" customHeight="1" outlineLevel="1" x14ac:dyDescent="0.2">
      <c r="B333" s="2" t="s">
        <v>350</v>
      </c>
      <c r="C333" s="69"/>
      <c r="D333" s="70"/>
      <c r="E333" s="69"/>
      <c r="F333" s="71"/>
      <c r="G333" s="69"/>
      <c r="H333" s="71"/>
      <c r="I333" s="69"/>
      <c r="J333" s="61"/>
      <c r="K333" s="69"/>
      <c r="L333" s="61"/>
      <c r="M333" s="69"/>
      <c r="N333" s="61"/>
      <c r="O333" s="69"/>
      <c r="P333" s="61"/>
      <c r="Q333" s="69"/>
      <c r="R333" s="61"/>
      <c r="S333" s="69"/>
      <c r="T333" s="61"/>
      <c r="U333" s="69"/>
      <c r="V333" s="61"/>
      <c r="W333" s="69"/>
      <c r="X333" s="61"/>
      <c r="Y333" s="69"/>
      <c r="Z333" s="61"/>
      <c r="AA333" s="69"/>
      <c r="AB333" s="61"/>
      <c r="AC333" s="69"/>
      <c r="AD333" s="61"/>
      <c r="AE333" s="69"/>
      <c r="AF333" s="61"/>
      <c r="AG333" s="69"/>
      <c r="AH333" s="61"/>
      <c r="AI333" s="69"/>
      <c r="AJ333" s="61"/>
      <c r="AK333" s="69"/>
      <c r="AL333" s="61"/>
      <c r="AM333" s="69"/>
      <c r="AN333" s="61"/>
      <c r="AO333" s="69"/>
      <c r="AP333" s="61"/>
      <c r="AQ333" s="69">
        <f>AQ335-AQ334</f>
        <v>10.199999999999999</v>
      </c>
      <c r="AR333" s="61" t="str">
        <f t="shared" si="2255"/>
        <v>NA</v>
      </c>
      <c r="AS333" s="69">
        <f>AS335-AS334</f>
        <v>10.199999999999999</v>
      </c>
      <c r="AT333" s="61" t="str">
        <f t="shared" si="2256"/>
        <v>NA</v>
      </c>
      <c r="AU333" s="69">
        <f>AU335-AU334</f>
        <v>14</v>
      </c>
      <c r="AV333" s="61" t="str">
        <f t="shared" si="2257"/>
        <v>NA</v>
      </c>
      <c r="AW333" s="69">
        <f>AW335-AW334</f>
        <v>11.1</v>
      </c>
      <c r="AX333" s="61" t="str">
        <f t="shared" si="2257"/>
        <v>NA</v>
      </c>
      <c r="AY333" s="69">
        <f>AY335-AY334</f>
        <v>10</v>
      </c>
      <c r="AZ333" s="61">
        <f t="shared" si="2258"/>
        <v>-1.9607843137254832</v>
      </c>
      <c r="BA333" s="69">
        <f>BA335-BA334</f>
        <v>12.3</v>
      </c>
      <c r="BB333" s="61">
        <f t="shared" si="2259"/>
        <v>20.588235294117663</v>
      </c>
      <c r="BC333" s="69">
        <f>BC335-BC334</f>
        <v>14.6</v>
      </c>
      <c r="BD333" s="61">
        <f t="shared" si="2260"/>
        <v>4.2857142857142927</v>
      </c>
      <c r="BE333" s="69">
        <f>BE335-BE334</f>
        <v>17.200000000000003</v>
      </c>
      <c r="BF333" s="61">
        <f t="shared" si="2261"/>
        <v>54.954954954954992</v>
      </c>
      <c r="BG333" s="69">
        <f>BG335-BG334</f>
        <v>9.3999999999999986</v>
      </c>
      <c r="BH333" s="61">
        <f t="shared" si="2261"/>
        <v>-6.000000000000016</v>
      </c>
      <c r="BI333" s="69">
        <f>BI335-BI334</f>
        <v>9.7000000000000011</v>
      </c>
      <c r="BJ333" s="61"/>
      <c r="BK333" s="69"/>
      <c r="BL333" s="61"/>
      <c r="BM333" s="69"/>
      <c r="BN333" s="61"/>
      <c r="BO333" s="69"/>
      <c r="BP333" s="61"/>
      <c r="BQ333" s="69"/>
      <c r="BR333" s="61"/>
      <c r="BS333" s="69"/>
      <c r="BT333" s="61"/>
      <c r="BU333" s="69"/>
      <c r="BV333" s="61"/>
      <c r="BW333" s="69"/>
      <c r="BX333" s="61"/>
      <c r="BY333" s="69"/>
      <c r="BZ333" s="61"/>
      <c r="CA333" s="69"/>
      <c r="CB333" s="61"/>
      <c r="CC333" s="69"/>
      <c r="CD333" s="61"/>
      <c r="CE333" s="69"/>
      <c r="CF333" s="61"/>
      <c r="CG333" s="69"/>
      <c r="CH333" s="61"/>
      <c r="CI333" s="69"/>
      <c r="CJ333" s="61"/>
      <c r="CK333" s="69"/>
      <c r="CL333" s="61"/>
      <c r="CM333" s="69"/>
      <c r="CN333" s="61"/>
      <c r="CO333" s="69"/>
      <c r="CP333" s="61"/>
      <c r="CQ333" s="69"/>
      <c r="CR333" s="61"/>
      <c r="CS333" s="69"/>
      <c r="CT333" s="61"/>
      <c r="CU333" s="69"/>
      <c r="CV333" s="61"/>
      <c r="CW333" s="69"/>
      <c r="CX333" s="61"/>
      <c r="CY333" s="69"/>
      <c r="CZ333" s="61"/>
      <c r="DA333" s="69"/>
      <c r="DB333" s="61"/>
      <c r="DC333" s="69"/>
      <c r="DD333" s="61"/>
      <c r="DE333" s="69"/>
      <c r="DF333" s="61"/>
      <c r="DG333" s="69"/>
      <c r="DH333" s="61"/>
      <c r="DI333" s="69"/>
      <c r="DJ333" s="61"/>
      <c r="DK333" s="69"/>
      <c r="DL333" s="61"/>
      <c r="DM333" s="69"/>
      <c r="DN333" s="61"/>
      <c r="DO333" s="69"/>
      <c r="DP333" s="61"/>
      <c r="DQ333" s="69"/>
      <c r="DR333" s="61"/>
      <c r="DS333" s="69"/>
      <c r="DT333" s="61"/>
      <c r="DU333" s="69"/>
      <c r="DV333" s="61"/>
      <c r="DW333" s="69"/>
      <c r="DX333" s="69"/>
      <c r="DY333" s="69"/>
      <c r="DZ333" s="61"/>
      <c r="EA333" s="69"/>
      <c r="EB333" s="61"/>
      <c r="EC333" s="69"/>
      <c r="ED333" s="61"/>
      <c r="EE333" s="69"/>
      <c r="EF333" s="61"/>
      <c r="EG333" s="69"/>
      <c r="EH333" s="61"/>
      <c r="EI333" s="69"/>
      <c r="EJ333" s="61"/>
      <c r="EK333" s="69"/>
      <c r="EL333" s="61"/>
      <c r="EM333" s="69"/>
      <c r="EN333" s="61"/>
      <c r="EO333" s="69"/>
      <c r="EP333" s="61"/>
      <c r="EQ333" s="69"/>
      <c r="ER333" s="61"/>
      <c r="ES333" s="69"/>
      <c r="ET333" s="61"/>
      <c r="EU333" s="69"/>
      <c r="EV333" s="61"/>
      <c r="EW333" s="69"/>
      <c r="EX333" s="61"/>
      <c r="EY333" s="74"/>
      <c r="EZ333" s="558"/>
      <c r="FA333" s="74"/>
      <c r="FB333" s="69"/>
      <c r="FC333" s="91"/>
      <c r="FD333" s="69"/>
      <c r="FE333" s="126"/>
      <c r="FF333" s="69"/>
      <c r="FG333" s="126"/>
      <c r="FH333" s="69"/>
      <c r="FI333" s="126"/>
      <c r="FJ333" s="69"/>
      <c r="FK333" s="126"/>
      <c r="FL333" s="69"/>
      <c r="FM333" s="126"/>
      <c r="FN333" s="69"/>
      <c r="FO333" s="126"/>
      <c r="FP333" s="73">
        <f>AQ333+AS333+AU333+AW333</f>
        <v>45.5</v>
      </c>
      <c r="FQ333" s="61" t="str">
        <f t="shared" si="2262"/>
        <v>NA</v>
      </c>
      <c r="FR333" s="73">
        <f>AY333+BA333+BC333+BE333</f>
        <v>54.1</v>
      </c>
      <c r="FS333" s="61">
        <f t="shared" si="2262"/>
        <v>18.901098901098901</v>
      </c>
      <c r="FT333" s="73">
        <f>BG333+BI333+BK333+BM333</f>
        <v>19.100000000000001</v>
      </c>
      <c r="FU333" s="61"/>
      <c r="FV333" s="73"/>
      <c r="FW333" s="61"/>
      <c r="FX333" s="75"/>
      <c r="FY333" s="61"/>
      <c r="FZ333" s="75"/>
      <c r="GA333" s="61"/>
      <c r="GB333" s="75"/>
      <c r="GC333" s="61"/>
      <c r="GD333" s="75"/>
      <c r="GE333" s="61"/>
      <c r="GF333" s="75"/>
      <c r="GG333" s="61"/>
      <c r="GH333" s="75"/>
      <c r="GI333" s="61"/>
      <c r="GJ333" s="75"/>
      <c r="GK333" s="61"/>
      <c r="GL333" s="75"/>
      <c r="GM333" s="61"/>
      <c r="GN333" s="75"/>
      <c r="GO333" s="61"/>
      <c r="GP333" s="75"/>
      <c r="GQ333" s="61"/>
      <c r="GR333" s="69"/>
      <c r="GS333" s="61"/>
      <c r="GT333" s="69"/>
      <c r="GU333" s="61"/>
      <c r="GV333" s="69"/>
      <c r="GW333" s="61"/>
      <c r="GX333" s="69"/>
      <c r="GY333" s="61"/>
      <c r="GZ333" s="61" t="str">
        <f t="shared" si="2131"/>
        <v/>
      </c>
      <c r="HA333" s="61"/>
      <c r="HB333" s="452"/>
      <c r="HC333"/>
      <c r="HD333"/>
      <c r="HE333"/>
      <c r="HF333"/>
      <c r="HG333"/>
      <c r="HH333"/>
    </row>
    <row r="334" spans="2:216" s="5" customFormat="1" ht="12.75" hidden="1" customHeight="1" outlineLevel="1" x14ac:dyDescent="0.2">
      <c r="B334" s="2" t="s">
        <v>521</v>
      </c>
      <c r="C334" s="72"/>
      <c r="D334" s="70"/>
      <c r="E334" s="72"/>
      <c r="F334" s="71"/>
      <c r="G334" s="74"/>
      <c r="H334" s="71"/>
      <c r="I334" s="74"/>
      <c r="J334" s="61"/>
      <c r="K334" s="74"/>
      <c r="L334" s="61"/>
      <c r="M334" s="72"/>
      <c r="N334" s="61"/>
      <c r="O334" s="74"/>
      <c r="P334" s="61"/>
      <c r="Q334" s="74"/>
      <c r="R334" s="61"/>
      <c r="S334" s="74"/>
      <c r="T334" s="61"/>
      <c r="U334" s="74"/>
      <c r="V334" s="61"/>
      <c r="W334" s="74"/>
      <c r="X334" s="61"/>
      <c r="Y334" s="74"/>
      <c r="Z334" s="61"/>
      <c r="AA334" s="74"/>
      <c r="AB334" s="61"/>
      <c r="AC334" s="74"/>
      <c r="AD334" s="61"/>
      <c r="AE334" s="74"/>
      <c r="AF334" s="61"/>
      <c r="AG334" s="74"/>
      <c r="AH334" s="61"/>
      <c r="AI334" s="74"/>
      <c r="AJ334" s="61"/>
      <c r="AK334" s="74"/>
      <c r="AL334" s="61"/>
      <c r="AM334" s="74"/>
      <c r="AN334" s="61"/>
      <c r="AO334" s="74"/>
      <c r="AP334" s="61"/>
      <c r="AQ334" s="74">
        <f>-5.5+3.3</f>
        <v>-2.2000000000000002</v>
      </c>
      <c r="AR334" s="61" t="str">
        <f t="shared" si="2255"/>
        <v>NA</v>
      </c>
      <c r="AS334" s="74">
        <f>-5.3+2.6</f>
        <v>-2.6999999999999997</v>
      </c>
      <c r="AT334" s="61" t="str">
        <f t="shared" si="2256"/>
        <v>NA</v>
      </c>
      <c r="AU334" s="74">
        <f>-7.3-0.3</f>
        <v>-7.6</v>
      </c>
      <c r="AV334" s="61" t="str">
        <f t="shared" si="2257"/>
        <v>NA</v>
      </c>
      <c r="AW334" s="74">
        <f>-5.1+1.3</f>
        <v>-3.8</v>
      </c>
      <c r="AX334" s="61" t="str">
        <f t="shared" si="2257"/>
        <v>NA</v>
      </c>
      <c r="AY334" s="74">
        <f>-5.7+0.3</f>
        <v>-5.4</v>
      </c>
      <c r="AZ334" s="61" t="str">
        <f t="shared" si="2258"/>
        <v>NM</v>
      </c>
      <c r="BA334" s="74">
        <f>-8+2.9</f>
        <v>-5.0999999999999996</v>
      </c>
      <c r="BB334" s="61">
        <f t="shared" si="2259"/>
        <v>88.888888888888886</v>
      </c>
      <c r="BC334" s="74">
        <f>-6.7+3.8</f>
        <v>-2.9000000000000004</v>
      </c>
      <c r="BD334" s="61" t="str">
        <f t="shared" si="2260"/>
        <v>NM</v>
      </c>
      <c r="BE334" s="74">
        <f>-10.9+2.8</f>
        <v>-8.1000000000000014</v>
      </c>
      <c r="BF334" s="61" t="str">
        <f t="shared" si="2261"/>
        <v>NM</v>
      </c>
      <c r="BG334" s="74">
        <f>-6.9+7.7</f>
        <v>0.79999999999999982</v>
      </c>
      <c r="BH334" s="61" t="str">
        <f t="shared" si="2261"/>
        <v>NM</v>
      </c>
      <c r="BI334" s="74">
        <f>-6.7+5.8</f>
        <v>-0.90000000000000036</v>
      </c>
      <c r="BJ334" s="61"/>
      <c r="BK334" s="74"/>
      <c r="BL334" s="61"/>
      <c r="BM334" s="74"/>
      <c r="BN334" s="61"/>
      <c r="BO334" s="74"/>
      <c r="BP334" s="61"/>
      <c r="BQ334" s="74"/>
      <c r="BR334" s="61"/>
      <c r="BS334" s="74"/>
      <c r="BT334" s="61"/>
      <c r="BU334" s="74"/>
      <c r="BV334" s="61"/>
      <c r="BW334" s="74"/>
      <c r="BX334" s="61"/>
      <c r="BY334" s="74"/>
      <c r="BZ334" s="61"/>
      <c r="CA334" s="74"/>
      <c r="CB334" s="61"/>
      <c r="CC334" s="74"/>
      <c r="CD334" s="61"/>
      <c r="CE334" s="74"/>
      <c r="CF334" s="61"/>
      <c r="CG334" s="74"/>
      <c r="CH334" s="61"/>
      <c r="CI334" s="74"/>
      <c r="CJ334" s="61"/>
      <c r="CK334" s="74"/>
      <c r="CL334" s="61"/>
      <c r="CM334" s="74"/>
      <c r="CN334" s="61"/>
      <c r="CO334" s="74"/>
      <c r="CP334" s="61"/>
      <c r="CQ334" s="74"/>
      <c r="CR334" s="61"/>
      <c r="CS334" s="74"/>
      <c r="CT334" s="61"/>
      <c r="CU334" s="74"/>
      <c r="CV334" s="61"/>
      <c r="CW334" s="74"/>
      <c r="CX334" s="61"/>
      <c r="CY334" s="74"/>
      <c r="CZ334" s="61"/>
      <c r="DA334" s="74"/>
      <c r="DB334" s="61"/>
      <c r="DC334" s="74"/>
      <c r="DD334" s="61"/>
      <c r="DE334" s="74"/>
      <c r="DF334" s="61"/>
      <c r="DG334" s="74"/>
      <c r="DH334" s="61"/>
      <c r="DI334" s="74"/>
      <c r="DJ334" s="61"/>
      <c r="DK334" s="74"/>
      <c r="DL334" s="61"/>
      <c r="DM334" s="74"/>
      <c r="DN334" s="61"/>
      <c r="DO334" s="74"/>
      <c r="DP334" s="61"/>
      <c r="DQ334" s="74"/>
      <c r="DR334" s="61"/>
      <c r="DS334" s="74"/>
      <c r="DT334" s="61"/>
      <c r="DU334" s="74"/>
      <c r="DV334" s="61"/>
      <c r="DW334" s="74"/>
      <c r="DX334" s="74"/>
      <c r="DY334" s="74"/>
      <c r="DZ334" s="61"/>
      <c r="EA334" s="74"/>
      <c r="EB334" s="61"/>
      <c r="EC334" s="74"/>
      <c r="ED334" s="61"/>
      <c r="EE334" s="74"/>
      <c r="EF334" s="61"/>
      <c r="EG334" s="74"/>
      <c r="EH334" s="61"/>
      <c r="EI334" s="74"/>
      <c r="EJ334" s="61"/>
      <c r="EK334" s="74"/>
      <c r="EL334" s="61"/>
      <c r="EM334" s="74"/>
      <c r="EN334" s="61"/>
      <c r="EO334" s="74"/>
      <c r="EP334" s="61"/>
      <c r="EQ334" s="74"/>
      <c r="ER334" s="61"/>
      <c r="ES334" s="74"/>
      <c r="ET334" s="61"/>
      <c r="EU334" s="74"/>
      <c r="EV334" s="61"/>
      <c r="EW334" s="74"/>
      <c r="EX334" s="61"/>
      <c r="EY334" s="74"/>
      <c r="EZ334" s="558"/>
      <c r="FA334" s="74"/>
      <c r="FB334" s="72"/>
      <c r="FC334" s="91"/>
      <c r="FD334" s="72"/>
      <c r="FE334" s="126"/>
      <c r="FF334" s="69"/>
      <c r="FG334" s="126"/>
      <c r="FH334" s="69"/>
      <c r="FI334" s="126"/>
      <c r="FJ334" s="69"/>
      <c r="FK334" s="126"/>
      <c r="FL334" s="69"/>
      <c r="FM334" s="126"/>
      <c r="FN334" s="69"/>
      <c r="FO334" s="126"/>
      <c r="FP334" s="75">
        <f>AQ334+AS334+AU334+AW334</f>
        <v>-16.3</v>
      </c>
      <c r="FQ334" s="61" t="str">
        <f t="shared" si="2262"/>
        <v>NA</v>
      </c>
      <c r="FR334" s="75">
        <f>AY334+BA334+BC334+BE334</f>
        <v>-21.5</v>
      </c>
      <c r="FS334" s="61">
        <f t="shared" si="2262"/>
        <v>31.901840490797539</v>
      </c>
      <c r="FT334" s="75">
        <f>BG334+BI334+BK334+BM334</f>
        <v>-0.10000000000000053</v>
      </c>
      <c r="FU334" s="61"/>
      <c r="FV334" s="75"/>
      <c r="FW334" s="61"/>
      <c r="FX334" s="75"/>
      <c r="FY334" s="61"/>
      <c r="FZ334" s="75"/>
      <c r="GA334" s="61"/>
      <c r="GB334" s="75"/>
      <c r="GC334" s="61"/>
      <c r="GD334" s="75"/>
      <c r="GE334" s="61"/>
      <c r="GF334" s="75"/>
      <c r="GG334" s="61"/>
      <c r="GH334" s="75"/>
      <c r="GI334" s="61"/>
      <c r="GJ334" s="75"/>
      <c r="GK334" s="61"/>
      <c r="GL334" s="75"/>
      <c r="GM334" s="61"/>
      <c r="GN334" s="75"/>
      <c r="GO334" s="61"/>
      <c r="GP334" s="75"/>
      <c r="GQ334" s="61"/>
      <c r="GR334" s="74"/>
      <c r="GS334" s="61"/>
      <c r="GT334" s="74"/>
      <c r="GU334" s="61"/>
      <c r="GV334" s="74"/>
      <c r="GW334" s="61"/>
      <c r="GX334" s="74"/>
      <c r="GY334" s="61"/>
      <c r="GZ334" s="61" t="str">
        <f t="shared" si="2131"/>
        <v/>
      </c>
      <c r="HA334" s="61"/>
      <c r="HB334" s="452"/>
      <c r="HC334"/>
      <c r="HD334"/>
      <c r="HE334"/>
      <c r="HF334"/>
      <c r="HG334"/>
      <c r="HH334"/>
    </row>
    <row r="335" spans="2:216" s="5" customFormat="1" ht="12.75" hidden="1" customHeight="1" outlineLevel="1" x14ac:dyDescent="0.2">
      <c r="B335" s="2" t="s">
        <v>488</v>
      </c>
      <c r="C335" s="72"/>
      <c r="D335" s="70"/>
      <c r="E335" s="72"/>
      <c r="F335" s="71"/>
      <c r="G335" s="74"/>
      <c r="H335" s="71"/>
      <c r="I335" s="74"/>
      <c r="J335" s="61"/>
      <c r="K335" s="69"/>
      <c r="L335" s="61"/>
      <c r="M335" s="69"/>
      <c r="N335" s="61"/>
      <c r="O335" s="69"/>
      <c r="P335" s="61"/>
      <c r="Q335" s="69"/>
      <c r="R335" s="61"/>
      <c r="S335" s="69"/>
      <c r="T335" s="61"/>
      <c r="U335" s="69"/>
      <c r="V335" s="61"/>
      <c r="W335" s="69"/>
      <c r="X335" s="61"/>
      <c r="Y335" s="69"/>
      <c r="Z335" s="61"/>
      <c r="AA335" s="69"/>
      <c r="AB335" s="61"/>
      <c r="AC335" s="69"/>
      <c r="AD335" s="61"/>
      <c r="AE335" s="69"/>
      <c r="AF335" s="61"/>
      <c r="AG335" s="69"/>
      <c r="AH335" s="61"/>
      <c r="AI335" s="69"/>
      <c r="AJ335" s="61"/>
      <c r="AK335" s="69"/>
      <c r="AL335" s="61"/>
      <c r="AM335" s="69"/>
      <c r="AN335" s="61"/>
      <c r="AO335" s="69"/>
      <c r="AP335" s="61"/>
      <c r="AQ335" s="72">
        <v>8</v>
      </c>
      <c r="AR335" s="61" t="str">
        <f t="shared" si="2255"/>
        <v>NA</v>
      </c>
      <c r="AS335" s="72">
        <v>7.5</v>
      </c>
      <c r="AT335" s="61" t="str">
        <f t="shared" si="2256"/>
        <v>NA</v>
      </c>
      <c r="AU335" s="72">
        <v>6.4</v>
      </c>
      <c r="AV335" s="61" t="str">
        <f t="shared" si="2257"/>
        <v>NA</v>
      </c>
      <c r="AW335" s="72">
        <v>7.3</v>
      </c>
      <c r="AX335" s="61" t="str">
        <f t="shared" si="2257"/>
        <v>NA</v>
      </c>
      <c r="AY335" s="72">
        <v>4.5999999999999996</v>
      </c>
      <c r="AZ335" s="61">
        <f t="shared" si="2258"/>
        <v>-42.500000000000007</v>
      </c>
      <c r="BA335" s="72">
        <v>7.2</v>
      </c>
      <c r="BB335" s="61">
        <f t="shared" si="2259"/>
        <v>-3.9999999999999925</v>
      </c>
      <c r="BC335" s="72">
        <v>11.7</v>
      </c>
      <c r="BD335" s="61">
        <f t="shared" si="2260"/>
        <v>82.812499999999972</v>
      </c>
      <c r="BE335" s="72">
        <v>9.1</v>
      </c>
      <c r="BF335" s="61">
        <f t="shared" si="2261"/>
        <v>24.657534246575331</v>
      </c>
      <c r="BG335" s="72">
        <v>10.199999999999999</v>
      </c>
      <c r="BH335" s="61" t="str">
        <f t="shared" si="2261"/>
        <v>NM</v>
      </c>
      <c r="BI335" s="72">
        <v>8.8000000000000007</v>
      </c>
      <c r="BJ335" s="61"/>
      <c r="BK335" s="72"/>
      <c r="BL335" s="61"/>
      <c r="BM335" s="72"/>
      <c r="BN335" s="61"/>
      <c r="BO335" s="72"/>
      <c r="BP335" s="61"/>
      <c r="BQ335" s="72"/>
      <c r="BR335" s="61"/>
      <c r="BS335" s="72"/>
      <c r="BT335" s="61"/>
      <c r="BU335" s="72"/>
      <c r="BV335" s="61"/>
      <c r="BW335" s="69"/>
      <c r="BX335" s="61"/>
      <c r="BY335" s="69"/>
      <c r="BZ335" s="61"/>
      <c r="CA335" s="69"/>
      <c r="CB335" s="61"/>
      <c r="CC335" s="69"/>
      <c r="CD335" s="61"/>
      <c r="CE335" s="69"/>
      <c r="CF335" s="61"/>
      <c r="CG335" s="69"/>
      <c r="CH335" s="61"/>
      <c r="CI335" s="69"/>
      <c r="CJ335" s="61"/>
      <c r="CK335" s="69"/>
      <c r="CL335" s="61"/>
      <c r="CM335" s="69"/>
      <c r="CN335" s="61"/>
      <c r="CO335" s="69"/>
      <c r="CP335" s="61"/>
      <c r="CQ335" s="69"/>
      <c r="CR335" s="61"/>
      <c r="CS335" s="69"/>
      <c r="CT335" s="61"/>
      <c r="CU335" s="69"/>
      <c r="CV335" s="61"/>
      <c r="CW335" s="69"/>
      <c r="CX335" s="61"/>
      <c r="CY335" s="69"/>
      <c r="CZ335" s="61"/>
      <c r="DA335" s="69"/>
      <c r="DB335" s="61"/>
      <c r="DC335" s="69"/>
      <c r="DD335" s="61"/>
      <c r="DE335" s="69"/>
      <c r="DF335" s="61"/>
      <c r="DG335" s="69"/>
      <c r="DH335" s="61"/>
      <c r="DI335" s="69"/>
      <c r="DJ335" s="61"/>
      <c r="DK335" s="69"/>
      <c r="DL335" s="61"/>
      <c r="DM335" s="69"/>
      <c r="DN335" s="61"/>
      <c r="DO335" s="69"/>
      <c r="DP335" s="61"/>
      <c r="DQ335" s="69"/>
      <c r="DR335" s="61"/>
      <c r="DS335" s="69"/>
      <c r="DT335" s="61"/>
      <c r="DU335" s="69"/>
      <c r="DV335" s="61"/>
      <c r="DW335" s="69"/>
      <c r="DX335" s="69"/>
      <c r="DY335" s="69"/>
      <c r="DZ335" s="61"/>
      <c r="EA335" s="69"/>
      <c r="EB335" s="61"/>
      <c r="EC335" s="69"/>
      <c r="ED335" s="61"/>
      <c r="EE335" s="69"/>
      <c r="EF335" s="61"/>
      <c r="EG335" s="69"/>
      <c r="EH335" s="61"/>
      <c r="EI335" s="69"/>
      <c r="EJ335" s="61"/>
      <c r="EK335" s="69"/>
      <c r="EL335" s="61"/>
      <c r="EM335" s="69"/>
      <c r="EN335" s="61"/>
      <c r="EO335" s="69"/>
      <c r="EP335" s="61"/>
      <c r="EQ335" s="69"/>
      <c r="ER335" s="61"/>
      <c r="ES335" s="69"/>
      <c r="ET335" s="61"/>
      <c r="EU335" s="69"/>
      <c r="EV335" s="61"/>
      <c r="EW335" s="69"/>
      <c r="EX335" s="61"/>
      <c r="EY335" s="74"/>
      <c r="EZ335" s="558"/>
      <c r="FA335" s="74"/>
      <c r="FB335" s="72"/>
      <c r="FC335" s="91"/>
      <c r="FD335" s="72"/>
      <c r="FE335" s="126"/>
      <c r="FF335" s="166"/>
      <c r="FG335" s="126"/>
      <c r="FH335" s="69"/>
      <c r="FI335" s="126"/>
      <c r="FJ335" s="69"/>
      <c r="FK335" s="126"/>
      <c r="FL335" s="69"/>
      <c r="FM335" s="126"/>
      <c r="FN335" s="69"/>
      <c r="FO335" s="126"/>
      <c r="FP335" s="73">
        <f>AQ335+AS335+AU335+AW335</f>
        <v>29.2</v>
      </c>
      <c r="FQ335" s="61" t="str">
        <f t="shared" si="2262"/>
        <v>NA</v>
      </c>
      <c r="FR335" s="73">
        <f>AY335+BA335+BC335+BE335</f>
        <v>32.6</v>
      </c>
      <c r="FS335" s="61">
        <f t="shared" si="2262"/>
        <v>11.643835616438359</v>
      </c>
      <c r="FT335" s="73">
        <f>BG335+BI335+BK335+BM335</f>
        <v>19</v>
      </c>
      <c r="FU335" s="61"/>
      <c r="FV335" s="73"/>
      <c r="FW335" s="61"/>
      <c r="FX335" s="75"/>
      <c r="FY335" s="61"/>
      <c r="FZ335" s="75"/>
      <c r="GA335" s="61"/>
      <c r="GB335" s="75"/>
      <c r="GC335" s="61"/>
      <c r="GD335" s="75"/>
      <c r="GE335" s="61"/>
      <c r="GF335" s="75"/>
      <c r="GG335" s="61"/>
      <c r="GH335" s="75"/>
      <c r="GI335" s="61"/>
      <c r="GJ335" s="75"/>
      <c r="GK335" s="61"/>
      <c r="GL335" s="75"/>
      <c r="GM335" s="61"/>
      <c r="GN335" s="75"/>
      <c r="GO335" s="61"/>
      <c r="GP335" s="75"/>
      <c r="GQ335" s="61"/>
      <c r="GR335" s="69"/>
      <c r="GS335" s="61"/>
      <c r="GT335" s="69"/>
      <c r="GU335" s="61"/>
      <c r="GV335" s="69"/>
      <c r="GW335" s="61"/>
      <c r="GX335" s="69"/>
      <c r="GY335" s="61"/>
      <c r="GZ335" s="61" t="str">
        <f t="shared" si="2131"/>
        <v/>
      </c>
      <c r="HA335" s="61"/>
      <c r="HB335" s="452"/>
      <c r="HC335"/>
      <c r="HD335"/>
      <c r="HE335"/>
      <c r="HF335"/>
      <c r="HG335"/>
      <c r="HH335"/>
    </row>
    <row r="336" spans="2:216" s="106" customFormat="1" ht="12.75" hidden="1" customHeight="1" outlineLevel="1" x14ac:dyDescent="0.2">
      <c r="B336" s="63" t="s">
        <v>524</v>
      </c>
      <c r="C336" s="102"/>
      <c r="D336" s="99"/>
      <c r="E336" s="102"/>
      <c r="F336" s="100"/>
      <c r="G336" s="102"/>
      <c r="H336" s="100"/>
      <c r="I336" s="102"/>
      <c r="J336" s="101"/>
      <c r="K336" s="98"/>
      <c r="L336" s="61"/>
      <c r="M336" s="98"/>
      <c r="N336" s="61"/>
      <c r="O336" s="98"/>
      <c r="P336" s="61"/>
      <c r="Q336" s="98"/>
      <c r="R336" s="61"/>
      <c r="S336" s="98"/>
      <c r="T336" s="61"/>
      <c r="U336" s="98"/>
      <c r="V336" s="61"/>
      <c r="W336" s="98"/>
      <c r="X336" s="61"/>
      <c r="Y336" s="98"/>
      <c r="Z336" s="61"/>
      <c r="AA336" s="98"/>
      <c r="AB336" s="61"/>
      <c r="AC336" s="98"/>
      <c r="AD336" s="61"/>
      <c r="AE336" s="98"/>
      <c r="AF336" s="61"/>
      <c r="AG336" s="98"/>
      <c r="AH336" s="61"/>
      <c r="AI336" s="98"/>
      <c r="AJ336" s="61"/>
      <c r="AK336" s="98"/>
      <c r="AL336" s="61"/>
      <c r="AM336" s="98"/>
      <c r="AN336" s="61"/>
      <c r="AO336" s="98"/>
      <c r="AP336" s="61"/>
      <c r="AQ336" s="102">
        <f>AQ335+AQ332+AQ331</f>
        <v>49.1</v>
      </c>
      <c r="AR336" s="61" t="str">
        <f t="shared" si="2255"/>
        <v>NA</v>
      </c>
      <c r="AS336" s="102">
        <f>AS335+AS332+AS331</f>
        <v>47.8</v>
      </c>
      <c r="AT336" s="61" t="str">
        <f t="shared" si="2256"/>
        <v>NA</v>
      </c>
      <c r="AU336" s="102">
        <f>AU335+AU332+AU331</f>
        <v>56.7</v>
      </c>
      <c r="AV336" s="61" t="str">
        <f t="shared" si="2257"/>
        <v>NA</v>
      </c>
      <c r="AW336" s="102">
        <f>AW335+AW332+AW331</f>
        <v>48</v>
      </c>
      <c r="AX336" s="61" t="str">
        <f t="shared" si="2257"/>
        <v>NA</v>
      </c>
      <c r="AY336" s="102">
        <f>AY335+AY332+AY331</f>
        <v>46.699999999999996</v>
      </c>
      <c r="AZ336" s="61">
        <f t="shared" si="2258"/>
        <v>-4.8879837067209886</v>
      </c>
      <c r="BA336" s="102">
        <f>BA335+BA332+BA331</f>
        <v>77.800000000000011</v>
      </c>
      <c r="BB336" s="61">
        <f t="shared" si="2259"/>
        <v>62.761506276150669</v>
      </c>
      <c r="BC336" s="102">
        <f>BC335+BC332+BC331</f>
        <v>87.199999999999989</v>
      </c>
      <c r="BD336" s="61">
        <f t="shared" si="2260"/>
        <v>53.791887125220427</v>
      </c>
      <c r="BE336" s="102">
        <f>BE335+BE332+BE331</f>
        <v>90.800000000000011</v>
      </c>
      <c r="BF336" s="61">
        <f t="shared" si="2261"/>
        <v>89.166666666666686</v>
      </c>
      <c r="BG336" s="102">
        <f>BG335+BG332+BG331</f>
        <v>51.2</v>
      </c>
      <c r="BH336" s="61">
        <f t="shared" si="2261"/>
        <v>9.6359743040685295</v>
      </c>
      <c r="BI336" s="102">
        <f>BI335+BI332+BI331</f>
        <v>49.600000000000009</v>
      </c>
      <c r="BJ336" s="61"/>
      <c r="BK336" s="102"/>
      <c r="BL336" s="61"/>
      <c r="BM336" s="102"/>
      <c r="BN336" s="61"/>
      <c r="BO336" s="102"/>
      <c r="BP336" s="61"/>
      <c r="BQ336" s="102"/>
      <c r="BR336" s="61"/>
      <c r="BS336" s="102"/>
      <c r="BT336" s="61"/>
      <c r="BU336" s="102"/>
      <c r="BV336" s="61"/>
      <c r="BW336" s="102"/>
      <c r="BX336" s="61"/>
      <c r="BY336" s="102"/>
      <c r="BZ336" s="61"/>
      <c r="CA336" s="102"/>
      <c r="CB336" s="61"/>
      <c r="CC336" s="102"/>
      <c r="CD336" s="61"/>
      <c r="CE336" s="102"/>
      <c r="CF336" s="61"/>
      <c r="CG336" s="102"/>
      <c r="CH336" s="61"/>
      <c r="CI336" s="102"/>
      <c r="CJ336" s="61"/>
      <c r="CK336" s="102"/>
      <c r="CL336" s="61"/>
      <c r="CM336" s="102"/>
      <c r="CN336" s="61"/>
      <c r="CO336" s="102"/>
      <c r="CP336" s="61"/>
      <c r="CQ336" s="102"/>
      <c r="CR336" s="61"/>
      <c r="CS336" s="102"/>
      <c r="CT336" s="61"/>
      <c r="CU336" s="102"/>
      <c r="CV336" s="61"/>
      <c r="CW336" s="102"/>
      <c r="CX336" s="61"/>
      <c r="CY336" s="102"/>
      <c r="CZ336" s="61"/>
      <c r="DA336" s="102"/>
      <c r="DB336" s="61"/>
      <c r="DC336" s="102"/>
      <c r="DD336" s="61"/>
      <c r="DE336" s="102"/>
      <c r="DF336" s="61"/>
      <c r="DG336" s="102"/>
      <c r="DH336" s="61"/>
      <c r="DI336" s="102"/>
      <c r="DJ336" s="61"/>
      <c r="DK336" s="102"/>
      <c r="DL336" s="61"/>
      <c r="DM336" s="102"/>
      <c r="DN336" s="61"/>
      <c r="DO336" s="102"/>
      <c r="DP336" s="61"/>
      <c r="DQ336" s="102"/>
      <c r="DR336" s="61"/>
      <c r="DS336" s="102"/>
      <c r="DT336" s="61"/>
      <c r="DU336" s="102"/>
      <c r="DV336" s="61"/>
      <c r="DW336" s="102"/>
      <c r="DX336" s="102"/>
      <c r="DY336" s="102"/>
      <c r="DZ336" s="61"/>
      <c r="EA336" s="102"/>
      <c r="EB336" s="61"/>
      <c r="EC336" s="102"/>
      <c r="ED336" s="61"/>
      <c r="EE336" s="102"/>
      <c r="EF336" s="61"/>
      <c r="EG336" s="102"/>
      <c r="EH336" s="61"/>
      <c r="EI336" s="102"/>
      <c r="EJ336" s="61"/>
      <c r="EK336" s="102"/>
      <c r="EL336" s="61"/>
      <c r="EM336" s="102"/>
      <c r="EN336" s="61"/>
      <c r="EO336" s="102"/>
      <c r="EP336" s="61"/>
      <c r="EQ336" s="102"/>
      <c r="ER336" s="61"/>
      <c r="ES336" s="102"/>
      <c r="ET336" s="61"/>
      <c r="EU336" s="102"/>
      <c r="EV336" s="61"/>
      <c r="EW336" s="102"/>
      <c r="EX336" s="61"/>
      <c r="EY336" s="103"/>
      <c r="EZ336" s="558"/>
      <c r="FA336" s="103"/>
      <c r="FB336" s="102"/>
      <c r="FC336" s="100"/>
      <c r="FD336" s="102"/>
      <c r="FE336" s="70"/>
      <c r="FF336" s="98"/>
      <c r="FG336" s="70"/>
      <c r="FH336" s="102"/>
      <c r="FI336" s="70"/>
      <c r="FJ336" s="102"/>
      <c r="FK336" s="70"/>
      <c r="FL336" s="102"/>
      <c r="FM336" s="61"/>
      <c r="FN336" s="102"/>
      <c r="FO336" s="61"/>
      <c r="FP336" s="104">
        <f>FP335+FP332+FP331</f>
        <v>201.6</v>
      </c>
      <c r="FQ336" s="61" t="str">
        <f t="shared" si="2262"/>
        <v>NA</v>
      </c>
      <c r="FR336" s="104">
        <f>FR335+FR332+FR331</f>
        <v>302.5</v>
      </c>
      <c r="FS336" s="61">
        <f t="shared" si="2262"/>
        <v>50.049603174603185</v>
      </c>
      <c r="FT336" s="104">
        <f>FT335+FT332+FT331</f>
        <v>100.80000000000001</v>
      </c>
      <c r="FU336" s="61"/>
      <c r="FV336" s="104"/>
      <c r="FW336" s="61"/>
      <c r="FX336" s="104"/>
      <c r="FY336" s="61"/>
      <c r="FZ336" s="104"/>
      <c r="GA336" s="61"/>
      <c r="GB336" s="104"/>
      <c r="GC336" s="61"/>
      <c r="GD336" s="104"/>
      <c r="GE336" s="61"/>
      <c r="GF336" s="104"/>
      <c r="GG336" s="61"/>
      <c r="GH336" s="104"/>
      <c r="GI336" s="61"/>
      <c r="GJ336" s="104"/>
      <c r="GK336" s="61"/>
      <c r="GL336" s="104"/>
      <c r="GM336" s="61"/>
      <c r="GN336" s="104"/>
      <c r="GO336" s="61"/>
      <c r="GP336" s="104"/>
      <c r="GQ336" s="61"/>
      <c r="GR336" s="102"/>
      <c r="GS336" s="61"/>
      <c r="GT336" s="102"/>
      <c r="GU336" s="61"/>
      <c r="GV336" s="102"/>
      <c r="GW336" s="61"/>
      <c r="GX336" s="102"/>
      <c r="GY336" s="61"/>
      <c r="GZ336" s="61" t="str">
        <f t="shared" si="2131"/>
        <v/>
      </c>
      <c r="HA336" s="61"/>
      <c r="HB336" s="452"/>
      <c r="HC336"/>
      <c r="HD336"/>
      <c r="HE336"/>
      <c r="HF336"/>
      <c r="HG336"/>
      <c r="HH336"/>
    </row>
    <row r="337" spans="1:216" s="5" customFormat="1" ht="12.75" hidden="1" customHeight="1" outlineLevel="1" x14ac:dyDescent="0.2">
      <c r="B337" s="2"/>
      <c r="C337" s="69"/>
      <c r="D337" s="70"/>
      <c r="E337" s="69"/>
      <c r="F337" s="71"/>
      <c r="G337" s="69"/>
      <c r="H337" s="71"/>
      <c r="I337" s="69"/>
      <c r="J337" s="61"/>
      <c r="K337" s="69"/>
      <c r="L337" s="61"/>
      <c r="M337" s="69"/>
      <c r="N337" s="61"/>
      <c r="O337" s="69"/>
      <c r="P337" s="61"/>
      <c r="Q337" s="69"/>
      <c r="R337" s="61"/>
      <c r="S337" s="69"/>
      <c r="T337" s="61"/>
      <c r="U337" s="69"/>
      <c r="V337" s="61"/>
      <c r="W337" s="69"/>
      <c r="X337" s="61"/>
      <c r="Y337" s="69"/>
      <c r="Z337" s="61"/>
      <c r="AA337" s="69"/>
      <c r="AB337" s="61"/>
      <c r="AC337" s="69"/>
      <c r="AD337" s="61"/>
      <c r="AE337" s="69"/>
      <c r="AF337" s="61"/>
      <c r="AG337" s="69"/>
      <c r="AH337" s="61"/>
      <c r="AI337" s="69"/>
      <c r="AJ337" s="61"/>
      <c r="AK337" s="84"/>
      <c r="AL337" s="61"/>
      <c r="AM337" s="69"/>
      <c r="AN337" s="61"/>
      <c r="AO337" s="69"/>
      <c r="AP337" s="167"/>
      <c r="AQ337" s="69"/>
      <c r="AR337" s="61"/>
      <c r="AS337" s="69"/>
      <c r="AT337" s="61"/>
      <c r="AU337" s="69"/>
      <c r="AV337" s="61"/>
      <c r="AW337" s="69"/>
      <c r="AX337" s="61"/>
      <c r="AY337" s="69"/>
      <c r="AZ337" s="61"/>
      <c r="BA337" s="69"/>
      <c r="BB337" s="61"/>
      <c r="BC337" s="69"/>
      <c r="BD337" s="61"/>
      <c r="BE337" s="69"/>
      <c r="BF337" s="61"/>
      <c r="BG337" s="69"/>
      <c r="BH337" s="61"/>
      <c r="BI337" s="69"/>
      <c r="BJ337" s="61"/>
      <c r="BK337" s="69"/>
      <c r="BL337" s="61"/>
      <c r="BM337" s="69"/>
      <c r="BN337" s="61"/>
      <c r="BO337" s="69"/>
      <c r="BP337" s="61"/>
      <c r="BQ337" s="69"/>
      <c r="BR337" s="61"/>
      <c r="BS337" s="69"/>
      <c r="BT337" s="61"/>
      <c r="BU337" s="69"/>
      <c r="BV337" s="61"/>
      <c r="BW337" s="168"/>
      <c r="BX337" s="61"/>
      <c r="BY337" s="168"/>
      <c r="BZ337" s="61"/>
      <c r="CA337" s="168"/>
      <c r="CB337" s="61"/>
      <c r="CC337" s="168"/>
      <c r="CD337" s="61"/>
      <c r="CE337" s="168"/>
      <c r="CF337" s="61"/>
      <c r="CG337" s="168"/>
      <c r="CH337" s="61"/>
      <c r="CI337" s="168"/>
      <c r="CJ337" s="61"/>
      <c r="CK337" s="168"/>
      <c r="CL337" s="61"/>
      <c r="CM337" s="168"/>
      <c r="CN337" s="61"/>
      <c r="CO337" s="168"/>
      <c r="CP337" s="61"/>
      <c r="CQ337" s="168"/>
      <c r="CR337" s="61"/>
      <c r="CS337" s="168"/>
      <c r="CT337" s="61"/>
      <c r="CU337" s="168"/>
      <c r="CV337" s="61"/>
      <c r="CW337" s="168"/>
      <c r="CX337" s="61"/>
      <c r="CY337" s="168"/>
      <c r="CZ337" s="61"/>
      <c r="DA337" s="168"/>
      <c r="DB337" s="61"/>
      <c r="DC337" s="168"/>
      <c r="DD337" s="61"/>
      <c r="DE337" s="168"/>
      <c r="DF337" s="61"/>
      <c r="DG337" s="168"/>
      <c r="DH337" s="61"/>
      <c r="DI337" s="168"/>
      <c r="DJ337" s="61"/>
      <c r="DK337" s="168"/>
      <c r="DL337" s="61"/>
      <c r="DM337" s="168"/>
      <c r="DN337" s="61"/>
      <c r="DO337" s="168"/>
      <c r="DP337" s="61"/>
      <c r="DQ337" s="168"/>
      <c r="DR337" s="61"/>
      <c r="DS337" s="168"/>
      <c r="DT337" s="61"/>
      <c r="DU337" s="168"/>
      <c r="DV337" s="61"/>
      <c r="DW337" s="168"/>
      <c r="DX337" s="168"/>
      <c r="DY337" s="168"/>
      <c r="DZ337" s="61"/>
      <c r="EA337" s="168"/>
      <c r="EB337" s="61"/>
      <c r="EC337" s="168"/>
      <c r="ED337" s="61"/>
      <c r="EE337" s="168"/>
      <c r="EF337" s="61"/>
      <c r="EG337" s="168"/>
      <c r="EH337" s="61"/>
      <c r="EI337" s="168"/>
      <c r="EJ337" s="61"/>
      <c r="EK337" s="168"/>
      <c r="EL337" s="61"/>
      <c r="EM337" s="168"/>
      <c r="EN337" s="61"/>
      <c r="EO337" s="168"/>
      <c r="EP337" s="61"/>
      <c r="EQ337" s="168"/>
      <c r="ER337" s="61"/>
      <c r="ES337" s="168"/>
      <c r="ET337" s="61"/>
      <c r="EU337" s="168"/>
      <c r="EV337" s="61"/>
      <c r="EW337" s="168"/>
      <c r="EX337" s="61"/>
      <c r="EY337" s="64"/>
      <c r="EZ337" s="558"/>
      <c r="FA337" s="64"/>
      <c r="FB337" s="69"/>
      <c r="FC337" s="71"/>
      <c r="FD337" s="69"/>
      <c r="FE337" s="70"/>
      <c r="FF337" s="69"/>
      <c r="FG337" s="70"/>
      <c r="FH337" s="69"/>
      <c r="FI337" s="70"/>
      <c r="FJ337" s="69"/>
      <c r="FK337" s="70"/>
      <c r="FL337" s="69"/>
      <c r="FM337" s="61"/>
      <c r="FN337" s="69"/>
      <c r="FO337" s="61"/>
      <c r="FP337" s="139"/>
      <c r="FQ337" s="61"/>
      <c r="FR337" s="139"/>
      <c r="FS337" s="61"/>
      <c r="FT337" s="139"/>
      <c r="FU337" s="61"/>
      <c r="FV337" s="139"/>
      <c r="FW337" s="61"/>
      <c r="FX337" s="139"/>
      <c r="FY337" s="61"/>
      <c r="FZ337" s="139"/>
      <c r="GA337" s="61"/>
      <c r="GB337" s="139"/>
      <c r="GC337" s="61"/>
      <c r="GD337" s="139"/>
      <c r="GE337" s="61"/>
      <c r="GF337" s="139"/>
      <c r="GG337" s="61"/>
      <c r="GH337" s="139"/>
      <c r="GI337" s="61"/>
      <c r="GJ337" s="139"/>
      <c r="GK337" s="61"/>
      <c r="GL337" s="139"/>
      <c r="GM337" s="61"/>
      <c r="GN337" s="139"/>
      <c r="GO337" s="61"/>
      <c r="GP337" s="139"/>
      <c r="GQ337" s="61"/>
      <c r="GR337" s="168"/>
      <c r="GS337" s="61"/>
      <c r="GT337" s="168"/>
      <c r="GU337" s="61"/>
      <c r="GV337" s="168"/>
      <c r="GW337" s="61"/>
      <c r="GX337" s="168"/>
      <c r="GY337" s="61"/>
      <c r="GZ337" s="61" t="str">
        <f t="shared" ref="GZ337:GZ356" si="2263">IF(ISERROR((GX337/GN337)^0.2),"",IF(OR((GX337/GN337)^0.2&lt;0.5,(GX337/GN337)^0.2&gt;2),"NM",((GX337/GN337)^0.2-1)*100))</f>
        <v/>
      </c>
      <c r="HA337" s="61"/>
      <c r="HB337" s="452"/>
      <c r="HC337"/>
      <c r="HD337"/>
      <c r="HE337"/>
      <c r="HF337"/>
      <c r="HG337"/>
      <c r="HH337"/>
    </row>
    <row r="338" spans="1:216" s="5" customFormat="1" ht="12.75" hidden="1" customHeight="1" outlineLevel="1" x14ac:dyDescent="0.2">
      <c r="B338" s="63" t="s">
        <v>597</v>
      </c>
      <c r="C338" s="66"/>
      <c r="D338" s="67"/>
      <c r="E338" s="66"/>
      <c r="F338" s="66"/>
      <c r="G338" s="64"/>
      <c r="H338" s="66"/>
      <c r="I338" s="64"/>
      <c r="J338" s="66"/>
      <c r="K338" s="64"/>
      <c r="L338" s="61"/>
      <c r="M338" s="66"/>
      <c r="N338" s="61"/>
      <c r="O338" s="64"/>
      <c r="P338" s="61"/>
      <c r="Q338" s="64"/>
      <c r="R338" s="61"/>
      <c r="S338" s="64"/>
      <c r="T338" s="61"/>
      <c r="U338" s="64"/>
      <c r="V338" s="61"/>
      <c r="W338" s="64"/>
      <c r="X338" s="61"/>
      <c r="Y338" s="64"/>
      <c r="Z338" s="61"/>
      <c r="AA338" s="64"/>
      <c r="AB338" s="61"/>
      <c r="AC338" s="64"/>
      <c r="AD338" s="61"/>
      <c r="AE338" s="64"/>
      <c r="AF338" s="61"/>
      <c r="AG338" s="64"/>
      <c r="AH338" s="61"/>
      <c r="AI338" s="64"/>
      <c r="AJ338" s="61"/>
      <c r="AK338" s="64"/>
      <c r="AL338" s="61"/>
      <c r="AM338" s="64"/>
      <c r="AN338" s="61"/>
      <c r="AO338" s="64"/>
      <c r="AP338" s="61"/>
      <c r="AQ338" s="64"/>
      <c r="AR338" s="61"/>
      <c r="AS338" s="64"/>
      <c r="AT338" s="61"/>
      <c r="AU338" s="64"/>
      <c r="AV338" s="61"/>
      <c r="AW338" s="64"/>
      <c r="AX338" s="61"/>
      <c r="AY338" s="64"/>
      <c r="AZ338" s="61"/>
      <c r="BA338" s="64"/>
      <c r="BB338" s="61"/>
      <c r="BC338" s="64"/>
      <c r="BD338" s="61"/>
      <c r="BE338" s="64"/>
      <c r="BF338" s="61"/>
      <c r="BG338" s="64"/>
      <c r="BH338" s="61"/>
      <c r="BI338" s="64"/>
      <c r="BJ338" s="61"/>
      <c r="BK338" s="64"/>
      <c r="BL338" s="61"/>
      <c r="BM338" s="64"/>
      <c r="BN338" s="61"/>
      <c r="BO338" s="64"/>
      <c r="BP338" s="61"/>
      <c r="BQ338" s="64"/>
      <c r="BR338" s="61"/>
      <c r="BS338" s="64"/>
      <c r="BT338" s="61"/>
      <c r="BU338" s="64"/>
      <c r="BV338" s="61"/>
      <c r="BW338" s="64"/>
      <c r="BX338" s="61"/>
      <c r="BY338" s="64"/>
      <c r="BZ338" s="61"/>
      <c r="CA338" s="64"/>
      <c r="CB338" s="61"/>
      <c r="CC338" s="64"/>
      <c r="CD338" s="61"/>
      <c r="CE338" s="64"/>
      <c r="CF338" s="61"/>
      <c r="CG338" s="64"/>
      <c r="CH338" s="61"/>
      <c r="CI338" s="64"/>
      <c r="CJ338" s="61"/>
      <c r="CK338" s="64"/>
      <c r="CL338" s="61"/>
      <c r="CM338" s="64"/>
      <c r="CN338" s="61"/>
      <c r="CO338" s="64"/>
      <c r="CP338" s="61"/>
      <c r="CQ338" s="64"/>
      <c r="CR338" s="61"/>
      <c r="CS338" s="64"/>
      <c r="CT338" s="61"/>
      <c r="CU338" s="64"/>
      <c r="CV338" s="61"/>
      <c r="CW338" s="64"/>
      <c r="CX338" s="61"/>
      <c r="CY338" s="64"/>
      <c r="CZ338" s="61"/>
      <c r="DA338" s="64"/>
      <c r="DB338" s="61"/>
      <c r="DC338" s="64"/>
      <c r="DD338" s="61"/>
      <c r="DE338" s="64"/>
      <c r="DF338" s="61"/>
      <c r="DG338" s="64"/>
      <c r="DH338" s="61"/>
      <c r="DI338" s="64"/>
      <c r="DJ338" s="61"/>
      <c r="DK338" s="64"/>
      <c r="DL338" s="61"/>
      <c r="DM338" s="64"/>
      <c r="DN338" s="61"/>
      <c r="DO338" s="64"/>
      <c r="DP338" s="61"/>
      <c r="DQ338" s="64"/>
      <c r="DR338" s="61"/>
      <c r="DS338" s="64"/>
      <c r="DT338" s="61"/>
      <c r="DU338" s="64"/>
      <c r="DV338" s="61"/>
      <c r="DW338" s="64"/>
      <c r="DX338" s="64"/>
      <c r="DY338" s="64"/>
      <c r="DZ338" s="61"/>
      <c r="EA338" s="64"/>
      <c r="EB338" s="61"/>
      <c r="EC338" s="64"/>
      <c r="ED338" s="61"/>
      <c r="EE338" s="64"/>
      <c r="EF338" s="61"/>
      <c r="EG338" s="64"/>
      <c r="EH338" s="61"/>
      <c r="EI338" s="64"/>
      <c r="EJ338" s="61"/>
      <c r="EK338" s="64"/>
      <c r="EL338" s="61"/>
      <c r="EM338" s="64"/>
      <c r="EN338" s="61"/>
      <c r="EO338" s="64"/>
      <c r="EP338" s="61"/>
      <c r="EQ338" s="64"/>
      <c r="ER338" s="61"/>
      <c r="ES338" s="64"/>
      <c r="ET338" s="61"/>
      <c r="EU338" s="64"/>
      <c r="EV338" s="61"/>
      <c r="EW338" s="64"/>
      <c r="EX338" s="61"/>
      <c r="EY338" s="64"/>
      <c r="EZ338" s="558"/>
      <c r="FA338" s="64"/>
      <c r="FB338" s="66"/>
      <c r="FC338" s="66"/>
      <c r="FD338" s="66"/>
      <c r="FE338" s="67"/>
      <c r="FF338" s="66"/>
      <c r="FG338" s="67"/>
      <c r="FH338" s="66"/>
      <c r="FI338" s="67"/>
      <c r="FJ338" s="66"/>
      <c r="FK338" s="67"/>
      <c r="FL338" s="66"/>
      <c r="FM338" s="61"/>
      <c r="FN338" s="66"/>
      <c r="FO338" s="61"/>
      <c r="FP338" s="65"/>
      <c r="FQ338" s="61"/>
      <c r="FR338" s="65"/>
      <c r="FS338" s="61"/>
      <c r="FT338" s="65"/>
      <c r="FU338" s="61"/>
      <c r="FV338" s="65"/>
      <c r="FW338" s="61"/>
      <c r="FX338" s="65"/>
      <c r="FY338" s="61"/>
      <c r="FZ338" s="65"/>
      <c r="GA338" s="61"/>
      <c r="GB338" s="65"/>
      <c r="GC338" s="61"/>
      <c r="GD338" s="65"/>
      <c r="GE338" s="61"/>
      <c r="GF338" s="65"/>
      <c r="GG338" s="61"/>
      <c r="GH338" s="65"/>
      <c r="GI338" s="61"/>
      <c r="GJ338" s="65"/>
      <c r="GK338" s="61"/>
      <c r="GL338" s="65"/>
      <c r="GM338" s="61"/>
      <c r="GN338" s="65"/>
      <c r="GO338" s="61"/>
      <c r="GP338" s="65"/>
      <c r="GQ338" s="61"/>
      <c r="GR338" s="64"/>
      <c r="GS338" s="61"/>
      <c r="GT338" s="64"/>
      <c r="GU338" s="61"/>
      <c r="GV338" s="64"/>
      <c r="GW338" s="61"/>
      <c r="GX338" s="64"/>
      <c r="GY338" s="61"/>
      <c r="GZ338" s="61" t="str">
        <f t="shared" si="2263"/>
        <v/>
      </c>
      <c r="HA338" s="61"/>
      <c r="HB338" s="452"/>
      <c r="HC338"/>
      <c r="HD338"/>
      <c r="HE338"/>
      <c r="HF338"/>
      <c r="HG338"/>
      <c r="HH338"/>
    </row>
    <row r="339" spans="1:216" s="5" customFormat="1" ht="12.75" hidden="1" customHeight="1" outlineLevel="1" x14ac:dyDescent="0.2">
      <c r="B339" s="68" t="s">
        <v>381</v>
      </c>
      <c r="C339" s="81"/>
      <c r="D339" s="70"/>
      <c r="E339" s="81"/>
      <c r="F339" s="71"/>
      <c r="G339" s="81"/>
      <c r="H339" s="71"/>
      <c r="I339" s="81"/>
      <c r="J339" s="61"/>
      <c r="K339" s="81"/>
      <c r="L339" s="61"/>
      <c r="M339" s="81"/>
      <c r="N339" s="61"/>
      <c r="O339" s="81"/>
      <c r="P339" s="61"/>
      <c r="Q339" s="81"/>
      <c r="R339" s="61"/>
      <c r="S339" s="81"/>
      <c r="T339" s="61"/>
      <c r="U339" s="81"/>
      <c r="V339" s="61"/>
      <c r="W339" s="81"/>
      <c r="X339" s="61"/>
      <c r="Y339" s="81"/>
      <c r="Z339" s="61"/>
      <c r="AA339" s="81"/>
      <c r="AB339" s="61"/>
      <c r="AC339" s="81"/>
      <c r="AD339" s="61"/>
      <c r="AE339" s="81"/>
      <c r="AF339" s="61"/>
      <c r="AG339" s="81"/>
      <c r="AH339" s="61"/>
      <c r="AI339" s="81"/>
      <c r="AJ339" s="61"/>
      <c r="AK339" s="81"/>
      <c r="AL339" s="61"/>
      <c r="AM339" s="81"/>
      <c r="AN339" s="61"/>
      <c r="AO339" s="81"/>
      <c r="AP339" s="61"/>
      <c r="AQ339" s="81">
        <f>AQ331/AQ325*100</f>
        <v>72.602739726027394</v>
      </c>
      <c r="AR339" s="61" t="str">
        <f>IF(ISERROR((AQ339/AI339-1)*100),"NA",IF(((AQ339/AI339-1)*100)&gt;100,"NM",IF(((AQ339/AI339-1)*100)&lt;-50,"NM",(AQ339/AI339-1)*100)))</f>
        <v>NA</v>
      </c>
      <c r="AS339" s="81">
        <f>AS331/AS325*100</f>
        <v>70.412844036697237</v>
      </c>
      <c r="AT339" s="61" t="str">
        <f>IF(ISERROR((AS339/AK339-1)*100),"NA",IF(((AS339/AK339-1)*100)&gt;100,"NM",IF(((AS339/AK339-1)*100)&lt;-50,"NM",(AS339/AK339-1)*100)))</f>
        <v>NA</v>
      </c>
      <c r="AU339" s="81">
        <f>AU331/AU325*100</f>
        <v>81.595092024539866</v>
      </c>
      <c r="AV339" s="61" t="str">
        <f>IF(ISERROR((AU339/AM339-1)*100),"NA",IF(((AU339/AM339-1)*100)&gt;100,"NM",IF(((AU339/AM339-1)*100)&lt;-50,"NM",(AU339/AM339-1)*100)))</f>
        <v>NA</v>
      </c>
      <c r="AW339" s="81">
        <f>AW331/AW325*100</f>
        <v>59.8848368522073</v>
      </c>
      <c r="AX339" s="61" t="str">
        <f>IF(ISERROR((AW339/AO339-1)*100),"NA",IF(((AW339/AO339-1)*100)&gt;100,"NM",IF(((AW339/AO339-1)*100)&lt;-50,"NM",(AW339/AO339-1)*100)))</f>
        <v>NA</v>
      </c>
      <c r="AY339" s="81">
        <f>AY331/AY325*100</f>
        <v>68.475991649269304</v>
      </c>
      <c r="AZ339" s="61">
        <f>IF(ISERROR((AY339/AQ339-1)*100),"NA",IF(((AY339/AQ339-1)*100)&gt;100,"NM",IF(((AY339/AQ339-1)*100)&lt;-50,"NM",(AY339/AQ339-1)*100)))</f>
        <v>-5.6840115019498256</v>
      </c>
      <c r="BA339" s="81">
        <f>BA331/BA325*100</f>
        <v>49.83606557377049</v>
      </c>
      <c r="BB339" s="61">
        <f>IF(ISERROR((BA339/AS339-1)*100),"NA",IF(((BA339/AS339-1)*100)&gt;100,"NM",IF(((BA339/AS339-1)*100)&lt;-50,"NM",(BA339/AS339-1)*100)))</f>
        <v>-29.223046937576758</v>
      </c>
      <c r="BC339" s="81">
        <f>BC331/BC325*100</f>
        <v>55.279503105590052</v>
      </c>
      <c r="BD339" s="61">
        <f>IF(ISERROR((BC339/AU339-1)*100),"NA",IF(((BC339/AU339-1)*100)&gt;100,"NM",IF(((BC339/AU339-1)*100)&lt;-50,"NM",(BC339/AU339-1)*100)))</f>
        <v>-32.251436043524961</v>
      </c>
      <c r="BE339" s="81">
        <f>BE331/BE325*100</f>
        <v>59.165424739195238</v>
      </c>
      <c r="BF339" s="61">
        <f>IF(ISERROR((BE339/AW339-1)*100),"NA",IF(((BE339/AW339-1)*100)&gt;100,"NM",IF(((BE339/AW339-1)*100)&lt;-50,"NM",(BE339/AW339-1)*100)))</f>
        <v>-1.2013259964079648</v>
      </c>
      <c r="BG339" s="81">
        <f>BG331/BG325*100</f>
        <v>9.0032154340836037</v>
      </c>
      <c r="BH339" s="61" t="str">
        <f>IF(ISERROR((BG339/AY339-1)*100),"NA",IF(((BG339/AY339-1)*100)&gt;100,"NM",IF(((BG339/AY339-1)*100)&lt;-50,"NM",(BG339/AY339-1)*100)))</f>
        <v>NM</v>
      </c>
      <c r="BI339" s="81">
        <f>BI331/BI325*100</f>
        <v>9.6428571428571459</v>
      </c>
      <c r="BJ339" s="61"/>
      <c r="BK339" s="81"/>
      <c r="BL339" s="61"/>
      <c r="BM339" s="81"/>
      <c r="BN339" s="61"/>
      <c r="BO339" s="81"/>
      <c r="BP339" s="61"/>
      <c r="BQ339" s="81"/>
      <c r="BR339" s="61"/>
      <c r="BS339" s="81"/>
      <c r="BT339" s="61"/>
      <c r="BU339" s="81"/>
      <c r="BV339" s="61"/>
      <c r="BW339" s="89"/>
      <c r="BX339" s="61"/>
      <c r="BY339" s="89"/>
      <c r="BZ339" s="61"/>
      <c r="CA339" s="89"/>
      <c r="CB339" s="61"/>
      <c r="CC339" s="89"/>
      <c r="CD339" s="61"/>
      <c r="CE339" s="89"/>
      <c r="CF339" s="61"/>
      <c r="CG339" s="89"/>
      <c r="CH339" s="61"/>
      <c r="CI339" s="89"/>
      <c r="CJ339" s="61"/>
      <c r="CK339" s="89"/>
      <c r="CL339" s="61"/>
      <c r="CM339" s="89"/>
      <c r="CN339" s="61"/>
      <c r="CO339" s="89"/>
      <c r="CP339" s="61"/>
      <c r="CQ339" s="89"/>
      <c r="CR339" s="61"/>
      <c r="CS339" s="89"/>
      <c r="CT339" s="61"/>
      <c r="CU339" s="89"/>
      <c r="CV339" s="61"/>
      <c r="CW339" s="89"/>
      <c r="CX339" s="61"/>
      <c r="CY339" s="89"/>
      <c r="CZ339" s="61"/>
      <c r="DA339" s="89"/>
      <c r="DB339" s="61"/>
      <c r="DC339" s="89"/>
      <c r="DD339" s="61"/>
      <c r="DE339" s="89"/>
      <c r="DF339" s="61"/>
      <c r="DG339" s="89"/>
      <c r="DH339" s="61"/>
      <c r="DI339" s="89"/>
      <c r="DJ339" s="61"/>
      <c r="DK339" s="89"/>
      <c r="DL339" s="61"/>
      <c r="DM339" s="89"/>
      <c r="DN339" s="61"/>
      <c r="DO339" s="89"/>
      <c r="DP339" s="61"/>
      <c r="DQ339" s="89"/>
      <c r="DR339" s="61"/>
      <c r="DS339" s="89"/>
      <c r="DT339" s="61"/>
      <c r="DU339" s="89"/>
      <c r="DV339" s="61"/>
      <c r="DW339" s="89"/>
      <c r="DX339" s="89"/>
      <c r="DY339" s="89"/>
      <c r="DZ339" s="61"/>
      <c r="EA339" s="89"/>
      <c r="EB339" s="61"/>
      <c r="EC339" s="89"/>
      <c r="ED339" s="61"/>
      <c r="EE339" s="89"/>
      <c r="EF339" s="61"/>
      <c r="EG339" s="89"/>
      <c r="EH339" s="61"/>
      <c r="EI339" s="89"/>
      <c r="EJ339" s="61"/>
      <c r="EK339" s="89"/>
      <c r="EL339" s="61"/>
      <c r="EM339" s="89"/>
      <c r="EN339" s="61"/>
      <c r="EO339" s="89"/>
      <c r="EP339" s="61"/>
      <c r="EQ339" s="89"/>
      <c r="ER339" s="61"/>
      <c r="ES339" s="89"/>
      <c r="ET339" s="61"/>
      <c r="EU339" s="89"/>
      <c r="EV339" s="61"/>
      <c r="EW339" s="89"/>
      <c r="EX339" s="61"/>
      <c r="EY339" s="64"/>
      <c r="EZ339" s="558"/>
      <c r="FA339" s="64"/>
      <c r="FB339" s="81"/>
      <c r="FC339" s="124"/>
      <c r="FD339" s="81"/>
      <c r="FE339" s="70"/>
      <c r="FF339" s="81"/>
      <c r="FG339" s="70"/>
      <c r="FH339" s="81"/>
      <c r="FI339" s="70"/>
      <c r="FJ339" s="81"/>
      <c r="FK339" s="70"/>
      <c r="FL339" s="81"/>
      <c r="FM339" s="61"/>
      <c r="FN339" s="81"/>
      <c r="FO339" s="61"/>
      <c r="FP339" s="88">
        <f>FP331/FP325*100</f>
        <v>70.912951167728224</v>
      </c>
      <c r="FQ339" s="61" t="str">
        <f>IF(ISERROR((FP339/FN339-1)*100),"NA",IF(((FP339/FN339-1)*100)&gt;100,"NM",IF(((FP339/FN339-1)*100)&lt;-50,"NM",(FP339/FN339-1)*100)))</f>
        <v>NA</v>
      </c>
      <c r="FR339" s="88">
        <f>FR331/FR325*100</f>
        <v>57.612312811980047</v>
      </c>
      <c r="FS339" s="61">
        <f>IF(ISERROR((FR339/FP339-1)*100),"NA",IF(((FR339/FP339-1)*100)&gt;100,"NM",IF(((FR339/FP339-1)*100)&lt;-50,"NM",(FR339/FP339-1)*100)))</f>
        <v>-18.756289417836502</v>
      </c>
      <c r="FT339" s="88">
        <f>FT331/FT325*100</f>
        <v>9.3062605752961129</v>
      </c>
      <c r="FU339" s="61"/>
      <c r="FV339" s="88"/>
      <c r="FW339" s="61"/>
      <c r="FX339" s="88"/>
      <c r="FY339" s="61"/>
      <c r="FZ339" s="88"/>
      <c r="GA339" s="61"/>
      <c r="GB339" s="88"/>
      <c r="GC339" s="61"/>
      <c r="GD339" s="88"/>
      <c r="GE339" s="61"/>
      <c r="GF339" s="88"/>
      <c r="GG339" s="61"/>
      <c r="GH339" s="88"/>
      <c r="GI339" s="61"/>
      <c r="GJ339" s="88"/>
      <c r="GK339" s="61"/>
      <c r="GL339" s="88"/>
      <c r="GM339" s="61"/>
      <c r="GN339" s="88"/>
      <c r="GO339" s="61"/>
      <c r="GP339" s="88"/>
      <c r="GQ339" s="61"/>
      <c r="GR339" s="89"/>
      <c r="GS339" s="61"/>
      <c r="GT339" s="89"/>
      <c r="GU339" s="61"/>
      <c r="GV339" s="89"/>
      <c r="GW339" s="61"/>
      <c r="GX339" s="89"/>
      <c r="GY339" s="61"/>
      <c r="GZ339" s="61" t="str">
        <f t="shared" si="2263"/>
        <v/>
      </c>
      <c r="HA339" s="61"/>
      <c r="HB339" s="452"/>
      <c r="HC339"/>
      <c r="HD339"/>
      <c r="HE339"/>
      <c r="HF339"/>
      <c r="HG339"/>
      <c r="HH339"/>
    </row>
    <row r="340" spans="1:216" s="5" customFormat="1" ht="12.75" hidden="1" customHeight="1" outlineLevel="1" x14ac:dyDescent="0.2">
      <c r="B340" s="68" t="s">
        <v>589</v>
      </c>
      <c r="C340" s="124"/>
      <c r="D340" s="70"/>
      <c r="E340" s="124"/>
      <c r="F340" s="71"/>
      <c r="G340" s="124"/>
      <c r="H340" s="71"/>
      <c r="I340" s="124"/>
      <c r="J340" s="61"/>
      <c r="K340" s="81"/>
      <c r="L340" s="61"/>
      <c r="M340" s="81"/>
      <c r="N340" s="61"/>
      <c r="O340" s="81"/>
      <c r="P340" s="61"/>
      <c r="Q340" s="81"/>
      <c r="R340" s="61"/>
      <c r="S340" s="81"/>
      <c r="T340" s="61"/>
      <c r="U340" s="81"/>
      <c r="V340" s="61"/>
      <c r="W340" s="81"/>
      <c r="X340" s="61"/>
      <c r="Y340" s="81"/>
      <c r="Z340" s="61"/>
      <c r="AA340" s="81"/>
      <c r="AB340" s="61"/>
      <c r="AC340" s="81"/>
      <c r="AD340" s="61"/>
      <c r="AE340" s="81"/>
      <c r="AF340" s="61"/>
      <c r="AG340" s="81"/>
      <c r="AH340" s="61"/>
      <c r="AI340" s="81"/>
      <c r="AJ340" s="61"/>
      <c r="AK340" s="81"/>
      <c r="AL340" s="61"/>
      <c r="AM340" s="81"/>
      <c r="AN340" s="61"/>
      <c r="AO340" s="81"/>
      <c r="AP340" s="61"/>
      <c r="AQ340" s="81">
        <f>AQ335/AQ325*100</f>
        <v>18.264840182648403</v>
      </c>
      <c r="AR340" s="61" t="str">
        <f>IF(ISERROR((AQ340/AI340-1)*100),"NA",IF(((AQ340/AI340-1)*100)&gt;100,"NM",IF(((AQ340/AI340-1)*100)&lt;-50,"NM",(AQ340/AI340-1)*100)))</f>
        <v>NA</v>
      </c>
      <c r="AS340" s="81">
        <f>AS335/AS325*100</f>
        <v>17.201834862385322</v>
      </c>
      <c r="AT340" s="61" t="str">
        <f>IF(ISERROR((AS340/AK340-1)*100),"NA",IF(((AS340/AK340-1)*100)&gt;100,"NM",IF(((AS340/AK340-1)*100)&lt;-50,"NM",(AS340/AK340-1)*100)))</f>
        <v>NA</v>
      </c>
      <c r="AU340" s="81">
        <f>AU335/AU325*100</f>
        <v>13.087934560327197</v>
      </c>
      <c r="AV340" s="61" t="str">
        <f>IF(ISERROR((AU340/AM340-1)*100),"NA",IF(((AU340/AM340-1)*100)&gt;100,"NM",IF(((AU340/AM340-1)*100)&lt;-50,"NM",(AU340/AM340-1)*100)))</f>
        <v>NA</v>
      </c>
      <c r="AW340" s="81">
        <f>AW335/AW325*100</f>
        <v>14.011516314779271</v>
      </c>
      <c r="AX340" s="61" t="str">
        <f>IF(ISERROR((AW340/AO340-1)*100),"NA",IF(((AW340/AO340-1)*100)&gt;100,"NM",IF(((AW340/AO340-1)*100)&lt;-50,"NM",(AW340/AO340-1)*100)))</f>
        <v>NA</v>
      </c>
      <c r="AY340" s="81">
        <f>AY335/AY325*100</f>
        <v>9.603340292275572</v>
      </c>
      <c r="AZ340" s="61">
        <f>IF(ISERROR((AY340/AQ340-1)*100),"NA",IF(((AY340/AQ340-1)*100)&gt;100,"NM",IF(((AY340/AQ340-1)*100)&lt;-50,"NM",(AY340/AQ340-1)*100)))</f>
        <v>-47.421711899791241</v>
      </c>
      <c r="BA340" s="81">
        <f>BA335/BA325*100</f>
        <v>11.803278688524591</v>
      </c>
      <c r="BB340" s="61">
        <f>IF(ISERROR((BA340/AS340-1)*100),"NA",IF(((BA340/AS340-1)*100)&gt;100,"NM",IF(((BA340/AS340-1)*100)&lt;-50,"NM",(BA340/AS340-1)*100)))</f>
        <v>-31.383606557377053</v>
      </c>
      <c r="BC340" s="81">
        <f>BC335/BC325*100</f>
        <v>18.167701863354036</v>
      </c>
      <c r="BD340" s="61">
        <f>IF(ISERROR((BC340/AU340-1)*100),"NA",IF(((BC340/AU340-1)*100)&gt;100,"NM",IF(((BC340/AU340-1)*100)&lt;-50,"NM",(BC340/AU340-1)*100)))</f>
        <v>38.812597049689444</v>
      </c>
      <c r="BE340" s="81">
        <f>BE335/BE325*100</f>
        <v>13.561847988077497</v>
      </c>
      <c r="BF340" s="61">
        <f>IF(ISERROR((BE340/AW340-1)*100),"NA",IF(((BE340/AW340-1)*100)&gt;100,"NM",IF(((BE340/AW340-1)*100)&lt;-50,"NM",(BE340/AW340-1)*100)))</f>
        <v>-3.2092766878304646</v>
      </c>
      <c r="BG340" s="81">
        <f>BG335/BG325*100</f>
        <v>32.797427652733127</v>
      </c>
      <c r="BH340" s="61" t="str">
        <f>IF(ISERROR((BG340/AY340-1)*100),"NA",IF(((BG340/AY340-1)*100)&gt;100,"NM",IF(((BG340/AY340-1)*100)&lt;-50,"NM",(BG340/AY340-1)*100)))</f>
        <v>NM</v>
      </c>
      <c r="BI340" s="81">
        <f>BI335/BI325*100</f>
        <v>31.428571428571438</v>
      </c>
      <c r="BJ340" s="61"/>
      <c r="BK340" s="81"/>
      <c r="BL340" s="61"/>
      <c r="BM340" s="81"/>
      <c r="BN340" s="61"/>
      <c r="BO340" s="81"/>
      <c r="BP340" s="61"/>
      <c r="BQ340" s="81"/>
      <c r="BR340" s="61"/>
      <c r="BS340" s="81"/>
      <c r="BT340" s="61"/>
      <c r="BU340" s="81"/>
      <c r="BV340" s="61"/>
      <c r="BW340" s="89"/>
      <c r="BX340" s="61"/>
      <c r="BY340" s="89"/>
      <c r="BZ340" s="61"/>
      <c r="CA340" s="89"/>
      <c r="CB340" s="61"/>
      <c r="CC340" s="89"/>
      <c r="CD340" s="61"/>
      <c r="CE340" s="89"/>
      <c r="CF340" s="61"/>
      <c r="CG340" s="89"/>
      <c r="CH340" s="61"/>
      <c r="CI340" s="89"/>
      <c r="CJ340" s="61"/>
      <c r="CK340" s="89"/>
      <c r="CL340" s="61"/>
      <c r="CM340" s="89"/>
      <c r="CN340" s="61"/>
      <c r="CO340" s="89"/>
      <c r="CP340" s="61"/>
      <c r="CQ340" s="89"/>
      <c r="CR340" s="61"/>
      <c r="CS340" s="89"/>
      <c r="CT340" s="61"/>
      <c r="CU340" s="89"/>
      <c r="CV340" s="61"/>
      <c r="CW340" s="89"/>
      <c r="CX340" s="61"/>
      <c r="CY340" s="89"/>
      <c r="CZ340" s="61"/>
      <c r="DA340" s="89"/>
      <c r="DB340" s="61"/>
      <c r="DC340" s="89"/>
      <c r="DD340" s="61"/>
      <c r="DE340" s="89"/>
      <c r="DF340" s="61"/>
      <c r="DG340" s="89"/>
      <c r="DH340" s="61"/>
      <c r="DI340" s="89"/>
      <c r="DJ340" s="61"/>
      <c r="DK340" s="89"/>
      <c r="DL340" s="61"/>
      <c r="DM340" s="89"/>
      <c r="DN340" s="61"/>
      <c r="DO340" s="89"/>
      <c r="DP340" s="61"/>
      <c r="DQ340" s="89"/>
      <c r="DR340" s="61"/>
      <c r="DS340" s="89"/>
      <c r="DT340" s="61"/>
      <c r="DU340" s="89"/>
      <c r="DV340" s="61"/>
      <c r="DW340" s="89"/>
      <c r="DX340" s="89"/>
      <c r="DY340" s="89"/>
      <c r="DZ340" s="61"/>
      <c r="EA340" s="89"/>
      <c r="EB340" s="61"/>
      <c r="EC340" s="89"/>
      <c r="ED340" s="61"/>
      <c r="EE340" s="89"/>
      <c r="EF340" s="61"/>
      <c r="EG340" s="89"/>
      <c r="EH340" s="61"/>
      <c r="EI340" s="89"/>
      <c r="EJ340" s="61"/>
      <c r="EK340" s="89"/>
      <c r="EL340" s="61"/>
      <c r="EM340" s="89"/>
      <c r="EN340" s="61"/>
      <c r="EO340" s="89"/>
      <c r="EP340" s="61"/>
      <c r="EQ340" s="89"/>
      <c r="ER340" s="61"/>
      <c r="ES340" s="89"/>
      <c r="ET340" s="61"/>
      <c r="EU340" s="89"/>
      <c r="EV340" s="61"/>
      <c r="EW340" s="89"/>
      <c r="EX340" s="61"/>
      <c r="EY340" s="64"/>
      <c r="EZ340" s="558"/>
      <c r="FA340" s="64"/>
      <c r="FB340" s="124"/>
      <c r="FC340" s="124"/>
      <c r="FD340" s="124"/>
      <c r="FE340" s="70"/>
      <c r="FF340" s="81"/>
      <c r="FG340" s="70"/>
      <c r="FH340" s="81"/>
      <c r="FI340" s="70"/>
      <c r="FJ340" s="81"/>
      <c r="FK340" s="70"/>
      <c r="FL340" s="81"/>
      <c r="FM340" s="61"/>
      <c r="FN340" s="81"/>
      <c r="FO340" s="61"/>
      <c r="FP340" s="88">
        <f>FP335/FP325*100</f>
        <v>15.49893842887473</v>
      </c>
      <c r="FQ340" s="61" t="str">
        <f>IF(ISERROR((FP340/FN340-1)*100),"NA",IF(((FP340/FN340-1)*100)&gt;100,"NM",IF(((FP340/FN340-1)*100)&lt;-50,"NM",(FP340/FN340-1)*100)))</f>
        <v>NA</v>
      </c>
      <c r="FR340" s="88">
        <f>FR335/FR325*100</f>
        <v>13.560732113144763</v>
      </c>
      <c r="FS340" s="61">
        <f>IF(ISERROR((FR340/FP340-1)*100),"NA",IF(((FR340/FP340-1)*100)&gt;100,"NM",IF(((FR340/FP340-1)*100)&lt;-50,"NM",(FR340/FP340-1)*100)))</f>
        <v>-12.505413352175543</v>
      </c>
      <c r="FT340" s="88">
        <f>FT335/FT325*100</f>
        <v>32.148900169204758</v>
      </c>
      <c r="FU340" s="61"/>
      <c r="FV340" s="88"/>
      <c r="FW340" s="61"/>
      <c r="FX340" s="88"/>
      <c r="FY340" s="61"/>
      <c r="FZ340" s="88"/>
      <c r="GA340" s="61"/>
      <c r="GB340" s="88"/>
      <c r="GC340" s="61"/>
      <c r="GD340" s="88"/>
      <c r="GE340" s="61"/>
      <c r="GF340" s="88"/>
      <c r="GG340" s="61"/>
      <c r="GH340" s="88"/>
      <c r="GI340" s="61"/>
      <c r="GJ340" s="88"/>
      <c r="GK340" s="61"/>
      <c r="GL340" s="88"/>
      <c r="GM340" s="61"/>
      <c r="GN340" s="88"/>
      <c r="GO340" s="61"/>
      <c r="GP340" s="88"/>
      <c r="GQ340" s="61"/>
      <c r="GR340" s="89"/>
      <c r="GS340" s="61"/>
      <c r="GT340" s="89"/>
      <c r="GU340" s="61"/>
      <c r="GV340" s="89"/>
      <c r="GW340" s="61"/>
      <c r="GX340" s="89"/>
      <c r="GY340" s="61"/>
      <c r="GZ340" s="61" t="str">
        <f t="shared" si="2263"/>
        <v/>
      </c>
      <c r="HA340" s="61"/>
      <c r="HB340" s="452"/>
      <c r="HC340"/>
      <c r="HD340"/>
      <c r="HE340"/>
      <c r="HF340"/>
      <c r="HG340"/>
      <c r="HH340"/>
    </row>
    <row r="341" spans="1:216" s="5" customFormat="1" ht="12.75" hidden="1" customHeight="1" outlineLevel="1" x14ac:dyDescent="0.2">
      <c r="B341" s="68"/>
      <c r="C341" s="66"/>
      <c r="D341" s="67"/>
      <c r="E341" s="66"/>
      <c r="F341" s="66"/>
      <c r="G341" s="64"/>
      <c r="H341" s="66"/>
      <c r="I341" s="64"/>
      <c r="J341" s="66"/>
      <c r="K341" s="64"/>
      <c r="L341" s="61"/>
      <c r="M341" s="66"/>
      <c r="N341" s="61"/>
      <c r="O341" s="64"/>
      <c r="P341" s="61"/>
      <c r="Q341" s="64"/>
      <c r="R341" s="61"/>
      <c r="S341" s="64"/>
      <c r="T341" s="61"/>
      <c r="U341" s="64"/>
      <c r="V341" s="61"/>
      <c r="W341" s="64"/>
      <c r="X341" s="61"/>
      <c r="Y341" s="64"/>
      <c r="Z341" s="61"/>
      <c r="AA341" s="64"/>
      <c r="AB341" s="61"/>
      <c r="AC341" s="64"/>
      <c r="AD341" s="61"/>
      <c r="AE341" s="64"/>
      <c r="AF341" s="61"/>
      <c r="AG341" s="64"/>
      <c r="AH341" s="61"/>
      <c r="AI341" s="64"/>
      <c r="AJ341" s="61"/>
      <c r="AK341" s="64"/>
      <c r="AL341" s="61"/>
      <c r="AM341" s="64"/>
      <c r="AN341" s="61"/>
      <c r="AO341" s="64"/>
      <c r="AP341" s="61"/>
      <c r="AQ341" s="64"/>
      <c r="AR341" s="61"/>
      <c r="AS341" s="64"/>
      <c r="AT341" s="61"/>
      <c r="AU341" s="64"/>
      <c r="AV341" s="61"/>
      <c r="AW341" s="64"/>
      <c r="AX341" s="61"/>
      <c r="AY341" s="64"/>
      <c r="AZ341" s="61"/>
      <c r="BA341" s="64"/>
      <c r="BB341" s="61"/>
      <c r="BC341" s="64"/>
      <c r="BD341" s="61"/>
      <c r="BE341" s="64"/>
      <c r="BF341" s="61"/>
      <c r="BG341" s="64"/>
      <c r="BH341" s="61"/>
      <c r="BI341" s="64"/>
      <c r="BJ341" s="61"/>
      <c r="BK341" s="64"/>
      <c r="BL341" s="61"/>
      <c r="BM341" s="64"/>
      <c r="BN341" s="61"/>
      <c r="BO341" s="64"/>
      <c r="BP341" s="61"/>
      <c r="BQ341" s="64"/>
      <c r="BR341" s="61"/>
      <c r="BS341" s="64"/>
      <c r="BT341" s="61"/>
      <c r="BU341" s="64"/>
      <c r="BV341" s="61"/>
      <c r="BW341" s="64"/>
      <c r="BX341" s="61"/>
      <c r="BY341" s="64"/>
      <c r="BZ341" s="61"/>
      <c r="CA341" s="64"/>
      <c r="CB341" s="61"/>
      <c r="CC341" s="64"/>
      <c r="CD341" s="61"/>
      <c r="CE341" s="64"/>
      <c r="CF341" s="61"/>
      <c r="CG341" s="64"/>
      <c r="CH341" s="61"/>
      <c r="CI341" s="64"/>
      <c r="CJ341" s="61"/>
      <c r="CK341" s="64"/>
      <c r="CL341" s="61"/>
      <c r="CM341" s="64"/>
      <c r="CN341" s="61"/>
      <c r="CO341" s="64"/>
      <c r="CP341" s="61"/>
      <c r="CQ341" s="64"/>
      <c r="CR341" s="61"/>
      <c r="CS341" s="64"/>
      <c r="CT341" s="61"/>
      <c r="CU341" s="64"/>
      <c r="CV341" s="61"/>
      <c r="CW341" s="64"/>
      <c r="CX341" s="61"/>
      <c r="CY341" s="64"/>
      <c r="CZ341" s="61"/>
      <c r="DA341" s="64"/>
      <c r="DB341" s="61"/>
      <c r="DC341" s="64"/>
      <c r="DD341" s="61"/>
      <c r="DE341" s="64"/>
      <c r="DF341" s="61"/>
      <c r="DG341" s="64"/>
      <c r="DH341" s="61"/>
      <c r="DI341" s="64"/>
      <c r="DJ341" s="61"/>
      <c r="DK341" s="64"/>
      <c r="DL341" s="61"/>
      <c r="DM341" s="64"/>
      <c r="DN341" s="61"/>
      <c r="DO341" s="64"/>
      <c r="DP341" s="61"/>
      <c r="DQ341" s="64"/>
      <c r="DR341" s="61"/>
      <c r="DS341" s="64"/>
      <c r="DT341" s="61"/>
      <c r="DU341" s="64"/>
      <c r="DV341" s="61"/>
      <c r="DW341" s="64"/>
      <c r="DX341" s="64"/>
      <c r="DY341" s="64"/>
      <c r="DZ341" s="61"/>
      <c r="EA341" s="64"/>
      <c r="EB341" s="61"/>
      <c r="EC341" s="64"/>
      <c r="ED341" s="61"/>
      <c r="EE341" s="64"/>
      <c r="EF341" s="61"/>
      <c r="EG341" s="64"/>
      <c r="EH341" s="61"/>
      <c r="EI341" s="64"/>
      <c r="EJ341" s="61"/>
      <c r="EK341" s="64"/>
      <c r="EL341" s="61"/>
      <c r="EM341" s="64"/>
      <c r="EN341" s="61"/>
      <c r="EO341" s="64"/>
      <c r="EP341" s="61"/>
      <c r="EQ341" s="64"/>
      <c r="ER341" s="61"/>
      <c r="ES341" s="64"/>
      <c r="ET341" s="61"/>
      <c r="EU341" s="64"/>
      <c r="EV341" s="61"/>
      <c r="EW341" s="64"/>
      <c r="EX341" s="61"/>
      <c r="EY341" s="64"/>
      <c r="EZ341" s="558"/>
      <c r="FA341" s="64"/>
      <c r="FB341" s="66"/>
      <c r="FC341" s="124"/>
      <c r="FD341" s="66"/>
      <c r="FE341" s="67"/>
      <c r="FF341" s="66"/>
      <c r="FG341" s="67"/>
      <c r="FH341" s="66"/>
      <c r="FI341" s="67"/>
      <c r="FJ341" s="66"/>
      <c r="FK341" s="67"/>
      <c r="FL341" s="66"/>
      <c r="FM341" s="61"/>
      <c r="FN341" s="66"/>
      <c r="FO341" s="61"/>
      <c r="FP341" s="65"/>
      <c r="FQ341" s="61"/>
      <c r="FR341" s="65"/>
      <c r="FS341" s="61"/>
      <c r="FT341" s="65"/>
      <c r="FU341" s="61"/>
      <c r="FV341" s="65"/>
      <c r="FW341" s="61"/>
      <c r="FX341" s="65"/>
      <c r="FY341" s="61"/>
      <c r="FZ341" s="65"/>
      <c r="GA341" s="61"/>
      <c r="GB341" s="65"/>
      <c r="GC341" s="61"/>
      <c r="GD341" s="65"/>
      <c r="GE341" s="61"/>
      <c r="GF341" s="65"/>
      <c r="GG341" s="61"/>
      <c r="GH341" s="65"/>
      <c r="GI341" s="61"/>
      <c r="GJ341" s="65"/>
      <c r="GK341" s="61"/>
      <c r="GL341" s="65"/>
      <c r="GM341" s="61"/>
      <c r="GN341" s="65"/>
      <c r="GO341" s="61"/>
      <c r="GP341" s="65"/>
      <c r="GQ341" s="61"/>
      <c r="GR341" s="64"/>
      <c r="GS341" s="61"/>
      <c r="GT341" s="64"/>
      <c r="GU341" s="61"/>
      <c r="GV341" s="64"/>
      <c r="GW341" s="61"/>
      <c r="GX341" s="64"/>
      <c r="GY341" s="61"/>
      <c r="GZ341" s="61" t="str">
        <f t="shared" si="2263"/>
        <v/>
      </c>
      <c r="HA341" s="61"/>
      <c r="HB341" s="452"/>
      <c r="HC341"/>
      <c r="HD341"/>
      <c r="HE341"/>
      <c r="HF341"/>
      <c r="HG341"/>
      <c r="HH341"/>
    </row>
    <row r="342" spans="1:216" s="5" customFormat="1" ht="12.75" hidden="1" customHeight="1" outlineLevel="1" x14ac:dyDescent="0.2">
      <c r="B342" s="174" t="s">
        <v>578</v>
      </c>
      <c r="C342" s="66"/>
      <c r="D342" s="67"/>
      <c r="E342" s="66"/>
      <c r="F342" s="66"/>
      <c r="G342" s="64"/>
      <c r="H342" s="66"/>
      <c r="I342" s="64"/>
      <c r="J342" s="66"/>
      <c r="K342" s="64"/>
      <c r="L342" s="61"/>
      <c r="M342" s="66"/>
      <c r="N342" s="61"/>
      <c r="O342" s="64"/>
      <c r="P342" s="61"/>
      <c r="Q342" s="64"/>
      <c r="R342" s="61"/>
      <c r="S342" s="64"/>
      <c r="T342" s="61"/>
      <c r="U342" s="64"/>
      <c r="V342" s="61"/>
      <c r="W342" s="64"/>
      <c r="X342" s="61"/>
      <c r="Y342" s="64"/>
      <c r="Z342" s="61"/>
      <c r="AA342" s="64"/>
      <c r="AB342" s="61"/>
      <c r="AC342" s="64"/>
      <c r="AD342" s="61"/>
      <c r="AE342" s="64"/>
      <c r="AF342" s="61"/>
      <c r="AG342" s="64"/>
      <c r="AH342" s="61"/>
      <c r="AI342" s="64"/>
      <c r="AJ342" s="61"/>
      <c r="AK342" s="64"/>
      <c r="AL342" s="61"/>
      <c r="AM342" s="64"/>
      <c r="AN342" s="61"/>
      <c r="AO342" s="64"/>
      <c r="AP342" s="61"/>
      <c r="AQ342" s="64"/>
      <c r="AR342" s="61"/>
      <c r="AS342" s="64"/>
      <c r="AT342" s="61"/>
      <c r="AU342" s="64"/>
      <c r="AV342" s="61"/>
      <c r="AW342" s="64"/>
      <c r="AX342" s="61"/>
      <c r="AY342" s="64"/>
      <c r="AZ342" s="61"/>
      <c r="BA342" s="64"/>
      <c r="BB342" s="61"/>
      <c r="BC342" s="64"/>
      <c r="BD342" s="61"/>
      <c r="BE342" s="64"/>
      <c r="BF342" s="61"/>
      <c r="BG342" s="64"/>
      <c r="BH342" s="61"/>
      <c r="BI342" s="64"/>
      <c r="BJ342" s="61"/>
      <c r="BK342" s="64"/>
      <c r="BL342" s="61"/>
      <c r="BM342" s="64"/>
      <c r="BN342" s="61"/>
      <c r="BO342" s="64"/>
      <c r="BP342" s="61"/>
      <c r="BQ342" s="64"/>
      <c r="BR342" s="61"/>
      <c r="BS342" s="64"/>
      <c r="BT342" s="61"/>
      <c r="BU342" s="64"/>
      <c r="BV342" s="61"/>
      <c r="BW342" s="64"/>
      <c r="BX342" s="61"/>
      <c r="BY342" s="64"/>
      <c r="BZ342" s="61"/>
      <c r="CA342" s="64"/>
      <c r="CB342" s="61"/>
      <c r="CC342" s="64"/>
      <c r="CD342" s="61"/>
      <c r="CE342" s="64"/>
      <c r="CF342" s="61"/>
      <c r="CG342" s="64"/>
      <c r="CH342" s="61"/>
      <c r="CI342" s="64"/>
      <c r="CJ342" s="61"/>
      <c r="CK342" s="64"/>
      <c r="CL342" s="61"/>
      <c r="CM342" s="64"/>
      <c r="CN342" s="61"/>
      <c r="CO342" s="64"/>
      <c r="CP342" s="61"/>
      <c r="CQ342" s="64"/>
      <c r="CR342" s="61"/>
      <c r="CS342" s="64"/>
      <c r="CT342" s="61"/>
      <c r="CU342" s="64"/>
      <c r="CV342" s="61"/>
      <c r="CW342" s="64"/>
      <c r="CX342" s="61"/>
      <c r="CY342" s="64"/>
      <c r="CZ342" s="61"/>
      <c r="DA342" s="64"/>
      <c r="DB342" s="61"/>
      <c r="DC342" s="64"/>
      <c r="DD342" s="61"/>
      <c r="DE342" s="64"/>
      <c r="DF342" s="61"/>
      <c r="DG342" s="64"/>
      <c r="DH342" s="61"/>
      <c r="DI342" s="64"/>
      <c r="DJ342" s="61"/>
      <c r="DK342" s="64"/>
      <c r="DL342" s="61"/>
      <c r="DM342" s="64"/>
      <c r="DN342" s="61"/>
      <c r="DO342" s="64"/>
      <c r="DP342" s="61"/>
      <c r="DQ342" s="64"/>
      <c r="DR342" s="61"/>
      <c r="DS342" s="64"/>
      <c r="DT342" s="61"/>
      <c r="DU342" s="64"/>
      <c r="DV342" s="61"/>
      <c r="DW342" s="64"/>
      <c r="DX342" s="64"/>
      <c r="DY342" s="64"/>
      <c r="DZ342" s="61"/>
      <c r="EA342" s="64"/>
      <c r="EB342" s="61"/>
      <c r="EC342" s="64"/>
      <c r="ED342" s="61"/>
      <c r="EE342" s="64"/>
      <c r="EF342" s="61"/>
      <c r="EG342" s="64"/>
      <c r="EH342" s="61"/>
      <c r="EI342" s="64"/>
      <c r="EJ342" s="61"/>
      <c r="EK342" s="64"/>
      <c r="EL342" s="61"/>
      <c r="EM342" s="64"/>
      <c r="EN342" s="61"/>
      <c r="EO342" s="64"/>
      <c r="EP342" s="61"/>
      <c r="EQ342" s="64"/>
      <c r="ER342" s="61"/>
      <c r="ES342" s="64"/>
      <c r="ET342" s="61"/>
      <c r="EU342" s="64"/>
      <c r="EV342" s="61"/>
      <c r="EW342" s="64"/>
      <c r="EX342" s="61"/>
      <c r="EY342" s="64"/>
      <c r="EZ342" s="558"/>
      <c r="FA342" s="64"/>
      <c r="FB342" s="66"/>
      <c r="FC342" s="66"/>
      <c r="FD342" s="66"/>
      <c r="FE342" s="67"/>
      <c r="FF342" s="66"/>
      <c r="FG342" s="67"/>
      <c r="FH342" s="66"/>
      <c r="FI342" s="67"/>
      <c r="FJ342" s="66"/>
      <c r="FK342" s="67"/>
      <c r="FL342" s="66"/>
      <c r="FM342" s="61"/>
      <c r="FN342" s="66"/>
      <c r="FO342" s="61"/>
      <c r="FP342" s="65"/>
      <c r="FQ342" s="61"/>
      <c r="FR342" s="65"/>
      <c r="FS342" s="61"/>
      <c r="FT342" s="65"/>
      <c r="FU342" s="61"/>
      <c r="FV342" s="65"/>
      <c r="FW342" s="61"/>
      <c r="FX342" s="65"/>
      <c r="FY342" s="61"/>
      <c r="FZ342" s="65"/>
      <c r="GA342" s="61"/>
      <c r="GB342" s="65"/>
      <c r="GC342" s="61"/>
      <c r="GD342" s="65"/>
      <c r="GE342" s="61"/>
      <c r="GF342" s="65"/>
      <c r="GG342" s="61"/>
      <c r="GH342" s="65"/>
      <c r="GI342" s="61"/>
      <c r="GJ342" s="65"/>
      <c r="GK342" s="61"/>
      <c r="GL342" s="65"/>
      <c r="GM342" s="61"/>
      <c r="GN342" s="65"/>
      <c r="GO342" s="61"/>
      <c r="GP342" s="65"/>
      <c r="GQ342" s="61"/>
      <c r="GR342" s="64"/>
      <c r="GS342" s="61"/>
      <c r="GT342" s="64"/>
      <c r="GU342" s="61"/>
      <c r="GV342" s="64"/>
      <c r="GW342" s="61"/>
      <c r="GX342" s="64"/>
      <c r="GY342" s="61"/>
      <c r="GZ342" s="61" t="str">
        <f t="shared" si="2263"/>
        <v/>
      </c>
      <c r="HA342" s="61"/>
      <c r="HB342" s="452"/>
      <c r="HC342"/>
      <c r="HD342"/>
      <c r="HE342"/>
      <c r="HF342"/>
      <c r="HG342"/>
      <c r="HH342"/>
    </row>
    <row r="343" spans="1:216" s="5" customFormat="1" ht="12.75" hidden="1" customHeight="1" outlineLevel="1" x14ac:dyDescent="0.2">
      <c r="A343" s="5" t="s">
        <v>24</v>
      </c>
      <c r="B343" s="2" t="s">
        <v>351</v>
      </c>
      <c r="C343" s="69"/>
      <c r="D343" s="70"/>
      <c r="E343" s="69"/>
      <c r="F343" s="71"/>
      <c r="G343" s="69"/>
      <c r="H343" s="71"/>
      <c r="I343" s="69"/>
      <c r="J343" s="61"/>
      <c r="K343" s="69"/>
      <c r="L343" s="61"/>
      <c r="M343" s="69"/>
      <c r="N343" s="61"/>
      <c r="O343" s="69"/>
      <c r="P343" s="61"/>
      <c r="Q343" s="69"/>
      <c r="R343" s="61"/>
      <c r="S343" s="69"/>
      <c r="T343" s="61"/>
      <c r="U343" s="69"/>
      <c r="V343" s="61"/>
      <c r="W343" s="69"/>
      <c r="X343" s="61"/>
      <c r="Y343" s="69"/>
      <c r="Z343" s="61"/>
      <c r="AA343" s="69"/>
      <c r="AB343" s="61"/>
      <c r="AC343" s="69"/>
      <c r="AD343" s="61"/>
      <c r="AE343" s="69"/>
      <c r="AF343" s="61"/>
      <c r="AG343" s="69"/>
      <c r="AH343" s="61"/>
      <c r="AI343" s="69"/>
      <c r="AJ343" s="61"/>
      <c r="AK343" s="84"/>
      <c r="AL343" s="61"/>
      <c r="AM343" s="69"/>
      <c r="AN343" s="61"/>
      <c r="AO343" s="69"/>
      <c r="AP343" s="61"/>
      <c r="AQ343" s="69">
        <f>AQ324-AQ336</f>
        <v>4</v>
      </c>
      <c r="AR343" s="61" t="str">
        <f t="shared" ref="AR343:AR349" si="2264">IF(ISERROR((AQ343/AI343-1)*100),"NA",IF(((AQ343/AI343-1)*100)&gt;100,"NM",IF(((AQ343/AI343-1)*100)&lt;-50,"NM",(AQ343/AI343-1)*100)))</f>
        <v>NA</v>
      </c>
      <c r="AS343" s="69">
        <f>AS324-AS336</f>
        <v>5.4000000000000057</v>
      </c>
      <c r="AT343" s="61" t="str">
        <f t="shared" ref="AT343:AT349" si="2265">IF(ISERROR((AS343/AK343-1)*100),"NA",IF(((AS343/AK343-1)*100)&gt;100,"NM",IF(((AS343/AK343-1)*100)&lt;-50,"NM",(AS343/AK343-1)*100)))</f>
        <v>NA</v>
      </c>
      <c r="AU343" s="69">
        <f>AU324-AU336</f>
        <v>2.6000000000000014</v>
      </c>
      <c r="AV343" s="61" t="str">
        <f t="shared" ref="AV343:AX349" si="2266">IF(ISERROR((AU343/AM343-1)*100),"NA",IF(((AU343/AM343-1)*100)&gt;100,"NM",IF(((AU343/AM343-1)*100)&lt;-50,"NM",(AU343/AM343-1)*100)))</f>
        <v>NA</v>
      </c>
      <c r="AW343" s="69">
        <f>AW324-AW336</f>
        <v>13.599999999999994</v>
      </c>
      <c r="AX343" s="61" t="str">
        <f t="shared" si="2266"/>
        <v>NA</v>
      </c>
      <c r="AY343" s="69">
        <f>AY324-AY336</f>
        <v>10.500000000000007</v>
      </c>
      <c r="AZ343" s="61" t="str">
        <f t="shared" ref="AZ343:AZ349" si="2267">IF(ISERROR((AY343/AQ343-1)*100),"NA",IF(((AY343/AQ343-1)*100)&gt;100,"NM",IF(((AY343/AQ343-1)*100)&lt;-50,"NM",(AY343/AQ343-1)*100)))</f>
        <v>NM</v>
      </c>
      <c r="BA343" s="69">
        <f>BA324-BA336</f>
        <v>23.399999999999991</v>
      </c>
      <c r="BB343" s="61" t="str">
        <f t="shared" ref="BB343:BB349" si="2268">IF(ISERROR((BA343/AS343-1)*100),"NA",IF(((BA343/AS343-1)*100)&gt;100,"NM",IF(((BA343/AS343-1)*100)&lt;-50,"NM",(BA343/AS343-1)*100)))</f>
        <v>NM</v>
      </c>
      <c r="BC343" s="69">
        <f>BC324-BC336</f>
        <v>17.100000000000009</v>
      </c>
      <c r="BD343" s="61" t="str">
        <f t="shared" ref="BD343:BD349" si="2269">IF(ISERROR((BC343/AU343-1)*100),"NA",IF(((BC343/AU343-1)*100)&gt;100,"NM",IF(((BC343/AU343-1)*100)&lt;-50,"NM",(BC343/AU343-1)*100)))</f>
        <v>NM</v>
      </c>
      <c r="BE343" s="69">
        <f>BE324-BE336</f>
        <v>18.299999999999983</v>
      </c>
      <c r="BF343" s="61">
        <f t="shared" ref="BF343:BH349" si="2270">IF(ISERROR((BE343/AW343-1)*100),"NA",IF(((BE343/AW343-1)*100)&gt;100,"NM",IF(((BE343/AW343-1)*100)&lt;-50,"NM",(BE343/AW343-1)*100)))</f>
        <v>34.558823529411683</v>
      </c>
      <c r="BG343" s="69">
        <f>BG324-BG336</f>
        <v>18.099999999999994</v>
      </c>
      <c r="BH343" s="61">
        <f t="shared" si="2270"/>
        <v>72.380952380952209</v>
      </c>
      <c r="BI343" s="69">
        <f>BI324-BI336</f>
        <v>16.499999999999986</v>
      </c>
      <c r="BJ343" s="61"/>
      <c r="BK343" s="69"/>
      <c r="BL343" s="61"/>
      <c r="BM343" s="69"/>
      <c r="BN343" s="61"/>
      <c r="BO343" s="69"/>
      <c r="BP343" s="61"/>
      <c r="BQ343" s="69"/>
      <c r="BR343" s="61"/>
      <c r="BS343" s="69"/>
      <c r="BT343" s="61"/>
      <c r="BU343" s="69"/>
      <c r="BV343" s="61"/>
      <c r="BW343" s="69"/>
      <c r="BX343" s="61"/>
      <c r="BY343" s="69"/>
      <c r="BZ343" s="61"/>
      <c r="CA343" s="69"/>
      <c r="CB343" s="61"/>
      <c r="CC343" s="69"/>
      <c r="CD343" s="61"/>
      <c r="CE343" s="69"/>
      <c r="CF343" s="61"/>
      <c r="CG343" s="69"/>
      <c r="CH343" s="61"/>
      <c r="CI343" s="69"/>
      <c r="CJ343" s="61"/>
      <c r="CK343" s="69"/>
      <c r="CL343" s="61"/>
      <c r="CM343" s="69"/>
      <c r="CN343" s="61"/>
      <c r="CO343" s="69"/>
      <c r="CP343" s="61"/>
      <c r="CQ343" s="69"/>
      <c r="CR343" s="61"/>
      <c r="CS343" s="69"/>
      <c r="CT343" s="61"/>
      <c r="CU343" s="69"/>
      <c r="CV343" s="61"/>
      <c r="CW343" s="69"/>
      <c r="CX343" s="61"/>
      <c r="CY343" s="69"/>
      <c r="CZ343" s="61"/>
      <c r="DA343" s="69"/>
      <c r="DB343" s="61"/>
      <c r="DC343" s="69"/>
      <c r="DD343" s="61"/>
      <c r="DE343" s="69"/>
      <c r="DF343" s="61"/>
      <c r="DG343" s="69"/>
      <c r="DH343" s="61"/>
      <c r="DI343" s="69"/>
      <c r="DJ343" s="61"/>
      <c r="DK343" s="69"/>
      <c r="DL343" s="61"/>
      <c r="DM343" s="69"/>
      <c r="DN343" s="61"/>
      <c r="DO343" s="69"/>
      <c r="DP343" s="61"/>
      <c r="DQ343" s="69"/>
      <c r="DR343" s="61"/>
      <c r="DS343" s="69"/>
      <c r="DT343" s="61"/>
      <c r="DU343" s="69"/>
      <c r="DV343" s="61"/>
      <c r="DW343" s="69"/>
      <c r="DX343" s="69"/>
      <c r="DY343" s="69"/>
      <c r="DZ343" s="61"/>
      <c r="EA343" s="69"/>
      <c r="EB343" s="61"/>
      <c r="EC343" s="69"/>
      <c r="ED343" s="61"/>
      <c r="EE343" s="69"/>
      <c r="EF343" s="61"/>
      <c r="EG343" s="69"/>
      <c r="EH343" s="61"/>
      <c r="EI343" s="69"/>
      <c r="EJ343" s="61"/>
      <c r="EK343" s="69"/>
      <c r="EL343" s="61"/>
      <c r="EM343" s="69"/>
      <c r="EN343" s="61"/>
      <c r="EO343" s="69"/>
      <c r="EP343" s="61"/>
      <c r="EQ343" s="69"/>
      <c r="ER343" s="61"/>
      <c r="ES343" s="69"/>
      <c r="ET343" s="61"/>
      <c r="EU343" s="69"/>
      <c r="EV343" s="61"/>
      <c r="EW343" s="69"/>
      <c r="EX343" s="61"/>
      <c r="EY343" s="64"/>
      <c r="EZ343" s="558"/>
      <c r="FA343" s="64"/>
      <c r="FB343" s="69"/>
      <c r="FC343" s="124"/>
      <c r="FD343" s="69"/>
      <c r="FE343" s="70"/>
      <c r="FF343" s="69"/>
      <c r="FG343" s="70"/>
      <c r="FH343" s="69"/>
      <c r="FI343" s="70"/>
      <c r="FJ343" s="69"/>
      <c r="FK343" s="70"/>
      <c r="FL343" s="69"/>
      <c r="FM343" s="61"/>
      <c r="FN343" s="102"/>
      <c r="FO343" s="61"/>
      <c r="FP343" s="73">
        <f>FP324-FP336</f>
        <v>25.600000000000023</v>
      </c>
      <c r="FQ343" s="61" t="str">
        <f t="shared" ref="FQ343:FS349" si="2271">IF(ISERROR((FP343/FN343-1)*100),"NA",IF(((FP343/FN343-1)*100)&gt;100,"NM",IF(((FP343/FN343-1)*100)&lt;-50,"NM",(FP343/FN343-1)*100)))</f>
        <v>NA</v>
      </c>
      <c r="FR343" s="73">
        <f>FR324-FR336</f>
        <v>69.299999999999955</v>
      </c>
      <c r="FS343" s="61" t="str">
        <f t="shared" si="2271"/>
        <v>NM</v>
      </c>
      <c r="FT343" s="73">
        <f>FT324-FT336</f>
        <v>34.599999999999966</v>
      </c>
      <c r="FU343" s="61"/>
      <c r="FV343" s="73"/>
      <c r="FW343" s="61"/>
      <c r="FX343" s="73"/>
      <c r="FY343" s="61"/>
      <c r="FZ343" s="73"/>
      <c r="GA343" s="61"/>
      <c r="GB343" s="73"/>
      <c r="GC343" s="61"/>
      <c r="GD343" s="73"/>
      <c r="GE343" s="61"/>
      <c r="GF343" s="73"/>
      <c r="GG343" s="61"/>
      <c r="GH343" s="73"/>
      <c r="GI343" s="61"/>
      <c r="GJ343" s="73"/>
      <c r="GK343" s="61"/>
      <c r="GL343" s="73"/>
      <c r="GM343" s="61"/>
      <c r="GN343" s="73"/>
      <c r="GO343" s="61"/>
      <c r="GP343" s="73"/>
      <c r="GQ343" s="61"/>
      <c r="GR343" s="69"/>
      <c r="GS343" s="61"/>
      <c r="GT343" s="69"/>
      <c r="GU343" s="61"/>
      <c r="GV343" s="69"/>
      <c r="GW343" s="61"/>
      <c r="GX343" s="69"/>
      <c r="GY343" s="61"/>
      <c r="GZ343" s="61" t="str">
        <f t="shared" si="2263"/>
        <v/>
      </c>
      <c r="HA343" s="61"/>
      <c r="HB343" s="452"/>
      <c r="HC343"/>
      <c r="HD343"/>
      <c r="HE343"/>
      <c r="HF343"/>
      <c r="HG343"/>
      <c r="HH343"/>
    </row>
    <row r="344" spans="1:216" s="5" customFormat="1" ht="12.75" hidden="1" customHeight="1" outlineLevel="1" x14ac:dyDescent="0.2">
      <c r="B344" s="2" t="s">
        <v>115</v>
      </c>
      <c r="C344" s="72"/>
      <c r="D344" s="70"/>
      <c r="E344" s="72"/>
      <c r="F344" s="61"/>
      <c r="G344" s="74"/>
      <c r="H344" s="61"/>
      <c r="I344" s="74"/>
      <c r="J344" s="61"/>
      <c r="K344" s="74"/>
      <c r="L344" s="61"/>
      <c r="M344" s="72"/>
      <c r="N344" s="61"/>
      <c r="O344" s="74"/>
      <c r="P344" s="61"/>
      <c r="Q344" s="74"/>
      <c r="R344" s="61"/>
      <c r="S344" s="74"/>
      <c r="T344" s="61"/>
      <c r="U344" s="74"/>
      <c r="V344" s="61"/>
      <c r="W344" s="74"/>
      <c r="X344" s="61"/>
      <c r="Y344" s="74"/>
      <c r="Z344" s="61"/>
      <c r="AA344" s="74"/>
      <c r="AB344" s="61"/>
      <c r="AC344" s="74"/>
      <c r="AD344" s="61"/>
      <c r="AE344" s="74"/>
      <c r="AF344" s="61"/>
      <c r="AG344" s="74"/>
      <c r="AH344" s="61"/>
      <c r="AI344" s="74"/>
      <c r="AJ344" s="61"/>
      <c r="AK344" s="90"/>
      <c r="AL344" s="61"/>
      <c r="AM344" s="74"/>
      <c r="AN344" s="61"/>
      <c r="AO344" s="74"/>
      <c r="AP344" s="61"/>
      <c r="AQ344" s="74">
        <v>0.7</v>
      </c>
      <c r="AR344" s="61" t="str">
        <f t="shared" si="2264"/>
        <v>NA</v>
      </c>
      <c r="AS344" s="74">
        <v>1</v>
      </c>
      <c r="AT344" s="61" t="str">
        <f t="shared" si="2265"/>
        <v>NA</v>
      </c>
      <c r="AU344" s="74">
        <v>0.2</v>
      </c>
      <c r="AV344" s="61" t="str">
        <f t="shared" si="2266"/>
        <v>NA</v>
      </c>
      <c r="AW344" s="74">
        <v>4.0999999999999996</v>
      </c>
      <c r="AX344" s="61" t="str">
        <f t="shared" si="2266"/>
        <v>NA</v>
      </c>
      <c r="AY344" s="74">
        <v>3</v>
      </c>
      <c r="AZ344" s="61" t="str">
        <f t="shared" si="2267"/>
        <v>NM</v>
      </c>
      <c r="BA344" s="74">
        <v>7.3</v>
      </c>
      <c r="BB344" s="61" t="str">
        <f t="shared" si="2268"/>
        <v>NM</v>
      </c>
      <c r="BC344" s="74">
        <v>4.3</v>
      </c>
      <c r="BD344" s="61" t="str">
        <f t="shared" si="2269"/>
        <v>NM</v>
      </c>
      <c r="BE344" s="74">
        <v>5.6</v>
      </c>
      <c r="BF344" s="61">
        <f t="shared" si="2270"/>
        <v>36.585365853658544</v>
      </c>
      <c r="BG344" s="74">
        <v>6.6</v>
      </c>
      <c r="BH344" s="61" t="str">
        <f t="shared" si="2270"/>
        <v>NM</v>
      </c>
      <c r="BI344" s="74">
        <v>6</v>
      </c>
      <c r="BJ344" s="61"/>
      <c r="BK344" s="74"/>
      <c r="BL344" s="61"/>
      <c r="BM344" s="74"/>
      <c r="BN344" s="61"/>
      <c r="BO344" s="74"/>
      <c r="BP344" s="61"/>
      <c r="BQ344" s="74"/>
      <c r="BR344" s="61"/>
      <c r="BS344" s="74"/>
      <c r="BT344" s="61"/>
      <c r="BU344" s="74"/>
      <c r="BV344" s="61"/>
      <c r="BW344" s="75"/>
      <c r="BX344" s="61"/>
      <c r="BY344" s="75"/>
      <c r="BZ344" s="61"/>
      <c r="CA344" s="75"/>
      <c r="CB344" s="61"/>
      <c r="CC344" s="75"/>
      <c r="CD344" s="61"/>
      <c r="CE344" s="75"/>
      <c r="CF344" s="61"/>
      <c r="CG344" s="75"/>
      <c r="CH344" s="61"/>
      <c r="CI344" s="75"/>
      <c r="CJ344" s="61"/>
      <c r="CK344" s="75"/>
      <c r="CL344" s="61"/>
      <c r="CM344" s="75"/>
      <c r="CN344" s="61"/>
      <c r="CO344" s="75"/>
      <c r="CP344" s="61"/>
      <c r="CQ344" s="75"/>
      <c r="CR344" s="61"/>
      <c r="CS344" s="75"/>
      <c r="CT344" s="61"/>
      <c r="CU344" s="75"/>
      <c r="CV344" s="61"/>
      <c r="CW344" s="75"/>
      <c r="CX344" s="61"/>
      <c r="CY344" s="75"/>
      <c r="CZ344" s="61"/>
      <c r="DA344" s="75"/>
      <c r="DB344" s="61"/>
      <c r="DC344" s="75"/>
      <c r="DD344" s="61"/>
      <c r="DE344" s="75"/>
      <c r="DF344" s="61"/>
      <c r="DG344" s="75"/>
      <c r="DH344" s="61"/>
      <c r="DI344" s="75"/>
      <c r="DJ344" s="61"/>
      <c r="DK344" s="75"/>
      <c r="DL344" s="61"/>
      <c r="DM344" s="75"/>
      <c r="DN344" s="61"/>
      <c r="DO344" s="75"/>
      <c r="DP344" s="61"/>
      <c r="DQ344" s="75"/>
      <c r="DR344" s="61"/>
      <c r="DS344" s="75"/>
      <c r="DT344" s="61"/>
      <c r="DU344" s="75"/>
      <c r="DV344" s="61"/>
      <c r="DW344" s="75"/>
      <c r="DX344" s="75"/>
      <c r="DY344" s="75"/>
      <c r="DZ344" s="61"/>
      <c r="EA344" s="75"/>
      <c r="EB344" s="61"/>
      <c r="EC344" s="75"/>
      <c r="ED344" s="61"/>
      <c r="EE344" s="75"/>
      <c r="EF344" s="61"/>
      <c r="EG344" s="75"/>
      <c r="EH344" s="61"/>
      <c r="EI344" s="75"/>
      <c r="EJ344" s="61"/>
      <c r="EK344" s="75"/>
      <c r="EL344" s="61"/>
      <c r="EM344" s="75"/>
      <c r="EN344" s="61"/>
      <c r="EO344" s="75"/>
      <c r="EP344" s="61"/>
      <c r="EQ344" s="75"/>
      <c r="ER344" s="61"/>
      <c r="ES344" s="75"/>
      <c r="ET344" s="61"/>
      <c r="EU344" s="75"/>
      <c r="EV344" s="61"/>
      <c r="EW344" s="75"/>
      <c r="EX344" s="61"/>
      <c r="EY344" s="74"/>
      <c r="EZ344" s="558"/>
      <c r="FA344" s="74"/>
      <c r="FB344" s="72"/>
      <c r="FC344" s="124"/>
      <c r="FD344" s="72"/>
      <c r="FE344" s="126"/>
      <c r="FF344" s="72"/>
      <c r="FG344" s="126"/>
      <c r="FH344" s="69"/>
      <c r="FI344" s="126"/>
      <c r="FJ344" s="69"/>
      <c r="FK344" s="126"/>
      <c r="FL344" s="69"/>
      <c r="FM344" s="126"/>
      <c r="FN344" s="69"/>
      <c r="FO344" s="126"/>
      <c r="FP344" s="75">
        <f>AQ344+AS344+AU344+AW344</f>
        <v>6</v>
      </c>
      <c r="FQ344" s="61" t="str">
        <f t="shared" si="2271"/>
        <v>NA</v>
      </c>
      <c r="FR344" s="75">
        <f>AY344+BA344+BC344+BE344</f>
        <v>20.200000000000003</v>
      </c>
      <c r="FS344" s="61" t="str">
        <f t="shared" si="2271"/>
        <v>NM</v>
      </c>
      <c r="FT344" s="75">
        <f>BG344+BI344+BK344+BM344</f>
        <v>12.6</v>
      </c>
      <c r="FU344" s="61"/>
      <c r="FV344" s="75"/>
      <c r="FW344" s="61"/>
      <c r="FX344" s="75"/>
      <c r="FY344" s="61"/>
      <c r="FZ344" s="75"/>
      <c r="GA344" s="61"/>
      <c r="GB344" s="75"/>
      <c r="GC344" s="61"/>
      <c r="GD344" s="75"/>
      <c r="GE344" s="61"/>
      <c r="GF344" s="75"/>
      <c r="GG344" s="61"/>
      <c r="GH344" s="75"/>
      <c r="GI344" s="61"/>
      <c r="GJ344" s="75"/>
      <c r="GK344" s="61"/>
      <c r="GL344" s="75"/>
      <c r="GM344" s="61"/>
      <c r="GN344" s="75"/>
      <c r="GO344" s="61"/>
      <c r="GP344" s="75"/>
      <c r="GQ344" s="61"/>
      <c r="GR344" s="75"/>
      <c r="GS344" s="61"/>
      <c r="GT344" s="75"/>
      <c r="GU344" s="61"/>
      <c r="GV344" s="75"/>
      <c r="GW344" s="61"/>
      <c r="GX344" s="75"/>
      <c r="GY344" s="61"/>
      <c r="GZ344" s="61" t="str">
        <f t="shared" si="2263"/>
        <v/>
      </c>
      <c r="HA344" s="61"/>
      <c r="HB344" s="452"/>
      <c r="HC344"/>
      <c r="HD344"/>
      <c r="HE344"/>
      <c r="HF344"/>
      <c r="HG344"/>
      <c r="HH344"/>
    </row>
    <row r="345" spans="1:216" s="5" customFormat="1" ht="12.75" hidden="1" customHeight="1" outlineLevel="1" x14ac:dyDescent="0.2">
      <c r="B345" s="94" t="s">
        <v>331</v>
      </c>
      <c r="C345" s="81"/>
      <c r="D345" s="70"/>
      <c r="E345" s="81"/>
      <c r="F345" s="71"/>
      <c r="G345" s="86"/>
      <c r="H345" s="71"/>
      <c r="I345" s="86"/>
      <c r="J345" s="61"/>
      <c r="K345" s="86"/>
      <c r="L345" s="61"/>
      <c r="M345" s="81"/>
      <c r="N345" s="61"/>
      <c r="O345" s="86"/>
      <c r="P345" s="61"/>
      <c r="Q345" s="86"/>
      <c r="R345" s="61"/>
      <c r="S345" s="86"/>
      <c r="T345" s="61"/>
      <c r="U345" s="86"/>
      <c r="V345" s="61"/>
      <c r="W345" s="86"/>
      <c r="X345" s="61"/>
      <c r="Y345" s="86"/>
      <c r="Z345" s="61"/>
      <c r="AA345" s="86"/>
      <c r="AB345" s="61"/>
      <c r="AC345" s="86"/>
      <c r="AD345" s="61"/>
      <c r="AE345" s="86"/>
      <c r="AF345" s="61"/>
      <c r="AG345" s="86"/>
      <c r="AH345" s="61"/>
      <c r="AI345" s="86"/>
      <c r="AJ345" s="61"/>
      <c r="AK345" s="86"/>
      <c r="AL345" s="61"/>
      <c r="AM345" s="86"/>
      <c r="AN345" s="61"/>
      <c r="AO345" s="86"/>
      <c r="AP345" s="61"/>
      <c r="AQ345" s="86">
        <f>AQ344/AQ343*100</f>
        <v>17.5</v>
      </c>
      <c r="AR345" s="61" t="str">
        <f t="shared" si="2264"/>
        <v>NA</v>
      </c>
      <c r="AS345" s="86">
        <f>AS344/AS343*100</f>
        <v>18.518518518518498</v>
      </c>
      <c r="AT345" s="61" t="str">
        <f t="shared" si="2265"/>
        <v>NA</v>
      </c>
      <c r="AU345" s="86">
        <f>AU344/AU343*100</f>
        <v>7.692307692307689</v>
      </c>
      <c r="AV345" s="61" t="str">
        <f t="shared" si="2266"/>
        <v>NA</v>
      </c>
      <c r="AW345" s="86">
        <f>AW344/AW343*100</f>
        <v>30.14705882352942</v>
      </c>
      <c r="AX345" s="61" t="str">
        <f t="shared" si="2266"/>
        <v>NA</v>
      </c>
      <c r="AY345" s="86">
        <f>AY344/AY343*100</f>
        <v>28.571428571428552</v>
      </c>
      <c r="AZ345" s="61">
        <f t="shared" si="2267"/>
        <v>63.26530612244887</v>
      </c>
      <c r="BA345" s="86">
        <f>BA344/BA343*100</f>
        <v>31.196581196581207</v>
      </c>
      <c r="BB345" s="61">
        <f t="shared" si="2268"/>
        <v>68.461538461538709</v>
      </c>
      <c r="BC345" s="86">
        <f>BC344/BC343*100</f>
        <v>25.146198830409343</v>
      </c>
      <c r="BD345" s="61" t="str">
        <f t="shared" si="2269"/>
        <v>NM</v>
      </c>
      <c r="BE345" s="86">
        <f>BE344/BE343*100</f>
        <v>30.60109289617489</v>
      </c>
      <c r="BF345" s="61">
        <f t="shared" si="2270"/>
        <v>1.5060642409703284</v>
      </c>
      <c r="BG345" s="86">
        <f>BG344/BG343*100</f>
        <v>36.464088397790064</v>
      </c>
      <c r="BH345" s="61">
        <f t="shared" si="2270"/>
        <v>27.624309392265324</v>
      </c>
      <c r="BI345" s="86">
        <f>BI344/BI343*100</f>
        <v>36.363636363636395</v>
      </c>
      <c r="BJ345" s="61"/>
      <c r="BK345" s="86"/>
      <c r="BL345" s="61"/>
      <c r="BM345" s="86"/>
      <c r="BN345" s="61"/>
      <c r="BO345" s="86"/>
      <c r="BP345" s="61"/>
      <c r="BQ345" s="86"/>
      <c r="BR345" s="61"/>
      <c r="BS345" s="86"/>
      <c r="BT345" s="61"/>
      <c r="BU345" s="86"/>
      <c r="BV345" s="61"/>
      <c r="BW345" s="85"/>
      <c r="BX345" s="61"/>
      <c r="BY345" s="85"/>
      <c r="BZ345" s="61"/>
      <c r="CA345" s="85"/>
      <c r="CB345" s="61"/>
      <c r="CC345" s="85"/>
      <c r="CD345" s="61"/>
      <c r="CE345" s="85"/>
      <c r="CF345" s="61"/>
      <c r="CG345" s="85"/>
      <c r="CH345" s="61"/>
      <c r="CI345" s="85"/>
      <c r="CJ345" s="61"/>
      <c r="CK345" s="85"/>
      <c r="CL345" s="61"/>
      <c r="CM345" s="85"/>
      <c r="CN345" s="61"/>
      <c r="CO345" s="85"/>
      <c r="CP345" s="61"/>
      <c r="CQ345" s="85"/>
      <c r="CR345" s="61"/>
      <c r="CS345" s="85"/>
      <c r="CT345" s="61"/>
      <c r="CU345" s="85"/>
      <c r="CV345" s="61"/>
      <c r="CW345" s="85"/>
      <c r="CX345" s="61"/>
      <c r="CY345" s="85"/>
      <c r="CZ345" s="61"/>
      <c r="DA345" s="85"/>
      <c r="DB345" s="61"/>
      <c r="DC345" s="85"/>
      <c r="DD345" s="61"/>
      <c r="DE345" s="85"/>
      <c r="DF345" s="61"/>
      <c r="DG345" s="85"/>
      <c r="DH345" s="61"/>
      <c r="DI345" s="85"/>
      <c r="DJ345" s="61"/>
      <c r="DK345" s="85"/>
      <c r="DL345" s="61"/>
      <c r="DM345" s="85"/>
      <c r="DN345" s="61"/>
      <c r="DO345" s="85"/>
      <c r="DP345" s="61"/>
      <c r="DQ345" s="85"/>
      <c r="DR345" s="61"/>
      <c r="DS345" s="85"/>
      <c r="DT345" s="61"/>
      <c r="DU345" s="85"/>
      <c r="DV345" s="61"/>
      <c r="DW345" s="85"/>
      <c r="DX345" s="85"/>
      <c r="DY345" s="85"/>
      <c r="DZ345" s="61"/>
      <c r="EA345" s="85"/>
      <c r="EB345" s="61"/>
      <c r="EC345" s="85"/>
      <c r="ED345" s="61"/>
      <c r="EE345" s="85"/>
      <c r="EF345" s="61"/>
      <c r="EG345" s="85"/>
      <c r="EH345" s="61"/>
      <c r="EI345" s="85"/>
      <c r="EJ345" s="61"/>
      <c r="EK345" s="85"/>
      <c r="EL345" s="61"/>
      <c r="EM345" s="85"/>
      <c r="EN345" s="61"/>
      <c r="EO345" s="85"/>
      <c r="EP345" s="61"/>
      <c r="EQ345" s="85"/>
      <c r="ER345" s="61"/>
      <c r="ES345" s="85"/>
      <c r="ET345" s="61"/>
      <c r="EU345" s="85"/>
      <c r="EV345" s="61"/>
      <c r="EW345" s="85"/>
      <c r="EX345" s="61"/>
      <c r="EY345" s="64"/>
      <c r="EZ345" s="558"/>
      <c r="FA345" s="64"/>
      <c r="FB345" s="81"/>
      <c r="FC345" s="124"/>
      <c r="FD345" s="81"/>
      <c r="FE345" s="70"/>
      <c r="FF345" s="81"/>
      <c r="FG345" s="70"/>
      <c r="FH345" s="81"/>
      <c r="FI345" s="70"/>
      <c r="FJ345" s="81"/>
      <c r="FK345" s="70"/>
      <c r="FL345" s="81"/>
      <c r="FM345" s="61"/>
      <c r="FN345" s="81"/>
      <c r="FO345" s="61"/>
      <c r="FP345" s="176">
        <f>FP344/FP343*100</f>
        <v>23.437499999999979</v>
      </c>
      <c r="FQ345" s="61" t="str">
        <f t="shared" si="2271"/>
        <v>NA</v>
      </c>
      <c r="FR345" s="176">
        <f>FR344/FR343*100</f>
        <v>29.148629148629173</v>
      </c>
      <c r="FS345" s="61">
        <f t="shared" si="2271"/>
        <v>24.367484367484593</v>
      </c>
      <c r="FT345" s="176">
        <f>FT344/FT343*100</f>
        <v>36.416184971098303</v>
      </c>
      <c r="FU345" s="61"/>
      <c r="FV345" s="176"/>
      <c r="FW345" s="61"/>
      <c r="FX345" s="176"/>
      <c r="FY345" s="61"/>
      <c r="FZ345" s="176"/>
      <c r="GA345" s="61"/>
      <c r="GB345" s="176"/>
      <c r="GC345" s="61"/>
      <c r="GD345" s="176"/>
      <c r="GE345" s="61"/>
      <c r="GF345" s="176"/>
      <c r="GG345" s="61"/>
      <c r="GH345" s="176"/>
      <c r="GI345" s="61"/>
      <c r="GJ345" s="176"/>
      <c r="GK345" s="61"/>
      <c r="GL345" s="176"/>
      <c r="GM345" s="61"/>
      <c r="GN345" s="176"/>
      <c r="GO345" s="61"/>
      <c r="GP345" s="176"/>
      <c r="GQ345" s="61"/>
      <c r="GR345" s="85"/>
      <c r="GS345" s="61"/>
      <c r="GT345" s="85"/>
      <c r="GU345" s="61"/>
      <c r="GV345" s="85"/>
      <c r="GW345" s="61"/>
      <c r="GX345" s="85"/>
      <c r="GY345" s="61"/>
      <c r="GZ345" s="61" t="str">
        <f t="shared" si="2263"/>
        <v/>
      </c>
      <c r="HA345" s="61"/>
      <c r="HB345" s="452"/>
      <c r="HC345"/>
      <c r="HD345"/>
      <c r="HE345"/>
      <c r="HF345"/>
      <c r="HG345"/>
      <c r="HH345"/>
    </row>
    <row r="346" spans="1:216" s="5" customFormat="1" ht="12.75" hidden="1" customHeight="1" outlineLevel="1" x14ac:dyDescent="0.2">
      <c r="B346" s="63" t="s">
        <v>301</v>
      </c>
      <c r="C346" s="102"/>
      <c r="D346" s="70"/>
      <c r="E346" s="102"/>
      <c r="F346" s="71"/>
      <c r="G346" s="102"/>
      <c r="H346" s="71"/>
      <c r="I346" s="102"/>
      <c r="J346" s="61"/>
      <c r="K346" s="102"/>
      <c r="L346" s="61"/>
      <c r="M346" s="102"/>
      <c r="N346" s="61"/>
      <c r="O346" s="102"/>
      <c r="P346" s="61"/>
      <c r="Q346" s="102"/>
      <c r="R346" s="61"/>
      <c r="S346" s="102"/>
      <c r="T346" s="61"/>
      <c r="U346" s="102"/>
      <c r="V346" s="61"/>
      <c r="W346" s="102"/>
      <c r="X346" s="61"/>
      <c r="Y346" s="102"/>
      <c r="Z346" s="61"/>
      <c r="AA346" s="125"/>
      <c r="AB346" s="61"/>
      <c r="AC346" s="125"/>
      <c r="AD346" s="61"/>
      <c r="AE346" s="125"/>
      <c r="AF346" s="61"/>
      <c r="AG346" s="125"/>
      <c r="AH346" s="61"/>
      <c r="AI346" s="125"/>
      <c r="AJ346" s="61"/>
      <c r="AK346" s="125"/>
      <c r="AL346" s="61"/>
      <c r="AM346" s="125"/>
      <c r="AN346" s="61"/>
      <c r="AO346" s="125"/>
      <c r="AP346" s="61"/>
      <c r="AQ346" s="125">
        <f>AQ343-AQ344</f>
        <v>3.3</v>
      </c>
      <c r="AR346" s="61" t="str">
        <f t="shared" si="2264"/>
        <v>NA</v>
      </c>
      <c r="AS346" s="125">
        <f>AS343-AS344-0.1</f>
        <v>4.300000000000006</v>
      </c>
      <c r="AT346" s="61" t="str">
        <f t="shared" si="2265"/>
        <v>NA</v>
      </c>
      <c r="AU346" s="125">
        <f>AU343-AU344</f>
        <v>2.4000000000000012</v>
      </c>
      <c r="AV346" s="61" t="str">
        <f t="shared" si="2266"/>
        <v>NA</v>
      </c>
      <c r="AW346" s="125">
        <f>AW343-AW344</f>
        <v>9.4999999999999947</v>
      </c>
      <c r="AX346" s="61" t="str">
        <f t="shared" si="2266"/>
        <v>NA</v>
      </c>
      <c r="AY346" s="102">
        <f>AY343-AY344</f>
        <v>7.5000000000000071</v>
      </c>
      <c r="AZ346" s="61" t="str">
        <f t="shared" si="2267"/>
        <v>NM</v>
      </c>
      <c r="BA346" s="102">
        <f>BA343-BA344</f>
        <v>16.099999999999991</v>
      </c>
      <c r="BB346" s="61" t="str">
        <f t="shared" si="2268"/>
        <v>NM</v>
      </c>
      <c r="BC346" s="102">
        <f>BC343-BC344</f>
        <v>12.800000000000008</v>
      </c>
      <c r="BD346" s="61" t="str">
        <f t="shared" si="2269"/>
        <v>NM</v>
      </c>
      <c r="BE346" s="102">
        <f>BE343-BE344</f>
        <v>12.699999999999983</v>
      </c>
      <c r="BF346" s="61">
        <f t="shared" si="2270"/>
        <v>33.684210526315695</v>
      </c>
      <c r="BG346" s="102">
        <f>BG343-BG344</f>
        <v>11.499999999999995</v>
      </c>
      <c r="BH346" s="61">
        <f t="shared" si="2270"/>
        <v>53.333333333333123</v>
      </c>
      <c r="BI346" s="102">
        <f>BI343-BI344</f>
        <v>10.499999999999986</v>
      </c>
      <c r="BJ346" s="61"/>
      <c r="BK346" s="102"/>
      <c r="BL346" s="61"/>
      <c r="BM346" s="102"/>
      <c r="BN346" s="61"/>
      <c r="BO346" s="102"/>
      <c r="BP346" s="61"/>
      <c r="BQ346" s="102"/>
      <c r="BR346" s="61"/>
      <c r="BS346" s="102"/>
      <c r="BT346" s="61"/>
      <c r="BU346" s="102"/>
      <c r="BV346" s="61"/>
      <c r="BW346" s="102"/>
      <c r="BX346" s="61"/>
      <c r="BY346" s="102"/>
      <c r="BZ346" s="61"/>
      <c r="CA346" s="102"/>
      <c r="CB346" s="61"/>
      <c r="CC346" s="102"/>
      <c r="CD346" s="61"/>
      <c r="CE346" s="102"/>
      <c r="CF346" s="61"/>
      <c r="CG346" s="102"/>
      <c r="CH346" s="61"/>
      <c r="CI346" s="102"/>
      <c r="CJ346" s="61"/>
      <c r="CK346" s="102"/>
      <c r="CL346" s="61"/>
      <c r="CM346" s="102"/>
      <c r="CN346" s="61"/>
      <c r="CO346" s="102"/>
      <c r="CP346" s="61"/>
      <c r="CQ346" s="102"/>
      <c r="CR346" s="61"/>
      <c r="CS346" s="102"/>
      <c r="CT346" s="61"/>
      <c r="CU346" s="102"/>
      <c r="CV346" s="61"/>
      <c r="CW346" s="102"/>
      <c r="CX346" s="61"/>
      <c r="CY346" s="102"/>
      <c r="CZ346" s="61"/>
      <c r="DA346" s="102"/>
      <c r="DB346" s="61"/>
      <c r="DC346" s="102"/>
      <c r="DD346" s="61"/>
      <c r="DE346" s="102"/>
      <c r="DF346" s="61"/>
      <c r="DG346" s="102"/>
      <c r="DH346" s="61"/>
      <c r="DI346" s="102"/>
      <c r="DJ346" s="61"/>
      <c r="DK346" s="102"/>
      <c r="DL346" s="61"/>
      <c r="DM346" s="102"/>
      <c r="DN346" s="61"/>
      <c r="DO346" s="102"/>
      <c r="DP346" s="61"/>
      <c r="DQ346" s="102"/>
      <c r="DR346" s="61"/>
      <c r="DS346" s="102"/>
      <c r="DT346" s="61"/>
      <c r="DU346" s="102"/>
      <c r="DV346" s="61"/>
      <c r="DW346" s="102"/>
      <c r="DX346" s="102"/>
      <c r="DY346" s="102"/>
      <c r="DZ346" s="61"/>
      <c r="EA346" s="102"/>
      <c r="EB346" s="61"/>
      <c r="EC346" s="102"/>
      <c r="ED346" s="61"/>
      <c r="EE346" s="102"/>
      <c r="EF346" s="61"/>
      <c r="EG346" s="102"/>
      <c r="EH346" s="61"/>
      <c r="EI346" s="102"/>
      <c r="EJ346" s="61"/>
      <c r="EK346" s="102"/>
      <c r="EL346" s="61"/>
      <c r="EM346" s="102"/>
      <c r="EN346" s="61"/>
      <c r="EO346" s="102"/>
      <c r="EP346" s="61"/>
      <c r="EQ346" s="102"/>
      <c r="ER346" s="61"/>
      <c r="ES346" s="102"/>
      <c r="ET346" s="61"/>
      <c r="EU346" s="102"/>
      <c r="EV346" s="61"/>
      <c r="EW346" s="102"/>
      <c r="EX346" s="61"/>
      <c r="EY346" s="74"/>
      <c r="EZ346" s="558"/>
      <c r="FA346" s="74"/>
      <c r="FB346" s="102"/>
      <c r="FC346" s="124"/>
      <c r="FD346" s="102"/>
      <c r="FE346" s="126"/>
      <c r="FF346" s="102"/>
      <c r="FG346" s="126"/>
      <c r="FH346" s="102"/>
      <c r="FI346" s="126"/>
      <c r="FJ346" s="102"/>
      <c r="FK346" s="126"/>
      <c r="FL346" s="102"/>
      <c r="FM346" s="126"/>
      <c r="FN346" s="102"/>
      <c r="FO346" s="126"/>
      <c r="FP346" s="104">
        <f>FP343-FP344</f>
        <v>19.600000000000023</v>
      </c>
      <c r="FQ346" s="61" t="str">
        <f t="shared" si="2271"/>
        <v>NA</v>
      </c>
      <c r="FR346" s="104">
        <f>FR343-FR344</f>
        <v>49.099999999999952</v>
      </c>
      <c r="FS346" s="61" t="str">
        <f t="shared" si="2271"/>
        <v>NM</v>
      </c>
      <c r="FT346" s="104">
        <f>FT343-FT344</f>
        <v>21.999999999999964</v>
      </c>
      <c r="FU346" s="61"/>
      <c r="FV346" s="104"/>
      <c r="FW346" s="61"/>
      <c r="FX346" s="104"/>
      <c r="FY346" s="61"/>
      <c r="FZ346" s="104"/>
      <c r="GA346" s="61"/>
      <c r="GB346" s="104"/>
      <c r="GC346" s="61"/>
      <c r="GD346" s="104"/>
      <c r="GE346" s="61"/>
      <c r="GF346" s="104"/>
      <c r="GG346" s="61"/>
      <c r="GH346" s="104"/>
      <c r="GI346" s="61"/>
      <c r="GJ346" s="104"/>
      <c r="GK346" s="61"/>
      <c r="GL346" s="104"/>
      <c r="GM346" s="61"/>
      <c r="GN346" s="104"/>
      <c r="GO346" s="61"/>
      <c r="GP346" s="104"/>
      <c r="GQ346" s="61"/>
      <c r="GR346" s="102"/>
      <c r="GS346" s="61"/>
      <c r="GT346" s="102"/>
      <c r="GU346" s="61"/>
      <c r="GV346" s="102"/>
      <c r="GW346" s="61"/>
      <c r="GX346" s="102"/>
      <c r="GY346" s="61"/>
      <c r="GZ346" s="61" t="str">
        <f t="shared" si="2263"/>
        <v/>
      </c>
      <c r="HA346" s="61"/>
      <c r="HB346" s="452"/>
      <c r="HC346"/>
      <c r="HD346"/>
      <c r="HE346"/>
      <c r="HF346"/>
      <c r="HG346"/>
      <c r="HH346"/>
    </row>
    <row r="347" spans="1:216" s="5" customFormat="1" ht="12.75" hidden="1" customHeight="1" outlineLevel="1" x14ac:dyDescent="0.2">
      <c r="B347" s="2" t="s">
        <v>4</v>
      </c>
      <c r="C347" s="102"/>
      <c r="D347" s="70"/>
      <c r="E347" s="102"/>
      <c r="F347" s="71"/>
      <c r="G347" s="102"/>
      <c r="H347" s="71"/>
      <c r="I347" s="102"/>
      <c r="J347" s="61"/>
      <c r="K347" s="102"/>
      <c r="L347" s="61"/>
      <c r="M347" s="102"/>
      <c r="N347" s="61"/>
      <c r="O347" s="102"/>
      <c r="P347" s="61"/>
      <c r="Q347" s="102"/>
      <c r="R347" s="61"/>
      <c r="S347" s="102"/>
      <c r="T347" s="61"/>
      <c r="U347" s="102"/>
      <c r="V347" s="61"/>
      <c r="W347" s="102"/>
      <c r="X347" s="61"/>
      <c r="Y347" s="102"/>
      <c r="Z347" s="61"/>
      <c r="AA347" s="125"/>
      <c r="AB347" s="61"/>
      <c r="AC347" s="125"/>
      <c r="AD347" s="61"/>
      <c r="AE347" s="125"/>
      <c r="AF347" s="61"/>
      <c r="AG347" s="125"/>
      <c r="AH347" s="61"/>
      <c r="AI347" s="125"/>
      <c r="AJ347" s="61"/>
      <c r="AK347" s="125"/>
      <c r="AL347" s="61"/>
      <c r="AM347" s="125"/>
      <c r="AN347" s="61"/>
      <c r="AO347" s="125"/>
      <c r="AP347" s="61"/>
      <c r="AQ347" s="540">
        <v>0</v>
      </c>
      <c r="AR347" s="61" t="str">
        <f t="shared" si="2264"/>
        <v>NA</v>
      </c>
      <c r="AS347" s="72">
        <v>0</v>
      </c>
      <c r="AT347" s="61" t="str">
        <f t="shared" si="2265"/>
        <v>NA</v>
      </c>
      <c r="AU347" s="72">
        <v>0</v>
      </c>
      <c r="AV347" s="61" t="str">
        <f t="shared" si="2266"/>
        <v>NA</v>
      </c>
      <c r="AW347" s="72">
        <v>0</v>
      </c>
      <c r="AX347" s="61" t="str">
        <f t="shared" si="2266"/>
        <v>NA</v>
      </c>
      <c r="AY347" s="72">
        <v>0</v>
      </c>
      <c r="AZ347" s="61" t="str">
        <f t="shared" si="2267"/>
        <v>NA</v>
      </c>
      <c r="BA347" s="72">
        <v>0</v>
      </c>
      <c r="BB347" s="61" t="str">
        <f t="shared" si="2268"/>
        <v>NA</v>
      </c>
      <c r="BC347" s="72">
        <v>0</v>
      </c>
      <c r="BD347" s="61" t="str">
        <f t="shared" si="2269"/>
        <v>NA</v>
      </c>
      <c r="BE347" s="72">
        <v>0</v>
      </c>
      <c r="BF347" s="61" t="str">
        <f t="shared" si="2270"/>
        <v>NA</v>
      </c>
      <c r="BG347" s="72">
        <v>0</v>
      </c>
      <c r="BH347" s="61" t="str">
        <f t="shared" si="2270"/>
        <v>NA</v>
      </c>
      <c r="BI347" s="72">
        <v>0</v>
      </c>
      <c r="BJ347" s="61"/>
      <c r="BK347" s="72"/>
      <c r="BL347" s="61"/>
      <c r="BM347" s="72"/>
      <c r="BN347" s="61"/>
      <c r="BO347" s="72"/>
      <c r="BP347" s="61"/>
      <c r="BQ347" s="72"/>
      <c r="BR347" s="61"/>
      <c r="BS347" s="72"/>
      <c r="BT347" s="61"/>
      <c r="BU347" s="72"/>
      <c r="BV347" s="61"/>
      <c r="BW347" s="72"/>
      <c r="BX347" s="61"/>
      <c r="BY347" s="72"/>
      <c r="BZ347" s="61"/>
      <c r="CA347" s="72"/>
      <c r="CB347" s="61"/>
      <c r="CC347" s="72"/>
      <c r="CD347" s="61"/>
      <c r="CE347" s="72"/>
      <c r="CF347" s="61"/>
      <c r="CG347" s="72"/>
      <c r="CH347" s="61"/>
      <c r="CI347" s="72"/>
      <c r="CJ347" s="61"/>
      <c r="CK347" s="72"/>
      <c r="CL347" s="61"/>
      <c r="CM347" s="72"/>
      <c r="CN347" s="61"/>
      <c r="CO347" s="72"/>
      <c r="CP347" s="61"/>
      <c r="CQ347" s="72"/>
      <c r="CR347" s="61"/>
      <c r="CS347" s="72"/>
      <c r="CT347" s="61"/>
      <c r="CU347" s="72"/>
      <c r="CV347" s="61"/>
      <c r="CW347" s="72"/>
      <c r="CX347" s="61"/>
      <c r="CY347" s="72"/>
      <c r="CZ347" s="61"/>
      <c r="DA347" s="72"/>
      <c r="DB347" s="61"/>
      <c r="DC347" s="72"/>
      <c r="DD347" s="61"/>
      <c r="DE347" s="72"/>
      <c r="DF347" s="61"/>
      <c r="DG347" s="72"/>
      <c r="DH347" s="61"/>
      <c r="DI347" s="72"/>
      <c r="DJ347" s="61"/>
      <c r="DK347" s="72"/>
      <c r="DL347" s="61"/>
      <c r="DM347" s="72"/>
      <c r="DN347" s="61"/>
      <c r="DO347" s="72"/>
      <c r="DP347" s="61"/>
      <c r="DQ347" s="72"/>
      <c r="DR347" s="61"/>
      <c r="DS347" s="72"/>
      <c r="DT347" s="61"/>
      <c r="DU347" s="72"/>
      <c r="DV347" s="61"/>
      <c r="DW347" s="72"/>
      <c r="DX347" s="72"/>
      <c r="DY347" s="72"/>
      <c r="DZ347" s="61"/>
      <c r="EA347" s="72"/>
      <c r="EB347" s="61"/>
      <c r="EC347" s="72"/>
      <c r="ED347" s="61"/>
      <c r="EE347" s="72"/>
      <c r="EF347" s="61"/>
      <c r="EG347" s="72"/>
      <c r="EH347" s="61"/>
      <c r="EI347" s="72"/>
      <c r="EJ347" s="61"/>
      <c r="EK347" s="72"/>
      <c r="EL347" s="61"/>
      <c r="EM347" s="72"/>
      <c r="EN347" s="61"/>
      <c r="EO347" s="72"/>
      <c r="EP347" s="61"/>
      <c r="EQ347" s="72"/>
      <c r="ER347" s="61"/>
      <c r="ES347" s="72"/>
      <c r="ET347" s="61"/>
      <c r="EU347" s="72"/>
      <c r="EV347" s="61"/>
      <c r="EW347" s="72"/>
      <c r="EX347" s="61"/>
      <c r="EY347" s="74"/>
      <c r="EZ347" s="558"/>
      <c r="FA347" s="74"/>
      <c r="FB347" s="102"/>
      <c r="FC347" s="124"/>
      <c r="FD347" s="102"/>
      <c r="FE347" s="126"/>
      <c r="FF347" s="102"/>
      <c r="FG347" s="126"/>
      <c r="FH347" s="102"/>
      <c r="FI347" s="126"/>
      <c r="FJ347" s="102"/>
      <c r="FK347" s="126"/>
      <c r="FL347" s="102"/>
      <c r="FM347" s="126"/>
      <c r="FN347" s="102"/>
      <c r="FO347" s="126"/>
      <c r="FP347" s="73">
        <f>AQ347+AS347+AU347+AW347</f>
        <v>0</v>
      </c>
      <c r="FQ347" s="61" t="str">
        <f t="shared" si="2271"/>
        <v>NA</v>
      </c>
      <c r="FR347" s="73">
        <f>AY347+BA347+BC347+BE347</f>
        <v>0</v>
      </c>
      <c r="FS347" s="61" t="str">
        <f t="shared" si="2271"/>
        <v>NA</v>
      </c>
      <c r="FT347" s="73">
        <f>BG347+BI347+BK347+BM347</f>
        <v>0</v>
      </c>
      <c r="FU347" s="61"/>
      <c r="FV347" s="73"/>
      <c r="FW347" s="61"/>
      <c r="FX347" s="75"/>
      <c r="FY347" s="61"/>
      <c r="FZ347" s="75"/>
      <c r="GA347" s="61"/>
      <c r="GB347" s="75"/>
      <c r="GC347" s="61"/>
      <c r="GD347" s="75"/>
      <c r="GE347" s="61"/>
      <c r="GF347" s="75"/>
      <c r="GG347" s="61"/>
      <c r="GH347" s="75"/>
      <c r="GI347" s="61"/>
      <c r="GJ347" s="75"/>
      <c r="GK347" s="61"/>
      <c r="GL347" s="75"/>
      <c r="GM347" s="61"/>
      <c r="GN347" s="75"/>
      <c r="GO347" s="61"/>
      <c r="GP347" s="75"/>
      <c r="GQ347" s="61"/>
      <c r="GR347" s="72"/>
      <c r="GS347" s="61"/>
      <c r="GT347" s="72"/>
      <c r="GU347" s="61"/>
      <c r="GV347" s="72"/>
      <c r="GW347" s="61"/>
      <c r="GX347" s="72"/>
      <c r="GY347" s="61"/>
      <c r="GZ347" s="61" t="str">
        <f t="shared" si="2263"/>
        <v/>
      </c>
      <c r="HA347" s="61"/>
      <c r="HB347" s="452"/>
      <c r="HC347"/>
      <c r="HD347"/>
      <c r="HE347"/>
      <c r="HF347"/>
      <c r="HG347"/>
      <c r="HH347"/>
    </row>
    <row r="348" spans="1:216" s="5" customFormat="1" ht="12.75" hidden="1" customHeight="1" outlineLevel="1" x14ac:dyDescent="0.2">
      <c r="B348" s="63" t="s">
        <v>384</v>
      </c>
      <c r="C348" s="102"/>
      <c r="D348" s="70"/>
      <c r="E348" s="102"/>
      <c r="F348" s="71"/>
      <c r="G348" s="102"/>
      <c r="H348" s="71"/>
      <c r="I348" s="102"/>
      <c r="J348" s="61"/>
      <c r="K348" s="102"/>
      <c r="L348" s="61"/>
      <c r="M348" s="102"/>
      <c r="N348" s="61"/>
      <c r="O348" s="102"/>
      <c r="P348" s="61"/>
      <c r="Q348" s="102"/>
      <c r="R348" s="61"/>
      <c r="S348" s="102"/>
      <c r="T348" s="61"/>
      <c r="U348" s="102"/>
      <c r="V348" s="61"/>
      <c r="W348" s="102"/>
      <c r="X348" s="61"/>
      <c r="Y348" s="102"/>
      <c r="Z348" s="61"/>
      <c r="AA348" s="125"/>
      <c r="AB348" s="61"/>
      <c r="AC348" s="125"/>
      <c r="AD348" s="61"/>
      <c r="AE348" s="125"/>
      <c r="AF348" s="61"/>
      <c r="AG348" s="125"/>
      <c r="AH348" s="61"/>
      <c r="AI348" s="125"/>
      <c r="AJ348" s="61"/>
      <c r="AK348" s="125"/>
      <c r="AL348" s="61"/>
      <c r="AM348" s="125"/>
      <c r="AN348" s="61"/>
      <c r="AO348" s="125"/>
      <c r="AP348" s="61"/>
      <c r="AQ348" s="125">
        <f>AQ346-AQ347</f>
        <v>3.3</v>
      </c>
      <c r="AR348" s="61" t="str">
        <f t="shared" si="2264"/>
        <v>NA</v>
      </c>
      <c r="AS348" s="125">
        <f>AS346-AS347</f>
        <v>4.300000000000006</v>
      </c>
      <c r="AT348" s="61" t="str">
        <f t="shared" si="2265"/>
        <v>NA</v>
      </c>
      <c r="AU348" s="125">
        <f>AU346-AU347</f>
        <v>2.4000000000000012</v>
      </c>
      <c r="AV348" s="61" t="str">
        <f t="shared" si="2266"/>
        <v>NA</v>
      </c>
      <c r="AW348" s="125">
        <f>AW346-AW347</f>
        <v>9.4999999999999947</v>
      </c>
      <c r="AX348" s="61" t="str">
        <f t="shared" si="2266"/>
        <v>NA</v>
      </c>
      <c r="AY348" s="102">
        <f>AY346-AY347</f>
        <v>7.5000000000000071</v>
      </c>
      <c r="AZ348" s="61" t="str">
        <f t="shared" si="2267"/>
        <v>NM</v>
      </c>
      <c r="BA348" s="102">
        <f>BA346-BA347</f>
        <v>16.099999999999991</v>
      </c>
      <c r="BB348" s="61" t="str">
        <f t="shared" si="2268"/>
        <v>NM</v>
      </c>
      <c r="BC348" s="102">
        <f>BC346-BC347</f>
        <v>12.800000000000008</v>
      </c>
      <c r="BD348" s="61" t="str">
        <f t="shared" si="2269"/>
        <v>NM</v>
      </c>
      <c r="BE348" s="102">
        <f>BE346-BE347</f>
        <v>12.699999999999983</v>
      </c>
      <c r="BF348" s="61">
        <f t="shared" si="2270"/>
        <v>33.684210526315695</v>
      </c>
      <c r="BG348" s="102">
        <f>BG346-BG347</f>
        <v>11.499999999999995</v>
      </c>
      <c r="BH348" s="61">
        <f t="shared" si="2270"/>
        <v>53.333333333333123</v>
      </c>
      <c r="BI348" s="102">
        <f>BI346-BI347</f>
        <v>10.499999999999986</v>
      </c>
      <c r="BJ348" s="61"/>
      <c r="BK348" s="102"/>
      <c r="BL348" s="61"/>
      <c r="BM348" s="102"/>
      <c r="BN348" s="61"/>
      <c r="BO348" s="102"/>
      <c r="BP348" s="61"/>
      <c r="BQ348" s="102"/>
      <c r="BR348" s="61"/>
      <c r="BS348" s="102"/>
      <c r="BT348" s="61"/>
      <c r="BU348" s="102"/>
      <c r="BV348" s="61"/>
      <c r="BW348" s="102"/>
      <c r="BX348" s="61"/>
      <c r="BY348" s="102"/>
      <c r="BZ348" s="61"/>
      <c r="CA348" s="102"/>
      <c r="CB348" s="61"/>
      <c r="CC348" s="102"/>
      <c r="CD348" s="61"/>
      <c r="CE348" s="102"/>
      <c r="CF348" s="61"/>
      <c r="CG348" s="102"/>
      <c r="CH348" s="61"/>
      <c r="CI348" s="102"/>
      <c r="CJ348" s="61"/>
      <c r="CK348" s="102"/>
      <c r="CL348" s="61"/>
      <c r="CM348" s="102"/>
      <c r="CN348" s="61"/>
      <c r="CO348" s="102"/>
      <c r="CP348" s="61"/>
      <c r="CQ348" s="102"/>
      <c r="CR348" s="61"/>
      <c r="CS348" s="102"/>
      <c r="CT348" s="61"/>
      <c r="CU348" s="102"/>
      <c r="CV348" s="61"/>
      <c r="CW348" s="102"/>
      <c r="CX348" s="61"/>
      <c r="CY348" s="102"/>
      <c r="CZ348" s="61"/>
      <c r="DA348" s="102"/>
      <c r="DB348" s="61"/>
      <c r="DC348" s="102"/>
      <c r="DD348" s="61"/>
      <c r="DE348" s="102"/>
      <c r="DF348" s="61"/>
      <c r="DG348" s="102"/>
      <c r="DH348" s="61"/>
      <c r="DI348" s="102"/>
      <c r="DJ348" s="61"/>
      <c r="DK348" s="102"/>
      <c r="DL348" s="61"/>
      <c r="DM348" s="102"/>
      <c r="DN348" s="61"/>
      <c r="DO348" s="102"/>
      <c r="DP348" s="61"/>
      <c r="DQ348" s="102"/>
      <c r="DR348" s="61"/>
      <c r="DS348" s="102"/>
      <c r="DT348" s="61"/>
      <c r="DU348" s="102"/>
      <c r="DV348" s="61"/>
      <c r="DW348" s="102"/>
      <c r="DX348" s="102"/>
      <c r="DY348" s="102"/>
      <c r="DZ348" s="61"/>
      <c r="EA348" s="102"/>
      <c r="EB348" s="61"/>
      <c r="EC348" s="102"/>
      <c r="ED348" s="61"/>
      <c r="EE348" s="102"/>
      <c r="EF348" s="61"/>
      <c r="EG348" s="102"/>
      <c r="EH348" s="61"/>
      <c r="EI348" s="102"/>
      <c r="EJ348" s="61"/>
      <c r="EK348" s="102"/>
      <c r="EL348" s="61"/>
      <c r="EM348" s="102"/>
      <c r="EN348" s="61"/>
      <c r="EO348" s="102"/>
      <c r="EP348" s="61"/>
      <c r="EQ348" s="102"/>
      <c r="ER348" s="61"/>
      <c r="ES348" s="102"/>
      <c r="ET348" s="61"/>
      <c r="EU348" s="102"/>
      <c r="EV348" s="61"/>
      <c r="EW348" s="102"/>
      <c r="EX348" s="61"/>
      <c r="EY348" s="74"/>
      <c r="EZ348" s="558"/>
      <c r="FA348" s="74"/>
      <c r="FB348" s="102"/>
      <c r="FC348" s="124"/>
      <c r="FD348" s="102"/>
      <c r="FE348" s="126"/>
      <c r="FF348" s="102"/>
      <c r="FG348" s="126"/>
      <c r="FH348" s="102"/>
      <c r="FI348" s="126"/>
      <c r="FJ348" s="102"/>
      <c r="FK348" s="126"/>
      <c r="FL348" s="102"/>
      <c r="FM348" s="126"/>
      <c r="FN348" s="102"/>
      <c r="FO348" s="126"/>
      <c r="FP348" s="104">
        <f>FP346-FP347</f>
        <v>19.600000000000023</v>
      </c>
      <c r="FQ348" s="61" t="str">
        <f t="shared" si="2271"/>
        <v>NA</v>
      </c>
      <c r="FR348" s="104">
        <f>FR346-FR347</f>
        <v>49.099999999999952</v>
      </c>
      <c r="FS348" s="61" t="str">
        <f t="shared" si="2271"/>
        <v>NM</v>
      </c>
      <c r="FT348" s="104">
        <f>FT346-FT347</f>
        <v>21.999999999999964</v>
      </c>
      <c r="FU348" s="61"/>
      <c r="FV348" s="104"/>
      <c r="FW348" s="61"/>
      <c r="FX348" s="104"/>
      <c r="FY348" s="61"/>
      <c r="FZ348" s="104"/>
      <c r="GA348" s="61"/>
      <c r="GB348" s="104"/>
      <c r="GC348" s="61"/>
      <c r="GD348" s="104"/>
      <c r="GE348" s="61"/>
      <c r="GF348" s="104"/>
      <c r="GG348" s="61"/>
      <c r="GH348" s="104"/>
      <c r="GI348" s="61"/>
      <c r="GJ348" s="104"/>
      <c r="GK348" s="61"/>
      <c r="GL348" s="104"/>
      <c r="GM348" s="61"/>
      <c r="GN348" s="104"/>
      <c r="GO348" s="61"/>
      <c r="GP348" s="104"/>
      <c r="GQ348" s="61"/>
      <c r="GR348" s="102"/>
      <c r="GS348" s="61"/>
      <c r="GT348" s="102"/>
      <c r="GU348" s="61"/>
      <c r="GV348" s="102"/>
      <c r="GW348" s="61"/>
      <c r="GX348" s="102"/>
      <c r="GY348" s="61"/>
      <c r="GZ348" s="61" t="str">
        <f t="shared" si="2263"/>
        <v/>
      </c>
      <c r="HA348" s="61"/>
      <c r="HB348" s="452"/>
      <c r="HC348"/>
      <c r="HD348"/>
      <c r="HE348"/>
      <c r="HF348"/>
      <c r="HG348"/>
      <c r="HH348"/>
    </row>
    <row r="349" spans="1:216" s="5" customFormat="1" ht="12.75" hidden="1" customHeight="1" outlineLevel="1" x14ac:dyDescent="0.2">
      <c r="B349" s="2" t="s">
        <v>73</v>
      </c>
      <c r="C349" s="69"/>
      <c r="D349" s="70"/>
      <c r="E349" s="69"/>
      <c r="F349" s="71"/>
      <c r="G349" s="69"/>
      <c r="H349" s="71"/>
      <c r="I349" s="69"/>
      <c r="J349" s="61"/>
      <c r="K349" s="69"/>
      <c r="L349" s="61"/>
      <c r="M349" s="69"/>
      <c r="N349" s="61"/>
      <c r="O349" s="69"/>
      <c r="P349" s="61"/>
      <c r="Q349" s="69"/>
      <c r="R349" s="61"/>
      <c r="S349" s="69"/>
      <c r="T349" s="61"/>
      <c r="U349" s="69"/>
      <c r="V349" s="61"/>
      <c r="W349" s="69"/>
      <c r="X349" s="126"/>
      <c r="Y349" s="69"/>
      <c r="Z349" s="126"/>
      <c r="AA349" s="69"/>
      <c r="AB349" s="126"/>
      <c r="AC349" s="69"/>
      <c r="AD349" s="126"/>
      <c r="AE349" s="69"/>
      <c r="AF349" s="126"/>
      <c r="AG349" s="69"/>
      <c r="AH349" s="126"/>
      <c r="AI349" s="69"/>
      <c r="AJ349" s="126"/>
      <c r="AK349" s="69"/>
      <c r="AL349" s="126"/>
      <c r="AM349" s="69"/>
      <c r="AN349" s="126"/>
      <c r="AO349" s="69"/>
      <c r="AP349" s="126"/>
      <c r="AQ349" s="69">
        <f>AQ348/(1-AQ345/100)</f>
        <v>4</v>
      </c>
      <c r="AR349" s="61" t="str">
        <f t="shared" si="2264"/>
        <v>NA</v>
      </c>
      <c r="AS349" s="69">
        <f>AS348/(1-AS345/100)</f>
        <v>5.2772727272727336</v>
      </c>
      <c r="AT349" s="61" t="str">
        <f t="shared" si="2265"/>
        <v>NA</v>
      </c>
      <c r="AU349" s="69">
        <f>AU348/(1-AU345/100)</f>
        <v>2.6000000000000014</v>
      </c>
      <c r="AV349" s="61" t="str">
        <f t="shared" si="2266"/>
        <v>NA</v>
      </c>
      <c r="AW349" s="69">
        <f>AW348/(1-AW345/100)</f>
        <v>13.599999999999993</v>
      </c>
      <c r="AX349" s="61" t="str">
        <f t="shared" si="2266"/>
        <v>NA</v>
      </c>
      <c r="AY349" s="69">
        <f>AY348/(1-AY345/100)</f>
        <v>10.500000000000009</v>
      </c>
      <c r="AZ349" s="61" t="str">
        <f t="shared" si="2267"/>
        <v>NM</v>
      </c>
      <c r="BA349" s="69">
        <f>BA348/(1-BA345/100)</f>
        <v>23.399999999999991</v>
      </c>
      <c r="BB349" s="61" t="str">
        <f t="shared" si="2268"/>
        <v>NM</v>
      </c>
      <c r="BC349" s="69">
        <f>BC348/(1-BC345/100)</f>
        <v>17.100000000000005</v>
      </c>
      <c r="BD349" s="61" t="str">
        <f t="shared" si="2269"/>
        <v>NM</v>
      </c>
      <c r="BE349" s="69">
        <f>BE348/(1-BE345/100)</f>
        <v>18.299999999999986</v>
      </c>
      <c r="BF349" s="61">
        <f t="shared" si="2270"/>
        <v>34.558823529411733</v>
      </c>
      <c r="BG349" s="69">
        <f>BG348/(1-BG345/100)</f>
        <v>18.099999999999994</v>
      </c>
      <c r="BH349" s="61">
        <f t="shared" si="2270"/>
        <v>72.380952380952195</v>
      </c>
      <c r="BI349" s="69">
        <f>BI348/(1-BI345/100)</f>
        <v>16.499999999999986</v>
      </c>
      <c r="BJ349" s="61"/>
      <c r="BK349" s="69"/>
      <c r="BL349" s="61"/>
      <c r="BM349" s="69"/>
      <c r="BN349" s="61"/>
      <c r="BO349" s="69"/>
      <c r="BP349" s="61"/>
      <c r="BQ349" s="69"/>
      <c r="BR349" s="61"/>
      <c r="BS349" s="69"/>
      <c r="BT349" s="61"/>
      <c r="BU349" s="69"/>
      <c r="BV349" s="61"/>
      <c r="BW349" s="69"/>
      <c r="BX349" s="61"/>
      <c r="BY349" s="69"/>
      <c r="BZ349" s="61"/>
      <c r="CA349" s="69"/>
      <c r="CB349" s="61"/>
      <c r="CC349" s="69"/>
      <c r="CD349" s="61"/>
      <c r="CE349" s="69"/>
      <c r="CF349" s="61"/>
      <c r="CG349" s="69"/>
      <c r="CH349" s="61"/>
      <c r="CI349" s="69"/>
      <c r="CJ349" s="61"/>
      <c r="CK349" s="69"/>
      <c r="CL349" s="61"/>
      <c r="CM349" s="69"/>
      <c r="CN349" s="61"/>
      <c r="CO349" s="69"/>
      <c r="CP349" s="61"/>
      <c r="CQ349" s="69"/>
      <c r="CR349" s="61"/>
      <c r="CS349" s="69"/>
      <c r="CT349" s="61"/>
      <c r="CU349" s="69"/>
      <c r="CV349" s="61"/>
      <c r="CW349" s="69"/>
      <c r="CX349" s="61"/>
      <c r="CY349" s="69"/>
      <c r="CZ349" s="61"/>
      <c r="DA349" s="69"/>
      <c r="DB349" s="61"/>
      <c r="DC349" s="69"/>
      <c r="DD349" s="61"/>
      <c r="DE349" s="69"/>
      <c r="DF349" s="61"/>
      <c r="DG349" s="69"/>
      <c r="DH349" s="61"/>
      <c r="DI349" s="69"/>
      <c r="DJ349" s="61"/>
      <c r="DK349" s="69"/>
      <c r="DL349" s="61"/>
      <c r="DM349" s="69"/>
      <c r="DN349" s="61"/>
      <c r="DO349" s="69"/>
      <c r="DP349" s="61"/>
      <c r="DQ349" s="69"/>
      <c r="DR349" s="61"/>
      <c r="DS349" s="69"/>
      <c r="DT349" s="61"/>
      <c r="DU349" s="69"/>
      <c r="DV349" s="61"/>
      <c r="DW349" s="69"/>
      <c r="DX349" s="69"/>
      <c r="DY349" s="69"/>
      <c r="DZ349" s="61"/>
      <c r="EA349" s="69"/>
      <c r="EB349" s="61"/>
      <c r="EC349" s="69"/>
      <c r="ED349" s="61"/>
      <c r="EE349" s="69"/>
      <c r="EF349" s="61"/>
      <c r="EG349" s="69"/>
      <c r="EH349" s="61"/>
      <c r="EI349" s="69"/>
      <c r="EJ349" s="61"/>
      <c r="EK349" s="69"/>
      <c r="EL349" s="61"/>
      <c r="EM349" s="69"/>
      <c r="EN349" s="61"/>
      <c r="EO349" s="69"/>
      <c r="EP349" s="61"/>
      <c r="EQ349" s="69"/>
      <c r="ER349" s="61"/>
      <c r="ES349" s="69"/>
      <c r="ET349" s="61"/>
      <c r="EU349" s="69"/>
      <c r="EV349" s="61"/>
      <c r="EW349" s="69"/>
      <c r="EX349" s="61"/>
      <c r="EY349" s="69"/>
      <c r="EZ349" s="558"/>
      <c r="FA349" s="69"/>
      <c r="FB349" s="69"/>
      <c r="FC349" s="124"/>
      <c r="FD349" s="69"/>
      <c r="FE349" s="126"/>
      <c r="FF349" s="69"/>
      <c r="FG349" s="126"/>
      <c r="FH349" s="69"/>
      <c r="FI349" s="126"/>
      <c r="FJ349" s="69"/>
      <c r="FK349" s="126"/>
      <c r="FL349" s="69"/>
      <c r="FM349" s="126"/>
      <c r="FN349" s="69"/>
      <c r="FO349" s="126"/>
      <c r="FP349" s="73">
        <f>AQ349+AS349+AU349+AW349</f>
        <v>25.477272727272727</v>
      </c>
      <c r="FQ349" s="61" t="str">
        <f t="shared" si="2271"/>
        <v>NA</v>
      </c>
      <c r="FR349" s="73">
        <f>AY349+BA349+BC349+BE349</f>
        <v>69.299999999999983</v>
      </c>
      <c r="FS349" s="61" t="str">
        <f t="shared" si="2271"/>
        <v>NM</v>
      </c>
      <c r="FT349" s="73">
        <f>BG349+BI349+BK349+BM349</f>
        <v>34.59999999999998</v>
      </c>
      <c r="FU349" s="61"/>
      <c r="FV349" s="73"/>
      <c r="FW349" s="61"/>
      <c r="FX349" s="75"/>
      <c r="FY349" s="61"/>
      <c r="FZ349" s="75"/>
      <c r="GA349" s="61"/>
      <c r="GB349" s="75"/>
      <c r="GC349" s="61"/>
      <c r="GD349" s="75"/>
      <c r="GE349" s="61"/>
      <c r="GF349" s="75"/>
      <c r="GG349" s="61"/>
      <c r="GH349" s="75"/>
      <c r="GI349" s="61"/>
      <c r="GJ349" s="75"/>
      <c r="GK349" s="61"/>
      <c r="GL349" s="75"/>
      <c r="GM349" s="61"/>
      <c r="GN349" s="75"/>
      <c r="GO349" s="61"/>
      <c r="GP349" s="75"/>
      <c r="GQ349" s="61"/>
      <c r="GR349" s="69"/>
      <c r="GS349" s="61"/>
      <c r="GT349" s="69"/>
      <c r="GU349" s="61"/>
      <c r="GV349" s="69"/>
      <c r="GW349" s="61"/>
      <c r="GX349" s="69"/>
      <c r="GY349" s="61"/>
      <c r="GZ349" s="61" t="str">
        <f t="shared" si="2263"/>
        <v/>
      </c>
      <c r="HA349" s="61"/>
      <c r="HB349" s="452"/>
      <c r="HC349"/>
      <c r="HD349"/>
      <c r="HE349"/>
      <c r="HF349"/>
      <c r="HG349"/>
      <c r="HH349"/>
    </row>
    <row r="350" spans="1:216" s="5" customFormat="1" ht="12.75" hidden="1" customHeight="1" outlineLevel="1" x14ac:dyDescent="0.2">
      <c r="B350" s="136"/>
      <c r="C350" s="137"/>
      <c r="D350" s="78"/>
      <c r="E350" s="137"/>
      <c r="F350" s="79"/>
      <c r="G350" s="137"/>
      <c r="H350" s="79"/>
      <c r="I350" s="137"/>
      <c r="J350" s="80"/>
      <c r="K350" s="137"/>
      <c r="L350" s="80"/>
      <c r="M350" s="137"/>
      <c r="N350" s="80"/>
      <c r="O350" s="137"/>
      <c r="P350" s="80"/>
      <c r="Q350" s="137"/>
      <c r="R350" s="80"/>
      <c r="S350" s="137"/>
      <c r="T350" s="80"/>
      <c r="U350" s="137"/>
      <c r="V350" s="80"/>
      <c r="W350" s="137"/>
      <c r="X350" s="80"/>
      <c r="Y350" s="137"/>
      <c r="Z350" s="80"/>
      <c r="AA350" s="137"/>
      <c r="AB350" s="80"/>
      <c r="AC350" s="137"/>
      <c r="AD350" s="80"/>
      <c r="AE350" s="137"/>
      <c r="AF350" s="80"/>
      <c r="AG350" s="137"/>
      <c r="AH350" s="80"/>
      <c r="AI350" s="137"/>
      <c r="AJ350" s="80"/>
      <c r="AK350" s="137"/>
      <c r="AL350" s="80"/>
      <c r="AM350" s="137"/>
      <c r="AN350" s="80"/>
      <c r="AO350" s="137"/>
      <c r="AP350" s="80"/>
      <c r="AQ350" s="137"/>
      <c r="AR350" s="80"/>
      <c r="AS350" s="137"/>
      <c r="AT350" s="80"/>
      <c r="AU350" s="137"/>
      <c r="AV350" s="80"/>
      <c r="AW350" s="137"/>
      <c r="AX350" s="61"/>
      <c r="AY350" s="137"/>
      <c r="AZ350" s="61"/>
      <c r="BA350" s="137"/>
      <c r="BB350" s="61"/>
      <c r="BC350" s="137"/>
      <c r="BD350" s="61"/>
      <c r="BE350" s="137"/>
      <c r="BF350" s="61"/>
      <c r="BG350" s="137"/>
      <c r="BH350" s="61"/>
      <c r="BI350" s="137"/>
      <c r="BJ350" s="61"/>
      <c r="BK350" s="137"/>
      <c r="BL350" s="61"/>
      <c r="BM350" s="137"/>
      <c r="BN350" s="61"/>
      <c r="BO350" s="137"/>
      <c r="BP350" s="61"/>
      <c r="BQ350" s="137"/>
      <c r="BR350" s="61"/>
      <c r="BS350" s="137"/>
      <c r="BT350" s="61"/>
      <c r="BU350" s="137"/>
      <c r="BV350" s="61"/>
      <c r="BW350" s="218"/>
      <c r="BX350" s="61"/>
      <c r="BY350" s="218"/>
      <c r="BZ350" s="61"/>
      <c r="CA350" s="218"/>
      <c r="CB350" s="61"/>
      <c r="CC350" s="218"/>
      <c r="CD350" s="61"/>
      <c r="CE350" s="218"/>
      <c r="CF350" s="61"/>
      <c r="CG350" s="218"/>
      <c r="CH350" s="61"/>
      <c r="CI350" s="218"/>
      <c r="CJ350" s="61"/>
      <c r="CK350" s="218"/>
      <c r="CL350" s="61"/>
      <c r="CM350" s="218"/>
      <c r="CN350" s="61"/>
      <c r="CO350" s="218"/>
      <c r="CP350" s="61"/>
      <c r="CQ350" s="218"/>
      <c r="CR350" s="61"/>
      <c r="CS350" s="218"/>
      <c r="CT350" s="61"/>
      <c r="CU350" s="218"/>
      <c r="CV350" s="61"/>
      <c r="CW350" s="218"/>
      <c r="CX350" s="61"/>
      <c r="CY350" s="218"/>
      <c r="CZ350" s="61"/>
      <c r="DA350" s="218"/>
      <c r="DB350" s="61"/>
      <c r="DC350" s="218"/>
      <c r="DD350" s="61"/>
      <c r="DE350" s="218"/>
      <c r="DF350" s="61"/>
      <c r="DG350" s="218"/>
      <c r="DH350" s="61"/>
      <c r="DI350" s="218"/>
      <c r="DJ350" s="61"/>
      <c r="DK350" s="218"/>
      <c r="DL350" s="61"/>
      <c r="DM350" s="218"/>
      <c r="DN350" s="61"/>
      <c r="DO350" s="218"/>
      <c r="DP350" s="61"/>
      <c r="DQ350" s="218"/>
      <c r="DR350" s="61"/>
      <c r="DS350" s="218"/>
      <c r="DT350" s="61"/>
      <c r="DU350" s="218"/>
      <c r="DV350" s="61"/>
      <c r="DW350" s="218"/>
      <c r="DX350" s="218"/>
      <c r="DY350" s="218"/>
      <c r="DZ350" s="61"/>
      <c r="EA350" s="218"/>
      <c r="EB350" s="61"/>
      <c r="EC350" s="218"/>
      <c r="ED350" s="61"/>
      <c r="EE350" s="218"/>
      <c r="EF350" s="61"/>
      <c r="EG350" s="218"/>
      <c r="EH350" s="61"/>
      <c r="EI350" s="218"/>
      <c r="EJ350" s="61"/>
      <c r="EK350" s="218"/>
      <c r="EL350" s="61"/>
      <c r="EM350" s="218"/>
      <c r="EN350" s="61"/>
      <c r="EO350" s="218"/>
      <c r="EP350" s="61"/>
      <c r="EQ350" s="218"/>
      <c r="ER350" s="61"/>
      <c r="ES350" s="218"/>
      <c r="ET350" s="61"/>
      <c r="EU350" s="218"/>
      <c r="EV350" s="61"/>
      <c r="EW350" s="218"/>
      <c r="EX350" s="61"/>
      <c r="EY350" s="79"/>
      <c r="EZ350" s="558"/>
      <c r="FA350" s="79"/>
      <c r="FB350" s="137"/>
      <c r="FC350" s="79"/>
      <c r="FD350" s="137"/>
      <c r="FE350" s="78"/>
      <c r="FF350" s="137"/>
      <c r="FG350" s="78"/>
      <c r="FH350" s="137"/>
      <c r="FI350" s="78"/>
      <c r="FJ350" s="137"/>
      <c r="FK350" s="78"/>
      <c r="FL350" s="137"/>
      <c r="FM350" s="80"/>
      <c r="FN350" s="137"/>
      <c r="FO350" s="80"/>
      <c r="FP350" s="159"/>
      <c r="FQ350" s="61"/>
      <c r="FR350" s="159"/>
      <c r="FS350" s="61"/>
      <c r="FT350" s="159"/>
      <c r="FU350" s="61"/>
      <c r="FV350" s="159"/>
      <c r="FW350" s="61"/>
      <c r="FX350" s="159"/>
      <c r="FY350" s="61"/>
      <c r="FZ350" s="159"/>
      <c r="GA350" s="61"/>
      <c r="GB350" s="159"/>
      <c r="GC350" s="61"/>
      <c r="GD350" s="159"/>
      <c r="GE350" s="61"/>
      <c r="GF350" s="159"/>
      <c r="GG350" s="61"/>
      <c r="GH350" s="159"/>
      <c r="GI350" s="61"/>
      <c r="GJ350" s="159"/>
      <c r="GK350" s="61"/>
      <c r="GL350" s="159"/>
      <c r="GM350" s="61"/>
      <c r="GN350" s="159"/>
      <c r="GO350" s="61"/>
      <c r="GP350" s="159"/>
      <c r="GQ350" s="61"/>
      <c r="GR350" s="218"/>
      <c r="GS350" s="61"/>
      <c r="GT350" s="218"/>
      <c r="GU350" s="61"/>
      <c r="GV350" s="218"/>
      <c r="GW350" s="61"/>
      <c r="GX350" s="218"/>
      <c r="GY350" s="61"/>
      <c r="GZ350" s="61" t="str">
        <f t="shared" si="2263"/>
        <v/>
      </c>
      <c r="HA350" s="61"/>
      <c r="HB350" s="452"/>
      <c r="HC350"/>
      <c r="HD350"/>
      <c r="HE350"/>
      <c r="HF350"/>
      <c r="HG350"/>
      <c r="HH350"/>
    </row>
    <row r="351" spans="1:216" s="5" customFormat="1" ht="12.75" hidden="1" customHeight="1" outlineLevel="1" x14ac:dyDescent="0.2">
      <c r="B351" s="63" t="s">
        <v>161</v>
      </c>
      <c r="C351" s="66"/>
      <c r="D351" s="67"/>
      <c r="E351" s="66"/>
      <c r="F351" s="66"/>
      <c r="G351" s="64"/>
      <c r="H351" s="66"/>
      <c r="I351" s="64"/>
      <c r="J351" s="66"/>
      <c r="K351" s="64"/>
      <c r="L351" s="61"/>
      <c r="M351" s="66"/>
      <c r="N351" s="61"/>
      <c r="O351" s="64"/>
      <c r="P351" s="61"/>
      <c r="Q351" s="64"/>
      <c r="R351" s="61"/>
      <c r="S351" s="64"/>
      <c r="T351" s="61"/>
      <c r="U351" s="64"/>
      <c r="V351" s="61"/>
      <c r="W351" s="64"/>
      <c r="X351" s="61"/>
      <c r="Y351" s="64"/>
      <c r="Z351" s="61"/>
      <c r="AA351" s="64"/>
      <c r="AB351" s="61"/>
      <c r="AC351" s="64"/>
      <c r="AD351" s="61"/>
      <c r="AE351" s="64"/>
      <c r="AF351" s="61"/>
      <c r="AG351" s="64"/>
      <c r="AH351" s="61"/>
      <c r="AI351" s="64"/>
      <c r="AJ351" s="61"/>
      <c r="AK351" s="64"/>
      <c r="AL351" s="61"/>
      <c r="AM351" s="64"/>
      <c r="AN351" s="61"/>
      <c r="AO351" s="64"/>
      <c r="AP351" s="61"/>
      <c r="AQ351" s="64"/>
      <c r="AR351" s="61"/>
      <c r="AS351" s="64"/>
      <c r="AT351" s="61"/>
      <c r="AU351" s="64"/>
      <c r="AV351" s="61"/>
      <c r="AW351" s="64"/>
      <c r="AX351" s="61"/>
      <c r="AY351" s="64"/>
      <c r="AZ351" s="61"/>
      <c r="BA351" s="64"/>
      <c r="BB351" s="61"/>
      <c r="BC351" s="64"/>
      <c r="BD351" s="61"/>
      <c r="BE351" s="64"/>
      <c r="BF351" s="61"/>
      <c r="BG351" s="64"/>
      <c r="BH351" s="61"/>
      <c r="BI351" s="64"/>
      <c r="BJ351" s="61"/>
      <c r="BK351" s="64"/>
      <c r="BL351" s="61"/>
      <c r="BM351" s="64"/>
      <c r="BN351" s="61"/>
      <c r="BO351" s="64"/>
      <c r="BP351" s="61"/>
      <c r="BQ351" s="64"/>
      <c r="BR351" s="61"/>
      <c r="BS351" s="64"/>
      <c r="BT351" s="61"/>
      <c r="BU351" s="64"/>
      <c r="BV351" s="61"/>
      <c r="BW351" s="64"/>
      <c r="BX351" s="61"/>
      <c r="BY351" s="64"/>
      <c r="BZ351" s="61"/>
      <c r="CA351" s="64"/>
      <c r="CB351" s="61"/>
      <c r="CC351" s="64"/>
      <c r="CD351" s="61"/>
      <c r="CE351" s="64"/>
      <c r="CF351" s="61"/>
      <c r="CG351" s="64"/>
      <c r="CH351" s="61"/>
      <c r="CI351" s="64"/>
      <c r="CJ351" s="61"/>
      <c r="CK351" s="64"/>
      <c r="CL351" s="61"/>
      <c r="CM351" s="64"/>
      <c r="CN351" s="61"/>
      <c r="CO351" s="64"/>
      <c r="CP351" s="61"/>
      <c r="CQ351" s="64"/>
      <c r="CR351" s="61"/>
      <c r="CS351" s="64"/>
      <c r="CT351" s="61"/>
      <c r="CU351" s="64"/>
      <c r="CV351" s="61"/>
      <c r="CW351" s="64"/>
      <c r="CX351" s="61"/>
      <c r="CY351" s="64"/>
      <c r="CZ351" s="61"/>
      <c r="DA351" s="64"/>
      <c r="DB351" s="61"/>
      <c r="DC351" s="64"/>
      <c r="DD351" s="61"/>
      <c r="DE351" s="64"/>
      <c r="DF351" s="61"/>
      <c r="DG351" s="64"/>
      <c r="DH351" s="61"/>
      <c r="DI351" s="64"/>
      <c r="DJ351" s="61"/>
      <c r="DK351" s="64"/>
      <c r="DL351" s="61"/>
      <c r="DM351" s="64"/>
      <c r="DN351" s="61"/>
      <c r="DO351" s="64"/>
      <c r="DP351" s="61"/>
      <c r="DQ351" s="64"/>
      <c r="DR351" s="61"/>
      <c r="DS351" s="64"/>
      <c r="DT351" s="61"/>
      <c r="DU351" s="64"/>
      <c r="DV351" s="61"/>
      <c r="DW351" s="64"/>
      <c r="DX351" s="64"/>
      <c r="DY351" s="64"/>
      <c r="DZ351" s="61"/>
      <c r="EA351" s="64"/>
      <c r="EB351" s="61"/>
      <c r="EC351" s="64"/>
      <c r="ED351" s="61"/>
      <c r="EE351" s="64"/>
      <c r="EF351" s="61"/>
      <c r="EG351" s="64"/>
      <c r="EH351" s="61"/>
      <c r="EI351" s="64"/>
      <c r="EJ351" s="61"/>
      <c r="EK351" s="64"/>
      <c r="EL351" s="61"/>
      <c r="EM351" s="64"/>
      <c r="EN351" s="61"/>
      <c r="EO351" s="64"/>
      <c r="EP351" s="61"/>
      <c r="EQ351" s="64"/>
      <c r="ER351" s="61"/>
      <c r="ES351" s="64"/>
      <c r="ET351" s="61"/>
      <c r="EU351" s="64"/>
      <c r="EV351" s="61"/>
      <c r="EW351" s="64"/>
      <c r="EX351" s="61"/>
      <c r="EY351" s="64"/>
      <c r="EZ351" s="558"/>
      <c r="FA351" s="64"/>
      <c r="FB351" s="66"/>
      <c r="FC351" s="66"/>
      <c r="FD351" s="66"/>
      <c r="FE351" s="67"/>
      <c r="FF351" s="66"/>
      <c r="FG351" s="67"/>
      <c r="FH351" s="66"/>
      <c r="FI351" s="67"/>
      <c r="FJ351" s="66"/>
      <c r="FK351" s="67"/>
      <c r="FL351" s="66"/>
      <c r="FM351" s="61"/>
      <c r="FN351" s="66"/>
      <c r="FO351" s="61"/>
      <c r="FP351" s="65"/>
      <c r="FQ351" s="61"/>
      <c r="FR351" s="65"/>
      <c r="FS351" s="61"/>
      <c r="FT351" s="65"/>
      <c r="FU351" s="61"/>
      <c r="FV351" s="65"/>
      <c r="FW351" s="61"/>
      <c r="FX351" s="65"/>
      <c r="FY351" s="61"/>
      <c r="FZ351" s="65"/>
      <c r="GA351" s="61"/>
      <c r="GB351" s="65"/>
      <c r="GC351" s="61"/>
      <c r="GD351" s="65"/>
      <c r="GE351" s="61"/>
      <c r="GF351" s="65"/>
      <c r="GG351" s="61"/>
      <c r="GH351" s="65"/>
      <c r="GI351" s="61"/>
      <c r="GJ351" s="65"/>
      <c r="GK351" s="61"/>
      <c r="GL351" s="65"/>
      <c r="GM351" s="61"/>
      <c r="GN351" s="65"/>
      <c r="GO351" s="61"/>
      <c r="GP351" s="65"/>
      <c r="GQ351" s="61"/>
      <c r="GR351" s="64"/>
      <c r="GS351" s="61"/>
      <c r="GT351" s="64"/>
      <c r="GU351" s="61"/>
      <c r="GV351" s="64"/>
      <c r="GW351" s="61"/>
      <c r="GX351" s="64"/>
      <c r="GY351" s="61"/>
      <c r="GZ351" s="61" t="str">
        <f t="shared" si="2263"/>
        <v/>
      </c>
      <c r="HA351" s="61"/>
      <c r="HB351" s="452"/>
      <c r="HC351"/>
      <c r="HD351"/>
      <c r="HE351"/>
      <c r="HF351"/>
      <c r="HG351"/>
      <c r="HH351"/>
    </row>
    <row r="352" spans="1:216" s="5" customFormat="1" ht="12.75" hidden="1" customHeight="1" outlineLevel="1" x14ac:dyDescent="0.2">
      <c r="B352" s="2" t="s">
        <v>266</v>
      </c>
      <c r="C352" s="81"/>
      <c r="D352" s="70"/>
      <c r="E352" s="81"/>
      <c r="F352" s="71"/>
      <c r="G352" s="81"/>
      <c r="H352" s="71"/>
      <c r="I352" s="81"/>
      <c r="J352" s="61"/>
      <c r="K352" s="81"/>
      <c r="L352" s="61"/>
      <c r="M352" s="81"/>
      <c r="N352" s="61"/>
      <c r="O352" s="81"/>
      <c r="P352" s="61"/>
      <c r="Q352" s="81"/>
      <c r="R352" s="61"/>
      <c r="S352" s="81"/>
      <c r="T352" s="61"/>
      <c r="U352" s="81"/>
      <c r="V352" s="61"/>
      <c r="W352" s="81"/>
      <c r="X352" s="61"/>
      <c r="Y352" s="81"/>
      <c r="Z352" s="61"/>
      <c r="AA352" s="81"/>
      <c r="AB352" s="61"/>
      <c r="AC352" s="81"/>
      <c r="AD352" s="61"/>
      <c r="AE352" s="81"/>
      <c r="AF352" s="61"/>
      <c r="AG352" s="81"/>
      <c r="AH352" s="61"/>
      <c r="AI352" s="81"/>
      <c r="AJ352" s="61"/>
      <c r="AK352" s="81"/>
      <c r="AL352" s="61"/>
      <c r="AM352" s="81"/>
      <c r="AN352" s="61"/>
      <c r="AO352" s="81"/>
      <c r="AP352" s="61"/>
      <c r="AQ352" s="81">
        <f>AQ346/AQ324*100</f>
        <v>6.2146892655367232</v>
      </c>
      <c r="AR352" s="61" t="str">
        <f>IF(ISERROR((AQ352/AI352-1)*100),"NA",IF(((AQ352/AI352-1)*100)&gt;100,"NM",IF(((AQ352/AI352-1)*100)&lt;-50,"NM",(AQ352/AI352-1)*100)))</f>
        <v>NA</v>
      </c>
      <c r="AS352" s="81">
        <f>AS346/AS324*100</f>
        <v>8.0827067669173047</v>
      </c>
      <c r="AT352" s="61" t="str">
        <f>IF(ISERROR((AS352/AK352-1)*100),"NA",IF(((AS352/AK352-1)*100)&gt;100,"NM",IF(((AS352/AK352-1)*100)&lt;-50,"NM",(AS352/AK352-1)*100)))</f>
        <v>NA</v>
      </c>
      <c r="AU352" s="81">
        <f>AU346/AU324*100</f>
        <v>4.0472175379426663</v>
      </c>
      <c r="AV352" s="61" t="str">
        <f>IF(ISERROR((AU352/AM352-1)*100),"NA",IF(((AU352/AM352-1)*100)&gt;100,"NM",IF(((AU352/AM352-1)*100)&lt;-50,"NM",(AU352/AM352-1)*100)))</f>
        <v>NA</v>
      </c>
      <c r="AW352" s="81">
        <f>AW346/AW324*100</f>
        <v>15.422077922077914</v>
      </c>
      <c r="AX352" s="61" t="str">
        <f>IF(ISERROR((AW352/AO352-1)*100),"NA",IF(((AW352/AO352-1)*100)&gt;100,"NM",IF(((AW352/AO352-1)*100)&lt;-50,"NM",(AW352/AO352-1)*100)))</f>
        <v>NA</v>
      </c>
      <c r="AY352" s="81">
        <f>AY346/AY324*100</f>
        <v>13.111888111888122</v>
      </c>
      <c r="AZ352" s="61" t="str">
        <f>IF(ISERROR((AY352/AQ352-1)*100),"NA",IF(((AY352/AQ352-1)*100)&gt;100,"NM",IF(((AY352/AQ352-1)*100)&lt;-50,"NM",(AY352/AQ352-1)*100)))</f>
        <v>NM</v>
      </c>
      <c r="BA352" s="81">
        <f>BA346/BA324*100</f>
        <v>15.909090909090901</v>
      </c>
      <c r="BB352" s="61">
        <f>IF(ISERROR((BA352/AS352-1)*100),"NA",IF(((BA352/AS352-1)*100)&gt;100,"NM",IF(((BA352/AS352-1)*100)&lt;-50,"NM",(BA352/AS352-1)*100)))</f>
        <v>96.828752642705766</v>
      </c>
      <c r="BC352" s="81">
        <f>BC346/BC324*100</f>
        <v>12.272291466922347</v>
      </c>
      <c r="BD352" s="61" t="str">
        <f>IF(ISERROR((BC352/AU352-1)*100),"NA",IF(((BC352/AU352-1)*100)&gt;100,"NM",IF(((BC352/AU352-1)*100)&lt;-50,"NM",(BC352/AU352-1)*100)))</f>
        <v>NM</v>
      </c>
      <c r="BE352" s="81">
        <f>BE346/BE324*100</f>
        <v>11.640696608615935</v>
      </c>
      <c r="BF352" s="61">
        <f>IF(ISERROR((BE352/AW352-1)*100),"NA",IF(((BE352/AW352-1)*100)&gt;100,"NM",IF(((BE352/AW352-1)*100)&lt;-50,"NM",(BE352/AW352-1)*100)))</f>
        <v>-24.519272516764001</v>
      </c>
      <c r="BG352" s="81">
        <f>BG346/BG324*100</f>
        <v>16.594516594516588</v>
      </c>
      <c r="BH352" s="61">
        <f>IF(ISERROR((BG352/AY352-1)*100),"NA",IF(((BG352/AY352-1)*100)&gt;100,"NM",IF(((BG352/AY352-1)*100)&lt;-50,"NM",(BG352/AY352-1)*100)))</f>
        <v>26.560846560846407</v>
      </c>
      <c r="BI352" s="81">
        <f>BI346/BI324*100</f>
        <v>15.885022692889542</v>
      </c>
      <c r="BJ352" s="61"/>
      <c r="BK352" s="81"/>
      <c r="BL352" s="61"/>
      <c r="BM352" s="81"/>
      <c r="BN352" s="61"/>
      <c r="BO352" s="81"/>
      <c r="BP352" s="61"/>
      <c r="BQ352" s="81"/>
      <c r="BR352" s="61"/>
      <c r="BS352" s="81"/>
      <c r="BT352" s="61"/>
      <c r="BU352" s="81"/>
      <c r="BV352" s="61"/>
      <c r="BW352" s="81"/>
      <c r="BX352" s="61"/>
      <c r="BY352" s="81"/>
      <c r="BZ352" s="61"/>
      <c r="CA352" s="81"/>
      <c r="CB352" s="61"/>
      <c r="CC352" s="81"/>
      <c r="CD352" s="61"/>
      <c r="CE352" s="81"/>
      <c r="CF352" s="61"/>
      <c r="CG352" s="81"/>
      <c r="CH352" s="61"/>
      <c r="CI352" s="81"/>
      <c r="CJ352" s="61"/>
      <c r="CK352" s="81"/>
      <c r="CL352" s="61"/>
      <c r="CM352" s="81"/>
      <c r="CN352" s="61"/>
      <c r="CO352" s="81"/>
      <c r="CP352" s="61"/>
      <c r="CQ352" s="81"/>
      <c r="CR352" s="61"/>
      <c r="CS352" s="81"/>
      <c r="CT352" s="61"/>
      <c r="CU352" s="81"/>
      <c r="CV352" s="61"/>
      <c r="CW352" s="81"/>
      <c r="CX352" s="61"/>
      <c r="CY352" s="81"/>
      <c r="CZ352" s="61"/>
      <c r="DA352" s="81"/>
      <c r="DB352" s="61"/>
      <c r="DC352" s="81"/>
      <c r="DD352" s="61"/>
      <c r="DE352" s="81"/>
      <c r="DF352" s="61"/>
      <c r="DG352" s="81"/>
      <c r="DH352" s="61"/>
      <c r="DI352" s="81"/>
      <c r="DJ352" s="61"/>
      <c r="DK352" s="81"/>
      <c r="DL352" s="61"/>
      <c r="DM352" s="81"/>
      <c r="DN352" s="61"/>
      <c r="DO352" s="81"/>
      <c r="DP352" s="61"/>
      <c r="DQ352" s="81"/>
      <c r="DR352" s="61"/>
      <c r="DS352" s="81"/>
      <c r="DT352" s="61"/>
      <c r="DU352" s="81"/>
      <c r="DV352" s="61"/>
      <c r="DW352" s="81"/>
      <c r="DX352" s="81"/>
      <c r="DY352" s="81"/>
      <c r="DZ352" s="61"/>
      <c r="EA352" s="81"/>
      <c r="EB352" s="61"/>
      <c r="EC352" s="81"/>
      <c r="ED352" s="61"/>
      <c r="EE352" s="81"/>
      <c r="EF352" s="61"/>
      <c r="EG352" s="81"/>
      <c r="EH352" s="61"/>
      <c r="EI352" s="81"/>
      <c r="EJ352" s="61"/>
      <c r="EK352" s="81"/>
      <c r="EL352" s="61"/>
      <c r="EM352" s="81"/>
      <c r="EN352" s="61"/>
      <c r="EO352" s="81"/>
      <c r="EP352" s="61"/>
      <c r="EQ352" s="81"/>
      <c r="ER352" s="61"/>
      <c r="ES352" s="81"/>
      <c r="ET352" s="61"/>
      <c r="EU352" s="81"/>
      <c r="EV352" s="61"/>
      <c r="EW352" s="81"/>
      <c r="EX352" s="61"/>
      <c r="EY352" s="64"/>
      <c r="EZ352" s="558"/>
      <c r="FA352" s="64"/>
      <c r="FB352" s="81"/>
      <c r="FC352" s="71"/>
      <c r="FD352" s="81"/>
      <c r="FE352" s="70"/>
      <c r="FF352" s="81"/>
      <c r="FG352" s="70"/>
      <c r="FH352" s="81"/>
      <c r="FI352" s="70"/>
      <c r="FJ352" s="81"/>
      <c r="FK352" s="70"/>
      <c r="FL352" s="81"/>
      <c r="FM352" s="61"/>
      <c r="FN352" s="81"/>
      <c r="FO352" s="61"/>
      <c r="FP352" s="88">
        <f>FP346/FP324*100</f>
        <v>8.6267605633802908</v>
      </c>
      <c r="FQ352" s="61" t="str">
        <f>IF(ISERROR((FP352/FN352-1)*100),"NA",IF(((FP352/FN352-1)*100)&gt;100,"NM",IF(((FP352/FN352-1)*100)&lt;-50,"NM",(FP352/FN352-1)*100)))</f>
        <v>NA</v>
      </c>
      <c r="FR352" s="88">
        <f>FR346/FR324*100</f>
        <v>13.206024744486273</v>
      </c>
      <c r="FS352" s="61">
        <f>IF(ISERROR((FR352/FP352-1)*100),"NA",IF(((FR352/FP352-1)*100)&gt;100,"NM",IF(((FR352/FP352-1)*100)&lt;-50,"NM",(FR352/FP352-1)*100)))</f>
        <v>53.082082752412148</v>
      </c>
      <c r="FT352" s="88">
        <f>FT346/FT324*100</f>
        <v>16.248153618906919</v>
      </c>
      <c r="FU352" s="61"/>
      <c r="FV352" s="88"/>
      <c r="FW352" s="61"/>
      <c r="FX352" s="88"/>
      <c r="FY352" s="61"/>
      <c r="FZ352" s="88"/>
      <c r="GA352" s="61"/>
      <c r="GB352" s="88"/>
      <c r="GC352" s="61"/>
      <c r="GD352" s="88"/>
      <c r="GE352" s="61"/>
      <c r="GF352" s="88"/>
      <c r="GG352" s="61"/>
      <c r="GH352" s="88"/>
      <c r="GI352" s="61"/>
      <c r="GJ352" s="88"/>
      <c r="GK352" s="61"/>
      <c r="GL352" s="88"/>
      <c r="GM352" s="61"/>
      <c r="GN352" s="88"/>
      <c r="GO352" s="61"/>
      <c r="GP352" s="88"/>
      <c r="GQ352" s="61"/>
      <c r="GR352" s="81"/>
      <c r="GS352" s="61"/>
      <c r="GT352" s="81"/>
      <c r="GU352" s="61"/>
      <c r="GV352" s="81"/>
      <c r="GW352" s="61"/>
      <c r="GX352" s="81"/>
      <c r="GY352" s="61"/>
      <c r="GZ352" s="61" t="str">
        <f t="shared" si="2263"/>
        <v/>
      </c>
      <c r="HA352" s="61"/>
      <c r="HB352" s="452"/>
      <c r="HC352"/>
      <c r="HD352"/>
      <c r="HE352"/>
      <c r="HF352"/>
      <c r="HG352"/>
      <c r="HH352"/>
    </row>
    <row r="353" spans="1:216" s="5" customFormat="1" ht="12.75" hidden="1" customHeight="1" outlineLevel="1" x14ac:dyDescent="0.2">
      <c r="B353" s="58"/>
      <c r="C353" s="59"/>
      <c r="D353" s="60"/>
      <c r="E353" s="59"/>
      <c r="F353" s="59"/>
      <c r="G353" s="59"/>
      <c r="H353" s="59"/>
      <c r="I353" s="59"/>
      <c r="J353" s="59"/>
      <c r="K353" s="59"/>
      <c r="L353" s="61"/>
      <c r="M353" s="59"/>
      <c r="N353" s="61"/>
      <c r="O353" s="59"/>
      <c r="P353" s="61"/>
      <c r="Q353" s="59"/>
      <c r="R353" s="61"/>
      <c r="S353" s="59"/>
      <c r="T353" s="61"/>
      <c r="U353" s="59"/>
      <c r="V353" s="61"/>
      <c r="W353" s="59"/>
      <c r="X353" s="61"/>
      <c r="Y353" s="59"/>
      <c r="Z353" s="61"/>
      <c r="AA353" s="59"/>
      <c r="AB353" s="61"/>
      <c r="AC353" s="59"/>
      <c r="AD353" s="61"/>
      <c r="AE353" s="59"/>
      <c r="AF353" s="61"/>
      <c r="AG353" s="59"/>
      <c r="AH353" s="61"/>
      <c r="AI353" s="59"/>
      <c r="AJ353" s="61"/>
      <c r="AK353" s="59"/>
      <c r="AL353" s="61"/>
      <c r="AM353" s="59"/>
      <c r="AN353" s="61"/>
      <c r="AO353" s="59"/>
      <c r="AP353" s="61"/>
      <c r="AQ353" s="59"/>
      <c r="AR353" s="61"/>
      <c r="AS353" s="59"/>
      <c r="AT353" s="61"/>
      <c r="AU353" s="59"/>
      <c r="AV353" s="61"/>
      <c r="AW353" s="59"/>
      <c r="AX353" s="61"/>
      <c r="AY353" s="59"/>
      <c r="AZ353" s="61"/>
      <c r="BA353" s="59"/>
      <c r="BB353" s="61"/>
      <c r="BC353" s="59"/>
      <c r="BD353" s="61"/>
      <c r="BE353" s="59"/>
      <c r="BF353" s="61"/>
      <c r="BG353" s="59"/>
      <c r="BH353" s="61"/>
      <c r="BI353" s="59"/>
      <c r="BJ353" s="61"/>
      <c r="BK353" s="59"/>
      <c r="BL353" s="61"/>
      <c r="BM353" s="59"/>
      <c r="BN353" s="61"/>
      <c r="BO353" s="59"/>
      <c r="BP353" s="61"/>
      <c r="BQ353" s="59"/>
      <c r="BR353" s="61"/>
      <c r="BS353" s="59"/>
      <c r="BT353" s="61"/>
      <c r="BU353" s="59"/>
      <c r="BV353" s="61"/>
      <c r="BW353" s="59"/>
      <c r="BX353" s="61"/>
      <c r="BY353" s="59"/>
      <c r="BZ353" s="61"/>
      <c r="CA353" s="59"/>
      <c r="CB353" s="61"/>
      <c r="CC353" s="59"/>
      <c r="CD353" s="61"/>
      <c r="CE353" s="59"/>
      <c r="CF353" s="61"/>
      <c r="CG353" s="59"/>
      <c r="CH353" s="61"/>
      <c r="CI353" s="59"/>
      <c r="CJ353" s="61"/>
      <c r="CK353" s="59"/>
      <c r="CL353" s="61"/>
      <c r="CM353" s="59"/>
      <c r="CN353" s="61"/>
      <c r="CO353" s="59"/>
      <c r="CP353" s="61"/>
      <c r="CQ353" s="59"/>
      <c r="CR353" s="61"/>
      <c r="CS353" s="59"/>
      <c r="CT353" s="61"/>
      <c r="CU353" s="59"/>
      <c r="CV353" s="61"/>
      <c r="CW353" s="59"/>
      <c r="CX353" s="61"/>
      <c r="CY353" s="59"/>
      <c r="CZ353" s="61"/>
      <c r="DA353" s="59"/>
      <c r="DB353" s="61"/>
      <c r="DC353" s="59"/>
      <c r="DD353" s="61"/>
      <c r="DE353" s="59"/>
      <c r="DF353" s="61"/>
      <c r="DG353" s="59"/>
      <c r="DH353" s="61"/>
      <c r="DI353" s="59"/>
      <c r="DJ353" s="61"/>
      <c r="DK353" s="59"/>
      <c r="DL353" s="61"/>
      <c r="DM353" s="59"/>
      <c r="DN353" s="61"/>
      <c r="DO353" s="59"/>
      <c r="DP353" s="61"/>
      <c r="DQ353" s="59"/>
      <c r="DR353" s="61"/>
      <c r="DS353" s="59"/>
      <c r="DT353" s="61"/>
      <c r="DU353" s="59"/>
      <c r="DV353" s="61"/>
      <c r="DW353" s="59"/>
      <c r="DX353" s="59"/>
      <c r="DY353" s="59"/>
      <c r="DZ353" s="61"/>
      <c r="EA353" s="59"/>
      <c r="EB353" s="61"/>
      <c r="EC353" s="59"/>
      <c r="ED353" s="61"/>
      <c r="EE353" s="59"/>
      <c r="EF353" s="61"/>
      <c r="EG353" s="59"/>
      <c r="EH353" s="61"/>
      <c r="EI353" s="59"/>
      <c r="EJ353" s="61"/>
      <c r="EK353" s="59"/>
      <c r="EL353" s="61"/>
      <c r="EM353" s="59"/>
      <c r="EN353" s="61"/>
      <c r="EO353" s="59"/>
      <c r="EP353" s="61"/>
      <c r="EQ353" s="59"/>
      <c r="ER353" s="61"/>
      <c r="ES353" s="59"/>
      <c r="ET353" s="61"/>
      <c r="EU353" s="59"/>
      <c r="EV353" s="61"/>
      <c r="EW353" s="59"/>
      <c r="EX353" s="61"/>
      <c r="EY353" s="59"/>
      <c r="EZ353" s="558"/>
      <c r="FA353" s="59"/>
      <c r="FB353" s="59"/>
      <c r="FC353" s="59"/>
      <c r="FD353" s="59"/>
      <c r="FE353" s="60"/>
      <c r="FF353" s="59"/>
      <c r="FG353" s="60"/>
      <c r="FH353" s="59"/>
      <c r="FI353" s="60"/>
      <c r="FJ353" s="59"/>
      <c r="FK353" s="60"/>
      <c r="FL353" s="59"/>
      <c r="FM353" s="61"/>
      <c r="FN353" s="59"/>
      <c r="FO353" s="61"/>
      <c r="FP353" s="62"/>
      <c r="FQ353" s="61"/>
      <c r="FR353" s="62"/>
      <c r="FS353" s="61"/>
      <c r="FT353" s="62"/>
      <c r="FU353" s="61"/>
      <c r="FV353" s="62"/>
      <c r="FW353" s="61"/>
      <c r="FX353" s="62"/>
      <c r="FY353" s="61"/>
      <c r="FZ353" s="62"/>
      <c r="GA353" s="61"/>
      <c r="GB353" s="62"/>
      <c r="GC353" s="61"/>
      <c r="GD353" s="62"/>
      <c r="GE353" s="61"/>
      <c r="GF353" s="62"/>
      <c r="GG353" s="61"/>
      <c r="GH353" s="62"/>
      <c r="GI353" s="61"/>
      <c r="GJ353" s="62"/>
      <c r="GK353" s="61"/>
      <c r="GL353" s="62"/>
      <c r="GM353" s="61"/>
      <c r="GN353" s="62"/>
      <c r="GO353" s="61"/>
      <c r="GP353" s="62"/>
      <c r="GQ353" s="61"/>
      <c r="GR353" s="59"/>
      <c r="GS353" s="61"/>
      <c r="GT353" s="59"/>
      <c r="GU353" s="61"/>
      <c r="GV353" s="59"/>
      <c r="GW353" s="61"/>
      <c r="GX353" s="59"/>
      <c r="GY353" s="61"/>
      <c r="GZ353" s="61" t="str">
        <f t="shared" si="2263"/>
        <v/>
      </c>
      <c r="HA353" s="61"/>
      <c r="HB353" s="452"/>
      <c r="HC353"/>
      <c r="HD353"/>
      <c r="HE353"/>
      <c r="HF353"/>
      <c r="HG353"/>
      <c r="HH353"/>
    </row>
    <row r="354" spans="1:216" s="471" customFormat="1" ht="12.75" hidden="1" customHeight="1" outlineLevel="1" x14ac:dyDescent="0.2">
      <c r="B354" s="478" t="s">
        <v>110</v>
      </c>
      <c r="C354" s="479"/>
      <c r="D354" s="480"/>
      <c r="E354" s="479"/>
      <c r="F354" s="479"/>
      <c r="G354" s="483"/>
      <c r="H354" s="479"/>
      <c r="I354" s="483"/>
      <c r="J354" s="479"/>
      <c r="K354" s="483"/>
      <c r="L354" s="481"/>
      <c r="M354" s="479"/>
      <c r="N354" s="481"/>
      <c r="O354" s="483"/>
      <c r="P354" s="481"/>
      <c r="Q354" s="483"/>
      <c r="R354" s="481"/>
      <c r="S354" s="483"/>
      <c r="T354" s="481"/>
      <c r="U354" s="483"/>
      <c r="V354" s="481"/>
      <c r="W354" s="483"/>
      <c r="X354" s="481"/>
      <c r="Y354" s="483"/>
      <c r="Z354" s="481"/>
      <c r="AA354" s="483"/>
      <c r="AB354" s="481"/>
      <c r="AC354" s="483"/>
      <c r="AD354" s="481"/>
      <c r="AE354" s="483"/>
      <c r="AF354" s="481"/>
      <c r="AG354" s="483"/>
      <c r="AH354" s="481"/>
      <c r="AI354" s="483"/>
      <c r="AJ354" s="481"/>
      <c r="AK354" s="483"/>
      <c r="AL354" s="481"/>
      <c r="AM354" s="483"/>
      <c r="AN354" s="481"/>
      <c r="AO354" s="483"/>
      <c r="AP354" s="481"/>
      <c r="AQ354" s="483"/>
      <c r="AR354" s="481"/>
      <c r="AS354" s="483"/>
      <c r="AT354" s="481"/>
      <c r="AU354" s="483"/>
      <c r="AV354" s="481"/>
      <c r="AW354" s="483"/>
      <c r="AX354" s="481"/>
      <c r="AY354" s="483"/>
      <c r="AZ354" s="481"/>
      <c r="BA354" s="483"/>
      <c r="BB354" s="481"/>
      <c r="BC354" s="483"/>
      <c r="BD354" s="481"/>
      <c r="BE354" s="483"/>
      <c r="BF354" s="481"/>
      <c r="BG354" s="483"/>
      <c r="BH354" s="481"/>
      <c r="BI354" s="483"/>
      <c r="BJ354" s="481"/>
      <c r="BK354" s="483"/>
      <c r="BL354" s="481"/>
      <c r="BM354" s="483"/>
      <c r="BN354" s="481"/>
      <c r="BO354" s="483"/>
      <c r="BP354" s="481"/>
      <c r="BQ354" s="483"/>
      <c r="BR354" s="481"/>
      <c r="BS354" s="483"/>
      <c r="BT354" s="481"/>
      <c r="BU354" s="483"/>
      <c r="BV354" s="481"/>
      <c r="BW354" s="483"/>
      <c r="BX354" s="481"/>
      <c r="BY354" s="483"/>
      <c r="BZ354" s="481"/>
      <c r="CA354" s="483"/>
      <c r="CB354" s="481"/>
      <c r="CC354" s="483"/>
      <c r="CD354" s="481"/>
      <c r="CE354" s="483"/>
      <c r="CF354" s="481"/>
      <c r="CG354" s="483"/>
      <c r="CH354" s="481"/>
      <c r="CI354" s="483"/>
      <c r="CJ354" s="481"/>
      <c r="CK354" s="483"/>
      <c r="CL354" s="481"/>
      <c r="CM354" s="483"/>
      <c r="CN354" s="481"/>
      <c r="CO354" s="483"/>
      <c r="CP354" s="481"/>
      <c r="CQ354" s="483"/>
      <c r="CR354" s="481"/>
      <c r="CS354" s="483"/>
      <c r="CT354" s="481"/>
      <c r="CU354" s="483"/>
      <c r="CV354" s="481"/>
      <c r="CW354" s="483"/>
      <c r="CX354" s="481"/>
      <c r="CY354" s="483"/>
      <c r="CZ354" s="481"/>
      <c r="DA354" s="483"/>
      <c r="DB354" s="481"/>
      <c r="DC354" s="483"/>
      <c r="DD354" s="481"/>
      <c r="DE354" s="483"/>
      <c r="DF354" s="481"/>
      <c r="DG354" s="483"/>
      <c r="DH354" s="481"/>
      <c r="DI354" s="483"/>
      <c r="DJ354" s="481"/>
      <c r="DK354" s="483"/>
      <c r="DL354" s="481"/>
      <c r="DM354" s="483"/>
      <c r="DN354" s="481"/>
      <c r="DO354" s="483"/>
      <c r="DP354" s="481"/>
      <c r="DQ354" s="483"/>
      <c r="DR354" s="481"/>
      <c r="DS354" s="483"/>
      <c r="DT354" s="481"/>
      <c r="DU354" s="483"/>
      <c r="DV354" s="481"/>
      <c r="DW354" s="483"/>
      <c r="DX354" s="483"/>
      <c r="DY354" s="483"/>
      <c r="DZ354" s="481"/>
      <c r="EA354" s="483"/>
      <c r="EB354" s="481"/>
      <c r="EC354" s="483"/>
      <c r="ED354" s="481"/>
      <c r="EE354" s="483"/>
      <c r="EF354" s="481"/>
      <c r="EG354" s="483"/>
      <c r="EH354" s="481"/>
      <c r="EI354" s="483"/>
      <c r="EJ354" s="481"/>
      <c r="EK354" s="483"/>
      <c r="EL354" s="481"/>
      <c r="EM354" s="483"/>
      <c r="EN354" s="481"/>
      <c r="EO354" s="483"/>
      <c r="EP354" s="481"/>
      <c r="EQ354" s="483"/>
      <c r="ER354" s="481"/>
      <c r="ES354" s="483"/>
      <c r="ET354" s="481"/>
      <c r="EU354" s="483"/>
      <c r="EV354" s="481"/>
      <c r="EW354" s="483"/>
      <c r="EX354" s="481"/>
      <c r="EY354" s="482"/>
      <c r="EZ354" s="558"/>
      <c r="FA354" s="482"/>
      <c r="FB354" s="479"/>
      <c r="FC354" s="479"/>
      <c r="FD354" s="479"/>
      <c r="FE354" s="480"/>
      <c r="FF354" s="479"/>
      <c r="FG354" s="480"/>
      <c r="FH354" s="479"/>
      <c r="FI354" s="480"/>
      <c r="FJ354" s="479"/>
      <c r="FK354" s="480"/>
      <c r="FL354" s="479"/>
      <c r="FM354" s="481"/>
      <c r="FN354" s="479"/>
      <c r="FO354" s="481"/>
      <c r="FP354" s="483"/>
      <c r="FQ354" s="481"/>
      <c r="FR354" s="483"/>
      <c r="FS354" s="489"/>
      <c r="FT354" s="483"/>
      <c r="FU354" s="489"/>
      <c r="FV354" s="483"/>
      <c r="FW354" s="489"/>
      <c r="FX354" s="483"/>
      <c r="FY354" s="489"/>
      <c r="FZ354" s="483"/>
      <c r="GA354" s="489"/>
      <c r="GB354" s="483"/>
      <c r="GC354" s="489"/>
      <c r="GD354" s="483"/>
      <c r="GE354" s="489"/>
      <c r="GF354" s="483"/>
      <c r="GG354" s="489"/>
      <c r="GH354" s="483"/>
      <c r="GI354" s="489"/>
      <c r="GJ354" s="483"/>
      <c r="GK354" s="489"/>
      <c r="GL354" s="483"/>
      <c r="GM354" s="489"/>
      <c r="GN354" s="483"/>
      <c r="GO354" s="489"/>
      <c r="GP354" s="483"/>
      <c r="GQ354" s="489"/>
      <c r="GR354" s="483"/>
      <c r="GS354" s="489"/>
      <c r="GT354" s="483"/>
      <c r="GU354" s="489"/>
      <c r="GV354" s="483"/>
      <c r="GW354" s="489"/>
      <c r="GX354" s="483"/>
      <c r="GY354" s="489"/>
      <c r="GZ354" s="489" t="str">
        <f t="shared" si="2263"/>
        <v/>
      </c>
      <c r="HA354" s="489"/>
      <c r="HB354" s="485"/>
      <c r="HC354"/>
      <c r="HD354"/>
      <c r="HE354"/>
      <c r="HF354"/>
      <c r="HG354"/>
      <c r="HH354"/>
    </row>
    <row r="355" spans="1:216" s="5" customFormat="1" ht="12.75" hidden="1" customHeight="1" outlineLevel="1" x14ac:dyDescent="0.2">
      <c r="B355" s="58"/>
      <c r="C355" s="59"/>
      <c r="D355" s="60"/>
      <c r="E355" s="59"/>
      <c r="F355" s="59"/>
      <c r="G355" s="64"/>
      <c r="H355" s="59"/>
      <c r="I355" s="64"/>
      <c r="J355" s="59"/>
      <c r="K355" s="64"/>
      <c r="L355" s="61"/>
      <c r="M355" s="59"/>
      <c r="N355" s="61"/>
      <c r="O355" s="64"/>
      <c r="P355" s="61"/>
      <c r="Q355" s="64"/>
      <c r="R355" s="61"/>
      <c r="S355" s="64"/>
      <c r="T355" s="61"/>
      <c r="U355" s="64"/>
      <c r="V355" s="61"/>
      <c r="W355" s="64"/>
      <c r="X355" s="61"/>
      <c r="Y355" s="64"/>
      <c r="Z355" s="61"/>
      <c r="AA355" s="64"/>
      <c r="AB355" s="61"/>
      <c r="AC355" s="64"/>
      <c r="AD355" s="61"/>
      <c r="AE355" s="64"/>
      <c r="AF355" s="61"/>
      <c r="AG355" s="64"/>
      <c r="AH355" s="61"/>
      <c r="AI355" s="64"/>
      <c r="AJ355" s="61"/>
      <c r="AK355" s="64"/>
      <c r="AL355" s="61"/>
      <c r="AM355" s="64"/>
      <c r="AN355" s="61"/>
      <c r="AO355" s="64"/>
      <c r="AP355" s="61"/>
      <c r="AQ355" s="64"/>
      <c r="AR355" s="61"/>
      <c r="AS355" s="64"/>
      <c r="AT355" s="61"/>
      <c r="AU355" s="64"/>
      <c r="AV355" s="61"/>
      <c r="AW355" s="64"/>
      <c r="AX355" s="61"/>
      <c r="AY355" s="64"/>
      <c r="AZ355" s="61"/>
      <c r="BA355" s="64"/>
      <c r="BB355" s="61"/>
      <c r="BC355" s="64"/>
      <c r="BD355" s="61"/>
      <c r="BE355" s="64"/>
      <c r="BF355" s="61"/>
      <c r="BG355" s="64"/>
      <c r="BH355" s="61"/>
      <c r="BI355" s="64"/>
      <c r="BJ355" s="61"/>
      <c r="BK355" s="64"/>
      <c r="BL355" s="61"/>
      <c r="BM355" s="64"/>
      <c r="BN355" s="61"/>
      <c r="BO355" s="64"/>
      <c r="BP355" s="61"/>
      <c r="BQ355" s="64"/>
      <c r="BR355" s="61"/>
      <c r="BS355" s="64"/>
      <c r="BT355" s="61"/>
      <c r="BU355" s="64"/>
      <c r="BV355" s="61"/>
      <c r="BW355" s="64"/>
      <c r="BX355" s="61"/>
      <c r="BY355" s="64"/>
      <c r="BZ355" s="61"/>
      <c r="CA355" s="64"/>
      <c r="CB355" s="61"/>
      <c r="CC355" s="64"/>
      <c r="CD355" s="61"/>
      <c r="CE355" s="64"/>
      <c r="CF355" s="61"/>
      <c r="CG355" s="64"/>
      <c r="CH355" s="61"/>
      <c r="CI355" s="64"/>
      <c r="CJ355" s="61"/>
      <c r="CK355" s="64"/>
      <c r="CL355" s="61"/>
      <c r="CM355" s="64"/>
      <c r="CN355" s="61"/>
      <c r="CO355" s="64"/>
      <c r="CP355" s="61"/>
      <c r="CQ355" s="64"/>
      <c r="CR355" s="61"/>
      <c r="CS355" s="64"/>
      <c r="CT355" s="61"/>
      <c r="CU355" s="64"/>
      <c r="CV355" s="61"/>
      <c r="CW355" s="64"/>
      <c r="CX355" s="61"/>
      <c r="CY355" s="64"/>
      <c r="CZ355" s="61"/>
      <c r="DA355" s="64"/>
      <c r="DB355" s="61"/>
      <c r="DC355" s="64"/>
      <c r="DD355" s="61"/>
      <c r="DE355" s="64"/>
      <c r="DF355" s="61"/>
      <c r="DG355" s="64"/>
      <c r="DH355" s="61"/>
      <c r="DI355" s="64"/>
      <c r="DJ355" s="61"/>
      <c r="DK355" s="64"/>
      <c r="DL355" s="61"/>
      <c r="DM355" s="64"/>
      <c r="DN355" s="61"/>
      <c r="DO355" s="64"/>
      <c r="DP355" s="61"/>
      <c r="DQ355" s="64"/>
      <c r="DR355" s="61"/>
      <c r="DS355" s="64"/>
      <c r="DT355" s="61"/>
      <c r="DU355" s="64"/>
      <c r="DV355" s="61"/>
      <c r="DW355" s="64"/>
      <c r="DX355" s="64"/>
      <c r="DY355" s="64"/>
      <c r="DZ355" s="61"/>
      <c r="EA355" s="64"/>
      <c r="EB355" s="61"/>
      <c r="EC355" s="64"/>
      <c r="ED355" s="61"/>
      <c r="EE355" s="64"/>
      <c r="EF355" s="61"/>
      <c r="EG355" s="64"/>
      <c r="EH355" s="61"/>
      <c r="EI355" s="64"/>
      <c r="EJ355" s="61"/>
      <c r="EK355" s="64"/>
      <c r="EL355" s="61"/>
      <c r="EM355" s="64"/>
      <c r="EN355" s="61"/>
      <c r="EO355" s="64"/>
      <c r="EP355" s="61"/>
      <c r="EQ355" s="64"/>
      <c r="ER355" s="61"/>
      <c r="ES355" s="64"/>
      <c r="ET355" s="61"/>
      <c r="EU355" s="64"/>
      <c r="EV355" s="61"/>
      <c r="EW355" s="64"/>
      <c r="EX355" s="61"/>
      <c r="EY355" s="64"/>
      <c r="EZ355" s="558"/>
      <c r="FA355" s="64"/>
      <c r="FB355" s="66"/>
      <c r="FC355" s="59"/>
      <c r="FD355" s="66"/>
      <c r="FE355" s="60"/>
      <c r="FF355" s="66"/>
      <c r="FG355" s="60"/>
      <c r="FH355" s="66"/>
      <c r="FI355" s="60"/>
      <c r="FJ355" s="66"/>
      <c r="FK355" s="60"/>
      <c r="FL355" s="66"/>
      <c r="FM355" s="61"/>
      <c r="FN355" s="66"/>
      <c r="FO355" s="61"/>
      <c r="FP355" s="65"/>
      <c r="FQ355" s="61"/>
      <c r="FR355" s="65"/>
      <c r="FS355" s="61"/>
      <c r="FT355" s="65"/>
      <c r="FU355" s="61"/>
      <c r="FV355" s="65"/>
      <c r="FW355" s="61"/>
      <c r="FX355" s="65"/>
      <c r="FY355" s="61"/>
      <c r="FZ355" s="65"/>
      <c r="GA355" s="61"/>
      <c r="GB355" s="65"/>
      <c r="GC355" s="61"/>
      <c r="GD355" s="65"/>
      <c r="GE355" s="61"/>
      <c r="GF355" s="65"/>
      <c r="GG355" s="61"/>
      <c r="GH355" s="65"/>
      <c r="GI355" s="61"/>
      <c r="GJ355" s="65"/>
      <c r="GK355" s="61"/>
      <c r="GL355" s="65"/>
      <c r="GM355" s="61"/>
      <c r="GN355" s="65"/>
      <c r="GO355" s="61"/>
      <c r="GP355" s="65"/>
      <c r="GQ355" s="61"/>
      <c r="GR355" s="64"/>
      <c r="GS355" s="61"/>
      <c r="GT355" s="64"/>
      <c r="GU355" s="61"/>
      <c r="GV355" s="64"/>
      <c r="GW355" s="61"/>
      <c r="GX355" s="64"/>
      <c r="GY355" s="61"/>
      <c r="GZ355" s="61" t="str">
        <f t="shared" si="2263"/>
        <v/>
      </c>
      <c r="HA355" s="61"/>
      <c r="HB355" s="452"/>
      <c r="HC355"/>
      <c r="HD355"/>
      <c r="HE355"/>
      <c r="HF355"/>
      <c r="HG355"/>
      <c r="HH355"/>
    </row>
    <row r="356" spans="1:216" s="5" customFormat="1" ht="12.75" hidden="1" customHeight="1" outlineLevel="1" x14ac:dyDescent="0.2">
      <c r="B356" s="63" t="s">
        <v>168</v>
      </c>
      <c r="C356" s="66"/>
      <c r="D356" s="67"/>
      <c r="E356" s="66"/>
      <c r="F356" s="66"/>
      <c r="G356" s="64"/>
      <c r="H356" s="66"/>
      <c r="I356" s="64"/>
      <c r="J356" s="66"/>
      <c r="K356" s="64"/>
      <c r="L356" s="61"/>
      <c r="M356" s="66"/>
      <c r="N356" s="61"/>
      <c r="O356" s="64"/>
      <c r="P356" s="61"/>
      <c r="Q356" s="64"/>
      <c r="R356" s="61"/>
      <c r="S356" s="64"/>
      <c r="T356" s="61"/>
      <c r="U356" s="64"/>
      <c r="V356" s="61"/>
      <c r="W356" s="64"/>
      <c r="X356" s="61"/>
      <c r="Y356" s="64"/>
      <c r="Z356" s="61"/>
      <c r="AA356" s="64"/>
      <c r="AB356" s="61"/>
      <c r="AC356" s="64"/>
      <c r="AD356" s="61"/>
      <c r="AE356" s="64"/>
      <c r="AF356" s="61"/>
      <c r="AG356" s="64"/>
      <c r="AH356" s="61"/>
      <c r="AI356" s="64"/>
      <c r="AJ356" s="61"/>
      <c r="AK356" s="64"/>
      <c r="AL356" s="61"/>
      <c r="AM356" s="64"/>
      <c r="AN356" s="61"/>
      <c r="AO356" s="64"/>
      <c r="AP356" s="61"/>
      <c r="AQ356" s="64"/>
      <c r="AR356" s="61"/>
      <c r="AS356" s="64"/>
      <c r="AT356" s="61"/>
      <c r="AU356" s="64"/>
      <c r="AV356" s="61"/>
      <c r="AW356" s="64"/>
      <c r="AX356" s="61"/>
      <c r="AY356" s="64"/>
      <c r="AZ356" s="61"/>
      <c r="BA356" s="64"/>
      <c r="BB356" s="61"/>
      <c r="BC356" s="64"/>
      <c r="BD356" s="61"/>
      <c r="BE356" s="64"/>
      <c r="BF356" s="61"/>
      <c r="BG356" s="64"/>
      <c r="BH356" s="61"/>
      <c r="BI356" s="64"/>
      <c r="BJ356" s="61"/>
      <c r="BK356" s="64"/>
      <c r="BL356" s="61"/>
      <c r="BM356" s="64"/>
      <c r="BN356" s="61"/>
      <c r="BO356" s="64"/>
      <c r="BP356" s="61"/>
      <c r="BQ356" s="64"/>
      <c r="BR356" s="61"/>
      <c r="BS356" s="64"/>
      <c r="BT356" s="61"/>
      <c r="BU356" s="64"/>
      <c r="BV356" s="61"/>
      <c r="BW356" s="64"/>
      <c r="BX356" s="61"/>
      <c r="BY356" s="64"/>
      <c r="BZ356" s="61"/>
      <c r="CA356" s="64"/>
      <c r="CB356" s="61"/>
      <c r="CC356" s="64"/>
      <c r="CD356" s="61"/>
      <c r="CE356" s="64"/>
      <c r="CF356" s="61"/>
      <c r="CG356" s="64"/>
      <c r="CH356" s="61"/>
      <c r="CI356" s="64"/>
      <c r="CJ356" s="61"/>
      <c r="CK356" s="64"/>
      <c r="CL356" s="61"/>
      <c r="CM356" s="64"/>
      <c r="CN356" s="61"/>
      <c r="CO356" s="64"/>
      <c r="CP356" s="61"/>
      <c r="CQ356" s="64"/>
      <c r="CR356" s="61"/>
      <c r="CS356" s="64"/>
      <c r="CT356" s="61"/>
      <c r="CU356" s="64"/>
      <c r="CV356" s="61"/>
      <c r="CW356" s="64"/>
      <c r="CX356" s="61"/>
      <c r="CY356" s="64"/>
      <c r="CZ356" s="61"/>
      <c r="DA356" s="64"/>
      <c r="DB356" s="61"/>
      <c r="DC356" s="64"/>
      <c r="DD356" s="61"/>
      <c r="DE356" s="64"/>
      <c r="DF356" s="61"/>
      <c r="DG356" s="64"/>
      <c r="DH356" s="61"/>
      <c r="DI356" s="64"/>
      <c r="DJ356" s="61"/>
      <c r="DK356" s="64"/>
      <c r="DL356" s="61"/>
      <c r="DM356" s="64"/>
      <c r="DN356" s="61"/>
      <c r="DO356" s="64"/>
      <c r="DP356" s="61"/>
      <c r="DQ356" s="64"/>
      <c r="DR356" s="61"/>
      <c r="DS356" s="64"/>
      <c r="DT356" s="61"/>
      <c r="DU356" s="64"/>
      <c r="DV356" s="61"/>
      <c r="DW356" s="64"/>
      <c r="DX356" s="64"/>
      <c r="DY356" s="64"/>
      <c r="DZ356" s="61"/>
      <c r="EA356" s="64"/>
      <c r="EB356" s="61"/>
      <c r="EC356" s="64"/>
      <c r="ED356" s="61"/>
      <c r="EE356" s="64"/>
      <c r="EF356" s="61"/>
      <c r="EG356" s="64"/>
      <c r="EH356" s="61"/>
      <c r="EI356" s="64"/>
      <c r="EJ356" s="61"/>
      <c r="EK356" s="64"/>
      <c r="EL356" s="61"/>
      <c r="EM356" s="64"/>
      <c r="EN356" s="61"/>
      <c r="EO356" s="64"/>
      <c r="EP356" s="61"/>
      <c r="EQ356" s="64"/>
      <c r="ER356" s="61"/>
      <c r="ES356" s="64"/>
      <c r="ET356" s="61"/>
      <c r="EU356" s="64"/>
      <c r="EV356" s="61"/>
      <c r="EW356" s="64"/>
      <c r="EX356" s="61"/>
      <c r="EY356" s="64"/>
      <c r="EZ356" s="558"/>
      <c r="FA356" s="64"/>
      <c r="FB356" s="66"/>
      <c r="FC356" s="66"/>
      <c r="FD356" s="66"/>
      <c r="FE356" s="67"/>
      <c r="FF356" s="66"/>
      <c r="FG356" s="67"/>
      <c r="FH356" s="66"/>
      <c r="FI356" s="67"/>
      <c r="FJ356" s="66"/>
      <c r="FK356" s="67"/>
      <c r="FL356" s="66"/>
      <c r="FM356" s="61"/>
      <c r="FN356" s="66"/>
      <c r="FO356" s="61"/>
      <c r="FP356" s="65"/>
      <c r="FQ356" s="61"/>
      <c r="FR356" s="65"/>
      <c r="FS356" s="61"/>
      <c r="FT356" s="65"/>
      <c r="FU356" s="61"/>
      <c r="FV356" s="65"/>
      <c r="FW356" s="61"/>
      <c r="FX356" s="65"/>
      <c r="FY356" s="61"/>
      <c r="FZ356" s="65"/>
      <c r="GA356" s="61"/>
      <c r="GB356" s="65"/>
      <c r="GC356" s="61"/>
      <c r="GD356" s="65"/>
      <c r="GE356" s="61"/>
      <c r="GF356" s="65"/>
      <c r="GG356" s="61"/>
      <c r="GH356" s="65"/>
      <c r="GI356" s="61"/>
      <c r="GJ356" s="65"/>
      <c r="GK356" s="61"/>
      <c r="GL356" s="65"/>
      <c r="GM356" s="61"/>
      <c r="GN356" s="65"/>
      <c r="GO356" s="61"/>
      <c r="GP356" s="65"/>
      <c r="GQ356" s="61"/>
      <c r="GR356" s="64"/>
      <c r="GS356" s="61"/>
      <c r="GT356" s="64"/>
      <c r="GU356" s="61"/>
      <c r="GV356" s="64"/>
      <c r="GW356" s="61"/>
      <c r="GX356" s="64"/>
      <c r="GY356" s="61"/>
      <c r="GZ356" s="61" t="str">
        <f t="shared" si="2263"/>
        <v/>
      </c>
      <c r="HA356" s="61"/>
      <c r="HB356" s="452"/>
      <c r="HC356"/>
      <c r="HD356"/>
      <c r="HE356"/>
      <c r="HF356"/>
      <c r="HG356"/>
      <c r="HH356"/>
    </row>
    <row r="357" spans="1:216" s="5" customFormat="1" ht="12.75" hidden="1" customHeight="1" outlineLevel="1" x14ac:dyDescent="0.2">
      <c r="B357" s="2" t="s">
        <v>345</v>
      </c>
      <c r="C357" s="69"/>
      <c r="D357" s="70"/>
      <c r="E357" s="69"/>
      <c r="F357" s="71"/>
      <c r="G357" s="69"/>
      <c r="H357" s="71"/>
      <c r="I357" s="69"/>
      <c r="J357" s="61"/>
      <c r="K357" s="69"/>
      <c r="L357" s="61"/>
      <c r="M357" s="73"/>
      <c r="N357" s="61"/>
      <c r="O357" s="73"/>
      <c r="P357" s="61"/>
      <c r="Q357" s="73"/>
      <c r="R357" s="61"/>
      <c r="S357" s="73"/>
      <c r="T357" s="61"/>
      <c r="U357" s="69"/>
      <c r="V357" s="61"/>
      <c r="W357" s="73"/>
      <c r="X357" s="61"/>
      <c r="Y357" s="73"/>
      <c r="Z357" s="61"/>
      <c r="AA357" s="73"/>
      <c r="AB357" s="61"/>
      <c r="AC357" s="73"/>
      <c r="AD357" s="61"/>
      <c r="AE357" s="73"/>
      <c r="AF357" s="61"/>
      <c r="AG357" s="73"/>
      <c r="AH357" s="61"/>
      <c r="AI357" s="73"/>
      <c r="AJ357" s="61"/>
      <c r="AK357" s="73"/>
      <c r="AL357" s="61"/>
      <c r="AM357" s="73"/>
      <c r="AN357" s="61"/>
      <c r="AO357" s="73"/>
      <c r="AP357" s="61"/>
      <c r="AQ357" s="72">
        <f>32735+24396</f>
        <v>57131</v>
      </c>
      <c r="AR357" s="61" t="str">
        <f t="shared" ref="AR357:AR364" si="2272">IF(ISERROR((AQ357/AI357-1)*100),"NA",IF(((AQ357/AI357-1)*100)&gt;100,"NM",IF(((AQ357/AI357-1)*100)&lt;-50,"NM",(AQ357/AI357-1)*100)))</f>
        <v>NA</v>
      </c>
      <c r="AS357" s="73">
        <f>AQ363</f>
        <v>59080</v>
      </c>
      <c r="AT357" s="61" t="str">
        <f t="shared" ref="AT357:AT364" si="2273">IF(ISERROR((AS357/AK357-1)*100),"NA",IF(((AS357/AK357-1)*100)&gt;100,"NM",IF(((AS357/AK357-1)*100)&lt;-50,"NM",(AS357/AK357-1)*100)))</f>
        <v>NA</v>
      </c>
      <c r="AU357" s="73">
        <f>AS363</f>
        <v>66851</v>
      </c>
      <c r="AV357" s="61" t="str">
        <f t="shared" ref="AV357:AX364" si="2274">IF(ISERROR((AU357/AM357-1)*100),"NA",IF(((AU357/AM357-1)*100)&gt;100,"NM",IF(((AU357/AM357-1)*100)&lt;-50,"NM",(AU357/AM357-1)*100)))</f>
        <v>NA</v>
      </c>
      <c r="AW357" s="73">
        <f>AU363</f>
        <v>73274</v>
      </c>
      <c r="AX357" s="61" t="str">
        <f t="shared" si="2274"/>
        <v>NA</v>
      </c>
      <c r="AY357" s="73">
        <f>AW363</f>
        <v>77633</v>
      </c>
      <c r="AZ357" s="61">
        <f t="shared" ref="AZ357:AZ364" si="2275">IF(ISERROR((AY357/AQ357-1)*100),"NA",IF(((AY357/AQ357-1)*100)&gt;100,"NM",IF(((AY357/AQ357-1)*100)&lt;-50,"NM",(AY357/AQ357-1)*100)))</f>
        <v>35.885946333864283</v>
      </c>
      <c r="BA357" s="73">
        <f>AY363</f>
        <v>86428</v>
      </c>
      <c r="BB357" s="61">
        <f t="shared" ref="BB357:BB364" si="2276">IF(ISERROR((BA357/AS357-1)*100),"NA",IF(((BA357/AS357-1)*100)&gt;100,"NM",IF(((BA357/AS357-1)*100)&lt;-50,"NM",(BA357/AS357-1)*100)))</f>
        <v>46.289776574136752</v>
      </c>
      <c r="BC357" s="73">
        <f>BA363</f>
        <v>85924</v>
      </c>
      <c r="BD357" s="61">
        <f t="shared" ref="BD357:BD364" si="2277">IF(ISERROR((BC357/AU357-1)*100),"NA",IF(((BC357/AU357-1)*100)&gt;100,"NM",IF(((BC357/AU357-1)*100)&lt;-50,"NM",(BC357/AU357-1)*100)))</f>
        <v>28.530612855454663</v>
      </c>
      <c r="BE357" s="73">
        <f>BC363</f>
        <v>89511</v>
      </c>
      <c r="BF357" s="61">
        <f t="shared" ref="BF357:BF364" si="2278">IF(ISERROR((BE357/AW357-1)*100),"NA",IF(((BE357/AW357-1)*100)&gt;100,"NM",IF(((BE357/AW357-1)*100)&lt;-50,"NM",(BE357/AW357-1)*100)))</f>
        <v>22.159292518492222</v>
      </c>
      <c r="BG357" s="73">
        <f>BG363-BG362-BG361-BG360-BG359-BG358</f>
        <v>93730</v>
      </c>
      <c r="BH357" s="61">
        <f t="shared" ref="BH357:BH364" si="2279">IF(ISERROR((BG357/AY357-1)*100),"NA",IF(((BG357/AY357-1)*100)&gt;100,"NM",IF(((BG357/AY357-1)*100)&lt;-50,"NM",(BG357/AY357-1)*100)))</f>
        <v>20.734739092911525</v>
      </c>
      <c r="BI357" s="73">
        <f>BI363-BI362-BI361-BI360-BI359-BI358</f>
        <v>95722</v>
      </c>
      <c r="BJ357" s="61">
        <f t="shared" ref="BJ357:BJ364" si="2280">IF(ISERROR((BI357/BA357-1)*100),"NA",IF(((BI357/BA357-1)*100)&gt;100,"NM",IF(((BI357/BA357-1)*100)&lt;-50,"NM",(BI357/BA357-1)*100)))</f>
        <v>10.753459527005127</v>
      </c>
      <c r="BK357" s="73">
        <f>BK363-BK362-BK361-BK360-BK359-BK358</f>
        <v>97714</v>
      </c>
      <c r="BL357" s="61">
        <f t="shared" ref="BL357:BL364" si="2281">IF(ISERROR((BK357/BC357-1)*100),"NA",IF(((BK357/BC357-1)*100)&gt;100,"NM",IF(((BK357/BC357-1)*100)&lt;-50,"NM",(BK357/BC357-1)*100)))</f>
        <v>13.721428238908807</v>
      </c>
      <c r="BM357" s="73">
        <f>BM363-BM362-BM361-BM360-BM359-BM358</f>
        <v>99706</v>
      </c>
      <c r="BN357" s="61">
        <f t="shared" ref="BN357:BN364" si="2282">IF(ISERROR((BM357/BE357-1)*100),"NA",IF(((BM357/BE357-1)*100)&gt;100,"NM",IF(((BM357/BE357-1)*100)&lt;-50,"NM",(BM357/BE357-1)*100)))</f>
        <v>11.389661605836142</v>
      </c>
      <c r="BO357" s="73">
        <v>85357</v>
      </c>
      <c r="BP357" s="61">
        <f t="shared" ref="BP357:BP364" si="2283">IF(ISERROR((BO357/BG357-1)*100),"NA",IF(((BO357/BG357-1)*100)&gt;100,"NM",IF(((BO357/BG357-1)*100)&lt;-50,"NM",(BO357/BG357-1)*100)))</f>
        <v>-8.933105729222234</v>
      </c>
      <c r="BQ357" s="73">
        <f>BO363</f>
        <v>78538</v>
      </c>
      <c r="BR357" s="61">
        <f t="shared" ref="BR357:BR364" si="2284">IF(ISERROR((BQ357/BI357-1)*100),"NA",IF(((BQ357/BI357-1)*100)&gt;100,"NM",IF(((BQ357/BI357-1)*100)&lt;-50,"NM",(BQ357/BI357-1)*100)))</f>
        <v>-17.95198595934059</v>
      </c>
      <c r="BS357" s="73">
        <f>BQ363</f>
        <v>75691</v>
      </c>
      <c r="BT357" s="61">
        <f t="shared" ref="BT357:BT364" si="2285">IF(ISERROR((BS357/BK357-1)*100),"NA",IF(((BS357/BK357-1)*100)&gt;100,"NM",IF(((BS357/BK357-1)*100)&lt;-50,"NM",(BS357/BK357-1)*100)))</f>
        <v>-22.538223795976009</v>
      </c>
      <c r="BU357" s="73">
        <f>BS363</f>
        <v>66599</v>
      </c>
      <c r="BV357" s="61">
        <f t="shared" ref="BV357:BV364" si="2286">IF(ISERROR((BU357/BM357-1)*100),"NA",IF(((BU357/BM357-1)*100)&gt;100,"NM",IF(((BU357/BM357-1)*100)&lt;-50,"NM",(BU357/BM357-1)*100)))</f>
        <v>-33.204621587467152</v>
      </c>
      <c r="BW357" s="73">
        <f>BU363</f>
        <v>54542</v>
      </c>
      <c r="BX357" s="61">
        <f t="shared" ref="BX357:BX364" si="2287">IF(ISERROR((BW357/BO357-1)*100),"NA",IF(((BW357/BO357-1)*100)&gt;100,"NM",IF(((BW357/BO357-1)*100)&lt;-50,"NM",(BW357/BO357-1)*100)))</f>
        <v>-36.10131565073749</v>
      </c>
      <c r="BY357" s="73">
        <f>BW363</f>
        <v>51810</v>
      </c>
      <c r="BZ357" s="61">
        <f t="shared" ref="BZ357:BZ364" si="2288">IF(ISERROR((BY357/BQ357-1)*100),"NA",IF(((BY357/BQ357-1)*100)&gt;100,"NM",IF(((BY357/BQ357-1)*100)&lt;-50,"NM",(BY357/BQ357-1)*100)))</f>
        <v>-34.031933586289441</v>
      </c>
      <c r="CA357" s="73"/>
      <c r="CB357" s="61"/>
      <c r="CC357" s="73"/>
      <c r="CD357" s="61"/>
      <c r="CE357" s="73"/>
      <c r="CF357" s="61"/>
      <c r="CG357" s="73"/>
      <c r="CH357" s="61"/>
      <c r="CI357" s="73"/>
      <c r="CJ357" s="61"/>
      <c r="CK357" s="73"/>
      <c r="CL357" s="61"/>
      <c r="CM357" s="73"/>
      <c r="CN357" s="61"/>
      <c r="CO357" s="73"/>
      <c r="CP357" s="61"/>
      <c r="CQ357" s="73"/>
      <c r="CR357" s="61"/>
      <c r="CS357" s="73"/>
      <c r="CT357" s="61"/>
      <c r="CU357" s="73"/>
      <c r="CV357" s="61"/>
      <c r="CW357" s="73"/>
      <c r="CX357" s="61"/>
      <c r="CY357" s="73"/>
      <c r="CZ357" s="61"/>
      <c r="DA357" s="73"/>
      <c r="DB357" s="61"/>
      <c r="DC357" s="73"/>
      <c r="DD357" s="61"/>
      <c r="DE357" s="73"/>
      <c r="DF357" s="61"/>
      <c r="DG357" s="73"/>
      <c r="DH357" s="61"/>
      <c r="DI357" s="73"/>
      <c r="DJ357" s="61"/>
      <c r="DK357" s="73"/>
      <c r="DL357" s="61"/>
      <c r="DM357" s="73"/>
      <c r="DN357" s="61"/>
      <c r="DO357" s="73"/>
      <c r="DP357" s="61"/>
      <c r="DQ357" s="73"/>
      <c r="DR357" s="61"/>
      <c r="DS357" s="73"/>
      <c r="DT357" s="61"/>
      <c r="DU357" s="73"/>
      <c r="DV357" s="61"/>
      <c r="DW357" s="73"/>
      <c r="DX357" s="73"/>
      <c r="DY357" s="73"/>
      <c r="DZ357" s="61"/>
      <c r="EA357" s="73"/>
      <c r="EB357" s="61"/>
      <c r="EC357" s="73"/>
      <c r="ED357" s="61"/>
      <c r="EE357" s="73"/>
      <c r="EF357" s="61"/>
      <c r="EG357" s="73"/>
      <c r="EH357" s="61"/>
      <c r="EI357" s="73"/>
      <c r="EJ357" s="61"/>
      <c r="EK357" s="73"/>
      <c r="EL357" s="61"/>
      <c r="EM357" s="73"/>
      <c r="EN357" s="61"/>
      <c r="EO357" s="73"/>
      <c r="EP357" s="61"/>
      <c r="EQ357" s="69"/>
      <c r="ER357" s="61"/>
      <c r="ES357" s="69"/>
      <c r="ET357" s="61"/>
      <c r="EU357" s="69"/>
      <c r="EV357" s="61"/>
      <c r="EW357" s="69"/>
      <c r="EX357" s="61"/>
      <c r="EY357" s="64"/>
      <c r="EZ357" s="558"/>
      <c r="FA357" s="64"/>
      <c r="FB357" s="72"/>
      <c r="FC357" s="61"/>
      <c r="FD357" s="69"/>
      <c r="FE357" s="61"/>
      <c r="FF357" s="69"/>
      <c r="FG357" s="61"/>
      <c r="FH357" s="69"/>
      <c r="FI357" s="61"/>
      <c r="FJ357" s="69"/>
      <c r="FK357" s="61"/>
      <c r="FL357" s="69"/>
      <c r="FM357" s="61"/>
      <c r="FN357" s="69"/>
      <c r="FO357" s="61"/>
      <c r="FP357" s="73">
        <f>AQ357</f>
        <v>57131</v>
      </c>
      <c r="FQ357" s="61" t="str">
        <f t="shared" ref="FQ357:FQ364" si="2289">IF(ISERROR((FP357/FN357-1)*100),"NA",IF(((FP357/FN357-1)*100)&gt;100,"NM",IF(((FP357/FN357-1)*100)&lt;-50,"NM",(FP357/FN357-1)*100)))</f>
        <v>NA</v>
      </c>
      <c r="FR357" s="73">
        <f>FP363</f>
        <v>77633</v>
      </c>
      <c r="FS357" s="61">
        <f t="shared" ref="FS357:FS364" si="2290">IF(ISERROR((FR357/FP357-1)*100),"NA",IF(((FR357/FP357-1)*100)&gt;100,"NM",IF(((FR357/FP357-1)*100)&lt;-50,"NM",(FR357/FP357-1)*100)))</f>
        <v>35.885946333864283</v>
      </c>
      <c r="FT357" s="73">
        <v>93730</v>
      </c>
      <c r="FU357" s="61">
        <f t="shared" ref="FU357:FU364" si="2291">IF(ISERROR((FT357/FR357-1)*100),"NA",IF(((FT357/FR357-1)*100)&gt;100,"NM",IF(((FT357/FR357-1)*100)&lt;-50,"NM",(FT357/FR357-1)*100)))</f>
        <v>20.734739092911525</v>
      </c>
      <c r="FV357" s="73">
        <f>FT363</f>
        <v>85357</v>
      </c>
      <c r="FW357" s="61">
        <f t="shared" ref="FW357:FW364" si="2292">IF(ISERROR((FV357/FT357-1)*100),"NA",IF(((FV357/FT357-1)*100)&gt;100,"NM",IF(((FV357/FT357-1)*100)&lt;-50,"NM",(FV357/FT357-1)*100)))</f>
        <v>-8.933105729222234</v>
      </c>
      <c r="FX357" s="73">
        <f>FV363</f>
        <v>54542</v>
      </c>
      <c r="FY357" s="61">
        <f t="shared" ref="FY357:FY364" si="2293">IF(ISERROR((FX357/FV357-1)*100),"NA",IF(((FX357/FV357-1)*100)&gt;100,"NM",IF(((FX357/FV357-1)*100)&lt;-50,"NM",(FX357/FV357-1)*100)))</f>
        <v>-36.10131565073749</v>
      </c>
      <c r="FZ357" s="73"/>
      <c r="GA357" s="61"/>
      <c r="GB357" s="73"/>
      <c r="GC357" s="61"/>
      <c r="GD357" s="73"/>
      <c r="GE357" s="61"/>
      <c r="GF357" s="73"/>
      <c r="GG357" s="61"/>
      <c r="GH357" s="73"/>
      <c r="GI357" s="61"/>
      <c r="GJ357" s="73"/>
      <c r="GK357" s="61"/>
      <c r="GL357" s="73"/>
      <c r="GM357" s="61"/>
      <c r="GN357" s="73"/>
      <c r="GO357" s="61"/>
      <c r="GP357" s="73"/>
      <c r="GQ357" s="61"/>
      <c r="GR357" s="69"/>
      <c r="GS357" s="61"/>
      <c r="GT357" s="69"/>
      <c r="GU357" s="61"/>
      <c r="GV357" s="69"/>
      <c r="GW357" s="61"/>
      <c r="GX357" s="69"/>
      <c r="GY357" s="61"/>
      <c r="GZ357" s="61"/>
      <c r="HA357" s="61"/>
      <c r="HB357" s="452"/>
      <c r="HC357"/>
      <c r="HD357"/>
      <c r="HE357"/>
      <c r="HF357"/>
      <c r="HG357"/>
      <c r="HH357"/>
    </row>
    <row r="358" spans="1:216" s="5" customFormat="1" ht="12.75" hidden="1" customHeight="1" outlineLevel="1" x14ac:dyDescent="0.2">
      <c r="B358" s="2" t="s">
        <v>633</v>
      </c>
      <c r="C358" s="72"/>
      <c r="D358" s="61"/>
      <c r="E358" s="72"/>
      <c r="F358" s="61"/>
      <c r="G358" s="72"/>
      <c r="H358" s="61"/>
      <c r="I358" s="72"/>
      <c r="J358" s="61"/>
      <c r="K358" s="72"/>
      <c r="L358" s="61"/>
      <c r="M358" s="72"/>
      <c r="N358" s="61"/>
      <c r="O358" s="72"/>
      <c r="P358" s="61"/>
      <c r="Q358" s="72"/>
      <c r="R358" s="61"/>
      <c r="S358" s="72"/>
      <c r="T358" s="61"/>
      <c r="U358" s="72"/>
      <c r="V358" s="61"/>
      <c r="W358" s="72"/>
      <c r="X358" s="61"/>
      <c r="Y358" s="72"/>
      <c r="Z358" s="61"/>
      <c r="AA358" s="72"/>
      <c r="AB358" s="61"/>
      <c r="AC358" s="72"/>
      <c r="AD358" s="61"/>
      <c r="AE358" s="72"/>
      <c r="AF358" s="61"/>
      <c r="AG358" s="72"/>
      <c r="AH358" s="61"/>
      <c r="AI358" s="72"/>
      <c r="AJ358" s="61"/>
      <c r="AK358" s="72"/>
      <c r="AL358" s="61"/>
      <c r="AM358" s="72"/>
      <c r="AN358" s="61"/>
      <c r="AO358" s="72"/>
      <c r="AP358" s="61"/>
      <c r="AQ358" s="72">
        <f>3566+2193</f>
        <v>5759</v>
      </c>
      <c r="AR358" s="61" t="str">
        <f t="shared" si="2272"/>
        <v>NA</v>
      </c>
      <c r="AS358" s="72">
        <f>4334+6110</f>
        <v>10444</v>
      </c>
      <c r="AT358" s="61" t="str">
        <f t="shared" si="2273"/>
        <v>NA</v>
      </c>
      <c r="AU358" s="72">
        <f>3572+3166</f>
        <v>6738</v>
      </c>
      <c r="AV358" s="61" t="str">
        <f t="shared" si="2274"/>
        <v>NA</v>
      </c>
      <c r="AW358" s="72">
        <f>3629+4833</f>
        <v>8462</v>
      </c>
      <c r="AX358" s="61" t="str">
        <f t="shared" si="2274"/>
        <v>NA</v>
      </c>
      <c r="AY358" s="72">
        <f>4019+5044</f>
        <v>9063</v>
      </c>
      <c r="AZ358" s="61">
        <f t="shared" si="2275"/>
        <v>57.371071366556706</v>
      </c>
      <c r="BA358" s="72">
        <f>3282+2764</f>
        <v>6046</v>
      </c>
      <c r="BB358" s="61">
        <f t="shared" si="2276"/>
        <v>-42.110302566066636</v>
      </c>
      <c r="BC358" s="72">
        <f>2497+2406</f>
        <v>4903</v>
      </c>
      <c r="BD358" s="61">
        <f t="shared" si="2277"/>
        <v>-27.233600474918372</v>
      </c>
      <c r="BE358" s="72">
        <f>3192+4888</f>
        <v>8080</v>
      </c>
      <c r="BF358" s="61">
        <f t="shared" si="2278"/>
        <v>-4.5142992200425391</v>
      </c>
      <c r="BG358" s="72">
        <f>2811+2934</f>
        <v>5745</v>
      </c>
      <c r="BH358" s="61">
        <f t="shared" si="2279"/>
        <v>-36.61039390930155</v>
      </c>
      <c r="BI358" s="72">
        <f>2811+2934</f>
        <v>5745</v>
      </c>
      <c r="BJ358" s="61">
        <f t="shared" si="2280"/>
        <v>-4.9784981806152873</v>
      </c>
      <c r="BK358" s="72">
        <f>2811+2934</f>
        <v>5745</v>
      </c>
      <c r="BL358" s="61">
        <f t="shared" si="2281"/>
        <v>17.173159290230466</v>
      </c>
      <c r="BM358" s="72">
        <f>3592+2230</f>
        <v>5822</v>
      </c>
      <c r="BN358" s="61">
        <f t="shared" si="2282"/>
        <v>-27.945544554455449</v>
      </c>
      <c r="BO358" s="72">
        <f>3495+1228</f>
        <v>4723</v>
      </c>
      <c r="BP358" s="61">
        <f t="shared" si="2283"/>
        <v>-17.789382071366411</v>
      </c>
      <c r="BQ358" s="72">
        <f>2596+910</f>
        <v>3506</v>
      </c>
      <c r="BR358" s="61">
        <f t="shared" si="2284"/>
        <v>-38.973020017406448</v>
      </c>
      <c r="BS358" s="72">
        <f>1290+2698</f>
        <v>3988</v>
      </c>
      <c r="BT358" s="61">
        <f t="shared" si="2285"/>
        <v>-30.583115752828547</v>
      </c>
      <c r="BU358" s="72">
        <f>2594+1186</f>
        <v>3780</v>
      </c>
      <c r="BV358" s="61">
        <f t="shared" si="2286"/>
        <v>-35.073857780831332</v>
      </c>
      <c r="BW358" s="72">
        <f>2418+2712</f>
        <v>5130</v>
      </c>
      <c r="BX358" s="61">
        <f t="shared" si="2287"/>
        <v>8.6174041922506781</v>
      </c>
      <c r="BY358" s="72">
        <f>2759+1108</f>
        <v>3867</v>
      </c>
      <c r="BZ358" s="61">
        <f t="shared" si="2288"/>
        <v>10.296634341129485</v>
      </c>
      <c r="CA358" s="72"/>
      <c r="CB358" s="61"/>
      <c r="CC358" s="72"/>
      <c r="CD358" s="61"/>
      <c r="CE358" s="72"/>
      <c r="CF358" s="61"/>
      <c r="CG358" s="72"/>
      <c r="CH358" s="61"/>
      <c r="CI358" s="72"/>
      <c r="CJ358" s="61"/>
      <c r="CK358" s="72"/>
      <c r="CL358" s="61"/>
      <c r="CM358" s="72"/>
      <c r="CN358" s="61"/>
      <c r="CO358" s="72"/>
      <c r="CP358" s="61"/>
      <c r="CQ358" s="72"/>
      <c r="CR358" s="61"/>
      <c r="CS358" s="72"/>
      <c r="CT358" s="61"/>
      <c r="CU358" s="72"/>
      <c r="CV358" s="61"/>
      <c r="CW358" s="72"/>
      <c r="CX358" s="61"/>
      <c r="CY358" s="72"/>
      <c r="CZ358" s="61"/>
      <c r="DA358" s="72"/>
      <c r="DB358" s="61"/>
      <c r="DC358" s="72"/>
      <c r="DD358" s="61"/>
      <c r="DE358" s="72"/>
      <c r="DF358" s="61"/>
      <c r="DG358" s="72"/>
      <c r="DH358" s="61"/>
      <c r="DI358" s="72"/>
      <c r="DJ358" s="61"/>
      <c r="DK358" s="72"/>
      <c r="DL358" s="61"/>
      <c r="DM358" s="72"/>
      <c r="DN358" s="61"/>
      <c r="DO358" s="72"/>
      <c r="DP358" s="61"/>
      <c r="DQ358" s="72"/>
      <c r="DR358" s="61"/>
      <c r="DS358" s="72"/>
      <c r="DT358" s="61"/>
      <c r="DU358" s="72"/>
      <c r="DV358" s="61"/>
      <c r="DW358" s="72"/>
      <c r="DX358" s="72"/>
      <c r="DY358" s="72"/>
      <c r="DZ358" s="61"/>
      <c r="EA358" s="72"/>
      <c r="EB358" s="61"/>
      <c r="EC358" s="72"/>
      <c r="ED358" s="61"/>
      <c r="EE358" s="72"/>
      <c r="EF358" s="61"/>
      <c r="EG358" s="72"/>
      <c r="EH358" s="61"/>
      <c r="EI358" s="72"/>
      <c r="EJ358" s="61"/>
      <c r="EK358" s="72"/>
      <c r="EL358" s="61"/>
      <c r="EM358" s="72"/>
      <c r="EN358" s="61"/>
      <c r="EO358" s="72"/>
      <c r="EP358" s="61"/>
      <c r="EQ358" s="72"/>
      <c r="ER358" s="61"/>
      <c r="ES358" s="72"/>
      <c r="ET358" s="61"/>
      <c r="EU358" s="72"/>
      <c r="EV358" s="61"/>
      <c r="EW358" s="72"/>
      <c r="EX358" s="61"/>
      <c r="EY358" s="64"/>
      <c r="EZ358" s="558"/>
      <c r="FA358" s="64"/>
      <c r="FB358" s="72"/>
      <c r="FC358" s="61"/>
      <c r="FD358" s="72"/>
      <c r="FE358" s="61"/>
      <c r="FF358" s="73"/>
      <c r="FG358" s="61"/>
      <c r="FH358" s="69"/>
      <c r="FI358" s="61"/>
      <c r="FJ358" s="69"/>
      <c r="FK358" s="61"/>
      <c r="FL358" s="69"/>
      <c r="FM358" s="61"/>
      <c r="FN358" s="69"/>
      <c r="FO358" s="61"/>
      <c r="FP358" s="73">
        <f>AQ358+AS358+AU358+AW358</f>
        <v>31403</v>
      </c>
      <c r="FQ358" s="61" t="str">
        <f t="shared" si="2289"/>
        <v>NA</v>
      </c>
      <c r="FR358" s="73">
        <f>AY358+BA358+BC358+BE358</f>
        <v>28092</v>
      </c>
      <c r="FS358" s="61">
        <f t="shared" si="2290"/>
        <v>-10.543578638983542</v>
      </c>
      <c r="FT358" s="73">
        <f>BG358+BI358+BK358+BM358</f>
        <v>23057</v>
      </c>
      <c r="FU358" s="61">
        <f t="shared" si="2291"/>
        <v>-17.923252171436708</v>
      </c>
      <c r="FV358" s="73">
        <f>BO358+BQ358+BS358+BU358</f>
        <v>15997</v>
      </c>
      <c r="FW358" s="61">
        <f t="shared" si="2292"/>
        <v>-30.619768400052049</v>
      </c>
      <c r="FX358" s="73">
        <f>BW358+BY358+CA358+CC358</f>
        <v>8997</v>
      </c>
      <c r="FY358" s="61">
        <f t="shared" si="2293"/>
        <v>-43.758204663374379</v>
      </c>
      <c r="FZ358" s="73"/>
      <c r="GA358" s="61"/>
      <c r="GB358" s="73"/>
      <c r="GC358" s="61"/>
      <c r="GD358" s="73"/>
      <c r="GE358" s="61"/>
      <c r="GF358" s="73"/>
      <c r="GG358" s="61"/>
      <c r="GH358" s="73"/>
      <c r="GI358" s="61"/>
      <c r="GJ358" s="73"/>
      <c r="GK358" s="61"/>
      <c r="GL358" s="73"/>
      <c r="GM358" s="61"/>
      <c r="GN358" s="73"/>
      <c r="GO358" s="61"/>
      <c r="GP358" s="73"/>
      <c r="GQ358" s="61"/>
      <c r="GR358" s="72"/>
      <c r="GS358" s="61"/>
      <c r="GT358" s="72"/>
      <c r="GU358" s="61"/>
      <c r="GV358" s="72"/>
      <c r="GW358" s="61"/>
      <c r="GX358" s="72"/>
      <c r="GY358" s="61"/>
      <c r="GZ358" s="61"/>
      <c r="HA358" s="61"/>
      <c r="HB358" s="452"/>
      <c r="HC358"/>
      <c r="HD358"/>
      <c r="HE358"/>
      <c r="HF358"/>
      <c r="HG358"/>
      <c r="HH358"/>
    </row>
    <row r="359" spans="1:216" s="5" customFormat="1" ht="12.75" hidden="1" customHeight="1" outlineLevel="1" x14ac:dyDescent="0.2">
      <c r="B359" s="2" t="s">
        <v>634</v>
      </c>
      <c r="C359" s="72"/>
      <c r="D359" s="61"/>
      <c r="E359" s="72"/>
      <c r="F359" s="61"/>
      <c r="G359" s="72"/>
      <c r="H359" s="61"/>
      <c r="I359" s="72"/>
      <c r="J359" s="61"/>
      <c r="K359" s="72"/>
      <c r="L359" s="61"/>
      <c r="M359" s="72"/>
      <c r="N359" s="61"/>
      <c r="O359" s="72"/>
      <c r="P359" s="61"/>
      <c r="Q359" s="72"/>
      <c r="R359" s="61"/>
      <c r="S359" s="72"/>
      <c r="T359" s="61"/>
      <c r="U359" s="72"/>
      <c r="V359" s="61"/>
      <c r="W359" s="72"/>
      <c r="X359" s="61"/>
      <c r="Y359" s="72"/>
      <c r="Z359" s="61"/>
      <c r="AA359" s="72"/>
      <c r="AB359" s="61"/>
      <c r="AC359" s="72"/>
      <c r="AD359" s="61"/>
      <c r="AE359" s="72"/>
      <c r="AF359" s="61"/>
      <c r="AG359" s="72"/>
      <c r="AH359" s="61"/>
      <c r="AI359" s="72"/>
      <c r="AJ359" s="61"/>
      <c r="AK359" s="72"/>
      <c r="AL359" s="61"/>
      <c r="AM359" s="72"/>
      <c r="AN359" s="61"/>
      <c r="AO359" s="72"/>
      <c r="AP359" s="61"/>
      <c r="AQ359" s="72">
        <f>-2146-850</f>
        <v>-2996</v>
      </c>
      <c r="AR359" s="61" t="str">
        <f t="shared" si="2272"/>
        <v>NA</v>
      </c>
      <c r="AS359" s="72">
        <f>-1997-2085</f>
        <v>-4082</v>
      </c>
      <c r="AT359" s="61" t="str">
        <f t="shared" si="2273"/>
        <v>NA</v>
      </c>
      <c r="AU359" s="72">
        <f>-1850-1342</f>
        <v>-3192</v>
      </c>
      <c r="AV359" s="61" t="str">
        <f t="shared" si="2274"/>
        <v>NA</v>
      </c>
      <c r="AW359" s="72">
        <f>-2479-3100</f>
        <v>-5579</v>
      </c>
      <c r="AX359" s="61" t="str">
        <f t="shared" si="2274"/>
        <v>NA</v>
      </c>
      <c r="AY359" s="72">
        <f>-2645-1454</f>
        <v>-4099</v>
      </c>
      <c r="AZ359" s="61">
        <f t="shared" si="2275"/>
        <v>36.815754339118833</v>
      </c>
      <c r="BA359" s="72">
        <f>-2959-2078</f>
        <v>-5037</v>
      </c>
      <c r="BB359" s="61">
        <f t="shared" si="2276"/>
        <v>23.39539441450269</v>
      </c>
      <c r="BC359" s="72">
        <f>-2794-1360</f>
        <v>-4154</v>
      </c>
      <c r="BD359" s="61">
        <f t="shared" si="2277"/>
        <v>30.13784461152882</v>
      </c>
      <c r="BE359" s="72">
        <f>-3330-2221</f>
        <v>-5551</v>
      </c>
      <c r="BF359" s="61">
        <f t="shared" si="2278"/>
        <v>-0.50188205771644068</v>
      </c>
      <c r="BG359" s="72">
        <f>-3144-2508</f>
        <v>-5652</v>
      </c>
      <c r="BH359" s="61">
        <f t="shared" si="2279"/>
        <v>37.887289582825076</v>
      </c>
      <c r="BI359" s="72">
        <f>-3144-2508</f>
        <v>-5652</v>
      </c>
      <c r="BJ359" s="61">
        <f t="shared" si="2280"/>
        <v>12.209648600357358</v>
      </c>
      <c r="BK359" s="72">
        <f>-3144-2508</f>
        <v>-5652</v>
      </c>
      <c r="BL359" s="61">
        <f t="shared" si="2281"/>
        <v>36.061627347135293</v>
      </c>
      <c r="BM359" s="72">
        <f>-4223-2669</f>
        <v>-6892</v>
      </c>
      <c r="BN359" s="61">
        <f t="shared" si="2282"/>
        <v>24.157809403711038</v>
      </c>
      <c r="BO359" s="72">
        <f>-4147-1738</f>
        <v>-5885</v>
      </c>
      <c r="BP359" s="61">
        <f t="shared" si="2283"/>
        <v>4.1224345364472725</v>
      </c>
      <c r="BQ359" s="72">
        <f>-3530-1445</f>
        <v>-4975</v>
      </c>
      <c r="BR359" s="61">
        <f t="shared" si="2284"/>
        <v>-11.978060863411176</v>
      </c>
      <c r="BS359" s="72">
        <f>-4124-3136</f>
        <v>-7260</v>
      </c>
      <c r="BT359" s="61">
        <f t="shared" si="2285"/>
        <v>28.450106157112522</v>
      </c>
      <c r="BU359" s="72">
        <f>-4699-2381</f>
        <v>-7080</v>
      </c>
      <c r="BV359" s="61">
        <f t="shared" si="2286"/>
        <v>2.7278003482298363</v>
      </c>
      <c r="BW359" s="72">
        <f>-3138-1781</f>
        <v>-4919</v>
      </c>
      <c r="BX359" s="61">
        <f t="shared" si="2287"/>
        <v>-16.414613423959224</v>
      </c>
      <c r="BY359" s="72">
        <f>-2706-1087</f>
        <v>-3793</v>
      </c>
      <c r="BZ359" s="61">
        <f t="shared" si="2288"/>
        <v>-23.758793969849247</v>
      </c>
      <c r="CA359" s="72"/>
      <c r="CB359" s="61"/>
      <c r="CC359" s="72"/>
      <c r="CD359" s="61"/>
      <c r="CE359" s="72"/>
      <c r="CF359" s="61"/>
      <c r="CG359" s="72"/>
      <c r="CH359" s="61"/>
      <c r="CI359" s="72"/>
      <c r="CJ359" s="61"/>
      <c r="CK359" s="72"/>
      <c r="CL359" s="61"/>
      <c r="CM359" s="72"/>
      <c r="CN359" s="61"/>
      <c r="CO359" s="72"/>
      <c r="CP359" s="61"/>
      <c r="CQ359" s="72"/>
      <c r="CR359" s="61"/>
      <c r="CS359" s="72"/>
      <c r="CT359" s="61"/>
      <c r="CU359" s="72"/>
      <c r="CV359" s="61"/>
      <c r="CW359" s="72"/>
      <c r="CX359" s="61"/>
      <c r="CY359" s="72"/>
      <c r="CZ359" s="61"/>
      <c r="DA359" s="72"/>
      <c r="DB359" s="61"/>
      <c r="DC359" s="72"/>
      <c r="DD359" s="61"/>
      <c r="DE359" s="72"/>
      <c r="DF359" s="61"/>
      <c r="DG359" s="72"/>
      <c r="DH359" s="61"/>
      <c r="DI359" s="72"/>
      <c r="DJ359" s="61"/>
      <c r="DK359" s="72"/>
      <c r="DL359" s="61"/>
      <c r="DM359" s="72"/>
      <c r="DN359" s="61"/>
      <c r="DO359" s="72"/>
      <c r="DP359" s="61"/>
      <c r="DQ359" s="72"/>
      <c r="DR359" s="61"/>
      <c r="DS359" s="72"/>
      <c r="DT359" s="61"/>
      <c r="DU359" s="72"/>
      <c r="DV359" s="61"/>
      <c r="DW359" s="72"/>
      <c r="DX359" s="72"/>
      <c r="DY359" s="72"/>
      <c r="DZ359" s="61"/>
      <c r="EA359" s="72"/>
      <c r="EB359" s="61"/>
      <c r="EC359" s="72"/>
      <c r="ED359" s="61"/>
      <c r="EE359" s="72"/>
      <c r="EF359" s="61"/>
      <c r="EG359" s="72"/>
      <c r="EH359" s="61"/>
      <c r="EI359" s="72"/>
      <c r="EJ359" s="61"/>
      <c r="EK359" s="72"/>
      <c r="EL359" s="61"/>
      <c r="EM359" s="72"/>
      <c r="EN359" s="61"/>
      <c r="EO359" s="72"/>
      <c r="EP359" s="61"/>
      <c r="EQ359" s="73"/>
      <c r="ER359" s="61"/>
      <c r="ES359" s="73"/>
      <c r="ET359" s="61"/>
      <c r="EU359" s="73"/>
      <c r="EV359" s="61"/>
      <c r="EW359" s="73"/>
      <c r="EX359" s="61"/>
      <c r="EY359" s="64"/>
      <c r="EZ359" s="558"/>
      <c r="FA359" s="64"/>
      <c r="FB359" s="72"/>
      <c r="FC359" s="61"/>
      <c r="FD359" s="72"/>
      <c r="FE359" s="61"/>
      <c r="FF359" s="73"/>
      <c r="FG359" s="61"/>
      <c r="FH359" s="69"/>
      <c r="FI359" s="61"/>
      <c r="FJ359" s="69"/>
      <c r="FK359" s="61"/>
      <c r="FL359" s="69"/>
      <c r="FM359" s="61"/>
      <c r="FN359" s="69"/>
      <c r="FO359" s="61"/>
      <c r="FP359" s="73">
        <f>AQ359+AS359+AU359+AW359</f>
        <v>-15849</v>
      </c>
      <c r="FQ359" s="61" t="str">
        <f t="shared" si="2289"/>
        <v>NA</v>
      </c>
      <c r="FR359" s="73">
        <f>AY359+BA359+BC359+BE359</f>
        <v>-18841</v>
      </c>
      <c r="FS359" s="61">
        <f t="shared" si="2290"/>
        <v>18.878162660104735</v>
      </c>
      <c r="FT359" s="73">
        <f>BG359+BI359+BK359+BM359</f>
        <v>-23848</v>
      </c>
      <c r="FU359" s="61">
        <f t="shared" si="2291"/>
        <v>26.575022557189108</v>
      </c>
      <c r="FV359" s="73">
        <f>BO359+BQ359+BS359+BU359</f>
        <v>-25200</v>
      </c>
      <c r="FW359" s="61">
        <f t="shared" si="2292"/>
        <v>5.6692385105669318</v>
      </c>
      <c r="FX359" s="73">
        <f>BW359+BY359+CA359+CC359</f>
        <v>-8712</v>
      </c>
      <c r="FY359" s="61" t="str">
        <f t="shared" si="2293"/>
        <v>NM</v>
      </c>
      <c r="FZ359" s="73"/>
      <c r="GA359" s="61"/>
      <c r="GB359" s="73"/>
      <c r="GC359" s="61"/>
      <c r="GD359" s="73"/>
      <c r="GE359" s="61"/>
      <c r="GF359" s="73"/>
      <c r="GG359" s="61"/>
      <c r="GH359" s="73"/>
      <c r="GI359" s="61"/>
      <c r="GJ359" s="73"/>
      <c r="GK359" s="61"/>
      <c r="GL359" s="73"/>
      <c r="GM359" s="61"/>
      <c r="GN359" s="73"/>
      <c r="GO359" s="61"/>
      <c r="GP359" s="73"/>
      <c r="GQ359" s="61"/>
      <c r="GR359" s="73"/>
      <c r="GS359" s="61"/>
      <c r="GT359" s="73"/>
      <c r="GU359" s="61"/>
      <c r="GV359" s="73"/>
      <c r="GW359" s="61"/>
      <c r="GX359" s="73"/>
      <c r="GY359" s="61"/>
      <c r="GZ359" s="61"/>
      <c r="HA359" s="61"/>
      <c r="HB359" s="452"/>
      <c r="HC359"/>
      <c r="HD359"/>
      <c r="HE359"/>
      <c r="HF359"/>
      <c r="HG359"/>
      <c r="HH359"/>
    </row>
    <row r="360" spans="1:216" s="5" customFormat="1" ht="12.75" hidden="1" customHeight="1" outlineLevel="1" x14ac:dyDescent="0.2">
      <c r="B360" s="2" t="s">
        <v>629</v>
      </c>
      <c r="C360" s="72"/>
      <c r="D360" s="61"/>
      <c r="E360" s="72"/>
      <c r="F360" s="61"/>
      <c r="G360" s="72"/>
      <c r="H360" s="61"/>
      <c r="I360" s="72"/>
      <c r="J360" s="61"/>
      <c r="K360" s="146"/>
      <c r="L360" s="61"/>
      <c r="M360" s="72"/>
      <c r="N360" s="61"/>
      <c r="O360" s="72"/>
      <c r="P360" s="61"/>
      <c r="Q360" s="72"/>
      <c r="R360" s="61"/>
      <c r="S360" s="72"/>
      <c r="T360" s="61"/>
      <c r="U360" s="72"/>
      <c r="V360" s="61"/>
      <c r="W360" s="72"/>
      <c r="X360" s="61"/>
      <c r="Y360" s="72"/>
      <c r="Z360" s="61"/>
      <c r="AA360" s="72"/>
      <c r="AB360" s="61"/>
      <c r="AC360" s="72"/>
      <c r="AD360" s="61"/>
      <c r="AE360" s="72"/>
      <c r="AF360" s="61"/>
      <c r="AG360" s="72"/>
      <c r="AH360" s="61"/>
      <c r="AI360" s="72"/>
      <c r="AJ360" s="61"/>
      <c r="AK360" s="72"/>
      <c r="AL360" s="61"/>
      <c r="AM360" s="72"/>
      <c r="AN360" s="61"/>
      <c r="AO360" s="72"/>
      <c r="AP360" s="61"/>
      <c r="AQ360" s="72">
        <f>6+2</f>
        <v>8</v>
      </c>
      <c r="AR360" s="61" t="str">
        <f t="shared" si="2272"/>
        <v>NA</v>
      </c>
      <c r="AS360" s="72">
        <f>-190-151</f>
        <v>-341</v>
      </c>
      <c r="AT360" s="61" t="str">
        <f t="shared" si="2273"/>
        <v>NA</v>
      </c>
      <c r="AU360" s="72">
        <v>-2</v>
      </c>
      <c r="AV360" s="61" t="str">
        <f t="shared" si="2274"/>
        <v>NA</v>
      </c>
      <c r="AW360" s="72">
        <f>-2-1</f>
        <v>-3</v>
      </c>
      <c r="AX360" s="61" t="str">
        <f t="shared" si="2274"/>
        <v>NA</v>
      </c>
      <c r="AY360" s="72">
        <f>-69+3</f>
        <v>-66</v>
      </c>
      <c r="AZ360" s="61" t="str">
        <f t="shared" si="2275"/>
        <v>NM</v>
      </c>
      <c r="BA360" s="72">
        <v>-2</v>
      </c>
      <c r="BB360" s="61" t="str">
        <f t="shared" si="2276"/>
        <v>NM</v>
      </c>
      <c r="BC360" s="72">
        <v>-3</v>
      </c>
      <c r="BD360" s="61">
        <f t="shared" si="2277"/>
        <v>50</v>
      </c>
      <c r="BE360" s="72">
        <v>-2</v>
      </c>
      <c r="BF360" s="61">
        <f t="shared" si="2278"/>
        <v>-33.333333333333336</v>
      </c>
      <c r="BG360" s="72">
        <f>-1-0</f>
        <v>-1</v>
      </c>
      <c r="BH360" s="61" t="str">
        <f t="shared" si="2279"/>
        <v>NM</v>
      </c>
      <c r="BI360" s="72">
        <f>-1-0</f>
        <v>-1</v>
      </c>
      <c r="BJ360" s="61">
        <f t="shared" si="2280"/>
        <v>-50</v>
      </c>
      <c r="BK360" s="72">
        <f>-1-0</f>
        <v>-1</v>
      </c>
      <c r="BL360" s="61" t="str">
        <f t="shared" si="2281"/>
        <v>NM</v>
      </c>
      <c r="BM360" s="72">
        <f>-8+137-48-12313</f>
        <v>-12232</v>
      </c>
      <c r="BN360" s="61" t="str">
        <f t="shared" si="2282"/>
        <v>NM</v>
      </c>
      <c r="BO360" s="72">
        <f>-3-0-0-0</f>
        <v>-3</v>
      </c>
      <c r="BP360" s="61" t="str">
        <f t="shared" si="2283"/>
        <v>NM</v>
      </c>
      <c r="BQ360" s="72">
        <v>-3</v>
      </c>
      <c r="BR360" s="61" t="str">
        <f t="shared" si="2284"/>
        <v>NM</v>
      </c>
      <c r="BS360" s="72">
        <f>100-161-65+800</f>
        <v>674</v>
      </c>
      <c r="BT360" s="61" t="str">
        <f t="shared" si="2285"/>
        <v>NM</v>
      </c>
      <c r="BU360" s="72">
        <v>0</v>
      </c>
      <c r="BV360" s="61" t="str">
        <f t="shared" si="2286"/>
        <v>NM</v>
      </c>
      <c r="BW360" s="72">
        <v>0</v>
      </c>
      <c r="BX360" s="61" t="str">
        <f t="shared" si="2287"/>
        <v>NM</v>
      </c>
      <c r="BY360" s="72">
        <f>-9+270+16+8</f>
        <v>285</v>
      </c>
      <c r="BZ360" s="61" t="str">
        <f t="shared" si="2288"/>
        <v>NM</v>
      </c>
      <c r="CA360" s="72"/>
      <c r="CB360" s="61"/>
      <c r="CC360" s="72"/>
      <c r="CD360" s="61"/>
      <c r="CE360" s="72"/>
      <c r="CF360" s="61"/>
      <c r="CG360" s="72"/>
      <c r="CH360" s="61"/>
      <c r="CI360" s="72"/>
      <c r="CJ360" s="61"/>
      <c r="CK360" s="72"/>
      <c r="CL360" s="61"/>
      <c r="CM360" s="72"/>
      <c r="CN360" s="61"/>
      <c r="CO360" s="72"/>
      <c r="CP360" s="61"/>
      <c r="CQ360" s="72"/>
      <c r="CR360" s="61"/>
      <c r="CS360" s="72"/>
      <c r="CT360" s="61"/>
      <c r="CU360" s="72"/>
      <c r="CV360" s="61"/>
      <c r="CW360" s="72"/>
      <c r="CX360" s="61"/>
      <c r="CY360" s="72"/>
      <c r="CZ360" s="61"/>
      <c r="DA360" s="72"/>
      <c r="DB360" s="61"/>
      <c r="DC360" s="72"/>
      <c r="DD360" s="61"/>
      <c r="DE360" s="72"/>
      <c r="DF360" s="61"/>
      <c r="DG360" s="72"/>
      <c r="DH360" s="61"/>
      <c r="DI360" s="72"/>
      <c r="DJ360" s="61"/>
      <c r="DK360" s="72"/>
      <c r="DL360" s="61"/>
      <c r="DM360" s="72"/>
      <c r="DN360" s="61"/>
      <c r="DO360" s="72"/>
      <c r="DP360" s="61"/>
      <c r="DQ360" s="72"/>
      <c r="DR360" s="61"/>
      <c r="DS360" s="72"/>
      <c r="DT360" s="61"/>
      <c r="DU360" s="72"/>
      <c r="DV360" s="61"/>
      <c r="DW360" s="72"/>
      <c r="DX360" s="72"/>
      <c r="DY360" s="72"/>
      <c r="DZ360" s="61"/>
      <c r="EA360" s="72"/>
      <c r="EB360" s="61"/>
      <c r="EC360" s="72"/>
      <c r="ED360" s="61"/>
      <c r="EE360" s="72"/>
      <c r="EF360" s="61"/>
      <c r="EG360" s="72"/>
      <c r="EH360" s="61"/>
      <c r="EI360" s="72"/>
      <c r="EJ360" s="61"/>
      <c r="EK360" s="72"/>
      <c r="EL360" s="61"/>
      <c r="EM360" s="72"/>
      <c r="EN360" s="61"/>
      <c r="EO360" s="72"/>
      <c r="EP360" s="61"/>
      <c r="EQ360" s="72"/>
      <c r="ER360" s="61"/>
      <c r="ES360" s="72"/>
      <c r="ET360" s="61"/>
      <c r="EU360" s="72"/>
      <c r="EV360" s="61"/>
      <c r="EW360" s="72"/>
      <c r="EX360" s="61"/>
      <c r="EY360" s="64"/>
      <c r="EZ360" s="558"/>
      <c r="FA360" s="64"/>
      <c r="FB360" s="72"/>
      <c r="FC360" s="61"/>
      <c r="FD360" s="72"/>
      <c r="FE360" s="61"/>
      <c r="FF360" s="73"/>
      <c r="FG360" s="61"/>
      <c r="FH360" s="69"/>
      <c r="FI360" s="61"/>
      <c r="FJ360" s="69"/>
      <c r="FK360" s="61"/>
      <c r="FL360" s="69"/>
      <c r="FM360" s="61"/>
      <c r="FN360" s="69"/>
      <c r="FO360" s="61"/>
      <c r="FP360" s="73">
        <f>AQ360+AS360+AU360+AW360</f>
        <v>-338</v>
      </c>
      <c r="FQ360" s="61" t="str">
        <f t="shared" si="2289"/>
        <v>NA</v>
      </c>
      <c r="FR360" s="73">
        <f>AY360+BA360+BC360+BE360</f>
        <v>-73</v>
      </c>
      <c r="FS360" s="61" t="str">
        <f t="shared" si="2290"/>
        <v>NM</v>
      </c>
      <c r="FT360" s="73">
        <f>BG360+BI360+BK360+BM360</f>
        <v>-12235</v>
      </c>
      <c r="FU360" s="61" t="str">
        <f t="shared" si="2291"/>
        <v>NM</v>
      </c>
      <c r="FV360" s="73">
        <f>BO360+BQ360+BS360+BU360</f>
        <v>668</v>
      </c>
      <c r="FW360" s="61" t="str">
        <f t="shared" si="2292"/>
        <v>NM</v>
      </c>
      <c r="FX360" s="73">
        <f>BW360+BY360+CA360+CC360</f>
        <v>285</v>
      </c>
      <c r="FY360" s="61" t="str">
        <f t="shared" si="2293"/>
        <v>NM</v>
      </c>
      <c r="FZ360" s="73"/>
      <c r="GA360" s="61"/>
      <c r="GB360" s="73"/>
      <c r="GC360" s="61"/>
      <c r="GD360" s="73"/>
      <c r="GE360" s="61"/>
      <c r="GF360" s="73"/>
      <c r="GG360" s="61"/>
      <c r="GH360" s="73"/>
      <c r="GI360" s="61"/>
      <c r="GJ360" s="73"/>
      <c r="GK360" s="61"/>
      <c r="GL360" s="73"/>
      <c r="GM360" s="61"/>
      <c r="GN360" s="73"/>
      <c r="GO360" s="61"/>
      <c r="GP360" s="73"/>
      <c r="GQ360" s="61"/>
      <c r="GR360" s="72"/>
      <c r="GS360" s="61"/>
      <c r="GT360" s="72"/>
      <c r="GU360" s="61"/>
      <c r="GV360" s="72"/>
      <c r="GW360" s="61"/>
      <c r="GX360" s="72"/>
      <c r="GY360" s="61"/>
      <c r="GZ360" s="61"/>
      <c r="HA360" s="61"/>
      <c r="HB360" s="452"/>
      <c r="HC360"/>
      <c r="HD360"/>
      <c r="HE360"/>
      <c r="HF360"/>
      <c r="HG360"/>
      <c r="HH360"/>
    </row>
    <row r="361" spans="1:216" s="5" customFormat="1" ht="12.75" hidden="1" customHeight="1" outlineLevel="1" x14ac:dyDescent="0.2">
      <c r="B361" s="2" t="s">
        <v>444</v>
      </c>
      <c r="C361" s="72"/>
      <c r="D361" s="61"/>
      <c r="E361" s="72"/>
      <c r="F361" s="61"/>
      <c r="G361" s="72"/>
      <c r="H361" s="61"/>
      <c r="I361" s="72"/>
      <c r="J361" s="61"/>
      <c r="K361" s="72"/>
      <c r="L361" s="61"/>
      <c r="M361" s="72"/>
      <c r="N361" s="61"/>
      <c r="O361" s="72"/>
      <c r="P361" s="61"/>
      <c r="Q361" s="72"/>
      <c r="R361" s="61"/>
      <c r="S361" s="72"/>
      <c r="T361" s="61"/>
      <c r="U361" s="72"/>
      <c r="V361" s="61"/>
      <c r="W361" s="72"/>
      <c r="X361" s="61"/>
      <c r="Y361" s="72"/>
      <c r="Z361" s="61"/>
      <c r="AA361" s="72"/>
      <c r="AB361" s="61"/>
      <c r="AC361" s="72"/>
      <c r="AD361" s="61"/>
      <c r="AE361" s="72"/>
      <c r="AF361" s="61"/>
      <c r="AG361" s="72"/>
      <c r="AH361" s="61"/>
      <c r="AI361" s="72"/>
      <c r="AJ361" s="61"/>
      <c r="AK361" s="72"/>
      <c r="AL361" s="61"/>
      <c r="AM361" s="72"/>
      <c r="AN361" s="61"/>
      <c r="AO361" s="72"/>
      <c r="AP361" s="61"/>
      <c r="AQ361" s="72">
        <f>-471-352</f>
        <v>-823</v>
      </c>
      <c r="AR361" s="61" t="str">
        <f t="shared" si="2272"/>
        <v>NA</v>
      </c>
      <c r="AS361" s="72">
        <f>982+766</f>
        <v>1748</v>
      </c>
      <c r="AT361" s="61" t="str">
        <f t="shared" si="2273"/>
        <v>NA</v>
      </c>
      <c r="AU361" s="72">
        <f>1819+1058</f>
        <v>2877</v>
      </c>
      <c r="AV361" s="61" t="str">
        <f t="shared" si="2274"/>
        <v>NA</v>
      </c>
      <c r="AW361" s="72">
        <f>850+629</f>
        <v>1479</v>
      </c>
      <c r="AX361" s="61" t="str">
        <f t="shared" si="2274"/>
        <v>NA</v>
      </c>
      <c r="AY361" s="72">
        <f>2598+1299</f>
        <v>3897</v>
      </c>
      <c r="AZ361" s="61" t="str">
        <f t="shared" si="2275"/>
        <v>NM</v>
      </c>
      <c r="BA361" s="72">
        <f>-540-971</f>
        <v>-1511</v>
      </c>
      <c r="BB361" s="61" t="str">
        <f t="shared" si="2276"/>
        <v>NM</v>
      </c>
      <c r="BC361" s="72">
        <f>1733+1107+1</f>
        <v>2841</v>
      </c>
      <c r="BD361" s="61">
        <f t="shared" si="2277"/>
        <v>-1.2513034410844615</v>
      </c>
      <c r="BE361" s="72">
        <f>3285+1984</f>
        <v>5269</v>
      </c>
      <c r="BF361" s="61" t="str">
        <f t="shared" si="2278"/>
        <v>NM</v>
      </c>
      <c r="BG361" s="72">
        <f>1274+626</f>
        <v>1900</v>
      </c>
      <c r="BH361" s="61" t="str">
        <f t="shared" si="2279"/>
        <v>NM</v>
      </c>
      <c r="BI361" s="72">
        <f>1274+626</f>
        <v>1900</v>
      </c>
      <c r="BJ361" s="61" t="str">
        <f t="shared" si="2280"/>
        <v>NM</v>
      </c>
      <c r="BK361" s="72">
        <f>1274+626</f>
        <v>1900</v>
      </c>
      <c r="BL361" s="61">
        <f t="shared" si="2281"/>
        <v>-33.122140091517075</v>
      </c>
      <c r="BM361" s="72">
        <f>-770-277</f>
        <v>-1047</v>
      </c>
      <c r="BN361" s="61" t="str">
        <f t="shared" si="2282"/>
        <v>NM</v>
      </c>
      <c r="BO361" s="72">
        <f>-2227-3427</f>
        <v>-5654</v>
      </c>
      <c r="BP361" s="61" t="str">
        <f t="shared" si="2283"/>
        <v>NM</v>
      </c>
      <c r="BQ361" s="72">
        <f>-526-849</f>
        <v>-1375</v>
      </c>
      <c r="BR361" s="61" t="str">
        <f t="shared" si="2284"/>
        <v>NM</v>
      </c>
      <c r="BS361" s="72">
        <f>-3766-2728</f>
        <v>-6494</v>
      </c>
      <c r="BT361" s="61" t="str">
        <f t="shared" si="2285"/>
        <v>NM</v>
      </c>
      <c r="BU361" s="72">
        <f>-5470-3287</f>
        <v>-8757</v>
      </c>
      <c r="BV361" s="61" t="str">
        <f t="shared" si="2286"/>
        <v>NM</v>
      </c>
      <c r="BW361" s="72">
        <f>-2086-857</f>
        <v>-2943</v>
      </c>
      <c r="BX361" s="61">
        <f t="shared" si="2287"/>
        <v>-47.948355146798725</v>
      </c>
      <c r="BY361" s="72">
        <f>3606+2092</f>
        <v>5698</v>
      </c>
      <c r="BZ361" s="61" t="str">
        <f t="shared" si="2288"/>
        <v>NM</v>
      </c>
      <c r="CA361" s="72"/>
      <c r="CB361" s="61"/>
      <c r="CC361" s="72"/>
      <c r="CD361" s="61"/>
      <c r="CE361" s="72"/>
      <c r="CF361" s="61"/>
      <c r="CG361" s="72"/>
      <c r="CH361" s="61"/>
      <c r="CI361" s="72"/>
      <c r="CJ361" s="61"/>
      <c r="CK361" s="72"/>
      <c r="CL361" s="61"/>
      <c r="CM361" s="72"/>
      <c r="CN361" s="61"/>
      <c r="CO361" s="72"/>
      <c r="CP361" s="61"/>
      <c r="CQ361" s="72"/>
      <c r="CR361" s="61"/>
      <c r="CS361" s="72"/>
      <c r="CT361" s="61"/>
      <c r="CU361" s="72"/>
      <c r="CV361" s="61"/>
      <c r="CW361" s="72"/>
      <c r="CX361" s="61"/>
      <c r="CY361" s="72"/>
      <c r="CZ361" s="61"/>
      <c r="DA361" s="72"/>
      <c r="DB361" s="61"/>
      <c r="DC361" s="72"/>
      <c r="DD361" s="61"/>
      <c r="DE361" s="72"/>
      <c r="DF361" s="61"/>
      <c r="DG361" s="72"/>
      <c r="DH361" s="61"/>
      <c r="DI361" s="72"/>
      <c r="DJ361" s="61"/>
      <c r="DK361" s="72"/>
      <c r="DL361" s="61"/>
      <c r="DM361" s="72"/>
      <c r="DN361" s="61"/>
      <c r="DO361" s="72"/>
      <c r="DP361" s="61"/>
      <c r="DQ361" s="72"/>
      <c r="DR361" s="61"/>
      <c r="DS361" s="72"/>
      <c r="DT361" s="61"/>
      <c r="DU361" s="72"/>
      <c r="DV361" s="61"/>
      <c r="DW361" s="72"/>
      <c r="DX361" s="72"/>
      <c r="DY361" s="72"/>
      <c r="DZ361" s="61"/>
      <c r="EA361" s="72"/>
      <c r="EB361" s="61"/>
      <c r="EC361" s="72"/>
      <c r="ED361" s="61"/>
      <c r="EE361" s="72"/>
      <c r="EF361" s="61"/>
      <c r="EG361" s="72"/>
      <c r="EH361" s="61"/>
      <c r="EI361" s="72"/>
      <c r="EJ361" s="61"/>
      <c r="EK361" s="72"/>
      <c r="EL361" s="61"/>
      <c r="EM361" s="72"/>
      <c r="EN361" s="61"/>
      <c r="EO361" s="72"/>
      <c r="EP361" s="61"/>
      <c r="EQ361" s="73"/>
      <c r="ER361" s="61"/>
      <c r="ES361" s="73"/>
      <c r="ET361" s="61"/>
      <c r="EU361" s="73"/>
      <c r="EV361" s="61"/>
      <c r="EW361" s="73"/>
      <c r="EX361" s="61"/>
      <c r="EY361" s="64"/>
      <c r="EZ361" s="558"/>
      <c r="FA361" s="64"/>
      <c r="FB361" s="72"/>
      <c r="FC361" s="61"/>
      <c r="FD361" s="72"/>
      <c r="FE361" s="61"/>
      <c r="FF361" s="73"/>
      <c r="FG361" s="61"/>
      <c r="FH361" s="69"/>
      <c r="FI361" s="61"/>
      <c r="FJ361" s="69"/>
      <c r="FK361" s="61"/>
      <c r="FL361" s="69"/>
      <c r="FM361" s="61"/>
      <c r="FN361" s="69"/>
      <c r="FO361" s="61"/>
      <c r="FP361" s="73">
        <f>AQ361+AS361+AU361+AW361</f>
        <v>5281</v>
      </c>
      <c r="FQ361" s="61" t="str">
        <f t="shared" si="2289"/>
        <v>NA</v>
      </c>
      <c r="FR361" s="73">
        <f>AY361+BA361+BC361+BE361</f>
        <v>10496</v>
      </c>
      <c r="FS361" s="61">
        <f t="shared" si="2290"/>
        <v>98.750236697595156</v>
      </c>
      <c r="FT361" s="73">
        <f>BG361+BI361+BK361+BM361</f>
        <v>4653</v>
      </c>
      <c r="FU361" s="61" t="str">
        <f t="shared" si="2291"/>
        <v>NM</v>
      </c>
      <c r="FV361" s="73">
        <f>BO361+BQ361+BS361+BU361</f>
        <v>-22280</v>
      </c>
      <c r="FW361" s="61" t="str">
        <f t="shared" si="2292"/>
        <v>NM</v>
      </c>
      <c r="FX361" s="73">
        <f>BW361+BY361+CA361+CC361</f>
        <v>2755</v>
      </c>
      <c r="FY361" s="61" t="str">
        <f t="shared" si="2293"/>
        <v>NM</v>
      </c>
      <c r="FZ361" s="73"/>
      <c r="GA361" s="61"/>
      <c r="GB361" s="73"/>
      <c r="GC361" s="61"/>
      <c r="GD361" s="73"/>
      <c r="GE361" s="61"/>
      <c r="GF361" s="73"/>
      <c r="GG361" s="61"/>
      <c r="GH361" s="73"/>
      <c r="GI361" s="61"/>
      <c r="GJ361" s="73"/>
      <c r="GK361" s="61"/>
      <c r="GL361" s="73"/>
      <c r="GM361" s="61"/>
      <c r="GN361" s="73"/>
      <c r="GO361" s="61"/>
      <c r="GP361" s="73"/>
      <c r="GQ361" s="61"/>
      <c r="GR361" s="73"/>
      <c r="GS361" s="61"/>
      <c r="GT361" s="73"/>
      <c r="GU361" s="61"/>
      <c r="GV361" s="73"/>
      <c r="GW361" s="61"/>
      <c r="GX361" s="73"/>
      <c r="GY361" s="61"/>
      <c r="GZ361" s="61"/>
      <c r="HA361" s="61"/>
      <c r="HB361" s="452"/>
      <c r="HC361"/>
      <c r="HD361"/>
      <c r="HE361"/>
      <c r="HF361"/>
      <c r="HG361"/>
      <c r="HH361"/>
    </row>
    <row r="362" spans="1:216" s="5" customFormat="1" ht="12.75" hidden="1" customHeight="1" outlineLevel="1" x14ac:dyDescent="0.2">
      <c r="B362" s="2" t="s">
        <v>611</v>
      </c>
      <c r="C362" s="72"/>
      <c r="D362" s="61"/>
      <c r="E362" s="72"/>
      <c r="F362" s="61"/>
      <c r="G362" s="72"/>
      <c r="H362" s="61"/>
      <c r="I362" s="146"/>
      <c r="J362" s="61"/>
      <c r="K362" s="146"/>
      <c r="L362" s="61"/>
      <c r="M362" s="146"/>
      <c r="N362" s="61"/>
      <c r="O362" s="146"/>
      <c r="P362" s="61"/>
      <c r="Q362" s="146"/>
      <c r="R362" s="61"/>
      <c r="S362" s="146"/>
      <c r="T362" s="61"/>
      <c r="U362" s="146"/>
      <c r="V362" s="61"/>
      <c r="W362" s="146"/>
      <c r="X362" s="61"/>
      <c r="Y362" s="146"/>
      <c r="Z362" s="61"/>
      <c r="AA362" s="146"/>
      <c r="AB362" s="61"/>
      <c r="AC362" s="146"/>
      <c r="AD362" s="61"/>
      <c r="AE362" s="146"/>
      <c r="AF362" s="61"/>
      <c r="AG362" s="146"/>
      <c r="AH362" s="61"/>
      <c r="AI362" s="146"/>
      <c r="AJ362" s="61"/>
      <c r="AK362" s="146"/>
      <c r="AL362" s="61"/>
      <c r="AM362" s="146"/>
      <c r="AN362" s="61"/>
      <c r="AO362" s="146"/>
      <c r="AP362" s="61"/>
      <c r="AQ362" s="146">
        <v>0</v>
      </c>
      <c r="AR362" s="61" t="str">
        <f t="shared" si="2272"/>
        <v>NA</v>
      </c>
      <c r="AS362" s="146">
        <v>0</v>
      </c>
      <c r="AT362" s="61" t="str">
        <f t="shared" si="2273"/>
        <v>NA</v>
      </c>
      <c r="AU362" s="146">
        <v>0</v>
      </c>
      <c r="AV362" s="61" t="str">
        <f t="shared" si="2274"/>
        <v>NA</v>
      </c>
      <c r="AW362" s="146">
        <v>0</v>
      </c>
      <c r="AX362" s="61" t="str">
        <f t="shared" si="2274"/>
        <v>NA</v>
      </c>
      <c r="AY362" s="148">
        <v>0</v>
      </c>
      <c r="AZ362" s="61" t="str">
        <f t="shared" si="2275"/>
        <v>NA</v>
      </c>
      <c r="BA362" s="148">
        <v>0</v>
      </c>
      <c r="BB362" s="61" t="str">
        <f t="shared" si="2276"/>
        <v>NA</v>
      </c>
      <c r="BC362" s="148">
        <v>0</v>
      </c>
      <c r="BD362" s="61" t="str">
        <f t="shared" si="2277"/>
        <v>NA</v>
      </c>
      <c r="BE362" s="148">
        <v>0</v>
      </c>
      <c r="BF362" s="61" t="str">
        <f t="shared" si="2278"/>
        <v>NA</v>
      </c>
      <c r="BG362" s="148">
        <v>0</v>
      </c>
      <c r="BH362" s="61" t="str">
        <f t="shared" si="2279"/>
        <v>NA</v>
      </c>
      <c r="BI362" s="148">
        <v>0</v>
      </c>
      <c r="BJ362" s="61" t="str">
        <f t="shared" si="2280"/>
        <v>NA</v>
      </c>
      <c r="BK362" s="148">
        <v>0</v>
      </c>
      <c r="BL362" s="61" t="str">
        <f t="shared" si="2281"/>
        <v>NA</v>
      </c>
      <c r="BM362" s="148">
        <v>0</v>
      </c>
      <c r="BN362" s="61" t="str">
        <f t="shared" si="2282"/>
        <v>NA</v>
      </c>
      <c r="BO362" s="148">
        <v>0</v>
      </c>
      <c r="BP362" s="61" t="str">
        <f t="shared" si="2283"/>
        <v>NA</v>
      </c>
      <c r="BQ362" s="148">
        <v>0</v>
      </c>
      <c r="BR362" s="61" t="str">
        <f t="shared" si="2284"/>
        <v>NA</v>
      </c>
      <c r="BS362" s="148">
        <v>0</v>
      </c>
      <c r="BT362" s="61" t="str">
        <f t="shared" si="2285"/>
        <v>NA</v>
      </c>
      <c r="BU362" s="148">
        <v>0</v>
      </c>
      <c r="BV362" s="61" t="str">
        <f t="shared" si="2286"/>
        <v>NA</v>
      </c>
      <c r="BW362" s="148">
        <v>0</v>
      </c>
      <c r="BX362" s="61" t="str">
        <f t="shared" si="2287"/>
        <v>NA</v>
      </c>
      <c r="BY362" s="148">
        <v>0</v>
      </c>
      <c r="BZ362" s="61" t="str">
        <f t="shared" si="2288"/>
        <v>NA</v>
      </c>
      <c r="CA362" s="148"/>
      <c r="CB362" s="61"/>
      <c r="CC362" s="148"/>
      <c r="CD362" s="61"/>
      <c r="CE362" s="148"/>
      <c r="CF362" s="61"/>
      <c r="CG362" s="148"/>
      <c r="CH362" s="61"/>
      <c r="CI362" s="148"/>
      <c r="CJ362" s="61"/>
      <c r="CK362" s="148"/>
      <c r="CL362" s="61"/>
      <c r="CM362" s="148"/>
      <c r="CN362" s="61"/>
      <c r="CO362" s="148"/>
      <c r="CP362" s="61"/>
      <c r="CQ362" s="148"/>
      <c r="CR362" s="61"/>
      <c r="CS362" s="148"/>
      <c r="CT362" s="61"/>
      <c r="CU362" s="148"/>
      <c r="CV362" s="61"/>
      <c r="CW362" s="148"/>
      <c r="CX362" s="61"/>
      <c r="CY362" s="148"/>
      <c r="CZ362" s="61"/>
      <c r="DA362" s="148"/>
      <c r="DB362" s="61"/>
      <c r="DC362" s="148"/>
      <c r="DD362" s="61"/>
      <c r="DE362" s="148"/>
      <c r="DF362" s="61"/>
      <c r="DG362" s="148"/>
      <c r="DH362" s="61"/>
      <c r="DI362" s="148"/>
      <c r="DJ362" s="61"/>
      <c r="DK362" s="148"/>
      <c r="DL362" s="61"/>
      <c r="DM362" s="148"/>
      <c r="DN362" s="61"/>
      <c r="DO362" s="148"/>
      <c r="DP362" s="61"/>
      <c r="DQ362" s="148"/>
      <c r="DR362" s="61"/>
      <c r="DS362" s="148"/>
      <c r="DT362" s="61"/>
      <c r="DU362" s="148"/>
      <c r="DV362" s="61"/>
      <c r="DW362" s="148"/>
      <c r="DX362" s="148"/>
      <c r="DY362" s="148"/>
      <c r="DZ362" s="61"/>
      <c r="EA362" s="148"/>
      <c r="EB362" s="61"/>
      <c r="EC362" s="148"/>
      <c r="ED362" s="61"/>
      <c r="EE362" s="148"/>
      <c r="EF362" s="61"/>
      <c r="EG362" s="148"/>
      <c r="EH362" s="61"/>
      <c r="EI362" s="148"/>
      <c r="EJ362" s="61"/>
      <c r="EK362" s="148"/>
      <c r="EL362" s="61"/>
      <c r="EM362" s="148"/>
      <c r="EN362" s="61"/>
      <c r="EO362" s="148"/>
      <c r="EP362" s="61"/>
      <c r="EQ362" s="148"/>
      <c r="ER362" s="61"/>
      <c r="ES362" s="148"/>
      <c r="ET362" s="61"/>
      <c r="EU362" s="148"/>
      <c r="EV362" s="61"/>
      <c r="EW362" s="148"/>
      <c r="EX362" s="61"/>
      <c r="EY362" s="15"/>
      <c r="EZ362" s="558"/>
      <c r="FA362" s="15"/>
      <c r="FB362" s="222"/>
      <c r="FC362" s="223"/>
      <c r="FD362" s="222"/>
      <c r="FE362" s="223"/>
      <c r="FF362" s="224"/>
      <c r="FG362" s="223"/>
      <c r="FH362" s="222"/>
      <c r="FI362" s="223"/>
      <c r="FJ362" s="222"/>
      <c r="FK362" s="223"/>
      <c r="FL362" s="222"/>
      <c r="FM362" s="223"/>
      <c r="FN362" s="224"/>
      <c r="FO362" s="223"/>
      <c r="FP362" s="151">
        <f>AQ362+AS362+AU362+AW362</f>
        <v>0</v>
      </c>
      <c r="FQ362" s="61" t="str">
        <f t="shared" si="2289"/>
        <v>NA</v>
      </c>
      <c r="FR362" s="151">
        <f>AY362+BA362+BC362+BE362</f>
        <v>0</v>
      </c>
      <c r="FS362" s="61" t="str">
        <f t="shared" si="2290"/>
        <v>NA</v>
      </c>
      <c r="FT362" s="151">
        <f>BG362+BI362+BK362+BM362</f>
        <v>0</v>
      </c>
      <c r="FU362" s="61" t="str">
        <f t="shared" si="2291"/>
        <v>NA</v>
      </c>
      <c r="FV362" s="151">
        <f>BO362+BQ362+BS362+BU362</f>
        <v>0</v>
      </c>
      <c r="FW362" s="61" t="str">
        <f t="shared" si="2292"/>
        <v>NA</v>
      </c>
      <c r="FX362" s="73">
        <f>BW362+BY362+CA362+CC362</f>
        <v>0</v>
      </c>
      <c r="FY362" s="61" t="str">
        <f t="shared" si="2293"/>
        <v>NA</v>
      </c>
      <c r="FZ362" s="73"/>
      <c r="GA362" s="61"/>
      <c r="GB362" s="73"/>
      <c r="GC362" s="61"/>
      <c r="GD362" s="73"/>
      <c r="GE362" s="61"/>
      <c r="GF362" s="73"/>
      <c r="GG362" s="61"/>
      <c r="GH362" s="73"/>
      <c r="GI362" s="61"/>
      <c r="GJ362" s="73"/>
      <c r="GK362" s="61"/>
      <c r="GL362" s="73"/>
      <c r="GM362" s="61"/>
      <c r="GN362" s="73"/>
      <c r="GO362" s="61"/>
      <c r="GP362" s="73"/>
      <c r="GQ362" s="61"/>
      <c r="GR362" s="148"/>
      <c r="GS362" s="61"/>
      <c r="GT362" s="148"/>
      <c r="GU362" s="61"/>
      <c r="GV362" s="148"/>
      <c r="GW362" s="61"/>
      <c r="GX362" s="148"/>
      <c r="GY362" s="61"/>
      <c r="GZ362" s="61"/>
      <c r="HA362" s="61"/>
      <c r="HB362" s="452"/>
      <c r="HC362"/>
      <c r="HD362"/>
      <c r="HE362"/>
      <c r="HF362"/>
      <c r="HG362"/>
      <c r="HH362"/>
    </row>
    <row r="363" spans="1:216" s="5" customFormat="1" ht="12.75" hidden="1" customHeight="1" outlineLevel="1" x14ac:dyDescent="0.2">
      <c r="B363" s="2" t="s">
        <v>336</v>
      </c>
      <c r="C363" s="69"/>
      <c r="D363" s="70"/>
      <c r="E363" s="69"/>
      <c r="F363" s="71"/>
      <c r="G363" s="69"/>
      <c r="H363" s="71"/>
      <c r="I363" s="69"/>
      <c r="J363" s="61"/>
      <c r="K363" s="69"/>
      <c r="L363" s="61"/>
      <c r="M363" s="69"/>
      <c r="N363" s="61"/>
      <c r="O363" s="69"/>
      <c r="P363" s="61"/>
      <c r="Q363" s="69"/>
      <c r="R363" s="61"/>
      <c r="S363" s="69"/>
      <c r="T363" s="61"/>
      <c r="U363" s="69"/>
      <c r="V363" s="61"/>
      <c r="W363" s="69"/>
      <c r="X363" s="61"/>
      <c r="Y363" s="69"/>
      <c r="Z363" s="61"/>
      <c r="AA363" s="69"/>
      <c r="AB363" s="61"/>
      <c r="AC363" s="69"/>
      <c r="AD363" s="61"/>
      <c r="AE363" s="69"/>
      <c r="AF363" s="61"/>
      <c r="AG363" s="69"/>
      <c r="AH363" s="61"/>
      <c r="AI363" s="69"/>
      <c r="AJ363" s="61"/>
      <c r="AK363" s="69"/>
      <c r="AL363" s="61"/>
      <c r="AM363" s="69"/>
      <c r="AN363" s="61"/>
      <c r="AO363" s="69"/>
      <c r="AP363" s="61"/>
      <c r="AQ363" s="69">
        <f>SUM(AQ357:AQ362)+1</f>
        <v>59080</v>
      </c>
      <c r="AR363" s="61" t="str">
        <f t="shared" si="2272"/>
        <v>NA</v>
      </c>
      <c r="AS363" s="69">
        <f>SUM(AS357:AS362)+2</f>
        <v>66851</v>
      </c>
      <c r="AT363" s="61" t="str">
        <f t="shared" si="2273"/>
        <v>NA</v>
      </c>
      <c r="AU363" s="69">
        <f>SUM(AU357:AU362)+2</f>
        <v>73274</v>
      </c>
      <c r="AV363" s="61" t="str">
        <f t="shared" si="2274"/>
        <v>NA</v>
      </c>
      <c r="AW363" s="69">
        <f>SUM(AW357:AW362)</f>
        <v>77633</v>
      </c>
      <c r="AX363" s="61" t="str">
        <f t="shared" si="2274"/>
        <v>NA</v>
      </c>
      <c r="AY363" s="69">
        <f>SUM(AY357:AY362)</f>
        <v>86428</v>
      </c>
      <c r="AZ363" s="61">
        <f t="shared" si="2275"/>
        <v>46.289776574136752</v>
      </c>
      <c r="BA363" s="69">
        <f>SUM(BA357:BA362)</f>
        <v>85924</v>
      </c>
      <c r="BB363" s="61">
        <f t="shared" si="2276"/>
        <v>28.530612855454663</v>
      </c>
      <c r="BC363" s="69">
        <f>SUM(BC357:BC362)</f>
        <v>89511</v>
      </c>
      <c r="BD363" s="61">
        <f t="shared" si="2277"/>
        <v>22.159292518492222</v>
      </c>
      <c r="BE363" s="69">
        <f>SUM(BE357:BE362)</f>
        <v>97307</v>
      </c>
      <c r="BF363" s="61">
        <f t="shared" si="2278"/>
        <v>25.342315767779166</v>
      </c>
      <c r="BG363" s="69">
        <f>BI357</f>
        <v>95722</v>
      </c>
      <c r="BH363" s="61">
        <f t="shared" si="2279"/>
        <v>10.753459527005127</v>
      </c>
      <c r="BI363" s="69">
        <f>BK357</f>
        <v>97714</v>
      </c>
      <c r="BJ363" s="61">
        <f t="shared" si="2280"/>
        <v>13.721428238908807</v>
      </c>
      <c r="BK363" s="69">
        <f>BM357</f>
        <v>99706</v>
      </c>
      <c r="BL363" s="61">
        <f t="shared" si="2281"/>
        <v>11.389661605836142</v>
      </c>
      <c r="BM363" s="69">
        <f>BO357</f>
        <v>85357</v>
      </c>
      <c r="BN363" s="61">
        <f t="shared" si="2282"/>
        <v>-12.280719783777116</v>
      </c>
      <c r="BO363" s="69">
        <f>SUM(BO357:BO362)</f>
        <v>78538</v>
      </c>
      <c r="BP363" s="61">
        <f t="shared" si="2283"/>
        <v>-17.95198595934059</v>
      </c>
      <c r="BQ363" s="69">
        <f>SUM(BQ357:BQ362)</f>
        <v>75691</v>
      </c>
      <c r="BR363" s="61">
        <f t="shared" si="2284"/>
        <v>-22.538223795976009</v>
      </c>
      <c r="BS363" s="69">
        <f>SUM(BS357:BS362)</f>
        <v>66599</v>
      </c>
      <c r="BT363" s="61">
        <f t="shared" si="2285"/>
        <v>-33.204621587467152</v>
      </c>
      <c r="BU363" s="69">
        <f>SUM(BU357:BU362)</f>
        <v>54542</v>
      </c>
      <c r="BV363" s="61">
        <f t="shared" si="2286"/>
        <v>-36.10131565073749</v>
      </c>
      <c r="BW363" s="69">
        <f>SUM(BW357:BW362)</f>
        <v>51810</v>
      </c>
      <c r="BX363" s="61">
        <f t="shared" si="2287"/>
        <v>-34.031933586289441</v>
      </c>
      <c r="BY363" s="69">
        <f>SUM(BY357:BY362)</f>
        <v>57867</v>
      </c>
      <c r="BZ363" s="61">
        <f t="shared" si="2288"/>
        <v>-23.548374311344812</v>
      </c>
      <c r="CA363" s="69"/>
      <c r="CB363" s="61"/>
      <c r="CC363" s="69"/>
      <c r="CD363" s="61"/>
      <c r="CE363" s="69"/>
      <c r="CF363" s="61"/>
      <c r="CG363" s="69"/>
      <c r="CH363" s="61"/>
      <c r="CI363" s="69"/>
      <c r="CJ363" s="61"/>
      <c r="CK363" s="69"/>
      <c r="CL363" s="61"/>
      <c r="CM363" s="69"/>
      <c r="CN363" s="61"/>
      <c r="CO363" s="69"/>
      <c r="CP363" s="61"/>
      <c r="CQ363" s="69"/>
      <c r="CR363" s="61"/>
      <c r="CS363" s="69"/>
      <c r="CT363" s="61"/>
      <c r="CU363" s="69"/>
      <c r="CV363" s="61"/>
      <c r="CW363" s="69"/>
      <c r="CX363" s="61"/>
      <c r="CY363" s="69"/>
      <c r="CZ363" s="61"/>
      <c r="DA363" s="69"/>
      <c r="DB363" s="61"/>
      <c r="DC363" s="69"/>
      <c r="DD363" s="61"/>
      <c r="DE363" s="69"/>
      <c r="DF363" s="61"/>
      <c r="DG363" s="69"/>
      <c r="DH363" s="61"/>
      <c r="DI363" s="69"/>
      <c r="DJ363" s="61"/>
      <c r="DK363" s="69"/>
      <c r="DL363" s="61"/>
      <c r="DM363" s="69"/>
      <c r="DN363" s="61"/>
      <c r="DO363" s="69"/>
      <c r="DP363" s="61"/>
      <c r="DQ363" s="69"/>
      <c r="DR363" s="61"/>
      <c r="DS363" s="69"/>
      <c r="DT363" s="61"/>
      <c r="DU363" s="69"/>
      <c r="DV363" s="61"/>
      <c r="DW363" s="69"/>
      <c r="DX363" s="69"/>
      <c r="DY363" s="69"/>
      <c r="DZ363" s="61"/>
      <c r="EA363" s="69"/>
      <c r="EB363" s="61"/>
      <c r="EC363" s="69"/>
      <c r="ED363" s="61"/>
      <c r="EE363" s="69"/>
      <c r="EF363" s="61"/>
      <c r="EG363" s="69"/>
      <c r="EH363" s="61"/>
      <c r="EI363" s="69"/>
      <c r="EJ363" s="61"/>
      <c r="EK363" s="69"/>
      <c r="EL363" s="61"/>
      <c r="EM363" s="69"/>
      <c r="EN363" s="61"/>
      <c r="EO363" s="69"/>
      <c r="EP363" s="61"/>
      <c r="EQ363" s="69"/>
      <c r="ER363" s="61"/>
      <c r="ES363" s="69"/>
      <c r="ET363" s="61"/>
      <c r="EU363" s="69"/>
      <c r="EV363" s="61"/>
      <c r="EW363" s="69"/>
      <c r="EX363" s="61"/>
      <c r="EY363" s="64"/>
      <c r="EZ363" s="558"/>
      <c r="FA363" s="64"/>
      <c r="FB363" s="69"/>
      <c r="FC363" s="71"/>
      <c r="FD363" s="69"/>
      <c r="FE363" s="70"/>
      <c r="FF363" s="69"/>
      <c r="FG363" s="70"/>
      <c r="FH363" s="69"/>
      <c r="FI363" s="70"/>
      <c r="FJ363" s="69"/>
      <c r="FK363" s="70"/>
      <c r="FL363" s="69"/>
      <c r="FM363" s="61"/>
      <c r="FN363" s="69"/>
      <c r="FO363" s="61"/>
      <c r="FP363" s="73">
        <f>AW363</f>
        <v>77633</v>
      </c>
      <c r="FQ363" s="61" t="str">
        <f t="shared" si="2289"/>
        <v>NA</v>
      </c>
      <c r="FR363" s="73">
        <f>SUM(FR357:FR362)</f>
        <v>97307</v>
      </c>
      <c r="FS363" s="61">
        <f t="shared" si="2290"/>
        <v>25.342315767779166</v>
      </c>
      <c r="FT363" s="73">
        <f>SUM(FT357:FT362)</f>
        <v>85357</v>
      </c>
      <c r="FU363" s="61">
        <f t="shared" si="2291"/>
        <v>-12.280719783777116</v>
      </c>
      <c r="FV363" s="73">
        <f>SUM(FV357:FV362)</f>
        <v>54542</v>
      </c>
      <c r="FW363" s="61">
        <f t="shared" si="2292"/>
        <v>-36.10131565073749</v>
      </c>
      <c r="FX363" s="73">
        <f>SUM(FX357:FX362)</f>
        <v>57867</v>
      </c>
      <c r="FY363" s="61">
        <f t="shared" si="2293"/>
        <v>6.0962194272303982</v>
      </c>
      <c r="FZ363" s="73"/>
      <c r="GA363" s="61"/>
      <c r="GB363" s="73"/>
      <c r="GC363" s="61"/>
      <c r="GD363" s="73"/>
      <c r="GE363" s="61"/>
      <c r="GF363" s="73"/>
      <c r="GG363" s="61"/>
      <c r="GH363" s="73"/>
      <c r="GI363" s="61"/>
      <c r="GJ363" s="73"/>
      <c r="GK363" s="61"/>
      <c r="GL363" s="73"/>
      <c r="GM363" s="61"/>
      <c r="GN363" s="73"/>
      <c r="GO363" s="61"/>
      <c r="GP363" s="73"/>
      <c r="GQ363" s="61"/>
      <c r="GR363" s="69"/>
      <c r="GS363" s="61"/>
      <c r="GT363" s="69"/>
      <c r="GU363" s="61"/>
      <c r="GV363" s="69"/>
      <c r="GW363" s="61"/>
      <c r="GX363" s="69"/>
      <c r="GY363" s="61"/>
      <c r="GZ363" s="61"/>
      <c r="HA363" s="61"/>
      <c r="HB363" s="452"/>
      <c r="HC363"/>
      <c r="HD363"/>
      <c r="HE363"/>
      <c r="HF363"/>
      <c r="HG363"/>
      <c r="HH363"/>
    </row>
    <row r="364" spans="1:216" s="5" customFormat="1" ht="12.75" hidden="1" customHeight="1" outlineLevel="1" x14ac:dyDescent="0.2">
      <c r="B364" s="2" t="s">
        <v>124</v>
      </c>
      <c r="C364" s="69"/>
      <c r="D364" s="70"/>
      <c r="E364" s="69"/>
      <c r="F364" s="71"/>
      <c r="G364" s="69"/>
      <c r="H364" s="71"/>
      <c r="I364" s="69"/>
      <c r="J364" s="61"/>
      <c r="K364" s="69"/>
      <c r="L364" s="61"/>
      <c r="M364" s="69"/>
      <c r="N364" s="61"/>
      <c r="O364" s="69"/>
      <c r="P364" s="61"/>
      <c r="Q364" s="69"/>
      <c r="R364" s="61"/>
      <c r="S364" s="69"/>
      <c r="T364" s="61"/>
      <c r="U364" s="69"/>
      <c r="V364" s="61"/>
      <c r="W364" s="69"/>
      <c r="X364" s="61"/>
      <c r="Y364" s="69"/>
      <c r="Z364" s="61"/>
      <c r="AA364" s="69"/>
      <c r="AB364" s="61"/>
      <c r="AC364" s="69"/>
      <c r="AD364" s="61"/>
      <c r="AE364" s="69"/>
      <c r="AF364" s="61"/>
      <c r="AG364" s="69"/>
      <c r="AH364" s="61"/>
      <c r="AI364" s="69"/>
      <c r="AJ364" s="61"/>
      <c r="AK364" s="69"/>
      <c r="AL364" s="61"/>
      <c r="AM364" s="69"/>
      <c r="AN364" s="61"/>
      <c r="AO364" s="69"/>
      <c r="AP364" s="61"/>
      <c r="AQ364" s="69">
        <f>AVERAGE(AQ363,AQ357)</f>
        <v>58105.5</v>
      </c>
      <c r="AR364" s="61" t="str">
        <f t="shared" si="2272"/>
        <v>NA</v>
      </c>
      <c r="AS364" s="69">
        <f>AVERAGE(AS363,AS357)</f>
        <v>62965.5</v>
      </c>
      <c r="AT364" s="61" t="str">
        <f t="shared" si="2273"/>
        <v>NA</v>
      </c>
      <c r="AU364" s="69">
        <f>AVERAGE(AU363,AU357)</f>
        <v>70062.5</v>
      </c>
      <c r="AV364" s="61" t="str">
        <f t="shared" si="2274"/>
        <v>NA</v>
      </c>
      <c r="AW364" s="69">
        <f>AVERAGE(AW363,AW357)</f>
        <v>75453.5</v>
      </c>
      <c r="AX364" s="61" t="str">
        <f t="shared" si="2274"/>
        <v>NA</v>
      </c>
      <c r="AY364" s="69">
        <f>AVERAGE(AY363,AY357)</f>
        <v>82030.5</v>
      </c>
      <c r="AZ364" s="61">
        <f t="shared" si="2275"/>
        <v>41.175103905826461</v>
      </c>
      <c r="BA364" s="69">
        <f>AVERAGE(BA363,BA357)</f>
        <v>86176</v>
      </c>
      <c r="BB364" s="61">
        <f t="shared" si="2276"/>
        <v>36.862249962280934</v>
      </c>
      <c r="BC364" s="69">
        <f>AVERAGE(BC363,BC357)</f>
        <v>87717.5</v>
      </c>
      <c r="BD364" s="61">
        <f t="shared" si="2277"/>
        <v>25.198929527207859</v>
      </c>
      <c r="BE364" s="69">
        <f>AVERAGE(BE363,BE357)</f>
        <v>93409</v>
      </c>
      <c r="BF364" s="61">
        <f t="shared" si="2278"/>
        <v>23.79677549749184</v>
      </c>
      <c r="BG364" s="69">
        <f>AVERAGE(BG363,BG357)</f>
        <v>94726</v>
      </c>
      <c r="BH364" s="61">
        <f t="shared" si="2279"/>
        <v>15.476560547601203</v>
      </c>
      <c r="BI364" s="69">
        <f>AVERAGE(BI363,BI357)</f>
        <v>96718</v>
      </c>
      <c r="BJ364" s="61">
        <f t="shared" si="2280"/>
        <v>12.233104344597102</v>
      </c>
      <c r="BK364" s="69">
        <f>AVERAGE(BK363,BK357)</f>
        <v>98710</v>
      </c>
      <c r="BL364" s="61">
        <f t="shared" si="2281"/>
        <v>12.531706899991457</v>
      </c>
      <c r="BM364" s="69">
        <f>AVERAGE(BM363,BM357)</f>
        <v>92531.5</v>
      </c>
      <c r="BN364" s="61">
        <f t="shared" si="2282"/>
        <v>-0.93941697266858304</v>
      </c>
      <c r="BO364" s="69">
        <f>AVERAGE(BO363,BO357)</f>
        <v>81947.5</v>
      </c>
      <c r="BP364" s="61">
        <f t="shared" si="2283"/>
        <v>-13.489960517703691</v>
      </c>
      <c r="BQ364" s="69">
        <f>AVERAGE(BQ363,BQ357)</f>
        <v>77114.5</v>
      </c>
      <c r="BR364" s="61">
        <f t="shared" si="2284"/>
        <v>-20.268719369714017</v>
      </c>
      <c r="BS364" s="69">
        <f>AVERAGE(BS363,BS357)</f>
        <v>71145</v>
      </c>
      <c r="BT364" s="61">
        <f t="shared" si="2285"/>
        <v>-27.925235538445957</v>
      </c>
      <c r="BU364" s="69">
        <f>AVERAGE(BU363,BU357)</f>
        <v>60570.5</v>
      </c>
      <c r="BV364" s="61">
        <f t="shared" si="2286"/>
        <v>-34.540669934022475</v>
      </c>
      <c r="BW364" s="69">
        <f>AVERAGE(BW363,BW357)</f>
        <v>53176</v>
      </c>
      <c r="BX364" s="61">
        <f t="shared" si="2287"/>
        <v>-35.109673876567314</v>
      </c>
      <c r="BY364" s="69">
        <f>AVERAGE(BY363,BY357)</f>
        <v>54838.5</v>
      </c>
      <c r="BZ364" s="61">
        <f t="shared" si="2288"/>
        <v>-28.88691491224089</v>
      </c>
      <c r="CA364" s="69"/>
      <c r="CB364" s="61"/>
      <c r="CC364" s="69"/>
      <c r="CD364" s="61"/>
      <c r="CE364" s="69"/>
      <c r="CF364" s="61"/>
      <c r="CG364" s="69"/>
      <c r="CH364" s="61"/>
      <c r="CI364" s="69"/>
      <c r="CJ364" s="61"/>
      <c r="CK364" s="69"/>
      <c r="CL364" s="61"/>
      <c r="CM364" s="69"/>
      <c r="CN364" s="61"/>
      <c r="CO364" s="69"/>
      <c r="CP364" s="61"/>
      <c r="CQ364" s="69"/>
      <c r="CR364" s="61"/>
      <c r="CS364" s="69"/>
      <c r="CT364" s="61"/>
      <c r="CU364" s="69"/>
      <c r="CV364" s="61"/>
      <c r="CW364" s="69"/>
      <c r="CX364" s="61"/>
      <c r="CY364" s="69"/>
      <c r="CZ364" s="61"/>
      <c r="DA364" s="69"/>
      <c r="DB364" s="61"/>
      <c r="DC364" s="69"/>
      <c r="DD364" s="61"/>
      <c r="DE364" s="69"/>
      <c r="DF364" s="61"/>
      <c r="DG364" s="69"/>
      <c r="DH364" s="61"/>
      <c r="DI364" s="69"/>
      <c r="DJ364" s="61"/>
      <c r="DK364" s="69"/>
      <c r="DL364" s="61"/>
      <c r="DM364" s="69"/>
      <c r="DN364" s="61"/>
      <c r="DO364" s="69"/>
      <c r="DP364" s="61"/>
      <c r="DQ364" s="69"/>
      <c r="DR364" s="61"/>
      <c r="DS364" s="69"/>
      <c r="DT364" s="61"/>
      <c r="DU364" s="69"/>
      <c r="DV364" s="61"/>
      <c r="DW364" s="69"/>
      <c r="DX364" s="69"/>
      <c r="DY364" s="69"/>
      <c r="DZ364" s="61"/>
      <c r="EA364" s="69"/>
      <c r="EB364" s="61"/>
      <c r="EC364" s="69"/>
      <c r="ED364" s="61"/>
      <c r="EE364" s="69"/>
      <c r="EF364" s="61"/>
      <c r="EG364" s="69"/>
      <c r="EH364" s="61"/>
      <c r="EI364" s="69"/>
      <c r="EJ364" s="61"/>
      <c r="EK364" s="69"/>
      <c r="EL364" s="61"/>
      <c r="EM364" s="69"/>
      <c r="EN364" s="61"/>
      <c r="EO364" s="69"/>
      <c r="EP364" s="61"/>
      <c r="EQ364" s="69"/>
      <c r="ER364" s="61"/>
      <c r="ES364" s="69"/>
      <c r="ET364" s="61"/>
      <c r="EU364" s="69"/>
      <c r="EV364" s="61"/>
      <c r="EW364" s="69"/>
      <c r="EX364" s="61"/>
      <c r="EY364" s="64"/>
      <c r="EZ364" s="558"/>
      <c r="FA364" s="64"/>
      <c r="FB364" s="69"/>
      <c r="FC364" s="71"/>
      <c r="FD364" s="69"/>
      <c r="FE364" s="70"/>
      <c r="FF364" s="69"/>
      <c r="FG364" s="70"/>
      <c r="FH364" s="69"/>
      <c r="FI364" s="70"/>
      <c r="FJ364" s="69"/>
      <c r="FK364" s="70"/>
      <c r="FL364" s="69"/>
      <c r="FM364" s="61"/>
      <c r="FN364" s="69"/>
      <c r="FO364" s="61"/>
      <c r="FP364" s="73">
        <f>AVERAGE(FP363,FP357)</f>
        <v>67382</v>
      </c>
      <c r="FQ364" s="61" t="str">
        <f t="shared" si="2289"/>
        <v>NA</v>
      </c>
      <c r="FR364" s="73">
        <f>AVERAGE(FR363,FR357)</f>
        <v>87470</v>
      </c>
      <c r="FS364" s="61">
        <f t="shared" si="2290"/>
        <v>29.81211599536968</v>
      </c>
      <c r="FT364" s="73">
        <f>AVERAGE(FT363,FT357)</f>
        <v>89543.5</v>
      </c>
      <c r="FU364" s="61">
        <f t="shared" si="2291"/>
        <v>2.3705270378415522</v>
      </c>
      <c r="FV364" s="73">
        <f>AVERAGE(FV363,FV357)</f>
        <v>69949.5</v>
      </c>
      <c r="FW364" s="61">
        <f t="shared" si="2292"/>
        <v>-21.882101995119683</v>
      </c>
      <c r="FX364" s="73">
        <f>AVERAGE(FX363,FX357)</f>
        <v>56204.5</v>
      </c>
      <c r="FY364" s="61">
        <f t="shared" si="2293"/>
        <v>-19.649890277986259</v>
      </c>
      <c r="FZ364" s="73"/>
      <c r="GA364" s="61"/>
      <c r="GB364" s="73"/>
      <c r="GC364" s="61"/>
      <c r="GD364" s="73"/>
      <c r="GE364" s="61"/>
      <c r="GF364" s="73"/>
      <c r="GG364" s="61"/>
      <c r="GH364" s="73"/>
      <c r="GI364" s="61"/>
      <c r="GJ364" s="73"/>
      <c r="GK364" s="61"/>
      <c r="GL364" s="73"/>
      <c r="GM364" s="61"/>
      <c r="GN364" s="73"/>
      <c r="GO364" s="61"/>
      <c r="GP364" s="73"/>
      <c r="GQ364" s="61"/>
      <c r="GR364" s="69"/>
      <c r="GS364" s="61"/>
      <c r="GT364" s="69"/>
      <c r="GU364" s="61"/>
      <c r="GV364" s="69"/>
      <c r="GW364" s="61"/>
      <c r="GX364" s="69"/>
      <c r="GY364" s="61"/>
      <c r="GZ364" s="61"/>
      <c r="HA364" s="61"/>
      <c r="HB364" s="452"/>
      <c r="HC364"/>
      <c r="HD364"/>
      <c r="HE364"/>
      <c r="HF364"/>
      <c r="HG364"/>
      <c r="HH364"/>
    </row>
    <row r="365" spans="1:216" s="5" customFormat="1" ht="12.75" hidden="1" customHeight="1" outlineLevel="1" x14ac:dyDescent="0.2">
      <c r="B365" s="2"/>
      <c r="C365" s="66"/>
      <c r="D365" s="67"/>
      <c r="E365" s="66"/>
      <c r="F365" s="66"/>
      <c r="G365" s="64"/>
      <c r="H365" s="66"/>
      <c r="I365" s="64"/>
      <c r="J365" s="66"/>
      <c r="K365" s="64"/>
      <c r="L365" s="61"/>
      <c r="M365" s="66"/>
      <c r="N365" s="61"/>
      <c r="O365" s="64"/>
      <c r="P365" s="61"/>
      <c r="Q365" s="64"/>
      <c r="R365" s="61"/>
      <c r="S365" s="64"/>
      <c r="T365" s="61"/>
      <c r="U365" s="64"/>
      <c r="V365" s="61"/>
      <c r="W365" s="64"/>
      <c r="X365" s="61"/>
      <c r="Y365" s="64"/>
      <c r="Z365" s="61"/>
      <c r="AA365" s="64"/>
      <c r="AB365" s="61"/>
      <c r="AC365" s="64"/>
      <c r="AD365" s="61"/>
      <c r="AE365" s="64"/>
      <c r="AF365" s="61"/>
      <c r="AG365" s="64"/>
      <c r="AH365" s="61"/>
      <c r="AI365" s="64"/>
      <c r="AJ365" s="61"/>
      <c r="AK365" s="64"/>
      <c r="AL365" s="61"/>
      <c r="AM365" s="64"/>
      <c r="AN365" s="61"/>
      <c r="AO365" s="64"/>
      <c r="AP365" s="61"/>
      <c r="AQ365" s="64"/>
      <c r="AR365" s="61"/>
      <c r="AS365" s="64"/>
      <c r="AT365" s="61"/>
      <c r="AU365" s="64"/>
      <c r="AV365" s="61"/>
      <c r="AW365" s="64"/>
      <c r="AX365" s="61"/>
      <c r="AY365" s="64"/>
      <c r="AZ365" s="61"/>
      <c r="BA365" s="64"/>
      <c r="BB365" s="61"/>
      <c r="BC365" s="64"/>
      <c r="BD365" s="61"/>
      <c r="BE365" s="64"/>
      <c r="BF365" s="61"/>
      <c r="BG365" s="64"/>
      <c r="BH365" s="61"/>
      <c r="BI365" s="64"/>
      <c r="BJ365" s="61"/>
      <c r="BK365" s="64"/>
      <c r="BL365" s="61"/>
      <c r="BM365" s="64"/>
      <c r="BN365" s="61"/>
      <c r="BO365" s="64"/>
      <c r="BP365" s="61"/>
      <c r="BQ365" s="64"/>
      <c r="BR365" s="61"/>
      <c r="BS365" s="64"/>
      <c r="BT365" s="61"/>
      <c r="BU365" s="64"/>
      <c r="BV365" s="61"/>
      <c r="BW365" s="64"/>
      <c r="BX365" s="61"/>
      <c r="BY365" s="64"/>
      <c r="BZ365" s="61"/>
      <c r="CA365" s="64"/>
      <c r="CB365" s="61"/>
      <c r="CC365" s="64"/>
      <c r="CD365" s="61"/>
      <c r="CE365" s="64"/>
      <c r="CF365" s="61"/>
      <c r="CG365" s="64"/>
      <c r="CH365" s="61"/>
      <c r="CI365" s="64"/>
      <c r="CJ365" s="61"/>
      <c r="CK365" s="64"/>
      <c r="CL365" s="61"/>
      <c r="CM365" s="64"/>
      <c r="CN365" s="61"/>
      <c r="CO365" s="64"/>
      <c r="CP365" s="61"/>
      <c r="CQ365" s="64"/>
      <c r="CR365" s="61"/>
      <c r="CS365" s="64"/>
      <c r="CT365" s="61"/>
      <c r="CU365" s="64"/>
      <c r="CV365" s="61"/>
      <c r="CW365" s="64"/>
      <c r="CX365" s="61"/>
      <c r="CY365" s="64"/>
      <c r="CZ365" s="61"/>
      <c r="DA365" s="64"/>
      <c r="DB365" s="61"/>
      <c r="DC365" s="64"/>
      <c r="DD365" s="61"/>
      <c r="DE365" s="64"/>
      <c r="DF365" s="61"/>
      <c r="DG365" s="64"/>
      <c r="DH365" s="61"/>
      <c r="DI365" s="64"/>
      <c r="DJ365" s="61"/>
      <c r="DK365" s="64"/>
      <c r="DL365" s="61"/>
      <c r="DM365" s="64"/>
      <c r="DN365" s="61"/>
      <c r="DO365" s="64"/>
      <c r="DP365" s="61"/>
      <c r="DQ365" s="64"/>
      <c r="DR365" s="61"/>
      <c r="DS365" s="64"/>
      <c r="DT365" s="61"/>
      <c r="DU365" s="64"/>
      <c r="DV365" s="61"/>
      <c r="DW365" s="64"/>
      <c r="DX365" s="64"/>
      <c r="DY365" s="64"/>
      <c r="DZ365" s="61"/>
      <c r="EA365" s="64"/>
      <c r="EB365" s="61"/>
      <c r="EC365" s="64"/>
      <c r="ED365" s="61"/>
      <c r="EE365" s="64"/>
      <c r="EF365" s="61"/>
      <c r="EG365" s="64"/>
      <c r="EH365" s="61"/>
      <c r="EI365" s="64"/>
      <c r="EJ365" s="61"/>
      <c r="EK365" s="64"/>
      <c r="EL365" s="61"/>
      <c r="EM365" s="64"/>
      <c r="EN365" s="61"/>
      <c r="EO365" s="64"/>
      <c r="EP365" s="61"/>
      <c r="EQ365" s="64"/>
      <c r="ER365" s="61"/>
      <c r="ES365" s="64"/>
      <c r="ET365" s="61"/>
      <c r="EU365" s="64"/>
      <c r="EV365" s="61"/>
      <c r="EW365" s="64"/>
      <c r="EX365" s="61"/>
      <c r="EY365" s="64"/>
      <c r="EZ365" s="558"/>
      <c r="FA365" s="64"/>
      <c r="FB365" s="66"/>
      <c r="FC365" s="66"/>
      <c r="FD365" s="66"/>
      <c r="FE365" s="67"/>
      <c r="FF365" s="66"/>
      <c r="FG365" s="67"/>
      <c r="FH365" s="66"/>
      <c r="FI365" s="67"/>
      <c r="FJ365" s="66"/>
      <c r="FK365" s="67"/>
      <c r="FL365" s="66"/>
      <c r="FM365" s="61"/>
      <c r="FN365" s="66"/>
      <c r="FO365" s="61"/>
      <c r="FP365" s="65"/>
      <c r="FQ365" s="61"/>
      <c r="FR365" s="65"/>
      <c r="FS365" s="61"/>
      <c r="FT365" s="65"/>
      <c r="FU365" s="61"/>
      <c r="FV365" s="65"/>
      <c r="FW365" s="61"/>
      <c r="FX365" s="65"/>
      <c r="FY365" s="61"/>
      <c r="FZ365" s="65"/>
      <c r="GA365" s="61"/>
      <c r="GB365" s="65"/>
      <c r="GC365" s="61"/>
      <c r="GD365" s="65"/>
      <c r="GE365" s="61"/>
      <c r="GF365" s="65"/>
      <c r="GG365" s="61"/>
      <c r="GH365" s="65"/>
      <c r="GI365" s="61"/>
      <c r="GJ365" s="65"/>
      <c r="GK365" s="61"/>
      <c r="GL365" s="65"/>
      <c r="GM365" s="61"/>
      <c r="GN365" s="65"/>
      <c r="GO365" s="61"/>
      <c r="GP365" s="65"/>
      <c r="GQ365" s="61"/>
      <c r="GR365" s="64"/>
      <c r="GS365" s="61"/>
      <c r="GT365" s="64"/>
      <c r="GU365" s="61"/>
      <c r="GV365" s="64"/>
      <c r="GW365" s="61"/>
      <c r="GX365" s="64"/>
      <c r="GY365" s="61"/>
      <c r="GZ365" s="61"/>
      <c r="HA365" s="61"/>
      <c r="HB365" s="452"/>
      <c r="HC365"/>
      <c r="HD365"/>
      <c r="HE365"/>
      <c r="HF365"/>
      <c r="HG365"/>
      <c r="HH365"/>
    </row>
    <row r="366" spans="1:216" s="5" customFormat="1" ht="12.75" hidden="1" customHeight="1" outlineLevel="1" x14ac:dyDescent="0.2">
      <c r="B366" s="152" t="s">
        <v>44</v>
      </c>
      <c r="C366" s="66"/>
      <c r="D366" s="67"/>
      <c r="E366" s="66"/>
      <c r="F366" s="66"/>
      <c r="G366" s="64"/>
      <c r="H366" s="66"/>
      <c r="I366" s="64"/>
      <c r="J366" s="66"/>
      <c r="K366" s="64"/>
      <c r="L366" s="61"/>
      <c r="M366" s="66"/>
      <c r="N366" s="61"/>
      <c r="O366" s="64"/>
      <c r="P366" s="61"/>
      <c r="Q366" s="64"/>
      <c r="R366" s="61"/>
      <c r="S366" s="64"/>
      <c r="T366" s="61"/>
      <c r="U366" s="64"/>
      <c r="V366" s="61"/>
      <c r="W366" s="64"/>
      <c r="X366" s="61"/>
      <c r="Y366" s="64"/>
      <c r="Z366" s="61"/>
      <c r="AA366" s="64"/>
      <c r="AB366" s="61"/>
      <c r="AC366" s="64"/>
      <c r="AD366" s="61"/>
      <c r="AE366" s="64"/>
      <c r="AF366" s="61"/>
      <c r="AG366" s="64"/>
      <c r="AH366" s="61"/>
      <c r="AI366" s="64"/>
      <c r="AJ366" s="61"/>
      <c r="AK366" s="64"/>
      <c r="AL366" s="61"/>
      <c r="AM366" s="64"/>
      <c r="AN366" s="61"/>
      <c r="AO366" s="64"/>
      <c r="AP366" s="61"/>
      <c r="AQ366" s="64"/>
      <c r="AR366" s="61"/>
      <c r="AS366" s="64"/>
      <c r="AT366" s="61"/>
      <c r="AU366" s="64"/>
      <c r="AV366" s="61"/>
      <c r="AW366" s="64"/>
      <c r="AX366" s="61"/>
      <c r="AY366" s="64"/>
      <c r="AZ366" s="61"/>
      <c r="BA366" s="64"/>
      <c r="BB366" s="61"/>
      <c r="BC366" s="64"/>
      <c r="BD366" s="61"/>
      <c r="BE366" s="64"/>
      <c r="BF366" s="61"/>
      <c r="BG366" s="64"/>
      <c r="BH366" s="61"/>
      <c r="BI366" s="64"/>
      <c r="BJ366" s="61"/>
      <c r="BK366" s="64"/>
      <c r="BL366" s="61"/>
      <c r="BM366" s="64"/>
      <c r="BN366" s="61"/>
      <c r="BO366" s="64"/>
      <c r="BP366" s="61"/>
      <c r="BQ366" s="64"/>
      <c r="BR366" s="61"/>
      <c r="BS366" s="64"/>
      <c r="BT366" s="61"/>
      <c r="BU366" s="64"/>
      <c r="BV366" s="61"/>
      <c r="BW366" s="64"/>
      <c r="BX366" s="61"/>
      <c r="BY366" s="64"/>
      <c r="BZ366" s="61"/>
      <c r="CA366" s="64"/>
      <c r="CB366" s="61"/>
      <c r="CC366" s="64"/>
      <c r="CD366" s="61"/>
      <c r="CE366" s="64"/>
      <c r="CF366" s="61"/>
      <c r="CG366" s="64"/>
      <c r="CH366" s="61"/>
      <c r="CI366" s="64"/>
      <c r="CJ366" s="61"/>
      <c r="CK366" s="64"/>
      <c r="CL366" s="61"/>
      <c r="CM366" s="64"/>
      <c r="CN366" s="61"/>
      <c r="CO366" s="64"/>
      <c r="CP366" s="61"/>
      <c r="CQ366" s="64"/>
      <c r="CR366" s="61"/>
      <c r="CS366" s="64"/>
      <c r="CT366" s="61"/>
      <c r="CU366" s="64"/>
      <c r="CV366" s="61"/>
      <c r="CW366" s="64"/>
      <c r="CX366" s="61"/>
      <c r="CY366" s="64"/>
      <c r="CZ366" s="61"/>
      <c r="DA366" s="64"/>
      <c r="DB366" s="61"/>
      <c r="DC366" s="64"/>
      <c r="DD366" s="61"/>
      <c r="DE366" s="64"/>
      <c r="DF366" s="61"/>
      <c r="DG366" s="64"/>
      <c r="DH366" s="61"/>
      <c r="DI366" s="64"/>
      <c r="DJ366" s="61"/>
      <c r="DK366" s="64"/>
      <c r="DL366" s="61"/>
      <c r="DM366" s="64"/>
      <c r="DN366" s="61"/>
      <c r="DO366" s="64"/>
      <c r="DP366" s="61"/>
      <c r="DQ366" s="64"/>
      <c r="DR366" s="61"/>
      <c r="DS366" s="64"/>
      <c r="DT366" s="61"/>
      <c r="DU366" s="64"/>
      <c r="DV366" s="61"/>
      <c r="DW366" s="64"/>
      <c r="DX366" s="64"/>
      <c r="DY366" s="64"/>
      <c r="DZ366" s="61"/>
      <c r="EA366" s="64"/>
      <c r="EB366" s="61"/>
      <c r="EC366" s="64"/>
      <c r="ED366" s="61"/>
      <c r="EE366" s="64"/>
      <c r="EF366" s="61"/>
      <c r="EG366" s="64"/>
      <c r="EH366" s="61"/>
      <c r="EI366" s="64"/>
      <c r="EJ366" s="61"/>
      <c r="EK366" s="64"/>
      <c r="EL366" s="61"/>
      <c r="EM366" s="64"/>
      <c r="EN366" s="61"/>
      <c r="EO366" s="64"/>
      <c r="EP366" s="61"/>
      <c r="EQ366" s="64"/>
      <c r="ER366" s="61"/>
      <c r="ES366" s="64"/>
      <c r="ET366" s="61"/>
      <c r="EU366" s="64"/>
      <c r="EV366" s="61"/>
      <c r="EW366" s="64"/>
      <c r="EX366" s="61"/>
      <c r="EY366" s="64"/>
      <c r="EZ366" s="558"/>
      <c r="FA366" s="64"/>
      <c r="FB366" s="66"/>
      <c r="FC366" s="66"/>
      <c r="FD366" s="66"/>
      <c r="FE366" s="67"/>
      <c r="FF366" s="66"/>
      <c r="FG366" s="67"/>
      <c r="FH366" s="66"/>
      <c r="FI366" s="67"/>
      <c r="FJ366" s="66"/>
      <c r="FK366" s="67"/>
      <c r="FL366" s="66"/>
      <c r="FM366" s="61"/>
      <c r="FN366" s="66"/>
      <c r="FO366" s="61"/>
      <c r="FP366" s="65"/>
      <c r="FQ366" s="61"/>
      <c r="FR366" s="65"/>
      <c r="FS366" s="61"/>
      <c r="FT366" s="65"/>
      <c r="FU366" s="61"/>
      <c r="FV366" s="65"/>
      <c r="FW366" s="61"/>
      <c r="FX366" s="65"/>
      <c r="FY366" s="61"/>
      <c r="FZ366" s="65"/>
      <c r="GA366" s="61"/>
      <c r="GB366" s="65"/>
      <c r="GC366" s="61"/>
      <c r="GD366" s="65"/>
      <c r="GE366" s="61"/>
      <c r="GF366" s="65"/>
      <c r="GG366" s="61"/>
      <c r="GH366" s="65"/>
      <c r="GI366" s="61"/>
      <c r="GJ366" s="65"/>
      <c r="GK366" s="61"/>
      <c r="GL366" s="65"/>
      <c r="GM366" s="61"/>
      <c r="GN366" s="65"/>
      <c r="GO366" s="61"/>
      <c r="GP366" s="65"/>
      <c r="GQ366" s="61"/>
      <c r="GR366" s="64"/>
      <c r="GS366" s="61"/>
      <c r="GT366" s="64"/>
      <c r="GU366" s="61"/>
      <c r="GV366" s="64"/>
      <c r="GW366" s="61"/>
      <c r="GX366" s="64"/>
      <c r="GY366" s="61"/>
      <c r="GZ366" s="61"/>
      <c r="HA366" s="61"/>
      <c r="HB366" s="452"/>
      <c r="HC366"/>
      <c r="HD366"/>
      <c r="HE366"/>
      <c r="HF366"/>
      <c r="HG366"/>
      <c r="HH366"/>
    </row>
    <row r="367" spans="1:216" s="5" customFormat="1" ht="12.75" hidden="1" customHeight="1" outlineLevel="1" x14ac:dyDescent="0.2">
      <c r="A367" s="5" t="s">
        <v>445</v>
      </c>
      <c r="B367" s="2" t="s">
        <v>527</v>
      </c>
      <c r="C367" s="69"/>
      <c r="D367" s="70"/>
      <c r="E367" s="69"/>
      <c r="F367" s="71"/>
      <c r="G367" s="69"/>
      <c r="H367" s="71"/>
      <c r="I367" s="69"/>
      <c r="J367" s="71"/>
      <c r="K367" s="69"/>
      <c r="L367" s="61"/>
      <c r="M367" s="69"/>
      <c r="N367" s="61"/>
      <c r="O367" s="69"/>
      <c r="P367" s="61"/>
      <c r="Q367" s="69"/>
      <c r="R367" s="61"/>
      <c r="S367" s="69"/>
      <c r="T367" s="61"/>
      <c r="U367" s="69"/>
      <c r="V367" s="61"/>
      <c r="W367" s="69"/>
      <c r="X367" s="61"/>
      <c r="Y367" s="69"/>
      <c r="Z367" s="61"/>
      <c r="AA367" s="69"/>
      <c r="AB367" s="61"/>
      <c r="AC367" s="69"/>
      <c r="AD367" s="61"/>
      <c r="AE367" s="69"/>
      <c r="AF367" s="61"/>
      <c r="AG367" s="69"/>
      <c r="AH367" s="61"/>
      <c r="AI367" s="69"/>
      <c r="AJ367" s="61"/>
      <c r="AK367" s="69"/>
      <c r="AL367" s="61"/>
      <c r="AM367" s="69"/>
      <c r="AN367" s="61"/>
      <c r="AO367" s="69"/>
      <c r="AP367" s="61"/>
      <c r="AQ367" s="69">
        <f>+AQ358+AQ359</f>
        <v>2763</v>
      </c>
      <c r="AR367" s="61" t="str">
        <f>IF(ISERROR((AQ367/AI367-1)*100),"NA",IF(((AQ367/AI367-1)*100)&gt;100,"NM",IF(((AQ367/AI367-1)*100)&lt;-50,"NM",(AQ367/AI367-1)*100)))</f>
        <v>NA</v>
      </c>
      <c r="AS367" s="69">
        <f>+AS358+AS359</f>
        <v>6362</v>
      </c>
      <c r="AT367" s="61" t="str">
        <f>IF(ISERROR((AS367/AK367-1)*100),"NA",IF(((AS367/AK367-1)*100)&gt;100,"NM",IF(((AS367/AK367-1)*100)&lt;-50,"NM",(AS367/AK367-1)*100)))</f>
        <v>NA</v>
      </c>
      <c r="AU367" s="69">
        <f>+AU358+AU359</f>
        <v>3546</v>
      </c>
      <c r="AV367" s="61" t="str">
        <f>IF(ISERROR((AU367/AM367-1)*100),"NA",IF(((AU367/AM367-1)*100)&gt;100,"NM",IF(((AU367/AM367-1)*100)&lt;-50,"NM",(AU367/AM367-1)*100)))</f>
        <v>NA</v>
      </c>
      <c r="AW367" s="69">
        <f>+AW358+AW359</f>
        <v>2883</v>
      </c>
      <c r="AX367" s="61" t="str">
        <f>IF(ISERROR((AW367/AO367-1)*100),"NA",IF(((AW367/AO367-1)*100)&gt;100,"NM",IF(((AW367/AO367-1)*100)&lt;-50,"NM",(AW367/AO367-1)*100)))</f>
        <v>NA</v>
      </c>
      <c r="AY367" s="69">
        <f>+AY358+AY359</f>
        <v>4964</v>
      </c>
      <c r="AZ367" s="61">
        <f>IF(ISERROR((AY367/AQ367-1)*100),"NA",IF(((AY367/AQ367-1)*100)&gt;100,"NM",IF(((AY367/AQ367-1)*100)&lt;-50,"NM",(AY367/AQ367-1)*100)))</f>
        <v>79.659790083242839</v>
      </c>
      <c r="BA367" s="69">
        <f>+BA358+BA359</f>
        <v>1009</v>
      </c>
      <c r="BB367" s="61" t="str">
        <f>IF(ISERROR((BA367/AS367-1)*100),"NA",IF(((BA367/AS367-1)*100)&gt;100,"NM",IF(((BA367/AS367-1)*100)&lt;-50,"NM",(BA367/AS367-1)*100)))</f>
        <v>NM</v>
      </c>
      <c r="BC367" s="69">
        <f>+BC358+BC359</f>
        <v>749</v>
      </c>
      <c r="BD367" s="61" t="str">
        <f>IF(ISERROR((BC367/AU367-1)*100),"NA",IF(((BC367/AU367-1)*100)&gt;100,"NM",IF(((BC367/AU367-1)*100)&lt;-50,"NM",(BC367/AU367-1)*100)))</f>
        <v>NM</v>
      </c>
      <c r="BE367" s="69">
        <f>+BE358+BE359</f>
        <v>2529</v>
      </c>
      <c r="BF367" s="61">
        <f>IF(ISERROR((BE367/AW367-1)*100),"NA",IF(((BE367/AW367-1)*100)&gt;100,"NM",IF(((BE367/AW367-1)*100)&lt;-50,"NM",(BE367/AW367-1)*100)))</f>
        <v>-12.278876170655561</v>
      </c>
      <c r="BG367" s="69">
        <f>+BG358+BG359</f>
        <v>93</v>
      </c>
      <c r="BH367" s="61" t="str">
        <f>IF(ISERROR((BG367/AY367-1)*100),"NA",IF(((BG367/AY367-1)*100)&gt;100,"NM",IF(((BG367/AY367-1)*100)&lt;-50,"NM",(BG367/AY367-1)*100)))</f>
        <v>NM</v>
      </c>
      <c r="BI367" s="69">
        <f>+BI358+BI359</f>
        <v>93</v>
      </c>
      <c r="BJ367" s="61" t="str">
        <f>IF(ISERROR((BI367/BA367-1)*100),"NA",IF(((BI367/BA367-1)*100)&gt;100,"NM",IF(((BI367/BA367-1)*100)&lt;-50,"NM",(BI367/BA367-1)*100)))</f>
        <v>NM</v>
      </c>
      <c r="BK367" s="69">
        <f>+BK358+BK359</f>
        <v>93</v>
      </c>
      <c r="BL367" s="61" t="str">
        <f>IF(ISERROR((BK367/BC367-1)*100),"NA",IF(((BK367/BC367-1)*100)&gt;100,"NM",IF(((BK367/BC367-1)*100)&lt;-50,"NM",(BK367/BC367-1)*100)))</f>
        <v>NM</v>
      </c>
      <c r="BM367" s="69">
        <f>+BM358+BM359</f>
        <v>-1070</v>
      </c>
      <c r="BN367" s="61" t="str">
        <f>IF(ISERROR((BM367/BE367-1)*100),"NA",IF(((BM367/BE367-1)*100)&gt;100,"NM",IF(((BM367/BE367-1)*100)&lt;-50,"NM",(BM367/BE367-1)*100)))</f>
        <v>NM</v>
      </c>
      <c r="BO367" s="69">
        <f>+BO358+BO359</f>
        <v>-1162</v>
      </c>
      <c r="BP367" s="61" t="str">
        <f>IF(ISERROR((BO367/BG367-1)*100),"NA",IF(((BO367/BG367-1)*100)&gt;100,"NM",IF(((BO367/BG367-1)*100)&lt;-50,"NM",(BO367/BG367-1)*100)))</f>
        <v>NM</v>
      </c>
      <c r="BQ367" s="69">
        <f>+BQ358+BQ359</f>
        <v>-1469</v>
      </c>
      <c r="BR367" s="61" t="str">
        <f>IF(ISERROR((BQ367/BI367-1)*100),"NA",IF(((BQ367/BI367-1)*100)&gt;100,"NM",IF(((BQ367/BI367-1)*100)&lt;-50,"NM",(BQ367/BI367-1)*100)))</f>
        <v>NM</v>
      </c>
      <c r="BS367" s="69">
        <f>+BS358+BS359</f>
        <v>-3272</v>
      </c>
      <c r="BT367" s="61" t="str">
        <f>IF(ISERROR((BS367/BK367-1)*100),"NA",IF(((BS367/BK367-1)*100)&gt;100,"NM",IF(((BS367/BK367-1)*100)&lt;-50,"NM",(BS367/BK367-1)*100)))</f>
        <v>NM</v>
      </c>
      <c r="BU367" s="69">
        <f>+BU358+BU359</f>
        <v>-3300</v>
      </c>
      <c r="BV367" s="61" t="str">
        <f>IF(ISERROR((BU367/BM367-1)*100),"NA",IF(((BU367/BM367-1)*100)&gt;100,"NM",IF(((BU367/BM367-1)*100)&lt;-50,"NM",(BU367/BM367-1)*100)))</f>
        <v>NM</v>
      </c>
      <c r="BW367" s="69">
        <f>+BW358+BW359</f>
        <v>211</v>
      </c>
      <c r="BX367" s="61" t="str">
        <f>IF(ISERROR((BW367/BO367-1)*100),"NA",IF(((BW367/BO367-1)*100)&gt;100,"NM",IF(((BW367/BO367-1)*100)&lt;-50,"NM",(BW367/BO367-1)*100)))</f>
        <v>NM</v>
      </c>
      <c r="BY367" s="69">
        <f>+BY358+BY359</f>
        <v>74</v>
      </c>
      <c r="BZ367" s="61" t="str">
        <f>IF(ISERROR((BY367/BQ367-1)*100),"NA",IF(((BY367/BQ367-1)*100)&gt;100,"NM",IF(((BY367/BQ367-1)*100)&lt;-50,"NM",(BY367/BQ367-1)*100)))</f>
        <v>NM</v>
      </c>
      <c r="CA367" s="69"/>
      <c r="CB367" s="61"/>
      <c r="CC367" s="69"/>
      <c r="CD367" s="61"/>
      <c r="CE367" s="69"/>
      <c r="CF367" s="61"/>
      <c r="CG367" s="69"/>
      <c r="CH367" s="61"/>
      <c r="CI367" s="69"/>
      <c r="CJ367" s="61"/>
      <c r="CK367" s="69"/>
      <c r="CL367" s="61"/>
      <c r="CM367" s="69"/>
      <c r="CN367" s="61"/>
      <c r="CO367" s="69"/>
      <c r="CP367" s="61"/>
      <c r="CQ367" s="69"/>
      <c r="CR367" s="61"/>
      <c r="CS367" s="69"/>
      <c r="CT367" s="61"/>
      <c r="CU367" s="69"/>
      <c r="CV367" s="61"/>
      <c r="CW367" s="69"/>
      <c r="CX367" s="61"/>
      <c r="CY367" s="69"/>
      <c r="CZ367" s="61"/>
      <c r="DA367" s="69"/>
      <c r="DB367" s="61"/>
      <c r="DC367" s="69"/>
      <c r="DD367" s="61"/>
      <c r="DE367" s="69"/>
      <c r="DF367" s="61"/>
      <c r="DG367" s="69"/>
      <c r="DH367" s="61"/>
      <c r="DI367" s="69"/>
      <c r="DJ367" s="61"/>
      <c r="DK367" s="69"/>
      <c r="DL367" s="61"/>
      <c r="DM367" s="69"/>
      <c r="DN367" s="61"/>
      <c r="DO367" s="69"/>
      <c r="DP367" s="61"/>
      <c r="DQ367" s="69"/>
      <c r="DR367" s="61"/>
      <c r="DS367" s="69"/>
      <c r="DT367" s="61"/>
      <c r="DU367" s="69"/>
      <c r="DV367" s="61"/>
      <c r="DW367" s="69"/>
      <c r="DX367" s="69"/>
      <c r="DY367" s="69"/>
      <c r="DZ367" s="61"/>
      <c r="EA367" s="69"/>
      <c r="EB367" s="61"/>
      <c r="EC367" s="69"/>
      <c r="ED367" s="61"/>
      <c r="EE367" s="69"/>
      <c r="EF367" s="61"/>
      <c r="EG367" s="69"/>
      <c r="EH367" s="61"/>
      <c r="EI367" s="69"/>
      <c r="EJ367" s="61"/>
      <c r="EK367" s="69"/>
      <c r="EL367" s="61"/>
      <c r="EM367" s="69"/>
      <c r="EN367" s="61"/>
      <c r="EO367" s="69"/>
      <c r="EP367" s="61"/>
      <c r="EQ367" s="69"/>
      <c r="ER367" s="61"/>
      <c r="ES367" s="69"/>
      <c r="ET367" s="61"/>
      <c r="EU367" s="69"/>
      <c r="EV367" s="61"/>
      <c r="EW367" s="69"/>
      <c r="EX367" s="61"/>
      <c r="EY367" s="64"/>
      <c r="EZ367" s="558"/>
      <c r="FA367" s="64"/>
      <c r="FB367" s="69"/>
      <c r="FC367" s="71"/>
      <c r="FD367" s="69"/>
      <c r="FE367" s="70"/>
      <c r="FF367" s="69"/>
      <c r="FG367" s="70"/>
      <c r="FH367" s="69"/>
      <c r="FI367" s="70"/>
      <c r="FJ367" s="69"/>
      <c r="FK367" s="70"/>
      <c r="FL367" s="69"/>
      <c r="FM367" s="61"/>
      <c r="FN367" s="69"/>
      <c r="FO367" s="61"/>
      <c r="FP367" s="73">
        <f>+FP358+FP359</f>
        <v>15554</v>
      </c>
      <c r="FQ367" s="61" t="str">
        <f>IF(ISERROR((FP367/FN367-1)*100),"NA",IF(((FP367/FN367-1)*100)&gt;100,"NM",IF(((FP367/FN367-1)*100)&lt;-50,"NM",(FP367/FN367-1)*100)))</f>
        <v>NA</v>
      </c>
      <c r="FR367" s="73">
        <f>+FR358+FR359</f>
        <v>9251</v>
      </c>
      <c r="FS367" s="61">
        <f>IF(ISERROR((FR367/FP367-1)*100),"NA",IF(((FR367/FP367-1)*100)&gt;100,"NM",IF(((FR367/FP367-1)*100)&lt;-50,"NM",(FR367/FP367-1)*100)))</f>
        <v>-40.523338048090515</v>
      </c>
      <c r="FT367" s="73">
        <f>+FT358+FT359</f>
        <v>-791</v>
      </c>
      <c r="FU367" s="61" t="str">
        <f>IF(ISERROR((FT367/FR367-1)*100),"NA",IF(((FT367/FR367-1)*100)&gt;100,"NM",IF(((FT367/FR367-1)*100)&lt;-50,"NM",(FT367/FR367-1)*100)))</f>
        <v>NM</v>
      </c>
      <c r="FV367" s="73">
        <f>+FV358+FV359</f>
        <v>-9203</v>
      </c>
      <c r="FW367" s="61" t="str">
        <f>IF(ISERROR((FV367/FT367-1)*100),"NA",IF(((FV367/FT367-1)*100)&gt;100,"NM",IF(((FV367/FT367-1)*100)&lt;-50,"NM",(FV367/FT367-1)*100)))</f>
        <v>NM</v>
      </c>
      <c r="FX367" s="73">
        <f>+FX358+FX359</f>
        <v>285</v>
      </c>
      <c r="FY367" s="61" t="str">
        <f>IF(ISERROR((FX367/FV367-1)*100),"NA",IF(((FX367/FV367-1)*100)&gt;100,"NM",IF(((FX367/FV367-1)*100)&lt;-50,"NM",(FX367/FV367-1)*100)))</f>
        <v>NM</v>
      </c>
      <c r="FZ367" s="73"/>
      <c r="GA367" s="61"/>
      <c r="GB367" s="73"/>
      <c r="GC367" s="61"/>
      <c r="GD367" s="73"/>
      <c r="GE367" s="61"/>
      <c r="GF367" s="73"/>
      <c r="GG367" s="61"/>
      <c r="GH367" s="73"/>
      <c r="GI367" s="61"/>
      <c r="GJ367" s="73"/>
      <c r="GK367" s="61"/>
      <c r="GL367" s="73"/>
      <c r="GM367" s="61"/>
      <c r="GN367" s="73"/>
      <c r="GO367" s="61"/>
      <c r="GP367" s="73"/>
      <c r="GQ367" s="61"/>
      <c r="GR367" s="69"/>
      <c r="GS367" s="61"/>
      <c r="GT367" s="69"/>
      <c r="GU367" s="61"/>
      <c r="GV367" s="69"/>
      <c r="GW367" s="61"/>
      <c r="GX367" s="69"/>
      <c r="GY367" s="61"/>
      <c r="GZ367" s="61"/>
      <c r="HA367" s="61"/>
      <c r="HB367" s="452"/>
      <c r="HC367"/>
      <c r="HD367"/>
      <c r="HE367"/>
      <c r="HF367"/>
      <c r="HG367"/>
      <c r="HH367"/>
    </row>
    <row r="368" spans="1:216" s="5" customFormat="1" ht="12.75" hidden="1" customHeight="1" outlineLevel="1" x14ac:dyDescent="0.2">
      <c r="B368" s="2" t="s">
        <v>163</v>
      </c>
      <c r="C368" s="69"/>
      <c r="D368" s="70"/>
      <c r="E368" s="69"/>
      <c r="F368" s="71"/>
      <c r="G368" s="69"/>
      <c r="H368" s="71"/>
      <c r="I368" s="69"/>
      <c r="J368" s="71"/>
      <c r="K368" s="69"/>
      <c r="L368" s="61"/>
      <c r="M368" s="69"/>
      <c r="N368" s="61"/>
      <c r="O368" s="69"/>
      <c r="P368" s="61"/>
      <c r="Q368" s="69"/>
      <c r="R368" s="61"/>
      <c r="S368" s="69"/>
      <c r="T368" s="61"/>
      <c r="U368" s="69"/>
      <c r="V368" s="61"/>
      <c r="W368" s="69"/>
      <c r="X368" s="61"/>
      <c r="Y368" s="69"/>
      <c r="Z368" s="61"/>
      <c r="AA368" s="69"/>
      <c r="AB368" s="61"/>
      <c r="AC368" s="69"/>
      <c r="AD368" s="61"/>
      <c r="AE368" s="69"/>
      <c r="AF368" s="61"/>
      <c r="AG368" s="69"/>
      <c r="AH368" s="61"/>
      <c r="AI368" s="69"/>
      <c r="AJ368" s="61"/>
      <c r="AK368" s="69"/>
      <c r="AL368" s="61"/>
      <c r="AM368" s="69"/>
      <c r="AN368" s="61"/>
      <c r="AO368" s="69"/>
      <c r="AP368" s="61"/>
      <c r="AQ368" s="69">
        <f>AQ363-AQ357</f>
        <v>1949</v>
      </c>
      <c r="AR368" s="61" t="str">
        <f>IF(ISERROR((AQ368/AI368-1)*100),"NA",IF(((AQ368/AI368-1)*100)&gt;100,"NM",IF(((AQ368/AI368-1)*100)&lt;-50,"NM",(AQ368/AI368-1)*100)))</f>
        <v>NA</v>
      </c>
      <c r="AS368" s="69">
        <f>AS363-AS357</f>
        <v>7771</v>
      </c>
      <c r="AT368" s="61" t="str">
        <f>IF(ISERROR((AS368/AK368-1)*100),"NA",IF(((AS368/AK368-1)*100)&gt;100,"NM",IF(((AS368/AK368-1)*100)&lt;-50,"NM",(AS368/AK368-1)*100)))</f>
        <v>NA</v>
      </c>
      <c r="AU368" s="69">
        <f>AU363-AU357</f>
        <v>6423</v>
      </c>
      <c r="AV368" s="61" t="str">
        <f>IF(ISERROR((AU368/AM368-1)*100),"NA",IF(((AU368/AM368-1)*100)&gt;100,"NM",IF(((AU368/AM368-1)*100)&lt;-50,"NM",(AU368/AM368-1)*100)))</f>
        <v>NA</v>
      </c>
      <c r="AW368" s="69">
        <f>AW363-AW357</f>
        <v>4359</v>
      </c>
      <c r="AX368" s="61" t="str">
        <f>IF(ISERROR((AW368/AO368-1)*100),"NA",IF(((AW368/AO368-1)*100)&gt;100,"NM",IF(((AW368/AO368-1)*100)&lt;-50,"NM",(AW368/AO368-1)*100)))</f>
        <v>NA</v>
      </c>
      <c r="AY368" s="69">
        <f>AY363-AY357</f>
        <v>8795</v>
      </c>
      <c r="AZ368" s="61" t="str">
        <f>IF(ISERROR((AY368/AQ368-1)*100),"NA",IF(((AY368/AQ368-1)*100)&gt;100,"NM",IF(((AY368/AQ368-1)*100)&lt;-50,"NM",(AY368/AQ368-1)*100)))</f>
        <v>NM</v>
      </c>
      <c r="BA368" s="69">
        <f>BA363-BA357</f>
        <v>-504</v>
      </c>
      <c r="BB368" s="61" t="str">
        <f>IF(ISERROR((BA368/AS368-1)*100),"NA",IF(((BA368/AS368-1)*100)&gt;100,"NM",IF(((BA368/AS368-1)*100)&lt;-50,"NM",(BA368/AS368-1)*100)))</f>
        <v>NM</v>
      </c>
      <c r="BC368" s="69">
        <f>BC363-BC357</f>
        <v>3587</v>
      </c>
      <c r="BD368" s="61">
        <f>IF(ISERROR((BC368/AU368-1)*100),"NA",IF(((BC368/AU368-1)*100)&gt;100,"NM",IF(((BC368/AU368-1)*100)&lt;-50,"NM",(BC368/AU368-1)*100)))</f>
        <v>-44.153822201463491</v>
      </c>
      <c r="BE368" s="69">
        <f>BE363-BE357</f>
        <v>7796</v>
      </c>
      <c r="BF368" s="61">
        <f>IF(ISERROR((BE368/AW368-1)*100),"NA",IF(((BE368/AW368-1)*100)&gt;100,"NM",IF(((BE368/AW368-1)*100)&lt;-50,"NM",(BE368/AW368-1)*100)))</f>
        <v>78.848359715531075</v>
      </c>
      <c r="BG368" s="69">
        <f>BG363-BG357</f>
        <v>1992</v>
      </c>
      <c r="BH368" s="61" t="str">
        <f>IF(ISERROR((BG368/AY368-1)*100),"NA",IF(((BG368/AY368-1)*100)&gt;100,"NM",IF(((BG368/AY368-1)*100)&lt;-50,"NM",(BG368/AY368-1)*100)))</f>
        <v>NM</v>
      </c>
      <c r="BI368" s="69">
        <f>BI363-BI357</f>
        <v>1992</v>
      </c>
      <c r="BJ368" s="61" t="str">
        <f>IF(ISERROR((BI368/BA368-1)*100),"NA",IF(((BI368/BA368-1)*100)&gt;100,"NM",IF(((BI368/BA368-1)*100)&lt;-50,"NM",(BI368/BA368-1)*100)))</f>
        <v>NM</v>
      </c>
      <c r="BK368" s="69">
        <f>BK363-BK357</f>
        <v>1992</v>
      </c>
      <c r="BL368" s="61">
        <f>IF(ISERROR((BK368/BC368-1)*100),"NA",IF(((BK368/BC368-1)*100)&gt;100,"NM",IF(((BK368/BC368-1)*100)&lt;-50,"NM",(BK368/BC368-1)*100)))</f>
        <v>-44.466127683300805</v>
      </c>
      <c r="BM368" s="69">
        <f>BM363-BM357</f>
        <v>-14349</v>
      </c>
      <c r="BN368" s="61" t="str">
        <f>IF(ISERROR((BM368/BE368-1)*100),"NA",IF(((BM368/BE368-1)*100)&gt;100,"NM",IF(((BM368/BE368-1)*100)&lt;-50,"NM",(BM368/BE368-1)*100)))</f>
        <v>NM</v>
      </c>
      <c r="BO368" s="69">
        <f>BO363-BO357</f>
        <v>-6819</v>
      </c>
      <c r="BP368" s="61" t="str">
        <f>IF(ISERROR((BO368/BG368-1)*100),"NA",IF(((BO368/BG368-1)*100)&gt;100,"NM",IF(((BO368/BG368-1)*100)&lt;-50,"NM",(BO368/BG368-1)*100)))</f>
        <v>NM</v>
      </c>
      <c r="BQ368" s="69">
        <f>BQ363-BQ357</f>
        <v>-2847</v>
      </c>
      <c r="BR368" s="61" t="str">
        <f>IF(ISERROR((BQ368/BI368-1)*100),"NA",IF(((BQ368/BI368-1)*100)&gt;100,"NM",IF(((BQ368/BI368-1)*100)&lt;-50,"NM",(BQ368/BI368-1)*100)))</f>
        <v>NM</v>
      </c>
      <c r="BS368" s="69">
        <f>BS363-BS357</f>
        <v>-9092</v>
      </c>
      <c r="BT368" s="61" t="str">
        <f>IF(ISERROR((BS368/BK368-1)*100),"NA",IF(((BS368/BK368-1)*100)&gt;100,"NM",IF(((BS368/BK368-1)*100)&lt;-50,"NM",(BS368/BK368-1)*100)))</f>
        <v>NM</v>
      </c>
      <c r="BU368" s="69">
        <f>BU363-BU357</f>
        <v>-12057</v>
      </c>
      <c r="BV368" s="61">
        <f>IF(ISERROR((BU368/BM368-1)*100),"NA",IF(((BU368/BM368-1)*100)&gt;100,"NM",IF(((BU368/BM368-1)*100)&lt;-50,"NM",(BU368/BM368-1)*100)))</f>
        <v>-15.97323855320928</v>
      </c>
      <c r="BW368" s="69">
        <f>BW363-BW357</f>
        <v>-2732</v>
      </c>
      <c r="BX368" s="61" t="str">
        <f>IF(ISERROR((BW368/BO368-1)*100),"NA",IF(((BW368/BO368-1)*100)&gt;100,"NM",IF(((BW368/BO368-1)*100)&lt;-50,"NM",(BW368/BO368-1)*100)))</f>
        <v>NM</v>
      </c>
      <c r="BY368" s="69">
        <f>BY363-BY357</f>
        <v>6057</v>
      </c>
      <c r="BZ368" s="61" t="str">
        <f>IF(ISERROR((BY368/BQ368-1)*100),"NA",IF(((BY368/BQ368-1)*100)&gt;100,"NM",IF(((BY368/BQ368-1)*100)&lt;-50,"NM",(BY368/BQ368-1)*100)))</f>
        <v>NM</v>
      </c>
      <c r="CA368" s="69"/>
      <c r="CB368" s="61"/>
      <c r="CC368" s="69"/>
      <c r="CD368" s="61"/>
      <c r="CE368" s="69"/>
      <c r="CF368" s="61"/>
      <c r="CG368" s="69"/>
      <c r="CH368" s="61"/>
      <c r="CI368" s="69"/>
      <c r="CJ368" s="61"/>
      <c r="CK368" s="69"/>
      <c r="CL368" s="61"/>
      <c r="CM368" s="69"/>
      <c r="CN368" s="61"/>
      <c r="CO368" s="69"/>
      <c r="CP368" s="61"/>
      <c r="CQ368" s="69"/>
      <c r="CR368" s="61"/>
      <c r="CS368" s="69"/>
      <c r="CT368" s="61"/>
      <c r="CU368" s="69"/>
      <c r="CV368" s="61"/>
      <c r="CW368" s="69"/>
      <c r="CX368" s="61"/>
      <c r="CY368" s="69"/>
      <c r="CZ368" s="61"/>
      <c r="DA368" s="69"/>
      <c r="DB368" s="61"/>
      <c r="DC368" s="69"/>
      <c r="DD368" s="61"/>
      <c r="DE368" s="69"/>
      <c r="DF368" s="61"/>
      <c r="DG368" s="69"/>
      <c r="DH368" s="61"/>
      <c r="DI368" s="69"/>
      <c r="DJ368" s="61"/>
      <c r="DK368" s="69"/>
      <c r="DL368" s="61"/>
      <c r="DM368" s="69"/>
      <c r="DN368" s="61"/>
      <c r="DO368" s="69"/>
      <c r="DP368" s="61"/>
      <c r="DQ368" s="69"/>
      <c r="DR368" s="61"/>
      <c r="DS368" s="69"/>
      <c r="DT368" s="61"/>
      <c r="DU368" s="69"/>
      <c r="DV368" s="61"/>
      <c r="DW368" s="69"/>
      <c r="DX368" s="69"/>
      <c r="DY368" s="69"/>
      <c r="DZ368" s="61"/>
      <c r="EA368" s="69"/>
      <c r="EB368" s="61"/>
      <c r="EC368" s="69"/>
      <c r="ED368" s="61"/>
      <c r="EE368" s="69"/>
      <c r="EF368" s="61"/>
      <c r="EG368" s="69"/>
      <c r="EH368" s="61"/>
      <c r="EI368" s="69"/>
      <c r="EJ368" s="61"/>
      <c r="EK368" s="69"/>
      <c r="EL368" s="61"/>
      <c r="EM368" s="69"/>
      <c r="EN368" s="61"/>
      <c r="EO368" s="69"/>
      <c r="EP368" s="61"/>
      <c r="EQ368" s="69"/>
      <c r="ER368" s="61"/>
      <c r="ES368" s="69"/>
      <c r="ET368" s="61"/>
      <c r="EU368" s="69"/>
      <c r="EV368" s="61"/>
      <c r="EW368" s="69"/>
      <c r="EX368" s="61"/>
      <c r="EY368" s="64"/>
      <c r="EZ368" s="558"/>
      <c r="FA368" s="64"/>
      <c r="FB368" s="69"/>
      <c r="FC368" s="71"/>
      <c r="FD368" s="69"/>
      <c r="FE368" s="70"/>
      <c r="FF368" s="69"/>
      <c r="FG368" s="70"/>
      <c r="FH368" s="69"/>
      <c r="FI368" s="70"/>
      <c r="FJ368" s="69"/>
      <c r="FK368" s="70"/>
      <c r="FL368" s="69"/>
      <c r="FM368" s="61"/>
      <c r="FN368" s="69"/>
      <c r="FO368" s="61"/>
      <c r="FP368" s="73">
        <f>FP363-FP357</f>
        <v>20502</v>
      </c>
      <c r="FQ368" s="61" t="str">
        <f>IF(ISERROR((FP368/FN368-1)*100),"NA",IF(((FP368/FN368-1)*100)&gt;100,"NM",IF(((FP368/FN368-1)*100)&lt;-50,"NM",(FP368/FN368-1)*100)))</f>
        <v>NA</v>
      </c>
      <c r="FR368" s="73">
        <f>FR363-FR357</f>
        <v>19674</v>
      </c>
      <c r="FS368" s="61">
        <f>IF(ISERROR((FR368/FP368-1)*100),"NA",IF(((FR368/FP368-1)*100)&gt;100,"NM",IF(((FR368/FP368-1)*100)&lt;-50,"NM",(FR368/FP368-1)*100)))</f>
        <v>-4.0386303775241439</v>
      </c>
      <c r="FT368" s="73">
        <f>FT363-FT357</f>
        <v>-8373</v>
      </c>
      <c r="FU368" s="61" t="str">
        <f>IF(ISERROR((FT368/FR368-1)*100),"NA",IF(((FT368/FR368-1)*100)&gt;100,"NM",IF(((FT368/FR368-1)*100)&lt;-50,"NM",(FT368/FR368-1)*100)))</f>
        <v>NM</v>
      </c>
      <c r="FV368" s="73">
        <f>FV363-FV357</f>
        <v>-30815</v>
      </c>
      <c r="FW368" s="61" t="str">
        <f>IF(ISERROR((FV368/FT368-1)*100),"NA",IF(((FV368/FT368-1)*100)&gt;100,"NM",IF(((FV368/FT368-1)*100)&lt;-50,"NM",(FV368/FT368-1)*100)))</f>
        <v>NM</v>
      </c>
      <c r="FX368" s="73">
        <f>FX363-FX357</f>
        <v>3325</v>
      </c>
      <c r="FY368" s="61" t="str">
        <f>IF(ISERROR((FX368/FV368-1)*100),"NA",IF(((FX368/FV368-1)*100)&gt;100,"NM",IF(((FX368/FV368-1)*100)&lt;-50,"NM",(FX368/FV368-1)*100)))</f>
        <v>NM</v>
      </c>
      <c r="FZ368" s="73"/>
      <c r="GA368" s="61"/>
      <c r="GB368" s="73"/>
      <c r="GC368" s="61"/>
      <c r="GD368" s="73"/>
      <c r="GE368" s="61"/>
      <c r="GF368" s="73"/>
      <c r="GG368" s="61"/>
      <c r="GH368" s="73"/>
      <c r="GI368" s="61"/>
      <c r="GJ368" s="73"/>
      <c r="GK368" s="61"/>
      <c r="GL368" s="73"/>
      <c r="GM368" s="61"/>
      <c r="GN368" s="73"/>
      <c r="GO368" s="61"/>
      <c r="GP368" s="73"/>
      <c r="GQ368" s="61"/>
      <c r="GR368" s="69"/>
      <c r="GS368" s="61"/>
      <c r="GT368" s="69"/>
      <c r="GU368" s="61"/>
      <c r="GV368" s="69"/>
      <c r="GW368" s="61"/>
      <c r="GX368" s="69"/>
      <c r="GY368" s="61"/>
      <c r="GZ368" s="61"/>
      <c r="HA368" s="61"/>
      <c r="HB368" s="452"/>
      <c r="HC368"/>
      <c r="HD368"/>
      <c r="HE368"/>
      <c r="HF368"/>
      <c r="HG368"/>
      <c r="HH368"/>
    </row>
    <row r="369" spans="2:216" s="5" customFormat="1" ht="12.75" hidden="1" customHeight="1" outlineLevel="1" x14ac:dyDescent="0.2">
      <c r="B369" s="2" t="s">
        <v>370</v>
      </c>
      <c r="C369" s="84"/>
      <c r="D369" s="143"/>
      <c r="E369" s="84"/>
      <c r="F369" s="219"/>
      <c r="G369" s="84"/>
      <c r="H369" s="219"/>
      <c r="I369" s="84"/>
      <c r="J369" s="61"/>
      <c r="K369" s="84"/>
      <c r="L369" s="61"/>
      <c r="M369" s="84"/>
      <c r="N369" s="61"/>
      <c r="O369" s="84"/>
      <c r="P369" s="61"/>
      <c r="Q369" s="84"/>
      <c r="R369" s="61"/>
      <c r="S369" s="84"/>
      <c r="T369" s="61"/>
      <c r="U369" s="84"/>
      <c r="V369" s="61"/>
      <c r="W369" s="84"/>
      <c r="X369" s="61"/>
      <c r="Y369" s="84"/>
      <c r="Z369" s="61"/>
      <c r="AA369" s="84"/>
      <c r="AB369" s="61"/>
      <c r="AC369" s="84"/>
      <c r="AD369" s="61"/>
      <c r="AE369" s="84"/>
      <c r="AF369" s="61"/>
      <c r="AG369" s="84"/>
      <c r="AH369" s="61"/>
      <c r="AI369" s="84"/>
      <c r="AJ369" s="61"/>
      <c r="AK369" s="84"/>
      <c r="AL369" s="61"/>
      <c r="AM369" s="84"/>
      <c r="AN369" s="61"/>
      <c r="AO369" s="84"/>
      <c r="AP369" s="61"/>
      <c r="AQ369" s="84">
        <f>AQ358/AQ357*400</f>
        <v>40.321366683586845</v>
      </c>
      <c r="AR369" s="61" t="str">
        <f>IF(ISERROR((AQ369/AI369-1)*100),"NA",IF(((AQ369/AI369-1)*100)&gt;100,"NM",IF(((AQ369/AI369-1)*100)&lt;-50,"NM",(AQ369/AI369-1)*100)))</f>
        <v>NA</v>
      </c>
      <c r="AS369" s="84">
        <f>AS358/AS357*400</f>
        <v>70.710900473933648</v>
      </c>
      <c r="AT369" s="61" t="str">
        <f>IF(ISERROR((AS369/AK369-1)*100),"NA",IF(((AS369/AK369-1)*100)&gt;100,"NM",IF(((AS369/AK369-1)*100)&lt;-50,"NM",(AS369/AK369-1)*100)))</f>
        <v>NA</v>
      </c>
      <c r="AU369" s="84">
        <f>AU358/AU357*400</f>
        <v>40.316524808903381</v>
      </c>
      <c r="AV369" s="61" t="str">
        <f>IF(ISERROR((AU369/AM369-1)*100),"NA",IF(((AU369/AM369-1)*100)&gt;100,"NM",IF(((AU369/AM369-1)*100)&lt;-50,"NM",(AU369/AM369-1)*100)))</f>
        <v>NA</v>
      </c>
      <c r="AW369" s="84">
        <f>AW358/AW357*400</f>
        <v>46.193738570297789</v>
      </c>
      <c r="AX369" s="61" t="str">
        <f>IF(ISERROR((AW369/AO369-1)*100),"NA",IF(((AW369/AO369-1)*100)&gt;100,"NM",IF(((AW369/AO369-1)*100)&lt;-50,"NM",(AW369/AO369-1)*100)))</f>
        <v>NA</v>
      </c>
      <c r="AY369" s="84">
        <f>AY358/AY357*400</f>
        <v>46.696636739530874</v>
      </c>
      <c r="AZ369" s="61">
        <f>IF(ISERROR((AY369/AQ369-1)*100),"NA",IF(((AY369/AQ369-1)*100)&gt;100,"NM",IF(((AY369/AQ369-1)*100)&lt;-50,"NM",(AY369/AQ369-1)*100)))</f>
        <v>15.811145753001309</v>
      </c>
      <c r="BA369" s="84">
        <f>BA358/BA357*400</f>
        <v>27.981672606099877</v>
      </c>
      <c r="BB369" s="61" t="str">
        <f>IF(ISERROR((BA369/AS369-1)*100),"NA",IF(((BA369/AS369-1)*100)&gt;100,"NM",IF(((BA369/AS369-1)*100)&lt;-50,"NM",(BA369/AS369-1)*100)))</f>
        <v>NM</v>
      </c>
      <c r="BC369" s="84">
        <f>BC358/BC357*400</f>
        <v>22.824821935664076</v>
      </c>
      <c r="BD369" s="61">
        <f>IF(ISERROR((BC369/AU369-1)*100),"NA",IF(((BC369/AU369-1)*100)&gt;100,"NM",IF(((BC369/AU369-1)*100)&lt;-50,"NM",(BC369/AU369-1)*100)))</f>
        <v>-43.385939031571709</v>
      </c>
      <c r="BE369" s="84">
        <f>BE358/BE357*400</f>
        <v>36.107294075588477</v>
      </c>
      <c r="BF369" s="61">
        <f>IF(ISERROR((BE369/AW369-1)*100),"NA",IF(((BE369/AW369-1)*100)&gt;100,"NM",IF(((BE369/AW369-1)*100)&lt;-50,"NM",(BE369/AW369-1)*100)))</f>
        <v>-21.835090224099808</v>
      </c>
      <c r="BG369" s="84">
        <f>BG358/BG357*400</f>
        <v>24.517230342473063</v>
      </c>
      <c r="BH369" s="61">
        <f>IF(ISERROR((BG369/AY369-1)*100),"NA",IF(((BG369/AY369-1)*100)&gt;100,"NM",IF(((BG369/AY369-1)*100)&lt;-50,"NM",(BG369/AY369-1)*100)))</f>
        <v>-47.496796227043717</v>
      </c>
      <c r="BI369" s="84">
        <f>BI358/BI357*400</f>
        <v>24.007020329704769</v>
      </c>
      <c r="BJ369" s="61">
        <f>IF(ISERROR((BI369/BA369-1)*100),"NA",IF(((BI369/BA369-1)*100)&gt;100,"NM",IF(((BI369/BA369-1)*100)&lt;-50,"NM",(BI369/BA369-1)*100)))</f>
        <v>-14.204484243478188</v>
      </c>
      <c r="BK369" s="84">
        <f>BK358/BK357*400</f>
        <v>23.517612624598318</v>
      </c>
      <c r="BL369" s="61">
        <f>IF(ISERROR((BK369/BC369-1)*100),"NA",IF(((BK369/BC369-1)*100)&gt;100,"NM",IF(((BK369/BC369-1)*100)&lt;-50,"NM",(BK369/BC369-1)*100)))</f>
        <v>3.0352512316941471</v>
      </c>
      <c r="BM369" s="84">
        <f>BM358/BM357*400</f>
        <v>23.356668605700758</v>
      </c>
      <c r="BN369" s="61">
        <f>IF(ISERROR((BM369/BE369-1)*100),"NA",IF(((BM369/BE369-1)*100)&gt;100,"NM",IF(((BM369/BE369-1)*100)&lt;-50,"NM",(BM369/BE369-1)*100)))</f>
        <v>-35.313157067918297</v>
      </c>
      <c r="BO369" s="84">
        <f>BO358/BO357*400</f>
        <v>22.132924071839451</v>
      </c>
      <c r="BP369" s="61">
        <f>IF(ISERROR((BO369/BG369-1)*100),"NA",IF(((BO369/BG369-1)*100)&gt;100,"NM",IF(((BO369/BG369-1)*100)&lt;-50,"NM",(BO369/BG369-1)*100)))</f>
        <v>-9.725022921953375</v>
      </c>
      <c r="BQ369" s="84">
        <f>BQ358/BQ357*400</f>
        <v>17.856324327077338</v>
      </c>
      <c r="BR369" s="61">
        <f>IF(ISERROR((BQ369/BI369-1)*100),"NA",IF(((BQ369/BI369-1)*100)&gt;100,"NM",IF(((BQ369/BI369-1)*100)&lt;-50,"NM",(BQ369/BI369-1)*100)))</f>
        <v>-25.620405690317792</v>
      </c>
      <c r="BS369" s="84">
        <f>BS358/BS357*400</f>
        <v>21.075160851356173</v>
      </c>
      <c r="BT369" s="61">
        <f>IF(ISERROR((BS369/BK369-1)*100),"NA",IF(((BS369/BK369-1)*100)&gt;100,"NM",IF(((BS369/BK369-1)*100)&lt;-50,"NM",(BS369/BK369-1)*100)))</f>
        <v>-10.385628049198559</v>
      </c>
      <c r="BU369" s="84">
        <f>BU358/BU357*400</f>
        <v>22.703043589243084</v>
      </c>
      <c r="BV369" s="61">
        <f>IF(ISERROR((BU369/BM369-1)*100),"NA",IF(((BU369/BM369-1)*100)&gt;100,"NM",IF(((BU369/BM369-1)*100)&lt;-50,"NM",(BU369/BM369-1)*100)))</f>
        <v>-2.7984513865908944</v>
      </c>
      <c r="BW369" s="84">
        <f>BW358/BW357*400</f>
        <v>37.622382750907555</v>
      </c>
      <c r="BX369" s="61">
        <f>IF(ISERROR((BW369/BO369-1)*100),"NA",IF(((BW369/BO369-1)*100)&gt;100,"NM",IF(((BW369/BO369-1)*100)&lt;-50,"NM",(BW369/BO369-1)*100)))</f>
        <v>69.983788083274192</v>
      </c>
      <c r="BY369" s="84">
        <f>BY358/BY357*400</f>
        <v>29.855240301100171</v>
      </c>
      <c r="BZ369" s="61">
        <f>IF(ISERROR((BY369/BQ369-1)*100),"NA",IF(((BY369/BQ369-1)*100)&gt;100,"NM",IF(((BY369/BQ369-1)*100)&lt;-50,"NM",(BY369/BQ369-1)*100)))</f>
        <v>67.19700960979786</v>
      </c>
      <c r="CA369" s="84"/>
      <c r="CB369" s="61"/>
      <c r="CC369" s="84"/>
      <c r="CD369" s="61"/>
      <c r="CE369" s="84"/>
      <c r="CF369" s="61"/>
      <c r="CG369" s="84"/>
      <c r="CH369" s="61"/>
      <c r="CI369" s="84"/>
      <c r="CJ369" s="61"/>
      <c r="CK369" s="84"/>
      <c r="CL369" s="61"/>
      <c r="CM369" s="84"/>
      <c r="CN369" s="61"/>
      <c r="CO369" s="84"/>
      <c r="CP369" s="61"/>
      <c r="CQ369" s="84"/>
      <c r="CR369" s="61"/>
      <c r="CS369" s="84"/>
      <c r="CT369" s="61"/>
      <c r="CU369" s="84"/>
      <c r="CV369" s="61"/>
      <c r="CW369" s="84"/>
      <c r="CX369" s="61"/>
      <c r="CY369" s="84"/>
      <c r="CZ369" s="61"/>
      <c r="DA369" s="84"/>
      <c r="DB369" s="61"/>
      <c r="DC369" s="84"/>
      <c r="DD369" s="61"/>
      <c r="DE369" s="84"/>
      <c r="DF369" s="61"/>
      <c r="DG369" s="84"/>
      <c r="DH369" s="61"/>
      <c r="DI369" s="84"/>
      <c r="DJ369" s="61"/>
      <c r="DK369" s="84"/>
      <c r="DL369" s="61"/>
      <c r="DM369" s="84"/>
      <c r="DN369" s="61"/>
      <c r="DO369" s="84"/>
      <c r="DP369" s="61"/>
      <c r="DQ369" s="84"/>
      <c r="DR369" s="61"/>
      <c r="DS369" s="84"/>
      <c r="DT369" s="61"/>
      <c r="DU369" s="84"/>
      <c r="DV369" s="61"/>
      <c r="DW369" s="84"/>
      <c r="DX369" s="84"/>
      <c r="DY369" s="84"/>
      <c r="DZ369" s="61"/>
      <c r="EA369" s="84"/>
      <c r="EB369" s="61"/>
      <c r="EC369" s="84"/>
      <c r="ED369" s="61"/>
      <c r="EE369" s="84"/>
      <c r="EF369" s="61"/>
      <c r="EG369" s="84"/>
      <c r="EH369" s="61"/>
      <c r="EI369" s="84"/>
      <c r="EJ369" s="61"/>
      <c r="EK369" s="84"/>
      <c r="EL369" s="61"/>
      <c r="EM369" s="84"/>
      <c r="EN369" s="61"/>
      <c r="EO369" s="84"/>
      <c r="EP369" s="61"/>
      <c r="EQ369" s="84"/>
      <c r="ER369" s="61"/>
      <c r="ES369" s="84"/>
      <c r="ET369" s="61"/>
      <c r="EU369" s="84"/>
      <c r="EV369" s="61"/>
      <c r="EW369" s="84"/>
      <c r="EX369" s="61"/>
      <c r="EY369" s="90"/>
      <c r="EZ369" s="558"/>
      <c r="FA369" s="90"/>
      <c r="FB369" s="84"/>
      <c r="FC369" s="219"/>
      <c r="FD369" s="84"/>
      <c r="FE369" s="70"/>
      <c r="FF369" s="84"/>
      <c r="FG369" s="70"/>
      <c r="FH369" s="84"/>
      <c r="FI369" s="70"/>
      <c r="FJ369" s="84"/>
      <c r="FK369" s="70"/>
      <c r="FL369" s="84"/>
      <c r="FM369" s="61"/>
      <c r="FN369" s="84"/>
      <c r="FO369" s="61"/>
      <c r="FP369" s="139">
        <f>FP358/FP357*100</f>
        <v>54.966655581033066</v>
      </c>
      <c r="FQ369" s="61" t="str">
        <f>IF(ISERROR((FP369/FN369-1)*100),"NA",IF(((FP369/FN369-1)*100)&gt;100,"NM",IF(((FP369/FN369-1)*100)&lt;-50,"NM",(FP369/FN369-1)*100)))</f>
        <v>NA</v>
      </c>
      <c r="FR369" s="139">
        <f>FR358/FR357*100</f>
        <v>36.185642703489492</v>
      </c>
      <c r="FS369" s="61">
        <f>IF(ISERROR((FR369/FP369-1)*100),"NA",IF(((FR369/FP369-1)*100)&gt;100,"NM",IF(((FR369/FP369-1)*100)&lt;-50,"NM",(FR369/FP369-1)*100)))</f>
        <v>-34.168010913191161</v>
      </c>
      <c r="FT369" s="139">
        <f>FT358/FT357*100</f>
        <v>24.599381201322949</v>
      </c>
      <c r="FU369" s="61">
        <f>IF(ISERROR((FT369/FR369-1)*100),"NA",IF(((FT369/FR369-1)*100)&gt;100,"NM",IF(((FT369/FR369-1)*100)&lt;-50,"NM",(FT369/FR369-1)*100)))</f>
        <v>-32.018946290676894</v>
      </c>
      <c r="FV369" s="139">
        <f>FV358/FV357*100</f>
        <v>18.741286596295559</v>
      </c>
      <c r="FW369" s="61">
        <f>IF(ISERROR((FV369/FT369-1)*100),"NA",IF(((FV369/FT369-1)*100)&gt;100,"NM",IF(((FV369/FT369-1)*100)&lt;-50,"NM",(FV369/FT369-1)*100)))</f>
        <v>-23.813991730460039</v>
      </c>
      <c r="FX369" s="139">
        <f>FX358/FX357*100</f>
        <v>16.495544717832132</v>
      </c>
      <c r="FY369" s="61">
        <f>IF(ISERROR((FX369/FV369-1)*100),"NA",IF(((FX369/FV369-1)*100)&gt;100,"NM",IF(((FX369/FV369-1)*100)&lt;-50,"NM",(FX369/FV369-1)*100)))</f>
        <v>-11.982858630993487</v>
      </c>
      <c r="FZ369" s="139"/>
      <c r="GA369" s="61"/>
      <c r="GB369" s="139"/>
      <c r="GC369" s="61"/>
      <c r="GD369" s="139"/>
      <c r="GE369" s="61"/>
      <c r="GF369" s="139"/>
      <c r="GG369" s="61"/>
      <c r="GH369" s="139"/>
      <c r="GI369" s="61"/>
      <c r="GJ369" s="139"/>
      <c r="GK369" s="61"/>
      <c r="GL369" s="139"/>
      <c r="GM369" s="61"/>
      <c r="GN369" s="139"/>
      <c r="GO369" s="61"/>
      <c r="GP369" s="139"/>
      <c r="GQ369" s="61"/>
      <c r="GR369" s="84"/>
      <c r="GS369" s="61"/>
      <c r="GT369" s="84"/>
      <c r="GU369" s="61"/>
      <c r="GV369" s="84"/>
      <c r="GW369" s="61"/>
      <c r="GX369" s="84"/>
      <c r="GY369" s="61"/>
      <c r="GZ369" s="61"/>
      <c r="HA369" s="61"/>
      <c r="HB369" s="452"/>
      <c r="HC369"/>
      <c r="HD369"/>
      <c r="HE369"/>
      <c r="HF369"/>
      <c r="HG369"/>
      <c r="HH369"/>
    </row>
    <row r="370" spans="2:216" s="5" customFormat="1" ht="12.75" hidden="1" customHeight="1" outlineLevel="1" x14ac:dyDescent="0.2">
      <c r="B370" s="2" t="s">
        <v>500</v>
      </c>
      <c r="C370" s="84"/>
      <c r="D370" s="143"/>
      <c r="E370" s="84"/>
      <c r="F370" s="219"/>
      <c r="G370" s="84"/>
      <c r="H370" s="219"/>
      <c r="I370" s="84"/>
      <c r="J370" s="61"/>
      <c r="K370" s="84"/>
      <c r="L370" s="61"/>
      <c r="M370" s="84"/>
      <c r="N370" s="61"/>
      <c r="O370" s="84"/>
      <c r="P370" s="61"/>
      <c r="Q370" s="84"/>
      <c r="R370" s="61"/>
      <c r="S370" s="84"/>
      <c r="T370" s="61"/>
      <c r="U370" s="84"/>
      <c r="V370" s="61"/>
      <c r="W370" s="84"/>
      <c r="X370" s="61"/>
      <c r="Y370" s="84"/>
      <c r="Z370" s="61"/>
      <c r="AA370" s="84"/>
      <c r="AB370" s="61"/>
      <c r="AC370" s="84"/>
      <c r="AD370" s="61"/>
      <c r="AE370" s="84"/>
      <c r="AF370" s="61"/>
      <c r="AG370" s="84"/>
      <c r="AH370" s="61"/>
      <c r="AI370" s="84"/>
      <c r="AJ370" s="61"/>
      <c r="AK370" s="84"/>
      <c r="AL370" s="61"/>
      <c r="AM370" s="84"/>
      <c r="AN370" s="61"/>
      <c r="AO370" s="84"/>
      <c r="AP370" s="61"/>
      <c r="AQ370" s="84">
        <f>AQ359/AQ357*400</f>
        <v>-20.976352593163082</v>
      </c>
      <c r="AR370" s="61" t="str">
        <f>IF(ISERROR((AQ370/AI370-1)*100),"NA",IF(((AQ370/AI370-1)*100)&gt;100,"NM",IF(((AQ370/AI370-1)*100)&lt;-50,"NM",(AQ370/AI370-1)*100)))</f>
        <v>NA</v>
      </c>
      <c r="AS370" s="84">
        <f>AS359/AS357*400</f>
        <v>-27.637102234258631</v>
      </c>
      <c r="AT370" s="61" t="str">
        <f>IF(ISERROR((AS370/AK370-1)*100),"NA",IF(((AS370/AK370-1)*100)&gt;100,"NM",IF(((AS370/AK370-1)*100)&lt;-50,"NM",(AS370/AK370-1)*100)))</f>
        <v>NA</v>
      </c>
      <c r="AU370" s="84">
        <f>AU359/AU357*400</f>
        <v>-19.09919073761051</v>
      </c>
      <c r="AV370" s="61" t="str">
        <f>IF(ISERROR((AU370/AM370-1)*100),"NA",IF(((AU370/AM370-1)*100)&gt;100,"NM",IF(((AU370/AM370-1)*100)&lt;-50,"NM",(AU370/AM370-1)*100)))</f>
        <v>NA</v>
      </c>
      <c r="AW370" s="84">
        <f>AW359/AW357*400</f>
        <v>-30.455550399868986</v>
      </c>
      <c r="AX370" s="61" t="str">
        <f>IF(ISERROR((AW370/AO370-1)*100),"NA",IF(((AW370/AO370-1)*100)&gt;100,"NM",IF(((AW370/AO370-1)*100)&lt;-50,"NM",(AW370/AO370-1)*100)))</f>
        <v>NA</v>
      </c>
      <c r="AY370" s="84">
        <f>AY359/AY357*400</f>
        <v>-21.119884585163526</v>
      </c>
      <c r="AZ370" s="61">
        <f>IF(ISERROR((AY370/AQ370-1)*100),"NA",IF(((AY370/AQ370-1)*100)&gt;100,"NM",IF(((AY370/AQ370-1)*100)&lt;-50,"NM",(AY370/AQ370-1)*100)))</f>
        <v>0.68425619450744879</v>
      </c>
      <c r="BA370" s="84">
        <f>BA359/BA357*400</f>
        <v>-23.311889665386218</v>
      </c>
      <c r="BB370" s="61">
        <f>IF(ISERROR((BA370/AS370-1)*100),"NA",IF(((BA370/AS370-1)*100)&gt;100,"NM",IF(((BA370/AS370-1)*100)&lt;-50,"NM",(BA370/AS370-1)*100)))</f>
        <v>-15.650021960373728</v>
      </c>
      <c r="BC370" s="84">
        <f>BC359/BC357*400</f>
        <v>-19.338019645267913</v>
      </c>
      <c r="BD370" s="61">
        <f>IF(ISERROR((BC370/AU370-1)*100),"NA",IF(((BC370/AU370-1)*100)&gt;100,"NM",IF(((BC370/AU370-1)*100)&lt;-50,"NM",(BC370/AU370-1)*100)))</f>
        <v>1.2504661110436244</v>
      </c>
      <c r="BE370" s="84">
        <f>BE359/BE357*400</f>
        <v>-24.805889778909854</v>
      </c>
      <c r="BF370" s="61">
        <f>IF(ISERROR((BE370/AW370-1)*100),"NA",IF(((BE370/AW370-1)*100)&gt;100,"NM",IF(((BE370/AW370-1)*100)&lt;-50,"NM",(BE370/AW370-1)*100)))</f>
        <v>-18.550512293428902</v>
      </c>
      <c r="BG370" s="84">
        <f>BG359/BG357*400</f>
        <v>-24.120345673743731</v>
      </c>
      <c r="BH370" s="61">
        <f>IF(ISERROR((BG370/AY370-1)*100),"NA",IF(((BG370/AY370-1)*100)&gt;100,"NM",IF(((BG370/AY370-1)*100)&lt;-50,"NM",(BG370/AY370-1)*100)))</f>
        <v>14.206806275295625</v>
      </c>
      <c r="BI370" s="84">
        <f>BI359/BI357*400</f>
        <v>-23.618394935333569</v>
      </c>
      <c r="BJ370" s="61">
        <f>IF(ISERROR((BI370/BA370-1)*100),"NA",IF(((BI370/BA370-1)*100)&gt;100,"NM",IF(((BI370/BA370-1)*100)&lt;-50,"NM",(BI370/BA370-1)*100)))</f>
        <v>1.3148023362621331</v>
      </c>
      <c r="BK370" s="84">
        <f>BK359/BK357*400</f>
        <v>-23.136909757046073</v>
      </c>
      <c r="BL370" s="61">
        <f>IF(ISERROR((BK370/BC370-1)*100),"NA",IF(((BK370/BC370-1)*100)&gt;100,"NM",IF(((BK370/BC370-1)*100)&lt;-50,"NM",(BK370/BC370-1)*100)))</f>
        <v>19.644669834161444</v>
      </c>
      <c r="BM370" s="84">
        <f>BM359/BM357*400</f>
        <v>-27.649288909393615</v>
      </c>
      <c r="BN370" s="61">
        <f>IF(ISERROR((BM370/BE370-1)*100),"NA",IF(((BM370/BE370-1)*100)&gt;100,"NM",IF(((BM370/BE370-1)*100)&lt;-50,"NM",(BM370/BE370-1)*100)))</f>
        <v>11.462596809977121</v>
      </c>
      <c r="BO370" s="84">
        <f>BO359/BO357*400</f>
        <v>-27.578288833956204</v>
      </c>
      <c r="BP370" s="61">
        <f>IF(ISERROR((BO370/BG370-1)*100),"NA",IF(((BO370/BG370-1)*100)&gt;100,"NM",IF(((BO370/BG370-1)*100)&lt;-50,"NM",(BO370/BG370-1)*100)))</f>
        <v>14.33620897057304</v>
      </c>
      <c r="BQ370" s="84">
        <f>BQ359/BQ357*400</f>
        <v>-25.338052917059255</v>
      </c>
      <c r="BR370" s="61">
        <f>IF(ISERROR((BQ370/BI370-1)*100),"NA",IF(((BQ370/BI370-1)*100)&gt;100,"NM",IF(((BQ370/BI370-1)*100)&lt;-50,"NM",(BQ370/BI370-1)*100)))</f>
        <v>7.2810112051816089</v>
      </c>
      <c r="BS370" s="84">
        <f>BS359/BS357*400</f>
        <v>-38.366516494695539</v>
      </c>
      <c r="BT370" s="61">
        <f>IF(ISERROR((BS370/BK370-1)*100),"NA",IF(((BS370/BK370-1)*100)&gt;100,"NM",IF(((BS370/BK370-1)*100)&lt;-50,"NM",(BS370/BK370-1)*100)))</f>
        <v>65.823858490918255</v>
      </c>
      <c r="BU370" s="84">
        <f>BU359/BU357*400</f>
        <v>-42.52316100842355</v>
      </c>
      <c r="BV370" s="61">
        <f>IF(ISERROR((BU370/BM370-1)*100),"NA",IF(((BU370/BM370-1)*100)&gt;100,"NM",IF(((BU370/BM370-1)*100)&lt;-50,"NM",(BU370/BM370-1)*100)))</f>
        <v>53.794772617015326</v>
      </c>
      <c r="BW370" s="84">
        <f>BW359/BW357*400</f>
        <v>-36.074951413589531</v>
      </c>
      <c r="BX370" s="61">
        <f>IF(ISERROR((BW370/BO370-1)*100),"NA",IF(((BW370/BO370-1)*100)&gt;100,"NM",IF(((BW370/BO370-1)*100)&lt;-50,"NM",(BW370/BO370-1)*100)))</f>
        <v>30.809245021655141</v>
      </c>
      <c r="BY370" s="84">
        <f>BY359/BY357*400</f>
        <v>-29.283922022775528</v>
      </c>
      <c r="BZ370" s="61">
        <f>IF(ISERROR((BY370/BQ370-1)*100),"NA",IF(((BY370/BQ370-1)*100)&gt;100,"NM",IF(((BY370/BQ370-1)*100)&lt;-50,"NM",(BY370/BQ370-1)*100)))</f>
        <v>15.572897880640447</v>
      </c>
      <c r="CA370" s="84"/>
      <c r="CB370" s="61"/>
      <c r="CC370" s="84"/>
      <c r="CD370" s="61"/>
      <c r="CE370" s="84"/>
      <c r="CF370" s="61"/>
      <c r="CG370" s="84"/>
      <c r="CH370" s="61"/>
      <c r="CI370" s="84"/>
      <c r="CJ370" s="61"/>
      <c r="CK370" s="84"/>
      <c r="CL370" s="61"/>
      <c r="CM370" s="84"/>
      <c r="CN370" s="61"/>
      <c r="CO370" s="84"/>
      <c r="CP370" s="61"/>
      <c r="CQ370" s="84"/>
      <c r="CR370" s="61"/>
      <c r="CS370" s="84"/>
      <c r="CT370" s="61"/>
      <c r="CU370" s="84"/>
      <c r="CV370" s="61"/>
      <c r="CW370" s="84"/>
      <c r="CX370" s="61"/>
      <c r="CY370" s="84"/>
      <c r="CZ370" s="61"/>
      <c r="DA370" s="84"/>
      <c r="DB370" s="61"/>
      <c r="DC370" s="84"/>
      <c r="DD370" s="61"/>
      <c r="DE370" s="84"/>
      <c r="DF370" s="61"/>
      <c r="DG370" s="84"/>
      <c r="DH370" s="61"/>
      <c r="DI370" s="84"/>
      <c r="DJ370" s="61"/>
      <c r="DK370" s="84"/>
      <c r="DL370" s="61"/>
      <c r="DM370" s="84"/>
      <c r="DN370" s="61"/>
      <c r="DO370" s="84"/>
      <c r="DP370" s="61"/>
      <c r="DQ370" s="84"/>
      <c r="DR370" s="61"/>
      <c r="DS370" s="84"/>
      <c r="DT370" s="61"/>
      <c r="DU370" s="84"/>
      <c r="DV370" s="61"/>
      <c r="DW370" s="84"/>
      <c r="DX370" s="84"/>
      <c r="DY370" s="84"/>
      <c r="DZ370" s="61"/>
      <c r="EA370" s="84"/>
      <c r="EB370" s="61"/>
      <c r="EC370" s="84"/>
      <c r="ED370" s="61"/>
      <c r="EE370" s="84"/>
      <c r="EF370" s="61"/>
      <c r="EG370" s="84"/>
      <c r="EH370" s="61"/>
      <c r="EI370" s="84"/>
      <c r="EJ370" s="61"/>
      <c r="EK370" s="84"/>
      <c r="EL370" s="61"/>
      <c r="EM370" s="84"/>
      <c r="EN370" s="61"/>
      <c r="EO370" s="84"/>
      <c r="EP370" s="61"/>
      <c r="EQ370" s="157"/>
      <c r="ER370" s="61"/>
      <c r="ES370" s="157"/>
      <c r="ET370" s="61"/>
      <c r="EU370" s="157"/>
      <c r="EV370" s="61"/>
      <c r="EW370" s="157"/>
      <c r="EX370" s="61"/>
      <c r="EY370" s="225"/>
      <c r="EZ370" s="558"/>
      <c r="FA370" s="225"/>
      <c r="FB370" s="226"/>
      <c r="FC370" s="227"/>
      <c r="FD370" s="226"/>
      <c r="FE370" s="228"/>
      <c r="FF370" s="226"/>
      <c r="FG370" s="228"/>
      <c r="FH370" s="226"/>
      <c r="FI370" s="228"/>
      <c r="FJ370" s="226"/>
      <c r="FK370" s="228"/>
      <c r="FL370" s="226"/>
      <c r="FM370" s="228"/>
      <c r="FN370" s="226"/>
      <c r="FO370" s="228"/>
      <c r="FP370" s="156">
        <f>FP359/FP357*100</f>
        <v>-27.741506362570235</v>
      </c>
      <c r="FQ370" s="61" t="str">
        <f>IF(ISERROR((FP370/FN370-1)*100),"NA",IF(((FP370/FN370-1)*100)&gt;100,"NM",IF(((FP370/FN370-1)*100)&lt;-50,"NM",(FP370/FN370-1)*100)))</f>
        <v>NA</v>
      </c>
      <c r="FR370" s="156">
        <f>FR359/FR357*100</f>
        <v>-24.269318459933274</v>
      </c>
      <c r="FS370" s="61">
        <f>IF(ISERROR((FR370/FP370-1)*100),"NA",IF(((FR370/FP370-1)*100)&gt;100,"NM",IF(((FR370/FP370-1)*100)&lt;-50,"NM",(FR370/FP370-1)*100)))</f>
        <v>-12.516219765635196</v>
      </c>
      <c r="FT370" s="156">
        <f>FT359/FT357*100</f>
        <v>-25.443294569508161</v>
      </c>
      <c r="FU370" s="61">
        <f>IF(ISERROR((FT370/FR370-1)*100),"NA",IF(((FT370/FR370-1)*100)&gt;100,"NM",IF(((FT370/FR370-1)*100)&lt;-50,"NM",(FT370/FR370-1)*100)))</f>
        <v>4.8372850334179374</v>
      </c>
      <c r="FV370" s="156">
        <f>FV359/FV357*100</f>
        <v>-29.52306196328362</v>
      </c>
      <c r="FW370" s="61">
        <f>IF(ISERROR((FV370/FT370-1)*100),"NA",IF(((FV370/FT370-1)*100)&gt;100,"NM",IF(((FV370/FT370-1)*100)&lt;-50,"NM",(FV370/FT370-1)*100)))</f>
        <v>16.034744960523884</v>
      </c>
      <c r="FX370" s="156">
        <f>FX359/FX357*100</f>
        <v>-15.973011624069525</v>
      </c>
      <c r="FY370" s="61">
        <f>IF(ISERROR((FX370/FV370-1)*100),"NA",IF(((FX370/FV370-1)*100)&gt;100,"NM",IF(((FX370/FV370-1)*100)&lt;-50,"NM",(FX370/FV370-1)*100)))</f>
        <v>-45.896493920805462</v>
      </c>
      <c r="FZ370" s="156"/>
      <c r="GA370" s="61"/>
      <c r="GB370" s="156"/>
      <c r="GC370" s="61"/>
      <c r="GD370" s="156"/>
      <c r="GE370" s="61"/>
      <c r="GF370" s="156"/>
      <c r="GG370" s="61"/>
      <c r="GH370" s="156"/>
      <c r="GI370" s="61"/>
      <c r="GJ370" s="156"/>
      <c r="GK370" s="61"/>
      <c r="GL370" s="156"/>
      <c r="GM370" s="61"/>
      <c r="GN370" s="156"/>
      <c r="GO370" s="61"/>
      <c r="GP370" s="156"/>
      <c r="GQ370" s="61"/>
      <c r="GR370" s="157"/>
      <c r="GS370" s="61"/>
      <c r="GT370" s="157"/>
      <c r="GU370" s="61"/>
      <c r="GV370" s="157"/>
      <c r="GW370" s="61"/>
      <c r="GX370" s="157"/>
      <c r="GY370" s="61"/>
      <c r="GZ370" s="61"/>
      <c r="HA370" s="61"/>
      <c r="HB370" s="452"/>
      <c r="HC370"/>
      <c r="HD370"/>
      <c r="HE370"/>
      <c r="HF370"/>
      <c r="HG370"/>
      <c r="HH370"/>
    </row>
    <row r="371" spans="2:216" s="5" customFormat="1" ht="12.75" hidden="1" customHeight="1" outlineLevel="1" x14ac:dyDescent="0.2">
      <c r="B371" s="2" t="s">
        <v>260</v>
      </c>
      <c r="C371" s="140"/>
      <c r="D371" s="229"/>
      <c r="E371" s="140"/>
      <c r="F371" s="161"/>
      <c r="G371" s="140"/>
      <c r="H371" s="161"/>
      <c r="I371" s="140"/>
      <c r="J371" s="71"/>
      <c r="K371" s="140"/>
      <c r="L371" s="61"/>
      <c r="M371" s="140"/>
      <c r="N371" s="61"/>
      <c r="O371" s="140"/>
      <c r="P371" s="61"/>
      <c r="Q371" s="140"/>
      <c r="R371" s="61"/>
      <c r="S371" s="140"/>
      <c r="T371" s="61"/>
      <c r="U371" s="140"/>
      <c r="V371" s="61"/>
      <c r="W371" s="140"/>
      <c r="X371" s="61"/>
      <c r="Y371" s="140"/>
      <c r="Z371" s="61"/>
      <c r="AA371" s="140"/>
      <c r="AB371" s="61"/>
      <c r="AC371" s="140"/>
      <c r="AD371" s="61"/>
      <c r="AE371" s="140"/>
      <c r="AF371" s="61"/>
      <c r="AG371" s="140"/>
      <c r="AH371" s="61"/>
      <c r="AI371" s="140"/>
      <c r="AJ371" s="61"/>
      <c r="AK371" s="140"/>
      <c r="AL371" s="61"/>
      <c r="AM371" s="140"/>
      <c r="AN371" s="61"/>
      <c r="AO371" s="140"/>
      <c r="AP371" s="61"/>
      <c r="AQ371" s="140">
        <f>AQ361/AQ364*400</f>
        <v>-5.6655566168435003</v>
      </c>
      <c r="AR371" s="61" t="str">
        <f>IF(ISERROR((AQ371/AI371-1)*100),"NA",IF(((AQ371/AI371-1)*100)&gt;100,"NM",IF(((AQ371/AI371-1)*100)&lt;-50,"NM",(AQ371/AI371-1)*100)))</f>
        <v>NA</v>
      </c>
      <c r="AS371" s="140">
        <f>AS361/AS364*400</f>
        <v>11.104493730693793</v>
      </c>
      <c r="AT371" s="61" t="str">
        <f>IF(ISERROR((AS371/AK371-1)*100),"NA",IF(((AS371/AK371-1)*100)&gt;100,"NM",IF(((AS371/AK371-1)*100)&lt;-50,"NM",(AS371/AK371-1)*100)))</f>
        <v>NA</v>
      </c>
      <c r="AU371" s="140">
        <f>AU361/AU364*400</f>
        <v>16.425334522747548</v>
      </c>
      <c r="AV371" s="61" t="str">
        <f>IF(ISERROR((AU371/AM371-1)*100),"NA",IF(((AU371/AM371-1)*100)&gt;100,"NM",IF(((AU371/AM371-1)*100)&lt;-50,"NM",(AU371/AM371-1)*100)))</f>
        <v>NA</v>
      </c>
      <c r="AW371" s="140">
        <f>AW361/AW364*400</f>
        <v>7.8405905623993588</v>
      </c>
      <c r="AX371" s="61" t="str">
        <f>IF(ISERROR((AW371/AO371-1)*100),"NA",IF(((AW371/AO371-1)*100)&gt;100,"NM",IF(((AW371/AO371-1)*100)&lt;-50,"NM",(AW371/AO371-1)*100)))</f>
        <v>NA</v>
      </c>
      <c r="AY371" s="84">
        <f>AY361/AY364*400</f>
        <v>19.002688024576226</v>
      </c>
      <c r="AZ371" s="61" t="str">
        <f>IF(ISERROR((AY371/AQ371-1)*100),"NA",IF(((AY371/AQ371-1)*100)&gt;100,"NM",IF(((AY371/AQ371-1)*100)&lt;-50,"NM",(AY371/AQ371-1)*100)))</f>
        <v>NM</v>
      </c>
      <c r="BA371" s="84">
        <f>BA361/BA364*400</f>
        <v>-7.0135536576308946</v>
      </c>
      <c r="BB371" s="61" t="str">
        <f>IF(ISERROR((BA371/AS371-1)*100),"NA",IF(((BA371/AS371-1)*100)&gt;100,"NM",IF(((BA371/AS371-1)*100)&lt;-50,"NM",(BA371/AS371-1)*100)))</f>
        <v>NM</v>
      </c>
      <c r="BC371" s="84">
        <f>BC361/BC364*400</f>
        <v>12.955225582124433</v>
      </c>
      <c r="BD371" s="61">
        <f>IF(ISERROR((BC371/AU371-1)*100),"NA",IF(((BC371/AU371-1)*100)&gt;100,"NM",IF(((BC371/AU371-1)*100)&lt;-50,"NM",(BC371/AU371-1)*100)))</f>
        <v>-21.12656479426547</v>
      </c>
      <c r="BE371" s="84">
        <f>BE361/BE364*400</f>
        <v>22.563136314487899</v>
      </c>
      <c r="BF371" s="61" t="str">
        <f>IF(ISERROR((BE371/AW371-1)*100),"NA",IF(((BE371/AW371-1)*100)&gt;100,"NM",IF(((BE371/AW371-1)*100)&lt;-50,"NM",(BE371/AW371-1)*100)))</f>
        <v>NM</v>
      </c>
      <c r="BG371" s="84">
        <f>BG361/BG364*400</f>
        <v>8.0231404260709827</v>
      </c>
      <c r="BH371" s="61" t="str">
        <f>IF(ISERROR((BG371/AY371-1)*100),"NA",IF(((BG371/AY371-1)*100)&gt;100,"NM",IF(((BG371/AY371-1)*100)&lt;-50,"NM",(BG371/AY371-1)*100)))</f>
        <v>NM</v>
      </c>
      <c r="BI371" s="84">
        <f>BI361/BI364*400</f>
        <v>7.8578961516987524</v>
      </c>
      <c r="BJ371" s="61" t="str">
        <f>IF(ISERROR((BI371/BA371-1)*100),"NA",IF(((BI371/BA371-1)*100)&gt;100,"NM",IF(((BI371/BA371-1)*100)&lt;-50,"NM",(BI371/BA371-1)*100)))</f>
        <v>NM</v>
      </c>
      <c r="BK371" s="84">
        <f>BK361/BK364*400</f>
        <v>7.6993212440482228</v>
      </c>
      <c r="BL371" s="61">
        <f>IF(ISERROR((BK371/BC371-1)*100),"NA",IF(((BK371/BC371-1)*100)&gt;100,"NM",IF(((BK371/BC371-1)*100)&lt;-50,"NM",(BK371/BC371-1)*100)))</f>
        <v>-40.569763179795849</v>
      </c>
      <c r="BM371" s="84">
        <f>BM361/BM364*400</f>
        <v>-4.526026272134354</v>
      </c>
      <c r="BN371" s="61" t="str">
        <f>IF(ISERROR((BM371/BE371-1)*100),"NA",IF(((BM371/BE371-1)*100)&gt;100,"NM",IF(((BM371/BE371-1)*100)&lt;-50,"NM",(BM371/BE371-1)*100)))</f>
        <v>NM</v>
      </c>
      <c r="BO371" s="84">
        <f>BO361/BO364*400</f>
        <v>-27.598157356844322</v>
      </c>
      <c r="BP371" s="61" t="str">
        <f>IF(ISERROR((BO371/BG371-1)*100),"NA",IF(((BO371/BG371-1)*100)&gt;100,"NM",IF(((BO371/BG371-1)*100)&lt;-50,"NM",(BO371/BG371-1)*100)))</f>
        <v>NM</v>
      </c>
      <c r="BQ371" s="84">
        <f>BQ361/BQ364*400</f>
        <v>-7.1322513924099882</v>
      </c>
      <c r="BR371" s="61" t="str">
        <f>IF(ISERROR((BQ371/BI371-1)*100),"NA",IF(((BQ371/BI371-1)*100)&gt;100,"NM",IF(((BQ371/BI371-1)*100)&lt;-50,"NM",(BQ371/BI371-1)*100)))</f>
        <v>NM</v>
      </c>
      <c r="BS371" s="84">
        <f>BS361/BS364*400</f>
        <v>-36.511350059737154</v>
      </c>
      <c r="BT371" s="61" t="str">
        <f>IF(ISERROR((BS371/BK371-1)*100),"NA",IF(((BS371/BK371-1)*100)&gt;100,"NM",IF(((BS371/BK371-1)*100)&lt;-50,"NM",(BS371/BK371-1)*100)))</f>
        <v>NM</v>
      </c>
      <c r="BU371" s="84">
        <f>BU361/BU364*400</f>
        <v>-57.830131829851162</v>
      </c>
      <c r="BV371" s="61" t="str">
        <f>IF(ISERROR((BU371/BM371-1)*100),"NA",IF(((BU371/BM371-1)*100)&gt;100,"NM",IF(((BU371/BM371-1)*100)&lt;-50,"NM",(BU371/BM371-1)*100)))</f>
        <v>NM</v>
      </c>
      <c r="BW371" s="84">
        <f>BW361/BW364*400</f>
        <v>-22.137806529261319</v>
      </c>
      <c r="BX371" s="61">
        <f>IF(ISERROR((BW371/BO371-1)*100),"NA",IF(((BW371/BO371-1)*100)&gt;100,"NM",IF(((BW371/BO371-1)*100)&lt;-50,"NM",(BW371/BO371-1)*100)))</f>
        <v>-19.785200718224182</v>
      </c>
      <c r="BY371" s="84">
        <f>BY361/BY364*400</f>
        <v>41.562041266628377</v>
      </c>
      <c r="BZ371" s="61" t="str">
        <f>IF(ISERROR((BY371/BQ371-1)*100),"NA",IF(((BY371/BQ371-1)*100)&gt;100,"NM",IF(((BY371/BQ371-1)*100)&lt;-50,"NM",(BY371/BQ371-1)*100)))</f>
        <v>NM</v>
      </c>
      <c r="CA371" s="84"/>
      <c r="CB371" s="61"/>
      <c r="CC371" s="84"/>
      <c r="CD371" s="61"/>
      <c r="CE371" s="84"/>
      <c r="CF371" s="61"/>
      <c r="CG371" s="84"/>
      <c r="CH371" s="61"/>
      <c r="CI371" s="84"/>
      <c r="CJ371" s="61"/>
      <c r="CK371" s="84"/>
      <c r="CL371" s="61"/>
      <c r="CM371" s="84"/>
      <c r="CN371" s="61"/>
      <c r="CO371" s="84"/>
      <c r="CP371" s="61"/>
      <c r="CQ371" s="84"/>
      <c r="CR371" s="61"/>
      <c r="CS371" s="84"/>
      <c r="CT371" s="61"/>
      <c r="CU371" s="84"/>
      <c r="CV371" s="61"/>
      <c r="CW371" s="84"/>
      <c r="CX371" s="61"/>
      <c r="CY371" s="84"/>
      <c r="CZ371" s="61"/>
      <c r="DA371" s="84"/>
      <c r="DB371" s="61"/>
      <c r="DC371" s="84"/>
      <c r="DD371" s="61"/>
      <c r="DE371" s="84"/>
      <c r="DF371" s="61"/>
      <c r="DG371" s="84"/>
      <c r="DH371" s="61"/>
      <c r="DI371" s="84"/>
      <c r="DJ371" s="61"/>
      <c r="DK371" s="84"/>
      <c r="DL371" s="61"/>
      <c r="DM371" s="84"/>
      <c r="DN371" s="61"/>
      <c r="DO371" s="84"/>
      <c r="DP371" s="61"/>
      <c r="DQ371" s="84"/>
      <c r="DR371" s="61"/>
      <c r="DS371" s="84"/>
      <c r="DT371" s="61"/>
      <c r="DU371" s="84"/>
      <c r="DV371" s="61"/>
      <c r="DW371" s="84"/>
      <c r="DX371" s="84"/>
      <c r="DY371" s="84"/>
      <c r="DZ371" s="61"/>
      <c r="EA371" s="84"/>
      <c r="EB371" s="61"/>
      <c r="EC371" s="84"/>
      <c r="ED371" s="61"/>
      <c r="EE371" s="84"/>
      <c r="EF371" s="61"/>
      <c r="EG371" s="84"/>
      <c r="EH371" s="61"/>
      <c r="EI371" s="84"/>
      <c r="EJ371" s="61"/>
      <c r="EK371" s="84"/>
      <c r="EL371" s="61"/>
      <c r="EM371" s="84"/>
      <c r="EN371" s="61"/>
      <c r="EO371" s="84"/>
      <c r="EP371" s="61"/>
      <c r="EQ371" s="84"/>
      <c r="ER371" s="61"/>
      <c r="ES371" s="84"/>
      <c r="ET371" s="61"/>
      <c r="EU371" s="84"/>
      <c r="EV371" s="61"/>
      <c r="EW371" s="84"/>
      <c r="EX371" s="61"/>
      <c r="EY371" s="225"/>
      <c r="EZ371" s="558"/>
      <c r="FA371" s="225"/>
      <c r="FB371" s="226"/>
      <c r="FC371" s="227"/>
      <c r="FD371" s="226"/>
      <c r="FE371" s="228"/>
      <c r="FF371" s="226"/>
      <c r="FG371" s="228"/>
      <c r="FH371" s="226"/>
      <c r="FI371" s="228"/>
      <c r="FJ371" s="226"/>
      <c r="FK371" s="228"/>
      <c r="FL371" s="226"/>
      <c r="FM371" s="228"/>
      <c r="FN371" s="226"/>
      <c r="FO371" s="228"/>
      <c r="FP371" s="139">
        <f>FP361/FP364*100</f>
        <v>7.8374046481256121</v>
      </c>
      <c r="FQ371" s="61" t="str">
        <f>IF(ISERROR((FP371/FN371-1)*100),"NA",IF(((FP371/FN371-1)*100)&gt;100,"NM",IF(((FP371/FN371-1)*100)&lt;-50,"NM",(FP371/FN371-1)*100)))</f>
        <v>NA</v>
      </c>
      <c r="FR371" s="139">
        <f>FR361/FR364*100</f>
        <v>11.999542700354407</v>
      </c>
      <c r="FS371" s="61">
        <f>IF(ISERROR((FR371/FP371-1)*100),"NA",IF(((FR371/FP371-1)*100)&gt;100,"NM",IF(((FR371/FP371-1)*100)&lt;-50,"NM",(FR371/FP371-1)*100)))</f>
        <v>53.10607578778275</v>
      </c>
      <c r="FT371" s="139">
        <f>FT361/FT364*100</f>
        <v>5.1963570778448469</v>
      </c>
      <c r="FU371" s="61" t="str">
        <f>IF(ISERROR((FT371/FR371-1)*100),"NA",IF(((FT371/FR371-1)*100)&gt;100,"NM",IF(((FT371/FR371-1)*100)&lt;-50,"NM",(FT371/FR371-1)*100)))</f>
        <v>NM</v>
      </c>
      <c r="FV371" s="139">
        <f>FV361/FV364*100</f>
        <v>-31.851550046819494</v>
      </c>
      <c r="FW371" s="61" t="str">
        <f>IF(ISERROR((FV371/FT371-1)*100),"NA",IF(((FV371/FT371-1)*100)&gt;100,"NM",IF(((FV371/FT371-1)*100)&lt;-50,"NM",(FV371/FT371-1)*100)))</f>
        <v>NM</v>
      </c>
      <c r="FX371" s="139">
        <f>FX361/FX364*100</f>
        <v>4.9017427430187972</v>
      </c>
      <c r="FY371" s="61" t="str">
        <f>IF(ISERROR((FX371/FV371-1)*100),"NA",IF(((FX371/FV371-1)*100)&gt;100,"NM",IF(((FX371/FV371-1)*100)&lt;-50,"NM",(FX371/FV371-1)*100)))</f>
        <v>NM</v>
      </c>
      <c r="FZ371" s="139"/>
      <c r="GA371" s="61"/>
      <c r="GB371" s="139"/>
      <c r="GC371" s="61"/>
      <c r="GD371" s="139"/>
      <c r="GE371" s="61"/>
      <c r="GF371" s="139"/>
      <c r="GG371" s="61"/>
      <c r="GH371" s="139"/>
      <c r="GI371" s="61"/>
      <c r="GJ371" s="139"/>
      <c r="GK371" s="61"/>
      <c r="GL371" s="139"/>
      <c r="GM371" s="61"/>
      <c r="GN371" s="139"/>
      <c r="GO371" s="61"/>
      <c r="GP371" s="139"/>
      <c r="GQ371" s="61"/>
      <c r="GR371" s="84"/>
      <c r="GS371" s="61"/>
      <c r="GT371" s="84"/>
      <c r="GU371" s="61"/>
      <c r="GV371" s="84"/>
      <c r="GW371" s="61"/>
      <c r="GX371" s="84"/>
      <c r="GY371" s="61"/>
      <c r="GZ371" s="61"/>
      <c r="HA371" s="61"/>
      <c r="HB371" s="452"/>
      <c r="HC371"/>
      <c r="HD371"/>
      <c r="HE371"/>
      <c r="HF371"/>
      <c r="HG371"/>
      <c r="HH371"/>
    </row>
    <row r="372" spans="2:216" s="5" customFormat="1" ht="12.75" hidden="1" customHeight="1" outlineLevel="1" x14ac:dyDescent="0.2">
      <c r="B372" s="2"/>
      <c r="C372" s="66"/>
      <c r="D372" s="67"/>
      <c r="E372" s="66"/>
      <c r="F372" s="66"/>
      <c r="G372" s="64"/>
      <c r="H372" s="66"/>
      <c r="I372" s="64"/>
      <c r="J372" s="66"/>
      <c r="K372" s="64"/>
      <c r="L372" s="61"/>
      <c r="M372" s="66"/>
      <c r="N372" s="61"/>
      <c r="O372" s="64"/>
      <c r="P372" s="61"/>
      <c r="Q372" s="64"/>
      <c r="R372" s="61"/>
      <c r="S372" s="64"/>
      <c r="T372" s="61"/>
      <c r="U372" s="64"/>
      <c r="V372" s="61"/>
      <c r="W372" s="64"/>
      <c r="X372" s="61"/>
      <c r="Y372" s="64"/>
      <c r="Z372" s="61"/>
      <c r="AA372" s="64"/>
      <c r="AB372" s="61"/>
      <c r="AC372" s="64"/>
      <c r="AD372" s="61"/>
      <c r="AE372" s="64"/>
      <c r="AF372" s="61"/>
      <c r="AG372" s="64"/>
      <c r="AH372" s="61"/>
      <c r="AI372" s="64"/>
      <c r="AJ372" s="61"/>
      <c r="AK372" s="64"/>
      <c r="AL372" s="61"/>
      <c r="AM372" s="64"/>
      <c r="AN372" s="61"/>
      <c r="AO372" s="64"/>
      <c r="AP372" s="61"/>
      <c r="AQ372" s="64"/>
      <c r="AR372" s="61"/>
      <c r="AS372" s="64"/>
      <c r="AT372" s="61"/>
      <c r="AU372" s="64"/>
      <c r="AV372" s="61"/>
      <c r="AW372" s="64"/>
      <c r="AX372" s="61"/>
      <c r="AY372" s="64"/>
      <c r="AZ372" s="61"/>
      <c r="BA372" s="64"/>
      <c r="BB372" s="61"/>
      <c r="BC372" s="64"/>
      <c r="BD372" s="61"/>
      <c r="BE372" s="64"/>
      <c r="BF372" s="61"/>
      <c r="BG372" s="64"/>
      <c r="BH372" s="61"/>
      <c r="BI372" s="64"/>
      <c r="BJ372" s="61"/>
      <c r="BK372" s="64"/>
      <c r="BL372" s="61"/>
      <c r="BM372" s="64"/>
      <c r="BN372" s="61"/>
      <c r="BO372" s="64"/>
      <c r="BP372" s="61"/>
      <c r="BQ372" s="64"/>
      <c r="BR372" s="61"/>
      <c r="BS372" s="64"/>
      <c r="BT372" s="61"/>
      <c r="BU372" s="64"/>
      <c r="BV372" s="61"/>
      <c r="BW372" s="64"/>
      <c r="BX372" s="61"/>
      <c r="BY372" s="64"/>
      <c r="BZ372" s="61"/>
      <c r="CA372" s="64"/>
      <c r="CB372" s="61"/>
      <c r="CC372" s="64"/>
      <c r="CD372" s="61"/>
      <c r="CE372" s="64"/>
      <c r="CF372" s="61"/>
      <c r="CG372" s="64"/>
      <c r="CH372" s="61"/>
      <c r="CI372" s="64"/>
      <c r="CJ372" s="61"/>
      <c r="CK372" s="64"/>
      <c r="CL372" s="61"/>
      <c r="CM372" s="64"/>
      <c r="CN372" s="61"/>
      <c r="CO372" s="64"/>
      <c r="CP372" s="61"/>
      <c r="CQ372" s="64"/>
      <c r="CR372" s="61"/>
      <c r="CS372" s="64"/>
      <c r="CT372" s="61"/>
      <c r="CU372" s="64"/>
      <c r="CV372" s="61"/>
      <c r="CW372" s="64"/>
      <c r="CX372" s="61"/>
      <c r="CY372" s="64"/>
      <c r="CZ372" s="61"/>
      <c r="DA372" s="64"/>
      <c r="DB372" s="61"/>
      <c r="DC372" s="64"/>
      <c r="DD372" s="61"/>
      <c r="DE372" s="64"/>
      <c r="DF372" s="61"/>
      <c r="DG372" s="64"/>
      <c r="DH372" s="61"/>
      <c r="DI372" s="64"/>
      <c r="DJ372" s="61"/>
      <c r="DK372" s="64"/>
      <c r="DL372" s="61"/>
      <c r="DM372" s="64"/>
      <c r="DN372" s="61"/>
      <c r="DO372" s="64"/>
      <c r="DP372" s="61"/>
      <c r="DQ372" s="64"/>
      <c r="DR372" s="61"/>
      <c r="DS372" s="64"/>
      <c r="DT372" s="61"/>
      <c r="DU372" s="64"/>
      <c r="DV372" s="61"/>
      <c r="DW372" s="64"/>
      <c r="DX372" s="64"/>
      <c r="DY372" s="64"/>
      <c r="DZ372" s="61"/>
      <c r="EA372" s="64"/>
      <c r="EB372" s="61"/>
      <c r="EC372" s="64"/>
      <c r="ED372" s="61"/>
      <c r="EE372" s="64"/>
      <c r="EF372" s="61"/>
      <c r="EG372" s="64"/>
      <c r="EH372" s="61"/>
      <c r="EI372" s="64"/>
      <c r="EJ372" s="61"/>
      <c r="EK372" s="64"/>
      <c r="EL372" s="61"/>
      <c r="EM372" s="64"/>
      <c r="EN372" s="61"/>
      <c r="EO372" s="64"/>
      <c r="EP372" s="61"/>
      <c r="EQ372" s="64"/>
      <c r="ER372" s="61"/>
      <c r="ES372" s="64"/>
      <c r="ET372" s="61"/>
      <c r="EU372" s="64"/>
      <c r="EV372" s="61"/>
      <c r="EW372" s="64"/>
      <c r="EX372" s="61"/>
      <c r="EY372" s="64"/>
      <c r="EZ372" s="558"/>
      <c r="FA372" s="64"/>
      <c r="FB372" s="66"/>
      <c r="FC372" s="66"/>
      <c r="FD372" s="66"/>
      <c r="FE372" s="67"/>
      <c r="FF372" s="66"/>
      <c r="FG372" s="67"/>
      <c r="FH372" s="66"/>
      <c r="FI372" s="67"/>
      <c r="FJ372" s="66"/>
      <c r="FK372" s="67"/>
      <c r="FL372" s="66"/>
      <c r="FM372" s="61"/>
      <c r="FN372" s="66"/>
      <c r="FO372" s="61"/>
      <c r="FP372" s="65"/>
      <c r="FQ372" s="61"/>
      <c r="FR372" s="65"/>
      <c r="FS372" s="61"/>
      <c r="FT372" s="65"/>
      <c r="FU372" s="61"/>
      <c r="FV372" s="65"/>
      <c r="FW372" s="61"/>
      <c r="FX372" s="65"/>
      <c r="FY372" s="61"/>
      <c r="FZ372" s="65"/>
      <c r="GA372" s="61"/>
      <c r="GB372" s="65"/>
      <c r="GC372" s="61"/>
      <c r="GD372" s="65"/>
      <c r="GE372" s="61"/>
      <c r="GF372" s="65"/>
      <c r="GG372" s="61"/>
      <c r="GH372" s="65"/>
      <c r="GI372" s="61"/>
      <c r="GJ372" s="65"/>
      <c r="GK372" s="61"/>
      <c r="GL372" s="65"/>
      <c r="GM372" s="61"/>
      <c r="GN372" s="65"/>
      <c r="GO372" s="61"/>
      <c r="GP372" s="65"/>
      <c r="GQ372" s="61"/>
      <c r="GR372" s="64"/>
      <c r="GS372" s="61"/>
      <c r="GT372" s="64"/>
      <c r="GU372" s="61"/>
      <c r="GV372" s="64"/>
      <c r="GW372" s="61"/>
      <c r="GX372" s="64"/>
      <c r="GY372" s="61"/>
      <c r="GZ372" s="61"/>
      <c r="HA372" s="61"/>
      <c r="HB372" s="452"/>
      <c r="HC372"/>
      <c r="HD372"/>
      <c r="HE372"/>
      <c r="HF372"/>
      <c r="HG372"/>
      <c r="HH372"/>
    </row>
    <row r="373" spans="2:216" s="5" customFormat="1" ht="12.75" hidden="1" customHeight="1" outlineLevel="1" x14ac:dyDescent="0.2">
      <c r="B373" s="63" t="s">
        <v>188</v>
      </c>
      <c r="C373" s="66"/>
      <c r="D373" s="67"/>
      <c r="E373" s="66"/>
      <c r="F373" s="66"/>
      <c r="G373" s="64"/>
      <c r="H373" s="66"/>
      <c r="I373" s="64"/>
      <c r="J373" s="66"/>
      <c r="K373" s="64"/>
      <c r="L373" s="61"/>
      <c r="M373" s="66"/>
      <c r="N373" s="61"/>
      <c r="O373" s="64"/>
      <c r="P373" s="61"/>
      <c r="Q373" s="64"/>
      <c r="R373" s="61"/>
      <c r="S373" s="64"/>
      <c r="T373" s="61"/>
      <c r="U373" s="64"/>
      <c r="V373" s="61"/>
      <c r="W373" s="64"/>
      <c r="X373" s="61"/>
      <c r="Y373" s="64"/>
      <c r="Z373" s="61"/>
      <c r="AA373" s="64"/>
      <c r="AB373" s="61"/>
      <c r="AC373" s="64"/>
      <c r="AD373" s="61"/>
      <c r="AE373" s="64"/>
      <c r="AF373" s="61"/>
      <c r="AG373" s="64"/>
      <c r="AH373" s="61"/>
      <c r="AI373" s="64"/>
      <c r="AJ373" s="61"/>
      <c r="AK373" s="64"/>
      <c r="AL373" s="61"/>
      <c r="AM373" s="64"/>
      <c r="AN373" s="61"/>
      <c r="AO373" s="64"/>
      <c r="AP373" s="61"/>
      <c r="AQ373" s="64"/>
      <c r="AR373" s="61"/>
      <c r="AS373" s="64"/>
      <c r="AT373" s="61"/>
      <c r="AU373" s="64"/>
      <c r="AV373" s="61"/>
      <c r="AW373" s="64"/>
      <c r="AX373" s="61"/>
      <c r="AY373" s="64"/>
      <c r="AZ373" s="61"/>
      <c r="BA373" s="64"/>
      <c r="BB373" s="61"/>
      <c r="BC373" s="64"/>
      <c r="BD373" s="61"/>
      <c r="BE373" s="64"/>
      <c r="BF373" s="61"/>
      <c r="BG373" s="64"/>
      <c r="BH373" s="61"/>
      <c r="BI373" s="64"/>
      <c r="BJ373" s="61"/>
      <c r="BK373" s="64"/>
      <c r="BL373" s="61"/>
      <c r="BM373" s="64"/>
      <c r="BN373" s="61"/>
      <c r="BO373" s="64"/>
      <c r="BP373" s="61"/>
      <c r="BQ373" s="64"/>
      <c r="BR373" s="61"/>
      <c r="BS373" s="64"/>
      <c r="BT373" s="61"/>
      <c r="BU373" s="64"/>
      <c r="BV373" s="61"/>
      <c r="BW373" s="64"/>
      <c r="BX373" s="61"/>
      <c r="BY373" s="64"/>
      <c r="BZ373" s="61"/>
      <c r="CA373" s="64"/>
      <c r="CB373" s="61"/>
      <c r="CC373" s="64"/>
      <c r="CD373" s="61"/>
      <c r="CE373" s="64"/>
      <c r="CF373" s="61"/>
      <c r="CG373" s="64"/>
      <c r="CH373" s="61"/>
      <c r="CI373" s="64"/>
      <c r="CJ373" s="61"/>
      <c r="CK373" s="64"/>
      <c r="CL373" s="61"/>
      <c r="CM373" s="64"/>
      <c r="CN373" s="61"/>
      <c r="CO373" s="64"/>
      <c r="CP373" s="61"/>
      <c r="CQ373" s="64"/>
      <c r="CR373" s="61"/>
      <c r="CS373" s="64"/>
      <c r="CT373" s="61"/>
      <c r="CU373" s="64"/>
      <c r="CV373" s="61"/>
      <c r="CW373" s="64"/>
      <c r="CX373" s="61"/>
      <c r="CY373" s="64"/>
      <c r="CZ373" s="61"/>
      <c r="DA373" s="64"/>
      <c r="DB373" s="61"/>
      <c r="DC373" s="64"/>
      <c r="DD373" s="61"/>
      <c r="DE373" s="64"/>
      <c r="DF373" s="61"/>
      <c r="DG373" s="64"/>
      <c r="DH373" s="61"/>
      <c r="DI373" s="64"/>
      <c r="DJ373" s="61"/>
      <c r="DK373" s="64"/>
      <c r="DL373" s="61"/>
      <c r="DM373" s="64"/>
      <c r="DN373" s="61"/>
      <c r="DO373" s="64"/>
      <c r="DP373" s="61"/>
      <c r="DQ373" s="64"/>
      <c r="DR373" s="61"/>
      <c r="DS373" s="64"/>
      <c r="DT373" s="61"/>
      <c r="DU373" s="64"/>
      <c r="DV373" s="61"/>
      <c r="DW373" s="64"/>
      <c r="DX373" s="64"/>
      <c r="DY373" s="64"/>
      <c r="DZ373" s="61"/>
      <c r="EA373" s="64"/>
      <c r="EB373" s="61"/>
      <c r="EC373" s="64"/>
      <c r="ED373" s="61"/>
      <c r="EE373" s="64"/>
      <c r="EF373" s="61"/>
      <c r="EG373" s="64"/>
      <c r="EH373" s="61"/>
      <c r="EI373" s="64"/>
      <c r="EJ373" s="61"/>
      <c r="EK373" s="64"/>
      <c r="EL373" s="61"/>
      <c r="EM373" s="64"/>
      <c r="EN373" s="61"/>
      <c r="EO373" s="64"/>
      <c r="EP373" s="61"/>
      <c r="EQ373" s="64"/>
      <c r="ER373" s="61"/>
      <c r="ES373" s="64"/>
      <c r="ET373" s="61"/>
      <c r="EU373" s="64"/>
      <c r="EV373" s="61"/>
      <c r="EW373" s="64"/>
      <c r="EX373" s="61"/>
      <c r="EY373" s="64"/>
      <c r="EZ373" s="558"/>
      <c r="FA373" s="64"/>
      <c r="FB373" s="66"/>
      <c r="FC373" s="66"/>
      <c r="FD373" s="66"/>
      <c r="FE373" s="67"/>
      <c r="FF373" s="66"/>
      <c r="FG373" s="67"/>
      <c r="FH373" s="66"/>
      <c r="FI373" s="67"/>
      <c r="FJ373" s="66"/>
      <c r="FK373" s="67"/>
      <c r="FL373" s="66"/>
      <c r="FM373" s="61"/>
      <c r="FN373" s="66"/>
      <c r="FO373" s="61"/>
      <c r="FP373" s="65"/>
      <c r="FQ373" s="61"/>
      <c r="FR373" s="65"/>
      <c r="FS373" s="61"/>
      <c r="FT373" s="65"/>
      <c r="FU373" s="61"/>
      <c r="FV373" s="65"/>
      <c r="FW373" s="61"/>
      <c r="FX373" s="65"/>
      <c r="FY373" s="61"/>
      <c r="FZ373" s="65"/>
      <c r="GA373" s="61"/>
      <c r="GB373" s="65"/>
      <c r="GC373" s="61"/>
      <c r="GD373" s="65"/>
      <c r="GE373" s="61"/>
      <c r="GF373" s="65"/>
      <c r="GG373" s="61"/>
      <c r="GH373" s="65"/>
      <c r="GI373" s="61"/>
      <c r="GJ373" s="65"/>
      <c r="GK373" s="61"/>
      <c r="GL373" s="65"/>
      <c r="GM373" s="61"/>
      <c r="GN373" s="65"/>
      <c r="GO373" s="61"/>
      <c r="GP373" s="65"/>
      <c r="GQ373" s="61"/>
      <c r="GR373" s="64"/>
      <c r="GS373" s="61"/>
      <c r="GT373" s="64"/>
      <c r="GU373" s="61"/>
      <c r="GV373" s="64"/>
      <c r="GW373" s="61"/>
      <c r="GX373" s="64"/>
      <c r="GY373" s="61"/>
      <c r="GZ373" s="61"/>
      <c r="HA373" s="61"/>
      <c r="HB373" s="452"/>
      <c r="HC373"/>
      <c r="HD373"/>
      <c r="HE373"/>
      <c r="HF373"/>
      <c r="HG373"/>
      <c r="HH373"/>
    </row>
    <row r="374" spans="2:216" s="5" customFormat="1" ht="12.75" hidden="1" customHeight="1" outlineLevel="1" x14ac:dyDescent="0.2">
      <c r="B374" s="2" t="s">
        <v>166</v>
      </c>
      <c r="C374" s="72"/>
      <c r="D374" s="70"/>
      <c r="E374" s="72"/>
      <c r="F374" s="71"/>
      <c r="G374" s="74"/>
      <c r="H374" s="71"/>
      <c r="I374" s="74"/>
      <c r="J374" s="61"/>
      <c r="K374" s="74"/>
      <c r="L374" s="61"/>
      <c r="M374" s="72"/>
      <c r="N374" s="61"/>
      <c r="O374" s="74"/>
      <c r="P374" s="61"/>
      <c r="Q374" s="74"/>
      <c r="R374" s="61"/>
      <c r="S374" s="74"/>
      <c r="T374" s="61"/>
      <c r="U374" s="74"/>
      <c r="V374" s="61"/>
      <c r="W374" s="74"/>
      <c r="X374" s="61"/>
      <c r="Y374" s="74"/>
      <c r="Z374" s="61"/>
      <c r="AA374" s="74"/>
      <c r="AB374" s="61"/>
      <c r="AC374" s="74"/>
      <c r="AD374" s="61"/>
      <c r="AE374" s="74"/>
      <c r="AF374" s="61"/>
      <c r="AG374" s="74"/>
      <c r="AH374" s="61"/>
      <c r="AI374" s="74"/>
      <c r="AJ374" s="61"/>
      <c r="AK374" s="74"/>
      <c r="AL374" s="61"/>
      <c r="AM374" s="74"/>
      <c r="AN374" s="61"/>
      <c r="AO374" s="74"/>
      <c r="AP374" s="61"/>
      <c r="AQ374" s="74">
        <f>55+24.8</f>
        <v>79.8</v>
      </c>
      <c r="AR374" s="61" t="str">
        <f>IF(ISERROR((AQ374/AI374-1)*100),"NA",IF(((AQ374/AI374-1)*100)&gt;100,"NM",IF(((AQ374/AI374-1)*100)&lt;-50,"NM",(AQ374/AI374-1)*100)))</f>
        <v>NA</v>
      </c>
      <c r="AS374" s="74">
        <f>62+24.6</f>
        <v>86.6</v>
      </c>
      <c r="AT374" s="61" t="str">
        <f>IF(ISERROR((AS374/AK374-1)*100),"NA",IF(((AS374/AK374-1)*100)&gt;100,"NM",IF(((AS374/AK374-1)*100)&lt;-50,"NM",(AS374/AK374-1)*100)))</f>
        <v>NA</v>
      </c>
      <c r="AU374" s="74">
        <f>67.9+24.9</f>
        <v>92.800000000000011</v>
      </c>
      <c r="AV374" s="61" t="str">
        <f>IF(ISERROR((AU374/AM374-1)*100),"NA",IF(((AU374/AM374-1)*100)&gt;100,"NM",IF(((AU374/AM374-1)*100)&lt;-50,"NM",(AU374/AM374-1)*100)))</f>
        <v>NA</v>
      </c>
      <c r="AW374" s="74">
        <f>70.9+24.5</f>
        <v>95.4</v>
      </c>
      <c r="AX374" s="61" t="str">
        <f>IF(ISERROR((AW374/AO374-1)*100),"NA",IF(((AW374/AO374-1)*100)&gt;100,"NM",IF(((AW374/AO374-1)*100)&lt;-50,"NM",(AW374/AO374-1)*100)))</f>
        <v>NA</v>
      </c>
      <c r="AY374" s="74">
        <f>77.8+25.1</f>
        <v>102.9</v>
      </c>
      <c r="AZ374" s="61">
        <f>IF(ISERROR((AY374/AQ374-1)*100),"NA",IF(((AY374/AQ374-1)*100)&gt;100,"NM",IF(((AY374/AQ374-1)*100)&lt;-50,"NM",(AY374/AQ374-1)*100)))</f>
        <v>28.947368421052634</v>
      </c>
      <c r="BA374" s="74">
        <f>81.2+23.5</f>
        <v>104.7</v>
      </c>
      <c r="BB374" s="61">
        <f>IF(ISERROR((BA374/AS374-1)*100),"NA",IF(((BA374/AS374-1)*100)&gt;100,"NM",IF(((BA374/AS374-1)*100)&lt;-50,"NM",(BA374/AS374-1)*100)))</f>
        <v>20.900692840646663</v>
      </c>
      <c r="BC374" s="74">
        <f>82.4+23.7</f>
        <v>106.10000000000001</v>
      </c>
      <c r="BD374" s="61">
        <f>IF(ISERROR((BC374/AU374-1)*100),"NA",IF(((BC374/AU374-1)*100)&gt;100,"NM",IF(((BC374/AU374-1)*100)&lt;-50,"NM",(BC374/AU374-1)*100)))</f>
        <v>14.331896551724132</v>
      </c>
      <c r="BE374" s="74">
        <f>86.5+24.7</f>
        <v>111.2</v>
      </c>
      <c r="BF374" s="61">
        <f>IF(ISERROR((BE374/AW374-1)*100),"NA",IF(((BE374/AW374-1)*100)&gt;100,"NM",IF(((BE374/AW374-1)*100)&lt;-50,"NM",(BE374/AW374-1)*100)))</f>
        <v>16.561844863731643</v>
      </c>
      <c r="BG374" s="74">
        <f>89.9+24.9</f>
        <v>114.80000000000001</v>
      </c>
      <c r="BH374" s="61">
        <f>IF(ISERROR((BG374/AY374-1)*100),"NA",IF(((BG374/AY374-1)*100)&gt;100,"NM",IF(((BG374/AY374-1)*100)&lt;-50,"NM",(BG374/AY374-1)*100)))</f>
        <v>11.56462585034015</v>
      </c>
      <c r="BI374" s="74">
        <f>92.5+19.8</f>
        <v>112.3</v>
      </c>
      <c r="BJ374" s="61">
        <f>IF(ISERROR((BI374/BA374-1)*100),"NA",IF(((BI374/BA374-1)*100)&gt;100,"NM",IF(((BI374/BA374-1)*100)&lt;-50,"NM",(BI374/BA374-1)*100)))</f>
        <v>7.2588347659980901</v>
      </c>
      <c r="BK374" s="74">
        <f>91.5+20.1</f>
        <v>111.6</v>
      </c>
      <c r="BL374" s="61">
        <f>IF(ISERROR((BK374/BC374-1)*100),"NA",IF(((BK374/BC374-1)*100)&gt;100,"NM",IF(((BK374/BC374-1)*100)&lt;-50,"NM",(BK374/BC374-1)*100)))</f>
        <v>5.1837888784165731</v>
      </c>
      <c r="BM374" s="74">
        <f>88.2+19.8</f>
        <v>108</v>
      </c>
      <c r="BN374" s="61">
        <f>IF(ISERROR((BM374/BE374-1)*100),"NA",IF(((BM374/BE374-1)*100)&gt;100,"NM",IF(((BM374/BE374-1)*100)&lt;-50,"NM",(BM374/BE374-1)*100)))</f>
        <v>-2.877697841726623</v>
      </c>
      <c r="BO374" s="74">
        <f>76.2+20</f>
        <v>96.2</v>
      </c>
      <c r="BP374" s="61">
        <f>IF(ISERROR((BO374/BG374-1)*100),"NA",IF(((BO374/BG374-1)*100)&gt;100,"NM",IF(((BO374/BG374-1)*100)&lt;-50,"NM",(BO374/BG374-1)*100)))</f>
        <v>-16.202090592334507</v>
      </c>
      <c r="BQ374" s="74">
        <f>75.8+20.6</f>
        <v>96.4</v>
      </c>
      <c r="BR374" s="61">
        <f>IF(ISERROR((BQ374/BI374-1)*100),"NA",IF(((BQ374/BI374-1)*100)&gt;100,"NM",IF(((BQ374/BI374-1)*100)&lt;-50,"NM",(BQ374/BI374-1)*100)))</f>
        <v>-14.158504007123774</v>
      </c>
      <c r="BS374" s="74">
        <f>67.7+20.6</f>
        <v>88.300000000000011</v>
      </c>
      <c r="BT374" s="61">
        <f>IF(ISERROR((BS374/BK374-1)*100),"NA",IF(((BS374/BK374-1)*100)&gt;100,"NM",IF(((BS374/BK374-1)*100)&lt;-50,"NM",(BS374/BK374-1)*100)))</f>
        <v>-20.878136200716835</v>
      </c>
      <c r="BU374" s="74">
        <f>48.4+20.3</f>
        <v>68.7</v>
      </c>
      <c r="BV374" s="61">
        <f>IF(ISERROR((BU374/BM374-1)*100),"NA",IF(((BU374/BM374-1)*100)&gt;100,"NM",IF(((BU374/BM374-1)*100)&lt;-50,"NM",(BU374/BM374-1)*100)))</f>
        <v>-36.388888888888879</v>
      </c>
      <c r="BW374" s="74">
        <f>43.7+19.9</f>
        <v>63.6</v>
      </c>
      <c r="BX374" s="61">
        <f>IF(ISERROR((BW374/BO374-1)*100),"NA",IF(((BW374/BO374-1)*100)&gt;100,"NM",IF(((BW374/BO374-1)*100)&lt;-50,"NM",(BW374/BO374-1)*100)))</f>
        <v>-33.887733887733887</v>
      </c>
      <c r="BY374" s="74">
        <f>47.8+20</f>
        <v>67.8</v>
      </c>
      <c r="BZ374" s="61">
        <f>IF(ISERROR((BY374/BQ374-1)*100),"NA",IF(((BY374/BQ374-1)*100)&gt;100,"NM",IF(((BY374/BQ374-1)*100)&lt;-50,"NM",(BY374/BQ374-1)*100)))</f>
        <v>-29.668049792531125</v>
      </c>
      <c r="CA374" s="74"/>
      <c r="CB374" s="61"/>
      <c r="CC374" s="74"/>
      <c r="CD374" s="61"/>
      <c r="CE374" s="74"/>
      <c r="CF374" s="61"/>
      <c r="CG374" s="74"/>
      <c r="CH374" s="61"/>
      <c r="CI374" s="74"/>
      <c r="CJ374" s="61"/>
      <c r="CK374" s="74"/>
      <c r="CL374" s="61"/>
      <c r="CM374" s="74"/>
      <c r="CN374" s="61"/>
      <c r="CO374" s="74"/>
      <c r="CP374" s="61"/>
      <c r="CQ374" s="74"/>
      <c r="CR374" s="61"/>
      <c r="CS374" s="74"/>
      <c r="CT374" s="61"/>
      <c r="CU374" s="74"/>
      <c r="CV374" s="61"/>
      <c r="CW374" s="74"/>
      <c r="CX374" s="61"/>
      <c r="CY374" s="74"/>
      <c r="CZ374" s="61"/>
      <c r="DA374" s="74"/>
      <c r="DB374" s="61"/>
      <c r="DC374" s="74"/>
      <c r="DD374" s="61"/>
      <c r="DE374" s="74"/>
      <c r="DF374" s="61"/>
      <c r="DG374" s="74"/>
      <c r="DH374" s="61"/>
      <c r="DI374" s="74"/>
      <c r="DJ374" s="61"/>
      <c r="DK374" s="74"/>
      <c r="DL374" s="61"/>
      <c r="DM374" s="74"/>
      <c r="DN374" s="61"/>
      <c r="DO374" s="74"/>
      <c r="DP374" s="61"/>
      <c r="DQ374" s="74"/>
      <c r="DR374" s="61"/>
      <c r="DS374" s="74"/>
      <c r="DT374" s="61"/>
      <c r="DU374" s="74"/>
      <c r="DV374" s="61"/>
      <c r="DW374" s="74"/>
      <c r="DX374" s="74"/>
      <c r="DY374" s="74"/>
      <c r="DZ374" s="61"/>
      <c r="EA374" s="74"/>
      <c r="EB374" s="61"/>
      <c r="EC374" s="74"/>
      <c r="ED374" s="61"/>
      <c r="EE374" s="74"/>
      <c r="EF374" s="61"/>
      <c r="EG374" s="74"/>
      <c r="EH374" s="61"/>
      <c r="EI374" s="74"/>
      <c r="EJ374" s="61"/>
      <c r="EK374" s="74"/>
      <c r="EL374" s="61"/>
      <c r="EM374" s="74"/>
      <c r="EN374" s="61"/>
      <c r="EO374" s="74"/>
      <c r="EP374" s="61"/>
      <c r="EQ374" s="75"/>
      <c r="ER374" s="61"/>
      <c r="ES374" s="75"/>
      <c r="ET374" s="61"/>
      <c r="EU374" s="75"/>
      <c r="EV374" s="61"/>
      <c r="EW374" s="75"/>
      <c r="EX374" s="61"/>
      <c r="EY374" s="64"/>
      <c r="EZ374" s="558"/>
      <c r="FA374" s="64"/>
      <c r="FB374" s="72"/>
      <c r="FC374" s="71"/>
      <c r="FD374" s="72"/>
      <c r="FE374" s="70"/>
      <c r="FF374" s="72"/>
      <c r="FG374" s="70"/>
      <c r="FH374" s="69"/>
      <c r="FI374" s="70"/>
      <c r="FJ374" s="69"/>
      <c r="FK374" s="70"/>
      <c r="FL374" s="69"/>
      <c r="FM374" s="61"/>
      <c r="FN374" s="69"/>
      <c r="FO374" s="61"/>
      <c r="FP374" s="75">
        <f>AQ374+AS374+AU374+AW374</f>
        <v>354.6</v>
      </c>
      <c r="FQ374" s="61" t="str">
        <f>IF(ISERROR((FP374/FN374-1)*100),"NA",IF(((FP374/FN374-1)*100)&gt;100,"NM",IF(((FP374/FN374-1)*100)&lt;-50,"NM",(FP374/FN374-1)*100)))</f>
        <v>NA</v>
      </c>
      <c r="FR374" s="75">
        <f>AY374+BA374+BC374+BE374</f>
        <v>424.90000000000003</v>
      </c>
      <c r="FS374" s="61">
        <f>IF(ISERROR((FR374/FP374-1)*100),"NA",IF(((FR374/FP374-1)*100)&gt;100,"NM",IF(((FR374/FP374-1)*100)&lt;-50,"NM",(FR374/FP374-1)*100)))</f>
        <v>19.825155104342929</v>
      </c>
      <c r="FT374" s="75">
        <f>BG374+BI374+BK374+BM374</f>
        <v>446.70000000000005</v>
      </c>
      <c r="FU374" s="61">
        <f>IF(ISERROR((FT374/FR374-1)*100),"NA",IF(((FT374/FR374-1)*100)&gt;100,"NM",IF(((FT374/FR374-1)*100)&lt;-50,"NM",(FT374/FR374-1)*100)))</f>
        <v>5.1306189691692206</v>
      </c>
      <c r="FV374" s="75">
        <f>BO374+BQ374+BS374+BU374</f>
        <v>349.6</v>
      </c>
      <c r="FW374" s="61">
        <f>IF(ISERROR((FV374/FT374-1)*100),"NA",IF(((FV374/FT374-1)*100)&gt;100,"NM",IF(((FV374/FT374-1)*100)&lt;-50,"NM",(FV374/FT374-1)*100)))</f>
        <v>-21.73718379225431</v>
      </c>
      <c r="FX374" s="73">
        <f>BW374+BY374+CA374+CC374</f>
        <v>131.4</v>
      </c>
      <c r="FY374" s="61" t="str">
        <f>IF(ISERROR((FX374/FV374-1)*100),"NA",IF(((FX374/FV374-1)*100)&gt;100,"NM",IF(((FX374/FV374-1)*100)&lt;-50,"NM",(FX374/FV374-1)*100)))</f>
        <v>NM</v>
      </c>
      <c r="FZ374" s="73"/>
      <c r="GA374" s="61"/>
      <c r="GB374" s="73"/>
      <c r="GC374" s="61"/>
      <c r="GD374" s="73"/>
      <c r="GE374" s="61"/>
      <c r="GF374" s="73"/>
      <c r="GG374" s="61"/>
      <c r="GH374" s="73"/>
      <c r="GI374" s="61"/>
      <c r="GJ374" s="73"/>
      <c r="GK374" s="61"/>
      <c r="GL374" s="73"/>
      <c r="GM374" s="61"/>
      <c r="GN374" s="73"/>
      <c r="GO374" s="61"/>
      <c r="GP374" s="73"/>
      <c r="GQ374" s="61"/>
      <c r="GR374" s="75"/>
      <c r="GS374" s="61"/>
      <c r="GT374" s="75"/>
      <c r="GU374" s="61"/>
      <c r="GV374" s="75"/>
      <c r="GW374" s="61"/>
      <c r="GX374" s="75"/>
      <c r="GY374" s="61"/>
      <c r="GZ374" s="61"/>
      <c r="HA374" s="61"/>
      <c r="HB374" s="452"/>
      <c r="HC374"/>
      <c r="HD374"/>
      <c r="HE374"/>
      <c r="HF374"/>
      <c r="HG374"/>
      <c r="HH374"/>
    </row>
    <row r="375" spans="2:216" s="5" customFormat="1" ht="12.75" hidden="1" customHeight="1" outlineLevel="1" x14ac:dyDescent="0.2">
      <c r="B375" s="2" t="s">
        <v>66</v>
      </c>
      <c r="C375" s="72"/>
      <c r="D375" s="70"/>
      <c r="E375" s="72"/>
      <c r="F375" s="71"/>
      <c r="G375" s="74"/>
      <c r="H375" s="71"/>
      <c r="I375" s="74"/>
      <c r="J375" s="61"/>
      <c r="K375" s="74"/>
      <c r="L375" s="61"/>
      <c r="M375" s="72"/>
      <c r="N375" s="61"/>
      <c r="O375" s="74"/>
      <c r="P375" s="61"/>
      <c r="Q375" s="74"/>
      <c r="R375" s="61"/>
      <c r="S375" s="74"/>
      <c r="T375" s="61"/>
      <c r="U375" s="74"/>
      <c r="V375" s="61"/>
      <c r="W375" s="74"/>
      <c r="X375" s="61"/>
      <c r="Y375" s="74"/>
      <c r="Z375" s="61"/>
      <c r="AA375" s="74"/>
      <c r="AB375" s="61"/>
      <c r="AC375" s="74"/>
      <c r="AD375" s="61"/>
      <c r="AE375" s="74"/>
      <c r="AF375" s="61"/>
      <c r="AG375" s="74"/>
      <c r="AH375" s="61"/>
      <c r="AI375" s="74"/>
      <c r="AJ375" s="61"/>
      <c r="AK375" s="74"/>
      <c r="AL375" s="61"/>
      <c r="AM375" s="74"/>
      <c r="AN375" s="61"/>
      <c r="AO375" s="74"/>
      <c r="AP375" s="61"/>
      <c r="AQ375" s="74">
        <v>30.1</v>
      </c>
      <c r="AR375" s="61" t="str">
        <f>IF(ISERROR((AQ375/AI375-1)*100),"NA",IF(((AQ375/AI375-1)*100)&gt;100,"NM",IF(((AQ375/AI375-1)*100)&lt;-50,"NM",(AQ375/AI375-1)*100)))</f>
        <v>NA</v>
      </c>
      <c r="AS375" s="74">
        <v>27.9</v>
      </c>
      <c r="AT375" s="61" t="str">
        <f>IF(ISERROR((AS375/AK375-1)*100),"NA",IF(((AS375/AK375-1)*100)&gt;100,"NM",IF(((AS375/AK375-1)*100)&lt;-50,"NM",(AS375/AK375-1)*100)))</f>
        <v>NA</v>
      </c>
      <c r="AU375" s="74">
        <v>30.5</v>
      </c>
      <c r="AV375" s="61" t="str">
        <f>IF(ISERROR((AU375/AM375-1)*100),"NA",IF(((AU375/AM375-1)*100)&gt;100,"NM",IF(((AU375/AM375-1)*100)&lt;-50,"NM",(AU375/AM375-1)*100)))</f>
        <v>NA</v>
      </c>
      <c r="AW375" s="74">
        <f>32.5+0.1</f>
        <v>32.6</v>
      </c>
      <c r="AX375" s="61" t="str">
        <f>IF(ISERROR((AW375/AO375-1)*100),"NA",IF(((AW375/AO375-1)*100)&gt;100,"NM",IF(((AW375/AO375-1)*100)&lt;-50,"NM",(AW375/AO375-1)*100)))</f>
        <v>NA</v>
      </c>
      <c r="AY375" s="74">
        <v>36.700000000000003</v>
      </c>
      <c r="AZ375" s="61">
        <f>IF(ISERROR((AY375/AQ375-1)*100),"NA",IF(((AY375/AQ375-1)*100)&gt;100,"NM",IF(((AY375/AQ375-1)*100)&lt;-50,"NM",(AY375/AQ375-1)*100)))</f>
        <v>21.926910299003332</v>
      </c>
      <c r="BA375" s="74">
        <v>30</v>
      </c>
      <c r="BB375" s="61">
        <f>IF(ISERROR((BA375/AS375-1)*100),"NA",IF(((BA375/AS375-1)*100)&gt;100,"NM",IF(((BA375/AS375-1)*100)&lt;-50,"NM",(BA375/AS375-1)*100)))</f>
        <v>7.526881720430123</v>
      </c>
      <c r="BC375" s="74">
        <v>34.299999999999997</v>
      </c>
      <c r="BD375" s="61">
        <f>IF(ISERROR((BC375/AU375-1)*100),"NA",IF(((BC375/AU375-1)*100)&gt;100,"NM",IF(((BC375/AU375-1)*100)&lt;-50,"NM",(BC375/AU375-1)*100)))</f>
        <v>12.459016393442624</v>
      </c>
      <c r="BE375" s="74">
        <v>37.700000000000003</v>
      </c>
      <c r="BF375" s="61">
        <f>IF(ISERROR((BE375/AW375-1)*100),"NA",IF(((BE375/AW375-1)*100)&gt;100,"NM",IF(((BE375/AW375-1)*100)&lt;-50,"NM",(BE375/AW375-1)*100)))</f>
        <v>15.644171779141104</v>
      </c>
      <c r="BG375" s="74">
        <v>35.299999999999997</v>
      </c>
      <c r="BH375" s="61">
        <f>IF(ISERROR((BG375/AY375-1)*100),"NA",IF(((BG375/AY375-1)*100)&gt;100,"NM",IF(((BG375/AY375-1)*100)&lt;-50,"NM",(BG375/AY375-1)*100)))</f>
        <v>-3.8147138964577776</v>
      </c>
      <c r="BI375" s="74">
        <v>38.700000000000003</v>
      </c>
      <c r="BJ375" s="61">
        <f>IF(ISERROR((BI375/BA375-1)*100),"NA",IF(((BI375/BA375-1)*100)&gt;100,"NM",IF(((BI375/BA375-1)*100)&lt;-50,"NM",(BI375/BA375-1)*100)))</f>
        <v>29.000000000000004</v>
      </c>
      <c r="BK375" s="74">
        <v>38.5</v>
      </c>
      <c r="BL375" s="61">
        <f>IF(ISERROR((BK375/BC375-1)*100),"NA",IF(((BK375/BC375-1)*100)&gt;100,"NM",IF(((BK375/BC375-1)*100)&lt;-50,"NM",(BK375/BC375-1)*100)))</f>
        <v>12.244897959183687</v>
      </c>
      <c r="BM375" s="74">
        <v>31</v>
      </c>
      <c r="BN375" s="61">
        <f>IF(ISERROR((BM375/BE375-1)*100),"NA",IF(((BM375/BE375-1)*100)&gt;100,"NM",IF(((BM375/BE375-1)*100)&lt;-50,"NM",(BM375/BE375-1)*100)))</f>
        <v>-17.771883289124681</v>
      </c>
      <c r="BO375" s="74">
        <v>24.1</v>
      </c>
      <c r="BP375" s="61">
        <f>IF(ISERROR((BO375/BG375-1)*100),"NA",IF(((BO375/BG375-1)*100)&gt;100,"NM",IF(((BO375/BG375-1)*100)&lt;-50,"NM",(BO375/BG375-1)*100)))</f>
        <v>-31.728045325779032</v>
      </c>
      <c r="BQ375" s="74">
        <v>27.9</v>
      </c>
      <c r="BR375" s="61">
        <f>IF(ISERROR((BQ375/BI375-1)*100),"NA",IF(((BQ375/BI375-1)*100)&gt;100,"NM",IF(((BQ375/BI375-1)*100)&lt;-50,"NM",(BQ375/BI375-1)*100)))</f>
        <v>-27.906976744186053</v>
      </c>
      <c r="BS375" s="74">
        <v>21.6</v>
      </c>
      <c r="BT375" s="61">
        <f>IF(ISERROR((BS375/BK375-1)*100),"NA",IF(((BS375/BK375-1)*100)&gt;100,"NM",IF(((BS375/BK375-1)*100)&lt;-50,"NM",(BS375/BK375-1)*100)))</f>
        <v>-43.896103896103888</v>
      </c>
      <c r="BU375" s="74">
        <v>14.5</v>
      </c>
      <c r="BV375" s="61" t="str">
        <f>IF(ISERROR((BU375/BM375-1)*100),"NA",IF(((BU375/BM375-1)*100)&gt;100,"NM",IF(((BU375/BM375-1)*100)&lt;-50,"NM",(BU375/BM375-1)*100)))</f>
        <v>NM</v>
      </c>
      <c r="BW375" s="74">
        <v>18.3</v>
      </c>
      <c r="BX375" s="61">
        <f>IF(ISERROR((BW375/BO375-1)*100),"NA",IF(((BW375/BO375-1)*100)&gt;100,"NM",IF(((BW375/BO375-1)*100)&lt;-50,"NM",(BW375/BO375-1)*100)))</f>
        <v>-24.066390041493779</v>
      </c>
      <c r="BY375" s="74">
        <v>23.8</v>
      </c>
      <c r="BZ375" s="61">
        <f>IF(ISERROR((BY375/BQ375-1)*100),"NA",IF(((BY375/BQ375-1)*100)&gt;100,"NM",IF(((BY375/BQ375-1)*100)&lt;-50,"NM",(BY375/BQ375-1)*100)))</f>
        <v>-14.69534050179211</v>
      </c>
      <c r="CA375" s="74"/>
      <c r="CB375" s="61"/>
      <c r="CC375" s="74"/>
      <c r="CD375" s="61"/>
      <c r="CE375" s="74"/>
      <c r="CF375" s="61"/>
      <c r="CG375" s="74"/>
      <c r="CH375" s="61"/>
      <c r="CI375" s="74"/>
      <c r="CJ375" s="61"/>
      <c r="CK375" s="74"/>
      <c r="CL375" s="61"/>
      <c r="CM375" s="74"/>
      <c r="CN375" s="61"/>
      <c r="CO375" s="74"/>
      <c r="CP375" s="61"/>
      <c r="CQ375" s="74"/>
      <c r="CR375" s="61"/>
      <c r="CS375" s="74"/>
      <c r="CT375" s="61"/>
      <c r="CU375" s="74"/>
      <c r="CV375" s="61"/>
      <c r="CW375" s="74"/>
      <c r="CX375" s="61"/>
      <c r="CY375" s="74"/>
      <c r="CZ375" s="61"/>
      <c r="DA375" s="74"/>
      <c r="DB375" s="61"/>
      <c r="DC375" s="74"/>
      <c r="DD375" s="61"/>
      <c r="DE375" s="74"/>
      <c r="DF375" s="61"/>
      <c r="DG375" s="74"/>
      <c r="DH375" s="61"/>
      <c r="DI375" s="74"/>
      <c r="DJ375" s="61"/>
      <c r="DK375" s="74"/>
      <c r="DL375" s="61"/>
      <c r="DM375" s="74"/>
      <c r="DN375" s="61"/>
      <c r="DO375" s="74"/>
      <c r="DP375" s="61"/>
      <c r="DQ375" s="74"/>
      <c r="DR375" s="61"/>
      <c r="DS375" s="74"/>
      <c r="DT375" s="61"/>
      <c r="DU375" s="74"/>
      <c r="DV375" s="61"/>
      <c r="DW375" s="74"/>
      <c r="DX375" s="74"/>
      <c r="DY375" s="74"/>
      <c r="DZ375" s="61"/>
      <c r="EA375" s="74"/>
      <c r="EB375" s="61"/>
      <c r="EC375" s="74"/>
      <c r="ED375" s="61"/>
      <c r="EE375" s="74"/>
      <c r="EF375" s="61"/>
      <c r="EG375" s="74"/>
      <c r="EH375" s="61"/>
      <c r="EI375" s="74"/>
      <c r="EJ375" s="61"/>
      <c r="EK375" s="74"/>
      <c r="EL375" s="61"/>
      <c r="EM375" s="74"/>
      <c r="EN375" s="61"/>
      <c r="EO375" s="74"/>
      <c r="EP375" s="61"/>
      <c r="EQ375" s="75"/>
      <c r="ER375" s="61"/>
      <c r="ES375" s="75"/>
      <c r="ET375" s="61"/>
      <c r="EU375" s="75"/>
      <c r="EV375" s="61"/>
      <c r="EW375" s="75"/>
      <c r="EX375" s="61"/>
      <c r="EY375" s="64"/>
      <c r="EZ375" s="558"/>
      <c r="FA375" s="64"/>
      <c r="FB375" s="72"/>
      <c r="FC375" s="71"/>
      <c r="FD375" s="72"/>
      <c r="FE375" s="70"/>
      <c r="FF375" s="72"/>
      <c r="FG375" s="70"/>
      <c r="FH375" s="69"/>
      <c r="FI375" s="70"/>
      <c r="FJ375" s="69"/>
      <c r="FK375" s="70"/>
      <c r="FL375" s="69"/>
      <c r="FM375" s="61"/>
      <c r="FN375" s="69"/>
      <c r="FO375" s="61"/>
      <c r="FP375" s="75">
        <f>AQ375+AS375+AU375+AW375</f>
        <v>121.1</v>
      </c>
      <c r="FQ375" s="61" t="str">
        <f>IF(ISERROR((FP375/FN375-1)*100),"NA",IF(((FP375/FN375-1)*100)&gt;100,"NM",IF(((FP375/FN375-1)*100)&lt;-50,"NM",(FP375/FN375-1)*100)))</f>
        <v>NA</v>
      </c>
      <c r="FR375" s="75">
        <f>AY375+BA375+BC375+BE375</f>
        <v>138.69999999999999</v>
      </c>
      <c r="FS375" s="61">
        <f>IF(ISERROR((FR375/FP375-1)*100),"NA",IF(((FR375/FP375-1)*100)&gt;100,"NM",IF(((FR375/FP375-1)*100)&lt;-50,"NM",(FR375/FP375-1)*100)))</f>
        <v>14.533443435177528</v>
      </c>
      <c r="FT375" s="75">
        <f>BG375+BI375+BK375+BM375</f>
        <v>143.5</v>
      </c>
      <c r="FU375" s="61">
        <f>IF(ISERROR((FT375/FR375-1)*100),"NA",IF(((FT375/FR375-1)*100)&gt;100,"NM",IF(((FT375/FR375-1)*100)&lt;-50,"NM",(FT375/FR375-1)*100)))</f>
        <v>3.4607065609228549</v>
      </c>
      <c r="FV375" s="75">
        <f>BO375+BQ375+BS375+BU375</f>
        <v>88.1</v>
      </c>
      <c r="FW375" s="61">
        <f>IF(ISERROR((FV375/FT375-1)*100),"NA",IF(((FV375/FT375-1)*100)&gt;100,"NM",IF(((FV375/FT375-1)*100)&lt;-50,"NM",(FV375/FT375-1)*100)))</f>
        <v>-38.606271777003485</v>
      </c>
      <c r="FX375" s="73">
        <f>BW375+BY375+CA375+CC375</f>
        <v>42.1</v>
      </c>
      <c r="FY375" s="61" t="str">
        <f>IF(ISERROR((FX375/FV375-1)*100),"NA",IF(((FX375/FV375-1)*100)&gt;100,"NM",IF(((FX375/FV375-1)*100)&lt;-50,"NM",(FX375/FV375-1)*100)))</f>
        <v>NM</v>
      </c>
      <c r="FZ375" s="73"/>
      <c r="GA375" s="61"/>
      <c r="GB375" s="73"/>
      <c r="GC375" s="61"/>
      <c r="GD375" s="73"/>
      <c r="GE375" s="61"/>
      <c r="GF375" s="73"/>
      <c r="GG375" s="61"/>
      <c r="GH375" s="73"/>
      <c r="GI375" s="61"/>
      <c r="GJ375" s="73"/>
      <c r="GK375" s="61"/>
      <c r="GL375" s="73"/>
      <c r="GM375" s="61"/>
      <c r="GN375" s="73"/>
      <c r="GO375" s="61"/>
      <c r="GP375" s="73"/>
      <c r="GQ375" s="61"/>
      <c r="GR375" s="75"/>
      <c r="GS375" s="61"/>
      <c r="GT375" s="75"/>
      <c r="GU375" s="61"/>
      <c r="GV375" s="75"/>
      <c r="GW375" s="61"/>
      <c r="GX375" s="75"/>
      <c r="GY375" s="61"/>
      <c r="GZ375" s="61"/>
      <c r="HA375" s="61"/>
      <c r="HB375" s="452"/>
      <c r="HC375"/>
      <c r="HD375"/>
      <c r="HE375"/>
      <c r="HF375"/>
      <c r="HG375"/>
      <c r="HH375"/>
    </row>
    <row r="376" spans="2:216" s="5" customFormat="1" ht="12.75" hidden="1" customHeight="1" outlineLevel="1" x14ac:dyDescent="0.2">
      <c r="B376" s="2" t="s">
        <v>523</v>
      </c>
      <c r="C376" s="69"/>
      <c r="D376" s="70"/>
      <c r="E376" s="69"/>
      <c r="F376" s="71"/>
      <c r="G376" s="69"/>
      <c r="H376" s="71"/>
      <c r="I376" s="69"/>
      <c r="J376" s="61"/>
      <c r="K376" s="69"/>
      <c r="L376" s="61"/>
      <c r="M376" s="69"/>
      <c r="N376" s="61"/>
      <c r="O376" s="69"/>
      <c r="P376" s="61"/>
      <c r="Q376" s="69"/>
      <c r="R376" s="61"/>
      <c r="S376" s="69"/>
      <c r="T376" s="61"/>
      <c r="U376" s="69"/>
      <c r="V376" s="61"/>
      <c r="W376" s="69"/>
      <c r="X376" s="61"/>
      <c r="Y376" s="69"/>
      <c r="Z376" s="61"/>
      <c r="AA376" s="69"/>
      <c r="AB376" s="61"/>
      <c r="AC376" s="69"/>
      <c r="AD376" s="61"/>
      <c r="AE376" s="69"/>
      <c r="AF376" s="61"/>
      <c r="AG376" s="69"/>
      <c r="AH376" s="61"/>
      <c r="AI376" s="69"/>
      <c r="AJ376" s="61"/>
      <c r="AK376" s="69"/>
      <c r="AL376" s="61"/>
      <c r="AM376" s="69"/>
      <c r="AN376" s="61"/>
      <c r="AO376" s="69"/>
      <c r="AP376" s="61"/>
      <c r="AQ376" s="69">
        <f>SUM(AQ374:AQ375)</f>
        <v>109.9</v>
      </c>
      <c r="AR376" s="61" t="str">
        <f>IF(ISERROR((AQ376/AI376-1)*100),"NA",IF(((AQ376/AI376-1)*100)&gt;100,"NM",IF(((AQ376/AI376-1)*100)&lt;-50,"NM",(AQ376/AI376-1)*100)))</f>
        <v>NA</v>
      </c>
      <c r="AS376" s="69">
        <f>SUM(AS374:AS375)</f>
        <v>114.5</v>
      </c>
      <c r="AT376" s="61" t="str">
        <f>IF(ISERROR((AS376/AK376-1)*100),"NA",IF(((AS376/AK376-1)*100)&gt;100,"NM",IF(((AS376/AK376-1)*100)&lt;-50,"NM",(AS376/AK376-1)*100)))</f>
        <v>NA</v>
      </c>
      <c r="AU376" s="69">
        <f>SUM(AU374:AU375)</f>
        <v>123.30000000000001</v>
      </c>
      <c r="AV376" s="61" t="str">
        <f>IF(ISERROR((AU376/AM376-1)*100),"NA",IF(((AU376/AM376-1)*100)&gt;100,"NM",IF(((AU376/AM376-1)*100)&lt;-50,"NM",(AU376/AM376-1)*100)))</f>
        <v>NA</v>
      </c>
      <c r="AW376" s="69">
        <f>SUM(AW374:AW375)</f>
        <v>128</v>
      </c>
      <c r="AX376" s="61" t="str">
        <f>IF(ISERROR((AW376/AO376-1)*100),"NA",IF(((AW376/AO376-1)*100)&gt;100,"NM",IF(((AW376/AO376-1)*100)&lt;-50,"NM",(AW376/AO376-1)*100)))</f>
        <v>NA</v>
      </c>
      <c r="AY376" s="69">
        <f>SUM(AY374:AY375)</f>
        <v>139.60000000000002</v>
      </c>
      <c r="AZ376" s="61">
        <f>IF(ISERROR((AY376/AQ376-1)*100),"NA",IF(((AY376/AQ376-1)*100)&gt;100,"NM",IF(((AY376/AQ376-1)*100)&lt;-50,"NM",(AY376/AQ376-1)*100)))</f>
        <v>27.024567788899013</v>
      </c>
      <c r="BA376" s="69">
        <f>SUM(BA374:BA375)</f>
        <v>134.69999999999999</v>
      </c>
      <c r="BB376" s="61">
        <f>IF(ISERROR((BA376/AS376-1)*100),"NA",IF(((BA376/AS376-1)*100)&gt;100,"NM",IF(((BA376/AS376-1)*100)&lt;-50,"NM",(BA376/AS376-1)*100)))</f>
        <v>17.6419213973799</v>
      </c>
      <c r="BC376" s="69">
        <f>SUM(BC374:BC375)</f>
        <v>140.4</v>
      </c>
      <c r="BD376" s="61">
        <f>IF(ISERROR((BC376/AU376-1)*100),"NA",IF(((BC376/AU376-1)*100)&gt;100,"NM",IF(((BC376/AU376-1)*100)&lt;-50,"NM",(BC376/AU376-1)*100)))</f>
        <v>13.868613138686126</v>
      </c>
      <c r="BE376" s="69">
        <f>SUM(BE374:BE375)</f>
        <v>148.9</v>
      </c>
      <c r="BF376" s="61">
        <f>IF(ISERROR((BE376/AW376-1)*100),"NA",IF(((BE376/AW376-1)*100)&gt;100,"NM",IF(((BE376/AW376-1)*100)&lt;-50,"NM",(BE376/AW376-1)*100)))</f>
        <v>16.328125000000004</v>
      </c>
      <c r="BG376" s="69">
        <f>SUM(BG374:BG375)</f>
        <v>150.10000000000002</v>
      </c>
      <c r="BH376" s="61">
        <f>IF(ISERROR((BG376/AY376-1)*100),"NA",IF(((BG376/AY376-1)*100)&gt;100,"NM",IF(((BG376/AY376-1)*100)&lt;-50,"NM",(BG376/AY376-1)*100)))</f>
        <v>7.5214899713466954</v>
      </c>
      <c r="BI376" s="69">
        <f>SUM(BI374:BI375)</f>
        <v>151</v>
      </c>
      <c r="BJ376" s="61">
        <f>IF(ISERROR((BI376/BA376-1)*100),"NA",IF(((BI376/BA376-1)*100)&gt;100,"NM",IF(((BI376/BA376-1)*100)&lt;-50,"NM",(BI376/BA376-1)*100)))</f>
        <v>12.100965107646623</v>
      </c>
      <c r="BK376" s="69">
        <f>SUM(BK374:BK375)</f>
        <v>150.1</v>
      </c>
      <c r="BL376" s="61">
        <f>IF(ISERROR((BK376/BC376-1)*100),"NA",IF(((BK376/BC376-1)*100)&gt;100,"NM",IF(((BK376/BC376-1)*100)&lt;-50,"NM",(BK376/BC376-1)*100)))</f>
        <v>6.9088319088318917</v>
      </c>
      <c r="BM376" s="69">
        <f>SUM(BM374:BM375)</f>
        <v>139</v>
      </c>
      <c r="BN376" s="61">
        <f>IF(ISERROR((BM376/BE376-1)*100),"NA",IF(((BM376/BE376-1)*100)&gt;100,"NM",IF(((BM376/BE376-1)*100)&lt;-50,"NM",(BM376/BE376-1)*100)))</f>
        <v>-6.6487575554063145</v>
      </c>
      <c r="BO376" s="69">
        <f>SUM(BO374:BO375)</f>
        <v>120.30000000000001</v>
      </c>
      <c r="BP376" s="61">
        <f>IF(ISERROR((BO376/BG376-1)*100),"NA",IF(((BO376/BG376-1)*100)&gt;100,"NM",IF(((BO376/BG376-1)*100)&lt;-50,"NM",(BO376/BG376-1)*100)))</f>
        <v>-19.853431045969362</v>
      </c>
      <c r="BQ376" s="69">
        <f>SUM(BQ374:BQ375)</f>
        <v>124.30000000000001</v>
      </c>
      <c r="BR376" s="61">
        <f>IF(ISERROR((BQ376/BI376-1)*100),"NA",IF(((BQ376/BI376-1)*100)&gt;100,"NM",IF(((BQ376/BI376-1)*100)&lt;-50,"NM",(BQ376/BI376-1)*100)))</f>
        <v>-17.682119205298008</v>
      </c>
      <c r="BS376" s="69">
        <f>SUM(BS374:BS375)</f>
        <v>109.9</v>
      </c>
      <c r="BT376" s="61">
        <f>IF(ISERROR((BS376/BK376-1)*100),"NA",IF(((BS376/BK376-1)*100)&gt;100,"NM",IF(((BS376/BK376-1)*100)&lt;-50,"NM",(BS376/BK376-1)*100)))</f>
        <v>-26.782145236508992</v>
      </c>
      <c r="BU376" s="69">
        <f>SUM(BU374:BU375)</f>
        <v>83.2</v>
      </c>
      <c r="BV376" s="61">
        <f>IF(ISERROR((BU376/BM376-1)*100),"NA",IF(((BU376/BM376-1)*100)&gt;100,"NM",IF(((BU376/BM376-1)*100)&lt;-50,"NM",(BU376/BM376-1)*100)))</f>
        <v>-40.143884892086326</v>
      </c>
      <c r="BW376" s="69">
        <f>SUM(BW374:BW375)</f>
        <v>81.900000000000006</v>
      </c>
      <c r="BX376" s="61">
        <f>IF(ISERROR((BW376/BO376-1)*100),"NA",IF(((BW376/BO376-1)*100)&gt;100,"NM",IF(((BW376/BO376-1)*100)&lt;-50,"NM",(BW376/BO376-1)*100)))</f>
        <v>-31.920199501246881</v>
      </c>
      <c r="BY376" s="69">
        <f>SUM(BY374:BY375)</f>
        <v>91.6</v>
      </c>
      <c r="BZ376" s="61">
        <f>IF(ISERROR((BY376/BQ376-1)*100),"NA",IF(((BY376/BQ376-1)*100)&gt;100,"NM",IF(((BY376/BQ376-1)*100)&lt;-50,"NM",(BY376/BQ376-1)*100)))</f>
        <v>-26.307320997586491</v>
      </c>
      <c r="CA376" s="69"/>
      <c r="CB376" s="61"/>
      <c r="CC376" s="69"/>
      <c r="CD376" s="61"/>
      <c r="CE376" s="69"/>
      <c r="CF376" s="61"/>
      <c r="CG376" s="69"/>
      <c r="CH376" s="61"/>
      <c r="CI376" s="69"/>
      <c r="CJ376" s="61"/>
      <c r="CK376" s="69"/>
      <c r="CL376" s="61"/>
      <c r="CM376" s="69"/>
      <c r="CN376" s="61"/>
      <c r="CO376" s="69"/>
      <c r="CP376" s="61"/>
      <c r="CQ376" s="69"/>
      <c r="CR376" s="61"/>
      <c r="CS376" s="69"/>
      <c r="CT376" s="61"/>
      <c r="CU376" s="69"/>
      <c r="CV376" s="61"/>
      <c r="CW376" s="69"/>
      <c r="CX376" s="61"/>
      <c r="CY376" s="69"/>
      <c r="CZ376" s="61"/>
      <c r="DA376" s="69"/>
      <c r="DB376" s="61"/>
      <c r="DC376" s="69"/>
      <c r="DD376" s="61"/>
      <c r="DE376" s="69"/>
      <c r="DF376" s="61"/>
      <c r="DG376" s="69"/>
      <c r="DH376" s="61"/>
      <c r="DI376" s="69"/>
      <c r="DJ376" s="61"/>
      <c r="DK376" s="69"/>
      <c r="DL376" s="61"/>
      <c r="DM376" s="69"/>
      <c r="DN376" s="61"/>
      <c r="DO376" s="69"/>
      <c r="DP376" s="61"/>
      <c r="DQ376" s="69"/>
      <c r="DR376" s="61"/>
      <c r="DS376" s="69"/>
      <c r="DT376" s="61"/>
      <c r="DU376" s="69"/>
      <c r="DV376" s="61"/>
      <c r="DW376" s="69"/>
      <c r="DX376" s="69"/>
      <c r="DY376" s="69"/>
      <c r="DZ376" s="61"/>
      <c r="EA376" s="69"/>
      <c r="EB376" s="61"/>
      <c r="EC376" s="69"/>
      <c r="ED376" s="61"/>
      <c r="EE376" s="69"/>
      <c r="EF376" s="61"/>
      <c r="EG376" s="69"/>
      <c r="EH376" s="61"/>
      <c r="EI376" s="69"/>
      <c r="EJ376" s="61"/>
      <c r="EK376" s="69"/>
      <c r="EL376" s="61"/>
      <c r="EM376" s="69"/>
      <c r="EN376" s="61"/>
      <c r="EO376" s="69"/>
      <c r="EP376" s="61"/>
      <c r="EQ376" s="69"/>
      <c r="ER376" s="61"/>
      <c r="ES376" s="69"/>
      <c r="ET376" s="61"/>
      <c r="EU376" s="69"/>
      <c r="EV376" s="61"/>
      <c r="EW376" s="69"/>
      <c r="EX376" s="61"/>
      <c r="EY376" s="64"/>
      <c r="EZ376" s="558"/>
      <c r="FA376" s="64"/>
      <c r="FB376" s="69"/>
      <c r="FC376" s="71"/>
      <c r="FD376" s="69"/>
      <c r="FE376" s="70"/>
      <c r="FF376" s="69"/>
      <c r="FG376" s="70"/>
      <c r="FH376" s="69"/>
      <c r="FI376" s="70"/>
      <c r="FJ376" s="69"/>
      <c r="FK376" s="70"/>
      <c r="FL376" s="69"/>
      <c r="FM376" s="61"/>
      <c r="FN376" s="69"/>
      <c r="FO376" s="61"/>
      <c r="FP376" s="73">
        <f>SUM(FP374:FP375)</f>
        <v>475.70000000000005</v>
      </c>
      <c r="FQ376" s="61" t="str">
        <f>IF(ISERROR((FP376/FN376-1)*100),"NA",IF(((FP376/FN376-1)*100)&gt;100,"NM",IF(((FP376/FN376-1)*100)&lt;-50,"NM",(FP376/FN376-1)*100)))</f>
        <v>NA</v>
      </c>
      <c r="FR376" s="73">
        <f>SUM(FR374:FR375)</f>
        <v>563.6</v>
      </c>
      <c r="FS376" s="61">
        <f>IF(ISERROR((FR376/FP376-1)*100),"NA",IF(((FR376/FP376-1)*100)&gt;100,"NM",IF(((FR376/FP376-1)*100)&lt;-50,"NM",(FR376/FP376-1)*100)))</f>
        <v>18.478032373344533</v>
      </c>
      <c r="FT376" s="73">
        <f>SUM(FT374:FT375)</f>
        <v>590.20000000000005</v>
      </c>
      <c r="FU376" s="61">
        <f>IF(ISERROR((FT376/FR376-1)*100),"NA",IF(((FT376/FR376-1)*100)&gt;100,"NM",IF(((FT376/FR376-1)*100)&lt;-50,"NM",(FT376/FR376-1)*100)))</f>
        <v>4.7196593328601821</v>
      </c>
      <c r="FV376" s="73">
        <f>SUM(FV374:FV375)</f>
        <v>437.70000000000005</v>
      </c>
      <c r="FW376" s="61">
        <f>IF(ISERROR((FV376/FT376-1)*100),"NA",IF(((FV376/FT376-1)*100)&gt;100,"NM",IF(((FV376/FT376-1)*100)&lt;-50,"NM",(FV376/FT376-1)*100)))</f>
        <v>-25.838698746187728</v>
      </c>
      <c r="FX376" s="73">
        <f>SUM(FX374:FX375)</f>
        <v>173.5</v>
      </c>
      <c r="FY376" s="61" t="str">
        <f>IF(ISERROR((FX376/FV376-1)*100),"NA",IF(((FX376/FV376-1)*100)&gt;100,"NM",IF(((FX376/FV376-1)*100)&lt;-50,"NM",(FX376/FV376-1)*100)))</f>
        <v>NM</v>
      </c>
      <c r="FZ376" s="73"/>
      <c r="GA376" s="61"/>
      <c r="GB376" s="73"/>
      <c r="GC376" s="61"/>
      <c r="GD376" s="73"/>
      <c r="GE376" s="61"/>
      <c r="GF376" s="73"/>
      <c r="GG376" s="61"/>
      <c r="GH376" s="73"/>
      <c r="GI376" s="61"/>
      <c r="GJ376" s="73"/>
      <c r="GK376" s="61"/>
      <c r="GL376" s="73"/>
      <c r="GM376" s="61"/>
      <c r="GN376" s="73"/>
      <c r="GO376" s="61"/>
      <c r="GP376" s="73"/>
      <c r="GQ376" s="61"/>
      <c r="GR376" s="69"/>
      <c r="GS376" s="61"/>
      <c r="GT376" s="69"/>
      <c r="GU376" s="61"/>
      <c r="GV376" s="69"/>
      <c r="GW376" s="61"/>
      <c r="GX376" s="69"/>
      <c r="GY376" s="61"/>
      <c r="GZ376" s="61"/>
      <c r="HA376" s="61"/>
      <c r="HB376" s="452"/>
      <c r="HC376"/>
      <c r="HD376"/>
      <c r="HE376"/>
      <c r="HF376"/>
      <c r="HG376"/>
      <c r="HH376"/>
    </row>
    <row r="377" spans="2:216" s="7" customFormat="1" ht="12.75" hidden="1" customHeight="1" outlineLevel="1" x14ac:dyDescent="0.2">
      <c r="B377" s="92"/>
      <c r="C377" s="66"/>
      <c r="D377" s="67"/>
      <c r="E377" s="66"/>
      <c r="F377" s="66"/>
      <c r="G377" s="64"/>
      <c r="H377" s="66"/>
      <c r="I377" s="64"/>
      <c r="J377" s="66"/>
      <c r="K377" s="64"/>
      <c r="L377" s="61"/>
      <c r="M377" s="66"/>
      <c r="N377" s="61"/>
      <c r="O377" s="64"/>
      <c r="P377" s="61"/>
      <c r="Q377" s="64"/>
      <c r="R377" s="61"/>
      <c r="S377" s="64"/>
      <c r="T377" s="61"/>
      <c r="U377" s="64"/>
      <c r="V377" s="61"/>
      <c r="W377" s="64"/>
      <c r="X377" s="61"/>
      <c r="Y377" s="64"/>
      <c r="Z377" s="61"/>
      <c r="AB377" s="61"/>
      <c r="AD377" s="61"/>
      <c r="AF377" s="61"/>
      <c r="AH377" s="61"/>
      <c r="AJ377" s="61"/>
      <c r="AL377" s="61"/>
      <c r="AN377" s="61"/>
      <c r="AP377" s="61"/>
      <c r="AR377" s="61"/>
      <c r="AT377" s="61"/>
      <c r="AV377" s="61"/>
      <c r="AX377" s="61"/>
      <c r="AZ377" s="61"/>
      <c r="BB377" s="61"/>
      <c r="BD377" s="61"/>
      <c r="BF377" s="61"/>
      <c r="BH377" s="61"/>
      <c r="BJ377" s="61"/>
      <c r="BL377" s="61"/>
      <c r="BN377" s="61"/>
      <c r="BP377" s="61"/>
      <c r="BR377" s="61"/>
      <c r="BT377" s="61"/>
      <c r="BV377" s="61"/>
      <c r="BW377" s="64"/>
      <c r="BX377" s="61"/>
      <c r="BY377" s="64"/>
      <c r="BZ377" s="61"/>
      <c r="CA377" s="64"/>
      <c r="CB377" s="61"/>
      <c r="CC377" s="64"/>
      <c r="CD377" s="61"/>
      <c r="CE377" s="64"/>
      <c r="CF377" s="61"/>
      <c r="CG377" s="64"/>
      <c r="CH377" s="61"/>
      <c r="CI377" s="64"/>
      <c r="CJ377" s="61"/>
      <c r="CK377" s="64"/>
      <c r="CL377" s="61"/>
      <c r="CM377" s="64"/>
      <c r="CN377" s="61"/>
      <c r="CO377" s="64"/>
      <c r="CP377" s="61"/>
      <c r="CQ377" s="64"/>
      <c r="CR377" s="61"/>
      <c r="CS377" s="64"/>
      <c r="CT377" s="61"/>
      <c r="CU377" s="64"/>
      <c r="CV377" s="61"/>
      <c r="CW377" s="64"/>
      <c r="CX377" s="61"/>
      <c r="CY377" s="64"/>
      <c r="CZ377" s="61"/>
      <c r="DA377" s="64"/>
      <c r="DB377" s="61"/>
      <c r="DC377" s="64"/>
      <c r="DD377" s="61"/>
      <c r="DE377" s="64"/>
      <c r="DF377" s="61"/>
      <c r="DG377" s="64"/>
      <c r="DH377" s="61"/>
      <c r="DI377" s="64"/>
      <c r="DJ377" s="61"/>
      <c r="DK377" s="64"/>
      <c r="DL377" s="61"/>
      <c r="DM377" s="64"/>
      <c r="DN377" s="61"/>
      <c r="DO377" s="64"/>
      <c r="DP377" s="61"/>
      <c r="DQ377" s="64"/>
      <c r="DR377" s="61"/>
      <c r="DS377" s="64"/>
      <c r="DT377" s="61"/>
      <c r="DU377" s="64"/>
      <c r="DV377" s="61"/>
      <c r="DW377" s="64"/>
      <c r="DX377" s="64"/>
      <c r="DY377" s="64"/>
      <c r="DZ377" s="61"/>
      <c r="EA377" s="64"/>
      <c r="EB377" s="61"/>
      <c r="EC377" s="64"/>
      <c r="ED377" s="61"/>
      <c r="EE377" s="64"/>
      <c r="EF377" s="61"/>
      <c r="EG377" s="64"/>
      <c r="EH377" s="61"/>
      <c r="EI377" s="64"/>
      <c r="EJ377" s="61"/>
      <c r="EK377" s="64"/>
      <c r="EL377" s="61"/>
      <c r="EM377" s="64"/>
      <c r="EN377" s="61"/>
      <c r="EO377" s="64"/>
      <c r="EP377" s="61"/>
      <c r="EQ377" s="64"/>
      <c r="ER377" s="61"/>
      <c r="ES377" s="64"/>
      <c r="ET377" s="61"/>
      <c r="EU377" s="64"/>
      <c r="EV377" s="61"/>
      <c r="EW377" s="64"/>
      <c r="EX377" s="61"/>
      <c r="EY377" s="64"/>
      <c r="EZ377" s="558"/>
      <c r="FA377" s="64"/>
      <c r="FB377" s="66"/>
      <c r="FC377" s="66"/>
      <c r="FD377" s="66"/>
      <c r="FE377" s="67"/>
      <c r="FF377" s="66"/>
      <c r="FG377" s="67"/>
      <c r="FH377" s="66"/>
      <c r="FI377" s="67"/>
      <c r="FJ377" s="66"/>
      <c r="FK377" s="67"/>
      <c r="FL377" s="66"/>
      <c r="FM377" s="61"/>
      <c r="FN377" s="66"/>
      <c r="FO377" s="61"/>
      <c r="FP377" s="65"/>
      <c r="FQ377" s="61"/>
      <c r="FR377" s="65"/>
      <c r="FS377" s="61"/>
      <c r="FT377" s="65"/>
      <c r="FU377" s="61"/>
      <c r="FV377" s="65"/>
      <c r="FW377" s="61"/>
      <c r="FX377" s="65"/>
      <c r="FY377" s="61"/>
      <c r="FZ377" s="65"/>
      <c r="GA377" s="61"/>
      <c r="GB377" s="65"/>
      <c r="GC377" s="61"/>
      <c r="GD377" s="65"/>
      <c r="GE377" s="61"/>
      <c r="GF377" s="65"/>
      <c r="GG377" s="61"/>
      <c r="GH377" s="65"/>
      <c r="GI377" s="61"/>
      <c r="GJ377" s="65"/>
      <c r="GK377" s="61"/>
      <c r="GL377" s="65"/>
      <c r="GM377" s="61"/>
      <c r="GN377" s="65"/>
      <c r="GO377" s="61"/>
      <c r="GP377" s="65"/>
      <c r="GQ377" s="61"/>
      <c r="GR377" s="64"/>
      <c r="GS377" s="61"/>
      <c r="GT377" s="64"/>
      <c r="GU377" s="61"/>
      <c r="GV377" s="64"/>
      <c r="GW377" s="61"/>
      <c r="GX377" s="64"/>
      <c r="GY377" s="61"/>
      <c r="GZ377" s="61"/>
      <c r="HA377" s="61"/>
      <c r="HB377" s="452"/>
      <c r="HC377"/>
      <c r="HD377"/>
      <c r="HE377"/>
      <c r="HF377"/>
      <c r="HG377"/>
      <c r="HH377"/>
    </row>
    <row r="378" spans="2:216" s="5" customFormat="1" ht="12.75" hidden="1" customHeight="1" outlineLevel="1" x14ac:dyDescent="0.2">
      <c r="B378" s="63" t="s">
        <v>635</v>
      </c>
      <c r="C378" s="66"/>
      <c r="D378" s="67"/>
      <c r="E378" s="66"/>
      <c r="F378" s="66"/>
      <c r="G378" s="64"/>
      <c r="H378" s="66"/>
      <c r="I378" s="64"/>
      <c r="J378" s="66"/>
      <c r="K378" s="64"/>
      <c r="L378" s="61"/>
      <c r="M378" s="66"/>
      <c r="N378" s="61"/>
      <c r="O378" s="64"/>
      <c r="P378" s="61"/>
      <c r="Q378" s="64"/>
      <c r="R378" s="61"/>
      <c r="S378" s="64"/>
      <c r="T378" s="61"/>
      <c r="U378" s="64"/>
      <c r="V378" s="61"/>
      <c r="W378" s="64"/>
      <c r="X378" s="61"/>
      <c r="Y378" s="64"/>
      <c r="Z378" s="61"/>
      <c r="AA378" s="64"/>
      <c r="AB378" s="61"/>
      <c r="AC378" s="64"/>
      <c r="AD378" s="61"/>
      <c r="AE378" s="64"/>
      <c r="AF378" s="61"/>
      <c r="AG378" s="64"/>
      <c r="AH378" s="61"/>
      <c r="AI378" s="64"/>
      <c r="AJ378" s="61"/>
      <c r="AK378" s="64"/>
      <c r="AL378" s="61"/>
      <c r="AM378" s="64"/>
      <c r="AN378" s="61"/>
      <c r="AO378" s="64"/>
      <c r="AP378" s="61"/>
      <c r="AQ378" s="64"/>
      <c r="AR378" s="61"/>
      <c r="AS378" s="64"/>
      <c r="AT378" s="61"/>
      <c r="AU378" s="64"/>
      <c r="AV378" s="61"/>
      <c r="AW378" s="64"/>
      <c r="AX378" s="61"/>
      <c r="AY378" s="64"/>
      <c r="AZ378" s="61"/>
      <c r="BA378" s="64"/>
      <c r="BB378" s="61"/>
      <c r="BC378" s="64"/>
      <c r="BD378" s="61"/>
      <c r="BE378" s="64"/>
      <c r="BF378" s="61"/>
      <c r="BG378" s="64"/>
      <c r="BH378" s="61"/>
      <c r="BI378" s="64"/>
      <c r="BJ378" s="61"/>
      <c r="BK378" s="64"/>
      <c r="BL378" s="61"/>
      <c r="BM378" s="64"/>
      <c r="BN378" s="61"/>
      <c r="BO378" s="64"/>
      <c r="BP378" s="61"/>
      <c r="BQ378" s="64"/>
      <c r="BR378" s="61"/>
      <c r="BS378" s="64"/>
      <c r="BT378" s="61"/>
      <c r="BU378" s="64"/>
      <c r="BV378" s="61"/>
      <c r="BW378" s="64"/>
      <c r="BX378" s="61"/>
      <c r="BY378" s="64"/>
      <c r="BZ378" s="61"/>
      <c r="CA378" s="64"/>
      <c r="CB378" s="61"/>
      <c r="CC378" s="64"/>
      <c r="CD378" s="61"/>
      <c r="CE378" s="64"/>
      <c r="CF378" s="61"/>
      <c r="CG378" s="64"/>
      <c r="CH378" s="61"/>
      <c r="CI378" s="64"/>
      <c r="CJ378" s="61"/>
      <c r="CK378" s="64"/>
      <c r="CL378" s="61"/>
      <c r="CM378" s="64"/>
      <c r="CN378" s="61"/>
      <c r="CO378" s="64"/>
      <c r="CP378" s="61"/>
      <c r="CQ378" s="64"/>
      <c r="CR378" s="61"/>
      <c r="CS378" s="64"/>
      <c r="CT378" s="61"/>
      <c r="CU378" s="64"/>
      <c r="CV378" s="61"/>
      <c r="CW378" s="64"/>
      <c r="CX378" s="61"/>
      <c r="CY378" s="64"/>
      <c r="CZ378" s="61"/>
      <c r="DA378" s="64"/>
      <c r="DB378" s="61"/>
      <c r="DC378" s="64"/>
      <c r="DD378" s="61"/>
      <c r="DE378" s="64"/>
      <c r="DF378" s="61"/>
      <c r="DG378" s="64"/>
      <c r="DH378" s="61"/>
      <c r="DI378" s="64"/>
      <c r="DJ378" s="61"/>
      <c r="DK378" s="64"/>
      <c r="DL378" s="61"/>
      <c r="DM378" s="64"/>
      <c r="DN378" s="61"/>
      <c r="DO378" s="64"/>
      <c r="DP378" s="61"/>
      <c r="DQ378" s="64"/>
      <c r="DR378" s="61"/>
      <c r="DS378" s="64"/>
      <c r="DT378" s="61"/>
      <c r="DU378" s="64"/>
      <c r="DV378" s="61"/>
      <c r="DW378" s="64"/>
      <c r="DX378" s="64"/>
      <c r="DY378" s="64"/>
      <c r="DZ378" s="61"/>
      <c r="EA378" s="64"/>
      <c r="EB378" s="61"/>
      <c r="EC378" s="64"/>
      <c r="ED378" s="61"/>
      <c r="EE378" s="64"/>
      <c r="EF378" s="61"/>
      <c r="EG378" s="64"/>
      <c r="EH378" s="61"/>
      <c r="EI378" s="64"/>
      <c r="EJ378" s="61"/>
      <c r="EK378" s="64"/>
      <c r="EL378" s="61"/>
      <c r="EM378" s="64"/>
      <c r="EN378" s="61"/>
      <c r="EO378" s="64"/>
      <c r="EP378" s="61"/>
      <c r="EQ378" s="64"/>
      <c r="ER378" s="61"/>
      <c r="ES378" s="64"/>
      <c r="ET378" s="61"/>
      <c r="EU378" s="64"/>
      <c r="EV378" s="61"/>
      <c r="EW378" s="64"/>
      <c r="EX378" s="61"/>
      <c r="EY378" s="64"/>
      <c r="EZ378" s="558"/>
      <c r="FA378" s="64"/>
      <c r="FB378" s="66"/>
      <c r="FC378" s="66"/>
      <c r="FD378" s="66"/>
      <c r="FE378" s="67"/>
      <c r="FF378" s="66"/>
      <c r="FG378" s="67"/>
      <c r="FH378" s="66"/>
      <c r="FI378" s="67"/>
      <c r="FJ378" s="66"/>
      <c r="FK378" s="67"/>
      <c r="FL378" s="66"/>
      <c r="FM378" s="61"/>
      <c r="FN378" s="66"/>
      <c r="FO378" s="61"/>
      <c r="FP378" s="65"/>
      <c r="FQ378" s="61"/>
      <c r="FR378" s="65"/>
      <c r="FS378" s="61"/>
      <c r="FT378" s="65"/>
      <c r="FU378" s="61"/>
      <c r="FV378" s="65"/>
      <c r="FW378" s="61"/>
      <c r="FX378" s="65"/>
      <c r="FY378" s="61"/>
      <c r="FZ378" s="65"/>
      <c r="GA378" s="61"/>
      <c r="GB378" s="65"/>
      <c r="GC378" s="61"/>
      <c r="GD378" s="65"/>
      <c r="GE378" s="61"/>
      <c r="GF378" s="65"/>
      <c r="GG378" s="61"/>
      <c r="GH378" s="65"/>
      <c r="GI378" s="61"/>
      <c r="GJ378" s="65"/>
      <c r="GK378" s="61"/>
      <c r="GL378" s="65"/>
      <c r="GM378" s="61"/>
      <c r="GN378" s="65"/>
      <c r="GO378" s="61"/>
      <c r="GP378" s="65"/>
      <c r="GQ378" s="61"/>
      <c r="GR378" s="64"/>
      <c r="GS378" s="61"/>
      <c r="GT378" s="64"/>
      <c r="GU378" s="61"/>
      <c r="GV378" s="64"/>
      <c r="GW378" s="61"/>
      <c r="GX378" s="64"/>
      <c r="GY378" s="61"/>
      <c r="GZ378" s="61"/>
      <c r="HA378" s="61"/>
      <c r="HB378" s="452"/>
      <c r="HC378"/>
      <c r="HD378"/>
      <c r="HE378"/>
      <c r="HF378"/>
      <c r="HG378"/>
      <c r="HH378"/>
    </row>
    <row r="379" spans="2:216" s="5" customFormat="1" ht="12.75" hidden="1" customHeight="1" outlineLevel="1" x14ac:dyDescent="0.2">
      <c r="B379" s="68" t="s">
        <v>628</v>
      </c>
      <c r="C379" s="82"/>
      <c r="D379" s="70"/>
      <c r="E379" s="82"/>
      <c r="F379" s="71"/>
      <c r="G379" s="82"/>
      <c r="H379" s="71"/>
      <c r="I379" s="82"/>
      <c r="J379" s="61"/>
      <c r="K379" s="82"/>
      <c r="L379" s="61"/>
      <c r="M379" s="82"/>
      <c r="N379" s="61"/>
      <c r="O379" s="82"/>
      <c r="P379" s="61"/>
      <c r="Q379" s="82"/>
      <c r="R379" s="61"/>
      <c r="S379" s="82"/>
      <c r="T379" s="61"/>
      <c r="U379" s="82"/>
      <c r="V379" s="61"/>
      <c r="W379" s="82"/>
      <c r="X379" s="61"/>
      <c r="Y379" s="82"/>
      <c r="Z379" s="61"/>
      <c r="AA379" s="82"/>
      <c r="AB379" s="61"/>
      <c r="AC379" s="82"/>
      <c r="AD379" s="61"/>
      <c r="AE379" s="82"/>
      <c r="AF379" s="61"/>
      <c r="AG379" s="82"/>
      <c r="AH379" s="61"/>
      <c r="AI379" s="82"/>
      <c r="AJ379" s="61"/>
      <c r="AK379" s="82"/>
      <c r="AL379" s="61"/>
      <c r="AM379" s="82"/>
      <c r="AN379" s="61"/>
      <c r="AO379" s="82"/>
      <c r="AP379" s="61"/>
      <c r="AQ379" s="82">
        <f>AQ374/AQ364*400</f>
        <v>0.54934558690657509</v>
      </c>
      <c r="AR379" s="61" t="str">
        <f>IF(ISERROR((AQ379/AI379-1)*100),"NA",IF(((AQ379/AI379-1)*100)&gt;100,"NM",IF(((AQ379/AI379-1)*100)&lt;-50,"NM",(AQ379/AI379-1)*100)))</f>
        <v>NA</v>
      </c>
      <c r="AS379" s="82">
        <f>AS374/AS364*400</f>
        <v>0.55014253837418892</v>
      </c>
      <c r="AT379" s="61" t="str">
        <f>IF(ISERROR((AS379/AK379-1)*100),"NA",IF(((AS379/AK379-1)*100)&gt;100,"NM",IF(((AS379/AK379-1)*100)&lt;-50,"NM",(AS379/AK379-1)*100)))</f>
        <v>NA</v>
      </c>
      <c r="AU379" s="82">
        <f>AU374/AU364*400</f>
        <v>0.52981266726137388</v>
      </c>
      <c r="AV379" s="61" t="str">
        <f>IF(ISERROR((AU379/AM379-1)*100),"NA",IF(((AU379/AM379-1)*100)&gt;100,"NM",IF(((AU379/AM379-1)*100)&lt;-50,"NM",(AU379/AM379-1)*100)))</f>
        <v>NA</v>
      </c>
      <c r="AW379" s="82">
        <f>AW374/AW364*400</f>
        <v>0.50574194702697695</v>
      </c>
      <c r="AX379" s="61" t="str">
        <f>IF(ISERROR((AW379/AO379-1)*100),"NA",IF(((AW379/AO379-1)*100)&gt;100,"NM",IF(((AW379/AO379-1)*100)&lt;-50,"NM",(AW379/AO379-1)*100)))</f>
        <v>NA</v>
      </c>
      <c r="AY379" s="82">
        <f>AY374/AY364*400</f>
        <v>0.50176458756194353</v>
      </c>
      <c r="AZ379" s="61">
        <f>IF(ISERROR((AY379/AQ379-1)*100),"NA",IF(((AY379/AQ379-1)*100)&gt;100,"NM",IF(((AY379/AQ379-1)*100)&lt;-50,"NM",(AY379/AQ379-1)*100)))</f>
        <v>-8.6613964831437578</v>
      </c>
      <c r="BA379" s="82">
        <f>BA374/BA364*400</f>
        <v>0.48598217601188265</v>
      </c>
      <c r="BB379" s="61">
        <f>IF(ISERROR((BA379/AS379-1)*100),"NA",IF(((BA379/AS379-1)*100)&gt;100,"NM",IF(((BA379/AS379-1)*100)&lt;-50,"NM",(BA379/AS379-1)*100)))</f>
        <v>-11.662497968602182</v>
      </c>
      <c r="BC379" s="82">
        <f>BC374/BC364*400</f>
        <v>0.48382591843132794</v>
      </c>
      <c r="BD379" s="61">
        <f>IF(ISERROR((BC379/AU379-1)*100),"NA",IF(((BC379/AU379-1)*100)&gt;100,"NM",IF(((BC379/AU379-1)*100)&lt;-50,"NM",(BC379/AU379-1)*100)))</f>
        <v>-8.6798130115977692</v>
      </c>
      <c r="BE379" s="82">
        <f>BE374/BE364*400</f>
        <v>0.4761853782826066</v>
      </c>
      <c r="BF379" s="61">
        <f>IF(ISERROR((BE379/AW379-1)*100),"NA",IF(((BE379/AW379-1)*100)&gt;100,"NM",IF(((BE379/AW379-1)*100)&lt;-50,"NM",(BE379/AW379-1)*100)))</f>
        <v>-5.844199580066423</v>
      </c>
      <c r="BG379" s="82">
        <f>BG374/BG364*400</f>
        <v>0.4847665899541837</v>
      </c>
      <c r="BH379" s="61">
        <f>IF(ISERROR((BG379/AY379-1)*100),"NA",IF(((BG379/AY379-1)*100)&gt;100,"NM",IF(((BG379/AY379-1)*100)&lt;-50,"NM",(BG379/AY379-1)*100)))</f>
        <v>-3.3876439328555441</v>
      </c>
      <c r="BI379" s="82">
        <f>BI374/BI364*400</f>
        <v>0.46444301991356313</v>
      </c>
      <c r="BJ379" s="61">
        <f>IF(ISERROR((BI379/BA379-1)*100),"NA",IF(((BI379/BA379-1)*100)&gt;100,"NM",IF(((BI379/BA379-1)*100)&lt;-50,"NM",(BI379/BA379-1)*100)))</f>
        <v>-4.43208766936195</v>
      </c>
      <c r="BK379" s="82">
        <f>BK374/BK364*400</f>
        <v>0.45223381622935871</v>
      </c>
      <c r="BL379" s="61">
        <f>IF(ISERROR((BK379/BC379-1)*100),"NA",IF(((BK379/BC379-1)*100)&gt;100,"NM",IF(((BK379/BC379-1)*100)&lt;-50,"NM",(BK379/BC379-1)*100)))</f>
        <v>-6.5296423772413625</v>
      </c>
      <c r="BM379" s="82">
        <f>BM374/BM364*400</f>
        <v>0.46686803953248351</v>
      </c>
      <c r="BN379" s="61">
        <f>IF(ISERROR((BM379/BE379-1)*100),"NA",IF(((BM379/BE379-1)*100)&gt;100,"NM",IF(((BM379/BE379-1)*100)&lt;-50,"NM",(BM379/BE379-1)*100)))</f>
        <v>-1.9566620847802363</v>
      </c>
      <c r="BO379" s="82">
        <f>BO374/BO364*400</f>
        <v>0.46956893132798444</v>
      </c>
      <c r="BP379" s="61">
        <f>IF(ISERROR((BO379/BG379-1)*100),"NA",IF(((BO379/BG379-1)*100)&gt;100,"NM",IF(((BO379/BG379-1)*100)&lt;-50,"NM",(BO379/BG379-1)*100)))</f>
        <v>-3.1350466267973665</v>
      </c>
      <c r="BQ379" s="82">
        <f>BQ374/BQ364*400</f>
        <v>0.50003566125696208</v>
      </c>
      <c r="BR379" s="61">
        <f>IF(ISERROR((BQ379/BI379-1)*100),"NA",IF(((BQ379/BI379-1)*100)&gt;100,"NM",IF(((BQ379/BI379-1)*100)&lt;-50,"NM",(BQ379/BI379-1)*100)))</f>
        <v>7.6635108758923876</v>
      </c>
      <c r="BS379" s="82">
        <f>BS374/BS364*400</f>
        <v>0.49645091011314929</v>
      </c>
      <c r="BT379" s="61">
        <f>IF(ISERROR((BS379/BK379-1)*100),"NA",IF(((BS379/BK379-1)*100)&gt;100,"NM",IF(((BS379/BK379-1)*100)&lt;-50,"NM",(BS379/BK379-1)*100)))</f>
        <v>9.7774850745272701</v>
      </c>
      <c r="BU379" s="82">
        <f>BU374/BU364*400</f>
        <v>0.45368620037807189</v>
      </c>
      <c r="BV379" s="61">
        <f>IF(ISERROR((BU379/BM379-1)*100),"NA",IF(((BU379/BM379-1)*100)&gt;100,"NM",IF(((BU379/BM379-1)*100)&lt;-50,"NM",(BU379/BM379-1)*100)))</f>
        <v>-2.8234614576769457</v>
      </c>
      <c r="BW379" s="82">
        <f>BW374/BW364*400</f>
        <v>0.47841131337445464</v>
      </c>
      <c r="BX379" s="61">
        <f>IF(ISERROR((BW379/BO379-1)*100),"NA",IF(((BW379/BO379-1)*100)&gt;100,"NM",IF(((BW379/BO379-1)*100)&lt;-50,"NM",(BW379/BO379-1)*100)))</f>
        <v>1.8830849863646471</v>
      </c>
      <c r="BY379" s="82">
        <f>BY374/BY364*400</f>
        <v>0.49454306737055165</v>
      </c>
      <c r="BZ379" s="61">
        <f>IF(ISERROR((BY379/BQ379-1)*100),"NA",IF(((BY379/BQ379-1)*100)&gt;100,"NM",IF(((BY379/BQ379-1)*100)&lt;-50,"NM",(BY379/BQ379-1)*100)))</f>
        <v>-1.0984404337489595</v>
      </c>
      <c r="CA379" s="82"/>
      <c r="CB379" s="61"/>
      <c r="CC379" s="82"/>
      <c r="CD379" s="61"/>
      <c r="CE379" s="82"/>
      <c r="CF379" s="61"/>
      <c r="CG379" s="82"/>
      <c r="CH379" s="61"/>
      <c r="CI379" s="82"/>
      <c r="CJ379" s="61"/>
      <c r="CK379" s="82"/>
      <c r="CL379" s="61"/>
      <c r="CM379" s="82"/>
      <c r="CN379" s="61"/>
      <c r="CO379" s="82"/>
      <c r="CP379" s="61"/>
      <c r="CQ379" s="82"/>
      <c r="CR379" s="61"/>
      <c r="CS379" s="82"/>
      <c r="CT379" s="61"/>
      <c r="CU379" s="82"/>
      <c r="CV379" s="61"/>
      <c r="CW379" s="82"/>
      <c r="CX379" s="61"/>
      <c r="CY379" s="82"/>
      <c r="CZ379" s="61"/>
      <c r="DA379" s="82"/>
      <c r="DB379" s="61"/>
      <c r="DC379" s="82"/>
      <c r="DD379" s="61"/>
      <c r="DE379" s="82"/>
      <c r="DF379" s="61"/>
      <c r="DG379" s="82"/>
      <c r="DH379" s="61"/>
      <c r="DI379" s="82"/>
      <c r="DJ379" s="61"/>
      <c r="DK379" s="82"/>
      <c r="DL379" s="61"/>
      <c r="DM379" s="82"/>
      <c r="DN379" s="61"/>
      <c r="DO379" s="82"/>
      <c r="DP379" s="61"/>
      <c r="DQ379" s="82"/>
      <c r="DR379" s="61"/>
      <c r="DS379" s="82"/>
      <c r="DT379" s="61"/>
      <c r="DU379" s="82"/>
      <c r="DV379" s="61"/>
      <c r="DW379" s="82"/>
      <c r="DX379" s="82"/>
      <c r="DY379" s="82"/>
      <c r="DZ379" s="61"/>
      <c r="EA379" s="82"/>
      <c r="EB379" s="61"/>
      <c r="EC379" s="82"/>
      <c r="ED379" s="61"/>
      <c r="EE379" s="82"/>
      <c r="EF379" s="61"/>
      <c r="EG379" s="82"/>
      <c r="EH379" s="61"/>
      <c r="EI379" s="82"/>
      <c r="EJ379" s="61"/>
      <c r="EK379" s="82"/>
      <c r="EL379" s="61"/>
      <c r="EM379" s="82"/>
      <c r="EN379" s="61"/>
      <c r="EO379" s="82"/>
      <c r="EP379" s="61"/>
      <c r="EQ379" s="110"/>
      <c r="ER379" s="61"/>
      <c r="ES379" s="110"/>
      <c r="ET379" s="61"/>
      <c r="EU379" s="110"/>
      <c r="EV379" s="61"/>
      <c r="EW379" s="110"/>
      <c r="EX379" s="61"/>
      <c r="EY379" s="64"/>
      <c r="EZ379" s="558"/>
      <c r="FA379" s="64"/>
      <c r="FB379" s="82"/>
      <c r="FC379" s="71"/>
      <c r="FD379" s="82"/>
      <c r="FE379" s="70"/>
      <c r="FF379" s="82"/>
      <c r="FG379" s="70"/>
      <c r="FH379" s="82"/>
      <c r="FI379" s="70"/>
      <c r="FJ379" s="82"/>
      <c r="FK379" s="70"/>
      <c r="FL379" s="82"/>
      <c r="FM379" s="61"/>
      <c r="FN379" s="82"/>
      <c r="FO379" s="61"/>
      <c r="FP379" s="111">
        <f>FP374/FP364*100</f>
        <v>0.52625330206880183</v>
      </c>
      <c r="FQ379" s="61" t="str">
        <f>IF(ISERROR((FP379/FN379-1)*100),"NA",IF(((FP379/FN379-1)*100)&gt;100,"NM",IF(((FP379/FN379-1)*100)&lt;-50,"NM",(FP379/FN379-1)*100)))</f>
        <v>NA</v>
      </c>
      <c r="FR379" s="111">
        <f>FR374/FR364*100</f>
        <v>0.48576654853092494</v>
      </c>
      <c r="FS379" s="61">
        <f>IF(ISERROR((FR379/FP379-1)*100),"NA",IF(((FR379/FP379-1)*100)&gt;100,"NM",IF(((FR379/FP379-1)*100)&lt;-50,"NM",(FR379/FP379-1)*100)))</f>
        <v>-7.6933965789318108</v>
      </c>
      <c r="FT379" s="111">
        <f>FT374/FT364*100</f>
        <v>0.49886368078084958</v>
      </c>
      <c r="FU379" s="61">
        <f>IF(ISERROR((FT379/FR379-1)*100),"NA",IF(((FT379/FR379-1)*100)&gt;100,"NM",IF(((FT379/FR379-1)*100)&lt;-50,"NM",(FT379/FR379-1)*100)))</f>
        <v>2.69617829583646</v>
      </c>
      <c r="FV379" s="111">
        <f>FV374/FV364*100</f>
        <v>0.49978913358923227</v>
      </c>
      <c r="FW379" s="61">
        <f>IF(ISERROR((FV379/FT379-1)*100),"NA",IF(((FV379/FT379-1)*100)&gt;100,"NM",IF(((FV379/FT379-1)*100)&lt;-50,"NM",(FV379/FT379-1)*100)))</f>
        <v>0.18551216375064516</v>
      </c>
      <c r="FX379" s="111">
        <f>FX374/FX364*100</f>
        <v>0.23378910941294737</v>
      </c>
      <c r="FY379" s="61" t="str">
        <f>IF(ISERROR((FX379/FV379-1)*100),"NA",IF(((FX379/FV379-1)*100)&gt;100,"NM",IF(((FX379/FV379-1)*100)&lt;-50,"NM",(FX379/FV379-1)*100)))</f>
        <v>NM</v>
      </c>
      <c r="FZ379" s="111"/>
      <c r="GA379" s="61"/>
      <c r="GB379" s="111"/>
      <c r="GC379" s="61"/>
      <c r="GD379" s="111"/>
      <c r="GE379" s="61"/>
      <c r="GF379" s="111"/>
      <c r="GG379" s="61"/>
      <c r="GH379" s="111"/>
      <c r="GI379" s="61"/>
      <c r="GJ379" s="111"/>
      <c r="GK379" s="61"/>
      <c r="GL379" s="111"/>
      <c r="GM379" s="61"/>
      <c r="GN379" s="111"/>
      <c r="GO379" s="61"/>
      <c r="GP379" s="111"/>
      <c r="GQ379" s="61"/>
      <c r="GR379" s="110"/>
      <c r="GS379" s="61"/>
      <c r="GT379" s="110"/>
      <c r="GU379" s="61"/>
      <c r="GV379" s="110"/>
      <c r="GW379" s="61"/>
      <c r="GX379" s="110"/>
      <c r="GY379" s="61"/>
      <c r="GZ379" s="61"/>
      <c r="HA379" s="61"/>
      <c r="HB379" s="452"/>
      <c r="HC379"/>
      <c r="HD379"/>
      <c r="HE379"/>
      <c r="HF379"/>
      <c r="HG379"/>
      <c r="HH379"/>
    </row>
    <row r="380" spans="2:216" s="112" customFormat="1" ht="12.75" hidden="1" customHeight="1" outlineLevel="1" x14ac:dyDescent="0.2">
      <c r="B380" s="472" t="s">
        <v>151</v>
      </c>
      <c r="C380" s="113"/>
      <c r="D380" s="114"/>
      <c r="E380" s="113"/>
      <c r="F380" s="115"/>
      <c r="G380" s="113"/>
      <c r="H380" s="115"/>
      <c r="I380" s="113"/>
      <c r="J380" s="116"/>
      <c r="K380" s="113"/>
      <c r="L380" s="116"/>
      <c r="M380" s="113"/>
      <c r="N380" s="116"/>
      <c r="O380" s="113"/>
      <c r="P380" s="116"/>
      <c r="Q380" s="113"/>
      <c r="R380" s="116"/>
      <c r="S380" s="113"/>
      <c r="T380" s="116"/>
      <c r="U380" s="113"/>
      <c r="V380" s="116"/>
      <c r="W380" s="113"/>
      <c r="X380" s="116"/>
      <c r="Y380" s="113"/>
      <c r="Z380" s="116"/>
      <c r="AA380" s="113"/>
      <c r="AB380" s="116"/>
      <c r="AC380" s="113"/>
      <c r="AD380" s="116"/>
      <c r="AE380" s="113"/>
      <c r="AF380" s="116"/>
      <c r="AG380" s="113"/>
      <c r="AH380" s="116"/>
      <c r="AI380" s="113"/>
      <c r="AJ380" s="116"/>
      <c r="AK380" s="113"/>
      <c r="AL380" s="116"/>
      <c r="AM380" s="113"/>
      <c r="AN380" s="116"/>
      <c r="AO380" s="113"/>
      <c r="AP380" s="116"/>
      <c r="AQ380" s="113">
        <f>AQ379</f>
        <v>0.54934558690657509</v>
      </c>
      <c r="AR380" s="116" t="str">
        <f>IF(ISERROR((AQ380/AI380-1)*100),"NA",IF(((AQ380/AI380-1)*100)&gt;100,"NM",IF(((AQ380/AI380-1)*100)&lt;-50,"NM",(AQ380/AI380-1)*100)))</f>
        <v>NA</v>
      </c>
      <c r="AS380" s="113">
        <f>AS379</f>
        <v>0.55014253837418892</v>
      </c>
      <c r="AT380" s="116" t="str">
        <f>IF(ISERROR((AS380/AK380-1)*100),"NA",IF(((AS380/AK380-1)*100)&gt;100,"NM",IF(((AS380/AK380-1)*100)&lt;-50,"NM",(AS380/AK380-1)*100)))</f>
        <v>NA</v>
      </c>
      <c r="AU380" s="113">
        <f>AU379</f>
        <v>0.52981266726137388</v>
      </c>
      <c r="AV380" s="116" t="str">
        <f>IF(ISERROR((AU380/AM380-1)*100),"NA",IF(((AU380/AM380-1)*100)&gt;100,"NM",IF(((AU380/AM380-1)*100)&lt;-50,"NM",(AU380/AM380-1)*100)))</f>
        <v>NA</v>
      </c>
      <c r="AW380" s="113">
        <f>AW379</f>
        <v>0.50574194702697695</v>
      </c>
      <c r="AX380" s="116" t="str">
        <f>IF(ISERROR((AW380/AO380-1)*100),"NA",IF(((AW380/AO380-1)*100)&gt;100,"NM",IF(((AW380/AO380-1)*100)&lt;-50,"NM",(AW380/AO380-1)*100)))</f>
        <v>NA</v>
      </c>
      <c r="AY380" s="113">
        <f>AY379</f>
        <v>0.50176458756194353</v>
      </c>
      <c r="AZ380" s="116">
        <f>IF(ISERROR((AY380/AQ380-1)*100),"NA",IF(((AY380/AQ380-1)*100)&gt;100,"NM",IF(((AY380/AQ380-1)*100)&lt;-50,"NM",(AY380/AQ380-1)*100)))</f>
        <v>-8.6613964831437578</v>
      </c>
      <c r="BA380" s="113">
        <f>BA379</f>
        <v>0.48598217601188265</v>
      </c>
      <c r="BB380" s="116">
        <f>IF(ISERROR((BA380/AS380-1)*100),"NA",IF(((BA380/AS380-1)*100)&gt;100,"NM",IF(((BA380/AS380-1)*100)&lt;-50,"NM",(BA380/AS380-1)*100)))</f>
        <v>-11.662497968602182</v>
      </c>
      <c r="BC380" s="113">
        <f>BC379</f>
        <v>0.48382591843132794</v>
      </c>
      <c r="BD380" s="116">
        <f>IF(ISERROR((BC380/AU380-1)*100),"NA",IF(((BC380/AU380-1)*100)&gt;100,"NM",IF(((BC380/AU380-1)*100)&lt;-50,"NM",(BC380/AU380-1)*100)))</f>
        <v>-8.6798130115977692</v>
      </c>
      <c r="BE380" s="113">
        <f>BE379</f>
        <v>0.4761853782826066</v>
      </c>
      <c r="BF380" s="116">
        <f>IF(ISERROR((BE380/AW380-1)*100),"NA",IF(((BE380/AW380-1)*100)&gt;100,"NM",IF(((BE380/AW380-1)*100)&lt;-50,"NM",(BE380/AW380-1)*100)))</f>
        <v>-5.844199580066423</v>
      </c>
      <c r="BG380" s="113">
        <f>BG379</f>
        <v>0.4847665899541837</v>
      </c>
      <c r="BH380" s="116">
        <f>IF(ISERROR((BG380/AY380-1)*100),"NA",IF(((BG380/AY380-1)*100)&gt;100,"NM",IF(((BG380/AY380-1)*100)&lt;-50,"NM",(BG380/AY380-1)*100)))</f>
        <v>-3.3876439328555441</v>
      </c>
      <c r="BI380" s="113">
        <f>BI379</f>
        <v>0.46444301991356313</v>
      </c>
      <c r="BJ380" s="116">
        <f>IF(ISERROR((BI380/BA380-1)*100),"NA",IF(((BI380/BA380-1)*100)&gt;100,"NM",IF(((BI380/BA380-1)*100)&lt;-50,"NM",(BI380/BA380-1)*100)))</f>
        <v>-4.43208766936195</v>
      </c>
      <c r="BK380" s="113">
        <f>BK379</f>
        <v>0.45223381622935871</v>
      </c>
      <c r="BL380" s="116">
        <f>IF(ISERROR((BK380/BC380-1)*100),"NA",IF(((BK380/BC380-1)*100)&gt;100,"NM",IF(((BK380/BC380-1)*100)&lt;-50,"NM",(BK380/BC380-1)*100)))</f>
        <v>-6.5296423772413625</v>
      </c>
      <c r="BM380" s="113">
        <f>BM379</f>
        <v>0.46686803953248351</v>
      </c>
      <c r="BN380" s="116">
        <f>IF(ISERROR((BM380/BE380-1)*100),"NA",IF(((BM380/BE380-1)*100)&gt;100,"NM",IF(((BM380/BE380-1)*100)&lt;-50,"NM",(BM380/BE380-1)*100)))</f>
        <v>-1.9566620847802363</v>
      </c>
      <c r="BO380" s="113">
        <f>BO379</f>
        <v>0.46956893132798444</v>
      </c>
      <c r="BP380" s="116">
        <f>IF(ISERROR((BO380/BG380-1)*100),"NA",IF(((BO380/BG380-1)*100)&gt;100,"NM",IF(((BO380/BG380-1)*100)&lt;-50,"NM",(BO380/BG380-1)*100)))</f>
        <v>-3.1350466267973665</v>
      </c>
      <c r="BQ380" s="113">
        <f>BQ379</f>
        <v>0.50003566125696208</v>
      </c>
      <c r="BR380" s="116">
        <f>IF(ISERROR((BQ380/BI380-1)*100),"NA",IF(((BQ380/BI380-1)*100)&gt;100,"NM",IF(((BQ380/BI380-1)*100)&lt;-50,"NM",(BQ380/BI380-1)*100)))</f>
        <v>7.6635108758923876</v>
      </c>
      <c r="BS380" s="113">
        <f>BS379</f>
        <v>0.49645091011314929</v>
      </c>
      <c r="BT380" s="116">
        <f>IF(ISERROR((BS380/BK380-1)*100),"NA",IF(((BS380/BK380-1)*100)&gt;100,"NM",IF(((BS380/BK380-1)*100)&lt;-50,"NM",(BS380/BK380-1)*100)))</f>
        <v>9.7774850745272701</v>
      </c>
      <c r="BU380" s="113">
        <f>BU379</f>
        <v>0.45368620037807189</v>
      </c>
      <c r="BV380" s="116">
        <f>IF(ISERROR((BU380/BM380-1)*100),"NA",IF(((BU380/BM380-1)*100)&gt;100,"NM",IF(((BU380/BM380-1)*100)&lt;-50,"NM",(BU380/BM380-1)*100)))</f>
        <v>-2.8234614576769457</v>
      </c>
      <c r="BW380" s="113">
        <f>BW379</f>
        <v>0.47841131337445464</v>
      </c>
      <c r="BX380" s="116">
        <f>IF(ISERROR((BW380/BO380-1)*100),"NA",IF(((BW380/BO380-1)*100)&gt;100,"NM",IF(((BW380/BO380-1)*100)&lt;-50,"NM",(BW380/BO380-1)*100)))</f>
        <v>1.8830849863646471</v>
      </c>
      <c r="BY380" s="113">
        <f>BY379</f>
        <v>0.49454306737055165</v>
      </c>
      <c r="BZ380" s="116">
        <f>IF(ISERROR((BY380/BQ380-1)*100),"NA",IF(((BY380/BQ380-1)*100)&gt;100,"NM",IF(((BY380/BQ380-1)*100)&lt;-50,"NM",(BY380/BQ380-1)*100)))</f>
        <v>-1.0984404337489595</v>
      </c>
      <c r="CA380" s="113"/>
      <c r="CB380" s="116"/>
      <c r="CC380" s="113"/>
      <c r="CD380" s="116"/>
      <c r="CE380" s="113"/>
      <c r="CF380" s="116"/>
      <c r="CG380" s="113"/>
      <c r="CH380" s="116"/>
      <c r="CI380" s="113"/>
      <c r="CJ380" s="116"/>
      <c r="CK380" s="113"/>
      <c r="CL380" s="116"/>
      <c r="CM380" s="113"/>
      <c r="CN380" s="116"/>
      <c r="CO380" s="113"/>
      <c r="CP380" s="116"/>
      <c r="CQ380" s="113"/>
      <c r="CR380" s="116"/>
      <c r="CS380" s="113"/>
      <c r="CT380" s="116"/>
      <c r="CU380" s="113"/>
      <c r="CV380" s="116"/>
      <c r="CW380" s="113"/>
      <c r="CX380" s="116"/>
      <c r="CY380" s="113"/>
      <c r="CZ380" s="116"/>
      <c r="DA380" s="113"/>
      <c r="DB380" s="116"/>
      <c r="DC380" s="113"/>
      <c r="DD380" s="116"/>
      <c r="DE380" s="113"/>
      <c r="DF380" s="116"/>
      <c r="DG380" s="113"/>
      <c r="DH380" s="116"/>
      <c r="DI380" s="113"/>
      <c r="DJ380" s="116"/>
      <c r="DK380" s="113"/>
      <c r="DL380" s="116"/>
      <c r="DM380" s="113"/>
      <c r="DN380" s="116"/>
      <c r="DO380" s="113"/>
      <c r="DP380" s="116"/>
      <c r="DQ380" s="113"/>
      <c r="DR380" s="116"/>
      <c r="DS380" s="113"/>
      <c r="DT380" s="116"/>
      <c r="DU380" s="113"/>
      <c r="DV380" s="116"/>
      <c r="DW380" s="113"/>
      <c r="DX380" s="113"/>
      <c r="DY380" s="113"/>
      <c r="DZ380" s="116"/>
      <c r="EA380" s="113"/>
      <c r="EB380" s="116"/>
      <c r="EC380" s="113"/>
      <c r="ED380" s="116"/>
      <c r="EE380" s="113"/>
      <c r="EF380" s="116"/>
      <c r="EG380" s="113"/>
      <c r="EH380" s="116"/>
      <c r="EI380" s="113"/>
      <c r="EJ380" s="116"/>
      <c r="EK380" s="113"/>
      <c r="EL380" s="116"/>
      <c r="EM380" s="113"/>
      <c r="EN380" s="116"/>
      <c r="EO380" s="113"/>
      <c r="EP380" s="116"/>
      <c r="EQ380" s="426"/>
      <c r="ER380" s="116"/>
      <c r="ES380" s="426"/>
      <c r="ET380" s="116"/>
      <c r="EU380" s="426"/>
      <c r="EV380" s="116"/>
      <c r="EW380" s="426"/>
      <c r="EX380" s="116"/>
      <c r="EY380" s="115"/>
      <c r="EZ380" s="558"/>
      <c r="FA380" s="115"/>
      <c r="FB380" s="113"/>
      <c r="FC380" s="115"/>
      <c r="FD380" s="113"/>
      <c r="FE380" s="114"/>
      <c r="FF380" s="113"/>
      <c r="FG380" s="114"/>
      <c r="FH380" s="113"/>
      <c r="FI380" s="114"/>
      <c r="FJ380" s="113"/>
      <c r="FK380" s="114"/>
      <c r="FL380" s="113"/>
      <c r="FM380" s="116"/>
      <c r="FN380" s="113"/>
      <c r="FO380" s="116"/>
      <c r="FP380" s="426">
        <f>FP379</f>
        <v>0.52625330206880183</v>
      </c>
      <c r="FQ380" s="116" t="str">
        <f>FQ379</f>
        <v>NA</v>
      </c>
      <c r="FR380" s="426">
        <f>FR379</f>
        <v>0.48576654853092494</v>
      </c>
      <c r="FS380" s="116">
        <f>IF(ISERROR((FR380/FP380-1)*100),"NA",IF(((FR380/FP380-1)*100)&gt;100,"NM",IF(((FR380/FP380-1)*100)&lt;-50,"NM",(FR380/FP380-1)*100)))</f>
        <v>-7.6933965789318108</v>
      </c>
      <c r="FT380" s="426">
        <f>FT379</f>
        <v>0.49886368078084958</v>
      </c>
      <c r="FU380" s="116">
        <f>IF(ISERROR((FT380/FR380-1)*100),"NA",IF(((FT380/FR380-1)*100)&gt;100,"NM",IF(((FT380/FR380-1)*100)&lt;-50,"NM",(FT380/FR380-1)*100)))</f>
        <v>2.69617829583646</v>
      </c>
      <c r="FV380" s="426">
        <f>FV379</f>
        <v>0.49978913358923227</v>
      </c>
      <c r="FW380" s="116">
        <f>IF(ISERROR((FV380/FT380-1)*100),"NA",IF(((FV380/FT380-1)*100)&gt;100,"NM",IF(((FV380/FT380-1)*100)&lt;-50,"NM",(FV380/FT380-1)*100)))</f>
        <v>0.18551216375064516</v>
      </c>
      <c r="FX380" s="426">
        <f>FX379</f>
        <v>0.23378910941294737</v>
      </c>
      <c r="FY380" s="116" t="str">
        <f>IF(ISERROR((FX380/FV380-1)*100),"NA",IF(((FX380/FV380-1)*100)&gt;100,"NM",IF(((FX380/FV380-1)*100)&lt;-50,"NM",(FX380/FV380-1)*100)))</f>
        <v>NM</v>
      </c>
      <c r="FZ380" s="426"/>
      <c r="GA380" s="116"/>
      <c r="GB380" s="426"/>
      <c r="GC380" s="116"/>
      <c r="GD380" s="426"/>
      <c r="GE380" s="116"/>
      <c r="GF380" s="426"/>
      <c r="GG380" s="116"/>
      <c r="GH380" s="426"/>
      <c r="GI380" s="116"/>
      <c r="GJ380" s="426"/>
      <c r="GK380" s="116"/>
      <c r="GL380" s="426"/>
      <c r="GM380" s="116"/>
      <c r="GN380" s="426"/>
      <c r="GO380" s="116"/>
      <c r="GP380" s="426"/>
      <c r="GQ380" s="116"/>
      <c r="GR380" s="426"/>
      <c r="GS380" s="116"/>
      <c r="GT380" s="426"/>
      <c r="GU380" s="116"/>
      <c r="GV380" s="426"/>
      <c r="GW380" s="116"/>
      <c r="GX380" s="426"/>
      <c r="GY380" s="116"/>
      <c r="GZ380" s="116"/>
      <c r="HA380" s="116"/>
      <c r="HB380" s="475"/>
      <c r="HC380"/>
      <c r="HD380"/>
      <c r="HE380"/>
      <c r="HF380"/>
      <c r="HG380"/>
      <c r="HH380"/>
    </row>
    <row r="381" spans="2:216" s="5" customFormat="1" ht="12.75" hidden="1" customHeight="1" outlineLevel="1" x14ac:dyDescent="0.2">
      <c r="B381" s="68" t="s">
        <v>107</v>
      </c>
      <c r="C381" s="82"/>
      <c r="D381" s="70"/>
      <c r="E381" s="82"/>
      <c r="F381" s="71"/>
      <c r="G381" s="82"/>
      <c r="H381" s="71"/>
      <c r="I381" s="82"/>
      <c r="J381" s="61"/>
      <c r="K381" s="82"/>
      <c r="L381" s="61"/>
      <c r="M381" s="82"/>
      <c r="N381" s="61"/>
      <c r="O381" s="82"/>
      <c r="P381" s="61"/>
      <c r="Q381" s="82"/>
      <c r="R381" s="61"/>
      <c r="S381" s="82"/>
      <c r="T381" s="61"/>
      <c r="U381" s="82"/>
      <c r="V381" s="61"/>
      <c r="W381" s="82"/>
      <c r="X381" s="61"/>
      <c r="Y381" s="82"/>
      <c r="Z381" s="61"/>
      <c r="AA381" s="82"/>
      <c r="AB381" s="61"/>
      <c r="AC381" s="82"/>
      <c r="AD381" s="61"/>
      <c r="AE381" s="82"/>
      <c r="AF381" s="61"/>
      <c r="AG381" s="82"/>
      <c r="AH381" s="61"/>
      <c r="AI381" s="82"/>
      <c r="AJ381" s="61"/>
      <c r="AK381" s="82"/>
      <c r="AL381" s="61"/>
      <c r="AM381" s="82"/>
      <c r="AN381" s="61"/>
      <c r="AO381" s="82"/>
      <c r="AP381" s="61"/>
      <c r="AQ381" s="82">
        <f>AQ375/AQ364*400</f>
        <v>0.2072093003244099</v>
      </c>
      <c r="AR381" s="61" t="str">
        <f>IF(ISERROR((AQ381/AI381-1)*100),"NA",IF(((AQ381/AI381-1)*100)&gt;100,"NM",IF(((AQ381/AI381-1)*100)&lt;-50,"NM",(AQ381/AI381-1)*100)))</f>
        <v>NA</v>
      </c>
      <c r="AS381" s="82">
        <f>AS375/AS364*400</f>
        <v>0.17723991709745812</v>
      </c>
      <c r="AT381" s="61" t="str">
        <f>IF(ISERROR((AS381/AK381-1)*100),"NA",IF(((AS381/AK381-1)*100)&gt;100,"NM",IF(((AS381/AK381-1)*100)&lt;-50,"NM",(AS381/AK381-1)*100)))</f>
        <v>NA</v>
      </c>
      <c r="AU381" s="82">
        <f>AU375/AU364*400</f>
        <v>0.17413024085637824</v>
      </c>
      <c r="AV381" s="61" t="str">
        <f>IF(ISERROR((AU381/AM381-1)*100),"NA",IF(((AU381/AM381-1)*100)&gt;100,"NM",IF(((AU381/AM381-1)*100)&lt;-50,"NM",(AU381/AM381-1)*100)))</f>
        <v>NA</v>
      </c>
      <c r="AW381" s="82">
        <f>AW375/AW364*400</f>
        <v>0.17282167162557072</v>
      </c>
      <c r="AX381" s="61" t="str">
        <f>IF(ISERROR((AW381/AO381-1)*100),"NA",IF(((AW381/AO381-1)*100)&gt;100,"NM",IF(((AW381/AO381-1)*100)&lt;-50,"NM",(AW381/AO381-1)*100)))</f>
        <v>NA</v>
      </c>
      <c r="AY381" s="82">
        <f>AY375/AY364*400</f>
        <v>0.17895782666203425</v>
      </c>
      <c r="AZ381" s="61">
        <f>IF(ISERROR((AY381/AQ381-1)*100),"NA",IF(((AY381/AQ381-1)*100)&gt;100,"NM",IF(((AY381/AQ381-1)*100)&lt;-50,"NM",(AY381/AQ381-1)*100)))</f>
        <v>-13.634269126986453</v>
      </c>
      <c r="BA381" s="82">
        <f>BA375/BA364*400</f>
        <v>0.13924990716672855</v>
      </c>
      <c r="BB381" s="61">
        <f>IF(ISERROR((BA381/AS381-1)*100),"NA",IF(((BA381/AS381-1)*100)&gt;100,"NM",IF(((BA381/AS381-1)*100)&lt;-50,"NM",(BA381/AS381-1)*100)))</f>
        <v>-21.434229124492411</v>
      </c>
      <c r="BC381" s="82">
        <f>BC375/BC364*400</f>
        <v>0.1564112064297318</v>
      </c>
      <c r="BD381" s="61">
        <f>IF(ISERROR((BC381/AU381-1)*100),"NA",IF(((BC381/AU381-1)*100)&gt;100,"NM",IF(((BC381/AU381-1)*100)&lt;-50,"NM",(BC381/AU381-1)*100)))</f>
        <v>-10.175736471450126</v>
      </c>
      <c r="BE381" s="82">
        <f>BE375/BE364*400</f>
        <v>0.16144054641415712</v>
      </c>
      <c r="BF381" s="61">
        <f>IF(ISERROR((BE381/AW381-1)*100),"NA",IF(((BE381/AW381-1)*100)&gt;100,"NM",IF(((BE381/AW381-1)*100)&lt;-50,"NM",(BE381/AW381-1)*100)))</f>
        <v>-6.5854733983082507</v>
      </c>
      <c r="BG381" s="82">
        <f>BG375/BG364*400</f>
        <v>0.14906150370542406</v>
      </c>
      <c r="BH381" s="61">
        <f>IF(ISERROR((BG381/AY381-1)*100),"NA",IF(((BG381/AY381-1)*100)&gt;100,"NM",IF(((BG381/AY381-1)*100)&lt;-50,"NM",(BG381/AY381-1)*100)))</f>
        <v>-16.705792372562744</v>
      </c>
      <c r="BI381" s="82">
        <f>BI375/BI364*400</f>
        <v>0.16005293740565357</v>
      </c>
      <c r="BJ381" s="61">
        <f>IF(ISERROR((BI381/BA381-1)*100),"NA",IF(((BI381/BA381-1)*100)&gt;100,"NM",IF(((BI381/BA381-1)*100)&lt;-50,"NM",(BI381/BA381-1)*100)))</f>
        <v>14.939349448913353</v>
      </c>
      <c r="BK381" s="82">
        <f>BK375/BK364*400</f>
        <v>0.1560125620504508</v>
      </c>
      <c r="BL381" s="61">
        <f>IF(ISERROR((BK381/BC381-1)*100),"NA",IF(((BK381/BC381-1)*100)&gt;100,"NM",IF(((BK381/BC381-1)*100)&lt;-50,"NM",(BK381/BC381-1)*100)))</f>
        <v>-0.25486944853921889</v>
      </c>
      <c r="BM381" s="82">
        <f>BM375/BM364*400</f>
        <v>0.13400841875469435</v>
      </c>
      <c r="BN381" s="61">
        <f>IF(ISERROR((BM381/BE381-1)*100),"NA",IF(((BM381/BE381-1)*100)&gt;100,"NM",IF(((BM381/BE381-1)*100)&lt;-50,"NM",(BM381/BE381-1)*100)))</f>
        <v>-16.992092921371071</v>
      </c>
      <c r="BO381" s="82">
        <f>BO375/BO364*400</f>
        <v>0.11763629152811252</v>
      </c>
      <c r="BP381" s="61">
        <f>IF(ISERROR((BO381/BG381-1)*100),"NA",IF(((BO381/BG381-1)*100)&gt;100,"NM",IF(((BO381/BG381-1)*100)&lt;-50,"NM",(BO381/BG381-1)*100)))</f>
        <v>-21.082044254306041</v>
      </c>
      <c r="BQ381" s="82">
        <f>BQ375/BQ364*400</f>
        <v>0.14471986461690084</v>
      </c>
      <c r="BR381" s="61">
        <f>IF(ISERROR((BQ381/BI381-1)*100),"NA",IF(((BQ381/BI381-1)*100)&gt;100,"NM",IF(((BQ381/BI381-1)*100)&lt;-50,"NM",(BQ381/BI381-1)*100)))</f>
        <v>-9.5800008655205886</v>
      </c>
      <c r="BS381" s="82">
        <f>BS375/BS364*400</f>
        <v>0.12144212523719165</v>
      </c>
      <c r="BT381" s="61">
        <f>IF(ISERROR((BS381/BK381-1)*100),"NA",IF(((BS381/BK381-1)*100)&gt;100,"NM",IF(((BS381/BK381-1)*100)&lt;-50,"NM",(BS381/BK381-1)*100)))</f>
        <v>-22.158752063875397</v>
      </c>
      <c r="BU381" s="82">
        <f>BU375/BU364*400</f>
        <v>9.575618494151443E-2</v>
      </c>
      <c r="BV381" s="61">
        <f>IF(ISERROR((BU381/BM381-1)*100),"NA",IF(((BU381/BM381-1)*100)&gt;100,"NM",IF(((BU381/BM381-1)*100)&lt;-50,"NM",(BU381/BM381-1)*100)))</f>
        <v>-28.544649782937558</v>
      </c>
      <c r="BW381" s="82">
        <f>BW375/BW364*400</f>
        <v>0.13765608545208363</v>
      </c>
      <c r="BX381" s="61">
        <f>IF(ISERROR((BW381/BO381-1)*100),"NA",IF(((BW381/BO381-1)*100)&gt;100,"NM",IF(((BW381/BO381-1)*100)&lt;-50,"NM",(BW381/BO381-1)*100)))</f>
        <v>17.018382391956678</v>
      </c>
      <c r="BY381" s="82">
        <f>BY375/BY364*400</f>
        <v>0.17360066376724384</v>
      </c>
      <c r="BZ381" s="61">
        <f>IF(ISERROR((BY381/BQ381-1)*100),"NA",IF(((BY381/BQ381-1)*100)&gt;100,"NM",IF(((BY381/BQ381-1)*100)&lt;-50,"NM",(BY381/BQ381-1)*100)))</f>
        <v>19.956347545511875</v>
      </c>
      <c r="CA381" s="82"/>
      <c r="CB381" s="61"/>
      <c r="CC381" s="82"/>
      <c r="CD381" s="61"/>
      <c r="CE381" s="82"/>
      <c r="CF381" s="61"/>
      <c r="CG381" s="82"/>
      <c r="CH381" s="61"/>
      <c r="CI381" s="82"/>
      <c r="CJ381" s="61"/>
      <c r="CK381" s="82"/>
      <c r="CL381" s="61"/>
      <c r="CM381" s="82"/>
      <c r="CN381" s="61"/>
      <c r="CO381" s="82"/>
      <c r="CP381" s="61"/>
      <c r="CQ381" s="82"/>
      <c r="CR381" s="61"/>
      <c r="CS381" s="82"/>
      <c r="CT381" s="61"/>
      <c r="CU381" s="82"/>
      <c r="CV381" s="61"/>
      <c r="CW381" s="82"/>
      <c r="CX381" s="61"/>
      <c r="CY381" s="82"/>
      <c r="CZ381" s="61"/>
      <c r="DA381" s="82"/>
      <c r="DB381" s="61"/>
      <c r="DC381" s="82"/>
      <c r="DD381" s="61"/>
      <c r="DE381" s="82"/>
      <c r="DF381" s="61"/>
      <c r="DG381" s="82"/>
      <c r="DH381" s="61"/>
      <c r="DI381" s="82"/>
      <c r="DJ381" s="61"/>
      <c r="DK381" s="82"/>
      <c r="DL381" s="61"/>
      <c r="DM381" s="82"/>
      <c r="DN381" s="61"/>
      <c r="DO381" s="82"/>
      <c r="DP381" s="61"/>
      <c r="DQ381" s="82"/>
      <c r="DR381" s="61"/>
      <c r="DS381" s="82"/>
      <c r="DT381" s="61"/>
      <c r="DU381" s="82"/>
      <c r="DV381" s="61"/>
      <c r="DW381" s="82"/>
      <c r="DX381" s="82"/>
      <c r="DY381" s="82"/>
      <c r="DZ381" s="61"/>
      <c r="EA381" s="82"/>
      <c r="EB381" s="61"/>
      <c r="EC381" s="82"/>
      <c r="ED381" s="61"/>
      <c r="EE381" s="82"/>
      <c r="EF381" s="61"/>
      <c r="EG381" s="82"/>
      <c r="EH381" s="61"/>
      <c r="EI381" s="82"/>
      <c r="EJ381" s="61"/>
      <c r="EK381" s="82"/>
      <c r="EL381" s="61"/>
      <c r="EM381" s="82"/>
      <c r="EN381" s="61"/>
      <c r="EO381" s="82"/>
      <c r="EP381" s="61"/>
      <c r="EQ381" s="110"/>
      <c r="ER381" s="61"/>
      <c r="ES381" s="110"/>
      <c r="ET381" s="61"/>
      <c r="EU381" s="110"/>
      <c r="EV381" s="61"/>
      <c r="EW381" s="110"/>
      <c r="EX381" s="61"/>
      <c r="EY381" s="64"/>
      <c r="EZ381" s="558"/>
      <c r="FA381" s="64"/>
      <c r="FB381" s="82"/>
      <c r="FC381" s="71"/>
      <c r="FD381" s="82"/>
      <c r="FE381" s="70"/>
      <c r="FF381" s="82"/>
      <c r="FG381" s="70"/>
      <c r="FH381" s="82"/>
      <c r="FI381" s="70"/>
      <c r="FJ381" s="82"/>
      <c r="FK381" s="70"/>
      <c r="FL381" s="82"/>
      <c r="FM381" s="61"/>
      <c r="FN381" s="82"/>
      <c r="FO381" s="61"/>
      <c r="FP381" s="111">
        <f>FP375/FP364*100</f>
        <v>0.17972158736754623</v>
      </c>
      <c r="FQ381" s="61" t="str">
        <f>IF(ISERROR((FP381/FN381-1)*100),"NA",IF(((FP381/FN381-1)*100)&gt;100,"NM",IF(((FP381/FN381-1)*100)&lt;-50,"NM",(FP381/FN381-1)*100)))</f>
        <v>NA</v>
      </c>
      <c r="FR381" s="111">
        <f>FR375/FR364*100</f>
        <v>0.15856865210929461</v>
      </c>
      <c r="FS381" s="61">
        <f>IF(ISERROR((FR381/FP381-1)*100),"NA",IF(((FR381/FP381-1)*100)&gt;100,"NM",IF(((FR381/FP381-1)*100)&lt;-50,"NM",(FR381/FP381-1)*100)))</f>
        <v>-11.769835537337004</v>
      </c>
      <c r="FT381" s="111">
        <f>FT375/FT364*100</f>
        <v>0.16025730510869021</v>
      </c>
      <c r="FU381" s="61">
        <f>IF(ISERROR((FT381/FR381-1)*100),"NA",IF(((FT381/FR381-1)*100)&gt;100,"NM",IF(((FT381/FR381-1)*100)&lt;-50,"NM",(FT381/FR381-1)*100)))</f>
        <v>1.0649349521062224</v>
      </c>
      <c r="FV381" s="111">
        <f>FV375/FV364*100</f>
        <v>0.12594800534671441</v>
      </c>
      <c r="FW381" s="61">
        <f>IF(ISERROR((FV381/FT381-1)*100),"NA",IF(((FV381/FT381-1)*100)&gt;100,"NM",IF(((FV381/FT381-1)*100)&lt;-50,"NM",(FV381/FT381-1)*100)))</f>
        <v>-21.408883506874421</v>
      </c>
      <c r="FX381" s="111">
        <f>FX375/FX364*100</f>
        <v>7.4905034294407036E-2</v>
      </c>
      <c r="FY381" s="61">
        <f>IF(ISERROR((FX381/FV381-1)*100),"NA",IF(((FX381/FV381-1)*100)&gt;100,"NM",IF(((FX381/FV381-1)*100)&lt;-50,"NM",(FX381/FV381-1)*100)))</f>
        <v>-40.527018202308454</v>
      </c>
      <c r="FZ381" s="111"/>
      <c r="GA381" s="61"/>
      <c r="GB381" s="111"/>
      <c r="GC381" s="61"/>
      <c r="GD381" s="111"/>
      <c r="GE381" s="61"/>
      <c r="GF381" s="111"/>
      <c r="GG381" s="61"/>
      <c r="GH381" s="111"/>
      <c r="GI381" s="61"/>
      <c r="GJ381" s="111"/>
      <c r="GK381" s="61"/>
      <c r="GL381" s="111"/>
      <c r="GM381" s="61"/>
      <c r="GN381" s="111"/>
      <c r="GO381" s="61"/>
      <c r="GP381" s="111"/>
      <c r="GQ381" s="61"/>
      <c r="GR381" s="110"/>
      <c r="GS381" s="61"/>
      <c r="GT381" s="110"/>
      <c r="GU381" s="61"/>
      <c r="GV381" s="110"/>
      <c r="GW381" s="61"/>
      <c r="GX381" s="110"/>
      <c r="GY381" s="61"/>
      <c r="GZ381" s="61"/>
      <c r="HA381" s="61"/>
      <c r="HB381" s="452"/>
      <c r="HC381"/>
      <c r="HD381"/>
      <c r="HE381"/>
      <c r="HF381"/>
      <c r="HG381"/>
      <c r="HH381"/>
    </row>
    <row r="382" spans="2:216" s="5" customFormat="1" ht="12.75" hidden="1" customHeight="1" outlineLevel="1" x14ac:dyDescent="0.2">
      <c r="B382" s="2" t="s">
        <v>108</v>
      </c>
      <c r="C382" s="82"/>
      <c r="D382" s="70"/>
      <c r="E382" s="82"/>
      <c r="F382" s="71"/>
      <c r="G382" s="82"/>
      <c r="H382" s="71"/>
      <c r="I382" s="82"/>
      <c r="J382" s="61"/>
      <c r="K382" s="82"/>
      <c r="L382" s="61"/>
      <c r="M382" s="82"/>
      <c r="N382" s="61"/>
      <c r="O382" s="82"/>
      <c r="P382" s="61"/>
      <c r="Q382" s="82"/>
      <c r="R382" s="61"/>
      <c r="S382" s="82"/>
      <c r="T382" s="61"/>
      <c r="U382" s="82"/>
      <c r="V382" s="61"/>
      <c r="W382" s="82"/>
      <c r="X382" s="61"/>
      <c r="Y382" s="82"/>
      <c r="Z382" s="61"/>
      <c r="AA382" s="82"/>
      <c r="AB382" s="61"/>
      <c r="AC382" s="82"/>
      <c r="AD382" s="61"/>
      <c r="AE382" s="82"/>
      <c r="AF382" s="61"/>
      <c r="AG382" s="82"/>
      <c r="AH382" s="61"/>
      <c r="AI382" s="82"/>
      <c r="AJ382" s="61"/>
      <c r="AK382" s="82"/>
      <c r="AL382" s="61"/>
      <c r="AM382" s="82"/>
      <c r="AN382" s="61"/>
      <c r="AO382" s="82"/>
      <c r="AP382" s="61"/>
      <c r="AQ382" s="82">
        <f>AQ376/AQ364*400</f>
        <v>0.75655488723098507</v>
      </c>
      <c r="AR382" s="61" t="str">
        <f>IF(ISERROR((AQ382/AI382-1)*100),"NA",IF(((AQ382/AI382-1)*100)&gt;100,"NM",IF(((AQ382/AI382-1)*100)&lt;-50,"NM",(AQ382/AI382-1)*100)))</f>
        <v>NA</v>
      </c>
      <c r="AS382" s="82">
        <f>AS376/AS364*400</f>
        <v>0.72738245547164715</v>
      </c>
      <c r="AT382" s="61" t="str">
        <f>IF(ISERROR((AS382/AK382-1)*100),"NA",IF(((AS382/AK382-1)*100)&gt;100,"NM",IF(((AS382/AK382-1)*100)&lt;-50,"NM",(AS382/AK382-1)*100)))</f>
        <v>NA</v>
      </c>
      <c r="AU382" s="82">
        <f>AU376/AU364*400</f>
        <v>0.70394290811775206</v>
      </c>
      <c r="AV382" s="61" t="str">
        <f>IF(ISERROR((AU382/AM382-1)*100),"NA",IF(((AU382/AM382-1)*100)&gt;100,"NM",IF(((AU382/AM382-1)*100)&lt;-50,"NM",(AU382/AM382-1)*100)))</f>
        <v>NA</v>
      </c>
      <c r="AW382" s="82">
        <f>AW376/AW364*400</f>
        <v>0.67856361865254755</v>
      </c>
      <c r="AX382" s="61" t="str">
        <f>IF(ISERROR((AW382/AO382-1)*100),"NA",IF(((AW382/AO382-1)*100)&gt;100,"NM",IF(((AW382/AO382-1)*100)&lt;-50,"NM",(AW382/AO382-1)*100)))</f>
        <v>NA</v>
      </c>
      <c r="AY382" s="82">
        <f>AY376/AY364*400</f>
        <v>0.68072241422397783</v>
      </c>
      <c r="AZ382" s="61">
        <f>IF(ISERROR((AY382/AQ382-1)*100),"NA",IF(((AY382/AQ382-1)*100)&gt;100,"NM",IF(((AY382/AQ382-1)*100)&lt;-50,"NM",(AY382/AQ382-1)*100)))</f>
        <v>-10.023393449291762</v>
      </c>
      <c r="BA382" s="82">
        <f>BA376/BA364*400</f>
        <v>0.62523208317861123</v>
      </c>
      <c r="BB382" s="61">
        <f>IF(ISERROR((BA382/AS382-1)*100),"NA",IF(((BA382/AS382-1)*100)&gt;100,"NM",IF(((BA382/AS382-1)*100)&lt;-50,"NM",(BA382/AS382-1)*100)))</f>
        <v>-14.04355735069247</v>
      </c>
      <c r="BC382" s="82">
        <f>BC376/BC364*400</f>
        <v>0.64023712486105966</v>
      </c>
      <c r="BD382" s="61">
        <f>IF(ISERROR((BC382/AU382-1)*100),"NA",IF(((BC382/AU382-1)*100)&gt;100,"NM",IF(((BC382/AU382-1)*100)&lt;-50,"NM",(BC382/AU382-1)*100)))</f>
        <v>-9.0498508504095909</v>
      </c>
      <c r="BE382" s="82">
        <f>BE376/BE364*400</f>
        <v>0.63762592469676371</v>
      </c>
      <c r="BF382" s="61">
        <f>IF(ISERROR((BE382/AW382-1)*100),"NA",IF(((BE382/AW382-1)*100)&gt;100,"NM",IF(((BE382/AW382-1)*100)&lt;-50,"NM",(BE382/AW382-1)*100)))</f>
        <v>-6.0329927556498797</v>
      </c>
      <c r="BG382" s="82">
        <f>BG376/BG364*400</f>
        <v>0.63382809365960779</v>
      </c>
      <c r="BH382" s="61">
        <f>IF(ISERROR((BG382/AY382-1)*100),"NA",IF(((BG382/AY382-1)*100)&gt;100,"NM",IF(((BG382/AY382-1)*100)&lt;-50,"NM",(BG382/AY382-1)*100)))</f>
        <v>-6.8889050197986297</v>
      </c>
      <c r="BI382" s="82">
        <f>BI376/BI364*400</f>
        <v>0.6244959573192167</v>
      </c>
      <c r="BJ382" s="61">
        <f>IF(ISERROR((BI382/BA382-1)*100),"NA",IF(((BI382/BA382-1)*100)&gt;100,"NM",IF(((BI382/BA382-1)*100)&lt;-50,"NM",(BI382/BA382-1)*100)))</f>
        <v>-0.1177364180756979</v>
      </c>
      <c r="BK382" s="82">
        <f>BK376/BK364*400</f>
        <v>0.60824637827980954</v>
      </c>
      <c r="BL382" s="61">
        <f>IF(ISERROR((BK382/BC382-1)*100),"NA",IF(((BK382/BC382-1)*100)&gt;100,"NM",IF(((BK382/BC382-1)*100)&lt;-50,"NM",(BK382/BC382-1)*100)))</f>
        <v>-4.9967028369672484</v>
      </c>
      <c r="BM382" s="82">
        <f>BM376/BM364*400</f>
        <v>0.60087645828717784</v>
      </c>
      <c r="BN382" s="61">
        <f>IF(ISERROR((BM382/BE382-1)*100),"NA",IF(((BM382/BE382-1)*100)&gt;100,"NM",IF(((BM382/BE382-1)*100)&lt;-50,"NM",(BM382/BE382-1)*100)))</f>
        <v>-5.7634837270869816</v>
      </c>
      <c r="BO382" s="82">
        <f>BO376/BO364*400</f>
        <v>0.587205222856097</v>
      </c>
      <c r="BP382" s="61">
        <f>IF(ISERROR((BO382/BG382-1)*100),"NA",IF(((BO382/BG382-1)*100)&gt;100,"NM",IF(((BO382/BG382-1)*100)&lt;-50,"NM",(BO382/BG382-1)*100)))</f>
        <v>-7.35575959316016</v>
      </c>
      <c r="BQ382" s="82">
        <f>BQ376/BQ364*400</f>
        <v>0.64475552587386298</v>
      </c>
      <c r="BR382" s="61">
        <f>IF(ISERROR((BQ382/BI382-1)*100),"NA",IF(((BQ382/BI382-1)*100)&gt;100,"NM",IF(((BQ382/BI382-1)*100)&lt;-50,"NM",(BQ382/BI382-1)*100)))</f>
        <v>3.2441472706428387</v>
      </c>
      <c r="BS382" s="82">
        <f>BS376/BS364*400</f>
        <v>0.6178930353503409</v>
      </c>
      <c r="BT382" s="61">
        <f>IF(ISERROR((BS382/BK382-1)*100),"NA",IF(((BS382/BK382-1)*100)&gt;100,"NM",IF(((BS382/BK382-1)*100)&lt;-50,"NM",(BS382/BK382-1)*100)))</f>
        <v>1.5859785466891152</v>
      </c>
      <c r="BU382" s="82">
        <f>BU376/BU364*400</f>
        <v>0.54944238531958633</v>
      </c>
      <c r="BV382" s="61">
        <f>IF(ISERROR((BU382/BM382-1)*100),"NA",IF(((BU382/BM382-1)*100)&gt;100,"NM",IF(((BU382/BM382-1)*100)&lt;-50,"NM",(BU382/BM382-1)*100)))</f>
        <v>-8.5598415877710323</v>
      </c>
      <c r="BW382" s="82">
        <f>BW376/BW364*400</f>
        <v>0.61606739882653827</v>
      </c>
      <c r="BX382" s="61">
        <f>IF(ISERROR((BW382/BO382-1)*100),"NA",IF(((BW382/BO382-1)*100)&gt;100,"NM",IF(((BW382/BO382-1)*100)&lt;-50,"NM",(BW382/BO382-1)*100)))</f>
        <v>4.9151769853236438</v>
      </c>
      <c r="BY382" s="82">
        <f>BY376/BY364*400</f>
        <v>0.66814373113779546</v>
      </c>
      <c r="BZ382" s="61">
        <f>IF(ISERROR((BY382/BQ382-1)*100),"NA",IF(((BY382/BQ382-1)*100)&gt;100,"NM",IF(((BY382/BQ382-1)*100)&lt;-50,"NM",(BY382/BQ382-1)*100)))</f>
        <v>3.6274532478389299</v>
      </c>
      <c r="CA382" s="82"/>
      <c r="CB382" s="61"/>
      <c r="CC382" s="82"/>
      <c r="CD382" s="61"/>
      <c r="CE382" s="82"/>
      <c r="CF382" s="61"/>
      <c r="CG382" s="82"/>
      <c r="CH382" s="61"/>
      <c r="CI382" s="82"/>
      <c r="CJ382" s="61"/>
      <c r="CK382" s="82"/>
      <c r="CL382" s="61"/>
      <c r="CM382" s="82"/>
      <c r="CN382" s="61"/>
      <c r="CO382" s="82"/>
      <c r="CP382" s="61"/>
      <c r="CQ382" s="82"/>
      <c r="CR382" s="61"/>
      <c r="CS382" s="82"/>
      <c r="CT382" s="61"/>
      <c r="CU382" s="82"/>
      <c r="CV382" s="61"/>
      <c r="CW382" s="82"/>
      <c r="CX382" s="61"/>
      <c r="CY382" s="82"/>
      <c r="CZ382" s="61"/>
      <c r="DA382" s="82"/>
      <c r="DB382" s="61"/>
      <c r="DC382" s="82"/>
      <c r="DD382" s="61"/>
      <c r="DE382" s="82"/>
      <c r="DF382" s="61"/>
      <c r="DG382" s="82"/>
      <c r="DH382" s="61"/>
      <c r="DI382" s="82"/>
      <c r="DJ382" s="61"/>
      <c r="DK382" s="82"/>
      <c r="DL382" s="61"/>
      <c r="DM382" s="82"/>
      <c r="DN382" s="61"/>
      <c r="DO382" s="82"/>
      <c r="DP382" s="61"/>
      <c r="DQ382" s="82"/>
      <c r="DR382" s="61"/>
      <c r="DS382" s="82"/>
      <c r="DT382" s="61"/>
      <c r="DU382" s="82"/>
      <c r="DV382" s="61"/>
      <c r="DW382" s="82"/>
      <c r="DX382" s="82"/>
      <c r="DY382" s="82"/>
      <c r="DZ382" s="61"/>
      <c r="EA382" s="82"/>
      <c r="EB382" s="61"/>
      <c r="EC382" s="82"/>
      <c r="ED382" s="61"/>
      <c r="EE382" s="82"/>
      <c r="EF382" s="61"/>
      <c r="EG382" s="82"/>
      <c r="EH382" s="61"/>
      <c r="EI382" s="82"/>
      <c r="EJ382" s="61"/>
      <c r="EK382" s="82"/>
      <c r="EL382" s="61"/>
      <c r="EM382" s="82"/>
      <c r="EN382" s="61"/>
      <c r="EO382" s="82"/>
      <c r="EP382" s="61"/>
      <c r="EQ382" s="82"/>
      <c r="ER382" s="61"/>
      <c r="ES382" s="82"/>
      <c r="ET382" s="61"/>
      <c r="EU382" s="82"/>
      <c r="EV382" s="61"/>
      <c r="EW382" s="82"/>
      <c r="EX382" s="61"/>
      <c r="EY382" s="64"/>
      <c r="EZ382" s="558"/>
      <c r="FA382" s="64"/>
      <c r="FB382" s="82"/>
      <c r="FC382" s="71"/>
      <c r="FD382" s="82"/>
      <c r="FE382" s="70"/>
      <c r="FF382" s="82"/>
      <c r="FG382" s="70"/>
      <c r="FH382" s="82"/>
      <c r="FI382" s="70"/>
      <c r="FJ382" s="82"/>
      <c r="FK382" s="70"/>
      <c r="FL382" s="82"/>
      <c r="FM382" s="61"/>
      <c r="FN382" s="82"/>
      <c r="FO382" s="61"/>
      <c r="FP382" s="111">
        <f>FP376/FP364*100</f>
        <v>0.70597488943634801</v>
      </c>
      <c r="FQ382" s="61" t="str">
        <f>IF(ISERROR((FP382/FN382-1)*100),"NA",IF(((FP382/FN382-1)*100)&gt;100,"NM",IF(((FP382/FN382-1)*100)&lt;-50,"NM",(FP382/FN382-1)*100)))</f>
        <v>NA</v>
      </c>
      <c r="FR382" s="111">
        <f>FR376/FR364*100</f>
        <v>0.64433520064021954</v>
      </c>
      <c r="FS382" s="61">
        <f>IF(ISERROR((FR382/FP382-1)*100),"NA",IF(((FR382/FP382-1)*100)&gt;100,"NM",IF(((FR382/FP382-1)*100)&lt;-50,"NM",(FR382/FP382-1)*100)))</f>
        <v>-8.7311446509580115</v>
      </c>
      <c r="FT382" s="111">
        <f>FT376/FT364*100</f>
        <v>0.65912098588953971</v>
      </c>
      <c r="FU382" s="61">
        <f>IF(ISERROR((FT382/FR382-1)*100),"NA",IF(((FT382/FR382-1)*100)&gt;100,"NM",IF(((FT382/FR382-1)*100)&lt;-50,"NM",(FT382/FR382-1)*100)))</f>
        <v>2.2947349818275953</v>
      </c>
      <c r="FV382" s="111">
        <f>FV376/FV364*100</f>
        <v>0.62573713893594674</v>
      </c>
      <c r="FW382" s="61">
        <f>IF(ISERROR((FV382/FT382-1)*100),"NA",IF(((FV382/FT382-1)*100)&gt;100,"NM",IF(((FV382/FT382-1)*100)&lt;-50,"NM",(FV382/FT382-1)*100)))</f>
        <v>-5.0649042692122226</v>
      </c>
      <c r="FX382" s="111">
        <f>FX376/FX364*100</f>
        <v>0.30869414370735437</v>
      </c>
      <c r="FY382" s="61" t="str">
        <f>IF(ISERROR((FX382/FV382-1)*100),"NA",IF(((FX382/FV382-1)*100)&gt;100,"NM",IF(((FX382/FV382-1)*100)&lt;-50,"NM",(FX382/FV382-1)*100)))</f>
        <v>NM</v>
      </c>
      <c r="FZ382" s="111"/>
      <c r="GA382" s="61"/>
      <c r="GB382" s="111"/>
      <c r="GC382" s="61"/>
      <c r="GD382" s="111"/>
      <c r="GE382" s="61"/>
      <c r="GF382" s="111"/>
      <c r="GG382" s="61"/>
      <c r="GH382" s="111"/>
      <c r="GI382" s="61"/>
      <c r="GJ382" s="111"/>
      <c r="GK382" s="61"/>
      <c r="GL382" s="111"/>
      <c r="GM382" s="61"/>
      <c r="GN382" s="111"/>
      <c r="GO382" s="61"/>
      <c r="GP382" s="111"/>
      <c r="GQ382" s="61"/>
      <c r="GR382" s="82"/>
      <c r="GS382" s="61"/>
      <c r="GT382" s="82"/>
      <c r="GU382" s="61"/>
      <c r="GV382" s="82"/>
      <c r="GW382" s="61"/>
      <c r="GX382" s="82"/>
      <c r="GY382" s="61"/>
      <c r="GZ382" s="61"/>
      <c r="HA382" s="61"/>
      <c r="HB382" s="452"/>
      <c r="HC382"/>
      <c r="HD382"/>
      <c r="HE382"/>
      <c r="HF382"/>
      <c r="HG382"/>
      <c r="HH382"/>
    </row>
    <row r="383" spans="2:216" s="5" customFormat="1" ht="12.75" hidden="1" customHeight="1" outlineLevel="1" x14ac:dyDescent="0.2">
      <c r="B383" s="2"/>
      <c r="C383" s="66"/>
      <c r="D383" s="67"/>
      <c r="E383" s="66"/>
      <c r="F383" s="66"/>
      <c r="G383" s="64"/>
      <c r="H383" s="66"/>
      <c r="I383" s="64"/>
      <c r="J383" s="66"/>
      <c r="K383" s="64"/>
      <c r="L383" s="61"/>
      <c r="M383" s="66"/>
      <c r="N383" s="61"/>
      <c r="O383" s="64"/>
      <c r="P383" s="61"/>
      <c r="Q383" s="64"/>
      <c r="R383" s="61"/>
      <c r="S383" s="64"/>
      <c r="T383" s="61"/>
      <c r="U383" s="64"/>
      <c r="V383" s="61"/>
      <c r="W383" s="64"/>
      <c r="X383" s="61"/>
      <c r="Y383" s="64"/>
      <c r="Z383" s="61"/>
      <c r="AA383" s="64"/>
      <c r="AB383" s="61"/>
      <c r="AC383" s="64"/>
      <c r="AD383" s="61"/>
      <c r="AE383" s="64"/>
      <c r="AF383" s="61"/>
      <c r="AG383" s="64"/>
      <c r="AH383" s="61"/>
      <c r="AI383" s="64"/>
      <c r="AJ383" s="61"/>
      <c r="AK383" s="64"/>
      <c r="AL383" s="61"/>
      <c r="AM383" s="64"/>
      <c r="AN383" s="61"/>
      <c r="AO383" s="64"/>
      <c r="AP383" s="61"/>
      <c r="AQ383" s="64"/>
      <c r="AR383" s="61"/>
      <c r="AS383" s="64"/>
      <c r="AT383" s="61"/>
      <c r="AU383" s="64"/>
      <c r="AV383" s="61"/>
      <c r="AW383" s="64"/>
      <c r="AX383" s="61"/>
      <c r="AY383" s="64"/>
      <c r="AZ383" s="61"/>
      <c r="BA383" s="64"/>
      <c r="BB383" s="61"/>
      <c r="BC383" s="64"/>
      <c r="BD383" s="61"/>
      <c r="BE383" s="64"/>
      <c r="BF383" s="61"/>
      <c r="BG383" s="64"/>
      <c r="BH383" s="61"/>
      <c r="BI383" s="64"/>
      <c r="BJ383" s="61"/>
      <c r="BK383" s="64"/>
      <c r="BL383" s="61"/>
      <c r="BM383" s="64"/>
      <c r="BN383" s="61"/>
      <c r="BO383" s="64"/>
      <c r="BP383" s="61"/>
      <c r="BQ383" s="64"/>
      <c r="BR383" s="61"/>
      <c r="BS383" s="64"/>
      <c r="BT383" s="61"/>
      <c r="BU383" s="64"/>
      <c r="BV383" s="61"/>
      <c r="BW383" s="64"/>
      <c r="BX383" s="61"/>
      <c r="BY383" s="64"/>
      <c r="BZ383" s="61"/>
      <c r="CA383" s="64"/>
      <c r="CB383" s="61"/>
      <c r="CC383" s="64"/>
      <c r="CD383" s="61"/>
      <c r="CE383" s="64"/>
      <c r="CF383" s="61"/>
      <c r="CG383" s="64"/>
      <c r="CH383" s="61"/>
      <c r="CI383" s="64"/>
      <c r="CJ383" s="61"/>
      <c r="CK383" s="64"/>
      <c r="CL383" s="61"/>
      <c r="CM383" s="64"/>
      <c r="CN383" s="61"/>
      <c r="CO383" s="64"/>
      <c r="CP383" s="61"/>
      <c r="CQ383" s="64"/>
      <c r="CR383" s="61"/>
      <c r="CS383" s="64"/>
      <c r="CT383" s="61"/>
      <c r="CU383" s="64"/>
      <c r="CV383" s="61"/>
      <c r="CW383" s="64"/>
      <c r="CX383" s="61"/>
      <c r="CY383" s="64"/>
      <c r="CZ383" s="61"/>
      <c r="DA383" s="64"/>
      <c r="DB383" s="61"/>
      <c r="DC383" s="64"/>
      <c r="DD383" s="61"/>
      <c r="DE383" s="64"/>
      <c r="DF383" s="61"/>
      <c r="DG383" s="64"/>
      <c r="DH383" s="61"/>
      <c r="DI383" s="64"/>
      <c r="DJ383" s="61"/>
      <c r="DK383" s="64"/>
      <c r="DL383" s="61"/>
      <c r="DM383" s="64"/>
      <c r="DN383" s="61"/>
      <c r="DO383" s="64"/>
      <c r="DP383" s="61"/>
      <c r="DQ383" s="64"/>
      <c r="DR383" s="61"/>
      <c r="DS383" s="64"/>
      <c r="DT383" s="61"/>
      <c r="DU383" s="64"/>
      <c r="DV383" s="61"/>
      <c r="DW383" s="64"/>
      <c r="DX383" s="64"/>
      <c r="DY383" s="64"/>
      <c r="DZ383" s="61"/>
      <c r="EA383" s="64"/>
      <c r="EB383" s="61"/>
      <c r="EC383" s="64"/>
      <c r="ED383" s="61"/>
      <c r="EE383" s="64"/>
      <c r="EF383" s="61"/>
      <c r="EG383" s="64"/>
      <c r="EH383" s="61"/>
      <c r="EI383" s="64"/>
      <c r="EJ383" s="61"/>
      <c r="EK383" s="64"/>
      <c r="EL383" s="61"/>
      <c r="EM383" s="64"/>
      <c r="EN383" s="61"/>
      <c r="EO383" s="64"/>
      <c r="EP383" s="61"/>
      <c r="EQ383" s="64"/>
      <c r="ER383" s="61"/>
      <c r="ES383" s="64"/>
      <c r="ET383" s="61"/>
      <c r="EU383" s="64"/>
      <c r="EV383" s="61"/>
      <c r="EW383" s="64"/>
      <c r="EX383" s="61"/>
      <c r="EY383" s="64"/>
      <c r="EZ383" s="558"/>
      <c r="FA383" s="64"/>
      <c r="FB383" s="66"/>
      <c r="FC383" s="66"/>
      <c r="FD383" s="66"/>
      <c r="FE383" s="67"/>
      <c r="FF383" s="66"/>
      <c r="FG383" s="67"/>
      <c r="FH383" s="66"/>
      <c r="FI383" s="67"/>
      <c r="FJ383" s="66"/>
      <c r="FK383" s="67"/>
      <c r="FL383" s="66"/>
      <c r="FM383" s="61"/>
      <c r="FN383" s="66"/>
      <c r="FO383" s="61"/>
      <c r="FP383" s="65"/>
      <c r="FQ383" s="61"/>
      <c r="FR383" s="65"/>
      <c r="FS383" s="61"/>
      <c r="FT383" s="65"/>
      <c r="FU383" s="61"/>
      <c r="FV383" s="65"/>
      <c r="FW383" s="61"/>
      <c r="FX383" s="65"/>
      <c r="FY383" s="61"/>
      <c r="FZ383" s="65"/>
      <c r="GA383" s="61"/>
      <c r="GB383" s="65"/>
      <c r="GC383" s="61"/>
      <c r="GD383" s="65"/>
      <c r="GE383" s="61"/>
      <c r="GF383" s="65"/>
      <c r="GG383" s="61"/>
      <c r="GH383" s="65"/>
      <c r="GI383" s="61"/>
      <c r="GJ383" s="65"/>
      <c r="GK383" s="61"/>
      <c r="GL383" s="65"/>
      <c r="GM383" s="61"/>
      <c r="GN383" s="65"/>
      <c r="GO383" s="61"/>
      <c r="GP383" s="65"/>
      <c r="GQ383" s="61"/>
      <c r="GR383" s="64"/>
      <c r="GS383" s="61"/>
      <c r="GT383" s="64"/>
      <c r="GU383" s="61"/>
      <c r="GV383" s="64"/>
      <c r="GW383" s="61"/>
      <c r="GX383" s="64"/>
      <c r="GY383" s="61"/>
      <c r="GZ383" s="61"/>
      <c r="HA383" s="61"/>
      <c r="HB383" s="452"/>
      <c r="HC383"/>
      <c r="HD383"/>
      <c r="HE383"/>
      <c r="HF383"/>
      <c r="HG383"/>
      <c r="HH383"/>
    </row>
    <row r="384" spans="2:216" s="5" customFormat="1" ht="12.75" hidden="1" customHeight="1" outlineLevel="1" x14ac:dyDescent="0.2">
      <c r="B384" s="63" t="s">
        <v>624</v>
      </c>
      <c r="C384" s="59"/>
      <c r="D384" s="60"/>
      <c r="E384" s="59"/>
      <c r="F384" s="59"/>
      <c r="G384" s="64"/>
      <c r="H384" s="59"/>
      <c r="I384" s="64"/>
      <c r="J384" s="59"/>
      <c r="K384" s="64"/>
      <c r="L384" s="61"/>
      <c r="M384" s="59"/>
      <c r="N384" s="61"/>
      <c r="O384" s="64"/>
      <c r="P384" s="61"/>
      <c r="Q384" s="64"/>
      <c r="R384" s="61"/>
      <c r="S384" s="64"/>
      <c r="T384" s="61"/>
      <c r="U384" s="64"/>
      <c r="V384" s="61"/>
      <c r="W384" s="64"/>
      <c r="X384" s="61"/>
      <c r="Y384" s="64"/>
      <c r="Z384" s="61"/>
      <c r="AA384" s="64"/>
      <c r="AB384" s="61"/>
      <c r="AC384" s="64"/>
      <c r="AD384" s="61"/>
      <c r="AE384" s="64"/>
      <c r="AF384" s="61"/>
      <c r="AG384" s="64"/>
      <c r="AH384" s="61"/>
      <c r="AI384" s="64"/>
      <c r="AJ384" s="61"/>
      <c r="AK384" s="64"/>
      <c r="AL384" s="61"/>
      <c r="AM384" s="64"/>
      <c r="AN384" s="61"/>
      <c r="AO384" s="64"/>
      <c r="AP384" s="61"/>
      <c r="AQ384" s="64"/>
      <c r="AR384" s="61"/>
      <c r="AS384" s="64"/>
      <c r="AT384" s="61"/>
      <c r="AU384" s="64"/>
      <c r="AV384" s="61"/>
      <c r="AW384" s="64"/>
      <c r="AX384" s="61"/>
      <c r="AY384" s="64"/>
      <c r="AZ384" s="61"/>
      <c r="BA384" s="64"/>
      <c r="BB384" s="61"/>
      <c r="BC384" s="64"/>
      <c r="BD384" s="61"/>
      <c r="BE384" s="64"/>
      <c r="BF384" s="61"/>
      <c r="BG384" s="64"/>
      <c r="BH384" s="61"/>
      <c r="BI384" s="64"/>
      <c r="BJ384" s="61"/>
      <c r="BK384" s="64"/>
      <c r="BL384" s="61"/>
      <c r="BM384" s="64"/>
      <c r="BN384" s="61"/>
      <c r="BO384" s="64"/>
      <c r="BP384" s="61"/>
      <c r="BQ384" s="64"/>
      <c r="BR384" s="61"/>
      <c r="BS384" s="64"/>
      <c r="BT384" s="61"/>
      <c r="BU384" s="64"/>
      <c r="BV384" s="61"/>
      <c r="BW384" s="64"/>
      <c r="BX384" s="61"/>
      <c r="BY384" s="64"/>
      <c r="BZ384" s="61"/>
      <c r="CA384" s="64"/>
      <c r="CB384" s="61"/>
      <c r="CC384" s="64"/>
      <c r="CD384" s="61"/>
      <c r="CE384" s="64"/>
      <c r="CF384" s="61"/>
      <c r="CG384" s="64"/>
      <c r="CH384" s="61"/>
      <c r="CI384" s="64"/>
      <c r="CJ384" s="61"/>
      <c r="CK384" s="64"/>
      <c r="CL384" s="61"/>
      <c r="CM384" s="64"/>
      <c r="CN384" s="61"/>
      <c r="CO384" s="64"/>
      <c r="CP384" s="61"/>
      <c r="CQ384" s="64"/>
      <c r="CR384" s="61"/>
      <c r="CS384" s="64"/>
      <c r="CT384" s="61"/>
      <c r="CU384" s="64"/>
      <c r="CV384" s="61"/>
      <c r="CW384" s="64"/>
      <c r="CX384" s="61"/>
      <c r="CY384" s="64"/>
      <c r="CZ384" s="61"/>
      <c r="DA384" s="64"/>
      <c r="DB384" s="61"/>
      <c r="DC384" s="64"/>
      <c r="DD384" s="61"/>
      <c r="DE384" s="64"/>
      <c r="DF384" s="61"/>
      <c r="DG384" s="64"/>
      <c r="DH384" s="61"/>
      <c r="DI384" s="64"/>
      <c r="DJ384" s="61"/>
      <c r="DK384" s="64"/>
      <c r="DL384" s="61"/>
      <c r="DM384" s="64"/>
      <c r="DN384" s="61"/>
      <c r="DO384" s="64"/>
      <c r="DP384" s="61"/>
      <c r="DQ384" s="64"/>
      <c r="DR384" s="61"/>
      <c r="DS384" s="64"/>
      <c r="DT384" s="61"/>
      <c r="DU384" s="64"/>
      <c r="DV384" s="61"/>
      <c r="DW384" s="64"/>
      <c r="DX384" s="64"/>
      <c r="DY384" s="64"/>
      <c r="DZ384" s="61"/>
      <c r="EA384" s="64"/>
      <c r="EB384" s="61"/>
      <c r="EC384" s="64"/>
      <c r="ED384" s="61"/>
      <c r="EE384" s="64"/>
      <c r="EF384" s="61"/>
      <c r="EG384" s="64"/>
      <c r="EH384" s="61"/>
      <c r="EI384" s="64"/>
      <c r="EJ384" s="61"/>
      <c r="EK384" s="64"/>
      <c r="EL384" s="61"/>
      <c r="EM384" s="64"/>
      <c r="EN384" s="61"/>
      <c r="EO384" s="64"/>
      <c r="EP384" s="61"/>
      <c r="EQ384" s="64"/>
      <c r="ER384" s="61"/>
      <c r="ES384" s="64"/>
      <c r="ET384" s="61"/>
      <c r="EU384" s="64"/>
      <c r="EV384" s="61"/>
      <c r="EW384" s="64"/>
      <c r="EX384" s="61"/>
      <c r="EY384" s="64"/>
      <c r="EZ384" s="558"/>
      <c r="FA384" s="64"/>
      <c r="FB384" s="66"/>
      <c r="FC384" s="59"/>
      <c r="FD384" s="66"/>
      <c r="FE384" s="60"/>
      <c r="FF384" s="66"/>
      <c r="FG384" s="60"/>
      <c r="FH384" s="66"/>
      <c r="FI384" s="60"/>
      <c r="FJ384" s="66"/>
      <c r="FK384" s="60"/>
      <c r="FL384" s="66"/>
      <c r="FM384" s="61"/>
      <c r="FN384" s="66"/>
      <c r="FO384" s="61"/>
      <c r="FP384" s="65"/>
      <c r="FQ384" s="61"/>
      <c r="FR384" s="65"/>
      <c r="FS384" s="61"/>
      <c r="FT384" s="65"/>
      <c r="FU384" s="61"/>
      <c r="FV384" s="65"/>
      <c r="FW384" s="61"/>
      <c r="FX384" s="65"/>
      <c r="FY384" s="61"/>
      <c r="FZ384" s="65"/>
      <c r="GA384" s="61"/>
      <c r="GB384" s="65"/>
      <c r="GC384" s="61"/>
      <c r="GD384" s="65"/>
      <c r="GE384" s="61"/>
      <c r="GF384" s="65"/>
      <c r="GG384" s="61"/>
      <c r="GH384" s="65"/>
      <c r="GI384" s="61"/>
      <c r="GJ384" s="65"/>
      <c r="GK384" s="61"/>
      <c r="GL384" s="65"/>
      <c r="GM384" s="61"/>
      <c r="GN384" s="65"/>
      <c r="GO384" s="61"/>
      <c r="GP384" s="65"/>
      <c r="GQ384" s="61"/>
      <c r="GR384" s="64"/>
      <c r="GS384" s="61"/>
      <c r="GT384" s="64"/>
      <c r="GU384" s="61"/>
      <c r="GV384" s="64"/>
      <c r="GW384" s="61"/>
      <c r="GX384" s="64"/>
      <c r="GY384" s="61"/>
      <c r="GZ384" s="61"/>
      <c r="HA384" s="61"/>
      <c r="HB384" s="452"/>
      <c r="HC384"/>
      <c r="HD384"/>
      <c r="HE384"/>
      <c r="HF384"/>
      <c r="HG384"/>
      <c r="HH384"/>
    </row>
    <row r="385" spans="1:216" s="5" customFormat="1" ht="12.75" hidden="1" customHeight="1" outlineLevel="1" x14ac:dyDescent="0.2">
      <c r="B385" s="2" t="s">
        <v>417</v>
      </c>
      <c r="C385" s="72"/>
      <c r="D385" s="70"/>
      <c r="E385" s="72"/>
      <c r="F385" s="71"/>
      <c r="G385" s="74"/>
      <c r="H385" s="71"/>
      <c r="I385" s="74"/>
      <c r="J385" s="61"/>
      <c r="K385" s="74"/>
      <c r="L385" s="61"/>
      <c r="M385" s="72"/>
      <c r="N385" s="61"/>
      <c r="O385" s="74"/>
      <c r="P385" s="61"/>
      <c r="Q385" s="74"/>
      <c r="R385" s="61"/>
      <c r="S385" s="74"/>
      <c r="T385" s="61"/>
      <c r="U385" s="74"/>
      <c r="V385" s="61"/>
      <c r="W385" s="74"/>
      <c r="X385" s="61"/>
      <c r="Y385" s="74"/>
      <c r="Z385" s="61"/>
      <c r="AA385" s="74"/>
      <c r="AB385" s="61"/>
      <c r="AC385" s="74"/>
      <c r="AD385" s="61"/>
      <c r="AE385" s="74"/>
      <c r="AF385" s="61"/>
      <c r="AG385" s="74"/>
      <c r="AH385" s="61"/>
      <c r="AI385" s="74"/>
      <c r="AJ385" s="61"/>
      <c r="AK385" s="74"/>
      <c r="AL385" s="61"/>
      <c r="AM385" s="74"/>
      <c r="AN385" s="61"/>
      <c r="AO385" s="74"/>
      <c r="AP385" s="61"/>
      <c r="AQ385" s="74">
        <v>103</v>
      </c>
      <c r="AR385" s="61" t="str">
        <f>IF(ISERROR((AQ385/AI385-1)*100),"NA",IF(((AQ385/AI385-1)*100)&gt;100,"NM",IF(((AQ385/AI385-1)*100)&lt;-50,"NM",(AQ385/AI385-1)*100)))</f>
        <v>NA</v>
      </c>
      <c r="AS385" s="74">
        <v>116.6</v>
      </c>
      <c r="AT385" s="61" t="str">
        <f>IF(ISERROR((AS385/AK385-1)*100),"NA",IF(((AS385/AK385-1)*100)&gt;100,"NM",IF(((AS385/AK385-1)*100)&lt;-50,"NM",(AS385/AK385-1)*100)))</f>
        <v>NA</v>
      </c>
      <c r="AU385" s="74">
        <v>115</v>
      </c>
      <c r="AV385" s="61" t="str">
        <f>IF(ISERROR((AU385/AM385-1)*100),"NA",IF(((AU385/AM385-1)*100)&gt;100,"NM",IF(((AU385/AM385-1)*100)&lt;-50,"NM",(AU385/AM385-1)*100)))</f>
        <v>NA</v>
      </c>
      <c r="AW385" s="74">
        <v>114.4</v>
      </c>
      <c r="AX385" s="61" t="str">
        <f>IF(ISERROR((AW385/AO385-1)*100),"NA",IF(((AW385/AO385-1)*100)&gt;100,"NM",IF(((AW385/AO385-1)*100)&lt;-50,"NM",(AW385/AO385-1)*100)))</f>
        <v>NA</v>
      </c>
      <c r="AY385" s="74">
        <v>116.1</v>
      </c>
      <c r="AZ385" s="61">
        <f>IF(ISERROR((AY385/AQ385-1)*100),"NA",IF(((AY385/AQ385-1)*100)&gt;100,"NM",IF(((AY385/AQ385-1)*100)&lt;-50,"NM",(AY385/AQ385-1)*100)))</f>
        <v>12.718446601941746</v>
      </c>
      <c r="BA385" s="74">
        <v>116.4</v>
      </c>
      <c r="BB385" s="61">
        <f>IF(ISERROR((BA385/AS385-1)*100),"NA",IF(((BA385/AS385-1)*100)&gt;100,"NM",IF(((BA385/AS385-1)*100)&lt;-50,"NM",(BA385/AS385-1)*100)))</f>
        <v>-0.17152658662091813</v>
      </c>
      <c r="BC385" s="74">
        <v>120.3</v>
      </c>
      <c r="BD385" s="61">
        <f>IF(ISERROR((BC385/AU385-1)*100),"NA",IF(((BC385/AU385-1)*100)&gt;100,"NM",IF(((BC385/AU385-1)*100)&lt;-50,"NM",(BC385/AU385-1)*100)))</f>
        <v>4.6086956521738998</v>
      </c>
      <c r="BE385" s="74">
        <v>126.2</v>
      </c>
      <c r="BF385" s="61">
        <f>IF(ISERROR((BE385/AW385-1)*100),"NA",IF(((BE385/AW385-1)*100)&gt;100,"NM",IF(((BE385/AW385-1)*100)&lt;-50,"NM",(BE385/AW385-1)*100)))</f>
        <v>10.314685314685313</v>
      </c>
      <c r="BG385" s="74">
        <v>124.6</v>
      </c>
      <c r="BH385" s="61">
        <f>IF(ISERROR((BG385/AY385-1)*100),"NA",IF(((BG385/AY385-1)*100)&gt;100,"NM",IF(((BG385/AY385-1)*100)&lt;-50,"NM",(BG385/AY385-1)*100)))</f>
        <v>7.3212747631352215</v>
      </c>
      <c r="BI385" s="74">
        <v>133.1</v>
      </c>
      <c r="BJ385" s="61">
        <f>IF(ISERROR((BI385/BA385-1)*100),"NA",IF(((BI385/BA385-1)*100)&gt;100,"NM",IF(((BI385/BA385-1)*100)&lt;-50,"NM",(BI385/BA385-1)*100)))</f>
        <v>14.347079037800681</v>
      </c>
      <c r="BK385" s="74">
        <v>116</v>
      </c>
      <c r="BL385" s="61">
        <f>IF(ISERROR((BK385/BC385-1)*100),"NA",IF(((BK385/BC385-1)*100)&gt;100,"NM",IF(((BK385/BC385-1)*100)&lt;-50,"NM",(BK385/BC385-1)*100)))</f>
        <v>-3.5743973399833706</v>
      </c>
      <c r="BM385" s="74">
        <v>96.8</v>
      </c>
      <c r="BN385" s="61">
        <f>IF(ISERROR((BM385/BE385-1)*100),"NA",IF(((BM385/BE385-1)*100)&gt;100,"NM",IF(((BM385/BE385-1)*100)&lt;-50,"NM",(BM385/BE385-1)*100)))</f>
        <v>-23.296354992076076</v>
      </c>
      <c r="BO385" s="74">
        <v>101</v>
      </c>
      <c r="BP385" s="61">
        <f>IF(ISERROR((BO385/BG385-1)*100),"NA",IF(((BO385/BG385-1)*100)&gt;100,"NM",IF(((BO385/BG385-1)*100)&lt;-50,"NM",(BO385/BG385-1)*100)))</f>
        <v>-18.9406099518459</v>
      </c>
      <c r="BQ385" s="74">
        <v>100.8</v>
      </c>
      <c r="BR385" s="61">
        <f>IF(ISERROR((BQ385/BI385-1)*100),"NA",IF(((BQ385/BI385-1)*100)&gt;100,"NM",IF(((BQ385/BI385-1)*100)&lt;-50,"NM",(BQ385/BI385-1)*100)))</f>
        <v>-24.267468069120955</v>
      </c>
      <c r="BS385" s="74">
        <v>101.8</v>
      </c>
      <c r="BT385" s="61">
        <f>IF(ISERROR((BS385/BK385-1)*100),"NA",IF(((BS385/BK385-1)*100)&gt;100,"NM",IF(((BS385/BK385-1)*100)&lt;-50,"NM",(BS385/BK385-1)*100)))</f>
        <v>-12.241379310344836</v>
      </c>
      <c r="BU385" s="74">
        <v>89.5</v>
      </c>
      <c r="BV385" s="61">
        <f>IF(ISERROR((BU385/BM385-1)*100),"NA",IF(((BU385/BM385-1)*100)&gt;100,"NM",IF(((BU385/BM385-1)*100)&lt;-50,"NM",(BU385/BM385-1)*100)))</f>
        <v>-7.5413223140495811</v>
      </c>
      <c r="BW385" s="74">
        <v>78.400000000000006</v>
      </c>
      <c r="BX385" s="61">
        <f>IF(ISERROR((BW385/BO385-1)*100),"NA",IF(((BW385/BO385-1)*100)&gt;100,"NM",IF(((BW385/BO385-1)*100)&lt;-50,"NM",(BW385/BO385-1)*100)))</f>
        <v>-22.376237623762375</v>
      </c>
      <c r="BY385" s="74">
        <v>81.7</v>
      </c>
      <c r="BZ385" s="61">
        <f>IF(ISERROR((BY385/BQ385-1)*100),"NA",IF(((BY385/BQ385-1)*100)&gt;100,"NM",IF(((BY385/BQ385-1)*100)&lt;-50,"NM",(BY385/BQ385-1)*100)))</f>
        <v>-18.948412698412696</v>
      </c>
      <c r="CA385" s="74"/>
      <c r="CB385" s="61"/>
      <c r="CC385" s="74"/>
      <c r="CD385" s="61"/>
      <c r="CE385" s="74"/>
      <c r="CF385" s="61"/>
      <c r="CG385" s="74"/>
      <c r="CH385" s="61"/>
      <c r="CI385" s="74"/>
      <c r="CJ385" s="61"/>
      <c r="CK385" s="74"/>
      <c r="CL385" s="61"/>
      <c r="CM385" s="74"/>
      <c r="CN385" s="61"/>
      <c r="CO385" s="74"/>
      <c r="CP385" s="61"/>
      <c r="CQ385" s="74"/>
      <c r="CR385" s="61"/>
      <c r="CS385" s="74"/>
      <c r="CT385" s="61"/>
      <c r="CU385" s="74"/>
      <c r="CV385" s="61"/>
      <c r="CW385" s="74"/>
      <c r="CX385" s="61"/>
      <c r="CY385" s="74"/>
      <c r="CZ385" s="61"/>
      <c r="DA385" s="74"/>
      <c r="DB385" s="61"/>
      <c r="DC385" s="74"/>
      <c r="DD385" s="61"/>
      <c r="DE385" s="74"/>
      <c r="DF385" s="61"/>
      <c r="DG385" s="74"/>
      <c r="DH385" s="61"/>
      <c r="DI385" s="74"/>
      <c r="DJ385" s="61"/>
      <c r="DK385" s="74"/>
      <c r="DL385" s="61"/>
      <c r="DM385" s="74"/>
      <c r="DN385" s="61"/>
      <c r="DO385" s="74"/>
      <c r="DP385" s="61"/>
      <c r="DQ385" s="74"/>
      <c r="DR385" s="61"/>
      <c r="DS385" s="74"/>
      <c r="DT385" s="61"/>
      <c r="DU385" s="74"/>
      <c r="DV385" s="61"/>
      <c r="DW385" s="74"/>
      <c r="DX385" s="74"/>
      <c r="DY385" s="74"/>
      <c r="DZ385" s="61"/>
      <c r="EA385" s="74"/>
      <c r="EB385" s="61"/>
      <c r="EC385" s="74"/>
      <c r="ED385" s="61"/>
      <c r="EE385" s="74"/>
      <c r="EF385" s="61"/>
      <c r="EG385" s="74"/>
      <c r="EH385" s="61"/>
      <c r="EI385" s="74"/>
      <c r="EJ385" s="61"/>
      <c r="EK385" s="74"/>
      <c r="EL385" s="61"/>
      <c r="EM385" s="74"/>
      <c r="EN385" s="61"/>
      <c r="EO385" s="74"/>
      <c r="EP385" s="61"/>
      <c r="EQ385" s="75"/>
      <c r="ER385" s="61"/>
      <c r="ES385" s="75"/>
      <c r="ET385" s="61"/>
      <c r="EU385" s="75"/>
      <c r="EV385" s="61"/>
      <c r="EW385" s="75"/>
      <c r="EX385" s="61"/>
      <c r="EY385" s="64"/>
      <c r="EZ385" s="558"/>
      <c r="FA385" s="64"/>
      <c r="FB385" s="72"/>
      <c r="FC385" s="71"/>
      <c r="FD385" s="72"/>
      <c r="FE385" s="70"/>
      <c r="FF385" s="72"/>
      <c r="FG385" s="70"/>
      <c r="FH385" s="72"/>
      <c r="FI385" s="70"/>
      <c r="FJ385" s="69"/>
      <c r="FK385" s="70"/>
      <c r="FL385" s="69"/>
      <c r="FM385" s="61"/>
      <c r="FN385" s="69"/>
      <c r="FO385" s="61"/>
      <c r="FP385" s="75">
        <f>AQ385+AS385+AU385+AW385</f>
        <v>449</v>
      </c>
      <c r="FQ385" s="61" t="str">
        <f>IF(ISERROR((FP385/FN385-1)*100),"NA",IF(((FP385/FN385-1)*100)&gt;100,"NM",IF(((FP385/FN385-1)*100)&lt;-50,"NM",(FP385/FN385-1)*100)))</f>
        <v>NA</v>
      </c>
      <c r="FR385" s="75">
        <f>AY385+BA385+BC385+BE385</f>
        <v>479</v>
      </c>
      <c r="FS385" s="61">
        <f>IF(ISERROR((FR385/FP385-1)*100),"NA",IF(((FR385/FP385-1)*100)&gt;100,"NM",IF(((FR385/FP385-1)*100)&lt;-50,"NM",(FR385/FP385-1)*100)))</f>
        <v>6.6815144766146917</v>
      </c>
      <c r="FT385" s="75">
        <f>BG385+BI385+BK385+BM385</f>
        <v>470.5</v>
      </c>
      <c r="FU385" s="61">
        <f>IF(ISERROR((FT385/FR385-1)*100),"NA",IF(((FT385/FR385-1)*100)&gt;100,"NM",IF(((FT385/FR385-1)*100)&lt;-50,"NM",(FT385/FR385-1)*100)))</f>
        <v>-1.7745302713987443</v>
      </c>
      <c r="FV385" s="75">
        <f>BO385+BQ385+BS385+BU385</f>
        <v>393.1</v>
      </c>
      <c r="FW385" s="61">
        <f>IF(ISERROR((FV385/FT385-1)*100),"NA",IF(((FV385/FT385-1)*100)&gt;100,"NM",IF(((FV385/FT385-1)*100)&lt;-50,"NM",(FV385/FT385-1)*100)))</f>
        <v>-16.450584484590859</v>
      </c>
      <c r="FX385" s="73">
        <f>BW385+BY385+CA385+CC385</f>
        <v>160.10000000000002</v>
      </c>
      <c r="FY385" s="61" t="str">
        <f>IF(ISERROR((FX385/FV385-1)*100),"NA",IF(((FX385/FV385-1)*100)&gt;100,"NM",IF(((FX385/FV385-1)*100)&lt;-50,"NM",(FX385/FV385-1)*100)))</f>
        <v>NM</v>
      </c>
      <c r="FZ385" s="73"/>
      <c r="GA385" s="61"/>
      <c r="GB385" s="73"/>
      <c r="GC385" s="61"/>
      <c r="GD385" s="73"/>
      <c r="GE385" s="61"/>
      <c r="GF385" s="73"/>
      <c r="GG385" s="61"/>
      <c r="GH385" s="73"/>
      <c r="GI385" s="61"/>
      <c r="GJ385" s="73"/>
      <c r="GK385" s="61"/>
      <c r="GL385" s="73"/>
      <c r="GM385" s="61"/>
      <c r="GN385" s="73"/>
      <c r="GO385" s="61"/>
      <c r="GP385" s="73"/>
      <c r="GQ385" s="61"/>
      <c r="GR385" s="75"/>
      <c r="GS385" s="61"/>
      <c r="GT385" s="75"/>
      <c r="GU385" s="61"/>
      <c r="GV385" s="75"/>
      <c r="GW385" s="61"/>
      <c r="GX385" s="75"/>
      <c r="GY385" s="61"/>
      <c r="GZ385" s="61"/>
      <c r="HA385" s="61"/>
      <c r="HB385" s="452"/>
      <c r="HC385"/>
      <c r="HD385"/>
      <c r="HE385"/>
      <c r="HF385"/>
      <c r="HG385"/>
      <c r="HH385"/>
    </row>
    <row r="386" spans="1:216" s="5" customFormat="1" ht="12.75" hidden="1" customHeight="1" outlineLevel="1" x14ac:dyDescent="0.2">
      <c r="B386" s="2"/>
      <c r="C386" s="66"/>
      <c r="D386" s="67"/>
      <c r="E386" s="66"/>
      <c r="F386" s="66"/>
      <c r="G386" s="64"/>
      <c r="H386" s="66"/>
      <c r="I386" s="64"/>
      <c r="J386" s="66"/>
      <c r="K386" s="64"/>
      <c r="L386" s="61"/>
      <c r="M386" s="66"/>
      <c r="N386" s="61"/>
      <c r="O386" s="64"/>
      <c r="P386" s="61"/>
      <c r="Q386" s="64"/>
      <c r="R386" s="61"/>
      <c r="S386" s="64"/>
      <c r="T386" s="61"/>
      <c r="U386" s="64"/>
      <c r="V386" s="61"/>
      <c r="W386" s="64"/>
      <c r="X386" s="61"/>
      <c r="Y386" s="64"/>
      <c r="Z386" s="61"/>
      <c r="AA386" s="64"/>
      <c r="AB386" s="61"/>
      <c r="AC386" s="64"/>
      <c r="AD386" s="61"/>
      <c r="AE386" s="64"/>
      <c r="AF386" s="61"/>
      <c r="AG386" s="64"/>
      <c r="AH386" s="61"/>
      <c r="AI386" s="64"/>
      <c r="AJ386" s="61"/>
      <c r="AK386" s="64"/>
      <c r="AL386" s="61"/>
      <c r="AM386" s="64"/>
      <c r="AN386" s="61"/>
      <c r="AO386" s="64"/>
      <c r="AP386" s="61"/>
      <c r="AQ386" s="64"/>
      <c r="AR386" s="61"/>
      <c r="AS386" s="64"/>
      <c r="AT386" s="61"/>
      <c r="AU386" s="64"/>
      <c r="AV386" s="61"/>
      <c r="AW386" s="64"/>
      <c r="AX386" s="61"/>
      <c r="AY386" s="64"/>
      <c r="AZ386" s="61"/>
      <c r="BA386" s="64"/>
      <c r="BB386" s="61"/>
      <c r="BC386" s="64"/>
      <c r="BD386" s="61"/>
      <c r="BE386" s="64"/>
      <c r="BF386" s="61"/>
      <c r="BG386" s="64"/>
      <c r="BH386" s="61"/>
      <c r="BI386" s="64"/>
      <c r="BJ386" s="61"/>
      <c r="BK386" s="64"/>
      <c r="BL386" s="61"/>
      <c r="BM386" s="64"/>
      <c r="BN386" s="61"/>
      <c r="BO386" s="64"/>
      <c r="BP386" s="61"/>
      <c r="BQ386" s="64"/>
      <c r="BR386" s="61"/>
      <c r="BS386" s="64"/>
      <c r="BT386" s="61"/>
      <c r="BU386" s="64"/>
      <c r="BV386" s="61"/>
      <c r="BW386" s="64"/>
      <c r="BX386" s="61"/>
      <c r="BY386" s="64"/>
      <c r="BZ386" s="61"/>
      <c r="CA386" s="64"/>
      <c r="CB386" s="61"/>
      <c r="CC386" s="64"/>
      <c r="CD386" s="61"/>
      <c r="CE386" s="64"/>
      <c r="CF386" s="61"/>
      <c r="CG386" s="64"/>
      <c r="CH386" s="61"/>
      <c r="CI386" s="64"/>
      <c r="CJ386" s="61"/>
      <c r="CK386" s="64"/>
      <c r="CL386" s="61"/>
      <c r="CM386" s="64"/>
      <c r="CN386" s="61"/>
      <c r="CO386" s="64"/>
      <c r="CP386" s="61"/>
      <c r="CQ386" s="64"/>
      <c r="CR386" s="61"/>
      <c r="CS386" s="64"/>
      <c r="CT386" s="61"/>
      <c r="CU386" s="64"/>
      <c r="CV386" s="61"/>
      <c r="CW386" s="64"/>
      <c r="CX386" s="61"/>
      <c r="CY386" s="64"/>
      <c r="CZ386" s="61"/>
      <c r="DA386" s="64"/>
      <c r="DB386" s="61"/>
      <c r="DC386" s="64"/>
      <c r="DD386" s="61"/>
      <c r="DE386" s="64"/>
      <c r="DF386" s="61"/>
      <c r="DG386" s="64"/>
      <c r="DH386" s="61"/>
      <c r="DI386" s="64"/>
      <c r="DJ386" s="61"/>
      <c r="DK386" s="64"/>
      <c r="DL386" s="61"/>
      <c r="DM386" s="64"/>
      <c r="DN386" s="61"/>
      <c r="DO386" s="64"/>
      <c r="DP386" s="61"/>
      <c r="DQ386" s="64"/>
      <c r="DR386" s="61"/>
      <c r="DS386" s="64"/>
      <c r="DT386" s="61"/>
      <c r="DU386" s="64"/>
      <c r="DV386" s="61"/>
      <c r="DW386" s="64"/>
      <c r="DX386" s="64"/>
      <c r="DY386" s="64"/>
      <c r="DZ386" s="61"/>
      <c r="EA386" s="64"/>
      <c r="EB386" s="61"/>
      <c r="EC386" s="64"/>
      <c r="ED386" s="61"/>
      <c r="EE386" s="64"/>
      <c r="EF386" s="61"/>
      <c r="EG386" s="64"/>
      <c r="EH386" s="61"/>
      <c r="EI386" s="64"/>
      <c r="EJ386" s="61"/>
      <c r="EK386" s="64"/>
      <c r="EL386" s="61"/>
      <c r="EM386" s="64"/>
      <c r="EN386" s="61"/>
      <c r="EO386" s="64"/>
      <c r="EP386" s="61"/>
      <c r="EQ386" s="64"/>
      <c r="ER386" s="61"/>
      <c r="ES386" s="64"/>
      <c r="ET386" s="61"/>
      <c r="EU386" s="64"/>
      <c r="EV386" s="61"/>
      <c r="EW386" s="64"/>
      <c r="EX386" s="61"/>
      <c r="EY386" s="64"/>
      <c r="EZ386" s="558"/>
      <c r="FA386" s="64"/>
      <c r="FB386" s="66"/>
      <c r="FC386" s="66"/>
      <c r="FD386" s="66"/>
      <c r="FE386" s="67"/>
      <c r="FF386" s="66"/>
      <c r="FG386" s="67"/>
      <c r="FH386" s="66"/>
      <c r="FI386" s="67"/>
      <c r="FJ386" s="66"/>
      <c r="FK386" s="67"/>
      <c r="FL386" s="66"/>
      <c r="FM386" s="61"/>
      <c r="FN386" s="66"/>
      <c r="FO386" s="61"/>
      <c r="FP386" s="65"/>
      <c r="FQ386" s="61"/>
      <c r="FR386" s="65"/>
      <c r="FS386" s="61"/>
      <c r="FT386" s="65"/>
      <c r="FU386" s="61"/>
      <c r="FV386" s="65"/>
      <c r="FW386" s="61"/>
      <c r="FX386" s="65"/>
      <c r="FY386" s="61"/>
      <c r="FZ386" s="65"/>
      <c r="GA386" s="61"/>
      <c r="GB386" s="65"/>
      <c r="GC386" s="61"/>
      <c r="GD386" s="65"/>
      <c r="GE386" s="61"/>
      <c r="GF386" s="65"/>
      <c r="GG386" s="61"/>
      <c r="GH386" s="65"/>
      <c r="GI386" s="61"/>
      <c r="GJ386" s="65"/>
      <c r="GK386" s="61"/>
      <c r="GL386" s="65"/>
      <c r="GM386" s="61"/>
      <c r="GN386" s="65"/>
      <c r="GO386" s="61"/>
      <c r="GP386" s="65"/>
      <c r="GQ386" s="61"/>
      <c r="GR386" s="64"/>
      <c r="GS386" s="61"/>
      <c r="GT386" s="64"/>
      <c r="GU386" s="61"/>
      <c r="GV386" s="64"/>
      <c r="GW386" s="61"/>
      <c r="GX386" s="64"/>
      <c r="GY386" s="61"/>
      <c r="GZ386" s="61"/>
      <c r="HA386" s="61"/>
      <c r="HB386" s="452"/>
      <c r="HC386"/>
      <c r="HD386"/>
      <c r="HE386"/>
      <c r="HF386"/>
      <c r="HG386"/>
      <c r="HH386"/>
    </row>
    <row r="387" spans="1:216" s="5" customFormat="1" ht="12.75" hidden="1" customHeight="1" outlineLevel="1" x14ac:dyDescent="0.2">
      <c r="B387" s="63" t="s">
        <v>597</v>
      </c>
      <c r="C387" s="66"/>
      <c r="D387" s="67"/>
      <c r="E387" s="66"/>
      <c r="F387" s="66"/>
      <c r="G387" s="64"/>
      <c r="H387" s="66"/>
      <c r="I387" s="64"/>
      <c r="J387" s="66"/>
      <c r="K387" s="64"/>
      <c r="L387" s="61"/>
      <c r="M387" s="66"/>
      <c r="N387" s="61"/>
      <c r="O387" s="64"/>
      <c r="P387" s="61"/>
      <c r="Q387" s="64"/>
      <c r="R387" s="61"/>
      <c r="S387" s="64"/>
      <c r="T387" s="61"/>
      <c r="U387" s="64"/>
      <c r="V387" s="61"/>
      <c r="W387" s="64"/>
      <c r="X387" s="61"/>
      <c r="Y387" s="64"/>
      <c r="Z387" s="61"/>
      <c r="AA387" s="64"/>
      <c r="AB387" s="61"/>
      <c r="AC387" s="64"/>
      <c r="AD387" s="61"/>
      <c r="AE387" s="64"/>
      <c r="AF387" s="61"/>
      <c r="AG387" s="64"/>
      <c r="AH387" s="61"/>
      <c r="AI387" s="64"/>
      <c r="AJ387" s="61"/>
      <c r="AK387" s="64"/>
      <c r="AL387" s="61"/>
      <c r="AM387" s="64"/>
      <c r="AN387" s="61"/>
      <c r="AO387" s="64"/>
      <c r="AP387" s="61"/>
      <c r="AQ387" s="64"/>
      <c r="AR387" s="61"/>
      <c r="AS387" s="64"/>
      <c r="AT387" s="61"/>
      <c r="AU387" s="64"/>
      <c r="AV387" s="61"/>
      <c r="AW387" s="64"/>
      <c r="AX387" s="61"/>
      <c r="AY387" s="64"/>
      <c r="AZ387" s="61"/>
      <c r="BA387" s="64"/>
      <c r="BB387" s="61"/>
      <c r="BC387" s="64"/>
      <c r="BD387" s="61"/>
      <c r="BE387" s="64"/>
      <c r="BF387" s="61"/>
      <c r="BG387" s="64"/>
      <c r="BH387" s="61"/>
      <c r="BI387" s="64"/>
      <c r="BJ387" s="61"/>
      <c r="BK387" s="64"/>
      <c r="BL387" s="61"/>
      <c r="BM387" s="64"/>
      <c r="BN387" s="61"/>
      <c r="BO387" s="64"/>
      <c r="BP387" s="61"/>
      <c r="BQ387" s="64"/>
      <c r="BR387" s="61"/>
      <c r="BS387" s="64"/>
      <c r="BT387" s="61"/>
      <c r="BU387" s="64"/>
      <c r="BV387" s="61"/>
      <c r="BW387" s="64"/>
      <c r="BX387" s="61"/>
      <c r="BY387" s="64"/>
      <c r="BZ387" s="61"/>
      <c r="CA387" s="64"/>
      <c r="CB387" s="61"/>
      <c r="CC387" s="64"/>
      <c r="CD387" s="61"/>
      <c r="CE387" s="64"/>
      <c r="CF387" s="61"/>
      <c r="CG387" s="64"/>
      <c r="CH387" s="61"/>
      <c r="CI387" s="64"/>
      <c r="CJ387" s="61"/>
      <c r="CK387" s="64"/>
      <c r="CL387" s="61"/>
      <c r="CM387" s="64"/>
      <c r="CN387" s="61"/>
      <c r="CO387" s="64"/>
      <c r="CP387" s="61"/>
      <c r="CQ387" s="64"/>
      <c r="CR387" s="61"/>
      <c r="CS387" s="64"/>
      <c r="CT387" s="61"/>
      <c r="CU387" s="64"/>
      <c r="CV387" s="61"/>
      <c r="CW387" s="64"/>
      <c r="CX387" s="61"/>
      <c r="CY387" s="64"/>
      <c r="CZ387" s="61"/>
      <c r="DA387" s="64"/>
      <c r="DB387" s="61"/>
      <c r="DC387" s="64"/>
      <c r="DD387" s="61"/>
      <c r="DE387" s="64"/>
      <c r="DF387" s="61"/>
      <c r="DG387" s="64"/>
      <c r="DH387" s="61"/>
      <c r="DI387" s="64"/>
      <c r="DJ387" s="61"/>
      <c r="DK387" s="64"/>
      <c r="DL387" s="61"/>
      <c r="DM387" s="64"/>
      <c r="DN387" s="61"/>
      <c r="DO387" s="64"/>
      <c r="DP387" s="61"/>
      <c r="DQ387" s="64"/>
      <c r="DR387" s="61"/>
      <c r="DS387" s="64"/>
      <c r="DT387" s="61"/>
      <c r="DU387" s="64"/>
      <c r="DV387" s="61"/>
      <c r="DW387" s="64"/>
      <c r="DX387" s="64"/>
      <c r="DY387" s="64"/>
      <c r="DZ387" s="61"/>
      <c r="EA387" s="64"/>
      <c r="EB387" s="61"/>
      <c r="EC387" s="64"/>
      <c r="ED387" s="61"/>
      <c r="EE387" s="64"/>
      <c r="EF387" s="61"/>
      <c r="EG387" s="64"/>
      <c r="EH387" s="61"/>
      <c r="EI387" s="64"/>
      <c r="EJ387" s="61"/>
      <c r="EK387" s="64"/>
      <c r="EL387" s="61"/>
      <c r="EM387" s="64"/>
      <c r="EN387" s="61"/>
      <c r="EO387" s="64"/>
      <c r="EP387" s="61"/>
      <c r="EQ387" s="64"/>
      <c r="ER387" s="61"/>
      <c r="ES387" s="64"/>
      <c r="ET387" s="61"/>
      <c r="EU387" s="64"/>
      <c r="EV387" s="61"/>
      <c r="EW387" s="64"/>
      <c r="EX387" s="61"/>
      <c r="EY387" s="64"/>
      <c r="EZ387" s="558"/>
      <c r="FA387" s="64"/>
      <c r="FB387" s="66"/>
      <c r="FC387" s="66"/>
      <c r="FD387" s="66"/>
      <c r="FE387" s="67"/>
      <c r="FF387" s="66"/>
      <c r="FG387" s="67"/>
      <c r="FH387" s="66"/>
      <c r="FI387" s="67"/>
      <c r="FJ387" s="66"/>
      <c r="FK387" s="67"/>
      <c r="FL387" s="66"/>
      <c r="FM387" s="61"/>
      <c r="FN387" s="66"/>
      <c r="FO387" s="61"/>
      <c r="FP387" s="65"/>
      <c r="FQ387" s="61"/>
      <c r="FR387" s="65"/>
      <c r="FS387" s="61"/>
      <c r="FT387" s="65"/>
      <c r="FU387" s="61"/>
      <c r="FV387" s="65"/>
      <c r="FW387" s="61"/>
      <c r="FX387" s="65"/>
      <c r="FY387" s="61"/>
      <c r="FZ387" s="65"/>
      <c r="GA387" s="61"/>
      <c r="GB387" s="65"/>
      <c r="GC387" s="61"/>
      <c r="GD387" s="65"/>
      <c r="GE387" s="61"/>
      <c r="GF387" s="65"/>
      <c r="GG387" s="61"/>
      <c r="GH387" s="65"/>
      <c r="GI387" s="61"/>
      <c r="GJ387" s="65"/>
      <c r="GK387" s="61"/>
      <c r="GL387" s="65"/>
      <c r="GM387" s="61"/>
      <c r="GN387" s="65"/>
      <c r="GO387" s="61"/>
      <c r="GP387" s="65"/>
      <c r="GQ387" s="61"/>
      <c r="GR387" s="64"/>
      <c r="GS387" s="61"/>
      <c r="GT387" s="64"/>
      <c r="GU387" s="61"/>
      <c r="GV387" s="64"/>
      <c r="GW387" s="61"/>
      <c r="GX387" s="64"/>
      <c r="GY387" s="61"/>
      <c r="GZ387" s="61"/>
      <c r="HA387" s="61"/>
      <c r="HB387" s="452"/>
      <c r="HC387"/>
      <c r="HD387"/>
      <c r="HE387"/>
      <c r="HF387"/>
      <c r="HG387"/>
      <c r="HH387"/>
    </row>
    <row r="388" spans="1:216" s="5" customFormat="1" ht="12.75" hidden="1" customHeight="1" outlineLevel="1" x14ac:dyDescent="0.2">
      <c r="B388" s="68" t="s">
        <v>103</v>
      </c>
      <c r="C388" s="81"/>
      <c r="D388" s="70"/>
      <c r="E388" s="81"/>
      <c r="F388" s="71"/>
      <c r="G388" s="81"/>
      <c r="H388" s="71"/>
      <c r="I388" s="81"/>
      <c r="J388" s="61"/>
      <c r="K388" s="81"/>
      <c r="L388" s="61"/>
      <c r="M388" s="81"/>
      <c r="N388" s="61"/>
      <c r="O388" s="81"/>
      <c r="P388" s="61"/>
      <c r="Q388" s="81"/>
      <c r="R388" s="61"/>
      <c r="S388" s="81"/>
      <c r="T388" s="61"/>
      <c r="U388" s="81"/>
      <c r="V388" s="61"/>
      <c r="W388" s="81"/>
      <c r="X388" s="61"/>
      <c r="Y388" s="81"/>
      <c r="Z388" s="61"/>
      <c r="AA388" s="81"/>
      <c r="AB388" s="61"/>
      <c r="AC388" s="81"/>
      <c r="AD388" s="61"/>
      <c r="AE388" s="81"/>
      <c r="AF388" s="61"/>
      <c r="AG388" s="81"/>
      <c r="AH388" s="61"/>
      <c r="AI388" s="81"/>
      <c r="AJ388" s="61"/>
      <c r="AK388" s="81"/>
      <c r="AL388" s="61"/>
      <c r="AM388" s="81"/>
      <c r="AN388" s="61"/>
      <c r="AO388" s="81"/>
      <c r="AP388" s="61"/>
      <c r="AQ388" s="81">
        <f>AQ385/AQ376*100</f>
        <v>93.72156505914468</v>
      </c>
      <c r="AR388" s="61" t="str">
        <f>IF(ISERROR((AQ388/AI388-1)*100),"NA",IF(((AQ388/AI388-1)*100)&gt;100,"NM",IF(((AQ388/AI388-1)*100)&lt;-50,"NM",(AQ388/AI388-1)*100)))</f>
        <v>NA</v>
      </c>
      <c r="AS388" s="81">
        <f>AS385/AS376*100</f>
        <v>101.83406113537117</v>
      </c>
      <c r="AT388" s="61" t="str">
        <f>IF(ISERROR((AS388/AK388-1)*100),"NA",IF(((AS388/AK388-1)*100)&gt;100,"NM",IF(((AS388/AK388-1)*100)&lt;-50,"NM",(AS388/AK388-1)*100)))</f>
        <v>NA</v>
      </c>
      <c r="AU388" s="81">
        <f>AU385/AU376*100</f>
        <v>93.268450932684502</v>
      </c>
      <c r="AV388" s="61" t="str">
        <f>IF(ISERROR((AU388/AM388-1)*100),"NA",IF(((AU388/AM388-1)*100)&gt;100,"NM",IF(((AU388/AM388-1)*100)&lt;-50,"NM",(AU388/AM388-1)*100)))</f>
        <v>NA</v>
      </c>
      <c r="AW388" s="81">
        <f>AW385/AW376*100</f>
        <v>89.375</v>
      </c>
      <c r="AX388" s="61" t="str">
        <f>IF(ISERROR((AW388/AO388-1)*100),"NA",IF(((AW388/AO388-1)*100)&gt;100,"NM",IF(((AW388/AO388-1)*100)&lt;-50,"NM",(AW388/AO388-1)*100)))</f>
        <v>NA</v>
      </c>
      <c r="AY388" s="81">
        <f>AY385/AY376*100</f>
        <v>83.16618911174784</v>
      </c>
      <c r="AZ388" s="61">
        <f>IF(ISERROR((AY388/AQ388-1)*100),"NA",IF(((AY388/AQ388-1)*100)&gt;100,"NM",IF(((AY388/AQ388-1)*100)&lt;-50,"NM",(AY388/AQ388-1)*100)))</f>
        <v>-11.262483656494293</v>
      </c>
      <c r="BA388" s="81">
        <f>BA385/BA376*100</f>
        <v>86.414253897550125</v>
      </c>
      <c r="BB388" s="61">
        <f>IF(ISERROR((BA388/AS388-1)*100),"NA",IF(((BA388/AS388-1)*100)&gt;100,"NM",IF(((BA388/AS388-1)*100)&lt;-50,"NM",(BA388/AS388-1)*100)))</f>
        <v>-15.142092013126163</v>
      </c>
      <c r="BC388" s="81">
        <f>BC385/BC376*100</f>
        <v>85.683760683760681</v>
      </c>
      <c r="BD388" s="61">
        <f>IF(ISERROR((BC388/AU388-1)*100),"NA",IF(((BC388/AU388-1)*100)&gt;100,"NM",IF(((BC388/AU388-1)*100)&lt;-50,"NM",(BC388/AU388-1)*100)))</f>
        <v>-8.1321070234113613</v>
      </c>
      <c r="BE388" s="81">
        <f>BE385/BE376*100</f>
        <v>84.754869039623898</v>
      </c>
      <c r="BF388" s="61">
        <f>IF(ISERROR((BE388/AW388-1)*100),"NA",IF(((BE388/AW388-1)*100)&gt;100,"NM",IF(((BE388/AW388-1)*100)&lt;-50,"NM",(BE388/AW388-1)*100)))</f>
        <v>-5.1693772983229085</v>
      </c>
      <c r="BG388" s="81">
        <f>BG385/BG376*100</f>
        <v>83.01132578281144</v>
      </c>
      <c r="BH388" s="61">
        <f>IF(ISERROR((BG388/AY388-1)*100),"NA",IF(((BG388/AY388-1)*100)&gt;100,"NM",IF(((BG388/AY388-1)*100)&lt;-50,"NM",(BG388/AY388-1)*100)))</f>
        <v>-0.18620948078830191</v>
      </c>
      <c r="BI388" s="81">
        <f>BI385/BI376*100</f>
        <v>88.145695364238406</v>
      </c>
      <c r="BJ388" s="61">
        <f>IF(ISERROR((BI388/BA388-1)*100),"NA",IF(((BI388/BA388-1)*100)&gt;100,"NM",IF(((BI388/BA388-1)*100)&lt;-50,"NM",(BI388/BA388-1)*100)))</f>
        <v>2.0036526251109299</v>
      </c>
      <c r="BK388" s="81">
        <f>BK385/BK376*100</f>
        <v>77.281812125249843</v>
      </c>
      <c r="BL388" s="61">
        <f>IF(ISERROR((BK388/BC388-1)*100),"NA",IF(((BK388/BC388-1)*100)&gt;100,"NM",IF(((BK388/BC388-1)*100)&lt;-50,"NM",(BK388/BC388-1)*100)))</f>
        <v>-9.8057653999577887</v>
      </c>
      <c r="BM388" s="81">
        <f>BM385/BM376*100</f>
        <v>69.640287769784166</v>
      </c>
      <c r="BN388" s="61">
        <f>IF(ISERROR((BM388/BE388-1)*100),"NA",IF(((BM388/BE388-1)*100)&gt;100,"NM",IF(((BM388/BE388-1)*100)&lt;-50,"NM",(BM388/BE388-1)*100)))</f>
        <v>-17.833289628202355</v>
      </c>
      <c r="BO388" s="81">
        <f>BO385/BO376*100</f>
        <v>83.956774729842053</v>
      </c>
      <c r="BP388" s="61">
        <f>IF(ISERROR((BO388/BG388-1)*100),"NA",IF(((BO388/BG388-1)*100)&gt;100,"NM",IF(((BO388/BG388-1)*100)&lt;-50,"NM",(BO388/BG388-1)*100)))</f>
        <v>1.1389397026428272</v>
      </c>
      <c r="BQ388" s="81">
        <f>BQ385/BQ376*100</f>
        <v>81.094127111826225</v>
      </c>
      <c r="BR388" s="61">
        <f>IF(ISERROR((BQ388/BI388-1)*100),"NA",IF(((BQ388/BI388-1)*100)&gt;100,"NM",IF(((BQ388/BI388-1)*100)&lt;-50,"NM",(BQ388/BI388-1)*100)))</f>
        <v>-7.9999008723834697</v>
      </c>
      <c r="BS388" s="81">
        <f>BS385/BS376*100</f>
        <v>92.629663330300261</v>
      </c>
      <c r="BT388" s="61">
        <f>IF(ISERROR((BS388/BK388-1)*100),"NA",IF(((BS388/BK388-1)*100)&gt;100,"NM",IF(((BS388/BK388-1)*100)&lt;-50,"NM",(BS388/BK388-1)*100)))</f>
        <v>19.859590223086787</v>
      </c>
      <c r="BU388" s="81">
        <f>BU385/BU376*100</f>
        <v>107.57211538461537</v>
      </c>
      <c r="BV388" s="61">
        <f>IF(ISERROR((BU388/BM388-1)*100),"NA",IF(((BU388/BM388-1)*100)&gt;100,"NM",IF(((BU388/BM388-1)*100)&lt;-50,"NM",(BU388/BM388-1)*100)))</f>
        <v>54.468223537825807</v>
      </c>
      <c r="BW388" s="81">
        <f>BW385/BW376*100</f>
        <v>95.726495726495727</v>
      </c>
      <c r="BX388" s="61">
        <f>IF(ISERROR((BW388/BO388-1)*100),"NA",IF(((BW388/BO388-1)*100)&gt;100,"NM",IF(((BW388/BO388-1)*100)&lt;-50,"NM",(BW388/BO388-1)*100)))</f>
        <v>14.01878649403403</v>
      </c>
      <c r="BY388" s="81">
        <f>BY385/BY376*100</f>
        <v>89.192139737991269</v>
      </c>
      <c r="BZ388" s="61">
        <f>IF(ISERROR((BY388/BQ388-1)*100),"NA",IF(((BY388/BQ388-1)*100)&gt;100,"NM",IF(((BY388/BQ388-1)*100)&lt;-50,"NM",(BY388/BQ388-1)*100)))</f>
        <v>9.9859421570666065</v>
      </c>
      <c r="CA388" s="81"/>
      <c r="CB388" s="61"/>
      <c r="CC388" s="81"/>
      <c r="CD388" s="61"/>
      <c r="CE388" s="81"/>
      <c r="CF388" s="61"/>
      <c r="CG388" s="81"/>
      <c r="CH388" s="61"/>
      <c r="CI388" s="81"/>
      <c r="CJ388" s="61"/>
      <c r="CK388" s="81"/>
      <c r="CL388" s="61"/>
      <c r="CM388" s="81"/>
      <c r="CN388" s="61"/>
      <c r="CO388" s="81"/>
      <c r="CP388" s="61"/>
      <c r="CQ388" s="81"/>
      <c r="CR388" s="61"/>
      <c r="CS388" s="81"/>
      <c r="CT388" s="61"/>
      <c r="CU388" s="81"/>
      <c r="CV388" s="61"/>
      <c r="CW388" s="81"/>
      <c r="CX388" s="61"/>
      <c r="CY388" s="81"/>
      <c r="CZ388" s="61"/>
      <c r="DA388" s="81"/>
      <c r="DB388" s="61"/>
      <c r="DC388" s="81"/>
      <c r="DD388" s="61"/>
      <c r="DE388" s="81"/>
      <c r="DF388" s="61"/>
      <c r="DG388" s="81"/>
      <c r="DH388" s="61"/>
      <c r="DI388" s="81"/>
      <c r="DJ388" s="61"/>
      <c r="DK388" s="81"/>
      <c r="DL388" s="61"/>
      <c r="DM388" s="81"/>
      <c r="DN388" s="61"/>
      <c r="DO388" s="81"/>
      <c r="DP388" s="61"/>
      <c r="DQ388" s="81"/>
      <c r="DR388" s="61"/>
      <c r="DS388" s="81"/>
      <c r="DT388" s="61"/>
      <c r="DU388" s="81"/>
      <c r="DV388" s="61"/>
      <c r="DW388" s="81"/>
      <c r="DX388" s="81"/>
      <c r="DY388" s="81"/>
      <c r="DZ388" s="61"/>
      <c r="EA388" s="81"/>
      <c r="EB388" s="61"/>
      <c r="EC388" s="81"/>
      <c r="ED388" s="61"/>
      <c r="EE388" s="81"/>
      <c r="EF388" s="61"/>
      <c r="EG388" s="81"/>
      <c r="EH388" s="61"/>
      <c r="EI388" s="81"/>
      <c r="EJ388" s="61"/>
      <c r="EK388" s="81"/>
      <c r="EL388" s="61"/>
      <c r="EM388" s="81"/>
      <c r="EN388" s="61"/>
      <c r="EO388" s="81"/>
      <c r="EP388" s="61"/>
      <c r="EQ388" s="89"/>
      <c r="ER388" s="61"/>
      <c r="ES388" s="89"/>
      <c r="ET388" s="61"/>
      <c r="EU388" s="89"/>
      <c r="EV388" s="61"/>
      <c r="EW388" s="89"/>
      <c r="EX388" s="61"/>
      <c r="EY388" s="64"/>
      <c r="EZ388" s="558"/>
      <c r="FA388" s="64"/>
      <c r="FB388" s="82"/>
      <c r="FC388" s="71"/>
      <c r="FD388" s="82"/>
      <c r="FE388" s="70"/>
      <c r="FF388" s="82"/>
      <c r="FG388" s="70"/>
      <c r="FH388" s="82"/>
      <c r="FI388" s="70"/>
      <c r="FJ388" s="82"/>
      <c r="FK388" s="70"/>
      <c r="FL388" s="82"/>
      <c r="FM388" s="61"/>
      <c r="FN388" s="81"/>
      <c r="FO388" s="61"/>
      <c r="FP388" s="88">
        <f>FP385/FP376*100</f>
        <v>94.387218835400461</v>
      </c>
      <c r="FQ388" s="61" t="str">
        <f>IF(ISERROR((FP388/FN388-1)*100),"NA",IF(((FP388/FN388-1)*100)&gt;100,"NM",IF(((FP388/FN388-1)*100)&lt;-50,"NM",(FP388/FN388-1)*100)))</f>
        <v>NA</v>
      </c>
      <c r="FR388" s="88">
        <f>FR385/FR376*100</f>
        <v>84.989354151880761</v>
      </c>
      <c r="FS388" s="61">
        <f>IF(ISERROR((FR388/FP388-1)*100),"NA",IF(((FR388/FP388-1)*100)&gt;100,"NM",IF(((FR388/FP388-1)*100)&lt;-50,"NM",(FR388/FP388-1)*100)))</f>
        <v>-9.9567132070163105</v>
      </c>
      <c r="FT388" s="88">
        <f>FT385/FT376*100</f>
        <v>79.718739410369352</v>
      </c>
      <c r="FU388" s="61">
        <f>IF(ISERROR((FT388/FR388-1)*100),"NA",IF(((FT388/FR388-1)*100)&gt;100,"NM",IF(((FT388/FR388-1)*100)&lt;-50,"NM",(FT388/FR388-1)*100)))</f>
        <v>-6.2014999338535048</v>
      </c>
      <c r="FV388" s="88">
        <f>FV385/FV376*100</f>
        <v>89.810372401188019</v>
      </c>
      <c r="FW388" s="61">
        <f>IF(ISERROR((FV388/FT388-1)*100),"NA",IF(((FV388/FT388-1)*100)&gt;100,"NM",IF(((FV388/FT388-1)*100)&lt;-50,"NM",(FV388/FT388-1)*100)))</f>
        <v>12.659047377643319</v>
      </c>
      <c r="FX388" s="88">
        <f>FX385/FX376*100</f>
        <v>92.276657060518744</v>
      </c>
      <c r="FY388" s="61">
        <f>IF(ISERROR((FX388/FV388-1)*100),"NA",IF(((FX388/FV388-1)*100)&gt;100,"NM",IF(((FX388/FV388-1)*100)&lt;-50,"NM",(FX388/FV388-1)*100)))</f>
        <v>2.7461022523252554</v>
      </c>
      <c r="FZ388" s="88"/>
      <c r="GA388" s="61"/>
      <c r="GB388" s="88"/>
      <c r="GC388" s="61"/>
      <c r="GD388" s="88"/>
      <c r="GE388" s="61"/>
      <c r="GF388" s="88"/>
      <c r="GG388" s="61"/>
      <c r="GH388" s="88"/>
      <c r="GI388" s="61"/>
      <c r="GJ388" s="88"/>
      <c r="GK388" s="61"/>
      <c r="GL388" s="88"/>
      <c r="GM388" s="61"/>
      <c r="GN388" s="88"/>
      <c r="GO388" s="61"/>
      <c r="GP388" s="88"/>
      <c r="GQ388" s="61"/>
      <c r="GR388" s="89"/>
      <c r="GS388" s="61"/>
      <c r="GT388" s="89"/>
      <c r="GU388" s="61"/>
      <c r="GV388" s="89"/>
      <c r="GW388" s="61"/>
      <c r="GX388" s="89"/>
      <c r="GY388" s="61"/>
      <c r="GZ388" s="61"/>
      <c r="HA388" s="61"/>
      <c r="HB388" s="452"/>
      <c r="HC388"/>
      <c r="HD388"/>
      <c r="HE388"/>
      <c r="HF388"/>
      <c r="HG388"/>
      <c r="HH388"/>
    </row>
    <row r="389" spans="1:216" s="5" customFormat="1" ht="12.75" hidden="1" customHeight="1" outlineLevel="1" x14ac:dyDescent="0.2">
      <c r="B389" s="68"/>
      <c r="C389" s="66"/>
      <c r="D389" s="107"/>
      <c r="E389" s="66"/>
      <c r="F389" s="64"/>
      <c r="G389" s="64"/>
      <c r="H389" s="64"/>
      <c r="I389" s="64"/>
      <c r="J389" s="64"/>
      <c r="K389" s="64"/>
      <c r="L389" s="61"/>
      <c r="M389" s="66"/>
      <c r="N389" s="61"/>
      <c r="O389" s="64"/>
      <c r="P389" s="61"/>
      <c r="Q389" s="64"/>
      <c r="R389" s="61"/>
      <c r="S389" s="64"/>
      <c r="T389" s="61"/>
      <c r="U389" s="64"/>
      <c r="V389" s="61"/>
      <c r="W389" s="64"/>
      <c r="X389" s="61"/>
      <c r="Y389" s="64"/>
      <c r="Z389" s="61"/>
      <c r="AA389" s="64"/>
      <c r="AB389" s="61"/>
      <c r="AC389" s="64"/>
      <c r="AD389" s="61"/>
      <c r="AE389" s="64"/>
      <c r="AF389" s="61"/>
      <c r="AG389" s="64"/>
      <c r="AH389" s="61"/>
      <c r="AI389" s="64"/>
      <c r="AJ389" s="61"/>
      <c r="AK389" s="64"/>
      <c r="AL389" s="61"/>
      <c r="AM389" s="64"/>
      <c r="AN389" s="61"/>
      <c r="AO389" s="64"/>
      <c r="AP389" s="61"/>
      <c r="AQ389" s="64"/>
      <c r="AR389" s="61"/>
      <c r="AS389" s="64"/>
      <c r="AT389" s="61"/>
      <c r="AU389" s="64"/>
      <c r="AV389" s="61"/>
      <c r="AW389" s="64"/>
      <c r="AX389" s="61"/>
      <c r="AY389" s="64"/>
      <c r="AZ389" s="61"/>
      <c r="BA389" s="64"/>
      <c r="BB389" s="61"/>
      <c r="BC389" s="64"/>
      <c r="BD389" s="61"/>
      <c r="BE389" s="64"/>
      <c r="BF389" s="61"/>
      <c r="BG389" s="64"/>
      <c r="BH389" s="61"/>
      <c r="BI389" s="64"/>
      <c r="BJ389" s="61"/>
      <c r="BK389" s="64"/>
      <c r="BL389" s="61"/>
      <c r="BM389" s="64"/>
      <c r="BN389" s="61"/>
      <c r="BO389" s="64"/>
      <c r="BP389" s="61"/>
      <c r="BQ389" s="64"/>
      <c r="BR389" s="61"/>
      <c r="BS389" s="64"/>
      <c r="BT389" s="61"/>
      <c r="BU389" s="64"/>
      <c r="BV389" s="61"/>
      <c r="BW389" s="64"/>
      <c r="BX389" s="61"/>
      <c r="BY389" s="64"/>
      <c r="BZ389" s="61"/>
      <c r="CA389" s="64"/>
      <c r="CB389" s="61"/>
      <c r="CC389" s="64"/>
      <c r="CD389" s="61"/>
      <c r="CE389" s="64"/>
      <c r="CF389" s="61"/>
      <c r="CG389" s="64"/>
      <c r="CH389" s="61"/>
      <c r="CI389" s="64"/>
      <c r="CJ389" s="61"/>
      <c r="CK389" s="64"/>
      <c r="CL389" s="61"/>
      <c r="CM389" s="64"/>
      <c r="CN389" s="61"/>
      <c r="CO389" s="64"/>
      <c r="CP389" s="61"/>
      <c r="CQ389" s="64"/>
      <c r="CR389" s="61"/>
      <c r="CS389" s="64"/>
      <c r="CT389" s="61"/>
      <c r="CU389" s="64"/>
      <c r="CV389" s="61"/>
      <c r="CW389" s="64"/>
      <c r="CX389" s="61"/>
      <c r="CY389" s="64"/>
      <c r="CZ389" s="61"/>
      <c r="DA389" s="64"/>
      <c r="DB389" s="61"/>
      <c r="DC389" s="64"/>
      <c r="DD389" s="61"/>
      <c r="DE389" s="64"/>
      <c r="DF389" s="61"/>
      <c r="DG389" s="64"/>
      <c r="DH389" s="61"/>
      <c r="DI389" s="64"/>
      <c r="DJ389" s="61"/>
      <c r="DK389" s="64"/>
      <c r="DL389" s="61"/>
      <c r="DM389" s="64"/>
      <c r="DN389" s="61"/>
      <c r="DO389" s="64"/>
      <c r="DP389" s="61"/>
      <c r="DQ389" s="64"/>
      <c r="DR389" s="61"/>
      <c r="DS389" s="64"/>
      <c r="DT389" s="61"/>
      <c r="DU389" s="64"/>
      <c r="DV389" s="61"/>
      <c r="DW389" s="64"/>
      <c r="DX389" s="64"/>
      <c r="DY389" s="64"/>
      <c r="DZ389" s="61"/>
      <c r="EA389" s="64"/>
      <c r="EB389" s="61"/>
      <c r="EC389" s="64"/>
      <c r="ED389" s="61"/>
      <c r="EE389" s="64"/>
      <c r="EF389" s="61"/>
      <c r="EG389" s="64"/>
      <c r="EH389" s="61"/>
      <c r="EI389" s="64"/>
      <c r="EJ389" s="61"/>
      <c r="EK389" s="64"/>
      <c r="EL389" s="61"/>
      <c r="EM389" s="64"/>
      <c r="EN389" s="61"/>
      <c r="EO389" s="64"/>
      <c r="EP389" s="61"/>
      <c r="EQ389" s="64"/>
      <c r="ER389" s="61"/>
      <c r="ES389" s="64"/>
      <c r="ET389" s="61"/>
      <c r="EU389" s="64"/>
      <c r="EV389" s="61"/>
      <c r="EW389" s="64"/>
      <c r="EX389" s="61"/>
      <c r="EY389" s="64"/>
      <c r="EZ389" s="558"/>
      <c r="FA389" s="64"/>
      <c r="FB389" s="66"/>
      <c r="FC389" s="64"/>
      <c r="FD389" s="66"/>
      <c r="FE389" s="107"/>
      <c r="FF389" s="66"/>
      <c r="FG389" s="107"/>
      <c r="FH389" s="66"/>
      <c r="FI389" s="107"/>
      <c r="FJ389" s="66"/>
      <c r="FK389" s="107"/>
      <c r="FL389" s="66"/>
      <c r="FM389" s="61"/>
      <c r="FN389" s="66"/>
      <c r="FO389" s="61"/>
      <c r="FP389" s="65"/>
      <c r="FQ389" s="61"/>
      <c r="FR389" s="65"/>
      <c r="FS389" s="61"/>
      <c r="FT389" s="65"/>
      <c r="FU389" s="61"/>
      <c r="FV389" s="65"/>
      <c r="FW389" s="61"/>
      <c r="FX389" s="65"/>
      <c r="FY389" s="61"/>
      <c r="FZ389" s="65"/>
      <c r="GA389" s="61"/>
      <c r="GB389" s="65"/>
      <c r="GC389" s="61"/>
      <c r="GD389" s="65"/>
      <c r="GE389" s="61"/>
      <c r="GF389" s="65"/>
      <c r="GG389" s="61"/>
      <c r="GH389" s="65"/>
      <c r="GI389" s="61"/>
      <c r="GJ389" s="65"/>
      <c r="GK389" s="61"/>
      <c r="GL389" s="65"/>
      <c r="GM389" s="61"/>
      <c r="GN389" s="65"/>
      <c r="GO389" s="61"/>
      <c r="GP389" s="65"/>
      <c r="GQ389" s="61"/>
      <c r="GR389" s="64"/>
      <c r="GS389" s="61"/>
      <c r="GT389" s="64"/>
      <c r="GU389" s="61"/>
      <c r="GV389" s="64"/>
      <c r="GW389" s="61"/>
      <c r="GX389" s="64"/>
      <c r="GY389" s="61"/>
      <c r="GZ389" s="61"/>
      <c r="HA389" s="61"/>
      <c r="HB389" s="452"/>
      <c r="HC389"/>
      <c r="HD389"/>
      <c r="HE389"/>
      <c r="HF389"/>
      <c r="HG389"/>
      <c r="HH389"/>
    </row>
    <row r="390" spans="1:216" s="5" customFormat="1" ht="12.75" hidden="1" customHeight="1" outlineLevel="1" x14ac:dyDescent="0.2">
      <c r="B390" s="134" t="s">
        <v>578</v>
      </c>
      <c r="C390" s="66"/>
      <c r="D390" s="67"/>
      <c r="E390" s="66"/>
      <c r="F390" s="66"/>
      <c r="G390" s="64"/>
      <c r="H390" s="66"/>
      <c r="I390" s="64"/>
      <c r="J390" s="66"/>
      <c r="K390" s="64"/>
      <c r="L390" s="61"/>
      <c r="M390" s="66"/>
      <c r="N390" s="61"/>
      <c r="O390" s="64"/>
      <c r="P390" s="61"/>
      <c r="Q390" s="64"/>
      <c r="R390" s="61"/>
      <c r="S390" s="64"/>
      <c r="T390" s="61"/>
      <c r="U390" s="64"/>
      <c r="V390" s="61"/>
      <c r="W390" s="64"/>
      <c r="X390" s="61"/>
      <c r="Y390" s="64"/>
      <c r="Z390" s="61"/>
      <c r="AA390" s="64"/>
      <c r="AB390" s="61"/>
      <c r="AC390" s="64"/>
      <c r="AD390" s="61"/>
      <c r="AE390" s="64"/>
      <c r="AF390" s="61"/>
      <c r="AG390" s="64"/>
      <c r="AH390" s="61"/>
      <c r="AI390" s="64"/>
      <c r="AJ390" s="61"/>
      <c r="AK390" s="64"/>
      <c r="AL390" s="61"/>
      <c r="AM390" s="64"/>
      <c r="AN390" s="61"/>
      <c r="AO390" s="64"/>
      <c r="AP390" s="61"/>
      <c r="AQ390" s="64"/>
      <c r="AR390" s="61"/>
      <c r="AS390" s="64"/>
      <c r="AT390" s="61"/>
      <c r="AU390" s="64"/>
      <c r="AV390" s="61"/>
      <c r="AW390" s="64"/>
      <c r="AX390" s="61"/>
      <c r="AY390" s="64"/>
      <c r="AZ390" s="61"/>
      <c r="BA390" s="64"/>
      <c r="BB390" s="61"/>
      <c r="BC390" s="64"/>
      <c r="BD390" s="61"/>
      <c r="BE390" s="64"/>
      <c r="BF390" s="61"/>
      <c r="BG390" s="64"/>
      <c r="BH390" s="61"/>
      <c r="BI390" s="64"/>
      <c r="BJ390" s="61"/>
      <c r="BK390" s="64"/>
      <c r="BL390" s="61"/>
      <c r="BM390" s="64"/>
      <c r="BN390" s="61"/>
      <c r="BO390" s="64"/>
      <c r="BP390" s="61"/>
      <c r="BQ390" s="64"/>
      <c r="BR390" s="61"/>
      <c r="BS390" s="64"/>
      <c r="BT390" s="61"/>
      <c r="BU390" s="64"/>
      <c r="BV390" s="61"/>
      <c r="BW390" s="64"/>
      <c r="BX390" s="61"/>
      <c r="BY390" s="64"/>
      <c r="BZ390" s="61"/>
      <c r="CA390" s="64"/>
      <c r="CB390" s="61"/>
      <c r="CC390" s="64"/>
      <c r="CD390" s="61"/>
      <c r="CE390" s="64"/>
      <c r="CF390" s="61"/>
      <c r="CG390" s="64"/>
      <c r="CH390" s="61"/>
      <c r="CI390" s="64"/>
      <c r="CJ390" s="61"/>
      <c r="CK390" s="64"/>
      <c r="CL390" s="61"/>
      <c r="CM390" s="64"/>
      <c r="CN390" s="61"/>
      <c r="CO390" s="64"/>
      <c r="CP390" s="61"/>
      <c r="CQ390" s="64"/>
      <c r="CR390" s="61"/>
      <c r="CS390" s="64"/>
      <c r="CT390" s="61"/>
      <c r="CU390" s="64"/>
      <c r="CV390" s="61"/>
      <c r="CW390" s="64"/>
      <c r="CX390" s="61"/>
      <c r="CY390" s="64"/>
      <c r="CZ390" s="61"/>
      <c r="DA390" s="64"/>
      <c r="DB390" s="61"/>
      <c r="DC390" s="64"/>
      <c r="DD390" s="61"/>
      <c r="DE390" s="64"/>
      <c r="DF390" s="61"/>
      <c r="DG390" s="64"/>
      <c r="DH390" s="61"/>
      <c r="DI390" s="64"/>
      <c r="DJ390" s="61"/>
      <c r="DK390" s="64"/>
      <c r="DL390" s="61"/>
      <c r="DM390" s="64"/>
      <c r="DN390" s="61"/>
      <c r="DO390" s="64"/>
      <c r="DP390" s="61"/>
      <c r="DQ390" s="64"/>
      <c r="DR390" s="61"/>
      <c r="DS390" s="64"/>
      <c r="DT390" s="61"/>
      <c r="DU390" s="64"/>
      <c r="DV390" s="61"/>
      <c r="DW390" s="64"/>
      <c r="DX390" s="64"/>
      <c r="DY390" s="64"/>
      <c r="DZ390" s="61"/>
      <c r="EA390" s="64"/>
      <c r="EB390" s="61"/>
      <c r="EC390" s="64"/>
      <c r="ED390" s="61"/>
      <c r="EE390" s="64"/>
      <c r="EF390" s="61"/>
      <c r="EG390" s="64"/>
      <c r="EH390" s="61"/>
      <c r="EI390" s="64"/>
      <c r="EJ390" s="61"/>
      <c r="EK390" s="64"/>
      <c r="EL390" s="61"/>
      <c r="EM390" s="64"/>
      <c r="EN390" s="61"/>
      <c r="EO390" s="64"/>
      <c r="EP390" s="61"/>
      <c r="EQ390" s="64"/>
      <c r="ER390" s="61"/>
      <c r="ES390" s="64"/>
      <c r="ET390" s="61"/>
      <c r="EU390" s="64"/>
      <c r="EV390" s="61"/>
      <c r="EW390" s="64"/>
      <c r="EX390" s="61"/>
      <c r="EY390" s="64"/>
      <c r="EZ390" s="558"/>
      <c r="FA390" s="64"/>
      <c r="FB390" s="66"/>
      <c r="FC390" s="66"/>
      <c r="FD390" s="66"/>
      <c r="FE390" s="67"/>
      <c r="FF390" s="66"/>
      <c r="FG390" s="67"/>
      <c r="FH390" s="66"/>
      <c r="FI390" s="67"/>
      <c r="FJ390" s="66"/>
      <c r="FK390" s="67"/>
      <c r="FL390" s="66"/>
      <c r="FM390" s="61"/>
      <c r="FN390" s="66"/>
      <c r="FO390" s="61"/>
      <c r="FP390" s="65"/>
      <c r="FQ390" s="61"/>
      <c r="FR390" s="65"/>
      <c r="FS390" s="61"/>
      <c r="FT390" s="65"/>
      <c r="FU390" s="61"/>
      <c r="FV390" s="65"/>
      <c r="FW390" s="61"/>
      <c r="FX390" s="65"/>
      <c r="FY390" s="61"/>
      <c r="FZ390" s="65"/>
      <c r="GA390" s="61"/>
      <c r="GB390" s="65"/>
      <c r="GC390" s="61"/>
      <c r="GD390" s="65"/>
      <c r="GE390" s="61"/>
      <c r="GF390" s="65"/>
      <c r="GG390" s="61"/>
      <c r="GH390" s="65"/>
      <c r="GI390" s="61"/>
      <c r="GJ390" s="65"/>
      <c r="GK390" s="61"/>
      <c r="GL390" s="65"/>
      <c r="GM390" s="61"/>
      <c r="GN390" s="65"/>
      <c r="GO390" s="61"/>
      <c r="GP390" s="65"/>
      <c r="GQ390" s="61"/>
      <c r="GR390" s="64"/>
      <c r="GS390" s="61"/>
      <c r="GT390" s="64"/>
      <c r="GU390" s="61"/>
      <c r="GV390" s="64"/>
      <c r="GW390" s="61"/>
      <c r="GX390" s="64"/>
      <c r="GY390" s="61"/>
      <c r="GZ390" s="61"/>
      <c r="HA390" s="61"/>
      <c r="HB390" s="452"/>
      <c r="HC390"/>
      <c r="HD390"/>
      <c r="HE390"/>
      <c r="HF390"/>
      <c r="HG390"/>
      <c r="HH390"/>
    </row>
    <row r="391" spans="1:216" s="5" customFormat="1" ht="12.75" hidden="1" customHeight="1" outlineLevel="1" x14ac:dyDescent="0.2">
      <c r="A391" s="5" t="s">
        <v>378</v>
      </c>
      <c r="B391" s="2" t="s">
        <v>351</v>
      </c>
      <c r="C391" s="69"/>
      <c r="D391" s="70"/>
      <c r="E391" s="69"/>
      <c r="F391" s="71"/>
      <c r="G391" s="69"/>
      <c r="H391" s="71"/>
      <c r="I391" s="69"/>
      <c r="J391" s="71"/>
      <c r="K391" s="69"/>
      <c r="L391" s="61"/>
      <c r="M391" s="69"/>
      <c r="N391" s="61"/>
      <c r="O391" s="69"/>
      <c r="P391" s="61"/>
      <c r="Q391" s="69"/>
      <c r="R391" s="61"/>
      <c r="S391" s="69"/>
      <c r="T391" s="61"/>
      <c r="U391" s="69"/>
      <c r="V391" s="61"/>
      <c r="W391" s="69"/>
      <c r="X391" s="61"/>
      <c r="Y391" s="69"/>
      <c r="Z391" s="61"/>
      <c r="AA391" s="69"/>
      <c r="AB391" s="61"/>
      <c r="AC391" s="69"/>
      <c r="AD391" s="61"/>
      <c r="AE391" s="69"/>
      <c r="AF391" s="61"/>
      <c r="AG391" s="69"/>
      <c r="AH391" s="61"/>
      <c r="AI391" s="69"/>
      <c r="AJ391" s="61"/>
      <c r="AK391" s="69"/>
      <c r="AL391" s="61"/>
      <c r="AM391" s="69"/>
      <c r="AN391" s="61"/>
      <c r="AO391" s="69"/>
      <c r="AP391" s="61"/>
      <c r="AQ391" s="69">
        <f>AQ376-AQ385</f>
        <v>6.9000000000000057</v>
      </c>
      <c r="AR391" s="61" t="str">
        <f t="shared" ref="AR391:AR397" si="2294">IF(ISERROR((AQ391/AI391-1)*100),"NA",IF(((AQ391/AI391-1)*100)&gt;100,"NM",IF(((AQ391/AI391-1)*100)&lt;-50,"NM",(AQ391/AI391-1)*100)))</f>
        <v>NA</v>
      </c>
      <c r="AS391" s="69">
        <f>AS376-AS385</f>
        <v>-2.0999999999999943</v>
      </c>
      <c r="AT391" s="61" t="str">
        <f t="shared" ref="AT391:AT397" si="2295">IF(ISERROR((AS391/AK391-1)*100),"NA",IF(((AS391/AK391-1)*100)&gt;100,"NM",IF(((AS391/AK391-1)*100)&lt;-50,"NM",(AS391/AK391-1)*100)))</f>
        <v>NA</v>
      </c>
      <c r="AU391" s="69">
        <f>AU376-AU385</f>
        <v>8.3000000000000114</v>
      </c>
      <c r="AV391" s="61" t="str">
        <f t="shared" ref="AV391:AX397" si="2296">IF(ISERROR((AU391/AM391-1)*100),"NA",IF(((AU391/AM391-1)*100)&gt;100,"NM",IF(((AU391/AM391-1)*100)&lt;-50,"NM",(AU391/AM391-1)*100)))</f>
        <v>NA</v>
      </c>
      <c r="AW391" s="69">
        <f>AW376-AW385</f>
        <v>13.599999999999994</v>
      </c>
      <c r="AX391" s="61" t="str">
        <f t="shared" si="2296"/>
        <v>NA</v>
      </c>
      <c r="AY391" s="69">
        <f>AY376-AY385</f>
        <v>23.500000000000028</v>
      </c>
      <c r="AZ391" s="61" t="str">
        <f t="shared" ref="AZ391:AZ397" si="2297">IF(ISERROR((AY391/AQ391-1)*100),"NA",IF(((AY391/AQ391-1)*100)&gt;100,"NM",IF(((AY391/AQ391-1)*100)&lt;-50,"NM",(AY391/AQ391-1)*100)))</f>
        <v>NM</v>
      </c>
      <c r="BA391" s="69">
        <f>BA376-BA385</f>
        <v>18.299999999999983</v>
      </c>
      <c r="BB391" s="61" t="str">
        <f t="shared" ref="BB391:BB397" si="2298">IF(ISERROR((BA391/AS391-1)*100),"NA",IF(((BA391/AS391-1)*100)&gt;100,"NM",IF(((BA391/AS391-1)*100)&lt;-50,"NM",(BA391/AS391-1)*100)))</f>
        <v>NM</v>
      </c>
      <c r="BC391" s="69">
        <f>BC376-BC385</f>
        <v>20.100000000000009</v>
      </c>
      <c r="BD391" s="61" t="str">
        <f t="shared" ref="BD391:BD397" si="2299">IF(ISERROR((BC391/AU391-1)*100),"NA",IF(((BC391/AU391-1)*100)&gt;100,"NM",IF(((BC391/AU391-1)*100)&lt;-50,"NM",(BC391/AU391-1)*100)))</f>
        <v>NM</v>
      </c>
      <c r="BE391" s="69">
        <f>BE376-BE385</f>
        <v>22.700000000000003</v>
      </c>
      <c r="BF391" s="61">
        <f t="shared" ref="BF391:BF397" si="2300">IF(ISERROR((BE391/AW391-1)*100),"NA",IF(((BE391/AW391-1)*100)&gt;100,"NM",IF(((BE391/AW391-1)*100)&lt;-50,"NM",(BE391/AW391-1)*100)))</f>
        <v>66.911764705882447</v>
      </c>
      <c r="BG391" s="69">
        <f>BG376-BG385</f>
        <v>25.500000000000028</v>
      </c>
      <c r="BH391" s="61">
        <f t="shared" ref="BH391:BH397" si="2301">IF(ISERROR((BG391/AY391-1)*100),"NA",IF(((BG391/AY391-1)*100)&gt;100,"NM",IF(((BG391/AY391-1)*100)&lt;-50,"NM",(BG391/AY391-1)*100)))</f>
        <v>8.5106382978723296</v>
      </c>
      <c r="BI391" s="69">
        <f>BI376-BI385</f>
        <v>17.900000000000006</v>
      </c>
      <c r="BJ391" s="61">
        <f t="shared" ref="BJ391:BJ397" si="2302">IF(ISERROR((BI391/BA391-1)*100),"NA",IF(((BI391/BA391-1)*100)&gt;100,"NM",IF(((BI391/BA391-1)*100)&lt;-50,"NM",(BI391/BA391-1)*100)))</f>
        <v>-2.1857923497266563</v>
      </c>
      <c r="BK391" s="69">
        <f>BK376-BK385</f>
        <v>34.099999999999994</v>
      </c>
      <c r="BL391" s="61">
        <f t="shared" ref="BL391:BL397" si="2303">IF(ISERROR((BK391/BC391-1)*100),"NA",IF(((BK391/BC391-1)*100)&gt;100,"NM",IF(((BK391/BC391-1)*100)&lt;-50,"NM",(BK391/BC391-1)*100)))</f>
        <v>69.65174129353224</v>
      </c>
      <c r="BM391" s="69">
        <f>BM376-BM385</f>
        <v>42.2</v>
      </c>
      <c r="BN391" s="61">
        <f t="shared" ref="BN391:BN397" si="2304">IF(ISERROR((BM391/BE391-1)*100),"NA",IF(((BM391/BE391-1)*100)&gt;100,"NM",IF(((BM391/BE391-1)*100)&lt;-50,"NM",(BM391/BE391-1)*100)))</f>
        <v>85.903083700440504</v>
      </c>
      <c r="BO391" s="69">
        <f>BO376-BO385</f>
        <v>19.300000000000011</v>
      </c>
      <c r="BP391" s="61">
        <f t="shared" ref="BP391:BP397" si="2305">IF(ISERROR((BO391/BG391-1)*100),"NA",IF(((BO391/BG391-1)*100)&gt;100,"NM",IF(((BO391/BG391-1)*100)&lt;-50,"NM",(BO391/BG391-1)*100)))</f>
        <v>-24.313725490196113</v>
      </c>
      <c r="BQ391" s="69">
        <f>BQ376-BQ385</f>
        <v>23.500000000000014</v>
      </c>
      <c r="BR391" s="61">
        <f t="shared" ref="BR391:BR397" si="2306">IF(ISERROR((BQ391/BI391-1)*100),"NA",IF(((BQ391/BI391-1)*100)&gt;100,"NM",IF(((BQ391/BI391-1)*100)&lt;-50,"NM",(BQ391/BI391-1)*100)))</f>
        <v>31.284916201117351</v>
      </c>
      <c r="BS391" s="69">
        <f>BS376-BS385</f>
        <v>8.1000000000000085</v>
      </c>
      <c r="BT391" s="61" t="str">
        <f t="shared" ref="BT391:BT397" si="2307">IF(ISERROR((BS391/BK391-1)*100),"NA",IF(((BS391/BK391-1)*100)&gt;100,"NM",IF(((BS391/BK391-1)*100)&lt;-50,"NM",(BS391/BK391-1)*100)))</f>
        <v>NM</v>
      </c>
      <c r="BU391" s="69">
        <f>BU376-BU385</f>
        <v>-6.2999999999999972</v>
      </c>
      <c r="BV391" s="61" t="str">
        <f t="shared" ref="BV391:BV397" si="2308">IF(ISERROR((BU391/BM391-1)*100),"NA",IF(((BU391/BM391-1)*100)&gt;100,"NM",IF(((BU391/BM391-1)*100)&lt;-50,"NM",(BU391/BM391-1)*100)))</f>
        <v>NM</v>
      </c>
      <c r="BW391" s="69">
        <f>BW376-BW385</f>
        <v>3.5</v>
      </c>
      <c r="BX391" s="61" t="str">
        <f t="shared" ref="BX391:BX397" si="2309">IF(ISERROR((BW391/BO391-1)*100),"NA",IF(((BW391/BO391-1)*100)&gt;100,"NM",IF(((BW391/BO391-1)*100)&lt;-50,"NM",(BW391/BO391-1)*100)))</f>
        <v>NM</v>
      </c>
      <c r="BY391" s="69">
        <f>BY376-BY385</f>
        <v>9.8999999999999915</v>
      </c>
      <c r="BZ391" s="61" t="str">
        <f t="shared" ref="BZ391:BZ397" si="2310">IF(ISERROR((BY391/BQ391-1)*100),"NA",IF(((BY391/BQ391-1)*100)&gt;100,"NM",IF(((BY391/BQ391-1)*100)&lt;-50,"NM",(BY391/BQ391-1)*100)))</f>
        <v>NM</v>
      </c>
      <c r="CA391" s="69"/>
      <c r="CB391" s="61"/>
      <c r="CC391" s="69"/>
      <c r="CD391" s="61"/>
      <c r="CE391" s="69"/>
      <c r="CF391" s="61"/>
      <c r="CG391" s="69"/>
      <c r="CH391" s="61"/>
      <c r="CI391" s="69"/>
      <c r="CJ391" s="61"/>
      <c r="CK391" s="69"/>
      <c r="CL391" s="61"/>
      <c r="CM391" s="69"/>
      <c r="CN391" s="61"/>
      <c r="CO391" s="69"/>
      <c r="CP391" s="61"/>
      <c r="CQ391" s="69"/>
      <c r="CR391" s="61"/>
      <c r="CS391" s="69"/>
      <c r="CT391" s="61"/>
      <c r="CU391" s="69"/>
      <c r="CV391" s="61"/>
      <c r="CW391" s="69"/>
      <c r="CX391" s="61"/>
      <c r="CY391" s="69"/>
      <c r="CZ391" s="61"/>
      <c r="DA391" s="69"/>
      <c r="DB391" s="61"/>
      <c r="DC391" s="69"/>
      <c r="DD391" s="61"/>
      <c r="DE391" s="69"/>
      <c r="DF391" s="61"/>
      <c r="DG391" s="69"/>
      <c r="DH391" s="61"/>
      <c r="DI391" s="69"/>
      <c r="DJ391" s="61"/>
      <c r="DK391" s="69"/>
      <c r="DL391" s="61"/>
      <c r="DM391" s="69"/>
      <c r="DN391" s="61"/>
      <c r="DO391" s="69"/>
      <c r="DP391" s="61"/>
      <c r="DQ391" s="69"/>
      <c r="DR391" s="61"/>
      <c r="DS391" s="69"/>
      <c r="DT391" s="61"/>
      <c r="DU391" s="69"/>
      <c r="DV391" s="61"/>
      <c r="DW391" s="69"/>
      <c r="DX391" s="69"/>
      <c r="DY391" s="69"/>
      <c r="DZ391" s="61"/>
      <c r="EA391" s="69"/>
      <c r="EB391" s="61"/>
      <c r="EC391" s="69"/>
      <c r="ED391" s="61"/>
      <c r="EE391" s="69"/>
      <c r="EF391" s="61"/>
      <c r="EG391" s="69"/>
      <c r="EH391" s="61"/>
      <c r="EI391" s="69"/>
      <c r="EJ391" s="61"/>
      <c r="EK391" s="69"/>
      <c r="EL391" s="61"/>
      <c r="EM391" s="69"/>
      <c r="EN391" s="61"/>
      <c r="EO391" s="69"/>
      <c r="EP391" s="61"/>
      <c r="EQ391" s="69"/>
      <c r="ER391" s="61"/>
      <c r="ES391" s="69"/>
      <c r="ET391" s="61"/>
      <c r="EU391" s="69"/>
      <c r="EV391" s="61"/>
      <c r="EW391" s="69"/>
      <c r="EX391" s="61"/>
      <c r="EY391" s="64"/>
      <c r="EZ391" s="558"/>
      <c r="FA391" s="64"/>
      <c r="FB391" s="69"/>
      <c r="FC391" s="71"/>
      <c r="FD391" s="69"/>
      <c r="FE391" s="70"/>
      <c r="FF391" s="69"/>
      <c r="FG391" s="70"/>
      <c r="FH391" s="69"/>
      <c r="FI391" s="70"/>
      <c r="FJ391" s="69"/>
      <c r="FK391" s="70"/>
      <c r="FL391" s="69"/>
      <c r="FM391" s="61"/>
      <c r="FN391" s="69"/>
      <c r="FO391" s="61"/>
      <c r="FP391" s="73">
        <f>AQ391+AS391+AU391+AW391</f>
        <v>26.700000000000017</v>
      </c>
      <c r="FQ391" s="61" t="str">
        <f t="shared" ref="FQ391:FQ397" si="2311">IF(ISERROR((FP391/FN391-1)*100),"NA",IF(((FP391/FN391-1)*100)&gt;100,"NM",IF(((FP391/FN391-1)*100)&lt;-50,"NM",(FP391/FN391-1)*100)))</f>
        <v>NA</v>
      </c>
      <c r="FR391" s="73">
        <f>FR376-FR385</f>
        <v>84.600000000000023</v>
      </c>
      <c r="FS391" s="61" t="str">
        <f t="shared" ref="FS391:FS397" si="2312">IF(ISERROR((FR391/FP391-1)*100),"NA",IF(((FR391/FP391-1)*100)&gt;100,"NM",IF(((FR391/FP391-1)*100)&lt;-50,"NM",(FR391/FP391-1)*100)))</f>
        <v>NM</v>
      </c>
      <c r="FT391" s="73">
        <f>FT376-FT385</f>
        <v>119.70000000000005</v>
      </c>
      <c r="FU391" s="61">
        <f t="shared" ref="FU391:FU397" si="2313">IF(ISERROR((FT391/FR391-1)*100),"NA",IF(((FT391/FR391-1)*100)&gt;100,"NM",IF(((FT391/FR391-1)*100)&lt;-50,"NM",(FT391/FR391-1)*100)))</f>
        <v>41.489361702127667</v>
      </c>
      <c r="FV391" s="73">
        <f>FV376-FV385</f>
        <v>44.600000000000023</v>
      </c>
      <c r="FW391" s="61" t="str">
        <f t="shared" ref="FW391:FW397" si="2314">IF(ISERROR((FV391/FT391-1)*100),"NA",IF(((FV391/FT391-1)*100)&gt;100,"NM",IF(((FV391/FT391-1)*100)&lt;-50,"NM",(FV391/FT391-1)*100)))</f>
        <v>NM</v>
      </c>
      <c r="FX391" s="73">
        <f>FX376-FX385</f>
        <v>13.399999999999977</v>
      </c>
      <c r="FY391" s="61" t="str">
        <f t="shared" ref="FY391:FY397" si="2315">IF(ISERROR((FX391/FV391-1)*100),"NA",IF(((FX391/FV391-1)*100)&gt;100,"NM",IF(((FX391/FV391-1)*100)&lt;-50,"NM",(FX391/FV391-1)*100)))</f>
        <v>NM</v>
      </c>
      <c r="FZ391" s="73"/>
      <c r="GA391" s="61"/>
      <c r="GB391" s="73"/>
      <c r="GC391" s="61"/>
      <c r="GD391" s="73"/>
      <c r="GE391" s="61"/>
      <c r="GF391" s="73"/>
      <c r="GG391" s="61"/>
      <c r="GH391" s="73"/>
      <c r="GI391" s="61"/>
      <c r="GJ391" s="73"/>
      <c r="GK391" s="61"/>
      <c r="GL391" s="73"/>
      <c r="GM391" s="61"/>
      <c r="GN391" s="73"/>
      <c r="GO391" s="61"/>
      <c r="GP391" s="73"/>
      <c r="GQ391" s="61"/>
      <c r="GR391" s="69"/>
      <c r="GS391" s="61"/>
      <c r="GT391" s="69"/>
      <c r="GU391" s="61"/>
      <c r="GV391" s="69"/>
      <c r="GW391" s="61"/>
      <c r="GX391" s="69"/>
      <c r="GY391" s="61"/>
      <c r="GZ391" s="61"/>
      <c r="HA391" s="61"/>
      <c r="HB391" s="452"/>
      <c r="HC391"/>
      <c r="HD391"/>
      <c r="HE391"/>
      <c r="HF391"/>
      <c r="HG391"/>
      <c r="HH391"/>
    </row>
    <row r="392" spans="1:216" s="5" customFormat="1" ht="12.75" hidden="1" customHeight="1" outlineLevel="1" x14ac:dyDescent="0.2">
      <c r="B392" s="2" t="s">
        <v>115</v>
      </c>
      <c r="C392" s="72"/>
      <c r="D392" s="70"/>
      <c r="E392" s="72"/>
      <c r="F392" s="71"/>
      <c r="G392" s="74"/>
      <c r="H392" s="71"/>
      <c r="I392" s="74"/>
      <c r="J392" s="71"/>
      <c r="K392" s="74"/>
      <c r="L392" s="61"/>
      <c r="M392" s="72"/>
      <c r="N392" s="61"/>
      <c r="O392" s="74"/>
      <c r="P392" s="61"/>
      <c r="Q392" s="74"/>
      <c r="R392" s="61"/>
      <c r="S392" s="74"/>
      <c r="T392" s="61"/>
      <c r="U392" s="74"/>
      <c r="V392" s="61"/>
      <c r="W392" s="74"/>
      <c r="X392" s="61"/>
      <c r="Y392" s="74"/>
      <c r="Z392" s="61"/>
      <c r="AA392" s="74"/>
      <c r="AB392" s="61"/>
      <c r="AC392" s="74"/>
      <c r="AD392" s="61"/>
      <c r="AE392" s="74"/>
      <c r="AF392" s="61"/>
      <c r="AG392" s="74"/>
      <c r="AH392" s="61"/>
      <c r="AI392" s="74"/>
      <c r="AJ392" s="61"/>
      <c r="AK392" s="74"/>
      <c r="AL392" s="61"/>
      <c r="AM392" s="74"/>
      <c r="AN392" s="61"/>
      <c r="AO392" s="74"/>
      <c r="AP392" s="61"/>
      <c r="AQ392" s="74">
        <v>2.2999999999999998</v>
      </c>
      <c r="AR392" s="61" t="str">
        <f t="shared" si="2294"/>
        <v>NA</v>
      </c>
      <c r="AS392" s="74">
        <v>-0.8</v>
      </c>
      <c r="AT392" s="61" t="str">
        <f t="shared" si="2295"/>
        <v>NA</v>
      </c>
      <c r="AU392" s="74">
        <v>3.4</v>
      </c>
      <c r="AV392" s="61" t="str">
        <f t="shared" si="2296"/>
        <v>NA</v>
      </c>
      <c r="AW392" s="74">
        <v>4.5999999999999996</v>
      </c>
      <c r="AX392" s="61" t="str">
        <f t="shared" si="2296"/>
        <v>NA</v>
      </c>
      <c r="AY392" s="74">
        <v>8.1999999999999993</v>
      </c>
      <c r="AZ392" s="61" t="str">
        <f t="shared" si="2297"/>
        <v>NM</v>
      </c>
      <c r="BA392" s="74">
        <v>6.3</v>
      </c>
      <c r="BB392" s="61" t="str">
        <f t="shared" si="2298"/>
        <v>NM</v>
      </c>
      <c r="BC392" s="74">
        <v>6.7</v>
      </c>
      <c r="BD392" s="61">
        <f t="shared" si="2299"/>
        <v>97.058823529411768</v>
      </c>
      <c r="BE392" s="74">
        <v>8.3000000000000007</v>
      </c>
      <c r="BF392" s="61">
        <f t="shared" si="2300"/>
        <v>80.43478260869567</v>
      </c>
      <c r="BG392" s="74">
        <v>9.3000000000000007</v>
      </c>
      <c r="BH392" s="61">
        <f t="shared" si="2301"/>
        <v>13.414634146341475</v>
      </c>
      <c r="BI392" s="74">
        <v>6.6</v>
      </c>
      <c r="BJ392" s="61">
        <f t="shared" si="2302"/>
        <v>4.7619047619047672</v>
      </c>
      <c r="BK392" s="74">
        <v>12.3</v>
      </c>
      <c r="BL392" s="61">
        <f t="shared" si="2303"/>
        <v>83.582089552238799</v>
      </c>
      <c r="BM392" s="74">
        <v>15.2</v>
      </c>
      <c r="BN392" s="61">
        <f t="shared" si="2304"/>
        <v>83.132530120481903</v>
      </c>
      <c r="BO392" s="74">
        <v>7.1</v>
      </c>
      <c r="BP392" s="61">
        <f t="shared" si="2305"/>
        <v>-23.655913978494635</v>
      </c>
      <c r="BQ392" s="74">
        <v>8.5</v>
      </c>
      <c r="BR392" s="61">
        <f t="shared" si="2306"/>
        <v>28.787878787878785</v>
      </c>
      <c r="BS392" s="74">
        <v>2.8</v>
      </c>
      <c r="BT392" s="61" t="str">
        <f t="shared" si="2307"/>
        <v>NM</v>
      </c>
      <c r="BU392" s="74">
        <v>-2</v>
      </c>
      <c r="BV392" s="61" t="str">
        <f t="shared" si="2308"/>
        <v>NM</v>
      </c>
      <c r="BW392" s="74">
        <v>2.1</v>
      </c>
      <c r="BX392" s="61" t="str">
        <f t="shared" si="2309"/>
        <v>NM</v>
      </c>
      <c r="BY392" s="74">
        <v>4.8</v>
      </c>
      <c r="BZ392" s="61">
        <f t="shared" si="2310"/>
        <v>-43.529411764705884</v>
      </c>
      <c r="CA392" s="74"/>
      <c r="CB392" s="61"/>
      <c r="CC392" s="74"/>
      <c r="CD392" s="61"/>
      <c r="CE392" s="74"/>
      <c r="CF392" s="61"/>
      <c r="CG392" s="74"/>
      <c r="CH392" s="61"/>
      <c r="CI392" s="74"/>
      <c r="CJ392" s="61"/>
      <c r="CK392" s="74"/>
      <c r="CL392" s="61"/>
      <c r="CM392" s="74"/>
      <c r="CN392" s="61"/>
      <c r="CO392" s="74"/>
      <c r="CP392" s="61"/>
      <c r="CQ392" s="74"/>
      <c r="CR392" s="61"/>
      <c r="CS392" s="74"/>
      <c r="CT392" s="61"/>
      <c r="CU392" s="74"/>
      <c r="CV392" s="61"/>
      <c r="CW392" s="74"/>
      <c r="CX392" s="61"/>
      <c r="CY392" s="74"/>
      <c r="CZ392" s="61"/>
      <c r="DA392" s="74"/>
      <c r="DB392" s="61"/>
      <c r="DC392" s="74"/>
      <c r="DD392" s="61"/>
      <c r="DE392" s="74"/>
      <c r="DF392" s="61"/>
      <c r="DG392" s="74"/>
      <c r="DH392" s="61"/>
      <c r="DI392" s="74"/>
      <c r="DJ392" s="61"/>
      <c r="DK392" s="74"/>
      <c r="DL392" s="61"/>
      <c r="DM392" s="74"/>
      <c r="DN392" s="61"/>
      <c r="DO392" s="74"/>
      <c r="DP392" s="61"/>
      <c r="DQ392" s="74"/>
      <c r="DR392" s="61"/>
      <c r="DS392" s="74"/>
      <c r="DT392" s="61"/>
      <c r="DU392" s="74"/>
      <c r="DV392" s="61"/>
      <c r="DW392" s="74"/>
      <c r="DX392" s="74"/>
      <c r="DY392" s="74"/>
      <c r="DZ392" s="61"/>
      <c r="EA392" s="74"/>
      <c r="EB392" s="61"/>
      <c r="EC392" s="74"/>
      <c r="ED392" s="61"/>
      <c r="EE392" s="74"/>
      <c r="EF392" s="61"/>
      <c r="EG392" s="74"/>
      <c r="EH392" s="61"/>
      <c r="EI392" s="74"/>
      <c r="EJ392" s="61"/>
      <c r="EK392" s="74"/>
      <c r="EL392" s="61"/>
      <c r="EM392" s="74"/>
      <c r="EN392" s="61"/>
      <c r="EO392" s="74"/>
      <c r="EP392" s="61"/>
      <c r="EQ392" s="75"/>
      <c r="ER392" s="61"/>
      <c r="ES392" s="75"/>
      <c r="ET392" s="61"/>
      <c r="EU392" s="75"/>
      <c r="EV392" s="61"/>
      <c r="EW392" s="75"/>
      <c r="EX392" s="61"/>
      <c r="EY392" s="74"/>
      <c r="EZ392" s="558"/>
      <c r="FA392" s="74"/>
      <c r="FB392" s="72"/>
      <c r="FC392" s="91"/>
      <c r="FD392" s="72"/>
      <c r="FE392" s="126"/>
      <c r="FF392" s="72"/>
      <c r="FG392" s="126"/>
      <c r="FH392" s="72"/>
      <c r="FI392" s="126"/>
      <c r="FJ392" s="72"/>
      <c r="FK392" s="126"/>
      <c r="FL392" s="72"/>
      <c r="FM392" s="126"/>
      <c r="FN392" s="72"/>
      <c r="FO392" s="126"/>
      <c r="FP392" s="75">
        <f>AQ392+AS392+AU392+AW392</f>
        <v>9.5</v>
      </c>
      <c r="FQ392" s="61" t="str">
        <f t="shared" si="2311"/>
        <v>NA</v>
      </c>
      <c r="FR392" s="75">
        <f>AY392+BA392+BC392+BE392</f>
        <v>29.5</v>
      </c>
      <c r="FS392" s="61" t="str">
        <f t="shared" si="2312"/>
        <v>NM</v>
      </c>
      <c r="FT392" s="75">
        <f>BG392+BI392+BK392+BM392</f>
        <v>43.400000000000006</v>
      </c>
      <c r="FU392" s="61">
        <f t="shared" si="2313"/>
        <v>47.118644067796623</v>
      </c>
      <c r="FV392" s="75">
        <f>BO392+BQ392+BS392+BU392</f>
        <v>16.399999999999999</v>
      </c>
      <c r="FW392" s="61" t="str">
        <f t="shared" si="2314"/>
        <v>NM</v>
      </c>
      <c r="FX392" s="73">
        <f>BW392+BY392+CA392+CC392</f>
        <v>6.9</v>
      </c>
      <c r="FY392" s="61" t="str">
        <f t="shared" si="2315"/>
        <v>NM</v>
      </c>
      <c r="FZ392" s="73"/>
      <c r="GA392" s="61"/>
      <c r="GB392" s="73"/>
      <c r="GC392" s="61"/>
      <c r="GD392" s="73"/>
      <c r="GE392" s="61"/>
      <c r="GF392" s="73"/>
      <c r="GG392" s="61"/>
      <c r="GH392" s="73"/>
      <c r="GI392" s="61"/>
      <c r="GJ392" s="73"/>
      <c r="GK392" s="61"/>
      <c r="GL392" s="73"/>
      <c r="GM392" s="61"/>
      <c r="GN392" s="73"/>
      <c r="GO392" s="61"/>
      <c r="GP392" s="73"/>
      <c r="GQ392" s="61"/>
      <c r="GR392" s="75"/>
      <c r="GS392" s="61"/>
      <c r="GT392" s="75"/>
      <c r="GU392" s="61"/>
      <c r="GV392" s="75"/>
      <c r="GW392" s="61"/>
      <c r="GX392" s="75"/>
      <c r="GY392" s="61"/>
      <c r="GZ392" s="61"/>
      <c r="HA392" s="61"/>
      <c r="HB392" s="452"/>
      <c r="HC392"/>
      <c r="HD392"/>
      <c r="HE392"/>
      <c r="HF392"/>
      <c r="HG392"/>
      <c r="HH392"/>
    </row>
    <row r="393" spans="1:216" s="5" customFormat="1" ht="12.75" hidden="1" customHeight="1" outlineLevel="1" x14ac:dyDescent="0.2">
      <c r="B393" s="2" t="s">
        <v>331</v>
      </c>
      <c r="C393" s="81"/>
      <c r="D393" s="70"/>
      <c r="E393" s="81"/>
      <c r="F393" s="71"/>
      <c r="G393" s="81"/>
      <c r="H393" s="71"/>
      <c r="I393" s="81"/>
      <c r="J393" s="61"/>
      <c r="K393" s="81"/>
      <c r="L393" s="61"/>
      <c r="M393" s="81"/>
      <c r="N393" s="61"/>
      <c r="O393" s="81"/>
      <c r="P393" s="61"/>
      <c r="Q393" s="81"/>
      <c r="R393" s="61"/>
      <c r="S393" s="81"/>
      <c r="T393" s="61"/>
      <c r="U393" s="81"/>
      <c r="V393" s="61"/>
      <c r="W393" s="81"/>
      <c r="X393" s="61"/>
      <c r="Y393" s="81"/>
      <c r="Z393" s="61"/>
      <c r="AA393" s="81"/>
      <c r="AB393" s="61"/>
      <c r="AC393" s="81"/>
      <c r="AD393" s="61"/>
      <c r="AE393" s="81"/>
      <c r="AF393" s="61"/>
      <c r="AG393" s="81"/>
      <c r="AH393" s="61"/>
      <c r="AI393" s="81"/>
      <c r="AJ393" s="61"/>
      <c r="AK393" s="81"/>
      <c r="AL393" s="61"/>
      <c r="AM393" s="81"/>
      <c r="AN393" s="61"/>
      <c r="AO393" s="81"/>
      <c r="AP393" s="61"/>
      <c r="AQ393" s="81">
        <f>AQ392/AQ391*100</f>
        <v>33.3333333333333</v>
      </c>
      <c r="AR393" s="61" t="str">
        <f t="shared" si="2294"/>
        <v>NA</v>
      </c>
      <c r="AS393" s="81">
        <f>AS392/AS391*100</f>
        <v>38.095238095238201</v>
      </c>
      <c r="AT393" s="61" t="str">
        <f t="shared" si="2295"/>
        <v>NA</v>
      </c>
      <c r="AU393" s="81">
        <f>AU392/AU391*100</f>
        <v>40.963855421686688</v>
      </c>
      <c r="AV393" s="61" t="str">
        <f t="shared" si="2296"/>
        <v>NA</v>
      </c>
      <c r="AW393" s="81">
        <f>AW392/AW391*100</f>
        <v>33.823529411764717</v>
      </c>
      <c r="AX393" s="61" t="str">
        <f t="shared" si="2296"/>
        <v>NA</v>
      </c>
      <c r="AY393" s="81">
        <f>AY392/AY391*100</f>
        <v>34.893617021276555</v>
      </c>
      <c r="AZ393" s="61">
        <f t="shared" si="2297"/>
        <v>4.6808510638297607</v>
      </c>
      <c r="BA393" s="81">
        <f>BA392/BA391*100</f>
        <v>34.426229508196755</v>
      </c>
      <c r="BB393" s="61">
        <f t="shared" si="2298"/>
        <v>-9.6311475409837755</v>
      </c>
      <c r="BC393" s="81">
        <f>BC392/BC391*100</f>
        <v>33.333333333333321</v>
      </c>
      <c r="BD393" s="61">
        <f t="shared" si="2299"/>
        <v>-18.627450980392069</v>
      </c>
      <c r="BE393" s="81">
        <f>BE392/BE391*100</f>
        <v>36.563876651982383</v>
      </c>
      <c r="BF393" s="61">
        <f t="shared" si="2300"/>
        <v>8.101896188469615</v>
      </c>
      <c r="BG393" s="81">
        <f>BG392/BG391*100</f>
        <v>36.47058823529408</v>
      </c>
      <c r="BH393" s="61">
        <f t="shared" si="2301"/>
        <v>4.5193687230990154</v>
      </c>
      <c r="BI393" s="81">
        <f>BI392/BI391*100</f>
        <v>36.871508379888255</v>
      </c>
      <c r="BJ393" s="61">
        <f t="shared" si="2302"/>
        <v>7.1029529130086422</v>
      </c>
      <c r="BK393" s="81">
        <f>BK392/BK391*100</f>
        <v>36.070381231671561</v>
      </c>
      <c r="BL393" s="61">
        <f t="shared" si="2303"/>
        <v>8.211143695014723</v>
      </c>
      <c r="BM393" s="81">
        <f>BM392/BM391*100</f>
        <v>36.018957345971558</v>
      </c>
      <c r="BN393" s="61">
        <f t="shared" si="2304"/>
        <v>-1.4903214754753868</v>
      </c>
      <c r="BO393" s="81">
        <f>BO392/BO391*100</f>
        <v>36.787564766839353</v>
      </c>
      <c r="BP393" s="61">
        <f t="shared" si="2305"/>
        <v>0.86912919939832189</v>
      </c>
      <c r="BQ393" s="81">
        <f>BQ392/BQ391*100</f>
        <v>36.17021276595743</v>
      </c>
      <c r="BR393" s="61">
        <f t="shared" si="2306"/>
        <v>-1.9019987105093561</v>
      </c>
      <c r="BS393" s="81">
        <f>BS392/BS391*100</f>
        <v>34.567901234567863</v>
      </c>
      <c r="BT393" s="61">
        <f t="shared" si="2307"/>
        <v>-4.1654120244907444</v>
      </c>
      <c r="BU393" s="81">
        <f>BU392/BU391*100</f>
        <v>31.746031746031761</v>
      </c>
      <c r="BV393" s="61">
        <f t="shared" si="2308"/>
        <v>-11.862990810359175</v>
      </c>
      <c r="BW393" s="81">
        <f>BW392/BW391*100</f>
        <v>60</v>
      </c>
      <c r="BX393" s="61">
        <f t="shared" si="2309"/>
        <v>63.09859154929589</v>
      </c>
      <c r="BY393" s="81">
        <f>BY392/BY391*100</f>
        <v>48.484848484848527</v>
      </c>
      <c r="BZ393" s="61">
        <f t="shared" si="2310"/>
        <v>34.046345811051879</v>
      </c>
      <c r="CA393" s="81"/>
      <c r="CB393" s="61"/>
      <c r="CC393" s="81"/>
      <c r="CD393" s="61"/>
      <c r="CE393" s="81"/>
      <c r="CF393" s="61"/>
      <c r="CG393" s="81"/>
      <c r="CH393" s="61"/>
      <c r="CI393" s="81"/>
      <c r="CJ393" s="61"/>
      <c r="CK393" s="81"/>
      <c r="CL393" s="61"/>
      <c r="CM393" s="81"/>
      <c r="CN393" s="61"/>
      <c r="CO393" s="81"/>
      <c r="CP393" s="61"/>
      <c r="CQ393" s="81"/>
      <c r="CR393" s="61"/>
      <c r="CS393" s="81"/>
      <c r="CT393" s="61"/>
      <c r="CU393" s="81"/>
      <c r="CV393" s="61"/>
      <c r="CW393" s="81"/>
      <c r="CX393" s="61"/>
      <c r="CY393" s="81"/>
      <c r="CZ393" s="61"/>
      <c r="DA393" s="81"/>
      <c r="DB393" s="61"/>
      <c r="DC393" s="81"/>
      <c r="DD393" s="61"/>
      <c r="DE393" s="81"/>
      <c r="DF393" s="61"/>
      <c r="DG393" s="81"/>
      <c r="DH393" s="61"/>
      <c r="DI393" s="81"/>
      <c r="DJ393" s="61"/>
      <c r="DK393" s="81"/>
      <c r="DL393" s="61"/>
      <c r="DM393" s="81"/>
      <c r="DN393" s="61"/>
      <c r="DO393" s="81"/>
      <c r="DP393" s="61"/>
      <c r="DQ393" s="81"/>
      <c r="DR393" s="61"/>
      <c r="DS393" s="81"/>
      <c r="DT393" s="61"/>
      <c r="DU393" s="81"/>
      <c r="DV393" s="61"/>
      <c r="DW393" s="81"/>
      <c r="DX393" s="81"/>
      <c r="DY393" s="81"/>
      <c r="DZ393" s="61"/>
      <c r="EA393" s="81"/>
      <c r="EB393" s="61"/>
      <c r="EC393" s="81"/>
      <c r="ED393" s="61"/>
      <c r="EE393" s="81"/>
      <c r="EF393" s="61"/>
      <c r="EG393" s="81"/>
      <c r="EH393" s="61"/>
      <c r="EI393" s="81"/>
      <c r="EJ393" s="61"/>
      <c r="EK393" s="81"/>
      <c r="EL393" s="61"/>
      <c r="EM393" s="81"/>
      <c r="EN393" s="61"/>
      <c r="EO393" s="81"/>
      <c r="EP393" s="61"/>
      <c r="EQ393" s="89"/>
      <c r="ER393" s="61"/>
      <c r="ES393" s="89"/>
      <c r="ET393" s="61"/>
      <c r="EU393" s="89"/>
      <c r="EV393" s="61"/>
      <c r="EW393" s="89"/>
      <c r="EX393" s="61"/>
      <c r="EY393" s="64"/>
      <c r="EZ393" s="558"/>
      <c r="FA393" s="64"/>
      <c r="FB393" s="81"/>
      <c r="FC393" s="71"/>
      <c r="FD393" s="81"/>
      <c r="FE393" s="70"/>
      <c r="FF393" s="81"/>
      <c r="FG393" s="70"/>
      <c r="FH393" s="81"/>
      <c r="FI393" s="70"/>
      <c r="FJ393" s="81"/>
      <c r="FK393" s="70"/>
      <c r="FL393" s="81"/>
      <c r="FM393" s="61"/>
      <c r="FN393" s="81"/>
      <c r="FO393" s="61"/>
      <c r="FP393" s="88">
        <f>FP392/FP391*100</f>
        <v>35.580524344569262</v>
      </c>
      <c r="FQ393" s="61" t="str">
        <f t="shared" si="2311"/>
        <v>NA</v>
      </c>
      <c r="FR393" s="88">
        <f>FR392/FR391*100</f>
        <v>34.869976359338054</v>
      </c>
      <c r="FS393" s="61">
        <f t="shared" si="2312"/>
        <v>-1.9970138111235047</v>
      </c>
      <c r="FT393" s="88">
        <f>FT392/FT391*100</f>
        <v>36.257309941520461</v>
      </c>
      <c r="FU393" s="61">
        <f t="shared" si="2313"/>
        <v>3.9785905441570124</v>
      </c>
      <c r="FV393" s="88">
        <f>FV392/FV391*100</f>
        <v>36.771300448430473</v>
      </c>
      <c r="FW393" s="61">
        <f t="shared" si="2314"/>
        <v>1.4176189787356686</v>
      </c>
      <c r="FX393" s="88">
        <f>FX392/FX391*100</f>
        <v>51.492537313432926</v>
      </c>
      <c r="FY393" s="61">
        <f t="shared" si="2315"/>
        <v>40.034583181653026</v>
      </c>
      <c r="FZ393" s="88"/>
      <c r="GA393" s="61"/>
      <c r="GB393" s="88"/>
      <c r="GC393" s="61"/>
      <c r="GD393" s="88"/>
      <c r="GE393" s="61"/>
      <c r="GF393" s="88"/>
      <c r="GG393" s="61"/>
      <c r="GH393" s="88"/>
      <c r="GI393" s="61"/>
      <c r="GJ393" s="88"/>
      <c r="GK393" s="61"/>
      <c r="GL393" s="88"/>
      <c r="GM393" s="61"/>
      <c r="GN393" s="88"/>
      <c r="GO393" s="61"/>
      <c r="GP393" s="88"/>
      <c r="GQ393" s="61"/>
      <c r="GR393" s="89"/>
      <c r="GS393" s="61"/>
      <c r="GT393" s="89"/>
      <c r="GU393" s="61"/>
      <c r="GV393" s="89"/>
      <c r="GW393" s="61"/>
      <c r="GX393" s="89"/>
      <c r="GY393" s="61"/>
      <c r="GZ393" s="61"/>
      <c r="HA393" s="61"/>
      <c r="HB393" s="452"/>
      <c r="HC393"/>
      <c r="HD393"/>
      <c r="HE393"/>
      <c r="HF393"/>
      <c r="HG393"/>
      <c r="HH393"/>
    </row>
    <row r="394" spans="1:216" s="106" customFormat="1" ht="12.75" hidden="1" customHeight="1" outlineLevel="1" x14ac:dyDescent="0.2">
      <c r="B394" s="63" t="s">
        <v>284</v>
      </c>
      <c r="C394" s="102"/>
      <c r="D394" s="99"/>
      <c r="E394" s="102"/>
      <c r="F394" s="100"/>
      <c r="G394" s="102"/>
      <c r="H394" s="100"/>
      <c r="I394" s="102"/>
      <c r="J394" s="100"/>
      <c r="K394" s="102"/>
      <c r="L394" s="61"/>
      <c r="M394" s="102"/>
      <c r="N394" s="61"/>
      <c r="O394" s="102"/>
      <c r="P394" s="61"/>
      <c r="Q394" s="102"/>
      <c r="R394" s="61"/>
      <c r="S394" s="102"/>
      <c r="T394" s="61"/>
      <c r="U394" s="102"/>
      <c r="V394" s="61"/>
      <c r="W394" s="102"/>
      <c r="X394" s="61"/>
      <c r="Y394" s="102"/>
      <c r="Z394" s="61"/>
      <c r="AA394" s="102"/>
      <c r="AB394" s="61"/>
      <c r="AC394" s="102"/>
      <c r="AD394" s="61"/>
      <c r="AE394" s="102"/>
      <c r="AF394" s="61"/>
      <c r="AG394" s="102"/>
      <c r="AH394" s="61"/>
      <c r="AI394" s="102"/>
      <c r="AJ394" s="61"/>
      <c r="AK394" s="102"/>
      <c r="AL394" s="61"/>
      <c r="AM394" s="102"/>
      <c r="AN394" s="61"/>
      <c r="AO394" s="102"/>
      <c r="AP394" s="61"/>
      <c r="AQ394" s="102">
        <f>AQ391-AQ392-0.1</f>
        <v>4.5000000000000062</v>
      </c>
      <c r="AR394" s="61" t="str">
        <f t="shared" si="2294"/>
        <v>NA</v>
      </c>
      <c r="AS394" s="102">
        <f>AS391-AS392-0.1</f>
        <v>-1.3999999999999944</v>
      </c>
      <c r="AT394" s="61" t="str">
        <f t="shared" si="2295"/>
        <v>NA</v>
      </c>
      <c r="AU394" s="102">
        <f>AU391-AU392</f>
        <v>4.900000000000011</v>
      </c>
      <c r="AV394" s="61" t="str">
        <f t="shared" si="2296"/>
        <v>NA</v>
      </c>
      <c r="AW394" s="102">
        <f>AW391-AW392</f>
        <v>8.9999999999999947</v>
      </c>
      <c r="AX394" s="61" t="str">
        <f t="shared" si="2296"/>
        <v>NA</v>
      </c>
      <c r="AY394" s="102">
        <f>AY391-AY392</f>
        <v>15.300000000000029</v>
      </c>
      <c r="AZ394" s="61" t="str">
        <f t="shared" si="2297"/>
        <v>NM</v>
      </c>
      <c r="BA394" s="102">
        <f>BA391-BA392</f>
        <v>11.999999999999982</v>
      </c>
      <c r="BB394" s="61" t="str">
        <f t="shared" si="2298"/>
        <v>NM</v>
      </c>
      <c r="BC394" s="102">
        <f>BC391-BC392</f>
        <v>13.400000000000009</v>
      </c>
      <c r="BD394" s="61" t="str">
        <f t="shared" si="2299"/>
        <v>NM</v>
      </c>
      <c r="BE394" s="102">
        <f>BE391-BE392</f>
        <v>14.400000000000002</v>
      </c>
      <c r="BF394" s="61">
        <f t="shared" si="2300"/>
        <v>60.000000000000121</v>
      </c>
      <c r="BG394" s="102">
        <f>BG391-BG392</f>
        <v>16.200000000000028</v>
      </c>
      <c r="BH394" s="61">
        <f t="shared" si="2301"/>
        <v>5.8823529411764497</v>
      </c>
      <c r="BI394" s="102">
        <f>BI391-BI392</f>
        <v>11.300000000000006</v>
      </c>
      <c r="BJ394" s="61">
        <f t="shared" si="2302"/>
        <v>-5.8333333333331456</v>
      </c>
      <c r="BK394" s="102">
        <f>BK391-BK392</f>
        <v>21.799999999999994</v>
      </c>
      <c r="BL394" s="61">
        <f t="shared" si="2303"/>
        <v>62.686567164178953</v>
      </c>
      <c r="BM394" s="102">
        <f>BM391-BM392</f>
        <v>27.000000000000004</v>
      </c>
      <c r="BN394" s="61">
        <f t="shared" si="2304"/>
        <v>87.5</v>
      </c>
      <c r="BO394" s="102">
        <f>BO391-BO392</f>
        <v>12.200000000000012</v>
      </c>
      <c r="BP394" s="61">
        <f t="shared" si="2305"/>
        <v>-24.691358024691411</v>
      </c>
      <c r="BQ394" s="102">
        <f>BQ391-BQ392</f>
        <v>15.000000000000014</v>
      </c>
      <c r="BR394" s="61">
        <f t="shared" si="2306"/>
        <v>32.743362831858455</v>
      </c>
      <c r="BS394" s="102">
        <f>BS391-BS392</f>
        <v>5.3000000000000087</v>
      </c>
      <c r="BT394" s="61" t="str">
        <f t="shared" si="2307"/>
        <v>NM</v>
      </c>
      <c r="BU394" s="102">
        <f>BU391-BU392</f>
        <v>-4.2999999999999972</v>
      </c>
      <c r="BV394" s="61" t="str">
        <f t="shared" si="2308"/>
        <v>NM</v>
      </c>
      <c r="BW394" s="102">
        <f>BW391-BW392</f>
        <v>1.4</v>
      </c>
      <c r="BX394" s="61" t="str">
        <f t="shared" si="2309"/>
        <v>NM</v>
      </c>
      <c r="BY394" s="102">
        <f>BY391-BY392</f>
        <v>5.0999999999999917</v>
      </c>
      <c r="BZ394" s="61" t="str">
        <f t="shared" si="2310"/>
        <v>NM</v>
      </c>
      <c r="CA394" s="102"/>
      <c r="CB394" s="61"/>
      <c r="CC394" s="102"/>
      <c r="CD394" s="61"/>
      <c r="CE394" s="102"/>
      <c r="CF394" s="61"/>
      <c r="CG394" s="102"/>
      <c r="CH394" s="61"/>
      <c r="CI394" s="102"/>
      <c r="CJ394" s="61"/>
      <c r="CK394" s="102"/>
      <c r="CL394" s="61"/>
      <c r="CM394" s="102"/>
      <c r="CN394" s="61"/>
      <c r="CO394" s="102"/>
      <c r="CP394" s="61"/>
      <c r="CQ394" s="102"/>
      <c r="CR394" s="61"/>
      <c r="CS394" s="102"/>
      <c r="CT394" s="61"/>
      <c r="CU394" s="102"/>
      <c r="CV394" s="61"/>
      <c r="CW394" s="102"/>
      <c r="CX394" s="61"/>
      <c r="CY394" s="102"/>
      <c r="CZ394" s="61"/>
      <c r="DA394" s="102"/>
      <c r="DB394" s="61"/>
      <c r="DC394" s="102"/>
      <c r="DD394" s="61"/>
      <c r="DE394" s="102"/>
      <c r="DF394" s="61"/>
      <c r="DG394" s="102"/>
      <c r="DH394" s="61"/>
      <c r="DI394" s="102"/>
      <c r="DJ394" s="61"/>
      <c r="DK394" s="102"/>
      <c r="DL394" s="61"/>
      <c r="DM394" s="102"/>
      <c r="DN394" s="61"/>
      <c r="DO394" s="102"/>
      <c r="DP394" s="61"/>
      <c r="DQ394" s="102"/>
      <c r="DR394" s="61"/>
      <c r="DS394" s="102"/>
      <c r="DT394" s="61"/>
      <c r="DU394" s="102"/>
      <c r="DV394" s="61"/>
      <c r="DW394" s="102"/>
      <c r="DX394" s="102"/>
      <c r="DY394" s="102"/>
      <c r="DZ394" s="61"/>
      <c r="EA394" s="102"/>
      <c r="EB394" s="61"/>
      <c r="EC394" s="102"/>
      <c r="ED394" s="61"/>
      <c r="EE394" s="102"/>
      <c r="EF394" s="61"/>
      <c r="EG394" s="102"/>
      <c r="EH394" s="61"/>
      <c r="EI394" s="102"/>
      <c r="EJ394" s="61"/>
      <c r="EK394" s="102"/>
      <c r="EL394" s="61"/>
      <c r="EM394" s="102"/>
      <c r="EN394" s="61"/>
      <c r="EO394" s="102"/>
      <c r="EP394" s="61"/>
      <c r="EQ394" s="102"/>
      <c r="ER394" s="61"/>
      <c r="ES394" s="102"/>
      <c r="ET394" s="61"/>
      <c r="EU394" s="102"/>
      <c r="EV394" s="61"/>
      <c r="EW394" s="102"/>
      <c r="EX394" s="61"/>
      <c r="EY394" s="103"/>
      <c r="EZ394" s="558"/>
      <c r="FA394" s="103"/>
      <c r="FB394" s="102"/>
      <c r="FC394" s="100"/>
      <c r="FD394" s="102"/>
      <c r="FE394" s="70"/>
      <c r="FF394" s="102"/>
      <c r="FG394" s="70"/>
      <c r="FH394" s="102"/>
      <c r="FI394" s="70"/>
      <c r="FJ394" s="102"/>
      <c r="FK394" s="70"/>
      <c r="FL394" s="102"/>
      <c r="FM394" s="61"/>
      <c r="FN394" s="102"/>
      <c r="FO394" s="61"/>
      <c r="FP394" s="104">
        <f>AQ394+AS394+AU394+AW394</f>
        <v>17.000000000000018</v>
      </c>
      <c r="FQ394" s="61" t="str">
        <f t="shared" si="2311"/>
        <v>NA</v>
      </c>
      <c r="FR394" s="104">
        <f>FR391-FR392</f>
        <v>55.100000000000023</v>
      </c>
      <c r="FS394" s="61" t="str">
        <f t="shared" si="2312"/>
        <v>NM</v>
      </c>
      <c r="FT394" s="104">
        <f>FT391-FT392</f>
        <v>76.30000000000004</v>
      </c>
      <c r="FU394" s="61">
        <f t="shared" si="2313"/>
        <v>38.475499092559005</v>
      </c>
      <c r="FV394" s="104">
        <f>FV391-FV392</f>
        <v>28.200000000000024</v>
      </c>
      <c r="FW394" s="61" t="str">
        <f t="shared" si="2314"/>
        <v>NM</v>
      </c>
      <c r="FX394" s="104">
        <f>FX391-FX392</f>
        <v>6.4999999999999769</v>
      </c>
      <c r="FY394" s="61" t="str">
        <f t="shared" si="2315"/>
        <v>NM</v>
      </c>
      <c r="FZ394" s="104"/>
      <c r="GA394" s="61"/>
      <c r="GB394" s="104"/>
      <c r="GC394" s="61"/>
      <c r="GD394" s="104"/>
      <c r="GE394" s="61"/>
      <c r="GF394" s="104"/>
      <c r="GG394" s="61"/>
      <c r="GH394" s="104"/>
      <c r="GI394" s="61"/>
      <c r="GJ394" s="104"/>
      <c r="GK394" s="61"/>
      <c r="GL394" s="104"/>
      <c r="GM394" s="61"/>
      <c r="GN394" s="104"/>
      <c r="GO394" s="61"/>
      <c r="GP394" s="104"/>
      <c r="GQ394" s="61"/>
      <c r="GR394" s="102"/>
      <c r="GS394" s="61"/>
      <c r="GT394" s="102"/>
      <c r="GU394" s="61"/>
      <c r="GV394" s="102"/>
      <c r="GW394" s="61"/>
      <c r="GX394" s="102"/>
      <c r="GY394" s="61"/>
      <c r="GZ394" s="61"/>
      <c r="HA394" s="61"/>
      <c r="HB394" s="452"/>
      <c r="HC394"/>
      <c r="HD394"/>
      <c r="HE394"/>
      <c r="HF394"/>
      <c r="HG394"/>
      <c r="HH394"/>
    </row>
    <row r="395" spans="1:216" s="106" customFormat="1" ht="12.75" hidden="1" customHeight="1" outlineLevel="1" x14ac:dyDescent="0.2">
      <c r="B395" s="2" t="s">
        <v>4</v>
      </c>
      <c r="C395" s="102"/>
      <c r="D395" s="70"/>
      <c r="E395" s="102"/>
      <c r="F395" s="71"/>
      <c r="G395" s="102"/>
      <c r="H395" s="71"/>
      <c r="I395" s="102"/>
      <c r="J395" s="61"/>
      <c r="K395" s="102"/>
      <c r="L395" s="61"/>
      <c r="M395" s="102"/>
      <c r="N395" s="61"/>
      <c r="O395" s="102"/>
      <c r="P395" s="61"/>
      <c r="Q395" s="102"/>
      <c r="R395" s="61"/>
      <c r="S395" s="102"/>
      <c r="T395" s="61"/>
      <c r="U395" s="102"/>
      <c r="V395" s="61"/>
      <c r="W395" s="102"/>
      <c r="X395" s="61"/>
      <c r="Y395" s="102"/>
      <c r="Z395" s="61"/>
      <c r="AA395" s="125"/>
      <c r="AB395" s="61"/>
      <c r="AC395" s="125"/>
      <c r="AD395" s="61"/>
      <c r="AE395" s="125"/>
      <c r="AF395" s="61"/>
      <c r="AG395" s="125"/>
      <c r="AH395" s="61"/>
      <c r="AI395" s="125"/>
      <c r="AJ395" s="61"/>
      <c r="AK395" s="125"/>
      <c r="AL395" s="61"/>
      <c r="AM395" s="125"/>
      <c r="AN395" s="61"/>
      <c r="AO395" s="125"/>
      <c r="AP395" s="61"/>
      <c r="AQ395" s="540">
        <v>0</v>
      </c>
      <c r="AR395" s="61" t="str">
        <f t="shared" si="2294"/>
        <v>NA</v>
      </c>
      <c r="AS395" s="72">
        <v>0</v>
      </c>
      <c r="AT395" s="61" t="str">
        <f t="shared" si="2295"/>
        <v>NA</v>
      </c>
      <c r="AU395" s="72">
        <v>0</v>
      </c>
      <c r="AV395" s="61" t="str">
        <f t="shared" si="2296"/>
        <v>NA</v>
      </c>
      <c r="AW395" s="72">
        <v>0</v>
      </c>
      <c r="AX395" s="61" t="str">
        <f t="shared" si="2296"/>
        <v>NA</v>
      </c>
      <c r="AY395" s="72">
        <v>0</v>
      </c>
      <c r="AZ395" s="61" t="str">
        <f t="shared" si="2297"/>
        <v>NA</v>
      </c>
      <c r="BA395" s="72">
        <v>-3</v>
      </c>
      <c r="BB395" s="61" t="str">
        <f t="shared" si="2298"/>
        <v>NA</v>
      </c>
      <c r="BC395" s="72">
        <v>-1</v>
      </c>
      <c r="BD395" s="61" t="str">
        <f t="shared" si="2299"/>
        <v>NA</v>
      </c>
      <c r="BE395" s="72">
        <v>0</v>
      </c>
      <c r="BF395" s="61" t="str">
        <f t="shared" si="2300"/>
        <v>NA</v>
      </c>
      <c r="BG395" s="72">
        <v>0</v>
      </c>
      <c r="BH395" s="61" t="str">
        <f t="shared" si="2301"/>
        <v>NA</v>
      </c>
      <c r="BI395" s="72">
        <v>-7</v>
      </c>
      <c r="BJ395" s="61" t="str">
        <f t="shared" si="2302"/>
        <v>NM</v>
      </c>
      <c r="BK395" s="72">
        <v>1</v>
      </c>
      <c r="BL395" s="61" t="str">
        <f t="shared" si="2303"/>
        <v>NM</v>
      </c>
      <c r="BM395" s="72">
        <v>7</v>
      </c>
      <c r="BN395" s="61" t="str">
        <f t="shared" si="2304"/>
        <v>NA</v>
      </c>
      <c r="BO395" s="72">
        <v>0</v>
      </c>
      <c r="BP395" s="61" t="str">
        <f t="shared" si="2305"/>
        <v>NA</v>
      </c>
      <c r="BQ395" s="72">
        <v>0</v>
      </c>
      <c r="BR395" s="61" t="str">
        <f t="shared" si="2306"/>
        <v>NM</v>
      </c>
      <c r="BS395" s="72">
        <v>-6</v>
      </c>
      <c r="BT395" s="61" t="str">
        <f t="shared" si="2307"/>
        <v>NM</v>
      </c>
      <c r="BU395" s="72">
        <v>0</v>
      </c>
      <c r="BV395" s="61" t="str">
        <f t="shared" si="2308"/>
        <v>NM</v>
      </c>
      <c r="BW395" s="72">
        <v>0</v>
      </c>
      <c r="BX395" s="61" t="str">
        <f t="shared" si="2309"/>
        <v>NA</v>
      </c>
      <c r="BY395" s="72">
        <v>0</v>
      </c>
      <c r="BZ395" s="61" t="str">
        <f t="shared" si="2310"/>
        <v>NA</v>
      </c>
      <c r="CA395" s="72"/>
      <c r="CB395" s="61"/>
      <c r="CC395" s="72"/>
      <c r="CD395" s="61"/>
      <c r="CE395" s="72"/>
      <c r="CF395" s="61"/>
      <c r="CG395" s="72"/>
      <c r="CH395" s="61"/>
      <c r="CI395" s="72"/>
      <c r="CJ395" s="61"/>
      <c r="CK395" s="72"/>
      <c r="CL395" s="61"/>
      <c r="CM395" s="72"/>
      <c r="CN395" s="61"/>
      <c r="CO395" s="72"/>
      <c r="CP395" s="61"/>
      <c r="CQ395" s="72"/>
      <c r="CR395" s="61"/>
      <c r="CS395" s="72"/>
      <c r="CT395" s="61"/>
      <c r="CU395" s="72"/>
      <c r="CV395" s="61"/>
      <c r="CW395" s="72"/>
      <c r="CX395" s="61"/>
      <c r="CY395" s="72"/>
      <c r="CZ395" s="61"/>
      <c r="DA395" s="72"/>
      <c r="DB395" s="61"/>
      <c r="DC395" s="72"/>
      <c r="DD395" s="61"/>
      <c r="DE395" s="72"/>
      <c r="DF395" s="61"/>
      <c r="DG395" s="72"/>
      <c r="DH395" s="61"/>
      <c r="DI395" s="72"/>
      <c r="DJ395" s="61"/>
      <c r="DK395" s="72"/>
      <c r="DL395" s="61"/>
      <c r="DM395" s="72"/>
      <c r="DN395" s="61"/>
      <c r="DO395" s="72"/>
      <c r="DP395" s="61"/>
      <c r="DQ395" s="72"/>
      <c r="DR395" s="61"/>
      <c r="DS395" s="72"/>
      <c r="DT395" s="61"/>
      <c r="DU395" s="72"/>
      <c r="DV395" s="61"/>
      <c r="DW395" s="72"/>
      <c r="DX395" s="72"/>
      <c r="DY395" s="72"/>
      <c r="DZ395" s="61"/>
      <c r="EA395" s="72"/>
      <c r="EB395" s="61"/>
      <c r="EC395" s="72"/>
      <c r="ED395" s="61"/>
      <c r="EE395" s="72"/>
      <c r="EF395" s="61"/>
      <c r="EG395" s="72"/>
      <c r="EH395" s="61"/>
      <c r="EI395" s="72"/>
      <c r="EJ395" s="61"/>
      <c r="EK395" s="72"/>
      <c r="EL395" s="61"/>
      <c r="EM395" s="72"/>
      <c r="EN395" s="61"/>
      <c r="EO395" s="72"/>
      <c r="EP395" s="61"/>
      <c r="EQ395" s="72"/>
      <c r="ER395" s="61"/>
      <c r="ES395" s="72"/>
      <c r="ET395" s="61"/>
      <c r="EU395" s="72"/>
      <c r="EV395" s="61"/>
      <c r="EW395" s="72"/>
      <c r="EX395" s="61"/>
      <c r="EY395" s="74"/>
      <c r="EZ395" s="558"/>
      <c r="FA395" s="74"/>
      <c r="FB395" s="102"/>
      <c r="FC395" s="124"/>
      <c r="FD395" s="102"/>
      <c r="FE395" s="126"/>
      <c r="FF395" s="102"/>
      <c r="FG395" s="126"/>
      <c r="FH395" s="102"/>
      <c r="FI395" s="126"/>
      <c r="FJ395" s="102"/>
      <c r="FK395" s="126"/>
      <c r="FL395" s="102"/>
      <c r="FM395" s="126"/>
      <c r="FN395" s="102"/>
      <c r="FO395" s="126"/>
      <c r="FP395" s="73">
        <f>AQ395+AS395+AU395+AW395</f>
        <v>0</v>
      </c>
      <c r="FQ395" s="61" t="str">
        <f t="shared" si="2311"/>
        <v>NA</v>
      </c>
      <c r="FR395" s="73">
        <f>AY395+BA395+BC395+BE395</f>
        <v>-4</v>
      </c>
      <c r="FS395" s="61" t="str">
        <f t="shared" si="2312"/>
        <v>NA</v>
      </c>
      <c r="FT395" s="73">
        <f>BG395+BI395+BK395+BM395</f>
        <v>1</v>
      </c>
      <c r="FU395" s="61" t="str">
        <f t="shared" si="2313"/>
        <v>NM</v>
      </c>
      <c r="FV395" s="73">
        <f>BO395+BQ395+BS395+BU395</f>
        <v>-6</v>
      </c>
      <c r="FW395" s="61" t="str">
        <f t="shared" si="2314"/>
        <v>NM</v>
      </c>
      <c r="FX395" s="73">
        <f>BW395+BY395+CA395+CC395</f>
        <v>0</v>
      </c>
      <c r="FY395" s="61" t="str">
        <f t="shared" si="2315"/>
        <v>NM</v>
      </c>
      <c r="FZ395" s="73"/>
      <c r="GA395" s="61"/>
      <c r="GB395" s="73"/>
      <c r="GC395" s="61"/>
      <c r="GD395" s="73"/>
      <c r="GE395" s="61"/>
      <c r="GF395" s="73"/>
      <c r="GG395" s="61"/>
      <c r="GH395" s="73"/>
      <c r="GI395" s="61"/>
      <c r="GJ395" s="73"/>
      <c r="GK395" s="61"/>
      <c r="GL395" s="73"/>
      <c r="GM395" s="61"/>
      <c r="GN395" s="73"/>
      <c r="GO395" s="61"/>
      <c r="GP395" s="73"/>
      <c r="GQ395" s="61"/>
      <c r="GR395" s="72"/>
      <c r="GS395" s="61"/>
      <c r="GT395" s="72"/>
      <c r="GU395" s="61"/>
      <c r="GV395" s="72"/>
      <c r="GW395" s="61"/>
      <c r="GX395" s="72"/>
      <c r="GY395" s="61"/>
      <c r="GZ395" s="61"/>
      <c r="HA395" s="61"/>
      <c r="HB395" s="452"/>
      <c r="HC395"/>
      <c r="HD395"/>
      <c r="HE395"/>
      <c r="HF395"/>
      <c r="HG395"/>
      <c r="HH395"/>
    </row>
    <row r="396" spans="1:216" s="106" customFormat="1" ht="12.75" hidden="1" customHeight="1" outlineLevel="1" x14ac:dyDescent="0.2">
      <c r="B396" s="63" t="s">
        <v>384</v>
      </c>
      <c r="C396" s="102"/>
      <c r="D396" s="70"/>
      <c r="E396" s="102"/>
      <c r="F396" s="71"/>
      <c r="G396" s="102"/>
      <c r="H396" s="71"/>
      <c r="I396" s="102"/>
      <c r="J396" s="61"/>
      <c r="K396" s="102"/>
      <c r="L396" s="61"/>
      <c r="M396" s="102"/>
      <c r="N396" s="61"/>
      <c r="O396" s="102"/>
      <c r="P396" s="61"/>
      <c r="Q396" s="102"/>
      <c r="R396" s="61"/>
      <c r="S396" s="102"/>
      <c r="T396" s="61"/>
      <c r="U396" s="102"/>
      <c r="V396" s="61"/>
      <c r="W396" s="102"/>
      <c r="X396" s="61"/>
      <c r="Y396" s="102"/>
      <c r="Z396" s="61"/>
      <c r="AA396" s="125"/>
      <c r="AB396" s="61"/>
      <c r="AC396" s="125"/>
      <c r="AD396" s="61"/>
      <c r="AE396" s="125"/>
      <c r="AF396" s="61"/>
      <c r="AG396" s="125"/>
      <c r="AH396" s="61"/>
      <c r="AI396" s="125"/>
      <c r="AJ396" s="61"/>
      <c r="AK396" s="125"/>
      <c r="AL396" s="61"/>
      <c r="AM396" s="125"/>
      <c r="AN396" s="61"/>
      <c r="AO396" s="125"/>
      <c r="AP396" s="61"/>
      <c r="AQ396" s="102">
        <f>AQ394-AQ395</f>
        <v>4.5000000000000062</v>
      </c>
      <c r="AR396" s="61" t="str">
        <f t="shared" si="2294"/>
        <v>NA</v>
      </c>
      <c r="AS396" s="102">
        <f>AS394-AS395</f>
        <v>-1.3999999999999944</v>
      </c>
      <c r="AT396" s="61" t="str">
        <f t="shared" si="2295"/>
        <v>NA</v>
      </c>
      <c r="AU396" s="102">
        <f>AU394-AU395</f>
        <v>4.900000000000011</v>
      </c>
      <c r="AV396" s="61" t="str">
        <f t="shared" si="2296"/>
        <v>NA</v>
      </c>
      <c r="AW396" s="102">
        <f>AW394-AW395</f>
        <v>8.9999999999999947</v>
      </c>
      <c r="AX396" s="61" t="str">
        <f t="shared" si="2296"/>
        <v>NA</v>
      </c>
      <c r="AY396" s="102">
        <f>AY394-AY395</f>
        <v>15.300000000000029</v>
      </c>
      <c r="AZ396" s="61" t="str">
        <f t="shared" si="2297"/>
        <v>NM</v>
      </c>
      <c r="BA396" s="102">
        <f>BA394-BA395</f>
        <v>14.999999999999982</v>
      </c>
      <c r="BB396" s="61" t="str">
        <f t="shared" si="2298"/>
        <v>NM</v>
      </c>
      <c r="BC396" s="102">
        <f>BC394-BC395</f>
        <v>14.400000000000009</v>
      </c>
      <c r="BD396" s="61" t="str">
        <f t="shared" si="2299"/>
        <v>NM</v>
      </c>
      <c r="BE396" s="102">
        <f>BE394-BE395</f>
        <v>14.400000000000002</v>
      </c>
      <c r="BF396" s="61">
        <f t="shared" si="2300"/>
        <v>60.000000000000121</v>
      </c>
      <c r="BG396" s="102">
        <f>BG394-BG395</f>
        <v>16.200000000000028</v>
      </c>
      <c r="BH396" s="61">
        <f t="shared" si="2301"/>
        <v>5.8823529411764497</v>
      </c>
      <c r="BI396" s="102">
        <f>BI394-BI395</f>
        <v>18.300000000000004</v>
      </c>
      <c r="BJ396" s="61">
        <f t="shared" si="2302"/>
        <v>22.000000000000174</v>
      </c>
      <c r="BK396" s="102">
        <f>BK394-BK395</f>
        <v>20.799999999999994</v>
      </c>
      <c r="BL396" s="61">
        <f t="shared" si="2303"/>
        <v>44.444444444444308</v>
      </c>
      <c r="BM396" s="102">
        <f>BM394-BM395</f>
        <v>20.000000000000004</v>
      </c>
      <c r="BN396" s="61">
        <f t="shared" si="2304"/>
        <v>38.888888888888886</v>
      </c>
      <c r="BO396" s="102">
        <f>BO394-BO395</f>
        <v>12.200000000000012</v>
      </c>
      <c r="BP396" s="61">
        <f t="shared" si="2305"/>
        <v>-24.691358024691411</v>
      </c>
      <c r="BQ396" s="102">
        <f>BQ394-BQ395</f>
        <v>15.000000000000014</v>
      </c>
      <c r="BR396" s="61">
        <f t="shared" si="2306"/>
        <v>-18.032786885245844</v>
      </c>
      <c r="BS396" s="102">
        <f>BS394-BS395</f>
        <v>11.300000000000008</v>
      </c>
      <c r="BT396" s="61">
        <f t="shared" si="2307"/>
        <v>-45.67307692307687</v>
      </c>
      <c r="BU396" s="102">
        <f>BU394-BU395</f>
        <v>-4.2999999999999972</v>
      </c>
      <c r="BV396" s="61" t="str">
        <f t="shared" si="2308"/>
        <v>NM</v>
      </c>
      <c r="BW396" s="102">
        <f>BW394-BW395</f>
        <v>1.4</v>
      </c>
      <c r="BX396" s="61" t="str">
        <f t="shared" si="2309"/>
        <v>NM</v>
      </c>
      <c r="BY396" s="102">
        <f>BY394-BY395</f>
        <v>5.0999999999999917</v>
      </c>
      <c r="BZ396" s="61" t="str">
        <f t="shared" si="2310"/>
        <v>NM</v>
      </c>
      <c r="CA396" s="102"/>
      <c r="CB396" s="61"/>
      <c r="CC396" s="102"/>
      <c r="CD396" s="61"/>
      <c r="CE396" s="102"/>
      <c r="CF396" s="61"/>
      <c r="CG396" s="102"/>
      <c r="CH396" s="61"/>
      <c r="CI396" s="102"/>
      <c r="CJ396" s="61"/>
      <c r="CK396" s="102"/>
      <c r="CL396" s="61"/>
      <c r="CM396" s="102"/>
      <c r="CN396" s="61"/>
      <c r="CO396" s="102"/>
      <c r="CP396" s="61"/>
      <c r="CQ396" s="102"/>
      <c r="CR396" s="61"/>
      <c r="CS396" s="102"/>
      <c r="CT396" s="61"/>
      <c r="CU396" s="102"/>
      <c r="CV396" s="61"/>
      <c r="CW396" s="102"/>
      <c r="CX396" s="61"/>
      <c r="CY396" s="102"/>
      <c r="CZ396" s="61"/>
      <c r="DA396" s="102"/>
      <c r="DB396" s="61"/>
      <c r="DC396" s="102"/>
      <c r="DD396" s="61"/>
      <c r="DE396" s="102"/>
      <c r="DF396" s="61"/>
      <c r="DG396" s="102"/>
      <c r="DH396" s="61"/>
      <c r="DI396" s="102"/>
      <c r="DJ396" s="61"/>
      <c r="DK396" s="102"/>
      <c r="DL396" s="61"/>
      <c r="DM396" s="102"/>
      <c r="DN396" s="61"/>
      <c r="DO396" s="102"/>
      <c r="DP396" s="61"/>
      <c r="DQ396" s="102"/>
      <c r="DR396" s="61"/>
      <c r="DS396" s="102"/>
      <c r="DT396" s="61"/>
      <c r="DU396" s="102"/>
      <c r="DV396" s="61"/>
      <c r="DW396" s="102"/>
      <c r="DX396" s="102"/>
      <c r="DY396" s="102"/>
      <c r="DZ396" s="61"/>
      <c r="EA396" s="102"/>
      <c r="EB396" s="61"/>
      <c r="EC396" s="102"/>
      <c r="ED396" s="61"/>
      <c r="EE396" s="102"/>
      <c r="EF396" s="61"/>
      <c r="EG396" s="102"/>
      <c r="EH396" s="61"/>
      <c r="EI396" s="102"/>
      <c r="EJ396" s="61"/>
      <c r="EK396" s="102"/>
      <c r="EL396" s="61"/>
      <c r="EM396" s="102"/>
      <c r="EN396" s="61"/>
      <c r="EO396" s="102"/>
      <c r="EP396" s="61"/>
      <c r="EQ396" s="102"/>
      <c r="ER396" s="61"/>
      <c r="ES396" s="102"/>
      <c r="ET396" s="61"/>
      <c r="EU396" s="102"/>
      <c r="EV396" s="61"/>
      <c r="EW396" s="102"/>
      <c r="EX396" s="61"/>
      <c r="EY396" s="74"/>
      <c r="EZ396" s="558"/>
      <c r="FA396" s="74"/>
      <c r="FB396" s="102"/>
      <c r="FC396" s="124"/>
      <c r="FD396" s="102"/>
      <c r="FE396" s="126"/>
      <c r="FF396" s="102"/>
      <c r="FG396" s="126"/>
      <c r="FH396" s="102"/>
      <c r="FI396" s="126"/>
      <c r="FJ396" s="102"/>
      <c r="FK396" s="126"/>
      <c r="FL396" s="102"/>
      <c r="FM396" s="126"/>
      <c r="FN396" s="102"/>
      <c r="FO396" s="126"/>
      <c r="FP396" s="104">
        <f>FP394-FP395</f>
        <v>17.000000000000018</v>
      </c>
      <c r="FQ396" s="61" t="str">
        <f t="shared" si="2311"/>
        <v>NA</v>
      </c>
      <c r="FR396" s="104">
        <f>FR394-FR395</f>
        <v>59.100000000000023</v>
      </c>
      <c r="FS396" s="61" t="str">
        <f t="shared" si="2312"/>
        <v>NM</v>
      </c>
      <c r="FT396" s="104">
        <f>FT394-FT395</f>
        <v>75.30000000000004</v>
      </c>
      <c r="FU396" s="61">
        <f t="shared" si="2313"/>
        <v>27.411167512690369</v>
      </c>
      <c r="FV396" s="104">
        <f>FV394-FV395</f>
        <v>34.200000000000024</v>
      </c>
      <c r="FW396" s="61" t="str">
        <f t="shared" si="2314"/>
        <v>NM</v>
      </c>
      <c r="FX396" s="104">
        <f>FX394-FX395</f>
        <v>6.4999999999999769</v>
      </c>
      <c r="FY396" s="61" t="str">
        <f t="shared" si="2315"/>
        <v>NM</v>
      </c>
      <c r="FZ396" s="104"/>
      <c r="GA396" s="61"/>
      <c r="GB396" s="104"/>
      <c r="GC396" s="61"/>
      <c r="GD396" s="104"/>
      <c r="GE396" s="61"/>
      <c r="GF396" s="104"/>
      <c r="GG396" s="61"/>
      <c r="GH396" s="104"/>
      <c r="GI396" s="61"/>
      <c r="GJ396" s="104"/>
      <c r="GK396" s="61"/>
      <c r="GL396" s="104"/>
      <c r="GM396" s="61"/>
      <c r="GN396" s="104"/>
      <c r="GO396" s="61"/>
      <c r="GP396" s="104"/>
      <c r="GQ396" s="61"/>
      <c r="GR396" s="102"/>
      <c r="GS396" s="61"/>
      <c r="GT396" s="102"/>
      <c r="GU396" s="61"/>
      <c r="GV396" s="102"/>
      <c r="GW396" s="61"/>
      <c r="GX396" s="102"/>
      <c r="GY396" s="61"/>
      <c r="GZ396" s="61"/>
      <c r="HA396" s="61"/>
      <c r="HB396" s="452"/>
      <c r="HC396"/>
      <c r="HD396"/>
      <c r="HE396"/>
      <c r="HF396"/>
      <c r="HG396"/>
      <c r="HH396"/>
    </row>
    <row r="397" spans="1:216" s="5" customFormat="1" ht="12.75" hidden="1" customHeight="1" outlineLevel="1" x14ac:dyDescent="0.2">
      <c r="B397" s="2" t="s">
        <v>73</v>
      </c>
      <c r="C397" s="69"/>
      <c r="D397" s="70"/>
      <c r="E397" s="69"/>
      <c r="F397" s="71"/>
      <c r="G397" s="69"/>
      <c r="H397" s="71"/>
      <c r="I397" s="69"/>
      <c r="J397" s="61"/>
      <c r="K397" s="69"/>
      <c r="L397" s="61"/>
      <c r="M397" s="69"/>
      <c r="N397" s="61"/>
      <c r="O397" s="69"/>
      <c r="P397" s="61"/>
      <c r="Q397" s="69"/>
      <c r="R397" s="61"/>
      <c r="S397" s="69"/>
      <c r="T397" s="61"/>
      <c r="U397" s="69"/>
      <c r="V397" s="61"/>
      <c r="W397" s="69"/>
      <c r="X397" s="126"/>
      <c r="Y397" s="69"/>
      <c r="Z397" s="126"/>
      <c r="AA397" s="69"/>
      <c r="AB397" s="126"/>
      <c r="AC397" s="69"/>
      <c r="AD397" s="126"/>
      <c r="AE397" s="69"/>
      <c r="AF397" s="126"/>
      <c r="AG397" s="69"/>
      <c r="AH397" s="126"/>
      <c r="AI397" s="69"/>
      <c r="AJ397" s="126"/>
      <c r="AK397" s="69"/>
      <c r="AL397" s="126"/>
      <c r="AM397" s="69"/>
      <c r="AN397" s="126"/>
      <c r="AO397" s="69"/>
      <c r="AP397" s="126"/>
      <c r="AQ397" s="69">
        <f>AQ396/(1-AQ393/100)</f>
        <v>6.7500000000000062</v>
      </c>
      <c r="AR397" s="61" t="str">
        <f t="shared" si="2294"/>
        <v>NA</v>
      </c>
      <c r="AS397" s="69">
        <f>AS396/(1-AS393/100)</f>
        <v>-2.2615384615384566</v>
      </c>
      <c r="AT397" s="61" t="str">
        <f t="shared" si="2295"/>
        <v>NA</v>
      </c>
      <c r="AU397" s="69">
        <f>AU396/(1-AU393/100)</f>
        <v>8.3000000000000114</v>
      </c>
      <c r="AV397" s="61" t="str">
        <f t="shared" si="2296"/>
        <v>NA</v>
      </c>
      <c r="AW397" s="69">
        <f>AW396/(1-AW393/100)</f>
        <v>13.599999999999994</v>
      </c>
      <c r="AX397" s="61" t="str">
        <f t="shared" si="2296"/>
        <v>NA</v>
      </c>
      <c r="AY397" s="69">
        <f>AY396/(1-AY393/100)</f>
        <v>23.500000000000032</v>
      </c>
      <c r="AZ397" s="61" t="str">
        <f t="shared" si="2297"/>
        <v>NM</v>
      </c>
      <c r="BA397" s="69">
        <f>BA396/(1-BA393/100)</f>
        <v>22.874999999999986</v>
      </c>
      <c r="BB397" s="61" t="str">
        <f t="shared" si="2298"/>
        <v>NM</v>
      </c>
      <c r="BC397" s="69">
        <f>BC396/(1-BC393/100)</f>
        <v>21.600000000000012</v>
      </c>
      <c r="BD397" s="61" t="str">
        <f t="shared" si="2299"/>
        <v>NM</v>
      </c>
      <c r="BE397" s="69">
        <f>BE396/(1-BE393/100)</f>
        <v>22.700000000000006</v>
      </c>
      <c r="BF397" s="61">
        <f t="shared" si="2300"/>
        <v>66.911764705882476</v>
      </c>
      <c r="BG397" s="69">
        <f>BG396/(1-BG393/100)</f>
        <v>25.500000000000028</v>
      </c>
      <c r="BH397" s="61">
        <f t="shared" si="2301"/>
        <v>8.5106382978723083</v>
      </c>
      <c r="BI397" s="69">
        <f>BI396/(1-BI393/100)</f>
        <v>28.988495575221243</v>
      </c>
      <c r="BJ397" s="61">
        <f t="shared" si="2302"/>
        <v>26.725663716814264</v>
      </c>
      <c r="BK397" s="69">
        <f>BK396/(1-BK393/100)</f>
        <v>32.535779816513759</v>
      </c>
      <c r="BL397" s="61">
        <f t="shared" si="2303"/>
        <v>50.628610261637697</v>
      </c>
      <c r="BM397" s="69">
        <f>BM396/(1-BM393/100)</f>
        <v>31.259259259259263</v>
      </c>
      <c r="BN397" s="61">
        <f t="shared" si="2304"/>
        <v>37.705987926252213</v>
      </c>
      <c r="BO397" s="69">
        <f>BO396/(1-BO393/100)</f>
        <v>19.300000000000011</v>
      </c>
      <c r="BP397" s="61">
        <f t="shared" si="2305"/>
        <v>-24.313725490196113</v>
      </c>
      <c r="BQ397" s="69">
        <f>BQ396/(1-BQ393/100)</f>
        <v>23.500000000000018</v>
      </c>
      <c r="BR397" s="61">
        <f t="shared" si="2306"/>
        <v>-18.933357755594173</v>
      </c>
      <c r="BS397" s="69">
        <f>BS396/(1-BS393/100)</f>
        <v>17.269811320754716</v>
      </c>
      <c r="BT397" s="61">
        <f t="shared" si="2307"/>
        <v>-46.920555099191738</v>
      </c>
      <c r="BU397" s="69">
        <f>BU396/(1-BU393/100)</f>
        <v>-6.299999999999998</v>
      </c>
      <c r="BV397" s="61" t="str">
        <f t="shared" si="2308"/>
        <v>NM</v>
      </c>
      <c r="BW397" s="69">
        <f>BW396/(1-BW393/100)</f>
        <v>3.4999999999999996</v>
      </c>
      <c r="BX397" s="61" t="str">
        <f t="shared" si="2309"/>
        <v>NM</v>
      </c>
      <c r="BY397" s="69">
        <f>BY396/(1-BY393/100)</f>
        <v>9.8999999999999932</v>
      </c>
      <c r="BZ397" s="61" t="str">
        <f t="shared" si="2310"/>
        <v>NM</v>
      </c>
      <c r="CA397" s="69"/>
      <c r="CB397" s="61"/>
      <c r="CC397" s="69"/>
      <c r="CD397" s="61"/>
      <c r="CE397" s="69"/>
      <c r="CF397" s="61"/>
      <c r="CG397" s="69"/>
      <c r="CH397" s="61"/>
      <c r="CI397" s="69"/>
      <c r="CJ397" s="61"/>
      <c r="CK397" s="69"/>
      <c r="CL397" s="61"/>
      <c r="CM397" s="69"/>
      <c r="CN397" s="61"/>
      <c r="CO397" s="69"/>
      <c r="CP397" s="61"/>
      <c r="CQ397" s="69"/>
      <c r="CR397" s="61"/>
      <c r="CS397" s="69"/>
      <c r="CT397" s="61"/>
      <c r="CU397" s="69"/>
      <c r="CV397" s="61"/>
      <c r="CW397" s="69"/>
      <c r="CX397" s="61"/>
      <c r="CY397" s="69"/>
      <c r="CZ397" s="61"/>
      <c r="DA397" s="69"/>
      <c r="DB397" s="61"/>
      <c r="DC397" s="69"/>
      <c r="DD397" s="61"/>
      <c r="DE397" s="69"/>
      <c r="DF397" s="61"/>
      <c r="DG397" s="69"/>
      <c r="DH397" s="61"/>
      <c r="DI397" s="69"/>
      <c r="DJ397" s="61"/>
      <c r="DK397" s="69"/>
      <c r="DL397" s="61"/>
      <c r="DM397" s="69"/>
      <c r="DN397" s="61"/>
      <c r="DO397" s="69"/>
      <c r="DP397" s="61"/>
      <c r="DQ397" s="69"/>
      <c r="DR397" s="61"/>
      <c r="DS397" s="69"/>
      <c r="DT397" s="61"/>
      <c r="DU397" s="69"/>
      <c r="DV397" s="61"/>
      <c r="DW397" s="69"/>
      <c r="DX397" s="69"/>
      <c r="DY397" s="69"/>
      <c r="DZ397" s="61"/>
      <c r="EA397" s="69"/>
      <c r="EB397" s="61"/>
      <c r="EC397" s="69"/>
      <c r="ED397" s="61"/>
      <c r="EE397" s="69"/>
      <c r="EF397" s="61"/>
      <c r="EG397" s="69"/>
      <c r="EH397" s="61"/>
      <c r="EI397" s="69"/>
      <c r="EJ397" s="61"/>
      <c r="EK397" s="69"/>
      <c r="EL397" s="61"/>
      <c r="EM397" s="69"/>
      <c r="EN397" s="61"/>
      <c r="EO397" s="69"/>
      <c r="EP397" s="61"/>
      <c r="EQ397" s="69"/>
      <c r="ER397" s="61"/>
      <c r="ES397" s="69"/>
      <c r="ET397" s="61"/>
      <c r="EU397" s="69"/>
      <c r="EV397" s="61"/>
      <c r="EW397" s="69"/>
      <c r="EX397" s="61"/>
      <c r="EY397" s="69"/>
      <c r="EZ397" s="558"/>
      <c r="FA397" s="69"/>
      <c r="FB397" s="69"/>
      <c r="FC397" s="124"/>
      <c r="FD397" s="69"/>
      <c r="FE397" s="126"/>
      <c r="FF397" s="69"/>
      <c r="FG397" s="126"/>
      <c r="FH397" s="69"/>
      <c r="FI397" s="126"/>
      <c r="FJ397" s="69"/>
      <c r="FK397" s="126"/>
      <c r="FL397" s="69"/>
      <c r="FM397" s="126"/>
      <c r="FN397" s="69"/>
      <c r="FO397" s="126"/>
      <c r="FP397" s="73">
        <f>AQ397+AS397+AU397+AW397</f>
        <v>26.388461538461556</v>
      </c>
      <c r="FQ397" s="61" t="str">
        <f t="shared" si="2311"/>
        <v>NA</v>
      </c>
      <c r="FR397" s="73">
        <f>AY397+BA397+BC397+BE397</f>
        <v>90.675000000000026</v>
      </c>
      <c r="FS397" s="61" t="str">
        <f t="shared" si="2312"/>
        <v>NM</v>
      </c>
      <c r="FT397" s="73">
        <f>BG397+BI397+BK397+BM397</f>
        <v>118.2835346509943</v>
      </c>
      <c r="FU397" s="61">
        <f t="shared" si="2313"/>
        <v>30.447791178378015</v>
      </c>
      <c r="FV397" s="73">
        <f>BO397+BQ397+BS397+BU397</f>
        <v>53.769811320754741</v>
      </c>
      <c r="FW397" s="61" t="str">
        <f t="shared" si="2314"/>
        <v>NM</v>
      </c>
      <c r="FX397" s="73">
        <f>BW397+BY397+CA397+CC397</f>
        <v>13.399999999999993</v>
      </c>
      <c r="FY397" s="61" t="str">
        <f t="shared" si="2315"/>
        <v>NM</v>
      </c>
      <c r="FZ397" s="73"/>
      <c r="GA397" s="61"/>
      <c r="GB397" s="73"/>
      <c r="GC397" s="61"/>
      <c r="GD397" s="73"/>
      <c r="GE397" s="61"/>
      <c r="GF397" s="73"/>
      <c r="GG397" s="61"/>
      <c r="GH397" s="73"/>
      <c r="GI397" s="61"/>
      <c r="GJ397" s="73"/>
      <c r="GK397" s="61"/>
      <c r="GL397" s="73"/>
      <c r="GM397" s="61"/>
      <c r="GN397" s="73"/>
      <c r="GO397" s="61"/>
      <c r="GP397" s="73"/>
      <c r="GQ397" s="61"/>
      <c r="GR397" s="69"/>
      <c r="GS397" s="61"/>
      <c r="GT397" s="69"/>
      <c r="GU397" s="61"/>
      <c r="GV397" s="69"/>
      <c r="GW397" s="61"/>
      <c r="GX397" s="69"/>
      <c r="GY397" s="61"/>
      <c r="GZ397" s="61"/>
      <c r="HA397" s="61"/>
      <c r="HB397" s="452"/>
      <c r="HC397"/>
      <c r="HD397"/>
      <c r="HE397"/>
      <c r="HF397"/>
      <c r="HG397"/>
      <c r="HH397"/>
    </row>
    <row r="398" spans="1:216" s="76" customFormat="1" ht="12.75" hidden="1" customHeight="1" outlineLevel="1" x14ac:dyDescent="0.2">
      <c r="B398" s="136"/>
      <c r="C398" s="137"/>
      <c r="D398" s="78"/>
      <c r="E398" s="137"/>
      <c r="F398" s="79"/>
      <c r="G398" s="137"/>
      <c r="H398" s="79"/>
      <c r="I398" s="137"/>
      <c r="J398" s="80"/>
      <c r="K398" s="137"/>
      <c r="L398" s="80"/>
      <c r="M398" s="137"/>
      <c r="N398" s="80"/>
      <c r="O398" s="137"/>
      <c r="P398" s="80"/>
      <c r="Q398" s="137"/>
      <c r="R398" s="80"/>
      <c r="S398" s="137"/>
      <c r="T398" s="80"/>
      <c r="U398" s="137"/>
      <c r="V398" s="80"/>
      <c r="W398" s="137"/>
      <c r="X398" s="80"/>
      <c r="Y398" s="137"/>
      <c r="Z398" s="80"/>
      <c r="AA398" s="137"/>
      <c r="AB398" s="80"/>
      <c r="AC398" s="137"/>
      <c r="AD398" s="80"/>
      <c r="AE398" s="137"/>
      <c r="AF398" s="80"/>
      <c r="AG398" s="137"/>
      <c r="AH398" s="80"/>
      <c r="AI398" s="137"/>
      <c r="AJ398" s="80"/>
      <c r="AK398" s="137"/>
      <c r="AL398" s="80"/>
      <c r="AM398" s="137"/>
      <c r="AN398" s="80"/>
      <c r="AO398" s="137"/>
      <c r="AP398" s="80"/>
      <c r="AQ398" s="137"/>
      <c r="AR398" s="80"/>
      <c r="AS398" s="137"/>
      <c r="AT398" s="80"/>
      <c r="AU398" s="137"/>
      <c r="AV398" s="80"/>
      <c r="AW398" s="137"/>
      <c r="AX398" s="61"/>
      <c r="AY398" s="137"/>
      <c r="AZ398" s="61"/>
      <c r="BA398" s="137"/>
      <c r="BB398" s="61"/>
      <c r="BC398" s="137"/>
      <c r="BD398" s="61"/>
      <c r="BE398" s="137"/>
      <c r="BF398" s="61"/>
      <c r="BG398" s="137"/>
      <c r="BH398" s="61"/>
      <c r="BI398" s="137"/>
      <c r="BJ398" s="61"/>
      <c r="BK398" s="137"/>
      <c r="BL398" s="61"/>
      <c r="BM398" s="137"/>
      <c r="BN398" s="61"/>
      <c r="BO398" s="137"/>
      <c r="BP398" s="61"/>
      <c r="BQ398" s="137"/>
      <c r="BR398" s="61"/>
      <c r="BS398" s="137"/>
      <c r="BT398" s="61"/>
      <c r="BU398" s="137"/>
      <c r="BV398" s="61"/>
      <c r="BW398" s="137"/>
      <c r="BX398" s="61"/>
      <c r="BY398" s="137"/>
      <c r="BZ398" s="61"/>
      <c r="CA398" s="137"/>
      <c r="CB398" s="61"/>
      <c r="CC398" s="137"/>
      <c r="CD398" s="61"/>
      <c r="CE398" s="137"/>
      <c r="CF398" s="61"/>
      <c r="CG398" s="137"/>
      <c r="CH398" s="61"/>
      <c r="CI398" s="137"/>
      <c r="CJ398" s="61"/>
      <c r="CK398" s="137"/>
      <c r="CL398" s="61"/>
      <c r="CM398" s="137"/>
      <c r="CN398" s="61"/>
      <c r="CO398" s="137"/>
      <c r="CP398" s="61"/>
      <c r="CQ398" s="137"/>
      <c r="CR398" s="61"/>
      <c r="CS398" s="137"/>
      <c r="CT398" s="61"/>
      <c r="CU398" s="137"/>
      <c r="CV398" s="61"/>
      <c r="CW398" s="137"/>
      <c r="CX398" s="61"/>
      <c r="CY398" s="137"/>
      <c r="CZ398" s="61"/>
      <c r="DA398" s="137"/>
      <c r="DB398" s="61"/>
      <c r="DC398" s="137"/>
      <c r="DD398" s="61"/>
      <c r="DE398" s="137"/>
      <c r="DF398" s="61"/>
      <c r="DG398" s="137"/>
      <c r="DH398" s="61"/>
      <c r="DI398" s="137"/>
      <c r="DJ398" s="61"/>
      <c r="DK398" s="137"/>
      <c r="DL398" s="61"/>
      <c r="DM398" s="137"/>
      <c r="DN398" s="61"/>
      <c r="DO398" s="137"/>
      <c r="DP398" s="61"/>
      <c r="DQ398" s="137"/>
      <c r="DR398" s="61"/>
      <c r="DS398" s="137"/>
      <c r="DT398" s="61"/>
      <c r="DU398" s="137"/>
      <c r="DV398" s="61"/>
      <c r="DW398" s="137"/>
      <c r="DX398" s="137"/>
      <c r="DY398" s="137"/>
      <c r="DZ398" s="61"/>
      <c r="EA398" s="137"/>
      <c r="EB398" s="61"/>
      <c r="EC398" s="137"/>
      <c r="ED398" s="61"/>
      <c r="EE398" s="137"/>
      <c r="EF398" s="61"/>
      <c r="EG398" s="137"/>
      <c r="EH398" s="61"/>
      <c r="EI398" s="137"/>
      <c r="EJ398" s="61"/>
      <c r="EK398" s="137"/>
      <c r="EL398" s="61"/>
      <c r="EM398" s="137"/>
      <c r="EN398" s="61"/>
      <c r="EO398" s="137"/>
      <c r="EP398" s="61"/>
      <c r="EQ398" s="137"/>
      <c r="ER398" s="61"/>
      <c r="ES398" s="137"/>
      <c r="ET398" s="61"/>
      <c r="EU398" s="137"/>
      <c r="EV398" s="61"/>
      <c r="EW398" s="137"/>
      <c r="EX398" s="61"/>
      <c r="EY398" s="79"/>
      <c r="EZ398" s="558"/>
      <c r="FA398" s="79"/>
      <c r="FB398" s="137"/>
      <c r="FC398" s="79"/>
      <c r="FD398" s="137"/>
      <c r="FE398" s="78"/>
      <c r="FF398" s="137"/>
      <c r="FG398" s="78"/>
      <c r="FH398" s="137"/>
      <c r="FI398" s="78"/>
      <c r="FJ398" s="137"/>
      <c r="FK398" s="78"/>
      <c r="FL398" s="137"/>
      <c r="FM398" s="80"/>
      <c r="FN398" s="137"/>
      <c r="FO398" s="80"/>
      <c r="FP398" s="104"/>
      <c r="FQ398" s="61"/>
      <c r="FR398" s="104"/>
      <c r="FS398" s="61"/>
      <c r="FT398" s="104"/>
      <c r="FU398" s="61"/>
      <c r="FV398" s="104"/>
      <c r="FW398" s="61"/>
      <c r="FX398" s="104"/>
      <c r="FY398" s="61"/>
      <c r="FZ398" s="104"/>
      <c r="GA398" s="61"/>
      <c r="GB398" s="104"/>
      <c r="GC398" s="61"/>
      <c r="GD398" s="104"/>
      <c r="GE398" s="61"/>
      <c r="GF398" s="104"/>
      <c r="GG398" s="61"/>
      <c r="GH398" s="104"/>
      <c r="GI398" s="61"/>
      <c r="GJ398" s="104"/>
      <c r="GK398" s="61"/>
      <c r="GL398" s="104"/>
      <c r="GM398" s="61"/>
      <c r="GN398" s="104"/>
      <c r="GO398" s="61"/>
      <c r="GP398" s="104"/>
      <c r="GQ398" s="61"/>
      <c r="GR398" s="137"/>
      <c r="GS398" s="61"/>
      <c r="GT398" s="137"/>
      <c r="GU398" s="61"/>
      <c r="GV398" s="137"/>
      <c r="GW398" s="61"/>
      <c r="GX398" s="137"/>
      <c r="GY398" s="61"/>
      <c r="GZ398" s="61"/>
      <c r="HA398" s="61"/>
      <c r="HB398" s="452"/>
      <c r="HC398"/>
      <c r="HD398"/>
      <c r="HE398"/>
      <c r="HF398"/>
      <c r="HG398"/>
      <c r="HH398"/>
    </row>
    <row r="399" spans="1:216" s="5" customFormat="1" ht="12.75" hidden="1" customHeight="1" outlineLevel="1" x14ac:dyDescent="0.2">
      <c r="B399" s="63" t="s">
        <v>161</v>
      </c>
      <c r="C399" s="66"/>
      <c r="D399" s="67"/>
      <c r="E399" s="66"/>
      <c r="F399" s="66"/>
      <c r="G399" s="64"/>
      <c r="H399" s="66"/>
      <c r="I399" s="64"/>
      <c r="J399" s="66"/>
      <c r="K399" s="64"/>
      <c r="L399" s="61"/>
      <c r="M399" s="66"/>
      <c r="N399" s="61"/>
      <c r="O399" s="64"/>
      <c r="P399" s="61"/>
      <c r="Q399" s="64"/>
      <c r="R399" s="61"/>
      <c r="S399" s="64"/>
      <c r="T399" s="61"/>
      <c r="U399" s="64"/>
      <c r="V399" s="61"/>
      <c r="W399" s="64"/>
      <c r="X399" s="61"/>
      <c r="Y399" s="64"/>
      <c r="Z399" s="61"/>
      <c r="AA399" s="64"/>
      <c r="AB399" s="61"/>
      <c r="AC399" s="64"/>
      <c r="AD399" s="61"/>
      <c r="AE399" s="64"/>
      <c r="AF399" s="61"/>
      <c r="AG399" s="64"/>
      <c r="AH399" s="61"/>
      <c r="AI399" s="64"/>
      <c r="AJ399" s="61"/>
      <c r="AK399" s="64"/>
      <c r="AL399" s="61"/>
      <c r="AM399" s="64"/>
      <c r="AN399" s="61"/>
      <c r="AO399" s="64"/>
      <c r="AP399" s="61"/>
      <c r="AQ399" s="64"/>
      <c r="AR399" s="61"/>
      <c r="AS399" s="64"/>
      <c r="AT399" s="61"/>
      <c r="AU399" s="64"/>
      <c r="AV399" s="61"/>
      <c r="AW399" s="64"/>
      <c r="AX399" s="61"/>
      <c r="AY399" s="64"/>
      <c r="AZ399" s="61"/>
      <c r="BA399" s="64"/>
      <c r="BB399" s="61"/>
      <c r="BC399" s="64"/>
      <c r="BD399" s="61"/>
      <c r="BE399" s="64"/>
      <c r="BF399" s="61"/>
      <c r="BG399" s="64"/>
      <c r="BH399" s="61"/>
      <c r="BI399" s="64"/>
      <c r="BJ399" s="61"/>
      <c r="BK399" s="64"/>
      <c r="BL399" s="61"/>
      <c r="BM399" s="64"/>
      <c r="BN399" s="61"/>
      <c r="BO399" s="64"/>
      <c r="BP399" s="61"/>
      <c r="BQ399" s="64"/>
      <c r="BR399" s="61"/>
      <c r="BS399" s="64"/>
      <c r="BT399" s="61"/>
      <c r="BU399" s="64"/>
      <c r="BV399" s="61"/>
      <c r="BW399" s="64"/>
      <c r="BX399" s="61"/>
      <c r="BY399" s="64"/>
      <c r="BZ399" s="61"/>
      <c r="CA399" s="64"/>
      <c r="CB399" s="61"/>
      <c r="CC399" s="64"/>
      <c r="CD399" s="61"/>
      <c r="CE399" s="64"/>
      <c r="CF399" s="61"/>
      <c r="CG399" s="64"/>
      <c r="CH399" s="61"/>
      <c r="CI399" s="64"/>
      <c r="CJ399" s="61"/>
      <c r="CK399" s="64"/>
      <c r="CL399" s="61"/>
      <c r="CM399" s="64"/>
      <c r="CN399" s="61"/>
      <c r="CO399" s="64"/>
      <c r="CP399" s="61"/>
      <c r="CQ399" s="64"/>
      <c r="CR399" s="61"/>
      <c r="CS399" s="64"/>
      <c r="CT399" s="61"/>
      <c r="CU399" s="64"/>
      <c r="CV399" s="61"/>
      <c r="CW399" s="64"/>
      <c r="CX399" s="61"/>
      <c r="CY399" s="64"/>
      <c r="CZ399" s="61"/>
      <c r="DA399" s="64"/>
      <c r="DB399" s="61"/>
      <c r="DC399" s="64"/>
      <c r="DD399" s="61"/>
      <c r="DE399" s="64"/>
      <c r="DF399" s="61"/>
      <c r="DG399" s="64"/>
      <c r="DH399" s="61"/>
      <c r="DI399" s="64"/>
      <c r="DJ399" s="61"/>
      <c r="DK399" s="64"/>
      <c r="DL399" s="61"/>
      <c r="DM399" s="64"/>
      <c r="DN399" s="61"/>
      <c r="DO399" s="64"/>
      <c r="DP399" s="61"/>
      <c r="DQ399" s="64"/>
      <c r="DR399" s="61"/>
      <c r="DS399" s="64"/>
      <c r="DT399" s="61"/>
      <c r="DU399" s="64"/>
      <c r="DV399" s="61"/>
      <c r="DW399" s="64"/>
      <c r="DX399" s="64"/>
      <c r="DY399" s="64"/>
      <c r="DZ399" s="61"/>
      <c r="EA399" s="64"/>
      <c r="EB399" s="61"/>
      <c r="EC399" s="64"/>
      <c r="ED399" s="61"/>
      <c r="EE399" s="64"/>
      <c r="EF399" s="61"/>
      <c r="EG399" s="64"/>
      <c r="EH399" s="61"/>
      <c r="EI399" s="64"/>
      <c r="EJ399" s="61"/>
      <c r="EK399" s="64"/>
      <c r="EL399" s="61"/>
      <c r="EM399" s="64"/>
      <c r="EN399" s="61"/>
      <c r="EO399" s="64"/>
      <c r="EP399" s="61"/>
      <c r="EQ399" s="64"/>
      <c r="ER399" s="61"/>
      <c r="ES399" s="64"/>
      <c r="ET399" s="61"/>
      <c r="EU399" s="64"/>
      <c r="EV399" s="61"/>
      <c r="EW399" s="64"/>
      <c r="EX399" s="61"/>
      <c r="EY399" s="64"/>
      <c r="EZ399" s="558"/>
      <c r="FA399" s="64"/>
      <c r="FB399" s="66"/>
      <c r="FC399" s="66"/>
      <c r="FD399" s="66"/>
      <c r="FE399" s="67"/>
      <c r="FF399" s="66"/>
      <c r="FG399" s="67"/>
      <c r="FH399" s="66"/>
      <c r="FI399" s="67"/>
      <c r="FJ399" s="66"/>
      <c r="FK399" s="67"/>
      <c r="FL399" s="66"/>
      <c r="FM399" s="61"/>
      <c r="FN399" s="66"/>
      <c r="FO399" s="61"/>
      <c r="FP399" s="65"/>
      <c r="FQ399" s="61"/>
      <c r="FR399" s="65"/>
      <c r="FS399" s="61"/>
      <c r="FT399" s="65"/>
      <c r="FU399" s="61"/>
      <c r="FV399" s="65"/>
      <c r="FW399" s="61"/>
      <c r="FX399" s="65"/>
      <c r="FY399" s="61"/>
      <c r="FZ399" s="65"/>
      <c r="GA399" s="61"/>
      <c r="GB399" s="65"/>
      <c r="GC399" s="61"/>
      <c r="GD399" s="65"/>
      <c r="GE399" s="61"/>
      <c r="GF399" s="65"/>
      <c r="GG399" s="61"/>
      <c r="GH399" s="65"/>
      <c r="GI399" s="61"/>
      <c r="GJ399" s="65"/>
      <c r="GK399" s="61"/>
      <c r="GL399" s="65"/>
      <c r="GM399" s="61"/>
      <c r="GN399" s="65"/>
      <c r="GO399" s="61"/>
      <c r="GP399" s="65"/>
      <c r="GQ399" s="61"/>
      <c r="GR399" s="64"/>
      <c r="GS399" s="61"/>
      <c r="GT399" s="64"/>
      <c r="GU399" s="61"/>
      <c r="GV399" s="64"/>
      <c r="GW399" s="61"/>
      <c r="GX399" s="64"/>
      <c r="GY399" s="61"/>
      <c r="GZ399" s="61"/>
      <c r="HA399" s="61"/>
      <c r="HB399" s="452"/>
      <c r="HC399"/>
      <c r="HD399"/>
      <c r="HE399"/>
      <c r="HF399"/>
      <c r="HG399"/>
      <c r="HH399"/>
    </row>
    <row r="400" spans="1:216" s="5" customFormat="1" ht="12.75" hidden="1" customHeight="1" outlineLevel="1" x14ac:dyDescent="0.2">
      <c r="B400" s="68" t="s">
        <v>315</v>
      </c>
      <c r="C400" s="82"/>
      <c r="D400" s="70"/>
      <c r="E400" s="82"/>
      <c r="F400" s="71"/>
      <c r="G400" s="82"/>
      <c r="H400" s="71"/>
      <c r="I400" s="82"/>
      <c r="J400" s="71"/>
      <c r="K400" s="82"/>
      <c r="L400" s="61"/>
      <c r="M400" s="82"/>
      <c r="N400" s="61"/>
      <c r="O400" s="82"/>
      <c r="P400" s="61"/>
      <c r="Q400" s="82"/>
      <c r="R400" s="61"/>
      <c r="S400" s="82"/>
      <c r="T400" s="61"/>
      <c r="U400" s="82"/>
      <c r="V400" s="61"/>
      <c r="W400" s="82"/>
      <c r="X400" s="61"/>
      <c r="Y400" s="82"/>
      <c r="Z400" s="61"/>
      <c r="AA400" s="82"/>
      <c r="AB400" s="61"/>
      <c r="AC400" s="82"/>
      <c r="AD400" s="61"/>
      <c r="AE400" s="82"/>
      <c r="AF400" s="61"/>
      <c r="AG400" s="82"/>
      <c r="AH400" s="61"/>
      <c r="AI400" s="82"/>
      <c r="AJ400" s="61"/>
      <c r="AK400" s="82"/>
      <c r="AL400" s="61"/>
      <c r="AM400" s="82"/>
      <c r="AN400" s="61"/>
      <c r="AO400" s="82"/>
      <c r="AP400" s="61"/>
      <c r="AQ400" s="82">
        <f>AQ391/AQ376*100</f>
        <v>6.2784349408553277</v>
      </c>
      <c r="AR400" s="61" t="str">
        <f>IF(ISERROR((AQ400/AI400-1)*100),"NA",IF(((AQ400/AI400-1)*100)&gt;100,"NM",IF(((AQ400/AI400-1)*100)&lt;-50,"NM",(AQ400/AI400-1)*100)))</f>
        <v>NA</v>
      </c>
      <c r="AS400" s="82">
        <f>AS391/AS376*100</f>
        <v>-1.834061135371174</v>
      </c>
      <c r="AT400" s="61" t="str">
        <f>IF(ISERROR((AS400/AK400-1)*100),"NA",IF(((AS400/AK400-1)*100)&gt;100,"NM",IF(((AS400/AK400-1)*100)&lt;-50,"NM",(AS400/AK400-1)*100)))</f>
        <v>NA</v>
      </c>
      <c r="AU400" s="82">
        <f>AU391/AU376*100</f>
        <v>6.7315490673154992</v>
      </c>
      <c r="AV400" s="61" t="str">
        <f>IF(ISERROR((AU400/AM400-1)*100),"NA",IF(((AU400/AM400-1)*100)&gt;100,"NM",IF(((AU400/AM400-1)*100)&lt;-50,"NM",(AU400/AM400-1)*100)))</f>
        <v>NA</v>
      </c>
      <c r="AW400" s="82">
        <f>AW391/AW376*100</f>
        <v>10.624999999999996</v>
      </c>
      <c r="AX400" s="61" t="str">
        <f>IF(ISERROR((AW400/AO400-1)*100),"NA",IF(((AW400/AO400-1)*100)&gt;100,"NM",IF(((AW400/AO400-1)*100)&lt;-50,"NM",(AW400/AO400-1)*100)))</f>
        <v>NA</v>
      </c>
      <c r="AY400" s="81">
        <f>AY391/AY376*100</f>
        <v>16.833810888252167</v>
      </c>
      <c r="AZ400" s="61" t="str">
        <f>IF(ISERROR((AY400/AQ400-1)*100),"NA",IF(((AY400/AQ400-1)*100)&gt;100,"NM",IF(((AY400/AQ400-1)*100)&lt;-50,"NM",(AY400/AQ400-1)*100)))</f>
        <v>NM</v>
      </c>
      <c r="BA400" s="81">
        <f>BA391/BA376*100</f>
        <v>13.585746102449878</v>
      </c>
      <c r="BB400" s="61" t="str">
        <f>IF(ISERROR((BA400/AS400-1)*100),"NA",IF(((BA400/AS400-1)*100)&gt;100,"NM",IF(((BA400/AS400-1)*100)&lt;-50,"NM",(BA400/AS400-1)*100)))</f>
        <v>NM</v>
      </c>
      <c r="BC400" s="81">
        <f>BC391/BC376*100</f>
        <v>14.31623931623932</v>
      </c>
      <c r="BD400" s="61" t="str">
        <f>IF(ISERROR((BC400/AU400-1)*100),"NA",IF(((BC400/AU400-1)*100)&gt;100,"NM",IF(((BC400/AU400-1)*100)&lt;-50,"NM",(BC400/AU400-1)*100)))</f>
        <v>NM</v>
      </c>
      <c r="BE400" s="81">
        <f>BE391/BE376*100</f>
        <v>15.245130960376093</v>
      </c>
      <c r="BF400" s="61">
        <f>IF(ISERROR((BE400/AW400-1)*100),"NA",IF(((BE400/AW400-1)*100)&gt;100,"NM",IF(((BE400/AW400-1)*100)&lt;-50,"NM",(BE400/AW400-1)*100)))</f>
        <v>43.483585509422106</v>
      </c>
      <c r="BG400" s="81">
        <f>BG391/BG376*100</f>
        <v>16.988674217188557</v>
      </c>
      <c r="BH400" s="61">
        <f>IF(ISERROR((BG400/AY400-1)*100),"NA",IF(((BG400/AY400-1)*100)&gt;100,"NM",IF(((BG400/AY400-1)*100)&lt;-50,"NM",(BG400/AY400-1)*100)))</f>
        <v>0.91995407317106981</v>
      </c>
      <c r="BI400" s="81">
        <f>BI391/BI376*100</f>
        <v>11.854304635761594</v>
      </c>
      <c r="BJ400" s="61">
        <f>IF(ISERROR((BI400/BA400-1)*100),"NA",IF(((BI400/BA400-1)*100)&gt;100,"NM",IF(((BI400/BA400-1)*100)&lt;-50,"NM",(BI400/BA400-1)*100)))</f>
        <v>-12.744544566279348</v>
      </c>
      <c r="BK400" s="81">
        <f>BK391/BK376*100</f>
        <v>22.718187874750164</v>
      </c>
      <c r="BL400" s="61">
        <f>IF(ISERROR((BK400/BC400-1)*100),"NA",IF(((BK400/BC400-1)*100)&gt;100,"NM",IF(((BK400/BC400-1)*100)&lt;-50,"NM",(BK400/BC400-1)*100)))</f>
        <v>58.688237692284687</v>
      </c>
      <c r="BM400" s="81">
        <f>BM391/BM376*100</f>
        <v>30.35971223021583</v>
      </c>
      <c r="BN400" s="61">
        <f>IF(ISERROR((BM400/BE400-1)*100),"NA",IF(((BM400/BE400-1)*100)&gt;100,"NM",IF(((BM400/BE400-1)*100)&lt;-50,"NM",(BM400/BE400-1)*100)))</f>
        <v>99.143663043133785</v>
      </c>
      <c r="BO400" s="81">
        <f>BO391/BO376*100</f>
        <v>16.043225270157947</v>
      </c>
      <c r="BP400" s="61">
        <f>IF(ISERROR((BO400/BG400-1)*100),"NA",IF(((BO400/BG400-1)*100)&gt;100,"NM",IF(((BO400/BG400-1)*100)&lt;-50,"NM",(BO400/BG400-1)*100)))</f>
        <v>-5.565172037227228</v>
      </c>
      <c r="BQ400" s="81">
        <f>BQ391/BQ376*100</f>
        <v>18.905872888173782</v>
      </c>
      <c r="BR400" s="61">
        <f>IF(ISERROR((BQ400/BI400-1)*100),"NA",IF(((BQ400/BI400-1)*100)&gt;100,"NM",IF(((BQ400/BI400-1)*100)&lt;-50,"NM",(BQ400/BI400-1)*100)))</f>
        <v>59.485296430963139</v>
      </c>
      <c r="BS400" s="81">
        <f>BS391/BS376*100</f>
        <v>7.3703366696997339</v>
      </c>
      <c r="BT400" s="61" t="str">
        <f>IF(ISERROR((BS400/BK400-1)*100),"NA",IF(((BS400/BK400-1)*100)&gt;100,"NM",IF(((BS400/BK400-1)*100)&lt;-50,"NM",(BS400/BK400-1)*100)))</f>
        <v>NM</v>
      </c>
      <c r="BU400" s="81">
        <f>BU391/BU376*100</f>
        <v>-7.5721153846153815</v>
      </c>
      <c r="BV400" s="61" t="str">
        <f>IF(ISERROR((BU400/BM400-1)*100),"NA",IF(((BU400/BM400-1)*100)&gt;100,"NM",IF(((BU400/BM400-1)*100)&lt;-50,"NM",(BU400/BM400-1)*100)))</f>
        <v>NM</v>
      </c>
      <c r="BW400" s="81">
        <f>BW391/BW376*100</f>
        <v>4.2735042735042725</v>
      </c>
      <c r="BX400" s="61" t="str">
        <f>IF(ISERROR((BW400/BO400-1)*100),"NA",IF(((BW400/BO400-1)*100)&gt;100,"NM",IF(((BW400/BO400-1)*100)&lt;-50,"NM",(BW400/BO400-1)*100)))</f>
        <v>NM</v>
      </c>
      <c r="BY400" s="81">
        <f>BY391/BY376*100</f>
        <v>10.807860262008726</v>
      </c>
      <c r="BZ400" s="61">
        <f>IF(ISERROR((BY400/BQ400-1)*100),"NA",IF(((BY400/BQ400-1)*100)&gt;100,"NM",IF(((BY400/BQ400-1)*100)&lt;-50,"NM",(BY400/BQ400-1)*100)))</f>
        <v>-42.833317848183661</v>
      </c>
      <c r="CA400" s="81"/>
      <c r="CB400" s="61"/>
      <c r="CC400" s="81"/>
      <c r="CD400" s="61"/>
      <c r="CE400" s="81"/>
      <c r="CF400" s="61"/>
      <c r="CG400" s="81"/>
      <c r="CH400" s="61"/>
      <c r="CI400" s="81"/>
      <c r="CJ400" s="61"/>
      <c r="CK400" s="81"/>
      <c r="CL400" s="61"/>
      <c r="CM400" s="81"/>
      <c r="CN400" s="61"/>
      <c r="CO400" s="81"/>
      <c r="CP400" s="61"/>
      <c r="CQ400" s="81"/>
      <c r="CR400" s="61"/>
      <c r="CS400" s="81"/>
      <c r="CT400" s="61"/>
      <c r="CU400" s="81"/>
      <c r="CV400" s="61"/>
      <c r="CW400" s="81"/>
      <c r="CX400" s="61"/>
      <c r="CY400" s="81"/>
      <c r="CZ400" s="61"/>
      <c r="DA400" s="81"/>
      <c r="DB400" s="61"/>
      <c r="DC400" s="81"/>
      <c r="DD400" s="61"/>
      <c r="DE400" s="81"/>
      <c r="DF400" s="61"/>
      <c r="DG400" s="81"/>
      <c r="DH400" s="61"/>
      <c r="DI400" s="81"/>
      <c r="DJ400" s="61"/>
      <c r="DK400" s="81"/>
      <c r="DL400" s="61"/>
      <c r="DM400" s="81"/>
      <c r="DN400" s="61"/>
      <c r="DO400" s="81"/>
      <c r="DP400" s="61"/>
      <c r="DQ400" s="81"/>
      <c r="DR400" s="61"/>
      <c r="DS400" s="81"/>
      <c r="DT400" s="61"/>
      <c r="DU400" s="81"/>
      <c r="DV400" s="61"/>
      <c r="DW400" s="81"/>
      <c r="DX400" s="81"/>
      <c r="DY400" s="81"/>
      <c r="DZ400" s="61"/>
      <c r="EA400" s="81"/>
      <c r="EB400" s="61"/>
      <c r="EC400" s="81"/>
      <c r="ED400" s="61"/>
      <c r="EE400" s="81"/>
      <c r="EF400" s="61"/>
      <c r="EG400" s="81"/>
      <c r="EH400" s="61"/>
      <c r="EI400" s="81"/>
      <c r="EJ400" s="61"/>
      <c r="EK400" s="81"/>
      <c r="EL400" s="61"/>
      <c r="EM400" s="81"/>
      <c r="EN400" s="61"/>
      <c r="EO400" s="81"/>
      <c r="EP400" s="61"/>
      <c r="EQ400" s="81"/>
      <c r="ER400" s="61"/>
      <c r="ES400" s="81"/>
      <c r="ET400" s="61"/>
      <c r="EU400" s="81"/>
      <c r="EV400" s="61"/>
      <c r="EW400" s="81"/>
      <c r="EX400" s="61"/>
      <c r="EY400" s="85"/>
      <c r="EZ400" s="558"/>
      <c r="FA400" s="85"/>
      <c r="FB400" s="81"/>
      <c r="FC400" s="86"/>
      <c r="FD400" s="81"/>
      <c r="FE400" s="87"/>
      <c r="FF400" s="81"/>
      <c r="FG400" s="87"/>
      <c r="FH400" s="81"/>
      <c r="FI400" s="87"/>
      <c r="FJ400" s="81"/>
      <c r="FK400" s="87"/>
      <c r="FL400" s="81"/>
      <c r="FM400" s="87"/>
      <c r="FN400" s="81"/>
      <c r="FO400" s="87"/>
      <c r="FP400" s="88">
        <f>FP391/FP376*100</f>
        <v>5.6127811645995402</v>
      </c>
      <c r="FQ400" s="61" t="str">
        <f>IF(ISERROR((FP400/FN400-1)*100),"NA",IF(((FP400/FN400-1)*100)&gt;100,"NM",IF(((FP400/FN400-1)*100)&lt;-50,"NM",(FP400/FN400-1)*100)))</f>
        <v>NA</v>
      </c>
      <c r="FR400" s="88">
        <f>FR391/FR376*100</f>
        <v>15.010645848119236</v>
      </c>
      <c r="FS400" s="61" t="str">
        <f>IF(ISERROR((FR400/FP400-1)*100),"NA",IF(((FR400/FP400-1)*100)&gt;100,"NM",IF(((FR400/FP400-1)*100)&lt;-50,"NM",(FR400/FP400-1)*100)))</f>
        <v>NM</v>
      </c>
      <c r="FT400" s="88">
        <f>FT391/FT376*100</f>
        <v>20.281260589630641</v>
      </c>
      <c r="FU400" s="61">
        <f>IF(ISERROR((FT400/FR400-1)*100),"NA",IF(((FT400/FR400-1)*100)&gt;100,"NM",IF(((FT400/FR400-1)*100)&lt;-50,"NM",(FT400/FR400-1)*100)))</f>
        <v>35.112511445813553</v>
      </c>
      <c r="FV400" s="88">
        <f>FV391/FV376*100</f>
        <v>10.189627598811976</v>
      </c>
      <c r="FW400" s="61">
        <f>IF(ISERROR((FV400/FT400-1)*100),"NA",IF(((FV400/FT400-1)*100)&gt;100,"NM",IF(((FV400/FT400-1)*100)&lt;-50,"NM",(FV400/FT400-1)*100)))</f>
        <v>-49.758410953894519</v>
      </c>
      <c r="FX400" s="88">
        <f>FX391/FX376*100</f>
        <v>7.7233429394812552</v>
      </c>
      <c r="FY400" s="61">
        <f>IF(ISERROR((FX400/FV400-1)*100),"NA",IF(((FX400/FV400-1)*100)&gt;100,"NM",IF(((FX400/FV400-1)*100)&lt;-50,"NM",(FX400/FV400-1)*100)))</f>
        <v>-24.20387433607749</v>
      </c>
      <c r="FZ400" s="88"/>
      <c r="GA400" s="61"/>
      <c r="GB400" s="88"/>
      <c r="GC400" s="61"/>
      <c r="GD400" s="88"/>
      <c r="GE400" s="61"/>
      <c r="GF400" s="88"/>
      <c r="GG400" s="61"/>
      <c r="GH400" s="88"/>
      <c r="GI400" s="61"/>
      <c r="GJ400" s="88"/>
      <c r="GK400" s="61"/>
      <c r="GL400" s="88"/>
      <c r="GM400" s="61"/>
      <c r="GN400" s="88"/>
      <c r="GO400" s="61"/>
      <c r="GP400" s="88"/>
      <c r="GQ400" s="61"/>
      <c r="GR400" s="81"/>
      <c r="GS400" s="61"/>
      <c r="GT400" s="81"/>
      <c r="GU400" s="61"/>
      <c r="GV400" s="81"/>
      <c r="GW400" s="61"/>
      <c r="GX400" s="81"/>
      <c r="GY400" s="61"/>
      <c r="GZ400" s="61"/>
      <c r="HA400" s="61"/>
      <c r="HB400" s="452"/>
      <c r="HC400"/>
      <c r="HD400"/>
      <c r="HE400"/>
      <c r="HF400"/>
      <c r="HG400"/>
      <c r="HH400"/>
    </row>
    <row r="401" spans="1:216" s="5" customFormat="1" ht="12.75" hidden="1" customHeight="1" outlineLevel="1" x14ac:dyDescent="0.2">
      <c r="B401" s="68" t="s">
        <v>261</v>
      </c>
      <c r="C401" s="82"/>
      <c r="D401" s="70"/>
      <c r="E401" s="82"/>
      <c r="F401" s="71"/>
      <c r="G401" s="82"/>
      <c r="H401" s="71"/>
      <c r="I401" s="82"/>
      <c r="J401" s="71"/>
      <c r="K401" s="82"/>
      <c r="L401" s="61"/>
      <c r="M401" s="82"/>
      <c r="N401" s="61"/>
      <c r="O401" s="82"/>
      <c r="P401" s="61"/>
      <c r="Q401" s="82"/>
      <c r="R401" s="61"/>
      <c r="S401" s="82"/>
      <c r="T401" s="61"/>
      <c r="U401" s="82"/>
      <c r="V401" s="61"/>
      <c r="W401" s="82"/>
      <c r="X401" s="61"/>
      <c r="Y401" s="82"/>
      <c r="Z401" s="61"/>
      <c r="AA401" s="82"/>
      <c r="AB401" s="61"/>
      <c r="AC401" s="82"/>
      <c r="AD401" s="61"/>
      <c r="AE401" s="82"/>
      <c r="AF401" s="61"/>
      <c r="AG401" s="82"/>
      <c r="AH401" s="61"/>
      <c r="AI401" s="82"/>
      <c r="AJ401" s="61"/>
      <c r="AK401" s="82"/>
      <c r="AL401" s="61"/>
      <c r="AM401" s="82"/>
      <c r="AN401" s="61"/>
      <c r="AO401" s="82"/>
      <c r="AP401" s="61"/>
      <c r="AQ401" s="82">
        <f>AQ394/AQ376*100</f>
        <v>4.0946314831665207</v>
      </c>
      <c r="AR401" s="61" t="str">
        <f>IF(ISERROR((AQ401/AI401-1)*100),"NA",IF(((AQ401/AI401-1)*100)&gt;100,"NM",IF(((AQ401/AI401-1)*100)&lt;-50,"NM",(AQ401/AI401-1)*100)))</f>
        <v>NA</v>
      </c>
      <c r="AS401" s="82">
        <f>AS394/AS376*100</f>
        <v>-1.2227074235807811</v>
      </c>
      <c r="AT401" s="61" t="str">
        <f>IF(ISERROR((AS401/AK401-1)*100),"NA",IF(((AS401/AK401-1)*100)&gt;100,"NM",IF(((AS401/AK401-1)*100)&lt;-50,"NM",(AS401/AK401-1)*100)))</f>
        <v>NA</v>
      </c>
      <c r="AU401" s="82">
        <f>AU394/AU376*100</f>
        <v>3.974047039740479</v>
      </c>
      <c r="AV401" s="61" t="str">
        <f>IF(ISERROR((AU401/AM401-1)*100),"NA",IF(((AU401/AM401-1)*100)&gt;100,"NM",IF(((AU401/AM401-1)*100)&lt;-50,"NM",(AU401/AM401-1)*100)))</f>
        <v>NA</v>
      </c>
      <c r="AW401" s="82">
        <f>AW394/AW376*100</f>
        <v>7.0312499999999956</v>
      </c>
      <c r="AX401" s="61" t="str">
        <f>IF(ISERROR((AW401/AO401-1)*100),"NA",IF(((AW401/AO401-1)*100)&gt;100,"NM",IF(((AW401/AO401-1)*100)&lt;-50,"NM",(AW401/AO401-1)*100)))</f>
        <v>NA</v>
      </c>
      <c r="AY401" s="81">
        <f>AY394/AY376*100</f>
        <v>10.959885386819504</v>
      </c>
      <c r="AZ401" s="61" t="str">
        <f>IF(ISERROR((AY401/AQ401-1)*100),"NA",IF(((AY401/AQ401-1)*100)&gt;100,"NM",IF(((AY401/AQ401-1)*100)&lt;-50,"NM",(AY401/AQ401-1)*100)))</f>
        <v>NM</v>
      </c>
      <c r="BA401" s="81">
        <f>BA394/BA376*100</f>
        <v>8.9086859688195865</v>
      </c>
      <c r="BB401" s="61" t="str">
        <f>IF(ISERROR((BA401/AS401-1)*100),"NA",IF(((BA401/AS401-1)*100)&gt;100,"NM",IF(((BA401/AS401-1)*100)&lt;-50,"NM",(BA401/AS401-1)*100)))</f>
        <v>NM</v>
      </c>
      <c r="BC401" s="81">
        <f>BC394/BC376*100</f>
        <v>9.5441595441595499</v>
      </c>
      <c r="BD401" s="61" t="str">
        <f>IF(ISERROR((BC401/AU401-1)*100),"NA",IF(((BC401/AU401-1)*100)&gt;100,"NM",IF(((BC401/AU401-1)*100)&lt;-50,"NM",(BC401/AU401-1)*100)))</f>
        <v>NM</v>
      </c>
      <c r="BE401" s="81">
        <f>BE394/BE376*100</f>
        <v>9.6709200805910012</v>
      </c>
      <c r="BF401" s="61">
        <f>IF(ISERROR((BE401/AW401-1)*100),"NA",IF(((BE401/AW401-1)*100)&gt;100,"NM",IF(((BE401/AW401-1)*100)&lt;-50,"NM",(BE401/AW401-1)*100)))</f>
        <v>37.541974479516547</v>
      </c>
      <c r="BG401" s="81">
        <f>BG394/BG376*100</f>
        <v>10.792804796802148</v>
      </c>
      <c r="BH401" s="61">
        <f>IF(ISERROR((BG401/AY401-1)*100),"NA",IF(((BG401/AY401-1)*100)&gt;100,"NM",IF(((BG401/AY401-1)*100)&lt;-50,"NM",(BG401/AY401-1)*100)))</f>
        <v>-1.5244738801583613</v>
      </c>
      <c r="BI401" s="81">
        <f>BI394/BI376*100</f>
        <v>7.4834437086092764</v>
      </c>
      <c r="BJ401" s="61">
        <f>IF(ISERROR((BI401/BA401-1)*100),"NA",IF(((BI401/BA401-1)*100)&gt;100,"NM",IF(((BI401/BA401-1)*100)&lt;-50,"NM",(BI401/BA401-1)*100)))</f>
        <v>-15.998344370860751</v>
      </c>
      <c r="BK401" s="81">
        <f>BK394/BK376*100</f>
        <v>14.523650899400394</v>
      </c>
      <c r="BL401" s="61">
        <f>IF(ISERROR((BK401/BC401-1)*100),"NA",IF(((BK401/BC401-1)*100)&gt;100,"NM",IF(((BK401/BC401-1)*100)&lt;-50,"NM",(BK401/BC401-1)*100)))</f>
        <v>52.173178080284629</v>
      </c>
      <c r="BM401" s="81">
        <f>BM394/BM376*100</f>
        <v>19.424460431654676</v>
      </c>
      <c r="BN401" s="61" t="str">
        <f>IF(ISERROR((BM401/BE401-1)*100),"NA",IF(((BM401/BE401-1)*100)&gt;100,"NM",IF(((BM401/BE401-1)*100)&lt;-50,"NM",(BM401/BE401-1)*100)))</f>
        <v>NM</v>
      </c>
      <c r="BO401" s="81">
        <f>BO394/BO376*100</f>
        <v>10.141313383208654</v>
      </c>
      <c r="BP401" s="61">
        <f>IF(ISERROR((BO401/BG401-1)*100),"NA",IF(((BO401/BG401-1)*100)&gt;100,"NM",IF(((BO401/BG401-1)*100)&lt;-50,"NM",(BO401/BG401-1)*100)))</f>
        <v>-6.0363494555792148</v>
      </c>
      <c r="BQ401" s="81">
        <f>BQ394/BQ376*100</f>
        <v>12.067578439259865</v>
      </c>
      <c r="BR401" s="61">
        <f>IF(ISERROR((BQ401/BI401-1)*100),"NA",IF(((BQ401/BI401-1)*100)&gt;100,"NM",IF(((BQ401/BI401-1)*100)&lt;-50,"NM",(BQ401/BI401-1)*100)))</f>
        <v>61.257021621968001</v>
      </c>
      <c r="BS401" s="81">
        <f>BS394/BS376*100</f>
        <v>4.8225659690627918</v>
      </c>
      <c r="BT401" s="61" t="str">
        <f>IF(ISERROR((BS401/BK401-1)*100),"NA",IF(((BS401/BK401-1)*100)&gt;100,"NM",IF(((BS401/BK401-1)*100)&lt;-50,"NM",(BS401/BK401-1)*100)))</f>
        <v>NM</v>
      </c>
      <c r="BU401" s="81">
        <f>BU394/BU376*100</f>
        <v>-5.1682692307692273</v>
      </c>
      <c r="BV401" s="61" t="str">
        <f>IF(ISERROR((BU401/BM401-1)*100),"NA",IF(((BU401/BM401-1)*100)&gt;100,"NM",IF(((BU401/BM401-1)*100)&lt;-50,"NM",(BU401/BM401-1)*100)))</f>
        <v>NM</v>
      </c>
      <c r="BW401" s="81">
        <f>BW394/BW376*100</f>
        <v>1.7094017094017093</v>
      </c>
      <c r="BX401" s="61" t="str">
        <f>IF(ISERROR((BW401/BO401-1)*100),"NA",IF(((BW401/BO401-1)*100)&gt;100,"NM",IF(((BW401/BO401-1)*100)&lt;-50,"NM",(BW401/BO401-1)*100)))</f>
        <v>NM</v>
      </c>
      <c r="BY401" s="81">
        <f>BY394/BY376*100</f>
        <v>5.567685589519642</v>
      </c>
      <c r="BZ401" s="61" t="str">
        <f>IF(ISERROR((BY401/BQ401-1)*100),"NA",IF(((BY401/BQ401-1)*100)&gt;100,"NM",IF(((BY401/BQ401-1)*100)&lt;-50,"NM",(BY401/BQ401-1)*100)))</f>
        <v>NM</v>
      </c>
      <c r="CA401" s="81"/>
      <c r="CB401" s="61"/>
      <c r="CC401" s="81"/>
      <c r="CD401" s="61"/>
      <c r="CE401" s="81"/>
      <c r="CF401" s="61"/>
      <c r="CG401" s="81"/>
      <c r="CH401" s="61"/>
      <c r="CI401" s="81"/>
      <c r="CJ401" s="61"/>
      <c r="CK401" s="81"/>
      <c r="CL401" s="61"/>
      <c r="CM401" s="81"/>
      <c r="CN401" s="61"/>
      <c r="CO401" s="81"/>
      <c r="CP401" s="61"/>
      <c r="CQ401" s="81"/>
      <c r="CR401" s="61"/>
      <c r="CS401" s="81"/>
      <c r="CT401" s="61"/>
      <c r="CU401" s="81"/>
      <c r="CV401" s="61"/>
      <c r="CW401" s="81"/>
      <c r="CX401" s="61"/>
      <c r="CY401" s="81"/>
      <c r="CZ401" s="61"/>
      <c r="DA401" s="81"/>
      <c r="DB401" s="61"/>
      <c r="DC401" s="81"/>
      <c r="DD401" s="61"/>
      <c r="DE401" s="81"/>
      <c r="DF401" s="61"/>
      <c r="DG401" s="81"/>
      <c r="DH401" s="61"/>
      <c r="DI401" s="81"/>
      <c r="DJ401" s="61"/>
      <c r="DK401" s="81"/>
      <c r="DL401" s="61"/>
      <c r="DM401" s="81"/>
      <c r="DN401" s="61"/>
      <c r="DO401" s="81"/>
      <c r="DP401" s="61"/>
      <c r="DQ401" s="81"/>
      <c r="DR401" s="61"/>
      <c r="DS401" s="81"/>
      <c r="DT401" s="61"/>
      <c r="DU401" s="81"/>
      <c r="DV401" s="61"/>
      <c r="DW401" s="81"/>
      <c r="DX401" s="81"/>
      <c r="DY401" s="81"/>
      <c r="DZ401" s="61"/>
      <c r="EA401" s="81"/>
      <c r="EB401" s="61"/>
      <c r="EC401" s="81"/>
      <c r="ED401" s="61"/>
      <c r="EE401" s="81"/>
      <c r="EF401" s="61"/>
      <c r="EG401" s="81"/>
      <c r="EH401" s="61"/>
      <c r="EI401" s="81"/>
      <c r="EJ401" s="61"/>
      <c r="EK401" s="81"/>
      <c r="EL401" s="61"/>
      <c r="EM401" s="81"/>
      <c r="EN401" s="61"/>
      <c r="EO401" s="81"/>
      <c r="EP401" s="61"/>
      <c r="EQ401" s="81"/>
      <c r="ER401" s="61"/>
      <c r="ES401" s="81"/>
      <c r="ET401" s="61"/>
      <c r="EU401" s="81"/>
      <c r="EV401" s="61"/>
      <c r="EW401" s="81"/>
      <c r="EX401" s="61"/>
      <c r="EY401" s="85"/>
      <c r="EZ401" s="558"/>
      <c r="FA401" s="85"/>
      <c r="FB401" s="81"/>
      <c r="FC401" s="86"/>
      <c r="FD401" s="81"/>
      <c r="FE401" s="87"/>
      <c r="FF401" s="81"/>
      <c r="FG401" s="87"/>
      <c r="FH401" s="81"/>
      <c r="FI401" s="87"/>
      <c r="FJ401" s="81"/>
      <c r="FK401" s="87"/>
      <c r="FL401" s="81"/>
      <c r="FM401" s="87"/>
      <c r="FN401" s="81"/>
      <c r="FO401" s="87"/>
      <c r="FP401" s="88">
        <f>FP394/FP376*100</f>
        <v>3.5736808913180611</v>
      </c>
      <c r="FQ401" s="61" t="str">
        <f>IF(ISERROR((FP401/FN401-1)*100),"NA",IF(((FP401/FN401-1)*100)&gt;100,"NM",IF(((FP401/FN401-1)*100)&lt;-50,"NM",(FP401/FN401-1)*100)))</f>
        <v>NA</v>
      </c>
      <c r="FR401" s="88">
        <f>FR394/FR376*100</f>
        <v>9.7764371894961002</v>
      </c>
      <c r="FS401" s="61" t="str">
        <f>IF(ISERROR((FR401/FP401-1)*100),"NA",IF(((FR401/FP401-1)*100)&gt;100,"NM",IF(((FR401/FP401-1)*100)&lt;-50,"NM",(FR401/FP401-1)*100)))</f>
        <v>NM</v>
      </c>
      <c r="FT401" s="88">
        <f>FT394/FT376*100</f>
        <v>12.927821077600818</v>
      </c>
      <c r="FU401" s="61">
        <f>IF(ISERROR((FT401/FR401-1)*100),"NA",IF(((FT401/FR401-1)*100)&gt;100,"NM",IF(((FT401/FR401-1)*100)&lt;-50,"NM",(FT401/FR401-1)*100)))</f>
        <v>32.234482020613761</v>
      </c>
      <c r="FV401" s="88">
        <f>FV394/FV376*100</f>
        <v>6.442769019876633</v>
      </c>
      <c r="FW401" s="61" t="str">
        <f>IF(ISERROR((FV401/FT401-1)*100),"NA",IF(((FV401/FT401-1)*100)&gt;100,"NM",IF(((FV401/FT401-1)*100)&lt;-50,"NM",(FV401/FT401-1)*100)))</f>
        <v>NM</v>
      </c>
      <c r="FX401" s="88">
        <f>FX394/FX376*100</f>
        <v>3.7463976945244823</v>
      </c>
      <c r="FY401" s="61">
        <f>IF(ISERROR((FX401/FV401-1)*100),"NA",IF(((FX401/FV401-1)*100)&gt;100,"NM",IF(((FX401/FV401-1)*100)&lt;-50,"NM",(FX401/FV401-1)*100)))</f>
        <v>-41.851125145625367</v>
      </c>
      <c r="FZ401" s="88"/>
      <c r="GA401" s="61"/>
      <c r="GB401" s="88"/>
      <c r="GC401" s="61"/>
      <c r="GD401" s="88"/>
      <c r="GE401" s="61"/>
      <c r="GF401" s="88"/>
      <c r="GG401" s="61"/>
      <c r="GH401" s="88"/>
      <c r="GI401" s="61"/>
      <c r="GJ401" s="88"/>
      <c r="GK401" s="61"/>
      <c r="GL401" s="88"/>
      <c r="GM401" s="61"/>
      <c r="GN401" s="88"/>
      <c r="GO401" s="61"/>
      <c r="GP401" s="88"/>
      <c r="GQ401" s="61"/>
      <c r="GR401" s="81"/>
      <c r="GS401" s="61"/>
      <c r="GT401" s="81"/>
      <c r="GU401" s="61"/>
      <c r="GV401" s="81"/>
      <c r="GW401" s="61"/>
      <c r="GX401" s="81"/>
      <c r="GY401" s="61"/>
      <c r="GZ401" s="61"/>
      <c r="HA401" s="61"/>
      <c r="HB401" s="452"/>
      <c r="HC401"/>
      <c r="HD401"/>
      <c r="HE401"/>
      <c r="HF401"/>
      <c r="HG401"/>
      <c r="HH401"/>
    </row>
    <row r="402" spans="1:216" s="5" customFormat="1" ht="12.75" hidden="1" customHeight="1" outlineLevel="1" x14ac:dyDescent="0.2">
      <c r="B402" s="68" t="s">
        <v>262</v>
      </c>
      <c r="C402" s="82"/>
      <c r="D402" s="70"/>
      <c r="E402" s="82"/>
      <c r="F402" s="71"/>
      <c r="G402" s="82"/>
      <c r="H402" s="71"/>
      <c r="I402" s="82"/>
      <c r="J402" s="71"/>
      <c r="K402" s="82"/>
      <c r="L402" s="61"/>
      <c r="M402" s="82"/>
      <c r="N402" s="61"/>
      <c r="O402" s="82"/>
      <c r="P402" s="61"/>
      <c r="Q402" s="82"/>
      <c r="R402" s="61"/>
      <c r="S402" s="82"/>
      <c r="T402" s="61"/>
      <c r="U402" s="82"/>
      <c r="V402" s="61"/>
      <c r="W402" s="82"/>
      <c r="X402" s="61"/>
      <c r="Y402" s="82"/>
      <c r="Z402" s="61"/>
      <c r="AA402" s="82"/>
      <c r="AB402" s="61"/>
      <c r="AC402" s="82"/>
      <c r="AD402" s="61"/>
      <c r="AE402" s="82"/>
      <c r="AF402" s="61"/>
      <c r="AG402" s="82"/>
      <c r="AH402" s="61"/>
      <c r="AI402" s="82"/>
      <c r="AJ402" s="61"/>
      <c r="AK402" s="82"/>
      <c r="AL402" s="61"/>
      <c r="AM402" s="82"/>
      <c r="AN402" s="61"/>
      <c r="AO402" s="82"/>
      <c r="AP402" s="61"/>
      <c r="AQ402" s="82">
        <f>AQ391/AQ364*400</f>
        <v>4.7499806386658787E-2</v>
      </c>
      <c r="AR402" s="61" t="str">
        <f>IF(ISERROR((AQ402/AI402-1)*100),"NA",IF(((AQ402/AI402-1)*100)&gt;100,"NM",IF(((AQ402/AI402-1)*100)&lt;-50,"NM",(AQ402/AI402-1)*100)))</f>
        <v>NA</v>
      </c>
      <c r="AS402" s="82">
        <f>AS391/AS364*400</f>
        <v>-1.3340638921314018E-2</v>
      </c>
      <c r="AT402" s="61" t="str">
        <f>IF(ISERROR((AS402/AK402-1)*100),"NA",IF(((AS402/AK402-1)*100)&gt;100,"NM",IF(((AS402/AK402-1)*100)&lt;-50,"NM",(AS402/AK402-1)*100)))</f>
        <v>NA</v>
      </c>
      <c r="AU402" s="82">
        <f>AU391/AU364*400</f>
        <v>4.7386262265834145E-2</v>
      </c>
      <c r="AV402" s="61" t="str">
        <f>IF(ISERROR((AU402/AM402-1)*100),"NA",IF(((AU402/AM402-1)*100)&gt;100,"NM",IF(((AU402/AM402-1)*100)&lt;-50,"NM",(AU402/AM402-1)*100)))</f>
        <v>NA</v>
      </c>
      <c r="AW402" s="82">
        <f>AW391/AW364*400</f>
        <v>7.2097384481833143E-2</v>
      </c>
      <c r="AX402" s="61" t="str">
        <f>IF(ISERROR((AW402/AO402-1)*100),"NA",IF(((AW402/AO402-1)*100)&gt;100,"NM",IF(((AW402/AO402-1)*100)&lt;-50,"NM",(AW402/AO402-1)*100)))</f>
        <v>NA</v>
      </c>
      <c r="AY402" s="81">
        <f>AY391/AY364*400</f>
        <v>0.11459152388440899</v>
      </c>
      <c r="AZ402" s="61" t="str">
        <f>IF(ISERROR((AY402/AQ402-1)*100),"NA",IF(((AY402/AQ402-1)*100)&gt;100,"NM",IF(((AY402/AQ402-1)*100)&lt;-50,"NM",(AY402/AQ402-1)*100)))</f>
        <v>NM</v>
      </c>
      <c r="BA402" s="81">
        <f>BA391/BA364*400</f>
        <v>8.494244337170434E-2</v>
      </c>
      <c r="BB402" s="61" t="str">
        <f>IF(ISERROR((BA402/AS402-1)*100),"NA",IF(((BA402/AS402-1)*100)&gt;100,"NM",IF(((BA402/AS402-1)*100)&lt;-50,"NM",(BA402/AS402-1)*100)))</f>
        <v>NM</v>
      </c>
      <c r="BC402" s="81">
        <f>BC391/BC364*400</f>
        <v>9.1657878986519253E-2</v>
      </c>
      <c r="BD402" s="61">
        <f>IF(ISERROR((BC402/AU402-1)*100),"NA",IF(((BC402/AU402-1)*100)&gt;100,"NM",IF(((BC402/AU402-1)*100)&lt;-50,"NM",(BC402/AU402-1)*100)))</f>
        <v>93.42711284617458</v>
      </c>
      <c r="BE402" s="81">
        <f>BE391/BE364*400</f>
        <v>9.720690725733068E-2</v>
      </c>
      <c r="BF402" s="61">
        <f>IF(ISERROR((BE402/AW402-1)*100),"NA",IF(((BE402/AW402-1)*100)&gt;100,"NM",IF(((BE402/AW402-1)*100)&lt;-50,"NM",(BE402/AW402-1)*100)))</f>
        <v>34.827231190091993</v>
      </c>
      <c r="BG402" s="81">
        <f>BG391/BG364*400</f>
        <v>0.10767898992884754</v>
      </c>
      <c r="BH402" s="61">
        <f>IF(ISERROR((BG402/AY402-1)*100),"NA",IF(((BG402/AY402-1)*100)&gt;100,"NM",IF(((BG402/AY402-1)*100)&lt;-50,"NM",(BG402/AY402-1)*100)))</f>
        <v>-6.0323257089540672</v>
      </c>
      <c r="BI402" s="81">
        <f>BI391/BI364*400</f>
        <v>7.4029653218635652E-2</v>
      </c>
      <c r="BJ402" s="61">
        <f>IF(ISERROR((BI402/BA402-1)*100),"NA",IF(((BI402/BA402-1)*100)&gt;100,"NM",IF(((BI402/BA402-1)*100)&lt;-50,"NM",(BI402/BA402-1)*100)))</f>
        <v>-12.84727601408262</v>
      </c>
      <c r="BK402" s="81">
        <f>BK391/BK364*400</f>
        <v>0.13818255495897069</v>
      </c>
      <c r="BL402" s="61">
        <f>IF(ISERROR((BK402/BC402-1)*100),"NA",IF(((BK402/BC402-1)*100)&gt;100,"NM",IF(((BK402/BC402-1)*100)&lt;-50,"NM",(BK402/BC402-1)*100)))</f>
        <v>50.759058017580941</v>
      </c>
      <c r="BM402" s="81">
        <f>BM391/BM364*400</f>
        <v>0.18242436359510006</v>
      </c>
      <c r="BN402" s="61">
        <f>IF(ISERROR((BM402/BE402-1)*100),"NA",IF(((BM402/BE402-1)*100)&gt;100,"NM",IF(((BM402/BE402-1)*100)&lt;-50,"NM",(BM402/BE402-1)*100)))</f>
        <v>87.666050430117835</v>
      </c>
      <c r="BO402" s="81">
        <f>BO391/BO364*400</f>
        <v>9.4206656700936628E-2</v>
      </c>
      <c r="BP402" s="61">
        <f>IF(ISERROR((BO402/BG402-1)*100),"NA",IF(((BO402/BG402-1)*100)&gt;100,"NM",IF(((BO402/BG402-1)*100)&lt;-50,"NM",(BO402/BG402-1)*100)))</f>
        <v>-12.511570954383211</v>
      </c>
      <c r="BQ402" s="81">
        <f>BQ391/BQ364*400</f>
        <v>0.12189666016118895</v>
      </c>
      <c r="BR402" s="61">
        <f>IF(ISERROR((BQ402/BI402-1)*100),"NA",IF(((BQ402/BI402-1)*100)&gt;100,"NM",IF(((BQ402/BI402-1)*100)&lt;-50,"NM",(BQ402/BI402-1)*100)))</f>
        <v>64.659234322204867</v>
      </c>
      <c r="BS402" s="81">
        <f>BS391/BS364*400</f>
        <v>4.5540796963946917E-2</v>
      </c>
      <c r="BT402" s="61" t="str">
        <f>IF(ISERROR((BS402/BK402-1)*100),"NA",IF(((BS402/BK402-1)*100)&gt;100,"NM",IF(((BS402/BK402-1)*100)&lt;-50,"NM",(BS402/BK402-1)*100)))</f>
        <v>NM</v>
      </c>
      <c r="BU402" s="81">
        <f>BU391/BU364*400</f>
        <v>-4.1604411388382112E-2</v>
      </c>
      <c r="BV402" s="61" t="str">
        <f>IF(ISERROR((BU402/BM402-1)*100),"NA",IF(((BU402/BM402-1)*100)&gt;100,"NM",IF(((BU402/BM402-1)*100)&lt;-50,"NM",(BU402/BM402-1)*100)))</f>
        <v>NM</v>
      </c>
      <c r="BW402" s="81">
        <f>BW391/BW364*400</f>
        <v>2.6327666616518731E-2</v>
      </c>
      <c r="BX402" s="61" t="str">
        <f>IF(ISERROR((BW402/BO402-1)*100),"NA",IF(((BW402/BO402-1)*100)&gt;100,"NM",IF(((BW402/BO402-1)*100)&lt;-50,"NM",(BW402/BO402-1)*100)))</f>
        <v>NM</v>
      </c>
      <c r="BY402" s="81">
        <f>BY391/BY364*400</f>
        <v>7.2212040810744213E-2</v>
      </c>
      <c r="BZ402" s="61">
        <f>IF(ISERROR((BY402/BQ402-1)*100),"NA",IF(((BY402/BQ402-1)*100)&gt;100,"NM",IF(((BY402/BQ402-1)*100)&lt;-50,"NM",(BY402/BQ402-1)*100)))</f>
        <v>-40.759623179785841</v>
      </c>
      <c r="CA402" s="81"/>
      <c r="CB402" s="61"/>
      <c r="CC402" s="81"/>
      <c r="CD402" s="61"/>
      <c r="CE402" s="81"/>
      <c r="CF402" s="61"/>
      <c r="CG402" s="81"/>
      <c r="CH402" s="61"/>
      <c r="CI402" s="81"/>
      <c r="CJ402" s="61"/>
      <c r="CK402" s="81"/>
      <c r="CL402" s="61"/>
      <c r="CM402" s="81"/>
      <c r="CN402" s="61"/>
      <c r="CO402" s="81"/>
      <c r="CP402" s="61"/>
      <c r="CQ402" s="81"/>
      <c r="CR402" s="61"/>
      <c r="CS402" s="81"/>
      <c r="CT402" s="61"/>
      <c r="CU402" s="81"/>
      <c r="CV402" s="61"/>
      <c r="CW402" s="81"/>
      <c r="CX402" s="61"/>
      <c r="CY402" s="81"/>
      <c r="CZ402" s="61"/>
      <c r="DA402" s="81"/>
      <c r="DB402" s="61"/>
      <c r="DC402" s="81"/>
      <c r="DD402" s="61"/>
      <c r="DE402" s="81"/>
      <c r="DF402" s="61"/>
      <c r="DG402" s="81"/>
      <c r="DH402" s="61"/>
      <c r="DI402" s="81"/>
      <c r="DJ402" s="61"/>
      <c r="DK402" s="81"/>
      <c r="DL402" s="61"/>
      <c r="DM402" s="81"/>
      <c r="DN402" s="61"/>
      <c r="DO402" s="81"/>
      <c r="DP402" s="61"/>
      <c r="DQ402" s="81"/>
      <c r="DR402" s="61"/>
      <c r="DS402" s="81"/>
      <c r="DT402" s="61"/>
      <c r="DU402" s="81"/>
      <c r="DV402" s="61"/>
      <c r="DW402" s="81"/>
      <c r="DX402" s="81"/>
      <c r="DY402" s="81"/>
      <c r="DZ402" s="61"/>
      <c r="EA402" s="81"/>
      <c r="EB402" s="61"/>
      <c r="EC402" s="81"/>
      <c r="ED402" s="61"/>
      <c r="EE402" s="81"/>
      <c r="EF402" s="61"/>
      <c r="EG402" s="81"/>
      <c r="EH402" s="61"/>
      <c r="EI402" s="81"/>
      <c r="EJ402" s="61"/>
      <c r="EK402" s="81"/>
      <c r="EL402" s="61"/>
      <c r="EM402" s="81"/>
      <c r="EN402" s="61"/>
      <c r="EO402" s="81"/>
      <c r="EP402" s="61"/>
      <c r="EQ402" s="81"/>
      <c r="ER402" s="61"/>
      <c r="ES402" s="81"/>
      <c r="ET402" s="61"/>
      <c r="EU402" s="81"/>
      <c r="EV402" s="61"/>
      <c r="EW402" s="81"/>
      <c r="EX402" s="61"/>
      <c r="EY402" s="85"/>
      <c r="EZ402" s="558"/>
      <c r="FA402" s="85"/>
      <c r="FB402" s="81"/>
      <c r="FC402" s="86"/>
      <c r="FD402" s="81"/>
      <c r="FE402" s="87"/>
      <c r="FF402" s="81"/>
      <c r="FG402" s="87"/>
      <c r="FH402" s="81"/>
      <c r="FI402" s="87"/>
      <c r="FJ402" s="81"/>
      <c r="FK402" s="87"/>
      <c r="FL402" s="81"/>
      <c r="FM402" s="87"/>
      <c r="FN402" s="81"/>
      <c r="FO402" s="87"/>
      <c r="FP402" s="88">
        <f>FP391/FP364*100</f>
        <v>3.9624825621085775E-2</v>
      </c>
      <c r="FQ402" s="61" t="str">
        <f>IF(ISERROR((FP402/FN402-1)*100),"NA",IF(((FP402/FN402-1)*100)&gt;100,"NM",IF(((FP402/FN402-1)*100)&lt;-50,"NM",(FP402/FN402-1)*100)))</f>
        <v>NA</v>
      </c>
      <c r="FR402" s="88">
        <f>FR391/FR364*100</f>
        <v>9.6718875042871869E-2</v>
      </c>
      <c r="FS402" s="61" t="str">
        <f>IF(ISERROR((FR402/FP402-1)*100),"NA",IF(((FR402/FP402-1)*100)&gt;100,"NM",IF(((FR402/FP402-1)*100)&lt;-50,"NM",(FR402/FP402-1)*100)))</f>
        <v>NM</v>
      </c>
      <c r="FT402" s="88">
        <f>FT391/FT364*100</f>
        <v>0.13367804474920017</v>
      </c>
      <c r="FU402" s="61">
        <f>IF(ISERROR((FT402/FR402-1)*100),"NA",IF(((FT402/FR402-1)*100)&gt;100,"NM",IF(((FT402/FR402-1)*100)&lt;-50,"NM",(FT402/FR402-1)*100)))</f>
        <v>38.212985510786467</v>
      </c>
      <c r="FV402" s="88">
        <f>FV391/FV364*100</f>
        <v>6.3760284205033657E-2</v>
      </c>
      <c r="FW402" s="61" t="str">
        <f>IF(ISERROR((FV402/FT402-1)*100),"NA",IF(((FV402/FT402-1)*100)&gt;100,"NM",IF(((FV402/FT402-1)*100)&lt;-50,"NM",(FV402/FT402-1)*100)))</f>
        <v>NM</v>
      </c>
      <c r="FX402" s="88">
        <f>FX391/FX364*100</f>
        <v>2.3841507352614071E-2</v>
      </c>
      <c r="FY402" s="61" t="str">
        <f>IF(ISERROR((FX402/FV402-1)*100),"NA",IF(((FX402/FV402-1)*100)&gt;100,"NM",IF(((FX402/FV402-1)*100)&lt;-50,"NM",(FX402/FV402-1)*100)))</f>
        <v>NM</v>
      </c>
      <c r="FZ402" s="88"/>
      <c r="GA402" s="61"/>
      <c r="GB402" s="88"/>
      <c r="GC402" s="61"/>
      <c r="GD402" s="88"/>
      <c r="GE402" s="61"/>
      <c r="GF402" s="88"/>
      <c r="GG402" s="61"/>
      <c r="GH402" s="88"/>
      <c r="GI402" s="61"/>
      <c r="GJ402" s="88"/>
      <c r="GK402" s="61"/>
      <c r="GL402" s="88"/>
      <c r="GM402" s="61"/>
      <c r="GN402" s="88"/>
      <c r="GO402" s="61"/>
      <c r="GP402" s="88"/>
      <c r="GQ402" s="61"/>
      <c r="GR402" s="81"/>
      <c r="GS402" s="61"/>
      <c r="GT402" s="81"/>
      <c r="GU402" s="61"/>
      <c r="GV402" s="81"/>
      <c r="GW402" s="61"/>
      <c r="GX402" s="81"/>
      <c r="GY402" s="61"/>
      <c r="GZ402" s="61"/>
      <c r="HA402" s="61"/>
      <c r="HB402" s="452"/>
      <c r="HC402"/>
      <c r="HD402"/>
      <c r="HE402"/>
      <c r="HF402"/>
      <c r="HG402"/>
      <c r="HH402"/>
    </row>
    <row r="403" spans="1:216" s="5" customFormat="1" ht="12.75" hidden="1" customHeight="1" outlineLevel="1" x14ac:dyDescent="0.2">
      <c r="B403" s="68" t="s">
        <v>437</v>
      </c>
      <c r="C403" s="82"/>
      <c r="D403" s="70"/>
      <c r="E403" s="82"/>
      <c r="F403" s="71"/>
      <c r="G403" s="82"/>
      <c r="H403" s="71"/>
      <c r="I403" s="82"/>
      <c r="J403" s="71"/>
      <c r="K403" s="82"/>
      <c r="L403" s="61"/>
      <c r="M403" s="82"/>
      <c r="N403" s="61"/>
      <c r="O403" s="82"/>
      <c r="P403" s="61"/>
      <c r="Q403" s="82"/>
      <c r="R403" s="61"/>
      <c r="S403" s="82"/>
      <c r="T403" s="61"/>
      <c r="U403" s="82"/>
      <c r="V403" s="61"/>
      <c r="W403" s="82"/>
      <c r="X403" s="61"/>
      <c r="Y403" s="82"/>
      <c r="Z403" s="61"/>
      <c r="AA403" s="82"/>
      <c r="AB403" s="61"/>
      <c r="AC403" s="82"/>
      <c r="AD403" s="61"/>
      <c r="AE403" s="82"/>
      <c r="AF403" s="61"/>
      <c r="AG403" s="82"/>
      <c r="AH403" s="61"/>
      <c r="AI403" s="82"/>
      <c r="AJ403" s="61"/>
      <c r="AK403" s="82"/>
      <c r="AL403" s="61"/>
      <c r="AM403" s="82"/>
      <c r="AN403" s="61"/>
      <c r="AO403" s="82"/>
      <c r="AP403" s="61"/>
      <c r="AQ403" s="82">
        <f>AQ394/AQ364*400</f>
        <v>3.0978134599994881E-2</v>
      </c>
      <c r="AR403" s="61" t="str">
        <f>IF(ISERROR((AQ403/AI403-1)*100),"NA",IF(((AQ403/AI403-1)*100)&gt;100,"NM",IF(((AQ403/AI403-1)*100)&lt;-50,"NM",(AQ403/AI403-1)*100)))</f>
        <v>NA</v>
      </c>
      <c r="AS403" s="82">
        <f>AS394/AS364*400</f>
        <v>-8.8937592808760006E-3</v>
      </c>
      <c r="AT403" s="61" t="str">
        <f>IF(ISERROR((AS403/AK403-1)*100),"NA",IF(((AS403/AK403-1)*100)&gt;100,"NM",IF(((AS403/AK403-1)*100)&lt;-50,"NM",(AS403/AK403-1)*100)))</f>
        <v>NA</v>
      </c>
      <c r="AU403" s="82">
        <f>AU394/AU364*400</f>
        <v>2.7975022301516567E-2</v>
      </c>
      <c r="AV403" s="61" t="str">
        <f>IF(ISERROR((AU403/AM403-1)*100),"NA",IF(((AU403/AM403-1)*100)&gt;100,"NM",IF(((AU403/AM403-1)*100)&lt;-50,"NM",(AU403/AM403-1)*100)))</f>
        <v>NA</v>
      </c>
      <c r="AW403" s="82">
        <f>AW394/AW364*400</f>
        <v>4.7711504436507221E-2</v>
      </c>
      <c r="AX403" s="61" t="str">
        <f>IF(ISERROR((AW403/AO403-1)*100),"NA",IF(((AW403/AO403-1)*100)&gt;100,"NM",IF(((AW403/AO403-1)*100)&lt;-50,"NM",(AW403/AO403-1)*100)))</f>
        <v>NA</v>
      </c>
      <c r="AY403" s="81">
        <f>AY394/AY364*400</f>
        <v>7.4606396401338676E-2</v>
      </c>
      <c r="AZ403" s="61" t="str">
        <f>IF(ISERROR((AY403/AQ403-1)*100),"NA",IF(((AY403/AQ403-1)*100)&gt;100,"NM",IF(((AY403/AQ403-1)*100)&lt;-50,"NM",(AY403/AQ403-1)*100)))</f>
        <v>NM</v>
      </c>
      <c r="BA403" s="81">
        <f>BA394/BA364*400</f>
        <v>5.5699962866691342E-2</v>
      </c>
      <c r="BB403" s="61" t="str">
        <f>IF(ISERROR((BA403/AS403-1)*100),"NA",IF(((BA403/AS403-1)*100)&gt;100,"NM",IF(((BA403/AS403-1)*100)&lt;-50,"NM",(BA403/AS403-1)*100)))</f>
        <v>NM</v>
      </c>
      <c r="BC403" s="81">
        <f>BC394/BC364*400</f>
        <v>6.1105252657679528E-2</v>
      </c>
      <c r="BD403" s="61" t="str">
        <f>IF(ISERROR((BC403/AU403-1)*100),"NA",IF(((BC403/AU403-1)*100)&gt;100,"NM",IF(((BC403/AU403-1)*100)&lt;-50,"NM",(BC403/AU403-1)*100)))</f>
        <v>NM</v>
      </c>
      <c r="BE403" s="81">
        <f>BE394/BE364*400</f>
        <v>6.1664293590553379E-2</v>
      </c>
      <c r="BF403" s="61">
        <f>IF(ISERROR((BE403/AW403-1)*100),"NA",IF(((BE403/AW403-1)*100)&gt;100,"NM",IF(((BE403/AW403-1)*100)&lt;-50,"NM",(BE403/AW403-1)*100)))</f>
        <v>29.244077123189506</v>
      </c>
      <c r="BG403" s="81">
        <f>BG394/BG364*400</f>
        <v>6.8407828895973771E-2</v>
      </c>
      <c r="BH403" s="61">
        <f>IF(ISERROR((BG403/AY403-1)*100),"NA",IF(((BG403/AY403-1)*100)&gt;100,"NM",IF(((BG403/AY403-1)*100)&lt;-50,"NM",(BG403/AY403-1)*100)))</f>
        <v>-8.3083593423012196</v>
      </c>
      <c r="BI403" s="81">
        <f>BI394/BI364*400</f>
        <v>4.6733803428524186E-2</v>
      </c>
      <c r="BJ403" s="61">
        <f>IF(ISERROR((BI403/BA403-1)*100),"NA",IF(((BI403/BA403-1)*100)&gt;100,"NM",IF(((BI403/BA403-1)*100)&lt;-50,"NM",(BI403/BA403-1)*100)))</f>
        <v>-16.097244911322793</v>
      </c>
      <c r="BK403" s="81">
        <f>BK394/BK364*400</f>
        <v>8.8339580589605893E-2</v>
      </c>
      <c r="BL403" s="61">
        <f>IF(ISERROR((BK403/BC403-1)*100),"NA",IF(((BK403/BC403-1)*100)&gt;100,"NM",IF(((BK403/BC403-1)*100)&lt;-50,"NM",(BK403/BC403-1)*100)))</f>
        <v>44.569536574043831</v>
      </c>
      <c r="BM403" s="81">
        <f>BM394/BM364*400</f>
        <v>0.11671700988312089</v>
      </c>
      <c r="BN403" s="61">
        <f>IF(ISERROR((BM403/BE403-1)*100),"NA",IF(((BM403/BE403-1)*100)&gt;100,"NM",IF(((BM403/BE403-1)*100)&lt;-50,"NM",(BM403/BE403-1)*100)))</f>
        <v>89.278110697438166</v>
      </c>
      <c r="BO403" s="81">
        <f>BO394/BO364*400</f>
        <v>5.9550321852405559E-2</v>
      </c>
      <c r="BP403" s="61">
        <f>IF(ISERROR((BO403/BG403-1)*100),"NA",IF(((BO403/BG403-1)*100)&gt;100,"NM",IF(((BO403/BG403-1)*100)&lt;-50,"NM",(BO403/BG403-1)*100)))</f>
        <v>-12.948089694583963</v>
      </c>
      <c r="BQ403" s="81">
        <f>BQ394/BQ364*400</f>
        <v>7.7806378826290851E-2</v>
      </c>
      <c r="BR403" s="61">
        <f>IF(ISERROR((BQ403/BI403-1)*100),"NA",IF(((BQ403/BI403-1)*100)&gt;100,"NM",IF(((BQ403/BI403-1)*100)&lt;-50,"NM",(BQ403/BI403-1)*100)))</f>
        <v>66.488436887637064</v>
      </c>
      <c r="BS403" s="81">
        <f>BS394/BS364*400</f>
        <v>2.9798299248014665E-2</v>
      </c>
      <c r="BT403" s="61" t="str">
        <f>IF(ISERROR((BS403/BK403-1)*100),"NA",IF(((BS403/BK403-1)*100)&gt;100,"NM",IF(((BS403/BK403-1)*100)&lt;-50,"NM",(BS403/BK403-1)*100)))</f>
        <v>NM</v>
      </c>
      <c r="BU403" s="81">
        <f>BU394/BU364*400</f>
        <v>-2.8396661741276676E-2</v>
      </c>
      <c r="BV403" s="61" t="str">
        <f>IF(ISERROR((BU403/BM403-1)*100),"NA",IF(((BU403/BM403-1)*100)&gt;100,"NM",IF(((BU403/BM403-1)*100)&lt;-50,"NM",(BU403/BM403-1)*100)))</f>
        <v>NM</v>
      </c>
      <c r="BW403" s="81">
        <f>BW394/BW364*400</f>
        <v>1.0531066646607492E-2</v>
      </c>
      <c r="BX403" s="61" t="str">
        <f>IF(ISERROR((BW403/BO403-1)*100),"NA",IF(((BW403/BO403-1)*100)&gt;100,"NM",IF(((BW403/BO403-1)*100)&lt;-50,"NM",(BW403/BO403-1)*100)))</f>
        <v>NM</v>
      </c>
      <c r="BY403" s="81">
        <f>BY394/BY364*400</f>
        <v>3.7200142235837903E-2</v>
      </c>
      <c r="BZ403" s="61" t="str">
        <f>IF(ISERROR((BY403/BQ403-1)*100),"NA",IF(((BY403/BQ403-1)*100)&gt;100,"NM",IF(((BY403/BQ403-1)*100)&lt;-50,"NM",(BY403/BQ403-1)*100)))</f>
        <v>NM</v>
      </c>
      <c r="CA403" s="81"/>
      <c r="CB403" s="61"/>
      <c r="CC403" s="81"/>
      <c r="CD403" s="61"/>
      <c r="CE403" s="81"/>
      <c r="CF403" s="61"/>
      <c r="CG403" s="81"/>
      <c r="CH403" s="61"/>
      <c r="CI403" s="81"/>
      <c r="CJ403" s="61"/>
      <c r="CK403" s="81"/>
      <c r="CL403" s="61"/>
      <c r="CM403" s="81"/>
      <c r="CN403" s="61"/>
      <c r="CO403" s="81"/>
      <c r="CP403" s="61"/>
      <c r="CQ403" s="81"/>
      <c r="CR403" s="61"/>
      <c r="CS403" s="81"/>
      <c r="CT403" s="61"/>
      <c r="CU403" s="81"/>
      <c r="CV403" s="61"/>
      <c r="CW403" s="81"/>
      <c r="CX403" s="61"/>
      <c r="CY403" s="81"/>
      <c r="CZ403" s="61"/>
      <c r="DA403" s="81"/>
      <c r="DB403" s="61"/>
      <c r="DC403" s="81"/>
      <c r="DD403" s="61"/>
      <c r="DE403" s="81"/>
      <c r="DF403" s="61"/>
      <c r="DG403" s="81"/>
      <c r="DH403" s="61"/>
      <c r="DI403" s="81"/>
      <c r="DJ403" s="61"/>
      <c r="DK403" s="81"/>
      <c r="DL403" s="61"/>
      <c r="DM403" s="81"/>
      <c r="DN403" s="61"/>
      <c r="DO403" s="81"/>
      <c r="DP403" s="61"/>
      <c r="DQ403" s="81"/>
      <c r="DR403" s="61"/>
      <c r="DS403" s="81"/>
      <c r="DT403" s="61"/>
      <c r="DU403" s="81"/>
      <c r="DV403" s="61"/>
      <c r="DW403" s="81"/>
      <c r="DX403" s="81"/>
      <c r="DY403" s="81"/>
      <c r="DZ403" s="61"/>
      <c r="EA403" s="81"/>
      <c r="EB403" s="61"/>
      <c r="EC403" s="81"/>
      <c r="ED403" s="61"/>
      <c r="EE403" s="81"/>
      <c r="EF403" s="61"/>
      <c r="EG403" s="81"/>
      <c r="EH403" s="61"/>
      <c r="EI403" s="81"/>
      <c r="EJ403" s="61"/>
      <c r="EK403" s="81"/>
      <c r="EL403" s="61"/>
      <c r="EM403" s="81"/>
      <c r="EN403" s="61"/>
      <c r="EO403" s="81"/>
      <c r="EP403" s="61"/>
      <c r="EQ403" s="81"/>
      <c r="ER403" s="61"/>
      <c r="ES403" s="81"/>
      <c r="ET403" s="61"/>
      <c r="EU403" s="81"/>
      <c r="EV403" s="61"/>
      <c r="EW403" s="81"/>
      <c r="EX403" s="61"/>
      <c r="EY403" s="85"/>
      <c r="EZ403" s="558"/>
      <c r="FA403" s="85"/>
      <c r="FB403" s="81"/>
      <c r="FC403" s="86"/>
      <c r="FD403" s="81"/>
      <c r="FE403" s="87"/>
      <c r="FF403" s="81"/>
      <c r="FG403" s="87"/>
      <c r="FH403" s="81"/>
      <c r="FI403" s="87"/>
      <c r="FJ403" s="81"/>
      <c r="FK403" s="87"/>
      <c r="FL403" s="81"/>
      <c r="FM403" s="87"/>
      <c r="FN403" s="81"/>
      <c r="FO403" s="87"/>
      <c r="FP403" s="88">
        <f>FP394/FP364*100</f>
        <v>2.5229289721290578E-2</v>
      </c>
      <c r="FQ403" s="61" t="str">
        <f>IF(ISERROR((FP403/FN403-1)*100),"NA",IF(((FP403/FN403-1)*100)&gt;100,"NM",IF(((FP403/FN403-1)*100)&lt;-50,"NM",(FP403/FN403-1)*100)))</f>
        <v>NA</v>
      </c>
      <c r="FR403" s="88">
        <f>FR394/FR364*100</f>
        <v>6.2993026180404726E-2</v>
      </c>
      <c r="FS403" s="61" t="str">
        <f>IF(ISERROR((FR403/FP403-1)*100),"NA",IF(((FR403/FP403-1)*100)&gt;100,"NM",IF(((FR403/FP403-1)*100)&lt;-50,"NM",(FR403/FP403-1)*100)))</f>
        <v>NM</v>
      </c>
      <c r="FT403" s="88">
        <f>FT394/FT364*100</f>
        <v>8.5209981740718241E-2</v>
      </c>
      <c r="FU403" s="61">
        <f>IF(ISERROR((FT403/FR403-1)*100),"NA",IF(((FT403/FR403-1)*100)&gt;100,"NM",IF(((FT403/FR403-1)*100)&lt;-50,"NM",(FT403/FR403-1)*100)))</f>
        <v>35.268912937579366</v>
      </c>
      <c r="FV403" s="88">
        <f>FV394/FV364*100</f>
        <v>4.0314798533227572E-2</v>
      </c>
      <c r="FW403" s="61" t="str">
        <f>IF(ISERROR((FV403/FT403-1)*100),"NA",IF(((FV403/FT403-1)*100)&gt;100,"NM",IF(((FV403/FT403-1)*100)&lt;-50,"NM",(FV403/FT403-1)*100)))</f>
        <v>NM</v>
      </c>
      <c r="FX403" s="88">
        <f>FX394/FX364*100</f>
        <v>1.1564910282984417E-2</v>
      </c>
      <c r="FY403" s="61" t="str">
        <f>IF(ISERROR((FX403/FV403-1)*100),"NA",IF(((FX403/FV403-1)*100)&gt;100,"NM",IF(((FX403/FV403-1)*100)&lt;-50,"NM",(FX403/FV403-1)*100)))</f>
        <v>NM</v>
      </c>
      <c r="FZ403" s="88"/>
      <c r="GA403" s="61"/>
      <c r="GB403" s="88"/>
      <c r="GC403" s="61"/>
      <c r="GD403" s="88"/>
      <c r="GE403" s="61"/>
      <c r="GF403" s="88"/>
      <c r="GG403" s="61"/>
      <c r="GH403" s="88"/>
      <c r="GI403" s="61"/>
      <c r="GJ403" s="88"/>
      <c r="GK403" s="61"/>
      <c r="GL403" s="88"/>
      <c r="GM403" s="61"/>
      <c r="GN403" s="88"/>
      <c r="GO403" s="61"/>
      <c r="GP403" s="88"/>
      <c r="GQ403" s="61"/>
      <c r="GR403" s="81"/>
      <c r="GS403" s="61"/>
      <c r="GT403" s="81"/>
      <c r="GU403" s="61"/>
      <c r="GV403" s="81"/>
      <c r="GW403" s="61"/>
      <c r="GX403" s="81"/>
      <c r="GY403" s="61"/>
      <c r="GZ403" s="61"/>
      <c r="HA403" s="61"/>
      <c r="HB403" s="452"/>
      <c r="HC403"/>
      <c r="HD403"/>
      <c r="HE403"/>
      <c r="HF403"/>
      <c r="HG403"/>
      <c r="HH403"/>
    </row>
    <row r="404" spans="1:216" s="5" customFormat="1" ht="12.75" hidden="1" customHeight="1" outlineLevel="1" x14ac:dyDescent="0.2">
      <c r="B404" s="68"/>
      <c r="C404" s="66"/>
      <c r="D404" s="67"/>
      <c r="E404" s="66"/>
      <c r="F404" s="66"/>
      <c r="G404" s="64"/>
      <c r="H404" s="66"/>
      <c r="I404" s="64"/>
      <c r="J404" s="66"/>
      <c r="K404" s="64"/>
      <c r="L404" s="61"/>
      <c r="M404" s="66"/>
      <c r="N404" s="61"/>
      <c r="O404" s="64"/>
      <c r="P404" s="61"/>
      <c r="Q404" s="64"/>
      <c r="R404" s="61"/>
      <c r="S404" s="64"/>
      <c r="T404" s="61"/>
      <c r="U404" s="64"/>
      <c r="V404" s="61"/>
      <c r="W404" s="64"/>
      <c r="X404" s="61"/>
      <c r="Y404" s="64"/>
      <c r="Z404" s="61"/>
      <c r="AA404" s="64"/>
      <c r="AB404" s="61"/>
      <c r="AC404" s="64"/>
      <c r="AD404" s="61"/>
      <c r="AE404" s="64"/>
      <c r="AF404" s="61"/>
      <c r="AG404" s="64"/>
      <c r="AH404" s="61"/>
      <c r="AI404" s="64"/>
      <c r="AJ404" s="61"/>
      <c r="AK404" s="64"/>
      <c r="AL404" s="61"/>
      <c r="AM404" s="64"/>
      <c r="AN404" s="61"/>
      <c r="AO404" s="64"/>
      <c r="AP404" s="61"/>
      <c r="AQ404" s="64"/>
      <c r="AR404" s="61"/>
      <c r="AS404" s="64"/>
      <c r="AT404" s="61"/>
      <c r="AU404" s="64"/>
      <c r="AV404" s="61"/>
      <c r="AW404" s="64"/>
      <c r="AX404" s="61"/>
      <c r="AY404" s="64"/>
      <c r="AZ404" s="61"/>
      <c r="BA404" s="64"/>
      <c r="BB404" s="61"/>
      <c r="BC404" s="64"/>
      <c r="BD404" s="61"/>
      <c r="BE404" s="64"/>
      <c r="BF404" s="61"/>
      <c r="BG404" s="64"/>
      <c r="BH404" s="61"/>
      <c r="BI404" s="64"/>
      <c r="BJ404" s="61"/>
      <c r="BK404" s="64"/>
      <c r="BL404" s="61"/>
      <c r="BM404" s="64"/>
      <c r="BN404" s="61"/>
      <c r="BO404" s="64"/>
      <c r="BP404" s="61"/>
      <c r="BQ404" s="64"/>
      <c r="BR404" s="61"/>
      <c r="BS404" s="64"/>
      <c r="BT404" s="61"/>
      <c r="BU404" s="64"/>
      <c r="BV404" s="61"/>
      <c r="BW404" s="64"/>
      <c r="BX404" s="61"/>
      <c r="BY404" s="64"/>
      <c r="BZ404" s="61"/>
      <c r="CA404" s="64"/>
      <c r="CB404" s="61"/>
      <c r="CC404" s="64"/>
      <c r="CD404" s="61"/>
      <c r="CE404" s="64"/>
      <c r="CF404" s="61"/>
      <c r="CG404" s="64"/>
      <c r="CH404" s="61"/>
      <c r="CI404" s="64"/>
      <c r="CJ404" s="61"/>
      <c r="CK404" s="64"/>
      <c r="CL404" s="61"/>
      <c r="CM404" s="64"/>
      <c r="CN404" s="61"/>
      <c r="CO404" s="64"/>
      <c r="CP404" s="61"/>
      <c r="CQ404" s="64"/>
      <c r="CR404" s="61"/>
      <c r="CS404" s="64"/>
      <c r="CT404" s="61"/>
      <c r="CU404" s="64"/>
      <c r="CV404" s="61"/>
      <c r="CW404" s="64"/>
      <c r="CX404" s="61"/>
      <c r="CY404" s="64"/>
      <c r="CZ404" s="61"/>
      <c r="DA404" s="64"/>
      <c r="DB404" s="61"/>
      <c r="DC404" s="64"/>
      <c r="DD404" s="61"/>
      <c r="DE404" s="64"/>
      <c r="DF404" s="61"/>
      <c r="DG404" s="64"/>
      <c r="DH404" s="61"/>
      <c r="DI404" s="64"/>
      <c r="DJ404" s="61"/>
      <c r="DK404" s="64"/>
      <c r="DL404" s="61"/>
      <c r="DM404" s="64"/>
      <c r="DN404" s="61"/>
      <c r="DO404" s="64"/>
      <c r="DP404" s="61"/>
      <c r="DQ404" s="64"/>
      <c r="DR404" s="61"/>
      <c r="DS404" s="64"/>
      <c r="DT404" s="61"/>
      <c r="DU404" s="64"/>
      <c r="DV404" s="61"/>
      <c r="DW404" s="64"/>
      <c r="DX404" s="64"/>
      <c r="DY404" s="64"/>
      <c r="DZ404" s="61"/>
      <c r="EA404" s="64"/>
      <c r="EB404" s="61"/>
      <c r="EC404" s="64"/>
      <c r="ED404" s="61"/>
      <c r="EE404" s="64"/>
      <c r="EF404" s="61"/>
      <c r="EG404" s="64"/>
      <c r="EH404" s="61"/>
      <c r="EI404" s="64"/>
      <c r="EJ404" s="61"/>
      <c r="EK404" s="64"/>
      <c r="EL404" s="61"/>
      <c r="EM404" s="64"/>
      <c r="EN404" s="61"/>
      <c r="EO404" s="64"/>
      <c r="EP404" s="61"/>
      <c r="EQ404" s="64"/>
      <c r="ER404" s="61"/>
      <c r="ES404" s="64"/>
      <c r="ET404" s="61"/>
      <c r="EU404" s="64"/>
      <c r="EV404" s="61"/>
      <c r="EW404" s="64"/>
      <c r="EX404" s="61"/>
      <c r="EY404" s="64"/>
      <c r="EZ404" s="558"/>
      <c r="FA404" s="64"/>
      <c r="FB404" s="66"/>
      <c r="FC404" s="66"/>
      <c r="FD404" s="66"/>
      <c r="FE404" s="67"/>
      <c r="FF404" s="66"/>
      <c r="FG404" s="67"/>
      <c r="FH404" s="66"/>
      <c r="FI404" s="67"/>
      <c r="FJ404" s="66"/>
      <c r="FK404" s="67"/>
      <c r="FL404" s="66"/>
      <c r="FM404" s="61"/>
      <c r="FN404" s="66"/>
      <c r="FO404" s="61"/>
      <c r="FP404" s="65"/>
      <c r="FQ404" s="61"/>
      <c r="FR404" s="65"/>
      <c r="FS404" s="61"/>
      <c r="FT404" s="65"/>
      <c r="FU404" s="61"/>
      <c r="FV404" s="65"/>
      <c r="FW404" s="61"/>
      <c r="FX404" s="65"/>
      <c r="FY404" s="61"/>
      <c r="FZ404" s="65"/>
      <c r="GA404" s="61"/>
      <c r="GB404" s="65"/>
      <c r="GC404" s="61"/>
      <c r="GD404" s="65"/>
      <c r="GE404" s="61"/>
      <c r="GF404" s="65"/>
      <c r="GG404" s="61"/>
      <c r="GH404" s="65"/>
      <c r="GI404" s="61"/>
      <c r="GJ404" s="65"/>
      <c r="GK404" s="61"/>
      <c r="GL404" s="65"/>
      <c r="GM404" s="61"/>
      <c r="GN404" s="65"/>
      <c r="GO404" s="61"/>
      <c r="GP404" s="65"/>
      <c r="GQ404" s="61"/>
      <c r="GR404" s="64"/>
      <c r="GS404" s="61"/>
      <c r="GT404" s="64"/>
      <c r="GU404" s="61"/>
      <c r="GV404" s="64"/>
      <c r="GW404" s="61"/>
      <c r="GX404" s="64"/>
      <c r="GY404" s="61"/>
      <c r="GZ404" s="61"/>
      <c r="HA404" s="61"/>
      <c r="HB404" s="452"/>
      <c r="HC404"/>
      <c r="HD404"/>
      <c r="HE404"/>
      <c r="HF404"/>
      <c r="HG404"/>
      <c r="HH404"/>
    </row>
    <row r="405" spans="1:216" s="471" customFormat="1" ht="12.75" hidden="1" customHeight="1" outlineLevel="1" x14ac:dyDescent="0.2">
      <c r="B405" s="478" t="s">
        <v>10</v>
      </c>
      <c r="C405" s="479"/>
      <c r="D405" s="480"/>
      <c r="E405" s="479"/>
      <c r="F405" s="479"/>
      <c r="G405" s="483"/>
      <c r="H405" s="479"/>
      <c r="I405" s="483"/>
      <c r="J405" s="479"/>
      <c r="K405" s="483"/>
      <c r="L405" s="481"/>
      <c r="M405" s="479"/>
      <c r="N405" s="481"/>
      <c r="O405" s="483"/>
      <c r="P405" s="481"/>
      <c r="Q405" s="483"/>
      <c r="R405" s="481"/>
      <c r="S405" s="483"/>
      <c r="T405" s="481"/>
      <c r="U405" s="483"/>
      <c r="V405" s="481"/>
      <c r="W405" s="483"/>
      <c r="X405" s="481"/>
      <c r="Y405" s="483"/>
      <c r="Z405" s="481"/>
      <c r="AA405" s="483"/>
      <c r="AB405" s="481"/>
      <c r="AC405" s="483"/>
      <c r="AD405" s="481"/>
      <c r="AE405" s="483"/>
      <c r="AF405" s="481"/>
      <c r="AG405" s="483"/>
      <c r="AH405" s="481"/>
      <c r="AI405" s="483"/>
      <c r="AJ405" s="481"/>
      <c r="AK405" s="483"/>
      <c r="AL405" s="481"/>
      <c r="AM405" s="483"/>
      <c r="AN405" s="481"/>
      <c r="AO405" s="483"/>
      <c r="AP405" s="481"/>
      <c r="AQ405" s="483"/>
      <c r="AR405" s="481"/>
      <c r="AS405" s="483"/>
      <c r="AT405" s="481"/>
      <c r="AU405" s="483"/>
      <c r="AV405" s="481"/>
      <c r="AW405" s="483"/>
      <c r="AX405" s="481"/>
      <c r="AY405" s="483"/>
      <c r="AZ405" s="481"/>
      <c r="BA405" s="483"/>
      <c r="BB405" s="481"/>
      <c r="BC405" s="483"/>
      <c r="BD405" s="481"/>
      <c r="BE405" s="483"/>
      <c r="BF405" s="481"/>
      <c r="BG405" s="483"/>
      <c r="BH405" s="481"/>
      <c r="BI405" s="483"/>
      <c r="BJ405" s="481"/>
      <c r="BK405" s="483"/>
      <c r="BL405" s="481"/>
      <c r="BM405" s="483"/>
      <c r="BN405" s="481"/>
      <c r="BO405" s="483"/>
      <c r="BP405" s="481"/>
      <c r="BQ405" s="483"/>
      <c r="BR405" s="481"/>
      <c r="BS405" s="483"/>
      <c r="BT405" s="481"/>
      <c r="BU405" s="483"/>
      <c r="BV405" s="481"/>
      <c r="BW405" s="483"/>
      <c r="BX405" s="481"/>
      <c r="BY405" s="483"/>
      <c r="BZ405" s="481"/>
      <c r="CA405" s="483"/>
      <c r="CB405" s="481"/>
      <c r="CC405" s="483"/>
      <c r="CD405" s="481"/>
      <c r="CE405" s="483"/>
      <c r="CF405" s="481"/>
      <c r="CG405" s="483"/>
      <c r="CH405" s="481"/>
      <c r="CI405" s="483"/>
      <c r="CJ405" s="481"/>
      <c r="CK405" s="483"/>
      <c r="CL405" s="481"/>
      <c r="CM405" s="483"/>
      <c r="CN405" s="481"/>
      <c r="CO405" s="483"/>
      <c r="CP405" s="481"/>
      <c r="CQ405" s="483"/>
      <c r="CR405" s="481"/>
      <c r="CS405" s="483"/>
      <c r="CT405" s="481"/>
      <c r="CU405" s="483"/>
      <c r="CV405" s="481"/>
      <c r="CW405" s="483"/>
      <c r="CX405" s="481"/>
      <c r="CY405" s="483"/>
      <c r="CZ405" s="481"/>
      <c r="DA405" s="483"/>
      <c r="DB405" s="481"/>
      <c r="DC405" s="483"/>
      <c r="DD405" s="481"/>
      <c r="DE405" s="483"/>
      <c r="DF405" s="481"/>
      <c r="DG405" s="483"/>
      <c r="DH405" s="481"/>
      <c r="DI405" s="483"/>
      <c r="DJ405" s="481"/>
      <c r="DK405" s="483"/>
      <c r="DL405" s="481"/>
      <c r="DM405" s="483"/>
      <c r="DN405" s="481"/>
      <c r="DO405" s="483"/>
      <c r="DP405" s="481"/>
      <c r="DQ405" s="483"/>
      <c r="DR405" s="481"/>
      <c r="DS405" s="483"/>
      <c r="DT405" s="481"/>
      <c r="DU405" s="483"/>
      <c r="DV405" s="481"/>
      <c r="DW405" s="483"/>
      <c r="DX405" s="483"/>
      <c r="DY405" s="483"/>
      <c r="DZ405" s="481"/>
      <c r="EA405" s="483"/>
      <c r="EB405" s="481"/>
      <c r="EC405" s="483"/>
      <c r="ED405" s="481"/>
      <c r="EE405" s="483"/>
      <c r="EF405" s="481"/>
      <c r="EG405" s="483"/>
      <c r="EH405" s="481"/>
      <c r="EI405" s="483"/>
      <c r="EJ405" s="481"/>
      <c r="EK405" s="483"/>
      <c r="EL405" s="481"/>
      <c r="EM405" s="483"/>
      <c r="EN405" s="481"/>
      <c r="EO405" s="483"/>
      <c r="EP405" s="481"/>
      <c r="EQ405" s="483"/>
      <c r="ER405" s="481"/>
      <c r="ES405" s="483"/>
      <c r="ET405" s="481"/>
      <c r="EU405" s="483"/>
      <c r="EV405" s="481"/>
      <c r="EW405" s="483"/>
      <c r="EX405" s="481"/>
      <c r="EY405" s="483"/>
      <c r="EZ405" s="558"/>
      <c r="FA405" s="483"/>
      <c r="FB405" s="479"/>
      <c r="FC405" s="479"/>
      <c r="FD405" s="479"/>
      <c r="FE405" s="480"/>
      <c r="FF405" s="479"/>
      <c r="FG405" s="480"/>
      <c r="FH405" s="479"/>
      <c r="FI405" s="480"/>
      <c r="FJ405" s="479"/>
      <c r="FK405" s="480"/>
      <c r="FL405" s="479"/>
      <c r="FM405" s="481"/>
      <c r="FN405" s="479"/>
      <c r="FO405" s="481"/>
      <c r="FP405" s="483"/>
      <c r="FQ405" s="481"/>
      <c r="FR405" s="483"/>
      <c r="FS405" s="489"/>
      <c r="FT405" s="483"/>
      <c r="FU405" s="489"/>
      <c r="FV405" s="483"/>
      <c r="FW405" s="489"/>
      <c r="FX405" s="483"/>
      <c r="FY405" s="489"/>
      <c r="FZ405" s="483"/>
      <c r="GA405" s="489"/>
      <c r="GB405" s="483"/>
      <c r="GC405" s="489"/>
      <c r="GD405" s="483"/>
      <c r="GE405" s="489"/>
      <c r="GF405" s="483"/>
      <c r="GG405" s="489"/>
      <c r="GH405" s="483"/>
      <c r="GI405" s="489"/>
      <c r="GJ405" s="483"/>
      <c r="GK405" s="489"/>
      <c r="GL405" s="483"/>
      <c r="GM405" s="489"/>
      <c r="GN405" s="483"/>
      <c r="GO405" s="489"/>
      <c r="GP405" s="483"/>
      <c r="GQ405" s="489"/>
      <c r="GR405" s="483"/>
      <c r="GS405" s="489"/>
      <c r="GT405" s="483"/>
      <c r="GU405" s="489"/>
      <c r="GV405" s="483"/>
      <c r="GW405" s="489"/>
      <c r="GX405" s="483"/>
      <c r="GY405" s="489"/>
      <c r="GZ405" s="489" t="str">
        <f t="shared" ref="GZ405:GZ435" si="2316">IF(ISERROR((GX405/GN405)^0.2),"",IF(OR((GX405/GN405)^0.2&lt;0.5,(GX405/GN405)^0.2&gt;2),"NM",((GX405/GN405)^0.2-1)*100))</f>
        <v/>
      </c>
      <c r="HA405" s="489"/>
      <c r="HB405" s="485"/>
      <c r="HC405"/>
      <c r="HD405"/>
      <c r="HE405"/>
      <c r="HF405"/>
      <c r="HG405"/>
      <c r="HH405"/>
    </row>
    <row r="406" spans="1:216" s="5" customFormat="1" ht="12.75" hidden="1" customHeight="1" outlineLevel="1" x14ac:dyDescent="0.2">
      <c r="B406" s="58"/>
      <c r="C406" s="59"/>
      <c r="D406" s="60"/>
      <c r="E406" s="59"/>
      <c r="F406" s="59"/>
      <c r="G406" s="64"/>
      <c r="H406" s="59"/>
      <c r="I406" s="64"/>
      <c r="J406" s="59"/>
      <c r="K406" s="64"/>
      <c r="L406" s="61"/>
      <c r="M406" s="59"/>
      <c r="N406" s="61"/>
      <c r="O406" s="64"/>
      <c r="P406" s="61"/>
      <c r="Q406" s="64"/>
      <c r="R406" s="61"/>
      <c r="S406" s="64"/>
      <c r="T406" s="61"/>
      <c r="U406" s="64"/>
      <c r="V406" s="61"/>
      <c r="W406" s="64"/>
      <c r="X406" s="61"/>
      <c r="Y406" s="64"/>
      <c r="Z406" s="61"/>
      <c r="AA406" s="64"/>
      <c r="AB406" s="61"/>
      <c r="AC406" s="64"/>
      <c r="AD406" s="61"/>
      <c r="AE406" s="64"/>
      <c r="AF406" s="61"/>
      <c r="AG406" s="64"/>
      <c r="AH406" s="61"/>
      <c r="AI406" s="64"/>
      <c r="AJ406" s="61"/>
      <c r="AK406" s="64"/>
      <c r="AL406" s="61"/>
      <c r="AM406" s="64"/>
      <c r="AN406" s="61"/>
      <c r="AO406" s="64"/>
      <c r="AP406" s="61"/>
      <c r="AQ406" s="64"/>
      <c r="AR406" s="61"/>
      <c r="AS406" s="64"/>
      <c r="AT406" s="61"/>
      <c r="AU406" s="64"/>
      <c r="AV406" s="61"/>
      <c r="AW406" s="64"/>
      <c r="AX406" s="61"/>
      <c r="AY406" s="64"/>
      <c r="AZ406" s="61"/>
      <c r="BA406" s="64"/>
      <c r="BB406" s="61"/>
      <c r="BC406" s="64"/>
      <c r="BD406" s="61"/>
      <c r="BE406" s="64"/>
      <c r="BF406" s="61"/>
      <c r="BG406" s="64"/>
      <c r="BH406" s="61"/>
      <c r="BI406" s="64"/>
      <c r="BJ406" s="61"/>
      <c r="BK406" s="64"/>
      <c r="BL406" s="61"/>
      <c r="BM406" s="64"/>
      <c r="BN406" s="61"/>
      <c r="BO406" s="64"/>
      <c r="BP406" s="61"/>
      <c r="BQ406" s="64"/>
      <c r="BR406" s="61"/>
      <c r="BS406" s="64"/>
      <c r="BT406" s="61"/>
      <c r="BU406" s="64"/>
      <c r="BV406" s="61"/>
      <c r="BW406" s="64"/>
      <c r="BX406" s="61"/>
      <c r="BY406" s="64"/>
      <c r="BZ406" s="61"/>
      <c r="CA406" s="64"/>
      <c r="CB406" s="61"/>
      <c r="CC406" s="64"/>
      <c r="CD406" s="61"/>
      <c r="CE406" s="64"/>
      <c r="CF406" s="61"/>
      <c r="CG406" s="64"/>
      <c r="CH406" s="61"/>
      <c r="CI406" s="64"/>
      <c r="CJ406" s="61"/>
      <c r="CK406" s="64"/>
      <c r="CL406" s="61"/>
      <c r="CM406" s="64"/>
      <c r="CN406" s="61"/>
      <c r="CO406" s="64"/>
      <c r="CP406" s="61"/>
      <c r="CQ406" s="64"/>
      <c r="CR406" s="61"/>
      <c r="CS406" s="64"/>
      <c r="CT406" s="61"/>
      <c r="CU406" s="64"/>
      <c r="CV406" s="61"/>
      <c r="CW406" s="64"/>
      <c r="CX406" s="61"/>
      <c r="CY406" s="64"/>
      <c r="CZ406" s="61"/>
      <c r="DA406" s="64"/>
      <c r="DB406" s="61"/>
      <c r="DC406" s="64"/>
      <c r="DD406" s="61"/>
      <c r="DE406" s="64"/>
      <c r="DF406" s="61"/>
      <c r="DG406" s="64"/>
      <c r="DH406" s="61"/>
      <c r="DI406" s="64"/>
      <c r="DJ406" s="61"/>
      <c r="DK406" s="64"/>
      <c r="DL406" s="61"/>
      <c r="DM406" s="64"/>
      <c r="DN406" s="61"/>
      <c r="DO406" s="64"/>
      <c r="DP406" s="61"/>
      <c r="DQ406" s="64"/>
      <c r="DR406" s="61"/>
      <c r="DS406" s="64"/>
      <c r="DT406" s="61"/>
      <c r="DU406" s="64"/>
      <c r="DV406" s="61"/>
      <c r="DW406" s="64"/>
      <c r="DX406" s="64"/>
      <c r="DY406" s="64"/>
      <c r="DZ406" s="61"/>
      <c r="EA406" s="64"/>
      <c r="EB406" s="61"/>
      <c r="EC406" s="64"/>
      <c r="ED406" s="61"/>
      <c r="EE406" s="64"/>
      <c r="EF406" s="61"/>
      <c r="EG406" s="64"/>
      <c r="EH406" s="61"/>
      <c r="EI406" s="64"/>
      <c r="EJ406" s="61"/>
      <c r="EK406" s="64"/>
      <c r="EL406" s="61"/>
      <c r="EM406" s="64"/>
      <c r="EN406" s="61"/>
      <c r="EO406" s="64"/>
      <c r="EP406" s="61"/>
      <c r="EQ406" s="64"/>
      <c r="ER406" s="61"/>
      <c r="ES406" s="64"/>
      <c r="ET406" s="61"/>
      <c r="EU406" s="64"/>
      <c r="EV406" s="61"/>
      <c r="EW406" s="64"/>
      <c r="EX406" s="61"/>
      <c r="EY406" s="64"/>
      <c r="EZ406" s="558"/>
      <c r="FA406" s="64"/>
      <c r="FB406" s="66"/>
      <c r="FC406" s="59"/>
      <c r="FD406" s="66"/>
      <c r="FE406" s="60"/>
      <c r="FF406" s="66"/>
      <c r="FG406" s="60"/>
      <c r="FH406" s="66"/>
      <c r="FI406" s="60"/>
      <c r="FJ406" s="66"/>
      <c r="FK406" s="60"/>
      <c r="FL406" s="66"/>
      <c r="FM406" s="61"/>
      <c r="FN406" s="66"/>
      <c r="FO406" s="61"/>
      <c r="FP406" s="65"/>
      <c r="FQ406" s="61"/>
      <c r="FR406" s="65"/>
      <c r="FS406" s="61"/>
      <c r="FT406" s="65"/>
      <c r="FU406" s="61"/>
      <c r="FV406" s="65"/>
      <c r="FW406" s="61"/>
      <c r="FX406" s="65"/>
      <c r="FY406" s="61"/>
      <c r="FZ406" s="65"/>
      <c r="GA406" s="61"/>
      <c r="GB406" s="65"/>
      <c r="GC406" s="61"/>
      <c r="GD406" s="65"/>
      <c r="GE406" s="61"/>
      <c r="GF406" s="65"/>
      <c r="GG406" s="61"/>
      <c r="GH406" s="65"/>
      <c r="GI406" s="61"/>
      <c r="GJ406" s="65"/>
      <c r="GK406" s="61"/>
      <c r="GL406" s="65"/>
      <c r="GM406" s="61"/>
      <c r="GN406" s="65"/>
      <c r="GO406" s="61"/>
      <c r="GP406" s="65"/>
      <c r="GQ406" s="61"/>
      <c r="GR406" s="64"/>
      <c r="GS406" s="61"/>
      <c r="GT406" s="64"/>
      <c r="GU406" s="61"/>
      <c r="GV406" s="64"/>
      <c r="GW406" s="61"/>
      <c r="GX406" s="64"/>
      <c r="GY406" s="61"/>
      <c r="GZ406" s="61" t="str">
        <f t="shared" si="2316"/>
        <v/>
      </c>
      <c r="HA406" s="61"/>
      <c r="HB406" s="452"/>
      <c r="HC406"/>
      <c r="HD406"/>
      <c r="HE406"/>
      <c r="HF406"/>
      <c r="HG406"/>
      <c r="HH406"/>
    </row>
    <row r="407" spans="1:216" s="5" customFormat="1" ht="12.75" hidden="1" customHeight="1" outlineLevel="1" x14ac:dyDescent="0.2">
      <c r="B407" s="63" t="s">
        <v>188</v>
      </c>
      <c r="C407" s="66"/>
      <c r="D407" s="67"/>
      <c r="E407" s="66"/>
      <c r="F407" s="66"/>
      <c r="G407" s="64"/>
      <c r="H407" s="66"/>
      <c r="I407" s="64"/>
      <c r="J407" s="66"/>
      <c r="K407" s="64"/>
      <c r="L407" s="61"/>
      <c r="M407" s="66"/>
      <c r="N407" s="61"/>
      <c r="O407" s="64"/>
      <c r="P407" s="61"/>
      <c r="Q407" s="64"/>
      <c r="R407" s="61"/>
      <c r="S407" s="64"/>
      <c r="T407" s="61"/>
      <c r="U407" s="64"/>
      <c r="V407" s="61"/>
      <c r="W407" s="64"/>
      <c r="X407" s="61"/>
      <c r="Y407" s="64"/>
      <c r="Z407" s="61"/>
      <c r="AA407" s="64"/>
      <c r="AB407" s="61"/>
      <c r="AC407" s="64"/>
      <c r="AD407" s="61"/>
      <c r="AE407" s="64"/>
      <c r="AF407" s="61"/>
      <c r="AG407" s="64"/>
      <c r="AH407" s="61"/>
      <c r="AI407" s="64"/>
      <c r="AJ407" s="61"/>
      <c r="AK407" s="64"/>
      <c r="AL407" s="61"/>
      <c r="AM407" s="64"/>
      <c r="AN407" s="61"/>
      <c r="AO407" s="64"/>
      <c r="AP407" s="61"/>
      <c r="AQ407" s="64"/>
      <c r="AR407" s="61"/>
      <c r="AS407" s="64"/>
      <c r="AT407" s="61"/>
      <c r="AU407" s="64"/>
      <c r="AV407" s="61"/>
      <c r="AW407" s="64"/>
      <c r="AX407" s="61"/>
      <c r="AY407" s="64"/>
      <c r="AZ407" s="61"/>
      <c r="BA407" s="64"/>
      <c r="BB407" s="61"/>
      <c r="BC407" s="64"/>
      <c r="BD407" s="61"/>
      <c r="BE407" s="64"/>
      <c r="BF407" s="61"/>
      <c r="BG407" s="64"/>
      <c r="BH407" s="61"/>
      <c r="BI407" s="64"/>
      <c r="BJ407" s="61"/>
      <c r="BK407" s="64"/>
      <c r="BL407" s="61"/>
      <c r="BM407" s="64"/>
      <c r="BN407" s="61"/>
      <c r="BO407" s="64"/>
      <c r="BP407" s="61"/>
      <c r="BQ407" s="64"/>
      <c r="BR407" s="61"/>
      <c r="BS407" s="64"/>
      <c r="BT407" s="61"/>
      <c r="BU407" s="64"/>
      <c r="BV407" s="61"/>
      <c r="BW407" s="64"/>
      <c r="BX407" s="61"/>
      <c r="BY407" s="64"/>
      <c r="BZ407" s="61"/>
      <c r="CA407" s="64"/>
      <c r="CB407" s="61"/>
      <c r="CC407" s="64"/>
      <c r="CD407" s="61"/>
      <c r="CE407" s="64"/>
      <c r="CF407" s="61"/>
      <c r="CG407" s="64"/>
      <c r="CH407" s="61"/>
      <c r="CI407" s="64"/>
      <c r="CJ407" s="61"/>
      <c r="CK407" s="64"/>
      <c r="CL407" s="61"/>
      <c r="CM407" s="64"/>
      <c r="CN407" s="61"/>
      <c r="CO407" s="64"/>
      <c r="CP407" s="61"/>
      <c r="CQ407" s="64"/>
      <c r="CR407" s="61"/>
      <c r="CS407" s="64"/>
      <c r="CT407" s="61"/>
      <c r="CU407" s="64"/>
      <c r="CV407" s="61"/>
      <c r="CW407" s="64"/>
      <c r="CX407" s="61"/>
      <c r="CY407" s="64"/>
      <c r="CZ407" s="61"/>
      <c r="DA407" s="64"/>
      <c r="DB407" s="61"/>
      <c r="DC407" s="64"/>
      <c r="DD407" s="61"/>
      <c r="DE407" s="64"/>
      <c r="DF407" s="61"/>
      <c r="DG407" s="64"/>
      <c r="DH407" s="61"/>
      <c r="DI407" s="64"/>
      <c r="DJ407" s="61"/>
      <c r="DK407" s="64"/>
      <c r="DL407" s="61"/>
      <c r="DM407" s="64"/>
      <c r="DN407" s="61"/>
      <c r="DO407" s="64"/>
      <c r="DP407" s="61"/>
      <c r="DQ407" s="64"/>
      <c r="DR407" s="61"/>
      <c r="DS407" s="64"/>
      <c r="DT407" s="61"/>
      <c r="DU407" s="64"/>
      <c r="DV407" s="61"/>
      <c r="DW407" s="64"/>
      <c r="DX407" s="64"/>
      <c r="DY407" s="64"/>
      <c r="DZ407" s="61"/>
      <c r="EA407" s="64"/>
      <c r="EB407" s="61"/>
      <c r="EC407" s="64"/>
      <c r="ED407" s="61"/>
      <c r="EE407" s="64"/>
      <c r="EF407" s="61"/>
      <c r="EG407" s="64"/>
      <c r="EH407" s="61"/>
      <c r="EI407" s="64"/>
      <c r="EJ407" s="61"/>
      <c r="EK407" s="64"/>
      <c r="EL407" s="61"/>
      <c r="EM407" s="64"/>
      <c r="EN407" s="61"/>
      <c r="EO407" s="64"/>
      <c r="EP407" s="61"/>
      <c r="EQ407" s="64"/>
      <c r="ER407" s="61"/>
      <c r="ES407" s="64"/>
      <c r="ET407" s="61"/>
      <c r="EU407" s="64"/>
      <c r="EV407" s="61"/>
      <c r="EW407" s="64"/>
      <c r="EX407" s="61"/>
      <c r="EY407" s="64"/>
      <c r="EZ407" s="558"/>
      <c r="FA407" s="64"/>
      <c r="FB407" s="66"/>
      <c r="FC407" s="66"/>
      <c r="FD407" s="66"/>
      <c r="FE407" s="67"/>
      <c r="FF407" s="66"/>
      <c r="FG407" s="67"/>
      <c r="FH407" s="66"/>
      <c r="FI407" s="67"/>
      <c r="FJ407" s="66"/>
      <c r="FK407" s="67"/>
      <c r="FL407" s="66"/>
      <c r="FM407" s="61"/>
      <c r="FN407" s="66"/>
      <c r="FO407" s="61"/>
      <c r="FP407" s="65"/>
      <c r="FQ407" s="61"/>
      <c r="FR407" s="65"/>
      <c r="FS407" s="61"/>
      <c r="FT407" s="65"/>
      <c r="FU407" s="61"/>
      <c r="FV407" s="65"/>
      <c r="FW407" s="61"/>
      <c r="FX407" s="65"/>
      <c r="FY407" s="61"/>
      <c r="FZ407" s="65"/>
      <c r="GA407" s="61"/>
      <c r="GB407" s="65"/>
      <c r="GC407" s="61"/>
      <c r="GD407" s="65"/>
      <c r="GE407" s="61"/>
      <c r="GF407" s="65"/>
      <c r="GG407" s="61"/>
      <c r="GH407" s="65"/>
      <c r="GI407" s="61"/>
      <c r="GJ407" s="65"/>
      <c r="GK407" s="61"/>
      <c r="GL407" s="65"/>
      <c r="GM407" s="61"/>
      <c r="GN407" s="65"/>
      <c r="GO407" s="61"/>
      <c r="GP407" s="65"/>
      <c r="GQ407" s="61"/>
      <c r="GR407" s="64"/>
      <c r="GS407" s="61"/>
      <c r="GT407" s="64"/>
      <c r="GU407" s="61"/>
      <c r="GV407" s="64"/>
      <c r="GW407" s="61"/>
      <c r="GX407" s="64"/>
      <c r="GY407" s="61"/>
      <c r="GZ407" s="61" t="str">
        <f t="shared" si="2316"/>
        <v/>
      </c>
      <c r="HA407" s="61"/>
      <c r="HB407" s="452"/>
      <c r="HC407"/>
      <c r="HD407"/>
      <c r="HE407"/>
      <c r="HF407"/>
      <c r="HG407"/>
      <c r="HH407"/>
    </row>
    <row r="408" spans="1:216" s="5" customFormat="1" ht="12.75" hidden="1" customHeight="1" outlineLevel="1" x14ac:dyDescent="0.2">
      <c r="B408" s="2" t="s">
        <v>164</v>
      </c>
      <c r="C408" s="72">
        <v>39</v>
      </c>
      <c r="D408" s="70"/>
      <c r="E408" s="72">
        <v>36.299999999999997</v>
      </c>
      <c r="F408" s="71"/>
      <c r="G408" s="74">
        <v>32.5</v>
      </c>
      <c r="H408" s="71"/>
      <c r="I408" s="74">
        <v>40.5</v>
      </c>
      <c r="J408" s="61"/>
      <c r="K408" s="74">
        <v>12.8</v>
      </c>
      <c r="L408" s="61" t="str">
        <f>IF(ISERROR((K408/C408-1)*100),"NA",IF(((K408/C408-1)*100)&gt;100,"NM",IF(((K408/C408-1)*100)&lt;-50,"NM",(K408/C408-1)*100)))</f>
        <v>NM</v>
      </c>
      <c r="M408" s="72">
        <v>9.6</v>
      </c>
      <c r="N408" s="61" t="str">
        <f>IF(ISERROR((M408/E408-1)*100),"NA",IF(((M408/E408-1)*100)&gt;100,"NM",IF(((M408/E408-1)*100)&lt;-50,"NM",(M408/E408-1)*100)))</f>
        <v>NM</v>
      </c>
      <c r="O408" s="74">
        <v>11.8</v>
      </c>
      <c r="P408" s="61" t="str">
        <f>IF(ISERROR((O408/G408-1)*100),"NA",IF(((O408/G408-1)*100)&gt;100,"NM",IF(((O408/G408-1)*100)&lt;-50,"NM",(O408/G408-1)*100)))</f>
        <v>NM</v>
      </c>
      <c r="Q408" s="74">
        <v>11.9</v>
      </c>
      <c r="R408" s="61" t="str">
        <f>IF(ISERROR((Q408/I408-1)*100),"NA",IF(((Q408/I408-1)*100)&gt;100,"NM",IF(((Q408/I408-1)*100)&lt;-50,"NM",(Q408/I408-1)*100)))</f>
        <v>NM</v>
      </c>
      <c r="S408" s="74">
        <v>12.1</v>
      </c>
      <c r="T408" s="61">
        <f>IF(ISERROR((S408/K408-1)*100),"NA",IF(((S408/K408-1)*100)&gt;100,"NM",IF(((S408/K408-1)*100)&lt;-50,"NM",(S408/K408-1)*100)))</f>
        <v>-5.4687500000000107</v>
      </c>
      <c r="U408" s="74">
        <v>12.1</v>
      </c>
      <c r="V408" s="61">
        <f>IF(ISERROR((U408/M408-1)*100),"NA",IF(((U408/M408-1)*100)&gt;100,"NM",IF(((U408/M408-1)*100)&lt;-50,"NM",(U408/M408-1)*100)))</f>
        <v>26.041666666666675</v>
      </c>
      <c r="W408" s="74">
        <v>12.4</v>
      </c>
      <c r="X408" s="61">
        <f>IF(ISERROR((W408/O408-1)*100),"NA",IF(((W408/O408-1)*100)&gt;100,"NM",IF(((W408/O408-1)*100)&lt;-50,"NM",(W408/O408-1)*100)))</f>
        <v>5.0847457627118509</v>
      </c>
      <c r="Y408" s="74">
        <v>14.2</v>
      </c>
      <c r="Z408" s="61">
        <f>IF(ISERROR((Y408/Q408-1)*100),"NA",IF(((Y408/Q408-1)*100)&gt;100,"NM",IF(((Y408/Q408-1)*100)&lt;-50,"NM",(Y408/Q408-1)*100)))</f>
        <v>19.327731092436974</v>
      </c>
      <c r="AA408" s="74">
        <v>12.7</v>
      </c>
      <c r="AB408" s="61">
        <f>IF(ISERROR((AA408/S408-1)*100),"NA",IF(((AA408/S408-1)*100)&gt;100,"NM",IF(((AA408/S408-1)*100)&lt;-50,"NM",(AA408/S408-1)*100)))</f>
        <v>4.9586776859504189</v>
      </c>
      <c r="AC408" s="74">
        <v>13.8</v>
      </c>
      <c r="AD408" s="61">
        <f>IF(ISERROR((AC408/U408-1)*100),"NA",IF(((AC408/U408-1)*100)&gt;100,"NM",IF(((AC408/U408-1)*100)&lt;-50,"NM",(AC408/U408-1)*100)))</f>
        <v>14.049586776859524</v>
      </c>
      <c r="AE408" s="74">
        <v>16.5</v>
      </c>
      <c r="AF408" s="61">
        <f>IF(ISERROR((AE408/W408-1)*100),"NA",IF(((AE408/W408-1)*100)&gt;100,"NM",IF(((AE408/W408-1)*100)&lt;-50,"NM",(AE408/W408-1)*100)))</f>
        <v>33.064516129032249</v>
      </c>
      <c r="AG408" s="74">
        <v>19.3</v>
      </c>
      <c r="AH408" s="61">
        <f>IF(ISERROR((AG408/Y408-1)*100),"NA",IF(((AG408/Y408-1)*100)&gt;100,"NM",IF(((AG408/Y408-1)*100)&lt;-50,"NM",(AG408/Y408-1)*100)))</f>
        <v>35.915492957746494</v>
      </c>
      <c r="AI408" s="74">
        <v>18.100000000000001</v>
      </c>
      <c r="AJ408" s="61">
        <f>IF(ISERROR((AI408/AA408-1)*100),"NA",IF(((AI408/AA408-1)*100)&gt;100,"NM",IF(((AI408/AA408-1)*100)&lt;-50,"NM",(AI408/AA408-1)*100)))</f>
        <v>42.519685039370088</v>
      </c>
      <c r="AK408" s="74">
        <v>19.600000000000001</v>
      </c>
      <c r="AL408" s="61">
        <f>IF(ISERROR((AK408/AC408-1)*100),"NA",IF(((AK408/AC408-1)*100)&gt;100,"NM",IF(((AK408/AC408-1)*100)&lt;-50,"NM",(AK408/AC408-1)*100)))</f>
        <v>42.028985507246389</v>
      </c>
      <c r="AM408" s="74">
        <v>17.7</v>
      </c>
      <c r="AN408" s="61">
        <f>IF(ISERROR((AM408/AE408-1)*100),"NA",IF(((AM408/AE408-1)*100)&gt;100,"NM",IF(((AM408/AE408-1)*100)&lt;-50,"NM",(AM408/AE408-1)*100)))</f>
        <v>7.2727272727272751</v>
      </c>
      <c r="AO408" s="74">
        <f>14.5+0.4</f>
        <v>14.9</v>
      </c>
      <c r="AP408" s="61">
        <f>IF(ISERROR((AO408/AG408-1)*100),"NA",IF(((AO408/AG408-1)*100)&gt;100,"NM",IF(((AO408/AG408-1)*100)&lt;-50,"NM",(AO408/AG408-1)*100)))</f>
        <v>-22.797927461139899</v>
      </c>
      <c r="AQ408" s="74">
        <v>14.57</v>
      </c>
      <c r="AR408" s="61">
        <f>IF(ISERROR((AQ408/AI408-1)*100),"NA",IF(((AQ408/AI408-1)*100)&gt;100,"NM",IF(((AQ408/AI408-1)*100)&lt;-50,"NM",(AQ408/AI408-1)*100)))</f>
        <v>-19.502762430939235</v>
      </c>
      <c r="AS408" s="74">
        <v>16.399999999999999</v>
      </c>
      <c r="AT408" s="61">
        <f>IF(ISERROR((AS408/AK408-1)*100),"NA",IF(((AS408/AK408-1)*100)&gt;100,"NM",IF(((AS408/AK408-1)*100)&lt;-50,"NM",(AS408/AK408-1)*100)))</f>
        <v>-16.326530612244916</v>
      </c>
      <c r="AU408" s="74">
        <v>16.899999999999999</v>
      </c>
      <c r="AV408" s="61">
        <f>IF(ISERROR((AU408/AM408-1)*100),"NA",IF(((AU408/AM408-1)*100)&gt;100,"NM",IF(((AU408/AM408-1)*100)&lt;-50,"NM",(AU408/AM408-1)*100)))</f>
        <v>-4.5197740112994378</v>
      </c>
      <c r="AW408" s="74">
        <v>15.4</v>
      </c>
      <c r="AX408" s="61">
        <f>IF(ISERROR((AW408/AO408-1)*100),"NA",IF(((AW408/AO408-1)*100)&gt;100,"NM",IF(((AW408/AO408-1)*100)&lt;-50,"NM",(AW408/AO408-1)*100)))</f>
        <v>3.3557046979865834</v>
      </c>
      <c r="AY408" s="74">
        <v>16.600000000000001</v>
      </c>
      <c r="AZ408" s="61">
        <f>IF(ISERROR((AY408/AQ408-1)*100),"NA",IF(((AY408/AQ408-1)*100)&gt;100,"NM",IF(((AY408/AQ408-1)*100)&lt;-50,"NM",(AY408/AQ408-1)*100)))</f>
        <v>13.932738503774878</v>
      </c>
      <c r="BA408" s="74">
        <v>19.899999999999999</v>
      </c>
      <c r="BB408" s="61">
        <f>IF(ISERROR((BA408/AS408-1)*100),"NA",IF(((BA408/AS408-1)*100)&gt;100,"NM",IF(((BA408/AS408-1)*100)&lt;-50,"NM",(BA408/AS408-1)*100)))</f>
        <v>21.341463414634141</v>
      </c>
      <c r="BC408" s="74">
        <v>21.1</v>
      </c>
      <c r="BD408" s="61">
        <f>IF(ISERROR((BC408/AU408-1)*100),"NA",IF(((BC408/AU408-1)*100)&gt;100,"NM",IF(((BC408/AU408-1)*100)&lt;-50,"NM",(BC408/AU408-1)*100)))</f>
        <v>24.852071005917175</v>
      </c>
      <c r="BE408" s="74">
        <v>21</v>
      </c>
      <c r="BF408" s="61">
        <f>IF(ISERROR((BE408/AW408-1)*100),"NA",IF(((BE408/AW408-1)*100)&gt;100,"NM",IF(((BE408/AW408-1)*100)&lt;-50,"NM",(BE408/AW408-1)*100)))</f>
        <v>36.363636363636353</v>
      </c>
      <c r="BG408" s="74">
        <v>24.2</v>
      </c>
      <c r="BH408" s="61">
        <f>IF(ISERROR((BG408/AY408-1)*100),"NA",IF(((BG408/AY408-1)*100)&gt;100,"NM",IF(((BG408/AY408-1)*100)&lt;-50,"NM",(BG408/AY408-1)*100)))</f>
        <v>45.783132530120476</v>
      </c>
      <c r="BI408" s="74">
        <v>24.3</v>
      </c>
      <c r="BJ408" s="61">
        <f>IF(ISERROR((BI408/BA408-1)*100),"NA",IF(((BI408/BA408-1)*100)&gt;100,"NM",IF(((BI408/BA408-1)*100)&lt;-50,"NM",(BI408/BA408-1)*100)))</f>
        <v>22.110552763819101</v>
      </c>
      <c r="BK408" s="74">
        <v>25.6</v>
      </c>
      <c r="BL408" s="61">
        <f>IF(ISERROR((BK408/BC408-1)*100),"NA",IF(((BK408/BC408-1)*100)&gt;100,"NM",IF(((BK408/BC408-1)*100)&lt;-50,"NM",(BK408/BC408-1)*100)))</f>
        <v>21.327014218009488</v>
      </c>
      <c r="BM408" s="74">
        <v>21.2</v>
      </c>
      <c r="BN408" s="61">
        <f>IF(ISERROR((BM408/BE408-1)*100),"NA",IF(((BM408/BE408-1)*100)&gt;100,"NM",IF(((BM408/BE408-1)*100)&lt;-50,"NM",(BM408/BE408-1)*100)))</f>
        <v>0.952380952380949</v>
      </c>
      <c r="BO408" s="74">
        <v>19.100000000000001</v>
      </c>
      <c r="BP408" s="61">
        <f>IF(ISERROR((BO408/BG408-1)*100),"NA",IF(((BO408/BG408-1)*100)&gt;100,"NM",IF(((BO408/BG408-1)*100)&lt;-50,"NM",(BO408/BG408-1)*100)))</f>
        <v>-21.074380165289252</v>
      </c>
      <c r="BQ408" s="74">
        <v>26.4</v>
      </c>
      <c r="BR408" s="61">
        <f>IF(ISERROR((BQ408/BI408-1)*100),"NA",IF(((BQ408/BI408-1)*100)&gt;100,"NM",IF(((BQ408/BI408-1)*100)&lt;-50,"NM",(BQ408/BI408-1)*100)))</f>
        <v>8.6419753086419693</v>
      </c>
      <c r="BS408" s="74">
        <v>18.899999999999999</v>
      </c>
      <c r="BT408" s="61">
        <f>IF(ISERROR((BS408/BK408-1)*100),"NA",IF(((BS408/BK408-1)*100)&gt;100,"NM",IF(((BS408/BK408-1)*100)&lt;-50,"NM",(BS408/BK408-1)*100)))</f>
        <v>-26.171875000000011</v>
      </c>
      <c r="BU408" s="74">
        <v>14</v>
      </c>
      <c r="BV408" s="61">
        <f>IF(ISERROR((BU408/BM408-1)*100),"NA",IF(((BU408/BM408-1)*100)&gt;100,"NM",IF(((BU408/BM408-1)*100)&lt;-50,"NM",(BU408/BM408-1)*100)))</f>
        <v>-33.96226415094339</v>
      </c>
      <c r="BW408" s="74">
        <v>10.3</v>
      </c>
      <c r="BX408" s="61">
        <f>IF(ISERROR((BW408/BO408-1)*100),"NA",IF(((BW408/BO408-1)*100)&gt;100,"NM",IF(((BW408/BO408-1)*100)&lt;-50,"NM",(BW408/BO408-1)*100)))</f>
        <v>-46.073298429319379</v>
      </c>
      <c r="BY408" s="74"/>
      <c r="BZ408" s="61"/>
      <c r="CA408" s="74"/>
      <c r="CB408" s="61"/>
      <c r="CC408" s="74"/>
      <c r="CD408" s="61"/>
      <c r="CE408" s="74"/>
      <c r="CF408" s="61"/>
      <c r="CG408" s="74"/>
      <c r="CH408" s="61"/>
      <c r="CI408" s="74"/>
      <c r="CJ408" s="61"/>
      <c r="CK408" s="74"/>
      <c r="CL408" s="61"/>
      <c r="CM408" s="74"/>
      <c r="CN408" s="61"/>
      <c r="CO408" s="74"/>
      <c r="CP408" s="61"/>
      <c r="CQ408" s="74"/>
      <c r="CR408" s="61"/>
      <c r="CS408" s="74"/>
      <c r="CT408" s="61"/>
      <c r="CU408" s="74"/>
      <c r="CV408" s="61"/>
      <c r="CW408" s="74"/>
      <c r="CX408" s="61"/>
      <c r="CY408" s="74"/>
      <c r="CZ408" s="61"/>
      <c r="DA408" s="74"/>
      <c r="DB408" s="61"/>
      <c r="DC408" s="74"/>
      <c r="DD408" s="61"/>
      <c r="DE408" s="74"/>
      <c r="DF408" s="61"/>
      <c r="DG408" s="74"/>
      <c r="DH408" s="61"/>
      <c r="DI408" s="74"/>
      <c r="DJ408" s="61"/>
      <c r="DK408" s="74"/>
      <c r="DL408" s="61"/>
      <c r="DM408" s="74"/>
      <c r="DN408" s="61"/>
      <c r="DO408" s="74"/>
      <c r="DP408" s="61"/>
      <c r="DQ408" s="74"/>
      <c r="DR408" s="61"/>
      <c r="DS408" s="74"/>
      <c r="DT408" s="61"/>
      <c r="DU408" s="74"/>
      <c r="DV408" s="61"/>
      <c r="DW408" s="74"/>
      <c r="DX408" s="74"/>
      <c r="DY408" s="74"/>
      <c r="DZ408" s="61"/>
      <c r="EA408" s="74"/>
      <c r="EB408" s="61"/>
      <c r="EC408" s="74"/>
      <c r="ED408" s="61"/>
      <c r="EE408" s="74"/>
      <c r="EF408" s="61"/>
      <c r="EG408" s="74"/>
      <c r="EH408" s="61"/>
      <c r="EI408" s="74"/>
      <c r="EJ408" s="61"/>
      <c r="EK408" s="74"/>
      <c r="EL408" s="61"/>
      <c r="EM408" s="74"/>
      <c r="EN408" s="61"/>
      <c r="EO408" s="74"/>
      <c r="EP408" s="61"/>
      <c r="EQ408" s="74"/>
      <c r="ER408" s="61"/>
      <c r="ES408" s="74"/>
      <c r="ET408" s="61"/>
      <c r="EU408" s="74"/>
      <c r="EV408" s="61"/>
      <c r="EW408" s="74"/>
      <c r="EX408" s="61"/>
      <c r="EY408" s="64"/>
      <c r="EZ408" s="558"/>
      <c r="FA408" s="64"/>
      <c r="FB408" s="72">
        <v>156.6</v>
      </c>
      <c r="FC408" s="71"/>
      <c r="FD408" s="72">
        <v>145.1</v>
      </c>
      <c r="FE408" s="70">
        <f>IF(ISERROR((FD408/FB408-1)*100),"NA",IF(((FD408/FB408-1)*100)&gt;100,"NM",IF(((FD408/FB408-1)*100)&lt;-50,"NM",(FD408/FB408-1)*100)))</f>
        <v>-7.3435504469987256</v>
      </c>
      <c r="FF408" s="69">
        <f>C408+E408+G408+I408</f>
        <v>148.30000000000001</v>
      </c>
      <c r="FG408" s="70">
        <f>IF(ISERROR((FF408/FD408-1)*100),"NA",IF(((FF408/FD408-1)*100)&gt;100,"NM",IF(((FF408/FD408-1)*100)&lt;-50,"NM",(FF408/FD408-1)*100)))</f>
        <v>2.2053756030324001</v>
      </c>
      <c r="FH408" s="69">
        <f>K408+M408+O408+Q408</f>
        <v>46.1</v>
      </c>
      <c r="FI408" s="70" t="str">
        <f>IF(ISERROR((FH408/FF408-1)*100),"NA",IF(((FH408/FF408-1)*100)&gt;100,"NM",IF(((FH408/FF408-1)*100)&lt;-50,"NM",(FH408/FF408-1)*100)))</f>
        <v>NM</v>
      </c>
      <c r="FJ408" s="69">
        <f>S408+U408+W408+Y408</f>
        <v>50.8</v>
      </c>
      <c r="FK408" s="70">
        <f>IF(ISERROR((FJ408/FH408-1)*100),"NA",IF(((FJ408/FH408-1)*100)&gt;100,"NM",IF(((FJ408/FH408-1)*100)&lt;-50,"NM",(FJ408/FH408-1)*100)))</f>
        <v>10.195227765726678</v>
      </c>
      <c r="FL408" s="69">
        <f>AA408+AC408+AE408+AG408</f>
        <v>62.3</v>
      </c>
      <c r="FM408" s="61">
        <f>IF(ISERROR((FL408/FJ408-1)*100),"NA",IF(((FL408/FJ408-1)*100)&gt;100,"NM",IF(((FL408/FJ408-1)*100)&lt;-50,"NM",(FL408/FJ408-1)*100)))</f>
        <v>22.637795275590555</v>
      </c>
      <c r="FN408" s="69">
        <f>AI408+AK408+AM408+AO408</f>
        <v>70.300000000000011</v>
      </c>
      <c r="FO408" s="61">
        <f>IF(ISERROR((FN408/FL408-1)*100),"NA",IF(((FN408/FL408-1)*100)&gt;100,"NM",IF(((FN408/FL408-1)*100)&lt;-50,"NM",(FN408/FL408-1)*100)))</f>
        <v>12.841091492776901</v>
      </c>
      <c r="FP408" s="75">
        <f>AQ408+AS408+AU408+AW408</f>
        <v>63.269999999999996</v>
      </c>
      <c r="FQ408" s="61">
        <f>IF(ISERROR((FP408/FN408-1)*100),"NA",IF(((FP408/FN408-1)*100)&gt;100,"NM",IF(((FP408/FN408-1)*100)&lt;-50,"NM",(FP408/FN408-1)*100)))</f>
        <v>-10.00000000000002</v>
      </c>
      <c r="FR408" s="75">
        <f>AY408+BA408+BC408+BE408</f>
        <v>78.599999999999994</v>
      </c>
      <c r="FS408" s="61">
        <f>IF(ISERROR((FR408/FP408-1)*100),"NA",IF(((FR408/FP408-1)*100)&gt;100,"NM",IF(((FR408/FP408-1)*100)&lt;-50,"NM",(FR408/FP408-1)*100)))</f>
        <v>24.229492650545282</v>
      </c>
      <c r="FT408" s="75">
        <f>BG408+BI408+BK408+BM408</f>
        <v>95.3</v>
      </c>
      <c r="FU408" s="61">
        <f>IF(ISERROR((FT408/FR408-1)*100),"NA",IF(((FT408/FR408-1)*100)&gt;100,"NM",IF(((FT408/FR408-1)*100)&lt;-50,"NM",(FT408/FR408-1)*100)))</f>
        <v>21.246819338422405</v>
      </c>
      <c r="FV408" s="75">
        <f>BO408+BQ408+BS408+BU408</f>
        <v>78.400000000000006</v>
      </c>
      <c r="FW408" s="61">
        <f>IF(ISERROR((FV408/FT408-1)*100),"NA",IF(((FV408/FT408-1)*100)&gt;100,"NM",IF(((FV408/FT408-1)*100)&lt;-50,"NM",(FV408/FT408-1)*100)))</f>
        <v>-17.733473242392439</v>
      </c>
      <c r="FX408" s="73"/>
      <c r="FY408" s="61"/>
      <c r="FZ408" s="73"/>
      <c r="GA408" s="61"/>
      <c r="GB408" s="73"/>
      <c r="GC408" s="61"/>
      <c r="GD408" s="73"/>
      <c r="GE408" s="61"/>
      <c r="GF408" s="73"/>
      <c r="GG408" s="61"/>
      <c r="GH408" s="73"/>
      <c r="GI408" s="61"/>
      <c r="GJ408" s="73"/>
      <c r="GK408" s="61"/>
      <c r="GL408" s="73"/>
      <c r="GM408" s="61"/>
      <c r="GN408" s="73"/>
      <c r="GO408" s="61"/>
      <c r="GP408" s="73"/>
      <c r="GQ408" s="61"/>
      <c r="GR408" s="74"/>
      <c r="GS408" s="61"/>
      <c r="GT408" s="74"/>
      <c r="GU408" s="61"/>
      <c r="GV408" s="74"/>
      <c r="GW408" s="61"/>
      <c r="GX408" s="74"/>
      <c r="GY408" s="61"/>
      <c r="GZ408" s="61" t="str">
        <f t="shared" si="2316"/>
        <v/>
      </c>
      <c r="HA408" s="61"/>
      <c r="HB408" s="452"/>
      <c r="HC408"/>
      <c r="HD408"/>
      <c r="HE408"/>
      <c r="HF408"/>
      <c r="HG408"/>
      <c r="HH408"/>
    </row>
    <row r="409" spans="1:216" s="5" customFormat="1" ht="12.75" hidden="1" customHeight="1" outlineLevel="1" x14ac:dyDescent="0.2">
      <c r="B409" s="2" t="s">
        <v>282</v>
      </c>
      <c r="C409" s="72">
        <f>6.3+46.5+6.3</f>
        <v>59.099999999999994</v>
      </c>
      <c r="D409" s="70"/>
      <c r="E409" s="72">
        <f>8+44.3+-3.4</f>
        <v>48.9</v>
      </c>
      <c r="F409" s="71"/>
      <c r="G409" s="74">
        <f>9.6+52.6+-0.1</f>
        <v>62.1</v>
      </c>
      <c r="H409" s="71"/>
      <c r="I409" s="74">
        <f>7.5+34.6+-0.3</f>
        <v>41.800000000000004</v>
      </c>
      <c r="J409" s="61"/>
      <c r="K409" s="74">
        <f>9.4+43.7+4.5</f>
        <v>57.6</v>
      </c>
      <c r="L409" s="61">
        <f>IF(ISERROR((K409/C409-1)*100),"NA",IF(((K409/C409-1)*100)&gt;100,"NM",IF(((K409/C409-1)*100)&lt;-50,"NM",(K409/C409-1)*100)))</f>
        <v>-2.5380710659898331</v>
      </c>
      <c r="M409" s="72">
        <f>8.9+31.4+-5.4</f>
        <v>34.9</v>
      </c>
      <c r="N409" s="61">
        <f>IF(ISERROR((M409/E409-1)*100),"NA",IF(((M409/E409-1)*100)&gt;100,"NM",IF(((M409/E409-1)*100)&lt;-50,"NM",(M409/E409-1)*100)))</f>
        <v>-28.62985685071575</v>
      </c>
      <c r="O409" s="74">
        <f>8.5+35.5+8.8</f>
        <v>52.8</v>
      </c>
      <c r="P409" s="61">
        <f>IF(ISERROR((O409/G409-1)*100),"NA",IF(((O409/G409-1)*100)&gt;100,"NM",IF(((O409/G409-1)*100)&lt;-50,"NM",(O409/G409-1)*100)))</f>
        <v>-14.975845410628031</v>
      </c>
      <c r="Q409" s="74">
        <f>7.1+24.1+-9.2</f>
        <v>22.000000000000004</v>
      </c>
      <c r="R409" s="61">
        <f>IF(ISERROR((Q409/I409-1)*100),"NA",IF(((Q409/I409-1)*100)&gt;100,"NM",IF(((Q409/I409-1)*100)&lt;-50,"NM",(Q409/I409-1)*100)))</f>
        <v>-47.368421052631568</v>
      </c>
      <c r="S409" s="74">
        <f>6.5+25.3+-0.2</f>
        <v>31.6</v>
      </c>
      <c r="T409" s="61">
        <f>IF(ISERROR((S409/K409-1)*100),"NA",IF(((S409/K409-1)*100)&gt;100,"NM",IF(((S409/K409-1)*100)&lt;-50,"NM",(S409/K409-1)*100)))</f>
        <v>-45.138888888888886</v>
      </c>
      <c r="U409" s="74">
        <f>8.3+27.8+12.5</f>
        <v>48.6</v>
      </c>
      <c r="V409" s="61">
        <f>IF(ISERROR((U409/M409-1)*100),"NA",IF(((U409/M409-1)*100)&gt;100,"NM",IF(((U409/M409-1)*100)&lt;-50,"NM",(U409/M409-1)*100)))</f>
        <v>39.255014326647576</v>
      </c>
      <c r="W409" s="74">
        <f>8.7+29.4+24.5</f>
        <v>62.599999999999994</v>
      </c>
      <c r="X409" s="61">
        <f>IF(ISERROR((W409/O409-1)*100),"NA",IF(((W409/O409-1)*100)&gt;100,"NM",IF(((W409/O409-1)*100)&lt;-50,"NM",(W409/O409-1)*100)))</f>
        <v>18.560606060606055</v>
      </c>
      <c r="Y409" s="74">
        <f>8.9+22.8+-11.9</f>
        <v>19.800000000000004</v>
      </c>
      <c r="Z409" s="61">
        <f>IF(ISERROR((Y409/Q409-1)*100),"NA",IF(((Y409/Q409-1)*100)&gt;100,"NM",IF(((Y409/Q409-1)*100)&lt;-50,"NM",(Y409/Q409-1)*100)))</f>
        <v>-9.9999999999999982</v>
      </c>
      <c r="AA409" s="74">
        <f>9.1+21.6+10.3</f>
        <v>41</v>
      </c>
      <c r="AB409" s="61">
        <f>IF(ISERROR((AA409/S409-1)*100),"NA",IF(((AA409/S409-1)*100)&gt;100,"NM",IF(((AA409/S409-1)*100)&lt;-50,"NM",(AA409/S409-1)*100)))</f>
        <v>29.746835443037977</v>
      </c>
      <c r="AC409" s="74">
        <f>9.2+24.5+-3.9</f>
        <v>29.800000000000004</v>
      </c>
      <c r="AD409" s="61">
        <f>IF(ISERROR((AC409/U409-1)*100),"NA",IF(((AC409/U409-1)*100)&gt;100,"NM",IF(((AC409/U409-1)*100)&lt;-50,"NM",(AC409/U409-1)*100)))</f>
        <v>-38.683127572016453</v>
      </c>
      <c r="AE409" s="74">
        <f>8.7+23.2+2.6</f>
        <v>34.5</v>
      </c>
      <c r="AF409" s="61">
        <f>IF(ISERROR((AE409/W409-1)*100),"NA",IF(((AE409/W409-1)*100)&gt;100,"NM",IF(((AE409/W409-1)*100)&lt;-50,"NM",(AE409/W409-1)*100)))</f>
        <v>-44.888178913738017</v>
      </c>
      <c r="AG409" s="74">
        <f>8.7+24.6+9.6</f>
        <v>42.9</v>
      </c>
      <c r="AH409" s="61" t="str">
        <f>IF(ISERROR((AG409/Y409-1)*100),"NA",IF(((AG409/Y409-1)*100)&gt;100,"NM",IF(((AG409/Y409-1)*100)&lt;-50,"NM",(AG409/Y409-1)*100)))</f>
        <v>NM</v>
      </c>
      <c r="AI409" s="74">
        <f>9.6+24.2+5.8</f>
        <v>39.599999999999994</v>
      </c>
      <c r="AJ409" s="61">
        <f>IF(ISERROR((AI409/AA409-1)*100),"NA",IF(((AI409/AA409-1)*100)&gt;100,"NM",IF(((AI409/AA409-1)*100)&lt;-50,"NM",(AI409/AA409-1)*100)))</f>
        <v>-3.4146341463414775</v>
      </c>
      <c r="AK409" s="74">
        <f>10.4+24.4+8.3</f>
        <v>43.099999999999994</v>
      </c>
      <c r="AL409" s="61">
        <f>IF(ISERROR((AK409/AC409-1)*100),"NA",IF(((AK409/AC409-1)*100)&gt;100,"NM",IF(((AK409/AC409-1)*100)&lt;-50,"NM",(AK409/AC409-1)*100)))</f>
        <v>44.630872483221438</v>
      </c>
      <c r="AM409" s="74">
        <f>9.7+27+22.8</f>
        <v>59.5</v>
      </c>
      <c r="AN409" s="61">
        <f>IF(ISERROR((AM409/AE409-1)*100),"NA",IF(((AM409/AE409-1)*100)&gt;100,"NM",IF(((AM409/AE409-1)*100)&lt;-50,"NM",(AM409/AE409-1)*100)))</f>
        <v>72.463768115942045</v>
      </c>
      <c r="AO409" s="74">
        <f>9.8+28.3+16</f>
        <v>54.1</v>
      </c>
      <c r="AP409" s="61">
        <f>IF(ISERROR((AO409/AG409-1)*100),"NA",IF(((AO409/AG409-1)*100)&gt;100,"NM",IF(((AO409/AG409-1)*100)&lt;-50,"NM",(AO409/AG409-1)*100)))</f>
        <v>26.107226107226111</v>
      </c>
      <c r="AQ409" s="74">
        <f>9+26.6+4.1</f>
        <v>39.700000000000003</v>
      </c>
      <c r="AR409" s="61">
        <f>IF(ISERROR((AQ409/AI409-1)*100),"NA",IF(((AQ409/AI409-1)*100)&gt;100,"NM",IF(((AQ409/AI409-1)*100)&lt;-50,"NM",(AQ409/AI409-1)*100)))</f>
        <v>0.25252525252528191</v>
      </c>
      <c r="AS409" s="74">
        <f>9.4+27.9+5.1</f>
        <v>42.4</v>
      </c>
      <c r="AT409" s="61">
        <f>IF(ISERROR((AS409/AK409-1)*100),"NA",IF(((AS409/AK409-1)*100)&gt;100,"NM",IF(((AS409/AK409-1)*100)&lt;-50,"NM",(AS409/AK409-1)*100)))</f>
        <v>-1.6241299303944245</v>
      </c>
      <c r="AU409" s="74">
        <f>9+27.9+28.1</f>
        <v>65</v>
      </c>
      <c r="AV409" s="61">
        <f>IF(ISERROR((AU409/AM409-1)*100),"NA",IF(((AU409/AM409-1)*100)&gt;100,"NM",IF(((AU409/AM409-1)*100)&lt;-50,"NM",(AU409/AM409-1)*100)))</f>
        <v>9.2436974789915851</v>
      </c>
      <c r="AW409" s="74">
        <f>7.3+22</f>
        <v>29.3</v>
      </c>
      <c r="AX409" s="61">
        <f>IF(ISERROR((AW409/AO409-1)*100),"NA",IF(((AW409/AO409-1)*100)&gt;100,"NM",IF(((AW409/AO409-1)*100)&lt;-50,"NM",(AW409/AO409-1)*100)))</f>
        <v>-45.841035120147879</v>
      </c>
      <c r="AY409" s="74">
        <f>7.8+25.7+2.4</f>
        <v>35.9</v>
      </c>
      <c r="AZ409" s="61">
        <f>IF(ISERROR((AY409/AQ409-1)*100),"NA",IF(((AY409/AQ409-1)*100)&gt;100,"NM",IF(((AY409/AQ409-1)*100)&lt;-50,"NM",(AY409/AQ409-1)*100)))</f>
        <v>-9.5717884130982469</v>
      </c>
      <c r="BA409" s="74">
        <f>8.9+34.7</f>
        <v>43.6</v>
      </c>
      <c r="BB409" s="61">
        <f>IF(ISERROR((BA409/AS409-1)*100),"NA",IF(((BA409/AS409-1)*100)&gt;100,"NM",IF(((BA409/AS409-1)*100)&lt;-50,"NM",(BA409/AS409-1)*100)))</f>
        <v>2.8301886792452935</v>
      </c>
      <c r="BC409" s="74">
        <f>8.7+23.9</f>
        <v>32.599999999999994</v>
      </c>
      <c r="BD409" s="61">
        <f>IF(ISERROR((BC409/AU409-1)*100),"NA",IF(((BC409/AU409-1)*100)&gt;100,"NM",IF(((BC409/AU409-1)*100)&lt;-50,"NM",(BC409/AU409-1)*100)))</f>
        <v>-49.846153846153854</v>
      </c>
      <c r="BE409" s="74">
        <f>9+36.8</f>
        <v>45.8</v>
      </c>
      <c r="BF409" s="61">
        <f>IF(ISERROR((BE409/AW409-1)*100),"NA",IF(((BE409/AW409-1)*100)&gt;100,"NM",IF(((BE409/AW409-1)*100)&lt;-50,"NM",(BE409/AW409-1)*100)))</f>
        <v>56.31399317406143</v>
      </c>
      <c r="BG409" s="74">
        <f>10+37.1+0.1</f>
        <v>47.2</v>
      </c>
      <c r="BH409" s="61">
        <f>IF(ISERROR((BG409/AY409-1)*100),"NA",IF(((BG409/AY409-1)*100)&gt;100,"NM",IF(((BG409/AY409-1)*100)&lt;-50,"NM",(BG409/AY409-1)*100)))</f>
        <v>31.47632311977717</v>
      </c>
      <c r="BI409" s="74">
        <f>8.9+39.9</f>
        <v>48.8</v>
      </c>
      <c r="BJ409" s="61">
        <f>IF(ISERROR((BI409/BA409-1)*100),"NA",IF(((BI409/BA409-1)*100)&gt;100,"NM",IF(((BI409/BA409-1)*100)&lt;-50,"NM",(BI409/BA409-1)*100)))</f>
        <v>11.926605504587151</v>
      </c>
      <c r="BK409" s="74">
        <f>9.2+33</f>
        <v>42.2</v>
      </c>
      <c r="BL409" s="61">
        <f>IF(ISERROR((BK409/BC409-1)*100),"NA",IF(((BK409/BC409-1)*100)&gt;100,"NM",IF(((BK409/BC409-1)*100)&lt;-50,"NM",(BK409/BC409-1)*100)))</f>
        <v>29.447852760736225</v>
      </c>
      <c r="BM409" s="74">
        <f>9.1+46.6</f>
        <v>55.7</v>
      </c>
      <c r="BN409" s="61">
        <f>IF(ISERROR((BM409/BE409-1)*100),"NA",IF(((BM409/BE409-1)*100)&gt;100,"NM",IF(((BM409/BE409-1)*100)&lt;-50,"NM",(BM409/BE409-1)*100)))</f>
        <v>21.61572052401748</v>
      </c>
      <c r="BO409" s="74">
        <f>9.1+37.1</f>
        <v>46.2</v>
      </c>
      <c r="BP409" s="61">
        <f>IF(ISERROR((BO409/BG409-1)*100),"NA",IF(((BO409/BG409-1)*100)&gt;100,"NM",IF(((BO409/BG409-1)*100)&lt;-50,"NM",(BO409/BG409-1)*100)))</f>
        <v>-2.1186440677966045</v>
      </c>
      <c r="BQ409" s="74">
        <f>9.1+42.6</f>
        <v>51.7</v>
      </c>
      <c r="BR409" s="61">
        <f>IF(ISERROR((BQ409/BI409-1)*100),"NA",IF(((BQ409/BI409-1)*100)&gt;100,"NM",IF(((BQ409/BI409-1)*100)&lt;-50,"NM",(BQ409/BI409-1)*100)))</f>
        <v>5.9426229508196871</v>
      </c>
      <c r="BS409" s="74">
        <f>8.7+31.1</f>
        <v>39.799999999999997</v>
      </c>
      <c r="BT409" s="61">
        <f>IF(ISERROR((BS409/BK409-1)*100),"NA",IF(((BS409/BK409-1)*100)&gt;100,"NM",IF(((BS409/BK409-1)*100)&lt;-50,"NM",(BS409/BK409-1)*100)))</f>
        <v>-5.6872037914692086</v>
      </c>
      <c r="BU409" s="74">
        <f>7.4+26.2</f>
        <v>33.6</v>
      </c>
      <c r="BV409" s="61">
        <f>IF(ISERROR((BU409/BM409-1)*100),"NA",IF(((BU409/BM409-1)*100)&gt;100,"NM",IF(((BU409/BM409-1)*100)&lt;-50,"NM",(BU409/BM409-1)*100)))</f>
        <v>-39.67684021543986</v>
      </c>
      <c r="BW409" s="74">
        <f>7+16.7</f>
        <v>23.7</v>
      </c>
      <c r="BX409" s="61">
        <f>IF(ISERROR((BW409/BO409-1)*100),"NA",IF(((BW409/BO409-1)*100)&gt;100,"NM",IF(((BW409/BO409-1)*100)&lt;-50,"NM",(BW409/BO409-1)*100)))</f>
        <v>-48.701298701298704</v>
      </c>
      <c r="BY409" s="74"/>
      <c r="BZ409" s="61"/>
      <c r="CA409" s="74"/>
      <c r="CB409" s="61"/>
      <c r="CC409" s="74"/>
      <c r="CD409" s="61"/>
      <c r="CE409" s="74"/>
      <c r="CF409" s="61"/>
      <c r="CG409" s="74"/>
      <c r="CH409" s="61"/>
      <c r="CI409" s="74"/>
      <c r="CJ409" s="61"/>
      <c r="CK409" s="74"/>
      <c r="CL409" s="61"/>
      <c r="CM409" s="74"/>
      <c r="CN409" s="61"/>
      <c r="CO409" s="74"/>
      <c r="CP409" s="61"/>
      <c r="CQ409" s="74"/>
      <c r="CR409" s="61"/>
      <c r="CS409" s="74"/>
      <c r="CT409" s="61"/>
      <c r="CU409" s="74"/>
      <c r="CV409" s="61"/>
      <c r="CW409" s="74"/>
      <c r="CX409" s="61"/>
      <c r="CY409" s="74"/>
      <c r="CZ409" s="61"/>
      <c r="DA409" s="74"/>
      <c r="DB409" s="61"/>
      <c r="DC409" s="74"/>
      <c r="DD409" s="61"/>
      <c r="DE409" s="74"/>
      <c r="DF409" s="61"/>
      <c r="DG409" s="74"/>
      <c r="DH409" s="61"/>
      <c r="DI409" s="74"/>
      <c r="DJ409" s="61"/>
      <c r="DK409" s="74"/>
      <c r="DL409" s="61"/>
      <c r="DM409" s="74"/>
      <c r="DN409" s="61"/>
      <c r="DO409" s="74"/>
      <c r="DP409" s="61"/>
      <c r="DQ409" s="74"/>
      <c r="DR409" s="61"/>
      <c r="DS409" s="74"/>
      <c r="DT409" s="61"/>
      <c r="DU409" s="74"/>
      <c r="DV409" s="61"/>
      <c r="DW409" s="74"/>
      <c r="DX409" s="74"/>
      <c r="DY409" s="74"/>
      <c r="DZ409" s="61"/>
      <c r="EA409" s="74"/>
      <c r="EB409" s="61"/>
      <c r="EC409" s="74"/>
      <c r="ED409" s="61"/>
      <c r="EE409" s="74"/>
      <c r="EF409" s="61"/>
      <c r="EG409" s="74"/>
      <c r="EH409" s="61"/>
      <c r="EI409" s="74"/>
      <c r="EJ409" s="61"/>
      <c r="EK409" s="74"/>
      <c r="EL409" s="61"/>
      <c r="EM409" s="74"/>
      <c r="EN409" s="61"/>
      <c r="EO409" s="74"/>
      <c r="EP409" s="61"/>
      <c r="EQ409" s="74"/>
      <c r="ER409" s="61"/>
      <c r="ES409" s="74"/>
      <c r="ET409" s="61"/>
      <c r="EU409" s="74"/>
      <c r="EV409" s="61"/>
      <c r="EW409" s="74"/>
      <c r="EX409" s="61"/>
      <c r="EY409" s="64"/>
      <c r="EZ409" s="558"/>
      <c r="FA409" s="64"/>
      <c r="FB409" s="72">
        <f>29.311321+153.5874598+11.1697921408</f>
        <v>194.06857294080001</v>
      </c>
      <c r="FC409" s="71"/>
      <c r="FD409" s="72">
        <f>27.1+182.3+13.75</f>
        <v>223.15</v>
      </c>
      <c r="FE409" s="70">
        <f>IF(ISERROR((FD409/FB409-1)*100),"NA",IF(((FD409/FB409-1)*100)&gt;100,"NM",IF(((FD409/FB409-1)*100)&lt;-50,"NM",(FD409/FB409-1)*100)))</f>
        <v>14.985129543911867</v>
      </c>
      <c r="FF409" s="69">
        <f>C409+E409+G409+I409</f>
        <v>211.9</v>
      </c>
      <c r="FG409" s="70">
        <f>IF(ISERROR((FF409/FD409-1)*100),"NA",IF(((FF409/FD409-1)*100)&gt;100,"NM",IF(((FF409/FD409-1)*100)&lt;-50,"NM",(FF409/FD409-1)*100)))</f>
        <v>-5.0414519381581924</v>
      </c>
      <c r="FH409" s="69">
        <f>K409+M409+O409+Q409</f>
        <v>167.3</v>
      </c>
      <c r="FI409" s="70">
        <f>IF(ISERROR((FH409/FF409-1)*100),"NA",IF(((FH409/FF409-1)*100)&gt;100,"NM",IF(((FH409/FF409-1)*100)&lt;-50,"NM",(FH409/FF409-1)*100)))</f>
        <v>-21.047663992449262</v>
      </c>
      <c r="FJ409" s="69">
        <f>S409+U409+W409+Y409</f>
        <v>162.60000000000002</v>
      </c>
      <c r="FK409" s="70">
        <f>IF(ISERROR((FJ409/FH409-1)*100),"NA",IF(((FJ409/FH409-1)*100)&gt;100,"NM",IF(((FJ409/FH409-1)*100)&lt;-50,"NM",(FJ409/FH409-1)*100)))</f>
        <v>-2.8093245666467315</v>
      </c>
      <c r="FL409" s="69">
        <f>AA409+AC409+AE409+AG409</f>
        <v>148.20000000000002</v>
      </c>
      <c r="FM409" s="61">
        <f>IF(ISERROR((FL409/FJ409-1)*100),"NA",IF(((FL409/FJ409-1)*100)&gt;100,"NM",IF(((FL409/FJ409-1)*100)&lt;-50,"NM",(FL409/FJ409-1)*100)))</f>
        <v>-8.8560885608856115</v>
      </c>
      <c r="FN409" s="69">
        <f>AI409+AK409+AM409+AO409</f>
        <v>196.29999999999998</v>
      </c>
      <c r="FO409" s="61">
        <f>IF(ISERROR((FN409/FL409-1)*100),"NA",IF(((FN409/FL409-1)*100)&gt;100,"NM",IF(((FN409/FL409-1)*100)&lt;-50,"NM",(FN409/FL409-1)*100)))</f>
        <v>32.456140350877163</v>
      </c>
      <c r="FP409" s="75">
        <f>AQ409+AS409+AU409+AW409</f>
        <v>176.4</v>
      </c>
      <c r="FQ409" s="61">
        <f>IF(ISERROR((FP409/FN409-1)*100),"NA",IF(((FP409/FN409-1)*100)&gt;100,"NM",IF(((FP409/FN409-1)*100)&lt;-50,"NM",(FP409/FN409-1)*100)))</f>
        <v>-10.137544574630653</v>
      </c>
      <c r="FR409" s="75">
        <f>AY409+BA409+BC409+BE409</f>
        <v>157.89999999999998</v>
      </c>
      <c r="FS409" s="61">
        <f>IF(ISERROR((FR409/FP409-1)*100),"NA",IF(((FR409/FP409-1)*100)&gt;100,"NM",IF(((FR409/FP409-1)*100)&lt;-50,"NM",(FR409/FP409-1)*100)))</f>
        <v>-10.487528344671215</v>
      </c>
      <c r="FT409" s="75">
        <f>BG409+BI409+BK409+BM409</f>
        <v>193.89999999999998</v>
      </c>
      <c r="FU409" s="61">
        <f>IF(ISERROR((FT409/FR409-1)*100),"NA",IF(((FT409/FR409-1)*100)&gt;100,"NM",IF(((FT409/FR409-1)*100)&lt;-50,"NM",(FT409/FR409-1)*100)))</f>
        <v>22.799240025332491</v>
      </c>
      <c r="FV409" s="75">
        <f>BO409+BQ409+BS409+BU409</f>
        <v>171.29999999999998</v>
      </c>
      <c r="FW409" s="61">
        <f>IF(ISERROR((FV409/FT409-1)*100),"NA",IF(((FV409/FT409-1)*100)&gt;100,"NM",IF(((FV409/FT409-1)*100)&lt;-50,"NM",(FV409/FT409-1)*100)))</f>
        <v>-11.655492521918509</v>
      </c>
      <c r="FX409" s="73"/>
      <c r="FY409" s="61"/>
      <c r="FZ409" s="73"/>
      <c r="GA409" s="61"/>
      <c r="GB409" s="73"/>
      <c r="GC409" s="61"/>
      <c r="GD409" s="73"/>
      <c r="GE409" s="61"/>
      <c r="GF409" s="73"/>
      <c r="GG409" s="61"/>
      <c r="GH409" s="73"/>
      <c r="GI409" s="61"/>
      <c r="GJ409" s="73"/>
      <c r="GK409" s="61"/>
      <c r="GL409" s="73"/>
      <c r="GM409" s="61"/>
      <c r="GN409" s="73"/>
      <c r="GO409" s="61"/>
      <c r="GP409" s="73"/>
      <c r="GQ409" s="61"/>
      <c r="GR409" s="74"/>
      <c r="GS409" s="61"/>
      <c r="GT409" s="74"/>
      <c r="GU409" s="61"/>
      <c r="GV409" s="74"/>
      <c r="GW409" s="61"/>
      <c r="GX409" s="74"/>
      <c r="GY409" s="61"/>
      <c r="GZ409" s="61" t="str">
        <f t="shared" si="2316"/>
        <v/>
      </c>
      <c r="HA409" s="61"/>
      <c r="HB409" s="452"/>
      <c r="HC409"/>
      <c r="HD409"/>
      <c r="HE409"/>
      <c r="HF409"/>
      <c r="HG409"/>
      <c r="HH409"/>
    </row>
    <row r="410" spans="1:216" s="5" customFormat="1" ht="12.75" hidden="1" customHeight="1" outlineLevel="1" x14ac:dyDescent="0.2">
      <c r="B410" s="2" t="s">
        <v>498</v>
      </c>
      <c r="C410" s="72">
        <v>18.899999999999999</v>
      </c>
      <c r="D410" s="70"/>
      <c r="E410" s="72">
        <v>18.5</v>
      </c>
      <c r="F410" s="71"/>
      <c r="G410" s="74">
        <v>16.100000000000001</v>
      </c>
      <c r="H410" s="71"/>
      <c r="I410" s="74">
        <v>16.7</v>
      </c>
      <c r="J410" s="61"/>
      <c r="K410" s="74">
        <v>17.899999999999999</v>
      </c>
      <c r="L410" s="61">
        <f>IF(ISERROR((K410/C410-1)*100),"NA",IF(((K410/C410-1)*100)&gt;100,"NM",IF(((K410/C410-1)*100)&lt;-50,"NM",(K410/C410-1)*100)))</f>
        <v>-5.2910052910052912</v>
      </c>
      <c r="M410" s="72">
        <v>16.899999999999999</v>
      </c>
      <c r="N410" s="61">
        <f>IF(ISERROR((M410/E410-1)*100),"NA",IF(((M410/E410-1)*100)&gt;100,"NM",IF(((M410/E410-1)*100)&lt;-50,"NM",(M410/E410-1)*100)))</f>
        <v>-8.6486486486486598</v>
      </c>
      <c r="O410" s="74">
        <v>14.8</v>
      </c>
      <c r="P410" s="61">
        <f>IF(ISERROR((O410/G410-1)*100),"NA",IF(((O410/G410-1)*100)&gt;100,"NM",IF(((O410/G410-1)*100)&lt;-50,"NM",(O410/G410-1)*100)))</f>
        <v>-8.0745341614906874</v>
      </c>
      <c r="Q410" s="74">
        <v>15.2</v>
      </c>
      <c r="R410" s="61">
        <f>IF(ISERROR((Q410/I410-1)*100),"NA",IF(((Q410/I410-1)*100)&gt;100,"NM",IF(((Q410/I410-1)*100)&lt;-50,"NM",(Q410/I410-1)*100)))</f>
        <v>-8.9820359281437163</v>
      </c>
      <c r="S410" s="74">
        <v>14.7</v>
      </c>
      <c r="T410" s="61">
        <f>IF(ISERROR((S410/K410-1)*100),"NA",IF(((S410/K410-1)*100)&gt;100,"NM",IF(((S410/K410-1)*100)&lt;-50,"NM",(S410/K410-1)*100)))</f>
        <v>-17.877094972067031</v>
      </c>
      <c r="U410" s="74">
        <v>15.3</v>
      </c>
      <c r="V410" s="61">
        <f>IF(ISERROR((U410/M410-1)*100),"NA",IF(((U410/M410-1)*100)&gt;100,"NM",IF(((U410/M410-1)*100)&lt;-50,"NM",(U410/M410-1)*100)))</f>
        <v>-9.4674556213017684</v>
      </c>
      <c r="W410" s="74">
        <v>15.6</v>
      </c>
      <c r="X410" s="61">
        <f>IF(ISERROR((W410/O410-1)*100),"NA",IF(((W410/O410-1)*100)&gt;100,"NM",IF(((W410/O410-1)*100)&lt;-50,"NM",(W410/O410-1)*100)))</f>
        <v>5.4054054054053946</v>
      </c>
      <c r="Y410" s="74">
        <v>16.600000000000001</v>
      </c>
      <c r="Z410" s="61">
        <f>IF(ISERROR((Y410/Q410-1)*100),"NA",IF(((Y410/Q410-1)*100)&gt;100,"NM",IF(((Y410/Q410-1)*100)&lt;-50,"NM",(Y410/Q410-1)*100)))</f>
        <v>9.2105263157894903</v>
      </c>
      <c r="AA410" s="74">
        <v>15.2</v>
      </c>
      <c r="AB410" s="61">
        <f>IF(ISERROR((AA410/S410-1)*100),"NA",IF(((AA410/S410-1)*100)&gt;100,"NM",IF(((AA410/S410-1)*100)&lt;-50,"NM",(AA410/S410-1)*100)))</f>
        <v>3.4013605442176909</v>
      </c>
      <c r="AC410" s="74">
        <v>16.7</v>
      </c>
      <c r="AD410" s="61">
        <f>IF(ISERROR((AC410/U410-1)*100),"NA",IF(((AC410/U410-1)*100)&gt;100,"NM",IF(((AC410/U410-1)*100)&lt;-50,"NM",(AC410/U410-1)*100)))</f>
        <v>9.1503267973856097</v>
      </c>
      <c r="AE410" s="74">
        <v>16</v>
      </c>
      <c r="AF410" s="61">
        <f>IF(ISERROR((AE410/W410-1)*100),"NA",IF(((AE410/W410-1)*100)&gt;100,"NM",IF(((AE410/W410-1)*100)&lt;-50,"NM",(AE410/W410-1)*100)))</f>
        <v>2.5641025641025772</v>
      </c>
      <c r="AG410" s="74">
        <v>16.2</v>
      </c>
      <c r="AH410" s="61">
        <f>IF(ISERROR((AG410/Y410-1)*100),"NA",IF(((AG410/Y410-1)*100)&gt;100,"NM",IF(((AG410/Y410-1)*100)&lt;-50,"NM",(AG410/Y410-1)*100)))</f>
        <v>-2.4096385542168752</v>
      </c>
      <c r="AI410" s="74">
        <v>18.5</v>
      </c>
      <c r="AJ410" s="61">
        <f>IF(ISERROR((AI410/AA410-1)*100),"NA",IF(((AI410/AA410-1)*100)&gt;100,"NM",IF(((AI410/AA410-1)*100)&lt;-50,"NM",(AI410/AA410-1)*100)))</f>
        <v>21.710526315789469</v>
      </c>
      <c r="AK410" s="74">
        <v>18.3</v>
      </c>
      <c r="AL410" s="61">
        <f>IF(ISERROR((AK410/AC410-1)*100),"NA",IF(((AK410/AC410-1)*100)&gt;100,"NM",IF(((AK410/AC410-1)*100)&lt;-50,"NM",(AK410/AC410-1)*100)))</f>
        <v>9.5808383233533014</v>
      </c>
      <c r="AM410" s="74">
        <v>18.7</v>
      </c>
      <c r="AN410" s="61">
        <f>IF(ISERROR((AM410/AE410-1)*100),"NA",IF(((AM410/AE410-1)*100)&gt;100,"NM",IF(((AM410/AE410-1)*100)&lt;-50,"NM",(AM410/AE410-1)*100)))</f>
        <v>16.874999999999996</v>
      </c>
      <c r="AO410" s="74">
        <v>20.2</v>
      </c>
      <c r="AP410" s="61">
        <f>IF(ISERROR((AO410/AG410-1)*100),"NA",IF(((AO410/AG410-1)*100)&gt;100,"NM",IF(((AO410/AG410-1)*100)&lt;-50,"NM",(AO410/AG410-1)*100)))</f>
        <v>24.691358024691358</v>
      </c>
      <c r="AQ410" s="74">
        <v>20.3</v>
      </c>
      <c r="AR410" s="61">
        <f>IF(ISERROR((AQ410/AI410-1)*100),"NA",IF(((AQ410/AI410-1)*100)&gt;100,"NM",IF(((AQ410/AI410-1)*100)&lt;-50,"NM",(AQ410/AI410-1)*100)))</f>
        <v>9.7297297297297405</v>
      </c>
      <c r="AS410" s="74">
        <v>19.600000000000001</v>
      </c>
      <c r="AT410" s="61">
        <f>IF(ISERROR((AS410/AK410-1)*100),"NA",IF(((AS410/AK410-1)*100)&gt;100,"NM",IF(((AS410/AK410-1)*100)&lt;-50,"NM",(AS410/AK410-1)*100)))</f>
        <v>7.1038251366120297</v>
      </c>
      <c r="AU410" s="74">
        <v>20.9</v>
      </c>
      <c r="AV410" s="61">
        <f>IF(ISERROR((AU410/AM410-1)*100),"NA",IF(((AU410/AM410-1)*100)&gt;100,"NM",IF(((AU410/AM410-1)*100)&lt;-50,"NM",(AU410/AM410-1)*100)))</f>
        <v>11.764705882352944</v>
      </c>
      <c r="AW410" s="74">
        <v>17.8</v>
      </c>
      <c r="AX410" s="61">
        <f>IF(ISERROR((AW410/AO410-1)*100),"NA",IF(((AW410/AO410-1)*100)&gt;100,"NM",IF(((AW410/AO410-1)*100)&lt;-50,"NM",(AW410/AO410-1)*100)))</f>
        <v>-11.88118811881187</v>
      </c>
      <c r="AY410" s="74">
        <v>17</v>
      </c>
      <c r="AZ410" s="61">
        <f>IF(ISERROR((AY410/AQ410-1)*100),"NA",IF(((AY410/AQ410-1)*100)&gt;100,"NM",IF(((AY410/AQ410-1)*100)&lt;-50,"NM",(AY410/AQ410-1)*100)))</f>
        <v>-16.256157635467982</v>
      </c>
      <c r="BA410" s="74">
        <v>17.8</v>
      </c>
      <c r="BB410" s="61">
        <f>IF(ISERROR((BA410/AS410-1)*100),"NA",IF(((BA410/AS410-1)*100)&gt;100,"NM",IF(((BA410/AS410-1)*100)&lt;-50,"NM",(BA410/AS410-1)*100)))</f>
        <v>-9.1836734693877542</v>
      </c>
      <c r="BC410" s="74">
        <v>18.600000000000001</v>
      </c>
      <c r="BD410" s="61">
        <f>IF(ISERROR((BC410/AU410-1)*100),"NA",IF(((BC410/AU410-1)*100)&gt;100,"NM",IF(((BC410/AU410-1)*100)&lt;-50,"NM",(BC410/AU410-1)*100)))</f>
        <v>-11.004784688995207</v>
      </c>
      <c r="BE410" s="74">
        <v>18</v>
      </c>
      <c r="BF410" s="61">
        <f>IF(ISERROR((BE410/AW410-1)*100),"NA",IF(((BE410/AW410-1)*100)&gt;100,"NM",IF(((BE410/AW410-1)*100)&lt;-50,"NM",(BE410/AW410-1)*100)))</f>
        <v>1.1235955056179803</v>
      </c>
      <c r="BG410" s="74">
        <v>19.3</v>
      </c>
      <c r="BH410" s="61">
        <f>IF(ISERROR((BG410/AY410-1)*100),"NA",IF(((BG410/AY410-1)*100)&gt;100,"NM",IF(((BG410/AY410-1)*100)&lt;-50,"NM",(BG410/AY410-1)*100)))</f>
        <v>13.529411764705879</v>
      </c>
      <c r="BI410" s="74">
        <v>19.399999999999999</v>
      </c>
      <c r="BJ410" s="61">
        <f>IF(ISERROR((BI410/BA410-1)*100),"NA",IF(((BI410/BA410-1)*100)&gt;100,"NM",IF(((BI410/BA410-1)*100)&lt;-50,"NM",(BI410/BA410-1)*100)))</f>
        <v>8.9887640449437978</v>
      </c>
      <c r="BK410" s="74">
        <v>20.9</v>
      </c>
      <c r="BL410" s="61">
        <f>IF(ISERROR((BK410/BC410-1)*100),"NA",IF(((BK410/BC410-1)*100)&gt;100,"NM",IF(((BK410/BC410-1)*100)&lt;-50,"NM",(BK410/BC410-1)*100)))</f>
        <v>12.365591397849451</v>
      </c>
      <c r="BM410" s="74">
        <v>21.5</v>
      </c>
      <c r="BN410" s="61">
        <f>IF(ISERROR((BM410/BE410-1)*100),"NA",IF(((BM410/BE410-1)*100)&gt;100,"NM",IF(((BM410/BE410-1)*100)&lt;-50,"NM",(BM410/BE410-1)*100)))</f>
        <v>19.444444444444443</v>
      </c>
      <c r="BO410" s="74">
        <f>20.3+0.1</f>
        <v>20.400000000000002</v>
      </c>
      <c r="BP410" s="61">
        <f>IF(ISERROR((BO410/BG410-1)*100),"NA",IF(((BO410/BG410-1)*100)&gt;100,"NM",IF(((BO410/BG410-1)*100)&lt;-50,"NM",(BO410/BG410-1)*100)))</f>
        <v>5.6994818652849721</v>
      </c>
      <c r="BQ410" s="74">
        <v>19.8</v>
      </c>
      <c r="BR410" s="61">
        <f>IF(ISERROR((BQ410/BI410-1)*100),"NA",IF(((BQ410/BI410-1)*100)&gt;100,"NM",IF(((BQ410/BI410-1)*100)&lt;-50,"NM",(BQ410/BI410-1)*100)))</f>
        <v>2.0618556701031077</v>
      </c>
      <c r="BS410" s="74">
        <v>21.1</v>
      </c>
      <c r="BT410" s="61">
        <f>IF(ISERROR((BS410/BK410-1)*100),"NA",IF(((BS410/BK410-1)*100)&gt;100,"NM",IF(((BS410/BK410-1)*100)&lt;-50,"NM",(BS410/BK410-1)*100)))</f>
        <v>0.95693779904306719</v>
      </c>
      <c r="BU410" s="74">
        <v>16.8</v>
      </c>
      <c r="BV410" s="61">
        <f>IF(ISERROR((BU410/BM410-1)*100),"NA",IF(((BU410/BM410-1)*100)&gt;100,"NM",IF(((BU410/BM410-1)*100)&lt;-50,"NM",(BU410/BM410-1)*100)))</f>
        <v>-21.86046511627907</v>
      </c>
      <c r="BW410" s="74">
        <v>13.4</v>
      </c>
      <c r="BX410" s="61">
        <f>IF(ISERROR((BW410/BO410-1)*100),"NA",IF(((BW410/BO410-1)*100)&gt;100,"NM",IF(((BW410/BO410-1)*100)&lt;-50,"NM",(BW410/BO410-1)*100)))</f>
        <v>-34.313725490196077</v>
      </c>
      <c r="BY410" s="74"/>
      <c r="BZ410" s="61"/>
      <c r="CA410" s="74"/>
      <c r="CB410" s="61"/>
      <c r="CC410" s="74"/>
      <c r="CD410" s="61"/>
      <c r="CE410" s="74"/>
      <c r="CF410" s="61"/>
      <c r="CG410" s="74"/>
      <c r="CH410" s="61"/>
      <c r="CI410" s="74"/>
      <c r="CJ410" s="61"/>
      <c r="CK410" s="74"/>
      <c r="CL410" s="61"/>
      <c r="CM410" s="74"/>
      <c r="CN410" s="61"/>
      <c r="CO410" s="74"/>
      <c r="CP410" s="61"/>
      <c r="CQ410" s="74"/>
      <c r="CR410" s="61"/>
      <c r="CS410" s="74"/>
      <c r="CT410" s="61"/>
      <c r="CU410" s="74"/>
      <c r="CV410" s="61"/>
      <c r="CW410" s="74"/>
      <c r="CX410" s="61"/>
      <c r="CY410" s="74"/>
      <c r="CZ410" s="61"/>
      <c r="DA410" s="74"/>
      <c r="DB410" s="61"/>
      <c r="DC410" s="74"/>
      <c r="DD410" s="61"/>
      <c r="DE410" s="74"/>
      <c r="DF410" s="61"/>
      <c r="DG410" s="74"/>
      <c r="DH410" s="61"/>
      <c r="DI410" s="74"/>
      <c r="DJ410" s="61"/>
      <c r="DK410" s="74"/>
      <c r="DL410" s="61"/>
      <c r="DM410" s="74"/>
      <c r="DN410" s="61"/>
      <c r="DO410" s="74"/>
      <c r="DP410" s="61"/>
      <c r="DQ410" s="74"/>
      <c r="DR410" s="61"/>
      <c r="DS410" s="74"/>
      <c r="DT410" s="61"/>
      <c r="DU410" s="74"/>
      <c r="DV410" s="61"/>
      <c r="DW410" s="74"/>
      <c r="DX410" s="74"/>
      <c r="DY410" s="74"/>
      <c r="DZ410" s="61"/>
      <c r="EA410" s="74"/>
      <c r="EB410" s="61"/>
      <c r="EC410" s="74"/>
      <c r="ED410" s="61"/>
      <c r="EE410" s="74"/>
      <c r="EF410" s="61"/>
      <c r="EG410" s="74"/>
      <c r="EH410" s="61"/>
      <c r="EI410" s="74"/>
      <c r="EJ410" s="61"/>
      <c r="EK410" s="74"/>
      <c r="EL410" s="61"/>
      <c r="EM410" s="74"/>
      <c r="EN410" s="61"/>
      <c r="EO410" s="74"/>
      <c r="EP410" s="61"/>
      <c r="EQ410" s="75"/>
      <c r="ER410" s="61"/>
      <c r="ES410" s="75"/>
      <c r="ET410" s="61"/>
      <c r="EU410" s="75"/>
      <c r="EV410" s="61"/>
      <c r="EW410" s="75"/>
      <c r="EX410" s="61"/>
      <c r="EY410" s="74"/>
      <c r="EZ410" s="558"/>
      <c r="FA410" s="74"/>
      <c r="FB410" s="72">
        <v>87.929948959200019</v>
      </c>
      <c r="FC410" s="91"/>
      <c r="FD410" s="72">
        <v>75.25</v>
      </c>
      <c r="FE410" s="126">
        <f>IF(ISERROR((FD410/FB410-1)*100),"NA",IF(((FD410/FB410-1)*100)&gt;100,"NM",IF(((FD410/FB410-1)*100)&lt;-50,"NM",(FD410/FB410-1)*100)))</f>
        <v>-14.420512134134844</v>
      </c>
      <c r="FF410" s="69">
        <f>C410+E410+G410+I410</f>
        <v>70.2</v>
      </c>
      <c r="FG410" s="126">
        <f>IF(ISERROR((FF410/FD410-1)*100),"NA",IF(((FF410/FD410-1)*100)&gt;100,"NM",IF(((FF410/FD410-1)*100)&lt;-50,"NM",(FF410/FD410-1)*100)))</f>
        <v>-6.710963455149499</v>
      </c>
      <c r="FH410" s="73">
        <f>K410+M410+O410+Q410</f>
        <v>64.8</v>
      </c>
      <c r="FI410" s="126">
        <f>IF(ISERROR((FH410/FF410-1)*100),"NA",IF(((FH410/FF410-1)*100)&gt;100,"NM",IF(((FH410/FF410-1)*100)&lt;-50,"NM",(FH410/FF410-1)*100)))</f>
        <v>-7.6923076923076987</v>
      </c>
      <c r="FJ410" s="73">
        <f>S410+U410+W410+Y410</f>
        <v>62.2</v>
      </c>
      <c r="FK410" s="126">
        <f>IF(ISERROR((FJ410/FH410-1)*100),"NA",IF(((FJ410/FH410-1)*100)&gt;100,"NM",IF(((FJ410/FH410-1)*100)&lt;-50,"NM",(FJ410/FH410-1)*100)))</f>
        <v>-4.0123456790123413</v>
      </c>
      <c r="FL410" s="69">
        <f>AA410+AC410+AE410+AG410</f>
        <v>64.099999999999994</v>
      </c>
      <c r="FM410" s="126">
        <f>IF(ISERROR((FL410/FJ410-1)*100),"NA",IF(((FL410/FJ410-1)*100)&gt;100,"NM",IF(((FL410/FJ410-1)*100)&lt;-50,"NM",(FL410/FJ410-1)*100)))</f>
        <v>3.0546623794212024</v>
      </c>
      <c r="FN410" s="69">
        <f>AI410+AK410+AM410+AO410</f>
        <v>75.7</v>
      </c>
      <c r="FO410" s="126">
        <f>IF(ISERROR((FN410/FL410-1)*100),"NA",IF(((FN410/FL410-1)*100)&gt;100,"NM",IF(((FN410/FL410-1)*100)&lt;-50,"NM",(FN410/FL410-1)*100)))</f>
        <v>18.096723868954779</v>
      </c>
      <c r="FP410" s="75">
        <f>AQ410+AS410+AU410+AW410</f>
        <v>78.600000000000009</v>
      </c>
      <c r="FQ410" s="61">
        <f>IF(ISERROR((FP410/FN410-1)*100),"NA",IF(((FP410/FN410-1)*100)&gt;100,"NM",IF(((FP410/FN410-1)*100)&lt;-50,"NM",(FP410/FN410-1)*100)))</f>
        <v>3.8309114927344901</v>
      </c>
      <c r="FR410" s="75">
        <f>AY410+BA410+BC410+BE410</f>
        <v>71.400000000000006</v>
      </c>
      <c r="FS410" s="61">
        <f>IF(ISERROR((FR410/FP410-1)*100),"NA",IF(((FR410/FP410-1)*100)&gt;100,"NM",IF(((FR410/FP410-1)*100)&lt;-50,"NM",(FR410/FP410-1)*100)))</f>
        <v>-9.160305343511455</v>
      </c>
      <c r="FT410" s="75">
        <f>BG410+BI410+BK410+BM410</f>
        <v>81.099999999999994</v>
      </c>
      <c r="FU410" s="61">
        <f>IF(ISERROR((FT410/FR410-1)*100),"NA",IF(((FT410/FR410-1)*100)&gt;100,"NM",IF(((FT410/FR410-1)*100)&lt;-50,"NM",(FT410/FR410-1)*100)))</f>
        <v>13.585434173669441</v>
      </c>
      <c r="FV410" s="75">
        <f>BO410+BQ410+BS410+BU410</f>
        <v>78.100000000000009</v>
      </c>
      <c r="FW410" s="61">
        <f>IF(ISERROR((FV410/FT410-1)*100),"NA",IF(((FV410/FT410-1)*100)&gt;100,"NM",IF(((FV410/FT410-1)*100)&lt;-50,"NM",(FV410/FT410-1)*100)))</f>
        <v>-3.6991368680641012</v>
      </c>
      <c r="FX410" s="73"/>
      <c r="FY410" s="61"/>
      <c r="FZ410" s="73"/>
      <c r="GA410" s="61"/>
      <c r="GB410" s="73"/>
      <c r="GC410" s="61"/>
      <c r="GD410" s="73"/>
      <c r="GE410" s="61"/>
      <c r="GF410" s="73"/>
      <c r="GG410" s="61"/>
      <c r="GH410" s="73"/>
      <c r="GI410" s="61"/>
      <c r="GJ410" s="73"/>
      <c r="GK410" s="61"/>
      <c r="GL410" s="73"/>
      <c r="GM410" s="61"/>
      <c r="GN410" s="73"/>
      <c r="GO410" s="61"/>
      <c r="GP410" s="73"/>
      <c r="GQ410" s="61"/>
      <c r="GR410" s="75"/>
      <c r="GS410" s="61"/>
      <c r="GT410" s="75"/>
      <c r="GU410" s="61"/>
      <c r="GV410" s="75"/>
      <c r="GW410" s="61"/>
      <c r="GX410" s="75"/>
      <c r="GY410" s="61"/>
      <c r="GZ410" s="61" t="str">
        <f t="shared" si="2316"/>
        <v/>
      </c>
      <c r="HA410" s="61"/>
      <c r="HB410" s="452"/>
      <c r="HC410"/>
      <c r="HD410"/>
      <c r="HE410"/>
      <c r="HF410"/>
      <c r="HG410"/>
      <c r="HH410"/>
    </row>
    <row r="411" spans="1:216" s="5" customFormat="1" ht="12.75" hidden="1" customHeight="1" outlineLevel="1" x14ac:dyDescent="0.2">
      <c r="B411" s="2" t="s">
        <v>563</v>
      </c>
      <c r="C411" s="72"/>
      <c r="D411" s="70"/>
      <c r="E411" s="72"/>
      <c r="F411" s="71"/>
      <c r="G411" s="74"/>
      <c r="H411" s="71"/>
      <c r="I411" s="74"/>
      <c r="J411" s="61"/>
      <c r="K411" s="75">
        <f>+K410/K408*100</f>
        <v>139.84374999999997</v>
      </c>
      <c r="L411" s="61" t="str">
        <f>IF(ISERROR((K411/C411-1)*100),"NA",IF(((K411/C411-1)*100)&gt;100,"NM",IF(((K411/C411-1)*100)&lt;-50,"NM",(K411/C411-1)*100)))</f>
        <v>NA</v>
      </c>
      <c r="M411" s="75">
        <f>+M410/M408*100</f>
        <v>176.04166666666666</v>
      </c>
      <c r="N411" s="61" t="str">
        <f>IF(ISERROR((M411/E411-1)*100),"NA",IF(((M411/E411-1)*100)&gt;100,"NM",IF(((M411/E411-1)*100)&lt;-50,"NM",(M411/E411-1)*100)))</f>
        <v>NA</v>
      </c>
      <c r="O411" s="75">
        <f>+O410/O408*100</f>
        <v>125.42372881355932</v>
      </c>
      <c r="P411" s="61" t="str">
        <f>IF(ISERROR((O411/G411-1)*100),"NA",IF(((O411/G411-1)*100)&gt;100,"NM",IF(((O411/G411-1)*100)&lt;-50,"NM",(O411/G411-1)*100)))</f>
        <v>NA</v>
      </c>
      <c r="Q411" s="75">
        <f>+Q410/Q408*100</f>
        <v>127.73109243697478</v>
      </c>
      <c r="R411" s="61" t="str">
        <f>IF(ISERROR((Q411/I411-1)*100),"NA",IF(((Q411/I411-1)*100)&gt;100,"NM",IF(((Q411/I411-1)*100)&lt;-50,"NM",(Q411/I411-1)*100)))</f>
        <v>NA</v>
      </c>
      <c r="S411" s="75">
        <f>+S410/S408*100</f>
        <v>121.48760330578511</v>
      </c>
      <c r="T411" s="61">
        <f>IF(ISERROR((S411/K411-1)*100),"NA",IF(((S411/K411-1)*100)&gt;100,"NM",IF(((S411/K411-1)*100)&lt;-50,"NM",(S411/K411-1)*100)))</f>
        <v>-13.126183110946943</v>
      </c>
      <c r="U411" s="75">
        <f>+U410/U408*100</f>
        <v>126.44628099173553</v>
      </c>
      <c r="V411" s="61">
        <f>IF(ISERROR((U411/M411-1)*100),"NA",IF(((U411/M411-1)*100)&gt;100,"NM",IF(((U411/M411-1)*100)&lt;-50,"NM",(U411/M411-1)*100)))</f>
        <v>-28.172526773925377</v>
      </c>
      <c r="W411" s="75">
        <f>+W410/W408*100</f>
        <v>125.80645161290323</v>
      </c>
      <c r="X411" s="61">
        <f>IF(ISERROR((W411/O411-1)*100),"NA",IF(((W411/O411-1)*100)&gt;100,"NM",IF(((W411/O411-1)*100)&lt;-50,"NM",(W411/O411-1)*100)))</f>
        <v>0.30514385353095363</v>
      </c>
      <c r="Y411" s="75">
        <f>+Y410/Y408*100</f>
        <v>116.90140845070425</v>
      </c>
      <c r="Z411" s="61">
        <f>IF(ISERROR((Y411/Q411-1)*100),"NA",IF(((Y411/Q411-1)*100)&gt;100,"NM",IF(((Y411/Q411-1)*100)&lt;-50,"NM",(Y411/Q411-1)*100)))</f>
        <v>-8.4785025945144259</v>
      </c>
      <c r="AA411" s="75">
        <f>+AA410/AA408*100</f>
        <v>119.68503937007875</v>
      </c>
      <c r="AB411" s="61">
        <f>IF(ISERROR((AA411/S411-1)*100),"NA",IF(((AA411/S411-1)*100)&gt;100,"NM",IF(((AA411/S411-1)*100)&lt;-50,"NM",(AA411/S411-1)*100)))</f>
        <v>-1.4837431035406135</v>
      </c>
      <c r="AC411" s="75">
        <f>+AC410/AC408*100</f>
        <v>121.01449275362317</v>
      </c>
      <c r="AD411" s="61">
        <f>IF(ISERROR((AC411/U411-1)*100),"NA",IF(((AC411/U411-1)*100)&gt;100,"NM",IF(((AC411/U411-1)*100)&lt;-50,"NM",(AC411/U411-1)*100)))</f>
        <v>-4.2957279530169696</v>
      </c>
      <c r="AE411" s="75">
        <f>+AE410/AE408*100</f>
        <v>96.969696969696969</v>
      </c>
      <c r="AF411" s="61">
        <f>IF(ISERROR((AE411/W411-1)*100),"NA",IF(((AE411/W411-1)*100)&gt;100,"NM",IF(((AE411/W411-1)*100)&lt;-50,"NM",(AE411/W411-1)*100)))</f>
        <v>-22.921522921522929</v>
      </c>
      <c r="AG411" s="75">
        <f>+AG410/AG408*100</f>
        <v>83.937823834196891</v>
      </c>
      <c r="AH411" s="61">
        <f>IF(ISERROR((AG411/Y411-1)*100),"NA",IF(((AG411/Y411-1)*100)&gt;100,"NM",IF(((AG411/Y411-1)*100)&lt;-50,"NM",(AG411/Y411-1)*100)))</f>
        <v>-28.197765153879782</v>
      </c>
      <c r="AI411" s="75">
        <f>+AI410/AI408*100</f>
        <v>102.20994475138122</v>
      </c>
      <c r="AJ411" s="61">
        <f>IF(ISERROR((AI411/AA411-1)*100),"NA",IF(((AI411/AA411-1)*100)&gt;100,"NM",IF(((AI411/AA411-1)*100)&lt;-50,"NM",(AI411/AA411-1)*100)))</f>
        <v>-14.600901424832813</v>
      </c>
      <c r="AK411" s="75">
        <f>+AK410/AK408*100</f>
        <v>93.367346938775512</v>
      </c>
      <c r="AL411" s="61">
        <f>IF(ISERROR((AK411/AC411-1)*100),"NA",IF(((AK411/AC411-1)*100)&gt;100,"NM",IF(((AK411/AC411-1)*100)&lt;-50,"NM",(AK411/AC411-1)*100)))</f>
        <v>-22.846144445802263</v>
      </c>
      <c r="AM411" s="75">
        <f>+AM410/AM408*100</f>
        <v>105.64971751412429</v>
      </c>
      <c r="AN411" s="61">
        <f>IF(ISERROR((AM411/AE411-1)*100),"NA",IF(((AM411/AE411-1)*100)&gt;100,"NM",IF(((AM411/AE411-1)*100)&lt;-50,"NM",(AM411/AE411-1)*100)))</f>
        <v>8.9512711864406782</v>
      </c>
      <c r="AO411" s="75">
        <f>+AO410/AO408*100</f>
        <v>135.57046979865771</v>
      </c>
      <c r="AP411" s="61">
        <f>IF(ISERROR((AO411/AG411-1)*100),"NA",IF(((AO411/AG411-1)*100)&gt;100,"NM",IF(((AO411/AG411-1)*100)&lt;-50,"NM",(AO411/AG411-1)*100)))</f>
        <v>61.512967105808272</v>
      </c>
      <c r="AQ411" s="75">
        <f>+AQ410/AQ408*100</f>
        <v>139.3273850377488</v>
      </c>
      <c r="AR411" s="61">
        <f>IF(ISERROR((AQ411/AI411-1)*100),"NA",IF(((AQ411/AI411-1)*100)&gt;100,"NM",IF(((AQ411/AI411-1)*100)&lt;-50,"NM",(AQ411/AI411-1)*100)))</f>
        <v>36.314901036932604</v>
      </c>
      <c r="AS411" s="75">
        <f>+AS410/AS408*100</f>
        <v>119.51219512195124</v>
      </c>
      <c r="AT411" s="61">
        <f>IF(ISERROR((AS411/AK411-1)*100),"NA",IF(((AS411/AK411-1)*100)&gt;100,"NM",IF(((AS411/AK411-1)*100)&lt;-50,"NM",(AS411/AK411-1)*100)))</f>
        <v>28.002132480341203</v>
      </c>
      <c r="AU411" s="75">
        <f>+AU410/AU408*100</f>
        <v>123.66863905325445</v>
      </c>
      <c r="AV411" s="61">
        <f>IF(ISERROR((AU411/AM411-1)*100),"NA",IF(((AU411/AM411-1)*100)&gt;100,"NM",IF(((AU411/AM411-1)*100)&lt;-50,"NM",(AU411/AM411-1)*100)))</f>
        <v>17.055342847198073</v>
      </c>
      <c r="AW411" s="75">
        <f>+AW410/AW408*100</f>
        <v>115.58441558441559</v>
      </c>
      <c r="AX411" s="61">
        <f>IF(ISERROR((AW411/AO411-1)*100),"NA",IF(((AW411/AO411-1)*100)&gt;100,"NM",IF(((AW411/AO411-1)*100)&lt;-50,"NM",(AW411/AO411-1)*100)))</f>
        <v>-14.742188504564735</v>
      </c>
      <c r="AY411" s="75">
        <f>+AY410/AY408*100</f>
        <v>102.40963855421685</v>
      </c>
      <c r="AZ411" s="61">
        <f>IF(ISERROR((AY411/AQ411-1)*100),"NA",IF(((AY411/AQ411-1)*100)&gt;100,"NM",IF(((AY411/AQ411-1)*100)&lt;-50,"NM",(AY411/AQ411-1)*100)))</f>
        <v>-26.497121490889675</v>
      </c>
      <c r="BA411" s="75">
        <f>+BA410/BA408*100</f>
        <v>89.447236180904525</v>
      </c>
      <c r="BB411" s="61">
        <f>IF(ISERROR((BA411/AS411-1)*100),"NA",IF(((BA411/AS411-1)*100)&gt;100,"NM",IF(((BA411/AS411-1)*100)&lt;-50,"NM",(BA411/AS411-1)*100)))</f>
        <v>-25.156394215977862</v>
      </c>
      <c r="BC411" s="75">
        <f>+BC410/BC408*100</f>
        <v>88.151658767772517</v>
      </c>
      <c r="BD411" s="61">
        <f>IF(ISERROR((BC411/AU411-1)*100),"NA",IF(((BC411/AU411-1)*100)&gt;100,"NM",IF(((BC411/AU411-1)*100)&lt;-50,"NM",(BC411/AU411-1)*100)))</f>
        <v>-28.719472096872945</v>
      </c>
      <c r="BE411" s="75">
        <f>+BE410/BE408*100</f>
        <v>85.714285714285708</v>
      </c>
      <c r="BF411" s="61">
        <f>IF(ISERROR((BE411/AW411-1)*100),"NA",IF(((BE411/AW411-1)*100)&gt;100,"NM",IF(((BE411/AW411-1)*100)&lt;-50,"NM",(BE411/AW411-1)*100)))</f>
        <v>-25.842696629213492</v>
      </c>
      <c r="BG411" s="75">
        <f>+BG410/BG408*100</f>
        <v>79.752066115702476</v>
      </c>
      <c r="BH411" s="61">
        <f>IF(ISERROR((BG411/AY411-1)*100),"NA",IF(((BG411/AY411-1)*100)&gt;100,"NM",IF(((BG411/AY411-1)*100)&lt;-50,"NM",(BG411/AY411-1)*100)))</f>
        <v>-22.124453087019923</v>
      </c>
      <c r="BI411" s="75">
        <f>+BI410/BI408*100</f>
        <v>79.835390946502045</v>
      </c>
      <c r="BJ411" s="61">
        <f>IF(ISERROR((BI411/BA411-1)*100),"NA",IF(((BI411/BA411-1)*100)&gt;100,"NM",IF(((BI411/BA411-1)*100)&lt;-50,"NM",(BI411/BA411-1)*100)))</f>
        <v>-10.745826975539853</v>
      </c>
      <c r="BK411" s="75">
        <f>+BK410/BK408*100</f>
        <v>81.640624999999986</v>
      </c>
      <c r="BL411" s="61">
        <f>IF(ISERROR((BK411/BC411-1)*100),"NA",IF(((BK411/BC411-1)*100)&gt;100,"NM",IF(((BK411/BC411-1)*100)&lt;-50,"NM",(BK411/BC411-1)*100)))</f>
        <v>-7.3861727150537853</v>
      </c>
      <c r="BM411" s="75">
        <f>+BM410/BM408*100</f>
        <v>101.41509433962264</v>
      </c>
      <c r="BN411" s="61">
        <f>IF(ISERROR((BM411/BE411-1)*100),"NA",IF(((BM411/BE411-1)*100)&gt;100,"NM",IF(((BM411/BE411-1)*100)&lt;-50,"NM",(BM411/BE411-1)*100)))</f>
        <v>18.317610062893095</v>
      </c>
      <c r="BO411" s="75">
        <f>+BO410/BO408*100</f>
        <v>106.80628272251309</v>
      </c>
      <c r="BP411" s="61">
        <f>IF(ISERROR((BO411/BG411-1)*100),"NA",IF(((BO411/BG411-1)*100)&gt;100,"NM",IF(((BO411/BG411-1)*100)&lt;-50,"NM",(BO411/BG411-1)*100)))</f>
        <v>33.922903724601916</v>
      </c>
      <c r="BQ411" s="75">
        <f>+BQ410/BQ408*100</f>
        <v>75.000000000000014</v>
      </c>
      <c r="BR411" s="61">
        <f>IF(ISERROR((BQ411/BI411-1)*100),"NA",IF(((BQ411/BI411-1)*100)&gt;100,"NM",IF(((BQ411/BI411-1)*100)&lt;-50,"NM",(BQ411/BI411-1)*100)))</f>
        <v>-6.0567010309278029</v>
      </c>
      <c r="BS411" s="75">
        <f>+BS410/BS408*100</f>
        <v>111.64021164021165</v>
      </c>
      <c r="BT411" s="61">
        <f>IF(ISERROR((BS411/BK411-1)*100),"NA",IF(((BS411/BK411-1)*100)&gt;100,"NM",IF(((BS411/BK411-1)*100)&lt;-50,"NM",(BS411/BK411-1)*100)))</f>
        <v>36.74590516695784</v>
      </c>
      <c r="BU411" s="75">
        <f>+BU410/BU408*100</f>
        <v>120</v>
      </c>
      <c r="BV411" s="61">
        <f>IF(ISERROR((BU411/BM411-1)*100),"NA",IF(((BU411/BM411-1)*100)&gt;100,"NM",IF(((BU411/BM411-1)*100)&lt;-50,"NM",(BU411/BM411-1)*100)))</f>
        <v>18.325581395348834</v>
      </c>
      <c r="BW411" s="75">
        <f>+BW410/BW408*100</f>
        <v>130.09708737864077</v>
      </c>
      <c r="BX411" s="61">
        <f>IF(ISERROR((BW411/BO411-1)*100),"NA",IF(((BW411/BO411-1)*100)&gt;100,"NM",IF(((BW411/BO411-1)*100)&lt;-50,"NM",(BW411/BO411-1)*100)))</f>
        <v>21.806586712354825</v>
      </c>
      <c r="BY411" s="75"/>
      <c r="BZ411" s="61"/>
      <c r="CA411" s="75"/>
      <c r="CB411" s="61"/>
      <c r="CC411" s="75"/>
      <c r="CD411" s="61"/>
      <c r="CE411" s="75"/>
      <c r="CF411" s="61"/>
      <c r="CG411" s="75"/>
      <c r="CH411" s="61"/>
      <c r="CI411" s="75"/>
      <c r="CJ411" s="61"/>
      <c r="CK411" s="75"/>
      <c r="CL411" s="61"/>
      <c r="CM411" s="75"/>
      <c r="CN411" s="61"/>
      <c r="CO411" s="75"/>
      <c r="CP411" s="61"/>
      <c r="CQ411" s="75"/>
      <c r="CR411" s="61"/>
      <c r="CS411" s="75"/>
      <c r="CT411" s="61"/>
      <c r="CU411" s="75"/>
      <c r="CV411" s="61"/>
      <c r="CW411" s="75"/>
      <c r="CX411" s="61"/>
      <c r="CY411" s="75"/>
      <c r="CZ411" s="61"/>
      <c r="DA411" s="75"/>
      <c r="DB411" s="61"/>
      <c r="DC411" s="75"/>
      <c r="DD411" s="61"/>
      <c r="DE411" s="75"/>
      <c r="DF411" s="61"/>
      <c r="DG411" s="75"/>
      <c r="DH411" s="61"/>
      <c r="DI411" s="75"/>
      <c r="DJ411" s="61"/>
      <c r="DK411" s="75"/>
      <c r="DL411" s="61"/>
      <c r="DM411" s="75"/>
      <c r="DN411" s="61"/>
      <c r="DO411" s="75"/>
      <c r="DP411" s="61"/>
      <c r="DQ411" s="75"/>
      <c r="DR411" s="61"/>
      <c r="DS411" s="75"/>
      <c r="DT411" s="61"/>
      <c r="DU411" s="75"/>
      <c r="DV411" s="61"/>
      <c r="DW411" s="75"/>
      <c r="DX411" s="75"/>
      <c r="DY411" s="75"/>
      <c r="DZ411" s="61"/>
      <c r="EA411" s="75"/>
      <c r="EB411" s="61"/>
      <c r="EC411" s="75"/>
      <c r="ED411" s="61"/>
      <c r="EE411" s="75"/>
      <c r="EF411" s="61"/>
      <c r="EG411" s="75"/>
      <c r="EH411" s="61"/>
      <c r="EI411" s="75"/>
      <c r="EJ411" s="61"/>
      <c r="EK411" s="75"/>
      <c r="EL411" s="61"/>
      <c r="EM411" s="75"/>
      <c r="EN411" s="61"/>
      <c r="EO411" s="75"/>
      <c r="EP411" s="61"/>
      <c r="EQ411" s="74"/>
      <c r="ER411" s="61"/>
      <c r="ES411" s="74"/>
      <c r="ET411" s="61"/>
      <c r="EU411" s="74"/>
      <c r="EV411" s="61"/>
      <c r="EW411" s="74"/>
      <c r="EX411" s="61"/>
      <c r="EY411" s="64"/>
      <c r="EZ411" s="558"/>
      <c r="FA411" s="64"/>
      <c r="FB411" s="72"/>
      <c r="FC411" s="71"/>
      <c r="FD411" s="72"/>
      <c r="FE411" s="70"/>
      <c r="FF411" s="69"/>
      <c r="FG411" s="70"/>
      <c r="FH411" s="75">
        <f>+FH410/FH408*100</f>
        <v>140.56399132321042</v>
      </c>
      <c r="FI411" s="70" t="str">
        <f>IF(ISERROR((FH411/FF411-1)*100),"NA",IF(((FH411/FF411-1)*100)&gt;100,"NM",IF(((FH411/FF411-1)*100)&lt;-50,"NM",(FH411/FF411-1)*100)))</f>
        <v>NA</v>
      </c>
      <c r="FJ411" s="75">
        <f>+FJ410/FJ408*100</f>
        <v>122.44094488188976</v>
      </c>
      <c r="FK411" s="70">
        <f>IF(ISERROR((FJ411/FH411-1)*100),"NA",IF(((FJ411/FH411-1)*100)&gt;100,"NM",IF(((FJ411/FH411-1)*100)&lt;-50,"NM",(FJ411/FH411-1)*100)))</f>
        <v>-12.893093224458053</v>
      </c>
      <c r="FL411" s="75">
        <f>+FL410/FL408*100</f>
        <v>102.8892455858748</v>
      </c>
      <c r="FM411" s="61"/>
      <c r="FN411" s="75">
        <f>+FN410/FN408*100</f>
        <v>107.68136557610239</v>
      </c>
      <c r="FO411" s="61">
        <f>IF(ISERROR((FN411/FL411-1)*100),"NA",IF(((FN411/FL411-1)*100)&gt;100,"NM",IF(((FN411/FL411-1)*100)&lt;-50,"NM",(FN411/FL411-1)*100)))</f>
        <v>4.6575518781775127</v>
      </c>
      <c r="FP411" s="75">
        <f>+FP410/FP408*100</f>
        <v>124.2294926505453</v>
      </c>
      <c r="FQ411" s="61">
        <f>IF(ISERROR((FP411/FN411-1)*100),"NA",IF(((FP411/FN411-1)*100)&gt;100,"NM",IF(((FP411/FN411-1)*100)&lt;-50,"NM",(FP411/FN411-1)*100)))</f>
        <v>15.367679436371674</v>
      </c>
      <c r="FR411" s="75">
        <f>+FR410/FR408*100</f>
        <v>90.839694656488561</v>
      </c>
      <c r="FS411" s="61">
        <f>IF(ISERROR((FR411/FP411-1)*100),"NA",IF(((FR411/FP411-1)*100)&gt;100,"NM",IF(((FR411/FP411-1)*100)&lt;-50,"NM",(FR411/FP411-1)*100)))</f>
        <v>-26.877512965444904</v>
      </c>
      <c r="FT411" s="75">
        <f>+FT410/FT408*100</f>
        <v>85.099685204616989</v>
      </c>
      <c r="FU411" s="61">
        <f>IF(ISERROR((FT411/FR411-1)*100),"NA",IF(((FT411/FR411-1)*100)&gt;100,"NM",IF(((FT411/FR411-1)*100)&lt;-50,"NM",(FT411/FR411-1)*100)))</f>
        <v>-6.3188339344132372</v>
      </c>
      <c r="FV411" s="75">
        <f>+FV410/FV408*100</f>
        <v>99.617346938775512</v>
      </c>
      <c r="FW411" s="61">
        <f>IF(ISERROR((FV411/FT411-1)*100),"NA",IF(((FV411/FT411-1)*100)&gt;100,"NM",IF(((FV411/FT411-1)*100)&lt;-50,"NM",(FV411/FT411-1)*100)))</f>
        <v>17.059595108080238</v>
      </c>
      <c r="FX411" s="75"/>
      <c r="FY411" s="61"/>
      <c r="FZ411" s="75"/>
      <c r="GA411" s="61"/>
      <c r="GB411" s="75"/>
      <c r="GC411" s="61"/>
      <c r="GD411" s="75"/>
      <c r="GE411" s="61"/>
      <c r="GF411" s="75"/>
      <c r="GG411" s="61"/>
      <c r="GH411" s="75"/>
      <c r="GI411" s="61"/>
      <c r="GJ411" s="75"/>
      <c r="GK411" s="61"/>
      <c r="GL411" s="75"/>
      <c r="GM411" s="61"/>
      <c r="GN411" s="75"/>
      <c r="GO411" s="61"/>
      <c r="GP411" s="75"/>
      <c r="GQ411" s="61"/>
      <c r="GR411" s="74"/>
      <c r="GS411" s="61"/>
      <c r="GT411" s="74"/>
      <c r="GU411" s="61"/>
      <c r="GV411" s="74"/>
      <c r="GW411" s="61"/>
      <c r="GX411" s="74"/>
      <c r="GY411" s="61"/>
      <c r="GZ411" s="61" t="str">
        <f t="shared" si="2316"/>
        <v/>
      </c>
      <c r="HA411" s="61"/>
      <c r="HB411" s="452"/>
      <c r="HC411"/>
      <c r="HD411"/>
      <c r="HE411"/>
      <c r="HF411"/>
      <c r="HG411"/>
      <c r="HH411"/>
    </row>
    <row r="412" spans="1:216" s="5" customFormat="1" ht="12.75" hidden="1" customHeight="1" outlineLevel="1" x14ac:dyDescent="0.2">
      <c r="B412" s="68"/>
      <c r="C412" s="66"/>
      <c r="D412" s="67"/>
      <c r="E412" s="66"/>
      <c r="F412" s="66"/>
      <c r="G412" s="64"/>
      <c r="H412" s="66"/>
      <c r="I412" s="64"/>
      <c r="J412" s="66"/>
      <c r="K412" s="64"/>
      <c r="L412" s="61"/>
      <c r="M412" s="66"/>
      <c r="N412" s="61"/>
      <c r="O412" s="64"/>
      <c r="P412" s="61"/>
      <c r="Q412" s="64"/>
      <c r="R412" s="61"/>
      <c r="S412" s="64"/>
      <c r="T412" s="61"/>
      <c r="U412" s="64"/>
      <c r="V412" s="61"/>
      <c r="W412" s="64"/>
      <c r="X412" s="61"/>
      <c r="Y412" s="64"/>
      <c r="Z412" s="61"/>
      <c r="AA412" s="118"/>
      <c r="AB412" s="61"/>
      <c r="AC412" s="118"/>
      <c r="AD412" s="61"/>
      <c r="AE412" s="118"/>
      <c r="AF412" s="61"/>
      <c r="AG412" s="118"/>
      <c r="AH412" s="61"/>
      <c r="AI412" s="118"/>
      <c r="AJ412" s="61"/>
      <c r="AK412" s="118"/>
      <c r="AL412" s="61"/>
      <c r="AM412" s="118"/>
      <c r="AN412" s="61"/>
      <c r="AO412" s="74"/>
      <c r="AP412" s="61"/>
      <c r="AQ412" s="74"/>
      <c r="AR412" s="61"/>
      <c r="AS412" s="74"/>
      <c r="AT412" s="61"/>
      <c r="AU412" s="74"/>
      <c r="AV412" s="61"/>
      <c r="AW412" s="74"/>
      <c r="AX412" s="61"/>
      <c r="AY412" s="74"/>
      <c r="AZ412" s="61"/>
      <c r="BA412" s="74"/>
      <c r="BB412" s="61"/>
      <c r="BC412" s="74"/>
      <c r="BD412" s="61"/>
      <c r="BE412" s="74"/>
      <c r="BF412" s="61"/>
      <c r="BG412" s="74"/>
      <c r="BH412" s="61"/>
      <c r="BI412" s="74"/>
      <c r="BJ412" s="61"/>
      <c r="BK412" s="74"/>
      <c r="BL412" s="61"/>
      <c r="BM412" s="74"/>
      <c r="BN412" s="61"/>
      <c r="BO412" s="74"/>
      <c r="BP412" s="61"/>
      <c r="BQ412" s="74"/>
      <c r="BR412" s="61"/>
      <c r="BS412" s="74"/>
      <c r="BT412" s="61"/>
      <c r="BU412" s="74"/>
      <c r="BV412" s="61"/>
      <c r="BW412" s="74"/>
      <c r="BX412" s="61"/>
      <c r="BY412" s="74"/>
      <c r="BZ412" s="61"/>
      <c r="CA412" s="74"/>
      <c r="CB412" s="61"/>
      <c r="CC412" s="74"/>
      <c r="CD412" s="61"/>
      <c r="CE412" s="74"/>
      <c r="CF412" s="61"/>
      <c r="CG412" s="74"/>
      <c r="CH412" s="61"/>
      <c r="CI412" s="74"/>
      <c r="CJ412" s="61"/>
      <c r="CK412" s="74"/>
      <c r="CL412" s="61"/>
      <c r="CM412" s="74"/>
      <c r="CN412" s="61"/>
      <c r="CO412" s="74"/>
      <c r="CP412" s="61"/>
      <c r="CQ412" s="74"/>
      <c r="CR412" s="61"/>
      <c r="CS412" s="74"/>
      <c r="CT412" s="61"/>
      <c r="CU412" s="74"/>
      <c r="CV412" s="61"/>
      <c r="CW412" s="74"/>
      <c r="CX412" s="61"/>
      <c r="CY412" s="74"/>
      <c r="CZ412" s="61"/>
      <c r="DA412" s="74"/>
      <c r="DB412" s="61"/>
      <c r="DC412" s="74"/>
      <c r="DD412" s="61"/>
      <c r="DE412" s="74"/>
      <c r="DF412" s="61"/>
      <c r="DG412" s="74"/>
      <c r="DH412" s="61"/>
      <c r="DI412" s="74"/>
      <c r="DJ412" s="61"/>
      <c r="DK412" s="74"/>
      <c r="DL412" s="61"/>
      <c r="DM412" s="74"/>
      <c r="DN412" s="61"/>
      <c r="DO412" s="74"/>
      <c r="DP412" s="61"/>
      <c r="DQ412" s="74"/>
      <c r="DR412" s="61"/>
      <c r="DS412" s="74"/>
      <c r="DT412" s="61"/>
      <c r="DU412" s="74"/>
      <c r="DV412" s="61"/>
      <c r="DW412" s="74"/>
      <c r="DX412" s="74"/>
      <c r="DY412" s="74"/>
      <c r="DZ412" s="61"/>
      <c r="EA412" s="74"/>
      <c r="EB412" s="61"/>
      <c r="EC412" s="74"/>
      <c r="ED412" s="61"/>
      <c r="EE412" s="74"/>
      <c r="EF412" s="61"/>
      <c r="EG412" s="74"/>
      <c r="EH412" s="61"/>
      <c r="EI412" s="74"/>
      <c r="EJ412" s="61"/>
      <c r="EK412" s="74"/>
      <c r="EL412" s="61"/>
      <c r="EM412" s="74"/>
      <c r="EN412" s="61"/>
      <c r="EO412" s="74"/>
      <c r="EP412" s="61"/>
      <c r="EQ412" s="64"/>
      <c r="ER412" s="61"/>
      <c r="ES412" s="64"/>
      <c r="ET412" s="61"/>
      <c r="EU412" s="64"/>
      <c r="EV412" s="61"/>
      <c r="EW412" s="64"/>
      <c r="EX412" s="61"/>
      <c r="EY412" s="64"/>
      <c r="EZ412" s="558"/>
      <c r="FA412" s="64"/>
      <c r="FB412" s="66"/>
      <c r="FC412" s="66"/>
      <c r="FD412" s="66"/>
      <c r="FE412" s="67"/>
      <c r="FF412" s="66"/>
      <c r="FG412" s="67"/>
      <c r="FH412" s="66"/>
      <c r="FI412" s="67"/>
      <c r="FJ412" s="66"/>
      <c r="FK412" s="67"/>
      <c r="FL412" s="66"/>
      <c r="FM412" s="61"/>
      <c r="FN412" s="66"/>
      <c r="FO412" s="61"/>
      <c r="FP412" s="65"/>
      <c r="FQ412" s="61"/>
      <c r="FR412" s="65"/>
      <c r="FS412" s="61"/>
      <c r="FT412" s="65"/>
      <c r="FU412" s="61"/>
      <c r="FV412" s="65"/>
      <c r="FW412" s="61"/>
      <c r="FX412" s="65"/>
      <c r="FY412" s="61"/>
      <c r="FZ412" s="65"/>
      <c r="GA412" s="61"/>
      <c r="GB412" s="65"/>
      <c r="GC412" s="61"/>
      <c r="GD412" s="65"/>
      <c r="GE412" s="61"/>
      <c r="GF412" s="65"/>
      <c r="GG412" s="61"/>
      <c r="GH412" s="65"/>
      <c r="GI412" s="61"/>
      <c r="GJ412" s="65"/>
      <c r="GK412" s="61"/>
      <c r="GL412" s="65"/>
      <c r="GM412" s="61"/>
      <c r="GN412" s="65"/>
      <c r="GO412" s="61"/>
      <c r="GP412" s="65"/>
      <c r="GQ412" s="61"/>
      <c r="GR412" s="64"/>
      <c r="GS412" s="61"/>
      <c r="GT412" s="64"/>
      <c r="GU412" s="61"/>
      <c r="GV412" s="64"/>
      <c r="GW412" s="61"/>
      <c r="GX412" s="64"/>
      <c r="GY412" s="61"/>
      <c r="GZ412" s="61" t="str">
        <f t="shared" si="2316"/>
        <v/>
      </c>
      <c r="HA412" s="61"/>
      <c r="HB412" s="452"/>
      <c r="HC412"/>
      <c r="HD412"/>
      <c r="HE412"/>
      <c r="HF412"/>
      <c r="HG412"/>
      <c r="HH412"/>
    </row>
    <row r="413" spans="1:216" s="5" customFormat="1" ht="12.75" hidden="1" customHeight="1" outlineLevel="1" x14ac:dyDescent="0.2">
      <c r="B413" s="63" t="s">
        <v>523</v>
      </c>
      <c r="C413" s="69">
        <f>C408+C409+C410</f>
        <v>117</v>
      </c>
      <c r="D413" s="70"/>
      <c r="E413" s="69">
        <f>E408+E409+E410</f>
        <v>103.69999999999999</v>
      </c>
      <c r="F413" s="71"/>
      <c r="G413" s="69">
        <f>G408+G409+G410</f>
        <v>110.69999999999999</v>
      </c>
      <c r="H413" s="71"/>
      <c r="I413" s="69">
        <f>I408+I409+I410</f>
        <v>99.000000000000014</v>
      </c>
      <c r="J413" s="61"/>
      <c r="K413" s="69">
        <f>K408+K409+K410</f>
        <v>88.300000000000011</v>
      </c>
      <c r="L413" s="61">
        <f>IF(ISERROR((K413/C413-1)*100),"NA",IF(((K413/C413-1)*100)&gt;100,"NM",IF(((K413/C413-1)*100)&lt;-50,"NM",(K413/C413-1)*100)))</f>
        <v>-24.529914529914521</v>
      </c>
      <c r="M413" s="69">
        <f>M408+M409+M410</f>
        <v>61.4</v>
      </c>
      <c r="N413" s="61">
        <f>IF(ISERROR((M413/E413-1)*100),"NA",IF(((M413/E413-1)*100)&gt;100,"NM",IF(((M413/E413-1)*100)&lt;-50,"NM",(M413/E413-1)*100)))</f>
        <v>-40.790742526518798</v>
      </c>
      <c r="O413" s="69">
        <f>O408+O409+O410</f>
        <v>79.399999999999991</v>
      </c>
      <c r="P413" s="61">
        <f>IF(ISERROR((O413/G413-1)*100),"NA",IF(((O413/G413-1)*100)&gt;100,"NM",IF(((O413/G413-1)*100)&lt;-50,"NM",(O413/G413-1)*100)))</f>
        <v>-28.27461607949413</v>
      </c>
      <c r="Q413" s="69">
        <f>Q408+Q409+Q410</f>
        <v>49.100000000000009</v>
      </c>
      <c r="R413" s="61" t="str">
        <f>IF(ISERROR((Q413/I413-1)*100),"NA",IF(((Q413/I413-1)*100)&gt;100,"NM",IF(((Q413/I413-1)*100)&lt;-50,"NM",(Q413/I413-1)*100)))</f>
        <v>NM</v>
      </c>
      <c r="S413" s="69">
        <f>S408+S409+S410</f>
        <v>58.400000000000006</v>
      </c>
      <c r="T413" s="61">
        <f>IF(ISERROR((S413/K413-1)*100),"NA",IF(((S413/K413-1)*100)&gt;100,"NM",IF(((S413/K413-1)*100)&lt;-50,"NM",(S413/K413-1)*100)))</f>
        <v>-33.861834654586644</v>
      </c>
      <c r="U413" s="69">
        <f>U408+U409+U410-0.1</f>
        <v>75.900000000000006</v>
      </c>
      <c r="V413" s="61">
        <f>IF(ISERROR((U413/M413-1)*100),"NA",IF(((U413/M413-1)*100)&gt;100,"NM",IF(((U413/M413-1)*100)&lt;-50,"NM",(U413/M413-1)*100)))</f>
        <v>23.615635179153106</v>
      </c>
      <c r="W413" s="69">
        <f>W408+W409+W410</f>
        <v>90.6</v>
      </c>
      <c r="X413" s="61">
        <f>IF(ISERROR((W413/O413-1)*100),"NA",IF(((W413/O413-1)*100)&gt;100,"NM",IF(((W413/O413-1)*100)&lt;-50,"NM",(W413/O413-1)*100)))</f>
        <v>14.10579345088161</v>
      </c>
      <c r="Y413" s="69">
        <f>Y408+Y409+Y410</f>
        <v>50.6</v>
      </c>
      <c r="Z413" s="61">
        <f>IF(ISERROR((Y413/Q413-1)*100),"NA",IF(((Y413/Q413-1)*100)&gt;100,"NM",IF(((Y413/Q413-1)*100)&lt;-50,"NM",(Y413/Q413-1)*100)))</f>
        <v>3.054989816700604</v>
      </c>
      <c r="AA413" s="102">
        <f>AA408+AA409+AA410</f>
        <v>68.900000000000006</v>
      </c>
      <c r="AB413" s="61">
        <f>IF(ISERROR((AA413/S413-1)*100),"NA",IF(((AA413/S413-1)*100)&gt;100,"NM",IF(((AA413/S413-1)*100)&lt;-50,"NM",(AA413/S413-1)*100)))</f>
        <v>17.979452054794521</v>
      </c>
      <c r="AC413" s="102">
        <f>AC408+AC409+AC410</f>
        <v>60.300000000000011</v>
      </c>
      <c r="AD413" s="61">
        <f>IF(ISERROR((AC413/U413-1)*100),"NA",IF(((AC413/U413-1)*100)&gt;100,"NM",IF(((AC413/U413-1)*100)&lt;-50,"NM",(AC413/U413-1)*100)))</f>
        <v>-20.553359683794458</v>
      </c>
      <c r="AE413" s="102">
        <f>AE408+AE409+AE410</f>
        <v>67</v>
      </c>
      <c r="AF413" s="61">
        <f>IF(ISERROR((AE413/W413-1)*100),"NA",IF(((AE413/W413-1)*100)&gt;100,"NM",IF(((AE413/W413-1)*100)&lt;-50,"NM",(AE413/W413-1)*100)))</f>
        <v>-26.048565121412803</v>
      </c>
      <c r="AG413" s="102">
        <f>AG408+AG409+AG410</f>
        <v>78.400000000000006</v>
      </c>
      <c r="AH413" s="61">
        <f>IF(ISERROR((AG413/Y413-1)*100),"NA",IF(((AG413/Y413-1)*100)&gt;100,"NM",IF(((AG413/Y413-1)*100)&lt;-50,"NM",(AG413/Y413-1)*100)))</f>
        <v>54.940711462450608</v>
      </c>
      <c r="AI413" s="102">
        <f>AI408+AI409+AI410</f>
        <v>76.199999999999989</v>
      </c>
      <c r="AJ413" s="61">
        <f>IF(ISERROR((AI413/AA413-1)*100),"NA",IF(((AI413/AA413-1)*100)&gt;100,"NM",IF(((AI413/AA413-1)*100)&lt;-50,"NM",(AI413/AA413-1)*100)))</f>
        <v>10.595065312046415</v>
      </c>
      <c r="AK413" s="102">
        <f>AK408+AK409+AK410</f>
        <v>81</v>
      </c>
      <c r="AL413" s="61">
        <f>IF(ISERROR((AK413/AC413-1)*100),"NA",IF(((AK413/AC413-1)*100)&gt;100,"NM",IF(((AK413/AC413-1)*100)&lt;-50,"NM",(AK413/AC413-1)*100)))</f>
        <v>34.328358208955187</v>
      </c>
      <c r="AM413" s="102">
        <f>AM408+AM409+AM410</f>
        <v>95.9</v>
      </c>
      <c r="AN413" s="61">
        <f>IF(ISERROR((AM413/AE413-1)*100),"NA",IF(((AM413/AE413-1)*100)&gt;100,"NM",IF(((AM413/AE413-1)*100)&lt;-50,"NM",(AM413/AE413-1)*100)))</f>
        <v>43.134328358208961</v>
      </c>
      <c r="AO413" s="102">
        <f>AO408+AO409+AO410</f>
        <v>89.2</v>
      </c>
      <c r="AP413" s="61">
        <f>IF(ISERROR((AO413/AG413-1)*100),"NA",IF(((AO413/AG413-1)*100)&gt;100,"NM",IF(((AO413/AG413-1)*100)&lt;-50,"NM",(AO413/AG413-1)*100)))</f>
        <v>13.77551020408163</v>
      </c>
      <c r="AQ413" s="102">
        <f>AQ408+AQ409+AQ410</f>
        <v>74.570000000000007</v>
      </c>
      <c r="AR413" s="61">
        <f>IF(ISERROR((AQ413/AI413-1)*100),"NA",IF(((AQ413/AI413-1)*100)&gt;100,"NM",IF(((AQ413/AI413-1)*100)&lt;-50,"NM",(AQ413/AI413-1)*100)))</f>
        <v>-2.1391076115485297</v>
      </c>
      <c r="AS413" s="102">
        <f>AS408+AS409+AS410</f>
        <v>78.400000000000006</v>
      </c>
      <c r="AT413" s="61">
        <f>IF(ISERROR((AS413/AK413-1)*100),"NA",IF(((AS413/AK413-1)*100)&gt;100,"NM",IF(((AS413/AK413-1)*100)&lt;-50,"NM",(AS413/AK413-1)*100)))</f>
        <v>-3.2098765432098664</v>
      </c>
      <c r="AU413" s="102">
        <f>AU408+AU409+AU410</f>
        <v>102.80000000000001</v>
      </c>
      <c r="AV413" s="61">
        <f>IF(ISERROR((AU413/AM413-1)*100),"NA",IF(((AU413/AM413-1)*100)&gt;100,"NM",IF(((AU413/AM413-1)*100)&lt;-50,"NM",(AU413/AM413-1)*100)))</f>
        <v>7.1949947862356645</v>
      </c>
      <c r="AW413" s="102">
        <f>AW408+AW409+AW410</f>
        <v>62.5</v>
      </c>
      <c r="AX413" s="61">
        <f>IF(ISERROR((AW413/AO413-1)*100),"NA",IF(((AW413/AO413-1)*100)&gt;100,"NM",IF(((AW413/AO413-1)*100)&lt;-50,"NM",(AW413/AO413-1)*100)))</f>
        <v>-29.932735426008971</v>
      </c>
      <c r="AY413" s="102">
        <f>AY408+AY409+AY410</f>
        <v>69.5</v>
      </c>
      <c r="AZ413" s="61">
        <f>IF(ISERROR((AY413/AQ413-1)*100),"NA",IF(((AY413/AQ413-1)*100)&gt;100,"NM",IF(((AY413/AQ413-1)*100)&lt;-50,"NM",(AY413/AQ413-1)*100)))</f>
        <v>-6.7989808233874349</v>
      </c>
      <c r="BA413" s="102">
        <f>BA408+BA409+BA410</f>
        <v>81.3</v>
      </c>
      <c r="BB413" s="61">
        <f>IF(ISERROR((BA413/AS413-1)*100),"NA",IF(((BA413/AS413-1)*100)&gt;100,"NM",IF(((BA413/AS413-1)*100)&lt;-50,"NM",(BA413/AS413-1)*100)))</f>
        <v>3.6989795918367152</v>
      </c>
      <c r="BC413" s="102">
        <f>BC408+BC409+BC410</f>
        <v>72.3</v>
      </c>
      <c r="BD413" s="61">
        <f>IF(ISERROR((BC413/AU413-1)*100),"NA",IF(((BC413/AU413-1)*100)&gt;100,"NM",IF(((BC413/AU413-1)*100)&lt;-50,"NM",(BC413/AU413-1)*100)))</f>
        <v>-29.66926070038911</v>
      </c>
      <c r="BE413" s="102">
        <f>BE408+BE409+BE410</f>
        <v>84.8</v>
      </c>
      <c r="BF413" s="61">
        <f>IF(ISERROR((BE413/AW413-1)*100),"NA",IF(((BE413/AW413-1)*100)&gt;100,"NM",IF(((BE413/AW413-1)*100)&lt;-50,"NM",(BE413/AW413-1)*100)))</f>
        <v>35.68</v>
      </c>
      <c r="BG413" s="102">
        <f>BG408+BG409+BG410</f>
        <v>90.7</v>
      </c>
      <c r="BH413" s="61">
        <f>IF(ISERROR((BG413/AY413-1)*100),"NA",IF(((BG413/AY413-1)*100)&gt;100,"NM",IF(((BG413/AY413-1)*100)&lt;-50,"NM",(BG413/AY413-1)*100)))</f>
        <v>30.503597122302175</v>
      </c>
      <c r="BI413" s="102">
        <f>BI408+BI409+BI410</f>
        <v>92.5</v>
      </c>
      <c r="BJ413" s="61">
        <f>IF(ISERROR((BI413/BA413-1)*100),"NA",IF(((BI413/BA413-1)*100)&gt;100,"NM",IF(((BI413/BA413-1)*100)&lt;-50,"NM",(BI413/BA413-1)*100)))</f>
        <v>13.776137761377626</v>
      </c>
      <c r="BK413" s="102">
        <f>BK408+BK409+BK410</f>
        <v>88.700000000000017</v>
      </c>
      <c r="BL413" s="61">
        <f>IF(ISERROR((BK413/BC413-1)*100),"NA",IF(((BK413/BC413-1)*100)&gt;100,"NM",IF(((BK413/BC413-1)*100)&lt;-50,"NM",(BK413/BC413-1)*100)))</f>
        <v>22.68326417704014</v>
      </c>
      <c r="BM413" s="102">
        <f>BM408+BM409+BM410</f>
        <v>98.4</v>
      </c>
      <c r="BN413" s="61">
        <f>IF(ISERROR((BM413/BE413-1)*100),"NA",IF(((BM413/BE413-1)*100)&gt;100,"NM",IF(((BM413/BE413-1)*100)&lt;-50,"NM",(BM413/BE413-1)*100)))</f>
        <v>16.03773584905661</v>
      </c>
      <c r="BO413" s="102">
        <f>BO408+BO409+BO410</f>
        <v>85.700000000000017</v>
      </c>
      <c r="BP413" s="61">
        <f>IF(ISERROR((BO413/BG413-1)*100),"NA",IF(((BO413/BG413-1)*100)&gt;100,"NM",IF(((BO413/BG413-1)*100)&lt;-50,"NM",(BO413/BG413-1)*100)))</f>
        <v>-5.5126791620727538</v>
      </c>
      <c r="BQ413" s="102">
        <f>BQ408+BQ409+BQ410</f>
        <v>97.899999999999991</v>
      </c>
      <c r="BR413" s="61">
        <f>IF(ISERROR((BQ413/BI413-1)*100),"NA",IF(((BQ413/BI413-1)*100)&gt;100,"NM",IF(((BQ413/BI413-1)*100)&lt;-50,"NM",(BQ413/BI413-1)*100)))</f>
        <v>5.8378378378378226</v>
      </c>
      <c r="BS413" s="102">
        <f>BS408+BS409+BS410</f>
        <v>79.8</v>
      </c>
      <c r="BT413" s="61">
        <f>IF(ISERROR((BS413/BK413-1)*100),"NA",IF(((BS413/BK413-1)*100)&gt;100,"NM",IF(((BS413/BK413-1)*100)&lt;-50,"NM",(BS413/BK413-1)*100)))</f>
        <v>-10.033821871476912</v>
      </c>
      <c r="BU413" s="102">
        <f>BU408+BU409+BU410</f>
        <v>64.400000000000006</v>
      </c>
      <c r="BV413" s="61">
        <f>IF(ISERROR((BU413/BM413-1)*100),"NA",IF(((BU413/BM413-1)*100)&gt;100,"NM",IF(((BU413/BM413-1)*100)&lt;-50,"NM",(BU413/BM413-1)*100)))</f>
        <v>-34.552845528455279</v>
      </c>
      <c r="BW413" s="102">
        <f>BW408+BW409+BW410</f>
        <v>47.4</v>
      </c>
      <c r="BX413" s="61">
        <f>IF(ISERROR((BW413/BO413-1)*100),"NA",IF(((BW413/BO413-1)*100)&gt;100,"NM",IF(((BW413/BO413-1)*100)&lt;-50,"NM",(BW413/BO413-1)*100)))</f>
        <v>-44.690781796966171</v>
      </c>
      <c r="BY413" s="102"/>
      <c r="BZ413" s="61"/>
      <c r="CA413" s="102"/>
      <c r="CB413" s="61"/>
      <c r="CC413" s="102"/>
      <c r="CD413" s="61"/>
      <c r="CE413" s="102"/>
      <c r="CF413" s="61"/>
      <c r="CG413" s="102"/>
      <c r="CH413" s="61"/>
      <c r="CI413" s="102"/>
      <c r="CJ413" s="61"/>
      <c r="CK413" s="102"/>
      <c r="CL413" s="61"/>
      <c r="CM413" s="102"/>
      <c r="CN413" s="61"/>
      <c r="CO413" s="102"/>
      <c r="CP413" s="61"/>
      <c r="CQ413" s="102"/>
      <c r="CR413" s="61"/>
      <c r="CS413" s="102"/>
      <c r="CT413" s="61"/>
      <c r="CU413" s="102"/>
      <c r="CV413" s="61"/>
      <c r="CW413" s="102"/>
      <c r="CX413" s="61"/>
      <c r="CY413" s="102"/>
      <c r="CZ413" s="61"/>
      <c r="DA413" s="102"/>
      <c r="DB413" s="61"/>
      <c r="DC413" s="102"/>
      <c r="DD413" s="61"/>
      <c r="DE413" s="102"/>
      <c r="DF413" s="61"/>
      <c r="DG413" s="102"/>
      <c r="DH413" s="61"/>
      <c r="DI413" s="102"/>
      <c r="DJ413" s="61"/>
      <c r="DK413" s="102"/>
      <c r="DL413" s="61"/>
      <c r="DM413" s="102"/>
      <c r="DN413" s="61"/>
      <c r="DO413" s="102"/>
      <c r="DP413" s="61"/>
      <c r="DQ413" s="102"/>
      <c r="DR413" s="61"/>
      <c r="DS413" s="102"/>
      <c r="DT413" s="61"/>
      <c r="DU413" s="102"/>
      <c r="DV413" s="61"/>
      <c r="DW413" s="102"/>
      <c r="DX413" s="102"/>
      <c r="DY413" s="102"/>
      <c r="DZ413" s="61"/>
      <c r="EA413" s="102"/>
      <c r="EB413" s="61"/>
      <c r="EC413" s="102"/>
      <c r="ED413" s="61"/>
      <c r="EE413" s="102"/>
      <c r="EF413" s="61"/>
      <c r="EG413" s="102"/>
      <c r="EH413" s="61"/>
      <c r="EI413" s="102"/>
      <c r="EJ413" s="61"/>
      <c r="EK413" s="102"/>
      <c r="EL413" s="61"/>
      <c r="EM413" s="102"/>
      <c r="EN413" s="61"/>
      <c r="EO413" s="102"/>
      <c r="EP413" s="61"/>
      <c r="EQ413" s="102"/>
      <c r="ER413" s="61"/>
      <c r="ES413" s="102"/>
      <c r="ET413" s="61"/>
      <c r="EU413" s="102"/>
      <c r="EV413" s="61"/>
      <c r="EW413" s="102"/>
      <c r="EX413" s="61"/>
      <c r="EY413" s="64"/>
      <c r="EZ413" s="558"/>
      <c r="FA413" s="64"/>
      <c r="FB413" s="69">
        <f>FB408+FB409+FB410</f>
        <v>438.59852190000004</v>
      </c>
      <c r="FC413" s="71"/>
      <c r="FD413" s="69">
        <f>FD408+FD409+FD410</f>
        <v>443.5</v>
      </c>
      <c r="FE413" s="70">
        <f>IF(ISERROR((FD413/FB413-1)*100),"NA",IF(((FD413/FB413-1)*100)&gt;100,"NM",IF(((FD413/FB413-1)*100)&lt;-50,"NM",(FD413/FB413-1)*100)))</f>
        <v>1.1175318327035999</v>
      </c>
      <c r="FF413" s="69">
        <f>FF408+FF409+FF410</f>
        <v>430.40000000000003</v>
      </c>
      <c r="FG413" s="70">
        <f>IF(ISERROR((FF413/FD413-1)*100),"NA",IF(((FF413/FD413-1)*100)&gt;100,"NM",IF(((FF413/FD413-1)*100)&lt;-50,"NM",(FF413/FD413-1)*100)))</f>
        <v>-2.9537767756482425</v>
      </c>
      <c r="FH413" s="69">
        <f>FH408+FH409+FH410</f>
        <v>278.2</v>
      </c>
      <c r="FI413" s="70">
        <f>IF(ISERROR((FH413/FF413-1)*100),"NA",IF(((FH413/FF413-1)*100)&gt;100,"NM",IF(((FH413/FF413-1)*100)&lt;-50,"NM",(FH413/FF413-1)*100)))</f>
        <v>-35.362453531598526</v>
      </c>
      <c r="FJ413" s="69">
        <f>FJ408+FJ409+FJ410</f>
        <v>275.60000000000002</v>
      </c>
      <c r="FK413" s="70">
        <f>IF(ISERROR((FJ413/FH413-1)*100),"NA",IF(((FJ413/FH413-1)*100)&gt;100,"NM",IF(((FJ413/FH413-1)*100)&lt;-50,"NM",(FJ413/FH413-1)*100)))</f>
        <v>-0.93457943925232545</v>
      </c>
      <c r="FL413" s="102">
        <f>FL408+FL409+FL410</f>
        <v>274.60000000000002</v>
      </c>
      <c r="FM413" s="61">
        <f>IF(ISERROR((FL413/FJ413-1)*100),"NA",IF(((FL413/FJ413-1)*100)&gt;100,"NM",IF(((FL413/FJ413-1)*100)&lt;-50,"NM",(FL413/FJ413-1)*100)))</f>
        <v>-0.36284470246734646</v>
      </c>
      <c r="FN413" s="102">
        <f>FN408+FN409+FN410</f>
        <v>342.3</v>
      </c>
      <c r="FO413" s="61">
        <f>IF(ISERROR((FN413/FL413-1)*100),"NA",IF(((FN413/FL413-1)*100)&gt;100,"NM",IF(((FN413/FL413-1)*100)&lt;-50,"NM",(FN413/FL413-1)*100)))</f>
        <v>24.654042243262928</v>
      </c>
      <c r="FP413" s="104">
        <f>FP408+FP409+FP410</f>
        <v>318.27000000000004</v>
      </c>
      <c r="FQ413" s="61">
        <f>IF(ISERROR((FP413/FN413-1)*100),"NA",IF(((FP413/FN413-1)*100)&gt;100,"NM",IF(((FP413/FN413-1)*100)&lt;-50,"NM",(FP413/FN413-1)*100)))</f>
        <v>-7.0201577563540614</v>
      </c>
      <c r="FR413" s="104">
        <f>FR408+FR409+FR410</f>
        <v>307.89999999999998</v>
      </c>
      <c r="FS413" s="61">
        <f>IF(ISERROR((FR413/FP413-1)*100),"NA",IF(((FR413/FP413-1)*100)&gt;100,"NM",IF(((FR413/FP413-1)*100)&lt;-50,"NM",(FR413/FP413-1)*100)))</f>
        <v>-3.2582398592390316</v>
      </c>
      <c r="FT413" s="104">
        <f>FT408+FT409+FT410</f>
        <v>370.29999999999995</v>
      </c>
      <c r="FU413" s="61">
        <f>IF(ISERROR((FT413/FR413-1)*100),"NA",IF(((FT413/FR413-1)*100)&gt;100,"NM",IF(((FT413/FR413-1)*100)&lt;-50,"NM",(FT413/FR413-1)*100)))</f>
        <v>20.266320233842162</v>
      </c>
      <c r="FV413" s="104">
        <f>FV408+FV409+FV410</f>
        <v>327.8</v>
      </c>
      <c r="FW413" s="61">
        <f>IF(ISERROR((FV413/FT413-1)*100),"NA",IF(((FV413/FT413-1)*100)&gt;100,"NM",IF(((FV413/FT413-1)*100)&lt;-50,"NM",(FV413/FT413-1)*100)))</f>
        <v>-11.477180664326204</v>
      </c>
      <c r="FX413" s="104"/>
      <c r="FY413" s="61"/>
      <c r="FZ413" s="104"/>
      <c r="GA413" s="61"/>
      <c r="GB413" s="104"/>
      <c r="GC413" s="61"/>
      <c r="GD413" s="104"/>
      <c r="GE413" s="61"/>
      <c r="GF413" s="104"/>
      <c r="GG413" s="61"/>
      <c r="GH413" s="104"/>
      <c r="GI413" s="61"/>
      <c r="GJ413" s="104"/>
      <c r="GK413" s="61"/>
      <c r="GL413" s="104"/>
      <c r="GM413" s="61"/>
      <c r="GN413" s="104"/>
      <c r="GO413" s="61"/>
      <c r="GP413" s="104"/>
      <c r="GQ413" s="61"/>
      <c r="GR413" s="102"/>
      <c r="GS413" s="61"/>
      <c r="GT413" s="102"/>
      <c r="GU413" s="61"/>
      <c r="GV413" s="102"/>
      <c r="GW413" s="61"/>
      <c r="GX413" s="102"/>
      <c r="GY413" s="61"/>
      <c r="GZ413" s="61" t="str">
        <f t="shared" si="2316"/>
        <v/>
      </c>
      <c r="HA413" s="61"/>
      <c r="HB413" s="452"/>
      <c r="HC413"/>
      <c r="HD413"/>
      <c r="HE413"/>
      <c r="HF413"/>
      <c r="HG413"/>
      <c r="HH413"/>
    </row>
    <row r="414" spans="1:216" s="5" customFormat="1" ht="12.75" hidden="1" customHeight="1" outlineLevel="1" x14ac:dyDescent="0.2">
      <c r="A414" s="7"/>
      <c r="B414" s="92"/>
      <c r="C414" s="66"/>
      <c r="D414" s="67"/>
      <c r="E414" s="66"/>
      <c r="F414" s="66"/>
      <c r="G414" s="64"/>
      <c r="H414" s="66"/>
      <c r="I414" s="64"/>
      <c r="J414" s="66"/>
      <c r="K414" s="64"/>
      <c r="L414" s="61"/>
      <c r="M414" s="66"/>
      <c r="N414" s="61"/>
      <c r="O414" s="64"/>
      <c r="P414" s="61"/>
      <c r="Q414" s="64"/>
      <c r="R414" s="61"/>
      <c r="S414" s="64"/>
      <c r="T414" s="61"/>
      <c r="U414" s="64"/>
      <c r="V414" s="61"/>
      <c r="W414" s="64"/>
      <c r="X414" s="61"/>
      <c r="Y414" s="64"/>
      <c r="Z414" s="61"/>
      <c r="AA414" s="7"/>
      <c r="AB414" s="61"/>
      <c r="AC414" s="7"/>
      <c r="AD414" s="61"/>
      <c r="AE414" s="7"/>
      <c r="AF414" s="61"/>
      <c r="AG414" s="7"/>
      <c r="AH414" s="61"/>
      <c r="AI414" s="7"/>
      <c r="AJ414" s="61"/>
      <c r="AK414" s="7"/>
      <c r="AL414" s="61"/>
      <c r="AM414" s="7"/>
      <c r="AN414" s="61"/>
      <c r="AO414" s="7"/>
      <c r="AP414" s="61"/>
      <c r="AQ414" s="7"/>
      <c r="AR414" s="61"/>
      <c r="AS414" s="7"/>
      <c r="AT414" s="61"/>
      <c r="AU414" s="7"/>
      <c r="AV414" s="61"/>
      <c r="AW414" s="7"/>
      <c r="AX414" s="61"/>
      <c r="AY414" s="7"/>
      <c r="AZ414" s="61"/>
      <c r="BA414" s="7"/>
      <c r="BB414" s="61"/>
      <c r="BC414" s="7"/>
      <c r="BD414" s="61"/>
      <c r="BE414" s="7"/>
      <c r="BF414" s="61"/>
      <c r="BG414" s="7"/>
      <c r="BH414" s="61"/>
      <c r="BI414" s="7"/>
      <c r="BJ414" s="61"/>
      <c r="BK414" s="7"/>
      <c r="BL414" s="61"/>
      <c r="BM414" s="7"/>
      <c r="BN414" s="61"/>
      <c r="BO414" s="7"/>
      <c r="BP414" s="61"/>
      <c r="BQ414" s="7"/>
      <c r="BR414" s="61"/>
      <c r="BS414" s="7"/>
      <c r="BT414" s="61"/>
      <c r="BU414" s="7"/>
      <c r="BV414" s="61"/>
      <c r="BW414" s="64"/>
      <c r="BX414" s="61"/>
      <c r="BY414" s="64"/>
      <c r="BZ414" s="61"/>
      <c r="CA414" s="64"/>
      <c r="CB414" s="61"/>
      <c r="CC414" s="64"/>
      <c r="CD414" s="61"/>
      <c r="CE414" s="64"/>
      <c r="CF414" s="61"/>
      <c r="CG414" s="64"/>
      <c r="CH414" s="61"/>
      <c r="CI414" s="64"/>
      <c r="CJ414" s="61"/>
      <c r="CK414" s="64"/>
      <c r="CL414" s="61"/>
      <c r="CM414" s="64"/>
      <c r="CN414" s="61"/>
      <c r="CO414" s="64"/>
      <c r="CP414" s="61"/>
      <c r="CQ414" s="64"/>
      <c r="CR414" s="61"/>
      <c r="CS414" s="64"/>
      <c r="CT414" s="61"/>
      <c r="CU414" s="64"/>
      <c r="CV414" s="61"/>
      <c r="CW414" s="64"/>
      <c r="CX414" s="61"/>
      <c r="CY414" s="64"/>
      <c r="CZ414" s="61"/>
      <c r="DA414" s="64"/>
      <c r="DB414" s="61"/>
      <c r="DC414" s="64"/>
      <c r="DD414" s="61"/>
      <c r="DE414" s="64"/>
      <c r="DF414" s="61"/>
      <c r="DG414" s="64"/>
      <c r="DH414" s="61"/>
      <c r="DI414" s="64"/>
      <c r="DJ414" s="61"/>
      <c r="DK414" s="64"/>
      <c r="DL414" s="61"/>
      <c r="DM414" s="64"/>
      <c r="DN414" s="61"/>
      <c r="DO414" s="64"/>
      <c r="DP414" s="61"/>
      <c r="DQ414" s="64"/>
      <c r="DR414" s="61"/>
      <c r="DS414" s="64"/>
      <c r="DT414" s="61"/>
      <c r="DU414" s="64"/>
      <c r="DV414" s="61"/>
      <c r="DW414" s="64"/>
      <c r="DX414" s="64"/>
      <c r="DY414" s="64"/>
      <c r="DZ414" s="61"/>
      <c r="EA414" s="64"/>
      <c r="EB414" s="61"/>
      <c r="EC414" s="64"/>
      <c r="ED414" s="61"/>
      <c r="EE414" s="64"/>
      <c r="EF414" s="61"/>
      <c r="EG414" s="64"/>
      <c r="EH414" s="61"/>
      <c r="EI414" s="64"/>
      <c r="EJ414" s="61"/>
      <c r="EK414" s="64"/>
      <c r="EL414" s="61"/>
      <c r="EM414" s="64"/>
      <c r="EN414" s="61"/>
      <c r="EO414" s="64"/>
      <c r="EP414" s="61"/>
      <c r="EQ414" s="64"/>
      <c r="ER414" s="61"/>
      <c r="ES414" s="64"/>
      <c r="ET414" s="61"/>
      <c r="EU414" s="64"/>
      <c r="EV414" s="61"/>
      <c r="EW414" s="64"/>
      <c r="EX414" s="61"/>
      <c r="EY414" s="64"/>
      <c r="EZ414" s="558"/>
      <c r="FA414" s="64"/>
      <c r="FB414" s="66"/>
      <c r="FC414" s="66"/>
      <c r="FD414" s="66"/>
      <c r="FE414" s="67"/>
      <c r="FF414" s="66"/>
      <c r="FG414" s="67"/>
      <c r="FH414" s="66"/>
      <c r="FI414" s="67"/>
      <c r="FJ414" s="66"/>
      <c r="FK414" s="67"/>
      <c r="FL414" s="66"/>
      <c r="FM414" s="61"/>
      <c r="FN414" s="66"/>
      <c r="FO414" s="61"/>
      <c r="FP414" s="65"/>
      <c r="FQ414" s="61"/>
      <c r="FR414" s="65"/>
      <c r="FS414" s="61"/>
      <c r="FT414" s="65"/>
      <c r="FU414" s="61"/>
      <c r="FV414" s="65"/>
      <c r="FW414" s="61"/>
      <c r="FX414" s="65"/>
      <c r="FY414" s="61"/>
      <c r="FZ414" s="65"/>
      <c r="GA414" s="61"/>
      <c r="GB414" s="65"/>
      <c r="GC414" s="61"/>
      <c r="GD414" s="65"/>
      <c r="GE414" s="61"/>
      <c r="GF414" s="65"/>
      <c r="GG414" s="61"/>
      <c r="GH414" s="65"/>
      <c r="GI414" s="61"/>
      <c r="GJ414" s="65"/>
      <c r="GK414" s="61"/>
      <c r="GL414" s="65"/>
      <c r="GM414" s="61"/>
      <c r="GN414" s="65"/>
      <c r="GO414" s="61"/>
      <c r="GP414" s="65"/>
      <c r="GQ414" s="61"/>
      <c r="GR414" s="64"/>
      <c r="GS414" s="61"/>
      <c r="GT414" s="64"/>
      <c r="GU414" s="61"/>
      <c r="GV414" s="64"/>
      <c r="GW414" s="61"/>
      <c r="GX414" s="64"/>
      <c r="GY414" s="61"/>
      <c r="GZ414" s="61" t="str">
        <f t="shared" si="2316"/>
        <v/>
      </c>
      <c r="HA414" s="61"/>
      <c r="HB414" s="452"/>
      <c r="HC414"/>
      <c r="HD414"/>
      <c r="HE414"/>
      <c r="HF414"/>
      <c r="HG414"/>
      <c r="HH414"/>
    </row>
    <row r="415" spans="1:216" s="5" customFormat="1" ht="12.75" hidden="1" customHeight="1" outlineLevel="1" x14ac:dyDescent="0.2">
      <c r="B415" s="63" t="s">
        <v>497</v>
      </c>
      <c r="C415" s="66"/>
      <c r="D415" s="67"/>
      <c r="E415" s="66"/>
      <c r="F415" s="66"/>
      <c r="G415" s="64"/>
      <c r="H415" s="66"/>
      <c r="I415" s="64"/>
      <c r="J415" s="66"/>
      <c r="K415" s="64"/>
      <c r="L415" s="61"/>
      <c r="M415" s="66"/>
      <c r="N415" s="61"/>
      <c r="O415" s="64"/>
      <c r="P415" s="61"/>
      <c r="Q415" s="64"/>
      <c r="R415" s="61"/>
      <c r="S415" s="64"/>
      <c r="T415" s="61"/>
      <c r="U415" s="64"/>
      <c r="V415" s="61"/>
      <c r="W415" s="64"/>
      <c r="X415" s="61"/>
      <c r="Y415" s="64"/>
      <c r="Z415" s="61"/>
      <c r="AA415" s="64"/>
      <c r="AB415" s="61"/>
      <c r="AC415" s="64"/>
      <c r="AD415" s="61"/>
      <c r="AE415" s="64"/>
      <c r="AF415" s="61"/>
      <c r="AG415" s="64"/>
      <c r="AH415" s="61"/>
      <c r="AI415" s="64"/>
      <c r="AJ415" s="61"/>
      <c r="AK415" s="64"/>
      <c r="AL415" s="61"/>
      <c r="AM415" s="64"/>
      <c r="AN415" s="61"/>
      <c r="AO415" s="64"/>
      <c r="AP415" s="61"/>
      <c r="AQ415" s="64"/>
      <c r="AR415" s="61"/>
      <c r="AS415" s="64"/>
      <c r="AT415" s="61"/>
      <c r="AU415" s="64"/>
      <c r="AV415" s="61"/>
      <c r="AW415" s="64"/>
      <c r="AX415" s="61"/>
      <c r="AY415" s="64"/>
      <c r="AZ415" s="61"/>
      <c r="BA415" s="64"/>
      <c r="BB415" s="61"/>
      <c r="BC415" s="64"/>
      <c r="BD415" s="61"/>
      <c r="BE415" s="64"/>
      <c r="BF415" s="61"/>
      <c r="BG415" s="64"/>
      <c r="BH415" s="61"/>
      <c r="BI415" s="64"/>
      <c r="BJ415" s="61"/>
      <c r="BK415" s="64"/>
      <c r="BL415" s="61"/>
      <c r="BM415" s="64"/>
      <c r="BN415" s="61"/>
      <c r="BO415" s="64"/>
      <c r="BP415" s="61"/>
      <c r="BQ415" s="64"/>
      <c r="BR415" s="61"/>
      <c r="BS415" s="64"/>
      <c r="BT415" s="61"/>
      <c r="BU415" s="64"/>
      <c r="BV415" s="61"/>
      <c r="BW415" s="64"/>
      <c r="BX415" s="61"/>
      <c r="BY415" s="64"/>
      <c r="BZ415" s="61"/>
      <c r="CA415" s="64"/>
      <c r="CB415" s="61"/>
      <c r="CC415" s="64"/>
      <c r="CD415" s="61"/>
      <c r="CE415" s="64"/>
      <c r="CF415" s="61"/>
      <c r="CG415" s="64"/>
      <c r="CH415" s="61"/>
      <c r="CI415" s="64"/>
      <c r="CJ415" s="61"/>
      <c r="CK415" s="64"/>
      <c r="CL415" s="61"/>
      <c r="CM415" s="64"/>
      <c r="CN415" s="61"/>
      <c r="CO415" s="64"/>
      <c r="CP415" s="61"/>
      <c r="CQ415" s="64"/>
      <c r="CR415" s="61"/>
      <c r="CS415" s="64"/>
      <c r="CT415" s="61"/>
      <c r="CU415" s="64"/>
      <c r="CV415" s="61"/>
      <c r="CW415" s="64"/>
      <c r="CX415" s="61"/>
      <c r="CY415" s="64"/>
      <c r="CZ415" s="61"/>
      <c r="DA415" s="64"/>
      <c r="DB415" s="61"/>
      <c r="DC415" s="64"/>
      <c r="DD415" s="61"/>
      <c r="DE415" s="64"/>
      <c r="DF415" s="61"/>
      <c r="DG415" s="64"/>
      <c r="DH415" s="61"/>
      <c r="DI415" s="64"/>
      <c r="DJ415" s="61"/>
      <c r="DK415" s="64"/>
      <c r="DL415" s="61"/>
      <c r="DM415" s="64"/>
      <c r="DN415" s="61"/>
      <c r="DO415" s="64"/>
      <c r="DP415" s="61"/>
      <c r="DQ415" s="64"/>
      <c r="DR415" s="61"/>
      <c r="DS415" s="64"/>
      <c r="DT415" s="61"/>
      <c r="DU415" s="64"/>
      <c r="DV415" s="61"/>
      <c r="DW415" s="64"/>
      <c r="DX415" s="64"/>
      <c r="DY415" s="64"/>
      <c r="DZ415" s="61"/>
      <c r="EA415" s="64"/>
      <c r="EB415" s="61"/>
      <c r="EC415" s="64"/>
      <c r="ED415" s="61"/>
      <c r="EE415" s="64"/>
      <c r="EF415" s="61"/>
      <c r="EG415" s="64"/>
      <c r="EH415" s="61"/>
      <c r="EI415" s="64"/>
      <c r="EJ415" s="61"/>
      <c r="EK415" s="64"/>
      <c r="EL415" s="61"/>
      <c r="EM415" s="64"/>
      <c r="EN415" s="61"/>
      <c r="EO415" s="64"/>
      <c r="EP415" s="61"/>
      <c r="EQ415" s="64"/>
      <c r="ER415" s="61"/>
      <c r="ES415" s="64"/>
      <c r="ET415" s="61"/>
      <c r="EU415" s="64"/>
      <c r="EV415" s="61"/>
      <c r="EW415" s="64"/>
      <c r="EX415" s="61"/>
      <c r="EY415" s="64"/>
      <c r="EZ415" s="558"/>
      <c r="FA415" s="64"/>
      <c r="FB415" s="66"/>
      <c r="FC415" s="66"/>
      <c r="FD415" s="66"/>
      <c r="FE415" s="67"/>
      <c r="FF415" s="66"/>
      <c r="FG415" s="67"/>
      <c r="FH415" s="66"/>
      <c r="FI415" s="67"/>
      <c r="FJ415" s="66"/>
      <c r="FK415" s="67"/>
      <c r="FL415" s="66"/>
      <c r="FM415" s="61"/>
      <c r="FN415" s="66"/>
      <c r="FO415" s="61"/>
      <c r="FP415" s="65"/>
      <c r="FQ415" s="61"/>
      <c r="FR415" s="65"/>
      <c r="FS415" s="61"/>
      <c r="FT415" s="65"/>
      <c r="FU415" s="61"/>
      <c r="FV415" s="65"/>
      <c r="FW415" s="61"/>
      <c r="FX415" s="65"/>
      <c r="FY415" s="61"/>
      <c r="FZ415" s="65"/>
      <c r="GA415" s="61"/>
      <c r="GB415" s="65"/>
      <c r="GC415" s="61"/>
      <c r="GD415" s="65"/>
      <c r="GE415" s="61"/>
      <c r="GF415" s="65"/>
      <c r="GG415" s="61"/>
      <c r="GH415" s="65"/>
      <c r="GI415" s="61"/>
      <c r="GJ415" s="65"/>
      <c r="GK415" s="61"/>
      <c r="GL415" s="65"/>
      <c r="GM415" s="61"/>
      <c r="GN415" s="65"/>
      <c r="GO415" s="61"/>
      <c r="GP415" s="65"/>
      <c r="GQ415" s="61"/>
      <c r="GR415" s="64"/>
      <c r="GS415" s="61"/>
      <c r="GT415" s="64"/>
      <c r="GU415" s="61"/>
      <c r="GV415" s="64"/>
      <c r="GW415" s="61"/>
      <c r="GX415" s="64"/>
      <c r="GY415" s="61"/>
      <c r="GZ415" s="61" t="str">
        <f t="shared" si="2316"/>
        <v/>
      </c>
      <c r="HA415" s="61"/>
      <c r="HB415" s="452"/>
      <c r="HC415"/>
      <c r="HD415"/>
      <c r="HE415"/>
      <c r="HF415"/>
      <c r="HG415"/>
      <c r="HH415"/>
    </row>
    <row r="416" spans="1:216" s="5" customFormat="1" ht="12.75" hidden="1" customHeight="1" outlineLevel="1" x14ac:dyDescent="0.2">
      <c r="B416" s="2" t="s">
        <v>380</v>
      </c>
      <c r="C416" s="72">
        <v>35</v>
      </c>
      <c r="D416" s="70"/>
      <c r="E416" s="72">
        <v>37.4</v>
      </c>
      <c r="F416" s="71"/>
      <c r="G416" s="74">
        <v>51.9</v>
      </c>
      <c r="H416" s="71"/>
      <c r="I416" s="74">
        <v>54.2</v>
      </c>
      <c r="J416" s="71"/>
      <c r="K416" s="74">
        <v>24</v>
      </c>
      <c r="L416" s="61">
        <f>IF(ISERROR((K416/C416-1)*100),"NA",IF(((K416/C416-1)*100)&gt;100,"NM",IF(((K416/C416-1)*100)&lt;-50,"NM",(K416/C416-1)*100)))</f>
        <v>-31.428571428571427</v>
      </c>
      <c r="M416" s="72">
        <v>17.899999999999999</v>
      </c>
      <c r="N416" s="61" t="str">
        <f>IF(ISERROR((M416/E416-1)*100),"NA",IF(((M416/E416-1)*100)&gt;100,"NM",IF(((M416/E416-1)*100)&lt;-50,"NM",(M416/E416-1)*100)))</f>
        <v>NM</v>
      </c>
      <c r="O416" s="74">
        <v>20.7</v>
      </c>
      <c r="P416" s="61" t="str">
        <f>IF(ISERROR((O416/G416-1)*100),"NA",IF(((O416/G416-1)*100)&gt;100,"NM",IF(((O416/G416-1)*100)&lt;-50,"NM",(O416/G416-1)*100)))</f>
        <v>NM</v>
      </c>
      <c r="Q416" s="74">
        <v>20.8</v>
      </c>
      <c r="R416" s="61" t="str">
        <f>IF(ISERROR((Q416/I416-1)*100),"NA",IF(((Q416/I416-1)*100)&gt;100,"NM",IF(((Q416/I416-1)*100)&lt;-50,"NM",(Q416/I416-1)*100)))</f>
        <v>NM</v>
      </c>
      <c r="S416" s="74">
        <v>18.3</v>
      </c>
      <c r="T416" s="61">
        <f>IF(ISERROR((S416/K416-1)*100),"NA",IF(((S416/K416-1)*100)&gt;100,"NM",IF(((S416/K416-1)*100)&lt;-50,"NM",(S416/K416-1)*100)))</f>
        <v>-23.749999999999993</v>
      </c>
      <c r="U416" s="74">
        <v>19</v>
      </c>
      <c r="V416" s="61">
        <f>IF(ISERROR((U416/M416-1)*100),"NA",IF(((U416/M416-1)*100)&gt;100,"NM",IF(((U416/M416-1)*100)&lt;-50,"NM",(U416/M416-1)*100)))</f>
        <v>6.1452513966480549</v>
      </c>
      <c r="W416" s="74">
        <v>23.8</v>
      </c>
      <c r="X416" s="61">
        <f>IF(ISERROR((W416/O416-1)*100),"NA",IF(((W416/O416-1)*100)&gt;100,"NM",IF(((W416/O416-1)*100)&lt;-50,"NM",(W416/O416-1)*100)))</f>
        <v>14.975845410628018</v>
      </c>
      <c r="Y416" s="74">
        <v>23.4</v>
      </c>
      <c r="Z416" s="61">
        <f>IF(ISERROR((Y416/Q416-1)*100),"NA",IF(((Y416/Q416-1)*100)&gt;100,"NM",IF(((Y416/Q416-1)*100)&lt;-50,"NM",(Y416/Q416-1)*100)))</f>
        <v>12.5</v>
      </c>
      <c r="AA416" s="74">
        <v>18.2</v>
      </c>
      <c r="AB416" s="61">
        <f>IF(ISERROR((AA416/S416-1)*100),"NA",IF(((AA416/S416-1)*100)&gt;100,"NM",IF(((AA416/S416-1)*100)&lt;-50,"NM",(AA416/S416-1)*100)))</f>
        <v>-0.5464480874317057</v>
      </c>
      <c r="AC416" s="74">
        <v>24.3</v>
      </c>
      <c r="AD416" s="61">
        <f>IF(ISERROR((AC416/U416-1)*100),"NA",IF(((AC416/U416-1)*100)&gt;100,"NM",IF(((AC416/U416-1)*100)&lt;-50,"NM",(AC416/U416-1)*100)))</f>
        <v>27.89473684210526</v>
      </c>
      <c r="AE416" s="74">
        <v>22.7</v>
      </c>
      <c r="AF416" s="61">
        <f>IF(ISERROR((AE416/W416-1)*100),"NA",IF(((AE416/W416-1)*100)&gt;100,"NM",IF(((AE416/W416-1)*100)&lt;-50,"NM",(AE416/W416-1)*100)))</f>
        <v>-4.6218487394958041</v>
      </c>
      <c r="AG416" s="74">
        <v>33.299999999999997</v>
      </c>
      <c r="AH416" s="61">
        <f>IF(ISERROR((AG416/Y416-1)*100),"NA",IF(((AG416/Y416-1)*100)&gt;100,"NM",IF(((AG416/Y416-1)*100)&lt;-50,"NM",(AG416/Y416-1)*100)))</f>
        <v>42.307692307692314</v>
      </c>
      <c r="AI416" s="74">
        <v>29</v>
      </c>
      <c r="AJ416" s="61">
        <f>IF(ISERROR((AI416/AA416-1)*100),"NA",IF(((AI416/AA416-1)*100)&gt;100,"NM",IF(((AI416/AA416-1)*100)&lt;-50,"NM",(AI416/AA416-1)*100)))</f>
        <v>59.34065934065935</v>
      </c>
      <c r="AK416" s="74">
        <v>28.8</v>
      </c>
      <c r="AL416" s="61">
        <f>IF(ISERROR((AK416/AC416-1)*100),"NA",IF(((AK416/AC416-1)*100)&gt;100,"NM",IF(((AK416/AC416-1)*100)&lt;-50,"NM",(AK416/AC416-1)*100)))</f>
        <v>18.518518518518512</v>
      </c>
      <c r="AM416" s="74">
        <v>21.4</v>
      </c>
      <c r="AN416" s="61">
        <f>IF(ISERROR((AM416/AE416-1)*100),"NA",IF(((AM416/AE416-1)*100)&gt;100,"NM",IF(((AM416/AE416-1)*100)&lt;-50,"NM",(AM416/AE416-1)*100)))</f>
        <v>-5.7268722466960353</v>
      </c>
      <c r="AO416" s="74">
        <v>21.3</v>
      </c>
      <c r="AP416" s="61">
        <f>IF(ISERROR((AO416/AG416-1)*100),"NA",IF(((AO416/AG416-1)*100)&gt;100,"NM",IF(((AO416/AG416-1)*100)&lt;-50,"NM",(AO416/AG416-1)*100)))</f>
        <v>-36.036036036036023</v>
      </c>
      <c r="AQ416" s="74">
        <v>25.1</v>
      </c>
      <c r="AR416" s="61">
        <f>IF(ISERROR((AQ416/AI416-1)*100),"NA",IF(((AQ416/AI416-1)*100)&gt;100,"NM",IF(((AQ416/AI416-1)*100)&lt;-50,"NM",(AQ416/AI416-1)*100)))</f>
        <v>-13.448275862068959</v>
      </c>
      <c r="AS416" s="74">
        <v>27.9</v>
      </c>
      <c r="AT416" s="61">
        <f>IF(ISERROR((AS416/AK416-1)*100),"NA",IF(((AS416/AK416-1)*100)&gt;100,"NM",IF(((AS416/AK416-1)*100)&lt;-50,"NM",(AS416/AK416-1)*100)))</f>
        <v>-3.1250000000000111</v>
      </c>
      <c r="AU416" s="74">
        <v>35.5</v>
      </c>
      <c r="AV416" s="61">
        <f>IF(ISERROR((AU416/AM416-1)*100),"NA",IF(((AU416/AM416-1)*100)&gt;100,"NM",IF(((AU416/AM416-1)*100)&lt;-50,"NM",(AU416/AM416-1)*100)))</f>
        <v>65.887850467289738</v>
      </c>
      <c r="AW416" s="74">
        <v>27.5</v>
      </c>
      <c r="AX416" s="61">
        <f>IF(ISERROR((AW416/AO416-1)*100),"NA",IF(((AW416/AO416-1)*100)&gt;100,"NM",IF(((AW416/AO416-1)*100)&lt;-50,"NM",(AW416/AO416-1)*100)))</f>
        <v>29.107981220657276</v>
      </c>
      <c r="AY416" s="74">
        <v>25.4</v>
      </c>
      <c r="AZ416" s="61">
        <f>IF(ISERROR((AY416/AQ416-1)*100),"NA",IF(((AY416/AQ416-1)*100)&gt;100,"NM",IF(((AY416/AQ416-1)*100)&lt;-50,"NM",(AY416/AQ416-1)*100)))</f>
        <v>1.195219123505975</v>
      </c>
      <c r="BA416" s="74">
        <v>27.5</v>
      </c>
      <c r="BB416" s="61">
        <f>IF(ISERROR((BA416/AS416-1)*100),"NA",IF(((BA416/AS416-1)*100)&gt;100,"NM",IF(((BA416/AS416-1)*100)&lt;-50,"NM",(BA416/AS416-1)*100)))</f>
        <v>-1.4336917562723928</v>
      </c>
      <c r="BC416" s="74">
        <v>25</v>
      </c>
      <c r="BD416" s="61">
        <f>IF(ISERROR((BC416/AU416-1)*100),"NA",IF(((BC416/AU416-1)*100)&gt;100,"NM",IF(((BC416/AU416-1)*100)&lt;-50,"NM",(BC416/AU416-1)*100)))</f>
        <v>-29.577464788732399</v>
      </c>
      <c r="BE416" s="74">
        <v>30.4</v>
      </c>
      <c r="BF416" s="61">
        <f>IF(ISERROR((BE416/AW416-1)*100),"NA",IF(((BE416/AW416-1)*100)&gt;100,"NM",IF(((BE416/AW416-1)*100)&lt;-50,"NM",(BE416/AW416-1)*100)))</f>
        <v>10.545454545454547</v>
      </c>
      <c r="BG416" s="74">
        <v>36</v>
      </c>
      <c r="BH416" s="61">
        <f>IF(ISERROR((BG416/AY416-1)*100),"NA",IF(((BG416/AY416-1)*100)&gt;100,"NM",IF(((BG416/AY416-1)*100)&lt;-50,"NM",(BG416/AY416-1)*100)))</f>
        <v>41.732283464566947</v>
      </c>
      <c r="BI416" s="74">
        <v>34.4</v>
      </c>
      <c r="BJ416" s="61">
        <f>IF(ISERROR((BI416/BA416-1)*100),"NA",IF(((BI416/BA416-1)*100)&gt;100,"NM",IF(((BI416/BA416-1)*100)&lt;-50,"NM",(BI416/BA416-1)*100)))</f>
        <v>25.090909090909076</v>
      </c>
      <c r="BK416" s="74">
        <v>30.2</v>
      </c>
      <c r="BL416" s="61">
        <f>IF(ISERROR((BK416/BC416-1)*100),"NA",IF(((BK416/BC416-1)*100)&gt;100,"NM",IF(((BK416/BC416-1)*100)&lt;-50,"NM",(BK416/BC416-1)*100)))</f>
        <v>20.799999999999997</v>
      </c>
      <c r="BM416" s="74">
        <v>36.9</v>
      </c>
      <c r="BN416" s="61">
        <f>IF(ISERROR((BM416/BE416-1)*100),"NA",IF(((BM416/BE416-1)*100)&gt;100,"NM",IF(((BM416/BE416-1)*100)&lt;-50,"NM",(BM416/BE416-1)*100)))</f>
        <v>21.381578947368428</v>
      </c>
      <c r="BO416" s="74">
        <v>30.7</v>
      </c>
      <c r="BP416" s="61">
        <f>IF(ISERROR((BO416/BG416-1)*100),"NA",IF(((BO416/BG416-1)*100)&gt;100,"NM",IF(((BO416/BG416-1)*100)&lt;-50,"NM",(BO416/BG416-1)*100)))</f>
        <v>-14.722222222222225</v>
      </c>
      <c r="BQ416" s="74">
        <v>30.2</v>
      </c>
      <c r="BR416" s="61">
        <f>IF(ISERROR((BQ416/BI416-1)*100),"NA",IF(((BQ416/BI416-1)*100)&gt;100,"NM",IF(((BQ416/BI416-1)*100)&lt;-50,"NM",(BQ416/BI416-1)*100)))</f>
        <v>-12.209302325581394</v>
      </c>
      <c r="BS416" s="74">
        <v>26.5</v>
      </c>
      <c r="BT416" s="61">
        <f>IF(ISERROR((BS416/BK416-1)*100),"NA",IF(((BS416/BK416-1)*100)&gt;100,"NM",IF(((BS416/BK416-1)*100)&lt;-50,"NM",(BS416/BK416-1)*100)))</f>
        <v>-12.251655629139069</v>
      </c>
      <c r="BU416" s="74">
        <v>19.899999999999999</v>
      </c>
      <c r="BV416" s="61">
        <f>IF(ISERROR((BU416/BM416-1)*100),"NA",IF(((BU416/BM416-1)*100)&gt;100,"NM",IF(((BU416/BM416-1)*100)&lt;-50,"NM",(BU416/BM416-1)*100)))</f>
        <v>-46.070460704607051</v>
      </c>
      <c r="BW416" s="74">
        <v>18.399999999999999</v>
      </c>
      <c r="BX416" s="61">
        <f>IF(ISERROR((BW416/BO416-1)*100),"NA",IF(((BW416/BO416-1)*100)&gt;100,"NM",IF(((BW416/BO416-1)*100)&lt;-50,"NM",(BW416/BO416-1)*100)))</f>
        <v>-40.065146579804569</v>
      </c>
      <c r="BY416" s="74"/>
      <c r="BZ416" s="61"/>
      <c r="CA416" s="74"/>
      <c r="CB416" s="61"/>
      <c r="CC416" s="74"/>
      <c r="CD416" s="61"/>
      <c r="CE416" s="74"/>
      <c r="CF416" s="61"/>
      <c r="CG416" s="74"/>
      <c r="CH416" s="61"/>
      <c r="CI416" s="74"/>
      <c r="CJ416" s="61"/>
      <c r="CK416" s="74"/>
      <c r="CL416" s="61"/>
      <c r="CM416" s="74"/>
      <c r="CN416" s="61"/>
      <c r="CO416" s="74"/>
      <c r="CP416" s="61"/>
      <c r="CQ416" s="74"/>
      <c r="CR416" s="61"/>
      <c r="CS416" s="74"/>
      <c r="CT416" s="61"/>
      <c r="CU416" s="74"/>
      <c r="CV416" s="61"/>
      <c r="CW416" s="74"/>
      <c r="CX416" s="61"/>
      <c r="CY416" s="74"/>
      <c r="CZ416" s="61"/>
      <c r="DA416" s="74"/>
      <c r="DB416" s="61"/>
      <c r="DC416" s="74"/>
      <c r="DD416" s="61"/>
      <c r="DE416" s="74"/>
      <c r="DF416" s="61"/>
      <c r="DG416" s="74"/>
      <c r="DH416" s="61"/>
      <c r="DI416" s="74"/>
      <c r="DJ416" s="61"/>
      <c r="DK416" s="74"/>
      <c r="DL416" s="61"/>
      <c r="DM416" s="74"/>
      <c r="DN416" s="61"/>
      <c r="DO416" s="74"/>
      <c r="DP416" s="61"/>
      <c r="DQ416" s="74"/>
      <c r="DR416" s="61"/>
      <c r="DS416" s="74"/>
      <c r="DT416" s="61"/>
      <c r="DU416" s="74"/>
      <c r="DV416" s="61"/>
      <c r="DW416" s="74"/>
      <c r="DX416" s="74"/>
      <c r="DY416" s="74"/>
      <c r="DZ416" s="61"/>
      <c r="EA416" s="74"/>
      <c r="EB416" s="61"/>
      <c r="EC416" s="74"/>
      <c r="ED416" s="61"/>
      <c r="EE416" s="74"/>
      <c r="EF416" s="61"/>
      <c r="EG416" s="74"/>
      <c r="EH416" s="61"/>
      <c r="EI416" s="74"/>
      <c r="EJ416" s="61"/>
      <c r="EK416" s="74"/>
      <c r="EL416" s="61"/>
      <c r="EM416" s="74"/>
      <c r="EN416" s="61"/>
      <c r="EO416" s="74"/>
      <c r="EP416" s="61"/>
      <c r="EQ416" s="75"/>
      <c r="ER416" s="61"/>
      <c r="ES416" s="75"/>
      <c r="ET416" s="61"/>
      <c r="EU416" s="75"/>
      <c r="EV416" s="61"/>
      <c r="EW416" s="75"/>
      <c r="EX416" s="61"/>
      <c r="EY416" s="64"/>
      <c r="EZ416" s="558"/>
      <c r="FA416" s="64"/>
      <c r="FB416" s="72">
        <v>151</v>
      </c>
      <c r="FC416" s="71"/>
      <c r="FD416" s="72">
        <f>306.2</f>
        <v>306.2</v>
      </c>
      <c r="FE416" s="70" t="str">
        <f>IF(ISERROR((FD416/FB416-1)*100),"NA",IF(((FD416/FB416-1)*100)&gt;100,"NM",IF(((FD416/FB416-1)*100)&lt;-50,"NM",(FD416/FB416-1)*100)))</f>
        <v>NM</v>
      </c>
      <c r="FF416" s="69">
        <f>C416+E416+G416+I416</f>
        <v>178.5</v>
      </c>
      <c r="FG416" s="70">
        <f>IF(ISERROR((FF416/FD416-1)*100),"NA",IF(((FF416/FD416-1)*100)&gt;100,"NM",IF(((FF416/FD416-1)*100)&lt;-50,"NM",(FF416/FD416-1)*100)))</f>
        <v>-41.704768125408229</v>
      </c>
      <c r="FH416" s="69">
        <f>K416+M416+O416+Q416</f>
        <v>83.399999999999991</v>
      </c>
      <c r="FI416" s="70" t="str">
        <f>IF(ISERROR((FH416/FF416-1)*100),"NA",IF(((FH416/FF416-1)*100)&gt;100,"NM",IF(((FH416/FF416-1)*100)&lt;-50,"NM",(FH416/FF416-1)*100)))</f>
        <v>NM</v>
      </c>
      <c r="FJ416" s="69">
        <f>S416+U416+W416+Y416</f>
        <v>84.5</v>
      </c>
      <c r="FK416" s="70">
        <f>IF(ISERROR((FJ416/FH416-1)*100),"NA",IF(((FJ416/FH416-1)*100)&gt;100,"NM",IF(((FJ416/FH416-1)*100)&lt;-50,"NM",(FJ416/FH416-1)*100)))</f>
        <v>1.3189448441247142</v>
      </c>
      <c r="FL416" s="69">
        <f>AA416+AC416+AE416+AG416</f>
        <v>98.5</v>
      </c>
      <c r="FM416" s="61">
        <f>IF(ISERROR((FL416/FJ416-1)*100),"NA",IF(((FL416/FJ416-1)*100)&gt;100,"NM",IF(((FL416/FJ416-1)*100)&lt;-50,"NM",(FL416/FJ416-1)*100)))</f>
        <v>16.568047337278102</v>
      </c>
      <c r="FN416" s="69">
        <f>AI416+AK416+AM416+AO416</f>
        <v>100.49999999999999</v>
      </c>
      <c r="FO416" s="61">
        <f>IF(ISERROR((FN416/FL416-1)*100),"NA",IF(((FN416/FL416-1)*100)&gt;100,"NM",IF(((FN416/FL416-1)*100)&lt;-50,"NM",(FN416/FL416-1)*100)))</f>
        <v>2.0304568527918621</v>
      </c>
      <c r="FP416" s="75">
        <f>AQ416+AS416+AU416+AW416</f>
        <v>116</v>
      </c>
      <c r="FQ416" s="61">
        <f>IF(ISERROR((FP416/FN416-1)*100),"NA",IF(((FP416/FN416-1)*100)&gt;100,"NM",IF(((FP416/FN416-1)*100)&lt;-50,"NM",(FP416/FN416-1)*100)))</f>
        <v>15.422885572139311</v>
      </c>
      <c r="FR416" s="75">
        <f>AY416+BA416+BC416+BE416</f>
        <v>108.30000000000001</v>
      </c>
      <c r="FS416" s="61">
        <f>IF(ISERROR((FR416/FP416-1)*100),"NA",IF(((FR416/FP416-1)*100)&gt;100,"NM",IF(((FR416/FP416-1)*100)&lt;-50,"NM",(FR416/FP416-1)*100)))</f>
        <v>-6.6379310344827474</v>
      </c>
      <c r="FT416" s="75">
        <f>BG416+BI416+BK416+BM416</f>
        <v>137.5</v>
      </c>
      <c r="FU416" s="61">
        <f>IF(ISERROR((FT416/FR416-1)*100),"NA",IF(((FT416/FR416-1)*100)&gt;100,"NM",IF(((FT416/FR416-1)*100)&lt;-50,"NM",(FT416/FR416-1)*100)))</f>
        <v>26.962142197599249</v>
      </c>
      <c r="FV416" s="75">
        <f>BO416+BQ416+BS416+BU416</f>
        <v>107.30000000000001</v>
      </c>
      <c r="FW416" s="61">
        <f>IF(ISERROR((FV416/FT416-1)*100),"NA",IF(((FV416/FT416-1)*100)&gt;100,"NM",IF(((FV416/FT416-1)*100)&lt;-50,"NM",(FV416/FT416-1)*100)))</f>
        <v>-21.963636363636351</v>
      </c>
      <c r="FX416" s="73"/>
      <c r="FY416" s="61"/>
      <c r="FZ416" s="73"/>
      <c r="GA416" s="61"/>
      <c r="GB416" s="73"/>
      <c r="GC416" s="61"/>
      <c r="GD416" s="73"/>
      <c r="GE416" s="61"/>
      <c r="GF416" s="73"/>
      <c r="GG416" s="61"/>
      <c r="GH416" s="73"/>
      <c r="GI416" s="61"/>
      <c r="GJ416" s="73"/>
      <c r="GK416" s="61"/>
      <c r="GL416" s="73"/>
      <c r="GM416" s="61"/>
      <c r="GN416" s="73"/>
      <c r="GO416" s="61"/>
      <c r="GP416" s="73"/>
      <c r="GQ416" s="61"/>
      <c r="GR416" s="75"/>
      <c r="GS416" s="61"/>
      <c r="GT416" s="75"/>
      <c r="GU416" s="61"/>
      <c r="GV416" s="75"/>
      <c r="GW416" s="61"/>
      <c r="GX416" s="75"/>
      <c r="GY416" s="61"/>
      <c r="GZ416" s="61" t="str">
        <f t="shared" si="2316"/>
        <v/>
      </c>
      <c r="HA416" s="61"/>
      <c r="HB416" s="452"/>
      <c r="HC416"/>
      <c r="HD416"/>
      <c r="HE416"/>
      <c r="HF416"/>
      <c r="HG416"/>
      <c r="HH416"/>
    </row>
    <row r="417" spans="1:216" s="5" customFormat="1" ht="12.75" hidden="1" customHeight="1" outlineLevel="1" x14ac:dyDescent="0.2">
      <c r="B417" s="2" t="s">
        <v>605</v>
      </c>
      <c r="C417" s="72">
        <f>60.4+1.3</f>
        <v>61.699999999999996</v>
      </c>
      <c r="D417" s="70"/>
      <c r="E417" s="72">
        <f>38.8+1.3</f>
        <v>40.099999999999994</v>
      </c>
      <c r="F417" s="71"/>
      <c r="G417" s="74">
        <f>43.1+1.2</f>
        <v>44.300000000000004</v>
      </c>
      <c r="H417" s="71"/>
      <c r="I417" s="74">
        <f>33.4+0.2</f>
        <v>33.6</v>
      </c>
      <c r="J417" s="61"/>
      <c r="K417" s="74">
        <f>45.6+0.2</f>
        <v>45.800000000000004</v>
      </c>
      <c r="L417" s="61">
        <f>IF(ISERROR((K417/C417-1)*100),"NA",IF(((K417/C417-1)*100)&gt;100,"NM",IF(((K417/C417-1)*100)&lt;-50,"NM",(K417/C417-1)*100)))</f>
        <v>-25.769854132901127</v>
      </c>
      <c r="M417" s="72">
        <f>24.8+0.2</f>
        <v>25</v>
      </c>
      <c r="N417" s="61">
        <f>IF(ISERROR((M417/E417-1)*100),"NA",IF(((M417/E417-1)*100)&gt;100,"NM",IF(((M417/E417-1)*100)&lt;-50,"NM",(M417/E417-1)*100)))</f>
        <v>-37.655860349127167</v>
      </c>
      <c r="O417" s="74">
        <f>49.6+0.2</f>
        <v>49.800000000000004</v>
      </c>
      <c r="P417" s="61">
        <f>IF(ISERROR((O417/G417-1)*100),"NA",IF(((O417/G417-1)*100)&gt;100,"NM",IF(((O417/G417-1)*100)&lt;-50,"NM",(O417/G417-1)*100)))</f>
        <v>12.415349887133175</v>
      </c>
      <c r="Q417" s="74">
        <f>27.4+0.2</f>
        <v>27.599999999999998</v>
      </c>
      <c r="R417" s="61">
        <f>IF(ISERROR((Q417/I417-1)*100),"NA",IF(((Q417/I417-1)*100)&gt;100,"NM",IF(((Q417/I417-1)*100)&lt;-50,"NM",(Q417/I417-1)*100)))</f>
        <v>-17.857142857142872</v>
      </c>
      <c r="S417" s="74">
        <v>25</v>
      </c>
      <c r="T417" s="61">
        <f>IF(ISERROR((S417/K417-1)*100),"NA",IF(((S417/K417-1)*100)&gt;100,"NM",IF(((S417/K417-1)*100)&lt;-50,"NM",(S417/K417-1)*100)))</f>
        <v>-45.414847161572055</v>
      </c>
      <c r="U417" s="74">
        <v>52.5</v>
      </c>
      <c r="V417" s="61" t="str">
        <f>IF(ISERROR((U417/M417-1)*100),"NA",IF(((U417/M417-1)*100)&gt;100,"NM",IF(((U417/M417-1)*100)&lt;-50,"NM",(U417/M417-1)*100)))</f>
        <v>NM</v>
      </c>
      <c r="W417" s="74">
        <v>67.599999999999994</v>
      </c>
      <c r="X417" s="61">
        <f>IF(ISERROR((W417/O417-1)*100),"NA",IF(((W417/O417-1)*100)&gt;100,"NM",IF(((W417/O417-1)*100)&lt;-50,"NM",(W417/O417-1)*100)))</f>
        <v>35.742971887550176</v>
      </c>
      <c r="Y417" s="74">
        <v>15</v>
      </c>
      <c r="Z417" s="61">
        <f>IF(ISERROR((Y417/Q417-1)*100),"NA",IF(((Y417/Q417-1)*100)&gt;100,"NM",IF(((Y417/Q417-1)*100)&lt;-50,"NM",(Y417/Q417-1)*100)))</f>
        <v>-45.65217391304347</v>
      </c>
      <c r="AA417" s="74">
        <f>40.1</f>
        <v>40.1</v>
      </c>
      <c r="AB417" s="61">
        <f>IF(ISERROR((AA417/S417-1)*100),"NA",IF(((AA417/S417-1)*100)&gt;100,"NM",IF(((AA417/S417-1)*100)&lt;-50,"NM",(AA417/S417-1)*100)))</f>
        <v>60.400000000000006</v>
      </c>
      <c r="AC417" s="74">
        <v>16.8</v>
      </c>
      <c r="AD417" s="61" t="str">
        <f>IF(ISERROR((AC417/U417-1)*100),"NA",IF(((AC417/U417-1)*100)&gt;100,"NM",IF(((AC417/U417-1)*100)&lt;-50,"NM",(AC417/U417-1)*100)))</f>
        <v>NM</v>
      </c>
      <c r="AE417" s="74">
        <v>27</v>
      </c>
      <c r="AF417" s="61" t="str">
        <f>IF(ISERROR((AE417/W417-1)*100),"NA",IF(((AE417/W417-1)*100)&gt;100,"NM",IF(((AE417/W417-1)*100)&lt;-50,"NM",(AE417/W417-1)*100)))</f>
        <v>NM</v>
      </c>
      <c r="AG417" s="74">
        <v>26.6</v>
      </c>
      <c r="AH417" s="61">
        <f>IF(ISERROR((AG417/Y417-1)*100),"NA",IF(((AG417/Y417-1)*100)&gt;100,"NM",IF(((AG417/Y417-1)*100)&lt;-50,"NM",(AG417/Y417-1)*100)))</f>
        <v>77.333333333333343</v>
      </c>
      <c r="AI417" s="74">
        <v>37.6</v>
      </c>
      <c r="AJ417" s="61">
        <f>IF(ISERROR((AI417/AA417-1)*100),"NA",IF(((AI417/AA417-1)*100)&gt;100,"NM",IF(((AI417/AA417-1)*100)&lt;-50,"NM",(AI417/AA417-1)*100)))</f>
        <v>-6.2344139650872821</v>
      </c>
      <c r="AK417" s="74">
        <v>35.700000000000003</v>
      </c>
      <c r="AL417" s="61" t="str">
        <f>IF(ISERROR((AK417/AC417-1)*100),"NA",IF(((AK417/AC417-1)*100)&gt;100,"NM",IF(((AK417/AC417-1)*100)&lt;-50,"NM",(AK417/AC417-1)*100)))</f>
        <v>NM</v>
      </c>
      <c r="AM417" s="74">
        <v>59</v>
      </c>
      <c r="AN417" s="61" t="str">
        <f>IF(ISERROR((AM417/AE417-1)*100),"NA",IF(((AM417/AE417-1)*100)&gt;100,"NM",IF(((AM417/AE417-1)*100)&lt;-50,"NM",(AM417/AE417-1)*100)))</f>
        <v>NM</v>
      </c>
      <c r="AO417" s="74">
        <v>42.5</v>
      </c>
      <c r="AP417" s="61">
        <f>IF(ISERROR((AO417/AG417-1)*100),"NA",IF(((AO417/AG417-1)*100)&gt;100,"NM",IF(((AO417/AG417-1)*100)&lt;-50,"NM",(AO417/AG417-1)*100)))</f>
        <v>59.774436090225549</v>
      </c>
      <c r="AQ417" s="74">
        <v>34</v>
      </c>
      <c r="AR417" s="61">
        <f>IF(ISERROR((AQ417/AI417-1)*100),"NA",IF(((AQ417/AI417-1)*100)&gt;100,"NM",IF(((AQ417/AI417-1)*100)&lt;-50,"NM",(AQ417/AI417-1)*100)))</f>
        <v>-9.5744680851063908</v>
      </c>
      <c r="AS417" s="74">
        <f>34.7-0.1</f>
        <v>34.6</v>
      </c>
      <c r="AT417" s="61">
        <f>IF(ISERROR((AS417/AK417-1)*100),"NA",IF(((AS417/AK417-1)*100)&gt;100,"NM",IF(((AS417/AK417-1)*100)&lt;-50,"NM",(AS417/AK417-1)*100)))</f>
        <v>-3.081232492997199</v>
      </c>
      <c r="AU417" s="74">
        <v>52.7</v>
      </c>
      <c r="AV417" s="61">
        <f>IF(ISERROR((AU417/AM417-1)*100),"NA",IF(((AU417/AM417-1)*100)&gt;100,"NM",IF(((AU417/AM417-1)*100)&lt;-50,"NM",(AU417/AM417-1)*100)))</f>
        <v>-10.677966101694913</v>
      </c>
      <c r="AW417" s="74">
        <f>14.3+0.1</f>
        <v>14.4</v>
      </c>
      <c r="AX417" s="61" t="str">
        <f>IF(ISERROR((AW417/AO417-1)*100),"NA",IF(((AW417/AO417-1)*100)&gt;100,"NM",IF(((AW417/AO417-1)*100)&lt;-50,"NM",(AW417/AO417-1)*100)))</f>
        <v>NM</v>
      </c>
      <c r="AY417" s="74">
        <v>27.6</v>
      </c>
      <c r="AZ417" s="61">
        <f>IF(ISERROR((AY417/AQ417-1)*100),"NA",IF(((AY417/AQ417-1)*100)&gt;100,"NM",IF(((AY417/AQ417-1)*100)&lt;-50,"NM",(AY417/AQ417-1)*100)))</f>
        <v>-18.823529411764707</v>
      </c>
      <c r="BA417" s="74">
        <v>38.9</v>
      </c>
      <c r="BB417" s="61">
        <f>IF(ISERROR((BA417/AS417-1)*100),"NA",IF(((BA417/AS417-1)*100)&gt;100,"NM",IF(((BA417/AS417-1)*100)&lt;-50,"NM",(BA417/AS417-1)*100)))</f>
        <v>12.427745664739875</v>
      </c>
      <c r="BC417" s="74">
        <v>34.5</v>
      </c>
      <c r="BD417" s="61">
        <f>IF(ISERROR((BC417/AU417-1)*100),"NA",IF(((BC417/AU417-1)*100)&gt;100,"NM",IF(((BC417/AU417-1)*100)&lt;-50,"NM",(BC417/AU417-1)*100)))</f>
        <v>-34.535104364326372</v>
      </c>
      <c r="BE417" s="74">
        <v>39.1</v>
      </c>
      <c r="BF417" s="61" t="str">
        <f>IF(ISERROR((BE417/AW417-1)*100),"NA",IF(((BE417/AW417-1)*100)&gt;100,"NM",IF(((BE417/AW417-1)*100)&lt;-50,"NM",(BE417/AW417-1)*100)))</f>
        <v>NM</v>
      </c>
      <c r="BG417" s="74">
        <v>38</v>
      </c>
      <c r="BH417" s="61">
        <f>IF(ISERROR((BG417/AY417-1)*100),"NA",IF(((BG417/AY417-1)*100)&gt;100,"NM",IF(((BG417/AY417-1)*100)&lt;-50,"NM",(BG417/AY417-1)*100)))</f>
        <v>37.681159420289845</v>
      </c>
      <c r="BI417" s="74">
        <f>40.2-0.1</f>
        <v>40.1</v>
      </c>
      <c r="BJ417" s="61">
        <f>IF(ISERROR((BI417/BA417-1)*100),"NA",IF(((BI417/BA417-1)*100)&gt;100,"NM",IF(((BI417/BA417-1)*100)&lt;-50,"NM",(BI417/BA417-1)*100)))</f>
        <v>3.084832904884327</v>
      </c>
      <c r="BK417" s="74">
        <v>42.5</v>
      </c>
      <c r="BL417" s="61">
        <f>IF(ISERROR((BK417/BC417-1)*100),"NA",IF(((BK417/BC417-1)*100)&gt;100,"NM",IF(((BK417/BC417-1)*100)&lt;-50,"NM",(BK417/BC417-1)*100)))</f>
        <v>23.188405797101442</v>
      </c>
      <c r="BM417" s="74">
        <v>41.9</v>
      </c>
      <c r="BN417" s="61">
        <f>IF(ISERROR((BM417/BE417-1)*100),"NA",IF(((BM417/BE417-1)*100)&gt;100,"NM",IF(((BM417/BE417-1)*100)&lt;-50,"NM",(BM417/BE417-1)*100)))</f>
        <v>7.1611253196930846</v>
      </c>
      <c r="BO417" s="74">
        <v>38.5</v>
      </c>
      <c r="BP417" s="61">
        <f>IF(ISERROR((BO417/BG417-1)*100),"NA",IF(((BO417/BG417-1)*100)&gt;100,"NM",IF(((BO417/BG417-1)*100)&lt;-50,"NM",(BO417/BG417-1)*100)))</f>
        <v>1.3157894736842035</v>
      </c>
      <c r="BQ417" s="74">
        <v>40</v>
      </c>
      <c r="BR417" s="61">
        <f>IF(ISERROR((BQ417/BI417-1)*100),"NA",IF(((BQ417/BI417-1)*100)&gt;100,"NM",IF(((BQ417/BI417-1)*100)&lt;-50,"NM",(BQ417/BI417-1)*100)))</f>
        <v>-0.24937655860349794</v>
      </c>
      <c r="BS417" s="74">
        <v>34.4</v>
      </c>
      <c r="BT417" s="61">
        <f>IF(ISERROR((BS417/BK417-1)*100),"NA",IF(((BS417/BK417-1)*100)&gt;100,"NM",IF(((BS417/BK417-1)*100)&lt;-50,"NM",(BS417/BK417-1)*100)))</f>
        <v>-19.058823529411772</v>
      </c>
      <c r="BU417" s="74">
        <v>30</v>
      </c>
      <c r="BV417" s="61">
        <f>IF(ISERROR((BU417/BM417-1)*100),"NA",IF(((BU417/BM417-1)*100)&gt;100,"NM",IF(((BU417/BM417-1)*100)&lt;-50,"NM",(BU417/BM417-1)*100)))</f>
        <v>-28.400954653937948</v>
      </c>
      <c r="BW417" s="74">
        <v>19.5</v>
      </c>
      <c r="BX417" s="61">
        <f>IF(ISERROR((BW417/BO417-1)*100),"NA",IF(((BW417/BO417-1)*100)&gt;100,"NM",IF(((BW417/BO417-1)*100)&lt;-50,"NM",(BW417/BO417-1)*100)))</f>
        <v>-49.350649350649356</v>
      </c>
      <c r="BY417" s="74"/>
      <c r="BZ417" s="61"/>
      <c r="CA417" s="74"/>
      <c r="CB417" s="61"/>
      <c r="CC417" s="74"/>
      <c r="CD417" s="61"/>
      <c r="CE417" s="74"/>
      <c r="CF417" s="61"/>
      <c r="CG417" s="74"/>
      <c r="CH417" s="61"/>
      <c r="CI417" s="74"/>
      <c r="CJ417" s="61"/>
      <c r="CK417" s="74"/>
      <c r="CL417" s="61"/>
      <c r="CM417" s="74"/>
      <c r="CN417" s="61"/>
      <c r="CO417" s="74"/>
      <c r="CP417" s="61"/>
      <c r="CQ417" s="74"/>
      <c r="CR417" s="61"/>
      <c r="CS417" s="74"/>
      <c r="CT417" s="61"/>
      <c r="CU417" s="74"/>
      <c r="CV417" s="61"/>
      <c r="CW417" s="74"/>
      <c r="CX417" s="61"/>
      <c r="CY417" s="74"/>
      <c r="CZ417" s="61"/>
      <c r="DA417" s="74"/>
      <c r="DB417" s="61"/>
      <c r="DC417" s="74"/>
      <c r="DD417" s="61"/>
      <c r="DE417" s="74"/>
      <c r="DF417" s="61"/>
      <c r="DG417" s="74"/>
      <c r="DH417" s="61"/>
      <c r="DI417" s="74"/>
      <c r="DJ417" s="61"/>
      <c r="DK417" s="74"/>
      <c r="DL417" s="61"/>
      <c r="DM417" s="74"/>
      <c r="DN417" s="61"/>
      <c r="DO417" s="74"/>
      <c r="DP417" s="61"/>
      <c r="DQ417" s="74"/>
      <c r="DR417" s="61"/>
      <c r="DS417" s="74"/>
      <c r="DT417" s="61"/>
      <c r="DU417" s="74"/>
      <c r="DV417" s="61"/>
      <c r="DW417" s="74"/>
      <c r="DX417" s="74"/>
      <c r="DY417" s="74"/>
      <c r="DZ417" s="61"/>
      <c r="EA417" s="74"/>
      <c r="EB417" s="61"/>
      <c r="EC417" s="74"/>
      <c r="ED417" s="61"/>
      <c r="EE417" s="74"/>
      <c r="EF417" s="61"/>
      <c r="EG417" s="74"/>
      <c r="EH417" s="61"/>
      <c r="EI417" s="74"/>
      <c r="EJ417" s="61"/>
      <c r="EK417" s="74"/>
      <c r="EL417" s="61"/>
      <c r="EM417" s="74"/>
      <c r="EN417" s="61"/>
      <c r="EO417" s="74"/>
      <c r="EP417" s="61"/>
      <c r="EQ417" s="91"/>
      <c r="ER417" s="61"/>
      <c r="ES417" s="91"/>
      <c r="ET417" s="61"/>
      <c r="EU417" s="91"/>
      <c r="EV417" s="61"/>
      <c r="EW417" s="91"/>
      <c r="EX417" s="61"/>
      <c r="EY417" s="64"/>
      <c r="EZ417" s="558"/>
      <c r="FA417" s="64"/>
      <c r="FB417" s="72">
        <v>181.9</v>
      </c>
      <c r="FC417" s="71"/>
      <c r="FD417" s="72">
        <v>230.5</v>
      </c>
      <c r="FE417" s="70">
        <f>IF(ISERROR((FD417/FB417-1)*100),"NA",IF(((FD417/FB417-1)*100)&gt;100,"NM",IF(((FD417/FB417-1)*100)&lt;-50,"NM",(FD417/FB417-1)*100)))</f>
        <v>26.717976910390327</v>
      </c>
      <c r="FF417" s="69">
        <f>C417+E417+G417+I417+2</f>
        <v>181.7</v>
      </c>
      <c r="FG417" s="70">
        <f>IF(ISERROR((FF417/FD417-1)*100),"NA",IF(((FF417/FD417-1)*100)&gt;100,"NM",IF(((FF417/FD417-1)*100)&lt;-50,"NM",(FF417/FD417-1)*100)))</f>
        <v>-21.171366594360098</v>
      </c>
      <c r="FH417" s="69">
        <f>K417+M417+O417+Q417</f>
        <v>148.20000000000002</v>
      </c>
      <c r="FI417" s="70">
        <f>IF(ISERROR((FH417/FF417-1)*100),"NA",IF(((FH417/FF417-1)*100)&gt;100,"NM",IF(((FH417/FF417-1)*100)&lt;-50,"NM",(FH417/FF417-1)*100)))</f>
        <v>-18.436984039625738</v>
      </c>
      <c r="FJ417" s="69">
        <f>S417+U417+W417+Y417</f>
        <v>160.1</v>
      </c>
      <c r="FK417" s="70">
        <f>IF(ISERROR((FJ417/FH417-1)*100),"NA",IF(((FJ417/FH417-1)*100)&gt;100,"NM",IF(((FJ417/FH417-1)*100)&lt;-50,"NM",(FJ417/FH417-1)*100)))</f>
        <v>8.0296896086369696</v>
      </c>
      <c r="FL417" s="69">
        <f>AA417+AC417+AE417+AG417</f>
        <v>110.5</v>
      </c>
      <c r="FM417" s="61">
        <f>IF(ISERROR((FL417/FJ417-1)*100),"NA",IF(((FL417/FJ417-1)*100)&gt;100,"NM",IF(((FL417/FJ417-1)*100)&lt;-50,"NM",(FL417/FJ417-1)*100)))</f>
        <v>-30.980637101811372</v>
      </c>
      <c r="FN417" s="69">
        <f>AI417+AK417+AM417+AO417</f>
        <v>174.8</v>
      </c>
      <c r="FO417" s="61">
        <f>IF(ISERROR((FN417/FL417-1)*100),"NA",IF(((FN417/FL417-1)*100)&gt;100,"NM",IF(((FN417/FL417-1)*100)&lt;-50,"NM",(FN417/FL417-1)*100)))</f>
        <v>58.190045248868792</v>
      </c>
      <c r="FP417" s="75">
        <f>AQ417+AS417+AU417+AW417</f>
        <v>135.69999999999999</v>
      </c>
      <c r="FQ417" s="61">
        <f>IF(ISERROR((FP417/FN417-1)*100),"NA",IF(((FP417/FN417-1)*100)&gt;100,"NM",IF(((FP417/FN417-1)*100)&lt;-50,"NM",(FP417/FN417-1)*100)))</f>
        <v>-22.368421052631593</v>
      </c>
      <c r="FR417" s="75">
        <f>AY417+BA417+BC417+BE417</f>
        <v>140.1</v>
      </c>
      <c r="FS417" s="61">
        <f>IF(ISERROR((FR417/FP417-1)*100),"NA",IF(((FR417/FP417-1)*100)&gt;100,"NM",IF(((FR417/FP417-1)*100)&lt;-50,"NM",(FR417/FP417-1)*100)))</f>
        <v>3.2424465733235097</v>
      </c>
      <c r="FT417" s="75">
        <f>BG417+BI417+BK417+BM417</f>
        <v>162.5</v>
      </c>
      <c r="FU417" s="61">
        <f>IF(ISERROR((FT417/FR417-1)*100),"NA",IF(((FT417/FR417-1)*100)&gt;100,"NM",IF(((FT417/FR417-1)*100)&lt;-50,"NM",(FT417/FR417-1)*100)))</f>
        <v>15.988579586009987</v>
      </c>
      <c r="FV417" s="75">
        <f>BO417+BQ417+BS417+BU417</f>
        <v>142.9</v>
      </c>
      <c r="FW417" s="61">
        <f>IF(ISERROR((FV417/FT417-1)*100),"NA",IF(((FV417/FT417-1)*100)&gt;100,"NM",IF(((FV417/FT417-1)*100)&lt;-50,"NM",(FV417/FT417-1)*100)))</f>
        <v>-12.061538461538458</v>
      </c>
      <c r="FX417" s="73"/>
      <c r="FY417" s="61"/>
      <c r="FZ417" s="73"/>
      <c r="GA417" s="61"/>
      <c r="GB417" s="73"/>
      <c r="GC417" s="61"/>
      <c r="GD417" s="73"/>
      <c r="GE417" s="61"/>
      <c r="GF417" s="73"/>
      <c r="GG417" s="61"/>
      <c r="GH417" s="73"/>
      <c r="GI417" s="61"/>
      <c r="GJ417" s="73"/>
      <c r="GK417" s="61"/>
      <c r="GL417" s="73"/>
      <c r="GM417" s="61"/>
      <c r="GN417" s="73"/>
      <c r="GO417" s="61"/>
      <c r="GP417" s="73"/>
      <c r="GQ417" s="61"/>
      <c r="GR417" s="91"/>
      <c r="GS417" s="61"/>
      <c r="GT417" s="91"/>
      <c r="GU417" s="61"/>
      <c r="GV417" s="91"/>
      <c r="GW417" s="61"/>
      <c r="GX417" s="91"/>
      <c r="GY417" s="61"/>
      <c r="GZ417" s="61" t="str">
        <f t="shared" si="2316"/>
        <v/>
      </c>
      <c r="HA417" s="61"/>
      <c r="HB417" s="452"/>
      <c r="HC417"/>
      <c r="HD417"/>
      <c r="HE417"/>
      <c r="HF417"/>
      <c r="HG417"/>
      <c r="HH417"/>
    </row>
    <row r="418" spans="1:216" s="5" customFormat="1" ht="12.75" hidden="1" customHeight="1" outlineLevel="1" x14ac:dyDescent="0.2">
      <c r="B418" s="2" t="s">
        <v>543</v>
      </c>
      <c r="C418" s="69">
        <f>C416+C417</f>
        <v>96.699999999999989</v>
      </c>
      <c r="D418" s="70"/>
      <c r="E418" s="69">
        <f>E416+E417</f>
        <v>77.5</v>
      </c>
      <c r="F418" s="71"/>
      <c r="G418" s="69">
        <f>G416+G417</f>
        <v>96.2</v>
      </c>
      <c r="H418" s="71"/>
      <c r="I418" s="69">
        <f>I416+I417</f>
        <v>87.800000000000011</v>
      </c>
      <c r="J418" s="71"/>
      <c r="K418" s="69">
        <f>K417+K416</f>
        <v>69.800000000000011</v>
      </c>
      <c r="L418" s="61">
        <f>IF(ISERROR((K418/C418-1)*100),"NA",IF(((K418/C418-1)*100)&gt;100,"NM",IF(((K418/C418-1)*100)&lt;-50,"NM",(K418/C418-1)*100)))</f>
        <v>-27.817993795243002</v>
      </c>
      <c r="M418" s="69">
        <f>M417+M416</f>
        <v>42.9</v>
      </c>
      <c r="N418" s="61">
        <f>IF(ISERROR((M418/E418-1)*100),"NA",IF(((M418/E418-1)*100)&gt;100,"NM",IF(((M418/E418-1)*100)&lt;-50,"NM",(M418/E418-1)*100)))</f>
        <v>-44.645161290322577</v>
      </c>
      <c r="O418" s="69">
        <f>O417+O416</f>
        <v>70.5</v>
      </c>
      <c r="P418" s="61">
        <f>IF(ISERROR((O418/G418-1)*100),"NA",IF(((O418/G418-1)*100)&gt;100,"NM",IF(((O418/G418-1)*100)&lt;-50,"NM",(O418/G418-1)*100)))</f>
        <v>-26.715176715176714</v>
      </c>
      <c r="Q418" s="69">
        <f>Q417+Q416</f>
        <v>48.4</v>
      </c>
      <c r="R418" s="61">
        <f>IF(ISERROR((Q418/I418-1)*100),"NA",IF(((Q418/I418-1)*100)&gt;100,"NM",IF(((Q418/I418-1)*100)&lt;-50,"NM",(Q418/I418-1)*100)))</f>
        <v>-44.874715261959011</v>
      </c>
      <c r="S418" s="69">
        <f>S417+S416</f>
        <v>43.3</v>
      </c>
      <c r="T418" s="61">
        <f>IF(ISERROR((S418/K418-1)*100),"NA",IF(((S418/K418-1)*100)&gt;100,"NM",IF(((S418/K418-1)*100)&lt;-50,"NM",(S418/K418-1)*100)))</f>
        <v>-37.965616045845287</v>
      </c>
      <c r="U418" s="69">
        <f>U417+U416</f>
        <v>71.5</v>
      </c>
      <c r="V418" s="61">
        <f>IF(ISERROR((U418/M418-1)*100),"NA",IF(((U418/M418-1)*100)&gt;100,"NM",IF(((U418/M418-1)*100)&lt;-50,"NM",(U418/M418-1)*100)))</f>
        <v>66.666666666666671</v>
      </c>
      <c r="W418" s="69">
        <f>W417+W416</f>
        <v>91.399999999999991</v>
      </c>
      <c r="X418" s="61">
        <f>IF(ISERROR((W418/O418-1)*100),"NA",IF(((W418/O418-1)*100)&gt;100,"NM",IF(((W418/O418-1)*100)&lt;-50,"NM",(W418/O418-1)*100)))</f>
        <v>29.645390070921973</v>
      </c>
      <c r="Y418" s="69">
        <f>Y416+Y417</f>
        <v>38.4</v>
      </c>
      <c r="Z418" s="61">
        <f>IF(ISERROR((Y418/Q418-1)*100),"NA",IF(((Y418/Q418-1)*100)&gt;100,"NM",IF(((Y418/Q418-1)*100)&lt;-50,"NM",(Y418/Q418-1)*100)))</f>
        <v>-20.661157024793386</v>
      </c>
      <c r="AA418" s="69">
        <f>AA417+AA416</f>
        <v>58.3</v>
      </c>
      <c r="AB418" s="61">
        <f>IF(ISERROR((AA418/S418-1)*100),"NA",IF(((AA418/S418-1)*100)&gt;100,"NM",IF(((AA418/S418-1)*100)&lt;-50,"NM",(AA418/S418-1)*100)))</f>
        <v>34.64203233256351</v>
      </c>
      <c r="AC418" s="69">
        <f>AC417+AC416</f>
        <v>41.1</v>
      </c>
      <c r="AD418" s="61">
        <f>IF(ISERROR((AC418/U418-1)*100),"NA",IF(((AC418/U418-1)*100)&gt;100,"NM",IF(((AC418/U418-1)*100)&lt;-50,"NM",(AC418/U418-1)*100)))</f>
        <v>-42.51748251748252</v>
      </c>
      <c r="AE418" s="69">
        <f>AE417+AE416</f>
        <v>49.7</v>
      </c>
      <c r="AF418" s="61">
        <f>IF(ISERROR((AE418/W418-1)*100),"NA",IF(((AE418/W418-1)*100)&gt;100,"NM",IF(((AE418/W418-1)*100)&lt;-50,"NM",(AE418/W418-1)*100)))</f>
        <v>-45.623632385120338</v>
      </c>
      <c r="AG418" s="69">
        <f>AG417+AG416</f>
        <v>59.9</v>
      </c>
      <c r="AH418" s="61">
        <f>IF(ISERROR((AG418/Y418-1)*100),"NA",IF(((AG418/Y418-1)*100)&gt;100,"NM",IF(((AG418/Y418-1)*100)&lt;-50,"NM",(AG418/Y418-1)*100)))</f>
        <v>55.989583333333329</v>
      </c>
      <c r="AI418" s="69">
        <f>AI417+AI416</f>
        <v>66.599999999999994</v>
      </c>
      <c r="AJ418" s="61">
        <f>IF(ISERROR((AI418/AA418-1)*100),"NA",IF(((AI418/AA418-1)*100)&gt;100,"NM",IF(((AI418/AA418-1)*100)&lt;-50,"NM",(AI418/AA418-1)*100)))</f>
        <v>14.23670668953687</v>
      </c>
      <c r="AK418" s="69">
        <f>AK417+AK416</f>
        <v>64.5</v>
      </c>
      <c r="AL418" s="61">
        <f>IF(ISERROR((AK418/AC418-1)*100),"NA",IF(((AK418/AC418-1)*100)&gt;100,"NM",IF(((AK418/AC418-1)*100)&lt;-50,"NM",(AK418/AC418-1)*100)))</f>
        <v>56.934306569343065</v>
      </c>
      <c r="AM418" s="69">
        <f>AM417+AM416</f>
        <v>80.400000000000006</v>
      </c>
      <c r="AN418" s="61">
        <f>IF(ISERROR((AM418/AE418-1)*100),"NA",IF(((AM418/AE418-1)*100)&gt;100,"NM",IF(((AM418/AE418-1)*100)&lt;-50,"NM",(AM418/AE418-1)*100)))</f>
        <v>61.770623742454724</v>
      </c>
      <c r="AO418" s="69">
        <f>AO417+AO416</f>
        <v>63.8</v>
      </c>
      <c r="AP418" s="61">
        <f>IF(ISERROR((AO418/AG418-1)*100),"NA",IF(((AO418/AG418-1)*100)&gt;100,"NM",IF(((AO418/AG418-1)*100)&lt;-50,"NM",(AO418/AG418-1)*100)))</f>
        <v>6.5108514190317157</v>
      </c>
      <c r="AQ418" s="69">
        <f>AQ417+AQ416</f>
        <v>59.1</v>
      </c>
      <c r="AR418" s="61">
        <f>IF(ISERROR((AQ418/AI418-1)*100),"NA",IF(((AQ418/AI418-1)*100)&gt;100,"NM",IF(((AQ418/AI418-1)*100)&lt;-50,"NM",(AQ418/AI418-1)*100)))</f>
        <v>-11.261261261261247</v>
      </c>
      <c r="AS418" s="69">
        <f>AS417+AS416</f>
        <v>62.5</v>
      </c>
      <c r="AT418" s="61">
        <f>IF(ISERROR((AS418/AK418-1)*100),"NA",IF(((AS418/AK418-1)*100)&gt;100,"NM",IF(((AS418/AK418-1)*100)&lt;-50,"NM",(AS418/AK418-1)*100)))</f>
        <v>-3.1007751937984551</v>
      </c>
      <c r="AU418" s="69">
        <f>AU417+AU416</f>
        <v>88.2</v>
      </c>
      <c r="AV418" s="61">
        <f>IF(ISERROR((AU418/AM418-1)*100),"NA",IF(((AU418/AM418-1)*100)&gt;100,"NM",IF(((AU418/AM418-1)*100)&lt;-50,"NM",(AU418/AM418-1)*100)))</f>
        <v>9.7014925373134275</v>
      </c>
      <c r="AW418" s="69">
        <f>AW417+AW416</f>
        <v>41.9</v>
      </c>
      <c r="AX418" s="61">
        <f>IF(ISERROR((AW418/AO418-1)*100),"NA",IF(((AW418/AO418-1)*100)&gt;100,"NM",IF(((AW418/AO418-1)*100)&lt;-50,"NM",(AW418/AO418-1)*100)))</f>
        <v>-34.326018808777427</v>
      </c>
      <c r="AY418" s="69">
        <f>AY417+AY416</f>
        <v>53</v>
      </c>
      <c r="AZ418" s="61">
        <f>IF(ISERROR((AY418/AQ418-1)*100),"NA",IF(((AY418/AQ418-1)*100)&gt;100,"NM",IF(((AY418/AQ418-1)*100)&lt;-50,"NM",(AY418/AQ418-1)*100)))</f>
        <v>-10.321489001692052</v>
      </c>
      <c r="BA418" s="69">
        <f>BA417+BA416</f>
        <v>66.400000000000006</v>
      </c>
      <c r="BB418" s="61">
        <f>IF(ISERROR((BA418/AS418-1)*100),"NA",IF(((BA418/AS418-1)*100)&gt;100,"NM",IF(((BA418/AS418-1)*100)&lt;-50,"NM",(BA418/AS418-1)*100)))</f>
        <v>6.2400000000000011</v>
      </c>
      <c r="BC418" s="69">
        <f>BC417+BC416</f>
        <v>59.5</v>
      </c>
      <c r="BD418" s="61">
        <f>IF(ISERROR((BC418/AU418-1)*100),"NA",IF(((BC418/AU418-1)*100)&gt;100,"NM",IF(((BC418/AU418-1)*100)&lt;-50,"NM",(BC418/AU418-1)*100)))</f>
        <v>-32.539682539682545</v>
      </c>
      <c r="BE418" s="69">
        <f>BE417+BE416</f>
        <v>69.5</v>
      </c>
      <c r="BF418" s="61">
        <f>IF(ISERROR((BE418/AW418-1)*100),"NA",IF(((BE418/AW418-1)*100)&gt;100,"NM",IF(((BE418/AW418-1)*100)&lt;-50,"NM",(BE418/AW418-1)*100)))</f>
        <v>65.871121718377097</v>
      </c>
      <c r="BG418" s="69">
        <f>BG417+BG416</f>
        <v>74</v>
      </c>
      <c r="BH418" s="61">
        <f>IF(ISERROR((BG418/AY418-1)*100),"NA",IF(((BG418/AY418-1)*100)&gt;100,"NM",IF(((BG418/AY418-1)*100)&lt;-50,"NM",(BG418/AY418-1)*100)))</f>
        <v>39.622641509433954</v>
      </c>
      <c r="BI418" s="69">
        <f>BI417+BI416</f>
        <v>74.5</v>
      </c>
      <c r="BJ418" s="61">
        <f>IF(ISERROR((BI418/BA418-1)*100),"NA",IF(((BI418/BA418-1)*100)&gt;100,"NM",IF(((BI418/BA418-1)*100)&lt;-50,"NM",(BI418/BA418-1)*100)))</f>
        <v>12.198795180722888</v>
      </c>
      <c r="BK418" s="69">
        <f>BK417+BK416</f>
        <v>72.7</v>
      </c>
      <c r="BL418" s="61">
        <f>IF(ISERROR((BK418/BC418-1)*100),"NA",IF(((BK418/BC418-1)*100)&gt;100,"NM",IF(((BK418/BC418-1)*100)&lt;-50,"NM",(BK418/BC418-1)*100)))</f>
        <v>22.184873949579842</v>
      </c>
      <c r="BM418" s="69">
        <f>BM417+BM416</f>
        <v>78.8</v>
      </c>
      <c r="BN418" s="61">
        <f>IF(ISERROR((BM418/BE418-1)*100),"NA",IF(((BM418/BE418-1)*100)&gt;100,"NM",IF(((BM418/BE418-1)*100)&lt;-50,"NM",(BM418/BE418-1)*100)))</f>
        <v>13.381294964028779</v>
      </c>
      <c r="BO418" s="69">
        <f>BO417+BO416</f>
        <v>69.2</v>
      </c>
      <c r="BP418" s="61">
        <f>IF(ISERROR((BO418/BG418-1)*100),"NA",IF(((BO418/BG418-1)*100)&gt;100,"NM",IF(((BO418/BG418-1)*100)&lt;-50,"NM",(BO418/BG418-1)*100)))</f>
        <v>-6.4864864864864868</v>
      </c>
      <c r="BQ418" s="69">
        <f>BQ417+BQ416</f>
        <v>70.2</v>
      </c>
      <c r="BR418" s="61">
        <f>IF(ISERROR((BQ418/BI418-1)*100),"NA",IF(((BQ418/BI418-1)*100)&gt;100,"NM",IF(((BQ418/BI418-1)*100)&lt;-50,"NM",(BQ418/BI418-1)*100)))</f>
        <v>-5.7718120805369093</v>
      </c>
      <c r="BS418" s="69">
        <f>BS417+BS416</f>
        <v>60.9</v>
      </c>
      <c r="BT418" s="61">
        <f>IF(ISERROR((BS418/BK418-1)*100),"NA",IF(((BS418/BK418-1)*100)&gt;100,"NM",IF(((BS418/BK418-1)*100)&lt;-50,"NM",(BS418/BK418-1)*100)))</f>
        <v>-16.231086657496562</v>
      </c>
      <c r="BU418" s="69">
        <f>BU417+BU416</f>
        <v>49.9</v>
      </c>
      <c r="BV418" s="61">
        <f>IF(ISERROR((BU418/BM418-1)*100),"NA",IF(((BU418/BM418-1)*100)&gt;100,"NM",IF(((BU418/BM418-1)*100)&lt;-50,"NM",(BU418/BM418-1)*100)))</f>
        <v>-36.675126903553299</v>
      </c>
      <c r="BW418" s="69">
        <f>BW417+BW416</f>
        <v>37.9</v>
      </c>
      <c r="BX418" s="61">
        <f>IF(ISERROR((BW418/BO418-1)*100),"NA",IF(((BW418/BO418-1)*100)&gt;100,"NM",IF(((BW418/BO418-1)*100)&lt;-50,"NM",(BW418/BO418-1)*100)))</f>
        <v>-45.231213872832377</v>
      </c>
      <c r="BY418" s="69"/>
      <c r="BZ418" s="61"/>
      <c r="CA418" s="69"/>
      <c r="CB418" s="61"/>
      <c r="CC418" s="69"/>
      <c r="CD418" s="61"/>
      <c r="CE418" s="69"/>
      <c r="CF418" s="61"/>
      <c r="CG418" s="69"/>
      <c r="CH418" s="61"/>
      <c r="CI418" s="69"/>
      <c r="CJ418" s="61"/>
      <c r="CK418" s="69"/>
      <c r="CL418" s="61"/>
      <c r="CM418" s="69"/>
      <c r="CN418" s="61"/>
      <c r="CO418" s="69"/>
      <c r="CP418" s="61"/>
      <c r="CQ418" s="69"/>
      <c r="CR418" s="61"/>
      <c r="CS418" s="69"/>
      <c r="CT418" s="61"/>
      <c r="CU418" s="69"/>
      <c r="CV418" s="61"/>
      <c r="CW418" s="69"/>
      <c r="CX418" s="61"/>
      <c r="CY418" s="69"/>
      <c r="CZ418" s="61"/>
      <c r="DA418" s="69"/>
      <c r="DB418" s="61"/>
      <c r="DC418" s="69"/>
      <c r="DD418" s="61"/>
      <c r="DE418" s="69"/>
      <c r="DF418" s="61"/>
      <c r="DG418" s="69"/>
      <c r="DH418" s="61"/>
      <c r="DI418" s="69"/>
      <c r="DJ418" s="61"/>
      <c r="DK418" s="69"/>
      <c r="DL418" s="61"/>
      <c r="DM418" s="69"/>
      <c r="DN418" s="61"/>
      <c r="DO418" s="69"/>
      <c r="DP418" s="61"/>
      <c r="DQ418" s="69"/>
      <c r="DR418" s="61"/>
      <c r="DS418" s="69"/>
      <c r="DT418" s="61"/>
      <c r="DU418" s="69"/>
      <c r="DV418" s="61"/>
      <c r="DW418" s="69"/>
      <c r="DX418" s="69"/>
      <c r="DY418" s="69"/>
      <c r="DZ418" s="61"/>
      <c r="EA418" s="69"/>
      <c r="EB418" s="61"/>
      <c r="EC418" s="69"/>
      <c r="ED418" s="61"/>
      <c r="EE418" s="69"/>
      <c r="EF418" s="61"/>
      <c r="EG418" s="69"/>
      <c r="EH418" s="61"/>
      <c r="EI418" s="69"/>
      <c r="EJ418" s="61"/>
      <c r="EK418" s="69"/>
      <c r="EL418" s="61"/>
      <c r="EM418" s="69"/>
      <c r="EN418" s="61"/>
      <c r="EO418" s="69"/>
      <c r="EP418" s="61"/>
      <c r="EQ418" s="69"/>
      <c r="ER418" s="61"/>
      <c r="ES418" s="69"/>
      <c r="ET418" s="61"/>
      <c r="EU418" s="69"/>
      <c r="EV418" s="61"/>
      <c r="EW418" s="69"/>
      <c r="EX418" s="61"/>
      <c r="EY418" s="66"/>
      <c r="EZ418" s="558"/>
      <c r="FA418" s="66"/>
      <c r="FB418" s="69">
        <f>SUM(FB416:FB417)</f>
        <v>332.9</v>
      </c>
      <c r="FC418" s="71"/>
      <c r="FD418" s="69">
        <f>SUM(FD416:FD417)</f>
        <v>536.70000000000005</v>
      </c>
      <c r="FE418" s="70">
        <f>IF(ISERROR((FD418/FB418-1)*100),"NA",IF(((FD418/FB418-1)*100)&gt;100,"NM",IF(((FD418/FB418-1)*100)&lt;-50,"NM",(FD418/FB418-1)*100)))</f>
        <v>61.219585461099449</v>
      </c>
      <c r="FF418" s="84">
        <f>SUM(FF416:FF417)</f>
        <v>360.2</v>
      </c>
      <c r="FG418" s="70">
        <f>IF(ISERROR((FF418/FD418-1)*100),"NA",IF(((FF418/FD418-1)*100)&gt;100,"NM",IF(((FF418/FD418-1)*100)&lt;-50,"NM",(FF418/FD418-1)*100)))</f>
        <v>-32.886156139370236</v>
      </c>
      <c r="FH418" s="69">
        <f>FH416+FH417</f>
        <v>231.60000000000002</v>
      </c>
      <c r="FI418" s="70">
        <f>IF(ISERROR((FH418/FF418-1)*100),"NA",IF(((FH418/FF418-1)*100)&gt;100,"NM",IF(((FH418/FF418-1)*100)&lt;-50,"NM",(FH418/FF418-1)*100)))</f>
        <v>-35.70238756246529</v>
      </c>
      <c r="FJ418" s="69">
        <f>FJ416+FJ417</f>
        <v>244.6</v>
      </c>
      <c r="FK418" s="70">
        <f>IF(ISERROR((FJ418/FH418-1)*100),"NA",IF(((FJ418/FH418-1)*100)&gt;100,"NM",IF(((FJ418/FH418-1)*100)&lt;-50,"NM",(FJ418/FH418-1)*100)))</f>
        <v>5.6131260794473059</v>
      </c>
      <c r="FL418" s="69">
        <f>FL416+FL417</f>
        <v>209</v>
      </c>
      <c r="FM418" s="61">
        <f>IF(ISERROR((FL418/FJ418-1)*100),"NA",IF(((FL418/FJ418-1)*100)&gt;100,"NM",IF(((FL418/FJ418-1)*100)&lt;-50,"NM",(FL418/FJ418-1)*100)))</f>
        <v>-14.554374488961564</v>
      </c>
      <c r="FN418" s="69">
        <f>FN416+FN417</f>
        <v>275.3</v>
      </c>
      <c r="FO418" s="61">
        <f>IF(ISERROR((FN418/FL418-1)*100),"NA",IF(((FN418/FL418-1)*100)&gt;100,"NM",IF(((FN418/FL418-1)*100)&lt;-50,"NM",(FN418/FL418-1)*100)))</f>
        <v>31.722488038277508</v>
      </c>
      <c r="FP418" s="73">
        <f>FP416+FP417</f>
        <v>251.7</v>
      </c>
      <c r="FQ418" s="61">
        <f>IF(ISERROR((FP418/FN418-1)*100),"NA",IF(((FP418/FN418-1)*100)&gt;100,"NM",IF(((FP418/FN418-1)*100)&lt;-50,"NM",(FP418/FN418-1)*100)))</f>
        <v>-8.572466400290601</v>
      </c>
      <c r="FR418" s="73">
        <f>FR416+FR417</f>
        <v>248.4</v>
      </c>
      <c r="FS418" s="61">
        <f>IF(ISERROR((FR418/FP418-1)*100),"NA",IF(((FR418/FP418-1)*100)&gt;100,"NM",IF(((FR418/FP418-1)*100)&lt;-50,"NM",(FR418/FP418-1)*100)))</f>
        <v>-1.3110846245530272</v>
      </c>
      <c r="FT418" s="73">
        <f>FT416+FT417</f>
        <v>300</v>
      </c>
      <c r="FU418" s="61">
        <f>IF(ISERROR((FT418/FR418-1)*100),"NA",IF(((FT418/FR418-1)*100)&gt;100,"NM",IF(((FT418/FR418-1)*100)&lt;-50,"NM",(FT418/FR418-1)*100)))</f>
        <v>20.772946859903385</v>
      </c>
      <c r="FV418" s="73">
        <f>FV416+FV417</f>
        <v>250.20000000000002</v>
      </c>
      <c r="FW418" s="61">
        <f>IF(ISERROR((FV418/FT418-1)*100),"NA",IF(((FV418/FT418-1)*100)&gt;100,"NM",IF(((FV418/FT418-1)*100)&lt;-50,"NM",(FV418/FT418-1)*100)))</f>
        <v>-16.599999999999994</v>
      </c>
      <c r="FX418" s="73"/>
      <c r="FY418" s="61"/>
      <c r="FZ418" s="73"/>
      <c r="GA418" s="61"/>
      <c r="GB418" s="73"/>
      <c r="GC418" s="61"/>
      <c r="GD418" s="73"/>
      <c r="GE418" s="61"/>
      <c r="GF418" s="73"/>
      <c r="GG418" s="61"/>
      <c r="GH418" s="73"/>
      <c r="GI418" s="61"/>
      <c r="GJ418" s="73"/>
      <c r="GK418" s="61"/>
      <c r="GL418" s="73"/>
      <c r="GM418" s="61"/>
      <c r="GN418" s="73"/>
      <c r="GO418" s="61"/>
      <c r="GP418" s="73"/>
      <c r="GQ418" s="61"/>
      <c r="GR418" s="69"/>
      <c r="GS418" s="61"/>
      <c r="GT418" s="69"/>
      <c r="GU418" s="61"/>
      <c r="GV418" s="69"/>
      <c r="GW418" s="61"/>
      <c r="GX418" s="69"/>
      <c r="GY418" s="61"/>
      <c r="GZ418" s="61" t="str">
        <f t="shared" si="2316"/>
        <v/>
      </c>
      <c r="HA418" s="61"/>
      <c r="HB418" s="452"/>
      <c r="HC418"/>
      <c r="HD418"/>
      <c r="HE418"/>
      <c r="HF418"/>
      <c r="HG418"/>
      <c r="HH418"/>
    </row>
    <row r="419" spans="1:216" s="5" customFormat="1" ht="12.75" hidden="1" customHeight="1" outlineLevel="1" x14ac:dyDescent="0.2">
      <c r="B419" s="2"/>
      <c r="C419" s="66"/>
      <c r="D419" s="67"/>
      <c r="E419" s="66"/>
      <c r="F419" s="66"/>
      <c r="G419" s="64"/>
      <c r="H419" s="66"/>
      <c r="I419" s="64"/>
      <c r="J419" s="66"/>
      <c r="K419" s="64"/>
      <c r="L419" s="61"/>
      <c r="M419" s="66"/>
      <c r="N419" s="61"/>
      <c r="O419" s="64"/>
      <c r="P419" s="61"/>
      <c r="Q419" s="64"/>
      <c r="R419" s="61"/>
      <c r="S419" s="64"/>
      <c r="T419" s="61"/>
      <c r="U419" s="64"/>
      <c r="V419" s="61"/>
      <c r="W419" s="74"/>
      <c r="X419" s="61"/>
      <c r="Y419" s="64"/>
      <c r="Z419" s="61"/>
      <c r="AA419" s="64"/>
      <c r="AB419" s="61"/>
      <c r="AC419" s="64"/>
      <c r="AD419" s="61"/>
      <c r="AE419" s="64"/>
      <c r="AF419" s="61"/>
      <c r="AG419" s="64"/>
      <c r="AH419" s="61"/>
      <c r="AI419" s="64"/>
      <c r="AJ419" s="61"/>
      <c r="AK419" s="64"/>
      <c r="AL419" s="61"/>
      <c r="AM419" s="64"/>
      <c r="AN419" s="61"/>
      <c r="AO419" s="64"/>
      <c r="AP419" s="61"/>
      <c r="AQ419" s="64"/>
      <c r="AR419" s="61"/>
      <c r="AS419" s="64"/>
      <c r="AT419" s="61"/>
      <c r="AU419" s="64"/>
      <c r="AV419" s="61"/>
      <c r="AW419" s="64"/>
      <c r="AX419" s="61"/>
      <c r="AY419" s="64"/>
      <c r="AZ419" s="61"/>
      <c r="BA419" s="64"/>
      <c r="BB419" s="61"/>
      <c r="BC419" s="64"/>
      <c r="BD419" s="61"/>
      <c r="BE419" s="64"/>
      <c r="BF419" s="61"/>
      <c r="BG419" s="64"/>
      <c r="BH419" s="61"/>
      <c r="BI419" s="64"/>
      <c r="BJ419" s="61"/>
      <c r="BK419" s="64"/>
      <c r="BL419" s="61"/>
      <c r="BM419" s="64"/>
      <c r="BN419" s="61"/>
      <c r="BO419" s="64"/>
      <c r="BP419" s="61"/>
      <c r="BQ419" s="64"/>
      <c r="BR419" s="61"/>
      <c r="BS419" s="64"/>
      <c r="BT419" s="61"/>
      <c r="BU419" s="64"/>
      <c r="BV419" s="61"/>
      <c r="BW419" s="64"/>
      <c r="BX419" s="61"/>
      <c r="BY419" s="64"/>
      <c r="BZ419" s="61"/>
      <c r="CA419" s="64"/>
      <c r="CB419" s="61"/>
      <c r="CC419" s="64"/>
      <c r="CD419" s="61"/>
      <c r="CE419" s="64"/>
      <c r="CF419" s="61"/>
      <c r="CG419" s="64"/>
      <c r="CH419" s="61"/>
      <c r="CI419" s="64"/>
      <c r="CJ419" s="61"/>
      <c r="CK419" s="64"/>
      <c r="CL419" s="61"/>
      <c r="CM419" s="64"/>
      <c r="CN419" s="61"/>
      <c r="CO419" s="64"/>
      <c r="CP419" s="61"/>
      <c r="CQ419" s="64"/>
      <c r="CR419" s="61"/>
      <c r="CS419" s="64"/>
      <c r="CT419" s="61"/>
      <c r="CU419" s="64"/>
      <c r="CV419" s="61"/>
      <c r="CW419" s="64"/>
      <c r="CX419" s="61"/>
      <c r="CY419" s="64"/>
      <c r="CZ419" s="61"/>
      <c r="DA419" s="64"/>
      <c r="DB419" s="61"/>
      <c r="DC419" s="64"/>
      <c r="DD419" s="61"/>
      <c r="DE419" s="64"/>
      <c r="DF419" s="61"/>
      <c r="DG419" s="64"/>
      <c r="DH419" s="61"/>
      <c r="DI419" s="64"/>
      <c r="DJ419" s="61"/>
      <c r="DK419" s="64"/>
      <c r="DL419" s="61"/>
      <c r="DM419" s="64"/>
      <c r="DN419" s="61"/>
      <c r="DO419" s="64"/>
      <c r="DP419" s="61"/>
      <c r="DQ419" s="64"/>
      <c r="DR419" s="61"/>
      <c r="DS419" s="64"/>
      <c r="DT419" s="61"/>
      <c r="DU419" s="64"/>
      <c r="DV419" s="61"/>
      <c r="DW419" s="64"/>
      <c r="DX419" s="64"/>
      <c r="DY419" s="64"/>
      <c r="DZ419" s="61"/>
      <c r="EA419" s="64"/>
      <c r="EB419" s="61"/>
      <c r="EC419" s="64"/>
      <c r="ED419" s="61"/>
      <c r="EE419" s="64"/>
      <c r="EF419" s="61"/>
      <c r="EG419" s="64"/>
      <c r="EH419" s="61"/>
      <c r="EI419" s="64"/>
      <c r="EJ419" s="61"/>
      <c r="EK419" s="64"/>
      <c r="EL419" s="61"/>
      <c r="EM419" s="64"/>
      <c r="EN419" s="61"/>
      <c r="EO419" s="64"/>
      <c r="EP419" s="61"/>
      <c r="EQ419" s="64"/>
      <c r="ER419" s="61"/>
      <c r="ES419" s="64"/>
      <c r="ET419" s="61"/>
      <c r="EU419" s="64"/>
      <c r="EV419" s="61"/>
      <c r="EW419" s="64"/>
      <c r="EX419" s="61"/>
      <c r="EY419" s="64"/>
      <c r="EZ419" s="558"/>
      <c r="FA419" s="64"/>
      <c r="FB419" s="66"/>
      <c r="FC419" s="66"/>
      <c r="FD419" s="66"/>
      <c r="FE419" s="67"/>
      <c r="FF419" s="66"/>
      <c r="FG419" s="67"/>
      <c r="FH419" s="66"/>
      <c r="FI419" s="67"/>
      <c r="FJ419" s="66"/>
      <c r="FK419" s="67"/>
      <c r="FL419" s="66"/>
      <c r="FM419" s="61"/>
      <c r="FN419" s="66"/>
      <c r="FO419" s="61"/>
      <c r="FP419" s="65"/>
      <c r="FQ419" s="61"/>
      <c r="FR419" s="65"/>
      <c r="FS419" s="61"/>
      <c r="FT419" s="65"/>
      <c r="FU419" s="61"/>
      <c r="FV419" s="65"/>
      <c r="FW419" s="61"/>
      <c r="FX419" s="65"/>
      <c r="FY419" s="61"/>
      <c r="FZ419" s="65"/>
      <c r="GA419" s="61"/>
      <c r="GB419" s="65"/>
      <c r="GC419" s="61"/>
      <c r="GD419" s="65"/>
      <c r="GE419" s="61"/>
      <c r="GF419" s="65"/>
      <c r="GG419" s="61"/>
      <c r="GH419" s="65"/>
      <c r="GI419" s="61"/>
      <c r="GJ419" s="65"/>
      <c r="GK419" s="61"/>
      <c r="GL419" s="65"/>
      <c r="GM419" s="61"/>
      <c r="GN419" s="65"/>
      <c r="GO419" s="61"/>
      <c r="GP419" s="65"/>
      <c r="GQ419" s="61"/>
      <c r="GR419" s="64"/>
      <c r="GS419" s="61"/>
      <c r="GT419" s="64"/>
      <c r="GU419" s="61"/>
      <c r="GV419" s="64"/>
      <c r="GW419" s="61"/>
      <c r="GX419" s="64"/>
      <c r="GY419" s="61"/>
      <c r="GZ419" s="61" t="str">
        <f t="shared" si="2316"/>
        <v/>
      </c>
      <c r="HA419" s="61"/>
      <c r="HB419" s="452"/>
      <c r="HC419"/>
      <c r="HD419"/>
      <c r="HE419"/>
      <c r="HF419"/>
      <c r="HG419"/>
      <c r="HH419"/>
    </row>
    <row r="420" spans="1:216" s="5" customFormat="1" ht="12.75" hidden="1" customHeight="1" outlineLevel="1" x14ac:dyDescent="0.2">
      <c r="B420" s="63" t="s">
        <v>597</v>
      </c>
      <c r="C420" s="66"/>
      <c r="D420" s="67"/>
      <c r="E420" s="66"/>
      <c r="F420" s="66"/>
      <c r="G420" s="64"/>
      <c r="H420" s="66"/>
      <c r="I420" s="64"/>
      <c r="J420" s="66"/>
      <c r="K420" s="64"/>
      <c r="L420" s="61"/>
      <c r="M420" s="66"/>
      <c r="N420" s="61"/>
      <c r="O420" s="64"/>
      <c r="P420" s="61"/>
      <c r="Q420" s="64"/>
      <c r="R420" s="61"/>
      <c r="S420" s="64"/>
      <c r="T420" s="61"/>
      <c r="U420" s="64"/>
      <c r="V420" s="61"/>
      <c r="W420" s="64"/>
      <c r="X420" s="61"/>
      <c r="Y420" s="64"/>
      <c r="Z420" s="61"/>
      <c r="AA420" s="64"/>
      <c r="AB420" s="61"/>
      <c r="AC420" s="64"/>
      <c r="AD420" s="61"/>
      <c r="AE420" s="64"/>
      <c r="AF420" s="61"/>
      <c r="AG420" s="64"/>
      <c r="AH420" s="61"/>
      <c r="AI420" s="64"/>
      <c r="AJ420" s="61"/>
      <c r="AK420" s="64"/>
      <c r="AL420" s="61"/>
      <c r="AM420" s="64"/>
      <c r="AN420" s="61"/>
      <c r="AO420" s="64"/>
      <c r="AP420" s="61"/>
      <c r="AQ420" s="64"/>
      <c r="AR420" s="61"/>
      <c r="AS420" s="64"/>
      <c r="AT420" s="61"/>
      <c r="AU420" s="64"/>
      <c r="AV420" s="61"/>
      <c r="AW420" s="64"/>
      <c r="AX420" s="61"/>
      <c r="AY420" s="64"/>
      <c r="AZ420" s="61"/>
      <c r="BA420" s="64"/>
      <c r="BB420" s="61"/>
      <c r="BC420" s="64"/>
      <c r="BD420" s="61"/>
      <c r="BE420" s="64"/>
      <c r="BF420" s="61"/>
      <c r="BG420" s="64"/>
      <c r="BH420" s="61"/>
      <c r="BI420" s="64"/>
      <c r="BJ420" s="61"/>
      <c r="BK420" s="64"/>
      <c r="BL420" s="61"/>
      <c r="BM420" s="64"/>
      <c r="BN420" s="61"/>
      <c r="BO420" s="64"/>
      <c r="BP420" s="61"/>
      <c r="BQ420" s="64"/>
      <c r="BR420" s="61"/>
      <c r="BS420" s="64"/>
      <c r="BT420" s="61"/>
      <c r="BU420" s="64"/>
      <c r="BV420" s="61"/>
      <c r="BW420" s="64"/>
      <c r="BX420" s="61"/>
      <c r="BY420" s="64"/>
      <c r="BZ420" s="61"/>
      <c r="CA420" s="64"/>
      <c r="CB420" s="61"/>
      <c r="CC420" s="64"/>
      <c r="CD420" s="61"/>
      <c r="CE420" s="64"/>
      <c r="CF420" s="61"/>
      <c r="CG420" s="64"/>
      <c r="CH420" s="61"/>
      <c r="CI420" s="64"/>
      <c r="CJ420" s="61"/>
      <c r="CK420" s="64"/>
      <c r="CL420" s="61"/>
      <c r="CM420" s="64"/>
      <c r="CN420" s="61"/>
      <c r="CO420" s="64"/>
      <c r="CP420" s="61"/>
      <c r="CQ420" s="64"/>
      <c r="CR420" s="61"/>
      <c r="CS420" s="64"/>
      <c r="CT420" s="61"/>
      <c r="CU420" s="64"/>
      <c r="CV420" s="61"/>
      <c r="CW420" s="64"/>
      <c r="CX420" s="61"/>
      <c r="CY420" s="64"/>
      <c r="CZ420" s="61"/>
      <c r="DA420" s="64"/>
      <c r="DB420" s="61"/>
      <c r="DC420" s="64"/>
      <c r="DD420" s="61"/>
      <c r="DE420" s="64"/>
      <c r="DF420" s="61"/>
      <c r="DG420" s="64"/>
      <c r="DH420" s="61"/>
      <c r="DI420" s="64"/>
      <c r="DJ420" s="61"/>
      <c r="DK420" s="64"/>
      <c r="DL420" s="61"/>
      <c r="DM420" s="64"/>
      <c r="DN420" s="61"/>
      <c r="DO420" s="64"/>
      <c r="DP420" s="61"/>
      <c r="DQ420" s="64"/>
      <c r="DR420" s="61"/>
      <c r="DS420" s="64"/>
      <c r="DT420" s="61"/>
      <c r="DU420" s="64"/>
      <c r="DV420" s="61"/>
      <c r="DW420" s="64"/>
      <c r="DX420" s="64"/>
      <c r="DY420" s="64"/>
      <c r="DZ420" s="61"/>
      <c r="EA420" s="64"/>
      <c r="EB420" s="61"/>
      <c r="EC420" s="64"/>
      <c r="ED420" s="61"/>
      <c r="EE420" s="64"/>
      <c r="EF420" s="61"/>
      <c r="EG420" s="64"/>
      <c r="EH420" s="61"/>
      <c r="EI420" s="64"/>
      <c r="EJ420" s="61"/>
      <c r="EK420" s="64"/>
      <c r="EL420" s="61"/>
      <c r="EM420" s="64"/>
      <c r="EN420" s="61"/>
      <c r="EO420" s="64"/>
      <c r="EP420" s="61"/>
      <c r="EQ420" s="64"/>
      <c r="ER420" s="61"/>
      <c r="ES420" s="64"/>
      <c r="ET420" s="61"/>
      <c r="EU420" s="64"/>
      <c r="EV420" s="61"/>
      <c r="EW420" s="64"/>
      <c r="EX420" s="61"/>
      <c r="EY420" s="64"/>
      <c r="EZ420" s="558"/>
      <c r="FA420" s="64"/>
      <c r="FB420" s="66"/>
      <c r="FC420" s="66"/>
      <c r="FD420" s="66"/>
      <c r="FE420" s="67"/>
      <c r="FF420" s="66"/>
      <c r="FG420" s="67"/>
      <c r="FH420" s="66"/>
      <c r="FI420" s="67"/>
      <c r="FJ420" s="66"/>
      <c r="FK420" s="67"/>
      <c r="FL420" s="66"/>
      <c r="FM420" s="61"/>
      <c r="FN420" s="66"/>
      <c r="FO420" s="61"/>
      <c r="FP420" s="65"/>
      <c r="FQ420" s="61"/>
      <c r="FR420" s="65"/>
      <c r="FS420" s="61"/>
      <c r="FT420" s="65"/>
      <c r="FU420" s="61"/>
      <c r="FV420" s="65"/>
      <c r="FW420" s="61"/>
      <c r="FX420" s="65"/>
      <c r="FY420" s="61"/>
      <c r="FZ420" s="65"/>
      <c r="GA420" s="61"/>
      <c r="GB420" s="65"/>
      <c r="GC420" s="61"/>
      <c r="GD420" s="65"/>
      <c r="GE420" s="61"/>
      <c r="GF420" s="65"/>
      <c r="GG420" s="61"/>
      <c r="GH420" s="65"/>
      <c r="GI420" s="61"/>
      <c r="GJ420" s="65"/>
      <c r="GK420" s="61"/>
      <c r="GL420" s="65"/>
      <c r="GM420" s="61"/>
      <c r="GN420" s="65"/>
      <c r="GO420" s="61"/>
      <c r="GP420" s="65"/>
      <c r="GQ420" s="61"/>
      <c r="GR420" s="64"/>
      <c r="GS420" s="61"/>
      <c r="GT420" s="64"/>
      <c r="GU420" s="61"/>
      <c r="GV420" s="64"/>
      <c r="GW420" s="61"/>
      <c r="GX420" s="64"/>
      <c r="GY420" s="61"/>
      <c r="GZ420" s="61" t="str">
        <f t="shared" si="2316"/>
        <v/>
      </c>
      <c r="HA420" s="61"/>
      <c r="HB420" s="452"/>
      <c r="HC420"/>
      <c r="HD420"/>
      <c r="HE420"/>
      <c r="HF420"/>
      <c r="HG420"/>
      <c r="HH420"/>
    </row>
    <row r="421" spans="1:216" s="5" customFormat="1" ht="12.75" hidden="1" customHeight="1" outlineLevel="1" x14ac:dyDescent="0.2">
      <c r="B421" s="68" t="s">
        <v>595</v>
      </c>
      <c r="C421" s="230">
        <f>C416/C413*100</f>
        <v>29.914529914529915</v>
      </c>
      <c r="D421" s="70"/>
      <c r="E421" s="230">
        <f>E416/E413*100</f>
        <v>36.065573770491802</v>
      </c>
      <c r="F421" s="71"/>
      <c r="G421" s="230">
        <f>G416/G413*100</f>
        <v>46.883468834688351</v>
      </c>
      <c r="H421" s="71"/>
      <c r="I421" s="230">
        <f>I416/I413*100</f>
        <v>54.747474747474747</v>
      </c>
      <c r="J421" s="71"/>
      <c r="K421" s="230">
        <f>K416/K413*100</f>
        <v>27.180067950169871</v>
      </c>
      <c r="L421" s="61">
        <f>IF(ISERROR((K421/C421-1)*100),"NA",IF(((K421/C421-1)*100)&gt;100,"NM",IF(((K421/C421-1)*100)&lt;-50,"NM",(K421/C421-1)*100)))</f>
        <v>-9.1409157094321518</v>
      </c>
      <c r="M421" s="230">
        <f>M416/M413*100</f>
        <v>29.153094462540714</v>
      </c>
      <c r="N421" s="61">
        <f>IF(ISERROR((M421/E421-1)*100),"NA",IF(((M421/E421-1)*100)&gt;100,"NM",IF(((M421/E421-1)*100)&lt;-50,"NM",(M421/E421-1)*100)))</f>
        <v>-19.166419899318932</v>
      </c>
      <c r="O421" s="230">
        <f>O416/O413*100</f>
        <v>26.070528967254408</v>
      </c>
      <c r="P421" s="61">
        <f>IF(ISERROR((O421/G421-1)*100),"NA",IF(((O421/G421-1)*100)&gt;100,"NM",IF(((O421/G421-1)*100)&lt;-50,"NM",(O421/G421-1)*100)))</f>
        <v>-44.392917983139448</v>
      </c>
      <c r="Q421" s="230">
        <f>Q416/Q413*100</f>
        <v>42.36252545824847</v>
      </c>
      <c r="R421" s="61">
        <f>IF(ISERROR((Q421/I421-1)*100),"NA",IF(((Q421/I421-1)*100)&gt;100,"NM",IF(((Q421/I421-1)*100)&lt;-50,"NM",(Q421/I421-1)*100)))</f>
        <v>-22.62195534378969</v>
      </c>
      <c r="S421" s="230">
        <f>S416/S413*100</f>
        <v>31.335616438356162</v>
      </c>
      <c r="T421" s="61">
        <f>IF(ISERROR((S421/K421-1)*100),"NA",IF(((S421/K421-1)*100)&gt;100,"NM",IF(((S421/K421-1)*100)&lt;-50,"NM",(S421/K421-1)*100)))</f>
        <v>15.28895547945206</v>
      </c>
      <c r="U421" s="230">
        <f>U416/U413*100</f>
        <v>25.032938076416333</v>
      </c>
      <c r="V421" s="61">
        <f>IF(ISERROR((U421/M421-1)*100),"NA",IF(((U421/M421-1)*100)&gt;100,"NM",IF(((U421/M421-1)*100)&lt;-50,"NM",(U421/M421-1)*100)))</f>
        <v>-14.132826933409891</v>
      </c>
      <c r="W421" s="230">
        <f>W416/W413*100</f>
        <v>26.269315673289185</v>
      </c>
      <c r="X421" s="61">
        <f>IF(ISERROR((W421/O421-1)*100),"NA",IF(((W421/O421-1)*100)&gt;100,"NM",IF(((W421/O421-1)*100)&lt;-50,"NM",(W421/O421-1)*100)))</f>
        <v>0.76249586759233878</v>
      </c>
      <c r="Y421" s="230">
        <f>Y416/Y413*100</f>
        <v>46.24505928853754</v>
      </c>
      <c r="Z421" s="61">
        <f>IF(ISERROR((Y421/Q421-1)*100),"NA",IF(((Y421/Q421-1)*100)&gt;100,"NM",IF(((Y421/Q421-1)*100)&lt;-50,"NM",(Y421/Q421-1)*100)))</f>
        <v>9.1650197628458265</v>
      </c>
      <c r="AA421" s="81">
        <f>AA416/AA413*100</f>
        <v>26.415094339622634</v>
      </c>
      <c r="AB421" s="61">
        <f>IF(ISERROR((AA421/S421-1)*100),"NA",IF(((AA421/S421-1)*100)&gt;100,"NM",IF(((AA421/S421-1)*100)&lt;-50,"NM",(AA421/S421-1)*100)))</f>
        <v>-15.702649757706999</v>
      </c>
      <c r="AC421" s="81">
        <f>AC416/AC413*100</f>
        <v>40.298507462686558</v>
      </c>
      <c r="AD421" s="61">
        <f>IF(ISERROR((AC421/U421-1)*100),"NA",IF(((AC421/U421-1)*100)&gt;100,"NM",IF(((AC421/U421-1)*100)&lt;-50,"NM",(AC421/U421-1)*100)))</f>
        <v>60.981932443047903</v>
      </c>
      <c r="AE421" s="81">
        <f>AE416/AE413*100</f>
        <v>33.880597014925371</v>
      </c>
      <c r="AF421" s="61">
        <f>IF(ISERROR((AE421/W421-1)*100),"NA",IF(((AE421/W421-1)*100)&gt;100,"NM",IF(((AE421/W421-1)*100)&lt;-50,"NM",(AE421/W421-1)*100)))</f>
        <v>28.97403737614448</v>
      </c>
      <c r="AG421" s="81">
        <f>AG416/AG413*100</f>
        <v>42.474489795918366</v>
      </c>
      <c r="AH421" s="61">
        <f>IF(ISERROR((AG421/Y421-1)*100),"NA",IF(((AG421/Y421-1)*100)&gt;100,"NM",IF(((AG421/Y421-1)*100)&lt;-50,"NM",(AG421/Y421-1)*100)))</f>
        <v>-8.1534536891679554</v>
      </c>
      <c r="AI421" s="81">
        <f>AI416/AI413*100</f>
        <v>38.057742782152239</v>
      </c>
      <c r="AJ421" s="61">
        <f>IF(ISERROR((AI421/AA421-1)*100),"NA",IF(((AI421/AA421-1)*100)&gt;100,"NM",IF(((AI421/AA421-1)*100)&lt;-50,"NM",(AI421/AA421-1)*100)))</f>
        <v>44.075740532433528</v>
      </c>
      <c r="AK421" s="81">
        <f>AK416/AK413*100</f>
        <v>35.555555555555557</v>
      </c>
      <c r="AL421" s="61">
        <f>IF(ISERROR((AK421/AC421-1)*100),"NA",IF(((AK421/AC421-1)*100)&gt;100,"NM",IF(((AK421/AC421-1)*100)&lt;-50,"NM",(AK421/AC421-1)*100)))</f>
        <v>-11.769547325102858</v>
      </c>
      <c r="AM421" s="81">
        <f>AM416/AM413*100</f>
        <v>22.314911366006253</v>
      </c>
      <c r="AN421" s="61">
        <f>IF(ISERROR((AM421/AE421-1)*100),"NA",IF(((AM421/AE421-1)*100)&gt;100,"NM",IF(((AM421/AE421-1)*100)&lt;-50,"NM",(AM421/AE421-1)*100)))</f>
        <v>-34.136605219276696</v>
      </c>
      <c r="AO421" s="81">
        <f>AO416/AO413*100</f>
        <v>23.878923766816143</v>
      </c>
      <c r="AP421" s="61">
        <f>IF(ISERROR((AO421/AG421-1)*100),"NA",IF(((AO421/AG421-1)*100)&gt;100,"NM",IF(((AO421/AG421-1)*100)&lt;-50,"NM",(AO421/AG421-1)*100)))</f>
        <v>-43.780551852300732</v>
      </c>
      <c r="AQ421" s="81">
        <f>AQ416/AQ413*100</f>
        <v>33.659648652273034</v>
      </c>
      <c r="AR421" s="61">
        <f>IF(ISERROR((AQ421/AI421-1)*100),"NA",IF(((AQ421/AI421-1)*100)&gt;100,"NM",IF(((AQ421/AI421-1)*100)&lt;-50,"NM",(AQ421/AI421-1)*100)))</f>
        <v>-11.556371472303283</v>
      </c>
      <c r="AS421" s="81">
        <f>AS416/AS413*100</f>
        <v>35.586734693877546</v>
      </c>
      <c r="AT421" s="61">
        <f>IF(ISERROR((AS421/AK421-1)*100),"NA",IF(((AS421/AK421-1)*100)&gt;100,"NM",IF(((AS421/AK421-1)*100)&lt;-50,"NM",(AS421/AK421-1)*100)))</f>
        <v>8.7691326530592306E-2</v>
      </c>
      <c r="AU421" s="81">
        <f>AU416/AU413*100</f>
        <v>34.533073929961084</v>
      </c>
      <c r="AV421" s="61">
        <f>IF(ISERROR((AU421/AM421-1)*100),"NA",IF(((AU421/AM421-1)*100)&gt;100,"NM",IF(((AU421/AM421-1)*100)&lt;-50,"NM",(AU421/AM421-1)*100)))</f>
        <v>54.753354667442444</v>
      </c>
      <c r="AW421" s="81">
        <f>AW416/AW413*100</f>
        <v>44</v>
      </c>
      <c r="AX421" s="61">
        <f>IF(ISERROR((AW421/AO421-1)*100),"NA",IF(((AW421/AO421-1)*100)&gt;100,"NM",IF(((AW421/AO421-1)*100)&lt;-50,"NM",(AW421/AO421-1)*100)))</f>
        <v>84.262910798122064</v>
      </c>
      <c r="AY421" s="81">
        <f>AY416/AY413*100</f>
        <v>36.546762589928058</v>
      </c>
      <c r="AZ421" s="61">
        <f>IF(ISERROR((AY421/AQ421-1)*100),"NA",IF(((AY421/AQ421-1)*100)&gt;100,"NM",IF(((AY421/AQ421-1)*100)&lt;-50,"NM",(AY421/AQ421-1)*100)))</f>
        <v>8.5773739574077634</v>
      </c>
      <c r="BA421" s="81">
        <f>BA416/BA413*100</f>
        <v>33.825338253382533</v>
      </c>
      <c r="BB421" s="61">
        <f>IF(ISERROR((BA421/AS421-1)*100),"NA",IF(((BA421/AS421-1)*100)&gt;100,"NM",IF(((BA421/AS421-1)*100)&lt;-50,"NM",(BA421/AS421-1)*100)))</f>
        <v>-4.9495871302798982</v>
      </c>
      <c r="BC421" s="81">
        <f>BC416/BC413*100</f>
        <v>34.57814661134163</v>
      </c>
      <c r="BD421" s="61">
        <f>IF(ISERROR((BC421/AU421-1)*100),"NA",IF(((BC421/AU421-1)*100)&gt;100,"NM",IF(((BC421/AU421-1)*100)&lt;-50,"NM",(BC421/AU421-1)*100)))</f>
        <v>0.13052032805409564</v>
      </c>
      <c r="BE421" s="81">
        <f>BE416/BE413*100</f>
        <v>35.849056603773583</v>
      </c>
      <c r="BF421" s="61">
        <f>IF(ISERROR((BE421/AW421-1)*100),"NA",IF(((BE421/AW421-1)*100)&gt;100,"NM",IF(((BE421/AW421-1)*100)&lt;-50,"NM",(BE421/AW421-1)*100)))</f>
        <v>-18.524871355060036</v>
      </c>
      <c r="BG421" s="81">
        <f>BG416/BG413*100</f>
        <v>39.691289966923925</v>
      </c>
      <c r="BH421" s="61">
        <f>IF(ISERROR((BG421/AY421-1)*100),"NA",IF(((BG421/AY421-1)*100)&gt;100,"NM",IF(((BG421/AY421-1)*100)&lt;-50,"NM",(BG421/AY421-1)*100)))</f>
        <v>8.6041201850871154</v>
      </c>
      <c r="BI421" s="81">
        <f>BI416/BI413*100</f>
        <v>37.189189189189186</v>
      </c>
      <c r="BJ421" s="61">
        <f>IF(ISERROR((BI421/BA421-1)*100),"NA",IF(((BI421/BA421-1)*100)&gt;100,"NM",IF(((BI421/BA421-1)*100)&lt;-50,"NM",(BI421/BA421-1)*100)))</f>
        <v>9.9447665847665725</v>
      </c>
      <c r="BK421" s="81">
        <f>BK416/BK413*100</f>
        <v>34.047350620067633</v>
      </c>
      <c r="BL421" s="61">
        <f>IF(ISERROR((BK421/BC421-1)*100),"NA",IF(((BK421/BC421-1)*100)&gt;100,"NM",IF(((BK421/BC421-1)*100)&lt;-50,"NM",(BK421/BC421-1)*100)))</f>
        <v>-1.5350620067643983</v>
      </c>
      <c r="BM421" s="81">
        <f>BM416/BM413*100</f>
        <v>37.499999999999993</v>
      </c>
      <c r="BN421" s="61">
        <f>IF(ISERROR((BM421/BE421-1)*100),"NA",IF(((BM421/BE421-1)*100)&gt;100,"NM",IF(((BM421/BE421-1)*100)&lt;-50,"NM",(BM421/BE421-1)*100)))</f>
        <v>4.6052631578947123</v>
      </c>
      <c r="BO421" s="81">
        <f>BO416/BO413*100</f>
        <v>35.822637106184359</v>
      </c>
      <c r="BP421" s="61">
        <f>IF(ISERROR((BO421/BG421-1)*100),"NA",IF(((BO421/BG421-1)*100)&gt;100,"NM",IF(((BO421/BG421-1)*100)&lt;-50,"NM",(BO421/BG421-1)*100)))</f>
        <v>-9.7468559574744091</v>
      </c>
      <c r="BQ421" s="81">
        <f>BQ416/BQ413*100</f>
        <v>30.847803881511748</v>
      </c>
      <c r="BR421" s="61">
        <f>IF(ISERROR((BQ421/BI421-1)*100),"NA",IF(((BQ421/BI421-1)*100)&gt;100,"NM",IF(((BQ421/BI421-1)*100)&lt;-50,"NM",(BQ421/BI421-1)*100)))</f>
        <v>-17.05169014419079</v>
      </c>
      <c r="BS421" s="81">
        <f>BS416/BS413*100</f>
        <v>33.208020050125313</v>
      </c>
      <c r="BT421" s="61">
        <f>IF(ISERROR((BS421/BK421-1)*100),"NA",IF(((BS421/BK421-1)*100)&gt;100,"NM",IF(((BS421/BK421-1)*100)&lt;-50,"NM",(BS421/BK421-1)*100)))</f>
        <v>-2.4651861441683409</v>
      </c>
      <c r="BU421" s="81">
        <f>BU416/BU413*100</f>
        <v>30.900621118012417</v>
      </c>
      <c r="BV421" s="61">
        <f>IF(ISERROR((BU421/BM421-1)*100),"NA",IF(((BU421/BM421-1)*100)&gt;100,"NM",IF(((BU421/BM421-1)*100)&lt;-50,"NM",(BU421/BM421-1)*100)))</f>
        <v>-17.598343685300211</v>
      </c>
      <c r="BW421" s="81">
        <f>BW416/BW413*100</f>
        <v>38.81856540084388</v>
      </c>
      <c r="BX421" s="61">
        <f>IF(ISERROR((BW421/BO421-1)*100),"NA",IF(((BW421/BO421-1)*100)&gt;100,"NM",IF(((BW421/BO421-1)*100)&lt;-50,"NM",(BW421/BO421-1)*100)))</f>
        <v>8.3632265424208754</v>
      </c>
      <c r="BY421" s="81"/>
      <c r="BZ421" s="61"/>
      <c r="CA421" s="81"/>
      <c r="CB421" s="61"/>
      <c r="CC421" s="81"/>
      <c r="CD421" s="61"/>
      <c r="CE421" s="81"/>
      <c r="CF421" s="61"/>
      <c r="CG421" s="81"/>
      <c r="CH421" s="61"/>
      <c r="CI421" s="81"/>
      <c r="CJ421" s="61"/>
      <c r="CK421" s="81"/>
      <c r="CL421" s="61"/>
      <c r="CM421" s="81"/>
      <c r="CN421" s="61"/>
      <c r="CO421" s="81"/>
      <c r="CP421" s="61"/>
      <c r="CQ421" s="81"/>
      <c r="CR421" s="61"/>
      <c r="CS421" s="81"/>
      <c r="CT421" s="61"/>
      <c r="CU421" s="81"/>
      <c r="CV421" s="61"/>
      <c r="CW421" s="81"/>
      <c r="CX421" s="61"/>
      <c r="CY421" s="81"/>
      <c r="CZ421" s="61"/>
      <c r="DA421" s="81"/>
      <c r="DB421" s="61"/>
      <c r="DC421" s="81"/>
      <c r="DD421" s="61"/>
      <c r="DE421" s="81"/>
      <c r="DF421" s="61"/>
      <c r="DG421" s="81"/>
      <c r="DH421" s="61"/>
      <c r="DI421" s="81"/>
      <c r="DJ421" s="61"/>
      <c r="DK421" s="81"/>
      <c r="DL421" s="61"/>
      <c r="DM421" s="81"/>
      <c r="DN421" s="61"/>
      <c r="DO421" s="81"/>
      <c r="DP421" s="61"/>
      <c r="DQ421" s="81"/>
      <c r="DR421" s="61"/>
      <c r="DS421" s="81"/>
      <c r="DT421" s="61"/>
      <c r="DU421" s="81"/>
      <c r="DV421" s="61"/>
      <c r="DW421" s="81"/>
      <c r="DX421" s="81"/>
      <c r="DY421" s="81"/>
      <c r="DZ421" s="61"/>
      <c r="EA421" s="81"/>
      <c r="EB421" s="61"/>
      <c r="EC421" s="81"/>
      <c r="ED421" s="61"/>
      <c r="EE421" s="81"/>
      <c r="EF421" s="61"/>
      <c r="EG421" s="81"/>
      <c r="EH421" s="61"/>
      <c r="EI421" s="81"/>
      <c r="EJ421" s="61"/>
      <c r="EK421" s="81"/>
      <c r="EL421" s="61"/>
      <c r="EM421" s="81"/>
      <c r="EN421" s="61"/>
      <c r="EO421" s="81"/>
      <c r="EP421" s="61"/>
      <c r="EQ421" s="89"/>
      <c r="ER421" s="61"/>
      <c r="ES421" s="89"/>
      <c r="ET421" s="61"/>
      <c r="EU421" s="89"/>
      <c r="EV421" s="61"/>
      <c r="EW421" s="89"/>
      <c r="EX421" s="61"/>
      <c r="EY421" s="64"/>
      <c r="EZ421" s="558"/>
      <c r="FA421" s="64"/>
      <c r="FB421" s="81">
        <f>FB416/FB408*100</f>
        <v>96.424010217113661</v>
      </c>
      <c r="FC421" s="71"/>
      <c r="FD421" s="230">
        <f>FD416/FD408*100</f>
        <v>211.02687801516197</v>
      </c>
      <c r="FE421" s="70" t="str">
        <f>IF(ISERROR((FD421/FB421-1)*100),"NA",IF(((FD421/FB421-1)*100)&gt;100,"NM",IF(((FD421/FB421-1)*100)&lt;-50,"NM",(FD421/FB421-1)*100)))</f>
        <v>NM</v>
      </c>
      <c r="FF421" s="230">
        <f>FF416/FF408*100</f>
        <v>120.36412677006068</v>
      </c>
      <c r="FG421" s="70">
        <f>IF(ISERROR((FF421/FD421-1)*100),"NA",IF(((FF421/FD421-1)*100)&gt;100,"NM",IF(((FF421/FD421-1)*100)&lt;-50,"NM",(FF421/FD421-1)*100)))</f>
        <v>-42.962655799033953</v>
      </c>
      <c r="FH421" s="230">
        <f>FH416/FH408*100</f>
        <v>180.91106290672451</v>
      </c>
      <c r="FI421" s="70">
        <f>IF(ISERROR((FH421/FF421-1)*100),"NA",IF(((FH421/FF421-1)*100)&gt;100,"NM",IF(((FH421/FF421-1)*100)&lt;-50,"NM",(FH421/FF421-1)*100)))</f>
        <v>50.303140779088217</v>
      </c>
      <c r="FJ421" s="230">
        <f>FJ416/FJ413*100</f>
        <v>30.660377358490564</v>
      </c>
      <c r="FK421" s="70" t="str">
        <f>IF(ISERROR((FJ421/FH421-1)*100),"NA",IF(((FJ421/FH421-1)*100)&gt;100,"NM",IF(((FJ421/FH421-1)*100)&lt;-50,"NM",(FJ421/FH421-1)*100)))</f>
        <v>NM</v>
      </c>
      <c r="FL421" s="81">
        <f>FL416/FL413*100</f>
        <v>35.870356882738527</v>
      </c>
      <c r="FM421" s="61">
        <f>IF(ISERROR((FL421/FJ421-1)*100),"NA",IF(((FL421/FJ421-1)*100)&gt;100,"NM",IF(((FL421/FJ421-1)*100)&lt;-50,"NM",(FL421/FJ421-1)*100)))</f>
        <v>16.992548602162593</v>
      </c>
      <c r="FN421" s="81">
        <f>FN416/FN413*100</f>
        <v>29.360210341805427</v>
      </c>
      <c r="FO421" s="61">
        <f>IF(ISERROR((FN421/FL421-1)*100),"NA",IF(((FN421/FL421-1)*100)&gt;100,"NM",IF(((FN421/FL421-1)*100)&lt;-50,"NM",(FN421/FL421-1)*100)))</f>
        <v>-18.149098884672377</v>
      </c>
      <c r="FP421" s="88">
        <f>FP416/FP413*100</f>
        <v>36.447041819838496</v>
      </c>
      <c r="FQ421" s="61">
        <f>IF(ISERROR((FP421/FN421-1)*100),"NA",IF(((FP421/FN421-1)*100)&gt;100,"NM",IF(((FP421/FN421-1)*100)&lt;-50,"NM",(FP421/FN421-1)*100)))</f>
        <v>24.137536466972342</v>
      </c>
      <c r="FR421" s="88">
        <f>FR416/FR413*100</f>
        <v>35.173757713543367</v>
      </c>
      <c r="FS421" s="61">
        <f>IF(ISERROR((FR421/FP421-1)*100),"NA",IF(((FR421/FP421-1)*100)&gt;100,"NM",IF(((FR421/FP421-1)*100)&lt;-50,"NM",(FR421/FP421-1)*100)))</f>
        <v>-3.4935183837116468</v>
      </c>
      <c r="FT421" s="88">
        <f>FT416/FT413*100</f>
        <v>37.13205509046719</v>
      </c>
      <c r="FU421" s="61">
        <f>IF(ISERROR((FT421/FR421-1)*100),"NA",IF(((FT421/FR421-1)*100)&gt;100,"NM",IF(((FT421/FR421-1)*100)&lt;-50,"NM",(FT421/FR421-1)*100)))</f>
        <v>5.567495497274666</v>
      </c>
      <c r="FV421" s="88">
        <f>FV416/FV413*100</f>
        <v>32.733374008541794</v>
      </c>
      <c r="FW421" s="61">
        <f>IF(ISERROR((FV421/FT421-1)*100),"NA",IF(((FV421/FT421-1)*100)&gt;100,"NM",IF(((FV421/FT421-1)*100)&lt;-50,"NM",(FV421/FT421-1)*100)))</f>
        <v>-11.846048033723445</v>
      </c>
      <c r="FX421" s="88"/>
      <c r="FY421" s="61"/>
      <c r="FZ421" s="88"/>
      <c r="GA421" s="61"/>
      <c r="GB421" s="88"/>
      <c r="GC421" s="61"/>
      <c r="GD421" s="88"/>
      <c r="GE421" s="61"/>
      <c r="GF421" s="88"/>
      <c r="GG421" s="61"/>
      <c r="GH421" s="88"/>
      <c r="GI421" s="61"/>
      <c r="GJ421" s="88"/>
      <c r="GK421" s="61"/>
      <c r="GL421" s="88"/>
      <c r="GM421" s="61"/>
      <c r="GN421" s="88"/>
      <c r="GO421" s="61"/>
      <c r="GP421" s="88"/>
      <c r="GQ421" s="61"/>
      <c r="GR421" s="89"/>
      <c r="GS421" s="61"/>
      <c r="GT421" s="89"/>
      <c r="GU421" s="61"/>
      <c r="GV421" s="89"/>
      <c r="GW421" s="61"/>
      <c r="GX421" s="89"/>
      <c r="GY421" s="61"/>
      <c r="GZ421" s="61" t="str">
        <f t="shared" si="2316"/>
        <v/>
      </c>
      <c r="HA421" s="61"/>
      <c r="HB421" s="452"/>
      <c r="HC421"/>
      <c r="HD421"/>
      <c r="HE421"/>
      <c r="HF421"/>
      <c r="HG421"/>
      <c r="HH421"/>
    </row>
    <row r="422" spans="1:216" s="5" customFormat="1" ht="12.75" hidden="1" customHeight="1" outlineLevel="1" x14ac:dyDescent="0.2">
      <c r="B422" s="68" t="s">
        <v>455</v>
      </c>
      <c r="C422" s="81">
        <f>C417/C413*100</f>
        <v>52.73504273504274</v>
      </c>
      <c r="D422" s="70"/>
      <c r="E422" s="81">
        <f>E417/E413*100</f>
        <v>38.669238187078108</v>
      </c>
      <c r="F422" s="71"/>
      <c r="G422" s="81">
        <f>G417/G413*100</f>
        <v>40.018066847335149</v>
      </c>
      <c r="H422" s="71"/>
      <c r="I422" s="81">
        <f>I417/I413*100</f>
        <v>33.939393939393938</v>
      </c>
      <c r="J422" s="61"/>
      <c r="K422" s="81">
        <f>K417/K413*100</f>
        <v>51.868629671574176</v>
      </c>
      <c r="L422" s="61">
        <f>IF(ISERROR((K422/C422-1)*100),"NA",IF(((K422/C422-1)*100)&gt;100,"NM",IF(((K422/C422-1)*100)&lt;-50,"NM",(K422/C422-1)*100)))</f>
        <v>-1.6429550798350401</v>
      </c>
      <c r="M422" s="81">
        <f>M417/M413*100</f>
        <v>40.716612377850161</v>
      </c>
      <c r="N422" s="61">
        <f>IF(ISERROR((M422/E422-1)*100),"NA",IF(((M422/E422-1)*100)&gt;100,"NM",IF(((M422/E422-1)*100)&lt;-50,"NM",(M422/E422-1)*100)))</f>
        <v>5.2945811367347106</v>
      </c>
      <c r="O422" s="81">
        <f>O417/O413*100</f>
        <v>62.720403022670034</v>
      </c>
      <c r="P422" s="61">
        <f>IF(ISERROR((O422/G422-1)*100),"NA",IF(((O422/G422-1)*100)&gt;100,"NM",IF(((O422/G422-1)*100)&lt;-50,"NM",(O422/G422-1)*100)))</f>
        <v>56.730217034076105</v>
      </c>
      <c r="Q422" s="81">
        <f>Q417/Q413*100</f>
        <v>56.211812627291224</v>
      </c>
      <c r="R422" s="61">
        <f>IF(ISERROR((Q422/I422-1)*100),"NA",IF(((Q422/I422-1)*100)&gt;100,"NM",IF(((Q422/I422-1)*100)&lt;-50,"NM",(Q422/I422-1)*100)))</f>
        <v>65.62409077684022</v>
      </c>
      <c r="S422" s="81">
        <f>S417/S413*100</f>
        <v>42.808219178082183</v>
      </c>
      <c r="T422" s="61">
        <f>IF(ISERROR((S422/K422-1)*100),"NA",IF(((S422/K422-1)*100)&gt;100,"NM",IF(((S422/K422-1)*100)&lt;-50,"NM",(S422/K422-1)*100)))</f>
        <v>-17.467996650116657</v>
      </c>
      <c r="U422" s="81">
        <f>U417/U413*100</f>
        <v>69.169960474308297</v>
      </c>
      <c r="V422" s="61">
        <f>IF(ISERROR((U422/M422-1)*100),"NA",IF(((U422/M422-1)*100)&gt;100,"NM",IF(((U422/M422-1)*100)&lt;-50,"NM",(U422/M422-1)*100)))</f>
        <v>69.881422924901187</v>
      </c>
      <c r="W422" s="81">
        <f>W417/W413*100</f>
        <v>74.613686534216342</v>
      </c>
      <c r="X422" s="61">
        <f>IF(ISERROR((W422/O422-1)*100),"NA",IF(((W422/O422-1)*100)&gt;100,"NM",IF(((W422/O422-1)*100)&lt;-50,"NM",(W422/O422-1)*100)))</f>
        <v>18.962383751340894</v>
      </c>
      <c r="Y422" s="81">
        <f>Y417/Y413*100</f>
        <v>29.644268774703558</v>
      </c>
      <c r="Z422" s="61">
        <f>IF(ISERROR((Y422/Q422-1)*100),"NA",IF(((Y422/Q422-1)*100)&gt;100,"NM",IF(((Y422/Q422-1)*100)&lt;-50,"NM",(Y422/Q422-1)*100)))</f>
        <v>-47.263275476886044</v>
      </c>
      <c r="AA422" s="81">
        <f>AA417/AA413*100</f>
        <v>58.200290275761965</v>
      </c>
      <c r="AB422" s="61">
        <f>IF(ISERROR((AA422/S422-1)*100),"NA",IF(((AA422/S422-1)*100)&gt;100,"NM",IF(((AA422/S422-1)*100)&lt;-50,"NM",(AA422/S422-1)*100)))</f>
        <v>35.955878084179972</v>
      </c>
      <c r="AC422" s="81">
        <f>AC417/AC413*100</f>
        <v>27.860696517412929</v>
      </c>
      <c r="AD422" s="61" t="str">
        <f>IF(ISERROR((AC422/U422-1)*100),"NA",IF(((AC422/U422-1)*100)&gt;100,"NM",IF(((AC422/U422-1)*100)&lt;-50,"NM",(AC422/U422-1)*100)))</f>
        <v>NM</v>
      </c>
      <c r="AE422" s="81">
        <f>AE417/AE413*100</f>
        <v>40.298507462686565</v>
      </c>
      <c r="AF422" s="61">
        <f>IF(ISERROR((AE422/W422-1)*100),"NA",IF(((AE422/W422-1)*100)&gt;100,"NM",IF(((AE422/W422-1)*100)&lt;-50,"NM",(AE422/W422-1)*100)))</f>
        <v>-45.990461891724813</v>
      </c>
      <c r="AG422" s="81">
        <f>AG417/AG413*100</f>
        <v>33.928571428571431</v>
      </c>
      <c r="AH422" s="61">
        <f>IF(ISERROR((AG422/Y422-1)*100),"NA",IF(((AG422/Y422-1)*100)&gt;100,"NM",IF(((AG422/Y422-1)*100)&lt;-50,"NM",(AG422/Y422-1)*100)))</f>
        <v>14.452380952380949</v>
      </c>
      <c r="AI422" s="81">
        <f>AI417/AI413*100</f>
        <v>49.343832020997382</v>
      </c>
      <c r="AJ422" s="61">
        <f>IF(ISERROR((AI422/AA422-1)*100),"NA",IF(((AI422/AA422-1)*100)&gt;100,"NM",IF(((AI422/AA422-1)*100)&lt;-50,"NM",(AI422/AA422-1)*100)))</f>
        <v>-15.217206328011967</v>
      </c>
      <c r="AK422" s="81">
        <f>AK417/AK413*100</f>
        <v>44.074074074074076</v>
      </c>
      <c r="AL422" s="61">
        <f>IF(ISERROR((AK422/AC422-1)*100),"NA",IF(((AK422/AC422-1)*100)&gt;100,"NM",IF(((AK422/AC422-1)*100)&lt;-50,"NM",(AK422/AC422-1)*100)))</f>
        <v>58.194444444444485</v>
      </c>
      <c r="AM422" s="81">
        <f>AM417/AM413*100</f>
        <v>61.522419186652755</v>
      </c>
      <c r="AN422" s="61">
        <f>IF(ISERROR((AM422/AE422-1)*100),"NA",IF(((AM422/AE422-1)*100)&gt;100,"NM",IF(((AM422/AE422-1)*100)&lt;-50,"NM",(AM422/AE422-1)*100)))</f>
        <v>52.666743907619804</v>
      </c>
      <c r="AO422" s="81">
        <f>AO417/AO413*100</f>
        <v>47.6457399103139</v>
      </c>
      <c r="AP422" s="61">
        <f>IF(ISERROR((AO422/AG422-1)*100),"NA",IF(((AO422/AG422-1)*100)&gt;100,"NM",IF(((AO422/AG422-1)*100)&lt;-50,"NM",(AO422/AG422-1)*100)))</f>
        <v>40.429549209346227</v>
      </c>
      <c r="AQ422" s="81">
        <f>AQ417/AQ413*100</f>
        <v>45.594743194314063</v>
      </c>
      <c r="AR422" s="61">
        <f>IF(ISERROR((AQ422/AI422-1)*100),"NA",IF(((AQ422/AI422-1)*100)&gt;100,"NM",IF(((AQ422/AI422-1)*100)&lt;-50,"NM",(AQ422/AI422-1)*100)))</f>
        <v>-7.5978874625869386</v>
      </c>
      <c r="AS422" s="81">
        <f>AS417/AS413*100</f>
        <v>44.132653061224488</v>
      </c>
      <c r="AT422" s="61">
        <f>IF(ISERROR((AS422/AK422-1)*100),"NA",IF(((AS422/AK422-1)*100)&gt;100,"NM",IF(((AS422/AK422-1)*100)&lt;-50,"NM",(AS422/AK422-1)*100)))</f>
        <v>0.13291030697992756</v>
      </c>
      <c r="AU422" s="81">
        <f>AU417/AU413*100</f>
        <v>51.264591439688715</v>
      </c>
      <c r="AV422" s="61">
        <f>IF(ISERROR((AU422/AM422-1)*100),"NA",IF(((AU422/AM422-1)*100)&gt;100,"NM",IF(((AU422/AM422-1)*100)&lt;-50,"NM",(AU422/AM422-1)*100)))</f>
        <v>-16.673316625997479</v>
      </c>
      <c r="AW422" s="81">
        <f>AW417/AW413*100</f>
        <v>23.04</v>
      </c>
      <c r="AX422" s="61" t="str">
        <f>IF(ISERROR((AW422/AO422-1)*100),"NA",IF(((AW422/AO422-1)*100)&gt;100,"NM",IF(((AW422/AO422-1)*100)&lt;-50,"NM",(AW422/AO422-1)*100)))</f>
        <v>NM</v>
      </c>
      <c r="AY422" s="81">
        <f>AY417/AY413*100</f>
        <v>39.71223021582734</v>
      </c>
      <c r="AZ422" s="61">
        <f>IF(ISERROR((AY422/AQ422-1)*100),"NA",IF(((AY422/AQ422-1)*100)&gt;100,"NM",IF(((AY422/AQ422-1)*100)&lt;-50,"NM",(AY422/AQ422-1)*100)))</f>
        <v>-12.901735082522203</v>
      </c>
      <c r="BA422" s="81">
        <f>BA417/BA413*100</f>
        <v>47.847478474784751</v>
      </c>
      <c r="BB422" s="61">
        <f>IF(ISERROR((BA422/AS422-1)*100),"NA",IF(((BA422/AS422-1)*100)&gt;100,"NM",IF(((BA422/AS422-1)*100)&lt;-50,"NM",(BA422/AS422-1)*100)))</f>
        <v>8.4174078735007143</v>
      </c>
      <c r="BC422" s="81">
        <f>BC417/BC413*100</f>
        <v>47.717842323651453</v>
      </c>
      <c r="BD422" s="61">
        <f>IF(ISERROR((BC422/AU422-1)*100),"NA",IF(((BC422/AU422-1)*100)&gt;100,"NM",IF(((BC422/AU422-1)*100)&lt;-50,"NM",(BC422/AU422-1)*100)))</f>
        <v>-6.9185163022510547</v>
      </c>
      <c r="BE422" s="81">
        <f>BE417/BE413*100</f>
        <v>46.108490566037744</v>
      </c>
      <c r="BF422" s="61" t="str">
        <f>IF(ISERROR((BE422/AW422-1)*100),"NA",IF(((BE422/AW422-1)*100)&gt;100,"NM",IF(((BE422/AW422-1)*100)&lt;-50,"NM",(BE422/AW422-1)*100)))</f>
        <v>NM</v>
      </c>
      <c r="BG422" s="81">
        <f>BG417/BG413*100</f>
        <v>41.896361631753031</v>
      </c>
      <c r="BH422" s="61">
        <f>IF(ISERROR((BG422/AY422-1)*100),"NA",IF(((BG422/AY422-1)*100)&gt;100,"NM",IF(((BG422/AY422-1)*100)&lt;-50,"NM",(BG422/AY422-1)*100)))</f>
        <v>5.499896137928828</v>
      </c>
      <c r="BI422" s="81">
        <f>BI417/BI413*100</f>
        <v>43.351351351351354</v>
      </c>
      <c r="BJ422" s="61">
        <f>IF(ISERROR((BI422/BA422-1)*100),"NA",IF(((BI422/BA422-1)*100)&gt;100,"NM",IF(((BI422/BA422-1)*100)&lt;-50,"NM",(BI422/BA422-1)*100)))</f>
        <v>-9.3967901063016779</v>
      </c>
      <c r="BK422" s="81">
        <f>BK417/BK413*100</f>
        <v>47.914317925591874</v>
      </c>
      <c r="BL422" s="61">
        <f>IF(ISERROR((BK422/BC422-1)*100),"NA",IF(((BK422/BC422-1)*100)&gt;100,"NM",IF(((BK422/BC422-1)*100)&lt;-50,"NM",(BK422/BC422-1)*100)))</f>
        <v>0.41174452232730641</v>
      </c>
      <c r="BM422" s="81">
        <f>BM417/BM413*100</f>
        <v>42.581300813008127</v>
      </c>
      <c r="BN422" s="61">
        <f>IF(ISERROR((BM422/BE422-1)*100),"NA",IF(((BM422/BE422-1)*100)&gt;100,"NM",IF(((BM422/BE422-1)*100)&lt;-50,"NM",(BM422/BE422-1)*100)))</f>
        <v>-7.6497619196141065</v>
      </c>
      <c r="BO422" s="81">
        <f>BO417/BO413*100</f>
        <v>44.924154025670937</v>
      </c>
      <c r="BP422" s="61">
        <f>IF(ISERROR((BO422/BG422-1)*100),"NA",IF(((BO422/BG422-1)*100)&gt;100,"NM",IF(((BO422/BG422-1)*100)&lt;-50,"NM",(BO422/BG422-1)*100)))</f>
        <v>7.2268623717987923</v>
      </c>
      <c r="BQ422" s="81">
        <f>BQ417/BQ413*100</f>
        <v>40.858018386108277</v>
      </c>
      <c r="BR422" s="61">
        <f>IF(ISERROR((BQ422/BI422-1)*100),"NA",IF(((BQ422/BI422-1)*100)&gt;100,"NM",IF(((BQ422/BI422-1)*100)&lt;-50,"NM",(BQ422/BI422-1)*100)))</f>
        <v>-5.7514538475058501</v>
      </c>
      <c r="BS422" s="81">
        <f>BS417/BS413*100</f>
        <v>43.107769423558892</v>
      </c>
      <c r="BT422" s="61">
        <f>IF(ISERROR((BS422/BK422-1)*100),"NA",IF(((BS422/BK422-1)*100)&gt;100,"NM",IF(((BS422/BK422-1)*100)&lt;-50,"NM",(BS422/BK422-1)*100)))</f>
        <v>-10.031549461890011</v>
      </c>
      <c r="BU422" s="81">
        <f>BU417/BU413*100</f>
        <v>46.583850931677013</v>
      </c>
      <c r="BV422" s="61">
        <f>IF(ISERROR((BU422/BM422-1)*100),"NA",IF(((BU422/BM422-1)*100)&gt;100,"NM",IF(((BU422/BM422-1)*100)&lt;-50,"NM",(BU422/BM422-1)*100)))</f>
        <v>9.3997835722438694</v>
      </c>
      <c r="BW422" s="81">
        <f>BW417/BW413*100</f>
        <v>41.139240506329116</v>
      </c>
      <c r="BX422" s="61">
        <f>IF(ISERROR((BW422/BO422-1)*100),"NA",IF(((BW422/BO422-1)*100)&gt;100,"NM",IF(((BW422/BO422-1)*100)&lt;-50,"NM",(BW422/BO422-1)*100)))</f>
        <v>-8.4251191846128286</v>
      </c>
      <c r="BY422" s="81"/>
      <c r="BZ422" s="61"/>
      <c r="CA422" s="81"/>
      <c r="CB422" s="61"/>
      <c r="CC422" s="81"/>
      <c r="CD422" s="61"/>
      <c r="CE422" s="81"/>
      <c r="CF422" s="61"/>
      <c r="CG422" s="81"/>
      <c r="CH422" s="61"/>
      <c r="CI422" s="81"/>
      <c r="CJ422" s="61"/>
      <c r="CK422" s="81"/>
      <c r="CL422" s="61"/>
      <c r="CM422" s="81"/>
      <c r="CN422" s="61"/>
      <c r="CO422" s="81"/>
      <c r="CP422" s="61"/>
      <c r="CQ422" s="81"/>
      <c r="CR422" s="61"/>
      <c r="CS422" s="81"/>
      <c r="CT422" s="61"/>
      <c r="CU422" s="81"/>
      <c r="CV422" s="61"/>
      <c r="CW422" s="81"/>
      <c r="CX422" s="61"/>
      <c r="CY422" s="81"/>
      <c r="CZ422" s="61"/>
      <c r="DA422" s="81"/>
      <c r="DB422" s="61"/>
      <c r="DC422" s="81"/>
      <c r="DD422" s="61"/>
      <c r="DE422" s="81"/>
      <c r="DF422" s="61"/>
      <c r="DG422" s="81"/>
      <c r="DH422" s="61"/>
      <c r="DI422" s="81"/>
      <c r="DJ422" s="61"/>
      <c r="DK422" s="81"/>
      <c r="DL422" s="61"/>
      <c r="DM422" s="81"/>
      <c r="DN422" s="61"/>
      <c r="DO422" s="81"/>
      <c r="DP422" s="61"/>
      <c r="DQ422" s="81"/>
      <c r="DR422" s="61"/>
      <c r="DS422" s="81"/>
      <c r="DT422" s="61"/>
      <c r="DU422" s="81"/>
      <c r="DV422" s="61"/>
      <c r="DW422" s="81"/>
      <c r="DX422" s="81"/>
      <c r="DY422" s="81"/>
      <c r="DZ422" s="61"/>
      <c r="EA422" s="81"/>
      <c r="EB422" s="61"/>
      <c r="EC422" s="81"/>
      <c r="ED422" s="61"/>
      <c r="EE422" s="81"/>
      <c r="EF422" s="61"/>
      <c r="EG422" s="81"/>
      <c r="EH422" s="61"/>
      <c r="EI422" s="81"/>
      <c r="EJ422" s="61"/>
      <c r="EK422" s="81"/>
      <c r="EL422" s="61"/>
      <c r="EM422" s="81"/>
      <c r="EN422" s="61"/>
      <c r="EO422" s="81"/>
      <c r="EP422" s="61"/>
      <c r="EQ422" s="89"/>
      <c r="ER422" s="61"/>
      <c r="ES422" s="89"/>
      <c r="ET422" s="61"/>
      <c r="EU422" s="89"/>
      <c r="EV422" s="61"/>
      <c r="EW422" s="89"/>
      <c r="EX422" s="61"/>
      <c r="EY422" s="64"/>
      <c r="EZ422" s="558"/>
      <c r="FA422" s="64"/>
      <c r="FB422" s="81">
        <f>FB417/FB413*100</f>
        <v>41.473007982793206</v>
      </c>
      <c r="FC422" s="71"/>
      <c r="FD422" s="81">
        <f>FD417/FD413*100</f>
        <v>51.972942502818483</v>
      </c>
      <c r="FE422" s="70">
        <f>IF(ISERROR((FD422/FB422-1)*100),"NA",IF(((FD422/FB422-1)*100)&gt;100,"NM",IF(((FD422/FB422-1)*100)&lt;-50,"NM",(FD422/FB422-1)*100)))</f>
        <v>25.317513801703527</v>
      </c>
      <c r="FF422" s="81">
        <f>FF417/FF413*100</f>
        <v>42.216542750929364</v>
      </c>
      <c r="FG422" s="70">
        <f>IF(ISERROR((FF422/FD422-1)*100),"NA",IF(((FF422/FD422-1)*100)&gt;100,"NM",IF(((FF422/FD422-1)*100)&lt;-50,"NM",(FF422/FD422-1)*100)))</f>
        <v>-18.772075010684709</v>
      </c>
      <c r="FH422" s="81">
        <f>FH417/FH413*100</f>
        <v>53.271028037383182</v>
      </c>
      <c r="FI422" s="70">
        <f>IF(ISERROR((FH422/FF422-1)*100),"NA",IF(((FH422/FF422-1)*100)&gt;100,"NM",IF(((FH422/FF422-1)*100)&lt;-50,"NM",(FH422/FF422-1)*100)))</f>
        <v>26.185197948760177</v>
      </c>
      <c r="FJ422" s="81">
        <f>FJ417/FJ413*100</f>
        <v>58.091436865021763</v>
      </c>
      <c r="FK422" s="70">
        <f>IF(ISERROR((FJ422/FH422-1)*100),"NA",IF(((FJ422/FH422-1)*100)&gt;100,"NM",IF(((FJ422/FH422-1)*100)&lt;-50,"NM",(FJ422/FH422-1)*100)))</f>
        <v>9.0488376238127657</v>
      </c>
      <c r="FL422" s="81">
        <f>FL417/FL413*100</f>
        <v>40.240349599417328</v>
      </c>
      <c r="FM422" s="61">
        <f>IF(ISERROR((FL422/FJ422-1)*100),"NA",IF(((FL422/FJ422-1)*100)&gt;100,"NM",IF(((FL422/FJ422-1)*100)&lt;-50,"NM",(FL422/FJ422-1)*100)))</f>
        <v>-30.729292007498955</v>
      </c>
      <c r="FN422" s="81">
        <f>FN417/FN413*100</f>
        <v>51.066316096990946</v>
      </c>
      <c r="FO422" s="61">
        <f>IF(ISERROR((FN422/FL422-1)*100),"NA",IF(((FN422/FL422-1)*100)&gt;100,"NM",IF(((FN422/FL422-1)*100)&lt;-50,"NM",(FN422/FL422-1)*100)))</f>
        <v>26.903261540576608</v>
      </c>
      <c r="FP422" s="88">
        <f>FP417/FP413*100</f>
        <v>42.636754956483479</v>
      </c>
      <c r="FQ422" s="61">
        <f>IF(ISERROR((FP422/FN422-1)*100),"NA",IF(((FP422/FN422-1)*100)&gt;100,"NM",IF(((FP422/FN422-1)*100)&lt;-50,"NM",(FP422/FN422-1)*100)))</f>
        <v>-16.507086832927374</v>
      </c>
      <c r="FR422" s="88">
        <f>FR417/FR413*100</f>
        <v>45.501786294251382</v>
      </c>
      <c r="FS422" s="61">
        <f>IF(ISERROR((FR422/FP422-1)*100),"NA",IF(((FR422/FP422-1)*100)&gt;100,"NM",IF(((FR422/FP422-1)*100)&lt;-50,"NM",(FR422/FP422-1)*100)))</f>
        <v>6.7196280314767209</v>
      </c>
      <c r="FT422" s="88">
        <f>FT417/FT413*100</f>
        <v>43.883337834188502</v>
      </c>
      <c r="FU422" s="61">
        <f>IF(ISERROR((FT422/FR422-1)*100),"NA",IF(((FT422/FR422-1)*100)&gt;100,"NM",IF(((FT422/FR422-1)*100)&lt;-50,"NM",(FT422/FR422-1)*100)))</f>
        <v>-3.556889941851249</v>
      </c>
      <c r="FV422" s="88">
        <f>FV417/FV413*100</f>
        <v>43.593654667480166</v>
      </c>
      <c r="FW422" s="61">
        <f>IF(ISERROR((FV422/FT422-1)*100),"NA",IF(((FV422/FT422-1)*100)&gt;100,"NM",IF(((FV422/FT422-1)*100)&lt;-50,"NM",(FV422/FT422-1)*100)))</f>
        <v>-0.66012108696674732</v>
      </c>
      <c r="FX422" s="88"/>
      <c r="FY422" s="61"/>
      <c r="FZ422" s="88"/>
      <c r="GA422" s="61"/>
      <c r="GB422" s="88"/>
      <c r="GC422" s="61"/>
      <c r="GD422" s="88"/>
      <c r="GE422" s="61"/>
      <c r="GF422" s="88"/>
      <c r="GG422" s="61"/>
      <c r="GH422" s="88"/>
      <c r="GI422" s="61"/>
      <c r="GJ422" s="88"/>
      <c r="GK422" s="61"/>
      <c r="GL422" s="88"/>
      <c r="GM422" s="61"/>
      <c r="GN422" s="88"/>
      <c r="GO422" s="61"/>
      <c r="GP422" s="88"/>
      <c r="GQ422" s="61"/>
      <c r="GR422" s="89"/>
      <c r="GS422" s="61"/>
      <c r="GT422" s="89"/>
      <c r="GU422" s="61"/>
      <c r="GV422" s="89"/>
      <c r="GW422" s="61"/>
      <c r="GX422" s="89"/>
      <c r="GY422" s="61"/>
      <c r="GZ422" s="61" t="str">
        <f t="shared" si="2316"/>
        <v/>
      </c>
      <c r="HA422" s="61"/>
      <c r="HB422" s="452"/>
      <c r="HC422"/>
      <c r="HD422"/>
      <c r="HE422"/>
      <c r="HF422"/>
      <c r="HG422"/>
      <c r="HH422"/>
    </row>
    <row r="423" spans="1:216" s="5" customFormat="1" ht="12.75" hidden="1" customHeight="1" outlineLevel="1" x14ac:dyDescent="0.2">
      <c r="B423" s="68"/>
      <c r="C423" s="231"/>
      <c r="D423" s="232"/>
      <c r="E423" s="231"/>
      <c r="F423" s="231"/>
      <c r="G423" s="64"/>
      <c r="H423" s="231"/>
      <c r="I423" s="64"/>
      <c r="J423" s="231"/>
      <c r="K423" s="64"/>
      <c r="L423" s="61"/>
      <c r="M423" s="231"/>
      <c r="N423" s="61"/>
      <c r="O423" s="64"/>
      <c r="P423" s="61"/>
      <c r="Q423" s="64"/>
      <c r="R423" s="61"/>
      <c r="S423" s="64"/>
      <c r="T423" s="61"/>
      <c r="U423" s="64"/>
      <c r="V423" s="61"/>
      <c r="W423" s="64"/>
      <c r="X423" s="61"/>
      <c r="Y423" s="64"/>
      <c r="Z423" s="61"/>
      <c r="AA423" s="64"/>
      <c r="AB423" s="61"/>
      <c r="AC423" s="64"/>
      <c r="AD423" s="61"/>
      <c r="AE423" s="64"/>
      <c r="AF423" s="61"/>
      <c r="AG423" s="64"/>
      <c r="AH423" s="61"/>
      <c r="AI423" s="64"/>
      <c r="AJ423" s="61"/>
      <c r="AK423" s="64"/>
      <c r="AL423" s="61"/>
      <c r="AM423" s="64"/>
      <c r="AN423" s="61"/>
      <c r="AO423" s="64"/>
      <c r="AP423" s="61"/>
      <c r="AQ423" s="64"/>
      <c r="AR423" s="61"/>
      <c r="AS423" s="64"/>
      <c r="AT423" s="61"/>
      <c r="AU423" s="64"/>
      <c r="AV423" s="61"/>
      <c r="AW423" s="64"/>
      <c r="AX423" s="61"/>
      <c r="AY423" s="64"/>
      <c r="AZ423" s="61"/>
      <c r="BA423" s="64"/>
      <c r="BB423" s="61"/>
      <c r="BC423" s="64"/>
      <c r="BD423" s="61"/>
      <c r="BE423" s="64"/>
      <c r="BF423" s="61"/>
      <c r="BG423" s="64"/>
      <c r="BH423" s="61"/>
      <c r="BI423" s="64"/>
      <c r="BJ423" s="61"/>
      <c r="BK423" s="64"/>
      <c r="BL423" s="61"/>
      <c r="BM423" s="64"/>
      <c r="BN423" s="61"/>
      <c r="BO423" s="64"/>
      <c r="BP423" s="61"/>
      <c r="BQ423" s="64"/>
      <c r="BR423" s="61"/>
      <c r="BS423" s="64"/>
      <c r="BT423" s="61"/>
      <c r="BU423" s="64"/>
      <c r="BV423" s="61"/>
      <c r="BW423" s="64"/>
      <c r="BX423" s="61"/>
      <c r="BY423" s="64"/>
      <c r="BZ423" s="61"/>
      <c r="CA423" s="64"/>
      <c r="CB423" s="61"/>
      <c r="CC423" s="64"/>
      <c r="CD423" s="61"/>
      <c r="CE423" s="64"/>
      <c r="CF423" s="61"/>
      <c r="CG423" s="64"/>
      <c r="CH423" s="61"/>
      <c r="CI423" s="64"/>
      <c r="CJ423" s="61"/>
      <c r="CK423" s="64"/>
      <c r="CL423" s="61"/>
      <c r="CM423" s="64"/>
      <c r="CN423" s="61"/>
      <c r="CO423" s="64"/>
      <c r="CP423" s="61"/>
      <c r="CQ423" s="64"/>
      <c r="CR423" s="61"/>
      <c r="CS423" s="64"/>
      <c r="CT423" s="61"/>
      <c r="CU423" s="64"/>
      <c r="CV423" s="61"/>
      <c r="CW423" s="64"/>
      <c r="CX423" s="61"/>
      <c r="CY423" s="64"/>
      <c r="CZ423" s="61"/>
      <c r="DA423" s="64"/>
      <c r="DB423" s="61"/>
      <c r="DC423" s="64"/>
      <c r="DD423" s="61"/>
      <c r="DE423" s="64"/>
      <c r="DF423" s="61"/>
      <c r="DG423" s="64"/>
      <c r="DH423" s="61"/>
      <c r="DI423" s="64"/>
      <c r="DJ423" s="61"/>
      <c r="DK423" s="64"/>
      <c r="DL423" s="61"/>
      <c r="DM423" s="64"/>
      <c r="DN423" s="61"/>
      <c r="DO423" s="64"/>
      <c r="DP423" s="61"/>
      <c r="DQ423" s="64"/>
      <c r="DR423" s="61"/>
      <c r="DS423" s="64"/>
      <c r="DT423" s="61"/>
      <c r="DU423" s="64"/>
      <c r="DV423" s="61"/>
      <c r="DW423" s="64"/>
      <c r="DX423" s="64"/>
      <c r="DY423" s="64"/>
      <c r="DZ423" s="61"/>
      <c r="EA423" s="64"/>
      <c r="EB423" s="61"/>
      <c r="EC423" s="64"/>
      <c r="ED423" s="61"/>
      <c r="EE423" s="64"/>
      <c r="EF423" s="61"/>
      <c r="EG423" s="64"/>
      <c r="EH423" s="61"/>
      <c r="EI423" s="64"/>
      <c r="EJ423" s="61"/>
      <c r="EK423" s="64"/>
      <c r="EL423" s="61"/>
      <c r="EM423" s="64"/>
      <c r="EN423" s="61"/>
      <c r="EO423" s="64"/>
      <c r="EP423" s="61"/>
      <c r="EQ423" s="64"/>
      <c r="ER423" s="61"/>
      <c r="ES423" s="64"/>
      <c r="ET423" s="61"/>
      <c r="EU423" s="64"/>
      <c r="EV423" s="61"/>
      <c r="EW423" s="64"/>
      <c r="EX423" s="61"/>
      <c r="EY423" s="64"/>
      <c r="EZ423" s="558"/>
      <c r="FA423" s="64"/>
      <c r="FB423" s="231"/>
      <c r="FC423" s="231"/>
      <c r="FD423" s="231"/>
      <c r="FE423" s="232"/>
      <c r="FF423" s="231"/>
      <c r="FG423" s="232"/>
      <c r="FH423" s="231"/>
      <c r="FI423" s="232"/>
      <c r="FJ423" s="231"/>
      <c r="FK423" s="232"/>
      <c r="FL423" s="231"/>
      <c r="FM423" s="61"/>
      <c r="FN423" s="231"/>
      <c r="FO423" s="61"/>
      <c r="FP423" s="65"/>
      <c r="FQ423" s="61"/>
      <c r="FR423" s="65"/>
      <c r="FS423" s="61"/>
      <c r="FT423" s="65"/>
      <c r="FU423" s="61"/>
      <c r="FV423" s="65"/>
      <c r="FW423" s="61"/>
      <c r="FX423" s="65"/>
      <c r="FY423" s="61"/>
      <c r="FZ423" s="65"/>
      <c r="GA423" s="61"/>
      <c r="GB423" s="65"/>
      <c r="GC423" s="61"/>
      <c r="GD423" s="65"/>
      <c r="GE423" s="61"/>
      <c r="GF423" s="65"/>
      <c r="GG423" s="61"/>
      <c r="GH423" s="65"/>
      <c r="GI423" s="61"/>
      <c r="GJ423" s="65"/>
      <c r="GK423" s="61"/>
      <c r="GL423" s="65"/>
      <c r="GM423" s="61"/>
      <c r="GN423" s="65"/>
      <c r="GO423" s="61"/>
      <c r="GP423" s="65"/>
      <c r="GQ423" s="61"/>
      <c r="GR423" s="64"/>
      <c r="GS423" s="61"/>
      <c r="GT423" s="64"/>
      <c r="GU423" s="61"/>
      <c r="GV423" s="64"/>
      <c r="GW423" s="61"/>
      <c r="GX423" s="64"/>
      <c r="GY423" s="61"/>
      <c r="GZ423" s="61" t="str">
        <f t="shared" si="2316"/>
        <v/>
      </c>
      <c r="HA423" s="61"/>
      <c r="HB423" s="452"/>
      <c r="HC423"/>
      <c r="HD423"/>
      <c r="HE423"/>
      <c r="HF423"/>
      <c r="HG423"/>
      <c r="HH423"/>
    </row>
    <row r="424" spans="1:216" s="5" customFormat="1" ht="12.75" hidden="1" customHeight="1" outlineLevel="1" x14ac:dyDescent="0.2">
      <c r="B424" s="134" t="s">
        <v>283</v>
      </c>
      <c r="C424" s="66"/>
      <c r="D424" s="67"/>
      <c r="E424" s="66"/>
      <c r="F424" s="66"/>
      <c r="G424" s="64"/>
      <c r="H424" s="66"/>
      <c r="I424" s="64"/>
      <c r="J424" s="66"/>
      <c r="K424" s="64"/>
      <c r="L424" s="61"/>
      <c r="M424" s="66"/>
      <c r="N424" s="61"/>
      <c r="O424" s="64"/>
      <c r="P424" s="61"/>
      <c r="Q424" s="64"/>
      <c r="R424" s="61"/>
      <c r="S424" s="64"/>
      <c r="T424" s="61"/>
      <c r="U424" s="64"/>
      <c r="V424" s="61"/>
      <c r="W424" s="64"/>
      <c r="X424" s="61"/>
      <c r="Y424" s="64"/>
      <c r="Z424" s="61"/>
      <c r="AA424" s="64"/>
      <c r="AB424" s="61"/>
      <c r="AC424" s="64"/>
      <c r="AD424" s="61"/>
      <c r="AE424" s="64"/>
      <c r="AF424" s="61"/>
      <c r="AG424" s="64"/>
      <c r="AH424" s="61"/>
      <c r="AI424" s="64"/>
      <c r="AJ424" s="61"/>
      <c r="AK424" s="64"/>
      <c r="AL424" s="61"/>
      <c r="AM424" s="64"/>
      <c r="AN424" s="61"/>
      <c r="AO424" s="64"/>
      <c r="AP424" s="61"/>
      <c r="AQ424" s="64"/>
      <c r="AR424" s="61"/>
      <c r="AS424" s="64"/>
      <c r="AT424" s="61"/>
      <c r="AU424" s="64"/>
      <c r="AV424" s="61"/>
      <c r="AW424" s="64"/>
      <c r="AX424" s="61"/>
      <c r="AY424" s="64"/>
      <c r="AZ424" s="61"/>
      <c r="BA424" s="64"/>
      <c r="BB424" s="61"/>
      <c r="BC424" s="64"/>
      <c r="BD424" s="61"/>
      <c r="BE424" s="64"/>
      <c r="BF424" s="61"/>
      <c r="BG424" s="64"/>
      <c r="BH424" s="61"/>
      <c r="BI424" s="64"/>
      <c r="BJ424" s="61"/>
      <c r="BK424" s="64"/>
      <c r="BL424" s="61"/>
      <c r="BM424" s="64"/>
      <c r="BN424" s="61"/>
      <c r="BO424" s="64"/>
      <c r="BP424" s="61"/>
      <c r="BQ424" s="64"/>
      <c r="BR424" s="61"/>
      <c r="BS424" s="64"/>
      <c r="BT424" s="61"/>
      <c r="BU424" s="64"/>
      <c r="BV424" s="61"/>
      <c r="BW424" s="64"/>
      <c r="BX424" s="61"/>
      <c r="BY424" s="64"/>
      <c r="BZ424" s="61"/>
      <c r="CA424" s="64"/>
      <c r="CB424" s="61"/>
      <c r="CC424" s="64"/>
      <c r="CD424" s="61"/>
      <c r="CE424" s="64"/>
      <c r="CF424" s="61"/>
      <c r="CG424" s="64"/>
      <c r="CH424" s="61"/>
      <c r="CI424" s="64"/>
      <c r="CJ424" s="61"/>
      <c r="CK424" s="64"/>
      <c r="CL424" s="61"/>
      <c r="CM424" s="64"/>
      <c r="CN424" s="61"/>
      <c r="CO424" s="64"/>
      <c r="CP424" s="61"/>
      <c r="CQ424" s="64"/>
      <c r="CR424" s="61"/>
      <c r="CS424" s="64"/>
      <c r="CT424" s="61"/>
      <c r="CU424" s="64"/>
      <c r="CV424" s="61"/>
      <c r="CW424" s="64"/>
      <c r="CX424" s="61"/>
      <c r="CY424" s="64"/>
      <c r="CZ424" s="61"/>
      <c r="DA424" s="64"/>
      <c r="DB424" s="61"/>
      <c r="DC424" s="64"/>
      <c r="DD424" s="61"/>
      <c r="DE424" s="64"/>
      <c r="DF424" s="61"/>
      <c r="DG424" s="64"/>
      <c r="DH424" s="61"/>
      <c r="DI424" s="64"/>
      <c r="DJ424" s="61"/>
      <c r="DK424" s="64"/>
      <c r="DL424" s="61"/>
      <c r="DM424" s="64"/>
      <c r="DN424" s="61"/>
      <c r="DO424" s="64"/>
      <c r="DP424" s="61"/>
      <c r="DQ424" s="64"/>
      <c r="DR424" s="61"/>
      <c r="DS424" s="64"/>
      <c r="DT424" s="61"/>
      <c r="DU424" s="64"/>
      <c r="DV424" s="61"/>
      <c r="DW424" s="64"/>
      <c r="DX424" s="64"/>
      <c r="DY424" s="64"/>
      <c r="DZ424" s="61"/>
      <c r="EA424" s="64"/>
      <c r="EB424" s="61"/>
      <c r="EC424" s="64"/>
      <c r="ED424" s="61"/>
      <c r="EE424" s="64"/>
      <c r="EF424" s="61"/>
      <c r="EG424" s="64"/>
      <c r="EH424" s="61"/>
      <c r="EI424" s="64"/>
      <c r="EJ424" s="61"/>
      <c r="EK424" s="64"/>
      <c r="EL424" s="61"/>
      <c r="EM424" s="64"/>
      <c r="EN424" s="61"/>
      <c r="EO424" s="64"/>
      <c r="EP424" s="61"/>
      <c r="EQ424" s="64"/>
      <c r="ER424" s="61"/>
      <c r="ES424" s="64"/>
      <c r="ET424" s="61"/>
      <c r="EU424" s="64"/>
      <c r="EV424" s="61"/>
      <c r="EW424" s="64"/>
      <c r="EX424" s="61"/>
      <c r="EY424" s="64"/>
      <c r="EZ424" s="558"/>
      <c r="FA424" s="64"/>
      <c r="FB424" s="66"/>
      <c r="FC424" s="66"/>
      <c r="FD424" s="66"/>
      <c r="FE424" s="67"/>
      <c r="FF424" s="66"/>
      <c r="FG424" s="67"/>
      <c r="FH424" s="66"/>
      <c r="FI424" s="67"/>
      <c r="FJ424" s="66"/>
      <c r="FK424" s="67"/>
      <c r="FL424" s="66"/>
      <c r="FM424" s="61"/>
      <c r="FN424" s="66"/>
      <c r="FO424" s="61"/>
      <c r="FP424" s="65"/>
      <c r="FQ424" s="61"/>
      <c r="FR424" s="65"/>
      <c r="FS424" s="61"/>
      <c r="FT424" s="65"/>
      <c r="FU424" s="61"/>
      <c r="FV424" s="65"/>
      <c r="FW424" s="61"/>
      <c r="FX424" s="65"/>
      <c r="FY424" s="61"/>
      <c r="FZ424" s="65"/>
      <c r="GA424" s="61"/>
      <c r="GB424" s="65"/>
      <c r="GC424" s="61"/>
      <c r="GD424" s="65"/>
      <c r="GE424" s="61"/>
      <c r="GF424" s="65"/>
      <c r="GG424" s="61"/>
      <c r="GH424" s="65"/>
      <c r="GI424" s="61"/>
      <c r="GJ424" s="65"/>
      <c r="GK424" s="61"/>
      <c r="GL424" s="65"/>
      <c r="GM424" s="61"/>
      <c r="GN424" s="65"/>
      <c r="GO424" s="61"/>
      <c r="GP424" s="65"/>
      <c r="GQ424" s="61"/>
      <c r="GR424" s="64"/>
      <c r="GS424" s="61"/>
      <c r="GT424" s="64"/>
      <c r="GU424" s="61"/>
      <c r="GV424" s="64"/>
      <c r="GW424" s="61"/>
      <c r="GX424" s="64"/>
      <c r="GY424" s="61"/>
      <c r="GZ424" s="61" t="str">
        <f t="shared" si="2316"/>
        <v/>
      </c>
      <c r="HA424" s="61"/>
      <c r="HB424" s="452"/>
      <c r="HC424"/>
      <c r="HD424"/>
      <c r="HE424"/>
      <c r="HF424"/>
      <c r="HG424"/>
      <c r="HH424"/>
    </row>
    <row r="425" spans="1:216" s="5" customFormat="1" ht="12.75" hidden="1" customHeight="1" outlineLevel="1" x14ac:dyDescent="0.2">
      <c r="A425" s="5" t="s">
        <v>448</v>
      </c>
      <c r="B425" s="2" t="s">
        <v>351</v>
      </c>
      <c r="C425" s="69">
        <f>C413-C418</f>
        <v>20.300000000000011</v>
      </c>
      <c r="D425" s="70"/>
      <c r="E425" s="69">
        <f>E413-E418</f>
        <v>26.199999999999989</v>
      </c>
      <c r="F425" s="71"/>
      <c r="G425" s="69">
        <f>G413-G418</f>
        <v>14.499999999999986</v>
      </c>
      <c r="H425" s="71"/>
      <c r="I425" s="69">
        <f>I413-I418</f>
        <v>11.200000000000003</v>
      </c>
      <c r="J425" s="71"/>
      <c r="K425" s="69">
        <f>K413-K418</f>
        <v>18.5</v>
      </c>
      <c r="L425" s="61">
        <f t="shared" ref="L425:L430" si="2317">IF(ISERROR((K425/C425-1)*100),"NA",IF(((K425/C425-1)*100)&gt;100,"NM",IF(((K425/C425-1)*100)&lt;-50,"NM",(K425/C425-1)*100)))</f>
        <v>-8.8669950738916814</v>
      </c>
      <c r="M425" s="69">
        <f>M413-M418</f>
        <v>18.5</v>
      </c>
      <c r="N425" s="61">
        <f t="shared" ref="N425:N430" si="2318">IF(ISERROR((M425/E425-1)*100),"NA",IF(((M425/E425-1)*100)&gt;100,"NM",IF(((M425/E425-1)*100)&lt;-50,"NM",(M425/E425-1)*100)))</f>
        <v>-29.389312977099202</v>
      </c>
      <c r="O425" s="69">
        <f>O413-O418</f>
        <v>8.8999999999999915</v>
      </c>
      <c r="P425" s="61">
        <f t="shared" ref="P425:P430" si="2319">IF(ISERROR((O425/G425-1)*100),"NA",IF(((O425/G425-1)*100)&gt;100,"NM",IF(((O425/G425-1)*100)&lt;-50,"NM",(O425/G425-1)*100)))</f>
        <v>-38.620689655172413</v>
      </c>
      <c r="Q425" s="69">
        <f>Q413-Q418</f>
        <v>0.70000000000000995</v>
      </c>
      <c r="R425" s="61" t="str">
        <f t="shared" ref="R425:R430" si="2320">IF(ISERROR((Q425/I425-1)*100),"NA",IF(((Q425/I425-1)*100)&gt;100,"NM",IF(((Q425/I425-1)*100)&lt;-50,"NM",(Q425/I425-1)*100)))</f>
        <v>NM</v>
      </c>
      <c r="S425" s="69">
        <f>S413-S418</f>
        <v>15.100000000000009</v>
      </c>
      <c r="T425" s="61">
        <f t="shared" ref="T425:T430" si="2321">IF(ISERROR((S425/K425-1)*100),"NA",IF(((S425/K425-1)*100)&gt;100,"NM",IF(((S425/K425-1)*100)&lt;-50,"NM",(S425/K425-1)*100)))</f>
        <v>-18.378378378378336</v>
      </c>
      <c r="U425" s="69">
        <f>U413-U418</f>
        <v>4.4000000000000057</v>
      </c>
      <c r="V425" s="61" t="str">
        <f t="shared" ref="V425:V430" si="2322">IF(ISERROR((U425/M425-1)*100),"NA",IF(((U425/M425-1)*100)&gt;100,"NM",IF(((U425/M425-1)*100)&lt;-50,"NM",(U425/M425-1)*100)))</f>
        <v>NM</v>
      </c>
      <c r="W425" s="69">
        <f>W413-W418</f>
        <v>-0.79999999999999716</v>
      </c>
      <c r="X425" s="61" t="str">
        <f t="shared" ref="X425:X430" si="2323">IF(ISERROR((W425/O425-1)*100),"NA",IF(((W425/O425-1)*100)&gt;100,"NM",IF(((W425/O425-1)*100)&lt;-50,"NM",(W425/O425-1)*100)))</f>
        <v>NM</v>
      </c>
      <c r="Y425" s="69">
        <f>Y413-Y418</f>
        <v>12.200000000000003</v>
      </c>
      <c r="Z425" s="61" t="str">
        <f t="shared" ref="Z425:Z430" si="2324">IF(ISERROR((Y425/Q425-1)*100),"NA",IF(((Y425/Q425-1)*100)&gt;100,"NM",IF(((Y425/Q425-1)*100)&lt;-50,"NM",(Y425/Q425-1)*100)))</f>
        <v>NM</v>
      </c>
      <c r="AA425" s="69">
        <f>AA413-AA418</f>
        <v>10.600000000000009</v>
      </c>
      <c r="AB425" s="61">
        <f t="shared" ref="AB425:AB430" si="2325">IF(ISERROR((AA425/S425-1)*100),"NA",IF(((AA425/S425-1)*100)&gt;100,"NM",IF(((AA425/S425-1)*100)&lt;-50,"NM",(AA425/S425-1)*100)))</f>
        <v>-29.801324503311243</v>
      </c>
      <c r="AC425" s="69">
        <f>AC413-AC418</f>
        <v>19.20000000000001</v>
      </c>
      <c r="AD425" s="61" t="str">
        <f t="shared" ref="AD425:AD430" si="2326">IF(ISERROR((AC425/U425-1)*100),"NA",IF(((AC425/U425-1)*100)&gt;100,"NM",IF(((AC425/U425-1)*100)&lt;-50,"NM",(AC425/U425-1)*100)))</f>
        <v>NM</v>
      </c>
      <c r="AE425" s="69">
        <f>AE413-AE418</f>
        <v>17.299999999999997</v>
      </c>
      <c r="AF425" s="61" t="str">
        <f t="shared" ref="AF425:AF430" si="2327">IF(ISERROR((AE425/W425-1)*100),"NA",IF(((AE425/W425-1)*100)&gt;100,"NM",IF(((AE425/W425-1)*100)&lt;-50,"NM",(AE425/W425-1)*100)))</f>
        <v>NM</v>
      </c>
      <c r="AG425" s="69">
        <f>AG413-AG418</f>
        <v>18.500000000000007</v>
      </c>
      <c r="AH425" s="61">
        <f t="shared" ref="AH425:AH430" si="2328">IF(ISERROR((AG425/Y425-1)*100),"NA",IF(((AG425/Y425-1)*100)&gt;100,"NM",IF(((AG425/Y425-1)*100)&lt;-50,"NM",(AG425/Y425-1)*100)))</f>
        <v>51.639344262295104</v>
      </c>
      <c r="AI425" s="69">
        <f>AI413-AI418</f>
        <v>9.5999999999999943</v>
      </c>
      <c r="AJ425" s="61">
        <f t="shared" ref="AJ425:AJ430" si="2329">IF(ISERROR((AI425/AA425-1)*100),"NA",IF(((AI425/AA425-1)*100)&gt;100,"NM",IF(((AI425/AA425-1)*100)&lt;-50,"NM",(AI425/AA425-1)*100)))</f>
        <v>-9.4339622641510736</v>
      </c>
      <c r="AK425" s="69">
        <f>AK413-AK418</f>
        <v>16.5</v>
      </c>
      <c r="AL425" s="61">
        <f t="shared" ref="AL425:AL430" si="2330">IF(ISERROR((AK425/AC425-1)*100),"NA",IF(((AK425/AC425-1)*100)&gt;100,"NM",IF(((AK425/AC425-1)*100)&lt;-50,"NM",(AK425/AC425-1)*100)))</f>
        <v>-14.062500000000044</v>
      </c>
      <c r="AM425" s="69">
        <f>AM413-AM418</f>
        <v>15.5</v>
      </c>
      <c r="AN425" s="61">
        <f t="shared" ref="AN425:AN430" si="2331">IF(ISERROR((AM425/AE425-1)*100),"NA",IF(((AM425/AE425-1)*100)&gt;100,"NM",IF(((AM425/AE425-1)*100)&lt;-50,"NM",(AM425/AE425-1)*100)))</f>
        <v>-10.40462427745663</v>
      </c>
      <c r="AO425" s="84">
        <f>AO413-AO418</f>
        <v>25.400000000000006</v>
      </c>
      <c r="AP425" s="61">
        <f t="shared" ref="AP425:AP430" si="2332">IF(ISERROR((AO425/AG425-1)*100),"NA",IF(((AO425/AG425-1)*100)&gt;100,"NM",IF(((AO425/AG425-1)*100)&lt;-50,"NM",(AO425/AG425-1)*100)))</f>
        <v>37.29729729729727</v>
      </c>
      <c r="AQ425" s="84">
        <f>AQ413-AQ418-0.04</f>
        <v>15.430000000000007</v>
      </c>
      <c r="AR425" s="61">
        <f t="shared" ref="AR425:AR431" si="2333">IF(ISERROR((AQ425/AI425-1)*100),"NA",IF(((AQ425/AI425-1)*100)&gt;100,"NM",IF(((AQ425/AI425-1)*100)&lt;-50,"NM",(AQ425/AI425-1)*100)))</f>
        <v>60.729166666666835</v>
      </c>
      <c r="AS425" s="84">
        <f>AS413-AS418-0.04</f>
        <v>15.860000000000007</v>
      </c>
      <c r="AT425" s="61">
        <f t="shared" ref="AT425:AT431" si="2334">IF(ISERROR((AS425/AK425-1)*100),"NA",IF(((AS425/AK425-1)*100)&gt;100,"NM",IF(((AS425/AK425-1)*100)&lt;-50,"NM",(AS425/AK425-1)*100)))</f>
        <v>-3.8787878787878372</v>
      </c>
      <c r="AU425" s="84">
        <f>AU413-AU418-0.04</f>
        <v>14.560000000000009</v>
      </c>
      <c r="AV425" s="61">
        <f t="shared" ref="AV425:AX431" si="2335">IF(ISERROR((AU425/AM425-1)*100),"NA",IF(((AU425/AM425-1)*100)&gt;100,"NM",IF(((AU425/AM425-1)*100)&lt;-50,"NM",(AU425/AM425-1)*100)))</f>
        <v>-6.0645161290321941</v>
      </c>
      <c r="AW425" s="84">
        <f>AW413-AW418-0.04</f>
        <v>20.560000000000002</v>
      </c>
      <c r="AX425" s="61">
        <f t="shared" si="2335"/>
        <v>-19.055118110236226</v>
      </c>
      <c r="AY425" s="84">
        <f>AY413-AY418-0.04</f>
        <v>16.46</v>
      </c>
      <c r="AZ425" s="61">
        <f t="shared" ref="AZ425:AZ431" si="2336">IF(ISERROR((AY425/AQ425-1)*100),"NA",IF(((AY425/AQ425-1)*100)&gt;100,"NM",IF(((AY425/AQ425-1)*100)&lt;-50,"NM",(AY425/AQ425-1)*100)))</f>
        <v>6.6753078418664513</v>
      </c>
      <c r="BA425" s="84">
        <f>BA413-BA418-0.04</f>
        <v>14.859999999999992</v>
      </c>
      <c r="BB425" s="61">
        <f t="shared" ref="BB425:BB431" si="2337">IF(ISERROR((BA425/AS425-1)*100),"NA",IF(((BA425/AS425-1)*100)&gt;100,"NM",IF(((BA425/AS425-1)*100)&lt;-50,"NM",(BA425/AS425-1)*100)))</f>
        <v>-6.3051702395965581</v>
      </c>
      <c r="BC425" s="84">
        <f>BC413-BC418-0.04</f>
        <v>12.759999999999998</v>
      </c>
      <c r="BD425" s="61">
        <f t="shared" ref="BD425:BD431" si="2338">IF(ISERROR((BC425/AU425-1)*100),"NA",IF(((BC425/AU425-1)*100)&gt;100,"NM",IF(((BC425/AU425-1)*100)&lt;-50,"NM",(BC425/AU425-1)*100)))</f>
        <v>-12.362637362637429</v>
      </c>
      <c r="BE425" s="84">
        <f>BE413-BE418-0.04</f>
        <v>15.259999999999998</v>
      </c>
      <c r="BF425" s="61">
        <f t="shared" ref="BF425:BF431" si="2339">IF(ISERROR((BE425/AW425-1)*100),"NA",IF(((BE425/AW425-1)*100)&gt;100,"NM",IF(((BE425/AW425-1)*100)&lt;-50,"NM",(BE425/AW425-1)*100)))</f>
        <v>-25.778210116731536</v>
      </c>
      <c r="BG425" s="84">
        <f>BG413-BG418</f>
        <v>16.700000000000003</v>
      </c>
      <c r="BH425" s="61">
        <f t="shared" ref="BH425:BH431" si="2340">IF(ISERROR((BG425/AY425-1)*100),"NA",IF(((BG425/AY425-1)*100)&gt;100,"NM",IF(((BG425/AY425-1)*100)&lt;-50,"NM",(BG425/AY425-1)*100)))</f>
        <v>1.4580801944106936</v>
      </c>
      <c r="BI425" s="84">
        <f>BI413-BI418</f>
        <v>18</v>
      </c>
      <c r="BJ425" s="61">
        <f t="shared" ref="BJ425:BJ431" si="2341">IF(ISERROR((BI425/BA425-1)*100),"NA",IF(((BI425/BA425-1)*100)&gt;100,"NM",IF(((BI425/BA425-1)*100)&lt;-50,"NM",(BI425/BA425-1)*100)))</f>
        <v>21.130551816958331</v>
      </c>
      <c r="BK425" s="84">
        <f>BK413-BK418</f>
        <v>16.000000000000014</v>
      </c>
      <c r="BL425" s="61">
        <f t="shared" ref="BL425:BL431" si="2342">IF(ISERROR((BK425/BC425-1)*100),"NA",IF(((BK425/BC425-1)*100)&gt;100,"NM",IF(((BK425/BC425-1)*100)&lt;-50,"NM",(BK425/BC425-1)*100)))</f>
        <v>25.391849529780686</v>
      </c>
      <c r="BM425" s="84">
        <f>BM413-BM418</f>
        <v>19.600000000000009</v>
      </c>
      <c r="BN425" s="61">
        <f t="shared" ref="BN425:BN431" si="2343">IF(ISERROR((BM425/BE425-1)*100),"NA",IF(((BM425/BE425-1)*100)&gt;100,"NM",IF(((BM425/BE425-1)*100)&lt;-50,"NM",(BM425/BE425-1)*100)))</f>
        <v>28.440366972477136</v>
      </c>
      <c r="BO425" s="84">
        <f>BO413-BO418</f>
        <v>16.500000000000014</v>
      </c>
      <c r="BP425" s="61">
        <f t="shared" ref="BP425:BP431" si="2344">IF(ISERROR((BO425/BG425-1)*100),"NA",IF(((BO425/BG425-1)*100)&gt;100,"NM",IF(((BO425/BG425-1)*100)&lt;-50,"NM",(BO425/BG425-1)*100)))</f>
        <v>-1.1976047904190934</v>
      </c>
      <c r="BQ425" s="84">
        <f>BQ413-BQ418</f>
        <v>27.699999999999989</v>
      </c>
      <c r="BR425" s="61">
        <f t="shared" ref="BR425:BR431" si="2345">IF(ISERROR((BQ425/BI425-1)*100),"NA",IF(((BQ425/BI425-1)*100)&gt;100,"NM",IF(((BQ425/BI425-1)*100)&lt;-50,"NM",(BQ425/BI425-1)*100)))</f>
        <v>53.888888888888829</v>
      </c>
      <c r="BS425" s="84">
        <f>BS413-BS418</f>
        <v>18.899999999999999</v>
      </c>
      <c r="BT425" s="61">
        <f t="shared" ref="BT425:BT431" si="2346">IF(ISERROR((BS425/BK425-1)*100),"NA",IF(((BS425/BK425-1)*100)&gt;100,"NM",IF(((BS425/BK425-1)*100)&lt;-50,"NM",(BS425/BK425-1)*100)))</f>
        <v>18.124999999999879</v>
      </c>
      <c r="BU425" s="84">
        <f>BU413-BU418</f>
        <v>14.500000000000007</v>
      </c>
      <c r="BV425" s="61">
        <f t="shared" ref="BV425:BV431" si="2347">IF(ISERROR((BU425/BM425-1)*100),"NA",IF(((BU425/BM425-1)*100)&gt;100,"NM",IF(((BU425/BM425-1)*100)&lt;-50,"NM",(BU425/BM425-1)*100)))</f>
        <v>-26.020408163265309</v>
      </c>
      <c r="BW425" s="84">
        <f>BW413-BW418</f>
        <v>9.5</v>
      </c>
      <c r="BX425" s="61">
        <f t="shared" ref="BX425:BX431" si="2348">IF(ISERROR((BW425/BO425-1)*100),"NA",IF(((BW425/BO425-1)*100)&gt;100,"NM",IF(((BW425/BO425-1)*100)&lt;-50,"NM",(BW425/BO425-1)*100)))</f>
        <v>-42.424242424242479</v>
      </c>
      <c r="BY425" s="84"/>
      <c r="BZ425" s="61"/>
      <c r="CA425" s="84"/>
      <c r="CB425" s="61"/>
      <c r="CC425" s="84"/>
      <c r="CD425" s="61"/>
      <c r="CE425" s="84"/>
      <c r="CF425" s="61"/>
      <c r="CG425" s="84"/>
      <c r="CH425" s="61"/>
      <c r="CI425" s="84"/>
      <c r="CJ425" s="61"/>
      <c r="CK425" s="84"/>
      <c r="CL425" s="61"/>
      <c r="CM425" s="84"/>
      <c r="CN425" s="61"/>
      <c r="CO425" s="84"/>
      <c r="CP425" s="61"/>
      <c r="CQ425" s="84"/>
      <c r="CR425" s="61"/>
      <c r="CS425" s="84"/>
      <c r="CT425" s="61"/>
      <c r="CU425" s="84"/>
      <c r="CV425" s="61"/>
      <c r="CW425" s="84"/>
      <c r="CX425" s="61"/>
      <c r="CY425" s="84"/>
      <c r="CZ425" s="61"/>
      <c r="DA425" s="84"/>
      <c r="DB425" s="61"/>
      <c r="DC425" s="84"/>
      <c r="DD425" s="61"/>
      <c r="DE425" s="84"/>
      <c r="DF425" s="61"/>
      <c r="DG425" s="84"/>
      <c r="DH425" s="61"/>
      <c r="DI425" s="84"/>
      <c r="DJ425" s="61"/>
      <c r="DK425" s="84"/>
      <c r="DL425" s="61"/>
      <c r="DM425" s="84"/>
      <c r="DN425" s="61"/>
      <c r="DO425" s="84"/>
      <c r="DP425" s="61"/>
      <c r="DQ425" s="84"/>
      <c r="DR425" s="61"/>
      <c r="DS425" s="84"/>
      <c r="DT425" s="61"/>
      <c r="DU425" s="84"/>
      <c r="DV425" s="61"/>
      <c r="DW425" s="84"/>
      <c r="DX425" s="84"/>
      <c r="DY425" s="84"/>
      <c r="DZ425" s="61"/>
      <c r="EA425" s="84"/>
      <c r="EB425" s="61"/>
      <c r="EC425" s="84"/>
      <c r="ED425" s="61"/>
      <c r="EE425" s="84"/>
      <c r="EF425" s="61"/>
      <c r="EG425" s="84"/>
      <c r="EH425" s="61"/>
      <c r="EI425" s="84"/>
      <c r="EJ425" s="61"/>
      <c r="EK425" s="84"/>
      <c r="EL425" s="61"/>
      <c r="EM425" s="84"/>
      <c r="EN425" s="61"/>
      <c r="EO425" s="84"/>
      <c r="EP425" s="61"/>
      <c r="EQ425" s="84"/>
      <c r="ER425" s="61"/>
      <c r="ES425" s="84"/>
      <c r="ET425" s="61"/>
      <c r="EU425" s="84"/>
      <c r="EV425" s="61"/>
      <c r="EW425" s="84"/>
      <c r="EX425" s="61"/>
      <c r="EY425" s="90"/>
      <c r="EZ425" s="558"/>
      <c r="FA425" s="90"/>
      <c r="FB425" s="84">
        <f>FB413-FB418</f>
        <v>105.69852190000006</v>
      </c>
      <c r="FC425" s="219"/>
      <c r="FD425" s="84">
        <f>FD413-FD418</f>
        <v>-93.200000000000045</v>
      </c>
      <c r="FE425" s="143" t="str">
        <f t="shared" ref="FE425:FE430" si="2349">IF(ISERROR((FD425/FB425-1)*100),"NA",IF(((FD425/FB425-1)*100)&gt;100,"NM",IF(((FD425/FB425-1)*100)&lt;-50,"NM",(FD425/FB425-1)*100)))</f>
        <v>NM</v>
      </c>
      <c r="FF425" s="84">
        <f>FF413-FF418</f>
        <v>70.200000000000045</v>
      </c>
      <c r="FG425" s="143" t="str">
        <f t="shared" ref="FG425:FG430" si="2350">IF(ISERROR((FF425/FD425-1)*100),"NA",IF(((FF425/FD425-1)*100)&gt;100,"NM",IF(((FF425/FD425-1)*100)&lt;-50,"NM",(FF425/FD425-1)*100)))</f>
        <v>NM</v>
      </c>
      <c r="FH425" s="84">
        <f>FH413-FH418</f>
        <v>46.599999999999966</v>
      </c>
      <c r="FI425" s="143">
        <f t="shared" ref="FI425:FI430" si="2351">IF(ISERROR((FH425/FF425-1)*100),"NA",IF(((FH425/FF425-1)*100)&gt;100,"NM",IF(((FH425/FF425-1)*100)&lt;-50,"NM",(FH425/FF425-1)*100)))</f>
        <v>-33.618233618233702</v>
      </c>
      <c r="FJ425" s="84">
        <f>FJ413-FJ418</f>
        <v>31.000000000000028</v>
      </c>
      <c r="FK425" s="143">
        <f t="shared" ref="FK425:FK430" si="2352">IF(ISERROR((FJ425/FH425-1)*100),"NA",IF(((FJ425/FH425-1)*100)&gt;100,"NM",IF(((FJ425/FH425-1)*100)&lt;-50,"NM",(FJ425/FH425-1)*100)))</f>
        <v>-33.476394849785294</v>
      </c>
      <c r="FL425" s="84">
        <f>FL413-FL418</f>
        <v>65.600000000000023</v>
      </c>
      <c r="FM425" s="143" t="str">
        <f t="shared" ref="FM425:FM430" si="2353">IF(ISERROR((FL425/FJ425-1)*100),"NA",IF(((FL425/FJ425-1)*100)&gt;100,"NM",IF(((FL425/FJ425-1)*100)&lt;-50,"NM",(FL425/FJ425-1)*100)))</f>
        <v>NM</v>
      </c>
      <c r="FN425" s="84">
        <f>FN413-FN418</f>
        <v>67</v>
      </c>
      <c r="FO425" s="143">
        <f t="shared" ref="FO425:FO430" si="2354">IF(ISERROR((FN425/FL425-1)*100),"NA",IF(((FN425/FL425-1)*100)&gt;100,"NM",IF(((FN425/FL425-1)*100)&lt;-50,"NM",(FN425/FL425-1)*100)))</f>
        <v>2.1341463414633832</v>
      </c>
      <c r="FP425" s="139">
        <f>FP413-FP418</f>
        <v>66.57000000000005</v>
      </c>
      <c r="FQ425" s="61">
        <f t="shared" ref="FQ425:FQ431" si="2355">IF(ISERROR((FP425/FN425-1)*100),"NA",IF(((FP425/FN425-1)*100)&gt;100,"NM",IF(((FP425/FN425-1)*100)&lt;-50,"NM",(FP425/FN425-1)*100)))</f>
        <v>-0.6417910447760411</v>
      </c>
      <c r="FR425" s="139">
        <f>FR413-FR418</f>
        <v>59.499999999999972</v>
      </c>
      <c r="FS425" s="61">
        <f t="shared" ref="FS425:FS431" si="2356">IF(ISERROR((FR425/FP425-1)*100),"NA",IF(((FR425/FP425-1)*100)&gt;100,"NM",IF(((FR425/FP425-1)*100)&lt;-50,"NM",(FR425/FP425-1)*100)))</f>
        <v>-10.620399579390227</v>
      </c>
      <c r="FT425" s="139">
        <f>FT413-FT418</f>
        <v>70.299999999999955</v>
      </c>
      <c r="FU425" s="61">
        <f t="shared" ref="FU425:FU431" si="2357">IF(ISERROR((FT425/FR425-1)*100),"NA",IF(((FT425/FR425-1)*100)&gt;100,"NM",IF(((FT425/FR425-1)*100)&lt;-50,"NM",(FT425/FR425-1)*100)))</f>
        <v>18.151260504201659</v>
      </c>
      <c r="FV425" s="139">
        <f>FV413-FV418</f>
        <v>77.599999999999994</v>
      </c>
      <c r="FW425" s="61">
        <f t="shared" ref="FW425:FW431" si="2358">IF(ISERROR((FV425/FT425-1)*100),"NA",IF(((FV425/FT425-1)*100)&gt;100,"NM",IF(((FV425/FT425-1)*100)&lt;-50,"NM",(FV425/FT425-1)*100)))</f>
        <v>10.384068278805181</v>
      </c>
      <c r="FX425" s="139"/>
      <c r="FY425" s="61"/>
      <c r="FZ425" s="139"/>
      <c r="GA425" s="61"/>
      <c r="GB425" s="139"/>
      <c r="GC425" s="61"/>
      <c r="GD425" s="139"/>
      <c r="GE425" s="61"/>
      <c r="GF425" s="139"/>
      <c r="GG425" s="61"/>
      <c r="GH425" s="139"/>
      <c r="GI425" s="61"/>
      <c r="GJ425" s="139"/>
      <c r="GK425" s="61"/>
      <c r="GL425" s="139"/>
      <c r="GM425" s="61"/>
      <c r="GN425" s="139"/>
      <c r="GO425" s="61"/>
      <c r="GP425" s="139"/>
      <c r="GQ425" s="61"/>
      <c r="GR425" s="84"/>
      <c r="GS425" s="61"/>
      <c r="GT425" s="84"/>
      <c r="GU425" s="61"/>
      <c r="GV425" s="84"/>
      <c r="GW425" s="61"/>
      <c r="GX425" s="84"/>
      <c r="GY425" s="61"/>
      <c r="GZ425" s="61" t="str">
        <f t="shared" si="2316"/>
        <v/>
      </c>
      <c r="HA425" s="61"/>
      <c r="HB425" s="452"/>
      <c r="HC425"/>
      <c r="HD425"/>
      <c r="HE425"/>
      <c r="HF425"/>
      <c r="HG425"/>
      <c r="HH425"/>
    </row>
    <row r="426" spans="1:216" s="5" customFormat="1" ht="12.75" hidden="1" customHeight="1" outlineLevel="1" x14ac:dyDescent="0.2">
      <c r="B426" s="2" t="s">
        <v>115</v>
      </c>
      <c r="C426" s="72">
        <v>4.7</v>
      </c>
      <c r="D426" s="70"/>
      <c r="E426" s="72">
        <v>6.9</v>
      </c>
      <c r="F426" s="71"/>
      <c r="G426" s="74">
        <v>3.9</v>
      </c>
      <c r="H426" s="71"/>
      <c r="I426" s="74">
        <v>-4.2</v>
      </c>
      <c r="J426" s="71"/>
      <c r="K426" s="74">
        <v>4.5999999999999996</v>
      </c>
      <c r="L426" s="61">
        <f t="shared" si="2317"/>
        <v>-2.1276595744680993</v>
      </c>
      <c r="M426" s="72">
        <v>2.9</v>
      </c>
      <c r="N426" s="61" t="str">
        <f t="shared" si="2318"/>
        <v>NM</v>
      </c>
      <c r="O426" s="74">
        <v>-0.6</v>
      </c>
      <c r="P426" s="61" t="str">
        <f t="shared" si="2319"/>
        <v>NM</v>
      </c>
      <c r="Q426" s="74">
        <v>-18.2</v>
      </c>
      <c r="R426" s="61" t="str">
        <f t="shared" si="2320"/>
        <v>NM</v>
      </c>
      <c r="S426" s="74">
        <v>1</v>
      </c>
      <c r="T426" s="61" t="str">
        <f t="shared" si="2321"/>
        <v>NM</v>
      </c>
      <c r="U426" s="74">
        <v>-1.6</v>
      </c>
      <c r="V426" s="61" t="str">
        <f t="shared" si="2322"/>
        <v>NM</v>
      </c>
      <c r="W426" s="74">
        <v>-9.9999999999999922E-2</v>
      </c>
      <c r="X426" s="61" t="str">
        <f t="shared" si="2323"/>
        <v>NM</v>
      </c>
      <c r="Y426" s="74">
        <v>-3.2</v>
      </c>
      <c r="Z426" s="61" t="str">
        <f t="shared" si="2324"/>
        <v>NM</v>
      </c>
      <c r="AA426" s="74">
        <v>3.8</v>
      </c>
      <c r="AB426" s="61" t="str">
        <f t="shared" si="2325"/>
        <v>NM</v>
      </c>
      <c r="AC426" s="74">
        <v>6.6</v>
      </c>
      <c r="AD426" s="61" t="str">
        <f t="shared" si="2326"/>
        <v>NM</v>
      </c>
      <c r="AE426" s="74">
        <v>6</v>
      </c>
      <c r="AF426" s="61" t="str">
        <f t="shared" si="2327"/>
        <v>NM</v>
      </c>
      <c r="AG426" s="74">
        <v>5.5</v>
      </c>
      <c r="AH426" s="61" t="str">
        <f t="shared" si="2328"/>
        <v>NM</v>
      </c>
      <c r="AI426" s="74">
        <v>3.3</v>
      </c>
      <c r="AJ426" s="61">
        <f t="shared" si="2329"/>
        <v>-13.157894736842103</v>
      </c>
      <c r="AK426" s="74">
        <v>5.9</v>
      </c>
      <c r="AL426" s="61">
        <f t="shared" si="2330"/>
        <v>-10.606060606060597</v>
      </c>
      <c r="AM426" s="74">
        <v>5.4</v>
      </c>
      <c r="AN426" s="61">
        <f t="shared" si="2331"/>
        <v>-9.9999999999999982</v>
      </c>
      <c r="AO426" s="74">
        <v>9</v>
      </c>
      <c r="AP426" s="61">
        <f t="shared" si="2332"/>
        <v>63.636363636363647</v>
      </c>
      <c r="AQ426" s="74">
        <v>5.4</v>
      </c>
      <c r="AR426" s="61">
        <f t="shared" si="2333"/>
        <v>63.636363636363647</v>
      </c>
      <c r="AS426" s="74">
        <v>5.6</v>
      </c>
      <c r="AT426" s="61">
        <f t="shared" si="2334"/>
        <v>-5.0847457627118731</v>
      </c>
      <c r="AU426" s="74">
        <v>5.0999999999999996</v>
      </c>
      <c r="AV426" s="61">
        <f t="shared" si="2335"/>
        <v>-5.5555555555555696</v>
      </c>
      <c r="AW426" s="74">
        <v>7.2</v>
      </c>
      <c r="AX426" s="61">
        <f t="shared" si="2335"/>
        <v>-19.999999999999996</v>
      </c>
      <c r="AY426" s="74">
        <v>5.8</v>
      </c>
      <c r="AZ426" s="61">
        <f t="shared" si="2336"/>
        <v>7.4074074074073959</v>
      </c>
      <c r="BA426" s="74">
        <v>5.2</v>
      </c>
      <c r="BB426" s="61">
        <f t="shared" si="2337"/>
        <v>-7.1428571428571281</v>
      </c>
      <c r="BC426" s="74">
        <v>4.5</v>
      </c>
      <c r="BD426" s="61">
        <f t="shared" si="2338"/>
        <v>-11.764705882352933</v>
      </c>
      <c r="BE426" s="74">
        <v>5.4</v>
      </c>
      <c r="BF426" s="61">
        <f t="shared" si="2339"/>
        <v>-25</v>
      </c>
      <c r="BG426" s="74">
        <v>5.9</v>
      </c>
      <c r="BH426" s="61">
        <f t="shared" si="2340"/>
        <v>1.7241379310344973</v>
      </c>
      <c r="BI426" s="74">
        <v>6.3</v>
      </c>
      <c r="BJ426" s="61">
        <f t="shared" si="2341"/>
        <v>21.153846153846146</v>
      </c>
      <c r="BK426" s="74">
        <v>5.6</v>
      </c>
      <c r="BL426" s="61">
        <f t="shared" si="2342"/>
        <v>24.444444444444446</v>
      </c>
      <c r="BM426" s="74">
        <v>6.8</v>
      </c>
      <c r="BN426" s="61">
        <f t="shared" si="2343"/>
        <v>25.92592592592591</v>
      </c>
      <c r="BO426" s="74">
        <v>5.7</v>
      </c>
      <c r="BP426" s="61">
        <f t="shared" si="2344"/>
        <v>-3.3898305084745783</v>
      </c>
      <c r="BQ426" s="74">
        <v>9.6999999999999993</v>
      </c>
      <c r="BR426" s="61">
        <f t="shared" si="2345"/>
        <v>53.968253968253954</v>
      </c>
      <c r="BS426" s="74">
        <v>6.6</v>
      </c>
      <c r="BT426" s="61">
        <f t="shared" si="2346"/>
        <v>17.857142857142861</v>
      </c>
      <c r="BU426" s="74">
        <v>5.0999999999999996</v>
      </c>
      <c r="BV426" s="61">
        <f t="shared" si="2347"/>
        <v>-25</v>
      </c>
      <c r="BW426" s="74">
        <v>3.3</v>
      </c>
      <c r="BX426" s="61">
        <f t="shared" si="2348"/>
        <v>-42.105263157894747</v>
      </c>
      <c r="BY426" s="90"/>
      <c r="BZ426" s="61"/>
      <c r="CA426" s="90"/>
      <c r="CB426" s="61"/>
      <c r="CC426" s="90"/>
      <c r="CD426" s="61"/>
      <c r="CE426" s="90"/>
      <c r="CF426" s="61"/>
      <c r="CG426" s="90"/>
      <c r="CH426" s="61"/>
      <c r="CI426" s="90"/>
      <c r="CJ426" s="61"/>
      <c r="CK426" s="90"/>
      <c r="CL426" s="61"/>
      <c r="CM426" s="90"/>
      <c r="CN426" s="61"/>
      <c r="CO426" s="90"/>
      <c r="CP426" s="61"/>
      <c r="CQ426" s="90"/>
      <c r="CR426" s="61"/>
      <c r="CS426" s="90"/>
      <c r="CT426" s="61"/>
      <c r="CU426" s="90"/>
      <c r="CV426" s="61"/>
      <c r="CW426" s="90"/>
      <c r="CX426" s="61"/>
      <c r="CY426" s="90"/>
      <c r="CZ426" s="61"/>
      <c r="DA426" s="90"/>
      <c r="DB426" s="61"/>
      <c r="DC426" s="90"/>
      <c r="DD426" s="61"/>
      <c r="DE426" s="90"/>
      <c r="DF426" s="61"/>
      <c r="DG426" s="90"/>
      <c r="DH426" s="61"/>
      <c r="DI426" s="90"/>
      <c r="DJ426" s="61"/>
      <c r="DK426" s="90"/>
      <c r="DL426" s="61"/>
      <c r="DM426" s="90"/>
      <c r="DN426" s="61"/>
      <c r="DO426" s="90"/>
      <c r="DP426" s="61"/>
      <c r="DQ426" s="90"/>
      <c r="DR426" s="61"/>
      <c r="DS426" s="90"/>
      <c r="DT426" s="61"/>
      <c r="DU426" s="90"/>
      <c r="DV426" s="61"/>
      <c r="DW426" s="90"/>
      <c r="DX426" s="90"/>
      <c r="DY426" s="90"/>
      <c r="DZ426" s="61"/>
      <c r="EA426" s="90"/>
      <c r="EB426" s="61"/>
      <c r="EC426" s="90"/>
      <c r="ED426" s="61"/>
      <c r="EE426" s="90"/>
      <c r="EF426" s="61"/>
      <c r="EG426" s="90"/>
      <c r="EH426" s="61"/>
      <c r="EI426" s="90"/>
      <c r="EJ426" s="61"/>
      <c r="EK426" s="90"/>
      <c r="EL426" s="61"/>
      <c r="EM426" s="90"/>
      <c r="EN426" s="61"/>
      <c r="EO426" s="90"/>
      <c r="EP426" s="61"/>
      <c r="EQ426" s="83"/>
      <c r="ER426" s="61"/>
      <c r="ES426" s="83"/>
      <c r="ET426" s="61"/>
      <c r="EU426" s="83"/>
      <c r="EV426" s="61"/>
      <c r="EW426" s="83"/>
      <c r="EX426" s="61"/>
      <c r="EY426" s="90"/>
      <c r="EZ426" s="558"/>
      <c r="FA426" s="90"/>
      <c r="FB426" s="138">
        <v>34.799999999999997</v>
      </c>
      <c r="FC426" s="219"/>
      <c r="FD426" s="138">
        <v>-79.2</v>
      </c>
      <c r="FE426" s="143" t="str">
        <f t="shared" si="2349"/>
        <v>NM</v>
      </c>
      <c r="FF426" s="84">
        <f>C426+E426+G426+I426</f>
        <v>11.3</v>
      </c>
      <c r="FG426" s="143" t="str">
        <f t="shared" si="2350"/>
        <v>NM</v>
      </c>
      <c r="FH426" s="84">
        <f>K426+M426+O426+Q426</f>
        <v>-11.299999999999999</v>
      </c>
      <c r="FI426" s="143" t="str">
        <f t="shared" si="2351"/>
        <v>NM</v>
      </c>
      <c r="FJ426" s="84">
        <f>S426+U426+W426+Y426</f>
        <v>-3.9000000000000004</v>
      </c>
      <c r="FK426" s="143" t="str">
        <f t="shared" si="2352"/>
        <v>NM</v>
      </c>
      <c r="FL426" s="84">
        <f>AA426+AC426+AE426+AG426</f>
        <v>21.9</v>
      </c>
      <c r="FM426" s="143" t="str">
        <f t="shared" si="2353"/>
        <v>NM</v>
      </c>
      <c r="FN426" s="138">
        <v>23.4</v>
      </c>
      <c r="FO426" s="143">
        <f t="shared" si="2354"/>
        <v>6.8493150684931559</v>
      </c>
      <c r="FP426" s="83">
        <f>AQ426+AS426+AU426+AW426</f>
        <v>23.3</v>
      </c>
      <c r="FQ426" s="61">
        <f t="shared" si="2355"/>
        <v>-0.42735042735041473</v>
      </c>
      <c r="FR426" s="83">
        <f>AY426+BA426+BC426+BE426</f>
        <v>20.9</v>
      </c>
      <c r="FS426" s="61">
        <f t="shared" si="2356"/>
        <v>-10.300429184549365</v>
      </c>
      <c r="FT426" s="83">
        <f>BG426+BI426+BK426+BM426</f>
        <v>24.599999999999998</v>
      </c>
      <c r="FU426" s="61">
        <f t="shared" si="2357"/>
        <v>17.703349282296642</v>
      </c>
      <c r="FV426" s="83">
        <f>BO426+BQ426+BS426+BU426</f>
        <v>27.1</v>
      </c>
      <c r="FW426" s="61">
        <f t="shared" si="2358"/>
        <v>10.162601626016276</v>
      </c>
      <c r="FX426" s="139"/>
      <c r="FY426" s="61"/>
      <c r="FZ426" s="139"/>
      <c r="GA426" s="61"/>
      <c r="GB426" s="139"/>
      <c r="GC426" s="61"/>
      <c r="GD426" s="139"/>
      <c r="GE426" s="61"/>
      <c r="GF426" s="139"/>
      <c r="GG426" s="61"/>
      <c r="GH426" s="139"/>
      <c r="GI426" s="61"/>
      <c r="GJ426" s="139"/>
      <c r="GK426" s="61"/>
      <c r="GL426" s="139"/>
      <c r="GM426" s="61"/>
      <c r="GN426" s="139"/>
      <c r="GO426" s="61"/>
      <c r="GP426" s="139"/>
      <c r="GQ426" s="61"/>
      <c r="GR426" s="83"/>
      <c r="GS426" s="61"/>
      <c r="GT426" s="83"/>
      <c r="GU426" s="61"/>
      <c r="GV426" s="83"/>
      <c r="GW426" s="61"/>
      <c r="GX426" s="83"/>
      <c r="GY426" s="61"/>
      <c r="GZ426" s="61" t="str">
        <f t="shared" si="2316"/>
        <v/>
      </c>
      <c r="HA426" s="61"/>
      <c r="HB426" s="452"/>
      <c r="HC426"/>
      <c r="HD426"/>
      <c r="HE426"/>
      <c r="HF426"/>
      <c r="HG426"/>
      <c r="HH426"/>
    </row>
    <row r="427" spans="1:216" s="5" customFormat="1" ht="12.75" hidden="1" customHeight="1" outlineLevel="1" x14ac:dyDescent="0.2">
      <c r="B427" s="94" t="s">
        <v>331</v>
      </c>
      <c r="C427" s="81">
        <f>C426/C425*100</f>
        <v>23.1527093596059</v>
      </c>
      <c r="D427" s="70"/>
      <c r="E427" s="81">
        <f>E426/E425*100</f>
        <v>26.335877862595432</v>
      </c>
      <c r="F427" s="71"/>
      <c r="G427" s="81">
        <f>G426/G425*100</f>
        <v>26.896551724137957</v>
      </c>
      <c r="H427" s="71"/>
      <c r="I427" s="81">
        <f>I426/I425*100</f>
        <v>-37.499999999999993</v>
      </c>
      <c r="J427" s="71"/>
      <c r="K427" s="81">
        <f>K426/K425*100</f>
        <v>24.864864864864863</v>
      </c>
      <c r="L427" s="61">
        <f t="shared" si="2317"/>
        <v>7.3950546290972197</v>
      </c>
      <c r="M427" s="81">
        <f>M426/M425*100</f>
        <v>15.675675675675677</v>
      </c>
      <c r="N427" s="61">
        <f t="shared" si="2318"/>
        <v>-40.477869173521363</v>
      </c>
      <c r="O427" s="81">
        <f>O426/O425*100</f>
        <v>-6.7415730337078719</v>
      </c>
      <c r="P427" s="61" t="str">
        <f t="shared" si="2319"/>
        <v>NM</v>
      </c>
      <c r="Q427" s="81" t="str">
        <f>IF(Q426/Q425*100&lt;-100,"NM",Q426/Q425*100)</f>
        <v>NM</v>
      </c>
      <c r="R427" s="61" t="str">
        <f t="shared" si="2320"/>
        <v>NA</v>
      </c>
      <c r="S427" s="81">
        <f>IF(S426/S425*100&lt;-100,"NM",S426/S425*100)</f>
        <v>6.6225165562913872</v>
      </c>
      <c r="T427" s="61" t="str">
        <f t="shared" si="2321"/>
        <v>NM</v>
      </c>
      <c r="U427" s="81">
        <f>IF(U426/U425*100&lt;-100,"NM",U426/U425*100)</f>
        <v>-36.363636363636317</v>
      </c>
      <c r="V427" s="61" t="str">
        <f t="shared" si="2322"/>
        <v>NM</v>
      </c>
      <c r="W427" s="81">
        <f>W426/W425*100</f>
        <v>12.500000000000034</v>
      </c>
      <c r="X427" s="61" t="str">
        <f t="shared" si="2323"/>
        <v>NM</v>
      </c>
      <c r="Y427" s="81">
        <f>IF(Y426/Y425*100&lt;-100,"NM",Y426/Y425*100)</f>
        <v>-26.229508196721309</v>
      </c>
      <c r="Z427" s="61" t="str">
        <f t="shared" si="2324"/>
        <v>NA</v>
      </c>
      <c r="AA427" s="81">
        <f>IF(AA426/AA425*100&lt;-100,"NM",AA426/AA425*100)</f>
        <v>35.849056603773555</v>
      </c>
      <c r="AB427" s="61" t="str">
        <f t="shared" si="2325"/>
        <v>NM</v>
      </c>
      <c r="AC427" s="81">
        <f>IF(AC426/AC425*100&lt;-100,"NM",AC426/AC425*100)</f>
        <v>34.374999999999979</v>
      </c>
      <c r="AD427" s="61" t="str">
        <f t="shared" si="2326"/>
        <v>NM</v>
      </c>
      <c r="AE427" s="81">
        <f>IF(AE426/AE425*100&lt;-100,"NM",AE426/AE425*100)</f>
        <v>34.682080924855498</v>
      </c>
      <c r="AF427" s="61" t="str">
        <f t="shared" si="2327"/>
        <v>NM</v>
      </c>
      <c r="AG427" s="81">
        <f>IF(AG426/AG425*100&lt;-100,"NM",AG426/AG425*100)</f>
        <v>29.729729729729719</v>
      </c>
      <c r="AH427" s="61" t="str">
        <f t="shared" si="2328"/>
        <v>NM</v>
      </c>
      <c r="AI427" s="81">
        <f>IF(AI426/AI425*100&lt;-100,"NM",AI426/AI425*100)</f>
        <v>34.375000000000014</v>
      </c>
      <c r="AJ427" s="61">
        <f t="shared" si="2329"/>
        <v>-4.1118421052630421</v>
      </c>
      <c r="AK427" s="81">
        <f>IF(AK426/AK425*100&lt;-100,"NM",AK426/AK425*100)</f>
        <v>35.757575757575758</v>
      </c>
      <c r="AL427" s="61">
        <f t="shared" si="2330"/>
        <v>4.0220385674931691</v>
      </c>
      <c r="AM427" s="81">
        <f>IF(AM426/AM425*100&lt;-100,"NM",AM426/AM425*100)</f>
        <v>34.838709677419352</v>
      </c>
      <c r="AN427" s="61">
        <f t="shared" si="2331"/>
        <v>0.45161290322577319</v>
      </c>
      <c r="AO427" s="81">
        <f>IF(AO426/AO425*100&lt;-100,"NM",AO426/AO425*100)</f>
        <v>35.433070866141726</v>
      </c>
      <c r="AP427" s="61">
        <f t="shared" si="2332"/>
        <v>19.183965640658585</v>
      </c>
      <c r="AQ427" s="81">
        <f>IF(AQ426/AQ425*100&lt;-100,"NM",AQ426/AQ425*100)</f>
        <v>34.996759559300052</v>
      </c>
      <c r="AR427" s="61">
        <f t="shared" si="2333"/>
        <v>1.8087550816000997</v>
      </c>
      <c r="AS427" s="81">
        <f>IF(AS426/AS425*100&lt;-100,"NM",AS426/AS425*100)</f>
        <v>35.308953341740214</v>
      </c>
      <c r="AT427" s="61">
        <f t="shared" si="2334"/>
        <v>-1.2546220103875405</v>
      </c>
      <c r="AU427" s="81">
        <f>IF(AU426/AU425*100&lt;-100,"NM",AU426/AU425*100)</f>
        <v>35.027472527472504</v>
      </c>
      <c r="AV427" s="61">
        <f t="shared" si="2335"/>
        <v>0.54181929181922328</v>
      </c>
      <c r="AW427" s="81">
        <f>IF(AW426/AW425*100&lt;-100,"NM",AW426/AW425*100)</f>
        <v>35.019455252918284</v>
      </c>
      <c r="AX427" s="61">
        <f t="shared" si="2335"/>
        <v>-1.1673151750972721</v>
      </c>
      <c r="AY427" s="81">
        <f>IF(AY426/AY425*100&lt;-100,"NM",AY426/AY425*100)</f>
        <v>35.236938031591734</v>
      </c>
      <c r="AZ427" s="61">
        <f t="shared" si="2336"/>
        <v>0.68628774582604191</v>
      </c>
      <c r="BA427" s="81">
        <f>IF(BA426/BA425*100&lt;-100,"NM",BA426/BA425*100)</f>
        <v>34.993270524899081</v>
      </c>
      <c r="BB427" s="61">
        <f t="shared" si="2337"/>
        <v>-0.89405883483935078</v>
      </c>
      <c r="BC427" s="81">
        <f>IF(BC426/BC425*100&lt;-100,"NM",BC426/BC425*100)</f>
        <v>35.266457680250788</v>
      </c>
      <c r="BD427" s="61">
        <f t="shared" si="2338"/>
        <v>0.68227918126506637</v>
      </c>
      <c r="BE427" s="81">
        <f>IF(BE426/BE425*100&lt;-100,"NM",BE426/BE425*100)</f>
        <v>35.386631716906955</v>
      </c>
      <c r="BF427" s="61">
        <f t="shared" si="2339"/>
        <v>1.048492791612099</v>
      </c>
      <c r="BG427" s="81">
        <f>IF(BG426/BG425*100&lt;-100,"NM",BG426/BG425*100)</f>
        <v>35.329341317365262</v>
      </c>
      <c r="BH427" s="61">
        <f t="shared" si="2340"/>
        <v>0.26223415238486592</v>
      </c>
      <c r="BI427" s="81">
        <f>IF(BI426/BI425*100&lt;-100,"NM",BI426/BI425*100)</f>
        <v>35</v>
      </c>
      <c r="BJ427" s="61">
        <f t="shared" si="2341"/>
        <v>1.9230769230693667E-2</v>
      </c>
      <c r="BK427" s="81">
        <f>IF(BK426/BK425*100&lt;-100,"NM",BK426/BK425*100)</f>
        <v>34.999999999999964</v>
      </c>
      <c r="BL427" s="61">
        <f t="shared" si="2342"/>
        <v>-0.75555555555566478</v>
      </c>
      <c r="BM427" s="81">
        <f>IF(BM426/BM425*100&lt;-100,"NM",BM426/BM425*100)</f>
        <v>34.693877551020393</v>
      </c>
      <c r="BN427" s="61">
        <f t="shared" si="2343"/>
        <v>-1.9576719576720247</v>
      </c>
      <c r="BO427" s="81">
        <f>IF(BO426/BO425*100&lt;-100,"NM",BO426/BO425*100)</f>
        <v>34.545454545454518</v>
      </c>
      <c r="BP427" s="61">
        <f t="shared" si="2344"/>
        <v>-2.2187981510015997</v>
      </c>
      <c r="BQ427" s="81">
        <f>IF(BQ426/BQ425*100&lt;-100,"NM",BQ426/BQ425*100)</f>
        <v>35.018050541516253</v>
      </c>
      <c r="BR427" s="61">
        <f t="shared" si="2345"/>
        <v>5.1572975760727502E-2</v>
      </c>
      <c r="BS427" s="81">
        <f>IF(BS426/BS425*100&lt;-100,"NM",BS426/BS425*100)</f>
        <v>34.920634920634917</v>
      </c>
      <c r="BT427" s="61">
        <f t="shared" si="2346"/>
        <v>-0.2267573696144165</v>
      </c>
      <c r="BU427" s="81">
        <f>IF(BU426/BU425*100&lt;-100,"NM",BU426/BU425*100)</f>
        <v>35.172413793103431</v>
      </c>
      <c r="BV427" s="61">
        <f t="shared" si="2347"/>
        <v>1.379310344827589</v>
      </c>
      <c r="BW427" s="81">
        <f>IF(BW426/BW425*100&lt;-100,"NM",BW426/BW425*100)</f>
        <v>34.736842105263158</v>
      </c>
      <c r="BX427" s="61">
        <f t="shared" si="2348"/>
        <v>0.55401662049869849</v>
      </c>
      <c r="BY427" s="81"/>
      <c r="BZ427" s="61"/>
      <c r="CA427" s="81"/>
      <c r="CB427" s="61"/>
      <c r="CC427" s="81"/>
      <c r="CD427" s="61"/>
      <c r="CE427" s="81"/>
      <c r="CF427" s="61"/>
      <c r="CG427" s="81"/>
      <c r="CH427" s="61"/>
      <c r="CI427" s="81"/>
      <c r="CJ427" s="61"/>
      <c r="CK427" s="81"/>
      <c r="CL427" s="61"/>
      <c r="CM427" s="81"/>
      <c r="CN427" s="61"/>
      <c r="CO427" s="81"/>
      <c r="CP427" s="61"/>
      <c r="CQ427" s="81"/>
      <c r="CR427" s="61"/>
      <c r="CS427" s="81"/>
      <c r="CT427" s="61"/>
      <c r="CU427" s="81"/>
      <c r="CV427" s="61"/>
      <c r="CW427" s="81"/>
      <c r="CX427" s="61"/>
      <c r="CY427" s="81"/>
      <c r="CZ427" s="61"/>
      <c r="DA427" s="81"/>
      <c r="DB427" s="61"/>
      <c r="DC427" s="81"/>
      <c r="DD427" s="61"/>
      <c r="DE427" s="81"/>
      <c r="DF427" s="61"/>
      <c r="DG427" s="81"/>
      <c r="DH427" s="61"/>
      <c r="DI427" s="81"/>
      <c r="DJ427" s="61"/>
      <c r="DK427" s="81"/>
      <c r="DL427" s="61"/>
      <c r="DM427" s="81"/>
      <c r="DN427" s="61"/>
      <c r="DO427" s="81"/>
      <c r="DP427" s="61"/>
      <c r="DQ427" s="81"/>
      <c r="DR427" s="61"/>
      <c r="DS427" s="81"/>
      <c r="DT427" s="61"/>
      <c r="DU427" s="81"/>
      <c r="DV427" s="61"/>
      <c r="DW427" s="81"/>
      <c r="DX427" s="81"/>
      <c r="DY427" s="81"/>
      <c r="DZ427" s="61"/>
      <c r="EA427" s="81"/>
      <c r="EB427" s="61"/>
      <c r="EC427" s="81"/>
      <c r="ED427" s="61"/>
      <c r="EE427" s="81"/>
      <c r="EF427" s="61"/>
      <c r="EG427" s="81"/>
      <c r="EH427" s="61"/>
      <c r="EI427" s="81"/>
      <c r="EJ427" s="61"/>
      <c r="EK427" s="81"/>
      <c r="EL427" s="61"/>
      <c r="EM427" s="81"/>
      <c r="EN427" s="61"/>
      <c r="EO427" s="81"/>
      <c r="EP427" s="61"/>
      <c r="EQ427" s="89"/>
      <c r="ER427" s="61"/>
      <c r="ES427" s="89"/>
      <c r="ET427" s="61"/>
      <c r="EU427" s="89"/>
      <c r="EV427" s="61"/>
      <c r="EW427" s="89"/>
      <c r="EX427" s="61"/>
      <c r="EY427" s="64"/>
      <c r="EZ427" s="558"/>
      <c r="FA427" s="64"/>
      <c r="FB427" s="81">
        <f>FB426/FB425*100</f>
        <v>32.923828426781412</v>
      </c>
      <c r="FC427" s="71"/>
      <c r="FD427" s="81">
        <f>FD426/FD425*100</f>
        <v>84.978540772532156</v>
      </c>
      <c r="FE427" s="70" t="str">
        <f t="shared" si="2349"/>
        <v>NM</v>
      </c>
      <c r="FF427" s="81">
        <f>FF426/FF425*100</f>
        <v>16.096866096866087</v>
      </c>
      <c r="FG427" s="70" t="str">
        <f t="shared" si="2350"/>
        <v>NM</v>
      </c>
      <c r="FH427" s="81">
        <f>FH426/FH425*100</f>
        <v>-24.248927038626626</v>
      </c>
      <c r="FI427" s="70" t="str">
        <f t="shared" si="2351"/>
        <v>NM</v>
      </c>
      <c r="FJ427" s="81">
        <f>FJ426/FJ425*100</f>
        <v>-12.580645161290313</v>
      </c>
      <c r="FK427" s="70">
        <f t="shared" si="2352"/>
        <v>-48.118755352555034</v>
      </c>
      <c r="FL427" s="81">
        <f>FL426/FL425*100</f>
        <v>33.384146341463399</v>
      </c>
      <c r="FM427" s="61" t="str">
        <f t="shared" si="2353"/>
        <v>NM</v>
      </c>
      <c r="FN427" s="81">
        <f>FN426/FN425*100</f>
        <v>34.92537313432836</v>
      </c>
      <c r="FO427" s="61">
        <f t="shared" si="2354"/>
        <v>4.6166428133306514</v>
      </c>
      <c r="FP427" s="88">
        <f>FP426/FP425*100</f>
        <v>35.000751089079138</v>
      </c>
      <c r="FQ427" s="61">
        <f t="shared" si="2355"/>
        <v>0.21582576787615437</v>
      </c>
      <c r="FR427" s="88">
        <f>FR426/FR425*100</f>
        <v>35.126050420168085</v>
      </c>
      <c r="FS427" s="61">
        <f t="shared" si="2356"/>
        <v>0.35799040646313784</v>
      </c>
      <c r="FT427" s="88">
        <f>FT426/FT425*100</f>
        <v>34.99288762446659</v>
      </c>
      <c r="FU427" s="61">
        <f t="shared" si="2357"/>
        <v>-0.37909982508320672</v>
      </c>
      <c r="FV427" s="88">
        <f>FV426/FV425*100</f>
        <v>34.922680412371136</v>
      </c>
      <c r="FW427" s="61">
        <f t="shared" si="2358"/>
        <v>-0.20063280529717398</v>
      </c>
      <c r="FX427" s="88"/>
      <c r="FY427" s="61"/>
      <c r="FZ427" s="88"/>
      <c r="GA427" s="61"/>
      <c r="GB427" s="88"/>
      <c r="GC427" s="61"/>
      <c r="GD427" s="88"/>
      <c r="GE427" s="61"/>
      <c r="GF427" s="88"/>
      <c r="GG427" s="61"/>
      <c r="GH427" s="88"/>
      <c r="GI427" s="61"/>
      <c r="GJ427" s="88"/>
      <c r="GK427" s="61"/>
      <c r="GL427" s="88"/>
      <c r="GM427" s="61"/>
      <c r="GN427" s="88"/>
      <c r="GO427" s="61"/>
      <c r="GP427" s="88"/>
      <c r="GQ427" s="61"/>
      <c r="GR427" s="89"/>
      <c r="GS427" s="61"/>
      <c r="GT427" s="89"/>
      <c r="GU427" s="61"/>
      <c r="GV427" s="89"/>
      <c r="GW427" s="61"/>
      <c r="GX427" s="89"/>
      <c r="GY427" s="61"/>
      <c r="GZ427" s="61" t="str">
        <f t="shared" si="2316"/>
        <v/>
      </c>
      <c r="HA427" s="61"/>
      <c r="HB427" s="452"/>
      <c r="HC427"/>
      <c r="HD427"/>
      <c r="HE427"/>
      <c r="HF427"/>
      <c r="HG427"/>
      <c r="HH427"/>
    </row>
    <row r="428" spans="1:216" s="5" customFormat="1" ht="12.75" hidden="1" customHeight="1" outlineLevel="1" x14ac:dyDescent="0.2">
      <c r="B428" s="63" t="s">
        <v>284</v>
      </c>
      <c r="C428" s="233">
        <f>C425-C426+0.1</f>
        <v>15.700000000000012</v>
      </c>
      <c r="D428" s="70"/>
      <c r="E428" s="233">
        <f>E425-E426</f>
        <v>19.29999999999999</v>
      </c>
      <c r="F428" s="71"/>
      <c r="G428" s="233">
        <f>G425-G426</f>
        <v>10.599999999999985</v>
      </c>
      <c r="H428" s="71"/>
      <c r="I428" s="233">
        <f>I425-I426+0.1</f>
        <v>15.500000000000002</v>
      </c>
      <c r="J428" s="161"/>
      <c r="K428" s="102">
        <f>K425-K426-0.1</f>
        <v>13.8</v>
      </c>
      <c r="L428" s="61">
        <f t="shared" si="2317"/>
        <v>-12.101910828025542</v>
      </c>
      <c r="M428" s="102">
        <f>M425-M426+0.1</f>
        <v>15.7</v>
      </c>
      <c r="N428" s="61">
        <f t="shared" si="2318"/>
        <v>-18.652849740932609</v>
      </c>
      <c r="O428" s="102">
        <f>O425-O426+0.1</f>
        <v>9.5999999999999908</v>
      </c>
      <c r="P428" s="61">
        <f t="shared" si="2319"/>
        <v>-9.4339622641509084</v>
      </c>
      <c r="Q428" s="102">
        <f>Q425-Q426+0.1</f>
        <v>19.000000000000011</v>
      </c>
      <c r="R428" s="61">
        <f t="shared" si="2320"/>
        <v>22.58064516129037</v>
      </c>
      <c r="S428" s="102">
        <f>S425-S426-0.3</f>
        <v>13.800000000000008</v>
      </c>
      <c r="T428" s="61">
        <f t="shared" si="2321"/>
        <v>4.4408920985006262E-14</v>
      </c>
      <c r="U428" s="102">
        <f>U425-U426+0.4</f>
        <v>6.4000000000000057</v>
      </c>
      <c r="V428" s="61" t="str">
        <f t="shared" si="2322"/>
        <v>NM</v>
      </c>
      <c r="W428" s="102">
        <f>W425-W426+0.1</f>
        <v>-0.59999999999999731</v>
      </c>
      <c r="X428" s="61" t="str">
        <f t="shared" si="2323"/>
        <v>NM</v>
      </c>
      <c r="Y428" s="102">
        <f>Y425-Y426-0.1</f>
        <v>15.300000000000002</v>
      </c>
      <c r="Z428" s="61">
        <f t="shared" si="2324"/>
        <v>-19.473684210526343</v>
      </c>
      <c r="AA428" s="102">
        <f>AA425-AA426</f>
        <v>6.8000000000000087</v>
      </c>
      <c r="AB428" s="61" t="str">
        <f t="shared" si="2325"/>
        <v>NM</v>
      </c>
      <c r="AC428" s="102">
        <f>AC425-AC426-0.2</f>
        <v>12.400000000000011</v>
      </c>
      <c r="AD428" s="61">
        <f t="shared" si="2326"/>
        <v>93.75</v>
      </c>
      <c r="AE428" s="102">
        <f>AE425-AE426</f>
        <v>11.299999999999997</v>
      </c>
      <c r="AF428" s="61" t="str">
        <f t="shared" si="2327"/>
        <v>NM</v>
      </c>
      <c r="AG428" s="102">
        <f>AG425-AG426</f>
        <v>13.000000000000007</v>
      </c>
      <c r="AH428" s="61">
        <f t="shared" si="2328"/>
        <v>-15.032679738562059</v>
      </c>
      <c r="AI428" s="102">
        <f>AI425-AI426-0.1</f>
        <v>6.1999999999999948</v>
      </c>
      <c r="AJ428" s="61">
        <f t="shared" si="2329"/>
        <v>-8.8235294117648966</v>
      </c>
      <c r="AK428" s="102">
        <f>AK425-AK426+0.05</f>
        <v>10.65</v>
      </c>
      <c r="AL428" s="61">
        <f t="shared" si="2330"/>
        <v>-14.112903225806528</v>
      </c>
      <c r="AM428" s="102">
        <f>AM425-AM426</f>
        <v>10.1</v>
      </c>
      <c r="AN428" s="61">
        <f t="shared" si="2331"/>
        <v>-10.619469026548655</v>
      </c>
      <c r="AO428" s="102">
        <f>AO425-AO426+0.2</f>
        <v>16.600000000000005</v>
      </c>
      <c r="AP428" s="61">
        <f t="shared" si="2332"/>
        <v>27.692307692307661</v>
      </c>
      <c r="AQ428" s="102">
        <f>AQ425-AQ426</f>
        <v>10.030000000000006</v>
      </c>
      <c r="AR428" s="126">
        <f t="shared" si="2333"/>
        <v>61.774193548387338</v>
      </c>
      <c r="AS428" s="102">
        <f>AS425-AS426</f>
        <v>10.260000000000007</v>
      </c>
      <c r="AT428" s="126">
        <f t="shared" si="2334"/>
        <v>-3.6619718309858551</v>
      </c>
      <c r="AU428" s="102">
        <f>AU425-AU426+0.1</f>
        <v>9.5600000000000094</v>
      </c>
      <c r="AV428" s="61">
        <f t="shared" si="2335"/>
        <v>-5.3465346534652518</v>
      </c>
      <c r="AW428" s="102">
        <f>AW425-AW426+0.1</f>
        <v>13.460000000000003</v>
      </c>
      <c r="AX428" s="61">
        <f t="shared" si="2335"/>
        <v>-18.915662650602417</v>
      </c>
      <c r="AY428" s="102">
        <f>AY425-AY426</f>
        <v>10.66</v>
      </c>
      <c r="AZ428" s="61">
        <f t="shared" si="2336"/>
        <v>6.2811565304087047</v>
      </c>
      <c r="BA428" s="102">
        <f>BA425-BA426</f>
        <v>9.659999999999993</v>
      </c>
      <c r="BB428" s="61">
        <f t="shared" si="2337"/>
        <v>-5.8479532163744015</v>
      </c>
      <c r="BC428" s="102">
        <f>BC425-BC426</f>
        <v>8.259999999999998</v>
      </c>
      <c r="BD428" s="61">
        <f t="shared" si="2338"/>
        <v>-13.598326359832747</v>
      </c>
      <c r="BE428" s="102">
        <f>BE425-BE426</f>
        <v>9.8599999999999977</v>
      </c>
      <c r="BF428" s="61">
        <f t="shared" si="2339"/>
        <v>-26.745913818722165</v>
      </c>
      <c r="BG428" s="102">
        <f>BG425-BG426</f>
        <v>10.800000000000002</v>
      </c>
      <c r="BH428" s="61">
        <f t="shared" si="2340"/>
        <v>1.3133208255159623</v>
      </c>
      <c r="BI428" s="102">
        <f>BI425-BI426</f>
        <v>11.7</v>
      </c>
      <c r="BJ428" s="61">
        <f t="shared" si="2341"/>
        <v>21.118012422360334</v>
      </c>
      <c r="BK428" s="102">
        <f>BK425-BK426</f>
        <v>10.400000000000015</v>
      </c>
      <c r="BL428" s="61">
        <f t="shared" si="2342"/>
        <v>25.907990314770181</v>
      </c>
      <c r="BM428" s="102">
        <f>BM425-BM426</f>
        <v>12.800000000000008</v>
      </c>
      <c r="BN428" s="61">
        <f t="shared" si="2343"/>
        <v>29.817444219067045</v>
      </c>
      <c r="BO428" s="102">
        <f>BO425-BO426</f>
        <v>10.800000000000015</v>
      </c>
      <c r="BP428" s="61">
        <f t="shared" si="2344"/>
        <v>1.1102230246251565E-13</v>
      </c>
      <c r="BQ428" s="102">
        <f>BQ425-BQ426</f>
        <v>17.999999999999989</v>
      </c>
      <c r="BR428" s="61">
        <f t="shared" si="2345"/>
        <v>53.846153846153769</v>
      </c>
      <c r="BS428" s="102">
        <f>BS425-BS426</f>
        <v>12.299999999999999</v>
      </c>
      <c r="BT428" s="61">
        <f t="shared" si="2346"/>
        <v>18.269230769230592</v>
      </c>
      <c r="BU428" s="102">
        <f>BU425-BU426</f>
        <v>9.4000000000000075</v>
      </c>
      <c r="BV428" s="61">
        <f t="shared" si="2347"/>
        <v>-26.562499999999989</v>
      </c>
      <c r="BW428" s="102">
        <f>BW425-BW426</f>
        <v>6.2</v>
      </c>
      <c r="BX428" s="61">
        <f t="shared" si="2348"/>
        <v>-42.592592592592673</v>
      </c>
      <c r="BY428" s="125"/>
      <c r="BZ428" s="61"/>
      <c r="CA428" s="125"/>
      <c r="CB428" s="61"/>
      <c r="CC428" s="125"/>
      <c r="CD428" s="61"/>
      <c r="CE428" s="125"/>
      <c r="CF428" s="61"/>
      <c r="CG428" s="125"/>
      <c r="CH428" s="61"/>
      <c r="CI428" s="125"/>
      <c r="CJ428" s="61"/>
      <c r="CK428" s="125"/>
      <c r="CL428" s="61"/>
      <c r="CM428" s="125"/>
      <c r="CN428" s="61"/>
      <c r="CO428" s="125"/>
      <c r="CP428" s="61"/>
      <c r="CQ428" s="125"/>
      <c r="CR428" s="61"/>
      <c r="CS428" s="125"/>
      <c r="CT428" s="61"/>
      <c r="CU428" s="125"/>
      <c r="CV428" s="61"/>
      <c r="CW428" s="125"/>
      <c r="CX428" s="61"/>
      <c r="CY428" s="125"/>
      <c r="CZ428" s="61"/>
      <c r="DA428" s="125"/>
      <c r="DB428" s="61"/>
      <c r="DC428" s="125"/>
      <c r="DD428" s="61"/>
      <c r="DE428" s="125"/>
      <c r="DF428" s="61"/>
      <c r="DG428" s="125"/>
      <c r="DH428" s="61"/>
      <c r="DI428" s="125"/>
      <c r="DJ428" s="61"/>
      <c r="DK428" s="125"/>
      <c r="DL428" s="61"/>
      <c r="DM428" s="125"/>
      <c r="DN428" s="61"/>
      <c r="DO428" s="125"/>
      <c r="DP428" s="61"/>
      <c r="DQ428" s="125"/>
      <c r="DR428" s="61"/>
      <c r="DS428" s="125"/>
      <c r="DT428" s="61"/>
      <c r="DU428" s="125"/>
      <c r="DV428" s="61"/>
      <c r="DW428" s="125"/>
      <c r="DX428" s="125"/>
      <c r="DY428" s="125"/>
      <c r="DZ428" s="61"/>
      <c r="EA428" s="125"/>
      <c r="EB428" s="61"/>
      <c r="EC428" s="125"/>
      <c r="ED428" s="61"/>
      <c r="EE428" s="125"/>
      <c r="EF428" s="61"/>
      <c r="EG428" s="125"/>
      <c r="EH428" s="61"/>
      <c r="EI428" s="125"/>
      <c r="EJ428" s="61"/>
      <c r="EK428" s="125"/>
      <c r="EL428" s="61"/>
      <c r="EM428" s="125"/>
      <c r="EN428" s="61"/>
      <c r="EO428" s="125"/>
      <c r="EP428" s="61"/>
      <c r="EQ428" s="125"/>
      <c r="ER428" s="61"/>
      <c r="ES428" s="125"/>
      <c r="ET428" s="61"/>
      <c r="EU428" s="125"/>
      <c r="EV428" s="61"/>
      <c r="EW428" s="125"/>
      <c r="EX428" s="61"/>
      <c r="EY428" s="90"/>
      <c r="EZ428" s="558"/>
      <c r="FA428" s="90"/>
      <c r="FB428" s="125">
        <f>FB425-FB426</f>
        <v>70.898521900000063</v>
      </c>
      <c r="FC428" s="219"/>
      <c r="FD428" s="125">
        <f>FD425-FD426</f>
        <v>-14.000000000000043</v>
      </c>
      <c r="FE428" s="143" t="str">
        <f t="shared" si="2349"/>
        <v>NM</v>
      </c>
      <c r="FF428" s="125">
        <f>FF425-FF426</f>
        <v>58.900000000000048</v>
      </c>
      <c r="FG428" s="143" t="str">
        <f t="shared" si="2350"/>
        <v>NM</v>
      </c>
      <c r="FH428" s="125">
        <f>FH425-FH426+0.2</f>
        <v>58.099999999999966</v>
      </c>
      <c r="FI428" s="143">
        <f t="shared" si="2351"/>
        <v>-1.3582342954160942</v>
      </c>
      <c r="FJ428" s="125">
        <f>FJ425-FJ426-0.3</f>
        <v>34.60000000000003</v>
      </c>
      <c r="FK428" s="143">
        <f t="shared" si="2352"/>
        <v>-40.447504302925907</v>
      </c>
      <c r="FL428" s="125">
        <f>FL425-FL426</f>
        <v>43.700000000000024</v>
      </c>
      <c r="FM428" s="143">
        <f t="shared" si="2353"/>
        <v>26.300578034682044</v>
      </c>
      <c r="FN428" s="125">
        <f>FN425-FN426</f>
        <v>43.6</v>
      </c>
      <c r="FO428" s="143">
        <f t="shared" si="2354"/>
        <v>-0.22883295194513487</v>
      </c>
      <c r="FP428" s="159">
        <f>FP425-FP426</f>
        <v>43.270000000000053</v>
      </c>
      <c r="FQ428" s="61">
        <f t="shared" si="2355"/>
        <v>-0.75688073394483135</v>
      </c>
      <c r="FR428" s="159">
        <f>FR425-FR426</f>
        <v>38.599999999999973</v>
      </c>
      <c r="FS428" s="61">
        <f t="shared" si="2356"/>
        <v>-10.792697018719844</v>
      </c>
      <c r="FT428" s="159">
        <f>FT425-FT426</f>
        <v>45.69999999999996</v>
      </c>
      <c r="FU428" s="61">
        <f t="shared" si="2357"/>
        <v>18.393782383419666</v>
      </c>
      <c r="FV428" s="159">
        <f>FV425-FV426</f>
        <v>50.499999999999993</v>
      </c>
      <c r="FW428" s="61">
        <f t="shared" si="2358"/>
        <v>10.503282275711246</v>
      </c>
      <c r="FX428" s="159"/>
      <c r="FY428" s="61"/>
      <c r="FZ428" s="159"/>
      <c r="GA428" s="61"/>
      <c r="GB428" s="159"/>
      <c r="GC428" s="61"/>
      <c r="GD428" s="159"/>
      <c r="GE428" s="61"/>
      <c r="GF428" s="159"/>
      <c r="GG428" s="61"/>
      <c r="GH428" s="159"/>
      <c r="GI428" s="61"/>
      <c r="GJ428" s="159"/>
      <c r="GK428" s="61"/>
      <c r="GL428" s="159"/>
      <c r="GM428" s="61"/>
      <c r="GN428" s="159"/>
      <c r="GO428" s="61"/>
      <c r="GP428" s="159"/>
      <c r="GQ428" s="61"/>
      <c r="GR428" s="125"/>
      <c r="GS428" s="61"/>
      <c r="GT428" s="125"/>
      <c r="GU428" s="61"/>
      <c r="GV428" s="125"/>
      <c r="GW428" s="61"/>
      <c r="GX428" s="125"/>
      <c r="GY428" s="61"/>
      <c r="GZ428" s="61" t="str">
        <f t="shared" si="2316"/>
        <v/>
      </c>
      <c r="HA428" s="61"/>
      <c r="HB428" s="452"/>
      <c r="HC428"/>
      <c r="HD428"/>
      <c r="HE428"/>
      <c r="HF428"/>
      <c r="HG428"/>
      <c r="HH428"/>
    </row>
    <row r="429" spans="1:216" s="5" customFormat="1" ht="12.75" hidden="1" customHeight="1" outlineLevel="1" x14ac:dyDescent="0.2">
      <c r="B429" s="2" t="s">
        <v>4</v>
      </c>
      <c r="C429" s="72">
        <v>0</v>
      </c>
      <c r="D429" s="70"/>
      <c r="E429" s="72">
        <v>0</v>
      </c>
      <c r="F429" s="71"/>
      <c r="G429" s="72">
        <v>0</v>
      </c>
      <c r="H429" s="71"/>
      <c r="I429" s="72">
        <v>0</v>
      </c>
      <c r="J429" s="61"/>
      <c r="K429" s="72">
        <v>0</v>
      </c>
      <c r="L429" s="61" t="str">
        <f t="shared" si="2317"/>
        <v>NA</v>
      </c>
      <c r="M429" s="72">
        <v>0</v>
      </c>
      <c r="N429" s="61" t="str">
        <f t="shared" si="2318"/>
        <v>NA</v>
      </c>
      <c r="O429" s="72">
        <v>0</v>
      </c>
      <c r="P429" s="61" t="str">
        <f t="shared" si="2319"/>
        <v>NA</v>
      </c>
      <c r="Q429" s="72">
        <v>0</v>
      </c>
      <c r="R429" s="61" t="str">
        <f t="shared" si="2320"/>
        <v>NA</v>
      </c>
      <c r="S429" s="72">
        <v>0</v>
      </c>
      <c r="T429" s="61" t="str">
        <f t="shared" si="2321"/>
        <v>NA</v>
      </c>
      <c r="U429" s="72">
        <v>0</v>
      </c>
      <c r="V429" s="61" t="str">
        <f t="shared" si="2322"/>
        <v>NA</v>
      </c>
      <c r="W429" s="72">
        <v>0</v>
      </c>
      <c r="X429" s="61" t="str">
        <f t="shared" si="2323"/>
        <v>NA</v>
      </c>
      <c r="Y429" s="72">
        <v>0</v>
      </c>
      <c r="Z429" s="61" t="str">
        <f t="shared" si="2324"/>
        <v>NA</v>
      </c>
      <c r="AA429" s="72">
        <v>0</v>
      </c>
      <c r="AB429" s="61" t="str">
        <f t="shared" si="2325"/>
        <v>NA</v>
      </c>
      <c r="AC429" s="72">
        <v>0</v>
      </c>
      <c r="AD429" s="61" t="str">
        <f t="shared" si="2326"/>
        <v>NA</v>
      </c>
      <c r="AE429" s="72">
        <v>0</v>
      </c>
      <c r="AF429" s="61" t="str">
        <f t="shared" si="2327"/>
        <v>NA</v>
      </c>
      <c r="AG429" s="72">
        <v>0</v>
      </c>
      <c r="AH429" s="61" t="str">
        <f t="shared" si="2328"/>
        <v>NA</v>
      </c>
      <c r="AI429" s="72">
        <v>0</v>
      </c>
      <c r="AJ429" s="61" t="str">
        <f t="shared" si="2329"/>
        <v>NA</v>
      </c>
      <c r="AK429" s="72">
        <v>0</v>
      </c>
      <c r="AL429" s="61" t="str">
        <f t="shared" si="2330"/>
        <v>NA</v>
      </c>
      <c r="AM429" s="72">
        <v>0</v>
      </c>
      <c r="AN429" s="61" t="str">
        <f t="shared" si="2331"/>
        <v>NA</v>
      </c>
      <c r="AO429" s="72">
        <v>0</v>
      </c>
      <c r="AP429" s="61" t="str">
        <f t="shared" si="2332"/>
        <v>NA</v>
      </c>
      <c r="AQ429" s="72">
        <v>0</v>
      </c>
      <c r="AR429" s="61" t="str">
        <f t="shared" si="2333"/>
        <v>NA</v>
      </c>
      <c r="AS429" s="72">
        <v>0</v>
      </c>
      <c r="AT429" s="61" t="str">
        <f t="shared" si="2334"/>
        <v>NA</v>
      </c>
      <c r="AU429" s="72">
        <v>0</v>
      </c>
      <c r="AV429" s="61" t="str">
        <f t="shared" si="2335"/>
        <v>NA</v>
      </c>
      <c r="AW429" s="72">
        <v>0</v>
      </c>
      <c r="AX429" s="61" t="str">
        <f t="shared" si="2335"/>
        <v>NA</v>
      </c>
      <c r="AY429" s="72">
        <v>0</v>
      </c>
      <c r="AZ429" s="61" t="str">
        <f t="shared" si="2336"/>
        <v>NA</v>
      </c>
      <c r="BA429" s="72">
        <v>0</v>
      </c>
      <c r="BB429" s="61" t="str">
        <f t="shared" si="2337"/>
        <v>NA</v>
      </c>
      <c r="BC429" s="72">
        <v>-3</v>
      </c>
      <c r="BD429" s="61" t="str">
        <f t="shared" si="2338"/>
        <v>NA</v>
      </c>
      <c r="BE429" s="72">
        <v>0</v>
      </c>
      <c r="BF429" s="61" t="str">
        <f t="shared" si="2339"/>
        <v>NA</v>
      </c>
      <c r="BG429" s="72">
        <v>0</v>
      </c>
      <c r="BH429" s="61" t="str">
        <f t="shared" si="2340"/>
        <v>NA</v>
      </c>
      <c r="BI429" s="72">
        <v>0</v>
      </c>
      <c r="BJ429" s="61" t="str">
        <f t="shared" si="2341"/>
        <v>NA</v>
      </c>
      <c r="BK429" s="72">
        <v>-2</v>
      </c>
      <c r="BL429" s="61">
        <f t="shared" si="2342"/>
        <v>-33.333333333333336</v>
      </c>
      <c r="BM429" s="72">
        <v>0</v>
      </c>
      <c r="BN429" s="61" t="str">
        <f t="shared" si="2343"/>
        <v>NA</v>
      </c>
      <c r="BO429" s="72">
        <v>0</v>
      </c>
      <c r="BP429" s="61" t="str">
        <f t="shared" si="2344"/>
        <v>NA</v>
      </c>
      <c r="BQ429" s="72">
        <v>6</v>
      </c>
      <c r="BR429" s="61" t="str">
        <f t="shared" si="2345"/>
        <v>NA</v>
      </c>
      <c r="BS429" s="72">
        <v>2</v>
      </c>
      <c r="BT429" s="61" t="str">
        <f t="shared" si="2346"/>
        <v>NM</v>
      </c>
      <c r="BU429" s="72">
        <v>0</v>
      </c>
      <c r="BV429" s="61" t="str">
        <f t="shared" si="2347"/>
        <v>NA</v>
      </c>
      <c r="BW429" s="72">
        <v>0</v>
      </c>
      <c r="BX429" s="61" t="str">
        <f t="shared" si="2348"/>
        <v>NA</v>
      </c>
      <c r="BY429" s="138"/>
      <c r="BZ429" s="61"/>
      <c r="CA429" s="138"/>
      <c r="CB429" s="61"/>
      <c r="CC429" s="138"/>
      <c r="CD429" s="61"/>
      <c r="CE429" s="138"/>
      <c r="CF429" s="61"/>
      <c r="CG429" s="138"/>
      <c r="CH429" s="61"/>
      <c r="CI429" s="138"/>
      <c r="CJ429" s="61"/>
      <c r="CK429" s="138"/>
      <c r="CL429" s="61"/>
      <c r="CM429" s="138"/>
      <c r="CN429" s="61"/>
      <c r="CO429" s="138"/>
      <c r="CP429" s="61"/>
      <c r="CQ429" s="138"/>
      <c r="CR429" s="61"/>
      <c r="CS429" s="138"/>
      <c r="CT429" s="61"/>
      <c r="CU429" s="138"/>
      <c r="CV429" s="61"/>
      <c r="CW429" s="138"/>
      <c r="CX429" s="61"/>
      <c r="CY429" s="138"/>
      <c r="CZ429" s="61"/>
      <c r="DA429" s="138"/>
      <c r="DB429" s="61"/>
      <c r="DC429" s="138"/>
      <c r="DD429" s="61"/>
      <c r="DE429" s="138"/>
      <c r="DF429" s="61"/>
      <c r="DG429" s="138"/>
      <c r="DH429" s="61"/>
      <c r="DI429" s="138"/>
      <c r="DJ429" s="61"/>
      <c r="DK429" s="138"/>
      <c r="DL429" s="61"/>
      <c r="DM429" s="138"/>
      <c r="DN429" s="61"/>
      <c r="DO429" s="138"/>
      <c r="DP429" s="61"/>
      <c r="DQ429" s="138"/>
      <c r="DR429" s="61"/>
      <c r="DS429" s="138"/>
      <c r="DT429" s="61"/>
      <c r="DU429" s="138"/>
      <c r="DV429" s="61"/>
      <c r="DW429" s="138"/>
      <c r="DX429" s="138"/>
      <c r="DY429" s="138"/>
      <c r="DZ429" s="61"/>
      <c r="EA429" s="138"/>
      <c r="EB429" s="61"/>
      <c r="EC429" s="138"/>
      <c r="ED429" s="61"/>
      <c r="EE429" s="138"/>
      <c r="EF429" s="61"/>
      <c r="EG429" s="138"/>
      <c r="EH429" s="61"/>
      <c r="EI429" s="138"/>
      <c r="EJ429" s="61"/>
      <c r="EK429" s="138"/>
      <c r="EL429" s="61"/>
      <c r="EM429" s="138"/>
      <c r="EN429" s="61"/>
      <c r="EO429" s="138"/>
      <c r="EP429" s="61"/>
      <c r="EQ429" s="138"/>
      <c r="ER429" s="61"/>
      <c r="ES429" s="138"/>
      <c r="ET429" s="61"/>
      <c r="EU429" s="138"/>
      <c r="EV429" s="61"/>
      <c r="EW429" s="138"/>
      <c r="EX429" s="61"/>
      <c r="EY429" s="90"/>
      <c r="EZ429" s="558"/>
      <c r="FA429" s="90"/>
      <c r="FB429" s="138">
        <v>0</v>
      </c>
      <c r="FC429" s="234"/>
      <c r="FD429" s="138">
        <v>0</v>
      </c>
      <c r="FE429" s="143" t="str">
        <f t="shared" si="2349"/>
        <v>NA</v>
      </c>
      <c r="FF429" s="139">
        <f>C429+E429+G429+I429</f>
        <v>0</v>
      </c>
      <c r="FG429" s="143" t="str">
        <f t="shared" si="2350"/>
        <v>NA</v>
      </c>
      <c r="FH429" s="139">
        <f>K429+M429+O429+Q429</f>
        <v>0</v>
      </c>
      <c r="FI429" s="143" t="str">
        <f t="shared" si="2351"/>
        <v>NA</v>
      </c>
      <c r="FJ429" s="139">
        <f>S429+U429+W429+Y429</f>
        <v>0</v>
      </c>
      <c r="FK429" s="143" t="str">
        <f t="shared" si="2352"/>
        <v>NA</v>
      </c>
      <c r="FL429" s="139">
        <f>AA429+AC429+AE429+AG429</f>
        <v>0</v>
      </c>
      <c r="FM429" s="143" t="str">
        <f t="shared" si="2353"/>
        <v>NA</v>
      </c>
      <c r="FN429" s="139">
        <f>AI429+AK429+AM429+AO429</f>
        <v>0</v>
      </c>
      <c r="FO429" s="143" t="str">
        <f t="shared" si="2354"/>
        <v>NA</v>
      </c>
      <c r="FP429" s="139">
        <f>AQ429+AS429+AU429+AW429</f>
        <v>0</v>
      </c>
      <c r="FQ429" s="61" t="str">
        <f t="shared" si="2355"/>
        <v>NA</v>
      </c>
      <c r="FR429" s="139">
        <f>AY429+BA429+BC429+BE429</f>
        <v>-3</v>
      </c>
      <c r="FS429" s="61" t="str">
        <f t="shared" si="2356"/>
        <v>NA</v>
      </c>
      <c r="FT429" s="139">
        <f>BG429+BI429+BK429+BM429</f>
        <v>-2</v>
      </c>
      <c r="FU429" s="61">
        <f t="shared" si="2357"/>
        <v>-33.333333333333336</v>
      </c>
      <c r="FV429" s="139">
        <f>BO429+BQ429+BS429+BU429</f>
        <v>8</v>
      </c>
      <c r="FW429" s="61" t="str">
        <f t="shared" si="2358"/>
        <v>NM</v>
      </c>
      <c r="FX429" s="139"/>
      <c r="FY429" s="61"/>
      <c r="FZ429" s="139"/>
      <c r="GA429" s="61"/>
      <c r="GB429" s="139"/>
      <c r="GC429" s="61"/>
      <c r="GD429" s="139"/>
      <c r="GE429" s="61"/>
      <c r="GF429" s="139"/>
      <c r="GG429" s="61"/>
      <c r="GH429" s="139"/>
      <c r="GI429" s="61"/>
      <c r="GJ429" s="139"/>
      <c r="GK429" s="61"/>
      <c r="GL429" s="139"/>
      <c r="GM429" s="61"/>
      <c r="GN429" s="139"/>
      <c r="GO429" s="61"/>
      <c r="GP429" s="139"/>
      <c r="GQ429" s="61"/>
      <c r="GR429" s="138"/>
      <c r="GS429" s="61"/>
      <c r="GT429" s="138"/>
      <c r="GU429" s="61"/>
      <c r="GV429" s="138"/>
      <c r="GW429" s="61"/>
      <c r="GX429" s="138"/>
      <c r="GY429" s="61"/>
      <c r="GZ429" s="61" t="str">
        <f t="shared" si="2316"/>
        <v/>
      </c>
      <c r="HA429" s="61"/>
      <c r="HB429" s="452"/>
      <c r="HC429"/>
      <c r="HD429"/>
      <c r="HE429"/>
      <c r="HF429"/>
      <c r="HG429"/>
      <c r="HH429"/>
    </row>
    <row r="430" spans="1:216" s="5" customFormat="1" ht="12.75" hidden="1" customHeight="1" outlineLevel="1" x14ac:dyDescent="0.2">
      <c r="B430" s="63" t="s">
        <v>384</v>
      </c>
      <c r="C430" s="125">
        <f>C428-C429</f>
        <v>15.700000000000012</v>
      </c>
      <c r="D430" s="70"/>
      <c r="E430" s="125">
        <f>E428-E429</f>
        <v>19.29999999999999</v>
      </c>
      <c r="F430" s="71"/>
      <c r="G430" s="125">
        <f>G428-G429</f>
        <v>10.599999999999985</v>
      </c>
      <c r="H430" s="71"/>
      <c r="I430" s="125">
        <f>I428-I429</f>
        <v>15.500000000000002</v>
      </c>
      <c r="J430" s="61"/>
      <c r="K430" s="125">
        <f>K428-K429</f>
        <v>13.8</v>
      </c>
      <c r="L430" s="61">
        <f t="shared" si="2317"/>
        <v>-12.101910828025542</v>
      </c>
      <c r="M430" s="125">
        <f>M428-M429</f>
        <v>15.7</v>
      </c>
      <c r="N430" s="61">
        <f t="shared" si="2318"/>
        <v>-18.652849740932609</v>
      </c>
      <c r="O430" s="125">
        <f>O428-O429</f>
        <v>9.5999999999999908</v>
      </c>
      <c r="P430" s="61">
        <f t="shared" si="2319"/>
        <v>-9.4339622641509084</v>
      </c>
      <c r="Q430" s="125">
        <f>Q428-Q429</f>
        <v>19.000000000000011</v>
      </c>
      <c r="R430" s="61">
        <f t="shared" si="2320"/>
        <v>22.58064516129037</v>
      </c>
      <c r="S430" s="125">
        <f>S428-S429</f>
        <v>13.800000000000008</v>
      </c>
      <c r="T430" s="61">
        <f t="shared" si="2321"/>
        <v>4.4408920985006262E-14</v>
      </c>
      <c r="U430" s="125">
        <f>U428-U429</f>
        <v>6.4000000000000057</v>
      </c>
      <c r="V430" s="61" t="str">
        <f t="shared" si="2322"/>
        <v>NM</v>
      </c>
      <c r="W430" s="125">
        <f>W428-W429</f>
        <v>-0.59999999999999731</v>
      </c>
      <c r="X430" s="61" t="str">
        <f t="shared" si="2323"/>
        <v>NM</v>
      </c>
      <c r="Y430" s="125">
        <f>Y428-Y429</f>
        <v>15.300000000000002</v>
      </c>
      <c r="Z430" s="61">
        <f t="shared" si="2324"/>
        <v>-19.473684210526343</v>
      </c>
      <c r="AA430" s="125">
        <f>AA428-AA429</f>
        <v>6.8000000000000087</v>
      </c>
      <c r="AB430" s="61" t="str">
        <f t="shared" si="2325"/>
        <v>NM</v>
      </c>
      <c r="AC430" s="125">
        <f>AC428-AC429</f>
        <v>12.400000000000011</v>
      </c>
      <c r="AD430" s="61">
        <f t="shared" si="2326"/>
        <v>93.75</v>
      </c>
      <c r="AE430" s="125">
        <f>AE428-AE429</f>
        <v>11.299999999999997</v>
      </c>
      <c r="AF430" s="61" t="str">
        <f t="shared" si="2327"/>
        <v>NM</v>
      </c>
      <c r="AG430" s="125">
        <f>AG428-AG429</f>
        <v>13.000000000000007</v>
      </c>
      <c r="AH430" s="61">
        <f t="shared" si="2328"/>
        <v>-15.032679738562059</v>
      </c>
      <c r="AI430" s="125">
        <f>AI428-AI429</f>
        <v>6.1999999999999948</v>
      </c>
      <c r="AJ430" s="61">
        <f t="shared" si="2329"/>
        <v>-8.8235294117648966</v>
      </c>
      <c r="AK430" s="125">
        <f>AK428-AK429</f>
        <v>10.65</v>
      </c>
      <c r="AL430" s="61">
        <f t="shared" si="2330"/>
        <v>-14.112903225806528</v>
      </c>
      <c r="AM430" s="125">
        <f>AM428-AM429</f>
        <v>10.1</v>
      </c>
      <c r="AN430" s="61">
        <f t="shared" si="2331"/>
        <v>-10.619469026548655</v>
      </c>
      <c r="AO430" s="125">
        <f>AO428-AO429</f>
        <v>16.600000000000005</v>
      </c>
      <c r="AP430" s="61">
        <f t="shared" si="2332"/>
        <v>27.692307692307661</v>
      </c>
      <c r="AQ430" s="125">
        <f>AQ428-AQ429</f>
        <v>10.030000000000006</v>
      </c>
      <c r="AR430" s="61">
        <f t="shared" si="2333"/>
        <v>61.774193548387338</v>
      </c>
      <c r="AS430" s="125">
        <f>AS428-AS429</f>
        <v>10.260000000000007</v>
      </c>
      <c r="AT430" s="61">
        <f t="shared" si="2334"/>
        <v>-3.6619718309858551</v>
      </c>
      <c r="AU430" s="125">
        <f>AU428-AU429</f>
        <v>9.5600000000000094</v>
      </c>
      <c r="AV430" s="61">
        <f t="shared" si="2335"/>
        <v>-5.3465346534652518</v>
      </c>
      <c r="AW430" s="125">
        <f>AW428-AW429</f>
        <v>13.460000000000003</v>
      </c>
      <c r="AX430" s="61">
        <f t="shared" si="2335"/>
        <v>-18.915662650602417</v>
      </c>
      <c r="AY430" s="125">
        <f>AY428-AY429</f>
        <v>10.66</v>
      </c>
      <c r="AZ430" s="61">
        <f t="shared" si="2336"/>
        <v>6.2811565304087047</v>
      </c>
      <c r="BA430" s="125">
        <f>BA428-BA429</f>
        <v>9.659999999999993</v>
      </c>
      <c r="BB430" s="61">
        <f t="shared" si="2337"/>
        <v>-5.8479532163744015</v>
      </c>
      <c r="BC430" s="125">
        <f>BC428-BC429</f>
        <v>11.259999999999998</v>
      </c>
      <c r="BD430" s="61">
        <f t="shared" si="2338"/>
        <v>17.782426778242531</v>
      </c>
      <c r="BE430" s="125">
        <f>BE428-BE429</f>
        <v>9.8599999999999977</v>
      </c>
      <c r="BF430" s="61">
        <f t="shared" si="2339"/>
        <v>-26.745913818722165</v>
      </c>
      <c r="BG430" s="125">
        <f>BG428-BG429</f>
        <v>10.800000000000002</v>
      </c>
      <c r="BH430" s="61">
        <f t="shared" si="2340"/>
        <v>1.3133208255159623</v>
      </c>
      <c r="BI430" s="125">
        <f>BI428-BI429</f>
        <v>11.7</v>
      </c>
      <c r="BJ430" s="61">
        <f t="shared" si="2341"/>
        <v>21.118012422360334</v>
      </c>
      <c r="BK430" s="125">
        <f>BK428-BK429</f>
        <v>12.400000000000015</v>
      </c>
      <c r="BL430" s="61">
        <f t="shared" si="2342"/>
        <v>10.124333925399798</v>
      </c>
      <c r="BM430" s="125">
        <f>BM428-BM429</f>
        <v>12.800000000000008</v>
      </c>
      <c r="BN430" s="61">
        <f t="shared" si="2343"/>
        <v>29.817444219067045</v>
      </c>
      <c r="BO430" s="125">
        <f>BO428-BO429</f>
        <v>10.800000000000015</v>
      </c>
      <c r="BP430" s="61">
        <f t="shared" si="2344"/>
        <v>1.1102230246251565E-13</v>
      </c>
      <c r="BQ430" s="125">
        <f>BQ428-BQ429</f>
        <v>11.999999999999989</v>
      </c>
      <c r="BR430" s="61">
        <f t="shared" si="2345"/>
        <v>2.5641025641024884</v>
      </c>
      <c r="BS430" s="125">
        <f>BS428-BS429</f>
        <v>10.299999999999999</v>
      </c>
      <c r="BT430" s="61">
        <f t="shared" si="2346"/>
        <v>-16.93548387096785</v>
      </c>
      <c r="BU430" s="125">
        <f>BU428-BU429</f>
        <v>9.4000000000000075</v>
      </c>
      <c r="BV430" s="61">
        <f t="shared" si="2347"/>
        <v>-26.562499999999989</v>
      </c>
      <c r="BW430" s="125">
        <f>BW428-BW429</f>
        <v>6.2</v>
      </c>
      <c r="BX430" s="61">
        <f t="shared" si="2348"/>
        <v>-42.592592592592673</v>
      </c>
      <c r="BY430" s="125"/>
      <c r="BZ430" s="61"/>
      <c r="CA430" s="125"/>
      <c r="CB430" s="61"/>
      <c r="CC430" s="125"/>
      <c r="CD430" s="61"/>
      <c r="CE430" s="125"/>
      <c r="CF430" s="61"/>
      <c r="CG430" s="125"/>
      <c r="CH430" s="61"/>
      <c r="CI430" s="125"/>
      <c r="CJ430" s="61"/>
      <c r="CK430" s="125"/>
      <c r="CL430" s="61"/>
      <c r="CM430" s="125"/>
      <c r="CN430" s="61"/>
      <c r="CO430" s="125"/>
      <c r="CP430" s="61"/>
      <c r="CQ430" s="125"/>
      <c r="CR430" s="61"/>
      <c r="CS430" s="125"/>
      <c r="CT430" s="61"/>
      <c r="CU430" s="125"/>
      <c r="CV430" s="61"/>
      <c r="CW430" s="125"/>
      <c r="CX430" s="61"/>
      <c r="CY430" s="125"/>
      <c r="CZ430" s="61"/>
      <c r="DA430" s="125"/>
      <c r="DB430" s="61"/>
      <c r="DC430" s="125"/>
      <c r="DD430" s="61"/>
      <c r="DE430" s="125"/>
      <c r="DF430" s="61"/>
      <c r="DG430" s="125"/>
      <c r="DH430" s="61"/>
      <c r="DI430" s="125"/>
      <c r="DJ430" s="61"/>
      <c r="DK430" s="125"/>
      <c r="DL430" s="61"/>
      <c r="DM430" s="125"/>
      <c r="DN430" s="61"/>
      <c r="DO430" s="125"/>
      <c r="DP430" s="61"/>
      <c r="DQ430" s="125"/>
      <c r="DR430" s="61"/>
      <c r="DS430" s="125"/>
      <c r="DT430" s="61"/>
      <c r="DU430" s="125"/>
      <c r="DV430" s="61"/>
      <c r="DW430" s="125"/>
      <c r="DX430" s="125"/>
      <c r="DY430" s="125"/>
      <c r="DZ430" s="61"/>
      <c r="EA430" s="125"/>
      <c r="EB430" s="61"/>
      <c r="EC430" s="125"/>
      <c r="ED430" s="61"/>
      <c r="EE430" s="125"/>
      <c r="EF430" s="61"/>
      <c r="EG430" s="125"/>
      <c r="EH430" s="61"/>
      <c r="EI430" s="125"/>
      <c r="EJ430" s="61"/>
      <c r="EK430" s="125"/>
      <c r="EL430" s="61"/>
      <c r="EM430" s="125"/>
      <c r="EN430" s="61"/>
      <c r="EO430" s="125"/>
      <c r="EP430" s="61"/>
      <c r="EQ430" s="125"/>
      <c r="ER430" s="61"/>
      <c r="ES430" s="125"/>
      <c r="ET430" s="61"/>
      <c r="EU430" s="125"/>
      <c r="EV430" s="61"/>
      <c r="EW430" s="125"/>
      <c r="EX430" s="61"/>
      <c r="EY430" s="64"/>
      <c r="EZ430" s="558"/>
      <c r="FA430" s="64"/>
      <c r="FB430" s="125">
        <f>FB428-FB429</f>
        <v>70.898521900000063</v>
      </c>
      <c r="FC430" s="124"/>
      <c r="FD430" s="125">
        <f>FD428-FD429</f>
        <v>-14.000000000000043</v>
      </c>
      <c r="FE430" s="70" t="str">
        <f t="shared" si="2349"/>
        <v>NM</v>
      </c>
      <c r="FF430" s="125">
        <f>FF428-FF429</f>
        <v>58.900000000000048</v>
      </c>
      <c r="FG430" s="70" t="str">
        <f t="shared" si="2350"/>
        <v>NM</v>
      </c>
      <c r="FH430" s="125">
        <f>FH428-FH429</f>
        <v>58.099999999999966</v>
      </c>
      <c r="FI430" s="70">
        <f t="shared" si="2351"/>
        <v>-1.3582342954160942</v>
      </c>
      <c r="FJ430" s="125">
        <f>FJ428-FJ429</f>
        <v>34.60000000000003</v>
      </c>
      <c r="FK430" s="70">
        <f t="shared" si="2352"/>
        <v>-40.447504302925907</v>
      </c>
      <c r="FL430" s="125">
        <f>FL428-FL429</f>
        <v>43.700000000000024</v>
      </c>
      <c r="FM430" s="70">
        <f t="shared" si="2353"/>
        <v>26.300578034682044</v>
      </c>
      <c r="FN430" s="125">
        <f>FN428-FN429</f>
        <v>43.6</v>
      </c>
      <c r="FO430" s="70">
        <f t="shared" si="2354"/>
        <v>-0.22883295194513487</v>
      </c>
      <c r="FP430" s="159">
        <f>FP428-FP429</f>
        <v>43.270000000000053</v>
      </c>
      <c r="FQ430" s="61">
        <f t="shared" si="2355"/>
        <v>-0.75688073394483135</v>
      </c>
      <c r="FR430" s="159">
        <f>FR428-FR429</f>
        <v>41.599999999999973</v>
      </c>
      <c r="FS430" s="61">
        <f t="shared" si="2356"/>
        <v>-3.8594869424545375</v>
      </c>
      <c r="FT430" s="159">
        <f>FT428-FT429</f>
        <v>47.69999999999996</v>
      </c>
      <c r="FU430" s="61">
        <f t="shared" si="2357"/>
        <v>14.663461538461519</v>
      </c>
      <c r="FV430" s="159">
        <f>FV428-FV429</f>
        <v>42.499999999999993</v>
      </c>
      <c r="FW430" s="61">
        <f t="shared" si="2358"/>
        <v>-10.901467505241037</v>
      </c>
      <c r="FX430" s="159"/>
      <c r="FY430" s="61"/>
      <c r="FZ430" s="159"/>
      <c r="GA430" s="61"/>
      <c r="GB430" s="159"/>
      <c r="GC430" s="61"/>
      <c r="GD430" s="159"/>
      <c r="GE430" s="61"/>
      <c r="GF430" s="159"/>
      <c r="GG430" s="61"/>
      <c r="GH430" s="159"/>
      <c r="GI430" s="61"/>
      <c r="GJ430" s="159"/>
      <c r="GK430" s="61"/>
      <c r="GL430" s="159"/>
      <c r="GM430" s="61"/>
      <c r="GN430" s="159"/>
      <c r="GO430" s="61"/>
      <c r="GP430" s="159"/>
      <c r="GQ430" s="61"/>
      <c r="GR430" s="125"/>
      <c r="GS430" s="61"/>
      <c r="GT430" s="125"/>
      <c r="GU430" s="61"/>
      <c r="GV430" s="125"/>
      <c r="GW430" s="61"/>
      <c r="GX430" s="125"/>
      <c r="GY430" s="61"/>
      <c r="GZ430" s="61" t="str">
        <f t="shared" si="2316"/>
        <v/>
      </c>
      <c r="HA430" s="61"/>
      <c r="HB430" s="452"/>
      <c r="HC430"/>
      <c r="HD430"/>
      <c r="HE430"/>
      <c r="HF430"/>
      <c r="HG430"/>
      <c r="HH430"/>
    </row>
    <row r="431" spans="1:216" s="5" customFormat="1" ht="12.75" hidden="1" customHeight="1" outlineLevel="1" x14ac:dyDescent="0.2">
      <c r="B431" s="2" t="s">
        <v>73</v>
      </c>
      <c r="C431" s="69"/>
      <c r="D431" s="70"/>
      <c r="E431" s="69"/>
      <c r="F431" s="71"/>
      <c r="G431" s="69"/>
      <c r="H431" s="71"/>
      <c r="I431" s="69"/>
      <c r="J431" s="61"/>
      <c r="K431" s="69"/>
      <c r="L431" s="61"/>
      <c r="M431" s="69"/>
      <c r="N431" s="61"/>
      <c r="O431" s="69"/>
      <c r="P431" s="61"/>
      <c r="Q431" s="69"/>
      <c r="R431" s="61"/>
      <c r="S431" s="69"/>
      <c r="T431" s="61"/>
      <c r="U431" s="69"/>
      <c r="V431" s="61"/>
      <c r="W431" s="69"/>
      <c r="X431" s="126"/>
      <c r="Y431" s="69"/>
      <c r="Z431" s="126"/>
      <c r="AA431" s="69"/>
      <c r="AB431" s="126"/>
      <c r="AC431" s="69"/>
      <c r="AD431" s="126"/>
      <c r="AE431" s="69"/>
      <c r="AF431" s="126"/>
      <c r="AG431" s="69"/>
      <c r="AH431" s="126"/>
      <c r="AI431" s="69"/>
      <c r="AJ431" s="126"/>
      <c r="AK431" s="69"/>
      <c r="AL431" s="126"/>
      <c r="AM431" s="69"/>
      <c r="AN431" s="126"/>
      <c r="AO431" s="69"/>
      <c r="AP431" s="126"/>
      <c r="AQ431" s="69">
        <f>AQ430/(1-AQ427/100)</f>
        <v>15.430000000000007</v>
      </c>
      <c r="AR431" s="61" t="str">
        <f t="shared" si="2333"/>
        <v>NA</v>
      </c>
      <c r="AS431" s="69">
        <f>AS430/(1-AS427/100)</f>
        <v>15.860000000000007</v>
      </c>
      <c r="AT431" s="61" t="str">
        <f t="shared" si="2334"/>
        <v>NA</v>
      </c>
      <c r="AU431" s="69">
        <f>AU430/(1-AU427/100)</f>
        <v>14.713911205074005</v>
      </c>
      <c r="AV431" s="61" t="str">
        <f t="shared" si="2335"/>
        <v>NA</v>
      </c>
      <c r="AW431" s="69">
        <f>AW430/(1-AW427/100)</f>
        <v>20.713892215568865</v>
      </c>
      <c r="AX431" s="61" t="str">
        <f t="shared" si="2335"/>
        <v>NA</v>
      </c>
      <c r="AY431" s="69">
        <f>AY430/(1-AY427/100)</f>
        <v>16.46</v>
      </c>
      <c r="AZ431" s="61">
        <f t="shared" si="2336"/>
        <v>6.6753078418664513</v>
      </c>
      <c r="BA431" s="69">
        <f>BA430/(1-BA427/100)</f>
        <v>14.859999999999996</v>
      </c>
      <c r="BB431" s="61">
        <f t="shared" si="2337"/>
        <v>-6.3051702395965359</v>
      </c>
      <c r="BC431" s="69">
        <f>BC430/(1-BC427/100)</f>
        <v>17.394382566585953</v>
      </c>
      <c r="BD431" s="61">
        <f t="shared" si="2338"/>
        <v>18.217259327945399</v>
      </c>
      <c r="BE431" s="69">
        <f>BE430/(1-BE427/100)</f>
        <v>15.259999999999996</v>
      </c>
      <c r="BF431" s="61">
        <f t="shared" si="2339"/>
        <v>-26.32963500442299</v>
      </c>
      <c r="BG431" s="69">
        <f>BG430/(1-BG427/100)</f>
        <v>16.700000000000003</v>
      </c>
      <c r="BH431" s="61">
        <f t="shared" si="2340"/>
        <v>1.4580801944106936</v>
      </c>
      <c r="BI431" s="69">
        <f>BI430/(1-BI427/100)</f>
        <v>18</v>
      </c>
      <c r="BJ431" s="61">
        <f t="shared" si="2341"/>
        <v>21.13055181695831</v>
      </c>
      <c r="BK431" s="69">
        <f>BK430/(1-BK427/100)</f>
        <v>19.076923076923087</v>
      </c>
      <c r="BL431" s="61">
        <f t="shared" si="2342"/>
        <v>9.6728958552931843</v>
      </c>
      <c r="BM431" s="69">
        <f>BM430/(1-BM427/100)</f>
        <v>19.600000000000009</v>
      </c>
      <c r="BN431" s="61">
        <f t="shared" si="2343"/>
        <v>28.440366972477161</v>
      </c>
      <c r="BO431" s="69">
        <f>BO430/(1-BO427/100)</f>
        <v>16.500000000000018</v>
      </c>
      <c r="BP431" s="61">
        <f t="shared" si="2344"/>
        <v>-1.1976047904190712</v>
      </c>
      <c r="BQ431" s="69">
        <f>BQ430/(1-BQ427/100)</f>
        <v>18.466666666666654</v>
      </c>
      <c r="BR431" s="61">
        <f t="shared" si="2345"/>
        <v>2.5925925925925242</v>
      </c>
      <c r="BS431" s="69">
        <f>BS430/(1-BS427/100)</f>
        <v>15.826829268292681</v>
      </c>
      <c r="BT431" s="61">
        <f t="shared" si="2346"/>
        <v>-17.03678206136906</v>
      </c>
      <c r="BU431" s="69">
        <f>BU430/(1-BU427/100)</f>
        <v>14.500000000000007</v>
      </c>
      <c r="BV431" s="61">
        <f t="shared" si="2347"/>
        <v>-26.020408163265309</v>
      </c>
      <c r="BW431" s="69">
        <f>BW430/(1-BW427/100)</f>
        <v>9.5</v>
      </c>
      <c r="BX431" s="61">
        <f t="shared" si="2348"/>
        <v>-42.424242424242486</v>
      </c>
      <c r="BY431" s="84"/>
      <c r="BZ431" s="61"/>
      <c r="CA431" s="84"/>
      <c r="CB431" s="61"/>
      <c r="CC431" s="84"/>
      <c r="CD431" s="61"/>
      <c r="CE431" s="84"/>
      <c r="CF431" s="61"/>
      <c r="CG431" s="84"/>
      <c r="CH431" s="61"/>
      <c r="CI431" s="84"/>
      <c r="CJ431" s="61"/>
      <c r="CK431" s="84"/>
      <c r="CL431" s="61"/>
      <c r="CM431" s="84"/>
      <c r="CN431" s="61"/>
      <c r="CO431" s="84"/>
      <c r="CP431" s="61"/>
      <c r="CQ431" s="84"/>
      <c r="CR431" s="61"/>
      <c r="CS431" s="84"/>
      <c r="CT431" s="61"/>
      <c r="CU431" s="84"/>
      <c r="CV431" s="61"/>
      <c r="CW431" s="84"/>
      <c r="CX431" s="61"/>
      <c r="CY431" s="84"/>
      <c r="CZ431" s="61"/>
      <c r="DA431" s="84"/>
      <c r="DB431" s="61"/>
      <c r="DC431" s="84"/>
      <c r="DD431" s="61"/>
      <c r="DE431" s="84"/>
      <c r="DF431" s="61"/>
      <c r="DG431" s="84"/>
      <c r="DH431" s="61"/>
      <c r="DI431" s="84"/>
      <c r="DJ431" s="61"/>
      <c r="DK431" s="84"/>
      <c r="DL431" s="61"/>
      <c r="DM431" s="84"/>
      <c r="DN431" s="61"/>
      <c r="DO431" s="84"/>
      <c r="DP431" s="61"/>
      <c r="DQ431" s="84"/>
      <c r="DR431" s="61"/>
      <c r="DS431" s="84"/>
      <c r="DT431" s="61"/>
      <c r="DU431" s="84"/>
      <c r="DV431" s="61"/>
      <c r="DW431" s="84"/>
      <c r="DX431" s="84"/>
      <c r="DY431" s="84"/>
      <c r="DZ431" s="61"/>
      <c r="EA431" s="84"/>
      <c r="EB431" s="61"/>
      <c r="EC431" s="84"/>
      <c r="ED431" s="61"/>
      <c r="EE431" s="84"/>
      <c r="EF431" s="61"/>
      <c r="EG431" s="84"/>
      <c r="EH431" s="61"/>
      <c r="EI431" s="84"/>
      <c r="EJ431" s="61"/>
      <c r="EK431" s="84"/>
      <c r="EL431" s="61"/>
      <c r="EM431" s="84"/>
      <c r="EN431" s="61"/>
      <c r="EO431" s="84"/>
      <c r="EP431" s="61"/>
      <c r="EQ431" s="84"/>
      <c r="ER431" s="61"/>
      <c r="ES431" s="84"/>
      <c r="ET431" s="61"/>
      <c r="EU431" s="84"/>
      <c r="EV431" s="61"/>
      <c r="EW431" s="84"/>
      <c r="EX431" s="61"/>
      <c r="EY431" s="84"/>
      <c r="EZ431" s="558"/>
      <c r="FA431" s="84"/>
      <c r="FB431" s="84"/>
      <c r="FC431" s="234"/>
      <c r="FD431" s="84"/>
      <c r="FE431" s="143"/>
      <c r="FF431" s="84"/>
      <c r="FG431" s="143"/>
      <c r="FH431" s="84"/>
      <c r="FI431" s="143"/>
      <c r="FJ431" s="84"/>
      <c r="FK431" s="143"/>
      <c r="FL431" s="84"/>
      <c r="FM431" s="143"/>
      <c r="FN431" s="84"/>
      <c r="FO431" s="143"/>
      <c r="FP431" s="139">
        <f>AQ431+AS431+AU431+AW431</f>
        <v>66.71780342064288</v>
      </c>
      <c r="FQ431" s="61" t="str">
        <f t="shared" si="2355"/>
        <v>NA</v>
      </c>
      <c r="FR431" s="139">
        <f>AY431+BA431+BC431+BE431</f>
        <v>63.974382566585952</v>
      </c>
      <c r="FS431" s="61">
        <f t="shared" si="2356"/>
        <v>-4.1119771836014891</v>
      </c>
      <c r="FT431" s="139">
        <f>BG431+BI431+BK431+BM431</f>
        <v>73.376923076923106</v>
      </c>
      <c r="FU431" s="61">
        <f t="shared" si="2357"/>
        <v>14.697352491914684</v>
      </c>
      <c r="FV431" s="139">
        <f>BO431+BQ431+BS431+BU431</f>
        <v>65.293495934959367</v>
      </c>
      <c r="FW431" s="61">
        <f t="shared" si="2358"/>
        <v>-11.016307039053208</v>
      </c>
      <c r="FX431" s="139"/>
      <c r="FY431" s="61"/>
      <c r="FZ431" s="139"/>
      <c r="GA431" s="61"/>
      <c r="GB431" s="139"/>
      <c r="GC431" s="61"/>
      <c r="GD431" s="139"/>
      <c r="GE431" s="61"/>
      <c r="GF431" s="139"/>
      <c r="GG431" s="61"/>
      <c r="GH431" s="139"/>
      <c r="GI431" s="61"/>
      <c r="GJ431" s="139"/>
      <c r="GK431" s="61"/>
      <c r="GL431" s="139"/>
      <c r="GM431" s="61"/>
      <c r="GN431" s="139"/>
      <c r="GO431" s="61"/>
      <c r="GP431" s="139"/>
      <c r="GQ431" s="61"/>
      <c r="GR431" s="84"/>
      <c r="GS431" s="61"/>
      <c r="GT431" s="84"/>
      <c r="GU431" s="61"/>
      <c r="GV431" s="84"/>
      <c r="GW431" s="61"/>
      <c r="GX431" s="84"/>
      <c r="GY431" s="61"/>
      <c r="GZ431" s="61" t="str">
        <f t="shared" si="2316"/>
        <v/>
      </c>
      <c r="HA431" s="61"/>
      <c r="HB431" s="452"/>
      <c r="HC431"/>
      <c r="HD431"/>
      <c r="HE431"/>
      <c r="HF431"/>
      <c r="HG431"/>
      <c r="HH431"/>
    </row>
    <row r="432" spans="1:216" s="5" customFormat="1" ht="12.75" hidden="1" customHeight="1" outlineLevel="1" x14ac:dyDescent="0.2">
      <c r="B432" s="63"/>
      <c r="C432" s="102"/>
      <c r="D432" s="70"/>
      <c r="E432" s="102"/>
      <c r="F432" s="71"/>
      <c r="G432" s="102"/>
      <c r="H432" s="71"/>
      <c r="I432" s="102"/>
      <c r="J432" s="61"/>
      <c r="K432" s="102"/>
      <c r="L432" s="61"/>
      <c r="M432" s="102"/>
      <c r="N432" s="61"/>
      <c r="O432" s="102"/>
      <c r="P432" s="61"/>
      <c r="Q432" s="102"/>
      <c r="R432" s="61"/>
      <c r="S432" s="102"/>
      <c r="T432" s="61"/>
      <c r="U432" s="102"/>
      <c r="V432" s="61"/>
      <c r="W432" s="102"/>
      <c r="X432" s="61"/>
      <c r="Y432" s="102"/>
      <c r="Z432" s="61"/>
      <c r="AA432" s="102"/>
      <c r="AB432" s="61"/>
      <c r="AC432" s="102"/>
      <c r="AD432" s="61"/>
      <c r="AE432" s="102"/>
      <c r="AF432" s="61"/>
      <c r="AG432" s="102"/>
      <c r="AH432" s="61"/>
      <c r="AI432" s="102"/>
      <c r="AJ432" s="61"/>
      <c r="AK432" s="102"/>
      <c r="AL432" s="61"/>
      <c r="AM432" s="102"/>
      <c r="AN432" s="61"/>
      <c r="AO432" s="102"/>
      <c r="AP432" s="61"/>
      <c r="AQ432" s="102"/>
      <c r="AR432" s="61"/>
      <c r="AS432" s="102"/>
      <c r="AT432" s="61"/>
      <c r="AU432" s="102"/>
      <c r="AV432" s="61"/>
      <c r="AW432" s="102"/>
      <c r="AX432" s="61"/>
      <c r="AY432" s="102"/>
      <c r="AZ432" s="61"/>
      <c r="BA432" s="102"/>
      <c r="BB432" s="61"/>
      <c r="BC432" s="102"/>
      <c r="BD432" s="61"/>
      <c r="BE432" s="102"/>
      <c r="BF432" s="61"/>
      <c r="BG432" s="102"/>
      <c r="BH432" s="61"/>
      <c r="BI432" s="102"/>
      <c r="BJ432" s="61"/>
      <c r="BK432" s="102"/>
      <c r="BL432" s="61"/>
      <c r="BM432" s="102"/>
      <c r="BN432" s="61"/>
      <c r="BO432" s="102"/>
      <c r="BP432" s="61"/>
      <c r="BQ432" s="102"/>
      <c r="BR432" s="61"/>
      <c r="BS432" s="102"/>
      <c r="BT432" s="61"/>
      <c r="BU432" s="102"/>
      <c r="BV432" s="61"/>
      <c r="BW432" s="102"/>
      <c r="BX432" s="61"/>
      <c r="BY432" s="102"/>
      <c r="BZ432" s="61"/>
      <c r="CA432" s="102"/>
      <c r="CB432" s="61"/>
      <c r="CC432" s="102"/>
      <c r="CD432" s="61"/>
      <c r="CE432" s="102"/>
      <c r="CF432" s="61"/>
      <c r="CG432" s="102"/>
      <c r="CH432" s="61"/>
      <c r="CI432" s="102"/>
      <c r="CJ432" s="61"/>
      <c r="CK432" s="102"/>
      <c r="CL432" s="61"/>
      <c r="CM432" s="102"/>
      <c r="CN432" s="61"/>
      <c r="CO432" s="102"/>
      <c r="CP432" s="61"/>
      <c r="CQ432" s="102"/>
      <c r="CR432" s="61"/>
      <c r="CS432" s="102"/>
      <c r="CT432" s="61"/>
      <c r="CU432" s="102"/>
      <c r="CV432" s="61"/>
      <c r="CW432" s="102"/>
      <c r="CX432" s="61"/>
      <c r="CY432" s="102"/>
      <c r="CZ432" s="61"/>
      <c r="DA432" s="102"/>
      <c r="DB432" s="61"/>
      <c r="DC432" s="102"/>
      <c r="DD432" s="61"/>
      <c r="DE432" s="102"/>
      <c r="DF432" s="61"/>
      <c r="DG432" s="102"/>
      <c r="DH432" s="61"/>
      <c r="DI432" s="102"/>
      <c r="DJ432" s="61"/>
      <c r="DK432" s="102"/>
      <c r="DL432" s="61"/>
      <c r="DM432" s="102"/>
      <c r="DN432" s="61"/>
      <c r="DO432" s="102"/>
      <c r="DP432" s="61"/>
      <c r="DQ432" s="102"/>
      <c r="DR432" s="61"/>
      <c r="DS432" s="102"/>
      <c r="DT432" s="61"/>
      <c r="DU432" s="102"/>
      <c r="DV432" s="61"/>
      <c r="DW432" s="102"/>
      <c r="DX432" s="102"/>
      <c r="DY432" s="102"/>
      <c r="DZ432" s="61"/>
      <c r="EA432" s="102"/>
      <c r="EB432" s="61"/>
      <c r="EC432" s="102"/>
      <c r="ED432" s="61"/>
      <c r="EE432" s="102"/>
      <c r="EF432" s="61"/>
      <c r="EG432" s="102"/>
      <c r="EH432" s="61"/>
      <c r="EI432" s="102"/>
      <c r="EJ432" s="61"/>
      <c r="EK432" s="102"/>
      <c r="EL432" s="61"/>
      <c r="EM432" s="102"/>
      <c r="EN432" s="61"/>
      <c r="EO432" s="102"/>
      <c r="EP432" s="61"/>
      <c r="EQ432" s="102"/>
      <c r="ER432" s="61"/>
      <c r="ES432" s="102"/>
      <c r="ET432" s="61"/>
      <c r="EU432" s="102"/>
      <c r="EV432" s="61"/>
      <c r="EW432" s="102"/>
      <c r="EX432" s="61"/>
      <c r="EY432" s="64"/>
      <c r="EZ432" s="558"/>
      <c r="FA432" s="64"/>
      <c r="FB432" s="102"/>
      <c r="FC432" s="71"/>
      <c r="FD432" s="102"/>
      <c r="FE432" s="70"/>
      <c r="FF432" s="102"/>
      <c r="FG432" s="70"/>
      <c r="FH432" s="102"/>
      <c r="FI432" s="70"/>
      <c r="FJ432" s="102"/>
      <c r="FK432" s="70"/>
      <c r="FL432" s="102"/>
      <c r="FM432" s="61"/>
      <c r="FN432" s="102"/>
      <c r="FO432" s="61"/>
      <c r="FP432" s="104"/>
      <c r="FQ432" s="61"/>
      <c r="FR432" s="104"/>
      <c r="FS432" s="61"/>
      <c r="FT432" s="104"/>
      <c r="FU432" s="61"/>
      <c r="FV432" s="104"/>
      <c r="FW432" s="61"/>
      <c r="FX432" s="104"/>
      <c r="FY432" s="61"/>
      <c r="FZ432" s="104"/>
      <c r="GA432" s="61"/>
      <c r="GB432" s="104"/>
      <c r="GC432" s="61"/>
      <c r="GD432" s="104"/>
      <c r="GE432" s="61"/>
      <c r="GF432" s="104"/>
      <c r="GG432" s="61"/>
      <c r="GH432" s="104"/>
      <c r="GI432" s="61"/>
      <c r="GJ432" s="104"/>
      <c r="GK432" s="61"/>
      <c r="GL432" s="104"/>
      <c r="GM432" s="61"/>
      <c r="GN432" s="104"/>
      <c r="GO432" s="61"/>
      <c r="GP432" s="104"/>
      <c r="GQ432" s="61"/>
      <c r="GR432" s="102"/>
      <c r="GS432" s="61"/>
      <c r="GT432" s="102"/>
      <c r="GU432" s="61"/>
      <c r="GV432" s="102"/>
      <c r="GW432" s="61"/>
      <c r="GX432" s="102"/>
      <c r="GY432" s="61"/>
      <c r="GZ432" s="61" t="str">
        <f t="shared" si="2316"/>
        <v/>
      </c>
      <c r="HA432" s="61"/>
      <c r="HB432" s="452"/>
      <c r="HC432"/>
      <c r="HD432"/>
      <c r="HE432"/>
      <c r="HF432"/>
      <c r="HG432"/>
      <c r="HH432"/>
    </row>
    <row r="433" spans="2:216" s="5" customFormat="1" ht="12.75" hidden="1" customHeight="1" outlineLevel="1" x14ac:dyDescent="0.2">
      <c r="B433" s="63" t="s">
        <v>161</v>
      </c>
      <c r="C433" s="66"/>
      <c r="D433" s="67"/>
      <c r="E433" s="66"/>
      <c r="F433" s="66"/>
      <c r="G433" s="64"/>
      <c r="H433" s="66"/>
      <c r="I433" s="64"/>
      <c r="J433" s="66"/>
      <c r="K433" s="64"/>
      <c r="L433" s="61"/>
      <c r="M433" s="66"/>
      <c r="N433" s="61"/>
      <c r="O433" s="64"/>
      <c r="P433" s="61"/>
      <c r="Q433" s="64"/>
      <c r="R433" s="61"/>
      <c r="S433" s="64"/>
      <c r="T433" s="61"/>
      <c r="U433" s="64"/>
      <c r="V433" s="61"/>
      <c r="W433" s="64"/>
      <c r="X433" s="61"/>
      <c r="Y433" s="64"/>
      <c r="Z433" s="61"/>
      <c r="AA433" s="64"/>
      <c r="AB433" s="61"/>
      <c r="AC433" s="64"/>
      <c r="AD433" s="61"/>
      <c r="AE433" s="64"/>
      <c r="AF433" s="61"/>
      <c r="AG433" s="64"/>
      <c r="AH433" s="61"/>
      <c r="AI433" s="64"/>
      <c r="AJ433" s="61"/>
      <c r="AK433" s="64"/>
      <c r="AL433" s="61"/>
      <c r="AM433" s="64"/>
      <c r="AN433" s="61"/>
      <c r="AO433" s="64"/>
      <c r="AP433" s="61"/>
      <c r="AQ433" s="64"/>
      <c r="AR433" s="61"/>
      <c r="AS433" s="64"/>
      <c r="AT433" s="61"/>
      <c r="AU433" s="64"/>
      <c r="AV433" s="61"/>
      <c r="AW433" s="64"/>
      <c r="AX433" s="61"/>
      <c r="AY433" s="64"/>
      <c r="AZ433" s="61"/>
      <c r="BA433" s="64"/>
      <c r="BB433" s="61"/>
      <c r="BC433" s="64"/>
      <c r="BD433" s="61"/>
      <c r="BE433" s="64"/>
      <c r="BF433" s="61"/>
      <c r="BG433" s="64"/>
      <c r="BH433" s="61"/>
      <c r="BI433" s="64"/>
      <c r="BJ433" s="61"/>
      <c r="BK433" s="64"/>
      <c r="BL433" s="61"/>
      <c r="BM433" s="64"/>
      <c r="BN433" s="61"/>
      <c r="BO433" s="64"/>
      <c r="BP433" s="61"/>
      <c r="BQ433" s="64"/>
      <c r="BR433" s="61"/>
      <c r="BS433" s="64"/>
      <c r="BT433" s="61"/>
      <c r="BU433" s="64"/>
      <c r="BV433" s="61"/>
      <c r="BW433" s="64"/>
      <c r="BX433" s="61"/>
      <c r="BY433" s="64"/>
      <c r="BZ433" s="61"/>
      <c r="CA433" s="64"/>
      <c r="CB433" s="61"/>
      <c r="CC433" s="64"/>
      <c r="CD433" s="61"/>
      <c r="CE433" s="64"/>
      <c r="CF433" s="61"/>
      <c r="CG433" s="64"/>
      <c r="CH433" s="61"/>
      <c r="CI433" s="64"/>
      <c r="CJ433" s="61"/>
      <c r="CK433" s="64"/>
      <c r="CL433" s="61"/>
      <c r="CM433" s="64"/>
      <c r="CN433" s="61"/>
      <c r="CO433" s="64"/>
      <c r="CP433" s="61"/>
      <c r="CQ433" s="64"/>
      <c r="CR433" s="61"/>
      <c r="CS433" s="64"/>
      <c r="CT433" s="61"/>
      <c r="CU433" s="64"/>
      <c r="CV433" s="61"/>
      <c r="CW433" s="64"/>
      <c r="CX433" s="61"/>
      <c r="CY433" s="64"/>
      <c r="CZ433" s="61"/>
      <c r="DA433" s="64"/>
      <c r="DB433" s="61"/>
      <c r="DC433" s="64"/>
      <c r="DD433" s="61"/>
      <c r="DE433" s="64"/>
      <c r="DF433" s="61"/>
      <c r="DG433" s="64"/>
      <c r="DH433" s="61"/>
      <c r="DI433" s="64"/>
      <c r="DJ433" s="61"/>
      <c r="DK433" s="64"/>
      <c r="DL433" s="61"/>
      <c r="DM433" s="64"/>
      <c r="DN433" s="61"/>
      <c r="DO433" s="64"/>
      <c r="DP433" s="61"/>
      <c r="DQ433" s="64"/>
      <c r="DR433" s="61"/>
      <c r="DS433" s="64"/>
      <c r="DT433" s="61"/>
      <c r="DU433" s="64"/>
      <c r="DV433" s="61"/>
      <c r="DW433" s="64"/>
      <c r="DX433" s="64"/>
      <c r="DY433" s="64"/>
      <c r="DZ433" s="61"/>
      <c r="EA433" s="64"/>
      <c r="EB433" s="61"/>
      <c r="EC433" s="64"/>
      <c r="ED433" s="61"/>
      <c r="EE433" s="64"/>
      <c r="EF433" s="61"/>
      <c r="EG433" s="64"/>
      <c r="EH433" s="61"/>
      <c r="EI433" s="64"/>
      <c r="EJ433" s="61"/>
      <c r="EK433" s="64"/>
      <c r="EL433" s="61"/>
      <c r="EM433" s="64"/>
      <c r="EN433" s="61"/>
      <c r="EO433" s="64"/>
      <c r="EP433" s="61"/>
      <c r="EQ433" s="64"/>
      <c r="ER433" s="61"/>
      <c r="ES433" s="64"/>
      <c r="ET433" s="61"/>
      <c r="EU433" s="64"/>
      <c r="EV433" s="61"/>
      <c r="EW433" s="64"/>
      <c r="EX433" s="61"/>
      <c r="EY433" s="64"/>
      <c r="EZ433" s="558"/>
      <c r="FA433" s="64"/>
      <c r="FB433" s="66"/>
      <c r="FC433" s="66"/>
      <c r="FD433" s="66"/>
      <c r="FE433" s="67"/>
      <c r="FF433" s="66"/>
      <c r="FG433" s="67"/>
      <c r="FH433" s="66"/>
      <c r="FI433" s="67"/>
      <c r="FJ433" s="66"/>
      <c r="FK433" s="67"/>
      <c r="FL433" s="66"/>
      <c r="FM433" s="61"/>
      <c r="FN433" s="66"/>
      <c r="FO433" s="61"/>
      <c r="FP433" s="65"/>
      <c r="FQ433" s="61"/>
      <c r="FR433" s="65"/>
      <c r="FS433" s="61"/>
      <c r="FT433" s="65"/>
      <c r="FU433" s="61"/>
      <c r="FV433" s="65"/>
      <c r="FW433" s="61"/>
      <c r="FX433" s="65"/>
      <c r="FY433" s="61"/>
      <c r="FZ433" s="65"/>
      <c r="GA433" s="61"/>
      <c r="GB433" s="65"/>
      <c r="GC433" s="61"/>
      <c r="GD433" s="65"/>
      <c r="GE433" s="61"/>
      <c r="GF433" s="65"/>
      <c r="GG433" s="61"/>
      <c r="GH433" s="65"/>
      <c r="GI433" s="61"/>
      <c r="GJ433" s="65"/>
      <c r="GK433" s="61"/>
      <c r="GL433" s="65"/>
      <c r="GM433" s="61"/>
      <c r="GN433" s="65"/>
      <c r="GO433" s="61"/>
      <c r="GP433" s="65"/>
      <c r="GQ433" s="61"/>
      <c r="GR433" s="64"/>
      <c r="GS433" s="61"/>
      <c r="GT433" s="64"/>
      <c r="GU433" s="61"/>
      <c r="GV433" s="64"/>
      <c r="GW433" s="61"/>
      <c r="GX433" s="64"/>
      <c r="GY433" s="61"/>
      <c r="GZ433" s="61" t="str">
        <f t="shared" si="2316"/>
        <v/>
      </c>
      <c r="HA433" s="61"/>
      <c r="HB433" s="452"/>
      <c r="HC433"/>
      <c r="HD433"/>
      <c r="HE433"/>
      <c r="HF433"/>
      <c r="HG433"/>
      <c r="HH433"/>
    </row>
    <row r="434" spans="2:216" s="5" customFormat="1" ht="12.75" hidden="1" customHeight="1" outlineLevel="1" x14ac:dyDescent="0.2">
      <c r="B434" s="68" t="s">
        <v>259</v>
      </c>
      <c r="C434" s="81">
        <f>C428/C413*100</f>
        <v>13.41880341880343</v>
      </c>
      <c r="D434" s="70"/>
      <c r="E434" s="81">
        <f>E428/E413*100</f>
        <v>18.611378977820628</v>
      </c>
      <c r="F434" s="71"/>
      <c r="G434" s="82">
        <f>G428/G413*100</f>
        <v>9.5754290876241974</v>
      </c>
      <c r="H434" s="71"/>
      <c r="I434" s="81">
        <f>I428/I413*100</f>
        <v>15.656565656565657</v>
      </c>
      <c r="J434" s="71"/>
      <c r="K434" s="81">
        <f>K428/K413*100</f>
        <v>15.628539071347678</v>
      </c>
      <c r="L434" s="61">
        <f>IF(ISERROR((K434/C434-1)*100),"NA",IF(((K434/C434-1)*100)&gt;100,"NM",IF(((K434/C434-1)*100)&lt;-50,"NM",(K434/C434-1)*100)))</f>
        <v>16.467456773737375</v>
      </c>
      <c r="M434" s="81">
        <f>M428/M413*100</f>
        <v>25.570032573289904</v>
      </c>
      <c r="N434" s="61">
        <f>IF(ISERROR((M434/E434-1)*100),"NA",IF(((M434/E434-1)*100)&gt;100,"NM",IF(((M434/E434-1)*100)&lt;-50,"NM",(M434/E434-1)*100)))</f>
        <v>37.389242375656174</v>
      </c>
      <c r="O434" s="81">
        <f>O428/O413*100</f>
        <v>12.090680100755657</v>
      </c>
      <c r="P434" s="61">
        <f>IF(ISERROR((O434/G434-1)*100),"NA",IF(((O434/G434-1)*100)&gt;100,"NM",IF(((O434/G434-1)*100)&lt;-50,"NM",(O434/G434-1)*100)))</f>
        <v>26.267762939023864</v>
      </c>
      <c r="Q434" s="81">
        <f>Q428/Q413*100</f>
        <v>38.696537678207754</v>
      </c>
      <c r="R434" s="61" t="str">
        <f>IF(ISERROR((Q434/I434-1)*100),"NA",IF(((Q434/I434-1)*100)&gt;100,"NM",IF(((Q434/I434-1)*100)&lt;-50,"NM",(Q434/I434-1)*100)))</f>
        <v>NM</v>
      </c>
      <c r="S434" s="81">
        <f>S428/S413*100</f>
        <v>23.63013698630138</v>
      </c>
      <c r="T434" s="61">
        <f>IF(ISERROR((S434/K434-1)*100),"NA",IF(((S434/K434-1)*100)&gt;100,"NM",IF(((S434/K434-1)*100)&lt;-50,"NM",(S434/K434-1)*100)))</f>
        <v>51.198630136986381</v>
      </c>
      <c r="U434" s="81">
        <f>U428/U413*100</f>
        <v>8.4321475625823528</v>
      </c>
      <c r="V434" s="61" t="str">
        <f>IF(ISERROR((U434/M434-1)*100),"NA",IF(((U434/M434-1)*100)&gt;100,"NM",IF(((U434/M434-1)*100)&lt;-50,"NM",(U434/M434-1)*100)))</f>
        <v>NM</v>
      </c>
      <c r="W434" s="81">
        <f>W428/W413*100</f>
        <v>-0.66225165562913613</v>
      </c>
      <c r="X434" s="61" t="str">
        <f>IF(ISERROR((W434/O434-1)*100),"NA",IF(((W434/O434-1)*100)&gt;100,"NM",IF(((W434/O434-1)*100)&lt;-50,"NM",(W434/O434-1)*100)))</f>
        <v>NM</v>
      </c>
      <c r="Y434" s="81">
        <f>Y428/Y413*100</f>
        <v>30.237154150197632</v>
      </c>
      <c r="Z434" s="61">
        <f>IF(ISERROR((Y434/Q434-1)*100),"NA",IF(((Y434/Q434-1)*100)&gt;100,"NM",IF(((Y434/Q434-1)*100)&lt;-50,"NM",(Y434/Q434-1)*100)))</f>
        <v>-21.86082795922615</v>
      </c>
      <c r="AA434" s="81">
        <f>AA428/AA413*100</f>
        <v>9.8693759071117668</v>
      </c>
      <c r="AB434" s="61" t="str">
        <f>IF(ISERROR((AA434/S434-1)*100),"NA",IF(((AA434/S434-1)*100)&gt;100,"NM",IF(((AA434/S434-1)*100)&lt;-50,"NM",(AA434/S434-1)*100)))</f>
        <v>NM</v>
      </c>
      <c r="AC434" s="81">
        <f>AC428/AC413*100</f>
        <v>20.563847429519086</v>
      </c>
      <c r="AD434" s="61" t="str">
        <f>IF(ISERROR((AC434/U434-1)*100),"NA",IF(((AC434/U434-1)*100)&gt;100,"NM",IF(((AC434/U434-1)*100)&lt;-50,"NM",(AC434/U434-1)*100)))</f>
        <v>NM</v>
      </c>
      <c r="AE434" s="81">
        <f>AE428/AE413*100</f>
        <v>16.865671641791042</v>
      </c>
      <c r="AF434" s="61" t="str">
        <f>IF(ISERROR((AE434/W434-1)*100),"NA",IF(((AE434/W434-1)*100)&gt;100,"NM",IF(((AE434/W434-1)*100)&lt;-50,"NM",(AE434/W434-1)*100)))</f>
        <v>NM</v>
      </c>
      <c r="AG434" s="81">
        <f>AG428/AG413*100</f>
        <v>16.581632653061231</v>
      </c>
      <c r="AH434" s="61">
        <f>IF(ISERROR((AG434/Y434-1)*100),"NA",IF(((AG434/Y434-1)*100)&gt;100,"NM",IF(((AG434/Y434-1)*100)&lt;-50,"NM",(AG434/Y434-1)*100)))</f>
        <v>-45.161397892490321</v>
      </c>
      <c r="AI434" s="81">
        <f>AI428/AI413*100</f>
        <v>8.1364829396325398</v>
      </c>
      <c r="AJ434" s="61">
        <f>IF(ISERROR((AI434/AA434-1)*100),"NA",IF(((AI434/AA434-1)*100)&gt;100,"NM",IF(((AI434/AA434-1)*100)&lt;-50,"NM",(AI434/AA434-1)*100)))</f>
        <v>-17.558283155782149</v>
      </c>
      <c r="AK434" s="81">
        <f>AK428/AK413*100</f>
        <v>13.148148148148147</v>
      </c>
      <c r="AL434" s="61">
        <f>IF(ISERROR((AK434/AC434-1)*100),"NA",IF(((AK434/AC434-1)*100)&gt;100,"NM",IF(((AK434/AC434-1)*100)&lt;-50,"NM",(AK434/AC434-1)*100)))</f>
        <v>-36.061827956989298</v>
      </c>
      <c r="AM434" s="81">
        <f>AM428/AM413*100</f>
        <v>10.531803962460897</v>
      </c>
      <c r="AN434" s="61">
        <f>IF(ISERROR((AM434/AE434-1)*100),"NA",IF(((AM434/AE434-1)*100)&gt;100,"NM",IF(((AM434/AE434-1)*100)&lt;-50,"NM",(AM434/AE434-1)*100)))</f>
        <v>-37.554790665054853</v>
      </c>
      <c r="AO434" s="81">
        <f>AO428/AO413*100</f>
        <v>18.609865470852021</v>
      </c>
      <c r="AP434" s="61">
        <f>IF(ISERROR((AO434/AG434-1)*100),"NA",IF(((AO434/AG434-1)*100)&gt;100,"NM",IF(((AO434/AG434-1)*100)&lt;-50,"NM",(AO434/AG434-1)*100)))</f>
        <v>12.23180407036908</v>
      </c>
      <c r="AQ434" s="81">
        <f>AQ428/AQ413*100</f>
        <v>13.450449242322657</v>
      </c>
      <c r="AR434" s="61">
        <f>IF(ISERROR((AQ434/AI434-1)*100),"NA",IF(((AQ434/AI434-1)*100)&gt;100,"NM",IF(((AQ434/AI434-1)*100)&lt;-50,"NM",(AQ434/AI434-1)*100)))</f>
        <v>65.310360042739873</v>
      </c>
      <c r="AS434" s="81">
        <f>AS428/AS413*100</f>
        <v>13.086734693877558</v>
      </c>
      <c r="AT434" s="61">
        <f>IF(ISERROR((AS434/AK434-1)*100),"NA",IF(((AS434/AK434-1)*100)&gt;100,"NM",IF(((AS434/AK434-1)*100)&lt;-50,"NM",(AS434/AK434-1)*100)))</f>
        <v>-0.46708824374813718</v>
      </c>
      <c r="AU434" s="81">
        <f>AU428/AU413*100</f>
        <v>9.2996108949416421</v>
      </c>
      <c r="AV434" s="61">
        <f>IF(ISERROR((AU434/AM434-1)*100),"NA",IF(((AU434/AM434-1)*100)&gt;100,"NM",IF(((AU434/AM434-1)*100)&lt;-50,"NM",(AU434/AM434-1)*100)))</f>
        <v>-11.69973417575213</v>
      </c>
      <c r="AW434" s="81">
        <f>AW428/AW413*100</f>
        <v>21.536000000000005</v>
      </c>
      <c r="AX434" s="61">
        <f>IF(ISERROR((AW434/AO434-1)*100),"NA",IF(((AW434/AO434-1)*100)&gt;100,"NM",IF(((AW434/AO434-1)*100)&lt;-50,"NM",(AW434/AO434-1)*100)))</f>
        <v>15.72356626506024</v>
      </c>
      <c r="AY434" s="81">
        <f>AY428/AY413*100</f>
        <v>15.338129496402878</v>
      </c>
      <c r="AZ434" s="61">
        <f>IF(ISERROR((AY434/AQ434-1)*100),"NA",IF(((AY434/AQ434-1)*100)&gt;100,"NM",IF(((AY434/AQ434-1)*100)&lt;-50,"NM",(AY434/AQ434-1)*100)))</f>
        <v>14.034328668670181</v>
      </c>
      <c r="BA434" s="81">
        <f>BA428/BA413*100</f>
        <v>11.881918819188183</v>
      </c>
      <c r="BB434" s="61">
        <f>IF(ISERROR((BA434/AS434-1)*100),"NA",IF(((BA434/AS434-1)*100)&gt;100,"NM",IF(((BA434/AS434-1)*100)&lt;-50,"NM",(BA434/AS434-1)*100)))</f>
        <v>-9.2063903095172428</v>
      </c>
      <c r="BC434" s="81">
        <f>BC428/BC413*100</f>
        <v>11.424619640387274</v>
      </c>
      <c r="BD434" s="61">
        <f>IF(ISERROR((BC434/AU434-1)*100),"NA",IF(((BC434/AU434-1)*100)&gt;100,"NM",IF(((BC434/AU434-1)*100)&lt;-50,"NM",(BC434/AU434-1)*100)))</f>
        <v>22.850512451026226</v>
      </c>
      <c r="BE434" s="81">
        <f>BE428/BE413*100</f>
        <v>11.627358490566035</v>
      </c>
      <c r="BF434" s="61">
        <f>IF(ISERROR((BE434/AW434-1)*100),"NA",IF(((BE434/AW434-1)*100)&gt;100,"NM",IF(((BE434/AW434-1)*100)&lt;-50,"NM",(BE434/AW434-1)*100)))</f>
        <v>-46.00966525554405</v>
      </c>
      <c r="BG434" s="81">
        <f>BG428/BG413*100</f>
        <v>11.90738699007718</v>
      </c>
      <c r="BH434" s="61">
        <f>IF(ISERROR((BG434/AY434-1)*100),"NA",IF(((BG434/AY434-1)*100)&gt;100,"NM",IF(((BG434/AY434-1)*100)&lt;-50,"NM",(BG434/AY434-1)*100)))</f>
        <v>-22.367411274825145</v>
      </c>
      <c r="BI434" s="81">
        <f>BI428/BI413*100</f>
        <v>12.648648648648647</v>
      </c>
      <c r="BJ434" s="61">
        <f>IF(ISERROR((BI434/BA434-1)*100),"NA",IF(((BI434/BA434-1)*100)&gt;100,"NM",IF(((BI434/BA434-1)*100)&lt;-50,"NM",(BI434/BA434-1)*100)))</f>
        <v>6.4529125398691267</v>
      </c>
      <c r="BK434" s="81">
        <f>BK428/BK413*100</f>
        <v>11.724915445321322</v>
      </c>
      <c r="BL434" s="61">
        <f>IF(ISERROR((BK434/BC434-1)*100),"NA",IF(((BK434/BC434-1)*100)&gt;100,"NM",IF(((BK434/BC434-1)*100)&lt;-50,"NM",(BK434/BC434-1)*100)))</f>
        <v>2.6284971787810862</v>
      </c>
      <c r="BM434" s="81">
        <f>BM428/BM413*100</f>
        <v>13.00813008130082</v>
      </c>
      <c r="BN434" s="61">
        <f>IF(ISERROR((BM434/BE434-1)*100),"NA",IF(((BM434/BE434-1)*100)&gt;100,"NM",IF(((BM434/BE434-1)*100)&lt;-50,"NM",(BM434/BE434-1)*100)))</f>
        <v>11.875195831065909</v>
      </c>
      <c r="BO434" s="81">
        <f>BO428/BO413*100</f>
        <v>12.602100350058357</v>
      </c>
      <c r="BP434" s="61">
        <f>IF(ISERROR((BO434/BG434-1)*100),"NA",IF(((BO434/BG434-1)*100)&gt;100,"NM",IF(((BO434/BG434-1)*100)&lt;-50,"NM",(BO434/BG434-1)*100)))</f>
        <v>5.8343057176196922</v>
      </c>
      <c r="BQ434" s="81">
        <f>BQ428/BQ413*100</f>
        <v>18.386108273748714</v>
      </c>
      <c r="BR434" s="61">
        <f>IF(ISERROR((BQ434/BI434-1)*100),"NA",IF(((BQ434/BI434-1)*100)&gt;100,"NM",IF(((BQ434/BI434-1)*100)&lt;-50,"NM",(BQ434/BI434-1)*100)))</f>
        <v>45.360257719808232</v>
      </c>
      <c r="BS434" s="81">
        <f>BS428/BS413*100</f>
        <v>15.413533834586465</v>
      </c>
      <c r="BT434" s="61">
        <f>IF(ISERROR((BS434/BK434-1)*100),"NA",IF(((BS434/BK434-1)*100)&gt;100,"NM",IF(((BS434/BK434-1)*100)&lt;-50,"NM",(BS434/BK434-1)*100)))</f>
        <v>31.459658762290175</v>
      </c>
      <c r="BU434" s="81">
        <f>BU428/BU413*100</f>
        <v>14.596273291925478</v>
      </c>
      <c r="BV434" s="61">
        <f>IF(ISERROR((BU434/BM434-1)*100),"NA",IF(((BU434/BM434-1)*100)&gt;100,"NM",IF(((BU434/BM434-1)*100)&lt;-50,"NM",(BU434/BM434-1)*100)))</f>
        <v>12.208850931677052</v>
      </c>
      <c r="BW434" s="81">
        <f>BW428/BW413*100</f>
        <v>13.080168776371309</v>
      </c>
      <c r="BX434" s="61">
        <f>IF(ISERROR((BW434/BO434-1)*100),"NA",IF(((BW434/BO434-1)*100)&gt;100,"NM",IF(((BW434/BO434-1)*100)&lt;-50,"NM",(BW434/BO434-1)*100)))</f>
        <v>3.7935614939833329</v>
      </c>
      <c r="BY434" s="81"/>
      <c r="BZ434" s="61"/>
      <c r="CA434" s="81"/>
      <c r="CB434" s="61"/>
      <c r="CC434" s="81"/>
      <c r="CD434" s="61"/>
      <c r="CE434" s="81"/>
      <c r="CF434" s="61"/>
      <c r="CG434" s="81"/>
      <c r="CH434" s="61"/>
      <c r="CI434" s="81"/>
      <c r="CJ434" s="61"/>
      <c r="CK434" s="81"/>
      <c r="CL434" s="61"/>
      <c r="CM434" s="81"/>
      <c r="CN434" s="61"/>
      <c r="CO434" s="81"/>
      <c r="CP434" s="61"/>
      <c r="CQ434" s="81"/>
      <c r="CR434" s="61"/>
      <c r="CS434" s="81"/>
      <c r="CT434" s="61"/>
      <c r="CU434" s="81"/>
      <c r="CV434" s="61"/>
      <c r="CW434" s="81"/>
      <c r="CX434" s="61"/>
      <c r="CY434" s="81"/>
      <c r="CZ434" s="61"/>
      <c r="DA434" s="81"/>
      <c r="DB434" s="61"/>
      <c r="DC434" s="81"/>
      <c r="DD434" s="61"/>
      <c r="DE434" s="81"/>
      <c r="DF434" s="61"/>
      <c r="DG434" s="81"/>
      <c r="DH434" s="61"/>
      <c r="DI434" s="81"/>
      <c r="DJ434" s="61"/>
      <c r="DK434" s="81"/>
      <c r="DL434" s="61"/>
      <c r="DM434" s="81"/>
      <c r="DN434" s="61"/>
      <c r="DO434" s="81"/>
      <c r="DP434" s="61"/>
      <c r="DQ434" s="81"/>
      <c r="DR434" s="61"/>
      <c r="DS434" s="81"/>
      <c r="DT434" s="61"/>
      <c r="DU434" s="81"/>
      <c r="DV434" s="61"/>
      <c r="DW434" s="81"/>
      <c r="DX434" s="81"/>
      <c r="DY434" s="81"/>
      <c r="DZ434" s="61"/>
      <c r="EA434" s="81"/>
      <c r="EB434" s="61"/>
      <c r="EC434" s="81"/>
      <c r="ED434" s="61"/>
      <c r="EE434" s="81"/>
      <c r="EF434" s="61"/>
      <c r="EG434" s="81"/>
      <c r="EH434" s="61"/>
      <c r="EI434" s="81"/>
      <c r="EJ434" s="61"/>
      <c r="EK434" s="81"/>
      <c r="EL434" s="61"/>
      <c r="EM434" s="81"/>
      <c r="EN434" s="61"/>
      <c r="EO434" s="81"/>
      <c r="EP434" s="61"/>
      <c r="EQ434" s="81"/>
      <c r="ER434" s="61"/>
      <c r="ES434" s="81"/>
      <c r="ET434" s="61"/>
      <c r="EU434" s="81"/>
      <c r="EV434" s="61"/>
      <c r="EW434" s="81"/>
      <c r="EX434" s="61"/>
      <c r="EY434" s="64"/>
      <c r="EZ434" s="558"/>
      <c r="FA434" s="64"/>
      <c r="FB434" s="81">
        <f>FB428/FB413*100</f>
        <v>16.164788151330079</v>
      </c>
      <c r="FC434" s="71"/>
      <c r="FD434" s="82">
        <f>FD428/FD413*100</f>
        <v>-3.1567080045095923</v>
      </c>
      <c r="FE434" s="70" t="str">
        <f>IF(ISERROR((FD434/FB434-1)*100),"NA",IF(((FD434/FB434-1)*100)&gt;100,"NM",IF(((FD434/FB434-1)*100)&lt;-50,"NM",(FD434/FB434-1)*100)))</f>
        <v>NM</v>
      </c>
      <c r="FF434" s="81">
        <f>FF428/FF413*100</f>
        <v>13.684944237918225</v>
      </c>
      <c r="FG434" s="70" t="str">
        <f>IF(ISERROR((FF434/FD434-1)*100),"NA",IF(((FF434/FD434-1)*100)&gt;100,"NM",IF(((FF434/FD434-1)*100)&lt;-50,"NM",(FF434/FD434-1)*100)))</f>
        <v>NM</v>
      </c>
      <c r="FH434" s="81">
        <f>FH428/FH413*100</f>
        <v>20.884255930984892</v>
      </c>
      <c r="FI434" s="70">
        <f>IF(ISERROR((FH434/FF434-1)*100),"NA",IF(((FH434/FF434-1)*100)&gt;100,"NM",IF(((FH434/FF434-1)*100)&lt;-50,"NM",(FH434/FF434-1)*100)))</f>
        <v>52.607534001628032</v>
      </c>
      <c r="FJ434" s="81">
        <f>FJ428/FJ413*100</f>
        <v>12.554426705370112</v>
      </c>
      <c r="FK434" s="70">
        <f>IF(ISERROR((FJ434/FH434-1)*100),"NA",IF(((FJ434/FH434-1)*100)&gt;100,"NM",IF(((FJ434/FH434-1)*100)&lt;-50,"NM",(FJ434/FH434-1)*100)))</f>
        <v>-39.885688305783709</v>
      </c>
      <c r="FL434" s="81">
        <f>FL428/FL413*100</f>
        <v>15.914056809905325</v>
      </c>
      <c r="FM434" s="61">
        <f>IF(ISERROR((FL434/FJ434-1)*100),"NA",IF(((FL434/FJ434-1)*100)&gt;100,"NM",IF(((FL434/FJ434-1)*100)&lt;-50,"NM",(FL434/FJ434-1)*100)))</f>
        <v>26.760521873118613</v>
      </c>
      <c r="FN434" s="81">
        <f>FN428/FN413*100</f>
        <v>12.737364884604149</v>
      </c>
      <c r="FO434" s="61">
        <f>IF(ISERROR((FN434/FL434-1)*100),"NA",IF(((FN434/FL434-1)*100)&gt;100,"NM",IF(((FN434/FL434-1)*100)&lt;-50,"NM",(FN434/FL434-1)*100)))</f>
        <v>-19.961546972258638</v>
      </c>
      <c r="FP434" s="88">
        <f>FP428/FP413*100</f>
        <v>13.595374996072533</v>
      </c>
      <c r="FQ434" s="61">
        <f>IF(ISERROR((FP434/FN434-1)*100),"NA",IF(((FP434/FN434-1)*100)&gt;100,"NM",IF(((FP434/FN434-1)*100)&lt;-50,"NM",(FP434/FN434-1)*100)))</f>
        <v>6.736166540266697</v>
      </c>
      <c r="FR434" s="88">
        <f>FR428/FR413*100</f>
        <v>12.536537836960044</v>
      </c>
      <c r="FS434" s="61">
        <f>IF(ISERROR((FR434/FP434-1)*100),"NA",IF(((FR434/FP434-1)*100)&gt;100,"NM",IF(((FR434/FP434-1)*100)&lt;-50,"NM",(FR434/FP434-1)*100)))</f>
        <v>-7.7882159147384167</v>
      </c>
      <c r="FT434" s="88">
        <f>FT428/FT413*100</f>
        <v>12.341344855522539</v>
      </c>
      <c r="FU434" s="61">
        <f>IF(ISERROR((FT434/FR434-1)*100),"NA",IF(((FT434/FR434-1)*100)&gt;100,"NM",IF(((FT434/FR434-1)*100)&lt;-50,"NM",(FT434/FR434-1)*100)))</f>
        <v>-1.556992719808481</v>
      </c>
      <c r="FV434" s="88">
        <f>FV428/FV413*100</f>
        <v>15.40573520439292</v>
      </c>
      <c r="FW434" s="61">
        <f>IF(ISERROR((FV434/FT434-1)*100),"NA",IF(((FV434/FT434-1)*100)&gt;100,"NM",IF(((FV434/FT434-1)*100)&lt;-50,"NM",(FV434/FT434-1)*100)))</f>
        <v>24.830278909993496</v>
      </c>
      <c r="FX434" s="88"/>
      <c r="FY434" s="61"/>
      <c r="FZ434" s="88"/>
      <c r="GA434" s="61"/>
      <c r="GB434" s="88"/>
      <c r="GC434" s="61"/>
      <c r="GD434" s="88"/>
      <c r="GE434" s="61"/>
      <c r="GF434" s="88"/>
      <c r="GG434" s="61"/>
      <c r="GH434" s="88"/>
      <c r="GI434" s="61"/>
      <c r="GJ434" s="88"/>
      <c r="GK434" s="61"/>
      <c r="GL434" s="88"/>
      <c r="GM434" s="61"/>
      <c r="GN434" s="88"/>
      <c r="GO434" s="61"/>
      <c r="GP434" s="88"/>
      <c r="GQ434" s="61"/>
      <c r="GR434" s="81"/>
      <c r="GS434" s="61"/>
      <c r="GT434" s="81"/>
      <c r="GU434" s="61"/>
      <c r="GV434" s="81"/>
      <c r="GW434" s="61"/>
      <c r="GX434" s="81"/>
      <c r="GY434" s="61"/>
      <c r="GZ434" s="61" t="str">
        <f t="shared" si="2316"/>
        <v/>
      </c>
      <c r="HA434" s="61"/>
      <c r="HB434" s="452"/>
      <c r="HC434"/>
      <c r="HD434"/>
      <c r="HE434"/>
      <c r="HF434"/>
      <c r="HG434"/>
      <c r="HH434"/>
    </row>
    <row r="435" spans="2:216" s="5" customFormat="1" ht="12.75" hidden="1" customHeight="1" outlineLevel="1" x14ac:dyDescent="0.2">
      <c r="B435" s="68"/>
      <c r="C435" s="82"/>
      <c r="D435" s="70"/>
      <c r="E435" s="82"/>
      <c r="F435" s="71"/>
      <c r="G435" s="82"/>
      <c r="H435" s="71"/>
      <c r="I435" s="82"/>
      <c r="J435" s="71"/>
      <c r="K435" s="82"/>
      <c r="L435" s="61"/>
      <c r="M435" s="82"/>
      <c r="N435" s="61"/>
      <c r="O435" s="82"/>
      <c r="P435" s="61"/>
      <c r="Q435" s="82"/>
      <c r="R435" s="61"/>
      <c r="S435" s="82"/>
      <c r="T435" s="61"/>
      <c r="U435" s="82"/>
      <c r="V435" s="61"/>
      <c r="W435" s="82"/>
      <c r="X435" s="61"/>
      <c r="Y435" s="82"/>
      <c r="Z435" s="61"/>
      <c r="AA435" s="82"/>
      <c r="AB435" s="61"/>
      <c r="AC435" s="82"/>
      <c r="AD435" s="61"/>
      <c r="AE435" s="82"/>
      <c r="AF435" s="61"/>
      <c r="AG435" s="82"/>
      <c r="AH435" s="61"/>
      <c r="AI435" s="82"/>
      <c r="AJ435" s="61"/>
      <c r="AK435" s="82"/>
      <c r="AL435" s="61"/>
      <c r="AM435" s="82"/>
      <c r="AN435" s="61"/>
      <c r="AO435" s="82"/>
      <c r="AP435" s="61"/>
      <c r="AQ435" s="82"/>
      <c r="AR435" s="61"/>
      <c r="AS435" s="82"/>
      <c r="AT435" s="61"/>
      <c r="AU435" s="82"/>
      <c r="AV435" s="61"/>
      <c r="AW435" s="82"/>
      <c r="AX435" s="61"/>
      <c r="AY435" s="82"/>
      <c r="AZ435" s="61"/>
      <c r="BA435" s="82"/>
      <c r="BB435" s="61"/>
      <c r="BC435" s="82"/>
      <c r="BD435" s="61"/>
      <c r="BE435" s="82"/>
      <c r="BF435" s="61"/>
      <c r="BG435" s="82"/>
      <c r="BH435" s="61"/>
      <c r="BI435" s="82"/>
      <c r="BJ435" s="61"/>
      <c r="BK435" s="82"/>
      <c r="BL435" s="61"/>
      <c r="BM435" s="82"/>
      <c r="BN435" s="61"/>
      <c r="BO435" s="82"/>
      <c r="BP435" s="61"/>
      <c r="BQ435" s="82"/>
      <c r="BR435" s="61"/>
      <c r="BS435" s="82"/>
      <c r="BT435" s="61"/>
      <c r="BU435" s="82"/>
      <c r="BV435" s="61"/>
      <c r="BW435" s="82"/>
      <c r="BX435" s="61"/>
      <c r="BY435" s="82"/>
      <c r="BZ435" s="61"/>
      <c r="CA435" s="82"/>
      <c r="CB435" s="61"/>
      <c r="CC435" s="82"/>
      <c r="CD435" s="61"/>
      <c r="CE435" s="82"/>
      <c r="CF435" s="61"/>
      <c r="CG435" s="82"/>
      <c r="CH435" s="61"/>
      <c r="CI435" s="82"/>
      <c r="CJ435" s="61"/>
      <c r="CK435" s="82"/>
      <c r="CL435" s="61"/>
      <c r="CM435" s="82"/>
      <c r="CN435" s="61"/>
      <c r="CO435" s="82"/>
      <c r="CP435" s="61"/>
      <c r="CQ435" s="82"/>
      <c r="CR435" s="61"/>
      <c r="CS435" s="82"/>
      <c r="CT435" s="61"/>
      <c r="CU435" s="82"/>
      <c r="CV435" s="61"/>
      <c r="CW435" s="82"/>
      <c r="CX435" s="61"/>
      <c r="CY435" s="82"/>
      <c r="CZ435" s="61"/>
      <c r="DA435" s="82"/>
      <c r="DB435" s="61"/>
      <c r="DC435" s="82"/>
      <c r="DD435" s="61"/>
      <c r="DE435" s="82"/>
      <c r="DF435" s="61"/>
      <c r="DG435" s="82"/>
      <c r="DH435" s="61"/>
      <c r="DI435" s="82"/>
      <c r="DJ435" s="61"/>
      <c r="DK435" s="82"/>
      <c r="DL435" s="61"/>
      <c r="DM435" s="82"/>
      <c r="DN435" s="61"/>
      <c r="DO435" s="82"/>
      <c r="DP435" s="61"/>
      <c r="DQ435" s="82"/>
      <c r="DR435" s="61"/>
      <c r="DS435" s="82"/>
      <c r="DT435" s="61"/>
      <c r="DU435" s="82"/>
      <c r="DV435" s="61"/>
      <c r="DW435" s="82"/>
      <c r="DX435" s="82"/>
      <c r="DY435" s="82"/>
      <c r="DZ435" s="61"/>
      <c r="EA435" s="82"/>
      <c r="EB435" s="61"/>
      <c r="EC435" s="82"/>
      <c r="ED435" s="61"/>
      <c r="EE435" s="82"/>
      <c r="EF435" s="61"/>
      <c r="EG435" s="82"/>
      <c r="EH435" s="61"/>
      <c r="EI435" s="82"/>
      <c r="EJ435" s="61"/>
      <c r="EK435" s="82"/>
      <c r="EL435" s="61"/>
      <c r="EM435" s="82"/>
      <c r="EN435" s="61"/>
      <c r="EO435" s="82"/>
      <c r="EP435" s="61"/>
      <c r="EQ435" s="82"/>
      <c r="ER435" s="61"/>
      <c r="ES435" s="82"/>
      <c r="ET435" s="61"/>
      <c r="EU435" s="82"/>
      <c r="EV435" s="61"/>
      <c r="EW435" s="82"/>
      <c r="EX435" s="61"/>
      <c r="EY435" s="64"/>
      <c r="EZ435" s="558"/>
      <c r="FA435" s="64"/>
      <c r="FB435" s="82"/>
      <c r="FC435" s="71"/>
      <c r="FD435" s="82"/>
      <c r="FE435" s="70"/>
      <c r="FF435" s="82"/>
      <c r="FG435" s="70"/>
      <c r="FH435" s="82"/>
      <c r="FI435" s="70"/>
      <c r="FJ435" s="82"/>
      <c r="FK435" s="70"/>
      <c r="FL435" s="82"/>
      <c r="FM435" s="61"/>
      <c r="FN435" s="82"/>
      <c r="FO435" s="61"/>
      <c r="FP435" s="111"/>
      <c r="FQ435" s="61"/>
      <c r="FR435" s="111"/>
      <c r="FS435" s="61"/>
      <c r="FT435" s="111"/>
      <c r="FU435" s="61"/>
      <c r="FV435" s="111"/>
      <c r="FW435" s="61"/>
      <c r="FX435" s="111"/>
      <c r="FY435" s="61"/>
      <c r="FZ435" s="111"/>
      <c r="GA435" s="61"/>
      <c r="GB435" s="111"/>
      <c r="GC435" s="61"/>
      <c r="GD435" s="111"/>
      <c r="GE435" s="61"/>
      <c r="GF435" s="111"/>
      <c r="GG435" s="61"/>
      <c r="GH435" s="111"/>
      <c r="GI435" s="61"/>
      <c r="GJ435" s="111"/>
      <c r="GK435" s="61"/>
      <c r="GL435" s="111"/>
      <c r="GM435" s="61"/>
      <c r="GN435" s="111"/>
      <c r="GO435" s="61"/>
      <c r="GP435" s="111"/>
      <c r="GQ435" s="61"/>
      <c r="GR435" s="82"/>
      <c r="GS435" s="61"/>
      <c r="GT435" s="82"/>
      <c r="GU435" s="61"/>
      <c r="GV435" s="82"/>
      <c r="GW435" s="61"/>
      <c r="GX435" s="82"/>
      <c r="GY435" s="61"/>
      <c r="GZ435" s="61" t="str">
        <f t="shared" si="2316"/>
        <v/>
      </c>
      <c r="HA435" s="61"/>
      <c r="HB435" s="452"/>
      <c r="HC435"/>
      <c r="HD435"/>
      <c r="HE435"/>
      <c r="HF435"/>
      <c r="HG435"/>
      <c r="HH435"/>
    </row>
    <row r="436" spans="2:216" s="279" customFormat="1" ht="12.75" hidden="1" customHeight="1" outlineLevel="1" x14ac:dyDescent="0.2">
      <c r="B436" s="478" t="s">
        <v>461</v>
      </c>
      <c r="C436" s="486"/>
      <c r="D436" s="487"/>
      <c r="E436" s="486"/>
      <c r="F436" s="487"/>
      <c r="G436" s="488"/>
      <c r="H436" s="487"/>
      <c r="I436" s="488"/>
      <c r="J436" s="487"/>
      <c r="K436" s="488"/>
      <c r="L436" s="487"/>
      <c r="M436" s="486"/>
      <c r="N436" s="487"/>
      <c r="O436" s="486"/>
      <c r="P436" s="487"/>
      <c r="Q436" s="488"/>
      <c r="R436" s="487"/>
      <c r="S436" s="488"/>
      <c r="T436" s="487"/>
      <c r="U436" s="488"/>
      <c r="V436" s="487"/>
      <c r="W436" s="486"/>
      <c r="X436" s="487"/>
      <c r="Y436" s="488"/>
      <c r="Z436" s="487"/>
      <c r="AA436" s="488"/>
      <c r="AB436" s="487"/>
      <c r="AC436" s="488"/>
      <c r="AD436" s="487"/>
      <c r="AE436" s="486"/>
      <c r="AF436" s="487"/>
      <c r="AG436" s="488"/>
      <c r="AH436" s="487"/>
      <c r="AI436" s="488"/>
      <c r="AJ436" s="487"/>
      <c r="AK436" s="488"/>
      <c r="AL436" s="487"/>
      <c r="AM436" s="486"/>
      <c r="AN436" s="487"/>
      <c r="AO436" s="486"/>
      <c r="AP436" s="487"/>
      <c r="AQ436" s="486"/>
      <c r="AR436" s="487"/>
      <c r="AS436" s="486"/>
      <c r="AT436" s="487"/>
      <c r="AU436" s="486"/>
      <c r="AV436" s="487"/>
      <c r="AW436" s="486"/>
      <c r="AX436" s="487"/>
      <c r="AY436" s="488"/>
      <c r="AZ436" s="487"/>
      <c r="BA436" s="488"/>
      <c r="BB436" s="487"/>
      <c r="BC436" s="488"/>
      <c r="BD436" s="487"/>
      <c r="BE436" s="488"/>
      <c r="BF436" s="487"/>
      <c r="BG436" s="488"/>
      <c r="BH436" s="487"/>
      <c r="BI436" s="488"/>
      <c r="BJ436" s="487"/>
      <c r="BK436" s="488"/>
      <c r="BL436" s="487"/>
      <c r="BM436" s="488"/>
      <c r="BN436" s="487"/>
      <c r="BO436" s="488"/>
      <c r="BP436" s="487"/>
      <c r="BQ436" s="488"/>
      <c r="BR436" s="487"/>
      <c r="BS436" s="488"/>
      <c r="BT436" s="487"/>
      <c r="BU436" s="488"/>
      <c r="BV436" s="487"/>
      <c r="BW436" s="488"/>
      <c r="BX436" s="487"/>
      <c r="BY436" s="488"/>
      <c r="BZ436" s="487"/>
      <c r="CA436" s="488"/>
      <c r="CB436" s="487"/>
      <c r="CC436" s="488"/>
      <c r="CD436" s="487"/>
      <c r="CE436" s="488"/>
      <c r="CF436" s="487"/>
      <c r="CG436" s="488"/>
      <c r="CH436" s="487"/>
      <c r="CI436" s="488"/>
      <c r="CJ436" s="487"/>
      <c r="CK436" s="488"/>
      <c r="CL436" s="487"/>
      <c r="CM436" s="488"/>
      <c r="CN436" s="487"/>
      <c r="CO436" s="488"/>
      <c r="CP436" s="487"/>
      <c r="CQ436" s="488"/>
      <c r="CR436" s="487"/>
      <c r="CS436" s="488"/>
      <c r="CT436" s="487"/>
      <c r="CU436" s="488"/>
      <c r="CV436" s="487"/>
      <c r="CW436" s="488"/>
      <c r="CX436" s="487"/>
      <c r="CY436" s="488"/>
      <c r="CZ436" s="487"/>
      <c r="DA436" s="488"/>
      <c r="DB436" s="487"/>
      <c r="DC436" s="488"/>
      <c r="DD436" s="487"/>
      <c r="DE436" s="488"/>
      <c r="DF436" s="487"/>
      <c r="DG436" s="488"/>
      <c r="DH436" s="487"/>
      <c r="DI436" s="488"/>
      <c r="DJ436" s="487"/>
      <c r="DK436" s="488"/>
      <c r="DL436" s="487"/>
      <c r="DM436" s="488"/>
      <c r="DN436" s="487"/>
      <c r="DO436" s="488"/>
      <c r="DP436" s="487"/>
      <c r="DQ436" s="488"/>
      <c r="DR436" s="487"/>
      <c r="DS436" s="488"/>
      <c r="DT436" s="487"/>
      <c r="DU436" s="488"/>
      <c r="DV436" s="487"/>
      <c r="DW436" s="488"/>
      <c r="DX436" s="488"/>
      <c r="DY436" s="488"/>
      <c r="DZ436" s="487"/>
      <c r="EA436" s="488"/>
      <c r="EB436" s="487"/>
      <c r="EC436" s="488"/>
      <c r="ED436" s="487"/>
      <c r="EE436" s="488"/>
      <c r="EF436" s="487"/>
      <c r="EG436" s="488"/>
      <c r="EH436" s="487"/>
      <c r="EI436" s="488"/>
      <c r="EJ436" s="487"/>
      <c r="EK436" s="488"/>
      <c r="EL436" s="487"/>
      <c r="EM436" s="488"/>
      <c r="EN436" s="487"/>
      <c r="EO436" s="488"/>
      <c r="EP436" s="487"/>
      <c r="EQ436" s="488"/>
      <c r="ER436" s="487"/>
      <c r="ES436" s="488"/>
      <c r="ET436" s="487"/>
      <c r="EU436" s="488"/>
      <c r="EV436" s="487"/>
      <c r="EW436" s="488"/>
      <c r="EX436" s="487"/>
      <c r="EY436" s="487"/>
      <c r="EZ436" s="558"/>
      <c r="FA436" s="487"/>
      <c r="FB436" s="486"/>
      <c r="FC436" s="487"/>
      <c r="FD436" s="486"/>
      <c r="FE436" s="487"/>
      <c r="FF436" s="486"/>
      <c r="FG436" s="487"/>
      <c r="FH436" s="486"/>
      <c r="FI436" s="487"/>
      <c r="FJ436" s="486"/>
      <c r="FK436" s="487"/>
      <c r="FL436" s="486"/>
      <c r="FM436" s="487"/>
      <c r="FN436" s="486"/>
      <c r="FO436" s="487"/>
      <c r="FP436" s="488"/>
      <c r="FQ436" s="487"/>
      <c r="FR436" s="488"/>
      <c r="FS436" s="481"/>
      <c r="FT436" s="488"/>
      <c r="FU436" s="481"/>
      <c r="FV436" s="488"/>
      <c r="FW436" s="481"/>
      <c r="FX436" s="488"/>
      <c r="FY436" s="481"/>
      <c r="FZ436" s="488"/>
      <c r="GA436" s="481"/>
      <c r="GB436" s="488"/>
      <c r="GC436" s="481"/>
      <c r="GD436" s="488"/>
      <c r="GE436" s="481"/>
      <c r="GF436" s="488"/>
      <c r="GG436" s="481"/>
      <c r="GH436" s="488"/>
      <c r="GI436" s="481"/>
      <c r="GJ436" s="488"/>
      <c r="GK436" s="481"/>
      <c r="GL436" s="488"/>
      <c r="GM436" s="481"/>
      <c r="GN436" s="488"/>
      <c r="GO436" s="481"/>
      <c r="GP436" s="488"/>
      <c r="GQ436" s="481"/>
      <c r="GR436" s="488"/>
      <c r="GS436" s="481"/>
      <c r="GT436" s="488"/>
      <c r="GU436" s="481"/>
      <c r="GV436" s="488"/>
      <c r="GW436" s="481"/>
      <c r="GX436" s="488"/>
      <c r="GY436" s="481"/>
      <c r="GZ436" s="481"/>
      <c r="HA436" s="481"/>
      <c r="HB436" s="484"/>
      <c r="HC436"/>
      <c r="HD436"/>
      <c r="HE436"/>
      <c r="HF436"/>
      <c r="HG436"/>
      <c r="HH436"/>
    </row>
    <row r="437" spans="2:216" s="3" customFormat="1" ht="12.75" hidden="1" customHeight="1" outlineLevel="1" x14ac:dyDescent="0.2">
      <c r="B437" s="235"/>
      <c r="C437" s="236"/>
      <c r="D437" s="237"/>
      <c r="E437" s="236"/>
      <c r="F437" s="237"/>
      <c r="G437" s="238"/>
      <c r="H437" s="237"/>
      <c r="I437" s="238"/>
      <c r="J437" s="237"/>
      <c r="K437" s="238"/>
      <c r="L437" s="237"/>
      <c r="M437" s="236"/>
      <c r="N437" s="237"/>
      <c r="O437" s="236"/>
      <c r="P437" s="237"/>
      <c r="Q437" s="238"/>
      <c r="R437" s="237"/>
      <c r="S437" s="238"/>
      <c r="T437" s="237"/>
      <c r="U437" s="238"/>
      <c r="V437" s="237"/>
      <c r="W437" s="236"/>
      <c r="X437" s="237"/>
      <c r="Y437" s="238"/>
      <c r="Z437" s="237"/>
      <c r="AA437" s="238"/>
      <c r="AB437" s="237"/>
      <c r="AC437" s="238"/>
      <c r="AD437" s="237"/>
      <c r="AE437" s="236"/>
      <c r="AF437" s="237"/>
      <c r="AG437" s="238"/>
      <c r="AH437" s="237"/>
      <c r="AI437" s="238"/>
      <c r="AJ437" s="237"/>
      <c r="AK437" s="238"/>
      <c r="AL437" s="237"/>
      <c r="AM437" s="236"/>
      <c r="AN437" s="237"/>
      <c r="AO437" s="236"/>
      <c r="AP437" s="237"/>
      <c r="AQ437" s="236"/>
      <c r="AR437" s="237"/>
      <c r="AS437" s="236"/>
      <c r="AT437" s="237"/>
      <c r="AU437" s="236"/>
      <c r="AV437" s="237"/>
      <c r="AW437" s="236"/>
      <c r="AX437" s="237"/>
      <c r="AY437" s="238"/>
      <c r="AZ437" s="237"/>
      <c r="BA437" s="238"/>
      <c r="BB437" s="237"/>
      <c r="BC437" s="238"/>
      <c r="BD437" s="237"/>
      <c r="BE437" s="238"/>
      <c r="BF437" s="237"/>
      <c r="BG437" s="188"/>
      <c r="BH437" s="237"/>
      <c r="BI437" s="188"/>
      <c r="BJ437" s="237"/>
      <c r="BK437" s="188"/>
      <c r="BL437" s="237"/>
      <c r="BM437" s="188"/>
      <c r="BN437" s="237"/>
      <c r="BO437" s="238"/>
      <c r="BP437" s="237"/>
      <c r="BQ437" s="238"/>
      <c r="BR437" s="237"/>
      <c r="BS437" s="238"/>
      <c r="BT437" s="237"/>
      <c r="BU437" s="238"/>
      <c r="BV437" s="237"/>
      <c r="BW437" s="238"/>
      <c r="BX437" s="237"/>
      <c r="BY437" s="238"/>
      <c r="BZ437" s="237"/>
      <c r="CA437" s="238"/>
      <c r="CB437" s="237"/>
      <c r="CC437" s="238"/>
      <c r="CD437" s="237"/>
      <c r="CE437" s="238"/>
      <c r="CF437" s="237"/>
      <c r="CG437" s="238"/>
      <c r="CH437" s="237"/>
      <c r="CI437" s="238"/>
      <c r="CJ437" s="237"/>
      <c r="CK437" s="238"/>
      <c r="CL437" s="237"/>
      <c r="CM437" s="238"/>
      <c r="CN437" s="237"/>
      <c r="CO437" s="238"/>
      <c r="CP437" s="237"/>
      <c r="CQ437" s="238"/>
      <c r="CR437" s="237"/>
      <c r="CS437" s="238"/>
      <c r="CT437" s="237"/>
      <c r="CU437" s="238"/>
      <c r="CV437" s="237"/>
      <c r="CW437" s="238"/>
      <c r="CX437" s="237"/>
      <c r="CY437" s="238"/>
      <c r="CZ437" s="237"/>
      <c r="DA437" s="238"/>
      <c r="DB437" s="237"/>
      <c r="DC437" s="238"/>
      <c r="DD437" s="237"/>
      <c r="DE437" s="238"/>
      <c r="DF437" s="237"/>
      <c r="DG437" s="238"/>
      <c r="DH437" s="237"/>
      <c r="DI437" s="238"/>
      <c r="DJ437" s="237"/>
      <c r="DK437" s="238"/>
      <c r="DL437" s="237"/>
      <c r="DM437" s="238"/>
      <c r="DN437" s="237"/>
      <c r="DO437" s="238"/>
      <c r="DP437" s="237"/>
      <c r="DQ437" s="238"/>
      <c r="DR437" s="237"/>
      <c r="DS437" s="238"/>
      <c r="DT437" s="237"/>
      <c r="DU437" s="238"/>
      <c r="DV437" s="237"/>
      <c r="DW437" s="238"/>
      <c r="DX437" s="238"/>
      <c r="DY437" s="238"/>
      <c r="DZ437" s="237"/>
      <c r="EA437" s="238"/>
      <c r="EB437" s="237"/>
      <c r="EC437" s="238"/>
      <c r="ED437" s="237"/>
      <c r="EE437" s="238"/>
      <c r="EF437" s="237"/>
      <c r="EG437" s="238"/>
      <c r="EH437" s="237"/>
      <c r="EI437" s="238"/>
      <c r="EJ437" s="237"/>
      <c r="EK437" s="238"/>
      <c r="EL437" s="237"/>
      <c r="EM437" s="238"/>
      <c r="EN437" s="237"/>
      <c r="EO437" s="238"/>
      <c r="EP437" s="237"/>
      <c r="EQ437" s="238"/>
      <c r="ER437" s="237"/>
      <c r="ES437" s="238"/>
      <c r="ET437" s="237"/>
      <c r="EU437" s="238"/>
      <c r="EV437" s="237"/>
      <c r="EW437" s="238"/>
      <c r="EX437" s="237"/>
      <c r="EY437" s="237"/>
      <c r="EZ437" s="558"/>
      <c r="FA437" s="237"/>
      <c r="FB437" s="239"/>
      <c r="FC437" s="237"/>
      <c r="FD437" s="239"/>
      <c r="FE437" s="237"/>
      <c r="FF437" s="239"/>
      <c r="FG437" s="237"/>
      <c r="FH437" s="239"/>
      <c r="FI437" s="237"/>
      <c r="FJ437" s="239"/>
      <c r="FK437" s="237"/>
      <c r="FL437" s="239"/>
      <c r="FM437" s="237"/>
      <c r="FN437" s="239"/>
      <c r="FO437" s="237"/>
      <c r="FP437" s="240"/>
      <c r="FQ437" s="237"/>
      <c r="FR437" s="240"/>
      <c r="FS437" s="61"/>
      <c r="FT437" s="240"/>
      <c r="FU437" s="61"/>
      <c r="FV437" s="240"/>
      <c r="FW437" s="61"/>
      <c r="FX437" s="240"/>
      <c r="FY437" s="61"/>
      <c r="FZ437" s="240"/>
      <c r="GA437" s="61"/>
      <c r="GB437" s="240"/>
      <c r="GC437" s="61"/>
      <c r="GD437" s="240"/>
      <c r="GE437" s="61"/>
      <c r="GF437" s="240"/>
      <c r="GG437" s="61"/>
      <c r="GH437" s="240"/>
      <c r="GI437" s="61"/>
      <c r="GJ437" s="240"/>
      <c r="GK437" s="61"/>
      <c r="GL437" s="240"/>
      <c r="GM437" s="61"/>
      <c r="GN437" s="240"/>
      <c r="GO437" s="61"/>
      <c r="GP437" s="240"/>
      <c r="GQ437" s="61"/>
      <c r="GR437" s="238"/>
      <c r="GS437" s="61"/>
      <c r="GT437" s="238"/>
      <c r="GU437" s="61"/>
      <c r="GV437" s="238"/>
      <c r="GW437" s="61"/>
      <c r="GX437" s="238"/>
      <c r="GY437" s="61"/>
      <c r="GZ437" s="61"/>
      <c r="HA437" s="61"/>
      <c r="HB437" s="452"/>
      <c r="HC437"/>
      <c r="HD437"/>
      <c r="HE437"/>
      <c r="HF437"/>
      <c r="HG437"/>
      <c r="HH437"/>
    </row>
    <row r="438" spans="2:216" s="3" customFormat="1" ht="12.75" hidden="1" customHeight="1" outlineLevel="1" x14ac:dyDescent="0.2">
      <c r="B438" s="242" t="s">
        <v>188</v>
      </c>
      <c r="C438" s="239"/>
      <c r="D438" s="243"/>
      <c r="E438" s="239"/>
      <c r="F438" s="243"/>
      <c r="G438" s="238"/>
      <c r="H438" s="243"/>
      <c r="I438" s="238"/>
      <c r="J438" s="243"/>
      <c r="K438" s="238"/>
      <c r="L438" s="243"/>
      <c r="M438" s="239"/>
      <c r="N438" s="243"/>
      <c r="O438" s="239"/>
      <c r="P438" s="243"/>
      <c r="Q438" s="238"/>
      <c r="R438" s="243"/>
      <c r="S438" s="238"/>
      <c r="T438" s="243"/>
      <c r="U438" s="238"/>
      <c r="V438" s="243"/>
      <c r="W438" s="239"/>
      <c r="X438" s="243"/>
      <c r="Y438" s="238"/>
      <c r="Z438" s="243"/>
      <c r="AA438" s="238"/>
      <c r="AB438" s="243"/>
      <c r="AC438" s="238"/>
      <c r="AD438" s="243"/>
      <c r="AE438" s="239"/>
      <c r="AF438" s="243"/>
      <c r="AG438" s="238"/>
      <c r="AH438" s="243"/>
      <c r="AI438" s="238"/>
      <c r="AJ438" s="243"/>
      <c r="AK438" s="238"/>
      <c r="AL438" s="243"/>
      <c r="AM438" s="239"/>
      <c r="AN438" s="243"/>
      <c r="AO438" s="239"/>
      <c r="AP438" s="243"/>
      <c r="AQ438" s="239"/>
      <c r="AR438" s="243"/>
      <c r="AS438" s="239"/>
      <c r="AT438" s="243"/>
      <c r="AU438" s="239"/>
      <c r="AV438" s="243"/>
      <c r="AW438" s="239"/>
      <c r="AX438" s="243"/>
      <c r="AY438" s="238"/>
      <c r="AZ438" s="243"/>
      <c r="BA438" s="238"/>
      <c r="BB438" s="243"/>
      <c r="BC438" s="238"/>
      <c r="BD438" s="243"/>
      <c r="BE438" s="238"/>
      <c r="BF438" s="243"/>
      <c r="BG438" s="188"/>
      <c r="BH438" s="243"/>
      <c r="BI438" s="188"/>
      <c r="BJ438" s="243"/>
      <c r="BK438" s="188"/>
      <c r="BL438" s="243"/>
      <c r="BM438" s="188"/>
      <c r="BN438" s="243"/>
      <c r="BO438" s="238"/>
      <c r="BP438" s="243"/>
      <c r="BQ438" s="238"/>
      <c r="BR438" s="243"/>
      <c r="BS438" s="238"/>
      <c r="BT438" s="243"/>
      <c r="BU438" s="238"/>
      <c r="BV438" s="243"/>
      <c r="BW438" s="238"/>
      <c r="BX438" s="243"/>
      <c r="BY438" s="238"/>
      <c r="BZ438" s="243"/>
      <c r="CA438" s="238"/>
      <c r="CB438" s="243"/>
      <c r="CC438" s="238"/>
      <c r="CD438" s="243"/>
      <c r="CE438" s="238"/>
      <c r="CF438" s="243"/>
      <c r="CG438" s="238"/>
      <c r="CH438" s="243"/>
      <c r="CI438" s="238"/>
      <c r="CJ438" s="243"/>
      <c r="CK438" s="238"/>
      <c r="CL438" s="243"/>
      <c r="CM438" s="238"/>
      <c r="CN438" s="243"/>
      <c r="CO438" s="238"/>
      <c r="CP438" s="243"/>
      <c r="CQ438" s="238"/>
      <c r="CR438" s="243"/>
      <c r="CS438" s="238"/>
      <c r="CT438" s="243"/>
      <c r="CU438" s="238"/>
      <c r="CV438" s="243"/>
      <c r="CW438" s="238"/>
      <c r="CX438" s="243"/>
      <c r="CY438" s="238"/>
      <c r="CZ438" s="243"/>
      <c r="DA438" s="238"/>
      <c r="DB438" s="243"/>
      <c r="DC438" s="238"/>
      <c r="DD438" s="243"/>
      <c r="DE438" s="238"/>
      <c r="DF438" s="243"/>
      <c r="DG438" s="238"/>
      <c r="DH438" s="243"/>
      <c r="DI438" s="238"/>
      <c r="DJ438" s="243"/>
      <c r="DK438" s="238"/>
      <c r="DL438" s="243"/>
      <c r="DM438" s="238"/>
      <c r="DN438" s="243"/>
      <c r="DO438" s="238"/>
      <c r="DP438" s="243"/>
      <c r="DQ438" s="238"/>
      <c r="DR438" s="243"/>
      <c r="DS438" s="238"/>
      <c r="DT438" s="243"/>
      <c r="DU438" s="238"/>
      <c r="DV438" s="243"/>
      <c r="DW438" s="238"/>
      <c r="DX438" s="238"/>
      <c r="DY438" s="238"/>
      <c r="DZ438" s="243"/>
      <c r="EA438" s="238"/>
      <c r="EB438" s="243"/>
      <c r="EC438" s="238"/>
      <c r="ED438" s="243"/>
      <c r="EE438" s="238"/>
      <c r="EF438" s="243"/>
      <c r="EG438" s="238"/>
      <c r="EH438" s="243"/>
      <c r="EI438" s="238"/>
      <c r="EJ438" s="243"/>
      <c r="EK438" s="238"/>
      <c r="EL438" s="243"/>
      <c r="EM438" s="238"/>
      <c r="EN438" s="243"/>
      <c r="EO438" s="238"/>
      <c r="EP438" s="243"/>
      <c r="EQ438" s="238"/>
      <c r="ER438" s="243"/>
      <c r="ES438" s="238"/>
      <c r="ET438" s="243"/>
      <c r="EU438" s="238"/>
      <c r="EV438" s="243"/>
      <c r="EW438" s="238"/>
      <c r="EX438" s="243"/>
      <c r="EY438" s="243"/>
      <c r="EZ438" s="558"/>
      <c r="FA438" s="243"/>
      <c r="FB438" s="239"/>
      <c r="FC438" s="243"/>
      <c r="FD438" s="239"/>
      <c r="FE438" s="243"/>
      <c r="FF438" s="239"/>
      <c r="FG438" s="243"/>
      <c r="FH438" s="239"/>
      <c r="FI438" s="243"/>
      <c r="FJ438" s="239"/>
      <c r="FK438" s="243"/>
      <c r="FL438" s="239"/>
      <c r="FM438" s="243"/>
      <c r="FN438" s="239"/>
      <c r="FO438" s="243"/>
      <c r="FP438" s="240"/>
      <c r="FQ438" s="243"/>
      <c r="FR438" s="240"/>
      <c r="FS438" s="61"/>
      <c r="FT438" s="240"/>
      <c r="FU438" s="61"/>
      <c r="FV438" s="240"/>
      <c r="FW438" s="61"/>
      <c r="FX438" s="240"/>
      <c r="FY438" s="61"/>
      <c r="FZ438" s="240"/>
      <c r="GA438" s="61"/>
      <c r="GB438" s="240"/>
      <c r="GC438" s="61"/>
      <c r="GD438" s="240"/>
      <c r="GE438" s="61"/>
      <c r="GF438" s="240"/>
      <c r="GG438" s="61"/>
      <c r="GH438" s="240"/>
      <c r="GI438" s="61"/>
      <c r="GJ438" s="240"/>
      <c r="GK438" s="61"/>
      <c r="GL438" s="240"/>
      <c r="GM438" s="61"/>
      <c r="GN438" s="240"/>
      <c r="GO438" s="61"/>
      <c r="GP438" s="240"/>
      <c r="GQ438" s="61"/>
      <c r="GR438" s="238"/>
      <c r="GS438" s="61"/>
      <c r="GT438" s="238"/>
      <c r="GU438" s="61"/>
      <c r="GV438" s="238"/>
      <c r="GW438" s="61"/>
      <c r="GX438" s="238"/>
      <c r="GY438" s="61"/>
      <c r="GZ438" s="61"/>
      <c r="HA438" s="61"/>
      <c r="HB438" s="452"/>
      <c r="HC438"/>
      <c r="HD438"/>
      <c r="HE438"/>
      <c r="HF438"/>
      <c r="HG438"/>
      <c r="HH438"/>
    </row>
    <row r="439" spans="2:216" s="244" customFormat="1" ht="12.75" hidden="1" customHeight="1" outlineLevel="1" x14ac:dyDescent="0.2">
      <c r="B439" s="235" t="s">
        <v>90</v>
      </c>
      <c r="C439" s="189">
        <v>53.386000000000003</v>
      </c>
      <c r="D439" s="184"/>
      <c r="E439" s="189">
        <v>49.783000000000001</v>
      </c>
      <c r="F439" s="184"/>
      <c r="G439" s="202">
        <v>48.463000000000001</v>
      </c>
      <c r="H439" s="184"/>
      <c r="I439" s="202">
        <v>58.826999999999998</v>
      </c>
      <c r="J439" s="184"/>
      <c r="K439" s="202">
        <v>50.624000000000002</v>
      </c>
      <c r="L439" s="184">
        <f>IF(ISERROR((K439/C439-1)*100),"NA",IF(((K439/C439-1)*100)&gt;100,"NM",IF(((K439/C439-1)*100)&lt;-50,"NM",(K439/C439-1)*100)))</f>
        <v>-5.173641029483389</v>
      </c>
      <c r="M439" s="189">
        <v>48.244999999999997</v>
      </c>
      <c r="N439" s="184">
        <f>IF(ISERROR((M439/E439-1)*100),"NA",IF(((M439/E439-1)*100)&gt;100,"NM",IF(((M439/E439-1)*100)&lt;-50,"NM",(M439/E439-1)*100)))</f>
        <v>-3.0894080308539129</v>
      </c>
      <c r="O439" s="189">
        <v>44.533000000000001</v>
      </c>
      <c r="P439" s="184">
        <f>IF(ISERROR((O439/G439-1)*100),"NA",IF(((O439/G439-1)*100)&gt;100,"NM",IF(((O439/G439-1)*100)&lt;-50,"NM",(O439/G439-1)*100)))</f>
        <v>-8.1092792439593104</v>
      </c>
      <c r="Q439" s="202">
        <v>53.366999999999997</v>
      </c>
      <c r="R439" s="184">
        <f>IF(ISERROR((Q439/I439-1)*100),"NA",IF(((Q439/I439-1)*100)&gt;100,"NM",IF(((Q439/I439-1)*100)&lt;-50,"NM",(Q439/I439-1)*100)))</f>
        <v>-9.2814523943087419</v>
      </c>
      <c r="S439" s="202">
        <v>48.643000000000001</v>
      </c>
      <c r="T439" s="184">
        <f>IF(ISERROR((S439/K439-1)*100),"NA",IF(((S439/K439-1)*100)&gt;100,"NM",IF(((S439/K439-1)*100)&lt;-50,"NM",(S439/K439-1)*100)))</f>
        <v>-3.9131637168141609</v>
      </c>
      <c r="U439" s="202">
        <v>49.972000000000001</v>
      </c>
      <c r="V439" s="184">
        <f>IF(ISERROR((U439/M439-1)*100),"NA",IF(((U439/M439-1)*100)&gt;100,"NM",IF(((U439/M439-1)*100)&lt;-50,"NM",(U439/M439-1)*100)))</f>
        <v>3.5796455591253107</v>
      </c>
      <c r="W439" s="189">
        <v>49.890999999999998</v>
      </c>
      <c r="X439" s="184">
        <f>IF(ISERROR((W439/O439-1)*100),"NA",IF(((W439/O439-1)*100)&gt;100,"NM",IF(((W439/O439-1)*100)&lt;-50,"NM",(W439/O439-1)*100)))</f>
        <v>12.031527182089686</v>
      </c>
      <c r="Y439" s="202">
        <v>61.844000000000001</v>
      </c>
      <c r="Z439" s="184">
        <f>IF(ISERROR((Y439/Q439-1)*100),"NA",IF(((Y439/Q439-1)*100)&gt;100,"NM",IF(((Y439/Q439-1)*100)&lt;-50,"NM",(Y439/Q439-1)*100)))</f>
        <v>15.884348005321659</v>
      </c>
      <c r="AA439" s="202">
        <v>50.478000000000002</v>
      </c>
      <c r="AB439" s="184">
        <f>IF(ISERROR((AA439/S439-1)*100),"NA",IF(((AA439/S439-1)*100)&gt;100,"NM",IF(((AA439/S439-1)*100)&lt;-50,"NM",(AA439/S439-1)*100)))</f>
        <v>3.7723824599634082</v>
      </c>
      <c r="AC439" s="202">
        <v>50.673999999999999</v>
      </c>
      <c r="AD439" s="184">
        <f>IF(ISERROR((AC439/U439-1)*100),"NA",IF(((AC439/U439-1)*100)&gt;100,"NM",IF(((AC439/U439-1)*100)&lt;-50,"NM",(AC439/U439-1)*100)))</f>
        <v>1.4047866805410925</v>
      </c>
      <c r="AE439" s="189">
        <v>51.728999999999999</v>
      </c>
      <c r="AF439" s="184">
        <f>IF(ISERROR((AE439/W439-1)*100),"NA",IF(((AE439/W439-1)*100)&gt;100,"NM",IF(((AE439/W439-1)*100)&lt;-50,"NM",(AE439/W439-1)*100)))</f>
        <v>3.6840311879898113</v>
      </c>
      <c r="AG439" s="202">
        <v>63.792000000000002</v>
      </c>
      <c r="AH439" s="184">
        <f>IF(ISERROR((AG439/Y439-1)*100),"NA",IF(((AG439/Y439-1)*100)&gt;100,"NM",IF(((AG439/Y439-1)*100)&lt;-50,"NM",(AG439/Y439-1)*100)))</f>
        <v>3.1498609404307709</v>
      </c>
      <c r="AI439" s="202">
        <v>58.506999999999998</v>
      </c>
      <c r="AJ439" s="184">
        <f>IF(ISERROR((AI439/AA439-1)*100),"NA",IF(((AI439/AA439-1)*100)&gt;100,"NM",IF(((AI439/AA439-1)*100)&lt;-50,"NM",(AI439/AA439-1)*100)))</f>
        <v>15.905939221046793</v>
      </c>
      <c r="AK439" s="202">
        <v>56.493000000000002</v>
      </c>
      <c r="AL439" s="184">
        <f>IF(ISERROR((AK439/AC439-1)*100),"NA",IF(((AK439/AC439-1)*100)&gt;100,"NM",IF(((AK439/AC439-1)*100)&lt;-50,"NM",(AK439/AC439-1)*100)))</f>
        <v>11.483206378024246</v>
      </c>
      <c r="AM439" s="189">
        <v>58.143999999999998</v>
      </c>
      <c r="AN439" s="184">
        <f>IF(ISERROR((AM439/AE439-1)*100),"NA",IF(((AM439/AE439-1)*100)&gt;100,"NM",IF(((AM439/AE439-1)*100)&lt;-50,"NM",(AM439/AE439-1)*100)))</f>
        <v>12.401167623576725</v>
      </c>
      <c r="AO439" s="189">
        <v>67.972999999999999</v>
      </c>
      <c r="AP439" s="184">
        <f>IF(ISERROR((AO439/AG439-1)*100),"NA",IF(((AO439/AG439-1)*100)&gt;100,"NM",IF(((AO439/AG439-1)*100)&lt;-50,"NM",(AO439/AG439-1)*100)))</f>
        <v>6.5541133684474451</v>
      </c>
      <c r="AQ439" s="189">
        <v>60.875</v>
      </c>
      <c r="AR439" s="184">
        <f>IF(ISERROR((AQ439/AI439-1)*100),"NA",IF(((AQ439/AI439-1)*100)&gt;100,"NM",IF(((AQ439/AI439-1)*100)&lt;-50,"NM",(AQ439/AI439-1)*100)))</f>
        <v>4.0473789461090259</v>
      </c>
      <c r="AS439" s="189">
        <v>57.198</v>
      </c>
      <c r="AT439" s="184">
        <f>IF(ISERROR((AS439/AK439-1)*100),"NA",IF(((AS439/AK439-1)*100)&gt;100,"NM",IF(((AS439/AK439-1)*100)&lt;-50,"NM",(AS439/AK439-1)*100)))</f>
        <v>1.2479422229302761</v>
      </c>
      <c r="AU439" s="189">
        <v>59.195999999999998</v>
      </c>
      <c r="AV439" s="61">
        <f>IF(ISERROR((AU439/AM439-1)*100),"NA",IF(((AU439/AM439-1)*100)&gt;100,"NM",IF(((AU439/AM439-1)*100)&lt;-50,"NM",(AU439/AM439-1)*100)))</f>
        <v>1.8093010456796899</v>
      </c>
      <c r="AW439" s="189">
        <v>69.302000000000007</v>
      </c>
      <c r="AX439" s="61">
        <f>IF(ISERROR((AW439/AO439-1)*100),"NA",IF(((AW439/AO439-1)*100)&gt;100,"NM",IF(((AW439/AO439-1)*100)&lt;-50,"NM",(AW439/AO439-1)*100)))</f>
        <v>1.9551880893884377</v>
      </c>
      <c r="AY439" s="202"/>
      <c r="AZ439" s="61"/>
      <c r="BA439" s="202">
        <v>57.5</v>
      </c>
      <c r="BB439" s="61">
        <f>IF(ISERROR((BA439/AS439-1)*100),"NA",IF(((BA439/AS439-1)*100)&gt;100,"NM",IF(((BA439/AS439-1)*100)&lt;-50,"NM",(BA439/AS439-1)*100)))</f>
        <v>0.5279904891779319</v>
      </c>
      <c r="BC439" s="202">
        <v>59.8</v>
      </c>
      <c r="BD439" s="61">
        <f>IF(ISERROR((BC439/AU439-1)*100),"NA",IF(((BC439/AU439-1)*100)&gt;100,"NM",IF(((BC439/AU439-1)*100)&lt;-50,"NM",(BC439/AU439-1)*100)))</f>
        <v>1.0203392121089339</v>
      </c>
      <c r="BE439" s="202">
        <v>70</v>
      </c>
      <c r="BF439" s="61">
        <f>IF(ISERROR((BE439/AW439-1)*100),"NA",IF(((BE439/AW439-1)*100)&gt;100,"NM",IF(((BE439/AW439-1)*100)&lt;-50,"NM",(BE439/AW439-1)*100)))</f>
        <v>1.0071859397997152</v>
      </c>
      <c r="BG439" s="203"/>
      <c r="BH439" s="61"/>
      <c r="BI439" s="203"/>
      <c r="BJ439" s="61"/>
      <c r="BK439" s="203"/>
      <c r="BL439" s="61"/>
      <c r="BM439" s="203"/>
      <c r="BN439" s="61"/>
      <c r="BO439" s="202"/>
      <c r="BP439" s="61"/>
      <c r="BQ439" s="202"/>
      <c r="BR439" s="61"/>
      <c r="BS439" s="202"/>
      <c r="BT439" s="61"/>
      <c r="BU439" s="202"/>
      <c r="BV439" s="61"/>
      <c r="BW439" s="238"/>
      <c r="BX439" s="61"/>
      <c r="BY439" s="238"/>
      <c r="BZ439" s="61"/>
      <c r="CA439" s="238"/>
      <c r="CB439" s="61"/>
      <c r="CC439" s="238"/>
      <c r="CD439" s="61"/>
      <c r="CE439" s="238"/>
      <c r="CF439" s="61"/>
      <c r="CG439" s="238"/>
      <c r="CH439" s="61"/>
      <c r="CI439" s="238"/>
      <c r="CJ439" s="61"/>
      <c r="CK439" s="238"/>
      <c r="CL439" s="61"/>
      <c r="CM439" s="238"/>
      <c r="CN439" s="61"/>
      <c r="CO439" s="238"/>
      <c r="CP439" s="61"/>
      <c r="CQ439" s="238"/>
      <c r="CR439" s="61"/>
      <c r="CS439" s="238"/>
      <c r="CT439" s="61"/>
      <c r="CU439" s="238"/>
      <c r="CV439" s="61"/>
      <c r="CW439" s="238"/>
      <c r="CX439" s="61"/>
      <c r="CY439" s="238"/>
      <c r="CZ439" s="61"/>
      <c r="DA439" s="238"/>
      <c r="DB439" s="61"/>
      <c r="DC439" s="238"/>
      <c r="DD439" s="61"/>
      <c r="DE439" s="238"/>
      <c r="DF439" s="61"/>
      <c r="DG439" s="238"/>
      <c r="DH439" s="61"/>
      <c r="DI439" s="238"/>
      <c r="DJ439" s="61"/>
      <c r="DK439" s="238"/>
      <c r="DL439" s="61"/>
      <c r="DM439" s="238"/>
      <c r="DN439" s="61"/>
      <c r="DO439" s="238"/>
      <c r="DP439" s="61"/>
      <c r="DQ439" s="238"/>
      <c r="DR439" s="61"/>
      <c r="DS439" s="238"/>
      <c r="DT439" s="61"/>
      <c r="DU439" s="238"/>
      <c r="DV439" s="61"/>
      <c r="DW439" s="238"/>
      <c r="DX439" s="238"/>
      <c r="DY439" s="238"/>
      <c r="DZ439" s="61"/>
      <c r="EA439" s="238"/>
      <c r="EB439" s="61"/>
      <c r="EC439" s="238"/>
      <c r="ED439" s="61"/>
      <c r="EE439" s="238"/>
      <c r="EF439" s="61"/>
      <c r="EG439" s="238"/>
      <c r="EH439" s="61"/>
      <c r="EI439" s="238"/>
      <c r="EJ439" s="61"/>
      <c r="EK439" s="238"/>
      <c r="EL439" s="61"/>
      <c r="EM439" s="238"/>
      <c r="EN439" s="61"/>
      <c r="EO439" s="238"/>
      <c r="EP439" s="61"/>
      <c r="EQ439" s="238"/>
      <c r="ER439" s="61"/>
      <c r="ES439" s="238"/>
      <c r="ET439" s="61"/>
      <c r="EU439" s="238"/>
      <c r="EV439" s="61"/>
      <c r="EW439" s="238"/>
      <c r="EX439" s="61"/>
      <c r="EY439" s="126"/>
      <c r="EZ439" s="558"/>
      <c r="FA439" s="126"/>
      <c r="FB439" s="183">
        <v>199.74199999999999</v>
      </c>
      <c r="FC439" s="217"/>
      <c r="FD439" s="183">
        <v>204.96799999999999</v>
      </c>
      <c r="FE439" s="217">
        <f>IF(ISERROR((FD439/FB439-1)*100),"NA",IF(((FD439/FB439-1)*100)&gt;100,"NM",IF(((FD439/FB439-1)*100)&lt;-50,"NM",(FD439/FB439-1)*100)))</f>
        <v>2.6163751239098421</v>
      </c>
      <c r="FF439" s="183">
        <v>210.459</v>
      </c>
      <c r="FG439" s="217">
        <f>IF(ISERROR((FF439/FD439-1)*100),"NA",IF(((FF439/FD439-1)*100)&gt;100,"NM",IF(((FF439/FD439-1)*100)&lt;-50,"NM",(FF439/FD439-1)*100)))</f>
        <v>2.6789547636704381</v>
      </c>
      <c r="FH439" s="183">
        <v>196.76899999999998</v>
      </c>
      <c r="FI439" s="217">
        <f>IF(ISERROR((FH439/FF439-1)*100),"NA",IF(((FH439/FF439-1)*100)&gt;100,"NM",IF(((FH439/FF439-1)*100)&lt;-50,"NM",(FH439/FF439-1)*100)))</f>
        <v>-6.5048299193667276</v>
      </c>
      <c r="FJ439" s="183">
        <v>210.35</v>
      </c>
      <c r="FK439" s="217">
        <f>IF(ISERROR((FJ439/FH439-1)*100),"NA",IF(((FJ439/FH439-1)*100)&gt;100,"NM",IF(((FJ439/FH439-1)*100)&lt;-50,"NM",(FJ439/FH439-1)*100)))</f>
        <v>6.902001839720695</v>
      </c>
      <c r="FL439" s="183">
        <v>216.673</v>
      </c>
      <c r="FM439" s="217">
        <f>IF(ISERROR((FL439/FJ439-1)*100),"NA",IF(((FL439/FJ439-1)*100)&gt;100,"NM",IF(((FL439/FJ439-1)*100)&lt;-50,"NM",(FL439/FJ439-1)*100)))</f>
        <v>3.0059424768243526</v>
      </c>
      <c r="FN439" s="183">
        <v>241.11700000000002</v>
      </c>
      <c r="FO439" s="217">
        <f>IF(ISERROR((FN439/FL439-1)*100),"NA",IF(((FN439/FL439-1)*100)&gt;100,"NM",IF(((FN439/FL439-1)*100)&lt;-50,"NM",(FN439/FL439-1)*100)))</f>
        <v>11.281516386444101</v>
      </c>
      <c r="FP439" s="240">
        <v>246.57100000000003</v>
      </c>
      <c r="FQ439" s="61">
        <f>IF(ISERROR((FP439/FN439-1)*100),"NA",IF(((FP439/FN439-1)*100)&gt;100,"NM",IF(((FP439/FN439-1)*100)&lt;-50,"NM",(FP439/FN439-1)*100)))</f>
        <v>2.2619724034389943</v>
      </c>
      <c r="FR439" s="240">
        <f>AY439+BA439+BC439+BE439</f>
        <v>187.3</v>
      </c>
      <c r="FS439" s="61"/>
      <c r="FT439" s="240"/>
      <c r="FU439" s="61"/>
      <c r="FV439" s="240"/>
      <c r="FW439" s="61"/>
      <c r="FX439" s="240"/>
      <c r="FY439" s="61"/>
      <c r="FZ439" s="240"/>
      <c r="GA439" s="61"/>
      <c r="GB439" s="240"/>
      <c r="GC439" s="61"/>
      <c r="GD439" s="240"/>
      <c r="GE439" s="61"/>
      <c r="GF439" s="240"/>
      <c r="GG439" s="61"/>
      <c r="GH439" s="240"/>
      <c r="GI439" s="61"/>
      <c r="GJ439" s="240"/>
      <c r="GK439" s="61"/>
      <c r="GL439" s="240"/>
      <c r="GM439" s="61"/>
      <c r="GN439" s="240"/>
      <c r="GO439" s="61"/>
      <c r="GP439" s="240"/>
      <c r="GQ439" s="61"/>
      <c r="GR439" s="238"/>
      <c r="GS439" s="61"/>
      <c r="GT439" s="238"/>
      <c r="GU439" s="61"/>
      <c r="GV439" s="238"/>
      <c r="GW439" s="61"/>
      <c r="GX439" s="238"/>
      <c r="GY439" s="61"/>
      <c r="GZ439" s="61"/>
      <c r="HA439" s="61"/>
      <c r="HB439" s="452"/>
      <c r="HC439"/>
      <c r="HD439"/>
      <c r="HE439"/>
      <c r="HF439"/>
      <c r="HG439"/>
      <c r="HH439"/>
    </row>
    <row r="440" spans="2:216" s="244" customFormat="1" ht="12.75" hidden="1" customHeight="1" outlineLevel="1" x14ac:dyDescent="0.2">
      <c r="B440" s="235"/>
      <c r="C440" s="183"/>
      <c r="D440" s="245"/>
      <c r="E440" s="183"/>
      <c r="F440" s="245"/>
      <c r="G440" s="185"/>
      <c r="H440" s="245"/>
      <c r="I440" s="185"/>
      <c r="J440" s="245"/>
      <c r="K440" s="185"/>
      <c r="L440" s="245"/>
      <c r="M440" s="183"/>
      <c r="N440" s="245"/>
      <c r="O440" s="183"/>
      <c r="P440" s="245"/>
      <c r="Q440" s="185"/>
      <c r="R440" s="245"/>
      <c r="S440" s="185"/>
      <c r="T440" s="245"/>
      <c r="U440" s="185"/>
      <c r="V440" s="245"/>
      <c r="W440" s="183"/>
      <c r="X440" s="245"/>
      <c r="Y440" s="185"/>
      <c r="Z440" s="245"/>
      <c r="AA440" s="185"/>
      <c r="AB440" s="245"/>
      <c r="AC440" s="185"/>
      <c r="AD440" s="245"/>
      <c r="AE440" s="183"/>
      <c r="AF440" s="245"/>
      <c r="AG440" s="185"/>
      <c r="AH440" s="245"/>
      <c r="AI440" s="185"/>
      <c r="AJ440" s="245"/>
      <c r="AK440" s="185"/>
      <c r="AL440" s="245"/>
      <c r="AM440" s="183"/>
      <c r="AN440" s="245"/>
      <c r="AO440" s="183"/>
      <c r="AP440" s="245"/>
      <c r="AQ440" s="183"/>
      <c r="AR440" s="245"/>
      <c r="AS440" s="183"/>
      <c r="AT440" s="245"/>
      <c r="AU440" s="183"/>
      <c r="AV440" s="245"/>
      <c r="AW440" s="183"/>
      <c r="AX440" s="61"/>
      <c r="AY440" s="185"/>
      <c r="AZ440" s="61"/>
      <c r="BA440" s="185"/>
      <c r="BB440" s="61"/>
      <c r="BC440" s="185"/>
      <c r="BD440" s="61"/>
      <c r="BE440" s="185"/>
      <c r="BF440" s="61"/>
      <c r="BG440" s="186"/>
      <c r="BH440" s="61"/>
      <c r="BI440" s="186"/>
      <c r="BJ440" s="61"/>
      <c r="BK440" s="186"/>
      <c r="BL440" s="61"/>
      <c r="BM440" s="186"/>
      <c r="BN440" s="61"/>
      <c r="BO440" s="185"/>
      <c r="BP440" s="61"/>
      <c r="BQ440" s="185"/>
      <c r="BR440" s="61"/>
      <c r="BS440" s="185"/>
      <c r="BT440" s="61"/>
      <c r="BU440" s="185"/>
      <c r="BV440" s="61"/>
      <c r="BW440" s="238"/>
      <c r="BX440" s="61"/>
      <c r="BY440" s="238"/>
      <c r="BZ440" s="61"/>
      <c r="CA440" s="238"/>
      <c r="CB440" s="61"/>
      <c r="CC440" s="238"/>
      <c r="CD440" s="61"/>
      <c r="CE440" s="238"/>
      <c r="CF440" s="61"/>
      <c r="CG440" s="238"/>
      <c r="CH440" s="61"/>
      <c r="CI440" s="238"/>
      <c r="CJ440" s="61"/>
      <c r="CK440" s="238"/>
      <c r="CL440" s="61"/>
      <c r="CM440" s="238"/>
      <c r="CN440" s="61"/>
      <c r="CO440" s="238"/>
      <c r="CP440" s="61"/>
      <c r="CQ440" s="238"/>
      <c r="CR440" s="61"/>
      <c r="CS440" s="238"/>
      <c r="CT440" s="61"/>
      <c r="CU440" s="238"/>
      <c r="CV440" s="61"/>
      <c r="CW440" s="238"/>
      <c r="CX440" s="61"/>
      <c r="CY440" s="238"/>
      <c r="CZ440" s="61"/>
      <c r="DA440" s="238"/>
      <c r="DB440" s="61"/>
      <c r="DC440" s="238"/>
      <c r="DD440" s="61"/>
      <c r="DE440" s="238"/>
      <c r="DF440" s="61"/>
      <c r="DG440" s="238"/>
      <c r="DH440" s="61"/>
      <c r="DI440" s="238"/>
      <c r="DJ440" s="61"/>
      <c r="DK440" s="238"/>
      <c r="DL440" s="61"/>
      <c r="DM440" s="238"/>
      <c r="DN440" s="61"/>
      <c r="DO440" s="238"/>
      <c r="DP440" s="61"/>
      <c r="DQ440" s="238"/>
      <c r="DR440" s="61"/>
      <c r="DS440" s="238"/>
      <c r="DT440" s="61"/>
      <c r="DU440" s="238"/>
      <c r="DV440" s="61"/>
      <c r="DW440" s="238"/>
      <c r="DX440" s="238"/>
      <c r="DY440" s="238"/>
      <c r="DZ440" s="61"/>
      <c r="EA440" s="238"/>
      <c r="EB440" s="61"/>
      <c r="EC440" s="238"/>
      <c r="ED440" s="61"/>
      <c r="EE440" s="238"/>
      <c r="EF440" s="61"/>
      <c r="EG440" s="238"/>
      <c r="EH440" s="61"/>
      <c r="EI440" s="238"/>
      <c r="EJ440" s="61"/>
      <c r="EK440" s="238"/>
      <c r="EL440" s="61"/>
      <c r="EM440" s="238"/>
      <c r="EN440" s="61"/>
      <c r="EO440" s="238"/>
      <c r="EP440" s="61"/>
      <c r="EQ440" s="238"/>
      <c r="ER440" s="61"/>
      <c r="ES440" s="238"/>
      <c r="ET440" s="61"/>
      <c r="EU440" s="238"/>
      <c r="EV440" s="61"/>
      <c r="EW440" s="238"/>
      <c r="EX440" s="61"/>
      <c r="EY440" s="237"/>
      <c r="EZ440" s="558"/>
      <c r="FA440" s="237"/>
      <c r="FB440" s="183"/>
      <c r="FC440" s="245"/>
      <c r="FD440" s="183"/>
      <c r="FE440" s="245"/>
      <c r="FF440" s="183"/>
      <c r="FG440" s="245"/>
      <c r="FH440" s="183"/>
      <c r="FI440" s="245"/>
      <c r="FJ440" s="183"/>
      <c r="FK440" s="245"/>
      <c r="FL440" s="183"/>
      <c r="FM440" s="245"/>
      <c r="FN440" s="183"/>
      <c r="FO440" s="245"/>
      <c r="FP440" s="240"/>
      <c r="FQ440" s="61"/>
      <c r="FR440" s="240"/>
      <c r="FS440" s="61"/>
      <c r="FT440" s="240"/>
      <c r="FU440" s="61"/>
      <c r="FV440" s="240"/>
      <c r="FW440" s="61"/>
      <c r="FX440" s="240"/>
      <c r="FY440" s="61"/>
      <c r="FZ440" s="240"/>
      <c r="GA440" s="61"/>
      <c r="GB440" s="240"/>
      <c r="GC440" s="61"/>
      <c r="GD440" s="240"/>
      <c r="GE440" s="61"/>
      <c r="GF440" s="240"/>
      <c r="GG440" s="61"/>
      <c r="GH440" s="240"/>
      <c r="GI440" s="61"/>
      <c r="GJ440" s="240"/>
      <c r="GK440" s="61"/>
      <c r="GL440" s="240"/>
      <c r="GM440" s="61"/>
      <c r="GN440" s="240"/>
      <c r="GO440" s="61"/>
      <c r="GP440" s="240"/>
      <c r="GQ440" s="61"/>
      <c r="GR440" s="238"/>
      <c r="GS440" s="61"/>
      <c r="GT440" s="238"/>
      <c r="GU440" s="61"/>
      <c r="GV440" s="238"/>
      <c r="GW440" s="61"/>
      <c r="GX440" s="238"/>
      <c r="GY440" s="61"/>
      <c r="GZ440" s="61"/>
      <c r="HA440" s="61"/>
      <c r="HB440" s="452"/>
      <c r="HC440"/>
      <c r="HD440"/>
      <c r="HE440"/>
      <c r="HF440"/>
      <c r="HG440"/>
      <c r="HH440"/>
    </row>
    <row r="441" spans="2:216" s="244" customFormat="1" ht="12.75" hidden="1" customHeight="1" outlineLevel="1" x14ac:dyDescent="0.2">
      <c r="B441" s="242" t="s">
        <v>624</v>
      </c>
      <c r="C441" s="183"/>
      <c r="D441" s="245"/>
      <c r="E441" s="183"/>
      <c r="F441" s="245"/>
      <c r="G441" s="185"/>
      <c r="H441" s="245"/>
      <c r="I441" s="185"/>
      <c r="J441" s="245"/>
      <c r="K441" s="185"/>
      <c r="L441" s="245"/>
      <c r="M441" s="183"/>
      <c r="N441" s="245"/>
      <c r="O441" s="183"/>
      <c r="P441" s="245"/>
      <c r="Q441" s="185"/>
      <c r="R441" s="245"/>
      <c r="S441" s="185"/>
      <c r="T441" s="245"/>
      <c r="U441" s="185"/>
      <c r="V441" s="245"/>
      <c r="W441" s="185"/>
      <c r="X441" s="245"/>
      <c r="Y441" s="185"/>
      <c r="Z441" s="245"/>
      <c r="AA441" s="185"/>
      <c r="AB441" s="245"/>
      <c r="AC441" s="185"/>
      <c r="AD441" s="245"/>
      <c r="AE441" s="185"/>
      <c r="AF441" s="245"/>
      <c r="AG441" s="185"/>
      <c r="AH441" s="245"/>
      <c r="AI441" s="185"/>
      <c r="AJ441" s="245"/>
      <c r="AK441" s="185"/>
      <c r="AL441" s="245"/>
      <c r="AM441" s="185"/>
      <c r="AN441" s="245"/>
      <c r="AO441" s="185"/>
      <c r="AP441" s="245"/>
      <c r="AQ441" s="185"/>
      <c r="AR441" s="245"/>
      <c r="AS441" s="185"/>
      <c r="AT441" s="245"/>
      <c r="AU441" s="185"/>
      <c r="AV441" s="245"/>
      <c r="AW441" s="185"/>
      <c r="AX441" s="61"/>
      <c r="AY441" s="185"/>
      <c r="AZ441" s="61"/>
      <c r="BA441" s="185"/>
      <c r="BB441" s="61"/>
      <c r="BC441" s="185"/>
      <c r="BD441" s="61"/>
      <c r="BE441" s="185"/>
      <c r="BF441" s="61"/>
      <c r="BG441" s="186"/>
      <c r="BH441" s="61"/>
      <c r="BI441" s="186"/>
      <c r="BJ441" s="61"/>
      <c r="BK441" s="186"/>
      <c r="BL441" s="61"/>
      <c r="BM441" s="186"/>
      <c r="BN441" s="61"/>
      <c r="BO441" s="185"/>
      <c r="BP441" s="61"/>
      <c r="BQ441" s="185"/>
      <c r="BR441" s="61"/>
      <c r="BS441" s="185"/>
      <c r="BT441" s="61"/>
      <c r="BU441" s="185"/>
      <c r="BV441" s="61"/>
      <c r="BW441" s="238"/>
      <c r="BX441" s="61"/>
      <c r="BY441" s="238"/>
      <c r="BZ441" s="61"/>
      <c r="CA441" s="238"/>
      <c r="CB441" s="61"/>
      <c r="CC441" s="238"/>
      <c r="CD441" s="61"/>
      <c r="CE441" s="238"/>
      <c r="CF441" s="61"/>
      <c r="CG441" s="238"/>
      <c r="CH441" s="61"/>
      <c r="CI441" s="238"/>
      <c r="CJ441" s="61"/>
      <c r="CK441" s="238"/>
      <c r="CL441" s="61"/>
      <c r="CM441" s="238"/>
      <c r="CN441" s="61"/>
      <c r="CO441" s="238"/>
      <c r="CP441" s="61"/>
      <c r="CQ441" s="238"/>
      <c r="CR441" s="61"/>
      <c r="CS441" s="238"/>
      <c r="CT441" s="61"/>
      <c r="CU441" s="238"/>
      <c r="CV441" s="61"/>
      <c r="CW441" s="238"/>
      <c r="CX441" s="61"/>
      <c r="CY441" s="238"/>
      <c r="CZ441" s="61"/>
      <c r="DA441" s="238"/>
      <c r="DB441" s="61"/>
      <c r="DC441" s="238"/>
      <c r="DD441" s="61"/>
      <c r="DE441" s="238"/>
      <c r="DF441" s="61"/>
      <c r="DG441" s="238"/>
      <c r="DH441" s="61"/>
      <c r="DI441" s="238"/>
      <c r="DJ441" s="61"/>
      <c r="DK441" s="238"/>
      <c r="DL441" s="61"/>
      <c r="DM441" s="238"/>
      <c r="DN441" s="61"/>
      <c r="DO441" s="238"/>
      <c r="DP441" s="61"/>
      <c r="DQ441" s="238"/>
      <c r="DR441" s="61"/>
      <c r="DS441" s="238"/>
      <c r="DT441" s="61"/>
      <c r="DU441" s="238"/>
      <c r="DV441" s="61"/>
      <c r="DW441" s="238"/>
      <c r="DX441" s="238"/>
      <c r="DY441" s="238"/>
      <c r="DZ441" s="61"/>
      <c r="EA441" s="238"/>
      <c r="EB441" s="61"/>
      <c r="EC441" s="238"/>
      <c r="ED441" s="61"/>
      <c r="EE441" s="238"/>
      <c r="EF441" s="61"/>
      <c r="EG441" s="238"/>
      <c r="EH441" s="61"/>
      <c r="EI441" s="238"/>
      <c r="EJ441" s="61"/>
      <c r="EK441" s="238"/>
      <c r="EL441" s="61"/>
      <c r="EM441" s="238"/>
      <c r="EN441" s="61"/>
      <c r="EO441" s="238"/>
      <c r="EP441" s="61"/>
      <c r="EQ441" s="238"/>
      <c r="ER441" s="61"/>
      <c r="ES441" s="238"/>
      <c r="ET441" s="61"/>
      <c r="EU441" s="238"/>
      <c r="EV441" s="61"/>
      <c r="EW441" s="238"/>
      <c r="EX441" s="61"/>
      <c r="EY441" s="237"/>
      <c r="EZ441" s="558"/>
      <c r="FA441" s="237"/>
      <c r="FB441" s="183"/>
      <c r="FC441" s="245"/>
      <c r="FD441" s="183"/>
      <c r="FE441" s="245"/>
      <c r="FF441" s="183"/>
      <c r="FG441" s="245"/>
      <c r="FH441" s="183"/>
      <c r="FI441" s="245"/>
      <c r="FJ441" s="183"/>
      <c r="FK441" s="245"/>
      <c r="FL441" s="183"/>
      <c r="FM441" s="245"/>
      <c r="FN441" s="183"/>
      <c r="FO441" s="245"/>
      <c r="FP441" s="240"/>
      <c r="FQ441" s="61"/>
      <c r="FR441" s="240"/>
      <c r="FS441" s="61"/>
      <c r="FT441" s="240"/>
      <c r="FU441" s="61"/>
      <c r="FV441" s="240"/>
      <c r="FW441" s="61"/>
      <c r="FX441" s="240"/>
      <c r="FY441" s="61"/>
      <c r="FZ441" s="240"/>
      <c r="GA441" s="61"/>
      <c r="GB441" s="240"/>
      <c r="GC441" s="61"/>
      <c r="GD441" s="240"/>
      <c r="GE441" s="61"/>
      <c r="GF441" s="240"/>
      <c r="GG441" s="61"/>
      <c r="GH441" s="240"/>
      <c r="GI441" s="61"/>
      <c r="GJ441" s="240"/>
      <c r="GK441" s="61"/>
      <c r="GL441" s="240"/>
      <c r="GM441" s="61"/>
      <c r="GN441" s="240"/>
      <c r="GO441" s="61"/>
      <c r="GP441" s="240"/>
      <c r="GQ441" s="61"/>
      <c r="GR441" s="238"/>
      <c r="GS441" s="61"/>
      <c r="GT441" s="238"/>
      <c r="GU441" s="61"/>
      <c r="GV441" s="238"/>
      <c r="GW441" s="61"/>
      <c r="GX441" s="238"/>
      <c r="GY441" s="61"/>
      <c r="GZ441" s="61"/>
      <c r="HA441" s="61"/>
      <c r="HB441" s="452"/>
      <c r="HC441"/>
      <c r="HD441"/>
      <c r="HE441"/>
      <c r="HF441"/>
      <c r="HG441"/>
      <c r="HH441"/>
    </row>
    <row r="442" spans="2:216" s="244" customFormat="1" ht="12.75" hidden="1" customHeight="1" outlineLevel="1" x14ac:dyDescent="0.2">
      <c r="B442" s="235" t="s">
        <v>82</v>
      </c>
      <c r="C442" s="189"/>
      <c r="D442" s="184"/>
      <c r="E442" s="189"/>
      <c r="F442" s="184"/>
      <c r="G442" s="202"/>
      <c r="H442" s="184"/>
      <c r="I442" s="202"/>
      <c r="J442" s="184"/>
      <c r="K442" s="202"/>
      <c r="L442" s="184"/>
      <c r="M442" s="189"/>
      <c r="N442" s="184"/>
      <c r="O442" s="189"/>
      <c r="P442" s="184"/>
      <c r="Q442" s="202"/>
      <c r="R442" s="184"/>
      <c r="S442" s="202"/>
      <c r="T442" s="184"/>
      <c r="U442" s="202"/>
      <c r="V442" s="184"/>
      <c r="W442" s="189"/>
      <c r="X442" s="184"/>
      <c r="Y442" s="202"/>
      <c r="Z442" s="184"/>
      <c r="AA442" s="202"/>
      <c r="AB442" s="184"/>
      <c r="AC442" s="202"/>
      <c r="AD442" s="184"/>
      <c r="AE442" s="189"/>
      <c r="AF442" s="184"/>
      <c r="AG442" s="202"/>
      <c r="AH442" s="184"/>
      <c r="AI442" s="202"/>
      <c r="AJ442" s="184"/>
      <c r="AK442" s="202"/>
      <c r="AL442" s="184"/>
      <c r="AM442" s="189"/>
      <c r="AN442" s="184"/>
      <c r="AO442" s="189"/>
      <c r="AP442" s="184"/>
      <c r="AQ442" s="189"/>
      <c r="AR442" s="184"/>
      <c r="AS442" s="189"/>
      <c r="AT442" s="184"/>
      <c r="AU442" s="189"/>
      <c r="AV442" s="61"/>
      <c r="AW442" s="189"/>
      <c r="AX442" s="61"/>
      <c r="AY442" s="202"/>
      <c r="AZ442" s="61"/>
      <c r="BA442" s="202">
        <v>7.6</v>
      </c>
      <c r="BB442" s="61" t="str">
        <f>IF(ISERROR((BA442/AS442-1)*100),"NA",IF(((BA442/AS442-1)*100)&gt;100,"NM",IF(((BA442/AS442-1)*100)&lt;-50,"NM",(BA442/AS442-1)*100)))</f>
        <v>NA</v>
      </c>
      <c r="BC442" s="202">
        <v>10.3</v>
      </c>
      <c r="BD442" s="61" t="str">
        <f>IF(ISERROR((BC442/AU442-1)*100),"NA",IF(((BC442/AU442-1)*100)&gt;100,"NM",IF(((BC442/AU442-1)*100)&lt;-50,"NM",(BC442/AU442-1)*100)))</f>
        <v>NA</v>
      </c>
      <c r="BE442" s="202">
        <v>15.2</v>
      </c>
      <c r="BF442" s="61" t="str">
        <f>IF(ISERROR((BE442/AW442-1)*100),"NA",IF(((BE442/AW442-1)*100)&gt;100,"NM",IF(((BE442/AW442-1)*100)&lt;-50,"NM",(BE442/AW442-1)*100)))</f>
        <v>NA</v>
      </c>
      <c r="BG442" s="203"/>
      <c r="BH442" s="61"/>
      <c r="BI442" s="203"/>
      <c r="BJ442" s="61"/>
      <c r="BK442" s="203"/>
      <c r="BL442" s="61"/>
      <c r="BM442" s="203"/>
      <c r="BN442" s="61"/>
      <c r="BO442" s="202"/>
      <c r="BP442" s="61"/>
      <c r="BQ442" s="202"/>
      <c r="BR442" s="61"/>
      <c r="BS442" s="202"/>
      <c r="BT442" s="61"/>
      <c r="BU442" s="202"/>
      <c r="BV442" s="61"/>
      <c r="BW442" s="240"/>
      <c r="BX442" s="61"/>
      <c r="BY442" s="240"/>
      <c r="BZ442" s="61"/>
      <c r="CA442" s="240"/>
      <c r="CB442" s="61"/>
      <c r="CC442" s="240"/>
      <c r="CD442" s="61"/>
      <c r="CE442" s="240"/>
      <c r="CF442" s="61"/>
      <c r="CG442" s="240"/>
      <c r="CH442" s="61"/>
      <c r="CI442" s="240"/>
      <c r="CJ442" s="61"/>
      <c r="CK442" s="240"/>
      <c r="CL442" s="61"/>
      <c r="CM442" s="240"/>
      <c r="CN442" s="61"/>
      <c r="CO442" s="240"/>
      <c r="CP442" s="61"/>
      <c r="CQ442" s="240"/>
      <c r="CR442" s="61"/>
      <c r="CS442" s="240"/>
      <c r="CT442" s="61"/>
      <c r="CU442" s="240"/>
      <c r="CV442" s="61"/>
      <c r="CW442" s="240"/>
      <c r="CX442" s="61"/>
      <c r="CY442" s="240"/>
      <c r="CZ442" s="61"/>
      <c r="DA442" s="240"/>
      <c r="DB442" s="61"/>
      <c r="DC442" s="240"/>
      <c r="DD442" s="61"/>
      <c r="DE442" s="240"/>
      <c r="DF442" s="61"/>
      <c r="DG442" s="240"/>
      <c r="DH442" s="61"/>
      <c r="DI442" s="240"/>
      <c r="DJ442" s="61"/>
      <c r="DK442" s="240"/>
      <c r="DL442" s="61"/>
      <c r="DM442" s="240"/>
      <c r="DN442" s="61"/>
      <c r="DO442" s="240"/>
      <c r="DP442" s="61"/>
      <c r="DQ442" s="240"/>
      <c r="DR442" s="61"/>
      <c r="DS442" s="240"/>
      <c r="DT442" s="61"/>
      <c r="DU442" s="240"/>
      <c r="DV442" s="61"/>
      <c r="DW442" s="240"/>
      <c r="DX442" s="240"/>
      <c r="DY442" s="240"/>
      <c r="DZ442" s="61"/>
      <c r="EA442" s="240"/>
      <c r="EB442" s="61"/>
      <c r="EC442" s="240"/>
      <c r="ED442" s="61"/>
      <c r="EE442" s="240"/>
      <c r="EF442" s="61"/>
      <c r="EG442" s="240"/>
      <c r="EH442" s="61"/>
      <c r="EI442" s="240"/>
      <c r="EJ442" s="61"/>
      <c r="EK442" s="240"/>
      <c r="EL442" s="61"/>
      <c r="EM442" s="240"/>
      <c r="EN442" s="61"/>
      <c r="EO442" s="240"/>
      <c r="EP442" s="61"/>
      <c r="EQ442" s="240"/>
      <c r="ER442" s="61"/>
      <c r="ES442" s="240"/>
      <c r="ET442" s="61"/>
      <c r="EU442" s="240"/>
      <c r="EV442" s="61"/>
      <c r="EW442" s="240"/>
      <c r="EX442" s="61"/>
      <c r="EY442" s="126"/>
      <c r="EZ442" s="558"/>
      <c r="FA442" s="126"/>
      <c r="FB442" s="183"/>
      <c r="FC442" s="217"/>
      <c r="FD442" s="183"/>
      <c r="FE442" s="217"/>
      <c r="FF442" s="183"/>
      <c r="FG442" s="217"/>
      <c r="FH442" s="183"/>
      <c r="FI442" s="217"/>
      <c r="FJ442" s="183"/>
      <c r="FK442" s="217"/>
      <c r="FL442" s="183"/>
      <c r="FM442" s="217"/>
      <c r="FN442" s="183"/>
      <c r="FO442" s="217"/>
      <c r="FP442" s="240"/>
      <c r="FQ442" s="61"/>
      <c r="FR442" s="240">
        <f>AY442+BA442+BC442+BE442</f>
        <v>33.099999999999994</v>
      </c>
      <c r="FS442" s="61"/>
      <c r="FT442" s="240"/>
      <c r="FU442" s="61"/>
      <c r="FV442" s="240"/>
      <c r="FW442" s="61"/>
      <c r="FX442" s="240"/>
      <c r="FY442" s="61"/>
      <c r="FZ442" s="240"/>
      <c r="GA442" s="61"/>
      <c r="GB442" s="240"/>
      <c r="GC442" s="61"/>
      <c r="GD442" s="240"/>
      <c r="GE442" s="61"/>
      <c r="GF442" s="240"/>
      <c r="GG442" s="61"/>
      <c r="GH442" s="240"/>
      <c r="GI442" s="61"/>
      <c r="GJ442" s="240"/>
      <c r="GK442" s="61"/>
      <c r="GL442" s="240"/>
      <c r="GM442" s="61"/>
      <c r="GN442" s="240"/>
      <c r="GO442" s="61"/>
      <c r="GP442" s="240"/>
      <c r="GQ442" s="61"/>
      <c r="GR442" s="240"/>
      <c r="GS442" s="61"/>
      <c r="GT442" s="240"/>
      <c r="GU442" s="61"/>
      <c r="GV442" s="240"/>
      <c r="GW442" s="61"/>
      <c r="GX442" s="240"/>
      <c r="GY442" s="61"/>
      <c r="GZ442" s="61"/>
      <c r="HA442" s="61"/>
      <c r="HB442" s="452"/>
      <c r="HC442"/>
      <c r="HD442"/>
      <c r="HE442"/>
      <c r="HF442"/>
      <c r="HG442"/>
      <c r="HH442"/>
    </row>
    <row r="443" spans="2:216" s="244" customFormat="1" ht="12.75" hidden="1" customHeight="1" outlineLevel="1" x14ac:dyDescent="0.2">
      <c r="B443" s="235" t="s">
        <v>91</v>
      </c>
      <c r="C443" s="189"/>
      <c r="D443" s="184"/>
      <c r="E443" s="189"/>
      <c r="F443" s="184"/>
      <c r="G443" s="202"/>
      <c r="H443" s="184"/>
      <c r="I443" s="202"/>
      <c r="J443" s="184"/>
      <c r="K443" s="202"/>
      <c r="L443" s="184"/>
      <c r="M443" s="189"/>
      <c r="N443" s="184"/>
      <c r="O443" s="189"/>
      <c r="P443" s="184"/>
      <c r="Q443" s="202"/>
      <c r="R443" s="184"/>
      <c r="S443" s="202"/>
      <c r="T443" s="184"/>
      <c r="U443" s="202"/>
      <c r="V443" s="184"/>
      <c r="W443" s="189"/>
      <c r="X443" s="184"/>
      <c r="Y443" s="202"/>
      <c r="Z443" s="184"/>
      <c r="AA443" s="202"/>
      <c r="AB443" s="184"/>
      <c r="AC443" s="202"/>
      <c r="AD443" s="184"/>
      <c r="AE443" s="189"/>
      <c r="AF443" s="184"/>
      <c r="AG443" s="202"/>
      <c r="AH443" s="184"/>
      <c r="AI443" s="202"/>
      <c r="AJ443" s="184"/>
      <c r="AK443" s="202"/>
      <c r="AL443" s="184"/>
      <c r="AM443" s="189"/>
      <c r="AN443" s="184"/>
      <c r="AO443" s="189"/>
      <c r="AP443" s="184"/>
      <c r="AQ443" s="189"/>
      <c r="AR443" s="184"/>
      <c r="AS443" s="189"/>
      <c r="AT443" s="184"/>
      <c r="AU443" s="189"/>
      <c r="AV443" s="61"/>
      <c r="AW443" s="189"/>
      <c r="AX443" s="61"/>
      <c r="AY443" s="202"/>
      <c r="AZ443" s="61"/>
      <c r="BA443" s="202">
        <v>6</v>
      </c>
      <c r="BB443" s="61" t="str">
        <f>IF(ISERROR((BA443/AS443-1)*100),"NA",IF(((BA443/AS443-1)*100)&gt;100,"NM",IF(((BA443/AS443-1)*100)&lt;-50,"NM",(BA443/AS443-1)*100)))</f>
        <v>NA</v>
      </c>
      <c r="BC443" s="202">
        <v>2.7</v>
      </c>
      <c r="BD443" s="61" t="str">
        <f>IF(ISERROR((BC443/AU443-1)*100),"NA",IF(((BC443/AU443-1)*100)&gt;100,"NM",IF(((BC443/AU443-1)*100)&lt;-50,"NM",(BC443/AU443-1)*100)))</f>
        <v>NA</v>
      </c>
      <c r="BE443" s="202">
        <v>2.6</v>
      </c>
      <c r="BF443" s="61" t="str">
        <f>IF(ISERROR((BE443/AW443-1)*100),"NA",IF(((BE443/AW443-1)*100)&gt;100,"NM",IF(((BE443/AW443-1)*100)&lt;-50,"NM",(BE443/AW443-1)*100)))</f>
        <v>NA</v>
      </c>
      <c r="BG443" s="203"/>
      <c r="BH443" s="61"/>
      <c r="BI443" s="203"/>
      <c r="BJ443" s="61"/>
      <c r="BK443" s="203"/>
      <c r="BL443" s="61"/>
      <c r="BM443" s="203"/>
      <c r="BN443" s="61"/>
      <c r="BO443" s="202"/>
      <c r="BP443" s="61"/>
      <c r="BQ443" s="202"/>
      <c r="BR443" s="61"/>
      <c r="BS443" s="202"/>
      <c r="BT443" s="61"/>
      <c r="BU443" s="202"/>
      <c r="BV443" s="61"/>
      <c r="BW443" s="240"/>
      <c r="BX443" s="61"/>
      <c r="BY443" s="240"/>
      <c r="BZ443" s="61"/>
      <c r="CA443" s="240"/>
      <c r="CB443" s="61"/>
      <c r="CC443" s="240"/>
      <c r="CD443" s="61"/>
      <c r="CE443" s="240"/>
      <c r="CF443" s="61"/>
      <c r="CG443" s="240"/>
      <c r="CH443" s="61"/>
      <c r="CI443" s="240"/>
      <c r="CJ443" s="61"/>
      <c r="CK443" s="240"/>
      <c r="CL443" s="61"/>
      <c r="CM443" s="240"/>
      <c r="CN443" s="61"/>
      <c r="CO443" s="240"/>
      <c r="CP443" s="61"/>
      <c r="CQ443" s="240"/>
      <c r="CR443" s="61"/>
      <c r="CS443" s="240"/>
      <c r="CT443" s="61"/>
      <c r="CU443" s="240"/>
      <c r="CV443" s="61"/>
      <c r="CW443" s="240"/>
      <c r="CX443" s="61"/>
      <c r="CY443" s="240"/>
      <c r="CZ443" s="61"/>
      <c r="DA443" s="240"/>
      <c r="DB443" s="61"/>
      <c r="DC443" s="240"/>
      <c r="DD443" s="61"/>
      <c r="DE443" s="240"/>
      <c r="DF443" s="61"/>
      <c r="DG443" s="240"/>
      <c r="DH443" s="61"/>
      <c r="DI443" s="240"/>
      <c r="DJ443" s="61"/>
      <c r="DK443" s="240"/>
      <c r="DL443" s="61"/>
      <c r="DM443" s="240"/>
      <c r="DN443" s="61"/>
      <c r="DO443" s="240"/>
      <c r="DP443" s="61"/>
      <c r="DQ443" s="240"/>
      <c r="DR443" s="61"/>
      <c r="DS443" s="240"/>
      <c r="DT443" s="61"/>
      <c r="DU443" s="240"/>
      <c r="DV443" s="61"/>
      <c r="DW443" s="240"/>
      <c r="DX443" s="240"/>
      <c r="DY443" s="240"/>
      <c r="DZ443" s="61"/>
      <c r="EA443" s="240"/>
      <c r="EB443" s="61"/>
      <c r="EC443" s="240"/>
      <c r="ED443" s="61"/>
      <c r="EE443" s="240"/>
      <c r="EF443" s="61"/>
      <c r="EG443" s="240"/>
      <c r="EH443" s="61"/>
      <c r="EI443" s="240"/>
      <c r="EJ443" s="61"/>
      <c r="EK443" s="240"/>
      <c r="EL443" s="61"/>
      <c r="EM443" s="240"/>
      <c r="EN443" s="61"/>
      <c r="EO443" s="240"/>
      <c r="EP443" s="61"/>
      <c r="EQ443" s="240"/>
      <c r="ER443" s="61"/>
      <c r="ES443" s="240"/>
      <c r="ET443" s="61"/>
      <c r="EU443" s="240"/>
      <c r="EV443" s="61"/>
      <c r="EW443" s="240"/>
      <c r="EX443" s="61"/>
      <c r="EY443" s="126"/>
      <c r="EZ443" s="558"/>
      <c r="FA443" s="126"/>
      <c r="FB443" s="183"/>
      <c r="FC443" s="217"/>
      <c r="FD443" s="183"/>
      <c r="FE443" s="217"/>
      <c r="FF443" s="183"/>
      <c r="FG443" s="217"/>
      <c r="FH443" s="183"/>
      <c r="FI443" s="217"/>
      <c r="FJ443" s="183"/>
      <c r="FK443" s="217"/>
      <c r="FL443" s="183"/>
      <c r="FM443" s="217"/>
      <c r="FN443" s="183"/>
      <c r="FO443" s="217"/>
      <c r="FP443" s="240"/>
      <c r="FQ443" s="61"/>
      <c r="FR443" s="240">
        <f>AY443+BA443+BC443+BE443</f>
        <v>11.299999999999999</v>
      </c>
      <c r="FS443" s="61"/>
      <c r="FT443" s="240"/>
      <c r="FU443" s="61"/>
      <c r="FV443" s="240"/>
      <c r="FW443" s="61"/>
      <c r="FX443" s="240"/>
      <c r="FY443" s="61"/>
      <c r="FZ443" s="240"/>
      <c r="GA443" s="61"/>
      <c r="GB443" s="240"/>
      <c r="GC443" s="61"/>
      <c r="GD443" s="240"/>
      <c r="GE443" s="61"/>
      <c r="GF443" s="240"/>
      <c r="GG443" s="61"/>
      <c r="GH443" s="240"/>
      <c r="GI443" s="61"/>
      <c r="GJ443" s="240"/>
      <c r="GK443" s="61"/>
      <c r="GL443" s="240"/>
      <c r="GM443" s="61"/>
      <c r="GN443" s="240"/>
      <c r="GO443" s="61"/>
      <c r="GP443" s="240"/>
      <c r="GQ443" s="61"/>
      <c r="GR443" s="240"/>
      <c r="GS443" s="61"/>
      <c r="GT443" s="240"/>
      <c r="GU443" s="61"/>
      <c r="GV443" s="240"/>
      <c r="GW443" s="61"/>
      <c r="GX443" s="240"/>
      <c r="GY443" s="61"/>
      <c r="GZ443" s="61"/>
      <c r="HA443" s="61"/>
      <c r="HB443" s="452"/>
      <c r="HC443"/>
      <c r="HD443"/>
      <c r="HE443"/>
      <c r="HF443"/>
      <c r="HG443"/>
      <c r="HH443"/>
    </row>
    <row r="444" spans="2:216" s="244" customFormat="1" ht="12.75" hidden="1" customHeight="1" outlineLevel="1" x14ac:dyDescent="0.2">
      <c r="B444" s="235" t="s">
        <v>81</v>
      </c>
      <c r="C444" s="189"/>
      <c r="D444" s="184"/>
      <c r="E444" s="189"/>
      <c r="F444" s="184"/>
      <c r="G444" s="202"/>
      <c r="H444" s="184"/>
      <c r="I444" s="202"/>
      <c r="J444" s="184"/>
      <c r="K444" s="202"/>
      <c r="L444" s="184"/>
      <c r="M444" s="189"/>
      <c r="N444" s="184"/>
      <c r="O444" s="189"/>
      <c r="P444" s="184"/>
      <c r="Q444" s="202"/>
      <c r="R444" s="184"/>
      <c r="S444" s="202"/>
      <c r="T444" s="184"/>
      <c r="U444" s="202"/>
      <c r="V444" s="184"/>
      <c r="W444" s="189"/>
      <c r="X444" s="184"/>
      <c r="Y444" s="202"/>
      <c r="Z444" s="184"/>
      <c r="AA444" s="202"/>
      <c r="AB444" s="184"/>
      <c r="AC444" s="202"/>
      <c r="AD444" s="184"/>
      <c r="AE444" s="189"/>
      <c r="AF444" s="184"/>
      <c r="AG444" s="202"/>
      <c r="AH444" s="184"/>
      <c r="AI444" s="202"/>
      <c r="AJ444" s="184"/>
      <c r="AK444" s="202"/>
      <c r="AL444" s="184"/>
      <c r="AM444" s="189"/>
      <c r="AN444" s="184"/>
      <c r="AO444" s="189"/>
      <c r="AP444" s="184"/>
      <c r="AQ444" s="189"/>
      <c r="AR444" s="184"/>
      <c r="AS444" s="189"/>
      <c r="AT444" s="184"/>
      <c r="AU444" s="189"/>
      <c r="AV444" s="61"/>
      <c r="AW444" s="189"/>
      <c r="AX444" s="61"/>
      <c r="AY444" s="202"/>
      <c r="AZ444" s="61"/>
      <c r="BA444" s="202">
        <f>22.2+1.8</f>
        <v>24</v>
      </c>
      <c r="BB444" s="61" t="str">
        <f>IF(ISERROR((BA444/AS444-1)*100),"NA",IF(((BA444/AS444-1)*100)&gt;100,"NM",IF(((BA444/AS444-1)*100)&lt;-50,"NM",(BA444/AS444-1)*100)))</f>
        <v>NA</v>
      </c>
      <c r="BC444" s="202">
        <f>21+1.4+1.5</f>
        <v>23.9</v>
      </c>
      <c r="BD444" s="61" t="str">
        <f>IF(ISERROR((BC444/AU444-1)*100),"NA",IF(((BC444/AU444-1)*100)&gt;100,"NM",IF(((BC444/AU444-1)*100)&lt;-50,"NM",(BC444/AU444-1)*100)))</f>
        <v>NA</v>
      </c>
      <c r="BE444" s="202">
        <f>21.7+1.2+1.8</f>
        <v>24.7</v>
      </c>
      <c r="BF444" s="61" t="str">
        <f>IF(ISERROR((BE444/AW444-1)*100),"NA",IF(((BE444/AW444-1)*100)&gt;100,"NM",IF(((BE444/AW444-1)*100)&lt;-50,"NM",(BE444/AW444-1)*100)))</f>
        <v>NA</v>
      </c>
      <c r="BG444" s="203"/>
      <c r="BH444" s="61"/>
      <c r="BI444" s="203"/>
      <c r="BJ444" s="61"/>
      <c r="BK444" s="203"/>
      <c r="BL444" s="61"/>
      <c r="BM444" s="203"/>
      <c r="BN444" s="61"/>
      <c r="BO444" s="202"/>
      <c r="BP444" s="61"/>
      <c r="BQ444" s="202"/>
      <c r="BR444" s="61"/>
      <c r="BS444" s="202"/>
      <c r="BT444" s="61"/>
      <c r="BU444" s="202"/>
      <c r="BV444" s="61"/>
      <c r="BW444" s="238"/>
      <c r="BX444" s="61"/>
      <c r="BY444" s="238"/>
      <c r="BZ444" s="61"/>
      <c r="CA444" s="238"/>
      <c r="CB444" s="61"/>
      <c r="CC444" s="238"/>
      <c r="CD444" s="61"/>
      <c r="CE444" s="238"/>
      <c r="CF444" s="61"/>
      <c r="CG444" s="238"/>
      <c r="CH444" s="61"/>
      <c r="CI444" s="238"/>
      <c r="CJ444" s="61"/>
      <c r="CK444" s="238"/>
      <c r="CL444" s="61"/>
      <c r="CM444" s="238"/>
      <c r="CN444" s="61"/>
      <c r="CO444" s="238"/>
      <c r="CP444" s="61"/>
      <c r="CQ444" s="238"/>
      <c r="CR444" s="61"/>
      <c r="CS444" s="238"/>
      <c r="CT444" s="61"/>
      <c r="CU444" s="238"/>
      <c r="CV444" s="61"/>
      <c r="CW444" s="238"/>
      <c r="CX444" s="61"/>
      <c r="CY444" s="238"/>
      <c r="CZ444" s="61"/>
      <c r="DA444" s="238"/>
      <c r="DB444" s="61"/>
      <c r="DC444" s="238"/>
      <c r="DD444" s="61"/>
      <c r="DE444" s="238"/>
      <c r="DF444" s="61"/>
      <c r="DG444" s="238"/>
      <c r="DH444" s="61"/>
      <c r="DI444" s="238"/>
      <c r="DJ444" s="61"/>
      <c r="DK444" s="238"/>
      <c r="DL444" s="61"/>
      <c r="DM444" s="238"/>
      <c r="DN444" s="61"/>
      <c r="DO444" s="238"/>
      <c r="DP444" s="61"/>
      <c r="DQ444" s="238"/>
      <c r="DR444" s="61"/>
      <c r="DS444" s="238"/>
      <c r="DT444" s="61"/>
      <c r="DU444" s="238"/>
      <c r="DV444" s="61"/>
      <c r="DW444" s="238"/>
      <c r="DX444" s="238"/>
      <c r="DY444" s="238"/>
      <c r="DZ444" s="61"/>
      <c r="EA444" s="238"/>
      <c r="EB444" s="61"/>
      <c r="EC444" s="238"/>
      <c r="ED444" s="61"/>
      <c r="EE444" s="238"/>
      <c r="EF444" s="61"/>
      <c r="EG444" s="238"/>
      <c r="EH444" s="61"/>
      <c r="EI444" s="238"/>
      <c r="EJ444" s="61"/>
      <c r="EK444" s="238"/>
      <c r="EL444" s="61"/>
      <c r="EM444" s="238"/>
      <c r="EN444" s="61"/>
      <c r="EO444" s="238"/>
      <c r="EP444" s="61"/>
      <c r="EQ444" s="238"/>
      <c r="ER444" s="61"/>
      <c r="ES444" s="238"/>
      <c r="ET444" s="61"/>
      <c r="EU444" s="238"/>
      <c r="EV444" s="61"/>
      <c r="EW444" s="238"/>
      <c r="EX444" s="61"/>
      <c r="EY444" s="126"/>
      <c r="EZ444" s="558"/>
      <c r="FA444" s="126"/>
      <c r="FB444" s="183"/>
      <c r="FC444" s="217"/>
      <c r="FD444" s="183"/>
      <c r="FE444" s="217"/>
      <c r="FF444" s="183"/>
      <c r="FG444" s="217"/>
      <c r="FH444" s="183"/>
      <c r="FI444" s="217"/>
      <c r="FJ444" s="183"/>
      <c r="FK444" s="217"/>
      <c r="FL444" s="183"/>
      <c r="FM444" s="217"/>
      <c r="FN444" s="183"/>
      <c r="FO444" s="217"/>
      <c r="FP444" s="240"/>
      <c r="FQ444" s="61"/>
      <c r="FR444" s="240">
        <f>AY444+BA444+BC444+BE444</f>
        <v>72.599999999999994</v>
      </c>
      <c r="FS444" s="61"/>
      <c r="FT444" s="240"/>
      <c r="FU444" s="61"/>
      <c r="FV444" s="240"/>
      <c r="FW444" s="61"/>
      <c r="FX444" s="240"/>
      <c r="FY444" s="61"/>
      <c r="FZ444" s="240"/>
      <c r="GA444" s="61"/>
      <c r="GB444" s="240"/>
      <c r="GC444" s="61"/>
      <c r="GD444" s="240"/>
      <c r="GE444" s="61"/>
      <c r="GF444" s="240"/>
      <c r="GG444" s="61"/>
      <c r="GH444" s="240"/>
      <c r="GI444" s="61"/>
      <c r="GJ444" s="240"/>
      <c r="GK444" s="61"/>
      <c r="GL444" s="240"/>
      <c r="GM444" s="61"/>
      <c r="GN444" s="240"/>
      <c r="GO444" s="61"/>
      <c r="GP444" s="240"/>
      <c r="GQ444" s="61"/>
      <c r="GR444" s="238"/>
      <c r="GS444" s="61"/>
      <c r="GT444" s="238"/>
      <c r="GU444" s="61"/>
      <c r="GV444" s="238"/>
      <c r="GW444" s="61"/>
      <c r="GX444" s="238"/>
      <c r="GY444" s="61"/>
      <c r="GZ444" s="61"/>
      <c r="HA444" s="61"/>
      <c r="HB444" s="452"/>
      <c r="HC444"/>
      <c r="HD444"/>
      <c r="HE444"/>
      <c r="HF444"/>
      <c r="HG444"/>
      <c r="HH444"/>
    </row>
    <row r="445" spans="2:216" s="244" customFormat="1" ht="12.75" hidden="1" customHeight="1" outlineLevel="1" x14ac:dyDescent="0.2">
      <c r="B445" s="235" t="s">
        <v>92</v>
      </c>
      <c r="C445" s="189"/>
      <c r="D445" s="184"/>
      <c r="E445" s="189"/>
      <c r="F445" s="184"/>
      <c r="G445" s="202"/>
      <c r="H445" s="184"/>
      <c r="I445" s="202"/>
      <c r="J445" s="184"/>
      <c r="K445" s="202"/>
      <c r="L445" s="184"/>
      <c r="M445" s="189"/>
      <c r="N445" s="184"/>
      <c r="O445" s="189"/>
      <c r="P445" s="184"/>
      <c r="Q445" s="202"/>
      <c r="R445" s="184"/>
      <c r="S445" s="202"/>
      <c r="T445" s="184"/>
      <c r="U445" s="202"/>
      <c r="V445" s="184"/>
      <c r="W445" s="189"/>
      <c r="X445" s="184"/>
      <c r="Y445" s="202"/>
      <c r="Z445" s="184"/>
      <c r="AA445" s="202"/>
      <c r="AB445" s="184"/>
      <c r="AC445" s="203"/>
      <c r="AD445" s="184"/>
      <c r="AE445" s="189"/>
      <c r="AF445" s="184"/>
      <c r="AG445" s="202"/>
      <c r="AH445" s="184"/>
      <c r="AI445" s="202"/>
      <c r="AJ445" s="184"/>
      <c r="AK445" s="203"/>
      <c r="AL445" s="184"/>
      <c r="AM445" s="189"/>
      <c r="AN445" s="184"/>
      <c r="AO445" s="189"/>
      <c r="AP445" s="184"/>
      <c r="AQ445" s="189"/>
      <c r="AR445" s="184"/>
      <c r="AS445" s="189"/>
      <c r="AT445" s="184"/>
      <c r="AU445" s="189"/>
      <c r="AV445" s="61"/>
      <c r="AW445" s="189"/>
      <c r="AX445" s="61"/>
      <c r="AY445" s="202"/>
      <c r="AZ445" s="61"/>
      <c r="BA445" s="202">
        <v>0.3</v>
      </c>
      <c r="BB445" s="61" t="str">
        <f>IF(ISERROR((BA445/AS445-1)*100),"NA",IF(((BA445/AS445-1)*100)&gt;100,"NM",IF(((BA445/AS445-1)*100)&lt;-50,"NM",(BA445/AS445-1)*100)))</f>
        <v>NA</v>
      </c>
      <c r="BC445" s="202">
        <v>0.3</v>
      </c>
      <c r="BD445" s="61" t="str">
        <f>IF(ISERROR((BC445/AU445-1)*100),"NA",IF(((BC445/AU445-1)*100)&gt;100,"NM",IF(((BC445/AU445-1)*100)&lt;-50,"NM",(BC445/AU445-1)*100)))</f>
        <v>NA</v>
      </c>
      <c r="BE445" s="202">
        <v>0.3</v>
      </c>
      <c r="BF445" s="61" t="str">
        <f>IF(ISERROR((BE445/AW445-1)*100),"NA",IF(((BE445/AW445-1)*100)&gt;100,"NM",IF(((BE445/AW445-1)*100)&lt;-50,"NM",(BE445/AW445-1)*100)))</f>
        <v>NA</v>
      </c>
      <c r="BG445" s="203"/>
      <c r="BH445" s="61"/>
      <c r="BI445" s="203"/>
      <c r="BJ445" s="61"/>
      <c r="BK445" s="203"/>
      <c r="BL445" s="61"/>
      <c r="BM445" s="203"/>
      <c r="BN445" s="61"/>
      <c r="BO445" s="202"/>
      <c r="BP445" s="61"/>
      <c r="BQ445" s="202"/>
      <c r="BR445" s="61"/>
      <c r="BS445" s="202"/>
      <c r="BT445" s="61"/>
      <c r="BU445" s="202"/>
      <c r="BV445" s="61"/>
      <c r="BW445" s="238"/>
      <c r="BX445" s="61"/>
      <c r="BY445" s="238"/>
      <c r="BZ445" s="61"/>
      <c r="CA445" s="238"/>
      <c r="CB445" s="61"/>
      <c r="CC445" s="238"/>
      <c r="CD445" s="61"/>
      <c r="CE445" s="238"/>
      <c r="CF445" s="61"/>
      <c r="CG445" s="238"/>
      <c r="CH445" s="61"/>
      <c r="CI445" s="238"/>
      <c r="CJ445" s="61"/>
      <c r="CK445" s="238"/>
      <c r="CL445" s="61"/>
      <c r="CM445" s="238"/>
      <c r="CN445" s="61"/>
      <c r="CO445" s="238"/>
      <c r="CP445" s="61"/>
      <c r="CQ445" s="238"/>
      <c r="CR445" s="61"/>
      <c r="CS445" s="238"/>
      <c r="CT445" s="61"/>
      <c r="CU445" s="238"/>
      <c r="CV445" s="61"/>
      <c r="CW445" s="238"/>
      <c r="CX445" s="61"/>
      <c r="CY445" s="238"/>
      <c r="CZ445" s="61"/>
      <c r="DA445" s="238"/>
      <c r="DB445" s="61"/>
      <c r="DC445" s="238"/>
      <c r="DD445" s="61"/>
      <c r="DE445" s="238"/>
      <c r="DF445" s="61"/>
      <c r="DG445" s="238"/>
      <c r="DH445" s="61"/>
      <c r="DI445" s="238"/>
      <c r="DJ445" s="61"/>
      <c r="DK445" s="238"/>
      <c r="DL445" s="61"/>
      <c r="DM445" s="238"/>
      <c r="DN445" s="61"/>
      <c r="DO445" s="238"/>
      <c r="DP445" s="61"/>
      <c r="DQ445" s="238"/>
      <c r="DR445" s="61"/>
      <c r="DS445" s="238"/>
      <c r="DT445" s="61"/>
      <c r="DU445" s="238"/>
      <c r="DV445" s="61"/>
      <c r="DW445" s="238"/>
      <c r="DX445" s="238"/>
      <c r="DY445" s="238"/>
      <c r="DZ445" s="61"/>
      <c r="EA445" s="238"/>
      <c r="EB445" s="61"/>
      <c r="EC445" s="238"/>
      <c r="ED445" s="61"/>
      <c r="EE445" s="238"/>
      <c r="EF445" s="61"/>
      <c r="EG445" s="238"/>
      <c r="EH445" s="61"/>
      <c r="EI445" s="238"/>
      <c r="EJ445" s="61"/>
      <c r="EK445" s="238"/>
      <c r="EL445" s="61"/>
      <c r="EM445" s="238"/>
      <c r="EN445" s="61"/>
      <c r="EO445" s="238"/>
      <c r="EP445" s="61"/>
      <c r="EQ445" s="238"/>
      <c r="ER445" s="61"/>
      <c r="ES445" s="238"/>
      <c r="ET445" s="61"/>
      <c r="EU445" s="238"/>
      <c r="EV445" s="61"/>
      <c r="EW445" s="238"/>
      <c r="EX445" s="61"/>
      <c r="EY445" s="126"/>
      <c r="EZ445" s="558"/>
      <c r="FA445" s="126"/>
      <c r="FB445" s="183"/>
      <c r="FC445" s="217"/>
      <c r="FD445" s="183"/>
      <c r="FE445" s="217"/>
      <c r="FF445" s="183"/>
      <c r="FG445" s="217"/>
      <c r="FH445" s="183"/>
      <c r="FI445" s="217"/>
      <c r="FJ445" s="183"/>
      <c r="FK445" s="217"/>
      <c r="FL445" s="183"/>
      <c r="FM445" s="217"/>
      <c r="FN445" s="183"/>
      <c r="FO445" s="217"/>
      <c r="FP445" s="240"/>
      <c r="FQ445" s="61"/>
      <c r="FR445" s="240">
        <f>AY445+BA445+BC445+BE445</f>
        <v>0.89999999999999991</v>
      </c>
      <c r="FS445" s="61"/>
      <c r="FT445" s="240"/>
      <c r="FU445" s="61"/>
      <c r="FV445" s="240"/>
      <c r="FW445" s="61"/>
      <c r="FX445" s="240"/>
      <c r="FY445" s="61"/>
      <c r="FZ445" s="240"/>
      <c r="GA445" s="61"/>
      <c r="GB445" s="240"/>
      <c r="GC445" s="61"/>
      <c r="GD445" s="240"/>
      <c r="GE445" s="61"/>
      <c r="GF445" s="240"/>
      <c r="GG445" s="61"/>
      <c r="GH445" s="240"/>
      <c r="GI445" s="61"/>
      <c r="GJ445" s="240"/>
      <c r="GK445" s="61"/>
      <c r="GL445" s="240"/>
      <c r="GM445" s="61"/>
      <c r="GN445" s="240"/>
      <c r="GO445" s="61"/>
      <c r="GP445" s="240"/>
      <c r="GQ445" s="61"/>
      <c r="GR445" s="238"/>
      <c r="GS445" s="61"/>
      <c r="GT445" s="238"/>
      <c r="GU445" s="61"/>
      <c r="GV445" s="238"/>
      <c r="GW445" s="61"/>
      <c r="GX445" s="238"/>
      <c r="GY445" s="61"/>
      <c r="GZ445" s="61"/>
      <c r="HA445" s="61"/>
      <c r="HB445" s="452"/>
      <c r="HC445"/>
      <c r="HD445"/>
      <c r="HE445"/>
      <c r="HF445"/>
      <c r="HG445"/>
      <c r="HH445"/>
    </row>
    <row r="446" spans="2:216" s="3" customFormat="1" ht="12.75" hidden="1" customHeight="1" outlineLevel="1" x14ac:dyDescent="0.2">
      <c r="B446" s="235" t="s">
        <v>93</v>
      </c>
      <c r="C446" s="189">
        <v>38.592000000000006</v>
      </c>
      <c r="D446" s="184"/>
      <c r="E446" s="189">
        <v>34.091999999999999</v>
      </c>
      <c r="F446" s="184"/>
      <c r="G446" s="189">
        <v>32.563999999999993</v>
      </c>
      <c r="H446" s="184"/>
      <c r="I446" s="189">
        <v>36.970999999999997</v>
      </c>
      <c r="J446" s="184"/>
      <c r="K446" s="189">
        <v>39.031999999999996</v>
      </c>
      <c r="L446" s="184">
        <v>1.1401326699833847</v>
      </c>
      <c r="M446" s="189">
        <v>33.768000000000001</v>
      </c>
      <c r="N446" s="184">
        <v>-0.95036958817317219</v>
      </c>
      <c r="O446" s="189">
        <v>31.260999999999999</v>
      </c>
      <c r="P446" s="184">
        <v>-4.0013511853580486</v>
      </c>
      <c r="Q446" s="189">
        <v>37.067</v>
      </c>
      <c r="R446" s="184">
        <v>0.25966297909172376</v>
      </c>
      <c r="S446" s="189">
        <v>37.698</v>
      </c>
      <c r="T446" s="184">
        <v>-3.4177085468333535</v>
      </c>
      <c r="U446" s="189">
        <v>32.333999999999996</v>
      </c>
      <c r="V446" s="184">
        <v>-4.2466240227434398</v>
      </c>
      <c r="W446" s="189">
        <v>34.152000000000001</v>
      </c>
      <c r="X446" s="184">
        <v>9.2479447234573584</v>
      </c>
      <c r="Y446" s="189">
        <v>40.090000000000003</v>
      </c>
      <c r="Z446" s="184">
        <v>8.1555021987212548</v>
      </c>
      <c r="AA446" s="189">
        <v>38.926000000000002</v>
      </c>
      <c r="AB446" s="184">
        <v>3.257467239641354</v>
      </c>
      <c r="AC446" s="189">
        <v>31.339000000000002</v>
      </c>
      <c r="AD446" s="184">
        <v>-3.0772561390486564</v>
      </c>
      <c r="AE446" s="189">
        <v>32.332000000000001</v>
      </c>
      <c r="AF446" s="184">
        <v>-5.3291168892012237</v>
      </c>
      <c r="AG446" s="189">
        <v>39.494999999999997</v>
      </c>
      <c r="AH446" s="184">
        <v>-1.4841606385632256</v>
      </c>
      <c r="AI446" s="215">
        <v>40.908999999999999</v>
      </c>
      <c r="AJ446" s="184">
        <v>5.0942814571237616</v>
      </c>
      <c r="AK446" s="189">
        <v>34.07</v>
      </c>
      <c r="AL446" s="184">
        <v>8.7143814416541723</v>
      </c>
      <c r="AM446" s="189">
        <v>35.209000000000003</v>
      </c>
      <c r="AN446" s="184">
        <v>8.8983050847457612</v>
      </c>
      <c r="AO446" s="189">
        <v>41.053999999999995</v>
      </c>
      <c r="AP446" s="184">
        <v>3.9473351057095485</v>
      </c>
      <c r="AQ446" s="189">
        <v>42.356000000000002</v>
      </c>
      <c r="AR446" s="184">
        <f>IF(ISERROR((AQ446/AI446-1)*100),"NA",IF(((AQ446/AI446-1)*100)&gt;100,"NM",IF(((AQ446/AI446-1)*100)&lt;-50,"NM",(AQ446/AI446-1)*100)))</f>
        <v>3.5371189713754969</v>
      </c>
      <c r="AS446" s="189">
        <v>33.752000000000002</v>
      </c>
      <c r="AT446" s="184">
        <f>IF(ISERROR((AS446/AK446-1)*100),"NA",IF(((AS446/AK446-1)*100)&gt;100,"NM",IF(((AS446/AK446-1)*100)&lt;-50,"NM",(AS446/AK446-1)*100)))</f>
        <v>-0.93337246844731325</v>
      </c>
      <c r="AU446" s="189">
        <v>35.911999999999999</v>
      </c>
      <c r="AV446" s="61">
        <f>IF(ISERROR((AU446/AM446-1)*100),"NA",IF(((AU446/AM446-1)*100)&gt;100,"NM",IF(((AU446/AM446-1)*100)&lt;-50,"NM",(AU446/AM446-1)*100)))</f>
        <v>1.9966485841688142</v>
      </c>
      <c r="AW446" s="189">
        <v>39.827000000000005</v>
      </c>
      <c r="AX446" s="61">
        <f>IF(ISERROR((AW446/AO446-1)*100),"NA",IF(((AW446/AO446-1)*100)&gt;100,"NM",IF(((AW446/AO446-1)*100)&lt;-50,"NM",(AW446/AO446-1)*100)))</f>
        <v>-2.9887465289618276</v>
      </c>
      <c r="AY446" s="189"/>
      <c r="AZ446" s="61"/>
      <c r="BA446" s="189">
        <f>SUM(BA442:BA445)</f>
        <v>37.9</v>
      </c>
      <c r="BB446" s="61">
        <f>IF(ISERROR((BA446/AS446-1)*100),"NA",IF(((BA446/AS446-1)*100)&gt;100,"NM",IF(((BA446/AS446-1)*100)&lt;-50,"NM",(BA446/AS446-1)*100)))</f>
        <v>12.289642095283227</v>
      </c>
      <c r="BC446" s="189">
        <f>SUM(BC442:BC445)</f>
        <v>37.199999999999996</v>
      </c>
      <c r="BD446" s="61">
        <f>IF(ISERROR((BC446/AU446-1)*100),"NA",IF(((BC446/AU446-1)*100)&gt;100,"NM",IF(((BC446/AU446-1)*100)&lt;-50,"NM",(BC446/AU446-1)*100)))</f>
        <v>3.586544887502785</v>
      </c>
      <c r="BE446" s="189">
        <f>SUM(BE442:BE445)</f>
        <v>42.8</v>
      </c>
      <c r="BF446" s="61">
        <f>IF(ISERROR((BE446/AW446-1)*100),"NA",IF(((BE446/AW446-1)*100)&gt;100,"NM",IF(((BE446/AW446-1)*100)&lt;-50,"NM",(BE446/AW446-1)*100)))</f>
        <v>7.4647851959725564</v>
      </c>
      <c r="BG446" s="210"/>
      <c r="BH446" s="61"/>
      <c r="BI446" s="210"/>
      <c r="BJ446" s="61"/>
      <c r="BK446" s="210"/>
      <c r="BL446" s="61"/>
      <c r="BM446" s="210"/>
      <c r="BN446" s="61"/>
      <c r="BO446" s="189"/>
      <c r="BP446" s="61"/>
      <c r="BQ446" s="189"/>
      <c r="BR446" s="61"/>
      <c r="BS446" s="189"/>
      <c r="BT446" s="61"/>
      <c r="BU446" s="189"/>
      <c r="BV446" s="61"/>
      <c r="BW446" s="246"/>
      <c r="BX446" s="61"/>
      <c r="BY446" s="246"/>
      <c r="BZ446" s="61"/>
      <c r="CA446" s="246"/>
      <c r="CB446" s="61"/>
      <c r="CC446" s="246"/>
      <c r="CD446" s="61"/>
      <c r="CE446" s="246"/>
      <c r="CF446" s="61"/>
      <c r="CG446" s="246"/>
      <c r="CH446" s="61"/>
      <c r="CI446" s="246"/>
      <c r="CJ446" s="61"/>
      <c r="CK446" s="246"/>
      <c r="CL446" s="61"/>
      <c r="CM446" s="246"/>
      <c r="CN446" s="61"/>
      <c r="CO446" s="246"/>
      <c r="CP446" s="61"/>
      <c r="CQ446" s="246"/>
      <c r="CR446" s="61"/>
      <c r="CS446" s="246"/>
      <c r="CT446" s="61"/>
      <c r="CU446" s="246"/>
      <c r="CV446" s="61"/>
      <c r="CW446" s="246"/>
      <c r="CX446" s="61"/>
      <c r="CY446" s="246"/>
      <c r="CZ446" s="61"/>
      <c r="DA446" s="246"/>
      <c r="DB446" s="61"/>
      <c r="DC446" s="246"/>
      <c r="DD446" s="61"/>
      <c r="DE446" s="246"/>
      <c r="DF446" s="61"/>
      <c r="DG446" s="246"/>
      <c r="DH446" s="61"/>
      <c r="DI446" s="246"/>
      <c r="DJ446" s="61"/>
      <c r="DK446" s="246"/>
      <c r="DL446" s="61"/>
      <c r="DM446" s="246"/>
      <c r="DN446" s="61"/>
      <c r="DO446" s="246"/>
      <c r="DP446" s="61"/>
      <c r="DQ446" s="246"/>
      <c r="DR446" s="61"/>
      <c r="DS446" s="246"/>
      <c r="DT446" s="61"/>
      <c r="DU446" s="246"/>
      <c r="DV446" s="61"/>
      <c r="DW446" s="246"/>
      <c r="DX446" s="246"/>
      <c r="DY446" s="246"/>
      <c r="DZ446" s="61"/>
      <c r="EA446" s="246"/>
      <c r="EB446" s="61"/>
      <c r="EC446" s="246"/>
      <c r="ED446" s="61"/>
      <c r="EE446" s="246"/>
      <c r="EF446" s="61"/>
      <c r="EG446" s="246"/>
      <c r="EH446" s="61"/>
      <c r="EI446" s="246"/>
      <c r="EJ446" s="61"/>
      <c r="EK446" s="246"/>
      <c r="EL446" s="61"/>
      <c r="EM446" s="246"/>
      <c r="EN446" s="61"/>
      <c r="EO446" s="246"/>
      <c r="EP446" s="61"/>
      <c r="EQ446" s="246"/>
      <c r="ER446" s="61"/>
      <c r="ES446" s="246"/>
      <c r="ET446" s="61"/>
      <c r="EU446" s="246"/>
      <c r="EV446" s="61"/>
      <c r="EW446" s="246"/>
      <c r="EX446" s="61"/>
      <c r="EY446" s="126"/>
      <c r="EZ446" s="558"/>
      <c r="FA446" s="126"/>
      <c r="FB446" s="183">
        <v>145.77000000000001</v>
      </c>
      <c r="FC446" s="217"/>
      <c r="FD446" s="183">
        <v>142.08500000000001</v>
      </c>
      <c r="FE446" s="217">
        <f>IF(ISERROR((FD446/FB446-1)*100),"NA",IF(((FD446/FB446-1)*100)&gt;100,"NM",IF(((FD446/FB446-1)*100)&lt;-50,"NM",(FD446/FB446-1)*100)))</f>
        <v>-2.5279549975989579</v>
      </c>
      <c r="FF446" s="183">
        <v>142.21899999999999</v>
      </c>
      <c r="FG446" s="217">
        <f>IF(ISERROR((FF446/FD446-1)*100),"NA",IF(((FF446/FD446-1)*100)&gt;100,"NM",IF(((FF446/FD446-1)*100)&lt;-50,"NM",(FF446/FD446-1)*100)))</f>
        <v>9.4309744167220266E-2</v>
      </c>
      <c r="FH446" s="183">
        <v>141.12800000000001</v>
      </c>
      <c r="FI446" s="217">
        <f>IF(ISERROR((FH446/FF446-1)*100),"NA",IF(((FH446/FF446-1)*100)&gt;100,"NM",IF(((FH446/FF446-1)*100)&lt;-50,"NM",(FH446/FF446-1)*100)))</f>
        <v>-0.76712675521553031</v>
      </c>
      <c r="FJ446" s="183">
        <v>144.27400000000003</v>
      </c>
      <c r="FK446" s="217">
        <f>IF(ISERROR((FJ446/FH446-1)*100),"NA",IF(((FJ446/FH446-1)*100)&gt;100,"NM",IF(((FJ446/FH446-1)*100)&lt;-50,"NM",(FJ446/FH446-1)*100)))</f>
        <v>2.2291820191599143</v>
      </c>
      <c r="FL446" s="183">
        <v>142.09199999999998</v>
      </c>
      <c r="FM446" s="217">
        <f>IF(ISERROR((FL446/FJ446-1)*100),"NA",IF(((FL446/FJ446-1)*100)&gt;100,"NM",IF(((FL446/FJ446-1)*100)&lt;-50,"NM",(FL446/FJ446-1)*100)))</f>
        <v>-1.5124000166350404</v>
      </c>
      <c r="FN446" s="183">
        <v>151.24200000000002</v>
      </c>
      <c r="FO446" s="217">
        <f>IF(ISERROR((FN446/FL446-1)*100),"NA",IF(((FN446/FL446-1)*100)&gt;100,"NM",IF(((FN446/FL446-1)*100)&lt;-50,"NM",(FN446/FL446-1)*100)))</f>
        <v>6.4394899079469825</v>
      </c>
      <c r="FP446" s="247">
        <v>151.84700000000001</v>
      </c>
      <c r="FQ446" s="61">
        <f>IF(ISERROR((FP446/FN446-1)*100),"NA",IF(((FP446/FN446-1)*100)&gt;100,"NM",IF(((FP446/FN446-1)*100)&lt;-50,"NM",(FP446/FN446-1)*100)))</f>
        <v>0.40002115814390393</v>
      </c>
      <c r="FR446" s="247">
        <f>SUM(FR442:FR445)</f>
        <v>117.89999999999999</v>
      </c>
      <c r="FS446" s="61"/>
      <c r="FT446" s="247"/>
      <c r="FU446" s="61"/>
      <c r="FV446" s="247"/>
      <c r="FW446" s="61"/>
      <c r="FX446" s="247"/>
      <c r="FY446" s="61"/>
      <c r="FZ446" s="247"/>
      <c r="GA446" s="61"/>
      <c r="GB446" s="247"/>
      <c r="GC446" s="61"/>
      <c r="GD446" s="247"/>
      <c r="GE446" s="61"/>
      <c r="GF446" s="247"/>
      <c r="GG446" s="61"/>
      <c r="GH446" s="247"/>
      <c r="GI446" s="61"/>
      <c r="GJ446" s="247"/>
      <c r="GK446" s="61"/>
      <c r="GL446" s="247"/>
      <c r="GM446" s="61"/>
      <c r="GN446" s="247"/>
      <c r="GO446" s="61"/>
      <c r="GP446" s="247"/>
      <c r="GQ446" s="61"/>
      <c r="GR446" s="246"/>
      <c r="GS446" s="61"/>
      <c r="GT446" s="246"/>
      <c r="GU446" s="61"/>
      <c r="GV446" s="246"/>
      <c r="GW446" s="61"/>
      <c r="GX446" s="246"/>
      <c r="GY446" s="61"/>
      <c r="GZ446" s="61"/>
      <c r="HA446" s="61"/>
      <c r="HB446" s="452"/>
      <c r="HC446"/>
      <c r="HD446"/>
      <c r="HE446"/>
      <c r="HF446"/>
      <c r="HG446"/>
      <c r="HH446"/>
    </row>
    <row r="447" spans="2:216" s="3" customFormat="1" ht="12.75" hidden="1" customHeight="1" outlineLevel="1" x14ac:dyDescent="0.2">
      <c r="B447" s="235"/>
      <c r="C447" s="183"/>
      <c r="D447" s="245"/>
      <c r="E447" s="183"/>
      <c r="F447" s="245"/>
      <c r="G447" s="185"/>
      <c r="H447" s="245"/>
      <c r="I447" s="185"/>
      <c r="J447" s="245"/>
      <c r="K447" s="185"/>
      <c r="L447" s="245"/>
      <c r="M447" s="183"/>
      <c r="N447" s="245"/>
      <c r="O447" s="183"/>
      <c r="P447" s="245"/>
      <c r="Q447" s="185"/>
      <c r="R447" s="245"/>
      <c r="S447" s="185"/>
      <c r="T447" s="245"/>
      <c r="U447" s="185"/>
      <c r="V447" s="245"/>
      <c r="W447" s="183"/>
      <c r="X447" s="245"/>
      <c r="Y447" s="183"/>
      <c r="Z447" s="245"/>
      <c r="AA447" s="185"/>
      <c r="AB447" s="245"/>
      <c r="AC447" s="185"/>
      <c r="AD447" s="245"/>
      <c r="AE447" s="183"/>
      <c r="AF447" s="245"/>
      <c r="AG447" s="183"/>
      <c r="AH447" s="245"/>
      <c r="AI447" s="248"/>
      <c r="AJ447" s="245"/>
      <c r="AK447" s="185"/>
      <c r="AL447" s="245"/>
      <c r="AM447" s="183"/>
      <c r="AN447" s="245"/>
      <c r="AO447" s="183"/>
      <c r="AP447" s="245"/>
      <c r="AQ447" s="183"/>
      <c r="AR447" s="245"/>
      <c r="AS447" s="183"/>
      <c r="AT447" s="245"/>
      <c r="AU447" s="183"/>
      <c r="AV447" s="245"/>
      <c r="AW447" s="183"/>
      <c r="AX447" s="61"/>
      <c r="AY447" s="185"/>
      <c r="AZ447" s="61"/>
      <c r="BA447" s="185"/>
      <c r="BB447" s="61"/>
      <c r="BC447" s="185"/>
      <c r="BD447" s="61"/>
      <c r="BE447" s="185"/>
      <c r="BF447" s="61"/>
      <c r="BG447" s="186"/>
      <c r="BH447" s="61"/>
      <c r="BI447" s="186"/>
      <c r="BJ447" s="61"/>
      <c r="BK447" s="186"/>
      <c r="BL447" s="61"/>
      <c r="BM447" s="186"/>
      <c r="BN447" s="61"/>
      <c r="BO447" s="185"/>
      <c r="BP447" s="61"/>
      <c r="BQ447" s="185"/>
      <c r="BR447" s="61"/>
      <c r="BS447" s="185"/>
      <c r="BT447" s="61"/>
      <c r="BU447" s="185"/>
      <c r="BV447" s="61"/>
      <c r="BW447" s="238"/>
      <c r="BX447" s="61"/>
      <c r="BY447" s="238"/>
      <c r="BZ447" s="61"/>
      <c r="CA447" s="238"/>
      <c r="CB447" s="61"/>
      <c r="CC447" s="238"/>
      <c r="CD447" s="61"/>
      <c r="CE447" s="238"/>
      <c r="CF447" s="61"/>
      <c r="CG447" s="238"/>
      <c r="CH447" s="61"/>
      <c r="CI447" s="238"/>
      <c r="CJ447" s="61"/>
      <c r="CK447" s="238"/>
      <c r="CL447" s="61"/>
      <c r="CM447" s="238"/>
      <c r="CN447" s="61"/>
      <c r="CO447" s="238"/>
      <c r="CP447" s="61"/>
      <c r="CQ447" s="238"/>
      <c r="CR447" s="61"/>
      <c r="CS447" s="238"/>
      <c r="CT447" s="61"/>
      <c r="CU447" s="238"/>
      <c r="CV447" s="61"/>
      <c r="CW447" s="238"/>
      <c r="CX447" s="61"/>
      <c r="CY447" s="238"/>
      <c r="CZ447" s="61"/>
      <c r="DA447" s="238"/>
      <c r="DB447" s="61"/>
      <c r="DC447" s="238"/>
      <c r="DD447" s="61"/>
      <c r="DE447" s="238"/>
      <c r="DF447" s="61"/>
      <c r="DG447" s="238"/>
      <c r="DH447" s="61"/>
      <c r="DI447" s="238"/>
      <c r="DJ447" s="61"/>
      <c r="DK447" s="238"/>
      <c r="DL447" s="61"/>
      <c r="DM447" s="238"/>
      <c r="DN447" s="61"/>
      <c r="DO447" s="238"/>
      <c r="DP447" s="61"/>
      <c r="DQ447" s="238"/>
      <c r="DR447" s="61"/>
      <c r="DS447" s="238"/>
      <c r="DT447" s="61"/>
      <c r="DU447" s="238"/>
      <c r="DV447" s="61"/>
      <c r="DW447" s="238"/>
      <c r="DX447" s="238"/>
      <c r="DY447" s="238"/>
      <c r="DZ447" s="61"/>
      <c r="EA447" s="238"/>
      <c r="EB447" s="61"/>
      <c r="EC447" s="238"/>
      <c r="ED447" s="61"/>
      <c r="EE447" s="238"/>
      <c r="EF447" s="61"/>
      <c r="EG447" s="238"/>
      <c r="EH447" s="61"/>
      <c r="EI447" s="238"/>
      <c r="EJ447" s="61"/>
      <c r="EK447" s="238"/>
      <c r="EL447" s="61"/>
      <c r="EM447" s="238"/>
      <c r="EN447" s="61"/>
      <c r="EO447" s="238"/>
      <c r="EP447" s="61"/>
      <c r="EQ447" s="238"/>
      <c r="ER447" s="61"/>
      <c r="ES447" s="238"/>
      <c r="ET447" s="61"/>
      <c r="EU447" s="238"/>
      <c r="EV447" s="61"/>
      <c r="EW447" s="238"/>
      <c r="EX447" s="61"/>
      <c r="EY447" s="237"/>
      <c r="EZ447" s="558"/>
      <c r="FA447" s="237"/>
      <c r="FB447" s="183"/>
      <c r="FC447" s="245"/>
      <c r="FD447" s="183"/>
      <c r="FE447" s="245"/>
      <c r="FF447" s="183"/>
      <c r="FG447" s="245"/>
      <c r="FH447" s="183"/>
      <c r="FI447" s="245"/>
      <c r="FJ447" s="183"/>
      <c r="FK447" s="245"/>
      <c r="FL447" s="183"/>
      <c r="FM447" s="245"/>
      <c r="FN447" s="183"/>
      <c r="FO447" s="245"/>
      <c r="FP447" s="240"/>
      <c r="FQ447" s="61"/>
      <c r="FR447" s="240"/>
      <c r="FS447" s="61"/>
      <c r="FT447" s="240"/>
      <c r="FU447" s="61"/>
      <c r="FV447" s="240"/>
      <c r="FW447" s="61"/>
      <c r="FX447" s="240"/>
      <c r="FY447" s="61"/>
      <c r="FZ447" s="240"/>
      <c r="GA447" s="61"/>
      <c r="GB447" s="240"/>
      <c r="GC447" s="61"/>
      <c r="GD447" s="240"/>
      <c r="GE447" s="61"/>
      <c r="GF447" s="240"/>
      <c r="GG447" s="61"/>
      <c r="GH447" s="240"/>
      <c r="GI447" s="61"/>
      <c r="GJ447" s="240"/>
      <c r="GK447" s="61"/>
      <c r="GL447" s="240"/>
      <c r="GM447" s="61"/>
      <c r="GN447" s="240"/>
      <c r="GO447" s="61"/>
      <c r="GP447" s="240"/>
      <c r="GQ447" s="61"/>
      <c r="GR447" s="238"/>
      <c r="GS447" s="61"/>
      <c r="GT447" s="238"/>
      <c r="GU447" s="61"/>
      <c r="GV447" s="238"/>
      <c r="GW447" s="61"/>
      <c r="GX447" s="238"/>
      <c r="GY447" s="61"/>
      <c r="GZ447" s="61"/>
      <c r="HA447" s="61"/>
      <c r="HB447" s="452"/>
      <c r="HC447"/>
      <c r="HD447"/>
      <c r="HE447"/>
      <c r="HF447"/>
      <c r="HG447"/>
      <c r="HH447"/>
    </row>
    <row r="448" spans="2:216" s="3" customFormat="1" ht="12.75" hidden="1" customHeight="1" outlineLevel="1" x14ac:dyDescent="0.2">
      <c r="B448" s="242" t="s">
        <v>94</v>
      </c>
      <c r="C448" s="183"/>
      <c r="D448" s="245"/>
      <c r="E448" s="183"/>
      <c r="F448" s="245"/>
      <c r="G448" s="183"/>
      <c r="H448" s="245"/>
      <c r="I448" s="183"/>
      <c r="J448" s="245"/>
      <c r="K448" s="183"/>
      <c r="L448" s="245"/>
      <c r="M448" s="183"/>
      <c r="N448" s="245"/>
      <c r="O448" s="183"/>
      <c r="P448" s="245"/>
      <c r="Q448" s="183"/>
      <c r="R448" s="245"/>
      <c r="S448" s="183"/>
      <c r="T448" s="245"/>
      <c r="U448" s="183"/>
      <c r="V448" s="245"/>
      <c r="W448" s="183"/>
      <c r="X448" s="245"/>
      <c r="Y448" s="183"/>
      <c r="Z448" s="245"/>
      <c r="AA448" s="183"/>
      <c r="AB448" s="245"/>
      <c r="AC448" s="183"/>
      <c r="AD448" s="245"/>
      <c r="AE448" s="183"/>
      <c r="AF448" s="245"/>
      <c r="AG448" s="183"/>
      <c r="AH448" s="245"/>
      <c r="AI448" s="248"/>
      <c r="AJ448" s="245"/>
      <c r="AK448" s="183"/>
      <c r="AL448" s="245"/>
      <c r="AM448" s="183"/>
      <c r="AN448" s="245"/>
      <c r="AO448" s="183"/>
      <c r="AP448" s="245"/>
      <c r="AQ448" s="183"/>
      <c r="AR448" s="245"/>
      <c r="AS448" s="183"/>
      <c r="AT448" s="245"/>
      <c r="AU448" s="183"/>
      <c r="AV448" s="245"/>
      <c r="AW448" s="183"/>
      <c r="AX448" s="61"/>
      <c r="AY448" s="183"/>
      <c r="AZ448" s="61"/>
      <c r="BA448" s="183"/>
      <c r="BB448" s="61"/>
      <c r="BC448" s="183"/>
      <c r="BD448" s="61"/>
      <c r="BE448" s="183"/>
      <c r="BF448" s="61"/>
      <c r="BG448" s="206"/>
      <c r="BH448" s="61"/>
      <c r="BI448" s="206"/>
      <c r="BJ448" s="61"/>
      <c r="BK448" s="206"/>
      <c r="BL448" s="61"/>
      <c r="BM448" s="206"/>
      <c r="BN448" s="61"/>
      <c r="BO448" s="183"/>
      <c r="BP448" s="61"/>
      <c r="BQ448" s="183"/>
      <c r="BR448" s="61"/>
      <c r="BS448" s="183"/>
      <c r="BT448" s="61"/>
      <c r="BU448" s="183"/>
      <c r="BV448" s="61"/>
      <c r="BW448" s="236"/>
      <c r="BX448" s="61"/>
      <c r="BY448" s="236"/>
      <c r="BZ448" s="61"/>
      <c r="CA448" s="236"/>
      <c r="CB448" s="61"/>
      <c r="CC448" s="236"/>
      <c r="CD448" s="61"/>
      <c r="CE448" s="236"/>
      <c r="CF448" s="61"/>
      <c r="CG448" s="236"/>
      <c r="CH448" s="61"/>
      <c r="CI448" s="236"/>
      <c r="CJ448" s="61"/>
      <c r="CK448" s="236"/>
      <c r="CL448" s="61"/>
      <c r="CM448" s="236"/>
      <c r="CN448" s="61"/>
      <c r="CO448" s="236"/>
      <c r="CP448" s="61"/>
      <c r="CQ448" s="236"/>
      <c r="CR448" s="61"/>
      <c r="CS448" s="236"/>
      <c r="CT448" s="61"/>
      <c r="CU448" s="236"/>
      <c r="CV448" s="61"/>
      <c r="CW448" s="236"/>
      <c r="CX448" s="61"/>
      <c r="CY448" s="236"/>
      <c r="CZ448" s="61"/>
      <c r="DA448" s="236"/>
      <c r="DB448" s="61"/>
      <c r="DC448" s="236"/>
      <c r="DD448" s="61"/>
      <c r="DE448" s="236"/>
      <c r="DF448" s="61"/>
      <c r="DG448" s="236"/>
      <c r="DH448" s="61"/>
      <c r="DI448" s="236"/>
      <c r="DJ448" s="61"/>
      <c r="DK448" s="236"/>
      <c r="DL448" s="61"/>
      <c r="DM448" s="236"/>
      <c r="DN448" s="61"/>
      <c r="DO448" s="236"/>
      <c r="DP448" s="61"/>
      <c r="DQ448" s="236"/>
      <c r="DR448" s="61"/>
      <c r="DS448" s="236"/>
      <c r="DT448" s="61"/>
      <c r="DU448" s="236"/>
      <c r="DV448" s="61"/>
      <c r="DW448" s="236"/>
      <c r="DX448" s="236"/>
      <c r="DY448" s="236"/>
      <c r="DZ448" s="61"/>
      <c r="EA448" s="236"/>
      <c r="EB448" s="61"/>
      <c r="EC448" s="236"/>
      <c r="ED448" s="61"/>
      <c r="EE448" s="236"/>
      <c r="EF448" s="61"/>
      <c r="EG448" s="236"/>
      <c r="EH448" s="61"/>
      <c r="EI448" s="236"/>
      <c r="EJ448" s="61"/>
      <c r="EK448" s="236"/>
      <c r="EL448" s="61"/>
      <c r="EM448" s="236"/>
      <c r="EN448" s="61"/>
      <c r="EO448" s="236"/>
      <c r="EP448" s="61"/>
      <c r="EQ448" s="236"/>
      <c r="ER448" s="61"/>
      <c r="ES448" s="236"/>
      <c r="ET448" s="61"/>
      <c r="EU448" s="236"/>
      <c r="EV448" s="61"/>
      <c r="EW448" s="236"/>
      <c r="EX448" s="61"/>
      <c r="EY448" s="237"/>
      <c r="EZ448" s="558"/>
      <c r="FA448" s="237"/>
      <c r="FB448" s="183"/>
      <c r="FC448" s="245"/>
      <c r="FD448" s="183"/>
      <c r="FE448" s="245"/>
      <c r="FF448" s="183"/>
      <c r="FG448" s="245"/>
      <c r="FH448" s="183"/>
      <c r="FI448" s="245"/>
      <c r="FJ448" s="183"/>
      <c r="FK448" s="245"/>
      <c r="FL448" s="183"/>
      <c r="FM448" s="245"/>
      <c r="FN448" s="183"/>
      <c r="FO448" s="245"/>
      <c r="FP448" s="247"/>
      <c r="FQ448" s="61"/>
      <c r="FR448" s="247"/>
      <c r="FS448" s="61"/>
      <c r="FT448" s="247"/>
      <c r="FU448" s="61"/>
      <c r="FV448" s="247"/>
      <c r="FW448" s="61"/>
      <c r="FX448" s="247"/>
      <c r="FY448" s="61"/>
      <c r="FZ448" s="247"/>
      <c r="GA448" s="61"/>
      <c r="GB448" s="247"/>
      <c r="GC448" s="61"/>
      <c r="GD448" s="247"/>
      <c r="GE448" s="61"/>
      <c r="GF448" s="247"/>
      <c r="GG448" s="61"/>
      <c r="GH448" s="247"/>
      <c r="GI448" s="61"/>
      <c r="GJ448" s="247"/>
      <c r="GK448" s="61"/>
      <c r="GL448" s="247"/>
      <c r="GM448" s="61"/>
      <c r="GN448" s="247"/>
      <c r="GO448" s="61"/>
      <c r="GP448" s="247"/>
      <c r="GQ448" s="61"/>
      <c r="GR448" s="236"/>
      <c r="GS448" s="61"/>
      <c r="GT448" s="236"/>
      <c r="GU448" s="61"/>
      <c r="GV448" s="236"/>
      <c r="GW448" s="61"/>
      <c r="GX448" s="236"/>
      <c r="GY448" s="61"/>
      <c r="GZ448" s="61"/>
      <c r="HA448" s="61"/>
      <c r="HB448" s="452"/>
      <c r="HC448"/>
      <c r="HD448"/>
      <c r="HE448"/>
      <c r="HF448"/>
      <c r="HG448"/>
      <c r="HH448"/>
    </row>
    <row r="449" spans="1:216" s="3" customFormat="1" ht="12.75" hidden="1" customHeight="1" outlineLevel="1" x14ac:dyDescent="0.2">
      <c r="B449" s="235" t="s">
        <v>83</v>
      </c>
      <c r="C449" s="191"/>
      <c r="D449" s="184"/>
      <c r="E449" s="191"/>
      <c r="F449" s="184"/>
      <c r="G449" s="191"/>
      <c r="H449" s="184"/>
      <c r="I449" s="191"/>
      <c r="J449" s="184"/>
      <c r="K449" s="191"/>
      <c r="L449" s="184"/>
      <c r="M449" s="191"/>
      <c r="N449" s="184"/>
      <c r="O449" s="191"/>
      <c r="P449" s="184"/>
      <c r="Q449" s="191"/>
      <c r="R449" s="184"/>
      <c r="S449" s="191"/>
      <c r="T449" s="184"/>
      <c r="U449" s="191"/>
      <c r="V449" s="184"/>
      <c r="W449" s="191"/>
      <c r="X449" s="184"/>
      <c r="Y449" s="191"/>
      <c r="Z449" s="184"/>
      <c r="AA449" s="191"/>
      <c r="AB449" s="184"/>
      <c r="AC449" s="191"/>
      <c r="AD449" s="184"/>
      <c r="AE449" s="191"/>
      <c r="AF449" s="184"/>
      <c r="AG449" s="191"/>
      <c r="AH449" s="184"/>
      <c r="AI449" s="249"/>
      <c r="AJ449" s="184"/>
      <c r="AK449" s="191"/>
      <c r="AL449" s="184"/>
      <c r="AM449" s="191"/>
      <c r="AN449" s="184"/>
      <c r="AO449" s="191"/>
      <c r="AP449" s="184"/>
      <c r="AQ449" s="191"/>
      <c r="AR449" s="184"/>
      <c r="AS449" s="191"/>
      <c r="AT449" s="184"/>
      <c r="AU449" s="191"/>
      <c r="AV449" s="61"/>
      <c r="AW449" s="191"/>
      <c r="AX449" s="61"/>
      <c r="AY449" s="191"/>
      <c r="AZ449" s="61"/>
      <c r="BA449" s="191">
        <f>BA442/BA439*100</f>
        <v>13.217391304347824</v>
      </c>
      <c r="BB449" s="61" t="str">
        <f>IF(ISERROR((BA449/AS449-1)*100),"NA",IF(((BA449/AS449-1)*100)&gt;100,"NM",IF(((BA449/AS449-1)*100)&lt;-50,"NM",(BA449/AS449-1)*100)))</f>
        <v>NA</v>
      </c>
      <c r="BC449" s="191">
        <f>BC442/BC439*100</f>
        <v>17.224080267558531</v>
      </c>
      <c r="BD449" s="61" t="str">
        <f>IF(ISERROR((BC449/AU449-1)*100),"NA",IF(((BC449/AU449-1)*100)&gt;100,"NM",IF(((BC449/AU449-1)*100)&lt;-50,"NM",(BC449/AU449-1)*100)))</f>
        <v>NA</v>
      </c>
      <c r="BE449" s="191">
        <f>BE442/BE439*100</f>
        <v>21.714285714285715</v>
      </c>
      <c r="BF449" s="61" t="str">
        <f>IF(ISERROR((BE449/AW449-1)*100),"NA",IF(((BE449/AW449-1)*100)&gt;100,"NM",IF(((BE449/AW449-1)*100)&lt;-50,"NM",(BE449/AW449-1)*100)))</f>
        <v>NA</v>
      </c>
      <c r="BG449" s="194"/>
      <c r="BH449" s="61"/>
      <c r="BI449" s="194"/>
      <c r="BJ449" s="61"/>
      <c r="BK449" s="194"/>
      <c r="BL449" s="61"/>
      <c r="BM449" s="194"/>
      <c r="BN449" s="61"/>
      <c r="BO449" s="191"/>
      <c r="BP449" s="61"/>
      <c r="BQ449" s="191"/>
      <c r="BR449" s="61"/>
      <c r="BS449" s="191"/>
      <c r="BT449" s="61"/>
      <c r="BU449" s="191"/>
      <c r="BV449" s="61"/>
      <c r="BW449" s="250"/>
      <c r="BX449" s="61"/>
      <c r="BY449" s="250"/>
      <c r="BZ449" s="61"/>
      <c r="CA449" s="250"/>
      <c r="CB449" s="61"/>
      <c r="CC449" s="250"/>
      <c r="CD449" s="61"/>
      <c r="CE449" s="250"/>
      <c r="CF449" s="61"/>
      <c r="CG449" s="250"/>
      <c r="CH449" s="61"/>
      <c r="CI449" s="250"/>
      <c r="CJ449" s="61"/>
      <c r="CK449" s="250"/>
      <c r="CL449" s="61"/>
      <c r="CM449" s="250"/>
      <c r="CN449" s="61"/>
      <c r="CO449" s="250"/>
      <c r="CP449" s="61"/>
      <c r="CQ449" s="250"/>
      <c r="CR449" s="61"/>
      <c r="CS449" s="250"/>
      <c r="CT449" s="61"/>
      <c r="CU449" s="250"/>
      <c r="CV449" s="61"/>
      <c r="CW449" s="250"/>
      <c r="CX449" s="61"/>
      <c r="CY449" s="250"/>
      <c r="CZ449" s="61"/>
      <c r="DA449" s="250"/>
      <c r="DB449" s="61"/>
      <c r="DC449" s="250"/>
      <c r="DD449" s="61"/>
      <c r="DE449" s="250"/>
      <c r="DF449" s="61"/>
      <c r="DG449" s="250"/>
      <c r="DH449" s="61"/>
      <c r="DI449" s="250"/>
      <c r="DJ449" s="61"/>
      <c r="DK449" s="250"/>
      <c r="DL449" s="61"/>
      <c r="DM449" s="250"/>
      <c r="DN449" s="61"/>
      <c r="DO449" s="250"/>
      <c r="DP449" s="61"/>
      <c r="DQ449" s="250"/>
      <c r="DR449" s="61"/>
      <c r="DS449" s="250"/>
      <c r="DT449" s="61"/>
      <c r="DU449" s="250"/>
      <c r="DV449" s="61"/>
      <c r="DW449" s="250"/>
      <c r="DX449" s="250"/>
      <c r="DY449" s="250"/>
      <c r="DZ449" s="61"/>
      <c r="EA449" s="250"/>
      <c r="EB449" s="61"/>
      <c r="EC449" s="250"/>
      <c r="ED449" s="61"/>
      <c r="EE449" s="250"/>
      <c r="EF449" s="61"/>
      <c r="EG449" s="250"/>
      <c r="EH449" s="61"/>
      <c r="EI449" s="250"/>
      <c r="EJ449" s="61"/>
      <c r="EK449" s="250"/>
      <c r="EL449" s="61"/>
      <c r="EM449" s="250"/>
      <c r="EN449" s="61"/>
      <c r="EO449" s="250"/>
      <c r="EP449" s="61"/>
      <c r="EQ449" s="250"/>
      <c r="ER449" s="61"/>
      <c r="ES449" s="250"/>
      <c r="ET449" s="61"/>
      <c r="EU449" s="250"/>
      <c r="EV449" s="61"/>
      <c r="EW449" s="250"/>
      <c r="EX449" s="61"/>
      <c r="EY449" s="143"/>
      <c r="EZ449" s="558"/>
      <c r="FA449" s="143"/>
      <c r="FB449" s="189"/>
      <c r="FC449" s="209"/>
      <c r="FD449" s="189"/>
      <c r="FE449" s="209"/>
      <c r="FF449" s="189"/>
      <c r="FG449" s="209"/>
      <c r="FH449" s="189"/>
      <c r="FI449" s="209"/>
      <c r="FJ449" s="189"/>
      <c r="FK449" s="209"/>
      <c r="FL449" s="189"/>
      <c r="FM449" s="209"/>
      <c r="FN449" s="189"/>
      <c r="FO449" s="209"/>
      <c r="FP449" s="213"/>
      <c r="FQ449" s="61"/>
      <c r="FR449" s="213">
        <f>+FR442/FR439*100</f>
        <v>17.672183662573406</v>
      </c>
      <c r="FS449" s="61"/>
      <c r="FT449" s="213"/>
      <c r="FU449" s="61"/>
      <c r="FV449" s="213"/>
      <c r="FW449" s="61"/>
      <c r="FX449" s="213"/>
      <c r="FY449" s="61"/>
      <c r="FZ449" s="213"/>
      <c r="GA449" s="61"/>
      <c r="GB449" s="213"/>
      <c r="GC449" s="61"/>
      <c r="GD449" s="213"/>
      <c r="GE449" s="61"/>
      <c r="GF449" s="213"/>
      <c r="GG449" s="61"/>
      <c r="GH449" s="213"/>
      <c r="GI449" s="61"/>
      <c r="GJ449" s="213"/>
      <c r="GK449" s="61"/>
      <c r="GL449" s="213"/>
      <c r="GM449" s="61"/>
      <c r="GN449" s="213"/>
      <c r="GO449" s="61"/>
      <c r="GP449" s="213"/>
      <c r="GQ449" s="61"/>
      <c r="GR449" s="250"/>
      <c r="GS449" s="61"/>
      <c r="GT449" s="250"/>
      <c r="GU449" s="61"/>
      <c r="GV449" s="250"/>
      <c r="GW449" s="61"/>
      <c r="GX449" s="250"/>
      <c r="GY449" s="61"/>
      <c r="GZ449" s="61"/>
      <c r="HA449" s="61"/>
      <c r="HB449" s="452"/>
      <c r="HC449"/>
      <c r="HD449"/>
      <c r="HE449"/>
      <c r="HF449"/>
      <c r="HG449"/>
      <c r="HH449"/>
    </row>
    <row r="450" spans="1:216" s="3" customFormat="1" ht="12.75" hidden="1" customHeight="1" outlineLevel="1" x14ac:dyDescent="0.2">
      <c r="B450" s="235" t="s">
        <v>95</v>
      </c>
      <c r="C450" s="191"/>
      <c r="D450" s="184"/>
      <c r="E450" s="191"/>
      <c r="F450" s="184"/>
      <c r="G450" s="191"/>
      <c r="H450" s="184"/>
      <c r="I450" s="191"/>
      <c r="J450" s="184"/>
      <c r="K450" s="191"/>
      <c r="L450" s="184"/>
      <c r="M450" s="191"/>
      <c r="N450" s="184"/>
      <c r="O450" s="191"/>
      <c r="P450" s="184"/>
      <c r="Q450" s="191"/>
      <c r="R450" s="184"/>
      <c r="S450" s="191"/>
      <c r="T450" s="184"/>
      <c r="U450" s="191"/>
      <c r="V450" s="184"/>
      <c r="W450" s="191"/>
      <c r="X450" s="184"/>
      <c r="Y450" s="191"/>
      <c r="Z450" s="184"/>
      <c r="AA450" s="191"/>
      <c r="AB450" s="184"/>
      <c r="AC450" s="191"/>
      <c r="AD450" s="184"/>
      <c r="AE450" s="191"/>
      <c r="AF450" s="184"/>
      <c r="AG450" s="191"/>
      <c r="AH450" s="184"/>
      <c r="AI450" s="249"/>
      <c r="AJ450" s="184"/>
      <c r="AK450" s="191"/>
      <c r="AL450" s="184"/>
      <c r="AM450" s="191"/>
      <c r="AN450" s="184"/>
      <c r="AO450" s="191"/>
      <c r="AP450" s="184"/>
      <c r="AQ450" s="191"/>
      <c r="AR450" s="184"/>
      <c r="AS450" s="191"/>
      <c r="AT450" s="184"/>
      <c r="AU450" s="191"/>
      <c r="AV450" s="61"/>
      <c r="AW450" s="191"/>
      <c r="AX450" s="61"/>
      <c r="AY450" s="191"/>
      <c r="AZ450" s="61"/>
      <c r="BA450" s="191">
        <f>BA443/BA439*100</f>
        <v>10.434782608695652</v>
      </c>
      <c r="BB450" s="61" t="str">
        <f>IF(ISERROR((BA450/AS450-1)*100),"NA",IF(((BA450/AS450-1)*100)&gt;100,"NM",IF(((BA450/AS450-1)*100)&lt;-50,"NM",(BA450/AS450-1)*100)))</f>
        <v>NA</v>
      </c>
      <c r="BC450" s="191">
        <f>BC443/BC439*100</f>
        <v>4.5150501672240804</v>
      </c>
      <c r="BD450" s="61" t="str">
        <f>IF(ISERROR((BC450/AU450-1)*100),"NA",IF(((BC450/AU450-1)*100)&gt;100,"NM",IF(((BC450/AU450-1)*100)&lt;-50,"NM",(BC450/AU450-1)*100)))</f>
        <v>NA</v>
      </c>
      <c r="BE450" s="191">
        <f>BE443/BE439*100</f>
        <v>3.7142857142857144</v>
      </c>
      <c r="BF450" s="61" t="str">
        <f>IF(ISERROR((BE450/AW450-1)*100),"NA",IF(((BE450/AW450-1)*100)&gt;100,"NM",IF(((BE450/AW450-1)*100)&lt;-50,"NM",(BE450/AW450-1)*100)))</f>
        <v>NA</v>
      </c>
      <c r="BG450" s="194"/>
      <c r="BH450" s="61"/>
      <c r="BI450" s="194"/>
      <c r="BJ450" s="61"/>
      <c r="BK450" s="194"/>
      <c r="BL450" s="61"/>
      <c r="BM450" s="194"/>
      <c r="BN450" s="61"/>
      <c r="BO450" s="191"/>
      <c r="BP450" s="61"/>
      <c r="BQ450" s="191"/>
      <c r="BR450" s="61"/>
      <c r="BS450" s="191"/>
      <c r="BT450" s="61"/>
      <c r="BU450" s="191"/>
      <c r="BV450" s="61"/>
      <c r="BW450" s="250"/>
      <c r="BX450" s="61"/>
      <c r="BY450" s="250"/>
      <c r="BZ450" s="61"/>
      <c r="CA450" s="250"/>
      <c r="CB450" s="61"/>
      <c r="CC450" s="250"/>
      <c r="CD450" s="61"/>
      <c r="CE450" s="250"/>
      <c r="CF450" s="61"/>
      <c r="CG450" s="250"/>
      <c r="CH450" s="61"/>
      <c r="CI450" s="250"/>
      <c r="CJ450" s="61"/>
      <c r="CK450" s="250"/>
      <c r="CL450" s="61"/>
      <c r="CM450" s="250"/>
      <c r="CN450" s="61"/>
      <c r="CO450" s="250"/>
      <c r="CP450" s="61"/>
      <c r="CQ450" s="250"/>
      <c r="CR450" s="61"/>
      <c r="CS450" s="250"/>
      <c r="CT450" s="61"/>
      <c r="CU450" s="250"/>
      <c r="CV450" s="61"/>
      <c r="CW450" s="250"/>
      <c r="CX450" s="61"/>
      <c r="CY450" s="250"/>
      <c r="CZ450" s="61"/>
      <c r="DA450" s="250"/>
      <c r="DB450" s="61"/>
      <c r="DC450" s="250"/>
      <c r="DD450" s="61"/>
      <c r="DE450" s="250"/>
      <c r="DF450" s="61"/>
      <c r="DG450" s="250"/>
      <c r="DH450" s="61"/>
      <c r="DI450" s="250"/>
      <c r="DJ450" s="61"/>
      <c r="DK450" s="250"/>
      <c r="DL450" s="61"/>
      <c r="DM450" s="250"/>
      <c r="DN450" s="61"/>
      <c r="DO450" s="250"/>
      <c r="DP450" s="61"/>
      <c r="DQ450" s="250"/>
      <c r="DR450" s="61"/>
      <c r="DS450" s="250"/>
      <c r="DT450" s="61"/>
      <c r="DU450" s="250"/>
      <c r="DV450" s="61"/>
      <c r="DW450" s="250"/>
      <c r="DX450" s="250"/>
      <c r="DY450" s="250"/>
      <c r="DZ450" s="61"/>
      <c r="EA450" s="250"/>
      <c r="EB450" s="61"/>
      <c r="EC450" s="250"/>
      <c r="ED450" s="61"/>
      <c r="EE450" s="250"/>
      <c r="EF450" s="61"/>
      <c r="EG450" s="250"/>
      <c r="EH450" s="61"/>
      <c r="EI450" s="250"/>
      <c r="EJ450" s="61"/>
      <c r="EK450" s="250"/>
      <c r="EL450" s="61"/>
      <c r="EM450" s="250"/>
      <c r="EN450" s="61"/>
      <c r="EO450" s="250"/>
      <c r="EP450" s="61"/>
      <c r="EQ450" s="250"/>
      <c r="ER450" s="61"/>
      <c r="ES450" s="250"/>
      <c r="ET450" s="61"/>
      <c r="EU450" s="250"/>
      <c r="EV450" s="61"/>
      <c r="EW450" s="250"/>
      <c r="EX450" s="61"/>
      <c r="EY450" s="143"/>
      <c r="EZ450" s="558"/>
      <c r="FA450" s="143"/>
      <c r="FB450" s="189"/>
      <c r="FC450" s="209"/>
      <c r="FD450" s="189"/>
      <c r="FE450" s="209"/>
      <c r="FF450" s="189"/>
      <c r="FG450" s="209"/>
      <c r="FH450" s="189"/>
      <c r="FI450" s="209"/>
      <c r="FJ450" s="189"/>
      <c r="FK450" s="209"/>
      <c r="FL450" s="189"/>
      <c r="FM450" s="209"/>
      <c r="FN450" s="189"/>
      <c r="FO450" s="209"/>
      <c r="FP450" s="213"/>
      <c r="FQ450" s="61"/>
      <c r="FR450" s="213">
        <f>+FR443/FR439*100</f>
        <v>6.0331019754404691</v>
      </c>
      <c r="FS450" s="61"/>
      <c r="FT450" s="213"/>
      <c r="FU450" s="61"/>
      <c r="FV450" s="213"/>
      <c r="FW450" s="61"/>
      <c r="FX450" s="213"/>
      <c r="FY450" s="61"/>
      <c r="FZ450" s="213"/>
      <c r="GA450" s="61"/>
      <c r="GB450" s="213"/>
      <c r="GC450" s="61"/>
      <c r="GD450" s="213"/>
      <c r="GE450" s="61"/>
      <c r="GF450" s="213"/>
      <c r="GG450" s="61"/>
      <c r="GH450" s="213"/>
      <c r="GI450" s="61"/>
      <c r="GJ450" s="213"/>
      <c r="GK450" s="61"/>
      <c r="GL450" s="213"/>
      <c r="GM450" s="61"/>
      <c r="GN450" s="213"/>
      <c r="GO450" s="61"/>
      <c r="GP450" s="213"/>
      <c r="GQ450" s="61"/>
      <c r="GR450" s="250"/>
      <c r="GS450" s="61"/>
      <c r="GT450" s="250"/>
      <c r="GU450" s="61"/>
      <c r="GV450" s="250"/>
      <c r="GW450" s="61"/>
      <c r="GX450" s="250"/>
      <c r="GY450" s="61"/>
      <c r="GZ450" s="61"/>
      <c r="HA450" s="61"/>
      <c r="HB450" s="452"/>
      <c r="HC450"/>
      <c r="HD450"/>
      <c r="HE450"/>
      <c r="HF450"/>
      <c r="HG450"/>
      <c r="HH450"/>
    </row>
    <row r="451" spans="1:216" s="3" customFormat="1" ht="12.75" hidden="1" customHeight="1" outlineLevel="1" x14ac:dyDescent="0.2">
      <c r="B451" s="235" t="s">
        <v>98</v>
      </c>
      <c r="C451" s="191"/>
      <c r="D451" s="184"/>
      <c r="E451" s="191"/>
      <c r="F451" s="184"/>
      <c r="G451" s="191"/>
      <c r="H451" s="184"/>
      <c r="I451" s="191"/>
      <c r="J451" s="184"/>
      <c r="K451" s="191"/>
      <c r="L451" s="184"/>
      <c r="M451" s="191"/>
      <c r="N451" s="184"/>
      <c r="O451" s="191"/>
      <c r="P451" s="184"/>
      <c r="Q451" s="191"/>
      <c r="R451" s="184"/>
      <c r="S451" s="191"/>
      <c r="T451" s="184"/>
      <c r="U451" s="191"/>
      <c r="V451" s="184"/>
      <c r="W451" s="191"/>
      <c r="X451" s="184"/>
      <c r="Y451" s="191"/>
      <c r="Z451" s="184"/>
      <c r="AA451" s="191"/>
      <c r="AB451" s="184"/>
      <c r="AC451" s="191"/>
      <c r="AD451" s="184"/>
      <c r="AE451" s="191"/>
      <c r="AF451" s="184"/>
      <c r="AG451" s="191"/>
      <c r="AH451" s="184"/>
      <c r="AI451" s="249"/>
      <c r="AJ451" s="184"/>
      <c r="AK451" s="191"/>
      <c r="AL451" s="184"/>
      <c r="AM451" s="191"/>
      <c r="AN451" s="184"/>
      <c r="AO451" s="191"/>
      <c r="AP451" s="184"/>
      <c r="AQ451" s="191"/>
      <c r="AR451" s="184"/>
      <c r="AS451" s="191"/>
      <c r="AT451" s="184"/>
      <c r="AU451" s="191"/>
      <c r="AV451" s="61"/>
      <c r="AW451" s="191"/>
      <c r="AX451" s="61"/>
      <c r="AY451" s="191"/>
      <c r="AZ451" s="61"/>
      <c r="BA451" s="191">
        <f>SUM(BA449:BA450)</f>
        <v>23.652173913043477</v>
      </c>
      <c r="BB451" s="61" t="str">
        <f>IF(ISERROR((BA451/AS451-1)*100),"NA",IF(((BA451/AS451-1)*100)&gt;100,"NM",IF(((BA451/AS451-1)*100)&lt;-50,"NM",(BA451/AS451-1)*100)))</f>
        <v>NA</v>
      </c>
      <c r="BC451" s="191">
        <f>SUM(BC449:BC450)</f>
        <v>21.739130434782609</v>
      </c>
      <c r="BD451" s="61" t="str">
        <f>IF(ISERROR((BC451/AU451-1)*100),"NA",IF(((BC451/AU451-1)*100)&gt;100,"NM",IF(((BC451/AU451-1)*100)&lt;-50,"NM",(BC451/AU451-1)*100)))</f>
        <v>NA</v>
      </c>
      <c r="BE451" s="191">
        <f>SUM(BE449:BE450)</f>
        <v>25.428571428571431</v>
      </c>
      <c r="BF451" s="61" t="str">
        <f>IF(ISERROR((BE451/AW451-1)*100),"NA",IF(((BE451/AW451-1)*100)&gt;100,"NM",IF(((BE451/AW451-1)*100)&lt;-50,"NM",(BE451/AW451-1)*100)))</f>
        <v>NA</v>
      </c>
      <c r="BG451" s="194"/>
      <c r="BH451" s="61"/>
      <c r="BI451" s="194"/>
      <c r="BJ451" s="61"/>
      <c r="BK451" s="194"/>
      <c r="BL451" s="61"/>
      <c r="BM451" s="194"/>
      <c r="BN451" s="61"/>
      <c r="BO451" s="191"/>
      <c r="BP451" s="61"/>
      <c r="BQ451" s="191"/>
      <c r="BR451" s="61"/>
      <c r="BS451" s="191"/>
      <c r="BT451" s="61"/>
      <c r="BU451" s="191"/>
      <c r="BV451" s="61"/>
      <c r="BW451" s="251"/>
      <c r="BX451" s="61"/>
      <c r="BY451" s="251"/>
      <c r="BZ451" s="61"/>
      <c r="CA451" s="251"/>
      <c r="CB451" s="61"/>
      <c r="CC451" s="251"/>
      <c r="CD451" s="61"/>
      <c r="CE451" s="251"/>
      <c r="CF451" s="61"/>
      <c r="CG451" s="251"/>
      <c r="CH451" s="61"/>
      <c r="CI451" s="251"/>
      <c r="CJ451" s="61"/>
      <c r="CK451" s="251"/>
      <c r="CL451" s="61"/>
      <c r="CM451" s="251"/>
      <c r="CN451" s="61"/>
      <c r="CO451" s="251"/>
      <c r="CP451" s="61"/>
      <c r="CQ451" s="251"/>
      <c r="CR451" s="61"/>
      <c r="CS451" s="251"/>
      <c r="CT451" s="61"/>
      <c r="CU451" s="251"/>
      <c r="CV451" s="61"/>
      <c r="CW451" s="251"/>
      <c r="CX451" s="61"/>
      <c r="CY451" s="251"/>
      <c r="CZ451" s="61"/>
      <c r="DA451" s="251"/>
      <c r="DB451" s="61"/>
      <c r="DC451" s="251"/>
      <c r="DD451" s="61"/>
      <c r="DE451" s="251"/>
      <c r="DF451" s="61"/>
      <c r="DG451" s="251"/>
      <c r="DH451" s="61"/>
      <c r="DI451" s="251"/>
      <c r="DJ451" s="61"/>
      <c r="DK451" s="251"/>
      <c r="DL451" s="61"/>
      <c r="DM451" s="251"/>
      <c r="DN451" s="61"/>
      <c r="DO451" s="251"/>
      <c r="DP451" s="61"/>
      <c r="DQ451" s="251"/>
      <c r="DR451" s="61"/>
      <c r="DS451" s="251"/>
      <c r="DT451" s="61"/>
      <c r="DU451" s="251"/>
      <c r="DV451" s="61"/>
      <c r="DW451" s="251"/>
      <c r="DX451" s="251"/>
      <c r="DY451" s="251"/>
      <c r="DZ451" s="61"/>
      <c r="EA451" s="251"/>
      <c r="EB451" s="61"/>
      <c r="EC451" s="251"/>
      <c r="ED451" s="61"/>
      <c r="EE451" s="251"/>
      <c r="EF451" s="61"/>
      <c r="EG451" s="251"/>
      <c r="EH451" s="61"/>
      <c r="EI451" s="251"/>
      <c r="EJ451" s="61"/>
      <c r="EK451" s="251"/>
      <c r="EL451" s="61"/>
      <c r="EM451" s="251"/>
      <c r="EN451" s="61"/>
      <c r="EO451" s="251"/>
      <c r="EP451" s="61"/>
      <c r="EQ451" s="251"/>
      <c r="ER451" s="61"/>
      <c r="ES451" s="251"/>
      <c r="ET451" s="61"/>
      <c r="EU451" s="251"/>
      <c r="EV451" s="61"/>
      <c r="EW451" s="251"/>
      <c r="EX451" s="61"/>
      <c r="EY451" s="143"/>
      <c r="EZ451" s="558"/>
      <c r="FA451" s="143"/>
      <c r="FB451" s="189"/>
      <c r="FC451" s="209"/>
      <c r="FD451" s="189"/>
      <c r="FE451" s="209"/>
      <c r="FF451" s="189"/>
      <c r="FG451" s="209"/>
      <c r="FH451" s="189"/>
      <c r="FI451" s="209"/>
      <c r="FJ451" s="189"/>
      <c r="FK451" s="209"/>
      <c r="FL451" s="189"/>
      <c r="FM451" s="209"/>
      <c r="FN451" s="189"/>
      <c r="FO451" s="209"/>
      <c r="FP451" s="213"/>
      <c r="FQ451" s="61"/>
      <c r="FR451" s="213">
        <f>SUM(FR449:FR450)</f>
        <v>23.705285638013876</v>
      </c>
      <c r="FS451" s="61"/>
      <c r="FT451" s="213"/>
      <c r="FU451" s="61"/>
      <c r="FV451" s="213"/>
      <c r="FW451" s="61"/>
      <c r="FX451" s="213"/>
      <c r="FY451" s="61"/>
      <c r="FZ451" s="213"/>
      <c r="GA451" s="61"/>
      <c r="GB451" s="213"/>
      <c r="GC451" s="61"/>
      <c r="GD451" s="213"/>
      <c r="GE451" s="61"/>
      <c r="GF451" s="213"/>
      <c r="GG451" s="61"/>
      <c r="GH451" s="213"/>
      <c r="GI451" s="61"/>
      <c r="GJ451" s="213"/>
      <c r="GK451" s="61"/>
      <c r="GL451" s="213"/>
      <c r="GM451" s="61"/>
      <c r="GN451" s="213"/>
      <c r="GO451" s="61"/>
      <c r="GP451" s="213"/>
      <c r="GQ451" s="61"/>
      <c r="GR451" s="251"/>
      <c r="GS451" s="61"/>
      <c r="GT451" s="251"/>
      <c r="GU451" s="61"/>
      <c r="GV451" s="251"/>
      <c r="GW451" s="61"/>
      <c r="GX451" s="251"/>
      <c r="GY451" s="61"/>
      <c r="GZ451" s="61"/>
      <c r="HA451" s="61"/>
      <c r="HB451" s="452"/>
      <c r="HC451"/>
      <c r="HD451"/>
      <c r="HE451"/>
      <c r="HF451"/>
      <c r="HG451"/>
      <c r="HH451"/>
    </row>
    <row r="452" spans="1:216" s="3" customFormat="1" ht="12.75" hidden="1" customHeight="1" outlineLevel="1" x14ac:dyDescent="0.2">
      <c r="B452" s="235"/>
      <c r="C452" s="183"/>
      <c r="D452" s="245"/>
      <c r="E452" s="183"/>
      <c r="F452" s="245"/>
      <c r="G452" s="185"/>
      <c r="H452" s="245"/>
      <c r="I452" s="185"/>
      <c r="J452" s="245"/>
      <c r="K452" s="185"/>
      <c r="L452" s="245"/>
      <c r="M452" s="183"/>
      <c r="N452" s="245"/>
      <c r="O452" s="183"/>
      <c r="P452" s="245"/>
      <c r="Q452" s="185"/>
      <c r="R452" s="245"/>
      <c r="S452" s="185"/>
      <c r="T452" s="245"/>
      <c r="U452" s="185"/>
      <c r="V452" s="245"/>
      <c r="W452" s="183"/>
      <c r="X452" s="245"/>
      <c r="Y452" s="183"/>
      <c r="Z452" s="245"/>
      <c r="AA452" s="185"/>
      <c r="AB452" s="245"/>
      <c r="AC452" s="185"/>
      <c r="AD452" s="245"/>
      <c r="AE452" s="183"/>
      <c r="AF452" s="245"/>
      <c r="AG452" s="183"/>
      <c r="AH452" s="245"/>
      <c r="AI452" s="248"/>
      <c r="AJ452" s="245"/>
      <c r="AK452" s="185"/>
      <c r="AL452" s="245"/>
      <c r="AM452" s="183"/>
      <c r="AN452" s="245"/>
      <c r="AO452" s="183"/>
      <c r="AP452" s="245"/>
      <c r="AQ452" s="183"/>
      <c r="AR452" s="245"/>
      <c r="AS452" s="183"/>
      <c r="AT452" s="245"/>
      <c r="AU452" s="183"/>
      <c r="AV452" s="245"/>
      <c r="AW452" s="183"/>
      <c r="AX452" s="61"/>
      <c r="AY452" s="185"/>
      <c r="AZ452" s="61"/>
      <c r="BA452" s="185"/>
      <c r="BB452" s="61"/>
      <c r="BC452" s="185"/>
      <c r="BD452" s="61"/>
      <c r="BE452" s="185"/>
      <c r="BF452" s="61"/>
      <c r="BG452" s="186"/>
      <c r="BH452" s="61"/>
      <c r="BI452" s="186"/>
      <c r="BJ452" s="61"/>
      <c r="BK452" s="186"/>
      <c r="BL452" s="61"/>
      <c r="BM452" s="186"/>
      <c r="BN452" s="61"/>
      <c r="BO452" s="185"/>
      <c r="BP452" s="61"/>
      <c r="BQ452" s="185"/>
      <c r="BR452" s="61"/>
      <c r="BS452" s="185"/>
      <c r="BT452" s="61"/>
      <c r="BU452" s="185"/>
      <c r="BV452" s="61"/>
      <c r="BW452" s="252"/>
      <c r="BX452" s="61"/>
      <c r="BY452" s="252"/>
      <c r="BZ452" s="61"/>
      <c r="CA452" s="252"/>
      <c r="CB452" s="61"/>
      <c r="CC452" s="252"/>
      <c r="CD452" s="61"/>
      <c r="CE452" s="252"/>
      <c r="CF452" s="61"/>
      <c r="CG452" s="252"/>
      <c r="CH452" s="61"/>
      <c r="CI452" s="252"/>
      <c r="CJ452" s="61"/>
      <c r="CK452" s="252"/>
      <c r="CL452" s="61"/>
      <c r="CM452" s="252"/>
      <c r="CN452" s="61"/>
      <c r="CO452" s="252"/>
      <c r="CP452" s="61"/>
      <c r="CQ452" s="252"/>
      <c r="CR452" s="61"/>
      <c r="CS452" s="252"/>
      <c r="CT452" s="61"/>
      <c r="CU452" s="252"/>
      <c r="CV452" s="61"/>
      <c r="CW452" s="252"/>
      <c r="CX452" s="61"/>
      <c r="CY452" s="252"/>
      <c r="CZ452" s="61"/>
      <c r="DA452" s="252"/>
      <c r="DB452" s="61"/>
      <c r="DC452" s="252"/>
      <c r="DD452" s="61"/>
      <c r="DE452" s="252"/>
      <c r="DF452" s="61"/>
      <c r="DG452" s="252"/>
      <c r="DH452" s="61"/>
      <c r="DI452" s="252"/>
      <c r="DJ452" s="61"/>
      <c r="DK452" s="252"/>
      <c r="DL452" s="61"/>
      <c r="DM452" s="252"/>
      <c r="DN452" s="61"/>
      <c r="DO452" s="252"/>
      <c r="DP452" s="61"/>
      <c r="DQ452" s="252"/>
      <c r="DR452" s="61"/>
      <c r="DS452" s="252"/>
      <c r="DT452" s="61"/>
      <c r="DU452" s="252"/>
      <c r="DV452" s="61"/>
      <c r="DW452" s="252"/>
      <c r="DX452" s="252"/>
      <c r="DY452" s="252"/>
      <c r="DZ452" s="61"/>
      <c r="EA452" s="252"/>
      <c r="EB452" s="61"/>
      <c r="EC452" s="252"/>
      <c r="ED452" s="61"/>
      <c r="EE452" s="252"/>
      <c r="EF452" s="61"/>
      <c r="EG452" s="252"/>
      <c r="EH452" s="61"/>
      <c r="EI452" s="252"/>
      <c r="EJ452" s="61"/>
      <c r="EK452" s="252"/>
      <c r="EL452" s="61"/>
      <c r="EM452" s="252"/>
      <c r="EN452" s="61"/>
      <c r="EO452" s="252"/>
      <c r="EP452" s="61"/>
      <c r="EQ452" s="252"/>
      <c r="ER452" s="61"/>
      <c r="ES452" s="252"/>
      <c r="ET452" s="61"/>
      <c r="EU452" s="252"/>
      <c r="EV452" s="61"/>
      <c r="EW452" s="252"/>
      <c r="EX452" s="61"/>
      <c r="EY452" s="253"/>
      <c r="EZ452" s="558"/>
      <c r="FA452" s="253"/>
      <c r="FB452" s="189"/>
      <c r="FC452" s="254"/>
      <c r="FD452" s="189"/>
      <c r="FE452" s="254"/>
      <c r="FF452" s="189"/>
      <c r="FG452" s="254"/>
      <c r="FH452" s="189"/>
      <c r="FI452" s="254"/>
      <c r="FJ452" s="189"/>
      <c r="FK452" s="254"/>
      <c r="FL452" s="189"/>
      <c r="FM452" s="254"/>
      <c r="FN452" s="189"/>
      <c r="FO452" s="254"/>
      <c r="FP452" s="255"/>
      <c r="FQ452" s="61"/>
      <c r="FR452" s="255"/>
      <c r="FS452" s="61"/>
      <c r="FT452" s="255"/>
      <c r="FU452" s="61"/>
      <c r="FV452" s="255"/>
      <c r="FW452" s="61"/>
      <c r="FX452" s="255"/>
      <c r="FY452" s="61"/>
      <c r="FZ452" s="255"/>
      <c r="GA452" s="61"/>
      <c r="GB452" s="255"/>
      <c r="GC452" s="61"/>
      <c r="GD452" s="255"/>
      <c r="GE452" s="61"/>
      <c r="GF452" s="255"/>
      <c r="GG452" s="61"/>
      <c r="GH452" s="255"/>
      <c r="GI452" s="61"/>
      <c r="GJ452" s="255"/>
      <c r="GK452" s="61"/>
      <c r="GL452" s="255"/>
      <c r="GM452" s="61"/>
      <c r="GN452" s="255"/>
      <c r="GO452" s="61"/>
      <c r="GP452" s="255"/>
      <c r="GQ452" s="61"/>
      <c r="GR452" s="252"/>
      <c r="GS452" s="61"/>
      <c r="GT452" s="252"/>
      <c r="GU452" s="61"/>
      <c r="GV452" s="252"/>
      <c r="GW452" s="61"/>
      <c r="GX452" s="252"/>
      <c r="GY452" s="61"/>
      <c r="GZ452" s="61"/>
      <c r="HA452" s="61"/>
      <c r="HB452" s="452"/>
      <c r="HC452"/>
      <c r="HD452"/>
      <c r="HE452"/>
      <c r="HF452"/>
      <c r="HG452"/>
      <c r="HH452"/>
    </row>
    <row r="453" spans="1:216" s="3" customFormat="1" ht="12.75" hidden="1" customHeight="1" outlineLevel="1" x14ac:dyDescent="0.2">
      <c r="B453" s="235" t="s">
        <v>427</v>
      </c>
      <c r="C453" s="189"/>
      <c r="D453" s="245"/>
      <c r="E453" s="189"/>
      <c r="F453" s="245"/>
      <c r="G453" s="189"/>
      <c r="H453" s="245"/>
      <c r="I453" s="189"/>
      <c r="J453" s="245"/>
      <c r="K453" s="189"/>
      <c r="L453" s="184"/>
      <c r="M453" s="189"/>
      <c r="N453" s="184"/>
      <c r="O453" s="189"/>
      <c r="P453" s="184"/>
      <c r="Q453" s="189"/>
      <c r="R453" s="184"/>
      <c r="S453" s="189"/>
      <c r="T453" s="184"/>
      <c r="U453" s="189"/>
      <c r="V453" s="184"/>
      <c r="W453" s="189"/>
      <c r="X453" s="184"/>
      <c r="Y453" s="189"/>
      <c r="Z453" s="184"/>
      <c r="AA453" s="189"/>
      <c r="AB453" s="184"/>
      <c r="AC453" s="189"/>
      <c r="AD453" s="184"/>
      <c r="AE453" s="189"/>
      <c r="AF453" s="184"/>
      <c r="AG453" s="189"/>
      <c r="AH453" s="184"/>
      <c r="AI453" s="215"/>
      <c r="AJ453" s="184"/>
      <c r="AK453" s="189"/>
      <c r="AL453" s="184"/>
      <c r="AM453" s="189"/>
      <c r="AN453" s="184"/>
      <c r="AO453" s="189"/>
      <c r="AP453" s="184"/>
      <c r="AQ453" s="189"/>
      <c r="AR453" s="184"/>
      <c r="AS453" s="189"/>
      <c r="AT453" s="184"/>
      <c r="AU453" s="189"/>
      <c r="AV453" s="61"/>
      <c r="AW453" s="189"/>
      <c r="AX453" s="61"/>
      <c r="AY453" s="189"/>
      <c r="AZ453" s="61"/>
      <c r="BA453" s="189">
        <f>+BA439-BA442</f>
        <v>49.9</v>
      </c>
      <c r="BB453" s="61" t="str">
        <f>IF(ISERROR((BA453/AS453-1)*100),"NA",IF(((BA453/AS453-1)*100)&gt;100,"NM",IF(((BA453/AS453-1)*100)&lt;-50,"NM",(BA453/AS453-1)*100)))</f>
        <v>NA</v>
      </c>
      <c r="BC453" s="189">
        <f>+BC439-BC442</f>
        <v>49.5</v>
      </c>
      <c r="BD453" s="61" t="str">
        <f>IF(ISERROR((BC453/AU453-1)*100),"NA",IF(((BC453/AU453-1)*100)&gt;100,"NM",IF(((BC453/AU453-1)*100)&lt;-50,"NM",(BC453/AU453-1)*100)))</f>
        <v>NA</v>
      </c>
      <c r="BE453" s="189">
        <f>+BE439-BE442</f>
        <v>54.8</v>
      </c>
      <c r="BF453" s="61" t="str">
        <f>IF(ISERROR((BE453/AW453-1)*100),"NA",IF(((BE453/AW453-1)*100)&gt;100,"NM",IF(((BE453/AW453-1)*100)&lt;-50,"NM",(BE453/AW453-1)*100)))</f>
        <v>NA</v>
      </c>
      <c r="BG453" s="210"/>
      <c r="BH453" s="61"/>
      <c r="BI453" s="210"/>
      <c r="BJ453" s="61"/>
      <c r="BK453" s="210"/>
      <c r="BL453" s="61"/>
      <c r="BM453" s="210"/>
      <c r="BN453" s="61"/>
      <c r="BO453" s="189"/>
      <c r="BP453" s="61"/>
      <c r="BQ453" s="189"/>
      <c r="BR453" s="61"/>
      <c r="BS453" s="189"/>
      <c r="BT453" s="61"/>
      <c r="BU453" s="189"/>
      <c r="BV453" s="61"/>
      <c r="BW453" s="213"/>
      <c r="BX453" s="61"/>
      <c r="BY453" s="213"/>
      <c r="BZ453" s="61"/>
      <c r="CA453" s="213"/>
      <c r="CB453" s="61"/>
      <c r="CC453" s="213"/>
      <c r="CD453" s="61"/>
      <c r="CE453" s="213"/>
      <c r="CF453" s="61"/>
      <c r="CG453" s="213"/>
      <c r="CH453" s="61"/>
      <c r="CI453" s="213"/>
      <c r="CJ453" s="61"/>
      <c r="CK453" s="213"/>
      <c r="CL453" s="61"/>
      <c r="CM453" s="213"/>
      <c r="CN453" s="61"/>
      <c r="CO453" s="213"/>
      <c r="CP453" s="61"/>
      <c r="CQ453" s="213"/>
      <c r="CR453" s="61"/>
      <c r="CS453" s="213"/>
      <c r="CT453" s="61"/>
      <c r="CU453" s="213"/>
      <c r="CV453" s="61"/>
      <c r="CW453" s="213"/>
      <c r="CX453" s="61"/>
      <c r="CY453" s="213"/>
      <c r="CZ453" s="61"/>
      <c r="DA453" s="213"/>
      <c r="DB453" s="61"/>
      <c r="DC453" s="213"/>
      <c r="DD453" s="61"/>
      <c r="DE453" s="213"/>
      <c r="DF453" s="61"/>
      <c r="DG453" s="213"/>
      <c r="DH453" s="61"/>
      <c r="DI453" s="213"/>
      <c r="DJ453" s="61"/>
      <c r="DK453" s="213"/>
      <c r="DL453" s="61"/>
      <c r="DM453" s="213"/>
      <c r="DN453" s="61"/>
      <c r="DO453" s="213"/>
      <c r="DP453" s="61"/>
      <c r="DQ453" s="213"/>
      <c r="DR453" s="61"/>
      <c r="DS453" s="213"/>
      <c r="DT453" s="61"/>
      <c r="DU453" s="213"/>
      <c r="DV453" s="61"/>
      <c r="DW453" s="213"/>
      <c r="DX453" s="213"/>
      <c r="DY453" s="213"/>
      <c r="DZ453" s="61"/>
      <c r="EA453" s="213"/>
      <c r="EB453" s="61"/>
      <c r="EC453" s="213"/>
      <c r="ED453" s="61"/>
      <c r="EE453" s="213"/>
      <c r="EF453" s="61"/>
      <c r="EG453" s="213"/>
      <c r="EH453" s="61"/>
      <c r="EI453" s="213"/>
      <c r="EJ453" s="61"/>
      <c r="EK453" s="213"/>
      <c r="EL453" s="61"/>
      <c r="EM453" s="213"/>
      <c r="EN453" s="61"/>
      <c r="EO453" s="213"/>
      <c r="EP453" s="61"/>
      <c r="EQ453" s="213"/>
      <c r="ER453" s="61"/>
      <c r="ES453" s="213"/>
      <c r="ET453" s="61"/>
      <c r="EU453" s="213"/>
      <c r="EV453" s="61"/>
      <c r="EW453" s="213"/>
      <c r="EX453" s="61"/>
      <c r="EY453" s="253"/>
      <c r="EZ453" s="558"/>
      <c r="FA453" s="253"/>
      <c r="FB453" s="189"/>
      <c r="FC453" s="209"/>
      <c r="FD453" s="189"/>
      <c r="FE453" s="209"/>
      <c r="FF453" s="189"/>
      <c r="FG453" s="209"/>
      <c r="FH453" s="189"/>
      <c r="FI453" s="209"/>
      <c r="FJ453" s="189"/>
      <c r="FK453" s="209"/>
      <c r="FL453" s="189"/>
      <c r="FM453" s="209"/>
      <c r="FN453" s="189"/>
      <c r="FO453" s="209"/>
      <c r="FP453" s="213"/>
      <c r="FQ453" s="61"/>
      <c r="FR453" s="213">
        <f>+FR439-FR442</f>
        <v>154.20000000000002</v>
      </c>
      <c r="FS453" s="61"/>
      <c r="FT453" s="213"/>
      <c r="FU453" s="61"/>
      <c r="FV453" s="213"/>
      <c r="FW453" s="61"/>
      <c r="FX453" s="213"/>
      <c r="FY453" s="61"/>
      <c r="FZ453" s="213"/>
      <c r="GA453" s="61"/>
      <c r="GB453" s="213"/>
      <c r="GC453" s="61"/>
      <c r="GD453" s="213"/>
      <c r="GE453" s="61"/>
      <c r="GF453" s="213"/>
      <c r="GG453" s="61"/>
      <c r="GH453" s="213"/>
      <c r="GI453" s="61"/>
      <c r="GJ453" s="213"/>
      <c r="GK453" s="61"/>
      <c r="GL453" s="213"/>
      <c r="GM453" s="61"/>
      <c r="GN453" s="213"/>
      <c r="GO453" s="61"/>
      <c r="GP453" s="213"/>
      <c r="GQ453" s="61"/>
      <c r="GR453" s="213"/>
      <c r="GS453" s="61"/>
      <c r="GT453" s="213"/>
      <c r="GU453" s="61"/>
      <c r="GV453" s="213"/>
      <c r="GW453" s="61"/>
      <c r="GX453" s="213"/>
      <c r="GY453" s="61"/>
      <c r="GZ453" s="61"/>
      <c r="HA453" s="61"/>
      <c r="HB453" s="452"/>
      <c r="HC453"/>
      <c r="HD453"/>
      <c r="HE453"/>
      <c r="HF453"/>
      <c r="HG453"/>
      <c r="HH453"/>
    </row>
    <row r="454" spans="1:216" s="3" customFormat="1" ht="12.75" hidden="1" customHeight="1" outlineLevel="1" x14ac:dyDescent="0.2">
      <c r="B454" s="235"/>
      <c r="C454" s="183"/>
      <c r="D454" s="245"/>
      <c r="E454" s="183"/>
      <c r="F454" s="245"/>
      <c r="G454" s="185"/>
      <c r="H454" s="245"/>
      <c r="I454" s="185"/>
      <c r="J454" s="245"/>
      <c r="K454" s="185"/>
      <c r="L454" s="245"/>
      <c r="M454" s="183"/>
      <c r="N454" s="245"/>
      <c r="O454" s="183"/>
      <c r="P454" s="245"/>
      <c r="Q454" s="185"/>
      <c r="R454" s="245"/>
      <c r="S454" s="185"/>
      <c r="T454" s="245"/>
      <c r="U454" s="185"/>
      <c r="V454" s="245"/>
      <c r="W454" s="183"/>
      <c r="X454" s="245"/>
      <c r="Y454" s="183"/>
      <c r="Z454" s="245"/>
      <c r="AA454" s="185"/>
      <c r="AB454" s="245"/>
      <c r="AC454" s="185"/>
      <c r="AD454" s="245"/>
      <c r="AE454" s="183"/>
      <c r="AF454" s="245"/>
      <c r="AG454" s="183"/>
      <c r="AH454" s="245"/>
      <c r="AI454" s="248"/>
      <c r="AJ454" s="245"/>
      <c r="AK454" s="185"/>
      <c r="AL454" s="245"/>
      <c r="AM454" s="183"/>
      <c r="AN454" s="245"/>
      <c r="AO454" s="183"/>
      <c r="AP454" s="245"/>
      <c r="AQ454" s="183"/>
      <c r="AR454" s="245"/>
      <c r="AS454" s="183"/>
      <c r="AT454" s="245"/>
      <c r="AU454" s="183"/>
      <c r="AV454" s="245"/>
      <c r="AW454" s="183"/>
      <c r="AX454" s="61"/>
      <c r="AY454" s="185"/>
      <c r="AZ454" s="61"/>
      <c r="BA454" s="185"/>
      <c r="BB454" s="61"/>
      <c r="BC454" s="185"/>
      <c r="BD454" s="61"/>
      <c r="BE454" s="185"/>
      <c r="BF454" s="61"/>
      <c r="BG454" s="186"/>
      <c r="BH454" s="61"/>
      <c r="BI454" s="186"/>
      <c r="BJ454" s="61"/>
      <c r="BK454" s="186"/>
      <c r="BL454" s="61"/>
      <c r="BM454" s="186"/>
      <c r="BN454" s="61"/>
      <c r="BO454" s="185"/>
      <c r="BP454" s="61"/>
      <c r="BQ454" s="185"/>
      <c r="BR454" s="61"/>
      <c r="BS454" s="185"/>
      <c r="BT454" s="61"/>
      <c r="BU454" s="185"/>
      <c r="BV454" s="61"/>
      <c r="BW454" s="238"/>
      <c r="BX454" s="61"/>
      <c r="BY454" s="238"/>
      <c r="BZ454" s="61"/>
      <c r="CA454" s="238"/>
      <c r="CB454" s="61"/>
      <c r="CC454" s="238"/>
      <c r="CD454" s="61"/>
      <c r="CE454" s="238"/>
      <c r="CF454" s="61"/>
      <c r="CG454" s="238"/>
      <c r="CH454" s="61"/>
      <c r="CI454" s="238"/>
      <c r="CJ454" s="61"/>
      <c r="CK454" s="238"/>
      <c r="CL454" s="61"/>
      <c r="CM454" s="238"/>
      <c r="CN454" s="61"/>
      <c r="CO454" s="238"/>
      <c r="CP454" s="61"/>
      <c r="CQ454" s="238"/>
      <c r="CR454" s="61"/>
      <c r="CS454" s="238"/>
      <c r="CT454" s="61"/>
      <c r="CU454" s="238"/>
      <c r="CV454" s="61"/>
      <c r="CW454" s="238"/>
      <c r="CX454" s="61"/>
      <c r="CY454" s="238"/>
      <c r="CZ454" s="61"/>
      <c r="DA454" s="238"/>
      <c r="DB454" s="61"/>
      <c r="DC454" s="238"/>
      <c r="DD454" s="61"/>
      <c r="DE454" s="238"/>
      <c r="DF454" s="61"/>
      <c r="DG454" s="238"/>
      <c r="DH454" s="61"/>
      <c r="DI454" s="238"/>
      <c r="DJ454" s="61"/>
      <c r="DK454" s="238"/>
      <c r="DL454" s="61"/>
      <c r="DM454" s="238"/>
      <c r="DN454" s="61"/>
      <c r="DO454" s="238"/>
      <c r="DP454" s="61"/>
      <c r="DQ454" s="238"/>
      <c r="DR454" s="61"/>
      <c r="DS454" s="238"/>
      <c r="DT454" s="61"/>
      <c r="DU454" s="238"/>
      <c r="DV454" s="61"/>
      <c r="DW454" s="238"/>
      <c r="DX454" s="238"/>
      <c r="DY454" s="238"/>
      <c r="DZ454" s="61"/>
      <c r="EA454" s="238"/>
      <c r="EB454" s="61"/>
      <c r="EC454" s="238"/>
      <c r="ED454" s="61"/>
      <c r="EE454" s="238"/>
      <c r="EF454" s="61"/>
      <c r="EG454" s="238"/>
      <c r="EH454" s="61"/>
      <c r="EI454" s="238"/>
      <c r="EJ454" s="61"/>
      <c r="EK454" s="238"/>
      <c r="EL454" s="61"/>
      <c r="EM454" s="238"/>
      <c r="EN454" s="61"/>
      <c r="EO454" s="238"/>
      <c r="EP454" s="61"/>
      <c r="EQ454" s="238"/>
      <c r="ER454" s="61"/>
      <c r="ES454" s="238"/>
      <c r="ET454" s="61"/>
      <c r="EU454" s="238"/>
      <c r="EV454" s="61"/>
      <c r="EW454" s="238"/>
      <c r="EX454" s="61"/>
      <c r="EY454" s="237"/>
      <c r="EZ454" s="558"/>
      <c r="FA454" s="237"/>
      <c r="FB454" s="183"/>
      <c r="FC454" s="245"/>
      <c r="FD454" s="183"/>
      <c r="FE454" s="245"/>
      <c r="FF454" s="183"/>
      <c r="FG454" s="245"/>
      <c r="FH454" s="183"/>
      <c r="FI454" s="245"/>
      <c r="FJ454" s="183"/>
      <c r="FK454" s="245"/>
      <c r="FL454" s="183"/>
      <c r="FM454" s="245"/>
      <c r="FN454" s="183"/>
      <c r="FO454" s="245"/>
      <c r="FP454" s="240"/>
      <c r="FQ454" s="61"/>
      <c r="FR454" s="240"/>
      <c r="FS454" s="61"/>
      <c r="FT454" s="240"/>
      <c r="FU454" s="61"/>
      <c r="FV454" s="240"/>
      <c r="FW454" s="61"/>
      <c r="FX454" s="240"/>
      <c r="FY454" s="61"/>
      <c r="FZ454" s="240"/>
      <c r="GA454" s="61"/>
      <c r="GB454" s="240"/>
      <c r="GC454" s="61"/>
      <c r="GD454" s="240"/>
      <c r="GE454" s="61"/>
      <c r="GF454" s="240"/>
      <c r="GG454" s="61"/>
      <c r="GH454" s="240"/>
      <c r="GI454" s="61"/>
      <c r="GJ454" s="240"/>
      <c r="GK454" s="61"/>
      <c r="GL454" s="240"/>
      <c r="GM454" s="61"/>
      <c r="GN454" s="240"/>
      <c r="GO454" s="61"/>
      <c r="GP454" s="240"/>
      <c r="GQ454" s="61"/>
      <c r="GR454" s="238"/>
      <c r="GS454" s="61"/>
      <c r="GT454" s="238"/>
      <c r="GU454" s="61"/>
      <c r="GV454" s="238"/>
      <c r="GW454" s="61"/>
      <c r="GX454" s="238"/>
      <c r="GY454" s="61"/>
      <c r="GZ454" s="61"/>
      <c r="HA454" s="61"/>
      <c r="HB454" s="452"/>
      <c r="HC454"/>
      <c r="HD454"/>
      <c r="HE454"/>
      <c r="HF454"/>
      <c r="HG454"/>
      <c r="HH454"/>
    </row>
    <row r="455" spans="1:216" s="3" customFormat="1" ht="12.75" hidden="1" customHeight="1" outlineLevel="1" x14ac:dyDescent="0.2">
      <c r="B455" s="256" t="s">
        <v>283</v>
      </c>
      <c r="C455" s="183"/>
      <c r="D455" s="245"/>
      <c r="E455" s="183"/>
      <c r="F455" s="245"/>
      <c r="G455" s="185"/>
      <c r="H455" s="245"/>
      <c r="I455" s="185"/>
      <c r="J455" s="245"/>
      <c r="K455" s="185"/>
      <c r="L455" s="245"/>
      <c r="M455" s="183"/>
      <c r="N455" s="245"/>
      <c r="O455" s="183"/>
      <c r="P455" s="245"/>
      <c r="Q455" s="185"/>
      <c r="R455" s="245"/>
      <c r="S455" s="185"/>
      <c r="T455" s="245"/>
      <c r="U455" s="185"/>
      <c r="V455" s="245"/>
      <c r="W455" s="183"/>
      <c r="X455" s="245"/>
      <c r="Y455" s="183"/>
      <c r="Z455" s="245"/>
      <c r="AA455" s="185"/>
      <c r="AB455" s="245"/>
      <c r="AC455" s="185"/>
      <c r="AD455" s="245"/>
      <c r="AE455" s="183"/>
      <c r="AF455" s="245"/>
      <c r="AG455" s="183"/>
      <c r="AH455" s="245"/>
      <c r="AI455" s="248"/>
      <c r="AJ455" s="245"/>
      <c r="AK455" s="185"/>
      <c r="AL455" s="245"/>
      <c r="AM455" s="183"/>
      <c r="AN455" s="245"/>
      <c r="AO455" s="183"/>
      <c r="AP455" s="245"/>
      <c r="AQ455" s="183"/>
      <c r="AR455" s="245"/>
      <c r="AS455" s="183"/>
      <c r="AT455" s="245"/>
      <c r="AU455" s="183"/>
      <c r="AV455" s="245"/>
      <c r="AW455" s="183"/>
      <c r="AX455" s="61"/>
      <c r="AY455" s="185"/>
      <c r="AZ455" s="61"/>
      <c r="BA455" s="185"/>
      <c r="BB455" s="61"/>
      <c r="BC455" s="185"/>
      <c r="BD455" s="61"/>
      <c r="BE455" s="185"/>
      <c r="BF455" s="61"/>
      <c r="BG455" s="186"/>
      <c r="BH455" s="61"/>
      <c r="BI455" s="186"/>
      <c r="BJ455" s="61"/>
      <c r="BK455" s="186"/>
      <c r="BL455" s="61"/>
      <c r="BM455" s="186"/>
      <c r="BN455" s="61"/>
      <c r="BO455" s="185"/>
      <c r="BP455" s="61"/>
      <c r="BQ455" s="185"/>
      <c r="BR455" s="61"/>
      <c r="BS455" s="185"/>
      <c r="BT455" s="61"/>
      <c r="BU455" s="185"/>
      <c r="BV455" s="61"/>
      <c r="BW455" s="238"/>
      <c r="BX455" s="61"/>
      <c r="BY455" s="238"/>
      <c r="BZ455" s="61"/>
      <c r="CA455" s="238"/>
      <c r="CB455" s="61"/>
      <c r="CC455" s="238"/>
      <c r="CD455" s="61"/>
      <c r="CE455" s="238"/>
      <c r="CF455" s="61"/>
      <c r="CG455" s="238"/>
      <c r="CH455" s="61"/>
      <c r="CI455" s="238"/>
      <c r="CJ455" s="61"/>
      <c r="CK455" s="238"/>
      <c r="CL455" s="61"/>
      <c r="CM455" s="238"/>
      <c r="CN455" s="61"/>
      <c r="CO455" s="238"/>
      <c r="CP455" s="61"/>
      <c r="CQ455" s="238"/>
      <c r="CR455" s="61"/>
      <c r="CS455" s="238"/>
      <c r="CT455" s="61"/>
      <c r="CU455" s="238"/>
      <c r="CV455" s="61"/>
      <c r="CW455" s="238"/>
      <c r="CX455" s="61"/>
      <c r="CY455" s="238"/>
      <c r="CZ455" s="61"/>
      <c r="DA455" s="238"/>
      <c r="DB455" s="61"/>
      <c r="DC455" s="238"/>
      <c r="DD455" s="61"/>
      <c r="DE455" s="238"/>
      <c r="DF455" s="61"/>
      <c r="DG455" s="238"/>
      <c r="DH455" s="61"/>
      <c r="DI455" s="238"/>
      <c r="DJ455" s="61"/>
      <c r="DK455" s="238"/>
      <c r="DL455" s="61"/>
      <c r="DM455" s="238"/>
      <c r="DN455" s="61"/>
      <c r="DO455" s="238"/>
      <c r="DP455" s="61"/>
      <c r="DQ455" s="238"/>
      <c r="DR455" s="61"/>
      <c r="DS455" s="238"/>
      <c r="DT455" s="61"/>
      <c r="DU455" s="238"/>
      <c r="DV455" s="61"/>
      <c r="DW455" s="238"/>
      <c r="DX455" s="238"/>
      <c r="DY455" s="238"/>
      <c r="DZ455" s="61"/>
      <c r="EA455" s="238"/>
      <c r="EB455" s="61"/>
      <c r="EC455" s="238"/>
      <c r="ED455" s="61"/>
      <c r="EE455" s="238"/>
      <c r="EF455" s="61"/>
      <c r="EG455" s="238"/>
      <c r="EH455" s="61"/>
      <c r="EI455" s="238"/>
      <c r="EJ455" s="61"/>
      <c r="EK455" s="238"/>
      <c r="EL455" s="61"/>
      <c r="EM455" s="238"/>
      <c r="EN455" s="61"/>
      <c r="EO455" s="238"/>
      <c r="EP455" s="61"/>
      <c r="EQ455" s="238"/>
      <c r="ER455" s="61"/>
      <c r="ES455" s="238"/>
      <c r="ET455" s="61"/>
      <c r="EU455" s="238"/>
      <c r="EV455" s="61"/>
      <c r="EW455" s="238"/>
      <c r="EX455" s="61"/>
      <c r="EY455" s="237"/>
      <c r="EZ455" s="558"/>
      <c r="FA455" s="237"/>
      <c r="FB455" s="183"/>
      <c r="FC455" s="245"/>
      <c r="FD455" s="183"/>
      <c r="FE455" s="245"/>
      <c r="FF455" s="183"/>
      <c r="FG455" s="245"/>
      <c r="FH455" s="183"/>
      <c r="FI455" s="245"/>
      <c r="FJ455" s="183"/>
      <c r="FK455" s="245"/>
      <c r="FL455" s="183"/>
      <c r="FM455" s="245"/>
      <c r="FN455" s="183"/>
      <c r="FO455" s="245"/>
      <c r="FP455" s="240"/>
      <c r="FQ455" s="61"/>
      <c r="FR455" s="240"/>
      <c r="FS455" s="61"/>
      <c r="FT455" s="240"/>
      <c r="FU455" s="61"/>
      <c r="FV455" s="240"/>
      <c r="FW455" s="61"/>
      <c r="FX455" s="240"/>
      <c r="FY455" s="61"/>
      <c r="FZ455" s="240"/>
      <c r="GA455" s="61"/>
      <c r="GB455" s="240"/>
      <c r="GC455" s="61"/>
      <c r="GD455" s="240"/>
      <c r="GE455" s="61"/>
      <c r="GF455" s="240"/>
      <c r="GG455" s="61"/>
      <c r="GH455" s="240"/>
      <c r="GI455" s="61"/>
      <c r="GJ455" s="240"/>
      <c r="GK455" s="61"/>
      <c r="GL455" s="240"/>
      <c r="GM455" s="61"/>
      <c r="GN455" s="240"/>
      <c r="GO455" s="61"/>
      <c r="GP455" s="240"/>
      <c r="GQ455" s="61"/>
      <c r="GR455" s="238"/>
      <c r="GS455" s="61"/>
      <c r="GT455" s="238"/>
      <c r="GU455" s="61"/>
      <c r="GV455" s="238"/>
      <c r="GW455" s="61"/>
      <c r="GX455" s="238"/>
      <c r="GY455" s="61"/>
      <c r="GZ455" s="61"/>
      <c r="HA455" s="61"/>
      <c r="HB455" s="452"/>
      <c r="HC455"/>
      <c r="HD455"/>
      <c r="HE455"/>
      <c r="HF455"/>
      <c r="HG455"/>
      <c r="HH455"/>
    </row>
    <row r="456" spans="1:216" s="3" customFormat="1" ht="12.75" hidden="1" customHeight="1" outlineLevel="1" x14ac:dyDescent="0.2">
      <c r="A456" s="5" t="s">
        <v>428</v>
      </c>
      <c r="B456" s="235" t="s">
        <v>386</v>
      </c>
      <c r="C456" s="189">
        <f>+C439-C446</f>
        <v>14.793999999999997</v>
      </c>
      <c r="D456" s="184"/>
      <c r="E456" s="189">
        <f>+E439-E446</f>
        <v>15.691000000000003</v>
      </c>
      <c r="F456" s="184"/>
      <c r="G456" s="189">
        <f>+G439-G446</f>
        <v>15.899000000000008</v>
      </c>
      <c r="H456" s="184"/>
      <c r="I456" s="189">
        <f>+I439-I446</f>
        <v>21.856000000000002</v>
      </c>
      <c r="J456" s="184"/>
      <c r="K456" s="189">
        <f>+K439-K446</f>
        <v>11.592000000000006</v>
      </c>
      <c r="L456" s="184">
        <f t="shared" ref="L456:L461" si="2359">IF(ISERROR((K456/C456-1)*100),"NA",IF(((K456/C456-1)*100)&gt;100,"NM",IF(((K456/C456-1)*100)&lt;-50,"NM",(K456/C456-1)*100)))</f>
        <v>-21.643909693118779</v>
      </c>
      <c r="M456" s="189">
        <f>+M439-M446</f>
        <v>14.476999999999997</v>
      </c>
      <c r="N456" s="184">
        <f t="shared" ref="N456:N461" si="2360">IF(ISERROR((M456/E456-1)*100),"NA",IF(((M456/E456-1)*100)&gt;100,"NM",IF(((M456/E456-1)*100)&lt;-50,"NM",(M456/E456-1)*100)))</f>
        <v>-7.7369192530750475</v>
      </c>
      <c r="O456" s="189">
        <f>+O439-O446</f>
        <v>13.272000000000002</v>
      </c>
      <c r="P456" s="184">
        <f t="shared" ref="P456:P461" si="2361">IF(ISERROR((O456/G456-1)*100),"NA",IF(((O456/G456-1)*100)&gt;100,"NM",IF(((O456/G456-1)*100)&lt;-50,"NM",(O456/G456-1)*100)))</f>
        <v>-16.523051764261933</v>
      </c>
      <c r="Q456" s="189">
        <f>+Q439-Q446</f>
        <v>16.299999999999997</v>
      </c>
      <c r="R456" s="184">
        <f t="shared" ref="R456:R461" si="2362">IF(ISERROR((Q456/I456-1)*100),"NA",IF(((Q456/I456-1)*100)&gt;100,"NM",IF(((Q456/I456-1)*100)&lt;-50,"NM",(Q456/I456-1)*100)))</f>
        <v>-25.420937042459755</v>
      </c>
      <c r="S456" s="189">
        <f>+S439-S446</f>
        <v>10.945</v>
      </c>
      <c r="T456" s="184">
        <f t="shared" ref="T456:T461" si="2363">IF(ISERROR((S456/K456-1)*100),"NA",IF(((S456/K456-1)*100)&gt;100,"NM",IF(((S456/K456-1)*100)&lt;-50,"NM",(S456/K456-1)*100)))</f>
        <v>-5.5814354727398712</v>
      </c>
      <c r="U456" s="189">
        <f>+U439-U446</f>
        <v>17.638000000000005</v>
      </c>
      <c r="V456" s="184">
        <f t="shared" ref="V456:V461" si="2364">IF(ISERROR((U456/M456-1)*100),"NA",IF(((U456/M456-1)*100)&gt;100,"NM",IF(((U456/M456-1)*100)&lt;-50,"NM",(U456/M456-1)*100)))</f>
        <v>21.834634247427019</v>
      </c>
      <c r="W456" s="189">
        <f>+W439-W446</f>
        <v>15.738999999999997</v>
      </c>
      <c r="X456" s="184">
        <f t="shared" ref="X456:X461" si="2365">IF(ISERROR((W456/O456-1)*100),"NA",IF(((W456/O456-1)*100)&gt;100,"NM",IF(((W456/O456-1)*100)&lt;-50,"NM",(W456/O456-1)*100)))</f>
        <v>18.588004822181993</v>
      </c>
      <c r="Y456" s="189">
        <f>+Y439-Y446</f>
        <v>21.753999999999998</v>
      </c>
      <c r="Z456" s="184">
        <f t="shared" ref="Z456:Z461" si="2366">IF(ISERROR((Y456/Q456-1)*100),"NA",IF(((Y456/Q456-1)*100)&gt;100,"NM",IF(((Y456/Q456-1)*100)&lt;-50,"NM",(Y456/Q456-1)*100)))</f>
        <v>33.460122699386517</v>
      </c>
      <c r="AA456" s="189">
        <f>+AA439-AA446</f>
        <v>11.552</v>
      </c>
      <c r="AB456" s="184">
        <f t="shared" ref="AB456:AB461" si="2367">IF(ISERROR((AA456/S456-1)*100),"NA",IF(((AA456/S456-1)*100)&gt;100,"NM",IF(((AA456/S456-1)*100)&lt;-50,"NM",(AA456/S456-1)*100)))</f>
        <v>5.5459113750570888</v>
      </c>
      <c r="AC456" s="189">
        <f>+AC439-AC446</f>
        <v>19.334999999999997</v>
      </c>
      <c r="AD456" s="184">
        <f t="shared" ref="AD456:AD461" si="2368">IF(ISERROR((AC456/U456-1)*100),"NA",IF(((AC456/U456-1)*100)&gt;100,"NM",IF(((AC456/U456-1)*100)&lt;-50,"NM",(AC456/U456-1)*100)))</f>
        <v>9.6212722530898631</v>
      </c>
      <c r="AE456" s="189">
        <f>+AE439-AE446</f>
        <v>19.396999999999998</v>
      </c>
      <c r="AF456" s="184">
        <f t="shared" ref="AF456:AF461" si="2369">IF(ISERROR((AE456/W456-1)*100),"NA",IF(((AE456/W456-1)*100)&gt;100,"NM",IF(((AE456/W456-1)*100)&lt;-50,"NM",(AE456/W456-1)*100)))</f>
        <v>23.241629074274115</v>
      </c>
      <c r="AG456" s="189">
        <f>+AG439-AG446</f>
        <v>24.297000000000004</v>
      </c>
      <c r="AH456" s="184">
        <f t="shared" ref="AH456:AH461" si="2370">IF(ISERROR((AG456/Y456-1)*100),"NA",IF(((AG456/Y456-1)*100)&gt;100,"NM",IF(((AG456/Y456-1)*100)&lt;-50,"NM",(AG456/Y456-1)*100)))</f>
        <v>11.689804173945051</v>
      </c>
      <c r="AI456" s="189">
        <f>+AI439-AI446</f>
        <v>17.597999999999999</v>
      </c>
      <c r="AJ456" s="184">
        <f t="shared" ref="AJ456:AJ461" si="2371">IF(ISERROR((AI456/AA456-1)*100),"NA",IF(((AI456/AA456-1)*100)&gt;100,"NM",IF(((AI456/AA456-1)*100)&lt;-50,"NM",(AI456/AA456-1)*100)))</f>
        <v>52.33725761772854</v>
      </c>
      <c r="AK456" s="189">
        <f>+AK439-AK446</f>
        <v>22.423000000000002</v>
      </c>
      <c r="AL456" s="184">
        <f t="shared" ref="AL456:AL461" si="2372">IF(ISERROR((AK456/AC456-1)*100),"NA",IF(((AK456/AC456-1)*100)&gt;100,"NM",IF(((AK456/AC456-1)*100)&lt;-50,"NM",(AK456/AC456-1)*100)))</f>
        <v>15.971036979570762</v>
      </c>
      <c r="AM456" s="189">
        <f>+AM439-AM446</f>
        <v>22.934999999999995</v>
      </c>
      <c r="AN456" s="184">
        <f t="shared" ref="AN456:AN461" si="2373">IF(ISERROR((AM456/AE456-1)*100),"NA",IF(((AM456/AE456-1)*100)&gt;100,"NM",IF(((AM456/AE456-1)*100)&lt;-50,"NM",(AM456/AE456-1)*100)))</f>
        <v>18.239934010413972</v>
      </c>
      <c r="AO456" s="189">
        <f>+AO439-AO446</f>
        <v>26.919000000000004</v>
      </c>
      <c r="AP456" s="184">
        <f t="shared" ref="AP456:AP461" si="2374">IF(ISERROR((AO456/AG456-1)*100),"NA",IF(((AO456/AG456-1)*100)&gt;100,"NM",IF(((AO456/AG456-1)*100)&lt;-50,"NM",(AO456/AG456-1)*100)))</f>
        <v>10.791455735275957</v>
      </c>
      <c r="AQ456" s="189">
        <f>+AQ439-AQ446</f>
        <v>18.518999999999998</v>
      </c>
      <c r="AR456" s="184">
        <f t="shared" ref="AR456:AR461" si="2375">IF(ISERROR((AQ456/AI456-1)*100),"NA",IF(((AQ456/AI456-1)*100)&gt;100,"NM",IF(((AQ456/AI456-1)*100)&lt;-50,"NM",(AQ456/AI456-1)*100)))</f>
        <v>5.2335492669621564</v>
      </c>
      <c r="AS456" s="189">
        <f>+AS439-AS446</f>
        <v>23.445999999999998</v>
      </c>
      <c r="AT456" s="184">
        <f t="shared" ref="AT456:AT461" si="2376">IF(ISERROR((AS456/AK456-1)*100),"NA",IF(((AS456/AK456-1)*100)&gt;100,"NM",IF(((AS456/AK456-1)*100)&lt;-50,"NM",(AS456/AK456-1)*100)))</f>
        <v>4.5622798019890221</v>
      </c>
      <c r="AU456" s="189">
        <f>+AU439-AU446</f>
        <v>23.283999999999999</v>
      </c>
      <c r="AV456" s="61">
        <f t="shared" ref="AV456:AX461" si="2377">IF(ISERROR((AU456/AM456-1)*100),"NA",IF(((AU456/AM456-1)*100)&gt;100,"NM",IF(((AU456/AM456-1)*100)&lt;-50,"NM",(AU456/AM456-1)*100)))</f>
        <v>1.5216917375190819</v>
      </c>
      <c r="AW456" s="189">
        <f>+AW439-AW446</f>
        <v>29.475000000000001</v>
      </c>
      <c r="AX456" s="61">
        <f t="shared" si="2377"/>
        <v>9.495152123035755</v>
      </c>
      <c r="AY456" s="189"/>
      <c r="AZ456" s="61"/>
      <c r="BA456" s="189">
        <v>4</v>
      </c>
      <c r="BB456" s="61" t="str">
        <f t="shared" ref="BB456:BB462" si="2378">IF(ISERROR((BA456/AS456-1)*100),"NA",IF(((BA456/AS456-1)*100)&gt;100,"NM",IF(((BA456/AS456-1)*100)&lt;-50,"NM",(BA456/AS456-1)*100)))</f>
        <v>NM</v>
      </c>
      <c r="BC456" s="189">
        <f>+BC439-BC446</f>
        <v>22.6</v>
      </c>
      <c r="BD456" s="61">
        <f t="shared" ref="BD456:BD462" si="2379">IF(ISERROR((BC456/AU456-1)*100),"NA",IF(((BC456/AU456-1)*100)&gt;100,"NM",IF(((BC456/AU456-1)*100)&lt;-50,"NM",(BC456/AU456-1)*100)))</f>
        <v>-2.937639580828022</v>
      </c>
      <c r="BE456" s="189">
        <f>+BE439-BE446</f>
        <v>27.200000000000003</v>
      </c>
      <c r="BF456" s="61">
        <f t="shared" ref="BF456:BF462" si="2380">IF(ISERROR((BE456/AW456-1)*100),"NA",IF(((BE456/AW456-1)*100)&gt;100,"NM",IF(((BE456/AW456-1)*100)&lt;-50,"NM",(BE456/AW456-1)*100)))</f>
        <v>-7.7184054283290893</v>
      </c>
      <c r="BG456" s="210"/>
      <c r="BH456" s="61"/>
      <c r="BI456" s="210"/>
      <c r="BJ456" s="61"/>
      <c r="BK456" s="210"/>
      <c r="BL456" s="61"/>
      <c r="BM456" s="210"/>
      <c r="BN456" s="61"/>
      <c r="BO456" s="189"/>
      <c r="BP456" s="61"/>
      <c r="BQ456" s="189"/>
      <c r="BR456" s="61"/>
      <c r="BS456" s="189"/>
      <c r="BT456" s="61"/>
      <c r="BU456" s="189"/>
      <c r="BV456" s="61"/>
      <c r="BW456" s="251"/>
      <c r="BX456" s="61"/>
      <c r="BY456" s="251"/>
      <c r="BZ456" s="61"/>
      <c r="CA456" s="251"/>
      <c r="CB456" s="61"/>
      <c r="CC456" s="251"/>
      <c r="CD456" s="61"/>
      <c r="CE456" s="251"/>
      <c r="CF456" s="61"/>
      <c r="CG456" s="251"/>
      <c r="CH456" s="61"/>
      <c r="CI456" s="251"/>
      <c r="CJ456" s="61"/>
      <c r="CK456" s="251"/>
      <c r="CL456" s="61"/>
      <c r="CM456" s="251"/>
      <c r="CN456" s="61"/>
      <c r="CO456" s="251"/>
      <c r="CP456" s="61"/>
      <c r="CQ456" s="251"/>
      <c r="CR456" s="61"/>
      <c r="CS456" s="251"/>
      <c r="CT456" s="61"/>
      <c r="CU456" s="251"/>
      <c r="CV456" s="61"/>
      <c r="CW456" s="251"/>
      <c r="CX456" s="61"/>
      <c r="CY456" s="251"/>
      <c r="CZ456" s="61"/>
      <c r="DA456" s="251"/>
      <c r="DB456" s="61"/>
      <c r="DC456" s="251"/>
      <c r="DD456" s="61"/>
      <c r="DE456" s="251"/>
      <c r="DF456" s="61"/>
      <c r="DG456" s="251"/>
      <c r="DH456" s="61"/>
      <c r="DI456" s="251"/>
      <c r="DJ456" s="61"/>
      <c r="DK456" s="251"/>
      <c r="DL456" s="61"/>
      <c r="DM456" s="251"/>
      <c r="DN456" s="61"/>
      <c r="DO456" s="251"/>
      <c r="DP456" s="61"/>
      <c r="DQ456" s="251"/>
      <c r="DR456" s="61"/>
      <c r="DS456" s="251"/>
      <c r="DT456" s="61"/>
      <c r="DU456" s="251"/>
      <c r="DV456" s="61"/>
      <c r="DW456" s="251"/>
      <c r="DX456" s="251"/>
      <c r="DY456" s="251"/>
      <c r="DZ456" s="61"/>
      <c r="EA456" s="251"/>
      <c r="EB456" s="61"/>
      <c r="EC456" s="251"/>
      <c r="ED456" s="61"/>
      <c r="EE456" s="251"/>
      <c r="EF456" s="61"/>
      <c r="EG456" s="251"/>
      <c r="EH456" s="61"/>
      <c r="EI456" s="251"/>
      <c r="EJ456" s="61"/>
      <c r="EK456" s="251"/>
      <c r="EL456" s="61"/>
      <c r="EM456" s="251"/>
      <c r="EN456" s="61"/>
      <c r="EO456" s="251"/>
      <c r="EP456" s="61"/>
      <c r="EQ456" s="251"/>
      <c r="ER456" s="61"/>
      <c r="ES456" s="251"/>
      <c r="ET456" s="61"/>
      <c r="EU456" s="251"/>
      <c r="EV456" s="61"/>
      <c r="EW456" s="251"/>
      <c r="EX456" s="61"/>
      <c r="EY456" s="257"/>
      <c r="EZ456" s="558"/>
      <c r="FA456" s="257"/>
      <c r="FB456" s="189">
        <v>53.97199999999998</v>
      </c>
      <c r="FC456" s="184"/>
      <c r="FD456" s="189">
        <v>62.88300000000001</v>
      </c>
      <c r="FE456" s="184">
        <f t="shared" ref="FE456:FE461" si="2381">IF(ISERROR((FD456/FB456-1)*100),"NA",IF(((FD456/FB456-1)*100)&gt;100,"NM",IF(((FD456/FB456-1)*100)&lt;-50,"NM",(FD456/FB456-1)*100)))</f>
        <v>16.510412806640538</v>
      </c>
      <c r="FF456" s="189">
        <v>68.239999999999995</v>
      </c>
      <c r="FG456" s="184">
        <f t="shared" ref="FG456:FG461" si="2382">IF(ISERROR((FF456/FD456-1)*100),"NA",IF(((FF456/FD456-1)*100)&gt;100,"NM",IF(((FF456/FD456-1)*100)&lt;-50,"NM",(FF456/FD456-1)*100)))</f>
        <v>8.5189955949938501</v>
      </c>
      <c r="FH456" s="189">
        <v>55.640999999999963</v>
      </c>
      <c r="FI456" s="184">
        <f t="shared" ref="FI456:FI461" si="2383">IF(ISERROR((FH456/FF456-1)*100),"NA",IF(((FH456/FF456-1)*100)&gt;100,"NM",IF(((FH456/FF456-1)*100)&lt;-50,"NM",(FH456/FF456-1)*100)))</f>
        <v>-18.4627784290739</v>
      </c>
      <c r="FJ456" s="189">
        <v>66.075999999999965</v>
      </c>
      <c r="FK456" s="184">
        <f t="shared" ref="FK456:FK461" si="2384">IF(ISERROR((FJ456/FH456-1)*100),"NA",IF(((FJ456/FH456-1)*100)&gt;100,"NM",IF(((FJ456/FH456-1)*100)&lt;-50,"NM",(FJ456/FH456-1)*100)))</f>
        <v>18.754156107906049</v>
      </c>
      <c r="FL456" s="189">
        <v>74.581000000000017</v>
      </c>
      <c r="FM456" s="184">
        <f t="shared" ref="FM456:FM461" si="2385">IF(ISERROR((FL456/FJ456-1)*100),"NA",IF(((FL456/FJ456-1)*100)&gt;100,"NM",IF(((FL456/FJ456-1)*100)&lt;-50,"NM",(FL456/FJ456-1)*100)))</f>
        <v>12.871541860887547</v>
      </c>
      <c r="FN456" s="189">
        <v>89.875</v>
      </c>
      <c r="FO456" s="184">
        <f t="shared" ref="FO456:FO461" si="2386">IF(ISERROR((FN456/FL456-1)*100),"NA",IF(((FN456/FL456-1)*100)&gt;100,"NM",IF(((FN456/FL456-1)*100)&lt;-50,"NM",(FN456/FL456-1)*100)))</f>
        <v>20.506563333824946</v>
      </c>
      <c r="FP456" s="213">
        <v>94.724000000000018</v>
      </c>
      <c r="FQ456" s="61">
        <f t="shared" ref="FQ456:FQ462" si="2387">IF(ISERROR((FP456/FN456-1)*100),"NA",IF(((FP456/FN456-1)*100)&gt;100,"NM",IF(((FP456/FN456-1)*100)&lt;-50,"NM",(FP456/FN456-1)*100)))</f>
        <v>5.39527121001393</v>
      </c>
      <c r="FR456" s="213">
        <f>+FR439-FR446</f>
        <v>69.40000000000002</v>
      </c>
      <c r="FS456" s="61"/>
      <c r="FT456" s="213"/>
      <c r="FU456" s="61"/>
      <c r="FV456" s="213"/>
      <c r="FW456" s="61"/>
      <c r="FX456" s="213"/>
      <c r="FY456" s="61"/>
      <c r="FZ456" s="213"/>
      <c r="GA456" s="61"/>
      <c r="GB456" s="213"/>
      <c r="GC456" s="61"/>
      <c r="GD456" s="213"/>
      <c r="GE456" s="61"/>
      <c r="GF456" s="213"/>
      <c r="GG456" s="61"/>
      <c r="GH456" s="213"/>
      <c r="GI456" s="61"/>
      <c r="GJ456" s="213"/>
      <c r="GK456" s="61"/>
      <c r="GL456" s="213"/>
      <c r="GM456" s="61"/>
      <c r="GN456" s="213"/>
      <c r="GO456" s="61"/>
      <c r="GP456" s="213"/>
      <c r="GQ456" s="61"/>
      <c r="GR456" s="251"/>
      <c r="GS456" s="61"/>
      <c r="GT456" s="251"/>
      <c r="GU456" s="61"/>
      <c r="GV456" s="251"/>
      <c r="GW456" s="61"/>
      <c r="GX456" s="251"/>
      <c r="GY456" s="61"/>
      <c r="GZ456" s="61"/>
      <c r="HA456" s="61"/>
      <c r="HB456" s="452"/>
      <c r="HC456"/>
      <c r="HD456"/>
      <c r="HE456"/>
      <c r="HF456"/>
      <c r="HG456"/>
      <c r="HH456"/>
    </row>
    <row r="457" spans="1:216" s="244" customFormat="1" ht="12.75" hidden="1" customHeight="1" outlineLevel="1" x14ac:dyDescent="0.2">
      <c r="A457" s="3"/>
      <c r="B457" s="235" t="s">
        <v>115</v>
      </c>
      <c r="C457" s="189">
        <v>6.0229999999999997</v>
      </c>
      <c r="D457" s="184"/>
      <c r="E457" s="189">
        <v>6.4770000000000003</v>
      </c>
      <c r="F457" s="184"/>
      <c r="G457" s="189">
        <v>6.234</v>
      </c>
      <c r="H457" s="184"/>
      <c r="I457" s="189">
        <v>8.3369999999999997</v>
      </c>
      <c r="J457" s="184"/>
      <c r="K457" s="189">
        <v>4.7759999999999998</v>
      </c>
      <c r="L457" s="184">
        <f t="shared" si="2359"/>
        <v>-20.703968122198233</v>
      </c>
      <c r="M457" s="189">
        <v>5.8250000000000002</v>
      </c>
      <c r="N457" s="184">
        <f t="shared" si="2360"/>
        <v>-10.066388760228506</v>
      </c>
      <c r="O457" s="189">
        <v>5.0880000000000001</v>
      </c>
      <c r="P457" s="184">
        <f t="shared" si="2361"/>
        <v>-18.38306063522618</v>
      </c>
      <c r="Q457" s="189">
        <v>6.4340000000000002</v>
      </c>
      <c r="R457" s="184">
        <f t="shared" si="2362"/>
        <v>-22.825956579105188</v>
      </c>
      <c r="S457" s="189">
        <v>4.4029999999999996</v>
      </c>
      <c r="T457" s="184">
        <f t="shared" si="2363"/>
        <v>-7.809882747068686</v>
      </c>
      <c r="U457" s="189">
        <v>7.1269999999999998</v>
      </c>
      <c r="V457" s="184">
        <f t="shared" si="2364"/>
        <v>22.351931330472084</v>
      </c>
      <c r="W457" s="189">
        <v>5.9859999999999998</v>
      </c>
      <c r="X457" s="184">
        <f t="shared" si="2365"/>
        <v>17.649371069182386</v>
      </c>
      <c r="Y457" s="189">
        <v>8.7330000000000005</v>
      </c>
      <c r="Z457" s="184">
        <f t="shared" si="2366"/>
        <v>35.732048492384209</v>
      </c>
      <c r="AA457" s="189">
        <v>4.4880000000000004</v>
      </c>
      <c r="AB457" s="184">
        <f t="shared" si="2367"/>
        <v>1.9305019305019488</v>
      </c>
      <c r="AC457" s="189">
        <v>7.7619999999999996</v>
      </c>
      <c r="AD457" s="184">
        <f t="shared" si="2368"/>
        <v>8.9097797109583219</v>
      </c>
      <c r="AE457" s="189">
        <v>8.0310000000000006</v>
      </c>
      <c r="AF457" s="184">
        <f t="shared" si="2369"/>
        <v>34.16304710992317</v>
      </c>
      <c r="AG457" s="189">
        <v>8.9060000000000006</v>
      </c>
      <c r="AH457" s="184">
        <f t="shared" si="2370"/>
        <v>1.9809916409023298</v>
      </c>
      <c r="AI457" s="215">
        <v>7.0460000000000003</v>
      </c>
      <c r="AJ457" s="184">
        <f t="shared" si="2371"/>
        <v>56.996434937611397</v>
      </c>
      <c r="AK457" s="189">
        <v>8.6850000000000005</v>
      </c>
      <c r="AL457" s="184">
        <f t="shared" si="2372"/>
        <v>11.891265137851082</v>
      </c>
      <c r="AM457" s="189">
        <v>9.4209999999999994</v>
      </c>
      <c r="AN457" s="184">
        <f t="shared" si="2373"/>
        <v>17.307931764412878</v>
      </c>
      <c r="AO457" s="189">
        <v>10.313000000000001</v>
      </c>
      <c r="AP457" s="184">
        <f t="shared" si="2374"/>
        <v>15.798338198966988</v>
      </c>
      <c r="AQ457" s="189">
        <v>7.47</v>
      </c>
      <c r="AR457" s="184">
        <f t="shared" si="2375"/>
        <v>6.0175986375248236</v>
      </c>
      <c r="AS457" s="189">
        <v>8.4819999999999993</v>
      </c>
      <c r="AT457" s="184">
        <f t="shared" si="2376"/>
        <v>-2.3373632700057656</v>
      </c>
      <c r="AU457" s="189">
        <v>9.3840000000000003</v>
      </c>
      <c r="AV457" s="61">
        <f t="shared" si="2377"/>
        <v>-0.39273962424369868</v>
      </c>
      <c r="AW457" s="189">
        <v>11.763999999999999</v>
      </c>
      <c r="AX457" s="61">
        <f t="shared" si="2377"/>
        <v>14.06962086686705</v>
      </c>
      <c r="AY457" s="189"/>
      <c r="AZ457" s="61"/>
      <c r="BA457" s="189">
        <v>7.7</v>
      </c>
      <c r="BB457" s="61">
        <f t="shared" si="2378"/>
        <v>-9.2195236972412058</v>
      </c>
      <c r="BC457" s="189">
        <v>8</v>
      </c>
      <c r="BD457" s="61">
        <f t="shared" si="2379"/>
        <v>-14.748508098891733</v>
      </c>
      <c r="BE457" s="189">
        <v>9.6</v>
      </c>
      <c r="BF457" s="61">
        <f t="shared" si="2380"/>
        <v>-18.395103706222372</v>
      </c>
      <c r="BG457" s="210"/>
      <c r="BH457" s="61"/>
      <c r="BI457" s="210"/>
      <c r="BJ457" s="61"/>
      <c r="BK457" s="210"/>
      <c r="BL457" s="61"/>
      <c r="BM457" s="210"/>
      <c r="BN457" s="61"/>
      <c r="BO457" s="189"/>
      <c r="BP457" s="61"/>
      <c r="BQ457" s="189"/>
      <c r="BR457" s="61"/>
      <c r="BS457" s="189"/>
      <c r="BT457" s="61"/>
      <c r="BU457" s="189"/>
      <c r="BV457" s="61"/>
      <c r="BW457" s="213"/>
      <c r="BX457" s="61"/>
      <c r="BY457" s="213"/>
      <c r="BZ457" s="61"/>
      <c r="CA457" s="213"/>
      <c r="CB457" s="61"/>
      <c r="CC457" s="213"/>
      <c r="CD457" s="61"/>
      <c r="CE457" s="213"/>
      <c r="CF457" s="61"/>
      <c r="CG457" s="213"/>
      <c r="CH457" s="61"/>
      <c r="CI457" s="213"/>
      <c r="CJ457" s="61"/>
      <c r="CK457" s="213"/>
      <c r="CL457" s="61"/>
      <c r="CM457" s="213"/>
      <c r="CN457" s="61"/>
      <c r="CO457" s="213"/>
      <c r="CP457" s="61"/>
      <c r="CQ457" s="213"/>
      <c r="CR457" s="61"/>
      <c r="CS457" s="213"/>
      <c r="CT457" s="61"/>
      <c r="CU457" s="213"/>
      <c r="CV457" s="61"/>
      <c r="CW457" s="213"/>
      <c r="CX457" s="61"/>
      <c r="CY457" s="213"/>
      <c r="CZ457" s="61"/>
      <c r="DA457" s="213"/>
      <c r="DB457" s="61"/>
      <c r="DC457" s="213"/>
      <c r="DD457" s="61"/>
      <c r="DE457" s="213"/>
      <c r="DF457" s="61"/>
      <c r="DG457" s="213"/>
      <c r="DH457" s="61"/>
      <c r="DI457" s="213"/>
      <c r="DJ457" s="61"/>
      <c r="DK457" s="213"/>
      <c r="DL457" s="61"/>
      <c r="DM457" s="213"/>
      <c r="DN457" s="61"/>
      <c r="DO457" s="213"/>
      <c r="DP457" s="61"/>
      <c r="DQ457" s="213"/>
      <c r="DR457" s="61"/>
      <c r="DS457" s="213"/>
      <c r="DT457" s="61"/>
      <c r="DU457" s="213"/>
      <c r="DV457" s="61"/>
      <c r="DW457" s="213"/>
      <c r="DX457" s="213"/>
      <c r="DY457" s="213"/>
      <c r="DZ457" s="61"/>
      <c r="EA457" s="213"/>
      <c r="EB457" s="61"/>
      <c r="EC457" s="213"/>
      <c r="ED457" s="61"/>
      <c r="EE457" s="213"/>
      <c r="EF457" s="61"/>
      <c r="EG457" s="213"/>
      <c r="EH457" s="61"/>
      <c r="EI457" s="213"/>
      <c r="EJ457" s="61"/>
      <c r="EK457" s="213"/>
      <c r="EL457" s="61"/>
      <c r="EM457" s="213"/>
      <c r="EN457" s="61"/>
      <c r="EO457" s="213"/>
      <c r="EP457" s="61"/>
      <c r="EQ457" s="213"/>
      <c r="ER457" s="61"/>
      <c r="ES457" s="213"/>
      <c r="ET457" s="61"/>
      <c r="EU457" s="213"/>
      <c r="EV457" s="61"/>
      <c r="EW457" s="213"/>
      <c r="EX457" s="61"/>
      <c r="EY457" s="257"/>
      <c r="EZ457" s="558"/>
      <c r="FA457" s="257"/>
      <c r="FB457" s="189">
        <v>21.667999999999999</v>
      </c>
      <c r="FC457" s="184"/>
      <c r="FD457" s="189">
        <v>25.251000000000001</v>
      </c>
      <c r="FE457" s="184">
        <f t="shared" si="2381"/>
        <v>16.535905482739533</v>
      </c>
      <c r="FF457" s="189">
        <v>27.071000000000002</v>
      </c>
      <c r="FG457" s="184">
        <f t="shared" si="2382"/>
        <v>7.2076353411746119</v>
      </c>
      <c r="FH457" s="189">
        <v>22.123000000000001</v>
      </c>
      <c r="FI457" s="184">
        <f t="shared" si="2383"/>
        <v>-18.277861918658346</v>
      </c>
      <c r="FJ457" s="189">
        <v>26.248999999999999</v>
      </c>
      <c r="FK457" s="184">
        <f t="shared" si="2384"/>
        <v>18.650273471048216</v>
      </c>
      <c r="FL457" s="189">
        <v>29.186999999999998</v>
      </c>
      <c r="FM457" s="184">
        <f t="shared" si="2385"/>
        <v>11.192807345041711</v>
      </c>
      <c r="FN457" s="189">
        <v>35.465000000000003</v>
      </c>
      <c r="FO457" s="184">
        <f t="shared" si="2386"/>
        <v>21.50957618117657</v>
      </c>
      <c r="FP457" s="213">
        <v>37.1</v>
      </c>
      <c r="FQ457" s="61">
        <f t="shared" si="2387"/>
        <v>4.6101790497673711</v>
      </c>
      <c r="FR457" s="213">
        <f>AY457+BA457+BC457+BE457</f>
        <v>25.299999999999997</v>
      </c>
      <c r="FS457" s="61"/>
      <c r="FT457" s="213"/>
      <c r="FU457" s="61"/>
      <c r="FV457" s="213"/>
      <c r="FW457" s="61"/>
      <c r="FX457" s="213"/>
      <c r="FY457" s="61"/>
      <c r="FZ457" s="213"/>
      <c r="GA457" s="61"/>
      <c r="GB457" s="213"/>
      <c r="GC457" s="61"/>
      <c r="GD457" s="213"/>
      <c r="GE457" s="61"/>
      <c r="GF457" s="213"/>
      <c r="GG457" s="61"/>
      <c r="GH457" s="213"/>
      <c r="GI457" s="61"/>
      <c r="GJ457" s="213"/>
      <c r="GK457" s="61"/>
      <c r="GL457" s="213"/>
      <c r="GM457" s="61"/>
      <c r="GN457" s="213"/>
      <c r="GO457" s="61"/>
      <c r="GP457" s="213"/>
      <c r="GQ457" s="61"/>
      <c r="GR457" s="213"/>
      <c r="GS457" s="61"/>
      <c r="GT457" s="213"/>
      <c r="GU457" s="61"/>
      <c r="GV457" s="213"/>
      <c r="GW457" s="61"/>
      <c r="GX457" s="213"/>
      <c r="GY457" s="61"/>
      <c r="GZ457" s="61"/>
      <c r="HA457" s="61"/>
      <c r="HB457" s="452"/>
      <c r="HC457"/>
      <c r="HD457"/>
      <c r="HE457"/>
      <c r="HF457"/>
      <c r="HG457"/>
      <c r="HH457"/>
    </row>
    <row r="458" spans="1:216" s="3" customFormat="1" ht="12.75" hidden="1" customHeight="1" outlineLevel="1" x14ac:dyDescent="0.2">
      <c r="B458" s="235" t="s">
        <v>331</v>
      </c>
      <c r="C458" s="189">
        <f>C457/C456*100</f>
        <v>40.71245099364608</v>
      </c>
      <c r="D458" s="184"/>
      <c r="E458" s="189">
        <f>E457/E456*100</f>
        <v>41.278439869989157</v>
      </c>
      <c r="F458" s="184"/>
      <c r="G458" s="189">
        <f>G457/G456*100</f>
        <v>39.210013208377866</v>
      </c>
      <c r="H458" s="184"/>
      <c r="I458" s="189">
        <f>I457/I456*100</f>
        <v>38.145131771595899</v>
      </c>
      <c r="J458" s="184"/>
      <c r="K458" s="189">
        <f>K457/K456*100</f>
        <v>41.200828157349875</v>
      </c>
      <c r="L458" s="184">
        <f t="shared" si="2359"/>
        <v>1.1995769151309954</v>
      </c>
      <c r="M458" s="189">
        <f>M457/M456*100</f>
        <v>40.236236789390077</v>
      </c>
      <c r="N458" s="184">
        <f t="shared" si="2360"/>
        <v>-2.5248121873830742</v>
      </c>
      <c r="O458" s="189">
        <f>O457/O456*100</f>
        <v>38.336347197106683</v>
      </c>
      <c r="P458" s="184">
        <f t="shared" si="2361"/>
        <v>-2.2281706630093878</v>
      </c>
      <c r="Q458" s="189">
        <v>39.472392638036816</v>
      </c>
      <c r="R458" s="184">
        <f t="shared" si="2362"/>
        <v>3.4795026384709882</v>
      </c>
      <c r="S458" s="189">
        <f>S457/S456*100</f>
        <v>40.228414801279115</v>
      </c>
      <c r="T458" s="184">
        <f t="shared" si="2363"/>
        <v>-2.36017915066421</v>
      </c>
      <c r="U458" s="189">
        <f>U457/U456*100</f>
        <v>40.407075632157827</v>
      </c>
      <c r="V458" s="184">
        <f t="shared" si="2364"/>
        <v>0.42458951532167166</v>
      </c>
      <c r="W458" s="189">
        <f>W457/W456*100</f>
        <v>38.032911874960298</v>
      </c>
      <c r="X458" s="184">
        <f t="shared" si="2365"/>
        <v>-0.79150817522146699</v>
      </c>
      <c r="Y458" s="189">
        <f>Y457/Y456*100</f>
        <v>40.144341270570941</v>
      </c>
      <c r="Z458" s="184">
        <f t="shared" si="2366"/>
        <v>1.7023255689005756</v>
      </c>
      <c r="AA458" s="189">
        <f>AA457/AA456*100</f>
        <v>38.850415512465382</v>
      </c>
      <c r="AB458" s="184">
        <f t="shared" si="2367"/>
        <v>-3.4254377052160612</v>
      </c>
      <c r="AC458" s="189">
        <f>AC457/AC456*100</f>
        <v>40.144815102146367</v>
      </c>
      <c r="AD458" s="184">
        <f t="shared" si="2368"/>
        <v>-0.64904605420823547</v>
      </c>
      <c r="AE458" s="189">
        <f>AE457/AE456*100</f>
        <v>41.403309790173743</v>
      </c>
      <c r="AF458" s="184">
        <f t="shared" si="2369"/>
        <v>8.8617929815476781</v>
      </c>
      <c r="AG458" s="189">
        <f>AG457/AG456*100</f>
        <v>36.65473103675351</v>
      </c>
      <c r="AH458" s="184">
        <f t="shared" si="2370"/>
        <v>-8.6926578525666329</v>
      </c>
      <c r="AI458" s="215">
        <f>AI457/AI456*100</f>
        <v>40.03864075463121</v>
      </c>
      <c r="AJ458" s="184">
        <f t="shared" si="2371"/>
        <v>3.0584621206549922</v>
      </c>
      <c r="AK458" s="189">
        <f>AK457/AK456*100</f>
        <v>38.732551398118005</v>
      </c>
      <c r="AL458" s="184">
        <f t="shared" si="2372"/>
        <v>-3.5179230504236547</v>
      </c>
      <c r="AM458" s="189">
        <f>AM457/AM456*100</f>
        <v>41.076956616524967</v>
      </c>
      <c r="AN458" s="184">
        <f t="shared" si="2373"/>
        <v>-0.78822967367268015</v>
      </c>
      <c r="AO458" s="189">
        <f>AO457/AO456*100</f>
        <v>38.311229986255057</v>
      </c>
      <c r="AP458" s="184">
        <f t="shared" si="2374"/>
        <v>4.5191954834986614</v>
      </c>
      <c r="AQ458" s="189">
        <f>AQ457/AQ456*100</f>
        <v>40.336951239267783</v>
      </c>
      <c r="AR458" s="184">
        <f t="shared" si="2375"/>
        <v>0.7450564729824638</v>
      </c>
      <c r="AS458" s="189">
        <f>AS457/AS456*100</f>
        <v>36.176746566578522</v>
      </c>
      <c r="AT458" s="184">
        <f t="shared" si="2376"/>
        <v>-6.5985966306977399</v>
      </c>
      <c r="AU458" s="189">
        <f>AU457/AU456*100</f>
        <v>40.302353547500431</v>
      </c>
      <c r="AV458" s="61">
        <f t="shared" si="2377"/>
        <v>-1.8857362687695334</v>
      </c>
      <c r="AW458" s="189">
        <f>AW457/AW456*100</f>
        <v>39.911789652247663</v>
      </c>
      <c r="AX458" s="61">
        <f t="shared" si="2377"/>
        <v>4.1777819886410272</v>
      </c>
      <c r="AY458" s="189"/>
      <c r="AZ458" s="61"/>
      <c r="BA458" s="189">
        <f>BA457/BA456*100</f>
        <v>192.5</v>
      </c>
      <c r="BB458" s="61" t="str">
        <f t="shared" si="2378"/>
        <v>NM</v>
      </c>
      <c r="BC458" s="189">
        <f>BC457/BC456*100</f>
        <v>35.398230088495573</v>
      </c>
      <c r="BD458" s="61">
        <f t="shared" si="2379"/>
        <v>-12.168330202415722</v>
      </c>
      <c r="BE458" s="189">
        <f>BE457/BE456*100</f>
        <v>35.294117647058819</v>
      </c>
      <c r="BF458" s="61">
        <f t="shared" si="2380"/>
        <v>-11.569694181650902</v>
      </c>
      <c r="BG458" s="210"/>
      <c r="BH458" s="61"/>
      <c r="BI458" s="210"/>
      <c r="BJ458" s="61"/>
      <c r="BK458" s="210"/>
      <c r="BL458" s="61"/>
      <c r="BM458" s="210"/>
      <c r="BN458" s="61"/>
      <c r="BO458" s="189"/>
      <c r="BP458" s="61"/>
      <c r="BQ458" s="189"/>
      <c r="BR458" s="61"/>
      <c r="BS458" s="189"/>
      <c r="BT458" s="61"/>
      <c r="BU458" s="189"/>
      <c r="BV458" s="61"/>
      <c r="BW458" s="250"/>
      <c r="BX458" s="61"/>
      <c r="BY458" s="250"/>
      <c r="BZ458" s="61"/>
      <c r="CA458" s="250"/>
      <c r="CB458" s="61"/>
      <c r="CC458" s="250"/>
      <c r="CD458" s="61"/>
      <c r="CE458" s="250"/>
      <c r="CF458" s="61"/>
      <c r="CG458" s="250"/>
      <c r="CH458" s="61"/>
      <c r="CI458" s="250"/>
      <c r="CJ458" s="61"/>
      <c r="CK458" s="250"/>
      <c r="CL458" s="61"/>
      <c r="CM458" s="250"/>
      <c r="CN458" s="61"/>
      <c r="CO458" s="250"/>
      <c r="CP458" s="61"/>
      <c r="CQ458" s="250"/>
      <c r="CR458" s="61"/>
      <c r="CS458" s="250"/>
      <c r="CT458" s="61"/>
      <c r="CU458" s="250"/>
      <c r="CV458" s="61"/>
      <c r="CW458" s="250"/>
      <c r="CX458" s="61"/>
      <c r="CY458" s="250"/>
      <c r="CZ458" s="61"/>
      <c r="DA458" s="250"/>
      <c r="DB458" s="61"/>
      <c r="DC458" s="250"/>
      <c r="DD458" s="61"/>
      <c r="DE458" s="250"/>
      <c r="DF458" s="61"/>
      <c r="DG458" s="250"/>
      <c r="DH458" s="61"/>
      <c r="DI458" s="250"/>
      <c r="DJ458" s="61"/>
      <c r="DK458" s="250"/>
      <c r="DL458" s="61"/>
      <c r="DM458" s="250"/>
      <c r="DN458" s="61"/>
      <c r="DO458" s="250"/>
      <c r="DP458" s="61"/>
      <c r="DQ458" s="250"/>
      <c r="DR458" s="61"/>
      <c r="DS458" s="250"/>
      <c r="DT458" s="61"/>
      <c r="DU458" s="250"/>
      <c r="DV458" s="61"/>
      <c r="DW458" s="250"/>
      <c r="DX458" s="250"/>
      <c r="DY458" s="250"/>
      <c r="DZ458" s="61"/>
      <c r="EA458" s="250"/>
      <c r="EB458" s="61"/>
      <c r="EC458" s="250"/>
      <c r="ED458" s="61"/>
      <c r="EE458" s="250"/>
      <c r="EF458" s="61"/>
      <c r="EG458" s="250"/>
      <c r="EH458" s="61"/>
      <c r="EI458" s="250"/>
      <c r="EJ458" s="61"/>
      <c r="EK458" s="250"/>
      <c r="EL458" s="61"/>
      <c r="EM458" s="250"/>
      <c r="EN458" s="61"/>
      <c r="EO458" s="250"/>
      <c r="EP458" s="61"/>
      <c r="EQ458" s="250"/>
      <c r="ER458" s="61"/>
      <c r="ES458" s="250"/>
      <c r="ET458" s="61"/>
      <c r="EU458" s="250"/>
      <c r="EV458" s="61"/>
      <c r="EW458" s="250"/>
      <c r="EX458" s="61"/>
      <c r="EY458" s="257"/>
      <c r="EZ458" s="558"/>
      <c r="FA458" s="257"/>
      <c r="FB458" s="189">
        <f>FB457/FB456*100</f>
        <v>40.146742755502871</v>
      </c>
      <c r="FC458" s="184"/>
      <c r="FD458" s="189">
        <f>FD457/FD456*100</f>
        <v>40.155526930967028</v>
      </c>
      <c r="FE458" s="184">
        <f t="shared" si="2381"/>
        <v>2.188016975039897E-2</v>
      </c>
      <c r="FF458" s="189">
        <f>FF457/FF456*100</f>
        <v>39.67028135990622</v>
      </c>
      <c r="FG458" s="184">
        <f t="shared" si="2382"/>
        <v>-1.2084153991927749</v>
      </c>
      <c r="FH458" s="189">
        <f>FH457/FH456*100</f>
        <v>39.760248737441842</v>
      </c>
      <c r="FI458" s="184">
        <f t="shared" si="2383"/>
        <v>0.22678784836285271</v>
      </c>
      <c r="FJ458" s="189">
        <f>FJ457/FJ456*100</f>
        <v>39.725467643319831</v>
      </c>
      <c r="FK458" s="184">
        <f t="shared" si="2384"/>
        <v>-8.7477053656503934E-2</v>
      </c>
      <c r="FL458" s="189">
        <f>FL457/FL456*100</f>
        <v>39.134632144916253</v>
      </c>
      <c r="FM458" s="184">
        <f t="shared" si="2385"/>
        <v>-1.4872965214871026</v>
      </c>
      <c r="FN458" s="189">
        <f>FN457/FN456*100</f>
        <v>39.460361613351878</v>
      </c>
      <c r="FO458" s="184">
        <f t="shared" si="2386"/>
        <v>0.83233047197031063</v>
      </c>
      <c r="FP458" s="213">
        <f>FP457/FP456*100</f>
        <v>39.166420336979009</v>
      </c>
      <c r="FQ458" s="61">
        <f t="shared" si="2387"/>
        <v>-0.74490264243652904</v>
      </c>
      <c r="FR458" s="213">
        <f>FR457/FR456*100</f>
        <v>36.455331412103732</v>
      </c>
      <c r="FS458" s="61"/>
      <c r="FT458" s="213"/>
      <c r="FU458" s="61"/>
      <c r="FV458" s="213"/>
      <c r="FW458" s="61"/>
      <c r="FX458" s="213"/>
      <c r="FY458" s="61"/>
      <c r="FZ458" s="213"/>
      <c r="GA458" s="61"/>
      <c r="GB458" s="213"/>
      <c r="GC458" s="61"/>
      <c r="GD458" s="213"/>
      <c r="GE458" s="61"/>
      <c r="GF458" s="213"/>
      <c r="GG458" s="61"/>
      <c r="GH458" s="213"/>
      <c r="GI458" s="61"/>
      <c r="GJ458" s="213"/>
      <c r="GK458" s="61"/>
      <c r="GL458" s="213"/>
      <c r="GM458" s="61"/>
      <c r="GN458" s="213"/>
      <c r="GO458" s="61"/>
      <c r="GP458" s="213"/>
      <c r="GQ458" s="61"/>
      <c r="GR458" s="250"/>
      <c r="GS458" s="61"/>
      <c r="GT458" s="250"/>
      <c r="GU458" s="61"/>
      <c r="GV458" s="250"/>
      <c r="GW458" s="61"/>
      <c r="GX458" s="250"/>
      <c r="GY458" s="61"/>
      <c r="GZ458" s="61"/>
      <c r="HA458" s="61"/>
      <c r="HB458" s="452"/>
      <c r="HC458"/>
      <c r="HD458"/>
      <c r="HE458"/>
      <c r="HF458"/>
      <c r="HG458"/>
      <c r="HH458"/>
    </row>
    <row r="459" spans="1:216" s="256" customFormat="1" ht="12.75" hidden="1" customHeight="1" outlineLevel="1" x14ac:dyDescent="0.2">
      <c r="A459" s="3"/>
      <c r="B459" s="242" t="s">
        <v>265</v>
      </c>
      <c r="C459" s="258">
        <f>C456-C457</f>
        <v>8.7709999999999972</v>
      </c>
      <c r="D459" s="184"/>
      <c r="E459" s="258">
        <f>E456-E457</f>
        <v>9.2140000000000022</v>
      </c>
      <c r="F459" s="184"/>
      <c r="G459" s="258">
        <f>G456-G457</f>
        <v>9.665000000000008</v>
      </c>
      <c r="H459" s="184"/>
      <c r="I459" s="258">
        <f>I456-I457</f>
        <v>13.519000000000002</v>
      </c>
      <c r="J459" s="184"/>
      <c r="K459" s="258">
        <f>K456-K457</f>
        <v>6.8160000000000061</v>
      </c>
      <c r="L459" s="184">
        <f t="shared" si="2359"/>
        <v>-22.289362672443179</v>
      </c>
      <c r="M459" s="258">
        <f>M456-M457</f>
        <v>8.6519999999999975</v>
      </c>
      <c r="N459" s="184">
        <f t="shared" si="2360"/>
        <v>-6.0994139353158783</v>
      </c>
      <c r="O459" s="258">
        <f>O456-O457</f>
        <v>8.1840000000000011</v>
      </c>
      <c r="P459" s="184">
        <f t="shared" si="2361"/>
        <v>-15.323331608898149</v>
      </c>
      <c r="Q459" s="258">
        <f>Q456-Q457</f>
        <v>9.8659999999999961</v>
      </c>
      <c r="R459" s="184">
        <f t="shared" si="2362"/>
        <v>-27.021229380871404</v>
      </c>
      <c r="S459" s="258">
        <f>S456-S457</f>
        <v>6.5420000000000007</v>
      </c>
      <c r="T459" s="184">
        <f t="shared" si="2363"/>
        <v>-4.0199530516432658</v>
      </c>
      <c r="U459" s="258">
        <f>U456-U457</f>
        <v>10.511000000000006</v>
      </c>
      <c r="V459" s="184">
        <f t="shared" si="2364"/>
        <v>21.486361534905328</v>
      </c>
      <c r="W459" s="258">
        <f>W456-W457</f>
        <v>9.7529999999999966</v>
      </c>
      <c r="X459" s="184">
        <f t="shared" si="2365"/>
        <v>19.171554252199364</v>
      </c>
      <c r="Y459" s="258">
        <f>Y456-Y457</f>
        <v>13.020999999999997</v>
      </c>
      <c r="Z459" s="184">
        <f t="shared" si="2366"/>
        <v>31.978512061625807</v>
      </c>
      <c r="AA459" s="258">
        <f>AA456-AA457</f>
        <v>7.0639999999999992</v>
      </c>
      <c r="AB459" s="184">
        <f t="shared" si="2367"/>
        <v>7.9792112503821233</v>
      </c>
      <c r="AC459" s="258">
        <f>AC456-AC457</f>
        <v>11.572999999999997</v>
      </c>
      <c r="AD459" s="184">
        <f t="shared" si="2368"/>
        <v>10.103700884787269</v>
      </c>
      <c r="AE459" s="258">
        <f>AE456-AE457</f>
        <v>11.365999999999998</v>
      </c>
      <c r="AF459" s="184">
        <f t="shared" si="2369"/>
        <v>16.538500974059289</v>
      </c>
      <c r="AG459" s="258">
        <f>AG456-AG457</f>
        <v>15.391000000000004</v>
      </c>
      <c r="AH459" s="184">
        <f t="shared" si="2370"/>
        <v>18.201367022502168</v>
      </c>
      <c r="AI459" s="258">
        <f>AI456-AI457</f>
        <v>10.552</v>
      </c>
      <c r="AJ459" s="184">
        <f t="shared" si="2371"/>
        <v>49.377123442808625</v>
      </c>
      <c r="AK459" s="258">
        <f>AK456-AK457</f>
        <v>13.738000000000001</v>
      </c>
      <c r="AL459" s="184">
        <f t="shared" si="2372"/>
        <v>18.707336040784629</v>
      </c>
      <c r="AM459" s="258">
        <f>AM456-AM457</f>
        <v>13.513999999999996</v>
      </c>
      <c r="AN459" s="184">
        <f t="shared" si="2373"/>
        <v>18.898469118423343</v>
      </c>
      <c r="AO459" s="258">
        <f>AO456-AO457</f>
        <v>16.606000000000002</v>
      </c>
      <c r="AP459" s="184">
        <f t="shared" si="2374"/>
        <v>7.8942238970826972</v>
      </c>
      <c r="AQ459" s="258">
        <f>AQ456-AQ457</f>
        <v>11.048999999999999</v>
      </c>
      <c r="AR459" s="184">
        <f t="shared" si="2375"/>
        <v>4.71000758150113</v>
      </c>
      <c r="AS459" s="258">
        <f>AS456-AS457</f>
        <v>14.963999999999999</v>
      </c>
      <c r="AT459" s="184">
        <f t="shared" si="2376"/>
        <v>8.9241519871887895</v>
      </c>
      <c r="AU459" s="258">
        <f>AU456-AU457</f>
        <v>13.899999999999999</v>
      </c>
      <c r="AV459" s="61">
        <f t="shared" si="2377"/>
        <v>2.8562971733017806</v>
      </c>
      <c r="AW459" s="258">
        <f>AW456-AW457</f>
        <v>17.711000000000002</v>
      </c>
      <c r="AX459" s="61">
        <f t="shared" si="2377"/>
        <v>6.6542213657714067</v>
      </c>
      <c r="AY459" s="258">
        <v>11.2</v>
      </c>
      <c r="AZ459" s="61">
        <f>IF(ISERROR((AY459/AQ459-1)*100),"NA",IF(((AY459/AQ459-1)*100)&gt;100,"NM",IF(((AY459/AQ459-1)*100)&lt;-50,"NM",(AY459/AQ459-1)*100)))</f>
        <v>1.3666395148882238</v>
      </c>
      <c r="BA459" s="258">
        <f>BA456-BA457</f>
        <v>-3.7</v>
      </c>
      <c r="BB459" s="61" t="str">
        <f t="shared" si="2378"/>
        <v>NM</v>
      </c>
      <c r="BC459" s="258">
        <f>BC456-BC457</f>
        <v>14.600000000000001</v>
      </c>
      <c r="BD459" s="61">
        <f t="shared" si="2379"/>
        <v>5.0359712230215958</v>
      </c>
      <c r="BE459" s="258">
        <f>BE456-BE457-0.1</f>
        <v>17.5</v>
      </c>
      <c r="BF459" s="61">
        <f t="shared" si="2380"/>
        <v>-1.1913500084693274</v>
      </c>
      <c r="BG459" s="259"/>
      <c r="BH459" s="61"/>
      <c r="BI459" s="259"/>
      <c r="BJ459" s="61"/>
      <c r="BK459" s="259"/>
      <c r="BL459" s="61"/>
      <c r="BM459" s="259"/>
      <c r="BN459" s="61"/>
      <c r="BO459" s="258"/>
      <c r="BP459" s="61"/>
      <c r="BQ459" s="258"/>
      <c r="BR459" s="61"/>
      <c r="BS459" s="258"/>
      <c r="BT459" s="61"/>
      <c r="BU459" s="258"/>
      <c r="BV459" s="61"/>
      <c r="BW459" s="260"/>
      <c r="BX459" s="61"/>
      <c r="BY459" s="260"/>
      <c r="BZ459" s="61"/>
      <c r="CA459" s="260"/>
      <c r="CB459" s="61"/>
      <c r="CC459" s="260"/>
      <c r="CD459" s="61"/>
      <c r="CE459" s="260"/>
      <c r="CF459" s="61"/>
      <c r="CG459" s="260"/>
      <c r="CH459" s="61"/>
      <c r="CI459" s="260"/>
      <c r="CJ459" s="61"/>
      <c r="CK459" s="260"/>
      <c r="CL459" s="61"/>
      <c r="CM459" s="260"/>
      <c r="CN459" s="61"/>
      <c r="CO459" s="260"/>
      <c r="CP459" s="61"/>
      <c r="CQ459" s="260"/>
      <c r="CR459" s="61"/>
      <c r="CS459" s="260"/>
      <c r="CT459" s="61"/>
      <c r="CU459" s="260"/>
      <c r="CV459" s="61"/>
      <c r="CW459" s="260"/>
      <c r="CX459" s="61"/>
      <c r="CY459" s="260"/>
      <c r="CZ459" s="61"/>
      <c r="DA459" s="260"/>
      <c r="DB459" s="61"/>
      <c r="DC459" s="260"/>
      <c r="DD459" s="61"/>
      <c r="DE459" s="260"/>
      <c r="DF459" s="61"/>
      <c r="DG459" s="260"/>
      <c r="DH459" s="61"/>
      <c r="DI459" s="260"/>
      <c r="DJ459" s="61"/>
      <c r="DK459" s="260"/>
      <c r="DL459" s="61"/>
      <c r="DM459" s="260"/>
      <c r="DN459" s="61"/>
      <c r="DO459" s="260"/>
      <c r="DP459" s="61"/>
      <c r="DQ459" s="260"/>
      <c r="DR459" s="61"/>
      <c r="DS459" s="260"/>
      <c r="DT459" s="61"/>
      <c r="DU459" s="260"/>
      <c r="DV459" s="61"/>
      <c r="DW459" s="260"/>
      <c r="DX459" s="260"/>
      <c r="DY459" s="260"/>
      <c r="DZ459" s="61"/>
      <c r="EA459" s="260"/>
      <c r="EB459" s="61"/>
      <c r="EC459" s="260"/>
      <c r="ED459" s="61"/>
      <c r="EE459" s="260"/>
      <c r="EF459" s="61"/>
      <c r="EG459" s="260"/>
      <c r="EH459" s="61"/>
      <c r="EI459" s="260"/>
      <c r="EJ459" s="61"/>
      <c r="EK459" s="260"/>
      <c r="EL459" s="61"/>
      <c r="EM459" s="260"/>
      <c r="EN459" s="61"/>
      <c r="EO459" s="260"/>
      <c r="EP459" s="61"/>
      <c r="EQ459" s="260"/>
      <c r="ER459" s="61"/>
      <c r="ES459" s="260"/>
      <c r="ET459" s="61"/>
      <c r="EU459" s="260"/>
      <c r="EV459" s="61"/>
      <c r="EW459" s="260"/>
      <c r="EX459" s="61"/>
      <c r="EY459" s="261"/>
      <c r="EZ459" s="558"/>
      <c r="FA459" s="261"/>
      <c r="FB459" s="258">
        <f>FB456-FB457</f>
        <v>32.303999999999981</v>
      </c>
      <c r="FC459" s="262"/>
      <c r="FD459" s="258">
        <f>FD456-FD457</f>
        <v>37.632000000000005</v>
      </c>
      <c r="FE459" s="184">
        <f t="shared" si="2381"/>
        <v>16.493313521545396</v>
      </c>
      <c r="FF459" s="258">
        <f>FF456-FF457</f>
        <v>41.168999999999997</v>
      </c>
      <c r="FG459" s="184">
        <f t="shared" si="2382"/>
        <v>9.3989158163265039</v>
      </c>
      <c r="FH459" s="258">
        <f>FH456-FH457</f>
        <v>33.517999999999958</v>
      </c>
      <c r="FI459" s="184">
        <f t="shared" si="2383"/>
        <v>-18.584371736015058</v>
      </c>
      <c r="FJ459" s="258">
        <f>FJ456-FJ457</f>
        <v>39.82699999999997</v>
      </c>
      <c r="FK459" s="184">
        <f t="shared" si="2384"/>
        <v>18.822722119458255</v>
      </c>
      <c r="FL459" s="258">
        <f>FL456-FL457</f>
        <v>45.39400000000002</v>
      </c>
      <c r="FM459" s="184">
        <f t="shared" si="2385"/>
        <v>13.977954653878166</v>
      </c>
      <c r="FN459" s="258">
        <f>FN456-FN457</f>
        <v>54.41</v>
      </c>
      <c r="FO459" s="184">
        <f t="shared" si="2386"/>
        <v>19.861655725426218</v>
      </c>
      <c r="FP459" s="263">
        <f>FP456-FP457</f>
        <v>57.624000000000017</v>
      </c>
      <c r="FQ459" s="61">
        <f t="shared" si="2387"/>
        <v>5.9070023892667134</v>
      </c>
      <c r="FR459" s="263">
        <f>AY459+BA459+BC459+BE459</f>
        <v>39.6</v>
      </c>
      <c r="FS459" s="61"/>
      <c r="FT459" s="263"/>
      <c r="FU459" s="61"/>
      <c r="FV459" s="263"/>
      <c r="FW459" s="61"/>
      <c r="FX459" s="263"/>
      <c r="FY459" s="61"/>
      <c r="FZ459" s="263"/>
      <c r="GA459" s="61"/>
      <c r="GB459" s="263"/>
      <c r="GC459" s="61"/>
      <c r="GD459" s="263"/>
      <c r="GE459" s="61"/>
      <c r="GF459" s="263"/>
      <c r="GG459" s="61"/>
      <c r="GH459" s="263"/>
      <c r="GI459" s="61"/>
      <c r="GJ459" s="263"/>
      <c r="GK459" s="61"/>
      <c r="GL459" s="263"/>
      <c r="GM459" s="61"/>
      <c r="GN459" s="263"/>
      <c r="GO459" s="61"/>
      <c r="GP459" s="263"/>
      <c r="GQ459" s="61"/>
      <c r="GR459" s="260"/>
      <c r="GS459" s="61"/>
      <c r="GT459" s="260"/>
      <c r="GU459" s="61"/>
      <c r="GV459" s="260"/>
      <c r="GW459" s="61"/>
      <c r="GX459" s="260"/>
      <c r="GY459" s="61"/>
      <c r="GZ459" s="61"/>
      <c r="HA459" s="61"/>
      <c r="HB459" s="452"/>
      <c r="HC459"/>
      <c r="HD459"/>
      <c r="HE459"/>
      <c r="HF459"/>
      <c r="HG459"/>
      <c r="HH459"/>
    </row>
    <row r="460" spans="1:216" s="256" customFormat="1" ht="12.75" hidden="1" customHeight="1" outlineLevel="1" x14ac:dyDescent="0.2">
      <c r="A460" s="3"/>
      <c r="B460" s="2" t="s">
        <v>4</v>
      </c>
      <c r="C460" s="192">
        <v>0</v>
      </c>
      <c r="D460" s="205"/>
      <c r="E460" s="192">
        <v>0</v>
      </c>
      <c r="F460" s="199"/>
      <c r="G460" s="192">
        <v>0</v>
      </c>
      <c r="H460" s="199"/>
      <c r="I460" s="192">
        <v>0</v>
      </c>
      <c r="J460" s="193"/>
      <c r="K460" s="192">
        <v>0</v>
      </c>
      <c r="L460" s="193" t="str">
        <f t="shared" si="2359"/>
        <v>NA</v>
      </c>
      <c r="M460" s="192">
        <v>0</v>
      </c>
      <c r="N460" s="193" t="str">
        <f t="shared" si="2360"/>
        <v>NA</v>
      </c>
      <c r="O460" s="192">
        <v>0</v>
      </c>
      <c r="P460" s="193" t="str">
        <f t="shared" si="2361"/>
        <v>NA</v>
      </c>
      <c r="Q460" s="192">
        <v>0</v>
      </c>
      <c r="R460" s="193" t="str">
        <f t="shared" si="2362"/>
        <v>NA</v>
      </c>
      <c r="S460" s="192">
        <v>0</v>
      </c>
      <c r="T460" s="193" t="str">
        <f t="shared" si="2363"/>
        <v>NA</v>
      </c>
      <c r="U460" s="192">
        <v>0</v>
      </c>
      <c r="V460" s="193" t="str">
        <f t="shared" si="2364"/>
        <v>NA</v>
      </c>
      <c r="W460" s="192">
        <v>0</v>
      </c>
      <c r="X460" s="193" t="str">
        <f t="shared" si="2365"/>
        <v>NA</v>
      </c>
      <c r="Y460" s="192">
        <v>0</v>
      </c>
      <c r="Z460" s="193" t="str">
        <f t="shared" si="2366"/>
        <v>NA</v>
      </c>
      <c r="AA460" s="192">
        <v>0</v>
      </c>
      <c r="AB460" s="193" t="str">
        <f t="shared" si="2367"/>
        <v>NA</v>
      </c>
      <c r="AC460" s="192">
        <v>0</v>
      </c>
      <c r="AD460" s="193" t="str">
        <f t="shared" si="2368"/>
        <v>NA</v>
      </c>
      <c r="AE460" s="192">
        <v>0</v>
      </c>
      <c r="AF460" s="193" t="str">
        <f t="shared" si="2369"/>
        <v>NA</v>
      </c>
      <c r="AG460" s="192">
        <v>0</v>
      </c>
      <c r="AH460" s="193" t="str">
        <f t="shared" si="2370"/>
        <v>NA</v>
      </c>
      <c r="AI460" s="192">
        <v>0</v>
      </c>
      <c r="AJ460" s="193" t="str">
        <f t="shared" si="2371"/>
        <v>NA</v>
      </c>
      <c r="AK460" s="192">
        <v>0</v>
      </c>
      <c r="AL460" s="193" t="str">
        <f t="shared" si="2372"/>
        <v>NA</v>
      </c>
      <c r="AM460" s="192">
        <v>0</v>
      </c>
      <c r="AN460" s="193" t="str">
        <f t="shared" si="2373"/>
        <v>NA</v>
      </c>
      <c r="AO460" s="192">
        <v>0</v>
      </c>
      <c r="AP460" s="193" t="str">
        <f t="shared" si="2374"/>
        <v>NA</v>
      </c>
      <c r="AQ460" s="541">
        <v>0</v>
      </c>
      <c r="AR460" s="193" t="str">
        <f t="shared" si="2375"/>
        <v>NA</v>
      </c>
      <c r="AS460" s="192">
        <v>0</v>
      </c>
      <c r="AT460" s="193" t="str">
        <f t="shared" si="2376"/>
        <v>NA</v>
      </c>
      <c r="AU460" s="192">
        <v>0</v>
      </c>
      <c r="AV460" s="61" t="str">
        <f t="shared" si="2377"/>
        <v>NA</v>
      </c>
      <c r="AW460" s="192">
        <v>0</v>
      </c>
      <c r="AX460" s="61" t="str">
        <f t="shared" si="2377"/>
        <v>NA</v>
      </c>
      <c r="AY460" s="208">
        <v>0</v>
      </c>
      <c r="AZ460" s="61" t="str">
        <f>IF(ISERROR((AY460/AQ460-1)*100),"NA",IF(((AY460/AQ460-1)*100)&gt;100,"NM",IF(((AY460/AQ460-1)*100)&lt;-50,"NM",(AY460/AQ460-1)*100)))</f>
        <v>NA</v>
      </c>
      <c r="BA460" s="208">
        <v>0</v>
      </c>
      <c r="BB460" s="61" t="str">
        <f t="shared" si="2378"/>
        <v>NA</v>
      </c>
      <c r="BC460" s="208">
        <v>0</v>
      </c>
      <c r="BD460" s="61" t="str">
        <f t="shared" si="2379"/>
        <v>NA</v>
      </c>
      <c r="BE460" s="208">
        <v>0</v>
      </c>
      <c r="BF460" s="61" t="str">
        <f t="shared" si="2380"/>
        <v>NA</v>
      </c>
      <c r="BG460" s="208"/>
      <c r="BH460" s="61"/>
      <c r="BI460" s="208"/>
      <c r="BJ460" s="61"/>
      <c r="BK460" s="208"/>
      <c r="BL460" s="61"/>
      <c r="BM460" s="208"/>
      <c r="BN460" s="61"/>
      <c r="BO460" s="208"/>
      <c r="BP460" s="61"/>
      <c r="BQ460" s="208"/>
      <c r="BR460" s="61"/>
      <c r="BS460" s="208"/>
      <c r="BT460" s="61"/>
      <c r="BU460" s="208"/>
      <c r="BV460" s="61"/>
      <c r="BW460" s="138"/>
      <c r="BX460" s="61"/>
      <c r="BY460" s="138"/>
      <c r="BZ460" s="61"/>
      <c r="CA460" s="138"/>
      <c r="CB460" s="61"/>
      <c r="CC460" s="138"/>
      <c r="CD460" s="61"/>
      <c r="CE460" s="138"/>
      <c r="CF460" s="61"/>
      <c r="CG460" s="138"/>
      <c r="CH460" s="61"/>
      <c r="CI460" s="138"/>
      <c r="CJ460" s="61"/>
      <c r="CK460" s="138"/>
      <c r="CL460" s="61"/>
      <c r="CM460" s="138"/>
      <c r="CN460" s="61"/>
      <c r="CO460" s="138"/>
      <c r="CP460" s="61"/>
      <c r="CQ460" s="138"/>
      <c r="CR460" s="61"/>
      <c r="CS460" s="138"/>
      <c r="CT460" s="61"/>
      <c r="CU460" s="138"/>
      <c r="CV460" s="61"/>
      <c r="CW460" s="138"/>
      <c r="CX460" s="61"/>
      <c r="CY460" s="138"/>
      <c r="CZ460" s="61"/>
      <c r="DA460" s="138"/>
      <c r="DB460" s="61"/>
      <c r="DC460" s="138"/>
      <c r="DD460" s="61"/>
      <c r="DE460" s="138"/>
      <c r="DF460" s="61"/>
      <c r="DG460" s="138"/>
      <c r="DH460" s="61"/>
      <c r="DI460" s="138"/>
      <c r="DJ460" s="61"/>
      <c r="DK460" s="138"/>
      <c r="DL460" s="61"/>
      <c r="DM460" s="138"/>
      <c r="DN460" s="61"/>
      <c r="DO460" s="138"/>
      <c r="DP460" s="61"/>
      <c r="DQ460" s="138"/>
      <c r="DR460" s="61"/>
      <c r="DS460" s="138"/>
      <c r="DT460" s="61"/>
      <c r="DU460" s="138"/>
      <c r="DV460" s="61"/>
      <c r="DW460" s="138"/>
      <c r="DX460" s="138"/>
      <c r="DY460" s="138"/>
      <c r="DZ460" s="61"/>
      <c r="EA460" s="138"/>
      <c r="EB460" s="61"/>
      <c r="EC460" s="138"/>
      <c r="ED460" s="61"/>
      <c r="EE460" s="138"/>
      <c r="EF460" s="61"/>
      <c r="EG460" s="138"/>
      <c r="EH460" s="61"/>
      <c r="EI460" s="138"/>
      <c r="EJ460" s="61"/>
      <c r="EK460" s="138"/>
      <c r="EL460" s="61"/>
      <c r="EM460" s="138"/>
      <c r="EN460" s="61"/>
      <c r="EO460" s="138"/>
      <c r="EP460" s="61"/>
      <c r="EQ460" s="138"/>
      <c r="ER460" s="61"/>
      <c r="ES460" s="138"/>
      <c r="ET460" s="61"/>
      <c r="EU460" s="138"/>
      <c r="EV460" s="61"/>
      <c r="EW460" s="138"/>
      <c r="EX460" s="61"/>
      <c r="EY460" s="90"/>
      <c r="EZ460" s="558"/>
      <c r="FA460" s="90"/>
      <c r="FB460" s="208">
        <v>0</v>
      </c>
      <c r="FC460" s="234"/>
      <c r="FD460" s="208">
        <v>0</v>
      </c>
      <c r="FE460" s="209" t="str">
        <f t="shared" si="2381"/>
        <v>NA</v>
      </c>
      <c r="FF460" s="208">
        <f>C460+E460+G460+I460</f>
        <v>0</v>
      </c>
      <c r="FG460" s="209" t="str">
        <f t="shared" si="2382"/>
        <v>NA</v>
      </c>
      <c r="FH460" s="208">
        <f>K460+M460+O460+Q460</f>
        <v>0</v>
      </c>
      <c r="FI460" s="209" t="str">
        <f t="shared" si="2383"/>
        <v>NA</v>
      </c>
      <c r="FJ460" s="208">
        <f>S460+U460+W460+Y460</f>
        <v>0</v>
      </c>
      <c r="FK460" s="209" t="str">
        <f t="shared" si="2384"/>
        <v>NA</v>
      </c>
      <c r="FL460" s="208">
        <f>AA460+AC460+AE460+AG460</f>
        <v>0</v>
      </c>
      <c r="FM460" s="209" t="str">
        <f t="shared" si="2385"/>
        <v>NA</v>
      </c>
      <c r="FN460" s="208">
        <f>AI460+AK460+AM460+AO460</f>
        <v>0</v>
      </c>
      <c r="FO460" s="209" t="str">
        <f t="shared" si="2386"/>
        <v>NA</v>
      </c>
      <c r="FP460" s="139">
        <f>AQ460+AS460+AU460+AW460</f>
        <v>0</v>
      </c>
      <c r="FQ460" s="61" t="str">
        <f t="shared" si="2387"/>
        <v>NA</v>
      </c>
      <c r="FR460" s="139">
        <f>AY460+BA460+BC460+BE460</f>
        <v>0</v>
      </c>
      <c r="FS460" s="61"/>
      <c r="FT460" s="139"/>
      <c r="FU460" s="61"/>
      <c r="FV460" s="139"/>
      <c r="FW460" s="61"/>
      <c r="FX460" s="139"/>
      <c r="FY460" s="61"/>
      <c r="FZ460" s="139"/>
      <c r="GA460" s="61"/>
      <c r="GB460" s="139"/>
      <c r="GC460" s="61"/>
      <c r="GD460" s="139"/>
      <c r="GE460" s="61"/>
      <c r="GF460" s="139"/>
      <c r="GG460" s="61"/>
      <c r="GH460" s="139"/>
      <c r="GI460" s="61"/>
      <c r="GJ460" s="139"/>
      <c r="GK460" s="61"/>
      <c r="GL460" s="139"/>
      <c r="GM460" s="61"/>
      <c r="GN460" s="139"/>
      <c r="GO460" s="61"/>
      <c r="GP460" s="139"/>
      <c r="GQ460" s="61"/>
      <c r="GR460" s="138"/>
      <c r="GS460" s="61"/>
      <c r="GT460" s="138"/>
      <c r="GU460" s="61"/>
      <c r="GV460" s="138"/>
      <c r="GW460" s="61"/>
      <c r="GX460" s="138"/>
      <c r="GY460" s="61"/>
      <c r="GZ460" s="61"/>
      <c r="HA460" s="61"/>
      <c r="HB460" s="452"/>
      <c r="HC460"/>
      <c r="HD460"/>
      <c r="HE460"/>
      <c r="HF460"/>
      <c r="HG460"/>
      <c r="HH460"/>
    </row>
    <row r="461" spans="1:216" s="256" customFormat="1" ht="12.75" hidden="1" customHeight="1" outlineLevel="1" x14ac:dyDescent="0.2">
      <c r="A461" s="3"/>
      <c r="B461" s="63" t="s">
        <v>384</v>
      </c>
      <c r="C461" s="216">
        <f>C459-C460</f>
        <v>8.7709999999999972</v>
      </c>
      <c r="D461" s="205"/>
      <c r="E461" s="216">
        <f>E459-E460</f>
        <v>9.2140000000000022</v>
      </c>
      <c r="F461" s="199"/>
      <c r="G461" s="216">
        <f>G459-G460</f>
        <v>9.665000000000008</v>
      </c>
      <c r="H461" s="199"/>
      <c r="I461" s="216">
        <f>I459-I460</f>
        <v>13.519000000000002</v>
      </c>
      <c r="J461" s="193"/>
      <c r="K461" s="216">
        <f>K459-K460</f>
        <v>6.8160000000000061</v>
      </c>
      <c r="L461" s="193">
        <f t="shared" si="2359"/>
        <v>-22.289362672443179</v>
      </c>
      <c r="M461" s="216">
        <f>M459-M460</f>
        <v>8.6519999999999975</v>
      </c>
      <c r="N461" s="193">
        <f t="shared" si="2360"/>
        <v>-6.0994139353158783</v>
      </c>
      <c r="O461" s="216">
        <f>O459-O460</f>
        <v>8.1840000000000011</v>
      </c>
      <c r="P461" s="193">
        <f t="shared" si="2361"/>
        <v>-15.323331608898149</v>
      </c>
      <c r="Q461" s="216">
        <f>Q459-Q460</f>
        <v>9.8659999999999961</v>
      </c>
      <c r="R461" s="193">
        <f t="shared" si="2362"/>
        <v>-27.021229380871404</v>
      </c>
      <c r="S461" s="216">
        <f>S459-S460</f>
        <v>6.5420000000000007</v>
      </c>
      <c r="T461" s="193">
        <f t="shared" si="2363"/>
        <v>-4.0199530516432658</v>
      </c>
      <c r="U461" s="216">
        <f>U459-U460</f>
        <v>10.511000000000006</v>
      </c>
      <c r="V461" s="193">
        <f t="shared" si="2364"/>
        <v>21.486361534905328</v>
      </c>
      <c r="W461" s="216">
        <f>W459-W460</f>
        <v>9.7529999999999966</v>
      </c>
      <c r="X461" s="193">
        <f t="shared" si="2365"/>
        <v>19.171554252199364</v>
      </c>
      <c r="Y461" s="216">
        <f>Y459-Y460</f>
        <v>13.020999999999997</v>
      </c>
      <c r="Z461" s="193">
        <f t="shared" si="2366"/>
        <v>31.978512061625807</v>
      </c>
      <c r="AA461" s="216">
        <f>AA459-AA460</f>
        <v>7.0639999999999992</v>
      </c>
      <c r="AB461" s="193">
        <f t="shared" si="2367"/>
        <v>7.9792112503821233</v>
      </c>
      <c r="AC461" s="216">
        <f>AC459-AC460</f>
        <v>11.572999999999997</v>
      </c>
      <c r="AD461" s="193">
        <f t="shared" si="2368"/>
        <v>10.103700884787269</v>
      </c>
      <c r="AE461" s="216">
        <f>AE459-AE460</f>
        <v>11.365999999999998</v>
      </c>
      <c r="AF461" s="193">
        <f t="shared" si="2369"/>
        <v>16.538500974059289</v>
      </c>
      <c r="AG461" s="216">
        <f>AG459-AG460</f>
        <v>15.391000000000004</v>
      </c>
      <c r="AH461" s="193">
        <f t="shared" si="2370"/>
        <v>18.201367022502168</v>
      </c>
      <c r="AI461" s="216">
        <f>AI459-AI460</f>
        <v>10.552</v>
      </c>
      <c r="AJ461" s="193">
        <f t="shared" si="2371"/>
        <v>49.377123442808625</v>
      </c>
      <c r="AK461" s="216">
        <f>AK459-AK460</f>
        <v>13.738000000000001</v>
      </c>
      <c r="AL461" s="193">
        <f t="shared" si="2372"/>
        <v>18.707336040784629</v>
      </c>
      <c r="AM461" s="216">
        <f>AM459-AM460</f>
        <v>13.513999999999996</v>
      </c>
      <c r="AN461" s="193">
        <f t="shared" si="2373"/>
        <v>18.898469118423343</v>
      </c>
      <c r="AO461" s="216">
        <f>AO459-AO460</f>
        <v>16.606000000000002</v>
      </c>
      <c r="AP461" s="193">
        <f t="shared" si="2374"/>
        <v>7.8942238970826972</v>
      </c>
      <c r="AQ461" s="216">
        <f>AQ459-AQ460</f>
        <v>11.048999999999999</v>
      </c>
      <c r="AR461" s="193">
        <f t="shared" si="2375"/>
        <v>4.71000758150113</v>
      </c>
      <c r="AS461" s="216">
        <f>AS459-AS460</f>
        <v>14.963999999999999</v>
      </c>
      <c r="AT461" s="193">
        <f t="shared" si="2376"/>
        <v>8.9241519871887895</v>
      </c>
      <c r="AU461" s="216">
        <f>AU459-AU460</f>
        <v>13.899999999999999</v>
      </c>
      <c r="AV461" s="61">
        <f t="shared" si="2377"/>
        <v>2.8562971733017806</v>
      </c>
      <c r="AW461" s="216">
        <f>AW459-AW460</f>
        <v>17.711000000000002</v>
      </c>
      <c r="AX461" s="61">
        <f t="shared" si="2377"/>
        <v>6.6542213657714067</v>
      </c>
      <c r="AY461" s="216">
        <f>AY459-AY460</f>
        <v>11.2</v>
      </c>
      <c r="AZ461" s="61">
        <f>IF(ISERROR((AY461/AQ461-1)*100),"NA",IF(((AY461/AQ461-1)*100)&gt;100,"NM",IF(((AY461/AQ461-1)*100)&lt;-50,"NM",(AY461/AQ461-1)*100)))</f>
        <v>1.3666395148882238</v>
      </c>
      <c r="BA461" s="216">
        <f>BA459-BA460</f>
        <v>-3.7</v>
      </c>
      <c r="BB461" s="61" t="str">
        <f t="shared" si="2378"/>
        <v>NM</v>
      </c>
      <c r="BC461" s="216">
        <f>BC459-BC460</f>
        <v>14.600000000000001</v>
      </c>
      <c r="BD461" s="61">
        <f t="shared" si="2379"/>
        <v>5.0359712230215958</v>
      </c>
      <c r="BE461" s="216">
        <f>BE459-BE460</f>
        <v>17.5</v>
      </c>
      <c r="BF461" s="61">
        <f t="shared" si="2380"/>
        <v>-1.1913500084693274</v>
      </c>
      <c r="BG461" s="216"/>
      <c r="BH461" s="61"/>
      <c r="BI461" s="216"/>
      <c r="BJ461" s="61"/>
      <c r="BK461" s="216"/>
      <c r="BL461" s="61"/>
      <c r="BM461" s="216"/>
      <c r="BN461" s="61"/>
      <c r="BO461" s="216"/>
      <c r="BP461" s="61"/>
      <c r="BQ461" s="216"/>
      <c r="BR461" s="61"/>
      <c r="BS461" s="216"/>
      <c r="BT461" s="61"/>
      <c r="BU461" s="216"/>
      <c r="BV461" s="61"/>
      <c r="BW461" s="125"/>
      <c r="BX461" s="61"/>
      <c r="BY461" s="125"/>
      <c r="BZ461" s="61"/>
      <c r="CA461" s="125"/>
      <c r="CB461" s="61"/>
      <c r="CC461" s="125"/>
      <c r="CD461" s="61"/>
      <c r="CE461" s="125"/>
      <c r="CF461" s="61"/>
      <c r="CG461" s="125"/>
      <c r="CH461" s="61"/>
      <c r="CI461" s="125"/>
      <c r="CJ461" s="61"/>
      <c r="CK461" s="125"/>
      <c r="CL461" s="61"/>
      <c r="CM461" s="125"/>
      <c r="CN461" s="61"/>
      <c r="CO461" s="125"/>
      <c r="CP461" s="61"/>
      <c r="CQ461" s="125"/>
      <c r="CR461" s="61"/>
      <c r="CS461" s="125"/>
      <c r="CT461" s="61"/>
      <c r="CU461" s="125"/>
      <c r="CV461" s="61"/>
      <c r="CW461" s="125"/>
      <c r="CX461" s="61"/>
      <c r="CY461" s="125"/>
      <c r="CZ461" s="61"/>
      <c r="DA461" s="125"/>
      <c r="DB461" s="61"/>
      <c r="DC461" s="125"/>
      <c r="DD461" s="61"/>
      <c r="DE461" s="125"/>
      <c r="DF461" s="61"/>
      <c r="DG461" s="125"/>
      <c r="DH461" s="61"/>
      <c r="DI461" s="125"/>
      <c r="DJ461" s="61"/>
      <c r="DK461" s="125"/>
      <c r="DL461" s="61"/>
      <c r="DM461" s="125"/>
      <c r="DN461" s="61"/>
      <c r="DO461" s="125"/>
      <c r="DP461" s="61"/>
      <c r="DQ461" s="125"/>
      <c r="DR461" s="61"/>
      <c r="DS461" s="125"/>
      <c r="DT461" s="61"/>
      <c r="DU461" s="125"/>
      <c r="DV461" s="61"/>
      <c r="DW461" s="125"/>
      <c r="DX461" s="125"/>
      <c r="DY461" s="125"/>
      <c r="DZ461" s="61"/>
      <c r="EA461" s="125"/>
      <c r="EB461" s="61"/>
      <c r="EC461" s="125"/>
      <c r="ED461" s="61"/>
      <c r="EE461" s="125"/>
      <c r="EF461" s="61"/>
      <c r="EG461" s="125"/>
      <c r="EH461" s="61"/>
      <c r="EI461" s="125"/>
      <c r="EJ461" s="61"/>
      <c r="EK461" s="125"/>
      <c r="EL461" s="61"/>
      <c r="EM461" s="125"/>
      <c r="EN461" s="61"/>
      <c r="EO461" s="125"/>
      <c r="EP461" s="61"/>
      <c r="EQ461" s="125"/>
      <c r="ER461" s="61"/>
      <c r="ES461" s="125"/>
      <c r="ET461" s="61"/>
      <c r="EU461" s="125"/>
      <c r="EV461" s="61"/>
      <c r="EW461" s="125"/>
      <c r="EX461" s="61"/>
      <c r="EY461" s="90"/>
      <c r="EZ461" s="558"/>
      <c r="FA461" s="90"/>
      <c r="FB461" s="216">
        <f>FB459-FB460</f>
        <v>32.303999999999981</v>
      </c>
      <c r="FC461" s="234"/>
      <c r="FD461" s="216">
        <f>FD459-FD460</f>
        <v>37.632000000000005</v>
      </c>
      <c r="FE461" s="209">
        <f t="shared" si="2381"/>
        <v>16.493313521545396</v>
      </c>
      <c r="FF461" s="216">
        <f>FF459-FF460</f>
        <v>41.168999999999997</v>
      </c>
      <c r="FG461" s="209">
        <f t="shared" si="2382"/>
        <v>9.3989158163265039</v>
      </c>
      <c r="FH461" s="216">
        <f>FH459-FH460</f>
        <v>33.517999999999958</v>
      </c>
      <c r="FI461" s="209">
        <f t="shared" si="2383"/>
        <v>-18.584371736015058</v>
      </c>
      <c r="FJ461" s="216">
        <f>FJ459-FJ460</f>
        <v>39.82699999999997</v>
      </c>
      <c r="FK461" s="209">
        <f t="shared" si="2384"/>
        <v>18.822722119458255</v>
      </c>
      <c r="FL461" s="216">
        <f>FL459-FL460</f>
        <v>45.39400000000002</v>
      </c>
      <c r="FM461" s="209">
        <f t="shared" si="2385"/>
        <v>13.977954653878166</v>
      </c>
      <c r="FN461" s="216">
        <f>FN459-FN460</f>
        <v>54.41</v>
      </c>
      <c r="FO461" s="209">
        <f t="shared" si="2386"/>
        <v>19.861655725426218</v>
      </c>
      <c r="FP461" s="159">
        <f>FP459-FP460</f>
        <v>57.624000000000017</v>
      </c>
      <c r="FQ461" s="61">
        <f t="shared" si="2387"/>
        <v>5.9070023892667134</v>
      </c>
      <c r="FR461" s="159">
        <f>FR459-FR460</f>
        <v>39.6</v>
      </c>
      <c r="FS461" s="61"/>
      <c r="FT461" s="159"/>
      <c r="FU461" s="61"/>
      <c r="FV461" s="159"/>
      <c r="FW461" s="61"/>
      <c r="FX461" s="159"/>
      <c r="FY461" s="61"/>
      <c r="FZ461" s="159"/>
      <c r="GA461" s="61"/>
      <c r="GB461" s="159"/>
      <c r="GC461" s="61"/>
      <c r="GD461" s="159"/>
      <c r="GE461" s="61"/>
      <c r="GF461" s="159"/>
      <c r="GG461" s="61"/>
      <c r="GH461" s="159"/>
      <c r="GI461" s="61"/>
      <c r="GJ461" s="159"/>
      <c r="GK461" s="61"/>
      <c r="GL461" s="159"/>
      <c r="GM461" s="61"/>
      <c r="GN461" s="159"/>
      <c r="GO461" s="61"/>
      <c r="GP461" s="159"/>
      <c r="GQ461" s="61"/>
      <c r="GR461" s="125"/>
      <c r="GS461" s="61"/>
      <c r="GT461" s="125"/>
      <c r="GU461" s="61"/>
      <c r="GV461" s="125"/>
      <c r="GW461" s="61"/>
      <c r="GX461" s="125"/>
      <c r="GY461" s="61"/>
      <c r="GZ461" s="61"/>
      <c r="HA461" s="61"/>
      <c r="HB461" s="452"/>
      <c r="HC461"/>
      <c r="HD461"/>
      <c r="HE461"/>
      <c r="HF461"/>
      <c r="HG461"/>
      <c r="HH461"/>
    </row>
    <row r="462" spans="1:216" s="5" customFormat="1" ht="12.75" hidden="1" customHeight="1" outlineLevel="1" x14ac:dyDescent="0.2">
      <c r="B462" s="2" t="s">
        <v>73</v>
      </c>
      <c r="C462" s="69"/>
      <c r="D462" s="70"/>
      <c r="E462" s="69"/>
      <c r="F462" s="71"/>
      <c r="G462" s="69"/>
      <c r="H462" s="71"/>
      <c r="I462" s="69"/>
      <c r="J462" s="61"/>
      <c r="K462" s="69"/>
      <c r="L462" s="61"/>
      <c r="M462" s="69"/>
      <c r="N462" s="61"/>
      <c r="O462" s="69"/>
      <c r="P462" s="61"/>
      <c r="Q462" s="69"/>
      <c r="R462" s="61"/>
      <c r="S462" s="69"/>
      <c r="T462" s="61"/>
      <c r="U462" s="69"/>
      <c r="V462" s="61"/>
      <c r="W462" s="69"/>
      <c r="X462" s="126"/>
      <c r="Y462" s="69"/>
      <c r="Z462" s="126"/>
      <c r="AA462" s="69"/>
      <c r="AB462" s="126"/>
      <c r="AC462" s="69"/>
      <c r="AD462" s="126"/>
      <c r="AE462" s="69"/>
      <c r="AF462" s="126"/>
      <c r="AG462" s="69"/>
      <c r="AH462" s="126"/>
      <c r="AI462" s="69"/>
      <c r="AJ462" s="126"/>
      <c r="AK462" s="69"/>
      <c r="AL462" s="126"/>
      <c r="AM462" s="69"/>
      <c r="AN462" s="126"/>
      <c r="AO462" s="69"/>
      <c r="AP462" s="126"/>
      <c r="AQ462" s="69"/>
      <c r="AR462" s="61"/>
      <c r="AS462" s="69"/>
      <c r="AT462" s="61"/>
      <c r="AU462" s="69"/>
      <c r="AV462" s="61"/>
      <c r="AW462" s="69"/>
      <c r="AX462" s="61"/>
      <c r="AY462" s="69"/>
      <c r="AZ462" s="61"/>
      <c r="BA462" s="69">
        <f>BA461/(1-BA458/100)</f>
        <v>4</v>
      </c>
      <c r="BB462" s="61" t="str">
        <f t="shared" si="2378"/>
        <v>NA</v>
      </c>
      <c r="BC462" s="69">
        <f>BC461/(1-BC458/100)</f>
        <v>22.6</v>
      </c>
      <c r="BD462" s="61" t="str">
        <f t="shared" si="2379"/>
        <v>NA</v>
      </c>
      <c r="BE462" s="69">
        <f>BE461/(1-BE458/100)</f>
        <v>27.045454545454543</v>
      </c>
      <c r="BF462" s="61" t="str">
        <f t="shared" si="2380"/>
        <v>NA</v>
      </c>
      <c r="BG462" s="69"/>
      <c r="BH462" s="61"/>
      <c r="BI462" s="69"/>
      <c r="BJ462" s="61"/>
      <c r="BK462" s="69"/>
      <c r="BL462" s="61"/>
      <c r="BM462" s="69"/>
      <c r="BN462" s="61"/>
      <c r="BO462" s="69"/>
      <c r="BP462" s="61"/>
      <c r="BQ462" s="69"/>
      <c r="BR462" s="61"/>
      <c r="BS462" s="69"/>
      <c r="BT462" s="61"/>
      <c r="BU462" s="69"/>
      <c r="BV462" s="61"/>
      <c r="BW462" s="84"/>
      <c r="BX462" s="61"/>
      <c r="BY462" s="84"/>
      <c r="BZ462" s="61"/>
      <c r="CA462" s="84"/>
      <c r="CB462" s="61"/>
      <c r="CC462" s="84"/>
      <c r="CD462" s="61"/>
      <c r="CE462" s="84"/>
      <c r="CF462" s="61"/>
      <c r="CG462" s="84"/>
      <c r="CH462" s="61"/>
      <c r="CI462" s="84"/>
      <c r="CJ462" s="61"/>
      <c r="CK462" s="84"/>
      <c r="CL462" s="61"/>
      <c r="CM462" s="84"/>
      <c r="CN462" s="61"/>
      <c r="CO462" s="84"/>
      <c r="CP462" s="61"/>
      <c r="CQ462" s="84"/>
      <c r="CR462" s="61"/>
      <c r="CS462" s="84"/>
      <c r="CT462" s="61"/>
      <c r="CU462" s="84"/>
      <c r="CV462" s="61"/>
      <c r="CW462" s="84"/>
      <c r="CX462" s="61"/>
      <c r="CY462" s="84"/>
      <c r="CZ462" s="61"/>
      <c r="DA462" s="84"/>
      <c r="DB462" s="61"/>
      <c r="DC462" s="84"/>
      <c r="DD462" s="61"/>
      <c r="DE462" s="84"/>
      <c r="DF462" s="61"/>
      <c r="DG462" s="84"/>
      <c r="DH462" s="61"/>
      <c r="DI462" s="84"/>
      <c r="DJ462" s="61"/>
      <c r="DK462" s="84"/>
      <c r="DL462" s="61"/>
      <c r="DM462" s="84"/>
      <c r="DN462" s="61"/>
      <c r="DO462" s="84"/>
      <c r="DP462" s="61"/>
      <c r="DQ462" s="84"/>
      <c r="DR462" s="61"/>
      <c r="DS462" s="84"/>
      <c r="DT462" s="61"/>
      <c r="DU462" s="84"/>
      <c r="DV462" s="61"/>
      <c r="DW462" s="84"/>
      <c r="DX462" s="84"/>
      <c r="DY462" s="84"/>
      <c r="DZ462" s="61"/>
      <c r="EA462" s="84"/>
      <c r="EB462" s="61"/>
      <c r="EC462" s="84"/>
      <c r="ED462" s="61"/>
      <c r="EE462" s="84"/>
      <c r="EF462" s="61"/>
      <c r="EG462" s="84"/>
      <c r="EH462" s="61"/>
      <c r="EI462" s="84"/>
      <c r="EJ462" s="61"/>
      <c r="EK462" s="84"/>
      <c r="EL462" s="61"/>
      <c r="EM462" s="84"/>
      <c r="EN462" s="61"/>
      <c r="EO462" s="84"/>
      <c r="EP462" s="61"/>
      <c r="EQ462" s="84"/>
      <c r="ER462" s="61"/>
      <c r="ES462" s="84"/>
      <c r="ET462" s="61"/>
      <c r="EU462" s="84"/>
      <c r="EV462" s="61"/>
      <c r="EW462" s="84"/>
      <c r="EX462" s="61"/>
      <c r="EY462" s="84"/>
      <c r="EZ462" s="558"/>
      <c r="FA462" s="84"/>
      <c r="FB462" s="84"/>
      <c r="FC462" s="234"/>
      <c r="FD462" s="84"/>
      <c r="FE462" s="143"/>
      <c r="FF462" s="84"/>
      <c r="FG462" s="143"/>
      <c r="FH462" s="84"/>
      <c r="FI462" s="143"/>
      <c r="FJ462" s="84"/>
      <c r="FK462" s="143"/>
      <c r="FL462" s="84"/>
      <c r="FM462" s="143"/>
      <c r="FN462" s="84"/>
      <c r="FO462" s="143"/>
      <c r="FP462" s="139">
        <f>AQ462+AS462+AU462+AW462</f>
        <v>0</v>
      </c>
      <c r="FQ462" s="61" t="str">
        <f t="shared" si="2387"/>
        <v>NA</v>
      </c>
      <c r="FR462" s="139">
        <f>AY462+BA462+BC462+BE462</f>
        <v>53.645454545454541</v>
      </c>
      <c r="FS462" s="61"/>
      <c r="FT462" s="139"/>
      <c r="FU462" s="61"/>
      <c r="FV462" s="139"/>
      <c r="FW462" s="61"/>
      <c r="FX462" s="139"/>
      <c r="FY462" s="61"/>
      <c r="FZ462" s="139"/>
      <c r="GA462" s="61"/>
      <c r="GB462" s="139"/>
      <c r="GC462" s="61"/>
      <c r="GD462" s="139"/>
      <c r="GE462" s="61"/>
      <c r="GF462" s="139"/>
      <c r="GG462" s="61"/>
      <c r="GH462" s="139"/>
      <c r="GI462" s="61"/>
      <c r="GJ462" s="139"/>
      <c r="GK462" s="61"/>
      <c r="GL462" s="139"/>
      <c r="GM462" s="61"/>
      <c r="GN462" s="139"/>
      <c r="GO462" s="61"/>
      <c r="GP462" s="139"/>
      <c r="GQ462" s="61"/>
      <c r="GR462" s="84"/>
      <c r="GS462" s="61"/>
      <c r="GT462" s="84"/>
      <c r="GU462" s="61"/>
      <c r="GV462" s="84"/>
      <c r="GW462" s="61"/>
      <c r="GX462" s="84"/>
      <c r="GY462" s="61"/>
      <c r="GZ462" s="61"/>
      <c r="HA462" s="61"/>
      <c r="HB462" s="452"/>
      <c r="HC462"/>
      <c r="HD462"/>
      <c r="HE462"/>
      <c r="HF462"/>
      <c r="HG462"/>
      <c r="HH462"/>
    </row>
    <row r="463" spans="1:216" s="3" customFormat="1" ht="12.75" hidden="1" customHeight="1" outlineLevel="1" x14ac:dyDescent="0.2">
      <c r="B463" s="235"/>
      <c r="C463" s="183"/>
      <c r="D463" s="245"/>
      <c r="E463" s="183"/>
      <c r="F463" s="245"/>
      <c r="G463" s="183"/>
      <c r="H463" s="245"/>
      <c r="I463" s="183"/>
      <c r="J463" s="245"/>
      <c r="K463" s="183"/>
      <c r="L463" s="245"/>
      <c r="M463" s="183"/>
      <c r="N463" s="245"/>
      <c r="O463" s="183"/>
      <c r="P463" s="245"/>
      <c r="Q463" s="191"/>
      <c r="R463" s="245"/>
      <c r="S463" s="191"/>
      <c r="T463" s="245"/>
      <c r="U463" s="191"/>
      <c r="V463" s="245"/>
      <c r="W463" s="191"/>
      <c r="X463" s="245"/>
      <c r="Y463" s="191"/>
      <c r="Z463" s="245"/>
      <c r="AA463" s="191"/>
      <c r="AB463" s="245"/>
      <c r="AC463" s="191"/>
      <c r="AD463" s="245"/>
      <c r="AE463" s="191"/>
      <c r="AF463" s="245"/>
      <c r="AG463" s="191"/>
      <c r="AH463" s="245"/>
      <c r="AI463" s="191"/>
      <c r="AJ463" s="245"/>
      <c r="AK463" s="191"/>
      <c r="AL463" s="245"/>
      <c r="AM463" s="191"/>
      <c r="AN463" s="245"/>
      <c r="AO463" s="191"/>
      <c r="AP463" s="245"/>
      <c r="AQ463" s="191"/>
      <c r="AR463" s="245"/>
      <c r="AS463" s="191"/>
      <c r="AT463" s="245"/>
      <c r="AU463" s="191"/>
      <c r="AV463" s="245"/>
      <c r="AW463" s="191"/>
      <c r="AX463" s="61"/>
      <c r="AY463" s="191"/>
      <c r="AZ463" s="61"/>
      <c r="BA463" s="191"/>
      <c r="BB463" s="61"/>
      <c r="BC463" s="191"/>
      <c r="BD463" s="61"/>
      <c r="BE463" s="191"/>
      <c r="BF463" s="61"/>
      <c r="BG463" s="194"/>
      <c r="BH463" s="61"/>
      <c r="BI463" s="194"/>
      <c r="BJ463" s="61"/>
      <c r="BK463" s="194"/>
      <c r="BL463" s="61"/>
      <c r="BM463" s="194"/>
      <c r="BN463" s="61"/>
      <c r="BO463" s="191"/>
      <c r="BP463" s="61"/>
      <c r="BQ463" s="191"/>
      <c r="BR463" s="61"/>
      <c r="BS463" s="191"/>
      <c r="BT463" s="61"/>
      <c r="BU463" s="191"/>
      <c r="BV463" s="61"/>
      <c r="BW463" s="264"/>
      <c r="BX463" s="61"/>
      <c r="BY463" s="264"/>
      <c r="BZ463" s="61"/>
      <c r="CA463" s="264"/>
      <c r="CB463" s="61"/>
      <c r="CC463" s="264"/>
      <c r="CD463" s="61"/>
      <c r="CE463" s="264"/>
      <c r="CF463" s="61"/>
      <c r="CG463" s="264"/>
      <c r="CH463" s="61"/>
      <c r="CI463" s="264"/>
      <c r="CJ463" s="61"/>
      <c r="CK463" s="264"/>
      <c r="CL463" s="61"/>
      <c r="CM463" s="264"/>
      <c r="CN463" s="61"/>
      <c r="CO463" s="264"/>
      <c r="CP463" s="61"/>
      <c r="CQ463" s="264"/>
      <c r="CR463" s="61"/>
      <c r="CS463" s="264"/>
      <c r="CT463" s="61"/>
      <c r="CU463" s="264"/>
      <c r="CV463" s="61"/>
      <c r="CW463" s="264"/>
      <c r="CX463" s="61"/>
      <c r="CY463" s="264"/>
      <c r="CZ463" s="61"/>
      <c r="DA463" s="264"/>
      <c r="DB463" s="61"/>
      <c r="DC463" s="264"/>
      <c r="DD463" s="61"/>
      <c r="DE463" s="264"/>
      <c r="DF463" s="61"/>
      <c r="DG463" s="264"/>
      <c r="DH463" s="61"/>
      <c r="DI463" s="264"/>
      <c r="DJ463" s="61"/>
      <c r="DK463" s="264"/>
      <c r="DL463" s="61"/>
      <c r="DM463" s="264"/>
      <c r="DN463" s="61"/>
      <c r="DO463" s="264"/>
      <c r="DP463" s="61"/>
      <c r="DQ463" s="264"/>
      <c r="DR463" s="61"/>
      <c r="DS463" s="264"/>
      <c r="DT463" s="61"/>
      <c r="DU463" s="264"/>
      <c r="DV463" s="61"/>
      <c r="DW463" s="264"/>
      <c r="DX463" s="264"/>
      <c r="DY463" s="264"/>
      <c r="DZ463" s="61"/>
      <c r="EA463" s="264"/>
      <c r="EB463" s="61"/>
      <c r="EC463" s="264"/>
      <c r="ED463" s="61"/>
      <c r="EE463" s="264"/>
      <c r="EF463" s="61"/>
      <c r="EG463" s="264"/>
      <c r="EH463" s="61"/>
      <c r="EI463" s="264"/>
      <c r="EJ463" s="61"/>
      <c r="EK463" s="264"/>
      <c r="EL463" s="61"/>
      <c r="EM463" s="264"/>
      <c r="EN463" s="61"/>
      <c r="EO463" s="264"/>
      <c r="EP463" s="61"/>
      <c r="EQ463" s="264"/>
      <c r="ER463" s="61"/>
      <c r="ES463" s="264"/>
      <c r="ET463" s="61"/>
      <c r="EU463" s="264"/>
      <c r="EV463" s="61"/>
      <c r="EW463" s="264"/>
      <c r="EX463" s="61"/>
      <c r="EY463" s="237"/>
      <c r="EZ463" s="558"/>
      <c r="FA463" s="237"/>
      <c r="FB463" s="183"/>
      <c r="FC463" s="245"/>
      <c r="FD463" s="183"/>
      <c r="FE463" s="245"/>
      <c r="FF463" s="183"/>
      <c r="FG463" s="245"/>
      <c r="FH463" s="183"/>
      <c r="FI463" s="245"/>
      <c r="FJ463" s="183"/>
      <c r="FK463" s="245"/>
      <c r="FL463" s="191"/>
      <c r="FM463" s="245"/>
      <c r="FN463" s="191"/>
      <c r="FO463" s="245"/>
      <c r="FP463" s="200"/>
      <c r="FQ463" s="61"/>
      <c r="FR463" s="200"/>
      <c r="FS463" s="61"/>
      <c r="FT463" s="200"/>
      <c r="FU463" s="61"/>
      <c r="FV463" s="200"/>
      <c r="FW463" s="61"/>
      <c r="FX463" s="200"/>
      <c r="FY463" s="61"/>
      <c r="FZ463" s="200"/>
      <c r="GA463" s="61"/>
      <c r="GB463" s="200"/>
      <c r="GC463" s="61"/>
      <c r="GD463" s="200"/>
      <c r="GE463" s="61"/>
      <c r="GF463" s="200"/>
      <c r="GG463" s="61"/>
      <c r="GH463" s="200"/>
      <c r="GI463" s="61"/>
      <c r="GJ463" s="200"/>
      <c r="GK463" s="61"/>
      <c r="GL463" s="200"/>
      <c r="GM463" s="61"/>
      <c r="GN463" s="200"/>
      <c r="GO463" s="61"/>
      <c r="GP463" s="200"/>
      <c r="GQ463" s="61"/>
      <c r="GR463" s="264"/>
      <c r="GS463" s="61"/>
      <c r="GT463" s="264"/>
      <c r="GU463" s="61"/>
      <c r="GV463" s="264"/>
      <c r="GW463" s="61"/>
      <c r="GX463" s="264"/>
      <c r="GY463" s="61"/>
      <c r="GZ463" s="61"/>
      <c r="HA463" s="61"/>
      <c r="HB463" s="452"/>
      <c r="HC463"/>
      <c r="HD463"/>
      <c r="HE463"/>
      <c r="HF463"/>
      <c r="HG463"/>
      <c r="HH463"/>
    </row>
    <row r="464" spans="1:216" s="3" customFormat="1" ht="12.75" hidden="1" customHeight="1" outlineLevel="1" x14ac:dyDescent="0.2">
      <c r="B464" s="242" t="s">
        <v>161</v>
      </c>
      <c r="C464" s="183"/>
      <c r="D464" s="245"/>
      <c r="E464" s="183"/>
      <c r="F464" s="245"/>
      <c r="G464" s="183"/>
      <c r="H464" s="245"/>
      <c r="I464" s="183"/>
      <c r="J464" s="245"/>
      <c r="K464" s="183"/>
      <c r="L464" s="245"/>
      <c r="M464" s="183"/>
      <c r="N464" s="245"/>
      <c r="O464" s="183"/>
      <c r="P464" s="245"/>
      <c r="Q464" s="183"/>
      <c r="R464" s="245"/>
      <c r="S464" s="183"/>
      <c r="T464" s="245"/>
      <c r="U464" s="183"/>
      <c r="V464" s="245"/>
      <c r="W464" s="183"/>
      <c r="X464" s="245"/>
      <c r="Y464" s="183"/>
      <c r="Z464" s="245"/>
      <c r="AA464" s="183"/>
      <c r="AB464" s="245"/>
      <c r="AC464" s="183"/>
      <c r="AD464" s="245"/>
      <c r="AE464" s="183"/>
      <c r="AF464" s="245"/>
      <c r="AG464" s="183"/>
      <c r="AH464" s="245"/>
      <c r="AI464" s="248"/>
      <c r="AJ464" s="245"/>
      <c r="AK464" s="183"/>
      <c r="AL464" s="245"/>
      <c r="AM464" s="183"/>
      <c r="AN464" s="245"/>
      <c r="AO464" s="183"/>
      <c r="AP464" s="245"/>
      <c r="AQ464" s="183"/>
      <c r="AR464" s="245"/>
      <c r="AS464" s="183"/>
      <c r="AT464" s="245"/>
      <c r="AU464" s="183"/>
      <c r="AV464" s="245"/>
      <c r="AW464" s="183"/>
      <c r="AX464" s="61"/>
      <c r="AY464" s="183"/>
      <c r="AZ464" s="61"/>
      <c r="BA464" s="183"/>
      <c r="BB464" s="61"/>
      <c r="BC464" s="183"/>
      <c r="BD464" s="61"/>
      <c r="BE464" s="183"/>
      <c r="BF464" s="61"/>
      <c r="BG464" s="206"/>
      <c r="BH464" s="61"/>
      <c r="BI464" s="206"/>
      <c r="BJ464" s="61"/>
      <c r="BK464" s="206"/>
      <c r="BL464" s="61"/>
      <c r="BM464" s="206"/>
      <c r="BN464" s="61"/>
      <c r="BO464" s="183"/>
      <c r="BP464" s="61"/>
      <c r="BQ464" s="183"/>
      <c r="BR464" s="61"/>
      <c r="BS464" s="183"/>
      <c r="BT464" s="61"/>
      <c r="BU464" s="183"/>
      <c r="BV464" s="61"/>
      <c r="BW464" s="236"/>
      <c r="BX464" s="61"/>
      <c r="BY464" s="236"/>
      <c r="BZ464" s="61"/>
      <c r="CA464" s="236"/>
      <c r="CB464" s="61"/>
      <c r="CC464" s="236"/>
      <c r="CD464" s="61"/>
      <c r="CE464" s="236"/>
      <c r="CF464" s="61"/>
      <c r="CG464" s="236"/>
      <c r="CH464" s="61"/>
      <c r="CI464" s="236"/>
      <c r="CJ464" s="61"/>
      <c r="CK464" s="236"/>
      <c r="CL464" s="61"/>
      <c r="CM464" s="236"/>
      <c r="CN464" s="61"/>
      <c r="CO464" s="236"/>
      <c r="CP464" s="61"/>
      <c r="CQ464" s="236"/>
      <c r="CR464" s="61"/>
      <c r="CS464" s="236"/>
      <c r="CT464" s="61"/>
      <c r="CU464" s="236"/>
      <c r="CV464" s="61"/>
      <c r="CW464" s="236"/>
      <c r="CX464" s="61"/>
      <c r="CY464" s="236"/>
      <c r="CZ464" s="61"/>
      <c r="DA464" s="236"/>
      <c r="DB464" s="61"/>
      <c r="DC464" s="236"/>
      <c r="DD464" s="61"/>
      <c r="DE464" s="236"/>
      <c r="DF464" s="61"/>
      <c r="DG464" s="236"/>
      <c r="DH464" s="61"/>
      <c r="DI464" s="236"/>
      <c r="DJ464" s="61"/>
      <c r="DK464" s="236"/>
      <c r="DL464" s="61"/>
      <c r="DM464" s="236"/>
      <c r="DN464" s="61"/>
      <c r="DO464" s="236"/>
      <c r="DP464" s="61"/>
      <c r="DQ464" s="236"/>
      <c r="DR464" s="61"/>
      <c r="DS464" s="236"/>
      <c r="DT464" s="61"/>
      <c r="DU464" s="236"/>
      <c r="DV464" s="61"/>
      <c r="DW464" s="236"/>
      <c r="DX464" s="236"/>
      <c r="DY464" s="236"/>
      <c r="DZ464" s="61"/>
      <c r="EA464" s="236"/>
      <c r="EB464" s="61"/>
      <c r="EC464" s="236"/>
      <c r="ED464" s="61"/>
      <c r="EE464" s="236"/>
      <c r="EF464" s="61"/>
      <c r="EG464" s="236"/>
      <c r="EH464" s="61"/>
      <c r="EI464" s="236"/>
      <c r="EJ464" s="61"/>
      <c r="EK464" s="236"/>
      <c r="EL464" s="61"/>
      <c r="EM464" s="236"/>
      <c r="EN464" s="61"/>
      <c r="EO464" s="236"/>
      <c r="EP464" s="61"/>
      <c r="EQ464" s="236"/>
      <c r="ER464" s="61"/>
      <c r="ES464" s="236"/>
      <c r="ET464" s="61"/>
      <c r="EU464" s="236"/>
      <c r="EV464" s="61"/>
      <c r="EW464" s="236"/>
      <c r="EX464" s="61"/>
      <c r="EY464" s="237"/>
      <c r="EZ464" s="558"/>
      <c r="FA464" s="237"/>
      <c r="FB464" s="183"/>
      <c r="FC464" s="245"/>
      <c r="FD464" s="183"/>
      <c r="FE464" s="245"/>
      <c r="FF464" s="183"/>
      <c r="FG464" s="245"/>
      <c r="FH464" s="183"/>
      <c r="FI464" s="245"/>
      <c r="FJ464" s="183"/>
      <c r="FK464" s="245"/>
      <c r="FL464" s="183"/>
      <c r="FM464" s="245"/>
      <c r="FN464" s="183"/>
      <c r="FO464" s="245"/>
      <c r="FP464" s="247"/>
      <c r="FQ464" s="61"/>
      <c r="FR464" s="247"/>
      <c r="FS464" s="61"/>
      <c r="FT464" s="247"/>
      <c r="FU464" s="61"/>
      <c r="FV464" s="247"/>
      <c r="FW464" s="61"/>
      <c r="FX464" s="247"/>
      <c r="FY464" s="61"/>
      <c r="FZ464" s="247"/>
      <c r="GA464" s="61"/>
      <c r="GB464" s="247"/>
      <c r="GC464" s="61"/>
      <c r="GD464" s="247"/>
      <c r="GE464" s="61"/>
      <c r="GF464" s="247"/>
      <c r="GG464" s="61"/>
      <c r="GH464" s="247"/>
      <c r="GI464" s="61"/>
      <c r="GJ464" s="247"/>
      <c r="GK464" s="61"/>
      <c r="GL464" s="247"/>
      <c r="GM464" s="61"/>
      <c r="GN464" s="247"/>
      <c r="GO464" s="61"/>
      <c r="GP464" s="247"/>
      <c r="GQ464" s="61"/>
      <c r="GR464" s="236"/>
      <c r="GS464" s="61"/>
      <c r="GT464" s="236"/>
      <c r="GU464" s="61"/>
      <c r="GV464" s="236"/>
      <c r="GW464" s="61"/>
      <c r="GX464" s="236"/>
      <c r="GY464" s="61"/>
      <c r="GZ464" s="61"/>
      <c r="HA464" s="61"/>
      <c r="HB464" s="452"/>
      <c r="HC464"/>
      <c r="HD464"/>
      <c r="HE464"/>
      <c r="HF464"/>
      <c r="HG464"/>
      <c r="HH464"/>
    </row>
    <row r="465" spans="1:216" s="3" customFormat="1" ht="12.75" hidden="1" customHeight="1" outlineLevel="1" x14ac:dyDescent="0.2">
      <c r="B465" s="235" t="s">
        <v>199</v>
      </c>
      <c r="C465" s="191">
        <f>+C456/C439*100</f>
        <v>27.711385007305278</v>
      </c>
      <c r="D465" s="184"/>
      <c r="E465" s="191">
        <f>+E456/E439*100</f>
        <v>31.518791555350223</v>
      </c>
      <c r="F465" s="184"/>
      <c r="G465" s="191">
        <f>+G456/G439*100</f>
        <v>32.806470915956524</v>
      </c>
      <c r="H465" s="184"/>
      <c r="I465" s="191">
        <f>+I456/I439*100</f>
        <v>37.153007972529622</v>
      </c>
      <c r="J465" s="184"/>
      <c r="K465" s="191">
        <f>+K456/K439*100</f>
        <v>22.898230088495588</v>
      </c>
      <c r="L465" s="184">
        <f>IF(ISERROR((K465/C465-1)*100),"NA",IF(((K465/C465-1)*100)&gt;100,"NM",IF(((K465/C465-1)*100)&lt;-50,"NM",(K465/C465-1)*100)))</f>
        <v>-17.368871738243495</v>
      </c>
      <c r="M465" s="191">
        <f>+M456/M439*100</f>
        <v>30.007254637786296</v>
      </c>
      <c r="N465" s="184">
        <f>IF(ISERROR((M465/E465-1)*100),"NA",IF(((M465/E465-1)*100)&gt;100,"NM",IF(((M465/E465-1)*100)&lt;-50,"NM",(M465/E465-1)*100)))</f>
        <v>-4.795669005613723</v>
      </c>
      <c r="O465" s="191">
        <f>+O456/O439*100</f>
        <v>29.802618283070988</v>
      </c>
      <c r="P465" s="184">
        <f>IF(ISERROR((O465/G465-1)*100),"NA",IF(((O465/G465-1)*100)&gt;100,"NM",IF(((O465/G465-1)*100)&lt;-50,"NM",(O465/G465-1)*100)))</f>
        <v>-9.1562809074489984</v>
      </c>
      <c r="Q465" s="191">
        <f>+Q456/Q439*100</f>
        <v>30.543219592632148</v>
      </c>
      <c r="R465" s="184">
        <f>IF(ISERROR((Q465/I465-1)*100),"NA",IF(((Q465/I465-1)*100)&gt;100,"NM",IF(((Q465/I465-1)*100)&lt;-50,"NM",(Q465/I465-1)*100)))</f>
        <v>-17.790722045398454</v>
      </c>
      <c r="S465" s="191">
        <f>+S456/S439*100</f>
        <v>22.500668133133235</v>
      </c>
      <c r="T465" s="184">
        <f>IF(ISERROR((S465/K465-1)*100),"NA",IF(((S465/K465-1)*100)&gt;100,"NM",IF(((S465/K465-1)*100)&lt;-50,"NM",(S465/K465-1)*100)))</f>
        <v>-1.7362125973312437</v>
      </c>
      <c r="U465" s="191">
        <f>+U456/U439*100</f>
        <v>35.295765628752115</v>
      </c>
      <c r="V465" s="184">
        <f>IF(ISERROR((U465/M465-1)*100),"NA",IF(((U465/M465-1)*100)&gt;100,"NM",IF(((U465/M465-1)*100)&lt;-50,"NM",(U465/M465-1)*100)))</f>
        <v>17.624108085870404</v>
      </c>
      <c r="W465" s="191">
        <f>+W456/W439*100</f>
        <v>31.54677196287907</v>
      </c>
      <c r="X465" s="184">
        <f>IF(ISERROR((W465/O465-1)*100),"NA",IF(((W465/O465-1)*100)&gt;100,"NM",IF(((W465/O465-1)*100)&lt;-50,"NM",(W465/O465-1)*100)))</f>
        <v>5.8523504990124486</v>
      </c>
      <c r="Y465" s="191">
        <f>+Y456/Y439*100</f>
        <v>35.175603130457276</v>
      </c>
      <c r="Z465" s="184">
        <f>IF(ISERROR((Y465/Q465-1)*100),"NA",IF(((Y465/Q465-1)*100)&gt;100,"NM",IF(((Y465/Q465-1)*100)&lt;-50,"NM",(Y465/Q465-1)*100)))</f>
        <v>15.166651059086721</v>
      </c>
      <c r="AA465" s="191">
        <f>+AA456/AA439*100</f>
        <v>22.885217322397875</v>
      </c>
      <c r="AB465" s="184">
        <f>IF(ISERROR((AA465/S465-1)*100),"NA",IF(((AA465/S465-1)*100)&gt;100,"NM",IF(((AA465/S465-1)*100)&lt;-50,"NM",(AA465/S465-1)*100)))</f>
        <v>1.7090567577341176</v>
      </c>
      <c r="AC465" s="191">
        <f>+AC456/AC439*100</f>
        <v>38.155661680546231</v>
      </c>
      <c r="AD465" s="184">
        <f>IF(ISERROR((AC465/U465-1)*100),"NA",IF(((AC465/U465-1)*100)&gt;100,"NM",IF(((AC465/U465-1)*100)&lt;-50,"NM",(AC465/U465-1)*100)))</f>
        <v>8.1026604773928756</v>
      </c>
      <c r="AE465" s="191">
        <f>+AE456/AE439*100</f>
        <v>37.497341916526508</v>
      </c>
      <c r="AF465" s="184">
        <f>IF(ISERROR((AE465/W465-1)*100),"NA",IF(((AE465/W465-1)*100)&gt;100,"NM",IF(((AE465/W465-1)*100)&lt;-50,"NM",(AE465/W465-1)*100)))</f>
        <v>18.862690485890109</v>
      </c>
      <c r="AG465" s="191">
        <f>+AG456/AG439*100</f>
        <v>38.08784800601957</v>
      </c>
      <c r="AH465" s="184">
        <f>IF(ISERROR((AG465/Y465-1)*100),"NA",IF(((AG465/Y465-1)*100)&gt;100,"NM",IF(((AG465/Y465-1)*100)&lt;-50,"NM",(AG465/Y465-1)*100)))</f>
        <v>8.2791611696366054</v>
      </c>
      <c r="AI465" s="191">
        <f>+AI456/AI439*100</f>
        <v>30.078452151024663</v>
      </c>
      <c r="AJ465" s="184">
        <f>IF(ISERROR((AI465/AA465-1)*100),"NA",IF(((AI465/AA465-1)*100)&gt;100,"NM",IF(((AI465/AA465-1)*100)&lt;-50,"NM",(AI465/AA465-1)*100)))</f>
        <v>31.431796024880796</v>
      </c>
      <c r="AK465" s="191">
        <f>+AK456/AK439*100</f>
        <v>39.691643212433405</v>
      </c>
      <c r="AL465" s="184">
        <f>IF(ISERROR((AK465/AC465-1)*100),"NA",IF(((AK465/AC465-1)*100)&gt;100,"NM",IF(((AK465/AC465-1)*100)&lt;-50,"NM",(AK465/AC465-1)*100)))</f>
        <v>4.0255664932428603</v>
      </c>
      <c r="AM465" s="191">
        <f>+AM456/AM439*100</f>
        <v>39.445170610897073</v>
      </c>
      <c r="AN465" s="184">
        <f>IF(ISERROR((AM465/AE465-1)*100),"NA",IF(((AM465/AE465-1)*100)&gt;100,"NM",IF(((AM465/AE465-1)*100)&lt;-50,"NM",(AM465/AE465-1)*100)))</f>
        <v>5.1945780549102816</v>
      </c>
      <c r="AO465" s="191">
        <f>+AO456/AO439*100</f>
        <v>39.602489223662339</v>
      </c>
      <c r="AP465" s="184">
        <f>IF(ISERROR((AO465/AG465-1)*100),"NA",IF(((AO465/AG465-1)*100)&gt;100,"NM",IF(((AO465/AG465-1)*100)&lt;-50,"NM",(AO465/AG465-1)*100)))</f>
        <v>3.9767046366163461</v>
      </c>
      <c r="AQ465" s="191">
        <f>+AQ456/AQ439*100</f>
        <v>30.421355236139629</v>
      </c>
      <c r="AR465" s="184">
        <f>IF(ISERROR((AQ465/AI465-1)*100),"NA",IF(((AQ465/AI465-1)*100)&gt;100,"NM",IF(((AQ465/AI465-1)*100)&lt;-50,"NM",(AQ465/AI465-1)*100)))</f>
        <v>1.1400290260723533</v>
      </c>
      <c r="AS465" s="191">
        <f>+AS456/AS439*100</f>
        <v>40.990943739291581</v>
      </c>
      <c r="AT465" s="184">
        <f>IF(ISERROR((AS465/AK465-1)*100),"NA",IF(((AS465/AK465-1)*100)&gt;100,"NM",IF(((AS465/AK465-1)*100)&lt;-50,"NM",(AS465/AK465-1)*100)))</f>
        <v>3.2734863606028952</v>
      </c>
      <c r="AU465" s="191">
        <f>+AU456/AU439*100</f>
        <v>39.333738766132846</v>
      </c>
      <c r="AV465" s="61">
        <f>IF(ISERROR((AU465/AM465-1)*100),"NA",IF(((AU465/AM465-1)*100)&gt;100,"NM",IF(((AU465/AM465-1)*100)&lt;-50,"NM",(AU465/AM465-1)*100)))</f>
        <v>-0.28249806766824648</v>
      </c>
      <c r="AW465" s="191">
        <f>+AW456/AW439*100</f>
        <v>42.531240079651376</v>
      </c>
      <c r="AX465" s="61">
        <f>IF(ISERROR((AW465/AO465-1)*100),"NA",IF(((AW465/AO465-1)*100)&gt;100,"NM",IF(((AW465/AO465-1)*100)&lt;-50,"NM",(AW465/AO465-1)*100)))</f>
        <v>7.3953706279632492</v>
      </c>
      <c r="AY465" s="191"/>
      <c r="AZ465" s="61"/>
      <c r="BA465" s="191">
        <f>+BA456/BA439*100</f>
        <v>6.9565217391304346</v>
      </c>
      <c r="BB465" s="61" t="str">
        <f>IF(ISERROR((BA465/AS465-1)*100),"NA",IF(((BA465/AS465-1)*100)&gt;100,"NM",IF(((BA465/AS465-1)*100)&lt;-50,"NM",(BA465/AS465-1)*100)))</f>
        <v>NM</v>
      </c>
      <c r="BC465" s="191">
        <f>+BC456/BC439*100</f>
        <v>37.792642140468232</v>
      </c>
      <c r="BD465" s="61">
        <f>IF(ISERROR((BC465/AU465-1)*100),"NA",IF(((BC465/AU465-1)*100)&gt;100,"NM",IF(((BC465/AU465-1)*100)&lt;-50,"NM",(BC465/AU465-1)*100)))</f>
        <v>-3.9180018833895658</v>
      </c>
      <c r="BE465" s="191">
        <f>+BE456/BE439*100</f>
        <v>38.857142857142861</v>
      </c>
      <c r="BF465" s="61">
        <f>IF(ISERROR((BE465/AW465-1)*100),"NA",IF(((BE465/AW465-1)*100)&gt;100,"NM",IF(((BE465/AW465-1)*100)&lt;-50,"NM",(BE465/AW465-1)*100)))</f>
        <v>-8.6385847570580214</v>
      </c>
      <c r="BG465" s="194"/>
      <c r="BH465" s="61"/>
      <c r="BI465" s="194"/>
      <c r="BJ465" s="61"/>
      <c r="BK465" s="194"/>
      <c r="BL465" s="61"/>
      <c r="BM465" s="194"/>
      <c r="BN465" s="61"/>
      <c r="BO465" s="191"/>
      <c r="BP465" s="61"/>
      <c r="BQ465" s="191"/>
      <c r="BR465" s="61"/>
      <c r="BS465" s="191"/>
      <c r="BT465" s="61"/>
      <c r="BU465" s="191"/>
      <c r="BV465" s="61"/>
      <c r="BW465" s="251"/>
      <c r="BX465" s="61"/>
      <c r="BY465" s="251"/>
      <c r="BZ465" s="61"/>
      <c r="CA465" s="251"/>
      <c r="CB465" s="61"/>
      <c r="CC465" s="251"/>
      <c r="CD465" s="61"/>
      <c r="CE465" s="251"/>
      <c r="CF465" s="61"/>
      <c r="CG465" s="251"/>
      <c r="CH465" s="61"/>
      <c r="CI465" s="251"/>
      <c r="CJ465" s="61"/>
      <c r="CK465" s="251"/>
      <c r="CL465" s="61"/>
      <c r="CM465" s="251"/>
      <c r="CN465" s="61"/>
      <c r="CO465" s="251"/>
      <c r="CP465" s="61"/>
      <c r="CQ465" s="251"/>
      <c r="CR465" s="61"/>
      <c r="CS465" s="251"/>
      <c r="CT465" s="61"/>
      <c r="CU465" s="251"/>
      <c r="CV465" s="61"/>
      <c r="CW465" s="251"/>
      <c r="CX465" s="61"/>
      <c r="CY465" s="251"/>
      <c r="CZ465" s="61"/>
      <c r="DA465" s="251"/>
      <c r="DB465" s="61"/>
      <c r="DC465" s="251"/>
      <c r="DD465" s="61"/>
      <c r="DE465" s="251"/>
      <c r="DF465" s="61"/>
      <c r="DG465" s="251"/>
      <c r="DH465" s="61"/>
      <c r="DI465" s="251"/>
      <c r="DJ465" s="61"/>
      <c r="DK465" s="251"/>
      <c r="DL465" s="61"/>
      <c r="DM465" s="251"/>
      <c r="DN465" s="61"/>
      <c r="DO465" s="251"/>
      <c r="DP465" s="61"/>
      <c r="DQ465" s="251"/>
      <c r="DR465" s="61"/>
      <c r="DS465" s="251"/>
      <c r="DT465" s="61"/>
      <c r="DU465" s="251"/>
      <c r="DV465" s="61"/>
      <c r="DW465" s="251"/>
      <c r="DX465" s="251"/>
      <c r="DY465" s="251"/>
      <c r="DZ465" s="61"/>
      <c r="EA465" s="251"/>
      <c r="EB465" s="61"/>
      <c r="EC465" s="251"/>
      <c r="ED465" s="61"/>
      <c r="EE465" s="251"/>
      <c r="EF465" s="61"/>
      <c r="EG465" s="251"/>
      <c r="EH465" s="61"/>
      <c r="EI465" s="251"/>
      <c r="EJ465" s="61"/>
      <c r="EK465" s="251"/>
      <c r="EL465" s="61"/>
      <c r="EM465" s="251"/>
      <c r="EN465" s="61"/>
      <c r="EO465" s="251"/>
      <c r="EP465" s="61"/>
      <c r="EQ465" s="251"/>
      <c r="ER465" s="61"/>
      <c r="ES465" s="251"/>
      <c r="ET465" s="61"/>
      <c r="EU465" s="251"/>
      <c r="EV465" s="61"/>
      <c r="EW465" s="251"/>
      <c r="EX465" s="61"/>
      <c r="EY465" s="143"/>
      <c r="EZ465" s="558"/>
      <c r="FA465" s="143"/>
      <c r="FB465" s="189">
        <f>+FB456/FB439*100</f>
        <v>27.020856905407971</v>
      </c>
      <c r="FC465" s="209"/>
      <c r="FD465" s="189">
        <f>+FD456/FD439*100</f>
        <v>30.679423129464116</v>
      </c>
      <c r="FE465" s="209">
        <f>IF(ISERROR((FD465/FB465-1)*100),"NA",IF(((FD465/FB465-1)*100)&gt;100,"NM",IF(((FD465/FB465-1)*100)&lt;-50,"NM",(FD465/FB465-1)*100)))</f>
        <v>13.539786087701454</v>
      </c>
      <c r="FF465" s="189">
        <f>+FF456/FF439*100</f>
        <v>32.42436769156938</v>
      </c>
      <c r="FG465" s="209">
        <f>IF(ISERROR((FF465/FD465-1)*100),"NA",IF(((FF465/FD465-1)*100)&gt;100,"NM",IF(((FF465/FD465-1)*100)&lt;-50,"NM",(FF465/FD465-1)*100)))</f>
        <v>5.6876707060030895</v>
      </c>
      <c r="FH465" s="189">
        <f>+FH456/FH439*100</f>
        <v>28.277320106317543</v>
      </c>
      <c r="FI465" s="209">
        <f>IF(ISERROR((FH465/FF465-1)*100),"NA",IF(((FH465/FF465-1)*100)&gt;100,"NM",IF(((FH465/FF465-1)*100)&lt;-50,"NM",(FH465/FF465-1)*100)))</f>
        <v>-12.78991043001929</v>
      </c>
      <c r="FJ465" s="189">
        <f>+FJ456/FJ439*100</f>
        <v>31.412407891609206</v>
      </c>
      <c r="FK465" s="209">
        <f>IF(ISERROR((FJ465/FH465-1)*100),"NA",IF(((FJ465/FH465-1)*100)&gt;100,"NM",IF(((FJ465/FH465-1)*100)&lt;-50,"NM",(FJ465/FH465-1)*100)))</f>
        <v>11.08693388731432</v>
      </c>
      <c r="FL465" s="189">
        <f>+FL456/FL439*100</f>
        <v>34.420993847872147</v>
      </c>
      <c r="FM465" s="209">
        <f>IF(ISERROR((FL465/FJ465-1)*100),"NA",IF(((FL465/FJ465-1)*100)&gt;100,"NM",IF(((FL465/FJ465-1)*100)&lt;-50,"NM",(FL465/FJ465-1)*100)))</f>
        <v>9.5776992538880954</v>
      </c>
      <c r="FN465" s="189">
        <f>+FN456/FN439*100</f>
        <v>37.274435232687864</v>
      </c>
      <c r="FO465" s="209">
        <f>IF(ISERROR((FN465/FL465-1)*100),"NA",IF(((FN465/FL465-1)*100)&gt;100,"NM",IF(((FN465/FL465-1)*100)&lt;-50,"NM",(FN465/FL465-1)*100)))</f>
        <v>8.2898285779511749</v>
      </c>
      <c r="FP465" s="213">
        <f>+FP456/FP439*100</f>
        <v>38.416521002064322</v>
      </c>
      <c r="FQ465" s="61">
        <f>IF(ISERROR((FP465/FN465-1)*100),"NA",IF(((FP465/FN465-1)*100)&gt;100,"NM",IF(((FP465/FN465-1)*100)&lt;-50,"NM",(FP465/FN465-1)*100)))</f>
        <v>3.0639921497050748</v>
      </c>
      <c r="FR465" s="213">
        <f>+FR456/FR439*100</f>
        <v>37.05285638013882</v>
      </c>
      <c r="FS465" s="61"/>
      <c r="FT465" s="213"/>
      <c r="FU465" s="61"/>
      <c r="FV465" s="213"/>
      <c r="FW465" s="61"/>
      <c r="FX465" s="213"/>
      <c r="FY465" s="61"/>
      <c r="FZ465" s="213"/>
      <c r="GA465" s="61"/>
      <c r="GB465" s="213"/>
      <c r="GC465" s="61"/>
      <c r="GD465" s="213"/>
      <c r="GE465" s="61"/>
      <c r="GF465" s="213"/>
      <c r="GG465" s="61"/>
      <c r="GH465" s="213"/>
      <c r="GI465" s="61"/>
      <c r="GJ465" s="213"/>
      <c r="GK465" s="61"/>
      <c r="GL465" s="213"/>
      <c r="GM465" s="61"/>
      <c r="GN465" s="213"/>
      <c r="GO465" s="61"/>
      <c r="GP465" s="213"/>
      <c r="GQ465" s="61"/>
      <c r="GR465" s="251"/>
      <c r="GS465" s="61"/>
      <c r="GT465" s="251"/>
      <c r="GU465" s="61"/>
      <c r="GV465" s="251"/>
      <c r="GW465" s="61"/>
      <c r="GX465" s="251"/>
      <c r="GY465" s="61"/>
      <c r="GZ465" s="61"/>
      <c r="HA465" s="61"/>
      <c r="HB465" s="452"/>
      <c r="HC465"/>
      <c r="HD465"/>
      <c r="HE465"/>
      <c r="HF465"/>
      <c r="HG465"/>
      <c r="HH465"/>
    </row>
    <row r="466" spans="1:216" s="3" customFormat="1" ht="12.75" hidden="1" customHeight="1" outlineLevel="1" x14ac:dyDescent="0.2">
      <c r="B466" s="235" t="s">
        <v>141</v>
      </c>
      <c r="C466" s="191">
        <f>+C459/C439*100</f>
        <v>16.429400966545529</v>
      </c>
      <c r="D466" s="184"/>
      <c r="E466" s="191">
        <f>+E459/E439*100</f>
        <v>18.508326135427762</v>
      </c>
      <c r="F466" s="184"/>
      <c r="G466" s="191">
        <f>+G459/G439*100</f>
        <v>19.943049336607324</v>
      </c>
      <c r="H466" s="184"/>
      <c r="I466" s="191">
        <f>+I459/I439*100</f>
        <v>22.98094412429667</v>
      </c>
      <c r="J466" s="184"/>
      <c r="K466" s="191">
        <f>+K459/K439*100</f>
        <v>13.463969658659936</v>
      </c>
      <c r="L466" s="184">
        <f>IF(ISERROR((K466/C466-1)*100),"NA",IF(((K466/C466-1)*100)&gt;100,"NM",IF(((K466/C466-1)*100)&lt;-50,"NM",(K466/C466-1)*100)))</f>
        <v>-18.049540052762548</v>
      </c>
      <c r="M466" s="191">
        <f>+M459/M439*100</f>
        <v>17.933464607731366</v>
      </c>
      <c r="N466" s="184">
        <f>IF(ISERROR((M466/E466-1)*100),"NA",IF(((M466/E466-1)*100)&gt;100,"NM",IF(((M466/E466-1)*100)&lt;-50,"NM",(M466/E466-1)*100)))</f>
        <v>-3.1059617357618419</v>
      </c>
      <c r="O466" s="191">
        <f>+O459/O439*100</f>
        <v>18.377383064244494</v>
      </c>
      <c r="P466" s="184">
        <f>IF(ISERROR((O466/G466-1)*100),"NA",IF(((O466/G466-1)*100)&gt;100,"NM",IF(((O466/G466-1)*100)&lt;-50,"NM",(O466/G466-1)*100)))</f>
        <v>-7.850686451890299</v>
      </c>
      <c r="Q466" s="191">
        <f>+Q459/Q439*100</f>
        <v>18.487080030730596</v>
      </c>
      <c r="R466" s="184">
        <f>IF(ISERROR((Q466/I466-1)*100),"NA",IF(((Q466/I466-1)*100)&gt;100,"NM",IF(((Q466/I466-1)*100)&lt;-50,"NM",(Q466/I466-1)*100)))</f>
        <v>-19.554740959554064</v>
      </c>
      <c r="S466" s="191">
        <f>+S459/S439*100</f>
        <v>13.449006023477173</v>
      </c>
      <c r="T466" s="184">
        <f>IF(ISERROR((S466/K466-1)*100),"NA",IF(((S466/K466-1)*100)&gt;100,"NM",IF(((S466/K466-1)*100)&lt;-50,"NM",(S466/K466-1)*100)))</f>
        <v>-0.11113836084098994</v>
      </c>
      <c r="U466" s="191">
        <f>+U459/U439*100</f>
        <v>21.033778916193079</v>
      </c>
      <c r="V466" s="184">
        <f>IF(ISERROR((U466/M466-1)*100),"NA",IF(((U466/M466-1)*100)&gt;100,"NM",IF(((U466/M466-1)*100)&lt;-50,"NM",(U466/M466-1)*100)))</f>
        <v>17.287871453043845</v>
      </c>
      <c r="W466" s="191">
        <f>+W459/W439*100</f>
        <v>19.548615982842591</v>
      </c>
      <c r="X466" s="184">
        <f>IF(ISERROR((W466/O466-1)*100),"NA",IF(((W466/O466-1)*100)&gt;100,"NM",IF(((W466/O466-1)*100)&lt;-50,"NM",(W466/O466-1)*100)))</f>
        <v>6.3732301519952461</v>
      </c>
      <c r="Y466" s="191">
        <f>+Y459/Y439*100</f>
        <v>21.054588965784873</v>
      </c>
      <c r="Z466" s="184">
        <f>IF(ISERROR((Y466/Q466-1)*100),"NA",IF(((Y466/Q466-1)*100)&gt;100,"NM",IF(((Y466/Q466-1)*100)&lt;-50,"NM",(Y466/Q466-1)*100)))</f>
        <v>13.888125819687991</v>
      </c>
      <c r="AA466" s="191">
        <f>+AA459/AA439*100</f>
        <v>13.994215301715595</v>
      </c>
      <c r="AB466" s="184">
        <f>IF(ISERROR((AA466/S466-1)*100),"NA",IF(((AA466/S466-1)*100)&gt;100,"NM",IF(((AA466/S466-1)*100)&lt;-50,"NM",(AA466/S466-1)*100)))</f>
        <v>4.0539001714080758</v>
      </c>
      <c r="AC466" s="191">
        <f>+AC459/AC439*100</f>
        <v>22.83814184789043</v>
      </c>
      <c r="AD466" s="184">
        <f>IF(ISERROR((AC466/U466-1)*100),"NA",IF(((AC466/U466-1)*100)&gt;100,"NM",IF(((AC466/U466-1)*100)&lt;-50,"NM",(AC466/U466-1)*100)))</f>
        <v>8.5784059007496971</v>
      </c>
      <c r="AE466" s="191">
        <f>+AE459/AE439*100</f>
        <v>21.972201279746368</v>
      </c>
      <c r="AF466" s="184">
        <f>IF(ISERROR((AE466/W466-1)*100),"NA",IF(((AE466/W466-1)*100)&gt;100,"NM",IF(((AE466/W466-1)*100)&lt;-50,"NM",(AE466/W466-1)*100)))</f>
        <v>12.397733420263135</v>
      </c>
      <c r="AG466" s="191">
        <f>+AG459/AG439*100</f>
        <v>24.126849761725612</v>
      </c>
      <c r="AH466" s="184">
        <f>IF(ISERROR((AG466/Y466-1)*100),"NA",IF(((AG466/Y466-1)*100)&gt;100,"NM",IF(((AG466/Y466-1)*100)&lt;-50,"NM",(AG466/Y466-1)*100)))</f>
        <v>14.591882087716691</v>
      </c>
      <c r="AI466" s="191">
        <f>+AI459/AI439*100</f>
        <v>18.035448749722256</v>
      </c>
      <c r="AJ466" s="184">
        <f>IF(ISERROR((AI466/AA466-1)*100),"NA",IF(((AI466/AA466-1)*100)&gt;100,"NM",IF(((AI466/AA466-1)*100)&lt;-50,"NM",(AI466/AA466-1)*100)))</f>
        <v>28.877885332457566</v>
      </c>
      <c r="AK466" s="191">
        <f>+AK459/AK439*100</f>
        <v>24.318057104420017</v>
      </c>
      <c r="AL466" s="184">
        <f>IF(ISERROR((AK466/AC466-1)*100),"NA",IF(((AK466/AC466-1)*100)&gt;100,"NM",IF(((AK466/AC466-1)*100)&lt;-50,"NM",(AK466/AC466-1)*100)))</f>
        <v>6.4800160467795909</v>
      </c>
      <c r="AM466" s="191">
        <f>+AM459/AM439*100</f>
        <v>23.242294991744629</v>
      </c>
      <c r="AN466" s="184">
        <f>IF(ISERROR((AM466/AE466-1)*100),"NA",IF(((AM466/AE466-1)*100)&gt;100,"NM",IF(((AM466/AE466-1)*100)&lt;-50,"NM",(AM466/AE466-1)*100)))</f>
        <v>5.7804572961427159</v>
      </c>
      <c r="AO466" s="191">
        <f>+AO459/AO439*100</f>
        <v>24.430288496903184</v>
      </c>
      <c r="AP466" s="184">
        <f>IF(ISERROR((AO466/AG466-1)*100),"NA",IF(((AO466/AG466-1)*100)&gt;100,"NM",IF(((AO466/AG466-1)*100)&lt;-50,"NM",(AO466/AG466-1)*100)))</f>
        <v>1.2576807091448039</v>
      </c>
      <c r="AQ466" s="191">
        <f>+AQ459/AQ439*100</f>
        <v>18.15030800821355</v>
      </c>
      <c r="AR466" s="184">
        <f>IF(ISERROR((AQ466/AI466-1)*100),"NA",IF(((AQ466/AI466-1)*100)&gt;100,"NM",IF(((AQ466/AI466-1)*100)&lt;-50,"NM",(AQ466/AI466-1)*100)))</f>
        <v>0.63685278966547632</v>
      </c>
      <c r="AS466" s="191">
        <f>+AS459/AS439*100</f>
        <v>26.16175390747928</v>
      </c>
      <c r="AT466" s="184">
        <f>IF(ISERROR((AS466/AK466-1)*100),"NA",IF(((AS466/AK466-1)*100)&gt;100,"NM",IF(((AS466/AK466-1)*100)&lt;-50,"NM",(AS466/AK466-1)*100)))</f>
        <v>7.5815958287397622</v>
      </c>
      <c r="AU466" s="191">
        <f>+AU459/AU439*100</f>
        <v>23.481316305155751</v>
      </c>
      <c r="AV466" s="61">
        <f>IF(ISERROR((AU466/AM466-1)*100),"NA",IF(((AU466/AM466-1)*100)&gt;100,"NM",IF(((AU466/AM466-1)*100)&lt;-50,"NM",(AU466/AM466-1)*100)))</f>
        <v>1.0283894662554527</v>
      </c>
      <c r="AW466" s="191">
        <f>+AW459/AW439*100</f>
        <v>25.556261002568469</v>
      </c>
      <c r="AX466" s="61">
        <f>IF(ISERROR((AW466/AO466-1)*100),"NA",IF(((AW466/AO466-1)*100)&gt;100,"NM",IF(((AW466/AO466-1)*100)&lt;-50,"NM",(AW466/AO466-1)*100)))</f>
        <v>4.6089202172459487</v>
      </c>
      <c r="AY466" s="191"/>
      <c r="AZ466" s="61"/>
      <c r="BA466" s="191">
        <f>+BA459/BA439*100</f>
        <v>-6.4347826086956523</v>
      </c>
      <c r="BB466" s="61" t="str">
        <f>IF(ISERROR((BA466/AS466-1)*100),"NA",IF(((BA466/AS466-1)*100)&gt;100,"NM",IF(((BA466/AS466-1)*100)&lt;-50,"NM",(BA466/AS466-1)*100)))</f>
        <v>NM</v>
      </c>
      <c r="BC466" s="191">
        <f>+BC459/BC439*100</f>
        <v>24.414715719063548</v>
      </c>
      <c r="BD466" s="61">
        <f>IF(ISERROR((BC466/AU466-1)*100),"NA",IF(((BC466/AU466-1)*100)&gt;100,"NM",IF(((BC466/AU466-1)*100)&lt;-50,"NM",(BC466/AU466-1)*100)))</f>
        <v>3.9750727845817124</v>
      </c>
      <c r="BE466" s="191">
        <f>+BE459/BE439*100</f>
        <v>25</v>
      </c>
      <c r="BF466" s="61">
        <f>IF(ISERROR((BE466/AW466-1)*100),"NA",IF(((BE466/AW466-1)*100)&gt;100,"NM",IF(((BE466/AW466-1)*100)&lt;-50,"NM",(BE466/AW466-1)*100)))</f>
        <v>-2.1766134040991481</v>
      </c>
      <c r="BG466" s="194"/>
      <c r="BH466" s="61"/>
      <c r="BI466" s="194"/>
      <c r="BJ466" s="61"/>
      <c r="BK466" s="194"/>
      <c r="BL466" s="61"/>
      <c r="BM466" s="194"/>
      <c r="BN466" s="61"/>
      <c r="BO466" s="191"/>
      <c r="BP466" s="61"/>
      <c r="BQ466" s="191"/>
      <c r="BR466" s="61"/>
      <c r="BS466" s="191"/>
      <c r="BT466" s="61"/>
      <c r="BU466" s="191"/>
      <c r="BV466" s="61"/>
      <c r="BW466" s="251"/>
      <c r="BX466" s="61"/>
      <c r="BY466" s="251"/>
      <c r="BZ466" s="61"/>
      <c r="CA466" s="251"/>
      <c r="CB466" s="61"/>
      <c r="CC466" s="251"/>
      <c r="CD466" s="61"/>
      <c r="CE466" s="251"/>
      <c r="CF466" s="61"/>
      <c r="CG466" s="251"/>
      <c r="CH466" s="61"/>
      <c r="CI466" s="251"/>
      <c r="CJ466" s="61"/>
      <c r="CK466" s="251"/>
      <c r="CL466" s="61"/>
      <c r="CM466" s="251"/>
      <c r="CN466" s="61"/>
      <c r="CO466" s="251"/>
      <c r="CP466" s="61"/>
      <c r="CQ466" s="251"/>
      <c r="CR466" s="61"/>
      <c r="CS466" s="251"/>
      <c r="CT466" s="61"/>
      <c r="CU466" s="251"/>
      <c r="CV466" s="61"/>
      <c r="CW466" s="251"/>
      <c r="CX466" s="61"/>
      <c r="CY466" s="251"/>
      <c r="CZ466" s="61"/>
      <c r="DA466" s="251"/>
      <c r="DB466" s="61"/>
      <c r="DC466" s="251"/>
      <c r="DD466" s="61"/>
      <c r="DE466" s="251"/>
      <c r="DF466" s="61"/>
      <c r="DG466" s="251"/>
      <c r="DH466" s="61"/>
      <c r="DI466" s="251"/>
      <c r="DJ466" s="61"/>
      <c r="DK466" s="251"/>
      <c r="DL466" s="61"/>
      <c r="DM466" s="251"/>
      <c r="DN466" s="61"/>
      <c r="DO466" s="251"/>
      <c r="DP466" s="61"/>
      <c r="DQ466" s="251"/>
      <c r="DR466" s="61"/>
      <c r="DS466" s="251"/>
      <c r="DT466" s="61"/>
      <c r="DU466" s="251"/>
      <c r="DV466" s="61"/>
      <c r="DW466" s="251"/>
      <c r="DX466" s="251"/>
      <c r="DY466" s="251"/>
      <c r="DZ466" s="61"/>
      <c r="EA466" s="251"/>
      <c r="EB466" s="61"/>
      <c r="EC466" s="251"/>
      <c r="ED466" s="61"/>
      <c r="EE466" s="251"/>
      <c r="EF466" s="61"/>
      <c r="EG466" s="251"/>
      <c r="EH466" s="61"/>
      <c r="EI466" s="251"/>
      <c r="EJ466" s="61"/>
      <c r="EK466" s="251"/>
      <c r="EL466" s="61"/>
      <c r="EM466" s="251"/>
      <c r="EN466" s="61"/>
      <c r="EO466" s="251"/>
      <c r="EP466" s="61"/>
      <c r="EQ466" s="251"/>
      <c r="ER466" s="61"/>
      <c r="ES466" s="251"/>
      <c r="ET466" s="61"/>
      <c r="EU466" s="251"/>
      <c r="EV466" s="61"/>
      <c r="EW466" s="251"/>
      <c r="EX466" s="61"/>
      <c r="EY466" s="143"/>
      <c r="EZ466" s="558"/>
      <c r="FA466" s="143"/>
      <c r="FB466" s="189">
        <f>+FB459/FB439*100</f>
        <v>16.172862993261298</v>
      </c>
      <c r="FC466" s="209"/>
      <c r="FD466" s="189">
        <f>+FD459/FD439*100</f>
        <v>18.359939112446824</v>
      </c>
      <c r="FE466" s="209">
        <f>IF(ISERROR((FD466/FB466-1)*100),"NA",IF(((FD466/FB466-1)*100)&gt;100,"NM",IF(((FD466/FB466-1)*100)&lt;-50,"NM",(FD466/FB466-1)*100)))</f>
        <v>13.523122777314134</v>
      </c>
      <c r="FF466" s="189">
        <f>+FF459/FF439*100</f>
        <v>19.561529799153277</v>
      </c>
      <c r="FG466" s="209">
        <f>IF(ISERROR((FF466/FD466-1)*100),"NA",IF(((FF466/FD466-1)*100)&gt;100,"NM",IF(((FF466/FD466-1)*100)&lt;-50,"NM",(FF466/FD466-1)*100)))</f>
        <v>6.5446332874375068</v>
      </c>
      <c r="FH466" s="189">
        <f>+FH459/FH439*100</f>
        <v>17.034187295763033</v>
      </c>
      <c r="FI466" s="209">
        <f>IF(ISERROR((FH466/FF466-1)*100),"NA",IF(((FH466/FF466-1)*100)&gt;100,"NM",IF(((FH466/FF466-1)*100)&lt;-50,"NM",(FH466/FF466-1)*100)))</f>
        <v>-12.919963465738959</v>
      </c>
      <c r="FJ466" s="189">
        <f>+FJ459/FJ439*100</f>
        <v>18.933681958640346</v>
      </c>
      <c r="FK466" s="209">
        <f>IF(ISERROR((FJ466/FH466-1)*100),"NA",IF(((FJ466/FH466-1)*100)&gt;100,"NM",IF(((FJ466/FH466-1)*100)&lt;-50,"NM",(FJ466/FH466-1)*100)))</f>
        <v>11.151073015087597</v>
      </c>
      <c r="FL466" s="189">
        <f>+FL459/FL439*100</f>
        <v>20.950464524883127</v>
      </c>
      <c r="FM466" s="209">
        <f>IF(ISERROR((FL466/FJ466-1)*100),"NA",IF(((FL466/FJ466-1)*100)&gt;100,"NM",IF(((FL466/FJ466-1)*100)&lt;-50,"NM",(FL466/FJ466-1)*100)))</f>
        <v>10.651824461023152</v>
      </c>
      <c r="FN466" s="189">
        <f>+FN459/FN439*100</f>
        <v>22.565808300534592</v>
      </c>
      <c r="FO466" s="209">
        <f>IF(ISERROR((FN466/FL466-1)*100),"NA",IF(((FN466/FL466-1)*100)&gt;100,"NM",IF(((FN466/FL466-1)*100)&lt;-50,"NM",(FN466/FL466-1)*100)))</f>
        <v>7.7103005221335286</v>
      </c>
      <c r="FP466" s="213">
        <f>+FP459/FP439*100</f>
        <v>23.370144907551989</v>
      </c>
      <c r="FQ466" s="61">
        <f>IF(ISERROR((FP466/FN466-1)*100),"NA",IF(((FP466/FN466-1)*100)&gt;100,"NM",IF(((FP466/FN466-1)*100)&lt;-50,"NM",(FP466/FN466-1)*100)))</f>
        <v>3.5644041476606159</v>
      </c>
      <c r="FR466" s="213">
        <f>+FR459/FR439*100</f>
        <v>21.142552055525893</v>
      </c>
      <c r="FS466" s="61"/>
      <c r="FT466" s="213"/>
      <c r="FU466" s="61"/>
      <c r="FV466" s="213"/>
      <c r="FW466" s="61"/>
      <c r="FX466" s="213"/>
      <c r="FY466" s="61"/>
      <c r="FZ466" s="213"/>
      <c r="GA466" s="61"/>
      <c r="GB466" s="213"/>
      <c r="GC466" s="61"/>
      <c r="GD466" s="213"/>
      <c r="GE466" s="61"/>
      <c r="GF466" s="213"/>
      <c r="GG466" s="61"/>
      <c r="GH466" s="213"/>
      <c r="GI466" s="61"/>
      <c r="GJ466" s="213"/>
      <c r="GK466" s="61"/>
      <c r="GL466" s="213"/>
      <c r="GM466" s="61"/>
      <c r="GN466" s="213"/>
      <c r="GO466" s="61"/>
      <c r="GP466" s="213"/>
      <c r="GQ466" s="61"/>
      <c r="GR466" s="251"/>
      <c r="GS466" s="61"/>
      <c r="GT466" s="251"/>
      <c r="GU466" s="61"/>
      <c r="GV466" s="251"/>
      <c r="GW466" s="61"/>
      <c r="GX466" s="251"/>
      <c r="GY466" s="61"/>
      <c r="GZ466" s="61"/>
      <c r="HA466" s="61"/>
      <c r="HB466" s="452"/>
      <c r="HC466"/>
      <c r="HD466"/>
      <c r="HE466"/>
      <c r="HF466"/>
      <c r="HG466"/>
      <c r="HH466"/>
    </row>
    <row r="467" spans="1:216" s="3" customFormat="1" ht="12.75" hidden="1" customHeight="1" outlineLevel="1" x14ac:dyDescent="0.2">
      <c r="B467" s="235"/>
      <c r="C467" s="265"/>
      <c r="D467" s="257"/>
      <c r="E467" s="265"/>
      <c r="F467" s="257"/>
      <c r="G467" s="265"/>
      <c r="H467" s="257"/>
      <c r="I467" s="265"/>
      <c r="J467" s="257"/>
      <c r="K467" s="265"/>
      <c r="L467" s="257"/>
      <c r="M467" s="265"/>
      <c r="N467" s="257"/>
      <c r="O467" s="265"/>
      <c r="P467" s="257"/>
      <c r="Q467" s="265"/>
      <c r="R467" s="257"/>
      <c r="S467" s="265"/>
      <c r="T467" s="257"/>
      <c r="U467" s="265"/>
      <c r="V467" s="257"/>
      <c r="W467" s="265"/>
      <c r="X467" s="257"/>
      <c r="Y467" s="265"/>
      <c r="Z467" s="257"/>
      <c r="AA467" s="265"/>
      <c r="AB467" s="257"/>
      <c r="AC467" s="265"/>
      <c r="AD467" s="257"/>
      <c r="AE467" s="265"/>
      <c r="AF467" s="257"/>
      <c r="AG467" s="265"/>
      <c r="AH467" s="257"/>
      <c r="AI467" s="266"/>
      <c r="AJ467" s="257"/>
      <c r="AK467" s="265"/>
      <c r="AL467" s="257"/>
      <c r="AM467" s="265"/>
      <c r="AN467" s="257"/>
      <c r="AO467" s="265"/>
      <c r="AP467" s="257"/>
      <c r="AQ467" s="266"/>
      <c r="AR467" s="257"/>
      <c r="AS467" s="266"/>
      <c r="AT467" s="257"/>
      <c r="AU467" s="266"/>
      <c r="AV467" s="257"/>
      <c r="AW467" s="266"/>
      <c r="AX467" s="257"/>
      <c r="AY467" s="265"/>
      <c r="AZ467" s="257"/>
      <c r="BA467" s="265"/>
      <c r="BB467" s="257"/>
      <c r="BC467" s="265"/>
      <c r="BD467" s="257"/>
      <c r="BE467" s="265"/>
      <c r="BF467" s="257"/>
      <c r="BG467" s="161"/>
      <c r="BH467" s="257"/>
      <c r="BI467" s="161"/>
      <c r="BJ467" s="257"/>
      <c r="BK467" s="161"/>
      <c r="BL467" s="257"/>
      <c r="BM467" s="161"/>
      <c r="BN467" s="257"/>
      <c r="BO467" s="265"/>
      <c r="BP467" s="257"/>
      <c r="BQ467" s="265"/>
      <c r="BR467" s="257"/>
      <c r="BS467" s="265"/>
      <c r="BT467" s="257"/>
      <c r="BU467" s="265"/>
      <c r="BV467" s="257"/>
      <c r="BW467" s="265"/>
      <c r="BX467" s="257"/>
      <c r="BY467" s="265"/>
      <c r="BZ467" s="257"/>
      <c r="CA467" s="265"/>
      <c r="CB467" s="257"/>
      <c r="CC467" s="265"/>
      <c r="CD467" s="257"/>
      <c r="CE467" s="265"/>
      <c r="CF467" s="257"/>
      <c r="CG467" s="265"/>
      <c r="CH467" s="257"/>
      <c r="CI467" s="265"/>
      <c r="CJ467" s="257"/>
      <c r="CK467" s="265"/>
      <c r="CL467" s="257"/>
      <c r="CM467" s="265"/>
      <c r="CN467" s="257"/>
      <c r="CO467" s="265"/>
      <c r="CP467" s="257"/>
      <c r="CQ467" s="265"/>
      <c r="CR467" s="257"/>
      <c r="CS467" s="265"/>
      <c r="CT467" s="257"/>
      <c r="CU467" s="265"/>
      <c r="CV467" s="257"/>
      <c r="CW467" s="265"/>
      <c r="CX467" s="257"/>
      <c r="CY467" s="265"/>
      <c r="CZ467" s="257"/>
      <c r="DA467" s="265"/>
      <c r="DB467" s="257"/>
      <c r="DC467" s="265"/>
      <c r="DD467" s="257"/>
      <c r="DE467" s="265"/>
      <c r="DF467" s="257"/>
      <c r="DG467" s="265"/>
      <c r="DH467" s="257"/>
      <c r="DI467" s="265"/>
      <c r="DJ467" s="257"/>
      <c r="DK467" s="265"/>
      <c r="DL467" s="257"/>
      <c r="DM467" s="265"/>
      <c r="DN467" s="257"/>
      <c r="DO467" s="265"/>
      <c r="DP467" s="257"/>
      <c r="DQ467" s="265"/>
      <c r="DR467" s="257"/>
      <c r="DS467" s="265"/>
      <c r="DT467" s="257"/>
      <c r="DU467" s="265"/>
      <c r="DV467" s="257"/>
      <c r="DW467" s="265"/>
      <c r="DX467" s="265"/>
      <c r="DY467" s="265"/>
      <c r="DZ467" s="257"/>
      <c r="EA467" s="265"/>
      <c r="EB467" s="257"/>
      <c r="EC467" s="265"/>
      <c r="ED467" s="257"/>
      <c r="EE467" s="265"/>
      <c r="EF467" s="257"/>
      <c r="EG467" s="265"/>
      <c r="EH467" s="257"/>
      <c r="EI467" s="265"/>
      <c r="EJ467" s="257"/>
      <c r="EK467" s="265"/>
      <c r="EL467" s="257"/>
      <c r="EM467" s="265"/>
      <c r="EN467" s="257"/>
      <c r="EO467" s="265"/>
      <c r="EP467" s="257"/>
      <c r="EQ467" s="265"/>
      <c r="ER467" s="257"/>
      <c r="ES467" s="265"/>
      <c r="ET467" s="257"/>
      <c r="EU467" s="265"/>
      <c r="EV467" s="257"/>
      <c r="EW467" s="265"/>
      <c r="EX467" s="257"/>
      <c r="EY467" s="257"/>
      <c r="EZ467" s="558"/>
      <c r="FA467" s="257"/>
      <c r="FB467" s="265"/>
      <c r="FC467" s="257"/>
      <c r="FD467" s="265"/>
      <c r="FE467" s="257"/>
      <c r="FF467" s="265"/>
      <c r="FG467" s="257"/>
      <c r="FH467" s="265"/>
      <c r="FI467" s="257"/>
      <c r="FJ467" s="265"/>
      <c r="FK467" s="257"/>
      <c r="FL467" s="265"/>
      <c r="FM467" s="257"/>
      <c r="FN467" s="265"/>
      <c r="FO467" s="257"/>
      <c r="FP467" s="200"/>
      <c r="FQ467" s="257"/>
      <c r="FR467" s="200"/>
      <c r="FS467" s="61"/>
      <c r="FT467" s="200"/>
      <c r="FU467" s="61"/>
      <c r="FV467" s="200"/>
      <c r="FW467" s="61"/>
      <c r="FX467" s="200"/>
      <c r="FY467" s="61"/>
      <c r="FZ467" s="200"/>
      <c r="GA467" s="61"/>
      <c r="GB467" s="200"/>
      <c r="GC467" s="61"/>
      <c r="GD467" s="200"/>
      <c r="GE467" s="61"/>
      <c r="GF467" s="200"/>
      <c r="GG467" s="61"/>
      <c r="GH467" s="200"/>
      <c r="GI467" s="61"/>
      <c r="GJ467" s="200"/>
      <c r="GK467" s="61"/>
      <c r="GL467" s="200"/>
      <c r="GM467" s="61"/>
      <c r="GN467" s="200"/>
      <c r="GO467" s="61"/>
      <c r="GP467" s="200"/>
      <c r="GQ467" s="61"/>
      <c r="GR467" s="265"/>
      <c r="GS467" s="61"/>
      <c r="GT467" s="265"/>
      <c r="GU467" s="61"/>
      <c r="GV467" s="265"/>
      <c r="GW467" s="61"/>
      <c r="GX467" s="265"/>
      <c r="GY467" s="61"/>
      <c r="GZ467" s="61"/>
      <c r="HA467" s="61"/>
      <c r="HB467" s="452"/>
      <c r="HC467"/>
      <c r="HD467"/>
      <c r="HE467"/>
      <c r="HF467"/>
      <c r="HG467"/>
      <c r="HH467"/>
    </row>
    <row r="468" spans="1:216" s="623" customFormat="1" ht="12.75" customHeight="1" collapsed="1" x14ac:dyDescent="0.2">
      <c r="B468" s="624" t="s">
        <v>52</v>
      </c>
      <c r="C468" s="625"/>
      <c r="D468" s="626"/>
      <c r="E468" s="625"/>
      <c r="F468" s="625"/>
      <c r="G468" s="625"/>
      <c r="H468" s="625"/>
      <c r="I468" s="625"/>
      <c r="J468" s="625"/>
      <c r="K468" s="625"/>
      <c r="L468" s="627"/>
      <c r="M468" s="625"/>
      <c r="N468" s="627"/>
      <c r="O468" s="625"/>
      <c r="P468" s="627"/>
      <c r="Q468" s="625"/>
      <c r="R468" s="627"/>
      <c r="S468" s="625"/>
      <c r="T468" s="627"/>
      <c r="U468" s="625"/>
      <c r="V468" s="627"/>
      <c r="W468" s="625"/>
      <c r="X468" s="627"/>
      <c r="Y468" s="625"/>
      <c r="Z468" s="627"/>
      <c r="AA468" s="625"/>
      <c r="AB468" s="627"/>
      <c r="AC468" s="625"/>
      <c r="AD468" s="627"/>
      <c r="AE468" s="625"/>
      <c r="AF468" s="627"/>
      <c r="AG468" s="625"/>
      <c r="AH468" s="627"/>
      <c r="AI468" s="625"/>
      <c r="AJ468" s="627"/>
      <c r="AK468" s="625"/>
      <c r="AL468" s="627"/>
      <c r="AM468" s="625"/>
      <c r="AN468" s="627"/>
      <c r="AO468" s="625"/>
      <c r="AP468" s="627"/>
      <c r="AQ468" s="625"/>
      <c r="AR468" s="627"/>
      <c r="AS468" s="625"/>
      <c r="AT468" s="627"/>
      <c r="AU468" s="625"/>
      <c r="AV468" s="627"/>
      <c r="AW468" s="625"/>
      <c r="AX468" s="627"/>
      <c r="AY468" s="625"/>
      <c r="AZ468" s="627"/>
      <c r="BA468" s="625"/>
      <c r="BB468" s="627"/>
      <c r="BC468" s="625"/>
      <c r="BD468" s="627"/>
      <c r="BE468" s="625"/>
      <c r="BF468" s="627"/>
      <c r="BG468" s="625"/>
      <c r="BH468" s="627"/>
      <c r="BI468" s="625"/>
      <c r="BJ468" s="627"/>
      <c r="BK468" s="625"/>
      <c r="BL468" s="627"/>
      <c r="BM468" s="625"/>
      <c r="BN468" s="627"/>
      <c r="BO468" s="625"/>
      <c r="BP468" s="627"/>
      <c r="BQ468" s="625"/>
      <c r="BR468" s="627"/>
      <c r="BS468" s="625"/>
      <c r="BT468" s="627"/>
      <c r="BU468" s="625"/>
      <c r="BV468" s="627"/>
      <c r="BW468" s="625"/>
      <c r="BX468" s="627"/>
      <c r="BY468" s="625"/>
      <c r="BZ468" s="627"/>
      <c r="CA468" s="625"/>
      <c r="CB468" s="627"/>
      <c r="CC468" s="625"/>
      <c r="CD468" s="627"/>
      <c r="CE468" s="625"/>
      <c r="CF468" s="627"/>
      <c r="CG468" s="625"/>
      <c r="CH468" s="627"/>
      <c r="CI468" s="625"/>
      <c r="CJ468" s="627"/>
      <c r="CK468" s="625"/>
      <c r="CL468" s="627"/>
      <c r="CM468" s="625"/>
      <c r="CN468" s="627"/>
      <c r="CO468" s="625"/>
      <c r="CP468" s="627"/>
      <c r="CQ468" s="625"/>
      <c r="CR468" s="627"/>
      <c r="CS468" s="625"/>
      <c r="CT468" s="627"/>
      <c r="CU468" s="625"/>
      <c r="CV468" s="627"/>
      <c r="CW468" s="625"/>
      <c r="CX468" s="627"/>
      <c r="CY468" s="625"/>
      <c r="CZ468" s="627"/>
      <c r="DA468" s="625"/>
      <c r="DB468" s="627"/>
      <c r="DC468" s="625"/>
      <c r="DD468" s="627"/>
      <c r="DE468" s="625"/>
      <c r="DF468" s="627"/>
      <c r="DG468" s="625"/>
      <c r="DH468" s="627"/>
      <c r="DI468" s="625"/>
      <c r="DJ468" s="627"/>
      <c r="DK468" s="625"/>
      <c r="DL468" s="627"/>
      <c r="DM468" s="625"/>
      <c r="DN468" s="627"/>
      <c r="DO468" s="625"/>
      <c r="DP468" s="627"/>
      <c r="DQ468" s="625"/>
      <c r="DR468" s="627"/>
      <c r="DS468" s="625"/>
      <c r="DT468" s="627"/>
      <c r="DU468" s="625"/>
      <c r="DV468" s="627"/>
      <c r="DW468" s="625"/>
      <c r="DX468" s="625"/>
      <c r="DY468" s="625"/>
      <c r="DZ468" s="627"/>
      <c r="EA468" s="625"/>
      <c r="EB468" s="627"/>
      <c r="EC468" s="625"/>
      <c r="ED468" s="627"/>
      <c r="EE468" s="625"/>
      <c r="EF468" s="627"/>
      <c r="EG468" s="625"/>
      <c r="EH468" s="627"/>
      <c r="EI468" s="625"/>
      <c r="EJ468" s="627"/>
      <c r="EK468" s="625"/>
      <c r="EL468" s="627"/>
      <c r="EM468" s="625"/>
      <c r="EN468" s="627"/>
      <c r="EO468" s="625"/>
      <c r="EP468" s="627"/>
      <c r="EQ468" s="625"/>
      <c r="ER468" s="627"/>
      <c r="ES468" s="625"/>
      <c r="ET468" s="627"/>
      <c r="EU468" s="625"/>
      <c r="EV468" s="627"/>
      <c r="EW468" s="625"/>
      <c r="EX468" s="627"/>
      <c r="EY468" s="628"/>
      <c r="EZ468" s="558"/>
      <c r="FA468" s="628"/>
      <c r="FB468" s="625"/>
      <c r="FC468" s="625"/>
      <c r="FD468" s="625"/>
      <c r="FE468" s="626"/>
      <c r="FF468" s="625"/>
      <c r="FG468" s="626"/>
      <c r="FH468" s="625"/>
      <c r="FI468" s="626"/>
      <c r="FJ468" s="625"/>
      <c r="FK468" s="626"/>
      <c r="FL468" s="625"/>
      <c r="FM468" s="627"/>
      <c r="FN468" s="625"/>
      <c r="FO468" s="627"/>
      <c r="FP468" s="625"/>
      <c r="FQ468" s="627"/>
      <c r="FR468" s="625"/>
      <c r="FS468" s="627"/>
      <c r="FT468" s="625"/>
      <c r="FU468" s="627"/>
      <c r="FV468" s="625"/>
      <c r="FW468" s="627"/>
      <c r="FX468" s="625"/>
      <c r="FY468" s="627"/>
      <c r="FZ468" s="625"/>
      <c r="GA468" s="627"/>
      <c r="GB468" s="625"/>
      <c r="GC468" s="627"/>
      <c r="GD468" s="625"/>
      <c r="GE468" s="627"/>
      <c r="GF468" s="625"/>
      <c r="GG468" s="627"/>
      <c r="GH468" s="625"/>
      <c r="GI468" s="627"/>
      <c r="GJ468" s="625"/>
      <c r="GK468" s="627"/>
      <c r="GL468" s="625"/>
      <c r="GM468" s="627"/>
      <c r="GN468" s="625"/>
      <c r="GO468" s="627"/>
      <c r="GP468" s="625"/>
      <c r="GQ468" s="627"/>
      <c r="GR468" s="625"/>
      <c r="GS468" s="627"/>
      <c r="GT468" s="625"/>
      <c r="GU468" s="627"/>
      <c r="GV468" s="625"/>
      <c r="GW468" s="627"/>
      <c r="GX468" s="625"/>
      <c r="GY468" s="627"/>
      <c r="GZ468" s="627"/>
      <c r="HA468" s="627"/>
      <c r="HB468" s="629"/>
      <c r="HC468"/>
      <c r="HD468"/>
      <c r="HE468"/>
      <c r="HF468"/>
      <c r="HG468"/>
      <c r="HH468"/>
    </row>
    <row r="469" spans="1:216" s="7" customFormat="1" ht="12.75" customHeight="1" x14ac:dyDescent="0.2">
      <c r="B469" s="2"/>
      <c r="C469" s="59"/>
      <c r="D469" s="60"/>
      <c r="E469" s="59"/>
      <c r="F469" s="59"/>
      <c r="G469" s="59"/>
      <c r="H469" s="59"/>
      <c r="I469" s="59"/>
      <c r="J469" s="59"/>
      <c r="K469" s="59"/>
      <c r="L469" s="61"/>
      <c r="M469" s="59"/>
      <c r="N469" s="61"/>
      <c r="O469" s="59"/>
      <c r="P469" s="61"/>
      <c r="Q469" s="59"/>
      <c r="R469" s="61"/>
      <c r="S469" s="59"/>
      <c r="T469" s="61"/>
      <c r="U469" s="59"/>
      <c r="V469" s="61"/>
      <c r="W469" s="59"/>
      <c r="X469" s="61"/>
      <c r="Y469" s="59"/>
      <c r="Z469" s="61"/>
      <c r="AA469" s="59"/>
      <c r="AB469" s="61"/>
      <c r="AC469" s="59"/>
      <c r="AD469" s="61"/>
      <c r="AE469" s="59"/>
      <c r="AF469" s="61"/>
      <c r="AG469" s="59"/>
      <c r="AH469" s="61"/>
      <c r="AI469" s="59"/>
      <c r="AJ469" s="61"/>
      <c r="AK469" s="59"/>
      <c r="AL469" s="61"/>
      <c r="AM469" s="59"/>
      <c r="AN469" s="61"/>
      <c r="AO469" s="59"/>
      <c r="AP469" s="61"/>
      <c r="AQ469" s="59"/>
      <c r="AR469" s="61"/>
      <c r="AS469" s="59"/>
      <c r="AT469" s="61"/>
      <c r="AU469" s="59"/>
      <c r="AV469" s="61"/>
      <c r="AW469" s="59"/>
      <c r="AX469" s="61"/>
      <c r="AY469" s="59"/>
      <c r="AZ469" s="61"/>
      <c r="BA469" s="59"/>
      <c r="BB469" s="61"/>
      <c r="BC469" s="59"/>
      <c r="BD469" s="61"/>
      <c r="BE469" s="59"/>
      <c r="BF469" s="61"/>
      <c r="BG469" s="59"/>
      <c r="BH469" s="61"/>
      <c r="BI469" s="59"/>
      <c r="BJ469" s="61"/>
      <c r="BK469" s="59"/>
      <c r="BL469" s="61"/>
      <c r="BM469" s="59"/>
      <c r="BN469" s="61"/>
      <c r="BO469" s="59"/>
      <c r="BP469" s="61"/>
      <c r="BQ469" s="59"/>
      <c r="BR469" s="61"/>
      <c r="BS469" s="59"/>
      <c r="BT469" s="61"/>
      <c r="BU469" s="59"/>
      <c r="BV469" s="61"/>
      <c r="BW469" s="59"/>
      <c r="BX469" s="61"/>
      <c r="BY469" s="59"/>
      <c r="BZ469" s="61"/>
      <c r="CA469" s="59"/>
      <c r="CB469" s="61"/>
      <c r="CC469" s="59"/>
      <c r="CD469" s="61"/>
      <c r="CE469" s="59"/>
      <c r="CF469" s="61"/>
      <c r="CG469" s="59"/>
      <c r="CH469" s="61"/>
      <c r="CI469" s="59"/>
      <c r="CJ469" s="61"/>
      <c r="CK469" s="59"/>
      <c r="CL469" s="61"/>
      <c r="CM469" s="59"/>
      <c r="CN469" s="61"/>
      <c r="CO469" s="59"/>
      <c r="CP469" s="61"/>
      <c r="CQ469" s="59"/>
      <c r="CR469" s="61"/>
      <c r="CS469" s="59"/>
      <c r="CT469" s="61"/>
      <c r="CU469" s="59"/>
      <c r="CV469" s="61"/>
      <c r="CW469" s="59"/>
      <c r="CX469" s="61"/>
      <c r="CY469" s="59"/>
      <c r="CZ469" s="61"/>
      <c r="DA469" s="59"/>
      <c r="DB469" s="61"/>
      <c r="DC469" s="59"/>
      <c r="DD469" s="61"/>
      <c r="DE469" s="59"/>
      <c r="DF469" s="61"/>
      <c r="DG469" s="59"/>
      <c r="DH469" s="61"/>
      <c r="DI469" s="59"/>
      <c r="DJ469" s="61"/>
      <c r="DK469" s="59"/>
      <c r="DL469" s="61"/>
      <c r="DM469" s="59"/>
      <c r="DN469" s="61"/>
      <c r="DO469" s="59"/>
      <c r="DP469" s="61"/>
      <c r="DQ469" s="59"/>
      <c r="DR469" s="61"/>
      <c r="DS469" s="59"/>
      <c r="DT469" s="61"/>
      <c r="DU469" s="59"/>
      <c r="DV469" s="61"/>
      <c r="DW469" s="59"/>
      <c r="DX469" s="59"/>
      <c r="DY469" s="59"/>
      <c r="DZ469" s="61"/>
      <c r="EA469" s="59"/>
      <c r="EB469" s="61"/>
      <c r="EC469" s="59"/>
      <c r="ED469" s="61"/>
      <c r="EE469" s="59"/>
      <c r="EF469" s="61"/>
      <c r="EG469" s="59"/>
      <c r="EH469" s="61"/>
      <c r="EI469" s="59"/>
      <c r="EJ469" s="61"/>
      <c r="EK469" s="59"/>
      <c r="EL469" s="61"/>
      <c r="EM469" s="59"/>
      <c r="EN469" s="61"/>
      <c r="EO469" s="59"/>
      <c r="EP469" s="61"/>
      <c r="EQ469" s="59"/>
      <c r="ER469" s="61"/>
      <c r="ES469" s="59"/>
      <c r="ET469" s="61"/>
      <c r="EU469" s="59"/>
      <c r="EV469" s="61"/>
      <c r="EW469" s="59"/>
      <c r="EX469" s="61"/>
      <c r="EY469" s="64"/>
      <c r="EZ469" s="558"/>
      <c r="FA469" s="64"/>
      <c r="FB469" s="59"/>
      <c r="FC469" s="59"/>
      <c r="FD469" s="59"/>
      <c r="FE469" s="60"/>
      <c r="FF469" s="59"/>
      <c r="FG469" s="60"/>
      <c r="FH469" s="59"/>
      <c r="FI469" s="60"/>
      <c r="FJ469" s="59"/>
      <c r="FK469" s="60"/>
      <c r="FL469" s="59"/>
      <c r="FM469" s="61"/>
      <c r="FN469" s="59"/>
      <c r="FO469" s="61"/>
      <c r="FP469" s="62"/>
      <c r="FQ469" s="61"/>
      <c r="FR469" s="62"/>
      <c r="FS469" s="61"/>
      <c r="FT469" s="62"/>
      <c r="FU469" s="61"/>
      <c r="FV469" s="62"/>
      <c r="FW469" s="61"/>
      <c r="FX469" s="62"/>
      <c r="FY469" s="61"/>
      <c r="FZ469" s="62"/>
      <c r="GA469" s="61"/>
      <c r="GB469" s="62"/>
      <c r="GC469" s="61"/>
      <c r="GD469" s="62"/>
      <c r="GE469" s="61"/>
      <c r="GF469" s="62"/>
      <c r="GG469" s="61"/>
      <c r="GH469" s="62"/>
      <c r="GI469" s="61"/>
      <c r="GJ469" s="62"/>
      <c r="GK469" s="61"/>
      <c r="GL469" s="62"/>
      <c r="GM469" s="61"/>
      <c r="GN469" s="62"/>
      <c r="GO469" s="61"/>
      <c r="GP469" s="62"/>
      <c r="GQ469" s="61"/>
      <c r="GR469" s="59"/>
      <c r="GS469" s="61"/>
      <c r="GT469" s="59"/>
      <c r="GU469" s="61"/>
      <c r="GV469" s="59"/>
      <c r="GW469" s="61"/>
      <c r="GX469" s="59"/>
      <c r="GY469" s="61"/>
      <c r="GZ469" s="61" t="str">
        <f t="shared" ref="GZ469:GZ489" si="2388">IF(ISERROR((GX469/GN469)^0.2),"",IF(OR((GX469/GN469)^0.2&lt;0.5,(GX469/GN469)^0.2&gt;2),"NM",((GX469/GN469)^0.2-1)*100))</f>
        <v/>
      </c>
      <c r="HA469" s="61"/>
      <c r="HB469" s="452"/>
      <c r="HC469"/>
      <c r="HD469"/>
      <c r="HE469"/>
      <c r="HF469"/>
      <c r="HG469"/>
      <c r="HH469"/>
    </row>
    <row r="470" spans="1:216" s="7" customFormat="1" ht="12.75" customHeight="1" x14ac:dyDescent="0.2">
      <c r="B470" s="63" t="s">
        <v>188</v>
      </c>
      <c r="C470" s="59"/>
      <c r="D470" s="60"/>
      <c r="E470" s="59"/>
      <c r="F470" s="59"/>
      <c r="G470" s="64"/>
      <c r="H470" s="59"/>
      <c r="I470" s="64"/>
      <c r="J470" s="59"/>
      <c r="K470" s="64"/>
      <c r="L470" s="61"/>
      <c r="M470" s="59"/>
      <c r="N470" s="61"/>
      <c r="O470" s="64"/>
      <c r="P470" s="61"/>
      <c r="Q470" s="64"/>
      <c r="R470" s="61"/>
      <c r="S470" s="64"/>
      <c r="T470" s="61"/>
      <c r="U470" s="64"/>
      <c r="V470" s="61"/>
      <c r="W470" s="64"/>
      <c r="X470" s="61"/>
      <c r="Y470" s="64"/>
      <c r="Z470" s="61"/>
      <c r="AA470" s="64"/>
      <c r="AB470" s="61"/>
      <c r="AC470" s="64"/>
      <c r="AD470" s="61"/>
      <c r="AE470" s="64"/>
      <c r="AF470" s="61"/>
      <c r="AG470" s="64"/>
      <c r="AH470" s="61"/>
      <c r="AI470" s="64"/>
      <c r="AJ470" s="61"/>
      <c r="AK470" s="64"/>
      <c r="AL470" s="61"/>
      <c r="AM470" s="64"/>
      <c r="AN470" s="61"/>
      <c r="AO470" s="64"/>
      <c r="AP470" s="61"/>
      <c r="AQ470" s="64"/>
      <c r="AR470" s="61"/>
      <c r="AS470" s="64"/>
      <c r="AT470" s="61"/>
      <c r="AU470" s="64"/>
      <c r="AV470" s="61"/>
      <c r="AW470" s="64"/>
      <c r="AX470" s="61"/>
      <c r="AY470" s="64"/>
      <c r="AZ470" s="61"/>
      <c r="BA470" s="64"/>
      <c r="BB470" s="61"/>
      <c r="BC470" s="64"/>
      <c r="BD470" s="61"/>
      <c r="BE470" s="64"/>
      <c r="BF470" s="61"/>
      <c r="BG470" s="64"/>
      <c r="BH470" s="61"/>
      <c r="BI470" s="64"/>
      <c r="BJ470" s="61"/>
      <c r="BK470" s="64"/>
      <c r="BL470" s="61"/>
      <c r="BM470" s="64"/>
      <c r="BN470" s="61"/>
      <c r="BO470" s="64"/>
      <c r="BP470" s="61"/>
      <c r="BQ470" s="64"/>
      <c r="BR470" s="61"/>
      <c r="BS470" s="64"/>
      <c r="BT470" s="61"/>
      <c r="BU470" s="64"/>
      <c r="BV470" s="61"/>
      <c r="BW470" s="64"/>
      <c r="BX470" s="61"/>
      <c r="BY470" s="64"/>
      <c r="BZ470" s="61"/>
      <c r="CA470" s="64"/>
      <c r="CB470" s="61"/>
      <c r="CC470" s="64"/>
      <c r="CD470" s="61"/>
      <c r="CE470" s="267"/>
      <c r="CF470" s="61"/>
      <c r="CG470" s="267"/>
      <c r="CH470" s="61"/>
      <c r="CI470" s="267"/>
      <c r="CJ470" s="61"/>
      <c r="CK470" s="267"/>
      <c r="CL470" s="61"/>
      <c r="CM470" s="267"/>
      <c r="CN470" s="61"/>
      <c r="CO470" s="526"/>
      <c r="CP470" s="526"/>
      <c r="CQ470" s="526"/>
      <c r="CR470" s="526"/>
      <c r="CS470" s="526"/>
      <c r="CT470" s="526"/>
      <c r="CU470" s="526"/>
      <c r="CV470" s="61"/>
      <c r="CW470" s="267"/>
      <c r="CX470" s="61"/>
      <c r="CY470" s="267"/>
      <c r="CZ470" s="61"/>
      <c r="DA470" s="267"/>
      <c r="DB470" s="61"/>
      <c r="DC470" s="267"/>
      <c r="DD470" s="61"/>
      <c r="DE470" s="267"/>
      <c r="DF470" s="61"/>
      <c r="DG470" s="267"/>
      <c r="DH470" s="61"/>
      <c r="DI470" s="267"/>
      <c r="DJ470" s="61"/>
      <c r="DK470" s="267"/>
      <c r="DL470" s="61"/>
      <c r="DM470" s="267"/>
      <c r="DN470" s="61"/>
      <c r="DO470" s="267"/>
      <c r="DP470" s="61"/>
      <c r="DQ470" s="267"/>
      <c r="DR470" s="61"/>
      <c r="DS470" s="267"/>
      <c r="DT470" s="61"/>
      <c r="DU470" s="267"/>
      <c r="DV470" s="61"/>
      <c r="DW470" s="267"/>
      <c r="DX470" s="267"/>
      <c r="DY470" s="267"/>
      <c r="DZ470" s="61"/>
      <c r="EA470" s="267"/>
      <c r="EB470" s="61"/>
      <c r="EC470" s="267"/>
      <c r="ED470" s="61"/>
      <c r="EE470" s="267"/>
      <c r="EF470" s="61"/>
      <c r="EG470" s="267"/>
      <c r="EH470" s="61"/>
      <c r="EI470" s="267"/>
      <c r="EJ470" s="61"/>
      <c r="EK470" s="267"/>
      <c r="EL470" s="61"/>
      <c r="EM470" s="267"/>
      <c r="EN470" s="61"/>
      <c r="EO470" s="267"/>
      <c r="EP470" s="61"/>
      <c r="EQ470" s="64"/>
      <c r="ER470" s="61"/>
      <c r="ES470" s="64"/>
      <c r="ET470" s="61"/>
      <c r="EU470" s="64"/>
      <c r="EV470" s="61"/>
      <c r="EW470" s="64"/>
      <c r="EX470" s="61"/>
      <c r="EY470" s="64"/>
      <c r="EZ470" s="558"/>
      <c r="FA470" s="64"/>
      <c r="FB470" s="59"/>
      <c r="FC470" s="59"/>
      <c r="FD470" s="59"/>
      <c r="FE470" s="60"/>
      <c r="FF470" s="59"/>
      <c r="FG470" s="60"/>
      <c r="FH470" s="59"/>
      <c r="FI470" s="60"/>
      <c r="FJ470" s="59"/>
      <c r="FK470" s="60"/>
      <c r="FL470" s="59"/>
      <c r="FM470" s="61"/>
      <c r="FN470" s="59"/>
      <c r="FO470" s="61"/>
      <c r="FP470" s="65"/>
      <c r="FQ470" s="61"/>
      <c r="FR470" s="65"/>
      <c r="FS470" s="61"/>
      <c r="FT470" s="65"/>
      <c r="FU470" s="61"/>
      <c r="FV470" s="65"/>
      <c r="FW470" s="61"/>
      <c r="FX470" s="65"/>
      <c r="FY470" s="61"/>
      <c r="FZ470" s="65"/>
      <c r="GA470" s="61"/>
      <c r="GB470" s="65"/>
      <c r="GC470" s="61"/>
      <c r="GD470" s="65"/>
      <c r="GE470" s="61"/>
      <c r="GF470" s="65"/>
      <c r="GG470" s="61"/>
      <c r="GH470" s="65"/>
      <c r="GI470" s="61"/>
      <c r="GJ470" s="65"/>
      <c r="GK470" s="61"/>
      <c r="GL470" s="65"/>
      <c r="GM470" s="61"/>
      <c r="GN470" s="65"/>
      <c r="GO470" s="61"/>
      <c r="GP470" s="65"/>
      <c r="GQ470" s="61"/>
      <c r="GR470" s="64"/>
      <c r="GS470" s="61"/>
      <c r="GT470" s="64"/>
      <c r="GU470" s="61"/>
      <c r="GV470" s="64"/>
      <c r="GW470" s="61"/>
      <c r="GX470" s="64"/>
      <c r="GY470" s="61"/>
      <c r="GZ470" s="61" t="str">
        <f t="shared" si="2388"/>
        <v/>
      </c>
      <c r="HA470" s="61"/>
      <c r="HB470" s="452"/>
      <c r="HC470"/>
      <c r="HD470"/>
      <c r="HE470"/>
      <c r="HF470"/>
      <c r="HG470"/>
      <c r="HH470"/>
    </row>
    <row r="471" spans="1:216" s="7" customFormat="1" ht="12.75" customHeight="1" x14ac:dyDescent="0.2">
      <c r="B471" s="2" t="s">
        <v>502</v>
      </c>
      <c r="C471" s="138"/>
      <c r="D471" s="60"/>
      <c r="E471" s="138"/>
      <c r="F471" s="59"/>
      <c r="G471" s="138"/>
      <c r="H471" s="59"/>
      <c r="I471" s="138"/>
      <c r="J471" s="59"/>
      <c r="K471" s="138"/>
      <c r="L471" s="61"/>
      <c r="M471" s="138"/>
      <c r="N471" s="61"/>
      <c r="O471" s="138"/>
      <c r="P471" s="61"/>
      <c r="Q471" s="138"/>
      <c r="R471" s="61"/>
      <c r="S471" s="138"/>
      <c r="T471" s="61"/>
      <c r="U471" s="138"/>
      <c r="V471" s="61"/>
      <c r="W471" s="138"/>
      <c r="X471" s="61"/>
      <c r="Y471" s="138"/>
      <c r="Z471" s="61"/>
      <c r="AA471" s="138"/>
      <c r="AB471" s="61"/>
      <c r="AC471" s="138"/>
      <c r="AD471" s="61"/>
      <c r="AE471" s="138"/>
      <c r="AF471" s="61"/>
      <c r="AG471" s="138"/>
      <c r="AH471" s="61"/>
      <c r="AI471" s="138"/>
      <c r="AJ471" s="61"/>
      <c r="AK471" s="138"/>
      <c r="AL471" s="61"/>
      <c r="AM471" s="138"/>
      <c r="AN471" s="61"/>
      <c r="AO471" s="138"/>
      <c r="AP471" s="61"/>
      <c r="AQ471" s="138">
        <v>2.2999999999999998</v>
      </c>
      <c r="AR471" s="61" t="str">
        <f>IF(ISERROR((AQ471/AI471-1)*100),"NA",IF(((AQ471/AI471-1)*100)&gt;100,"NM",IF(((AQ471/AI471-1)*100)&lt;-50,"NM",(AQ471/AI471-1)*100)))</f>
        <v>NA</v>
      </c>
      <c r="AS471" s="138">
        <v>60.3</v>
      </c>
      <c r="AT471" s="61" t="str">
        <f>IF(ISERROR((AS471/AK471-1)*100),"NA",IF(((AS471/AK471-1)*100)&gt;100,"NM",IF(((AS471/AK471-1)*100)&lt;-50,"NM",(AS471/AK471-1)*100)))</f>
        <v>NA</v>
      </c>
      <c r="AU471" s="138">
        <v>27</v>
      </c>
      <c r="AV471" s="61" t="str">
        <f>IF(ISERROR((AU471/AM471-1)*100),"NA",IF(((AU471/AM471-1)*100)&gt;100,"NM",IF(((AU471/AM471-1)*100)&lt;-50,"NM",(AU471/AM471-1)*100)))</f>
        <v>NA</v>
      </c>
      <c r="AW471" s="138">
        <v>10</v>
      </c>
      <c r="AX471" s="61" t="str">
        <f>IF(ISERROR((AW471/AO471-1)*100),"NA",IF(((AW471/AO471-1)*100)&gt;100,"NM",IF(((AW471/AO471-1)*100)&lt;-50,"NM",(AW471/AO471-1)*100)))</f>
        <v>NA</v>
      </c>
      <c r="AY471" s="72">
        <v>12.9</v>
      </c>
      <c r="AZ471" s="61" t="str">
        <f>IF(ISERROR((AY471/AQ471-1)*100),"NA",IF(((AY471/AQ471-1)*100)&gt;100,"NM",IF(((AY471/AQ471-1)*100)&lt;-50,"NM",(AY471/AQ471-1)*100)))</f>
        <v>NM</v>
      </c>
      <c r="BA471" s="72">
        <v>48.8</v>
      </c>
      <c r="BB471" s="61">
        <f>IF(ISERROR((BA471/AS471-1)*100),"NA",IF(((BA471/AS471-1)*100)&gt;100,"NM",IF(((BA471/AS471-1)*100)&lt;-50,"NM",(BA471/AS471-1)*100)))</f>
        <v>-19.071310116086238</v>
      </c>
      <c r="BC471" s="72">
        <v>32.700000000000003</v>
      </c>
      <c r="BD471" s="61">
        <f>IF(ISERROR((BC471/AU471-1)*100),"NA",IF(((BC471/AU471-1)*100)&gt;100,"NM",IF(((BC471/AU471-1)*100)&lt;-50,"NM",(BC471/AU471-1)*100)))</f>
        <v>21.111111111111125</v>
      </c>
      <c r="BE471" s="72">
        <f>45.6-18.8</f>
        <v>26.8</v>
      </c>
      <c r="BF471" s="61" t="str">
        <f>IF(ISERROR((BE471/AW471-1)*100),"NA",IF(((BE471/AW471-1)*100)&gt;100,"NM",IF(((BE471/AW471-1)*100)&lt;-50,"NM",(BE471/AW471-1)*100)))</f>
        <v>NM</v>
      </c>
      <c r="BG471" s="72">
        <f>108.8-BG472</f>
        <v>90.199999999999989</v>
      </c>
      <c r="BH471" s="61" t="str">
        <f>IF(ISERROR((BG471/AY471-1)*100),"NA",IF(((BG471/AY471-1)*100)&gt;100,"NM",IF(((BG471/AY471-1)*100)&lt;-50,"NM",(BG471/AY471-1)*100)))</f>
        <v>NM</v>
      </c>
      <c r="BI471" s="72">
        <f>123.6-BI472</f>
        <v>105</v>
      </c>
      <c r="BJ471" s="61" t="str">
        <f>IF(ISERROR((BI471/BA471-1)*100),"NA",IF(((BI471/BA471-1)*100)&gt;100,"NM",IF(((BI471/BA471-1)*100)&lt;-50,"NM",(BI471/BA471-1)*100)))</f>
        <v>NM</v>
      </c>
      <c r="BK471" s="72">
        <f>112.9-BK472</f>
        <v>94.300000000000011</v>
      </c>
      <c r="BL471" s="61" t="str">
        <f>IF(ISERROR((BK471/BC471-1)*100),"NA",IF(((BK471/BC471-1)*100)&gt;100,"NM",IF(((BK471/BC471-1)*100)&lt;-50,"NM",(BK471/BC471-1)*100)))</f>
        <v>NM</v>
      </c>
      <c r="BM471" s="72">
        <f>127.9-BM472</f>
        <v>109.30000000000001</v>
      </c>
      <c r="BN471" s="61" t="str">
        <f>IF(ISERROR((BM471/BE471-1)*100),"NA",IF(((BM471/BE471-1)*100)&gt;100,"NM",IF(((BM471/BE471-1)*100)&lt;-50,"NM",(BM471/BE471-1)*100)))</f>
        <v>NM</v>
      </c>
      <c r="BO471" s="72">
        <f>118-BO472</f>
        <v>99.5</v>
      </c>
      <c r="BP471" s="61">
        <f>IF(ISERROR((BO471/BG471-1)*100),"NA",IF(((BO471/BG471-1)*100)&gt;100,"NM",IF(((BO471/BG471-1)*100)&lt;-50,"NM",(BO471/BG471-1)*100)))</f>
        <v>10.310421286031058</v>
      </c>
      <c r="BQ471" s="72">
        <f>110.1-BQ472</f>
        <v>91.699999999999989</v>
      </c>
      <c r="BR471" s="61">
        <f>IF(ISERROR((BQ471/BI471-1)*100),"NA",IF(((BQ471/BI471-1)*100)&gt;100,"NM",IF(((BQ471/BI471-1)*100)&lt;-50,"NM",(BQ471/BI471-1)*100)))</f>
        <v>-12.666666666666682</v>
      </c>
      <c r="BS471" s="72">
        <f>136.2-BS472</f>
        <v>117.79999999999998</v>
      </c>
      <c r="BT471" s="61">
        <f>IF(ISERROR((BS471/BK471-1)*100),"NA",IF(((BS471/BK471-1)*100)&gt;100,"NM",IF(((BS471/BK471-1)*100)&lt;-50,"NM",(BS471/BK471-1)*100)))</f>
        <v>24.920466595970268</v>
      </c>
      <c r="BU471" s="72">
        <f>121.6-BU472</f>
        <v>103.19999999999999</v>
      </c>
      <c r="BV471" s="61">
        <f>IF(ISERROR((BU471/BM471-1)*100),"NA",IF(((BU471/BM471-1)*100)&gt;100,"NM",IF(((BU471/BM471-1)*100)&lt;-50,"NM",(BU471/BM471-1)*100)))</f>
        <v>-5.580969807868275</v>
      </c>
      <c r="BW471" s="72">
        <f>105.4-BW472</f>
        <v>87</v>
      </c>
      <c r="BX471" s="61">
        <f>IF(ISERROR((BW471/BO471-1)*100),"NA",IF(((BW471/BO471-1)*100)&gt;100,"NM",IF(((BW471/BO471-1)*100)&lt;-50,"NM",(BW471/BO471-1)*100)))</f>
        <v>-12.562814070351758</v>
      </c>
      <c r="BY471" s="72">
        <f>115.4-BY472</f>
        <v>97</v>
      </c>
      <c r="BZ471" s="61">
        <f>IF(ISERROR((BY471/BQ471-1)*100),"NA",IF(((BY471/BQ471-1)*100)&gt;100,"NM",IF(((BY471/BQ471-1)*100)&lt;-50,"NM",(BY471/BQ471-1)*100)))</f>
        <v>5.7797164667393819</v>
      </c>
      <c r="CA471" s="72">
        <f>119.6-CA472</f>
        <v>101.3</v>
      </c>
      <c r="CB471" s="61">
        <f>IF(ISERROR((CA471/BS471-1)*100),"NA",IF(((CA471/BS471-1)*100)&gt;100,"NM",IF(((CA471/BS471-1)*100)&lt;-50,"NM",(CA471/BS471-1)*100)))</f>
        <v>-14.006791171477072</v>
      </c>
      <c r="CC471" s="72">
        <f>126.4-CC472</f>
        <v>108.10000000000001</v>
      </c>
      <c r="CD471" s="61">
        <f>IF(ISERROR((CC471/BU471-1)*100),"NA",IF(((CC471/BU471-1)*100)&gt;100,"NM",IF(((CC471/BU471-1)*100)&lt;-50,"NM",(CC471/BU471-1)*100)))</f>
        <v>4.7480620155039066</v>
      </c>
      <c r="CE471" s="72">
        <f>123.9-CE472</f>
        <v>105.7</v>
      </c>
      <c r="CF471" s="61">
        <f>IF(ISERROR((CE471/BW471-1)*100),"NA",IF(((CE471/BW471-1)*100)&gt;100,"NM",IF(((CE471/BW471-1)*100)&lt;-50,"NM",(CE471/BW471-1)*100)))</f>
        <v>21.494252873563212</v>
      </c>
      <c r="CG471" s="72">
        <f>120.6-CG472</f>
        <v>102.6</v>
      </c>
      <c r="CH471" s="61">
        <f>IF(ISERROR((CG471/BY471-1)*100),"NA",IF(((CG471/BY471-1)*100)&gt;100,"NM",IF(((CG471/BY471-1)*100)&lt;-50,"NM",(CG471/BY471-1)*100)))</f>
        <v>5.7731958762886615</v>
      </c>
      <c r="CI471" s="72">
        <f>121.6-CI472</f>
        <v>103.5</v>
      </c>
      <c r="CJ471" s="61">
        <f>IF(ISERROR((CI471/CA471-1)*100),"NA",IF(((CI471/CA471-1)*100)&gt;100,"NM",IF(((CI471/CA471-1)*100)&lt;-50,"NM",(CI471/CA471-1)*100)))</f>
        <v>2.1717670286278468</v>
      </c>
      <c r="CK471" s="72">
        <f>121.6-CK472</f>
        <v>103.39999999999999</v>
      </c>
      <c r="CL471" s="61">
        <f>IF(ISERROR((CK471/CC471-1)*100),"NA",IF(((CK471/CC471-1)*100)&gt;100,"NM",IF(((CK471/CC471-1)*100)&lt;-50,"NM",(CK471/CC471-1)*100)))</f>
        <v>-4.347826086956541</v>
      </c>
      <c r="CM471" s="73">
        <f>CM473-CM472</f>
        <v>100</v>
      </c>
      <c r="CN471" s="61">
        <f>IF(ISERROR((CM471/CE471-1)*100),"NA",IF(((CM471/CE471-1)*100)&gt;100,"NM",IF(((CM471/CE471-1)*100)&lt;-50,"NM",(CM471/CE471-1)*100)))</f>
        <v>-5.392620624408706</v>
      </c>
      <c r="CO471" s="73">
        <f>CO473-CO472</f>
        <v>96</v>
      </c>
      <c r="CP471" s="61">
        <f>IF(ISERROR((CO471/CG471-1)*100),"NA",IF(((CO471/CG471-1)*100)&gt;100,"NM",IF(((CO471/CG471-1)*100)&lt;-50,"NM",(CO471/CG471-1)*100)))</f>
        <v>-6.4327485380116904</v>
      </c>
      <c r="CQ471" s="73">
        <f>CQ473-CQ472</f>
        <v>103.9</v>
      </c>
      <c r="CR471" s="61">
        <f>IF(ISERROR((CQ471/CI471-1)*100),"NA",IF(((CQ471/CI471-1)*100)&gt;100,"NM",IF(((CQ471/CI471-1)*100)&lt;-50,"NM",(CQ471/CI471-1)*100)))</f>
        <v>0.38647342995170586</v>
      </c>
      <c r="CS471" s="73">
        <f>CS473-CS472</f>
        <v>91</v>
      </c>
      <c r="CT471" s="61">
        <f>IF(ISERROR((CS471/CK471-1)*100),"NA",IF(((CS471/CK471-1)*100)&gt;100,"NM",IF(((CS471/CK471-1)*100)&lt;-50,"NM",(CS471/CK471-1)*100)))</f>
        <v>-11.992263056092833</v>
      </c>
      <c r="CU471" s="73">
        <f>CU473-CU472</f>
        <v>88</v>
      </c>
      <c r="CV471" s="61">
        <f>IF(ISERROR((CU471/CM471-1)*100),"NA",IF(((CU471/CM471-1)*100)&gt;100,"NM",IF(((CU471/CM471-1)*100)&lt;-50,"NM",(CU471/CM471-1)*100)))</f>
        <v>-12</v>
      </c>
      <c r="CW471" s="73">
        <f>CW473-CW472</f>
        <v>95</v>
      </c>
      <c r="CX471" s="61">
        <f>IF(ISERROR((CW471/CO471-1)*100),"NA",IF(((CW471/CO471-1)*100)&gt;100,"NM",IF(((CW471/CO471-1)*100)&lt;-50,"NM",(CW471/CO471-1)*100)))</f>
        <v>-1.041666666666663</v>
      </c>
      <c r="CY471" s="73">
        <f>CY473-CY472</f>
        <v>83</v>
      </c>
      <c r="CZ471" s="61">
        <f>IF(ISERROR((CY471/CQ471-1)*100),"NA",IF(((CY471/CQ471-1)*100)&gt;100,"NM",IF(((CY471/CQ471-1)*100)&lt;-50,"NM",(CY471/CQ471-1)*100)))</f>
        <v>-20.11549566891242</v>
      </c>
      <c r="DA471" s="73">
        <f>DA473-DA472</f>
        <v>85</v>
      </c>
      <c r="DB471" s="61">
        <f>IF(ISERROR((DA471/CS471-1)*100),"NA",IF(((DA471/CS471-1)*100)&gt;100,"NM",IF(((DA471/CS471-1)*100)&lt;-50,"NM",(DA471/CS471-1)*100)))</f>
        <v>-6.5934065934065922</v>
      </c>
      <c r="DC471" s="73">
        <f>DC473-DC472</f>
        <v>84</v>
      </c>
      <c r="DD471" s="61">
        <f>IF(ISERROR((DC471/CU471-1)*100),"NA",IF(((DC471/CU471-1)*100)&gt;100,"NM",IF(((DC471/CU471-1)*100)&lt;-50,"NM",(DC471/CU471-1)*100)))</f>
        <v>-4.5454545454545414</v>
      </c>
      <c r="DE471" s="73">
        <f>DE473-DE472</f>
        <v>84</v>
      </c>
      <c r="DF471" s="61">
        <f>IF(ISERROR((DE471/CW471-1)*100),"NA",IF(((DE471/CW471-1)*100)&gt;100,"NM",IF(((DE471/CW471-1)*100)&lt;-50,"NM",(DE471/CW471-1)*100)))</f>
        <v>-11.578947368421055</v>
      </c>
      <c r="DG471" s="73">
        <f>DG473-DG472</f>
        <v>82</v>
      </c>
      <c r="DH471" s="61">
        <f>IF(ISERROR((DG471/CY471-1)*100),"NA",IF(((DG471/CY471-1)*100)&gt;100,"NM",IF(((DG471/CY471-1)*100)&lt;-50,"NM",(DG471/CY471-1)*100)))</f>
        <v>-1.2048192771084376</v>
      </c>
      <c r="DI471" s="73">
        <f>DI473-DI472</f>
        <v>93</v>
      </c>
      <c r="DJ471" s="61">
        <f>IF(ISERROR((DI471/DA471-1)*100),"NA",IF(((DI471/DA471-1)*100)&gt;100,"NM",IF(((DI471/DA471-1)*100)&lt;-50,"NM",(DI471/DA471-1)*100)))</f>
        <v>9.4117647058823639</v>
      </c>
      <c r="DK471" s="73">
        <f>DK473-DK472</f>
        <v>88</v>
      </c>
      <c r="DL471" s="61">
        <f>IF(ISERROR((DK471/DC471-1)*100),"NA",IF(((DK471/DC471-1)*100)&gt;100,"NM",IF(((DK471/DC471-1)*100)&lt;-50,"NM",(DK471/DC471-1)*100)))</f>
        <v>4.7619047619047672</v>
      </c>
      <c r="DM471" s="73">
        <f>DM473-DM472</f>
        <v>88</v>
      </c>
      <c r="DN471" s="130">
        <f t="shared" ref="DN471:DZ473" si="2389">IF(ISERROR((DM471/DE471-1)*100),"NA",IF(((DM471/DE471-1)*100)&gt;100,"NM",IF(((DM471/DE471-1)*100)&lt;-50,"NM",(DM471/DE471-1)*100)))</f>
        <v>4.7619047619047672</v>
      </c>
      <c r="DO471" s="73">
        <f>DO473-DO472</f>
        <v>85</v>
      </c>
      <c r="DP471" s="130">
        <f t="shared" si="2389"/>
        <v>3.6585365853658569</v>
      </c>
      <c r="DQ471" s="73">
        <f>DQ473-DQ472</f>
        <v>99</v>
      </c>
      <c r="DR471" s="130">
        <f t="shared" si="2389"/>
        <v>6.4516129032258007</v>
      </c>
      <c r="DS471" s="73">
        <f>DS473-DS472</f>
        <v>77</v>
      </c>
      <c r="DT471" s="130">
        <f t="shared" si="2389"/>
        <v>-12.5</v>
      </c>
      <c r="DU471" s="73">
        <f>DU473-DU472</f>
        <v>78</v>
      </c>
      <c r="DV471" s="130">
        <f t="shared" si="2389"/>
        <v>-11.363636363636365</v>
      </c>
      <c r="DW471" s="73">
        <f>DW473-DW472</f>
        <v>78</v>
      </c>
      <c r="DX471" s="73">
        <f t="shared" ref="DX471:DY471" si="2390">DX473-DX472</f>
        <v>78</v>
      </c>
      <c r="DY471" s="73">
        <f t="shared" si="2390"/>
        <v>68</v>
      </c>
      <c r="DZ471" s="130">
        <f t="shared" si="2389"/>
        <v>-31.313131313131315</v>
      </c>
      <c r="EA471" s="73">
        <f t="shared" ref="EA471:EC471" si="2391">EA473-EA472</f>
        <v>64</v>
      </c>
      <c r="EB471" s="130">
        <f t="shared" ref="EB471:EB473" si="2392">IF(ISERROR((EA471/DS471-1)*100),"NA",IF(((EA471/DS471-1)*100)&gt;100,"NM",IF(((EA471/DS471-1)*100)&lt;-50,"NM",(EA471/DS471-1)*100)))</f>
        <v>-16.883116883116877</v>
      </c>
      <c r="EC471" s="73">
        <f t="shared" si="2391"/>
        <v>61</v>
      </c>
      <c r="ED471" s="130">
        <f t="shared" ref="ED471:ED473" si="2393">IF(ISERROR((EC471/DU471-1)*100),"NA",IF(((EC471/DU471-1)*100)&gt;100,"NM",IF(((EC471/DU471-1)*100)&lt;-50,"NM",(EC471/DU471-1)*100)))</f>
        <v>-21.794871794871796</v>
      </c>
      <c r="EE471" s="73">
        <f t="shared" ref="EE471:EG471" si="2394">EE473-EE472</f>
        <v>66</v>
      </c>
      <c r="EF471" s="130">
        <f t="shared" ref="EF471:EF473" si="2395">IF(ISERROR((EE471/DW471-1)*100),"NA",IF(((EE471/DW471-1)*100)&gt;100,"NM",IF(((EE471/DW471-1)*100)&lt;-50,"NM",(EE471/DW471-1)*100)))</f>
        <v>-15.384615384615385</v>
      </c>
      <c r="EG471" s="73">
        <f t="shared" si="2394"/>
        <v>69</v>
      </c>
      <c r="EH471" s="130">
        <f t="shared" ref="EH471:EH473" si="2396">IF(ISERROR((EG471/DY471-1)*100),"NA",IF(((EG471/DY471-1)*100)&gt;100,"NM",IF(((EG471/DY471-1)*100)&lt;-50,"NM",(EG471/DY471-1)*100)))</f>
        <v>1.4705882352941124</v>
      </c>
      <c r="EI471" s="73">
        <f t="shared" ref="EI471:EK471" si="2397">EI473-EI472</f>
        <v>70</v>
      </c>
      <c r="EJ471" s="130">
        <f t="shared" ref="EJ471:EJ473" si="2398">IF(ISERROR((EI471/EA471-1)*100),"NA",IF(((EI471/EA471-1)*100)&gt;100,"NM",IF(((EI471/EA471-1)*100)&lt;-50,"NM",(EI471/EA471-1)*100)))</f>
        <v>9.375</v>
      </c>
      <c r="EK471" s="73">
        <f t="shared" si="2397"/>
        <v>63</v>
      </c>
      <c r="EL471" s="130">
        <f t="shared" ref="EL471:EL473" si="2399">IF(ISERROR((EK471/EC471-1)*100),"NA",IF(((EK471/EC471-1)*100)&gt;100,"NM",IF(((EK471/EC471-1)*100)&lt;-50,"NM",(EK471/EC471-1)*100)))</f>
        <v>3.2786885245901676</v>
      </c>
      <c r="EM471" s="73">
        <f t="shared" ref="EM471" si="2400">EM473-EM472</f>
        <v>65</v>
      </c>
      <c r="EN471" s="130">
        <f t="shared" ref="EN471:EN473" si="2401">IF(ISERROR((EM471/EE471-1)*100),"NA",IF(((EM471/EE471-1)*100)&gt;100,"NM",IF(((EM471/EE471-1)*100)&lt;-50,"NM",(EM471/EE471-1)*100)))</f>
        <v>-1.5151515151515138</v>
      </c>
      <c r="EO471" s="73">
        <f t="shared" ref="EO471" si="2402">EO473-EO472</f>
        <v>68</v>
      </c>
      <c r="EP471" s="130">
        <f t="shared" ref="EP471:EP473" si="2403">IF(ISERROR((EO471/EG471-1)*100),"NA",IF(((EO471/EG471-1)*100)&gt;100,"NM",IF(((EO471/EG471-1)*100)&lt;-50,"NM",(EO471/EG471-1)*100)))</f>
        <v>-1.4492753623188359</v>
      </c>
      <c r="EQ471" s="72">
        <f t="shared" ref="EQ471" si="2404">EO471*1.005</f>
        <v>68.339999999999989</v>
      </c>
      <c r="ER471" s="130">
        <f t="shared" ref="ER471:ER473" si="2405">IF(ISERROR((EQ471/EI471-1)*100),"NA",IF(((EQ471/EI471-1)*100)&gt;100,"NM",IF(((EQ471/EI471-1)*100)&lt;-50,"NM",(EQ471/EI471-1)*100)))</f>
        <v>-2.371428571428591</v>
      </c>
      <c r="ES471" s="72">
        <f t="shared" ref="ES471" si="2406">EQ471*1.005</f>
        <v>68.681699999999978</v>
      </c>
      <c r="ET471" s="130">
        <f t="shared" ref="ET471:ET473" si="2407">IF(ISERROR((ES471/EK471-1)*100),"NA",IF(((ES471/EK471-1)*100)&gt;100,"NM",IF(((ES471/EK471-1)*100)&lt;-50,"NM",(ES471/EK471-1)*100)))</f>
        <v>9.0185714285713878</v>
      </c>
      <c r="EU471" s="72">
        <f t="shared" ref="EU471" si="2408">ES471*1.005</f>
        <v>69.025108499999973</v>
      </c>
      <c r="EV471" s="130">
        <f t="shared" ref="EV471:EV473" si="2409">IF(ISERROR((EU471/EM471-1)*100),"NA",IF(((EU471/EM471-1)*100)&gt;100,"NM",IF(((EU471/EM471-1)*100)&lt;-50,"NM",(EU471/EM471-1)*100)))</f>
        <v>6.1924746153845689</v>
      </c>
      <c r="EW471" s="72">
        <f t="shared" ref="EW471" si="2410">EU471*1.005</f>
        <v>69.370234042499959</v>
      </c>
      <c r="EX471" s="130">
        <f t="shared" ref="EX471:EX473" si="2411">IF(ISERROR((EW471/EO471-1)*100),"NA",IF(((EW471/EO471-1)*100)&gt;100,"NM",IF(((EW471/EO471-1)*100)&lt;-50,"NM",(EW471/EO471-1)*100)))</f>
        <v>2.0150500624999346</v>
      </c>
      <c r="EY471" s="74"/>
      <c r="EZ471" s="558"/>
      <c r="FA471" s="74"/>
      <c r="FB471" s="72"/>
      <c r="FC471" s="268"/>
      <c r="FD471" s="72"/>
      <c r="FE471" s="126"/>
      <c r="FF471" s="69"/>
      <c r="FG471" s="126"/>
      <c r="FH471" s="69"/>
      <c r="FI471" s="126"/>
      <c r="FJ471" s="69"/>
      <c r="FK471" s="126"/>
      <c r="FL471" s="69"/>
      <c r="FM471" s="126"/>
      <c r="FN471" s="69"/>
      <c r="FO471" s="126"/>
      <c r="FP471" s="73">
        <f>AQ471+AS471+AU471+AW471</f>
        <v>99.6</v>
      </c>
      <c r="FQ471" s="61" t="str">
        <f>IF(ISERROR((FP471/FN471-1)*100),"NA",IF(((FP471/FN471-1)*100)&gt;100,"NM",IF(((FP471/FN471-1)*100)&lt;-50,"NM",(FP471/FN471-1)*100)))</f>
        <v>NA</v>
      </c>
      <c r="FR471" s="73">
        <f>AY471+BA471+BC471+BE471</f>
        <v>121.2</v>
      </c>
      <c r="FS471" s="61">
        <f>IF(ISERROR((FR471/FP471-1)*100),"NA",IF(((FR471/FP471-1)*100)&gt;100,"NM",IF(((FR471/FP471-1)*100)&lt;-50,"NM",(FR471/FP471-1)*100)))</f>
        <v>21.68674698795181</v>
      </c>
      <c r="FT471" s="73">
        <f>BG471+BI471+BK471+BM471</f>
        <v>398.8</v>
      </c>
      <c r="FU471" s="61" t="str">
        <f>IF(ISERROR((FT471/FR471-1)*100),"NA",IF(((FT471/FR471-1)*100)&gt;100,"NM",IF(((FT471/FR471-1)*100)&lt;-50,"NM",(FT471/FR471-1)*100)))</f>
        <v>NM</v>
      </c>
      <c r="FV471" s="73">
        <f>BO471+BQ471+BS471+BU471</f>
        <v>412.2</v>
      </c>
      <c r="FW471" s="61">
        <f>IF(ISERROR((FV471/FT471-1)*100),"NA",IF(((FV471/FT471-1)*100)&gt;100,"NM",IF(((FV471/FT471-1)*100)&lt;-50,"NM",(FV471/FT471-1)*100)))</f>
        <v>3.360080240722163</v>
      </c>
      <c r="FX471" s="73">
        <f>BW471+BY471+CA471+CC471</f>
        <v>393.40000000000003</v>
      </c>
      <c r="FY471" s="61">
        <f>IF(ISERROR((FX471/FV471-1)*100),"NA",IF(((FX471/FV471-1)*100)&gt;100,"NM",IF(((FX471/FV471-1)*100)&lt;-50,"NM",(FX471/FV471-1)*100)))</f>
        <v>-4.5608927704997466</v>
      </c>
      <c r="FZ471" s="73">
        <f>CE471+CG471+CI471+CK471</f>
        <v>415.2</v>
      </c>
      <c r="GA471" s="61">
        <f>IF(ISERROR((FZ471/FX471-1)*100),"NA",IF(((FZ471/FX471-1)*100)&gt;100,"NM",IF(((FZ471/FX471-1)*100)&lt;-50,"NM",(FZ471/FX471-1)*100)))</f>
        <v>5.5414336553126553</v>
      </c>
      <c r="GB471" s="73">
        <f>CM471+CO471+CQ471+CS471</f>
        <v>390.9</v>
      </c>
      <c r="GC471" s="61">
        <f>IF(ISERROR((GB471/FZ471-1)*100),"NA",IF(((GB471/FZ471-1)*100)&gt;100,"NM",IF(((GB471/FZ471-1)*100)&lt;-50,"NM",(GB471/FZ471-1)*100)))</f>
        <v>-5.8526011560693707</v>
      </c>
      <c r="GD471" s="73">
        <f>CU471+CW471+CY471+DA471</f>
        <v>351</v>
      </c>
      <c r="GE471" s="61">
        <f>IF(ISERROR((GD471/GB471-1)*100),"NA",IF(((GD471/GB471-1)*100)&gt;100,"NM",IF(((GD471/GB471-1)*100)&lt;-50,"NM",(GD471/GB471-1)*100)))</f>
        <v>-10.207214121258623</v>
      </c>
      <c r="GF471" s="73">
        <f>DC471+DE471+DG471+DI471</f>
        <v>343</v>
      </c>
      <c r="GG471" s="61">
        <f>IF(ISERROR((GF471/GD471-1)*100),"NA",IF(((GF471/GD471-1)*100)&gt;100,"NM",IF(((GF471/GD471-1)*100)&lt;-50,"NM",(GF471/GD471-1)*100)))</f>
        <v>-2.2792022792022748</v>
      </c>
      <c r="GH471" s="73">
        <f>DK471+DM471+DO471+DQ471</f>
        <v>360</v>
      </c>
      <c r="GI471" s="61">
        <f>IF(ISERROR((GH471/GF471-1)*100),"NA",IF(((GH471/GF471-1)*100)&gt;100,"NM",IF(((GH471/GF471-1)*100)&lt;-50,"NM",(GH471/GF471-1)*100)))</f>
        <v>4.9562682215743337</v>
      </c>
      <c r="GJ471" s="73">
        <f>DS471+DU471+DW471+DY471</f>
        <v>301</v>
      </c>
      <c r="GK471" s="61">
        <f>IF(ISERROR((GJ471/GH471-1)*100),"NA",IF(((GJ471/GH471-1)*100)&gt;100,"NM",IF(((GJ471/GH471-1)*100)&lt;-50,"NM",(GJ471/GH471-1)*100)))</f>
        <v>-16.388888888888886</v>
      </c>
      <c r="GL471" s="73">
        <f>EA471+EC471+EE471+EG471</f>
        <v>260</v>
      </c>
      <c r="GM471" s="61">
        <f>IF(ISERROR((GL471/GJ471-1)*100),"NA",IF(((GL471/GJ471-1)*100)&gt;100,"NM",IF(((GL471/GJ471-1)*100)&lt;-50,"NM",(GL471/GJ471-1)*100)))</f>
        <v>-13.621262458471762</v>
      </c>
      <c r="GN471" s="73">
        <f>EI471+EK471+EM471+EO471</f>
        <v>266</v>
      </c>
      <c r="GO471" s="61">
        <f>IF(ISERROR((GN471/GL471-1)*100),"NA",IF(((GN471/GL471-1)*100)&gt;100,"NM",IF(((GN471/GL471-1)*100)&lt;-50,"NM",(GN471/GL471-1)*100)))</f>
        <v>2.3076923076922995</v>
      </c>
      <c r="GP471" s="73">
        <f>EQ471+ES471+EU471+EW471</f>
        <v>275.41704254249987</v>
      </c>
      <c r="GQ471" s="61">
        <f>IF(ISERROR((GP471/GN471-1)*100),"NA",IF(((GP471/GN471-1)*100)&gt;100,"NM",IF(((GP471/GN471-1)*100)&lt;-50,"NM",(GP471/GN471-1)*100)))</f>
        <v>3.54024155733077</v>
      </c>
      <c r="GR471" s="72">
        <f>GP471*1.01</f>
        <v>278.17121296792487</v>
      </c>
      <c r="GS471" s="61">
        <f>IF(ISERROR((GR471/GP471-1)*100),"NA",IF(((GR471/GP471-1)*100)&gt;100,"NM",IF(((GR471/GP471-1)*100)&lt;-50,"NM",(GR471/GP471-1)*100)))</f>
        <v>1.0000000000000009</v>
      </c>
      <c r="GT471" s="72">
        <f>GR471*1.03</f>
        <v>286.51634935696262</v>
      </c>
      <c r="GU471" s="61">
        <f>IF(ISERROR((GT471/GR471-1)*100),"NA",IF(((GT471/GR471-1)*100)&gt;100,"NM",IF(((GT471/GR471-1)*100)&lt;-50,"NM",(GT471/GR471-1)*100)))</f>
        <v>3.0000000000000027</v>
      </c>
      <c r="GV471" s="72">
        <f>GT471*1.03</f>
        <v>295.11183983767148</v>
      </c>
      <c r="GW471" s="61">
        <f>IF(ISERROR((GV471/GT471-1)*100),"NA",IF(((GV471/GT471-1)*100)&gt;100,"NM",IF(((GV471/GT471-1)*100)&lt;-50,"NM",(GV471/GT471-1)*100)))</f>
        <v>3.0000000000000027</v>
      </c>
      <c r="GX471" s="72">
        <f>GV471*1.03</f>
        <v>303.96519503280166</v>
      </c>
      <c r="GY471" s="61">
        <f>IF(ISERROR((GX471/GV471-1)*100),"NA",IF(((GX471/GV471-1)*100)&gt;100,"NM",IF(((GX471/GV471-1)*100)&lt;-50,"NM",(GX471/GV471-1)*100)))</f>
        <v>3.0000000000000027</v>
      </c>
      <c r="GZ471" s="61">
        <f t="shared" si="2388"/>
        <v>2.7042568248131893</v>
      </c>
      <c r="HA471" s="61"/>
      <c r="HB471" s="452"/>
      <c r="HC471"/>
      <c r="HD471"/>
      <c r="HE471"/>
      <c r="HF471"/>
      <c r="HG471"/>
      <c r="HH471"/>
    </row>
    <row r="472" spans="1:216" s="7" customFormat="1" ht="12.75" customHeight="1" x14ac:dyDescent="0.2">
      <c r="B472" s="2" t="s">
        <v>277</v>
      </c>
      <c r="C472" s="138"/>
      <c r="D472" s="60"/>
      <c r="E472" s="138"/>
      <c r="F472" s="59"/>
      <c r="G472" s="138"/>
      <c r="H472" s="59"/>
      <c r="I472" s="138"/>
      <c r="J472" s="59"/>
      <c r="K472" s="138"/>
      <c r="L472" s="61"/>
      <c r="M472" s="138"/>
      <c r="N472" s="61"/>
      <c r="O472" s="138"/>
      <c r="P472" s="61"/>
      <c r="Q472" s="138"/>
      <c r="R472" s="61"/>
      <c r="S472" s="138"/>
      <c r="T472" s="61"/>
      <c r="U472" s="138"/>
      <c r="V472" s="61"/>
      <c r="W472" s="138"/>
      <c r="X472" s="61"/>
      <c r="Y472" s="138"/>
      <c r="Z472" s="61"/>
      <c r="AA472" s="138"/>
      <c r="AB472" s="61"/>
      <c r="AC472" s="138"/>
      <c r="AD472" s="61"/>
      <c r="AE472" s="138"/>
      <c r="AF472" s="61"/>
      <c r="AG472" s="138"/>
      <c r="AH472" s="61"/>
      <c r="AI472" s="138"/>
      <c r="AJ472" s="61"/>
      <c r="AK472" s="138"/>
      <c r="AL472" s="61"/>
      <c r="AM472" s="138"/>
      <c r="AN472" s="61"/>
      <c r="AO472" s="138"/>
      <c r="AP472" s="61"/>
      <c r="AQ472" s="138">
        <v>18.899999999999999</v>
      </c>
      <c r="AR472" s="61" t="str">
        <f>IF(ISERROR((AQ472/AI472-1)*100),"NA",IF(((AQ472/AI472-1)*100)&gt;100,"NM",IF(((AQ472/AI472-1)*100)&lt;-50,"NM",(AQ472/AI472-1)*100)))</f>
        <v>NA</v>
      </c>
      <c r="AS472" s="138">
        <v>18.899999999999999</v>
      </c>
      <c r="AT472" s="61" t="str">
        <f>IF(ISERROR((AS472/AK472-1)*100),"NA",IF(((AS472/AK472-1)*100)&gt;100,"NM",IF(((AS472/AK472-1)*100)&lt;-50,"NM",(AS472/AK472-1)*100)))</f>
        <v>NA</v>
      </c>
      <c r="AU472" s="138">
        <v>18.899999999999999</v>
      </c>
      <c r="AV472" s="61" t="str">
        <f>IF(ISERROR((AU472/AM472-1)*100),"NA",IF(((AU472/AM472-1)*100)&gt;100,"NM",IF(((AU472/AM472-1)*100)&lt;-50,"NM",(AU472/AM472-1)*100)))</f>
        <v>NA</v>
      </c>
      <c r="AW472" s="138">
        <v>18.899999999999999</v>
      </c>
      <c r="AX472" s="61" t="str">
        <f>IF(ISERROR((AW472/AO472-1)*100),"NA",IF(((AW472/AO472-1)*100)&gt;100,"NM",IF(((AW472/AO472-1)*100)&lt;-50,"NM",(AW472/AO472-1)*100)))</f>
        <v>NA</v>
      </c>
      <c r="AY472" s="72">
        <v>18.8</v>
      </c>
      <c r="AZ472" s="61">
        <f>IF(ISERROR((AY472/AQ472-1)*100),"NA",IF(((AY472/AQ472-1)*100)&gt;100,"NM",IF(((AY472/AQ472-1)*100)&lt;-50,"NM",(AY472/AQ472-1)*100)))</f>
        <v>-0.52910052910051242</v>
      </c>
      <c r="BA472" s="72">
        <v>18.8</v>
      </c>
      <c r="BB472" s="61">
        <f>IF(ISERROR((BA472/AS472-1)*100),"NA",IF(((BA472/AS472-1)*100)&gt;100,"NM",IF(((BA472/AS472-1)*100)&lt;-50,"NM",(BA472/AS472-1)*100)))</f>
        <v>-0.52910052910051242</v>
      </c>
      <c r="BC472" s="72">
        <v>18.8</v>
      </c>
      <c r="BD472" s="61">
        <f>IF(ISERROR((BC472/AU472-1)*100),"NA",IF(((BC472/AU472-1)*100)&gt;100,"NM",IF(((BC472/AU472-1)*100)&lt;-50,"NM",(BC472/AU472-1)*100)))</f>
        <v>-0.52910052910051242</v>
      </c>
      <c r="BE472" s="72">
        <v>18.8</v>
      </c>
      <c r="BF472" s="61">
        <f>IF(ISERROR((BE472/AW472-1)*100),"NA",IF(((BE472/AW472-1)*100)&gt;100,"NM",IF(((BE472/AW472-1)*100)&lt;-50,"NM",(BE472/AW472-1)*100)))</f>
        <v>-0.52910052910051242</v>
      </c>
      <c r="BG472" s="72">
        <v>18.600000000000001</v>
      </c>
      <c r="BH472" s="61">
        <f>IF(ISERROR((BG472/AY472-1)*100),"NA",IF(((BG472/AY472-1)*100)&gt;100,"NM",IF(((BG472/AY472-1)*100)&lt;-50,"NM",(BG472/AY472-1)*100)))</f>
        <v>-1.0638297872340385</v>
      </c>
      <c r="BI472" s="72">
        <v>18.600000000000001</v>
      </c>
      <c r="BJ472" s="61">
        <f>IF(ISERROR((BI472/BA472-1)*100),"NA",IF(((BI472/BA472-1)*100)&gt;100,"NM",IF(((BI472/BA472-1)*100)&lt;-50,"NM",(BI472/BA472-1)*100)))</f>
        <v>-1.0638297872340385</v>
      </c>
      <c r="BK472" s="72">
        <v>18.600000000000001</v>
      </c>
      <c r="BL472" s="61">
        <f>IF(ISERROR((BK472/BC472-1)*100),"NA",IF(((BK472/BC472-1)*100)&gt;100,"NM",IF(((BK472/BC472-1)*100)&lt;-50,"NM",(BK472/BC472-1)*100)))</f>
        <v>-1.0638297872340385</v>
      </c>
      <c r="BM472" s="72">
        <v>18.600000000000001</v>
      </c>
      <c r="BN472" s="61">
        <f>IF(ISERROR((BM472/BE472-1)*100),"NA",IF(((BM472/BE472-1)*100)&gt;100,"NM",IF(((BM472/BE472-1)*100)&lt;-50,"NM",(BM472/BE472-1)*100)))</f>
        <v>-1.0638297872340385</v>
      </c>
      <c r="BO472" s="72">
        <v>18.5</v>
      </c>
      <c r="BP472" s="61">
        <f>IF(ISERROR((BO472/BG472-1)*100),"NA",IF(((BO472/BG472-1)*100)&gt;100,"NM",IF(((BO472/BG472-1)*100)&lt;-50,"NM",(BO472/BG472-1)*100)))</f>
        <v>-0.53763440860216116</v>
      </c>
      <c r="BQ472" s="72">
        <v>18.399999999999999</v>
      </c>
      <c r="BR472" s="61">
        <f>IF(ISERROR((BQ472/BI472-1)*100),"NA",IF(((BQ472/BI472-1)*100)&gt;100,"NM",IF(((BQ472/BI472-1)*100)&lt;-50,"NM",(BQ472/BI472-1)*100)))</f>
        <v>-1.0752688172043112</v>
      </c>
      <c r="BS472" s="72">
        <v>18.399999999999999</v>
      </c>
      <c r="BT472" s="61">
        <f>IF(ISERROR((BS472/BK472-1)*100),"NA",IF(((BS472/BK472-1)*100)&gt;100,"NM",IF(((BS472/BK472-1)*100)&lt;-50,"NM",(BS472/BK472-1)*100)))</f>
        <v>-1.0752688172043112</v>
      </c>
      <c r="BU472" s="72">
        <v>18.399999999999999</v>
      </c>
      <c r="BV472" s="61">
        <f>IF(ISERROR((BU472/BM472-1)*100),"NA",IF(((BU472/BM472-1)*100)&gt;100,"NM",IF(((BU472/BM472-1)*100)&lt;-50,"NM",(BU472/BM472-1)*100)))</f>
        <v>-1.0752688172043112</v>
      </c>
      <c r="BW472" s="72">
        <v>18.399999999999999</v>
      </c>
      <c r="BX472" s="61">
        <f>IF(ISERROR((BW472/BO472-1)*100),"NA",IF(((BW472/BO472-1)*100)&gt;100,"NM",IF(((BW472/BO472-1)*100)&lt;-50,"NM",(BW472/BO472-1)*100)))</f>
        <v>-0.54054054054054612</v>
      </c>
      <c r="BY472" s="72">
        <v>18.399999999999999</v>
      </c>
      <c r="BZ472" s="61">
        <f>IF(ISERROR((BY472/BQ472-1)*100),"NA",IF(((BY472/BQ472-1)*100)&gt;100,"NM",IF(((BY472/BQ472-1)*100)&lt;-50,"NM",(BY472/BQ472-1)*100)))</f>
        <v>0</v>
      </c>
      <c r="CA472" s="72">
        <v>18.3</v>
      </c>
      <c r="CB472" s="61">
        <f>IF(ISERROR((CA472/BS472-1)*100),"NA",IF(((CA472/BS472-1)*100)&gt;100,"NM",IF(((CA472/BS472-1)*100)&lt;-50,"NM",(CA472/BS472-1)*100)))</f>
        <v>-0.54347826086955653</v>
      </c>
      <c r="CC472" s="72">
        <v>18.3</v>
      </c>
      <c r="CD472" s="61">
        <f>IF(ISERROR((CC472/BU472-1)*100),"NA",IF(((CC472/BU472-1)*100)&gt;100,"NM",IF(((CC472/BU472-1)*100)&lt;-50,"NM",(CC472/BU472-1)*100)))</f>
        <v>-0.54347826086955653</v>
      </c>
      <c r="CE472" s="72">
        <v>18.2</v>
      </c>
      <c r="CF472" s="61">
        <f>IF(ISERROR((CE472/BW472-1)*100),"NA",IF(((CE472/BW472-1)*100)&gt;100,"NM",IF(((CE472/BW472-1)*100)&lt;-50,"NM",(CE472/BW472-1)*100)))</f>
        <v>-1.0869565217391242</v>
      </c>
      <c r="CG472" s="72">
        <v>18</v>
      </c>
      <c r="CH472" s="61">
        <f>IF(ISERROR((CG472/BY472-1)*100),"NA",IF(((CG472/BY472-1)*100)&gt;100,"NM",IF(((CG472/BY472-1)*100)&lt;-50,"NM",(CG472/BY472-1)*100)))</f>
        <v>-2.1739130434782483</v>
      </c>
      <c r="CI472" s="72">
        <v>18.100000000000001</v>
      </c>
      <c r="CJ472" s="61">
        <f>IF(ISERROR((CI472/CA472-1)*100),"NA",IF(((CI472/CA472-1)*100)&gt;100,"NM",IF(((CI472/CA472-1)*100)&lt;-50,"NM",(CI472/CA472-1)*100)))</f>
        <v>-1.0928961748633892</v>
      </c>
      <c r="CK472" s="72">
        <v>18.2</v>
      </c>
      <c r="CL472" s="61">
        <f>IF(ISERROR((CK472/CC472-1)*100),"NA",IF(((CK472/CC472-1)*100)&gt;100,"NM",IF(((CK472/CC472-1)*100)&lt;-50,"NM",(CK472/CC472-1)*100)))</f>
        <v>-0.5464480874317057</v>
      </c>
      <c r="CM472" s="72">
        <v>18</v>
      </c>
      <c r="CN472" s="61">
        <f>IF(ISERROR((CM472/CE472-1)*100),"NA",IF(((CM472/CE472-1)*100)&gt;100,"NM",IF(((CM472/CE472-1)*100)&lt;-50,"NM",(CM472/CE472-1)*100)))</f>
        <v>-1.098901098901095</v>
      </c>
      <c r="CO472" s="72">
        <v>18</v>
      </c>
      <c r="CP472" s="61">
        <f>IF(ISERROR((CO472/CG472-1)*100),"NA",IF(((CO472/CG472-1)*100)&gt;100,"NM",IF(((CO472/CG472-1)*100)&lt;-50,"NM",(CO472/CG472-1)*100)))</f>
        <v>0</v>
      </c>
      <c r="CQ472" s="72">
        <v>18.100000000000001</v>
      </c>
      <c r="CR472" s="61">
        <f>IF(ISERROR((CQ472/CI472-1)*100),"NA",IF(((CQ472/CI472-1)*100)&gt;100,"NM",IF(((CQ472/CI472-1)*100)&lt;-50,"NM",(CQ472/CI472-1)*100)))</f>
        <v>0</v>
      </c>
      <c r="CS472" s="72">
        <v>18</v>
      </c>
      <c r="CT472" s="61">
        <f>IF(ISERROR((CS472/CK472-1)*100),"NA",IF(((CS472/CK472-1)*100)&gt;100,"NM",IF(((CS472/CK472-1)*100)&lt;-50,"NM",(CS472/CK472-1)*100)))</f>
        <v>-1.098901098901095</v>
      </c>
      <c r="CU472" s="72">
        <v>18</v>
      </c>
      <c r="CV472" s="61">
        <f>IF(ISERROR((CU472/CM472-1)*100),"NA",IF(((CU472/CM472-1)*100)&gt;100,"NM",IF(((CU472/CM472-1)*100)&lt;-50,"NM",(CU472/CM472-1)*100)))</f>
        <v>0</v>
      </c>
      <c r="CW472" s="72">
        <v>18</v>
      </c>
      <c r="CX472" s="61">
        <f>IF(ISERROR((CW472/CO472-1)*100),"NA",IF(((CW472/CO472-1)*100)&gt;100,"NM",IF(((CW472/CO472-1)*100)&lt;-50,"NM",(CW472/CO472-1)*100)))</f>
        <v>0</v>
      </c>
      <c r="CY472" s="72">
        <v>18</v>
      </c>
      <c r="CZ472" s="61">
        <f>IF(ISERROR((CY472/CQ472-1)*100),"NA",IF(((CY472/CQ472-1)*100)&gt;100,"NM",IF(((CY472/CQ472-1)*100)&lt;-50,"NM",(CY472/CQ472-1)*100)))</f>
        <v>-0.55248618784531356</v>
      </c>
      <c r="DA472" s="72">
        <v>18</v>
      </c>
      <c r="DB472" s="61">
        <f>IF(ISERROR((DA472/CS472-1)*100),"NA",IF(((DA472/CS472-1)*100)&gt;100,"NM",IF(((DA472/CS472-1)*100)&lt;-50,"NM",(DA472/CS472-1)*100)))</f>
        <v>0</v>
      </c>
      <c r="DC472" s="72">
        <v>18</v>
      </c>
      <c r="DD472" s="61">
        <f>IF(ISERROR((DC472/CU472-1)*100),"NA",IF(((DC472/CU472-1)*100)&gt;100,"NM",IF(((DC472/CU472-1)*100)&lt;-50,"NM",(DC472/CU472-1)*100)))</f>
        <v>0</v>
      </c>
      <c r="DE472" s="72">
        <v>18</v>
      </c>
      <c r="DF472" s="61">
        <f>IF(ISERROR((DE472/CW472-1)*100),"NA",IF(((DE472/CW472-1)*100)&gt;100,"NM",IF(((DE472/CW472-1)*100)&lt;-50,"NM",(DE472/CW472-1)*100)))</f>
        <v>0</v>
      </c>
      <c r="DG472" s="72">
        <v>18</v>
      </c>
      <c r="DH472" s="61">
        <f>IF(ISERROR((DG472/CY472-1)*100),"NA",IF(((DG472/CY472-1)*100)&gt;100,"NM",IF(((DG472/CY472-1)*100)&lt;-50,"NM",(DG472/CY472-1)*100)))</f>
        <v>0</v>
      </c>
      <c r="DI472" s="72">
        <v>18</v>
      </c>
      <c r="DJ472" s="61">
        <f>IF(ISERROR((DI472/DA472-1)*100),"NA",IF(((DI472/DA472-1)*100)&gt;100,"NM",IF(((DI472/DA472-1)*100)&lt;-50,"NM",(DI472/DA472-1)*100)))</f>
        <v>0</v>
      </c>
      <c r="DK472" s="72">
        <v>18</v>
      </c>
      <c r="DL472" s="61">
        <f>IF(ISERROR((DK472/DC472-1)*100),"NA",IF(((DK472/DC472-1)*100)&gt;100,"NM",IF(((DK472/DC472-1)*100)&lt;-50,"NM",(DK472/DC472-1)*100)))</f>
        <v>0</v>
      </c>
      <c r="DM472" s="72">
        <v>18</v>
      </c>
      <c r="DN472" s="130">
        <f t="shared" si="2389"/>
        <v>0</v>
      </c>
      <c r="DO472" s="72">
        <v>18</v>
      </c>
      <c r="DP472" s="130">
        <f t="shared" si="2389"/>
        <v>0</v>
      </c>
      <c r="DQ472" s="72">
        <v>18</v>
      </c>
      <c r="DR472" s="130">
        <f t="shared" si="2389"/>
        <v>0</v>
      </c>
      <c r="DS472" s="72">
        <v>18</v>
      </c>
      <c r="DT472" s="130">
        <f t="shared" si="2389"/>
        <v>0</v>
      </c>
      <c r="DU472" s="72">
        <v>18</v>
      </c>
      <c r="DV472" s="130">
        <f t="shared" si="2389"/>
        <v>0</v>
      </c>
      <c r="DW472" s="72">
        <v>18</v>
      </c>
      <c r="DX472" s="72">
        <v>18</v>
      </c>
      <c r="DY472" s="72">
        <v>18</v>
      </c>
      <c r="DZ472" s="130">
        <f t="shared" si="2389"/>
        <v>0</v>
      </c>
      <c r="EA472" s="72">
        <v>18</v>
      </c>
      <c r="EB472" s="130">
        <f t="shared" si="2392"/>
        <v>0</v>
      </c>
      <c r="EC472" s="72">
        <v>18</v>
      </c>
      <c r="ED472" s="130">
        <f t="shared" si="2393"/>
        <v>0</v>
      </c>
      <c r="EE472" s="72">
        <v>18</v>
      </c>
      <c r="EF472" s="130">
        <f t="shared" si="2395"/>
        <v>0</v>
      </c>
      <c r="EG472" s="72">
        <v>18</v>
      </c>
      <c r="EH472" s="130">
        <f t="shared" si="2396"/>
        <v>0</v>
      </c>
      <c r="EI472" s="72">
        <v>18</v>
      </c>
      <c r="EJ472" s="130">
        <f t="shared" si="2398"/>
        <v>0</v>
      </c>
      <c r="EK472" s="72">
        <v>4</v>
      </c>
      <c r="EL472" s="130" t="str">
        <f t="shared" si="2399"/>
        <v>NM</v>
      </c>
      <c r="EM472" s="72">
        <v>0</v>
      </c>
      <c r="EN472" s="130" t="str">
        <f t="shared" si="2401"/>
        <v>NM</v>
      </c>
      <c r="EO472" s="72">
        <v>0</v>
      </c>
      <c r="EP472" s="130" t="str">
        <f t="shared" si="2403"/>
        <v>NM</v>
      </c>
      <c r="EQ472" s="72">
        <f t="shared" ref="EQ472" si="2412">EO472</f>
        <v>0</v>
      </c>
      <c r="ER472" s="130" t="str">
        <f t="shared" si="2405"/>
        <v>NM</v>
      </c>
      <c r="ES472" s="72">
        <f t="shared" ref="ES472" si="2413">EQ472</f>
        <v>0</v>
      </c>
      <c r="ET472" s="130" t="str">
        <f t="shared" si="2407"/>
        <v>NM</v>
      </c>
      <c r="EU472" s="72">
        <f t="shared" ref="EU472" si="2414">ES472</f>
        <v>0</v>
      </c>
      <c r="EV472" s="130" t="str">
        <f t="shared" si="2409"/>
        <v>NA</v>
      </c>
      <c r="EW472" s="72">
        <f t="shared" ref="EW472" si="2415">EU472</f>
        <v>0</v>
      </c>
      <c r="EX472" s="130" t="str">
        <f t="shared" si="2411"/>
        <v>NA</v>
      </c>
      <c r="EY472" s="74"/>
      <c r="EZ472" s="558"/>
      <c r="FA472" s="74"/>
      <c r="FB472" s="72"/>
      <c r="FC472" s="268"/>
      <c r="FD472" s="72"/>
      <c r="FE472" s="126"/>
      <c r="FF472" s="69"/>
      <c r="FG472" s="126"/>
      <c r="FH472" s="69"/>
      <c r="FI472" s="126"/>
      <c r="FJ472" s="69"/>
      <c r="FK472" s="126"/>
      <c r="FL472" s="69"/>
      <c r="FM472" s="126"/>
      <c r="FN472" s="69"/>
      <c r="FO472" s="126"/>
      <c r="FP472" s="73">
        <f>AQ472+AS472+AU472+AW472</f>
        <v>75.599999999999994</v>
      </c>
      <c r="FQ472" s="61" t="str">
        <f>IF(ISERROR((FP472/FN472-1)*100),"NA",IF(((FP472/FN472-1)*100)&gt;100,"NM",IF(((FP472/FN472-1)*100)&lt;-50,"NM",(FP472/FN472-1)*100)))</f>
        <v>NA</v>
      </c>
      <c r="FR472" s="73">
        <f>AY472+BA472+BC472+BE472</f>
        <v>75.2</v>
      </c>
      <c r="FS472" s="61">
        <f>IF(ISERROR((FR472/FP472-1)*100),"NA",IF(((FR472/FP472-1)*100)&gt;100,"NM",IF(((FR472/FP472-1)*100)&lt;-50,"NM",(FR472/FP472-1)*100)))</f>
        <v>-0.52910052910051242</v>
      </c>
      <c r="FT472" s="73">
        <f>BG472+BI472+BK472+BM472</f>
        <v>74.400000000000006</v>
      </c>
      <c r="FU472" s="61">
        <f>IF(ISERROR((FT472/FR472-1)*100),"NA",IF(((FT472/FR472-1)*100)&gt;100,"NM",IF(((FT472/FR472-1)*100)&lt;-50,"NM",(FT472/FR472-1)*100)))</f>
        <v>-1.0638297872340385</v>
      </c>
      <c r="FV472" s="73">
        <f>BO472+BQ472+BS472+BU472</f>
        <v>73.699999999999989</v>
      </c>
      <c r="FW472" s="61">
        <f>IF(ISERROR((FV472/FT472-1)*100),"NA",IF(((FV472/FT472-1)*100)&gt;100,"NM",IF(((FV472/FT472-1)*100)&lt;-50,"NM",(FV472/FT472-1)*100)))</f>
        <v>-0.94086021505378481</v>
      </c>
      <c r="FX472" s="73">
        <f>BW472+BY472+CA472+CC472</f>
        <v>73.399999999999991</v>
      </c>
      <c r="FY472" s="61">
        <f>IF(ISERROR((FX472/FV472-1)*100),"NA",IF(((FX472/FV472-1)*100)&gt;100,"NM",IF(((FX472/FV472-1)*100)&lt;-50,"NM",(FX472/FV472-1)*100)))</f>
        <v>-0.4070556309362261</v>
      </c>
      <c r="FZ472" s="73">
        <f>CE472+CG472+CI472+CK472</f>
        <v>72.5</v>
      </c>
      <c r="GA472" s="61">
        <f>IF(ISERROR((FZ472/FX472-1)*100),"NA",IF(((FZ472/FX472-1)*100)&gt;100,"NM",IF(((FZ472/FX472-1)*100)&lt;-50,"NM",(FZ472/FX472-1)*100)))</f>
        <v>-1.2261580381471293</v>
      </c>
      <c r="GB472" s="73">
        <f>CM472+CO472+CQ472+CS472</f>
        <v>72.099999999999994</v>
      </c>
      <c r="GC472" s="61">
        <f>IF(ISERROR((GB472/FZ472-1)*100),"NA",IF(((GB472/FZ472-1)*100)&gt;100,"NM",IF(((GB472/FZ472-1)*100)&lt;-50,"NM",(GB472/FZ472-1)*100)))</f>
        <v>-0.55172413793104225</v>
      </c>
      <c r="GD472" s="73">
        <f>CU472+CW472+CY472+DA472</f>
        <v>72</v>
      </c>
      <c r="GE472" s="61">
        <f>IF(ISERROR((GD472/GB472-1)*100),"NA",IF(((GD472/GB472-1)*100)&gt;100,"NM",IF(((GD472/GB472-1)*100)&lt;-50,"NM",(GD472/GB472-1)*100)))</f>
        <v>-0.13869625520109841</v>
      </c>
      <c r="GF472" s="73">
        <f>DC472+DE472+DG472+DI472</f>
        <v>72</v>
      </c>
      <c r="GG472" s="61">
        <f>IF(ISERROR((GF472/GD472-1)*100),"NA",IF(((GF472/GD472-1)*100)&gt;100,"NM",IF(((GF472/GD472-1)*100)&lt;-50,"NM",(GF472/GD472-1)*100)))</f>
        <v>0</v>
      </c>
      <c r="GH472" s="73">
        <f>DK472+DM472+DO472+DQ472</f>
        <v>72</v>
      </c>
      <c r="GI472" s="61">
        <f>IF(ISERROR((GH472/GF472-1)*100),"NA",IF(((GH472/GF472-1)*100)&gt;100,"NM",IF(((GH472/GF472-1)*100)&lt;-50,"NM",(GH472/GF472-1)*100)))</f>
        <v>0</v>
      </c>
      <c r="GJ472" s="73">
        <f>DS472+DU472+DW472+DY472</f>
        <v>72</v>
      </c>
      <c r="GK472" s="61">
        <f>IF(ISERROR((GJ472/GH472-1)*100),"NA",IF(((GJ472/GH472-1)*100)&gt;100,"NM",IF(((GJ472/GH472-1)*100)&lt;-50,"NM",(GJ472/GH472-1)*100)))</f>
        <v>0</v>
      </c>
      <c r="GL472" s="73">
        <f>EA472+EC472+EE472+EG472</f>
        <v>72</v>
      </c>
      <c r="GM472" s="61">
        <f>IF(ISERROR((GL472/GJ472-1)*100),"NA",IF(((GL472/GJ472-1)*100)&gt;100,"NM",IF(((GL472/GJ472-1)*100)&lt;-50,"NM",(GL472/GJ472-1)*100)))</f>
        <v>0</v>
      </c>
      <c r="GN472" s="73">
        <f>EI472+EK472+EM472+EO472</f>
        <v>22</v>
      </c>
      <c r="GO472" s="61" t="str">
        <f>IF(ISERROR((GN472/GL472-1)*100),"NA",IF(((GN472/GL472-1)*100)&gt;100,"NM",IF(((GN472/GL472-1)*100)&lt;-50,"NM",(GN472/GL472-1)*100)))</f>
        <v>NM</v>
      </c>
      <c r="GP472" s="73">
        <f>EQ472+ES472+EU472+EW472</f>
        <v>0</v>
      </c>
      <c r="GQ472" s="61" t="str">
        <f>IF(ISERROR((GP472/GN472-1)*100),"NA",IF(((GP472/GN472-1)*100)&gt;100,"NM",IF(((GP472/GN472-1)*100)&lt;-50,"NM",(GP472/GN472-1)*100)))</f>
        <v>NM</v>
      </c>
      <c r="GR472" s="72">
        <f>GP472</f>
        <v>0</v>
      </c>
      <c r="GS472" s="61" t="str">
        <f>IF(ISERROR((GR472/GP472-1)*100),"NA",IF(((GR472/GP472-1)*100)&gt;100,"NM",IF(((GR472/GP472-1)*100)&lt;-50,"NM",(GR472/GP472-1)*100)))</f>
        <v>NA</v>
      </c>
      <c r="GT472" s="72">
        <f>GR472</f>
        <v>0</v>
      </c>
      <c r="GU472" s="61" t="str">
        <f>IF(ISERROR((GT472/GR472-1)*100),"NA",IF(((GT472/GR472-1)*100)&gt;100,"NM",IF(((GT472/GR472-1)*100)&lt;-50,"NM",(GT472/GR472-1)*100)))</f>
        <v>NA</v>
      </c>
      <c r="GV472" s="72">
        <f>GT472</f>
        <v>0</v>
      </c>
      <c r="GW472" s="61" t="str">
        <f>IF(ISERROR((GV472/GT472-1)*100),"NA",IF(((GV472/GT472-1)*100)&gt;100,"NM",IF(((GV472/GT472-1)*100)&lt;-50,"NM",(GV472/GT472-1)*100)))</f>
        <v>NA</v>
      </c>
      <c r="GX472" s="72">
        <f>GV472</f>
        <v>0</v>
      </c>
      <c r="GY472" s="61" t="str">
        <f>IF(ISERROR((GX472/GV472-1)*100),"NA",IF(((GX472/GV472-1)*100)&gt;100,"NM",IF(((GX472/GV472-1)*100)&lt;-50,"NM",(GX472/GV472-1)*100)))</f>
        <v>NA</v>
      </c>
      <c r="GZ472" s="61" t="str">
        <f t="shared" si="2388"/>
        <v>NM</v>
      </c>
      <c r="HA472" s="61"/>
      <c r="HB472" s="452"/>
      <c r="HC472"/>
      <c r="HD472"/>
      <c r="HE472"/>
      <c r="HF472"/>
      <c r="HG472"/>
      <c r="HH472"/>
    </row>
    <row r="473" spans="1:216" s="5" customFormat="1" ht="12.75" customHeight="1" x14ac:dyDescent="0.2">
      <c r="A473" s="7"/>
      <c r="B473" s="2" t="s">
        <v>220</v>
      </c>
      <c r="C473" s="269"/>
      <c r="D473" s="60"/>
      <c r="E473" s="269"/>
      <c r="F473" s="59"/>
      <c r="G473" s="269"/>
      <c r="H473" s="59"/>
      <c r="I473" s="269"/>
      <c r="J473" s="59"/>
      <c r="K473" s="269"/>
      <c r="L473" s="61"/>
      <c r="M473" s="269"/>
      <c r="N473" s="61"/>
      <c r="O473" s="269"/>
      <c r="P473" s="61"/>
      <c r="Q473" s="269"/>
      <c r="R473" s="61"/>
      <c r="S473" s="269"/>
      <c r="T473" s="61"/>
      <c r="U473" s="269"/>
      <c r="V473" s="61"/>
      <c r="W473" s="269"/>
      <c r="X473" s="61"/>
      <c r="Y473" s="269"/>
      <c r="Z473" s="61"/>
      <c r="AA473" s="269"/>
      <c r="AB473" s="61"/>
      <c r="AC473" s="269"/>
      <c r="AD473" s="61"/>
      <c r="AE473" s="269"/>
      <c r="AF473" s="61"/>
      <c r="AG473" s="269"/>
      <c r="AH473" s="61"/>
      <c r="AI473" s="269"/>
      <c r="AJ473" s="61"/>
      <c r="AK473" s="269"/>
      <c r="AL473" s="61"/>
      <c r="AM473" s="269"/>
      <c r="AN473" s="61"/>
      <c r="AO473" s="269"/>
      <c r="AP473" s="61"/>
      <c r="AQ473" s="269">
        <f>AQ471+AQ472</f>
        <v>21.2</v>
      </c>
      <c r="AR473" s="61" t="str">
        <f>IF(ISERROR((AQ473/AI473-1)*100),"NA",IF(((AQ473/AI473-1)*100)&gt;100,"NM",IF(((AQ473/AI473-1)*100)&lt;-50,"NM",(AQ473/AI473-1)*100)))</f>
        <v>NA</v>
      </c>
      <c r="AS473" s="269">
        <f>AS471+AS472</f>
        <v>79.199999999999989</v>
      </c>
      <c r="AT473" s="61" t="str">
        <f>IF(ISERROR((AS473/AK473-1)*100),"NA",IF(((AS473/AK473-1)*100)&gt;100,"NM",IF(((AS473/AK473-1)*100)&lt;-50,"NM",(AS473/AK473-1)*100)))</f>
        <v>NA</v>
      </c>
      <c r="AU473" s="269">
        <f>AU471+AU472</f>
        <v>45.9</v>
      </c>
      <c r="AV473" s="61" t="str">
        <f>IF(ISERROR((AU473/AM473-1)*100),"NA",IF(((AU473/AM473-1)*100)&gt;100,"NM",IF(((AU473/AM473-1)*100)&lt;-50,"NM",(AU473/AM473-1)*100)))</f>
        <v>NA</v>
      </c>
      <c r="AW473" s="269">
        <f>AW471+AW472</f>
        <v>28.9</v>
      </c>
      <c r="AX473" s="61" t="str">
        <f>IF(ISERROR((AW473/AO473-1)*100),"NA",IF(((AW473/AO473-1)*100)&gt;100,"NM",IF(((AW473/AO473-1)*100)&lt;-50,"NM",(AW473/AO473-1)*100)))</f>
        <v>NA</v>
      </c>
      <c r="AY473" s="270">
        <f>AY471+AY472</f>
        <v>31.700000000000003</v>
      </c>
      <c r="AZ473" s="61">
        <f>IF(ISERROR((AY473/AQ473-1)*100),"NA",IF(((AY473/AQ473-1)*100)&gt;100,"NM",IF(((AY473/AQ473-1)*100)&lt;-50,"NM",(AY473/AQ473-1)*100)))</f>
        <v>49.52830188679247</v>
      </c>
      <c r="BA473" s="270">
        <f>BA471+BA472</f>
        <v>67.599999999999994</v>
      </c>
      <c r="BB473" s="61">
        <f>IF(ISERROR((BA473/AS473-1)*100),"NA",IF(((BA473/AS473-1)*100)&gt;100,"NM",IF(((BA473/AS473-1)*100)&lt;-50,"NM",(BA473/AS473-1)*100)))</f>
        <v>-14.64646464646464</v>
      </c>
      <c r="BC473" s="270">
        <f>BC471+BC472</f>
        <v>51.5</v>
      </c>
      <c r="BD473" s="61">
        <f>IF(ISERROR((BC473/AU473-1)*100),"NA",IF(((BC473/AU473-1)*100)&gt;100,"NM",IF(((BC473/AU473-1)*100)&lt;-50,"NM",(BC473/AU473-1)*100)))</f>
        <v>12.200435729847502</v>
      </c>
      <c r="BE473" s="270">
        <f>BE471+BE472</f>
        <v>45.6</v>
      </c>
      <c r="BF473" s="61">
        <f>IF(ISERROR((BE473/AW473-1)*100),"NA",IF(((BE473/AW473-1)*100)&gt;100,"NM",IF(((BE473/AW473-1)*100)&lt;-50,"NM",(BE473/AW473-1)*100)))</f>
        <v>57.785467128027705</v>
      </c>
      <c r="BG473" s="270">
        <f>BG471+BG472</f>
        <v>108.79999999999998</v>
      </c>
      <c r="BH473" s="61" t="str">
        <f>IF(ISERROR((BG473/AY473-1)*100),"NA",IF(((BG473/AY473-1)*100)&gt;100,"NM",IF(((BG473/AY473-1)*100)&lt;-50,"NM",(BG473/AY473-1)*100)))</f>
        <v>NM</v>
      </c>
      <c r="BI473" s="270">
        <f>BI471+BI472</f>
        <v>123.6</v>
      </c>
      <c r="BJ473" s="61">
        <f>IF(ISERROR((BI473/BA473-1)*100),"NA",IF(((BI473/BA473-1)*100)&gt;100,"NM",IF(((BI473/BA473-1)*100)&lt;-50,"NM",(BI473/BA473-1)*100)))</f>
        <v>82.84023668639054</v>
      </c>
      <c r="BK473" s="270">
        <f>BK471+BK472</f>
        <v>112.9</v>
      </c>
      <c r="BL473" s="61" t="str">
        <f>IF(ISERROR((BK473/BC473-1)*100),"NA",IF(((BK473/BC473-1)*100)&gt;100,"NM",IF(((BK473/BC473-1)*100)&lt;-50,"NM",(BK473/BC473-1)*100)))</f>
        <v>NM</v>
      </c>
      <c r="BM473" s="270">
        <f>BM471+BM472</f>
        <v>127.9</v>
      </c>
      <c r="BN473" s="61" t="str">
        <f>IF(ISERROR((BM473/BE473-1)*100),"NA",IF(((BM473/BE473-1)*100)&gt;100,"NM",IF(((BM473/BE473-1)*100)&lt;-50,"NM",(BM473/BE473-1)*100)))</f>
        <v>NM</v>
      </c>
      <c r="BO473" s="270">
        <f>BO471+BO472</f>
        <v>118</v>
      </c>
      <c r="BP473" s="61">
        <f>IF(ISERROR((BO473/BG473-1)*100),"NA",IF(((BO473/BG473-1)*100)&gt;100,"NM",IF(((BO473/BG473-1)*100)&lt;-50,"NM",(BO473/BG473-1)*100)))</f>
        <v>8.4558823529411917</v>
      </c>
      <c r="BQ473" s="270">
        <f>BQ471+BQ472</f>
        <v>110.1</v>
      </c>
      <c r="BR473" s="61">
        <f>IF(ISERROR((BQ473/BI473-1)*100),"NA",IF(((BQ473/BI473-1)*100)&gt;100,"NM",IF(((BQ473/BI473-1)*100)&lt;-50,"NM",(BQ473/BI473-1)*100)))</f>
        <v>-10.922330097087373</v>
      </c>
      <c r="BS473" s="270">
        <f>BS471+BS472</f>
        <v>136.19999999999999</v>
      </c>
      <c r="BT473" s="61">
        <f>IF(ISERROR((BS473/BK473-1)*100),"NA",IF(((BS473/BK473-1)*100)&gt;100,"NM",IF(((BS473/BK473-1)*100)&lt;-50,"NM",(BS473/BK473-1)*100)))</f>
        <v>20.637732506643026</v>
      </c>
      <c r="BU473" s="270">
        <f>BU471+BU472</f>
        <v>121.6</v>
      </c>
      <c r="BV473" s="61">
        <f>IF(ISERROR((BU473/BM473-1)*100),"NA",IF(((BU473/BM473-1)*100)&gt;100,"NM",IF(((BU473/BM473-1)*100)&lt;-50,"NM",(BU473/BM473-1)*100)))</f>
        <v>-4.9257232212666207</v>
      </c>
      <c r="BW473" s="270">
        <f>BW471+BW472</f>
        <v>105.4</v>
      </c>
      <c r="BX473" s="61">
        <f>IF(ISERROR((BW473/BO473-1)*100),"NA",IF(((BW473/BO473-1)*100)&gt;100,"NM",IF(((BW473/BO473-1)*100)&lt;-50,"NM",(BW473/BO473-1)*100)))</f>
        <v>-10.677966101694913</v>
      </c>
      <c r="BY473" s="270">
        <f>BY471+BY472</f>
        <v>115.4</v>
      </c>
      <c r="BZ473" s="61">
        <f>IF(ISERROR((BY473/BQ473-1)*100),"NA",IF(((BY473/BQ473-1)*100)&gt;100,"NM",IF(((BY473/BQ473-1)*100)&lt;-50,"NM",(BY473/BQ473-1)*100)))</f>
        <v>4.8138056312443389</v>
      </c>
      <c r="CA473" s="270">
        <f>CA471+CA472</f>
        <v>119.6</v>
      </c>
      <c r="CB473" s="61">
        <f>IF(ISERROR((CA473/BS473-1)*100),"NA",IF(((CA473/BS473-1)*100)&gt;100,"NM",IF(((CA473/BS473-1)*100)&lt;-50,"NM",(CA473/BS473-1)*100)))</f>
        <v>-12.187958883994121</v>
      </c>
      <c r="CC473" s="270">
        <f>CC471+CC472</f>
        <v>126.4</v>
      </c>
      <c r="CD473" s="61">
        <f>IF(ISERROR((CC473/BU473-1)*100),"NA",IF(((CC473/BU473-1)*100)&gt;100,"NM",IF(((CC473/BU473-1)*100)&lt;-50,"NM",(CC473/BU473-1)*100)))</f>
        <v>3.9473684210526327</v>
      </c>
      <c r="CE473" s="270">
        <f>CE471+CE472</f>
        <v>123.9</v>
      </c>
      <c r="CF473" s="61">
        <f>IF(ISERROR((CE473/BW473-1)*100),"NA",IF(((CE473/BW473-1)*100)&gt;100,"NM",IF(((CE473/BW473-1)*100)&lt;-50,"NM",(CE473/BW473-1)*100)))</f>
        <v>17.552182163187858</v>
      </c>
      <c r="CG473" s="270">
        <f>CG471+CG472</f>
        <v>120.6</v>
      </c>
      <c r="CH473" s="61">
        <f>IF(ISERROR((CG473/BY473-1)*100),"NA",IF(((CG473/BY473-1)*100)&gt;100,"NM",IF(((CG473/BY473-1)*100)&lt;-50,"NM",(CG473/BY473-1)*100)))</f>
        <v>4.5060658578855994</v>
      </c>
      <c r="CI473" s="270">
        <f>CI471+CI472</f>
        <v>121.6</v>
      </c>
      <c r="CJ473" s="61">
        <f>IF(ISERROR((CI473/CA473-1)*100),"NA",IF(((CI473/CA473-1)*100)&gt;100,"NM",IF(((CI473/CA473-1)*100)&lt;-50,"NM",(CI473/CA473-1)*100)))</f>
        <v>1.6722408026755842</v>
      </c>
      <c r="CK473" s="270">
        <f>CK471+CK472</f>
        <v>121.6</v>
      </c>
      <c r="CL473" s="61">
        <f>IF(ISERROR((CK473/CC473-1)*100),"NA",IF(((CK473/CC473-1)*100)&gt;100,"NM",IF(((CK473/CC473-1)*100)&lt;-50,"NM",(CK473/CC473-1)*100)))</f>
        <v>-3.7974683544303889</v>
      </c>
      <c r="CM473" s="270">
        <v>118</v>
      </c>
      <c r="CN473" s="61">
        <f>IF(ISERROR((CM473/CE473-1)*100),"NA",IF(((CM473/CE473-1)*100)&gt;100,"NM",IF(((CM473/CE473-1)*100)&lt;-50,"NM",(CM473/CE473-1)*100)))</f>
        <v>-4.7619047619047672</v>
      </c>
      <c r="CO473" s="365">
        <v>114</v>
      </c>
      <c r="CP473" s="61">
        <f>IF(ISERROR((CO473/CG473-1)*100),"NA",IF(((CO473/CG473-1)*100)&gt;100,"NM",IF(((CO473/CG473-1)*100)&lt;-50,"NM",(CO473/CG473-1)*100)))</f>
        <v>-5.4726368159203957</v>
      </c>
      <c r="CQ473" s="365">
        <v>122</v>
      </c>
      <c r="CR473" s="61">
        <f>IF(ISERROR((CQ473/CI473-1)*100),"NA",IF(((CQ473/CI473-1)*100)&gt;100,"NM",IF(((CQ473/CI473-1)*100)&lt;-50,"NM",(CQ473/CI473-1)*100)))</f>
        <v>0.32894736842106198</v>
      </c>
      <c r="CS473" s="365">
        <v>109</v>
      </c>
      <c r="CT473" s="61">
        <f>IF(ISERROR((CS473/CK473-1)*100),"NA",IF(((CS473/CK473-1)*100)&gt;100,"NM",IF(((CS473/CK473-1)*100)&lt;-50,"NM",(CS473/CK473-1)*100)))</f>
        <v>-10.361842105263152</v>
      </c>
      <c r="CU473" s="365">
        <v>106</v>
      </c>
      <c r="CV473" s="61">
        <f>IF(ISERROR((CU473/CM473-1)*100),"NA",IF(((CU473/CM473-1)*100)&gt;100,"NM",IF(((CU473/CM473-1)*100)&lt;-50,"NM",(CU473/CM473-1)*100)))</f>
        <v>-10.169491525423723</v>
      </c>
      <c r="CW473" s="365">
        <v>113</v>
      </c>
      <c r="CX473" s="61">
        <f>IF(ISERROR((CW473/CO473-1)*100),"NA",IF(((CW473/CO473-1)*100)&gt;100,"NM",IF(((CW473/CO473-1)*100)&lt;-50,"NM",(CW473/CO473-1)*100)))</f>
        <v>-0.87719298245614308</v>
      </c>
      <c r="CY473" s="365">
        <v>101</v>
      </c>
      <c r="CZ473" s="61">
        <f>IF(ISERROR((CY473/CQ473-1)*100),"NA",IF(((CY473/CQ473-1)*100)&gt;100,"NM",IF(((CY473/CQ473-1)*100)&lt;-50,"NM",(CY473/CQ473-1)*100)))</f>
        <v>-17.213114754098356</v>
      </c>
      <c r="DA473" s="365">
        <v>103</v>
      </c>
      <c r="DB473" s="61">
        <f>IF(ISERROR((DA473/CS473-1)*100),"NA",IF(((DA473/CS473-1)*100)&gt;100,"NM",IF(((DA473/CS473-1)*100)&lt;-50,"NM",(DA473/CS473-1)*100)))</f>
        <v>-5.5045871559633035</v>
      </c>
      <c r="DC473" s="365">
        <v>102</v>
      </c>
      <c r="DD473" s="61">
        <f>IF(ISERROR((DC473/CU473-1)*100),"NA",IF(((DC473/CU473-1)*100)&gt;100,"NM",IF(((DC473/CU473-1)*100)&lt;-50,"NM",(DC473/CU473-1)*100)))</f>
        <v>-3.7735849056603765</v>
      </c>
      <c r="DE473" s="365">
        <v>102</v>
      </c>
      <c r="DF473" s="61">
        <f>IF(ISERROR((DE473/CW473-1)*100),"NA",IF(((DE473/CW473-1)*100)&gt;100,"NM",IF(((DE473/CW473-1)*100)&lt;-50,"NM",(DE473/CW473-1)*100)))</f>
        <v>-9.7345132743362868</v>
      </c>
      <c r="DG473" s="365">
        <v>100</v>
      </c>
      <c r="DH473" s="61">
        <f>IF(ISERROR((DG473/CY473-1)*100),"NA",IF(((DG473/CY473-1)*100)&gt;100,"NM",IF(((DG473/CY473-1)*100)&lt;-50,"NM",(DG473/CY473-1)*100)))</f>
        <v>-0.99009900990099098</v>
      </c>
      <c r="DI473" s="365">
        <v>111</v>
      </c>
      <c r="DJ473" s="61">
        <f>IF(ISERROR((DI473/DA473-1)*100),"NA",IF(((DI473/DA473-1)*100)&gt;100,"NM",IF(((DI473/DA473-1)*100)&lt;-50,"NM",(DI473/DA473-1)*100)))</f>
        <v>7.7669902912621325</v>
      </c>
      <c r="DK473" s="365">
        <v>106</v>
      </c>
      <c r="DL473" s="61">
        <f>IF(ISERROR((DK473/DC473-1)*100),"NA",IF(((DK473/DC473-1)*100)&gt;100,"NM",IF(((DK473/DC473-1)*100)&lt;-50,"NM",(DK473/DC473-1)*100)))</f>
        <v>3.9215686274509887</v>
      </c>
      <c r="DM473" s="365">
        <v>106</v>
      </c>
      <c r="DN473" s="130">
        <f t="shared" si="2389"/>
        <v>3.9215686274509887</v>
      </c>
      <c r="DO473" s="365">
        <v>103</v>
      </c>
      <c r="DP473" s="130">
        <f t="shared" si="2389"/>
        <v>3.0000000000000027</v>
      </c>
      <c r="DQ473" s="365">
        <v>117</v>
      </c>
      <c r="DR473" s="130">
        <f t="shared" si="2389"/>
        <v>5.4054054054053946</v>
      </c>
      <c r="DS473" s="365">
        <v>95</v>
      </c>
      <c r="DT473" s="130">
        <f t="shared" si="2389"/>
        <v>-10.377358490566035</v>
      </c>
      <c r="DU473" s="365">
        <v>96</v>
      </c>
      <c r="DV473" s="130">
        <f t="shared" si="2389"/>
        <v>-9.4339622641509422</v>
      </c>
      <c r="DW473" s="365">
        <v>96</v>
      </c>
      <c r="DX473" s="365">
        <v>96</v>
      </c>
      <c r="DY473" s="365">
        <v>86</v>
      </c>
      <c r="DZ473" s="130">
        <f t="shared" si="2389"/>
        <v>-26.49572649572649</v>
      </c>
      <c r="EA473" s="365">
        <v>82</v>
      </c>
      <c r="EB473" s="130">
        <f t="shared" si="2392"/>
        <v>-13.684210526315788</v>
      </c>
      <c r="EC473" s="365">
        <v>79</v>
      </c>
      <c r="ED473" s="130">
        <f t="shared" si="2393"/>
        <v>-17.708333333333336</v>
      </c>
      <c r="EE473" s="365">
        <v>84</v>
      </c>
      <c r="EF473" s="130">
        <f t="shared" si="2395"/>
        <v>-12.5</v>
      </c>
      <c r="EG473" s="365">
        <v>87</v>
      </c>
      <c r="EH473" s="130">
        <f t="shared" si="2396"/>
        <v>1.1627906976744207</v>
      </c>
      <c r="EI473" s="365">
        <v>88</v>
      </c>
      <c r="EJ473" s="130">
        <f t="shared" si="2398"/>
        <v>7.3170731707317138</v>
      </c>
      <c r="EK473" s="365">
        <v>67</v>
      </c>
      <c r="EL473" s="130">
        <f t="shared" si="2399"/>
        <v>-15.189873417721522</v>
      </c>
      <c r="EM473" s="365">
        <v>65</v>
      </c>
      <c r="EN473" s="130">
        <f t="shared" si="2401"/>
        <v>-22.619047619047617</v>
      </c>
      <c r="EO473" s="365">
        <v>68</v>
      </c>
      <c r="EP473" s="130">
        <f t="shared" si="2403"/>
        <v>-21.839080459770109</v>
      </c>
      <c r="EQ473" s="270">
        <f t="shared" ref="EQ473:EW473" si="2416">EQ471+EQ472</f>
        <v>68.339999999999989</v>
      </c>
      <c r="ER473" s="130">
        <f t="shared" si="2405"/>
        <v>-22.340909090909101</v>
      </c>
      <c r="ES473" s="270">
        <f t="shared" si="2416"/>
        <v>68.681699999999978</v>
      </c>
      <c r="ET473" s="130">
        <f t="shared" si="2407"/>
        <v>2.5099999999999678</v>
      </c>
      <c r="EU473" s="270">
        <f t="shared" si="2416"/>
        <v>69.025108499999973</v>
      </c>
      <c r="EV473" s="130">
        <f t="shared" si="2409"/>
        <v>6.1924746153845689</v>
      </c>
      <c r="EW473" s="270">
        <f t="shared" si="2416"/>
        <v>69.370234042499959</v>
      </c>
      <c r="EX473" s="130">
        <f t="shared" si="2411"/>
        <v>2.0150500624999346</v>
      </c>
      <c r="EY473" s="74"/>
      <c r="EZ473" s="558"/>
      <c r="FA473" s="74"/>
      <c r="FB473" s="270"/>
      <c r="FC473" s="268"/>
      <c r="FD473" s="270"/>
      <c r="FE473" s="126"/>
      <c r="FF473" s="270"/>
      <c r="FG473" s="126"/>
      <c r="FH473" s="270"/>
      <c r="FI473" s="126"/>
      <c r="FJ473" s="270"/>
      <c r="FK473" s="126"/>
      <c r="FL473" s="270"/>
      <c r="FM473" s="126"/>
      <c r="FN473" s="270"/>
      <c r="FO473" s="126"/>
      <c r="FP473" s="270">
        <f>FP471+FP472</f>
        <v>175.2</v>
      </c>
      <c r="FQ473" s="61" t="str">
        <f>IF(ISERROR((FP473/FN473-1)*100),"NA",IF(((FP473/FN473-1)*100)&gt;100,"NM",IF(((FP473/FN473-1)*100)&lt;-50,"NM",(FP473/FN473-1)*100)))</f>
        <v>NA</v>
      </c>
      <c r="FR473" s="270">
        <f>FR471+FR472</f>
        <v>196.4</v>
      </c>
      <c r="FS473" s="61">
        <f>IF(ISERROR((FR473/FP473-1)*100),"NA",IF(((FR473/FP473-1)*100)&gt;100,"NM",IF(((FR473/FP473-1)*100)&lt;-50,"NM",(FR473/FP473-1)*100)))</f>
        <v>12.100456621004586</v>
      </c>
      <c r="FT473" s="270">
        <f>FT471+FT472</f>
        <v>473.20000000000005</v>
      </c>
      <c r="FU473" s="61" t="str">
        <f>IF(ISERROR((FT473/FR473-1)*100),"NA",IF(((FT473/FR473-1)*100)&gt;100,"NM",IF(((FT473/FR473-1)*100)&lt;-50,"NM",(FT473/FR473-1)*100)))</f>
        <v>NM</v>
      </c>
      <c r="FV473" s="270">
        <f>FV471+FV472</f>
        <v>485.9</v>
      </c>
      <c r="FW473" s="61">
        <f>IF(ISERROR((FV473/FT473-1)*100),"NA",IF(((FV473/FT473-1)*100)&gt;100,"NM",IF(((FV473/FT473-1)*100)&lt;-50,"NM",(FV473/FT473-1)*100)))</f>
        <v>2.6838546069315239</v>
      </c>
      <c r="FX473" s="270">
        <f>FX471+FX472</f>
        <v>466.8</v>
      </c>
      <c r="FY473" s="61">
        <f>IF(ISERROR((FX473/FV473-1)*100),"NA",IF(((FX473/FV473-1)*100)&gt;100,"NM",IF(((FX473/FV473-1)*100)&lt;-50,"NM",(FX473/FV473-1)*100)))</f>
        <v>-3.9308499691294463</v>
      </c>
      <c r="FZ473" s="270">
        <f>FZ471+FZ472</f>
        <v>487.7</v>
      </c>
      <c r="GA473" s="61">
        <f>IF(ISERROR((FZ473/FX473-1)*100),"NA",IF(((FZ473/FX473-1)*100)&gt;100,"NM",IF(((FZ473/FX473-1)*100)&lt;-50,"NM",(FZ473/FX473-1)*100)))</f>
        <v>4.4772922022279227</v>
      </c>
      <c r="GB473" s="270">
        <f>GB471+GB472</f>
        <v>463</v>
      </c>
      <c r="GC473" s="61">
        <f>IF(ISERROR((GB473/FZ473-1)*100),"NA",IF(((GB473/FZ473-1)*100)&gt;100,"NM",IF(((GB473/FZ473-1)*100)&lt;-50,"NM",(GB473/FZ473-1)*100)))</f>
        <v>-5.0645888866106219</v>
      </c>
      <c r="GD473" s="270">
        <f>GD471+GD472</f>
        <v>423</v>
      </c>
      <c r="GE473" s="61">
        <f>IF(ISERROR((GD473/GB473-1)*100),"NA",IF(((GD473/GB473-1)*100)&gt;100,"NM",IF(((GD473/GB473-1)*100)&lt;-50,"NM",(GD473/GB473-1)*100)))</f>
        <v>-8.6393088552915724</v>
      </c>
      <c r="GF473" s="270">
        <f>GF471+GF472</f>
        <v>415</v>
      </c>
      <c r="GG473" s="61">
        <f>IF(ISERROR((GF473/GD473-1)*100),"NA",IF(((GF473/GD473-1)*100)&gt;100,"NM",IF(((GF473/GD473-1)*100)&lt;-50,"NM",(GF473/GD473-1)*100)))</f>
        <v>-1.891252955082745</v>
      </c>
      <c r="GH473" s="270">
        <f>GH471+GH472</f>
        <v>432</v>
      </c>
      <c r="GI473" s="61">
        <f>IF(ISERROR((GH473/GF473-1)*100),"NA",IF(((GH473/GF473-1)*100)&gt;100,"NM",IF(((GH473/GF473-1)*100)&lt;-50,"NM",(GH473/GF473-1)*100)))</f>
        <v>4.0963855421686679</v>
      </c>
      <c r="GJ473" s="270">
        <f>GJ471+GJ472</f>
        <v>373</v>
      </c>
      <c r="GK473" s="61">
        <f>IF(ISERROR((GJ473/GH473-1)*100),"NA",IF(((GJ473/GH473-1)*100)&gt;100,"NM",IF(((GJ473/GH473-1)*100)&lt;-50,"NM",(GJ473/GH473-1)*100)))</f>
        <v>-13.657407407407407</v>
      </c>
      <c r="GL473" s="270">
        <f>GL471+GL472</f>
        <v>332</v>
      </c>
      <c r="GM473" s="61">
        <f>IF(ISERROR((GL473/GJ473-1)*100),"NA",IF(((GL473/GJ473-1)*100)&gt;100,"NM",IF(((GL473/GJ473-1)*100)&lt;-50,"NM",(GL473/GJ473-1)*100)))</f>
        <v>-10.991957104557637</v>
      </c>
      <c r="GN473" s="270">
        <f>GN471+GN472</f>
        <v>288</v>
      </c>
      <c r="GO473" s="61">
        <f>IF(ISERROR((GN473/GL473-1)*100),"NA",IF(((GN473/GL473-1)*100)&gt;100,"NM",IF(((GN473/GL473-1)*100)&lt;-50,"NM",(GN473/GL473-1)*100)))</f>
        <v>-13.253012048192769</v>
      </c>
      <c r="GP473" s="270">
        <f>GP471+GP472</f>
        <v>275.41704254249987</v>
      </c>
      <c r="GQ473" s="61">
        <f>IF(ISERROR((GP473/GN473-1)*100),"NA",IF(((GP473/GN473-1)*100)&gt;100,"NM",IF(((GP473/GN473-1)*100)&lt;-50,"NM",(GP473/GN473-1)*100)))</f>
        <v>-4.3690824505208781</v>
      </c>
      <c r="GR473" s="270">
        <f>GR471+GR472</f>
        <v>278.17121296792487</v>
      </c>
      <c r="GS473" s="61">
        <f>IF(ISERROR((GR473/GP473-1)*100),"NA",IF(((GR473/GP473-1)*100)&gt;100,"NM",IF(((GR473/GP473-1)*100)&lt;-50,"NM",(GR473/GP473-1)*100)))</f>
        <v>1.0000000000000009</v>
      </c>
      <c r="GT473" s="270">
        <f>GT471+GT472</f>
        <v>286.51634935696262</v>
      </c>
      <c r="GU473" s="61">
        <f>IF(ISERROR((GT473/GR473-1)*100),"NA",IF(((GT473/GR473-1)*100)&gt;100,"NM",IF(((GT473/GR473-1)*100)&lt;-50,"NM",(GT473/GR473-1)*100)))</f>
        <v>3.0000000000000027</v>
      </c>
      <c r="GV473" s="270">
        <f>GV471+GV472</f>
        <v>295.11183983767148</v>
      </c>
      <c r="GW473" s="61">
        <f>IF(ISERROR((GV473/GT473-1)*100),"NA",IF(((GV473/GT473-1)*100)&gt;100,"NM",IF(((GV473/GT473-1)*100)&lt;-50,"NM",(GV473/GT473-1)*100)))</f>
        <v>3.0000000000000027</v>
      </c>
      <c r="GX473" s="270">
        <f>GX471+GX472</f>
        <v>303.96519503280166</v>
      </c>
      <c r="GY473" s="61">
        <f>IF(ISERROR((GX473/GV473-1)*100),"NA",IF(((GX473/GV473-1)*100)&gt;100,"NM",IF(((GX473/GV473-1)*100)&lt;-50,"NM",(GX473/GV473-1)*100)))</f>
        <v>3.0000000000000027</v>
      </c>
      <c r="GZ473" s="61">
        <f t="shared" si="2388"/>
        <v>1.0848972835629356</v>
      </c>
      <c r="HA473" s="61"/>
      <c r="HB473" s="452"/>
      <c r="HC473"/>
      <c r="HD473"/>
      <c r="HE473"/>
      <c r="HF473"/>
      <c r="HG473"/>
      <c r="HH473"/>
    </row>
    <row r="474" spans="1:216" s="5" customFormat="1" ht="12.75" customHeight="1" x14ac:dyDescent="0.2">
      <c r="A474" s="7"/>
      <c r="B474" s="2"/>
      <c r="C474" s="269"/>
      <c r="D474" s="60"/>
      <c r="E474" s="269"/>
      <c r="F474" s="59"/>
      <c r="G474" s="269"/>
      <c r="H474" s="59"/>
      <c r="I474" s="269"/>
      <c r="J474" s="59"/>
      <c r="K474" s="269"/>
      <c r="L474" s="61"/>
      <c r="M474" s="269"/>
      <c r="N474" s="61"/>
      <c r="O474" s="269"/>
      <c r="P474" s="61"/>
      <c r="Q474" s="269"/>
      <c r="R474" s="61"/>
      <c r="S474" s="269"/>
      <c r="T474" s="61"/>
      <c r="U474" s="269"/>
      <c r="V474" s="61"/>
      <c r="W474" s="269"/>
      <c r="X474" s="61"/>
      <c r="Y474" s="269"/>
      <c r="Z474" s="61"/>
      <c r="AA474" s="269"/>
      <c r="AB474" s="61"/>
      <c r="AC474" s="269"/>
      <c r="AD474" s="61"/>
      <c r="AE474" s="269"/>
      <c r="AF474" s="61"/>
      <c r="AG474" s="269"/>
      <c r="AH474" s="61"/>
      <c r="AI474" s="269"/>
      <c r="AJ474" s="61"/>
      <c r="AK474" s="269"/>
      <c r="AL474" s="61"/>
      <c r="AM474" s="269"/>
      <c r="AN474" s="61"/>
      <c r="AO474" s="269"/>
      <c r="AP474" s="61"/>
      <c r="AQ474" s="269"/>
      <c r="AR474" s="61"/>
      <c r="AS474" s="269"/>
      <c r="AT474" s="61"/>
      <c r="AU474" s="269"/>
      <c r="AV474" s="61"/>
      <c r="AW474" s="269"/>
      <c r="AX474" s="61"/>
      <c r="AY474" s="269"/>
      <c r="AZ474" s="61"/>
      <c r="BA474" s="269"/>
      <c r="BB474" s="61"/>
      <c r="BC474" s="269"/>
      <c r="BD474" s="61"/>
      <c r="BE474" s="269"/>
      <c r="BF474" s="61"/>
      <c r="BG474" s="269"/>
      <c r="BH474" s="61"/>
      <c r="BI474" s="269"/>
      <c r="BJ474" s="61"/>
      <c r="BK474" s="269"/>
      <c r="BL474" s="61"/>
      <c r="BM474" s="269"/>
      <c r="BN474" s="61"/>
      <c r="BO474" s="269"/>
      <c r="BP474" s="61"/>
      <c r="BQ474" s="269"/>
      <c r="BR474" s="61"/>
      <c r="BS474" s="269"/>
      <c r="BT474" s="61"/>
      <c r="BU474" s="269"/>
      <c r="BV474" s="61"/>
      <c r="BW474" s="269"/>
      <c r="BX474" s="61"/>
      <c r="BY474" s="269"/>
      <c r="BZ474" s="61"/>
      <c r="CA474" s="269"/>
      <c r="CB474" s="61"/>
      <c r="CC474" s="269"/>
      <c r="CD474" s="61"/>
      <c r="CE474" s="269"/>
      <c r="CF474" s="61"/>
      <c r="CG474" s="269"/>
      <c r="CH474" s="61"/>
      <c r="CI474" s="269"/>
      <c r="CJ474" s="61"/>
      <c r="CK474" s="269"/>
      <c r="CL474" s="61"/>
      <c r="CM474" s="269"/>
      <c r="CN474" s="61"/>
      <c r="CO474" s="269"/>
      <c r="CP474" s="61"/>
      <c r="CQ474" s="269"/>
      <c r="CR474" s="61"/>
      <c r="CS474" s="269"/>
      <c r="CT474" s="61"/>
      <c r="CU474" s="269"/>
      <c r="CV474" s="61"/>
      <c r="CW474" s="269"/>
      <c r="CX474" s="61"/>
      <c r="CY474" s="269"/>
      <c r="CZ474" s="61"/>
      <c r="DA474" s="269"/>
      <c r="DB474" s="61"/>
      <c r="DC474" s="269"/>
      <c r="DD474" s="61"/>
      <c r="DE474" s="269"/>
      <c r="DF474" s="61"/>
      <c r="DG474" s="269"/>
      <c r="DH474" s="61"/>
      <c r="DI474" s="269"/>
      <c r="DJ474" s="61"/>
      <c r="DK474" s="269"/>
      <c r="DL474" s="61"/>
      <c r="DM474" s="269"/>
      <c r="DN474" s="61"/>
      <c r="DO474" s="269"/>
      <c r="DP474" s="61"/>
      <c r="DQ474" s="269"/>
      <c r="DR474" s="61"/>
      <c r="DS474" s="269"/>
      <c r="DT474" s="61"/>
      <c r="DU474" s="269"/>
      <c r="DV474" s="61"/>
      <c r="DW474" s="269"/>
      <c r="DX474" s="269"/>
      <c r="DY474" s="269"/>
      <c r="DZ474" s="61"/>
      <c r="EA474" s="269"/>
      <c r="EB474" s="61"/>
      <c r="EC474" s="269"/>
      <c r="ED474" s="61"/>
      <c r="EE474" s="269"/>
      <c r="EF474" s="61"/>
      <c r="EG474" s="269"/>
      <c r="EH474" s="61"/>
      <c r="EI474" s="269"/>
      <c r="EJ474" s="61"/>
      <c r="EK474" s="269"/>
      <c r="EL474" s="61"/>
      <c r="EM474" s="269"/>
      <c r="EN474" s="61"/>
      <c r="EO474" s="269"/>
      <c r="EP474" s="61"/>
      <c r="EQ474" s="269"/>
      <c r="ER474" s="61"/>
      <c r="ES474" s="269"/>
      <c r="ET474" s="61"/>
      <c r="EU474" s="269"/>
      <c r="EV474" s="61"/>
      <c r="EW474" s="269"/>
      <c r="EX474" s="61"/>
      <c r="EY474" s="64"/>
      <c r="EZ474" s="558"/>
      <c r="FA474" s="64"/>
      <c r="FB474" s="269"/>
      <c r="FC474" s="59"/>
      <c r="FD474" s="269"/>
      <c r="FE474" s="61"/>
      <c r="FF474" s="269"/>
      <c r="FG474" s="61"/>
      <c r="FH474" s="269"/>
      <c r="FI474" s="61"/>
      <c r="FJ474" s="269"/>
      <c r="FK474" s="61"/>
      <c r="FL474" s="269"/>
      <c r="FM474" s="61"/>
      <c r="FN474" s="269"/>
      <c r="FO474" s="61"/>
      <c r="FP474" s="269"/>
      <c r="FQ474" s="61"/>
      <c r="FR474" s="269"/>
      <c r="FS474" s="61"/>
      <c r="FT474" s="269"/>
      <c r="FU474" s="61"/>
      <c r="FV474" s="269"/>
      <c r="FW474" s="61"/>
      <c r="FX474" s="269"/>
      <c r="FY474" s="61"/>
      <c r="FZ474" s="269"/>
      <c r="GA474" s="61"/>
      <c r="GB474" s="269"/>
      <c r="GC474" s="61"/>
      <c r="GD474" s="269"/>
      <c r="GE474" s="61"/>
      <c r="GF474" s="269"/>
      <c r="GG474" s="61"/>
      <c r="GH474" s="269"/>
      <c r="GI474" s="61"/>
      <c r="GJ474" s="269"/>
      <c r="GK474" s="61"/>
      <c r="GL474" s="269"/>
      <c r="GM474" s="61"/>
      <c r="GN474" s="269"/>
      <c r="GO474" s="61"/>
      <c r="GP474" s="269"/>
      <c r="GQ474" s="61"/>
      <c r="GR474" s="269"/>
      <c r="GS474" s="61"/>
      <c r="GT474" s="269"/>
      <c r="GU474" s="61"/>
      <c r="GV474" s="269"/>
      <c r="GW474" s="61"/>
      <c r="GX474" s="269"/>
      <c r="GY474" s="61"/>
      <c r="GZ474" s="61" t="str">
        <f t="shared" si="2388"/>
        <v/>
      </c>
      <c r="HA474" s="61"/>
      <c r="HB474" s="452"/>
      <c r="HC474"/>
      <c r="HD474"/>
      <c r="HE474"/>
      <c r="HF474"/>
      <c r="HG474"/>
      <c r="HH474"/>
    </row>
    <row r="475" spans="1:216" s="5" customFormat="1" ht="12.75" customHeight="1" x14ac:dyDescent="0.2">
      <c r="A475" s="7"/>
      <c r="B475" s="63" t="s">
        <v>624</v>
      </c>
      <c r="C475" s="138"/>
      <c r="D475" s="60"/>
      <c r="E475" s="138"/>
      <c r="F475" s="59"/>
      <c r="G475" s="138"/>
      <c r="H475" s="59"/>
      <c r="I475" s="138"/>
      <c r="J475" s="59"/>
      <c r="K475" s="138"/>
      <c r="L475" s="61"/>
      <c r="M475" s="138"/>
      <c r="N475" s="61"/>
      <c r="O475" s="138"/>
      <c r="P475" s="61"/>
      <c r="Q475" s="138"/>
      <c r="R475" s="61"/>
      <c r="S475" s="138"/>
      <c r="T475" s="61"/>
      <c r="U475" s="138"/>
      <c r="V475" s="61"/>
      <c r="W475" s="138"/>
      <c r="X475" s="61"/>
      <c r="Y475" s="138"/>
      <c r="Z475" s="61"/>
      <c r="AA475" s="138"/>
      <c r="AB475" s="61"/>
      <c r="AC475" s="138"/>
      <c r="AD475" s="61"/>
      <c r="AE475" s="138"/>
      <c r="AF475" s="61"/>
      <c r="AG475" s="138"/>
      <c r="AH475" s="61"/>
      <c r="AI475" s="138"/>
      <c r="AJ475" s="61"/>
      <c r="AK475" s="138"/>
      <c r="AL475" s="61"/>
      <c r="AM475" s="138"/>
      <c r="AN475" s="61"/>
      <c r="AO475" s="138"/>
      <c r="AP475" s="61"/>
      <c r="AQ475" s="138"/>
      <c r="AR475" s="61"/>
      <c r="AS475" s="138"/>
      <c r="AT475" s="61"/>
      <c r="AU475" s="138"/>
      <c r="AV475" s="61"/>
      <c r="AW475" s="138"/>
      <c r="AX475" s="61"/>
      <c r="AY475" s="138"/>
      <c r="AZ475" s="61"/>
      <c r="BA475" s="138"/>
      <c r="BB475" s="61"/>
      <c r="BC475" s="138"/>
      <c r="BD475" s="61"/>
      <c r="BE475" s="138"/>
      <c r="BF475" s="61"/>
      <c r="BG475" s="138"/>
      <c r="BH475" s="61"/>
      <c r="BI475" s="138"/>
      <c r="BJ475" s="61"/>
      <c r="BK475" s="138"/>
      <c r="BL475" s="61"/>
      <c r="BM475" s="138"/>
      <c r="BN475" s="61"/>
      <c r="BO475" s="138"/>
      <c r="BP475" s="61"/>
      <c r="BQ475" s="138"/>
      <c r="BR475" s="61"/>
      <c r="BS475" s="138"/>
      <c r="BT475" s="61"/>
      <c r="BU475" s="138"/>
      <c r="BV475" s="61"/>
      <c r="BW475" s="138"/>
      <c r="BX475" s="61"/>
      <c r="BY475" s="138"/>
      <c r="BZ475" s="61"/>
      <c r="CA475" s="138"/>
      <c r="CB475" s="61"/>
      <c r="CC475" s="138"/>
      <c r="CD475" s="61"/>
      <c r="CE475" s="138"/>
      <c r="CF475" s="61"/>
      <c r="CG475" s="138"/>
      <c r="CH475" s="61"/>
      <c r="CI475" s="138"/>
      <c r="CJ475" s="61"/>
      <c r="CK475" s="138"/>
      <c r="CL475" s="61"/>
      <c r="CM475" s="138"/>
      <c r="CN475" s="61"/>
      <c r="CO475" s="138"/>
      <c r="CP475" s="61"/>
      <c r="CQ475" s="138"/>
      <c r="CR475" s="61"/>
      <c r="CS475" s="138"/>
      <c r="CT475" s="61"/>
      <c r="CU475" s="138"/>
      <c r="CV475" s="61"/>
      <c r="CW475" s="138"/>
      <c r="CX475" s="61"/>
      <c r="CY475" s="138"/>
      <c r="CZ475" s="61"/>
      <c r="DA475" s="138"/>
      <c r="DB475" s="61"/>
      <c r="DC475" s="138"/>
      <c r="DD475" s="61"/>
      <c r="DE475" s="138"/>
      <c r="DF475" s="61"/>
      <c r="DG475" s="138"/>
      <c r="DH475" s="61"/>
      <c r="DI475" s="138"/>
      <c r="DJ475" s="61"/>
      <c r="DK475" s="138"/>
      <c r="DL475" s="61"/>
      <c r="DM475" s="138"/>
      <c r="DN475" s="61"/>
      <c r="DO475" s="138"/>
      <c r="DP475" s="61"/>
      <c r="DQ475" s="138"/>
      <c r="DR475" s="61"/>
      <c r="DS475" s="138"/>
      <c r="DT475" s="61"/>
      <c r="DU475" s="138"/>
      <c r="DV475" s="61"/>
      <c r="DW475" s="138"/>
      <c r="DX475" s="138"/>
      <c r="DY475" s="138"/>
      <c r="DZ475" s="61"/>
      <c r="EA475" s="138"/>
      <c r="EB475" s="61"/>
      <c r="EC475" s="138"/>
      <c r="ED475" s="61"/>
      <c r="EE475" s="138"/>
      <c r="EF475" s="61"/>
      <c r="EG475" s="138"/>
      <c r="EH475" s="61"/>
      <c r="EI475" s="138"/>
      <c r="EJ475" s="61"/>
      <c r="EK475" s="138"/>
      <c r="EL475" s="61"/>
      <c r="EM475" s="138"/>
      <c r="EN475" s="61"/>
      <c r="EO475" s="138"/>
      <c r="EP475" s="61"/>
      <c r="EQ475" s="138"/>
      <c r="ER475" s="61"/>
      <c r="ES475" s="138"/>
      <c r="ET475" s="61"/>
      <c r="EU475" s="138"/>
      <c r="EV475" s="61"/>
      <c r="EW475" s="138"/>
      <c r="EX475" s="61"/>
      <c r="EY475" s="64"/>
      <c r="EZ475" s="558"/>
      <c r="FA475" s="64"/>
      <c r="FB475" s="138"/>
      <c r="FC475" s="59"/>
      <c r="FD475" s="138"/>
      <c r="FE475" s="60"/>
      <c r="FF475" s="271"/>
      <c r="FG475" s="60"/>
      <c r="FH475" s="271"/>
      <c r="FI475" s="60"/>
      <c r="FJ475" s="271"/>
      <c r="FK475" s="60"/>
      <c r="FL475" s="271"/>
      <c r="FM475" s="61"/>
      <c r="FN475" s="271"/>
      <c r="FO475" s="61"/>
      <c r="FP475" s="139"/>
      <c r="FQ475" s="61"/>
      <c r="FR475" s="139"/>
      <c r="FS475" s="61"/>
      <c r="FT475" s="139"/>
      <c r="FU475" s="61"/>
      <c r="FV475" s="139"/>
      <c r="FW475" s="61"/>
      <c r="FX475" s="139"/>
      <c r="FY475" s="61"/>
      <c r="FZ475" s="139"/>
      <c r="GA475" s="61"/>
      <c r="GB475" s="139"/>
      <c r="GC475" s="61"/>
      <c r="GD475" s="139"/>
      <c r="GE475" s="61"/>
      <c r="GF475" s="139"/>
      <c r="GG475" s="61"/>
      <c r="GH475" s="139"/>
      <c r="GI475" s="61"/>
      <c r="GJ475" s="139"/>
      <c r="GK475" s="61"/>
      <c r="GL475" s="139"/>
      <c r="GM475" s="61"/>
      <c r="GN475" s="139"/>
      <c r="GO475" s="61"/>
      <c r="GP475" s="139"/>
      <c r="GQ475" s="61"/>
      <c r="GR475" s="138"/>
      <c r="GS475" s="61"/>
      <c r="GT475" s="138"/>
      <c r="GU475" s="61"/>
      <c r="GV475" s="138"/>
      <c r="GW475" s="61"/>
      <c r="GX475" s="138"/>
      <c r="GY475" s="61"/>
      <c r="GZ475" s="61" t="str">
        <f t="shared" si="2388"/>
        <v/>
      </c>
      <c r="HA475" s="61"/>
      <c r="HB475" s="452"/>
      <c r="HC475"/>
      <c r="HD475"/>
      <c r="HE475"/>
      <c r="HF475"/>
      <c r="HG475"/>
      <c r="HH475"/>
    </row>
    <row r="476" spans="1:216" s="5" customFormat="1" ht="12.75" customHeight="1" x14ac:dyDescent="0.2">
      <c r="A476" s="7"/>
      <c r="B476" s="2" t="s">
        <v>278</v>
      </c>
      <c r="C476" s="138"/>
      <c r="D476" s="60"/>
      <c r="E476" s="138"/>
      <c r="F476" s="59"/>
      <c r="G476" s="138"/>
      <c r="H476" s="59"/>
      <c r="I476" s="138"/>
      <c r="J476" s="59"/>
      <c r="K476" s="138"/>
      <c r="L476" s="61"/>
      <c r="M476" s="138"/>
      <c r="N476" s="61"/>
      <c r="O476" s="138"/>
      <c r="P476" s="61"/>
      <c r="Q476" s="138"/>
      <c r="R476" s="61"/>
      <c r="S476" s="138"/>
      <c r="T476" s="61"/>
      <c r="U476" s="138"/>
      <c r="V476" s="61"/>
      <c r="W476" s="138"/>
      <c r="X476" s="61"/>
      <c r="Y476" s="138"/>
      <c r="Z476" s="61"/>
      <c r="AA476" s="138"/>
      <c r="AB476" s="61"/>
      <c r="AC476" s="138"/>
      <c r="AD476" s="61"/>
      <c r="AE476" s="138"/>
      <c r="AF476" s="61"/>
      <c r="AG476" s="138"/>
      <c r="AH476" s="61"/>
      <c r="AI476" s="138"/>
      <c r="AJ476" s="61"/>
      <c r="AK476" s="138"/>
      <c r="AL476" s="61"/>
      <c r="AM476" s="138"/>
      <c r="AN476" s="61"/>
      <c r="AO476" s="138"/>
      <c r="AP476" s="61"/>
      <c r="AQ476" s="138">
        <v>22.2</v>
      </c>
      <c r="AR476" s="61" t="str">
        <f>IF(ISERROR((AQ476/AI476-1)*100),"NA",IF(((AQ476/AI476-1)*100)&gt;100,"NM",IF(((AQ476/AI476-1)*100)&lt;-50,"NM",(AQ476/AI476-1)*100)))</f>
        <v>NA</v>
      </c>
      <c r="AS476" s="138">
        <v>21.8</v>
      </c>
      <c r="AT476" s="61" t="str">
        <f>IF(ISERROR((AS476/AK476-1)*100),"NA",IF(((AS476/AK476-1)*100)&gt;100,"NM",IF(((AS476/AK476-1)*100)&lt;-50,"NM",(AS476/AK476-1)*100)))</f>
        <v>NA</v>
      </c>
      <c r="AU476" s="138">
        <v>21.4</v>
      </c>
      <c r="AV476" s="61" t="str">
        <f>IF(ISERROR((AU476/AM476-1)*100),"NA",IF(((AU476/AM476-1)*100)&gt;100,"NM",IF(((AU476/AM476-1)*100)&lt;-50,"NM",(AU476/AM476-1)*100)))</f>
        <v>NA</v>
      </c>
      <c r="AW476" s="138">
        <v>21.8</v>
      </c>
      <c r="AX476" s="61" t="str">
        <f>IF(ISERROR((AW476/AO476-1)*100),"NA",IF(((AW476/AO476-1)*100)&gt;100,"NM",IF(((AW476/AO476-1)*100)&lt;-50,"NM",(AW476/AO476-1)*100)))</f>
        <v>NA</v>
      </c>
      <c r="AY476" s="72">
        <v>21.5</v>
      </c>
      <c r="AZ476" s="61">
        <f>IF(ISERROR((AY476/AQ476-1)*100),"NA",IF(((AY476/AQ476-1)*100)&gt;100,"NM",IF(((AY476/AQ476-1)*100)&lt;-50,"NM",(AY476/AQ476-1)*100)))</f>
        <v>-3.1531531531531543</v>
      </c>
      <c r="BA476" s="72">
        <v>64.3</v>
      </c>
      <c r="BB476" s="61" t="str">
        <f>IF(ISERROR((BA476/AS476-1)*100),"NA",IF(((BA476/AS476-1)*100)&gt;100,"NM",IF(((BA476/AS476-1)*100)&lt;-50,"NM",(BA476/AS476-1)*100)))</f>
        <v>NM</v>
      </c>
      <c r="BC476" s="72">
        <v>66.7</v>
      </c>
      <c r="BD476" s="61" t="str">
        <f>IF(ISERROR((BC476/AU476-1)*100),"NA",IF(((BC476/AU476-1)*100)&gt;100,"NM",IF(((BC476/AU476-1)*100)&lt;-50,"NM",(BC476/AU476-1)*100)))</f>
        <v>NM</v>
      </c>
      <c r="BE476" s="72">
        <v>64.3</v>
      </c>
      <c r="BF476" s="61" t="str">
        <f>IF(ISERROR((BE476/AW476-1)*100),"NA",IF(((BE476/AW476-1)*100)&gt;100,"NM",IF(((BE476/AW476-1)*100)&lt;-50,"NM",(BE476/AW476-1)*100)))</f>
        <v>NM</v>
      </c>
      <c r="BG476" s="72">
        <v>62.4</v>
      </c>
      <c r="BH476" s="61" t="str">
        <f>IF(ISERROR((BG476/AY476-1)*100),"NA",IF(((BG476/AY476-1)*100)&gt;100,"NM",IF(((BG476/AY476-1)*100)&lt;-50,"NM",(BG476/AY476-1)*100)))</f>
        <v>NM</v>
      </c>
      <c r="BI476" s="72">
        <v>73.099999999999994</v>
      </c>
      <c r="BJ476" s="61">
        <f>IF(ISERROR((BI476/BA476-1)*100),"NA",IF(((BI476/BA476-1)*100)&gt;100,"NM",IF(((BI476/BA476-1)*100)&lt;-50,"NM",(BI476/BA476-1)*100)))</f>
        <v>13.685847589424572</v>
      </c>
      <c r="BK476" s="72">
        <v>68.2</v>
      </c>
      <c r="BL476" s="61">
        <f>IF(ISERROR((BK476/BC476-1)*100),"NA",IF(((BK476/BC476-1)*100)&gt;100,"NM",IF(((BK476/BC476-1)*100)&lt;-50,"NM",(BK476/BC476-1)*100)))</f>
        <v>2.2488755622188883</v>
      </c>
      <c r="BM476" s="72">
        <v>80.3</v>
      </c>
      <c r="BN476" s="61">
        <f>IF(ISERROR((BM476/BE476-1)*100),"NA",IF(((BM476/BE476-1)*100)&gt;100,"NM",IF(((BM476/BE476-1)*100)&lt;-50,"NM",(BM476/BE476-1)*100)))</f>
        <v>24.883359253499226</v>
      </c>
      <c r="BO476" s="72">
        <v>75.400000000000006</v>
      </c>
      <c r="BP476" s="61">
        <f>IF(ISERROR((BO476/BG476-1)*100),"NA",IF(((BO476/BG476-1)*100)&gt;100,"NM",IF(((BO476/BG476-1)*100)&lt;-50,"NM",(BO476/BG476-1)*100)))</f>
        <v>20.83333333333335</v>
      </c>
      <c r="BQ476" s="72">
        <v>64.8</v>
      </c>
      <c r="BR476" s="61">
        <f>IF(ISERROR((BQ476/BI476-1)*100),"NA",IF(((BQ476/BI476-1)*100)&gt;100,"NM",IF(((BQ476/BI476-1)*100)&lt;-50,"NM",(BQ476/BI476-1)*100)))</f>
        <v>-11.354309165526677</v>
      </c>
      <c r="BS476" s="72">
        <v>68.3</v>
      </c>
      <c r="BT476" s="61">
        <f>IF(ISERROR((BS476/BK476-1)*100),"NA",IF(((BS476/BK476-1)*100)&gt;100,"NM",IF(((BS476/BK476-1)*100)&lt;-50,"NM",(BS476/BK476-1)*100)))</f>
        <v>0.14662756598240456</v>
      </c>
      <c r="BU476" s="72">
        <v>72.3</v>
      </c>
      <c r="BV476" s="61">
        <f>IF(ISERROR((BU476/BM476-1)*100),"NA",IF(((BU476/BM476-1)*100)&gt;100,"NM",IF(((BU476/BM476-1)*100)&lt;-50,"NM",(BU476/BM476-1)*100)))</f>
        <v>-9.9626400996263964</v>
      </c>
      <c r="BW476" s="72">
        <v>64.7</v>
      </c>
      <c r="BX476" s="61">
        <f>IF(ISERROR((BW476/BO476-1)*100),"NA",IF(((BW476/BO476-1)*100)&gt;100,"NM",IF(((BW476/BO476-1)*100)&lt;-50,"NM",(BW476/BO476-1)*100)))</f>
        <v>-14.190981432360751</v>
      </c>
      <c r="BY476" s="72">
        <v>60.9</v>
      </c>
      <c r="BZ476" s="61">
        <f>IF(ISERROR((BY476/BQ476-1)*100),"NA",IF(((BY476/BQ476-1)*100)&gt;100,"NM",IF(((BY476/BQ476-1)*100)&lt;-50,"NM",(BY476/BQ476-1)*100)))</f>
        <v>-6.0185185185185119</v>
      </c>
      <c r="CA476" s="72">
        <v>68</v>
      </c>
      <c r="CB476" s="61">
        <f>IF(ISERROR((CA476/BS476-1)*100),"NA",IF(((CA476/BS476-1)*100)&gt;100,"NM",IF(((CA476/BS476-1)*100)&lt;-50,"NM",(CA476/BS476-1)*100)))</f>
        <v>-0.43923865300146137</v>
      </c>
      <c r="CC476" s="72">
        <v>68.099999999999994</v>
      </c>
      <c r="CD476" s="61">
        <f>IF(ISERROR((CC476/BU476-1)*100),"NA",IF(((CC476/BU476-1)*100)&gt;100,"NM",IF(((CC476/BU476-1)*100)&lt;-50,"NM",(CC476/BU476-1)*100)))</f>
        <v>-5.8091286307053958</v>
      </c>
      <c r="CE476" s="72">
        <v>68.099999999999994</v>
      </c>
      <c r="CF476" s="61">
        <f>IF(ISERROR((CE476/BW476-1)*100),"NA",IF(((CE476/BW476-1)*100)&gt;100,"NM",IF(((CE476/BW476-1)*100)&lt;-50,"NM",(CE476/BW476-1)*100)))</f>
        <v>5.2550231839257888</v>
      </c>
      <c r="CG476" s="72">
        <v>69</v>
      </c>
      <c r="CH476" s="61">
        <f>IF(ISERROR((CG476/BY476-1)*100),"NA",IF(((CG476/BY476-1)*100)&gt;100,"NM",IF(((CG476/BY476-1)*100)&lt;-50,"NM",(CG476/BY476-1)*100)))</f>
        <v>13.300492610837434</v>
      </c>
      <c r="CI476" s="72">
        <v>74.5</v>
      </c>
      <c r="CJ476" s="61">
        <f>IF(ISERROR((CI476/CA476-1)*100),"NA",IF(((CI476/CA476-1)*100)&gt;100,"NM",IF(((CI476/CA476-1)*100)&lt;-50,"NM",(CI476/CA476-1)*100)))</f>
        <v>9.5588235294117752</v>
      </c>
      <c r="CK476" s="72">
        <v>74.3</v>
      </c>
      <c r="CL476" s="61">
        <f>IF(ISERROR((CK476/CC476-1)*100),"NA",IF(((CK476/CC476-1)*100)&gt;100,"NM",IF(((CK476/CC476-1)*100)&lt;-50,"NM",(CK476/CC476-1)*100)))</f>
        <v>9.104258443465497</v>
      </c>
      <c r="CM476" s="72">
        <v>71.599999999999994</v>
      </c>
      <c r="CN476" s="61">
        <f>IF(ISERROR((CM476/CE476-1)*100),"NA",IF(((CM476/CE476-1)*100)&gt;100,"NM",IF(((CM476/CE476-1)*100)&lt;-50,"NM",(CM476/CE476-1)*100)))</f>
        <v>5.1395007342143861</v>
      </c>
      <c r="CO476" s="72">
        <v>72</v>
      </c>
      <c r="CP476" s="61">
        <f>IF(ISERROR((CO476/CG476-1)*100),"NA",IF(((CO476/CG476-1)*100)&gt;100,"NM",IF(((CO476/CG476-1)*100)&lt;-50,"NM",(CO476/CG476-1)*100)))</f>
        <v>4.3478260869565188</v>
      </c>
      <c r="CQ476" s="72">
        <v>71</v>
      </c>
      <c r="CR476" s="61">
        <f>IF(ISERROR((CQ476/CI476-1)*100),"NA",IF(((CQ476/CI476-1)*100)&gt;100,"NM",IF(((CQ476/CI476-1)*100)&lt;-50,"NM",(CQ476/CI476-1)*100)))</f>
        <v>-4.6979865771812124</v>
      </c>
      <c r="CS476" s="72">
        <v>70</v>
      </c>
      <c r="CT476" s="61">
        <f>IF(ISERROR((CS476/CK476-1)*100),"NA",IF(((CS476/CK476-1)*100)&gt;100,"NM",IF(((CS476/CK476-1)*100)&lt;-50,"NM",(CS476/CK476-1)*100)))</f>
        <v>-5.7873485868102259</v>
      </c>
      <c r="CU476" s="72">
        <v>68</v>
      </c>
      <c r="CV476" s="61">
        <f>IF(ISERROR((CU476/CM476-1)*100),"NA",IF(((CU476/CM476-1)*100)&gt;100,"NM",IF(((CU476/CM476-1)*100)&lt;-50,"NM",(CU476/CM476-1)*100)))</f>
        <v>-5.0279329608938443</v>
      </c>
      <c r="CW476" s="72">
        <v>68</v>
      </c>
      <c r="CX476" s="61">
        <f>IF(ISERROR((CW476/CO476-1)*100),"NA",IF(((CW476/CO476-1)*100)&gt;100,"NM",IF(((CW476/CO476-1)*100)&lt;-50,"NM",(CW476/CO476-1)*100)))</f>
        <v>-5.555555555555558</v>
      </c>
      <c r="CY476" s="72">
        <v>68</v>
      </c>
      <c r="CZ476" s="61">
        <f>IF(ISERROR((CY476/CQ476-1)*100),"NA",IF(((CY476/CQ476-1)*100)&gt;100,"NM",IF(((CY476/CQ476-1)*100)&lt;-50,"NM",(CY476/CQ476-1)*100)))</f>
        <v>-4.2253521126760614</v>
      </c>
      <c r="DA476" s="72">
        <v>65</v>
      </c>
      <c r="DB476" s="61">
        <f>IF(ISERROR((DA476/CS476-1)*100),"NA",IF(((DA476/CS476-1)*100)&gt;100,"NM",IF(((DA476/CS476-1)*100)&lt;-50,"NM",(DA476/CS476-1)*100)))</f>
        <v>-7.1428571428571397</v>
      </c>
      <c r="DC476" s="72">
        <v>64</v>
      </c>
      <c r="DD476" s="61">
        <f>IF(ISERROR((DC476/CU476-1)*100),"NA",IF(((DC476/CU476-1)*100)&gt;100,"NM",IF(((DC476/CU476-1)*100)&lt;-50,"NM",(DC476/CU476-1)*100)))</f>
        <v>-5.8823529411764719</v>
      </c>
      <c r="DE476" s="72">
        <v>65</v>
      </c>
      <c r="DF476" s="61">
        <f>IF(ISERROR((DE476/CW476-1)*100),"NA",IF(((DE476/CW476-1)*100)&gt;100,"NM",IF(((DE476/CW476-1)*100)&lt;-50,"NM",(DE476/CW476-1)*100)))</f>
        <v>-4.4117647058823479</v>
      </c>
      <c r="DG476" s="72">
        <v>67</v>
      </c>
      <c r="DH476" s="61">
        <f>IF(ISERROR((DG476/CY476-1)*100),"NA",IF(((DG476/CY476-1)*100)&gt;100,"NM",IF(((DG476/CY476-1)*100)&lt;-50,"NM",(DG476/CY476-1)*100)))</f>
        <v>-1.4705882352941124</v>
      </c>
      <c r="DI476" s="72">
        <v>68</v>
      </c>
      <c r="DJ476" s="61">
        <f>IF(ISERROR((DI476/DA476-1)*100),"NA",IF(((DI476/DA476-1)*100)&gt;100,"NM",IF(((DI476/DA476-1)*100)&lt;-50,"NM",(DI476/DA476-1)*100)))</f>
        <v>4.6153846153846212</v>
      </c>
      <c r="DK476" s="72">
        <v>67</v>
      </c>
      <c r="DL476" s="61">
        <f>IF(ISERROR((DK476/DC476-1)*100),"NA",IF(((DK476/DC476-1)*100)&gt;100,"NM",IF(((DK476/DC476-1)*100)&lt;-50,"NM",(DK476/DC476-1)*100)))</f>
        <v>4.6875</v>
      </c>
      <c r="DM476" s="72">
        <v>67</v>
      </c>
      <c r="DN476" s="130">
        <f t="shared" ref="DN476:DZ480" si="2417">IF(ISERROR((DM476/DE476-1)*100),"NA",IF(((DM476/DE476-1)*100)&gt;100,"NM",IF(((DM476/DE476-1)*100)&lt;-50,"NM",(DM476/DE476-1)*100)))</f>
        <v>3.076923076923066</v>
      </c>
      <c r="DO476" s="72">
        <v>67</v>
      </c>
      <c r="DP476" s="130">
        <f t="shared" si="2417"/>
        <v>0</v>
      </c>
      <c r="DQ476" s="72">
        <v>67</v>
      </c>
      <c r="DR476" s="130">
        <f t="shared" si="2417"/>
        <v>-1.4705882352941124</v>
      </c>
      <c r="DS476" s="72">
        <v>68</v>
      </c>
      <c r="DT476" s="130">
        <f t="shared" si="2417"/>
        <v>1.4925373134328401</v>
      </c>
      <c r="DU476" s="72">
        <v>69</v>
      </c>
      <c r="DV476" s="130">
        <f t="shared" si="2417"/>
        <v>2.9850746268656803</v>
      </c>
      <c r="DW476" s="72">
        <v>67</v>
      </c>
      <c r="DX476" s="72">
        <v>67</v>
      </c>
      <c r="DY476" s="72">
        <v>68</v>
      </c>
      <c r="DZ476" s="130">
        <f t="shared" si="2417"/>
        <v>1.4925373134328401</v>
      </c>
      <c r="EA476" s="72">
        <v>68</v>
      </c>
      <c r="EB476" s="61">
        <f t="shared" ref="EB476:EB480" si="2418">IF(ISERROR((EA476/DS476-1)*100),"NA",IF(((EA476/DS476-1)*100)&gt;100,"NM",IF(((EA476/DS476-1)*100)&lt;-50,"NM",(EA476/DS476-1)*100)))</f>
        <v>0</v>
      </c>
      <c r="EC476" s="72">
        <v>68</v>
      </c>
      <c r="ED476" s="61">
        <f t="shared" ref="ED476:ED480" si="2419">IF(ISERROR((EC476/DU476-1)*100),"NA",IF(((EC476/DU476-1)*100)&gt;100,"NM",IF(((EC476/DU476-1)*100)&lt;-50,"NM",(EC476/DU476-1)*100)))</f>
        <v>-1.4492753623188359</v>
      </c>
      <c r="EE476" s="72">
        <v>66</v>
      </c>
      <c r="EF476" s="61">
        <f t="shared" ref="EF476:EF480" si="2420">IF(ISERROR((EE476/DW476-1)*100),"NA",IF(((EE476/DW476-1)*100)&gt;100,"NM",IF(((EE476/DW476-1)*100)&lt;-50,"NM",(EE476/DW476-1)*100)))</f>
        <v>-1.4925373134328401</v>
      </c>
      <c r="EG476" s="72">
        <v>67</v>
      </c>
      <c r="EH476" s="61">
        <f t="shared" ref="EH476:EH480" si="2421">IF(ISERROR((EG476/DY476-1)*100),"NA",IF(((EG476/DY476-1)*100)&gt;100,"NM",IF(((EG476/DY476-1)*100)&lt;-50,"NM",(EG476/DY476-1)*100)))</f>
        <v>-1.4705882352941124</v>
      </c>
      <c r="EI476" s="72">
        <v>64</v>
      </c>
      <c r="EJ476" s="61">
        <f t="shared" ref="EJ476:EJ480" si="2422">IF(ISERROR((EI476/EA476-1)*100),"NA",IF(((EI476/EA476-1)*100)&gt;100,"NM",IF(((EI476/EA476-1)*100)&lt;-50,"NM",(EI476/EA476-1)*100)))</f>
        <v>-5.8823529411764719</v>
      </c>
      <c r="EK476" s="72">
        <v>63</v>
      </c>
      <c r="EL476" s="61">
        <f t="shared" ref="EL476:EL480" si="2423">IF(ISERROR((EK476/EC476-1)*100),"NA",IF(((EK476/EC476-1)*100)&gt;100,"NM",IF(((EK476/EC476-1)*100)&lt;-50,"NM",(EK476/EC476-1)*100)))</f>
        <v>-7.3529411764705843</v>
      </c>
      <c r="EM476" s="72">
        <v>63</v>
      </c>
      <c r="EN476" s="61">
        <f t="shared" ref="EN476:EN480" si="2424">IF(ISERROR((EM476/EE476-1)*100),"NA",IF(((EM476/EE476-1)*100)&gt;100,"NM",IF(((EM476/EE476-1)*100)&lt;-50,"NM",(EM476/EE476-1)*100)))</f>
        <v>-4.5454545454545414</v>
      </c>
      <c r="EO476" s="72">
        <v>63</v>
      </c>
      <c r="EP476" s="61">
        <f t="shared" ref="EP476:EP480" si="2425">IF(ISERROR((EO476/EG476-1)*100),"NA",IF(((EO476/EG476-1)*100)&gt;100,"NM",IF(((EO476/EG476-1)*100)&lt;-50,"NM",(EO476/EG476-1)*100)))</f>
        <v>-5.9701492537313383</v>
      </c>
      <c r="EQ476" s="72">
        <f>EO476+(500*3.5%/4)</f>
        <v>67.375</v>
      </c>
      <c r="ER476" s="61">
        <f t="shared" ref="ER476:ER480" si="2426">IF(ISERROR((EQ476/EI476-1)*100),"NA",IF(((EQ476/EI476-1)*100)&gt;100,"NM",IF(((EQ476/EI476-1)*100)&lt;-50,"NM",(EQ476/EI476-1)*100)))</f>
        <v>5.2734375</v>
      </c>
      <c r="ES476" s="72">
        <f>EQ476</f>
        <v>67.375</v>
      </c>
      <c r="ET476" s="61">
        <f t="shared" ref="ET476:ET480" si="2427">IF(ISERROR((ES476/EK476-1)*100),"NA",IF(((ES476/EK476-1)*100)&gt;100,"NM",IF(((ES476/EK476-1)*100)&lt;-50,"NM",(ES476/EK476-1)*100)))</f>
        <v>6.944444444444442</v>
      </c>
      <c r="EU476" s="72">
        <f t="shared" ref="EU476:EU477" si="2428">ES476</f>
        <v>67.375</v>
      </c>
      <c r="EV476" s="61">
        <f t="shared" ref="EV476:EV480" si="2429">IF(ISERROR((EU476/EM476-1)*100),"NA",IF(((EU476/EM476-1)*100)&gt;100,"NM",IF(((EU476/EM476-1)*100)&lt;-50,"NM",(EU476/EM476-1)*100)))</f>
        <v>6.944444444444442</v>
      </c>
      <c r="EW476" s="72">
        <f t="shared" ref="EW476:EW477" si="2430">EU476</f>
        <v>67.375</v>
      </c>
      <c r="EX476" s="61">
        <f t="shared" ref="EX476:EX480" si="2431">IF(ISERROR((EW476/EO476-1)*100),"NA",IF(((EW476/EO476-1)*100)&gt;100,"NM",IF(((EW476/EO476-1)*100)&lt;-50,"NM",(EW476/EO476-1)*100)))</f>
        <v>6.944444444444442</v>
      </c>
      <c r="EY476" s="74"/>
      <c r="EZ476" s="558"/>
      <c r="FA476" s="74"/>
      <c r="FB476" s="72"/>
      <c r="FC476" s="268"/>
      <c r="FD476" s="72"/>
      <c r="FE476" s="126"/>
      <c r="FF476" s="69"/>
      <c r="FG476" s="126"/>
      <c r="FH476" s="69"/>
      <c r="FI476" s="126"/>
      <c r="FJ476" s="69"/>
      <c r="FK476" s="126"/>
      <c r="FL476" s="69"/>
      <c r="FM476" s="126"/>
      <c r="FN476" s="69"/>
      <c r="FO476" s="126"/>
      <c r="FP476" s="73">
        <f>AQ476+AS476+AU476+AW476</f>
        <v>87.2</v>
      </c>
      <c r="FQ476" s="61" t="str">
        <f>IF(ISERROR((FP476/FN476-1)*100),"NA",IF(((FP476/FN476-1)*100)&gt;100,"NM",IF(((FP476/FN476-1)*100)&lt;-50,"NM",(FP476/FN476-1)*100)))</f>
        <v>NA</v>
      </c>
      <c r="FR476" s="73">
        <f>AY476+BA476+BC476+BE476</f>
        <v>216.8</v>
      </c>
      <c r="FS476" s="61" t="str">
        <f>IF(ISERROR((FR476/FP476-1)*100),"NA",IF(((FR476/FP476-1)*100)&gt;100,"NM",IF(((FR476/FP476-1)*100)&lt;-50,"NM",(FR476/FP476-1)*100)))</f>
        <v>NM</v>
      </c>
      <c r="FT476" s="73">
        <f>BG476+BI476+BK476+BM476</f>
        <v>284</v>
      </c>
      <c r="FU476" s="61">
        <f>IF(ISERROR((FT476/FR476-1)*100),"NA",IF(((FT476/FR476-1)*100)&gt;100,"NM",IF(((FT476/FR476-1)*100)&lt;-50,"NM",(FT476/FR476-1)*100)))</f>
        <v>30.996309963099634</v>
      </c>
      <c r="FV476" s="73">
        <f>BO476+BQ476+BS476+BU476</f>
        <v>280.8</v>
      </c>
      <c r="FW476" s="61">
        <f>IF(ISERROR((FV476/FT476-1)*100),"NA",IF(((FV476/FT476-1)*100)&gt;100,"NM",IF(((FV476/FT476-1)*100)&lt;-50,"NM",(FV476/FT476-1)*100)))</f>
        <v>-1.1267605633802802</v>
      </c>
      <c r="FX476" s="73">
        <f>BW476+BY476+CA476+CC476</f>
        <v>261.7</v>
      </c>
      <c r="FY476" s="61">
        <f>IF(ISERROR((FX476/FV476-1)*100),"NA",IF(((FX476/FV476-1)*100)&gt;100,"NM",IF(((FX476/FV476-1)*100)&lt;-50,"NM",(FX476/FV476-1)*100)))</f>
        <v>-6.8019943019943074</v>
      </c>
      <c r="FZ476" s="73">
        <f>CE476+CG476+CI476+CK476</f>
        <v>285.89999999999998</v>
      </c>
      <c r="GA476" s="61">
        <f>IF(ISERROR((FZ476/FX476-1)*100),"NA",IF(((FZ476/FX476-1)*100)&gt;100,"NM",IF(((FZ476/FX476-1)*100)&lt;-50,"NM",(FZ476/FX476-1)*100)))</f>
        <v>9.2472296522735817</v>
      </c>
      <c r="GB476" s="73">
        <f>CM476+CO476+CQ476+CS476</f>
        <v>284.60000000000002</v>
      </c>
      <c r="GC476" s="61">
        <f>IF(ISERROR((GB476/FZ476-1)*100),"NA",IF(((GB476/FZ476-1)*100)&gt;100,"NM",IF(((GB476/FZ476-1)*100)&lt;-50,"NM",(GB476/FZ476-1)*100)))</f>
        <v>-0.45470444211260785</v>
      </c>
      <c r="GD476" s="73">
        <f>CU476+CW476+CY476+DA476</f>
        <v>269</v>
      </c>
      <c r="GE476" s="61">
        <f>IF(ISERROR((GD476/GB476-1)*100),"NA",IF(((GD476/GB476-1)*100)&gt;100,"NM",IF(((GD476/GB476-1)*100)&lt;-50,"NM",(GD476/GB476-1)*100)))</f>
        <v>-5.4813773717498293</v>
      </c>
      <c r="GF476" s="73">
        <f>DC476+DE476+DG476+DI476</f>
        <v>264</v>
      </c>
      <c r="GG476" s="61">
        <f>IF(ISERROR((GF476/GD476-1)*100),"NA",IF(((GF476/GD476-1)*100)&gt;100,"NM",IF(((GF476/GD476-1)*100)&lt;-50,"NM",(GF476/GD476-1)*100)))</f>
        <v>-1.8587360594795488</v>
      </c>
      <c r="GH476" s="73">
        <f>DK476+DM476+DO476+DQ476</f>
        <v>268</v>
      </c>
      <c r="GI476" s="61">
        <f>IF(ISERROR((GH476/GF476-1)*100),"NA",IF(((GH476/GF476-1)*100)&gt;100,"NM",IF(((GH476/GF476-1)*100)&lt;-50,"NM",(GH476/GF476-1)*100)))</f>
        <v>1.5151515151515138</v>
      </c>
      <c r="GJ476" s="73">
        <f>DS476+DU476+DW476+DY476</f>
        <v>272</v>
      </c>
      <c r="GK476" s="61">
        <f>IF(ISERROR((GJ476/GH476-1)*100),"NA",IF(((GJ476/GH476-1)*100)&gt;100,"NM",IF(((GJ476/GH476-1)*100)&lt;-50,"NM",(GJ476/GH476-1)*100)))</f>
        <v>1.4925373134328401</v>
      </c>
      <c r="GL476" s="73">
        <f>EA476+EC476+EE476+EG476</f>
        <v>269</v>
      </c>
      <c r="GM476" s="61">
        <f>IF(ISERROR((GL476/GJ476-1)*100),"NA",IF(((GL476/GJ476-1)*100)&gt;100,"NM",IF(((GL476/GJ476-1)*100)&lt;-50,"NM",(GL476/GJ476-1)*100)))</f>
        <v>-1.1029411764705843</v>
      </c>
      <c r="GN476" s="73">
        <f>EI476+EK476+EM476+EO476</f>
        <v>253</v>
      </c>
      <c r="GO476" s="61">
        <f>IF(ISERROR((GN476/GL476-1)*100),"NA",IF(((GN476/GL476-1)*100)&gt;100,"NM",IF(((GN476/GL476-1)*100)&lt;-50,"NM",(GN476/GL476-1)*100)))</f>
        <v>-5.9479553903345694</v>
      </c>
      <c r="GP476" s="73">
        <f>EQ476+ES476+EU476+EW476</f>
        <v>269.5</v>
      </c>
      <c r="GQ476" s="61">
        <f>IF(ISERROR((GP476/GN476-1)*100),"NA",IF(((GP476/GN476-1)*100)&gt;100,"NM",IF(((GP476/GN476-1)*100)&lt;-50,"NM",(GP476/GN476-1)*100)))</f>
        <v>6.5217391304347894</v>
      </c>
      <c r="GR476" s="72">
        <f>EW476*4</f>
        <v>269.5</v>
      </c>
      <c r="GS476" s="61">
        <f>IF(ISERROR((GR476/GP476-1)*100),"NA",IF(((GR476/GP476-1)*100)&gt;100,"NM",IF(((GR476/GP476-1)*100)&lt;-50,"NM",(GR476/GP476-1)*100)))</f>
        <v>0</v>
      </c>
      <c r="GT476" s="72">
        <f>GR476</f>
        <v>269.5</v>
      </c>
      <c r="GU476" s="61">
        <f>IF(ISERROR((GT476/GR476-1)*100),"NA",IF(((GT476/GR476-1)*100)&gt;100,"NM",IF(((GT476/GR476-1)*100)&lt;-50,"NM",(GT476/GR476-1)*100)))</f>
        <v>0</v>
      </c>
      <c r="GV476" s="72">
        <f>GT476</f>
        <v>269.5</v>
      </c>
      <c r="GW476" s="61">
        <f>IF(ISERROR((GV476/GT476-1)*100),"NA",IF(((GV476/GT476-1)*100)&gt;100,"NM",IF(((GV476/GT476-1)*100)&lt;-50,"NM",(GV476/GT476-1)*100)))</f>
        <v>0</v>
      </c>
      <c r="GX476" s="72">
        <f>GV476</f>
        <v>269.5</v>
      </c>
      <c r="GY476" s="61">
        <f>IF(ISERROR((GX476/GV476-1)*100),"NA",IF(((GX476/GV476-1)*100)&gt;100,"NM",IF(((GX476/GV476-1)*100)&lt;-50,"NM",(GX476/GV476-1)*100)))</f>
        <v>0</v>
      </c>
      <c r="GZ476" s="61">
        <f t="shared" si="2388"/>
        <v>1.271594910569096</v>
      </c>
      <c r="HA476" s="61"/>
      <c r="HB476" s="452"/>
      <c r="HC476"/>
      <c r="HD476"/>
      <c r="HE476"/>
      <c r="HF476"/>
      <c r="HG476"/>
      <c r="HH476"/>
    </row>
    <row r="477" spans="1:216" s="5" customFormat="1" ht="12.75" customHeight="1" x14ac:dyDescent="0.2">
      <c r="A477" s="7"/>
      <c r="B477" s="2" t="s">
        <v>467</v>
      </c>
      <c r="C477" s="272"/>
      <c r="D477" s="60"/>
      <c r="E477" s="272"/>
      <c r="F477" s="59"/>
      <c r="G477" s="272"/>
      <c r="H477" s="59"/>
      <c r="I477" s="272"/>
      <c r="J477" s="59"/>
      <c r="K477" s="272"/>
      <c r="L477" s="61"/>
      <c r="M477" s="272"/>
      <c r="N477" s="61"/>
      <c r="O477" s="272"/>
      <c r="P477" s="61"/>
      <c r="Q477" s="272"/>
      <c r="R477" s="61"/>
      <c r="S477" s="272"/>
      <c r="T477" s="61"/>
      <c r="U477" s="272"/>
      <c r="V477" s="61"/>
      <c r="W477" s="272"/>
      <c r="X477" s="61"/>
      <c r="Y477" s="272"/>
      <c r="Z477" s="61"/>
      <c r="AA477" s="272"/>
      <c r="AB477" s="61"/>
      <c r="AC477" s="272"/>
      <c r="AD477" s="61"/>
      <c r="AE477" s="272"/>
      <c r="AF477" s="61"/>
      <c r="AG477" s="272"/>
      <c r="AH477" s="61"/>
      <c r="AI477" s="272"/>
      <c r="AJ477" s="61"/>
      <c r="AK477" s="272"/>
      <c r="AL477" s="61"/>
      <c r="AM477" s="272"/>
      <c r="AN477" s="61"/>
      <c r="AO477" s="272"/>
      <c r="AP477" s="61"/>
      <c r="AQ477" s="272">
        <f>6.5+0.1</f>
        <v>6.6</v>
      </c>
      <c r="AR477" s="61" t="str">
        <f>IF(ISERROR((AQ477/AI477-1)*100),"NA",IF(((AQ477/AI477-1)*100)&gt;100,"NM",IF(((AQ477/AI477-1)*100)&lt;-50,"NM",(AQ477/AI477-1)*100)))</f>
        <v>NA</v>
      </c>
      <c r="AS477" s="272">
        <f>50.3-0.1</f>
        <v>50.199999999999996</v>
      </c>
      <c r="AT477" s="61" t="str">
        <f>IF(ISERROR((AS477/AK477-1)*100),"NA",IF(((AS477/AK477-1)*100)&gt;100,"NM",IF(((AS477/AK477-1)*100)&lt;-50,"NM",(AS477/AK477-1)*100)))</f>
        <v>NA</v>
      </c>
      <c r="AU477" s="272">
        <f>28.5+0.2</f>
        <v>28.7</v>
      </c>
      <c r="AV477" s="61" t="str">
        <f>IF(ISERROR((AU477/AM477-1)*100),"NA",IF(((AU477/AM477-1)*100)&gt;100,"NM",IF(((AU477/AM477-1)*100)&lt;-50,"NM",(AU477/AM477-1)*100)))</f>
        <v>NA</v>
      </c>
      <c r="AW477" s="272">
        <f>12.8+0.2</f>
        <v>13</v>
      </c>
      <c r="AX477" s="61" t="str">
        <f>IF(ISERROR((AW477/AO477-1)*100),"NA",IF(((AW477/AO477-1)*100)&gt;100,"NM",IF(((AW477/AO477-1)*100)&lt;-50,"NM",(AW477/AO477-1)*100)))</f>
        <v>NA</v>
      </c>
      <c r="AY477" s="23">
        <f>12.2</f>
        <v>12.2</v>
      </c>
      <c r="AZ477" s="61">
        <f>IF(ISERROR((AY477/AQ477-1)*100),"NA",IF(((AY477/AQ477-1)*100)&gt;100,"NM",IF(((AY477/AQ477-1)*100)&lt;-50,"NM",(AY477/AQ477-1)*100)))</f>
        <v>84.848484848484844</v>
      </c>
      <c r="BA477" s="23">
        <f>46.3-BA478</f>
        <v>29.376923076923074</v>
      </c>
      <c r="BB477" s="61">
        <f>IF(ISERROR((BA477/AS477-1)*100),"NA",IF(((BA477/AS477-1)*100)&gt;100,"NM",IF(((BA477/AS477-1)*100)&lt;-50,"NM",(BA477/AS477-1)*100)))</f>
        <v>-41.480232914495865</v>
      </c>
      <c r="BC477" s="23">
        <f>12.1-BC478</f>
        <v>-1.7461538461538453</v>
      </c>
      <c r="BD477" s="61" t="str">
        <f>IF(ISERROR((BC477/AU477-1)*100),"NA",IF(((BC477/AU477-1)*100)&gt;100,"NM",IF(((BC477/AU477-1)*100)&lt;-50,"NM",(BC477/AU477-1)*100)))</f>
        <v>NM</v>
      </c>
      <c r="BE477" s="23">
        <f>118.6-64.3-BE478</f>
        <v>35.223076923076917</v>
      </c>
      <c r="BF477" s="61" t="str">
        <f>IF(ISERROR((BE477/AW477-1)*100),"NA",IF(((BE477/AW477-1)*100)&gt;100,"NM",IF(((BE477/AW477-1)*100)&lt;-50,"NM",(BE477/AW477-1)*100)))</f>
        <v>NM</v>
      </c>
      <c r="BG477" s="23">
        <f>157.2-BG476-BG478</f>
        <v>80.799999999999983</v>
      </c>
      <c r="BH477" s="61" t="str">
        <f>IF(ISERROR((BG477/AY477-1)*100),"NA",IF(((BG477/AY477-1)*100)&gt;100,"NM",IF(((BG477/AY477-1)*100)&lt;-50,"NM",(BG477/AY477-1)*100)))</f>
        <v>NM</v>
      </c>
      <c r="BI477" s="23">
        <f>190.3-BI476-BI478</f>
        <v>87.200000000000017</v>
      </c>
      <c r="BJ477" s="61" t="str">
        <f>IF(ISERROR((BI477/BA477-1)*100),"NA",IF(((BI477/BA477-1)*100)&gt;100,"NM",IF(((BI477/BA477-1)*100)&lt;-50,"NM",(BI477/BA477-1)*100)))</f>
        <v>NM</v>
      </c>
      <c r="BK477" s="23">
        <f>195.1-BK476-BK478</f>
        <v>97.6</v>
      </c>
      <c r="BL477" s="61" t="str">
        <f>IF(ISERROR((BK477/BC477-1)*100),"NA",IF(((BK477/BC477-1)*100)&gt;100,"NM",IF(((BK477/BC477-1)*100)&lt;-50,"NM",(BK477/BC477-1)*100)))</f>
        <v>NM</v>
      </c>
      <c r="BM477" s="23">
        <f>218-BM476-BM478</f>
        <v>109.79999999999998</v>
      </c>
      <c r="BN477" s="61" t="str">
        <f>IF(ISERROR((BM477/BE477-1)*100),"NA",IF(((BM477/BE477-1)*100)&gt;100,"NM",IF(((BM477/BE477-1)*100)&lt;-50,"NM",(BM477/BE477-1)*100)))</f>
        <v>NM</v>
      </c>
      <c r="BO477" s="23">
        <f>181.5-BO476-BO478</f>
        <v>91.399999999999991</v>
      </c>
      <c r="BP477" s="61">
        <f>IF(ISERROR((BO477/BG477-1)*100),"NA",IF(((BO477/BG477-1)*100)&gt;100,"NM",IF(((BO477/BG477-1)*100)&lt;-50,"NM",(BO477/BG477-1)*100)))</f>
        <v>13.11881188118813</v>
      </c>
      <c r="BQ477" s="23">
        <f>178.4-BQ476-BQ478</f>
        <v>97.200000000000017</v>
      </c>
      <c r="BR477" s="61">
        <f>IF(ISERROR((BQ477/BI477-1)*100),"NA",IF(((BQ477/BI477-1)*100)&gt;100,"NM",IF(((BQ477/BI477-1)*100)&lt;-50,"NM",(BQ477/BI477-1)*100)))</f>
        <v>11.467889908256868</v>
      </c>
      <c r="BS477" s="23">
        <f>194.7-BS476-BS478</f>
        <v>126.39999999999999</v>
      </c>
      <c r="BT477" s="61">
        <f>IF(ISERROR((BS477/BK477-1)*100),"NA",IF(((BS477/BK477-1)*100)&gt;100,"NM",IF(((BS477/BK477-1)*100)&lt;-50,"NM",(BS477/BK477-1)*100)))</f>
        <v>29.508196721311464</v>
      </c>
      <c r="BU477" s="23">
        <f>202-BU476-BU478</f>
        <v>129.69999999999999</v>
      </c>
      <c r="BV477" s="61">
        <f>IF(ISERROR((BU477/BM477-1)*100),"NA",IF(((BU477/BM477-1)*100)&gt;100,"NM",IF(((BU477/BM477-1)*100)&lt;-50,"NM",(BU477/BM477-1)*100)))</f>
        <v>18.123861566484536</v>
      </c>
      <c r="BW477" s="23">
        <f>271.6-BW476-BW478</f>
        <v>206.90000000000003</v>
      </c>
      <c r="BX477" s="61" t="str">
        <f>IF(ISERROR((BW477/BO477-1)*100),"NA",IF(((BW477/BO477-1)*100)&gt;100,"NM",IF(((BW477/BO477-1)*100)&lt;-50,"NM",(BW477/BO477-1)*100)))</f>
        <v>NM</v>
      </c>
      <c r="BY477" s="23">
        <f>201.7-BY476-BY478</f>
        <v>140.79999999999998</v>
      </c>
      <c r="BZ477" s="61">
        <f>IF(ISERROR((BY477/BQ477-1)*100),"NA",IF(((BY477/BQ477-1)*100)&gt;100,"NM",IF(((BY477/BQ477-1)*100)&lt;-50,"NM",(BY477/BQ477-1)*100)))</f>
        <v>44.855967078189266</v>
      </c>
      <c r="CA477" s="23">
        <f>173.6-CA476-CA478</f>
        <v>105.6</v>
      </c>
      <c r="CB477" s="61">
        <f>IF(ISERROR((CA477/BS477-1)*100),"NA",IF(((CA477/BS477-1)*100)&gt;100,"NM",IF(((CA477/BS477-1)*100)&lt;-50,"NM",(CA477/BS477-1)*100)))</f>
        <v>-16.455696202531644</v>
      </c>
      <c r="CC477" s="23">
        <f>200.1-CC476-CC478</f>
        <v>132</v>
      </c>
      <c r="CD477" s="61">
        <f>IF(ISERROR((CC477/BU477-1)*100),"NA",IF(((CC477/BU477-1)*100)&gt;100,"NM",IF(((CC477/BU477-1)*100)&lt;-50,"NM",(CC477/BU477-1)*100)))</f>
        <v>1.7733230531997046</v>
      </c>
      <c r="CE477" s="23">
        <f>178.9-CE476-CE478</f>
        <v>110.80000000000001</v>
      </c>
      <c r="CF477" s="61">
        <f>IF(ISERROR((CE477/BW477-1)*100),"NA",IF(((CE477/BW477-1)*100)&gt;100,"NM",IF(((CE477/BW477-1)*100)&lt;-50,"NM",(CE477/BW477-1)*100)))</f>
        <v>-46.447559207346544</v>
      </c>
      <c r="CG477" s="23">
        <f>183.1-CG476-CG478</f>
        <v>114.1</v>
      </c>
      <c r="CH477" s="61">
        <f>IF(ISERROR((CG477/BY477-1)*100),"NA",IF(((CG477/BY477-1)*100)&gt;100,"NM",IF(((CG477/BY477-1)*100)&lt;-50,"NM",(CG477/BY477-1)*100)))</f>
        <v>-18.963068181818176</v>
      </c>
      <c r="CI477" s="23">
        <f>183.1-CI476-CI478</f>
        <v>108.6</v>
      </c>
      <c r="CJ477" s="61">
        <f>IF(ISERROR((CI477/CA477-1)*100),"NA",IF(((CI477/CA477-1)*100)&gt;100,"NM",IF(((CI477/CA477-1)*100)&lt;-50,"NM",(CI477/CA477-1)*100)))</f>
        <v>2.8409090909090828</v>
      </c>
      <c r="CK477" s="23">
        <f>235.3-CK476-CK478</f>
        <v>161</v>
      </c>
      <c r="CL477" s="61">
        <f>IF(ISERROR((CK477/CC477-1)*100),"NA",IF(((CK477/CC477-1)*100)&gt;100,"NM",IF(((CK477/CC477-1)*100)&lt;-50,"NM",(CK477/CC477-1)*100)))</f>
        <v>21.969696969696972</v>
      </c>
      <c r="CM477" s="23">
        <f>175.9-CM476-CM478</f>
        <v>104.30000000000001</v>
      </c>
      <c r="CN477" s="61">
        <f>IF(ISERROR((CM477/CE477-1)*100),"NA",IF(((CM477/CE477-1)*100)&gt;100,"NM",IF(((CM477/CE477-1)*100)&lt;-50,"NM",(CM477/CE477-1)*100)))</f>
        <v>-5.8664259927797779</v>
      </c>
      <c r="CO477" s="23">
        <f>149-CO476-CO478</f>
        <v>77</v>
      </c>
      <c r="CP477" s="61">
        <f>IF(ISERROR((CO477/CG477-1)*100),"NA",IF(((CO477/CG477-1)*100)&gt;100,"NM",IF(((CO477/CG477-1)*100)&lt;-50,"NM",(CO477/CG477-1)*100)))</f>
        <v>-32.515337423312886</v>
      </c>
      <c r="CQ477" s="23">
        <f>183-CQ476-CQ478</f>
        <v>112</v>
      </c>
      <c r="CR477" s="61">
        <f>IF(ISERROR((CQ477/CI477-1)*100),"NA",IF(((CQ477/CI477-1)*100)&gt;100,"NM",IF(((CQ477/CI477-1)*100)&lt;-50,"NM",(CQ477/CI477-1)*100)))</f>
        <v>3.130755064456725</v>
      </c>
      <c r="CS477" s="23">
        <f>175-CS476-CS478</f>
        <v>105</v>
      </c>
      <c r="CT477" s="61">
        <f>IF(ISERROR((CS477/CK477-1)*100),"NA",IF(((CS477/CK477-1)*100)&gt;100,"NM",IF(((CS477/CK477-1)*100)&lt;-50,"NM",(CS477/CK477-1)*100)))</f>
        <v>-34.782608695652172</v>
      </c>
      <c r="CU477" s="23">
        <f>163-CU476-CU478</f>
        <v>95</v>
      </c>
      <c r="CV477" s="61">
        <f>IF(ISERROR((CU477/CM477-1)*100),"NA",IF(((CU477/CM477-1)*100)&gt;100,"NM",IF(((CU477/CM477-1)*100)&lt;-50,"NM",(CU477/CM477-1)*100)))</f>
        <v>-8.9165867689357743</v>
      </c>
      <c r="CW477" s="23">
        <f>164-CW476-CW478</f>
        <v>96</v>
      </c>
      <c r="CX477" s="61">
        <f>IF(ISERROR((CW477/CO477-1)*100),"NA",IF(((CW477/CO477-1)*100)&gt;100,"NM",IF(((CW477/CO477-1)*100)&lt;-50,"NM",(CW477/CO477-1)*100)))</f>
        <v>24.675324675324674</v>
      </c>
      <c r="CY477" s="23">
        <f>190-CY476-CY478</f>
        <v>122</v>
      </c>
      <c r="CZ477" s="61">
        <f>IF(ISERROR((CY477/CQ477-1)*100),"NA",IF(((CY477/CQ477-1)*100)&gt;100,"NM",IF(((CY477/CQ477-1)*100)&lt;-50,"NM",(CY477/CQ477-1)*100)))</f>
        <v>8.9285714285714199</v>
      </c>
      <c r="DA477" s="23">
        <f>170-DA476-DA478</f>
        <v>105</v>
      </c>
      <c r="DB477" s="61">
        <f>IF(ISERROR((DA477/CS477-1)*100),"NA",IF(((DA477/CS477-1)*100)&gt;100,"NM",IF(((DA477/CS477-1)*100)&lt;-50,"NM",(DA477/CS477-1)*100)))</f>
        <v>0</v>
      </c>
      <c r="DC477" s="23">
        <f>158-DC476-DC478</f>
        <v>94</v>
      </c>
      <c r="DD477" s="61">
        <f>IF(ISERROR((DC477/CU477-1)*100),"NA",IF(((DC477/CU477-1)*100)&gt;100,"NM",IF(((DC477/CU477-1)*100)&lt;-50,"NM",(DC477/CU477-1)*100)))</f>
        <v>-1.0526315789473717</v>
      </c>
      <c r="DE477" s="23">
        <f>163-DE476-DE478</f>
        <v>98</v>
      </c>
      <c r="DF477" s="61">
        <f>IF(ISERROR((DE477/CW477-1)*100),"NA",IF(((DE477/CW477-1)*100)&gt;100,"NM",IF(((DE477/CW477-1)*100)&lt;-50,"NM",(DE477/CW477-1)*100)))</f>
        <v>2.0833333333333259</v>
      </c>
      <c r="DG477" s="23">
        <f>142-DG476-DG478</f>
        <v>75</v>
      </c>
      <c r="DH477" s="61">
        <f>IF(ISERROR((DG477/CY477-1)*100),"NA",IF(((DG477/CY477-1)*100)&gt;100,"NM",IF(((DG477/CY477-1)*100)&lt;-50,"NM",(DG477/CY477-1)*100)))</f>
        <v>-38.524590163934427</v>
      </c>
      <c r="DI477" s="23">
        <f>145-DI476-DI478</f>
        <v>77</v>
      </c>
      <c r="DJ477" s="61">
        <f>IF(ISERROR((DI477/DA477-1)*100),"NA",IF(((DI477/DA477-1)*100)&gt;100,"NM",IF(((DI477/DA477-1)*100)&lt;-50,"NM",(DI477/DA477-1)*100)))</f>
        <v>-26.666666666666671</v>
      </c>
      <c r="DK477" s="23">
        <f>152-DK476-DK478</f>
        <v>85</v>
      </c>
      <c r="DL477" s="61">
        <f>IF(ISERROR((DK477/DC477-1)*100),"NA",IF(((DK477/DC477-1)*100)&gt;100,"NM",IF(((DK477/DC477-1)*100)&lt;-50,"NM",(DK477/DC477-1)*100)))</f>
        <v>-9.5744680851063801</v>
      </c>
      <c r="DM477" s="23">
        <f>140-DM476-DM478</f>
        <v>73</v>
      </c>
      <c r="DN477" s="130">
        <f t="shared" si="2417"/>
        <v>-25.510204081632647</v>
      </c>
      <c r="DO477" s="23">
        <f>148-DO476-DO478</f>
        <v>81</v>
      </c>
      <c r="DP477" s="130">
        <f t="shared" si="2417"/>
        <v>8.0000000000000071</v>
      </c>
      <c r="DQ477" s="23">
        <f>157-DQ476-DQ478</f>
        <v>90</v>
      </c>
      <c r="DR477" s="130">
        <f t="shared" si="2417"/>
        <v>16.883116883116877</v>
      </c>
      <c r="DS477" s="23">
        <f>139-DS476-DS478</f>
        <v>71</v>
      </c>
      <c r="DT477" s="130">
        <f t="shared" si="2417"/>
        <v>-16.470588235294116</v>
      </c>
      <c r="DU477" s="23">
        <f>155-DU476-DU478</f>
        <v>86</v>
      </c>
      <c r="DV477" s="130">
        <f t="shared" si="2417"/>
        <v>17.808219178082197</v>
      </c>
      <c r="DW477" s="23">
        <f>189-DW476-DW478</f>
        <v>122</v>
      </c>
      <c r="DX477" s="23">
        <f t="shared" ref="DX477" si="2432">189-DX476-DX478</f>
        <v>122</v>
      </c>
      <c r="DY477" s="23">
        <f>131-DY476-DY478</f>
        <v>63</v>
      </c>
      <c r="DZ477" s="130">
        <f t="shared" si="2417"/>
        <v>-30.000000000000004</v>
      </c>
      <c r="EA477" s="23">
        <f>109-EA476-EA478</f>
        <v>41</v>
      </c>
      <c r="EB477" s="61">
        <f t="shared" si="2418"/>
        <v>-42.25352112676056</v>
      </c>
      <c r="EC477" s="23">
        <f>125-EC476-EC478</f>
        <v>57</v>
      </c>
      <c r="ED477" s="61">
        <f t="shared" si="2419"/>
        <v>-33.720930232558146</v>
      </c>
      <c r="EE477" s="23">
        <f>151-EE476-EE478</f>
        <v>85</v>
      </c>
      <c r="EF477" s="61">
        <f t="shared" si="2420"/>
        <v>-30.327868852459016</v>
      </c>
      <c r="EG477" s="23">
        <f>159-EG476-EG478</f>
        <v>84</v>
      </c>
      <c r="EH477" s="61">
        <f t="shared" si="2421"/>
        <v>33.333333333333329</v>
      </c>
      <c r="EI477" s="23">
        <f>129-EI476-EI478</f>
        <v>56</v>
      </c>
      <c r="EJ477" s="61">
        <f t="shared" si="2422"/>
        <v>36.585365853658544</v>
      </c>
      <c r="EK477" s="23">
        <f>130-EK476-EK478</f>
        <v>53</v>
      </c>
      <c r="EL477" s="61">
        <f t="shared" si="2423"/>
        <v>-7.0175438596491224</v>
      </c>
      <c r="EM477" s="23">
        <f>135-EM476-EM478</f>
        <v>62</v>
      </c>
      <c r="EN477" s="61">
        <f t="shared" si="2424"/>
        <v>-27.058823529411768</v>
      </c>
      <c r="EO477" s="23">
        <f>131-EO476-EO478</f>
        <v>58</v>
      </c>
      <c r="EP477" s="61">
        <f t="shared" si="2425"/>
        <v>-30.952380952380953</v>
      </c>
      <c r="EQ477" s="72">
        <v>63</v>
      </c>
      <c r="ER477" s="61">
        <f t="shared" si="2426"/>
        <v>12.5</v>
      </c>
      <c r="ES477" s="72">
        <f t="shared" ref="ES477" si="2433">EQ477</f>
        <v>63</v>
      </c>
      <c r="ET477" s="61">
        <f t="shared" si="2427"/>
        <v>18.867924528301884</v>
      </c>
      <c r="EU477" s="72">
        <f t="shared" si="2428"/>
        <v>63</v>
      </c>
      <c r="EV477" s="61">
        <f t="shared" si="2429"/>
        <v>1.6129032258064502</v>
      </c>
      <c r="EW477" s="72">
        <f t="shared" si="2430"/>
        <v>63</v>
      </c>
      <c r="EX477" s="61">
        <f t="shared" si="2431"/>
        <v>8.6206896551724199</v>
      </c>
      <c r="EY477" s="270"/>
      <c r="EZ477" s="558"/>
      <c r="FA477" s="270"/>
      <c r="FB477" s="270"/>
      <c r="FC477" s="270"/>
      <c r="FD477" s="270"/>
      <c r="FE477" s="126"/>
      <c r="FF477" s="69"/>
      <c r="FG477" s="126"/>
      <c r="FH477" s="69"/>
      <c r="FI477" s="126"/>
      <c r="FJ477" s="69"/>
      <c r="FK477" s="126"/>
      <c r="FL477" s="69"/>
      <c r="FM477" s="126"/>
      <c r="FN477" s="69"/>
      <c r="FO477" s="126"/>
      <c r="FP477" s="273">
        <f>AQ477+AS477+AU477+AW477</f>
        <v>98.5</v>
      </c>
      <c r="FQ477" s="61" t="str">
        <f>IF(ISERROR((FP477/FN477-1)*100),"NA",IF(((FP477/FN477-1)*100)&gt;100,"NM",IF(((FP477/FN477-1)*100)&lt;-50,"NM",(FP477/FN477-1)*100)))</f>
        <v>NA</v>
      </c>
      <c r="FR477" s="273">
        <f>AY477+BA477+BC477+BE477</f>
        <v>75.053846153846138</v>
      </c>
      <c r="FS477" s="61">
        <f>IF(ISERROR((FR477/FP477-1)*100),"NA",IF(((FR477/FP477-1)*100)&gt;100,"NM",IF(((FR477/FP477-1)*100)&lt;-50,"NM",(FR477/FP477-1)*100)))</f>
        <v>-23.803201874267877</v>
      </c>
      <c r="FT477" s="273">
        <f>BG477+BI477+BK477+BM477</f>
        <v>375.4</v>
      </c>
      <c r="FU477" s="61" t="str">
        <f>IF(ISERROR((FT477/FR477-1)*100),"NA",IF(((FT477/FR477-1)*100)&gt;100,"NM",IF(((FT477/FR477-1)*100)&lt;-50,"NM",(FT477/FR477-1)*100)))</f>
        <v>NM</v>
      </c>
      <c r="FV477" s="273">
        <f>BO477+BQ477+BS477+BU477</f>
        <v>444.7</v>
      </c>
      <c r="FW477" s="61">
        <f>IF(ISERROR((FV477/FT477-1)*100),"NA",IF(((FV477/FT477-1)*100)&gt;100,"NM",IF(((FV477/FT477-1)*100)&lt;-50,"NM",(FV477/FT477-1)*100)))</f>
        <v>18.460309003729371</v>
      </c>
      <c r="FX477" s="73">
        <f>BW477+BY477+CA477+CC477</f>
        <v>585.30000000000007</v>
      </c>
      <c r="FY477" s="61">
        <f>IF(ISERROR((FX477/FV477-1)*100),"NA",IF(((FX477/FV477-1)*100)&gt;100,"NM",IF(((FX477/FV477-1)*100)&lt;-50,"NM",(FX477/FV477-1)*100)))</f>
        <v>31.616820328311235</v>
      </c>
      <c r="FZ477" s="73">
        <f>CE477+CG477+CI477+CK477</f>
        <v>494.5</v>
      </c>
      <c r="GA477" s="61">
        <f>IF(ISERROR((FZ477/FX477-1)*100),"NA",IF(((FZ477/FX477-1)*100)&gt;100,"NM",IF(((FZ477/FX477-1)*100)&lt;-50,"NM",(FZ477/FX477-1)*100)))</f>
        <v>-15.513411925508292</v>
      </c>
      <c r="GB477" s="73">
        <f>CM477+CO477+CQ477+CS477</f>
        <v>398.3</v>
      </c>
      <c r="GC477" s="61">
        <f>IF(ISERROR((GB477/FZ477-1)*100),"NA",IF(((GB477/FZ477-1)*100)&gt;100,"NM",IF(((GB477/FZ477-1)*100)&lt;-50,"NM",(GB477/FZ477-1)*100)))</f>
        <v>-19.453993933265924</v>
      </c>
      <c r="GD477" s="73">
        <f>CU477+CW477+CY477+DA477</f>
        <v>418</v>
      </c>
      <c r="GE477" s="61">
        <f>IF(ISERROR((GD477/GB477-1)*100),"NA",IF(((GD477/GB477-1)*100)&gt;100,"NM",IF(((GD477/GB477-1)*100)&lt;-50,"NM",(GD477/GB477-1)*100)))</f>
        <v>4.9460205874968688</v>
      </c>
      <c r="GF477" s="73">
        <f>DC477+DE477+DG477+DI477</f>
        <v>344</v>
      </c>
      <c r="GG477" s="61">
        <f>IF(ISERROR((GF477/GD477-1)*100),"NA",IF(((GF477/GD477-1)*100)&gt;100,"NM",IF(((GF477/GD477-1)*100)&lt;-50,"NM",(GF477/GD477-1)*100)))</f>
        <v>-17.703349282296653</v>
      </c>
      <c r="GH477" s="73">
        <f>DK477+DM477+DO477+DQ477</f>
        <v>329</v>
      </c>
      <c r="GI477" s="61">
        <f>IF(ISERROR((GH477/GF477-1)*100),"NA",IF(((GH477/GF477-1)*100)&gt;100,"NM",IF(((GH477/GF477-1)*100)&lt;-50,"NM",(GH477/GF477-1)*100)))</f>
        <v>-4.360465116279066</v>
      </c>
      <c r="GJ477" s="73">
        <f>DS477+DU477+DW477+DY477</f>
        <v>342</v>
      </c>
      <c r="GK477" s="61">
        <f>IF(ISERROR((GJ477/GH477-1)*100),"NA",IF(((GJ477/GH477-1)*100)&gt;100,"NM",IF(((GJ477/GH477-1)*100)&lt;-50,"NM",(GJ477/GH477-1)*100)))</f>
        <v>3.951367781155013</v>
      </c>
      <c r="GL477" s="73">
        <f>EA477+EC477+EE477+EG477</f>
        <v>267</v>
      </c>
      <c r="GM477" s="61">
        <f>IF(ISERROR((GL477/GJ477-1)*100),"NA",IF(((GL477/GJ477-1)*100)&gt;100,"NM",IF(((GL477/GJ477-1)*100)&lt;-50,"NM",(GL477/GJ477-1)*100)))</f>
        <v>-21.92982456140351</v>
      </c>
      <c r="GN477" s="73">
        <f>EI477+EK477+EM477+EO477</f>
        <v>229</v>
      </c>
      <c r="GO477" s="61">
        <f>IF(ISERROR((GN477/GL477-1)*100),"NA",IF(((GN477/GL477-1)*100)&gt;100,"NM",IF(((GN477/GL477-1)*100)&lt;-50,"NM",(GN477/GL477-1)*100)))</f>
        <v>-14.232209737827716</v>
      </c>
      <c r="GP477" s="73">
        <f>EQ477+ES477+EU477+EW477</f>
        <v>252</v>
      </c>
      <c r="GQ477" s="61">
        <f>IF(ISERROR((GP477/GN477-1)*100),"NA",IF(((GP477/GN477-1)*100)&gt;100,"NM",IF(((GP477/GN477-1)*100)&lt;-50,"NM",(GP477/GN477-1)*100)))</f>
        <v>10.043668122270732</v>
      </c>
      <c r="GR477" s="72">
        <f>GP477*1.03</f>
        <v>259.56</v>
      </c>
      <c r="GS477" s="61">
        <f>IF(ISERROR((GR477/GP477-1)*100),"NA",IF(((GR477/GP477-1)*100)&gt;100,"NM",IF(((GR477/GP477-1)*100)&lt;-50,"NM",(GR477/GP477-1)*100)))</f>
        <v>3.0000000000000027</v>
      </c>
      <c r="GT477" s="72">
        <f>GR477*1.02</f>
        <v>264.75119999999998</v>
      </c>
      <c r="GU477" s="61">
        <f>IF(ISERROR((GT477/GR477-1)*100),"NA",IF(((GT477/GR477-1)*100)&gt;100,"NM",IF(((GT477/GR477-1)*100)&lt;-50,"NM",(GT477/GR477-1)*100)))</f>
        <v>2.0000000000000018</v>
      </c>
      <c r="GV477" s="72">
        <f>GT477*1.02</f>
        <v>270.046224</v>
      </c>
      <c r="GW477" s="61">
        <f>IF(ISERROR((GV477/GT477-1)*100),"NA",IF(((GV477/GT477-1)*100)&gt;100,"NM",IF(((GV477/GT477-1)*100)&lt;-50,"NM",(GV477/GT477-1)*100)))</f>
        <v>2.0000000000000018</v>
      </c>
      <c r="GX477" s="72">
        <f>GV477*1.02</f>
        <v>275.44714848000001</v>
      </c>
      <c r="GY477" s="61">
        <f>IF(ISERROR((GX477/GV477-1)*100),"NA",IF(((GX477/GV477-1)*100)&gt;100,"NM",IF(((GX477/GV477-1)*100)&lt;-50,"NM",(GX477/GV477-1)*100)))</f>
        <v>2.0000000000000018</v>
      </c>
      <c r="GZ477" s="61">
        <f t="shared" si="2388"/>
        <v>3.7625317331082098</v>
      </c>
      <c r="HA477" s="61"/>
      <c r="HB477" s="452"/>
      <c r="HC477"/>
      <c r="HD477"/>
      <c r="HE477"/>
      <c r="HF477"/>
      <c r="HG477"/>
      <c r="HH477"/>
    </row>
    <row r="478" spans="1:216" s="5" customFormat="1" ht="12.75" customHeight="1" x14ac:dyDescent="0.2">
      <c r="A478" s="7"/>
      <c r="B478" s="2" t="s">
        <v>715</v>
      </c>
      <c r="C478" s="272"/>
      <c r="D478" s="60"/>
      <c r="E478" s="272"/>
      <c r="F478" s="59"/>
      <c r="G478" s="272"/>
      <c r="H478" s="59"/>
      <c r="I478" s="272"/>
      <c r="J478" s="59"/>
      <c r="K478" s="272"/>
      <c r="L478" s="61"/>
      <c r="M478" s="272"/>
      <c r="N478" s="61"/>
      <c r="O478" s="272"/>
      <c r="P478" s="61"/>
      <c r="Q478" s="272"/>
      <c r="R478" s="61"/>
      <c r="S478" s="272"/>
      <c r="T478" s="61"/>
      <c r="U478" s="272"/>
      <c r="V478" s="61"/>
      <c r="W478" s="272"/>
      <c r="X478" s="61"/>
      <c r="Y478" s="272"/>
      <c r="Z478" s="61"/>
      <c r="AA478" s="272"/>
      <c r="AB478" s="61"/>
      <c r="AC478" s="272"/>
      <c r="AD478" s="61"/>
      <c r="AE478" s="272"/>
      <c r="AF478" s="61"/>
      <c r="AG478" s="272"/>
      <c r="AH478" s="61"/>
      <c r="AI478" s="272"/>
      <c r="AJ478" s="61"/>
      <c r="AK478" s="272"/>
      <c r="AL478" s="61"/>
      <c r="AM478" s="272"/>
      <c r="AN478" s="61"/>
      <c r="AO478" s="272"/>
      <c r="AP478" s="61"/>
      <c r="AQ478" s="272"/>
      <c r="AR478" s="61"/>
      <c r="AS478" s="272"/>
      <c r="AT478" s="61"/>
      <c r="AU478" s="272"/>
      <c r="AV478" s="61"/>
      <c r="AW478" s="272"/>
      <c r="AX478" s="61"/>
      <c r="AY478" s="23"/>
      <c r="AZ478" s="61"/>
      <c r="BA478" s="23">
        <f>11/0.65</f>
        <v>16.923076923076923</v>
      </c>
      <c r="BB478" s="61"/>
      <c r="BC478" s="23">
        <f>9/0.65</f>
        <v>13.846153846153845</v>
      </c>
      <c r="BD478" s="61"/>
      <c r="BE478" s="23">
        <f>12.4/0.65</f>
        <v>19.076923076923077</v>
      </c>
      <c r="BF478" s="61"/>
      <c r="BG478" s="23">
        <v>14</v>
      </c>
      <c r="BH478" s="61"/>
      <c r="BI478" s="23">
        <v>30</v>
      </c>
      <c r="BJ478" s="61"/>
      <c r="BK478" s="23">
        <v>29.3</v>
      </c>
      <c r="BL478" s="61"/>
      <c r="BM478" s="23">
        <v>27.9</v>
      </c>
      <c r="BN478" s="61"/>
      <c r="BO478" s="23">
        <v>14.7</v>
      </c>
      <c r="BP478" s="61"/>
      <c r="BQ478" s="23">
        <v>16.399999999999999</v>
      </c>
      <c r="BR478" s="61"/>
      <c r="BS478" s="23"/>
      <c r="BT478" s="61"/>
      <c r="BU478" s="23"/>
      <c r="BV478" s="61"/>
      <c r="BW478" s="23">
        <v>0</v>
      </c>
      <c r="BX478" s="61" t="str">
        <f>IF(ISERROR((BW478/BO478-1)*100),"NA",IF(((BW478/BO478-1)*100)&gt;100,"NM",IF(((BW478/BO478-1)*100)&lt;-50,"NM",(BW478/BO478-1)*100)))</f>
        <v>NM</v>
      </c>
      <c r="BY478" s="23">
        <v>0</v>
      </c>
      <c r="BZ478" s="61" t="str">
        <f>IF(ISERROR((BY478/BQ478-1)*100),"NA",IF(((BY478/BQ478-1)*100)&gt;100,"NM",IF(((BY478/BQ478-1)*100)&lt;-50,"NM",(BY478/BQ478-1)*100)))</f>
        <v>NM</v>
      </c>
      <c r="CA478" s="23">
        <v>0</v>
      </c>
      <c r="CB478" s="61" t="str">
        <f>IF(ISERROR((CA478/BS478-1)*100),"NA",IF(((CA478/BS478-1)*100)&gt;100,"NM",IF(((CA478/BS478-1)*100)&lt;-50,"NM",(CA478/BS478-1)*100)))</f>
        <v>NA</v>
      </c>
      <c r="CC478" s="23">
        <v>0</v>
      </c>
      <c r="CD478" s="61" t="str">
        <f>IF(ISERROR((CC478/BU478-1)*100),"NA",IF(((CC478/BU478-1)*100)&gt;100,"NM",IF(((CC478/BU478-1)*100)&lt;-50,"NM",(CC478/BU478-1)*100)))</f>
        <v>NA</v>
      </c>
      <c r="CE478" s="23">
        <v>0</v>
      </c>
      <c r="CF478" s="61" t="str">
        <f>IF(ISERROR((CE478/BW478-1)*100),"NA",IF(((CE478/BW478-1)*100)&gt;100,"NM",IF(((CE478/BW478-1)*100)&lt;-50,"NM",(CE478/BW478-1)*100)))</f>
        <v>NA</v>
      </c>
      <c r="CG478" s="23">
        <v>0</v>
      </c>
      <c r="CH478" s="61" t="str">
        <f>IF(ISERROR((CG478/BY478-1)*100),"NA",IF(((CG478/BY478-1)*100)&gt;100,"NM",IF(((CG478/BY478-1)*100)&lt;-50,"NM",(CG478/BY478-1)*100)))</f>
        <v>NA</v>
      </c>
      <c r="CI478" s="23">
        <v>0</v>
      </c>
      <c r="CJ478" s="61" t="str">
        <f>IF(ISERROR((CI478/CA478-1)*100),"NA",IF(((CI478/CA478-1)*100)&gt;100,"NM",IF(((CI478/CA478-1)*100)&lt;-50,"NM",(CI478/CA478-1)*100)))</f>
        <v>NA</v>
      </c>
      <c r="CK478" s="23">
        <v>0</v>
      </c>
      <c r="CL478" s="61" t="str">
        <f>IF(ISERROR((CK478/CC478-1)*100),"NA",IF(((CK478/CC478-1)*100)&gt;100,"NM",IF(((CK478/CC478-1)*100)&lt;-50,"NM",(CK478/CC478-1)*100)))</f>
        <v>NA</v>
      </c>
      <c r="CM478" s="23">
        <v>0</v>
      </c>
      <c r="CN478" s="61" t="str">
        <f>IF(ISERROR((CM478/CE478-1)*100),"NA",IF(((CM478/CE478-1)*100)&gt;100,"NM",IF(((CM478/CE478-1)*100)&lt;-50,"NM",(CM478/CE478-1)*100)))</f>
        <v>NA</v>
      </c>
      <c r="CO478" s="23">
        <v>0</v>
      </c>
      <c r="CP478" s="61" t="str">
        <f>IF(ISERROR((CO478/CG478-1)*100),"NA",IF(((CO478/CG478-1)*100)&gt;100,"NM",IF(((CO478/CG478-1)*100)&lt;-50,"NM",(CO478/CG478-1)*100)))</f>
        <v>NA</v>
      </c>
      <c r="CQ478" s="23">
        <v>0</v>
      </c>
      <c r="CR478" s="61" t="str">
        <f>IF(ISERROR((CQ478/CI478-1)*100),"NA",IF(((CQ478/CI478-1)*100)&gt;100,"NM",IF(((CQ478/CI478-1)*100)&lt;-50,"NM",(CQ478/CI478-1)*100)))</f>
        <v>NA</v>
      </c>
      <c r="CS478" s="23">
        <v>0</v>
      </c>
      <c r="CT478" s="61" t="str">
        <f>IF(ISERROR((CS478/CK478-1)*100),"NA",IF(((CS478/CK478-1)*100)&gt;100,"NM",IF(((CS478/CK478-1)*100)&lt;-50,"NM",(CS478/CK478-1)*100)))</f>
        <v>NA</v>
      </c>
      <c r="CU478" s="23">
        <v>0</v>
      </c>
      <c r="CV478" s="61" t="str">
        <f>IF(ISERROR((CU478/CM478-1)*100),"NA",IF(((CU478/CM478-1)*100)&gt;100,"NM",IF(((CU478/CM478-1)*100)&lt;-50,"NM",(CU478/CM478-1)*100)))</f>
        <v>NA</v>
      </c>
      <c r="CW478" s="23">
        <v>0</v>
      </c>
      <c r="CX478" s="61" t="str">
        <f>IF(ISERROR((CW478/CO478-1)*100),"NA",IF(((CW478/CO478-1)*100)&gt;100,"NM",IF(((CW478/CO478-1)*100)&lt;-50,"NM",(CW478/CO478-1)*100)))</f>
        <v>NA</v>
      </c>
      <c r="CY478" s="23">
        <v>0</v>
      </c>
      <c r="CZ478" s="61" t="str">
        <f>IF(ISERROR((CY478/CQ478-1)*100),"NA",IF(((CY478/CQ478-1)*100)&gt;100,"NM",IF(((CY478/CQ478-1)*100)&lt;-50,"NM",(CY478/CQ478-1)*100)))</f>
        <v>NA</v>
      </c>
      <c r="DA478" s="23">
        <v>0</v>
      </c>
      <c r="DB478" s="61" t="str">
        <f>IF(ISERROR((DA478/CS478-1)*100),"NA",IF(((DA478/CS478-1)*100)&gt;100,"NM",IF(((DA478/CS478-1)*100)&lt;-50,"NM",(DA478/CS478-1)*100)))</f>
        <v>NA</v>
      </c>
      <c r="DC478" s="23">
        <v>0</v>
      </c>
      <c r="DD478" s="61" t="str">
        <f>IF(ISERROR((DC478/CU478-1)*100),"NA",IF(((DC478/CU478-1)*100)&gt;100,"NM",IF(((DC478/CU478-1)*100)&lt;-50,"NM",(DC478/CU478-1)*100)))</f>
        <v>NA</v>
      </c>
      <c r="DE478" s="23">
        <v>0</v>
      </c>
      <c r="DF478" s="61" t="str">
        <f>IF(ISERROR((DE478/CW478-1)*100),"NA",IF(((DE478/CW478-1)*100)&gt;100,"NM",IF(((DE478/CW478-1)*100)&lt;-50,"NM",(DE478/CW478-1)*100)))</f>
        <v>NA</v>
      </c>
      <c r="DG478" s="23">
        <v>0</v>
      </c>
      <c r="DH478" s="61" t="str">
        <f>IF(ISERROR((DG478/CY478-1)*100),"NA",IF(((DG478/CY478-1)*100)&gt;100,"NM",IF(((DG478/CY478-1)*100)&lt;-50,"NM",(DG478/CY478-1)*100)))</f>
        <v>NA</v>
      </c>
      <c r="DI478" s="23">
        <v>0</v>
      </c>
      <c r="DJ478" s="61" t="str">
        <f>IF(ISERROR((DI478/DA478-1)*100),"NA",IF(((DI478/DA478-1)*100)&gt;100,"NM",IF(((DI478/DA478-1)*100)&lt;-50,"NM",(DI478/DA478-1)*100)))</f>
        <v>NA</v>
      </c>
      <c r="DK478" s="23">
        <v>0</v>
      </c>
      <c r="DL478" s="61" t="str">
        <f>IF(ISERROR((DK478/DC478-1)*100),"NA",IF(((DK478/DC478-1)*100)&gt;100,"NM",IF(((DK478/DC478-1)*100)&lt;-50,"NM",(DK478/DC478-1)*100)))</f>
        <v>NA</v>
      </c>
      <c r="DM478" s="23">
        <v>0</v>
      </c>
      <c r="DN478" s="130" t="str">
        <f t="shared" si="2417"/>
        <v>NA</v>
      </c>
      <c r="DO478" s="23">
        <v>0</v>
      </c>
      <c r="DP478" s="130" t="str">
        <f t="shared" si="2417"/>
        <v>NA</v>
      </c>
      <c r="DQ478" s="23">
        <v>0</v>
      </c>
      <c r="DR478" s="130" t="str">
        <f t="shared" si="2417"/>
        <v>NA</v>
      </c>
      <c r="DS478" s="23">
        <v>0</v>
      </c>
      <c r="DT478" s="130" t="str">
        <f t="shared" si="2417"/>
        <v>NA</v>
      </c>
      <c r="DU478" s="23">
        <v>0</v>
      </c>
      <c r="DV478" s="130" t="str">
        <f t="shared" si="2417"/>
        <v>NA</v>
      </c>
      <c r="DW478" s="23">
        <v>0</v>
      </c>
      <c r="DX478" s="23">
        <v>0</v>
      </c>
      <c r="DY478" s="23">
        <v>0</v>
      </c>
      <c r="DZ478" s="130" t="str">
        <f t="shared" si="2417"/>
        <v>NA</v>
      </c>
      <c r="EA478" s="23">
        <v>0</v>
      </c>
      <c r="EB478" s="61" t="str">
        <f t="shared" si="2418"/>
        <v>NA</v>
      </c>
      <c r="EC478" s="23">
        <v>0</v>
      </c>
      <c r="ED478" s="61" t="str">
        <f t="shared" si="2419"/>
        <v>NA</v>
      </c>
      <c r="EE478" s="23">
        <v>0</v>
      </c>
      <c r="EF478" s="61" t="str">
        <f t="shared" si="2420"/>
        <v>NA</v>
      </c>
      <c r="EG478" s="23">
        <v>8</v>
      </c>
      <c r="EH478" s="61" t="str">
        <f t="shared" si="2421"/>
        <v>NA</v>
      </c>
      <c r="EI478" s="23">
        <v>9</v>
      </c>
      <c r="EJ478" s="61" t="str">
        <f t="shared" si="2422"/>
        <v>NA</v>
      </c>
      <c r="EK478" s="23">
        <v>14</v>
      </c>
      <c r="EL478" s="61" t="str">
        <f t="shared" si="2423"/>
        <v>NA</v>
      </c>
      <c r="EM478" s="23">
        <v>10</v>
      </c>
      <c r="EN478" s="61" t="str">
        <f t="shared" si="2424"/>
        <v>NA</v>
      </c>
      <c r="EO478" s="23">
        <v>10</v>
      </c>
      <c r="EP478" s="61">
        <f t="shared" si="2425"/>
        <v>25</v>
      </c>
      <c r="EQ478" s="23">
        <v>10</v>
      </c>
      <c r="ER478" s="61">
        <f t="shared" si="2426"/>
        <v>11.111111111111116</v>
      </c>
      <c r="ES478" s="23">
        <v>10</v>
      </c>
      <c r="ET478" s="61">
        <f t="shared" si="2427"/>
        <v>-28.571428571428569</v>
      </c>
      <c r="EU478" s="23">
        <v>10</v>
      </c>
      <c r="EV478" s="61">
        <f t="shared" si="2429"/>
        <v>0</v>
      </c>
      <c r="EW478" s="23">
        <v>10</v>
      </c>
      <c r="EX478" s="61">
        <f t="shared" si="2431"/>
        <v>0</v>
      </c>
      <c r="EY478" s="270"/>
      <c r="EZ478" s="558"/>
      <c r="FA478" s="270"/>
      <c r="FB478" s="270"/>
      <c r="FC478" s="270"/>
      <c r="FD478" s="270"/>
      <c r="FE478" s="126"/>
      <c r="FF478" s="69"/>
      <c r="FG478" s="126"/>
      <c r="FH478" s="69"/>
      <c r="FI478" s="126"/>
      <c r="FJ478" s="69"/>
      <c r="FK478" s="126"/>
      <c r="FL478" s="69"/>
      <c r="FM478" s="126"/>
      <c r="FN478" s="69"/>
      <c r="FO478" s="126"/>
      <c r="FP478" s="273"/>
      <c r="FQ478" s="61"/>
      <c r="FR478" s="273">
        <f>AY478+BA478+BC478+BE478</f>
        <v>49.84615384615384</v>
      </c>
      <c r="FS478" s="61" t="str">
        <f>IF(ISERROR((FR478/FP478-1)*100),"NA",IF(((FR478/FP478-1)*100)&gt;100,"NM",IF(((FR478/FP478-1)*100)&lt;-50,"NM",(FR478/FP478-1)*100)))</f>
        <v>NA</v>
      </c>
      <c r="FT478" s="273">
        <f>BG478+BI478+BK478+BM478</f>
        <v>101.19999999999999</v>
      </c>
      <c r="FU478" s="61" t="str">
        <f>IF(ISERROR((FT478/FR478-1)*100),"NA",IF(((FT478/FR478-1)*100)&gt;100,"NM",IF(((FT478/FR478-1)*100)&lt;-50,"NM",(FT478/FR478-1)*100)))</f>
        <v>NM</v>
      </c>
      <c r="FV478" s="273">
        <f>BO478+BQ478+BS478+BU478</f>
        <v>31.099999999999998</v>
      </c>
      <c r="FW478" s="61" t="str">
        <f>IF(ISERROR((FV478/FT478-1)*100),"NA",IF(((FV478/FT478-1)*100)&gt;100,"NM",IF(((FV478/FT478-1)*100)&lt;-50,"NM",(FV478/FT478-1)*100)))</f>
        <v>NM</v>
      </c>
      <c r="FX478" s="73">
        <f>BW478+BY478+CA478+CC478</f>
        <v>0</v>
      </c>
      <c r="FY478" s="61" t="str">
        <f>IF(ISERROR((FX478/FV478-1)*100),"NA",IF(((FX478/FV478-1)*100)&gt;100,"NM",IF(((FX478/FV478-1)*100)&lt;-50,"NM",(FX478/FV478-1)*100)))</f>
        <v>NM</v>
      </c>
      <c r="FZ478" s="73">
        <f>CE478+CG478+CI478+CK478</f>
        <v>0</v>
      </c>
      <c r="GA478" s="61" t="str">
        <f>IF(ISERROR((FZ478/FX478-1)*100),"NA",IF(((FZ478/FX478-1)*100)&gt;100,"NM",IF(((FZ478/FX478-1)*100)&lt;-50,"NM",(FZ478/FX478-1)*100)))</f>
        <v>NA</v>
      </c>
      <c r="GB478" s="73">
        <f>CM478+CO478+CQ478+CS478</f>
        <v>0</v>
      </c>
      <c r="GC478" s="61" t="str">
        <f>IF(ISERROR((GB478/FZ478-1)*100),"NA",IF(((GB478/FZ478-1)*100)&gt;100,"NM",IF(((GB478/FZ478-1)*100)&lt;-50,"NM",(GB478/FZ478-1)*100)))</f>
        <v>NA</v>
      </c>
      <c r="GD478" s="73">
        <f>CU478+CW478+CY478+DA478</f>
        <v>0</v>
      </c>
      <c r="GE478" s="61" t="str">
        <f>IF(ISERROR((GD478/GB478-1)*100),"NA",IF(((GD478/GB478-1)*100)&gt;100,"NM",IF(((GD478/GB478-1)*100)&lt;-50,"NM",(GD478/GB478-1)*100)))</f>
        <v>NA</v>
      </c>
      <c r="GF478" s="73">
        <f>DC478+DE478+DG478+DI478</f>
        <v>0</v>
      </c>
      <c r="GG478" s="61" t="str">
        <f>IF(ISERROR((GF478/GD478-1)*100),"NA",IF(((GF478/GD478-1)*100)&gt;100,"NM",IF(((GF478/GD478-1)*100)&lt;-50,"NM",(GF478/GD478-1)*100)))</f>
        <v>NA</v>
      </c>
      <c r="GH478" s="73">
        <f>DK478+DM478+DO478+DQ478</f>
        <v>0</v>
      </c>
      <c r="GI478" s="61" t="str">
        <f>IF(ISERROR((GH478/GF478-1)*100),"NA",IF(((GH478/GF478-1)*100)&gt;100,"NM",IF(((GH478/GF478-1)*100)&lt;-50,"NM",(GH478/GF478-1)*100)))</f>
        <v>NA</v>
      </c>
      <c r="GJ478" s="73">
        <f>DS478+DU478+DW478+DY478</f>
        <v>0</v>
      </c>
      <c r="GK478" s="61" t="str">
        <f>IF(ISERROR((GJ478/GH478-1)*100),"NA",IF(((GJ478/GH478-1)*100)&gt;100,"NM",IF(((GJ478/GH478-1)*100)&lt;-50,"NM",(GJ478/GH478-1)*100)))</f>
        <v>NA</v>
      </c>
      <c r="GL478" s="73">
        <f>EA478+EC478+EE478+EG478</f>
        <v>8</v>
      </c>
      <c r="GM478" s="61" t="str">
        <f>IF(ISERROR((GL478/GJ478-1)*100),"NA",IF(((GL478/GJ478-1)*100)&gt;100,"NM",IF(((GL478/GJ478-1)*100)&lt;-50,"NM",(GL478/GJ478-1)*100)))</f>
        <v>NA</v>
      </c>
      <c r="GN478" s="73">
        <f>EI478+EK478+EM478+EO478</f>
        <v>43</v>
      </c>
      <c r="GO478" s="61" t="str">
        <f>IF(ISERROR((GN478/GL478-1)*100),"NA",IF(((GN478/GL478-1)*100)&gt;100,"NM",IF(((GN478/GL478-1)*100)&lt;-50,"NM",(GN478/GL478-1)*100)))</f>
        <v>NM</v>
      </c>
      <c r="GP478" s="73">
        <f>EQ478+ES478+EU478+EW478</f>
        <v>40</v>
      </c>
      <c r="GQ478" s="61">
        <f>IF(ISERROR((GP478/GN478-1)*100),"NA",IF(((GP478/GN478-1)*100)&gt;100,"NM",IF(((GP478/GN478-1)*100)&lt;-50,"NM",(GP478/GN478-1)*100)))</f>
        <v>-6.9767441860465134</v>
      </c>
      <c r="GR478" s="23">
        <v>0</v>
      </c>
      <c r="GS478" s="61" t="str">
        <f>IF(ISERROR((GR478/GP478-1)*100),"NA",IF(((GR478/GP478-1)*100)&gt;100,"NM",IF(((GR478/GP478-1)*100)&lt;-50,"NM",(GR478/GP478-1)*100)))</f>
        <v>NM</v>
      </c>
      <c r="GT478" s="23">
        <f>-0.06*1500</f>
        <v>-90</v>
      </c>
      <c r="GU478" s="61" t="str">
        <f>IF(ISERROR((GT478/GR478-1)*100),"NA",IF(((GT478/GR478-1)*100)&gt;100,"NM",IF(((GT478/GR478-1)*100)&lt;-50,"NM",(GT478/GR478-1)*100)))</f>
        <v>NA</v>
      </c>
      <c r="GV478" s="23">
        <f>GT478</f>
        <v>-90</v>
      </c>
      <c r="GW478" s="61">
        <f>IF(ISERROR((GV478/GT478-1)*100),"NA",IF(((GV478/GT478-1)*100)&gt;100,"NM",IF(((GV478/GT478-1)*100)&lt;-50,"NM",(GV478/GT478-1)*100)))</f>
        <v>0</v>
      </c>
      <c r="GX478" s="23">
        <f>GV478</f>
        <v>-90</v>
      </c>
      <c r="GY478" s="61">
        <f>IF(ISERROR((GX478/GV478-1)*100),"NA",IF(((GX478/GV478-1)*100)&gt;100,"NM",IF(((GX478/GV478-1)*100)&lt;-50,"NM",(GX478/GV478-1)*100)))</f>
        <v>0</v>
      </c>
      <c r="GZ478" s="61" t="str">
        <f t="shared" si="2388"/>
        <v>NM</v>
      </c>
      <c r="HA478" s="61"/>
      <c r="HB478" s="452"/>
      <c r="HC478"/>
      <c r="HD478"/>
      <c r="HE478"/>
      <c r="HF478"/>
      <c r="HG478"/>
      <c r="HH478"/>
    </row>
    <row r="479" spans="1:216" s="5" customFormat="1" ht="12.75" hidden="1" customHeight="1" outlineLevel="1" x14ac:dyDescent="0.2">
      <c r="A479" s="7"/>
      <c r="B479" s="2" t="s">
        <v>617</v>
      </c>
      <c r="C479" s="272"/>
      <c r="D479" s="60"/>
      <c r="E479" s="272"/>
      <c r="F479" s="59"/>
      <c r="G479" s="272"/>
      <c r="H479" s="59"/>
      <c r="I479" s="272"/>
      <c r="J479" s="59"/>
      <c r="K479" s="272"/>
      <c r="L479" s="61"/>
      <c r="M479" s="272"/>
      <c r="N479" s="61"/>
      <c r="O479" s="272"/>
      <c r="P479" s="61"/>
      <c r="Q479" s="272"/>
      <c r="R479" s="61"/>
      <c r="S479" s="272"/>
      <c r="T479" s="61"/>
      <c r="U479" s="272"/>
      <c r="V479" s="61"/>
      <c r="W479" s="272"/>
      <c r="X479" s="61"/>
      <c r="Y479" s="272"/>
      <c r="Z479" s="61"/>
      <c r="AA479" s="272"/>
      <c r="AB479" s="61"/>
      <c r="AC479" s="272"/>
      <c r="AD479" s="61"/>
      <c r="AE479" s="272"/>
      <c r="AF479" s="61"/>
      <c r="AG479" s="272"/>
      <c r="AH479" s="61"/>
      <c r="AI479" s="272"/>
      <c r="AJ479" s="61"/>
      <c r="AK479" s="272"/>
      <c r="AL479" s="61"/>
      <c r="AM479" s="272"/>
      <c r="AN479" s="61"/>
      <c r="AO479" s="272"/>
      <c r="AP479" s="61"/>
      <c r="AQ479" s="272"/>
      <c r="AR479" s="61"/>
      <c r="AS479" s="272"/>
      <c r="AT479" s="61"/>
      <c r="AU479" s="272"/>
      <c r="AV479" s="61"/>
      <c r="AW479" s="272"/>
      <c r="AX479" s="61"/>
      <c r="AY479" s="23"/>
      <c r="AZ479" s="61"/>
      <c r="BA479" s="23"/>
      <c r="BB479" s="61"/>
      <c r="BC479" s="23"/>
      <c r="BD479" s="61"/>
      <c r="BE479" s="23"/>
      <c r="BF479" s="61"/>
      <c r="BG479" s="23"/>
      <c r="BH479" s="61"/>
      <c r="BI479" s="23"/>
      <c r="BJ479" s="61"/>
      <c r="BK479" s="23"/>
      <c r="BL479" s="61"/>
      <c r="BM479" s="23"/>
      <c r="BN479" s="61"/>
      <c r="BO479" s="23"/>
      <c r="BP479" s="61"/>
      <c r="BQ479" s="23"/>
      <c r="BR479" s="61"/>
      <c r="BS479" s="23"/>
      <c r="BT479" s="61"/>
      <c r="BU479" s="23"/>
      <c r="BV479" s="61"/>
      <c r="BW479" s="23"/>
      <c r="BX479" s="61"/>
      <c r="BY479" s="23"/>
      <c r="BZ479" s="61"/>
      <c r="CA479" s="23"/>
      <c r="CB479" s="61"/>
      <c r="CC479" s="23"/>
      <c r="CD479" s="61"/>
      <c r="CE479" s="23"/>
      <c r="CF479" s="61"/>
      <c r="CG479" s="23"/>
      <c r="CH479" s="61"/>
      <c r="CI479" s="23"/>
      <c r="CJ479" s="61"/>
      <c r="CK479" s="23"/>
      <c r="CL479" s="61"/>
      <c r="CM479" s="23"/>
      <c r="CN479" s="61"/>
      <c r="CO479" s="23"/>
      <c r="CP479" s="61"/>
      <c r="CQ479" s="23"/>
      <c r="CR479" s="61"/>
      <c r="CS479" s="23"/>
      <c r="CT479" s="61"/>
      <c r="CU479" s="23"/>
      <c r="CV479" s="61"/>
      <c r="CW479" s="23"/>
      <c r="CX479" s="61"/>
      <c r="CY479" s="23"/>
      <c r="CZ479" s="61"/>
      <c r="DA479" s="23"/>
      <c r="DB479" s="61"/>
      <c r="DC479" s="23"/>
      <c r="DD479" s="61"/>
      <c r="DE479" s="23"/>
      <c r="DF479" s="61"/>
      <c r="DG479" s="23"/>
      <c r="DH479" s="61"/>
      <c r="DI479" s="23"/>
      <c r="DJ479" s="61"/>
      <c r="DK479" s="23"/>
      <c r="DL479" s="61"/>
      <c r="DM479" s="23"/>
      <c r="DN479" s="130" t="str">
        <f t="shared" si="2417"/>
        <v>NA</v>
      </c>
      <c r="DO479" s="23"/>
      <c r="DP479" s="130" t="str">
        <f t="shared" si="2417"/>
        <v>NA</v>
      </c>
      <c r="DQ479" s="23"/>
      <c r="DR479" s="130" t="str">
        <f t="shared" si="2417"/>
        <v>NA</v>
      </c>
      <c r="DS479" s="23"/>
      <c r="DT479" s="130" t="str">
        <f t="shared" si="2417"/>
        <v>NA</v>
      </c>
      <c r="DU479" s="23"/>
      <c r="DV479" s="130" t="str">
        <f t="shared" si="2417"/>
        <v>NA</v>
      </c>
      <c r="DW479" s="23"/>
      <c r="DX479" s="23"/>
      <c r="DY479" s="23"/>
      <c r="DZ479" s="130" t="str">
        <f t="shared" si="2417"/>
        <v>NA</v>
      </c>
      <c r="EA479" s="23"/>
      <c r="EB479" s="130" t="str">
        <f t="shared" si="2418"/>
        <v>NA</v>
      </c>
      <c r="EC479" s="23"/>
      <c r="ED479" s="130" t="str">
        <f t="shared" si="2419"/>
        <v>NA</v>
      </c>
      <c r="EE479" s="23"/>
      <c r="EF479" s="130" t="str">
        <f t="shared" si="2420"/>
        <v>NA</v>
      </c>
      <c r="EG479" s="23"/>
      <c r="EH479" s="130" t="str">
        <f t="shared" si="2421"/>
        <v>NA</v>
      </c>
      <c r="EI479" s="23"/>
      <c r="EJ479" s="130" t="str">
        <f t="shared" si="2422"/>
        <v>NA</v>
      </c>
      <c r="EK479" s="23"/>
      <c r="EL479" s="130" t="str">
        <f t="shared" si="2423"/>
        <v>NA</v>
      </c>
      <c r="EM479" s="23"/>
      <c r="EN479" s="130" t="str">
        <f t="shared" si="2424"/>
        <v>NA</v>
      </c>
      <c r="EO479" s="23"/>
      <c r="EP479" s="130" t="str">
        <f t="shared" si="2425"/>
        <v>NA</v>
      </c>
      <c r="EQ479" s="23"/>
      <c r="ER479" s="130" t="str">
        <f t="shared" si="2426"/>
        <v>NA</v>
      </c>
      <c r="ES479" s="23"/>
      <c r="ET479" s="130" t="str">
        <f t="shared" si="2427"/>
        <v>NA</v>
      </c>
      <c r="EU479" s="23"/>
      <c r="EV479" s="130" t="str">
        <f t="shared" si="2429"/>
        <v>NA</v>
      </c>
      <c r="EW479" s="23"/>
      <c r="EX479" s="130" t="str">
        <f t="shared" si="2431"/>
        <v>NA</v>
      </c>
      <c r="EY479" s="270"/>
      <c r="EZ479" s="558"/>
      <c r="FA479" s="270"/>
      <c r="FB479" s="270"/>
      <c r="FC479" s="270"/>
      <c r="FD479" s="270"/>
      <c r="FE479" s="126"/>
      <c r="FF479" s="69"/>
      <c r="FG479" s="126"/>
      <c r="FH479" s="69"/>
      <c r="FI479" s="126"/>
      <c r="FJ479" s="69"/>
      <c r="FK479" s="126"/>
      <c r="FL479" s="69"/>
      <c r="FM479" s="126"/>
      <c r="FN479" s="69"/>
      <c r="FO479" s="126"/>
      <c r="FP479" s="273"/>
      <c r="FQ479" s="61"/>
      <c r="FR479" s="273"/>
      <c r="FS479" s="61" t="str">
        <f>IF(ISERROR((FR479/FP479-1)*100),"NA",IF(((FR479/FP479-1)*100)&gt;100,"NM",IF(((FR479/FP479-1)*100)&lt;-50,"NM",(FR479/FP479-1)*100)))</f>
        <v>NA</v>
      </c>
      <c r="FT479" s="273"/>
      <c r="FU479" s="61" t="str">
        <f>IF(ISERROR((FT479/FR479-1)*100),"NA",IF(((FT479/FR479-1)*100)&gt;100,"NM",IF(((FT479/FR479-1)*100)&lt;-50,"NM",(FT479/FR479-1)*100)))</f>
        <v>NA</v>
      </c>
      <c r="FV479" s="273">
        <f>BO479+BQ479+BS479+BU479</f>
        <v>0</v>
      </c>
      <c r="FW479" s="61" t="str">
        <f>IF(ISERROR((FV479/FT479-1)*100),"NA",IF(((FV479/FT479-1)*100)&gt;100,"NM",IF(((FV479/FT479-1)*100)&lt;-50,"NM",(FV479/FT479-1)*100)))</f>
        <v>NA</v>
      </c>
      <c r="FX479" s="73">
        <f>BW479+BY479+CA479+CC479</f>
        <v>0</v>
      </c>
      <c r="FY479" s="61" t="str">
        <f>IF(ISERROR((FX479/FV479-1)*100),"NA",IF(((FX479/FV479-1)*100)&gt;100,"NM",IF(((FX479/FV479-1)*100)&lt;-50,"NM",(FX479/FV479-1)*100)))</f>
        <v>NA</v>
      </c>
      <c r="FZ479" s="73">
        <f>CE479+CG479+CI479+CK479</f>
        <v>0</v>
      </c>
      <c r="GA479" s="61" t="str">
        <f>IF(ISERROR((FZ479/FX479-1)*100),"NA",IF(((FZ479/FX479-1)*100)&gt;100,"NM",IF(((FZ479/FX479-1)*100)&lt;-50,"NM",(FZ479/FX479-1)*100)))</f>
        <v>NA</v>
      </c>
      <c r="GB479" s="73">
        <f>CM479+CO479+CQ479+CS479</f>
        <v>0</v>
      </c>
      <c r="GC479" s="61" t="str">
        <f>IF(ISERROR((GB479/FZ479-1)*100),"NA",IF(((GB479/FZ479-1)*100)&gt;100,"NM",IF(((GB479/FZ479-1)*100)&lt;-50,"NM",(GB479/FZ479-1)*100)))</f>
        <v>NA</v>
      </c>
      <c r="GD479" s="73">
        <f>CU479+CW479+CY479+DA479</f>
        <v>0</v>
      </c>
      <c r="GE479" s="61" t="str">
        <f>IF(ISERROR((GD479/GB479-1)*100),"NA",IF(((GD479/GB479-1)*100)&gt;100,"NM",IF(((GD479/GB479-1)*100)&lt;-50,"NM",(GD479/GB479-1)*100)))</f>
        <v>NA</v>
      </c>
      <c r="GF479" s="73">
        <f>DC479+DE479+DG479+DI479</f>
        <v>0</v>
      </c>
      <c r="GG479" s="61" t="str">
        <f>IF(ISERROR((GF479/GD479-1)*100),"NA",IF(((GF479/GD479-1)*100)&gt;100,"NM",IF(((GF479/GD479-1)*100)&lt;-50,"NM",(GF479/GD479-1)*100)))</f>
        <v>NA</v>
      </c>
      <c r="GH479" s="73">
        <f>DK479+DM479+DO479+DQ479</f>
        <v>0</v>
      </c>
      <c r="GI479" s="61" t="str">
        <f>IF(ISERROR((GH479/GF479-1)*100),"NA",IF(((GH479/GF479-1)*100)&gt;100,"NM",IF(((GH479/GF479-1)*100)&lt;-50,"NM",(GH479/GF479-1)*100)))</f>
        <v>NA</v>
      </c>
      <c r="GJ479" s="73">
        <f>DS479+DU479+DW479+DY479</f>
        <v>0</v>
      </c>
      <c r="GK479" s="61" t="str">
        <f>IF(ISERROR((GJ479/GH479-1)*100),"NA",IF(((GJ479/GH479-1)*100)&gt;100,"NM",IF(((GJ479/GH479-1)*100)&lt;-50,"NM",(GJ479/GH479-1)*100)))</f>
        <v>NA</v>
      </c>
      <c r="GL479" s="73">
        <f>EA479+EC479+EE479+EG479</f>
        <v>0</v>
      </c>
      <c r="GM479" s="61" t="str">
        <f>IF(ISERROR((GL479/GJ479-1)*100),"NA",IF(((GL479/GJ479-1)*100)&gt;100,"NM",IF(((GL479/GJ479-1)*100)&lt;-50,"NM",(GL479/GJ479-1)*100)))</f>
        <v>NA</v>
      </c>
      <c r="GN479" s="73">
        <f>EI479+EK479+EM479+EO479</f>
        <v>0</v>
      </c>
      <c r="GO479" s="61" t="str">
        <f>IF(ISERROR((GN479/GL479-1)*100),"NA",IF(((GN479/GL479-1)*100)&gt;100,"NM",IF(((GN479/GL479-1)*100)&lt;-50,"NM",(GN479/GL479-1)*100)))</f>
        <v>NA</v>
      </c>
      <c r="GP479" s="73">
        <f>EQ479+ES479+EU479+EW479</f>
        <v>0</v>
      </c>
      <c r="GQ479" s="61" t="str">
        <f>IF(ISERROR((GP479/GN479-1)*100),"NA",IF(((GP479/GN479-1)*100)&gt;100,"NM",IF(((GP479/GN479-1)*100)&lt;-50,"NM",(GP479/GN479-1)*100)))</f>
        <v>NA</v>
      </c>
      <c r="GR479" s="23"/>
      <c r="GS479" s="61" t="str">
        <f>IF(ISERROR((GR479/GP479-1)*100),"NA",IF(((GR479/GP479-1)*100)&gt;100,"NM",IF(((GR479/GP479-1)*100)&lt;-50,"NM",(GR479/GP479-1)*100)))</f>
        <v>NA</v>
      </c>
      <c r="GT479" s="23"/>
      <c r="GU479" s="61" t="str">
        <f>IF(ISERROR((GT479/GR479-1)*100),"NA",IF(((GT479/GR479-1)*100)&gt;100,"NM",IF(((GT479/GR479-1)*100)&lt;-50,"NM",(GT479/GR479-1)*100)))</f>
        <v>NA</v>
      </c>
      <c r="GV479" s="23"/>
      <c r="GW479" s="61" t="str">
        <f>IF(ISERROR((GV479/GT479-1)*100),"NA",IF(((GV479/GT479-1)*100)&gt;100,"NM",IF(((GV479/GT479-1)*100)&lt;-50,"NM",(GV479/GT479-1)*100)))</f>
        <v>NA</v>
      </c>
      <c r="GX479" s="23"/>
      <c r="GY479" s="61" t="str">
        <f>IF(ISERROR((GX479/GV479-1)*100),"NA",IF(((GX479/GV479-1)*100)&gt;100,"NM",IF(((GX479/GV479-1)*100)&lt;-50,"NM",(GX479/GV479-1)*100)))</f>
        <v>NA</v>
      </c>
      <c r="GZ479" s="61" t="str">
        <f t="shared" si="2388"/>
        <v/>
      </c>
      <c r="HA479" s="61"/>
      <c r="HB479" s="452"/>
      <c r="HC479"/>
      <c r="HD479"/>
      <c r="HE479"/>
      <c r="HF479"/>
      <c r="HG479"/>
      <c r="HH479"/>
    </row>
    <row r="480" spans="1:216" s="5" customFormat="1" ht="12.75" customHeight="1" collapsed="1" x14ac:dyDescent="0.2">
      <c r="A480" s="7"/>
      <c r="B480" s="2" t="s">
        <v>625</v>
      </c>
      <c r="C480" s="272"/>
      <c r="D480" s="60"/>
      <c r="E480" s="272"/>
      <c r="F480" s="59"/>
      <c r="G480" s="272"/>
      <c r="H480" s="59"/>
      <c r="I480" s="272"/>
      <c r="J480" s="59"/>
      <c r="K480" s="272"/>
      <c r="L480" s="61"/>
      <c r="M480" s="272"/>
      <c r="N480" s="61"/>
      <c r="O480" s="272"/>
      <c r="P480" s="61"/>
      <c r="Q480" s="272"/>
      <c r="R480" s="61"/>
      <c r="S480" s="272"/>
      <c r="T480" s="61"/>
      <c r="U480" s="272"/>
      <c r="V480" s="61"/>
      <c r="W480" s="272"/>
      <c r="X480" s="61"/>
      <c r="Y480" s="272"/>
      <c r="Z480" s="61"/>
      <c r="AA480" s="272"/>
      <c r="AB480" s="61"/>
      <c r="AC480" s="272"/>
      <c r="AD480" s="61"/>
      <c r="AE480" s="272"/>
      <c r="AF480" s="61"/>
      <c r="AG480" s="272"/>
      <c r="AH480" s="61"/>
      <c r="AI480" s="272"/>
      <c r="AJ480" s="61"/>
      <c r="AK480" s="272"/>
      <c r="AL480" s="61"/>
      <c r="AM480" s="272"/>
      <c r="AN480" s="61"/>
      <c r="AO480" s="272"/>
      <c r="AP480" s="61"/>
      <c r="AQ480" s="269">
        <f>AQ476+AQ477</f>
        <v>28.799999999999997</v>
      </c>
      <c r="AR480" s="61" t="str">
        <f>IF(ISERROR((AQ480/AI480-1)*100),"NA",IF(((AQ480/AI480-1)*100)&gt;100,"NM",IF(((AQ480/AI480-1)*100)&lt;-50,"NM",(AQ480/AI480-1)*100)))</f>
        <v>NA</v>
      </c>
      <c r="AS480" s="269">
        <f>AS476+AS477</f>
        <v>72</v>
      </c>
      <c r="AT480" s="61" t="str">
        <f>IF(ISERROR((AS480/AK480-1)*100),"NA",IF(((AS480/AK480-1)*100)&gt;100,"NM",IF(((AS480/AK480-1)*100)&lt;-50,"NM",(AS480/AK480-1)*100)))</f>
        <v>NA</v>
      </c>
      <c r="AU480" s="269">
        <f>AU476+AU477</f>
        <v>50.099999999999994</v>
      </c>
      <c r="AV480" s="61" t="str">
        <f>IF(ISERROR((AU480/AM480-1)*100),"NA",IF(((AU480/AM480-1)*100)&gt;100,"NM",IF(((AU480/AM480-1)*100)&lt;-50,"NM",(AU480/AM480-1)*100)))</f>
        <v>NA</v>
      </c>
      <c r="AW480" s="269">
        <f>AW476+AW477</f>
        <v>34.799999999999997</v>
      </c>
      <c r="AX480" s="61" t="str">
        <f>IF(ISERROR((AW480/AO480-1)*100),"NA",IF(((AW480/AO480-1)*100)&gt;100,"NM",IF(((AW480/AO480-1)*100)&lt;-50,"NM",(AW480/AO480-1)*100)))</f>
        <v>NA</v>
      </c>
      <c r="AY480" s="270">
        <f>AY476+AY477</f>
        <v>33.700000000000003</v>
      </c>
      <c r="AZ480" s="61">
        <f>IF(ISERROR((AY480/AQ480-1)*100),"NA",IF(((AY480/AQ480-1)*100)&gt;100,"NM",IF(((AY480/AQ480-1)*100)&lt;-50,"NM",(AY480/AQ480-1)*100)))</f>
        <v>17.013888888888907</v>
      </c>
      <c r="BA480" s="270">
        <f>BA476+BA477+BA478</f>
        <v>110.6</v>
      </c>
      <c r="BB480" s="61">
        <f>IF(ISERROR((BA480/AS480-1)*100),"NA",IF(((BA480/AS480-1)*100)&gt;100,"NM",IF(((BA480/AS480-1)*100)&lt;-50,"NM",(BA480/AS480-1)*100)))</f>
        <v>53.6111111111111</v>
      </c>
      <c r="BC480" s="270">
        <f>BC476+BC477+BC478</f>
        <v>78.8</v>
      </c>
      <c r="BD480" s="61">
        <f>IF(ISERROR((BC480/AU480-1)*100),"NA",IF(((BC480/AU480-1)*100)&gt;100,"NM",IF(((BC480/AU480-1)*100)&lt;-50,"NM",(BC480/AU480-1)*100)))</f>
        <v>57.28542914171657</v>
      </c>
      <c r="BE480" s="270">
        <f>BE476+BE477+BE478</f>
        <v>118.6</v>
      </c>
      <c r="BF480" s="61" t="str">
        <f>IF(ISERROR((BE480/AW480-1)*100),"NA",IF(((BE480/AW480-1)*100)&gt;100,"NM",IF(((BE480/AW480-1)*100)&lt;-50,"NM",(BE480/AW480-1)*100)))</f>
        <v>NM</v>
      </c>
      <c r="BG480" s="270">
        <f>BG476+BG477+BG478</f>
        <v>157.19999999999999</v>
      </c>
      <c r="BH480" s="61" t="str">
        <f>IF(ISERROR((BG480/AY480-1)*100),"NA",IF(((BG480/AY480-1)*100)&gt;100,"NM",IF(((BG480/AY480-1)*100)&lt;-50,"NM",(BG480/AY480-1)*100)))</f>
        <v>NM</v>
      </c>
      <c r="BI480" s="270">
        <f>BI476+BI477+BI478</f>
        <v>190.3</v>
      </c>
      <c r="BJ480" s="61">
        <f>IF(ISERROR((BI480/BA480-1)*100),"NA",IF(((BI480/BA480-1)*100)&gt;100,"NM",IF(((BI480/BA480-1)*100)&lt;-50,"NM",(BI480/BA480-1)*100)))</f>
        <v>72.061482820976508</v>
      </c>
      <c r="BK480" s="270">
        <f>BK476+BK477+BK478</f>
        <v>195.10000000000002</v>
      </c>
      <c r="BL480" s="61" t="str">
        <f>IF(ISERROR((BK480/BC480-1)*100),"NA",IF(((BK480/BC480-1)*100)&gt;100,"NM",IF(((BK480/BC480-1)*100)&lt;-50,"NM",(BK480/BC480-1)*100)))</f>
        <v>NM</v>
      </c>
      <c r="BM480" s="270">
        <f>BM476+BM477+BM478</f>
        <v>217.99999999999997</v>
      </c>
      <c r="BN480" s="61">
        <f>IF(ISERROR((BM480/BE480-1)*100),"NA",IF(((BM480/BE480-1)*100)&gt;100,"NM",IF(((BM480/BE480-1)*100)&lt;-50,"NM",(BM480/BE480-1)*100)))</f>
        <v>83.811129848229342</v>
      </c>
      <c r="BO480" s="270">
        <f>BO476+BO477+BO478</f>
        <v>181.5</v>
      </c>
      <c r="BP480" s="61">
        <f>IF(ISERROR((BO480/BG480-1)*100),"NA",IF(((BO480/BG480-1)*100)&gt;100,"NM",IF(((BO480/BG480-1)*100)&lt;-50,"NM",(BO480/BG480-1)*100)))</f>
        <v>15.458015267175584</v>
      </c>
      <c r="BQ480" s="270">
        <f>BQ476+BQ477+BQ478</f>
        <v>178.4</v>
      </c>
      <c r="BR480" s="61">
        <f>IF(ISERROR((BQ480/BI480-1)*100),"NA",IF(((BQ480/BI480-1)*100)&gt;100,"NM",IF(((BQ480/BI480-1)*100)&lt;-50,"NM",(BQ480/BI480-1)*100)))</f>
        <v>-6.2532842879663768</v>
      </c>
      <c r="BS480" s="270">
        <f>BS476+BS477+BS478</f>
        <v>194.7</v>
      </c>
      <c r="BT480" s="61">
        <f>IF(ISERROR((BS480/BK480-1)*100),"NA",IF(((BS480/BK480-1)*100)&gt;100,"NM",IF(((BS480/BK480-1)*100)&lt;-50,"NM",(BS480/BK480-1)*100)))</f>
        <v>-0.2050230650948448</v>
      </c>
      <c r="BU480" s="270">
        <f>BU476+BU477+BU478</f>
        <v>202</v>
      </c>
      <c r="BV480" s="61">
        <f>IF(ISERROR((BU480/BM480-1)*100),"NA",IF(((BU480/BM480-1)*100)&gt;100,"NM",IF(((BU480/BM480-1)*100)&lt;-50,"NM",(BU480/BM480-1)*100)))</f>
        <v>-7.3394495412843934</v>
      </c>
      <c r="BW480" s="270">
        <f>BW476+BW477+BW478</f>
        <v>271.60000000000002</v>
      </c>
      <c r="BX480" s="61">
        <f>IF(ISERROR((BW480/BO480-1)*100),"NA",IF(((BW480/BO480-1)*100)&gt;100,"NM",IF(((BW480/BO480-1)*100)&lt;-50,"NM",(BW480/BO480-1)*100)))</f>
        <v>49.641873278236929</v>
      </c>
      <c r="BY480" s="270">
        <f>BY476+BY477+BY478</f>
        <v>201.7</v>
      </c>
      <c r="BZ480" s="61">
        <f>IF(ISERROR((BY480/BQ480-1)*100),"NA",IF(((BY480/BQ480-1)*100)&gt;100,"NM",IF(((BY480/BQ480-1)*100)&lt;-50,"NM",(BY480/BQ480-1)*100)))</f>
        <v>13.060538116591914</v>
      </c>
      <c r="CA480" s="270">
        <f>CA476+CA477+CA478</f>
        <v>173.6</v>
      </c>
      <c r="CB480" s="61">
        <f>IF(ISERROR((CA480/BS480-1)*100),"NA",IF(((CA480/BS480-1)*100)&gt;100,"NM",IF(((CA480/BS480-1)*100)&lt;-50,"NM",(CA480/BS480-1)*100)))</f>
        <v>-10.837185413456595</v>
      </c>
      <c r="CC480" s="270">
        <f>CC476+CC477+CC478</f>
        <v>200.1</v>
      </c>
      <c r="CD480" s="61">
        <f>IF(ISERROR((CC480/BU480-1)*100),"NA",IF(((CC480/BU480-1)*100)&gt;100,"NM",IF(((CC480/BU480-1)*100)&lt;-50,"NM",(CC480/BU480-1)*100)))</f>
        <v>-0.94059405940594143</v>
      </c>
      <c r="CE480" s="270">
        <f>CE476+CE477+CE478</f>
        <v>178.9</v>
      </c>
      <c r="CF480" s="61">
        <f>IF(ISERROR((CE480/BW480-1)*100),"NA",IF(((CE480/BW480-1)*100)&gt;100,"NM",IF(((CE480/BW480-1)*100)&lt;-50,"NM",(CE480/BW480-1)*100)))</f>
        <v>-34.131075110456557</v>
      </c>
      <c r="CG480" s="270">
        <f>CG476+CG477+CG478</f>
        <v>183.1</v>
      </c>
      <c r="CH480" s="61">
        <f>IF(ISERROR((CG480/BY480-1)*100),"NA",IF(((CG480/BY480-1)*100)&gt;100,"NM",IF(((CG480/BY480-1)*100)&lt;-50,"NM",(CG480/BY480-1)*100)))</f>
        <v>-9.221616261774912</v>
      </c>
      <c r="CI480" s="270">
        <f>CI476+CI477+CI478</f>
        <v>183.1</v>
      </c>
      <c r="CJ480" s="61">
        <f>IF(ISERROR((CI480/CA480-1)*100),"NA",IF(((CI480/CA480-1)*100)&gt;100,"NM",IF(((CI480/CA480-1)*100)&lt;-50,"NM",(CI480/CA480-1)*100)))</f>
        <v>5.4723502304147464</v>
      </c>
      <c r="CK480" s="270">
        <f>CK476+CK477+CK478</f>
        <v>235.3</v>
      </c>
      <c r="CL480" s="61">
        <f>IF(ISERROR((CK480/CC480-1)*100),"NA",IF(((CK480/CC480-1)*100)&gt;100,"NM",IF(((CK480/CC480-1)*100)&lt;-50,"NM",(CK480/CC480-1)*100)))</f>
        <v>17.591204397801107</v>
      </c>
      <c r="CM480" s="270">
        <f>CM476+CM477+CM478</f>
        <v>175.9</v>
      </c>
      <c r="CN480" s="61">
        <f>IF(ISERROR((CM480/CE480-1)*100),"NA",IF(((CM480/CE480-1)*100)&gt;100,"NM",IF(((CM480/CE480-1)*100)&lt;-50,"NM",(CM480/CE480-1)*100)))</f>
        <v>-1.6769144773616573</v>
      </c>
      <c r="CO480" s="270">
        <f>CO476+CO477+CO478</f>
        <v>149</v>
      </c>
      <c r="CP480" s="61">
        <f>IF(ISERROR((CO480/CG480-1)*100),"NA",IF(((CO480/CG480-1)*100)&gt;100,"NM",IF(((CO480/CG480-1)*100)&lt;-50,"NM",(CO480/CG480-1)*100)))</f>
        <v>-18.623702894593119</v>
      </c>
      <c r="CQ480" s="270">
        <f>CQ476+CQ477+CQ478</f>
        <v>183</v>
      </c>
      <c r="CR480" s="61">
        <f>IF(ISERROR((CQ480/CI480-1)*100),"NA",IF(((CQ480/CI480-1)*100)&gt;100,"NM",IF(((CQ480/CI480-1)*100)&lt;-50,"NM",(CQ480/CI480-1)*100)))</f>
        <v>-5.4614964500265817E-2</v>
      </c>
      <c r="CS480" s="270">
        <f>CS476+CS477+CS478</f>
        <v>175</v>
      </c>
      <c r="CT480" s="61">
        <f>IF(ISERROR((CS480/CK480-1)*100),"NA",IF(((CS480/CK480-1)*100)&gt;100,"NM",IF(((CS480/CK480-1)*100)&lt;-50,"NM",(CS480/CK480-1)*100)))</f>
        <v>-25.626859328516794</v>
      </c>
      <c r="CU480" s="270">
        <f>CU476+CU477+CU478</f>
        <v>163</v>
      </c>
      <c r="CV480" s="61">
        <f>IF(ISERROR((CU480/CM480-1)*100),"NA",IF(((CU480/CM480-1)*100)&gt;100,"NM",IF(((CU480/CM480-1)*100)&lt;-50,"NM",(CU480/CM480-1)*100)))</f>
        <v>-7.3337123365548651</v>
      </c>
      <c r="CW480" s="270">
        <f>CW476+CW477+CW478</f>
        <v>164</v>
      </c>
      <c r="CX480" s="61">
        <f>IF(ISERROR((CW480/CO480-1)*100),"NA",IF(((CW480/CO480-1)*100)&gt;100,"NM",IF(((CW480/CO480-1)*100)&lt;-50,"NM",(CW480/CO480-1)*100)))</f>
        <v>10.067114093959727</v>
      </c>
      <c r="CY480" s="270">
        <f>CY476+CY477+CY478</f>
        <v>190</v>
      </c>
      <c r="CZ480" s="61">
        <f>IF(ISERROR((CY480/CQ480-1)*100),"NA",IF(((CY480/CQ480-1)*100)&gt;100,"NM",IF(((CY480/CQ480-1)*100)&lt;-50,"NM",(CY480/CQ480-1)*100)))</f>
        <v>3.8251366120218622</v>
      </c>
      <c r="DA480" s="270">
        <f>DA476+DA477+DA478</f>
        <v>170</v>
      </c>
      <c r="DB480" s="61">
        <f>IF(ISERROR((DA480/CS480-1)*100),"NA",IF(((DA480/CS480-1)*100)&gt;100,"NM",IF(((DA480/CS480-1)*100)&lt;-50,"NM",(DA480/CS480-1)*100)))</f>
        <v>-2.8571428571428581</v>
      </c>
      <c r="DC480" s="270">
        <f>DC476+DC477+DC478</f>
        <v>158</v>
      </c>
      <c r="DD480" s="61">
        <f>IF(ISERROR((DC480/CU480-1)*100),"NA",IF(((DC480/CU480-1)*100)&gt;100,"NM",IF(((DC480/CU480-1)*100)&lt;-50,"NM",(DC480/CU480-1)*100)))</f>
        <v>-3.0674846625766916</v>
      </c>
      <c r="DE480" s="270">
        <f>DE476+DE477+DE478</f>
        <v>163</v>
      </c>
      <c r="DF480" s="61">
        <f>IF(ISERROR((DE480/CW480-1)*100),"NA",IF(((DE480/CW480-1)*100)&gt;100,"NM",IF(((DE480/CW480-1)*100)&lt;-50,"NM",(DE480/CW480-1)*100)))</f>
        <v>-0.60975609756097615</v>
      </c>
      <c r="DG480" s="270">
        <f>DG476+DG477+DG478</f>
        <v>142</v>
      </c>
      <c r="DH480" s="61">
        <f>IF(ISERROR((DG480/CY480-1)*100),"NA",IF(((DG480/CY480-1)*100)&gt;100,"NM",IF(((DG480/CY480-1)*100)&lt;-50,"NM",(DG480/CY480-1)*100)))</f>
        <v>-25.263157894736842</v>
      </c>
      <c r="DI480" s="270">
        <f>DI476+DI477+DI478</f>
        <v>145</v>
      </c>
      <c r="DJ480" s="61">
        <f>IF(ISERROR((DI480/DA480-1)*100),"NA",IF(((DI480/DA480-1)*100)&gt;100,"NM",IF(((DI480/DA480-1)*100)&lt;-50,"NM",(DI480/DA480-1)*100)))</f>
        <v>-14.705882352941179</v>
      </c>
      <c r="DK480" s="270">
        <f>DK476+DK477+DK478</f>
        <v>152</v>
      </c>
      <c r="DL480" s="61">
        <f>IF(ISERROR((DK480/DC480-1)*100),"NA",IF(((DK480/DC480-1)*100)&gt;100,"NM",IF(((DK480/DC480-1)*100)&lt;-50,"NM",(DK480/DC480-1)*100)))</f>
        <v>-3.7974683544303778</v>
      </c>
      <c r="DM480" s="270">
        <f>DM476+DM477+DM478</f>
        <v>140</v>
      </c>
      <c r="DN480" s="130">
        <f t="shared" si="2417"/>
        <v>-14.110429447852757</v>
      </c>
      <c r="DO480" s="270">
        <f>DO476+DO477+DO478</f>
        <v>148</v>
      </c>
      <c r="DP480" s="130">
        <f t="shared" si="2417"/>
        <v>4.2253521126760507</v>
      </c>
      <c r="DQ480" s="270">
        <f>DQ476+DQ477+DQ478</f>
        <v>157</v>
      </c>
      <c r="DR480" s="130">
        <f t="shared" si="2417"/>
        <v>8.2758620689655125</v>
      </c>
      <c r="DS480" s="270">
        <f>DS476+DS477+DS478</f>
        <v>139</v>
      </c>
      <c r="DT480" s="130">
        <f t="shared" si="2417"/>
        <v>-8.5526315789473664</v>
      </c>
      <c r="DU480" s="270">
        <f>DU476+DU477+DU478</f>
        <v>155</v>
      </c>
      <c r="DV480" s="130">
        <f t="shared" si="2417"/>
        <v>10.714285714285721</v>
      </c>
      <c r="DW480" s="270">
        <f>DW476+DW477+DW478</f>
        <v>189</v>
      </c>
      <c r="DX480" s="270">
        <f t="shared" ref="DX480:DY480" si="2434">DX476+DX477+DX478</f>
        <v>189</v>
      </c>
      <c r="DY480" s="270">
        <f t="shared" si="2434"/>
        <v>131</v>
      </c>
      <c r="DZ480" s="130">
        <f t="shared" si="2417"/>
        <v>-16.560509554140125</v>
      </c>
      <c r="EA480" s="270">
        <f t="shared" ref="EA480:EC480" si="2435">EA476+EA477+EA478</f>
        <v>109</v>
      </c>
      <c r="EB480" s="130">
        <f t="shared" si="2418"/>
        <v>-21.582733812949641</v>
      </c>
      <c r="EC480" s="270">
        <f t="shared" si="2435"/>
        <v>125</v>
      </c>
      <c r="ED480" s="130">
        <f t="shared" si="2419"/>
        <v>-19.354838709677423</v>
      </c>
      <c r="EE480" s="270">
        <f t="shared" ref="EE480:EG480" si="2436">EE476+EE477+EE478</f>
        <v>151</v>
      </c>
      <c r="EF480" s="130">
        <f t="shared" si="2420"/>
        <v>-20.105820105820104</v>
      </c>
      <c r="EG480" s="270">
        <f t="shared" si="2436"/>
        <v>159</v>
      </c>
      <c r="EH480" s="130">
        <f t="shared" si="2421"/>
        <v>21.374045801526709</v>
      </c>
      <c r="EI480" s="270">
        <f t="shared" ref="EI480" si="2437">EI476+EI477+EI478</f>
        <v>129</v>
      </c>
      <c r="EJ480" s="130">
        <f t="shared" si="2422"/>
        <v>18.348623853211009</v>
      </c>
      <c r="EK480" s="270">
        <f t="shared" ref="EK480:EM480" si="2438">EK476+EK477+EK478</f>
        <v>130</v>
      </c>
      <c r="EL480" s="130">
        <f t="shared" si="2423"/>
        <v>4.0000000000000036</v>
      </c>
      <c r="EM480" s="270">
        <f t="shared" si="2438"/>
        <v>135</v>
      </c>
      <c r="EN480" s="130">
        <f t="shared" si="2424"/>
        <v>-10.596026490066224</v>
      </c>
      <c r="EO480" s="270">
        <f t="shared" ref="EO480" si="2439">EO476+EO477+EO478</f>
        <v>131</v>
      </c>
      <c r="EP480" s="130">
        <f t="shared" si="2425"/>
        <v>-17.610062893081757</v>
      </c>
      <c r="EQ480" s="270">
        <f t="shared" ref="EQ480:EW480" si="2440">EQ476+EQ477+EQ478</f>
        <v>140.375</v>
      </c>
      <c r="ER480" s="130">
        <f t="shared" si="2426"/>
        <v>8.8178294573643345</v>
      </c>
      <c r="ES480" s="270">
        <f t="shared" si="2440"/>
        <v>140.375</v>
      </c>
      <c r="ET480" s="130">
        <f t="shared" si="2427"/>
        <v>7.9807692307692246</v>
      </c>
      <c r="EU480" s="270">
        <f t="shared" si="2440"/>
        <v>140.375</v>
      </c>
      <c r="EV480" s="130">
        <f t="shared" si="2429"/>
        <v>3.9814814814814747</v>
      </c>
      <c r="EW480" s="270">
        <f t="shared" si="2440"/>
        <v>140.375</v>
      </c>
      <c r="EX480" s="130">
        <f t="shared" si="2431"/>
        <v>7.1564885496183228</v>
      </c>
      <c r="EY480" s="74"/>
      <c r="EZ480" s="558"/>
      <c r="FA480" s="74"/>
      <c r="FB480" s="270"/>
      <c r="FC480" s="268"/>
      <c r="FD480" s="270"/>
      <c r="FE480" s="126"/>
      <c r="FF480" s="270"/>
      <c r="FG480" s="126"/>
      <c r="FH480" s="270"/>
      <c r="FI480" s="126"/>
      <c r="FJ480" s="270"/>
      <c r="FK480" s="126"/>
      <c r="FL480" s="270"/>
      <c r="FM480" s="126"/>
      <c r="FN480" s="270"/>
      <c r="FO480" s="126"/>
      <c r="FP480" s="270">
        <f>FP476+FP477</f>
        <v>185.7</v>
      </c>
      <c r="FQ480" s="61" t="str">
        <f>IF(ISERROR((FP480/FN480-1)*100),"NA",IF(((FP480/FN480-1)*100)&gt;100,"NM",IF(((FP480/FN480-1)*100)&lt;-50,"NM",(FP480/FN480-1)*100)))</f>
        <v>NA</v>
      </c>
      <c r="FR480" s="270">
        <f>FR476+FR477+FR478</f>
        <v>341.69999999999993</v>
      </c>
      <c r="FS480" s="61">
        <f>IF(ISERROR((FR480/FP480-1)*100),"NA",IF(((FR480/FP480-1)*100)&gt;100,"NM",IF(((FR480/FP480-1)*100)&lt;-50,"NM",(FR480/FP480-1)*100)))</f>
        <v>84.006462035541162</v>
      </c>
      <c r="FT480" s="270">
        <f>FT476+FT477+FT478</f>
        <v>760.59999999999991</v>
      </c>
      <c r="FU480" s="61" t="str">
        <f>IF(ISERROR((FT480/FR480-1)*100),"NA",IF(((FT480/FR480-1)*100)&gt;100,"NM",IF(((FT480/FR480-1)*100)&lt;-50,"NM",(FT480/FR480-1)*100)))</f>
        <v>NM</v>
      </c>
      <c r="FV480" s="270">
        <f>FV476+FV477+FV478+FV479</f>
        <v>756.6</v>
      </c>
      <c r="FW480" s="61">
        <f>IF(ISERROR((FV480/FT480-1)*100),"NA",IF(((FV480/FT480-1)*100)&gt;100,"NM",IF(((FV480/FT480-1)*100)&lt;-50,"NM",(FV480/FT480-1)*100)))</f>
        <v>-0.52590060478567846</v>
      </c>
      <c r="FX480" s="270">
        <f>FX476+FX477+FX478+FX479</f>
        <v>847</v>
      </c>
      <c r="FY480" s="61">
        <f>IF(ISERROR((FX480/FV480-1)*100),"NA",IF(((FX480/FV480-1)*100)&gt;100,"NM",IF(((FX480/FV480-1)*100)&lt;-50,"NM",(FX480/FV480-1)*100)))</f>
        <v>11.948189267776899</v>
      </c>
      <c r="FZ480" s="270">
        <f>FZ476+FZ477+FZ478+FZ479</f>
        <v>780.4</v>
      </c>
      <c r="GA480" s="61">
        <f>IF(ISERROR((FZ480/FX480-1)*100),"NA",IF(((FZ480/FX480-1)*100)&gt;100,"NM",IF(((FZ480/FX480-1)*100)&lt;-50,"NM",(FZ480/FX480-1)*100)))</f>
        <v>-7.8630460448642303</v>
      </c>
      <c r="GB480" s="270">
        <f>GB476+GB477+GB478+GB479</f>
        <v>682.90000000000009</v>
      </c>
      <c r="GC480" s="61">
        <f>IF(ISERROR((GB480/FZ480-1)*100),"NA",IF(((GB480/FZ480-1)*100)&gt;100,"NM",IF(((GB480/FZ480-1)*100)&lt;-50,"NM",(GB480/FZ480-1)*100)))</f>
        <v>-12.493593029215777</v>
      </c>
      <c r="GD480" s="270">
        <f>GD476+GD477+GD478+GD479</f>
        <v>687</v>
      </c>
      <c r="GE480" s="61">
        <f>IF(ISERROR((GD480/GB480-1)*100),"NA",IF(((GD480/GB480-1)*100)&gt;100,"NM",IF(((GD480/GB480-1)*100)&lt;-50,"NM",(GD480/GB480-1)*100)))</f>
        <v>0.60038072924291086</v>
      </c>
      <c r="GF480" s="270">
        <f>GF476+GF477+GF478+GF479</f>
        <v>608</v>
      </c>
      <c r="GG480" s="61">
        <f>IF(ISERROR((GF480/GD480-1)*100),"NA",IF(((GF480/GD480-1)*100)&gt;100,"NM",IF(((GF480/GD480-1)*100)&lt;-50,"NM",(GF480/GD480-1)*100)))</f>
        <v>-11.499272197962151</v>
      </c>
      <c r="GH480" s="270">
        <f>GH476+GH477+GH478+GH479</f>
        <v>597</v>
      </c>
      <c r="GI480" s="61">
        <f>IF(ISERROR((GH480/GF480-1)*100),"NA",IF(((GH480/GF480-1)*100)&gt;100,"NM",IF(((GH480/GF480-1)*100)&lt;-50,"NM",(GH480/GF480-1)*100)))</f>
        <v>-1.8092105263157854</v>
      </c>
      <c r="GJ480" s="270">
        <f>GJ476+GJ477+GJ478+GJ479</f>
        <v>614</v>
      </c>
      <c r="GK480" s="61">
        <f>IF(ISERROR((GJ480/GH480-1)*100),"NA",IF(((GJ480/GH480-1)*100)&gt;100,"NM",IF(((GJ480/GH480-1)*100)&lt;-50,"NM",(GJ480/GH480-1)*100)))</f>
        <v>2.8475711892797406</v>
      </c>
      <c r="GL480" s="270">
        <f>GL476+GL477+GL478+GL479</f>
        <v>544</v>
      </c>
      <c r="GM480" s="61">
        <f>IF(ISERROR((GL480/GJ480-1)*100),"NA",IF(((GL480/GJ480-1)*100)&gt;100,"NM",IF(((GL480/GJ480-1)*100)&lt;-50,"NM",(GL480/GJ480-1)*100)))</f>
        <v>-11.400651465798051</v>
      </c>
      <c r="GN480" s="270">
        <f>GN476+GN477+GN478+GN479</f>
        <v>525</v>
      </c>
      <c r="GO480" s="61">
        <f>IF(ISERROR((GN480/GL480-1)*100),"NA",IF(((GN480/GL480-1)*100)&gt;100,"NM",IF(((GN480/GL480-1)*100)&lt;-50,"NM",(GN480/GL480-1)*100)))</f>
        <v>-3.4926470588235281</v>
      </c>
      <c r="GP480" s="270">
        <f>GP476+GP477+GP478+GP479</f>
        <v>561.5</v>
      </c>
      <c r="GQ480" s="61">
        <f>IF(ISERROR((GP480/GN480-1)*100),"NA",IF(((GP480/GN480-1)*100)&gt;100,"NM",IF(((GP480/GN480-1)*100)&lt;-50,"NM",(GP480/GN480-1)*100)))</f>
        <v>6.9523809523809543</v>
      </c>
      <c r="GR480" s="270">
        <f>GR476+GR477+GR478</f>
        <v>529.05999999999995</v>
      </c>
      <c r="GS480" s="61">
        <f>IF(ISERROR((GR480/GP480-1)*100),"NA",IF(((GR480/GP480-1)*100)&gt;100,"NM",IF(((GR480/GP480-1)*100)&lt;-50,"NM",(GR480/GP480-1)*100)))</f>
        <v>-5.7773820124666138</v>
      </c>
      <c r="GT480" s="270">
        <f>GT476+GT477+GT478</f>
        <v>444.25119999999993</v>
      </c>
      <c r="GU480" s="61">
        <f>IF(ISERROR((GT480/GR480-1)*100),"NA",IF(((GT480/GR480-1)*100)&gt;100,"NM",IF(((GT480/GR480-1)*100)&lt;-50,"NM",(GT480/GR480-1)*100)))</f>
        <v>-16.030091104978649</v>
      </c>
      <c r="GV480" s="270">
        <f>GV476+GV477+GV478</f>
        <v>449.54622399999994</v>
      </c>
      <c r="GW480" s="61">
        <f>IF(ISERROR((GV480/GT480-1)*100),"NA",IF(((GV480/GT480-1)*100)&gt;100,"NM",IF(((GV480/GT480-1)*100)&lt;-50,"NM",(GV480/GT480-1)*100)))</f>
        <v>1.1918986375275997</v>
      </c>
      <c r="GX480" s="270">
        <f>GX476+GX477+GX478</f>
        <v>454.94714848000001</v>
      </c>
      <c r="GY480" s="61">
        <f>IF(ISERROR((GX480/GV480-1)*100),"NA",IF(((GX480/GV480-1)*100)&gt;100,"NM",IF(((GX480/GV480-1)*100)&lt;-50,"NM",(GX480/GV480-1)*100)))</f>
        <v>1.2014169381612039</v>
      </c>
      <c r="GZ480" s="61">
        <f t="shared" si="2388"/>
        <v>-2.8237068122512143</v>
      </c>
      <c r="HA480" s="61"/>
      <c r="HB480" s="452"/>
      <c r="HC480"/>
      <c r="HD480"/>
      <c r="HE480"/>
      <c r="HF480"/>
      <c r="HG480"/>
      <c r="HH480"/>
    </row>
    <row r="481" spans="1:216" s="5" customFormat="1" ht="12.75" customHeight="1" x14ac:dyDescent="0.2">
      <c r="A481" s="7"/>
      <c r="B481" s="2"/>
      <c r="C481" s="272"/>
      <c r="D481" s="60"/>
      <c r="E481" s="272"/>
      <c r="F481" s="59"/>
      <c r="G481" s="272"/>
      <c r="H481" s="59"/>
      <c r="I481" s="272"/>
      <c r="J481" s="59"/>
      <c r="K481" s="272"/>
      <c r="L481" s="61"/>
      <c r="M481" s="272"/>
      <c r="N481" s="61"/>
      <c r="O481" s="272"/>
      <c r="P481" s="61"/>
      <c r="Q481" s="272"/>
      <c r="R481" s="61"/>
      <c r="S481" s="272"/>
      <c r="T481" s="61"/>
      <c r="U481" s="272"/>
      <c r="V481" s="61"/>
      <c r="W481" s="272"/>
      <c r="X481" s="61"/>
      <c r="Y481" s="272"/>
      <c r="Z481" s="61"/>
      <c r="AA481" s="272"/>
      <c r="AB481" s="61"/>
      <c r="AC481" s="272"/>
      <c r="AD481" s="61"/>
      <c r="AE481" s="272"/>
      <c r="AF481" s="61"/>
      <c r="AG481" s="272"/>
      <c r="AH481" s="61"/>
      <c r="AI481" s="272"/>
      <c r="AJ481" s="61"/>
      <c r="AK481" s="272"/>
      <c r="AL481" s="61"/>
      <c r="AM481" s="272"/>
      <c r="AN481" s="61"/>
      <c r="AO481" s="272"/>
      <c r="AP481" s="61"/>
      <c r="AQ481" s="272"/>
      <c r="AR481" s="61"/>
      <c r="AS481" s="272"/>
      <c r="AT481" s="61"/>
      <c r="AU481" s="272"/>
      <c r="AV481" s="61"/>
      <c r="AW481" s="272"/>
      <c r="AX481" s="61"/>
      <c r="AY481" s="272"/>
      <c r="AZ481" s="61"/>
      <c r="BA481" s="272"/>
      <c r="BB481" s="61"/>
      <c r="BC481" s="272"/>
      <c r="BD481" s="61"/>
      <c r="BE481" s="272"/>
      <c r="BF481" s="61"/>
      <c r="BG481" s="272"/>
      <c r="BH481" s="61"/>
      <c r="BI481" s="272"/>
      <c r="BJ481" s="61"/>
      <c r="BK481" s="272"/>
      <c r="BL481" s="61"/>
      <c r="BM481" s="272"/>
      <c r="BN481" s="61"/>
      <c r="BO481" s="272"/>
      <c r="BP481" s="61"/>
      <c r="BQ481" s="272"/>
      <c r="BR481" s="61"/>
      <c r="BS481" s="272"/>
      <c r="BT481" s="61"/>
      <c r="BU481" s="272"/>
      <c r="BV481" s="61"/>
      <c r="BW481" s="272"/>
      <c r="BX481" s="61"/>
      <c r="BY481" s="272"/>
      <c r="BZ481" s="61"/>
      <c r="CA481" s="272"/>
      <c r="CB481" s="61"/>
      <c r="CC481" s="272"/>
      <c r="CD481" s="61"/>
      <c r="CE481" s="272"/>
      <c r="CF481" s="61"/>
      <c r="CG481" s="272"/>
      <c r="CH481" s="61"/>
      <c r="CI481" s="272"/>
      <c r="CJ481" s="61"/>
      <c r="CK481" s="272"/>
      <c r="CL481" s="61"/>
      <c r="CM481" s="272"/>
      <c r="CN481" s="61"/>
      <c r="CO481" s="272"/>
      <c r="CP481" s="61"/>
      <c r="CQ481" s="272"/>
      <c r="CR481" s="61"/>
      <c r="CS481" s="272"/>
      <c r="CT481" s="61"/>
      <c r="CU481" s="272"/>
      <c r="CV481" s="61"/>
      <c r="CW481" s="272"/>
      <c r="CX481" s="61"/>
      <c r="CY481" s="272"/>
      <c r="CZ481" s="61"/>
      <c r="DA481" s="272"/>
      <c r="DB481" s="61"/>
      <c r="DC481" s="272"/>
      <c r="DD481" s="61"/>
      <c r="DE481" s="272"/>
      <c r="DF481" s="61"/>
      <c r="DG481" s="272"/>
      <c r="DH481" s="61"/>
      <c r="DI481" s="272"/>
      <c r="DJ481" s="61"/>
      <c r="DK481" s="272"/>
      <c r="DL481" s="61"/>
      <c r="DM481" s="272"/>
      <c r="DN481" s="61"/>
      <c r="DO481" s="272"/>
      <c r="DP481" s="61"/>
      <c r="DQ481" s="272"/>
      <c r="DR481" s="61"/>
      <c r="DS481" s="272"/>
      <c r="DT481" s="61"/>
      <c r="DU481" s="272"/>
      <c r="DV481" s="61"/>
      <c r="DW481" s="272"/>
      <c r="DX481" s="272"/>
      <c r="DY481" s="272"/>
      <c r="DZ481" s="61"/>
      <c r="EA481" s="272"/>
      <c r="EB481" s="61"/>
      <c r="EC481" s="272"/>
      <c r="ED481" s="61"/>
      <c r="EE481" s="272"/>
      <c r="EF481" s="61"/>
      <c r="EG481" s="272"/>
      <c r="EH481" s="61"/>
      <c r="EI481" s="272"/>
      <c r="EJ481" s="61"/>
      <c r="EK481" s="272"/>
      <c r="EL481" s="61"/>
      <c r="EM481" s="272"/>
      <c r="EN481" s="61"/>
      <c r="EO481" s="272"/>
      <c r="EP481" s="61"/>
      <c r="EQ481" s="272"/>
      <c r="ER481" s="61"/>
      <c r="ES481" s="272"/>
      <c r="ET481" s="61"/>
      <c r="EU481" s="272"/>
      <c r="EV481" s="61"/>
      <c r="EW481" s="272"/>
      <c r="EX481" s="61"/>
      <c r="EY481" s="7"/>
      <c r="EZ481" s="558"/>
      <c r="FA481" s="7"/>
      <c r="FB481" s="269"/>
      <c r="FC481" s="7"/>
      <c r="FD481" s="269"/>
      <c r="FE481" s="61"/>
      <c r="FF481" s="84"/>
      <c r="FG481" s="61"/>
      <c r="FH481" s="84"/>
      <c r="FI481" s="61"/>
      <c r="FJ481" s="84"/>
      <c r="FK481" s="61"/>
      <c r="FL481" s="84"/>
      <c r="FM481" s="61"/>
      <c r="FN481" s="84"/>
      <c r="FO481" s="61"/>
      <c r="FP481" s="274"/>
      <c r="FQ481" s="61"/>
      <c r="FR481" s="274"/>
      <c r="FS481" s="61"/>
      <c r="FT481" s="274"/>
      <c r="FU481" s="61"/>
      <c r="FV481" s="274"/>
      <c r="FW481" s="61"/>
      <c r="FX481" s="274"/>
      <c r="FY481" s="61"/>
      <c r="FZ481" s="274"/>
      <c r="GA481" s="61"/>
      <c r="GB481" s="274"/>
      <c r="GC481" s="61"/>
      <c r="GD481" s="274"/>
      <c r="GE481" s="61"/>
      <c r="GF481" s="274"/>
      <c r="GG481" s="61"/>
      <c r="GH481" s="274"/>
      <c r="GI481" s="61"/>
      <c r="GJ481" s="274"/>
      <c r="GK481" s="61"/>
      <c r="GL481" s="274"/>
      <c r="GM481" s="61"/>
      <c r="GN481" s="274"/>
      <c r="GO481" s="61"/>
      <c r="GP481" s="274"/>
      <c r="GQ481" s="61"/>
      <c r="GR481" s="272"/>
      <c r="GS481" s="61"/>
      <c r="GT481" s="272"/>
      <c r="GU481" s="61"/>
      <c r="GV481" s="272"/>
      <c r="GW481" s="61"/>
      <c r="GX481" s="272"/>
      <c r="GY481" s="61"/>
      <c r="GZ481" s="61" t="str">
        <f t="shared" si="2388"/>
        <v/>
      </c>
      <c r="HA481" s="61"/>
      <c r="HB481" s="452"/>
      <c r="HC481"/>
      <c r="HD481"/>
      <c r="HE481"/>
      <c r="HF481"/>
      <c r="HG481"/>
      <c r="HH481"/>
    </row>
    <row r="482" spans="1:216" s="5" customFormat="1" ht="12.75" customHeight="1" x14ac:dyDescent="0.2">
      <c r="A482" s="7" t="s">
        <v>25</v>
      </c>
      <c r="B482" s="2" t="s">
        <v>386</v>
      </c>
      <c r="C482" s="139"/>
      <c r="D482" s="70"/>
      <c r="E482" s="139"/>
      <c r="F482" s="71"/>
      <c r="G482" s="139"/>
      <c r="H482" s="71"/>
      <c r="I482" s="139"/>
      <c r="J482" s="61"/>
      <c r="K482" s="139"/>
      <c r="L482" s="61"/>
      <c r="M482" s="139"/>
      <c r="N482" s="61"/>
      <c r="O482" s="139"/>
      <c r="P482" s="61"/>
      <c r="Q482" s="139"/>
      <c r="R482" s="61"/>
      <c r="S482" s="139"/>
      <c r="T482" s="61"/>
      <c r="U482" s="139"/>
      <c r="V482" s="61"/>
      <c r="W482" s="139"/>
      <c r="X482" s="61"/>
      <c r="Y482" s="139"/>
      <c r="Z482" s="61"/>
      <c r="AA482" s="139"/>
      <c r="AB482" s="61"/>
      <c r="AC482" s="139"/>
      <c r="AD482" s="61"/>
      <c r="AE482" s="139"/>
      <c r="AF482" s="61"/>
      <c r="AG482" s="139"/>
      <c r="AH482" s="61"/>
      <c r="AI482" s="139"/>
      <c r="AJ482" s="61"/>
      <c r="AK482" s="139"/>
      <c r="AL482" s="61"/>
      <c r="AM482" s="139"/>
      <c r="AN482" s="61"/>
      <c r="AO482" s="139"/>
      <c r="AP482" s="61"/>
      <c r="AQ482" s="139">
        <f>AQ473-AQ480</f>
        <v>-7.5999999999999979</v>
      </c>
      <c r="AR482" s="61" t="str">
        <f t="shared" ref="AR482:AR488" si="2441">IF(ISERROR((AQ482/AI482-1)*100),"NA",IF(((AQ482/AI482-1)*100)&gt;100,"NM",IF(((AQ482/AI482-1)*100)&lt;-50,"NM",(AQ482/AI482-1)*100)))</f>
        <v>NA</v>
      </c>
      <c r="AS482" s="139">
        <f>AS473-AS480</f>
        <v>7.1999999999999886</v>
      </c>
      <c r="AT482" s="61" t="str">
        <f t="shared" ref="AT482:AT488" si="2442">IF(ISERROR((AS482/AK482-1)*100),"NA",IF(((AS482/AK482-1)*100)&gt;100,"NM",IF(((AS482/AK482-1)*100)&lt;-50,"NM",(AS482/AK482-1)*100)))</f>
        <v>NA</v>
      </c>
      <c r="AU482" s="139">
        <f>AU473-AU480</f>
        <v>-4.1999999999999957</v>
      </c>
      <c r="AV482" s="61" t="str">
        <f t="shared" ref="AV482:AX488" si="2443">IF(ISERROR((AU482/AM482-1)*100),"NA",IF(((AU482/AM482-1)*100)&gt;100,"NM",IF(((AU482/AM482-1)*100)&lt;-50,"NM",(AU482/AM482-1)*100)))</f>
        <v>NA</v>
      </c>
      <c r="AW482" s="139">
        <f>AW473-AW480</f>
        <v>-5.8999999999999986</v>
      </c>
      <c r="AX482" s="61" t="str">
        <f t="shared" si="2443"/>
        <v>NA</v>
      </c>
      <c r="AY482" s="73">
        <f>AY473-AY480</f>
        <v>-2</v>
      </c>
      <c r="AZ482" s="61" t="str">
        <f t="shared" ref="AZ482:AZ488" si="2444">IF(ISERROR((AY482/AQ482-1)*100),"NA",IF(((AY482/AQ482-1)*100)&gt;100,"NM",IF(((AY482/AQ482-1)*100)&lt;-50,"NM",(AY482/AQ482-1)*100)))</f>
        <v>NM</v>
      </c>
      <c r="BA482" s="73">
        <f>BA473-BA480</f>
        <v>-43</v>
      </c>
      <c r="BB482" s="61" t="str">
        <f t="shared" ref="BB482:BB488" si="2445">IF(ISERROR((BA482/AS482-1)*100),"NA",IF(((BA482/AS482-1)*100)&gt;100,"NM",IF(((BA482/AS482-1)*100)&lt;-50,"NM",(BA482/AS482-1)*100)))</f>
        <v>NM</v>
      </c>
      <c r="BC482" s="73">
        <f>BC473-BC480</f>
        <v>-27.299999999999997</v>
      </c>
      <c r="BD482" s="61" t="str">
        <f t="shared" ref="BD482:BD488" si="2446">IF(ISERROR((BC482/AU482-1)*100),"NA",IF(((BC482/AU482-1)*100)&gt;100,"NM",IF(((BC482/AU482-1)*100)&lt;-50,"NM",(BC482/AU482-1)*100)))</f>
        <v>NM</v>
      </c>
      <c r="BE482" s="73">
        <f>BE473-BE480</f>
        <v>-73</v>
      </c>
      <c r="BF482" s="61" t="str">
        <f t="shared" ref="BF482:BF488" si="2447">IF(ISERROR((BE482/AW482-1)*100),"NA",IF(((BE482/AW482-1)*100)&gt;100,"NM",IF(((BE482/AW482-1)*100)&lt;-50,"NM",(BE482/AW482-1)*100)))</f>
        <v>NM</v>
      </c>
      <c r="BG482" s="73">
        <f>BG473-BG480</f>
        <v>-48.400000000000006</v>
      </c>
      <c r="BH482" s="61" t="str">
        <f t="shared" ref="BH482:BH487" si="2448">IF(ISERROR((BG482/AY482-1)*100),"NA",IF(((BG482/AY482-1)*100)&gt;100,"NM",IF(((BG482/AY482-1)*100)&lt;-50,"NM",(BG482/AY482-1)*100)))</f>
        <v>NM</v>
      </c>
      <c r="BI482" s="73">
        <f>BI473-BI480</f>
        <v>-66.700000000000017</v>
      </c>
      <c r="BJ482" s="61">
        <f t="shared" ref="BJ482:BJ487" si="2449">IF(ISERROR((BI482/BA482-1)*100),"NA",IF(((BI482/BA482-1)*100)&gt;100,"NM",IF(((BI482/BA482-1)*100)&lt;-50,"NM",(BI482/BA482-1)*100)))</f>
        <v>55.116279069767479</v>
      </c>
      <c r="BK482" s="73">
        <f>BK473-BK480</f>
        <v>-82.200000000000017</v>
      </c>
      <c r="BL482" s="61" t="str">
        <f t="shared" ref="BL482:BL487" si="2450">IF(ISERROR((BK482/BC482-1)*100),"NA",IF(((BK482/BC482-1)*100)&gt;100,"NM",IF(((BK482/BC482-1)*100)&lt;-50,"NM",(BK482/BC482-1)*100)))</f>
        <v>NM</v>
      </c>
      <c r="BM482" s="73">
        <f>BM473-BM480</f>
        <v>-90.099999999999966</v>
      </c>
      <c r="BN482" s="61">
        <f t="shared" ref="BN482:BN487" si="2451">IF(ISERROR((BM482/BE482-1)*100),"NA",IF(((BM482/BE482-1)*100)&gt;100,"NM",IF(((BM482/BE482-1)*100)&lt;-50,"NM",(BM482/BE482-1)*100)))</f>
        <v>23.424657534246517</v>
      </c>
      <c r="BO482" s="73">
        <f>BO473-BO480</f>
        <v>-63.5</v>
      </c>
      <c r="BP482" s="61">
        <f t="shared" ref="BP482:BP487" si="2452">IF(ISERROR((BO482/BG482-1)*100),"NA",IF(((BO482/BG482-1)*100)&gt;100,"NM",IF(((BO482/BG482-1)*100)&lt;-50,"NM",(BO482/BG482-1)*100)))</f>
        <v>31.198347107438007</v>
      </c>
      <c r="BQ482" s="73">
        <f>BQ473-BQ480</f>
        <v>-68.300000000000011</v>
      </c>
      <c r="BR482" s="61">
        <f t="shared" ref="BR482:BR487" si="2453">IF(ISERROR((BQ482/BI482-1)*100),"NA",IF(((BQ482/BI482-1)*100)&gt;100,"NM",IF(((BQ482/BI482-1)*100)&lt;-50,"NM",(BQ482/BI482-1)*100)))</f>
        <v>2.398800599700146</v>
      </c>
      <c r="BS482" s="73">
        <f>BS473-BS480</f>
        <v>-58.5</v>
      </c>
      <c r="BT482" s="61">
        <f t="shared" ref="BT482:BT487" si="2454">IF(ISERROR((BS482/BK482-1)*100),"NA",IF(((BS482/BK482-1)*100)&gt;100,"NM",IF(((BS482/BK482-1)*100)&lt;-50,"NM",(BS482/BK482-1)*100)))</f>
        <v>-28.832116788321184</v>
      </c>
      <c r="BU482" s="73">
        <f>BU473-BU480</f>
        <v>-80.400000000000006</v>
      </c>
      <c r="BV482" s="61">
        <f t="shared" ref="BV482:BV487" si="2455">IF(ISERROR((BU482/BM482-1)*100),"NA",IF(((BU482/BM482-1)*100)&gt;100,"NM",IF(((BU482/BM482-1)*100)&lt;-50,"NM",(BU482/BM482-1)*100)))</f>
        <v>-10.765815760266328</v>
      </c>
      <c r="BW482" s="73">
        <f>BW473-BW480</f>
        <v>-166.20000000000002</v>
      </c>
      <c r="BX482" s="61" t="str">
        <f t="shared" ref="BX482:BX487" si="2456">IF(ISERROR((BW482/BO482-1)*100),"NA",IF(((BW482/BO482-1)*100)&gt;100,"NM",IF(((BW482/BO482-1)*100)&lt;-50,"NM",(BW482/BO482-1)*100)))</f>
        <v>NM</v>
      </c>
      <c r="BY482" s="73">
        <f>BY473-BY480</f>
        <v>-86.299999999999983</v>
      </c>
      <c r="BZ482" s="61">
        <f t="shared" ref="BZ482:BZ487" si="2457">IF(ISERROR((BY482/BQ482-1)*100),"NA",IF(((BY482/BQ482-1)*100)&gt;100,"NM",IF(((BY482/BQ482-1)*100)&lt;-50,"NM",(BY482/BQ482-1)*100)))</f>
        <v>26.354319180087792</v>
      </c>
      <c r="CA482" s="73">
        <f>CA473-CA480</f>
        <v>-54</v>
      </c>
      <c r="CB482" s="61">
        <f t="shared" ref="CB482:CB487" si="2458">IF(ISERROR((CA482/BS482-1)*100),"NA",IF(((CA482/BS482-1)*100)&gt;100,"NM",IF(((CA482/BS482-1)*100)&lt;-50,"NM",(CA482/BS482-1)*100)))</f>
        <v>-7.6923076923076872</v>
      </c>
      <c r="CC482" s="73">
        <f>CC473-CC480</f>
        <v>-73.699999999999989</v>
      </c>
      <c r="CD482" s="61">
        <f t="shared" ref="CD482:CD487" si="2459">IF(ISERROR((CC482/BU482-1)*100),"NA",IF(((CC482/BU482-1)*100)&gt;100,"NM",IF(((CC482/BU482-1)*100)&lt;-50,"NM",(CC482/BU482-1)*100)))</f>
        <v>-8.3333333333333588</v>
      </c>
      <c r="CE482" s="73">
        <f>CE473-CE480</f>
        <v>-55</v>
      </c>
      <c r="CF482" s="61" t="str">
        <f t="shared" ref="CF482:CF487" si="2460">IF(ISERROR((CE482/BW482-1)*100),"NA",IF(((CE482/BW482-1)*100)&gt;100,"NM",IF(((CE482/BW482-1)*100)&lt;-50,"NM",(CE482/BW482-1)*100)))</f>
        <v>NM</v>
      </c>
      <c r="CG482" s="73">
        <f>CG473-CG480</f>
        <v>-62.5</v>
      </c>
      <c r="CH482" s="61">
        <f t="shared" ref="CH482:CH487" si="2461">IF(ISERROR((CG482/BY482-1)*100),"NA",IF(((CG482/BY482-1)*100)&gt;100,"NM",IF(((CG482/BY482-1)*100)&lt;-50,"NM",(CG482/BY482-1)*100)))</f>
        <v>-27.578215527230576</v>
      </c>
      <c r="CI482" s="73">
        <f>CI473-CI480</f>
        <v>-61.5</v>
      </c>
      <c r="CJ482" s="61">
        <f t="shared" ref="CJ482:CJ487" si="2462">IF(ISERROR((CI482/CA482-1)*100),"NA",IF(((CI482/CA482-1)*100)&gt;100,"NM",IF(((CI482/CA482-1)*100)&lt;-50,"NM",(CI482/CA482-1)*100)))</f>
        <v>13.888888888888884</v>
      </c>
      <c r="CK482" s="73">
        <f>CK473-CK480</f>
        <v>-113.70000000000002</v>
      </c>
      <c r="CL482" s="61">
        <f t="shared" ref="CL482:CL487" si="2463">IF(ISERROR((CK482/CC482-1)*100),"NA",IF(((CK482/CC482-1)*100)&gt;100,"NM",IF(((CK482/CC482-1)*100)&lt;-50,"NM",(CK482/CC482-1)*100)))</f>
        <v>54.274084124830438</v>
      </c>
      <c r="CM482" s="73">
        <f>CM473-CM480</f>
        <v>-57.900000000000006</v>
      </c>
      <c r="CN482" s="61">
        <f t="shared" ref="CN482:CN487" si="2464">IF(ISERROR((CM482/CE482-1)*100),"NA",IF(((CM482/CE482-1)*100)&gt;100,"NM",IF(((CM482/CE482-1)*100)&lt;-50,"NM",(CM482/CE482-1)*100)))</f>
        <v>5.2727272727272734</v>
      </c>
      <c r="CO482" s="73">
        <f>CO473-CO480</f>
        <v>-35</v>
      </c>
      <c r="CP482" s="61">
        <f t="shared" ref="CP482:CP487" si="2465">IF(ISERROR((CO482/CG482-1)*100),"NA",IF(((CO482/CG482-1)*100)&gt;100,"NM",IF(((CO482/CG482-1)*100)&lt;-50,"NM",(CO482/CG482-1)*100)))</f>
        <v>-43.999999999999993</v>
      </c>
      <c r="CQ482" s="73">
        <f>CQ473-CQ480</f>
        <v>-61</v>
      </c>
      <c r="CR482" s="61">
        <f t="shared" ref="CR482:CR487" si="2466">IF(ISERROR((CQ482/CI482-1)*100),"NA",IF(((CQ482/CI482-1)*100)&gt;100,"NM",IF(((CQ482/CI482-1)*100)&lt;-50,"NM",(CQ482/CI482-1)*100)))</f>
        <v>-0.81300813008130524</v>
      </c>
      <c r="CS482" s="73">
        <f>CS473-CS480</f>
        <v>-66</v>
      </c>
      <c r="CT482" s="61">
        <f t="shared" ref="CT482:CT487" si="2467">IF(ISERROR((CS482/CK482-1)*100),"NA",IF(((CS482/CK482-1)*100)&gt;100,"NM",IF(((CS482/CK482-1)*100)&lt;-50,"NM",(CS482/CK482-1)*100)))</f>
        <v>-41.95250659630608</v>
      </c>
      <c r="CU482" s="73">
        <f>CU473-CU480</f>
        <v>-57</v>
      </c>
      <c r="CV482" s="61">
        <f t="shared" ref="CV482:CV487" si="2468">IF(ISERROR((CU482/CM482-1)*100),"NA",IF(((CU482/CM482-1)*100)&gt;100,"NM",IF(((CU482/CM482-1)*100)&lt;-50,"NM",(CU482/CM482-1)*100)))</f>
        <v>-1.5544041450777257</v>
      </c>
      <c r="CW482" s="73">
        <f>CW473-CW480</f>
        <v>-51</v>
      </c>
      <c r="CX482" s="61">
        <f t="shared" ref="CX482:CX487" si="2469">IF(ISERROR((CW482/CO482-1)*100),"NA",IF(((CW482/CO482-1)*100)&gt;100,"NM",IF(((CW482/CO482-1)*100)&lt;-50,"NM",(CW482/CO482-1)*100)))</f>
        <v>45.714285714285708</v>
      </c>
      <c r="CY482" s="73">
        <f>CY473-CY480</f>
        <v>-89</v>
      </c>
      <c r="CZ482" s="61">
        <f t="shared" ref="CZ482:CZ487" si="2470">IF(ISERROR((CY482/CQ482-1)*100),"NA",IF(((CY482/CQ482-1)*100)&gt;100,"NM",IF(((CY482/CQ482-1)*100)&lt;-50,"NM",(CY482/CQ482-1)*100)))</f>
        <v>45.9016393442623</v>
      </c>
      <c r="DA482" s="73">
        <f>DA473-DA480</f>
        <v>-67</v>
      </c>
      <c r="DB482" s="61">
        <f t="shared" ref="DB482:DB487" si="2471">IF(ISERROR((DA482/CS482-1)*100),"NA",IF(((DA482/CS482-1)*100)&gt;100,"NM",IF(((DA482/CS482-1)*100)&lt;-50,"NM",(DA482/CS482-1)*100)))</f>
        <v>1.5151515151515138</v>
      </c>
      <c r="DC482" s="73">
        <f>DC473-DC480</f>
        <v>-56</v>
      </c>
      <c r="DD482" s="61">
        <f t="shared" ref="DD482:DD487" si="2472">IF(ISERROR((DC482/CU482-1)*100),"NA",IF(((DC482/CU482-1)*100)&gt;100,"NM",IF(((DC482/CU482-1)*100)&lt;-50,"NM",(DC482/CU482-1)*100)))</f>
        <v>-1.7543859649122862</v>
      </c>
      <c r="DE482" s="73">
        <f>DE473-DE480</f>
        <v>-61</v>
      </c>
      <c r="DF482" s="61">
        <f t="shared" ref="DF482:DF487" si="2473">IF(ISERROR((DE482/CW482-1)*100),"NA",IF(((DE482/CW482-1)*100)&gt;100,"NM",IF(((DE482/CW482-1)*100)&lt;-50,"NM",(DE482/CW482-1)*100)))</f>
        <v>19.6078431372549</v>
      </c>
      <c r="DG482" s="73">
        <f>DG473-DG480</f>
        <v>-42</v>
      </c>
      <c r="DH482" s="61" t="str">
        <f t="shared" ref="DH482:DH487" si="2474">IF(ISERROR((DG482/CY482-1)*100),"NA",IF(((DG482/CY482-1)*100)&gt;100,"NM",IF(((DG482/CY482-1)*100)&lt;-50,"NM",(DG482/CY482-1)*100)))</f>
        <v>NM</v>
      </c>
      <c r="DI482" s="73">
        <f>DI473-DI480</f>
        <v>-34</v>
      </c>
      <c r="DJ482" s="61">
        <f t="shared" ref="DJ482:DJ487" si="2475">IF(ISERROR((DI482/DA482-1)*100),"NA",IF(((DI482/DA482-1)*100)&gt;100,"NM",IF(((DI482/DA482-1)*100)&lt;-50,"NM",(DI482/DA482-1)*100)))</f>
        <v>-49.253731343283583</v>
      </c>
      <c r="DK482" s="73">
        <f>DK473-DK480</f>
        <v>-46</v>
      </c>
      <c r="DL482" s="61">
        <f t="shared" ref="DL482:DL487" si="2476">IF(ISERROR((DK482/DC482-1)*100),"NA",IF(((DK482/DC482-1)*100)&gt;100,"NM",IF(((DK482/DC482-1)*100)&lt;-50,"NM",(DK482/DC482-1)*100)))</f>
        <v>-17.857142857142861</v>
      </c>
      <c r="DM482" s="73">
        <f>DM473-DM480</f>
        <v>-34</v>
      </c>
      <c r="DN482" s="130">
        <f t="shared" ref="DN482:DZ488" si="2477">IF(ISERROR((DM482/DE482-1)*100),"NA",IF(((DM482/DE482-1)*100)&gt;100,"NM",IF(((DM482/DE482-1)*100)&lt;-50,"NM",(DM482/DE482-1)*100)))</f>
        <v>-44.262295081967217</v>
      </c>
      <c r="DO482" s="73">
        <f>DO473-DO480</f>
        <v>-45</v>
      </c>
      <c r="DP482" s="130">
        <f t="shared" si="2477"/>
        <v>7.1428571428571397</v>
      </c>
      <c r="DQ482" s="73">
        <f>DQ473-DQ480</f>
        <v>-40</v>
      </c>
      <c r="DR482" s="130">
        <f t="shared" si="2477"/>
        <v>17.647058823529417</v>
      </c>
      <c r="DS482" s="73">
        <f>DS473-DS480</f>
        <v>-44</v>
      </c>
      <c r="DT482" s="130">
        <f t="shared" si="2477"/>
        <v>-4.3478260869565188</v>
      </c>
      <c r="DU482" s="73">
        <f>DU473-DU480</f>
        <v>-59</v>
      </c>
      <c r="DV482" s="130">
        <f t="shared" si="2477"/>
        <v>73.529411764705884</v>
      </c>
      <c r="DW482" s="73">
        <f>DW473-DW480</f>
        <v>-93</v>
      </c>
      <c r="DX482" s="73">
        <f t="shared" ref="DX482:DY482" si="2478">DX473-DX480</f>
        <v>-93</v>
      </c>
      <c r="DY482" s="73">
        <f t="shared" si="2478"/>
        <v>-45</v>
      </c>
      <c r="DZ482" s="130">
        <f t="shared" si="2477"/>
        <v>12.5</v>
      </c>
      <c r="EA482" s="73">
        <f t="shared" ref="EA482:EC482" si="2479">EA473-EA480</f>
        <v>-27</v>
      </c>
      <c r="EB482" s="130">
        <f t="shared" ref="EB482:EB488" si="2480">IF(ISERROR((EA482/DS482-1)*100),"NA",IF(((EA482/DS482-1)*100)&gt;100,"NM",IF(((EA482/DS482-1)*100)&lt;-50,"NM",(EA482/DS482-1)*100)))</f>
        <v>-38.636363636363633</v>
      </c>
      <c r="EC482" s="73">
        <f t="shared" si="2479"/>
        <v>-46</v>
      </c>
      <c r="ED482" s="130">
        <f t="shared" ref="ED482:ED488" si="2481">IF(ISERROR((EC482/DU482-1)*100),"NA",IF(((EC482/DU482-1)*100)&gt;100,"NM",IF(((EC482/DU482-1)*100)&lt;-50,"NM",(EC482/DU482-1)*100)))</f>
        <v>-22.033898305084744</v>
      </c>
      <c r="EE482" s="73">
        <f t="shared" ref="EE482:EG482" si="2482">EE473-EE480</f>
        <v>-67</v>
      </c>
      <c r="EF482" s="130">
        <f t="shared" ref="EF482:EF488" si="2483">IF(ISERROR((EE482/DW482-1)*100),"NA",IF(((EE482/DW482-1)*100)&gt;100,"NM",IF(((EE482/DW482-1)*100)&lt;-50,"NM",(EE482/DW482-1)*100)))</f>
        <v>-27.956989247311824</v>
      </c>
      <c r="EG482" s="73">
        <f t="shared" si="2482"/>
        <v>-72</v>
      </c>
      <c r="EH482" s="130">
        <f t="shared" ref="EH482:EH488" si="2484">IF(ISERROR((EG482/DY482-1)*100),"NA",IF(((EG482/DY482-1)*100)&gt;100,"NM",IF(((EG482/DY482-1)*100)&lt;-50,"NM",(EG482/DY482-1)*100)))</f>
        <v>60.000000000000007</v>
      </c>
      <c r="EI482" s="73">
        <f t="shared" ref="EI482" si="2485">EI473-EI480</f>
        <v>-41</v>
      </c>
      <c r="EJ482" s="130">
        <f t="shared" ref="EJ482:EJ488" si="2486">IF(ISERROR((EI482/EA482-1)*100),"NA",IF(((EI482/EA482-1)*100)&gt;100,"NM",IF(((EI482/EA482-1)*100)&lt;-50,"NM",(EI482/EA482-1)*100)))</f>
        <v>51.851851851851862</v>
      </c>
      <c r="EK482" s="73">
        <f t="shared" ref="EK482:EM482" si="2487">EK473-EK480</f>
        <v>-63</v>
      </c>
      <c r="EL482" s="130">
        <f t="shared" ref="EL482:EL488" si="2488">IF(ISERROR((EK482/EC482-1)*100),"NA",IF(((EK482/EC482-1)*100)&gt;100,"NM",IF(((EK482/EC482-1)*100)&lt;-50,"NM",(EK482/EC482-1)*100)))</f>
        <v>36.956521739130444</v>
      </c>
      <c r="EM482" s="73">
        <f t="shared" si="2487"/>
        <v>-70</v>
      </c>
      <c r="EN482" s="130">
        <f t="shared" ref="EN482:EN488" si="2489">IF(ISERROR((EM482/EE482-1)*100),"NA",IF(((EM482/EE482-1)*100)&gt;100,"NM",IF(((EM482/EE482-1)*100)&lt;-50,"NM",(EM482/EE482-1)*100)))</f>
        <v>4.4776119402984982</v>
      </c>
      <c r="EO482" s="73">
        <f t="shared" ref="EO482" si="2490">EO473-EO480</f>
        <v>-63</v>
      </c>
      <c r="EP482" s="130">
        <f t="shared" ref="EP482:EP488" si="2491">IF(ISERROR((EO482/EG482-1)*100),"NA",IF(((EO482/EG482-1)*100)&gt;100,"NM",IF(((EO482/EG482-1)*100)&lt;-50,"NM",(EO482/EG482-1)*100)))</f>
        <v>-12.5</v>
      </c>
      <c r="EQ482" s="73">
        <f t="shared" ref="EQ482:EW482" si="2492">EQ473-EQ480</f>
        <v>-72.035000000000011</v>
      </c>
      <c r="ER482" s="130">
        <f t="shared" ref="ER482:ER488" si="2493">IF(ISERROR((EQ482/EI482-1)*100),"NA",IF(((EQ482/EI482-1)*100)&gt;100,"NM",IF(((EQ482/EI482-1)*100)&lt;-50,"NM",(EQ482/EI482-1)*100)))</f>
        <v>75.695121951219548</v>
      </c>
      <c r="ES482" s="73">
        <f t="shared" si="2492"/>
        <v>-71.693300000000022</v>
      </c>
      <c r="ET482" s="130">
        <f t="shared" ref="ET482:ET488" si="2494">IF(ISERROR((ES482/EK482-1)*100),"NA",IF(((ES482/EK482-1)*100)&gt;100,"NM",IF(((ES482/EK482-1)*100)&lt;-50,"NM",(ES482/EK482-1)*100)))</f>
        <v>13.798888888888916</v>
      </c>
      <c r="EU482" s="73">
        <f t="shared" si="2492"/>
        <v>-71.349891500000027</v>
      </c>
      <c r="EV482" s="130">
        <f t="shared" ref="EV482:EV488" si="2495">IF(ISERROR((EU482/EM482-1)*100),"NA",IF(((EU482/EM482-1)*100)&gt;100,"NM",IF(((EU482/EM482-1)*100)&lt;-50,"NM",(EU482/EM482-1)*100)))</f>
        <v>1.9284164285714667</v>
      </c>
      <c r="EW482" s="73">
        <f t="shared" si="2492"/>
        <v>-71.004765957500041</v>
      </c>
      <c r="EX482" s="130">
        <f t="shared" ref="EX482:EX488" si="2496">IF(ISERROR((EW482/EO482-1)*100),"NA",IF(((EW482/EO482-1)*100)&gt;100,"NM",IF(((EW482/EO482-1)*100)&lt;-50,"NM",(EW482/EO482-1)*100)))</f>
        <v>12.705977710317518</v>
      </c>
      <c r="EY482" s="74"/>
      <c r="EZ482" s="558"/>
      <c r="FA482" s="74"/>
      <c r="FB482" s="73"/>
      <c r="FC482" s="91"/>
      <c r="FD482" s="73"/>
      <c r="FE482" s="126"/>
      <c r="FF482" s="73"/>
      <c r="FG482" s="126"/>
      <c r="FH482" s="73"/>
      <c r="FI482" s="126"/>
      <c r="FJ482" s="73"/>
      <c r="FK482" s="126"/>
      <c r="FL482" s="73"/>
      <c r="FM482" s="126"/>
      <c r="FN482" s="73"/>
      <c r="FO482" s="126"/>
      <c r="FP482" s="73">
        <f>FP473-FP480</f>
        <v>-10.5</v>
      </c>
      <c r="FQ482" s="61" t="str">
        <f t="shared" ref="FQ482:FQ488" si="2497">IF(ISERROR((FP482/FN482-1)*100),"NA",IF(((FP482/FN482-1)*100)&gt;100,"NM",IF(((FP482/FN482-1)*100)&lt;-50,"NM",(FP482/FN482-1)*100)))</f>
        <v>NA</v>
      </c>
      <c r="FR482" s="73">
        <f>FR473-FR480</f>
        <v>-145.29999999999993</v>
      </c>
      <c r="FS482" s="61" t="str">
        <f t="shared" ref="FS482:FS487" si="2498">IF(ISERROR((FR482/FP482-1)*100),"NA",IF(((FR482/FP482-1)*100)&gt;100,"NM",IF(((FR482/FP482-1)*100)&lt;-50,"NM",(FR482/FP482-1)*100)))</f>
        <v>NM</v>
      </c>
      <c r="FT482" s="73">
        <f>FT473-FT480</f>
        <v>-287.39999999999986</v>
      </c>
      <c r="FU482" s="61">
        <f t="shared" ref="FU482:FU487" si="2499">IF(ISERROR((FT482/FR482-1)*100),"NA",IF(((FT482/FR482-1)*100)&gt;100,"NM",IF(((FT482/FR482-1)*100)&lt;-50,"NM",(FT482/FR482-1)*100)))</f>
        <v>97.797660013764641</v>
      </c>
      <c r="FV482" s="73">
        <f>FV473-FV480</f>
        <v>-270.70000000000005</v>
      </c>
      <c r="FW482" s="61">
        <f t="shared" ref="FW482:FW487" si="2500">IF(ISERROR((FV482/FT482-1)*100),"NA",IF(((FV482/FT482-1)*100)&gt;100,"NM",IF(((FV482/FT482-1)*100)&lt;-50,"NM",(FV482/FT482-1)*100)))</f>
        <v>-5.810716771050739</v>
      </c>
      <c r="FX482" s="73">
        <f>FX473-FX480</f>
        <v>-380.2</v>
      </c>
      <c r="FY482" s="61">
        <f t="shared" ref="FY482:FY487" si="2501">IF(ISERROR((FX482/FV482-1)*100),"NA",IF(((FX482/FV482-1)*100)&gt;100,"NM",IF(((FX482/FV482-1)*100)&lt;-50,"NM",(FX482/FV482-1)*100)))</f>
        <v>40.450683413372701</v>
      </c>
      <c r="FZ482" s="73">
        <f>FZ473-FZ480</f>
        <v>-292.7</v>
      </c>
      <c r="GA482" s="61">
        <f t="shared" ref="GA482:GA487" si="2502">IF(ISERROR((FZ482/FX482-1)*100),"NA",IF(((FZ482/FX482-1)*100)&gt;100,"NM",IF(((FZ482/FX482-1)*100)&lt;-50,"NM",(FZ482/FX482-1)*100)))</f>
        <v>-23.014203051025774</v>
      </c>
      <c r="GB482" s="73">
        <f>GB473-GB480</f>
        <v>-219.90000000000009</v>
      </c>
      <c r="GC482" s="61">
        <f t="shared" ref="GC482:GC487" si="2503">IF(ISERROR((GB482/FZ482-1)*100),"NA",IF(((GB482/FZ482-1)*100)&gt;100,"NM",IF(((GB482/FZ482-1)*100)&lt;-50,"NM",(GB482/FZ482-1)*100)))</f>
        <v>-24.871882473522344</v>
      </c>
      <c r="GD482" s="73">
        <f>GD473-GD480</f>
        <v>-264</v>
      </c>
      <c r="GE482" s="61">
        <f t="shared" ref="GE482:GW488" si="2504">IF(ISERROR((GD482/GB482-1)*100),"NA",IF(((GD482/GB482-1)*100)&gt;100,"NM",IF(((GD482/GB482-1)*100)&lt;-50,"NM",(GD482/GB482-1)*100)))</f>
        <v>20.054570259208671</v>
      </c>
      <c r="GF482" s="73">
        <f>GF473-GF480</f>
        <v>-193</v>
      </c>
      <c r="GG482" s="61">
        <f t="shared" si="2504"/>
        <v>-26.893939393939391</v>
      </c>
      <c r="GH482" s="73">
        <f>GH473-GH480</f>
        <v>-165</v>
      </c>
      <c r="GI482" s="61">
        <f t="shared" si="2504"/>
        <v>-14.507772020725385</v>
      </c>
      <c r="GJ482" s="73">
        <f>GJ473-GJ480</f>
        <v>-241</v>
      </c>
      <c r="GK482" s="61">
        <f t="shared" si="2504"/>
        <v>46.060606060606069</v>
      </c>
      <c r="GL482" s="73">
        <f>GL473-GL480</f>
        <v>-212</v>
      </c>
      <c r="GM482" s="61">
        <f t="shared" si="2504"/>
        <v>-12.03319502074689</v>
      </c>
      <c r="GN482" s="73">
        <f>GN473-GN480</f>
        <v>-237</v>
      </c>
      <c r="GO482" s="61">
        <f t="shared" si="2504"/>
        <v>11.792452830188683</v>
      </c>
      <c r="GP482" s="73">
        <f>GP473-GP480</f>
        <v>-286.08295745750013</v>
      </c>
      <c r="GQ482" s="61">
        <f t="shared" si="2504"/>
        <v>20.710108631856606</v>
      </c>
      <c r="GR482" s="73">
        <f>GR473-GR480</f>
        <v>-250.88878703207507</v>
      </c>
      <c r="GS482" s="61">
        <f t="shared" si="2504"/>
        <v>-12.30208563914662</v>
      </c>
      <c r="GT482" s="73">
        <f>GT473-GT480</f>
        <v>-157.7348506430373</v>
      </c>
      <c r="GU482" s="61">
        <f t="shared" si="2504"/>
        <v>-37.129573422158735</v>
      </c>
      <c r="GV482" s="73">
        <f>GV473-GV480</f>
        <v>-154.43438416232846</v>
      </c>
      <c r="GW482" s="61">
        <f t="shared" si="2504"/>
        <v>-2.0924142427965919</v>
      </c>
      <c r="GX482" s="73">
        <f>GX473-GX480</f>
        <v>-150.98195344719835</v>
      </c>
      <c r="GY482" s="61">
        <f t="shared" ref="GY482:GY488" si="2505">IF(ISERROR((GX482/GV482-1)*100),"NA",IF(((GX482/GV482-1)*100)&gt;100,"NM",IF(((GX482/GV482-1)*100)&lt;-50,"NM",(GX482/GV482-1)*100)))</f>
        <v>-2.2355324132359078</v>
      </c>
      <c r="GZ482" s="61">
        <f t="shared" si="2388"/>
        <v>-8.6233275565949512</v>
      </c>
      <c r="HA482" s="61"/>
      <c r="HB482" s="452"/>
      <c r="HC482"/>
      <c r="HD482"/>
      <c r="HE482"/>
      <c r="HF482"/>
      <c r="HG482"/>
      <c r="HH482"/>
    </row>
    <row r="483" spans="1:216" s="5" customFormat="1" ht="12.75" customHeight="1" x14ac:dyDescent="0.2">
      <c r="A483" s="7"/>
      <c r="B483" s="2" t="s">
        <v>115</v>
      </c>
      <c r="C483" s="139"/>
      <c r="D483" s="70"/>
      <c r="E483" s="139"/>
      <c r="F483" s="71"/>
      <c r="G483" s="139"/>
      <c r="H483" s="71"/>
      <c r="I483" s="139"/>
      <c r="J483" s="61"/>
      <c r="K483" s="139"/>
      <c r="L483" s="61"/>
      <c r="M483" s="139"/>
      <c r="N483" s="61"/>
      <c r="O483" s="139"/>
      <c r="P483" s="61"/>
      <c r="Q483" s="139"/>
      <c r="R483" s="61"/>
      <c r="S483" s="139"/>
      <c r="T483" s="61"/>
      <c r="U483" s="139"/>
      <c r="V483" s="61"/>
      <c r="W483" s="139"/>
      <c r="X483" s="61"/>
      <c r="Y483" s="139"/>
      <c r="Z483" s="61"/>
      <c r="AA483" s="139"/>
      <c r="AB483" s="61"/>
      <c r="AC483" s="139"/>
      <c r="AD483" s="61"/>
      <c r="AE483" s="139"/>
      <c r="AF483" s="61"/>
      <c r="AG483" s="139"/>
      <c r="AH483" s="61"/>
      <c r="AI483" s="139"/>
      <c r="AJ483" s="61"/>
      <c r="AK483" s="139"/>
      <c r="AL483" s="61"/>
      <c r="AM483" s="139"/>
      <c r="AN483" s="61"/>
      <c r="AO483" s="139"/>
      <c r="AP483" s="61"/>
      <c r="AQ483" s="138">
        <v>-10</v>
      </c>
      <c r="AR483" s="61" t="str">
        <f t="shared" si="2441"/>
        <v>NA</v>
      </c>
      <c r="AS483" s="138">
        <v>-22.9</v>
      </c>
      <c r="AT483" s="61" t="str">
        <f t="shared" si="2442"/>
        <v>NA</v>
      </c>
      <c r="AU483" s="138">
        <v>-16.3</v>
      </c>
      <c r="AV483" s="61" t="str">
        <f t="shared" si="2443"/>
        <v>NA</v>
      </c>
      <c r="AW483" s="138">
        <v>-15.4</v>
      </c>
      <c r="AX483" s="61" t="str">
        <f t="shared" si="2443"/>
        <v>NA</v>
      </c>
      <c r="AY483" s="72">
        <v>-2.2000000000000002</v>
      </c>
      <c r="AZ483" s="61" t="str">
        <f t="shared" si="2444"/>
        <v>NM</v>
      </c>
      <c r="BA483" s="72">
        <v>-17</v>
      </c>
      <c r="BB483" s="61">
        <f t="shared" si="2445"/>
        <v>-25.764192139737986</v>
      </c>
      <c r="BC483" s="72">
        <v>-15.9</v>
      </c>
      <c r="BD483" s="61">
        <f t="shared" si="2446"/>
        <v>-2.4539877300613466</v>
      </c>
      <c r="BE483" s="72">
        <v>-34.5</v>
      </c>
      <c r="BF483" s="61" t="str">
        <f t="shared" si="2447"/>
        <v>NM</v>
      </c>
      <c r="BG483" s="72">
        <v>-20.3</v>
      </c>
      <c r="BH483" s="61" t="str">
        <f t="shared" si="2448"/>
        <v>NM</v>
      </c>
      <c r="BI483" s="72">
        <v>-30.6</v>
      </c>
      <c r="BJ483" s="61">
        <f t="shared" si="2449"/>
        <v>80</v>
      </c>
      <c r="BK483" s="72">
        <v>-32.4</v>
      </c>
      <c r="BL483" s="61" t="str">
        <f t="shared" si="2450"/>
        <v>NM</v>
      </c>
      <c r="BM483" s="72">
        <v>-30.8</v>
      </c>
      <c r="BN483" s="61">
        <f t="shared" si="2451"/>
        <v>-10.724637681159422</v>
      </c>
      <c r="BO483" s="72">
        <v>-21.2</v>
      </c>
      <c r="BP483" s="61">
        <f t="shared" si="2452"/>
        <v>4.4334975369457963</v>
      </c>
      <c r="BQ483" s="72">
        <v>-23.6</v>
      </c>
      <c r="BR483" s="61">
        <f t="shared" si="2453"/>
        <v>-22.875816993464049</v>
      </c>
      <c r="BS483" s="72">
        <v>-18.600000000000001</v>
      </c>
      <c r="BT483" s="61">
        <f t="shared" si="2454"/>
        <v>-42.592592592592581</v>
      </c>
      <c r="BU483" s="72">
        <v>-25.2</v>
      </c>
      <c r="BV483" s="61">
        <f t="shared" si="2455"/>
        <v>-18.181818181818187</v>
      </c>
      <c r="BW483" s="72">
        <v>-57.7</v>
      </c>
      <c r="BX483" s="61" t="str">
        <f t="shared" si="2456"/>
        <v>NM</v>
      </c>
      <c r="BY483" s="72">
        <v>-34</v>
      </c>
      <c r="BZ483" s="61">
        <f t="shared" si="2457"/>
        <v>44.067796610169488</v>
      </c>
      <c r="CA483" s="72">
        <v>-21.4</v>
      </c>
      <c r="CB483" s="61">
        <f t="shared" si="2458"/>
        <v>15.053763440860202</v>
      </c>
      <c r="CC483" s="72">
        <v>-30.2</v>
      </c>
      <c r="CD483" s="61">
        <f t="shared" si="2459"/>
        <v>19.841269841269838</v>
      </c>
      <c r="CE483" s="72">
        <v>-18.399999999999999</v>
      </c>
      <c r="CF483" s="61" t="str">
        <f t="shared" si="2460"/>
        <v>NM</v>
      </c>
      <c r="CG483" s="72">
        <v>-26.4</v>
      </c>
      <c r="CH483" s="61">
        <f t="shared" si="2461"/>
        <v>-22.352941176470598</v>
      </c>
      <c r="CI483" s="72">
        <v>-21.8</v>
      </c>
      <c r="CJ483" s="61">
        <f t="shared" si="2462"/>
        <v>1.8691588785046731</v>
      </c>
      <c r="CK483" s="72">
        <v>-40</v>
      </c>
      <c r="CL483" s="61">
        <f t="shared" si="2463"/>
        <v>32.450331125827823</v>
      </c>
      <c r="CM483" s="72">
        <v>-22</v>
      </c>
      <c r="CN483" s="61">
        <f t="shared" si="2464"/>
        <v>19.565217391304369</v>
      </c>
      <c r="CO483" s="72">
        <v>-13</v>
      </c>
      <c r="CP483" s="61" t="str">
        <f t="shared" si="2465"/>
        <v>NM</v>
      </c>
      <c r="CQ483" s="72">
        <v>-17.100000000000001</v>
      </c>
      <c r="CR483" s="61">
        <f t="shared" si="2466"/>
        <v>-21.559633027522928</v>
      </c>
      <c r="CS483" s="72">
        <v>-24</v>
      </c>
      <c r="CT483" s="61">
        <f t="shared" si="2467"/>
        <v>-40</v>
      </c>
      <c r="CU483" s="72">
        <v>-23</v>
      </c>
      <c r="CV483" s="61">
        <f t="shared" si="2468"/>
        <v>4.5454545454545414</v>
      </c>
      <c r="CW483" s="72">
        <v>-12</v>
      </c>
      <c r="CX483" s="61">
        <f t="shared" si="2469"/>
        <v>-7.6923076923076872</v>
      </c>
      <c r="CY483" s="72">
        <v>-115</v>
      </c>
      <c r="CZ483" s="61" t="str">
        <f t="shared" si="2470"/>
        <v>NM</v>
      </c>
      <c r="DA483" s="72">
        <v>-27</v>
      </c>
      <c r="DB483" s="61">
        <f t="shared" si="2471"/>
        <v>12.5</v>
      </c>
      <c r="DC483" s="72">
        <v>-21</v>
      </c>
      <c r="DD483" s="61">
        <f t="shared" si="2472"/>
        <v>-8.6956521739130483</v>
      </c>
      <c r="DE483" s="72">
        <v>-21</v>
      </c>
      <c r="DF483" s="61">
        <f t="shared" si="2473"/>
        <v>75</v>
      </c>
      <c r="DG483" s="72">
        <v>-15</v>
      </c>
      <c r="DH483" s="61" t="str">
        <f t="shared" si="2474"/>
        <v>NM</v>
      </c>
      <c r="DI483" s="72">
        <v>-15</v>
      </c>
      <c r="DJ483" s="61">
        <f t="shared" si="2475"/>
        <v>-44.444444444444443</v>
      </c>
      <c r="DK483" s="72">
        <v>-16</v>
      </c>
      <c r="DL483" s="61">
        <f t="shared" si="2476"/>
        <v>-23.809523809523814</v>
      </c>
      <c r="DM483" s="72">
        <v>-12</v>
      </c>
      <c r="DN483" s="130">
        <f t="shared" si="2477"/>
        <v>-42.857142857142861</v>
      </c>
      <c r="DO483" s="72">
        <v>-16</v>
      </c>
      <c r="DP483" s="130">
        <f t="shared" si="2477"/>
        <v>6.6666666666666652</v>
      </c>
      <c r="DQ483" s="72">
        <v>-14</v>
      </c>
      <c r="DR483" s="130">
        <f t="shared" si="2477"/>
        <v>-6.6666666666666652</v>
      </c>
      <c r="DS483" s="72">
        <v>-17</v>
      </c>
      <c r="DT483" s="130">
        <f t="shared" si="2477"/>
        <v>6.25</v>
      </c>
      <c r="DU483" s="72">
        <v>-21</v>
      </c>
      <c r="DV483" s="130">
        <f t="shared" si="2477"/>
        <v>75</v>
      </c>
      <c r="DW483" s="72">
        <v>-28</v>
      </c>
      <c r="DX483" s="72">
        <v>-28</v>
      </c>
      <c r="DY483" s="72">
        <v>-19</v>
      </c>
      <c r="DZ483" s="130">
        <f t="shared" si="2477"/>
        <v>35.714285714285722</v>
      </c>
      <c r="EA483" s="72">
        <v>-12</v>
      </c>
      <c r="EB483" s="130">
        <f t="shared" si="2480"/>
        <v>-29.411764705882348</v>
      </c>
      <c r="EC483" s="72">
        <v>-18</v>
      </c>
      <c r="ED483" s="130">
        <f t="shared" si="2481"/>
        <v>-14.28571428571429</v>
      </c>
      <c r="EE483" s="72">
        <v>-41</v>
      </c>
      <c r="EF483" s="130">
        <f t="shared" si="2483"/>
        <v>46.428571428571416</v>
      </c>
      <c r="EG483" s="72">
        <v>-35</v>
      </c>
      <c r="EH483" s="130">
        <f t="shared" si="2484"/>
        <v>84.210526315789465</v>
      </c>
      <c r="EI483" s="72">
        <v>-28</v>
      </c>
      <c r="EJ483" s="130" t="str">
        <f t="shared" si="2486"/>
        <v>NM</v>
      </c>
      <c r="EK483" s="72">
        <v>-26</v>
      </c>
      <c r="EL483" s="130">
        <f t="shared" si="2488"/>
        <v>44.444444444444443</v>
      </c>
      <c r="EM483" s="72">
        <v>-50</v>
      </c>
      <c r="EN483" s="130">
        <f t="shared" si="2489"/>
        <v>21.95121951219512</v>
      </c>
      <c r="EO483" s="72">
        <v>-25</v>
      </c>
      <c r="EP483" s="130">
        <f t="shared" si="2491"/>
        <v>-28.571428571428569</v>
      </c>
      <c r="EQ483" s="73">
        <f t="shared" ref="EQ483:EW483" si="2506">EQ482*EQ484/100</f>
        <v>-18.368925000000004</v>
      </c>
      <c r="ER483" s="130">
        <f t="shared" si="2493"/>
        <v>-34.396696428571417</v>
      </c>
      <c r="ES483" s="73">
        <f t="shared" si="2506"/>
        <v>-18.281791500000008</v>
      </c>
      <c r="ET483" s="130">
        <f t="shared" si="2494"/>
        <v>-29.685417307692276</v>
      </c>
      <c r="EU483" s="73">
        <f t="shared" si="2506"/>
        <v>-18.194222332500008</v>
      </c>
      <c r="EV483" s="130" t="str">
        <f t="shared" si="2495"/>
        <v>NM</v>
      </c>
      <c r="EW483" s="73">
        <f t="shared" si="2506"/>
        <v>-18.106215319162512</v>
      </c>
      <c r="EX483" s="130">
        <f t="shared" si="2496"/>
        <v>-27.575138723349959</v>
      </c>
      <c r="EY483" s="74"/>
      <c r="EZ483" s="558"/>
      <c r="FA483" s="74"/>
      <c r="FB483" s="73"/>
      <c r="FC483" s="91"/>
      <c r="FD483" s="73"/>
      <c r="FE483" s="126"/>
      <c r="FF483" s="73"/>
      <c r="FG483" s="126"/>
      <c r="FH483" s="73"/>
      <c r="FI483" s="126"/>
      <c r="FJ483" s="73"/>
      <c r="FK483" s="126"/>
      <c r="FL483" s="73"/>
      <c r="FM483" s="126"/>
      <c r="FN483" s="73"/>
      <c r="FO483" s="126"/>
      <c r="FP483" s="73">
        <f>AQ483+AS483+AU483+AW483</f>
        <v>-64.600000000000009</v>
      </c>
      <c r="FQ483" s="61" t="str">
        <f t="shared" si="2497"/>
        <v>NA</v>
      </c>
      <c r="FR483" s="73">
        <f>AY483+BA483+BC483+BE483</f>
        <v>-69.599999999999994</v>
      </c>
      <c r="FS483" s="61">
        <f t="shared" si="2498"/>
        <v>7.7399380804953344</v>
      </c>
      <c r="FT483" s="73">
        <f>BG483+BI483+BK483+BM483</f>
        <v>-114.10000000000001</v>
      </c>
      <c r="FU483" s="61">
        <f t="shared" si="2499"/>
        <v>63.936781609195428</v>
      </c>
      <c r="FV483" s="73">
        <f>BO483+BQ483+BS483+BU483</f>
        <v>-88.6</v>
      </c>
      <c r="FW483" s="61">
        <f t="shared" si="2500"/>
        <v>-22.348816827344443</v>
      </c>
      <c r="FX483" s="73">
        <f>BW483+BY483+CA483+CC483</f>
        <v>-143.29999999999998</v>
      </c>
      <c r="FY483" s="61">
        <f t="shared" si="2501"/>
        <v>61.738148984198624</v>
      </c>
      <c r="FZ483" s="73">
        <f>CE483+CG483+CI483+CK483</f>
        <v>-106.6</v>
      </c>
      <c r="GA483" s="61">
        <f t="shared" si="2502"/>
        <v>-25.610607117934403</v>
      </c>
      <c r="GB483" s="73">
        <f>CM483+CO483+CQ483+CS483</f>
        <v>-76.099999999999994</v>
      </c>
      <c r="GC483" s="61">
        <f t="shared" si="2503"/>
        <v>-28.611632270168851</v>
      </c>
      <c r="GD483" s="73">
        <f>CU483+CW483+CY483+DA483</f>
        <v>-177</v>
      </c>
      <c r="GE483" s="61" t="str">
        <f t="shared" si="2504"/>
        <v>NM</v>
      </c>
      <c r="GF483" s="73">
        <f>DC483+DE483+DG483+DI483</f>
        <v>-72</v>
      </c>
      <c r="GG483" s="61" t="str">
        <f t="shared" si="2504"/>
        <v>NM</v>
      </c>
      <c r="GH483" s="73">
        <f>DK483+DM483+DO483+DQ483</f>
        <v>-58</v>
      </c>
      <c r="GI483" s="61">
        <f t="shared" si="2504"/>
        <v>-19.444444444444443</v>
      </c>
      <c r="GJ483" s="73">
        <f>DS483+DU483+DW483+DY483</f>
        <v>-85</v>
      </c>
      <c r="GK483" s="61">
        <f t="shared" si="2504"/>
        <v>46.551724137931025</v>
      </c>
      <c r="GL483" s="73">
        <f>EA483+EC483+EE483+EG483</f>
        <v>-106</v>
      </c>
      <c r="GM483" s="61">
        <f t="shared" si="2504"/>
        <v>24.705882352941178</v>
      </c>
      <c r="GN483" s="73">
        <f>EI483+EK483+EM483+EO483</f>
        <v>-129</v>
      </c>
      <c r="GO483" s="61">
        <f t="shared" si="2504"/>
        <v>21.698113207547177</v>
      </c>
      <c r="GP483" s="73">
        <f>EQ483+ES483+EU483+EW483</f>
        <v>-72.951154151662536</v>
      </c>
      <c r="GQ483" s="61">
        <f t="shared" si="2504"/>
        <v>-43.448717711889508</v>
      </c>
      <c r="GR483" s="73">
        <f>GR482*GR484/100</f>
        <v>-60.21330888769802</v>
      </c>
      <c r="GS483" s="61">
        <f t="shared" si="2504"/>
        <v>-17.460786483902702</v>
      </c>
      <c r="GT483" s="73">
        <f>GT482*GT484/100</f>
        <v>-37.856364154328951</v>
      </c>
      <c r="GU483" s="61">
        <f t="shared" si="2504"/>
        <v>-37.129573422158735</v>
      </c>
      <c r="GV483" s="73">
        <f>GV482*GV484/100</f>
        <v>-37.064252198958826</v>
      </c>
      <c r="GW483" s="61">
        <f t="shared" si="2504"/>
        <v>-2.0924142427965919</v>
      </c>
      <c r="GX483" s="73">
        <f>GX482*GX484/100</f>
        <v>-36.235668827327601</v>
      </c>
      <c r="GY483" s="61">
        <f t="shared" si="2505"/>
        <v>-2.2355324132359078</v>
      </c>
      <c r="GZ483" s="61">
        <f t="shared" si="2388"/>
        <v>-22.427227389170191</v>
      </c>
      <c r="HA483" s="61"/>
      <c r="HB483" s="452"/>
      <c r="HC483"/>
      <c r="HD483"/>
      <c r="HE483"/>
      <c r="HF483"/>
      <c r="HG483"/>
      <c r="HH483"/>
    </row>
    <row r="484" spans="1:216" s="5" customFormat="1" ht="12.75" customHeight="1" x14ac:dyDescent="0.2">
      <c r="A484" s="7"/>
      <c r="B484" s="2" t="s">
        <v>331</v>
      </c>
      <c r="C484" s="139"/>
      <c r="D484" s="70"/>
      <c r="E484" s="139"/>
      <c r="F484" s="71"/>
      <c r="G484" s="139"/>
      <c r="H484" s="71"/>
      <c r="I484" s="139"/>
      <c r="J484" s="61"/>
      <c r="K484" s="139"/>
      <c r="L484" s="61"/>
      <c r="M484" s="139"/>
      <c r="N484" s="61"/>
      <c r="O484" s="139"/>
      <c r="P484" s="61"/>
      <c r="Q484" s="139"/>
      <c r="R484" s="61"/>
      <c r="S484" s="139"/>
      <c r="T484" s="61"/>
      <c r="U484" s="139"/>
      <c r="V484" s="61"/>
      <c r="W484" s="139"/>
      <c r="X484" s="61"/>
      <c r="Y484" s="139"/>
      <c r="Z484" s="61"/>
      <c r="AA484" s="139"/>
      <c r="AB484" s="61"/>
      <c r="AC484" s="139"/>
      <c r="AD484" s="61"/>
      <c r="AE484" s="139"/>
      <c r="AF484" s="61"/>
      <c r="AG484" s="139"/>
      <c r="AH484" s="61"/>
      <c r="AI484" s="139"/>
      <c r="AJ484" s="61"/>
      <c r="AK484" s="139"/>
      <c r="AL484" s="61"/>
      <c r="AM484" s="139"/>
      <c r="AN484" s="61"/>
      <c r="AO484" s="139"/>
      <c r="AP484" s="61"/>
      <c r="AQ484" s="139">
        <f>AQ483/AQ482*100</f>
        <v>131.5789473684211</v>
      </c>
      <c r="AR484" s="61" t="str">
        <f t="shared" si="2441"/>
        <v>NA</v>
      </c>
      <c r="AS484" s="139">
        <f>AS483/AS482*100</f>
        <v>-318.055555555556</v>
      </c>
      <c r="AT484" s="61" t="str">
        <f t="shared" si="2442"/>
        <v>NA</v>
      </c>
      <c r="AU484" s="139">
        <f>AU483/AU482*100</f>
        <v>388.09523809523847</v>
      </c>
      <c r="AV484" s="61" t="str">
        <f t="shared" si="2443"/>
        <v>NA</v>
      </c>
      <c r="AW484" s="139">
        <f>AW483/AW482*100</f>
        <v>261.01694915254245</v>
      </c>
      <c r="AX484" s="61" t="str">
        <f t="shared" si="2443"/>
        <v>NA</v>
      </c>
      <c r="AY484" s="139">
        <f>AY483/AY482*100</f>
        <v>110.00000000000001</v>
      </c>
      <c r="AZ484" s="61">
        <f t="shared" si="2444"/>
        <v>-16.400000000000013</v>
      </c>
      <c r="BA484" s="139">
        <f>BA483/BA482*100</f>
        <v>39.534883720930232</v>
      </c>
      <c r="BB484" s="61" t="str">
        <f t="shared" si="2445"/>
        <v>NM</v>
      </c>
      <c r="BC484" s="139">
        <f>BC483/BC482*100</f>
        <v>58.241758241758248</v>
      </c>
      <c r="BD484" s="61" t="str">
        <f t="shared" si="2446"/>
        <v>NM</v>
      </c>
      <c r="BE484" s="139">
        <f>BE483/BE482*100</f>
        <v>47.260273972602739</v>
      </c>
      <c r="BF484" s="61" t="str">
        <f t="shared" si="2447"/>
        <v>NM</v>
      </c>
      <c r="BG484" s="139">
        <f>BG483/BG482*100</f>
        <v>41.942148760330575</v>
      </c>
      <c r="BH484" s="61" t="str">
        <f t="shared" si="2448"/>
        <v>NM</v>
      </c>
      <c r="BI484" s="139">
        <f>BI483/BI482*100</f>
        <v>45.877061469265357</v>
      </c>
      <c r="BJ484" s="61">
        <f t="shared" si="2449"/>
        <v>16.041979010494735</v>
      </c>
      <c r="BK484" s="139">
        <f>BK483/BK482*100</f>
        <v>39.416058394160572</v>
      </c>
      <c r="BL484" s="61">
        <f t="shared" si="2450"/>
        <v>-32.323371436441285</v>
      </c>
      <c r="BM484" s="139">
        <f>BM483/BM482*100</f>
        <v>34.184239733629312</v>
      </c>
      <c r="BN484" s="61">
        <f t="shared" si="2451"/>
        <v>-27.668130418697402</v>
      </c>
      <c r="BO484" s="139">
        <f>BO483/BO482*100</f>
        <v>33.385826771653541</v>
      </c>
      <c r="BP484" s="61">
        <f t="shared" si="2452"/>
        <v>-20.400294790737362</v>
      </c>
      <c r="BQ484" s="139">
        <f>BQ483/BQ482*100</f>
        <v>34.553440702781842</v>
      </c>
      <c r="BR484" s="61">
        <f t="shared" si="2453"/>
        <v>-24.682532847204264</v>
      </c>
      <c r="BS484" s="139">
        <f>BS483/BS482*100</f>
        <v>31.794871794871799</v>
      </c>
      <c r="BT484" s="61">
        <f t="shared" si="2454"/>
        <v>-19.335232668565972</v>
      </c>
      <c r="BU484" s="139">
        <f>BU483/BU482*100</f>
        <v>31.343283582089548</v>
      </c>
      <c r="BV484" s="61">
        <f t="shared" si="2455"/>
        <v>-8.3107191316146967</v>
      </c>
      <c r="BW484" s="139">
        <f>BW483/BW482*100</f>
        <v>34.717208182912152</v>
      </c>
      <c r="BX484" s="61">
        <f t="shared" si="2456"/>
        <v>3.9878641327793396</v>
      </c>
      <c r="BY484" s="139">
        <f>BY483/BY482*100</f>
        <v>39.397450753186561</v>
      </c>
      <c r="BZ484" s="61">
        <f t="shared" si="2457"/>
        <v>14.018893493332296</v>
      </c>
      <c r="CA484" s="139">
        <f>CA483/CA482*100</f>
        <v>39.629629629629626</v>
      </c>
      <c r="CB484" s="61">
        <f t="shared" si="2458"/>
        <v>24.641577060931862</v>
      </c>
      <c r="CC484" s="139">
        <f>CC483/CC482*100</f>
        <v>40.976933514246952</v>
      </c>
      <c r="CD484" s="61">
        <f t="shared" si="2459"/>
        <v>30.735930735930772</v>
      </c>
      <c r="CE484" s="139">
        <f>CE483/CE482*100</f>
        <v>33.454545454545453</v>
      </c>
      <c r="CF484" s="61">
        <f t="shared" si="2460"/>
        <v>-3.6369938553647341</v>
      </c>
      <c r="CG484" s="139">
        <f>CG483/CG482*100</f>
        <v>42.24</v>
      </c>
      <c r="CH484" s="61">
        <f t="shared" si="2461"/>
        <v>7.2150588235294189</v>
      </c>
      <c r="CI484" s="139">
        <f>CI483/CI482*100</f>
        <v>35.447154471544721</v>
      </c>
      <c r="CJ484" s="61">
        <f t="shared" si="2462"/>
        <v>-10.553909277410511</v>
      </c>
      <c r="CK484" s="139">
        <f>CK483/CK482*100</f>
        <v>35.180299032541775</v>
      </c>
      <c r="CL484" s="61">
        <f t="shared" si="2463"/>
        <v>-14.146091433830177</v>
      </c>
      <c r="CM484" s="139">
        <f>CM483/CM482*100</f>
        <v>37.996545768566492</v>
      </c>
      <c r="CN484" s="61">
        <f t="shared" si="2464"/>
        <v>13.576631373432457</v>
      </c>
      <c r="CO484" s="139">
        <f>CO483/CO482*100</f>
        <v>37.142857142857146</v>
      </c>
      <c r="CP484" s="61">
        <f t="shared" si="2465"/>
        <v>-12.067099567099559</v>
      </c>
      <c r="CQ484" s="139">
        <f>CQ483/CQ482*100</f>
        <v>28.032786885245901</v>
      </c>
      <c r="CR484" s="61">
        <f t="shared" si="2466"/>
        <v>-20.916679199879695</v>
      </c>
      <c r="CS484" s="139">
        <f>CS483/CS482*100</f>
        <v>36.363636363636367</v>
      </c>
      <c r="CT484" s="61">
        <f t="shared" si="2467"/>
        <v>3.3636363636363686</v>
      </c>
      <c r="CU484" s="139">
        <f>CU483/CU482*100</f>
        <v>40.350877192982452</v>
      </c>
      <c r="CV484" s="61">
        <f t="shared" si="2468"/>
        <v>6.1961722488038218</v>
      </c>
      <c r="CW484" s="139">
        <f>CW483/CW482*100</f>
        <v>23.52941176470588</v>
      </c>
      <c r="CX484" s="61">
        <f t="shared" si="2469"/>
        <v>-36.651583710407252</v>
      </c>
      <c r="CY484" s="139">
        <f>CY483/CY482*100</f>
        <v>129.21348314606743</v>
      </c>
      <c r="CZ484" s="61" t="str">
        <f t="shared" si="2470"/>
        <v>NM</v>
      </c>
      <c r="DA484" s="139">
        <f>DA483/DA482*100</f>
        <v>40.298507462686565</v>
      </c>
      <c r="DB484" s="61">
        <f t="shared" si="2471"/>
        <v>10.820895522388053</v>
      </c>
      <c r="DC484" s="139">
        <f>DC483/DC482*100</f>
        <v>37.5</v>
      </c>
      <c r="DD484" s="61">
        <f t="shared" si="2472"/>
        <v>-7.0652173913043352</v>
      </c>
      <c r="DE484" s="139">
        <f>DE483/DE482*100</f>
        <v>34.42622950819672</v>
      </c>
      <c r="DF484" s="61">
        <f t="shared" si="2473"/>
        <v>46.311475409836063</v>
      </c>
      <c r="DG484" s="139">
        <f>DG483/DG482*100</f>
        <v>35.714285714285715</v>
      </c>
      <c r="DH484" s="61" t="str">
        <f t="shared" si="2474"/>
        <v>NM</v>
      </c>
      <c r="DI484" s="139">
        <f>DI483/DI482*100</f>
        <v>44.117647058823529</v>
      </c>
      <c r="DJ484" s="61">
        <f t="shared" si="2475"/>
        <v>9.4771241830065467</v>
      </c>
      <c r="DK484" s="139">
        <f>DK483/DK482*100</f>
        <v>34.782608695652172</v>
      </c>
      <c r="DL484" s="61">
        <f t="shared" si="2476"/>
        <v>-7.2463768115942129</v>
      </c>
      <c r="DM484" s="139">
        <f>DM483/DM482*100</f>
        <v>35.294117647058826</v>
      </c>
      <c r="DN484" s="130">
        <f t="shared" si="2477"/>
        <v>2.5210084033613578</v>
      </c>
      <c r="DO484" s="139">
        <f>DO483/DO482*100</f>
        <v>35.555555555555557</v>
      </c>
      <c r="DP484" s="130">
        <f t="shared" si="2477"/>
        <v>-0.44444444444444731</v>
      </c>
      <c r="DQ484" s="139">
        <f>DQ483/DQ482*100</f>
        <v>35</v>
      </c>
      <c r="DR484" s="130">
        <f t="shared" si="2477"/>
        <v>-20.666666666666668</v>
      </c>
      <c r="DS484" s="139">
        <f>DS483/DS482*100</f>
        <v>38.636363636363633</v>
      </c>
      <c r="DT484" s="130">
        <f t="shared" si="2477"/>
        <v>11.079545454545459</v>
      </c>
      <c r="DU484" s="139">
        <f>DU483/DU482*100</f>
        <v>35.593220338983052</v>
      </c>
      <c r="DV484" s="130">
        <f t="shared" si="2477"/>
        <v>0.84745762711864181</v>
      </c>
      <c r="DW484" s="139">
        <f>DW483/DW482*100</f>
        <v>30.107526881720432</v>
      </c>
      <c r="DX484" s="139">
        <f t="shared" ref="DX484:DY484" si="2507">DX483/DX482*100</f>
        <v>30.107526881720432</v>
      </c>
      <c r="DY484" s="139">
        <f t="shared" si="2507"/>
        <v>42.222222222222221</v>
      </c>
      <c r="DZ484" s="130">
        <f t="shared" si="2477"/>
        <v>20.634920634920629</v>
      </c>
      <c r="EA484" s="139">
        <f t="shared" ref="EA484:EC484" si="2508">EA483/EA482*100</f>
        <v>44.444444444444443</v>
      </c>
      <c r="EB484" s="130">
        <f t="shared" si="2480"/>
        <v>15.032679738562106</v>
      </c>
      <c r="EC484" s="139">
        <f t="shared" si="2508"/>
        <v>39.130434782608695</v>
      </c>
      <c r="ED484" s="130">
        <f t="shared" si="2481"/>
        <v>9.9378881987577614</v>
      </c>
      <c r="EE484" s="139">
        <f t="shared" ref="EE484:EG484" si="2509">EE483/EE482*100</f>
        <v>61.194029850746269</v>
      </c>
      <c r="EF484" s="130" t="str">
        <f t="shared" si="2483"/>
        <v>NM</v>
      </c>
      <c r="EG484" s="139">
        <f t="shared" si="2509"/>
        <v>48.611111111111107</v>
      </c>
      <c r="EH484" s="130">
        <f t="shared" si="2484"/>
        <v>15.131578947368407</v>
      </c>
      <c r="EI484" s="139">
        <f t="shared" ref="EI484:EK484" si="2510">EI483/EI482*100</f>
        <v>68.292682926829272</v>
      </c>
      <c r="EJ484" s="130">
        <f t="shared" si="2486"/>
        <v>53.658536585365859</v>
      </c>
      <c r="EK484" s="139">
        <f t="shared" si="2510"/>
        <v>41.269841269841265</v>
      </c>
      <c r="EL484" s="130">
        <f t="shared" si="2488"/>
        <v>5.4673721340387837</v>
      </c>
      <c r="EM484" s="139">
        <f t="shared" ref="EM484" si="2511">EM483/EM482*100</f>
        <v>71.428571428571431</v>
      </c>
      <c r="EN484" s="130">
        <f t="shared" si="2489"/>
        <v>16.724738675958186</v>
      </c>
      <c r="EO484" s="139">
        <f t="shared" ref="EO484" si="2512">EO483/EO482*100</f>
        <v>39.682539682539684</v>
      </c>
      <c r="EP484" s="130">
        <f t="shared" si="2491"/>
        <v>-18.367346938775498</v>
      </c>
      <c r="EQ484" s="138">
        <v>25.5</v>
      </c>
      <c r="ER484" s="130" t="str">
        <f t="shared" si="2493"/>
        <v>NM</v>
      </c>
      <c r="ES484" s="138">
        <f t="shared" ref="ES484" si="2513">EQ484</f>
        <v>25.5</v>
      </c>
      <c r="ET484" s="130">
        <f t="shared" si="2494"/>
        <v>-38.211538461538453</v>
      </c>
      <c r="EU484" s="138">
        <f t="shared" ref="EU484" si="2514">ES484</f>
        <v>25.5</v>
      </c>
      <c r="EV484" s="130" t="str">
        <f t="shared" si="2495"/>
        <v>NM</v>
      </c>
      <c r="EW484" s="138">
        <f t="shared" ref="EW484" si="2515">EU484</f>
        <v>25.5</v>
      </c>
      <c r="EX484" s="130">
        <f t="shared" si="2496"/>
        <v>-35.74</v>
      </c>
      <c r="EY484" s="64"/>
      <c r="EZ484" s="558"/>
      <c r="FA484" s="64"/>
      <c r="FB484" s="139"/>
      <c r="FC484" s="71"/>
      <c r="FD484" s="139"/>
      <c r="FE484" s="70"/>
      <c r="FF484" s="139"/>
      <c r="FG484" s="70"/>
      <c r="FH484" s="139"/>
      <c r="FI484" s="70"/>
      <c r="FJ484" s="139"/>
      <c r="FK484" s="70"/>
      <c r="FL484" s="139"/>
      <c r="FM484" s="61"/>
      <c r="FN484" s="139"/>
      <c r="FO484" s="61"/>
      <c r="FP484" s="139">
        <f>FP483/FP482*100</f>
        <v>615.23809523809541</v>
      </c>
      <c r="FQ484" s="61" t="str">
        <f t="shared" si="2497"/>
        <v>NA</v>
      </c>
      <c r="FR484" s="139">
        <f>FR483/FR482*100</f>
        <v>47.900894700619432</v>
      </c>
      <c r="FS484" s="61" t="str">
        <f t="shared" si="2498"/>
        <v>NM</v>
      </c>
      <c r="FT484" s="139">
        <f>FT483/FT482*100</f>
        <v>39.700765483646506</v>
      </c>
      <c r="FU484" s="61">
        <f t="shared" si="2499"/>
        <v>-17.118947919916174</v>
      </c>
      <c r="FV484" s="139">
        <f>FV483/FV482*100</f>
        <v>32.729959364610259</v>
      </c>
      <c r="FW484" s="61">
        <f t="shared" si="2500"/>
        <v>-17.55836703427709</v>
      </c>
      <c r="FX484" s="139">
        <f>FX483/FX482*100</f>
        <v>37.690689110994207</v>
      </c>
      <c r="FY484" s="61">
        <f t="shared" si="2501"/>
        <v>15.15654111000153</v>
      </c>
      <c r="FZ484" s="139">
        <f>FZ483/FZ482*100</f>
        <v>36.419542193372052</v>
      </c>
      <c r="GA484" s="61">
        <f t="shared" si="2502"/>
        <v>-3.3725754227490801</v>
      </c>
      <c r="GB484" s="139">
        <f>GB483/GB482*100</f>
        <v>34.606639381537043</v>
      </c>
      <c r="GC484" s="61">
        <f t="shared" si="2503"/>
        <v>-4.9778297657045663</v>
      </c>
      <c r="GD484" s="139">
        <f>GD483/GD482*100</f>
        <v>67.045454545454547</v>
      </c>
      <c r="GE484" s="61">
        <f t="shared" si="2504"/>
        <v>93.735814120176912</v>
      </c>
      <c r="GF484" s="139">
        <f>GF483/GF482*100</f>
        <v>37.305699481865283</v>
      </c>
      <c r="GG484" s="61">
        <f t="shared" si="2504"/>
        <v>-44.357600772811104</v>
      </c>
      <c r="GH484" s="139">
        <f>GH483/GH482*100</f>
        <v>35.151515151515149</v>
      </c>
      <c r="GI484" s="61">
        <f t="shared" si="2504"/>
        <v>-5.7744107744107769</v>
      </c>
      <c r="GJ484" s="139">
        <f>GJ483/GJ482*100</f>
        <v>35.269709543568467</v>
      </c>
      <c r="GK484" s="61">
        <f t="shared" si="2504"/>
        <v>0.33624266704823658</v>
      </c>
      <c r="GL484" s="139">
        <f>GL483/GL482*100</f>
        <v>50</v>
      </c>
      <c r="GM484" s="61">
        <f t="shared" si="2504"/>
        <v>41.764705882352928</v>
      </c>
      <c r="GN484" s="139">
        <f>GN483/GN482*100</f>
        <v>54.430379746835442</v>
      </c>
      <c r="GO484" s="61">
        <f t="shared" si="2504"/>
        <v>8.8607594936708889</v>
      </c>
      <c r="GP484" s="139">
        <f>GP483/GP482*100</f>
        <v>25.5</v>
      </c>
      <c r="GQ484" s="61" t="str">
        <f t="shared" si="2504"/>
        <v>NM</v>
      </c>
      <c r="GR484" s="138">
        <v>24</v>
      </c>
      <c r="GS484" s="61">
        <f t="shared" si="2504"/>
        <v>-5.8823529411764719</v>
      </c>
      <c r="GT484" s="138">
        <f>GR484</f>
        <v>24</v>
      </c>
      <c r="GU484" s="61">
        <f t="shared" si="2504"/>
        <v>0</v>
      </c>
      <c r="GV484" s="138">
        <f>GT484</f>
        <v>24</v>
      </c>
      <c r="GW484" s="61">
        <f t="shared" si="2504"/>
        <v>0</v>
      </c>
      <c r="GX484" s="138">
        <f>GV484</f>
        <v>24</v>
      </c>
      <c r="GY484" s="61">
        <f t="shared" si="2505"/>
        <v>0</v>
      </c>
      <c r="GZ484" s="61">
        <f t="shared" si="2388"/>
        <v>-15.106590624784245</v>
      </c>
      <c r="HA484" s="61"/>
      <c r="HB484" s="452"/>
      <c r="HC484"/>
      <c r="HD484"/>
      <c r="HE484"/>
      <c r="HF484"/>
      <c r="HG484"/>
      <c r="HH484"/>
    </row>
    <row r="485" spans="1:216" s="5" customFormat="1" ht="12.75" customHeight="1" x14ac:dyDescent="0.2">
      <c r="B485" s="63" t="s">
        <v>265</v>
      </c>
      <c r="C485" s="216"/>
      <c r="D485" s="193"/>
      <c r="E485" s="216"/>
      <c r="F485" s="193"/>
      <c r="G485" s="216"/>
      <c r="H485" s="193"/>
      <c r="I485" s="216"/>
      <c r="J485" s="193"/>
      <c r="K485" s="216"/>
      <c r="L485" s="193"/>
      <c r="M485" s="216"/>
      <c r="N485" s="193"/>
      <c r="O485" s="216"/>
      <c r="P485" s="193"/>
      <c r="Q485" s="216"/>
      <c r="R485" s="193"/>
      <c r="S485" s="216"/>
      <c r="T485" s="193"/>
      <c r="U485" s="216"/>
      <c r="V485" s="193"/>
      <c r="W485" s="216"/>
      <c r="X485" s="193"/>
      <c r="Y485" s="216"/>
      <c r="Z485" s="193"/>
      <c r="AA485" s="216"/>
      <c r="AB485" s="193"/>
      <c r="AC485" s="216"/>
      <c r="AD485" s="193"/>
      <c r="AE485" s="216"/>
      <c r="AF485" s="193"/>
      <c r="AG485" s="216"/>
      <c r="AH485" s="193"/>
      <c r="AI485" s="216"/>
      <c r="AJ485" s="193"/>
      <c r="AK485" s="216"/>
      <c r="AL485" s="193"/>
      <c r="AM485" s="216"/>
      <c r="AN485" s="193"/>
      <c r="AO485" s="216"/>
      <c r="AP485" s="193"/>
      <c r="AQ485" s="216">
        <f>AQ482-AQ483</f>
        <v>2.4000000000000021</v>
      </c>
      <c r="AR485" s="193" t="str">
        <f t="shared" si="2441"/>
        <v>NA</v>
      </c>
      <c r="AS485" s="216">
        <f>AS482-AS483</f>
        <v>30.099999999999987</v>
      </c>
      <c r="AT485" s="193" t="str">
        <f t="shared" si="2442"/>
        <v>NA</v>
      </c>
      <c r="AU485" s="216">
        <f>AU482-AU483</f>
        <v>12.100000000000005</v>
      </c>
      <c r="AV485" s="13" t="str">
        <f t="shared" si="2443"/>
        <v>NA</v>
      </c>
      <c r="AW485" s="216">
        <f>AW482-AW483</f>
        <v>9.5000000000000018</v>
      </c>
      <c r="AX485" s="187" t="str">
        <f t="shared" si="2443"/>
        <v>NA</v>
      </c>
      <c r="AY485" s="196">
        <f>AY482-AY483</f>
        <v>0.20000000000000018</v>
      </c>
      <c r="AZ485" s="187" t="str">
        <f t="shared" si="2444"/>
        <v>NM</v>
      </c>
      <c r="BA485" s="196">
        <f>BA482-BA483</f>
        <v>-26</v>
      </c>
      <c r="BB485" s="187" t="str">
        <f t="shared" si="2445"/>
        <v>NM</v>
      </c>
      <c r="BC485" s="196">
        <f>BC482-BC483</f>
        <v>-11.399999999999997</v>
      </c>
      <c r="BD485" s="187" t="str">
        <f t="shared" si="2446"/>
        <v>NM</v>
      </c>
      <c r="BE485" s="196">
        <f>BE482-BE483+0.1</f>
        <v>-38.4</v>
      </c>
      <c r="BF485" s="187" t="str">
        <f t="shared" si="2447"/>
        <v>NM</v>
      </c>
      <c r="BG485" s="104">
        <f>BG482-BG483</f>
        <v>-28.100000000000005</v>
      </c>
      <c r="BH485" s="187" t="str">
        <f t="shared" si="2448"/>
        <v>NM</v>
      </c>
      <c r="BI485" s="104">
        <f>BI482-BI483</f>
        <v>-36.100000000000016</v>
      </c>
      <c r="BJ485" s="187">
        <f t="shared" si="2449"/>
        <v>38.846153846153911</v>
      </c>
      <c r="BK485" s="104">
        <f>BK482-BK483</f>
        <v>-49.800000000000018</v>
      </c>
      <c r="BL485" s="187" t="str">
        <f t="shared" si="2450"/>
        <v>NM</v>
      </c>
      <c r="BM485" s="104">
        <f>BM482-BM483</f>
        <v>-59.299999999999969</v>
      </c>
      <c r="BN485" s="187">
        <f t="shared" si="2451"/>
        <v>54.427083333333258</v>
      </c>
      <c r="BO485" s="104">
        <f>BO482-BO483</f>
        <v>-42.3</v>
      </c>
      <c r="BP485" s="187">
        <f t="shared" si="2452"/>
        <v>50.533807829181463</v>
      </c>
      <c r="BQ485" s="104">
        <f>BQ482-BQ483</f>
        <v>-44.70000000000001</v>
      </c>
      <c r="BR485" s="187">
        <f t="shared" si="2453"/>
        <v>23.822714681440416</v>
      </c>
      <c r="BS485" s="104">
        <f>BS482-BS483</f>
        <v>-39.9</v>
      </c>
      <c r="BT485" s="187">
        <f t="shared" si="2454"/>
        <v>-19.879518072289194</v>
      </c>
      <c r="BU485" s="104">
        <f>BU482-BU483</f>
        <v>-55.2</v>
      </c>
      <c r="BV485" s="187">
        <f t="shared" si="2455"/>
        <v>-6.9139966273186637</v>
      </c>
      <c r="BW485" s="104">
        <f>BW482-BW483</f>
        <v>-108.50000000000001</v>
      </c>
      <c r="BX485" s="187" t="str">
        <f t="shared" si="2456"/>
        <v>NM</v>
      </c>
      <c r="BY485" s="104">
        <f>BY482-BY483</f>
        <v>-52.299999999999983</v>
      </c>
      <c r="BZ485" s="187">
        <f t="shared" si="2457"/>
        <v>17.002237136465268</v>
      </c>
      <c r="CA485" s="104">
        <f>CA482-CA483</f>
        <v>-32.6</v>
      </c>
      <c r="CB485" s="187">
        <f t="shared" si="2458"/>
        <v>-18.295739348370923</v>
      </c>
      <c r="CC485" s="104">
        <f>CC482-CC483</f>
        <v>-43.499999999999986</v>
      </c>
      <c r="CD485" s="187">
        <f t="shared" si="2459"/>
        <v>-21.195652173913071</v>
      </c>
      <c r="CE485" s="104">
        <f>CE482-CE483</f>
        <v>-36.6</v>
      </c>
      <c r="CF485" s="187" t="str">
        <f t="shared" si="2460"/>
        <v>NM</v>
      </c>
      <c r="CG485" s="104">
        <f>CG482-CG483</f>
        <v>-36.1</v>
      </c>
      <c r="CH485" s="187">
        <f t="shared" si="2461"/>
        <v>-30.975143403441663</v>
      </c>
      <c r="CI485" s="104">
        <f>CI482-CI483</f>
        <v>-39.700000000000003</v>
      </c>
      <c r="CJ485" s="187">
        <f t="shared" si="2462"/>
        <v>21.779141104294485</v>
      </c>
      <c r="CK485" s="104">
        <f>CK482-CK483</f>
        <v>-73.700000000000017</v>
      </c>
      <c r="CL485" s="187">
        <f t="shared" si="2463"/>
        <v>69.425287356321945</v>
      </c>
      <c r="CM485" s="104">
        <f>CM482-CM483</f>
        <v>-35.900000000000006</v>
      </c>
      <c r="CN485" s="187">
        <f t="shared" si="2464"/>
        <v>-1.91256830601092</v>
      </c>
      <c r="CO485" s="104">
        <f>CO482-CO483</f>
        <v>-22</v>
      </c>
      <c r="CP485" s="187">
        <f t="shared" si="2465"/>
        <v>-39.058171745152357</v>
      </c>
      <c r="CQ485" s="104">
        <f>CQ482-CQ483</f>
        <v>-43.9</v>
      </c>
      <c r="CR485" s="187">
        <f t="shared" si="2466"/>
        <v>10.579345088161208</v>
      </c>
      <c r="CS485" s="104">
        <f>CS482-CS483</f>
        <v>-42</v>
      </c>
      <c r="CT485" s="187">
        <f t="shared" si="2467"/>
        <v>-43.012211668928103</v>
      </c>
      <c r="CU485" s="104">
        <f>CU482-CU483</f>
        <v>-34</v>
      </c>
      <c r="CV485" s="187">
        <f t="shared" si="2468"/>
        <v>-5.2924791086351171</v>
      </c>
      <c r="CW485" s="104">
        <f>CW482-CW483</f>
        <v>-39</v>
      </c>
      <c r="CX485" s="187">
        <f t="shared" si="2469"/>
        <v>77.272727272727266</v>
      </c>
      <c r="CY485" s="104">
        <f>CY482-CY483</f>
        <v>26</v>
      </c>
      <c r="CZ485" s="187" t="str">
        <f t="shared" si="2470"/>
        <v>NM</v>
      </c>
      <c r="DA485" s="104">
        <f>DA482-DA483</f>
        <v>-40</v>
      </c>
      <c r="DB485" s="187">
        <f t="shared" si="2471"/>
        <v>-4.7619047619047672</v>
      </c>
      <c r="DC485" s="104">
        <f>DC482-DC483</f>
        <v>-35</v>
      </c>
      <c r="DD485" s="187">
        <f t="shared" si="2472"/>
        <v>2.9411764705882248</v>
      </c>
      <c r="DE485" s="104">
        <f>DE482-DE483</f>
        <v>-40</v>
      </c>
      <c r="DF485" s="187">
        <f t="shared" si="2473"/>
        <v>2.564102564102555</v>
      </c>
      <c r="DG485" s="104">
        <f>DG482-DG483</f>
        <v>-27</v>
      </c>
      <c r="DH485" s="187" t="str">
        <f t="shared" si="2474"/>
        <v>NM</v>
      </c>
      <c r="DI485" s="104">
        <f>DI482-DI483</f>
        <v>-19</v>
      </c>
      <c r="DJ485" s="187" t="str">
        <f t="shared" si="2475"/>
        <v>NM</v>
      </c>
      <c r="DK485" s="104">
        <f>DK482-DK483</f>
        <v>-30</v>
      </c>
      <c r="DL485" s="187">
        <f t="shared" si="2476"/>
        <v>-14.28571428571429</v>
      </c>
      <c r="DM485" s="104">
        <f>DM482-DM483</f>
        <v>-22</v>
      </c>
      <c r="DN485" s="130">
        <f t="shared" si="2477"/>
        <v>-44.999999999999993</v>
      </c>
      <c r="DO485" s="104">
        <f>DO482-DO483</f>
        <v>-29</v>
      </c>
      <c r="DP485" s="130">
        <f t="shared" si="2477"/>
        <v>7.4074074074074181</v>
      </c>
      <c r="DQ485" s="104">
        <f>DQ482-DQ483</f>
        <v>-26</v>
      </c>
      <c r="DR485" s="130">
        <f t="shared" si="2477"/>
        <v>36.842105263157897</v>
      </c>
      <c r="DS485" s="104">
        <f>DS482-DS483</f>
        <v>-27</v>
      </c>
      <c r="DT485" s="130">
        <f t="shared" si="2477"/>
        <v>-9.9999999999999982</v>
      </c>
      <c r="DU485" s="104">
        <f>DU482-DU483</f>
        <v>-38</v>
      </c>
      <c r="DV485" s="130">
        <f t="shared" si="2477"/>
        <v>72.727272727272734</v>
      </c>
      <c r="DW485" s="104">
        <f>DW482-DW483</f>
        <v>-65</v>
      </c>
      <c r="DX485" s="104">
        <f t="shared" ref="DX485:DY485" si="2516">DX482-DX483</f>
        <v>-65</v>
      </c>
      <c r="DY485" s="104">
        <f t="shared" si="2516"/>
        <v>-26</v>
      </c>
      <c r="DZ485" s="130">
        <f t="shared" si="2477"/>
        <v>0</v>
      </c>
      <c r="EA485" s="104">
        <f t="shared" ref="EA485:EC485" si="2517">EA482-EA483</f>
        <v>-15</v>
      </c>
      <c r="EB485" s="130">
        <f t="shared" si="2480"/>
        <v>-44.444444444444443</v>
      </c>
      <c r="EC485" s="104">
        <f t="shared" si="2517"/>
        <v>-28</v>
      </c>
      <c r="ED485" s="130">
        <f t="shared" si="2481"/>
        <v>-26.315789473684216</v>
      </c>
      <c r="EE485" s="104">
        <f t="shared" ref="EE485:EG485" si="2518">EE482-EE483</f>
        <v>-26</v>
      </c>
      <c r="EF485" s="130" t="str">
        <f t="shared" si="2483"/>
        <v>NM</v>
      </c>
      <c r="EG485" s="104">
        <f t="shared" si="2518"/>
        <v>-37</v>
      </c>
      <c r="EH485" s="130">
        <f t="shared" si="2484"/>
        <v>42.307692307692314</v>
      </c>
      <c r="EI485" s="104">
        <f t="shared" ref="EI485:EK485" si="2519">EI482-EI483</f>
        <v>-13</v>
      </c>
      <c r="EJ485" s="130">
        <f t="shared" si="2486"/>
        <v>-13.33333333333333</v>
      </c>
      <c r="EK485" s="104">
        <f t="shared" si="2519"/>
        <v>-37</v>
      </c>
      <c r="EL485" s="130">
        <f t="shared" si="2488"/>
        <v>32.142857142857139</v>
      </c>
      <c r="EM485" s="104">
        <f t="shared" ref="EM485" si="2520">EM482-EM483</f>
        <v>-20</v>
      </c>
      <c r="EN485" s="130">
        <f t="shared" si="2489"/>
        <v>-23.076923076923073</v>
      </c>
      <c r="EO485" s="104">
        <f t="shared" ref="EO485" si="2521">EO482-EO483</f>
        <v>-38</v>
      </c>
      <c r="EP485" s="130">
        <f t="shared" si="2491"/>
        <v>2.7027027027026973</v>
      </c>
      <c r="EQ485" s="104">
        <f t="shared" ref="EQ485:EW485" si="2522">EQ482-EQ483</f>
        <v>-53.666075000000006</v>
      </c>
      <c r="ER485" s="130" t="str">
        <f t="shared" si="2493"/>
        <v>NM</v>
      </c>
      <c r="ES485" s="104">
        <f t="shared" si="2522"/>
        <v>-53.411508500000011</v>
      </c>
      <c r="ET485" s="130">
        <f t="shared" si="2494"/>
        <v>44.355428378378406</v>
      </c>
      <c r="EU485" s="104">
        <f t="shared" si="2522"/>
        <v>-53.155669167500022</v>
      </c>
      <c r="EV485" s="130" t="str">
        <f t="shared" si="2495"/>
        <v>NM</v>
      </c>
      <c r="EW485" s="104">
        <f t="shared" si="2522"/>
        <v>-52.898550638337525</v>
      </c>
      <c r="EX485" s="130">
        <f t="shared" si="2496"/>
        <v>39.206712206151373</v>
      </c>
      <c r="EY485" s="74"/>
      <c r="EZ485" s="558"/>
      <c r="FA485" s="74"/>
      <c r="FB485" s="196"/>
      <c r="FC485" s="217"/>
      <c r="FD485" s="196"/>
      <c r="FE485" s="217"/>
      <c r="FF485" s="196"/>
      <c r="FG485" s="217"/>
      <c r="FH485" s="196"/>
      <c r="FI485" s="217"/>
      <c r="FJ485" s="196"/>
      <c r="FK485" s="217"/>
      <c r="FL485" s="196"/>
      <c r="FM485" s="217"/>
      <c r="FN485" s="196"/>
      <c r="FO485" s="217"/>
      <c r="FP485" s="104">
        <f>FP482-FP483</f>
        <v>54.100000000000009</v>
      </c>
      <c r="FQ485" s="187" t="str">
        <f t="shared" si="2497"/>
        <v>NA</v>
      </c>
      <c r="FR485" s="104">
        <f>FR482-FR483</f>
        <v>-75.699999999999932</v>
      </c>
      <c r="FS485" s="61" t="str">
        <f t="shared" si="2498"/>
        <v>NM</v>
      </c>
      <c r="FT485" s="104">
        <f>FT482-FT483</f>
        <v>-173.29999999999984</v>
      </c>
      <c r="FU485" s="61" t="str">
        <f t="shared" si="2499"/>
        <v>NM</v>
      </c>
      <c r="FV485" s="104">
        <f>FV482-FV483</f>
        <v>-182.10000000000005</v>
      </c>
      <c r="FW485" s="61">
        <f t="shared" si="2500"/>
        <v>5.0778995960762963</v>
      </c>
      <c r="FX485" s="104">
        <f>FX482-FX483</f>
        <v>-236.9</v>
      </c>
      <c r="FY485" s="61">
        <f t="shared" si="2501"/>
        <v>30.093355299286074</v>
      </c>
      <c r="FZ485" s="104">
        <f>FZ482-FZ483</f>
        <v>-186.1</v>
      </c>
      <c r="GA485" s="61">
        <f t="shared" si="2502"/>
        <v>-21.443647108484598</v>
      </c>
      <c r="GB485" s="104">
        <f>GB482-GB483</f>
        <v>-143.8000000000001</v>
      </c>
      <c r="GC485" s="61">
        <f t="shared" si="2503"/>
        <v>-22.729715206877966</v>
      </c>
      <c r="GD485" s="104">
        <f>GD482-GD483</f>
        <v>-87</v>
      </c>
      <c r="GE485" s="61">
        <f t="shared" si="2504"/>
        <v>-39.499304589707975</v>
      </c>
      <c r="GF485" s="104">
        <f>GF482-GF483</f>
        <v>-121</v>
      </c>
      <c r="GG485" s="61">
        <f t="shared" si="2504"/>
        <v>39.080459770114942</v>
      </c>
      <c r="GH485" s="104">
        <f>GH482-GH483</f>
        <v>-107</v>
      </c>
      <c r="GI485" s="61">
        <f t="shared" si="2504"/>
        <v>-11.570247933884293</v>
      </c>
      <c r="GJ485" s="104">
        <f>GJ482-GJ483</f>
        <v>-156</v>
      </c>
      <c r="GK485" s="61">
        <f t="shared" si="2504"/>
        <v>45.794392523364479</v>
      </c>
      <c r="GL485" s="104">
        <f>GL482-GL483</f>
        <v>-106</v>
      </c>
      <c r="GM485" s="61">
        <f t="shared" si="2504"/>
        <v>-32.051282051282051</v>
      </c>
      <c r="GN485" s="104">
        <f>GN482-GN483</f>
        <v>-108</v>
      </c>
      <c r="GO485" s="61">
        <f t="shared" si="2504"/>
        <v>1.8867924528301883</v>
      </c>
      <c r="GP485" s="104">
        <f>GP482-GP483</f>
        <v>-213.13180330583759</v>
      </c>
      <c r="GQ485" s="61">
        <f t="shared" si="2504"/>
        <v>97.344262320219997</v>
      </c>
      <c r="GR485" s="104">
        <f>GR482-GR483</f>
        <v>-190.67547814437705</v>
      </c>
      <c r="GS485" s="61">
        <f t="shared" si="2504"/>
        <v>-10.53635581980058</v>
      </c>
      <c r="GT485" s="104">
        <f>GT482-GT483</f>
        <v>-119.87848648870835</v>
      </c>
      <c r="GU485" s="61">
        <f t="shared" si="2504"/>
        <v>-37.129573422158735</v>
      </c>
      <c r="GV485" s="104">
        <f>GV482-GV483</f>
        <v>-117.37013196336963</v>
      </c>
      <c r="GW485" s="61">
        <f t="shared" si="2504"/>
        <v>-2.0924142427965919</v>
      </c>
      <c r="GX485" s="104">
        <f>GX482-GX483</f>
        <v>-114.74628461987075</v>
      </c>
      <c r="GY485" s="61">
        <f t="shared" si="2505"/>
        <v>-2.2355324132359078</v>
      </c>
      <c r="GZ485" s="61">
        <f t="shared" si="2388"/>
        <v>1.2192174562792868</v>
      </c>
      <c r="HA485" s="61"/>
      <c r="HB485" s="452"/>
      <c r="HC485"/>
      <c r="HD485"/>
      <c r="HE485"/>
      <c r="HF485"/>
      <c r="HG485"/>
      <c r="HH485"/>
    </row>
    <row r="486" spans="1:216" s="5" customFormat="1" ht="12.75" customHeight="1" x14ac:dyDescent="0.2">
      <c r="A486" s="7"/>
      <c r="B486" s="2" t="s">
        <v>4</v>
      </c>
      <c r="C486" s="72"/>
      <c r="D486" s="70"/>
      <c r="E486" s="72"/>
      <c r="F486" s="71"/>
      <c r="G486" s="72"/>
      <c r="H486" s="71"/>
      <c r="I486" s="72"/>
      <c r="J486" s="61"/>
      <c r="K486" s="72"/>
      <c r="L486" s="61"/>
      <c r="M486" s="72"/>
      <c r="N486" s="61"/>
      <c r="O486" s="72"/>
      <c r="P486" s="61"/>
      <c r="Q486" s="72"/>
      <c r="R486" s="61"/>
      <c r="S486" s="72"/>
      <c r="T486" s="61"/>
      <c r="U486" s="72"/>
      <c r="V486" s="61"/>
      <c r="W486" s="72"/>
      <c r="X486" s="61"/>
      <c r="Y486" s="72"/>
      <c r="Z486" s="61"/>
      <c r="AA486" s="72"/>
      <c r="AB486" s="61"/>
      <c r="AC486" s="72"/>
      <c r="AD486" s="61"/>
      <c r="AE486" s="72"/>
      <c r="AF486" s="61"/>
      <c r="AG486" s="72"/>
      <c r="AH486" s="61"/>
      <c r="AI486" s="72"/>
      <c r="AJ486" s="61"/>
      <c r="AK486" s="72"/>
      <c r="AL486" s="61"/>
      <c r="AM486" s="72"/>
      <c r="AN486" s="61"/>
      <c r="AO486" s="72"/>
      <c r="AP486" s="61"/>
      <c r="AQ486" s="540">
        <v>5.8</v>
      </c>
      <c r="AR486" s="61" t="str">
        <f t="shared" si="2441"/>
        <v>NA</v>
      </c>
      <c r="AS486" s="72">
        <v>23.5</v>
      </c>
      <c r="AT486" s="61" t="str">
        <f t="shared" si="2442"/>
        <v>NA</v>
      </c>
      <c r="AU486" s="72">
        <v>4.55</v>
      </c>
      <c r="AV486" s="61" t="str">
        <f t="shared" si="2443"/>
        <v>NA</v>
      </c>
      <c r="AW486" s="72">
        <v>0</v>
      </c>
      <c r="AX486" s="61" t="str">
        <f t="shared" si="2443"/>
        <v>NA</v>
      </c>
      <c r="AY486" s="72">
        <v>0</v>
      </c>
      <c r="AZ486" s="61" t="str">
        <f t="shared" si="2444"/>
        <v>NM</v>
      </c>
      <c r="BA486" s="72">
        <v>3</v>
      </c>
      <c r="BB486" s="61" t="str">
        <f t="shared" si="2445"/>
        <v>NM</v>
      </c>
      <c r="BC486" s="72">
        <f>17-4</f>
        <v>13</v>
      </c>
      <c r="BD486" s="61" t="str">
        <f t="shared" si="2446"/>
        <v>NM</v>
      </c>
      <c r="BE486" s="72">
        <v>-3</v>
      </c>
      <c r="BF486" s="61" t="str">
        <f t="shared" si="2447"/>
        <v>NA</v>
      </c>
      <c r="BG486" s="72">
        <v>0</v>
      </c>
      <c r="BH486" s="61" t="str">
        <f t="shared" si="2448"/>
        <v>NA</v>
      </c>
      <c r="BI486" s="72">
        <v>3.9</v>
      </c>
      <c r="BJ486" s="61">
        <f t="shared" si="2449"/>
        <v>30.000000000000004</v>
      </c>
      <c r="BK486" s="72">
        <v>-8</v>
      </c>
      <c r="BL486" s="61" t="str">
        <f t="shared" si="2450"/>
        <v>NM</v>
      </c>
      <c r="BM486" s="72">
        <v>-18</v>
      </c>
      <c r="BN486" s="61" t="str">
        <f t="shared" si="2451"/>
        <v>NM</v>
      </c>
      <c r="BO486" s="72">
        <v>-4</v>
      </c>
      <c r="BP486" s="61" t="str">
        <f t="shared" si="2452"/>
        <v>NA</v>
      </c>
      <c r="BQ486" s="72">
        <v>0</v>
      </c>
      <c r="BR486" s="61" t="str">
        <f t="shared" si="2453"/>
        <v>NM</v>
      </c>
      <c r="BS486" s="72">
        <v>0</v>
      </c>
      <c r="BT486" s="61" t="str">
        <f t="shared" si="2454"/>
        <v>NM</v>
      </c>
      <c r="BU486" s="72">
        <v>-14</v>
      </c>
      <c r="BV486" s="61">
        <f t="shared" si="2455"/>
        <v>-22.222222222222221</v>
      </c>
      <c r="BW486" s="72">
        <f>-64.4+32</f>
        <v>-32.400000000000006</v>
      </c>
      <c r="BX486" s="61" t="str">
        <f t="shared" si="2456"/>
        <v>NM</v>
      </c>
      <c r="BY486" s="72">
        <v>0</v>
      </c>
      <c r="BZ486" s="61" t="str">
        <f t="shared" si="2457"/>
        <v>NA</v>
      </c>
      <c r="CA486" s="72">
        <v>0</v>
      </c>
      <c r="CB486" s="61" t="str">
        <f t="shared" si="2458"/>
        <v>NA</v>
      </c>
      <c r="CC486" s="72">
        <v>-15</v>
      </c>
      <c r="CD486" s="61">
        <f t="shared" si="2459"/>
        <v>7.1428571428571397</v>
      </c>
      <c r="CE486" s="72">
        <v>-4</v>
      </c>
      <c r="CF486" s="61" t="str">
        <f t="shared" si="2460"/>
        <v>NM</v>
      </c>
      <c r="CG486" s="72">
        <v>0</v>
      </c>
      <c r="CH486" s="61" t="str">
        <f t="shared" si="2461"/>
        <v>NA</v>
      </c>
      <c r="CI486" s="72">
        <v>-4</v>
      </c>
      <c r="CJ486" s="61" t="str">
        <f t="shared" si="2462"/>
        <v>NA</v>
      </c>
      <c r="CK486" s="72">
        <v>-41</v>
      </c>
      <c r="CL486" s="61" t="str">
        <f t="shared" si="2463"/>
        <v>NM</v>
      </c>
      <c r="CM486" s="72">
        <v>0</v>
      </c>
      <c r="CN486" s="61" t="str">
        <f t="shared" si="2464"/>
        <v>NM</v>
      </c>
      <c r="CO486" s="72">
        <v>14</v>
      </c>
      <c r="CP486" s="61" t="str">
        <f t="shared" si="2465"/>
        <v>NA</v>
      </c>
      <c r="CQ486" s="72">
        <v>-12</v>
      </c>
      <c r="CR486" s="61" t="str">
        <f t="shared" si="2466"/>
        <v>NM</v>
      </c>
      <c r="CS486" s="72">
        <v>-7</v>
      </c>
      <c r="CT486" s="61" t="str">
        <f t="shared" si="2467"/>
        <v>NM</v>
      </c>
      <c r="CU486" s="72">
        <v>0</v>
      </c>
      <c r="CV486" s="61" t="str">
        <f t="shared" si="2468"/>
        <v>NA</v>
      </c>
      <c r="CW486" s="72">
        <v>-5</v>
      </c>
      <c r="CX486" s="61" t="str">
        <f t="shared" si="2469"/>
        <v>NM</v>
      </c>
      <c r="CY486" s="72">
        <v>29</v>
      </c>
      <c r="CZ486" s="61" t="str">
        <f t="shared" si="2470"/>
        <v>NM</v>
      </c>
      <c r="DA486" s="72">
        <v>-5</v>
      </c>
      <c r="DB486" s="61">
        <f t="shared" si="2471"/>
        <v>-28.571428571428569</v>
      </c>
      <c r="DC486" s="72">
        <v>-8</v>
      </c>
      <c r="DD486" s="61" t="str">
        <f t="shared" si="2472"/>
        <v>NA</v>
      </c>
      <c r="DE486" s="72">
        <v>0</v>
      </c>
      <c r="DF486" s="61" t="str">
        <f t="shared" si="2473"/>
        <v>NM</v>
      </c>
      <c r="DG486" s="72">
        <v>6</v>
      </c>
      <c r="DH486" s="61" t="str">
        <f t="shared" si="2474"/>
        <v>NM</v>
      </c>
      <c r="DI486" s="72">
        <v>9</v>
      </c>
      <c r="DJ486" s="61" t="str">
        <f t="shared" si="2475"/>
        <v>NM</v>
      </c>
      <c r="DK486" s="72">
        <v>0</v>
      </c>
      <c r="DL486" s="61" t="str">
        <f t="shared" si="2476"/>
        <v>NM</v>
      </c>
      <c r="DM486" s="72">
        <v>6</v>
      </c>
      <c r="DN486" s="130" t="str">
        <f t="shared" si="2477"/>
        <v>NA</v>
      </c>
      <c r="DO486" s="72">
        <v>0</v>
      </c>
      <c r="DP486" s="130" t="str">
        <f t="shared" si="2477"/>
        <v>NM</v>
      </c>
      <c r="DQ486" s="72">
        <v>0</v>
      </c>
      <c r="DR486" s="130" t="str">
        <f t="shared" si="2477"/>
        <v>NM</v>
      </c>
      <c r="DS486" s="72">
        <v>0</v>
      </c>
      <c r="DT486" s="130" t="str">
        <f t="shared" si="2477"/>
        <v>NA</v>
      </c>
      <c r="DU486" s="72">
        <v>-8</v>
      </c>
      <c r="DV486" s="130" t="str">
        <f t="shared" si="2477"/>
        <v>NM</v>
      </c>
      <c r="DW486" s="72">
        <v>-29.5</v>
      </c>
      <c r="DX486" s="72">
        <v>-29.5</v>
      </c>
      <c r="DY486" s="72">
        <v>0</v>
      </c>
      <c r="DZ486" s="130" t="str">
        <f t="shared" si="2477"/>
        <v>NA</v>
      </c>
      <c r="EA486" s="72">
        <v>0</v>
      </c>
      <c r="EB486" s="130" t="str">
        <f t="shared" si="2480"/>
        <v>NA</v>
      </c>
      <c r="EC486" s="72">
        <v>0</v>
      </c>
      <c r="ED486" s="130" t="str">
        <f t="shared" si="2481"/>
        <v>NM</v>
      </c>
      <c r="EE486" s="72">
        <v>4</v>
      </c>
      <c r="EF486" s="130" t="str">
        <f t="shared" si="2483"/>
        <v>NM</v>
      </c>
      <c r="EG486" s="72">
        <v>0</v>
      </c>
      <c r="EH486" s="130" t="str">
        <f t="shared" si="2484"/>
        <v>NA</v>
      </c>
      <c r="EI486" s="72">
        <v>0</v>
      </c>
      <c r="EJ486" s="130" t="str">
        <f t="shared" si="2486"/>
        <v>NA</v>
      </c>
      <c r="EK486" s="72">
        <v>0</v>
      </c>
      <c r="EL486" s="130" t="str">
        <f t="shared" si="2488"/>
        <v>NA</v>
      </c>
      <c r="EM486" s="72">
        <v>19.5</v>
      </c>
      <c r="EN486" s="130" t="str">
        <f t="shared" si="2489"/>
        <v>NM</v>
      </c>
      <c r="EO486" s="72">
        <v>0</v>
      </c>
      <c r="EP486" s="130" t="str">
        <f t="shared" si="2491"/>
        <v>NA</v>
      </c>
      <c r="EQ486" s="72">
        <v>0</v>
      </c>
      <c r="ER486" s="130" t="str">
        <f t="shared" si="2493"/>
        <v>NA</v>
      </c>
      <c r="ES486" s="72">
        <v>0</v>
      </c>
      <c r="ET486" s="130" t="str">
        <f t="shared" si="2494"/>
        <v>NA</v>
      </c>
      <c r="EU486" s="72">
        <v>0</v>
      </c>
      <c r="EV486" s="130" t="str">
        <f t="shared" si="2495"/>
        <v>NM</v>
      </c>
      <c r="EW486" s="72">
        <v>0</v>
      </c>
      <c r="EX486" s="130" t="str">
        <f t="shared" si="2496"/>
        <v>NA</v>
      </c>
      <c r="EY486" s="64"/>
      <c r="EZ486" s="558"/>
      <c r="FA486" s="64"/>
      <c r="FB486" s="72"/>
      <c r="FC486" s="124"/>
      <c r="FD486" s="72"/>
      <c r="FE486" s="70"/>
      <c r="FF486" s="73"/>
      <c r="FG486" s="70"/>
      <c r="FH486" s="73"/>
      <c r="FI486" s="70"/>
      <c r="FJ486" s="73"/>
      <c r="FK486" s="70"/>
      <c r="FL486" s="73"/>
      <c r="FM486" s="70"/>
      <c r="FN486" s="73"/>
      <c r="FO486" s="70"/>
      <c r="FP486" s="73">
        <f>AQ486+AS486+AU486+AW486</f>
        <v>33.85</v>
      </c>
      <c r="FQ486" s="61" t="str">
        <f t="shared" si="2497"/>
        <v>NA</v>
      </c>
      <c r="FR486" s="73">
        <f>AY486+BA486+BC486+BE486</f>
        <v>13</v>
      </c>
      <c r="FS486" s="61" t="str">
        <f t="shared" si="2498"/>
        <v>NM</v>
      </c>
      <c r="FT486" s="73">
        <f>BG486+BI486+BK486+BM486</f>
        <v>-22.1</v>
      </c>
      <c r="FU486" s="61" t="str">
        <f t="shared" si="2499"/>
        <v>NM</v>
      </c>
      <c r="FV486" s="73">
        <f>BO486+BQ486+BS486+BU486</f>
        <v>-18</v>
      </c>
      <c r="FW486" s="61">
        <f t="shared" si="2500"/>
        <v>-18.552036199095024</v>
      </c>
      <c r="FX486" s="73">
        <f>BW486+BY486+CA486+CC486</f>
        <v>-47.400000000000006</v>
      </c>
      <c r="FY486" s="61" t="str">
        <f t="shared" si="2501"/>
        <v>NM</v>
      </c>
      <c r="FZ486" s="73">
        <f>CE486+CG486+CI486+CK486</f>
        <v>-49</v>
      </c>
      <c r="GA486" s="61">
        <f t="shared" si="2502"/>
        <v>3.3755274261603185</v>
      </c>
      <c r="GB486" s="73">
        <f>CM486+CO486+CQ486+CS486</f>
        <v>-5</v>
      </c>
      <c r="GC486" s="61" t="str">
        <f t="shared" si="2503"/>
        <v>NM</v>
      </c>
      <c r="GD486" s="73">
        <f>CU486+CW486+CY486+DA486</f>
        <v>19</v>
      </c>
      <c r="GE486" s="61" t="str">
        <f t="shared" si="2504"/>
        <v>NM</v>
      </c>
      <c r="GF486" s="73">
        <f>DC486+DE486+DG486+DI486</f>
        <v>7</v>
      </c>
      <c r="GG486" s="61" t="str">
        <f t="shared" si="2504"/>
        <v>NM</v>
      </c>
      <c r="GH486" s="73">
        <f>DK486+DM486+DO486+DQ486</f>
        <v>6</v>
      </c>
      <c r="GI486" s="61">
        <f t="shared" si="2504"/>
        <v>-14.28571428571429</v>
      </c>
      <c r="GJ486" s="73">
        <f>DS486+DU486+DW486+DY486</f>
        <v>-37.5</v>
      </c>
      <c r="GK486" s="61" t="str">
        <f t="shared" si="2504"/>
        <v>NM</v>
      </c>
      <c r="GL486" s="73">
        <f>EA486+EC486+EE486+EG486</f>
        <v>4</v>
      </c>
      <c r="GM486" s="61" t="str">
        <f t="shared" si="2504"/>
        <v>NM</v>
      </c>
      <c r="GN486" s="73">
        <f>EI486+EK486+EM486+EO486</f>
        <v>19.5</v>
      </c>
      <c r="GO486" s="61" t="str">
        <f t="shared" si="2504"/>
        <v>NM</v>
      </c>
      <c r="GP486" s="73">
        <f>EQ486+ES486+EU486+EW486</f>
        <v>0</v>
      </c>
      <c r="GQ486" s="61" t="str">
        <f t="shared" si="2504"/>
        <v>NM</v>
      </c>
      <c r="GR486" s="72">
        <v>0</v>
      </c>
      <c r="GS486" s="61" t="str">
        <f t="shared" si="2504"/>
        <v>NA</v>
      </c>
      <c r="GT486" s="72">
        <v>0</v>
      </c>
      <c r="GU486" s="61" t="str">
        <f t="shared" si="2504"/>
        <v>NA</v>
      </c>
      <c r="GV486" s="72">
        <v>0</v>
      </c>
      <c r="GW486" s="61" t="str">
        <f t="shared" si="2504"/>
        <v>NA</v>
      </c>
      <c r="GX486" s="72">
        <v>0</v>
      </c>
      <c r="GY486" s="61" t="str">
        <f t="shared" si="2505"/>
        <v>NA</v>
      </c>
      <c r="GZ486" s="61" t="str">
        <f t="shared" si="2388"/>
        <v>NM</v>
      </c>
      <c r="HA486" s="61"/>
      <c r="HB486" s="452"/>
      <c r="HC486"/>
      <c r="HD486"/>
      <c r="HE486"/>
      <c r="HF486"/>
      <c r="HG486"/>
      <c r="HH486"/>
    </row>
    <row r="487" spans="1:216" s="5" customFormat="1" ht="12.75" customHeight="1" x14ac:dyDescent="0.2">
      <c r="A487" s="7"/>
      <c r="B487" s="63" t="s">
        <v>384</v>
      </c>
      <c r="C487" s="125"/>
      <c r="D487" s="70"/>
      <c r="E487" s="125"/>
      <c r="F487" s="71"/>
      <c r="G487" s="125"/>
      <c r="H487" s="71"/>
      <c r="I487" s="125"/>
      <c r="J487" s="61"/>
      <c r="K487" s="125"/>
      <c r="L487" s="61"/>
      <c r="M487" s="125"/>
      <c r="N487" s="61"/>
      <c r="O487" s="125"/>
      <c r="P487" s="61"/>
      <c r="Q487" s="125"/>
      <c r="R487" s="61"/>
      <c r="S487" s="125"/>
      <c r="T487" s="61"/>
      <c r="U487" s="125"/>
      <c r="V487" s="61"/>
      <c r="W487" s="125"/>
      <c r="X487" s="61"/>
      <c r="Y487" s="125"/>
      <c r="Z487" s="61"/>
      <c r="AA487" s="125"/>
      <c r="AB487" s="61"/>
      <c r="AC487" s="125"/>
      <c r="AD487" s="61"/>
      <c r="AE487" s="125"/>
      <c r="AF487" s="61"/>
      <c r="AG487" s="125"/>
      <c r="AH487" s="61"/>
      <c r="AI487" s="125"/>
      <c r="AJ487" s="61"/>
      <c r="AK487" s="125"/>
      <c r="AL487" s="61"/>
      <c r="AM487" s="125"/>
      <c r="AN487" s="61"/>
      <c r="AO487" s="125"/>
      <c r="AP487" s="61"/>
      <c r="AQ487" s="125">
        <f>AQ485-AQ486</f>
        <v>-3.3999999999999977</v>
      </c>
      <c r="AR487" s="61" t="str">
        <f t="shared" si="2441"/>
        <v>NA</v>
      </c>
      <c r="AS487" s="125">
        <f>AS485-AS486</f>
        <v>6.5999999999999872</v>
      </c>
      <c r="AT487" s="61" t="str">
        <f t="shared" si="2442"/>
        <v>NA</v>
      </c>
      <c r="AU487" s="125">
        <f>AU485-AU486</f>
        <v>7.5500000000000052</v>
      </c>
      <c r="AV487" s="61" t="str">
        <f t="shared" si="2443"/>
        <v>NA</v>
      </c>
      <c r="AW487" s="125">
        <f>AW485-AW486</f>
        <v>9.5000000000000018</v>
      </c>
      <c r="AX487" s="61" t="str">
        <f t="shared" si="2443"/>
        <v>NA</v>
      </c>
      <c r="AY487" s="102">
        <f>AY485-AY486</f>
        <v>0.20000000000000018</v>
      </c>
      <c r="AZ487" s="61" t="str">
        <f t="shared" si="2444"/>
        <v>NM</v>
      </c>
      <c r="BA487" s="102">
        <f>BA485-BA486</f>
        <v>-29</v>
      </c>
      <c r="BB487" s="61" t="str">
        <f t="shared" si="2445"/>
        <v>NM</v>
      </c>
      <c r="BC487" s="102">
        <f>BC485-BC486</f>
        <v>-24.4</v>
      </c>
      <c r="BD487" s="61" t="str">
        <f t="shared" si="2446"/>
        <v>NM</v>
      </c>
      <c r="BE487" s="102">
        <f>BE485-BE486</f>
        <v>-35.4</v>
      </c>
      <c r="BF487" s="61" t="str">
        <f t="shared" si="2447"/>
        <v>NM</v>
      </c>
      <c r="BG487" s="102">
        <f>BG485-BG486</f>
        <v>-28.100000000000005</v>
      </c>
      <c r="BH487" s="61" t="str">
        <f t="shared" si="2448"/>
        <v>NM</v>
      </c>
      <c r="BI487" s="102">
        <f>BI485-BI486</f>
        <v>-40.000000000000014</v>
      </c>
      <c r="BJ487" s="61">
        <f t="shared" si="2449"/>
        <v>37.931034482758676</v>
      </c>
      <c r="BK487" s="102">
        <f>BK485-BK486</f>
        <v>-41.800000000000018</v>
      </c>
      <c r="BL487" s="61">
        <f t="shared" si="2450"/>
        <v>71.311475409836163</v>
      </c>
      <c r="BM487" s="102">
        <f>BM485-BM486</f>
        <v>-41.299999999999969</v>
      </c>
      <c r="BN487" s="61">
        <f t="shared" si="2451"/>
        <v>16.666666666666586</v>
      </c>
      <c r="BO487" s="102">
        <f>BO485-BO486</f>
        <v>-38.299999999999997</v>
      </c>
      <c r="BP487" s="61">
        <f t="shared" si="2452"/>
        <v>36.298932384341612</v>
      </c>
      <c r="BQ487" s="102">
        <f>BQ485-BQ486</f>
        <v>-44.70000000000001</v>
      </c>
      <c r="BR487" s="61">
        <f t="shared" si="2453"/>
        <v>11.749999999999993</v>
      </c>
      <c r="BS487" s="102">
        <f>BS485-BS486</f>
        <v>-39.9</v>
      </c>
      <c r="BT487" s="61">
        <f t="shared" si="2454"/>
        <v>-4.5454545454545858</v>
      </c>
      <c r="BU487" s="102">
        <f>BU485-BU486</f>
        <v>-41.2</v>
      </c>
      <c r="BV487" s="61">
        <f t="shared" si="2455"/>
        <v>-0.24213075060524059</v>
      </c>
      <c r="BW487" s="102">
        <f>BW485-BW486</f>
        <v>-76.100000000000009</v>
      </c>
      <c r="BX487" s="61">
        <f t="shared" si="2456"/>
        <v>98.694516971279398</v>
      </c>
      <c r="BY487" s="102">
        <f>BY485-BY486</f>
        <v>-52.299999999999983</v>
      </c>
      <c r="BZ487" s="61">
        <f t="shared" si="2457"/>
        <v>17.002237136465268</v>
      </c>
      <c r="CA487" s="102">
        <f>CA485-CA486</f>
        <v>-32.6</v>
      </c>
      <c r="CB487" s="61">
        <f t="shared" si="2458"/>
        <v>-18.295739348370923</v>
      </c>
      <c r="CC487" s="102">
        <f>CC485-CC486</f>
        <v>-28.499999999999986</v>
      </c>
      <c r="CD487" s="61">
        <f t="shared" si="2459"/>
        <v>-30.825242718446646</v>
      </c>
      <c r="CE487" s="102">
        <f>CE485-CE486</f>
        <v>-32.6</v>
      </c>
      <c r="CF487" s="61" t="str">
        <f t="shared" si="2460"/>
        <v>NM</v>
      </c>
      <c r="CG487" s="102">
        <f>CG485-CG486</f>
        <v>-36.1</v>
      </c>
      <c r="CH487" s="61">
        <f t="shared" si="2461"/>
        <v>-30.975143403441663</v>
      </c>
      <c r="CI487" s="102">
        <f>CI485-CI486</f>
        <v>-35.700000000000003</v>
      </c>
      <c r="CJ487" s="61">
        <f t="shared" si="2462"/>
        <v>9.5092024539877418</v>
      </c>
      <c r="CK487" s="102">
        <f>CK485-CK486</f>
        <v>-32.700000000000017</v>
      </c>
      <c r="CL487" s="61">
        <f t="shared" si="2463"/>
        <v>14.736842105263271</v>
      </c>
      <c r="CM487" s="102">
        <f>CM485-CM486</f>
        <v>-35.900000000000006</v>
      </c>
      <c r="CN487" s="61">
        <f t="shared" si="2464"/>
        <v>10.122699386503076</v>
      </c>
      <c r="CO487" s="102">
        <f>CO485-CO486</f>
        <v>-36</v>
      </c>
      <c r="CP487" s="61">
        <f t="shared" si="2465"/>
        <v>-0.27700831024931594</v>
      </c>
      <c r="CQ487" s="102">
        <f>CQ485-CQ486</f>
        <v>-31.9</v>
      </c>
      <c r="CR487" s="61">
        <f t="shared" si="2466"/>
        <v>-10.644257703081239</v>
      </c>
      <c r="CS487" s="102">
        <f>CS485-CS486</f>
        <v>-35</v>
      </c>
      <c r="CT487" s="61">
        <f t="shared" si="2467"/>
        <v>7.0336391437308299</v>
      </c>
      <c r="CU487" s="102">
        <f>CU485-CU486</f>
        <v>-34</v>
      </c>
      <c r="CV487" s="61">
        <f t="shared" si="2468"/>
        <v>-5.2924791086351171</v>
      </c>
      <c r="CW487" s="102">
        <f>CW485-CW486</f>
        <v>-34</v>
      </c>
      <c r="CX487" s="61">
        <f t="shared" si="2469"/>
        <v>-5.555555555555558</v>
      </c>
      <c r="CY487" s="102">
        <f>CY485-CY486</f>
        <v>-3</v>
      </c>
      <c r="CZ487" s="61" t="str">
        <f t="shared" si="2470"/>
        <v>NM</v>
      </c>
      <c r="DA487" s="102">
        <f>DA485-DA486</f>
        <v>-35</v>
      </c>
      <c r="DB487" s="61">
        <f t="shared" si="2471"/>
        <v>0</v>
      </c>
      <c r="DC487" s="102">
        <f>DC485-DC486</f>
        <v>-27</v>
      </c>
      <c r="DD487" s="61">
        <f t="shared" si="2472"/>
        <v>-20.588235294117652</v>
      </c>
      <c r="DE487" s="102">
        <f>DE485-DE486</f>
        <v>-40</v>
      </c>
      <c r="DF487" s="61">
        <f t="shared" si="2473"/>
        <v>17.647058823529417</v>
      </c>
      <c r="DG487" s="102">
        <f>DG485-DG486</f>
        <v>-33</v>
      </c>
      <c r="DH487" s="61" t="str">
        <f t="shared" si="2474"/>
        <v>NM</v>
      </c>
      <c r="DI487" s="102">
        <f>DI485-DI486</f>
        <v>-28</v>
      </c>
      <c r="DJ487" s="61">
        <f t="shared" si="2475"/>
        <v>-19.999999999999996</v>
      </c>
      <c r="DK487" s="102">
        <f>DK485-DK486</f>
        <v>-30</v>
      </c>
      <c r="DL487" s="61">
        <f t="shared" si="2476"/>
        <v>11.111111111111116</v>
      </c>
      <c r="DM487" s="102">
        <f>DM485-DM486</f>
        <v>-28</v>
      </c>
      <c r="DN487" s="130">
        <f t="shared" si="2477"/>
        <v>-30.000000000000004</v>
      </c>
      <c r="DO487" s="102">
        <f>DO485-DO486</f>
        <v>-29</v>
      </c>
      <c r="DP487" s="130">
        <f t="shared" si="2477"/>
        <v>-12.121212121212121</v>
      </c>
      <c r="DQ487" s="102">
        <f>DQ485-DQ486</f>
        <v>-26</v>
      </c>
      <c r="DR487" s="130">
        <f t="shared" si="2477"/>
        <v>-7.1428571428571397</v>
      </c>
      <c r="DS487" s="102">
        <f>DS485-DS486</f>
        <v>-27</v>
      </c>
      <c r="DT487" s="130">
        <f t="shared" si="2477"/>
        <v>-9.9999999999999982</v>
      </c>
      <c r="DU487" s="102">
        <f>DU485-DU486</f>
        <v>-30</v>
      </c>
      <c r="DV487" s="130">
        <f t="shared" si="2477"/>
        <v>7.1428571428571397</v>
      </c>
      <c r="DW487" s="102">
        <f>DW485-DW486</f>
        <v>-35.5</v>
      </c>
      <c r="DX487" s="102">
        <f t="shared" ref="DX487:DY487" si="2523">DX485-DX486</f>
        <v>-35.5</v>
      </c>
      <c r="DY487" s="102">
        <f t="shared" si="2523"/>
        <v>-26</v>
      </c>
      <c r="DZ487" s="130">
        <f t="shared" si="2477"/>
        <v>0</v>
      </c>
      <c r="EA487" s="102">
        <f t="shared" ref="EA487:EC487" si="2524">EA485-EA486</f>
        <v>-15</v>
      </c>
      <c r="EB487" s="130">
        <f t="shared" si="2480"/>
        <v>-44.444444444444443</v>
      </c>
      <c r="EC487" s="102">
        <f t="shared" si="2524"/>
        <v>-28</v>
      </c>
      <c r="ED487" s="130">
        <f t="shared" si="2481"/>
        <v>-6.6666666666666652</v>
      </c>
      <c r="EE487" s="102">
        <f t="shared" ref="EE487:EG487" si="2525">EE485-EE486</f>
        <v>-30</v>
      </c>
      <c r="EF487" s="130">
        <f t="shared" si="2483"/>
        <v>-15.492957746478876</v>
      </c>
      <c r="EG487" s="102">
        <f t="shared" si="2525"/>
        <v>-37</v>
      </c>
      <c r="EH487" s="130">
        <f t="shared" si="2484"/>
        <v>42.307692307692314</v>
      </c>
      <c r="EI487" s="102">
        <f t="shared" ref="EI487:EK487" si="2526">EI485-EI486</f>
        <v>-13</v>
      </c>
      <c r="EJ487" s="130">
        <f t="shared" si="2486"/>
        <v>-13.33333333333333</v>
      </c>
      <c r="EK487" s="102">
        <f t="shared" si="2526"/>
        <v>-37</v>
      </c>
      <c r="EL487" s="130">
        <f t="shared" si="2488"/>
        <v>32.142857142857139</v>
      </c>
      <c r="EM487" s="102">
        <f t="shared" ref="EM487" si="2527">EM485-EM486</f>
        <v>-39.5</v>
      </c>
      <c r="EN487" s="130">
        <f t="shared" si="2489"/>
        <v>31.666666666666664</v>
      </c>
      <c r="EO487" s="102">
        <f t="shared" ref="EO487" si="2528">EO485-EO486</f>
        <v>-38</v>
      </c>
      <c r="EP487" s="130">
        <f t="shared" si="2491"/>
        <v>2.7027027027026973</v>
      </c>
      <c r="EQ487" s="102">
        <f t="shared" ref="EQ487:EW487" si="2529">EQ485-EQ486</f>
        <v>-53.666075000000006</v>
      </c>
      <c r="ER487" s="130" t="str">
        <f t="shared" si="2493"/>
        <v>NM</v>
      </c>
      <c r="ES487" s="102">
        <f t="shared" si="2529"/>
        <v>-53.411508500000011</v>
      </c>
      <c r="ET487" s="130">
        <f t="shared" si="2494"/>
        <v>44.355428378378406</v>
      </c>
      <c r="EU487" s="102">
        <f t="shared" si="2529"/>
        <v>-53.155669167500022</v>
      </c>
      <c r="EV487" s="130">
        <f t="shared" si="2495"/>
        <v>34.571314348101325</v>
      </c>
      <c r="EW487" s="102">
        <f t="shared" si="2529"/>
        <v>-52.898550638337525</v>
      </c>
      <c r="EX487" s="130">
        <f t="shared" si="2496"/>
        <v>39.206712206151373</v>
      </c>
      <c r="EY487" s="74"/>
      <c r="EZ487" s="558"/>
      <c r="FA487" s="74"/>
      <c r="FB487" s="102"/>
      <c r="FC487" s="124"/>
      <c r="FD487" s="102"/>
      <c r="FE487" s="126"/>
      <c r="FF487" s="102"/>
      <c r="FG487" s="126"/>
      <c r="FH487" s="102"/>
      <c r="FI487" s="126"/>
      <c r="FJ487" s="102"/>
      <c r="FK487" s="126"/>
      <c r="FL487" s="102"/>
      <c r="FM487" s="126"/>
      <c r="FN487" s="102"/>
      <c r="FO487" s="126"/>
      <c r="FP487" s="104">
        <f>FP485-FP486</f>
        <v>20.250000000000007</v>
      </c>
      <c r="FQ487" s="61" t="str">
        <f t="shared" si="2497"/>
        <v>NA</v>
      </c>
      <c r="FR487" s="104">
        <f>FR485-FR486</f>
        <v>-88.699999999999932</v>
      </c>
      <c r="FS487" s="61" t="str">
        <f t="shared" si="2498"/>
        <v>NM</v>
      </c>
      <c r="FT487" s="104">
        <f>FT485-FT486</f>
        <v>-151.19999999999985</v>
      </c>
      <c r="FU487" s="61">
        <f t="shared" si="2499"/>
        <v>70.462232243517448</v>
      </c>
      <c r="FV487" s="104">
        <f>FV485-FV486</f>
        <v>-164.10000000000005</v>
      </c>
      <c r="FW487" s="61">
        <f t="shared" si="2500"/>
        <v>8.5317460317461791</v>
      </c>
      <c r="FX487" s="104">
        <f>FX485-FX486</f>
        <v>-189.5</v>
      </c>
      <c r="FY487" s="61">
        <f t="shared" si="2501"/>
        <v>15.478366849481983</v>
      </c>
      <c r="FZ487" s="104">
        <f>FZ485-FZ486</f>
        <v>-137.1</v>
      </c>
      <c r="GA487" s="61">
        <f t="shared" si="2502"/>
        <v>-27.651715039577841</v>
      </c>
      <c r="GB487" s="104">
        <f>GB485-GB486</f>
        <v>-138.8000000000001</v>
      </c>
      <c r="GC487" s="61">
        <f t="shared" si="2503"/>
        <v>1.2399708242159857</v>
      </c>
      <c r="GD487" s="104">
        <f>GD485-GD486</f>
        <v>-106</v>
      </c>
      <c r="GE487" s="61">
        <f t="shared" si="2504"/>
        <v>-23.631123919308404</v>
      </c>
      <c r="GF487" s="104">
        <f>GF485-GF486</f>
        <v>-128</v>
      </c>
      <c r="GG487" s="61">
        <f t="shared" si="2504"/>
        <v>20.75471698113207</v>
      </c>
      <c r="GH487" s="104">
        <f>GH485-GH486</f>
        <v>-113</v>
      </c>
      <c r="GI487" s="61">
        <f t="shared" si="2504"/>
        <v>-11.71875</v>
      </c>
      <c r="GJ487" s="104">
        <f>GJ485-GJ486</f>
        <v>-118.5</v>
      </c>
      <c r="GK487" s="61">
        <f t="shared" si="2504"/>
        <v>4.8672566371681381</v>
      </c>
      <c r="GL487" s="104">
        <f>GL485-GL486</f>
        <v>-110</v>
      </c>
      <c r="GM487" s="61">
        <f t="shared" si="2504"/>
        <v>-7.1729957805907185</v>
      </c>
      <c r="GN487" s="104">
        <f>GN485-GN486</f>
        <v>-127.5</v>
      </c>
      <c r="GO487" s="61">
        <f t="shared" si="2504"/>
        <v>15.909090909090917</v>
      </c>
      <c r="GP487" s="104">
        <f>GP485-GP486</f>
        <v>-213.13180330583759</v>
      </c>
      <c r="GQ487" s="61">
        <f t="shared" si="2504"/>
        <v>67.162198671245179</v>
      </c>
      <c r="GR487" s="102">
        <f>GR485-GR486</f>
        <v>-190.67547814437705</v>
      </c>
      <c r="GS487" s="61">
        <f t="shared" si="2504"/>
        <v>-10.53635581980058</v>
      </c>
      <c r="GT487" s="102">
        <f>GT485-GT486</f>
        <v>-119.87848648870835</v>
      </c>
      <c r="GU487" s="61">
        <f t="shared" si="2504"/>
        <v>-37.129573422158735</v>
      </c>
      <c r="GV487" s="102">
        <f>GV485-GV486</f>
        <v>-117.37013196336963</v>
      </c>
      <c r="GW487" s="61">
        <f t="shared" si="2504"/>
        <v>-2.0924142427965919</v>
      </c>
      <c r="GX487" s="102">
        <f>GX485-GX486</f>
        <v>-114.74628461987075</v>
      </c>
      <c r="GY487" s="61">
        <f t="shared" si="2505"/>
        <v>-2.2355324132359078</v>
      </c>
      <c r="GZ487" s="61">
        <f t="shared" si="2388"/>
        <v>-2.0857978302178504</v>
      </c>
      <c r="HA487" s="61"/>
      <c r="HB487" s="452"/>
      <c r="HC487"/>
      <c r="HD487"/>
      <c r="HE487"/>
      <c r="HF487"/>
      <c r="HG487"/>
      <c r="HH487"/>
    </row>
    <row r="488" spans="1:216" s="5" customFormat="1" ht="12.75" customHeight="1" x14ac:dyDescent="0.2">
      <c r="B488" s="2" t="s">
        <v>73</v>
      </c>
      <c r="C488" s="69"/>
      <c r="D488" s="70"/>
      <c r="E488" s="69"/>
      <c r="F488" s="71"/>
      <c r="G488" s="69"/>
      <c r="H488" s="71"/>
      <c r="I488" s="69"/>
      <c r="J488" s="61"/>
      <c r="K488" s="69"/>
      <c r="L488" s="61"/>
      <c r="M488" s="69"/>
      <c r="N488" s="61"/>
      <c r="O488" s="69"/>
      <c r="P488" s="61"/>
      <c r="Q488" s="69"/>
      <c r="R488" s="61"/>
      <c r="S488" s="69"/>
      <c r="T488" s="61"/>
      <c r="U488" s="69"/>
      <c r="V488" s="61"/>
      <c r="W488" s="69"/>
      <c r="X488" s="126"/>
      <c r="Y488" s="69"/>
      <c r="Z488" s="126"/>
      <c r="AA488" s="69"/>
      <c r="AB488" s="126"/>
      <c r="AC488" s="69"/>
      <c r="AD488" s="126"/>
      <c r="AE488" s="69"/>
      <c r="AF488" s="126"/>
      <c r="AG488" s="69"/>
      <c r="AH488" s="126"/>
      <c r="AI488" s="69"/>
      <c r="AJ488" s="126"/>
      <c r="AK488" s="69"/>
      <c r="AL488" s="126"/>
      <c r="AM488" s="69"/>
      <c r="AN488" s="126"/>
      <c r="AO488" s="69"/>
      <c r="AP488" s="126"/>
      <c r="AQ488" s="69">
        <f>AQ482-AQ486/0.65</f>
        <v>-16.523076923076921</v>
      </c>
      <c r="AR488" s="61" t="str">
        <f t="shared" si="2441"/>
        <v>NA</v>
      </c>
      <c r="AS488" s="69">
        <f>AS482-AS486/0.65</f>
        <v>-28.953846153846165</v>
      </c>
      <c r="AT488" s="61" t="str">
        <f t="shared" si="2442"/>
        <v>NA</v>
      </c>
      <c r="AU488" s="69">
        <f>AU482-AU486/0.65</f>
        <v>-11.199999999999996</v>
      </c>
      <c r="AV488" s="61" t="str">
        <f t="shared" si="2443"/>
        <v>NA</v>
      </c>
      <c r="AW488" s="69">
        <f>AW482-AW486/0.65</f>
        <v>-5.8999999999999986</v>
      </c>
      <c r="AX488" s="61" t="str">
        <f t="shared" si="2443"/>
        <v>NA</v>
      </c>
      <c r="AY488" s="69">
        <f>AY482-AY486/0.65</f>
        <v>-2</v>
      </c>
      <c r="AZ488" s="61" t="str">
        <f t="shared" si="2444"/>
        <v>NM</v>
      </c>
      <c r="BA488" s="69">
        <f>BA482-BA486/0.65</f>
        <v>-47.615384615384613</v>
      </c>
      <c r="BB488" s="61">
        <f t="shared" si="2445"/>
        <v>64.452709883103012</v>
      </c>
      <c r="BC488" s="69">
        <f>BC482-BC486/0.65</f>
        <v>-47.3</v>
      </c>
      <c r="BD488" s="61" t="str">
        <f t="shared" si="2446"/>
        <v>NM</v>
      </c>
      <c r="BE488" s="69">
        <f>BE482-BE486/0.65</f>
        <v>-68.384615384615387</v>
      </c>
      <c r="BF488" s="61" t="str">
        <f t="shared" si="2447"/>
        <v>NM</v>
      </c>
      <c r="BG488" s="69">
        <f>BG482-BG486/0.65</f>
        <v>-48.400000000000006</v>
      </c>
      <c r="BH488" s="61" t="str">
        <f t="shared" ref="BH488" si="2530">IF(ISERROR((BG488/AY488-1)*100),"NA",IF(((BG488/AY488-1)*100)&gt;100,"NM",IF(((BG488/AY488-1)*100)&lt;-50,"NM",(BG488/AY488-1)*100)))</f>
        <v>NM</v>
      </c>
      <c r="BI488" s="69">
        <f>BI482-BI486/0.65</f>
        <v>-72.700000000000017</v>
      </c>
      <c r="BJ488" s="61">
        <f t="shared" ref="BJ488" si="2531">IF(ISERROR((BI488/BA488-1)*100),"NA",IF(((BI488/BA488-1)*100)&gt;100,"NM",IF(((BI488/BA488-1)*100)&lt;-50,"NM",(BI488/BA488-1)*100)))</f>
        <v>52.68174474959617</v>
      </c>
      <c r="BK488" s="69">
        <f>BK482-BK486/0.65</f>
        <v>-69.89230769230771</v>
      </c>
      <c r="BL488" s="61">
        <f t="shared" ref="BL488" si="2532">IF(ISERROR((BK488/BC488-1)*100),"NA",IF(((BK488/BC488-1)*100)&gt;100,"NM",IF(((BK488/BC488-1)*100)&lt;-50,"NM",(BK488/BC488-1)*100)))</f>
        <v>47.763864042933868</v>
      </c>
      <c r="BM488" s="69">
        <f>BM482-BM486/0.65</f>
        <v>-62.407692307692272</v>
      </c>
      <c r="BN488" s="61">
        <f t="shared" ref="BN488" si="2533">IF(ISERROR((BM488/BE488-1)*100),"NA",IF(((BM488/BE488-1)*100)&gt;100,"NM",IF(((BM488/BE488-1)*100)&lt;-50,"NM",(BM488/BE488-1)*100)))</f>
        <v>-8.7401574803150144</v>
      </c>
      <c r="BO488" s="69">
        <f>BO482-BO486/0.65</f>
        <v>-57.346153846153847</v>
      </c>
      <c r="BP488" s="61">
        <f t="shared" ref="BP488" si="2534">IF(ISERROR((BO488/BG488-1)*100),"NA",IF(((BO488/BG488-1)*100)&gt;100,"NM",IF(((BO488/BG488-1)*100)&lt;-50,"NM",(BO488/BG488-1)*100)))</f>
        <v>18.483788938334378</v>
      </c>
      <c r="BQ488" s="69">
        <f>BQ482-BQ486/0.65</f>
        <v>-68.300000000000011</v>
      </c>
      <c r="BR488" s="61">
        <f t="shared" ref="BR488" si="2535">IF(ISERROR((BQ488/BI488-1)*100),"NA",IF(((BQ488/BI488-1)*100)&gt;100,"NM",IF(((BQ488/BI488-1)*100)&lt;-50,"NM",(BQ488/BI488-1)*100)))</f>
        <v>-6.0522696011004236</v>
      </c>
      <c r="BS488" s="69">
        <f>BS482-BS486/0.65</f>
        <v>-58.5</v>
      </c>
      <c r="BT488" s="61">
        <f t="shared" ref="BT488" si="2536">IF(ISERROR((BS488/BK488-1)*100),"NA",IF(((BS488/BK488-1)*100)&gt;100,"NM",IF(((BS488/BK488-1)*100)&lt;-50,"NM",(BS488/BK488-1)*100)))</f>
        <v>-16.299801893022259</v>
      </c>
      <c r="BU488" s="69">
        <f>BU482-BU486/0.65</f>
        <v>-58.861538461538473</v>
      </c>
      <c r="BV488" s="61">
        <f t="shared" ref="BV488" si="2537">IF(ISERROR((BU488/BM488-1)*100),"NA",IF(((BU488/BM488-1)*100)&gt;100,"NM",IF(((BU488/BM488-1)*100)&lt;-50,"NM",(BU488/BM488-1)*100)))</f>
        <v>-5.6822383828422858</v>
      </c>
      <c r="BW488" s="69">
        <f>BW482-BW486/0.65</f>
        <v>-116.35384615384616</v>
      </c>
      <c r="BX488" s="61" t="str">
        <f t="shared" ref="BX488" si="2538">IF(ISERROR((BW488/BO488-1)*100),"NA",IF(((BW488/BO488-1)*100)&gt;100,"NM",IF(((BW488/BO488-1)*100)&lt;-50,"NM",(BW488/BO488-1)*100)))</f>
        <v>NM</v>
      </c>
      <c r="BY488" s="69">
        <f>BY482-BY486/0.65</f>
        <v>-86.299999999999983</v>
      </c>
      <c r="BZ488" s="61">
        <f t="shared" ref="BZ488" si="2539">IF(ISERROR((BY488/BQ488-1)*100),"NA",IF(((BY488/BQ488-1)*100)&gt;100,"NM",IF(((BY488/BQ488-1)*100)&lt;-50,"NM",(BY488/BQ488-1)*100)))</f>
        <v>26.354319180087792</v>
      </c>
      <c r="CA488" s="69">
        <f>CA482-CA486/0.65</f>
        <v>-54</v>
      </c>
      <c r="CB488" s="61">
        <f t="shared" ref="CB488" si="2540">IF(ISERROR((CA488/BS488-1)*100),"NA",IF(((CA488/BS488-1)*100)&gt;100,"NM",IF(((CA488/BS488-1)*100)&lt;-50,"NM",(CA488/BS488-1)*100)))</f>
        <v>-7.6923076923076872</v>
      </c>
      <c r="CC488" s="69">
        <f>CC482-CC486/0.65</f>
        <v>-50.623076923076908</v>
      </c>
      <c r="CD488" s="61">
        <f t="shared" ref="CD488" si="2541">IF(ISERROR((CC488/BU488-1)*100),"NA",IF(((CC488/BU488-1)*100)&gt;100,"NM",IF(((CC488/BU488-1)*100)&lt;-50,"NM",(CC488/BU488-1)*100)))</f>
        <v>-13.9963408259279</v>
      </c>
      <c r="CE488" s="69">
        <f>CE482-CE486/0.65</f>
        <v>-48.846153846153847</v>
      </c>
      <c r="CF488" s="61" t="str">
        <f t="shared" ref="CF488" si="2542">IF(ISERROR((CE488/BW488-1)*100),"NA",IF(((CE488/BW488-1)*100)&gt;100,"NM",IF(((CE488/BW488-1)*100)&lt;-50,"NM",(CE488/BW488-1)*100)))</f>
        <v>NM</v>
      </c>
      <c r="CG488" s="69">
        <f>CG482-CG486/0.65</f>
        <v>-62.5</v>
      </c>
      <c r="CH488" s="61">
        <f t="shared" ref="CH488" si="2543">IF(ISERROR((CG488/BY488-1)*100),"NA",IF(((CG488/BY488-1)*100)&gt;100,"NM",IF(((CG488/BY488-1)*100)&lt;-50,"NM",(CG488/BY488-1)*100)))</f>
        <v>-27.578215527230576</v>
      </c>
      <c r="CI488" s="69">
        <f>CI482-CI486/0.65</f>
        <v>-55.346153846153847</v>
      </c>
      <c r="CJ488" s="61">
        <f t="shared" ref="CJ488" si="2544">IF(ISERROR((CI488/CA488-1)*100),"NA",IF(((CI488/CA488-1)*100)&gt;100,"NM",IF(((CI488/CA488-1)*100)&lt;-50,"NM",(CI488/CA488-1)*100)))</f>
        <v>2.4928774928774988</v>
      </c>
      <c r="CK488" s="69">
        <f>CK482-CK486/0.65</f>
        <v>-50.623076923076944</v>
      </c>
      <c r="CL488" s="61">
        <f t="shared" ref="CL488" si="2545">IF(ISERROR((CK488/CC488-1)*100),"NA",IF(((CK488/CC488-1)*100)&gt;100,"NM",IF(((CK488/CC488-1)*100)&lt;-50,"NM",(CK488/CC488-1)*100)))</f>
        <v>6.6613381477509392E-14</v>
      </c>
      <c r="CM488" s="69">
        <f>CM482-CM486/0.65</f>
        <v>-57.900000000000006</v>
      </c>
      <c r="CN488" s="61">
        <f t="shared" ref="CN488" si="2546">IF(ISERROR((CM488/CE488-1)*100),"NA",IF(((CM488/CE488-1)*100)&gt;100,"NM",IF(((CM488/CE488-1)*100)&lt;-50,"NM",(CM488/CE488-1)*100)))</f>
        <v>18.535433070866159</v>
      </c>
      <c r="CO488" s="69">
        <f>CO482-CO486/0.65</f>
        <v>-56.538461538461533</v>
      </c>
      <c r="CP488" s="61">
        <f t="shared" ref="CP488" si="2547">IF(ISERROR((CO488/CG488-1)*100),"NA",IF(((CO488/CG488-1)*100)&gt;100,"NM",IF(((CO488/CG488-1)*100)&lt;-50,"NM",(CO488/CG488-1)*100)))</f>
        <v>-9.5384615384615508</v>
      </c>
      <c r="CQ488" s="69">
        <f>CQ482-CQ486/0.65</f>
        <v>-42.53846153846154</v>
      </c>
      <c r="CR488" s="61">
        <f t="shared" ref="CR488" si="2548">IF(ISERROR((CQ488/CI488-1)*100),"NA",IF(((CQ488/CI488-1)*100)&gt;100,"NM",IF(((CQ488/CI488-1)*100)&lt;-50,"NM",(CQ488/CI488-1)*100)))</f>
        <v>-23.141070187630298</v>
      </c>
      <c r="CS488" s="69">
        <f>CS482-CS486/0.65</f>
        <v>-55.230769230769234</v>
      </c>
      <c r="CT488" s="61">
        <f t="shared" ref="CT488" si="2549">IF(ISERROR((CS488/CK488-1)*100),"NA",IF(((CS488/CK488-1)*100)&gt;100,"NM",IF(((CS488/CK488-1)*100)&lt;-50,"NM",(CS488/CK488-1)*100)))</f>
        <v>9.1019601884211774</v>
      </c>
      <c r="CU488" s="69">
        <f>CU482-CU486/0.65</f>
        <v>-57</v>
      </c>
      <c r="CV488" s="61">
        <f t="shared" ref="CV488" si="2550">IF(ISERROR((CU488/CM488-1)*100),"NA",IF(((CU488/CM488-1)*100)&gt;100,"NM",IF(((CU488/CM488-1)*100)&lt;-50,"NM",(CU488/CM488-1)*100)))</f>
        <v>-1.5544041450777257</v>
      </c>
      <c r="CW488" s="69">
        <f>CW482-CW486/0.65</f>
        <v>-43.307692307692307</v>
      </c>
      <c r="CX488" s="61">
        <f t="shared" ref="CX488" si="2551">IF(ISERROR((CW488/CO488-1)*100),"NA",IF(((CW488/CO488-1)*100)&gt;100,"NM",IF(((CW488/CO488-1)*100)&lt;-50,"NM",(CW488/CO488-1)*100)))</f>
        <v>-23.401360544217688</v>
      </c>
      <c r="CY488" s="69">
        <f>CY482-CY486/0.65</f>
        <v>-133.61538461538461</v>
      </c>
      <c r="CZ488" s="61" t="str">
        <f t="shared" ref="CZ488" si="2552">IF(ISERROR((CY488/CQ488-1)*100),"NA",IF(((CY488/CQ488-1)*100)&gt;100,"NM",IF(((CY488/CQ488-1)*100)&lt;-50,"NM",(CY488/CQ488-1)*100)))</f>
        <v>NM</v>
      </c>
      <c r="DA488" s="69">
        <f>DA482-DA486/0.65</f>
        <v>-59.307692307692307</v>
      </c>
      <c r="DB488" s="61">
        <f t="shared" ref="DB488" si="2553">IF(ISERROR((DA488/CS488-1)*100),"NA",IF(((DA488/CS488-1)*100)&gt;100,"NM",IF(((DA488/CS488-1)*100)&lt;-50,"NM",(DA488/CS488-1)*100)))</f>
        <v>7.3816155988857934</v>
      </c>
      <c r="DC488" s="69">
        <f>DC482-DC486/0.65</f>
        <v>-43.692307692307693</v>
      </c>
      <c r="DD488" s="61">
        <f t="shared" ref="DD488" si="2554">IF(ISERROR((DC488/CU488-1)*100),"NA",IF(((DC488/CU488-1)*100)&gt;100,"NM",IF(((DC488/CU488-1)*100)&lt;-50,"NM",(DC488/CU488-1)*100)))</f>
        <v>-23.346828609986503</v>
      </c>
      <c r="DE488" s="69">
        <f>DE482-DE486/0.65</f>
        <v>-61</v>
      </c>
      <c r="DF488" s="61">
        <f t="shared" ref="DF488" si="2555">IF(ISERROR((DE488/CW488-1)*100),"NA",IF(((DE488/CW488-1)*100)&gt;100,"NM",IF(((DE488/CW488-1)*100)&lt;-50,"NM",(DE488/CW488-1)*100)))</f>
        <v>40.852575488454711</v>
      </c>
      <c r="DG488" s="69">
        <f>DG482-DG486/0.65</f>
        <v>-51.230769230769226</v>
      </c>
      <c r="DH488" s="61" t="str">
        <f t="shared" ref="DH488" si="2556">IF(ISERROR((DG488/CY488-1)*100),"NA",IF(((DG488/CY488-1)*100)&gt;100,"NM",IF(((DG488/CY488-1)*100)&lt;-50,"NM",(DG488/CY488-1)*100)))</f>
        <v>NM</v>
      </c>
      <c r="DI488" s="69">
        <f>DI482-DI486/0.65</f>
        <v>-47.846153846153847</v>
      </c>
      <c r="DJ488" s="61">
        <f t="shared" ref="DJ488" si="2557">IF(ISERROR((DI488/DA488-1)*100),"NA",IF(((DI488/DA488-1)*100)&gt;100,"NM",IF(((DI488/DA488-1)*100)&lt;-50,"NM",(DI488/DA488-1)*100)))</f>
        <v>-19.325551232166017</v>
      </c>
      <c r="DK488" s="69">
        <f>DK482-DK486/0.65</f>
        <v>-46</v>
      </c>
      <c r="DL488" s="61">
        <f t="shared" ref="DL488" si="2558">IF(ISERROR((DK488/DC488-1)*100),"NA",IF(((DK488/DC488-1)*100)&gt;100,"NM",IF(((DK488/DC488-1)*100)&lt;-50,"NM",(DK488/DC488-1)*100)))</f>
        <v>5.2816901408450745</v>
      </c>
      <c r="DM488" s="69">
        <f>DM482-DM486/0.65</f>
        <v>-43.230769230769226</v>
      </c>
      <c r="DN488" s="61">
        <f t="shared" si="2477"/>
        <v>-29.129886506935698</v>
      </c>
      <c r="DO488" s="69">
        <f>DO482-DO486/0.65</f>
        <v>-45</v>
      </c>
      <c r="DP488" s="61">
        <f t="shared" si="2477"/>
        <v>-12.16216216216216</v>
      </c>
      <c r="DQ488" s="69">
        <f>DQ482-DQ486/0.65</f>
        <v>-40</v>
      </c>
      <c r="DR488" s="61">
        <f t="shared" si="2477"/>
        <v>-16.398713826366563</v>
      </c>
      <c r="DS488" s="69">
        <f>DS482-DS486/0.65</f>
        <v>-44</v>
      </c>
      <c r="DT488" s="61">
        <f t="shared" si="2477"/>
        <v>-4.3478260869565188</v>
      </c>
      <c r="DU488" s="69">
        <f>DU482-DU486/0.65</f>
        <v>-46.692307692307693</v>
      </c>
      <c r="DV488" s="61">
        <f t="shared" si="2477"/>
        <v>8.0071174377224441</v>
      </c>
      <c r="DW488" s="69">
        <f>DW482-DW486/0.65</f>
        <v>-47.61538461538462</v>
      </c>
      <c r="DX488" s="69">
        <f t="shared" ref="DX488:DY488" si="2559">DX482-DX486/0.65</f>
        <v>-47.61538461538462</v>
      </c>
      <c r="DY488" s="69">
        <f t="shared" si="2559"/>
        <v>-45</v>
      </c>
      <c r="DZ488" s="61">
        <f t="shared" si="2477"/>
        <v>12.5</v>
      </c>
      <c r="EA488" s="69">
        <f t="shared" ref="EA488:EC488" si="2560">EA482-EA486/0.65</f>
        <v>-27</v>
      </c>
      <c r="EB488" s="61">
        <f t="shared" si="2480"/>
        <v>-38.636363636363633</v>
      </c>
      <c r="EC488" s="69">
        <f t="shared" si="2560"/>
        <v>-46</v>
      </c>
      <c r="ED488" s="61">
        <f t="shared" si="2481"/>
        <v>-1.4827018121911006</v>
      </c>
      <c r="EE488" s="69">
        <f t="shared" ref="EE488:EG488" si="2561">EE482-EE486/0.65</f>
        <v>-73.15384615384616</v>
      </c>
      <c r="EF488" s="61">
        <f t="shared" si="2483"/>
        <v>53.634894991922444</v>
      </c>
      <c r="EG488" s="69">
        <f t="shared" si="2561"/>
        <v>-72</v>
      </c>
      <c r="EH488" s="61">
        <f t="shared" si="2484"/>
        <v>60.000000000000007</v>
      </c>
      <c r="EI488" s="69">
        <f t="shared" ref="EI488:EK488" si="2562">EI482-EI486/0.65</f>
        <v>-41</v>
      </c>
      <c r="EJ488" s="61">
        <f t="shared" si="2486"/>
        <v>51.851851851851862</v>
      </c>
      <c r="EK488" s="69">
        <f t="shared" si="2562"/>
        <v>-63</v>
      </c>
      <c r="EL488" s="61">
        <f t="shared" si="2488"/>
        <v>36.956521739130444</v>
      </c>
      <c r="EM488" s="69">
        <f t="shared" ref="EM488" si="2563">EM482-EM486/0.65</f>
        <v>-100</v>
      </c>
      <c r="EN488" s="61">
        <f t="shared" si="2489"/>
        <v>36.698212407991583</v>
      </c>
      <c r="EO488" s="69">
        <f t="shared" ref="EO488" si="2564">EO482-EO486/0.65</f>
        <v>-63</v>
      </c>
      <c r="EP488" s="61">
        <f t="shared" si="2491"/>
        <v>-12.5</v>
      </c>
      <c r="EQ488" s="69">
        <f t="shared" ref="EQ488:EW488" si="2565">EQ482-EQ486/0.65</f>
        <v>-72.035000000000011</v>
      </c>
      <c r="ER488" s="61">
        <f t="shared" si="2493"/>
        <v>75.695121951219548</v>
      </c>
      <c r="ES488" s="69">
        <f t="shared" si="2565"/>
        <v>-71.693300000000022</v>
      </c>
      <c r="ET488" s="61">
        <f t="shared" si="2494"/>
        <v>13.798888888888916</v>
      </c>
      <c r="EU488" s="69">
        <f t="shared" si="2565"/>
        <v>-71.349891500000027</v>
      </c>
      <c r="EV488" s="61">
        <f t="shared" si="2495"/>
        <v>-28.65010849999997</v>
      </c>
      <c r="EW488" s="69">
        <f t="shared" si="2565"/>
        <v>-71.004765957500041</v>
      </c>
      <c r="EX488" s="61">
        <f t="shared" si="2496"/>
        <v>12.705977710317518</v>
      </c>
      <c r="EY488" s="69"/>
      <c r="EZ488" s="558"/>
      <c r="FA488" s="69"/>
      <c r="FB488" s="69"/>
      <c r="FC488" s="124"/>
      <c r="FD488" s="69"/>
      <c r="FE488" s="126"/>
      <c r="FF488" s="69"/>
      <c r="FG488" s="126"/>
      <c r="FH488" s="69"/>
      <c r="FI488" s="126"/>
      <c r="FJ488" s="69"/>
      <c r="FK488" s="126"/>
      <c r="FL488" s="69"/>
      <c r="FM488" s="126"/>
      <c r="FN488" s="69">
        <f>FN482-FN486/0.65</f>
        <v>0</v>
      </c>
      <c r="FO488" s="126"/>
      <c r="FP488" s="69">
        <f>FP482-FP486/0.65</f>
        <v>-62.57692307692308</v>
      </c>
      <c r="FQ488" s="61" t="str">
        <f t="shared" si="2497"/>
        <v>NA</v>
      </c>
      <c r="FR488" s="69">
        <f>FR482-FR486/0.65</f>
        <v>-165.29999999999993</v>
      </c>
      <c r="FS488" s="61" t="str">
        <f t="shared" ref="FS488" si="2566">IF(ISERROR((FR488/FP488-1)*100),"NA",IF(((FR488/FP488-1)*100)&gt;100,"NM",IF(((FR488/FP488-1)*100)&lt;-50,"NM",(FR488/FP488-1)*100)))</f>
        <v>NM</v>
      </c>
      <c r="FT488" s="69">
        <f>FT482-FT486/0.65</f>
        <v>-253.39999999999986</v>
      </c>
      <c r="FU488" s="61">
        <f t="shared" ref="FU488" si="2567">IF(ISERROR((FT488/FR488-1)*100),"NA",IF(((FT488/FR488-1)*100)&gt;100,"NM",IF(((FT488/FR488-1)*100)&lt;-50,"NM",(FT488/FR488-1)*100)))</f>
        <v>53.297035692679962</v>
      </c>
      <c r="FV488" s="69">
        <f>FV482-FV486/0.65</f>
        <v>-243.00769230769237</v>
      </c>
      <c r="FW488" s="61">
        <f t="shared" ref="FW488" si="2568">IF(ISERROR((FV488/FT488-1)*100),"NA",IF(((FV488/FT488-1)*100)&gt;100,"NM",IF(((FV488/FT488-1)*100)&lt;-50,"NM",(FV488/FT488-1)*100)))</f>
        <v>-4.1011474713131379</v>
      </c>
      <c r="FX488" s="69">
        <f>FX482-FX486/0.65</f>
        <v>-307.27692307692303</v>
      </c>
      <c r="FY488" s="61">
        <f t="shared" ref="FY488" si="2569">IF(ISERROR((FX488/FV488-1)*100),"NA",IF(((FX488/FV488-1)*100)&gt;100,"NM",IF(((FX488/FV488-1)*100)&lt;-50,"NM",(FX488/FV488-1)*100)))</f>
        <v>26.447405906745548</v>
      </c>
      <c r="FZ488" s="69">
        <f>FZ482-FZ486/0.65</f>
        <v>-217.3153846153846</v>
      </c>
      <c r="GA488" s="61">
        <f t="shared" ref="GA488" si="2570">IF(ISERROR((FZ488/FX488-1)*100),"NA",IF(((FZ488/FX488-1)*100)&gt;100,"NM",IF(((FZ488/FX488-1)*100)&lt;-50,"NM",(FZ488/FX488-1)*100)))</f>
        <v>-29.277023982376203</v>
      </c>
      <c r="GB488" s="69">
        <f>GB482-GB486/0.65</f>
        <v>-212.20769230769241</v>
      </c>
      <c r="GC488" s="61">
        <f t="shared" ref="GC488" si="2571">IF(ISERROR((GB488/FZ488-1)*100),"NA",IF(((GB488/FZ488-1)*100)&gt;100,"NM",IF(((GB488/FZ488-1)*100)&lt;-50,"NM",(GB488/FZ488-1)*100)))</f>
        <v>-2.3503592793174932</v>
      </c>
      <c r="GD488" s="69">
        <f>GD482-GD486/0.65</f>
        <v>-293.23076923076923</v>
      </c>
      <c r="GE488" s="61">
        <f t="shared" si="2504"/>
        <v>38.181027295465178</v>
      </c>
      <c r="GF488" s="69">
        <f>GF482-GF486/0.65</f>
        <v>-203.76923076923077</v>
      </c>
      <c r="GG488" s="61">
        <f t="shared" si="2504"/>
        <v>-30.50891920251836</v>
      </c>
      <c r="GH488" s="69">
        <f>GH482-GH486/0.65</f>
        <v>-174.23076923076923</v>
      </c>
      <c r="GI488" s="61">
        <f t="shared" si="2504"/>
        <v>-14.496036240090604</v>
      </c>
      <c r="GJ488" s="69">
        <f>GJ482-GJ486/0.65</f>
        <v>-183.30769230769232</v>
      </c>
      <c r="GK488" s="61">
        <f t="shared" si="2504"/>
        <v>5.2097130242825695</v>
      </c>
      <c r="GL488" s="69">
        <f>GL482-GL486/0.65</f>
        <v>-218.15384615384616</v>
      </c>
      <c r="GM488" s="61">
        <f t="shared" si="2504"/>
        <v>19.009651699538388</v>
      </c>
      <c r="GN488" s="69">
        <f>GN482-GN486/0.65</f>
        <v>-267</v>
      </c>
      <c r="GO488" s="61">
        <f t="shared" si="2504"/>
        <v>22.39069111424541</v>
      </c>
      <c r="GP488" s="69">
        <f>GP482-GP486/0.65</f>
        <v>-286.08295745750013</v>
      </c>
      <c r="GQ488" s="61">
        <f t="shared" si="2504"/>
        <v>7.1471750777154064</v>
      </c>
      <c r="GR488" s="69">
        <f>GR482-GR486/0.65</f>
        <v>-250.88878703207507</v>
      </c>
      <c r="GS488" s="61">
        <f t="shared" si="2504"/>
        <v>-12.30208563914662</v>
      </c>
      <c r="GT488" s="69">
        <f>GT482-GT486/0.65</f>
        <v>-157.7348506430373</v>
      </c>
      <c r="GU488" s="61">
        <f t="shared" si="2504"/>
        <v>-37.129573422158735</v>
      </c>
      <c r="GV488" s="69">
        <f>GV482-GV486/0.65</f>
        <v>-154.43438416232846</v>
      </c>
      <c r="GW488" s="61">
        <f t="shared" si="2504"/>
        <v>-2.0924142427965919</v>
      </c>
      <c r="GX488" s="69">
        <f>GX482-GX486/0.65</f>
        <v>-150.98195344719835</v>
      </c>
      <c r="GY488" s="61">
        <f t="shared" si="2505"/>
        <v>-2.2355324132359078</v>
      </c>
      <c r="GZ488" s="61">
        <f t="shared" si="2388"/>
        <v>-10.775780880631514</v>
      </c>
      <c r="HA488" s="61"/>
      <c r="HB488" s="452"/>
      <c r="HC488"/>
      <c r="HD488"/>
      <c r="HE488"/>
      <c r="HF488"/>
      <c r="HG488"/>
      <c r="HH488"/>
    </row>
    <row r="489" spans="1:216" s="275" customFormat="1" ht="12.75" customHeight="1" x14ac:dyDescent="0.2">
      <c r="B489" s="136"/>
      <c r="C489" s="218"/>
      <c r="D489" s="276"/>
      <c r="E489" s="218"/>
      <c r="F489" s="277"/>
      <c r="G489" s="218"/>
      <c r="H489" s="277"/>
      <c r="I489" s="218"/>
      <c r="J489" s="278"/>
      <c r="K489" s="218"/>
      <c r="L489" s="80"/>
      <c r="M489" s="218"/>
      <c r="N489" s="80"/>
      <c r="O489" s="218"/>
      <c r="P489" s="80"/>
      <c r="Q489" s="218"/>
      <c r="R489" s="80"/>
      <c r="S489" s="218"/>
      <c r="T489" s="80"/>
      <c r="U489" s="218"/>
      <c r="V489" s="80"/>
      <c r="W489" s="218"/>
      <c r="X489" s="80"/>
      <c r="Y489" s="218"/>
      <c r="Z489" s="80"/>
      <c r="AA489" s="218"/>
      <c r="AB489" s="80"/>
      <c r="AC489" s="218"/>
      <c r="AD489" s="80"/>
      <c r="AE489" s="218"/>
      <c r="AF489" s="80"/>
      <c r="AG489" s="218"/>
      <c r="AH489" s="80"/>
      <c r="AI489" s="218"/>
      <c r="AJ489" s="80"/>
      <c r="AK489" s="218"/>
      <c r="AL489" s="80"/>
      <c r="AM489" s="218"/>
      <c r="AN489" s="80"/>
      <c r="AO489" s="218"/>
      <c r="AP489" s="80"/>
      <c r="AQ489" s="218"/>
      <c r="AR489" s="80"/>
      <c r="AS489" s="218"/>
      <c r="AT489" s="80"/>
      <c r="AU489" s="218"/>
      <c r="AV489" s="80"/>
      <c r="AW489" s="218"/>
      <c r="AX489" s="80"/>
      <c r="AY489" s="218"/>
      <c r="AZ489" s="80"/>
      <c r="BA489" s="218"/>
      <c r="BB489" s="80"/>
      <c r="BC489" s="218"/>
      <c r="BD489" s="80"/>
      <c r="BE489" s="218"/>
      <c r="BF489" s="80"/>
      <c r="BG489" s="218"/>
      <c r="BH489" s="80"/>
      <c r="BI489" s="218"/>
      <c r="BJ489" s="80"/>
      <c r="BK489" s="218"/>
      <c r="BL489" s="80"/>
      <c r="BM489" s="218"/>
      <c r="BN489" s="80"/>
      <c r="BO489" s="218"/>
      <c r="BP489" s="80"/>
      <c r="BQ489" s="218"/>
      <c r="BR489" s="80"/>
      <c r="BS489" s="218"/>
      <c r="BT489" s="80"/>
      <c r="BU489" s="218"/>
      <c r="BV489" s="80"/>
      <c r="BW489" s="218"/>
      <c r="BX489" s="80"/>
      <c r="BY489" s="218"/>
      <c r="BZ489" s="80"/>
      <c r="CA489" s="218"/>
      <c r="CB489" s="80"/>
      <c r="CC489" s="218"/>
      <c r="CD489" s="80"/>
      <c r="CE489" s="218"/>
      <c r="CF489" s="80"/>
      <c r="CG489" s="218"/>
      <c r="CH489" s="80"/>
      <c r="CI489" s="218"/>
      <c r="CJ489" s="80"/>
      <c r="CK489" s="218"/>
      <c r="CL489" s="80"/>
      <c r="CM489" s="218"/>
      <c r="CN489" s="80"/>
      <c r="CO489" s="218"/>
      <c r="CP489" s="80"/>
      <c r="CQ489" s="218"/>
      <c r="CR489" s="80"/>
      <c r="CS489" s="218"/>
      <c r="CT489" s="80"/>
      <c r="CU489" s="218"/>
      <c r="CV489" s="80"/>
      <c r="CW489" s="218"/>
      <c r="CX489" s="80"/>
      <c r="CY489" s="218"/>
      <c r="CZ489" s="80"/>
      <c r="DA489" s="218"/>
      <c r="DB489" s="80"/>
      <c r="DC489" s="218"/>
      <c r="DD489" s="80"/>
      <c r="DE489" s="218"/>
      <c r="DF489" s="80"/>
      <c r="DG489" s="218"/>
      <c r="DH489" s="80"/>
      <c r="DI489" s="218"/>
      <c r="DJ489" s="80"/>
      <c r="DK489" s="218"/>
      <c r="DL489" s="80"/>
      <c r="DM489" s="218"/>
      <c r="DN489" s="80"/>
      <c r="DO489" s="218"/>
      <c r="DP489" s="80"/>
      <c r="DQ489" s="218"/>
      <c r="DR489" s="80"/>
      <c r="DS489" s="218"/>
      <c r="DT489" s="80"/>
      <c r="DU489" s="218"/>
      <c r="DV489" s="80"/>
      <c r="DW489" s="218"/>
      <c r="DX489" s="218"/>
      <c r="DY489" s="218"/>
      <c r="DZ489" s="80"/>
      <c r="EA489" s="218"/>
      <c r="EB489" s="80"/>
      <c r="EC489" s="218"/>
      <c r="ED489" s="80"/>
      <c r="EE489" s="218"/>
      <c r="EF489" s="80"/>
      <c r="EG489" s="218"/>
      <c r="EH489" s="80"/>
      <c r="EI489" s="218"/>
      <c r="EJ489" s="80"/>
      <c r="EK489" s="218"/>
      <c r="EL489" s="80"/>
      <c r="EM489" s="218"/>
      <c r="EN489" s="80"/>
      <c r="EO489" s="218"/>
      <c r="EP489" s="80"/>
      <c r="EQ489" s="218"/>
      <c r="ER489" s="80"/>
      <c r="ES489" s="218"/>
      <c r="ET489" s="80"/>
      <c r="EU489" s="218"/>
      <c r="EV489" s="80"/>
      <c r="EW489" s="218"/>
      <c r="EX489" s="80"/>
      <c r="EY489" s="277"/>
      <c r="EZ489" s="558"/>
      <c r="FA489" s="277"/>
      <c r="FB489" s="218"/>
      <c r="FC489" s="277"/>
      <c r="FD489" s="218"/>
      <c r="FE489" s="78"/>
      <c r="FF489" s="218"/>
      <c r="FG489" s="78"/>
      <c r="FH489" s="218"/>
      <c r="FI489" s="78"/>
      <c r="FJ489" s="218"/>
      <c r="FK489" s="78"/>
      <c r="FL489" s="218"/>
      <c r="FM489" s="80"/>
      <c r="FN489" s="218"/>
      <c r="FO489" s="80"/>
      <c r="FP489" s="159"/>
      <c r="FQ489" s="80"/>
      <c r="FR489" s="159"/>
      <c r="FS489" s="61"/>
      <c r="FT489" s="159"/>
      <c r="FU489" s="61"/>
      <c r="FV489" s="159"/>
      <c r="FW489" s="61"/>
      <c r="FX489" s="159"/>
      <c r="FY489" s="61"/>
      <c r="FZ489" s="159"/>
      <c r="GA489" s="61"/>
      <c r="GB489" s="159"/>
      <c r="GC489" s="61"/>
      <c r="GD489" s="159"/>
      <c r="GE489" s="61"/>
      <c r="GF489" s="159"/>
      <c r="GG489" s="61"/>
      <c r="GH489" s="159"/>
      <c r="GI489" s="61"/>
      <c r="GJ489" s="159"/>
      <c r="GK489" s="61"/>
      <c r="GL489" s="159"/>
      <c r="GM489" s="61"/>
      <c r="GN489" s="159"/>
      <c r="GO489" s="61"/>
      <c r="GP489" s="159"/>
      <c r="GQ489" s="61"/>
      <c r="GR489" s="218"/>
      <c r="GS489" s="61"/>
      <c r="GT489" s="218"/>
      <c r="GU489" s="61"/>
      <c r="GV489" s="218"/>
      <c r="GW489" s="61"/>
      <c r="GX489" s="218"/>
      <c r="GY489" s="61"/>
      <c r="GZ489" s="61" t="str">
        <f t="shared" si="2388"/>
        <v/>
      </c>
      <c r="HA489" s="61"/>
      <c r="HB489" s="452"/>
      <c r="HC489"/>
      <c r="HD489"/>
      <c r="HE489"/>
      <c r="HF489"/>
      <c r="HG489"/>
      <c r="HH489"/>
    </row>
    <row r="490" spans="1:216" s="623" customFormat="1" ht="12.75" customHeight="1" x14ac:dyDescent="0.2">
      <c r="B490" s="624" t="s">
        <v>53</v>
      </c>
      <c r="C490" s="625"/>
      <c r="D490" s="626"/>
      <c r="E490" s="625"/>
      <c r="F490" s="625"/>
      <c r="G490" s="625"/>
      <c r="H490" s="625"/>
      <c r="I490" s="625"/>
      <c r="J490" s="625"/>
      <c r="K490" s="625"/>
      <c r="L490" s="627"/>
      <c r="M490" s="625"/>
      <c r="N490" s="627"/>
      <c r="O490" s="625"/>
      <c r="P490" s="627"/>
      <c r="Q490" s="625"/>
      <c r="R490" s="627"/>
      <c r="S490" s="625"/>
      <c r="T490" s="627"/>
      <c r="U490" s="625"/>
      <c r="V490" s="627"/>
      <c r="W490" s="625"/>
      <c r="X490" s="627"/>
      <c r="Y490" s="625"/>
      <c r="Z490" s="627"/>
      <c r="AA490" s="625"/>
      <c r="AB490" s="627"/>
      <c r="AC490" s="625"/>
      <c r="AD490" s="627"/>
      <c r="AE490" s="625"/>
      <c r="AF490" s="627"/>
      <c r="AG490" s="625"/>
      <c r="AH490" s="627"/>
      <c r="AI490" s="625"/>
      <c r="AJ490" s="627"/>
      <c r="AK490" s="625"/>
      <c r="AL490" s="627"/>
      <c r="AM490" s="625"/>
      <c r="AN490" s="627"/>
      <c r="AO490" s="625"/>
      <c r="AP490" s="627"/>
      <c r="AQ490" s="625"/>
      <c r="AR490" s="627"/>
      <c r="AS490" s="625"/>
      <c r="AT490" s="627"/>
      <c r="AU490" s="625"/>
      <c r="AV490" s="627"/>
      <c r="AW490" s="625"/>
      <c r="AX490" s="627"/>
      <c r="AY490" s="625"/>
      <c r="AZ490" s="627"/>
      <c r="BA490" s="625"/>
      <c r="BB490" s="627"/>
      <c r="BC490" s="625"/>
      <c r="BD490" s="627"/>
      <c r="BE490" s="625"/>
      <c r="BF490" s="627"/>
      <c r="BG490" s="625"/>
      <c r="BH490" s="627"/>
      <c r="BI490" s="625"/>
      <c r="BJ490" s="627"/>
      <c r="BK490" s="625"/>
      <c r="BL490" s="627"/>
      <c r="BM490" s="625"/>
      <c r="BN490" s="627"/>
      <c r="BO490" s="625"/>
      <c r="BP490" s="627"/>
      <c r="BQ490" s="625"/>
      <c r="BR490" s="627"/>
      <c r="BS490" s="625"/>
      <c r="BT490" s="627"/>
      <c r="BU490" s="625"/>
      <c r="BV490" s="627"/>
      <c r="BW490" s="625"/>
      <c r="BX490" s="627"/>
      <c r="BY490" s="625"/>
      <c r="BZ490" s="627"/>
      <c r="CA490" s="625"/>
      <c r="CB490" s="627"/>
      <c r="CC490" s="625"/>
      <c r="CD490" s="627"/>
      <c r="CE490" s="625"/>
      <c r="CF490" s="627"/>
      <c r="CG490" s="625"/>
      <c r="CH490" s="627"/>
      <c r="CI490" s="625"/>
      <c r="CJ490" s="627"/>
      <c r="CK490" s="625"/>
      <c r="CL490" s="627"/>
      <c r="CM490" s="625"/>
      <c r="CN490" s="627"/>
      <c r="CO490" s="625"/>
      <c r="CP490" s="627"/>
      <c r="CQ490" s="625"/>
      <c r="CR490" s="627"/>
      <c r="CS490" s="625"/>
      <c r="CT490" s="627"/>
      <c r="CU490" s="625"/>
      <c r="CV490" s="627"/>
      <c r="CW490" s="625"/>
      <c r="CX490" s="627"/>
      <c r="CY490" s="625"/>
      <c r="CZ490" s="627"/>
      <c r="DA490" s="625"/>
      <c r="DB490" s="627"/>
      <c r="DC490" s="625"/>
      <c r="DD490" s="627"/>
      <c r="DE490" s="625"/>
      <c r="DF490" s="627"/>
      <c r="DG490" s="625"/>
      <c r="DH490" s="627"/>
      <c r="DI490" s="625"/>
      <c r="DJ490" s="627"/>
      <c r="DK490" s="625"/>
      <c r="DL490" s="627"/>
      <c r="DM490" s="625"/>
      <c r="DN490" s="627"/>
      <c r="DO490" s="625"/>
      <c r="DP490" s="627"/>
      <c r="DQ490" s="625"/>
      <c r="DR490" s="627"/>
      <c r="DS490" s="625"/>
      <c r="DT490" s="627"/>
      <c r="DU490" s="625"/>
      <c r="DV490" s="627"/>
      <c r="DW490" s="625"/>
      <c r="DX490" s="625"/>
      <c r="DY490" s="625"/>
      <c r="DZ490" s="627"/>
      <c r="EA490" s="625"/>
      <c r="EB490" s="627"/>
      <c r="EC490" s="625"/>
      <c r="ED490" s="627"/>
      <c r="EE490" s="625"/>
      <c r="EF490" s="627"/>
      <c r="EG490" s="625"/>
      <c r="EH490" s="627"/>
      <c r="EI490" s="625"/>
      <c r="EJ490" s="627"/>
      <c r="EK490" s="625"/>
      <c r="EL490" s="627"/>
      <c r="EM490" s="625"/>
      <c r="EN490" s="627"/>
      <c r="EO490" s="625"/>
      <c r="EP490" s="627"/>
      <c r="EQ490" s="625"/>
      <c r="ER490" s="627"/>
      <c r="ES490" s="625"/>
      <c r="ET490" s="627"/>
      <c r="EU490" s="625"/>
      <c r="EV490" s="627"/>
      <c r="EW490" s="625"/>
      <c r="EX490" s="627"/>
      <c r="EY490" s="628"/>
      <c r="EZ490" s="558"/>
      <c r="FA490" s="628"/>
      <c r="FB490" s="625"/>
      <c r="FC490" s="625"/>
      <c r="FD490" s="625"/>
      <c r="FE490" s="626"/>
      <c r="FF490" s="625"/>
      <c r="FG490" s="626"/>
      <c r="FH490" s="625"/>
      <c r="FI490" s="626"/>
      <c r="FJ490" s="625"/>
      <c r="FK490" s="626"/>
      <c r="FL490" s="625"/>
      <c r="FM490" s="627"/>
      <c r="FN490" s="625"/>
      <c r="FO490" s="627"/>
      <c r="FP490" s="625"/>
      <c r="FQ490" s="627"/>
      <c r="FR490" s="625"/>
      <c r="FS490" s="627"/>
      <c r="FT490" s="625"/>
      <c r="FU490" s="627"/>
      <c r="FV490" s="625"/>
      <c r="FW490" s="627"/>
      <c r="FX490" s="625"/>
      <c r="FY490" s="627"/>
      <c r="FZ490" s="625"/>
      <c r="GA490" s="627"/>
      <c r="GB490" s="625"/>
      <c r="GC490" s="627"/>
      <c r="GD490" s="625"/>
      <c r="GE490" s="627"/>
      <c r="GF490" s="625"/>
      <c r="GG490" s="627"/>
      <c r="GH490" s="625"/>
      <c r="GI490" s="627"/>
      <c r="GJ490" s="625"/>
      <c r="GK490" s="627"/>
      <c r="GL490" s="625"/>
      <c r="GM490" s="627"/>
      <c r="GN490" s="625"/>
      <c r="GO490" s="627"/>
      <c r="GP490" s="625"/>
      <c r="GQ490" s="627"/>
      <c r="GR490" s="625"/>
      <c r="GS490" s="627"/>
      <c r="GT490" s="625"/>
      <c r="GU490" s="627"/>
      <c r="GV490" s="625"/>
      <c r="GW490" s="627"/>
      <c r="GX490" s="625"/>
      <c r="GY490" s="627"/>
      <c r="GZ490" s="627"/>
      <c r="HA490" s="627"/>
      <c r="HB490" s="629"/>
      <c r="HC490"/>
      <c r="HD490"/>
      <c r="HE490"/>
      <c r="HF490"/>
      <c r="HG490"/>
      <c r="HH490"/>
    </row>
    <row r="491" spans="1:216" s="5" customFormat="1" ht="12.75" customHeight="1" x14ac:dyDescent="0.2">
      <c r="A491" s="7"/>
      <c r="B491" s="2"/>
      <c r="C491" s="66"/>
      <c r="D491" s="67"/>
      <c r="E491" s="66"/>
      <c r="F491" s="66"/>
      <c r="G491" s="64"/>
      <c r="H491" s="66"/>
      <c r="I491" s="64"/>
      <c r="J491" s="66"/>
      <c r="K491" s="64"/>
      <c r="L491" s="61"/>
      <c r="M491" s="66"/>
      <c r="N491" s="61"/>
      <c r="O491" s="64"/>
      <c r="P491" s="61"/>
      <c r="Q491" s="64"/>
      <c r="R491" s="61"/>
      <c r="S491" s="64"/>
      <c r="T491" s="61"/>
      <c r="U491" s="64"/>
      <c r="V491" s="61"/>
      <c r="W491" s="64"/>
      <c r="X491" s="61"/>
      <c r="Y491" s="64"/>
      <c r="Z491" s="61"/>
      <c r="AA491" s="64"/>
      <c r="AB491" s="61"/>
      <c r="AC491" s="64"/>
      <c r="AD491" s="61"/>
      <c r="AE491" s="64"/>
      <c r="AF491" s="61"/>
      <c r="AG491" s="64"/>
      <c r="AH491" s="61"/>
      <c r="AI491" s="64"/>
      <c r="AJ491" s="61"/>
      <c r="AK491" s="64"/>
      <c r="AL491" s="61"/>
      <c r="AM491" s="64"/>
      <c r="AN491" s="61"/>
      <c r="AO491" s="64"/>
      <c r="AP491" s="61"/>
      <c r="AQ491" s="64"/>
      <c r="AR491" s="61"/>
      <c r="AS491" s="64"/>
      <c r="AT491" s="61"/>
      <c r="AU491" s="64"/>
      <c r="AV491" s="61"/>
      <c r="AW491" s="64"/>
      <c r="AX491" s="61"/>
      <c r="AY491" s="64"/>
      <c r="AZ491" s="61"/>
      <c r="BA491" s="64"/>
      <c r="BB491" s="61"/>
      <c r="BC491" s="64"/>
      <c r="BD491" s="61"/>
      <c r="BE491" s="64"/>
      <c r="BF491" s="61"/>
      <c r="BG491" s="64"/>
      <c r="BH491" s="61"/>
      <c r="BI491" s="64"/>
      <c r="BJ491" s="61"/>
      <c r="BK491" s="64"/>
      <c r="BL491" s="61"/>
      <c r="BM491" s="64"/>
      <c r="BN491" s="61"/>
      <c r="BO491" s="64"/>
      <c r="BP491" s="61"/>
      <c r="BQ491" s="64"/>
      <c r="BR491" s="61"/>
      <c r="BS491" s="64"/>
      <c r="BT491" s="61"/>
      <c r="BU491" s="64"/>
      <c r="BV491" s="61"/>
      <c r="BW491" s="64"/>
      <c r="BX491" s="61"/>
      <c r="BY491" s="64"/>
      <c r="BZ491" s="61"/>
      <c r="CA491" s="455"/>
      <c r="CB491" s="61"/>
      <c r="CC491" s="64"/>
      <c r="CD491" s="61"/>
      <c r="CE491" s="64"/>
      <c r="CF491" s="61"/>
      <c r="CG491" s="64"/>
      <c r="CH491" s="61"/>
      <c r="CI491" s="64"/>
      <c r="CJ491" s="61"/>
      <c r="CK491" s="64"/>
      <c r="CL491" s="61"/>
      <c r="CM491" s="64"/>
      <c r="CN491" s="61"/>
      <c r="CO491" s="64"/>
      <c r="CP491" s="61"/>
      <c r="CQ491" s="64"/>
      <c r="CR491" s="61"/>
      <c r="CS491" s="64"/>
      <c r="CT491" s="61"/>
      <c r="CU491" s="64"/>
      <c r="CV491" s="61"/>
      <c r="CW491" s="64"/>
      <c r="CX491" s="61"/>
      <c r="CY491" s="64"/>
      <c r="CZ491" s="61"/>
      <c r="DA491" s="64"/>
      <c r="DB491" s="61"/>
      <c r="DC491" s="64"/>
      <c r="DD491" s="61"/>
      <c r="DE491" s="64"/>
      <c r="DF491" s="61"/>
      <c r="DG491" s="64"/>
      <c r="DH491" s="61"/>
      <c r="DI491" s="64"/>
      <c r="DJ491" s="61"/>
      <c r="DK491" s="64"/>
      <c r="DL491" s="61"/>
      <c r="DM491" s="64"/>
      <c r="DN491" s="61"/>
      <c r="DO491" s="64"/>
      <c r="DP491" s="61"/>
      <c r="DQ491" s="64"/>
      <c r="DR491" s="61"/>
      <c r="DS491" s="64"/>
      <c r="DT491" s="61"/>
      <c r="DU491" s="64"/>
      <c r="DV491" s="61"/>
      <c r="DW491" s="64"/>
      <c r="DX491" s="64"/>
      <c r="DY491" s="64"/>
      <c r="DZ491" s="61"/>
      <c r="EA491" s="64"/>
      <c r="EB491" s="61"/>
      <c r="EC491" s="64"/>
      <c r="ED491" s="61"/>
      <c r="EE491" s="64"/>
      <c r="EF491" s="61"/>
      <c r="EG491" s="64"/>
      <c r="EH491" s="61"/>
      <c r="EI491" s="64"/>
      <c r="EJ491" s="61"/>
      <c r="EK491" s="64"/>
      <c r="EL491" s="61"/>
      <c r="EM491" s="64"/>
      <c r="EN491" s="61"/>
      <c r="EO491" s="64"/>
      <c r="EP491" s="61"/>
      <c r="EQ491" s="64"/>
      <c r="ER491" s="61"/>
      <c r="ES491" s="64"/>
      <c r="ET491" s="61"/>
      <c r="EU491" s="64"/>
      <c r="EV491" s="61"/>
      <c r="EW491" s="64"/>
      <c r="EX491" s="61"/>
      <c r="EY491" s="66"/>
      <c r="EZ491" s="558"/>
      <c r="FA491" s="66"/>
      <c r="FB491" s="66"/>
      <c r="FC491" s="66"/>
      <c r="FD491" s="66"/>
      <c r="FE491" s="67"/>
      <c r="FF491" s="66"/>
      <c r="FG491" s="67"/>
      <c r="FH491" s="66"/>
      <c r="FI491" s="67"/>
      <c r="FJ491" s="66"/>
      <c r="FK491" s="67"/>
      <c r="FL491" s="66"/>
      <c r="FM491" s="61"/>
      <c r="FN491" s="66"/>
      <c r="FO491" s="61"/>
      <c r="FP491" s="65"/>
      <c r="FQ491" s="61"/>
      <c r="FR491" s="65"/>
      <c r="FS491" s="61"/>
      <c r="FT491" s="65"/>
      <c r="FU491" s="61"/>
      <c r="FV491" s="65"/>
      <c r="FW491" s="61"/>
      <c r="FX491" s="65"/>
      <c r="FY491" s="61"/>
      <c r="FZ491" s="65"/>
      <c r="GA491" s="61"/>
      <c r="GB491" s="65"/>
      <c r="GC491" s="61"/>
      <c r="GD491" s="65"/>
      <c r="GE491" s="61"/>
      <c r="GF491" s="65"/>
      <c r="GG491" s="61"/>
      <c r="GH491" s="65"/>
      <c r="GI491" s="61"/>
      <c r="GJ491" s="65"/>
      <c r="GK491" s="61"/>
      <c r="GL491" s="65"/>
      <c r="GM491" s="61"/>
      <c r="GN491" s="65"/>
      <c r="GO491" s="61"/>
      <c r="GP491" s="65"/>
      <c r="GQ491" s="61"/>
      <c r="GR491" s="64"/>
      <c r="GS491" s="61"/>
      <c r="GT491" s="64"/>
      <c r="GU491" s="61"/>
      <c r="GV491" s="64"/>
      <c r="GW491" s="61"/>
      <c r="GX491" s="64"/>
      <c r="GY491" s="61"/>
      <c r="GZ491" s="61" t="str">
        <f t="shared" ref="GZ491:GZ512" si="2572">IF(ISERROR((GX491/GN491)^0.2),"",IF(OR((GX491/GN491)^0.2&lt;0.5,(GX491/GN491)^0.2&gt;2),"NM",((GX491/GN491)^0.2-1)*100))</f>
        <v/>
      </c>
      <c r="HA491" s="61"/>
      <c r="HB491" s="452"/>
      <c r="HC491"/>
      <c r="HD491"/>
      <c r="HE491"/>
      <c r="HF491"/>
      <c r="HG491"/>
      <c r="HH491"/>
    </row>
    <row r="492" spans="1:216" s="5" customFormat="1" ht="12.75" customHeight="1" x14ac:dyDescent="0.2">
      <c r="A492" s="7"/>
      <c r="B492" s="63" t="s">
        <v>188</v>
      </c>
      <c r="C492" s="66"/>
      <c r="D492" s="67"/>
      <c r="E492" s="66"/>
      <c r="F492" s="66"/>
      <c r="G492" s="64"/>
      <c r="H492" s="66"/>
      <c r="I492" s="64"/>
      <c r="J492" s="66"/>
      <c r="K492" s="64"/>
      <c r="L492" s="61"/>
      <c r="M492" s="66"/>
      <c r="N492" s="61"/>
      <c r="O492" s="64"/>
      <c r="P492" s="61"/>
      <c r="Q492" s="64"/>
      <c r="R492" s="61"/>
      <c r="S492" s="64"/>
      <c r="T492" s="61"/>
      <c r="U492" s="64"/>
      <c r="V492" s="61"/>
      <c r="W492" s="64"/>
      <c r="X492" s="61"/>
      <c r="Y492" s="64"/>
      <c r="Z492" s="61"/>
      <c r="AA492" s="64"/>
      <c r="AB492" s="61"/>
      <c r="AC492" s="64"/>
      <c r="AD492" s="61"/>
      <c r="AE492" s="64"/>
      <c r="AF492" s="61"/>
      <c r="AG492" s="64"/>
      <c r="AH492" s="61"/>
      <c r="AI492" s="64"/>
      <c r="AJ492" s="61"/>
      <c r="AK492" s="64"/>
      <c r="AL492" s="61"/>
      <c r="AM492" s="64"/>
      <c r="AN492" s="61"/>
      <c r="AO492" s="64"/>
      <c r="AP492" s="61"/>
      <c r="AQ492" s="64"/>
      <c r="AR492" s="61"/>
      <c r="AS492" s="64"/>
      <c r="AT492" s="61"/>
      <c r="AU492" s="64"/>
      <c r="AV492" s="61"/>
      <c r="AW492" s="64"/>
      <c r="AX492" s="61"/>
      <c r="AY492" s="64"/>
      <c r="AZ492" s="61"/>
      <c r="BA492" s="64"/>
      <c r="BB492" s="61"/>
      <c r="BC492" s="64"/>
      <c r="BD492" s="61"/>
      <c r="BE492" s="64"/>
      <c r="BF492" s="61"/>
      <c r="BG492" s="64"/>
      <c r="BH492" s="61"/>
      <c r="BI492" s="64"/>
      <c r="BJ492" s="61"/>
      <c r="BK492" s="64"/>
      <c r="BL492" s="61"/>
      <c r="BM492" s="64"/>
      <c r="BN492" s="61"/>
      <c r="BO492" s="64"/>
      <c r="BP492" s="61"/>
      <c r="BQ492" s="64"/>
      <c r="BR492" s="61"/>
      <c r="BS492" s="64"/>
      <c r="BT492" s="61"/>
      <c r="BU492" s="64"/>
      <c r="BV492" s="61"/>
      <c r="BW492" s="64"/>
      <c r="BX492" s="61"/>
      <c r="BY492" s="64"/>
      <c r="BZ492" s="61"/>
      <c r="CA492" s="455"/>
      <c r="CB492" s="61"/>
      <c r="CC492" s="64"/>
      <c r="CD492" s="61"/>
      <c r="CE492" s="64"/>
      <c r="CF492" s="61"/>
      <c r="CG492" s="64"/>
      <c r="CH492" s="61"/>
      <c r="CI492" s="64"/>
      <c r="CJ492" s="61"/>
      <c r="CK492" s="64"/>
      <c r="CL492" s="61"/>
      <c r="CM492" s="64"/>
      <c r="CN492" s="61"/>
      <c r="CO492" s="64"/>
      <c r="CP492" s="61"/>
      <c r="CQ492" s="64"/>
      <c r="CR492" s="61"/>
      <c r="CS492" s="64"/>
      <c r="CT492" s="61"/>
      <c r="CU492" s="64"/>
      <c r="CV492" s="61"/>
      <c r="CW492" s="64"/>
      <c r="CX492" s="61"/>
      <c r="CY492" s="64"/>
      <c r="CZ492" s="61"/>
      <c r="DA492" s="64"/>
      <c r="DB492" s="61"/>
      <c r="DC492" s="64"/>
      <c r="DD492" s="61"/>
      <c r="DE492" s="64"/>
      <c r="DF492" s="61"/>
      <c r="DG492" s="64"/>
      <c r="DH492" s="61"/>
      <c r="DI492" s="64"/>
      <c r="DJ492" s="61"/>
      <c r="DK492" s="64"/>
      <c r="DL492" s="61"/>
      <c r="DM492" s="64"/>
      <c r="DN492" s="61"/>
      <c r="DO492" s="64"/>
      <c r="DP492" s="61"/>
      <c r="DQ492" s="64"/>
      <c r="DR492" s="61"/>
      <c r="DS492" s="64"/>
      <c r="DT492" s="61"/>
      <c r="DU492" s="64"/>
      <c r="DV492" s="61"/>
      <c r="DW492" s="64"/>
      <c r="DX492" s="64"/>
      <c r="DY492" s="64"/>
      <c r="DZ492" s="61"/>
      <c r="EA492" s="64"/>
      <c r="EB492" s="61"/>
      <c r="EC492" s="64"/>
      <c r="ED492" s="61"/>
      <c r="EE492" s="64"/>
      <c r="EF492" s="61"/>
      <c r="EG492" s="64"/>
      <c r="EH492" s="61"/>
      <c r="EI492" s="64"/>
      <c r="EJ492" s="61"/>
      <c r="EK492" s="64"/>
      <c r="EL492" s="61"/>
      <c r="EM492" s="64"/>
      <c r="EN492" s="61"/>
      <c r="EO492" s="64"/>
      <c r="EP492" s="61"/>
      <c r="EQ492" s="64"/>
      <c r="ER492" s="61"/>
      <c r="ES492" s="64"/>
      <c r="ET492" s="61"/>
      <c r="EU492" s="64"/>
      <c r="EV492" s="61"/>
      <c r="EW492" s="64"/>
      <c r="EX492" s="61"/>
      <c r="EY492" s="66"/>
      <c r="EZ492" s="558"/>
      <c r="FA492" s="66"/>
      <c r="FB492" s="66"/>
      <c r="FC492" s="66"/>
      <c r="FD492" s="66"/>
      <c r="FE492" s="67"/>
      <c r="FF492" s="66"/>
      <c r="FG492" s="67"/>
      <c r="FH492" s="66"/>
      <c r="FI492" s="67"/>
      <c r="FJ492" s="66"/>
      <c r="FK492" s="67"/>
      <c r="FL492" s="66"/>
      <c r="FM492" s="61"/>
      <c r="FN492" s="66"/>
      <c r="FO492" s="61"/>
      <c r="FP492" s="65"/>
      <c r="FQ492" s="61"/>
      <c r="FR492" s="65"/>
      <c r="FS492" s="61"/>
      <c r="FT492" s="65"/>
      <c r="FU492" s="61"/>
      <c r="FV492" s="65"/>
      <c r="FW492" s="61"/>
      <c r="FX492" s="65"/>
      <c r="FY492" s="61"/>
      <c r="FZ492" s="65"/>
      <c r="GA492" s="61"/>
      <c r="GB492" s="65"/>
      <c r="GC492" s="61"/>
      <c r="GD492" s="65"/>
      <c r="GE492" s="61"/>
      <c r="GF492" s="65"/>
      <c r="GG492" s="61"/>
      <c r="GH492" s="65"/>
      <c r="GI492" s="61"/>
      <c r="GJ492" s="65"/>
      <c r="GK492" s="61"/>
      <c r="GL492" s="65"/>
      <c r="GM492" s="61"/>
      <c r="GN492" s="65"/>
      <c r="GO492" s="61"/>
      <c r="GP492" s="65"/>
      <c r="GQ492" s="61"/>
      <c r="GR492" s="64"/>
      <c r="GS492" s="61"/>
      <c r="GT492" s="64"/>
      <c r="GU492" s="61"/>
      <c r="GV492" s="64"/>
      <c r="GW492" s="61"/>
      <c r="GX492" s="64"/>
      <c r="GY492" s="61"/>
      <c r="GZ492" s="61" t="str">
        <f t="shared" si="2572"/>
        <v/>
      </c>
      <c r="HA492" s="61"/>
      <c r="HB492" s="452"/>
      <c r="HC492"/>
      <c r="HD492"/>
      <c r="HE492"/>
      <c r="HF492"/>
      <c r="HG492"/>
      <c r="HH492"/>
    </row>
    <row r="493" spans="1:216" s="5" customFormat="1" ht="12.75" customHeight="1" x14ac:dyDescent="0.2">
      <c r="A493" s="7"/>
      <c r="B493" s="2" t="s">
        <v>352</v>
      </c>
      <c r="C493" s="64">
        <v>184.3</v>
      </c>
      <c r="D493" s="67"/>
      <c r="E493" s="64">
        <v>187.6</v>
      </c>
      <c r="F493" s="66"/>
      <c r="G493" s="64">
        <v>178.8</v>
      </c>
      <c r="H493" s="66"/>
      <c r="I493" s="64">
        <v>203.7</v>
      </c>
      <c r="J493" s="70"/>
      <c r="K493" s="64">
        <v>160</v>
      </c>
      <c r="L493" s="61">
        <f>IF(ISERROR((K493/C493-1)*100),"NA",IF(((K493/C493-1)*100)&gt;100,"NM",IF(((K493/C493-1)*100)&lt;-50,"NM",(K493/C493-1)*100)))</f>
        <v>-13.185024416711888</v>
      </c>
      <c r="M493" s="64">
        <v>169.9</v>
      </c>
      <c r="N493" s="61">
        <f>IF(ISERROR((M493/E493-1)*100),"NA",IF(((M493/E493-1)*100)&gt;100,"NM",IF(((M493/E493-1)*100)&lt;-50,"NM",(M493/E493-1)*100)))</f>
        <v>-9.4349680170575656</v>
      </c>
      <c r="O493" s="64">
        <v>143.6</v>
      </c>
      <c r="P493" s="61">
        <f>IF(ISERROR((O493/G493-1)*100),"NA",IF(((O493/G493-1)*100)&gt;100,"NM",IF(((O493/G493-1)*100)&lt;-50,"NM",(O493/G493-1)*100)))</f>
        <v>-19.686800894854596</v>
      </c>
      <c r="Q493" s="64">
        <v>164.6</v>
      </c>
      <c r="R493" s="61">
        <f>IF(ISERROR((Q493/I493-1)*100),"NA",IF(((Q493/I493-1)*100)&gt;100,"NM",IF(((Q493/I493-1)*100)&lt;-50,"NM",(Q493/I493-1)*100)))</f>
        <v>-19.194894452626411</v>
      </c>
      <c r="S493" s="64">
        <v>148.4</v>
      </c>
      <c r="T493" s="61">
        <f>IF(ISERROR((S493/K493-1)*100),"NA",IF(((S493/K493-1)*100)&gt;100,"NM",IF(((S493/K493-1)*100)&lt;-50,"NM",(S493/K493-1)*100)))</f>
        <v>-7.2500000000000009</v>
      </c>
      <c r="U493" s="64">
        <v>116.5</v>
      </c>
      <c r="V493" s="61">
        <f>IF(ISERROR((U493/M493-1)*100),"NA",IF(((U493/M493-1)*100)&gt;100,"NM",IF(((U493/M493-1)*100)&lt;-50,"NM",(U493/M493-1)*100)))</f>
        <v>-31.430253090052972</v>
      </c>
      <c r="W493" s="64">
        <v>114.5</v>
      </c>
      <c r="X493" s="61">
        <f>IF(ISERROR((W493/O493-1)*100),"NA",IF(((W493/O493-1)*100)&gt;100,"NM",IF(((W493/O493-1)*100)&lt;-50,"NM",(W493/O493-1)*100)))</f>
        <v>-20.264623955431748</v>
      </c>
      <c r="Y493" s="64">
        <v>125.4</v>
      </c>
      <c r="Z493" s="61">
        <f>IF(ISERROR((Y493/Q493-1)*100),"NA",IF(((Y493/Q493-1)*100)&gt;100,"NM",IF(((Y493/Q493-1)*100)&lt;-50,"NM",(Y493/Q493-1)*100)))</f>
        <v>-23.815309842041309</v>
      </c>
      <c r="AA493" s="64">
        <v>109.5</v>
      </c>
      <c r="AB493" s="61">
        <f>IF(ISERROR((AA493/S493-1)*100),"NA",IF(((AA493/S493-1)*100)&gt;100,"NM",IF(((AA493/S493-1)*100)&lt;-50,"NM",(AA493/S493-1)*100)))</f>
        <v>-26.212938005390839</v>
      </c>
      <c r="AC493" s="64">
        <v>115.3</v>
      </c>
      <c r="AD493" s="61">
        <f>IF(ISERROR((AC493/U493-1)*100),"NA",IF(((AC493/U493-1)*100)&gt;100,"NM",IF(((AC493/U493-1)*100)&lt;-50,"NM",(AC493/U493-1)*100)))</f>
        <v>-1.0300429184549431</v>
      </c>
      <c r="AE493" s="64">
        <v>122.3</v>
      </c>
      <c r="AF493" s="61">
        <f>IF(ISERROR((AE493/W493-1)*100),"NA",IF(((AE493/W493-1)*100)&gt;100,"NM",IF(((AE493/W493-1)*100)&lt;-50,"NM",(AE493/W493-1)*100)))</f>
        <v>6.8122270742358104</v>
      </c>
      <c r="AG493" s="64">
        <v>134.9</v>
      </c>
      <c r="AH493" s="61">
        <f>IF(ISERROR((AG493/Y493-1)*100),"NA",IF(((AG493/Y493-1)*100)&gt;100,"NM",IF(((AG493/Y493-1)*100)&lt;-50,"NM",(AG493/Y493-1)*100)))</f>
        <v>7.575757575757569</v>
      </c>
      <c r="AI493" s="64">
        <v>134.69999999999999</v>
      </c>
      <c r="AJ493" s="61">
        <f>IF(ISERROR((AI493/AA493-1)*100),"NA",IF(((AI493/AA493-1)*100)&gt;100,"NM",IF(((AI493/AA493-1)*100)&lt;-50,"NM",(AI493/AA493-1)*100)))</f>
        <v>23.013698630136979</v>
      </c>
      <c r="AK493" s="64">
        <v>141.1</v>
      </c>
      <c r="AL493" s="61">
        <f>IF(ISERROR((AK493/AC493-1)*100),"NA",IF(((AK493/AC493-1)*100)&gt;100,"NM",IF(((AK493/AC493-1)*100)&lt;-50,"NM",(AK493/AC493-1)*100)))</f>
        <v>22.376409366869044</v>
      </c>
      <c r="AM493" s="64">
        <v>165</v>
      </c>
      <c r="AN493" s="61">
        <f>IF(ISERROR((AM493/AE493-1)*100),"NA",IF(((AM493/AE493-1)*100)&gt;100,"NM",IF(((AM493/AE493-1)*100)&lt;-50,"NM",(AM493/AE493-1)*100)))</f>
        <v>34.914145543744901</v>
      </c>
      <c r="AO493" s="64">
        <v>161.19999999999999</v>
      </c>
      <c r="AP493" s="61">
        <f>IF(ISERROR((AO493/AG493-1)*100),"NA",IF(((AO493/AG493-1)*100)&gt;100,"NM",IF(((AO493/AG493-1)*100)&lt;-50,"NM",(AO493/AG493-1)*100)))</f>
        <v>19.495922905856176</v>
      </c>
      <c r="AQ493" s="65">
        <f>+AQ236+AQ82+AQ320+AQ408</f>
        <v>70.569999999999993</v>
      </c>
      <c r="AR493" s="61">
        <f>IF(ISERROR((AQ493/AI493-1)*100),"NA",IF(((AQ493/AI493-1)*100)&gt;100,"NM",IF(((AQ493/AI493-1)*100)&lt;-50,"NM",(AQ493/AI493-1)*100)))</f>
        <v>-47.609502598366738</v>
      </c>
      <c r="AS493" s="65">
        <f>+AS236+AS82+AS320+AS408</f>
        <v>72</v>
      </c>
      <c r="AT493" s="61">
        <f>IF(ISERROR((AS493/AK493-1)*100),"NA",IF(((AS493/AK493-1)*100)&gt;100,"NM",IF(((AS493/AK493-1)*100)&lt;-50,"NM",(AS493/AK493-1)*100)))</f>
        <v>-48.972360028348682</v>
      </c>
      <c r="AU493" s="65">
        <f>+AU236+AU82+AU320+AU408</f>
        <v>82.4</v>
      </c>
      <c r="AV493" s="61" t="str">
        <f>IF(ISERROR((AU493/AM493-1)*100),"NA",IF(((AU493/AM493-1)*100)&gt;100,"NM",IF(((AU493/AM493-1)*100)&lt;-50,"NM",(AU493/AM493-1)*100)))</f>
        <v>NM</v>
      </c>
      <c r="AW493" s="65">
        <f>+AW236+AW82+AW320+AW408</f>
        <v>82.300000000000011</v>
      </c>
      <c r="AX493" s="61">
        <f>IF(ISERROR((AW493/AO493-1)*100),"NA",IF(((AW493/AO493-1)*100)&gt;100,"NM",IF(((AW493/AO493-1)*100)&lt;-50,"NM",(AW493/AO493-1)*100)))</f>
        <v>-48.945409429280382</v>
      </c>
      <c r="AY493" s="65">
        <f>+AY236+AY82+AY320+AY408</f>
        <v>78.100000000000009</v>
      </c>
      <c r="AZ493" s="61">
        <f>IF(ISERROR((AY493/AQ493-1)*100),"NA",IF(((AY493/AQ493-1)*100)&gt;100,"NM",IF(((AY493/AQ493-1)*100)&lt;-50,"NM",(AY493/AQ493-1)*100)))</f>
        <v>10.670256482924788</v>
      </c>
      <c r="BA493" s="65">
        <f>+BA236+BA82+BA320+BA408</f>
        <v>125.1</v>
      </c>
      <c r="BB493" s="61">
        <f>IF(ISERROR((BA493/AS493-1)*100),"NA",IF(((BA493/AS493-1)*100)&gt;100,"NM",IF(((BA493/AS493-1)*100)&lt;-50,"NM",(BA493/AS493-1)*100)))</f>
        <v>73.749999999999986</v>
      </c>
      <c r="BC493" s="65">
        <f>+BC236+BC82+BC320+BC408</f>
        <v>120.69999999999999</v>
      </c>
      <c r="BD493" s="61">
        <f>IF(ISERROR((BC493/AU493-1)*100),"NA",IF(((BC493/AU493-1)*100)&gt;100,"NM",IF(((BC493/AU493-1)*100)&lt;-50,"NM",(BC493/AU493-1)*100)))</f>
        <v>46.480582524271831</v>
      </c>
      <c r="BE493" s="65">
        <f>+BE236+BE82+BE320+BE408</f>
        <v>128.5</v>
      </c>
      <c r="BF493" s="61">
        <f>IF(ISERROR((BE493/AW493-1)*100),"NA",IF(((BE493/AW493-1)*100)&gt;100,"NM",IF(((BE493/AW493-1)*100)&lt;-50,"NM",(BE493/AW493-1)*100)))</f>
        <v>56.136087484811647</v>
      </c>
      <c r="BG493" s="65">
        <f>+BG236+BG82+BG285</f>
        <v>431.8</v>
      </c>
      <c r="BH493" s="61" t="str">
        <f>IF(ISERROR((BG493/AY493-1)*100),"NA",IF(((BG493/AY493-1)*100)&gt;100,"NM",IF(((BG493/AY493-1)*100)&lt;-50,"NM",(BG493/AY493-1)*100)))</f>
        <v>NM</v>
      </c>
      <c r="BI493" s="65">
        <f>+BI236+BI82+BI285</f>
        <v>465.70000000000005</v>
      </c>
      <c r="BJ493" s="61" t="str">
        <f>IF(ISERROR((BI493/BA493-1)*100),"NA",IF(((BI493/BA493-1)*100)&gt;100,"NM",IF(((BI493/BA493-1)*100)&lt;-50,"NM",(BI493/BA493-1)*100)))</f>
        <v>NM</v>
      </c>
      <c r="BK493" s="65">
        <f>+BK236+BK82+BK285</f>
        <v>464</v>
      </c>
      <c r="BL493" s="61" t="str">
        <f>IF(ISERROR((BK493/BC493-1)*100),"NA",IF(((BK493/BC493-1)*100)&gt;100,"NM",IF(((BK493/BC493-1)*100)&lt;-50,"NM",(BK493/BC493-1)*100)))</f>
        <v>NM</v>
      </c>
      <c r="BM493" s="65">
        <f>+BM236+BM82+BM285</f>
        <v>486.29999999999995</v>
      </c>
      <c r="BN493" s="61" t="str">
        <f>IF(ISERROR((BM493/BE493-1)*100),"NA",IF(((BM493/BE493-1)*100)&gt;100,"NM",IF(((BM493/BE493-1)*100)&lt;-50,"NM",(BM493/BE493-1)*100)))</f>
        <v>NM</v>
      </c>
      <c r="BO493" s="65">
        <f>+BO236+BO82+BO285</f>
        <v>488.4</v>
      </c>
      <c r="BP493" s="61">
        <f>IF(ISERROR((BO493/BG493-1)*100),"NA",IF(((BO493/BG493-1)*100)&gt;100,"NM",IF(((BO493/BG493-1)*100)&lt;-50,"NM",(BO493/BG493-1)*100)))</f>
        <v>13.10792033348771</v>
      </c>
      <c r="BQ493" s="65">
        <f>+BQ236+BQ82+BQ285</f>
        <v>501.4</v>
      </c>
      <c r="BR493" s="61">
        <f>IF(ISERROR((BQ493/BI493-1)*100),"NA",IF(((BQ493/BI493-1)*100)&gt;100,"NM",IF(((BQ493/BI493-1)*100)&lt;-50,"NM",(BQ493/BI493-1)*100)))</f>
        <v>7.6658793214515519</v>
      </c>
      <c r="BS493" s="65">
        <f>+BS236+BS82+BS285</f>
        <v>513.6</v>
      </c>
      <c r="BT493" s="61">
        <f>IF(ISERROR((BS493/BK493-1)*100),"NA",IF(((BS493/BK493-1)*100)&gt;100,"NM",IF(((BS493/BK493-1)*100)&lt;-50,"NM",(BS493/BK493-1)*100)))</f>
        <v>10.689655172413804</v>
      </c>
      <c r="BU493" s="65">
        <f>+BU236+BU82+BU285</f>
        <v>510.2</v>
      </c>
      <c r="BV493" s="61">
        <f>IF(ISERROR((BU493/BM493-1)*100),"NA",IF(((BU493/BM493-1)*100)&gt;100,"NM",IF(((BU493/BM493-1)*100)&lt;-50,"NM",(BU493/BM493-1)*100)))</f>
        <v>4.9146617314415053</v>
      </c>
      <c r="BW493" s="65">
        <f>+BW236+BW82+BW285</f>
        <v>507.4</v>
      </c>
      <c r="BX493" s="61">
        <f>IF(ISERROR((BW493/BO493-1)*100),"NA",IF(((BW493/BO493-1)*100)&gt;100,"NM",IF(((BW493/BO493-1)*100)&lt;-50,"NM",(BW493/BO493-1)*100)))</f>
        <v>3.8902538902538808</v>
      </c>
      <c r="BY493" s="65">
        <f>+BY236+BY82+BY285</f>
        <v>539.1</v>
      </c>
      <c r="BZ493" s="61">
        <f>IF(ISERROR((BY493/BQ493-1)*100),"NA",IF(((BY493/BQ493-1)*100)&gt;100,"NM",IF(((BY493/BQ493-1)*100)&lt;-50,"NM",(BY493/BQ493-1)*100)))</f>
        <v>7.5189469485440918</v>
      </c>
      <c r="CA493" s="16">
        <f>+CA236+CA82+CA285</f>
        <v>490.3</v>
      </c>
      <c r="CB493" s="61">
        <f>IF(ISERROR((CA493/BS493-1)*100),"NA",IF(((CA493/BS493-1)*100)&gt;100,"NM",IF(((CA493/BS493-1)*100)&lt;-50,"NM",(CA493/BS493-1)*100)))</f>
        <v>-4.5366043613707223</v>
      </c>
      <c r="CC493" s="65">
        <f>+CC236+CC82+CC285</f>
        <v>523.5</v>
      </c>
      <c r="CD493" s="61">
        <f>IF(ISERROR((CC493/BU493-1)*100),"NA",IF(((CC493/BU493-1)*100)&gt;100,"NM",IF(((CC493/BU493-1)*100)&lt;-50,"NM",(CC493/BU493-1)*100)))</f>
        <v>2.6068208545668492</v>
      </c>
      <c r="CE493" s="65">
        <f>+CE236+CE82+CE285</f>
        <v>532.1</v>
      </c>
      <c r="CF493" s="61">
        <f>IF(ISERROR((CE493/BW493-1)*100),"NA",IF(((CE493/BW493-1)*100)&gt;100,"NM",IF(((CE493/BW493-1)*100)&lt;-50,"NM",(CE493/BW493-1)*100)))</f>
        <v>4.867954276704789</v>
      </c>
      <c r="CG493" s="65">
        <f>+CG236+CG82+CG285</f>
        <v>551</v>
      </c>
      <c r="CH493" s="61">
        <f>IF(ISERROR((CG493/BY493-1)*100),"NA",IF(((CG493/BY493-1)*100)&gt;100,"NM",IF(((CG493/BY493-1)*100)&lt;-50,"NM",(CG493/BY493-1)*100)))</f>
        <v>2.2073826748284064</v>
      </c>
      <c r="CI493" s="65">
        <f>+CI236+CI82+CI285</f>
        <v>537.70000000000005</v>
      </c>
      <c r="CJ493" s="61">
        <f>IF(ISERROR((CI493/CA493-1)*100),"NA",IF(((CI493/CA493-1)*100)&gt;100,"NM",IF(((CI493/CA493-1)*100)&lt;-50,"NM",(CI493/CA493-1)*100)))</f>
        <v>9.6675504792983915</v>
      </c>
      <c r="CK493" s="65">
        <f>+CK236+CK82+CK285</f>
        <v>553.9</v>
      </c>
      <c r="CL493" s="61">
        <f>IF(ISERROR((CK493/CC493-1)*100),"NA",IF(((CK493/CC493-1)*100)&gt;100,"NM",IF(((CK493/CC493-1)*100)&lt;-50,"NM",(CK493/CC493-1)*100)))</f>
        <v>5.8070678127984721</v>
      </c>
      <c r="CM493" s="65">
        <f>+CM236+CM82+CM285</f>
        <v>567.70000000000005</v>
      </c>
      <c r="CN493" s="61">
        <f>IF(ISERROR((CM493/CE493-1)*100),"NA",IF(((CM493/CE493-1)*100)&gt;100,"NM",IF(((CM493/CE493-1)*100)&lt;-50,"NM",(CM493/CE493-1)*100)))</f>
        <v>6.6904717158428939</v>
      </c>
      <c r="CO493" s="65">
        <f>+CO236+CO82+CO285</f>
        <v>594</v>
      </c>
      <c r="CP493" s="61">
        <f>IF(ISERROR((CO493/CG493-1)*100),"NA",IF(((CO493/CG493-1)*100)&gt;100,"NM",IF(((CO493/CG493-1)*100)&lt;-50,"NM",(CO493/CG493-1)*100)))</f>
        <v>7.8039927404718767</v>
      </c>
      <c r="CQ493" s="65">
        <f>+CQ236+CQ82+CQ285</f>
        <v>558.29999999999995</v>
      </c>
      <c r="CR493" s="61">
        <f>IF(ISERROR((CQ493/CI493-1)*100),"NA",IF(((CQ493/CI493-1)*100)&gt;100,"NM",IF(((CQ493/CI493-1)*100)&lt;-50,"NM",(CQ493/CI493-1)*100)))</f>
        <v>3.8311326018225511</v>
      </c>
      <c r="CS493" s="65">
        <f>+CS236+CS82+CS285</f>
        <v>573</v>
      </c>
      <c r="CT493" s="61">
        <f>IF(ISERROR((CS493/CK493-1)*100),"NA",IF(((CS493/CK493-1)*100)&gt;100,"NM",IF(((CS493/CK493-1)*100)&lt;-50,"NM",(CS493/CK493-1)*100)))</f>
        <v>3.4482758620689724</v>
      </c>
      <c r="CU493" s="65">
        <f>+CU236+CU82+CU285</f>
        <v>589</v>
      </c>
      <c r="CV493" s="61">
        <f>IF(ISERROR((CU493/CM493-1)*100),"NA",IF(((CU493/CM493-1)*100)&gt;100,"NM",IF(((CU493/CM493-1)*100)&lt;-50,"NM",(CU493/CM493-1)*100)))</f>
        <v>3.7519816804650219</v>
      </c>
      <c r="CW493" s="65">
        <f>+CW236+CW82+CW285</f>
        <v>627</v>
      </c>
      <c r="CX493" s="61">
        <f>IF(ISERROR((CW493/CO493-1)*100),"NA",IF(((CW493/CO493-1)*100)&gt;100,"NM",IF(((CW493/CO493-1)*100)&lt;-50,"NM",(CW493/CO493-1)*100)))</f>
        <v>5.555555555555558</v>
      </c>
      <c r="CY493" s="65">
        <f>+CY236+CY82+CY285</f>
        <v>605</v>
      </c>
      <c r="CZ493" s="61">
        <f>IF(ISERROR((CY493/CQ493-1)*100),"NA",IF(((CY493/CQ493-1)*100)&gt;100,"NM",IF(((CY493/CQ493-1)*100)&lt;-50,"NM",(CY493/CQ493-1)*100)))</f>
        <v>8.3646784882679626</v>
      </c>
      <c r="DA493" s="65">
        <f>+DA236+DA82+DA285</f>
        <v>637</v>
      </c>
      <c r="DB493" s="61">
        <f>IF(ISERROR((DA493/CS493-1)*100),"NA",IF(((DA493/CS493-1)*100)&gt;100,"NM",IF(((DA493/CS493-1)*100)&lt;-50,"NM",(DA493/CS493-1)*100)))</f>
        <v>11.169284467713791</v>
      </c>
      <c r="DC493" s="65">
        <f>+DC236+DC82+DC285</f>
        <v>654</v>
      </c>
      <c r="DD493" s="61">
        <f>IF(ISERROR((DC493/CU493-1)*100),"NA",IF(((DC493/CU493-1)*100)&gt;100,"NM",IF(((DC493/CU493-1)*100)&lt;-50,"NM",(DC493/CU493-1)*100)))</f>
        <v>11.035653650254673</v>
      </c>
      <c r="DE493" s="65">
        <f>+DE236+DE82+DE285</f>
        <v>674</v>
      </c>
      <c r="DF493" s="61">
        <f>IF(ISERROR((DE493/CW493-1)*100),"NA",IF(((DE493/CW493-1)*100)&gt;100,"NM",IF(((DE493/CW493-1)*100)&lt;-50,"NM",(DE493/CW493-1)*100)))</f>
        <v>7.4960127591706449</v>
      </c>
      <c r="DG493" s="65">
        <f>+DG236+DG82+DG285</f>
        <v>671</v>
      </c>
      <c r="DH493" s="61">
        <f>IF(ISERROR((DG493/CY493-1)*100),"NA",IF(((DG493/CY493-1)*100)&gt;100,"NM",IF(((DG493/CY493-1)*100)&lt;-50,"NM",(DG493/CY493-1)*100)))</f>
        <v>10.909090909090914</v>
      </c>
      <c r="DI493" s="65">
        <f>+DI236+DI82+DI285</f>
        <v>686</v>
      </c>
      <c r="DJ493" s="61">
        <f>IF(ISERROR((DI493/DA493-1)*100),"NA",IF(((DI493/DA493-1)*100)&gt;100,"NM",IF(((DI493/DA493-1)*100)&lt;-50,"NM",(DI493/DA493-1)*100)))</f>
        <v>7.6923076923076872</v>
      </c>
      <c r="DK493" s="65">
        <f>+DK236+DK82+DK285</f>
        <v>739</v>
      </c>
      <c r="DL493" s="61">
        <f>IF(ISERROR((DK493/DC493-1)*100),"NA",IF(((DK493/DC493-1)*100)&gt;100,"NM",IF(((DK493/DC493-1)*100)&lt;-50,"NM",(DK493/DC493-1)*100)))</f>
        <v>12.996941896024472</v>
      </c>
      <c r="DM493" s="65">
        <f>+DM236+DM82+DM285</f>
        <v>755</v>
      </c>
      <c r="DN493" s="130">
        <f t="shared" ref="DN493:DZ497" si="2573">IF(ISERROR((DM493/DE493-1)*100),"NA",IF(((DM493/DE493-1)*100)&gt;100,"NM",IF(((DM493/DE493-1)*100)&lt;-50,"NM",(DM493/DE493-1)*100)))</f>
        <v>12.01780415430267</v>
      </c>
      <c r="DO493" s="65">
        <f>+DO236+DO82+DO285</f>
        <v>742</v>
      </c>
      <c r="DP493" s="130">
        <f t="shared" si="2573"/>
        <v>10.581222056631901</v>
      </c>
      <c r="DQ493" s="65">
        <f>+DQ236+DQ82+DQ285</f>
        <v>747</v>
      </c>
      <c r="DR493" s="130">
        <f t="shared" si="2573"/>
        <v>8.8921282798833712</v>
      </c>
      <c r="DS493" s="65">
        <f>+DS236+DS82+DS285</f>
        <v>789</v>
      </c>
      <c r="DT493" s="130">
        <f t="shared" si="2573"/>
        <v>6.7658998646820123</v>
      </c>
      <c r="DU493" s="65">
        <f>+DU236+DU82+DU285</f>
        <v>782</v>
      </c>
      <c r="DV493" s="130">
        <f t="shared" si="2573"/>
        <v>3.5761589403973559</v>
      </c>
      <c r="DW493" s="65">
        <f>+DW236+DW82+DW285</f>
        <v>814</v>
      </c>
      <c r="DX493" s="65">
        <f t="shared" ref="DX493:DY493" si="2574">+DX236+DX82+DX285</f>
        <v>814</v>
      </c>
      <c r="DY493" s="65">
        <f t="shared" si="2574"/>
        <v>844</v>
      </c>
      <c r="DZ493" s="130">
        <f t="shared" si="2573"/>
        <v>12.985274431057569</v>
      </c>
      <c r="EA493" s="65">
        <f t="shared" ref="EA493:EC493" si="2575">+EA236+EA82+EA285</f>
        <v>812</v>
      </c>
      <c r="EB493" s="130">
        <f t="shared" ref="EB493:EB497" si="2576">IF(ISERROR((EA493/DS493-1)*100),"NA",IF(((EA493/DS493-1)*100)&gt;100,"NM",IF(((EA493/DS493-1)*100)&lt;-50,"NM",(EA493/DS493-1)*100)))</f>
        <v>2.9150823827629901</v>
      </c>
      <c r="EC493" s="65">
        <f t="shared" si="2575"/>
        <v>723</v>
      </c>
      <c r="ED493" s="130">
        <f t="shared" ref="ED493:ED497" si="2577">IF(ISERROR((EC493/DU493-1)*100),"NA",IF(((EC493/DU493-1)*100)&gt;100,"NM",IF(((EC493/DU493-1)*100)&lt;-50,"NM",(EC493/DU493-1)*100)))</f>
        <v>-7.544757033248084</v>
      </c>
      <c r="EE493" s="65">
        <f t="shared" ref="EE493:EG493" si="2578">+EE236+EE82+EE285</f>
        <v>704</v>
      </c>
      <c r="EF493" s="130">
        <f t="shared" ref="EF493:EF497" si="2579">IF(ISERROR((EE493/DW493-1)*100),"NA",IF(((EE493/DW493-1)*100)&gt;100,"NM",IF(((EE493/DW493-1)*100)&lt;-50,"NM",(EE493/DW493-1)*100)))</f>
        <v>-13.513513513513509</v>
      </c>
      <c r="EG493" s="65">
        <f t="shared" si="2578"/>
        <v>733</v>
      </c>
      <c r="EH493" s="130">
        <f t="shared" ref="EH493:EH497" si="2580">IF(ISERROR((EG493/DY493-1)*100),"NA",IF(((EG493/DY493-1)*100)&gt;100,"NM",IF(((EG493/DY493-1)*100)&lt;-50,"NM",(EG493/DY493-1)*100)))</f>
        <v>-13.151658767772512</v>
      </c>
      <c r="EI493" s="65">
        <f t="shared" ref="EI493:EK493" si="2581">+EI236+EI82+EI285</f>
        <v>804</v>
      </c>
      <c r="EJ493" s="130">
        <f t="shared" ref="EJ493:EJ497" si="2582">IF(ISERROR((EI493/EA493-1)*100),"NA",IF(((EI493/EA493-1)*100)&gt;100,"NM",IF(((EI493/EA493-1)*100)&lt;-50,"NM",(EI493/EA493-1)*100)))</f>
        <v>-0.98522167487684609</v>
      </c>
      <c r="EK493" s="65">
        <f t="shared" si="2581"/>
        <v>799</v>
      </c>
      <c r="EL493" s="130">
        <f t="shared" ref="EL493:EL497" si="2583">IF(ISERROR((EK493/EC493-1)*100),"NA",IF(((EK493/EC493-1)*100)&gt;100,"NM",IF(((EK493/EC493-1)*100)&lt;-50,"NM",(EK493/EC493-1)*100)))</f>
        <v>10.511756569847863</v>
      </c>
      <c r="EM493" s="65">
        <f t="shared" ref="EM493" si="2584">+EM236+EM82+EM285</f>
        <v>773</v>
      </c>
      <c r="EN493" s="130">
        <f t="shared" ref="EN493:EN497" si="2585">IF(ISERROR((EM493/EE493-1)*100),"NA",IF(((EM493/EE493-1)*100)&gt;100,"NM",IF(((EM493/EE493-1)*100)&lt;-50,"NM",(EM493/EE493-1)*100)))</f>
        <v>9.8011363636363527</v>
      </c>
      <c r="EO493" s="65">
        <f t="shared" ref="EO493" si="2586">+EO236+EO82+EO285</f>
        <v>870</v>
      </c>
      <c r="EP493" s="130">
        <f t="shared" ref="EP493:EP497" si="2587">IF(ISERROR((EO493/EG493-1)*100),"NA",IF(((EO493/EG493-1)*100)&gt;100,"NM",IF(((EO493/EG493-1)*100)&lt;-50,"NM",(EO493/EG493-1)*100)))</f>
        <v>18.690313778990443</v>
      </c>
      <c r="EQ493" s="65">
        <f t="shared" ref="EQ493:EW493" si="2588">+EQ236+EQ82+EQ285</f>
        <v>810.83660858526071</v>
      </c>
      <c r="ER493" s="130">
        <f t="shared" ref="ER493:ER497" si="2589">IF(ISERROR((EQ493/EI493-1)*100),"NA",IF(((EQ493/EI493-1)*100)&gt;100,"NM",IF(((EQ493/EI493-1)*100)&lt;-50,"NM",(EQ493/EI493-1)*100)))</f>
        <v>0.85032445090307274</v>
      </c>
      <c r="ES493" s="65">
        <f t="shared" si="2588"/>
        <v>819.99141401037889</v>
      </c>
      <c r="ET493" s="130">
        <f t="shared" ref="ET493:ET497" si="2590">IF(ISERROR((ES493/EK493-1)*100),"NA",IF(((ES493/EK493-1)*100)&gt;100,"NM",IF(((ES493/EK493-1)*100)&lt;-50,"NM",(ES493/EK493-1)*100)))</f>
        <v>2.6272107647532961</v>
      </c>
      <c r="EU493" s="65">
        <f t="shared" si="2588"/>
        <v>1234.2301875404744</v>
      </c>
      <c r="EV493" s="130">
        <f t="shared" ref="EV493:EV497" si="2591">IF(ISERROR((EU493/EM493-1)*100),"NA",IF(((EU493/EM493-1)*100)&gt;100,"NM",IF(((EU493/EM493-1)*100)&lt;-50,"NM",(EU493/EM493-1)*100)))</f>
        <v>59.667553368754781</v>
      </c>
      <c r="EW493" s="65">
        <f t="shared" si="2588"/>
        <v>1255.5016469841701</v>
      </c>
      <c r="EX493" s="130">
        <f t="shared" ref="EX493:EX497" si="2592">IF(ISERROR((EW493/EO493-1)*100),"NA",IF(((EW493/EO493-1)*100)&gt;100,"NM",IF(((EW493/EO493-1)*100)&lt;-50,"NM",(EW493/EO493-1)*100)))</f>
        <v>44.310534136111499</v>
      </c>
      <c r="EY493" s="66"/>
      <c r="EZ493" s="558"/>
      <c r="FA493" s="66"/>
      <c r="FB493" s="64"/>
      <c r="FC493" s="70"/>
      <c r="FD493" s="64"/>
      <c r="FE493" s="70"/>
      <c r="FF493" s="64"/>
      <c r="FG493" s="70"/>
      <c r="FH493" s="280">
        <v>638.1</v>
      </c>
      <c r="FI493" s="281" t="s">
        <v>101</v>
      </c>
      <c r="FJ493" s="282">
        <v>504.8</v>
      </c>
      <c r="FK493" s="281">
        <v>-20.890142610876051</v>
      </c>
      <c r="FL493" s="282">
        <v>482</v>
      </c>
      <c r="FM493" s="283">
        <v>-4.5166402535657628</v>
      </c>
      <c r="FN493" s="282">
        <v>602</v>
      </c>
      <c r="FO493" s="283">
        <v>24.896265560165975</v>
      </c>
      <c r="FP493" s="65">
        <f>+FP236+FP82+FP285</f>
        <v>1417.3780000000002</v>
      </c>
      <c r="FQ493" s="61" t="str">
        <f>IF(ISERROR((FP493/FN493-1)*100),"NA",IF(((FP493/FN493-1)*100)&gt;100,"NM",IF(((FP493/FN493-1)*100)&lt;-50,"NM",(FP493/FN493-1)*100)))</f>
        <v>NM</v>
      </c>
      <c r="FR493" s="65">
        <f>+FR236+FR82+FR285</f>
        <v>1318</v>
      </c>
      <c r="FS493" s="61">
        <f>IF(ISERROR((FR493/FP493-1)*100),"NA",IF(((FR493/FP493-1)*100)&gt;100,"NM",IF(((FR493/FP493-1)*100)&lt;-50,"NM",(FR493/FP493-1)*100)))</f>
        <v>-7.0113971008439631</v>
      </c>
      <c r="FT493" s="65">
        <f>+FT236+FT82+FT285</f>
        <v>1847.8</v>
      </c>
      <c r="FU493" s="61">
        <f>IF(ISERROR((FT493/FR493-1)*100),"NA",IF(((FT493/FR493-1)*100)&gt;100,"NM",IF(((FT493/FR493-1)*100)&lt;-50,"NM",(FT493/FR493-1)*100)))</f>
        <v>40.197268588770861</v>
      </c>
      <c r="FV493" s="65">
        <f>+FV236+FV82+FV285</f>
        <v>2013.6000000000001</v>
      </c>
      <c r="FW493" s="61">
        <f>IF(ISERROR((FV493/FT493-1)*100),"NA",IF(((FV493/FT493-1)*100)&gt;100,"NM",IF(((FV493/FT493-1)*100)&lt;-50,"NM",(FV493/FT493-1)*100)))</f>
        <v>8.9728325576361243</v>
      </c>
      <c r="FX493" s="65">
        <f>+FX236+FX82+FX285</f>
        <v>2060.3000000000002</v>
      </c>
      <c r="FY493" s="61">
        <f>IF(ISERROR((FX493/FV493-1)*100),"NA",IF(((FX493/FV493-1)*100)&gt;100,"NM",IF(((FX493/FV493-1)*100)&lt;-50,"NM",(FX493/FV493-1)*100)))</f>
        <v>2.3192292411601034</v>
      </c>
      <c r="FZ493" s="65">
        <f>+FZ236+FZ82+FZ285</f>
        <v>2174.6999999999998</v>
      </c>
      <c r="GA493" s="61">
        <f>IF(ISERROR((FZ493/FX493-1)*100),"NA",IF(((FZ493/FX493-1)*100)&gt;100,"NM",IF(((FZ493/FX493-1)*100)&lt;-50,"NM",(FZ493/FX493-1)*100)))</f>
        <v>5.5525894287239641</v>
      </c>
      <c r="GB493" s="65">
        <f>+GB236+GB82+GB285</f>
        <v>2293</v>
      </c>
      <c r="GC493" s="61">
        <f>IF(ISERROR((GB493/FZ493-1)*100),"NA",IF(((GB493/FZ493-1)*100)&gt;100,"NM",IF(((GB493/FZ493-1)*100)&lt;-50,"NM",(GB493/FZ493-1)*100)))</f>
        <v>5.4398307812572044</v>
      </c>
      <c r="GD493" s="65">
        <f>+GD236+GD82+GD285</f>
        <v>2458</v>
      </c>
      <c r="GE493" s="61">
        <f>IF(ISERROR((GD493/GB493-1)*100),"NA",IF(((GD493/GB493-1)*100)&gt;100,"NM",IF(((GD493/GB493-1)*100)&lt;-50,"NM",(GD493/GB493-1)*100)))</f>
        <v>7.1958133449629313</v>
      </c>
      <c r="GF493" s="65">
        <f>+GF236+GF82+GF285</f>
        <v>2685</v>
      </c>
      <c r="GG493" s="61">
        <f>IF(ISERROR((GF493/GD493-1)*100),"NA",IF(((GF493/GD493-1)*100)&gt;100,"NM",IF(((GF493/GD493-1)*100)&lt;-50,"NM",(GF493/GD493-1)*100)))</f>
        <v>9.2351505288852831</v>
      </c>
      <c r="GH493" s="65">
        <f>+GH236+GH82+GH285</f>
        <v>2983</v>
      </c>
      <c r="GI493" s="61">
        <f>IF(ISERROR((GH493/GF493-1)*100),"NA",IF(((GH493/GF493-1)*100)&gt;100,"NM",IF(((GH493/GF493-1)*100)&lt;-50,"NM",(GH493/GF493-1)*100)))</f>
        <v>11.098696461824954</v>
      </c>
      <c r="GJ493" s="65">
        <f>+GJ236+GJ82+GJ285</f>
        <v>3229</v>
      </c>
      <c r="GK493" s="61">
        <f>IF(ISERROR((GJ493/GH493-1)*100),"NA",IF(((GJ493/GH493-1)*100)&gt;100,"NM",IF(((GJ493/GH493-1)*100)&lt;-50,"NM",(GJ493/GH493-1)*100)))</f>
        <v>8.2467314783774661</v>
      </c>
      <c r="GL493" s="65">
        <f>+GL236+GL82+GL285</f>
        <v>2972</v>
      </c>
      <c r="GM493" s="61">
        <f>IF(ISERROR((GL493/GJ493-1)*100),"NA",IF(((GL493/GJ493-1)*100)&gt;100,"NM",IF(((GL493/GJ493-1)*100)&lt;-50,"NM",(GL493/GJ493-1)*100)))</f>
        <v>-7.9591204707339713</v>
      </c>
      <c r="GN493" s="65">
        <f>+GN236+GN82+GN285</f>
        <v>3246</v>
      </c>
      <c r="GO493" s="61">
        <f>IF(ISERROR((GN493/GL493-1)*100),"NA",IF(((GN493/GL493-1)*100)&gt;100,"NM",IF(((GN493/GL493-1)*100)&lt;-50,"NM",(GN493/GL493-1)*100)))</f>
        <v>9.2193808882907078</v>
      </c>
      <c r="GP493" s="65">
        <f>+GP236+GP82+GP285</f>
        <v>4120.5598571202845</v>
      </c>
      <c r="GQ493" s="61">
        <f>IF(ISERROR((GP493/GN493-1)*100),"NA",IF(((GP493/GN493-1)*100)&gt;100,"NM",IF(((GP493/GN493-1)*100)&lt;-50,"NM",(GP493/GN493-1)*100)))</f>
        <v>26.942694304383387</v>
      </c>
      <c r="GR493" s="65">
        <f>+GR236+GR82+GR285</f>
        <v>5045.1628451801807</v>
      </c>
      <c r="GS493" s="61">
        <f>IF(ISERROR((GR493/GP493-1)*100),"NA",IF(((GR493/GP493-1)*100)&gt;100,"NM",IF(((GR493/GP493-1)*100)&lt;-50,"NM",(GR493/GP493-1)*100)))</f>
        <v>22.438770946675902</v>
      </c>
      <c r="GT493" s="65">
        <f>+GT236+GT82+GT285</f>
        <v>5096.3624698711865</v>
      </c>
      <c r="GU493" s="61">
        <f>IF(ISERROR((GT493/GR493-1)*100),"NA",IF(((GT493/GR493-1)*100)&gt;100,"NM",IF(((GT493/GR493-1)*100)&lt;-50,"NM",(GT493/GR493-1)*100)))</f>
        <v>1.0148260078446825</v>
      </c>
      <c r="GV493" s="65">
        <f>+GV236+GV82+GV285</f>
        <v>5171.2937424168294</v>
      </c>
      <c r="GW493" s="61">
        <f>IF(ISERROR((GV493/GT493-1)*100),"NA",IF(((GV493/GT493-1)*100)&gt;100,"NM",IF(((GV493/GT493-1)*100)&lt;-50,"NM",(GV493/GT493-1)*100)))</f>
        <v>1.4702893090635438</v>
      </c>
      <c r="GX493" s="65">
        <f>+GX236+GX82+GX285</f>
        <v>5251.6285176792917</v>
      </c>
      <c r="GY493" s="61">
        <f>IF(ISERROR((GX493/GV493-1)*100),"NA",IF(((GX493/GV493-1)*100)&gt;100,"NM",IF(((GX493/GV493-1)*100)&lt;-50,"NM",(GX493/GV493-1)*100)))</f>
        <v>1.5534753828336356</v>
      </c>
      <c r="GZ493" s="61">
        <f t="shared" si="2572"/>
        <v>10.100450630355674</v>
      </c>
      <c r="HA493" s="61"/>
      <c r="HB493" s="452"/>
      <c r="HC493"/>
      <c r="HD493"/>
      <c r="HE493"/>
      <c r="HF493"/>
      <c r="HG493"/>
      <c r="HH493"/>
    </row>
    <row r="494" spans="1:216" s="5" customFormat="1" ht="12.75" customHeight="1" x14ac:dyDescent="0.2">
      <c r="A494" s="7"/>
      <c r="B494" s="2" t="s">
        <v>413</v>
      </c>
      <c r="C494" s="64">
        <v>404.4</v>
      </c>
      <c r="D494" s="67"/>
      <c r="E494" s="64">
        <v>395.1</v>
      </c>
      <c r="F494" s="66"/>
      <c r="G494" s="64">
        <v>421.3</v>
      </c>
      <c r="H494" s="66"/>
      <c r="I494" s="64">
        <v>409.8</v>
      </c>
      <c r="J494" s="70"/>
      <c r="K494" s="64">
        <v>396</v>
      </c>
      <c r="L494" s="61">
        <f>IF(ISERROR((K494/C494-1)*100),"NA",IF(((K494/C494-1)*100)&gt;100,"NM",IF(((K494/C494-1)*100)&lt;-50,"NM",(K494/C494-1)*100)))</f>
        <v>-2.0771513353115667</v>
      </c>
      <c r="M494" s="64">
        <v>365</v>
      </c>
      <c r="N494" s="61">
        <f>IF(ISERROR((M494/E494-1)*100),"NA",IF(((M494/E494-1)*100)&gt;100,"NM",IF(((M494/E494-1)*100)&lt;-50,"NM",(M494/E494-1)*100)))</f>
        <v>-7.6183244748165073</v>
      </c>
      <c r="O494" s="64">
        <v>374.7</v>
      </c>
      <c r="P494" s="61">
        <f>IF(ISERROR((O494/G494-1)*100),"NA",IF(((O494/G494-1)*100)&gt;100,"NM",IF(((O494/G494-1)*100)&lt;-50,"NM",(O494/G494-1)*100)))</f>
        <v>-11.061001661523861</v>
      </c>
      <c r="Q494" s="64">
        <v>363.1</v>
      </c>
      <c r="R494" s="61">
        <f>IF(ISERROR((Q494/I494-1)*100),"NA",IF(((Q494/I494-1)*100)&gt;100,"NM",IF(((Q494/I494-1)*100)&lt;-50,"NM",(Q494/I494-1)*100)))</f>
        <v>-11.395802830649092</v>
      </c>
      <c r="S494" s="64">
        <v>354.5</v>
      </c>
      <c r="T494" s="61">
        <f>IF(ISERROR((S494/K494-1)*100),"NA",IF(((S494/K494-1)*100)&gt;100,"NM",IF(((S494/K494-1)*100)&lt;-50,"NM",(S494/K494-1)*100)))</f>
        <v>-10.479797979797977</v>
      </c>
      <c r="U494" s="64">
        <v>359.8</v>
      </c>
      <c r="V494" s="61">
        <f>IF(ISERROR((U494/M494-1)*100),"NA",IF(((U494/M494-1)*100)&gt;100,"NM",IF(((U494/M494-1)*100)&lt;-50,"NM",(U494/M494-1)*100)))</f>
        <v>-1.4246575342465762</v>
      </c>
      <c r="W494" s="64">
        <v>350.1</v>
      </c>
      <c r="X494" s="61">
        <f>IF(ISERROR((W494/O494-1)*100),"NA",IF(((W494/O494-1)*100)&gt;100,"NM",IF(((W494/O494-1)*100)&lt;-50,"NM",(W494/O494-1)*100)))</f>
        <v>-6.5652522017613961</v>
      </c>
      <c r="Y494" s="64">
        <v>346.4</v>
      </c>
      <c r="Z494" s="61">
        <f>IF(ISERROR((Y494/Q494-1)*100),"NA",IF(((Y494/Q494-1)*100)&gt;100,"NM",IF(((Y494/Q494-1)*100)&lt;-50,"NM",(Y494/Q494-1)*100)))</f>
        <v>-4.5992839438171451</v>
      </c>
      <c r="AA494" s="64">
        <v>334.9</v>
      </c>
      <c r="AB494" s="61">
        <f>IF(ISERROR((AA494/S494-1)*100),"NA",IF(((AA494/S494-1)*100)&gt;100,"NM",IF(((AA494/S494-1)*100)&lt;-50,"NM",(AA494/S494-1)*100)))</f>
        <v>-5.528913963328641</v>
      </c>
      <c r="AC494" s="64">
        <v>347.8</v>
      </c>
      <c r="AD494" s="61">
        <f>IF(ISERROR((AC494/U494-1)*100),"NA",IF(((AC494/U494-1)*100)&gt;100,"NM",IF(((AC494/U494-1)*100)&lt;-50,"NM",(AC494/U494-1)*100)))</f>
        <v>-3.3351862145636457</v>
      </c>
      <c r="AE494" s="64">
        <v>357.9</v>
      </c>
      <c r="AF494" s="61">
        <f>IF(ISERROR((AE494/W494-1)*100),"NA",IF(((AE494/W494-1)*100)&gt;100,"NM",IF(((AE494/W494-1)*100)&lt;-50,"NM",(AE494/W494-1)*100)))</f>
        <v>2.2279348757497708</v>
      </c>
      <c r="AG494" s="64">
        <v>377</v>
      </c>
      <c r="AH494" s="61">
        <f>IF(ISERROR((AG494/Y494-1)*100),"NA",IF(((AG494/Y494-1)*100)&gt;100,"NM",IF(((AG494/Y494-1)*100)&lt;-50,"NM",(AG494/Y494-1)*100)))</f>
        <v>8.8337182448037019</v>
      </c>
      <c r="AI494" s="64">
        <v>383.6</v>
      </c>
      <c r="AJ494" s="61">
        <f>IF(ISERROR((AI494/AA494-1)*100),"NA",IF(((AI494/AA494-1)*100)&gt;100,"NM",IF(((AI494/AA494-1)*100)&lt;-50,"NM",(AI494/AA494-1)*100)))</f>
        <v>14.541654225141842</v>
      </c>
      <c r="AK494" s="64">
        <v>390.2</v>
      </c>
      <c r="AL494" s="61">
        <f>IF(ISERROR((AK494/AC494-1)*100),"NA",IF(((AK494/AC494-1)*100)&gt;100,"NM",IF(((AK494/AC494-1)*100)&lt;-50,"NM",(AK494/AC494-1)*100)))</f>
        <v>12.190914318573887</v>
      </c>
      <c r="AM494" s="64">
        <v>408.4</v>
      </c>
      <c r="AN494" s="61">
        <f>IF(ISERROR((AM494/AE494-1)*100),"NA",IF(((AM494/AE494-1)*100)&gt;100,"NM",IF(((AM494/AE494-1)*100)&lt;-50,"NM",(AM494/AE494-1)*100)))</f>
        <v>14.110086616373296</v>
      </c>
      <c r="AO494" s="64">
        <v>426.3</v>
      </c>
      <c r="AP494" s="61">
        <f>IF(ISERROR((AO494/AG494-1)*100),"NA",IF(((AO494/AG494-1)*100)&gt;100,"NM",IF(((AO494/AG494-1)*100)&lt;-50,"NM",(AO494/AG494-1)*100)))</f>
        <v>13.076923076923075</v>
      </c>
      <c r="AQ494" s="65">
        <f>+AQ237+AQ83+AQ145+AQ321+AQ374+AQ409</f>
        <v>557.40000000000009</v>
      </c>
      <c r="AR494" s="61">
        <f>IF(ISERROR((AQ494/AI494-1)*100),"NA",IF(((AQ494/AI494-1)*100)&gt;100,"NM",IF(((AQ494/AI494-1)*100)&lt;-50,"NM",(AQ494/AI494-1)*100)))</f>
        <v>45.30761209593328</v>
      </c>
      <c r="AS494" s="65">
        <f>+AS237+AS83+AS145+AS321+AS374+AS409</f>
        <v>574.5</v>
      </c>
      <c r="AT494" s="61">
        <f>IF(ISERROR((AS494/AK494-1)*100),"NA",IF(((AS494/AK494-1)*100)&gt;100,"NM",IF(((AS494/AK494-1)*100)&lt;-50,"NM",(AS494/AK494-1)*100)))</f>
        <v>47.232188621219898</v>
      </c>
      <c r="AU494" s="65">
        <f>+AU237+AU83+AU145+AU321+AU374+AU409</f>
        <v>601.6</v>
      </c>
      <c r="AV494" s="61">
        <f>IF(ISERROR((AU494/AM494-1)*100),"NA",IF(((AU494/AM494-1)*100)&gt;100,"NM",IF(((AU494/AM494-1)*100)&lt;-50,"NM",(AU494/AM494-1)*100)))</f>
        <v>47.306562193927526</v>
      </c>
      <c r="AW494" s="65">
        <f>+AW237+AW83+AW145+AW321+AW374+AW409</f>
        <v>618.1</v>
      </c>
      <c r="AX494" s="61">
        <f>IF(ISERROR((AW494/AO494-1)*100),"NA",IF(((AW494/AO494-1)*100)&gt;100,"NM",IF(((AW494/AO494-1)*100)&lt;-50,"NM",(AW494/AO494-1)*100)))</f>
        <v>44.991789819376038</v>
      </c>
      <c r="AY494" s="65">
        <f>+AY237+AY83+AY145+AY321+AY374+AY409</f>
        <v>630.19999999999993</v>
      </c>
      <c r="AZ494" s="61">
        <f>IF(ISERROR((AY494/AQ494-1)*100),"NA",IF(((AY494/AQ494-1)*100)&gt;100,"NM",IF(((AY494/AQ494-1)*100)&lt;-50,"NM",(AY494/AQ494-1)*100)))</f>
        <v>13.060638679583757</v>
      </c>
      <c r="BA494" s="65">
        <f>+BA237+BA83+BA145+BA321+BA374+BA409</f>
        <v>888.2</v>
      </c>
      <c r="BB494" s="61">
        <f>IF(ISERROR((BA494/AS494-1)*100),"NA",IF(((BA494/AS494-1)*100)&gt;100,"NM",IF(((BA494/AS494-1)*100)&lt;-50,"NM",(BA494/AS494-1)*100)))</f>
        <v>54.604003481288089</v>
      </c>
      <c r="BC494" s="65">
        <f>+BC237+BC83+BC145+BC321+BC374+BC409</f>
        <v>871.50000000000023</v>
      </c>
      <c r="BD494" s="61">
        <f>IF(ISERROR((BC494/AU494-1)*100),"NA",IF(((BC494/AU494-1)*100)&gt;100,"NM",IF(((BC494/AU494-1)*100)&lt;-50,"NM",(BC494/AU494-1)*100)))</f>
        <v>44.863696808510682</v>
      </c>
      <c r="BE494" s="65">
        <f>+BE237+BE83+BE145+BE321+BE374+BE409</f>
        <v>966.49999999999989</v>
      </c>
      <c r="BF494" s="61">
        <f>IF(ISERROR((BE494/AW494-1)*100),"NA",IF(((BE494/AW494-1)*100)&gt;100,"NM",IF(((BE494/AW494-1)*100)&lt;-50,"NM",(BE494/AW494-1)*100)))</f>
        <v>56.366283772852263</v>
      </c>
      <c r="BG494" s="65">
        <f>+BG237+BG83+BG145</f>
        <v>803.8</v>
      </c>
      <c r="BH494" s="61">
        <f>IF(ISERROR((BG494/AY494-1)*100),"NA",IF(((BG494/AY494-1)*100)&gt;100,"NM",IF(((BG494/AY494-1)*100)&lt;-50,"NM",(BG494/AY494-1)*100)))</f>
        <v>27.546810536337674</v>
      </c>
      <c r="BI494" s="65">
        <f>+BI237+BI83+BI145</f>
        <v>783.40000000000009</v>
      </c>
      <c r="BJ494" s="61">
        <f>IF(ISERROR((BI494/BA494-1)*100),"NA",IF(((BI494/BA494-1)*100)&gt;100,"NM",IF(((BI494/BA494-1)*100)&lt;-50,"NM",(BI494/BA494-1)*100)))</f>
        <v>-11.799144336861067</v>
      </c>
      <c r="BK494" s="65">
        <f>+BK237+BK83+BK145</f>
        <v>895</v>
      </c>
      <c r="BL494" s="61">
        <f>IF(ISERROR((BK494/BC494-1)*100),"NA",IF(((BK494/BC494-1)*100)&gt;100,"NM",IF(((BK494/BC494-1)*100)&lt;-50,"NM",(BK494/BC494-1)*100)))</f>
        <v>2.6965002868617027</v>
      </c>
      <c r="BM494" s="65">
        <f>+BM237+BM83+BM145</f>
        <v>902.3</v>
      </c>
      <c r="BN494" s="61">
        <f>IF(ISERROR((BM494/BE494-1)*100),"NA",IF(((BM494/BE494-1)*100)&gt;100,"NM",IF(((BM494/BE494-1)*100)&lt;-50,"NM",(BM494/BE494-1)*100)))</f>
        <v>-6.6425245732022686</v>
      </c>
      <c r="BO494" s="65">
        <f>+BO237+BO83+BO145</f>
        <v>871.8</v>
      </c>
      <c r="BP494" s="61">
        <f>IF(ISERROR((BO494/BG494-1)*100),"NA",IF(((BO494/BG494-1)*100)&gt;100,"NM",IF(((BO494/BG494-1)*100)&lt;-50,"NM",(BO494/BG494-1)*100)))</f>
        <v>8.4598158745956766</v>
      </c>
      <c r="BQ494" s="65">
        <f>+BQ237+BQ83+BQ145</f>
        <v>892.5</v>
      </c>
      <c r="BR494" s="61">
        <f>IF(ISERROR((BQ494/BI494-1)*100),"NA",IF(((BQ494/BI494-1)*100)&gt;100,"NM",IF(((BQ494/BI494-1)*100)&lt;-50,"NM",(BQ494/BI494-1)*100)))</f>
        <v>13.926474342609119</v>
      </c>
      <c r="BS494" s="65">
        <f>+BS237+BS83+BS145</f>
        <v>896.49999999999989</v>
      </c>
      <c r="BT494" s="61">
        <f>IF(ISERROR((BS494/BK494-1)*100),"NA",IF(((BS494/BK494-1)*100)&gt;100,"NM",IF(((BS494/BK494-1)*100)&lt;-50,"NM",(BS494/BK494-1)*100)))</f>
        <v>0.16759776536312554</v>
      </c>
      <c r="BU494" s="65">
        <f>+BU237+BU83+BU145</f>
        <v>844.59999999999991</v>
      </c>
      <c r="BV494" s="61">
        <f>IF(ISERROR((BU494/BM494-1)*100),"NA",IF(((BU494/BM494-1)*100)&gt;100,"NM",IF(((BU494/BM494-1)*100)&lt;-50,"NM",(BU494/BM494-1)*100)))</f>
        <v>-6.3947689238612497</v>
      </c>
      <c r="BW494" s="65">
        <f>+BW237+BW83+BW145</f>
        <v>782.80000000000007</v>
      </c>
      <c r="BX494" s="61">
        <f>IF(ISERROR((BW494/BO494-1)*100),"NA",IF(((BW494/BO494-1)*100)&gt;100,"NM",IF(((BW494/BO494-1)*100)&lt;-50,"NM",(BW494/BO494-1)*100)))</f>
        <v>-10.208763477861883</v>
      </c>
      <c r="BY494" s="65">
        <f>+BY237+BY83+BY145</f>
        <v>776.40000000000009</v>
      </c>
      <c r="BZ494" s="61">
        <f>IF(ISERROR((BY494/BQ494-1)*100),"NA",IF(((BY494/BQ494-1)*100)&gt;100,"NM",IF(((BY494/BQ494-1)*100)&lt;-50,"NM",(BY494/BQ494-1)*100)))</f>
        <v>-13.008403361344524</v>
      </c>
      <c r="CA494" s="16">
        <f>+CA237+CA83+CA145</f>
        <v>857.5</v>
      </c>
      <c r="CB494" s="61">
        <f>IF(ISERROR((CA494/BS494-1)*100),"NA",IF(((CA494/BS494-1)*100)&gt;100,"NM",IF(((CA494/BS494-1)*100)&lt;-50,"NM",(CA494/BS494-1)*100)))</f>
        <v>-4.3502509760178327</v>
      </c>
      <c r="CC494" s="65">
        <f>+CC237+CC83+CC145</f>
        <v>868</v>
      </c>
      <c r="CD494" s="61">
        <f>IF(ISERROR((CC494/BU494-1)*100),"NA",IF(((CC494/BU494-1)*100)&gt;100,"NM",IF(((CC494/BU494-1)*100)&lt;-50,"NM",(CC494/BU494-1)*100)))</f>
        <v>2.7705422685294856</v>
      </c>
      <c r="CE494" s="65">
        <f>+CE237+CE83+CE145</f>
        <v>885</v>
      </c>
      <c r="CF494" s="61">
        <f>IF(ISERROR((CE494/BW494-1)*100),"NA",IF(((CE494/BW494-1)*100)&gt;100,"NM",IF(((CE494/BW494-1)*100)&lt;-50,"NM",(CE494/BW494-1)*100)))</f>
        <v>13.055697496167596</v>
      </c>
      <c r="CG494" s="65">
        <f>+CG237+CG83+CG145</f>
        <v>896.20000000000016</v>
      </c>
      <c r="CH494" s="61">
        <f>IF(ISERROR((CG494/BY494-1)*100),"NA",IF(((CG494/BY494-1)*100)&gt;100,"NM",IF(((CG494/BY494-1)*100)&lt;-50,"NM",(CG494/BY494-1)*100)))</f>
        <v>15.430190623390017</v>
      </c>
      <c r="CI494" s="65">
        <f>+CI237+CI83+CI145</f>
        <v>868.4</v>
      </c>
      <c r="CJ494" s="61">
        <f>IF(ISERROR((CI494/CA494-1)*100),"NA",IF(((CI494/CA494-1)*100)&gt;100,"NM",IF(((CI494/CA494-1)*100)&lt;-50,"NM",(CI494/CA494-1)*100)))</f>
        <v>1.2711370262390664</v>
      </c>
      <c r="CK494" s="65">
        <f>+CK237+CK83+CK145</f>
        <v>997.59999999999991</v>
      </c>
      <c r="CL494" s="61">
        <f>IF(ISERROR((CK494/CC494-1)*100),"NA",IF(((CK494/CC494-1)*100)&gt;100,"NM",IF(((CK494/CC494-1)*100)&lt;-50,"NM",(CK494/CC494-1)*100)))</f>
        <v>14.930875576036851</v>
      </c>
      <c r="CM494" s="65">
        <f>+CM237+CM83+CM145</f>
        <v>936</v>
      </c>
      <c r="CN494" s="61">
        <f>IF(ISERROR((CM494/CE494-1)*100),"NA",IF(((CM494/CE494-1)*100)&gt;100,"NM",IF(((CM494/CE494-1)*100)&lt;-50,"NM",(CM494/CE494-1)*100)))</f>
        <v>5.7627118644067776</v>
      </c>
      <c r="CO494" s="65">
        <f>+CO237+CO83+CO145</f>
        <v>1019.6999999999999</v>
      </c>
      <c r="CP494" s="61">
        <f>IF(ISERROR((CO494/CG494-1)*100),"NA",IF(((CO494/CG494-1)*100)&gt;100,"NM",IF(((CO494/CG494-1)*100)&lt;-50,"NM",(CO494/CG494-1)*100)))</f>
        <v>13.780406159339398</v>
      </c>
      <c r="CQ494" s="65">
        <f>+CQ237+CQ83+CQ145</f>
        <v>980.09999999999991</v>
      </c>
      <c r="CR494" s="61">
        <f>IF(ISERROR((CQ494/CI494-1)*100),"NA",IF(((CQ494/CI494-1)*100)&gt;100,"NM",IF(((CQ494/CI494-1)*100)&lt;-50,"NM",(CQ494/CI494-1)*100)))</f>
        <v>12.862736066328884</v>
      </c>
      <c r="CS494" s="65">
        <f>+CS237+CS83+CS145</f>
        <v>969</v>
      </c>
      <c r="CT494" s="61">
        <f>IF(ISERROR((CS494/CK494-1)*100),"NA",IF(((CS494/CK494-1)*100)&gt;100,"NM",IF(((CS494/CK494-1)*100)&lt;-50,"NM",(CS494/CK494-1)*100)))</f>
        <v>-2.866880513231751</v>
      </c>
      <c r="CU494" s="65">
        <f>+CU237+CU83+CU145</f>
        <v>1024</v>
      </c>
      <c r="CV494" s="61">
        <f>IF(ISERROR((CU494/CM494-1)*100),"NA",IF(((CU494/CM494-1)*100)&gt;100,"NM",IF(((CU494/CM494-1)*100)&lt;-50,"NM",(CU494/CM494-1)*100)))</f>
        <v>9.4017094017094127</v>
      </c>
      <c r="CW494" s="65">
        <f>+CW237+CW83+CW145</f>
        <v>1005</v>
      </c>
      <c r="CX494" s="61">
        <f>IF(ISERROR((CW494/CO494-1)*100),"NA",IF(((CW494/CO494-1)*100)&gt;100,"NM",IF(((CW494/CO494-1)*100)&lt;-50,"NM",(CW494/CO494-1)*100)))</f>
        <v>-1.4416004707266783</v>
      </c>
      <c r="CY494" s="65">
        <f>+CY237+CY83+CY145</f>
        <v>1116</v>
      </c>
      <c r="CZ494" s="61">
        <f>IF(ISERROR((CY494/CQ494-1)*100),"NA",IF(((CY494/CQ494-1)*100)&gt;100,"NM",IF(((CY494/CQ494-1)*100)&lt;-50,"NM",(CY494/CQ494-1)*100)))</f>
        <v>13.86593204775024</v>
      </c>
      <c r="DA494" s="65">
        <f>+DA237+DA83+DA145</f>
        <v>1080</v>
      </c>
      <c r="DB494" s="61">
        <f>IF(ISERROR((DA494/CS494-1)*100),"NA",IF(((DA494/CS494-1)*100)&gt;100,"NM",IF(((DA494/CS494-1)*100)&lt;-50,"NM",(DA494/CS494-1)*100)))</f>
        <v>11.455108359133126</v>
      </c>
      <c r="DC494" s="65">
        <f>+DC237+DC83+DC145</f>
        <v>1086</v>
      </c>
      <c r="DD494" s="61">
        <f>IF(ISERROR((DC494/CU494-1)*100),"NA",IF(((DC494/CU494-1)*100)&gt;100,"NM",IF(((DC494/CU494-1)*100)&lt;-50,"NM",(DC494/CU494-1)*100)))</f>
        <v>6.0546875</v>
      </c>
      <c r="DE494" s="65">
        <f>+DE237+DE83+DE145</f>
        <v>1118</v>
      </c>
      <c r="DF494" s="61">
        <f>IF(ISERROR((DE494/CW494-1)*100),"NA",IF(((DE494/CW494-1)*100)&gt;100,"NM",IF(((DE494/CW494-1)*100)&lt;-50,"NM",(DE494/CW494-1)*100)))</f>
        <v>11.243781094527371</v>
      </c>
      <c r="DG494" s="65">
        <f>+DG237+DG83+DG145</f>
        <v>1178</v>
      </c>
      <c r="DH494" s="61">
        <f>IF(ISERROR((DG494/CY494-1)*100),"NA",IF(((DG494/CY494-1)*100)&gt;100,"NM",IF(((DG494/CY494-1)*100)&lt;-50,"NM",(DG494/CY494-1)*100)))</f>
        <v>5.555555555555558</v>
      </c>
      <c r="DI494" s="65">
        <f>+DI237+DI83+DI145</f>
        <v>1246</v>
      </c>
      <c r="DJ494" s="61">
        <f>IF(ISERROR((DI494/DA494-1)*100),"NA",IF(((DI494/DA494-1)*100)&gt;100,"NM",IF(((DI494/DA494-1)*100)&lt;-50,"NM",(DI494/DA494-1)*100)))</f>
        <v>15.370370370370367</v>
      </c>
      <c r="DK494" s="65">
        <f>+DK237+DK83+DK145</f>
        <v>1247</v>
      </c>
      <c r="DL494" s="61">
        <f>IF(ISERROR((DK494/DC494-1)*100),"NA",IF(((DK494/DC494-1)*100)&gt;100,"NM",IF(((DK494/DC494-1)*100)&lt;-50,"NM",(DK494/DC494-1)*100)))</f>
        <v>14.825046040515645</v>
      </c>
      <c r="DM494" s="65">
        <f>+DM237+DM83+DM145</f>
        <v>1280</v>
      </c>
      <c r="DN494" s="130">
        <f t="shared" si="2573"/>
        <v>14.490161001788904</v>
      </c>
      <c r="DO494" s="65">
        <f>+DO237+DO83+DO145</f>
        <v>1367</v>
      </c>
      <c r="DP494" s="130">
        <f t="shared" si="2573"/>
        <v>16.044142614601007</v>
      </c>
      <c r="DQ494" s="65">
        <f>+DQ237+DQ83+DQ145</f>
        <v>1807</v>
      </c>
      <c r="DR494" s="130">
        <f t="shared" si="2573"/>
        <v>45.02407704654896</v>
      </c>
      <c r="DS494" s="65">
        <f>+DS237+DS83+DS145</f>
        <v>1382</v>
      </c>
      <c r="DT494" s="130">
        <f t="shared" si="2573"/>
        <v>10.82598235765837</v>
      </c>
      <c r="DU494" s="65">
        <f>+DU237+DU83+DU145</f>
        <v>1407</v>
      </c>
      <c r="DV494" s="130">
        <f t="shared" si="2573"/>
        <v>9.9218749999999911</v>
      </c>
      <c r="DW494" s="65">
        <f>+DW237+DW83+DW145</f>
        <v>1633</v>
      </c>
      <c r="DX494" s="65">
        <f t="shared" ref="DX494:DY494" si="2593">+DX237+DX83+DX145</f>
        <v>1633</v>
      </c>
      <c r="DY494" s="65">
        <f t="shared" si="2593"/>
        <v>1280</v>
      </c>
      <c r="DZ494" s="130">
        <f t="shared" si="2573"/>
        <v>-29.164360819037082</v>
      </c>
      <c r="EA494" s="65">
        <f t="shared" ref="EA494:EC494" si="2594">+EA237+EA83+EA145</f>
        <v>1387</v>
      </c>
      <c r="EB494" s="130">
        <f t="shared" si="2576"/>
        <v>0.36179450072360009</v>
      </c>
      <c r="EC494" s="65">
        <f t="shared" si="2594"/>
        <v>1442</v>
      </c>
      <c r="ED494" s="130">
        <f t="shared" si="2577"/>
        <v>2.4875621890547261</v>
      </c>
      <c r="EE494" s="65">
        <f t="shared" ref="EE494:EG494" si="2595">+EE237+EE83+EE145</f>
        <v>1536</v>
      </c>
      <c r="EF494" s="130">
        <f t="shared" si="2579"/>
        <v>-5.9399877526025708</v>
      </c>
      <c r="EG494" s="65">
        <f t="shared" si="2595"/>
        <v>1515</v>
      </c>
      <c r="EH494" s="130">
        <f t="shared" si="2580"/>
        <v>18.359375</v>
      </c>
      <c r="EI494" s="65">
        <f t="shared" ref="EI494:EK494" si="2596">+EI237+EI83+EI145</f>
        <v>1503</v>
      </c>
      <c r="EJ494" s="130">
        <f t="shared" si="2582"/>
        <v>8.3633741888968984</v>
      </c>
      <c r="EK494" s="65">
        <f t="shared" si="2596"/>
        <v>1553</v>
      </c>
      <c r="EL494" s="130">
        <f t="shared" si="2583"/>
        <v>7.6976421636615777</v>
      </c>
      <c r="EM494" s="65">
        <f t="shared" ref="EM494" si="2597">+EM237+EM83+EM145</f>
        <v>1562</v>
      </c>
      <c r="EN494" s="130">
        <f t="shared" si="2585"/>
        <v>1.6927083333333259</v>
      </c>
      <c r="EO494" s="65">
        <f t="shared" ref="EO494" si="2598">+EO237+EO83+EO145</f>
        <v>1637</v>
      </c>
      <c r="EP494" s="130">
        <f t="shared" si="2587"/>
        <v>8.0528052805280517</v>
      </c>
      <c r="EQ494" s="65">
        <f t="shared" ref="EQ494:EW494" si="2599">+EQ237+EQ83+EQ145</f>
        <v>1632.2508562541188</v>
      </c>
      <c r="ER494" s="130">
        <f t="shared" si="2589"/>
        <v>8.5995247008728413</v>
      </c>
      <c r="ES494" s="65">
        <f t="shared" si="2599"/>
        <v>1638.8477225101594</v>
      </c>
      <c r="ET494" s="130">
        <f t="shared" si="2590"/>
        <v>5.5278636516522539</v>
      </c>
      <c r="EU494" s="65">
        <f t="shared" si="2599"/>
        <v>1656.1247882039916</v>
      </c>
      <c r="EV494" s="130">
        <f t="shared" si="2591"/>
        <v>6.0259147377715427</v>
      </c>
      <c r="EW494" s="65">
        <f t="shared" si="2599"/>
        <v>1677.2607369992716</v>
      </c>
      <c r="EX494" s="130">
        <f t="shared" si="2592"/>
        <v>2.4594219303159193</v>
      </c>
      <c r="EY494" s="66"/>
      <c r="EZ494" s="558"/>
      <c r="FA494" s="66"/>
      <c r="FB494" s="64"/>
      <c r="FC494" s="70"/>
      <c r="FD494" s="64"/>
      <c r="FE494" s="70"/>
      <c r="FF494" s="64"/>
      <c r="FG494" s="70"/>
      <c r="FH494" s="280">
        <v>1498.8</v>
      </c>
      <c r="FI494" s="281" t="s">
        <v>101</v>
      </c>
      <c r="FJ494" s="282">
        <v>1410.8</v>
      </c>
      <c r="FK494" s="281">
        <v>-5.871363757672821</v>
      </c>
      <c r="FL494" s="282">
        <v>1417.6</v>
      </c>
      <c r="FM494" s="283">
        <v>0.48199603062093477</v>
      </c>
      <c r="FN494" s="282">
        <v>1608.5</v>
      </c>
      <c r="FO494" s="283">
        <v>13.466422121896148</v>
      </c>
      <c r="FP494" s="65">
        <f>+FP237+FP83+FP145</f>
        <v>1793.5</v>
      </c>
      <c r="FQ494" s="61">
        <f>IF(ISERROR((FP494/FN494-1)*100),"NA",IF(((FP494/FN494-1)*100)&gt;100,"NM",IF(((FP494/FN494-1)*100)&lt;-50,"NM",(FP494/FN494-1)*100)))</f>
        <v>11.501398818775254</v>
      </c>
      <c r="FR494" s="65">
        <f>+FR237+FR83+FR145</f>
        <v>2728.4</v>
      </c>
      <c r="FS494" s="61">
        <f>IF(ISERROR((FR494/FP494-1)*100),"NA",IF(((FR494/FP494-1)*100)&gt;100,"NM",IF(((FR494/FP494-1)*100)&lt;-50,"NM",(FR494/FP494-1)*100)))</f>
        <v>52.127125731809308</v>
      </c>
      <c r="FT494" s="65">
        <f>+FT237+FT83+FT145</f>
        <v>3384.5</v>
      </c>
      <c r="FU494" s="61">
        <f>IF(ISERROR((FT494/FR494-1)*100),"NA",IF(((FT494/FR494-1)*100)&gt;100,"NM",IF(((FT494/FR494-1)*100)&lt;-50,"NM",(FT494/FR494-1)*100)))</f>
        <v>24.047060548306696</v>
      </c>
      <c r="FV494" s="65">
        <f>+FV237+FV83+FV145</f>
        <v>3505.3999999999996</v>
      </c>
      <c r="FW494" s="61">
        <f>IF(ISERROR((FV494/FT494-1)*100),"NA",IF(((FV494/FT494-1)*100)&gt;100,"NM",IF(((FV494/FT494-1)*100)&lt;-50,"NM",(FV494/FT494-1)*100)))</f>
        <v>3.5721672329738441</v>
      </c>
      <c r="FX494" s="65">
        <f>+FX237+FX83+FX145</f>
        <v>3284.7000000000007</v>
      </c>
      <c r="FY494" s="61">
        <f>IF(ISERROR((FX494/FV494-1)*100),"NA",IF(((FX494/FV494-1)*100)&gt;100,"NM",IF(((FX494/FV494-1)*100)&lt;-50,"NM",(FX494/FV494-1)*100)))</f>
        <v>-6.2960004564386107</v>
      </c>
      <c r="FZ494" s="65">
        <f>+FZ237+FZ83+FZ145</f>
        <v>3647.1999999999994</v>
      </c>
      <c r="GA494" s="61">
        <f>IF(ISERROR((FZ494/FX494-1)*100),"NA",IF(((FZ494/FX494-1)*100)&gt;100,"NM",IF(((FZ494/FX494-1)*100)&lt;-50,"NM",(FZ494/FX494-1)*100)))</f>
        <v>11.0360154656437</v>
      </c>
      <c r="GB494" s="65">
        <f>+GB237+GB83+GB145</f>
        <v>3904.7999999999997</v>
      </c>
      <c r="GC494" s="61">
        <f>IF(ISERROR((GB494/FZ494-1)*100),"NA",IF(((GB494/FZ494-1)*100)&gt;100,"NM",IF(((GB494/FZ494-1)*100)&lt;-50,"NM",(GB494/FZ494-1)*100)))</f>
        <v>7.0629524018425149</v>
      </c>
      <c r="GD494" s="65">
        <f>+GD237+GD83+GD145</f>
        <v>4225</v>
      </c>
      <c r="GE494" s="61">
        <f>IF(ISERROR((GD494/GB494-1)*100),"NA",IF(((GD494/GB494-1)*100)&gt;100,"NM",IF(((GD494/GB494-1)*100)&lt;-50,"NM",(GD494/GB494-1)*100)))</f>
        <v>8.2001639008399962</v>
      </c>
      <c r="GF494" s="65">
        <f>+GF237+GF83+GF145</f>
        <v>4628</v>
      </c>
      <c r="GG494" s="61">
        <f>IF(ISERROR((GF494/GD494-1)*100),"NA",IF(((GF494/GD494-1)*100)&gt;100,"NM",IF(((GF494/GD494-1)*100)&lt;-50,"NM",(GF494/GD494-1)*100)))</f>
        <v>9.5384615384615401</v>
      </c>
      <c r="GH494" s="65">
        <f>+GH237+GH83+GH145</f>
        <v>5701</v>
      </c>
      <c r="GI494" s="61">
        <f>IF(ISERROR((GH494/GF494-1)*100),"NA",IF(((GH494/GF494-1)*100)&gt;100,"NM",IF(((GH494/GF494-1)*100)&lt;-50,"NM",(GH494/GF494-1)*100)))</f>
        <v>23.18496110630943</v>
      </c>
      <c r="GJ494" s="65">
        <f>+GJ237+GJ83+GJ145</f>
        <v>5702</v>
      </c>
      <c r="GK494" s="61">
        <f>IF(ISERROR((GJ494/GH494-1)*100),"NA",IF(((GJ494/GH494-1)*100)&gt;100,"NM",IF(((GJ494/GH494-1)*100)&lt;-50,"NM",(GJ494/GH494-1)*100)))</f>
        <v>1.7540782318881121E-2</v>
      </c>
      <c r="GL494" s="65">
        <f>+GL237+GL83+GL145</f>
        <v>5880</v>
      </c>
      <c r="GM494" s="61">
        <f>IF(ISERROR((GL494/GJ494-1)*100),"NA",IF(((GL494/GJ494-1)*100)&gt;100,"NM",IF(((GL494/GJ494-1)*100)&lt;-50,"NM",(GL494/GJ494-1)*100)))</f>
        <v>3.121711680112238</v>
      </c>
      <c r="GN494" s="65">
        <f>+GN237+GN83+GN145</f>
        <v>6255</v>
      </c>
      <c r="GO494" s="61">
        <f>IF(ISERROR((GN494/GL494-1)*100),"NA",IF(((GN494/GL494-1)*100)&gt;100,"NM",IF(((GN494/GL494-1)*100)&lt;-50,"NM",(GN494/GL494-1)*100)))</f>
        <v>6.3775510204081565</v>
      </c>
      <c r="GP494" s="65">
        <f>+GP237+GP83+GP145</f>
        <v>6604.4841039675412</v>
      </c>
      <c r="GQ494" s="61">
        <f>IF(ISERROR((GP494/GN494-1)*100),"NA",IF(((GP494/GN494-1)*100)&gt;100,"NM",IF(((GP494/GN494-1)*100)&lt;-50,"NM",(GP494/GN494-1)*100)))</f>
        <v>5.5872758428064051</v>
      </c>
      <c r="GR494" s="65">
        <f>+GR237+GR83+GR145</f>
        <v>6891.3952976943965</v>
      </c>
      <c r="GS494" s="61">
        <f>IF(ISERROR((GR494/GP494-1)*100),"NA",IF(((GR494/GP494-1)*100)&gt;100,"NM",IF(((GR494/GP494-1)*100)&lt;-50,"NM",(GR494/GP494-1)*100)))</f>
        <v>4.3441878155857427</v>
      </c>
      <c r="GT494" s="65">
        <f>+GT237+GT83+GT145</f>
        <v>7197.7773994313156</v>
      </c>
      <c r="GU494" s="61">
        <f>IF(ISERROR((GT494/GR494-1)*100),"NA",IF(((GT494/GR494-1)*100)&gt;100,"NM",IF(((GT494/GR494-1)*100)&lt;-50,"NM",(GT494/GR494-1)*100)))</f>
        <v>4.4458645673601582</v>
      </c>
      <c r="GV494" s="65">
        <f>+GV237+GV83+GV145</f>
        <v>7535.3927771372346</v>
      </c>
      <c r="GW494" s="61">
        <f>IF(ISERROR((GV494/GT494-1)*100),"NA",IF(((GV494/GT494-1)*100)&gt;100,"NM",IF(((GV494/GT494-1)*100)&lt;-50,"NM",(GV494/GT494-1)*100)))</f>
        <v>4.6905504153628597</v>
      </c>
      <c r="GX494" s="65">
        <f>+GX237+GX83+GX145</f>
        <v>7907.7857054148881</v>
      </c>
      <c r="GY494" s="61">
        <f>IF(ISERROR((GX494/GV494-1)*100),"NA",IF(((GX494/GV494-1)*100)&gt;100,"NM",IF(((GX494/GV494-1)*100)&lt;-50,"NM",(GX494/GV494-1)*100)))</f>
        <v>4.9419179502827371</v>
      </c>
      <c r="GZ494" s="61">
        <f t="shared" si="2572"/>
        <v>4.8010214501815973</v>
      </c>
      <c r="HA494" s="61"/>
      <c r="HB494" s="452"/>
      <c r="HC494"/>
      <c r="HD494"/>
      <c r="HE494"/>
      <c r="HF494"/>
      <c r="HG494"/>
      <c r="HH494"/>
    </row>
    <row r="495" spans="1:216" s="5" customFormat="1" ht="12.75" customHeight="1" x14ac:dyDescent="0.2">
      <c r="A495" s="7"/>
      <c r="B495" s="2" t="s">
        <v>414</v>
      </c>
      <c r="C495" s="64">
        <v>31.9</v>
      </c>
      <c r="D495" s="67"/>
      <c r="E495" s="64">
        <v>31</v>
      </c>
      <c r="F495" s="66"/>
      <c r="G495" s="64">
        <v>26.4</v>
      </c>
      <c r="H495" s="66"/>
      <c r="I495" s="64">
        <v>26.6</v>
      </c>
      <c r="J495" s="70"/>
      <c r="K495" s="64">
        <v>26.3</v>
      </c>
      <c r="L495" s="61">
        <f>IF(ISERROR((K495/C495-1)*100),"NA",IF(((K495/C495-1)*100)&gt;100,"NM",IF(((K495/C495-1)*100)&lt;-50,"NM",(K495/C495-1)*100)))</f>
        <v>-17.554858934169271</v>
      </c>
      <c r="M495" s="64">
        <v>25.7</v>
      </c>
      <c r="N495" s="61">
        <f>IF(ISERROR((M495/E495-1)*100),"NA",IF(((M495/E495-1)*100)&gt;100,"NM",IF(((M495/E495-1)*100)&lt;-50,"NM",(M495/E495-1)*100)))</f>
        <v>-17.096774193548391</v>
      </c>
      <c r="O495" s="64">
        <v>23.9</v>
      </c>
      <c r="P495" s="61">
        <f>IF(ISERROR((O495/G495-1)*100),"NA",IF(((O495/G495-1)*100)&gt;100,"NM",IF(((O495/G495-1)*100)&lt;-50,"NM",(O495/G495-1)*100)))</f>
        <v>-9.4696969696969724</v>
      </c>
      <c r="Q495" s="64">
        <v>23.4</v>
      </c>
      <c r="R495" s="61">
        <f>IF(ISERROR((Q495/I495-1)*100),"NA",IF(((Q495/I495-1)*100)&gt;100,"NM",IF(((Q495/I495-1)*100)&lt;-50,"NM",(Q495/I495-1)*100)))</f>
        <v>-12.030075187969935</v>
      </c>
      <c r="S495" s="64">
        <v>23</v>
      </c>
      <c r="T495" s="61">
        <f>IF(ISERROR((S495/K495-1)*100),"NA",IF(((S495/K495-1)*100)&gt;100,"NM",IF(((S495/K495-1)*100)&lt;-50,"NM",(S495/K495-1)*100)))</f>
        <v>-12.547528517110273</v>
      </c>
      <c r="U495" s="64">
        <v>105.4</v>
      </c>
      <c r="V495" s="61" t="str">
        <f>IF(ISERROR((U495/M495-1)*100),"NA",IF(((U495/M495-1)*100)&gt;100,"NM",IF(((U495/M495-1)*100)&lt;-50,"NM",(U495/M495-1)*100)))</f>
        <v>NM</v>
      </c>
      <c r="W495" s="64">
        <v>83.2</v>
      </c>
      <c r="X495" s="61" t="str">
        <f>IF(ISERROR((W495/O495-1)*100),"NA",IF(((W495/O495-1)*100)&gt;100,"NM",IF(((W495/O495-1)*100)&lt;-50,"NM",(W495/O495-1)*100)))</f>
        <v>NM</v>
      </c>
      <c r="Y495" s="64">
        <v>108</v>
      </c>
      <c r="Z495" s="61" t="str">
        <f>IF(ISERROR((Y495/Q495-1)*100),"NA",IF(((Y495/Q495-1)*100)&gt;100,"NM",IF(((Y495/Q495-1)*100)&lt;-50,"NM",(Y495/Q495-1)*100)))</f>
        <v>NM</v>
      </c>
      <c r="AA495" s="64">
        <v>91.8</v>
      </c>
      <c r="AB495" s="61" t="str">
        <f>IF(ISERROR((AA495/S495-1)*100),"NA",IF(((AA495/S495-1)*100)&gt;100,"NM",IF(((AA495/S495-1)*100)&lt;-50,"NM",(AA495/S495-1)*100)))</f>
        <v>NM</v>
      </c>
      <c r="AC495" s="64">
        <v>92.6</v>
      </c>
      <c r="AD495" s="61">
        <f>IF(ISERROR((AC495/U495-1)*100),"NA",IF(((AC495/U495-1)*100)&gt;100,"NM",IF(((AC495/U495-1)*100)&lt;-50,"NM",(AC495/U495-1)*100)))</f>
        <v>-12.144212523719178</v>
      </c>
      <c r="AE495" s="64">
        <v>105.3</v>
      </c>
      <c r="AF495" s="61">
        <f>IF(ISERROR((AE495/W495-1)*100),"NA",IF(((AE495/W495-1)*100)&gt;100,"NM",IF(((AE495/W495-1)*100)&lt;-50,"NM",(AE495/W495-1)*100)))</f>
        <v>26.5625</v>
      </c>
      <c r="AG495" s="64">
        <v>99.9</v>
      </c>
      <c r="AH495" s="61">
        <f>IF(ISERROR((AG495/Y495-1)*100),"NA",IF(((AG495/Y495-1)*100)&gt;100,"NM",IF(((AG495/Y495-1)*100)&lt;-50,"NM",(AG495/Y495-1)*100)))</f>
        <v>-7.4999999999999956</v>
      </c>
      <c r="AI495" s="64">
        <v>83.2</v>
      </c>
      <c r="AJ495" s="61">
        <f>IF(ISERROR((AI495/AA495-1)*100),"NA",IF(((AI495/AA495-1)*100)&gt;100,"NM",IF(((AI495/AA495-1)*100)&lt;-50,"NM",(AI495/AA495-1)*100)))</f>
        <v>-9.3681917211328898</v>
      </c>
      <c r="AK495" s="64">
        <v>176.8</v>
      </c>
      <c r="AL495" s="61">
        <f>IF(ISERROR((AK495/AC495-1)*100),"NA",IF(((AK495/AC495-1)*100)&gt;100,"NM",IF(((AK495/AC495-1)*100)&lt;-50,"NM",(AK495/AC495-1)*100)))</f>
        <v>90.928725701943861</v>
      </c>
      <c r="AM495" s="64">
        <v>26.6</v>
      </c>
      <c r="AN495" s="61" t="str">
        <f>IF(ISERROR((AM495/AE495-1)*100),"NA",IF(((AM495/AE495-1)*100)&gt;100,"NM",IF(((AM495/AE495-1)*100)&lt;-50,"NM",(AM495/AE495-1)*100)))</f>
        <v>NM</v>
      </c>
      <c r="AO495" s="64">
        <v>32.700000000000003</v>
      </c>
      <c r="AP495" s="61" t="str">
        <f>IF(ISERROR((AO495/AG495-1)*100),"NA",IF(((AO495/AG495-1)*100)&gt;100,"NM",IF(((AO495/AG495-1)*100)&lt;-50,"NM",(AO495/AG495-1)*100)))</f>
        <v>NM</v>
      </c>
      <c r="AQ495" s="65">
        <f>+AQ148+AQ323+AQ375+AQ472</f>
        <v>52.600000000000023</v>
      </c>
      <c r="AR495" s="61">
        <f>IF(ISERROR((AQ495/AI495-1)*100),"NA",IF(((AQ495/AI495-1)*100)&gt;100,"NM",IF(((AQ495/AI495-1)*100)&lt;-50,"NM",(AQ495/AI495-1)*100)))</f>
        <v>-36.778846153846132</v>
      </c>
      <c r="AS495" s="65">
        <f>+AS148+AS323+AS375+AS472</f>
        <v>52.300000000000018</v>
      </c>
      <c r="AT495" s="61" t="str">
        <f>IF(ISERROR((AS495/AK495-1)*100),"NA",IF(((AS495/AK495-1)*100)&gt;100,"NM",IF(((AS495/AK495-1)*100)&lt;-50,"NM",(AS495/AK495-1)*100)))</f>
        <v>NM</v>
      </c>
      <c r="AU495" s="65">
        <f>+AU148+AU323+AU375+AU472</f>
        <v>55.099999999999994</v>
      </c>
      <c r="AV495" s="61" t="str">
        <f>IF(ISERROR((AU495/AM495-1)*100),"NA",IF(((AU495/AM495-1)*100)&gt;100,"NM",IF(((AU495/AM495-1)*100)&lt;-50,"NM",(AU495/AM495-1)*100)))</f>
        <v>NM</v>
      </c>
      <c r="AW495" s="65">
        <f>+AW148+AW323+AW375+AW472</f>
        <v>57.099999999999973</v>
      </c>
      <c r="AX495" s="61">
        <f>IF(ISERROR((AW495/AO495-1)*100),"NA",IF(((AW495/AO495-1)*100)&gt;100,"NM",IF(((AW495/AO495-1)*100)&lt;-50,"NM",(AW495/AO495-1)*100)))</f>
        <v>74.617737003058011</v>
      </c>
      <c r="AY495" s="65">
        <f>+AY148+AY323+AY375+AY472</f>
        <v>62.400000000000006</v>
      </c>
      <c r="AZ495" s="61">
        <f>IF(ISERROR((AY495/AQ495-1)*100),"NA",IF(((AY495/AQ495-1)*100)&gt;100,"NM",IF(((AY495/AQ495-1)*100)&lt;-50,"NM",(AY495/AQ495-1)*100)))</f>
        <v>18.631178707224304</v>
      </c>
      <c r="BA495" s="65">
        <f>+BA148+BA323+BA375+BA472</f>
        <v>54.7</v>
      </c>
      <c r="BB495" s="61">
        <f>IF(ISERROR((BA495/AS495-1)*100),"NA",IF(((BA495/AS495-1)*100)&gt;100,"NM",IF(((BA495/AS495-1)*100)&lt;-50,"NM",(BA495/AS495-1)*100)))</f>
        <v>4.5889101338431715</v>
      </c>
      <c r="BC495" s="65">
        <f>+BC148+BC323+BC375+BC472</f>
        <v>59.199999999999989</v>
      </c>
      <c r="BD495" s="61">
        <f>IF(ISERROR((BC495/AU495-1)*100),"NA",IF(((BC495/AU495-1)*100)&gt;100,"NM",IF(((BC495/AU495-1)*100)&lt;-50,"NM",(BC495/AU495-1)*100)))</f>
        <v>7.4410163339382773</v>
      </c>
      <c r="BE495" s="65">
        <f>+BE148+BE323+BE375+BE472</f>
        <v>62.300000000000011</v>
      </c>
      <c r="BF495" s="61">
        <f>IF(ISERROR((BE495/AW495-1)*100),"NA",IF(((BE495/AW495-1)*100)&gt;100,"NM",IF(((BE495/AW495-1)*100)&lt;-50,"NM",(BE495/AW495-1)*100)))</f>
        <v>9.1068301225920134</v>
      </c>
      <c r="BG495" s="65">
        <f>+BG148+BG472+BG287</f>
        <v>24.299999999999983</v>
      </c>
      <c r="BH495" s="61" t="str">
        <f>IF(ISERROR((BG495/AY495-1)*100),"NA",IF(((BG495/AY495-1)*100)&gt;100,"NM",IF(((BG495/AY495-1)*100)&lt;-50,"NM",(BG495/AY495-1)*100)))</f>
        <v>NM</v>
      </c>
      <c r="BI495" s="65">
        <f>+BI148+BI472+BI287</f>
        <v>24.400000000000009</v>
      </c>
      <c r="BJ495" s="61" t="str">
        <f>IF(ISERROR((BI495/BA495-1)*100),"NA",IF(((BI495/BA495-1)*100)&gt;100,"NM",IF(((BI495/BA495-1)*100)&lt;-50,"NM",(BI495/BA495-1)*100)))</f>
        <v>NM</v>
      </c>
      <c r="BK495" s="65">
        <f>+BK148+BK472+BK287</f>
        <v>25.100000000000005</v>
      </c>
      <c r="BL495" s="61" t="str">
        <f>IF(ISERROR((BK495/BC495-1)*100),"NA",IF(((BK495/BC495-1)*100)&gt;100,"NM",IF(((BK495/BC495-1)*100)&lt;-50,"NM",(BK495/BC495-1)*100)))</f>
        <v>NM</v>
      </c>
      <c r="BM495" s="65">
        <f>+BM148+BM472+BM287</f>
        <v>23.5</v>
      </c>
      <c r="BN495" s="61" t="str">
        <f>IF(ISERROR((BM495/BE495-1)*100),"NA",IF(((BM495/BE495-1)*100)&gt;100,"NM",IF(((BM495/BE495-1)*100)&lt;-50,"NM",(BM495/BE495-1)*100)))</f>
        <v>NM</v>
      </c>
      <c r="BO495" s="65">
        <f>+BO148+BO472+BO287</f>
        <v>24.500000000000004</v>
      </c>
      <c r="BP495" s="61">
        <f>IF(ISERROR((BO495/BG495-1)*100),"NA",IF(((BO495/BG495-1)*100)&gt;100,"NM",IF(((BO495/BG495-1)*100)&lt;-50,"NM",(BO495/BG495-1)*100)))</f>
        <v>0.82304526748979701</v>
      </c>
      <c r="BQ495" s="65">
        <f>+BQ148+BQ472+BQ287</f>
        <v>23.599999999999994</v>
      </c>
      <c r="BR495" s="61">
        <f>IF(ISERROR((BQ495/BI495-1)*100),"NA",IF(((BQ495/BI495-1)*100)&gt;100,"NM",IF(((BQ495/BI495-1)*100)&lt;-50,"NM",(BQ495/BI495-1)*100)))</f>
        <v>-3.2786885245902231</v>
      </c>
      <c r="BS495" s="65">
        <f>+BS148+BS472+BS287</f>
        <v>23.9</v>
      </c>
      <c r="BT495" s="61">
        <f>IF(ISERROR((BS495/BK495-1)*100),"NA",IF(((BS495/BK495-1)*100)&gt;100,"NM",IF(((BS495/BK495-1)*100)&lt;-50,"NM",(BS495/BK495-1)*100)))</f>
        <v>-4.7808764940239339</v>
      </c>
      <c r="BU495" s="65">
        <f>+BU148+BU472+BU287</f>
        <v>22.400000000000002</v>
      </c>
      <c r="BV495" s="61">
        <f>IF(ISERROR((BU495/BM495-1)*100),"NA",IF(((BU495/BM495-1)*100)&gt;100,"NM",IF(((BU495/BM495-1)*100)&lt;-50,"NM",(BU495/BM495-1)*100)))</f>
        <v>-4.6808510638297829</v>
      </c>
      <c r="BW495" s="65">
        <f>+BW148+BW472+BW287</f>
        <v>22.299999999999997</v>
      </c>
      <c r="BX495" s="61">
        <f>IF(ISERROR((BW495/BO495-1)*100),"NA",IF(((BW495/BO495-1)*100)&gt;100,"NM",IF(((BW495/BO495-1)*100)&lt;-50,"NM",(BW495/BO495-1)*100)))</f>
        <v>-8.9795918367347234</v>
      </c>
      <c r="BY495" s="65">
        <f>+BY148+BY472+BY287</f>
        <v>23.100000000000009</v>
      </c>
      <c r="BZ495" s="61">
        <f>IF(ISERROR((BY495/BQ495-1)*100),"NA",IF(((BY495/BQ495-1)*100)&gt;100,"NM",IF(((BY495/BQ495-1)*100)&lt;-50,"NM",(BY495/BQ495-1)*100)))</f>
        <v>-2.118644067796549</v>
      </c>
      <c r="CA495" s="16">
        <f>+CA148+CA472+CA287</f>
        <v>22.909999999999986</v>
      </c>
      <c r="CB495" s="61">
        <f>IF(ISERROR((CA495/BS495-1)*100),"NA",IF(((CA495/BS495-1)*100)&gt;100,"NM",IF(((CA495/BS495-1)*100)&lt;-50,"NM",(CA495/BS495-1)*100)))</f>
        <v>-4.1422594142259905</v>
      </c>
      <c r="CC495" s="65">
        <f>+CC148+CC472+CC287</f>
        <v>23.2</v>
      </c>
      <c r="CD495" s="61">
        <f>IF(ISERROR((CC495/BU495-1)*100),"NA",IF(((CC495/BU495-1)*100)&gt;100,"NM",IF(((CC495/BU495-1)*100)&lt;-50,"NM",(CC495/BU495-1)*100)))</f>
        <v>3.5714285714285587</v>
      </c>
      <c r="CE495" s="65">
        <f>+CE148+CE472+CE287</f>
        <v>24.000000000000007</v>
      </c>
      <c r="CF495" s="61">
        <f>IF(ISERROR((CE495/BW495-1)*100),"NA",IF(((CE495/BW495-1)*100)&gt;100,"NM",IF(((CE495/BW495-1)*100)&lt;-50,"NM",(CE495/BW495-1)*100)))</f>
        <v>7.6233183856502684</v>
      </c>
      <c r="CG495" s="65">
        <f>+CG148+CG472+CG287</f>
        <v>24.800000000000018</v>
      </c>
      <c r="CH495" s="61">
        <f>IF(ISERROR((CG495/BY495-1)*100),"NA",IF(((CG495/BY495-1)*100)&gt;100,"NM",IF(((CG495/BY495-1)*100)&lt;-50,"NM",(CG495/BY495-1)*100)))</f>
        <v>7.3593073593074099</v>
      </c>
      <c r="CI495" s="65">
        <f>+CI148+CI472+CI287</f>
        <v>24.699999999999989</v>
      </c>
      <c r="CJ495" s="61">
        <f>IF(ISERROR((CI495/CA495-1)*100),"NA",IF(((CI495/CA495-1)*100)&gt;100,"NM",IF(((CI495/CA495-1)*100)&lt;-50,"NM",(CI495/CA495-1)*100)))</f>
        <v>7.8131820165866506</v>
      </c>
      <c r="CK495" s="65">
        <f>+CK148+CK472+CK287</f>
        <v>24.600000000000005</v>
      </c>
      <c r="CL495" s="61">
        <f>IF(ISERROR((CK495/CC495-1)*100),"NA",IF(((CK495/CC495-1)*100)&gt;100,"NM",IF(((CK495/CC495-1)*100)&lt;-50,"NM",(CK495/CC495-1)*100)))</f>
        <v>6.0344827586207073</v>
      </c>
      <c r="CM495" s="65">
        <f>+CM148+CM472+CM287</f>
        <v>23.2</v>
      </c>
      <c r="CN495" s="61">
        <f>IF(ISERROR((CM495/CE495-1)*100),"NA",IF(((CM495/CE495-1)*100)&gt;100,"NM",IF(((CM495/CE495-1)*100)&lt;-50,"NM",(CM495/CE495-1)*100)))</f>
        <v>-3.3333333333333659</v>
      </c>
      <c r="CO495" s="65">
        <f>+CO148+CO472+CO287</f>
        <v>24.299999999999976</v>
      </c>
      <c r="CP495" s="61">
        <f>IF(ISERROR((CO495/CG495-1)*100),"NA",IF(((CO495/CG495-1)*100)&gt;100,"NM",IF(((CO495/CG495-1)*100)&lt;-50,"NM",(CO495/CG495-1)*100)))</f>
        <v>-2.0161290322582404</v>
      </c>
      <c r="CQ495" s="65">
        <f>+CQ148+CQ472+CQ287</f>
        <v>23.5</v>
      </c>
      <c r="CR495" s="61">
        <f>IF(ISERROR((CQ495/CI495-1)*100),"NA",IF(((CQ495/CI495-1)*100)&gt;100,"NM",IF(((CQ495/CI495-1)*100)&lt;-50,"NM",(CQ495/CI495-1)*100)))</f>
        <v>-4.8582995951416574</v>
      </c>
      <c r="CS495" s="65">
        <f>+CS148+CS472+CS287</f>
        <v>23</v>
      </c>
      <c r="CT495" s="61">
        <f>IF(ISERROR((CS495/CK495-1)*100),"NA",IF(((CS495/CK495-1)*100)&gt;100,"NM",IF(((CS495/CK495-1)*100)&lt;-50,"NM",(CS495/CK495-1)*100)))</f>
        <v>-6.5040650406504312</v>
      </c>
      <c r="CU495" s="65">
        <f>+CU148+CU472+CU287</f>
        <v>24</v>
      </c>
      <c r="CV495" s="61">
        <f>IF(ISERROR((CU495/CM495-1)*100),"NA",IF(((CU495/CM495-1)*100)&gt;100,"NM",IF(((CU495/CM495-1)*100)&lt;-50,"NM",(CU495/CM495-1)*100)))</f>
        <v>3.4482758620689724</v>
      </c>
      <c r="CW495" s="65">
        <f>+CW148+CW472+CW287</f>
        <v>24</v>
      </c>
      <c r="CX495" s="61">
        <f>IF(ISERROR((CW495/CO495-1)*100),"NA",IF(((CW495/CO495-1)*100)&gt;100,"NM",IF(((CW495/CO495-1)*100)&lt;-50,"NM",(CW495/CO495-1)*100)))</f>
        <v>-1.2345679012344735</v>
      </c>
      <c r="CY495" s="65">
        <f>+CY148+CY472+CY287</f>
        <v>24</v>
      </c>
      <c r="CZ495" s="61">
        <f>IF(ISERROR((CY495/CQ495-1)*100),"NA",IF(((CY495/CQ495-1)*100)&gt;100,"NM",IF(((CY495/CQ495-1)*100)&lt;-50,"NM",(CY495/CQ495-1)*100)))</f>
        <v>2.1276595744680771</v>
      </c>
      <c r="DA495" s="65">
        <f>+DA148+DA472+DA287</f>
        <v>25</v>
      </c>
      <c r="DB495" s="61">
        <f>IF(ISERROR((DA495/CS495-1)*100),"NA",IF(((DA495/CS495-1)*100)&gt;100,"NM",IF(((DA495/CS495-1)*100)&lt;-50,"NM",(DA495/CS495-1)*100)))</f>
        <v>8.6956521739130377</v>
      </c>
      <c r="DC495" s="65">
        <f>+DC148+DC472+DC287</f>
        <v>23</v>
      </c>
      <c r="DD495" s="61">
        <f>IF(ISERROR((DC495/CU495-1)*100),"NA",IF(((DC495/CU495-1)*100)&gt;100,"NM",IF(((DC495/CU495-1)*100)&lt;-50,"NM",(DC495/CU495-1)*100)))</f>
        <v>-4.1666666666666625</v>
      </c>
      <c r="DE495" s="65">
        <f>+DE148+DE472+DE287</f>
        <v>22</v>
      </c>
      <c r="DF495" s="61">
        <f>IF(ISERROR((DE495/CW495-1)*100),"NA",IF(((DE495/CW495-1)*100)&gt;100,"NM",IF(((DE495/CW495-1)*100)&lt;-50,"NM",(DE495/CW495-1)*100)))</f>
        <v>-8.3333333333333375</v>
      </c>
      <c r="DG495" s="65">
        <f>+DG148+DG472+DG287</f>
        <v>25</v>
      </c>
      <c r="DH495" s="61">
        <f>IF(ISERROR((DG495/CY495-1)*100),"NA",IF(((DG495/CY495-1)*100)&gt;100,"NM",IF(((DG495/CY495-1)*100)&lt;-50,"NM",(DG495/CY495-1)*100)))</f>
        <v>4.1666666666666741</v>
      </c>
      <c r="DI495" s="65">
        <f>+DI148+DI472+DI287</f>
        <v>24</v>
      </c>
      <c r="DJ495" s="61">
        <f>IF(ISERROR((DI495/DA495-1)*100),"NA",IF(((DI495/DA495-1)*100)&gt;100,"NM",IF(((DI495/DA495-1)*100)&lt;-50,"NM",(DI495/DA495-1)*100)))</f>
        <v>-4.0000000000000036</v>
      </c>
      <c r="DK495" s="65">
        <f>+DK148+DK472+DK287</f>
        <v>24</v>
      </c>
      <c r="DL495" s="61">
        <f>IF(ISERROR((DK495/DC495-1)*100),"NA",IF(((DK495/DC495-1)*100)&gt;100,"NM",IF(((DK495/DC495-1)*100)&lt;-50,"NM",(DK495/DC495-1)*100)))</f>
        <v>4.3478260869565188</v>
      </c>
      <c r="DM495" s="65">
        <f>+DM148+DM472+DM287</f>
        <v>25</v>
      </c>
      <c r="DN495" s="130">
        <f t="shared" si="2573"/>
        <v>13.636363636363647</v>
      </c>
      <c r="DO495" s="65">
        <f>+DO148+DO472+DO287</f>
        <v>24</v>
      </c>
      <c r="DP495" s="130">
        <f t="shared" si="2573"/>
        <v>-4.0000000000000036</v>
      </c>
      <c r="DQ495" s="65">
        <f>+DQ148+DQ472+DQ287</f>
        <v>23</v>
      </c>
      <c r="DR495" s="130">
        <f t="shared" si="2573"/>
        <v>-4.1666666666666625</v>
      </c>
      <c r="DS495" s="65">
        <f>+DS148+DS472+DS287</f>
        <v>22</v>
      </c>
      <c r="DT495" s="130">
        <f t="shared" si="2573"/>
        <v>-8.3333333333333375</v>
      </c>
      <c r="DU495" s="65">
        <f>+DU148+DU472+DU287</f>
        <v>24</v>
      </c>
      <c r="DV495" s="130">
        <f t="shared" si="2573"/>
        <v>-4.0000000000000036</v>
      </c>
      <c r="DW495" s="65">
        <f>+DW148+DW472+DW287</f>
        <v>24</v>
      </c>
      <c r="DX495" s="65">
        <f t="shared" ref="DX495:DY495" si="2600">+DX148+DX472+DX287</f>
        <v>24</v>
      </c>
      <c r="DY495" s="65">
        <f t="shared" si="2600"/>
        <v>24</v>
      </c>
      <c r="DZ495" s="130">
        <f t="shared" si="2573"/>
        <v>4.3478260869565188</v>
      </c>
      <c r="EA495" s="65">
        <f t="shared" ref="EA495:EC495" si="2601">+EA148+EA472+EA287</f>
        <v>26</v>
      </c>
      <c r="EB495" s="130">
        <f t="shared" si="2576"/>
        <v>18.181818181818187</v>
      </c>
      <c r="EC495" s="65">
        <f t="shared" si="2601"/>
        <v>26</v>
      </c>
      <c r="ED495" s="130">
        <f t="shared" si="2577"/>
        <v>8.333333333333325</v>
      </c>
      <c r="EE495" s="65">
        <f t="shared" ref="EE495:EG495" si="2602">+EE148+EE472+EE287</f>
        <v>26</v>
      </c>
      <c r="EF495" s="130">
        <f t="shared" si="2579"/>
        <v>8.333333333333325</v>
      </c>
      <c r="EG495" s="65">
        <f t="shared" si="2602"/>
        <v>25</v>
      </c>
      <c r="EH495" s="130">
        <f t="shared" si="2580"/>
        <v>4.1666666666666741</v>
      </c>
      <c r="EI495" s="65">
        <f t="shared" ref="EI495:EK495" si="2603">+EI148+EI472+EI287</f>
        <v>26</v>
      </c>
      <c r="EJ495" s="130">
        <f t="shared" si="2582"/>
        <v>0</v>
      </c>
      <c r="EK495" s="65">
        <f t="shared" si="2603"/>
        <v>12</v>
      </c>
      <c r="EL495" s="130" t="str">
        <f t="shared" si="2583"/>
        <v>NM</v>
      </c>
      <c r="EM495" s="65">
        <f t="shared" ref="EM495" si="2604">+EM148+EM472+EM287</f>
        <v>28</v>
      </c>
      <c r="EN495" s="130">
        <f t="shared" si="2585"/>
        <v>7.6923076923076872</v>
      </c>
      <c r="EO495" s="65">
        <f t="shared" ref="EO495" si="2605">+EO148+EO472+EO287</f>
        <v>9</v>
      </c>
      <c r="EP495" s="130" t="str">
        <f t="shared" si="2587"/>
        <v>NM</v>
      </c>
      <c r="EQ495" s="65">
        <f t="shared" ref="EQ495:EW495" si="2606">+EQ148+EQ472+EQ287</f>
        <v>8.9600000000000009</v>
      </c>
      <c r="ER495" s="130" t="str">
        <f t="shared" si="2589"/>
        <v>NM</v>
      </c>
      <c r="ES495" s="65">
        <f t="shared" si="2606"/>
        <v>8.9204000000000008</v>
      </c>
      <c r="ET495" s="130">
        <f t="shared" si="2590"/>
        <v>-25.663333333333327</v>
      </c>
      <c r="EU495" s="65">
        <f t="shared" si="2606"/>
        <v>15.881195999999999</v>
      </c>
      <c r="EV495" s="130">
        <f t="shared" si="2591"/>
        <v>-43.281442857142864</v>
      </c>
      <c r="EW495" s="65">
        <f t="shared" si="2606"/>
        <v>15.772384039999999</v>
      </c>
      <c r="EX495" s="130">
        <f t="shared" si="2592"/>
        <v>75.248711555555545</v>
      </c>
      <c r="EY495" s="66"/>
      <c r="EZ495" s="558"/>
      <c r="FA495" s="66"/>
      <c r="FB495" s="64"/>
      <c r="FC495" s="70"/>
      <c r="FD495" s="64"/>
      <c r="FE495" s="70"/>
      <c r="FF495" s="64"/>
      <c r="FG495" s="70"/>
      <c r="FH495" s="280">
        <v>99.3</v>
      </c>
      <c r="FI495" s="281" t="s">
        <v>101</v>
      </c>
      <c r="FJ495" s="282">
        <v>319.60000000000002</v>
      </c>
      <c r="FK495" s="281" t="s">
        <v>102</v>
      </c>
      <c r="FL495" s="282">
        <v>389.6</v>
      </c>
      <c r="FM495" s="283">
        <v>21.902377972465594</v>
      </c>
      <c r="FN495" s="282">
        <v>319.3</v>
      </c>
      <c r="FO495" s="283">
        <v>-18.044147843942504</v>
      </c>
      <c r="FP495" s="65">
        <f>+FP148+FP472+FP287</f>
        <v>91.1</v>
      </c>
      <c r="FQ495" s="61" t="str">
        <f>IF(ISERROR((FP495/FN495-1)*100),"NA",IF(((FP495/FN495-1)*100)&gt;100,"NM",IF(((FP495/FN495-1)*100)&lt;-50,"NM",(FP495/FN495-1)*100)))</f>
        <v>NM</v>
      </c>
      <c r="FR495" s="65">
        <f>+FR148+FR472+FR287</f>
        <v>97.300000000000011</v>
      </c>
      <c r="FS495" s="61">
        <f>IF(ISERROR((FR495/FP495-1)*100),"NA",IF(((FR495/FP495-1)*100)&gt;100,"NM",IF(((FR495/FP495-1)*100)&lt;-50,"NM",(FR495/FP495-1)*100)))</f>
        <v>6.8057080131723513</v>
      </c>
      <c r="FT495" s="65">
        <f>+FT148+FT472+FT287</f>
        <v>97.3</v>
      </c>
      <c r="FU495" s="61">
        <f>IF(ISERROR((FT495/FR495-1)*100),"NA",IF(((FT495/FR495-1)*100)&gt;100,"NM",IF(((FT495/FR495-1)*100)&lt;-50,"NM",(FT495/FR495-1)*100)))</f>
        <v>-1.1102230246251565E-14</v>
      </c>
      <c r="FV495" s="65">
        <f>+FV148+FV472+FV287</f>
        <v>94.399999999999991</v>
      </c>
      <c r="FW495" s="61">
        <f>IF(ISERROR((FV495/FT495-1)*100),"NA",IF(((FV495/FT495-1)*100)&gt;100,"NM",IF(((FV495/FT495-1)*100)&lt;-50,"NM",(FV495/FT495-1)*100)))</f>
        <v>-2.9804727646454365</v>
      </c>
      <c r="FX495" s="65">
        <f>+FX148+FX472+FX287</f>
        <v>91.509999999999977</v>
      </c>
      <c r="FY495" s="61">
        <f>IF(ISERROR((FX495/FV495-1)*100),"NA",IF(((FX495/FV495-1)*100)&gt;100,"NM",IF(((FX495/FV495-1)*100)&lt;-50,"NM",(FX495/FV495-1)*100)))</f>
        <v>-3.0614406779661207</v>
      </c>
      <c r="FZ495" s="65">
        <f>+FZ148+FZ472+FZ287</f>
        <v>98.100000000000009</v>
      </c>
      <c r="GA495" s="61">
        <f>IF(ISERROR((FZ495/FX495-1)*100),"NA",IF(((FZ495/FX495-1)*100)&gt;100,"NM",IF(((FZ495/FX495-1)*100)&lt;-50,"NM",(FZ495/FX495-1)*100)))</f>
        <v>7.2013987542345559</v>
      </c>
      <c r="GB495" s="65">
        <f>+GB148+GB472+GB287</f>
        <v>93.999999999999972</v>
      </c>
      <c r="GC495" s="61">
        <f>IF(ISERROR((GB495/FZ495-1)*100),"NA",IF(((GB495/FZ495-1)*100)&gt;100,"NM",IF(((GB495/FZ495-1)*100)&lt;-50,"NM",(GB495/FZ495-1)*100)))</f>
        <v>-4.1794087665647623</v>
      </c>
      <c r="GD495" s="65">
        <f>+GD148+GD472+GD287</f>
        <v>97</v>
      </c>
      <c r="GE495" s="61">
        <f>IF(ISERROR((GD495/GB495-1)*100),"NA",IF(((GD495/GB495-1)*100)&gt;100,"NM",IF(((GD495/GB495-1)*100)&lt;-50,"NM",(GD495/GB495-1)*100)))</f>
        <v>3.1914893617021489</v>
      </c>
      <c r="GF495" s="65">
        <f>+GF148+GF472+GF287</f>
        <v>94</v>
      </c>
      <c r="GG495" s="61">
        <f>IF(ISERROR((GF495/GD495-1)*100),"NA",IF(((GF495/GD495-1)*100)&gt;100,"NM",IF(((GF495/GD495-1)*100)&lt;-50,"NM",(GF495/GD495-1)*100)))</f>
        <v>-3.0927835051546393</v>
      </c>
      <c r="GH495" s="65">
        <f>+GH148+GH472+GH287</f>
        <v>96</v>
      </c>
      <c r="GI495" s="61">
        <f>IF(ISERROR((GH495/GF495-1)*100),"NA",IF(((GH495/GF495-1)*100)&gt;100,"NM",IF(((GH495/GF495-1)*100)&lt;-50,"NM",(GH495/GF495-1)*100)))</f>
        <v>2.1276595744680771</v>
      </c>
      <c r="GJ495" s="65">
        <f>+GJ148+GJ472+GJ287</f>
        <v>94</v>
      </c>
      <c r="GK495" s="61">
        <f>IF(ISERROR((GJ495/GH495-1)*100),"NA",IF(((GJ495/GH495-1)*100)&gt;100,"NM",IF(((GJ495/GH495-1)*100)&lt;-50,"NM",(GJ495/GH495-1)*100)))</f>
        <v>-2.083333333333337</v>
      </c>
      <c r="GL495" s="65">
        <f>+GL148+GL472+GL287</f>
        <v>103</v>
      </c>
      <c r="GM495" s="61">
        <f>IF(ISERROR((GL495/GJ495-1)*100),"NA",IF(((GL495/GJ495-1)*100)&gt;100,"NM",IF(((GL495/GJ495-1)*100)&lt;-50,"NM",(GL495/GJ495-1)*100)))</f>
        <v>9.5744680851063801</v>
      </c>
      <c r="GN495" s="65">
        <f>+GN148+GN472+GN287</f>
        <v>75</v>
      </c>
      <c r="GO495" s="61">
        <f>IF(ISERROR((GN495/GL495-1)*100),"NA",IF(((GN495/GL495-1)*100)&gt;100,"NM",IF(((GN495/GL495-1)*100)&lt;-50,"NM",(GN495/GL495-1)*100)))</f>
        <v>-27.184466019417474</v>
      </c>
      <c r="GP495" s="65">
        <f>+GP148+GP472+GP287</f>
        <v>49.533980039999996</v>
      </c>
      <c r="GQ495" s="61">
        <f>IF(ISERROR((GP495/GN495-1)*100),"NA",IF(((GP495/GN495-1)*100)&gt;100,"NM",IF(((GP495/GN495-1)*100)&lt;-50,"NM",(GP495/GN495-1)*100)))</f>
        <v>-33.954693280000001</v>
      </c>
      <c r="GR495" s="65">
        <f>+GR148+GR472+GR287</f>
        <v>63.951326883199997</v>
      </c>
      <c r="GS495" s="61">
        <f>IF(ISERROR((GR495/GP495-1)*100),"NA",IF(((GR495/GP495-1)*100)&gt;100,"NM",IF(((GR495/GP495-1)*100)&lt;-50,"NM",(GR495/GP495-1)*100)))</f>
        <v>29.105972973618542</v>
      </c>
      <c r="GT495" s="65">
        <f>+GT148+GT472+GT287</f>
        <v>64.830353420864</v>
      </c>
      <c r="GU495" s="61">
        <f>IF(ISERROR((GT495/GR495-1)*100),"NA",IF(((GT495/GR495-1)*100)&gt;100,"NM",IF(((GT495/GR495-1)*100)&lt;-50,"NM",(GT495/GR495-1)*100)))</f>
        <v>1.3745243148268749</v>
      </c>
      <c r="GV495" s="65">
        <f>+GV148+GV472+GV287</f>
        <v>65.726960489281282</v>
      </c>
      <c r="GW495" s="61">
        <f>IF(ISERROR((GV495/GT495-1)*100),"NA",IF(((GV495/GT495-1)*100)&gt;100,"NM",IF(((GV495/GT495-1)*100)&lt;-50,"NM",(GV495/GT495-1)*100)))</f>
        <v>1.3830050602943844</v>
      </c>
      <c r="GX495" s="65">
        <f>+GX148+GX472+GX287</f>
        <v>66.641499699066912</v>
      </c>
      <c r="GY495" s="61">
        <f>IF(ISERROR((GX495/GV495-1)*100),"NA",IF(((GX495/GV495-1)*100)&gt;100,"NM",IF(((GX495/GV495-1)*100)&lt;-50,"NM",(GX495/GV495-1)*100)))</f>
        <v>1.3914217285839303</v>
      </c>
      <c r="GZ495" s="61">
        <f t="shared" si="2572"/>
        <v>-2.3355070419109114</v>
      </c>
      <c r="HA495" s="61"/>
      <c r="HB495" s="452"/>
      <c r="HC495"/>
      <c r="HD495"/>
      <c r="HE495"/>
      <c r="HF495"/>
      <c r="HG495"/>
      <c r="HH495"/>
    </row>
    <row r="496" spans="1:216" s="5" customFormat="1" ht="12.75" customHeight="1" x14ac:dyDescent="0.2">
      <c r="A496" s="7" t="s">
        <v>33</v>
      </c>
      <c r="B496" s="443" t="s">
        <v>112</v>
      </c>
      <c r="C496" s="64">
        <v>610.4</v>
      </c>
      <c r="D496" s="67"/>
      <c r="E496" s="64">
        <v>592.4</v>
      </c>
      <c r="F496" s="66"/>
      <c r="G496" s="64">
        <v>604.79999999999995</v>
      </c>
      <c r="H496" s="66"/>
      <c r="I496" s="64">
        <v>585.20000000000005</v>
      </c>
      <c r="J496" s="70"/>
      <c r="K496" s="64">
        <v>604.29999999999995</v>
      </c>
      <c r="L496" s="61">
        <f>IF(ISERROR((K496/C496-1)*100),"NA",IF(((K496/C496-1)*100)&gt;100,"NM",IF(((K496/C496-1)*100)&lt;-50,"NM",(K496/C496-1)*100)))</f>
        <v>-0.99934469200524401</v>
      </c>
      <c r="M496" s="64">
        <v>604.29999999999995</v>
      </c>
      <c r="N496" s="61">
        <f>IF(ISERROR((M496/E496-1)*100),"NA",IF(((M496/E496-1)*100)&gt;100,"NM",IF(((M496/E496-1)*100)&lt;-50,"NM",(M496/E496-1)*100)))</f>
        <v>2.0087778528021571</v>
      </c>
      <c r="O496" s="64">
        <v>615.29999999999995</v>
      </c>
      <c r="P496" s="61">
        <f>IF(ISERROR((O496/G496-1)*100),"NA",IF(((O496/G496-1)*100)&gt;100,"NM",IF(((O496/G496-1)*100)&lt;-50,"NM",(O496/G496-1)*100)))</f>
        <v>1.736111111111116</v>
      </c>
      <c r="Q496" s="64">
        <v>603.70000000000005</v>
      </c>
      <c r="R496" s="61">
        <f>IF(ISERROR((Q496/I496-1)*100),"NA",IF(((Q496/I496-1)*100)&gt;100,"NM",IF(((Q496/I496-1)*100)&lt;-50,"NM",(Q496/I496-1)*100)))</f>
        <v>3.1613123718386982</v>
      </c>
      <c r="S496" s="64">
        <v>610.1</v>
      </c>
      <c r="T496" s="61">
        <f>IF(ISERROR((S496/K496-1)*100),"NA",IF(((S496/K496-1)*100)&gt;100,"NM",IF(((S496/K496-1)*100)&lt;-50,"NM",(S496/K496-1)*100)))</f>
        <v>0.95978818467650218</v>
      </c>
      <c r="U496" s="64">
        <v>657.4</v>
      </c>
      <c r="V496" s="61">
        <f>IF(ISERROR((U496/M496-1)*100),"NA",IF(((U496/M496-1)*100)&gt;100,"NM",IF(((U496/M496-1)*100)&lt;-50,"NM",(U496/M496-1)*100)))</f>
        <v>8.7870263114347313</v>
      </c>
      <c r="W496" s="64">
        <v>652.4</v>
      </c>
      <c r="X496" s="61">
        <f>IF(ISERROR((W496/O496-1)*100),"NA",IF(((W496/O496-1)*100)&gt;100,"NM",IF(((W496/O496-1)*100)&lt;-50,"NM",(W496/O496-1)*100)))</f>
        <v>6.0295790671217375</v>
      </c>
      <c r="Y496" s="64">
        <v>667.3</v>
      </c>
      <c r="Z496" s="61">
        <f>IF(ISERROR((Y496/Q496-1)*100),"NA",IF(((Y496/Q496-1)*100)&gt;100,"NM",IF(((Y496/Q496-1)*100)&lt;-50,"NM",(Y496/Q496-1)*100)))</f>
        <v>10.535033957263519</v>
      </c>
      <c r="AA496" s="64">
        <v>654.6</v>
      </c>
      <c r="AB496" s="61">
        <f>IF(ISERROR((AA496/S496-1)*100),"NA",IF(((AA496/S496-1)*100)&gt;100,"NM",IF(((AA496/S496-1)*100)&lt;-50,"NM",(AA496/S496-1)*100)))</f>
        <v>7.293886248156034</v>
      </c>
      <c r="AC496" s="64">
        <v>660.2</v>
      </c>
      <c r="AD496" s="61">
        <f>IF(ISERROR((AC496/U496-1)*100),"NA",IF(((AC496/U496-1)*100)&gt;100,"NM",IF(((AC496/U496-1)*100)&lt;-50,"NM",(AC496/U496-1)*100)))</f>
        <v>0.42592029205963389</v>
      </c>
      <c r="AE496" s="64">
        <v>664.4</v>
      </c>
      <c r="AF496" s="61">
        <f>IF(ISERROR((AE496/W496-1)*100),"NA",IF(((AE496/W496-1)*100)&gt;100,"NM",IF(((AE496/W496-1)*100)&lt;-50,"NM",(AE496/W496-1)*100)))</f>
        <v>1.8393623543838222</v>
      </c>
      <c r="AG496" s="64">
        <v>659.2</v>
      </c>
      <c r="AH496" s="61">
        <f>IF(ISERROR((AG496/Y496-1)*100),"NA",IF(((AG496/Y496-1)*100)&gt;100,"NM",IF(((AG496/Y496-1)*100)&lt;-50,"NM",(AG496/Y496-1)*100)))</f>
        <v>-1.2138468454967688</v>
      </c>
      <c r="AI496" s="64">
        <v>677.5</v>
      </c>
      <c r="AJ496" s="61">
        <f>IF(ISERROR((AI496/AA496-1)*100),"NA",IF(((AI496/AA496-1)*100)&gt;100,"NM",IF(((AI496/AA496-1)*100)&lt;-50,"NM",(AI496/AA496-1)*100)))</f>
        <v>3.4983195844790593</v>
      </c>
      <c r="AK496" s="64">
        <v>683.1</v>
      </c>
      <c r="AL496" s="61">
        <f>IF(ISERROR((AK496/AC496-1)*100),"NA",IF(((AK496/AC496-1)*100)&gt;100,"NM",IF(((AK496/AC496-1)*100)&lt;-50,"NM",(AK496/AC496-1)*100)))</f>
        <v>3.4686458648894192</v>
      </c>
      <c r="AM496" s="64">
        <v>636.29999999999995</v>
      </c>
      <c r="AN496" s="61">
        <f>IF(ISERROR((AM496/AE496-1)*100),"NA",IF(((AM496/AE496-1)*100)&gt;100,"NM",IF(((AM496/AE496-1)*100)&lt;-50,"NM",(AM496/AE496-1)*100)))</f>
        <v>-4.2293798916315462</v>
      </c>
      <c r="AO496" s="64">
        <v>639.9</v>
      </c>
      <c r="AP496" s="61">
        <f>IF(ISERROR((AO496/AG496-1)*100),"NA",IF(((AO496/AG496-1)*100)&gt;100,"NM",IF(((AO496/AG496-1)*100)&lt;-50,"NM",(AO496/AG496-1)*100)))</f>
        <v>-2.927791262135937</v>
      </c>
      <c r="AQ496" s="65">
        <f>AQ238+AQ84+AQ146+AQ322+AQ410+AQ471</f>
        <v>624.89999999999986</v>
      </c>
      <c r="AR496" s="61">
        <f>IF(ISERROR((AQ496/AI496-1)*100),"NA",IF(((AQ496/AI496-1)*100)&gt;100,"NM",IF(((AQ496/AI496-1)*100)&lt;-50,"NM",(AQ496/AI496-1)*100)))</f>
        <v>-7.7638376383764029</v>
      </c>
      <c r="AS496" s="65">
        <f>AS238+AS84+AS146+AS322+AS410+AS471</f>
        <v>684.4</v>
      </c>
      <c r="AT496" s="61">
        <f>IF(ISERROR((AS496/AK496-1)*100),"NA",IF(((AS496/AK496-1)*100)&gt;100,"NM",IF(((AS496/AK496-1)*100)&lt;-50,"NM",(AS496/AK496-1)*100)))</f>
        <v>0.19030888596105466</v>
      </c>
      <c r="AU496" s="65">
        <f>AU238+AU84+AU146+AU322+AU410+AU471</f>
        <v>651.70000000000005</v>
      </c>
      <c r="AV496" s="61">
        <f>IF(ISERROR((AU496/AM496-1)*100),"NA",IF(((AU496/AM496-1)*100)&gt;100,"NM",IF(((AU496/AM496-1)*100)&lt;-50,"NM",(AU496/AM496-1)*100)))</f>
        <v>2.4202420242024347</v>
      </c>
      <c r="AW496" s="65">
        <f>AW238+AW84+AW146+AW322+AW410+AW471</f>
        <v>638</v>
      </c>
      <c r="AX496" s="61">
        <f>IF(ISERROR((AW496/AO496-1)*100),"NA",IF(((AW496/AO496-1)*100)&gt;100,"NM",IF(((AW496/AO496-1)*100)&lt;-50,"NM",(AW496/AO496-1)*100)))</f>
        <v>-0.29692139396780837</v>
      </c>
      <c r="AY496" s="65">
        <f>AY238+AY84+AY146+AY322+AY410+AY471</f>
        <v>651.80000000000007</v>
      </c>
      <c r="AZ496" s="61">
        <f>IF(ISERROR((AY496/AQ496-1)*100),"NA",IF(((AY496/AQ496-1)*100)&gt;100,"NM",IF(((AY496/AQ496-1)*100)&lt;-50,"NM",(AY496/AQ496-1)*100)))</f>
        <v>4.3046887502000697</v>
      </c>
      <c r="BA496" s="65">
        <f>BA238+BA84+BA146+BA322+BA410+BA471</f>
        <v>1019.6999999999998</v>
      </c>
      <c r="BB496" s="61">
        <f>IF(ISERROR((BA496/AS496-1)*100),"NA",IF(((BA496/AS496-1)*100)&gt;100,"NM",IF(((BA496/AS496-1)*100)&lt;-50,"NM",(BA496/AS496-1)*100)))</f>
        <v>48.991817650496763</v>
      </c>
      <c r="BC496" s="65">
        <f>BC238+BC84+BC146+BC322+BC410+BC471</f>
        <v>1054</v>
      </c>
      <c r="BD496" s="61">
        <f>IF(ISERROR((BC496/AU496-1)*100),"NA",IF(((BC496/AU496-1)*100)&gt;100,"NM",IF(((BC496/AU496-1)*100)&lt;-50,"NM",(BC496/AU496-1)*100)))</f>
        <v>61.730857756636468</v>
      </c>
      <c r="BE496" s="65">
        <f>BE238+BE84+BE146+BE322+BE410+BE471</f>
        <v>1071.8</v>
      </c>
      <c r="BF496" s="61">
        <f>IF(ISERROR((BE496/AW496-1)*100),"NA",IF(((BE496/AW496-1)*100)&gt;100,"NM",IF(((BE496/AW496-1)*100)&lt;-50,"NM",(BE496/AW496-1)*100)))</f>
        <v>67.993730407523501</v>
      </c>
      <c r="BG496" s="65">
        <f>BG238+BG84+BG146+BG471+BG286</f>
        <v>1017.6999999999999</v>
      </c>
      <c r="BH496" s="61">
        <f>IF(ISERROR((BG496/AY496-1)*100),"NA",IF(((BG496/AY496-1)*100)&gt;100,"NM",IF(((BG496/AY496-1)*100)&lt;-50,"NM",(BG496/AY496-1)*100)))</f>
        <v>56.136851795029116</v>
      </c>
      <c r="BI496" s="65">
        <f>BI238+BI84+BI146+BI471+BI286</f>
        <v>1074.3</v>
      </c>
      <c r="BJ496" s="61">
        <f>IF(ISERROR((BI496/BA496-1)*100),"NA",IF(((BI496/BA496-1)*100)&gt;100,"NM",IF(((BI496/BA496-1)*100)&lt;-50,"NM",(BI496/BA496-1)*100)))</f>
        <v>5.3545160341277098</v>
      </c>
      <c r="BK496" s="65">
        <f>BK238+BK84+BK146+BK471+BK286</f>
        <v>1042.4000000000001</v>
      </c>
      <c r="BL496" s="61">
        <f>IF(ISERROR((BK496/BC496-1)*100),"NA",IF(((BK496/BC496-1)*100)&gt;100,"NM",IF(((BK496/BC496-1)*100)&lt;-50,"NM",(BK496/BC496-1)*100)))</f>
        <v>-1.1005692599620365</v>
      </c>
      <c r="BM496" s="65">
        <f>BM238+BM84+BM146+BM471+BM286</f>
        <v>1080.1999999999998</v>
      </c>
      <c r="BN496" s="61">
        <f>IF(ISERROR((BM496/BE496-1)*100),"NA",IF(((BM496/BE496-1)*100)&gt;100,"NM",IF(((BM496/BE496-1)*100)&lt;-50,"NM",(BM496/BE496-1)*100)))</f>
        <v>0.78372830752004852</v>
      </c>
      <c r="BO496" s="65">
        <f>BO238+BO84+BO146+BO471+BO286</f>
        <v>1046</v>
      </c>
      <c r="BP496" s="61">
        <f>IF(ISERROR((BO496/BG496-1)*100),"NA",IF(((BO496/BG496-1)*100)&gt;100,"NM",IF(((BO496/BG496-1)*100)&lt;-50,"NM",(BO496/BG496-1)*100)))</f>
        <v>2.7807801906259311</v>
      </c>
      <c r="BQ496" s="65">
        <f>BQ238+BQ84+BQ146+BQ471+BQ286</f>
        <v>1061.5</v>
      </c>
      <c r="BR496" s="61">
        <f>IF(ISERROR((BQ496/BI496-1)*100),"NA",IF(((BQ496/BI496-1)*100)&gt;100,"NM",IF(((BQ496/BI496-1)*100)&lt;-50,"NM",(BQ496/BI496-1)*100)))</f>
        <v>-1.1914735176393854</v>
      </c>
      <c r="BS496" s="65">
        <f>BS238+BS84+BS146+BS471+BS286</f>
        <v>1095</v>
      </c>
      <c r="BT496" s="61">
        <f>IF(ISERROR((BS496/BK496-1)*100),"NA",IF(((BS496/BK496-1)*100)&gt;100,"NM",IF(((BS496/BK496-1)*100)&lt;-50,"NM",(BS496/BK496-1)*100)))</f>
        <v>5.0460475825019113</v>
      </c>
      <c r="BU496" s="65">
        <f>BU238+BU84+BU146+BU471+BU286</f>
        <v>981.5</v>
      </c>
      <c r="BV496" s="61">
        <f>IF(ISERROR((BU496/BM496-1)*100),"NA",IF(((BU496/BM496-1)*100)&gt;100,"NM",IF(((BU496/BM496-1)*100)&lt;-50,"NM",(BU496/BM496-1)*100)))</f>
        <v>-9.1371968154045362</v>
      </c>
      <c r="BW496" s="65">
        <f>BW238+BW84+BW146+BW471+BW286</f>
        <v>1030.7</v>
      </c>
      <c r="BX496" s="61">
        <f>IF(ISERROR((BW496/BO496-1)*100),"NA",IF(((BW496/BO496-1)*100)&gt;100,"NM",IF(((BW496/BO496-1)*100)&lt;-50,"NM",(BW496/BO496-1)*100)))</f>
        <v>-1.4627151051625153</v>
      </c>
      <c r="BY496" s="65">
        <f>BY238+BY84+BY146+BY471+BY286</f>
        <v>997.90000000000009</v>
      </c>
      <c r="BZ496" s="61">
        <f>IF(ISERROR((BY496/BQ496-1)*100),"NA",IF(((BY496/BQ496-1)*100)&gt;100,"NM",IF(((BY496/BQ496-1)*100)&lt;-50,"NM",(BY496/BQ496-1)*100)))</f>
        <v>-5.9915214319359311</v>
      </c>
      <c r="CA496" s="16">
        <f>CA238+CA84+CA146+CA471+CA286</f>
        <v>1091.3999999999999</v>
      </c>
      <c r="CB496" s="61">
        <f>IF(ISERROR((CA496/BS496-1)*100),"NA",IF(((CA496/BS496-1)*100)&gt;100,"NM",IF(((CA496/BS496-1)*100)&lt;-50,"NM",(CA496/BS496-1)*100)))</f>
        <v>-0.32876712328768765</v>
      </c>
      <c r="CC496" s="65">
        <f>CC238+CC84+CC146+CC471+CC286</f>
        <v>1143.8000000000002</v>
      </c>
      <c r="CD496" s="61">
        <f>IF(ISERROR((CC496/BU496-1)*100),"NA",IF(((CC496/BU496-1)*100)&gt;100,"NM",IF(((CC496/BU496-1)*100)&lt;-50,"NM",(CC496/BU496-1)*100)))</f>
        <v>16.53591441670914</v>
      </c>
      <c r="CE496" s="65">
        <f>CE238+CE84+CE146+CE471+CE286</f>
        <v>1126.4000000000001</v>
      </c>
      <c r="CF496" s="61">
        <f>IF(ISERROR((CE496/BW496-1)*100),"NA",IF(((CE496/BW496-1)*100)&gt;100,"NM",IF(((CE496/BW496-1)*100)&lt;-50,"NM",(CE496/BW496-1)*100)))</f>
        <v>9.2849519743863453</v>
      </c>
      <c r="CG496" s="65">
        <f>CG238+CG84+CG146+CG471+CG286</f>
        <v>1144.5999999999999</v>
      </c>
      <c r="CH496" s="61">
        <f>IF(ISERROR((CG496/BY496-1)*100),"NA",IF(((CG496/BY496-1)*100)&gt;100,"NM",IF(((CG496/BY496-1)*100)&lt;-50,"NM",(CG496/BY496-1)*100)))</f>
        <v>14.700871830844765</v>
      </c>
      <c r="CI496" s="65">
        <f>CI238+CI84+CI146+CI471+CI286</f>
        <v>1155.0999999999999</v>
      </c>
      <c r="CJ496" s="61">
        <f>IF(ISERROR((CI496/CA496-1)*100),"NA",IF(((CI496/CA496-1)*100)&gt;100,"NM",IF(((CI496/CA496-1)*100)&lt;-50,"NM",(CI496/CA496-1)*100)))</f>
        <v>5.8365402235660557</v>
      </c>
      <c r="CK496" s="65">
        <f>CK238+CK84+CK146+CK471+CK286</f>
        <v>1204.4000000000001</v>
      </c>
      <c r="CL496" s="61">
        <f>IF(ISERROR((CK496/CC496-1)*100),"NA",IF(((CK496/CC496-1)*100)&gt;100,"NM",IF(((CK496/CC496-1)*100)&lt;-50,"NM",(CK496/CC496-1)*100)))</f>
        <v>5.2981290435390793</v>
      </c>
      <c r="CM496" s="65">
        <f>CM238+CM84+CM146+CM471+CM286</f>
        <v>1211.1999999999998</v>
      </c>
      <c r="CN496" s="61">
        <f>IF(ISERROR((CM496/CE496-1)*100),"NA",IF(((CM496/CE496-1)*100)&gt;100,"NM",IF(((CM496/CE496-1)*100)&lt;-50,"NM",(CM496/CE496-1)*100)))</f>
        <v>7.5284090909090606</v>
      </c>
      <c r="CO496" s="65">
        <f>CO238+CO84+CO146+CO471+CO286</f>
        <v>1200.1000000000001</v>
      </c>
      <c r="CP496" s="61">
        <f>IF(ISERROR((CO496/CG496-1)*100),"NA",IF(((CO496/CG496-1)*100)&gt;100,"NM",IF(((CO496/CG496-1)*100)&lt;-50,"NM",(CO496/CG496-1)*100)))</f>
        <v>4.8488554953695751</v>
      </c>
      <c r="CQ496" s="65">
        <f>CQ238+CQ84+CQ146+CQ471+CQ286</f>
        <v>1174.6000000000001</v>
      </c>
      <c r="CR496" s="61">
        <f>IF(ISERROR((CQ496/CI496-1)*100),"NA",IF(((CQ496/CI496-1)*100)&gt;100,"NM",IF(((CQ496/CI496-1)*100)&lt;-50,"NM",(CQ496/CI496-1)*100)))</f>
        <v>1.6881655267942275</v>
      </c>
      <c r="CS496" s="65">
        <f>CS238+CS84+CS146+CS471+CS286</f>
        <v>1150</v>
      </c>
      <c r="CT496" s="61">
        <f>IF(ISERROR((CS496/CK496-1)*100),"NA",IF(((CS496/CK496-1)*100)&gt;100,"NM",IF(((CS496/CK496-1)*100)&lt;-50,"NM",(CS496/CK496-1)*100)))</f>
        <v>-4.5167718365991423</v>
      </c>
      <c r="CU496" s="65">
        <f>CU238+CU84+CU146+CU471+CU286</f>
        <v>1183</v>
      </c>
      <c r="CV496" s="61">
        <f>IF(ISERROR((CU496/CM496-1)*100),"NA",IF(((CU496/CM496-1)*100)&gt;100,"NM",IF(((CU496/CM496-1)*100)&lt;-50,"NM",(CU496/CM496-1)*100)))</f>
        <v>-2.3282694848084429</v>
      </c>
      <c r="CW496" s="65">
        <f>CW238+CW84+CW146+CW471+CW286</f>
        <v>1224</v>
      </c>
      <c r="CX496" s="61">
        <f>IF(ISERROR((CW496/CO496-1)*100),"NA",IF(((CW496/CO496-1)*100)&gt;100,"NM",IF(((CW496/CO496-1)*100)&lt;-50,"NM",(CW496/CO496-1)*100)))</f>
        <v>1.9915007082742964</v>
      </c>
      <c r="CY496" s="65">
        <f>CY238+CY84+CY146+CY471+CY286</f>
        <v>1169</v>
      </c>
      <c r="CZ496" s="61">
        <f>IF(ISERROR((CY496/CQ496-1)*100),"NA",IF(((CY496/CQ496-1)*100)&gt;100,"NM",IF(((CY496/CQ496-1)*100)&lt;-50,"NM",(CY496/CQ496-1)*100)))</f>
        <v>-0.47675804529202503</v>
      </c>
      <c r="DA496" s="65">
        <f>DA238+DA84+DA146+DA471+DA286</f>
        <v>1214</v>
      </c>
      <c r="DB496" s="61">
        <f>IF(ISERROR((DA496/CS496-1)*100),"NA",IF(((DA496/CS496-1)*100)&gt;100,"NM",IF(((DA496/CS496-1)*100)&lt;-50,"NM",(DA496/CS496-1)*100)))</f>
        <v>5.5652173913043557</v>
      </c>
      <c r="DC496" s="65">
        <f>DC238+DC84+DC146+DC471+DC286</f>
        <v>1167</v>
      </c>
      <c r="DD496" s="61">
        <f>IF(ISERROR((DC496/CU496-1)*100),"NA",IF(((DC496/CU496-1)*100)&gt;100,"NM",IF(((DC496/CU496-1)*100)&lt;-50,"NM",(DC496/CU496-1)*100)))</f>
        <v>-1.3524936601859716</v>
      </c>
      <c r="DE496" s="65">
        <f>DE238+DE84+DE146+DE471+DE286</f>
        <v>1235</v>
      </c>
      <c r="DF496" s="61">
        <f>IF(ISERROR((DE496/CW496-1)*100),"NA",IF(((DE496/CW496-1)*100)&gt;100,"NM",IF(((DE496/CW496-1)*100)&lt;-50,"NM",(DE496/CW496-1)*100)))</f>
        <v>0.89869281045751315</v>
      </c>
      <c r="DG496" s="65">
        <f>DG238+DG84+DG146+DG471+DG286</f>
        <v>1199</v>
      </c>
      <c r="DH496" s="61">
        <f>IF(ISERROR((DG496/CY496-1)*100),"NA",IF(((DG496/CY496-1)*100)&gt;100,"NM",IF(((DG496/CY496-1)*100)&lt;-50,"NM",(DG496/CY496-1)*100)))</f>
        <v>2.5662959794696238</v>
      </c>
      <c r="DI496" s="65">
        <f>DI238+DI84+DI146+DI471+DI286</f>
        <v>1231</v>
      </c>
      <c r="DJ496" s="61">
        <f>IF(ISERROR((DI496/DA496-1)*100),"NA",IF(((DI496/DA496-1)*100)&gt;100,"NM",IF(((DI496/DA496-1)*100)&lt;-50,"NM",(DI496/DA496-1)*100)))</f>
        <v>1.4003294892916074</v>
      </c>
      <c r="DK496" s="65">
        <f>DK238+DK84+DK146+DK471+DK286</f>
        <v>1223</v>
      </c>
      <c r="DL496" s="61">
        <f>IF(ISERROR((DK496/DC496-1)*100),"NA",IF(((DK496/DC496-1)*100)&gt;100,"NM",IF(((DK496/DC496-1)*100)&lt;-50,"NM",(DK496/DC496-1)*100)))</f>
        <v>4.7986289631533952</v>
      </c>
      <c r="DM496" s="65">
        <f>DM238+DM84+DM146+DM471+DM286</f>
        <v>1226</v>
      </c>
      <c r="DN496" s="130">
        <f t="shared" si="2573"/>
        <v>-0.72874493927125306</v>
      </c>
      <c r="DO496" s="65">
        <f>DO238+DO84+DO146+DO471+DO286</f>
        <v>1230</v>
      </c>
      <c r="DP496" s="130">
        <f t="shared" si="2573"/>
        <v>2.5854879065888348</v>
      </c>
      <c r="DQ496" s="65">
        <f>DQ238+DQ84+DQ146+DQ471+DQ286</f>
        <v>1257</v>
      </c>
      <c r="DR496" s="130">
        <f t="shared" si="2573"/>
        <v>2.1121039805036546</v>
      </c>
      <c r="DS496" s="65">
        <f>DS238+DS84+DS146+DS471+DS286</f>
        <v>1201</v>
      </c>
      <c r="DT496" s="130">
        <f t="shared" si="2573"/>
        <v>-1.7988552739165997</v>
      </c>
      <c r="DU496" s="65">
        <f>DU238+DU84+DU146+DU471+DU286</f>
        <v>1204</v>
      </c>
      <c r="DV496" s="130">
        <f t="shared" si="2573"/>
        <v>-1.7944535073409429</v>
      </c>
      <c r="DW496" s="65">
        <f>DW238+DW84+DW146+DW471+DW286</f>
        <v>1264</v>
      </c>
      <c r="DX496" s="65">
        <f t="shared" ref="DX496:DY496" si="2607">DX238+DX84+DX146+DX471+DX286</f>
        <v>1264</v>
      </c>
      <c r="DY496" s="65">
        <f t="shared" si="2607"/>
        <v>1206</v>
      </c>
      <c r="DZ496" s="130">
        <f t="shared" si="2573"/>
        <v>-4.0572792362768446</v>
      </c>
      <c r="EA496" s="65">
        <f t="shared" ref="EA496:EC496" si="2608">EA238+EA84+EA146+EA471+EA286</f>
        <v>1175</v>
      </c>
      <c r="EB496" s="130">
        <f t="shared" si="2576"/>
        <v>-2.1648626144879279</v>
      </c>
      <c r="EC496" s="65">
        <f t="shared" si="2608"/>
        <v>1204</v>
      </c>
      <c r="ED496" s="130">
        <f t="shared" si="2577"/>
        <v>0</v>
      </c>
      <c r="EE496" s="65">
        <f t="shared" ref="EE496:EG496" si="2609">EE238+EE84+EE146+EE471+EE286</f>
        <v>1264</v>
      </c>
      <c r="EF496" s="130">
        <f t="shared" si="2579"/>
        <v>0</v>
      </c>
      <c r="EG496" s="65">
        <f t="shared" si="2609"/>
        <v>1246</v>
      </c>
      <c r="EH496" s="130">
        <f t="shared" si="2580"/>
        <v>3.3167495854063089</v>
      </c>
      <c r="EI496" s="65">
        <f t="shared" ref="EI496:EK496" si="2610">EI238+EI84+EI146+EI471+EI286</f>
        <v>1245</v>
      </c>
      <c r="EJ496" s="130">
        <f t="shared" si="2582"/>
        <v>5.9574468085106469</v>
      </c>
      <c r="EK496" s="65">
        <f t="shared" si="2610"/>
        <v>1265</v>
      </c>
      <c r="EL496" s="130">
        <f t="shared" si="2583"/>
        <v>5.0664451827242551</v>
      </c>
      <c r="EM496" s="65">
        <f t="shared" ref="EM496" si="2611">EM238+EM84+EM146+EM471+EM286</f>
        <v>1244</v>
      </c>
      <c r="EN496" s="130">
        <f t="shared" si="2585"/>
        <v>-1.5822784810126556</v>
      </c>
      <c r="EO496" s="65">
        <f t="shared" ref="EO496" si="2612">EO238+EO84+EO146+EO471+EO286</f>
        <v>1259</v>
      </c>
      <c r="EP496" s="130">
        <f t="shared" si="2587"/>
        <v>1.0433386837881198</v>
      </c>
      <c r="EQ496" s="65">
        <f t="shared" ref="EQ496:EW496" si="2613">EQ238+EQ84+EQ146+EQ471+EQ286</f>
        <v>1270.6837783688802</v>
      </c>
      <c r="ER496" s="130">
        <f t="shared" si="2589"/>
        <v>2.0629540858538409</v>
      </c>
      <c r="ES496" s="65">
        <f t="shared" si="2613"/>
        <v>1273.5596009529966</v>
      </c>
      <c r="ET496" s="130">
        <f t="shared" si="2590"/>
        <v>0.67664829667957171</v>
      </c>
      <c r="EU496" s="65">
        <f t="shared" si="2613"/>
        <v>1300.2644271562999</v>
      </c>
      <c r="EV496" s="130">
        <f t="shared" si="2591"/>
        <v>4.5228639193167108</v>
      </c>
      <c r="EW496" s="65">
        <f t="shared" si="2613"/>
        <v>1308.9040144392734</v>
      </c>
      <c r="EX496" s="130">
        <f t="shared" si="2592"/>
        <v>3.9637819252798634</v>
      </c>
      <c r="EY496" s="66"/>
      <c r="EZ496" s="558"/>
      <c r="FA496" s="66"/>
      <c r="FB496" s="64"/>
      <c r="FC496" s="70"/>
      <c r="FD496" s="64"/>
      <c r="FE496" s="70"/>
      <c r="FF496" s="64"/>
      <c r="FG496" s="70"/>
      <c r="FH496" s="280">
        <v>2427.6</v>
      </c>
      <c r="FI496" s="281" t="s">
        <v>101</v>
      </c>
      <c r="FJ496" s="282">
        <v>2587.1999999999998</v>
      </c>
      <c r="FK496" s="281">
        <v>6.5743944636678098</v>
      </c>
      <c r="FL496" s="282">
        <v>2638.4</v>
      </c>
      <c r="FM496" s="283">
        <v>1.9789734075448706</v>
      </c>
      <c r="FN496" s="282">
        <v>2636.8</v>
      </c>
      <c r="FO496" s="283">
        <v>-6.0642813826572439E-2</v>
      </c>
      <c r="FP496" s="65">
        <f>FP238+FP84+FP146+FP471+FP286</f>
        <v>2430.6339999999996</v>
      </c>
      <c r="FQ496" s="61">
        <f>IF(ISERROR((FP496/FN496-1)*100),"NA",IF(((FP496/FN496-1)*100)&gt;100,"NM",IF(((FP496/FN496-1)*100)&lt;-50,"NM",(FP496/FN496-1)*100)))</f>
        <v>-7.8187955097087647</v>
      </c>
      <c r="FR496" s="65">
        <f>FR238+FR84+FR146+FR471+FR286</f>
        <v>3489.4</v>
      </c>
      <c r="FS496" s="61">
        <f>IF(ISERROR((FR496/FP496-1)*100),"NA",IF(((FR496/FP496-1)*100)&gt;100,"NM",IF(((FR496/FP496-1)*100)&lt;-50,"NM",(FR496/FP496-1)*100)))</f>
        <v>43.559252441955508</v>
      </c>
      <c r="FT496" s="65">
        <f>FT238+FT84+FT146+FT471+FT286</f>
        <v>4214.5999999999995</v>
      </c>
      <c r="FU496" s="61">
        <f>IF(ISERROR((FT496/FR496-1)*100),"NA",IF(((FT496/FR496-1)*100)&gt;100,"NM",IF(((FT496/FR496-1)*100)&lt;-50,"NM",(FT496/FR496-1)*100)))</f>
        <v>20.782942626239453</v>
      </c>
      <c r="FV496" s="65">
        <f>FV238+FV84+FV146+FV471+FV286</f>
        <v>4184</v>
      </c>
      <c r="FW496" s="61">
        <f>IF(ISERROR((FV496/FT496-1)*100),"NA",IF(((FV496/FT496-1)*100)&gt;100,"NM",IF(((FV496/FT496-1)*100)&lt;-50,"NM",(FV496/FT496-1)*100)))</f>
        <v>-0.72604754899633361</v>
      </c>
      <c r="FX496" s="65">
        <f>FX238+FX84+FX146+FX471+FX286</f>
        <v>4263.7999999999993</v>
      </c>
      <c r="FY496" s="61">
        <f>IF(ISERROR((FX496/FV496-1)*100),"NA",IF(((FX496/FV496-1)*100)&gt;100,"NM",IF(((FX496/FV496-1)*100)&lt;-50,"NM",(FX496/FV496-1)*100)))</f>
        <v>1.9072657743785637</v>
      </c>
      <c r="FZ496" s="65">
        <f>FZ238+FZ84+FZ146+FZ471+FZ286</f>
        <v>4630.4999999999991</v>
      </c>
      <c r="GA496" s="61">
        <f>IF(ISERROR((FZ496/FX496-1)*100),"NA",IF(((FZ496/FX496-1)*100)&gt;100,"NM",IF(((FZ496/FX496-1)*100)&lt;-50,"NM",(FZ496/FX496-1)*100)))</f>
        <v>8.6003095830010867</v>
      </c>
      <c r="GB496" s="65">
        <f>GB238+GB84+GB146+GB471+GB286</f>
        <v>4735.8999999999987</v>
      </c>
      <c r="GC496" s="61">
        <f>IF(ISERROR((GB496/FZ496-1)*100),"NA",IF(((GB496/FZ496-1)*100)&gt;100,"NM",IF(((GB496/FZ496-1)*100)&lt;-50,"NM",(GB496/FZ496-1)*100)))</f>
        <v>2.2762120721304235</v>
      </c>
      <c r="GD496" s="65">
        <f>GD238+GD84+GD146+GD471+GD286</f>
        <v>4790</v>
      </c>
      <c r="GE496" s="61">
        <f>IF(ISERROR((GD496/GB496-1)*100),"NA",IF(((GD496/GB496-1)*100)&gt;100,"NM",IF(((GD496/GB496-1)*100)&lt;-50,"NM",(GD496/GB496-1)*100)))</f>
        <v>1.1423383095082507</v>
      </c>
      <c r="GF496" s="65">
        <f>GF238+GF84+GF146+GF471+GF286</f>
        <v>4832</v>
      </c>
      <c r="GG496" s="61">
        <f>IF(ISERROR((GF496/GD496-1)*100),"NA",IF(((GF496/GD496-1)*100)&gt;100,"NM",IF(((GF496/GD496-1)*100)&lt;-50,"NM",(GF496/GD496-1)*100)))</f>
        <v>0.87682672233819758</v>
      </c>
      <c r="GH496" s="65">
        <f>GH238+GH84+GH146+GH471+GH286</f>
        <v>4936</v>
      </c>
      <c r="GI496" s="61">
        <f>IF(ISERROR((GH496/GF496-1)*100),"NA",IF(((GH496/GF496-1)*100)&gt;100,"NM",IF(((GH496/GF496-1)*100)&lt;-50,"NM",(GH496/GF496-1)*100)))</f>
        <v>2.1523178807947074</v>
      </c>
      <c r="GJ496" s="65">
        <f>GJ238+GJ84+GJ146+GJ471+GJ286</f>
        <v>4875</v>
      </c>
      <c r="GK496" s="61">
        <f>IF(ISERROR((GJ496/GH496-1)*100),"NA",IF(((GJ496/GH496-1)*100)&gt;100,"NM",IF(((GJ496/GH496-1)*100)&lt;-50,"NM",(GJ496/GH496-1)*100)))</f>
        <v>-1.2358184764991842</v>
      </c>
      <c r="GL496" s="65">
        <f>GL238+GL84+GL146+GL471+GL286</f>
        <v>4889</v>
      </c>
      <c r="GM496" s="61">
        <f>IF(ISERROR((GL496/GJ496-1)*100),"NA",IF(((GL496/GJ496-1)*100)&gt;100,"NM",IF(((GL496/GJ496-1)*100)&lt;-50,"NM",(GL496/GJ496-1)*100)))</f>
        <v>0.28717948717948971</v>
      </c>
      <c r="GN496" s="65">
        <f>GN238+GN84+GN146+GN471+GN286</f>
        <v>5013</v>
      </c>
      <c r="GO496" s="61">
        <f>IF(ISERROR((GN496/GL496-1)*100),"NA",IF(((GN496/GL496-1)*100)&gt;100,"NM",IF(((GN496/GL496-1)*100)&lt;-50,"NM",(GN496/GL496-1)*100)))</f>
        <v>2.5363059930456178</v>
      </c>
      <c r="GP496" s="65">
        <f>GP238+GP84+GP146+GP471+GP286</f>
        <v>5153.4118209174503</v>
      </c>
      <c r="GQ496" s="61">
        <f>IF(ISERROR((GP496/GN496-1)*100),"NA",IF(((GP496/GN496-1)*100)&gt;100,"NM",IF(((GP496/GN496-1)*100)&lt;-50,"NM",(GP496/GN496-1)*100)))</f>
        <v>2.8009539381099291</v>
      </c>
      <c r="GR496" s="65">
        <f>GR238+GR84+GR146+GR471+GR286</f>
        <v>5339.1130078862661</v>
      </c>
      <c r="GS496" s="61">
        <f>IF(ISERROR((GR496/GP496-1)*100),"NA",IF(((GR496/GP496-1)*100)&gt;100,"NM",IF(((GR496/GP496-1)*100)&lt;-50,"NM",(GR496/GP496-1)*100)))</f>
        <v>3.6034610355621721</v>
      </c>
      <c r="GT496" s="65">
        <f>GT238+GT84+GT146+GT471+GT286</f>
        <v>5514.8520265210036</v>
      </c>
      <c r="GU496" s="61">
        <f>IF(ISERROR((GT496/GR496-1)*100),"NA",IF(((GT496/GR496-1)*100)&gt;100,"NM",IF(((GT496/GR496-1)*100)&lt;-50,"NM",(GT496/GR496-1)*100)))</f>
        <v>3.2915395942201942</v>
      </c>
      <c r="GV496" s="65">
        <f>GV238+GV84+GV146+GV471+GV286</f>
        <v>5706.9719341758682</v>
      </c>
      <c r="GW496" s="61">
        <f>IF(ISERROR((GV496/GT496-1)*100),"NA",IF(((GV496/GT496-1)*100)&gt;100,"NM",IF(((GV496/GT496-1)*100)&lt;-50,"NM",(GV496/GT496-1)*100)))</f>
        <v>3.4836820050829553</v>
      </c>
      <c r="GX496" s="65">
        <f>GX238+GX84+GX146+GX471+GX286</f>
        <v>5916.8024401932462</v>
      </c>
      <c r="GY496" s="61">
        <f>IF(ISERROR((GX496/GV496-1)*100),"NA",IF(((GX496/GV496-1)*100)&gt;100,"NM",IF(((GX496/GV496-1)*100)&lt;-50,"NM",(GX496/GV496-1)*100)))</f>
        <v>3.6767397568721272</v>
      </c>
      <c r="GZ496" s="61">
        <f t="shared" si="2572"/>
        <v>3.3707989164378782</v>
      </c>
      <c r="HA496" s="61"/>
      <c r="HB496" s="452"/>
      <c r="HC496"/>
      <c r="HD496"/>
      <c r="HE496"/>
      <c r="HF496"/>
      <c r="HG496"/>
      <c r="HH496"/>
    </row>
    <row r="497" spans="1:216" s="5" customFormat="1" ht="12.75" customHeight="1" x14ac:dyDescent="0.2">
      <c r="A497" s="7" t="s">
        <v>626</v>
      </c>
      <c r="B497" s="63" t="s">
        <v>220</v>
      </c>
      <c r="C497" s="284">
        <v>1231</v>
      </c>
      <c r="D497" s="67"/>
      <c r="E497" s="284">
        <v>1206.0999999999999</v>
      </c>
      <c r="F497" s="66"/>
      <c r="G497" s="284">
        <v>1231.3</v>
      </c>
      <c r="H497" s="66"/>
      <c r="I497" s="284">
        <v>1225.3</v>
      </c>
      <c r="J497" s="70"/>
      <c r="K497" s="284">
        <v>1186.5999999999999</v>
      </c>
      <c r="L497" s="61">
        <f>IF(ISERROR((K497/C497-1)*100),"NA",IF(((K497/C497-1)*100)&gt;100,"NM",IF(((K497/C497-1)*100)&lt;-50,"NM",(K497/C497-1)*100)))</f>
        <v>-3.606823720552399</v>
      </c>
      <c r="M497" s="284">
        <v>1164.9000000000001</v>
      </c>
      <c r="N497" s="61">
        <f>IF(ISERROR((M497/E497-1)*100),"NA",IF(((M497/E497-1)*100)&gt;100,"NM",IF(((M497/E497-1)*100)&lt;-50,"NM",(M497/E497-1)*100)))</f>
        <v>-3.4159688251388598</v>
      </c>
      <c r="O497" s="284">
        <v>1157.5</v>
      </c>
      <c r="P497" s="61">
        <f>IF(ISERROR((O497/G497-1)*100),"NA",IF(((O497/G497-1)*100)&gt;100,"NM",IF(((O497/G497-1)*100)&lt;-50,"NM",(O497/G497-1)*100)))</f>
        <v>-5.99366523186875</v>
      </c>
      <c r="Q497" s="284">
        <v>1154.8</v>
      </c>
      <c r="R497" s="61">
        <f>IF(ISERROR((Q497/I497-1)*100),"NA",IF(((Q497/I497-1)*100)&gt;100,"NM",IF(((Q497/I497-1)*100)&lt;-50,"NM",(Q497/I497-1)*100)))</f>
        <v>-5.7536929731494375</v>
      </c>
      <c r="S497" s="284">
        <v>1136</v>
      </c>
      <c r="T497" s="61">
        <f>IF(ISERROR((S497/K497-1)*100),"NA",IF(((S497/K497-1)*100)&gt;100,"NM",IF(((S497/K497-1)*100)&lt;-50,"NM",(S497/K497-1)*100)))</f>
        <v>-4.2642845103657461</v>
      </c>
      <c r="U497" s="284">
        <v>1239.0999999999999</v>
      </c>
      <c r="V497" s="61">
        <f>IF(ISERROR((U497/M497-1)*100),"NA",IF(((U497/M497-1)*100)&gt;100,"NM",IF(((U497/M497-1)*100)&lt;-50,"NM",(U497/M497-1)*100)))</f>
        <v>6.3696454631298582</v>
      </c>
      <c r="W497" s="284">
        <v>1200.2</v>
      </c>
      <c r="X497" s="61">
        <f>IF(ISERROR((W497/O497-1)*100),"NA",IF(((W497/O497-1)*100)&gt;100,"NM",IF(((W497/O497-1)*100)&lt;-50,"NM",(W497/O497-1)*100)))</f>
        <v>3.6889848812095005</v>
      </c>
      <c r="Y497" s="284">
        <v>1247.0999999999999</v>
      </c>
      <c r="Z497" s="61">
        <f>IF(ISERROR((Y497/Q497-1)*100),"NA",IF(((Y497/Q497-1)*100)&gt;100,"NM",IF(((Y497/Q497-1)*100)&lt;-50,"NM",(Y497/Q497-1)*100)))</f>
        <v>7.9927260131624545</v>
      </c>
      <c r="AA497" s="284">
        <v>1190.8</v>
      </c>
      <c r="AB497" s="61">
        <f>IF(ISERROR((AA497/S497-1)*100),"NA",IF(((AA497/S497-1)*100)&gt;100,"NM",IF(((AA497/S497-1)*100)&lt;-50,"NM",(AA497/S497-1)*100)))</f>
        <v>4.8239436619718301</v>
      </c>
      <c r="AC497" s="284">
        <v>1215.9000000000001</v>
      </c>
      <c r="AD497" s="61">
        <f>IF(ISERROR((AC497/U497-1)*100),"NA",IF(((AC497/U497-1)*100)&gt;100,"NM",IF(((AC497/U497-1)*100)&lt;-50,"NM",(AC497/U497-1)*100)))</f>
        <v>-1.8723266887256784</v>
      </c>
      <c r="AE497" s="284">
        <v>1249.9000000000001</v>
      </c>
      <c r="AF497" s="61">
        <f>IF(ISERROR((AE497/W497-1)*100),"NA",IF(((AE497/W497-1)*100)&gt;100,"NM",IF(((AE497/W497-1)*100)&lt;-50,"NM",(AE497/W497-1)*100)))</f>
        <v>4.1409765039160273</v>
      </c>
      <c r="AG497" s="284">
        <v>1271</v>
      </c>
      <c r="AH497" s="61">
        <f>IF(ISERROR((AG497/Y497-1)*100),"NA",IF(((AG497/Y497-1)*100)&gt;100,"NM",IF(((AG497/Y497-1)*100)&lt;-50,"NM",(AG497/Y497-1)*100)))</f>
        <v>1.9164461550797984</v>
      </c>
      <c r="AI497" s="284">
        <v>1279</v>
      </c>
      <c r="AJ497" s="61">
        <f>IF(ISERROR((AI497/AA497-1)*100),"NA",IF(((AI497/AA497-1)*100)&gt;100,"NM",IF(((AI497/AA497-1)*100)&lt;-50,"NM",(AI497/AA497-1)*100)))</f>
        <v>7.406785354383616</v>
      </c>
      <c r="AK497" s="284">
        <v>1391.2</v>
      </c>
      <c r="AL497" s="61">
        <f>IF(ISERROR((AK497/AC497-1)*100),"NA",IF(((AK497/AC497-1)*100)&gt;100,"NM",IF(((AK497/AC497-1)*100)&lt;-50,"NM",(AK497/AC497-1)*100)))</f>
        <v>14.417304054609748</v>
      </c>
      <c r="AM497" s="284">
        <v>1236.3</v>
      </c>
      <c r="AN497" s="61">
        <f>IF(ISERROR((AM497/AE497-1)*100),"NA",IF(((AM497/AE497-1)*100)&gt;100,"NM",IF(((AM497/AE497-1)*100)&lt;-50,"NM",(AM497/AE497-1)*100)))</f>
        <v>-1.0880870469637705</v>
      </c>
      <c r="AO497" s="284">
        <v>1260.0999999999999</v>
      </c>
      <c r="AP497" s="61">
        <f>IF(ISERROR((AO497/AG497-1)*100),"NA",IF(((AO497/AG497-1)*100)&gt;100,"NM",IF(((AO497/AG497-1)*100)&lt;-50,"NM",(AO497/AG497-1)*100)))</f>
        <v>-0.85759244689221914</v>
      </c>
      <c r="AQ497" s="284">
        <f>SUM(AQ493:AQ496)</f>
        <v>1305.4699999999998</v>
      </c>
      <c r="AR497" s="61">
        <f>IF(ISERROR((AQ497/AI497-1)*100),"NA",IF(((AQ497/AI497-1)*100)&gt;100,"NM",IF(((AQ497/AI497-1)*100)&lt;-50,"NM",(AQ497/AI497-1)*100)))</f>
        <v>2.0695856137607382</v>
      </c>
      <c r="AS497" s="284">
        <f>SUM(AS493:AS496)</f>
        <v>1383.2</v>
      </c>
      <c r="AT497" s="61">
        <f>IF(ISERROR((AS497/AK497-1)*100),"NA",IF(((AS497/AK497-1)*100)&gt;100,"NM",IF(((AS497/AK497-1)*100)&lt;-50,"NM",(AS497/AK497-1)*100)))</f>
        <v>-0.57504312823462023</v>
      </c>
      <c r="AU497" s="284">
        <f>SUM(AU493:AU496)</f>
        <v>1390.8000000000002</v>
      </c>
      <c r="AV497" s="61">
        <f>IF(ISERROR((AU497/AM497-1)*100),"NA",IF(((AU497/AM497-1)*100)&gt;100,"NM",IF(((AU497/AM497-1)*100)&lt;-50,"NM",(AU497/AM497-1)*100)))</f>
        <v>12.496966755641846</v>
      </c>
      <c r="AW497" s="284">
        <f>SUM(AW493:AW496)</f>
        <v>1395.5</v>
      </c>
      <c r="AX497" s="61">
        <f>IF(ISERROR((AW497/AO497-1)*100),"NA",IF(((AW497/AO497-1)*100)&gt;100,"NM",IF(((AW497/AO497-1)*100)&lt;-50,"NM",(AW497/AO497-1)*100)))</f>
        <v>10.745178954051271</v>
      </c>
      <c r="AY497" s="284">
        <f>SUM(AY493:AY496)</f>
        <v>1422.5</v>
      </c>
      <c r="AZ497" s="61">
        <f>IF(ISERROR((AY497/AQ497-1)*100),"NA",IF(((AY497/AQ497-1)*100)&gt;100,"NM",IF(((AY497/AQ497-1)*100)&lt;-50,"NM",(AY497/AQ497-1)*100)))</f>
        <v>8.9645874665829304</v>
      </c>
      <c r="BA497" s="284">
        <f>SUM(BA493:BA496)</f>
        <v>2087.6999999999998</v>
      </c>
      <c r="BB497" s="61">
        <f>IF(ISERROR((BA497/AS497-1)*100),"NA",IF(((BA497/AS497-1)*100)&gt;100,"NM",IF(((BA497/AS497-1)*100)&lt;-50,"NM",(BA497/AS497-1)*100)))</f>
        <v>50.932620011567352</v>
      </c>
      <c r="BC497" s="284">
        <f>SUM(BC493:BC496)</f>
        <v>2105.4000000000005</v>
      </c>
      <c r="BD497" s="61">
        <f>IF(ISERROR((BC497/AU497-1)*100),"NA",IF(((BC497/AU497-1)*100)&gt;100,"NM",IF(((BC497/AU497-1)*100)&lt;-50,"NM",(BC497/AU497-1)*100)))</f>
        <v>51.380500431406404</v>
      </c>
      <c r="BE497" s="284">
        <f>SUM(BE493:BE496)</f>
        <v>2229.1</v>
      </c>
      <c r="BF497" s="61">
        <f>IF(ISERROR((BE497/AW497-1)*100),"NA",IF(((BE497/AW497-1)*100)&gt;100,"NM",IF(((BE497/AW497-1)*100)&lt;-50,"NM",(BE497/AW497-1)*100)))</f>
        <v>59.734862056610538</v>
      </c>
      <c r="BG497" s="284">
        <f>SUM(BG493:BG496)</f>
        <v>2277.6</v>
      </c>
      <c r="BH497" s="61">
        <f>IF(ISERROR((BG497/AY497-1)*100),"NA",IF(((BG497/AY497-1)*100)&gt;100,"NM",IF(((BG497/AY497-1)*100)&lt;-50,"NM",(BG497/AY497-1)*100)))</f>
        <v>60.112478031634438</v>
      </c>
      <c r="BI497" s="284">
        <f>SUM(BI493:BI496)</f>
        <v>2347.8000000000002</v>
      </c>
      <c r="BJ497" s="61">
        <f>IF(ISERROR((BI497/BA497-1)*100),"NA",IF(((BI497/BA497-1)*100)&gt;100,"NM",IF(((BI497/BA497-1)*100)&lt;-50,"NM",(BI497/BA497-1)*100)))</f>
        <v>12.458686592901302</v>
      </c>
      <c r="BK497" s="284">
        <f>SUM(BK493:BK496)</f>
        <v>2426.5</v>
      </c>
      <c r="BL497" s="61">
        <f>IF(ISERROR((BK497/BC497-1)*100),"NA",IF(((BK497/BC497-1)*100)&gt;100,"NM",IF(((BK497/BC497-1)*100)&lt;-50,"NM",(BK497/BC497-1)*100)))</f>
        <v>15.25125866818653</v>
      </c>
      <c r="BM497" s="284">
        <f>SUM(BM493:BM496)</f>
        <v>2492.2999999999997</v>
      </c>
      <c r="BN497" s="61">
        <f>IF(ISERROR((BM497/BE497-1)*100),"NA",IF(((BM497/BE497-1)*100)&gt;100,"NM",IF(((BM497/BE497-1)*100)&lt;-50,"NM",(BM497/BE497-1)*100)))</f>
        <v>11.807455923915477</v>
      </c>
      <c r="BO497" s="284">
        <f>SUM(BO493:BO496)</f>
        <v>2430.6999999999998</v>
      </c>
      <c r="BP497" s="61">
        <f>IF(ISERROR((BO497/BG497-1)*100),"NA",IF(((BO497/BG497-1)*100)&gt;100,"NM",IF(((BO497/BG497-1)*100)&lt;-50,"NM",(BO497/BG497-1)*100)))</f>
        <v>6.7219880576044888</v>
      </c>
      <c r="BQ497" s="284">
        <f>SUM(BQ493:BQ496)</f>
        <v>2479</v>
      </c>
      <c r="BR497" s="61">
        <f>IF(ISERROR((BQ497/BI497-1)*100),"NA",IF(((BQ497/BI497-1)*100)&gt;100,"NM",IF(((BQ497/BI497-1)*100)&lt;-50,"NM",(BQ497/BI497-1)*100)))</f>
        <v>5.5882102393730149</v>
      </c>
      <c r="BS497" s="284">
        <f>SUM(BS493:BS496)</f>
        <v>2529</v>
      </c>
      <c r="BT497" s="61">
        <f>IF(ISERROR((BS497/BK497-1)*100),"NA",IF(((BS497/BK497-1)*100)&gt;100,"NM",IF(((BS497/BK497-1)*100)&lt;-50,"NM",(BS497/BK497-1)*100)))</f>
        <v>4.2241912219245892</v>
      </c>
      <c r="BU497" s="284">
        <f>SUM(BU493:BU496)</f>
        <v>2358.6999999999998</v>
      </c>
      <c r="BV497" s="61">
        <f>IF(ISERROR((BU497/BM497-1)*100),"NA",IF(((BU497/BM497-1)*100)&gt;100,"NM",IF(((BU497/BM497-1)*100)&lt;-50,"NM",(BU497/BM497-1)*100)))</f>
        <v>-5.3605103719455922</v>
      </c>
      <c r="BW497" s="284">
        <f>SUM(BW493:BW496)</f>
        <v>2343.1999999999998</v>
      </c>
      <c r="BX497" s="61">
        <f>IF(ISERROR((BW497/BO497-1)*100),"NA",IF(((BW497/BO497-1)*100)&gt;100,"NM",IF(((BW497/BO497-1)*100)&lt;-50,"NM",(BW497/BO497-1)*100)))</f>
        <v>-3.5997860698564255</v>
      </c>
      <c r="BY497" s="284">
        <f>SUM(BY493:BY496)</f>
        <v>2336.5</v>
      </c>
      <c r="BZ497" s="61">
        <f>IF(ISERROR((BY497/BQ497-1)*100),"NA",IF(((BY497/BQ497-1)*100)&gt;100,"NM",IF(((BY497/BQ497-1)*100)&lt;-50,"NM",(BY497/BQ497-1)*100)))</f>
        <v>-5.748285599031866</v>
      </c>
      <c r="CA497" s="520">
        <f>SUM(CA493:CA496)</f>
        <v>2462.1099999999997</v>
      </c>
      <c r="CB497" s="61">
        <f>IF(ISERROR((CA497/BS497-1)*100),"NA",IF(((CA497/BS497-1)*100)&gt;100,"NM",IF(((CA497/BS497-1)*100)&lt;-50,"NM",(CA497/BS497-1)*100)))</f>
        <v>-2.6449189402926176</v>
      </c>
      <c r="CC497" s="284">
        <f>SUM(CC493:CC496)</f>
        <v>2558.5</v>
      </c>
      <c r="CD497" s="61">
        <f>IF(ISERROR((CC497/BU497-1)*100),"NA",IF(((CC497/BU497-1)*100)&gt;100,"NM",IF(((CC497/BU497-1)*100)&lt;-50,"NM",(CC497/BU497-1)*100)))</f>
        <v>8.4707677958197447</v>
      </c>
      <c r="CE497" s="284">
        <f>SUM(CE493:CE496)</f>
        <v>2567.5</v>
      </c>
      <c r="CF497" s="61">
        <f>IF(ISERROR((CE497/BW497-1)*100),"NA",IF(((CE497/BW497-1)*100)&gt;100,"NM",IF(((CE497/BW497-1)*100)&lt;-50,"NM",(CE497/BW497-1)*100)))</f>
        <v>9.5723796517582791</v>
      </c>
      <c r="CG497" s="284">
        <f>SUM(CG493:CG496)</f>
        <v>2616.6000000000004</v>
      </c>
      <c r="CH497" s="61">
        <f>IF(ISERROR((CG497/BY497-1)*100),"NA",IF(((CG497/BY497-1)*100)&gt;100,"NM",IF(((CG497/BY497-1)*100)&lt;-50,"NM",(CG497/BY497-1)*100)))</f>
        <v>11.988016263642209</v>
      </c>
      <c r="CI497" s="284">
        <f>SUM(CI493:CI496)</f>
        <v>2585.8999999999996</v>
      </c>
      <c r="CJ497" s="61">
        <f>IF(ISERROR((CI497/CA497-1)*100),"NA",IF(((CI497/CA497-1)*100)&gt;100,"NM",IF(((CI497/CA497-1)*100)&lt;-50,"NM",(CI497/CA497-1)*100)))</f>
        <v>5.0278013573723301</v>
      </c>
      <c r="CK497" s="284">
        <f>SUM(CK493:CK496)</f>
        <v>2780.5</v>
      </c>
      <c r="CL497" s="61">
        <f>IF(ISERROR((CK497/CC497-1)*100),"NA",IF(((CK497/CC497-1)*100)&gt;100,"NM",IF(((CK497/CC497-1)*100)&lt;-50,"NM",(CK497/CC497-1)*100)))</f>
        <v>8.6769591557553269</v>
      </c>
      <c r="CM497" s="284">
        <f>SUM(CM493:CM496)</f>
        <v>2738.1</v>
      </c>
      <c r="CN497" s="61">
        <f>IF(ISERROR((CM497/CE497-1)*100),"NA",IF(((CM497/CE497-1)*100)&gt;100,"NM",IF(((CM497/CE497-1)*100)&lt;-50,"NM",(CM497/CE497-1)*100)))</f>
        <v>6.6445959104186825</v>
      </c>
      <c r="CO497" s="284">
        <f>SUM(CO493:CO496)</f>
        <v>2838.1</v>
      </c>
      <c r="CP497" s="61">
        <f>IF(ISERROR((CO497/CG497-1)*100),"NA",IF(((CO497/CG497-1)*100)&gt;100,"NM",IF(((CO497/CG497-1)*100)&lt;-50,"NM",(CO497/CG497-1)*100)))</f>
        <v>8.4651838263394943</v>
      </c>
      <c r="CQ497" s="284">
        <f>SUM(CQ493:CQ496)</f>
        <v>2736.5</v>
      </c>
      <c r="CR497" s="61">
        <f>IF(ISERROR((CQ497/CI497-1)*100),"NA",IF(((CQ497/CI497-1)*100)&gt;100,"NM",IF(((CQ497/CI497-1)*100)&lt;-50,"NM",(CQ497/CI497-1)*100)))</f>
        <v>5.8238911017440831</v>
      </c>
      <c r="CS497" s="284">
        <f>SUM(CS493:CS496)</f>
        <v>2715</v>
      </c>
      <c r="CT497" s="61">
        <f>IF(ISERROR((CS497/CK497-1)*100),"NA",IF(((CS497/CK497-1)*100)&gt;100,"NM",IF(((CS497/CK497-1)*100)&lt;-50,"NM",(CS497/CK497-1)*100)))</f>
        <v>-2.3556914224060366</v>
      </c>
      <c r="CU497" s="284">
        <f>SUM(CU493:CU496)</f>
        <v>2820</v>
      </c>
      <c r="CV497" s="61">
        <f>IF(ISERROR((CU497/CM497-1)*100),"NA",IF(((CU497/CM497-1)*100)&gt;100,"NM",IF(((CU497/CM497-1)*100)&lt;-50,"NM",(CU497/CM497-1)*100)))</f>
        <v>2.9911252328256754</v>
      </c>
      <c r="CW497" s="284">
        <f>SUM(CW493:CW496)</f>
        <v>2880</v>
      </c>
      <c r="CX497" s="61">
        <f>IF(ISERROR((CW497/CO497-1)*100),"NA",IF(((CW497/CO497-1)*100)&gt;100,"NM",IF(((CW497/CO497-1)*100)&lt;-50,"NM",(CW497/CO497-1)*100)))</f>
        <v>1.4763398047989984</v>
      </c>
      <c r="CY497" s="284">
        <f>SUM(CY493:CY496)</f>
        <v>2914</v>
      </c>
      <c r="CZ497" s="61">
        <f>IF(ISERROR((CY497/CQ497-1)*100),"NA",IF(((CY497/CQ497-1)*100)&gt;100,"NM",IF(((CY497/CQ497-1)*100)&lt;-50,"NM",(CY497/CQ497-1)*100)))</f>
        <v>6.4863877215421084</v>
      </c>
      <c r="DA497" s="284">
        <f>SUM(DA493:DA496)</f>
        <v>2956</v>
      </c>
      <c r="DB497" s="61">
        <f>IF(ISERROR((DA497/CS497-1)*100),"NA",IF(((DA497/CS497-1)*100)&gt;100,"NM",IF(((DA497/CS497-1)*100)&lt;-50,"NM",(DA497/CS497-1)*100)))</f>
        <v>8.8766114180478759</v>
      </c>
      <c r="DC497" s="284">
        <f>SUM(DC493:DC496)</f>
        <v>2930</v>
      </c>
      <c r="DD497" s="61">
        <f>IF(ISERROR((DC497/CU497-1)*100),"NA",IF(((DC497/CU497-1)*100)&gt;100,"NM",IF(((DC497/CU497-1)*100)&lt;-50,"NM",(DC497/CU497-1)*100)))</f>
        <v>3.900709219858145</v>
      </c>
      <c r="DE497" s="284">
        <f>SUM(DE493:DE496)</f>
        <v>3049</v>
      </c>
      <c r="DF497" s="61">
        <f>IF(ISERROR((DE497/CW497-1)*100),"NA",IF(((DE497/CW497-1)*100)&gt;100,"NM",IF(((DE497/CW497-1)*100)&lt;-50,"NM",(DE497/CW497-1)*100)))</f>
        <v>5.8680555555555625</v>
      </c>
      <c r="DG497" s="284">
        <f>SUM(DG493:DG496)</f>
        <v>3073</v>
      </c>
      <c r="DH497" s="61">
        <f>IF(ISERROR((DG497/CY497-1)*100),"NA",IF(((DG497/CY497-1)*100)&gt;100,"NM",IF(((DG497/CY497-1)*100)&lt;-50,"NM",(DG497/CY497-1)*100)))</f>
        <v>5.4564172958133206</v>
      </c>
      <c r="DI497" s="284">
        <f>SUM(DI493:DI496)</f>
        <v>3187</v>
      </c>
      <c r="DJ497" s="61">
        <f>IF(ISERROR((DI497/DA497-1)*100),"NA",IF(((DI497/DA497-1)*100)&gt;100,"NM",IF(((DI497/DA497-1)*100)&lt;-50,"NM",(DI497/DA497-1)*100)))</f>
        <v>7.8146143437077153</v>
      </c>
      <c r="DK497" s="284">
        <f>SUM(DK493:DK496)</f>
        <v>3233</v>
      </c>
      <c r="DL497" s="61">
        <f>IF(ISERROR((DK497/DC497-1)*100),"NA",IF(((DK497/DC497-1)*100)&gt;100,"NM",IF(((DK497/DC497-1)*100)&lt;-50,"NM",(DK497/DC497-1)*100)))</f>
        <v>10.341296928327637</v>
      </c>
      <c r="DM497" s="284">
        <f>SUM(DM493:DM496)</f>
        <v>3286</v>
      </c>
      <c r="DN497" s="130">
        <f t="shared" si="2573"/>
        <v>7.7730403410954496</v>
      </c>
      <c r="DO497" s="284">
        <f>SUM(DO493:DO496)</f>
        <v>3363</v>
      </c>
      <c r="DP497" s="130">
        <f t="shared" si="2573"/>
        <v>9.4370322160755027</v>
      </c>
      <c r="DQ497" s="284">
        <f>SUM(DQ493:DQ496)</f>
        <v>3834</v>
      </c>
      <c r="DR497" s="130">
        <f t="shared" si="2573"/>
        <v>20.301223721368068</v>
      </c>
      <c r="DS497" s="284">
        <f>SUM(DS493:DS496)</f>
        <v>3394</v>
      </c>
      <c r="DT497" s="130">
        <f t="shared" si="2573"/>
        <v>4.9798948345190164</v>
      </c>
      <c r="DU497" s="284">
        <f>SUM(DU493:DU496)</f>
        <v>3417</v>
      </c>
      <c r="DV497" s="130">
        <f t="shared" si="2573"/>
        <v>3.9866098600121802</v>
      </c>
      <c r="DW497" s="284">
        <f>SUM(DW493:DW496)</f>
        <v>3735</v>
      </c>
      <c r="DX497" s="284">
        <f t="shared" ref="DX497:DY497" si="2614">SUM(DX493:DX496)</f>
        <v>3735</v>
      </c>
      <c r="DY497" s="284">
        <f t="shared" si="2614"/>
        <v>3354</v>
      </c>
      <c r="DZ497" s="130">
        <f t="shared" si="2573"/>
        <v>-12.519561815336466</v>
      </c>
      <c r="EA497" s="284">
        <f t="shared" ref="EA497:EC497" si="2615">SUM(EA493:EA496)</f>
        <v>3400</v>
      </c>
      <c r="EB497" s="130">
        <f t="shared" si="2576"/>
        <v>0.1767825574543247</v>
      </c>
      <c r="EC497" s="284">
        <f t="shared" si="2615"/>
        <v>3395</v>
      </c>
      <c r="ED497" s="130">
        <f t="shared" si="2577"/>
        <v>-0.64383962540239814</v>
      </c>
      <c r="EE497" s="284">
        <f t="shared" ref="EE497:EG497" si="2616">SUM(EE493:EE496)</f>
        <v>3530</v>
      </c>
      <c r="EF497" s="130">
        <f t="shared" si="2579"/>
        <v>-5.4886211512717553</v>
      </c>
      <c r="EG497" s="284">
        <f t="shared" si="2616"/>
        <v>3519</v>
      </c>
      <c r="EH497" s="130">
        <f t="shared" si="2580"/>
        <v>4.9194991055456105</v>
      </c>
      <c r="EI497" s="284">
        <f t="shared" ref="EI497:EK497" si="2617">SUM(EI493:EI496)</f>
        <v>3578</v>
      </c>
      <c r="EJ497" s="130">
        <f t="shared" si="2582"/>
        <v>5.2352941176470491</v>
      </c>
      <c r="EK497" s="284">
        <f t="shared" si="2617"/>
        <v>3629</v>
      </c>
      <c r="EL497" s="130">
        <f t="shared" si="2583"/>
        <v>6.8924889543446222</v>
      </c>
      <c r="EM497" s="284">
        <f t="shared" ref="EM497" si="2618">SUM(EM493:EM496)</f>
        <v>3607</v>
      </c>
      <c r="EN497" s="130">
        <f t="shared" si="2585"/>
        <v>2.181303116147304</v>
      </c>
      <c r="EO497" s="284">
        <f t="shared" ref="EO497" si="2619">SUM(EO493:EO496)</f>
        <v>3775</v>
      </c>
      <c r="EP497" s="130">
        <f t="shared" si="2587"/>
        <v>7.2747939755612334</v>
      </c>
      <c r="EQ497" s="284">
        <f t="shared" ref="EQ497:EW497" si="2620">SUM(EQ493:EQ496)</f>
        <v>3722.7312432082599</v>
      </c>
      <c r="ER497" s="130">
        <f t="shared" si="2589"/>
        <v>4.0450319510413557</v>
      </c>
      <c r="ES497" s="284">
        <f t="shared" si="2620"/>
        <v>3741.3191374735352</v>
      </c>
      <c r="ET497" s="130">
        <f t="shared" si="2590"/>
        <v>3.0950437441040313</v>
      </c>
      <c r="EU497" s="284">
        <f t="shared" si="2620"/>
        <v>4206.5005989007659</v>
      </c>
      <c r="EV497" s="130">
        <f t="shared" si="2591"/>
        <v>16.620476820093309</v>
      </c>
      <c r="EW497" s="284">
        <f t="shared" si="2620"/>
        <v>4257.4387824627147</v>
      </c>
      <c r="EX497" s="130">
        <f t="shared" si="2592"/>
        <v>12.779835297025555</v>
      </c>
      <c r="EY497" s="66"/>
      <c r="EZ497" s="558"/>
      <c r="FA497" s="66"/>
      <c r="FB497" s="64"/>
      <c r="FC497" s="70"/>
      <c r="FD497" s="64"/>
      <c r="FE497" s="70"/>
      <c r="FF497" s="64"/>
      <c r="FG497" s="70"/>
      <c r="FH497" s="285">
        <v>4663.8</v>
      </c>
      <c r="FI497" s="281" t="s">
        <v>101</v>
      </c>
      <c r="FJ497" s="285">
        <v>4822.3999999999996</v>
      </c>
      <c r="FK497" s="281">
        <v>3.4006604056777689</v>
      </c>
      <c r="FL497" s="285">
        <v>4927.6000000000004</v>
      </c>
      <c r="FM497" s="283">
        <v>2.1814863968148801</v>
      </c>
      <c r="FN497" s="285">
        <v>5166.6000000000004</v>
      </c>
      <c r="FO497" s="283">
        <v>4.8502313499472427</v>
      </c>
      <c r="FP497" s="284">
        <f>SUM(FP493:FP496)</f>
        <v>5732.6119999999992</v>
      </c>
      <c r="FQ497" s="61">
        <f>IF(ISERROR((FP497/FN497-1)*100),"NA",IF(((FP497/FN497-1)*100)&gt;100,"NM",IF(((FP497/FN497-1)*100)&lt;-50,"NM",(FP497/FN497-1)*100)))</f>
        <v>10.955212325320307</v>
      </c>
      <c r="FR497" s="284">
        <f>SUM(FR493:FR496)</f>
        <v>7633.1</v>
      </c>
      <c r="FS497" s="61">
        <f>IF(ISERROR((FR497/FP497-1)*100),"NA",IF(((FR497/FP497-1)*100)&gt;100,"NM",IF(((FR497/FP497-1)*100)&lt;-50,"NM",(FR497/FP497-1)*100)))</f>
        <v>33.152217523181427</v>
      </c>
      <c r="FT497" s="284">
        <f>SUM(FT493:FT496)</f>
        <v>9544.2000000000007</v>
      </c>
      <c r="FU497" s="61">
        <f>IF(ISERROR((FT497/FR497-1)*100),"NA",IF(((FT497/FR497-1)*100)&gt;100,"NM",IF(((FT497/FR497-1)*100)&lt;-50,"NM",(FT497/FR497-1)*100)))</f>
        <v>25.037009864930383</v>
      </c>
      <c r="FV497" s="284">
        <f>SUM(FV493:FV496)</f>
        <v>9797.4</v>
      </c>
      <c r="FW497" s="61">
        <f>IF(ISERROR((FV497/FT497-1)*100),"NA",IF(((FV497/FT497-1)*100)&gt;100,"NM",IF(((FV497/FT497-1)*100)&lt;-50,"NM",(FV497/FT497-1)*100)))</f>
        <v>2.6529200980700107</v>
      </c>
      <c r="FX497" s="284">
        <f>SUM(FX493:FX496)</f>
        <v>9700.3100000000013</v>
      </c>
      <c r="FY497" s="61">
        <f>IF(ISERROR((FX497/FV497-1)*100),"NA",IF(((FX497/FV497-1)*100)&gt;100,"NM",IF(((FX497/FV497-1)*100)&lt;-50,"NM",(FX497/FV497-1)*100)))</f>
        <v>-0.99097719803211692</v>
      </c>
      <c r="FZ497" s="284">
        <f>SUM(FZ493:FZ496)</f>
        <v>10550.5</v>
      </c>
      <c r="GA497" s="61">
        <f>IF(ISERROR((FZ497/FX497-1)*100),"NA",IF(((FZ497/FX497-1)*100)&gt;100,"NM",IF(((FZ497/FX497-1)*100)&lt;-50,"NM",(FZ497/FX497-1)*100)))</f>
        <v>8.7645652561618945</v>
      </c>
      <c r="GB497" s="284">
        <f>SUM(GB493:GB496)</f>
        <v>11027.699999999997</v>
      </c>
      <c r="GC497" s="61">
        <f>IF(ISERROR((GB497/FZ497-1)*100),"NA",IF(((GB497/FZ497-1)*100)&gt;100,"NM",IF(((GB497/FZ497-1)*100)&lt;-50,"NM",(GB497/FZ497-1)*100)))</f>
        <v>4.5230083882280114</v>
      </c>
      <c r="GD497" s="284">
        <f>SUM(GD493:GD496)</f>
        <v>11570</v>
      </c>
      <c r="GE497" s="61">
        <f>IF(ISERROR((GD497/GB497-1)*100),"NA",IF(((GD497/GB497-1)*100)&gt;100,"NM",IF(((GD497/GB497-1)*100)&lt;-50,"NM",(GD497/GB497-1)*100)))</f>
        <v>4.9176165474215106</v>
      </c>
      <c r="GF497" s="284">
        <f>SUM(GF493:GF496)</f>
        <v>12239</v>
      </c>
      <c r="GG497" s="61">
        <f>IF(ISERROR((GF497/GD497-1)*100),"NA",IF(((GF497/GD497-1)*100)&gt;100,"NM",IF(((GF497/GD497-1)*100)&lt;-50,"NM",(GF497/GD497-1)*100)))</f>
        <v>5.7821953327571229</v>
      </c>
      <c r="GH497" s="284">
        <f>SUM(GH493:GH496)</f>
        <v>13716</v>
      </c>
      <c r="GI497" s="61">
        <f>IF(ISERROR((GH497/GF497-1)*100),"NA",IF(((GH497/GF497-1)*100)&gt;100,"NM",IF(((GH497/GF497-1)*100)&lt;-50,"NM",(GH497/GF497-1)*100)))</f>
        <v>12.067979410082529</v>
      </c>
      <c r="GJ497" s="284">
        <f>SUM(GJ493:GJ496)</f>
        <v>13900</v>
      </c>
      <c r="GK497" s="61">
        <f>IF(ISERROR((GJ497/GH497-1)*100),"NA",IF(((GJ497/GH497-1)*100)&gt;100,"NM",IF(((GJ497/GH497-1)*100)&lt;-50,"NM",(GJ497/GH497-1)*100)))</f>
        <v>1.3414989792942533</v>
      </c>
      <c r="GL497" s="284">
        <f>SUM(GL493:GL496)</f>
        <v>13844</v>
      </c>
      <c r="GM497" s="61">
        <f>IF(ISERROR((GL497/GJ497-1)*100),"NA",IF(((GL497/GJ497-1)*100)&gt;100,"NM",IF(((GL497/GJ497-1)*100)&lt;-50,"NM",(GL497/GJ497-1)*100)))</f>
        <v>-0.40287769784173033</v>
      </c>
      <c r="GN497" s="284">
        <f>SUM(GN493:GN496)</f>
        <v>14589</v>
      </c>
      <c r="GO497" s="61">
        <f>IF(ISERROR((GN497/GL497-1)*100),"NA",IF(((GN497/GL497-1)*100)&gt;100,"NM",IF(((GN497/GL497-1)*100)&lt;-50,"NM",(GN497/GL497-1)*100)))</f>
        <v>5.3813926610806195</v>
      </c>
      <c r="GP497" s="284">
        <f>SUM(GP493:GP496)</f>
        <v>15927.989762045276</v>
      </c>
      <c r="GQ497" s="61">
        <f>IF(ISERROR((GP497/GN497-1)*100),"NA",IF(((GP497/GN497-1)*100)&gt;100,"NM",IF(((GP497/GN497-1)*100)&lt;-50,"NM",(GP497/GN497-1)*100)))</f>
        <v>9.1780777438157166</v>
      </c>
      <c r="GR497" s="284">
        <f>SUM(GR493:GR496)</f>
        <v>17339.622477644043</v>
      </c>
      <c r="GS497" s="61">
        <f>IF(ISERROR((GR497/GP497-1)*100),"NA",IF(((GR497/GP497-1)*100)&gt;100,"NM",IF(((GR497/GP497-1)*100)&lt;-50,"NM",(GR497/GP497-1)*100)))</f>
        <v>8.8625918065476039</v>
      </c>
      <c r="GT497" s="284">
        <f>SUM(GT493:GT496)</f>
        <v>17873.822249244371</v>
      </c>
      <c r="GU497" s="61">
        <f>IF(ISERROR((GT497/GR497-1)*100),"NA",IF(((GT497/GR497-1)*100)&gt;100,"NM",IF(((GT497/GR497-1)*100)&lt;-50,"NM",(GT497/GR497-1)*100)))</f>
        <v>3.0808039349707439</v>
      </c>
      <c r="GV497" s="284">
        <f>SUM(GV493:GV496)</f>
        <v>18479.385414219214</v>
      </c>
      <c r="GW497" s="61">
        <f>IF(ISERROR((GV497/GT497-1)*100),"NA",IF(((GV497/GT497-1)*100)&gt;100,"NM",IF(((GV497/GT497-1)*100)&lt;-50,"NM",(GV497/GT497-1)*100)))</f>
        <v>3.3879891862550249</v>
      </c>
      <c r="GX497" s="284">
        <f>SUM(GX493:GX496)</f>
        <v>19142.858162986493</v>
      </c>
      <c r="GY497" s="61">
        <f>IF(ISERROR((GX497/GV497-1)*100),"NA",IF(((GX497/GV497-1)*100)&gt;100,"NM",IF(((GX497/GV497-1)*100)&lt;-50,"NM",(GX497/GV497-1)*100)))</f>
        <v>3.5903399052262808</v>
      </c>
      <c r="GZ497" s="61">
        <f t="shared" si="2572"/>
        <v>5.5835479078343964</v>
      </c>
      <c r="HA497" s="61"/>
      <c r="HB497" s="452"/>
      <c r="HC497"/>
      <c r="HD497"/>
      <c r="HE497"/>
      <c r="HF497"/>
      <c r="HG497"/>
      <c r="HH497"/>
    </row>
    <row r="498" spans="1:216" s="5" customFormat="1" ht="12.75" customHeight="1" x14ac:dyDescent="0.2">
      <c r="A498" s="7"/>
      <c r="B498" s="2"/>
      <c r="C498" s="65"/>
      <c r="D498" s="67"/>
      <c r="E498" s="65"/>
      <c r="F498" s="66"/>
      <c r="G498" s="65"/>
      <c r="H498" s="66"/>
      <c r="I498" s="65"/>
      <c r="J498" s="122"/>
      <c r="K498" s="65"/>
      <c r="L498" s="61"/>
      <c r="M498" s="65"/>
      <c r="N498" s="61"/>
      <c r="O498" s="65"/>
      <c r="P498" s="61"/>
      <c r="Q498" s="65"/>
      <c r="R498" s="61"/>
      <c r="S498" s="65"/>
      <c r="T498" s="61"/>
      <c r="U498" s="65"/>
      <c r="V498" s="61"/>
      <c r="W498" s="65"/>
      <c r="X498" s="61"/>
      <c r="Y498" s="65"/>
      <c r="Z498" s="61"/>
      <c r="AA498" s="65"/>
      <c r="AB498" s="61"/>
      <c r="AC498" s="65"/>
      <c r="AD498" s="61"/>
      <c r="AE498" s="65"/>
      <c r="AF498" s="61"/>
      <c r="AG498" s="65"/>
      <c r="AH498" s="61"/>
      <c r="AI498" s="65"/>
      <c r="AJ498" s="61"/>
      <c r="AK498" s="65"/>
      <c r="AL498" s="61"/>
      <c r="AM498" s="65"/>
      <c r="AN498" s="61"/>
      <c r="AO498" s="65"/>
      <c r="AP498" s="61"/>
      <c r="AQ498" s="65"/>
      <c r="AR498" s="61"/>
      <c r="AS498" s="65"/>
      <c r="AT498" s="61"/>
      <c r="AU498" s="65"/>
      <c r="AV498" s="61"/>
      <c r="AW498" s="65"/>
      <c r="AX498" s="61"/>
      <c r="AY498" s="65"/>
      <c r="AZ498" s="61"/>
      <c r="BA498" s="65"/>
      <c r="BB498" s="61"/>
      <c r="BC498" s="65"/>
      <c r="BD498" s="61"/>
      <c r="BE498" s="65"/>
      <c r="BF498" s="61"/>
      <c r="BG498" s="65"/>
      <c r="BH498" s="61"/>
      <c r="BI498" s="65"/>
      <c r="BJ498" s="61"/>
      <c r="BK498" s="65"/>
      <c r="BL498" s="61"/>
      <c r="BM498" s="65"/>
      <c r="BN498" s="61"/>
      <c r="BO498" s="65"/>
      <c r="BP498" s="61"/>
      <c r="BQ498" s="65"/>
      <c r="BR498" s="61"/>
      <c r="BS498" s="65"/>
      <c r="BT498" s="61"/>
      <c r="BU498" s="65"/>
      <c r="BV498" s="61"/>
      <c r="BW498" s="65"/>
      <c r="BX498" s="61"/>
      <c r="BY498" s="65"/>
      <c r="BZ498" s="61"/>
      <c r="CA498" s="16"/>
      <c r="CB498" s="61"/>
      <c r="CC498" s="65"/>
      <c r="CD498" s="61"/>
      <c r="CE498" s="65"/>
      <c r="CF498" s="61"/>
      <c r="CG498" s="65"/>
      <c r="CH498" s="61"/>
      <c r="CI498" s="65"/>
      <c r="CJ498" s="61"/>
      <c r="CK498" s="65"/>
      <c r="CL498" s="61"/>
      <c r="CM498" s="65"/>
      <c r="CN498" s="61"/>
      <c r="CO498" s="65"/>
      <c r="CP498" s="61"/>
      <c r="CQ498" s="65"/>
      <c r="CR498" s="61"/>
      <c r="CS498" s="65"/>
      <c r="CT498" s="61"/>
      <c r="CU498" s="65"/>
      <c r="CV498" s="61"/>
      <c r="CW498" s="65"/>
      <c r="CX498" s="61"/>
      <c r="CY498" s="65"/>
      <c r="CZ498" s="61"/>
      <c r="DA498" s="65"/>
      <c r="DB498" s="61"/>
      <c r="DC498" s="65"/>
      <c r="DD498" s="61"/>
      <c r="DE498" s="65"/>
      <c r="DF498" s="61"/>
      <c r="DG498" s="65"/>
      <c r="DH498" s="61"/>
      <c r="DI498" s="65"/>
      <c r="DJ498" s="61"/>
      <c r="DK498" s="65"/>
      <c r="DL498" s="61"/>
      <c r="DM498" s="65"/>
      <c r="DN498" s="61"/>
      <c r="DO498" s="65"/>
      <c r="DP498" s="61"/>
      <c r="DQ498" s="65"/>
      <c r="DR498" s="61"/>
      <c r="DS498" s="65"/>
      <c r="DT498" s="61"/>
      <c r="DU498" s="65"/>
      <c r="DV498" s="61"/>
      <c r="DW498" s="65"/>
      <c r="DX498" s="65"/>
      <c r="DY498" s="65"/>
      <c r="DZ498" s="61"/>
      <c r="EA498" s="65"/>
      <c r="EB498" s="61"/>
      <c r="EC498" s="65"/>
      <c r="ED498" s="61"/>
      <c r="EE498" s="65"/>
      <c r="EF498" s="61"/>
      <c r="EG498" s="65"/>
      <c r="EH498" s="61"/>
      <c r="EI498" s="65"/>
      <c r="EJ498" s="61"/>
      <c r="EK498" s="65"/>
      <c r="EL498" s="61"/>
      <c r="EM498" s="65"/>
      <c r="EN498" s="61"/>
      <c r="EO498" s="65"/>
      <c r="EP498" s="61"/>
      <c r="EQ498" s="65"/>
      <c r="ER498" s="61"/>
      <c r="ES498" s="65"/>
      <c r="ET498" s="61"/>
      <c r="EU498" s="65"/>
      <c r="EV498" s="61"/>
      <c r="EW498" s="65"/>
      <c r="EX498" s="61"/>
      <c r="EY498" s="66"/>
      <c r="EZ498" s="558"/>
      <c r="FA498" s="66"/>
      <c r="FB498" s="64"/>
      <c r="FC498" s="70"/>
      <c r="FD498" s="64"/>
      <c r="FE498" s="70"/>
      <c r="FF498" s="64"/>
      <c r="FG498" s="70"/>
      <c r="FH498" s="282"/>
      <c r="FI498" s="281"/>
      <c r="FJ498" s="282"/>
      <c r="FK498" s="281"/>
      <c r="FL498" s="282"/>
      <c r="FM498" s="283"/>
      <c r="FN498" s="282"/>
      <c r="FO498" s="283"/>
      <c r="FP498" s="65"/>
      <c r="FQ498" s="61"/>
      <c r="FR498" s="65"/>
      <c r="FS498" s="61"/>
      <c r="FT498" s="65"/>
      <c r="FU498" s="61"/>
      <c r="FV498" s="65"/>
      <c r="FW498" s="61"/>
      <c r="FX498" s="65"/>
      <c r="FY498" s="61"/>
      <c r="FZ498" s="65"/>
      <c r="GA498" s="61"/>
      <c r="GB498" s="65"/>
      <c r="GC498" s="61"/>
      <c r="GD498" s="65"/>
      <c r="GE498" s="61"/>
      <c r="GF498" s="65"/>
      <c r="GG498" s="61"/>
      <c r="GH498" s="65"/>
      <c r="GI498" s="61"/>
      <c r="GJ498" s="65"/>
      <c r="GK498" s="61"/>
      <c r="GL498" s="65"/>
      <c r="GM498" s="61"/>
      <c r="GN498" s="65"/>
      <c r="GO498" s="61"/>
      <c r="GP498" s="65"/>
      <c r="GQ498" s="61"/>
      <c r="GR498" s="65"/>
      <c r="GS498" s="61"/>
      <c r="GT498" s="65"/>
      <c r="GU498" s="61"/>
      <c r="GV498" s="65"/>
      <c r="GW498" s="61"/>
      <c r="GX498" s="65"/>
      <c r="GY498" s="61"/>
      <c r="GZ498" s="61" t="str">
        <f t="shared" si="2572"/>
        <v/>
      </c>
      <c r="HA498" s="61"/>
      <c r="HB498" s="452"/>
      <c r="HC498"/>
      <c r="HD498"/>
      <c r="HE498"/>
      <c r="HF498"/>
      <c r="HG498"/>
      <c r="HH498"/>
    </row>
    <row r="499" spans="1:216" s="5" customFormat="1" ht="12.75" customHeight="1" x14ac:dyDescent="0.2">
      <c r="A499" s="7"/>
      <c r="B499" s="63" t="s">
        <v>624</v>
      </c>
      <c r="C499" s="65"/>
      <c r="D499" s="67"/>
      <c r="E499" s="65"/>
      <c r="F499" s="66"/>
      <c r="G499" s="65"/>
      <c r="H499" s="66"/>
      <c r="I499" s="65"/>
      <c r="J499" s="122"/>
      <c r="K499" s="65"/>
      <c r="L499" s="61"/>
      <c r="M499" s="65"/>
      <c r="N499" s="61"/>
      <c r="O499" s="65"/>
      <c r="P499" s="61"/>
      <c r="Q499" s="65"/>
      <c r="R499" s="61"/>
      <c r="S499" s="65"/>
      <c r="T499" s="61"/>
      <c r="U499" s="65"/>
      <c r="V499" s="61"/>
      <c r="W499" s="65"/>
      <c r="X499" s="61"/>
      <c r="Y499" s="65"/>
      <c r="Z499" s="61"/>
      <c r="AA499" s="65"/>
      <c r="AB499" s="61"/>
      <c r="AC499" s="65"/>
      <c r="AD499" s="61"/>
      <c r="AE499" s="65"/>
      <c r="AF499" s="61"/>
      <c r="AG499" s="65"/>
      <c r="AH499" s="61"/>
      <c r="AI499" s="65"/>
      <c r="AJ499" s="61"/>
      <c r="AK499" s="65"/>
      <c r="AL499" s="61"/>
      <c r="AM499" s="65"/>
      <c r="AN499" s="61"/>
      <c r="AO499" s="65"/>
      <c r="AP499" s="61"/>
      <c r="AQ499" s="65"/>
      <c r="AR499" s="61"/>
      <c r="AS499" s="65"/>
      <c r="AT499" s="61"/>
      <c r="AU499" s="65"/>
      <c r="AV499" s="61"/>
      <c r="AW499" s="65"/>
      <c r="AX499" s="61"/>
      <c r="AY499" s="65"/>
      <c r="AZ499" s="61"/>
      <c r="BA499" s="65"/>
      <c r="BB499" s="61"/>
      <c r="BC499" s="65"/>
      <c r="BD499" s="61"/>
      <c r="BE499" s="65"/>
      <c r="BF499" s="61"/>
      <c r="BG499" s="65"/>
      <c r="BH499" s="61"/>
      <c r="BI499" s="65"/>
      <c r="BJ499" s="61"/>
      <c r="BK499" s="65"/>
      <c r="BL499" s="61"/>
      <c r="BM499" s="65"/>
      <c r="BN499" s="61"/>
      <c r="BO499" s="65"/>
      <c r="BP499" s="61"/>
      <c r="BQ499" s="65"/>
      <c r="BR499" s="61"/>
      <c r="BS499" s="65"/>
      <c r="BT499" s="61"/>
      <c r="BU499" s="65"/>
      <c r="BV499" s="61"/>
      <c r="BW499" s="65"/>
      <c r="BX499" s="61"/>
      <c r="BY499" s="65"/>
      <c r="BZ499" s="61"/>
      <c r="CA499" s="16"/>
      <c r="CB499" s="61"/>
      <c r="CC499" s="65"/>
      <c r="CD499" s="61"/>
      <c r="CE499" s="65"/>
      <c r="CF499" s="61"/>
      <c r="CG499" s="65"/>
      <c r="CH499" s="61"/>
      <c r="CI499" s="65"/>
      <c r="CJ499" s="61"/>
      <c r="CK499" s="65"/>
      <c r="CL499" s="61"/>
      <c r="CM499" s="65"/>
      <c r="CN499" s="61"/>
      <c r="CO499" s="65"/>
      <c r="CP499" s="61"/>
      <c r="CQ499" s="65"/>
      <c r="CR499" s="61"/>
      <c r="CS499" s="65"/>
      <c r="CT499" s="61"/>
      <c r="CU499" s="65"/>
      <c r="CV499" s="61"/>
      <c r="CW499" s="65"/>
      <c r="CX499" s="61"/>
      <c r="CY499" s="65"/>
      <c r="CZ499" s="61"/>
      <c r="DA499" s="65"/>
      <c r="DB499" s="61"/>
      <c r="DC499" s="65"/>
      <c r="DD499" s="61"/>
      <c r="DE499" s="65"/>
      <c r="DF499" s="61"/>
      <c r="DG499" s="65"/>
      <c r="DH499" s="61"/>
      <c r="DI499" s="65"/>
      <c r="DJ499" s="61"/>
      <c r="DK499" s="65"/>
      <c r="DL499" s="61"/>
      <c r="DM499" s="65"/>
      <c r="DN499" s="61"/>
      <c r="DO499" s="65"/>
      <c r="DP499" s="61"/>
      <c r="DQ499" s="65"/>
      <c r="DR499" s="61"/>
      <c r="DS499" s="65"/>
      <c r="DT499" s="61"/>
      <c r="DU499" s="65"/>
      <c r="DV499" s="61"/>
      <c r="DW499" s="65"/>
      <c r="DX499" s="65"/>
      <c r="DY499" s="65"/>
      <c r="DZ499" s="61"/>
      <c r="EA499" s="65"/>
      <c r="EB499" s="61"/>
      <c r="EC499" s="65"/>
      <c r="ED499" s="61"/>
      <c r="EE499" s="65"/>
      <c r="EF499" s="61"/>
      <c r="EG499" s="65"/>
      <c r="EH499" s="61"/>
      <c r="EI499" s="65"/>
      <c r="EJ499" s="61"/>
      <c r="EK499" s="65"/>
      <c r="EL499" s="61"/>
      <c r="EM499" s="65"/>
      <c r="EN499" s="61"/>
      <c r="EO499" s="65"/>
      <c r="EP499" s="61"/>
      <c r="EQ499" s="65"/>
      <c r="ER499" s="61"/>
      <c r="ES499" s="65"/>
      <c r="ET499" s="61"/>
      <c r="EU499" s="65"/>
      <c r="EV499" s="61"/>
      <c r="EW499" s="65"/>
      <c r="EX499" s="61"/>
      <c r="EY499" s="66"/>
      <c r="EZ499" s="558"/>
      <c r="FA499" s="66"/>
      <c r="FB499" s="64"/>
      <c r="FC499" s="70"/>
      <c r="FD499" s="64"/>
      <c r="FE499" s="70"/>
      <c r="FF499" s="64"/>
      <c r="FG499" s="70"/>
      <c r="FH499" s="282"/>
      <c r="FI499" s="281"/>
      <c r="FJ499" s="282"/>
      <c r="FK499" s="281"/>
      <c r="FL499" s="282"/>
      <c r="FM499" s="283"/>
      <c r="FN499" s="282"/>
      <c r="FO499" s="283"/>
      <c r="FP499" s="65"/>
      <c r="FQ499" s="61"/>
      <c r="FR499" s="65"/>
      <c r="FS499" s="61"/>
      <c r="FT499" s="65"/>
      <c r="FU499" s="61"/>
      <c r="FV499" s="65"/>
      <c r="FW499" s="61"/>
      <c r="FX499" s="65"/>
      <c r="FY499" s="61"/>
      <c r="FZ499" s="65"/>
      <c r="GA499" s="61"/>
      <c r="GB499" s="65"/>
      <c r="GC499" s="61"/>
      <c r="GD499" s="65"/>
      <c r="GE499" s="61"/>
      <c r="GF499" s="65"/>
      <c r="GG499" s="61"/>
      <c r="GH499" s="65"/>
      <c r="GI499" s="61"/>
      <c r="GJ499" s="65"/>
      <c r="GK499" s="61"/>
      <c r="GL499" s="65"/>
      <c r="GM499" s="61"/>
      <c r="GN499" s="65"/>
      <c r="GO499" s="61"/>
      <c r="GP499" s="65"/>
      <c r="GQ499" s="61"/>
      <c r="GR499" s="65"/>
      <c r="GS499" s="61"/>
      <c r="GT499" s="65"/>
      <c r="GU499" s="61"/>
      <c r="GV499" s="65"/>
      <c r="GW499" s="61"/>
      <c r="GX499" s="65"/>
      <c r="GY499" s="61"/>
      <c r="GZ499" s="61" t="str">
        <f t="shared" si="2572"/>
        <v/>
      </c>
      <c r="HA499" s="61"/>
      <c r="HB499" s="452"/>
      <c r="HC499"/>
      <c r="HD499"/>
      <c r="HE499"/>
      <c r="HF499"/>
      <c r="HG499"/>
      <c r="HH499"/>
    </row>
    <row r="500" spans="1:216" s="5" customFormat="1" ht="12.75" customHeight="1" x14ac:dyDescent="0.2">
      <c r="A500" s="7"/>
      <c r="B500" s="2" t="s">
        <v>465</v>
      </c>
      <c r="C500" s="64">
        <v>195</v>
      </c>
      <c r="D500" s="67"/>
      <c r="E500" s="64">
        <v>199.4</v>
      </c>
      <c r="F500" s="66"/>
      <c r="G500" s="64">
        <v>216.1</v>
      </c>
      <c r="H500" s="66"/>
      <c r="I500" s="64">
        <v>234.2</v>
      </c>
      <c r="J500" s="70"/>
      <c r="K500" s="64">
        <v>193.7</v>
      </c>
      <c r="L500" s="61">
        <f t="shared" ref="L500:L506" si="2621">IF(ISERROR((K500/C500-1)*100),"NA",IF(((K500/C500-1)*100)&gt;100,"NM",IF(((K500/C500-1)*100)&lt;-50,"NM",(K500/C500-1)*100)))</f>
        <v>-0.66666666666667096</v>
      </c>
      <c r="M500" s="64">
        <v>194</v>
      </c>
      <c r="N500" s="61">
        <f t="shared" ref="N500:N506" si="2622">IF(ISERROR((M500/E500-1)*100),"NA",IF(((M500/E500-1)*100)&gt;100,"NM",IF(((M500/E500-1)*100)&lt;-50,"NM",(M500/E500-1)*100)))</f>
        <v>-2.7081243731193583</v>
      </c>
      <c r="O500" s="64">
        <v>186.4</v>
      </c>
      <c r="P500" s="61">
        <f t="shared" ref="P500:P506" si="2623">IF(ISERROR((O500/G500-1)*100),"NA",IF(((O500/G500-1)*100)&gt;100,"NM",IF(((O500/G500-1)*100)&lt;-50,"NM",(O500/G500-1)*100)))</f>
        <v>-13.743637204997682</v>
      </c>
      <c r="Q500" s="64">
        <v>189</v>
      </c>
      <c r="R500" s="61">
        <f t="shared" ref="R500:R506" si="2624">IF(ISERROR((Q500/I500-1)*100),"NA",IF(((Q500/I500-1)*100)&gt;100,"NM",IF(((Q500/I500-1)*100)&lt;-50,"NM",(Q500/I500-1)*100)))</f>
        <v>-19.299743808710502</v>
      </c>
      <c r="S500" s="64">
        <v>177.8</v>
      </c>
      <c r="T500" s="61">
        <f t="shared" ref="T500:T506" si="2625">IF(ISERROR((S500/K500-1)*100),"NA",IF(((S500/K500-1)*100)&gt;100,"NM",IF(((S500/K500-1)*100)&lt;-50,"NM",(S500/K500-1)*100)))</f>
        <v>-8.208569953536383</v>
      </c>
      <c r="U500" s="64">
        <v>225.4</v>
      </c>
      <c r="V500" s="61">
        <f t="shared" ref="V500:V506" si="2626">IF(ISERROR((U500/M500-1)*100),"NA",IF(((U500/M500-1)*100)&gt;100,"NM",IF(((U500/M500-1)*100)&lt;-50,"NM",(U500/M500-1)*100)))</f>
        <v>16.185567010309288</v>
      </c>
      <c r="W500" s="64">
        <v>237</v>
      </c>
      <c r="X500" s="61">
        <f t="shared" ref="X500:X506" si="2627">IF(ISERROR((W500/O500-1)*100),"NA",IF(((W500/O500-1)*100)&gt;100,"NM",IF(((W500/O500-1)*100)&lt;-50,"NM",(W500/O500-1)*100)))</f>
        <v>27.145922746781114</v>
      </c>
      <c r="Y500" s="64">
        <v>219.1</v>
      </c>
      <c r="Z500" s="61">
        <f t="shared" ref="Z500:Z506" si="2628">IF(ISERROR((Y500/Q500-1)*100),"NA",IF(((Y500/Q500-1)*100)&gt;100,"NM",IF(((Y500/Q500-1)*100)&lt;-50,"NM",(Y500/Q500-1)*100)))</f>
        <v>15.92592592592592</v>
      </c>
      <c r="AA500" s="64">
        <v>189.4</v>
      </c>
      <c r="AB500" s="61">
        <f t="shared" ref="AB500:AB506" si="2629">IF(ISERROR((AA500/S500-1)*100),"NA",IF(((AA500/S500-1)*100)&gt;100,"NM",IF(((AA500/S500-1)*100)&lt;-50,"NM",(AA500/S500-1)*100)))</f>
        <v>6.5241844769403867</v>
      </c>
      <c r="AC500" s="64">
        <v>169.3</v>
      </c>
      <c r="AD500" s="61">
        <f t="shared" ref="AD500:AD506" si="2630">IF(ISERROR((AC500/U500-1)*100),"NA",IF(((AC500/U500-1)*100)&gt;100,"NM",IF(((AC500/U500-1)*100)&lt;-50,"NM",(AC500/U500-1)*100)))</f>
        <v>-24.889086069210286</v>
      </c>
      <c r="AE500" s="64">
        <v>185.6</v>
      </c>
      <c r="AF500" s="61">
        <f t="shared" ref="AF500:AF506" si="2631">IF(ISERROR((AE500/W500-1)*100),"NA",IF(((AE500/W500-1)*100)&gt;100,"NM",IF(((AE500/W500-1)*100)&lt;-50,"NM",(AE500/W500-1)*100)))</f>
        <v>-21.687763713080166</v>
      </c>
      <c r="AG500" s="64">
        <v>153.6</v>
      </c>
      <c r="AH500" s="61">
        <f t="shared" ref="AH500:AH506" si="2632">IF(ISERROR((AG500/Y500-1)*100),"NA",IF(((AG500/Y500-1)*100)&gt;100,"NM",IF(((AG500/Y500-1)*100)&lt;-50,"NM",(AG500/Y500-1)*100)))</f>
        <v>-29.895025102692841</v>
      </c>
      <c r="AI500" s="64">
        <v>183.4</v>
      </c>
      <c r="AJ500" s="61">
        <f t="shared" ref="AJ500:AJ506" si="2633">IF(ISERROR((AI500/AA500-1)*100),"NA",IF(((AI500/AA500-1)*100)&gt;100,"NM",IF(((AI500/AA500-1)*100)&lt;-50,"NM",(AI500/AA500-1)*100)))</f>
        <v>-3.1678986272439258</v>
      </c>
      <c r="AK500" s="64">
        <v>184.1</v>
      </c>
      <c r="AL500" s="61">
        <f t="shared" ref="AL500:AL506" si="2634">IF(ISERROR((AK500/AC500-1)*100),"NA",IF(((AK500/AC500-1)*100)&gt;100,"NM",IF(((AK500/AC500-1)*100)&lt;-50,"NM",(AK500/AC500-1)*100)))</f>
        <v>8.7418783225044159</v>
      </c>
      <c r="AM500" s="64">
        <v>157.69999999999999</v>
      </c>
      <c r="AN500" s="61">
        <f t="shared" ref="AN500:AN506" si="2635">IF(ISERROR((AM500/AE500-1)*100),"NA",IF(((AM500/AE500-1)*100)&gt;100,"NM",IF(((AM500/AE500-1)*100)&lt;-50,"NM",(AM500/AE500-1)*100)))</f>
        <v>-15.032327586206895</v>
      </c>
      <c r="AO500" s="64">
        <v>171.1</v>
      </c>
      <c r="AP500" s="61">
        <f t="shared" ref="AP500:AP506" si="2636">IF(ISERROR((AO500/AG500-1)*100),"NA",IF(((AO500/AG500-1)*100)&gt;100,"NM",IF(((AO500/AG500-1)*100)&lt;-50,"NM",(AO500/AG500-1)*100)))</f>
        <v>11.393229166666675</v>
      </c>
      <c r="AQ500" s="65">
        <f>AQ256+AQ101+AQ331+AQ416</f>
        <v>191.9</v>
      </c>
      <c r="AR500" s="61">
        <f t="shared" ref="AR500:AR506" si="2637">IF(ISERROR((AQ500/AI500-1)*100),"NA",IF(((AQ500/AI500-1)*100)&gt;100,"NM",IF(((AQ500/AI500-1)*100)&lt;-50,"NM",(AQ500/AI500-1)*100)))</f>
        <v>4.6346782988004431</v>
      </c>
      <c r="AS500" s="65">
        <f>AS256+AS101+AS331+AS416</f>
        <v>209.1</v>
      </c>
      <c r="AT500" s="61">
        <f t="shared" ref="AT500:AT506" si="2638">IF(ISERROR((AS500/AK500-1)*100),"NA",IF(((AS500/AK500-1)*100)&gt;100,"NM",IF(((AS500/AK500-1)*100)&lt;-50,"NM",(AS500/AK500-1)*100)))</f>
        <v>13.579576317218912</v>
      </c>
      <c r="AU500" s="65">
        <f>AU256+AU101+AU331+AU416</f>
        <v>205.8</v>
      </c>
      <c r="AV500" s="61">
        <f t="shared" ref="AV500:AX506" si="2639">IF(ISERROR((AU500/AM500-1)*100),"NA",IF(((AU500/AM500-1)*100)&gt;100,"NM",IF(((AU500/AM500-1)*100)&lt;-50,"NM",(AU500/AM500-1)*100)))</f>
        <v>30.500951173113535</v>
      </c>
      <c r="AW500" s="65">
        <f>AW256+AW101+AW331+AW416</f>
        <v>198.49999999999997</v>
      </c>
      <c r="AX500" s="61">
        <f t="shared" si="2639"/>
        <v>16.014026884862641</v>
      </c>
      <c r="AY500" s="65">
        <f>AY256+AY101+AY331+AY416</f>
        <v>198.79999999999998</v>
      </c>
      <c r="AZ500" s="61">
        <f t="shared" ref="AZ500:AZ506" si="2640">IF(ISERROR((AY500/AQ500-1)*100),"NA",IF(((AY500/AQ500-1)*100)&gt;100,"NM",IF(((AY500/AQ500-1)*100)&lt;-50,"NM",(AY500/AQ500-1)*100)))</f>
        <v>3.5956227201667357</v>
      </c>
      <c r="BA500" s="65">
        <f>BA256+BA101+BA331+BA416</f>
        <v>359.2</v>
      </c>
      <c r="BB500" s="61">
        <f t="shared" ref="BB500:BB506" si="2641">IF(ISERROR((BA500/AS500-1)*100),"NA",IF(((BA500/AS500-1)*100)&gt;100,"NM",IF(((BA500/AS500-1)*100)&lt;-50,"NM",(BA500/AS500-1)*100)))</f>
        <v>71.783835485413675</v>
      </c>
      <c r="BC500" s="65">
        <f>BC256+BC101+BC331+BC416</f>
        <v>349.1</v>
      </c>
      <c r="BD500" s="61">
        <f t="shared" ref="BD500:BD506" si="2642">IF(ISERROR((BC500/AU500-1)*100),"NA",IF(((BC500/AU500-1)*100)&gt;100,"NM",IF(((BC500/AU500-1)*100)&lt;-50,"NM",(BC500/AU500-1)*100)))</f>
        <v>69.630709426627789</v>
      </c>
      <c r="BE500" s="65">
        <f>BE256+BE101+BE331+BE416</f>
        <v>330.9</v>
      </c>
      <c r="BF500" s="61">
        <f t="shared" ref="BF500:BF506" si="2643">IF(ISERROR((BE500/AW500-1)*100),"NA",IF(((BE500/AW500-1)*100)&gt;100,"NM",IF(((BE500/AW500-1)*100)&lt;-50,"NM",(BE500/AW500-1)*100)))</f>
        <v>66.700251889168769</v>
      </c>
      <c r="BG500" s="65">
        <f>BG256+BG101</f>
        <v>271.39999999999998</v>
      </c>
      <c r="BH500" s="61">
        <f t="shared" ref="BH500:CT506" si="2644">IF(ISERROR((BG500/AY500-1)*100),"NA",IF(((BG500/AY500-1)*100)&gt;100,"NM",IF(((BG500/AY500-1)*100)&lt;-50,"NM",(BG500/AY500-1)*100)))</f>
        <v>36.519114688128759</v>
      </c>
      <c r="BI500" s="65">
        <f>BI256+BI101</f>
        <v>289.60000000000002</v>
      </c>
      <c r="BJ500" s="61">
        <f t="shared" si="2644"/>
        <v>-19.376391982182618</v>
      </c>
      <c r="BK500" s="65">
        <f>BK256+BK101</f>
        <v>321.90000000000003</v>
      </c>
      <c r="BL500" s="61">
        <f t="shared" si="2644"/>
        <v>-7.7914637639644795</v>
      </c>
      <c r="BM500" s="65">
        <f>BM256+BM101</f>
        <v>370.9</v>
      </c>
      <c r="BN500" s="61">
        <f t="shared" si="2644"/>
        <v>12.088244182532492</v>
      </c>
      <c r="BO500" s="65">
        <f>BO256+BO101</f>
        <v>349.90000000000003</v>
      </c>
      <c r="BP500" s="61">
        <f t="shared" si="2644"/>
        <v>28.924097273397219</v>
      </c>
      <c r="BQ500" s="65">
        <f>BQ256+BQ101</f>
        <v>339.3</v>
      </c>
      <c r="BR500" s="61">
        <f t="shared" si="2644"/>
        <v>17.161602209944739</v>
      </c>
      <c r="BS500" s="65">
        <f>BS256+BS101+BS293</f>
        <v>779.6</v>
      </c>
      <c r="BT500" s="61" t="str">
        <f t="shared" si="2644"/>
        <v>NM</v>
      </c>
      <c r="BU500" s="65">
        <f>BU256+BU101</f>
        <v>444.1</v>
      </c>
      <c r="BV500" s="61">
        <f t="shared" si="2644"/>
        <v>19.735777837692115</v>
      </c>
      <c r="BW500" s="65">
        <f>BW256+BW101</f>
        <v>431.5</v>
      </c>
      <c r="BX500" s="61">
        <f t="shared" si="2644"/>
        <v>23.320948842526423</v>
      </c>
      <c r="BY500" s="65">
        <f>BY256+BY101</f>
        <v>390</v>
      </c>
      <c r="BZ500" s="61">
        <f t="shared" si="2644"/>
        <v>14.942528735632177</v>
      </c>
      <c r="CA500" s="16">
        <f>CA256+CA101+CA293</f>
        <v>633.79999999999995</v>
      </c>
      <c r="CB500" s="61">
        <f t="shared" si="2644"/>
        <v>-18.701898409440744</v>
      </c>
      <c r="CC500" s="65">
        <f>CC256+CC101+CC293</f>
        <v>703.2</v>
      </c>
      <c r="CD500" s="61">
        <f t="shared" si="2644"/>
        <v>58.342715604593565</v>
      </c>
      <c r="CE500" s="65">
        <f>CE256+CE101+CE293</f>
        <v>753.3</v>
      </c>
      <c r="CF500" s="61">
        <f t="shared" si="2644"/>
        <v>74.577056778679008</v>
      </c>
      <c r="CG500" s="65">
        <f>CG256+CG101+CG293</f>
        <v>749.09999999999991</v>
      </c>
      <c r="CH500" s="61">
        <f t="shared" si="2644"/>
        <v>92.076923076923052</v>
      </c>
      <c r="CI500" s="65">
        <f>CI256+CI101+CI293</f>
        <v>934.4</v>
      </c>
      <c r="CJ500" s="61">
        <f t="shared" si="2644"/>
        <v>47.428210792047977</v>
      </c>
      <c r="CK500" s="65">
        <f>CK256+CK101+CK293</f>
        <v>771.7</v>
      </c>
      <c r="CL500" s="61">
        <f t="shared" si="2644"/>
        <v>9.7411831626848624</v>
      </c>
      <c r="CM500" s="65">
        <f>CM256+CM101+CM293</f>
        <v>810</v>
      </c>
      <c r="CN500" s="61">
        <f t="shared" si="2644"/>
        <v>7.526881720430123</v>
      </c>
      <c r="CO500" s="65">
        <f>CO256+CO101+CO293</f>
        <v>997.90000000000009</v>
      </c>
      <c r="CP500" s="61">
        <f t="shared" si="2644"/>
        <v>33.213189160325761</v>
      </c>
      <c r="CQ500" s="65">
        <f>CQ256+CQ101+CQ293</f>
        <v>559.6</v>
      </c>
      <c r="CR500" s="61">
        <f t="shared" si="2644"/>
        <v>-40.111301369863007</v>
      </c>
      <c r="CS500" s="65">
        <f>CS256+CS101+CS293</f>
        <v>826</v>
      </c>
      <c r="CT500" s="61">
        <f t="shared" si="2644"/>
        <v>7.0364131139043717</v>
      </c>
      <c r="CU500" s="65">
        <f>CU256+CU101+CU293</f>
        <v>864</v>
      </c>
      <c r="CV500" s="61">
        <f t="shared" ref="CV500:CV506" si="2645">IF(ISERROR((CU500/CM500-1)*100),"NA",IF(((CU500/CM500-1)*100)&gt;100,"NM",IF(((CU500/CM500-1)*100)&lt;-50,"NM",(CU500/CM500-1)*100)))</f>
        <v>6.6666666666666652</v>
      </c>
      <c r="CW500" s="65">
        <f>CW256+CW101+CW293</f>
        <v>891</v>
      </c>
      <c r="CX500" s="61">
        <f t="shared" ref="CX500:CX506" si="2646">IF(ISERROR((CW500/CO500-1)*100),"NA",IF(((CW500/CO500-1)*100)&gt;100,"NM",IF(((CW500/CO500-1)*100)&lt;-50,"NM",(CW500/CO500-1)*100)))</f>
        <v>-10.712496242108438</v>
      </c>
      <c r="CY500" s="65">
        <f>CY256+CY101+CY293</f>
        <v>786</v>
      </c>
      <c r="CZ500" s="61">
        <f t="shared" ref="CZ500:CZ506" si="2647">IF(ISERROR((CY500/CQ500-1)*100),"NA",IF(((CY500/CQ500-1)*100)&gt;100,"NM",IF(((CY500/CQ500-1)*100)&lt;-50,"NM",(CY500/CQ500-1)*100)))</f>
        <v>40.457469621157969</v>
      </c>
      <c r="DA500" s="65">
        <f>DA256+DA101+DA293</f>
        <v>908</v>
      </c>
      <c r="DB500" s="61">
        <f t="shared" ref="DB500:DB506" si="2648">IF(ISERROR((DA500/CS500-1)*100),"NA",IF(((DA500/CS500-1)*100)&gt;100,"NM",IF(((DA500/CS500-1)*100)&lt;-50,"NM",(DA500/CS500-1)*100)))</f>
        <v>9.9273607748183945</v>
      </c>
      <c r="DC500" s="65">
        <f>DC256+DC101+DC293</f>
        <v>954</v>
      </c>
      <c r="DD500" s="61">
        <f t="shared" ref="DD500:DD506" si="2649">IF(ISERROR((DC500/CU500-1)*100),"NA",IF(((DC500/CU500-1)*100)&gt;100,"NM",IF(((DC500/CU500-1)*100)&lt;-50,"NM",(DC500/CU500-1)*100)))</f>
        <v>10.416666666666675</v>
      </c>
      <c r="DE500" s="65">
        <f>DE256+DE101+DE293</f>
        <v>959</v>
      </c>
      <c r="DF500" s="61">
        <f t="shared" ref="DF500:DF506" si="2650">IF(ISERROR((DE500/CW500-1)*100),"NA",IF(((DE500/CW500-1)*100)&gt;100,"NM",IF(((DE500/CW500-1)*100)&lt;-50,"NM",(DE500/CW500-1)*100)))</f>
        <v>7.6318742985409749</v>
      </c>
      <c r="DG500" s="65">
        <f>DG256+DG101+DG293</f>
        <v>936</v>
      </c>
      <c r="DH500" s="61">
        <f t="shared" ref="DH500:DH506" si="2651">IF(ISERROR((DG500/CY500-1)*100),"NA",IF(((DG500/CY500-1)*100)&gt;100,"NM",IF(((DG500/CY500-1)*100)&lt;-50,"NM",(DG500/CY500-1)*100)))</f>
        <v>19.083969465648853</v>
      </c>
      <c r="DI500" s="65">
        <f>DI256+DI101+DI293</f>
        <v>960</v>
      </c>
      <c r="DJ500" s="61">
        <f t="shared" ref="DJ500:DJ506" si="2652">IF(ISERROR((DI500/DA500-1)*100),"NA",IF(((DI500/DA500-1)*100)&gt;100,"NM",IF(((DI500/DA500-1)*100)&lt;-50,"NM",(DI500/DA500-1)*100)))</f>
        <v>5.7268722466960353</v>
      </c>
      <c r="DK500" s="65">
        <f>DK256+DK101+DK293</f>
        <v>1051</v>
      </c>
      <c r="DL500" s="61">
        <f t="shared" ref="DL500:DL506" si="2653">IF(ISERROR((DK500/DC500-1)*100),"NA",IF(((DK500/DC500-1)*100)&gt;100,"NM",IF(((DK500/DC500-1)*100)&lt;-50,"NM",(DK500/DC500-1)*100)))</f>
        <v>10.167714884696011</v>
      </c>
      <c r="DM500" s="65">
        <f>DM256+DM101+DM293</f>
        <v>1062</v>
      </c>
      <c r="DN500" s="130">
        <f t="shared" ref="DN500:DZ506" si="2654">IF(ISERROR((DM500/DE500-1)*100),"NA",IF(((DM500/DE500-1)*100)&gt;100,"NM",IF(((DM500/DE500-1)*100)&lt;-50,"NM",(DM500/DE500-1)*100)))</f>
        <v>10.740354535974973</v>
      </c>
      <c r="DO500" s="65">
        <f>DO256+DO101+DO293</f>
        <v>1079</v>
      </c>
      <c r="DP500" s="130">
        <f t="shared" si="2654"/>
        <v>15.277777777777768</v>
      </c>
      <c r="DQ500" s="65">
        <f>DQ256+DQ101+DQ293</f>
        <v>1377</v>
      </c>
      <c r="DR500" s="130">
        <f t="shared" si="2654"/>
        <v>43.437499999999993</v>
      </c>
      <c r="DS500" s="65">
        <f>DS256+DS101+DS293</f>
        <v>1219</v>
      </c>
      <c r="DT500" s="130">
        <f t="shared" si="2654"/>
        <v>15.984776403425304</v>
      </c>
      <c r="DU500" s="65">
        <f>DU256+DU101+DU293</f>
        <v>1184</v>
      </c>
      <c r="DV500" s="130">
        <f t="shared" si="2654"/>
        <v>11.487758945386073</v>
      </c>
      <c r="DW500" s="65">
        <f>DW256+DW101+DW293</f>
        <v>1183</v>
      </c>
      <c r="DX500" s="65">
        <f t="shared" ref="DX500:DY500" si="2655">DX256+DX101+DX293</f>
        <v>1054</v>
      </c>
      <c r="DY500" s="65">
        <f t="shared" si="2655"/>
        <v>1262</v>
      </c>
      <c r="DZ500" s="130">
        <f t="shared" si="2654"/>
        <v>-8.3514887436456071</v>
      </c>
      <c r="EA500" s="65">
        <f t="shared" ref="EA500:EC500" si="2656">EA256+EA101+EA293</f>
        <v>1296</v>
      </c>
      <c r="EB500" s="130">
        <f t="shared" ref="EB500:EB506" si="2657">IF(ISERROR((EA500/DS500-1)*100),"NA",IF(((EA500/DS500-1)*100)&gt;100,"NM",IF(((EA500/DS500-1)*100)&lt;-50,"NM",(EA500/DS500-1)*100)))</f>
        <v>6.3166529942575877</v>
      </c>
      <c r="EC500" s="65">
        <f t="shared" si="2656"/>
        <v>1189</v>
      </c>
      <c r="ED500" s="130">
        <f t="shared" ref="ED500:ED506" si="2658">IF(ISERROR((EC500/DU500-1)*100),"NA",IF(((EC500/DU500-1)*100)&gt;100,"NM",IF(((EC500/DU500-1)*100)&lt;-50,"NM",(EC500/DU500-1)*100)))</f>
        <v>0.4222972972973027</v>
      </c>
      <c r="EE500" s="65">
        <f t="shared" ref="EE500:EG500" si="2659">EE256+EE101+EE293</f>
        <v>925</v>
      </c>
      <c r="EF500" s="130">
        <f t="shared" ref="EF500:EF506" si="2660">IF(ISERROR((EE500/DW500-1)*100),"NA",IF(((EE500/DW500-1)*100)&gt;100,"NM",IF(((EE500/DW500-1)*100)&lt;-50,"NM",(EE500/DW500-1)*100)))</f>
        <v>-21.808960270498734</v>
      </c>
      <c r="EG500" s="65">
        <f t="shared" si="2659"/>
        <v>1184</v>
      </c>
      <c r="EH500" s="130">
        <f t="shared" ref="EH500:EH506" si="2661">IF(ISERROR((EG500/DY500-1)*100),"NA",IF(((EG500/DY500-1)*100)&gt;100,"NM",IF(((EG500/DY500-1)*100)&lt;-50,"NM",(EG500/DY500-1)*100)))</f>
        <v>-6.1806656101426327</v>
      </c>
      <c r="EI500" s="65">
        <f t="shared" ref="EI500:EK500" si="2662">EI256+EI101+EI293</f>
        <v>1341</v>
      </c>
      <c r="EJ500" s="130">
        <f t="shared" ref="EJ500:EJ506" si="2663">IF(ISERROR((EI500/EA500-1)*100),"NA",IF(((EI500/EA500-1)*100)&gt;100,"NM",IF(((EI500/EA500-1)*100)&lt;-50,"NM",(EI500/EA500-1)*100)))</f>
        <v>3.4722222222222321</v>
      </c>
      <c r="EK500" s="65">
        <f t="shared" si="2662"/>
        <v>1307</v>
      </c>
      <c r="EL500" s="130">
        <f t="shared" ref="EL500:EL506" si="2664">IF(ISERROR((EK500/EC500-1)*100),"NA",IF(((EK500/EC500-1)*100)&gt;100,"NM",IF(((EK500/EC500-1)*100)&lt;-50,"NM",(EK500/EC500-1)*100)))</f>
        <v>9.924306139613126</v>
      </c>
      <c r="EM500" s="65">
        <f t="shared" ref="EM500" si="2665">EM256+EM101+EM293</f>
        <v>1277</v>
      </c>
      <c r="EN500" s="130">
        <f t="shared" ref="EN500:EN506" si="2666">IF(ISERROR((EM500/EE500-1)*100),"NA",IF(((EM500/EE500-1)*100)&gt;100,"NM",IF(((EM500/EE500-1)*100)&lt;-50,"NM",(EM500/EE500-1)*100)))</f>
        <v>38.054054054054063</v>
      </c>
      <c r="EO500" s="65">
        <f t="shared" ref="EO500" si="2667">EO256+EO101+EO293</f>
        <v>1344</v>
      </c>
      <c r="EP500" s="130">
        <f t="shared" ref="EP500:EP506" si="2668">IF(ISERROR((EO500/EG500-1)*100),"NA",IF(((EO500/EG500-1)*100)&gt;100,"NM",IF(((EO500/EG500-1)*100)&lt;-50,"NM",(EO500/EG500-1)*100)))</f>
        <v>13.513513513513509</v>
      </c>
      <c r="EQ500" s="65">
        <f t="shared" ref="EQ500:EW500" si="2669">EQ256+EQ101</f>
        <v>1014.0988348617433</v>
      </c>
      <c r="ER500" s="130">
        <f t="shared" ref="ER500:ER506" si="2670">IF(ISERROR((EQ500/EI500-1)*100),"NA",IF(((EQ500/EI500-1)*100)&gt;100,"NM",IF(((EQ500/EI500-1)*100)&lt;-50,"NM",(EQ500/EI500-1)*100)))</f>
        <v>-24.377417236260758</v>
      </c>
      <c r="ES500" s="65">
        <f t="shared" si="2669"/>
        <v>998.84796675006692</v>
      </c>
      <c r="ET500" s="130">
        <f t="shared" ref="ET500:ET506" si="2671">IF(ISERROR((ES500/EK500-1)*100),"NA",IF(((ES500/EK500-1)*100)&gt;100,"NM",IF(((ES500/EK500-1)*100)&lt;-50,"NM",(ES500/EK500-1)*100)))</f>
        <v>-23.577049215756162</v>
      </c>
      <c r="EU500" s="65">
        <f t="shared" si="2669"/>
        <v>1008.7997724851691</v>
      </c>
      <c r="EV500" s="130">
        <f t="shared" ref="EV500:EV506" si="2672">IF(ISERROR((EU500/EM500-1)*100),"NA",IF(((EU500/EM500-1)*100)&gt;100,"NM",IF(((EU500/EM500-1)*100)&lt;-50,"NM",(EU500/EM500-1)*100)))</f>
        <v>-21.002367072422157</v>
      </c>
      <c r="EW500" s="65">
        <f t="shared" si="2669"/>
        <v>1011.3093624789979</v>
      </c>
      <c r="EX500" s="130">
        <f t="shared" ref="EX500:EX506" si="2673">IF(ISERROR((EW500/EO500-1)*100),"NA",IF(((EW500/EO500-1)*100)&gt;100,"NM",IF(((EW500/EO500-1)*100)&lt;-50,"NM",(EW500/EO500-1)*100)))</f>
        <v>-24.753767672693616</v>
      </c>
      <c r="EY500" s="66"/>
      <c r="EZ500" s="558"/>
      <c r="FA500" s="66"/>
      <c r="FB500" s="64"/>
      <c r="FC500" s="70"/>
      <c r="FD500" s="64"/>
      <c r="FE500" s="70"/>
      <c r="FF500" s="64"/>
      <c r="FG500" s="70"/>
      <c r="FH500" s="282">
        <v>763.1</v>
      </c>
      <c r="FI500" s="281" t="s">
        <v>101</v>
      </c>
      <c r="FJ500" s="282">
        <v>813.5</v>
      </c>
      <c r="FK500" s="281">
        <v>6.6046389726117205</v>
      </c>
      <c r="FL500" s="282">
        <v>681.9</v>
      </c>
      <c r="FM500" s="283">
        <v>-16.177012907191155</v>
      </c>
      <c r="FN500" s="282">
        <v>653.79999999999995</v>
      </c>
      <c r="FO500" s="283">
        <v>-4.120838832673412</v>
      </c>
      <c r="FP500" s="65">
        <f t="shared" ref="FP500:FP506" si="2674">AQ500+AS500+AU500+AW500</f>
        <v>805.3</v>
      </c>
      <c r="FQ500" s="61">
        <f t="shared" ref="FQ500:FQ506" si="2675">IF(ISERROR((FP500/FN500-1)*100),"NA",IF(((FP500/FN500-1)*100)&gt;100,"NM",IF(((FP500/FN500-1)*100)&lt;-50,"NM",(FP500/FN500-1)*100)))</f>
        <v>23.172223921688584</v>
      </c>
      <c r="FR500" s="65">
        <f>FR256+FR101+FR331+FR416+FR293</f>
        <v>1901.2999999999997</v>
      </c>
      <c r="FS500" s="61" t="str">
        <f t="shared" ref="FS500:FS506" si="2676">IF(ISERROR((FR500/FP500-1)*100),"NA",IF(((FR500/FP500-1)*100)&gt;100,"NM",IF(((FR500/FP500-1)*100)&lt;-50,"NM",(FR500/FP500-1)*100)))</f>
        <v>NM</v>
      </c>
      <c r="FT500" s="65">
        <f>FT256+FT101+FT331+FT416+FT293</f>
        <v>2396.1999999999998</v>
      </c>
      <c r="FU500" s="61">
        <f t="shared" ref="FU500:FU506" si="2677">IF(ISERROR((FT500/FR500-1)*100),"NA",IF(((FT500/FR500-1)*100)&gt;100,"NM",IF(((FT500/FR500-1)*100)&lt;-50,"NM",(FT500/FR500-1)*100)))</f>
        <v>26.029558722979029</v>
      </c>
      <c r="FV500" s="65">
        <f>FV256+FV101+FV331+FV416+FV293</f>
        <v>2859.2</v>
      </c>
      <c r="FW500" s="61">
        <f t="shared" ref="FW500:FW506" si="2678">IF(ISERROR((FV500/FT500-1)*100),"NA",IF(((FV500/FT500-1)*100)&gt;100,"NM",IF(((FV500/FT500-1)*100)&lt;-50,"NM",(FV500/FT500-1)*100)))</f>
        <v>19.322260245388524</v>
      </c>
      <c r="FX500" s="65">
        <f>FX256+FX101+FX331+FX416+FX293</f>
        <v>2733.2</v>
      </c>
      <c r="FY500" s="61">
        <f t="shared" ref="FY500:FY506" si="2679">IF(ISERROR((FX500/FV500-1)*100),"NA",IF(((FX500/FV500-1)*100)&gt;100,"NM",IF(((FX500/FV500-1)*100)&lt;-50,"NM",(FX500/FV500-1)*100)))</f>
        <v>-4.4068270844991648</v>
      </c>
      <c r="FZ500" s="65">
        <f>FZ256+FZ101+FZ331+FZ416+FZ293</f>
        <v>3208.5</v>
      </c>
      <c r="GA500" s="61">
        <f t="shared" ref="GA500:GA506" si="2680">IF(ISERROR((FZ500/FX500-1)*100),"NA",IF(((FZ500/FX500-1)*100)&gt;100,"NM",IF(((FZ500/FX500-1)*100)&lt;-50,"NM",(FZ500/FX500-1)*100)))</f>
        <v>17.389872676715946</v>
      </c>
      <c r="GB500" s="65">
        <f>GB256+GB101+GB331+GB416+GB293</f>
        <v>3193.5</v>
      </c>
      <c r="GC500" s="61">
        <f t="shared" ref="GC500:GC506" si="2681">IF(ISERROR((GB500/FZ500-1)*100),"NA",IF(((GB500/FZ500-1)*100)&gt;100,"NM",IF(((GB500/FZ500-1)*100)&lt;-50,"NM",(GB500/FZ500-1)*100)))</f>
        <v>-0.46750818139317252</v>
      </c>
      <c r="GD500" s="65">
        <f>GD256+GD101+GD331+GD416+GD293</f>
        <v>3449</v>
      </c>
      <c r="GE500" s="61">
        <f t="shared" ref="GE500:GW506" si="2682">IF(ISERROR((GD500/GB500-1)*100),"NA",IF(((GD500/GB500-1)*100)&gt;100,"NM",IF(((GD500/GB500-1)*100)&lt;-50,"NM",(GD500/GB500-1)*100)))</f>
        <v>8.000626272115241</v>
      </c>
      <c r="GF500" s="65">
        <f>GF256+GF101+GF331+GF416+GF293</f>
        <v>3809</v>
      </c>
      <c r="GG500" s="61">
        <f t="shared" si="2682"/>
        <v>10.43780806030734</v>
      </c>
      <c r="GH500" s="65">
        <f>GH256+GH101+GH331+GH416+GH293</f>
        <v>4569</v>
      </c>
      <c r="GI500" s="61">
        <f t="shared" si="2682"/>
        <v>19.952743502231552</v>
      </c>
      <c r="GJ500" s="65">
        <f>GJ256+GJ101+GJ331+GJ416+GJ293</f>
        <v>4848</v>
      </c>
      <c r="GK500" s="61">
        <f t="shared" si="2682"/>
        <v>6.1063690085357836</v>
      </c>
      <c r="GL500" s="65">
        <f>GL256+GL101+GL331+GL416+GL293</f>
        <v>4594</v>
      </c>
      <c r="GM500" s="61">
        <f t="shared" si="2682"/>
        <v>-5.2392739273927402</v>
      </c>
      <c r="GN500" s="65">
        <f>GN256+GN101+GN331+GN416+GN293</f>
        <v>5269</v>
      </c>
      <c r="GO500" s="61">
        <f t="shared" si="2682"/>
        <v>14.693077927731824</v>
      </c>
      <c r="GP500" s="65">
        <f>GP256+GP101+GP331+GP416+GP293</f>
        <v>5988.0573076937144</v>
      </c>
      <c r="GQ500" s="61">
        <f t="shared" si="2682"/>
        <v>13.646940741957003</v>
      </c>
      <c r="GR500" s="65">
        <f>GR256+GR101+GR331+GR416+GR293</f>
        <v>6745.6744204540728</v>
      </c>
      <c r="GS500" s="61">
        <f t="shared" si="2682"/>
        <v>12.652135305835156</v>
      </c>
      <c r="GT500" s="65">
        <f>GT256+GT101+GT331+GT416+GT293</f>
        <v>6895.8792753271027</v>
      </c>
      <c r="GU500" s="61">
        <f t="shared" si="2682"/>
        <v>2.2266840275833921</v>
      </c>
      <c r="GV500" s="65">
        <f>GV256+GV101+GV331+GV416+GV293</f>
        <v>7078.6173700177087</v>
      </c>
      <c r="GW500" s="61">
        <f t="shared" si="2682"/>
        <v>2.6499607576430106</v>
      </c>
      <c r="GX500" s="65">
        <f>GX256+GX101+GX331+GX416+GX293</f>
        <v>7274.8340303486038</v>
      </c>
      <c r="GY500" s="61">
        <f t="shared" ref="GY500:GY506" si="2683">IF(ISERROR((GX500/GV500-1)*100),"NA",IF(((GX500/GV500-1)*100)&gt;100,"NM",IF(((GX500/GV500-1)*100)&lt;-50,"NM",(GX500/GV500-1)*100)))</f>
        <v>2.7719630836664955</v>
      </c>
      <c r="GZ500" s="61">
        <f t="shared" si="2572"/>
        <v>6.6642731401248989</v>
      </c>
      <c r="HA500" s="61"/>
      <c r="HB500" s="452"/>
      <c r="HC500"/>
      <c r="HD500"/>
      <c r="HE500"/>
      <c r="HF500"/>
      <c r="HG500"/>
      <c r="HH500"/>
    </row>
    <row r="501" spans="1:216" s="5" customFormat="1" ht="12.75" customHeight="1" x14ac:dyDescent="0.2">
      <c r="A501" s="7"/>
      <c r="B501" s="2" t="s">
        <v>162</v>
      </c>
      <c r="C501" s="64">
        <v>354.5</v>
      </c>
      <c r="D501" s="67"/>
      <c r="E501" s="64">
        <v>348.1</v>
      </c>
      <c r="F501" s="66"/>
      <c r="G501" s="64">
        <v>339.4</v>
      </c>
      <c r="H501" s="66"/>
      <c r="I501" s="64">
        <v>349.7</v>
      </c>
      <c r="J501" s="70"/>
      <c r="K501" s="64">
        <v>347.7</v>
      </c>
      <c r="L501" s="61">
        <f t="shared" si="2621"/>
        <v>-1.9181946403385108</v>
      </c>
      <c r="M501" s="64">
        <v>350.9</v>
      </c>
      <c r="N501" s="61">
        <f t="shared" si="2622"/>
        <v>0.80436656133293649</v>
      </c>
      <c r="O501" s="64">
        <v>360.7</v>
      </c>
      <c r="P501" s="61">
        <f t="shared" si="2623"/>
        <v>6.2757807896287598</v>
      </c>
      <c r="Q501" s="64">
        <v>374.4</v>
      </c>
      <c r="R501" s="61">
        <f t="shared" si="2624"/>
        <v>7.0631970260222943</v>
      </c>
      <c r="S501" s="64">
        <v>372.4</v>
      </c>
      <c r="T501" s="61">
        <f t="shared" si="2625"/>
        <v>7.1038251366120297</v>
      </c>
      <c r="U501" s="64">
        <v>382.5</v>
      </c>
      <c r="V501" s="61">
        <f t="shared" si="2626"/>
        <v>9.0054146480478927</v>
      </c>
      <c r="W501" s="64">
        <v>417.4</v>
      </c>
      <c r="X501" s="61">
        <f t="shared" si="2627"/>
        <v>15.719434433046843</v>
      </c>
      <c r="Y501" s="64">
        <v>411.1</v>
      </c>
      <c r="Z501" s="61">
        <f t="shared" si="2628"/>
        <v>9.8023504273504471</v>
      </c>
      <c r="AA501" s="64">
        <v>409.3</v>
      </c>
      <c r="AB501" s="61">
        <f t="shared" si="2629"/>
        <v>9.9087003222341643</v>
      </c>
      <c r="AC501" s="64">
        <v>406.3</v>
      </c>
      <c r="AD501" s="61">
        <f t="shared" si="2630"/>
        <v>6.2222222222222179</v>
      </c>
      <c r="AE501" s="64">
        <v>405.6</v>
      </c>
      <c r="AF501" s="61">
        <f t="shared" si="2631"/>
        <v>-2.8270244369908881</v>
      </c>
      <c r="AG501" s="64">
        <v>395.7</v>
      </c>
      <c r="AH501" s="61">
        <f t="shared" si="2632"/>
        <v>-3.7460471904646186</v>
      </c>
      <c r="AI501" s="64">
        <v>390.4</v>
      </c>
      <c r="AJ501" s="61">
        <f t="shared" si="2633"/>
        <v>-4.6176398729538271</v>
      </c>
      <c r="AK501" s="64">
        <v>390.4</v>
      </c>
      <c r="AL501" s="61">
        <f t="shared" si="2634"/>
        <v>-3.913364508983519</v>
      </c>
      <c r="AM501" s="64">
        <v>353.7</v>
      </c>
      <c r="AN501" s="61">
        <f t="shared" si="2635"/>
        <v>-12.795857988165693</v>
      </c>
      <c r="AO501" s="64">
        <v>357.5</v>
      </c>
      <c r="AP501" s="61">
        <f t="shared" si="2636"/>
        <v>-9.653778114733381</v>
      </c>
      <c r="AQ501" s="65">
        <f>AQ257+AQ85+AQ147+AQ332</f>
        <v>347.90000000000003</v>
      </c>
      <c r="AR501" s="61">
        <f t="shared" si="2637"/>
        <v>-10.886270491803263</v>
      </c>
      <c r="AS501" s="65">
        <f>AS257+AS85+AS147+AS332</f>
        <v>346.90000000000003</v>
      </c>
      <c r="AT501" s="61">
        <f t="shared" si="2638"/>
        <v>-11.142418032786871</v>
      </c>
      <c r="AU501" s="65">
        <f>AU257+AU85+AU147+AU332</f>
        <v>349.29999999999995</v>
      </c>
      <c r="AV501" s="61">
        <f t="shared" si="2639"/>
        <v>-1.2439920836867513</v>
      </c>
      <c r="AW501" s="65">
        <f>AW257+AW85+AW147+AW332</f>
        <v>349</v>
      </c>
      <c r="AX501" s="61">
        <f t="shared" si="2639"/>
        <v>-2.3776223776223793</v>
      </c>
      <c r="AY501" s="65">
        <f>AY257+AY85+AY147+AY332</f>
        <v>347.3</v>
      </c>
      <c r="AZ501" s="61">
        <f t="shared" si="2640"/>
        <v>-0.17246335153779935</v>
      </c>
      <c r="BA501" s="65">
        <f>BA257+BA85+BA147+BA332</f>
        <v>552.90000000000009</v>
      </c>
      <c r="BB501" s="61">
        <f t="shared" si="2641"/>
        <v>59.383107523782087</v>
      </c>
      <c r="BC501" s="65">
        <f>BC257+BC85+BC147+BC332</f>
        <v>598.29999999999995</v>
      </c>
      <c r="BD501" s="61">
        <f t="shared" si="2642"/>
        <v>71.285427998854871</v>
      </c>
      <c r="BE501" s="65">
        <f>BE257+BE85+BE147+BE332</f>
        <v>609.4</v>
      </c>
      <c r="BF501" s="61">
        <f t="shared" si="2643"/>
        <v>74.613180515759311</v>
      </c>
      <c r="BG501" s="65">
        <f>BG257+BG85+BG147+BG332</f>
        <v>555.29999999999995</v>
      </c>
      <c r="BH501" s="61">
        <f t="shared" si="2644"/>
        <v>59.890584509069946</v>
      </c>
      <c r="BI501" s="65">
        <f>BI257+BI85+BI147+BI332</f>
        <v>561.80000000000007</v>
      </c>
      <c r="BJ501" s="61">
        <f t="shared" si="2644"/>
        <v>1.6096943389401375</v>
      </c>
      <c r="BK501" s="65">
        <f>BK257+BK85+BK147+BK332</f>
        <v>562.79999999999995</v>
      </c>
      <c r="BL501" s="61">
        <f t="shared" si="2644"/>
        <v>-5.9334781881999028</v>
      </c>
      <c r="BM501" s="65">
        <f>BM257+BM85+BM147+BM332</f>
        <v>570.9</v>
      </c>
      <c r="BN501" s="61">
        <f t="shared" si="2644"/>
        <v>-6.3176895306859215</v>
      </c>
      <c r="BO501" s="65">
        <f>BO257+BO85+BO147+BO332</f>
        <v>565.6</v>
      </c>
      <c r="BP501" s="61">
        <f t="shared" si="2644"/>
        <v>1.8548532324869527</v>
      </c>
      <c r="BQ501" s="65">
        <f>BQ257+BQ85+BQ147</f>
        <v>570.6</v>
      </c>
      <c r="BR501" s="61">
        <f t="shared" si="2644"/>
        <v>1.5663937344250645</v>
      </c>
      <c r="BS501" s="65">
        <f>BS257+BS85+BS147</f>
        <v>581.5</v>
      </c>
      <c r="BT501" s="61">
        <f t="shared" si="2644"/>
        <v>3.3226723525231039</v>
      </c>
      <c r="BU501" s="65">
        <f>BU257+BU85+BU147</f>
        <v>616.79999999999995</v>
      </c>
      <c r="BV501" s="61">
        <f t="shared" si="2644"/>
        <v>8.0399369416710442</v>
      </c>
      <c r="BW501" s="65">
        <f>BW257+BW85+BW147</f>
        <v>577.9</v>
      </c>
      <c r="BX501" s="61">
        <f t="shared" si="2644"/>
        <v>2.1746817538896623</v>
      </c>
      <c r="BY501" s="65">
        <f>BY257+BY85+BY147</f>
        <v>573.20000000000005</v>
      </c>
      <c r="BZ501" s="61">
        <f t="shared" si="2644"/>
        <v>0.4556607080266506</v>
      </c>
      <c r="CA501" s="16">
        <f>CA257+CA85+CA147</f>
        <v>579.69999999999993</v>
      </c>
      <c r="CB501" s="61">
        <f t="shared" si="2644"/>
        <v>-0.30954428202925044</v>
      </c>
      <c r="CC501" s="65">
        <f>CC257+CC85+CC147</f>
        <v>581.29999999999995</v>
      </c>
      <c r="CD501" s="61">
        <f t="shared" si="2644"/>
        <v>-5.7555123216601833</v>
      </c>
      <c r="CE501" s="65">
        <f>CE257+CE85+CE147</f>
        <v>583.5</v>
      </c>
      <c r="CF501" s="61">
        <f t="shared" si="2644"/>
        <v>0.9690257830074378</v>
      </c>
      <c r="CG501" s="65">
        <f>CG257+CG85+CG147</f>
        <v>585.70000000000005</v>
      </c>
      <c r="CH501" s="61">
        <f t="shared" si="2644"/>
        <v>2.1807397069085743</v>
      </c>
      <c r="CI501" s="65">
        <f>CI257+CI85+CI147</f>
        <v>593.20000000000005</v>
      </c>
      <c r="CJ501" s="61">
        <f t="shared" si="2644"/>
        <v>2.3287907538382058</v>
      </c>
      <c r="CK501" s="65">
        <f>CK257+CK85+CK147</f>
        <v>601.19999999999993</v>
      </c>
      <c r="CL501" s="61">
        <f t="shared" si="2644"/>
        <v>3.4233614312747296</v>
      </c>
      <c r="CM501" s="65">
        <f>CM257+CM85+CM147</f>
        <v>584.4</v>
      </c>
      <c r="CN501" s="61">
        <f t="shared" si="2644"/>
        <v>0.15424164524420192</v>
      </c>
      <c r="CO501" s="65">
        <f>CO257+CO85+CO147</f>
        <v>594.1</v>
      </c>
      <c r="CP501" s="61">
        <f t="shared" si="2644"/>
        <v>1.4341813214956423</v>
      </c>
      <c r="CQ501" s="65">
        <f>CQ257+CQ85+CQ147</f>
        <v>598.59999999999991</v>
      </c>
      <c r="CR501" s="61">
        <f t="shared" si="2644"/>
        <v>0.91031692515168849</v>
      </c>
      <c r="CS501" s="65">
        <f>CS257+CS85+CS147</f>
        <v>599</v>
      </c>
      <c r="CT501" s="61">
        <f t="shared" si="2644"/>
        <v>-0.36593479707250909</v>
      </c>
      <c r="CU501" s="65">
        <f>CU257+CU85+CU147</f>
        <v>594</v>
      </c>
      <c r="CV501" s="61">
        <f t="shared" si="2645"/>
        <v>1.6427104722792629</v>
      </c>
      <c r="CW501" s="65">
        <f>CW257+CW85+CW147</f>
        <v>587</v>
      </c>
      <c r="CX501" s="61">
        <f t="shared" si="2646"/>
        <v>-1.1950850025248316</v>
      </c>
      <c r="CY501" s="65">
        <f>CY257+CY85+CY147</f>
        <v>580</v>
      </c>
      <c r="CZ501" s="61">
        <f t="shared" si="2647"/>
        <v>-3.1072502505846811</v>
      </c>
      <c r="DA501" s="65">
        <f>DA257+DA85+DA147</f>
        <v>584</v>
      </c>
      <c r="DB501" s="61">
        <f t="shared" si="2648"/>
        <v>-2.5041736227045086</v>
      </c>
      <c r="DC501" s="65">
        <f>DC257+DC85+DC147</f>
        <v>590</v>
      </c>
      <c r="DD501" s="61">
        <f t="shared" si="2649"/>
        <v>-0.67340067340067034</v>
      </c>
      <c r="DE501" s="65">
        <f>DE257+DE85+DE147</f>
        <v>599</v>
      </c>
      <c r="DF501" s="61">
        <f t="shared" si="2650"/>
        <v>2.0442930153321992</v>
      </c>
      <c r="DG501" s="65">
        <f>DG257+DG85+DG147</f>
        <v>600</v>
      </c>
      <c r="DH501" s="61">
        <f t="shared" si="2651"/>
        <v>3.4482758620689724</v>
      </c>
      <c r="DI501" s="65">
        <f>DI257+DI85+DI147</f>
        <v>611</v>
      </c>
      <c r="DJ501" s="61">
        <f t="shared" si="2652"/>
        <v>4.6232876712328785</v>
      </c>
      <c r="DK501" s="65">
        <f>DK257+DK85+DK147</f>
        <v>606</v>
      </c>
      <c r="DL501" s="61">
        <f t="shared" si="2653"/>
        <v>2.7118644067796627</v>
      </c>
      <c r="DM501" s="65">
        <f>DM257+DM85+DM147</f>
        <v>609</v>
      </c>
      <c r="DN501" s="130">
        <f t="shared" si="2654"/>
        <v>1.6694490818029983</v>
      </c>
      <c r="DO501" s="65">
        <f>DO257+DO85+DO147</f>
        <v>607</v>
      </c>
      <c r="DP501" s="130">
        <f t="shared" si="2654"/>
        <v>1.1666666666666714</v>
      </c>
      <c r="DQ501" s="65">
        <f>DQ257+DQ85+DQ147</f>
        <v>610</v>
      </c>
      <c r="DR501" s="130">
        <f t="shared" si="2654"/>
        <v>-0.16366612111292644</v>
      </c>
      <c r="DS501" s="65">
        <f>DS257+DS85+DS147</f>
        <v>604</v>
      </c>
      <c r="DT501" s="130">
        <f t="shared" si="2654"/>
        <v>-0.33003300330033403</v>
      </c>
      <c r="DU501" s="65">
        <f>DU257+DU85+DU147</f>
        <v>607</v>
      </c>
      <c r="DV501" s="130">
        <f t="shared" si="2654"/>
        <v>-0.3284072249589487</v>
      </c>
      <c r="DW501" s="65">
        <f>DW257+DW85+DW147</f>
        <v>602</v>
      </c>
      <c r="DX501" s="65">
        <f t="shared" ref="DX501:DY501" si="2684">DX257+DX85+DX147</f>
        <v>602</v>
      </c>
      <c r="DY501" s="65">
        <f t="shared" si="2684"/>
        <v>613</v>
      </c>
      <c r="DZ501" s="130">
        <f t="shared" si="2654"/>
        <v>0.49180327868851847</v>
      </c>
      <c r="EA501" s="65">
        <f t="shared" ref="EA501:EC501" si="2685">EA257+EA85+EA147</f>
        <v>613</v>
      </c>
      <c r="EB501" s="130">
        <f t="shared" si="2657"/>
        <v>1.490066225165565</v>
      </c>
      <c r="EC501" s="65">
        <f t="shared" si="2685"/>
        <v>620</v>
      </c>
      <c r="ED501" s="130">
        <f t="shared" si="2658"/>
        <v>2.1416803953871577</v>
      </c>
      <c r="EE501" s="65">
        <f t="shared" ref="EE501:EG501" si="2686">EE257+EE85+EE147</f>
        <v>625</v>
      </c>
      <c r="EF501" s="130">
        <f t="shared" si="2660"/>
        <v>3.8205980066445155</v>
      </c>
      <c r="EG501" s="65">
        <f t="shared" si="2686"/>
        <v>631</v>
      </c>
      <c r="EH501" s="130">
        <f t="shared" si="2661"/>
        <v>2.9363784665579207</v>
      </c>
      <c r="EI501" s="65">
        <f t="shared" ref="EI501:EK501" si="2687">EI257+EI85+EI147</f>
        <v>628</v>
      </c>
      <c r="EJ501" s="130">
        <f t="shared" si="2663"/>
        <v>2.4469820554649191</v>
      </c>
      <c r="EK501" s="65">
        <f t="shared" si="2687"/>
        <v>628</v>
      </c>
      <c r="EL501" s="130">
        <f t="shared" si="2664"/>
        <v>1.2903225806451646</v>
      </c>
      <c r="EM501" s="65">
        <f t="shared" ref="EM501" si="2688">EM257+EM85+EM147</f>
        <v>631</v>
      </c>
      <c r="EN501" s="130">
        <f t="shared" si="2666"/>
        <v>0.96000000000000529</v>
      </c>
      <c r="EO501" s="65">
        <f t="shared" ref="EO501" si="2689">EO257+EO85+EO147</f>
        <v>635</v>
      </c>
      <c r="EP501" s="130">
        <f t="shared" si="2668"/>
        <v>0.63391442155309452</v>
      </c>
      <c r="EQ501" s="65">
        <f t="shared" ref="EQ501:EW501" si="2690">EQ257+EQ85+EQ147</f>
        <v>641.5885407834545</v>
      </c>
      <c r="ER501" s="130">
        <f t="shared" si="2670"/>
        <v>2.1637803795309773</v>
      </c>
      <c r="ES501" s="65">
        <f t="shared" si="2690"/>
        <v>647.37532257673797</v>
      </c>
      <c r="ET501" s="130">
        <f t="shared" si="2671"/>
        <v>3.0852424485251495</v>
      </c>
      <c r="EU501" s="65">
        <f t="shared" si="2690"/>
        <v>655.20791044555403</v>
      </c>
      <c r="EV501" s="130">
        <f t="shared" si="2672"/>
        <v>3.8364358867756021</v>
      </c>
      <c r="EW501" s="65">
        <f t="shared" si="2690"/>
        <v>662.98411852016875</v>
      </c>
      <c r="EX501" s="130">
        <f t="shared" si="2673"/>
        <v>4.4069477984517658</v>
      </c>
      <c r="EY501" s="66"/>
      <c r="EZ501" s="558"/>
      <c r="FA501" s="66"/>
      <c r="FB501" s="64"/>
      <c r="FC501" s="70"/>
      <c r="FD501" s="64"/>
      <c r="FE501" s="70"/>
      <c r="FF501" s="64"/>
      <c r="FG501" s="70"/>
      <c r="FH501" s="282">
        <v>1433.7</v>
      </c>
      <c r="FI501" s="281" t="s">
        <v>101</v>
      </c>
      <c r="FJ501" s="282">
        <v>1502.3</v>
      </c>
      <c r="FK501" s="281">
        <v>4.7848224872707013</v>
      </c>
      <c r="FL501" s="282">
        <v>1465.8</v>
      </c>
      <c r="FM501" s="283">
        <v>-2.4296079345004329</v>
      </c>
      <c r="FN501" s="282">
        <v>1415.7</v>
      </c>
      <c r="FO501" s="283">
        <v>-3.4179287760949584</v>
      </c>
      <c r="FP501" s="65">
        <f t="shared" si="2674"/>
        <v>1393.1</v>
      </c>
      <c r="FQ501" s="61">
        <f t="shared" si="2675"/>
        <v>-1.5963834145652389</v>
      </c>
      <c r="FR501" s="65">
        <f>FR257+FR85+FR147+FR332</f>
        <v>2107.9</v>
      </c>
      <c r="FS501" s="61">
        <f t="shared" si="2676"/>
        <v>51.310027995118816</v>
      </c>
      <c r="FT501" s="65">
        <f>FT257+FT85+FT147+FT332</f>
        <v>2250.8000000000002</v>
      </c>
      <c r="FU501" s="61">
        <f t="shared" si="2677"/>
        <v>6.7792589781298984</v>
      </c>
      <c r="FV501" s="65">
        <f>FV257+FV85+FV147+FV332</f>
        <v>2334.5</v>
      </c>
      <c r="FW501" s="61">
        <f t="shared" si="2678"/>
        <v>3.7186778034476564</v>
      </c>
      <c r="FX501" s="65">
        <f>FX257+FX85+FX147+FX332</f>
        <v>2312.1</v>
      </c>
      <c r="FY501" s="61">
        <f t="shared" si="2679"/>
        <v>-0.95952023988006285</v>
      </c>
      <c r="FZ501" s="65">
        <f>FZ257+FZ85+FZ147+FZ332</f>
        <v>2363.6</v>
      </c>
      <c r="GA501" s="61">
        <f t="shared" si="2680"/>
        <v>2.2274123091561737</v>
      </c>
      <c r="GB501" s="65">
        <f>GB257+GB85+GB147+GB332</f>
        <v>2376.1</v>
      </c>
      <c r="GC501" s="61">
        <f t="shared" si="2681"/>
        <v>0.52885429006599427</v>
      </c>
      <c r="GD501" s="65">
        <f>GD257+GD85+GD147+GD332</f>
        <v>2345</v>
      </c>
      <c r="GE501" s="61">
        <f t="shared" si="2682"/>
        <v>-1.3088674719077487</v>
      </c>
      <c r="GF501" s="65">
        <f>GF257+GF85+GF147+GF332</f>
        <v>2400</v>
      </c>
      <c r="GG501" s="61">
        <f t="shared" si="2682"/>
        <v>2.3454157782516027</v>
      </c>
      <c r="GH501" s="65">
        <f>GH257+GH85+GH147+GH332</f>
        <v>2432</v>
      </c>
      <c r="GI501" s="61">
        <f t="shared" si="2682"/>
        <v>1.3333333333333419</v>
      </c>
      <c r="GJ501" s="65">
        <f>GJ257+GJ85+GJ147+GJ332</f>
        <v>2426</v>
      </c>
      <c r="GK501" s="61">
        <f t="shared" si="2682"/>
        <v>-0.24671052631578538</v>
      </c>
      <c r="GL501" s="65">
        <f>GL257+GL85+GL147+GL332</f>
        <v>2489</v>
      </c>
      <c r="GM501" s="61">
        <f t="shared" si="2682"/>
        <v>2.5968672712283647</v>
      </c>
      <c r="GN501" s="65">
        <f>GN257+GN85+GN147+GN332</f>
        <v>2522</v>
      </c>
      <c r="GO501" s="61">
        <f t="shared" si="2682"/>
        <v>1.3258336681398086</v>
      </c>
      <c r="GP501" s="65">
        <f>GP257+GP85+GP147+GP332</f>
        <v>2607.1558923259154</v>
      </c>
      <c r="GQ501" s="61">
        <f t="shared" si="2682"/>
        <v>3.3765222968245689</v>
      </c>
      <c r="GR501" s="65">
        <f>GR257+GR85+GR147+GR332</f>
        <v>2711.1186561152372</v>
      </c>
      <c r="GS501" s="61">
        <f t="shared" si="2682"/>
        <v>3.9875929205205107</v>
      </c>
      <c r="GT501" s="65">
        <f>GT257+GT85+GT147+GT332</f>
        <v>2818.8546779577018</v>
      </c>
      <c r="GU501" s="61">
        <f t="shared" si="2682"/>
        <v>3.9738585989017361</v>
      </c>
      <c r="GV501" s="65">
        <f>GV257+GV85+GV147+GV332</f>
        <v>2921.5850613901334</v>
      </c>
      <c r="GW501" s="61">
        <f t="shared" si="2682"/>
        <v>3.6444015449161427</v>
      </c>
      <c r="GX501" s="65">
        <f>GX257+GX85+GX147+GX332</f>
        <v>3027.0655719185766</v>
      </c>
      <c r="GY501" s="61">
        <f t="shared" si="2683"/>
        <v>3.6103864276419095</v>
      </c>
      <c r="GZ501" s="61">
        <f t="shared" si="2572"/>
        <v>3.7182903184095117</v>
      </c>
      <c r="HA501" s="61"/>
      <c r="HB501" s="452"/>
      <c r="HC501"/>
      <c r="HD501"/>
      <c r="HE501"/>
      <c r="HF501"/>
      <c r="HG501"/>
      <c r="HH501"/>
    </row>
    <row r="502" spans="1:216" s="5" customFormat="1" ht="12.75" hidden="1" customHeight="1" outlineLevel="1" x14ac:dyDescent="0.2">
      <c r="A502" s="7"/>
      <c r="B502" s="2" t="s">
        <v>466</v>
      </c>
      <c r="C502" s="64">
        <v>20.399999999999999</v>
      </c>
      <c r="D502" s="67"/>
      <c r="E502" s="64">
        <v>18.7</v>
      </c>
      <c r="F502" s="66"/>
      <c r="G502" s="64">
        <v>16.399999999999999</v>
      </c>
      <c r="H502" s="66"/>
      <c r="I502" s="64">
        <v>25.3</v>
      </c>
      <c r="J502" s="70"/>
      <c r="K502" s="64">
        <v>17.5</v>
      </c>
      <c r="L502" s="61">
        <f t="shared" si="2621"/>
        <v>-14.215686274509798</v>
      </c>
      <c r="M502" s="64">
        <v>19</v>
      </c>
      <c r="N502" s="61">
        <f t="shared" si="2622"/>
        <v>1.6042780748663166</v>
      </c>
      <c r="O502" s="64">
        <v>16.5</v>
      </c>
      <c r="P502" s="61">
        <f t="shared" si="2623"/>
        <v>0.60975609756097615</v>
      </c>
      <c r="Q502" s="64">
        <v>25.4</v>
      </c>
      <c r="R502" s="61">
        <f t="shared" si="2624"/>
        <v>0.39525691699604515</v>
      </c>
      <c r="S502" s="64">
        <v>17.8</v>
      </c>
      <c r="T502" s="61">
        <f t="shared" si="2625"/>
        <v>1.7142857142857126</v>
      </c>
      <c r="U502" s="64">
        <v>18.2</v>
      </c>
      <c r="V502" s="61">
        <f t="shared" si="2626"/>
        <v>-4.2105263157894761</v>
      </c>
      <c r="W502" s="64">
        <v>17.2</v>
      </c>
      <c r="X502" s="61">
        <f t="shared" si="2627"/>
        <v>4.2424242424242475</v>
      </c>
      <c r="Y502" s="64">
        <v>22.8</v>
      </c>
      <c r="Z502" s="61">
        <f t="shared" si="2628"/>
        <v>-10.236220472440937</v>
      </c>
      <c r="AA502" s="64">
        <v>14.4</v>
      </c>
      <c r="AB502" s="61">
        <f t="shared" si="2629"/>
        <v>-19.101123595505619</v>
      </c>
      <c r="AC502" s="64">
        <v>17.600000000000001</v>
      </c>
      <c r="AD502" s="61">
        <f t="shared" si="2630"/>
        <v>-3.296703296703285</v>
      </c>
      <c r="AE502" s="64">
        <v>15.9</v>
      </c>
      <c r="AF502" s="61">
        <f t="shared" si="2631"/>
        <v>-7.5581395348837122</v>
      </c>
      <c r="AG502" s="64">
        <v>33.799999999999997</v>
      </c>
      <c r="AH502" s="61">
        <f t="shared" si="2632"/>
        <v>48.245614035087691</v>
      </c>
      <c r="AI502" s="64">
        <v>18.5</v>
      </c>
      <c r="AJ502" s="61">
        <f t="shared" si="2633"/>
        <v>28.472222222222211</v>
      </c>
      <c r="AK502" s="64">
        <v>18.600000000000001</v>
      </c>
      <c r="AL502" s="61">
        <f t="shared" si="2634"/>
        <v>5.6818181818181879</v>
      </c>
      <c r="AM502" s="64">
        <v>16.7</v>
      </c>
      <c r="AN502" s="61">
        <f t="shared" si="2635"/>
        <v>5.031446540880502</v>
      </c>
      <c r="AO502" s="64">
        <v>23.6</v>
      </c>
      <c r="AP502" s="61">
        <f t="shared" si="2636"/>
        <v>-30.177514792899395</v>
      </c>
      <c r="AQ502" s="64">
        <v>0</v>
      </c>
      <c r="AR502" s="61" t="str">
        <f t="shared" si="2637"/>
        <v>NM</v>
      </c>
      <c r="AS502" s="64">
        <v>0</v>
      </c>
      <c r="AT502" s="61" t="str">
        <f t="shared" si="2638"/>
        <v>NM</v>
      </c>
      <c r="AU502" s="64">
        <v>0</v>
      </c>
      <c r="AV502" s="61" t="str">
        <f t="shared" si="2639"/>
        <v>NM</v>
      </c>
      <c r="AW502" s="64">
        <v>0</v>
      </c>
      <c r="AX502" s="61" t="str">
        <f t="shared" si="2639"/>
        <v>NM</v>
      </c>
      <c r="AY502" s="64">
        <v>0</v>
      </c>
      <c r="AZ502" s="61" t="str">
        <f t="shared" si="2640"/>
        <v>NA</v>
      </c>
      <c r="BA502" s="64">
        <v>0</v>
      </c>
      <c r="BB502" s="61" t="str">
        <f t="shared" si="2641"/>
        <v>NA</v>
      </c>
      <c r="BC502" s="64">
        <v>0</v>
      </c>
      <c r="BD502" s="61" t="str">
        <f t="shared" si="2642"/>
        <v>NA</v>
      </c>
      <c r="BE502" s="64">
        <v>0</v>
      </c>
      <c r="BF502" s="61" t="str">
        <f t="shared" si="2643"/>
        <v>NA</v>
      </c>
      <c r="BG502" s="64">
        <v>0</v>
      </c>
      <c r="BH502" s="61" t="str">
        <f t="shared" si="2644"/>
        <v>NA</v>
      </c>
      <c r="BI502" s="64">
        <v>0</v>
      </c>
      <c r="BJ502" s="61" t="str">
        <f t="shared" si="2644"/>
        <v>NA</v>
      </c>
      <c r="BK502" s="64">
        <v>0</v>
      </c>
      <c r="BL502" s="61" t="str">
        <f t="shared" si="2644"/>
        <v>NA</v>
      </c>
      <c r="BM502" s="64">
        <v>0</v>
      </c>
      <c r="BN502" s="61" t="str">
        <f t="shared" si="2644"/>
        <v>NA</v>
      </c>
      <c r="BO502" s="64">
        <v>0</v>
      </c>
      <c r="BP502" s="61" t="str">
        <f t="shared" si="2644"/>
        <v>NA</v>
      </c>
      <c r="BQ502" s="64">
        <v>0</v>
      </c>
      <c r="BR502" s="61" t="str">
        <f t="shared" si="2644"/>
        <v>NA</v>
      </c>
      <c r="BS502" s="64">
        <v>0</v>
      </c>
      <c r="BT502" s="61" t="str">
        <f t="shared" si="2644"/>
        <v>NA</v>
      </c>
      <c r="BU502" s="64">
        <v>0</v>
      </c>
      <c r="BV502" s="61" t="str">
        <f t="shared" si="2644"/>
        <v>NA</v>
      </c>
      <c r="BW502" s="64">
        <v>0</v>
      </c>
      <c r="BX502" s="61" t="str">
        <f t="shared" si="2644"/>
        <v>NA</v>
      </c>
      <c r="BY502" s="64">
        <v>0</v>
      </c>
      <c r="BZ502" s="61" t="str">
        <f t="shared" si="2644"/>
        <v>NA</v>
      </c>
      <c r="CA502" s="66">
        <v>0</v>
      </c>
      <c r="CB502" s="61" t="str">
        <f t="shared" si="2644"/>
        <v>NA</v>
      </c>
      <c r="CC502" s="64">
        <v>0</v>
      </c>
      <c r="CD502" s="61" t="str">
        <f t="shared" si="2644"/>
        <v>NA</v>
      </c>
      <c r="CE502" s="64">
        <v>0</v>
      </c>
      <c r="CF502" s="61" t="str">
        <f t="shared" si="2644"/>
        <v>NA</v>
      </c>
      <c r="CG502" s="64">
        <v>0</v>
      </c>
      <c r="CH502" s="61" t="str">
        <f t="shared" si="2644"/>
        <v>NA</v>
      </c>
      <c r="CI502" s="64">
        <v>0</v>
      </c>
      <c r="CJ502" s="61" t="str">
        <f t="shared" si="2644"/>
        <v>NA</v>
      </c>
      <c r="CK502" s="64">
        <v>0</v>
      </c>
      <c r="CL502" s="61" t="str">
        <f t="shared" si="2644"/>
        <v>NA</v>
      </c>
      <c r="CM502" s="64">
        <v>0</v>
      </c>
      <c r="CN502" s="61" t="str">
        <f t="shared" si="2644"/>
        <v>NA</v>
      </c>
      <c r="CO502" s="64">
        <v>0</v>
      </c>
      <c r="CP502" s="61" t="str">
        <f t="shared" si="2644"/>
        <v>NA</v>
      </c>
      <c r="CQ502" s="64">
        <v>0</v>
      </c>
      <c r="CR502" s="61" t="str">
        <f t="shared" si="2644"/>
        <v>NA</v>
      </c>
      <c r="CS502" s="64">
        <v>0</v>
      </c>
      <c r="CT502" s="61" t="str">
        <f t="shared" si="2644"/>
        <v>NA</v>
      </c>
      <c r="CU502" s="64">
        <v>0</v>
      </c>
      <c r="CV502" s="61" t="str">
        <f t="shared" si="2645"/>
        <v>NA</v>
      </c>
      <c r="CW502" s="64">
        <v>0</v>
      </c>
      <c r="CX502" s="61" t="str">
        <f t="shared" si="2646"/>
        <v>NA</v>
      </c>
      <c r="CY502" s="64">
        <v>0</v>
      </c>
      <c r="CZ502" s="61" t="str">
        <f t="shared" si="2647"/>
        <v>NA</v>
      </c>
      <c r="DA502" s="64">
        <v>0</v>
      </c>
      <c r="DB502" s="61" t="str">
        <f t="shared" si="2648"/>
        <v>NA</v>
      </c>
      <c r="DC502" s="64">
        <v>0</v>
      </c>
      <c r="DD502" s="61" t="str">
        <f t="shared" si="2649"/>
        <v>NA</v>
      </c>
      <c r="DE502" s="64">
        <v>0</v>
      </c>
      <c r="DF502" s="61" t="str">
        <f t="shared" si="2650"/>
        <v>NA</v>
      </c>
      <c r="DG502" s="64">
        <v>0</v>
      </c>
      <c r="DH502" s="61" t="str">
        <f t="shared" si="2651"/>
        <v>NA</v>
      </c>
      <c r="DI502" s="64">
        <v>0</v>
      </c>
      <c r="DJ502" s="61" t="str">
        <f t="shared" si="2652"/>
        <v>NA</v>
      </c>
      <c r="DK502" s="64">
        <v>0</v>
      </c>
      <c r="DL502" s="61" t="str">
        <f t="shared" si="2653"/>
        <v>NA</v>
      </c>
      <c r="DM502" s="64">
        <v>0</v>
      </c>
      <c r="DN502" s="130" t="str">
        <f t="shared" si="2654"/>
        <v>NA</v>
      </c>
      <c r="DO502" s="64">
        <v>0</v>
      </c>
      <c r="DP502" s="130" t="str">
        <f t="shared" si="2654"/>
        <v>NA</v>
      </c>
      <c r="DQ502" s="64">
        <v>0</v>
      </c>
      <c r="DR502" s="130" t="str">
        <f t="shared" si="2654"/>
        <v>NA</v>
      </c>
      <c r="DS502" s="64">
        <v>0</v>
      </c>
      <c r="DT502" s="130" t="str">
        <f t="shared" si="2654"/>
        <v>NA</v>
      </c>
      <c r="DU502" s="64">
        <v>0</v>
      </c>
      <c r="DV502" s="130" t="str">
        <f t="shared" si="2654"/>
        <v>NA</v>
      </c>
      <c r="DW502" s="64">
        <v>0</v>
      </c>
      <c r="DX502" s="64">
        <v>0</v>
      </c>
      <c r="DY502" s="64">
        <v>0</v>
      </c>
      <c r="DZ502" s="130" t="str">
        <f t="shared" si="2654"/>
        <v>NA</v>
      </c>
      <c r="EA502" s="64">
        <v>0</v>
      </c>
      <c r="EB502" s="130" t="str">
        <f t="shared" si="2657"/>
        <v>NA</v>
      </c>
      <c r="EC502" s="64">
        <v>0</v>
      </c>
      <c r="ED502" s="130" t="str">
        <f t="shared" si="2658"/>
        <v>NA</v>
      </c>
      <c r="EE502" s="64">
        <v>0</v>
      </c>
      <c r="EF502" s="130" t="str">
        <f t="shared" si="2660"/>
        <v>NA</v>
      </c>
      <c r="EG502" s="64">
        <v>0</v>
      </c>
      <c r="EH502" s="130" t="str">
        <f t="shared" si="2661"/>
        <v>NA</v>
      </c>
      <c r="EI502" s="64">
        <v>0</v>
      </c>
      <c r="EJ502" s="130" t="str">
        <f t="shared" si="2663"/>
        <v>NA</v>
      </c>
      <c r="EK502" s="64">
        <v>0</v>
      </c>
      <c r="EL502" s="130" t="str">
        <f t="shared" si="2664"/>
        <v>NA</v>
      </c>
      <c r="EM502" s="64">
        <v>0</v>
      </c>
      <c r="EN502" s="130" t="str">
        <f t="shared" si="2666"/>
        <v>NA</v>
      </c>
      <c r="EO502" s="64">
        <v>0</v>
      </c>
      <c r="EP502" s="130" t="str">
        <f t="shared" si="2668"/>
        <v>NA</v>
      </c>
      <c r="EQ502" s="64">
        <v>0</v>
      </c>
      <c r="ER502" s="130" t="str">
        <f t="shared" si="2670"/>
        <v>NA</v>
      </c>
      <c r="ES502" s="64">
        <v>0</v>
      </c>
      <c r="ET502" s="130" t="str">
        <f t="shared" si="2671"/>
        <v>NA</v>
      </c>
      <c r="EU502" s="64">
        <v>0</v>
      </c>
      <c r="EV502" s="130" t="str">
        <f t="shared" si="2672"/>
        <v>NA</v>
      </c>
      <c r="EW502" s="64">
        <v>0</v>
      </c>
      <c r="EX502" s="130" t="str">
        <f t="shared" si="2673"/>
        <v>NA</v>
      </c>
      <c r="EY502" s="96"/>
      <c r="EZ502" s="558"/>
      <c r="FA502" s="96"/>
      <c r="FB502" s="118"/>
      <c r="FC502" s="95"/>
      <c r="FD502" s="118"/>
      <c r="FE502" s="95"/>
      <c r="FF502" s="118"/>
      <c r="FG502" s="95"/>
      <c r="FH502" s="286">
        <v>78.400000000000006</v>
      </c>
      <c r="FI502" s="287" t="s">
        <v>101</v>
      </c>
      <c r="FJ502" s="286">
        <v>76</v>
      </c>
      <c r="FK502" s="287">
        <v>-3.0612244897959218</v>
      </c>
      <c r="FL502" s="286">
        <v>81.7</v>
      </c>
      <c r="FM502" s="287">
        <v>7.5</v>
      </c>
      <c r="FN502" s="286">
        <v>77.400000000000006</v>
      </c>
      <c r="FO502" s="287">
        <v>-5.2631578947368247</v>
      </c>
      <c r="FP502" s="65">
        <f t="shared" si="2674"/>
        <v>0</v>
      </c>
      <c r="FQ502" s="61" t="str">
        <f t="shared" si="2675"/>
        <v>NM</v>
      </c>
      <c r="FR502" s="64">
        <v>0</v>
      </c>
      <c r="FS502" s="61" t="str">
        <f t="shared" si="2676"/>
        <v>NA</v>
      </c>
      <c r="FT502" s="64">
        <v>0</v>
      </c>
      <c r="FU502" s="61" t="str">
        <f t="shared" si="2677"/>
        <v>NA</v>
      </c>
      <c r="FV502" s="64">
        <v>0</v>
      </c>
      <c r="FW502" s="61" t="str">
        <f t="shared" si="2678"/>
        <v>NA</v>
      </c>
      <c r="FX502" s="64">
        <v>0</v>
      </c>
      <c r="FY502" s="61" t="str">
        <f t="shared" si="2679"/>
        <v>NA</v>
      </c>
      <c r="FZ502" s="64">
        <v>0</v>
      </c>
      <c r="GA502" s="61" t="str">
        <f t="shared" si="2680"/>
        <v>NA</v>
      </c>
      <c r="GB502" s="64">
        <v>0</v>
      </c>
      <c r="GC502" s="61" t="str">
        <f t="shared" si="2681"/>
        <v>NA</v>
      </c>
      <c r="GD502" s="64">
        <v>0</v>
      </c>
      <c r="GE502" s="61" t="str">
        <f t="shared" si="2682"/>
        <v>NA</v>
      </c>
      <c r="GF502" s="64">
        <v>0</v>
      </c>
      <c r="GG502" s="61" t="str">
        <f t="shared" si="2682"/>
        <v>NA</v>
      </c>
      <c r="GH502" s="64">
        <v>0</v>
      </c>
      <c r="GI502" s="61" t="str">
        <f t="shared" si="2682"/>
        <v>NA</v>
      </c>
      <c r="GJ502" s="64">
        <v>0</v>
      </c>
      <c r="GK502" s="61" t="str">
        <f t="shared" si="2682"/>
        <v>NA</v>
      </c>
      <c r="GL502" s="64">
        <v>0</v>
      </c>
      <c r="GM502" s="61" t="str">
        <f t="shared" si="2682"/>
        <v>NA</v>
      </c>
      <c r="GN502" s="64">
        <v>0</v>
      </c>
      <c r="GO502" s="61" t="str">
        <f t="shared" si="2682"/>
        <v>NA</v>
      </c>
      <c r="GP502" s="64">
        <v>0</v>
      </c>
      <c r="GQ502" s="61" t="str">
        <f t="shared" si="2682"/>
        <v>NA</v>
      </c>
      <c r="GR502" s="64">
        <v>0</v>
      </c>
      <c r="GS502" s="61" t="str">
        <f t="shared" si="2682"/>
        <v>NA</v>
      </c>
      <c r="GT502" s="64">
        <v>0</v>
      </c>
      <c r="GU502" s="61" t="str">
        <f t="shared" si="2682"/>
        <v>NA</v>
      </c>
      <c r="GV502" s="64">
        <v>0</v>
      </c>
      <c r="GW502" s="61" t="str">
        <f t="shared" si="2682"/>
        <v>NA</v>
      </c>
      <c r="GX502" s="64">
        <v>0</v>
      </c>
      <c r="GY502" s="61" t="str">
        <f t="shared" si="2683"/>
        <v>NA</v>
      </c>
      <c r="GZ502" s="61" t="str">
        <f t="shared" si="2572"/>
        <v/>
      </c>
      <c r="HA502" s="61"/>
      <c r="HB502" s="452"/>
      <c r="HC502"/>
      <c r="HD502"/>
      <c r="HE502"/>
      <c r="HF502"/>
      <c r="HG502"/>
      <c r="HH502"/>
    </row>
    <row r="503" spans="1:216" s="5" customFormat="1" ht="12.75" customHeight="1" collapsed="1" x14ac:dyDescent="0.2">
      <c r="A503" s="7"/>
      <c r="B503" s="2" t="s">
        <v>526</v>
      </c>
      <c r="C503" s="64" t="s">
        <v>157</v>
      </c>
      <c r="D503" s="67"/>
      <c r="E503" s="64">
        <v>97.599999999999909</v>
      </c>
      <c r="F503" s="66"/>
      <c r="G503" s="64">
        <v>80</v>
      </c>
      <c r="H503" s="65"/>
      <c r="I503" s="64">
        <v>22.5</v>
      </c>
      <c r="J503" s="70"/>
      <c r="K503" s="64">
        <v>-107.1</v>
      </c>
      <c r="L503" s="61" t="str">
        <f t="shared" si="2621"/>
        <v>NA</v>
      </c>
      <c r="M503" s="64">
        <v>165.7</v>
      </c>
      <c r="N503" s="61">
        <f t="shared" si="2622"/>
        <v>69.774590163934562</v>
      </c>
      <c r="O503" s="64">
        <v>-41.900000000000091</v>
      </c>
      <c r="P503" s="61" t="str">
        <f t="shared" si="2623"/>
        <v>NM</v>
      </c>
      <c r="Q503" s="64">
        <v>-201.9</v>
      </c>
      <c r="R503" s="61" t="str">
        <f t="shared" si="2624"/>
        <v>NM</v>
      </c>
      <c r="S503" s="64">
        <v>229.6</v>
      </c>
      <c r="T503" s="61" t="str">
        <f t="shared" si="2625"/>
        <v>NM</v>
      </c>
      <c r="U503" s="64">
        <v>-58.300000000000182</v>
      </c>
      <c r="V503" s="61" t="str">
        <f t="shared" si="2626"/>
        <v>NM</v>
      </c>
      <c r="W503" s="64">
        <v>-187.9</v>
      </c>
      <c r="X503" s="61" t="str">
        <f t="shared" si="2627"/>
        <v>NM</v>
      </c>
      <c r="Y503" s="64">
        <v>102.3</v>
      </c>
      <c r="Z503" s="61" t="str">
        <f t="shared" si="2628"/>
        <v>NM</v>
      </c>
      <c r="AA503" s="64">
        <v>-52</v>
      </c>
      <c r="AB503" s="61" t="str">
        <f t="shared" si="2629"/>
        <v>NM</v>
      </c>
      <c r="AC503" s="64">
        <v>-221.9</v>
      </c>
      <c r="AD503" s="61" t="str">
        <f t="shared" si="2630"/>
        <v>NM</v>
      </c>
      <c r="AE503" s="64">
        <v>222.3</v>
      </c>
      <c r="AF503" s="61" t="str">
        <f t="shared" si="2631"/>
        <v>NM</v>
      </c>
      <c r="AG503" s="64">
        <v>227.7</v>
      </c>
      <c r="AH503" s="61" t="str">
        <f t="shared" si="2632"/>
        <v>NM</v>
      </c>
      <c r="AI503" s="64">
        <v>-148.1</v>
      </c>
      <c r="AJ503" s="61" t="str">
        <f t="shared" si="2633"/>
        <v>NM</v>
      </c>
      <c r="AK503" s="64">
        <v>522.4</v>
      </c>
      <c r="AL503" s="61" t="str">
        <f t="shared" si="2634"/>
        <v>NM</v>
      </c>
      <c r="AM503" s="64">
        <v>-194.6</v>
      </c>
      <c r="AN503" s="61" t="str">
        <f t="shared" si="2635"/>
        <v>NM</v>
      </c>
      <c r="AO503" s="64">
        <v>118.2</v>
      </c>
      <c r="AP503" s="61">
        <f t="shared" si="2636"/>
        <v>-48.08959156785243</v>
      </c>
      <c r="AQ503" s="65">
        <f>+AQ629-AO629</f>
        <v>267.69999999999982</v>
      </c>
      <c r="AR503" s="61" t="str">
        <f t="shared" si="2637"/>
        <v>NM</v>
      </c>
      <c r="AS503" s="65">
        <f>+AS629-AQ629-500</f>
        <v>444.69999999999982</v>
      </c>
      <c r="AT503" s="61">
        <f t="shared" si="2638"/>
        <v>-14.873660030627899</v>
      </c>
      <c r="AU503" s="65">
        <f>+AU629-AS629</f>
        <v>331.60000000000036</v>
      </c>
      <c r="AV503" s="61" t="str">
        <f t="shared" si="2639"/>
        <v>NM</v>
      </c>
      <c r="AW503" s="65">
        <f>+AW629-AU629</f>
        <v>174.19999999999982</v>
      </c>
      <c r="AX503" s="61">
        <f t="shared" si="2639"/>
        <v>47.377326565143662</v>
      </c>
      <c r="AY503" s="65">
        <f>+AY629-AW629</f>
        <v>270.5</v>
      </c>
      <c r="AZ503" s="61">
        <f t="shared" si="2640"/>
        <v>1.0459469555473166</v>
      </c>
      <c r="BA503" s="65">
        <f>+BA629-AY629-2500</f>
        <v>394.69999999999982</v>
      </c>
      <c r="BB503" s="61">
        <f t="shared" si="2641"/>
        <v>-11.243534967393753</v>
      </c>
      <c r="BC503" s="65">
        <f>+BC629-BA629</f>
        <v>-156.79999999999927</v>
      </c>
      <c r="BD503" s="61" t="str">
        <f t="shared" si="2642"/>
        <v>NM</v>
      </c>
      <c r="BE503" s="65">
        <f>+BE629-BC629</f>
        <v>248.79999999999927</v>
      </c>
      <c r="BF503" s="61">
        <f t="shared" si="2643"/>
        <v>42.824339839264944</v>
      </c>
      <c r="BG503" s="65">
        <f>+BG629-BE629</f>
        <v>114.30000000000109</v>
      </c>
      <c r="BH503" s="61" t="str">
        <f t="shared" si="2644"/>
        <v>NM</v>
      </c>
      <c r="BI503" s="65">
        <f>+BI629-BG629</f>
        <v>565.89999999999964</v>
      </c>
      <c r="BJ503" s="61">
        <f t="shared" si="2644"/>
        <v>43.374714973397488</v>
      </c>
      <c r="BK503" s="65">
        <f>+BK629-BI629</f>
        <v>236.39999999999964</v>
      </c>
      <c r="BL503" s="61" t="str">
        <f t="shared" si="2644"/>
        <v>NM</v>
      </c>
      <c r="BM503" s="65">
        <f>+BM629-BK629</f>
        <v>242.79999999999927</v>
      </c>
      <c r="BN503" s="61">
        <f t="shared" si="2644"/>
        <v>-2.4115755627009738</v>
      </c>
      <c r="BO503" s="65">
        <f>+BO629-BM629</f>
        <v>415.70000000000073</v>
      </c>
      <c r="BP503" s="61" t="str">
        <f t="shared" si="2644"/>
        <v>NM</v>
      </c>
      <c r="BQ503" s="65">
        <f>+BQ629-BO629</f>
        <v>612.60000000000036</v>
      </c>
      <c r="BR503" s="61">
        <f t="shared" si="2644"/>
        <v>8.2523414030748921</v>
      </c>
      <c r="BS503" s="65">
        <f>+BS103+BS165+BS258+BS295</f>
        <v>-248.4</v>
      </c>
      <c r="BT503" s="61" t="str">
        <f t="shared" si="2644"/>
        <v>NM</v>
      </c>
      <c r="BU503" s="65">
        <f>+BU629-BS629</f>
        <v>285.09999999999854</v>
      </c>
      <c r="BV503" s="61">
        <f t="shared" si="2644"/>
        <v>17.421746293245221</v>
      </c>
      <c r="BW503" s="65">
        <f>+BW629-BU629</f>
        <v>-14.5</v>
      </c>
      <c r="BX503" s="61" t="str">
        <f t="shared" si="2644"/>
        <v>NM</v>
      </c>
      <c r="BY503" s="65">
        <f>+BY629-BW629</f>
        <v>-1466.3999999999996</v>
      </c>
      <c r="BZ503" s="61" t="str">
        <f t="shared" si="2644"/>
        <v>NM</v>
      </c>
      <c r="CA503" s="16">
        <f>+CA295+CA258+CA165+CA103</f>
        <v>-111.40000000000002</v>
      </c>
      <c r="CB503" s="61" t="str">
        <f t="shared" si="2644"/>
        <v>NM</v>
      </c>
      <c r="CC503" s="65">
        <f>+CC295+CC258+CC165+CC103</f>
        <v>-199.29999999999998</v>
      </c>
      <c r="CD503" s="61" t="str">
        <f t="shared" si="2644"/>
        <v>NM</v>
      </c>
      <c r="CE503" s="65">
        <f>+CE295+CE258+CE165+CE103</f>
        <v>-126.79999999999997</v>
      </c>
      <c r="CF503" s="61" t="str">
        <f t="shared" si="2644"/>
        <v>NM</v>
      </c>
      <c r="CG503" s="65">
        <f>+CG295+CG258+CG165+CG103</f>
        <v>-104.29999999999998</v>
      </c>
      <c r="CH503" s="61" t="str">
        <f t="shared" si="2644"/>
        <v>NM</v>
      </c>
      <c r="CI503" s="65">
        <f>+CI295+CI258+CI165+CI103</f>
        <v>-213.1</v>
      </c>
      <c r="CJ503" s="61">
        <f t="shared" si="2644"/>
        <v>91.292639138240531</v>
      </c>
      <c r="CK503" s="65">
        <f>+CK295+CK258+CK165+CK103</f>
        <v>-135.89999999999998</v>
      </c>
      <c r="CL503" s="61">
        <f t="shared" si="2644"/>
        <v>-31.8113396889112</v>
      </c>
      <c r="CM503" s="65">
        <f>+CM295+CM258+CM165+CM103</f>
        <v>-172.2</v>
      </c>
      <c r="CN503" s="61">
        <f t="shared" si="2644"/>
        <v>35.80441640378551</v>
      </c>
      <c r="CO503" s="65">
        <f>+CO295+CO258+CO165+CO103</f>
        <v>-267.09999999999997</v>
      </c>
      <c r="CP503" s="61" t="str">
        <f t="shared" si="2644"/>
        <v>NM</v>
      </c>
      <c r="CQ503" s="65">
        <f>+CQ295+CQ258+CQ165+CQ103</f>
        <v>83.799999999999983</v>
      </c>
      <c r="CR503" s="61" t="str">
        <f t="shared" si="2644"/>
        <v>NM</v>
      </c>
      <c r="CS503" s="65">
        <f>+CS295+CS258+CS165+CS103</f>
        <v>-195</v>
      </c>
      <c r="CT503" s="61">
        <f t="shared" si="2644"/>
        <v>43.487858719646823</v>
      </c>
      <c r="CU503" s="65">
        <f>+CU295+CU258+CU165+CU103</f>
        <v>-90</v>
      </c>
      <c r="CV503" s="61">
        <f t="shared" si="2645"/>
        <v>-47.735191637630656</v>
      </c>
      <c r="CW503" s="65">
        <f>+CW295+CW258+CW165+CW103</f>
        <v>-114</v>
      </c>
      <c r="CX503" s="61" t="str">
        <f t="shared" si="2646"/>
        <v>NM</v>
      </c>
      <c r="CY503" s="65">
        <f>+CY295+CY258+CY165+CY103</f>
        <v>83</v>
      </c>
      <c r="CZ503" s="61">
        <f t="shared" si="2647"/>
        <v>-0.95465393794746944</v>
      </c>
      <c r="DA503" s="65">
        <f>+DA295+DA258+DA165+DA103</f>
        <v>-159</v>
      </c>
      <c r="DB503" s="61">
        <f t="shared" si="2648"/>
        <v>-18.461538461538463</v>
      </c>
      <c r="DC503" s="65">
        <f>+DC295+DC258+DC165+DC103</f>
        <v>-117</v>
      </c>
      <c r="DD503" s="61">
        <f t="shared" si="2649"/>
        <v>30.000000000000004</v>
      </c>
      <c r="DE503" s="65">
        <f>+DE295+DE258+DE165+DE103</f>
        <v>-183</v>
      </c>
      <c r="DF503" s="61">
        <f t="shared" si="2650"/>
        <v>60.526315789473692</v>
      </c>
      <c r="DG503" s="65">
        <f>+DG295+DG258+DG165+DG103</f>
        <v>-144</v>
      </c>
      <c r="DH503" s="61" t="str">
        <f t="shared" si="2651"/>
        <v>NM</v>
      </c>
      <c r="DI503" s="65">
        <f>+DI295+DI258+DI165+DI103</f>
        <v>-200</v>
      </c>
      <c r="DJ503" s="61">
        <f t="shared" si="2652"/>
        <v>25.786163522012572</v>
      </c>
      <c r="DK503" s="65">
        <f>+DK295+DK258+DK165+DK103</f>
        <v>-121</v>
      </c>
      <c r="DL503" s="61">
        <f t="shared" si="2653"/>
        <v>3.4188034188034289</v>
      </c>
      <c r="DM503" s="65">
        <f>+DM295+DM258+DM165+DM103</f>
        <v>-143</v>
      </c>
      <c r="DN503" s="130">
        <f t="shared" si="2654"/>
        <v>-21.857923497267763</v>
      </c>
      <c r="DO503" s="65">
        <f>+DO295+DO258+DO165+DO103</f>
        <v>-118</v>
      </c>
      <c r="DP503" s="130">
        <f t="shared" si="2654"/>
        <v>-18.055555555555557</v>
      </c>
      <c r="DQ503" s="65">
        <f>+DQ295+DQ258+DQ165+DQ103</f>
        <v>-55</v>
      </c>
      <c r="DR503" s="130" t="str">
        <f t="shared" si="2654"/>
        <v>NM</v>
      </c>
      <c r="DS503" s="65">
        <f>+DS295+DS258+DS165+DS103</f>
        <v>-90</v>
      </c>
      <c r="DT503" s="130">
        <f t="shared" si="2654"/>
        <v>-25.619834710743806</v>
      </c>
      <c r="DU503" s="65">
        <f>+DU295+DU258+DU165+DU103</f>
        <v>-129</v>
      </c>
      <c r="DV503" s="130">
        <f t="shared" si="2654"/>
        <v>-9.7902097902097918</v>
      </c>
      <c r="DW503" s="65">
        <f>+DW295+DW258+DW165+DW103</f>
        <v>300</v>
      </c>
      <c r="DX503" s="65">
        <f t="shared" ref="DX503:DY503" si="2691">+DX295+DX258+DX165+DX103</f>
        <v>300</v>
      </c>
      <c r="DY503" s="65">
        <f t="shared" si="2691"/>
        <v>-295</v>
      </c>
      <c r="DZ503" s="130" t="str">
        <f t="shared" si="2654"/>
        <v>NM</v>
      </c>
      <c r="EA503" s="65">
        <f t="shared" ref="EA503:EC503" si="2692">+EA295+EA258+EA165+EA103</f>
        <v>-40</v>
      </c>
      <c r="EB503" s="130" t="str">
        <f t="shared" si="2657"/>
        <v>NM</v>
      </c>
      <c r="EC503" s="65">
        <f t="shared" si="2692"/>
        <v>-83</v>
      </c>
      <c r="ED503" s="130">
        <f t="shared" si="2658"/>
        <v>-35.65891472868217</v>
      </c>
      <c r="EE503" s="65">
        <f t="shared" ref="EE503:EG503" si="2693">+EE295+EE258+EE165+EE103</f>
        <v>174</v>
      </c>
      <c r="EF503" s="130">
        <f t="shared" si="2660"/>
        <v>-42.000000000000007</v>
      </c>
      <c r="EG503" s="65">
        <f t="shared" si="2693"/>
        <v>-124</v>
      </c>
      <c r="EH503" s="130" t="str">
        <f t="shared" si="2661"/>
        <v>NM</v>
      </c>
      <c r="EI503" s="65">
        <f t="shared" ref="EI503:EK503" si="2694">+EI295+EI258+EI165+EI103</f>
        <v>-80</v>
      </c>
      <c r="EJ503" s="130">
        <f t="shared" si="2663"/>
        <v>100</v>
      </c>
      <c r="EK503" s="65">
        <f t="shared" si="2694"/>
        <v>-94</v>
      </c>
      <c r="EL503" s="130">
        <f t="shared" si="2664"/>
        <v>13.25301204819278</v>
      </c>
      <c r="EM503" s="65">
        <f t="shared" ref="EM503" si="2695">+EM295+EM258+EM165+EM103</f>
        <v>-97</v>
      </c>
      <c r="EN503" s="130" t="str">
        <f t="shared" si="2666"/>
        <v>NM</v>
      </c>
      <c r="EO503" s="65">
        <f t="shared" ref="EO503" si="2696">+EO295+EO258+EO165+EO103</f>
        <v>-92</v>
      </c>
      <c r="EP503" s="130">
        <f t="shared" si="2668"/>
        <v>-25.806451612903224</v>
      </c>
      <c r="EQ503" s="65">
        <f t="shared" ref="EQ503" si="2697">+EQ629-EO629</f>
        <v>201.67200000000048</v>
      </c>
      <c r="ER503" s="130" t="str">
        <f t="shared" si="2670"/>
        <v>NM</v>
      </c>
      <c r="ES503" s="65">
        <f t="shared" ref="ES503" si="2698">+ES629-EQ629</f>
        <v>206.5121280000003</v>
      </c>
      <c r="ET503" s="130" t="str">
        <f t="shared" si="2671"/>
        <v>NM</v>
      </c>
      <c r="EU503" s="65">
        <f t="shared" ref="EU503" si="2699">+EU629-ES629</f>
        <v>211.46841907199996</v>
      </c>
      <c r="EV503" s="130" t="str">
        <f t="shared" si="2672"/>
        <v>NM</v>
      </c>
      <c r="EW503" s="65">
        <f t="shared" ref="EW503" si="2700">+EW629-EU629</f>
        <v>216.54366112972821</v>
      </c>
      <c r="EX503" s="130" t="str">
        <f t="shared" si="2673"/>
        <v>NM</v>
      </c>
      <c r="EY503" s="66"/>
      <c r="EZ503" s="558"/>
      <c r="FA503" s="66"/>
      <c r="FB503" s="64"/>
      <c r="FC503" s="70"/>
      <c r="FD503" s="64"/>
      <c r="FE503" s="70"/>
      <c r="FF503" s="64"/>
      <c r="FG503" s="70"/>
      <c r="FH503" s="282">
        <v>-185.2</v>
      </c>
      <c r="FI503" s="281" t="s">
        <v>101</v>
      </c>
      <c r="FJ503" s="282">
        <v>85.699999999999818</v>
      </c>
      <c r="FK503" s="281" t="s">
        <v>102</v>
      </c>
      <c r="FL503" s="282">
        <v>176.1</v>
      </c>
      <c r="FM503" s="283" t="s">
        <v>102</v>
      </c>
      <c r="FN503" s="282">
        <v>297.89999999999998</v>
      </c>
      <c r="FO503" s="283">
        <v>69.165247018739493</v>
      </c>
      <c r="FP503" s="65">
        <f t="shared" si="2674"/>
        <v>1218.1999999999998</v>
      </c>
      <c r="FQ503" s="61" t="str">
        <f t="shared" si="2675"/>
        <v>NM</v>
      </c>
      <c r="FR503" s="65">
        <f>+FR629-FP629-2500</f>
        <v>757.19999999999982</v>
      </c>
      <c r="FS503" s="61">
        <f t="shared" si="2676"/>
        <v>-37.842718765391567</v>
      </c>
      <c r="FT503" s="65">
        <f>+FT629-FR629</f>
        <v>1159.3999999999996</v>
      </c>
      <c r="FU503" s="61">
        <f t="shared" si="2677"/>
        <v>53.116745905969353</v>
      </c>
      <c r="FV503" s="65">
        <f>+FV629-FT629</f>
        <v>2357</v>
      </c>
      <c r="FW503" s="61" t="str">
        <f t="shared" si="2678"/>
        <v>NM</v>
      </c>
      <c r="FX503" s="65">
        <f>+FX629-FV629</f>
        <v>-2427.1999999999989</v>
      </c>
      <c r="FY503" s="61" t="str">
        <f t="shared" si="2679"/>
        <v>NM</v>
      </c>
      <c r="FZ503" s="65">
        <f>+FZ629-FX629</f>
        <v>-579.30000000000109</v>
      </c>
      <c r="GA503" s="61" t="str">
        <f t="shared" si="2680"/>
        <v>NM</v>
      </c>
      <c r="GB503" s="65">
        <f>+GB629-FZ629</f>
        <v>-2164.2999999999993</v>
      </c>
      <c r="GC503" s="61" t="str">
        <f t="shared" si="2681"/>
        <v>NM</v>
      </c>
      <c r="GD503" s="65">
        <f>+GD629-GB629</f>
        <v>-99</v>
      </c>
      <c r="GE503" s="61" t="str">
        <f t="shared" si="2682"/>
        <v>NM</v>
      </c>
      <c r="GF503" s="65">
        <f>+GF629-GD629</f>
        <v>2219</v>
      </c>
      <c r="GG503" s="61" t="str">
        <f t="shared" si="2682"/>
        <v>NM</v>
      </c>
      <c r="GH503" s="65">
        <f>+GH629-GF629</f>
        <v>-679</v>
      </c>
      <c r="GI503" s="61" t="str">
        <f t="shared" si="2682"/>
        <v>NM</v>
      </c>
      <c r="GJ503" s="65">
        <f>+GJ629-GH629</f>
        <v>1303</v>
      </c>
      <c r="GK503" s="61" t="str">
        <f t="shared" si="2682"/>
        <v>NM</v>
      </c>
      <c r="GL503" s="65">
        <f>+GL629-GJ629</f>
        <v>-376</v>
      </c>
      <c r="GM503" s="61" t="str">
        <f t="shared" si="2682"/>
        <v>NM</v>
      </c>
      <c r="GN503" s="65">
        <f>+GN629-GL629</f>
        <v>-731</v>
      </c>
      <c r="GO503" s="61">
        <f t="shared" si="2682"/>
        <v>94.414893617021264</v>
      </c>
      <c r="GP503" s="65">
        <f>+GP629-GN629</f>
        <v>836.19620820172895</v>
      </c>
      <c r="GQ503" s="61" t="str">
        <f t="shared" si="2682"/>
        <v>NM</v>
      </c>
      <c r="GR503" s="65">
        <f>+GR629-GP629</f>
        <v>923.9196208201738</v>
      </c>
      <c r="GS503" s="61">
        <f t="shared" si="2682"/>
        <v>10.49076900349708</v>
      </c>
      <c r="GT503" s="65">
        <f>+GT629-GR629</f>
        <v>1016.3115829021917</v>
      </c>
      <c r="GU503" s="61">
        <f t="shared" si="2682"/>
        <v>10.000000000000053</v>
      </c>
      <c r="GV503" s="65">
        <f>+GV629-GT629</f>
        <v>1117.9427411924098</v>
      </c>
      <c r="GW503" s="61">
        <f t="shared" si="2682"/>
        <v>9.999999999999897</v>
      </c>
      <c r="GX503" s="65">
        <f>+GX629-GV629</f>
        <v>1229.7370153116517</v>
      </c>
      <c r="GY503" s="61">
        <f t="shared" si="2683"/>
        <v>10.000000000000075</v>
      </c>
      <c r="GZ503" s="61" t="str">
        <f t="shared" si="2572"/>
        <v>NM</v>
      </c>
      <c r="HA503" s="61"/>
      <c r="HB503" s="452"/>
      <c r="HC503"/>
      <c r="HD503"/>
      <c r="HE503"/>
      <c r="HF503"/>
      <c r="HG503"/>
      <c r="HH503"/>
    </row>
    <row r="504" spans="1:216" s="5" customFormat="1" ht="12.75" customHeight="1" x14ac:dyDescent="0.2">
      <c r="A504" s="7"/>
      <c r="B504" s="2" t="s">
        <v>467</v>
      </c>
      <c r="C504" s="64">
        <v>388.2</v>
      </c>
      <c r="D504" s="67"/>
      <c r="E504" s="64">
        <v>264.57692307692309</v>
      </c>
      <c r="F504" s="66"/>
      <c r="G504" s="64">
        <v>283.41538461538482</v>
      </c>
      <c r="H504" s="65"/>
      <c r="I504" s="64">
        <v>318.17692307692329</v>
      </c>
      <c r="J504" s="70"/>
      <c r="K504" s="64">
        <v>469.11538461538441</v>
      </c>
      <c r="L504" s="61">
        <f t="shared" si="2621"/>
        <v>20.843736376966614</v>
      </c>
      <c r="M504" s="64">
        <v>189.65384615384633</v>
      </c>
      <c r="N504" s="61">
        <f t="shared" si="2622"/>
        <v>-28.318069486843957</v>
      </c>
      <c r="O504" s="64">
        <v>431.17692307692323</v>
      </c>
      <c r="P504" s="61">
        <f t="shared" si="2623"/>
        <v>52.13603300401688</v>
      </c>
      <c r="Q504" s="64">
        <v>512.11538461538453</v>
      </c>
      <c r="R504" s="61">
        <f t="shared" si="2624"/>
        <v>60.953025650943935</v>
      </c>
      <c r="S504" s="64">
        <v>115.2230769230771</v>
      </c>
      <c r="T504" s="61" t="str">
        <f t="shared" si="2625"/>
        <v>NM</v>
      </c>
      <c r="U504" s="64">
        <v>496.49230769230769</v>
      </c>
      <c r="V504" s="61" t="str">
        <f t="shared" si="2626"/>
        <v>NM</v>
      </c>
      <c r="W504" s="64">
        <v>624.82307692307666</v>
      </c>
      <c r="X504" s="61">
        <f t="shared" si="2627"/>
        <v>44.911066312240088</v>
      </c>
      <c r="Y504" s="64">
        <v>352.66153846153833</v>
      </c>
      <c r="Z504" s="61">
        <f t="shared" si="2628"/>
        <v>-31.136312429590706</v>
      </c>
      <c r="AA504" s="64">
        <v>474.47692307692296</v>
      </c>
      <c r="AB504" s="61" t="str">
        <f t="shared" si="2629"/>
        <v>NM</v>
      </c>
      <c r="AC504" s="64">
        <v>617.57692307692321</v>
      </c>
      <c r="AD504" s="61">
        <f t="shared" si="2630"/>
        <v>24.388014377788814</v>
      </c>
      <c r="AE504" s="64">
        <v>185.09230769230763</v>
      </c>
      <c r="AF504" s="61" t="str">
        <f t="shared" si="2631"/>
        <v>NM</v>
      </c>
      <c r="AG504" s="64">
        <v>208.2</v>
      </c>
      <c r="AH504" s="61">
        <f t="shared" si="2632"/>
        <v>-40.963224708807729</v>
      </c>
      <c r="AI504" s="64">
        <v>571.83076923076919</v>
      </c>
      <c r="AJ504" s="61">
        <f t="shared" si="2633"/>
        <v>20.518141435102642</v>
      </c>
      <c r="AK504" s="64">
        <v>9.6153846153641365E-2</v>
      </c>
      <c r="AL504" s="61" t="str">
        <f t="shared" si="2634"/>
        <v>NM</v>
      </c>
      <c r="AM504" s="64">
        <v>633.93076923076899</v>
      </c>
      <c r="AN504" s="61" t="str">
        <f t="shared" si="2635"/>
        <v>NM</v>
      </c>
      <c r="AO504" s="64">
        <v>311.1384615384618</v>
      </c>
      <c r="AP504" s="61">
        <f t="shared" si="2636"/>
        <v>49.44210448533228</v>
      </c>
      <c r="AQ504" s="65">
        <f>AQ497-AQ500-AQ501-AQ502-AQ503-AQ509-AQ511-AQ505</f>
        <v>220.72030769230747</v>
      </c>
      <c r="AR504" s="61" t="str">
        <f t="shared" si="2637"/>
        <v>NM</v>
      </c>
      <c r="AS504" s="65">
        <f>AS497-AS500-AS501-AS502-AS503-AS509-AS511-AS505</f>
        <v>67.660076923077142</v>
      </c>
      <c r="AT504" s="61" t="str">
        <f t="shared" si="2638"/>
        <v>NM</v>
      </c>
      <c r="AU504" s="65">
        <f>AU497-AU500-AU501-AU502-AU503-AU509-AU511-AU505</f>
        <v>168.64553846153845</v>
      </c>
      <c r="AV504" s="61" t="str">
        <f t="shared" si="2639"/>
        <v>NM</v>
      </c>
      <c r="AW504" s="65">
        <f>AW497-AW500-AW501-AW502-AW503-AW509-AW511-AW505</f>
        <v>331.14192307692321</v>
      </c>
      <c r="AX504" s="61">
        <f t="shared" si="2639"/>
        <v>6.4291188686708356</v>
      </c>
      <c r="AY504" s="65">
        <f>AY497-AY500-AY501-AY502-AY503-AY509-AY511-AY505</f>
        <v>268.94000000000017</v>
      </c>
      <c r="AZ504" s="61">
        <f t="shared" si="2640"/>
        <v>21.846513722204829</v>
      </c>
      <c r="BA504" s="65">
        <f>BA497-BA500-BA501-BA502-BA503-BA509-BA511-BA505</f>
        <v>318.2399999999999</v>
      </c>
      <c r="BB504" s="61" t="str">
        <f t="shared" si="2641"/>
        <v>NM</v>
      </c>
      <c r="BC504" s="65">
        <f>BC497-BC500-BC501-BC502-BC503-BC509-BC511-BC505</f>
        <v>845.43999999999983</v>
      </c>
      <c r="BD504" s="61" t="str">
        <f t="shared" si="2642"/>
        <v>NM</v>
      </c>
      <c r="BE504" s="65">
        <f>BE497-BE500-BE501-BE502-BE503-BE509-BE511-BE505</f>
        <v>555.24000000000058</v>
      </c>
      <c r="BF504" s="61">
        <f t="shared" si="2643"/>
        <v>67.674329737772325</v>
      </c>
      <c r="BG504" s="65">
        <f>BG497-BG500-BG501-BG502-BG503-BG509-BG511-BG505</f>
        <v>844.89999999999861</v>
      </c>
      <c r="BH504" s="61" t="str">
        <f t="shared" si="2644"/>
        <v>NM</v>
      </c>
      <c r="BI504" s="65">
        <f>BI497-BI500-BI501-BI502-BI503-BI509-BI511-BI505</f>
        <v>426.10000000000036</v>
      </c>
      <c r="BJ504" s="61">
        <f t="shared" si="2644"/>
        <v>33.892659627953911</v>
      </c>
      <c r="BK504" s="65">
        <f>BK497-BK500-BK501-BK502-BK503-BK509-BK511-BK505</f>
        <v>837.30000000000041</v>
      </c>
      <c r="BL504" s="61">
        <f t="shared" si="2644"/>
        <v>-0.96281226343671866</v>
      </c>
      <c r="BM504" s="65">
        <f>BM497-BM500-BM501-BM502-BM503-BM509-BM511-BM505</f>
        <v>870.00000000000045</v>
      </c>
      <c r="BN504" s="61">
        <f t="shared" si="2644"/>
        <v>56.688999351631651</v>
      </c>
      <c r="BO504" s="65">
        <f>BO497-BO500-BO501-BO502-BO503-BO509-BO511-BO505</f>
        <v>655.69999999999891</v>
      </c>
      <c r="BP504" s="61">
        <f t="shared" si="2644"/>
        <v>-22.393182625162744</v>
      </c>
      <c r="BQ504" s="65">
        <f>BQ497-BQ500-BQ501-BQ502-BQ503-BQ509-BQ511-BQ505</f>
        <v>513.39999999999941</v>
      </c>
      <c r="BR504" s="61">
        <f t="shared" si="2644"/>
        <v>20.488148321989907</v>
      </c>
      <c r="BS504" s="65">
        <f>+BS104+BS166+BS259+BS294+BS477+BS478</f>
        <v>967</v>
      </c>
      <c r="BT504" s="61">
        <f t="shared" si="2644"/>
        <v>15.490266332258384</v>
      </c>
      <c r="BU504" s="65">
        <f>BU497-BU500-BU501-BU502-BU503-BU509-BU511-BU505</f>
        <v>1198.1000000000015</v>
      </c>
      <c r="BV504" s="61">
        <f t="shared" si="2644"/>
        <v>37.712643678161029</v>
      </c>
      <c r="BW504" s="65">
        <f>BW497-BW500-BW501-BW502-BW503-BW509-BW511-BW505</f>
        <v>1117.5999999999995</v>
      </c>
      <c r="BX504" s="61">
        <f t="shared" si="2644"/>
        <v>70.443800518530011</v>
      </c>
      <c r="BY504" s="65">
        <f>BY497-BY500-BY501-BY502-BY503-BY509-BY511-BY505</f>
        <v>2501.7999999999997</v>
      </c>
      <c r="BZ504" s="61" t="str">
        <f t="shared" si="2644"/>
        <v>NM</v>
      </c>
      <c r="CA504" s="16">
        <f>CA497-CA500-CA501-CA502-CA503-CA509-CA511-CA505</f>
        <v>929.79999999999984</v>
      </c>
      <c r="CB504" s="61">
        <f t="shared" si="2644"/>
        <v>-3.8469493278180056</v>
      </c>
      <c r="CC504" s="65">
        <f>CC497-CC500-CC501-CC502-CC503-CC509-CC511-CC505</f>
        <v>1008.0999999999998</v>
      </c>
      <c r="CD504" s="61">
        <f t="shared" si="2644"/>
        <v>-15.858442534012307</v>
      </c>
      <c r="CE504" s="65">
        <f>CE497-CE500-CE501-CE502-CE503-CE509-CE511-CE505</f>
        <v>908.99999999999989</v>
      </c>
      <c r="CF504" s="61">
        <f t="shared" si="2644"/>
        <v>-18.664996420901904</v>
      </c>
      <c r="CG504" s="65">
        <f>CG497-CG500-CG501-CG502-CG503-CG509-CG511-CG505</f>
        <v>928.20000000000027</v>
      </c>
      <c r="CH504" s="61" t="str">
        <f t="shared" si="2644"/>
        <v>NM</v>
      </c>
      <c r="CI504" s="65">
        <f>CI497-CI500-CI501-CI502-CI503-CI509-CI511-CI505</f>
        <v>958.69999999999959</v>
      </c>
      <c r="CJ504" s="61">
        <f t="shared" si="2644"/>
        <v>3.1081953108194948</v>
      </c>
      <c r="CK504" s="65">
        <f>CK497-CK500-CK501-CK502-CK503-CK509-CK511-CK505</f>
        <v>1109.3000000000004</v>
      </c>
      <c r="CL504" s="61">
        <f t="shared" si="2644"/>
        <v>10.038686638230399</v>
      </c>
      <c r="CM504" s="65">
        <f>CM497-CM500-CM501-CM502-CM503-CM509-CM511-CM505</f>
        <v>1002.0999999999998</v>
      </c>
      <c r="CN504" s="61">
        <f t="shared" si="2644"/>
        <v>10.242024202420241</v>
      </c>
      <c r="CO504" s="65">
        <f>CO497-CO500-CO501-CO502-CO503-CO509-CO511-CO505</f>
        <v>999.7</v>
      </c>
      <c r="CP504" s="61">
        <f t="shared" si="2644"/>
        <v>7.7030812324929698</v>
      </c>
      <c r="CQ504" s="65">
        <f>CQ497-CQ500-CQ501-CQ502-CQ503-CQ509-CQ511-CQ505</f>
        <v>1016.8000000000004</v>
      </c>
      <c r="CR504" s="61">
        <f t="shared" si="2644"/>
        <v>6.0602899760092699</v>
      </c>
      <c r="CS504" s="65">
        <f>CS497-CS500-CS501-CS502-CS503-CS509-CS511-CS505</f>
        <v>1046</v>
      </c>
      <c r="CT504" s="61">
        <f t="shared" si="2644"/>
        <v>-5.7063012710718786</v>
      </c>
      <c r="CU504" s="65">
        <f>CU497-CU500-CU501-CU502-CU503-CU509-CU511-CU505</f>
        <v>1000</v>
      </c>
      <c r="CV504" s="61">
        <f t="shared" si="2645"/>
        <v>-0.20955992415924163</v>
      </c>
      <c r="CW504" s="65">
        <f>CW497-CW500-CW501-CW502-CW503-CW509-CW511-CW505</f>
        <v>1014</v>
      </c>
      <c r="CX504" s="61">
        <f t="shared" si="2646"/>
        <v>1.4304291287386084</v>
      </c>
      <c r="CY504" s="65">
        <f>CY497-CY500-CY501-CY502-CY503-CY509-CY511-CY505</f>
        <v>1034</v>
      </c>
      <c r="CZ504" s="61">
        <f t="shared" si="2647"/>
        <v>1.6915814319433009</v>
      </c>
      <c r="DA504" s="65">
        <f>DA497-DA500-DA501-DA502-DA503-DA509-DA511-DA505</f>
        <v>1174</v>
      </c>
      <c r="DB504" s="61">
        <f t="shared" si="2648"/>
        <v>12.237093690248567</v>
      </c>
      <c r="DC504" s="65">
        <f>DC497-DC500-DC501-DC502-DC503-DC509-DC511-DC505</f>
        <v>1064</v>
      </c>
      <c r="DD504" s="61">
        <f t="shared" si="2649"/>
        <v>6.4000000000000057</v>
      </c>
      <c r="DE504" s="65">
        <f>DE497-DE500-DE501-DE502-DE503-DE509-DE511-DE505</f>
        <v>1138</v>
      </c>
      <c r="DF504" s="61">
        <f t="shared" si="2650"/>
        <v>12.228796844181456</v>
      </c>
      <c r="DG504" s="65">
        <f>DG497-DG500-DG501-DG502-DG503-DG509-DG511-DG505</f>
        <v>1127</v>
      </c>
      <c r="DH504" s="61">
        <f t="shared" si="2651"/>
        <v>8.9941972920696287</v>
      </c>
      <c r="DI504" s="65">
        <f>DI497-DI500-DI501-DI502-DI503-DI509-DI511-DI505</f>
        <v>1235</v>
      </c>
      <c r="DJ504" s="61">
        <f t="shared" si="2652"/>
        <v>5.1959114139693341</v>
      </c>
      <c r="DK504" s="65">
        <f>DK497-DK500-DK501-DK502-DK503-DK509-DK511-DK505</f>
        <v>1150</v>
      </c>
      <c r="DL504" s="61">
        <f t="shared" si="2653"/>
        <v>8.0827067669172905</v>
      </c>
      <c r="DM504" s="65">
        <f>DM497-DM500-DM501-DM502-DM503-DM509-DM511-DM505</f>
        <v>1158</v>
      </c>
      <c r="DN504" s="130">
        <f t="shared" si="2654"/>
        <v>1.7574692442882345</v>
      </c>
      <c r="DO504" s="65">
        <f>DO497-DO500-DO501-DO502-DO503-DO509-DO511-DO505</f>
        <v>1163</v>
      </c>
      <c r="DP504" s="130">
        <f t="shared" si="2654"/>
        <v>3.1943212067435667</v>
      </c>
      <c r="DQ504" s="65">
        <f>DQ497-DQ500-DQ501-DQ502-DQ503-DQ509-DQ511-DQ505</f>
        <v>1258</v>
      </c>
      <c r="DR504" s="130">
        <f t="shared" si="2654"/>
        <v>1.8623481781376627</v>
      </c>
      <c r="DS504" s="65">
        <f>DS497-DS500-DS501-DS502-DS503-DS509-DS511-DS505</f>
        <v>1150</v>
      </c>
      <c r="DT504" s="130">
        <f t="shared" si="2654"/>
        <v>0</v>
      </c>
      <c r="DU504" s="65">
        <f>DU497-DU500-DU501-DU502-DU503-DU509-DU511-DU505</f>
        <v>1196</v>
      </c>
      <c r="DV504" s="130">
        <f t="shared" si="2654"/>
        <v>3.2815198618307395</v>
      </c>
      <c r="DW504" s="65">
        <f>DW497-DW500-DW501-DW502-DW503-DW509-DW511-DW505</f>
        <v>1226</v>
      </c>
      <c r="DX504" s="65">
        <f t="shared" ref="DX504:DY504" si="2701">DX497-DX500-DX501-DX502-DX503-DX509-DX511-DX505</f>
        <v>1355</v>
      </c>
      <c r="DY504" s="65">
        <f t="shared" si="2701"/>
        <v>1202</v>
      </c>
      <c r="DZ504" s="130">
        <f t="shared" si="2654"/>
        <v>-4.4515103338632738</v>
      </c>
      <c r="EA504" s="65">
        <f t="shared" ref="EA504:EC504" si="2702">EA497-EA500-EA501-EA502-EA503-EA509-EA511-EA505</f>
        <v>1073</v>
      </c>
      <c r="EB504" s="130">
        <f t="shared" si="2657"/>
        <v>-6.6956521739130466</v>
      </c>
      <c r="EC504" s="65">
        <f t="shared" si="2702"/>
        <v>1112</v>
      </c>
      <c r="ED504" s="130">
        <f t="shared" si="2658"/>
        <v>-7.0234113712374535</v>
      </c>
      <c r="EE504" s="65">
        <f t="shared" ref="EE504:EG504" si="2703">EE497-EE500-EE501-EE502-EE503-EE509-EE511-EE505</f>
        <v>1169</v>
      </c>
      <c r="EF504" s="130">
        <f t="shared" si="2660"/>
        <v>-4.6492659053833592</v>
      </c>
      <c r="EG504" s="65">
        <f t="shared" si="2703"/>
        <v>1228</v>
      </c>
      <c r="EH504" s="130">
        <f t="shared" si="2661"/>
        <v>2.1630615640598982</v>
      </c>
      <c r="EI504" s="65">
        <f t="shared" ref="EI504:EK504" si="2704">EI497-EI500-EI501-EI502-EI503-EI509-EI511-EI505</f>
        <v>1140</v>
      </c>
      <c r="EJ504" s="130">
        <f t="shared" si="2663"/>
        <v>6.2441752096924485</v>
      </c>
      <c r="EK504" s="65">
        <f t="shared" si="2704"/>
        <v>1181</v>
      </c>
      <c r="EL504" s="130">
        <f t="shared" si="2664"/>
        <v>6.2050359712230163</v>
      </c>
      <c r="EM504" s="65">
        <f t="shared" ref="EM504" si="2705">EM497-EM500-EM501-EM502-EM503-EM509-EM511-EM505</f>
        <v>1167</v>
      </c>
      <c r="EN504" s="130">
        <f t="shared" si="2666"/>
        <v>-0.17108639863130382</v>
      </c>
      <c r="EO504" s="65">
        <f t="shared" ref="EO504" si="2706">EO497-EO500-EO501-EO502-EO503-EO509-EO511-EO505</f>
        <v>1244</v>
      </c>
      <c r="EP504" s="130">
        <f t="shared" si="2668"/>
        <v>1.3029315960912058</v>
      </c>
      <c r="EQ504" s="65">
        <f t="shared" ref="EQ504:EW504" si="2707">EQ497-EQ500-EQ501-EQ502-EQ503-EQ509-EQ511-EQ505</f>
        <v>1284.6880322960415</v>
      </c>
      <c r="ER504" s="130">
        <f t="shared" si="2670"/>
        <v>12.69193265754749</v>
      </c>
      <c r="ES504" s="65">
        <f t="shared" si="2707"/>
        <v>1273.339974314687</v>
      </c>
      <c r="ET504" s="130">
        <f t="shared" si="2671"/>
        <v>7.8187954542495275</v>
      </c>
      <c r="EU504" s="65">
        <f t="shared" si="2707"/>
        <v>1692.485003511606</v>
      </c>
      <c r="EV504" s="130">
        <f t="shared" si="2672"/>
        <v>45.028706384884828</v>
      </c>
      <c r="EW504" s="65">
        <f t="shared" si="2707"/>
        <v>1711.5173614627429</v>
      </c>
      <c r="EX504" s="130">
        <f t="shared" si="2673"/>
        <v>37.581781468066147</v>
      </c>
      <c r="EY504" s="66"/>
      <c r="EZ504" s="558"/>
      <c r="FA504" s="66"/>
      <c r="FB504" s="64"/>
      <c r="FC504" s="70"/>
      <c r="FD504" s="64"/>
      <c r="FE504" s="70"/>
      <c r="FF504" s="64"/>
      <c r="FG504" s="70"/>
      <c r="FH504" s="282">
        <v>1602.6615384615391</v>
      </c>
      <c r="FI504" s="281" t="s">
        <v>101</v>
      </c>
      <c r="FJ504" s="282">
        <v>1715.8</v>
      </c>
      <c r="FK504" s="281">
        <v>7.0594107878240386</v>
      </c>
      <c r="FL504" s="282">
        <v>1652.3923076923083</v>
      </c>
      <c r="FM504" s="283">
        <v>-3.6955176773336706</v>
      </c>
      <c r="FN504" s="282">
        <v>1635.6261538461542</v>
      </c>
      <c r="FO504" s="283">
        <v>-1.0146593982617413</v>
      </c>
      <c r="FP504" s="65">
        <f t="shared" si="2674"/>
        <v>788.16784615384631</v>
      </c>
      <c r="FQ504" s="61" t="str">
        <f t="shared" si="2675"/>
        <v>NM</v>
      </c>
      <c r="FR504" s="65">
        <f>FR497-FR500-FR501-FR502-FR503-FR509-FR511-FR505</f>
        <v>1045.8984615384632</v>
      </c>
      <c r="FS504" s="61">
        <f t="shared" si="2676"/>
        <v>32.699965704298627</v>
      </c>
      <c r="FT504" s="65">
        <f>FT497-FT500-FT501-FT502-FT503-FT509-FT511-FT505</f>
        <v>1703.2538461538477</v>
      </c>
      <c r="FU504" s="61">
        <f t="shared" si="2677"/>
        <v>62.850784162015927</v>
      </c>
      <c r="FV504" s="65">
        <f>FV497-FV500-FV501-FV502-FV503-FV509-FV511-FV505</f>
        <v>1076.7615384615381</v>
      </c>
      <c r="FW504" s="61">
        <f t="shared" si="2678"/>
        <v>-36.782086775086675</v>
      </c>
      <c r="FX504" s="65">
        <f>FX497-FX500-FX501-FX502-FX503-FX509-FX511-FX505</f>
        <v>5789.7230769230773</v>
      </c>
      <c r="FY504" s="61" t="str">
        <f t="shared" si="2679"/>
        <v>NM</v>
      </c>
      <c r="FZ504" s="65">
        <f>FZ497-FZ500-FZ501-FZ502-FZ503-FZ509-FZ511-FZ505</f>
        <v>3904.400000000001</v>
      </c>
      <c r="GA504" s="61">
        <f t="shared" si="2680"/>
        <v>-32.563268603254556</v>
      </c>
      <c r="GB504" s="65">
        <f>GB497-GB500-GB501-GB502-GB503-GB509-GB511-GB505</f>
        <v>5678.399999999996</v>
      </c>
      <c r="GC504" s="61">
        <f t="shared" si="2681"/>
        <v>45.435918450978249</v>
      </c>
      <c r="GD504" s="65">
        <f>GD497-GD500-GD501-GD502-GD503-GD509-GD511-GD505</f>
        <v>4041</v>
      </c>
      <c r="GE504" s="61">
        <f t="shared" si="2682"/>
        <v>-28.835587489433589</v>
      </c>
      <c r="GF504" s="65">
        <f>GF497-GF500-GF501-GF502-GF503-GF509-GF511-GF505</f>
        <v>1701</v>
      </c>
      <c r="GG504" s="61" t="str">
        <f t="shared" si="2682"/>
        <v>NM</v>
      </c>
      <c r="GH504" s="65">
        <f>GH497-GH500-GH501-GH502-GH503-GH509-GH511-GH505</f>
        <v>4971</v>
      </c>
      <c r="GI504" s="61" t="str">
        <f t="shared" si="2682"/>
        <v>NM</v>
      </c>
      <c r="GJ504" s="65">
        <f>GJ497-GJ500-GJ501-GJ502-GJ503-GJ509-GJ511-GJ505</f>
        <v>3257</v>
      </c>
      <c r="GK504" s="61">
        <f t="shared" si="2682"/>
        <v>-34.479983906658617</v>
      </c>
      <c r="GL504" s="65">
        <f>GL497-GL500-GL501-GL502-GL503-GL509-GL511-GL505</f>
        <v>4885</v>
      </c>
      <c r="GM504" s="61">
        <f t="shared" si="2682"/>
        <v>49.984648449493399</v>
      </c>
      <c r="GN504" s="65">
        <f>GN497-GN500-GN501-GN502-GN503-GN509-GN511-GN505</f>
        <v>5100</v>
      </c>
      <c r="GO504" s="61">
        <f t="shared" si="2682"/>
        <v>4.4012282497441158</v>
      </c>
      <c r="GP504" s="65">
        <f>GP497-GP500-GP501-GP502-GP503-GP509-GP511-GP505</f>
        <v>4007.0290004673416</v>
      </c>
      <c r="GQ504" s="61">
        <f t="shared" si="2682"/>
        <v>-21.430803912405072</v>
      </c>
      <c r="GR504" s="65">
        <f>GR497-GR500-GR501-GR502-GR503-GR509-GR511-GR505</f>
        <v>4300.3923796954314</v>
      </c>
      <c r="GS504" s="61">
        <f t="shared" si="2682"/>
        <v>7.3212192672894139</v>
      </c>
      <c r="GT504" s="65">
        <f>GT497-GT500-GT501-GT502-GT503-GT509-GT511-GT505</f>
        <v>4247.1791464672469</v>
      </c>
      <c r="GU504" s="61">
        <f t="shared" si="2682"/>
        <v>-1.237404137339515</v>
      </c>
      <c r="GV504" s="65">
        <f>GV497-GV500-GV501-GV502-GV503-GV509-GV511-GV505</f>
        <v>4334.5500626511339</v>
      </c>
      <c r="GW504" s="61">
        <f t="shared" si="2682"/>
        <v>2.0571516569194204</v>
      </c>
      <c r="GX504" s="65">
        <f>GX497-GX500-GX501-GX502-GX503-GX509-GX511-GX505</f>
        <v>4440.1473663944216</v>
      </c>
      <c r="GY504" s="61">
        <f t="shared" si="2683"/>
        <v>2.4361768169012921</v>
      </c>
      <c r="GZ504" s="61">
        <f t="shared" si="2572"/>
        <v>-2.7330178069524425</v>
      </c>
      <c r="HA504" s="61"/>
      <c r="HB504" s="452"/>
      <c r="HC504"/>
      <c r="HD504"/>
      <c r="HE504"/>
      <c r="HF504"/>
      <c r="HG504"/>
      <c r="HH504"/>
    </row>
    <row r="505" spans="1:216" s="5" customFormat="1" ht="12.75" customHeight="1" x14ac:dyDescent="0.2">
      <c r="B505" s="2" t="s">
        <v>123</v>
      </c>
      <c r="C505" s="72">
        <v>36.299999999999997</v>
      </c>
      <c r="D505" s="70"/>
      <c r="E505" s="72">
        <v>35.4</v>
      </c>
      <c r="F505" s="71"/>
      <c r="G505" s="74">
        <v>34.4</v>
      </c>
      <c r="H505" s="71"/>
      <c r="I505" s="74">
        <v>33.4</v>
      </c>
      <c r="J505" s="71"/>
      <c r="K505" s="74">
        <v>34.4</v>
      </c>
      <c r="L505" s="61">
        <f t="shared" si="2621"/>
        <v>-5.2341597796143224</v>
      </c>
      <c r="M505" s="72">
        <v>32</v>
      </c>
      <c r="N505" s="61">
        <f t="shared" si="2622"/>
        <v>-9.6045197740112993</v>
      </c>
      <c r="O505" s="74">
        <v>29.6</v>
      </c>
      <c r="P505" s="61">
        <f t="shared" si="2623"/>
        <v>-13.953488372093014</v>
      </c>
      <c r="Q505" s="74">
        <v>25</v>
      </c>
      <c r="R505" s="61">
        <f t="shared" si="2624"/>
        <v>-25.149700598802394</v>
      </c>
      <c r="S505" s="74">
        <v>24.8</v>
      </c>
      <c r="T505" s="61">
        <f t="shared" si="2625"/>
        <v>-27.906976744186039</v>
      </c>
      <c r="U505" s="74">
        <v>24.6</v>
      </c>
      <c r="V505" s="61">
        <f t="shared" si="2626"/>
        <v>-23.124999999999996</v>
      </c>
      <c r="W505" s="74">
        <v>23.7</v>
      </c>
      <c r="X505" s="61">
        <f t="shared" si="2627"/>
        <v>-19.932432432432435</v>
      </c>
      <c r="Y505" s="74">
        <v>23.5</v>
      </c>
      <c r="Z505" s="61">
        <f t="shared" si="2628"/>
        <v>-6.0000000000000053</v>
      </c>
      <c r="AA505" s="74">
        <v>23.3</v>
      </c>
      <c r="AB505" s="61">
        <f t="shared" si="2629"/>
        <v>-6.0483870967741886</v>
      </c>
      <c r="AC505" s="74">
        <v>23</v>
      </c>
      <c r="AD505" s="61">
        <f t="shared" si="2630"/>
        <v>-6.5040650406504081</v>
      </c>
      <c r="AE505" s="74">
        <v>21</v>
      </c>
      <c r="AF505" s="61">
        <f t="shared" si="2631"/>
        <v>-11.392405063291132</v>
      </c>
      <c r="AG505" s="74">
        <v>22.2</v>
      </c>
      <c r="AH505" s="61">
        <f t="shared" si="2632"/>
        <v>-5.5319148936170297</v>
      </c>
      <c r="AI505" s="74">
        <v>22.8</v>
      </c>
      <c r="AJ505" s="61">
        <f t="shared" si="2633"/>
        <v>-2.1459227467811148</v>
      </c>
      <c r="AK505" s="74">
        <v>24.7</v>
      </c>
      <c r="AL505" s="61">
        <f t="shared" si="2634"/>
        <v>7.3913043478260887</v>
      </c>
      <c r="AM505" s="74">
        <v>24.4</v>
      </c>
      <c r="AN505" s="61">
        <f t="shared" si="2635"/>
        <v>16.190476190476176</v>
      </c>
      <c r="AO505" s="74">
        <v>22.2</v>
      </c>
      <c r="AP505" s="61">
        <f t="shared" si="2636"/>
        <v>0</v>
      </c>
      <c r="AQ505" s="91">
        <f>AQ476</f>
        <v>22.2</v>
      </c>
      <c r="AR505" s="61">
        <f t="shared" si="2637"/>
        <v>-2.6315789473684292</v>
      </c>
      <c r="AS505" s="91">
        <f>AS476</f>
        <v>21.8</v>
      </c>
      <c r="AT505" s="61">
        <f t="shared" si="2638"/>
        <v>-11.740890688259109</v>
      </c>
      <c r="AU505" s="91">
        <f>AU476</f>
        <v>21.4</v>
      </c>
      <c r="AV505" s="61">
        <f t="shared" si="2639"/>
        <v>-12.295081967213118</v>
      </c>
      <c r="AW505" s="91">
        <f>AW476</f>
        <v>21.8</v>
      </c>
      <c r="AX505" s="61">
        <f t="shared" si="2639"/>
        <v>-1.8018018018017945</v>
      </c>
      <c r="AY505" s="91">
        <f>AY476</f>
        <v>21.5</v>
      </c>
      <c r="AZ505" s="61">
        <f t="shared" si="2640"/>
        <v>-3.1531531531531543</v>
      </c>
      <c r="BA505" s="91">
        <f>BA476</f>
        <v>64.3</v>
      </c>
      <c r="BB505" s="61" t="str">
        <f t="shared" si="2641"/>
        <v>NM</v>
      </c>
      <c r="BC505" s="91">
        <f>BC476</f>
        <v>66.7</v>
      </c>
      <c r="BD505" s="61" t="str">
        <f t="shared" si="2642"/>
        <v>NM</v>
      </c>
      <c r="BE505" s="91">
        <f>BE476</f>
        <v>64.3</v>
      </c>
      <c r="BF505" s="61" t="str">
        <f t="shared" si="2643"/>
        <v>NM</v>
      </c>
      <c r="BG505" s="91">
        <f>BG476</f>
        <v>62.4</v>
      </c>
      <c r="BH505" s="61" t="str">
        <f t="shared" si="2644"/>
        <v>NM</v>
      </c>
      <c r="BI505" s="91">
        <f>BI476</f>
        <v>73.099999999999994</v>
      </c>
      <c r="BJ505" s="61">
        <f t="shared" si="2644"/>
        <v>13.685847589424572</v>
      </c>
      <c r="BK505" s="91">
        <f>BK476</f>
        <v>68.2</v>
      </c>
      <c r="BL505" s="61">
        <f t="shared" si="2644"/>
        <v>2.2488755622188883</v>
      </c>
      <c r="BM505" s="91">
        <f>BM476</f>
        <v>80.3</v>
      </c>
      <c r="BN505" s="61">
        <f t="shared" si="2644"/>
        <v>24.883359253499226</v>
      </c>
      <c r="BO505" s="91">
        <f>BO476</f>
        <v>75.400000000000006</v>
      </c>
      <c r="BP505" s="61">
        <f t="shared" si="2644"/>
        <v>20.83333333333335</v>
      </c>
      <c r="BQ505" s="91">
        <f>BQ476</f>
        <v>64.8</v>
      </c>
      <c r="BR505" s="61">
        <f t="shared" si="2644"/>
        <v>-11.354309165526677</v>
      </c>
      <c r="BS505" s="91">
        <f>BS476</f>
        <v>68.3</v>
      </c>
      <c r="BT505" s="61">
        <f t="shared" si="2644"/>
        <v>0.14662756598240456</v>
      </c>
      <c r="BU505" s="91">
        <f>BU476</f>
        <v>72.3</v>
      </c>
      <c r="BV505" s="61">
        <f t="shared" si="2644"/>
        <v>-9.9626400996263964</v>
      </c>
      <c r="BW505" s="91">
        <f>BW476</f>
        <v>64.7</v>
      </c>
      <c r="BX505" s="61">
        <f t="shared" si="2644"/>
        <v>-14.190981432360751</v>
      </c>
      <c r="BY505" s="91">
        <f>BY476</f>
        <v>60.9</v>
      </c>
      <c r="BZ505" s="61">
        <f t="shared" si="2644"/>
        <v>-6.0185185185185119</v>
      </c>
      <c r="CA505" s="69">
        <f>CA476</f>
        <v>68</v>
      </c>
      <c r="CB505" s="61">
        <f t="shared" si="2644"/>
        <v>-0.43923865300146137</v>
      </c>
      <c r="CC505" s="91">
        <f>CC476</f>
        <v>68.099999999999994</v>
      </c>
      <c r="CD505" s="61">
        <f t="shared" si="2644"/>
        <v>-5.8091286307053958</v>
      </c>
      <c r="CE505" s="91">
        <f>CE476</f>
        <v>68.099999999999994</v>
      </c>
      <c r="CF505" s="61">
        <f t="shared" si="2644"/>
        <v>5.2550231839257888</v>
      </c>
      <c r="CG505" s="91">
        <f>CG476</f>
        <v>69</v>
      </c>
      <c r="CH505" s="61">
        <f t="shared" si="2644"/>
        <v>13.300492610837434</v>
      </c>
      <c r="CI505" s="91">
        <f>CI476</f>
        <v>74.5</v>
      </c>
      <c r="CJ505" s="61">
        <f t="shared" si="2644"/>
        <v>9.5588235294117752</v>
      </c>
      <c r="CK505" s="91">
        <f>CK476</f>
        <v>74.3</v>
      </c>
      <c r="CL505" s="61">
        <f t="shared" si="2644"/>
        <v>9.104258443465497</v>
      </c>
      <c r="CM505" s="91">
        <f>CM476</f>
        <v>71.599999999999994</v>
      </c>
      <c r="CN505" s="61">
        <f t="shared" si="2644"/>
        <v>5.1395007342143861</v>
      </c>
      <c r="CO505" s="91">
        <f>CO476</f>
        <v>72</v>
      </c>
      <c r="CP505" s="61">
        <f t="shared" si="2644"/>
        <v>4.3478260869565188</v>
      </c>
      <c r="CQ505" s="91">
        <f>CQ476</f>
        <v>71</v>
      </c>
      <c r="CR505" s="61">
        <f t="shared" si="2644"/>
        <v>-4.6979865771812124</v>
      </c>
      <c r="CS505" s="91">
        <f>CS476</f>
        <v>70</v>
      </c>
      <c r="CT505" s="61">
        <f t="shared" si="2644"/>
        <v>-5.7873485868102259</v>
      </c>
      <c r="CU505" s="91">
        <f>CU476</f>
        <v>68</v>
      </c>
      <c r="CV505" s="61">
        <f t="shared" si="2645"/>
        <v>-5.0279329608938443</v>
      </c>
      <c r="CW505" s="91">
        <f>CW476</f>
        <v>68</v>
      </c>
      <c r="CX505" s="61">
        <f t="shared" si="2646"/>
        <v>-5.555555555555558</v>
      </c>
      <c r="CY505" s="91">
        <f>CY476</f>
        <v>68</v>
      </c>
      <c r="CZ505" s="61">
        <f t="shared" si="2647"/>
        <v>-4.2253521126760614</v>
      </c>
      <c r="DA505" s="91">
        <f>DA476</f>
        <v>65</v>
      </c>
      <c r="DB505" s="61">
        <f t="shared" si="2648"/>
        <v>-7.1428571428571397</v>
      </c>
      <c r="DC505" s="91">
        <f>DC476</f>
        <v>64</v>
      </c>
      <c r="DD505" s="61">
        <f t="shared" si="2649"/>
        <v>-5.8823529411764719</v>
      </c>
      <c r="DE505" s="91">
        <f>DE476</f>
        <v>65</v>
      </c>
      <c r="DF505" s="61">
        <f t="shared" si="2650"/>
        <v>-4.4117647058823479</v>
      </c>
      <c r="DG505" s="91">
        <f>DG476</f>
        <v>67</v>
      </c>
      <c r="DH505" s="61">
        <f t="shared" si="2651"/>
        <v>-1.4705882352941124</v>
      </c>
      <c r="DI505" s="91">
        <f>DI476</f>
        <v>68</v>
      </c>
      <c r="DJ505" s="61">
        <f t="shared" si="2652"/>
        <v>4.6153846153846212</v>
      </c>
      <c r="DK505" s="91">
        <f>DK476</f>
        <v>67</v>
      </c>
      <c r="DL505" s="61">
        <f t="shared" si="2653"/>
        <v>4.6875</v>
      </c>
      <c r="DM505" s="91">
        <f>DM476</f>
        <v>67</v>
      </c>
      <c r="DN505" s="130">
        <f t="shared" si="2654"/>
        <v>3.076923076923066</v>
      </c>
      <c r="DO505" s="91">
        <f>DO476</f>
        <v>67</v>
      </c>
      <c r="DP505" s="130">
        <f t="shared" si="2654"/>
        <v>0</v>
      </c>
      <c r="DQ505" s="91">
        <f>DQ476</f>
        <v>67</v>
      </c>
      <c r="DR505" s="130">
        <f t="shared" si="2654"/>
        <v>-1.4705882352941124</v>
      </c>
      <c r="DS505" s="91">
        <f>DS476</f>
        <v>68</v>
      </c>
      <c r="DT505" s="130">
        <f t="shared" si="2654"/>
        <v>1.4925373134328401</v>
      </c>
      <c r="DU505" s="91">
        <f>DU476</f>
        <v>69</v>
      </c>
      <c r="DV505" s="130">
        <f t="shared" si="2654"/>
        <v>2.9850746268656803</v>
      </c>
      <c r="DW505" s="91">
        <f>DW476</f>
        <v>67</v>
      </c>
      <c r="DX505" s="91">
        <f t="shared" ref="DX505:DY505" si="2708">DX476</f>
        <v>67</v>
      </c>
      <c r="DY505" s="91">
        <f t="shared" si="2708"/>
        <v>68</v>
      </c>
      <c r="DZ505" s="130">
        <f t="shared" si="2654"/>
        <v>1.4925373134328401</v>
      </c>
      <c r="EA505" s="91">
        <f t="shared" ref="EA505:EC505" si="2709">EA476</f>
        <v>68</v>
      </c>
      <c r="EB505" s="130">
        <f t="shared" si="2657"/>
        <v>0</v>
      </c>
      <c r="EC505" s="91">
        <f t="shared" si="2709"/>
        <v>68</v>
      </c>
      <c r="ED505" s="130">
        <f t="shared" si="2658"/>
        <v>-1.4492753623188359</v>
      </c>
      <c r="EE505" s="91">
        <f t="shared" ref="EE505:EG505" si="2710">EE476</f>
        <v>66</v>
      </c>
      <c r="EF505" s="130">
        <f t="shared" si="2660"/>
        <v>-1.4925373134328401</v>
      </c>
      <c r="EG505" s="91">
        <f t="shared" si="2710"/>
        <v>67</v>
      </c>
      <c r="EH505" s="130">
        <f t="shared" si="2661"/>
        <v>-1.4705882352941124</v>
      </c>
      <c r="EI505" s="91">
        <f t="shared" ref="EI505:EK505" si="2711">EI476</f>
        <v>64</v>
      </c>
      <c r="EJ505" s="130">
        <f t="shared" si="2663"/>
        <v>-5.8823529411764719</v>
      </c>
      <c r="EK505" s="91">
        <f t="shared" si="2711"/>
        <v>63</v>
      </c>
      <c r="EL505" s="130">
        <f t="shared" si="2664"/>
        <v>-7.3529411764705843</v>
      </c>
      <c r="EM505" s="91">
        <f t="shared" ref="EM505" si="2712">EM476</f>
        <v>63</v>
      </c>
      <c r="EN505" s="130">
        <f t="shared" si="2666"/>
        <v>-4.5454545454545414</v>
      </c>
      <c r="EO505" s="91">
        <f t="shared" ref="EO505" si="2713">EO476</f>
        <v>63</v>
      </c>
      <c r="EP505" s="130">
        <f t="shared" si="2668"/>
        <v>-5.9701492537313383</v>
      </c>
      <c r="EQ505" s="91">
        <f t="shared" ref="EQ505:EW505" si="2714">EQ476</f>
        <v>67.375</v>
      </c>
      <c r="ER505" s="130">
        <f t="shared" si="2670"/>
        <v>5.2734375</v>
      </c>
      <c r="ES505" s="91">
        <f t="shared" si="2714"/>
        <v>67.375</v>
      </c>
      <c r="ET505" s="130">
        <f t="shared" si="2671"/>
        <v>6.944444444444442</v>
      </c>
      <c r="EU505" s="91">
        <f t="shared" si="2714"/>
        <v>67.375</v>
      </c>
      <c r="EV505" s="130">
        <f t="shared" si="2672"/>
        <v>6.944444444444442</v>
      </c>
      <c r="EW505" s="91">
        <f t="shared" si="2714"/>
        <v>67.375</v>
      </c>
      <c r="EX505" s="130">
        <f t="shared" si="2673"/>
        <v>6.944444444444442</v>
      </c>
      <c r="EY505" s="64"/>
      <c r="EZ505" s="558"/>
      <c r="FA505" s="64"/>
      <c r="FB505" s="72"/>
      <c r="FC505" s="71"/>
      <c r="FD505" s="72"/>
      <c r="FE505" s="70"/>
      <c r="FF505" s="69"/>
      <c r="FG505" s="70"/>
      <c r="FH505" s="282">
        <v>121</v>
      </c>
      <c r="FI505" s="281" t="s">
        <v>101</v>
      </c>
      <c r="FJ505" s="282">
        <v>96.6</v>
      </c>
      <c r="FK505" s="281">
        <v>-20.165289256198339</v>
      </c>
      <c r="FL505" s="282">
        <v>89.5</v>
      </c>
      <c r="FM505" s="283">
        <v>-7.3498964803312745</v>
      </c>
      <c r="FN505" s="282">
        <v>94.1</v>
      </c>
      <c r="FO505" s="283">
        <v>5.1396648044692794</v>
      </c>
      <c r="FP505" s="75">
        <f t="shared" si="2674"/>
        <v>87.2</v>
      </c>
      <c r="FQ505" s="61">
        <f t="shared" si="2675"/>
        <v>-7.3326248671625844</v>
      </c>
      <c r="FR505" s="75">
        <f>FR476</f>
        <v>216.8</v>
      </c>
      <c r="FS505" s="61" t="str">
        <f t="shared" si="2676"/>
        <v>NM</v>
      </c>
      <c r="FT505" s="75">
        <f>FT476</f>
        <v>284</v>
      </c>
      <c r="FU505" s="61">
        <f t="shared" si="2677"/>
        <v>30.996309963099634</v>
      </c>
      <c r="FV505" s="75">
        <f>FV476</f>
        <v>280.8</v>
      </c>
      <c r="FW505" s="61">
        <f t="shared" si="2678"/>
        <v>-1.1267605633802802</v>
      </c>
      <c r="FX505" s="75">
        <f>FX476</f>
        <v>261.7</v>
      </c>
      <c r="FY505" s="61">
        <f t="shared" si="2679"/>
        <v>-6.8019943019943074</v>
      </c>
      <c r="FZ505" s="75">
        <f>FZ476</f>
        <v>285.89999999999998</v>
      </c>
      <c r="GA505" s="61">
        <f t="shared" si="2680"/>
        <v>9.2472296522735817</v>
      </c>
      <c r="GB505" s="75">
        <f>GB476</f>
        <v>284.60000000000002</v>
      </c>
      <c r="GC505" s="61">
        <f t="shared" si="2681"/>
        <v>-0.45470444211260785</v>
      </c>
      <c r="GD505" s="75">
        <f>GD476</f>
        <v>269</v>
      </c>
      <c r="GE505" s="61">
        <f t="shared" si="2682"/>
        <v>-5.4813773717498293</v>
      </c>
      <c r="GF505" s="75">
        <f>GF476</f>
        <v>264</v>
      </c>
      <c r="GG505" s="61">
        <f t="shared" si="2682"/>
        <v>-1.8587360594795488</v>
      </c>
      <c r="GH505" s="75">
        <f>GH476</f>
        <v>268</v>
      </c>
      <c r="GI505" s="61">
        <f t="shared" si="2682"/>
        <v>1.5151515151515138</v>
      </c>
      <c r="GJ505" s="75">
        <f>GJ476</f>
        <v>272</v>
      </c>
      <c r="GK505" s="61">
        <f t="shared" si="2682"/>
        <v>1.4925373134328401</v>
      </c>
      <c r="GL505" s="75">
        <f>GL476</f>
        <v>269</v>
      </c>
      <c r="GM505" s="61">
        <f t="shared" si="2682"/>
        <v>-1.1029411764705843</v>
      </c>
      <c r="GN505" s="75">
        <f>GN476</f>
        <v>253</v>
      </c>
      <c r="GO505" s="61">
        <f t="shared" si="2682"/>
        <v>-5.9479553903345694</v>
      </c>
      <c r="GP505" s="75">
        <f>GP476</f>
        <v>269.5</v>
      </c>
      <c r="GQ505" s="61">
        <f t="shared" si="2682"/>
        <v>6.5217391304347894</v>
      </c>
      <c r="GR505" s="91">
        <f>GR476</f>
        <v>269.5</v>
      </c>
      <c r="GS505" s="61">
        <f t="shared" si="2682"/>
        <v>0</v>
      </c>
      <c r="GT505" s="91">
        <f>GT476</f>
        <v>269.5</v>
      </c>
      <c r="GU505" s="61">
        <f t="shared" si="2682"/>
        <v>0</v>
      </c>
      <c r="GV505" s="91">
        <f>GV476</f>
        <v>269.5</v>
      </c>
      <c r="GW505" s="61">
        <f t="shared" si="2682"/>
        <v>0</v>
      </c>
      <c r="GX505" s="91">
        <f>GX476</f>
        <v>269.5</v>
      </c>
      <c r="GY505" s="61">
        <f t="shared" si="2683"/>
        <v>0</v>
      </c>
      <c r="GZ505" s="61">
        <f t="shared" si="2572"/>
        <v>1.271594910569096</v>
      </c>
      <c r="HA505" s="61"/>
      <c r="HB505" s="452"/>
      <c r="HC505"/>
      <c r="HD505"/>
      <c r="HE505"/>
      <c r="HF505"/>
      <c r="HG505"/>
      <c r="HH505"/>
    </row>
    <row r="506" spans="1:216" s="5" customFormat="1" ht="12.75" customHeight="1" x14ac:dyDescent="0.2">
      <c r="A506" s="7"/>
      <c r="B506" s="63" t="s">
        <v>625</v>
      </c>
      <c r="C506" s="284">
        <f>SUM(C500:C505)</f>
        <v>994.39999999999986</v>
      </c>
      <c r="D506" s="67"/>
      <c r="E506" s="284">
        <f>SUM(E500:E505)</f>
        <v>963.77692307692303</v>
      </c>
      <c r="F506" s="66"/>
      <c r="G506" s="284">
        <f>SUM(G500:G505)</f>
        <v>969.71538461538478</v>
      </c>
      <c r="H506" s="66"/>
      <c r="I506" s="284">
        <f>SUM(I500:I505)</f>
        <v>983.27692307692325</v>
      </c>
      <c r="J506" s="70"/>
      <c r="K506" s="284">
        <f>SUM(K500:K505)</f>
        <v>955.31538461538435</v>
      </c>
      <c r="L506" s="61">
        <f t="shared" si="2621"/>
        <v>-3.9304721826845856</v>
      </c>
      <c r="M506" s="284">
        <v>951.2538461538461</v>
      </c>
      <c r="N506" s="61">
        <f t="shared" si="2622"/>
        <v>-1.2993750548722538</v>
      </c>
      <c r="O506" s="284">
        <v>982.47692307692307</v>
      </c>
      <c r="P506" s="61">
        <f t="shared" si="2623"/>
        <v>1.3160086623354772</v>
      </c>
      <c r="Q506" s="284">
        <v>924.01538461538485</v>
      </c>
      <c r="R506" s="61">
        <f t="shared" si="2624"/>
        <v>-6.0269428754713417</v>
      </c>
      <c r="S506" s="284">
        <v>937.62307692307695</v>
      </c>
      <c r="T506" s="61">
        <f t="shared" si="2625"/>
        <v>-1.8519860537397737</v>
      </c>
      <c r="U506" s="284">
        <v>1088.8923076923074</v>
      </c>
      <c r="V506" s="61">
        <f t="shared" si="2626"/>
        <v>14.469162158446736</v>
      </c>
      <c r="W506" s="284">
        <v>1132.2230769230766</v>
      </c>
      <c r="X506" s="61">
        <f t="shared" si="2627"/>
        <v>15.241696810259754</v>
      </c>
      <c r="Y506" s="284">
        <v>1131.4615384615386</v>
      </c>
      <c r="Z506" s="61">
        <f t="shared" si="2628"/>
        <v>22.450508649539614</v>
      </c>
      <c r="AA506" s="284">
        <f>SUM(AA500:AA505)</f>
        <v>1058.8769230769228</v>
      </c>
      <c r="AB506" s="61">
        <f t="shared" si="2629"/>
        <v>12.932045844237861</v>
      </c>
      <c r="AC506" s="284">
        <f>SUM(AC500:AC505)</f>
        <v>1011.8769230769233</v>
      </c>
      <c r="AD506" s="61">
        <f t="shared" si="2630"/>
        <v>-7.0728192376161676</v>
      </c>
      <c r="AE506" s="284">
        <f>SUM(AE500:AE505)</f>
        <v>1035.4923076923078</v>
      </c>
      <c r="AF506" s="61">
        <f t="shared" si="2631"/>
        <v>-8.5434373492583973</v>
      </c>
      <c r="AG506" s="284">
        <f>SUM(AG500:AG505)</f>
        <v>1041.2</v>
      </c>
      <c r="AH506" s="61">
        <f t="shared" si="2632"/>
        <v>-7.9774287850975618</v>
      </c>
      <c r="AI506" s="284">
        <f>SUM(AI500:AI505)</f>
        <v>1038.8307692307692</v>
      </c>
      <c r="AJ506" s="61">
        <f t="shared" si="2633"/>
        <v>-1.8931523965885266</v>
      </c>
      <c r="AK506" s="284">
        <f>SUM(AK500:AK505)</f>
        <v>1140.2961538461536</v>
      </c>
      <c r="AL506" s="61">
        <f t="shared" si="2634"/>
        <v>12.691190780271189</v>
      </c>
      <c r="AM506" s="284">
        <f>SUM(AM500:AM505)</f>
        <v>991.83076923076896</v>
      </c>
      <c r="AN506" s="61">
        <f t="shared" si="2635"/>
        <v>-4.2165005125767374</v>
      </c>
      <c r="AO506" s="284">
        <f>SUM(AO500:AO505)</f>
        <v>1003.7384615384619</v>
      </c>
      <c r="AP506" s="61">
        <f t="shared" si="2636"/>
        <v>-3.5979195602706571</v>
      </c>
      <c r="AQ506" s="284">
        <f>SUM(AQ500:AQ505)</f>
        <v>1050.4203076923075</v>
      </c>
      <c r="AR506" s="61">
        <f t="shared" si="2637"/>
        <v>1.1156329601326842</v>
      </c>
      <c r="AS506" s="284">
        <f>SUM(AS500:AS505)</f>
        <v>1090.160076923077</v>
      </c>
      <c r="AT506" s="61">
        <f t="shared" si="2638"/>
        <v>-4.3967592764362573</v>
      </c>
      <c r="AU506" s="284">
        <f>SUM(AU500:AU505)</f>
        <v>1076.7455384615389</v>
      </c>
      <c r="AV506" s="61">
        <f t="shared" si="2639"/>
        <v>8.5614171152027296</v>
      </c>
      <c r="AW506" s="284">
        <f>SUM(AW500:AW505)</f>
        <v>1074.6419230769229</v>
      </c>
      <c r="AX506" s="61">
        <f t="shared" si="2639"/>
        <v>7.0639378937203512</v>
      </c>
      <c r="AY506" s="284">
        <f>SUM(AY500:AY505)</f>
        <v>1107.0400000000002</v>
      </c>
      <c r="AZ506" s="61">
        <f t="shared" si="2640"/>
        <v>5.3901939912111896</v>
      </c>
      <c r="BA506" s="284">
        <f>SUM(BA500:BA505)</f>
        <v>1689.34</v>
      </c>
      <c r="BB506" s="61">
        <f t="shared" si="2641"/>
        <v>54.962563366664341</v>
      </c>
      <c r="BC506" s="284">
        <f>SUM(BC500:BC505)</f>
        <v>1702.7400000000005</v>
      </c>
      <c r="BD506" s="61">
        <f t="shared" si="2642"/>
        <v>58.137641548335225</v>
      </c>
      <c r="BE506" s="284">
        <f>SUM(BE500:BE505)</f>
        <v>1808.6399999999996</v>
      </c>
      <c r="BF506" s="61">
        <f t="shared" si="2643"/>
        <v>68.301641799110897</v>
      </c>
      <c r="BG506" s="284">
        <f>SUM(BG500:BG505)</f>
        <v>1848.2999999999997</v>
      </c>
      <c r="BH506" s="61">
        <f t="shared" si="2644"/>
        <v>66.958736811677937</v>
      </c>
      <c r="BI506" s="284">
        <f>SUM(BI500:BI505)</f>
        <v>1916.5</v>
      </c>
      <c r="BJ506" s="61">
        <f t="shared" si="2644"/>
        <v>13.446671481170158</v>
      </c>
      <c r="BK506" s="284">
        <f>SUM(BK500:BK505)</f>
        <v>2026.6000000000001</v>
      </c>
      <c r="BL506" s="61">
        <f t="shared" si="2644"/>
        <v>19.019932579254583</v>
      </c>
      <c r="BM506" s="284">
        <f>SUM(BM500:BM505)</f>
        <v>2134.8999999999996</v>
      </c>
      <c r="BN506" s="61">
        <f t="shared" si="2644"/>
        <v>18.038968506723286</v>
      </c>
      <c r="BO506" s="284">
        <f>SUM(BO500:BO505)</f>
        <v>2062.2999999999997</v>
      </c>
      <c r="BP506" s="61">
        <f t="shared" si="2644"/>
        <v>11.578207001027963</v>
      </c>
      <c r="BQ506" s="284">
        <f>SUM(BQ500:BQ505)</f>
        <v>2100.6999999999998</v>
      </c>
      <c r="BR506" s="61">
        <f t="shared" si="2644"/>
        <v>9.6112705452648051</v>
      </c>
      <c r="BS506" s="284">
        <f>SUM(BS500:BS505)</f>
        <v>2148</v>
      </c>
      <c r="BT506" s="61">
        <f t="shared" si="2644"/>
        <v>5.9903286292312119</v>
      </c>
      <c r="BU506" s="284">
        <f>SUM(BU500:BU505)</f>
        <v>2616.4000000000005</v>
      </c>
      <c r="BV506" s="61">
        <f t="shared" si="2644"/>
        <v>22.553749590144779</v>
      </c>
      <c r="BW506" s="284">
        <f>SUM(BW500:BW505)</f>
        <v>2177.1999999999994</v>
      </c>
      <c r="BX506" s="61">
        <f t="shared" si="2644"/>
        <v>5.5714493526644926</v>
      </c>
      <c r="BY506" s="284">
        <f>SUM(BY500:BY505)</f>
        <v>2059.5</v>
      </c>
      <c r="BZ506" s="61">
        <f t="shared" si="2644"/>
        <v>-1.9612510115675663</v>
      </c>
      <c r="CA506" s="520">
        <f>SUM(CA500:CA505)</f>
        <v>2099.8999999999996</v>
      </c>
      <c r="CB506" s="61">
        <f t="shared" si="2644"/>
        <v>-2.2392923649907082</v>
      </c>
      <c r="CC506" s="284">
        <f>SUM(CC500:CC505)</f>
        <v>2161.3999999999996</v>
      </c>
      <c r="CD506" s="61">
        <f t="shared" si="2644"/>
        <v>-17.390307292462957</v>
      </c>
      <c r="CE506" s="284">
        <f>SUM(CE500:CE505)</f>
        <v>2187.1</v>
      </c>
      <c r="CF506" s="61">
        <f t="shared" si="2644"/>
        <v>0.45471247473822807</v>
      </c>
      <c r="CG506" s="284">
        <f>SUM(CG500:CG505)</f>
        <v>2227.7000000000003</v>
      </c>
      <c r="CH506" s="61">
        <f t="shared" si="2644"/>
        <v>8.1670308327264074</v>
      </c>
      <c r="CI506" s="284">
        <f>SUM(CI500:CI505)</f>
        <v>2347.6999999999998</v>
      </c>
      <c r="CJ506" s="61">
        <f t="shared" si="2644"/>
        <v>11.800561931520569</v>
      </c>
      <c r="CK506" s="284">
        <f>SUM(CK500:CK505)</f>
        <v>2420.6000000000004</v>
      </c>
      <c r="CL506" s="61">
        <f t="shared" si="2644"/>
        <v>11.992227260109223</v>
      </c>
      <c r="CM506" s="284">
        <f>SUM(CM500:CM505)</f>
        <v>2295.8999999999996</v>
      </c>
      <c r="CN506" s="61">
        <f t="shared" si="2644"/>
        <v>4.9746239312331353</v>
      </c>
      <c r="CO506" s="284">
        <f>SUM(CO500:CO505)</f>
        <v>2396.6000000000004</v>
      </c>
      <c r="CP506" s="61">
        <f t="shared" si="2644"/>
        <v>7.5818108362885495</v>
      </c>
      <c r="CQ506" s="284">
        <f>SUM(CQ500:CQ505)</f>
        <v>2329.8000000000002</v>
      </c>
      <c r="CR506" s="61">
        <f t="shared" si="2644"/>
        <v>-0.76244835370786745</v>
      </c>
      <c r="CS506" s="284">
        <f>SUM(CS500:CS505)</f>
        <v>2346</v>
      </c>
      <c r="CT506" s="61">
        <f t="shared" si="2644"/>
        <v>-3.0818805254895665</v>
      </c>
      <c r="CU506" s="284">
        <f>SUM(CU500:CU505)</f>
        <v>2436</v>
      </c>
      <c r="CV506" s="61">
        <f t="shared" si="2645"/>
        <v>6.1021821507905472</v>
      </c>
      <c r="CW506" s="284">
        <f>SUM(CW500:CW505)</f>
        <v>2446</v>
      </c>
      <c r="CX506" s="61">
        <f t="shared" si="2646"/>
        <v>2.0612534423766871</v>
      </c>
      <c r="CY506" s="284">
        <f>SUM(CY500:CY505)</f>
        <v>2551</v>
      </c>
      <c r="CZ506" s="61">
        <f t="shared" si="2647"/>
        <v>9.4943771997596293</v>
      </c>
      <c r="DA506" s="284">
        <f>SUM(DA500:DA505)</f>
        <v>2572</v>
      </c>
      <c r="DB506" s="61">
        <f t="shared" si="2648"/>
        <v>9.6334185848252254</v>
      </c>
      <c r="DC506" s="284">
        <f>SUM(DC500:DC505)</f>
        <v>2555</v>
      </c>
      <c r="DD506" s="61">
        <f t="shared" si="2649"/>
        <v>4.8850574712643757</v>
      </c>
      <c r="DE506" s="284">
        <f>SUM(DE500:DE505)</f>
        <v>2578</v>
      </c>
      <c r="DF506" s="61">
        <f t="shared" si="2650"/>
        <v>5.396565821749788</v>
      </c>
      <c r="DG506" s="284">
        <f>SUM(DG500:DG505)</f>
        <v>2586</v>
      </c>
      <c r="DH506" s="61">
        <f t="shared" si="2651"/>
        <v>1.3720109760878119</v>
      </c>
      <c r="DI506" s="284">
        <f>SUM(DI500:DI505)</f>
        <v>2674</v>
      </c>
      <c r="DJ506" s="61">
        <f t="shared" si="2652"/>
        <v>3.9657853810264321</v>
      </c>
      <c r="DK506" s="284">
        <f>SUM(DK500:DK505)</f>
        <v>2753</v>
      </c>
      <c r="DL506" s="61">
        <f t="shared" si="2653"/>
        <v>7.7495107632093996</v>
      </c>
      <c r="DM506" s="284">
        <f>SUM(DM500:DM505)</f>
        <v>2753</v>
      </c>
      <c r="DN506" s="130">
        <f t="shared" si="2654"/>
        <v>6.7882079131109441</v>
      </c>
      <c r="DO506" s="284">
        <f>SUM(DO500:DO505)</f>
        <v>2798</v>
      </c>
      <c r="DP506" s="130">
        <f t="shared" si="2654"/>
        <v>8.1979891724671248</v>
      </c>
      <c r="DQ506" s="284">
        <f>SUM(DQ500:DQ505)</f>
        <v>3257</v>
      </c>
      <c r="DR506" s="130">
        <f t="shared" si="2654"/>
        <v>21.802543006731479</v>
      </c>
      <c r="DS506" s="284">
        <f>SUM(DS500:DS505)</f>
        <v>2951</v>
      </c>
      <c r="DT506" s="130">
        <f t="shared" si="2654"/>
        <v>7.1921540138031315</v>
      </c>
      <c r="DU506" s="284">
        <f>SUM(DU500:DU505)</f>
        <v>2927</v>
      </c>
      <c r="DV506" s="130">
        <f t="shared" si="2654"/>
        <v>6.3203777697057761</v>
      </c>
      <c r="DW506" s="284">
        <f>SUM(DW500:DW505)</f>
        <v>3378</v>
      </c>
      <c r="DX506" s="284">
        <f t="shared" ref="DX506:DY506" si="2715">SUM(DX500:DX505)</f>
        <v>3378</v>
      </c>
      <c r="DY506" s="284">
        <f t="shared" si="2715"/>
        <v>2850</v>
      </c>
      <c r="DZ506" s="130">
        <f t="shared" si="2654"/>
        <v>-12.496162112373355</v>
      </c>
      <c r="EA506" s="284">
        <f t="shared" ref="EA506:EC506" si="2716">SUM(EA500:EA505)</f>
        <v>3010</v>
      </c>
      <c r="EB506" s="130">
        <f t="shared" si="2657"/>
        <v>1.9993222636394359</v>
      </c>
      <c r="EC506" s="284">
        <f t="shared" si="2716"/>
        <v>2906</v>
      </c>
      <c r="ED506" s="130">
        <f t="shared" si="2658"/>
        <v>-0.71745814827468557</v>
      </c>
      <c r="EE506" s="284">
        <f t="shared" ref="EE506:EG506" si="2717">SUM(EE500:EE505)</f>
        <v>2959</v>
      </c>
      <c r="EF506" s="130">
        <f t="shared" si="2660"/>
        <v>-12.403789224393137</v>
      </c>
      <c r="EG506" s="284">
        <f t="shared" si="2717"/>
        <v>2986</v>
      </c>
      <c r="EH506" s="130">
        <f t="shared" si="2661"/>
        <v>4.771929824561405</v>
      </c>
      <c r="EI506" s="284">
        <f t="shared" ref="EI506:EK506" si="2718">SUM(EI500:EI505)</f>
        <v>3093</v>
      </c>
      <c r="EJ506" s="130">
        <f t="shared" si="2663"/>
        <v>2.757475083056482</v>
      </c>
      <c r="EK506" s="284">
        <f t="shared" si="2718"/>
        <v>3085</v>
      </c>
      <c r="EL506" s="130">
        <f t="shared" si="2664"/>
        <v>6.1596696490020753</v>
      </c>
      <c r="EM506" s="284">
        <f t="shared" ref="EM506" si="2719">SUM(EM500:EM505)</f>
        <v>3041</v>
      </c>
      <c r="EN506" s="130">
        <f t="shared" si="2666"/>
        <v>2.7712064886786125</v>
      </c>
      <c r="EO506" s="284">
        <f t="shared" ref="EO506" si="2720">SUM(EO500:EO505)</f>
        <v>3194</v>
      </c>
      <c r="EP506" s="130">
        <f t="shared" si="2668"/>
        <v>6.9658405894172715</v>
      </c>
      <c r="EQ506" s="284">
        <f t="shared" ref="EQ506:EW506" si="2721">SUM(EQ500:EQ505)</f>
        <v>3209.4224079412397</v>
      </c>
      <c r="ER506" s="130">
        <f t="shared" si="2670"/>
        <v>3.764061039160671</v>
      </c>
      <c r="ES506" s="284">
        <f t="shared" si="2721"/>
        <v>3193.4503916414924</v>
      </c>
      <c r="ET506" s="130">
        <f t="shared" si="2671"/>
        <v>3.515409777682077</v>
      </c>
      <c r="EU506" s="284">
        <f t="shared" si="2721"/>
        <v>3635.3361055143291</v>
      </c>
      <c r="EV506" s="130">
        <f t="shared" si="2672"/>
        <v>19.544100806127229</v>
      </c>
      <c r="EW506" s="284">
        <f t="shared" si="2721"/>
        <v>3669.7295035916377</v>
      </c>
      <c r="EX506" s="130">
        <f t="shared" si="2673"/>
        <v>14.894474126225354</v>
      </c>
      <c r="EY506" s="66"/>
      <c r="EZ506" s="558"/>
      <c r="FA506" s="66"/>
      <c r="FB506" s="64"/>
      <c r="FC506" s="70"/>
      <c r="FD506" s="64"/>
      <c r="FE506" s="70"/>
      <c r="FF506" s="64"/>
      <c r="FG506" s="70"/>
      <c r="FH506" s="285">
        <v>3813.6615384615388</v>
      </c>
      <c r="FI506" s="281" t="s">
        <v>101</v>
      </c>
      <c r="FJ506" s="285">
        <v>4289.8999999999996</v>
      </c>
      <c r="FK506" s="281">
        <v>12.487696056283459</v>
      </c>
      <c r="FL506" s="285">
        <v>4147.3923076923074</v>
      </c>
      <c r="FM506" s="283">
        <v>-3.321935063933712</v>
      </c>
      <c r="FN506" s="285">
        <v>4174.5261538461546</v>
      </c>
      <c r="FO506" s="283">
        <v>0.654238715337363</v>
      </c>
      <c r="FP506" s="284">
        <f t="shared" si="2674"/>
        <v>4291.967846153846</v>
      </c>
      <c r="FQ506" s="61">
        <f t="shared" si="2675"/>
        <v>2.8132939639026633</v>
      </c>
      <c r="FR506" s="284">
        <f>SUM(FR500:FR505)</f>
        <v>6029.0984615384632</v>
      </c>
      <c r="FS506" s="61">
        <f t="shared" si="2676"/>
        <v>40.473989499742146</v>
      </c>
      <c r="FT506" s="284">
        <f>SUM(FT500:FT505)</f>
        <v>7793.6538461538476</v>
      </c>
      <c r="FU506" s="61">
        <f t="shared" si="2677"/>
        <v>29.267317425184626</v>
      </c>
      <c r="FV506" s="284">
        <f>SUM(FV500:FV505)</f>
        <v>8908.2615384615365</v>
      </c>
      <c r="FW506" s="61">
        <f t="shared" si="2678"/>
        <v>14.301478026994307</v>
      </c>
      <c r="FX506" s="284">
        <f>SUM(FX500:FX505)</f>
        <v>8669.5230769230784</v>
      </c>
      <c r="FY506" s="61">
        <f t="shared" si="2679"/>
        <v>-2.6799669105773472</v>
      </c>
      <c r="FZ506" s="284">
        <f>SUM(FZ500:FZ505)</f>
        <v>9183.1</v>
      </c>
      <c r="GA506" s="61">
        <f t="shared" si="2680"/>
        <v>5.9239351290728326</v>
      </c>
      <c r="GB506" s="284">
        <f>SUM(GB500:GB505)</f>
        <v>9368.2999999999975</v>
      </c>
      <c r="GC506" s="61">
        <f t="shared" si="2681"/>
        <v>2.01674815694044</v>
      </c>
      <c r="GD506" s="284">
        <f>SUM(GD500:GD505)</f>
        <v>10005</v>
      </c>
      <c r="GE506" s="61">
        <f t="shared" si="2682"/>
        <v>6.7963237727229453</v>
      </c>
      <c r="GF506" s="284">
        <f>SUM(GF500:GF505)</f>
        <v>10393</v>
      </c>
      <c r="GG506" s="61">
        <f t="shared" si="2682"/>
        <v>3.8780609695152402</v>
      </c>
      <c r="GH506" s="284">
        <f>SUM(GH500:GH505)</f>
        <v>11561</v>
      </c>
      <c r="GI506" s="61">
        <f t="shared" si="2682"/>
        <v>11.238333493697672</v>
      </c>
      <c r="GJ506" s="284">
        <f>SUM(GJ500:GJ505)</f>
        <v>12106</v>
      </c>
      <c r="GK506" s="61">
        <f t="shared" si="2682"/>
        <v>4.7141250756854935</v>
      </c>
      <c r="GL506" s="284">
        <f>SUM(GL500:GL505)</f>
        <v>11861</v>
      </c>
      <c r="GM506" s="61">
        <f t="shared" si="2682"/>
        <v>-2.0237898562696199</v>
      </c>
      <c r="GN506" s="284">
        <f>SUM(GN500:GN505)</f>
        <v>12413</v>
      </c>
      <c r="GO506" s="61">
        <f t="shared" si="2682"/>
        <v>4.6539077649439431</v>
      </c>
      <c r="GP506" s="284">
        <f>SUM(GP500:GP505)</f>
        <v>13707.9384086887</v>
      </c>
      <c r="GQ506" s="61">
        <f t="shared" si="2682"/>
        <v>10.432114788437129</v>
      </c>
      <c r="GR506" s="284">
        <f>SUM(GR500:GR505)</f>
        <v>14950.605077084914</v>
      </c>
      <c r="GS506" s="61">
        <f t="shared" si="2682"/>
        <v>9.0653067685842359</v>
      </c>
      <c r="GT506" s="284">
        <f>SUM(GT500:GT505)</f>
        <v>15247.724682654243</v>
      </c>
      <c r="GU506" s="61">
        <f t="shared" si="2682"/>
        <v>1.987341676389609</v>
      </c>
      <c r="GV506" s="284">
        <f>SUM(GV500:GV505)</f>
        <v>15722.195235251387</v>
      </c>
      <c r="GW506" s="61">
        <f t="shared" si="2682"/>
        <v>3.1117465882427586</v>
      </c>
      <c r="GX506" s="284">
        <f>SUM(GX500:GX505)</f>
        <v>16241.283983973253</v>
      </c>
      <c r="GY506" s="61">
        <f t="shared" si="2683"/>
        <v>3.3016302173757284</v>
      </c>
      <c r="GZ506" s="61">
        <f t="shared" si="2572"/>
        <v>5.5233866559005529</v>
      </c>
      <c r="HA506" s="61"/>
      <c r="HB506" s="452"/>
      <c r="HC506"/>
      <c r="HD506"/>
      <c r="HE506"/>
      <c r="HF506"/>
      <c r="HG506"/>
      <c r="HH506"/>
    </row>
    <row r="507" spans="1:216" s="5" customFormat="1" ht="12.75" customHeight="1" x14ac:dyDescent="0.2">
      <c r="A507" s="7"/>
      <c r="B507" s="2"/>
      <c r="C507" s="65"/>
      <c r="D507" s="67"/>
      <c r="E507" s="65"/>
      <c r="F507" s="66"/>
      <c r="G507" s="65"/>
      <c r="H507" s="66"/>
      <c r="I507" s="65"/>
      <c r="J507" s="70"/>
      <c r="K507" s="65"/>
      <c r="L507" s="61"/>
      <c r="M507" s="65"/>
      <c r="N507" s="61"/>
      <c r="O507" s="65"/>
      <c r="P507" s="61"/>
      <c r="Q507" s="65"/>
      <c r="R507" s="61"/>
      <c r="S507" s="65"/>
      <c r="T507" s="61"/>
      <c r="U507" s="65"/>
      <c r="V507" s="61"/>
      <c r="W507" s="65"/>
      <c r="X507" s="61"/>
      <c r="Y507" s="65"/>
      <c r="Z507" s="61"/>
      <c r="AA507" s="65"/>
      <c r="AB507" s="61"/>
      <c r="AC507" s="65"/>
      <c r="AD507" s="61"/>
      <c r="AE507" s="65"/>
      <c r="AF507" s="61"/>
      <c r="AG507" s="65"/>
      <c r="AH507" s="61"/>
      <c r="AI507" s="65"/>
      <c r="AJ507" s="61"/>
      <c r="AK507" s="65"/>
      <c r="AL507" s="61"/>
      <c r="AM507" s="65"/>
      <c r="AN507" s="61"/>
      <c r="AO507" s="65"/>
      <c r="AP507" s="61"/>
      <c r="AQ507" s="65"/>
      <c r="AR507" s="61"/>
      <c r="AS507" s="65"/>
      <c r="AT507" s="61"/>
      <c r="AU507" s="65"/>
      <c r="AV507" s="61"/>
      <c r="AW507" s="65"/>
      <c r="AX507" s="61"/>
      <c r="AY507" s="65"/>
      <c r="AZ507" s="61"/>
      <c r="BA507" s="65"/>
      <c r="BB507" s="61"/>
      <c r="BC507" s="65"/>
      <c r="BD507" s="61"/>
      <c r="BE507" s="65"/>
      <c r="BF507" s="61"/>
      <c r="BG507" s="65"/>
      <c r="BH507" s="61"/>
      <c r="BI507" s="65"/>
      <c r="BJ507" s="61"/>
      <c r="BK507" s="65"/>
      <c r="BL507" s="61"/>
      <c r="BM507" s="65"/>
      <c r="BN507" s="61"/>
      <c r="BO507" s="65"/>
      <c r="BP507" s="61"/>
      <c r="BQ507" s="65"/>
      <c r="BR507" s="61"/>
      <c r="BS507" s="65"/>
      <c r="BT507" s="61"/>
      <c r="BU507" s="65"/>
      <c r="BV507" s="61"/>
      <c r="BW507" s="65"/>
      <c r="BX507" s="61"/>
      <c r="BY507" s="65"/>
      <c r="BZ507" s="61"/>
      <c r="CA507" s="16"/>
      <c r="CB507" s="61"/>
      <c r="CC507" s="65"/>
      <c r="CD507" s="61"/>
      <c r="CE507" s="65"/>
      <c r="CF507" s="61"/>
      <c r="CG507" s="65"/>
      <c r="CH507" s="61"/>
      <c r="CI507" s="65"/>
      <c r="CJ507" s="61"/>
      <c r="CK507" s="65"/>
      <c r="CL507" s="61"/>
      <c r="CM507" s="65"/>
      <c r="CN507" s="61"/>
      <c r="CO507" s="65"/>
      <c r="CP507" s="61"/>
      <c r="CQ507" s="65"/>
      <c r="CR507" s="61"/>
      <c r="CS507" s="65"/>
      <c r="CT507" s="61"/>
      <c r="CU507" s="65"/>
      <c r="CV507" s="61"/>
      <c r="CW507" s="65"/>
      <c r="CX507" s="61"/>
      <c r="CY507" s="65"/>
      <c r="CZ507" s="61"/>
      <c r="DA507" s="65"/>
      <c r="DB507" s="61"/>
      <c r="DC507" s="65"/>
      <c r="DD507" s="61"/>
      <c r="DE507" s="65"/>
      <c r="DF507" s="61"/>
      <c r="DG507" s="65"/>
      <c r="DH507" s="61"/>
      <c r="DI507" s="65"/>
      <c r="DJ507" s="61"/>
      <c r="DK507" s="65"/>
      <c r="DL507" s="61"/>
      <c r="DM507" s="65"/>
      <c r="DN507" s="61"/>
      <c r="DO507" s="65"/>
      <c r="DP507" s="61"/>
      <c r="DQ507" s="65"/>
      <c r="DR507" s="61"/>
      <c r="DS507" s="65"/>
      <c r="DT507" s="61"/>
      <c r="DU507" s="65"/>
      <c r="DV507" s="61"/>
      <c r="DW507" s="65"/>
      <c r="DX507" s="65"/>
      <c r="DY507" s="65"/>
      <c r="DZ507" s="61"/>
      <c r="EA507" s="65"/>
      <c r="EB507" s="61"/>
      <c r="EC507" s="65"/>
      <c r="ED507" s="61"/>
      <c r="EE507" s="65"/>
      <c r="EF507" s="61"/>
      <c r="EG507" s="65"/>
      <c r="EH507" s="61"/>
      <c r="EI507" s="65"/>
      <c r="EJ507" s="61"/>
      <c r="EK507" s="65"/>
      <c r="EL507" s="61"/>
      <c r="EM507" s="65"/>
      <c r="EN507" s="61"/>
      <c r="EO507" s="65"/>
      <c r="EP507" s="61"/>
      <c r="EQ507" s="65"/>
      <c r="ER507" s="61"/>
      <c r="ES507" s="65"/>
      <c r="ET507" s="61"/>
      <c r="EU507" s="65"/>
      <c r="EV507" s="61"/>
      <c r="EW507" s="65"/>
      <c r="EX507" s="61"/>
      <c r="EY507" s="66"/>
      <c r="EZ507" s="558"/>
      <c r="FA507" s="66"/>
      <c r="FB507" s="64"/>
      <c r="FC507" s="70"/>
      <c r="FD507" s="64"/>
      <c r="FE507" s="70"/>
      <c r="FF507" s="64"/>
      <c r="FG507" s="70"/>
      <c r="FH507" s="282"/>
      <c r="FI507" s="281"/>
      <c r="FJ507" s="282"/>
      <c r="FK507" s="281"/>
      <c r="FL507" s="282"/>
      <c r="FM507" s="283"/>
      <c r="FN507" s="282"/>
      <c r="FO507" s="283"/>
      <c r="FP507" s="65"/>
      <c r="FQ507" s="61"/>
      <c r="FR507" s="65"/>
      <c r="FS507" s="61"/>
      <c r="FT507" s="65"/>
      <c r="FU507" s="61"/>
      <c r="FV507" s="65"/>
      <c r="FW507" s="61"/>
      <c r="FX507" s="65"/>
      <c r="FY507" s="61"/>
      <c r="FZ507" s="65"/>
      <c r="GA507" s="61"/>
      <c r="GB507" s="65"/>
      <c r="GC507" s="61"/>
      <c r="GD507" s="65"/>
      <c r="GE507" s="61"/>
      <c r="GF507" s="65"/>
      <c r="GG507" s="61"/>
      <c r="GH507" s="65"/>
      <c r="GI507" s="61"/>
      <c r="GJ507" s="65"/>
      <c r="GK507" s="61"/>
      <c r="GL507" s="65"/>
      <c r="GM507" s="61"/>
      <c r="GN507" s="65"/>
      <c r="GO507" s="61"/>
      <c r="GP507" s="65"/>
      <c r="GQ507" s="61"/>
      <c r="GR507" s="65"/>
      <c r="GS507" s="61"/>
      <c r="GT507" s="65"/>
      <c r="GU507" s="61"/>
      <c r="GV507" s="65"/>
      <c r="GW507" s="61"/>
      <c r="GX507" s="65"/>
      <c r="GY507" s="61"/>
      <c r="GZ507" s="61" t="str">
        <f t="shared" si="2572"/>
        <v/>
      </c>
      <c r="HA507" s="61"/>
      <c r="HB507" s="452"/>
      <c r="HC507"/>
      <c r="HD507"/>
      <c r="HE507"/>
      <c r="HF507"/>
      <c r="HG507"/>
      <c r="HH507"/>
    </row>
    <row r="508" spans="1:216" s="5" customFormat="1" ht="12.75" customHeight="1" x14ac:dyDescent="0.2">
      <c r="A508" s="7" t="s">
        <v>616</v>
      </c>
      <c r="B508" s="63" t="s">
        <v>351</v>
      </c>
      <c r="C508" s="284">
        <v>236.6</v>
      </c>
      <c r="D508" s="67"/>
      <c r="E508" s="284">
        <v>242.32307692307688</v>
      </c>
      <c r="F508" s="66"/>
      <c r="G508" s="284">
        <v>261.5846153846154</v>
      </c>
      <c r="H508" s="66"/>
      <c r="I508" s="284">
        <v>242.02307692307693</v>
      </c>
      <c r="J508" s="70"/>
      <c r="K508" s="284">
        <v>231.28461538461534</v>
      </c>
      <c r="L508" s="61">
        <f>IF(ISERROR((K508/C508-1)*100),"NA",IF(((K508/C508-1)*100)&gt;100,"NM",IF(((K508/C508-1)*100)&lt;-50,"NM",(K508/C508-1)*100)))</f>
        <v>-2.2465699980493081</v>
      </c>
      <c r="M508" s="284">
        <v>213.64615384615399</v>
      </c>
      <c r="N508" s="61">
        <f>IF(ISERROR((M508/E508-1)*100),"NA",IF(((M508/E508-1)*100)&gt;100,"NM",IF(((M508/E508-1)*100)&lt;-50,"NM",(M508/E508-1)*100)))</f>
        <v>-11.834169259094585</v>
      </c>
      <c r="O508" s="284">
        <v>175.02307692307693</v>
      </c>
      <c r="P508" s="61">
        <f>IF(ISERROR((O508/G508-1)*100),"NA",IF(((O508/G508-1)*100)&gt;100,"NM",IF(((O508/G508-1)*100)&lt;-50,"NM",(O508/G508-1)*100)))</f>
        <v>-33.091219196612364</v>
      </c>
      <c r="Q508" s="284">
        <v>230.78461538461534</v>
      </c>
      <c r="R508" s="61">
        <f>IF(ISERROR((Q508/I508-1)*100),"NA",IF(((Q508/I508-1)*100)&gt;100,"NM",IF(((Q508/I508-1)*100)&lt;-50,"NM",(Q508/I508-1)*100)))</f>
        <v>-4.6435495661570902</v>
      </c>
      <c r="S508" s="284">
        <v>198.37692307692305</v>
      </c>
      <c r="T508" s="61">
        <f>IF(ISERROR((S508/K508-1)*100),"NA",IF(((S508/K508-1)*100)&gt;100,"NM",IF(((S508/K508-1)*100)&lt;-50,"NM",(S508/K508-1)*100)))</f>
        <v>-14.228223633884319</v>
      </c>
      <c r="U508" s="284">
        <v>150.20769230769247</v>
      </c>
      <c r="V508" s="61">
        <f>IF(ISERROR((U508/M508-1)*100),"NA",IF(((U508/M508-1)*100)&gt;100,"NM",IF(((U508/M508-1)*100)&lt;-50,"NM",(U508/M508-1)*100)))</f>
        <v>-29.69323828040611</v>
      </c>
      <c r="W508" s="284">
        <v>67.976923076923185</v>
      </c>
      <c r="X508" s="61" t="str">
        <f>IF(ISERROR((W508/O508-1)*100),"NA",IF(((W508/O508-1)*100)&gt;100,"NM",IF(((W508/O508-1)*100)&lt;-50,"NM",(W508/O508-1)*100)))</f>
        <v>NM</v>
      </c>
      <c r="Y508" s="284">
        <v>115.63846153846134</v>
      </c>
      <c r="Z508" s="61">
        <f>IF(ISERROR((Y508/Q508-1)*100),"NA",IF(((Y508/Q508-1)*100)&gt;100,"NM",IF(((Y508/Q508-1)*100)&lt;-50,"NM",(Y508/Q508-1)*100)))</f>
        <v>-49.89334044397048</v>
      </c>
      <c r="AA508" s="284">
        <v>131.92307692307713</v>
      </c>
      <c r="AB508" s="61">
        <f>IF(ISERROR((AA508/S508-1)*100),"NA",IF(((AA508/S508-1)*100)&gt;100,"NM",IF(((AA508/S508-1)*100)&lt;-50,"NM",(AA508/S508-1)*100)))</f>
        <v>-33.498778548993648</v>
      </c>
      <c r="AC508" s="284">
        <v>204.02307692307693</v>
      </c>
      <c r="AD508" s="61">
        <f>IF(ISERROR((AC508/U508-1)*100),"NA",IF(((AC508/U508-1)*100)&gt;100,"NM",IF(((AC508/U508-1)*100)&lt;-50,"NM",(AC508/U508-1)*100)))</f>
        <v>35.827316023966674</v>
      </c>
      <c r="AE508" s="284">
        <v>214.40769230769229</v>
      </c>
      <c r="AF508" s="61" t="str">
        <f>IF(ISERROR((AE508/W508-1)*100),"NA",IF(((AE508/W508-1)*100)&gt;100,"NM",IF(((AE508/W508-1)*100)&lt;-50,"NM",(AE508/W508-1)*100)))</f>
        <v>NM</v>
      </c>
      <c r="AG508" s="284">
        <v>229.8</v>
      </c>
      <c r="AH508" s="61">
        <f>IF(ISERROR((AG508/Y508-1)*100),"NA",IF(((AG508/Y508-1)*100)&gt;100,"NM",IF(((AG508/Y508-1)*100)&lt;-50,"NM",(AG508/Y508-1)*100)))</f>
        <v>98.722809818399867</v>
      </c>
      <c r="AI508" s="284">
        <v>240.16923076923081</v>
      </c>
      <c r="AJ508" s="61">
        <f>IF(ISERROR((AI508/AA508-1)*100),"NA",IF(((AI508/AA508-1)*100)&gt;100,"NM",IF(((AI508/AA508-1)*100)&lt;-50,"NM",(AI508/AA508-1)*100)))</f>
        <v>82.052478134110515</v>
      </c>
      <c r="AK508" s="284">
        <v>250.90384615384619</v>
      </c>
      <c r="AL508" s="61">
        <f>IF(ISERROR((AK508/AC508-1)*100),"NA",IF(((AK508/AC508-1)*100)&gt;100,"NM",IF(((AK508/AC508-1)*100)&lt;-50,"NM",(AK508/AC508-1)*100)))</f>
        <v>22.978169890283915</v>
      </c>
      <c r="AM508" s="284">
        <v>244.46923076923076</v>
      </c>
      <c r="AN508" s="61">
        <f>IF(ISERROR((AM508/AE508-1)*100),"NA",IF(((AM508/AE508-1)*100)&gt;100,"NM",IF(((AM508/AE508-1)*100)&lt;-50,"NM",(AM508/AE508-1)*100)))</f>
        <v>14.020736913859299</v>
      </c>
      <c r="AO508" s="284">
        <v>256.3615384615382</v>
      </c>
      <c r="AP508" s="61">
        <f>IF(ISERROR((AO508/AG508-1)*100),"NA",IF(((AO508/AG508-1)*100)&gt;100,"NM",IF(((AO508/AG508-1)*100)&lt;-50,"NM",(AO508/AG508-1)*100)))</f>
        <v>11.558545892749429</v>
      </c>
      <c r="AQ508" s="284">
        <f>+AQ497-AQ506</f>
        <v>255.04969230769234</v>
      </c>
      <c r="AR508" s="61">
        <f>IF(ISERROR((AQ508/AI508-1)*100),"NA",IF(((AQ508/AI508-1)*100)&gt;100,"NM",IF(((AQ508/AI508-1)*100)&lt;-50,"NM",(AQ508/AI508-1)*100)))</f>
        <v>6.1958234578181948</v>
      </c>
      <c r="AS508" s="284">
        <f>+AS497-AS506</f>
        <v>293.03992307692306</v>
      </c>
      <c r="AT508" s="61">
        <f>IF(ISERROR((AS508/AK508-1)*100),"NA",IF(((AS508/AK508-1)*100)&gt;100,"NM",IF(((AS508/AK508-1)*100)&lt;-50,"NM",(AS508/AK508-1)*100)))</f>
        <v>16.793715030275138</v>
      </c>
      <c r="AU508" s="284">
        <f>+AU497-AU506</f>
        <v>314.05446153846128</v>
      </c>
      <c r="AV508" s="61">
        <f t="shared" ref="AV508:AX511" si="2722">IF(ISERROR((AU508/AM508-1)*100),"NA",IF(((AU508/AM508-1)*100)&gt;100,"NM",IF(((AU508/AM508-1)*100)&lt;-50,"NM",(AU508/AM508-1)*100)))</f>
        <v>28.463799125263421</v>
      </c>
      <c r="AW508" s="284">
        <f>+AW497-AW506</f>
        <v>320.85807692307708</v>
      </c>
      <c r="AX508" s="61">
        <f t="shared" si="2722"/>
        <v>25.158430101719521</v>
      </c>
      <c r="AY508" s="284">
        <f>+AY497-AY506</f>
        <v>315.45999999999981</v>
      </c>
      <c r="AZ508" s="61">
        <f>IF(ISERROR((AY508/AQ508-1)*100),"NA",IF(((AY508/AQ508-1)*100)&gt;100,"NM",IF(((AY508/AQ508-1)*100)&lt;-50,"NM",(AY508/AQ508-1)*100)))</f>
        <v>23.685701067001631</v>
      </c>
      <c r="BA508" s="284">
        <f>+BA497-BA506</f>
        <v>398.3599999999999</v>
      </c>
      <c r="BB508" s="61">
        <f>IF(ISERROR((BA508/AS508-1)*100),"NA",IF(((BA508/AS508-1)*100)&gt;100,"NM",IF(((BA508/AS508-1)*100)&lt;-50,"NM",(BA508/AS508-1)*100)))</f>
        <v>35.940521624908527</v>
      </c>
      <c r="BC508" s="284">
        <f>+BC497-BC506</f>
        <v>402.66000000000008</v>
      </c>
      <c r="BD508" s="61">
        <f>IF(ISERROR((BC508/AU508-1)*100),"NA",IF(((BC508/AU508-1)*100)&gt;100,"NM",IF(((BC508/AU508-1)*100)&lt;-50,"NM",(BC508/AU508-1)*100)))</f>
        <v>28.213430889497992</v>
      </c>
      <c r="BE508" s="284">
        <f>+BE497-BE506</f>
        <v>420.46000000000026</v>
      </c>
      <c r="BF508" s="61">
        <f>IF(ISERROR((BE508/AW508-1)*100),"NA",IF(((BE508/AW508-1)*100)&gt;100,"NM",IF(((BE508/AW508-1)*100)&lt;-50,"NM",(BE508/AW508-1)*100)))</f>
        <v>31.04236116854926</v>
      </c>
      <c r="BG508" s="284">
        <f>+BG497-BG506</f>
        <v>429.30000000000018</v>
      </c>
      <c r="BH508" s="61">
        <f>IF(ISERROR((BG508/AY508-1)*100),"NA",IF(((BG508/AY508-1)*100)&gt;100,"NM",IF(((BG508/AY508-1)*100)&lt;-50,"NM",(BG508/AY508-1)*100)))</f>
        <v>36.086984086730631</v>
      </c>
      <c r="BI508" s="284">
        <f>+BI497-BI506</f>
        <v>431.30000000000018</v>
      </c>
      <c r="BJ508" s="61">
        <f>IF(ISERROR((BI508/BA508-1)*100),"NA",IF(((BI508/BA508-1)*100)&gt;100,"NM",IF(((BI508/BA508-1)*100)&lt;-50,"NM",(BI508/BA508-1)*100)))</f>
        <v>8.2689025002510963</v>
      </c>
      <c r="BK508" s="284">
        <f>+BK497-BK506</f>
        <v>399.89999999999986</v>
      </c>
      <c r="BL508" s="61">
        <f>IF(ISERROR((BK508/BC508-1)*100),"NA",IF(((BK508/BC508-1)*100)&gt;100,"NM",IF(((BK508/BC508-1)*100)&lt;-50,"NM",(BK508/BC508-1)*100)))</f>
        <v>-0.68544181195058229</v>
      </c>
      <c r="BM508" s="284">
        <f>+BM497-BM506</f>
        <v>357.40000000000009</v>
      </c>
      <c r="BN508" s="61">
        <f>IF(ISERROR((BM508/BE508-1)*100),"NA",IF(((BM508/BE508-1)*100)&gt;100,"NM",IF(((BM508/BE508-1)*100)&lt;-50,"NM",(BM508/BE508-1)*100)))</f>
        <v>-14.997859487228304</v>
      </c>
      <c r="BO508" s="284">
        <f>+BO497-BO506</f>
        <v>368.40000000000009</v>
      </c>
      <c r="BP508" s="61">
        <f>IF(ISERROR((BO508/BG508-1)*100),"NA",IF(((BO508/BG508-1)*100)&gt;100,"NM",IF(((BO508/BG508-1)*100)&lt;-50,"NM",(BO508/BG508-1)*100)))</f>
        <v>-14.185883997204762</v>
      </c>
      <c r="BQ508" s="284">
        <f>+BQ497-BQ506</f>
        <v>378.30000000000018</v>
      </c>
      <c r="BR508" s="61">
        <f>IF(ISERROR((BQ508/BI508-1)*100),"NA",IF(((BQ508/BI508-1)*100)&gt;100,"NM",IF(((BQ508/BI508-1)*100)&lt;-50,"NM",(BQ508/BI508-1)*100)))</f>
        <v>-12.288430326918609</v>
      </c>
      <c r="BS508" s="284">
        <f>+BS497-BS506</f>
        <v>381</v>
      </c>
      <c r="BT508" s="61">
        <f>IF(ISERROR((BS508/BK508-1)*100),"NA",IF(((BS508/BK508-1)*100)&gt;100,"NM",IF(((BS508/BK508-1)*100)&lt;-50,"NM",(BS508/BK508-1)*100)))</f>
        <v>-4.7261815453863099</v>
      </c>
      <c r="BU508" s="284">
        <f>+BU497-BU506</f>
        <v>-257.70000000000073</v>
      </c>
      <c r="BV508" s="61" t="str">
        <f>IF(ISERROR((BU508/BM508-1)*100),"NA",IF(((BU508/BM508-1)*100)&gt;100,"NM",IF(((BU508/BM508-1)*100)&lt;-50,"NM",(BU508/BM508-1)*100)))</f>
        <v>NM</v>
      </c>
      <c r="BW508" s="284">
        <f>+BW497-BW506</f>
        <v>166.00000000000045</v>
      </c>
      <c r="BX508" s="61" t="str">
        <f>IF(ISERROR((BW508/BO508-1)*100),"NA",IF(((BW508/BO508-1)*100)&gt;100,"NM",IF(((BW508/BO508-1)*100)&lt;-50,"NM",(BW508/BO508-1)*100)))</f>
        <v>NM</v>
      </c>
      <c r="BY508" s="284">
        <f>+BY497-BY506</f>
        <v>277</v>
      </c>
      <c r="BZ508" s="61">
        <f>IF(ISERROR((BY508/BQ508-1)*100),"NA",IF(((BY508/BQ508-1)*100)&gt;100,"NM",IF(((BY508/BQ508-1)*100)&lt;-50,"NM",(BY508/BQ508-1)*100)))</f>
        <v>-26.777689664287642</v>
      </c>
      <c r="CA508" s="520">
        <f>+CA497-CA506</f>
        <v>362.21000000000004</v>
      </c>
      <c r="CB508" s="61">
        <f>IF(ISERROR((CA508/BS508-1)*100),"NA",IF(((CA508/BS508-1)*100)&gt;100,"NM",IF(((CA508/BS508-1)*100)&lt;-50,"NM",(CA508/BS508-1)*100)))</f>
        <v>-4.9317585301837159</v>
      </c>
      <c r="CC508" s="284">
        <f>+CC497-CC506</f>
        <v>397.10000000000036</v>
      </c>
      <c r="CD508" s="61" t="str">
        <f>IF(ISERROR((CC508/BU508-1)*100),"NA",IF(((CC508/BU508-1)*100)&gt;100,"NM",IF(((CC508/BU508-1)*100)&lt;-50,"NM",(CC508/BU508-1)*100)))</f>
        <v>NM</v>
      </c>
      <c r="CE508" s="284">
        <f>+CE497-CE506</f>
        <v>380.40000000000009</v>
      </c>
      <c r="CF508" s="61" t="str">
        <f>IF(ISERROR((CE508/BW508-1)*100),"NA",IF(((CE508/BW508-1)*100)&gt;100,"NM",IF(((CE508/BW508-1)*100)&lt;-50,"NM",(CE508/BW508-1)*100)))</f>
        <v>NM</v>
      </c>
      <c r="CG508" s="284">
        <f>+CG497-CG506</f>
        <v>388.90000000000009</v>
      </c>
      <c r="CH508" s="61">
        <f>IF(ISERROR((CG508/BY508-1)*100),"NA",IF(((CG508/BY508-1)*100)&gt;100,"NM",IF(((CG508/BY508-1)*100)&lt;-50,"NM",(CG508/BY508-1)*100)))</f>
        <v>40.397111913357442</v>
      </c>
      <c r="CI508" s="284">
        <f>+CI497-CI506</f>
        <v>238.19999999999982</v>
      </c>
      <c r="CJ508" s="61">
        <f>IF(ISERROR((CI508/CA508-1)*100),"NA",IF(((CI508/CA508-1)*100)&gt;100,"NM",IF(((CI508/CA508-1)*100)&lt;-50,"NM",(CI508/CA508-1)*100)))</f>
        <v>-34.23704480826045</v>
      </c>
      <c r="CK508" s="284">
        <f>+CK497-CK506</f>
        <v>359.89999999999964</v>
      </c>
      <c r="CL508" s="61">
        <f>IF(ISERROR((CK508/CC508-1)*100),"NA",IF(((CK508/CC508-1)*100)&gt;100,"NM",IF(((CK508/CC508-1)*100)&lt;-50,"NM",(CK508/CC508-1)*100)))</f>
        <v>-9.3679174011585769</v>
      </c>
      <c r="CM508" s="284">
        <f>+CM497-CM506</f>
        <v>442.20000000000027</v>
      </c>
      <c r="CN508" s="61">
        <f>IF(ISERROR((CM508/CE508-1)*100),"NA",IF(((CM508/CE508-1)*100)&gt;100,"NM",IF(((CM508/CE508-1)*100)&lt;-50,"NM",(CM508/CE508-1)*100)))</f>
        <v>16.246056782334438</v>
      </c>
      <c r="CO508" s="284">
        <f>+CO497-CO506</f>
        <v>441.49999999999955</v>
      </c>
      <c r="CP508" s="61">
        <f>IF(ISERROR((CO508/CG508-1)*100),"NA",IF(((CO508/CG508-1)*100)&gt;100,"NM",IF(((CO508/CG508-1)*100)&lt;-50,"NM",(CO508/CG508-1)*100)))</f>
        <v>13.525327847775625</v>
      </c>
      <c r="CQ508" s="284">
        <f>+CQ497-CQ506</f>
        <v>406.69999999999982</v>
      </c>
      <c r="CR508" s="61">
        <f>IF(ISERROR((CQ508/CI508-1)*100),"NA",IF(((CQ508/CI508-1)*100)&gt;100,"NM",IF(((CQ508/CI508-1)*100)&lt;-50,"NM",(CQ508/CI508-1)*100)))</f>
        <v>70.738874895046251</v>
      </c>
      <c r="CS508" s="284">
        <f>+CS497-CS506</f>
        <v>369</v>
      </c>
      <c r="CT508" s="61">
        <f>IF(ISERROR((CS508/CK508-1)*100),"NA",IF(((CS508/CK508-1)*100)&gt;100,"NM",IF(((CS508/CK508-1)*100)&lt;-50,"NM",(CS508/CK508-1)*100)))</f>
        <v>2.5284801333704809</v>
      </c>
      <c r="CU508" s="284">
        <f>+CU497-CU506</f>
        <v>384</v>
      </c>
      <c r="CV508" s="61">
        <f>IF(ISERROR((CU508/CM508-1)*100),"NA",IF(((CU508/CM508-1)*100)&gt;100,"NM",IF(((CU508/CM508-1)*100)&lt;-50,"NM",(CU508/CM508-1)*100)))</f>
        <v>-13.161465400271421</v>
      </c>
      <c r="CW508" s="284">
        <f>+CW497-CW506</f>
        <v>434</v>
      </c>
      <c r="CX508" s="61">
        <f>IF(ISERROR((CW508/CO508-1)*100),"NA",IF(((CW508/CO508-1)*100)&gt;100,"NM",IF(((CW508/CO508-1)*100)&lt;-50,"NM",(CW508/CO508-1)*100)))</f>
        <v>-1.6987542468855144</v>
      </c>
      <c r="CY508" s="284">
        <f>+CY497-CY506</f>
        <v>363</v>
      </c>
      <c r="CZ508" s="61">
        <f>IF(ISERROR((CY508/CQ508-1)*100),"NA",IF(((CY508/CQ508-1)*100)&gt;100,"NM",IF(((CY508/CQ508-1)*100)&lt;-50,"NM",(CY508/CQ508-1)*100)))</f>
        <v>-10.745020899926194</v>
      </c>
      <c r="DA508" s="284">
        <f>+DA497-DA506</f>
        <v>384</v>
      </c>
      <c r="DB508" s="61">
        <f>IF(ISERROR((DA508/CS508-1)*100),"NA",IF(((DA508/CS508-1)*100)&gt;100,"NM",IF(((DA508/CS508-1)*100)&lt;-50,"NM",(DA508/CS508-1)*100)))</f>
        <v>4.0650406504065151</v>
      </c>
      <c r="DC508" s="284">
        <f>+DC497-DC506</f>
        <v>375</v>
      </c>
      <c r="DD508" s="61">
        <f>IF(ISERROR((DC508/CU508-1)*100),"NA",IF(((DC508/CU508-1)*100)&gt;100,"NM",IF(((DC508/CU508-1)*100)&lt;-50,"NM",(DC508/CU508-1)*100)))</f>
        <v>-2.34375</v>
      </c>
      <c r="DE508" s="284">
        <f>+DE497-DE506</f>
        <v>471</v>
      </c>
      <c r="DF508" s="61">
        <f>IF(ISERROR((DE508/CW508-1)*100),"NA",IF(((DE508/CW508-1)*100)&gt;100,"NM",IF(((DE508/CW508-1)*100)&lt;-50,"NM",(DE508/CW508-1)*100)))</f>
        <v>8.5253456221198185</v>
      </c>
      <c r="DG508" s="284">
        <f>+DG497-DG506</f>
        <v>487</v>
      </c>
      <c r="DH508" s="61">
        <f>IF(ISERROR((DG508/CY508-1)*100),"NA",IF(((DG508/CY508-1)*100)&gt;100,"NM",IF(((DG508/CY508-1)*100)&lt;-50,"NM",(DG508/CY508-1)*100)))</f>
        <v>34.15977961432506</v>
      </c>
      <c r="DI508" s="284">
        <f>+DI497-DI506</f>
        <v>513</v>
      </c>
      <c r="DJ508" s="61">
        <f>IF(ISERROR((DI508/DA508-1)*100),"NA",IF(((DI508/DA508-1)*100)&gt;100,"NM",IF(((DI508/DA508-1)*100)&lt;-50,"NM",(DI508/DA508-1)*100)))</f>
        <v>33.59375</v>
      </c>
      <c r="DK508" s="284">
        <f>+DK497-DK506</f>
        <v>480</v>
      </c>
      <c r="DL508" s="61">
        <f>IF(ISERROR((DK508/DC508-1)*100),"NA",IF(((DK508/DC508-1)*100)&gt;100,"NM",IF(((DK508/DC508-1)*100)&lt;-50,"NM",(DK508/DC508-1)*100)))</f>
        <v>28.000000000000004</v>
      </c>
      <c r="DM508" s="284">
        <f>+DM497-DM506</f>
        <v>533</v>
      </c>
      <c r="DN508" s="130">
        <f t="shared" ref="DN508:DZ511" si="2723">IF(ISERROR((DM508/DE508-1)*100),"NA",IF(((DM508/DE508-1)*100)&gt;100,"NM",IF(((DM508/DE508-1)*100)&lt;-50,"NM",(DM508/DE508-1)*100)))</f>
        <v>13.163481953290868</v>
      </c>
      <c r="DO508" s="284">
        <f>+DO497-DO506</f>
        <v>565</v>
      </c>
      <c r="DP508" s="130">
        <f t="shared" si="2723"/>
        <v>16.016427104722798</v>
      </c>
      <c r="DQ508" s="284">
        <f>+DQ497-DQ506</f>
        <v>577</v>
      </c>
      <c r="DR508" s="130">
        <f t="shared" si="2723"/>
        <v>12.475633528265107</v>
      </c>
      <c r="DS508" s="284">
        <f>+DS497-DS506</f>
        <v>443</v>
      </c>
      <c r="DT508" s="130">
        <f t="shared" si="2723"/>
        <v>-7.7083333333333286</v>
      </c>
      <c r="DU508" s="284">
        <f>+DU497-DU506</f>
        <v>490</v>
      </c>
      <c r="DV508" s="130">
        <f t="shared" si="2723"/>
        <v>-8.0675422138836836</v>
      </c>
      <c r="DW508" s="284">
        <f>+DW497-DW506</f>
        <v>357</v>
      </c>
      <c r="DX508" s="284">
        <f t="shared" ref="DX508:DY508" si="2724">+DX497-DX506</f>
        <v>357</v>
      </c>
      <c r="DY508" s="284">
        <f t="shared" si="2724"/>
        <v>504</v>
      </c>
      <c r="DZ508" s="130">
        <f t="shared" si="2723"/>
        <v>-12.651646447140386</v>
      </c>
      <c r="EA508" s="284">
        <f t="shared" ref="EA508:EC508" si="2725">+EA497-EA506</f>
        <v>390</v>
      </c>
      <c r="EB508" s="130">
        <f t="shared" ref="EB508:EB511" si="2726">IF(ISERROR((EA508/DS508-1)*100),"NA",IF(((EA508/DS508-1)*100)&gt;100,"NM",IF(((EA508/DS508-1)*100)&lt;-50,"NM",(EA508/DS508-1)*100)))</f>
        <v>-11.963882618510159</v>
      </c>
      <c r="EC508" s="284">
        <f t="shared" si="2725"/>
        <v>489</v>
      </c>
      <c r="ED508" s="130">
        <f t="shared" ref="ED508:ED511" si="2727">IF(ISERROR((EC508/DU508-1)*100),"NA",IF(((EC508/DU508-1)*100)&gt;100,"NM",IF(((EC508/DU508-1)*100)&lt;-50,"NM",(EC508/DU508-1)*100)))</f>
        <v>-0.20408163265306367</v>
      </c>
      <c r="EE508" s="284">
        <f t="shared" ref="EE508:EG508" si="2728">+EE497-EE506</f>
        <v>571</v>
      </c>
      <c r="EF508" s="130">
        <f t="shared" ref="EF508:EF511" si="2729">IF(ISERROR((EE508/DW508-1)*100),"NA",IF(((EE508/DW508-1)*100)&gt;100,"NM",IF(((EE508/DW508-1)*100)&lt;-50,"NM",(EE508/DW508-1)*100)))</f>
        <v>59.943977591036422</v>
      </c>
      <c r="EG508" s="284">
        <f t="shared" si="2728"/>
        <v>533</v>
      </c>
      <c r="EH508" s="130">
        <f t="shared" ref="EH508:EH511" si="2730">IF(ISERROR((EG508/DY508-1)*100),"NA",IF(((EG508/DY508-1)*100)&gt;100,"NM",IF(((EG508/DY508-1)*100)&lt;-50,"NM",(EG508/DY508-1)*100)))</f>
        <v>5.7539682539682557</v>
      </c>
      <c r="EI508" s="284">
        <f t="shared" ref="EI508:EK508" si="2731">+EI497-EI506</f>
        <v>485</v>
      </c>
      <c r="EJ508" s="130">
        <f t="shared" ref="EJ508:EJ511" si="2732">IF(ISERROR((EI508/EA508-1)*100),"NA",IF(((EI508/EA508-1)*100)&gt;100,"NM",IF(((EI508/EA508-1)*100)&lt;-50,"NM",(EI508/EA508-1)*100)))</f>
        <v>24.358974358974361</v>
      </c>
      <c r="EK508" s="284">
        <f t="shared" si="2731"/>
        <v>544</v>
      </c>
      <c r="EL508" s="130">
        <f t="shared" ref="EL508:EL511" si="2733">IF(ISERROR((EK508/EC508-1)*100),"NA",IF(((EK508/EC508-1)*100)&gt;100,"NM",IF(((EK508/EC508-1)*100)&lt;-50,"NM",(EK508/EC508-1)*100)))</f>
        <v>11.247443762781195</v>
      </c>
      <c r="EM508" s="284">
        <f t="shared" ref="EM508" si="2734">+EM497-EM506</f>
        <v>566</v>
      </c>
      <c r="EN508" s="130">
        <f t="shared" ref="EN508:EN511" si="2735">IF(ISERROR((EM508/EE508-1)*100),"NA",IF(((EM508/EE508-1)*100)&gt;100,"NM",IF(((EM508/EE508-1)*100)&lt;-50,"NM",(EM508/EE508-1)*100)))</f>
        <v>-0.87565674255691839</v>
      </c>
      <c r="EO508" s="284">
        <f t="shared" ref="EO508" si="2736">+EO497-EO506</f>
        <v>581</v>
      </c>
      <c r="EP508" s="130">
        <f t="shared" ref="EP508:EP511" si="2737">IF(ISERROR((EO508/EG508-1)*100),"NA",IF(((EO508/EG508-1)*100)&gt;100,"NM",IF(((EO508/EG508-1)*100)&lt;-50,"NM",(EO508/EG508-1)*100)))</f>
        <v>9.0056285178236486</v>
      </c>
      <c r="EQ508" s="284">
        <f t="shared" ref="EQ508:EW508" si="2738">+EQ497-EQ506</f>
        <v>513.30883526702019</v>
      </c>
      <c r="ER508" s="130">
        <f t="shared" ref="ER508:ER511" si="2739">IF(ISERROR((EQ508/EI508-1)*100),"NA",IF(((EQ508/EI508-1)*100)&gt;100,"NM",IF(((EQ508/EI508-1)*100)&lt;-50,"NM",(EQ508/EI508-1)*100)))</f>
        <v>5.8368732509320065</v>
      </c>
      <c r="ES508" s="284">
        <f t="shared" si="2738"/>
        <v>547.8687458320428</v>
      </c>
      <c r="ET508" s="130">
        <f t="shared" ref="ET508:ET511" si="2740">IF(ISERROR((ES508/EK508-1)*100),"NA",IF(((ES508/EK508-1)*100)&gt;100,"NM",IF(((ES508/EK508-1)*100)&lt;-50,"NM",(ES508/EK508-1)*100)))</f>
        <v>0.7111665132431666</v>
      </c>
      <c r="EU508" s="284">
        <f t="shared" si="2738"/>
        <v>571.16449338643679</v>
      </c>
      <c r="EV508" s="130">
        <f t="shared" ref="EV508:EV511" si="2741">IF(ISERROR((EU508/EM508-1)*100),"NA",IF(((EU508/EM508-1)*100)&gt;100,"NM",IF(((EU508/EM508-1)*100)&lt;-50,"NM",(EU508/EM508-1)*100)))</f>
        <v>0.91245466191463009</v>
      </c>
      <c r="EW508" s="284">
        <f t="shared" si="2738"/>
        <v>587.709278871077</v>
      </c>
      <c r="EX508" s="130">
        <f t="shared" ref="EX508:EX511" si="2742">IF(ISERROR((EW508/EO508-1)*100),"NA",IF(((EW508/EO508-1)*100)&gt;100,"NM",IF(((EW508/EO508-1)*100)&lt;-50,"NM",(EW508/EO508-1)*100)))</f>
        <v>1.154781217052836</v>
      </c>
      <c r="EY508" s="66"/>
      <c r="EZ508" s="558"/>
      <c r="FA508" s="66"/>
      <c r="FB508" s="64"/>
      <c r="FC508" s="70"/>
      <c r="FD508" s="64"/>
      <c r="FE508" s="70"/>
      <c r="FF508" s="64"/>
      <c r="FG508" s="70"/>
      <c r="FH508" s="285">
        <v>850.13846153846134</v>
      </c>
      <c r="FI508" s="281" t="s">
        <v>101</v>
      </c>
      <c r="FJ508" s="285">
        <v>532.5</v>
      </c>
      <c r="FK508" s="281">
        <v>-37.363144465154988</v>
      </c>
      <c r="FL508" s="285">
        <v>780.20769230769292</v>
      </c>
      <c r="FM508" s="283">
        <v>46.517876489707596</v>
      </c>
      <c r="FN508" s="285">
        <v>992.07384615384581</v>
      </c>
      <c r="FO508" s="283">
        <v>27.155096769104723</v>
      </c>
      <c r="FP508" s="284">
        <f>+FP497-FP506</f>
        <v>1440.6441538461531</v>
      </c>
      <c r="FQ508" s="61">
        <f>IF(ISERROR((FP508/FN508-1)*100),"NA",IF(((FP508/FN508-1)*100)&gt;100,"NM",IF(((FP508/FN508-1)*100)&lt;-50,"NM",(FP508/FN508-1)*100)))</f>
        <v>45.215415105575254</v>
      </c>
      <c r="FR508" s="284">
        <f>+FR497-FR506</f>
        <v>1604.0015384615372</v>
      </c>
      <c r="FS508" s="61">
        <f>IF(ISERROR((FR508/FP508-1)*100),"NA",IF(((FR508/FP508-1)*100)&gt;100,"NM",IF(((FR508/FP508-1)*100)&lt;-50,"NM",(FR508/FP508-1)*100)))</f>
        <v>11.339190471100125</v>
      </c>
      <c r="FT508" s="284">
        <f>+FT497-FT506</f>
        <v>1750.5461538461532</v>
      </c>
      <c r="FU508" s="61">
        <f>IF(ISERROR((FT508/FR508-1)*100),"NA",IF(((FT508/FR508-1)*100)&gt;100,"NM",IF(((FT508/FR508-1)*100)&lt;-50,"NM",(FT508/FR508-1)*100)))</f>
        <v>9.1361892037318704</v>
      </c>
      <c r="FV508" s="284">
        <f>+FV497-FV506</f>
        <v>889.13846153846316</v>
      </c>
      <c r="FW508" s="61">
        <f>IF(ISERROR((FV508/FT508-1)*100),"NA",IF(((FV508/FT508-1)*100)&gt;100,"NM",IF(((FV508/FT508-1)*100)&lt;-50,"NM",(FV508/FT508-1)*100)))</f>
        <v>-49.207939500199828</v>
      </c>
      <c r="FX508" s="284">
        <f>+FX497-FX506</f>
        <v>1030.7869230769229</v>
      </c>
      <c r="FY508" s="61">
        <f>IF(ISERROR((FX508/FV508-1)*100),"NA",IF(((FX508/FV508-1)*100)&gt;100,"NM",IF(((FX508/FV508-1)*100)&lt;-50,"NM",(FX508/FV508-1)*100)))</f>
        <v>15.930978994359046</v>
      </c>
      <c r="FZ508" s="284">
        <f>+FZ497-FZ506</f>
        <v>1367.3999999999996</v>
      </c>
      <c r="GA508" s="61">
        <f>IF(ISERROR((FZ508/FX508-1)*100),"NA",IF(((FZ508/FX508-1)*100)&gt;100,"NM",IF(((FZ508/FX508-1)*100)&lt;-50,"NM",(FZ508/FX508-1)*100)))</f>
        <v>32.655932025047306</v>
      </c>
      <c r="GB508" s="284">
        <f>+GB497-GB506</f>
        <v>1659.3999999999996</v>
      </c>
      <c r="GC508" s="61">
        <f>IF(ISERROR((GB508/FZ508-1)*100),"NA",IF(((GB508/FZ508-1)*100)&gt;100,"NM",IF(((GB508/FZ508-1)*100)&lt;-50,"NM",(GB508/FZ508-1)*100)))</f>
        <v>21.354395202574228</v>
      </c>
      <c r="GD508" s="284">
        <f>+GD497-GD506</f>
        <v>1565</v>
      </c>
      <c r="GE508" s="61">
        <f>IF(ISERROR((GD508/GB508-1)*100),"NA",IF(((GD508/GB508-1)*100)&gt;100,"NM",IF(((GD508/GB508-1)*100)&lt;-50,"NM",(GD508/GB508-1)*100)))</f>
        <v>-5.6888031818729479</v>
      </c>
      <c r="GF508" s="284">
        <f>+GF497-GF506</f>
        <v>1846</v>
      </c>
      <c r="GG508" s="61">
        <f>IF(ISERROR((GF508/GD508-1)*100),"NA",IF(((GF508/GD508-1)*100)&gt;100,"NM",IF(((GF508/GD508-1)*100)&lt;-50,"NM",(GF508/GD508-1)*100)))</f>
        <v>17.955271565495213</v>
      </c>
      <c r="GH508" s="284">
        <f>+GH497-GH506</f>
        <v>2155</v>
      </c>
      <c r="GI508" s="61">
        <f>IF(ISERROR((GH508/GF508-1)*100),"NA",IF(((GH508/GF508-1)*100)&gt;100,"NM",IF(((GH508/GF508-1)*100)&lt;-50,"NM",(GH508/GF508-1)*100)))</f>
        <v>16.738894907908985</v>
      </c>
      <c r="GJ508" s="284">
        <f>+GJ497-GJ506</f>
        <v>1794</v>
      </c>
      <c r="GK508" s="61">
        <f>IF(ISERROR((GJ508/GH508-1)*100),"NA",IF(((GJ508/GH508-1)*100)&gt;100,"NM",IF(((GJ508/GH508-1)*100)&lt;-50,"NM",(GJ508/GH508-1)*100)))</f>
        <v>-16.751740139211137</v>
      </c>
      <c r="GL508" s="284">
        <f>+GL497-GL506</f>
        <v>1983</v>
      </c>
      <c r="GM508" s="61">
        <f>IF(ISERROR((GL508/GJ508-1)*100),"NA",IF(((GL508/GJ508-1)*100)&gt;100,"NM",IF(((GL508/GJ508-1)*100)&lt;-50,"NM",(GL508/GJ508-1)*100)))</f>
        <v>10.53511705685619</v>
      </c>
      <c r="GN508" s="284">
        <f>+GN497-GN506</f>
        <v>2176</v>
      </c>
      <c r="GO508" s="61">
        <f>IF(ISERROR((GN508/GL508-1)*100),"NA",IF(((GN508/GL508-1)*100)&gt;100,"NM",IF(((GN508/GL508-1)*100)&lt;-50,"NM",(GN508/GL508-1)*100)))</f>
        <v>9.7327281896117057</v>
      </c>
      <c r="GP508" s="284">
        <f>+GP497-GP506</f>
        <v>2220.0513533565754</v>
      </c>
      <c r="GQ508" s="61">
        <f>IF(ISERROR((GP508/GN508-1)*100),"NA",IF(((GP508/GN508-1)*100)&gt;100,"NM",IF(((GP508/GN508-1)*100)&lt;-50,"NM",(GP508/GN508-1)*100)))</f>
        <v>2.0244188123426099</v>
      </c>
      <c r="GR508" s="284">
        <f>+GR497-GR506</f>
        <v>2389.0174005591289</v>
      </c>
      <c r="GS508" s="61">
        <f>IF(ISERROR((GR508/GP508-1)*100),"NA",IF(((GR508/GP508-1)*100)&gt;100,"NM",IF(((GR508/GP508-1)*100)&lt;-50,"NM",(GR508/GP508-1)*100)))</f>
        <v>7.6109071507326931</v>
      </c>
      <c r="GT508" s="284">
        <f>+GT497-GT506</f>
        <v>2626.0975665901278</v>
      </c>
      <c r="GU508" s="61">
        <f>IF(ISERROR((GT508/GR508-1)*100),"NA",IF(((GT508/GR508-1)*100)&gt;100,"NM",IF(((GT508/GR508-1)*100)&lt;-50,"NM",(GT508/GR508-1)*100)))</f>
        <v>9.9237521658700487</v>
      </c>
      <c r="GV508" s="284">
        <f>+GV497-GV506</f>
        <v>2757.1901789678268</v>
      </c>
      <c r="GW508" s="61">
        <f>IF(ISERROR((GV508/GT508-1)*100),"NA",IF(((GV508/GT508-1)*100)&gt;100,"NM",IF(((GV508/GT508-1)*100)&lt;-50,"NM",(GV508/GT508-1)*100)))</f>
        <v>4.9919170576711247</v>
      </c>
      <c r="GX508" s="284">
        <f>+GX497-GX506</f>
        <v>2901.5741790132397</v>
      </c>
      <c r="GY508" s="61">
        <f>IF(ISERROR((GX508/GV508-1)*100),"NA",IF(((GX508/GV508-1)*100)&gt;100,"NM",IF(((GX508/GV508-1)*100)&lt;-50,"NM",(GX508/GV508-1)*100)))</f>
        <v>5.2366355120075259</v>
      </c>
      <c r="GZ508" s="61">
        <f t="shared" si="2572"/>
        <v>5.9241426137212505</v>
      </c>
      <c r="HA508" s="61"/>
      <c r="HB508" s="452"/>
      <c r="HC508"/>
      <c r="HD508"/>
      <c r="HE508"/>
      <c r="HF508"/>
      <c r="HG508"/>
      <c r="HH508"/>
    </row>
    <row r="509" spans="1:216" s="7" customFormat="1" ht="12.75" customHeight="1" x14ac:dyDescent="0.2">
      <c r="B509" s="2" t="s">
        <v>115</v>
      </c>
      <c r="C509" s="64">
        <v>66.3</v>
      </c>
      <c r="D509" s="67"/>
      <c r="E509" s="64">
        <v>69.223076923076931</v>
      </c>
      <c r="F509" s="66"/>
      <c r="G509" s="64">
        <v>70.884615384615387</v>
      </c>
      <c r="H509" s="66"/>
      <c r="I509" s="64">
        <v>57.033076923076912</v>
      </c>
      <c r="J509" s="70"/>
      <c r="K509" s="64">
        <v>63.88461538461538</v>
      </c>
      <c r="L509" s="61">
        <f>IF(ISERROR((K509/C509-1)*100),"NA",IF(((K509/C509-1)*100)&gt;100,"NM",IF(((K509/C509-1)*100)&lt;-50,"NM",(K509/C509-1)*100)))</f>
        <v>-3.6431140503538684</v>
      </c>
      <c r="M509" s="64">
        <v>56.346153846153854</v>
      </c>
      <c r="N509" s="61">
        <f>IF(ISERROR((M509/E509-1)*100),"NA",IF(((M509/E509-1)*100)&gt;100,"NM",IF(((M509/E509-1)*100)&lt;-50,"NM",(M509/E509-1)*100)))</f>
        <v>-18.602066896321812</v>
      </c>
      <c r="O509" s="64">
        <v>41.023076923076928</v>
      </c>
      <c r="P509" s="61">
        <f>IF(ISERROR((O509/G509-1)*100),"NA",IF(((O509/G509-1)*100)&gt;100,"NM",IF(((O509/G509-1)*100)&lt;-50,"NM",(O509/G509-1)*100)))</f>
        <v>-42.126966901790553</v>
      </c>
      <c r="Q509" s="64">
        <v>44.184615384615384</v>
      </c>
      <c r="R509" s="61">
        <f>IF(ISERROR((Q509/I509-1)*100),"NA",IF(((Q509/I509-1)*100)&gt;100,"NM",IF(((Q509/I509-1)*100)&lt;-50,"NM",(Q509/I509-1)*100)))</f>
        <v>-22.528087614474714</v>
      </c>
      <c r="S509" s="64">
        <v>45.276923076923076</v>
      </c>
      <c r="T509" s="61">
        <f>IF(ISERROR((S509/K509-1)*100),"NA",IF(((S509/K509-1)*100)&gt;100,"NM",IF(((S509/K509-1)*100)&lt;-50,"NM",(S509/K509-1)*100)))</f>
        <v>-29.127031908488853</v>
      </c>
      <c r="U509" s="64">
        <v>34.207692307692312</v>
      </c>
      <c r="V509" s="61">
        <f>IF(ISERROR((U509/M509-1)*100),"NA",IF(((U509/M509-1)*100)&gt;100,"NM",IF(((U509/M509-1)*100)&lt;-50,"NM",(U509/M509-1)*100)))</f>
        <v>-39.290102389078498</v>
      </c>
      <c r="W509" s="64">
        <v>5.4769230769230788</v>
      </c>
      <c r="X509" s="61" t="str">
        <f>IF(ISERROR((W509/O509-1)*100),"NA",IF(((W509/O509-1)*100)&gt;100,"NM",IF(((W509/O509-1)*100)&lt;-50,"NM",(W509/O509-1)*100)))</f>
        <v>NM</v>
      </c>
      <c r="Y509" s="64">
        <v>15.538461538461538</v>
      </c>
      <c r="Z509" s="61" t="str">
        <f>IF(ISERROR((Y509/Q509-1)*100),"NA",IF(((Y509/Q509-1)*100)&gt;100,"NM",IF(((Y509/Q509-1)*100)&lt;-50,"NM",(Y509/Q509-1)*100)))</f>
        <v>NM</v>
      </c>
      <c r="AA509" s="64">
        <v>27.223076923076924</v>
      </c>
      <c r="AB509" s="61">
        <f>IF(ISERROR((AA509/S509-1)*100),"NA",IF(((AA509/S509-1)*100)&gt;100,"NM",IF(((AA509/S509-1)*100)&lt;-50,"NM",(AA509/S509-1)*100)))</f>
        <v>-39.874277947672439</v>
      </c>
      <c r="AC509" s="64">
        <v>50.723076923076917</v>
      </c>
      <c r="AD509" s="61">
        <f>IF(ISERROR((AC509/U509-1)*100),"NA",IF(((AC509/U509-1)*100)&gt;100,"NM",IF(((AC509/U509-1)*100)&lt;-50,"NM",(AC509/U509-1)*100)))</f>
        <v>48.279739149988707</v>
      </c>
      <c r="AE509" s="64">
        <v>58.307692307692307</v>
      </c>
      <c r="AF509" s="61" t="str">
        <f>IF(ISERROR((AE509/W509-1)*100),"NA",IF(((AE509/W509-1)*100)&gt;100,"NM",IF(((AE509/W509-1)*100)&lt;-50,"NM",(AE509/W509-1)*100)))</f>
        <v>NM</v>
      </c>
      <c r="AG509" s="64">
        <v>51.1</v>
      </c>
      <c r="AH509" s="61" t="str">
        <f>IF(ISERROR((AG509/Y509-1)*100),"NA",IF(((AG509/Y509-1)*100)&gt;100,"NM",IF(((AG509/Y509-1)*100)&lt;-50,"NM",(AG509/Y509-1)*100)))</f>
        <v>NM</v>
      </c>
      <c r="AI509" s="64">
        <v>64.769230769230759</v>
      </c>
      <c r="AJ509" s="61" t="str">
        <f>IF(ISERROR((AI509/AA509-1)*100),"NA",IF(((AI509/AA509-1)*100)&gt;100,"NM",IF(((AI509/AA509-1)*100)&lt;-50,"NM",(AI509/AA509-1)*100)))</f>
        <v>NM</v>
      </c>
      <c r="AK509" s="64">
        <v>69.753846153846169</v>
      </c>
      <c r="AL509" s="61">
        <f>IF(ISERROR((AK509/AC509-1)*100),"NA",IF(((AK509/AC509-1)*100)&gt;100,"NM",IF(((AK509/AC509-1)*100)&lt;-50,"NM",(AK509/AC509-1)*100)))</f>
        <v>37.518956627236918</v>
      </c>
      <c r="AM509" s="64">
        <v>66.169230769230779</v>
      </c>
      <c r="AN509" s="61">
        <f>IF(ISERROR((AM509/AE509-1)*100),"NA",IF(((AM509/AE509-1)*100)&gt;100,"NM",IF(((AM509/AE509-1)*100)&lt;-50,"NM",(AM509/AE509-1)*100)))</f>
        <v>13.482849604221659</v>
      </c>
      <c r="AO509" s="64">
        <v>66.491538461538454</v>
      </c>
      <c r="AP509" s="61">
        <f>IF(ISERROR((AO509/AG509-1)*100),"NA",IF(((AO509/AG509-1)*100)&gt;100,"NM",IF(((AO509/AG509-1)*100)&lt;-50,"NM",(AO509/AG509-1)*100)))</f>
        <v>30.120427517687776</v>
      </c>
      <c r="AQ509" s="65">
        <f>+AQ271+AQ114+AQ426+AQ392+((AQ482/0.65)*0.35)</f>
        <v>43.407692307692301</v>
      </c>
      <c r="AR509" s="61">
        <f>IF(ISERROR((AQ509/AI509-1)*100),"NA",IF(((AQ509/AI509-1)*100)&gt;100,"NM",IF(((AQ509/AI509-1)*100)&lt;-50,"NM",(AQ509/AI509-1)*100)))</f>
        <v>-32.980997624703093</v>
      </c>
      <c r="AS509" s="65">
        <f>+AS271+AS114+AS426+AS392+((AS482/0.65)*0.35)</f>
        <v>51.676923076923075</v>
      </c>
      <c r="AT509" s="61">
        <f>IF(ISERROR((AS509/AK509-1)*100),"NA",IF(((AS509/AK509-1)*100)&gt;100,"NM",IF(((AS509/AK509-1)*100)&lt;-50,"NM",(AS509/AK509-1)*100)))</f>
        <v>-25.91530657256288</v>
      </c>
      <c r="AU509" s="65">
        <f>+AU271+AU114+AU426+AU392+((AU482/0.65)*0.35)</f>
        <v>63.838461538461551</v>
      </c>
      <c r="AV509" s="61">
        <f t="shared" si="2722"/>
        <v>-3.5224366426412357</v>
      </c>
      <c r="AW509" s="65">
        <f>+AW271+AW114+AW426+AW392+((AW482/0.65)*0.35)</f>
        <v>64.123076923076923</v>
      </c>
      <c r="AX509" s="61">
        <f t="shared" si="2722"/>
        <v>-3.5620495378243522</v>
      </c>
      <c r="AY509" s="65">
        <f>+AY271+AY114+AY426+AY392+((AY482/0.297)*0.297)</f>
        <v>68.5</v>
      </c>
      <c r="AZ509" s="61">
        <f>IF(ISERROR((AY509/AQ509-1)*100),"NA",IF(((AY509/AQ509-1)*100)&gt;100,"NM",IF(((AY509/AQ509-1)*100)&lt;-50,"NM",(AY509/AQ509-1)*100)))</f>
        <v>57.80613149034204</v>
      </c>
      <c r="BA509" s="65">
        <f>+BA271+BA114+BA426+BA392+((BA482/0.297)*0.297)</f>
        <v>74.900000000000006</v>
      </c>
      <c r="BB509" s="61">
        <f>IF(ISERROR((BA509/AS509-1)*100),"NA",IF(((BA509/AS509-1)*100)&gt;100,"NM",IF(((BA509/AS509-1)*100)&lt;-50,"NM",(BA509/AS509-1)*100)))</f>
        <v>44.938969931527261</v>
      </c>
      <c r="BC509" s="65">
        <f>+BC271+BC114+BC426+BC392+((BC482/0.297)*0.297)</f>
        <v>44.900000000000006</v>
      </c>
      <c r="BD509" s="61">
        <f>IF(ISERROR((BC509/AU509-1)*100),"NA",IF(((BC509/AU509-1)*100)&gt;100,"NM",IF(((BC509/AU509-1)*100)&lt;-50,"NM",(BC509/AU509-1)*100)))</f>
        <v>-29.66622484636704</v>
      </c>
      <c r="BE509" s="65">
        <f>+BE271+BE114+BE426+BE392+((BE482/0.297)*0.297)</f>
        <v>60.000000000000028</v>
      </c>
      <c r="BF509" s="61">
        <f>IF(ISERROR((BE509/AW509-1)*100),"NA",IF(((BE509/AW509-1)*100)&gt;100,"NM",IF(((BE509/AW509-1)*100)&lt;-50,"NM",(BE509/AW509-1)*100)))</f>
        <v>-6.4299424184260605</v>
      </c>
      <c r="BG509" s="65">
        <f>+BG271+BG114+BG426+BG392+((BG482/0.297)*0.297)</f>
        <v>89.9</v>
      </c>
      <c r="BH509" s="61">
        <f>IF(ISERROR((BG509/AY509-1)*100),"NA",IF(((BG509/AY509-1)*100)&gt;100,"NM",IF(((BG509/AY509-1)*100)&lt;-50,"NM",(BG509/AY509-1)*100)))</f>
        <v>31.240875912408761</v>
      </c>
      <c r="BI509" s="65">
        <f>+BI271+BI114+BI426+BI392+((BI482/0.297)*0.297)</f>
        <v>80.699999999999989</v>
      </c>
      <c r="BJ509" s="61">
        <f>IF(ISERROR((BI509/BA509-1)*100),"NA",IF(((BI509/BA509-1)*100)&gt;100,"NM",IF(((BI509/BA509-1)*100)&lt;-50,"NM",(BI509/BA509-1)*100)))</f>
        <v>7.7436582109479124</v>
      </c>
      <c r="BK509" s="65">
        <f>+BK271+BK114+BK426+BK392+((BK482/0.297)*0.297)</f>
        <v>67.599999999999994</v>
      </c>
      <c r="BL509" s="61">
        <f>IF(ISERROR((BK509/BC509-1)*100),"NA",IF(((BK509/BC509-1)*100)&gt;100,"NM",IF(((BK509/BC509-1)*100)&lt;-50,"NM",(BK509/BC509-1)*100)))</f>
        <v>50.556792873051194</v>
      </c>
      <c r="BM509" s="65">
        <f>+BM271+BM114+BM426+BM392+((BM482/0.297)*0.297)</f>
        <v>55.90000000000002</v>
      </c>
      <c r="BN509" s="61">
        <f>IF(ISERROR((BM509/BE509-1)*100),"NA",IF(((BM509/BE509-1)*100)&gt;100,"NM",IF(((BM509/BE509-1)*100)&lt;-50,"NM",(BM509/BE509-1)*100)))</f>
        <v>-6.8333333333333464</v>
      </c>
      <c r="BO509" s="65">
        <f>+BO271+BO114+BO426+BO392+((BO482/0.297)*0.297)</f>
        <v>68.900000000000006</v>
      </c>
      <c r="BP509" s="61">
        <f>IF(ISERROR((BO509/BG509-1)*100),"NA",IF(((BO509/BG509-1)*100)&gt;100,"NM",IF(((BO509/BG509-1)*100)&lt;-50,"NM",(BO509/BG509-1)*100)))</f>
        <v>-23.359288097886544</v>
      </c>
      <c r="BQ509" s="65">
        <f>+BQ271+BQ114+BQ426+BQ392+((BQ482/0.297)*0.297)</f>
        <v>69.699999999999989</v>
      </c>
      <c r="BR509" s="61">
        <f>IF(ISERROR((BQ509/BI509-1)*100),"NA",IF(((BQ509/BI509-1)*100)&gt;100,"NM",IF(((BQ509/BI509-1)*100)&lt;-50,"NM",(BQ509/BI509-1)*100)))</f>
        <v>-13.630731102850069</v>
      </c>
      <c r="BS509" s="65">
        <f>+BS483+BS307+BS271+BS175+BS114</f>
        <v>83</v>
      </c>
      <c r="BT509" s="61">
        <f>IF(ISERROR((BS509/BK509-1)*100),"NA",IF(((BS509/BK509-1)*100)&gt;100,"NM",IF(((BS509/BK509-1)*100)&lt;-50,"NM",(BS509/BK509-1)*100)))</f>
        <v>22.781065088757412</v>
      </c>
      <c r="BU509" s="65">
        <f>+BU483+BU307+BU271+BU175+BU114</f>
        <v>-130.6</v>
      </c>
      <c r="BV509" s="61" t="str">
        <f>IF(ISERROR((BU509/BM509-1)*100),"NA",IF(((BU509/BM509-1)*100)&gt;100,"NM",IF(((BU509/BM509-1)*100)&lt;-50,"NM",(BU509/BM509-1)*100)))</f>
        <v>NM</v>
      </c>
      <c r="BW509" s="65">
        <f>+BW483+BW307+BW271+BW175+BW114</f>
        <v>2.8999999999999932</v>
      </c>
      <c r="BX509" s="61" t="str">
        <f>IF(ISERROR((BW509/BO509-1)*100),"NA",IF(((BW509/BO509-1)*100)&gt;100,"NM",IF(((BW509/BO509-1)*100)&lt;-50,"NM",(BW509/BO509-1)*100)))</f>
        <v>NM</v>
      </c>
      <c r="BY509" s="65">
        <f>+BY483+BY307+BY271+BY175+BY114</f>
        <v>69.7</v>
      </c>
      <c r="BZ509" s="61">
        <f>IF(ISERROR((BY509/BQ509-1)*100),"NA",IF(((BY509/BQ509-1)*100)&gt;100,"NM",IF(((BY509/BQ509-1)*100)&lt;-50,"NM",(BY509/BQ509-1)*100)))</f>
        <v>2.2204460492503131E-14</v>
      </c>
      <c r="CA509" s="16">
        <f>+CA483+CA307+CA271+CA175+CA114</f>
        <v>86.7</v>
      </c>
      <c r="CB509" s="61">
        <f>IF(ISERROR((CA509/BS509-1)*100),"NA",IF(((CA509/BS509-1)*100)&gt;100,"NM",IF(((CA509/BS509-1)*100)&lt;-50,"NM",(CA509/BS509-1)*100)))</f>
        <v>4.4578313253011981</v>
      </c>
      <c r="CC509" s="65">
        <f>+CC483+CC307+CC271+CC175+CC114</f>
        <v>99.9</v>
      </c>
      <c r="CD509" s="61" t="str">
        <f>IF(ISERROR((CC509/BU509-1)*100),"NA",IF(((CC509/BU509-1)*100)&gt;100,"NM",IF(((CC509/BU509-1)*100)&lt;-50,"NM",(CC509/BU509-1)*100)))</f>
        <v>NM</v>
      </c>
      <c r="CE509" s="65">
        <f>+CE483+CE307+CE271+CE175+CE114</f>
        <v>104.19999999999999</v>
      </c>
      <c r="CF509" s="61" t="str">
        <f>IF(ISERROR((CE509/BW509-1)*100),"NA",IF(((CE509/BW509-1)*100)&gt;100,"NM",IF(((CE509/BW509-1)*100)&lt;-50,"NM",(CE509/BW509-1)*100)))</f>
        <v>NM</v>
      </c>
      <c r="CG509" s="65">
        <f>+CG483+CG307+CG271+CG175+CG114</f>
        <v>98.199999999999989</v>
      </c>
      <c r="CH509" s="61">
        <f>IF(ISERROR((CG509/BY509-1)*100),"NA",IF(((CG509/BY509-1)*100)&gt;100,"NM",IF(((CG509/BY509-1)*100)&lt;-50,"NM",(CG509/BY509-1)*100)))</f>
        <v>40.889526542324226</v>
      </c>
      <c r="CI509" s="65">
        <f>+CI483+CI307+CI271+CI175+CI114</f>
        <v>32.599999999999994</v>
      </c>
      <c r="CJ509" s="61" t="str">
        <f>IF(ISERROR((CI509/CA509-1)*100),"NA",IF(((CI509/CA509-1)*100)&gt;100,"NM",IF(((CI509/CA509-1)*100)&lt;-50,"NM",(CI509/CA509-1)*100)))</f>
        <v>NM</v>
      </c>
      <c r="CK509" s="65">
        <f>+CK483+CK307+CK271+CK175+CK114</f>
        <v>94.3</v>
      </c>
      <c r="CL509" s="61">
        <f>IF(ISERROR((CK509/CC509-1)*100),"NA",IF(((CK509/CC509-1)*100)&gt;100,"NM",IF(((CK509/CC509-1)*100)&lt;-50,"NM",(CK509/CC509-1)*100)))</f>
        <v>-5.6056056056056125</v>
      </c>
      <c r="CM509" s="65">
        <f>+CM483+CM307+CM271+CM175+CM114</f>
        <v>120.30000000000001</v>
      </c>
      <c r="CN509" s="61">
        <f>IF(ISERROR((CM509/CE509-1)*100),"NA",IF(((CM509/CE509-1)*100)&gt;100,"NM",IF(((CM509/CE509-1)*100)&lt;-50,"NM",(CM509/CE509-1)*100)))</f>
        <v>15.451055662188118</v>
      </c>
      <c r="CO509" s="65">
        <f>+CO483+CO307+CO271+CO175+CO114</f>
        <v>116.6</v>
      </c>
      <c r="CP509" s="61">
        <f>IF(ISERROR((CO509/CG509-1)*100),"NA",IF(((CO509/CG509-1)*100)&gt;100,"NM",IF(((CO509/CG509-1)*100)&lt;-50,"NM",(CO509/CG509-1)*100)))</f>
        <v>18.737270875763755</v>
      </c>
      <c r="CQ509" s="65">
        <f>+CQ483+CQ307+CQ271+CQ175+CQ114</f>
        <v>83.800000000000011</v>
      </c>
      <c r="CR509" s="61" t="str">
        <f>IF(ISERROR((CQ509/CI509-1)*100),"NA",IF(((CQ509/CI509-1)*100)&gt;100,"NM",IF(((CQ509/CI509-1)*100)&lt;-50,"NM",(CQ509/CI509-1)*100)))</f>
        <v>NM</v>
      </c>
      <c r="CS509" s="65">
        <f>+CS483+CS307+CS271+CS175+CS114</f>
        <v>92</v>
      </c>
      <c r="CT509" s="61">
        <f>IF(ISERROR((CS509/CK509-1)*100),"NA",IF(((CS509/CK509-1)*100)&gt;100,"NM",IF(((CS509/CK509-1)*100)&lt;-50,"NM",(CS509/CK509-1)*100)))</f>
        <v>-2.4390243902439046</v>
      </c>
      <c r="CU509" s="65">
        <f>+CU483+CU307+CU271+CU175+CU114</f>
        <v>91</v>
      </c>
      <c r="CV509" s="61">
        <f>IF(ISERROR((CU509/CM509-1)*100),"NA",IF(((CU509/CM509-1)*100)&gt;100,"NM",IF(((CU509/CM509-1)*100)&lt;-50,"NM",(CU509/CM509-1)*100)))</f>
        <v>-24.355777223607657</v>
      </c>
      <c r="CW509" s="65">
        <f>+CW483+CW307+CW271+CW175+CW114</f>
        <v>119</v>
      </c>
      <c r="CX509" s="61">
        <f>IF(ISERROR((CW509/CO509-1)*100),"NA",IF(((CW509/CO509-1)*100)&gt;100,"NM",IF(((CW509/CO509-1)*100)&lt;-50,"NM",(CW509/CO509-1)*100)))</f>
        <v>2.0583190394511286</v>
      </c>
      <c r="CY509" s="65">
        <f>+CY483+CY307+CY271+CY175+CY114</f>
        <v>1</v>
      </c>
      <c r="CZ509" s="61" t="str">
        <f>IF(ISERROR((CY509/CQ509-1)*100),"NA",IF(((CY509/CQ509-1)*100)&gt;100,"NM",IF(((CY509/CQ509-1)*100)&lt;-50,"NM",(CY509/CQ509-1)*100)))</f>
        <v>NM</v>
      </c>
      <c r="DA509" s="65">
        <f>+DA483+DA307+DA271+DA175+DA114</f>
        <v>74</v>
      </c>
      <c r="DB509" s="61">
        <f>IF(ISERROR((DA509/CS509-1)*100),"NA",IF(((DA509/CS509-1)*100)&gt;100,"NM",IF(((DA509/CS509-1)*100)&lt;-50,"NM",(DA509/CS509-1)*100)))</f>
        <v>-19.565217391304344</v>
      </c>
      <c r="DC509" s="65">
        <f>+DC483+DC307+DC271+DC175+DC114</f>
        <v>90</v>
      </c>
      <c r="DD509" s="61">
        <f>IF(ISERROR((DC509/CU509-1)*100),"NA",IF(((DC509/CU509-1)*100)&gt;100,"NM",IF(((DC509/CU509-1)*100)&lt;-50,"NM",(DC509/CU509-1)*100)))</f>
        <v>-1.098901098901095</v>
      </c>
      <c r="DE509" s="65">
        <f>+DE483+DE307+DE271+DE175+DE114</f>
        <v>120</v>
      </c>
      <c r="DF509" s="61">
        <f>IF(ISERROR((DE509/CW509-1)*100),"NA",IF(((DE509/CW509-1)*100)&gt;100,"NM",IF(((DE509/CW509-1)*100)&lt;-50,"NM",(DE509/CW509-1)*100)))</f>
        <v>0.84033613445377853</v>
      </c>
      <c r="DG509" s="65">
        <f>+DG483+DG307+DG271+DG175+DG114</f>
        <v>120</v>
      </c>
      <c r="DH509" s="61" t="str">
        <f>IF(ISERROR((DG509/CY509-1)*100),"NA",IF(((DG509/CY509-1)*100)&gt;100,"NM",IF(((DG509/CY509-1)*100)&lt;-50,"NM",(DG509/CY509-1)*100)))</f>
        <v>NM</v>
      </c>
      <c r="DI509" s="65">
        <f>+DI483+DI307+DI271+DI175+DI114</f>
        <v>131</v>
      </c>
      <c r="DJ509" s="61">
        <f>IF(ISERROR((DI509/DA509-1)*100),"NA",IF(((DI509/DA509-1)*100)&gt;100,"NM",IF(((DI509/DA509-1)*100)&lt;-50,"NM",(DI509/DA509-1)*100)))</f>
        <v>77.027027027027017</v>
      </c>
      <c r="DK509" s="65">
        <f>+DK483+DK307+DK271+DK175+DK114</f>
        <v>116</v>
      </c>
      <c r="DL509" s="61">
        <f>IF(ISERROR((DK509/DC509-1)*100),"NA",IF(((DK509/DC509-1)*100)&gt;100,"NM",IF(((DK509/DC509-1)*100)&lt;-50,"NM",(DK509/DC509-1)*100)))</f>
        <v>28.888888888888896</v>
      </c>
      <c r="DM509" s="65">
        <f>+DM483+DM307+DM271+DM175+DM114</f>
        <v>138</v>
      </c>
      <c r="DN509" s="130">
        <f t="shared" si="2723"/>
        <v>14.999999999999991</v>
      </c>
      <c r="DO509" s="65">
        <f>+DO483+DO307+DO271+DO175+DO114</f>
        <v>149</v>
      </c>
      <c r="DP509" s="130">
        <f t="shared" si="2723"/>
        <v>24.166666666666671</v>
      </c>
      <c r="DQ509" s="65">
        <f>+DQ483+DQ307+DQ271+DQ175+DQ114</f>
        <v>137</v>
      </c>
      <c r="DR509" s="130">
        <f t="shared" si="2723"/>
        <v>4.5801526717557328</v>
      </c>
      <c r="DS509" s="65">
        <f>+DS483+DS307+DS271+DS175+DS114</f>
        <v>91</v>
      </c>
      <c r="DT509" s="130">
        <f t="shared" si="2723"/>
        <v>-21.551724137931039</v>
      </c>
      <c r="DU509" s="65">
        <f>+DU483+DU307+DU271+DU175+DU114</f>
        <v>119</v>
      </c>
      <c r="DV509" s="130">
        <f t="shared" si="2723"/>
        <v>-13.768115942028981</v>
      </c>
      <c r="DW509" s="65">
        <f>+DW483+DW307+DW271+DW175+DW114</f>
        <v>75</v>
      </c>
      <c r="DX509" s="65">
        <f t="shared" ref="DX509:DY509" si="2743">+DX483+DX307+DX271+DX175+DX114</f>
        <v>75</v>
      </c>
      <c r="DY509" s="65">
        <f t="shared" si="2743"/>
        <v>122</v>
      </c>
      <c r="DZ509" s="130">
        <f t="shared" si="2723"/>
        <v>-10.948905109489049</v>
      </c>
      <c r="EA509" s="65">
        <f t="shared" ref="EA509:EC509" si="2744">+EA483+EA307+EA271+EA175+EA114</f>
        <v>83</v>
      </c>
      <c r="EB509" s="130">
        <f t="shared" si="2726"/>
        <v>-8.7912087912087937</v>
      </c>
      <c r="EC509" s="65">
        <f t="shared" si="2744"/>
        <v>116</v>
      </c>
      <c r="ED509" s="130">
        <f t="shared" si="2727"/>
        <v>-2.5210084033613467</v>
      </c>
      <c r="EE509" s="65">
        <f t="shared" ref="EE509:EG509" si="2745">+EE483+EE307+EE271+EE175+EE114</f>
        <v>130</v>
      </c>
      <c r="EF509" s="130">
        <f t="shared" si="2729"/>
        <v>73.333333333333343</v>
      </c>
      <c r="EG509" s="65">
        <f t="shared" si="2745"/>
        <v>124</v>
      </c>
      <c r="EH509" s="130">
        <f t="shared" si="2730"/>
        <v>1.6393442622950838</v>
      </c>
      <c r="EI509" s="65">
        <f t="shared" ref="EI509:EK509" si="2746">+EI483+EI307+EI271+EI175+EI114</f>
        <v>43</v>
      </c>
      <c r="EJ509" s="130">
        <f t="shared" si="2732"/>
        <v>-48.192771084337352</v>
      </c>
      <c r="EK509" s="65">
        <f t="shared" si="2746"/>
        <v>125</v>
      </c>
      <c r="EL509" s="130">
        <f t="shared" si="2733"/>
        <v>7.7586206896551824</v>
      </c>
      <c r="EM509" s="65">
        <f t="shared" ref="EM509" si="2747">+EM483+EM307+EM271+EM175+EM114</f>
        <v>112</v>
      </c>
      <c r="EN509" s="130">
        <f t="shared" si="2735"/>
        <v>-13.846153846153841</v>
      </c>
      <c r="EO509" s="65">
        <f t="shared" ref="EO509" si="2748">+EO483+EO307+EO271+EO175+EO114</f>
        <v>141</v>
      </c>
      <c r="EP509" s="130">
        <f t="shared" si="2737"/>
        <v>13.709677419354849</v>
      </c>
      <c r="EQ509" s="65">
        <f t="shared" ref="EQ509:EW509" si="2749">+EQ483+EQ307+EQ271+EQ175+EQ114</f>
        <v>80.293443525586582</v>
      </c>
      <c r="ER509" s="130">
        <f t="shared" si="2739"/>
        <v>86.728938431596703</v>
      </c>
      <c r="ES509" s="65">
        <f t="shared" si="2749"/>
        <v>87.409525925775981</v>
      </c>
      <c r="ET509" s="130">
        <f t="shared" si="2740"/>
        <v>-30.072379259379211</v>
      </c>
      <c r="EU509" s="65">
        <f t="shared" si="2749"/>
        <v>92.027544500791578</v>
      </c>
      <c r="EV509" s="130">
        <f t="shared" si="2741"/>
        <v>-17.832549552864663</v>
      </c>
      <c r="EW509" s="65">
        <f t="shared" si="2749"/>
        <v>95.096335012550313</v>
      </c>
      <c r="EX509" s="130">
        <f t="shared" si="2742"/>
        <v>-32.555790771240908</v>
      </c>
      <c r="EY509" s="66"/>
      <c r="EZ509" s="558"/>
      <c r="FA509" s="66"/>
      <c r="FB509" s="64"/>
      <c r="FC509" s="70"/>
      <c r="FD509" s="64"/>
      <c r="FE509" s="70"/>
      <c r="FF509" s="64"/>
      <c r="FG509" s="70"/>
      <c r="FH509" s="282">
        <v>205.43846153846155</v>
      </c>
      <c r="FI509" s="281" t="s">
        <v>101</v>
      </c>
      <c r="FJ509" s="282">
        <v>100.3</v>
      </c>
      <c r="FK509" s="281" t="s">
        <v>102</v>
      </c>
      <c r="FL509" s="282">
        <v>187.40769230769232</v>
      </c>
      <c r="FM509" s="283">
        <v>86.847150855126927</v>
      </c>
      <c r="FN509" s="282">
        <v>267.15384615384613</v>
      </c>
      <c r="FO509" s="283">
        <v>42.552230841850339</v>
      </c>
      <c r="FP509" s="65">
        <f>+FP271+FP114+FP426+FP392+((FP482/0.65)*0.35)</f>
        <v>223.04615384615386</v>
      </c>
      <c r="FQ509" s="61">
        <f>IF(ISERROR((FP509/FN509-1)*100),"NA",IF(((FP509/FN509-1)*100)&gt;100,"NM",IF(((FP509/FN509-1)*100)&lt;-50,"NM",(FP509/FN509-1)*100)))</f>
        <v>-16.510221710336872</v>
      </c>
      <c r="FR509" s="65">
        <f>+FR271+FR114+FR426+FR392+((FR482/0.65)*0.35)</f>
        <v>315.36153846153843</v>
      </c>
      <c r="FS509" s="61">
        <f>IF(ISERROR((FR509/FP509-1)*100),"NA",IF(((FR509/FP509-1)*100)&gt;100,"NM",IF(((FR509/FP509-1)*100)&lt;-50,"NM",(FR509/FP509-1)*100)))</f>
        <v>41.388467374810304</v>
      </c>
      <c r="FT509" s="65">
        <f>+FT271+FT114+FT426+FT392+((FT482/0.65)*0.35)</f>
        <v>426.7461538461539</v>
      </c>
      <c r="FU509" s="61">
        <f>IF(ISERROR((FT509/FR509-1)*100),"NA",IF(((FT509/FR509-1)*100)&gt;100,"NM",IF(((FT509/FR509-1)*100)&lt;-50,"NM",(FT509/FR509-1)*100)))</f>
        <v>35.319657535917301</v>
      </c>
      <c r="FV509" s="65">
        <f>+FV271+FV114+FV426+FV392+((FV482/0.65)*0.35)</f>
        <v>110.13846153846157</v>
      </c>
      <c r="FW509" s="61" t="str">
        <f>IF(ISERROR((FV509/FT509-1)*100),"NA",IF(((FV509/FT509-1)*100)&gt;100,"NM",IF(((FV509/FT509-1)*100)&lt;-50,"NM",(FV509/FT509-1)*100)))</f>
        <v>NM</v>
      </c>
      <c r="FX509" s="65">
        <f>+FX271+FX114+FX426+FX392+((FX482/0.65)*0.35)</f>
        <v>87.67692307692306</v>
      </c>
      <c r="FY509" s="61">
        <f>IF(ISERROR((FX509/FV509-1)*100),"NA",IF(((FX509/FV509-1)*100)&gt;100,"NM",IF(((FX509/FV509-1)*100)&lt;-50,"NM",(FX509/FV509-1)*100)))</f>
        <v>-20.39390976393355</v>
      </c>
      <c r="FZ509" s="65">
        <f>+CK509+CI509+CG509+CE509</f>
        <v>329.29999999999995</v>
      </c>
      <c r="GA509" s="61" t="str">
        <f>IF(ISERROR((FZ509/FX509-1)*100),"NA",IF(((FZ509/FX509-1)*100)&gt;100,"NM",IF(((FZ509/FX509-1)*100)&lt;-50,"NM",(FZ509/FX509-1)*100)))</f>
        <v>NM</v>
      </c>
      <c r="GB509" s="65">
        <f>+CS509+CQ509+CO509+CM509</f>
        <v>412.7</v>
      </c>
      <c r="GC509" s="61">
        <f>IF(ISERROR((GB509/FZ509-1)*100),"NA",IF(((GB509/FZ509-1)*100)&gt;100,"NM",IF(((GB509/FZ509-1)*100)&lt;-50,"NM",(GB509/FZ509-1)*100)))</f>
        <v>25.326450045551184</v>
      </c>
      <c r="GD509" s="65">
        <f>+DA509+CY509+CW509+CU509</f>
        <v>285</v>
      </c>
      <c r="GE509" s="61">
        <f>IF(ISERROR((GD509/GB509-1)*100),"NA",IF(((GD509/GB509-1)*100)&gt;100,"NM",IF(((GD509/GB509-1)*100)&lt;-50,"NM",(GD509/GB509-1)*100)))</f>
        <v>-30.942573297795008</v>
      </c>
      <c r="GF509" s="65">
        <f>+DI509+DG509+DE509+DC509</f>
        <v>461</v>
      </c>
      <c r="GG509" s="61">
        <f>IF(ISERROR((GF509/GD509-1)*100),"NA",IF(((GF509/GD509-1)*100)&gt;100,"NM",IF(((GF509/GD509-1)*100)&lt;-50,"NM",(GF509/GD509-1)*100)))</f>
        <v>61.754385964912274</v>
      </c>
      <c r="GH509" s="65">
        <f>+DQ509+DO509+DM509+DK509</f>
        <v>540</v>
      </c>
      <c r="GI509" s="61">
        <f>IF(ISERROR((GH509/GF509-1)*100),"NA",IF(((GH509/GF509-1)*100)&gt;100,"NM",IF(((GH509/GF509-1)*100)&lt;-50,"NM",(GH509/GF509-1)*100)))</f>
        <v>17.136659436008685</v>
      </c>
      <c r="GJ509" s="65">
        <f>+DY509+DW509+DU509+DS509</f>
        <v>407</v>
      </c>
      <c r="GK509" s="61">
        <f>IF(ISERROR((GJ509/GH509-1)*100),"NA",IF(((GJ509/GH509-1)*100)&gt;100,"NM",IF(((GJ509/GH509-1)*100)&lt;-50,"NM",(GJ509/GH509-1)*100)))</f>
        <v>-24.629629629629633</v>
      </c>
      <c r="GL509" s="65">
        <f>+EG509+EE509+EC509+EA509</f>
        <v>453</v>
      </c>
      <c r="GM509" s="61">
        <f>IF(ISERROR((GL509/GJ509-1)*100),"NA",IF(((GL509/GJ509-1)*100)&gt;100,"NM",IF(((GL509/GJ509-1)*100)&lt;-50,"NM",(GL509/GJ509-1)*100)))</f>
        <v>11.302211302211296</v>
      </c>
      <c r="GN509" s="65">
        <f>+EO509+EM509+EK509+EI509</f>
        <v>421</v>
      </c>
      <c r="GO509" s="61">
        <f>IF(ISERROR((GN509/GL509-1)*100),"NA",IF(((GN509/GL509-1)*100)&gt;100,"NM",IF(((GN509/GL509-1)*100)&lt;-50,"NM",(GN509/GL509-1)*100)))</f>
        <v>-7.0640176600441524</v>
      </c>
      <c r="GP509" s="65">
        <f>+EW509+EU509+ES509+EQ509</f>
        <v>354.82684896470448</v>
      </c>
      <c r="GQ509" s="61">
        <f>IF(ISERROR((GP509/GN509-1)*100),"NA",IF(((GP509/GN509-1)*100)&gt;100,"NM",IF(((GP509/GN509-1)*100)&lt;-50,"NM",(GP509/GN509-1)*100)))</f>
        <v>-15.718088131899178</v>
      </c>
      <c r="GR509" s="65">
        <f>+GR483+GR307+GR271+GR175+GR114</f>
        <v>391.73688518785173</v>
      </c>
      <c r="GS509" s="61">
        <f>IF(ISERROR((GR509/GP509-1)*100),"NA",IF(((GR509/GP509-1)*100)&gt;100,"NM",IF(((GR509/GP509-1)*100)&lt;-50,"NM",(GR509/GP509-1)*100)))</f>
        <v>10.40226700173379</v>
      </c>
      <c r="GT509" s="65">
        <f>+GT483+GT307+GT271+GT175+GT114</f>
        <v>438.88806462282514</v>
      </c>
      <c r="GU509" s="61">
        <f>IF(ISERROR((GT509/GR509-1)*100),"NA",IF(((GT509/GR509-1)*100)&gt;100,"NM",IF(((GT509/GR509-1)*100)&lt;-50,"NM",(GT509/GR509-1)*100)))</f>
        <v>12.036441095497752</v>
      </c>
      <c r="GV509" s="65">
        <f>+GV483+GV307+GV271+GV175+GV114</f>
        <v>460.36647393151412</v>
      </c>
      <c r="GW509" s="61">
        <f>IF(ISERROR((GV509/GT509-1)*100),"NA",IF(((GV509/GT509-1)*100)&gt;100,"NM",IF(((GV509/GT509-1)*100)&lt;-50,"NM",(GV509/GT509-1)*100)))</f>
        <v>4.8938239701613373</v>
      </c>
      <c r="GX509" s="65">
        <f>+GX483+GX307+GX271+GX175+GX114</f>
        <v>483.90240904494794</v>
      </c>
      <c r="GY509" s="61">
        <f>IF(ISERROR((GX509/GV509-1)*100),"NA",IF(((GX509/GV509-1)*100)&gt;100,"NM",IF(((GX509/GV509-1)*100)&lt;-50,"NM",(GX509/GV509-1)*100)))</f>
        <v>5.1124346463454984</v>
      </c>
      <c r="GZ509" s="61">
        <f t="shared" si="2572"/>
        <v>2.8241522701176969</v>
      </c>
      <c r="HA509" s="61"/>
      <c r="HB509" s="452"/>
      <c r="HC509"/>
      <c r="HD509"/>
      <c r="HE509"/>
      <c r="HF509"/>
      <c r="HG509"/>
      <c r="HH509"/>
    </row>
    <row r="510" spans="1:216" s="7" customFormat="1" ht="12.75" customHeight="1" x14ac:dyDescent="0.2">
      <c r="A510" s="7" t="s">
        <v>48</v>
      </c>
      <c r="B510" s="2" t="s">
        <v>331</v>
      </c>
      <c r="C510" s="288">
        <f>+C509/C508*100</f>
        <v>28.021978021978022</v>
      </c>
      <c r="D510" s="67"/>
      <c r="E510" s="288">
        <f>+E509/E508*100</f>
        <v>28.566440226017402</v>
      </c>
      <c r="F510" s="66"/>
      <c r="G510" s="288">
        <f>+G509/G508*100</f>
        <v>27.098159148385577</v>
      </c>
      <c r="H510" s="66"/>
      <c r="I510" s="288">
        <f>+I509/I508*100</f>
        <v>23.565140005720998</v>
      </c>
      <c r="J510" s="70"/>
      <c r="K510" s="288">
        <f>+K509/K508*100</f>
        <v>27.621644992849308</v>
      </c>
      <c r="L510" s="61">
        <f>IF(ISERROR((K510/C510-1)*100),"NA",IF(((K510/C510-1)*100)&gt;100,"NM",IF(((K510/C510-1)*100)&lt;-50,"NM",(K510/C510-1)*100)))</f>
        <v>-1.4286394372828637</v>
      </c>
      <c r="M510" s="288">
        <f>+M509/M508*100</f>
        <v>26.37358680780585</v>
      </c>
      <c r="N510" s="61">
        <f>IF(ISERROR((M510/E510-1)*100),"NA",IF(((M510/E510-1)*100)&gt;100,"NM",IF(((M510/E510-1)*100)&lt;-50,"NM",(M510/E510-1)*100)))</f>
        <v>-7.6763271897433372</v>
      </c>
      <c r="O510" s="288">
        <f>+O509/O508*100</f>
        <v>23.438667428470975</v>
      </c>
      <c r="P510" s="61">
        <f>IF(ISERROR((O510/G510-1)*100),"NA",IF(((O510/G510-1)*100)&gt;100,"NM",IF(((O510/G510-1)*100)&lt;-50,"NM",(O510/G510-1)*100)))</f>
        <v>-13.504576823376668</v>
      </c>
      <c r="Q510" s="288">
        <f>+Q509/Q508*100</f>
        <v>19.145390307312848</v>
      </c>
      <c r="R510" s="61">
        <f>IF(ISERROR((Q510/I510-1)*100),"NA",IF(((Q510/I510-1)*100)&gt;100,"NM",IF(((Q510/I510-1)*100)&lt;-50,"NM",(Q510/I510-1)*100)))</f>
        <v>-18.755456990007914</v>
      </c>
      <c r="S510" s="288">
        <f>+S509/S508*100</f>
        <v>22.823684516654392</v>
      </c>
      <c r="T510" s="61">
        <f>IF(ISERROR((S510/K510-1)*100),"NA",IF(((S510/K510-1)*100)&gt;100,"NM",IF(((S510/K510-1)*100)&lt;-50,"NM",(S510/K510-1)*100)))</f>
        <v>-17.370292310385615</v>
      </c>
      <c r="U510" s="288">
        <f>+U509/U508*100</f>
        <v>22.77359553438826</v>
      </c>
      <c r="V510" s="61">
        <f>IF(ISERROR((U510/M510-1)*100),"NA",IF(((U510/M510-1)*100)&gt;100,"NM",IF(((U510/M510-1)*100)&lt;-50,"NM",(U510/M510-1)*100)))</f>
        <v>-13.649987389474427</v>
      </c>
      <c r="W510" s="288">
        <f>+W509/W508*100</f>
        <v>8.0570329297272725</v>
      </c>
      <c r="X510" s="61" t="str">
        <f>IF(ISERROR((W510/O510-1)*100),"NA",IF(((W510/O510-1)*100)&gt;100,"NM",IF(((W510/O510-1)*100)&lt;-50,"NM",(W510/O510-1)*100)))</f>
        <v>NM</v>
      </c>
      <c r="Y510" s="288">
        <f>+Y509/Y508*100</f>
        <v>13.437105035588395</v>
      </c>
      <c r="Z510" s="61">
        <f>IF(ISERROR((Y510/Q510-1)*100),"NA",IF(((Y510/Q510-1)*100)&gt;100,"NM",IF(((Y510/Q510-1)*100)&lt;-50,"NM",(Y510/Q510-1)*100)))</f>
        <v>-29.815455209310059</v>
      </c>
      <c r="AA510" s="288">
        <f>+AA509/AA508*100</f>
        <v>20.635568513119502</v>
      </c>
      <c r="AB510" s="61">
        <f>IF(ISERROR((AA510/S510-1)*100),"NA",IF(((AA510/S510-1)*100)&gt;100,"NM",IF(((AA510/S510-1)*100)&lt;-50,"NM",(AA510/S510-1)*100)))</f>
        <v>-9.5870410491269542</v>
      </c>
      <c r="AC510" s="288">
        <f>+AC509/AC508*100</f>
        <v>24.861441013460013</v>
      </c>
      <c r="AD510" s="61">
        <f>IF(ISERROR((AC510/U510-1)*100),"NA",IF(((AC510/U510-1)*100)&gt;100,"NM",IF(((AC510/U510-1)*100)&lt;-50,"NM",(AC510/U510-1)*100)))</f>
        <v>9.167834196049963</v>
      </c>
      <c r="AE510" s="288">
        <f>+AE509/AE508*100</f>
        <v>27.194776306820224</v>
      </c>
      <c r="AF510" s="61" t="str">
        <f>IF(ISERROR((AE510/W510-1)*100),"NA",IF(((AE510/W510-1)*100)&gt;100,"NM",IF(((AE510/W510-1)*100)&lt;-50,"NM",(AE510/W510-1)*100)))</f>
        <v>NM</v>
      </c>
      <c r="AG510" s="288">
        <f>+AG509/AG508*100</f>
        <v>22.236727589208005</v>
      </c>
      <c r="AH510" s="61">
        <f>IF(ISERROR((AG510/Y510-1)*100),"NA",IF(((AG510/Y510-1)*100)&gt;100,"NM",IF(((AG510/Y510-1)*100)&lt;-50,"NM",(AG510/Y510-1)*100)))</f>
        <v>65.487488043843257</v>
      </c>
      <c r="AI510" s="288">
        <f>+AI509/AI508*100</f>
        <v>26.968163474473116</v>
      </c>
      <c r="AJ510" s="61">
        <f>IF(ISERROR((AI510/AA510-1)*100),"NA",IF(((AI510/AA510-1)*100)&gt;100,"NM",IF(((AI510/AA510-1)*100)&lt;-50,"NM",(AI510/AA510-1)*100)))</f>
        <v>30.687765918964296</v>
      </c>
      <c r="AK510" s="288">
        <f>+AK509/AK508*100</f>
        <v>27.801027056028211</v>
      </c>
      <c r="AL510" s="61">
        <f>IF(ISERROR((AK510/AC510-1)*100),"NA",IF(((AK510/AC510-1)*100)&gt;100,"NM",IF(((AK510/AC510-1)*100)&lt;-50,"NM",(AK510/AC510-1)*100)))</f>
        <v>11.823876343196282</v>
      </c>
      <c r="AM510" s="288">
        <f>+AM509/AM508*100</f>
        <v>27.066486265378693</v>
      </c>
      <c r="AN510" s="61">
        <f>IF(ISERROR((AM510/AE510-1)*100),"NA",IF(((AM510/AE510-1)*100)&gt;100,"NM",IF(((AM510/AE510-1)*100)&lt;-50,"NM",(AM510/AE510-1)*100)))</f>
        <v>-0.47174516162266089</v>
      </c>
      <c r="AO510" s="288">
        <f>+AO509/AO508*100</f>
        <v>25.936627959312293</v>
      </c>
      <c r="AP510" s="61">
        <f>IF(ISERROR((AO510/AG510-1)*100),"NA",IF(((AO510/AG510-1)*100)&gt;100,"NM",IF(((AO510/AG510-1)*100)&lt;-50,"NM",(AO510/AG510-1)*100)))</f>
        <v>16.63869090117349</v>
      </c>
      <c r="AQ510" s="288">
        <f>+AQ509/AQ508*100</f>
        <v>17.019307851320672</v>
      </c>
      <c r="AR510" s="61">
        <f>IF(ISERROR((AQ510/AI510-1)*100),"NA",IF(((AQ510/AI510-1)*100)&gt;100,"NM",IF(((AQ510/AI510-1)*100)&lt;-50,"NM",(AQ510/AI510-1)*100)))</f>
        <v>-36.891112858202582</v>
      </c>
      <c r="AS510" s="288">
        <f>+AS509/AS508*100</f>
        <v>17.634772263899983</v>
      </c>
      <c r="AT510" s="61">
        <f>IF(ISERROR((AS510/AK510-1)*100),"NA",IF(((AS510/AK510-1)*100)&gt;100,"NM",IF(((AS510/AK510-1)*100)&lt;-50,"NM",(AS510/AK510-1)*100)))</f>
        <v>-36.567910860414912</v>
      </c>
      <c r="AU510" s="288">
        <f>+AU509/AU508*100</f>
        <v>20.327194597311411</v>
      </c>
      <c r="AV510" s="61">
        <f t="shared" si="2722"/>
        <v>-24.899026796424806</v>
      </c>
      <c r="AW510" s="288">
        <f>+AW509/AW508*100</f>
        <v>19.984872295563211</v>
      </c>
      <c r="AX510" s="61">
        <f t="shared" si="2722"/>
        <v>-22.947299367850793</v>
      </c>
      <c r="AY510" s="288">
        <f>+AY509/AY508*100</f>
        <v>21.714321942560083</v>
      </c>
      <c r="AZ510" s="61">
        <f>IF(ISERROR((AY510/AQ510-1)*100),"NA",IF(((AY510/AQ510-1)*100)&gt;100,"NM",IF(((AY510/AQ510-1)*100)&lt;-50,"NM",(AY510/AQ510-1)*100)))</f>
        <v>27.586398531918466</v>
      </c>
      <c r="BA510" s="288">
        <f>+BA509/BA508*100</f>
        <v>18.80208856310875</v>
      </c>
      <c r="BB510" s="61">
        <f>IF(ISERROR((BA510/AS510-1)*100),"NA",IF(((BA510/AS510-1)*100)&gt;100,"NM",IF(((BA510/AS510-1)*100)&lt;-50,"NM",(BA510/AS510-1)*100)))</f>
        <v>6.6194010432353068</v>
      </c>
      <c r="BC510" s="288">
        <f>+BC509/BC508*100</f>
        <v>11.150846868325633</v>
      </c>
      <c r="BD510" s="61">
        <f>IF(ISERROR((BC510/AU510-1)*100),"NA",IF(((BC510/AU510-1)*100)&gt;100,"NM",IF(((BC510/AU510-1)*100)&lt;-50,"NM",(BC510/AU510-1)*100)))</f>
        <v>-45.143207957479262</v>
      </c>
      <c r="BE510" s="288">
        <f>+BE509/BE508*100</f>
        <v>14.270085144841364</v>
      </c>
      <c r="BF510" s="61">
        <f>IF(ISERROR((BE510/AW510-1)*100),"NA",IF(((BE510/AW510-1)*100)&gt;100,"NM",IF(((BE510/AW510-1)*100)&lt;-50,"NM",(BE510/AW510-1)*100)))</f>
        <v>-28.595565016397785</v>
      </c>
      <c r="BG510" s="288">
        <f>+BG509/BG508*100</f>
        <v>20.941066853016533</v>
      </c>
      <c r="BH510" s="61">
        <f>IF(ISERROR((BG510/AY510-1)*100),"NA",IF(((BG510/AY510-1)*100)&gt;100,"NM",IF(((BG510/AY510-1)*100)&lt;-50,"NM",(BG510/AY510-1)*100)))</f>
        <v>-3.561037234268738</v>
      </c>
      <c r="BI510" s="288">
        <f>+BI509/BI508*100</f>
        <v>18.710874101553433</v>
      </c>
      <c r="BJ510" s="61">
        <f>IF(ISERROR((BI510/BA510-1)*100),"NA",IF(((BI510/BA510-1)*100)&gt;100,"NM",IF(((BI510/BA510-1)*100)&lt;-50,"NM",(BI510/BA510-1)*100)))</f>
        <v>-0.48512941128405762</v>
      </c>
      <c r="BK510" s="288">
        <f>+BK509/BK508*100</f>
        <v>16.904226056514133</v>
      </c>
      <c r="BL510" s="61">
        <f>IF(ISERROR((BK510/BC510-1)*100),"NA",IF(((BK510/BC510-1)*100)&gt;100,"NM",IF(((BK510/BC510-1)*100)&lt;-50,"NM",(BK510/BC510-1)*100)))</f>
        <v>51.595894519286901</v>
      </c>
      <c r="BM510" s="288">
        <f>+BM509/BM508*100</f>
        <v>15.640738668158926</v>
      </c>
      <c r="BN510" s="61">
        <f>IF(ISERROR((BM510/BE510-1)*100),"NA",IF(((BM510/BE510-1)*100)&gt;100,"NM",IF(((BM510/BE510-1)*100)&lt;-50,"NM",(BM510/BE510-1)*100)))</f>
        <v>9.6050830069017046</v>
      </c>
      <c r="BO510" s="288">
        <f>+BO509/BO508*100</f>
        <v>18.702497285559172</v>
      </c>
      <c r="BP510" s="61">
        <f>IF(ISERROR((BO510/BG510-1)*100),"NA",IF(((BO510/BG510-1)*100)&gt;100,"NM",IF(((BO510/BG510-1)*100)&lt;-50,"NM",(BO510/BG510-1)*100)))</f>
        <v>-10.689854452830316</v>
      </c>
      <c r="BQ510" s="288">
        <f>+BQ509/BQ508*100</f>
        <v>18.424530795664804</v>
      </c>
      <c r="BR510" s="61">
        <f>IF(ISERROR((BQ510/BI510-1)*100),"NA",IF(((BQ510/BI510-1)*100)&gt;100,"NM",IF(((BQ510/BI510-1)*100)&lt;-50,"NM",(BQ510/BI510-1)*100)))</f>
        <v>-1.5303577178409578</v>
      </c>
      <c r="BS510" s="288">
        <f>+BS509/BS508*100</f>
        <v>21.784776902887142</v>
      </c>
      <c r="BT510" s="61">
        <f>IF(ISERROR((BS510/BK510-1)*100),"NA",IF(((BS510/BK510-1)*100)&gt;100,"NM",IF(((BS510/BK510-1)*100)&lt;-50,"NM",(BS510/BK510-1)*100)))</f>
        <v>28.871779341191804</v>
      </c>
      <c r="BU510" s="288">
        <f>+BU509/BU508*100</f>
        <v>50.679084206441452</v>
      </c>
      <c r="BV510" s="61" t="str">
        <f>IF(ISERROR((BU510/BM510-1)*100),"NA",IF(((BU510/BM510-1)*100)&gt;100,"NM",IF(((BU510/BM510-1)*100)&lt;-50,"NM",(BU510/BM510-1)*100)))</f>
        <v>NM</v>
      </c>
      <c r="BW510" s="288">
        <f>+BW509/BW508*100</f>
        <v>1.74698795180722</v>
      </c>
      <c r="BX510" s="61" t="str">
        <f>IF(ISERROR((BW510/BO510-1)*100),"NA",IF(((BW510/BO510-1)*100)&gt;100,"NM",IF(((BW510/BO510-1)*100)&lt;-50,"NM",(BW510/BO510-1)*100)))</f>
        <v>NM</v>
      </c>
      <c r="BY510" s="288">
        <f>+BY509/BY508*100</f>
        <v>25.162454873646212</v>
      </c>
      <c r="BZ510" s="61">
        <f>IF(ISERROR((BY510/BQ510-1)*100),"NA",IF(((BY510/BQ510-1)*100)&gt;100,"NM",IF(((BY510/BQ510-1)*100)&lt;-50,"NM",(BY510/BQ510-1)*100)))</f>
        <v>36.570397111913458</v>
      </c>
      <c r="CA510" s="300">
        <f>+CA509/CA508*100</f>
        <v>23.936390491703708</v>
      </c>
      <c r="CB510" s="61">
        <f>IF(ISERROR((CA510/BS510-1)*100),"NA",IF(((CA510/BS510-1)*100)&gt;100,"NM",IF(((CA510/BS510-1)*100)&lt;-50,"NM",(CA510/BS510-1)*100)))</f>
        <v>9.8766840643266463</v>
      </c>
      <c r="CC510" s="288">
        <f>+CC509/CC508*100</f>
        <v>25.157391085368904</v>
      </c>
      <c r="CD510" s="61" t="str">
        <f>IF(ISERROR((CC510/BU510-1)*100),"NA",IF(((CC510/BU510-1)*100)&gt;100,"NM",IF(((CC510/BU510-1)*100)&lt;-50,"NM",(CC510/BU510-1)*100)))</f>
        <v>NM</v>
      </c>
      <c r="CE510" s="288">
        <f>+CE509/CE508*100</f>
        <v>27.392218717139844</v>
      </c>
      <c r="CF510" s="61" t="str">
        <f>IF(ISERROR((CE510/BW510-1)*100),"NA",IF(((CE510/BW510-1)*100)&gt;100,"NM",IF(((CE510/BW510-1)*100)&lt;-50,"NM",(CE510/BW510-1)*100)))</f>
        <v>NM</v>
      </c>
      <c r="CG510" s="288">
        <f>+CG509/CG508*100</f>
        <v>25.250707122653633</v>
      </c>
      <c r="CH510" s="61">
        <f>IF(ISERROR((CG510/BY510-1)*100),"NA",IF(((CG510/BY510-1)*100)&gt;100,"NM",IF(((CG510/BY510-1)*100)&lt;-50,"NM",(CG510/BY510-1)*100)))</f>
        <v>0.35072988486450907</v>
      </c>
      <c r="CI510" s="288">
        <f>+CI509/CI508*100</f>
        <v>13.685978169605381</v>
      </c>
      <c r="CJ510" s="61">
        <f>IF(ISERROR((CI510/CA510-1)*100),"NA",IF(((CI510/CA510-1)*100)&gt;100,"NM",IF(((CI510/CA510-1)*100)&lt;-50,"NM",(CI510/CA510-1)*100)))</f>
        <v>-42.823550717269143</v>
      </c>
      <c r="CK510" s="288">
        <f>+CK509/CK508*100</f>
        <v>26.201722700750235</v>
      </c>
      <c r="CL510" s="61">
        <f>IF(ISERROR((CK510/CC510-1)*100),"NA",IF(((CK510/CC510-1)*100)&gt;100,"NM",IF(((CK510/CC510-1)*100)&lt;-50,"NM",(CK510/CC510-1)*100)))</f>
        <v>4.1511920367159894</v>
      </c>
      <c r="CM510" s="288">
        <f>+CM509/CM508*100</f>
        <v>27.204884667571221</v>
      </c>
      <c r="CN510" s="61">
        <f>IF(ISERROR((CM510/CE510-1)*100),"NA",IF(((CM510/CE510-1)*100)&gt;100,"NM",IF(((CM510/CE510-1)*100)&lt;-50,"NM",(CM510/CE510-1)*100)))</f>
        <v>-0.68389512913535899</v>
      </c>
      <c r="CO510" s="288">
        <f>+CO509/CO508*100</f>
        <v>26.409966024915089</v>
      </c>
      <c r="CP510" s="61">
        <f>IF(ISERROR((CO510/CG510-1)*100),"NA",IF(((CO510/CG510-1)*100)&gt;100,"NM",IF(((CO510/CG510-1)*100)&lt;-50,"NM",(CO510/CG510-1)*100)))</f>
        <v>4.5909957952085634</v>
      </c>
      <c r="CQ510" s="288">
        <f>+CQ509/CQ508*100</f>
        <v>20.604868453405469</v>
      </c>
      <c r="CR510" s="61">
        <f>IF(ISERROR((CQ510/CI510-1)*100),"NA",IF(((CQ510/CI510-1)*100)&gt;100,"NM",IF(((CQ510/CI510-1)*100)&lt;-50,"NM",(CQ510/CI510-1)*100)))</f>
        <v>50.554590969361342</v>
      </c>
      <c r="CS510" s="288">
        <f>+CS509/CS508*100</f>
        <v>24.932249322493224</v>
      </c>
      <c r="CT510" s="61">
        <f>IF(ISERROR((CS510/CK510-1)*100),"NA",IF(((CS510/CK510-1)*100)&gt;100,"NM",IF(((CS510/CK510-1)*100)&lt;-50,"NM",(CS510/CK510-1)*100)))</f>
        <v>-4.8449996695089865</v>
      </c>
      <c r="CU510" s="288">
        <f>+CU509/CU508*100</f>
        <v>23.697916666666664</v>
      </c>
      <c r="CV510" s="61">
        <f>IF(ISERROR((CU510/CM510-1)*100),"NA",IF(((CU510/CM510-1)*100)&gt;100,"NM",IF(((CU510/CM510-1)*100)&lt;-50,"NM",(CU510/CM510-1)*100)))</f>
        <v>-12.890949709060651</v>
      </c>
      <c r="CW510" s="288">
        <f>+CW509/CW508*100</f>
        <v>27.419354838709676</v>
      </c>
      <c r="CX510" s="61">
        <f>IF(ISERROR((CW510/CO510-1)*100),"NA",IF(((CW510/CO510-1)*100)&gt;100,"NM",IF(((CW510/CO510-1)*100)&lt;-50,"NM",(CW510/CO510-1)*100)))</f>
        <v>3.8219996680129542</v>
      </c>
      <c r="CY510" s="288">
        <f>+CY509/CY508*100</f>
        <v>0.27548209366391185</v>
      </c>
      <c r="CZ510" s="61" t="str">
        <f>IF(ISERROR((CY510/CQ510-1)*100),"NA",IF(((CY510/CQ510-1)*100)&gt;100,"NM",IF(((CY510/CQ510-1)*100)&lt;-50,"NM",(CY510/CQ510-1)*100)))</f>
        <v>NM</v>
      </c>
      <c r="DA510" s="288">
        <f>+DA509/DA508*100</f>
        <v>19.270833333333336</v>
      </c>
      <c r="DB510" s="61">
        <f>IF(ISERROR((DA510/CS510-1)*100),"NA",IF(((DA510/CS510-1)*100)&gt;100,"NM",IF(((DA510/CS510-1)*100)&lt;-50,"NM",(DA510/CS510-1)*100)))</f>
        <v>-22.707201086956509</v>
      </c>
      <c r="DC510" s="288">
        <f>+DC509/DC508*100</f>
        <v>24</v>
      </c>
      <c r="DD510" s="61">
        <f>IF(ISERROR((DC510/CU510-1)*100),"NA",IF(((DC510/CU510-1)*100)&gt;100,"NM",IF(((DC510/CU510-1)*100)&lt;-50,"NM",(DC510/CU510-1)*100)))</f>
        <v>1.2747252747252746</v>
      </c>
      <c r="DE510" s="288">
        <f>+DE509/DE508*100</f>
        <v>25.477707006369428</v>
      </c>
      <c r="DF510" s="61">
        <f>IF(ISERROR((DE510/CW510-1)*100),"NA",IF(((DE510/CW510-1)*100)&gt;100,"NM",IF(((DE510/CW510-1)*100)&lt;-50,"NM",(DE510/CW510-1)*100)))</f>
        <v>-7.0813038591232562</v>
      </c>
      <c r="DG510" s="288">
        <f>+DG509/DG508*100</f>
        <v>24.640657084188909</v>
      </c>
      <c r="DH510" s="61" t="str">
        <f>IF(ISERROR((DG510/CY510-1)*100),"NA",IF(((DG510/CY510-1)*100)&gt;100,"NM",IF(((DG510/CY510-1)*100)&lt;-50,"NM",(DG510/CY510-1)*100)))</f>
        <v>NM</v>
      </c>
      <c r="DI510" s="288">
        <f>+DI509/DI508*100</f>
        <v>25.536062378167639</v>
      </c>
      <c r="DJ510" s="61">
        <f>IF(ISERROR((DI510/DA510-1)*100),"NA",IF(((DI510/DA510-1)*100)&gt;100,"NM",IF(((DI510/DA510-1)*100)&lt;-50,"NM",(DI510/DA510-1)*100)))</f>
        <v>32.511458827248262</v>
      </c>
      <c r="DK510" s="288">
        <f>+DK509/DK508*100</f>
        <v>24.166666666666668</v>
      </c>
      <c r="DL510" s="61">
        <f>IF(ISERROR((DK510/DC510-1)*100),"NA",IF(((DK510/DC510-1)*100)&gt;100,"NM",IF(((DK510/DC510-1)*100)&lt;-50,"NM",(DK510/DC510-1)*100)))</f>
        <v>0.69444444444444198</v>
      </c>
      <c r="DM510" s="288">
        <f>+DM509/DM508*100</f>
        <v>25.891181988742961</v>
      </c>
      <c r="DN510" s="130">
        <f t="shared" si="2723"/>
        <v>1.6228893058161109</v>
      </c>
      <c r="DO510" s="288">
        <f>+DO509/DO508*100</f>
        <v>26.371681415929203</v>
      </c>
      <c r="DP510" s="130">
        <f t="shared" si="2723"/>
        <v>7.0250737463126933</v>
      </c>
      <c r="DQ510" s="288">
        <f>+DQ509/DQ508*100</f>
        <v>23.743500866551127</v>
      </c>
      <c r="DR510" s="130">
        <f t="shared" si="2723"/>
        <v>-7.0197256141929065</v>
      </c>
      <c r="DS510" s="288">
        <f>+DS509/DS508*100</f>
        <v>20.541760722347629</v>
      </c>
      <c r="DT510" s="130">
        <f t="shared" si="2723"/>
        <v>-14.999610804078777</v>
      </c>
      <c r="DU510" s="288">
        <f>+DU509/DU508*100</f>
        <v>24.285714285714285</v>
      </c>
      <c r="DV510" s="130">
        <f t="shared" si="2723"/>
        <v>-6.2008281573498909</v>
      </c>
      <c r="DW510" s="288">
        <f>+DW509/DW508*100</f>
        <v>21.008403361344538</v>
      </c>
      <c r="DX510" s="288">
        <f t="shared" ref="DX510:DY510" si="2750">+DX509/DX508*100</f>
        <v>21.008403361344538</v>
      </c>
      <c r="DY510" s="288">
        <f t="shared" si="2750"/>
        <v>24.206349206349206</v>
      </c>
      <c r="DZ510" s="130">
        <f t="shared" si="2723"/>
        <v>1.9493685552079754</v>
      </c>
      <c r="EA510" s="288">
        <f t="shared" ref="EA510:EC510" si="2751">+EA509/EA508*100</f>
        <v>21.282051282051281</v>
      </c>
      <c r="EB510" s="130">
        <f t="shared" si="2726"/>
        <v>3.6038320653705158</v>
      </c>
      <c r="EC510" s="288">
        <f t="shared" si="2751"/>
        <v>23.721881390593047</v>
      </c>
      <c r="ED510" s="130">
        <f t="shared" si="2727"/>
        <v>-2.3216648622639169</v>
      </c>
      <c r="EE510" s="288">
        <f t="shared" ref="EE510:EG510" si="2752">+EE509/EE508*100</f>
        <v>22.76707530647986</v>
      </c>
      <c r="EF510" s="130">
        <f t="shared" si="2729"/>
        <v>8.3712784588441345</v>
      </c>
      <c r="EG510" s="288">
        <f t="shared" si="2752"/>
        <v>23.264540337711072</v>
      </c>
      <c r="EH510" s="130">
        <f t="shared" si="2730"/>
        <v>-3.8907513917509795</v>
      </c>
      <c r="EI510" s="288">
        <f t="shared" ref="EI510:EK510" si="2753">+EI509/EI508*100</f>
        <v>8.8659793814432994</v>
      </c>
      <c r="EJ510" s="130" t="str">
        <f t="shared" si="2732"/>
        <v>NM</v>
      </c>
      <c r="EK510" s="288">
        <f t="shared" si="2753"/>
        <v>22.977941176470587</v>
      </c>
      <c r="EL510" s="130">
        <f t="shared" si="2733"/>
        <v>-3.13609279918865</v>
      </c>
      <c r="EM510" s="288">
        <f t="shared" ref="EM510" si="2754">+EM509/EM508*100</f>
        <v>19.78798586572438</v>
      </c>
      <c r="EN510" s="130">
        <f t="shared" si="2735"/>
        <v>-13.085077466702922</v>
      </c>
      <c r="EO510" s="288">
        <f t="shared" ref="EO510" si="2755">+EO509/EO508*100</f>
        <v>24.268502581755595</v>
      </c>
      <c r="EP510" s="130">
        <f t="shared" si="2737"/>
        <v>4.3154183554494407</v>
      </c>
      <c r="EQ510" s="288">
        <f t="shared" ref="EQ510:EW510" si="2756">+EQ509/EQ508*100</f>
        <v>15.642326414237232</v>
      </c>
      <c r="ER510" s="130">
        <f t="shared" si="2739"/>
        <v>76.430890951280389</v>
      </c>
      <c r="ES510" s="288">
        <f t="shared" si="2756"/>
        <v>15.954464749221643</v>
      </c>
      <c r="ET510" s="130">
        <f t="shared" si="2740"/>
        <v>-30.566169411387413</v>
      </c>
      <c r="EU510" s="288">
        <f t="shared" si="2756"/>
        <v>16.112266355207037</v>
      </c>
      <c r="EV510" s="130">
        <f t="shared" si="2741"/>
        <v>-18.575511097793008</v>
      </c>
      <c r="EW510" s="288">
        <f t="shared" si="2756"/>
        <v>16.180846284275045</v>
      </c>
      <c r="EX510" s="130">
        <f t="shared" si="2742"/>
        <v>-33.325732686781549</v>
      </c>
      <c r="EY510" s="66"/>
      <c r="EZ510" s="558"/>
      <c r="FA510" s="66"/>
      <c r="FB510" s="64"/>
      <c r="FC510" s="70"/>
      <c r="FD510" s="64"/>
      <c r="FE510" s="70"/>
      <c r="FF510" s="64"/>
      <c r="FG510" s="70"/>
      <c r="FH510" s="289">
        <v>0.24165294341193297</v>
      </c>
      <c r="FI510" s="281" t="s">
        <v>101</v>
      </c>
      <c r="FJ510" s="290">
        <v>18.835680751173708</v>
      </c>
      <c r="FK510" s="281" t="s">
        <v>102</v>
      </c>
      <c r="FL510" s="290">
        <v>24.020231299358141</v>
      </c>
      <c r="FM510" s="283">
        <v>27.525156200480659</v>
      </c>
      <c r="FN510" s="290">
        <v>26.928826638215526</v>
      </c>
      <c r="FO510" s="283">
        <v>12.108939762520542</v>
      </c>
      <c r="FP510" s="288">
        <f>+FP509/FP508*100</f>
        <v>15.482390516122765</v>
      </c>
      <c r="FQ510" s="61">
        <f>IF(ISERROR((FP510/FN510-1)*100),"NA",IF(((FP510/FN510-1)*100)&gt;100,"NM",IF(((FP510/FN510-1)*100)&lt;-50,"NM",(FP510/FN510-1)*100)))</f>
        <v>-42.506256495590392</v>
      </c>
      <c r="FR510" s="288">
        <f>+FR509/FR508*100</f>
        <v>19.66092493676873</v>
      </c>
      <c r="FS510" s="61">
        <f>IF(ISERROR((FR510/FP510-1)*100),"NA",IF(((FR510/FP510-1)*100)&gt;100,"NM",IF(((FR510/FP510-1)*100)&lt;-50,"NM",(FR510/FP510-1)*100)))</f>
        <v>26.988948614198826</v>
      </c>
      <c r="FT510" s="288">
        <f>+FT509/FT508*100</f>
        <v>24.377886461807535</v>
      </c>
      <c r="FU510" s="61">
        <f>IF(ISERROR((FT510/FR510-1)*100),"NA",IF(((FT510/FR510-1)*100)&gt;100,"NM",IF(((FT510/FR510-1)*100)&lt;-50,"NM",(FT510/FR510-1)*100)))</f>
        <v>23.991554518462223</v>
      </c>
      <c r="FV510" s="288">
        <f>+FV509/FV508*100</f>
        <v>12.387099006817298</v>
      </c>
      <c r="FW510" s="61">
        <f>IF(ISERROR((FV510/FT510-1)*100),"NA",IF(((FV510/FT510-1)*100)&gt;100,"NM",IF(((FV510/FT510-1)*100)&lt;-50,"NM",(FV510/FT510-1)*100)))</f>
        <v>-49.187149483922745</v>
      </c>
      <c r="FX510" s="288">
        <f>+FX509/FX508*100</f>
        <v>8.5058241537645252</v>
      </c>
      <c r="FY510" s="61">
        <f>IF(ISERROR((FX510/FV510-1)*100),"NA",IF(((FX510/FV510-1)*100)&gt;100,"NM",IF(((FX510/FV510-1)*100)&lt;-50,"NM",(FX510/FV510-1)*100)))</f>
        <v>-31.333202801694693</v>
      </c>
      <c r="FZ510" s="288">
        <f>+FZ509/FZ508*100</f>
        <v>24.08219979523183</v>
      </c>
      <c r="GA510" s="61" t="str">
        <f>IF(ISERROR((FZ510/FX510-1)*100),"NA",IF(((FZ510/FX510-1)*100)&gt;100,"NM",IF(((FZ510/FX510-1)*100)&lt;-50,"NM",(FZ510/FX510-1)*100)))</f>
        <v>NM</v>
      </c>
      <c r="GB510" s="288">
        <f>+GB509/GB508*100</f>
        <v>24.870435097023027</v>
      </c>
      <c r="GC510" s="61">
        <f>IF(ISERROR((GB510/FZ510-1)*100),"NA",IF(((GB510/FZ510-1)*100)&gt;100,"NM",IF(((GB510/FZ510-1)*100)&lt;-50,"NM",(GB510/FZ510-1)*100)))</f>
        <v>3.2731034062231545</v>
      </c>
      <c r="GD510" s="288">
        <f>+GD509/GD508*100</f>
        <v>18.210862619808307</v>
      </c>
      <c r="GE510" s="61">
        <f>IF(ISERROR((GD510/GB510-1)*100),"NA",IF(((GD510/GB510-1)*100)&gt;100,"NM",IF(((GD510/GB510-1)*100)&lt;-50,"NM",(GD510/GB510-1)*100)))</f>
        <v>-26.777064620039013</v>
      </c>
      <c r="GF510" s="288">
        <f>+GF509/GF508*100</f>
        <v>24.972914409534127</v>
      </c>
      <c r="GG510" s="61">
        <f>IF(ISERROR((GF510/GD510-1)*100),"NA",IF(((GF510/GD510-1)*100)&gt;100,"NM",IF(((GF510/GD510-1)*100)&lt;-50,"NM",(GF510/GD510-1)*100)))</f>
        <v>37.131968599722498</v>
      </c>
      <c r="GH510" s="288">
        <f>+GH509/GH508*100</f>
        <v>25.05800464037123</v>
      </c>
      <c r="GI510" s="61">
        <f>IF(ISERROR((GH510/GF510-1)*100),"NA",IF(((GH510/GF510-1)*100)&gt;100,"NM",IF(((GH510/GF510-1)*100)&lt;-50,"NM",(GH510/GF510-1)*100)))</f>
        <v>0.34073007836288305</v>
      </c>
      <c r="GJ510" s="288">
        <f>+GJ509/GJ508*100</f>
        <v>22.686733556298773</v>
      </c>
      <c r="GK510" s="61">
        <f>IF(ISERROR((GJ510/GH510-1)*100),"NA",IF(((GJ510/GH510-1)*100)&gt;100,"NM",IF(((GJ510/GH510-1)*100)&lt;-50,"NM",(GJ510/GH510-1)*100)))</f>
        <v>-9.4631281225484152</v>
      </c>
      <c r="GL510" s="288">
        <f>+GL509/GL508*100</f>
        <v>22.844175491679273</v>
      </c>
      <c r="GM510" s="61">
        <f>IF(ISERROR((GL510/GJ510-1)*100),"NA",IF(((GL510/GJ510-1)*100)&gt;100,"NM",IF(((GL510/GJ510-1)*100)&lt;-50,"NM",(GL510/GJ510-1)*100)))</f>
        <v>0.69398238838480619</v>
      </c>
      <c r="GN510" s="288">
        <f>+GN509/GN508*100</f>
        <v>19.347426470588236</v>
      </c>
      <c r="GO510" s="61">
        <f>IF(ISERROR((GN510/GL510-1)*100),"NA",IF(((GN510/GL510-1)*100)&gt;100,"NM",IF(((GN510/GL510-1)*100)&lt;-50,"NM",(GN510/GL510-1)*100)))</f>
        <v>-15.3069609466303</v>
      </c>
      <c r="GP510" s="288">
        <f>+GP509/GP508*100</f>
        <v>15.982821677896281</v>
      </c>
      <c r="GQ510" s="61">
        <f>IF(ISERROR((GP510/GN510-1)*100),"NA",IF(((GP510/GN510-1)*100)&gt;100,"NM",IF(((GP510/GN510-1)*100)&lt;-50,"NM",(GP510/GN510-1)*100)))</f>
        <v>-17.390451375053907</v>
      </c>
      <c r="GR510" s="288">
        <f>+GR509/GR508*100</f>
        <v>16.397406109146342</v>
      </c>
      <c r="GS510" s="61">
        <f>IF(ISERROR((GR510/GP510-1)*100),"NA",IF(((GR510/GP510-1)*100)&gt;100,"NM",IF(((GR510/GP510-1)*100)&lt;-50,"NM",(GR510/GP510-1)*100)))</f>
        <v>2.5939376638570488</v>
      </c>
      <c r="GT510" s="288">
        <f>+GT509/GT508*100</f>
        <v>16.712557454318119</v>
      </c>
      <c r="GU510" s="61">
        <f>IF(ISERROR((GT510/GR510-1)*100),"NA",IF(((GT510/GR510-1)*100)&gt;100,"NM",IF(((GT510/GR510-1)*100)&lt;-50,"NM",(GT510/GR510-1)*100)))</f>
        <v>1.9219585285259688</v>
      </c>
      <c r="GV510" s="288">
        <f>+GV509/GV508*100</f>
        <v>16.696943048877952</v>
      </c>
      <c r="GW510" s="61">
        <f>IF(ISERROR((GV510/GT510-1)*100),"NA",IF(((GV510/GT510-1)*100)&gt;100,"NM",IF(((GV510/GT510-1)*100)&lt;-50,"NM",(GV510/GT510-1)*100)))</f>
        <v>-9.3429180320536709E-2</v>
      </c>
      <c r="GX510" s="288">
        <f>+GX509/GX508*100</f>
        <v>16.677237223330692</v>
      </c>
      <c r="GY510" s="61">
        <f>IF(ISERROR((GX510/GV510-1)*100),"NA",IF(((GX510/GV510-1)*100)&gt;100,"NM",IF(((GX510/GV510-1)*100)&lt;-50,"NM",(GX510/GV510-1)*100)))</f>
        <v>-0.11802055915010046</v>
      </c>
      <c r="GZ510" s="61">
        <f t="shared" si="2572"/>
        <v>-2.9266135812951011</v>
      </c>
      <c r="HA510" s="61"/>
      <c r="HB510" s="452"/>
      <c r="HC510"/>
      <c r="HD510"/>
      <c r="HE510"/>
      <c r="HF510"/>
      <c r="HG510"/>
      <c r="HH510"/>
    </row>
    <row r="511" spans="1:216" s="7" customFormat="1" ht="12.75" customHeight="1" x14ac:dyDescent="0.2">
      <c r="B511" s="63" t="s">
        <v>301</v>
      </c>
      <c r="C511" s="103">
        <v>170.3</v>
      </c>
      <c r="D511" s="67"/>
      <c r="E511" s="103">
        <v>173.1</v>
      </c>
      <c r="F511" s="66"/>
      <c r="G511" s="103">
        <v>190.7</v>
      </c>
      <c r="H511" s="66"/>
      <c r="I511" s="103">
        <v>184.99</v>
      </c>
      <c r="J511" s="70"/>
      <c r="K511" s="103">
        <v>167.4</v>
      </c>
      <c r="L511" s="61">
        <f>IF(ISERROR((K511/C511-1)*100),"NA",IF(((K511/C511-1)*100)&gt;100,"NM",IF(((K511/C511-1)*100)&lt;-50,"NM",(K511/C511-1)*100)))</f>
        <v>-1.7028772753963639</v>
      </c>
      <c r="M511" s="103">
        <v>157.30000000000001</v>
      </c>
      <c r="N511" s="61">
        <f>IF(ISERROR((M511/E511-1)*100),"NA",IF(((M511/E511-1)*100)&gt;100,"NM",IF(((M511/E511-1)*100)&lt;-50,"NM",(M511/E511-1)*100)))</f>
        <v>-9.1276718659734186</v>
      </c>
      <c r="O511" s="103">
        <v>134</v>
      </c>
      <c r="P511" s="61">
        <f>IF(ISERROR((O511/G511-1)*100),"NA",IF(((O511/G511-1)*100)&gt;100,"NM",IF(((O511/G511-1)*100)&lt;-50,"NM",(O511/G511-1)*100)))</f>
        <v>-29.732564237021496</v>
      </c>
      <c r="Q511" s="103">
        <v>186.6</v>
      </c>
      <c r="R511" s="61">
        <f>IF(ISERROR((Q511/I511-1)*100),"NA",IF(((Q511/I511-1)*100)&gt;100,"NM",IF(((Q511/I511-1)*100)&lt;-50,"NM",(Q511/I511-1)*100)))</f>
        <v>0.87031731444942029</v>
      </c>
      <c r="S511" s="103">
        <v>153.1</v>
      </c>
      <c r="T511" s="61">
        <f>IF(ISERROR((S511/K511-1)*100),"NA",IF(((S511/K511-1)*100)&gt;100,"NM",IF(((S511/K511-1)*100)&lt;-50,"NM",(S511/K511-1)*100)))</f>
        <v>-8.54241338112306</v>
      </c>
      <c r="U511" s="103">
        <v>116</v>
      </c>
      <c r="V511" s="61">
        <f>IF(ISERROR((U511/M511-1)*100),"NA",IF(((U511/M511-1)*100)&gt;100,"NM",IF(((U511/M511-1)*100)&lt;-50,"NM",(U511/M511-1)*100)))</f>
        <v>-26.25556261919899</v>
      </c>
      <c r="W511" s="103">
        <v>62.500000000000128</v>
      </c>
      <c r="X511" s="61" t="str">
        <f>IF(ISERROR((W511/O511-1)*100),"NA",IF(((W511/O511-1)*100)&gt;100,"NM",IF(((W511/O511-1)*100)&lt;-50,"NM",(W511/O511-1)*100)))</f>
        <v>NM</v>
      </c>
      <c r="Y511" s="103">
        <v>100.1</v>
      </c>
      <c r="Z511" s="61">
        <f>IF(ISERROR((Y511/Q511-1)*100),"NA",IF(((Y511/Q511-1)*100)&gt;100,"NM",IF(((Y511/Q511-1)*100)&lt;-50,"NM",(Y511/Q511-1)*100)))</f>
        <v>-46.355841371918551</v>
      </c>
      <c r="AA511" s="103">
        <v>104.7</v>
      </c>
      <c r="AB511" s="61">
        <f>IF(ISERROR((AA511/S511-1)*100),"NA",IF(((AA511/S511-1)*100)&gt;100,"NM",IF(((AA511/S511-1)*100)&lt;-50,"NM",(AA511/S511-1)*100)))</f>
        <v>-31.613324624428472</v>
      </c>
      <c r="AC511" s="103">
        <v>153.30000000000001</v>
      </c>
      <c r="AD511" s="61">
        <f>IF(ISERROR((AC511/U511-1)*100),"NA",IF(((AC511/U511-1)*100)&gt;100,"NM",IF(((AC511/U511-1)*100)&lt;-50,"NM",(AC511/U511-1)*100)))</f>
        <v>32.15517241379311</v>
      </c>
      <c r="AE511" s="103">
        <v>156.1</v>
      </c>
      <c r="AF511" s="61" t="str">
        <f>IF(ISERROR((AE511/W511-1)*100),"NA",IF(((AE511/W511-1)*100)&gt;100,"NM",IF(((AE511/W511-1)*100)&lt;-50,"NM",(AE511/W511-1)*100)))</f>
        <v>NM</v>
      </c>
      <c r="AG511" s="103">
        <v>178.7</v>
      </c>
      <c r="AH511" s="61">
        <f>IF(ISERROR((AG511/Y511-1)*100),"NA",IF(((AG511/Y511-1)*100)&gt;100,"NM",IF(((AG511/Y511-1)*100)&lt;-50,"NM",(AG511/Y511-1)*100)))</f>
        <v>78.521478521478528</v>
      </c>
      <c r="AI511" s="103">
        <v>175.4</v>
      </c>
      <c r="AJ511" s="61">
        <f>IF(ISERROR((AI511/AA511-1)*100),"NA",IF(((AI511/AA511-1)*100)&gt;100,"NM",IF(((AI511/AA511-1)*100)&lt;-50,"NM",(AI511/AA511-1)*100)))</f>
        <v>67.526265520534864</v>
      </c>
      <c r="AK511" s="103">
        <v>181.35</v>
      </c>
      <c r="AL511" s="61">
        <f>IF(ISERROR((AK511/AC511-1)*100),"NA",IF(((AK511/AC511-1)*100)&gt;100,"NM",IF(((AK511/AC511-1)*100)&lt;-50,"NM",(AK511/AC511-1)*100)))</f>
        <v>18.297455968688837</v>
      </c>
      <c r="AM511" s="103">
        <v>178.3</v>
      </c>
      <c r="AN511" s="61">
        <f>IF(ISERROR((AM511/AE511-1)*100),"NA",IF(((AM511/AE511-1)*100)&gt;100,"NM",IF(((AM511/AE511-1)*100)&lt;-50,"NM",(AM511/AE511-1)*100)))</f>
        <v>14.221652786675222</v>
      </c>
      <c r="AO511" s="103">
        <v>189.87</v>
      </c>
      <c r="AP511" s="61">
        <f>IF(ISERROR((AO511/AG511-1)*100),"NA",IF(((AO511/AG511-1)*100)&gt;100,"NM",IF(((AO511/AG511-1)*100)&lt;-50,"NM",(AO511/AG511-1)*100)))</f>
        <v>6.2506994963626328</v>
      </c>
      <c r="AQ511" s="284">
        <f>AQ538</f>
        <v>211.64200000000005</v>
      </c>
      <c r="AR511" s="70">
        <f>IF(ISERROR((AQ511/AI511-1)*100),"NA",IF(((AQ511/AI511-1)*100)&gt;100,"NM",IF(((AQ511/AI511-1)*100)&lt;-50,"NM",(AQ511/AI511-1)*100)))</f>
        <v>20.662485746864334</v>
      </c>
      <c r="AS511" s="284">
        <f>AS538</f>
        <v>241.36300000000003</v>
      </c>
      <c r="AT511" s="70">
        <f>IF(ISERROR((AS511/AK511-1)*100),"NA",IF(((AS511/AK511-1)*100)&gt;100,"NM",IF(((AS511/AK511-1)*100)&lt;-50,"NM",(AS511/AK511-1)*100)))</f>
        <v>33.092362834298328</v>
      </c>
      <c r="AU511" s="284">
        <f>AU538</f>
        <v>250.21599999999989</v>
      </c>
      <c r="AV511" s="61">
        <f t="shared" si="2722"/>
        <v>40.334268087492916</v>
      </c>
      <c r="AW511" s="284">
        <f>AW538</f>
        <v>256.73500000000001</v>
      </c>
      <c r="AX511" s="61">
        <f t="shared" si="2722"/>
        <v>35.216200558276725</v>
      </c>
      <c r="AY511" s="284">
        <f>AY538</f>
        <v>246.95999999999995</v>
      </c>
      <c r="AZ511" s="61">
        <f>IF(ISERROR((AY511/AQ511-1)*100),"NA",IF(((AY511/AQ511-1)*100)&gt;100,"NM",IF(((AY511/AQ511-1)*100)&lt;-50,"NM",(AY511/AQ511-1)*100)))</f>
        <v>16.687613989661742</v>
      </c>
      <c r="BA511" s="284">
        <f>BA538</f>
        <v>323.45999999999998</v>
      </c>
      <c r="BB511" s="61">
        <f>IF(ISERROR((BA511/AS511-1)*100),"NA",IF(((BA511/AS511-1)*100)&gt;100,"NM",IF(((BA511/AS511-1)*100)&lt;-50,"NM",(BA511/AS511-1)*100)))</f>
        <v>34.013912654383624</v>
      </c>
      <c r="BC511" s="284">
        <f>BC538</f>
        <v>357.76000000000005</v>
      </c>
      <c r="BD511" s="61">
        <f>IF(ISERROR((BC511/AU511-1)*100),"NA",IF(((BC511/AU511-1)*100)&gt;100,"NM",IF(((BC511/AU511-1)*100)&lt;-50,"NM",(BC511/AU511-1)*100)))</f>
        <v>42.980464878345195</v>
      </c>
      <c r="BE511" s="284">
        <f>BE538</f>
        <v>360.45999999999992</v>
      </c>
      <c r="BF511" s="61">
        <f>IF(ISERROR((BE511/AW511-1)*100),"NA",IF(((BE511/AW511-1)*100)&gt;100,"NM",IF(((BE511/AW511-1)*100)&lt;-50,"NM",(BE511/AW511-1)*100)))</f>
        <v>40.401581397160456</v>
      </c>
      <c r="BG511" s="284">
        <f>BG538</f>
        <v>339.40000000000009</v>
      </c>
      <c r="BH511" s="61">
        <f>IF(ISERROR((BG511/AY511-1)*100),"NA",IF(((BG511/AY511-1)*100)&gt;100,"NM",IF(((BG511/AY511-1)*100)&lt;-50,"NM",(BG511/AY511-1)*100)))</f>
        <v>37.431162941367077</v>
      </c>
      <c r="BI511" s="284">
        <f>BI538</f>
        <v>350.6</v>
      </c>
      <c r="BJ511" s="61">
        <f>IF(ISERROR((BI511/BA511-1)*100),"NA",IF(((BI511/BA511-1)*100)&gt;100,"NM",IF(((BI511/BA511-1)*100)&lt;-50,"NM",(BI511/BA511-1)*100)))</f>
        <v>8.3905274222469739</v>
      </c>
      <c r="BK511" s="284">
        <f>BK538</f>
        <v>332.3</v>
      </c>
      <c r="BL511" s="61">
        <f>IF(ISERROR((BK511/BC511-1)*100),"NA",IF(((BK511/BC511-1)*100)&gt;100,"NM",IF(((BK511/BC511-1)*100)&lt;-50,"NM",(BK511/BC511-1)*100)))</f>
        <v>-7.1165026833631568</v>
      </c>
      <c r="BM511" s="284">
        <f>BM538</f>
        <v>301.49999999999983</v>
      </c>
      <c r="BN511" s="61">
        <f>IF(ISERROR((BM511/BE511-1)*100),"NA",IF(((BM511/BE511-1)*100)&gt;100,"NM",IF(((BM511/BE511-1)*100)&lt;-50,"NM",(BM511/BE511-1)*100)))</f>
        <v>-16.356877323420104</v>
      </c>
      <c r="BO511" s="284">
        <f>BO538</f>
        <v>299.50000000000011</v>
      </c>
      <c r="BP511" s="61">
        <f>IF(ISERROR((BO511/BG511-1)*100),"NA",IF(((BO511/BG511-1)*100)&gt;100,"NM",IF(((BO511/BG511-1)*100)&lt;-50,"NM",(BO511/BG511-1)*100)))</f>
        <v>-11.756040070713015</v>
      </c>
      <c r="BQ511" s="284">
        <f>BQ538</f>
        <v>308.60000000000008</v>
      </c>
      <c r="BR511" s="61">
        <f>IF(ISERROR((BQ511/BI511-1)*100),"NA",IF(((BQ511/BI511-1)*100)&gt;100,"NM",IF(((BQ511/BI511-1)*100)&lt;-50,"NM",(BQ511/BI511-1)*100)))</f>
        <v>-11.979463776383326</v>
      </c>
      <c r="BS511" s="284">
        <f>+BS508-BS509</f>
        <v>298</v>
      </c>
      <c r="BT511" s="61">
        <f>IF(ISERROR((BS511/BK511-1)*100),"NA",IF(((BS511/BK511-1)*100)&gt;100,"NM",IF(((BS511/BK511-1)*100)&lt;-50,"NM",(BS511/BK511-1)*100)))</f>
        <v>-10.321998194402649</v>
      </c>
      <c r="BU511" s="284">
        <f>BU538</f>
        <v>-127.10000000000014</v>
      </c>
      <c r="BV511" s="61" t="str">
        <f>IF(ISERROR((BU511/BM511-1)*100),"NA",IF(((BU511/BM511-1)*100)&gt;100,"NM",IF(((BU511/BM511-1)*100)&lt;-50,"NM",(BU511/BM511-1)*100)))</f>
        <v>NM</v>
      </c>
      <c r="BW511" s="284">
        <f>BW538</f>
        <v>163.10000000000005</v>
      </c>
      <c r="BX511" s="61">
        <f>IF(ISERROR((BW511/BO511-1)*100),"NA",IF(((BW511/BO511-1)*100)&gt;100,"NM",IF(((BW511/BO511-1)*100)&lt;-50,"NM",(BW511/BO511-1)*100)))</f>
        <v>-45.542570951585979</v>
      </c>
      <c r="BY511" s="284">
        <f>BY538</f>
        <v>207.30000000000015</v>
      </c>
      <c r="BZ511" s="61">
        <f>IF(ISERROR((BY511/BQ511-1)*100),"NA",IF(((BY511/BQ511-1)*100)&gt;100,"NM",IF(((BY511/BQ511-1)*100)&lt;-50,"NM",(BY511/BQ511-1)*100)))</f>
        <v>-32.825664290343461</v>
      </c>
      <c r="CA511" s="520">
        <f>CA538</f>
        <v>275.50999999999988</v>
      </c>
      <c r="CB511" s="61">
        <f>IF(ISERROR((CA511/BS511-1)*100),"NA",IF(((CA511/BS511-1)*100)&gt;100,"NM",IF(((CA511/BS511-1)*100)&lt;-50,"NM",(CA511/BS511-1)*100)))</f>
        <v>-7.5469798657718528</v>
      </c>
      <c r="CC511" s="284">
        <f>CC538</f>
        <v>297.2</v>
      </c>
      <c r="CD511" s="61" t="str">
        <f>IF(ISERROR((CC511/BU511-1)*100),"NA",IF(((CC511/BU511-1)*100)&gt;100,"NM",IF(((CC511/BU511-1)*100)&lt;-50,"NM",(CC511/BU511-1)*100)))</f>
        <v>NM</v>
      </c>
      <c r="CE511" s="284">
        <f>CE538</f>
        <v>276.20000000000005</v>
      </c>
      <c r="CF511" s="61">
        <f>IF(ISERROR((CE511/BW511-1)*100),"NA",IF(((CE511/BW511-1)*100)&gt;100,"NM",IF(((CE511/BW511-1)*100)&lt;-50,"NM",(CE511/BW511-1)*100)))</f>
        <v>69.343960760269738</v>
      </c>
      <c r="CG511" s="284">
        <f>CG538</f>
        <v>290.70000000000005</v>
      </c>
      <c r="CH511" s="61">
        <f>IF(ISERROR((CG511/BY511-1)*100),"NA",IF(((CG511/BY511-1)*100)&gt;100,"NM",IF(((CG511/BY511-1)*100)&lt;-50,"NM",(CG511/BY511-1)*100)))</f>
        <v>40.231548480463019</v>
      </c>
      <c r="CI511" s="284">
        <f>CI538</f>
        <v>205.59999999999997</v>
      </c>
      <c r="CJ511" s="61">
        <f>IF(ISERROR((CI511/CA511-1)*100),"NA",IF(((CI511/CA511-1)*100)&gt;100,"NM",IF(((CI511/CA511-1)*100)&lt;-50,"NM",(CI511/CA511-1)*100)))</f>
        <v>-25.374759536858893</v>
      </c>
      <c r="CK511" s="284">
        <f>CK538</f>
        <v>265.5999999999998</v>
      </c>
      <c r="CL511" s="61">
        <f>IF(ISERROR((CK511/CC511-1)*100),"NA",IF(((CK511/CC511-1)*100)&gt;100,"NM",IF(((CK511/CC511-1)*100)&lt;-50,"NM",(CK511/CC511-1)*100)))</f>
        <v>-10.632570659488627</v>
      </c>
      <c r="CM511" s="284">
        <f>CM538</f>
        <v>321.9000000000002</v>
      </c>
      <c r="CN511" s="61">
        <f>IF(ISERROR((CM511/CE511-1)*100),"NA",IF(((CM511/CE511-1)*100)&gt;100,"NM",IF(((CM511/CE511-1)*100)&lt;-50,"NM",(CM511/CE511-1)*100)))</f>
        <v>16.545981173063051</v>
      </c>
      <c r="CO511" s="284">
        <f>CO538</f>
        <v>324.89999999999981</v>
      </c>
      <c r="CP511" s="61">
        <f>IF(ISERROR((CO511/CG511-1)*100),"NA",IF(((CO511/CG511-1)*100)&gt;100,"NM",IF(((CO511/CG511-1)*100)&lt;-50,"NM",(CO511/CG511-1)*100)))</f>
        <v>11.764705882352855</v>
      </c>
      <c r="CQ511" s="284">
        <f>CQ538</f>
        <v>322.89999999999992</v>
      </c>
      <c r="CR511" s="61">
        <f>IF(ISERROR((CQ511/CI511-1)*100),"NA",IF(((CQ511/CI511-1)*100)&gt;100,"NM",IF(((CQ511/CI511-1)*100)&lt;-50,"NM",(CQ511/CI511-1)*100)))</f>
        <v>57.052529182879375</v>
      </c>
      <c r="CS511" s="284">
        <f>CS538</f>
        <v>277</v>
      </c>
      <c r="CT511" s="61">
        <f>IF(ISERROR((CS511/CK511-1)*100),"NA",IF(((CS511/CK511-1)*100)&gt;100,"NM",IF(((CS511/CK511-1)*100)&lt;-50,"NM",(CS511/CK511-1)*100)))</f>
        <v>4.2921686746988819</v>
      </c>
      <c r="CU511" s="284">
        <f>CU538</f>
        <v>293</v>
      </c>
      <c r="CV511" s="61">
        <f>IF(ISERROR((CU511/CM511-1)*100),"NA",IF(((CU511/CM511-1)*100)&gt;100,"NM",IF(((CU511/CM511-1)*100)&lt;-50,"NM",(CU511/CM511-1)*100)))</f>
        <v>-8.9779434607021429</v>
      </c>
      <c r="CW511" s="284">
        <f>CW538</f>
        <v>315</v>
      </c>
      <c r="CX511" s="61">
        <f>IF(ISERROR((CW511/CO511-1)*100),"NA",IF(((CW511/CO511-1)*100)&gt;100,"NM",IF(((CW511/CO511-1)*100)&lt;-50,"NM",(CW511/CO511-1)*100)))</f>
        <v>-3.0470914127423199</v>
      </c>
      <c r="CY511" s="284">
        <f>CY538</f>
        <v>362</v>
      </c>
      <c r="CZ511" s="61">
        <f>IF(ISERROR((CY511/CQ511-1)*100),"NA",IF(((CY511/CQ511-1)*100)&gt;100,"NM",IF(((CY511/CQ511-1)*100)&lt;-50,"NM",(CY511/CQ511-1)*100)))</f>
        <v>12.109012078042758</v>
      </c>
      <c r="DA511" s="284">
        <f>DA538</f>
        <v>310</v>
      </c>
      <c r="DB511" s="61">
        <f>IF(ISERROR((DA511/CS511-1)*100),"NA",IF(((DA511/CS511-1)*100)&gt;100,"NM",IF(((DA511/CS511-1)*100)&lt;-50,"NM",(DA511/CS511-1)*100)))</f>
        <v>11.913357400722013</v>
      </c>
      <c r="DC511" s="284">
        <f>DC538</f>
        <v>285</v>
      </c>
      <c r="DD511" s="61">
        <f>IF(ISERROR((DC511/CU511-1)*100),"NA",IF(((DC511/CU511-1)*100)&gt;100,"NM",IF(((DC511/CU511-1)*100)&lt;-50,"NM",(DC511/CU511-1)*100)))</f>
        <v>-2.7303754266211566</v>
      </c>
      <c r="DE511" s="284">
        <f>DE538</f>
        <v>351</v>
      </c>
      <c r="DF511" s="61">
        <f>IF(ISERROR((DE511/CW511-1)*100),"NA",IF(((DE511/CW511-1)*100)&gt;100,"NM",IF(((DE511/CW511-1)*100)&lt;-50,"NM",(DE511/CW511-1)*100)))</f>
        <v>11.428571428571432</v>
      </c>
      <c r="DG511" s="284">
        <f>DG538</f>
        <v>367</v>
      </c>
      <c r="DH511" s="61">
        <f>IF(ISERROR((DG511/CY511-1)*100),"NA",IF(((DG511/CY511-1)*100)&gt;100,"NM",IF(((DG511/CY511-1)*100)&lt;-50,"NM",(DG511/CY511-1)*100)))</f>
        <v>1.3812154696132506</v>
      </c>
      <c r="DI511" s="284">
        <f>DI538</f>
        <v>382</v>
      </c>
      <c r="DJ511" s="61">
        <f>IF(ISERROR((DI511/DA511-1)*100),"NA",IF(((DI511/DA511-1)*100)&gt;100,"NM",IF(((DI511/DA511-1)*100)&lt;-50,"NM",(DI511/DA511-1)*100)))</f>
        <v>23.225806451612897</v>
      </c>
      <c r="DK511" s="284">
        <f>DK538</f>
        <v>364</v>
      </c>
      <c r="DL511" s="61">
        <f>IF(ISERROR((DK511/DC511-1)*100),"NA",IF(((DK511/DC511-1)*100)&gt;100,"NM",IF(((DK511/DC511-1)*100)&lt;-50,"NM",(DK511/DC511-1)*100)))</f>
        <v>27.719298245614034</v>
      </c>
      <c r="DM511" s="284">
        <f>DM538</f>
        <v>395</v>
      </c>
      <c r="DN511" s="130">
        <f t="shared" si="2723"/>
        <v>12.535612535612529</v>
      </c>
      <c r="DO511" s="284">
        <f>DO538</f>
        <v>416</v>
      </c>
      <c r="DP511" s="130">
        <f t="shared" si="2723"/>
        <v>13.351498637602187</v>
      </c>
      <c r="DQ511" s="284">
        <f>DQ538</f>
        <v>440</v>
      </c>
      <c r="DR511" s="130">
        <f t="shared" si="2723"/>
        <v>15.18324607329844</v>
      </c>
      <c r="DS511" s="284">
        <f>DS538</f>
        <v>352</v>
      </c>
      <c r="DT511" s="130">
        <f t="shared" si="2723"/>
        <v>-3.2967032967032961</v>
      </c>
      <c r="DU511" s="284">
        <f>DU538</f>
        <v>371</v>
      </c>
      <c r="DV511" s="130">
        <f t="shared" si="2723"/>
        <v>-6.0759493670886062</v>
      </c>
      <c r="DW511" s="284">
        <f>DW538</f>
        <v>282</v>
      </c>
      <c r="DX511" s="284">
        <f t="shared" ref="DX511:DY511" si="2757">DX538</f>
        <v>282</v>
      </c>
      <c r="DY511" s="284">
        <f t="shared" si="2757"/>
        <v>382</v>
      </c>
      <c r="DZ511" s="130">
        <f t="shared" si="2723"/>
        <v>-13.181818181818183</v>
      </c>
      <c r="EA511" s="284">
        <f t="shared" ref="EA511:EC511" si="2758">EA538</f>
        <v>307</v>
      </c>
      <c r="EB511" s="130">
        <f t="shared" si="2726"/>
        <v>-12.784090909090907</v>
      </c>
      <c r="EC511" s="284">
        <f t="shared" si="2758"/>
        <v>373</v>
      </c>
      <c r="ED511" s="130">
        <f t="shared" si="2727"/>
        <v>0.53908355795149188</v>
      </c>
      <c r="EE511" s="284">
        <f t="shared" ref="EE511:EG511" si="2759">EE538</f>
        <v>441</v>
      </c>
      <c r="EF511" s="130">
        <f t="shared" si="2729"/>
        <v>56.38297872340425</v>
      </c>
      <c r="EG511" s="284">
        <f t="shared" si="2759"/>
        <v>409</v>
      </c>
      <c r="EH511" s="130">
        <f t="shared" si="2730"/>
        <v>7.0680628272251411</v>
      </c>
      <c r="EI511" s="284">
        <f t="shared" ref="EI511:EK511" si="2760">EI538</f>
        <v>442</v>
      </c>
      <c r="EJ511" s="130">
        <f t="shared" si="2732"/>
        <v>43.973941368078172</v>
      </c>
      <c r="EK511" s="284">
        <f t="shared" si="2760"/>
        <v>419</v>
      </c>
      <c r="EL511" s="130">
        <f t="shared" si="2733"/>
        <v>12.332439678284191</v>
      </c>
      <c r="EM511" s="284">
        <f t="shared" ref="EM511" si="2761">EM538</f>
        <v>454</v>
      </c>
      <c r="EN511" s="130">
        <f t="shared" si="2735"/>
        <v>2.947845804988658</v>
      </c>
      <c r="EO511" s="284">
        <f t="shared" ref="EO511" si="2762">EO538</f>
        <v>440</v>
      </c>
      <c r="EP511" s="130">
        <f t="shared" si="2737"/>
        <v>7.5794621026894937</v>
      </c>
      <c r="EQ511" s="284">
        <f t="shared" ref="EQ511:EW511" si="2763">EQ538</f>
        <v>433.01539174143363</v>
      </c>
      <c r="ER511" s="130">
        <f t="shared" si="2739"/>
        <v>-2.0327168005806251</v>
      </c>
      <c r="ES511" s="284">
        <f t="shared" si="2763"/>
        <v>460.45921990626726</v>
      </c>
      <c r="ET511" s="130">
        <f t="shared" si="2740"/>
        <v>9.894801886937298</v>
      </c>
      <c r="EU511" s="284">
        <f t="shared" si="2763"/>
        <v>479.13694888564487</v>
      </c>
      <c r="EV511" s="130">
        <f t="shared" si="2741"/>
        <v>5.5367728823006335</v>
      </c>
      <c r="EW511" s="284">
        <f t="shared" si="2763"/>
        <v>492.61294385852671</v>
      </c>
      <c r="EX511" s="130">
        <f t="shared" si="2742"/>
        <v>11.95748724057426</v>
      </c>
      <c r="EY511" s="66"/>
      <c r="EZ511" s="558"/>
      <c r="FA511" s="66"/>
      <c r="FB511" s="64"/>
      <c r="FC511" s="70"/>
      <c r="FD511" s="64"/>
      <c r="FE511" s="70"/>
      <c r="FF511" s="64"/>
      <c r="FG511" s="70"/>
      <c r="FH511" s="285">
        <v>644.70000000000005</v>
      </c>
      <c r="FI511" s="281" t="s">
        <v>101</v>
      </c>
      <c r="FJ511" s="285">
        <v>432.2</v>
      </c>
      <c r="FK511" s="281">
        <v>-32.961067163021518</v>
      </c>
      <c r="FL511" s="285">
        <v>592.79999999999995</v>
      </c>
      <c r="FM511" s="283">
        <v>37.158722813512313</v>
      </c>
      <c r="FN511" s="285">
        <v>724.92</v>
      </c>
      <c r="FO511" s="283">
        <v>22.287449392712478</v>
      </c>
      <c r="FP511" s="284">
        <f>FP538</f>
        <v>959.95600000000002</v>
      </c>
      <c r="FQ511" s="61">
        <f>IF(ISERROR((FP511/FN511-1)*100),"NA",IF(((FP511/FN511-1)*100)&gt;100,"NM",IF(((FP511/FN511-1)*100)&lt;-50,"NM",(FP511/FN511-1)*100)))</f>
        <v>32.42233625779398</v>
      </c>
      <c r="FR511" s="284">
        <f>FR538</f>
        <v>1288.6399999999999</v>
      </c>
      <c r="FS511" s="61">
        <f>IF(ISERROR((FR511/FP511-1)*100),"NA",IF(((FR511/FP511-1)*100)&gt;100,"NM",IF(((FR511/FP511-1)*100)&lt;-50,"NM",(FR511/FP511-1)*100)))</f>
        <v>34.239485976440577</v>
      </c>
      <c r="FT511" s="284">
        <f>FT538</f>
        <v>1323.7999999999995</v>
      </c>
      <c r="FU511" s="61">
        <f>IF(ISERROR((FT511/FR511-1)*100),"NA",IF(((FT511/FR511-1)*100)&gt;100,"NM",IF(((FT511/FR511-1)*100)&lt;-50,"NM",(FT511/FR511-1)*100)))</f>
        <v>2.7284579091134464</v>
      </c>
      <c r="FV511" s="284">
        <f>FV538</f>
        <v>779.00000000000045</v>
      </c>
      <c r="FW511" s="61">
        <f>IF(ISERROR((FV511/FT511-1)*100),"NA",IF(((FV511/FT511-1)*100)&gt;100,"NM",IF(((FV511/FT511-1)*100)&lt;-50,"NM",(FV511/FT511-1)*100)))</f>
        <v>-41.154252908294254</v>
      </c>
      <c r="FX511" s="284">
        <f>FX538</f>
        <v>943.11000000000024</v>
      </c>
      <c r="FY511" s="61">
        <f>IF(ISERROR((FX511/FV511-1)*100),"NA",IF(((FX511/FV511-1)*100)&gt;100,"NM",IF(((FX511/FV511-1)*100)&lt;-50,"NM",(FX511/FV511-1)*100)))</f>
        <v>21.06675224646979</v>
      </c>
      <c r="FZ511" s="284">
        <f>FZ538</f>
        <v>1038.0999999999995</v>
      </c>
      <c r="GA511" s="61">
        <f>IF(ISERROR((FZ511/FX511-1)*100),"NA",IF(((FZ511/FX511-1)*100)&gt;100,"NM",IF(((FZ511/FX511-1)*100)&lt;-50,"NM",(FZ511/FX511-1)*100)))</f>
        <v>10.07199584353884</v>
      </c>
      <c r="GB511" s="284">
        <f>GB538</f>
        <v>1246.7000000000003</v>
      </c>
      <c r="GC511" s="61">
        <f>IF(ISERROR((GB511/FZ511-1)*100),"NA",IF(((GB511/FZ511-1)*100)&gt;100,"NM",IF(((GB511/FZ511-1)*100)&lt;-50,"NM",(GB511/FZ511-1)*100)))</f>
        <v>20.094403236682503</v>
      </c>
      <c r="GD511" s="284">
        <f>GD538</f>
        <v>1280</v>
      </c>
      <c r="GE511" s="61">
        <f>IF(ISERROR((GD511/GB511-1)*100),"NA",IF(((GD511/GB511-1)*100)&gt;100,"NM",IF(((GD511/GB511-1)*100)&lt;-50,"NM",(GD511/GB511-1)*100)))</f>
        <v>2.6710515761610321</v>
      </c>
      <c r="GF511" s="284">
        <f>GF538</f>
        <v>1385</v>
      </c>
      <c r="GG511" s="61">
        <f>IF(ISERROR((GF511/GD511-1)*100),"NA",IF(((GF511/GD511-1)*100)&gt;100,"NM",IF(((GF511/GD511-1)*100)&lt;-50,"NM",(GF511/GD511-1)*100)))</f>
        <v>8.203125</v>
      </c>
      <c r="GH511" s="284">
        <f>GH538</f>
        <v>1615</v>
      </c>
      <c r="GI511" s="61">
        <f>IF(ISERROR((GH511/GF511-1)*100),"NA",IF(((GH511/GF511-1)*100)&gt;100,"NM",IF(((GH511/GF511-1)*100)&lt;-50,"NM",(GH511/GF511-1)*100)))</f>
        <v>16.606498194945839</v>
      </c>
      <c r="GJ511" s="284">
        <f>GJ538</f>
        <v>1387</v>
      </c>
      <c r="GK511" s="61">
        <f>IF(ISERROR((GJ511/GH511-1)*100),"NA",IF(((GJ511/GH511-1)*100)&gt;100,"NM",IF(((GJ511/GH511-1)*100)&lt;-50,"NM",(GJ511/GH511-1)*100)))</f>
        <v>-14.117647058823534</v>
      </c>
      <c r="GL511" s="284">
        <f>GL538</f>
        <v>1530</v>
      </c>
      <c r="GM511" s="61">
        <f>IF(ISERROR((GL511/GJ511-1)*100),"NA",IF(((GL511/GJ511-1)*100)&gt;100,"NM",IF(((GL511/GJ511-1)*100)&lt;-50,"NM",(GL511/GJ511-1)*100)))</f>
        <v>10.31002162941601</v>
      </c>
      <c r="GN511" s="284">
        <f>GN538</f>
        <v>1755</v>
      </c>
      <c r="GO511" s="61">
        <f>IF(ISERROR((GN511/GL511-1)*100),"NA",IF(((GN511/GL511-1)*100)&gt;100,"NM",IF(((GN511/GL511-1)*100)&lt;-50,"NM",(GN511/GL511-1)*100)))</f>
        <v>14.705882352941169</v>
      </c>
      <c r="GP511" s="284">
        <f>GP538</f>
        <v>1865.2245043918708</v>
      </c>
      <c r="GQ511" s="61">
        <f>IF(ISERROR((GP511/GN511-1)*100),"NA",IF(((GP511/GN511-1)*100)&gt;100,"NM",IF(((GP511/GN511-1)*100)&lt;-50,"NM",(GP511/GN511-1)*100)))</f>
        <v>6.2805985408473486</v>
      </c>
      <c r="GR511" s="284">
        <f>GR538</f>
        <v>1997.2805153712757</v>
      </c>
      <c r="GS511" s="61">
        <f>IF(ISERROR((GR511/GP511-1)*100),"NA",IF(((GR511/GP511-1)*100)&gt;100,"NM",IF(((GR511/GP511-1)*100)&lt;-50,"NM",(GR511/GP511-1)*100)))</f>
        <v>7.0798989970625392</v>
      </c>
      <c r="GT511" s="284">
        <f>GT538</f>
        <v>2187.2095019673025</v>
      </c>
      <c r="GU511" s="61">
        <f>IF(ISERROR((GT511/GR511-1)*100),"NA",IF(((GT511/GR511-1)*100)&gt;100,"NM",IF(((GT511/GR511-1)*100)&lt;-50,"NM",(GT511/GR511-1)*100)))</f>
        <v>9.5093796356753089</v>
      </c>
      <c r="GV511" s="284">
        <f>GV538</f>
        <v>2296.8237050363132</v>
      </c>
      <c r="GW511" s="61">
        <f>IF(ISERROR((GV511/GT511-1)*100),"NA",IF(((GV511/GT511-1)*100)&gt;100,"NM",IF(((GV511/GT511-1)*100)&lt;-50,"NM",(GV511/GT511-1)*100)))</f>
        <v>5.0116005334842173</v>
      </c>
      <c r="GX511" s="284">
        <f>GX538</f>
        <v>2417.6717699682927</v>
      </c>
      <c r="GY511" s="61">
        <f>IF(ISERROR((GX511/GV511-1)*100),"NA",IF(((GX511/GV511-1)*100)&gt;100,"NM",IF(((GX511/GV511-1)*100)&lt;-50,"NM",(GX511/GV511-1)*100)))</f>
        <v>5.2615298539018251</v>
      </c>
      <c r="GZ511" s="61">
        <f t="shared" si="2572"/>
        <v>6.6164072778214678</v>
      </c>
      <c r="HA511" s="61"/>
      <c r="HB511" s="452"/>
      <c r="HC511"/>
      <c r="HD511"/>
      <c r="HE511"/>
      <c r="HF511"/>
      <c r="HG511"/>
      <c r="HH511"/>
    </row>
    <row r="512" spans="1:216" s="521" customFormat="1" ht="12.75" customHeight="1" x14ac:dyDescent="0.2">
      <c r="B512" s="522"/>
      <c r="C512" s="511"/>
      <c r="D512" s="469"/>
      <c r="E512" s="511"/>
      <c r="F512" s="511"/>
      <c r="G512" s="512"/>
      <c r="H512" s="511"/>
      <c r="I512" s="512"/>
      <c r="J512" s="511"/>
      <c r="K512" s="512"/>
      <c r="L512" s="470"/>
      <c r="M512" s="511"/>
      <c r="N512" s="470"/>
      <c r="O512" s="512"/>
      <c r="P512" s="470"/>
      <c r="Q512" s="512"/>
      <c r="R512" s="470"/>
      <c r="S512" s="512"/>
      <c r="T512" s="470"/>
      <c r="U512" s="512"/>
      <c r="V512" s="470"/>
      <c r="W512" s="512"/>
      <c r="X512" s="470"/>
      <c r="Y512" s="512"/>
      <c r="Z512" s="470"/>
      <c r="AA512" s="512"/>
      <c r="AB512" s="470"/>
      <c r="AC512" s="512"/>
      <c r="AD512" s="470"/>
      <c r="AE512" s="512"/>
      <c r="AF512" s="470"/>
      <c r="AG512" s="512"/>
      <c r="AH512" s="470"/>
      <c r="AI512" s="512"/>
      <c r="AJ512" s="470"/>
      <c r="AK512" s="512"/>
      <c r="AL512" s="470"/>
      <c r="AM512" s="512"/>
      <c r="AN512" s="470"/>
      <c r="AO512" s="512"/>
      <c r="AP512" s="470"/>
      <c r="AQ512" s="512"/>
      <c r="AR512" s="470"/>
      <c r="AS512" s="512"/>
      <c r="AT512" s="470"/>
      <c r="AU512" s="512"/>
      <c r="AV512" s="470"/>
      <c r="AW512" s="512"/>
      <c r="AX512" s="470"/>
      <c r="AY512" s="512"/>
      <c r="AZ512" s="470"/>
      <c r="BA512" s="512"/>
      <c r="BB512" s="470"/>
      <c r="BC512" s="512"/>
      <c r="BD512" s="470"/>
      <c r="BE512" s="512"/>
      <c r="BF512" s="470"/>
      <c r="BG512" s="512"/>
      <c r="BH512" s="470"/>
      <c r="BI512" s="512"/>
      <c r="BJ512" s="470"/>
      <c r="BK512" s="512"/>
      <c r="BL512" s="470"/>
      <c r="BM512" s="512"/>
      <c r="BN512" s="470"/>
      <c r="BO512" s="512"/>
      <c r="BP512" s="470"/>
      <c r="BQ512" s="512"/>
      <c r="BR512" s="470"/>
      <c r="BS512" s="512"/>
      <c r="BT512" s="470"/>
      <c r="BU512" s="512"/>
      <c r="BV512" s="470"/>
      <c r="BW512" s="512"/>
      <c r="BX512" s="470"/>
      <c r="BY512" s="512"/>
      <c r="BZ512" s="470"/>
      <c r="CA512" s="511"/>
      <c r="CB512" s="470"/>
      <c r="CC512" s="512"/>
      <c r="CD512" s="470"/>
      <c r="CE512" s="512"/>
      <c r="CF512" s="470"/>
      <c r="CG512" s="512"/>
      <c r="CH512" s="470"/>
      <c r="CI512" s="512"/>
      <c r="CJ512" s="470"/>
      <c r="CK512" s="512"/>
      <c r="CL512" s="470"/>
      <c r="CM512" s="512"/>
      <c r="CN512" s="470"/>
      <c r="CO512" s="512"/>
      <c r="CP512" s="470"/>
      <c r="CQ512" s="512"/>
      <c r="CR512" s="470"/>
      <c r="CS512" s="512"/>
      <c r="CT512" s="470"/>
      <c r="CU512" s="512"/>
      <c r="CV512" s="470"/>
      <c r="CW512" s="512"/>
      <c r="CX512" s="470"/>
      <c r="CY512" s="512"/>
      <c r="CZ512" s="470"/>
      <c r="DA512" s="512"/>
      <c r="DB512" s="470"/>
      <c r="DC512" s="512"/>
      <c r="DD512" s="470"/>
      <c r="DE512" s="512"/>
      <c r="DF512" s="470"/>
      <c r="DG512" s="512"/>
      <c r="DH512" s="470"/>
      <c r="DI512" s="512"/>
      <c r="DJ512" s="470"/>
      <c r="DK512" s="512"/>
      <c r="DL512" s="470"/>
      <c r="DM512" s="512"/>
      <c r="DN512" s="470"/>
      <c r="DO512" s="512"/>
      <c r="DP512" s="470"/>
      <c r="DQ512" s="512"/>
      <c r="DR512" s="470"/>
      <c r="DS512" s="512"/>
      <c r="DT512" s="470"/>
      <c r="DU512" s="512"/>
      <c r="DV512" s="470"/>
      <c r="DW512" s="512"/>
      <c r="DX512" s="512"/>
      <c r="DY512" s="512"/>
      <c r="DZ512" s="470"/>
      <c r="EA512" s="512"/>
      <c r="EB512" s="470"/>
      <c r="EC512" s="512"/>
      <c r="ED512" s="470"/>
      <c r="EE512" s="512"/>
      <c r="EF512" s="470"/>
      <c r="EG512" s="512"/>
      <c r="EH512" s="470"/>
      <c r="EI512" s="512"/>
      <c r="EJ512" s="470"/>
      <c r="EK512" s="512"/>
      <c r="EL512" s="470"/>
      <c r="EM512" s="512"/>
      <c r="EN512" s="470"/>
      <c r="EO512" s="512"/>
      <c r="EP512" s="470"/>
      <c r="EQ512" s="512"/>
      <c r="ER512" s="470"/>
      <c r="ES512" s="512"/>
      <c r="ET512" s="470"/>
      <c r="EU512" s="512"/>
      <c r="EV512" s="470"/>
      <c r="EW512" s="512"/>
      <c r="EX512" s="470"/>
      <c r="EY512" s="511"/>
      <c r="EZ512" s="558"/>
      <c r="FA512" s="511"/>
      <c r="FB512" s="511"/>
      <c r="FC512" s="511"/>
      <c r="FD512" s="511"/>
      <c r="FE512" s="469"/>
      <c r="FF512" s="511"/>
      <c r="FG512" s="469"/>
      <c r="FH512" s="511"/>
      <c r="FI512" s="469"/>
      <c r="FJ512" s="511"/>
      <c r="FK512" s="469"/>
      <c r="FL512" s="511"/>
      <c r="FM512" s="470"/>
      <c r="FN512" s="511"/>
      <c r="FO512" s="470"/>
      <c r="FP512" s="512"/>
      <c r="FQ512" s="470"/>
      <c r="FR512" s="512"/>
      <c r="FS512" s="470"/>
      <c r="FT512" s="512"/>
      <c r="FU512" s="470"/>
      <c r="FV512" s="512"/>
      <c r="FW512" s="470"/>
      <c r="FX512" s="512"/>
      <c r="FY512" s="470"/>
      <c r="FZ512" s="512"/>
      <c r="GA512" s="470"/>
      <c r="GB512" s="512"/>
      <c r="GC512" s="470"/>
      <c r="GD512" s="512"/>
      <c r="GE512" s="470"/>
      <c r="GF512" s="512"/>
      <c r="GG512" s="470"/>
      <c r="GH512" s="512"/>
      <c r="GI512" s="470"/>
      <c r="GJ512" s="512"/>
      <c r="GK512" s="470"/>
      <c r="GL512" s="512"/>
      <c r="GM512" s="470"/>
      <c r="GN512" s="512"/>
      <c r="GO512" s="470"/>
      <c r="GP512" s="512"/>
      <c r="GQ512" s="470"/>
      <c r="GR512" s="512"/>
      <c r="GS512" s="470"/>
      <c r="GT512" s="512"/>
      <c r="GU512" s="470"/>
      <c r="GV512" s="512"/>
      <c r="GW512" s="470"/>
      <c r="GX512" s="512"/>
      <c r="GY512" s="470"/>
      <c r="GZ512" s="470" t="str">
        <f t="shared" si="2572"/>
        <v/>
      </c>
      <c r="HA512" s="470"/>
      <c r="HB512" s="523"/>
      <c r="HC512"/>
      <c r="HD512"/>
      <c r="HE512"/>
      <c r="HF512"/>
      <c r="HG512"/>
      <c r="HH512"/>
    </row>
    <row r="513" spans="1:216" s="623" customFormat="1" ht="12.75" customHeight="1" x14ac:dyDescent="0.2">
      <c r="B513" s="624" t="s">
        <v>54</v>
      </c>
      <c r="C513" s="625"/>
      <c r="D513" s="626"/>
      <c r="E513" s="625"/>
      <c r="F513" s="625"/>
      <c r="G513" s="625"/>
      <c r="H513" s="625"/>
      <c r="I513" s="625"/>
      <c r="J513" s="625"/>
      <c r="K513" s="625"/>
      <c r="L513" s="627"/>
      <c r="M513" s="625"/>
      <c r="N513" s="627"/>
      <c r="O513" s="625"/>
      <c r="P513" s="627"/>
      <c r="Q513" s="625"/>
      <c r="R513" s="627"/>
      <c r="S513" s="625"/>
      <c r="T513" s="627"/>
      <c r="U513" s="625"/>
      <c r="V513" s="627"/>
      <c r="W513" s="625"/>
      <c r="X513" s="627"/>
      <c r="Y513" s="625"/>
      <c r="Z513" s="627"/>
      <c r="AA513" s="625"/>
      <c r="AB513" s="627"/>
      <c r="AC513" s="625"/>
      <c r="AD513" s="627"/>
      <c r="AE513" s="625"/>
      <c r="AF513" s="627"/>
      <c r="AG513" s="625"/>
      <c r="AH513" s="627"/>
      <c r="AI513" s="625"/>
      <c r="AJ513" s="627"/>
      <c r="AK513" s="625"/>
      <c r="AL513" s="627"/>
      <c r="AM513" s="625"/>
      <c r="AN513" s="627"/>
      <c r="AO513" s="625"/>
      <c r="AP513" s="627"/>
      <c r="AQ513" s="625"/>
      <c r="AR513" s="627"/>
      <c r="AS513" s="625"/>
      <c r="AT513" s="627"/>
      <c r="AU513" s="625"/>
      <c r="AV513" s="627"/>
      <c r="AW513" s="625"/>
      <c r="AX513" s="627"/>
      <c r="AY513" s="625"/>
      <c r="AZ513" s="627"/>
      <c r="BA513" s="625"/>
      <c r="BB513" s="627"/>
      <c r="BC513" s="625"/>
      <c r="BD513" s="627"/>
      <c r="BE513" s="625"/>
      <c r="BF513" s="627"/>
      <c r="BG513" s="625"/>
      <c r="BH513" s="627"/>
      <c r="BI513" s="625"/>
      <c r="BJ513" s="627"/>
      <c r="BK513" s="625"/>
      <c r="BL513" s="627"/>
      <c r="BM513" s="625"/>
      <c r="BN513" s="627"/>
      <c r="BO513" s="625"/>
      <c r="BP513" s="627"/>
      <c r="BQ513" s="625"/>
      <c r="BR513" s="627"/>
      <c r="BS513" s="625"/>
      <c r="BT513" s="627"/>
      <c r="BU513" s="625"/>
      <c r="BV513" s="627"/>
      <c r="BW513" s="625"/>
      <c r="BX513" s="627"/>
      <c r="BY513" s="625"/>
      <c r="BZ513" s="627"/>
      <c r="CA513" s="625"/>
      <c r="CB513" s="627"/>
      <c r="CC513" s="625"/>
      <c r="CD513" s="627"/>
      <c r="CE513" s="625"/>
      <c r="CF513" s="627"/>
      <c r="CG513" s="625"/>
      <c r="CH513" s="627"/>
      <c r="CI513" s="625"/>
      <c r="CJ513" s="627"/>
      <c r="CK513" s="625"/>
      <c r="CL513" s="627"/>
      <c r="CM513" s="625"/>
      <c r="CN513" s="627"/>
      <c r="CO513" s="625"/>
      <c r="CP513" s="627"/>
      <c r="CQ513" s="625"/>
      <c r="CR513" s="627"/>
      <c r="CS513" s="625"/>
      <c r="CT513" s="627"/>
      <c r="CU513" s="625"/>
      <c r="CV513" s="627"/>
      <c r="CW513" s="625"/>
      <c r="CX513" s="627"/>
      <c r="CY513" s="625"/>
      <c r="CZ513" s="627"/>
      <c r="DA513" s="625"/>
      <c r="DB513" s="627"/>
      <c r="DC513" s="625"/>
      <c r="DD513" s="627"/>
      <c r="DE513" s="625"/>
      <c r="DF513" s="627"/>
      <c r="DG513" s="625"/>
      <c r="DH513" s="627"/>
      <c r="DI513" s="625"/>
      <c r="DJ513" s="627"/>
      <c r="DK513" s="625"/>
      <c r="DL513" s="627"/>
      <c r="DM513" s="625"/>
      <c r="DN513" s="627"/>
      <c r="DO513" s="625"/>
      <c r="DP513" s="627"/>
      <c r="DQ513" s="625"/>
      <c r="DR513" s="627"/>
      <c r="DS513" s="625"/>
      <c r="DT513" s="627"/>
      <c r="DU513" s="625"/>
      <c r="DV513" s="627"/>
      <c r="DW513" s="625"/>
      <c r="DX513" s="625"/>
      <c r="DY513" s="625"/>
      <c r="DZ513" s="627"/>
      <c r="EA513" s="625"/>
      <c r="EB513" s="627"/>
      <c r="EC513" s="625"/>
      <c r="ED513" s="627"/>
      <c r="EE513" s="625"/>
      <c r="EF513" s="627"/>
      <c r="EG513" s="625"/>
      <c r="EH513" s="627"/>
      <c r="EI513" s="625"/>
      <c r="EJ513" s="627"/>
      <c r="EK513" s="625"/>
      <c r="EL513" s="627"/>
      <c r="EM513" s="625"/>
      <c r="EN513" s="627"/>
      <c r="EO513" s="625"/>
      <c r="EP513" s="627"/>
      <c r="EQ513" s="625"/>
      <c r="ER513" s="627"/>
      <c r="ES513" s="625"/>
      <c r="ET513" s="627"/>
      <c r="EU513" s="625"/>
      <c r="EV513" s="627"/>
      <c r="EW513" s="625"/>
      <c r="EX513" s="627"/>
      <c r="EY513" s="628"/>
      <c r="EZ513" s="558"/>
      <c r="FA513" s="628"/>
      <c r="FB513" s="625"/>
      <c r="FC513" s="625"/>
      <c r="FD513" s="625"/>
      <c r="FE513" s="626"/>
      <c r="FF513" s="625"/>
      <c r="FG513" s="626"/>
      <c r="FH513" s="625"/>
      <c r="FI513" s="626"/>
      <c r="FJ513" s="625"/>
      <c r="FK513" s="626"/>
      <c r="FL513" s="625"/>
      <c r="FM513" s="627"/>
      <c r="FN513" s="625"/>
      <c r="FO513" s="627"/>
      <c r="FP513" s="625"/>
      <c r="FQ513" s="627"/>
      <c r="FR513" s="625"/>
      <c r="FS513" s="627"/>
      <c r="FT513" s="625"/>
      <c r="FU513" s="627"/>
      <c r="FV513" s="625"/>
      <c r="FW513" s="627"/>
      <c r="FX513" s="625"/>
      <c r="FY513" s="627"/>
      <c r="FZ513" s="625"/>
      <c r="GA513" s="627"/>
      <c r="GB513" s="625"/>
      <c r="GC513" s="627"/>
      <c r="GD513" s="625"/>
      <c r="GE513" s="627"/>
      <c r="GF513" s="625"/>
      <c r="GG513" s="627"/>
      <c r="GH513" s="625"/>
      <c r="GI513" s="627"/>
      <c r="GJ513" s="625"/>
      <c r="GK513" s="627"/>
      <c r="GL513" s="625"/>
      <c r="GM513" s="627"/>
      <c r="GN513" s="625"/>
      <c r="GO513" s="627"/>
      <c r="GP513" s="625"/>
      <c r="GQ513" s="627"/>
      <c r="GR513" s="625"/>
      <c r="GS513" s="627"/>
      <c r="GT513" s="625"/>
      <c r="GU513" s="627"/>
      <c r="GV513" s="625"/>
      <c r="GW513" s="627"/>
      <c r="GX513" s="625"/>
      <c r="GY513" s="627"/>
      <c r="GZ513" s="627"/>
      <c r="HA513" s="627"/>
      <c r="HB513" s="629"/>
      <c r="HC513"/>
      <c r="HD513"/>
      <c r="HE513"/>
      <c r="HF513"/>
      <c r="HG513"/>
      <c r="HH513"/>
    </row>
    <row r="514" spans="1:216" s="298" customFormat="1" ht="12.75" customHeight="1" x14ac:dyDescent="0.2">
      <c r="A514" s="5"/>
      <c r="B514" s="291"/>
      <c r="C514" s="292"/>
      <c r="D514" s="293"/>
      <c r="E514" s="294"/>
      <c r="F514" s="294"/>
      <c r="G514" s="294"/>
      <c r="H514" s="294"/>
      <c r="I514" s="294"/>
      <c r="J514" s="294"/>
      <c r="K514" s="295"/>
      <c r="L514" s="61"/>
      <c r="M514" s="294"/>
      <c r="N514" s="61"/>
      <c r="O514" s="294"/>
      <c r="P514" s="61"/>
      <c r="Q514" s="294"/>
      <c r="R514" s="61"/>
      <c r="S514" s="294"/>
      <c r="T514" s="61"/>
      <c r="U514" s="294"/>
      <c r="V514" s="61"/>
      <c r="W514" s="294"/>
      <c r="X514" s="61"/>
      <c r="Y514" s="294"/>
      <c r="Z514" s="61"/>
      <c r="AA514" s="294"/>
      <c r="AB514" s="61"/>
      <c r="AC514" s="294"/>
      <c r="AD514" s="61"/>
      <c r="AE514" s="294"/>
      <c r="AF514" s="61"/>
      <c r="AG514" s="294"/>
      <c r="AH514" s="61"/>
      <c r="AI514" s="294"/>
      <c r="AJ514" s="61"/>
      <c r="AK514" s="294"/>
      <c r="AL514" s="61"/>
      <c r="AM514" s="294"/>
      <c r="AN514" s="61"/>
      <c r="AO514" s="294"/>
      <c r="AP514" s="61"/>
      <c r="AQ514" s="294"/>
      <c r="AR514" s="61"/>
      <c r="AS514" s="294"/>
      <c r="AT514" s="61"/>
      <c r="AU514" s="294"/>
      <c r="AV514" s="61"/>
      <c r="AW514" s="294"/>
      <c r="AX514" s="61"/>
      <c r="AY514" s="294"/>
      <c r="AZ514" s="61"/>
      <c r="BA514" s="294"/>
      <c r="BB514" s="61"/>
      <c r="BC514" s="294"/>
      <c r="BD514" s="61"/>
      <c r="BE514" s="294"/>
      <c r="BF514" s="61"/>
      <c r="BG514" s="294"/>
      <c r="BH514" s="61"/>
      <c r="BI514" s="294"/>
      <c r="BJ514" s="61"/>
      <c r="BK514" s="294"/>
      <c r="BL514" s="61"/>
      <c r="BM514" s="294"/>
      <c r="BN514" s="61"/>
      <c r="BO514" s="294"/>
      <c r="BP514" s="61"/>
      <c r="BQ514" s="294"/>
      <c r="BR514" s="61"/>
      <c r="BS514" s="294"/>
      <c r="BT514" s="61"/>
      <c r="BU514" s="294"/>
      <c r="BV514" s="61"/>
      <c r="BW514" s="294"/>
      <c r="BX514" s="61"/>
      <c r="BY514" s="294"/>
      <c r="BZ514" s="61"/>
      <c r="CA514" s="294"/>
      <c r="CB514" s="61"/>
      <c r="CC514" s="294"/>
      <c r="CD514" s="61"/>
      <c r="CE514" s="294"/>
      <c r="CF514" s="61"/>
      <c r="CG514" s="294"/>
      <c r="CH514" s="61"/>
      <c r="CI514" s="294"/>
      <c r="CJ514" s="61"/>
      <c r="CK514" s="294"/>
      <c r="CL514" s="61"/>
      <c r="CM514" s="294"/>
      <c r="CN514" s="61"/>
      <c r="CO514" s="294"/>
      <c r="CP514" s="61"/>
      <c r="CQ514" s="294"/>
      <c r="CR514" s="61"/>
      <c r="CS514" s="294"/>
      <c r="CT514" s="61"/>
      <c r="CU514" s="294"/>
      <c r="CV514" s="61"/>
      <c r="CW514" s="294"/>
      <c r="CX514" s="61"/>
      <c r="CY514" s="294"/>
      <c r="CZ514" s="61"/>
      <c r="DA514" s="294"/>
      <c r="DB514" s="61"/>
      <c r="DC514" s="294"/>
      <c r="DD514" s="61"/>
      <c r="DE514" s="294"/>
      <c r="DF514" s="61"/>
      <c r="DG514" s="294"/>
      <c r="DH514" s="61"/>
      <c r="DI514" s="294"/>
      <c r="DJ514" s="61"/>
      <c r="DK514" s="294"/>
      <c r="DL514" s="61"/>
      <c r="DM514" s="294"/>
      <c r="DN514" s="61"/>
      <c r="DO514" s="294"/>
      <c r="DP514" s="61"/>
      <c r="DQ514" s="294"/>
      <c r="DR514" s="61"/>
      <c r="DS514" s="294"/>
      <c r="DT514" s="61"/>
      <c r="DU514" s="294"/>
      <c r="DV514" s="61"/>
      <c r="DW514" s="294"/>
      <c r="DX514" s="294"/>
      <c r="DY514" s="294"/>
      <c r="DZ514" s="61"/>
      <c r="EA514" s="294"/>
      <c r="EB514" s="61"/>
      <c r="EC514" s="294"/>
      <c r="ED514" s="61"/>
      <c r="EE514" s="294"/>
      <c r="EF514" s="61"/>
      <c r="EG514" s="294"/>
      <c r="EH514" s="61"/>
      <c r="EI514" s="294"/>
      <c r="EJ514" s="61"/>
      <c r="EK514" s="294"/>
      <c r="EL514" s="61"/>
      <c r="EM514" s="294"/>
      <c r="EN514" s="61"/>
      <c r="EO514" s="294"/>
      <c r="EP514" s="61"/>
      <c r="EQ514" s="294"/>
      <c r="ER514" s="61"/>
      <c r="ES514" s="294"/>
      <c r="ET514" s="61"/>
      <c r="EU514" s="294"/>
      <c r="EV514" s="61"/>
      <c r="EW514" s="294"/>
      <c r="EX514" s="61"/>
      <c r="EY514" s="292"/>
      <c r="EZ514" s="558"/>
      <c r="FA514" s="292"/>
      <c r="FB514" s="294"/>
      <c r="FC514" s="294"/>
      <c r="FD514" s="294"/>
      <c r="FE514" s="293"/>
      <c r="FF514" s="294"/>
      <c r="FG514" s="293"/>
      <c r="FH514" s="294"/>
      <c r="FI514" s="293"/>
      <c r="FJ514" s="294"/>
      <c r="FK514" s="293"/>
      <c r="FL514" s="296"/>
      <c r="FM514" s="61"/>
      <c r="FN514" s="296"/>
      <c r="FO514" s="61"/>
      <c r="FP514" s="297"/>
      <c r="FQ514" s="61"/>
      <c r="FR514" s="297"/>
      <c r="FS514" s="61"/>
      <c r="FT514" s="297"/>
      <c r="FU514" s="61"/>
      <c r="FV514" s="297"/>
      <c r="FW514" s="61"/>
      <c r="FX514" s="297"/>
      <c r="FY514" s="61"/>
      <c r="FZ514" s="297"/>
      <c r="GA514" s="61"/>
      <c r="GB514" s="297"/>
      <c r="GC514" s="61"/>
      <c r="GD514" s="297"/>
      <c r="GE514" s="61"/>
      <c r="GF514" s="297"/>
      <c r="GG514" s="61"/>
      <c r="GH514" s="297"/>
      <c r="GI514" s="61"/>
      <c r="GJ514" s="297"/>
      <c r="GK514" s="61"/>
      <c r="GL514" s="297"/>
      <c r="GM514" s="61"/>
      <c r="GN514" s="297"/>
      <c r="GO514" s="61"/>
      <c r="GP514" s="297"/>
      <c r="GQ514" s="61"/>
      <c r="GR514" s="294"/>
      <c r="GS514" s="61"/>
      <c r="GT514" s="294"/>
      <c r="GU514" s="61"/>
      <c r="GV514" s="294"/>
      <c r="GW514" s="61"/>
      <c r="GX514" s="294"/>
      <c r="GY514" s="61"/>
      <c r="GZ514" s="61" t="str">
        <f>IF(ISERROR((GX514/GN514)^0.2),"",IF(OR((GX514/GN514)^0.2&lt;0.5,(GX514/GN514)^0.2&gt;2),"NM",((GX514/GN514)^0.2-1)*100))</f>
        <v/>
      </c>
      <c r="HA514" s="61"/>
      <c r="HB514" s="452"/>
      <c r="HC514"/>
      <c r="HD514"/>
      <c r="HE514"/>
      <c r="HF514"/>
      <c r="HG514"/>
      <c r="HH514"/>
    </row>
    <row r="515" spans="1:216" s="298" customFormat="1" ht="12.75" customHeight="1" x14ac:dyDescent="0.2">
      <c r="A515" s="5"/>
      <c r="B515" s="291" t="s">
        <v>226</v>
      </c>
      <c r="C515" s="292"/>
      <c r="D515" s="293"/>
      <c r="E515" s="294"/>
      <c r="F515" s="294"/>
      <c r="G515" s="294"/>
      <c r="H515" s="294"/>
      <c r="I515" s="294"/>
      <c r="J515" s="294"/>
      <c r="K515" s="295"/>
      <c r="L515" s="61"/>
      <c r="M515" s="294"/>
      <c r="N515" s="61"/>
      <c r="O515" s="294"/>
      <c r="P515" s="61"/>
      <c r="Q515" s="294"/>
      <c r="R515" s="61"/>
      <c r="S515" s="294"/>
      <c r="T515" s="61"/>
      <c r="U515" s="294"/>
      <c r="V515" s="61"/>
      <c r="W515" s="294"/>
      <c r="X515" s="61"/>
      <c r="Y515" s="294"/>
      <c r="Z515" s="61"/>
      <c r="AA515" s="294"/>
      <c r="AB515" s="61"/>
      <c r="AC515" s="294"/>
      <c r="AD515" s="61"/>
      <c r="AE515" s="294"/>
      <c r="AF515" s="61"/>
      <c r="AG515" s="294"/>
      <c r="AH515" s="61"/>
      <c r="AI515" s="294"/>
      <c r="AJ515" s="61"/>
      <c r="AK515" s="294"/>
      <c r="AL515" s="61"/>
      <c r="AM515" s="294"/>
      <c r="AN515" s="61"/>
      <c r="AO515" s="294"/>
      <c r="AP515" s="61"/>
      <c r="AQ515" s="294"/>
      <c r="AR515" s="61"/>
      <c r="AS515" s="294"/>
      <c r="AT515" s="61"/>
      <c r="AU515" s="294"/>
      <c r="AV515" s="61"/>
      <c r="AW515" s="294"/>
      <c r="AX515" s="61"/>
      <c r="AY515" s="294"/>
      <c r="AZ515" s="61"/>
      <c r="BA515" s="294"/>
      <c r="BB515" s="61"/>
      <c r="BC515" s="294"/>
      <c r="BD515" s="61"/>
      <c r="BE515" s="294"/>
      <c r="BF515" s="61"/>
      <c r="BG515" s="538" t="s">
        <v>255</v>
      </c>
      <c r="BH515" s="61"/>
      <c r="BI515" s="294"/>
      <c r="BJ515" s="61"/>
      <c r="BK515" s="538"/>
      <c r="BL515" s="61"/>
      <c r="BM515" s="294"/>
      <c r="BN515" s="61"/>
      <c r="BO515" s="294"/>
      <c r="BP515" s="61"/>
      <c r="BQ515" s="294"/>
      <c r="BR515" s="61"/>
      <c r="BS515" s="294"/>
      <c r="BT515" s="61"/>
      <c r="BU515" s="294"/>
      <c r="BV515" s="61"/>
      <c r="BW515" s="294"/>
      <c r="BX515" s="61"/>
      <c r="BY515" s="294"/>
      <c r="BZ515" s="61"/>
      <c r="CA515" s="294"/>
      <c r="CB515" s="61"/>
      <c r="CC515" s="294"/>
      <c r="CD515" s="61"/>
      <c r="CE515" s="294"/>
      <c r="CF515" s="61"/>
      <c r="CG515" s="294"/>
      <c r="CH515" s="61"/>
      <c r="CI515" s="294"/>
      <c r="CJ515" s="61"/>
      <c r="CK515" s="294"/>
      <c r="CL515" s="61"/>
      <c r="CM515" s="294"/>
      <c r="CN515" s="61"/>
      <c r="CO515" s="294"/>
      <c r="CP515" s="61"/>
      <c r="CQ515" s="294"/>
      <c r="CR515" s="61"/>
      <c r="CS515" s="294"/>
      <c r="CT515" s="61"/>
      <c r="CU515" s="294"/>
      <c r="CV515" s="61"/>
      <c r="CW515" s="294"/>
      <c r="CX515" s="61"/>
      <c r="CY515" s="294"/>
      <c r="CZ515" s="61"/>
      <c r="DA515" s="294"/>
      <c r="DB515" s="61"/>
      <c r="DC515" s="294"/>
      <c r="DD515" s="61"/>
      <c r="DE515" s="294"/>
      <c r="DF515" s="61"/>
      <c r="DG515" s="294"/>
      <c r="DH515" s="61"/>
      <c r="DI515" s="294"/>
      <c r="DJ515" s="61"/>
      <c r="DK515" s="294"/>
      <c r="DL515" s="61"/>
      <c r="DM515" s="294"/>
      <c r="DN515" s="61"/>
      <c r="DO515" s="294"/>
      <c r="DP515" s="61"/>
      <c r="DQ515" s="294"/>
      <c r="DR515" s="61"/>
      <c r="DS515" s="294"/>
      <c r="DT515" s="61"/>
      <c r="DU515" s="294"/>
      <c r="DV515" s="61"/>
      <c r="DW515" s="294"/>
      <c r="DX515" s="294"/>
      <c r="DY515" s="294"/>
      <c r="DZ515" s="61"/>
      <c r="EA515" s="294"/>
      <c r="EB515" s="61"/>
      <c r="EC515" s="294"/>
      <c r="ED515" s="61"/>
      <c r="EE515" s="294"/>
      <c r="EF515" s="61"/>
      <c r="EG515" s="294"/>
      <c r="EH515" s="61"/>
      <c r="EI515" s="294"/>
      <c r="EJ515" s="61"/>
      <c r="EK515" s="294"/>
      <c r="EL515" s="61"/>
      <c r="EM515" s="294"/>
      <c r="EN515" s="61"/>
      <c r="EO515" s="294"/>
      <c r="EP515" s="61"/>
      <c r="EQ515" s="294"/>
      <c r="ER515" s="61"/>
      <c r="ES515" s="294"/>
      <c r="ET515" s="61"/>
      <c r="EU515" s="294"/>
      <c r="EV515" s="61"/>
      <c r="EW515" s="294"/>
      <c r="EX515" s="61"/>
      <c r="EY515" s="292"/>
      <c r="EZ515" s="558"/>
      <c r="FA515" s="292"/>
      <c r="FB515" s="294"/>
      <c r="FC515" s="294"/>
      <c r="FD515" s="294"/>
      <c r="FE515" s="293"/>
      <c r="FF515" s="294"/>
      <c r="FG515" s="293"/>
      <c r="FH515" s="294"/>
      <c r="FI515" s="293"/>
      <c r="FJ515" s="294"/>
      <c r="FK515" s="293"/>
      <c r="FL515" s="296"/>
      <c r="FM515" s="61"/>
      <c r="FN515" s="296"/>
      <c r="FO515" s="61"/>
      <c r="FP515" s="297"/>
      <c r="FQ515" s="61"/>
      <c r="FR515" s="297"/>
      <c r="FS515" s="61"/>
      <c r="FT515" s="538" t="s">
        <v>255</v>
      </c>
      <c r="FU515" s="61"/>
      <c r="FV515" s="297"/>
      <c r="FW515" s="61"/>
      <c r="FX515" s="297"/>
      <c r="FY515" s="61"/>
      <c r="FZ515" s="297"/>
      <c r="GA515" s="61"/>
      <c r="GB515" s="297"/>
      <c r="GC515" s="61"/>
      <c r="GD515" s="297"/>
      <c r="GE515" s="61"/>
      <c r="GF515" s="297"/>
      <c r="GG515" s="61"/>
      <c r="GH515" s="297"/>
      <c r="GI515" s="61"/>
      <c r="GJ515" s="297"/>
      <c r="GK515" s="61"/>
      <c r="GL515" s="297"/>
      <c r="GM515" s="61"/>
      <c r="GN515" s="297"/>
      <c r="GO515" s="61"/>
      <c r="GP515" s="297"/>
      <c r="GQ515" s="61"/>
      <c r="GR515" s="294"/>
      <c r="GS515" s="61"/>
      <c r="GT515" s="294"/>
      <c r="GU515" s="61"/>
      <c r="GV515" s="294"/>
      <c r="GW515" s="61"/>
      <c r="GX515" s="294"/>
      <c r="GY515" s="61"/>
      <c r="GZ515" s="61"/>
      <c r="HA515" s="61"/>
      <c r="HB515" s="452"/>
      <c r="HC515"/>
      <c r="HD515"/>
      <c r="HE515"/>
      <c r="HF515"/>
      <c r="HG515"/>
      <c r="HH515"/>
    </row>
    <row r="516" spans="1:216" s="298" customFormat="1" ht="12.75" customHeight="1" x14ac:dyDescent="0.2">
      <c r="A516" s="5"/>
      <c r="B516" s="291"/>
      <c r="C516" s="292"/>
      <c r="D516" s="293"/>
      <c r="E516" s="294"/>
      <c r="F516" s="294"/>
      <c r="G516" s="294"/>
      <c r="H516" s="294"/>
      <c r="I516" s="294"/>
      <c r="J516" s="294"/>
      <c r="K516" s="295"/>
      <c r="L516" s="61"/>
      <c r="M516" s="294"/>
      <c r="N516" s="61"/>
      <c r="O516" s="294"/>
      <c r="P516" s="61"/>
      <c r="Q516" s="294"/>
      <c r="R516" s="61"/>
      <c r="S516" s="294"/>
      <c r="T516" s="61"/>
      <c r="U516" s="294"/>
      <c r="V516" s="61"/>
      <c r="W516" s="294"/>
      <c r="X516" s="61"/>
      <c r="Y516" s="294"/>
      <c r="Z516" s="61"/>
      <c r="AA516" s="294"/>
      <c r="AB516" s="61"/>
      <c r="AC516" s="294"/>
      <c r="AD516" s="61"/>
      <c r="AE516" s="294"/>
      <c r="AF516" s="61"/>
      <c r="AG516" s="294"/>
      <c r="AH516" s="61"/>
      <c r="AI516" s="294"/>
      <c r="AJ516" s="61"/>
      <c r="AK516" s="294"/>
      <c r="AL516" s="61"/>
      <c r="AM516" s="294"/>
      <c r="AN516" s="61"/>
      <c r="AO516" s="294"/>
      <c r="AP516" s="61"/>
      <c r="AQ516" s="294"/>
      <c r="AR516" s="61"/>
      <c r="AS516" s="294"/>
      <c r="AT516" s="61"/>
      <c r="AU516" s="294"/>
      <c r="AV516" s="61"/>
      <c r="AW516" s="294"/>
      <c r="AX516" s="61"/>
      <c r="AY516" s="294"/>
      <c r="AZ516" s="61"/>
      <c r="BA516" s="294"/>
      <c r="BB516" s="61"/>
      <c r="BC516" s="294"/>
      <c r="BD516" s="61"/>
      <c r="BE516" s="294"/>
      <c r="BF516" s="61"/>
      <c r="BG516" s="294"/>
      <c r="BH516" s="61"/>
      <c r="BI516" s="294"/>
      <c r="BJ516" s="61"/>
      <c r="BK516" s="538" t="s">
        <v>254</v>
      </c>
      <c r="BL516" s="61"/>
      <c r="BM516" s="294"/>
      <c r="BN516" s="61"/>
      <c r="BO516" s="294"/>
      <c r="BP516" s="61"/>
      <c r="BQ516" s="294"/>
      <c r="BR516" s="61"/>
      <c r="BS516" s="294"/>
      <c r="BT516" s="61"/>
      <c r="BU516" s="294"/>
      <c r="BV516" s="61"/>
      <c r="BW516" s="294"/>
      <c r="BX516" s="61"/>
      <c r="BY516" s="294"/>
      <c r="BZ516" s="61"/>
      <c r="CA516" s="294"/>
      <c r="CB516" s="61"/>
      <c r="CC516" s="294"/>
      <c r="CD516" s="61"/>
      <c r="CE516" s="294"/>
      <c r="CF516" s="61"/>
      <c r="CG516" s="294"/>
      <c r="CH516" s="61"/>
      <c r="CI516" s="294"/>
      <c r="CJ516" s="61"/>
      <c r="CK516" s="294"/>
      <c r="CL516" s="61"/>
      <c r="CM516" s="294"/>
      <c r="CN516" s="61"/>
      <c r="CO516" s="294"/>
      <c r="CP516" s="61"/>
      <c r="CQ516" s="294"/>
      <c r="CR516" s="61"/>
      <c r="CS516" s="294"/>
      <c r="CT516" s="61"/>
      <c r="CU516" s="294"/>
      <c r="CV516" s="61"/>
      <c r="CW516" s="294"/>
      <c r="CX516" s="61"/>
      <c r="CY516" s="294"/>
      <c r="CZ516" s="61"/>
      <c r="DA516" s="294"/>
      <c r="DB516" s="61"/>
      <c r="DC516" s="294"/>
      <c r="DD516" s="61"/>
      <c r="DE516" s="294"/>
      <c r="DF516" s="61"/>
      <c r="DG516" s="294"/>
      <c r="DH516" s="61"/>
      <c r="DI516" s="294"/>
      <c r="DJ516" s="61"/>
      <c r="DK516" s="294"/>
      <c r="DL516" s="61"/>
      <c r="DM516" s="294"/>
      <c r="DN516" s="61"/>
      <c r="DO516" s="294"/>
      <c r="DP516" s="61"/>
      <c r="DQ516" s="294"/>
      <c r="DR516" s="61"/>
      <c r="DS516" s="294"/>
      <c r="DT516" s="61"/>
      <c r="DU516" s="294"/>
      <c r="DV516" s="61"/>
      <c r="DW516" s="294"/>
      <c r="DX516" s="294"/>
      <c r="DY516" s="294"/>
      <c r="DZ516" s="61"/>
      <c r="EA516" s="294"/>
      <c r="EB516" s="61"/>
      <c r="EC516" s="294"/>
      <c r="ED516" s="61"/>
      <c r="EE516" s="294"/>
      <c r="EF516" s="61"/>
      <c r="EG516" s="294"/>
      <c r="EH516" s="61"/>
      <c r="EI516" s="294"/>
      <c r="EJ516" s="61"/>
      <c r="EK516" s="294"/>
      <c r="EL516" s="61"/>
      <c r="EM516" s="294"/>
      <c r="EN516" s="61"/>
      <c r="EO516" s="294"/>
      <c r="EP516" s="61"/>
      <c r="EQ516" s="294"/>
      <c r="ER516" s="61"/>
      <c r="ES516" s="294"/>
      <c r="ET516" s="61"/>
      <c r="EU516" s="294"/>
      <c r="EV516" s="61"/>
      <c r="EW516" s="294"/>
      <c r="EX516" s="61"/>
      <c r="EY516" s="292"/>
      <c r="EZ516" s="558"/>
      <c r="FA516" s="292"/>
      <c r="FB516" s="294"/>
      <c r="FC516" s="294"/>
      <c r="FD516" s="294"/>
      <c r="FE516" s="293"/>
      <c r="FF516" s="294"/>
      <c r="FG516" s="293"/>
      <c r="FH516" s="294"/>
      <c r="FI516" s="293"/>
      <c r="FJ516" s="294"/>
      <c r="FK516" s="293"/>
      <c r="FL516" s="296"/>
      <c r="FM516" s="61"/>
      <c r="FN516" s="296"/>
      <c r="FO516" s="61"/>
      <c r="FP516" s="297"/>
      <c r="FQ516" s="61"/>
      <c r="FR516" s="297"/>
      <c r="FS516" s="61"/>
      <c r="FT516" s="297"/>
      <c r="FU516" s="61"/>
      <c r="FV516" s="538" t="s">
        <v>254</v>
      </c>
      <c r="FW516" s="61"/>
      <c r="FX516" s="297"/>
      <c r="FY516" s="61"/>
      <c r="FZ516" s="297"/>
      <c r="GA516" s="61"/>
      <c r="GB516" s="297"/>
      <c r="GC516" s="61"/>
      <c r="GD516" s="297"/>
      <c r="GE516" s="61"/>
      <c r="GF516" s="297"/>
      <c r="GG516" s="61"/>
      <c r="GH516" s="297"/>
      <c r="GI516" s="61"/>
      <c r="GJ516" s="297"/>
      <c r="GK516" s="61"/>
      <c r="GL516" s="297"/>
      <c r="GM516" s="61"/>
      <c r="GN516" s="297"/>
      <c r="GO516" s="61"/>
      <c r="GP516" s="297"/>
      <c r="GQ516" s="61"/>
      <c r="GR516" s="294"/>
      <c r="GS516" s="61"/>
      <c r="GT516" s="294"/>
      <c r="GU516" s="61"/>
      <c r="GV516" s="294"/>
      <c r="GW516" s="61"/>
      <c r="GX516" s="294"/>
      <c r="GY516" s="61"/>
      <c r="GZ516" s="61"/>
      <c r="HA516" s="61"/>
      <c r="HB516" s="452"/>
      <c r="HC516"/>
      <c r="HD516"/>
      <c r="HE516"/>
      <c r="HF516"/>
      <c r="HG516"/>
      <c r="HH516"/>
    </row>
    <row r="517" spans="1:216" s="5" customFormat="1" ht="12.75" customHeight="1" x14ac:dyDescent="0.2">
      <c r="B517" s="63" t="s">
        <v>435</v>
      </c>
      <c r="C517" s="120"/>
      <c r="D517" s="67"/>
      <c r="E517" s="120"/>
      <c r="F517" s="66"/>
      <c r="G517" s="299"/>
      <c r="H517" s="66"/>
      <c r="I517" s="120"/>
      <c r="J517" s="66"/>
      <c r="K517" s="120"/>
      <c r="L517" s="61"/>
      <c r="M517" s="120"/>
      <c r="N517" s="61"/>
      <c r="O517" s="299"/>
      <c r="P517" s="61"/>
      <c r="Q517" s="299"/>
      <c r="R517" s="61"/>
      <c r="S517" s="299"/>
      <c r="T517" s="61"/>
      <c r="U517" s="64"/>
      <c r="V517" s="61"/>
      <c r="W517" s="299"/>
      <c r="X517" s="61"/>
      <c r="Y517" s="299"/>
      <c r="Z517" s="61"/>
      <c r="AA517" s="299"/>
      <c r="AB517" s="61"/>
      <c r="AC517" s="299"/>
      <c r="AD517" s="61"/>
      <c r="AE517" s="299"/>
      <c r="AF517" s="61"/>
      <c r="AG517" s="299"/>
      <c r="AH517" s="61"/>
      <c r="AI517" s="299"/>
      <c r="AJ517" s="61"/>
      <c r="AK517" s="299"/>
      <c r="AL517" s="61"/>
      <c r="AM517" s="299"/>
      <c r="AN517" s="61"/>
      <c r="AO517" s="299"/>
      <c r="AP517" s="61"/>
      <c r="AQ517" s="299"/>
      <c r="AR517" s="61"/>
      <c r="AS517" s="299"/>
      <c r="AT517" s="61"/>
      <c r="AU517" s="299"/>
      <c r="AV517" s="61"/>
      <c r="AW517" s="299"/>
      <c r="AX517" s="61"/>
      <c r="AY517" s="299"/>
      <c r="AZ517" s="61"/>
      <c r="BA517" s="299"/>
      <c r="BB517" s="61"/>
      <c r="BC517" s="299"/>
      <c r="BD517" s="61"/>
      <c r="BE517" s="299"/>
      <c r="BF517" s="61"/>
      <c r="BG517" s="528"/>
      <c r="BH517" s="61"/>
      <c r="BI517" s="299"/>
      <c r="BJ517" s="61"/>
      <c r="BK517" s="528"/>
      <c r="BL517" s="61"/>
      <c r="BM517" s="299"/>
      <c r="BN517" s="61"/>
      <c r="BO517" s="299"/>
      <c r="BP517" s="61"/>
      <c r="BQ517" s="299"/>
      <c r="BR517" s="61"/>
      <c r="BS517" s="299"/>
      <c r="BT517" s="61"/>
      <c r="BU517" s="299"/>
      <c r="BV517" s="61"/>
      <c r="BW517" s="299"/>
      <c r="BX517" s="61"/>
      <c r="BY517" s="299"/>
      <c r="BZ517" s="61"/>
      <c r="CA517" s="299"/>
      <c r="CB517" s="61"/>
      <c r="CC517" s="299"/>
      <c r="CD517" s="61"/>
      <c r="CE517" s="299"/>
      <c r="CF517" s="61"/>
      <c r="CG517" s="299"/>
      <c r="CH517" s="61"/>
      <c r="CI517" s="299"/>
      <c r="CJ517" s="61"/>
      <c r="CK517" s="299"/>
      <c r="CL517" s="61"/>
      <c r="CM517" s="299"/>
      <c r="CN517" s="61"/>
      <c r="CO517" s="299"/>
      <c r="CP517" s="61"/>
      <c r="CQ517" s="299"/>
      <c r="CR517" s="61"/>
      <c r="CS517" s="299"/>
      <c r="CT517" s="61"/>
      <c r="CU517" s="299"/>
      <c r="CV517" s="61"/>
      <c r="CW517" s="299"/>
      <c r="CX517" s="61"/>
      <c r="CY517" s="299"/>
      <c r="CZ517" s="61"/>
      <c r="DA517" s="299"/>
      <c r="DB517" s="61"/>
      <c r="DC517" s="299"/>
      <c r="DD517" s="61"/>
      <c r="DE517" s="299"/>
      <c r="DF517" s="61"/>
      <c r="DG517" s="299"/>
      <c r="DH517" s="61"/>
      <c r="DI517" s="299"/>
      <c r="DJ517" s="61"/>
      <c r="DK517" s="299"/>
      <c r="DL517" s="61"/>
      <c r="DM517" s="299"/>
      <c r="DN517" s="61"/>
      <c r="DO517" s="299"/>
      <c r="DP517" s="61"/>
      <c r="DQ517" s="299"/>
      <c r="DR517" s="61"/>
      <c r="DS517" s="299"/>
      <c r="DT517" s="61"/>
      <c r="DU517" s="299"/>
      <c r="DV517" s="61"/>
      <c r="DW517" s="299"/>
      <c r="DX517" s="299"/>
      <c r="DY517" s="299"/>
      <c r="DZ517" s="61"/>
      <c r="EA517" s="299"/>
      <c r="EB517" s="61"/>
      <c r="EC517" s="299"/>
      <c r="ED517" s="61"/>
      <c r="EE517" s="299"/>
      <c r="EF517" s="61"/>
      <c r="EG517" s="299"/>
      <c r="EH517" s="61"/>
      <c r="EI517" s="299"/>
      <c r="EJ517" s="61"/>
      <c r="EK517" s="299"/>
      <c r="EL517" s="61"/>
      <c r="EM517" s="299"/>
      <c r="EN517" s="61"/>
      <c r="EO517" s="299"/>
      <c r="EP517" s="61"/>
      <c r="EQ517" s="299"/>
      <c r="ER517" s="61"/>
      <c r="ES517" s="299"/>
      <c r="ET517" s="61"/>
      <c r="EU517" s="299"/>
      <c r="EV517" s="61"/>
      <c r="EW517" s="299"/>
      <c r="EX517" s="61"/>
      <c r="EY517" s="64"/>
      <c r="EZ517" s="558"/>
      <c r="FA517" s="64"/>
      <c r="FB517" s="66"/>
      <c r="FC517" s="66"/>
      <c r="FD517" s="66"/>
      <c r="FE517" s="67"/>
      <c r="FF517" s="66"/>
      <c r="FG517" s="67"/>
      <c r="FH517" s="66"/>
      <c r="FI517" s="67"/>
      <c r="FJ517" s="66"/>
      <c r="FK517" s="67"/>
      <c r="FL517" s="66"/>
      <c r="FM517" s="61"/>
      <c r="FN517" s="66"/>
      <c r="FO517" s="61"/>
      <c r="FP517" s="65"/>
      <c r="FQ517" s="61"/>
      <c r="FR517" s="65"/>
      <c r="FS517" s="61"/>
      <c r="FT517" s="542"/>
      <c r="FU517" s="61"/>
      <c r="FV517" s="542"/>
      <c r="FW517" s="61"/>
      <c r="FX517" s="65"/>
      <c r="FY517" s="61"/>
      <c r="FZ517" s="65"/>
      <c r="GA517" s="61"/>
      <c r="GB517" s="65"/>
      <c r="GC517" s="61"/>
      <c r="GD517" s="65"/>
      <c r="GE517" s="61"/>
      <c r="GF517" s="65"/>
      <c r="GG517" s="61"/>
      <c r="GH517" s="65"/>
      <c r="GI517" s="61"/>
      <c r="GJ517" s="65"/>
      <c r="GK517" s="61"/>
      <c r="GL517" s="65"/>
      <c r="GM517" s="61"/>
      <c r="GN517" s="65"/>
      <c r="GO517" s="61"/>
      <c r="GP517" s="65"/>
      <c r="GQ517" s="61"/>
      <c r="GR517" s="64"/>
      <c r="GS517" s="61"/>
      <c r="GT517" s="64"/>
      <c r="GU517" s="61"/>
      <c r="GV517" s="64"/>
      <c r="GW517" s="61"/>
      <c r="GX517" s="64"/>
      <c r="GY517" s="61"/>
      <c r="GZ517" s="61" t="str">
        <f t="shared" ref="GZ517:GZ524" si="2764">IF(ISERROR((GX517/GN517)^0.2),"",IF(OR((GX517/GN517)^0.2&lt;0.5,(GX517/GN517)^0.2&gt;2),"NM",((GX517/GN517)^0.2-1)*100))</f>
        <v/>
      </c>
      <c r="HA517" s="61"/>
      <c r="HB517" s="452"/>
      <c r="HC517"/>
      <c r="HD517"/>
      <c r="HE517"/>
      <c r="HF517"/>
      <c r="HG517"/>
      <c r="HH517"/>
    </row>
    <row r="518" spans="1:216" s="5" customFormat="1" ht="12.75" customHeight="1" x14ac:dyDescent="0.2">
      <c r="B518" s="2" t="s">
        <v>109</v>
      </c>
      <c r="C518" s="120"/>
      <c r="D518" s="67"/>
      <c r="E518" s="120"/>
      <c r="F518" s="66"/>
      <c r="G518" s="299"/>
      <c r="H518" s="66"/>
      <c r="I518" s="120"/>
      <c r="J518" s="66"/>
      <c r="K518" s="120"/>
      <c r="L518" s="61"/>
      <c r="M518" s="120"/>
      <c r="N518" s="61"/>
      <c r="O518" s="299"/>
      <c r="P518" s="61"/>
      <c r="Q518" s="299"/>
      <c r="R518" s="61"/>
      <c r="S518" s="299"/>
      <c r="T518" s="61"/>
      <c r="U518" s="64"/>
      <c r="V518" s="61"/>
      <c r="W518" s="299"/>
      <c r="X518" s="61"/>
      <c r="Y518" s="299"/>
      <c r="Z518" s="61"/>
      <c r="AA518" s="299"/>
      <c r="AB518" s="61"/>
      <c r="AC518" s="299"/>
      <c r="AD518" s="61"/>
      <c r="AE518" s="299"/>
      <c r="AF518" s="61"/>
      <c r="AG518" s="299"/>
      <c r="AH518" s="61"/>
      <c r="AI518" s="299"/>
      <c r="AJ518" s="61"/>
      <c r="AK518" s="299"/>
      <c r="AL518" s="61"/>
      <c r="AM518" s="299"/>
      <c r="AN518" s="61"/>
      <c r="AO518" s="299"/>
      <c r="AP518" s="61"/>
      <c r="AQ518" s="301">
        <f>AQ118</f>
        <v>49.700000000000031</v>
      </c>
      <c r="AR518" s="61" t="str">
        <f>IF(ISERROR((AQ518/AI518-1)*100),"NA",IF(((AQ518/AI518-1)*100)&gt;100,"NM",IF(((AQ518/AI518-1)*100)&lt;-50,"NM",(AQ518/AI518-1)*100)))</f>
        <v>NA</v>
      </c>
      <c r="AS518" s="301">
        <f>AS118</f>
        <v>32.499999999999986</v>
      </c>
      <c r="AT518" s="61" t="str">
        <f>IF(ISERROR((AS518/AK518-1)*100),"NA",IF(((AS518/AK518-1)*100)&gt;100,"NM",IF(((AS518/AK518-1)*100)&lt;-50,"NM",(AS518/AK518-1)*100)))</f>
        <v>NA</v>
      </c>
      <c r="AU518" s="301">
        <f>AU118</f>
        <v>78.999999999999957</v>
      </c>
      <c r="AV518" s="61" t="str">
        <f>IF(ISERROR((AU518/AM518-1)*100),"NA",IF(((AU518/AM518-1)*100)&gt;100,"NM",IF(((AU518/AM518-1)*100)&lt;-50,"NM",(AU518/AM518-1)*100)))</f>
        <v>NA</v>
      </c>
      <c r="AW518" s="301">
        <f>AW118</f>
        <v>70.900000000000034</v>
      </c>
      <c r="AX518" s="61" t="str">
        <f>IF(ISERROR((AW518/AO518-1)*100),"NA",IF(((AW518/AO518-1)*100)&gt;100,"NM",IF(((AW518/AO518-1)*100)&lt;-50,"NM",(AW518/AO518-1)*100)))</f>
        <v>NA</v>
      </c>
      <c r="AY518" s="301">
        <f>AY118</f>
        <v>66.399999999999991</v>
      </c>
      <c r="AZ518" s="61">
        <f>IF(ISERROR((AY518/AQ518-1)*100),"NA",IF(((AY518/AQ518-1)*100)&gt;100,"NM",IF(((AY518/AQ518-1)*100)&lt;-50,"NM",(AY518/AQ518-1)*100)))</f>
        <v>33.601609657947584</v>
      </c>
      <c r="BA518" s="301">
        <f>BA118</f>
        <v>79.100000000000023</v>
      </c>
      <c r="BB518" s="61" t="str">
        <f>IF(ISERROR((BA518/AS518-1)*100),"NA",IF(((BA518/AS518-1)*100)&gt;100,"NM",IF(((BA518/AS518-1)*100)&lt;-50,"NM",(BA518/AS518-1)*100)))</f>
        <v>NM</v>
      </c>
      <c r="BC518" s="301">
        <f>BC118</f>
        <v>100.40000000000003</v>
      </c>
      <c r="BD518" s="61">
        <f>IF(ISERROR((BC518/AU518-1)*100),"NA",IF(((BC518/AU518-1)*100)&gt;100,"NM",IF(((BC518/AU518-1)*100)&lt;-50,"NM",(BC518/AU518-1)*100)))</f>
        <v>27.088607594936832</v>
      </c>
      <c r="BE518" s="301">
        <f>BE118</f>
        <v>112.69999999999996</v>
      </c>
      <c r="BF518" s="61">
        <f>IF(ISERROR((BE518/AW518-1)*100),"NA",IF(((BE518/AW518-1)*100)&gt;100,"NM",IF(((BE518/AW518-1)*100)&lt;-50,"NM",(BE518/AW518-1)*100)))</f>
        <v>58.95627644569803</v>
      </c>
      <c r="BG518" s="529">
        <f>BG118</f>
        <v>112.69999999999997</v>
      </c>
      <c r="BH518" s="61">
        <f>IF(ISERROR((BG518/AY518-1)*100),"NA",IF(((BG518/AY518-1)*100)&gt;100,"NM",IF(((BG518/AY518-1)*100)&lt;-50,"NM",(BG518/AY518-1)*100)))</f>
        <v>69.728915662650579</v>
      </c>
      <c r="BI518" s="301">
        <f>BI118</f>
        <v>115.5</v>
      </c>
      <c r="BJ518" s="61">
        <f>IF(ISERROR((BI518/BA518-1)*100),"NA",IF(((BI518/BA518-1)*100)&gt;100,"NM",IF(((BI518/BA518-1)*100)&lt;-50,"NM",(BI518/BA518-1)*100)))</f>
        <v>46.017699115044209</v>
      </c>
      <c r="BK518" s="529">
        <f>BK118</f>
        <v>141.9</v>
      </c>
      <c r="BL518" s="61">
        <f>IF(ISERROR((BK518/BC518-1)*100),"NA",IF(((BK518/BC518-1)*100)&gt;100,"NM",IF(((BK518/BC518-1)*100)&lt;-50,"NM",(BK518/BC518-1)*100)))</f>
        <v>41.334661354581634</v>
      </c>
      <c r="BM518" s="301">
        <f>BM118</f>
        <v>154.89999999999992</v>
      </c>
      <c r="BN518" s="61">
        <f>IF(ISERROR((BM518/BE518-1)*100),"NA",IF(((BM518/BE518-1)*100)&gt;100,"NM",IF(((BM518/BE518-1)*100)&lt;-50,"NM",(BM518/BE518-1)*100)))</f>
        <v>37.444543034605118</v>
      </c>
      <c r="BO518" s="301">
        <f>BO118</f>
        <v>107.90000000000003</v>
      </c>
      <c r="BP518" s="61">
        <f>IF(ISERROR((BO518/BG518-1)*100),"NA",IF(((BO518/BG518-1)*100)&gt;100,"NM",IF(((BO518/BG518-1)*100)&lt;-50,"NM",(BO518/BG518-1)*100)))</f>
        <v>-4.2590949423247038</v>
      </c>
      <c r="BQ518" s="301">
        <f>BQ118</f>
        <v>116.20000000000007</v>
      </c>
      <c r="BR518" s="61">
        <f>IF(ISERROR((BQ518/BI518-1)*100),"NA",IF(((BQ518/BI518-1)*100)&gt;100,"NM",IF(((BQ518/BI518-1)*100)&lt;-50,"NM",(BQ518/BI518-1)*100)))</f>
        <v>0.60606060606067658</v>
      </c>
      <c r="BS518" s="301">
        <f>BS118</f>
        <v>117.90000000000003</v>
      </c>
      <c r="BT518" s="61">
        <f>IF(ISERROR((BS518/BK518-1)*100),"NA",IF(((BS518/BK518-1)*100)&gt;100,"NM",IF(((BS518/BK518-1)*100)&lt;-50,"NM",(BS518/BK518-1)*100)))</f>
        <v>-16.913319238900616</v>
      </c>
      <c r="BU518" s="301">
        <f>BU118</f>
        <v>75.299999999999898</v>
      </c>
      <c r="BV518" s="61" t="str">
        <f>IF(ISERROR((BU518/BM518-1)*100),"NA",IF(((BU518/BM518-1)*100)&gt;100,"NM",IF(((BU518/BM518-1)*100)&lt;-50,"NM",(BU518/BM518-1)*100)))</f>
        <v>NM</v>
      </c>
      <c r="BW518" s="301">
        <f>BW118</f>
        <v>73.90000000000002</v>
      </c>
      <c r="BX518" s="61">
        <f>IF(ISERROR((BW518/BO518-1)*100),"NA",IF(((BW518/BO518-1)*100)&gt;100,"NM",IF(((BW518/BO518-1)*100)&lt;-50,"NM",(BW518/BO518-1)*100)))</f>
        <v>-31.510658016682115</v>
      </c>
      <c r="BY518" s="301">
        <f>BY118</f>
        <v>65.40000000000002</v>
      </c>
      <c r="BZ518" s="61">
        <f>IF(ISERROR((BY518/BQ518-1)*100),"NA",IF(((BY518/BQ518-1)*100)&gt;100,"NM",IF(((BY518/BQ518-1)*100)&lt;-50,"NM",(BY518/BQ518-1)*100)))</f>
        <v>-43.717728055077473</v>
      </c>
      <c r="CA518" s="301">
        <f>CA118</f>
        <v>79.5</v>
      </c>
      <c r="CB518" s="61">
        <f>IF(ISERROR((CA518/BS518-1)*100),"NA",IF(((CA518/BS518-1)*100)&gt;100,"NM",IF(((CA518/BS518-1)*100)&lt;-50,"NM",(CA518/BS518-1)*100)))</f>
        <v>-32.5699745547074</v>
      </c>
      <c r="CC518" s="301">
        <f>CC118</f>
        <v>101.19999999999997</v>
      </c>
      <c r="CD518" s="61">
        <f>IF(ISERROR((CC518/BU518-1)*100),"NA",IF(((CC518/BU518-1)*100)&gt;100,"NM",IF(((CC518/BU518-1)*100)&lt;-50,"NM",(CC518/BU518-1)*100)))</f>
        <v>34.395750332005463</v>
      </c>
      <c r="CE518" s="301">
        <f>CE118</f>
        <v>97.69999999999996</v>
      </c>
      <c r="CF518" s="61">
        <f>IF(ISERROR((CE518/BW518-1)*100),"NA",IF(((CE518/BW518-1)*100)&gt;100,"NM",IF(((CE518/BW518-1)*100)&lt;-50,"NM",(CE518/BW518-1)*100)))</f>
        <v>32.205683355886251</v>
      </c>
      <c r="CG518" s="301">
        <f>CG118</f>
        <v>101.4</v>
      </c>
      <c r="CH518" s="61">
        <f>IF(ISERROR((CG518/BY518-1)*100),"NA",IF(((CG518/BY518-1)*100)&gt;100,"NM",IF(((CG518/BY518-1)*100)&lt;-50,"NM",(CG518/BY518-1)*100)))</f>
        <v>55.045871559632985</v>
      </c>
      <c r="CI518" s="301">
        <f>CI118</f>
        <v>114.09999999999995</v>
      </c>
      <c r="CJ518" s="61">
        <f>IF(ISERROR((CI518/CA518-1)*100),"NA",IF(((CI518/CA518-1)*100)&gt;100,"NM",IF(((CI518/CA518-1)*100)&lt;-50,"NM",(CI518/CA518-1)*100)))</f>
        <v>43.522012578616298</v>
      </c>
      <c r="CK518" s="301">
        <f>CK118</f>
        <v>121.19999999999997</v>
      </c>
      <c r="CL518" s="61">
        <f>IF(ISERROR((CK518/CC518-1)*100),"NA",IF(((CK518/CC518-1)*100)&gt;100,"NM",IF(((CK518/CC518-1)*100)&lt;-50,"NM",(CK518/CC518-1)*100)))</f>
        <v>19.762845849802368</v>
      </c>
      <c r="CM518" s="301">
        <f>CM118</f>
        <v>126.00000000000009</v>
      </c>
      <c r="CN518" s="61">
        <f>IF(ISERROR((CM518/CE518-1)*100),"NA",IF(((CM518/CE518-1)*100)&gt;100,"NM",IF(((CM518/CE518-1)*100)&lt;-50,"NM",(CM518/CE518-1)*100)))</f>
        <v>28.966223132036983</v>
      </c>
      <c r="CO518" s="301">
        <f>CO118</f>
        <v>130.79999999999993</v>
      </c>
      <c r="CP518" s="61">
        <f>IF(ISERROR((CO518/CG518-1)*100),"NA",IF(((CO518/CG518-1)*100)&gt;100,"NM",IF(((CO518/CG518-1)*100)&lt;-50,"NM",(CO518/CG518-1)*100)))</f>
        <v>28.994082840236612</v>
      </c>
      <c r="CQ518" s="301">
        <f>CQ118</f>
        <v>123.30000000000001</v>
      </c>
      <c r="CR518" s="61">
        <f>IF(ISERROR((CQ518/CI518-1)*100),"NA",IF(((CQ518/CI518-1)*100)&gt;100,"NM",IF(((CQ518/CI518-1)*100)&lt;-50,"NM",(CQ518/CI518-1)*100)))</f>
        <v>8.063102541630208</v>
      </c>
      <c r="CS518" s="301">
        <f>CS118</f>
        <v>131</v>
      </c>
      <c r="CT518" s="61">
        <f>IF(ISERROR((CS518/CK518-1)*100),"NA",IF(((CS518/CK518-1)*100)&gt;100,"NM",IF(((CS518/CK518-1)*100)&lt;-50,"NM",(CS518/CK518-1)*100)))</f>
        <v>8.0858085808580995</v>
      </c>
      <c r="CU518" s="301">
        <f>CU118</f>
        <v>137</v>
      </c>
      <c r="CV518" s="61">
        <f>IF(ISERROR((CU518/CM518-1)*100),"NA",IF(((CU518/CM518-1)*100)&gt;100,"NM",IF(((CU518/CM518-1)*100)&lt;-50,"NM",(CU518/CM518-1)*100)))</f>
        <v>8.7301587301586547</v>
      </c>
      <c r="CW518" s="301">
        <f>CW118</f>
        <v>146</v>
      </c>
      <c r="CX518" s="61">
        <f>IF(ISERROR((CW518/CO518-1)*100),"NA",IF(((CW518/CO518-1)*100)&gt;100,"NM",IF(((CW518/CO518-1)*100)&lt;-50,"NM",(CW518/CO518-1)*100)))</f>
        <v>11.620795107033711</v>
      </c>
      <c r="CY518" s="301">
        <f>CY118</f>
        <v>148</v>
      </c>
      <c r="CZ518" s="61">
        <f>IF(ISERROR((CY518/CQ518-1)*100),"NA",IF(((CY518/CQ518-1)*100)&gt;100,"NM",IF(((CY518/CQ518-1)*100)&lt;-50,"NM",(CY518/CQ518-1)*100)))</f>
        <v>20.032441200324392</v>
      </c>
      <c r="DA518" s="301">
        <f>DA118</f>
        <v>154</v>
      </c>
      <c r="DB518" s="61">
        <f>IF(ISERROR((DA518/CS518-1)*100),"NA",IF(((DA518/CS518-1)*100)&gt;100,"NM",IF(((DA518/CS518-1)*100)&lt;-50,"NM",(DA518/CS518-1)*100)))</f>
        <v>17.557251908396942</v>
      </c>
      <c r="DC518" s="301">
        <f>DC118</f>
        <v>159</v>
      </c>
      <c r="DD518" s="61">
        <f>IF(ISERROR((DC518/CU518-1)*100),"NA",IF(((DC518/CU518-1)*100)&gt;100,"NM",IF(((DC518/CU518-1)*100)&lt;-50,"NM",(DC518/CU518-1)*100)))</f>
        <v>16.058394160583944</v>
      </c>
      <c r="DE518" s="301">
        <f>DE118</f>
        <v>186</v>
      </c>
      <c r="DF518" s="61">
        <f>IF(ISERROR((DE518/CW518-1)*100),"NA",IF(((DE518/CW518-1)*100)&gt;100,"NM",IF(((DE518/CW518-1)*100)&lt;-50,"NM",(DE518/CW518-1)*100)))</f>
        <v>27.397260273972602</v>
      </c>
      <c r="DG518" s="301">
        <f>DG118</f>
        <v>194</v>
      </c>
      <c r="DH518" s="61">
        <f>IF(ISERROR((DG518/CY518-1)*100),"NA",IF(((DG518/CY518-1)*100)&gt;100,"NM",IF(((DG518/CY518-1)*100)&lt;-50,"NM",(DG518/CY518-1)*100)))</f>
        <v>31.081081081081074</v>
      </c>
      <c r="DI518" s="301">
        <f>DI118</f>
        <v>202</v>
      </c>
      <c r="DJ518" s="61">
        <f>IF(ISERROR((DI518/DA518-1)*100),"NA",IF(((DI518/DA518-1)*100)&gt;100,"NM",IF(((DI518/DA518-1)*100)&lt;-50,"NM",(DI518/DA518-1)*100)))</f>
        <v>31.168831168831179</v>
      </c>
      <c r="DK518" s="301">
        <f>DK118</f>
        <v>216</v>
      </c>
      <c r="DL518" s="61">
        <f>IF(ISERROR((DK518/DC518-1)*100),"NA",IF(((DK518/DC518-1)*100)&gt;100,"NM",IF(((DK518/DC518-1)*100)&lt;-50,"NM",(DK518/DC518-1)*100)))</f>
        <v>35.849056603773576</v>
      </c>
      <c r="DM518" s="301">
        <f>DM118</f>
        <v>227</v>
      </c>
      <c r="DN518" s="130">
        <f t="shared" ref="DN518:DZ520" si="2765">IF(ISERROR((DM518/DE518-1)*100),"NA",IF(((DM518/DE518-1)*100)&gt;100,"NM",IF(((DM518/DE518-1)*100)&lt;-50,"NM",(DM518/DE518-1)*100)))</f>
        <v>22.043010752688176</v>
      </c>
      <c r="DO518" s="301">
        <f>DO118</f>
        <v>233</v>
      </c>
      <c r="DP518" s="130">
        <f t="shared" si="2765"/>
        <v>20.103092783505151</v>
      </c>
      <c r="DQ518" s="301">
        <f>DQ118</f>
        <v>237</v>
      </c>
      <c r="DR518" s="130">
        <f t="shared" si="2765"/>
        <v>17.326732673267319</v>
      </c>
      <c r="DS518" s="301">
        <f>DS118</f>
        <v>239</v>
      </c>
      <c r="DT518" s="130">
        <f t="shared" si="2765"/>
        <v>10.64814814814814</v>
      </c>
      <c r="DU518" s="301">
        <f>DU118</f>
        <v>255</v>
      </c>
      <c r="DV518" s="130">
        <f t="shared" si="2765"/>
        <v>12.334801762114544</v>
      </c>
      <c r="DW518" s="301">
        <f>DW118</f>
        <v>254</v>
      </c>
      <c r="DX518" s="301">
        <f t="shared" ref="DX518:DY518" si="2766">DX118</f>
        <v>254</v>
      </c>
      <c r="DY518" s="301">
        <f t="shared" si="2766"/>
        <v>243</v>
      </c>
      <c r="DZ518" s="130">
        <f t="shared" si="2765"/>
        <v>2.5316455696202445</v>
      </c>
      <c r="EA518" s="301">
        <f t="shared" ref="EA518:EC518" si="2767">EA118</f>
        <v>222</v>
      </c>
      <c r="EB518" s="130">
        <f t="shared" ref="EB518:EB520" si="2768">IF(ISERROR((EA518/DS518-1)*100),"NA",IF(((EA518/DS518-1)*100)&gt;100,"NM",IF(((EA518/DS518-1)*100)&lt;-50,"NM",(EA518/DS518-1)*100)))</f>
        <v>-7.1129707112970735</v>
      </c>
      <c r="EC518" s="301">
        <f t="shared" si="2767"/>
        <v>235</v>
      </c>
      <c r="ED518" s="130">
        <f t="shared" ref="ED518:ED520" si="2769">IF(ISERROR((EC518/DU518-1)*100),"NA",IF(((EC518/DU518-1)*100)&gt;100,"NM",IF(((EC518/DU518-1)*100)&lt;-50,"NM",(EC518/DU518-1)*100)))</f>
        <v>-7.8431372549019667</v>
      </c>
      <c r="EE518" s="301">
        <f t="shared" ref="EE518:EG518" si="2770">EE118</f>
        <v>246.9</v>
      </c>
      <c r="EF518" s="130">
        <f t="shared" ref="EF518:EF520" si="2771">IF(ISERROR((EE518/DW518-1)*100),"NA",IF(((EE518/DW518-1)*100)&gt;100,"NM",IF(((EE518/DW518-1)*100)&lt;-50,"NM",(EE518/DW518-1)*100)))</f>
        <v>-2.7952755905511828</v>
      </c>
      <c r="EG518" s="301">
        <f t="shared" si="2770"/>
        <v>242</v>
      </c>
      <c r="EH518" s="130">
        <f t="shared" ref="EH518:EH520" si="2772">IF(ISERROR((EG518/DY518-1)*100),"NA",IF(((EG518/DY518-1)*100)&gt;100,"NM",IF(((EG518/DY518-1)*100)&lt;-50,"NM",(EG518/DY518-1)*100)))</f>
        <v>-0.41152263374485409</v>
      </c>
      <c r="EI518" s="301">
        <f t="shared" ref="EI518:EK518" si="2773">EI118</f>
        <v>240</v>
      </c>
      <c r="EJ518" s="130">
        <f t="shared" ref="EJ518:EJ520" si="2774">IF(ISERROR((EI518/EA518-1)*100),"NA",IF(((EI518/EA518-1)*100)&gt;100,"NM",IF(((EI518/EA518-1)*100)&lt;-50,"NM",(EI518/EA518-1)*100)))</f>
        <v>8.1081081081081141</v>
      </c>
      <c r="EK518" s="301">
        <f t="shared" si="2773"/>
        <v>251</v>
      </c>
      <c r="EL518" s="130">
        <f t="shared" ref="EL518:EL520" si="2775">IF(ISERROR((EK518/EC518-1)*100),"NA",IF(((EK518/EC518-1)*100)&gt;100,"NM",IF(((EK518/EC518-1)*100)&lt;-50,"NM",(EK518/EC518-1)*100)))</f>
        <v>6.8085106382978822</v>
      </c>
      <c r="EM518" s="301">
        <f t="shared" ref="EM518" si="2776">EM118</f>
        <v>262</v>
      </c>
      <c r="EN518" s="130">
        <f t="shared" ref="EN518:EN520" si="2777">IF(ISERROR((EM518/EE518-1)*100),"NA",IF(((EM518/EE518-1)*100)&gt;100,"NM",IF(((EM518/EE518-1)*100)&lt;-50,"NM",(EM518/EE518-1)*100)))</f>
        <v>6.1158363710003938</v>
      </c>
      <c r="EO518" s="301">
        <f t="shared" ref="EO518" si="2778">EO118</f>
        <v>265</v>
      </c>
      <c r="EP518" s="130">
        <f t="shared" ref="EP518:EP520" si="2779">IF(ISERROR((EO518/EG518-1)*100),"NA",IF(((EO518/EG518-1)*100)&gt;100,"NM",IF(((EO518/EG518-1)*100)&lt;-50,"NM",(EO518/EG518-1)*100)))</f>
        <v>9.5041322314049594</v>
      </c>
      <c r="EQ518" s="301">
        <f t="shared" ref="EQ518:EW518" si="2780">EQ118</f>
        <v>280.45693245994198</v>
      </c>
      <c r="ER518" s="130">
        <f t="shared" ref="ER518:ER520" si="2781">IF(ISERROR((EQ518/EI518-1)*100),"NA",IF(((EQ518/EI518-1)*100)&gt;100,"NM",IF(((EQ518/EI518-1)*100)&lt;-50,"NM",(EQ518/EI518-1)*100)))</f>
        <v>16.857055191642488</v>
      </c>
      <c r="ES518" s="301">
        <f t="shared" si="2780"/>
        <v>279.8327531685664</v>
      </c>
      <c r="ET518" s="130">
        <f t="shared" ref="ET518:ET520" si="2782">IF(ISERROR((ES518/EK518-1)*100),"NA",IF(((ES518/EK518-1)*100)&gt;100,"NM",IF(((ES518/EK518-1)*100)&lt;-50,"NM",(ES518/EK518-1)*100)))</f>
        <v>11.48715265679936</v>
      </c>
      <c r="EU518" s="301">
        <f t="shared" si="2780"/>
        <v>283.56092073159573</v>
      </c>
      <c r="EV518" s="130">
        <f t="shared" ref="EV518:EV520" si="2783">IF(ISERROR((EU518/EM518-1)*100),"NA",IF(((EU518/EM518-1)*100)&gt;100,"NM",IF(((EU518/EM518-1)*100)&lt;-50,"NM",(EU518/EM518-1)*100)))</f>
        <v>8.2293590578609752</v>
      </c>
      <c r="EW518" s="301">
        <f t="shared" si="2780"/>
        <v>287.84454086704801</v>
      </c>
      <c r="EX518" s="130">
        <f t="shared" ref="EX518:EX520" si="2784">IF(ISERROR((EW518/EO518-1)*100),"NA",IF(((EW518/EO518-1)*100)&gt;100,"NM",IF(((EW518/EO518-1)*100)&lt;-50,"NM",(EW518/EO518-1)*100)))</f>
        <v>8.6205814592634091</v>
      </c>
      <c r="EY518" s="302"/>
      <c r="EZ518" s="558"/>
      <c r="FA518" s="302"/>
      <c r="FB518" s="147"/>
      <c r="FC518" s="147"/>
      <c r="FD518" s="147"/>
      <c r="FE518" s="303"/>
      <c r="FF518" s="147"/>
      <c r="FG518" s="303"/>
      <c r="FH518" s="147"/>
      <c r="FI518" s="303"/>
      <c r="FJ518" s="147"/>
      <c r="FK518" s="303"/>
      <c r="FL518" s="147"/>
      <c r="FM518" s="304"/>
      <c r="FN518" s="147"/>
      <c r="FO518" s="304"/>
      <c r="FP518" s="301">
        <f>AQ518+AS518+AU518+AW518</f>
        <v>232.10000000000002</v>
      </c>
      <c r="FQ518" s="61" t="str">
        <f>IF(ISERROR((FP518/FH518-1)*100),"NA",IF(((FP518/FH518-1)*100)&gt;100,"NM",IF(((FP518/FH518-1)*100)&lt;-50,"NM",(FP518/FH518-1)*100)))</f>
        <v>NA</v>
      </c>
      <c r="FR518" s="301">
        <f>AY518+BA518+BC518+BE518</f>
        <v>358.6</v>
      </c>
      <c r="FS518" s="61">
        <f>IF(ISERROR((FR518/FP518-1)*100),"NA",IF(((FR518/FP518-1)*100)&gt;100,"NM",IF(((FR518/FP518-1)*100)&lt;-50,"NM",(FR518/FP518-1)*100)))</f>
        <v>54.502369668246445</v>
      </c>
      <c r="FT518" s="529">
        <f>FT118</f>
        <v>524.99999999999955</v>
      </c>
      <c r="FU518" s="61">
        <f>IF(ISERROR((FT518/FR518-1)*100),"NA",IF(((FT518/FR518-1)*100)&gt;100,"NM",IF(((FT518/FR518-1)*100)&lt;-50,"NM",(FT518/FR518-1)*100)))</f>
        <v>46.40267707752357</v>
      </c>
      <c r="FV518" s="529">
        <f>FV118</f>
        <v>417.30000000000052</v>
      </c>
      <c r="FW518" s="61">
        <f>IF(ISERROR((FV518/FT518-1)*100),"NA",IF(((FV518/FT518-1)*100)&gt;100,"NM",IF(((FV518/FT518-1)*100)&lt;-50,"NM",(FV518/FT518-1)*100)))</f>
        <v>-20.514285714285542</v>
      </c>
      <c r="FX518" s="301">
        <f>FX118</f>
        <v>320.00000000000034</v>
      </c>
      <c r="FY518" s="61">
        <f>IF(ISERROR((FX518/FV518-1)*100),"NA",IF(((FX518/FV518-1)*100)&gt;100,"NM",IF(((FX518/FV518-1)*100)&lt;-50,"NM",(FX518/FV518-1)*100)))</f>
        <v>-23.316558830577538</v>
      </c>
      <c r="FZ518" s="301">
        <f>FZ118</f>
        <v>434.4000000000002</v>
      </c>
      <c r="GA518" s="61">
        <f>IF(ISERROR((FZ518/FX518-1)*100),"NA",IF(((FZ518/FX518-1)*100)&gt;100,"NM",IF(((FZ518/FX518-1)*100)&lt;-50,"NM",(FZ518/FX518-1)*100)))</f>
        <v>35.749999999999929</v>
      </c>
      <c r="GB518" s="301">
        <f>GB118</f>
        <v>511.10000000000036</v>
      </c>
      <c r="GC518" s="61">
        <f>IF(ISERROR((GB518/FZ518-1)*100),"NA",IF(((GB518/FZ518-1)*100)&gt;100,"NM",IF(((GB518/FZ518-1)*100)&lt;-50,"NM",(GB518/FZ518-1)*100)))</f>
        <v>17.656537753222867</v>
      </c>
      <c r="GD518" s="301">
        <f>GD118</f>
        <v>585</v>
      </c>
      <c r="GE518" s="61">
        <f>IF(ISERROR((GD518/GB518-1)*100),"NA",IF(((GD518/GB518-1)*100)&gt;100,"NM",IF(((GD518/GB518-1)*100)&lt;-50,"NM",(GD518/GB518-1)*100)))</f>
        <v>14.45900997847771</v>
      </c>
      <c r="GF518" s="301">
        <f>GF118</f>
        <v>741</v>
      </c>
      <c r="GG518" s="61">
        <f>IF(ISERROR((GF518/GD518-1)*100),"NA",IF(((GF518/GD518-1)*100)&gt;100,"NM",IF(((GF518/GD518-1)*100)&lt;-50,"NM",(GF518/GD518-1)*100)))</f>
        <v>26.666666666666661</v>
      </c>
      <c r="GH518" s="301">
        <f>GH118</f>
        <v>913</v>
      </c>
      <c r="GI518" s="61">
        <f>IF(ISERROR((GH518/GF518-1)*100),"NA",IF(((GH518/GF518-1)*100)&gt;100,"NM",IF(((GH518/GF518-1)*100)&lt;-50,"NM",(GH518/GF518-1)*100)))</f>
        <v>23.211875843454788</v>
      </c>
      <c r="GJ518" s="301">
        <f>GJ118</f>
        <v>991</v>
      </c>
      <c r="GK518" s="61">
        <f>IF(ISERROR((GJ518/GH518-1)*100),"NA",IF(((GJ518/GH518-1)*100)&gt;100,"NM",IF(((GJ518/GH518-1)*100)&lt;-50,"NM",(GJ518/GH518-1)*100)))</f>
        <v>8.5432639649507092</v>
      </c>
      <c r="GL518" s="301">
        <f>GL118</f>
        <v>945.9</v>
      </c>
      <c r="GM518" s="61">
        <f>IF(ISERROR((GL518/GJ518-1)*100),"NA",IF(((GL518/GJ518-1)*100)&gt;100,"NM",IF(((GL518/GJ518-1)*100)&lt;-50,"NM",(GL518/GJ518-1)*100)))</f>
        <v>-4.5509586276488374</v>
      </c>
      <c r="GN518" s="301">
        <f>GN118</f>
        <v>1018</v>
      </c>
      <c r="GO518" s="61">
        <f>IF(ISERROR((GN518/GL518-1)*100),"NA",IF(((GN518/GL518-1)*100)&gt;100,"NM",IF(((GN518/GL518-1)*100)&lt;-50,"NM",(GN518/GL518-1)*100)))</f>
        <v>7.6223702294111462</v>
      </c>
      <c r="GP518" s="301">
        <f>GP118</f>
        <v>1131.6951472271512</v>
      </c>
      <c r="GQ518" s="61">
        <f>IF(ISERROR((GP518/GN518-1)*100),"NA",IF(((GP518/GN518-1)*100)&gt;100,"NM",IF(((GP518/GN518-1)*100)&lt;-50,"NM",(GP518/GN518-1)*100)))</f>
        <v>11.168482045889117</v>
      </c>
      <c r="GR518" s="301">
        <f>GR118</f>
        <v>1181.3693742008841</v>
      </c>
      <c r="GS518" s="61">
        <f>IF(ISERROR((GR518/GP518-1)*100),"NA",IF(((GR518/GP518-1)*100)&gt;100,"NM",IF(((GR518/GP518-1)*100)&lt;-50,"NM",(GR518/GP518-1)*100)))</f>
        <v>4.3893646708164535</v>
      </c>
      <c r="GT518" s="301">
        <f>GT118</f>
        <v>1250.6590838620441</v>
      </c>
      <c r="GU518" s="61">
        <f>IF(ISERROR((GT518/GR518-1)*100),"NA",IF(((GT518/GR518-1)*100)&gt;100,"NM",IF(((GT518/GR518-1)*100)&lt;-50,"NM",(GT518/GR518-1)*100)))</f>
        <v>5.8652028039942961</v>
      </c>
      <c r="GV518" s="301">
        <f>GV118</f>
        <v>1328.680673140525</v>
      </c>
      <c r="GW518" s="61">
        <f>IF(ISERROR((GV518/GT518-1)*100),"NA",IF(((GV518/GT518-1)*100)&gt;100,"NM",IF(((GV518/GT518-1)*100)&lt;-50,"NM",(GV518/GT518-1)*100)))</f>
        <v>6.238437819325604</v>
      </c>
      <c r="GX518" s="301">
        <f>GX118</f>
        <v>1416.4678818113136</v>
      </c>
      <c r="GY518" s="61">
        <f>IF(ISERROR((GX518/GV518-1)*100),"NA",IF(((GX518/GV518-1)*100)&gt;100,"NM",IF(((GX518/GV518-1)*100)&lt;-50,"NM",(GX518/GV518-1)*100)))</f>
        <v>6.6070960800002521</v>
      </c>
      <c r="GZ518" s="61">
        <f t="shared" si="2764"/>
        <v>6.8296463446636979</v>
      </c>
      <c r="HA518" s="61"/>
      <c r="HB518" s="452"/>
      <c r="HC518"/>
      <c r="HD518"/>
      <c r="HE518"/>
      <c r="HF518"/>
      <c r="HG518"/>
      <c r="HH518"/>
    </row>
    <row r="519" spans="1:216" s="5" customFormat="1" ht="12.75" customHeight="1" x14ac:dyDescent="0.2">
      <c r="B519" s="2" t="s">
        <v>129</v>
      </c>
      <c r="C519" s="120"/>
      <c r="D519" s="67"/>
      <c r="E519" s="120"/>
      <c r="F519" s="66"/>
      <c r="G519" s="299"/>
      <c r="H519" s="66"/>
      <c r="I519" s="120"/>
      <c r="J519" s="66"/>
      <c r="K519" s="120"/>
      <c r="L519" s="61"/>
      <c r="M519" s="120"/>
      <c r="N519" s="61"/>
      <c r="O519" s="299"/>
      <c r="P519" s="61"/>
      <c r="Q519" s="299"/>
      <c r="R519" s="61"/>
      <c r="S519" s="299"/>
      <c r="T519" s="61"/>
      <c r="U519" s="64"/>
      <c r="V519" s="61"/>
      <c r="W519" s="299"/>
      <c r="X519" s="61"/>
      <c r="Y519" s="299"/>
      <c r="Z519" s="61"/>
      <c r="AA519" s="299"/>
      <c r="AB519" s="61"/>
      <c r="AC519" s="299"/>
      <c r="AD519" s="61"/>
      <c r="AE519" s="299"/>
      <c r="AF519" s="61"/>
      <c r="AG519" s="299"/>
      <c r="AH519" s="61"/>
      <c r="AI519" s="299"/>
      <c r="AJ519" s="61"/>
      <c r="AK519" s="299"/>
      <c r="AL519" s="61"/>
      <c r="AM519" s="299"/>
      <c r="AN519" s="61"/>
      <c r="AO519" s="299"/>
      <c r="AP519" s="61"/>
      <c r="AQ519" s="301">
        <f>AQ179</f>
        <v>41.900000000000013</v>
      </c>
      <c r="AR519" s="61" t="str">
        <f>IF(ISERROR((AQ519/AI519-1)*100),"NA",IF(((AQ519/AI519-1)*100)&gt;100,"NM",IF(((AQ519/AI519-1)*100)&lt;-50,"NM",(AQ519/AI519-1)*100)))</f>
        <v>NA</v>
      </c>
      <c r="AS519" s="301">
        <f>AS179</f>
        <v>45.29999999999999</v>
      </c>
      <c r="AT519" s="61" t="str">
        <f>IF(ISERROR((AS519/AK519-1)*100),"NA",IF(((AS519/AK519-1)*100)&gt;100,"NM",IF(((AS519/AK519-1)*100)&lt;-50,"NM",(AS519/AK519-1)*100)))</f>
        <v>NA</v>
      </c>
      <c r="AU519" s="301">
        <f>AU179</f>
        <v>20.399999999999984</v>
      </c>
      <c r="AV519" s="61" t="str">
        <f>IF(ISERROR((AU519/AM519-1)*100),"NA",IF(((AU519/AM519-1)*100)&gt;100,"NM",IF(((AU519/AM519-1)*100)&lt;-50,"NM",(AU519/AM519-1)*100)))</f>
        <v>NA</v>
      </c>
      <c r="AW519" s="301">
        <f>AW179</f>
        <v>45.199999999999974</v>
      </c>
      <c r="AX519" s="61" t="str">
        <f>IF(ISERROR((AW519/AO519-1)*100),"NA",IF(((AW519/AO519-1)*100)&gt;100,"NM",IF(((AW519/AO519-1)*100)&lt;-50,"NM",(AW519/AO519-1)*100)))</f>
        <v>NA</v>
      </c>
      <c r="AY519" s="301">
        <f>AY179</f>
        <v>52.499999999999986</v>
      </c>
      <c r="AZ519" s="61">
        <f>IF(ISERROR((AY519/AQ519-1)*100),"NA",IF(((AY519/AQ519-1)*100)&gt;100,"NM",IF(((AY519/AQ519-1)*100)&lt;-50,"NM",(AY519/AQ519-1)*100)))</f>
        <v>25.298329355608516</v>
      </c>
      <c r="BA519" s="301">
        <f>BA179</f>
        <v>52.3</v>
      </c>
      <c r="BB519" s="61">
        <f>IF(ISERROR((BA519/AS519-1)*100),"NA",IF(((BA519/AS519-1)*100)&gt;100,"NM",IF(((BA519/AS519-1)*100)&lt;-50,"NM",(BA519/AS519-1)*100)))</f>
        <v>15.452538631346592</v>
      </c>
      <c r="BC519" s="301">
        <f>BC179</f>
        <v>48.5</v>
      </c>
      <c r="BD519" s="61" t="str">
        <f>IF(ISERROR((BC519/AU519-1)*100),"NA",IF(((BC519/AU519-1)*100)&gt;100,"NM",IF(((BC519/AU519-1)*100)&lt;-50,"NM",(BC519/AU519-1)*100)))</f>
        <v>NM</v>
      </c>
      <c r="BE519" s="301">
        <f>BE179</f>
        <v>47.59999999999998</v>
      </c>
      <c r="BF519" s="61">
        <f>IF(ISERROR((BE519/AW519-1)*100),"NA",IF(((BE519/AW519-1)*100)&gt;100,"NM",IF(((BE519/AW519-1)*100)&lt;-50,"NM",(BE519/AW519-1)*100)))</f>
        <v>5.3097345132743445</v>
      </c>
      <c r="BG519" s="529">
        <f>BG179</f>
        <v>49.70000000000001</v>
      </c>
      <c r="BH519" s="61">
        <f>IF(ISERROR((BG519/AY519-1)*100),"NA",IF(((BG519/AY519-1)*100)&gt;100,"NM",IF(((BG519/AY519-1)*100)&lt;-50,"NM",(BG519/AY519-1)*100)))</f>
        <v>-5.3333333333332895</v>
      </c>
      <c r="BI519" s="301">
        <f>BI179</f>
        <v>49.300000000000011</v>
      </c>
      <c r="BJ519" s="61">
        <f>IF(ISERROR((BI519/BA519-1)*100),"NA",IF(((BI519/BA519-1)*100)&gt;100,"NM",IF(((BI519/BA519-1)*100)&lt;-50,"NM",(BI519/BA519-1)*100)))</f>
        <v>-5.7361376673039866</v>
      </c>
      <c r="BK519" s="529">
        <f>BK179</f>
        <v>44.199999999999996</v>
      </c>
      <c r="BL519" s="61">
        <f>IF(ISERROR((BK519/BC519-1)*100),"NA",IF(((BK519/BC519-1)*100)&gt;100,"NM",IF(((BK519/BC519-1)*100)&lt;-50,"NM",(BK519/BC519-1)*100)))</f>
        <v>-8.8659793814433119</v>
      </c>
      <c r="BM519" s="301">
        <f>BM179</f>
        <v>43.100000000000016</v>
      </c>
      <c r="BN519" s="61">
        <f>IF(ISERROR((BM519/BE519-1)*100),"NA",IF(((BM519/BE519-1)*100)&gt;100,"NM",IF(((BM519/BE519-1)*100)&lt;-50,"NM",(BM519/BE519-1)*100)))</f>
        <v>-9.4537815126049747</v>
      </c>
      <c r="BO519" s="301">
        <f>BO179</f>
        <v>42.4</v>
      </c>
      <c r="BP519" s="61">
        <f>IF(ISERROR((BO519/BG519-1)*100),"NA",IF(((BO519/BG519-1)*100)&gt;100,"NM",IF(((BO519/BG519-1)*100)&lt;-50,"NM",(BO519/BG519-1)*100)))</f>
        <v>-14.688128772635833</v>
      </c>
      <c r="BQ519" s="301">
        <f>BQ179</f>
        <v>41.3</v>
      </c>
      <c r="BR519" s="61">
        <f>IF(ISERROR((BQ519/BI519-1)*100),"NA",IF(((BQ519/BI519-1)*100)&gt;100,"NM",IF(((BQ519/BI519-1)*100)&lt;-50,"NM",(BQ519/BI519-1)*100)))</f>
        <v>-16.227180527383389</v>
      </c>
      <c r="BS519" s="301">
        <f>BS179</f>
        <v>42.1</v>
      </c>
      <c r="BT519" s="61">
        <f>IF(ISERROR((BS519/BK519-1)*100),"NA",IF(((BS519/BK519-1)*100)&gt;100,"NM",IF(((BS519/BK519-1)*100)&lt;-50,"NM",(BS519/BK519-1)*100)))</f>
        <v>-4.7511312217194401</v>
      </c>
      <c r="BU519" s="301">
        <f>BU179</f>
        <v>24.899999999999988</v>
      </c>
      <c r="BV519" s="61">
        <f>IF(ISERROR((BU519/BM519-1)*100),"NA",IF(((BU519/BM519-1)*100)&gt;100,"NM",IF(((BU519/BM519-1)*100)&lt;-50,"NM",(BU519/BM519-1)*100)))</f>
        <v>-42.227378190255273</v>
      </c>
      <c r="BW519" s="301">
        <f>BW179</f>
        <v>29.799999999999976</v>
      </c>
      <c r="BX519" s="61">
        <f>IF(ISERROR((BW519/BO519-1)*100),"NA",IF(((BW519/BO519-1)*100)&gt;100,"NM",IF(((BW519/BO519-1)*100)&lt;-50,"NM",(BW519/BO519-1)*100)))</f>
        <v>-29.716981132075524</v>
      </c>
      <c r="BY519" s="301">
        <f>BY179</f>
        <v>27.70000000000001</v>
      </c>
      <c r="BZ519" s="61">
        <f>IF(ISERROR((BY519/BQ519-1)*100),"NA",IF(((BY519/BQ519-1)*100)&gt;100,"NM",IF(((BY519/BQ519-1)*100)&lt;-50,"NM",(BY519/BQ519-1)*100)))</f>
        <v>-32.929782082324422</v>
      </c>
      <c r="CA519" s="301">
        <f>CA179</f>
        <v>37.600000000000009</v>
      </c>
      <c r="CB519" s="61">
        <f>IF(ISERROR((CA519/BS519-1)*100),"NA",IF(((CA519/BS519-1)*100)&gt;100,"NM",IF(((CA519/BS519-1)*100)&lt;-50,"NM",(CA519/BS519-1)*100)))</f>
        <v>-10.688836104513044</v>
      </c>
      <c r="CC519" s="301">
        <f>CC179</f>
        <v>36.299999999999976</v>
      </c>
      <c r="CD519" s="61">
        <f>IF(ISERROR((CC519/BU519-1)*100),"NA",IF(((CC519/BU519-1)*100)&gt;100,"NM",IF(((CC519/BU519-1)*100)&lt;-50,"NM",(CC519/BU519-1)*100)))</f>
        <v>45.783132530120454</v>
      </c>
      <c r="CE519" s="301">
        <f>CE179</f>
        <v>35.899999999999991</v>
      </c>
      <c r="CF519" s="61">
        <f>IF(ISERROR((CE519/BW519-1)*100),"NA",IF(((CE519/BW519-1)*100)&gt;100,"NM",IF(((CE519/BW519-1)*100)&lt;-50,"NM",(CE519/BW519-1)*100)))</f>
        <v>20.469798657718187</v>
      </c>
      <c r="CG519" s="301">
        <f>CG179</f>
        <v>36.000000000000021</v>
      </c>
      <c r="CH519" s="61">
        <f>IF(ISERROR((CG519/BY519-1)*100),"NA",IF(((CG519/BY519-1)*100)&gt;100,"NM",IF(((CG519/BY519-1)*100)&lt;-50,"NM",(CG519/BY519-1)*100)))</f>
        <v>29.963898916967537</v>
      </c>
      <c r="CI519" s="301">
        <f>CI179</f>
        <v>38.800000000000004</v>
      </c>
      <c r="CJ519" s="61">
        <f>IF(ISERROR((CI519/CA519-1)*100),"NA",IF(((CI519/CA519-1)*100)&gt;100,"NM",IF(((CI519/CA519-1)*100)&lt;-50,"NM",(CI519/CA519-1)*100)))</f>
        <v>3.1914893617021045</v>
      </c>
      <c r="CK519" s="301">
        <f>CK179</f>
        <v>35.6</v>
      </c>
      <c r="CL519" s="61">
        <f>IF(ISERROR((CK519/CC519-1)*100),"NA",IF(((CK519/CC519-1)*100)&gt;100,"NM",IF(((CK519/CC519-1)*100)&lt;-50,"NM",(CK519/CC519-1)*100)))</f>
        <v>-1.9283746556473136</v>
      </c>
      <c r="CM519" s="301">
        <f>CM179</f>
        <v>38.700000000000003</v>
      </c>
      <c r="CN519" s="61">
        <f>IF(ISERROR((CM519/CE519-1)*100),"NA",IF(((CM519/CE519-1)*100)&gt;100,"NM",IF(((CM519/CE519-1)*100)&lt;-50,"NM",(CM519/CE519-1)*100)))</f>
        <v>7.7994428969359708</v>
      </c>
      <c r="CO519" s="301">
        <f>CO179</f>
        <v>39.399999999999991</v>
      </c>
      <c r="CP519" s="61">
        <f>IF(ISERROR((CO519/CG519-1)*100),"NA",IF(((CO519/CG519-1)*100)&gt;100,"NM",IF(((CO519/CG519-1)*100)&lt;-50,"NM",(CO519/CG519-1)*100)))</f>
        <v>9.4444444444443665</v>
      </c>
      <c r="CQ519" s="301">
        <f>CQ179</f>
        <v>36.200000000000003</v>
      </c>
      <c r="CR519" s="61">
        <f>IF(ISERROR((CQ519/CI519-1)*100),"NA",IF(((CQ519/CI519-1)*100)&gt;100,"NM",IF(((CQ519/CI519-1)*100)&lt;-50,"NM",(CQ519/CI519-1)*100)))</f>
        <v>-6.7010309278350499</v>
      </c>
      <c r="CS519" s="301">
        <f>CS179</f>
        <v>33</v>
      </c>
      <c r="CT519" s="61">
        <f>IF(ISERROR((CS519/CK519-1)*100),"NA",IF(((CS519/CK519-1)*100)&gt;100,"NM",IF(((CS519/CK519-1)*100)&lt;-50,"NM",(CS519/CK519-1)*100)))</f>
        <v>-7.3033707865168607</v>
      </c>
      <c r="CU519" s="301">
        <f>CU179</f>
        <v>35</v>
      </c>
      <c r="CV519" s="61">
        <f>IF(ISERROR((CU519/CM519-1)*100),"NA",IF(((CU519/CM519-1)*100)&gt;100,"NM",IF(((CU519/CM519-1)*100)&lt;-50,"NM",(CU519/CM519-1)*100)))</f>
        <v>-9.5607235142118885</v>
      </c>
      <c r="CW519" s="301">
        <f>CW179</f>
        <v>34</v>
      </c>
      <c r="CX519" s="61">
        <f>IF(ISERROR((CW519/CO519-1)*100),"NA",IF(((CW519/CO519-1)*100)&gt;100,"NM",IF(((CW519/CO519-1)*100)&lt;-50,"NM",(CW519/CO519-1)*100)))</f>
        <v>-13.705583756345163</v>
      </c>
      <c r="CY519" s="301">
        <f>CY179</f>
        <v>32</v>
      </c>
      <c r="CZ519" s="61">
        <f>IF(ISERROR((CY519/CQ519-1)*100),"NA",IF(((CY519/CQ519-1)*100)&gt;100,"NM",IF(((CY519/CQ519-1)*100)&lt;-50,"NM",(CY519/CQ519-1)*100)))</f>
        <v>-11.602209944751385</v>
      </c>
      <c r="DA519" s="301">
        <f>DA179</f>
        <v>32</v>
      </c>
      <c r="DB519" s="61">
        <f>IF(ISERROR((DA519/CS519-1)*100),"NA",IF(((DA519/CS519-1)*100)&gt;100,"NM",IF(((DA519/CS519-1)*100)&lt;-50,"NM",(DA519/CS519-1)*100)))</f>
        <v>-3.0303030303030276</v>
      </c>
      <c r="DC519" s="301">
        <f>DC179</f>
        <v>33</v>
      </c>
      <c r="DD519" s="61">
        <f>IF(ISERROR((DC519/CU519-1)*100),"NA",IF(((DC519/CU519-1)*100)&gt;100,"NM",IF(((DC519/CU519-1)*100)&lt;-50,"NM",(DC519/CU519-1)*100)))</f>
        <v>-5.7142857142857162</v>
      </c>
      <c r="DE519" s="301">
        <f>DE179</f>
        <v>34</v>
      </c>
      <c r="DF519" s="61">
        <f>IF(ISERROR((DE519/CW519-1)*100),"NA",IF(((DE519/CW519-1)*100)&gt;100,"NM",IF(((DE519/CW519-1)*100)&lt;-50,"NM",(DE519/CW519-1)*100)))</f>
        <v>0</v>
      </c>
      <c r="DG519" s="301">
        <f>DG179</f>
        <v>33</v>
      </c>
      <c r="DH519" s="61">
        <f>IF(ISERROR((DG519/CY519-1)*100),"NA",IF(((DG519/CY519-1)*100)&gt;100,"NM",IF(((DG519/CY519-1)*100)&lt;-50,"NM",(DG519/CY519-1)*100)))</f>
        <v>3.125</v>
      </c>
      <c r="DI519" s="301">
        <f>DI179</f>
        <v>34</v>
      </c>
      <c r="DJ519" s="61">
        <f>IF(ISERROR((DI519/DA519-1)*100),"NA",IF(((DI519/DA519-1)*100)&gt;100,"NM",IF(((DI519/DA519-1)*100)&lt;-50,"NM",(DI519/DA519-1)*100)))</f>
        <v>6.25</v>
      </c>
      <c r="DK519" s="301">
        <f>DK179</f>
        <v>39</v>
      </c>
      <c r="DL519" s="61">
        <f>IF(ISERROR((DK519/DC519-1)*100),"NA",IF(((DK519/DC519-1)*100)&gt;100,"NM",IF(((DK519/DC519-1)*100)&lt;-50,"NM",(DK519/DC519-1)*100)))</f>
        <v>18.181818181818187</v>
      </c>
      <c r="DM519" s="301">
        <f>DM179</f>
        <v>39</v>
      </c>
      <c r="DN519" s="130">
        <f t="shared" si="2765"/>
        <v>14.705882352941169</v>
      </c>
      <c r="DO519" s="301">
        <f>DO179</f>
        <v>40</v>
      </c>
      <c r="DP519" s="130">
        <f t="shared" si="2765"/>
        <v>21.212121212121215</v>
      </c>
      <c r="DQ519" s="301">
        <f>DQ179</f>
        <v>42</v>
      </c>
      <c r="DR519" s="130">
        <f t="shared" si="2765"/>
        <v>23.529411764705888</v>
      </c>
      <c r="DS519" s="301">
        <f>DS179</f>
        <v>35</v>
      </c>
      <c r="DT519" s="130">
        <f t="shared" si="2765"/>
        <v>-10.256410256410254</v>
      </c>
      <c r="DU519" s="301">
        <f>DU179</f>
        <v>30</v>
      </c>
      <c r="DV519" s="130">
        <f t="shared" si="2765"/>
        <v>-23.076923076923073</v>
      </c>
      <c r="DW519" s="301">
        <f>DW179</f>
        <v>40</v>
      </c>
      <c r="DX519" s="301">
        <f t="shared" ref="DX519:DY519" si="2785">DX179</f>
        <v>40</v>
      </c>
      <c r="DY519" s="301">
        <f t="shared" si="2785"/>
        <v>33</v>
      </c>
      <c r="DZ519" s="130">
        <f t="shared" si="2765"/>
        <v>-21.428571428571431</v>
      </c>
      <c r="EA519" s="301">
        <f t="shared" ref="EA519:EC519" si="2786">EA179</f>
        <v>35</v>
      </c>
      <c r="EB519" s="130">
        <f t="shared" si="2768"/>
        <v>0</v>
      </c>
      <c r="EC519" s="301">
        <f t="shared" si="2786"/>
        <v>31</v>
      </c>
      <c r="ED519" s="130">
        <f t="shared" si="2769"/>
        <v>3.3333333333333437</v>
      </c>
      <c r="EE519" s="301">
        <f t="shared" ref="EE519:EG519" si="2787">EE179</f>
        <v>30.9</v>
      </c>
      <c r="EF519" s="130">
        <f t="shared" si="2771"/>
        <v>-22.750000000000004</v>
      </c>
      <c r="EG519" s="301">
        <f t="shared" si="2787"/>
        <v>34</v>
      </c>
      <c r="EH519" s="130">
        <f t="shared" si="2772"/>
        <v>3.0303030303030276</v>
      </c>
      <c r="EI519" s="301">
        <f t="shared" ref="EI519:EK519" si="2788">EI179</f>
        <v>35</v>
      </c>
      <c r="EJ519" s="130">
        <f t="shared" si="2774"/>
        <v>0</v>
      </c>
      <c r="EK519" s="301">
        <f t="shared" si="2788"/>
        <v>37</v>
      </c>
      <c r="EL519" s="130">
        <f t="shared" si="2775"/>
        <v>19.354838709677423</v>
      </c>
      <c r="EM519" s="301">
        <f t="shared" ref="EM519" si="2789">EM179</f>
        <v>36</v>
      </c>
      <c r="EN519" s="130">
        <f t="shared" si="2777"/>
        <v>16.504854368932055</v>
      </c>
      <c r="EO519" s="301">
        <f t="shared" ref="EO519" si="2790">EO179</f>
        <v>41</v>
      </c>
      <c r="EP519" s="130">
        <f t="shared" si="2779"/>
        <v>20.588235294117641</v>
      </c>
      <c r="EQ519" s="301">
        <f t="shared" ref="EQ519:EW519" si="2791">EQ179</f>
        <v>44.808412163061703</v>
      </c>
      <c r="ER519" s="130">
        <f t="shared" si="2781"/>
        <v>28.024034751604866</v>
      </c>
      <c r="ES519" s="301">
        <f t="shared" si="2791"/>
        <v>44.749433830424493</v>
      </c>
      <c r="ET519" s="130">
        <f t="shared" si="2782"/>
        <v>20.944415757904046</v>
      </c>
      <c r="EU519" s="301">
        <f t="shared" si="2791"/>
        <v>45.211143384642121</v>
      </c>
      <c r="EV519" s="130">
        <f t="shared" si="2783"/>
        <v>25.586509401783665</v>
      </c>
      <c r="EW519" s="301">
        <f t="shared" si="2791"/>
        <v>45.528944494716114</v>
      </c>
      <c r="EX519" s="130">
        <f t="shared" si="2784"/>
        <v>11.046206084673461</v>
      </c>
      <c r="EY519" s="302"/>
      <c r="EZ519" s="558"/>
      <c r="FA519" s="302"/>
      <c r="FB519" s="147"/>
      <c r="FC519" s="147"/>
      <c r="FD519" s="147"/>
      <c r="FE519" s="303"/>
      <c r="FF519" s="147"/>
      <c r="FG519" s="303"/>
      <c r="FH519" s="147"/>
      <c r="FI519" s="303"/>
      <c r="FJ519" s="147"/>
      <c r="FK519" s="303"/>
      <c r="FL519" s="147"/>
      <c r="FM519" s="304"/>
      <c r="FN519" s="147"/>
      <c r="FO519" s="304"/>
      <c r="FP519" s="301">
        <f>AQ519+AS519+AU519+AW519</f>
        <v>152.79999999999995</v>
      </c>
      <c r="FQ519" s="61" t="str">
        <f>IF(ISERROR((FP519/FH519-1)*100),"NA",IF(((FP519/FH519-1)*100)&gt;100,"NM",IF(((FP519/FH519-1)*100)&lt;-50,"NM",(FP519/FH519-1)*100)))</f>
        <v>NA</v>
      </c>
      <c r="FR519" s="301">
        <f>AY519+BA519+BC519+BE519</f>
        <v>200.89999999999998</v>
      </c>
      <c r="FS519" s="61">
        <f>IF(ISERROR((FR519/FP519-1)*100),"NA",IF(((FR519/FP519-1)*100)&gt;100,"NM",IF(((FR519/FP519-1)*100)&lt;-50,"NM",(FR519/FP519-1)*100)))</f>
        <v>31.479057591623061</v>
      </c>
      <c r="FT519" s="529">
        <f>FT179</f>
        <v>186.29999999999998</v>
      </c>
      <c r="FU519" s="61">
        <f>IF(ISERROR((FT519/FR519-1)*100),"NA",IF(((FT519/FR519-1)*100)&gt;100,"NM",IF(((FT519/FR519-1)*100)&lt;-50,"NM",(FT519/FR519-1)*100)))</f>
        <v>-7.2672971627675391</v>
      </c>
      <c r="FV519" s="529">
        <f>FV179</f>
        <v>150.70000000000005</v>
      </c>
      <c r="FW519" s="61">
        <f>IF(ISERROR((FV519/FT519-1)*100),"NA",IF(((FV519/FT519-1)*100)&gt;100,"NM",IF(((FV519/FT519-1)*100)&lt;-50,"NM",(FV519/FT519-1)*100)))</f>
        <v>-19.108964036500232</v>
      </c>
      <c r="FX519" s="301">
        <f>FX179</f>
        <v>131.40000000000012</v>
      </c>
      <c r="FY519" s="61">
        <f>IF(ISERROR((FX519/FV519-1)*100),"NA",IF(((FX519/FV519-1)*100)&gt;100,"NM",IF(((FX519/FV519-1)*100)&lt;-50,"NM",(FX519/FV519-1)*100)))</f>
        <v>-12.80690112806896</v>
      </c>
      <c r="FZ519" s="301">
        <f>FZ179</f>
        <v>146.30000000000004</v>
      </c>
      <c r="GA519" s="61">
        <f>IF(ISERROR((FZ519/FX519-1)*100),"NA",IF(((FZ519/FX519-1)*100)&gt;100,"NM",IF(((FZ519/FX519-1)*100)&lt;-50,"NM",(FZ519/FX519-1)*100)))</f>
        <v>11.339421613394141</v>
      </c>
      <c r="GB519" s="301">
        <f>GB179</f>
        <v>147.30000000000004</v>
      </c>
      <c r="GC519" s="61">
        <f>IF(ISERROR((GB519/FZ519-1)*100),"NA",IF(((GB519/FZ519-1)*100)&gt;100,"NM",IF(((GB519/FZ519-1)*100)&lt;-50,"NM",(GB519/FZ519-1)*100)))</f>
        <v>0.68352699931646388</v>
      </c>
      <c r="GD519" s="301">
        <f>GD179</f>
        <v>133</v>
      </c>
      <c r="GE519" s="61">
        <f>IF(ISERROR((GD519/GB519-1)*100),"NA",IF(((GD519/GB519-1)*100)&gt;100,"NM",IF(((GD519/GB519-1)*100)&lt;-50,"NM",(GD519/GB519-1)*100)))</f>
        <v>-9.708078750848637</v>
      </c>
      <c r="GF519" s="301">
        <f>GF179</f>
        <v>134</v>
      </c>
      <c r="GG519" s="61">
        <f>IF(ISERROR((GF519/GD519-1)*100),"NA",IF(((GF519/GD519-1)*100)&gt;100,"NM",IF(((GF519/GD519-1)*100)&lt;-50,"NM",(GF519/GD519-1)*100)))</f>
        <v>0.75187969924812581</v>
      </c>
      <c r="GH519" s="301">
        <f>GH179</f>
        <v>160</v>
      </c>
      <c r="GI519" s="61">
        <f>IF(ISERROR((GH519/GF519-1)*100),"NA",IF(((GH519/GF519-1)*100)&gt;100,"NM",IF(((GH519/GF519-1)*100)&lt;-50,"NM",(GH519/GF519-1)*100)))</f>
        <v>19.402985074626855</v>
      </c>
      <c r="GJ519" s="301">
        <f>GJ179</f>
        <v>138</v>
      </c>
      <c r="GK519" s="61">
        <f>IF(ISERROR((GJ519/GH519-1)*100),"NA",IF(((GJ519/GH519-1)*100)&gt;100,"NM",IF(((GJ519/GH519-1)*100)&lt;-50,"NM",(GJ519/GH519-1)*100)))</f>
        <v>-13.749999999999996</v>
      </c>
      <c r="GL519" s="301">
        <f>GL179</f>
        <v>130.9</v>
      </c>
      <c r="GM519" s="61">
        <f>IF(ISERROR((GL519/GJ519-1)*100),"NA",IF(((GL519/GJ519-1)*100)&gt;100,"NM",IF(((GL519/GJ519-1)*100)&lt;-50,"NM",(GL519/GJ519-1)*100)))</f>
        <v>-5.1449275362318803</v>
      </c>
      <c r="GN519" s="301">
        <f>GN179</f>
        <v>149</v>
      </c>
      <c r="GO519" s="61">
        <f>IF(ISERROR((GN519/GL519-1)*100),"NA",IF(((GN519/GL519-1)*100)&gt;100,"NM",IF(((GN519/GL519-1)*100)&lt;-50,"NM",(GN519/GL519-1)*100)))</f>
        <v>13.827349121466771</v>
      </c>
      <c r="GP519" s="301">
        <f>GP179</f>
        <v>180.29793387284434</v>
      </c>
      <c r="GQ519" s="61">
        <f>IF(ISERROR((GP519/GN519-1)*100),"NA",IF(((GP519/GN519-1)*100)&gt;100,"NM",IF(((GP519/GN519-1)*100)&lt;-50,"NM",(GP519/GN519-1)*100)))</f>
        <v>21.005324746875399</v>
      </c>
      <c r="GR519" s="301">
        <f>GR179</f>
        <v>185.68847032386316</v>
      </c>
      <c r="GS519" s="61">
        <f>IF(ISERROR((GR519/GP519-1)*100),"NA",IF(((GR519/GP519-1)*100)&gt;100,"NM",IF(((GR519/GP519-1)*100)&lt;-50,"NM",(GR519/GP519-1)*100)))</f>
        <v>2.9897938014201042</v>
      </c>
      <c r="GT519" s="301">
        <f>GT179</f>
        <v>191.26398983936861</v>
      </c>
      <c r="GU519" s="61">
        <f>IF(ISERROR((GT519/GR519-1)*100),"NA",IF(((GT519/GR519-1)*100)&gt;100,"NM",IF(((GT519/GR519-1)*100)&lt;-50,"NM",(GT519/GR519-1)*100)))</f>
        <v>3.0026201981097955</v>
      </c>
      <c r="GV519" s="301">
        <f>GV179</f>
        <v>197.53883524227643</v>
      </c>
      <c r="GW519" s="61">
        <f>IF(ISERROR((GV519/GT519-1)*100),"NA",IF(((GV519/GT519-1)*100)&gt;100,"NM",IF(((GV519/GT519-1)*100)&lt;-50,"NM",(GV519/GT519-1)*100)))</f>
        <v>3.2807249332076127</v>
      </c>
      <c r="GX519" s="301">
        <f>GX179</f>
        <v>204.49662363474403</v>
      </c>
      <c r="GY519" s="61">
        <f>IF(ISERROR((GX519/GV519-1)*100),"NA",IF(((GX519/GV519-1)*100)&gt;100,"NM",IF(((GX519/GV519-1)*100)&lt;-50,"NM",(GX519/GV519-1)*100)))</f>
        <v>3.5222382393487628</v>
      </c>
      <c r="GZ519" s="61">
        <f t="shared" si="2764"/>
        <v>6.5368801614275496</v>
      </c>
      <c r="HA519" s="61"/>
      <c r="HB519" s="452"/>
      <c r="HC519"/>
      <c r="HD519"/>
      <c r="HE519"/>
      <c r="HF519"/>
      <c r="HG519"/>
      <c r="HH519"/>
    </row>
    <row r="520" spans="1:216" s="106" customFormat="1" ht="12.75" customHeight="1" x14ac:dyDescent="0.2">
      <c r="B520" s="63" t="s">
        <v>125</v>
      </c>
      <c r="C520" s="305"/>
      <c r="D520" s="306"/>
      <c r="E520" s="305"/>
      <c r="F520" s="307"/>
      <c r="G520" s="308"/>
      <c r="H520" s="307"/>
      <c r="I520" s="305"/>
      <c r="J520" s="307"/>
      <c r="K520" s="305"/>
      <c r="L520" s="61"/>
      <c r="M520" s="305"/>
      <c r="N520" s="61"/>
      <c r="O520" s="308"/>
      <c r="P520" s="61"/>
      <c r="Q520" s="308"/>
      <c r="R520" s="61"/>
      <c r="S520" s="308"/>
      <c r="T520" s="61"/>
      <c r="U520" s="103"/>
      <c r="V520" s="61"/>
      <c r="W520" s="308"/>
      <c r="X520" s="61"/>
      <c r="Y520" s="308"/>
      <c r="Z520" s="61"/>
      <c r="AA520" s="308"/>
      <c r="AB520" s="61"/>
      <c r="AC520" s="308"/>
      <c r="AD520" s="61"/>
      <c r="AE520" s="308"/>
      <c r="AF520" s="61"/>
      <c r="AG520" s="308"/>
      <c r="AH520" s="61"/>
      <c r="AI520" s="308"/>
      <c r="AJ520" s="61"/>
      <c r="AK520" s="308"/>
      <c r="AL520" s="61"/>
      <c r="AM520" s="308"/>
      <c r="AN520" s="61"/>
      <c r="AO520" s="308"/>
      <c r="AP520" s="61"/>
      <c r="AQ520" s="310">
        <f>SUM(AQ518:AQ519)</f>
        <v>91.600000000000051</v>
      </c>
      <c r="AR520" s="61" t="str">
        <f>IF(ISERROR((AQ520/AI520-1)*100),"NA",IF(((AQ520/AI520-1)*100)&gt;100,"NM",IF(((AQ520/AI520-1)*100)&lt;-50,"NM",(AQ520/AI520-1)*100)))</f>
        <v>NA</v>
      </c>
      <c r="AS520" s="310">
        <f>SUM(AS518:AS519)</f>
        <v>77.799999999999983</v>
      </c>
      <c r="AT520" s="61" t="str">
        <f>IF(ISERROR((AS520/AK520-1)*100),"NA",IF(((AS520/AK520-1)*100)&gt;100,"NM",IF(((AS520/AK520-1)*100)&lt;-50,"NM",(AS520/AK520-1)*100)))</f>
        <v>NA</v>
      </c>
      <c r="AU520" s="310">
        <f>SUM(AU518:AU519)</f>
        <v>99.399999999999949</v>
      </c>
      <c r="AV520" s="61" t="str">
        <f>IF(ISERROR((AU520/AM520-1)*100),"NA",IF(((AU520/AM520-1)*100)&gt;100,"NM",IF(((AU520/AM520-1)*100)&lt;-50,"NM",(AU520/AM520-1)*100)))</f>
        <v>NA</v>
      </c>
      <c r="AW520" s="310">
        <f>SUM(AW518:AW519)</f>
        <v>116.10000000000001</v>
      </c>
      <c r="AX520" s="61" t="str">
        <f>IF(ISERROR((AW520/AO520-1)*100),"NA",IF(((AW520/AO520-1)*100)&gt;100,"NM",IF(((AW520/AO520-1)*100)&lt;-50,"NM",(AW520/AO520-1)*100)))</f>
        <v>NA</v>
      </c>
      <c r="AY520" s="310">
        <f>SUM(AY518:AY519)</f>
        <v>118.89999999999998</v>
      </c>
      <c r="AZ520" s="61">
        <f>IF(ISERROR((AY520/AQ520-1)*100),"NA",IF(((AY520/AQ520-1)*100)&gt;100,"NM",IF(((AY520/AQ520-1)*100)&lt;-50,"NM",(AY520/AQ520-1)*100)))</f>
        <v>29.80349344978157</v>
      </c>
      <c r="BA520" s="310">
        <f>SUM(BA518:BA519)</f>
        <v>131.40000000000003</v>
      </c>
      <c r="BB520" s="61">
        <f>IF(ISERROR((BA520/AS520-1)*100),"NA",IF(((BA520/AS520-1)*100)&gt;100,"NM",IF(((BA520/AS520-1)*100)&lt;-50,"NM",(BA520/AS520-1)*100)))</f>
        <v>68.894601542416538</v>
      </c>
      <c r="BC520" s="310">
        <f>SUM(BC518:BC519)</f>
        <v>148.90000000000003</v>
      </c>
      <c r="BD520" s="61">
        <f>IF(ISERROR((BC520/AU520-1)*100),"NA",IF(((BC520/AU520-1)*100)&gt;100,"NM",IF(((BC520/AU520-1)*100)&lt;-50,"NM",(BC520/AU520-1)*100)))</f>
        <v>49.798792756539356</v>
      </c>
      <c r="BE520" s="310">
        <f>SUM(BE518:BE519)</f>
        <v>160.29999999999995</v>
      </c>
      <c r="BF520" s="61">
        <f>IF(ISERROR((BE520/AW520-1)*100),"NA",IF(((BE520/AW520-1)*100)&gt;100,"NM",IF(((BE520/AW520-1)*100)&lt;-50,"NM",(BE520/AW520-1)*100)))</f>
        <v>38.070628768303138</v>
      </c>
      <c r="BG520" s="530">
        <f>SUM(BG518:BG519)</f>
        <v>162.39999999999998</v>
      </c>
      <c r="BH520" s="61">
        <f>IF(ISERROR((BG520/AY520-1)*100),"NA",IF(((BG520/AY520-1)*100)&gt;100,"NM",IF(((BG520/AY520-1)*100)&lt;-50,"NM",(BG520/AY520-1)*100)))</f>
        <v>36.585365853658544</v>
      </c>
      <c r="BI520" s="310">
        <f>SUM(BI518:BI519)</f>
        <v>164.8</v>
      </c>
      <c r="BJ520" s="61">
        <f>IF(ISERROR((BI520/BA520-1)*100),"NA",IF(((BI520/BA520-1)*100)&gt;100,"NM",IF(((BI520/BA520-1)*100)&lt;-50,"NM",(BI520/BA520-1)*100)))</f>
        <v>25.418569254185662</v>
      </c>
      <c r="BK520" s="530">
        <f>SUM(BK518:BK519)</f>
        <v>186.1</v>
      </c>
      <c r="BL520" s="61">
        <f>IF(ISERROR((BK520/BC520-1)*100),"NA",IF(((BK520/BC520-1)*100)&gt;100,"NM",IF(((BK520/BC520-1)*100)&lt;-50,"NM",(BK520/BC520-1)*100)))</f>
        <v>24.983210208193384</v>
      </c>
      <c r="BM520" s="310">
        <f>SUM(BM518:BM519)</f>
        <v>197.99999999999994</v>
      </c>
      <c r="BN520" s="61">
        <f>IF(ISERROR((BM520/BE520-1)*100),"NA",IF(((BM520/BE520-1)*100)&gt;100,"NM",IF(((BM520/BE520-1)*100)&lt;-50,"NM",(BM520/BE520-1)*100)))</f>
        <v>23.518402994385525</v>
      </c>
      <c r="BO520" s="310">
        <f>SUM(BO518:BO519)</f>
        <v>150.30000000000004</v>
      </c>
      <c r="BP520" s="61">
        <f>IF(ISERROR((BO520/BG520-1)*100),"NA",IF(((BO520/BG520-1)*100)&gt;100,"NM",IF(((BO520/BG520-1)*100)&lt;-50,"NM",(BO520/BG520-1)*100)))</f>
        <v>-7.4507389162561166</v>
      </c>
      <c r="BQ520" s="310">
        <f>SUM(BQ518:BQ519)</f>
        <v>157.50000000000006</v>
      </c>
      <c r="BR520" s="61">
        <f>IF(ISERROR((BQ520/BI520-1)*100),"NA",IF(((BQ520/BI520-1)*100)&gt;100,"NM",IF(((BQ520/BI520-1)*100)&lt;-50,"NM",(BQ520/BI520-1)*100)))</f>
        <v>-4.4296116504854099</v>
      </c>
      <c r="BS520" s="310">
        <f>SUM(BS518:BS519)</f>
        <v>160.00000000000003</v>
      </c>
      <c r="BT520" s="61">
        <f>IF(ISERROR((BS520/BK520-1)*100),"NA",IF(((BS520/BK520-1)*100)&gt;100,"NM",IF(((BS520/BK520-1)*100)&lt;-50,"NM",(BS520/BK520-1)*100)))</f>
        <v>-14.024717893605565</v>
      </c>
      <c r="BU520" s="310">
        <f>SUM(BU518:BU519)</f>
        <v>100.19999999999989</v>
      </c>
      <c r="BV520" s="61">
        <f>IF(ISERROR((BU520/BM520-1)*100),"NA",IF(((BU520/BM520-1)*100)&gt;100,"NM",IF(((BU520/BM520-1)*100)&lt;-50,"NM",(BU520/BM520-1)*100)))</f>
        <v>-49.393939393939434</v>
      </c>
      <c r="BW520" s="310">
        <f>SUM(BW518:BW519)</f>
        <v>103.69999999999999</v>
      </c>
      <c r="BX520" s="61">
        <f>IF(ISERROR((BW520/BO520-1)*100),"NA",IF(((BW520/BO520-1)*100)&gt;100,"NM",IF(((BW520/BO520-1)*100)&lt;-50,"NM",(BW520/BO520-1)*100)))</f>
        <v>-31.004657351962774</v>
      </c>
      <c r="BY520" s="310">
        <f>SUM(BY518:BY519)</f>
        <v>93.100000000000023</v>
      </c>
      <c r="BZ520" s="61">
        <f>IF(ISERROR((BY520/BQ520-1)*100),"NA",IF(((BY520/BQ520-1)*100)&gt;100,"NM",IF(((BY520/BQ520-1)*100)&lt;-50,"NM",(BY520/BQ520-1)*100)))</f>
        <v>-40.8888888888889</v>
      </c>
      <c r="CA520" s="310">
        <f>SUM(CA518:CA519)</f>
        <v>117.10000000000001</v>
      </c>
      <c r="CB520" s="61">
        <f>IF(ISERROR((CA520/BS520-1)*100),"NA",IF(((CA520/BS520-1)*100)&gt;100,"NM",IF(((CA520/BS520-1)*100)&lt;-50,"NM",(CA520/BS520-1)*100)))</f>
        <v>-26.812500000000007</v>
      </c>
      <c r="CC520" s="310">
        <f>SUM(CC518:CC519)</f>
        <v>137.49999999999994</v>
      </c>
      <c r="CD520" s="61">
        <f>IF(ISERROR((CC520/BU520-1)*100),"NA",IF(((CC520/BU520-1)*100)&gt;100,"NM",IF(((CC520/BU520-1)*100)&lt;-50,"NM",(CC520/BU520-1)*100)))</f>
        <v>37.22554890219569</v>
      </c>
      <c r="CE520" s="310">
        <f>SUM(CE518:CE519)</f>
        <v>133.59999999999997</v>
      </c>
      <c r="CF520" s="61">
        <f>IF(ISERROR((CE520/BW520-1)*100),"NA",IF(((CE520/BW520-1)*100)&gt;100,"NM",IF(((CE520/BW520-1)*100)&lt;-50,"NM",(CE520/BW520-1)*100)))</f>
        <v>28.8331726133076</v>
      </c>
      <c r="CG520" s="310">
        <f>SUM(CG518:CG519)</f>
        <v>137.40000000000003</v>
      </c>
      <c r="CH520" s="61">
        <f>IF(ISERROR((CG520/BY520-1)*100),"NA",IF(((CG520/BY520-1)*100)&gt;100,"NM",IF(((CG520/BY520-1)*100)&lt;-50,"NM",(CG520/BY520-1)*100)))</f>
        <v>47.583243823845336</v>
      </c>
      <c r="CI520" s="310">
        <f>SUM(CI518:CI519)</f>
        <v>152.89999999999995</v>
      </c>
      <c r="CJ520" s="61">
        <f>IF(ISERROR((CI520/CA520-1)*100),"NA",IF(((CI520/CA520-1)*100)&gt;100,"NM",IF(((CI520/CA520-1)*100)&lt;-50,"NM",(CI520/CA520-1)*100)))</f>
        <v>30.572160546541372</v>
      </c>
      <c r="CK520" s="310">
        <f>SUM(CK518:CK519)</f>
        <v>156.79999999999998</v>
      </c>
      <c r="CL520" s="61">
        <f>IF(ISERROR((CK520/CC520-1)*100),"NA",IF(((CK520/CC520-1)*100)&gt;100,"NM",IF(((CK520/CC520-1)*100)&lt;-50,"NM",(CK520/CC520-1)*100)))</f>
        <v>14.036363636363669</v>
      </c>
      <c r="CM520" s="310">
        <f>SUM(CM518:CM519)</f>
        <v>164.7000000000001</v>
      </c>
      <c r="CN520" s="61">
        <f>IF(ISERROR((CM520/CE520-1)*100),"NA",IF(((CM520/CE520-1)*100)&gt;100,"NM",IF(((CM520/CE520-1)*100)&lt;-50,"NM",(CM520/CE520-1)*100)))</f>
        <v>23.27844311377256</v>
      </c>
      <c r="CO520" s="310">
        <f>SUM(CO518:CO519)</f>
        <v>170.19999999999993</v>
      </c>
      <c r="CP520" s="61">
        <f>IF(ISERROR((CO520/CG520-1)*100),"NA",IF(((CO520/CG520-1)*100)&gt;100,"NM",IF(((CO520/CG520-1)*100)&lt;-50,"NM",(CO520/CG520-1)*100)))</f>
        <v>23.871906841339086</v>
      </c>
      <c r="CQ520" s="310">
        <f>SUM(CQ518:CQ519)</f>
        <v>159.5</v>
      </c>
      <c r="CR520" s="61">
        <f>IF(ISERROR((CQ520/CI520-1)*100),"NA",IF(((CQ520/CI520-1)*100)&gt;100,"NM",IF(((CQ520/CI520-1)*100)&lt;-50,"NM",(CQ520/CI520-1)*100)))</f>
        <v>4.3165467625899678</v>
      </c>
      <c r="CS520" s="310">
        <f>SUM(CS518:CS519)</f>
        <v>164</v>
      </c>
      <c r="CT520" s="61">
        <f>IF(ISERROR((CS520/CK520-1)*100),"NA",IF(((CS520/CK520-1)*100)&gt;100,"NM",IF(((CS520/CK520-1)*100)&lt;-50,"NM",(CS520/CK520-1)*100)))</f>
        <v>4.5918367346938993</v>
      </c>
      <c r="CU520" s="310">
        <f>SUM(CU518:CU519)</f>
        <v>172</v>
      </c>
      <c r="CV520" s="61">
        <f>IF(ISERROR((CU520/CM520-1)*100),"NA",IF(((CU520/CM520-1)*100)&gt;100,"NM",IF(((CU520/CM520-1)*100)&lt;-50,"NM",(CU520/CM520-1)*100)))</f>
        <v>4.4323011536125723</v>
      </c>
      <c r="CW520" s="310">
        <f>SUM(CW518:CW519)</f>
        <v>180</v>
      </c>
      <c r="CX520" s="61">
        <f>IF(ISERROR((CW520/CO520-1)*100),"NA",IF(((CW520/CO520-1)*100)&gt;100,"NM",IF(((CW520/CO520-1)*100)&lt;-50,"NM",(CW520/CO520-1)*100)))</f>
        <v>5.7579318448884198</v>
      </c>
      <c r="CY520" s="310">
        <f>SUM(CY518:CY519)</f>
        <v>180</v>
      </c>
      <c r="CZ520" s="61">
        <f>IF(ISERROR((CY520/CQ520-1)*100),"NA",IF(((CY520/CQ520-1)*100)&gt;100,"NM",IF(((CY520/CQ520-1)*100)&lt;-50,"NM",(CY520/CQ520-1)*100)))</f>
        <v>12.852664576802496</v>
      </c>
      <c r="DA520" s="310">
        <f>SUM(DA518:DA519)</f>
        <v>186</v>
      </c>
      <c r="DB520" s="61">
        <f>IF(ISERROR((DA520/CS520-1)*100),"NA",IF(((DA520/CS520-1)*100)&gt;100,"NM",IF(((DA520/CS520-1)*100)&lt;-50,"NM",(DA520/CS520-1)*100)))</f>
        <v>13.414634146341452</v>
      </c>
      <c r="DC520" s="310">
        <f>SUM(DC518:DC519)</f>
        <v>192</v>
      </c>
      <c r="DD520" s="61">
        <f>IF(ISERROR((DC520/CU520-1)*100),"NA",IF(((DC520/CU520-1)*100)&gt;100,"NM",IF(((DC520/CU520-1)*100)&lt;-50,"NM",(DC520/CU520-1)*100)))</f>
        <v>11.627906976744185</v>
      </c>
      <c r="DE520" s="310">
        <f>SUM(DE518:DE519)</f>
        <v>220</v>
      </c>
      <c r="DF520" s="61">
        <f>IF(ISERROR((DE520/CW520-1)*100),"NA",IF(((DE520/CW520-1)*100)&gt;100,"NM",IF(((DE520/CW520-1)*100)&lt;-50,"NM",(DE520/CW520-1)*100)))</f>
        <v>22.222222222222232</v>
      </c>
      <c r="DG520" s="310">
        <f>SUM(DG518:DG519)</f>
        <v>227</v>
      </c>
      <c r="DH520" s="61">
        <f>IF(ISERROR((DG520/CY520-1)*100),"NA",IF(((DG520/CY520-1)*100)&gt;100,"NM",IF(((DG520/CY520-1)*100)&lt;-50,"NM",(DG520/CY520-1)*100)))</f>
        <v>26.111111111111107</v>
      </c>
      <c r="DI520" s="310">
        <f>SUM(DI518:DI519)</f>
        <v>236</v>
      </c>
      <c r="DJ520" s="61">
        <f>IF(ISERROR((DI520/DA520-1)*100),"NA",IF(((DI520/DA520-1)*100)&gt;100,"NM",IF(((DI520/DA520-1)*100)&lt;-50,"NM",(DI520/DA520-1)*100)))</f>
        <v>26.881720430107524</v>
      </c>
      <c r="DK520" s="310">
        <f>SUM(DK518:DK519)</f>
        <v>255</v>
      </c>
      <c r="DL520" s="61">
        <f>IF(ISERROR((DK520/DC520-1)*100),"NA",IF(((DK520/DC520-1)*100)&gt;100,"NM",IF(((DK520/DC520-1)*100)&lt;-50,"NM",(DK520/DC520-1)*100)))</f>
        <v>32.8125</v>
      </c>
      <c r="DM520" s="310">
        <f>SUM(DM518:DM519)</f>
        <v>266</v>
      </c>
      <c r="DN520" s="130">
        <f t="shared" si="2765"/>
        <v>20.909090909090899</v>
      </c>
      <c r="DO520" s="310">
        <f>SUM(DO518:DO519)</f>
        <v>273</v>
      </c>
      <c r="DP520" s="130">
        <f t="shared" si="2765"/>
        <v>20.264317180616743</v>
      </c>
      <c r="DQ520" s="310">
        <f>SUM(DQ518:DQ519)</f>
        <v>279</v>
      </c>
      <c r="DR520" s="130">
        <f t="shared" si="2765"/>
        <v>18.220338983050844</v>
      </c>
      <c r="DS520" s="310">
        <f>SUM(DS518:DS519)</f>
        <v>274</v>
      </c>
      <c r="DT520" s="130">
        <f t="shared" si="2765"/>
        <v>7.4509803921568585</v>
      </c>
      <c r="DU520" s="310">
        <f>SUM(DU518:DU519)</f>
        <v>285</v>
      </c>
      <c r="DV520" s="130">
        <f t="shared" si="2765"/>
        <v>7.1428571428571397</v>
      </c>
      <c r="DW520" s="310">
        <f>SUM(DW518:DW519)</f>
        <v>294</v>
      </c>
      <c r="DX520" s="310">
        <f t="shared" ref="DX520:DY520" si="2792">SUM(DX518:DX519)</f>
        <v>294</v>
      </c>
      <c r="DY520" s="310">
        <f t="shared" si="2792"/>
        <v>276</v>
      </c>
      <c r="DZ520" s="130">
        <f t="shared" si="2765"/>
        <v>-1.0752688172043001</v>
      </c>
      <c r="EA520" s="310">
        <f t="shared" ref="EA520:EC520" si="2793">SUM(EA518:EA519)</f>
        <v>257</v>
      </c>
      <c r="EB520" s="130">
        <f t="shared" si="2768"/>
        <v>-6.204379562043794</v>
      </c>
      <c r="EC520" s="310">
        <f t="shared" si="2793"/>
        <v>266</v>
      </c>
      <c r="ED520" s="130">
        <f t="shared" si="2769"/>
        <v>-6.6666666666666652</v>
      </c>
      <c r="EE520" s="310">
        <f t="shared" ref="EE520:EG520" si="2794">SUM(EE518:EE519)</f>
        <v>277.8</v>
      </c>
      <c r="EF520" s="130">
        <f t="shared" si="2771"/>
        <v>-5.5102040816326525</v>
      </c>
      <c r="EG520" s="310">
        <f t="shared" si="2794"/>
        <v>276</v>
      </c>
      <c r="EH520" s="130">
        <f t="shared" si="2772"/>
        <v>0</v>
      </c>
      <c r="EI520" s="310">
        <f t="shared" ref="EI520:EK520" si="2795">SUM(EI518:EI519)</f>
        <v>275</v>
      </c>
      <c r="EJ520" s="130">
        <f t="shared" si="2774"/>
        <v>7.0038910505836549</v>
      </c>
      <c r="EK520" s="310">
        <f t="shared" si="2795"/>
        <v>288</v>
      </c>
      <c r="EL520" s="130">
        <f t="shared" si="2775"/>
        <v>8.2706766917293173</v>
      </c>
      <c r="EM520" s="310">
        <f t="shared" ref="EM520" si="2796">SUM(EM518:EM519)</f>
        <v>298</v>
      </c>
      <c r="EN520" s="130">
        <f t="shared" si="2777"/>
        <v>7.2714182865370791</v>
      </c>
      <c r="EO520" s="310">
        <f t="shared" ref="EO520" si="2797">SUM(EO518:EO519)</f>
        <v>306</v>
      </c>
      <c r="EP520" s="130">
        <f t="shared" si="2779"/>
        <v>10.869565217391308</v>
      </c>
      <c r="EQ520" s="310">
        <f t="shared" ref="EQ520:EW520" si="2798">SUM(EQ518:EQ519)</f>
        <v>325.26534462300367</v>
      </c>
      <c r="ER520" s="130">
        <f t="shared" si="2781"/>
        <v>18.278307135637696</v>
      </c>
      <c r="ES520" s="310">
        <f t="shared" si="2798"/>
        <v>324.58218699899089</v>
      </c>
      <c r="ET520" s="130">
        <f t="shared" si="2782"/>
        <v>12.702148263538504</v>
      </c>
      <c r="EU520" s="310">
        <f t="shared" si="2798"/>
        <v>328.77206411623786</v>
      </c>
      <c r="EV520" s="130">
        <f t="shared" si="2783"/>
        <v>10.326196012160359</v>
      </c>
      <c r="EW520" s="310">
        <f t="shared" si="2798"/>
        <v>333.3734853617641</v>
      </c>
      <c r="EX520" s="130">
        <f t="shared" si="2784"/>
        <v>8.9455834515568924</v>
      </c>
      <c r="EY520" s="309"/>
      <c r="EZ520" s="558"/>
      <c r="FA520" s="309"/>
      <c r="FB520" s="309"/>
      <c r="FC520" s="309"/>
      <c r="FD520" s="309"/>
      <c r="FE520" s="518"/>
      <c r="FF520" s="309"/>
      <c r="FG520" s="518"/>
      <c r="FH520" s="309"/>
      <c r="FI520" s="518"/>
      <c r="FJ520" s="309"/>
      <c r="FK520" s="518"/>
      <c r="FL520" s="309"/>
      <c r="FM520" s="518"/>
      <c r="FN520" s="309"/>
      <c r="FO520" s="518"/>
      <c r="FP520" s="310">
        <f t="shared" ref="FP520:FZ520" si="2799">SUM(FP518:FP519)</f>
        <v>384.9</v>
      </c>
      <c r="FQ520" s="61" t="str">
        <f>IF(ISERROR((FP520/FH520-1)*100),"NA",IF(((FP520/FH520-1)*100)&gt;100,"NM",IF(((FP520/FH520-1)*100)&lt;-50,"NM",(FP520/FH520-1)*100)))</f>
        <v>NA</v>
      </c>
      <c r="FR520" s="310">
        <f t="shared" si="2799"/>
        <v>559.5</v>
      </c>
      <c r="FS520" s="61">
        <f>IF(ISERROR((FR520/FP520-1)*100),"NA",IF(((FR520/FP520-1)*100)&gt;100,"NM",IF(((FR520/FP520-1)*100)&lt;-50,"NM",(FR520/FP520-1)*100)))</f>
        <v>45.362431800467661</v>
      </c>
      <c r="FT520" s="530">
        <f t="shared" si="2799"/>
        <v>711.2999999999995</v>
      </c>
      <c r="FU520" s="61">
        <f>IF(ISERROR((FT520/FR520-1)*100),"NA",IF(((FT520/FR520-1)*100)&gt;100,"NM",IF(((FT520/FR520-1)*100)&lt;-50,"NM",(FT520/FR520-1)*100)))</f>
        <v>27.131367292225118</v>
      </c>
      <c r="FV520" s="530">
        <f>SUM(FV518:FV519)</f>
        <v>568.00000000000057</v>
      </c>
      <c r="FW520" s="61">
        <f>IF(ISERROR((FV520/FT520-1)*100),"NA",IF(((FV520/FT520-1)*100)&gt;100,"NM",IF(((FV520/FT520-1)*100)&lt;-50,"NM",(FV520/FT520-1)*100)))</f>
        <v>-20.146211162659778</v>
      </c>
      <c r="FX520" s="310">
        <f t="shared" si="2799"/>
        <v>451.40000000000043</v>
      </c>
      <c r="FY520" s="61">
        <f>IF(ISERROR((FX520/FV520-1)*100),"NA",IF(((FX520/FV520-1)*100)&gt;100,"NM",IF(((FX520/FV520-1)*100)&lt;-50,"NM",(FX520/FV520-1)*100)))</f>
        <v>-20.528169014084508</v>
      </c>
      <c r="FZ520" s="310">
        <f t="shared" si="2799"/>
        <v>580.70000000000027</v>
      </c>
      <c r="GA520" s="61">
        <f>IF(ISERROR((FZ520/FX520-1)*100),"NA",IF(((FZ520/FX520-1)*100)&gt;100,"NM",IF(((FZ520/FX520-1)*100)&lt;-50,"NM",(FZ520/FX520-1)*100)))</f>
        <v>28.644217988480225</v>
      </c>
      <c r="GB520" s="310">
        <f>SUM(GB518:GB519)</f>
        <v>658.40000000000043</v>
      </c>
      <c r="GC520" s="61">
        <f>IF(ISERROR((GB520/FZ520-1)*100),"NA",IF(((GB520/FZ520-1)*100)&gt;100,"NM",IF(((GB520/FZ520-1)*100)&lt;-50,"NM",(GB520/FZ520-1)*100)))</f>
        <v>13.380402961942494</v>
      </c>
      <c r="GD520" s="310">
        <f>SUM(GD518:GD519)</f>
        <v>718</v>
      </c>
      <c r="GE520" s="61">
        <f>IF(ISERROR((GD520/GB520-1)*100),"NA",IF(((GD520/GB520-1)*100)&gt;100,"NM",IF(((GD520/GB520-1)*100)&lt;-50,"NM",(GD520/GB520-1)*100)))</f>
        <v>9.0522478736329681</v>
      </c>
      <c r="GF520" s="310">
        <f>SUM(GF518:GF519)</f>
        <v>875</v>
      </c>
      <c r="GG520" s="61">
        <f>IF(ISERROR((GF520/GD520-1)*100),"NA",IF(((GF520/GD520-1)*100)&gt;100,"NM",IF(((GF520/GD520-1)*100)&lt;-50,"NM",(GF520/GD520-1)*100)))</f>
        <v>21.866295264623957</v>
      </c>
      <c r="GH520" s="310">
        <f>SUM(GH518:GH519)</f>
        <v>1073</v>
      </c>
      <c r="GI520" s="61">
        <f>IF(ISERROR((GH520/GF520-1)*100),"NA",IF(((GH520/GF520-1)*100)&gt;100,"NM",IF(((GH520/GF520-1)*100)&lt;-50,"NM",(GH520/GF520-1)*100)))</f>
        <v>22.628571428571419</v>
      </c>
      <c r="GJ520" s="310">
        <f>SUM(GJ518:GJ519)</f>
        <v>1129</v>
      </c>
      <c r="GK520" s="61">
        <f>IF(ISERROR((GJ520/GH520-1)*100),"NA",IF(((GJ520/GH520-1)*100)&gt;100,"NM",IF(((GJ520/GH520-1)*100)&lt;-50,"NM",(GJ520/GH520-1)*100)))</f>
        <v>5.2190121155638369</v>
      </c>
      <c r="GL520" s="310">
        <f>SUM(GL518:GL519)</f>
        <v>1076.8</v>
      </c>
      <c r="GM520" s="61">
        <f>IF(ISERROR((GL520/GJ520-1)*100),"NA",IF(((GL520/GJ520-1)*100)&gt;100,"NM",IF(((GL520/GJ520-1)*100)&lt;-50,"NM",(GL520/GJ520-1)*100)))</f>
        <v>-4.6235606731620971</v>
      </c>
      <c r="GN520" s="310">
        <f>SUM(GN518:GN519)</f>
        <v>1167</v>
      </c>
      <c r="GO520" s="61">
        <f>IF(ISERROR((GN520/GL520-1)*100),"NA",IF(((GN520/GL520-1)*100)&gt;100,"NM",IF(((GN520/GL520-1)*100)&lt;-50,"NM",(GN520/GL520-1)*100)))</f>
        <v>8.3766716196136848</v>
      </c>
      <c r="GP520" s="310">
        <f>SUM(GP518:GP519)</f>
        <v>1311.9930810999956</v>
      </c>
      <c r="GQ520" s="61">
        <f>IF(ISERROR((GP520/GN520-1)*100),"NA",IF(((GP520/GN520-1)*100)&gt;100,"NM",IF(((GP520/GN520-1)*100)&lt;-50,"NM",(GP520/GN520-1)*100)))</f>
        <v>12.42442854327297</v>
      </c>
      <c r="GR520" s="310">
        <f>SUM(GR518:GR519)</f>
        <v>1367.0578445247472</v>
      </c>
      <c r="GS520" s="61">
        <f>IF(ISERROR((GR520/GP520-1)*100),"NA",IF(((GR520/GP520-1)*100)&gt;100,"NM",IF(((GR520/GP520-1)*100)&lt;-50,"NM",(GR520/GP520-1)*100)))</f>
        <v>4.1970315406377301</v>
      </c>
      <c r="GT520" s="310">
        <f>SUM(GT518:GT519)</f>
        <v>1441.9230737014127</v>
      </c>
      <c r="GU520" s="61">
        <f>IF(ISERROR((GT520/GR520-1)*100),"NA",IF(((GT520/GR520-1)*100)&gt;100,"NM",IF(((GT520/GR520-1)*100)&lt;-50,"NM",(GT520/GR520-1)*100)))</f>
        <v>5.4763761077492701</v>
      </c>
      <c r="GV520" s="310">
        <f>SUM(GV518:GV519)</f>
        <v>1526.2195083828015</v>
      </c>
      <c r="GW520" s="61">
        <f>IF(ISERROR((GV520/GT520-1)*100),"NA",IF(((GV520/GT520-1)*100)&gt;100,"NM",IF(((GV520/GT520-1)*100)&lt;-50,"NM",(GV520/GT520-1)*100)))</f>
        <v>5.8461117807762086</v>
      </c>
      <c r="GX520" s="310">
        <f>SUM(GX518:GX519)</f>
        <v>1620.9645054460577</v>
      </c>
      <c r="GY520" s="61">
        <f>IF(ISERROR((GX520/GV520-1)*100),"NA",IF(((GX520/GV520-1)*100)&gt;100,"NM",IF(((GX520/GV520-1)*100)&lt;-50,"NM",(GX520/GV520-1)*100)))</f>
        <v>6.2078224359515044</v>
      </c>
      <c r="GZ520" s="61">
        <f t="shared" si="2764"/>
        <v>6.7924450177295537</v>
      </c>
      <c r="HA520" s="61"/>
      <c r="HB520" s="452"/>
      <c r="HC520"/>
      <c r="HD520"/>
      <c r="HE520"/>
      <c r="HF520"/>
      <c r="HG520"/>
      <c r="HH520"/>
    </row>
    <row r="521" spans="1:216" s="5" customFormat="1" ht="12.75" customHeight="1" x14ac:dyDescent="0.2">
      <c r="B521" s="2"/>
      <c r="C521" s="120"/>
      <c r="D521" s="67"/>
      <c r="E521" s="120"/>
      <c r="F521" s="66"/>
      <c r="G521" s="299"/>
      <c r="H521" s="66"/>
      <c r="I521" s="120"/>
      <c r="J521" s="66"/>
      <c r="K521" s="120"/>
      <c r="L521" s="61"/>
      <c r="M521" s="120"/>
      <c r="N521" s="61"/>
      <c r="O521" s="299"/>
      <c r="P521" s="61"/>
      <c r="Q521" s="299"/>
      <c r="R521" s="61"/>
      <c r="S521" s="299"/>
      <c r="T521" s="61"/>
      <c r="U521" s="64"/>
      <c r="V521" s="61"/>
      <c r="W521" s="299"/>
      <c r="X521" s="61"/>
      <c r="Y521" s="299"/>
      <c r="Z521" s="61"/>
      <c r="AA521" s="299"/>
      <c r="AB521" s="61"/>
      <c r="AC521" s="299"/>
      <c r="AD521" s="61"/>
      <c r="AE521" s="299"/>
      <c r="AF521" s="61"/>
      <c r="AG521" s="299"/>
      <c r="AH521" s="61"/>
      <c r="AI521" s="299"/>
      <c r="AJ521" s="61"/>
      <c r="AK521" s="299"/>
      <c r="AL521" s="61"/>
      <c r="AM521" s="299"/>
      <c r="AN521" s="61"/>
      <c r="AO521" s="299"/>
      <c r="AP521" s="61"/>
      <c r="AQ521" s="301"/>
      <c r="AR521" s="61"/>
      <c r="AS521" s="301"/>
      <c r="AT521" s="61"/>
      <c r="AU521" s="301"/>
      <c r="AV521" s="61"/>
      <c r="AW521" s="301"/>
      <c r="AX521" s="61"/>
      <c r="AY521" s="301"/>
      <c r="AZ521" s="61"/>
      <c r="BA521" s="301"/>
      <c r="BB521" s="61"/>
      <c r="BC521" s="301"/>
      <c r="BD521" s="61"/>
      <c r="BE521" s="301"/>
      <c r="BF521" s="61"/>
      <c r="BG521" s="529"/>
      <c r="BH521" s="61"/>
      <c r="BI521" s="301"/>
      <c r="BJ521" s="61"/>
      <c r="BK521" s="529"/>
      <c r="BL521" s="61"/>
      <c r="BM521" s="301"/>
      <c r="BN521" s="61"/>
      <c r="BO521" s="301"/>
      <c r="BP521" s="61"/>
      <c r="BQ521" s="301"/>
      <c r="BR521" s="61"/>
      <c r="BS521" s="301"/>
      <c r="BT521" s="61"/>
      <c r="BU521" s="301"/>
      <c r="BV521" s="61"/>
      <c r="BW521" s="301"/>
      <c r="BX521" s="61"/>
      <c r="BY521" s="301"/>
      <c r="BZ521" s="61"/>
      <c r="CA521" s="301"/>
      <c r="CB521" s="61"/>
      <c r="CC521" s="301"/>
      <c r="CD521" s="61"/>
      <c r="CE521" s="301"/>
      <c r="CF521" s="61"/>
      <c r="CG521" s="301"/>
      <c r="CH521" s="61"/>
      <c r="CI521" s="301"/>
      <c r="CJ521" s="61"/>
      <c r="CK521" s="301"/>
      <c r="CL521" s="61"/>
      <c r="CM521" s="301"/>
      <c r="CN521" s="61"/>
      <c r="CO521" s="439"/>
      <c r="CP521" s="61"/>
      <c r="CQ521" s="439"/>
      <c r="CR521" s="61"/>
      <c r="CS521" s="439"/>
      <c r="CT521" s="61"/>
      <c r="CU521" s="439"/>
      <c r="CV521" s="61"/>
      <c r="CW521" s="439"/>
      <c r="CX521" s="61"/>
      <c r="CY521" s="439"/>
      <c r="CZ521" s="61"/>
      <c r="DA521" s="439"/>
      <c r="DB521" s="61"/>
      <c r="DC521" s="439"/>
      <c r="DD521" s="61"/>
      <c r="DE521" s="439"/>
      <c r="DF521" s="61"/>
      <c r="DG521" s="439"/>
      <c r="DH521" s="61"/>
      <c r="DI521" s="439"/>
      <c r="DJ521" s="61"/>
      <c r="DK521" s="439"/>
      <c r="DL521" s="61"/>
      <c r="DM521" s="439"/>
      <c r="DN521" s="61"/>
      <c r="DO521" s="439"/>
      <c r="DP521" s="61"/>
      <c r="DQ521" s="439"/>
      <c r="DR521" s="61"/>
      <c r="DS521" s="439"/>
      <c r="DT521" s="61"/>
      <c r="DU521" s="439"/>
      <c r="DV521" s="61"/>
      <c r="DW521" s="439"/>
      <c r="DX521" s="439"/>
      <c r="DY521" s="439"/>
      <c r="DZ521" s="61"/>
      <c r="EA521" s="439"/>
      <c r="EB521" s="61"/>
      <c r="EC521" s="439"/>
      <c r="ED521" s="61"/>
      <c r="EE521" s="439"/>
      <c r="EF521" s="61"/>
      <c r="EG521" s="439"/>
      <c r="EH521" s="61"/>
      <c r="EI521" s="439"/>
      <c r="EJ521" s="61"/>
      <c r="EK521" s="439"/>
      <c r="EL521" s="61"/>
      <c r="EM521" s="439"/>
      <c r="EN521" s="61"/>
      <c r="EO521" s="439"/>
      <c r="EP521" s="61"/>
      <c r="EQ521" s="301"/>
      <c r="ER521" s="61"/>
      <c r="ES521" s="301"/>
      <c r="ET521" s="61"/>
      <c r="EU521" s="301"/>
      <c r="EV521" s="61"/>
      <c r="EW521" s="301"/>
      <c r="EX521" s="61"/>
      <c r="EY521" s="302"/>
      <c r="EZ521" s="558"/>
      <c r="FA521" s="302"/>
      <c r="FB521" s="147"/>
      <c r="FC521" s="147"/>
      <c r="FD521" s="147"/>
      <c r="FE521" s="303"/>
      <c r="FF521" s="147"/>
      <c r="FG521" s="303"/>
      <c r="FH521" s="147"/>
      <c r="FI521" s="303"/>
      <c r="FJ521" s="147"/>
      <c r="FK521" s="303"/>
      <c r="FL521" s="147"/>
      <c r="FM521" s="304"/>
      <c r="FN521" s="147"/>
      <c r="FO521" s="304"/>
      <c r="FP521" s="301"/>
      <c r="FQ521" s="61"/>
      <c r="FR521" s="301"/>
      <c r="FS521" s="61"/>
      <c r="FT521" s="529"/>
      <c r="FU521" s="61"/>
      <c r="FV521" s="529"/>
      <c r="FW521" s="61"/>
      <c r="FX521" s="301"/>
      <c r="FY521" s="61"/>
      <c r="FZ521" s="301"/>
      <c r="GA521" s="61"/>
      <c r="GB521" s="301"/>
      <c r="GC521" s="61"/>
      <c r="GD521" s="301"/>
      <c r="GE521" s="61"/>
      <c r="GF521" s="301"/>
      <c r="GG521" s="61"/>
      <c r="GH521" s="301"/>
      <c r="GI521" s="61"/>
      <c r="GJ521" s="301"/>
      <c r="GK521" s="61"/>
      <c r="GL521" s="301"/>
      <c r="GM521" s="61"/>
      <c r="GN521" s="301"/>
      <c r="GO521" s="61"/>
      <c r="GP521" s="301"/>
      <c r="GQ521" s="61"/>
      <c r="GR521" s="301"/>
      <c r="GS521" s="61"/>
      <c r="GT521" s="301"/>
      <c r="GU521" s="61"/>
      <c r="GV521" s="301"/>
      <c r="GW521" s="61"/>
      <c r="GX521" s="301"/>
      <c r="GY521" s="61"/>
      <c r="GZ521" s="61" t="str">
        <f t="shared" si="2764"/>
        <v/>
      </c>
      <c r="HA521" s="61"/>
      <c r="HB521" s="452"/>
      <c r="HC521"/>
      <c r="HD521"/>
      <c r="HE521"/>
      <c r="HF521"/>
      <c r="HG521"/>
      <c r="HH521"/>
    </row>
    <row r="522" spans="1:216" s="5" customFormat="1" ht="12.75" customHeight="1" x14ac:dyDescent="0.2">
      <c r="B522" s="63" t="s">
        <v>126</v>
      </c>
      <c r="C522" s="120"/>
      <c r="D522" s="67"/>
      <c r="E522" s="120"/>
      <c r="F522" s="66"/>
      <c r="G522" s="299"/>
      <c r="H522" s="66"/>
      <c r="I522" s="120"/>
      <c r="J522" s="66"/>
      <c r="K522" s="120"/>
      <c r="L522" s="61"/>
      <c r="M522" s="120"/>
      <c r="N522" s="61"/>
      <c r="O522" s="299"/>
      <c r="P522" s="61"/>
      <c r="Q522" s="299"/>
      <c r="R522" s="61"/>
      <c r="S522" s="299"/>
      <c r="T522" s="61"/>
      <c r="U522" s="64"/>
      <c r="V522" s="61"/>
      <c r="W522" s="299"/>
      <c r="X522" s="61"/>
      <c r="Y522" s="299"/>
      <c r="Z522" s="61"/>
      <c r="AA522" s="299"/>
      <c r="AB522" s="61"/>
      <c r="AC522" s="299"/>
      <c r="AD522" s="61"/>
      <c r="AE522" s="299"/>
      <c r="AF522" s="61"/>
      <c r="AG522" s="299"/>
      <c r="AH522" s="61"/>
      <c r="AI522" s="299"/>
      <c r="AJ522" s="61"/>
      <c r="AK522" s="299"/>
      <c r="AL522" s="61"/>
      <c r="AM522" s="299"/>
      <c r="AN522" s="61"/>
      <c r="AO522" s="299"/>
      <c r="AP522" s="61"/>
      <c r="AQ522" s="301"/>
      <c r="AR522" s="61"/>
      <c r="AS522" s="301"/>
      <c r="AT522" s="61"/>
      <c r="AU522" s="301"/>
      <c r="AV522" s="61"/>
      <c r="AW522" s="301"/>
      <c r="AX522" s="61"/>
      <c r="AY522" s="301"/>
      <c r="AZ522" s="61"/>
      <c r="BA522" s="301"/>
      <c r="BB522" s="61"/>
      <c r="BC522" s="301"/>
      <c r="BD522" s="61"/>
      <c r="BE522" s="301"/>
      <c r="BF522" s="61"/>
      <c r="BG522" s="529"/>
      <c r="BH522" s="61"/>
      <c r="BI522" s="301"/>
      <c r="BJ522" s="61"/>
      <c r="BK522" s="529"/>
      <c r="BL522" s="61"/>
      <c r="BM522" s="301"/>
      <c r="BN522" s="61"/>
      <c r="BO522" s="301"/>
      <c r="BP522" s="61"/>
      <c r="BQ522" s="301"/>
      <c r="BR522" s="61"/>
      <c r="BS522" s="301"/>
      <c r="BT522" s="61"/>
      <c r="BU522" s="301"/>
      <c r="BV522" s="61"/>
      <c r="BW522" s="301"/>
      <c r="BX522" s="61"/>
      <c r="BY522" s="301"/>
      <c r="BZ522" s="61"/>
      <c r="CA522" s="301"/>
      <c r="CB522" s="61"/>
      <c r="CC522" s="301"/>
      <c r="CD522" s="61"/>
      <c r="CE522" s="301"/>
      <c r="CF522" s="61"/>
      <c r="CG522" s="301"/>
      <c r="CH522" s="61"/>
      <c r="CI522" s="301"/>
      <c r="CJ522" s="61"/>
      <c r="CK522" s="301"/>
      <c r="CL522" s="61"/>
      <c r="CM522" s="301"/>
      <c r="CN522" s="61"/>
      <c r="CO522" s="439"/>
      <c r="CP522" s="61"/>
      <c r="CQ522" s="439"/>
      <c r="CR522" s="61"/>
      <c r="CS522" s="439"/>
      <c r="CT522" s="61"/>
      <c r="CU522" s="439"/>
      <c r="CV522" s="61"/>
      <c r="CW522" s="439"/>
      <c r="CX522" s="61"/>
      <c r="CY522" s="439"/>
      <c r="CZ522" s="61"/>
      <c r="DA522" s="439"/>
      <c r="DB522" s="61"/>
      <c r="DC522" s="439"/>
      <c r="DD522" s="61"/>
      <c r="DE522" s="439"/>
      <c r="DF522" s="61"/>
      <c r="DG522" s="439"/>
      <c r="DH522" s="61"/>
      <c r="DI522" s="439"/>
      <c r="DJ522" s="61"/>
      <c r="DK522" s="439"/>
      <c r="DL522" s="61"/>
      <c r="DM522" s="439"/>
      <c r="DN522" s="61"/>
      <c r="DO522" s="439"/>
      <c r="DP522" s="61"/>
      <c r="DQ522" s="439"/>
      <c r="DR522" s="61"/>
      <c r="DS522" s="439"/>
      <c r="DT522" s="61"/>
      <c r="DU522" s="439"/>
      <c r="DV522" s="61"/>
      <c r="DW522" s="439"/>
      <c r="DX522" s="439"/>
      <c r="DY522" s="439"/>
      <c r="DZ522" s="61"/>
      <c r="EA522" s="439"/>
      <c r="EB522" s="61"/>
      <c r="EC522" s="439"/>
      <c r="ED522" s="61"/>
      <c r="EE522" s="439"/>
      <c r="EF522" s="61"/>
      <c r="EG522" s="439"/>
      <c r="EH522" s="61"/>
      <c r="EI522" s="439"/>
      <c r="EJ522" s="61"/>
      <c r="EK522" s="439"/>
      <c r="EL522" s="61"/>
      <c r="EM522" s="439"/>
      <c r="EN522" s="61"/>
      <c r="EO522" s="439"/>
      <c r="EP522" s="61"/>
      <c r="EQ522" s="301"/>
      <c r="ER522" s="61"/>
      <c r="ES522" s="301"/>
      <c r="ET522" s="61"/>
      <c r="EU522" s="301"/>
      <c r="EV522" s="61"/>
      <c r="EW522" s="301"/>
      <c r="EX522" s="61"/>
      <c r="EY522" s="302"/>
      <c r="EZ522" s="558"/>
      <c r="FA522" s="302"/>
      <c r="FB522" s="147"/>
      <c r="FC522" s="147"/>
      <c r="FD522" s="147"/>
      <c r="FE522" s="303"/>
      <c r="FF522" s="147"/>
      <c r="FG522" s="303"/>
      <c r="FH522" s="147"/>
      <c r="FI522" s="303"/>
      <c r="FJ522" s="147"/>
      <c r="FK522" s="303"/>
      <c r="FL522" s="147"/>
      <c r="FM522" s="304"/>
      <c r="FN522" s="147"/>
      <c r="FO522" s="304"/>
      <c r="FP522" s="301"/>
      <c r="FQ522" s="61"/>
      <c r="FR522" s="301"/>
      <c r="FS522" s="61"/>
      <c r="FT522" s="529"/>
      <c r="FU522" s="61"/>
      <c r="FV522" s="529"/>
      <c r="FW522" s="61"/>
      <c r="FX522" s="301"/>
      <c r="FY522" s="61"/>
      <c r="FZ522" s="301"/>
      <c r="GA522" s="61"/>
      <c r="GB522" s="301"/>
      <c r="GC522" s="61"/>
      <c r="GD522" s="301"/>
      <c r="GE522" s="61"/>
      <c r="GF522" s="301"/>
      <c r="GG522" s="61"/>
      <c r="GH522" s="301"/>
      <c r="GI522" s="61"/>
      <c r="GJ522" s="301"/>
      <c r="GK522" s="61"/>
      <c r="GL522" s="301"/>
      <c r="GM522" s="61"/>
      <c r="GN522" s="301"/>
      <c r="GO522" s="61"/>
      <c r="GP522" s="301"/>
      <c r="GQ522" s="61"/>
      <c r="GR522" s="301"/>
      <c r="GS522" s="61"/>
      <c r="GT522" s="301"/>
      <c r="GU522" s="61"/>
      <c r="GV522" s="301"/>
      <c r="GW522" s="61"/>
      <c r="GX522" s="301"/>
      <c r="GY522" s="61"/>
      <c r="GZ522" s="61" t="str">
        <f t="shared" si="2764"/>
        <v/>
      </c>
      <c r="HA522" s="61"/>
      <c r="HB522" s="452"/>
      <c r="HC522"/>
      <c r="HD522"/>
      <c r="HE522"/>
      <c r="HF522"/>
      <c r="HG522"/>
      <c r="HH522"/>
    </row>
    <row r="523" spans="1:216" s="5" customFormat="1" ht="12.75" customHeight="1" x14ac:dyDescent="0.2">
      <c r="B523" s="2" t="s">
        <v>223</v>
      </c>
      <c r="C523" s="120"/>
      <c r="D523" s="67"/>
      <c r="E523" s="120"/>
      <c r="F523" s="66"/>
      <c r="G523" s="299"/>
      <c r="H523" s="66"/>
      <c r="I523" s="120"/>
      <c r="J523" s="66"/>
      <c r="K523" s="120"/>
      <c r="L523" s="61"/>
      <c r="M523" s="120"/>
      <c r="N523" s="61"/>
      <c r="O523" s="299"/>
      <c r="P523" s="61"/>
      <c r="Q523" s="299"/>
      <c r="R523" s="61"/>
      <c r="S523" s="299"/>
      <c r="T523" s="61"/>
      <c r="U523" s="64"/>
      <c r="V523" s="61"/>
      <c r="W523" s="299"/>
      <c r="X523" s="61"/>
      <c r="Y523" s="299"/>
      <c r="Z523" s="61"/>
      <c r="AA523" s="299"/>
      <c r="AB523" s="61"/>
      <c r="AC523" s="299"/>
      <c r="AD523" s="61"/>
      <c r="AE523" s="299"/>
      <c r="AF523" s="61"/>
      <c r="AG523" s="299"/>
      <c r="AH523" s="61"/>
      <c r="AI523" s="299"/>
      <c r="AJ523" s="61"/>
      <c r="AK523" s="299"/>
      <c r="AL523" s="61"/>
      <c r="AM523" s="299"/>
      <c r="AN523" s="61"/>
      <c r="AO523" s="299"/>
      <c r="AP523" s="61"/>
      <c r="AQ523" s="301">
        <f>AQ275</f>
        <v>62.20000000000001</v>
      </c>
      <c r="AR523" s="61" t="str">
        <f>IF(ISERROR((AQ523/AI523-1)*100),"NA",IF(((AQ523/AI523-1)*100)&gt;100,"NM",IF(((AQ523/AI523-1)*100)&lt;-50,"NM",(AQ523/AI523-1)*100)))</f>
        <v>NA</v>
      </c>
      <c r="AS523" s="301">
        <f>AS275</f>
        <v>59.600000000000037</v>
      </c>
      <c r="AT523" s="61" t="str">
        <f>IF(ISERROR((AS523/AK523-1)*100),"NA",IF(((AS523/AK523-1)*100)&gt;100,"NM",IF(((AS523/AK523-1)*100)&lt;-50,"NM",(AS523/AK523-1)*100)))</f>
        <v>NA</v>
      </c>
      <c r="AU523" s="301">
        <f>AU275</f>
        <v>61.899999999999963</v>
      </c>
      <c r="AV523" s="61" t="str">
        <f>IF(ISERROR((AU523/AM523-1)*100),"NA",IF(((AU523/AM523-1)*100)&gt;100,"NM",IF(((AU523/AM523-1)*100)&lt;-50,"NM",(AU523/AM523-1)*100)))</f>
        <v>NA</v>
      </c>
      <c r="AW523" s="301">
        <f>AW275</f>
        <v>73.799999999999983</v>
      </c>
      <c r="AX523" s="61" t="str">
        <f>IF(ISERROR((AW523/AO523-1)*100),"NA",IF(((AW523/AO523-1)*100)&gt;100,"NM",IF(((AW523/AO523-1)*100)&lt;-50,"NM",(AW523/AO523-1)*100)))</f>
        <v>NA</v>
      </c>
      <c r="AY523" s="301">
        <f>AY275</f>
        <v>69</v>
      </c>
      <c r="AZ523" s="61">
        <f>IF(ISERROR((AY523/AQ523-1)*100),"NA",IF(((AY523/AQ523-1)*100)&gt;100,"NM",IF(((AY523/AQ523-1)*100)&lt;-50,"NM",(AY523/AQ523-1)*100)))</f>
        <v>10.932475884244353</v>
      </c>
      <c r="BA523" s="301">
        <f>BA275</f>
        <v>144.1</v>
      </c>
      <c r="BB523" s="61" t="str">
        <f>IF(ISERROR((BA523/AS523-1)*100),"NA",IF(((BA523/AS523-1)*100)&gt;100,"NM",IF(((BA523/AS523-1)*100)&lt;-50,"NM",(BA523/AS523-1)*100)))</f>
        <v>NM</v>
      </c>
      <c r="BC523" s="301">
        <f>BC275</f>
        <v>139.7999999999999</v>
      </c>
      <c r="BD523" s="61" t="str">
        <f>IF(ISERROR((BC523/AU523-1)*100),"NA",IF(((BC523/AU523-1)*100)&gt;100,"NM",IF(((BC523/AU523-1)*100)&lt;-50,"NM",(BC523/AU523-1)*100)))</f>
        <v>NM</v>
      </c>
      <c r="BE523" s="301">
        <f>BE275</f>
        <v>147.30000000000001</v>
      </c>
      <c r="BF523" s="61">
        <f>IF(ISERROR((BE523/AW523-1)*100),"NA",IF(((BE523/AW523-1)*100)&gt;100,"NM",IF(((BE523/AW523-1)*100)&lt;-50,"NM",(BE523/AW523-1)*100)))</f>
        <v>99.593495934959407</v>
      </c>
      <c r="BG523" s="529">
        <f>BG275</f>
        <v>155.60000000000011</v>
      </c>
      <c r="BH523" s="61" t="str">
        <f>IF(ISERROR((BG523/AY523-1)*100),"NA",IF(((BG523/AY523-1)*100)&gt;100,"NM",IF(((BG523/AY523-1)*100)&lt;-50,"NM",(BG523/AY523-1)*100)))</f>
        <v>NM</v>
      </c>
      <c r="BI523" s="301">
        <f>BI275</f>
        <v>160.5</v>
      </c>
      <c r="BJ523" s="61">
        <f>IF(ISERROR((BI523/BA523-1)*100),"NA",IF(((BI523/BA523-1)*100)&gt;100,"NM",IF(((BI523/BA523-1)*100)&lt;-50,"NM",(BI523/BA523-1)*100)))</f>
        <v>11.38098542678696</v>
      </c>
      <c r="BK523" s="529">
        <f>BK275</f>
        <v>165.8</v>
      </c>
      <c r="BL523" s="61">
        <f>IF(ISERROR((BK523/BC523-1)*100),"NA",IF(((BK523/BC523-1)*100)&gt;100,"NM",IF(((BK523/BC523-1)*100)&lt;-50,"NM",(BK523/BC523-1)*100)))</f>
        <v>18.597997138769774</v>
      </c>
      <c r="BM523" s="301">
        <f>BM275</f>
        <v>174.59999999999985</v>
      </c>
      <c r="BN523" s="61">
        <f>IF(ISERROR((BM523/BE523-1)*100),"NA",IF(((BM523/BE523-1)*100)&gt;100,"NM",IF(((BM523/BE523-1)*100)&lt;-50,"NM",(BM523/BE523-1)*100)))</f>
        <v>18.533604887983589</v>
      </c>
      <c r="BO523" s="301">
        <f>BO275</f>
        <v>166.40000000000012</v>
      </c>
      <c r="BP523" s="61">
        <f>IF(ISERROR((BO523/BG523-1)*100),"NA",IF(((BO523/BG523-1)*100)&gt;100,"NM",IF(((BO523/BG523-1)*100)&lt;-50,"NM",(BO523/BG523-1)*100)))</f>
        <v>6.9408740359897303</v>
      </c>
      <c r="BQ523" s="301">
        <f>BQ275</f>
        <v>163.50000000000006</v>
      </c>
      <c r="BR523" s="61">
        <f>IF(ISERROR((BQ523/BI523-1)*100),"NA",IF(((BQ523/BI523-1)*100)&gt;100,"NM",IF(((BQ523/BI523-1)*100)&lt;-50,"NM",(BQ523/BI523-1)*100)))</f>
        <v>1.8691588785047175</v>
      </c>
      <c r="BS523" s="301">
        <f>BS275</f>
        <v>167.40000000000009</v>
      </c>
      <c r="BT523" s="61">
        <f>IF(ISERROR((BS523/BK523-1)*100),"NA",IF(((BS523/BK523-1)*100)&gt;100,"NM",IF(((BS523/BK523-1)*100)&lt;-50,"NM",(BS523/BK523-1)*100)))</f>
        <v>0.96501809408930939</v>
      </c>
      <c r="BU523" s="301">
        <f>BU275</f>
        <v>133.5</v>
      </c>
      <c r="BV523" s="61">
        <f>IF(ISERROR((BU523/BM523-1)*100),"NA",IF(((BU523/BM523-1)*100)&gt;100,"NM",IF(((BU523/BM523-1)*100)&lt;-50,"NM",(BU523/BM523-1)*100)))</f>
        <v>-23.53951890034358</v>
      </c>
      <c r="BW523" s="301">
        <f>BW275</f>
        <v>142.20000000000005</v>
      </c>
      <c r="BX523" s="61">
        <f>IF(ISERROR((BW523/BO523-1)*100),"NA",IF(((BW523/BO523-1)*100)&gt;100,"NM",IF(((BW523/BO523-1)*100)&lt;-50,"NM",(BW523/BO523-1)*100)))</f>
        <v>-14.543269230769262</v>
      </c>
      <c r="BY523" s="301">
        <f>BY275</f>
        <v>132.90000000000003</v>
      </c>
      <c r="BZ523" s="61">
        <f>IF(ISERROR((BY523/BQ523-1)*100),"NA",IF(((BY523/BQ523-1)*100)&gt;100,"NM",IF(((BY523/BQ523-1)*100)&lt;-50,"NM",(BY523/BQ523-1)*100)))</f>
        <v>-18.71559633027524</v>
      </c>
      <c r="CA523" s="301">
        <f>CA275</f>
        <v>142.49999999999991</v>
      </c>
      <c r="CB523" s="61">
        <f>IF(ISERROR((CA523/BS523-1)*100),"NA",IF(((CA523/BS523-1)*100)&gt;100,"NM",IF(((CA523/BS523-1)*100)&lt;-50,"NM",(CA523/BS523-1)*100)))</f>
        <v>-14.874551971326266</v>
      </c>
      <c r="CC523" s="301">
        <f>CC275</f>
        <v>157.60000000000014</v>
      </c>
      <c r="CD523" s="61">
        <f>IF(ISERROR((CC523/BU523-1)*100),"NA",IF(((CC523/BU523-1)*100)&gt;100,"NM",IF(((CC523/BU523-1)*100)&lt;-50,"NM",(CC523/BU523-1)*100)))</f>
        <v>18.052434456928946</v>
      </c>
      <c r="CE523" s="301">
        <f>CE275</f>
        <v>150.90000000000003</v>
      </c>
      <c r="CF523" s="61">
        <f>IF(ISERROR((CE523/BW523-1)*100),"NA",IF(((CE523/BW523-1)*100)&gt;100,"NM",IF(((CE523/BW523-1)*100)&lt;-50,"NM",(CE523/BW523-1)*100)))</f>
        <v>6.1181434599155926</v>
      </c>
      <c r="CG523" s="301">
        <f>CG275</f>
        <v>151.70000000000005</v>
      </c>
      <c r="CH523" s="61">
        <f>IF(ISERROR((CG523/BY523-1)*100),"NA",IF(((CG523/BY523-1)*100)&gt;100,"NM",IF(((CG523/BY523-1)*100)&lt;-50,"NM",(CG523/BY523-1)*100)))</f>
        <v>14.14597441685479</v>
      </c>
      <c r="CI523" s="301">
        <f>CI275</f>
        <v>151.89999999999995</v>
      </c>
      <c r="CJ523" s="61">
        <f>IF(ISERROR((CI523/CA523-1)*100),"NA",IF(((CI523/CA523-1)*100)&gt;100,"NM",IF(((CI523/CA523-1)*100)&lt;-50,"NM",(CI523/CA523-1)*100)))</f>
        <v>6.5964912280702004</v>
      </c>
      <c r="CK523" s="301">
        <f>CK275</f>
        <v>155.49999999999989</v>
      </c>
      <c r="CL523" s="61">
        <f>IF(ISERROR((CK523/CC523-1)*100),"NA",IF(((CK523/CC523-1)*100)&gt;100,"NM",IF(((CK523/CC523-1)*100)&lt;-50,"NM",(CK523/CC523-1)*100)))</f>
        <v>-1.3324873096448253</v>
      </c>
      <c r="CM523" s="301">
        <f>CM275</f>
        <v>128</v>
      </c>
      <c r="CN523" s="61">
        <f>IF(ISERROR((CM523/CE523-1)*100),"NA",IF(((CM523/CE523-1)*100)&gt;100,"NM",IF(((CM523/CE523-1)*100)&lt;-50,"NM",(CM523/CE523-1)*100)))</f>
        <v>-15.175612988734278</v>
      </c>
      <c r="CO523" s="301">
        <f>CO275</f>
        <v>135.4</v>
      </c>
      <c r="CP523" s="61">
        <f>IF(ISERROR((CO523/CG523-1)*100),"NA",IF(((CO523/CG523-1)*100)&gt;100,"NM",IF(((CO523/CG523-1)*100)&lt;-50,"NM",(CO523/CG523-1)*100)))</f>
        <v>-10.74489123269613</v>
      </c>
      <c r="CQ523" s="301">
        <f>CQ275</f>
        <v>164.79999999999993</v>
      </c>
      <c r="CR523" s="61">
        <f>IF(ISERROR((CQ523/CI523-1)*100),"NA",IF(((CQ523/CI523-1)*100)&gt;100,"NM",IF(((CQ523/CI523-1)*100)&lt;-50,"NM",(CQ523/CI523-1)*100)))</f>
        <v>8.4924292297564143</v>
      </c>
      <c r="CS523" s="301">
        <f>CS275</f>
        <v>131</v>
      </c>
      <c r="CT523" s="61">
        <f>IF(ISERROR((CS523/CK523-1)*100),"NA",IF(((CS523/CK523-1)*100)&gt;100,"NM",IF(((CS523/CK523-1)*100)&lt;-50,"NM",(CS523/CK523-1)*100)))</f>
        <v>-15.755627009646245</v>
      </c>
      <c r="CU523" s="301">
        <f>CU275</f>
        <v>139</v>
      </c>
      <c r="CV523" s="61">
        <f>IF(ISERROR((CU523/CM523-1)*100),"NA",IF(((CU523/CM523-1)*100)&gt;100,"NM",IF(((CU523/CM523-1)*100)&lt;-50,"NM",(CU523/CM523-1)*100)))</f>
        <v>8.59375</v>
      </c>
      <c r="CW523" s="301">
        <f>CW275</f>
        <v>129</v>
      </c>
      <c r="CX523" s="61">
        <f>IF(ISERROR((CW523/CO523-1)*100),"NA",IF(((CW523/CO523-1)*100)&gt;100,"NM",IF(((CW523/CO523-1)*100)&lt;-50,"NM",(CW523/CO523-1)*100)))</f>
        <v>-4.7267355982274832</v>
      </c>
      <c r="CY523" s="301">
        <f>CY275</f>
        <v>135</v>
      </c>
      <c r="CZ523" s="61">
        <f>IF(ISERROR((CY523/CQ523-1)*100),"NA",IF(((CY523/CQ523-1)*100)&gt;100,"NM",IF(((CY523/CQ523-1)*100)&lt;-50,"NM",(CY523/CQ523-1)*100)))</f>
        <v>-18.082524271844626</v>
      </c>
      <c r="DA523" s="301">
        <f>DA275</f>
        <v>138</v>
      </c>
      <c r="DB523" s="61">
        <f>IF(ISERROR((DA523/CS523-1)*100),"NA",IF(((DA523/CS523-1)*100)&gt;100,"NM",IF(((DA523/CS523-1)*100)&lt;-50,"NM",(DA523/CS523-1)*100)))</f>
        <v>5.3435114503816772</v>
      </c>
      <c r="DC523" s="301">
        <f>DC275</f>
        <v>119.498</v>
      </c>
      <c r="DD523" s="61">
        <f>IF(ISERROR((DC523/CU523-1)*100),"NA",IF(((DC523/CU523-1)*100)&gt;100,"NM",IF(((DC523/CU523-1)*100)&lt;-50,"NM",(DC523/CU523-1)*100)))</f>
        <v>-14.030215827338122</v>
      </c>
      <c r="DE523" s="301">
        <f>DE275</f>
        <v>130</v>
      </c>
      <c r="DF523" s="61">
        <f>IF(ISERROR((DE523/CW523-1)*100),"NA",IF(((DE523/CW523-1)*100)&gt;100,"NM",IF(((DE523/CW523-1)*100)&lt;-50,"NM",(DE523/CW523-1)*100)))</f>
        <v>0.77519379844961378</v>
      </c>
      <c r="DG523" s="301">
        <f>DG275</f>
        <v>125</v>
      </c>
      <c r="DH523" s="61">
        <f>IF(ISERROR((DG523/CY523-1)*100),"NA",IF(((DG523/CY523-1)*100)&gt;100,"NM",IF(((DG523/CY523-1)*100)&lt;-50,"NM",(DG523/CY523-1)*100)))</f>
        <v>-7.4074074074074066</v>
      </c>
      <c r="DI523" s="301">
        <f>DI275</f>
        <v>146</v>
      </c>
      <c r="DJ523" s="61">
        <f>IF(ISERROR((DI523/DA523-1)*100),"NA",IF(((DI523/DA523-1)*100)&gt;100,"NM",IF(((DI523/DA523-1)*100)&lt;-50,"NM",(DI523/DA523-1)*100)))</f>
        <v>5.7971014492753659</v>
      </c>
      <c r="DK523" s="301">
        <f>DK275</f>
        <v>120</v>
      </c>
      <c r="DL523" s="61">
        <f>IF(ISERROR((DK523/DC523-1)*100),"NA",IF(((DK523/DC523-1)*100)&gt;100,"NM",IF(((DK523/DC523-1)*100)&lt;-50,"NM",(DK523/DC523-1)*100)))</f>
        <v>0.42009071281527977</v>
      </c>
      <c r="DM523" s="301">
        <f>DM275</f>
        <v>143</v>
      </c>
      <c r="DN523" s="130">
        <f t="shared" ref="DN523:DZ526" si="2800">IF(ISERROR((DM523/DE523-1)*100),"NA",IF(((DM523/DE523-1)*100)&gt;100,"NM",IF(((DM523/DE523-1)*100)&lt;-50,"NM",(DM523/DE523-1)*100)))</f>
        <v>10.000000000000009</v>
      </c>
      <c r="DO523" s="301">
        <f>DO275</f>
        <v>150</v>
      </c>
      <c r="DP523" s="130">
        <f t="shared" si="2800"/>
        <v>19.999999999999996</v>
      </c>
      <c r="DQ523" s="301">
        <f>DQ275</f>
        <v>141</v>
      </c>
      <c r="DR523" s="130">
        <f t="shared" si="2800"/>
        <v>-3.4246575342465779</v>
      </c>
      <c r="DS523" s="301">
        <f>DS275</f>
        <v>111</v>
      </c>
      <c r="DT523" s="130">
        <f t="shared" si="2800"/>
        <v>-7.4999999999999956</v>
      </c>
      <c r="DU523" s="301">
        <f>DU275</f>
        <v>105</v>
      </c>
      <c r="DV523" s="130">
        <f t="shared" si="2800"/>
        <v>-26.573426573426573</v>
      </c>
      <c r="DW523" s="301">
        <f>DW275</f>
        <v>153</v>
      </c>
      <c r="DX523" s="301">
        <f t="shared" ref="DX523:DY523" si="2801">DX275</f>
        <v>153</v>
      </c>
      <c r="DY523" s="301">
        <f t="shared" si="2801"/>
        <v>119</v>
      </c>
      <c r="DZ523" s="130">
        <f t="shared" si="2800"/>
        <v>-15.602836879432624</v>
      </c>
      <c r="EA523" s="301">
        <f t="shared" ref="EA523:EC523" si="2802">EA275</f>
        <v>122</v>
      </c>
      <c r="EB523" s="130">
        <f t="shared" ref="EB523:EB526" si="2803">IF(ISERROR((EA523/DS523-1)*100),"NA",IF(((EA523/DS523-1)*100)&gt;100,"NM",IF(((EA523/DS523-1)*100)&lt;-50,"NM",(EA523/DS523-1)*100)))</f>
        <v>9.9099099099099206</v>
      </c>
      <c r="EC523" s="301">
        <f t="shared" si="2802"/>
        <v>120</v>
      </c>
      <c r="ED523" s="130">
        <f t="shared" ref="ED523:ED526" si="2804">IF(ISERROR((EC523/DU523-1)*100),"NA",IF(((EC523/DU523-1)*100)&gt;100,"NM",IF(((EC523/DU523-1)*100)&lt;-50,"NM",(EC523/DU523-1)*100)))</f>
        <v>14.285714285714279</v>
      </c>
      <c r="EE523" s="301">
        <f t="shared" ref="EE523:EG523" si="2805">EE275</f>
        <v>137.5</v>
      </c>
      <c r="EF523" s="130">
        <f t="shared" ref="EF523:EF526" si="2806">IF(ISERROR((EE523/DW523-1)*100),"NA",IF(((EE523/DW523-1)*100)&gt;100,"NM",IF(((EE523/DW523-1)*100)&lt;-50,"NM",(EE523/DW523-1)*100)))</f>
        <v>-10.130718954248364</v>
      </c>
      <c r="EG523" s="301">
        <f t="shared" si="2805"/>
        <v>154</v>
      </c>
      <c r="EH523" s="130">
        <f t="shared" ref="EH523:EH526" si="2807">IF(ISERROR((EG523/DY523-1)*100),"NA",IF(((EG523/DY523-1)*100)&gt;100,"NM",IF(((EG523/DY523-1)*100)&lt;-50,"NM",(EG523/DY523-1)*100)))</f>
        <v>29.411764705882359</v>
      </c>
      <c r="EI523" s="301">
        <f t="shared" ref="EI523:EK523" si="2808">EI275</f>
        <v>129</v>
      </c>
      <c r="EJ523" s="130">
        <f t="shared" ref="EJ523:EJ526" si="2809">IF(ISERROR((EI523/EA523-1)*100),"NA",IF(((EI523/EA523-1)*100)&gt;100,"NM",IF(((EI523/EA523-1)*100)&lt;-50,"NM",(EI523/EA523-1)*100)))</f>
        <v>5.7377049180327822</v>
      </c>
      <c r="EK523" s="301">
        <f t="shared" si="2808"/>
        <v>133</v>
      </c>
      <c r="EL523" s="130">
        <f t="shared" ref="EL523:EL526" si="2810">IF(ISERROR((EK523/EC523-1)*100),"NA",IF(((EK523/EC523-1)*100)&gt;100,"NM",IF(((EK523/EC523-1)*100)&lt;-50,"NM",(EK523/EC523-1)*100)))</f>
        <v>10.833333333333339</v>
      </c>
      <c r="EM523" s="301">
        <f t="shared" ref="EM523" si="2811">EM275</f>
        <v>137</v>
      </c>
      <c r="EN523" s="130">
        <f t="shared" ref="EN523:EN526" si="2812">IF(ISERROR((EM523/EE523-1)*100),"NA",IF(((EM523/EE523-1)*100)&gt;100,"NM",IF(((EM523/EE523-1)*100)&lt;-50,"NM",(EM523/EE523-1)*100)))</f>
        <v>-0.36363636363636598</v>
      </c>
      <c r="EO523" s="301">
        <f t="shared" ref="EO523" si="2813">EO275</f>
        <v>152</v>
      </c>
      <c r="EP523" s="130">
        <f t="shared" ref="EP523:EP526" si="2814">IF(ISERROR((EO523/EG523-1)*100),"NA",IF(((EO523/EG523-1)*100)&gt;100,"NM",IF(((EO523/EG523-1)*100)&lt;-50,"NM",(EO523/EG523-1)*100)))</f>
        <v>-1.2987012987012991</v>
      </c>
      <c r="EQ523" s="301">
        <f t="shared" ref="EQ523:EW523" si="2815">EQ275</f>
        <v>143.65676411842998</v>
      </c>
      <c r="ER523" s="130">
        <f t="shared" ref="ER523:ER526" si="2816">IF(ISERROR((EQ523/EI523-1)*100),"NA",IF(((EQ523/EI523-1)*100)&gt;100,"NM",IF(((EQ523/EI523-1)*100)&lt;-50,"NM",(EQ523/EI523-1)*100)))</f>
        <v>11.361832649945725</v>
      </c>
      <c r="ES523" s="301">
        <f t="shared" si="2815"/>
        <v>160.01241597352637</v>
      </c>
      <c r="ET523" s="130">
        <f t="shared" ref="ET523:ET526" si="2817">IF(ISERROR((ES523/EK523-1)*100),"NA",IF(((ES523/EK523-1)*100)&gt;100,"NM",IF(((ES523/EK523-1)*100)&lt;-50,"NM",(ES523/EK523-1)*100)))</f>
        <v>20.310087198140138</v>
      </c>
      <c r="EU523" s="301">
        <f t="shared" si="2815"/>
        <v>159.92396102883831</v>
      </c>
      <c r="EV523" s="130">
        <f t="shared" ref="EV523:EV526" si="2818">IF(ISERROR((EU523/EM523-1)*100),"NA",IF(((EU523/EM523-1)*100)&gt;100,"NM",IF(((EU523/EM523-1)*100)&lt;-50,"NM",(EU523/EM523-1)*100)))</f>
        <v>16.732818269225035</v>
      </c>
      <c r="EW523" s="301">
        <f t="shared" si="2815"/>
        <v>167.91237468114758</v>
      </c>
      <c r="EX523" s="130">
        <f t="shared" ref="EX523:EX526" si="2819">IF(ISERROR((EW523/EO523-1)*100),"NA",IF(((EW523/EO523-1)*100)&gt;100,"NM",IF(((EW523/EO523-1)*100)&lt;-50,"NM",(EW523/EO523-1)*100)))</f>
        <v>10.468667553386556</v>
      </c>
      <c r="EY523" s="302"/>
      <c r="EZ523" s="558"/>
      <c r="FA523" s="302"/>
      <c r="FB523" s="147"/>
      <c r="FC523" s="147"/>
      <c r="FD523" s="147"/>
      <c r="FE523" s="303"/>
      <c r="FF523" s="147"/>
      <c r="FG523" s="303"/>
      <c r="FH523" s="147"/>
      <c r="FI523" s="303"/>
      <c r="FJ523" s="147"/>
      <c r="FK523" s="303"/>
      <c r="FL523" s="147"/>
      <c r="FM523" s="304"/>
      <c r="FN523" s="147"/>
      <c r="FO523" s="304"/>
      <c r="FP523" s="301">
        <f>AQ523+AS523+AU523+AW523</f>
        <v>257.5</v>
      </c>
      <c r="FQ523" s="61" t="str">
        <f>IF(ISERROR((FP523/FH523-1)*100),"NA",IF(((FP523/FH523-1)*100)&gt;100,"NM",IF(((FP523/FH523-1)*100)&lt;-50,"NM",(FP523/FH523-1)*100)))</f>
        <v>NA</v>
      </c>
      <c r="FR523" s="301">
        <f>AY523+BA523+BC523+BE523</f>
        <v>500.19999999999987</v>
      </c>
      <c r="FS523" s="61">
        <f>IF(ISERROR((FR523/FP523-1)*100),"NA",IF(((FR523/FP523-1)*100)&gt;100,"NM",IF(((FR523/FP523-1)*100)&lt;-50,"NM",(FR523/FP523-1)*100)))</f>
        <v>94.252427184465986</v>
      </c>
      <c r="FT523" s="529">
        <f>FT275</f>
        <v>656.5</v>
      </c>
      <c r="FU523" s="61">
        <f>IF(ISERROR((FT523/FR523-1)*100),"NA",IF(((FT523/FR523-1)*100)&gt;100,"NM",IF(((FT523/FR523-1)*100)&lt;-50,"NM",(FT523/FR523-1)*100)))</f>
        <v>31.247500999600184</v>
      </c>
      <c r="FV523" s="529">
        <f>FV275</f>
        <v>630.79999999999995</v>
      </c>
      <c r="FW523" s="61">
        <f>IF(ISERROR((FV523/FT523-1)*100),"NA",IF(((FV523/FT523-1)*100)&gt;100,"NM",IF(((FV523/FT523-1)*100)&lt;-50,"NM",(FV523/FT523-1)*100)))</f>
        <v>-3.9146991622239224</v>
      </c>
      <c r="FX523" s="301">
        <f>FX275</f>
        <v>575.19999999999993</v>
      </c>
      <c r="FY523" s="61">
        <f>IF(ISERROR((FX523/FV523-1)*100),"NA",IF(((FX523/FV523-1)*100)&gt;100,"NM",IF(((FX523/FV523-1)*100)&lt;-50,"NM",(FX523/FV523-1)*100)))</f>
        <v>-8.8142041851616995</v>
      </c>
      <c r="FZ523" s="301">
        <f>FZ275</f>
        <v>609.99999999999886</v>
      </c>
      <c r="GA523" s="61">
        <f>IF(ISERROR((FZ523/FX523-1)*100),"NA",IF(((FZ523/FX523-1)*100)&gt;100,"NM",IF(((FZ523/FX523-1)*100)&lt;-50,"NM",(FZ523/FX523-1)*100)))</f>
        <v>6.0500695410290239</v>
      </c>
      <c r="GB523" s="301">
        <f>GB275</f>
        <v>559.19999999999982</v>
      </c>
      <c r="GC523" s="61">
        <f>IF(ISERROR((GB523/FZ523-1)*100),"NA",IF(((GB523/FZ523-1)*100)&gt;100,"NM",IF(((GB523/FZ523-1)*100)&lt;-50,"NM",(GB523/FZ523-1)*100)))</f>
        <v>-8.3278688524588755</v>
      </c>
      <c r="GD523" s="301">
        <f>GD275</f>
        <v>541</v>
      </c>
      <c r="GE523" s="61">
        <f>IF(ISERROR((GD523/GB523-1)*100),"NA",IF(((GD523/GB523-1)*100)&gt;100,"NM",IF(((GD523/GB523-1)*100)&lt;-50,"NM",(GD523/GB523-1)*100)))</f>
        <v>-3.2546494992846564</v>
      </c>
      <c r="GF523" s="301">
        <f>GF275</f>
        <v>520.49800000000005</v>
      </c>
      <c r="GG523" s="61">
        <f>IF(ISERROR((GF523/GD523-1)*100),"NA",IF(((GF523/GD523-1)*100)&gt;100,"NM",IF(((GF523/GD523-1)*100)&lt;-50,"NM",(GF523/GD523-1)*100)))</f>
        <v>-3.7896487985212501</v>
      </c>
      <c r="GH523" s="301">
        <f>GH275</f>
        <v>554</v>
      </c>
      <c r="GI523" s="61">
        <f>IF(ISERROR((GH523/GF523-1)*100),"NA",IF(((GH523/GF523-1)*100)&gt;100,"NM",IF(((GH523/GF523-1)*100)&lt;-50,"NM",(GH523/GF523-1)*100)))</f>
        <v>6.4365280942481951</v>
      </c>
      <c r="GJ523" s="301">
        <f>GJ275</f>
        <v>488</v>
      </c>
      <c r="GK523" s="61">
        <f>IF(ISERROR((GJ523/GH523-1)*100),"NA",IF(((GJ523/GH523-1)*100)&gt;100,"NM",IF(((GJ523/GH523-1)*100)&lt;-50,"NM",(GJ523/GH523-1)*100)))</f>
        <v>-11.913357400722024</v>
      </c>
      <c r="GL523" s="301">
        <f>GL275</f>
        <v>533.5</v>
      </c>
      <c r="GM523" s="61">
        <f>IF(ISERROR((GL523/GJ523-1)*100),"NA",IF(((GL523/GJ523-1)*100)&gt;100,"NM",IF(((GL523/GJ523-1)*100)&lt;-50,"NM",(GL523/GJ523-1)*100)))</f>
        <v>9.323770491803284</v>
      </c>
      <c r="GN523" s="301">
        <f>GN275</f>
        <v>551</v>
      </c>
      <c r="GO523" s="61">
        <f>IF(ISERROR((GN523/GL523-1)*100),"NA",IF(((GN523/GL523-1)*100)&gt;100,"NM",IF(((GN523/GL523-1)*100)&lt;-50,"NM",(GN523/GL523-1)*100)))</f>
        <v>3.2802249297094743</v>
      </c>
      <c r="GP523" s="301">
        <f>GP275</f>
        <v>631.50551580194133</v>
      </c>
      <c r="GQ523" s="61">
        <f>IF(ISERROR((GP523/GN523-1)*100),"NA",IF(((GP523/GN523-1)*100)&gt;100,"NM",IF(((GP523/GN523-1)*100)&lt;-50,"NM",(GP523/GN523-1)*100)))</f>
        <v>14.610801415960317</v>
      </c>
      <c r="GR523" s="301">
        <f>GR275</f>
        <v>638.91526599370604</v>
      </c>
      <c r="GS523" s="61">
        <f>IF(ISERROR((GR523/GP523-1)*100),"NA",IF(((GR523/GP523-1)*100)&gt;100,"NM",IF(((GR523/GP523-1)*100)&lt;-50,"NM",(GR523/GP523-1)*100)))</f>
        <v>1.1733468681354609</v>
      </c>
      <c r="GT523" s="301">
        <f>GT275</f>
        <v>655.5039885975134</v>
      </c>
      <c r="GU523" s="61">
        <f>IF(ISERROR((GT523/GR523-1)*100),"NA",IF(((GT523/GR523-1)*100)&gt;100,"NM",IF(((GT523/GR523-1)*100)&lt;-50,"NM",(GT523/GR523-1)*100)))</f>
        <v>2.5963885176552903</v>
      </c>
      <c r="GV523" s="301">
        <f>GV275</f>
        <v>677.03553103628781</v>
      </c>
      <c r="GW523" s="61">
        <f>IF(ISERROR((GV523/GT523-1)*100),"NA",IF(((GV523/GT523-1)*100)&gt;100,"NM",IF(((GV523/GT523-1)*100)&lt;-50,"NM",(GV523/GT523-1)*100)))</f>
        <v>3.2847309571437222</v>
      </c>
      <c r="GX523" s="301">
        <f>GX275</f>
        <v>699.2258994450317</v>
      </c>
      <c r="GY523" s="61">
        <f>IF(ISERROR((GX523/GV523-1)*100),"NA",IF(((GX523/GV523-1)*100)&gt;100,"NM",IF(((GX523/GV523-1)*100)&lt;-50,"NM",(GX523/GV523-1)*100)))</f>
        <v>3.2775781168794316</v>
      </c>
      <c r="GZ523" s="61">
        <f t="shared" si="2764"/>
        <v>4.8801214239673874</v>
      </c>
      <c r="HA523" s="61"/>
      <c r="HB523" s="452"/>
      <c r="HC523"/>
      <c r="HD523"/>
      <c r="HE523"/>
      <c r="HF523"/>
      <c r="HG523"/>
      <c r="HH523"/>
    </row>
    <row r="524" spans="1:216" s="5" customFormat="1" ht="12.75" customHeight="1" x14ac:dyDescent="0.2">
      <c r="B524" s="2" t="s">
        <v>130</v>
      </c>
      <c r="C524" s="120"/>
      <c r="D524" s="67"/>
      <c r="E524" s="120"/>
      <c r="F524" s="66"/>
      <c r="G524" s="299"/>
      <c r="H524" s="66"/>
      <c r="I524" s="120"/>
      <c r="J524" s="66"/>
      <c r="K524" s="120"/>
      <c r="L524" s="61"/>
      <c r="M524" s="120"/>
      <c r="N524" s="61"/>
      <c r="O524" s="299"/>
      <c r="P524" s="61"/>
      <c r="Q524" s="299"/>
      <c r="R524" s="61"/>
      <c r="S524" s="299"/>
      <c r="T524" s="61"/>
      <c r="U524" s="64"/>
      <c r="V524" s="61"/>
      <c r="W524" s="299"/>
      <c r="X524" s="61"/>
      <c r="Y524" s="299"/>
      <c r="Z524" s="61"/>
      <c r="AA524" s="299"/>
      <c r="AB524" s="61"/>
      <c r="AC524" s="299"/>
      <c r="AD524" s="61"/>
      <c r="AE524" s="299"/>
      <c r="AF524" s="61"/>
      <c r="AG524" s="299"/>
      <c r="AH524" s="61"/>
      <c r="AI524" s="299"/>
      <c r="AJ524" s="61"/>
      <c r="AK524" s="299"/>
      <c r="AL524" s="61"/>
      <c r="AM524" s="299"/>
      <c r="AN524" s="61"/>
      <c r="AO524" s="299"/>
      <c r="AP524" s="61"/>
      <c r="AQ524" s="301">
        <f>AQ311</f>
        <v>33.762999999999984</v>
      </c>
      <c r="AR524" s="61" t="str">
        <f>IF(ISERROR((AQ524/AI524-1)*100),"NA",IF(((AQ524/AI524-1)*100)&gt;100,"NM",IF(((AQ524/AI524-1)*100)&lt;-50,"NM",(AQ524/AI524-1)*100)))</f>
        <v>NA</v>
      </c>
      <c r="AS524" s="301">
        <f>AS311</f>
        <v>21.338999999999984</v>
      </c>
      <c r="AT524" s="61" t="str">
        <f>IF(ISERROR((AS524/AK524-1)*100),"NA",IF(((AS524/AK524-1)*100)&gt;100,"NM",IF(((AS524/AK524-1)*100)&lt;-50,"NM",(AS524/AK524-1)*100)))</f>
        <v>NA</v>
      </c>
      <c r="AU524" s="301">
        <f>AU311</f>
        <v>14.955999999999982</v>
      </c>
      <c r="AV524" s="61" t="str">
        <f>IF(ISERROR((AU524/AM524-1)*100),"NA",IF(((AU524/AM524-1)*100)&gt;100,"NM",IF(((AU524/AM524-1)*100)&lt;-50,"NM",(AU524/AM524-1)*100)))</f>
        <v>NA</v>
      </c>
      <c r="AW524" s="301">
        <f>AW311</f>
        <v>16.664000000000001</v>
      </c>
      <c r="AX524" s="61" t="str">
        <f>IF(ISERROR((AW524/AO524-1)*100),"NA",IF(((AW524/AO524-1)*100)&gt;100,"NM",IF(((AW524/AO524-1)*100)&lt;-50,"NM",(AW524/AO524-1)*100)))</f>
        <v>NA</v>
      </c>
      <c r="AY524" s="301">
        <f>AY311</f>
        <v>29.5</v>
      </c>
      <c r="AZ524" s="61">
        <f>IF(ISERROR((AY524/AQ524-1)*100),"NA",IF(((AY524/AQ524-1)*100)&gt;100,"NM",IF(((AY524/AQ524-1)*100)&lt;-50,"NM",(AY524/AQ524-1)*100)))</f>
        <v>-12.62624766756505</v>
      </c>
      <c r="BA524" s="301">
        <f>BA311</f>
        <v>25.900000000000013</v>
      </c>
      <c r="BB524" s="61">
        <f>IF(ISERROR((BA524/AS524-1)*100),"NA",IF(((BA524/AS524-1)*100)&gt;100,"NM",IF(((BA524/AS524-1)*100)&lt;-50,"NM",(BA524/AS524-1)*100)))</f>
        <v>21.374010028586298</v>
      </c>
      <c r="BC524" s="301">
        <f>BC311</f>
        <v>23.800000000000068</v>
      </c>
      <c r="BD524" s="61">
        <f>IF(ISERROR((BC524/AU524-1)*100),"NA",IF(((BC524/AU524-1)*100)&gt;100,"NM",IF(((BC524/AU524-1)*100)&lt;-50,"NM",(BC524/AU524-1)*100)))</f>
        <v>59.133458143889392</v>
      </c>
      <c r="BE524" s="301">
        <f>BE311</f>
        <v>24.199999999999967</v>
      </c>
      <c r="BF524" s="61">
        <f>IF(ISERROR((BE524/AW524-1)*100),"NA",IF(((BE524/AW524-1)*100)&gt;100,"NM",IF(((BE524/AW524-1)*100)&lt;-50,"NM",(BE524/AW524-1)*100)))</f>
        <v>45.22323571771463</v>
      </c>
      <c r="BG524" s="529">
        <f>BG311</f>
        <v>23.000000000000036</v>
      </c>
      <c r="BH524" s="61">
        <f>IF(ISERROR((BG524/AY524-1)*100),"NA",IF(((BG524/AY524-1)*100)&gt;100,"NM",IF(((BG524/AY524-1)*100)&lt;-50,"NM",(BG524/AY524-1)*100)))</f>
        <v>-22.03389830508462</v>
      </c>
      <c r="BI524" s="301">
        <f>BI311</f>
        <v>28.900000000000023</v>
      </c>
      <c r="BJ524" s="61">
        <f>IF(ISERROR((BI524/BA524-1)*100),"NA",IF(((BI524/BA524-1)*100)&gt;100,"NM",IF(((BI524/BA524-1)*100)&lt;-50,"NM",(BI524/BA524-1)*100)))</f>
        <v>11.583011583011626</v>
      </c>
      <c r="BK524" s="529">
        <f>BK311</f>
        <v>25.200000000000024</v>
      </c>
      <c r="BL524" s="61">
        <f>IF(ISERROR((BK524/BC524-1)*100),"NA",IF(((BK524/BC524-1)*100)&gt;100,"NM",IF(((BK524/BC524-1)*100)&lt;-50,"NM",(BK524/BC524-1)*100)))</f>
        <v>5.8823529411762721</v>
      </c>
      <c r="BM524" s="301">
        <f>BM311</f>
        <v>25.199999999999978</v>
      </c>
      <c r="BN524" s="61">
        <f>IF(ISERROR((BM524/BE524-1)*100),"NA",IF(((BM524/BE524-1)*100)&gt;100,"NM",IF(((BM524/BE524-1)*100)&lt;-50,"NM",(BM524/BE524-1)*100)))</f>
        <v>4.1322314049587305</v>
      </c>
      <c r="BO524" s="301">
        <f>BO311</f>
        <v>26.099999999999955</v>
      </c>
      <c r="BP524" s="61">
        <f>IF(ISERROR((BO524/BG524-1)*100),"NA",IF(((BO524/BG524-1)*100)&gt;100,"NM",IF(((BO524/BG524-1)*100)&lt;-50,"NM",(BO524/BG524-1)*100)))</f>
        <v>13.478260869564851</v>
      </c>
      <c r="BQ524" s="301">
        <f>BQ311</f>
        <v>32.29999999999999</v>
      </c>
      <c r="BR524" s="61">
        <f>IF(ISERROR((BQ524/BI524-1)*100),"NA",IF(((BQ524/BI524-1)*100)&gt;100,"NM",IF(((BQ524/BI524-1)*100)&lt;-50,"NM",(BQ524/BI524-1)*100)))</f>
        <v>11.764705882352811</v>
      </c>
      <c r="BS524" s="301">
        <f>BS311</f>
        <v>27.5</v>
      </c>
      <c r="BT524" s="61">
        <f>IF(ISERROR((BS524/BK524-1)*100),"NA",IF(((BS524/BK524-1)*100)&gt;100,"NM",IF(((BS524/BK524-1)*100)&lt;-50,"NM",(BS524/BK524-1)*100)))</f>
        <v>9.1269841269840271</v>
      </c>
      <c r="BU524" s="301">
        <f>BU311</f>
        <v>21.399999999999977</v>
      </c>
      <c r="BV524" s="61">
        <f>IF(ISERROR((BU524/BM524-1)*100),"NA",IF(((BU524/BM524-1)*100)&gt;100,"NM",IF(((BU524/BM524-1)*100)&lt;-50,"NM",(BU524/BM524-1)*100)))</f>
        <v>-15.079365079365093</v>
      </c>
      <c r="BW524" s="301">
        <f>BW311</f>
        <v>25.700000000000056</v>
      </c>
      <c r="BX524" s="61">
        <f>IF(ISERROR((BW524/BO524-1)*100),"NA",IF(((BW524/BO524-1)*100)&gt;100,"NM",IF(((BW524/BO524-1)*100)&lt;-50,"NM",(BW524/BO524-1)*100)))</f>
        <v>-1.5325670498080424</v>
      </c>
      <c r="BY524" s="301">
        <f>BY311</f>
        <v>33.600000000000044</v>
      </c>
      <c r="BZ524" s="61">
        <f>IF(ISERROR((BY524/BQ524-1)*100),"NA",IF(((BY524/BQ524-1)*100)&gt;100,"NM",IF(((BY524/BQ524-1)*100)&lt;-50,"NM",(BY524/BQ524-1)*100)))</f>
        <v>4.0247678018577426</v>
      </c>
      <c r="CA524" s="301">
        <f>CA311</f>
        <v>34.509999999999977</v>
      </c>
      <c r="CB524" s="61">
        <f>IF(ISERROR((CA524/BS524-1)*100),"NA",IF(((CA524/BS524-1)*100)&gt;100,"NM",IF(((CA524/BS524-1)*100)&lt;-50,"NM",(CA524/BS524-1)*100)))</f>
        <v>25.490909090909007</v>
      </c>
      <c r="CC524" s="301">
        <f>CC311</f>
        <v>33.099999999999923</v>
      </c>
      <c r="CD524" s="61">
        <f>IF(ISERROR((CC524/BU524-1)*100),"NA",IF(((CC524/BU524-1)*100)&gt;100,"NM",IF(((CC524/BU524-1)*100)&lt;-50,"NM",(CC524/BU524-1)*100)))</f>
        <v>54.672897196261495</v>
      </c>
      <c r="CE524" s="301">
        <f>CE311</f>
        <v>31.300000000000033</v>
      </c>
      <c r="CF524" s="61">
        <f>IF(ISERROR((CE524/BW524-1)*100),"NA",IF(((CE524/BW524-1)*100)&gt;100,"NM",IF(((CE524/BW524-1)*100)&lt;-50,"NM",(CE524/BW524-1)*100)))</f>
        <v>21.789883268482345</v>
      </c>
      <c r="CG524" s="301">
        <f>CG311</f>
        <v>37.700000000000024</v>
      </c>
      <c r="CH524" s="61">
        <f>IF(ISERROR((CG524/BY524-1)*100),"NA",IF(((CG524/BY524-1)*100)&gt;100,"NM",IF(((CG524/BY524-1)*100)&lt;-50,"NM",(CG524/BY524-1)*100)))</f>
        <v>12.202380952380887</v>
      </c>
      <c r="CI524" s="301">
        <f>CI311</f>
        <v>12.500000000000046</v>
      </c>
      <c r="CJ524" s="61" t="str">
        <f>IF(ISERROR((CI524/CA524-1)*100),"NA",IF(((CI524/CA524-1)*100)&gt;100,"NM",IF(((CI524/CA524-1)*100)&lt;-50,"NM",(CI524/CA524-1)*100)))</f>
        <v>NM</v>
      </c>
      <c r="CK524" s="301">
        <f>CK311</f>
        <v>17.999999999999989</v>
      </c>
      <c r="CL524" s="61">
        <f>IF(ISERROR((CK524/CC524-1)*100),"NA",IF(((CK524/CC524-1)*100)&gt;100,"NM",IF(((CK524/CC524-1)*100)&lt;-50,"NM",(CK524/CC524-1)*100)))</f>
        <v>-45.619335347431935</v>
      </c>
      <c r="CM524" s="301">
        <f>CM311</f>
        <v>19.100000000000101</v>
      </c>
      <c r="CN524" s="61">
        <f>IF(ISERROR((CM524/CE524-1)*100),"NA",IF(((CM524/CE524-1)*100)&gt;100,"NM",IF(((CM524/CE524-1)*100)&lt;-50,"NM",(CM524/CE524-1)*100)))</f>
        <v>-38.977635782747342</v>
      </c>
      <c r="CO524" s="301">
        <f>CO311</f>
        <v>22.59999999999992</v>
      </c>
      <c r="CP524" s="61">
        <f>IF(ISERROR((CO524/CG524-1)*100),"NA",IF(((CO524/CG524-1)*100)&gt;100,"NM",IF(((CO524/CG524-1)*100)&lt;-50,"NM",(CO524/CG524-1)*100)))</f>
        <v>-40.053050397878231</v>
      </c>
      <c r="CQ524" s="301">
        <f>CQ311</f>
        <v>26.799999999999955</v>
      </c>
      <c r="CR524" s="61" t="str">
        <f>IF(ISERROR((CQ524/CI524-1)*100),"NA",IF(((CQ524/CI524-1)*100)&gt;100,"NM",IF(((CQ524/CI524-1)*100)&lt;-50,"NM",(CQ524/CI524-1)*100)))</f>
        <v>NM</v>
      </c>
      <c r="CS524" s="301">
        <f>CS311</f>
        <v>20</v>
      </c>
      <c r="CT524" s="61">
        <f>IF(ISERROR((CS524/CK524-1)*100),"NA",IF(((CS524/CK524-1)*100)&gt;100,"NM",IF(((CS524/CK524-1)*100)&lt;-50,"NM",(CS524/CK524-1)*100)))</f>
        <v>11.111111111111182</v>
      </c>
      <c r="CU524" s="301">
        <f>CU311</f>
        <v>16</v>
      </c>
      <c r="CV524" s="61">
        <f>IF(ISERROR((CU524/CM524-1)*100),"NA",IF(((CU524/CM524-1)*100)&gt;100,"NM",IF(((CU524/CM524-1)*100)&lt;-50,"NM",(CU524/CM524-1)*100)))</f>
        <v>-16.230366492147041</v>
      </c>
      <c r="CW524" s="301">
        <f>CW311</f>
        <v>24</v>
      </c>
      <c r="CX524" s="61">
        <f>IF(ISERROR((CW524/CO524-1)*100),"NA",IF(((CW524/CO524-1)*100)&gt;100,"NM",IF(((CW524/CO524-1)*100)&lt;-50,"NM",(CW524/CO524-1)*100)))</f>
        <v>6.1946902654871128</v>
      </c>
      <c r="CY524" s="301">
        <f>CY311</f>
        <v>16</v>
      </c>
      <c r="CZ524" s="61">
        <f>IF(ISERROR((CY524/CQ524-1)*100),"NA",IF(((CY524/CQ524-1)*100)&gt;100,"NM",IF(((CY524/CQ524-1)*100)&lt;-50,"NM",(CY524/CQ524-1)*100)))</f>
        <v>-40.298507462686459</v>
      </c>
      <c r="DA524" s="301">
        <f>DA311</f>
        <v>13</v>
      </c>
      <c r="DB524" s="61">
        <f>IF(ISERROR((DA524/CS524-1)*100),"NA",IF(((DA524/CS524-1)*100)&gt;100,"NM",IF(((DA524/CS524-1)*100)&lt;-50,"NM",(DA524/CS524-1)*100)))</f>
        <v>-35</v>
      </c>
      <c r="DC524" s="301">
        <f>DC311</f>
        <v>14</v>
      </c>
      <c r="DD524" s="61">
        <f>IF(ISERROR((DC524/CU524-1)*100),"NA",IF(((DC524/CU524-1)*100)&gt;100,"NM",IF(((DC524/CU524-1)*100)&lt;-50,"NM",(DC524/CU524-1)*100)))</f>
        <v>-12.5</v>
      </c>
      <c r="DE524" s="301">
        <f>DE311</f>
        <v>22</v>
      </c>
      <c r="DF524" s="61">
        <f>IF(ISERROR((DE524/CW524-1)*100),"NA",IF(((DE524/CW524-1)*100)&gt;100,"NM",IF(((DE524/CW524-1)*100)&lt;-50,"NM",(DE524/CW524-1)*100)))</f>
        <v>-8.3333333333333375</v>
      </c>
      <c r="DG524" s="301">
        <f>DG311</f>
        <v>20</v>
      </c>
      <c r="DH524" s="61">
        <f>IF(ISERROR((DG524/CY524-1)*100),"NA",IF(((DG524/CY524-1)*100)&gt;100,"NM",IF(((DG524/CY524-1)*100)&lt;-50,"NM",(DG524/CY524-1)*100)))</f>
        <v>25</v>
      </c>
      <c r="DI524" s="301">
        <f>DI311</f>
        <v>3</v>
      </c>
      <c r="DJ524" s="61" t="str">
        <f>IF(ISERROR((DI524/DA524-1)*100),"NA",IF(((DI524/DA524-1)*100)&gt;100,"NM",IF(((DI524/DA524-1)*100)&lt;-50,"NM",(DI524/DA524-1)*100)))</f>
        <v>NM</v>
      </c>
      <c r="DK524" s="301">
        <f>DK311</f>
        <v>20</v>
      </c>
      <c r="DL524" s="61">
        <f>IF(ISERROR((DK524/DC524-1)*100),"NA",IF(((DK524/DC524-1)*100)&gt;100,"NM",IF(((DK524/DC524-1)*100)&lt;-50,"NM",(DK524/DC524-1)*100)))</f>
        <v>42.857142857142861</v>
      </c>
      <c r="DM524" s="301">
        <f>DM311</f>
        <v>2</v>
      </c>
      <c r="DN524" s="130" t="str">
        <f t="shared" si="2800"/>
        <v>NM</v>
      </c>
      <c r="DO524" s="301">
        <f>DO311</f>
        <v>8</v>
      </c>
      <c r="DP524" s="130" t="str">
        <f t="shared" si="2800"/>
        <v>NM</v>
      </c>
      <c r="DQ524" s="301">
        <f>DQ311</f>
        <v>-7</v>
      </c>
      <c r="DR524" s="130" t="str">
        <f t="shared" si="2800"/>
        <v>NM</v>
      </c>
      <c r="DS524" s="301">
        <f>DS311</f>
        <v>-6</v>
      </c>
      <c r="DT524" s="130" t="str">
        <f t="shared" si="2800"/>
        <v>NM</v>
      </c>
      <c r="DU524" s="301">
        <f>DU311</f>
        <v>19</v>
      </c>
      <c r="DV524" s="130" t="str">
        <f t="shared" si="2800"/>
        <v>NM</v>
      </c>
      <c r="DW524" s="301">
        <f>DW311</f>
        <v>17</v>
      </c>
      <c r="DX524" s="301">
        <f t="shared" ref="DX524:DY524" si="2820">DX311</f>
        <v>17</v>
      </c>
      <c r="DY524" s="301">
        <f t="shared" si="2820"/>
        <v>13</v>
      </c>
      <c r="DZ524" s="130" t="str">
        <f t="shared" si="2800"/>
        <v>NM</v>
      </c>
      <c r="EA524" s="301">
        <f t="shared" ref="EA524:EC524" si="2821">EA311</f>
        <v>5</v>
      </c>
      <c r="EB524" s="130" t="str">
        <f t="shared" si="2803"/>
        <v>NM</v>
      </c>
      <c r="EC524" s="301">
        <f t="shared" si="2821"/>
        <v>15</v>
      </c>
      <c r="ED524" s="130">
        <f t="shared" si="2804"/>
        <v>-21.052631578947366</v>
      </c>
      <c r="EE524" s="301">
        <f t="shared" ref="EE524:EG524" si="2822">EE311</f>
        <v>23</v>
      </c>
      <c r="EF524" s="130">
        <f t="shared" si="2806"/>
        <v>35.294117647058833</v>
      </c>
      <c r="EG524" s="301">
        <f t="shared" si="2822"/>
        <v>16</v>
      </c>
      <c r="EH524" s="130">
        <f t="shared" si="2807"/>
        <v>23.076923076923084</v>
      </c>
      <c r="EI524" s="301">
        <f t="shared" ref="EI524:EK524" si="2823">EI311</f>
        <v>7</v>
      </c>
      <c r="EJ524" s="130">
        <f t="shared" si="2809"/>
        <v>39.999999999999993</v>
      </c>
      <c r="EK524" s="301">
        <f t="shared" si="2823"/>
        <v>35</v>
      </c>
      <c r="EL524" s="130" t="str">
        <f t="shared" si="2810"/>
        <v>NM</v>
      </c>
      <c r="EM524" s="301">
        <f t="shared" ref="EM524" si="2824">EM311</f>
        <v>38</v>
      </c>
      <c r="EN524" s="130">
        <f t="shared" si="2812"/>
        <v>65.217391304347828</v>
      </c>
      <c r="EO524" s="301">
        <f t="shared" ref="EO524" si="2825">EO311</f>
        <v>20</v>
      </c>
      <c r="EP524" s="130">
        <f t="shared" si="2814"/>
        <v>25</v>
      </c>
      <c r="EQ524" s="301">
        <f t="shared" ref="EQ524:EW524" si="2826">EQ311</f>
        <v>17.759357999999974</v>
      </c>
      <c r="ER524" s="130" t="str">
        <f t="shared" si="2816"/>
        <v>NM</v>
      </c>
      <c r="ES524" s="301">
        <f t="shared" si="2826"/>
        <v>29.276125433750021</v>
      </c>
      <c r="ET524" s="130">
        <f t="shared" si="2817"/>
        <v>-16.353927332142792</v>
      </c>
      <c r="EU524" s="301">
        <f t="shared" si="2826"/>
        <v>43.596592908068729</v>
      </c>
      <c r="EV524" s="130">
        <f t="shared" si="2818"/>
        <v>14.727876073865076</v>
      </c>
      <c r="EW524" s="301">
        <f t="shared" si="2826"/>
        <v>44.225634453952551</v>
      </c>
      <c r="EX524" s="130" t="str">
        <f t="shared" si="2819"/>
        <v>NM</v>
      </c>
      <c r="EY524" s="302"/>
      <c r="EZ524" s="558"/>
      <c r="FA524" s="302"/>
      <c r="FB524" s="147"/>
      <c r="FC524" s="147"/>
      <c r="FD524" s="147"/>
      <c r="FE524" s="303"/>
      <c r="FF524" s="147"/>
      <c r="FG524" s="303"/>
      <c r="FH524" s="147"/>
      <c r="FI524" s="303"/>
      <c r="FJ524" s="147"/>
      <c r="FK524" s="303"/>
      <c r="FL524" s="147"/>
      <c r="FM524" s="304"/>
      <c r="FN524" s="147"/>
      <c r="FO524" s="304"/>
      <c r="FP524" s="301">
        <f>AQ524+AS524+AU524+AW524</f>
        <v>86.721999999999952</v>
      </c>
      <c r="FQ524" s="61" t="str">
        <f>IF(ISERROR((FP524/FH524-1)*100),"NA",IF(((FP524/FH524-1)*100)&gt;100,"NM",IF(((FP524/FH524-1)*100)&lt;-50,"NM",(FP524/FH524-1)*100)))</f>
        <v>NA</v>
      </c>
      <c r="FR524" s="301">
        <f>AY524+BA524+BC524+BE524</f>
        <v>103.40000000000003</v>
      </c>
      <c r="FS524" s="61">
        <f>IF(ISERROR((FR524/FP524-1)*100),"NA",IF(((FR524/FP524-1)*100)&gt;100,"NM",IF(((FR524/FP524-1)*100)&lt;-50,"NM",(FR524/FP524-1)*100)))</f>
        <v>19.231567537649141</v>
      </c>
      <c r="FT524" s="529">
        <f>FT311</f>
        <v>102.29999999999977</v>
      </c>
      <c r="FU524" s="61">
        <f>IF(ISERROR((FT524/FR524-1)*100),"NA",IF(((FT524/FR524-1)*100)&gt;100,"NM",IF(((FT524/FR524-1)*100)&lt;-50,"NM",(FT524/FR524-1)*100)))</f>
        <v>-1.0638297872342939</v>
      </c>
      <c r="FV524" s="529">
        <f>FV311</f>
        <v>107.3000000000001</v>
      </c>
      <c r="FW524" s="61">
        <f>IF(ISERROR((FV524/FT524-1)*100),"NA",IF(((FV524/FT524-1)*100)&gt;100,"NM",IF(((FV524/FT524-1)*100)&lt;-50,"NM",(FV524/FT524-1)*100)))</f>
        <v>4.8875855327471518</v>
      </c>
      <c r="FX524" s="301">
        <f>FX311</f>
        <v>126.90999999999994</v>
      </c>
      <c r="FY524" s="61">
        <f>IF(ISERROR((FX524/FV524-1)*100),"NA",IF(((FX524/FV524-1)*100)&gt;100,"NM",IF(((FX524/FV524-1)*100)&lt;-50,"NM",(FX524/FV524-1)*100)))</f>
        <v>18.275862068965367</v>
      </c>
      <c r="FZ524" s="301">
        <f>FZ311</f>
        <v>99.500000000000085</v>
      </c>
      <c r="GA524" s="61">
        <f>IF(ISERROR((FZ524/FX524-1)*100),"NA",IF(((FZ524/FX524-1)*100)&gt;100,"NM",IF(((FZ524/FX524-1)*100)&lt;-50,"NM",(FZ524/FX524-1)*100)))</f>
        <v>-21.597982822472517</v>
      </c>
      <c r="GB524" s="301">
        <f>GB311</f>
        <v>88.500000000000085</v>
      </c>
      <c r="GC524" s="61">
        <f>IF(ISERROR((GB524/FZ524-1)*100),"NA",IF(((GB524/FZ524-1)*100)&gt;100,"NM",IF(((GB524/FZ524-1)*100)&lt;-50,"NM",(GB524/FZ524-1)*100)))</f>
        <v>-11.05527638190954</v>
      </c>
      <c r="GD524" s="301">
        <f>GD311</f>
        <v>69</v>
      </c>
      <c r="GE524" s="61">
        <f>IF(ISERROR((GD524/GB524-1)*100),"NA",IF(((GD524/GB524-1)*100)&gt;100,"NM",IF(((GD524/GB524-1)*100)&lt;-50,"NM",(GD524/GB524-1)*100)))</f>
        <v>-22.033898305084819</v>
      </c>
      <c r="GF524" s="301">
        <f>GF311</f>
        <v>59</v>
      </c>
      <c r="GG524" s="61">
        <f>IF(ISERROR((GF524/GD524-1)*100),"NA",IF(((GF524/GD524-1)*100)&gt;100,"NM",IF(((GF524/GD524-1)*100)&lt;-50,"NM",(GF524/GD524-1)*100)))</f>
        <v>-14.492753623188403</v>
      </c>
      <c r="GH524" s="301">
        <f>GH311</f>
        <v>23</v>
      </c>
      <c r="GI524" s="61" t="str">
        <f>IF(ISERROR((GH524/GF524-1)*100),"NA",IF(((GH524/GF524-1)*100)&gt;100,"NM",IF(((GH524/GF524-1)*100)&lt;-50,"NM",(GH524/GF524-1)*100)))</f>
        <v>NM</v>
      </c>
      <c r="GJ524" s="301">
        <f>GJ311</f>
        <v>43</v>
      </c>
      <c r="GK524" s="61">
        <f>IF(ISERROR((GJ524/GH524-1)*100),"NA",IF(((GJ524/GH524-1)*100)&gt;100,"NM",IF(((GJ524/GH524-1)*100)&lt;-50,"NM",(GJ524/GH524-1)*100)))</f>
        <v>86.956521739130437</v>
      </c>
      <c r="GL524" s="301">
        <f>GL311</f>
        <v>59</v>
      </c>
      <c r="GM524" s="61">
        <f>IF(ISERROR((GL524/GJ524-1)*100),"NA",IF(((GL524/GJ524-1)*100)&gt;100,"NM",IF(((GL524/GJ524-1)*100)&lt;-50,"NM",(GL524/GJ524-1)*100)))</f>
        <v>37.209302325581397</v>
      </c>
      <c r="GN524" s="301">
        <f>GN311</f>
        <v>100</v>
      </c>
      <c r="GO524" s="61">
        <f>IF(ISERROR((GN524/GL524-1)*100),"NA",IF(((GN524/GL524-1)*100)&gt;100,"NM",IF(((GN524/GL524-1)*100)&lt;-50,"NM",(GN524/GL524-1)*100)))</f>
        <v>69.491525423728802</v>
      </c>
      <c r="GP524" s="301">
        <f>GP311</f>
        <v>134.85771079577151</v>
      </c>
      <c r="GQ524" s="61">
        <f>IF(ISERROR((GP524/GN524-1)*100),"NA",IF(((GP524/GN524-1)*100)&gt;100,"NM",IF(((GP524/GN524-1)*100)&lt;-50,"NM",(GP524/GN524-1)*100)))</f>
        <v>34.85771079577151</v>
      </c>
      <c r="GR524" s="301">
        <f>GR311</f>
        <v>181.98288299719923</v>
      </c>
      <c r="GS524" s="61">
        <f>IF(ISERROR((GR524/GP524-1)*100),"NA",IF(((GR524/GP524-1)*100)&gt;100,"NM",IF(((GR524/GP524-1)*100)&lt;-50,"NM",(GR524/GP524-1)*100)))</f>
        <v>34.94436611992775</v>
      </c>
      <c r="GT524" s="301">
        <f>GT311</f>
        <v>209.66092615708487</v>
      </c>
      <c r="GU524" s="61">
        <f>IF(ISERROR((GT524/GR524-1)*100),"NA",IF(((GT524/GR524-1)*100)&gt;100,"NM",IF(((GT524/GR524-1)*100)&lt;-50,"NM",(GT524/GR524-1)*100)))</f>
        <v>15.209146434014698</v>
      </c>
      <c r="GV524" s="301">
        <f>GV311</f>
        <v>210.9387975805935</v>
      </c>
      <c r="GW524" s="61">
        <f>IF(ISERROR((GV524/GT524-1)*100),"NA",IF(((GV524/GT524-1)*100)&gt;100,"NM",IF(((GV524/GT524-1)*100)&lt;-50,"NM",(GV524/GT524-1)*100)))</f>
        <v>0.60949431395300735</v>
      </c>
      <c r="GX524" s="301">
        <f>GX311</f>
        <v>212.22764969707413</v>
      </c>
      <c r="GY524" s="61">
        <f>IF(ISERROR((GX524/GV524-1)*100),"NA",IF(((GX524/GV524-1)*100)&gt;100,"NM",IF(((GX524/GV524-1)*100)&lt;-50,"NM",(GX524/GV524-1)*100)))</f>
        <v>0.61100761512977719</v>
      </c>
      <c r="GZ524" s="61">
        <f t="shared" si="2764"/>
        <v>16.241282494816399</v>
      </c>
      <c r="HA524" s="61"/>
      <c r="HB524" s="452"/>
      <c r="HC524"/>
      <c r="HD524"/>
      <c r="HE524"/>
      <c r="HF524"/>
      <c r="HG524"/>
      <c r="HH524"/>
    </row>
    <row r="525" spans="1:216" s="5" customFormat="1" ht="12.75" hidden="1" customHeight="1" outlineLevel="1" x14ac:dyDescent="0.2">
      <c r="B525" s="2" t="s">
        <v>313</v>
      </c>
      <c r="C525" s="120"/>
      <c r="D525" s="67"/>
      <c r="E525" s="120"/>
      <c r="F525" s="66"/>
      <c r="G525" s="299"/>
      <c r="H525" s="66"/>
      <c r="I525" s="120"/>
      <c r="J525" s="66"/>
      <c r="K525" s="120"/>
      <c r="L525" s="61"/>
      <c r="M525" s="120"/>
      <c r="N525" s="61"/>
      <c r="O525" s="299"/>
      <c r="P525" s="61"/>
      <c r="Q525" s="299"/>
      <c r="R525" s="61"/>
      <c r="S525" s="299"/>
      <c r="T525" s="61"/>
      <c r="U525" s="64"/>
      <c r="V525" s="61"/>
      <c r="W525" s="299"/>
      <c r="X525" s="61"/>
      <c r="Y525" s="299"/>
      <c r="Z525" s="61"/>
      <c r="AA525" s="299"/>
      <c r="AB525" s="61"/>
      <c r="AC525" s="299"/>
      <c r="AD525" s="61"/>
      <c r="AE525" s="299"/>
      <c r="AF525" s="61"/>
      <c r="AG525" s="299"/>
      <c r="AH525" s="61"/>
      <c r="AI525" s="299"/>
      <c r="AJ525" s="61"/>
      <c r="AK525" s="299"/>
      <c r="AL525" s="61"/>
      <c r="AM525" s="299"/>
      <c r="AN525" s="61"/>
      <c r="AO525" s="299"/>
      <c r="AP525" s="61"/>
      <c r="AQ525" s="301">
        <f>AQ348</f>
        <v>3.3</v>
      </c>
      <c r="AR525" s="61" t="str">
        <f>IF(ISERROR((AQ525/AI525-1)*100),"NA",IF(((AQ525/AI525-1)*100)&gt;100,"NM",IF(((AQ525/AI525-1)*100)&lt;-50,"NM",(AQ525/AI525-1)*100)))</f>
        <v>NA</v>
      </c>
      <c r="AS525" s="301">
        <f>AS348</f>
        <v>4.300000000000006</v>
      </c>
      <c r="AT525" s="61" t="str">
        <f>IF(ISERROR((AS525/AK525-1)*100),"NA",IF(((AS525/AK525-1)*100)&gt;100,"NM",IF(((AS525/AK525-1)*100)&lt;-50,"NM",(AS525/AK525-1)*100)))</f>
        <v>NA</v>
      </c>
      <c r="AU525" s="301">
        <f>AU348</f>
        <v>2.4000000000000012</v>
      </c>
      <c r="AV525" s="61" t="str">
        <f>IF(ISERROR((AU525/AM525-1)*100),"NA",IF(((AU525/AM525-1)*100)&gt;100,"NM",IF(((AU525/AM525-1)*100)&lt;-50,"NM",(AU525/AM525-1)*100)))</f>
        <v>NA</v>
      </c>
      <c r="AW525" s="301">
        <f>AW348</f>
        <v>9.4999999999999947</v>
      </c>
      <c r="AX525" s="61" t="str">
        <f>IF(ISERROR((AW525/AO525-1)*100),"NA",IF(((AW525/AO525-1)*100)&gt;100,"NM",IF(((AW525/AO525-1)*100)&lt;-50,"NM",(AW525/AO525-1)*100)))</f>
        <v>NA</v>
      </c>
      <c r="AY525" s="301">
        <f>AY348</f>
        <v>7.5000000000000071</v>
      </c>
      <c r="AZ525" s="61" t="str">
        <f>IF(ISERROR((AY525/AQ525-1)*100),"NA",IF(((AY525/AQ525-1)*100)&gt;100,"NM",IF(((AY525/AQ525-1)*100)&lt;-50,"NM",(AY525/AQ525-1)*100)))</f>
        <v>NM</v>
      </c>
      <c r="BA525" s="301">
        <f>BA348</f>
        <v>16.099999999999991</v>
      </c>
      <c r="BB525" s="61" t="str">
        <f>IF(ISERROR((BA525/AS525-1)*100),"NA",IF(((BA525/AS525-1)*100)&gt;100,"NM",IF(((BA525/AS525-1)*100)&lt;-50,"NM",(BA525/AS525-1)*100)))</f>
        <v>NM</v>
      </c>
      <c r="BC525" s="301">
        <f>BC348</f>
        <v>12.800000000000008</v>
      </c>
      <c r="BD525" s="61" t="str">
        <f>IF(ISERROR((BC525/AU525-1)*100),"NA",IF(((BC525/AU525-1)*100)&gt;100,"NM",IF(((BC525/AU525-1)*100)&lt;-50,"NM",(BC525/AU525-1)*100)))</f>
        <v>NM</v>
      </c>
      <c r="BE525" s="301">
        <f>BE348</f>
        <v>12.699999999999983</v>
      </c>
      <c r="BF525" s="61">
        <f>IF(ISERROR((BE525/AW525-1)*100),"NA",IF(((BE525/AW525-1)*100)&gt;100,"NM",IF(((BE525/AW525-1)*100)&lt;-50,"NM",(BE525/AW525-1)*100)))</f>
        <v>33.684210526315695</v>
      </c>
      <c r="BG525" s="529">
        <f>BG348</f>
        <v>11.499999999999995</v>
      </c>
      <c r="BH525" s="61">
        <f>IF(ISERROR((BG525/AY525-1)*100),"NA",IF(((BG525/AY525-1)*100)&gt;100,"NM",IF(((BG525/AY525-1)*100)&lt;-50,"NM",(BG525/AY525-1)*100)))</f>
        <v>53.333333333333123</v>
      </c>
      <c r="BI525" s="301">
        <f>BI348</f>
        <v>10.499999999999986</v>
      </c>
      <c r="BJ525" s="61">
        <f>IF(ISERROR((BI525/BA525-1)*100),"NA",IF(((BI525/BA525-1)*100)&gt;100,"NM",IF(((BI525/BA525-1)*100)&lt;-50,"NM",(BI525/BA525-1)*100)))</f>
        <v>-34.782608695652229</v>
      </c>
      <c r="BK525" s="531"/>
      <c r="BL525" s="324"/>
      <c r="BM525" s="524"/>
      <c r="BN525" s="324"/>
      <c r="BO525" s="524"/>
      <c r="BP525" s="324"/>
      <c r="BQ525" s="524"/>
      <c r="BR525" s="324"/>
      <c r="BS525" s="524"/>
      <c r="BT525" s="324"/>
      <c r="BU525" s="524"/>
      <c r="BV525" s="324"/>
      <c r="BW525" s="524"/>
      <c r="BX525" s="324"/>
      <c r="BY525" s="524"/>
      <c r="BZ525" s="324"/>
      <c r="CA525" s="524"/>
      <c r="CB525" s="324"/>
      <c r="CC525" s="524"/>
      <c r="CD525" s="324"/>
      <c r="CE525" s="524"/>
      <c r="CF525" s="324"/>
      <c r="CG525" s="524"/>
      <c r="CH525" s="324"/>
      <c r="CI525" s="524"/>
      <c r="CJ525" s="324"/>
      <c r="CK525" s="524"/>
      <c r="CL525" s="324"/>
      <c r="CM525" s="524"/>
      <c r="CN525" s="324"/>
      <c r="CO525" s="524"/>
      <c r="CP525" s="324"/>
      <c r="CQ525" s="524"/>
      <c r="CR525" s="324"/>
      <c r="CS525" s="524"/>
      <c r="CT525" s="324"/>
      <c r="CU525" s="524"/>
      <c r="CV525" s="324"/>
      <c r="CW525" s="524"/>
      <c r="CX525" s="324"/>
      <c r="CY525" s="524"/>
      <c r="CZ525" s="324"/>
      <c r="DA525" s="524"/>
      <c r="DB525" s="324"/>
      <c r="DC525" s="524"/>
      <c r="DD525" s="324"/>
      <c r="DE525" s="524"/>
      <c r="DF525" s="324"/>
      <c r="DG525" s="524"/>
      <c r="DH525" s="324"/>
      <c r="DI525" s="524"/>
      <c r="DJ525" s="324"/>
      <c r="DK525" s="524"/>
      <c r="DL525" s="324"/>
      <c r="DM525" s="524"/>
      <c r="DN525" s="130" t="str">
        <f t="shared" si="2800"/>
        <v>NA</v>
      </c>
      <c r="DO525" s="524"/>
      <c r="DP525" s="130" t="str">
        <f t="shared" si="2800"/>
        <v>NA</v>
      </c>
      <c r="DQ525" s="524"/>
      <c r="DR525" s="130" t="str">
        <f t="shared" si="2800"/>
        <v>NA</v>
      </c>
      <c r="DS525" s="524"/>
      <c r="DT525" s="130" t="str">
        <f t="shared" si="2800"/>
        <v>NA</v>
      </c>
      <c r="DU525" s="524"/>
      <c r="DV525" s="130" t="str">
        <f t="shared" si="2800"/>
        <v>NA</v>
      </c>
      <c r="DW525" s="524"/>
      <c r="DX525" s="524"/>
      <c r="DY525" s="524"/>
      <c r="DZ525" s="130" t="str">
        <f t="shared" si="2800"/>
        <v>NA</v>
      </c>
      <c r="EA525" s="524"/>
      <c r="EB525" s="130" t="str">
        <f t="shared" si="2803"/>
        <v>NA</v>
      </c>
      <c r="EC525" s="524"/>
      <c r="ED525" s="130" t="str">
        <f t="shared" si="2804"/>
        <v>NA</v>
      </c>
      <c r="EE525" s="524"/>
      <c r="EF525" s="130" t="str">
        <f t="shared" si="2806"/>
        <v>NA</v>
      </c>
      <c r="EG525" s="524"/>
      <c r="EH525" s="130" t="str">
        <f t="shared" si="2807"/>
        <v>NA</v>
      </c>
      <c r="EI525" s="524"/>
      <c r="EJ525" s="130" t="str">
        <f t="shared" si="2809"/>
        <v>NA</v>
      </c>
      <c r="EK525" s="524"/>
      <c r="EL525" s="130" t="str">
        <f t="shared" si="2810"/>
        <v>NA</v>
      </c>
      <c r="EM525" s="524"/>
      <c r="EN525" s="130" t="str">
        <f t="shared" si="2812"/>
        <v>NA</v>
      </c>
      <c r="EO525" s="524"/>
      <c r="EP525" s="130" t="str">
        <f t="shared" si="2814"/>
        <v>NA</v>
      </c>
      <c r="EQ525" s="524"/>
      <c r="ER525" s="130" t="str">
        <f t="shared" si="2816"/>
        <v>NA</v>
      </c>
      <c r="ES525" s="524"/>
      <c r="ET525" s="130" t="str">
        <f t="shared" si="2817"/>
        <v>NA</v>
      </c>
      <c r="EU525" s="524"/>
      <c r="EV525" s="130" t="str">
        <f t="shared" si="2818"/>
        <v>NA</v>
      </c>
      <c r="EW525" s="524"/>
      <c r="EX525" s="130" t="str">
        <f t="shared" si="2819"/>
        <v>NA</v>
      </c>
      <c r="EY525" s="302"/>
      <c r="EZ525" s="558"/>
      <c r="FA525" s="302"/>
      <c r="FB525" s="147"/>
      <c r="FC525" s="147"/>
      <c r="FD525" s="147"/>
      <c r="FE525" s="303"/>
      <c r="FF525" s="147"/>
      <c r="FG525" s="303"/>
      <c r="FH525" s="147"/>
      <c r="FI525" s="303"/>
      <c r="FJ525" s="147"/>
      <c r="FK525" s="303"/>
      <c r="FL525" s="147"/>
      <c r="FM525" s="304"/>
      <c r="FN525" s="147"/>
      <c r="FO525" s="304"/>
      <c r="FP525" s="301">
        <f>AQ525+AS525+AU525+AW525</f>
        <v>19.5</v>
      </c>
      <c r="FQ525" s="61" t="str">
        <f>IF(ISERROR((FP525/FH525-1)*100),"NA",IF(((FP525/FH525-1)*100)&gt;100,"NM",IF(((FP525/FH525-1)*100)&lt;-50,"NM",(FP525/FH525-1)*100)))</f>
        <v>NA</v>
      </c>
      <c r="FR525" s="301">
        <f>AY525+BA525+BC525+BE525</f>
        <v>49.099999999999987</v>
      </c>
      <c r="FS525" s="61" t="str">
        <f>IF(ISERROR((FR525/FP525-1)*100),"NA",IF(((FR525/FP525-1)*100)&gt;100,"NM",IF(((FR525/FP525-1)*100)&lt;-50,"NM",(FR525/FP525-1)*100)))</f>
        <v>NM</v>
      </c>
      <c r="FT525" s="529">
        <f>FT348</f>
        <v>21.999999999999964</v>
      </c>
      <c r="FU525" s="61" t="str">
        <f>IF(ISERROR((FT525/FR525-1)*100),"NA",IF(((FT525/FR525-1)*100)&gt;100,"NM",IF(((FT525/FR525-1)*100)&lt;-50,"NM",(FT525/FR525-1)*100)))</f>
        <v>NM</v>
      </c>
      <c r="FV525" s="531"/>
      <c r="FW525" s="324"/>
      <c r="FX525" s="524"/>
      <c r="FY525" s="324"/>
      <c r="FZ525" s="524"/>
      <c r="GA525" s="324"/>
      <c r="GB525" s="524"/>
      <c r="GC525" s="324"/>
      <c r="GD525" s="524"/>
      <c r="GE525" s="324"/>
      <c r="GF525" s="524"/>
      <c r="GG525" s="324"/>
      <c r="GH525" s="524"/>
      <c r="GI525" s="324"/>
      <c r="GJ525" s="524"/>
      <c r="GK525" s="324"/>
      <c r="GL525" s="524"/>
      <c r="GM525" s="324"/>
      <c r="GN525" s="524"/>
      <c r="GO525" s="324"/>
      <c r="GP525" s="524"/>
      <c r="GQ525" s="324"/>
      <c r="GR525" s="524"/>
      <c r="GS525" s="324"/>
      <c r="GT525" s="524"/>
      <c r="GU525" s="324"/>
      <c r="GV525" s="524"/>
      <c r="GW525" s="324"/>
      <c r="GX525" s="524"/>
      <c r="GY525" s="324"/>
      <c r="GZ525" s="324"/>
      <c r="HA525" s="324"/>
      <c r="HB525" s="452"/>
      <c r="HC525"/>
      <c r="HD525"/>
      <c r="HE525"/>
      <c r="HF525"/>
      <c r="HG525"/>
      <c r="HH525"/>
    </row>
    <row r="526" spans="1:216" s="106" customFormat="1" ht="12.75" customHeight="1" collapsed="1" x14ac:dyDescent="0.2">
      <c r="B526" s="63" t="s">
        <v>263</v>
      </c>
      <c r="C526" s="305"/>
      <c r="D526" s="306"/>
      <c r="E526" s="305"/>
      <c r="F526" s="307"/>
      <c r="G526" s="308"/>
      <c r="H526" s="307"/>
      <c r="I526" s="305"/>
      <c r="J526" s="307"/>
      <c r="K526" s="305"/>
      <c r="L526" s="61"/>
      <c r="M526" s="305"/>
      <c r="N526" s="61"/>
      <c r="O526" s="308"/>
      <c r="P526" s="61"/>
      <c r="Q526" s="308"/>
      <c r="R526" s="61"/>
      <c r="S526" s="308"/>
      <c r="T526" s="61"/>
      <c r="U526" s="103"/>
      <c r="V526" s="61"/>
      <c r="W526" s="308"/>
      <c r="X526" s="61"/>
      <c r="Y526" s="308"/>
      <c r="Z526" s="61"/>
      <c r="AA526" s="308"/>
      <c r="AB526" s="61"/>
      <c r="AC526" s="308"/>
      <c r="AD526" s="61"/>
      <c r="AE526" s="308"/>
      <c r="AF526" s="61"/>
      <c r="AG526" s="308"/>
      <c r="AH526" s="61"/>
      <c r="AI526" s="308"/>
      <c r="AJ526" s="61"/>
      <c r="AK526" s="308"/>
      <c r="AL526" s="61"/>
      <c r="AM526" s="308"/>
      <c r="AN526" s="61"/>
      <c r="AO526" s="308"/>
      <c r="AP526" s="61"/>
      <c r="AQ526" s="310">
        <f>SUM(AQ523:AQ525)</f>
        <v>99.262999999999991</v>
      </c>
      <c r="AR526" s="61" t="str">
        <f>IF(ISERROR((AQ526/AI526-1)*100),"NA",IF(((AQ526/AI526-1)*100)&gt;100,"NM",IF(((AQ526/AI526-1)*100)&lt;-50,"NM",(AQ526/AI526-1)*100)))</f>
        <v>NA</v>
      </c>
      <c r="AS526" s="310">
        <f>SUM(AS523:AS525)</f>
        <v>85.239000000000033</v>
      </c>
      <c r="AT526" s="61" t="str">
        <f>IF(ISERROR((AS526/AK526-1)*100),"NA",IF(((AS526/AK526-1)*100)&gt;100,"NM",IF(((AS526/AK526-1)*100)&lt;-50,"NM",(AS526/AK526-1)*100)))</f>
        <v>NA</v>
      </c>
      <c r="AU526" s="310">
        <f>SUM(AU523:AU525)</f>
        <v>79.255999999999943</v>
      </c>
      <c r="AV526" s="61" t="str">
        <f>IF(ISERROR((AU526/AM526-1)*100),"NA",IF(((AU526/AM526-1)*100)&gt;100,"NM",IF(((AU526/AM526-1)*100)&lt;-50,"NM",(AU526/AM526-1)*100)))</f>
        <v>NA</v>
      </c>
      <c r="AW526" s="310">
        <f>SUM(AW523:AW525)</f>
        <v>99.963999999999984</v>
      </c>
      <c r="AX526" s="61" t="str">
        <f>IF(ISERROR((AW526/AO526-1)*100),"NA",IF(((AW526/AO526-1)*100)&gt;100,"NM",IF(((AW526/AO526-1)*100)&lt;-50,"NM",(AW526/AO526-1)*100)))</f>
        <v>NA</v>
      </c>
      <c r="AY526" s="310">
        <f>SUM(AY523:AY525)</f>
        <v>106</v>
      </c>
      <c r="AZ526" s="61">
        <f>IF(ISERROR((AY526/AQ526-1)*100),"NA",IF(((AY526/AQ526-1)*100)&gt;100,"NM",IF(((AY526/AQ526-1)*100)&lt;-50,"NM",(AY526/AQ526-1)*100)))</f>
        <v>6.7870203399051032</v>
      </c>
      <c r="BA526" s="310">
        <f>SUM(BA523:BA525)</f>
        <v>186.1</v>
      </c>
      <c r="BB526" s="61" t="str">
        <f>IF(ISERROR((BA526/AS526-1)*100),"NA",IF(((BA526/AS526-1)*100)&gt;100,"NM",IF(((BA526/AS526-1)*100)&lt;-50,"NM",(BA526/AS526-1)*100)))</f>
        <v>NM</v>
      </c>
      <c r="BC526" s="310">
        <f>SUM(BC523:BC525)</f>
        <v>176.39999999999998</v>
      </c>
      <c r="BD526" s="61" t="str">
        <f>IF(ISERROR((BC526/AU526-1)*100),"NA",IF(((BC526/AU526-1)*100)&gt;100,"NM",IF(((BC526/AU526-1)*100)&lt;-50,"NM",(BC526/AU526-1)*100)))</f>
        <v>NM</v>
      </c>
      <c r="BE526" s="310">
        <f>SUM(BE523:BE525)</f>
        <v>184.19999999999996</v>
      </c>
      <c r="BF526" s="61">
        <f>IF(ISERROR((BE526/AW526-1)*100),"NA",IF(((BE526/AW526-1)*100)&gt;100,"NM",IF(((BE526/AW526-1)*100)&lt;-50,"NM",(BE526/AW526-1)*100)))</f>
        <v>84.266335880917126</v>
      </c>
      <c r="BG526" s="530">
        <f>SUM(BG523:BG525)</f>
        <v>190.10000000000014</v>
      </c>
      <c r="BH526" s="61">
        <f>IF(ISERROR((BG526/AY526-1)*100),"NA",IF(((BG526/AY526-1)*100)&gt;100,"NM",IF(((BG526/AY526-1)*100)&lt;-50,"NM",(BG526/AY526-1)*100)))</f>
        <v>79.33962264150955</v>
      </c>
      <c r="BI526" s="310">
        <f>SUM(BI523:BI525)</f>
        <v>199.90000000000003</v>
      </c>
      <c r="BJ526" s="61">
        <f>IF(ISERROR((BI526/BA526-1)*100),"NA",IF(((BI526/BA526-1)*100)&gt;100,"NM",IF(((BI526/BA526-1)*100)&lt;-50,"NM",(BI526/BA526-1)*100)))</f>
        <v>7.4153680816765322</v>
      </c>
      <c r="BK526" s="530">
        <f>BK523+BK524</f>
        <v>191.00000000000003</v>
      </c>
      <c r="BL526" s="61">
        <f>IF(ISERROR((BK526/BC526-1)*100),"NA",IF(((BK526/BC526-1)*100)&gt;100,"NM",IF(((BK526/BC526-1)*100)&lt;-50,"NM",(BK526/BC526-1)*100)))</f>
        <v>8.2766439909297329</v>
      </c>
      <c r="BM526" s="310">
        <f>BM523+BM524</f>
        <v>199.79999999999984</v>
      </c>
      <c r="BN526" s="419">
        <f>IF(ISERROR((BM526/BE526-1)*100),"NA",IF(((BM526/BE526-1)*100)&gt;100,"NM",IF(((BM526/BE526-1)*100)&lt;-50,"NM",(BM526/BE526-1)*100)))</f>
        <v>8.4690553745927701</v>
      </c>
      <c r="BO526" s="310">
        <f>BO523+BO524</f>
        <v>192.50000000000009</v>
      </c>
      <c r="BP526" s="419">
        <f>IF(ISERROR((BO526/BG526-1)*100),"NA",IF(((BO526/BG526-1)*100)&gt;100,"NM",IF(((BO526/BG526-1)*100)&lt;-50,"NM",(BO526/BG526-1)*100)))</f>
        <v>1.262493424513389</v>
      </c>
      <c r="BQ526" s="310">
        <f>BQ523+BQ524</f>
        <v>195.80000000000004</v>
      </c>
      <c r="BR526" s="419">
        <f>IF(ISERROR((BQ526/BI526-1)*100),"NA",IF(((BQ526/BI526-1)*100)&gt;100,"NM",IF(((BQ526/BI526-1)*100)&lt;-50,"NM",(BQ526/BI526-1)*100)))</f>
        <v>-2.051025512756377</v>
      </c>
      <c r="BS526" s="310">
        <f>BS523+BS524</f>
        <v>194.90000000000009</v>
      </c>
      <c r="BT526" s="61">
        <f>IF(ISERROR((BS526/BK526-1)*100),"NA",IF(((BS526/BK526-1)*100)&gt;100,"NM",IF(((BS526/BK526-1)*100)&lt;-50,"NM",(BS526/BK526-1)*100)))</f>
        <v>2.0418848167539583</v>
      </c>
      <c r="BU526" s="310">
        <f>BU523+BU524</f>
        <v>154.89999999999998</v>
      </c>
      <c r="BV526" s="61">
        <f>IF(ISERROR((BU526/BM526-1)*100),"NA",IF(((BU526/BM526-1)*100)&gt;100,"NM",IF(((BU526/BM526-1)*100)&lt;-50,"NM",(BU526/BM526-1)*100)))</f>
        <v>-22.472472472472425</v>
      </c>
      <c r="BW526" s="310">
        <f>BW523+BW524</f>
        <v>167.90000000000009</v>
      </c>
      <c r="BX526" s="61">
        <f>IF(ISERROR((BW526/BO526-1)*100),"NA",IF(((BW526/BO526-1)*100)&gt;100,"NM",IF(((BW526/BO526-1)*100)&lt;-50,"NM",(BW526/BO526-1)*100)))</f>
        <v>-12.779220779220768</v>
      </c>
      <c r="BY526" s="310">
        <f>BY523+BY524</f>
        <v>166.50000000000009</v>
      </c>
      <c r="BZ526" s="61">
        <f>IF(ISERROR((BY526/BQ526-1)*100),"NA",IF(((BY526/BQ526-1)*100)&gt;100,"NM",IF(((BY526/BQ526-1)*100)&lt;-50,"NM",(BY526/BQ526-1)*100)))</f>
        <v>-14.964249233912131</v>
      </c>
      <c r="CA526" s="310">
        <f>CA523+CA524</f>
        <v>177.00999999999988</v>
      </c>
      <c r="CB526" s="61">
        <f>IF(ISERROR((CA526/BS526-1)*100),"NA",IF(((CA526/BS526-1)*100)&gt;100,"NM",IF(((CA526/BS526-1)*100)&lt;-50,"NM",(CA526/BS526-1)*100)))</f>
        <v>-9.1790661877887203</v>
      </c>
      <c r="CC526" s="310">
        <f>CC523+CC524</f>
        <v>190.70000000000005</v>
      </c>
      <c r="CD526" s="61">
        <f>IF(ISERROR((CC526/BU526-1)*100),"NA",IF(((CC526/BU526-1)*100)&gt;100,"NM",IF(((CC526/BU526-1)*100)&lt;-50,"NM",(CC526/BU526-1)*100)))</f>
        <v>23.111684958037483</v>
      </c>
      <c r="CE526" s="310">
        <f>CE523+CE524</f>
        <v>182.20000000000007</v>
      </c>
      <c r="CF526" s="61">
        <f>IF(ISERROR((CE526/BW526-1)*100),"NA",IF(((CE526/BW526-1)*100)&gt;100,"NM",IF(((CE526/BW526-1)*100)&lt;-50,"NM",(CE526/BW526-1)*100)))</f>
        <v>8.51697438951755</v>
      </c>
      <c r="CG526" s="310">
        <f>CG523+CG524</f>
        <v>189.40000000000006</v>
      </c>
      <c r="CH526" s="61">
        <f>IF(ISERROR((CG526/BY526-1)*100),"NA",IF(((CG526/BY526-1)*100)&gt;100,"NM",IF(((CG526/BY526-1)*100)&lt;-50,"NM",(CG526/BY526-1)*100)))</f>
        <v>13.753753753753738</v>
      </c>
      <c r="CI526" s="310">
        <f>CI523+CI524</f>
        <v>164.4</v>
      </c>
      <c r="CJ526" s="61">
        <f>IF(ISERROR((CI526/CA526-1)*100),"NA",IF(((CI526/CA526-1)*100)&gt;100,"NM",IF(((CI526/CA526-1)*100)&lt;-50,"NM",(CI526/CA526-1)*100)))</f>
        <v>-7.1238913055758912</v>
      </c>
      <c r="CK526" s="310">
        <f>CK523+CK524</f>
        <v>173.49999999999989</v>
      </c>
      <c r="CL526" s="61">
        <f>IF(ISERROR((CK526/CC526-1)*100),"NA",IF(((CK526/CC526-1)*100)&gt;100,"NM",IF(((CK526/CC526-1)*100)&lt;-50,"NM",(CK526/CC526-1)*100)))</f>
        <v>-9.0194022024122518</v>
      </c>
      <c r="CM526" s="310">
        <f>CM523+CM524</f>
        <v>147.10000000000011</v>
      </c>
      <c r="CN526" s="61">
        <f>IF(ISERROR((CM526/CE526-1)*100),"NA",IF(((CM526/CE526-1)*100)&gt;100,"NM",IF(((CM526/CE526-1)*100)&lt;-50,"NM",(CM526/CE526-1)*100)))</f>
        <v>-19.26454445664103</v>
      </c>
      <c r="CO526" s="310">
        <f>CO523+CO524</f>
        <v>157.99999999999991</v>
      </c>
      <c r="CP526" s="61">
        <f>IF(ISERROR((CO526/CG526-1)*100),"NA",IF(((CO526/CG526-1)*100)&gt;100,"NM",IF(((CO526/CG526-1)*100)&lt;-50,"NM",(CO526/CG526-1)*100)))</f>
        <v>-16.578669482576636</v>
      </c>
      <c r="CQ526" s="310">
        <f>CQ523+CQ524</f>
        <v>191.59999999999988</v>
      </c>
      <c r="CR526" s="61">
        <f>IF(ISERROR((CQ526/CI526-1)*100),"NA",IF(((CQ526/CI526-1)*100)&gt;100,"NM",IF(((CQ526/CI526-1)*100)&lt;-50,"NM",(CQ526/CI526-1)*100)))</f>
        <v>16.545012165450036</v>
      </c>
      <c r="CS526" s="310">
        <f>CS523+CS524</f>
        <v>151</v>
      </c>
      <c r="CT526" s="61">
        <f>IF(ISERROR((CS526/CK526-1)*100),"NA",IF(((CS526/CK526-1)*100)&gt;100,"NM",IF(((CS526/CK526-1)*100)&lt;-50,"NM",(CS526/CK526-1)*100)))</f>
        <v>-12.968299711815501</v>
      </c>
      <c r="CU526" s="310">
        <f>CU523+CU524</f>
        <v>155</v>
      </c>
      <c r="CV526" s="61">
        <f>IF(ISERROR((CU526/CM526-1)*100),"NA",IF(((CU526/CM526-1)*100)&gt;100,"NM",IF(((CU526/CM526-1)*100)&lt;-50,"NM",(CU526/CM526-1)*100)))</f>
        <v>5.3704962610468199</v>
      </c>
      <c r="CW526" s="310">
        <f>CW523+CW524</f>
        <v>153</v>
      </c>
      <c r="CX526" s="61">
        <f>IF(ISERROR((CW526/CO526-1)*100),"NA",IF(((CW526/CO526-1)*100)&gt;100,"NM",IF(((CW526/CO526-1)*100)&lt;-50,"NM",(CW526/CO526-1)*100)))</f>
        <v>-3.1645569620252667</v>
      </c>
      <c r="CY526" s="310">
        <f>CY523+CY524</f>
        <v>151</v>
      </c>
      <c r="CZ526" s="61">
        <f>IF(ISERROR((CY526/CQ526-1)*100),"NA",IF(((CY526/CQ526-1)*100)&gt;100,"NM",IF(((CY526/CQ526-1)*100)&lt;-50,"NM",(CY526/CQ526-1)*100)))</f>
        <v>-21.189979123173231</v>
      </c>
      <c r="DA526" s="310">
        <f>DA523+DA524</f>
        <v>151</v>
      </c>
      <c r="DB526" s="61">
        <f>IF(ISERROR((DA526/CS526-1)*100),"NA",IF(((DA526/CS526-1)*100)&gt;100,"NM",IF(((DA526/CS526-1)*100)&lt;-50,"NM",(DA526/CS526-1)*100)))</f>
        <v>0</v>
      </c>
      <c r="DC526" s="310">
        <f>DC523+DC524</f>
        <v>133.49799999999999</v>
      </c>
      <c r="DD526" s="61">
        <f>IF(ISERROR((DC526/CU526-1)*100),"NA",IF(((DC526/CU526-1)*100)&gt;100,"NM",IF(((DC526/CU526-1)*100)&lt;-50,"NM",(DC526/CU526-1)*100)))</f>
        <v>-13.87225806451613</v>
      </c>
      <c r="DE526" s="310">
        <f>DE523+DE524</f>
        <v>152</v>
      </c>
      <c r="DF526" s="61">
        <f>IF(ISERROR((DE526/CW526-1)*100),"NA",IF(((DE526/CW526-1)*100)&gt;100,"NM",IF(((DE526/CW526-1)*100)&lt;-50,"NM",(DE526/CW526-1)*100)))</f>
        <v>-0.65359477124182774</v>
      </c>
      <c r="DG526" s="310">
        <f>DG523+DG524</f>
        <v>145</v>
      </c>
      <c r="DH526" s="61">
        <f>IF(ISERROR((DG526/CY526-1)*100),"NA",IF(((DG526/CY526-1)*100)&gt;100,"NM",IF(((DG526/CY526-1)*100)&lt;-50,"NM",(DG526/CY526-1)*100)))</f>
        <v>-3.9735099337748325</v>
      </c>
      <c r="DI526" s="310">
        <f>DI523+DI524</f>
        <v>149</v>
      </c>
      <c r="DJ526" s="61">
        <f>IF(ISERROR((DI526/DA526-1)*100),"NA",IF(((DI526/DA526-1)*100)&gt;100,"NM",IF(((DI526/DA526-1)*100)&lt;-50,"NM",(DI526/DA526-1)*100)))</f>
        <v>-1.3245033112582738</v>
      </c>
      <c r="DK526" s="310">
        <f>DK523+DK524</f>
        <v>140</v>
      </c>
      <c r="DL526" s="61">
        <f>IF(ISERROR((DK526/DC526-1)*100),"NA",IF(((DK526/DC526-1)*100)&gt;100,"NM",IF(((DK526/DC526-1)*100)&lt;-50,"NM",(DK526/DC526-1)*100)))</f>
        <v>4.8704849510854187</v>
      </c>
      <c r="DM526" s="310">
        <f>DM523+DM524</f>
        <v>145</v>
      </c>
      <c r="DN526" s="130">
        <f t="shared" si="2800"/>
        <v>-4.6052631578947345</v>
      </c>
      <c r="DO526" s="310">
        <f>DO523+DO524</f>
        <v>158</v>
      </c>
      <c r="DP526" s="130">
        <f t="shared" si="2800"/>
        <v>8.9655172413793061</v>
      </c>
      <c r="DQ526" s="310">
        <f>DQ523+DQ524</f>
        <v>134</v>
      </c>
      <c r="DR526" s="130">
        <f t="shared" si="2800"/>
        <v>-10.067114093959727</v>
      </c>
      <c r="DS526" s="310">
        <f>DS523+DS524</f>
        <v>105</v>
      </c>
      <c r="DT526" s="130">
        <f t="shared" si="2800"/>
        <v>-25</v>
      </c>
      <c r="DU526" s="310">
        <f>DU523+DU524</f>
        <v>124</v>
      </c>
      <c r="DV526" s="130">
        <f t="shared" si="2800"/>
        <v>-14.482758620689651</v>
      </c>
      <c r="DW526" s="310">
        <f>DW523+DW524</f>
        <v>170</v>
      </c>
      <c r="DX526" s="310">
        <f t="shared" ref="DX526:DY526" si="2827">DX523+DX524</f>
        <v>170</v>
      </c>
      <c r="DY526" s="310">
        <f t="shared" si="2827"/>
        <v>132</v>
      </c>
      <c r="DZ526" s="130">
        <f t="shared" si="2800"/>
        <v>-1.4925373134328401</v>
      </c>
      <c r="EA526" s="310">
        <f t="shared" ref="EA526:EC526" si="2828">EA523+EA524</f>
        <v>127</v>
      </c>
      <c r="EB526" s="130">
        <f t="shared" si="2803"/>
        <v>20.952380952380945</v>
      </c>
      <c r="EC526" s="310">
        <f t="shared" si="2828"/>
        <v>135</v>
      </c>
      <c r="ED526" s="130">
        <f t="shared" si="2804"/>
        <v>8.8709677419354769</v>
      </c>
      <c r="EE526" s="310">
        <f t="shared" ref="EE526:EG526" si="2829">EE523+EE524</f>
        <v>160.5</v>
      </c>
      <c r="EF526" s="130">
        <f t="shared" si="2806"/>
        <v>-5.5882352941176494</v>
      </c>
      <c r="EG526" s="310">
        <f t="shared" si="2829"/>
        <v>170</v>
      </c>
      <c r="EH526" s="130">
        <f t="shared" si="2807"/>
        <v>28.787878787878785</v>
      </c>
      <c r="EI526" s="310">
        <f t="shared" ref="EI526:EK526" si="2830">EI523+EI524</f>
        <v>136</v>
      </c>
      <c r="EJ526" s="130">
        <f t="shared" si="2809"/>
        <v>7.0866141732283561</v>
      </c>
      <c r="EK526" s="310">
        <f t="shared" si="2830"/>
        <v>168</v>
      </c>
      <c r="EL526" s="130">
        <f t="shared" si="2810"/>
        <v>24.444444444444446</v>
      </c>
      <c r="EM526" s="310">
        <f t="shared" ref="EM526" si="2831">EM523+EM524</f>
        <v>175</v>
      </c>
      <c r="EN526" s="130">
        <f t="shared" si="2812"/>
        <v>9.0342679127725756</v>
      </c>
      <c r="EO526" s="310">
        <f t="shared" ref="EO526" si="2832">EO523+EO524</f>
        <v>172</v>
      </c>
      <c r="EP526" s="130">
        <f t="shared" si="2814"/>
        <v>1.1764705882352899</v>
      </c>
      <c r="EQ526" s="310">
        <f t="shared" ref="EQ526:EW526" si="2833">EQ523+EQ524</f>
        <v>161.41612211842994</v>
      </c>
      <c r="ER526" s="130">
        <f t="shared" si="2816"/>
        <v>18.688325087080848</v>
      </c>
      <c r="ES526" s="310">
        <f t="shared" si="2833"/>
        <v>189.2885414072764</v>
      </c>
      <c r="ET526" s="130">
        <f t="shared" si="2817"/>
        <v>12.671750837664518</v>
      </c>
      <c r="EU526" s="310">
        <f t="shared" si="2833"/>
        <v>203.52055393690705</v>
      </c>
      <c r="EV526" s="130">
        <f t="shared" si="2818"/>
        <v>16.29745939251832</v>
      </c>
      <c r="EW526" s="310">
        <f t="shared" si="2833"/>
        <v>212.13800913510013</v>
      </c>
      <c r="EX526" s="130">
        <f t="shared" si="2819"/>
        <v>23.336051822732639</v>
      </c>
      <c r="EY526" s="309"/>
      <c r="EZ526" s="558"/>
      <c r="FA526" s="309"/>
      <c r="FB526" s="309"/>
      <c r="FC526" s="309"/>
      <c r="FD526" s="309"/>
      <c r="FE526" s="518"/>
      <c r="FF526" s="309"/>
      <c r="FG526" s="518"/>
      <c r="FH526" s="309"/>
      <c r="FI526" s="518"/>
      <c r="FJ526" s="309"/>
      <c r="FK526" s="518"/>
      <c r="FL526" s="309"/>
      <c r="FM526" s="518"/>
      <c r="FN526" s="309"/>
      <c r="FO526" s="518"/>
      <c r="FP526" s="310">
        <f>SUM(FP523:FP525)</f>
        <v>363.72199999999998</v>
      </c>
      <c r="FQ526" s="61" t="str">
        <f>IF(ISERROR((FP526/FH526-1)*100),"NA",IF(((FP526/FH526-1)*100)&gt;100,"NM",IF(((FP526/FH526-1)*100)&lt;-50,"NM",(FP526/FH526-1)*100)))</f>
        <v>NA</v>
      </c>
      <c r="FR526" s="310">
        <f>SUM(FR523:FR525)</f>
        <v>652.69999999999993</v>
      </c>
      <c r="FS526" s="61">
        <f>IF(ISERROR((FR526/FP526-1)*100),"NA",IF(((FR526/FP526-1)*100)&gt;100,"NM",IF(((FR526/FP526-1)*100)&lt;-50,"NM",(FR526/FP526-1)*100)))</f>
        <v>79.450239468605147</v>
      </c>
      <c r="FT526" s="530">
        <f>SUM(FT523:FT525)</f>
        <v>780.79999999999973</v>
      </c>
      <c r="FU526" s="61">
        <f>IF(ISERROR((FT526/FR526-1)*100),"NA",IF(((FT526/FR526-1)*100)&gt;100,"NM",IF(((FT526/FR526-1)*100)&lt;-50,"NM",(FT526/FR526-1)*100)))</f>
        <v>19.626168224299036</v>
      </c>
      <c r="FV526" s="530">
        <f>FV523+FV524</f>
        <v>738.1</v>
      </c>
      <c r="FW526" s="61">
        <f>IF(ISERROR((FV526/FT526-1)*100),"NA",IF(((FV526/FT526-1)*100)&gt;100,"NM",IF(((FV526/FT526-1)*100)&lt;-50,"NM",(FV526/FT526-1)*100)))</f>
        <v>-5.4687499999999662</v>
      </c>
      <c r="FX526" s="310">
        <f>FX523+FX524</f>
        <v>702.1099999999999</v>
      </c>
      <c r="FY526" s="61">
        <f>IF(ISERROR((FX526/FV526-1)*100),"NA",IF(((FX526/FV526-1)*100)&gt;100,"NM",IF(((FX526/FV526-1)*100)&lt;-50,"NM",(FX526/FV526-1)*100)))</f>
        <v>-4.8760330578512594</v>
      </c>
      <c r="FZ526" s="310">
        <f>FZ523+FZ524</f>
        <v>709.49999999999898</v>
      </c>
      <c r="GA526" s="61">
        <f>IF(ISERROR((FZ526/FX526-1)*100),"NA",IF(((FZ526/FX526-1)*100)&gt;100,"NM",IF(((FZ526/FX526-1)*100)&lt;-50,"NM",(FZ526/FX526-1)*100)))</f>
        <v>1.0525416245316332</v>
      </c>
      <c r="GB526" s="310">
        <f>GB523+GB524</f>
        <v>647.69999999999993</v>
      </c>
      <c r="GC526" s="61">
        <f>IF(ISERROR((GB526/FZ526-1)*100),"NA",IF(((GB526/FZ526-1)*100)&gt;100,"NM",IF(((GB526/FZ526-1)*100)&lt;-50,"NM",(GB526/FZ526-1)*100)))</f>
        <v>-8.7103594080337068</v>
      </c>
      <c r="GD526" s="310">
        <f>GD523+GD524</f>
        <v>610</v>
      </c>
      <c r="GE526" s="61">
        <f>IF(ISERROR((GD526/GB526-1)*100),"NA",IF(((GD526/GB526-1)*100)&gt;100,"NM",IF(((GD526/GB526-1)*100)&lt;-50,"NM",(GD526/GB526-1)*100)))</f>
        <v>-5.8205959549173851</v>
      </c>
      <c r="GF526" s="310">
        <f>GF523+GF524</f>
        <v>579.49800000000005</v>
      </c>
      <c r="GG526" s="61">
        <f>IF(ISERROR((GF526/GD526-1)*100),"NA",IF(((GF526/GD526-1)*100)&gt;100,"NM",IF(((GF526/GD526-1)*100)&lt;-50,"NM",(GF526/GD526-1)*100)))</f>
        <v>-5.00032786885245</v>
      </c>
      <c r="GH526" s="310">
        <f>GH523+GH524</f>
        <v>577</v>
      </c>
      <c r="GI526" s="61">
        <f>IF(ISERROR((GH526/GF526-1)*100),"NA",IF(((GH526/GF526-1)*100)&gt;100,"NM",IF(((GH526/GF526-1)*100)&lt;-50,"NM",(GH526/GF526-1)*100)))</f>
        <v>-0.43106274741242512</v>
      </c>
      <c r="GJ526" s="310">
        <f>GJ523+GJ524</f>
        <v>531</v>
      </c>
      <c r="GK526" s="61">
        <f>IF(ISERROR((GJ526/GH526-1)*100),"NA",IF(((GJ526/GH526-1)*100)&gt;100,"NM",IF(((GJ526/GH526-1)*100)&lt;-50,"NM",(GJ526/GH526-1)*100)))</f>
        <v>-7.9722703639514725</v>
      </c>
      <c r="GL526" s="310">
        <f>GL523+GL524</f>
        <v>592.5</v>
      </c>
      <c r="GM526" s="61">
        <f>IF(ISERROR((GL526/GJ526-1)*100),"NA",IF(((GL526/GJ526-1)*100)&gt;100,"NM",IF(((GL526/GJ526-1)*100)&lt;-50,"NM",(GL526/GJ526-1)*100)))</f>
        <v>11.581920903954801</v>
      </c>
      <c r="GN526" s="310">
        <f>GN523+GN524</f>
        <v>651</v>
      </c>
      <c r="GO526" s="61">
        <f>IF(ISERROR((GN526/GL526-1)*100),"NA",IF(((GN526/GL526-1)*100)&gt;100,"NM",IF(((GN526/GL526-1)*100)&lt;-50,"NM",(GN526/GL526-1)*100)))</f>
        <v>9.8734177215189955</v>
      </c>
      <c r="GP526" s="310">
        <f>GP523+GP524</f>
        <v>766.36322659771281</v>
      </c>
      <c r="GQ526" s="61">
        <f>IF(ISERROR((GP526/GN526-1)*100),"NA",IF(((GP526/GN526-1)*100)&gt;100,"NM",IF(((GP526/GN526-1)*100)&lt;-50,"NM",(GP526/GN526-1)*100)))</f>
        <v>17.720925744656334</v>
      </c>
      <c r="GR526" s="310">
        <f>GR523+GR524</f>
        <v>820.89814899090527</v>
      </c>
      <c r="GS526" s="61">
        <f>IF(ISERROR((GR526/GP526-1)*100),"NA",IF(((GR526/GP526-1)*100)&gt;100,"NM",IF(((GR526/GP526-1)*100)&lt;-50,"NM",(GR526/GP526-1)*100)))</f>
        <v>7.1160672251070256</v>
      </c>
      <c r="GT526" s="310">
        <f>GT523+GT524</f>
        <v>865.16491475459827</v>
      </c>
      <c r="GU526" s="61">
        <f>IF(ISERROR((GT526/GR526-1)*100),"NA",IF(((GT526/GR526-1)*100)&gt;100,"NM",IF(((GT526/GR526-1)*100)&lt;-50,"NM",(GT526/GR526-1)*100)))</f>
        <v>5.3924796660959951</v>
      </c>
      <c r="GV526" s="310">
        <f>GV523+GV524</f>
        <v>887.97432861688128</v>
      </c>
      <c r="GW526" s="61">
        <f>IF(ISERROR((GV526/GT526-1)*100),"NA",IF(((GV526/GT526-1)*100)&gt;100,"NM",IF(((GV526/GT526-1)*100)&lt;-50,"NM",(GV526/GT526-1)*100)))</f>
        <v>2.6364238162331022</v>
      </c>
      <c r="GX526" s="310">
        <f>GX523+GX524</f>
        <v>911.45354914210589</v>
      </c>
      <c r="GY526" s="61">
        <f>IF(ISERROR((GX526/GV526-1)*100),"NA",IF(((GX526/GV526-1)*100)&gt;100,"NM",IF(((GX526/GV526-1)*100)&lt;-50,"NM",(GX526/GV526-1)*100)))</f>
        <v>2.6441328052575708</v>
      </c>
      <c r="GZ526" s="61">
        <f>IF(ISERROR((GX526/GN526)^0.2),"",IF(OR((GX526/GN526)^0.2&lt;0.5,(GX526/GN526)^0.2&gt;2),"NM",((GX526/GN526)^0.2-1)*100))</f>
        <v>6.9622944382506269</v>
      </c>
      <c r="HA526" s="61"/>
      <c r="HB526" s="452"/>
      <c r="HC526"/>
      <c r="HD526"/>
      <c r="HE526"/>
      <c r="HF526"/>
      <c r="HG526"/>
      <c r="HH526"/>
    </row>
    <row r="527" spans="1:216" s="5" customFormat="1" ht="12.75" customHeight="1" x14ac:dyDescent="0.2">
      <c r="B527" s="7"/>
      <c r="C527" s="12"/>
      <c r="D527" s="13"/>
      <c r="E527" s="12"/>
      <c r="F527" s="13"/>
      <c r="G527" s="12"/>
      <c r="H527" s="13"/>
      <c r="I527" s="12"/>
      <c r="J527" s="13"/>
      <c r="K527" s="12"/>
      <c r="L527" s="13"/>
      <c r="M527" s="12"/>
      <c r="N527" s="13"/>
      <c r="O527" s="12"/>
      <c r="P527" s="13"/>
      <c r="Q527" s="12"/>
      <c r="R527" s="13"/>
      <c r="S527" s="12"/>
      <c r="T527" s="13"/>
      <c r="U527" s="12"/>
      <c r="V527" s="13"/>
      <c r="W527" s="12"/>
      <c r="X527" s="13"/>
      <c r="Y527" s="12"/>
      <c r="Z527" s="13"/>
      <c r="AA527" s="12"/>
      <c r="AB527" s="13"/>
      <c r="AC527" s="12"/>
      <c r="AD527" s="13"/>
      <c r="AE527" s="12"/>
      <c r="AF527" s="13"/>
      <c r="AG527" s="12"/>
      <c r="AH527" s="13"/>
      <c r="AI527" s="12"/>
      <c r="AJ527" s="13"/>
      <c r="AK527" s="12"/>
      <c r="AL527" s="13"/>
      <c r="AM527" s="12"/>
      <c r="AN527" s="13"/>
      <c r="AO527" s="12"/>
      <c r="AP527" s="13"/>
      <c r="AQ527" s="12"/>
      <c r="AR527" s="61"/>
      <c r="AS527" s="12"/>
      <c r="AT527" s="61"/>
      <c r="AU527" s="12"/>
      <c r="AV527" s="61"/>
      <c r="AW527" s="12"/>
      <c r="AX527" s="61"/>
      <c r="AY527" s="12"/>
      <c r="AZ527" s="61"/>
      <c r="BA527" s="12"/>
      <c r="BB527" s="61"/>
      <c r="BC527" s="12"/>
      <c r="BD527" s="61"/>
      <c r="BE527" s="12"/>
      <c r="BF527" s="61"/>
      <c r="BG527" s="532"/>
      <c r="BH527" s="61"/>
      <c r="BI527" s="12"/>
      <c r="BJ527" s="61"/>
      <c r="BK527" s="532"/>
      <c r="BL527" s="61"/>
      <c r="BM527" s="12"/>
      <c r="BN527" s="61"/>
      <c r="BO527" s="12"/>
      <c r="BP527" s="61"/>
      <c r="BQ527" s="12"/>
      <c r="BR527" s="61"/>
      <c r="BS527" s="12"/>
      <c r="BT527" s="61"/>
      <c r="BU527" s="12"/>
      <c r="BV527" s="61"/>
      <c r="BW527" s="12"/>
      <c r="BX527" s="61"/>
      <c r="BY527" s="12"/>
      <c r="BZ527" s="61"/>
      <c r="CA527" s="12"/>
      <c r="CB527" s="61"/>
      <c r="CC527" s="12"/>
      <c r="CD527" s="61"/>
      <c r="CE527" s="12"/>
      <c r="CF527" s="61"/>
      <c r="CG527" s="12"/>
      <c r="CH527" s="61"/>
      <c r="CI527" s="12"/>
      <c r="CJ527" s="61"/>
      <c r="CK527" s="12"/>
      <c r="CL527" s="61"/>
      <c r="CM527" s="12"/>
      <c r="CN527" s="61"/>
      <c r="CO527" s="440"/>
      <c r="CP527" s="61"/>
      <c r="CQ527" s="440"/>
      <c r="CR527" s="61"/>
      <c r="CS527" s="440"/>
      <c r="CT527" s="61"/>
      <c r="CU527" s="440"/>
      <c r="CV527" s="61"/>
      <c r="CW527" s="440"/>
      <c r="CX527" s="61"/>
      <c r="CY527" s="440"/>
      <c r="CZ527" s="61"/>
      <c r="DA527" s="440"/>
      <c r="DB527" s="61"/>
      <c r="DC527" s="440"/>
      <c r="DD527" s="61"/>
      <c r="DE527" s="440"/>
      <c r="DF527" s="61"/>
      <c r="DG527" s="440"/>
      <c r="DH527" s="61"/>
      <c r="DI527" s="440"/>
      <c r="DJ527" s="61"/>
      <c r="DK527" s="440"/>
      <c r="DL527" s="61"/>
      <c r="DM527" s="440"/>
      <c r="DN527" s="61"/>
      <c r="DO527" s="440"/>
      <c r="DP527" s="61"/>
      <c r="DQ527" s="440"/>
      <c r="DR527" s="61"/>
      <c r="DS527" s="440"/>
      <c r="DT527" s="61"/>
      <c r="DU527" s="440"/>
      <c r="DV527" s="61"/>
      <c r="DW527" s="440"/>
      <c r="DX527" s="440"/>
      <c r="DY527" s="440"/>
      <c r="DZ527" s="61"/>
      <c r="EA527" s="440"/>
      <c r="EB527" s="61"/>
      <c r="EC527" s="440"/>
      <c r="ED527" s="61"/>
      <c r="EE527" s="440"/>
      <c r="EF527" s="61"/>
      <c r="EG527" s="440"/>
      <c r="EH527" s="61"/>
      <c r="EI527" s="440"/>
      <c r="EJ527" s="61"/>
      <c r="EK527" s="440"/>
      <c r="EL527" s="61"/>
      <c r="EM527" s="440"/>
      <c r="EN527" s="61"/>
      <c r="EO527" s="440"/>
      <c r="EP527" s="61"/>
      <c r="EQ527" s="12"/>
      <c r="ER527" s="61"/>
      <c r="ES527" s="12"/>
      <c r="ET527" s="61"/>
      <c r="EU527" s="12"/>
      <c r="EV527" s="61"/>
      <c r="EW527" s="12"/>
      <c r="EX527" s="61"/>
      <c r="EY527" s="56"/>
      <c r="EZ527" s="558"/>
      <c r="FA527" s="56"/>
      <c r="FB527" s="12"/>
      <c r="FC527" s="13"/>
      <c r="FD527" s="12"/>
      <c r="FE527" s="13"/>
      <c r="FF527" s="19"/>
      <c r="FG527" s="13"/>
      <c r="FH527" s="19"/>
      <c r="FI527" s="13"/>
      <c r="FJ527" s="19"/>
      <c r="FK527" s="13"/>
      <c r="FL527" s="57"/>
      <c r="FM527" s="13"/>
      <c r="FN527" s="57"/>
      <c r="FO527" s="13"/>
      <c r="FP527" s="57"/>
      <c r="FQ527" s="61"/>
      <c r="FR527" s="57"/>
      <c r="FS527" s="61"/>
      <c r="FT527" s="543"/>
      <c r="FU527" s="61"/>
      <c r="FV527" s="543"/>
      <c r="FW527" s="61"/>
      <c r="FX527" s="57"/>
      <c r="FY527" s="61"/>
      <c r="FZ527" s="57"/>
      <c r="GA527" s="61"/>
      <c r="GB527" s="57"/>
      <c r="GC527" s="61"/>
      <c r="GD527" s="57"/>
      <c r="GE527" s="61"/>
      <c r="GF527" s="57"/>
      <c r="GG527" s="61"/>
      <c r="GH527" s="57"/>
      <c r="GI527" s="61"/>
      <c r="GJ527" s="57"/>
      <c r="GK527" s="61"/>
      <c r="GL527" s="57"/>
      <c r="GM527" s="61"/>
      <c r="GN527" s="57"/>
      <c r="GO527" s="61"/>
      <c r="GP527" s="57"/>
      <c r="GQ527" s="61"/>
      <c r="GR527" s="13"/>
      <c r="GS527" s="61"/>
      <c r="GT527" s="13"/>
      <c r="GU527" s="61"/>
      <c r="GV527" s="13"/>
      <c r="GW527" s="61"/>
      <c r="GX527" s="13"/>
      <c r="GY527" s="61"/>
      <c r="GZ527" s="61" t="str">
        <f>IF(ISERROR((GX527/GN527)^0.2),"",IF(OR((GX527/GN527)^0.2&lt;0.5,(GX527/GN527)^0.2&gt;2),"NM",((GX527/GN527)^0.2-1)*100))</f>
        <v/>
      </c>
      <c r="HA527" s="61"/>
      <c r="HB527" s="452"/>
      <c r="HC527"/>
      <c r="HD527"/>
      <c r="HE527"/>
      <c r="HF527"/>
      <c r="HG527"/>
      <c r="HH527"/>
    </row>
    <row r="528" spans="1:216" s="5" customFormat="1" ht="12.75" hidden="1" customHeight="1" outlineLevel="1" x14ac:dyDescent="0.2">
      <c r="B528" s="2"/>
      <c r="C528" s="120"/>
      <c r="D528" s="67"/>
      <c r="E528" s="120"/>
      <c r="F528" s="66"/>
      <c r="G528" s="299"/>
      <c r="H528" s="66"/>
      <c r="I528" s="120"/>
      <c r="J528" s="66"/>
      <c r="K528" s="120"/>
      <c r="L528" s="61"/>
      <c r="M528" s="120"/>
      <c r="N528" s="61"/>
      <c r="O528" s="299"/>
      <c r="P528" s="61"/>
      <c r="Q528" s="299"/>
      <c r="R528" s="61"/>
      <c r="S528" s="299"/>
      <c r="T528" s="61"/>
      <c r="U528" s="64"/>
      <c r="V528" s="61"/>
      <c r="W528" s="299"/>
      <c r="X528" s="61"/>
      <c r="Y528" s="299"/>
      <c r="Z528" s="61"/>
      <c r="AA528" s="299"/>
      <c r="AB528" s="61"/>
      <c r="AC528" s="299"/>
      <c r="AD528" s="61"/>
      <c r="AE528" s="299"/>
      <c r="AF528" s="61"/>
      <c r="AG528" s="299"/>
      <c r="AH528" s="61"/>
      <c r="AI528" s="299"/>
      <c r="AJ528" s="61"/>
      <c r="AK528" s="299"/>
      <c r="AL528" s="61"/>
      <c r="AM528" s="299"/>
      <c r="AN528" s="61"/>
      <c r="AO528" s="299"/>
      <c r="AP528" s="61"/>
      <c r="AQ528" s="301"/>
      <c r="AR528" s="61"/>
      <c r="AS528" s="301"/>
      <c r="AT528" s="61"/>
      <c r="AU528" s="301"/>
      <c r="AV528" s="61"/>
      <c r="AW528" s="301"/>
      <c r="AX528" s="61"/>
      <c r="AY528" s="301"/>
      <c r="AZ528" s="61"/>
      <c r="BA528" s="301"/>
      <c r="BB528" s="61"/>
      <c r="BC528" s="301"/>
      <c r="BD528" s="61"/>
      <c r="BE528" s="301"/>
      <c r="BF528" s="61"/>
      <c r="BG528" s="529"/>
      <c r="BH528" s="61"/>
      <c r="BI528" s="301"/>
      <c r="BJ528" s="61"/>
      <c r="BK528" s="529"/>
      <c r="BL528" s="61"/>
      <c r="BM528" s="301"/>
      <c r="BN528" s="61"/>
      <c r="BO528" s="301"/>
      <c r="BP528" s="61"/>
      <c r="BQ528" s="301"/>
      <c r="BR528" s="61"/>
      <c r="BS528" s="301"/>
      <c r="BT528" s="61"/>
      <c r="BU528" s="301"/>
      <c r="BV528" s="61"/>
      <c r="BW528" s="301"/>
      <c r="BX528" s="61"/>
      <c r="BY528" s="301"/>
      <c r="BZ528" s="61"/>
      <c r="CA528" s="301"/>
      <c r="CB528" s="61"/>
      <c r="CC528" s="301"/>
      <c r="CD528" s="61"/>
      <c r="CE528" s="301"/>
      <c r="CF528" s="61"/>
      <c r="CG528" s="301"/>
      <c r="CH528" s="61"/>
      <c r="CI528" s="301"/>
      <c r="CJ528" s="61"/>
      <c r="CK528" s="301"/>
      <c r="CL528" s="61"/>
      <c r="CM528" s="301"/>
      <c r="CN528" s="61"/>
      <c r="CO528" s="301"/>
      <c r="CP528" s="61"/>
      <c r="CQ528" s="301"/>
      <c r="CR528" s="61"/>
      <c r="CS528" s="301"/>
      <c r="CT528" s="61"/>
      <c r="CU528" s="301"/>
      <c r="CV528" s="61"/>
      <c r="CW528" s="301"/>
      <c r="CX528" s="61"/>
      <c r="CY528" s="301"/>
      <c r="CZ528" s="61"/>
      <c r="DA528" s="301"/>
      <c r="DB528" s="61"/>
      <c r="DC528" s="301"/>
      <c r="DD528" s="61"/>
      <c r="DE528" s="301"/>
      <c r="DF528" s="61"/>
      <c r="DG528" s="301"/>
      <c r="DH528" s="61"/>
      <c r="DI528" s="301"/>
      <c r="DJ528" s="61"/>
      <c r="DK528" s="301"/>
      <c r="DL528" s="61"/>
      <c r="DM528" s="301"/>
      <c r="DN528" s="61"/>
      <c r="DO528" s="301"/>
      <c r="DP528" s="61"/>
      <c r="DQ528" s="301"/>
      <c r="DR528" s="61"/>
      <c r="DS528" s="301"/>
      <c r="DT528" s="61"/>
      <c r="DU528" s="301"/>
      <c r="DV528" s="61"/>
      <c r="DW528" s="301"/>
      <c r="DX528" s="301"/>
      <c r="DY528" s="301"/>
      <c r="DZ528" s="61"/>
      <c r="EA528" s="301"/>
      <c r="EB528" s="61"/>
      <c r="EC528" s="301"/>
      <c r="ED528" s="61"/>
      <c r="EE528" s="301"/>
      <c r="EF528" s="61"/>
      <c r="EG528" s="301"/>
      <c r="EH528" s="61"/>
      <c r="EI528" s="301"/>
      <c r="EJ528" s="61"/>
      <c r="EK528" s="301"/>
      <c r="EL528" s="61"/>
      <c r="EM528" s="301"/>
      <c r="EN528" s="61"/>
      <c r="EO528" s="301"/>
      <c r="EP528" s="61"/>
      <c r="EQ528" s="301"/>
      <c r="ER528" s="61"/>
      <c r="ES528" s="301"/>
      <c r="ET528" s="61"/>
      <c r="EU528" s="301"/>
      <c r="EV528" s="61"/>
      <c r="EW528" s="301"/>
      <c r="EX528" s="61"/>
      <c r="EY528" s="302"/>
      <c r="EZ528" s="558"/>
      <c r="FA528" s="302"/>
      <c r="FB528" s="147"/>
      <c r="FC528" s="147"/>
      <c r="FD528" s="147"/>
      <c r="FE528" s="303"/>
      <c r="FF528" s="147"/>
      <c r="FG528" s="303"/>
      <c r="FH528" s="147"/>
      <c r="FI528" s="303"/>
      <c r="FJ528" s="147"/>
      <c r="FK528" s="303"/>
      <c r="FL528" s="147"/>
      <c r="FM528" s="304"/>
      <c r="FN528" s="147"/>
      <c r="FO528" s="304"/>
      <c r="FP528" s="301"/>
      <c r="FQ528" s="61"/>
      <c r="FR528" s="301"/>
      <c r="FS528" s="61"/>
      <c r="FT528" s="529"/>
      <c r="FU528" s="61"/>
      <c r="FV528" s="529"/>
      <c r="FW528" s="61"/>
      <c r="FX528" s="301"/>
      <c r="FY528" s="61"/>
      <c r="FZ528" s="301"/>
      <c r="GA528" s="61"/>
      <c r="GB528" s="301"/>
      <c r="GC528" s="61"/>
      <c r="GD528" s="301"/>
      <c r="GE528" s="61"/>
      <c r="GF528" s="301"/>
      <c r="GG528" s="61"/>
      <c r="GH528" s="301"/>
      <c r="GI528" s="61"/>
      <c r="GJ528" s="301"/>
      <c r="GK528" s="61"/>
      <c r="GL528" s="301"/>
      <c r="GM528" s="61"/>
      <c r="GN528" s="301"/>
      <c r="GO528" s="61"/>
      <c r="GP528" s="301"/>
      <c r="GQ528" s="61"/>
      <c r="GR528" s="301"/>
      <c r="GS528" s="61"/>
      <c r="GT528" s="301"/>
      <c r="GU528" s="61"/>
      <c r="GV528" s="301"/>
      <c r="GW528" s="61"/>
      <c r="GX528" s="301"/>
      <c r="GY528" s="61"/>
      <c r="GZ528" s="61" t="str">
        <f>IF(ISERROR((GX528/GN528)^0.2),"",IF(OR((GX528/GN528)^0.2&lt;0.5,(GX528/GN528)^0.2&gt;2),"NM",((GX528/GN528)^0.2-1)*100))</f>
        <v/>
      </c>
      <c r="HA528" s="61"/>
      <c r="HB528" s="452"/>
      <c r="HC528"/>
      <c r="HD528"/>
      <c r="HE528"/>
      <c r="HF528"/>
      <c r="HG528"/>
      <c r="HH528"/>
    </row>
    <row r="529" spans="1:216" s="311" customFormat="1" ht="12.75" hidden="1" customHeight="1" outlineLevel="1" x14ac:dyDescent="0.2">
      <c r="B529" s="2" t="s">
        <v>10</v>
      </c>
      <c r="C529" s="120"/>
      <c r="D529" s="67"/>
      <c r="E529" s="120"/>
      <c r="F529" s="66"/>
      <c r="G529" s="299"/>
      <c r="H529" s="66"/>
      <c r="I529" s="120"/>
      <c r="J529" s="66"/>
      <c r="K529" s="120"/>
      <c r="L529" s="61"/>
      <c r="M529" s="120"/>
      <c r="N529" s="61"/>
      <c r="O529" s="299"/>
      <c r="P529" s="61"/>
      <c r="Q529" s="299"/>
      <c r="R529" s="61"/>
      <c r="S529" s="299"/>
      <c r="T529" s="61"/>
      <c r="U529" s="64"/>
      <c r="V529" s="61"/>
      <c r="W529" s="299"/>
      <c r="X529" s="61"/>
      <c r="Y529" s="299"/>
      <c r="Z529" s="61"/>
      <c r="AA529" s="299"/>
      <c r="AB529" s="61"/>
      <c r="AC529" s="299"/>
      <c r="AD529" s="61"/>
      <c r="AE529" s="299"/>
      <c r="AF529" s="61"/>
      <c r="AG529" s="299"/>
      <c r="AH529" s="61"/>
      <c r="AI529" s="299"/>
      <c r="AJ529" s="61"/>
      <c r="AK529" s="299"/>
      <c r="AL529" s="61"/>
      <c r="AM529" s="299"/>
      <c r="AN529" s="61"/>
      <c r="AO529" s="299"/>
      <c r="AP529" s="61"/>
      <c r="AQ529" s="301">
        <f>AQ430</f>
        <v>10.030000000000006</v>
      </c>
      <c r="AR529" s="61" t="str">
        <f>IF(ISERROR((AQ529/AI529-1)*100),"NA",IF(((AQ529/AI529-1)*100)&gt;100,"NM",IF(((AQ529/AI529-1)*100)&lt;-50,"NM",(AQ529/AI529-1)*100)))</f>
        <v>NA</v>
      </c>
      <c r="AS529" s="301">
        <f>AS430</f>
        <v>10.260000000000007</v>
      </c>
      <c r="AT529" s="61" t="str">
        <f>IF(ISERROR((AS529/AK529-1)*100),"NA",IF(((AS529/AK529-1)*100)&gt;100,"NM",IF(((AS529/AK529-1)*100)&lt;-50,"NM",(AS529/AK529-1)*100)))</f>
        <v>NA</v>
      </c>
      <c r="AU529" s="301">
        <f>AU430</f>
        <v>9.5600000000000094</v>
      </c>
      <c r="AV529" s="61" t="str">
        <f>IF(ISERROR((AU529/AM529-1)*100),"NA",IF(((AU529/AM529-1)*100)&gt;100,"NM",IF(((AU529/AM529-1)*100)&lt;-50,"NM",(AU529/AM529-1)*100)))</f>
        <v>NA</v>
      </c>
      <c r="AW529" s="301">
        <f>AW430</f>
        <v>13.460000000000003</v>
      </c>
      <c r="AX529" s="61" t="str">
        <f>IF(ISERROR((AW529/AO529-1)*100),"NA",IF(((AW529/AO529-1)*100)&gt;100,"NM",IF(((AW529/AO529-1)*100)&lt;-50,"NM",(AW529/AO529-1)*100)))</f>
        <v>NA</v>
      </c>
      <c r="AY529" s="301">
        <f>AY430</f>
        <v>10.66</v>
      </c>
      <c r="AZ529" s="61">
        <f>IF(ISERROR((AY529/AQ529-1)*100),"NA",IF(((AY529/AQ529-1)*100)&gt;100,"NM",IF(((AY529/AQ529-1)*100)&lt;-50,"NM",(AY529/AQ529-1)*100)))</f>
        <v>6.2811565304087047</v>
      </c>
      <c r="BA529" s="301">
        <f>BA430</f>
        <v>9.659999999999993</v>
      </c>
      <c r="BB529" s="61">
        <f>IF(ISERROR((BA529/AS529-1)*100),"NA",IF(((BA529/AS529-1)*100)&gt;100,"NM",IF(((BA529/AS529-1)*100)&lt;-50,"NM",(BA529/AS529-1)*100)))</f>
        <v>-5.8479532163744015</v>
      </c>
      <c r="BC529" s="301">
        <f>BC430</f>
        <v>11.259999999999998</v>
      </c>
      <c r="BD529" s="61">
        <f>IF(ISERROR((BC529/AU529-1)*100),"NA",IF(((BC529/AU529-1)*100)&gt;100,"NM",IF(((BC529/AU529-1)*100)&lt;-50,"NM",(BC529/AU529-1)*100)))</f>
        <v>17.782426778242531</v>
      </c>
      <c r="BE529" s="301">
        <f>BE430</f>
        <v>9.8599999999999977</v>
      </c>
      <c r="BF529" s="61">
        <f>IF(ISERROR((BE529/AW529-1)*100),"NA",IF(((BE529/AW529-1)*100)&gt;100,"NM",IF(((BE529/AW529-1)*100)&lt;-50,"NM",(BE529/AW529-1)*100)))</f>
        <v>-26.745913818722165</v>
      </c>
      <c r="BG529" s="531"/>
      <c r="BH529" s="324"/>
      <c r="BI529" s="524"/>
      <c r="BJ529" s="324"/>
      <c r="BK529" s="531"/>
      <c r="BL529" s="324"/>
      <c r="BM529" s="524"/>
      <c r="BN529" s="324"/>
      <c r="BO529" s="524"/>
      <c r="BP529" s="324"/>
      <c r="BQ529" s="524"/>
      <c r="BR529" s="324"/>
      <c r="BS529" s="524"/>
      <c r="BT529" s="324"/>
      <c r="BU529" s="524"/>
      <c r="BV529" s="324"/>
      <c r="BW529" s="524"/>
      <c r="BX529" s="324"/>
      <c r="BY529" s="524"/>
      <c r="BZ529" s="324"/>
      <c r="CA529" s="524"/>
      <c r="CB529" s="324"/>
      <c r="CC529" s="524"/>
      <c r="CD529" s="324"/>
      <c r="CE529" s="524"/>
      <c r="CF529" s="324"/>
      <c r="CG529" s="524"/>
      <c r="CH529" s="324"/>
      <c r="CI529" s="524"/>
      <c r="CJ529" s="324"/>
      <c r="CK529" s="524"/>
      <c r="CL529" s="324"/>
      <c r="CM529" s="524"/>
      <c r="CN529" s="324"/>
      <c r="CO529" s="524"/>
      <c r="CP529" s="324"/>
      <c r="CQ529" s="524"/>
      <c r="CR529" s="324"/>
      <c r="CS529" s="524"/>
      <c r="CT529" s="324"/>
      <c r="CU529" s="524"/>
      <c r="CV529" s="324"/>
      <c r="CW529" s="524"/>
      <c r="CX529" s="324"/>
      <c r="CY529" s="524"/>
      <c r="CZ529" s="324"/>
      <c r="DA529" s="524"/>
      <c r="DB529" s="324"/>
      <c r="DC529" s="524"/>
      <c r="DD529" s="324"/>
      <c r="DE529" s="524"/>
      <c r="DF529" s="324"/>
      <c r="DG529" s="524"/>
      <c r="DH529" s="324"/>
      <c r="DI529" s="524"/>
      <c r="DJ529" s="324"/>
      <c r="DK529" s="524"/>
      <c r="DL529" s="324"/>
      <c r="DM529" s="524"/>
      <c r="DN529" s="324"/>
      <c r="DO529" s="524"/>
      <c r="DP529" s="324"/>
      <c r="DQ529" s="524"/>
      <c r="DR529" s="324"/>
      <c r="DS529" s="524"/>
      <c r="DT529" s="324"/>
      <c r="DU529" s="524"/>
      <c r="DV529" s="324"/>
      <c r="DW529" s="524"/>
      <c r="DX529" s="524"/>
      <c r="DY529" s="524"/>
      <c r="DZ529" s="324"/>
      <c r="EA529" s="524"/>
      <c r="EB529" s="324"/>
      <c r="EC529" s="524"/>
      <c r="ED529" s="324"/>
      <c r="EE529" s="524"/>
      <c r="EF529" s="324"/>
      <c r="EG529" s="524"/>
      <c r="EH529" s="324"/>
      <c r="EI529" s="524"/>
      <c r="EJ529" s="324"/>
      <c r="EK529" s="524"/>
      <c r="EL529" s="324"/>
      <c r="EM529" s="524"/>
      <c r="EN529" s="324"/>
      <c r="EO529" s="524"/>
      <c r="EP529" s="324"/>
      <c r="EQ529" s="524"/>
      <c r="ER529" s="324"/>
      <c r="ES529" s="524"/>
      <c r="ET529" s="324"/>
      <c r="EU529" s="524"/>
      <c r="EV529" s="324"/>
      <c r="EW529" s="524"/>
      <c r="EX529" s="324"/>
      <c r="EY529" s="302"/>
      <c r="EZ529" s="558"/>
      <c r="FA529" s="302"/>
      <c r="FB529" s="147"/>
      <c r="FC529" s="147"/>
      <c r="FD529" s="147"/>
      <c r="FE529" s="303"/>
      <c r="FF529" s="147"/>
      <c r="FG529" s="303"/>
      <c r="FH529" s="147"/>
      <c r="FI529" s="303"/>
      <c r="FJ529" s="147"/>
      <c r="FK529" s="303"/>
      <c r="FL529" s="147"/>
      <c r="FM529" s="304"/>
      <c r="FN529" s="147"/>
      <c r="FO529" s="304"/>
      <c r="FP529" s="301">
        <f>AQ529+AS529+AU529+AW529</f>
        <v>43.310000000000024</v>
      </c>
      <c r="FQ529" s="61" t="str">
        <f>IF(ISERROR((FP529/FH529-1)*100),"NA",IF(((FP529/FH529-1)*100)&gt;100,"NM",IF(((FP529/FH529-1)*100)&lt;-50,"NM",(FP529/FH529-1)*100)))</f>
        <v>NA</v>
      </c>
      <c r="FR529" s="301">
        <f>AY529+BA529+BC529+BE529</f>
        <v>41.439999999999991</v>
      </c>
      <c r="FS529" s="61" t="str">
        <f>IF(ISERROR((FR529/FJ529-1)*100),"NA",IF(((FR529/FJ529-1)*100)&gt;100,"NM",IF(((FR529/FJ529-1)*100)&lt;-50,"NM",(FR529/FJ529-1)*100)))</f>
        <v>NA</v>
      </c>
      <c r="FT529" s="531"/>
      <c r="FU529" s="324"/>
      <c r="FV529" s="531"/>
      <c r="FW529" s="324"/>
      <c r="FX529" s="524"/>
      <c r="FY529" s="324"/>
      <c r="FZ529" s="524"/>
      <c r="GA529" s="324"/>
      <c r="GB529" s="524"/>
      <c r="GC529" s="324"/>
      <c r="GD529" s="524"/>
      <c r="GE529" s="524"/>
      <c r="GF529" s="524"/>
      <c r="GG529" s="524"/>
      <c r="GH529" s="524"/>
      <c r="GI529" s="524"/>
      <c r="GJ529" s="524"/>
      <c r="GK529" s="524"/>
      <c r="GL529" s="524"/>
      <c r="GM529" s="524"/>
      <c r="GN529" s="524"/>
      <c r="GO529" s="524"/>
      <c r="GP529" s="524"/>
      <c r="GQ529" s="524"/>
      <c r="GR529" s="524"/>
      <c r="GS529" s="524"/>
      <c r="GT529" s="524"/>
      <c r="GU529" s="524"/>
      <c r="GV529" s="524"/>
      <c r="GW529" s="524"/>
      <c r="GX529" s="524"/>
      <c r="GY529" s="524"/>
      <c r="GZ529" s="324"/>
      <c r="HA529" s="324"/>
      <c r="HB529" s="452"/>
      <c r="HC529"/>
      <c r="HD529"/>
      <c r="HE529"/>
      <c r="HF529"/>
      <c r="HG529"/>
      <c r="HH529"/>
    </row>
    <row r="530" spans="1:216" s="311" customFormat="1" ht="12.75" hidden="1" customHeight="1" outlineLevel="1" x14ac:dyDescent="0.2">
      <c r="B530" s="2" t="s">
        <v>461</v>
      </c>
      <c r="C530" s="120"/>
      <c r="D530" s="67"/>
      <c r="E530" s="120"/>
      <c r="F530" s="66"/>
      <c r="G530" s="299"/>
      <c r="H530" s="66"/>
      <c r="I530" s="120"/>
      <c r="J530" s="66"/>
      <c r="K530" s="120"/>
      <c r="L530" s="61"/>
      <c r="M530" s="120"/>
      <c r="N530" s="61"/>
      <c r="O530" s="299"/>
      <c r="P530" s="61"/>
      <c r="Q530" s="299"/>
      <c r="R530" s="61"/>
      <c r="S530" s="299"/>
      <c r="T530" s="61"/>
      <c r="U530" s="64"/>
      <c r="V530" s="61"/>
      <c r="W530" s="299"/>
      <c r="X530" s="61"/>
      <c r="Y530" s="299"/>
      <c r="Z530" s="61"/>
      <c r="AA530" s="299"/>
      <c r="AB530" s="61"/>
      <c r="AC530" s="299"/>
      <c r="AD530" s="61"/>
      <c r="AE530" s="299"/>
      <c r="AF530" s="61"/>
      <c r="AG530" s="299"/>
      <c r="AH530" s="61"/>
      <c r="AI530" s="299"/>
      <c r="AJ530" s="61"/>
      <c r="AK530" s="299"/>
      <c r="AL530" s="61"/>
      <c r="AM530" s="299"/>
      <c r="AN530" s="61"/>
      <c r="AO530" s="299"/>
      <c r="AP530" s="61"/>
      <c r="AQ530" s="151">
        <f>AQ461</f>
        <v>11.048999999999999</v>
      </c>
      <c r="AR530" s="61" t="str">
        <f>IF(ISERROR((AQ530/AI530-1)*100),"NA",IF(((AQ530/AI530-1)*100)&gt;100,"NM",IF(((AQ530/AI530-1)*100)&lt;-50,"NM",(AQ530/AI530-1)*100)))</f>
        <v>NA</v>
      </c>
      <c r="AS530" s="151">
        <f>AS461</f>
        <v>14.963999999999999</v>
      </c>
      <c r="AT530" s="61" t="str">
        <f>IF(ISERROR((AS530/AK530-1)*100),"NA",IF(((AS530/AK530-1)*100)&gt;100,"NM",IF(((AS530/AK530-1)*100)&lt;-50,"NM",(AS530/AK530-1)*100)))</f>
        <v>NA</v>
      </c>
      <c r="AU530" s="151">
        <f>AU461</f>
        <v>13.899999999999999</v>
      </c>
      <c r="AV530" s="61" t="str">
        <f>IF(ISERROR((AU530/AM530-1)*100),"NA",IF(((AU530/AM530-1)*100)&gt;100,"NM",IF(((AU530/AM530-1)*100)&lt;-50,"NM",(AU530/AM530-1)*100)))</f>
        <v>NA</v>
      </c>
      <c r="AW530" s="151">
        <f>AW461</f>
        <v>17.711000000000002</v>
      </c>
      <c r="AX530" s="61" t="str">
        <f>IF(ISERROR((AW530/AO530-1)*100),"NA",IF(((AW530/AO530-1)*100)&gt;100,"NM",IF(((AW530/AO530-1)*100)&lt;-50,"NM",(AW530/AO530-1)*100)))</f>
        <v>NA</v>
      </c>
      <c r="AY530" s="151">
        <f>AY461</f>
        <v>11.2</v>
      </c>
      <c r="AZ530" s="61">
        <f>IF(ISERROR((AY530/AQ530-1)*100),"NA",IF(((AY530/AQ530-1)*100)&gt;100,"NM",IF(((AY530/AQ530-1)*100)&lt;-50,"NM",(AY530/AQ530-1)*100)))</f>
        <v>1.3666395148882238</v>
      </c>
      <c r="BA530" s="151">
        <f>BA461</f>
        <v>-3.7</v>
      </c>
      <c r="BB530" s="61" t="str">
        <f>IF(ISERROR((BA530/AS530-1)*100),"NA",IF(((BA530/AS530-1)*100)&gt;100,"NM",IF(((BA530/AS530-1)*100)&lt;-50,"NM",(BA530/AS530-1)*100)))</f>
        <v>NM</v>
      </c>
      <c r="BC530" s="151">
        <f>BC461</f>
        <v>14.600000000000001</v>
      </c>
      <c r="BD530" s="61">
        <f>IF(ISERROR((BC530/AU530-1)*100),"NA",IF(((BC530/AU530-1)*100)&gt;100,"NM",IF(((BC530/AU530-1)*100)&lt;-50,"NM",(BC530/AU530-1)*100)))</f>
        <v>5.0359712230215958</v>
      </c>
      <c r="BE530" s="151">
        <f>BE461</f>
        <v>17.5</v>
      </c>
      <c r="BF530" s="61">
        <f>IF(ISERROR((BE530/AW530-1)*100),"NA",IF(((BE530/AW530-1)*100)&gt;100,"NM",IF(((BE530/AW530-1)*100)&lt;-50,"NM",(BE530/AW530-1)*100)))</f>
        <v>-1.1913500084693274</v>
      </c>
      <c r="BG530" s="533"/>
      <c r="BH530" s="324"/>
      <c r="BI530" s="332"/>
      <c r="BJ530" s="324"/>
      <c r="BK530" s="533"/>
      <c r="BL530" s="324"/>
      <c r="BM530" s="332"/>
      <c r="BN530" s="324"/>
      <c r="BO530" s="332"/>
      <c r="BP530" s="324"/>
      <c r="BQ530" s="332"/>
      <c r="BR530" s="324"/>
      <c r="BS530" s="332"/>
      <c r="BT530" s="324"/>
      <c r="BU530" s="332"/>
      <c r="BV530" s="324"/>
      <c r="BW530" s="332"/>
      <c r="BX530" s="324"/>
      <c r="BY530" s="332"/>
      <c r="BZ530" s="324"/>
      <c r="CA530" s="332"/>
      <c r="CB530" s="324"/>
      <c r="CC530" s="332"/>
      <c r="CD530" s="324"/>
      <c r="CE530" s="332"/>
      <c r="CF530" s="324"/>
      <c r="CG530" s="332"/>
      <c r="CH530" s="324"/>
      <c r="CI530" s="332"/>
      <c r="CJ530" s="324"/>
      <c r="CK530" s="332"/>
      <c r="CL530" s="324"/>
      <c r="CM530" s="332"/>
      <c r="CN530" s="324"/>
      <c r="CO530" s="525"/>
      <c r="CP530" s="324"/>
      <c r="CQ530" s="525"/>
      <c r="CR530" s="324"/>
      <c r="CS530" s="525"/>
      <c r="CT530" s="324"/>
      <c r="CU530" s="525"/>
      <c r="CV530" s="324"/>
      <c r="CW530" s="525"/>
      <c r="CX530" s="324"/>
      <c r="CY530" s="525"/>
      <c r="CZ530" s="324"/>
      <c r="DA530" s="525"/>
      <c r="DB530" s="324"/>
      <c r="DC530" s="525"/>
      <c r="DD530" s="324"/>
      <c r="DE530" s="525"/>
      <c r="DF530" s="324"/>
      <c r="DG530" s="525"/>
      <c r="DH530" s="324"/>
      <c r="DI530" s="525"/>
      <c r="DJ530" s="324"/>
      <c r="DK530" s="525"/>
      <c r="DL530" s="324"/>
      <c r="DM530" s="525"/>
      <c r="DN530" s="324"/>
      <c r="DO530" s="525"/>
      <c r="DP530" s="324"/>
      <c r="DQ530" s="525"/>
      <c r="DR530" s="324"/>
      <c r="DS530" s="525"/>
      <c r="DT530" s="324"/>
      <c r="DU530" s="525"/>
      <c r="DV530" s="324"/>
      <c r="DW530" s="525"/>
      <c r="DX530" s="525"/>
      <c r="DY530" s="525"/>
      <c r="DZ530" s="324"/>
      <c r="EA530" s="525"/>
      <c r="EB530" s="324"/>
      <c r="EC530" s="525"/>
      <c r="ED530" s="324"/>
      <c r="EE530" s="525"/>
      <c r="EF530" s="324"/>
      <c r="EG530" s="525"/>
      <c r="EH530" s="324"/>
      <c r="EI530" s="525"/>
      <c r="EJ530" s="324"/>
      <c r="EK530" s="525"/>
      <c r="EL530" s="324"/>
      <c r="EM530" s="525"/>
      <c r="EN530" s="324"/>
      <c r="EO530" s="525"/>
      <c r="EP530" s="324"/>
      <c r="EQ530" s="332"/>
      <c r="ER530" s="324"/>
      <c r="ES530" s="332"/>
      <c r="ET530" s="324"/>
      <c r="EU530" s="332"/>
      <c r="EV530" s="324"/>
      <c r="EW530" s="332"/>
      <c r="EX530" s="324"/>
      <c r="EY530" s="302"/>
      <c r="EZ530" s="558"/>
      <c r="FA530" s="302"/>
      <c r="FB530" s="147"/>
      <c r="FC530" s="147"/>
      <c r="FD530" s="147"/>
      <c r="FE530" s="303"/>
      <c r="FF530" s="147"/>
      <c r="FG530" s="303"/>
      <c r="FH530" s="147"/>
      <c r="FI530" s="303"/>
      <c r="FJ530" s="147"/>
      <c r="FK530" s="303"/>
      <c r="FL530" s="147"/>
      <c r="FM530" s="304"/>
      <c r="FN530" s="147"/>
      <c r="FO530" s="304"/>
      <c r="FP530" s="301">
        <f>AQ530+AS530+AU530+AW530</f>
        <v>57.623999999999995</v>
      </c>
      <c r="FQ530" s="61" t="str">
        <f>IF(ISERROR((FP530/FH530-1)*100),"NA",IF(((FP530/FH530-1)*100)&gt;100,"NM",IF(((FP530/FH530-1)*100)&lt;-50,"NM",(FP530/FH530-1)*100)))</f>
        <v>NA</v>
      </c>
      <c r="FR530" s="301">
        <f>AY530+BA530+BC530+BE530</f>
        <v>39.6</v>
      </c>
      <c r="FS530" s="61" t="str">
        <f>IF(ISERROR((FR530/FJ530-1)*100),"NA",IF(((FR530/FJ530-1)*100)&gt;100,"NM",IF(((FR530/FJ530-1)*100)&lt;-50,"NM",(FR530/FJ530-1)*100)))</f>
        <v>NA</v>
      </c>
      <c r="FT530" s="533"/>
      <c r="FU530" s="324"/>
      <c r="FV530" s="533"/>
      <c r="FW530" s="324"/>
      <c r="FX530" s="332"/>
      <c r="FY530" s="324"/>
      <c r="FZ530" s="332"/>
      <c r="GA530" s="324"/>
      <c r="GB530" s="332"/>
      <c r="GC530" s="324"/>
      <c r="GD530" s="332"/>
      <c r="GE530" s="332"/>
      <c r="GF530" s="332"/>
      <c r="GG530" s="332"/>
      <c r="GH530" s="332"/>
      <c r="GI530" s="332"/>
      <c r="GJ530" s="332"/>
      <c r="GK530" s="332"/>
      <c r="GL530" s="332"/>
      <c r="GM530" s="332"/>
      <c r="GN530" s="332"/>
      <c r="GO530" s="332"/>
      <c r="GP530" s="332"/>
      <c r="GQ530" s="332"/>
      <c r="GR530" s="332"/>
      <c r="GS530" s="332"/>
      <c r="GT530" s="332"/>
      <c r="GU530" s="332"/>
      <c r="GV530" s="332"/>
      <c r="GW530" s="332"/>
      <c r="GX530" s="332"/>
      <c r="GY530" s="332"/>
      <c r="GZ530" s="324"/>
      <c r="HA530" s="324"/>
      <c r="HB530" s="452"/>
      <c r="HC530"/>
      <c r="HD530"/>
      <c r="HE530"/>
      <c r="HF530"/>
      <c r="HG530"/>
      <c r="HH530"/>
    </row>
    <row r="531" spans="1:216" s="5" customFormat="1" ht="12.75" customHeight="1" collapsed="1" x14ac:dyDescent="0.2">
      <c r="B531" s="2" t="s">
        <v>117</v>
      </c>
      <c r="C531" s="120"/>
      <c r="D531" s="67"/>
      <c r="E531" s="120"/>
      <c r="F531" s="66"/>
      <c r="G531" s="299"/>
      <c r="H531" s="66"/>
      <c r="I531" s="120"/>
      <c r="J531" s="66"/>
      <c r="K531" s="120"/>
      <c r="L531" s="61"/>
      <c r="M531" s="120"/>
      <c r="N531" s="61"/>
      <c r="O531" s="299"/>
      <c r="P531" s="61"/>
      <c r="Q531" s="299"/>
      <c r="R531" s="61"/>
      <c r="S531" s="299"/>
      <c r="T531" s="61"/>
      <c r="U531" s="64"/>
      <c r="V531" s="61"/>
      <c r="W531" s="299"/>
      <c r="X531" s="61"/>
      <c r="Y531" s="299"/>
      <c r="Z531" s="61"/>
      <c r="AA531" s="299"/>
      <c r="AB531" s="61"/>
      <c r="AC531" s="299"/>
      <c r="AD531" s="61"/>
      <c r="AE531" s="299"/>
      <c r="AF531" s="61"/>
      <c r="AG531" s="299"/>
      <c r="AH531" s="61"/>
      <c r="AI531" s="299"/>
      <c r="AJ531" s="61"/>
      <c r="AK531" s="299"/>
      <c r="AL531" s="61"/>
      <c r="AM531" s="299"/>
      <c r="AN531" s="61"/>
      <c r="AO531" s="299"/>
      <c r="AP531" s="61"/>
      <c r="AQ531" s="301">
        <f>AQ487</f>
        <v>-3.3999999999999977</v>
      </c>
      <c r="AR531" s="61" t="str">
        <f>IF(ISERROR((AQ531/AI531-1)*100),"NA",IF(((AQ531/AI531-1)*100)&gt;100,"NM",IF(((AQ531/AI531-1)*100)&lt;-50,"NM",(AQ531/AI531-1)*100)))</f>
        <v>NA</v>
      </c>
      <c r="AS531" s="301">
        <f>AS487</f>
        <v>6.5999999999999872</v>
      </c>
      <c r="AT531" s="61" t="str">
        <f>IF(ISERROR((AS531/AK531-1)*100),"NA",IF(((AS531/AK531-1)*100)&gt;100,"NM",IF(((AS531/AK531-1)*100)&lt;-50,"NM",(AS531/AK531-1)*100)))</f>
        <v>NA</v>
      </c>
      <c r="AU531" s="301">
        <f>AU487</f>
        <v>7.5500000000000052</v>
      </c>
      <c r="AV531" s="61" t="str">
        <f>IF(ISERROR((AU531/AM531-1)*100),"NA",IF(((AU531/AM531-1)*100)&gt;100,"NM",IF(((AU531/AM531-1)*100)&lt;-50,"NM",(AU531/AM531-1)*100)))</f>
        <v>NA</v>
      </c>
      <c r="AW531" s="301">
        <f>AW487</f>
        <v>9.5000000000000018</v>
      </c>
      <c r="AX531" s="61" t="str">
        <f>IF(ISERROR((AW531/AO531-1)*100),"NA",IF(((AW531/AO531-1)*100)&gt;100,"NM",IF(((AW531/AO531-1)*100)&lt;-50,"NM",(AW531/AO531-1)*100)))</f>
        <v>NA</v>
      </c>
      <c r="AY531" s="301">
        <f>AY487</f>
        <v>0.20000000000000018</v>
      </c>
      <c r="AZ531" s="61" t="str">
        <f>IF(ISERROR((AY531/AQ531-1)*100),"NA",IF(((AY531/AQ531-1)*100)&gt;100,"NM",IF(((AY531/AQ531-1)*100)&lt;-50,"NM",(AY531/AQ531-1)*100)))</f>
        <v>NM</v>
      </c>
      <c r="BA531" s="301">
        <f>BA487</f>
        <v>-29</v>
      </c>
      <c r="BB531" s="61" t="str">
        <f>IF(ISERROR((BA531/AS531-1)*100),"NA",IF(((BA531/AS531-1)*100)&gt;100,"NM",IF(((BA531/AS531-1)*100)&lt;-50,"NM",(BA531/AS531-1)*100)))</f>
        <v>NM</v>
      </c>
      <c r="BC531" s="301">
        <f>BC487</f>
        <v>-24.4</v>
      </c>
      <c r="BD531" s="61" t="str">
        <f>IF(ISERROR((BC531/AU531-1)*100),"NA",IF(((BC531/AU531-1)*100)&gt;100,"NM",IF(((BC531/AU531-1)*100)&lt;-50,"NM",(BC531/AU531-1)*100)))</f>
        <v>NM</v>
      </c>
      <c r="BE531" s="301">
        <f>BE487</f>
        <v>-35.4</v>
      </c>
      <c r="BF531" s="61" t="str">
        <f>IF(ISERROR((BE531/AW531-1)*100),"NA",IF(((BE531/AW531-1)*100)&gt;100,"NM",IF(((BE531/AW531-1)*100)&lt;-50,"NM",(BE531/AW531-1)*100)))</f>
        <v>NM</v>
      </c>
      <c r="BG531" s="529">
        <f>BG487</f>
        <v>-28.100000000000005</v>
      </c>
      <c r="BH531" s="61" t="str">
        <f>IF(ISERROR((BG531/AY531-1)*100),"NA",IF(((BG531/AY531-1)*100)&gt;100,"NM",IF(((BG531/AY531-1)*100)&lt;-50,"NM",(BG531/AY531-1)*100)))</f>
        <v>NM</v>
      </c>
      <c r="BI531" s="301">
        <f>BI487</f>
        <v>-40.000000000000014</v>
      </c>
      <c r="BJ531" s="61">
        <f>IF(ISERROR((BI531/BA531-1)*100),"NA",IF(((BI531/BA531-1)*100)&gt;100,"NM",IF(((BI531/BA531-1)*100)&lt;-50,"NM",(BI531/BA531-1)*100)))</f>
        <v>37.931034482758676</v>
      </c>
      <c r="BK531" s="529">
        <f>BK487</f>
        <v>-41.800000000000018</v>
      </c>
      <c r="BL531" s="61">
        <f>IF(ISERROR((BK531/BC531-1)*100),"NA",IF(((BK531/BC531-1)*100)&gt;100,"NM",IF(((BK531/BC531-1)*100)&lt;-50,"NM",(BK531/BC531-1)*100)))</f>
        <v>71.311475409836163</v>
      </c>
      <c r="BM531" s="301">
        <f>BM487</f>
        <v>-41.299999999999969</v>
      </c>
      <c r="BN531" s="61">
        <f>IF(ISERROR((BM531/BE531-1)*100),"NA",IF(((BM531/BE531-1)*100)&gt;100,"NM",IF(((BM531/BE531-1)*100)&lt;-50,"NM",(BM531/BE531-1)*100)))</f>
        <v>16.666666666666586</v>
      </c>
      <c r="BO531" s="301">
        <f>BO487</f>
        <v>-38.299999999999997</v>
      </c>
      <c r="BP531" s="61">
        <f>IF(ISERROR((BO531/BG531-1)*100),"NA",IF(((BO531/BG531-1)*100)&gt;100,"NM",IF(((BO531/BG531-1)*100)&lt;-50,"NM",(BO531/BG531-1)*100)))</f>
        <v>36.298932384341612</v>
      </c>
      <c r="BQ531" s="301">
        <f>BQ487</f>
        <v>-44.70000000000001</v>
      </c>
      <c r="BR531" s="61">
        <f>IF(ISERROR((BQ531/BI531-1)*100),"NA",IF(((BQ531/BI531-1)*100)&gt;100,"NM",IF(((BQ531/BI531-1)*100)&lt;-50,"NM",(BQ531/BI531-1)*100)))</f>
        <v>11.749999999999993</v>
      </c>
      <c r="BS531" s="301">
        <f>BS487</f>
        <v>-39.9</v>
      </c>
      <c r="BT531" s="61">
        <f>IF(ISERROR((BS531/BK531-1)*100),"NA",IF(((BS531/BK531-1)*100)&gt;100,"NM",IF(((BS531/BK531-1)*100)&lt;-50,"NM",(BS531/BK531-1)*100)))</f>
        <v>-4.5454545454545858</v>
      </c>
      <c r="BU531" s="301">
        <f>BU487</f>
        <v>-41.2</v>
      </c>
      <c r="BV531" s="61">
        <f>IF(ISERROR((BU531/BM531-1)*100),"NA",IF(((BU531/BM531-1)*100)&gt;100,"NM",IF(((BU531/BM531-1)*100)&lt;-50,"NM",(BU531/BM531-1)*100)))</f>
        <v>-0.24213075060524059</v>
      </c>
      <c r="BW531" s="312">
        <f>BW487</f>
        <v>-76.100000000000009</v>
      </c>
      <c r="BX531" s="61">
        <f>IF(ISERROR((BW531/BO531-1)*100),"NA",IF(((BW531/BO531-1)*100)&gt;100,"NM",IF(((BW531/BO531-1)*100)&lt;-50,"NM",(BW531/BO531-1)*100)))</f>
        <v>98.694516971279398</v>
      </c>
      <c r="BY531" s="301">
        <f>BY487</f>
        <v>-52.299999999999983</v>
      </c>
      <c r="BZ531" s="61">
        <f>IF(ISERROR((BY531/BQ531-1)*100),"NA",IF(((BY531/BQ531-1)*100)&gt;100,"NM",IF(((BY531/BQ531-1)*100)&lt;-50,"NM",(BY531/BQ531-1)*100)))</f>
        <v>17.002237136465268</v>
      </c>
      <c r="CA531" s="301">
        <f>CA487</f>
        <v>-32.6</v>
      </c>
      <c r="CB531" s="61">
        <f>IF(ISERROR((CA531/BS531-1)*100),"NA",IF(((CA531/BS531-1)*100)&gt;100,"NM",IF(((CA531/BS531-1)*100)&lt;-50,"NM",(CA531/BS531-1)*100)))</f>
        <v>-18.295739348370923</v>
      </c>
      <c r="CC531" s="301">
        <f>CC487</f>
        <v>-28.499999999999986</v>
      </c>
      <c r="CD531" s="61">
        <f>IF(ISERROR((CC531/BU531-1)*100),"NA",IF(((CC531/BU531-1)*100)&gt;100,"NM",IF(((CC531/BU531-1)*100)&lt;-50,"NM",(CC531/BU531-1)*100)))</f>
        <v>-30.825242718446646</v>
      </c>
      <c r="CE531" s="301">
        <f>CE487</f>
        <v>-32.6</v>
      </c>
      <c r="CF531" s="61" t="str">
        <f>IF(ISERROR((CE531/BW531-1)*100),"NA",IF(((CE531/BW531-1)*100)&gt;100,"NM",IF(((CE531/BW531-1)*100)&lt;-50,"NM",(CE531/BW531-1)*100)))</f>
        <v>NM</v>
      </c>
      <c r="CG531" s="301">
        <f>CG487</f>
        <v>-36.1</v>
      </c>
      <c r="CH531" s="61">
        <f>IF(ISERROR((CG531/BY531-1)*100),"NA",IF(((CG531/BY531-1)*100)&gt;100,"NM",IF(((CG531/BY531-1)*100)&lt;-50,"NM",(CG531/BY531-1)*100)))</f>
        <v>-30.975143403441663</v>
      </c>
      <c r="CI531" s="301">
        <f>CI487</f>
        <v>-35.700000000000003</v>
      </c>
      <c r="CJ531" s="61">
        <f>IF(ISERROR((CI531/CA531-1)*100),"NA",IF(((CI531/CA531-1)*100)&gt;100,"NM",IF(((CI531/CA531-1)*100)&lt;-50,"NM",(CI531/CA531-1)*100)))</f>
        <v>9.5092024539877418</v>
      </c>
      <c r="CK531" s="301">
        <f>CK487</f>
        <v>-32.700000000000017</v>
      </c>
      <c r="CL531" s="61">
        <f>IF(ISERROR((CK531/CC531-1)*100),"NA",IF(((CK531/CC531-1)*100)&gt;100,"NM",IF(((CK531/CC531-1)*100)&lt;-50,"NM",(CK531/CC531-1)*100)))</f>
        <v>14.736842105263271</v>
      </c>
      <c r="CM531" s="301">
        <f>CM487</f>
        <v>-35.900000000000006</v>
      </c>
      <c r="CN531" s="61">
        <f>IF(ISERROR((CM531/CE531-1)*100),"NA",IF(((CM531/CE531-1)*100)&gt;100,"NM",IF(((CM531/CE531-1)*100)&lt;-50,"NM",(CM531/CE531-1)*100)))</f>
        <v>10.122699386503076</v>
      </c>
      <c r="CO531" s="301">
        <f>CO487</f>
        <v>-36</v>
      </c>
      <c r="CP531" s="61">
        <f>IF(ISERROR((CO531/CG531-1)*100),"NA",IF(((CO531/CG531-1)*100)&gt;100,"NM",IF(((CO531/CG531-1)*100)&lt;-50,"NM",(CO531/CG531-1)*100)))</f>
        <v>-0.27700831024931594</v>
      </c>
      <c r="CQ531" s="301">
        <f>CQ487</f>
        <v>-31.9</v>
      </c>
      <c r="CR531" s="61">
        <f>IF(ISERROR((CQ531/CI531-1)*100),"NA",IF(((CQ531/CI531-1)*100)&gt;100,"NM",IF(((CQ531/CI531-1)*100)&lt;-50,"NM",(CQ531/CI531-1)*100)))</f>
        <v>-10.644257703081239</v>
      </c>
      <c r="CS531" s="301">
        <f>CS487</f>
        <v>-35</v>
      </c>
      <c r="CT531" s="61">
        <f>IF(ISERROR((CS531/CK531-1)*100),"NA",IF(((CS531/CK531-1)*100)&gt;100,"NM",IF(((CS531/CK531-1)*100)&lt;-50,"NM",(CS531/CK531-1)*100)))</f>
        <v>7.0336391437308299</v>
      </c>
      <c r="CU531" s="301">
        <f>CU487</f>
        <v>-34</v>
      </c>
      <c r="CV531" s="61">
        <f>IF(ISERROR((CU531/CM531-1)*100),"NA",IF(((CU531/CM531-1)*100)&gt;100,"NM",IF(((CU531/CM531-1)*100)&lt;-50,"NM",(CU531/CM531-1)*100)))</f>
        <v>-5.2924791086351171</v>
      </c>
      <c r="CW531" s="301">
        <f>CW487</f>
        <v>-34</v>
      </c>
      <c r="CX531" s="61">
        <f>IF(ISERROR((CW531/CO531-1)*100),"NA",IF(((CW531/CO531-1)*100)&gt;100,"NM",IF(((CW531/CO531-1)*100)&lt;-50,"NM",(CW531/CO531-1)*100)))</f>
        <v>-5.555555555555558</v>
      </c>
      <c r="CY531" s="301">
        <f>CY487</f>
        <v>-3</v>
      </c>
      <c r="CZ531" s="61" t="str">
        <f>IF(ISERROR((CY531/CQ531-1)*100),"NA",IF(((CY531/CQ531-1)*100)&gt;100,"NM",IF(((CY531/CQ531-1)*100)&lt;-50,"NM",(CY531/CQ531-1)*100)))</f>
        <v>NM</v>
      </c>
      <c r="DA531" s="301">
        <f>DA487</f>
        <v>-35</v>
      </c>
      <c r="DB531" s="61">
        <f>IF(ISERROR((DA531/CS531-1)*100),"NA",IF(((DA531/CS531-1)*100)&gt;100,"NM",IF(((DA531/CS531-1)*100)&lt;-50,"NM",(DA531/CS531-1)*100)))</f>
        <v>0</v>
      </c>
      <c r="DC531" s="301">
        <f>DC487</f>
        <v>-27</v>
      </c>
      <c r="DD531" s="61">
        <f>IF(ISERROR((DC531/CU531-1)*100),"NA",IF(((DC531/CU531-1)*100)&gt;100,"NM",IF(((DC531/CU531-1)*100)&lt;-50,"NM",(DC531/CU531-1)*100)))</f>
        <v>-20.588235294117652</v>
      </c>
      <c r="DE531" s="301">
        <f>DE487</f>
        <v>-40</v>
      </c>
      <c r="DF531" s="61">
        <f>IF(ISERROR((DE531/CW531-1)*100),"NA",IF(((DE531/CW531-1)*100)&gt;100,"NM",IF(((DE531/CW531-1)*100)&lt;-50,"NM",(DE531/CW531-1)*100)))</f>
        <v>17.647058823529417</v>
      </c>
      <c r="DG531" s="301">
        <f>DG487</f>
        <v>-33</v>
      </c>
      <c r="DH531" s="61" t="str">
        <f>IF(ISERROR((DG531/CY531-1)*100),"NA",IF(((DG531/CY531-1)*100)&gt;100,"NM",IF(((DG531/CY531-1)*100)&lt;-50,"NM",(DG531/CY531-1)*100)))</f>
        <v>NM</v>
      </c>
      <c r="DI531" s="301">
        <f>DI487</f>
        <v>-28</v>
      </c>
      <c r="DJ531" s="61">
        <f>IF(ISERROR((DI531/DA531-1)*100),"NA",IF(((DI531/DA531-1)*100)&gt;100,"NM",IF(((DI531/DA531-1)*100)&lt;-50,"NM",(DI531/DA531-1)*100)))</f>
        <v>-19.999999999999996</v>
      </c>
      <c r="DK531" s="301">
        <f>DK487</f>
        <v>-30</v>
      </c>
      <c r="DL531" s="61">
        <f>IF(ISERROR((DK531/DC531-1)*100),"NA",IF(((DK531/DC531-1)*100)&gt;100,"NM",IF(((DK531/DC531-1)*100)&lt;-50,"NM",(DK531/DC531-1)*100)))</f>
        <v>11.111111111111116</v>
      </c>
      <c r="DM531" s="301">
        <f>DM487</f>
        <v>-28</v>
      </c>
      <c r="DN531" s="130">
        <f t="shared" ref="DN531:DZ533" si="2834">IF(ISERROR((DM531/DE531-1)*100),"NA",IF(((DM531/DE531-1)*100)&gt;100,"NM",IF(((DM531/DE531-1)*100)&lt;-50,"NM",(DM531/DE531-1)*100)))</f>
        <v>-30.000000000000004</v>
      </c>
      <c r="DO531" s="301">
        <f>DO487</f>
        <v>-29</v>
      </c>
      <c r="DP531" s="130">
        <f t="shared" si="2834"/>
        <v>-12.121212121212121</v>
      </c>
      <c r="DQ531" s="301">
        <f>DQ487</f>
        <v>-26</v>
      </c>
      <c r="DR531" s="130">
        <f t="shared" si="2834"/>
        <v>-7.1428571428571397</v>
      </c>
      <c r="DS531" s="301">
        <f>DS487</f>
        <v>-27</v>
      </c>
      <c r="DT531" s="130">
        <f t="shared" si="2834"/>
        <v>-9.9999999999999982</v>
      </c>
      <c r="DU531" s="301">
        <f>DU487</f>
        <v>-30</v>
      </c>
      <c r="DV531" s="130">
        <f t="shared" si="2834"/>
        <v>7.1428571428571397</v>
      </c>
      <c r="DW531" s="301">
        <f>DW487</f>
        <v>-35.5</v>
      </c>
      <c r="DX531" s="301">
        <f t="shared" ref="DX531:DY531" si="2835">DX487</f>
        <v>-35.5</v>
      </c>
      <c r="DY531" s="301">
        <f t="shared" si="2835"/>
        <v>-26</v>
      </c>
      <c r="DZ531" s="130">
        <f t="shared" si="2834"/>
        <v>0</v>
      </c>
      <c r="EA531" s="301">
        <f t="shared" ref="EA531:EC531" si="2836">EA487</f>
        <v>-15</v>
      </c>
      <c r="EB531" s="130">
        <f t="shared" ref="EB531:EB533" si="2837">IF(ISERROR((EA531/DS531-1)*100),"NA",IF(((EA531/DS531-1)*100)&gt;100,"NM",IF(((EA531/DS531-1)*100)&lt;-50,"NM",(EA531/DS531-1)*100)))</f>
        <v>-44.444444444444443</v>
      </c>
      <c r="EC531" s="301">
        <f t="shared" si="2836"/>
        <v>-28</v>
      </c>
      <c r="ED531" s="130">
        <f t="shared" ref="ED531:ED533" si="2838">IF(ISERROR((EC531/DU531-1)*100),"NA",IF(((EC531/DU531-1)*100)&gt;100,"NM",IF(((EC531/DU531-1)*100)&lt;-50,"NM",(EC531/DU531-1)*100)))</f>
        <v>-6.6666666666666652</v>
      </c>
      <c r="EE531" s="301">
        <f t="shared" ref="EE531:EG531" si="2839">EE487</f>
        <v>-30</v>
      </c>
      <c r="EF531" s="130">
        <f t="shared" ref="EF531:EF533" si="2840">IF(ISERROR((EE531/DW531-1)*100),"NA",IF(((EE531/DW531-1)*100)&gt;100,"NM",IF(((EE531/DW531-1)*100)&lt;-50,"NM",(EE531/DW531-1)*100)))</f>
        <v>-15.492957746478876</v>
      </c>
      <c r="EG531" s="301">
        <f t="shared" si="2839"/>
        <v>-37</v>
      </c>
      <c r="EH531" s="130">
        <f t="shared" ref="EH531:EH533" si="2841">IF(ISERROR((EG531/DY531-1)*100),"NA",IF(((EG531/DY531-1)*100)&gt;100,"NM",IF(((EG531/DY531-1)*100)&lt;-50,"NM",(EG531/DY531-1)*100)))</f>
        <v>42.307692307692314</v>
      </c>
      <c r="EI531" s="301">
        <f t="shared" ref="EI531:EK531" si="2842">EI487</f>
        <v>-13</v>
      </c>
      <c r="EJ531" s="130">
        <f t="shared" ref="EJ531:EJ533" si="2843">IF(ISERROR((EI531/EA531-1)*100),"NA",IF(((EI531/EA531-1)*100)&gt;100,"NM",IF(((EI531/EA531-1)*100)&lt;-50,"NM",(EI531/EA531-1)*100)))</f>
        <v>-13.33333333333333</v>
      </c>
      <c r="EK531" s="301">
        <f t="shared" si="2842"/>
        <v>-37</v>
      </c>
      <c r="EL531" s="130">
        <f t="shared" ref="EL531:EL533" si="2844">IF(ISERROR((EK531/EC531-1)*100),"NA",IF(((EK531/EC531-1)*100)&gt;100,"NM",IF(((EK531/EC531-1)*100)&lt;-50,"NM",(EK531/EC531-1)*100)))</f>
        <v>32.142857142857139</v>
      </c>
      <c r="EM531" s="301">
        <f t="shared" ref="EM531" si="2845">EM487</f>
        <v>-39.5</v>
      </c>
      <c r="EN531" s="130">
        <f t="shared" ref="EN531:EN533" si="2846">IF(ISERROR((EM531/EE531-1)*100),"NA",IF(((EM531/EE531-1)*100)&gt;100,"NM",IF(((EM531/EE531-1)*100)&lt;-50,"NM",(EM531/EE531-1)*100)))</f>
        <v>31.666666666666664</v>
      </c>
      <c r="EO531" s="301">
        <f t="shared" ref="EO531" si="2847">EO487</f>
        <v>-38</v>
      </c>
      <c r="EP531" s="130">
        <f t="shared" ref="EP531:EP533" si="2848">IF(ISERROR((EO531/EG531-1)*100),"NA",IF(((EO531/EG531-1)*100)&gt;100,"NM",IF(((EO531/EG531-1)*100)&lt;-50,"NM",(EO531/EG531-1)*100)))</f>
        <v>2.7027027027026973</v>
      </c>
      <c r="EQ531" s="301">
        <f t="shared" ref="EQ531:EW531" si="2849">EQ487</f>
        <v>-53.666075000000006</v>
      </c>
      <c r="ER531" s="130" t="str">
        <f t="shared" ref="ER531:ER533" si="2850">IF(ISERROR((EQ531/EI531-1)*100),"NA",IF(((EQ531/EI531-1)*100)&gt;100,"NM",IF(((EQ531/EI531-1)*100)&lt;-50,"NM",(EQ531/EI531-1)*100)))</f>
        <v>NM</v>
      </c>
      <c r="ES531" s="301">
        <f t="shared" si="2849"/>
        <v>-53.411508500000011</v>
      </c>
      <c r="ET531" s="130">
        <f t="shared" ref="ET531:ET533" si="2851">IF(ISERROR((ES531/EK531-1)*100),"NA",IF(((ES531/EK531-1)*100)&gt;100,"NM",IF(((ES531/EK531-1)*100)&lt;-50,"NM",(ES531/EK531-1)*100)))</f>
        <v>44.355428378378406</v>
      </c>
      <c r="EU531" s="301">
        <f t="shared" si="2849"/>
        <v>-53.155669167500022</v>
      </c>
      <c r="EV531" s="130">
        <f t="shared" ref="EV531:EV533" si="2852">IF(ISERROR((EU531/EM531-1)*100),"NA",IF(((EU531/EM531-1)*100)&gt;100,"NM",IF(((EU531/EM531-1)*100)&lt;-50,"NM",(EU531/EM531-1)*100)))</f>
        <v>34.571314348101325</v>
      </c>
      <c r="EW531" s="301">
        <f t="shared" si="2849"/>
        <v>-52.898550638337525</v>
      </c>
      <c r="EX531" s="130">
        <f t="shared" ref="EX531:EX533" si="2853">IF(ISERROR((EW531/EO531-1)*100),"NA",IF(((EW531/EO531-1)*100)&gt;100,"NM",IF(((EW531/EO531-1)*100)&lt;-50,"NM",(EW531/EO531-1)*100)))</f>
        <v>39.206712206151373</v>
      </c>
      <c r="EY531" s="302"/>
      <c r="EZ531" s="558"/>
      <c r="FA531" s="302"/>
      <c r="FB531" s="147"/>
      <c r="FC531" s="147"/>
      <c r="FD531" s="147"/>
      <c r="FE531" s="303"/>
      <c r="FF531" s="147"/>
      <c r="FG531" s="303"/>
      <c r="FH531" s="147"/>
      <c r="FI531" s="303"/>
      <c r="FJ531" s="147"/>
      <c r="FK531" s="303"/>
      <c r="FL531" s="147"/>
      <c r="FM531" s="304"/>
      <c r="FN531" s="147"/>
      <c r="FO531" s="304"/>
      <c r="FP531" s="301">
        <f>AQ531+AS531+AU531+AW531</f>
        <v>20.249999999999996</v>
      </c>
      <c r="FQ531" s="61" t="str">
        <f>IF(ISERROR((FP531/FH531-1)*100),"NA",IF(((FP531/FH531-1)*100)&gt;100,"NM",IF(((FP531/FH531-1)*100)&lt;-50,"NM",(FP531/FH531-1)*100)))</f>
        <v>NA</v>
      </c>
      <c r="FR531" s="301">
        <f>AY531+BA531+BC531+BE531</f>
        <v>-88.6</v>
      </c>
      <c r="FS531" s="61" t="str">
        <f>IF(ISERROR((FR531/FP531-1)*100),"NA",IF(((FR531/FP531-1)*100)&gt;100,"NM",IF(((FR531/FP531-1)*100)&lt;-50,"NM",(FR531/FP531-1)*100)))</f>
        <v>NM</v>
      </c>
      <c r="FT531" s="529">
        <f>FT487</f>
        <v>-151.19999999999985</v>
      </c>
      <c r="FU531" s="61">
        <f>IF(ISERROR((FT531/FR531-1)*100),"NA",IF(((FT531/FR531-1)*100)&gt;100,"NM",IF(((FT531/FR531-1)*100)&lt;-50,"NM",(FT531/FR531-1)*100)))</f>
        <v>70.654627539503224</v>
      </c>
      <c r="FV531" s="529">
        <f>FV487</f>
        <v>-164.10000000000005</v>
      </c>
      <c r="FW531" s="61">
        <f>IF(ISERROR((FV531/FT531-1)*100),"NA",IF(((FV531/FT531-1)*100)&gt;100,"NM",IF(((FV531/FT531-1)*100)&lt;-50,"NM",(FV531/FT531-1)*100)))</f>
        <v>8.5317460317461791</v>
      </c>
      <c r="FX531" s="301">
        <f>FX487</f>
        <v>-189.5</v>
      </c>
      <c r="FY531" s="61">
        <f>IF(ISERROR((FX531/FV531-1)*100),"NA",IF(((FX531/FV531-1)*100)&gt;100,"NM",IF(((FX531/FV531-1)*100)&lt;-50,"NM",(FX531/FV531-1)*100)))</f>
        <v>15.478366849481983</v>
      </c>
      <c r="FZ531" s="301">
        <f>FZ487</f>
        <v>-137.1</v>
      </c>
      <c r="GA531" s="61">
        <f>IF(ISERROR((FZ531/FX531-1)*100),"NA",IF(((FZ531/FX531-1)*100)&gt;100,"NM",IF(((FZ531/FX531-1)*100)&lt;-50,"NM",(FZ531/FX531-1)*100)))</f>
        <v>-27.651715039577841</v>
      </c>
      <c r="GB531" s="301">
        <f>GB487</f>
        <v>-138.8000000000001</v>
      </c>
      <c r="GC531" s="61">
        <f>IF(ISERROR((GB531/FZ531-1)*100),"NA",IF(((GB531/FZ531-1)*100)&gt;100,"NM",IF(((GB531/FZ531-1)*100)&lt;-50,"NM",(GB531/FZ531-1)*100)))</f>
        <v>1.2399708242159857</v>
      </c>
      <c r="GD531" s="301">
        <f>GD487</f>
        <v>-106</v>
      </c>
      <c r="GE531" s="61">
        <f>IF(ISERROR((GD531/GB531-1)*100),"NA",IF(((GD531/GB531-1)*100)&gt;100,"NM",IF(((GD531/GB531-1)*100)&lt;-50,"NM",(GD531/GB531-1)*100)))</f>
        <v>-23.631123919308404</v>
      </c>
      <c r="GF531" s="301">
        <f>GF487</f>
        <v>-128</v>
      </c>
      <c r="GG531" s="61">
        <f>IF(ISERROR((GF531/GD531-1)*100),"NA",IF(((GF531/GD531-1)*100)&gt;100,"NM",IF(((GF531/GD531-1)*100)&lt;-50,"NM",(GF531/GD531-1)*100)))</f>
        <v>20.75471698113207</v>
      </c>
      <c r="GH531" s="301">
        <f>GH487</f>
        <v>-113</v>
      </c>
      <c r="GI531" s="61">
        <f>IF(ISERROR((GH531/GF531-1)*100),"NA",IF(((GH531/GF531-1)*100)&gt;100,"NM",IF(((GH531/GF531-1)*100)&lt;-50,"NM",(GH531/GF531-1)*100)))</f>
        <v>-11.71875</v>
      </c>
      <c r="GJ531" s="301">
        <f>GJ487</f>
        <v>-118.5</v>
      </c>
      <c r="GK531" s="61">
        <f>IF(ISERROR((GJ531/GH531-1)*100),"NA",IF(((GJ531/GH531-1)*100)&gt;100,"NM",IF(((GJ531/GH531-1)*100)&lt;-50,"NM",(GJ531/GH531-1)*100)))</f>
        <v>4.8672566371681381</v>
      </c>
      <c r="GL531" s="301">
        <f>GL487</f>
        <v>-110</v>
      </c>
      <c r="GM531" s="61">
        <f>IF(ISERROR((GL531/GJ531-1)*100),"NA",IF(((GL531/GJ531-1)*100)&gt;100,"NM",IF(((GL531/GJ531-1)*100)&lt;-50,"NM",(GL531/GJ531-1)*100)))</f>
        <v>-7.1729957805907185</v>
      </c>
      <c r="GN531" s="301">
        <f>GN487</f>
        <v>-127.5</v>
      </c>
      <c r="GO531" s="61">
        <f>IF(ISERROR((GN531/GL531-1)*100),"NA",IF(((GN531/GL531-1)*100)&gt;100,"NM",IF(((GN531/GL531-1)*100)&lt;-50,"NM",(GN531/GL531-1)*100)))</f>
        <v>15.909090909090917</v>
      </c>
      <c r="GP531" s="301">
        <f>GP487</f>
        <v>-213.13180330583759</v>
      </c>
      <c r="GQ531" s="61">
        <f>IF(ISERROR((GP531/GN531-1)*100),"NA",IF(((GP531/GN531-1)*100)&gt;100,"NM",IF(((GP531/GN531-1)*100)&lt;-50,"NM",(GP531/GN531-1)*100)))</f>
        <v>67.162198671245179</v>
      </c>
      <c r="GR531" s="301">
        <f>GR487</f>
        <v>-190.67547814437705</v>
      </c>
      <c r="GS531" s="61">
        <f>IF(ISERROR((GR531/GP531-1)*100),"NA",IF(((GR531/GP531-1)*100)&gt;100,"NM",IF(((GR531/GP531-1)*100)&lt;-50,"NM",(GR531/GP531-1)*100)))</f>
        <v>-10.53635581980058</v>
      </c>
      <c r="GT531" s="301">
        <f>GT487</f>
        <v>-119.87848648870835</v>
      </c>
      <c r="GU531" s="61">
        <f>IF(ISERROR((GT531/GR531-1)*100),"NA",IF(((GT531/GR531-1)*100)&gt;100,"NM",IF(((GT531/GR531-1)*100)&lt;-50,"NM",(GT531/GR531-1)*100)))</f>
        <v>-37.129573422158735</v>
      </c>
      <c r="GV531" s="301">
        <f>GV487</f>
        <v>-117.37013196336963</v>
      </c>
      <c r="GW531" s="61">
        <f>IF(ISERROR((GV531/GT531-1)*100),"NA",IF(((GV531/GT531-1)*100)&gt;100,"NM",IF(((GV531/GT531-1)*100)&lt;-50,"NM",(GV531/GT531-1)*100)))</f>
        <v>-2.0924142427965919</v>
      </c>
      <c r="GX531" s="301">
        <f>GX487</f>
        <v>-114.74628461987075</v>
      </c>
      <c r="GY531" s="61">
        <f>IF(ISERROR((GX531/GV531-1)*100),"NA",IF(((GX531/GV531-1)*100)&gt;100,"NM",IF(((GX531/GV531-1)*100)&lt;-50,"NM",(GX531/GV531-1)*100)))</f>
        <v>-2.2355324132359078</v>
      </c>
      <c r="GZ531" s="61">
        <f t="shared" ref="GZ531:GZ544" si="2854">IF(ISERROR((GX531/GN531)^0.2),"",IF(OR((GX531/GN531)^0.2&lt;0.5,(GX531/GN531)^0.2&gt;2),"NM",((GX531/GN531)^0.2-1)*100))</f>
        <v>-2.0857978302178504</v>
      </c>
      <c r="HA531" s="61"/>
      <c r="HB531" s="452"/>
      <c r="HC531"/>
      <c r="HD531"/>
      <c r="HE531"/>
      <c r="HF531"/>
      <c r="HG531"/>
      <c r="HH531"/>
    </row>
    <row r="532" spans="1:216" s="5" customFormat="1" ht="12.75" customHeight="1" x14ac:dyDescent="0.2">
      <c r="B532" s="68" t="s">
        <v>225</v>
      </c>
      <c r="C532" s="72"/>
      <c r="D532" s="70"/>
      <c r="E532" s="69"/>
      <c r="F532" s="71"/>
      <c r="G532" s="69"/>
      <c r="H532" s="71"/>
      <c r="I532" s="150"/>
      <c r="J532" s="71"/>
      <c r="K532" s="69"/>
      <c r="L532" s="61"/>
      <c r="M532" s="69"/>
      <c r="N532" s="61"/>
      <c r="O532" s="69"/>
      <c r="P532" s="61"/>
      <c r="Q532" s="69"/>
      <c r="R532" s="61"/>
      <c r="S532" s="69"/>
      <c r="T532" s="61"/>
      <c r="U532" s="69"/>
      <c r="V532" s="61"/>
      <c r="W532" s="69"/>
      <c r="X532" s="61"/>
      <c r="Y532" s="69"/>
      <c r="Z532" s="61"/>
      <c r="AA532" s="72"/>
      <c r="AB532" s="61"/>
      <c r="AC532" s="72"/>
      <c r="AD532" s="61"/>
      <c r="AE532" s="72"/>
      <c r="AF532" s="61"/>
      <c r="AG532" s="72"/>
      <c r="AH532" s="61"/>
      <c r="AI532" s="72"/>
      <c r="AJ532" s="61"/>
      <c r="AK532" s="69"/>
      <c r="AL532" s="61"/>
      <c r="AM532" s="69"/>
      <c r="AN532" s="61"/>
      <c r="AO532" s="69"/>
      <c r="AP532" s="61"/>
      <c r="AQ532" s="69"/>
      <c r="AR532" s="61"/>
      <c r="AS532" s="69"/>
      <c r="AT532" s="61"/>
      <c r="AU532" s="69"/>
      <c r="AV532" s="61"/>
      <c r="AW532" s="72"/>
      <c r="AX532" s="61"/>
      <c r="AY532" s="72"/>
      <c r="AZ532" s="61"/>
      <c r="BA532" s="72"/>
      <c r="BB532" s="61"/>
      <c r="BC532" s="72"/>
      <c r="BD532" s="61"/>
      <c r="BE532" s="72"/>
      <c r="BF532" s="61"/>
      <c r="BG532" s="534"/>
      <c r="BH532" s="61"/>
      <c r="BI532" s="72"/>
      <c r="BJ532" s="61"/>
      <c r="BK532" s="534"/>
      <c r="BL532" s="61"/>
      <c r="BM532" s="72"/>
      <c r="BN532" s="61"/>
      <c r="BO532" s="72"/>
      <c r="BP532" s="61"/>
      <c r="BQ532" s="72"/>
      <c r="BR532" s="61"/>
      <c r="BS532" s="72"/>
      <c r="BT532" s="61"/>
      <c r="BU532" s="72"/>
      <c r="BV532" s="61"/>
      <c r="BW532" s="72"/>
      <c r="BX532" s="61"/>
      <c r="BY532" s="72"/>
      <c r="BZ532" s="61"/>
      <c r="CA532" s="72"/>
      <c r="CB532" s="61"/>
      <c r="CC532" s="72"/>
      <c r="CD532" s="61"/>
      <c r="CE532" s="72"/>
      <c r="CF532" s="61"/>
      <c r="CG532" s="72"/>
      <c r="CH532" s="61"/>
      <c r="CI532" s="72"/>
      <c r="CJ532" s="61"/>
      <c r="CK532" s="72"/>
      <c r="CL532" s="61"/>
      <c r="CM532" s="72"/>
      <c r="CN532" s="61"/>
      <c r="CO532" s="147">
        <v>-1.3</v>
      </c>
      <c r="CP532" s="61" t="str">
        <f>IF(ISERROR((CO532/CG532-1)*100),"NA",IF(((CO532/CG532-1)*100)&gt;100,"NM",IF(((CO532/CG532-1)*100)&lt;-50,"NM",(CO532/CG532-1)*100)))</f>
        <v>NA</v>
      </c>
      <c r="CQ532" s="147">
        <v>-6.3</v>
      </c>
      <c r="CR532" s="61" t="str">
        <f>IF(ISERROR((CQ532/CI532-1)*100),"NA",IF(((CQ532/CI532-1)*100)&gt;100,"NM",IF(((CQ532/CI532-1)*100)&lt;-50,"NM",(CQ532/CI532-1)*100)))</f>
        <v>NA</v>
      </c>
      <c r="CS532" s="72">
        <v>0</v>
      </c>
      <c r="CT532" s="61" t="str">
        <f>IF(ISERROR((CS532/CK532-1)*100),"NA",IF(((CS532/CK532-1)*100)&gt;100,"NM",IF(((CS532/CK532-1)*100)&lt;-50,"NM",(CS532/CK532-1)*100)))</f>
        <v>NA</v>
      </c>
      <c r="CU532" s="72">
        <v>0</v>
      </c>
      <c r="CV532" s="61" t="str">
        <f>IF(ISERROR((CU532/CM532-1)*100),"NA",IF(((CU532/CM532-1)*100)&gt;100,"NM",IF(((CU532/CM532-1)*100)&lt;-50,"NM",(CU532/CM532-1)*100)))</f>
        <v>NA</v>
      </c>
      <c r="CW532" s="72">
        <v>-4</v>
      </c>
      <c r="CX532" s="61" t="str">
        <f>IF(ISERROR((CW532/CO532-1)*100),"NA",IF(((CW532/CO532-1)*100)&gt;100,"NM",IF(((CW532/CO532-1)*100)&lt;-50,"NM",(CW532/CO532-1)*100)))</f>
        <v>NM</v>
      </c>
      <c r="CY532" s="72">
        <v>0</v>
      </c>
      <c r="CZ532" s="61" t="str">
        <f>IF(ISERROR((CY532/CQ532-1)*100),"NA",IF(((CY532/CQ532-1)*100)&gt;100,"NM",IF(((CY532/CQ532-1)*100)&lt;-50,"NM",(CY532/CQ532-1)*100)))</f>
        <v>NM</v>
      </c>
      <c r="DA532" s="72">
        <v>0</v>
      </c>
      <c r="DB532" s="61" t="str">
        <f>IF(ISERROR((DA532/CS532-1)*100),"NA",IF(((DA532/CS532-1)*100)&gt;100,"NM",IF(((DA532/CS532-1)*100)&lt;-50,"NM",(DA532/CS532-1)*100)))</f>
        <v>NA</v>
      </c>
      <c r="DC532" s="72">
        <v>0</v>
      </c>
      <c r="DD532" s="61" t="str">
        <f>IF(ISERROR((DC532/CU532-1)*100),"NA",IF(((DC532/CU532-1)*100)&gt;100,"NM",IF(((DC532/CU532-1)*100)&lt;-50,"NM",(DC532/CU532-1)*100)))</f>
        <v>NA</v>
      </c>
      <c r="DE532" s="72">
        <v>0</v>
      </c>
      <c r="DF532" s="61" t="str">
        <f>IF(ISERROR((DE532/CW532-1)*100),"NA",IF(((DE532/CW532-1)*100)&gt;100,"NM",IF(((DE532/CW532-1)*100)&lt;-50,"NM",(DE532/CW532-1)*100)))</f>
        <v>NM</v>
      </c>
      <c r="DG532" s="72">
        <v>0</v>
      </c>
      <c r="DH532" s="61" t="str">
        <f>IF(ISERROR((DG532/CY532-1)*100),"NA",IF(((DG532/CY532-1)*100)&gt;100,"NM",IF(((DG532/CY532-1)*100)&lt;-50,"NM",(DG532/CY532-1)*100)))</f>
        <v>NA</v>
      </c>
      <c r="DI532" s="72">
        <v>0</v>
      </c>
      <c r="DJ532" s="61" t="str">
        <f>IF(ISERROR((DI532/DA532-1)*100),"NA",IF(((DI532/DA532-1)*100)&gt;100,"NM",IF(((DI532/DA532-1)*100)&lt;-50,"NM",(DI532/DA532-1)*100)))</f>
        <v>NA</v>
      </c>
      <c r="DK532" s="72">
        <v>-1</v>
      </c>
      <c r="DL532" s="61" t="str">
        <f>IF(ISERROR((DK532/DC532-1)*100),"NA",IF(((DK532/DC532-1)*100)&gt;100,"NM",IF(((DK532/DC532-1)*100)&lt;-50,"NM",(DK532/DC532-1)*100)))</f>
        <v>NA</v>
      </c>
      <c r="DM532" s="72">
        <v>1</v>
      </c>
      <c r="DN532" s="130" t="str">
        <f t="shared" si="2834"/>
        <v>NA</v>
      </c>
      <c r="DO532" s="72">
        <v>2</v>
      </c>
      <c r="DP532" s="130" t="str">
        <f t="shared" si="2834"/>
        <v>NA</v>
      </c>
      <c r="DQ532" s="72">
        <v>0</v>
      </c>
      <c r="DR532" s="130" t="str">
        <f t="shared" si="2834"/>
        <v>NA</v>
      </c>
      <c r="DS532" s="72">
        <v>0</v>
      </c>
      <c r="DT532" s="130" t="str">
        <f t="shared" si="2834"/>
        <v>NM</v>
      </c>
      <c r="DU532" s="72">
        <v>0</v>
      </c>
      <c r="DV532" s="130" t="str">
        <f t="shared" si="2834"/>
        <v>NM</v>
      </c>
      <c r="DW532" s="72">
        <v>-7</v>
      </c>
      <c r="DX532" s="72">
        <v>-7</v>
      </c>
      <c r="DY532" s="72">
        <v>0</v>
      </c>
      <c r="DZ532" s="130" t="str">
        <f t="shared" si="2834"/>
        <v>NA</v>
      </c>
      <c r="EA532" s="72">
        <v>-7</v>
      </c>
      <c r="EB532" s="130" t="str">
        <f t="shared" si="2837"/>
        <v>NA</v>
      </c>
      <c r="EC532" s="72">
        <v>0</v>
      </c>
      <c r="ED532" s="130" t="str">
        <f t="shared" si="2838"/>
        <v>NA</v>
      </c>
      <c r="EE532" s="72">
        <v>0</v>
      </c>
      <c r="EF532" s="130" t="str">
        <f t="shared" si="2840"/>
        <v>NM</v>
      </c>
      <c r="EG532" s="72">
        <v>0</v>
      </c>
      <c r="EH532" s="130" t="str">
        <f t="shared" si="2841"/>
        <v>NA</v>
      </c>
      <c r="EI532" s="72">
        <v>0</v>
      </c>
      <c r="EJ532" s="130" t="str">
        <f t="shared" si="2843"/>
        <v>NM</v>
      </c>
      <c r="EK532" s="72">
        <v>0</v>
      </c>
      <c r="EL532" s="130" t="str">
        <f t="shared" si="2844"/>
        <v>NA</v>
      </c>
      <c r="EM532" s="72">
        <v>0</v>
      </c>
      <c r="EN532" s="130" t="str">
        <f t="shared" si="2846"/>
        <v>NA</v>
      </c>
      <c r="EO532" s="72">
        <v>0</v>
      </c>
      <c r="EP532" s="130" t="str">
        <f t="shared" si="2848"/>
        <v>NA</v>
      </c>
      <c r="EQ532" s="72">
        <v>0</v>
      </c>
      <c r="ER532" s="130" t="str">
        <f t="shared" si="2850"/>
        <v>NA</v>
      </c>
      <c r="ES532" s="72">
        <v>0</v>
      </c>
      <c r="ET532" s="130" t="str">
        <f t="shared" si="2851"/>
        <v>NA</v>
      </c>
      <c r="EU532" s="72">
        <v>0</v>
      </c>
      <c r="EV532" s="130" t="str">
        <f t="shared" si="2852"/>
        <v>NA</v>
      </c>
      <c r="EW532" s="72">
        <v>0</v>
      </c>
      <c r="EX532" s="130" t="str">
        <f t="shared" si="2853"/>
        <v>NA</v>
      </c>
      <c r="EY532" s="64"/>
      <c r="EZ532" s="558"/>
      <c r="FA532" s="64"/>
      <c r="FB532" s="72"/>
      <c r="FC532" s="71"/>
      <c r="FD532" s="72"/>
      <c r="FE532" s="70"/>
      <c r="FF532" s="72"/>
      <c r="FG532" s="70"/>
      <c r="FH532" s="72"/>
      <c r="FI532" s="70"/>
      <c r="FJ532" s="72"/>
      <c r="FK532" s="70"/>
      <c r="FL532" s="72"/>
      <c r="FM532" s="70"/>
      <c r="FN532" s="69"/>
      <c r="FO532" s="70"/>
      <c r="FP532" s="73"/>
      <c r="FQ532" s="61"/>
      <c r="FR532" s="73"/>
      <c r="FS532" s="61"/>
      <c r="FT532" s="539"/>
      <c r="FU532" s="61"/>
      <c r="FV532" s="539"/>
      <c r="FW532" s="61"/>
      <c r="FX532" s="73"/>
      <c r="FY532" s="61"/>
      <c r="FZ532" s="73"/>
      <c r="GA532" s="61"/>
      <c r="GB532" s="73">
        <f>CM532+CO532+CQ532+CS532</f>
        <v>-7.6</v>
      </c>
      <c r="GC532" s="61" t="str">
        <f>IF(ISERROR((GB532/FZ532-1)*100),"NA",IF(((GB532/FZ532-1)*100)&gt;100,"NM",IF(((GB532/FZ532-1)*100)&lt;-50,"NM",(GB532/FZ532-1)*100)))</f>
        <v>NA</v>
      </c>
      <c r="GD532" s="73">
        <f>CU532+CW532+CY532+DA532</f>
        <v>-4</v>
      </c>
      <c r="GE532" s="61">
        <f>IF(ISERROR((GD532/GB532-1)*100),"NA",IF(((GD532/GB532-1)*100)&gt;100,"NM",IF(((GD532/GB532-1)*100)&lt;-50,"NM",(GD532/GB532-1)*100)))</f>
        <v>-47.368421052631582</v>
      </c>
      <c r="GF532" s="73">
        <f>DC532+DE532+DG532+DI532</f>
        <v>0</v>
      </c>
      <c r="GG532" s="61" t="str">
        <f>IF(ISERROR((GF532/GD532-1)*100),"NA",IF(((GF532/GD532-1)*100)&gt;100,"NM",IF(((GF532/GD532-1)*100)&lt;-50,"NM",(GF532/GD532-1)*100)))</f>
        <v>NM</v>
      </c>
      <c r="GH532" s="73">
        <f>DK532+DM532+DO532+DQ532</f>
        <v>2</v>
      </c>
      <c r="GI532" s="61" t="str">
        <f>IF(ISERROR((GH532/GF532-1)*100),"NA",IF(((GH532/GF532-1)*100)&gt;100,"NM",IF(((GH532/GF532-1)*100)&lt;-50,"NM",(GH532/GF532-1)*100)))</f>
        <v>NA</v>
      </c>
      <c r="GJ532" s="73">
        <f>DS532+DU532+DW532+DY532</f>
        <v>-7</v>
      </c>
      <c r="GK532" s="61" t="str">
        <f>IF(ISERROR((GJ532/GH532-1)*100),"NA",IF(((GJ532/GH532-1)*100)&gt;100,"NM",IF(((GJ532/GH532-1)*100)&lt;-50,"NM",(GJ532/GH532-1)*100)))</f>
        <v>NM</v>
      </c>
      <c r="GL532" s="73">
        <f>EA532+EC532+EE532+EG532</f>
        <v>-7</v>
      </c>
      <c r="GM532" s="61">
        <f>IF(ISERROR((GL532/GJ532-1)*100),"NA",IF(((GL532/GJ532-1)*100)&gt;100,"NM",IF(((GL532/GJ532-1)*100)&lt;-50,"NM",(GL532/GJ532-1)*100)))</f>
        <v>0</v>
      </c>
      <c r="GN532" s="73">
        <f>EI532+EK532+EM532+EO532</f>
        <v>0</v>
      </c>
      <c r="GO532" s="61" t="str">
        <f>IF(ISERROR((GN532/GL532-1)*100),"NA",IF(((GN532/GL532-1)*100)&gt;100,"NM",IF(((GN532/GL532-1)*100)&lt;-50,"NM",(GN532/GL532-1)*100)))</f>
        <v>NM</v>
      </c>
      <c r="GP532" s="73">
        <f>EQ532+ES532+EU532+EW532</f>
        <v>0</v>
      </c>
      <c r="GQ532" s="61" t="str">
        <f>IF(ISERROR((GP532/GN532-1)*100),"NA",IF(((GP532/GN532-1)*100)&gt;100,"NM",IF(((GP532/GN532-1)*100)&lt;-50,"NM",(GP532/GN532-1)*100)))</f>
        <v>NA</v>
      </c>
      <c r="GR532" s="72">
        <v>0</v>
      </c>
      <c r="GS532" s="61" t="str">
        <f>IF(ISERROR((GR532/GP532-1)*100),"NA",IF(((GR532/GP532-1)*100)&gt;100,"NM",IF(((GR532/GP532-1)*100)&lt;-50,"NM",(GR532/GP532-1)*100)))</f>
        <v>NA</v>
      </c>
      <c r="GT532" s="72">
        <v>0</v>
      </c>
      <c r="GU532" s="61" t="str">
        <f>IF(ISERROR((GT532/GR532-1)*100),"NA",IF(((GT532/GR532-1)*100)&gt;100,"NM",IF(((GT532/GR532-1)*100)&lt;-50,"NM",(GT532/GR532-1)*100)))</f>
        <v>NA</v>
      </c>
      <c r="GV532" s="72">
        <v>0</v>
      </c>
      <c r="GW532" s="61" t="str">
        <f>IF(ISERROR((GV532/GT532-1)*100),"NA",IF(((GV532/GT532-1)*100)&gt;100,"NM",IF(((GV532/GT532-1)*100)&lt;-50,"NM",(GV532/GT532-1)*100)))</f>
        <v>NA</v>
      </c>
      <c r="GX532" s="72">
        <v>0</v>
      </c>
      <c r="GY532" s="61" t="str">
        <f>IF(ISERROR((GX532/GV532-1)*100),"NA",IF(((GX532/GV532-1)*100)&gt;100,"NM",IF(((GX532/GV532-1)*100)&lt;-50,"NM",(GX532/GV532-1)*100)))</f>
        <v>NA</v>
      </c>
      <c r="GZ532" s="61" t="str">
        <f t="shared" si="2854"/>
        <v/>
      </c>
      <c r="HA532" s="61"/>
      <c r="HB532" s="452"/>
      <c r="HC532"/>
      <c r="HD532"/>
      <c r="HE532"/>
      <c r="HF532"/>
      <c r="HG532"/>
      <c r="HH532"/>
    </row>
    <row r="533" spans="1:216" s="106" customFormat="1" ht="12.75" customHeight="1" x14ac:dyDescent="0.2">
      <c r="B533" s="63" t="s">
        <v>127</v>
      </c>
      <c r="C533" s="98">
        <v>170.3</v>
      </c>
      <c r="D533" s="99"/>
      <c r="E533" s="98">
        <v>173.1</v>
      </c>
      <c r="F533" s="100"/>
      <c r="G533" s="98">
        <v>190.7</v>
      </c>
      <c r="H533" s="100"/>
      <c r="I533" s="98">
        <v>184.99</v>
      </c>
      <c r="J533" s="101"/>
      <c r="K533" s="98">
        <v>167.4</v>
      </c>
      <c r="L533" s="61">
        <f>IF(ISERROR((K533/C533-1)*100),"NA",IF(((K533/C533-1)*100)&gt;100,"NM",IF(((K533/C533-1)*100)&lt;-50,"NM",(K533/C533-1)*100)))</f>
        <v>-1.7028772753963639</v>
      </c>
      <c r="M533" s="98">
        <v>157.30000000000001</v>
      </c>
      <c r="N533" s="61">
        <f>IF(ISERROR((M533/E533-1)*100),"NA",IF(((M533/E533-1)*100)&gt;100,"NM",IF(((M533/E533-1)*100)&lt;-50,"NM",(M533/E533-1)*100)))</f>
        <v>-9.1276718659734186</v>
      </c>
      <c r="O533" s="98">
        <v>134</v>
      </c>
      <c r="P533" s="61">
        <f>IF(ISERROR((O533/G533-1)*100),"NA",IF(((O533/G533-1)*100)&gt;100,"NM",IF(((O533/G533-1)*100)&lt;-50,"NM",(O533/G533-1)*100)))</f>
        <v>-29.732564237021496</v>
      </c>
      <c r="Q533" s="98">
        <v>186.6</v>
      </c>
      <c r="R533" s="61">
        <f>IF(ISERROR((Q533/I533-1)*100),"NA",IF(((Q533/I533-1)*100)&gt;100,"NM",IF(((Q533/I533-1)*100)&lt;-50,"NM",(Q533/I533-1)*100)))</f>
        <v>0.87031731444942029</v>
      </c>
      <c r="S533" s="98">
        <v>153.1</v>
      </c>
      <c r="T533" s="61">
        <f>IF(ISERROR((S533/K533-1)*100),"NA",IF(((S533/K533-1)*100)&gt;100,"NM",IF(((S533/K533-1)*100)&lt;-50,"NM",(S533/K533-1)*100)))</f>
        <v>-8.54241338112306</v>
      </c>
      <c r="U533" s="98">
        <v>116</v>
      </c>
      <c r="V533" s="61">
        <f>IF(ISERROR((U533/M533-1)*100),"NA",IF(((U533/M533-1)*100)&gt;100,"NM",IF(((U533/M533-1)*100)&lt;-50,"NM",(U533/M533-1)*100)))</f>
        <v>-26.25556261919899</v>
      </c>
      <c r="W533" s="98">
        <v>62.500000000000128</v>
      </c>
      <c r="X533" s="61" t="str">
        <f>IF(ISERROR((W533/O533-1)*100),"NA",IF(((W533/O533-1)*100)&gt;100,"NM",IF(((W533/O533-1)*100)&lt;-50,"NM",(W533/O533-1)*100)))</f>
        <v>NM</v>
      </c>
      <c r="Y533" s="98">
        <v>100.1</v>
      </c>
      <c r="Z533" s="61">
        <f>IF(ISERROR((Y533/Q533-1)*100),"NA",IF(((Y533/Q533-1)*100)&gt;100,"NM",IF(((Y533/Q533-1)*100)&lt;-50,"NM",(Y533/Q533-1)*100)))</f>
        <v>-46.355841371918551</v>
      </c>
      <c r="AA533" s="98">
        <v>104.7</v>
      </c>
      <c r="AB533" s="61">
        <f>IF(ISERROR((AA533/S533-1)*100),"NA",IF(((AA533/S533-1)*100)&gt;100,"NM",IF(((AA533/S533-1)*100)&lt;-50,"NM",(AA533/S533-1)*100)))</f>
        <v>-31.613324624428472</v>
      </c>
      <c r="AC533" s="98">
        <v>153.30000000000001</v>
      </c>
      <c r="AD533" s="61">
        <f>IF(ISERROR((AC533/U533-1)*100),"NA",IF(((AC533/U533-1)*100)&gt;100,"NM",IF(((AC533/U533-1)*100)&lt;-50,"NM",(AC533/U533-1)*100)))</f>
        <v>32.15517241379311</v>
      </c>
      <c r="AE533" s="98">
        <v>156.1</v>
      </c>
      <c r="AF533" s="61" t="str">
        <f>IF(ISERROR((AE533/W533-1)*100),"NA",IF(((AE533/W533-1)*100)&gt;100,"NM",IF(((AE533/W533-1)*100)&lt;-50,"NM",(AE533/W533-1)*100)))</f>
        <v>NM</v>
      </c>
      <c r="AG533" s="98">
        <v>178.7</v>
      </c>
      <c r="AH533" s="61">
        <f>IF(ISERROR((AG533/Y533-1)*100),"NA",IF(((AG533/Y533-1)*100)&gt;100,"NM",IF(((AG533/Y533-1)*100)&lt;-50,"NM",(AG533/Y533-1)*100)))</f>
        <v>78.521478521478528</v>
      </c>
      <c r="AI533" s="98">
        <v>175.4</v>
      </c>
      <c r="AJ533" s="61">
        <f>IF(ISERROR((AI533/AA533-1)*100),"NA",IF(((AI533/AA533-1)*100)&gt;100,"NM",IF(((AI533/AA533-1)*100)&lt;-50,"NM",(AI533/AA533-1)*100)))</f>
        <v>67.526265520534864</v>
      </c>
      <c r="AK533" s="98">
        <v>181.35</v>
      </c>
      <c r="AL533" s="61">
        <f>IF(ISERROR((AK533/AC533-1)*100),"NA",IF(((AK533/AC533-1)*100)&gt;100,"NM",IF(((AK533/AC533-1)*100)&lt;-50,"NM",(AK533/AC533-1)*100)))</f>
        <v>18.297455968688837</v>
      </c>
      <c r="AM533" s="98">
        <v>178.3</v>
      </c>
      <c r="AN533" s="61">
        <f>IF(ISERROR((AM533/AE533-1)*100),"NA",IF(((AM533/AE533-1)*100)&gt;100,"NM",IF(((AM533/AE533-1)*100)&lt;-50,"NM",(AM533/AE533-1)*100)))</f>
        <v>14.221652786675222</v>
      </c>
      <c r="AO533" s="98">
        <v>189.87</v>
      </c>
      <c r="AP533" s="61">
        <f>IF(ISERROR((AO533/AG533-1)*100),"NA",IF(((AO533/AG533-1)*100)&gt;100,"NM",IF(((AO533/AG533-1)*100)&lt;-50,"NM",(AO533/AG533-1)*100)))</f>
        <v>6.2506994963626328</v>
      </c>
      <c r="AQ533" s="310">
        <f>AQ520+AQ526+AQ530+AQ529+AQ531</f>
        <v>208.54200000000006</v>
      </c>
      <c r="AR533" s="61">
        <f>IF(ISERROR((AQ533/AI533-1)*100),"NA",IF(((AQ533/AI533-1)*100)&gt;100,"NM",IF(((AQ533/AI533-1)*100)&lt;-50,"NM",(AQ533/AI533-1)*100)))</f>
        <v>18.895096921322718</v>
      </c>
      <c r="AS533" s="310">
        <f>AS520+AS526+AS530+AS529+AS531</f>
        <v>194.86300000000003</v>
      </c>
      <c r="AT533" s="61">
        <f>IF(ISERROR((AS533/AK533-1)*100),"NA",IF(((AS533/AK533-1)*100)&gt;100,"NM",IF(((AS533/AK533-1)*100)&lt;-50,"NM",(AS533/AK533-1)*100)))</f>
        <v>7.4513371932726891</v>
      </c>
      <c r="AU533" s="310">
        <f>AU520+AU526+AU530+AU529+AU531</f>
        <v>209.66599999999991</v>
      </c>
      <c r="AV533" s="61">
        <f>IF(ISERROR((AU533/AM533-1)*100),"NA",IF(((AU533/AM533-1)*100)&gt;100,"NM",IF(((AU533/AM533-1)*100)&lt;-50,"NM",(AU533/AM533-1)*100)))</f>
        <v>17.591699383062199</v>
      </c>
      <c r="AW533" s="310">
        <f>AW520+AW526+AW530+AW529+AW531</f>
        <v>256.73500000000001</v>
      </c>
      <c r="AX533" s="61">
        <f>IF(ISERROR((AW533/AO533-1)*100),"NA",IF(((AW533/AO533-1)*100)&gt;100,"NM",IF(((AW533/AO533-1)*100)&lt;-50,"NM",(AW533/AO533-1)*100)))</f>
        <v>35.216200558276725</v>
      </c>
      <c r="AY533" s="310">
        <f>AY520+AY526+AY530+AY529+AY531</f>
        <v>246.95999999999995</v>
      </c>
      <c r="AZ533" s="61">
        <f>IF(ISERROR((AY533/AQ533-1)*100),"NA",IF(((AY533/AQ533-1)*100)&gt;100,"NM",IF(((AY533/AQ533-1)*100)&lt;-50,"NM",(AY533/AQ533-1)*100)))</f>
        <v>18.422188336162449</v>
      </c>
      <c r="BA533" s="310">
        <f>BA520+BA526+BA530+BA529+BA531</f>
        <v>294.45999999999998</v>
      </c>
      <c r="BB533" s="61">
        <f>IF(ISERROR((BA533/AS533-1)*100),"NA",IF(((BA533/AS533-1)*100)&gt;100,"NM",IF(((BA533/AS533-1)*100)&lt;-50,"NM",(BA533/AS533-1)*100)))</f>
        <v>51.111293575486336</v>
      </c>
      <c r="BC533" s="310">
        <f>BC520+BC526+BC530+BC529+BC531</f>
        <v>326.76000000000005</v>
      </c>
      <c r="BD533" s="61">
        <f>IF(ISERROR((BC533/AU533-1)*100),"NA",IF(((BC533/AU533-1)*100)&gt;100,"NM",IF(((BC533/AU533-1)*100)&lt;-50,"NM",(BC533/AU533-1)*100)))</f>
        <v>55.847872330277767</v>
      </c>
      <c r="BE533" s="310">
        <f>BE520+BE526+BE530+BE529+BE531</f>
        <v>336.45999999999992</v>
      </c>
      <c r="BF533" s="61">
        <f>IF(ISERROR((BE533/AW533-1)*100),"NA",IF(((BE533/AW533-1)*100)&gt;100,"NM",IF(((BE533/AW533-1)*100)&lt;-50,"NM",(BE533/AW533-1)*100)))</f>
        <v>31.053420842502931</v>
      </c>
      <c r="BG533" s="530">
        <f>BG520+BG526+BG531</f>
        <v>324.40000000000009</v>
      </c>
      <c r="BH533" s="61">
        <f>IF(ISERROR((BG533/AY533-1)*100),"NA",IF(((BG533/AY533-1)*100)&gt;100,"NM",IF(((BG533/AY533-1)*100)&lt;-50,"NM",(BG533/AY533-1)*100)))</f>
        <v>31.357304826692634</v>
      </c>
      <c r="BI533" s="310">
        <f>BI520+BI526+BI531</f>
        <v>324.70000000000005</v>
      </c>
      <c r="BJ533" s="61">
        <f>IF(ISERROR((BI533/BA533-1)*100),"NA",IF(((BI533/BA533-1)*100)&gt;100,"NM",IF(((BI533/BA533-1)*100)&lt;-50,"NM",(BI533/BA533-1)*100)))</f>
        <v>10.269646131902487</v>
      </c>
      <c r="BK533" s="530">
        <f>BK520+BK526+BK531</f>
        <v>335.3</v>
      </c>
      <c r="BL533" s="61">
        <f>IF(ISERROR((BK533/BC533-1)*100),"NA",IF(((BK533/BC533-1)*100)&gt;100,"NM",IF(((BK533/BC533-1)*100)&lt;-50,"NM",(BK533/BC533-1)*100)))</f>
        <v>2.61353898886032</v>
      </c>
      <c r="BM533" s="310">
        <f>BM520+BM526+BM531</f>
        <v>356.49999999999983</v>
      </c>
      <c r="BN533" s="61">
        <f>IF(ISERROR((BM533/BE533-1)*100),"NA",IF(((BM533/BE533-1)*100)&gt;100,"NM",IF(((BM533/BE533-1)*100)&lt;-50,"NM",(BM533/BE533-1)*100)))</f>
        <v>5.9561314866551474</v>
      </c>
      <c r="BO533" s="310">
        <f>BO520+BO526+BO531</f>
        <v>304.50000000000011</v>
      </c>
      <c r="BP533" s="61">
        <f>IF(ISERROR((BO533/BG533-1)*100),"NA",IF(((BO533/BG533-1)*100)&gt;100,"NM",IF(((BO533/BG533-1)*100)&lt;-50,"NM",(BO533/BG533-1)*100)))</f>
        <v>-6.1344019728729826</v>
      </c>
      <c r="BQ533" s="310">
        <f>BQ520+BQ526+BQ531</f>
        <v>308.60000000000008</v>
      </c>
      <c r="BR533" s="61">
        <f>IF(ISERROR((BQ533/BI533-1)*100),"NA",IF(((BQ533/BI533-1)*100)&gt;100,"NM",IF(((BQ533/BI533-1)*100)&lt;-50,"NM",(BQ533/BI533-1)*100)))</f>
        <v>-4.9584231598398425</v>
      </c>
      <c r="BS533" s="310">
        <f>BS520+BS526+BS531</f>
        <v>315.00000000000011</v>
      </c>
      <c r="BT533" s="61">
        <f>IF(ISERROR((BS533/BK533-1)*100),"NA",IF(((BS533/BK533-1)*100)&gt;100,"NM",IF(((BS533/BK533-1)*100)&lt;-50,"NM",(BS533/BK533-1)*100)))</f>
        <v>-6.0542797494780531</v>
      </c>
      <c r="BU533" s="310">
        <f>BU520+BU526+BU531</f>
        <v>213.89999999999986</v>
      </c>
      <c r="BV533" s="61">
        <f>IF(ISERROR((BU533/BM533-1)*100),"NA",IF(((BU533/BM533-1)*100)&gt;100,"NM",IF(((BU533/BM533-1)*100)&lt;-50,"NM",(BU533/BM533-1)*100)))</f>
        <v>-40.000000000000014</v>
      </c>
      <c r="BW533" s="310">
        <f>BW520+BW526+BW531</f>
        <v>195.50000000000006</v>
      </c>
      <c r="BX533" s="61">
        <f>IF(ISERROR((BW533/BO533-1)*100),"NA",IF(((BW533/BO533-1)*100)&gt;100,"NM",IF(((BW533/BO533-1)*100)&lt;-50,"NM",(BW533/BO533-1)*100)))</f>
        <v>-35.79638752052545</v>
      </c>
      <c r="BY533" s="310">
        <f>BY520+BY526+BY531</f>
        <v>207.30000000000015</v>
      </c>
      <c r="BZ533" s="61">
        <f>IF(ISERROR((BY533/BQ533-1)*100),"NA",IF(((BY533/BQ533-1)*100)&gt;100,"NM",IF(((BY533/BQ533-1)*100)&lt;-50,"NM",(BY533/BQ533-1)*100)))</f>
        <v>-32.825664290343461</v>
      </c>
      <c r="CA533" s="310">
        <f>CA520+CA526+CA531</f>
        <v>261.50999999999988</v>
      </c>
      <c r="CB533" s="61">
        <f>IF(ISERROR((CA533/BS533-1)*100),"NA",IF(((CA533/BS533-1)*100)&gt;100,"NM",IF(((CA533/BS533-1)*100)&lt;-50,"NM",(CA533/BS533-1)*100)))</f>
        <v>-16.980952380952452</v>
      </c>
      <c r="CC533" s="310">
        <f>CC520+CC526+CC531</f>
        <v>299.7</v>
      </c>
      <c r="CD533" s="61">
        <f>IF(ISERROR((CC533/BU533-1)*100),"NA",IF(((CC533/BU533-1)*100)&gt;100,"NM",IF(((CC533/BU533-1)*100)&lt;-50,"NM",(CC533/BU533-1)*100)))</f>
        <v>40.112201963534446</v>
      </c>
      <c r="CE533" s="310">
        <f>CE520+CE526+CE531</f>
        <v>283.20000000000005</v>
      </c>
      <c r="CF533" s="61">
        <f>IF(ISERROR((CE533/BW533-1)*100),"NA",IF(((CE533/BW533-1)*100)&gt;100,"NM",IF(((CE533/BW533-1)*100)&lt;-50,"NM",(CE533/BW533-1)*100)))</f>
        <v>44.859335038363149</v>
      </c>
      <c r="CG533" s="310">
        <f>CG520+CG526+CG531</f>
        <v>290.70000000000005</v>
      </c>
      <c r="CH533" s="61">
        <f>IF(ISERROR((CG533/BY533-1)*100),"NA",IF(((CG533/BY533-1)*100)&gt;100,"NM",IF(((CG533/BY533-1)*100)&lt;-50,"NM",(CG533/BY533-1)*100)))</f>
        <v>40.231548480463019</v>
      </c>
      <c r="CI533" s="310">
        <f>CI520+CI526+CI531</f>
        <v>281.59999999999997</v>
      </c>
      <c r="CJ533" s="61">
        <f>IF(ISERROR((CI533/CA533-1)*100),"NA",IF(((CI533/CA533-1)*100)&gt;100,"NM",IF(((CI533/CA533-1)*100)&lt;-50,"NM",(CI533/CA533-1)*100)))</f>
        <v>7.6823066039539922</v>
      </c>
      <c r="CK533" s="310">
        <f>CK520+CK526+CK531</f>
        <v>297.5999999999998</v>
      </c>
      <c r="CL533" s="61">
        <f>IF(ISERROR((CK533/CC533-1)*100),"NA",IF(((CK533/CC533-1)*100)&gt;100,"NM",IF(((CK533/CC533-1)*100)&lt;-50,"NM",(CK533/CC533-1)*100)))</f>
        <v>-0.70070070070076262</v>
      </c>
      <c r="CM533" s="310">
        <f>CM520+CM526+CM531</f>
        <v>275.9000000000002</v>
      </c>
      <c r="CN533" s="61">
        <f>IF(ISERROR((CM533/CE533-1)*100),"NA",IF(((CM533/CE533-1)*100)&gt;100,"NM",IF(((CM533/CE533-1)*100)&lt;-50,"NM",(CM533/CE533-1)*100)))</f>
        <v>-2.5776836158191485</v>
      </c>
      <c r="CO533" s="310">
        <f>CO520+CO526+CO531+CO532</f>
        <v>290.89999999999981</v>
      </c>
      <c r="CP533" s="61">
        <f>IF(ISERROR((CO533/CG533-1)*100),"NA",IF(((CO533/CG533-1)*100)&gt;100,"NM",IF(((CO533/CG533-1)*100)&lt;-50,"NM",(CO533/CG533-1)*100)))</f>
        <v>6.8799449604317608E-2</v>
      </c>
      <c r="CQ533" s="310">
        <f>CQ520+CQ526+CQ531+CQ532</f>
        <v>312.89999999999992</v>
      </c>
      <c r="CR533" s="61">
        <f>IF(ISERROR((CQ533/CI533-1)*100),"NA",IF(((CQ533/CI533-1)*100)&gt;100,"NM",IF(((CQ533/CI533-1)*100)&lt;-50,"NM",(CQ533/CI533-1)*100)))</f>
        <v>11.115056818181813</v>
      </c>
      <c r="CS533" s="310">
        <f>CS520+CS526+CS531+CS532</f>
        <v>280</v>
      </c>
      <c r="CT533" s="61">
        <f>IF(ISERROR((CS533/CK533-1)*100),"NA",IF(((CS533/CK533-1)*100)&gt;100,"NM",IF(((CS533/CK533-1)*100)&lt;-50,"NM",(CS533/CK533-1)*100)))</f>
        <v>-5.9139784946235956</v>
      </c>
      <c r="CU533" s="310">
        <f>CU520+CU526+CU531+CU532</f>
        <v>293</v>
      </c>
      <c r="CV533" s="61">
        <f>IF(ISERROR((CU533/CM533-1)*100),"NA",IF(((CU533/CM533-1)*100)&gt;100,"NM",IF(((CU533/CM533-1)*100)&lt;-50,"NM",(CU533/CM533-1)*100)))</f>
        <v>6.19789778905393</v>
      </c>
      <c r="CW533" s="310">
        <f>CW520+CW526+CW531+CW532</f>
        <v>295</v>
      </c>
      <c r="CX533" s="61">
        <f>IF(ISERROR((CW533/CO533-1)*100),"NA",IF(((CW533/CO533-1)*100)&gt;100,"NM",IF(((CW533/CO533-1)*100)&lt;-50,"NM",(CW533/CO533-1)*100)))</f>
        <v>1.4094190443451948</v>
      </c>
      <c r="CY533" s="310">
        <f>CY520+CY526+CY531+CY532</f>
        <v>328</v>
      </c>
      <c r="CZ533" s="61">
        <f>IF(ISERROR((CY533/CQ533-1)*100),"NA",IF(((CY533/CQ533-1)*100)&gt;100,"NM",IF(((CY533/CQ533-1)*100)&lt;-50,"NM",(CY533/CQ533-1)*100)))</f>
        <v>4.8258229466283442</v>
      </c>
      <c r="DA533" s="310">
        <f>DA520+DA526+DA531+DA532</f>
        <v>302</v>
      </c>
      <c r="DB533" s="61">
        <f>IF(ISERROR((DA533/CS533-1)*100),"NA",IF(((DA533/CS533-1)*100)&gt;100,"NM",IF(((DA533/CS533-1)*100)&lt;-50,"NM",(DA533/CS533-1)*100)))</f>
        <v>7.8571428571428514</v>
      </c>
      <c r="DC533" s="310">
        <f>DC520+DC526+DC531+DC532</f>
        <v>298.49799999999999</v>
      </c>
      <c r="DD533" s="61">
        <f>IF(ISERROR((DC533/CU533-1)*100),"NA",IF(((DC533/CU533-1)*100)&gt;100,"NM",IF(((DC533/CU533-1)*100)&lt;-50,"NM",(DC533/CU533-1)*100)))</f>
        <v>1.8764505119453823</v>
      </c>
      <c r="DE533" s="310">
        <f>DE520+DE526+DE531+DE532</f>
        <v>332</v>
      </c>
      <c r="DF533" s="61">
        <f>IF(ISERROR((DE533/CW533-1)*100),"NA",IF(((DE533/CW533-1)*100)&gt;100,"NM",IF(((DE533/CW533-1)*100)&lt;-50,"NM",(DE533/CW533-1)*100)))</f>
        <v>12.542372881355934</v>
      </c>
      <c r="DG533" s="310">
        <f>DG520+DG526+DG531+DG532</f>
        <v>339</v>
      </c>
      <c r="DH533" s="61">
        <f>IF(ISERROR((DG533/CY533-1)*100),"NA",IF(((DG533/CY533-1)*100)&gt;100,"NM",IF(((DG533/CY533-1)*100)&lt;-50,"NM",(DG533/CY533-1)*100)))</f>
        <v>3.3536585365853577</v>
      </c>
      <c r="DI533" s="310">
        <f>DI520+DI526+DI531+DI532</f>
        <v>357</v>
      </c>
      <c r="DJ533" s="61">
        <f>IF(ISERROR((DI533/DA533-1)*100),"NA",IF(((DI533/DA533-1)*100)&gt;100,"NM",IF(((DI533/DA533-1)*100)&lt;-50,"NM",(DI533/DA533-1)*100)))</f>
        <v>18.211920529801318</v>
      </c>
      <c r="DK533" s="310">
        <f>DK520+DK526+DK531+DK532</f>
        <v>364</v>
      </c>
      <c r="DL533" s="61">
        <f>IF(ISERROR((DK533/DC533-1)*100),"NA",IF(((DK533/DC533-1)*100)&gt;100,"NM",IF(((DK533/DC533-1)*100)&lt;-50,"NM",(DK533/DC533-1)*100)))</f>
        <v>21.94386562054018</v>
      </c>
      <c r="DM533" s="310">
        <f>DM520+DM526+DM531+DM532</f>
        <v>384</v>
      </c>
      <c r="DN533" s="130">
        <f t="shared" si="2834"/>
        <v>15.662650602409634</v>
      </c>
      <c r="DO533" s="310">
        <f>DO520+DO526+DO531+DO532</f>
        <v>404</v>
      </c>
      <c r="DP533" s="130">
        <f t="shared" si="2834"/>
        <v>19.174041297935098</v>
      </c>
      <c r="DQ533" s="310">
        <f>DQ520+DQ526+DQ531+DQ532</f>
        <v>387</v>
      </c>
      <c r="DR533" s="130">
        <f t="shared" si="2834"/>
        <v>8.4033613445378066</v>
      </c>
      <c r="DS533" s="310">
        <f>DS520+DS526+DS531+DS532</f>
        <v>352</v>
      </c>
      <c r="DT533" s="130">
        <f t="shared" si="2834"/>
        <v>-3.2967032967032961</v>
      </c>
      <c r="DU533" s="310">
        <f>DU520+DU526+DU531+DU532</f>
        <v>379</v>
      </c>
      <c r="DV533" s="130">
        <f t="shared" si="2834"/>
        <v>-1.302083333333337</v>
      </c>
      <c r="DW533" s="310">
        <f>DW520+DW526+DW531+DW532</f>
        <v>421.5</v>
      </c>
      <c r="DX533" s="310">
        <f t="shared" ref="DX533:DY533" si="2855">DX520+DX526+DX531+DX532</f>
        <v>421.5</v>
      </c>
      <c r="DY533" s="310">
        <f t="shared" si="2855"/>
        <v>382</v>
      </c>
      <c r="DZ533" s="130">
        <f t="shared" si="2834"/>
        <v>-1.2919896640826822</v>
      </c>
      <c r="EA533" s="310">
        <f t="shared" ref="EA533:EC533" si="2856">EA520+EA526+EA531+EA532</f>
        <v>362</v>
      </c>
      <c r="EB533" s="130">
        <f t="shared" si="2837"/>
        <v>2.8409090909090828</v>
      </c>
      <c r="EC533" s="310">
        <f t="shared" si="2856"/>
        <v>373</v>
      </c>
      <c r="ED533" s="130">
        <f t="shared" si="2838"/>
        <v>-1.5831134564643801</v>
      </c>
      <c r="EE533" s="310">
        <f t="shared" ref="EE533:EG533" si="2857">EE520+EE526+EE531+EE532</f>
        <v>408.3</v>
      </c>
      <c r="EF533" s="130">
        <f t="shared" si="2840"/>
        <v>-3.1316725978647653</v>
      </c>
      <c r="EG533" s="310">
        <f t="shared" si="2857"/>
        <v>409</v>
      </c>
      <c r="EH533" s="130">
        <f t="shared" si="2841"/>
        <v>7.0680628272251411</v>
      </c>
      <c r="EI533" s="310">
        <f t="shared" ref="EI533:EK533" si="2858">EI520+EI526+EI531+EI532</f>
        <v>398</v>
      </c>
      <c r="EJ533" s="130">
        <f t="shared" si="2843"/>
        <v>9.9447513812154664</v>
      </c>
      <c r="EK533" s="310">
        <f t="shared" si="2858"/>
        <v>419</v>
      </c>
      <c r="EL533" s="130">
        <f t="shared" si="2844"/>
        <v>12.332439678284191</v>
      </c>
      <c r="EM533" s="310">
        <f t="shared" ref="EM533" si="2859">EM520+EM526+EM531+EM532</f>
        <v>433.5</v>
      </c>
      <c r="EN533" s="130">
        <f t="shared" si="2846"/>
        <v>6.1719324026451083</v>
      </c>
      <c r="EO533" s="310">
        <f t="shared" ref="EO533" si="2860">EO520+EO526+EO531+EO532</f>
        <v>440</v>
      </c>
      <c r="EP533" s="130">
        <f t="shared" si="2848"/>
        <v>7.5794621026894937</v>
      </c>
      <c r="EQ533" s="310">
        <f t="shared" ref="EQ533:EW533" si="2861">EQ520+EQ526+EQ531+EQ532</f>
        <v>433.01539174143363</v>
      </c>
      <c r="ER533" s="130">
        <f t="shared" si="2850"/>
        <v>8.7978371209632265</v>
      </c>
      <c r="ES533" s="310">
        <f t="shared" si="2861"/>
        <v>460.45921990626726</v>
      </c>
      <c r="ET533" s="130">
        <f t="shared" si="2851"/>
        <v>9.894801886937298</v>
      </c>
      <c r="EU533" s="310">
        <f t="shared" si="2861"/>
        <v>479.13694888564487</v>
      </c>
      <c r="EV533" s="130">
        <f t="shared" si="2852"/>
        <v>10.527554529560534</v>
      </c>
      <c r="EW533" s="310">
        <f t="shared" si="2861"/>
        <v>492.61294385852671</v>
      </c>
      <c r="EX533" s="130">
        <f t="shared" si="2853"/>
        <v>11.95748724057426</v>
      </c>
      <c r="EY533" s="313"/>
      <c r="EZ533" s="558"/>
      <c r="FA533" s="313"/>
      <c r="FB533" s="314">
        <v>529.99852190000001</v>
      </c>
      <c r="FC533" s="315"/>
      <c r="FD533" s="314">
        <v>475.2</v>
      </c>
      <c r="FE533" s="304">
        <f>IF(ISERROR((FD533/FB533-1)*100),"NA",IF(((FD533/FB533-1)*100)&gt;100,"NM",IF(((FD533/FB533-1)*100)&lt;-50,"NM",(FD533/FB533-1)*100)))</f>
        <v>-10.339372589861561</v>
      </c>
      <c r="FF533" s="314">
        <v>690.59</v>
      </c>
      <c r="FG533" s="304">
        <f>IF(ISERROR((FF533/FD533-1)*100),"NA",IF(((FF533/FD533-1)*100)&gt;100,"NM",IF(((FF533/FD533-1)*100)&lt;-50,"NM",(FF533/FD533-1)*100)))</f>
        <v>45.326178451178457</v>
      </c>
      <c r="FH533" s="314">
        <v>644.70000000000005</v>
      </c>
      <c r="FI533" s="304">
        <f>IF(ISERROR((FH533/FF533-1)*100),"NA",IF(((FH533/FF533-1)*100)&gt;100,"NM",IF(((FH533/FF533-1)*100)&lt;-50,"NM",(FH533/FF533-1)*100)))</f>
        <v>-6.6450426446951099</v>
      </c>
      <c r="FJ533" s="314">
        <v>432.2</v>
      </c>
      <c r="FK533" s="304">
        <f>IF(ISERROR((FJ533/FH533-1)*100),"NA",IF(((FJ533/FH533-1)*100)&gt;100,"NM",IF(((FJ533/FH533-1)*100)&lt;-50,"NM",(FJ533/FH533-1)*100)))</f>
        <v>-32.961067163021561</v>
      </c>
      <c r="FL533" s="314">
        <v>592.79999999999995</v>
      </c>
      <c r="FM533" s="304">
        <f>IF(ISERROR((FL533/FJ533-1)*100),"NA",IF(((FL533/FJ533-1)*100)&gt;100,"NM",IF(((FL533/FJ533-1)*100)&lt;-50,"NM",(FL533/FJ533-1)*100)))</f>
        <v>37.158722813512249</v>
      </c>
      <c r="FN533" s="314">
        <v>724.92</v>
      </c>
      <c r="FO533" s="304">
        <f>IF(ISERROR((FN533/FL533-1)*100),"NA",IF(((FN533/FL533-1)*100)&gt;100,"NM",IF(((FN533/FL533-1)*100)&lt;-50,"NM",(FN533/FL533-1)*100)))</f>
        <v>22.287449392712546</v>
      </c>
      <c r="FP533" s="310">
        <f>FP520+FP526+FP530+FP528+FP529+FP531</f>
        <v>869.80600000000004</v>
      </c>
      <c r="FQ533" s="61">
        <f>IF(ISERROR((FP533/FH533-1)*100),"NA",IF(((FP533/FH533-1)*100)&gt;100,"NM",IF(((FP533/FH533-1)*100)&lt;-50,"NM",(FP533/FH533-1)*100)))</f>
        <v>34.916395222584143</v>
      </c>
      <c r="FR533" s="310">
        <f>FR520+FR526+FR530+FR528+FR529+FR531</f>
        <v>1204.6399999999999</v>
      </c>
      <c r="FS533" s="61">
        <f>IF(ISERROR((FR533/FP533-1)*100),"NA",IF(((FR533/FP533-1)*100)&gt;100,"NM",IF(((FR533/FP533-1)*100)&lt;-50,"NM",(FR533/FP533-1)*100)))</f>
        <v>38.495250665090808</v>
      </c>
      <c r="FT533" s="530">
        <f>+FT531+FT526+FT520</f>
        <v>1340.8999999999994</v>
      </c>
      <c r="FU533" s="61">
        <f>IF(ISERROR((FT533/FR533-1)*100),"NA",IF(((FT533/FR533-1)*100)&gt;100,"NM",IF(((FT533/FR533-1)*100)&lt;-50,"NM",(FT533/FR533-1)*100)))</f>
        <v>11.311263115951608</v>
      </c>
      <c r="FV533" s="530">
        <f>+FV531+FV526+FV520</f>
        <v>1142.0000000000005</v>
      </c>
      <c r="FW533" s="61">
        <f>IF(ISERROR((FV533/FT533-1)*100),"NA",IF(((FV533/FT533-1)*100)&gt;100,"NM",IF(((FV533/FT533-1)*100)&lt;-50,"NM",(FV533/FT533-1)*100)))</f>
        <v>-14.833320903870462</v>
      </c>
      <c r="FX533" s="310">
        <f>FX520+FX526+FX531+FX532</f>
        <v>964.01000000000022</v>
      </c>
      <c r="FY533" s="61">
        <f>IF(ISERROR((FX533/FV533-1)*100),"NA",IF(((FX533/FV533-1)*100)&gt;100,"NM",IF(((FX533/FV533-1)*100)&lt;-50,"NM",(FX533/FV533-1)*100)))</f>
        <v>-15.585814360770589</v>
      </c>
      <c r="FZ533" s="310">
        <f>FZ520+FZ526+FZ531+FZ532</f>
        <v>1153.0999999999995</v>
      </c>
      <c r="GA533" s="61">
        <f>IF(ISERROR((FZ533/FX533-1)*100),"NA",IF(((FZ533/FX533-1)*100)&gt;100,"NM",IF(((FZ533/FX533-1)*100)&lt;-50,"NM",(FZ533/FX533-1)*100)))</f>
        <v>19.614941753716163</v>
      </c>
      <c r="GB533" s="310">
        <f>GB520+GB526+GB531+GB532</f>
        <v>1159.7000000000003</v>
      </c>
      <c r="GC533" s="61">
        <f>IF(ISERROR((GB533/FZ533-1)*100),"NA",IF(((GB533/FZ533-1)*100)&gt;100,"NM",IF(((GB533/FZ533-1)*100)&lt;-50,"NM",(GB533/FZ533-1)*100)))</f>
        <v>0.57237013268587322</v>
      </c>
      <c r="GD533" s="310">
        <f>GD520+GD526+GD531+GD532</f>
        <v>1218</v>
      </c>
      <c r="GE533" s="61">
        <f>IF(ISERROR((GD533/GB533-1)*100),"NA",IF(((GD533/GB533-1)*100)&gt;100,"NM",IF(((GD533/GB533-1)*100)&lt;-50,"NM",(GD533/GB533-1)*100)))</f>
        <v>5.0271621971199165</v>
      </c>
      <c r="GF533" s="310">
        <f>GF520+GF526+GF531+GF532</f>
        <v>1326.498</v>
      </c>
      <c r="GG533" s="61">
        <f>IF(ISERROR((GF533/GD533-1)*100),"NA",IF(((GF533/GD533-1)*100)&gt;100,"NM",IF(((GF533/GD533-1)*100)&lt;-50,"NM",(GF533/GD533-1)*100)))</f>
        <v>8.9078817733990299</v>
      </c>
      <c r="GH533" s="310">
        <f>GH520+GH526+GH531+GH532</f>
        <v>1539</v>
      </c>
      <c r="GI533" s="61">
        <f>IF(ISERROR((GH533/GF533-1)*100),"NA",IF(((GH533/GF533-1)*100)&gt;100,"NM",IF(((GH533/GF533-1)*100)&lt;-50,"NM",(GH533/GF533-1)*100)))</f>
        <v>16.019775378477764</v>
      </c>
      <c r="GJ533" s="310">
        <f>GJ520+GJ526+GJ531+GJ532</f>
        <v>1534.5</v>
      </c>
      <c r="GK533" s="61">
        <f>IF(ISERROR((GJ533/GH533-1)*100),"NA",IF(((GJ533/GH533-1)*100)&gt;100,"NM",IF(((GJ533/GH533-1)*100)&lt;-50,"NM",(GJ533/GH533-1)*100)))</f>
        <v>-0.29239766081871066</v>
      </c>
      <c r="GL533" s="310">
        <f>GL520+GL526+GL531+GL532</f>
        <v>1552.3</v>
      </c>
      <c r="GM533" s="61">
        <f>IF(ISERROR((GL533/GJ533-1)*100),"NA",IF(((GL533/GJ533-1)*100)&gt;100,"NM",IF(((GL533/GJ533-1)*100)&lt;-50,"NM",(GL533/GJ533-1)*100)))</f>
        <v>1.1599869664385754</v>
      </c>
      <c r="GN533" s="310">
        <f>GN520+GN526+GN531+GN532</f>
        <v>1690.5</v>
      </c>
      <c r="GO533" s="61">
        <f>IF(ISERROR((GN533/GL533-1)*100),"NA",IF(((GN533/GL533-1)*100)&gt;100,"NM",IF(((GN533/GL533-1)*100)&lt;-50,"NM",(GN533/GL533-1)*100)))</f>
        <v>8.9029182503382209</v>
      </c>
      <c r="GP533" s="310">
        <f>GP520+GP526+GP531+GP532</f>
        <v>1865.2245043918708</v>
      </c>
      <c r="GQ533" s="61">
        <f>IF(ISERROR((GP533/GN533-1)*100),"NA",IF(((GP533/GN533-1)*100)&gt;100,"NM",IF(((GP533/GN533-1)*100)&lt;-50,"NM",(GP533/GN533-1)*100)))</f>
        <v>10.335670179939127</v>
      </c>
      <c r="GR533" s="310">
        <f>GR520+GR526+GR531+GR532</f>
        <v>1997.2805153712757</v>
      </c>
      <c r="GS533" s="61">
        <f>IF(ISERROR((GR533/GP533-1)*100),"NA",IF(((GR533/GP533-1)*100)&gt;100,"NM",IF(((GR533/GP533-1)*100)&lt;-50,"NM",(GR533/GP533-1)*100)))</f>
        <v>7.0798989970625392</v>
      </c>
      <c r="GT533" s="310">
        <f>GT520+GT526+GT531+GT532</f>
        <v>2187.2095019673025</v>
      </c>
      <c r="GU533" s="61">
        <f>IF(ISERROR((GT533/GR533-1)*100),"NA",IF(((GT533/GR533-1)*100)&gt;100,"NM",IF(((GT533/GR533-1)*100)&lt;-50,"NM",(GT533/GR533-1)*100)))</f>
        <v>9.5093796356753089</v>
      </c>
      <c r="GV533" s="310">
        <f>GV520+GV526+GV531+GV532</f>
        <v>2296.8237050363132</v>
      </c>
      <c r="GW533" s="61">
        <f>IF(ISERROR((GV533/GT533-1)*100),"NA",IF(((GV533/GT533-1)*100)&gt;100,"NM",IF(((GV533/GT533-1)*100)&lt;-50,"NM",(GV533/GT533-1)*100)))</f>
        <v>5.0116005334842173</v>
      </c>
      <c r="GX533" s="310">
        <f>GX520+GX526+GX531+GX532</f>
        <v>2417.6717699682927</v>
      </c>
      <c r="GY533" s="61">
        <f>IF(ISERROR((GX533/GV533-1)*100),"NA",IF(((GX533/GV533-1)*100)&gt;100,"NM",IF(((GX533/GV533-1)*100)&lt;-50,"NM",(GX533/GV533-1)*100)))</f>
        <v>5.2615298539018251</v>
      </c>
      <c r="GZ533" s="61">
        <f t="shared" si="2854"/>
        <v>7.4178443801586669</v>
      </c>
      <c r="HA533" s="61"/>
      <c r="HB533" s="452"/>
      <c r="HC533"/>
      <c r="HD533"/>
      <c r="HE533"/>
      <c r="HF533"/>
      <c r="HG533"/>
      <c r="HH533"/>
    </row>
    <row r="534" spans="1:216" s="5" customFormat="1" ht="12.75" customHeight="1" x14ac:dyDescent="0.2">
      <c r="B534" s="7"/>
      <c r="C534" s="12"/>
      <c r="D534" s="13"/>
      <c r="E534" s="12"/>
      <c r="F534" s="13"/>
      <c r="G534" s="12"/>
      <c r="H534" s="13"/>
      <c r="I534" s="12"/>
      <c r="J534" s="13"/>
      <c r="K534" s="12"/>
      <c r="L534" s="13"/>
      <c r="M534" s="12"/>
      <c r="N534" s="13"/>
      <c r="O534" s="12"/>
      <c r="P534" s="13"/>
      <c r="Q534" s="12"/>
      <c r="R534" s="13"/>
      <c r="S534" s="12"/>
      <c r="T534" s="13"/>
      <c r="U534" s="12"/>
      <c r="V534" s="13"/>
      <c r="W534" s="12"/>
      <c r="X534" s="13"/>
      <c r="Y534" s="12"/>
      <c r="Z534" s="13"/>
      <c r="AA534" s="12"/>
      <c r="AB534" s="13"/>
      <c r="AC534" s="12"/>
      <c r="AD534" s="13"/>
      <c r="AE534" s="12"/>
      <c r="AF534" s="13"/>
      <c r="AG534" s="12"/>
      <c r="AH534" s="13"/>
      <c r="AI534" s="12"/>
      <c r="AJ534" s="13"/>
      <c r="AK534" s="12"/>
      <c r="AL534" s="13"/>
      <c r="AM534" s="12"/>
      <c r="AN534" s="13"/>
      <c r="AO534" s="12"/>
      <c r="AP534" s="13"/>
      <c r="AQ534" s="12"/>
      <c r="AR534" s="61"/>
      <c r="AS534" s="12"/>
      <c r="AT534" s="61"/>
      <c r="AU534" s="12"/>
      <c r="AV534" s="61"/>
      <c r="AW534" s="12"/>
      <c r="AX534" s="61"/>
      <c r="AY534" s="12"/>
      <c r="AZ534" s="61"/>
      <c r="BA534" s="12"/>
      <c r="BB534" s="61"/>
      <c r="BC534" s="12"/>
      <c r="BD534" s="61"/>
      <c r="BE534" s="12"/>
      <c r="BF534" s="61"/>
      <c r="BG534" s="532"/>
      <c r="BH534" s="61"/>
      <c r="BI534" s="12"/>
      <c r="BJ534" s="61"/>
      <c r="BK534" s="532"/>
      <c r="BL534" s="61"/>
      <c r="BM534" s="12"/>
      <c r="BN534" s="61"/>
      <c r="BO534" s="12"/>
      <c r="BP534" s="61"/>
      <c r="BQ534" s="12"/>
      <c r="BR534" s="61"/>
      <c r="BS534" s="12"/>
      <c r="BT534" s="61"/>
      <c r="BU534" s="12"/>
      <c r="BV534" s="61"/>
      <c r="BW534" s="12"/>
      <c r="BX534" s="61"/>
      <c r="BY534" s="12"/>
      <c r="BZ534" s="61"/>
      <c r="CA534" s="12"/>
      <c r="CB534" s="61"/>
      <c r="CC534" s="12"/>
      <c r="CD534" s="61"/>
      <c r="CE534" s="12"/>
      <c r="CF534" s="61"/>
      <c r="CG534" s="12"/>
      <c r="CH534" s="61"/>
      <c r="CI534" s="12"/>
      <c r="CJ534" s="61"/>
      <c r="CK534" s="12"/>
      <c r="CL534" s="61"/>
      <c r="CM534" s="12"/>
      <c r="CN534" s="61"/>
      <c r="CO534" s="440"/>
      <c r="CP534" s="61"/>
      <c r="CQ534" s="440"/>
      <c r="CR534" s="61"/>
      <c r="CS534" s="440"/>
      <c r="CT534" s="61"/>
      <c r="CU534" s="440"/>
      <c r="CV534" s="61"/>
      <c r="CW534" s="440"/>
      <c r="CX534" s="61"/>
      <c r="CY534" s="440"/>
      <c r="CZ534" s="61"/>
      <c r="DA534" s="440"/>
      <c r="DB534" s="61"/>
      <c r="DC534" s="440"/>
      <c r="DD534" s="61"/>
      <c r="DE534" s="440"/>
      <c r="DF534" s="61"/>
      <c r="DG534" s="440"/>
      <c r="DH534" s="61"/>
      <c r="DI534" s="440"/>
      <c r="DJ534" s="61"/>
      <c r="DK534" s="440"/>
      <c r="DL534" s="61"/>
      <c r="DM534" s="440"/>
      <c r="DN534" s="61"/>
      <c r="DO534" s="440"/>
      <c r="DP534" s="61"/>
      <c r="DQ534" s="440"/>
      <c r="DR534" s="61"/>
      <c r="DS534" s="440"/>
      <c r="DT534" s="61"/>
      <c r="DU534" s="440"/>
      <c r="DV534" s="61"/>
      <c r="DW534" s="440"/>
      <c r="DX534" s="440"/>
      <c r="DY534" s="440"/>
      <c r="DZ534" s="61"/>
      <c r="EA534" s="440"/>
      <c r="EB534" s="61"/>
      <c r="EC534" s="440"/>
      <c r="ED534" s="61"/>
      <c r="EE534" s="440"/>
      <c r="EF534" s="61"/>
      <c r="EG534" s="440"/>
      <c r="EH534" s="61"/>
      <c r="EI534" s="440"/>
      <c r="EJ534" s="61"/>
      <c r="EK534" s="440"/>
      <c r="EL534" s="61"/>
      <c r="EM534" s="440"/>
      <c r="EN534" s="61"/>
      <c r="EO534" s="440"/>
      <c r="EP534" s="61"/>
      <c r="EQ534" s="12"/>
      <c r="ER534" s="61"/>
      <c r="ES534" s="12"/>
      <c r="ET534" s="61"/>
      <c r="EU534" s="12"/>
      <c r="EV534" s="61"/>
      <c r="EW534" s="12"/>
      <c r="EX534" s="61"/>
      <c r="EY534" s="56"/>
      <c r="EZ534" s="558"/>
      <c r="FA534" s="56"/>
      <c r="FB534" s="12"/>
      <c r="FC534" s="13"/>
      <c r="FD534" s="12"/>
      <c r="FE534" s="13"/>
      <c r="FF534" s="19"/>
      <c r="FG534" s="13"/>
      <c r="FH534" s="19"/>
      <c r="FI534" s="13"/>
      <c r="FJ534" s="19"/>
      <c r="FK534" s="13"/>
      <c r="FL534" s="57"/>
      <c r="FM534" s="13"/>
      <c r="FN534" s="57"/>
      <c r="FO534" s="13"/>
      <c r="FP534" s="12"/>
      <c r="FQ534" s="61"/>
      <c r="FR534" s="12"/>
      <c r="FS534" s="61"/>
      <c r="FT534" s="532"/>
      <c r="FU534" s="61"/>
      <c r="FV534" s="532"/>
      <c r="FW534" s="61"/>
      <c r="FX534" s="12"/>
      <c r="FY534" s="61"/>
      <c r="FZ534" s="12"/>
      <c r="GA534" s="61"/>
      <c r="GB534" s="12"/>
      <c r="GC534" s="61"/>
      <c r="GD534" s="12"/>
      <c r="GE534" s="61"/>
      <c r="GF534" s="12"/>
      <c r="GG534" s="61"/>
      <c r="GH534" s="12"/>
      <c r="GI534" s="61"/>
      <c r="GJ534" s="12"/>
      <c r="GK534" s="61"/>
      <c r="GL534" s="12"/>
      <c r="GM534" s="61"/>
      <c r="GN534" s="12"/>
      <c r="GO534" s="61"/>
      <c r="GP534" s="12"/>
      <c r="GQ534" s="61"/>
      <c r="GR534" s="12"/>
      <c r="GS534" s="61"/>
      <c r="GT534" s="12"/>
      <c r="GU534" s="61"/>
      <c r="GV534" s="12"/>
      <c r="GW534" s="61"/>
      <c r="GX534" s="12"/>
      <c r="GY534" s="61"/>
      <c r="GZ534" s="61" t="str">
        <f t="shared" si="2854"/>
        <v/>
      </c>
      <c r="HA534" s="61"/>
      <c r="HB534" s="452"/>
      <c r="HC534"/>
      <c r="HD534"/>
      <c r="HE534"/>
      <c r="HF534"/>
      <c r="HG534"/>
      <c r="HH534"/>
    </row>
    <row r="535" spans="1:216" s="5" customFormat="1" ht="12.75" customHeight="1" x14ac:dyDescent="0.2">
      <c r="B535" s="2" t="s">
        <v>346</v>
      </c>
      <c r="C535" s="146">
        <v>0</v>
      </c>
      <c r="D535" s="70"/>
      <c r="E535" s="146">
        <v>0</v>
      </c>
      <c r="F535" s="71"/>
      <c r="G535" s="146">
        <v>0</v>
      </c>
      <c r="H535" s="71"/>
      <c r="I535" s="146">
        <v>0</v>
      </c>
      <c r="J535" s="71"/>
      <c r="K535" s="146">
        <v>0</v>
      </c>
      <c r="L535" s="61" t="str">
        <f>IF(ISERROR((K535/C535-1)*100),"NA",IF(((K535/C535-1)*100)&gt;100,"NM",IF(((K535/C535-1)*100)&lt;-50,"NM",(K535/C535-1)*100)))</f>
        <v>NA</v>
      </c>
      <c r="M535" s="146">
        <v>0</v>
      </c>
      <c r="N535" s="61" t="str">
        <f>IF(ISERROR((M535/E535-1)*100),"NA",IF(((M535/E535-1)*100)&gt;100,"NM",IF(((M535/E535-1)*100)&lt;-50,"NM",(M535/E535-1)*100)))</f>
        <v>NA</v>
      </c>
      <c r="O535" s="146">
        <v>0</v>
      </c>
      <c r="P535" s="61" t="str">
        <f>IF(ISERROR((O535/G535-1)*100),"NA",IF(((O535/G535-1)*100)&gt;100,"NM",IF(((O535/G535-1)*100)&lt;-50,"NM",(O535/G535-1)*100)))</f>
        <v>NA</v>
      </c>
      <c r="Q535" s="146">
        <v>0</v>
      </c>
      <c r="R535" s="61" t="str">
        <f>IF(ISERROR((Q535/I535-1)*100),"NA",IF(((Q535/I535-1)*100)&gt;100,"NM",IF(((Q535/I535-1)*100)&lt;-50,"NM",(Q535/I535-1)*100)))</f>
        <v>NA</v>
      </c>
      <c r="S535" s="146">
        <v>0</v>
      </c>
      <c r="T535" s="61" t="str">
        <f>IF(ISERROR((S535/K535-1)*100),"NA",IF(((S535/K535-1)*100)&gt;100,"NM",IF(((S535/K535-1)*100)&lt;-50,"NM",(S535/K535-1)*100)))</f>
        <v>NA</v>
      </c>
      <c r="U535" s="146">
        <v>0</v>
      </c>
      <c r="V535" s="61" t="str">
        <f>IF(ISERROR((U535/M535-1)*100),"NA",IF(((U535/M535-1)*100)&gt;100,"NM",IF(((U535/M535-1)*100)&lt;-50,"NM",(U535/M535-1)*100)))</f>
        <v>NA</v>
      </c>
      <c r="W535" s="146">
        <v>0</v>
      </c>
      <c r="X535" s="61" t="str">
        <f>IF(ISERROR((W535/O535-1)*100),"NA",IF(((W535/O535-1)*100)&gt;100,"NM",IF(((W535/O535-1)*100)&lt;-50,"NM",(W535/O535-1)*100)))</f>
        <v>NA</v>
      </c>
      <c r="Y535" s="146">
        <v>0</v>
      </c>
      <c r="Z535" s="61" t="str">
        <f>IF(ISERROR((Y535/Q535-1)*100),"NA",IF(((Y535/Q535-1)*100)&gt;100,"NM",IF(((Y535/Q535-1)*100)&lt;-50,"NM",(Y535/Q535-1)*100)))</f>
        <v>NA</v>
      </c>
      <c r="AA535" s="146">
        <v>0</v>
      </c>
      <c r="AB535" s="61" t="str">
        <f>IF(ISERROR((AA535/S535-1)*100),"NA",IF(((AA535/S535-1)*100)&gt;100,"NM",IF(((AA535/S535-1)*100)&lt;-50,"NM",(AA535/S535-1)*100)))</f>
        <v>NA</v>
      </c>
      <c r="AC535" s="146">
        <v>0</v>
      </c>
      <c r="AD535" s="61" t="str">
        <f>IF(ISERROR((AC535/U535-1)*100),"NA",IF(((AC535/U535-1)*100)&gt;100,"NM",IF(((AC535/U535-1)*100)&lt;-50,"NM",(AC535/U535-1)*100)))</f>
        <v>NA</v>
      </c>
      <c r="AE535" s="146">
        <v>0</v>
      </c>
      <c r="AF535" s="61" t="str">
        <f>IF(ISERROR((AE535/W535-1)*100),"NA",IF(((AE535/W535-1)*100)&gt;100,"NM",IF(((AE535/W535-1)*100)&lt;-50,"NM",(AE535/W535-1)*100)))</f>
        <v>NA</v>
      </c>
      <c r="AG535" s="146">
        <v>0</v>
      </c>
      <c r="AH535" s="61" t="str">
        <f>IF(ISERROR((AG535/Y535-1)*100),"NA",IF(((AG535/Y535-1)*100)&gt;100,"NM",IF(((AG535/Y535-1)*100)&lt;-50,"NM",(AG535/Y535-1)*100)))</f>
        <v>NA</v>
      </c>
      <c r="AI535" s="146">
        <v>0</v>
      </c>
      <c r="AJ535" s="61" t="str">
        <f>IF(ISERROR((AI535/AA535-1)*100),"NA",IF(((AI535/AA535-1)*100)&gt;100,"NM",IF(((AI535/AA535-1)*100)&lt;-50,"NM",(AI535/AA535-1)*100)))</f>
        <v>NA</v>
      </c>
      <c r="AK535" s="146">
        <v>0</v>
      </c>
      <c r="AL535" s="61" t="str">
        <f>IF(ISERROR((AK535/AC535-1)*100),"NA",IF(((AK535/AC535-1)*100)&gt;100,"NM",IF(((AK535/AC535-1)*100)&lt;-50,"NM",(AK535/AC535-1)*100)))</f>
        <v>NA</v>
      </c>
      <c r="AM535" s="146">
        <v>0</v>
      </c>
      <c r="AN535" s="61" t="str">
        <f>IF(ISERROR((AM535/AE535-1)*100),"NA",IF(((AM535/AE535-1)*100)&gt;100,"NM",IF(((AM535/AE535-1)*100)&lt;-50,"NM",(AM535/AE535-1)*100)))</f>
        <v>NA</v>
      </c>
      <c r="AO535" s="146">
        <v>0</v>
      </c>
      <c r="AP535" s="61" t="str">
        <f>IF(ISERROR((AO535/AG535-1)*100),"NA",IF(((AO535/AG535-1)*100)&gt;100,"NM",IF(((AO535/AG535-1)*100)&lt;-50,"NM",(AO535/AG535-1)*100)))</f>
        <v>NA</v>
      </c>
      <c r="AQ535" s="148">
        <v>0</v>
      </c>
      <c r="AR535" s="61" t="str">
        <f>IF(ISERROR((AQ535/AI535-1)*100),"NA",IF(((AQ535/AI535-1)*100)&gt;100,"NM",IF(((AQ535/AI535-1)*100)&lt;-50,"NM",(AQ535/AI535-1)*100)))</f>
        <v>NA</v>
      </c>
      <c r="AS535" s="148">
        <v>0</v>
      </c>
      <c r="AT535" s="61" t="str">
        <f>IF(ISERROR((AS535/AK535-1)*100),"NA",IF(((AS535/AK535-1)*100)&gt;100,"NM",IF(((AS535/AK535-1)*100)&lt;-50,"NM",(AS535/AK535-1)*100)))</f>
        <v>NA</v>
      </c>
      <c r="AU535" s="148">
        <v>0</v>
      </c>
      <c r="AV535" s="61" t="str">
        <f>IF(ISERROR((AU535/AM535-1)*100),"NA",IF(((AU535/AM535-1)*100)&gt;100,"NM",IF(((AU535/AM535-1)*100)&lt;-50,"NM",(AU535/AM535-1)*100)))</f>
        <v>NA</v>
      </c>
      <c r="AW535" s="148">
        <v>0</v>
      </c>
      <c r="AX535" s="61" t="str">
        <f>IF(ISERROR((AW535/AO535-1)*100),"NA",IF(((AW535/AO535-1)*100)&gt;100,"NM",IF(((AW535/AO535-1)*100)&lt;-50,"NM",(AW535/AO535-1)*100)))</f>
        <v>NA</v>
      </c>
      <c r="AY535" s="148">
        <v>0</v>
      </c>
      <c r="AZ535" s="61" t="str">
        <f>IF(ISERROR((AY535/AQ535-1)*100),"NA",IF(((AY535/AQ535-1)*100)&gt;100,"NM",IF(((AY535/AQ535-1)*100)&lt;-50,"NM",(AY535/AQ535-1)*100)))</f>
        <v>NA</v>
      </c>
      <c r="BA535" s="148">
        <v>0</v>
      </c>
      <c r="BB535" s="61" t="str">
        <f>IF(ISERROR((BA535/AS535-1)*100),"NA",IF(((BA535/AS535-1)*100)&gt;100,"NM",IF(((BA535/AS535-1)*100)&lt;-50,"NM",(BA535/AS535-1)*100)))</f>
        <v>NA</v>
      </c>
      <c r="BC535" s="148">
        <v>0</v>
      </c>
      <c r="BD535" s="61" t="str">
        <f>IF(ISERROR((BC535/AU535-1)*100),"NA",IF(((BC535/AU535-1)*100)&gt;100,"NM",IF(((BC535/AU535-1)*100)&lt;-50,"NM",(BC535/AU535-1)*100)))</f>
        <v>NA</v>
      </c>
      <c r="BE535" s="148">
        <v>0</v>
      </c>
      <c r="BF535" s="61" t="str">
        <f>IF(ISERROR((BE535/AW535-1)*100),"NA",IF(((BE535/AW535-1)*100)&gt;100,"NM",IF(((BE535/AW535-1)*100)&lt;-50,"NM",(BE535/AW535-1)*100)))</f>
        <v>NA</v>
      </c>
      <c r="BG535" s="535">
        <v>0</v>
      </c>
      <c r="BH535" s="61" t="str">
        <f>IF(ISERROR((BG535/AY535-1)*100),"NA",IF(((BG535/AY535-1)*100)&gt;100,"NM",IF(((BG535/AY535-1)*100)&lt;-50,"NM",(BG535/AY535-1)*100)))</f>
        <v>NA</v>
      </c>
      <c r="BI535" s="148">
        <v>0</v>
      </c>
      <c r="BJ535" s="61" t="str">
        <f>IF(ISERROR((BI535/BA535-1)*100),"NA",IF(((BI535/BA535-1)*100)&gt;100,"NM",IF(((BI535/BA535-1)*100)&lt;-50,"NM",(BI535/BA535-1)*100)))</f>
        <v>NA</v>
      </c>
      <c r="BK535" s="535">
        <v>0</v>
      </c>
      <c r="BL535" s="61" t="str">
        <f>IF(ISERROR((BK535/BC535-1)*100),"NA",IF(((BK535/BC535-1)*100)&gt;100,"NM",IF(((BK535/BC535-1)*100)&lt;-50,"NM",(BK535/BC535-1)*100)))</f>
        <v>NA</v>
      </c>
      <c r="BM535" s="148">
        <v>0</v>
      </c>
      <c r="BN535" s="61" t="str">
        <f>IF(ISERROR((BM535/BE535-1)*100),"NA",IF(((BM535/BE535-1)*100)&gt;100,"NM",IF(((BM535/BE535-1)*100)&lt;-50,"NM",(BM535/BE535-1)*100)))</f>
        <v>NA</v>
      </c>
      <c r="BO535" s="148">
        <v>0</v>
      </c>
      <c r="BP535" s="61" t="str">
        <f>IF(ISERROR((BO535/BG535-1)*100),"NA",IF(((BO535/BG535-1)*100)&gt;100,"NM",IF(((BO535/BG535-1)*100)&lt;-50,"NM",(BO535/BG535-1)*100)))</f>
        <v>NA</v>
      </c>
      <c r="BQ535" s="148">
        <v>0</v>
      </c>
      <c r="BR535" s="61" t="str">
        <f>IF(ISERROR((BQ535/BI535-1)*100),"NA",IF(((BQ535/BI535-1)*100)&gt;100,"NM",IF(((BQ535/BI535-1)*100)&lt;-50,"NM",(BQ535/BI535-1)*100)))</f>
        <v>NA</v>
      </c>
      <c r="BS535" s="148">
        <v>0</v>
      </c>
      <c r="BT535" s="61" t="str">
        <f>IF(ISERROR((BS535/BK535-1)*100),"NA",IF(((BS535/BK535-1)*100)&gt;100,"NM",IF(((BS535/BK535-1)*100)&lt;-50,"NM",(BS535/BK535-1)*100)))</f>
        <v>NA</v>
      </c>
      <c r="BU535" s="148">
        <v>0</v>
      </c>
      <c r="BV535" s="61" t="str">
        <f>IF(ISERROR((BU535/BM535-1)*100),"NA",IF(((BU535/BM535-1)*100)&gt;100,"NM",IF(((BU535/BM535-1)*100)&lt;-50,"NM",(BU535/BM535-1)*100)))</f>
        <v>NA</v>
      </c>
      <c r="BW535" s="148">
        <v>0</v>
      </c>
      <c r="BX535" s="61" t="str">
        <f>IF(ISERROR((BW535/BO535-1)*100),"NA",IF(((BW535/BO535-1)*100)&gt;100,"NM",IF(((BW535/BO535-1)*100)&lt;-50,"NM",(BW535/BO535-1)*100)))</f>
        <v>NA</v>
      </c>
      <c r="BY535" s="148">
        <v>0</v>
      </c>
      <c r="BZ535" s="61" t="str">
        <f>IF(ISERROR((BY535/BQ535-1)*100),"NA",IF(((BY535/BQ535-1)*100)&gt;100,"NM",IF(((BY535/BQ535-1)*100)&lt;-50,"NM",(BY535/BQ535-1)*100)))</f>
        <v>NA</v>
      </c>
      <c r="CA535" s="148">
        <v>0</v>
      </c>
      <c r="CB535" s="61" t="str">
        <f t="shared" ref="CB535:CB541" si="2862">IF(ISERROR((CA535/BS535-1)*100),"NA",IF(((CA535/BS535-1)*100)&gt;100,"NM",IF(((CA535/BS535-1)*100)&lt;-50,"NM",(CA535/BS535-1)*100)))</f>
        <v>NA</v>
      </c>
      <c r="CC535" s="148">
        <v>0</v>
      </c>
      <c r="CD535" s="61" t="str">
        <f t="shared" ref="CD535:CD541" si="2863">IF(ISERROR((CC535/BU535-1)*100),"NA",IF(((CC535/BU535-1)*100)&gt;100,"NM",IF(((CC535/BU535-1)*100)&lt;-50,"NM",(CC535/BU535-1)*100)))</f>
        <v>NA</v>
      </c>
      <c r="CE535" s="148">
        <v>0</v>
      </c>
      <c r="CF535" s="61" t="str">
        <f t="shared" ref="CF535:CF541" si="2864">IF(ISERROR((CE535/BW535-1)*100),"NA",IF(((CE535/BW535-1)*100)&gt;100,"NM",IF(((CE535/BW535-1)*100)&lt;-50,"NM",(CE535/BW535-1)*100)))</f>
        <v>NA</v>
      </c>
      <c r="CG535" s="148">
        <v>0</v>
      </c>
      <c r="CH535" s="61" t="str">
        <f t="shared" ref="CH535:CH541" si="2865">IF(ISERROR((CG535/BY535-1)*100),"NA",IF(((CG535/BY535-1)*100)&gt;100,"NM",IF(((CG535/BY535-1)*100)&lt;-50,"NM",(CG535/BY535-1)*100)))</f>
        <v>NA</v>
      </c>
      <c r="CI535" s="148">
        <v>0</v>
      </c>
      <c r="CJ535" s="61" t="str">
        <f t="shared" ref="CJ535:CJ541" si="2866">IF(ISERROR((CI535/CA535-1)*100),"NA",IF(((CI535/CA535-1)*100)&gt;100,"NM",IF(((CI535/CA535-1)*100)&lt;-50,"NM",(CI535/CA535-1)*100)))</f>
        <v>NA</v>
      </c>
      <c r="CK535" s="148">
        <v>0</v>
      </c>
      <c r="CL535" s="61" t="str">
        <f t="shared" ref="CL535:CL541" si="2867">IF(ISERROR((CK535/CC535-1)*100),"NA",IF(((CK535/CC535-1)*100)&gt;100,"NM",IF(((CK535/CC535-1)*100)&lt;-50,"NM",(CK535/CC535-1)*100)))</f>
        <v>NA</v>
      </c>
      <c r="CM535" s="148">
        <v>0</v>
      </c>
      <c r="CN535" s="61" t="str">
        <f t="shared" ref="CN535:CN541" si="2868">IF(ISERROR((CM535/CE535-1)*100),"NA",IF(((CM535/CE535-1)*100)&gt;100,"NM",IF(((CM535/CE535-1)*100)&lt;-50,"NM",(CM535/CE535-1)*100)))</f>
        <v>NA</v>
      </c>
      <c r="CO535" s="148">
        <v>0</v>
      </c>
      <c r="CP535" s="61" t="str">
        <f t="shared" ref="CP535:CP541" si="2869">IF(ISERROR((CO535/CG535-1)*100),"NA",IF(((CO535/CG535-1)*100)&gt;100,"NM",IF(((CO535/CG535-1)*100)&lt;-50,"NM",(CO535/CG535-1)*100)))</f>
        <v>NA</v>
      </c>
      <c r="CQ535" s="148">
        <v>0</v>
      </c>
      <c r="CR535" s="61" t="str">
        <f t="shared" ref="CR535:CR541" si="2870">IF(ISERROR((CQ535/CI535-1)*100),"NA",IF(((CQ535/CI535-1)*100)&gt;100,"NM",IF(((CQ535/CI535-1)*100)&lt;-50,"NM",(CQ535/CI535-1)*100)))</f>
        <v>NA</v>
      </c>
      <c r="CS535" s="148">
        <v>0</v>
      </c>
      <c r="CT535" s="61" t="str">
        <f t="shared" ref="CT535:CT541" si="2871">IF(ISERROR((CS535/CK535-1)*100),"NA",IF(((CS535/CK535-1)*100)&gt;100,"NM",IF(((CS535/CK535-1)*100)&lt;-50,"NM",(CS535/CK535-1)*100)))</f>
        <v>NA</v>
      </c>
      <c r="CU535" s="148">
        <v>0</v>
      </c>
      <c r="CV535" s="61" t="str">
        <f t="shared" ref="CV535:CV541" si="2872">IF(ISERROR((CU535/CM535-1)*100),"NA",IF(((CU535/CM535-1)*100)&gt;100,"NM",IF(((CU535/CM535-1)*100)&lt;-50,"NM",(CU535/CM535-1)*100)))</f>
        <v>NA</v>
      </c>
      <c r="CW535" s="148">
        <v>0</v>
      </c>
      <c r="CX535" s="61" t="str">
        <f t="shared" ref="CX535:CX541" si="2873">IF(ISERROR((CW535/CO535-1)*100),"NA",IF(((CW535/CO535-1)*100)&gt;100,"NM",IF(((CW535/CO535-1)*100)&lt;-50,"NM",(CW535/CO535-1)*100)))</f>
        <v>NA</v>
      </c>
      <c r="CY535" s="148">
        <v>0</v>
      </c>
      <c r="CZ535" s="61" t="str">
        <f t="shared" ref="CZ535:CZ541" si="2874">IF(ISERROR((CY535/CQ535-1)*100),"NA",IF(((CY535/CQ535-1)*100)&gt;100,"NM",IF(((CY535/CQ535-1)*100)&lt;-50,"NM",(CY535/CQ535-1)*100)))</f>
        <v>NA</v>
      </c>
      <c r="DA535" s="148">
        <v>0</v>
      </c>
      <c r="DB535" s="61" t="str">
        <f t="shared" ref="DB535:DB541" si="2875">IF(ISERROR((DA535/CS535-1)*100),"NA",IF(((DA535/CS535-1)*100)&gt;100,"NM",IF(((DA535/CS535-1)*100)&lt;-50,"NM",(DA535/CS535-1)*100)))</f>
        <v>NA</v>
      </c>
      <c r="DC535" s="148">
        <v>0</v>
      </c>
      <c r="DD535" s="61" t="str">
        <f t="shared" ref="DD535:DD541" si="2876">IF(ISERROR((DC535/CU535-1)*100),"NA",IF(((DC535/CU535-1)*100)&gt;100,"NM",IF(((DC535/CU535-1)*100)&lt;-50,"NM",(DC535/CU535-1)*100)))</f>
        <v>NA</v>
      </c>
      <c r="DE535" s="148">
        <v>0</v>
      </c>
      <c r="DF535" s="61" t="str">
        <f t="shared" ref="DF535:DF541" si="2877">IF(ISERROR((DE535/CW535-1)*100),"NA",IF(((DE535/CW535-1)*100)&gt;100,"NM",IF(((DE535/CW535-1)*100)&lt;-50,"NM",(DE535/CW535-1)*100)))</f>
        <v>NA</v>
      </c>
      <c r="DG535" s="148">
        <v>0</v>
      </c>
      <c r="DH535" s="61" t="str">
        <f t="shared" ref="DH535:DH541" si="2878">IF(ISERROR((DG535/CY535-1)*100),"NA",IF(((DG535/CY535-1)*100)&gt;100,"NM",IF(((DG535/CY535-1)*100)&lt;-50,"NM",(DG535/CY535-1)*100)))</f>
        <v>NA</v>
      </c>
      <c r="DI535" s="148">
        <v>0</v>
      </c>
      <c r="DJ535" s="61" t="str">
        <f t="shared" ref="DJ535:DJ541" si="2879">IF(ISERROR((DI535/DA535-1)*100),"NA",IF(((DI535/DA535-1)*100)&gt;100,"NM",IF(((DI535/DA535-1)*100)&lt;-50,"NM",(DI535/DA535-1)*100)))</f>
        <v>NA</v>
      </c>
      <c r="DK535" s="148">
        <v>0</v>
      </c>
      <c r="DL535" s="61" t="str">
        <f t="shared" ref="DL535:DL541" si="2880">IF(ISERROR((DK535/DC535-1)*100),"NA",IF(((DK535/DC535-1)*100)&gt;100,"NM",IF(((DK535/DC535-1)*100)&lt;-50,"NM",(DK535/DC535-1)*100)))</f>
        <v>NA</v>
      </c>
      <c r="DM535" s="148">
        <v>0</v>
      </c>
      <c r="DN535" s="130" t="str">
        <f t="shared" ref="DN535:DZ541" si="2881">IF(ISERROR((DM535/DE535-1)*100),"NA",IF(((DM535/DE535-1)*100)&gt;100,"NM",IF(((DM535/DE535-1)*100)&lt;-50,"NM",(DM535/DE535-1)*100)))</f>
        <v>NA</v>
      </c>
      <c r="DO535" s="148">
        <v>0</v>
      </c>
      <c r="DP535" s="130" t="str">
        <f t="shared" si="2881"/>
        <v>NA</v>
      </c>
      <c r="DQ535" s="148">
        <v>0</v>
      </c>
      <c r="DR535" s="130" t="str">
        <f t="shared" si="2881"/>
        <v>NA</v>
      </c>
      <c r="DS535" s="148">
        <v>0</v>
      </c>
      <c r="DT535" s="130" t="str">
        <f t="shared" si="2881"/>
        <v>NA</v>
      </c>
      <c r="DU535" s="148">
        <v>0</v>
      </c>
      <c r="DV535" s="130" t="str">
        <f t="shared" si="2881"/>
        <v>NA</v>
      </c>
      <c r="DW535" s="148">
        <v>0</v>
      </c>
      <c r="DX535" s="148">
        <v>0</v>
      </c>
      <c r="DY535" s="148">
        <v>0</v>
      </c>
      <c r="DZ535" s="130" t="str">
        <f t="shared" si="2881"/>
        <v>NA</v>
      </c>
      <c r="EA535" s="148">
        <v>0</v>
      </c>
      <c r="EB535" s="130" t="str">
        <f t="shared" ref="EB535:EB541" si="2882">IF(ISERROR((EA535/DS535-1)*100),"NA",IF(((EA535/DS535-1)*100)&gt;100,"NM",IF(((EA535/DS535-1)*100)&lt;-50,"NM",(EA535/DS535-1)*100)))</f>
        <v>NA</v>
      </c>
      <c r="EC535" s="148">
        <v>0</v>
      </c>
      <c r="ED535" s="130" t="str">
        <f t="shared" ref="ED535:ED541" si="2883">IF(ISERROR((EC535/DU535-1)*100),"NA",IF(((EC535/DU535-1)*100)&gt;100,"NM",IF(((EC535/DU535-1)*100)&lt;-50,"NM",(EC535/DU535-1)*100)))</f>
        <v>NA</v>
      </c>
      <c r="EE535" s="148">
        <v>0</v>
      </c>
      <c r="EF535" s="130" t="str">
        <f t="shared" ref="EF535:EF541" si="2884">IF(ISERROR((EE535/DW535-1)*100),"NA",IF(((EE535/DW535-1)*100)&gt;100,"NM",IF(((EE535/DW535-1)*100)&lt;-50,"NM",(EE535/DW535-1)*100)))</f>
        <v>NA</v>
      </c>
      <c r="EG535" s="148">
        <v>0</v>
      </c>
      <c r="EH535" s="130" t="str">
        <f t="shared" ref="EH535:EH541" si="2885">IF(ISERROR((EG535/DY535-1)*100),"NA",IF(((EG535/DY535-1)*100)&gt;100,"NM",IF(((EG535/DY535-1)*100)&lt;-50,"NM",(EG535/DY535-1)*100)))</f>
        <v>NA</v>
      </c>
      <c r="EI535" s="148">
        <v>0</v>
      </c>
      <c r="EJ535" s="130" t="str">
        <f t="shared" ref="EJ535:EJ541" si="2886">IF(ISERROR((EI535/EA535-1)*100),"NA",IF(((EI535/EA535-1)*100)&gt;100,"NM",IF(((EI535/EA535-1)*100)&lt;-50,"NM",(EI535/EA535-1)*100)))</f>
        <v>NA</v>
      </c>
      <c r="EK535" s="148">
        <v>0</v>
      </c>
      <c r="EL535" s="130" t="str">
        <f t="shared" ref="EL535:EL541" si="2887">IF(ISERROR((EK535/EC535-1)*100),"NA",IF(((EK535/EC535-1)*100)&gt;100,"NM",IF(((EK535/EC535-1)*100)&lt;-50,"NM",(EK535/EC535-1)*100)))</f>
        <v>NA</v>
      </c>
      <c r="EM535" s="148">
        <v>0</v>
      </c>
      <c r="EN535" s="130" t="str">
        <f t="shared" ref="EN535:EN541" si="2888">IF(ISERROR((EM535/EE535-1)*100),"NA",IF(((EM535/EE535-1)*100)&gt;100,"NM",IF(((EM535/EE535-1)*100)&lt;-50,"NM",(EM535/EE535-1)*100)))</f>
        <v>NA</v>
      </c>
      <c r="EO535" s="148">
        <v>0</v>
      </c>
      <c r="EP535" s="130" t="str">
        <f t="shared" ref="EP535:EP541" si="2889">IF(ISERROR((EO535/EG535-1)*100),"NA",IF(((EO535/EG535-1)*100)&gt;100,"NM",IF(((EO535/EG535-1)*100)&lt;-50,"NM",(EO535/EG535-1)*100)))</f>
        <v>NA</v>
      </c>
      <c r="EQ535" s="148">
        <f t="shared" ref="EQ535:EW535" si="2890">EQ565</f>
        <v>0</v>
      </c>
      <c r="ER535" s="130" t="str">
        <f t="shared" ref="ER535:ER541" si="2891">IF(ISERROR((EQ535/EI535-1)*100),"NA",IF(((EQ535/EI535-1)*100)&gt;100,"NM",IF(((EQ535/EI535-1)*100)&lt;-50,"NM",(EQ535/EI535-1)*100)))</f>
        <v>NA</v>
      </c>
      <c r="ES535" s="148">
        <f t="shared" si="2890"/>
        <v>0</v>
      </c>
      <c r="ET535" s="130" t="str">
        <f t="shared" ref="ET535:ET541" si="2892">IF(ISERROR((ES535/EK535-1)*100),"NA",IF(((ES535/EK535-1)*100)&gt;100,"NM",IF(((ES535/EK535-1)*100)&lt;-50,"NM",(ES535/EK535-1)*100)))</f>
        <v>NA</v>
      </c>
      <c r="EU535" s="148">
        <f t="shared" si="2890"/>
        <v>0</v>
      </c>
      <c r="EV535" s="130" t="str">
        <f t="shared" ref="EV535:EV541" si="2893">IF(ISERROR((EU535/EM535-1)*100),"NA",IF(((EU535/EM535-1)*100)&gt;100,"NM",IF(((EU535/EM535-1)*100)&lt;-50,"NM",(EU535/EM535-1)*100)))</f>
        <v>NA</v>
      </c>
      <c r="EW535" s="148">
        <f t="shared" si="2890"/>
        <v>0</v>
      </c>
      <c r="EX535" s="130" t="str">
        <f t="shared" ref="EX535:EX541" si="2894">IF(ISERROR((EW535/EO535-1)*100),"NA",IF(((EW535/EO535-1)*100)&gt;100,"NM",IF(((EW535/EO535-1)*100)&lt;-50,"NM",(EW535/EO535-1)*100)))</f>
        <v>NA</v>
      </c>
      <c r="EY535" s="64"/>
      <c r="EZ535" s="558"/>
      <c r="FA535" s="64"/>
      <c r="FB535" s="146">
        <v>0</v>
      </c>
      <c r="FC535" s="71"/>
      <c r="FD535" s="146">
        <v>0</v>
      </c>
      <c r="FE535" s="70" t="str">
        <f>IF(ISERROR((FD535/FB535-1)*100),"NA",IF(((FD535/FB535-1)*100)&gt;100,"NM",IF(((FD535/FB535-1)*100)&lt;-50,"NM",(FD535/FB535-1)*100)))</f>
        <v>NA</v>
      </c>
      <c r="FF535" s="150">
        <f>C535+E535+G535+I535</f>
        <v>0</v>
      </c>
      <c r="FG535" s="70" t="str">
        <f>IF(ISERROR((FF535/FD535-1)*100),"NA",IF(((FF535/FD535-1)*100)&gt;100,"NM",IF(((FF535/FD535-1)*100)&lt;-50,"NM",(FF535/FD535-1)*100)))</f>
        <v>NA</v>
      </c>
      <c r="FH535" s="150">
        <f>K535+M535+O535+Q535</f>
        <v>0</v>
      </c>
      <c r="FI535" s="70" t="str">
        <f>IF(ISERROR((FH535/FF535-1)*100),"NA",IF(((FH535/FF535-1)*100)&gt;100,"NM",IF(((FH535/FF535-1)*100)&lt;-50,"NM",(FH535/FF535-1)*100)))</f>
        <v>NA</v>
      </c>
      <c r="FJ535" s="150">
        <f>S535+U535+W535+Y535</f>
        <v>0</v>
      </c>
      <c r="FK535" s="70" t="str">
        <f>IF(ISERROR((FJ535/FH535-1)*100),"NA",IF(((FJ535/FH535-1)*100)&gt;100,"NM",IF(((FJ535/FH535-1)*100)&lt;-50,"NM",(FJ535/FH535-1)*100)))</f>
        <v>NA</v>
      </c>
      <c r="FL535" s="69">
        <f>AA535+AC535+AE535+AG535</f>
        <v>0</v>
      </c>
      <c r="FM535" s="61" t="str">
        <f>IF(ISERROR((FL535/FJ535-1)*100),"NA",IF(((FL535/FJ535-1)*100)&gt;100,"NM",IF(((FL535/FJ535-1)*100)&lt;-50,"NM",(FL535/FJ535-1)*100)))</f>
        <v>NA</v>
      </c>
      <c r="FN535" s="69">
        <f>AI535+AK535+AM535+AO535</f>
        <v>0</v>
      </c>
      <c r="FO535" s="61" t="str">
        <f>IF(ISERROR((FN535/FL535-1)*100),"NA",IF(((FN535/FL535-1)*100)&gt;100,"NM",IF(((FN535/FL535-1)*100)&lt;-50,"NM",(FN535/FL535-1)*100)))</f>
        <v>NA</v>
      </c>
      <c r="FP535" s="151">
        <f>AQ535+AS535+AU535+AW535</f>
        <v>0</v>
      </c>
      <c r="FQ535" s="61" t="str">
        <f>IF(ISERROR((FP535/FH535-1)*100),"NA",IF(((FP535/FH535-1)*100)&gt;100,"NM",IF(((FP535/FH535-1)*100)&lt;-50,"NM",(FP535/FH535-1)*100)))</f>
        <v>NA</v>
      </c>
      <c r="FR535" s="151">
        <f>AY535+BA535+BC535+BE535</f>
        <v>0</v>
      </c>
      <c r="FS535" s="61" t="str">
        <f t="shared" ref="FS535:FS541" si="2895">IF(ISERROR((FR535/FP535-1)*100),"NA",IF(((FR535/FP535-1)*100)&gt;100,"NM",IF(((FR535/FP535-1)*100)&lt;-50,"NM",(FR535/FP535-1)*100)))</f>
        <v>NA</v>
      </c>
      <c r="FT535" s="544">
        <f>BG535+BI535+BK535+BM535</f>
        <v>0</v>
      </c>
      <c r="FU535" s="61" t="str">
        <f t="shared" ref="FU535:FU541" si="2896">IF(ISERROR((FT535/FR535-1)*100),"NA",IF(((FT535/FR535-1)*100)&gt;100,"NM",IF(((FT535/FR535-1)*100)&lt;-50,"NM",(FT535/FR535-1)*100)))</f>
        <v>NA</v>
      </c>
      <c r="FV535" s="544">
        <f>BO535+BQ535+BS535+BU535</f>
        <v>0</v>
      </c>
      <c r="FW535" s="61" t="str">
        <f t="shared" ref="FW535:FW541" si="2897">IF(ISERROR((FV535/FT535-1)*100),"NA",IF(((FV535/FT535-1)*100)&gt;100,"NM",IF(((FV535/FT535-1)*100)&lt;-50,"NM",(FV535/FT535-1)*100)))</f>
        <v>NA</v>
      </c>
      <c r="FX535" s="151">
        <f>BW535+BY535+CA535+CC535</f>
        <v>0</v>
      </c>
      <c r="FY535" s="61" t="str">
        <f t="shared" ref="FY535:FY541" si="2898">IF(ISERROR((FX535/FV535-1)*100),"NA",IF(((FX535/FV535-1)*100)&gt;100,"NM",IF(((FX535/FV535-1)*100)&lt;-50,"NM",(FX535/FV535-1)*100)))</f>
        <v>NA</v>
      </c>
      <c r="FZ535" s="151">
        <f>CE535+CG535+CI535+CK535</f>
        <v>0</v>
      </c>
      <c r="GA535" s="61" t="str">
        <f t="shared" ref="GA535:GA541" si="2899">IF(ISERROR((FZ535/FX535-1)*100),"NA",IF(((FZ535/FX535-1)*100)&gt;100,"NM",IF(((FZ535/FX535-1)*100)&lt;-50,"NM",(FZ535/FX535-1)*100)))</f>
        <v>NA</v>
      </c>
      <c r="GB535" s="151">
        <f>CM535+CO535+CQ535+CS535</f>
        <v>0</v>
      </c>
      <c r="GC535" s="61" t="str">
        <f t="shared" ref="GC535:GC541" si="2900">IF(ISERROR((GB535/FZ535-1)*100),"NA",IF(((GB535/FZ535-1)*100)&gt;100,"NM",IF(((GB535/FZ535-1)*100)&lt;-50,"NM",(GB535/FZ535-1)*100)))</f>
        <v>NA</v>
      </c>
      <c r="GD535" s="151">
        <f>CU535+CW535+CY535+DA535</f>
        <v>0</v>
      </c>
      <c r="GE535" s="61" t="str">
        <f t="shared" ref="GE535:GW541" si="2901">IF(ISERROR((GD535/GB535-1)*100),"NA",IF(((GD535/GB535-1)*100)&gt;100,"NM",IF(((GD535/GB535-1)*100)&lt;-50,"NM",(GD535/GB535-1)*100)))</f>
        <v>NA</v>
      </c>
      <c r="GF535" s="151">
        <f>DC535+DE535+DG535+DI535</f>
        <v>0</v>
      </c>
      <c r="GG535" s="61" t="str">
        <f t="shared" si="2901"/>
        <v>NA</v>
      </c>
      <c r="GH535" s="151">
        <f>DK535+DM535+DO535+DQ535</f>
        <v>0</v>
      </c>
      <c r="GI535" s="61" t="str">
        <f t="shared" si="2901"/>
        <v>NA</v>
      </c>
      <c r="GJ535" s="151">
        <f>DS535+DU535+DW535+DY535</f>
        <v>0</v>
      </c>
      <c r="GK535" s="61" t="str">
        <f t="shared" si="2901"/>
        <v>NA</v>
      </c>
      <c r="GL535" s="151">
        <f>EA535+EC535+EE535+EG535</f>
        <v>0</v>
      </c>
      <c r="GM535" s="61" t="str">
        <f t="shared" si="2901"/>
        <v>NA</v>
      </c>
      <c r="GN535" s="151">
        <f>EI535+EK535+EM535+EO535</f>
        <v>0</v>
      </c>
      <c r="GO535" s="61" t="str">
        <f t="shared" si="2901"/>
        <v>NA</v>
      </c>
      <c r="GP535" s="151">
        <f>EQ535+ES535+EU535+EW535</f>
        <v>0</v>
      </c>
      <c r="GQ535" s="61" t="str">
        <f t="shared" si="2901"/>
        <v>NA</v>
      </c>
      <c r="GR535" s="148">
        <v>0</v>
      </c>
      <c r="GS535" s="61" t="str">
        <f t="shared" si="2901"/>
        <v>NA</v>
      </c>
      <c r="GT535" s="148">
        <v>0</v>
      </c>
      <c r="GU535" s="61" t="str">
        <f t="shared" si="2901"/>
        <v>NA</v>
      </c>
      <c r="GV535" s="148">
        <v>0</v>
      </c>
      <c r="GW535" s="61" t="str">
        <f t="shared" si="2901"/>
        <v>NA</v>
      </c>
      <c r="GX535" s="148">
        <v>0</v>
      </c>
      <c r="GY535" s="61" t="str">
        <f t="shared" ref="GY535:GY541" si="2902">IF(ISERROR((GX535/GV535-1)*100),"NA",IF(((GX535/GV535-1)*100)&gt;100,"NM",IF(((GX535/GV535-1)*100)&lt;-50,"NM",(GX535/GV535-1)*100)))</f>
        <v>NA</v>
      </c>
      <c r="GZ535" s="61" t="str">
        <f t="shared" si="2854"/>
        <v/>
      </c>
      <c r="HA535" s="61"/>
      <c r="HB535" s="452"/>
      <c r="HC535"/>
      <c r="HD535"/>
      <c r="HE535"/>
      <c r="HF535"/>
      <c r="HG535"/>
      <c r="HH535"/>
    </row>
    <row r="536" spans="1:216" s="5" customFormat="1" ht="12.75" customHeight="1" x14ac:dyDescent="0.2">
      <c r="A536" s="5" t="s">
        <v>429</v>
      </c>
      <c r="B536" s="63" t="s">
        <v>464</v>
      </c>
      <c r="C536" s="102">
        <f>C533+C535</f>
        <v>170.3</v>
      </c>
      <c r="D536" s="70"/>
      <c r="E536" s="102">
        <f>E533+E535</f>
        <v>173.1</v>
      </c>
      <c r="F536" s="71"/>
      <c r="G536" s="102">
        <f>G533+G535</f>
        <v>190.7</v>
      </c>
      <c r="H536" s="71"/>
      <c r="I536" s="102">
        <f>I533+I535</f>
        <v>184.99</v>
      </c>
      <c r="J536" s="61"/>
      <c r="K536" s="102">
        <f>K533+K535</f>
        <v>167.4</v>
      </c>
      <c r="L536" s="61">
        <f>IF(ISERROR((K536/C536-1)*100),"NA",IF(((K536/C536-1)*100)&gt;100,"NM",IF(((K536/C536-1)*100)&lt;-50,"NM",(K536/C536-1)*100)))</f>
        <v>-1.7028772753963639</v>
      </c>
      <c r="M536" s="102">
        <f>M533+M535</f>
        <v>157.30000000000001</v>
      </c>
      <c r="N536" s="61">
        <f>IF(ISERROR((M536/E536-1)*100),"NA",IF(((M536/E536-1)*100)&gt;100,"NM",IF(((M536/E536-1)*100)&lt;-50,"NM",(M536/E536-1)*100)))</f>
        <v>-9.1276718659734186</v>
      </c>
      <c r="O536" s="102">
        <f>O533+O535</f>
        <v>134</v>
      </c>
      <c r="P536" s="61">
        <f>IF(ISERROR((O536/G536-1)*100),"NA",IF(((O536/G536-1)*100)&gt;100,"NM",IF(((O536/G536-1)*100)&lt;-50,"NM",(O536/G536-1)*100)))</f>
        <v>-29.732564237021496</v>
      </c>
      <c r="Q536" s="102">
        <f>Q533+Q535</f>
        <v>186.6</v>
      </c>
      <c r="R536" s="61">
        <f>IF(ISERROR((Q536/I536-1)*100),"NA",IF(((Q536/I536-1)*100)&gt;100,"NM",IF(((Q536/I536-1)*100)&lt;-50,"NM",(Q536/I536-1)*100)))</f>
        <v>0.87031731444942029</v>
      </c>
      <c r="S536" s="102">
        <f>S533+S535</f>
        <v>153.1</v>
      </c>
      <c r="T536" s="61">
        <f>IF(ISERROR((S536/K536-1)*100),"NA",IF(((S536/K536-1)*100)&gt;100,"NM",IF(((S536/K536-1)*100)&lt;-50,"NM",(S536/K536-1)*100)))</f>
        <v>-8.54241338112306</v>
      </c>
      <c r="U536" s="102">
        <f>U533+U535</f>
        <v>116</v>
      </c>
      <c r="V536" s="61">
        <f>IF(ISERROR((U536/M536-1)*100),"NA",IF(((U536/M536-1)*100)&gt;100,"NM",IF(((U536/M536-1)*100)&lt;-50,"NM",(U536/M536-1)*100)))</f>
        <v>-26.25556261919899</v>
      </c>
      <c r="W536" s="102">
        <f>W533+W535</f>
        <v>62.500000000000128</v>
      </c>
      <c r="X536" s="61" t="str">
        <f>IF(ISERROR((W536/O536-1)*100),"NA",IF(((W536/O536-1)*100)&gt;100,"NM",IF(((W536/O536-1)*100)&lt;-50,"NM",(W536/O536-1)*100)))</f>
        <v>NM</v>
      </c>
      <c r="Y536" s="102">
        <f>Y533+Y535</f>
        <v>100.1</v>
      </c>
      <c r="Z536" s="61">
        <f>IF(ISERROR((Y536/Q536-1)*100),"NA",IF(((Y536/Q536-1)*100)&gt;100,"NM",IF(((Y536/Q536-1)*100)&lt;-50,"NM",(Y536/Q536-1)*100)))</f>
        <v>-46.355841371918551</v>
      </c>
      <c r="AA536" s="102">
        <f>AA533+AA535</f>
        <v>104.7</v>
      </c>
      <c r="AB536" s="61">
        <f>IF(ISERROR((AA536/S536-1)*100),"NA",IF(((AA536/S536-1)*100)&gt;100,"NM",IF(((AA536/S536-1)*100)&lt;-50,"NM",(AA536/S536-1)*100)))</f>
        <v>-31.613324624428472</v>
      </c>
      <c r="AC536" s="102">
        <f>AC533+AC535</f>
        <v>153.30000000000001</v>
      </c>
      <c r="AD536" s="61">
        <f>IF(ISERROR((AC536/U536-1)*100),"NA",IF(((AC536/U536-1)*100)&gt;100,"NM",IF(((AC536/U536-1)*100)&lt;-50,"NM",(AC536/U536-1)*100)))</f>
        <v>32.15517241379311</v>
      </c>
      <c r="AE536" s="102">
        <f>AE533+AE535</f>
        <v>156.1</v>
      </c>
      <c r="AF536" s="61" t="str">
        <f>IF(ISERROR((AE536/W536-1)*100),"NA",IF(((AE536/W536-1)*100)&gt;100,"NM",IF(((AE536/W536-1)*100)&lt;-50,"NM",(AE536/W536-1)*100)))</f>
        <v>NM</v>
      </c>
      <c r="AG536" s="102">
        <f>AG533+AG535</f>
        <v>178.7</v>
      </c>
      <c r="AH536" s="61">
        <f>IF(ISERROR((AG536/Y536-1)*100),"NA",IF(((AG536/Y536-1)*100)&gt;100,"NM",IF(((AG536/Y536-1)*100)&lt;-50,"NM",(AG536/Y536-1)*100)))</f>
        <v>78.521478521478528</v>
      </c>
      <c r="AI536" s="102">
        <f>AI533+AI535</f>
        <v>175.4</v>
      </c>
      <c r="AJ536" s="61">
        <f>IF(ISERROR((AI536/AA536-1)*100),"NA",IF(((AI536/AA536-1)*100)&gt;100,"NM",IF(((AI536/AA536-1)*100)&lt;-50,"NM",(AI536/AA536-1)*100)))</f>
        <v>67.526265520534864</v>
      </c>
      <c r="AK536" s="102">
        <f>AK533+AK535</f>
        <v>181.35</v>
      </c>
      <c r="AL536" s="61">
        <f>IF(ISERROR((AK536/AC536-1)*100),"NA",IF(((AK536/AC536-1)*100)&gt;100,"NM",IF(((AK536/AC536-1)*100)&lt;-50,"NM",(AK536/AC536-1)*100)))</f>
        <v>18.297455968688837</v>
      </c>
      <c r="AM536" s="102">
        <f>AM533+AM535</f>
        <v>178.3</v>
      </c>
      <c r="AN536" s="61">
        <f>IF(ISERROR((AM536/AE536-1)*100),"NA",IF(((AM536/AE536-1)*100)&gt;100,"NM",IF(((AM536/AE536-1)*100)&lt;-50,"NM",(AM536/AE536-1)*100)))</f>
        <v>14.221652786675222</v>
      </c>
      <c r="AO536" s="102">
        <f>AO533+AO535</f>
        <v>189.87</v>
      </c>
      <c r="AP536" s="61">
        <f>IF(ISERROR((AO536/AG536-1)*100),"NA",IF(((AO536/AG536-1)*100)&gt;100,"NM",IF(((AO536/AG536-1)*100)&lt;-50,"NM",(AO536/AG536-1)*100)))</f>
        <v>6.2506994963626328</v>
      </c>
      <c r="AQ536" s="102">
        <f>AQ533+AQ535</f>
        <v>208.54200000000006</v>
      </c>
      <c r="AR536" s="61">
        <f>IF(ISERROR((AQ536/AI536-1)*100),"NA",IF(((AQ536/AI536-1)*100)&gt;100,"NM",IF(((AQ536/AI536-1)*100)&lt;-50,"NM",(AQ536/AI536-1)*100)))</f>
        <v>18.895096921322718</v>
      </c>
      <c r="AS536" s="102">
        <f>AS533+AS535</f>
        <v>194.86300000000003</v>
      </c>
      <c r="AT536" s="61">
        <f>IF(ISERROR((AS536/AK536-1)*100),"NA",IF(((AS536/AK536-1)*100)&gt;100,"NM",IF(((AS536/AK536-1)*100)&lt;-50,"NM",(AS536/AK536-1)*100)))</f>
        <v>7.4513371932726891</v>
      </c>
      <c r="AU536" s="102">
        <f>AU533+AU535</f>
        <v>209.66599999999991</v>
      </c>
      <c r="AV536" s="61">
        <f>IF(ISERROR((AU536/AM536-1)*100),"NA",IF(((AU536/AM536-1)*100)&gt;100,"NM",IF(((AU536/AM536-1)*100)&lt;-50,"NM",(AU536/AM536-1)*100)))</f>
        <v>17.591699383062199</v>
      </c>
      <c r="AW536" s="102">
        <f>AW533+AW535</f>
        <v>256.73500000000001</v>
      </c>
      <c r="AX536" s="61">
        <f>IF(ISERROR((AW536/AO536-1)*100),"NA",IF(((AW536/AO536-1)*100)&gt;100,"NM",IF(((AW536/AO536-1)*100)&lt;-50,"NM",(AW536/AO536-1)*100)))</f>
        <v>35.216200558276725</v>
      </c>
      <c r="AY536" s="102">
        <f>AY533+AY535</f>
        <v>246.95999999999995</v>
      </c>
      <c r="AZ536" s="61">
        <f>IF(ISERROR((AY536/AQ536-1)*100),"NA",IF(((AY536/AQ536-1)*100)&gt;100,"NM",IF(((AY536/AQ536-1)*100)&lt;-50,"NM",(AY536/AQ536-1)*100)))</f>
        <v>18.422188336162449</v>
      </c>
      <c r="BA536" s="102">
        <f>BA533+BA535</f>
        <v>294.45999999999998</v>
      </c>
      <c r="BB536" s="61">
        <f>IF(ISERROR((BA536/AS536-1)*100),"NA",IF(((BA536/AS536-1)*100)&gt;100,"NM",IF(((BA536/AS536-1)*100)&lt;-50,"NM",(BA536/AS536-1)*100)))</f>
        <v>51.111293575486336</v>
      </c>
      <c r="BC536" s="102">
        <f>BC533+BC535</f>
        <v>326.76000000000005</v>
      </c>
      <c r="BD536" s="61">
        <f>IF(ISERROR((BC536/AU536-1)*100),"NA",IF(((BC536/AU536-1)*100)&gt;100,"NM",IF(((BC536/AU536-1)*100)&lt;-50,"NM",(BC536/AU536-1)*100)))</f>
        <v>55.847872330277767</v>
      </c>
      <c r="BE536" s="102">
        <f>BE533+BE535</f>
        <v>336.45999999999992</v>
      </c>
      <c r="BF536" s="61">
        <f>IF(ISERROR((BE536/AW536-1)*100),"NA",IF(((BE536/AW536-1)*100)&gt;100,"NM",IF(((BE536/AW536-1)*100)&lt;-50,"NM",(BE536/AW536-1)*100)))</f>
        <v>31.053420842502931</v>
      </c>
      <c r="BG536" s="536">
        <f>BG533+BG535</f>
        <v>324.40000000000009</v>
      </c>
      <c r="BH536" s="61">
        <f>IF(ISERROR((BG536/AY536-1)*100),"NA",IF(((BG536/AY536-1)*100)&gt;100,"NM",IF(((BG536/AY536-1)*100)&lt;-50,"NM",(BG536/AY536-1)*100)))</f>
        <v>31.357304826692634</v>
      </c>
      <c r="BI536" s="102">
        <f>BI533+BI535</f>
        <v>324.70000000000005</v>
      </c>
      <c r="BJ536" s="61">
        <f>IF(ISERROR((BI536/BA536-1)*100),"NA",IF(((BI536/BA536-1)*100)&gt;100,"NM",IF(((BI536/BA536-1)*100)&lt;-50,"NM",(BI536/BA536-1)*100)))</f>
        <v>10.269646131902487</v>
      </c>
      <c r="BK536" s="536">
        <f>BK533+BK535</f>
        <v>335.3</v>
      </c>
      <c r="BL536" s="61">
        <f>IF(ISERROR((BK536/BC536-1)*100),"NA",IF(((BK536/BC536-1)*100)&gt;100,"NM",IF(((BK536/BC536-1)*100)&lt;-50,"NM",(BK536/BC536-1)*100)))</f>
        <v>2.61353898886032</v>
      </c>
      <c r="BM536" s="102">
        <f>BM533+BM535</f>
        <v>356.49999999999983</v>
      </c>
      <c r="BN536" s="61">
        <f>IF(ISERROR((BM536/BE536-1)*100),"NA",IF(((BM536/BE536-1)*100)&gt;100,"NM",IF(((BM536/BE536-1)*100)&lt;-50,"NM",(BM536/BE536-1)*100)))</f>
        <v>5.9561314866551474</v>
      </c>
      <c r="BO536" s="102">
        <f>BO533+BO535</f>
        <v>304.50000000000011</v>
      </c>
      <c r="BP536" s="61">
        <f>IF(ISERROR((BO536/BG536-1)*100),"NA",IF(((BO536/BG536-1)*100)&gt;100,"NM",IF(((BO536/BG536-1)*100)&lt;-50,"NM",(BO536/BG536-1)*100)))</f>
        <v>-6.1344019728729826</v>
      </c>
      <c r="BQ536" s="102">
        <f>BQ533+BQ535</f>
        <v>308.60000000000008</v>
      </c>
      <c r="BR536" s="61">
        <f>IF(ISERROR((BQ536/BI536-1)*100),"NA",IF(((BQ536/BI536-1)*100)&gt;100,"NM",IF(((BQ536/BI536-1)*100)&lt;-50,"NM",(BQ536/BI536-1)*100)))</f>
        <v>-4.9584231598398425</v>
      </c>
      <c r="BS536" s="102">
        <f>BS533+BS535</f>
        <v>315.00000000000011</v>
      </c>
      <c r="BT536" s="61">
        <f>IF(ISERROR((BS536/BK536-1)*100),"NA",IF(((BS536/BK536-1)*100)&gt;100,"NM",IF(((BS536/BK536-1)*100)&lt;-50,"NM",(BS536/BK536-1)*100)))</f>
        <v>-6.0542797494780531</v>
      </c>
      <c r="BU536" s="102">
        <f>BU533+BU535</f>
        <v>213.89999999999986</v>
      </c>
      <c r="BV536" s="61">
        <f>IF(ISERROR((BU536/BM536-1)*100),"NA",IF(((BU536/BM536-1)*100)&gt;100,"NM",IF(((BU536/BM536-1)*100)&lt;-50,"NM",(BU536/BM536-1)*100)))</f>
        <v>-40.000000000000014</v>
      </c>
      <c r="BW536" s="102">
        <f>BW533+BW535</f>
        <v>195.50000000000006</v>
      </c>
      <c r="BX536" s="61">
        <f>IF(ISERROR((BW536/BO536-1)*100),"NA",IF(((BW536/BO536-1)*100)&gt;100,"NM",IF(((BW536/BO536-1)*100)&lt;-50,"NM",(BW536/BO536-1)*100)))</f>
        <v>-35.79638752052545</v>
      </c>
      <c r="BY536" s="102">
        <f>BY533+BY535</f>
        <v>207.30000000000015</v>
      </c>
      <c r="BZ536" s="61">
        <f>IF(ISERROR((BY536/BQ536-1)*100),"NA",IF(((BY536/BQ536-1)*100)&gt;100,"NM",IF(((BY536/BQ536-1)*100)&lt;-50,"NM",(BY536/BQ536-1)*100)))</f>
        <v>-32.825664290343461</v>
      </c>
      <c r="CA536" s="102">
        <f>CA533+CA535</f>
        <v>261.50999999999988</v>
      </c>
      <c r="CB536" s="61">
        <f t="shared" si="2862"/>
        <v>-16.980952380952452</v>
      </c>
      <c r="CC536" s="102">
        <f>CC533+CC535</f>
        <v>299.7</v>
      </c>
      <c r="CD536" s="61">
        <f t="shared" si="2863"/>
        <v>40.112201963534446</v>
      </c>
      <c r="CE536" s="102">
        <f>CE533+CE535</f>
        <v>283.20000000000005</v>
      </c>
      <c r="CF536" s="61">
        <f t="shared" si="2864"/>
        <v>44.859335038363149</v>
      </c>
      <c r="CG536" s="102">
        <f>CG533+CG535</f>
        <v>290.70000000000005</v>
      </c>
      <c r="CH536" s="61">
        <f t="shared" si="2865"/>
        <v>40.231548480463019</v>
      </c>
      <c r="CI536" s="102">
        <f>CI533+CI535</f>
        <v>281.59999999999997</v>
      </c>
      <c r="CJ536" s="61">
        <f t="shared" si="2866"/>
        <v>7.6823066039539922</v>
      </c>
      <c r="CK536" s="102">
        <f>CK533+CK535</f>
        <v>297.5999999999998</v>
      </c>
      <c r="CL536" s="61">
        <f t="shared" si="2867"/>
        <v>-0.70070070070076262</v>
      </c>
      <c r="CM536" s="102">
        <f>CM533+CM535</f>
        <v>275.9000000000002</v>
      </c>
      <c r="CN536" s="61">
        <f t="shared" si="2868"/>
        <v>-2.5776836158191485</v>
      </c>
      <c r="CO536" s="441">
        <f>CO533+CO535</f>
        <v>290.89999999999981</v>
      </c>
      <c r="CP536" s="61">
        <f t="shared" si="2869"/>
        <v>6.8799449604317608E-2</v>
      </c>
      <c r="CQ536" s="441">
        <f>CQ533+CQ535</f>
        <v>312.89999999999992</v>
      </c>
      <c r="CR536" s="61">
        <f t="shared" si="2870"/>
        <v>11.115056818181813</v>
      </c>
      <c r="CS536" s="441">
        <f>CS533+CS535</f>
        <v>280</v>
      </c>
      <c r="CT536" s="61">
        <f t="shared" si="2871"/>
        <v>-5.9139784946235956</v>
      </c>
      <c r="CU536" s="441">
        <f>CU533+CU535</f>
        <v>293</v>
      </c>
      <c r="CV536" s="61">
        <f t="shared" si="2872"/>
        <v>6.19789778905393</v>
      </c>
      <c r="CW536" s="441">
        <f>CW533+CW535</f>
        <v>295</v>
      </c>
      <c r="CX536" s="61">
        <f t="shared" si="2873"/>
        <v>1.4094190443451948</v>
      </c>
      <c r="CY536" s="441">
        <f>CY533+CY535</f>
        <v>328</v>
      </c>
      <c r="CZ536" s="61">
        <f t="shared" si="2874"/>
        <v>4.8258229466283442</v>
      </c>
      <c r="DA536" s="441">
        <f>DA533+DA535</f>
        <v>302</v>
      </c>
      <c r="DB536" s="61">
        <f t="shared" si="2875"/>
        <v>7.8571428571428514</v>
      </c>
      <c r="DC536" s="441">
        <f>DC533+DC535</f>
        <v>298.49799999999999</v>
      </c>
      <c r="DD536" s="61">
        <f t="shared" si="2876"/>
        <v>1.8764505119453823</v>
      </c>
      <c r="DE536" s="441">
        <f>DE533+DE535</f>
        <v>332</v>
      </c>
      <c r="DF536" s="61">
        <f t="shared" si="2877"/>
        <v>12.542372881355934</v>
      </c>
      <c r="DG536" s="441">
        <f>DG533+DG535</f>
        <v>339</v>
      </c>
      <c r="DH536" s="61">
        <f t="shared" si="2878"/>
        <v>3.3536585365853577</v>
      </c>
      <c r="DI536" s="441">
        <f>DI533+DI535</f>
        <v>357</v>
      </c>
      <c r="DJ536" s="61">
        <f t="shared" si="2879"/>
        <v>18.211920529801318</v>
      </c>
      <c r="DK536" s="441">
        <f>DK533+DK535</f>
        <v>364</v>
      </c>
      <c r="DL536" s="61">
        <f t="shared" si="2880"/>
        <v>21.94386562054018</v>
      </c>
      <c r="DM536" s="441">
        <f>DM533+DM535</f>
        <v>384</v>
      </c>
      <c r="DN536" s="130">
        <f t="shared" si="2881"/>
        <v>15.662650602409634</v>
      </c>
      <c r="DO536" s="441">
        <f>DO533+DO535</f>
        <v>404</v>
      </c>
      <c r="DP536" s="130">
        <f t="shared" si="2881"/>
        <v>19.174041297935098</v>
      </c>
      <c r="DQ536" s="441">
        <f>DQ533+DQ535</f>
        <v>387</v>
      </c>
      <c r="DR536" s="130">
        <f t="shared" si="2881"/>
        <v>8.4033613445378066</v>
      </c>
      <c r="DS536" s="441">
        <f>DS533+DS535</f>
        <v>352</v>
      </c>
      <c r="DT536" s="130">
        <f t="shared" si="2881"/>
        <v>-3.2967032967032961</v>
      </c>
      <c r="DU536" s="441">
        <f>DU533+DU535</f>
        <v>379</v>
      </c>
      <c r="DV536" s="130">
        <f t="shared" si="2881"/>
        <v>-1.302083333333337</v>
      </c>
      <c r="DW536" s="441">
        <f>DW533+DW535</f>
        <v>421.5</v>
      </c>
      <c r="DX536" s="441">
        <f t="shared" ref="DX536:DY536" si="2903">DX533+DX535</f>
        <v>421.5</v>
      </c>
      <c r="DY536" s="441">
        <f t="shared" si="2903"/>
        <v>382</v>
      </c>
      <c r="DZ536" s="130">
        <f t="shared" si="2881"/>
        <v>-1.2919896640826822</v>
      </c>
      <c r="EA536" s="441">
        <f t="shared" ref="EA536:EC536" si="2904">EA533+EA535</f>
        <v>362</v>
      </c>
      <c r="EB536" s="130">
        <f t="shared" si="2882"/>
        <v>2.8409090909090828</v>
      </c>
      <c r="EC536" s="441">
        <f t="shared" si="2904"/>
        <v>373</v>
      </c>
      <c r="ED536" s="130">
        <f t="shared" si="2883"/>
        <v>-1.5831134564643801</v>
      </c>
      <c r="EE536" s="441">
        <f t="shared" ref="EE536:EG536" si="2905">EE533+EE535</f>
        <v>408.3</v>
      </c>
      <c r="EF536" s="130">
        <f t="shared" si="2884"/>
        <v>-3.1316725978647653</v>
      </c>
      <c r="EG536" s="441">
        <f t="shared" si="2905"/>
        <v>409</v>
      </c>
      <c r="EH536" s="130">
        <f t="shared" si="2885"/>
        <v>7.0680628272251411</v>
      </c>
      <c r="EI536" s="441">
        <f t="shared" ref="EI536:EK536" si="2906">EI533+EI535</f>
        <v>398</v>
      </c>
      <c r="EJ536" s="130">
        <f t="shared" si="2886"/>
        <v>9.9447513812154664</v>
      </c>
      <c r="EK536" s="441">
        <f t="shared" si="2906"/>
        <v>419</v>
      </c>
      <c r="EL536" s="130">
        <f t="shared" si="2887"/>
        <v>12.332439678284191</v>
      </c>
      <c r="EM536" s="441">
        <f t="shared" ref="EM536" si="2907">EM533+EM535</f>
        <v>433.5</v>
      </c>
      <c r="EN536" s="130">
        <f t="shared" si="2888"/>
        <v>6.1719324026451083</v>
      </c>
      <c r="EO536" s="441">
        <f t="shared" ref="EO536" si="2908">EO533+EO535</f>
        <v>440</v>
      </c>
      <c r="EP536" s="130">
        <f t="shared" si="2889"/>
        <v>7.5794621026894937</v>
      </c>
      <c r="EQ536" s="102">
        <f t="shared" ref="EQ536:EW536" si="2909">EQ533+EQ535</f>
        <v>433.01539174143363</v>
      </c>
      <c r="ER536" s="130">
        <f t="shared" si="2891"/>
        <v>8.7978371209632265</v>
      </c>
      <c r="ES536" s="102">
        <f t="shared" si="2909"/>
        <v>460.45921990626726</v>
      </c>
      <c r="ET536" s="130">
        <f t="shared" si="2892"/>
        <v>9.894801886937298</v>
      </c>
      <c r="EU536" s="102">
        <f t="shared" si="2909"/>
        <v>479.13694888564487</v>
      </c>
      <c r="EV536" s="130">
        <f t="shared" si="2893"/>
        <v>10.527554529560534</v>
      </c>
      <c r="EW536" s="102">
        <f t="shared" si="2909"/>
        <v>492.61294385852671</v>
      </c>
      <c r="EX536" s="130">
        <f t="shared" si="2894"/>
        <v>11.95748724057426</v>
      </c>
      <c r="EY536" s="74"/>
      <c r="EZ536" s="558"/>
      <c r="FA536" s="74"/>
      <c r="FB536" s="102">
        <f>FB533+FB535</f>
        <v>529.99852190000001</v>
      </c>
      <c r="FC536" s="124"/>
      <c r="FD536" s="102">
        <f>FD533+FD535</f>
        <v>475.2</v>
      </c>
      <c r="FE536" s="126">
        <f>IF(ISERROR((FD536/FB536-1)*100),"NA",IF(((FD536/FB536-1)*100)&gt;100,"NM",IF(((FD536/FB536-1)*100)&lt;-50,"NM",(FD536/FB536-1)*100)))</f>
        <v>-10.339372589861561</v>
      </c>
      <c r="FF536" s="102">
        <f>FF533+FF535</f>
        <v>690.59</v>
      </c>
      <c r="FG536" s="126">
        <f>IF(ISERROR((FF536/FD536-1)*100),"NA",IF(((FF536/FD536-1)*100)&gt;100,"NM",IF(((FF536/FD536-1)*100)&lt;-50,"NM",(FF536/FD536-1)*100)))</f>
        <v>45.326178451178457</v>
      </c>
      <c r="FH536" s="102">
        <f>FH533+FH535</f>
        <v>644.70000000000005</v>
      </c>
      <c r="FI536" s="126">
        <f>IF(ISERROR((FH536/FF536-1)*100),"NA",IF(((FH536/FF536-1)*100)&gt;100,"NM",IF(((FH536/FF536-1)*100)&lt;-50,"NM",(FH536/FF536-1)*100)))</f>
        <v>-6.6450426446951099</v>
      </c>
      <c r="FJ536" s="102">
        <f>FJ533+FJ535</f>
        <v>432.2</v>
      </c>
      <c r="FK536" s="126">
        <f>IF(ISERROR((FJ536/FH536-1)*100),"NA",IF(((FJ536/FH536-1)*100)&gt;100,"NM",IF(((FJ536/FH536-1)*100)&lt;-50,"NM",(FJ536/FH536-1)*100)))</f>
        <v>-32.961067163021561</v>
      </c>
      <c r="FL536" s="102">
        <f>FL533+FL535</f>
        <v>592.79999999999995</v>
      </c>
      <c r="FM536" s="126">
        <f>IF(ISERROR((FL536/FJ536-1)*100),"NA",IF(((FL536/FJ536-1)*100)&gt;100,"NM",IF(((FL536/FJ536-1)*100)&lt;-50,"NM",(FL536/FJ536-1)*100)))</f>
        <v>37.158722813512249</v>
      </c>
      <c r="FN536" s="102">
        <f>FN533+FN535</f>
        <v>724.92</v>
      </c>
      <c r="FO536" s="126">
        <f>IF(ISERROR((FN536/FL536-1)*100),"NA",IF(((FN536/FL536-1)*100)&gt;100,"NM",IF(((FN536/FL536-1)*100)&lt;-50,"NM",(FN536/FL536-1)*100)))</f>
        <v>22.287449392712546</v>
      </c>
      <c r="FP536" s="104">
        <f>FP533+FP535</f>
        <v>869.80600000000004</v>
      </c>
      <c r="FQ536" s="61">
        <f>IF(ISERROR((FP536/FH536-1)*100),"NA",IF(((FP536/FH536-1)*100)&gt;100,"NM",IF(((FP536/FH536-1)*100)&lt;-50,"NM",(FP536/FH536-1)*100)))</f>
        <v>34.916395222584143</v>
      </c>
      <c r="FR536" s="104">
        <f>FR533+FR535</f>
        <v>1204.6399999999999</v>
      </c>
      <c r="FS536" s="61">
        <f t="shared" si="2895"/>
        <v>38.495250665090808</v>
      </c>
      <c r="FT536" s="545">
        <f>FT533+FT535</f>
        <v>1340.8999999999994</v>
      </c>
      <c r="FU536" s="61">
        <f t="shared" si="2896"/>
        <v>11.311263115951608</v>
      </c>
      <c r="FV536" s="545">
        <f>FV533+FV535</f>
        <v>1142.0000000000005</v>
      </c>
      <c r="FW536" s="61">
        <f t="shared" si="2897"/>
        <v>-14.833320903870462</v>
      </c>
      <c r="FX536" s="102">
        <f>FX533+FX535</f>
        <v>964.01000000000022</v>
      </c>
      <c r="FY536" s="61">
        <f t="shared" si="2898"/>
        <v>-15.585814360770589</v>
      </c>
      <c r="FZ536" s="102">
        <f>FZ533+FZ535</f>
        <v>1153.0999999999995</v>
      </c>
      <c r="GA536" s="61">
        <f t="shared" si="2899"/>
        <v>19.614941753716163</v>
      </c>
      <c r="GB536" s="102">
        <f>GB533+GB535</f>
        <v>1159.7000000000003</v>
      </c>
      <c r="GC536" s="61">
        <f t="shared" si="2900"/>
        <v>0.57237013268587322</v>
      </c>
      <c r="GD536" s="102">
        <f>GD533+GD535</f>
        <v>1218</v>
      </c>
      <c r="GE536" s="61">
        <f t="shared" si="2901"/>
        <v>5.0271621971199165</v>
      </c>
      <c r="GF536" s="102">
        <f>GF533+GF535</f>
        <v>1326.498</v>
      </c>
      <c r="GG536" s="61">
        <f t="shared" si="2901"/>
        <v>8.9078817733990299</v>
      </c>
      <c r="GH536" s="102">
        <f>GH533+GH535</f>
        <v>1539</v>
      </c>
      <c r="GI536" s="61">
        <f t="shared" si="2901"/>
        <v>16.019775378477764</v>
      </c>
      <c r="GJ536" s="102">
        <f>GJ533+GJ535</f>
        <v>1534.5</v>
      </c>
      <c r="GK536" s="61">
        <f t="shared" si="2901"/>
        <v>-0.29239766081871066</v>
      </c>
      <c r="GL536" s="102">
        <f>GL533+GL535</f>
        <v>1552.3</v>
      </c>
      <c r="GM536" s="61">
        <f t="shared" si="2901"/>
        <v>1.1599869664385754</v>
      </c>
      <c r="GN536" s="102">
        <f>GN533+GN535</f>
        <v>1690.5</v>
      </c>
      <c r="GO536" s="61">
        <f t="shared" si="2901"/>
        <v>8.9029182503382209</v>
      </c>
      <c r="GP536" s="102">
        <f>GP533+GP535</f>
        <v>1865.2245043918708</v>
      </c>
      <c r="GQ536" s="61">
        <f t="shared" si="2901"/>
        <v>10.335670179939127</v>
      </c>
      <c r="GR536" s="102">
        <f>GR533+GR535</f>
        <v>1997.2805153712757</v>
      </c>
      <c r="GS536" s="61">
        <f t="shared" si="2901"/>
        <v>7.0798989970625392</v>
      </c>
      <c r="GT536" s="102">
        <f>GT533+GT535</f>
        <v>2187.2095019673025</v>
      </c>
      <c r="GU536" s="61">
        <f t="shared" si="2901"/>
        <v>9.5093796356753089</v>
      </c>
      <c r="GV536" s="102">
        <f>GV533+GV535</f>
        <v>2296.8237050363132</v>
      </c>
      <c r="GW536" s="61">
        <f t="shared" si="2901"/>
        <v>5.0116005334842173</v>
      </c>
      <c r="GX536" s="102">
        <f>GX533+GX535</f>
        <v>2417.6717699682927</v>
      </c>
      <c r="GY536" s="61">
        <f t="shared" si="2902"/>
        <v>5.2615298539018251</v>
      </c>
      <c r="GZ536" s="61">
        <f t="shared" si="2854"/>
        <v>7.4178443801586669</v>
      </c>
      <c r="HA536" s="61"/>
      <c r="HB536" s="452"/>
      <c r="HC536"/>
      <c r="HD536"/>
      <c r="HE536"/>
      <c r="HF536"/>
      <c r="HG536"/>
      <c r="HH536"/>
    </row>
    <row r="537" spans="1:216" s="5" customFormat="1" ht="12.75" customHeight="1" x14ac:dyDescent="0.2">
      <c r="B537" s="2" t="s">
        <v>4</v>
      </c>
      <c r="C537" s="72">
        <v>0</v>
      </c>
      <c r="D537" s="70"/>
      <c r="E537" s="72">
        <v>0</v>
      </c>
      <c r="F537" s="71"/>
      <c r="G537" s="72">
        <v>0</v>
      </c>
      <c r="H537" s="71"/>
      <c r="I537" s="72">
        <v>0</v>
      </c>
      <c r="J537" s="61"/>
      <c r="K537" s="72">
        <v>0</v>
      </c>
      <c r="L537" s="61" t="str">
        <f>IF(ISERROR((K537/C537-1)*100),"NA",IF(((K537/C537-1)*100)&gt;100,"NM",IF(((K537/C537-1)*100)&lt;-50,"NM",(K537/C537-1)*100)))</f>
        <v>NA</v>
      </c>
      <c r="M537" s="72">
        <v>0</v>
      </c>
      <c r="N537" s="61" t="str">
        <f>IF(ISERROR((M537/E537-1)*100),"NA",IF(((M537/E537-1)*100)&gt;100,"NM",IF(((M537/E537-1)*100)&lt;-50,"NM",(M537/E537-1)*100)))</f>
        <v>NA</v>
      </c>
      <c r="O537" s="72">
        <v>0</v>
      </c>
      <c r="P537" s="61" t="str">
        <f>IF(ISERROR((O537/G537-1)*100),"NA",IF(((O537/G537-1)*100)&gt;100,"NM",IF(((O537/G537-1)*100)&lt;-50,"NM",(O537/G537-1)*100)))</f>
        <v>NA</v>
      </c>
      <c r="Q537" s="72">
        <v>0</v>
      </c>
      <c r="R537" s="61" t="str">
        <f>IF(ISERROR((Q537/I537-1)*100),"NA",IF(((Q537/I537-1)*100)&gt;100,"NM",IF(((Q537/I537-1)*100)&lt;-50,"NM",(Q537/I537-1)*100)))</f>
        <v>NA</v>
      </c>
      <c r="S537" s="72">
        <v>0</v>
      </c>
      <c r="T537" s="61" t="str">
        <f>IF(ISERROR((S537/K537-1)*100),"NA",IF(((S537/K537-1)*100)&gt;100,"NM",IF(((S537/K537-1)*100)&lt;-50,"NM",(S537/K537-1)*100)))</f>
        <v>NA</v>
      </c>
      <c r="U537" s="72">
        <v>0</v>
      </c>
      <c r="V537" s="61" t="str">
        <f>IF(ISERROR((U537/M537-1)*100),"NA",IF(((U537/M537-1)*100)&gt;100,"NM",IF(((U537/M537-1)*100)&lt;-50,"NM",(U537/M537-1)*100)))</f>
        <v>NA</v>
      </c>
      <c r="W537" s="72">
        <v>0</v>
      </c>
      <c r="X537" s="61" t="str">
        <f>IF(ISERROR((W537/O537-1)*100),"NA",IF(((W537/O537-1)*100)&gt;100,"NM",IF(((W537/O537-1)*100)&lt;-50,"NM",(W537/O537-1)*100)))</f>
        <v>NA</v>
      </c>
      <c r="Y537" s="72">
        <v>0</v>
      </c>
      <c r="Z537" s="61" t="str">
        <f>IF(ISERROR((Y537/Q537-1)*100),"NA",IF(((Y537/Q537-1)*100)&gt;100,"NM",IF(((Y537/Q537-1)*100)&lt;-50,"NM",(Y537/Q537-1)*100)))</f>
        <v>NA</v>
      </c>
      <c r="AA537" s="72">
        <v>0</v>
      </c>
      <c r="AB537" s="61" t="str">
        <f>IF(ISERROR((AA537/S537-1)*100),"NA",IF(((AA537/S537-1)*100)&gt;100,"NM",IF(((AA537/S537-1)*100)&lt;-50,"NM",(AA537/S537-1)*100)))</f>
        <v>NA</v>
      </c>
      <c r="AC537" s="72">
        <v>0</v>
      </c>
      <c r="AD537" s="61" t="str">
        <f>IF(ISERROR((AC537/U537-1)*100),"NA",IF(((AC537/U537-1)*100)&gt;100,"NM",IF(((AC537/U537-1)*100)&lt;-50,"NM",(AC537/U537-1)*100)))</f>
        <v>NA</v>
      </c>
      <c r="AE537" s="72">
        <v>0</v>
      </c>
      <c r="AF537" s="61" t="str">
        <f>IF(ISERROR((AE537/W537-1)*100),"NA",IF(((AE537/W537-1)*100)&gt;100,"NM",IF(((AE537/W537-1)*100)&lt;-50,"NM",(AE537/W537-1)*100)))</f>
        <v>NA</v>
      </c>
      <c r="AG537" s="72">
        <v>0</v>
      </c>
      <c r="AH537" s="61" t="str">
        <f>IF(ISERROR((AG537/Y537-1)*100),"NA",IF(((AG537/Y537-1)*100)&gt;100,"NM",IF(((AG537/Y537-1)*100)&lt;-50,"NM",(AG537/Y537-1)*100)))</f>
        <v>NA</v>
      </c>
      <c r="AI537" s="72">
        <v>0</v>
      </c>
      <c r="AJ537" s="61" t="str">
        <f>IF(ISERROR((AI537/AA537-1)*100),"NA",IF(((AI537/AA537-1)*100)&gt;100,"NM",IF(((AI537/AA537-1)*100)&lt;-50,"NM",(AI537/AA537-1)*100)))</f>
        <v>NA</v>
      </c>
      <c r="AK537" s="73">
        <f>AK274+AK117+AK178+AK310+AK347+AK460+AK486+AK395</f>
        <v>0</v>
      </c>
      <c r="AL537" s="61" t="str">
        <f>IF(ISERROR((AK537/AC537-1)*100),"NA",IF(((AK537/AC537-1)*100)&gt;100,"NM",IF(((AK537/AC537-1)*100)&lt;-50,"NM",(AK537/AC537-1)*100)))</f>
        <v>NA</v>
      </c>
      <c r="AM537" s="73">
        <f>AM274+AM117+AM178+AM310+AM347+AM460+AM486+AM395</f>
        <v>0</v>
      </c>
      <c r="AN537" s="61" t="str">
        <f>IF(ISERROR((AM537/AE537-1)*100),"NA",IF(((AM537/AE537-1)*100)&gt;100,"NM",IF(((AM537/AE537-1)*100)&lt;-50,"NM",(AM537/AE537-1)*100)))</f>
        <v>NA</v>
      </c>
      <c r="AO537" s="73">
        <f>AO274+AO117+AO178+AO310+AO347+AO460+AO486+AO395</f>
        <v>0</v>
      </c>
      <c r="AP537" s="61" t="str">
        <f>IF(ISERROR((AO537/AG537-1)*100),"NA",IF(((AO537/AG537-1)*100)&gt;100,"NM",IF(((AO537/AG537-1)*100)&lt;-50,"NM",(AO537/AG537-1)*100)))</f>
        <v>NA</v>
      </c>
      <c r="AQ537" s="73">
        <f>AQ274+AQ117+AQ178+AQ310+AQ347+AQ460+AQ486+AQ429</f>
        <v>3.0999999999999996</v>
      </c>
      <c r="AR537" s="61" t="str">
        <f>IF(ISERROR((AQ537/AI537-1)*100),"NA",IF(((AQ537/AI537-1)*100)&gt;100,"NM",IF(((AQ537/AI537-1)*100)&lt;-50,"NM",(AQ537/AI537-1)*100)))</f>
        <v>NA</v>
      </c>
      <c r="AS537" s="73">
        <f>AS274+AS117+AS178+AS310+AS347+AS460+AS486+AS429</f>
        <v>46.5</v>
      </c>
      <c r="AT537" s="61" t="str">
        <f>IF(ISERROR((AS537/AK537-1)*100),"NA",IF(((AS537/AK537-1)*100)&gt;100,"NM",IF(((AS537/AK537-1)*100)&lt;-50,"NM",(AS537/AK537-1)*100)))</f>
        <v>NA</v>
      </c>
      <c r="AU537" s="73">
        <f>AU274+AU117+AU178+AU310+AU347+AU460+AU486+AU429</f>
        <v>40.549999999999997</v>
      </c>
      <c r="AV537" s="61" t="str">
        <f>IF(ISERROR((AU537/AM537-1)*100),"NA",IF(((AU537/AM537-1)*100)&gt;100,"NM",IF(((AU537/AM537-1)*100)&lt;-50,"NM",(AU537/AM537-1)*100)))</f>
        <v>NA</v>
      </c>
      <c r="AW537" s="73">
        <f>AW274+AW117+AW178+AW310+AW347+AW460+AW486+AW429</f>
        <v>0</v>
      </c>
      <c r="AX537" s="61" t="str">
        <f>IF(ISERROR((AW537/AO537-1)*100),"NA",IF(((AW537/AO537-1)*100)&gt;100,"NM",IF(((AW537/AO537-1)*100)&lt;-50,"NM",(AW537/AO537-1)*100)))</f>
        <v>NA</v>
      </c>
      <c r="AY537" s="73">
        <f>AY274+AY117+AY178+AY310+AY347+AY460+AY486+AY429</f>
        <v>0</v>
      </c>
      <c r="AZ537" s="61" t="str">
        <f>IF(ISERROR((AY537/AQ537-1)*100),"NA",IF(((AY537/AQ537-1)*100)&gt;100,"NM",IF(((AY537/AQ537-1)*100)&lt;-50,"NM",(AY537/AQ537-1)*100)))</f>
        <v>NM</v>
      </c>
      <c r="BA537" s="73">
        <f>BA274+BA117+BA178+BA310+BA347+BA460+BA486+BA429</f>
        <v>29</v>
      </c>
      <c r="BB537" s="61">
        <f>IF(ISERROR((BA537/AS537-1)*100),"NA",IF(((BA537/AS537-1)*100)&gt;100,"NM",IF(((BA537/AS537-1)*100)&lt;-50,"NM",(BA537/AS537-1)*100)))</f>
        <v>-37.634408602150536</v>
      </c>
      <c r="BC537" s="73">
        <f>BC274+BC117+BC178+BC310+BC347+BC460+BC486+BC429</f>
        <v>31</v>
      </c>
      <c r="BD537" s="61">
        <f>IF(ISERROR((BC537/AU537-1)*100),"NA",IF(((BC537/AU537-1)*100)&gt;100,"NM",IF(((BC537/AU537-1)*100)&lt;-50,"NM",(BC537/AU537-1)*100)))</f>
        <v>-23.551171393341551</v>
      </c>
      <c r="BE537" s="73">
        <f>BE274+BE117+BE178+BE310+BE347+BE460+BE486+BE429</f>
        <v>24</v>
      </c>
      <c r="BF537" s="61" t="str">
        <f>IF(ISERROR((BE537/AW537-1)*100),"NA",IF(((BE537/AW537-1)*100)&gt;100,"NM",IF(((BE537/AW537-1)*100)&lt;-50,"NM",(BE537/AW537-1)*100)))</f>
        <v>NA</v>
      </c>
      <c r="BG537" s="539">
        <f>BG274+BG117+BG178+BG310+BG347+BG486</f>
        <v>15</v>
      </c>
      <c r="BH537" s="61" t="str">
        <f>IF(ISERROR((BG537/AY537-1)*100),"NA",IF(((BG537/AY537-1)*100)&gt;100,"NM",IF(((BG537/AY537-1)*100)&lt;-50,"NM",(BG537/AY537-1)*100)))</f>
        <v>NA</v>
      </c>
      <c r="BI537" s="73">
        <f>BI274+BI117+BI178+BI310+BI347+BI486</f>
        <v>25.9</v>
      </c>
      <c r="BJ537" s="61">
        <f>IF(ISERROR((BI537/BA537-1)*100),"NA",IF(((BI537/BA537-1)*100)&gt;100,"NM",IF(((BI537/BA537-1)*100)&lt;-50,"NM",(BI537/BA537-1)*100)))</f>
        <v>-10.689655172413804</v>
      </c>
      <c r="BK537" s="539">
        <f>BK274+BK117+BK178+BK310+BK486</f>
        <v>-3</v>
      </c>
      <c r="BL537" s="61" t="str">
        <f>IF(ISERROR((BK537/BC537-1)*100),"NA",IF(((BK537/BC537-1)*100)&gt;100,"NM",IF(((BK537/BC537-1)*100)&lt;-50,"NM",(BK537/BC537-1)*100)))</f>
        <v>NM</v>
      </c>
      <c r="BM537" s="73">
        <f>BM274+BM117+BM178+BM310+BM486</f>
        <v>-55</v>
      </c>
      <c r="BN537" s="61" t="str">
        <f>IF(ISERROR((BM537/BE537-1)*100),"NA",IF(((BM537/BE537-1)*100)&gt;100,"NM",IF(((BM537/BE537-1)*100)&lt;-50,"NM",(BM537/BE537-1)*100)))</f>
        <v>NM</v>
      </c>
      <c r="BO537" s="73">
        <f>BO274+BO117+BO178+BO310+BO486</f>
        <v>-5</v>
      </c>
      <c r="BP537" s="61" t="str">
        <f>IF(ISERROR((BO537/BG537-1)*100),"NA",IF(((BO537/BG537-1)*100)&gt;100,"NM",IF(((BO537/BG537-1)*100)&lt;-50,"NM",(BO537/BG537-1)*100)))</f>
        <v>NM</v>
      </c>
      <c r="BQ537" s="73">
        <f>BQ274+BQ117+BQ178+BQ310+BQ486</f>
        <v>0</v>
      </c>
      <c r="BR537" s="61" t="str">
        <f>IF(ISERROR((BQ537/BI537-1)*100),"NA",IF(((BQ537/BI537-1)*100)&gt;100,"NM",IF(((BQ537/BI537-1)*100)&lt;-50,"NM",(BQ537/BI537-1)*100)))</f>
        <v>NM</v>
      </c>
      <c r="BS537" s="73">
        <f>BS274+BS117+BS178+BS310+BS486</f>
        <v>-17</v>
      </c>
      <c r="BT537" s="61" t="str">
        <f>IF(ISERROR((BS537/BK537-1)*100),"NA",IF(((BS537/BK537-1)*100)&gt;100,"NM",IF(((BS537/BK537-1)*100)&lt;-50,"NM",(BS537/BK537-1)*100)))</f>
        <v>NM</v>
      </c>
      <c r="BU537" s="73">
        <f>BU274+BU117+BU178+BU310+BU486</f>
        <v>-341</v>
      </c>
      <c r="BV537" s="61" t="str">
        <f>IF(ISERROR((BU537/BM537-1)*100),"NA",IF(((BU537/BM537-1)*100)&gt;100,"NM",IF(((BU537/BM537-1)*100)&lt;-50,"NM",(BU537/BM537-1)*100)))</f>
        <v>NM</v>
      </c>
      <c r="BW537" s="73">
        <f>BW274+BW117+BW178+BW310+BW486</f>
        <v>-32.400000000000006</v>
      </c>
      <c r="BX537" s="61" t="str">
        <f>IF(ISERROR((BW537/BO537-1)*100),"NA",IF(((BW537/BO537-1)*100)&gt;100,"NM",IF(((BW537/BO537-1)*100)&lt;-50,"NM",(BW537/BO537-1)*100)))</f>
        <v>NM</v>
      </c>
      <c r="BY537" s="73">
        <f>BY274+BY117+BY178+BY310+BY486</f>
        <v>0</v>
      </c>
      <c r="BZ537" s="61" t="str">
        <f>IF(ISERROR((BY537/BQ537-1)*100),"NA",IF(((BY537/BQ537-1)*100)&gt;100,"NM",IF(((BY537/BQ537-1)*100)&lt;-50,"NM",(BY537/BQ537-1)*100)))</f>
        <v>NA</v>
      </c>
      <c r="CA537" s="73">
        <f>CA274+CA117+CA178+CA310+CA486</f>
        <v>14</v>
      </c>
      <c r="CB537" s="61" t="str">
        <f t="shared" si="2862"/>
        <v>NM</v>
      </c>
      <c r="CC537" s="73">
        <f>CC274+CC117+CC178+CC310+CC486</f>
        <v>-2.5</v>
      </c>
      <c r="CD537" s="61" t="str">
        <f t="shared" si="2863"/>
        <v>NM</v>
      </c>
      <c r="CE537" s="73">
        <f>CE274+CE117+CE178+CE310+CE486</f>
        <v>-7</v>
      </c>
      <c r="CF537" s="61" t="str">
        <f t="shared" si="2864"/>
        <v>NM</v>
      </c>
      <c r="CG537" s="73">
        <f>CG274+CG117+CG178+CG310+CG486</f>
        <v>0</v>
      </c>
      <c r="CH537" s="61" t="str">
        <f t="shared" si="2865"/>
        <v>NA</v>
      </c>
      <c r="CI537" s="73">
        <f>CI274+CI117+CI178+CI310+CI486</f>
        <v>-76</v>
      </c>
      <c r="CJ537" s="61" t="str">
        <f t="shared" si="2866"/>
        <v>NM</v>
      </c>
      <c r="CK537" s="73">
        <f>CK274+CK117+CK178+CK310+CK486</f>
        <v>-32</v>
      </c>
      <c r="CL537" s="61" t="str">
        <f t="shared" si="2867"/>
        <v>NM</v>
      </c>
      <c r="CM537" s="73">
        <f>CM274+CM117+CM178+CM310+CM486</f>
        <v>46</v>
      </c>
      <c r="CN537" s="61" t="str">
        <f t="shared" si="2868"/>
        <v>NM</v>
      </c>
      <c r="CO537" s="73">
        <f>CO274+CO117+CO178+CO310+CO486</f>
        <v>34</v>
      </c>
      <c r="CP537" s="61" t="str">
        <f t="shared" si="2869"/>
        <v>NA</v>
      </c>
      <c r="CQ537" s="73">
        <f>CQ274+CQ117+CQ178+CQ310+CQ486</f>
        <v>10</v>
      </c>
      <c r="CR537" s="61" t="str">
        <f t="shared" si="2870"/>
        <v>NM</v>
      </c>
      <c r="CS537" s="73">
        <f>CS274+CS117+CS178+CS310+CS486</f>
        <v>-3</v>
      </c>
      <c r="CT537" s="61" t="str">
        <f t="shared" si="2871"/>
        <v>NM</v>
      </c>
      <c r="CU537" s="73">
        <f>CU274+CU117+CU178+CU310+CU486</f>
        <v>0</v>
      </c>
      <c r="CV537" s="61" t="str">
        <f t="shared" si="2872"/>
        <v>NM</v>
      </c>
      <c r="CW537" s="73">
        <f>CW274+CW117+CW178+CW310+CW486</f>
        <v>20</v>
      </c>
      <c r="CX537" s="61">
        <f t="shared" si="2873"/>
        <v>-41.17647058823529</v>
      </c>
      <c r="CY537" s="73">
        <f>CY274+CY117+CY178+CY310+CY486</f>
        <v>34</v>
      </c>
      <c r="CZ537" s="61" t="str">
        <f t="shared" si="2874"/>
        <v>NM</v>
      </c>
      <c r="DA537" s="73">
        <f>DA274+DA117+DA178+DA310+DA486</f>
        <v>8</v>
      </c>
      <c r="DB537" s="61" t="str">
        <f t="shared" si="2875"/>
        <v>NM</v>
      </c>
      <c r="DC537" s="73">
        <f>DC274+DC117+DC178+DC310+DC486</f>
        <v>-13.497999999999999</v>
      </c>
      <c r="DD537" s="61" t="str">
        <f t="shared" si="2876"/>
        <v>NA</v>
      </c>
      <c r="DE537" s="73">
        <f>DE274+DE117+DE178+DE310+DE486</f>
        <v>19</v>
      </c>
      <c r="DF537" s="61">
        <f t="shared" si="2877"/>
        <v>-5.0000000000000044</v>
      </c>
      <c r="DG537" s="73">
        <f>DG274+DG117+DG178+DG310+DG486</f>
        <v>28</v>
      </c>
      <c r="DH537" s="61">
        <f t="shared" si="2878"/>
        <v>-17.647058823529417</v>
      </c>
      <c r="DI537" s="73">
        <f>DI274+DI117+DI178+DI310+DI486</f>
        <v>25</v>
      </c>
      <c r="DJ537" s="61" t="str">
        <f t="shared" si="2879"/>
        <v>NM</v>
      </c>
      <c r="DK537" s="73">
        <f>DK274+DK117+DK178+DK310+DK486</f>
        <v>0</v>
      </c>
      <c r="DL537" s="61" t="str">
        <f t="shared" si="2880"/>
        <v>NM</v>
      </c>
      <c r="DM537" s="73">
        <f>DM274+DM117+DM178+DM310+DM486</f>
        <v>11</v>
      </c>
      <c r="DN537" s="130">
        <f t="shared" si="2881"/>
        <v>-42.105263157894733</v>
      </c>
      <c r="DO537" s="73">
        <f>DO274+DO117+DO178+DO310+DO486</f>
        <v>12</v>
      </c>
      <c r="DP537" s="130" t="str">
        <f t="shared" si="2881"/>
        <v>NM</v>
      </c>
      <c r="DQ537" s="73">
        <f>DQ274+DQ117+DQ178+DQ310+DQ486</f>
        <v>53</v>
      </c>
      <c r="DR537" s="130" t="str">
        <f t="shared" si="2881"/>
        <v>NM</v>
      </c>
      <c r="DS537" s="73">
        <f>DS274+DS117+DS178+DS310+DS486</f>
        <v>0</v>
      </c>
      <c r="DT537" s="130" t="str">
        <f t="shared" si="2881"/>
        <v>NA</v>
      </c>
      <c r="DU537" s="73">
        <f>DU274+DU117+DU178+DU310+DU486</f>
        <v>-8</v>
      </c>
      <c r="DV537" s="130" t="str">
        <f t="shared" si="2881"/>
        <v>NM</v>
      </c>
      <c r="DW537" s="73">
        <f>DW274+DW117+DW178+DW310+DW486</f>
        <v>-139.5</v>
      </c>
      <c r="DX537" s="73">
        <f t="shared" ref="DX537:DY537" si="2910">DX274+DX117+DX178+DX310+DX486</f>
        <v>-139.5</v>
      </c>
      <c r="DY537" s="73">
        <f t="shared" si="2910"/>
        <v>0</v>
      </c>
      <c r="DZ537" s="130" t="str">
        <f t="shared" si="2881"/>
        <v>NM</v>
      </c>
      <c r="EA537" s="73">
        <f t="shared" ref="EA537:EC537" si="2911">EA274+EA117+EA178+EA310+EA486</f>
        <v>-55</v>
      </c>
      <c r="EB537" s="130" t="str">
        <f t="shared" si="2882"/>
        <v>NA</v>
      </c>
      <c r="EC537" s="73">
        <f t="shared" si="2911"/>
        <v>0</v>
      </c>
      <c r="ED537" s="130" t="str">
        <f t="shared" si="2883"/>
        <v>NM</v>
      </c>
      <c r="EE537" s="73">
        <f t="shared" ref="EE537:EG537" si="2912">EE274+EE117+EE178+EE310+EE486</f>
        <v>32.700000000000003</v>
      </c>
      <c r="EF537" s="130" t="str">
        <f t="shared" si="2884"/>
        <v>NM</v>
      </c>
      <c r="EG537" s="73">
        <f t="shared" si="2912"/>
        <v>0</v>
      </c>
      <c r="EH537" s="130" t="str">
        <f t="shared" si="2885"/>
        <v>NA</v>
      </c>
      <c r="EI537" s="73">
        <f t="shared" ref="EI537:EK537" si="2913">EI274+EI117+EI178+EI310+EI486</f>
        <v>44</v>
      </c>
      <c r="EJ537" s="130" t="str">
        <f t="shared" si="2886"/>
        <v>NM</v>
      </c>
      <c r="EK537" s="73">
        <f t="shared" si="2913"/>
        <v>0</v>
      </c>
      <c r="EL537" s="130" t="str">
        <f t="shared" si="2887"/>
        <v>NA</v>
      </c>
      <c r="EM537" s="73">
        <f t="shared" ref="EM537" si="2914">EM274+EM117+EM178+EM310+EM486</f>
        <v>20.5</v>
      </c>
      <c r="EN537" s="130">
        <f t="shared" si="2888"/>
        <v>-37.308868501529055</v>
      </c>
      <c r="EO537" s="73">
        <f t="shared" ref="EO537" si="2915">EO274+EO117+EO178+EO310+EO486</f>
        <v>0</v>
      </c>
      <c r="EP537" s="130" t="str">
        <f t="shared" si="2889"/>
        <v>NA</v>
      </c>
      <c r="EQ537" s="73">
        <f t="shared" ref="EQ537:EW537" si="2916">EQ274+EQ117+EQ178+EQ310+EQ486</f>
        <v>0</v>
      </c>
      <c r="ER537" s="130" t="str">
        <f t="shared" si="2891"/>
        <v>NM</v>
      </c>
      <c r="ES537" s="73">
        <f t="shared" si="2916"/>
        <v>0</v>
      </c>
      <c r="ET537" s="130" t="str">
        <f t="shared" si="2892"/>
        <v>NA</v>
      </c>
      <c r="EU537" s="73">
        <f t="shared" si="2916"/>
        <v>0</v>
      </c>
      <c r="EV537" s="130" t="str">
        <f t="shared" si="2893"/>
        <v>NM</v>
      </c>
      <c r="EW537" s="73">
        <f t="shared" si="2916"/>
        <v>0</v>
      </c>
      <c r="EX537" s="130" t="str">
        <f t="shared" si="2894"/>
        <v>NA</v>
      </c>
      <c r="EY537" s="64"/>
      <c r="EZ537" s="558"/>
      <c r="FA537" s="64"/>
      <c r="FB537" s="72">
        <v>0</v>
      </c>
      <c r="FC537" s="124"/>
      <c r="FD537" s="72">
        <v>0</v>
      </c>
      <c r="FE537" s="70" t="str">
        <f>IF(ISERROR((FD537/FB537-1)*100),"NA",IF(((FD537/FB537-1)*100)&gt;100,"NM",IF(((FD537/FB537-1)*100)&lt;-50,"NM",(FD537/FB537-1)*100)))</f>
        <v>NA</v>
      </c>
      <c r="FF537" s="73">
        <f>C537+E537+G537+I537</f>
        <v>0</v>
      </c>
      <c r="FG537" s="70" t="str">
        <f>IF(ISERROR((FF537/FD537-1)*100),"NA",IF(((FF537/FD537-1)*100)&gt;100,"NM",IF(((FF537/FD537-1)*100)&lt;-50,"NM",(FF537/FD537-1)*100)))</f>
        <v>NA</v>
      </c>
      <c r="FH537" s="73">
        <f>K537+M537+O537+Q537</f>
        <v>0</v>
      </c>
      <c r="FI537" s="70" t="str">
        <f>IF(ISERROR((FH537/FF537-1)*100),"NA",IF(((FH537/FF537-1)*100)&gt;100,"NM",IF(((FH537/FF537-1)*100)&lt;-50,"NM",(FH537/FF537-1)*100)))</f>
        <v>NA</v>
      </c>
      <c r="FJ537" s="73">
        <f>S537+U537+W537+Y537</f>
        <v>0</v>
      </c>
      <c r="FK537" s="70" t="str">
        <f>IF(ISERROR((FJ537/FH537-1)*100),"NA",IF(((FJ537/FH537-1)*100)&gt;100,"NM",IF(((FJ537/FH537-1)*100)&lt;-50,"NM",(FJ537/FH537-1)*100)))</f>
        <v>NA</v>
      </c>
      <c r="FL537" s="73">
        <f>AA537+AC537+AE537+AG537</f>
        <v>0</v>
      </c>
      <c r="FM537" s="70" t="str">
        <f>IF(ISERROR((FL537/FJ537-1)*100),"NA",IF(((FL537/FJ537-1)*100)&gt;100,"NM",IF(((FL537/FJ537-1)*100)&lt;-50,"NM",(FL537/FJ537-1)*100)))</f>
        <v>NA</v>
      </c>
      <c r="FN537" s="73">
        <f>AI537+AK537+AM537+AO537</f>
        <v>0</v>
      </c>
      <c r="FO537" s="70" t="str">
        <f>IF(ISERROR((FN537/FL537-1)*100),"NA",IF(((FN537/FL537-1)*100)&gt;100,"NM",IF(((FN537/FL537-1)*100)&lt;-50,"NM",(FN537/FL537-1)*100)))</f>
        <v>NA</v>
      </c>
      <c r="FP537" s="73">
        <f>FP274+FP117+FP178+FP310+FP347+FP460+FP486+FP429</f>
        <v>90.15</v>
      </c>
      <c r="FQ537" s="61" t="str">
        <f>IF(ISERROR((FP537/FH537-1)*100),"NA",IF(((FP537/FH537-1)*100)&gt;100,"NM",IF(((FP537/FH537-1)*100)&lt;-50,"NM",(FP537/FH537-1)*100)))</f>
        <v>NA</v>
      </c>
      <c r="FR537" s="73">
        <f>FR274+FR117+FR178+FR310+FR347+FR460+FR486+FR429</f>
        <v>84</v>
      </c>
      <c r="FS537" s="61">
        <f t="shared" si="2895"/>
        <v>-6.8219633943427667</v>
      </c>
      <c r="FT537" s="539">
        <f>FT274+FT117+FT178+FT310+FT347+FT486</f>
        <v>-17.100000000000001</v>
      </c>
      <c r="FU537" s="61" t="str">
        <f t="shared" si="2896"/>
        <v>NM</v>
      </c>
      <c r="FV537" s="539">
        <f>FV274+FV117+FV178+FV310+FV486</f>
        <v>-363</v>
      </c>
      <c r="FW537" s="61" t="str">
        <f t="shared" si="2897"/>
        <v>NM</v>
      </c>
      <c r="FX537" s="73">
        <f>FX274+FX117+FX178+FX310+FX486</f>
        <v>-20.900000000000006</v>
      </c>
      <c r="FY537" s="61" t="str">
        <f t="shared" si="2898"/>
        <v>NM</v>
      </c>
      <c r="FZ537" s="73">
        <f>FZ274+FZ117+FZ178+FZ310+FZ486</f>
        <v>-115</v>
      </c>
      <c r="GA537" s="61" t="str">
        <f t="shared" si="2899"/>
        <v>NM</v>
      </c>
      <c r="GB537" s="73">
        <f>GB274+GB117+GB178+GB310+GB486</f>
        <v>87</v>
      </c>
      <c r="GC537" s="61" t="str">
        <f t="shared" si="2900"/>
        <v>NM</v>
      </c>
      <c r="GD537" s="73">
        <f>GD274+GD117+GD178+GD310+GD486</f>
        <v>62</v>
      </c>
      <c r="GE537" s="61">
        <f t="shared" si="2901"/>
        <v>-28.735632183908045</v>
      </c>
      <c r="GF537" s="73">
        <f>GF274+GF117+GF178+GF310+GF486</f>
        <v>58.502000000000002</v>
      </c>
      <c r="GG537" s="61">
        <f t="shared" si="2901"/>
        <v>-5.641935483870963</v>
      </c>
      <c r="GH537" s="73">
        <f>GH274+GH117+GH178+GH310+GH486</f>
        <v>76</v>
      </c>
      <c r="GI537" s="61">
        <f t="shared" si="2901"/>
        <v>29.910088543981406</v>
      </c>
      <c r="GJ537" s="73">
        <f>GJ274+GJ117+GJ178+GJ310+GJ486</f>
        <v>-147.5</v>
      </c>
      <c r="GK537" s="61" t="str">
        <f t="shared" si="2901"/>
        <v>NM</v>
      </c>
      <c r="GL537" s="73">
        <f>GL274+GL117+GL178+GL310+GL486</f>
        <v>-22.299999999999997</v>
      </c>
      <c r="GM537" s="61" t="str">
        <f t="shared" si="2901"/>
        <v>NM</v>
      </c>
      <c r="GN537" s="73">
        <f>GN274+GN117+GN178+GN310+GN486</f>
        <v>64.5</v>
      </c>
      <c r="GO537" s="61" t="str">
        <f t="shared" si="2901"/>
        <v>NM</v>
      </c>
      <c r="GP537" s="73">
        <f>GP274+GP117+GP178+GP310+GP486</f>
        <v>0</v>
      </c>
      <c r="GQ537" s="61" t="str">
        <f t="shared" si="2901"/>
        <v>NM</v>
      </c>
      <c r="GR537" s="73">
        <f>GR274+GR117+GR178+GR310+GR486</f>
        <v>0</v>
      </c>
      <c r="GS537" s="61" t="str">
        <f t="shared" si="2901"/>
        <v>NA</v>
      </c>
      <c r="GT537" s="73">
        <f>GT274+GT117+GT178+GT310+GT486</f>
        <v>0</v>
      </c>
      <c r="GU537" s="61" t="str">
        <f t="shared" si="2901"/>
        <v>NA</v>
      </c>
      <c r="GV537" s="73">
        <f>GV274+GV117+GV178+GV310+GV486</f>
        <v>0</v>
      </c>
      <c r="GW537" s="61" t="str">
        <f t="shared" si="2901"/>
        <v>NA</v>
      </c>
      <c r="GX537" s="73">
        <f>GX274+GX117+GX178+GX310+GX486</f>
        <v>0</v>
      </c>
      <c r="GY537" s="61" t="str">
        <f t="shared" si="2902"/>
        <v>NA</v>
      </c>
      <c r="GZ537" s="61" t="str">
        <f t="shared" si="2854"/>
        <v>NM</v>
      </c>
      <c r="HA537" s="61"/>
      <c r="HB537" s="452"/>
      <c r="HC537"/>
      <c r="HD537"/>
      <c r="HE537"/>
      <c r="HF537"/>
      <c r="HG537"/>
      <c r="HH537"/>
    </row>
    <row r="538" spans="1:216" s="5" customFormat="1" ht="12.75" customHeight="1" x14ac:dyDescent="0.2">
      <c r="A538" s="5" t="s">
        <v>67</v>
      </c>
      <c r="B538" s="63" t="s">
        <v>128</v>
      </c>
      <c r="C538" s="102">
        <f>C536+C537</f>
        <v>170.3</v>
      </c>
      <c r="D538" s="70"/>
      <c r="E538" s="102">
        <f>E536+E537</f>
        <v>173.1</v>
      </c>
      <c r="F538" s="71"/>
      <c r="G538" s="102">
        <f>G536+G537</f>
        <v>190.7</v>
      </c>
      <c r="H538" s="71"/>
      <c r="I538" s="102">
        <f>I536+I537</f>
        <v>184.99</v>
      </c>
      <c r="J538" s="61"/>
      <c r="K538" s="102">
        <f>K536+K537</f>
        <v>167.4</v>
      </c>
      <c r="L538" s="61">
        <f>IF(ISERROR((K538/C538-1)*100),"NA",IF(((K538/C538-1)*100)&gt;100,"NM",IF(((K538/C538-1)*100)&lt;-50,"NM",(K538/C538-1)*100)))</f>
        <v>-1.7028772753963639</v>
      </c>
      <c r="M538" s="102">
        <f>M536+M537</f>
        <v>157.30000000000001</v>
      </c>
      <c r="N538" s="61">
        <f>IF(ISERROR((M538/E538-1)*100),"NA",IF(((M538/E538-1)*100)&gt;100,"NM",IF(((M538/E538-1)*100)&lt;-50,"NM",(M538/E538-1)*100)))</f>
        <v>-9.1276718659734186</v>
      </c>
      <c r="O538" s="102">
        <f>O536+O537</f>
        <v>134</v>
      </c>
      <c r="P538" s="61">
        <f>IF(ISERROR((O538/G538-1)*100),"NA",IF(((O538/G538-1)*100)&gt;100,"NM",IF(((O538/G538-1)*100)&lt;-50,"NM",(O538/G538-1)*100)))</f>
        <v>-29.732564237021496</v>
      </c>
      <c r="Q538" s="102">
        <f>Q536+Q537</f>
        <v>186.6</v>
      </c>
      <c r="R538" s="61">
        <f>IF(ISERROR((Q538/I538-1)*100),"NA",IF(((Q538/I538-1)*100)&gt;100,"NM",IF(((Q538/I538-1)*100)&lt;-50,"NM",(Q538/I538-1)*100)))</f>
        <v>0.87031731444942029</v>
      </c>
      <c r="S538" s="102">
        <f>S536+S537</f>
        <v>153.1</v>
      </c>
      <c r="T538" s="61">
        <f>IF(ISERROR((S538/K538-1)*100),"NA",IF(((S538/K538-1)*100)&gt;100,"NM",IF(((S538/K538-1)*100)&lt;-50,"NM",(S538/K538-1)*100)))</f>
        <v>-8.54241338112306</v>
      </c>
      <c r="U538" s="102">
        <f>U536+U537</f>
        <v>116</v>
      </c>
      <c r="V538" s="61">
        <f>IF(ISERROR((U538/M538-1)*100),"NA",IF(((U538/M538-1)*100)&gt;100,"NM",IF(((U538/M538-1)*100)&lt;-50,"NM",(U538/M538-1)*100)))</f>
        <v>-26.25556261919899</v>
      </c>
      <c r="W538" s="102">
        <f>W536+W537</f>
        <v>62.500000000000128</v>
      </c>
      <c r="X538" s="61" t="str">
        <f>IF(ISERROR((W538/O538-1)*100),"NA",IF(((W538/O538-1)*100)&gt;100,"NM",IF(((W538/O538-1)*100)&lt;-50,"NM",(W538/O538-1)*100)))</f>
        <v>NM</v>
      </c>
      <c r="Y538" s="102">
        <f>Y536+Y537</f>
        <v>100.1</v>
      </c>
      <c r="Z538" s="61">
        <f>IF(ISERROR((Y538/Q538-1)*100),"NA",IF(((Y538/Q538-1)*100)&gt;100,"NM",IF(((Y538/Q538-1)*100)&lt;-50,"NM",(Y538/Q538-1)*100)))</f>
        <v>-46.355841371918551</v>
      </c>
      <c r="AA538" s="102">
        <f>AA536+AA537</f>
        <v>104.7</v>
      </c>
      <c r="AB538" s="61">
        <f>IF(ISERROR((AA538/S538-1)*100),"NA",IF(((AA538/S538-1)*100)&gt;100,"NM",IF(((AA538/S538-1)*100)&lt;-50,"NM",(AA538/S538-1)*100)))</f>
        <v>-31.613324624428472</v>
      </c>
      <c r="AC538" s="102">
        <f>AC536+AC537</f>
        <v>153.30000000000001</v>
      </c>
      <c r="AD538" s="61">
        <f>IF(ISERROR((AC538/U538-1)*100),"NA",IF(((AC538/U538-1)*100)&gt;100,"NM",IF(((AC538/U538-1)*100)&lt;-50,"NM",(AC538/U538-1)*100)))</f>
        <v>32.15517241379311</v>
      </c>
      <c r="AE538" s="102">
        <f>AE536+AE537</f>
        <v>156.1</v>
      </c>
      <c r="AF538" s="61" t="str">
        <f>IF(ISERROR((AE538/W538-1)*100),"NA",IF(((AE538/W538-1)*100)&gt;100,"NM",IF(((AE538/W538-1)*100)&lt;-50,"NM",(AE538/W538-1)*100)))</f>
        <v>NM</v>
      </c>
      <c r="AG538" s="102">
        <f>AG536+AG537</f>
        <v>178.7</v>
      </c>
      <c r="AH538" s="61">
        <f>IF(ISERROR((AG538/Y538-1)*100),"NA",IF(((AG538/Y538-1)*100)&gt;100,"NM",IF(((AG538/Y538-1)*100)&lt;-50,"NM",(AG538/Y538-1)*100)))</f>
        <v>78.521478521478528</v>
      </c>
      <c r="AI538" s="102">
        <f>AI536-AI537</f>
        <v>175.4</v>
      </c>
      <c r="AJ538" s="61">
        <f>IF(ISERROR((AI538/AA538-1)*100),"NA",IF(((AI538/AA538-1)*100)&gt;100,"NM",IF(((AI538/AA538-1)*100)&lt;-50,"NM",(AI538/AA538-1)*100)))</f>
        <v>67.526265520534864</v>
      </c>
      <c r="AK538" s="102">
        <f>AK536-AK537</f>
        <v>181.35</v>
      </c>
      <c r="AL538" s="61">
        <f>IF(ISERROR((AK538/AC538-1)*100),"NA",IF(((AK538/AC538-1)*100)&gt;100,"NM",IF(((AK538/AC538-1)*100)&lt;-50,"NM",(AK538/AC538-1)*100)))</f>
        <v>18.297455968688837</v>
      </c>
      <c r="AM538" s="102">
        <f>AM536-AM537</f>
        <v>178.3</v>
      </c>
      <c r="AN538" s="61">
        <f>IF(ISERROR((AM538/AE538-1)*100),"NA",IF(((AM538/AE538-1)*100)&gt;100,"NM",IF(((AM538/AE538-1)*100)&lt;-50,"NM",(AM538/AE538-1)*100)))</f>
        <v>14.221652786675222</v>
      </c>
      <c r="AO538" s="102">
        <f>AO536-AO537</f>
        <v>189.87</v>
      </c>
      <c r="AP538" s="61">
        <f>IF(ISERROR((AO538/AG538-1)*100),"NA",IF(((AO538/AG538-1)*100)&gt;100,"NM",IF(((AO538/AG538-1)*100)&lt;-50,"NM",(AO538/AG538-1)*100)))</f>
        <v>6.2506994963626328</v>
      </c>
      <c r="AQ538" s="102">
        <f>AQ536+AQ537</f>
        <v>211.64200000000005</v>
      </c>
      <c r="AR538" s="61">
        <f>IF(ISERROR((AQ538/AI538-1)*100),"NA",IF(((AQ538/AI538-1)*100)&gt;100,"NM",IF(((AQ538/AI538-1)*100)&lt;-50,"NM",(AQ538/AI538-1)*100)))</f>
        <v>20.662485746864334</v>
      </c>
      <c r="AS538" s="102">
        <f>AS536+AS537</f>
        <v>241.36300000000003</v>
      </c>
      <c r="AT538" s="61">
        <f>IF(ISERROR((AS538/AK538-1)*100),"NA",IF(((AS538/AK538-1)*100)&gt;100,"NM",IF(((AS538/AK538-1)*100)&lt;-50,"NM",(AS538/AK538-1)*100)))</f>
        <v>33.092362834298328</v>
      </c>
      <c r="AU538" s="102">
        <f>AU536+AU537</f>
        <v>250.21599999999989</v>
      </c>
      <c r="AV538" s="61">
        <f>IF(ISERROR((AU538/AM538-1)*100),"NA",IF(((AU538/AM538-1)*100)&gt;100,"NM",IF(((AU538/AM538-1)*100)&lt;-50,"NM",(AU538/AM538-1)*100)))</f>
        <v>40.334268087492916</v>
      </c>
      <c r="AW538" s="102">
        <f>AW536+AW537</f>
        <v>256.73500000000001</v>
      </c>
      <c r="AX538" s="61">
        <f>IF(ISERROR((AW538/AO538-1)*100),"NA",IF(((AW538/AO538-1)*100)&gt;100,"NM",IF(((AW538/AO538-1)*100)&lt;-50,"NM",(AW538/AO538-1)*100)))</f>
        <v>35.216200558276725</v>
      </c>
      <c r="AY538" s="102">
        <f>AY536+AY537</f>
        <v>246.95999999999995</v>
      </c>
      <c r="AZ538" s="61">
        <f>IF(ISERROR((AY538/AQ538-1)*100),"NA",IF(((AY538/AQ538-1)*100)&gt;100,"NM",IF(((AY538/AQ538-1)*100)&lt;-50,"NM",(AY538/AQ538-1)*100)))</f>
        <v>16.687613989661742</v>
      </c>
      <c r="BA538" s="102">
        <f>BA536+BA537</f>
        <v>323.45999999999998</v>
      </c>
      <c r="BB538" s="61">
        <f>IF(ISERROR((BA538/AS538-1)*100),"NA",IF(((BA538/AS538-1)*100)&gt;100,"NM",IF(((BA538/AS538-1)*100)&lt;-50,"NM",(BA538/AS538-1)*100)))</f>
        <v>34.013912654383624</v>
      </c>
      <c r="BC538" s="102">
        <f>BC536+BC537</f>
        <v>357.76000000000005</v>
      </c>
      <c r="BD538" s="61">
        <f>IF(ISERROR((BC538/AU538-1)*100),"NA",IF(((BC538/AU538-1)*100)&gt;100,"NM",IF(((BC538/AU538-1)*100)&lt;-50,"NM",(BC538/AU538-1)*100)))</f>
        <v>42.980464878345195</v>
      </c>
      <c r="BE538" s="102">
        <f>BE536+BE537</f>
        <v>360.45999999999992</v>
      </c>
      <c r="BF538" s="61">
        <f>IF(ISERROR((BE538/AW538-1)*100),"NA",IF(((BE538/AW538-1)*100)&gt;100,"NM",IF(((BE538/AW538-1)*100)&lt;-50,"NM",(BE538/AW538-1)*100)))</f>
        <v>40.401581397160456</v>
      </c>
      <c r="BG538" s="536">
        <f>BG536+BG537</f>
        <v>339.40000000000009</v>
      </c>
      <c r="BH538" s="61">
        <f>IF(ISERROR((BG538/AY538-1)*100),"NA",IF(((BG538/AY538-1)*100)&gt;100,"NM",IF(((BG538/AY538-1)*100)&lt;-50,"NM",(BG538/AY538-1)*100)))</f>
        <v>37.431162941367077</v>
      </c>
      <c r="BI538" s="102">
        <f>BI536+BI537</f>
        <v>350.6</v>
      </c>
      <c r="BJ538" s="61">
        <f>IF(ISERROR((BI538/BA538-1)*100),"NA",IF(((BI538/BA538-1)*100)&gt;100,"NM",IF(((BI538/BA538-1)*100)&lt;-50,"NM",(BI538/BA538-1)*100)))</f>
        <v>8.3905274222469739</v>
      </c>
      <c r="BK538" s="536">
        <f>BK536+BK537</f>
        <v>332.3</v>
      </c>
      <c r="BL538" s="61">
        <f>IF(ISERROR((BK538/BC538-1)*100),"NA",IF(((BK538/BC538-1)*100)&gt;100,"NM",IF(((BK538/BC538-1)*100)&lt;-50,"NM",(BK538/BC538-1)*100)))</f>
        <v>-7.1165026833631568</v>
      </c>
      <c r="BM538" s="102">
        <f>BM536+BM537</f>
        <v>301.49999999999983</v>
      </c>
      <c r="BN538" s="61">
        <f>IF(ISERROR((BM538/BE538-1)*100),"NA",IF(((BM538/BE538-1)*100)&gt;100,"NM",IF(((BM538/BE538-1)*100)&lt;-50,"NM",(BM538/BE538-1)*100)))</f>
        <v>-16.356877323420104</v>
      </c>
      <c r="BO538" s="102">
        <f>BO536+BO537</f>
        <v>299.50000000000011</v>
      </c>
      <c r="BP538" s="61">
        <f>IF(ISERROR((BO538/BG538-1)*100),"NA",IF(((BO538/BG538-1)*100)&gt;100,"NM",IF(((BO538/BG538-1)*100)&lt;-50,"NM",(BO538/BG538-1)*100)))</f>
        <v>-11.756040070713015</v>
      </c>
      <c r="BQ538" s="102">
        <f>BQ536+BQ537</f>
        <v>308.60000000000008</v>
      </c>
      <c r="BR538" s="61">
        <f>IF(ISERROR((BQ538/BI538-1)*100),"NA",IF(((BQ538/BI538-1)*100)&gt;100,"NM",IF(((BQ538/BI538-1)*100)&lt;-50,"NM",(BQ538/BI538-1)*100)))</f>
        <v>-11.979463776383326</v>
      </c>
      <c r="BS538" s="102">
        <f>BS536+BS537</f>
        <v>298.00000000000011</v>
      </c>
      <c r="BT538" s="61">
        <f>IF(ISERROR((BS538/BK538-1)*100),"NA",IF(((BS538/BK538-1)*100)&gt;100,"NM",IF(((BS538/BK538-1)*100)&lt;-50,"NM",(BS538/BK538-1)*100)))</f>
        <v>-10.321998194402616</v>
      </c>
      <c r="BU538" s="102">
        <f>BU536+BU537</f>
        <v>-127.10000000000014</v>
      </c>
      <c r="BV538" s="61" t="str">
        <f>IF(ISERROR((BU538/BM538-1)*100),"NA",IF(((BU538/BM538-1)*100)&gt;100,"NM",IF(((BU538/BM538-1)*100)&lt;-50,"NM",(BU538/BM538-1)*100)))</f>
        <v>NM</v>
      </c>
      <c r="BW538" s="102">
        <f>BW536+BW537</f>
        <v>163.10000000000005</v>
      </c>
      <c r="BX538" s="61">
        <f>IF(ISERROR((BW538/BO538-1)*100),"NA",IF(((BW538/BO538-1)*100)&gt;100,"NM",IF(((BW538/BO538-1)*100)&lt;-50,"NM",(BW538/BO538-1)*100)))</f>
        <v>-45.542570951585979</v>
      </c>
      <c r="BY538" s="102">
        <f>BY536+BY537</f>
        <v>207.30000000000015</v>
      </c>
      <c r="BZ538" s="61">
        <f>IF(ISERROR((BY538/BQ538-1)*100),"NA",IF(((BY538/BQ538-1)*100)&gt;100,"NM",IF(((BY538/BQ538-1)*100)&lt;-50,"NM",(BY538/BQ538-1)*100)))</f>
        <v>-32.825664290343461</v>
      </c>
      <c r="CA538" s="102">
        <f>CA536+CA537</f>
        <v>275.50999999999988</v>
      </c>
      <c r="CB538" s="61">
        <f t="shared" si="2862"/>
        <v>-7.5469798657718856</v>
      </c>
      <c r="CC538" s="102">
        <f>CC536+CC537</f>
        <v>297.2</v>
      </c>
      <c r="CD538" s="61" t="str">
        <f t="shared" si="2863"/>
        <v>NM</v>
      </c>
      <c r="CE538" s="102">
        <f>CE536+CE537</f>
        <v>276.20000000000005</v>
      </c>
      <c r="CF538" s="61">
        <f t="shared" si="2864"/>
        <v>69.343960760269738</v>
      </c>
      <c r="CG538" s="102">
        <f>CG536+CG537</f>
        <v>290.70000000000005</v>
      </c>
      <c r="CH538" s="61">
        <f t="shared" si="2865"/>
        <v>40.231548480463019</v>
      </c>
      <c r="CI538" s="102">
        <f>CI536+CI537</f>
        <v>205.59999999999997</v>
      </c>
      <c r="CJ538" s="61">
        <f t="shared" si="2866"/>
        <v>-25.374759536858893</v>
      </c>
      <c r="CK538" s="102">
        <f>CK536+CK537</f>
        <v>265.5999999999998</v>
      </c>
      <c r="CL538" s="61">
        <f t="shared" si="2867"/>
        <v>-10.632570659488627</v>
      </c>
      <c r="CM538" s="102">
        <f>CM536+CM537</f>
        <v>321.9000000000002</v>
      </c>
      <c r="CN538" s="61">
        <f t="shared" si="2868"/>
        <v>16.545981173063051</v>
      </c>
      <c r="CO538" s="441">
        <f>CO536+CO537</f>
        <v>324.89999999999981</v>
      </c>
      <c r="CP538" s="61">
        <f t="shared" si="2869"/>
        <v>11.764705882352855</v>
      </c>
      <c r="CQ538" s="441">
        <f>CQ536+CQ537</f>
        <v>322.89999999999992</v>
      </c>
      <c r="CR538" s="61">
        <f t="shared" si="2870"/>
        <v>57.052529182879375</v>
      </c>
      <c r="CS538" s="441">
        <f>CS536+CS537</f>
        <v>277</v>
      </c>
      <c r="CT538" s="61">
        <f t="shared" si="2871"/>
        <v>4.2921686746988819</v>
      </c>
      <c r="CU538" s="441">
        <f>CU536+CU537</f>
        <v>293</v>
      </c>
      <c r="CV538" s="61">
        <f t="shared" si="2872"/>
        <v>-8.9779434607021429</v>
      </c>
      <c r="CW538" s="441">
        <f>CW536+CW537</f>
        <v>315</v>
      </c>
      <c r="CX538" s="61">
        <f t="shared" si="2873"/>
        <v>-3.0470914127423199</v>
      </c>
      <c r="CY538" s="441">
        <f>CY536+CY537</f>
        <v>362</v>
      </c>
      <c r="CZ538" s="61">
        <f t="shared" si="2874"/>
        <v>12.109012078042758</v>
      </c>
      <c r="DA538" s="441">
        <f>DA536+DA537</f>
        <v>310</v>
      </c>
      <c r="DB538" s="61">
        <f t="shared" si="2875"/>
        <v>11.913357400722013</v>
      </c>
      <c r="DC538" s="441">
        <f>DC536+DC537</f>
        <v>285</v>
      </c>
      <c r="DD538" s="61">
        <f t="shared" si="2876"/>
        <v>-2.7303754266211566</v>
      </c>
      <c r="DE538" s="441">
        <f>DE536+DE537</f>
        <v>351</v>
      </c>
      <c r="DF538" s="61">
        <f t="shared" si="2877"/>
        <v>11.428571428571432</v>
      </c>
      <c r="DG538" s="441">
        <f>DG536+DG537</f>
        <v>367</v>
      </c>
      <c r="DH538" s="61">
        <f t="shared" si="2878"/>
        <v>1.3812154696132506</v>
      </c>
      <c r="DI538" s="441">
        <f>DI536+DI537</f>
        <v>382</v>
      </c>
      <c r="DJ538" s="61">
        <f t="shared" si="2879"/>
        <v>23.225806451612897</v>
      </c>
      <c r="DK538" s="441">
        <f>DK536+DK537</f>
        <v>364</v>
      </c>
      <c r="DL538" s="61">
        <f t="shared" si="2880"/>
        <v>27.719298245614034</v>
      </c>
      <c r="DM538" s="441">
        <f>DM536+DM537</f>
        <v>395</v>
      </c>
      <c r="DN538" s="130">
        <f t="shared" si="2881"/>
        <v>12.535612535612529</v>
      </c>
      <c r="DO538" s="441">
        <f>DO536+DO537</f>
        <v>416</v>
      </c>
      <c r="DP538" s="130">
        <f t="shared" si="2881"/>
        <v>13.351498637602187</v>
      </c>
      <c r="DQ538" s="441">
        <f>DQ536+DQ537</f>
        <v>440</v>
      </c>
      <c r="DR538" s="130">
        <f t="shared" si="2881"/>
        <v>15.18324607329844</v>
      </c>
      <c r="DS538" s="441">
        <f>DS536+DS537</f>
        <v>352</v>
      </c>
      <c r="DT538" s="130">
        <f t="shared" si="2881"/>
        <v>-3.2967032967032961</v>
      </c>
      <c r="DU538" s="441">
        <f>DU536+DU537</f>
        <v>371</v>
      </c>
      <c r="DV538" s="130">
        <f t="shared" si="2881"/>
        <v>-6.0759493670886062</v>
      </c>
      <c r="DW538" s="441">
        <f>DW536+DW537</f>
        <v>282</v>
      </c>
      <c r="DX538" s="441">
        <f t="shared" ref="DX538:DY538" si="2917">DX536+DX537</f>
        <v>282</v>
      </c>
      <c r="DY538" s="441">
        <f t="shared" si="2917"/>
        <v>382</v>
      </c>
      <c r="DZ538" s="130">
        <f t="shared" si="2881"/>
        <v>-13.181818181818183</v>
      </c>
      <c r="EA538" s="441">
        <f t="shared" ref="EA538:EC538" si="2918">EA536+EA537</f>
        <v>307</v>
      </c>
      <c r="EB538" s="130">
        <f t="shared" si="2882"/>
        <v>-12.784090909090907</v>
      </c>
      <c r="EC538" s="441">
        <f t="shared" si="2918"/>
        <v>373</v>
      </c>
      <c r="ED538" s="130">
        <f t="shared" si="2883"/>
        <v>0.53908355795149188</v>
      </c>
      <c r="EE538" s="441">
        <f t="shared" ref="EE538:EG538" si="2919">EE536+EE537</f>
        <v>441</v>
      </c>
      <c r="EF538" s="130">
        <f t="shared" si="2884"/>
        <v>56.38297872340425</v>
      </c>
      <c r="EG538" s="441">
        <f t="shared" si="2919"/>
        <v>409</v>
      </c>
      <c r="EH538" s="130">
        <f t="shared" si="2885"/>
        <v>7.0680628272251411</v>
      </c>
      <c r="EI538" s="441">
        <f t="shared" ref="EI538:EK538" si="2920">EI536+EI537</f>
        <v>442</v>
      </c>
      <c r="EJ538" s="130">
        <f t="shared" si="2886"/>
        <v>43.973941368078172</v>
      </c>
      <c r="EK538" s="441">
        <f t="shared" si="2920"/>
        <v>419</v>
      </c>
      <c r="EL538" s="130">
        <f t="shared" si="2887"/>
        <v>12.332439678284191</v>
      </c>
      <c r="EM538" s="441">
        <f t="shared" ref="EM538" si="2921">EM536+EM537</f>
        <v>454</v>
      </c>
      <c r="EN538" s="130">
        <f t="shared" si="2888"/>
        <v>2.947845804988658</v>
      </c>
      <c r="EO538" s="441">
        <f t="shared" ref="EO538" si="2922">EO536+EO537</f>
        <v>440</v>
      </c>
      <c r="EP538" s="130">
        <f t="shared" si="2889"/>
        <v>7.5794621026894937</v>
      </c>
      <c r="EQ538" s="102">
        <f t="shared" ref="EQ538:EW538" si="2923">EQ536+EQ537</f>
        <v>433.01539174143363</v>
      </c>
      <c r="ER538" s="130">
        <f t="shared" si="2891"/>
        <v>-2.0327168005806251</v>
      </c>
      <c r="ES538" s="102">
        <f t="shared" si="2923"/>
        <v>460.45921990626726</v>
      </c>
      <c r="ET538" s="130">
        <f t="shared" si="2892"/>
        <v>9.894801886937298</v>
      </c>
      <c r="EU538" s="102">
        <f t="shared" si="2923"/>
        <v>479.13694888564487</v>
      </c>
      <c r="EV538" s="130">
        <f t="shared" si="2893"/>
        <v>5.5367728823006335</v>
      </c>
      <c r="EW538" s="102">
        <f t="shared" si="2923"/>
        <v>492.61294385852671</v>
      </c>
      <c r="EX538" s="130">
        <f t="shared" si="2894"/>
        <v>11.95748724057426</v>
      </c>
      <c r="EY538" s="74"/>
      <c r="EZ538" s="558"/>
      <c r="FA538" s="74"/>
      <c r="FB538" s="102">
        <f>FB536+FB537</f>
        <v>529.99852190000001</v>
      </c>
      <c r="FC538" s="124"/>
      <c r="FD538" s="102">
        <f>FD536+FD537</f>
        <v>475.2</v>
      </c>
      <c r="FE538" s="126">
        <f>IF(ISERROR((FD538/FB538-1)*100),"NA",IF(((FD538/FB538-1)*100)&gt;100,"NM",IF(((FD538/FB538-1)*100)&lt;-50,"NM",(FD538/FB538-1)*100)))</f>
        <v>-10.339372589861561</v>
      </c>
      <c r="FF538" s="102">
        <f>FF536+FF537</f>
        <v>690.59</v>
      </c>
      <c r="FG538" s="126">
        <f>IF(ISERROR((FF538/FD538-1)*100),"NA",IF(((FF538/FD538-1)*100)&gt;100,"NM",IF(((FF538/FD538-1)*100)&lt;-50,"NM",(FF538/FD538-1)*100)))</f>
        <v>45.326178451178457</v>
      </c>
      <c r="FH538" s="102">
        <f>FH536+FH537</f>
        <v>644.70000000000005</v>
      </c>
      <c r="FI538" s="126">
        <f>IF(ISERROR((FH538/FF538-1)*100),"NA",IF(((FH538/FF538-1)*100)&gt;100,"NM",IF(((FH538/FF538-1)*100)&lt;-50,"NM",(FH538/FF538-1)*100)))</f>
        <v>-6.6450426446951099</v>
      </c>
      <c r="FJ538" s="102">
        <f>FJ536+FJ537</f>
        <v>432.2</v>
      </c>
      <c r="FK538" s="126">
        <f>IF(ISERROR((FJ538/FH538-1)*100),"NA",IF(((FJ538/FH538-1)*100)&gt;100,"NM",IF(((FJ538/FH538-1)*100)&lt;-50,"NM",(FJ538/FH538-1)*100)))</f>
        <v>-32.961067163021561</v>
      </c>
      <c r="FL538" s="102">
        <f>FL536+FL537</f>
        <v>592.79999999999995</v>
      </c>
      <c r="FM538" s="126">
        <f>IF(ISERROR((FL538/FJ538-1)*100),"NA",IF(((FL538/FJ538-1)*100)&gt;100,"NM",IF(((FL538/FJ538-1)*100)&lt;-50,"NM",(FL538/FJ538-1)*100)))</f>
        <v>37.158722813512249</v>
      </c>
      <c r="FN538" s="102">
        <f>FN536+FN537</f>
        <v>724.92</v>
      </c>
      <c r="FO538" s="126">
        <f>IF(ISERROR((FN538/FL538-1)*100),"NA",IF(((FN538/FL538-1)*100)&gt;100,"NM",IF(((FN538/FL538-1)*100)&lt;-50,"NM",(FN538/FL538-1)*100)))</f>
        <v>22.287449392712546</v>
      </c>
      <c r="FP538" s="104">
        <f>FP536+FP537</f>
        <v>959.95600000000002</v>
      </c>
      <c r="FQ538" s="61">
        <f>IF(ISERROR((FP538/FH538-1)*100),"NA",IF(((FP538/FH538-1)*100)&gt;100,"NM",IF(((FP538/FH538-1)*100)&lt;-50,"NM",(FP538/FH538-1)*100)))</f>
        <v>48.899643244920114</v>
      </c>
      <c r="FR538" s="104">
        <f>FR536+FR537</f>
        <v>1288.6399999999999</v>
      </c>
      <c r="FS538" s="61">
        <f t="shared" si="2895"/>
        <v>34.239485976440577</v>
      </c>
      <c r="FT538" s="545">
        <f>FT536+FT537</f>
        <v>1323.7999999999995</v>
      </c>
      <c r="FU538" s="61">
        <f t="shared" si="2896"/>
        <v>2.7284579091134464</v>
      </c>
      <c r="FV538" s="545">
        <f>FV536+FV537</f>
        <v>779.00000000000045</v>
      </c>
      <c r="FW538" s="61">
        <f t="shared" si="2897"/>
        <v>-41.154252908294254</v>
      </c>
      <c r="FX538" s="102">
        <f>FX536+FX537</f>
        <v>943.11000000000024</v>
      </c>
      <c r="FY538" s="61">
        <f t="shared" si="2898"/>
        <v>21.06675224646979</v>
      </c>
      <c r="FZ538" s="102">
        <f>FZ536+FZ537</f>
        <v>1038.0999999999995</v>
      </c>
      <c r="GA538" s="61">
        <f t="shared" si="2899"/>
        <v>10.07199584353884</v>
      </c>
      <c r="GB538" s="102">
        <f>GB536+GB537</f>
        <v>1246.7000000000003</v>
      </c>
      <c r="GC538" s="61">
        <f t="shared" si="2900"/>
        <v>20.094403236682503</v>
      </c>
      <c r="GD538" s="102">
        <f>GD536+GD537</f>
        <v>1280</v>
      </c>
      <c r="GE538" s="61">
        <f t="shared" si="2901"/>
        <v>2.6710515761610321</v>
      </c>
      <c r="GF538" s="102">
        <f>GF536+GF537</f>
        <v>1385</v>
      </c>
      <c r="GG538" s="61">
        <f t="shared" si="2901"/>
        <v>8.203125</v>
      </c>
      <c r="GH538" s="102">
        <f>GH536+GH537</f>
        <v>1615</v>
      </c>
      <c r="GI538" s="61">
        <f t="shared" si="2901"/>
        <v>16.606498194945839</v>
      </c>
      <c r="GJ538" s="102">
        <f>GJ536+GJ537</f>
        <v>1387</v>
      </c>
      <c r="GK538" s="61">
        <f t="shared" si="2901"/>
        <v>-14.117647058823534</v>
      </c>
      <c r="GL538" s="102">
        <f>GL536+GL537</f>
        <v>1530</v>
      </c>
      <c r="GM538" s="61">
        <f t="shared" si="2901"/>
        <v>10.31002162941601</v>
      </c>
      <c r="GN538" s="102">
        <f>GN536+GN537</f>
        <v>1755</v>
      </c>
      <c r="GO538" s="61">
        <f t="shared" si="2901"/>
        <v>14.705882352941169</v>
      </c>
      <c r="GP538" s="102">
        <f>GP536+GP537</f>
        <v>1865.2245043918708</v>
      </c>
      <c r="GQ538" s="61">
        <f t="shared" si="2901"/>
        <v>6.2805985408473486</v>
      </c>
      <c r="GR538" s="102">
        <f>GR536+GR537</f>
        <v>1997.2805153712757</v>
      </c>
      <c r="GS538" s="61">
        <f t="shared" si="2901"/>
        <v>7.0798989970625392</v>
      </c>
      <c r="GT538" s="102">
        <f>GT536+GT537</f>
        <v>2187.2095019673025</v>
      </c>
      <c r="GU538" s="61">
        <f t="shared" si="2901"/>
        <v>9.5093796356753089</v>
      </c>
      <c r="GV538" s="102">
        <f>GV536+GV537</f>
        <v>2296.8237050363132</v>
      </c>
      <c r="GW538" s="61">
        <f t="shared" si="2901"/>
        <v>5.0116005334842173</v>
      </c>
      <c r="GX538" s="102">
        <f>GX536+GX537</f>
        <v>2417.6717699682927</v>
      </c>
      <c r="GY538" s="61">
        <f t="shared" si="2902"/>
        <v>5.2615298539018251</v>
      </c>
      <c r="GZ538" s="61">
        <f t="shared" si="2854"/>
        <v>6.6164072778214678</v>
      </c>
      <c r="HA538" s="61"/>
      <c r="HB538" s="452"/>
      <c r="HC538"/>
      <c r="HD538"/>
      <c r="HE538"/>
      <c r="HF538"/>
      <c r="HG538"/>
      <c r="HH538"/>
    </row>
    <row r="539" spans="1:216" s="5" customFormat="1" ht="12.75" customHeight="1" x14ac:dyDescent="0.2">
      <c r="B539" s="2" t="s">
        <v>36</v>
      </c>
      <c r="C539" s="72"/>
      <c r="D539" s="70"/>
      <c r="E539" s="72"/>
      <c r="F539" s="71"/>
      <c r="G539" s="72"/>
      <c r="H539" s="71"/>
      <c r="I539" s="72"/>
      <c r="J539" s="61"/>
      <c r="K539" s="72"/>
      <c r="L539" s="61"/>
      <c r="M539" s="72"/>
      <c r="N539" s="61"/>
      <c r="O539" s="72"/>
      <c r="P539" s="61"/>
      <c r="Q539" s="72"/>
      <c r="R539" s="61"/>
      <c r="S539" s="72"/>
      <c r="T539" s="61"/>
      <c r="U539" s="72"/>
      <c r="V539" s="61"/>
      <c r="W539" s="72"/>
      <c r="X539" s="61"/>
      <c r="Y539" s="72"/>
      <c r="Z539" s="61"/>
      <c r="AA539" s="72"/>
      <c r="AB539" s="61"/>
      <c r="AC539" s="72"/>
      <c r="AD539" s="61"/>
      <c r="AE539" s="72"/>
      <c r="AF539" s="61"/>
      <c r="AG539" s="72"/>
      <c r="AH539" s="61"/>
      <c r="AI539" s="72"/>
      <c r="AJ539" s="61"/>
      <c r="AK539" s="72"/>
      <c r="AL539" s="61"/>
      <c r="AM539" s="72"/>
      <c r="AN539" s="61"/>
      <c r="AO539" s="72"/>
      <c r="AP539" s="61"/>
      <c r="AQ539" s="72"/>
      <c r="AR539" s="61"/>
      <c r="AS539" s="72"/>
      <c r="AT539" s="61"/>
      <c r="AU539" s="72"/>
      <c r="AV539" s="61"/>
      <c r="AW539" s="72"/>
      <c r="AX539" s="61"/>
      <c r="AY539" s="72"/>
      <c r="AZ539" s="61"/>
      <c r="BA539" s="72"/>
      <c r="BB539" s="61"/>
      <c r="BC539" s="72"/>
      <c r="BD539" s="61"/>
      <c r="BE539" s="72"/>
      <c r="BF539" s="61"/>
      <c r="BG539" s="534"/>
      <c r="BH539" s="61"/>
      <c r="BI539" s="72"/>
      <c r="BJ539" s="61"/>
      <c r="BK539" s="534"/>
      <c r="BL539" s="61"/>
      <c r="BM539" s="72"/>
      <c r="BN539" s="61"/>
      <c r="BO539" s="72"/>
      <c r="BP539" s="61"/>
      <c r="BQ539" s="72"/>
      <c r="BR539" s="61"/>
      <c r="BS539" s="72"/>
      <c r="BT539" s="61"/>
      <c r="BU539" s="72"/>
      <c r="BV539" s="61"/>
      <c r="BW539" s="72"/>
      <c r="BX539" s="61"/>
      <c r="BY539" s="72"/>
      <c r="BZ539" s="61"/>
      <c r="CA539" s="72">
        <v>16.3</v>
      </c>
      <c r="CB539" s="61" t="str">
        <f t="shared" si="2862"/>
        <v>NA</v>
      </c>
      <c r="CC539" s="72">
        <v>18.2</v>
      </c>
      <c r="CD539" s="61" t="str">
        <f t="shared" si="2863"/>
        <v>NA</v>
      </c>
      <c r="CE539" s="72">
        <v>18.399999999999999</v>
      </c>
      <c r="CF539" s="61" t="str">
        <f t="shared" si="2864"/>
        <v>NA</v>
      </c>
      <c r="CG539" s="72">
        <v>18.3</v>
      </c>
      <c r="CH539" s="61" t="str">
        <f t="shared" si="2865"/>
        <v>NA</v>
      </c>
      <c r="CI539" s="72">
        <v>1</v>
      </c>
      <c r="CJ539" s="61" t="str">
        <f t="shared" si="2866"/>
        <v>NM</v>
      </c>
      <c r="CK539" s="72">
        <v>0</v>
      </c>
      <c r="CL539" s="61" t="str">
        <f t="shared" si="2867"/>
        <v>NM</v>
      </c>
      <c r="CM539" s="72">
        <v>0</v>
      </c>
      <c r="CN539" s="61" t="str">
        <f t="shared" si="2868"/>
        <v>NM</v>
      </c>
      <c r="CO539" s="72">
        <v>0</v>
      </c>
      <c r="CP539" s="61" t="str">
        <f t="shared" si="2869"/>
        <v>NM</v>
      </c>
      <c r="CQ539" s="72">
        <v>0</v>
      </c>
      <c r="CR539" s="61" t="str">
        <f t="shared" si="2870"/>
        <v>NM</v>
      </c>
      <c r="CS539" s="72">
        <v>0</v>
      </c>
      <c r="CT539" s="61" t="str">
        <f t="shared" si="2871"/>
        <v>NA</v>
      </c>
      <c r="CU539" s="72">
        <v>0</v>
      </c>
      <c r="CV539" s="61" t="str">
        <f t="shared" si="2872"/>
        <v>NA</v>
      </c>
      <c r="CW539" s="72">
        <v>0</v>
      </c>
      <c r="CX539" s="61" t="str">
        <f t="shared" si="2873"/>
        <v>NA</v>
      </c>
      <c r="CY539" s="72">
        <v>0</v>
      </c>
      <c r="CZ539" s="61" t="str">
        <f t="shared" si="2874"/>
        <v>NA</v>
      </c>
      <c r="DA539" s="72">
        <v>0</v>
      </c>
      <c r="DB539" s="61" t="str">
        <f t="shared" si="2875"/>
        <v>NA</v>
      </c>
      <c r="DC539" s="72">
        <v>0</v>
      </c>
      <c r="DD539" s="61" t="str">
        <f t="shared" si="2876"/>
        <v>NA</v>
      </c>
      <c r="DE539" s="72">
        <v>0</v>
      </c>
      <c r="DF539" s="61" t="str">
        <f t="shared" si="2877"/>
        <v>NA</v>
      </c>
      <c r="DG539" s="72">
        <v>0</v>
      </c>
      <c r="DH539" s="61" t="str">
        <f t="shared" si="2878"/>
        <v>NA</v>
      </c>
      <c r="DI539" s="72">
        <v>0</v>
      </c>
      <c r="DJ539" s="61" t="str">
        <f t="shared" si="2879"/>
        <v>NA</v>
      </c>
      <c r="DK539" s="72">
        <v>0</v>
      </c>
      <c r="DL539" s="61" t="str">
        <f t="shared" si="2880"/>
        <v>NA</v>
      </c>
      <c r="DM539" s="72">
        <v>0</v>
      </c>
      <c r="DN539" s="130" t="str">
        <f t="shared" si="2881"/>
        <v>NA</v>
      </c>
      <c r="DO539" s="72">
        <v>0</v>
      </c>
      <c r="DP539" s="130" t="str">
        <f t="shared" si="2881"/>
        <v>NA</v>
      </c>
      <c r="DQ539" s="72">
        <v>0</v>
      </c>
      <c r="DR539" s="130" t="str">
        <f t="shared" si="2881"/>
        <v>NA</v>
      </c>
      <c r="DS539" s="72">
        <v>0</v>
      </c>
      <c r="DT539" s="130" t="str">
        <f t="shared" si="2881"/>
        <v>NA</v>
      </c>
      <c r="DU539" s="72">
        <v>0</v>
      </c>
      <c r="DV539" s="130" t="str">
        <f t="shared" si="2881"/>
        <v>NA</v>
      </c>
      <c r="DW539" s="72">
        <v>0</v>
      </c>
      <c r="DX539" s="72">
        <v>0</v>
      </c>
      <c r="DY539" s="72">
        <v>0</v>
      </c>
      <c r="DZ539" s="130" t="str">
        <f t="shared" si="2881"/>
        <v>NA</v>
      </c>
      <c r="EA539" s="72">
        <v>0</v>
      </c>
      <c r="EB539" s="130" t="str">
        <f t="shared" si="2882"/>
        <v>NA</v>
      </c>
      <c r="EC539" s="72">
        <v>0</v>
      </c>
      <c r="ED539" s="130" t="str">
        <f t="shared" si="2883"/>
        <v>NA</v>
      </c>
      <c r="EE539" s="72">
        <v>0</v>
      </c>
      <c r="EF539" s="130" t="str">
        <f t="shared" si="2884"/>
        <v>NA</v>
      </c>
      <c r="EG539" s="72">
        <v>0</v>
      </c>
      <c r="EH539" s="130" t="str">
        <f t="shared" si="2885"/>
        <v>NA</v>
      </c>
      <c r="EI539" s="72">
        <v>0</v>
      </c>
      <c r="EJ539" s="130" t="str">
        <f t="shared" si="2886"/>
        <v>NA</v>
      </c>
      <c r="EK539" s="72">
        <v>0</v>
      </c>
      <c r="EL539" s="130" t="str">
        <f t="shared" si="2887"/>
        <v>NA</v>
      </c>
      <c r="EM539" s="72">
        <v>0</v>
      </c>
      <c r="EN539" s="130" t="str">
        <f t="shared" si="2888"/>
        <v>NA</v>
      </c>
      <c r="EO539" s="72">
        <v>0</v>
      </c>
      <c r="EP539" s="130" t="str">
        <f t="shared" si="2889"/>
        <v>NA</v>
      </c>
      <c r="EQ539" s="72">
        <v>0</v>
      </c>
      <c r="ER539" s="130" t="str">
        <f t="shared" si="2891"/>
        <v>NA</v>
      </c>
      <c r="ES539" s="72">
        <v>0</v>
      </c>
      <c r="ET539" s="130" t="str">
        <f t="shared" si="2892"/>
        <v>NA</v>
      </c>
      <c r="EU539" s="72">
        <v>0</v>
      </c>
      <c r="EV539" s="130" t="str">
        <f t="shared" si="2893"/>
        <v>NA</v>
      </c>
      <c r="EW539" s="72">
        <v>0</v>
      </c>
      <c r="EX539" s="130" t="str">
        <f t="shared" si="2894"/>
        <v>NA</v>
      </c>
      <c r="EY539" s="74"/>
      <c r="EZ539" s="558"/>
      <c r="FA539" s="74"/>
      <c r="FB539" s="69"/>
      <c r="FC539" s="124"/>
      <c r="FD539" s="69"/>
      <c r="FE539" s="126"/>
      <c r="FF539" s="69"/>
      <c r="FG539" s="126"/>
      <c r="FH539" s="69"/>
      <c r="FI539" s="126"/>
      <c r="FJ539" s="69"/>
      <c r="FK539" s="126"/>
      <c r="FL539" s="69"/>
      <c r="FM539" s="126"/>
      <c r="FN539" s="69"/>
      <c r="FO539" s="126"/>
      <c r="FP539" s="73"/>
      <c r="FQ539" s="61"/>
      <c r="FR539" s="73"/>
      <c r="FS539" s="61"/>
      <c r="FT539" s="539"/>
      <c r="FU539" s="61"/>
      <c r="FV539" s="539"/>
      <c r="FW539" s="61"/>
      <c r="FX539" s="73">
        <f>+BW539+BY539+CA539+CC539</f>
        <v>34.5</v>
      </c>
      <c r="FY539" s="61" t="str">
        <f t="shared" si="2898"/>
        <v>NA</v>
      </c>
      <c r="FZ539" s="151">
        <f>CE539+CG539+CI539+CK539</f>
        <v>37.700000000000003</v>
      </c>
      <c r="GA539" s="61">
        <f t="shared" si="2899"/>
        <v>9.2753623188405854</v>
      </c>
      <c r="GB539" s="151">
        <f>CM539+CO539+CQ539+CS539</f>
        <v>0</v>
      </c>
      <c r="GC539" s="61" t="str">
        <f t="shared" si="2900"/>
        <v>NM</v>
      </c>
      <c r="GD539" s="151">
        <f>CU539+CW539+CY539+DA539</f>
        <v>0</v>
      </c>
      <c r="GE539" s="61" t="str">
        <f t="shared" si="2901"/>
        <v>NA</v>
      </c>
      <c r="GF539" s="151">
        <f>DC539+DE539+DG539+DI539</f>
        <v>0</v>
      </c>
      <c r="GG539" s="61" t="str">
        <f t="shared" si="2901"/>
        <v>NA</v>
      </c>
      <c r="GH539" s="151">
        <f>DK539+DM539+DO539+DQ539</f>
        <v>0</v>
      </c>
      <c r="GI539" s="61" t="str">
        <f t="shared" si="2901"/>
        <v>NA</v>
      </c>
      <c r="GJ539" s="151">
        <f>DS539+DU539+DW539+DY539</f>
        <v>0</v>
      </c>
      <c r="GK539" s="61" t="str">
        <f t="shared" si="2901"/>
        <v>NA</v>
      </c>
      <c r="GL539" s="151">
        <f>EA539+EC539+EE539+EG539</f>
        <v>0</v>
      </c>
      <c r="GM539" s="61" t="str">
        <f t="shared" si="2901"/>
        <v>NA</v>
      </c>
      <c r="GN539" s="151">
        <f>EI539+EK539+EM539+EO539</f>
        <v>0</v>
      </c>
      <c r="GO539" s="61" t="str">
        <f t="shared" si="2901"/>
        <v>NA</v>
      </c>
      <c r="GP539" s="151">
        <f>EQ539+ES539+EU539+EW539</f>
        <v>0</v>
      </c>
      <c r="GQ539" s="61" t="str">
        <f t="shared" si="2901"/>
        <v>NA</v>
      </c>
      <c r="GR539" s="72">
        <v>0</v>
      </c>
      <c r="GS539" s="61" t="str">
        <f t="shared" si="2901"/>
        <v>NA</v>
      </c>
      <c r="GT539" s="72">
        <v>0</v>
      </c>
      <c r="GU539" s="61" t="str">
        <f t="shared" si="2901"/>
        <v>NA</v>
      </c>
      <c r="GV539" s="72">
        <v>0</v>
      </c>
      <c r="GW539" s="61" t="str">
        <f t="shared" si="2901"/>
        <v>NA</v>
      </c>
      <c r="GX539" s="72">
        <v>0</v>
      </c>
      <c r="GY539" s="61" t="str">
        <f t="shared" si="2902"/>
        <v>NA</v>
      </c>
      <c r="GZ539" s="61" t="str">
        <f t="shared" si="2854"/>
        <v/>
      </c>
      <c r="HA539" s="61"/>
      <c r="HB539" s="452"/>
      <c r="HC539"/>
      <c r="HD539"/>
      <c r="HE539"/>
      <c r="HF539"/>
      <c r="HG539"/>
      <c r="HH539"/>
    </row>
    <row r="540" spans="1:216" s="5" customFormat="1" ht="12.75" hidden="1" customHeight="1" outlineLevel="1" x14ac:dyDescent="0.2">
      <c r="B540" s="2" t="s">
        <v>41</v>
      </c>
      <c r="C540" s="72"/>
      <c r="D540" s="70"/>
      <c r="E540" s="72"/>
      <c r="F540" s="71"/>
      <c r="G540" s="72"/>
      <c r="H540" s="71"/>
      <c r="I540" s="72"/>
      <c r="J540" s="61"/>
      <c r="K540" s="72"/>
      <c r="L540" s="61"/>
      <c r="M540" s="72"/>
      <c r="N540" s="61"/>
      <c r="O540" s="72"/>
      <c r="P540" s="61"/>
      <c r="Q540" s="72"/>
      <c r="R540" s="61"/>
      <c r="S540" s="72"/>
      <c r="T540" s="61"/>
      <c r="U540" s="72"/>
      <c r="V540" s="61"/>
      <c r="W540" s="72"/>
      <c r="X540" s="61"/>
      <c r="Y540" s="72"/>
      <c r="Z540" s="61"/>
      <c r="AA540" s="72"/>
      <c r="AB540" s="61"/>
      <c r="AC540" s="72"/>
      <c r="AD540" s="61"/>
      <c r="AE540" s="72"/>
      <c r="AF540" s="61"/>
      <c r="AG540" s="72"/>
      <c r="AH540" s="61"/>
      <c r="AI540" s="72"/>
      <c r="AJ540" s="61"/>
      <c r="AK540" s="72"/>
      <c r="AL540" s="61"/>
      <c r="AM540" s="72"/>
      <c r="AN540" s="61"/>
      <c r="AO540" s="72"/>
      <c r="AP540" s="61"/>
      <c r="AQ540" s="72"/>
      <c r="AR540" s="61"/>
      <c r="AS540" s="72"/>
      <c r="AT540" s="61"/>
      <c r="AU540" s="72"/>
      <c r="AV540" s="61"/>
      <c r="AW540" s="72"/>
      <c r="AX540" s="61"/>
      <c r="AY540" s="72"/>
      <c r="AZ540" s="61"/>
      <c r="BA540" s="72"/>
      <c r="BB540" s="61"/>
      <c r="BC540" s="72"/>
      <c r="BD540" s="61"/>
      <c r="BE540" s="72"/>
      <c r="BF540" s="61"/>
      <c r="BG540" s="534"/>
      <c r="BH540" s="61"/>
      <c r="BI540" s="72"/>
      <c r="BJ540" s="61"/>
      <c r="BK540" s="534"/>
      <c r="BL540" s="61"/>
      <c r="BM540" s="72"/>
      <c r="BN540" s="61"/>
      <c r="BO540" s="72"/>
      <c r="BP540" s="61"/>
      <c r="BQ540" s="72"/>
      <c r="BR540" s="61"/>
      <c r="BS540" s="72"/>
      <c r="BT540" s="61"/>
      <c r="BU540" s="72"/>
      <c r="BV540" s="61"/>
      <c r="BW540" s="72"/>
      <c r="BX540" s="61"/>
      <c r="BY540" s="72"/>
      <c r="BZ540" s="61"/>
      <c r="CA540" s="72">
        <v>0</v>
      </c>
      <c r="CB540" s="61" t="str">
        <f t="shared" si="2862"/>
        <v>NA</v>
      </c>
      <c r="CC540" s="72">
        <v>0</v>
      </c>
      <c r="CD540" s="61" t="str">
        <f t="shared" si="2863"/>
        <v>NA</v>
      </c>
      <c r="CE540" s="72">
        <v>0</v>
      </c>
      <c r="CF540" s="61" t="str">
        <f t="shared" si="2864"/>
        <v>NA</v>
      </c>
      <c r="CG540" s="72">
        <v>0</v>
      </c>
      <c r="CH540" s="61" t="str">
        <f t="shared" si="2865"/>
        <v>NA</v>
      </c>
      <c r="CI540" s="72">
        <v>0</v>
      </c>
      <c r="CJ540" s="61" t="str">
        <f t="shared" si="2866"/>
        <v>NA</v>
      </c>
      <c r="CK540" s="72">
        <v>0</v>
      </c>
      <c r="CL540" s="61" t="str">
        <f t="shared" si="2867"/>
        <v>NA</v>
      </c>
      <c r="CM540" s="72">
        <v>0</v>
      </c>
      <c r="CN540" s="61" t="str">
        <f t="shared" si="2868"/>
        <v>NA</v>
      </c>
      <c r="CO540" s="72">
        <v>0</v>
      </c>
      <c r="CP540" s="61" t="str">
        <f t="shared" si="2869"/>
        <v>NA</v>
      </c>
      <c r="CQ540" s="72">
        <v>0</v>
      </c>
      <c r="CR540" s="61" t="str">
        <f t="shared" si="2870"/>
        <v>NA</v>
      </c>
      <c r="CS540" s="72">
        <v>0</v>
      </c>
      <c r="CT540" s="61" t="str">
        <f t="shared" si="2871"/>
        <v>NA</v>
      </c>
      <c r="CU540" s="72">
        <v>0</v>
      </c>
      <c r="CV540" s="61" t="str">
        <f t="shared" si="2872"/>
        <v>NA</v>
      </c>
      <c r="CW540" s="72">
        <v>0</v>
      </c>
      <c r="CX540" s="61" t="str">
        <f t="shared" si="2873"/>
        <v>NA</v>
      </c>
      <c r="CY540" s="72">
        <v>0</v>
      </c>
      <c r="CZ540" s="61" t="str">
        <f t="shared" si="2874"/>
        <v>NA</v>
      </c>
      <c r="DA540" s="72">
        <v>0</v>
      </c>
      <c r="DB540" s="61" t="str">
        <f t="shared" si="2875"/>
        <v>NA</v>
      </c>
      <c r="DC540" s="72">
        <v>0</v>
      </c>
      <c r="DD540" s="61" t="str">
        <f t="shared" si="2876"/>
        <v>NA</v>
      </c>
      <c r="DE540" s="72">
        <v>0</v>
      </c>
      <c r="DF540" s="61" t="str">
        <f t="shared" si="2877"/>
        <v>NA</v>
      </c>
      <c r="DG540" s="72">
        <v>0</v>
      </c>
      <c r="DH540" s="61" t="str">
        <f t="shared" si="2878"/>
        <v>NA</v>
      </c>
      <c r="DI540" s="72">
        <v>0</v>
      </c>
      <c r="DJ540" s="61" t="str">
        <f t="shared" si="2879"/>
        <v>NA</v>
      </c>
      <c r="DK540" s="72">
        <v>0</v>
      </c>
      <c r="DL540" s="61" t="str">
        <f t="shared" si="2880"/>
        <v>NA</v>
      </c>
      <c r="DM540" s="72">
        <v>0</v>
      </c>
      <c r="DN540" s="130" t="str">
        <f t="shared" si="2881"/>
        <v>NA</v>
      </c>
      <c r="DO540" s="72">
        <v>0</v>
      </c>
      <c r="DP540" s="130" t="str">
        <f t="shared" si="2881"/>
        <v>NA</v>
      </c>
      <c r="DQ540" s="72">
        <v>0</v>
      </c>
      <c r="DR540" s="130" t="str">
        <f t="shared" si="2881"/>
        <v>NA</v>
      </c>
      <c r="DS540" s="72">
        <v>0</v>
      </c>
      <c r="DT540" s="130" t="str">
        <f t="shared" si="2881"/>
        <v>NA</v>
      </c>
      <c r="DU540" s="72">
        <v>0</v>
      </c>
      <c r="DV540" s="130" t="str">
        <f t="shared" si="2881"/>
        <v>NA</v>
      </c>
      <c r="DW540" s="72">
        <v>0</v>
      </c>
      <c r="DX540" s="72">
        <v>0</v>
      </c>
      <c r="DY540" s="72">
        <v>0</v>
      </c>
      <c r="DZ540" s="130" t="str">
        <f t="shared" si="2881"/>
        <v>NA</v>
      </c>
      <c r="EA540" s="72">
        <v>0</v>
      </c>
      <c r="EB540" s="130" t="str">
        <f t="shared" si="2882"/>
        <v>NA</v>
      </c>
      <c r="EC540" s="72">
        <v>0</v>
      </c>
      <c r="ED540" s="130" t="str">
        <f t="shared" si="2883"/>
        <v>NA</v>
      </c>
      <c r="EE540" s="72">
        <v>0</v>
      </c>
      <c r="EF540" s="130" t="str">
        <f t="shared" si="2884"/>
        <v>NA</v>
      </c>
      <c r="EG540" s="72">
        <v>0</v>
      </c>
      <c r="EH540" s="130" t="str">
        <f t="shared" si="2885"/>
        <v>NA</v>
      </c>
      <c r="EI540" s="72">
        <v>0</v>
      </c>
      <c r="EJ540" s="130" t="str">
        <f t="shared" si="2886"/>
        <v>NA</v>
      </c>
      <c r="EK540" s="72">
        <v>0</v>
      </c>
      <c r="EL540" s="130" t="str">
        <f t="shared" si="2887"/>
        <v>NA</v>
      </c>
      <c r="EM540" s="72">
        <v>0</v>
      </c>
      <c r="EN540" s="130" t="str">
        <f t="shared" si="2888"/>
        <v>NA</v>
      </c>
      <c r="EO540" s="72"/>
      <c r="EP540" s="130" t="str">
        <f t="shared" si="2889"/>
        <v>NA</v>
      </c>
      <c r="EQ540" s="72">
        <f t="shared" ref="EQ540" si="2924">EO540</f>
        <v>0</v>
      </c>
      <c r="ER540" s="130" t="str">
        <f t="shared" si="2891"/>
        <v>NA</v>
      </c>
      <c r="ES540" s="72">
        <f t="shared" ref="ES540" si="2925">EQ540</f>
        <v>0</v>
      </c>
      <c r="ET540" s="130" t="str">
        <f t="shared" si="2892"/>
        <v>NA</v>
      </c>
      <c r="EU540" s="72">
        <f t="shared" ref="EU540" si="2926">ES540</f>
        <v>0</v>
      </c>
      <c r="EV540" s="130" t="str">
        <f t="shared" si="2893"/>
        <v>NA</v>
      </c>
      <c r="EW540" s="72">
        <f t="shared" ref="EW540" si="2927">EU540</f>
        <v>0</v>
      </c>
      <c r="EX540" s="130" t="str">
        <f t="shared" si="2894"/>
        <v>NA</v>
      </c>
      <c r="EY540" s="74"/>
      <c r="EZ540" s="558"/>
      <c r="FA540" s="74"/>
      <c r="FB540" s="69"/>
      <c r="FC540" s="124"/>
      <c r="FD540" s="69"/>
      <c r="FE540" s="126"/>
      <c r="FF540" s="69"/>
      <c r="FG540" s="126"/>
      <c r="FH540" s="69"/>
      <c r="FI540" s="126"/>
      <c r="FJ540" s="69"/>
      <c r="FK540" s="126"/>
      <c r="FL540" s="69"/>
      <c r="FM540" s="126"/>
      <c r="FN540" s="69"/>
      <c r="FO540" s="126"/>
      <c r="FP540" s="73"/>
      <c r="FQ540" s="61"/>
      <c r="FR540" s="73"/>
      <c r="FS540" s="61"/>
      <c r="FT540" s="539"/>
      <c r="FU540" s="61"/>
      <c r="FV540" s="539"/>
      <c r="FW540" s="61"/>
      <c r="FX540" s="73">
        <f>+BW540+BY540+CA540+CC540</f>
        <v>0</v>
      </c>
      <c r="FY540" s="61" t="str">
        <f t="shared" si="2898"/>
        <v>NA</v>
      </c>
      <c r="FZ540" s="151">
        <f>CE540+CG540+CI540+CK540</f>
        <v>0</v>
      </c>
      <c r="GA540" s="61" t="str">
        <f t="shared" si="2899"/>
        <v>NA</v>
      </c>
      <c r="GB540" s="151">
        <f>CM540+CO540+CQ540+CS540</f>
        <v>0</v>
      </c>
      <c r="GC540" s="61" t="str">
        <f t="shared" si="2900"/>
        <v>NA</v>
      </c>
      <c r="GD540" s="151">
        <f>CU540+CW540+CY540+DA540</f>
        <v>0</v>
      </c>
      <c r="GE540" s="61" t="str">
        <f t="shared" si="2901"/>
        <v>NA</v>
      </c>
      <c r="GF540" s="151">
        <f>DC540+DE540+DG540+DI540</f>
        <v>0</v>
      </c>
      <c r="GG540" s="61" t="str">
        <f t="shared" si="2901"/>
        <v>NA</v>
      </c>
      <c r="GH540" s="151">
        <f>DK540+DM540+DO540+DQ540</f>
        <v>0</v>
      </c>
      <c r="GI540" s="61" t="str">
        <f t="shared" si="2901"/>
        <v>NA</v>
      </c>
      <c r="GJ540" s="151">
        <f>DS540+DU540+DW540+DY540</f>
        <v>0</v>
      </c>
      <c r="GK540" s="61" t="str">
        <f t="shared" si="2901"/>
        <v>NA</v>
      </c>
      <c r="GL540" s="151">
        <f>EA540+EC540+EE540+EG540</f>
        <v>0</v>
      </c>
      <c r="GM540" s="61" t="str">
        <f t="shared" si="2901"/>
        <v>NA</v>
      </c>
      <c r="GN540" s="151">
        <f>EI540+EK540+EM540+EO540</f>
        <v>0</v>
      </c>
      <c r="GO540" s="61" t="str">
        <f t="shared" si="2901"/>
        <v>NA</v>
      </c>
      <c r="GP540" s="151">
        <f>EQ540+ES540+EU540+EW540</f>
        <v>0</v>
      </c>
      <c r="GQ540" s="61" t="str">
        <f t="shared" si="2901"/>
        <v>NA</v>
      </c>
      <c r="GR540" s="72">
        <v>0</v>
      </c>
      <c r="GS540" s="61" t="str">
        <f t="shared" si="2901"/>
        <v>NA</v>
      </c>
      <c r="GT540" s="72">
        <v>0</v>
      </c>
      <c r="GU540" s="61" t="str">
        <f t="shared" si="2901"/>
        <v>NA</v>
      </c>
      <c r="GV540" s="72">
        <v>0</v>
      </c>
      <c r="GW540" s="61" t="str">
        <f t="shared" si="2901"/>
        <v>NA</v>
      </c>
      <c r="GX540" s="72">
        <v>0</v>
      </c>
      <c r="GY540" s="61" t="str">
        <f t="shared" si="2902"/>
        <v>NA</v>
      </c>
      <c r="GZ540" s="61" t="str">
        <f t="shared" si="2854"/>
        <v/>
      </c>
      <c r="HA540" s="61"/>
      <c r="HB540" s="452"/>
      <c r="HC540"/>
      <c r="HD540"/>
      <c r="HE540"/>
      <c r="HF540"/>
      <c r="HG540"/>
      <c r="HH540"/>
    </row>
    <row r="541" spans="1:216" s="106" customFormat="1" ht="12.75" customHeight="1" collapsed="1" x14ac:dyDescent="0.2">
      <c r="B541" s="63" t="s">
        <v>37</v>
      </c>
      <c r="C541" s="102">
        <f>C538-C539-C540</f>
        <v>170.3</v>
      </c>
      <c r="D541" s="99"/>
      <c r="E541" s="102">
        <f>E538-E539-E540</f>
        <v>173.1</v>
      </c>
      <c r="F541" s="100"/>
      <c r="G541" s="102">
        <f>G538-G539-G540</f>
        <v>190.7</v>
      </c>
      <c r="H541" s="100"/>
      <c r="I541" s="102">
        <f>I538-I539-I540</f>
        <v>184.99</v>
      </c>
      <c r="J541" s="101"/>
      <c r="K541" s="102">
        <f>K538-K539-K540</f>
        <v>167.4</v>
      </c>
      <c r="L541" s="61">
        <f>IF(ISERROR((K541/C541-1)*100),"NA",IF(((K541/C541-1)*100)&gt;100,"NM",IF(((K541/C541-1)*100)&lt;-50,"NM",(K541/C541-1)*100)))</f>
        <v>-1.7028772753963639</v>
      </c>
      <c r="M541" s="102">
        <f>M538-M539-M540</f>
        <v>157.30000000000001</v>
      </c>
      <c r="N541" s="61">
        <f>IF(ISERROR((M541/E541-1)*100),"NA",IF(((M541/E541-1)*100)&gt;100,"NM",IF(((M541/E541-1)*100)&lt;-50,"NM",(M541/E541-1)*100)))</f>
        <v>-9.1276718659734186</v>
      </c>
      <c r="O541" s="102">
        <f>O538-O539-O540</f>
        <v>134</v>
      </c>
      <c r="P541" s="61">
        <f>IF(ISERROR((O541/G541-1)*100),"NA",IF(((O541/G541-1)*100)&gt;100,"NM",IF(((O541/G541-1)*100)&lt;-50,"NM",(O541/G541-1)*100)))</f>
        <v>-29.732564237021496</v>
      </c>
      <c r="Q541" s="102">
        <f>Q538-Q539-Q540</f>
        <v>186.6</v>
      </c>
      <c r="R541" s="61">
        <f>IF(ISERROR((Q541/I541-1)*100),"NA",IF(((Q541/I541-1)*100)&gt;100,"NM",IF(((Q541/I541-1)*100)&lt;-50,"NM",(Q541/I541-1)*100)))</f>
        <v>0.87031731444942029</v>
      </c>
      <c r="S541" s="102">
        <f>S538-S539-S540</f>
        <v>153.1</v>
      </c>
      <c r="T541" s="61">
        <f>IF(ISERROR((S541/K541-1)*100),"NA",IF(((S541/K541-1)*100)&gt;100,"NM",IF(((S541/K541-1)*100)&lt;-50,"NM",(S541/K541-1)*100)))</f>
        <v>-8.54241338112306</v>
      </c>
      <c r="U541" s="102">
        <f>U538-U539-U540</f>
        <v>116</v>
      </c>
      <c r="V541" s="61">
        <f>IF(ISERROR((U541/M541-1)*100),"NA",IF(((U541/M541-1)*100)&gt;100,"NM",IF(((U541/M541-1)*100)&lt;-50,"NM",(U541/M541-1)*100)))</f>
        <v>-26.25556261919899</v>
      </c>
      <c r="W541" s="102">
        <f>W538-W539-W540</f>
        <v>62.500000000000128</v>
      </c>
      <c r="X541" s="61" t="str">
        <f>IF(ISERROR((W541/O541-1)*100),"NA",IF(((W541/O541-1)*100)&gt;100,"NM",IF(((W541/O541-1)*100)&lt;-50,"NM",(W541/O541-1)*100)))</f>
        <v>NM</v>
      </c>
      <c r="Y541" s="102">
        <f>Y538-Y539-Y540</f>
        <v>100.1</v>
      </c>
      <c r="Z541" s="61">
        <f>IF(ISERROR((Y541/Q541-1)*100),"NA",IF(((Y541/Q541-1)*100)&gt;100,"NM",IF(((Y541/Q541-1)*100)&lt;-50,"NM",(Y541/Q541-1)*100)))</f>
        <v>-46.355841371918551</v>
      </c>
      <c r="AA541" s="102">
        <f>AA538-AA539-AA540</f>
        <v>104.7</v>
      </c>
      <c r="AB541" s="61">
        <f>IF(ISERROR((AA541/S541-1)*100),"NA",IF(((AA541/S541-1)*100)&gt;100,"NM",IF(((AA541/S541-1)*100)&lt;-50,"NM",(AA541/S541-1)*100)))</f>
        <v>-31.613324624428472</v>
      </c>
      <c r="AC541" s="102">
        <f>AC538-AC539-AC540</f>
        <v>153.30000000000001</v>
      </c>
      <c r="AD541" s="61">
        <f>IF(ISERROR((AC541/U541-1)*100),"NA",IF(((AC541/U541-1)*100)&gt;100,"NM",IF(((AC541/U541-1)*100)&lt;-50,"NM",(AC541/U541-1)*100)))</f>
        <v>32.15517241379311</v>
      </c>
      <c r="AE541" s="102">
        <f>AE538-AE539-AE540</f>
        <v>156.1</v>
      </c>
      <c r="AF541" s="61" t="str">
        <f>IF(ISERROR((AE541/W541-1)*100),"NA",IF(((AE541/W541-1)*100)&gt;100,"NM",IF(((AE541/W541-1)*100)&lt;-50,"NM",(AE541/W541-1)*100)))</f>
        <v>NM</v>
      </c>
      <c r="AG541" s="102">
        <f>AG538-AG539-AG540</f>
        <v>178.7</v>
      </c>
      <c r="AH541" s="61">
        <f>IF(ISERROR((AG541/Y541-1)*100),"NA",IF(((AG541/Y541-1)*100)&gt;100,"NM",IF(((AG541/Y541-1)*100)&lt;-50,"NM",(AG541/Y541-1)*100)))</f>
        <v>78.521478521478528</v>
      </c>
      <c r="AI541" s="102">
        <f>AI538-AI539-AI540</f>
        <v>175.4</v>
      </c>
      <c r="AJ541" s="61">
        <f>IF(ISERROR((AI541/AA541-1)*100),"NA",IF(((AI541/AA541-1)*100)&gt;100,"NM",IF(((AI541/AA541-1)*100)&lt;-50,"NM",(AI541/AA541-1)*100)))</f>
        <v>67.526265520534864</v>
      </c>
      <c r="AK541" s="102">
        <f>AK538-AK539-AK540</f>
        <v>181.35</v>
      </c>
      <c r="AL541" s="61">
        <f>IF(ISERROR((AK541/AC541-1)*100),"NA",IF(((AK541/AC541-1)*100)&gt;100,"NM",IF(((AK541/AC541-1)*100)&lt;-50,"NM",(AK541/AC541-1)*100)))</f>
        <v>18.297455968688837</v>
      </c>
      <c r="AM541" s="102">
        <f>AM538-AM539-AM540</f>
        <v>178.3</v>
      </c>
      <c r="AN541" s="61">
        <f>IF(ISERROR((AM541/AE541-1)*100),"NA",IF(((AM541/AE541-1)*100)&gt;100,"NM",IF(((AM541/AE541-1)*100)&lt;-50,"NM",(AM541/AE541-1)*100)))</f>
        <v>14.221652786675222</v>
      </c>
      <c r="AO541" s="102">
        <f>AO538-AO539-AO540</f>
        <v>189.87</v>
      </c>
      <c r="AP541" s="61">
        <f>IF(ISERROR((AO541/AG541-1)*100),"NA",IF(((AO541/AG541-1)*100)&gt;100,"NM",IF(((AO541/AG541-1)*100)&lt;-50,"NM",(AO541/AG541-1)*100)))</f>
        <v>6.2506994963626328</v>
      </c>
      <c r="AQ541" s="102">
        <f>AQ538-AQ539-AQ540</f>
        <v>211.64200000000005</v>
      </c>
      <c r="AR541" s="61">
        <f>IF(ISERROR((AQ541/AI541-1)*100),"NA",IF(((AQ541/AI541-1)*100)&gt;100,"NM",IF(((AQ541/AI541-1)*100)&lt;-50,"NM",(AQ541/AI541-1)*100)))</f>
        <v>20.662485746864334</v>
      </c>
      <c r="AS541" s="102">
        <f>AS538-AS539-AS540</f>
        <v>241.36300000000003</v>
      </c>
      <c r="AT541" s="61">
        <f>IF(ISERROR((AS541/AK541-1)*100),"NA",IF(((AS541/AK541-1)*100)&gt;100,"NM",IF(((AS541/AK541-1)*100)&lt;-50,"NM",(AS541/AK541-1)*100)))</f>
        <v>33.092362834298328</v>
      </c>
      <c r="AU541" s="102">
        <f>AU538-AU539-AU540</f>
        <v>250.21599999999989</v>
      </c>
      <c r="AV541" s="61">
        <f>IF(ISERROR((AU541/AM541-1)*100),"NA",IF(((AU541/AM541-1)*100)&gt;100,"NM",IF(((AU541/AM541-1)*100)&lt;-50,"NM",(AU541/AM541-1)*100)))</f>
        <v>40.334268087492916</v>
      </c>
      <c r="AW541" s="102">
        <f>AW538-AW539-AW540</f>
        <v>256.73500000000001</v>
      </c>
      <c r="AX541" s="61">
        <f>IF(ISERROR((AW541/AO541-1)*100),"NA",IF(((AW541/AO541-1)*100)&gt;100,"NM",IF(((AW541/AO541-1)*100)&lt;-50,"NM",(AW541/AO541-1)*100)))</f>
        <v>35.216200558276725</v>
      </c>
      <c r="AY541" s="102">
        <f>AY538-AY539-AY540</f>
        <v>246.95999999999995</v>
      </c>
      <c r="AZ541" s="61">
        <f>IF(ISERROR((AY541/AQ541-1)*100),"NA",IF(((AY541/AQ541-1)*100)&gt;100,"NM",IF(((AY541/AQ541-1)*100)&lt;-50,"NM",(AY541/AQ541-1)*100)))</f>
        <v>16.687613989661742</v>
      </c>
      <c r="BA541" s="102">
        <f>BA538-BA539-BA540</f>
        <v>323.45999999999998</v>
      </c>
      <c r="BB541" s="61">
        <f>IF(ISERROR((BA541/AS541-1)*100),"NA",IF(((BA541/AS541-1)*100)&gt;100,"NM",IF(((BA541/AS541-1)*100)&lt;-50,"NM",(BA541/AS541-1)*100)))</f>
        <v>34.013912654383624</v>
      </c>
      <c r="BC541" s="102">
        <f>BC538-BC539-BC540</f>
        <v>357.76000000000005</v>
      </c>
      <c r="BD541" s="61">
        <f>IF(ISERROR((BC541/AU541-1)*100),"NA",IF(((BC541/AU541-1)*100)&gt;100,"NM",IF(((BC541/AU541-1)*100)&lt;-50,"NM",(BC541/AU541-1)*100)))</f>
        <v>42.980464878345195</v>
      </c>
      <c r="BE541" s="102">
        <f>BE538-BE539-BE540</f>
        <v>360.45999999999992</v>
      </c>
      <c r="BF541" s="61">
        <f>IF(ISERROR((BE541/AW541-1)*100),"NA",IF(((BE541/AW541-1)*100)&gt;100,"NM",IF(((BE541/AW541-1)*100)&lt;-50,"NM",(BE541/AW541-1)*100)))</f>
        <v>40.401581397160456</v>
      </c>
      <c r="BG541" s="536">
        <f>BG538-BG539-BG540</f>
        <v>339.40000000000009</v>
      </c>
      <c r="BH541" s="61">
        <f>IF(ISERROR((BG541/AY541-1)*100),"NA",IF(((BG541/AY541-1)*100)&gt;100,"NM",IF(((BG541/AY541-1)*100)&lt;-50,"NM",(BG541/AY541-1)*100)))</f>
        <v>37.431162941367077</v>
      </c>
      <c r="BI541" s="102">
        <f>BI538-BI539-BI540</f>
        <v>350.6</v>
      </c>
      <c r="BJ541" s="61">
        <f>IF(ISERROR((BI541/BA541-1)*100),"NA",IF(((BI541/BA541-1)*100)&gt;100,"NM",IF(((BI541/BA541-1)*100)&lt;-50,"NM",(BI541/BA541-1)*100)))</f>
        <v>8.3905274222469739</v>
      </c>
      <c r="BK541" s="536">
        <f>BK538-BK539-BK540</f>
        <v>332.3</v>
      </c>
      <c r="BL541" s="61">
        <f>IF(ISERROR((BK541/BC541-1)*100),"NA",IF(((BK541/BC541-1)*100)&gt;100,"NM",IF(((BK541/BC541-1)*100)&lt;-50,"NM",(BK541/BC541-1)*100)))</f>
        <v>-7.1165026833631568</v>
      </c>
      <c r="BM541" s="102">
        <f>BM538-BM539-BM540</f>
        <v>301.49999999999983</v>
      </c>
      <c r="BN541" s="61">
        <f>IF(ISERROR((BM541/BE541-1)*100),"NA",IF(((BM541/BE541-1)*100)&gt;100,"NM",IF(((BM541/BE541-1)*100)&lt;-50,"NM",(BM541/BE541-1)*100)))</f>
        <v>-16.356877323420104</v>
      </c>
      <c r="BO541" s="102">
        <f>BO538-BO539-BO540</f>
        <v>299.50000000000011</v>
      </c>
      <c r="BP541" s="61">
        <f>IF(ISERROR((BO541/BG541-1)*100),"NA",IF(((BO541/BG541-1)*100)&gt;100,"NM",IF(((BO541/BG541-1)*100)&lt;-50,"NM",(BO541/BG541-1)*100)))</f>
        <v>-11.756040070713015</v>
      </c>
      <c r="BQ541" s="102">
        <f>BQ538-BQ539-BQ540</f>
        <v>308.60000000000008</v>
      </c>
      <c r="BR541" s="61">
        <f>IF(ISERROR((BQ541/BI541-1)*100),"NA",IF(((BQ541/BI541-1)*100)&gt;100,"NM",IF(((BQ541/BI541-1)*100)&lt;-50,"NM",(BQ541/BI541-1)*100)))</f>
        <v>-11.979463776383326</v>
      </c>
      <c r="BS541" s="102">
        <f>BS538-BS539-BS540</f>
        <v>298.00000000000011</v>
      </c>
      <c r="BT541" s="61">
        <f>IF(ISERROR((BS541/BK541-1)*100),"NA",IF(((BS541/BK541-1)*100)&gt;100,"NM",IF(((BS541/BK541-1)*100)&lt;-50,"NM",(BS541/BK541-1)*100)))</f>
        <v>-10.321998194402616</v>
      </c>
      <c r="BU541" s="102">
        <f>BU538-BU539-BU540</f>
        <v>-127.10000000000014</v>
      </c>
      <c r="BV541" s="61" t="str">
        <f>IF(ISERROR((BU541/BM541-1)*100),"NA",IF(((BU541/BM541-1)*100)&gt;100,"NM",IF(((BU541/BM541-1)*100)&lt;-50,"NM",(BU541/BM541-1)*100)))</f>
        <v>NM</v>
      </c>
      <c r="BW541" s="102">
        <f>BW538-BW539-BW540</f>
        <v>163.10000000000005</v>
      </c>
      <c r="BX541" s="61">
        <f>IF(ISERROR((BW541/BO541-1)*100),"NA",IF(((BW541/BO541-1)*100)&gt;100,"NM",IF(((BW541/BO541-1)*100)&lt;-50,"NM",(BW541/BO541-1)*100)))</f>
        <v>-45.542570951585979</v>
      </c>
      <c r="BY541" s="102">
        <f>BY538-BY539-BY540</f>
        <v>207.30000000000015</v>
      </c>
      <c r="BZ541" s="61">
        <f>IF(ISERROR((BY541/BQ541-1)*100),"NA",IF(((BY541/BQ541-1)*100)&gt;100,"NM",IF(((BY541/BQ541-1)*100)&lt;-50,"NM",(BY541/BQ541-1)*100)))</f>
        <v>-32.825664290343461</v>
      </c>
      <c r="CA541" s="102">
        <f>CA538-CA539-CA540</f>
        <v>259.20999999999987</v>
      </c>
      <c r="CB541" s="61">
        <f t="shared" si="2862"/>
        <v>-13.016778523490014</v>
      </c>
      <c r="CC541" s="102">
        <f>CC538-CC539-CC540</f>
        <v>279</v>
      </c>
      <c r="CD541" s="61" t="str">
        <f t="shared" si="2863"/>
        <v>NM</v>
      </c>
      <c r="CE541" s="102">
        <f>CE538-CE539-CE540</f>
        <v>257.80000000000007</v>
      </c>
      <c r="CF541" s="61">
        <f t="shared" si="2864"/>
        <v>58.062538320049043</v>
      </c>
      <c r="CG541" s="102">
        <f>CG538-CG539-CG540</f>
        <v>272.40000000000003</v>
      </c>
      <c r="CH541" s="61">
        <f t="shared" si="2865"/>
        <v>31.403762662807445</v>
      </c>
      <c r="CI541" s="102">
        <f>CI538-CI539-CI540</f>
        <v>204.59999999999997</v>
      </c>
      <c r="CJ541" s="61">
        <f t="shared" si="2866"/>
        <v>-21.067860036264008</v>
      </c>
      <c r="CK541" s="102">
        <f>CK538-CK539-CK540</f>
        <v>265.5999999999998</v>
      </c>
      <c r="CL541" s="61">
        <f t="shared" si="2867"/>
        <v>-4.8028673835126217</v>
      </c>
      <c r="CM541" s="102">
        <f>CM538-CM539-CM540</f>
        <v>321.9000000000002</v>
      </c>
      <c r="CN541" s="61">
        <f t="shared" si="2868"/>
        <v>24.864235841737823</v>
      </c>
      <c r="CO541" s="102">
        <f>CO538-CO539-CO540</f>
        <v>324.89999999999981</v>
      </c>
      <c r="CP541" s="61">
        <f t="shared" si="2869"/>
        <v>19.273127753303875</v>
      </c>
      <c r="CQ541" s="102">
        <f>CQ538-CQ539-CQ540</f>
        <v>322.89999999999992</v>
      </c>
      <c r="CR541" s="61">
        <f t="shared" si="2870"/>
        <v>57.82013685239491</v>
      </c>
      <c r="CS541" s="102">
        <f>CS538-CS539-CS540</f>
        <v>277</v>
      </c>
      <c r="CT541" s="61">
        <f t="shared" si="2871"/>
        <v>4.2921686746988819</v>
      </c>
      <c r="CU541" s="102">
        <f>CU538-CU539-CU540</f>
        <v>293</v>
      </c>
      <c r="CV541" s="61">
        <f t="shared" si="2872"/>
        <v>-8.9779434607021429</v>
      </c>
      <c r="CW541" s="102">
        <f>CW538-CW539-CW540</f>
        <v>315</v>
      </c>
      <c r="CX541" s="61">
        <f t="shared" si="2873"/>
        <v>-3.0470914127423199</v>
      </c>
      <c r="CY541" s="102">
        <f>CY538-CY539-CY540</f>
        <v>362</v>
      </c>
      <c r="CZ541" s="61">
        <f t="shared" si="2874"/>
        <v>12.109012078042758</v>
      </c>
      <c r="DA541" s="102">
        <f>DA538-DA539-DA540</f>
        <v>310</v>
      </c>
      <c r="DB541" s="61">
        <f t="shared" si="2875"/>
        <v>11.913357400722013</v>
      </c>
      <c r="DC541" s="102">
        <f>DC538-DC539-DC540</f>
        <v>285</v>
      </c>
      <c r="DD541" s="61">
        <f t="shared" si="2876"/>
        <v>-2.7303754266211566</v>
      </c>
      <c r="DE541" s="102">
        <f>DE538-DE539-DE540</f>
        <v>351</v>
      </c>
      <c r="DF541" s="61">
        <f t="shared" si="2877"/>
        <v>11.428571428571432</v>
      </c>
      <c r="DG541" s="102">
        <f>DG538-DG539-DG540</f>
        <v>367</v>
      </c>
      <c r="DH541" s="61">
        <f t="shared" si="2878"/>
        <v>1.3812154696132506</v>
      </c>
      <c r="DI541" s="102">
        <f>DI538-DI539-DI540</f>
        <v>382</v>
      </c>
      <c r="DJ541" s="61">
        <f t="shared" si="2879"/>
        <v>23.225806451612897</v>
      </c>
      <c r="DK541" s="102">
        <f>DK538-DK539-DK540</f>
        <v>364</v>
      </c>
      <c r="DL541" s="61">
        <f t="shared" si="2880"/>
        <v>27.719298245614034</v>
      </c>
      <c r="DM541" s="102">
        <f>DM538-DM539-DM540</f>
        <v>395</v>
      </c>
      <c r="DN541" s="130">
        <f t="shared" si="2881"/>
        <v>12.535612535612529</v>
      </c>
      <c r="DO541" s="102">
        <f>DO538-DO539-DO540</f>
        <v>416</v>
      </c>
      <c r="DP541" s="130">
        <f t="shared" si="2881"/>
        <v>13.351498637602187</v>
      </c>
      <c r="DQ541" s="102">
        <f>DQ538-DQ539-DQ540</f>
        <v>440</v>
      </c>
      <c r="DR541" s="130">
        <f t="shared" si="2881"/>
        <v>15.18324607329844</v>
      </c>
      <c r="DS541" s="102">
        <f>DS538-DS539-DS540</f>
        <v>352</v>
      </c>
      <c r="DT541" s="130">
        <f t="shared" si="2881"/>
        <v>-3.2967032967032961</v>
      </c>
      <c r="DU541" s="102">
        <f>DU538-DU539-DU540</f>
        <v>371</v>
      </c>
      <c r="DV541" s="130">
        <f t="shared" si="2881"/>
        <v>-6.0759493670886062</v>
      </c>
      <c r="DW541" s="102">
        <f>DW538-DW539-DW540</f>
        <v>282</v>
      </c>
      <c r="DX541" s="102">
        <f t="shared" ref="DX541:DY541" si="2928">DX538-DX539-DX540</f>
        <v>282</v>
      </c>
      <c r="DY541" s="102">
        <f t="shared" si="2928"/>
        <v>382</v>
      </c>
      <c r="DZ541" s="130">
        <f t="shared" si="2881"/>
        <v>-13.181818181818183</v>
      </c>
      <c r="EA541" s="102">
        <f t="shared" ref="EA541:EC541" si="2929">EA538-EA539-EA540</f>
        <v>307</v>
      </c>
      <c r="EB541" s="130">
        <f t="shared" si="2882"/>
        <v>-12.784090909090907</v>
      </c>
      <c r="EC541" s="102">
        <f t="shared" si="2929"/>
        <v>373</v>
      </c>
      <c r="ED541" s="130">
        <f t="shared" si="2883"/>
        <v>0.53908355795149188</v>
      </c>
      <c r="EE541" s="102">
        <f t="shared" ref="EE541:EG541" si="2930">EE538-EE539-EE540</f>
        <v>441</v>
      </c>
      <c r="EF541" s="130">
        <f t="shared" si="2884"/>
        <v>56.38297872340425</v>
      </c>
      <c r="EG541" s="102">
        <f t="shared" si="2930"/>
        <v>409</v>
      </c>
      <c r="EH541" s="130">
        <f t="shared" si="2885"/>
        <v>7.0680628272251411</v>
      </c>
      <c r="EI541" s="102">
        <f t="shared" ref="EI541:EK541" si="2931">EI538-EI539-EI540</f>
        <v>442</v>
      </c>
      <c r="EJ541" s="130">
        <f t="shared" si="2886"/>
        <v>43.973941368078172</v>
      </c>
      <c r="EK541" s="102">
        <f t="shared" si="2931"/>
        <v>419</v>
      </c>
      <c r="EL541" s="130">
        <f t="shared" si="2887"/>
        <v>12.332439678284191</v>
      </c>
      <c r="EM541" s="102">
        <f t="shared" ref="EM541" si="2932">EM538-EM539-EM540</f>
        <v>454</v>
      </c>
      <c r="EN541" s="130">
        <f t="shared" si="2888"/>
        <v>2.947845804988658</v>
      </c>
      <c r="EO541" s="102">
        <f t="shared" ref="EO541" si="2933">EO538-EO539-EO540</f>
        <v>440</v>
      </c>
      <c r="EP541" s="130">
        <f t="shared" si="2889"/>
        <v>7.5794621026894937</v>
      </c>
      <c r="EQ541" s="102">
        <f t="shared" ref="EQ541:EW541" si="2934">EQ538-EQ539-EQ540</f>
        <v>433.01539174143363</v>
      </c>
      <c r="ER541" s="130">
        <f t="shared" si="2891"/>
        <v>-2.0327168005806251</v>
      </c>
      <c r="ES541" s="102">
        <f t="shared" si="2934"/>
        <v>460.45921990626726</v>
      </c>
      <c r="ET541" s="130">
        <f t="shared" si="2892"/>
        <v>9.894801886937298</v>
      </c>
      <c r="EU541" s="102">
        <f t="shared" si="2934"/>
        <v>479.13694888564487</v>
      </c>
      <c r="EV541" s="130">
        <f t="shared" si="2893"/>
        <v>5.5367728823006335</v>
      </c>
      <c r="EW541" s="102">
        <f t="shared" si="2934"/>
        <v>492.61294385852671</v>
      </c>
      <c r="EX541" s="130">
        <f t="shared" si="2894"/>
        <v>11.95748724057426</v>
      </c>
      <c r="EY541" s="316"/>
      <c r="EZ541" s="558"/>
      <c r="FA541" s="316"/>
      <c r="FB541" s="104">
        <f>FB538-FB539-FB540</f>
        <v>529.99852190000001</v>
      </c>
      <c r="FC541" s="317"/>
      <c r="FD541" s="104">
        <f>FD538-FD539-FD540</f>
        <v>475.2</v>
      </c>
      <c r="FE541" s="126">
        <f>IF(ISERROR((FD541/FB541-1)*100),"NA",IF(((FD541/FB541-1)*100)&gt;100,"NM",IF(((FD541/FB541-1)*100)&lt;-50,"NM",(FD541/FB541-1)*100)))</f>
        <v>-10.339372589861561</v>
      </c>
      <c r="FF541" s="104">
        <f>FF538-FF539-FF540</f>
        <v>690.59</v>
      </c>
      <c r="FG541" s="126">
        <f>IF(ISERROR((FF541/FD541-1)*100),"NA",IF(((FF541/FD541-1)*100)&gt;100,"NM",IF(((FF541/FD541-1)*100)&lt;-50,"NM",(FF541/FD541-1)*100)))</f>
        <v>45.326178451178457</v>
      </c>
      <c r="FH541" s="104">
        <f>FH538-FH539-FH540</f>
        <v>644.70000000000005</v>
      </c>
      <c r="FI541" s="126">
        <f>IF(ISERROR((FH541/FF541-1)*100),"NA",IF(((FH541/FF541-1)*100)&gt;100,"NM",IF(((FH541/FF541-1)*100)&lt;-50,"NM",(FH541/FF541-1)*100)))</f>
        <v>-6.6450426446951099</v>
      </c>
      <c r="FJ541" s="104">
        <f>FJ538-FJ539-FJ540</f>
        <v>432.2</v>
      </c>
      <c r="FK541" s="126">
        <f>IF(ISERROR((FJ541/FH541-1)*100),"NA",IF(((FJ541/FH541-1)*100)&gt;100,"NM",IF(((FJ541/FH541-1)*100)&lt;-50,"NM",(FJ541/FH541-1)*100)))</f>
        <v>-32.961067163021561</v>
      </c>
      <c r="FL541" s="104">
        <f>FL538-FL539-FL540</f>
        <v>592.79999999999995</v>
      </c>
      <c r="FM541" s="126">
        <f>IF(ISERROR((FL541/FJ541-1)*100),"NA",IF(((FL541/FJ541-1)*100)&gt;100,"NM",IF(((FL541/FJ541-1)*100)&lt;-50,"NM",(FL541/FJ541-1)*100)))</f>
        <v>37.158722813512249</v>
      </c>
      <c r="FN541" s="104">
        <f>FN538-FN539-FN540</f>
        <v>724.92</v>
      </c>
      <c r="FO541" s="126">
        <f>IF(ISERROR((FN541/FL541-1)*100),"NA",IF(((FN541/FL541-1)*100)&gt;100,"NM",IF(((FN541/FL541-1)*100)&lt;-50,"NM",(FN541/FL541-1)*100)))</f>
        <v>22.287449392712546</v>
      </c>
      <c r="FP541" s="104">
        <f>FP538-FP539-FP540</f>
        <v>959.95600000000002</v>
      </c>
      <c r="FQ541" s="126">
        <f>IF(ISERROR((FP541/FN541-1)*100),"NA",IF(((FP541/FN541-1)*100)&gt;100,"NM",IF(((FP541/FN541-1)*100)&lt;-50,"NM",(FP541/FN541-1)*100)))</f>
        <v>32.42233625779398</v>
      </c>
      <c r="FR541" s="104">
        <f>FR538-FR539-FR540</f>
        <v>1288.6399999999999</v>
      </c>
      <c r="FS541" s="61">
        <f t="shared" si="2895"/>
        <v>34.239485976440577</v>
      </c>
      <c r="FT541" s="545">
        <f>FT538-FT539-FT540</f>
        <v>1323.7999999999995</v>
      </c>
      <c r="FU541" s="61">
        <f t="shared" si="2896"/>
        <v>2.7284579091134464</v>
      </c>
      <c r="FV541" s="545">
        <f>FV538-FV539-FV540</f>
        <v>779.00000000000045</v>
      </c>
      <c r="FW541" s="61">
        <f t="shared" si="2897"/>
        <v>-41.154252908294254</v>
      </c>
      <c r="FX541" s="104">
        <f>FX538-FX539-FX540</f>
        <v>908.61000000000024</v>
      </c>
      <c r="FY541" s="61">
        <f t="shared" si="2898"/>
        <v>16.637997432605879</v>
      </c>
      <c r="FZ541" s="104">
        <f>FZ538-FZ539-FZ540</f>
        <v>1000.3999999999994</v>
      </c>
      <c r="GA541" s="61">
        <f t="shared" si="2899"/>
        <v>10.102244087121992</v>
      </c>
      <c r="GB541" s="104">
        <f>GB538-GB539-GB540</f>
        <v>1246.7000000000003</v>
      </c>
      <c r="GC541" s="61">
        <f t="shared" si="2900"/>
        <v>24.620151939224421</v>
      </c>
      <c r="GD541" s="104">
        <f>GD538-GD539-GD540</f>
        <v>1280</v>
      </c>
      <c r="GE541" s="61">
        <f t="shared" si="2901"/>
        <v>2.6710515761610321</v>
      </c>
      <c r="GF541" s="104">
        <f>GF538-GF539-GF540</f>
        <v>1385</v>
      </c>
      <c r="GG541" s="61">
        <f t="shared" si="2901"/>
        <v>8.203125</v>
      </c>
      <c r="GH541" s="104">
        <f>GH538-GH539-GH540</f>
        <v>1615</v>
      </c>
      <c r="GI541" s="61">
        <f t="shared" si="2901"/>
        <v>16.606498194945839</v>
      </c>
      <c r="GJ541" s="104">
        <f>GJ538-GJ539-GJ540</f>
        <v>1387</v>
      </c>
      <c r="GK541" s="61">
        <f t="shared" si="2901"/>
        <v>-14.117647058823534</v>
      </c>
      <c r="GL541" s="104">
        <f>GL538-GL539-GL540</f>
        <v>1530</v>
      </c>
      <c r="GM541" s="61">
        <f t="shared" si="2901"/>
        <v>10.31002162941601</v>
      </c>
      <c r="GN541" s="104">
        <f>GN538-GN539-GN540</f>
        <v>1755</v>
      </c>
      <c r="GO541" s="61">
        <f t="shared" si="2901"/>
        <v>14.705882352941169</v>
      </c>
      <c r="GP541" s="104">
        <f>GP538-GP539-GP540</f>
        <v>1865.2245043918708</v>
      </c>
      <c r="GQ541" s="61">
        <f t="shared" si="2901"/>
        <v>6.2805985408473486</v>
      </c>
      <c r="GR541" s="104">
        <f>GR538-GR539-GR540</f>
        <v>1997.2805153712757</v>
      </c>
      <c r="GS541" s="61">
        <f t="shared" si="2901"/>
        <v>7.0798989970625392</v>
      </c>
      <c r="GT541" s="104">
        <f>GT538-GT539-GT540</f>
        <v>2187.2095019673025</v>
      </c>
      <c r="GU541" s="61">
        <f t="shared" si="2901"/>
        <v>9.5093796356753089</v>
      </c>
      <c r="GV541" s="104">
        <f>GV538-GV539-GV540</f>
        <v>2296.8237050363132</v>
      </c>
      <c r="GW541" s="61">
        <f t="shared" si="2901"/>
        <v>5.0116005334842173</v>
      </c>
      <c r="GX541" s="104">
        <f>GX538-GX539-GX540</f>
        <v>2417.6717699682927</v>
      </c>
      <c r="GY541" s="61">
        <f t="shared" si="2902"/>
        <v>5.2615298539018251</v>
      </c>
      <c r="GZ541" s="61">
        <f t="shared" si="2854"/>
        <v>6.6164072778214678</v>
      </c>
      <c r="HA541" s="61"/>
      <c r="HB541" s="452"/>
      <c r="HC541"/>
      <c r="HD541"/>
      <c r="HE541"/>
      <c r="HF541"/>
      <c r="HG541"/>
      <c r="HH541"/>
    </row>
    <row r="542" spans="1:216" s="5" customFormat="1" ht="12.75" customHeight="1" x14ac:dyDescent="0.2">
      <c r="B542" s="2"/>
      <c r="C542" s="84"/>
      <c r="D542" s="70"/>
      <c r="E542" s="84"/>
      <c r="F542" s="71"/>
      <c r="G542" s="84"/>
      <c r="H542" s="71"/>
      <c r="I542" s="84"/>
      <c r="J542" s="61"/>
      <c r="K542" s="84"/>
      <c r="L542" s="61"/>
      <c r="M542" s="84"/>
      <c r="N542" s="61"/>
      <c r="O542" s="84"/>
      <c r="P542" s="61"/>
      <c r="Q542" s="84"/>
      <c r="R542" s="61"/>
      <c r="S542" s="84"/>
      <c r="T542" s="61"/>
      <c r="U542" s="84"/>
      <c r="V542" s="61"/>
      <c r="W542" s="84"/>
      <c r="X542" s="61"/>
      <c r="Y542" s="84"/>
      <c r="Z542" s="61"/>
      <c r="AA542" s="84"/>
      <c r="AB542" s="61"/>
      <c r="AC542" s="84"/>
      <c r="AD542" s="61"/>
      <c r="AE542" s="84"/>
      <c r="AF542" s="61"/>
      <c r="AG542" s="84"/>
      <c r="AH542" s="61"/>
      <c r="AI542" s="84"/>
      <c r="AJ542" s="61"/>
      <c r="AK542" s="84"/>
      <c r="AL542" s="61"/>
      <c r="AM542" s="84"/>
      <c r="AN542" s="61"/>
      <c r="AO542" s="84"/>
      <c r="AP542" s="61"/>
      <c r="AQ542" s="84"/>
      <c r="AR542" s="61"/>
      <c r="AS542" s="84"/>
      <c r="AT542" s="61"/>
      <c r="AU542" s="84"/>
      <c r="AV542" s="61"/>
      <c r="AW542" s="84"/>
      <c r="AX542" s="61"/>
      <c r="AY542" s="69"/>
      <c r="AZ542" s="61"/>
      <c r="BA542" s="69"/>
      <c r="BB542" s="61"/>
      <c r="BC542" s="69"/>
      <c r="BD542" s="61"/>
      <c r="BE542" s="69"/>
      <c r="BF542" s="61"/>
      <c r="BG542" s="537"/>
      <c r="BH542" s="61"/>
      <c r="BI542" s="69"/>
      <c r="BJ542" s="61"/>
      <c r="BK542" s="537"/>
      <c r="BL542" s="61"/>
      <c r="BM542" s="69"/>
      <c r="BN542" s="61"/>
      <c r="BO542" s="69"/>
      <c r="BP542" s="61"/>
      <c r="BQ542" s="69"/>
      <c r="BR542" s="61"/>
      <c r="BS542" s="69"/>
      <c r="BT542" s="61"/>
      <c r="BU542" s="69"/>
      <c r="BV542" s="61"/>
      <c r="BW542" s="69"/>
      <c r="BX542" s="61"/>
      <c r="BY542" s="69"/>
      <c r="BZ542" s="61"/>
      <c r="CA542" s="69"/>
      <c r="CB542" s="61"/>
      <c r="CC542" s="69"/>
      <c r="CD542" s="61"/>
      <c r="CE542" s="69"/>
      <c r="CF542" s="61"/>
      <c r="CG542" s="69"/>
      <c r="CH542" s="61"/>
      <c r="CI542" s="69"/>
      <c r="CJ542" s="61"/>
      <c r="CK542" s="69"/>
      <c r="CL542" s="61"/>
      <c r="CM542" s="69"/>
      <c r="CN542" s="61"/>
      <c r="CO542" s="69"/>
      <c r="CP542" s="61"/>
      <c r="CQ542" s="69"/>
      <c r="CR542" s="61"/>
      <c r="CS542" s="69"/>
      <c r="CT542" s="61"/>
      <c r="CU542" s="69"/>
      <c r="CV542" s="61"/>
      <c r="CW542" s="69"/>
      <c r="CX542" s="61"/>
      <c r="CY542" s="69"/>
      <c r="CZ542" s="61"/>
      <c r="DA542" s="69"/>
      <c r="DB542" s="61"/>
      <c r="DC542" s="69"/>
      <c r="DD542" s="61"/>
      <c r="DE542" s="69"/>
      <c r="DF542" s="61"/>
      <c r="DG542" s="69"/>
      <c r="DH542" s="61"/>
      <c r="DI542" s="69"/>
      <c r="DJ542" s="61"/>
      <c r="DK542" s="69"/>
      <c r="DL542" s="61"/>
      <c r="DM542" s="69"/>
      <c r="DN542" s="61"/>
      <c r="DO542" s="69"/>
      <c r="DP542" s="61"/>
      <c r="DQ542" s="69"/>
      <c r="DR542" s="61"/>
      <c r="DS542" s="69"/>
      <c r="DT542" s="61"/>
      <c r="DU542" s="69"/>
      <c r="DV542" s="61"/>
      <c r="DW542" s="69"/>
      <c r="DX542" s="69"/>
      <c r="DY542" s="69"/>
      <c r="DZ542" s="61"/>
      <c r="EA542" s="69"/>
      <c r="EB542" s="61"/>
      <c r="EC542" s="69"/>
      <c r="ED542" s="61"/>
      <c r="EE542" s="69"/>
      <c r="EF542" s="61"/>
      <c r="EG542" s="69"/>
      <c r="EH542" s="61"/>
      <c r="EI542" s="69"/>
      <c r="EJ542" s="61"/>
      <c r="EK542" s="69"/>
      <c r="EL542" s="61"/>
      <c r="EM542" s="69"/>
      <c r="EN542" s="61"/>
      <c r="EO542" s="69"/>
      <c r="EP542" s="61"/>
      <c r="EQ542" s="69"/>
      <c r="ER542" s="61"/>
      <c r="ES542" s="69"/>
      <c r="ET542" s="61"/>
      <c r="EU542" s="69"/>
      <c r="EV542" s="61"/>
      <c r="EW542" s="69"/>
      <c r="EX542" s="61"/>
      <c r="EY542" s="74"/>
      <c r="EZ542" s="558"/>
      <c r="FA542" s="74"/>
      <c r="FB542" s="69"/>
      <c r="FC542" s="124"/>
      <c r="FD542" s="69"/>
      <c r="FE542" s="126"/>
      <c r="FF542" s="69"/>
      <c r="FG542" s="126"/>
      <c r="FH542" s="69"/>
      <c r="FI542" s="126"/>
      <c r="FJ542" s="69"/>
      <c r="FK542" s="126"/>
      <c r="FL542" s="69"/>
      <c r="FM542" s="126"/>
      <c r="FN542" s="69"/>
      <c r="FO542" s="126"/>
      <c r="FP542" s="73"/>
      <c r="FQ542" s="61"/>
      <c r="FR542" s="73"/>
      <c r="FS542" s="61"/>
      <c r="FT542" s="539"/>
      <c r="FU542" s="61"/>
      <c r="FV542" s="539"/>
      <c r="FW542" s="61"/>
      <c r="FX542" s="73"/>
      <c r="FY542" s="61"/>
      <c r="FZ542" s="73"/>
      <c r="GA542" s="61"/>
      <c r="GB542" s="73"/>
      <c r="GC542" s="61"/>
      <c r="GD542" s="73"/>
      <c r="GE542" s="61"/>
      <c r="GF542" s="73"/>
      <c r="GG542" s="61"/>
      <c r="GH542" s="73"/>
      <c r="GI542" s="61"/>
      <c r="GJ542" s="73"/>
      <c r="GK542" s="61"/>
      <c r="GL542" s="73"/>
      <c r="GM542" s="61"/>
      <c r="GN542" s="73"/>
      <c r="GO542" s="61"/>
      <c r="GP542" s="73"/>
      <c r="GQ542" s="61"/>
      <c r="GR542" s="69"/>
      <c r="GS542" s="61"/>
      <c r="GT542" s="69"/>
      <c r="GU542" s="61"/>
      <c r="GV542" s="69"/>
      <c r="GW542" s="61"/>
      <c r="GX542" s="69"/>
      <c r="GY542" s="61"/>
      <c r="GZ542" s="61" t="str">
        <f t="shared" si="2854"/>
        <v/>
      </c>
      <c r="HA542" s="61"/>
      <c r="HB542" s="452"/>
      <c r="HC542"/>
      <c r="HD542"/>
      <c r="HE542"/>
      <c r="HF542"/>
      <c r="HG542"/>
      <c r="HH542"/>
    </row>
    <row r="543" spans="1:216" s="5" customFormat="1" ht="12.75" customHeight="1" x14ac:dyDescent="0.2">
      <c r="B543" s="403" t="s">
        <v>506</v>
      </c>
      <c r="C543" s="16"/>
      <c r="D543" s="122"/>
      <c r="E543" s="16"/>
      <c r="F543" s="16"/>
      <c r="G543" s="16"/>
      <c r="H543" s="16"/>
      <c r="I543" s="16"/>
      <c r="J543" s="16"/>
      <c r="K543" s="16"/>
      <c r="L543" s="13"/>
      <c r="M543" s="16"/>
      <c r="N543" s="13"/>
      <c r="O543" s="139"/>
      <c r="P543" s="13"/>
      <c r="Q543" s="139"/>
      <c r="R543" s="13"/>
      <c r="S543" s="139"/>
      <c r="T543" s="13"/>
      <c r="U543" s="16"/>
      <c r="V543" s="13"/>
      <c r="W543" s="139"/>
      <c r="X543" s="13"/>
      <c r="Y543" s="139"/>
      <c r="Z543" s="13"/>
      <c r="AA543" s="139"/>
      <c r="AB543" s="13"/>
      <c r="AC543" s="139"/>
      <c r="AD543" s="13"/>
      <c r="AE543" s="139"/>
      <c r="AF543" s="13"/>
      <c r="AG543" s="139"/>
      <c r="AH543" s="13"/>
      <c r="AI543" s="139"/>
      <c r="AJ543" s="13"/>
      <c r="AK543" s="139"/>
      <c r="AL543" s="13"/>
      <c r="AM543" s="139"/>
      <c r="AN543" s="13"/>
      <c r="AO543" s="139"/>
      <c r="AP543" s="13"/>
      <c r="AQ543" s="139"/>
      <c r="AR543" s="13"/>
      <c r="AS543" s="139"/>
      <c r="AT543" s="13"/>
      <c r="AU543" s="139"/>
      <c r="AV543" s="13"/>
      <c r="AW543" s="139"/>
      <c r="AX543" s="13"/>
      <c r="AY543" s="73">
        <f>(AY622*AY611)-AY541</f>
        <v>0</v>
      </c>
      <c r="AZ543" s="13"/>
      <c r="BA543" s="73">
        <f>(BA622*BA611)-BA541</f>
        <v>0</v>
      </c>
      <c r="BB543" s="13"/>
      <c r="BC543" s="73">
        <f>(BC622*BC611)-BC541</f>
        <v>0</v>
      </c>
      <c r="BD543" s="13"/>
      <c r="BE543" s="73">
        <f>(BE622*BE611)-BE541</f>
        <v>0</v>
      </c>
      <c r="BF543" s="13"/>
      <c r="BG543" s="73">
        <f>(BG622*BG611)-BG541</f>
        <v>0</v>
      </c>
      <c r="BH543" s="13"/>
      <c r="BI543" s="73">
        <f>(BI622*BI611)-BI541</f>
        <v>0</v>
      </c>
      <c r="BJ543" s="13"/>
      <c r="BK543" s="73">
        <f>(BK622*BK611)-BK541</f>
        <v>0</v>
      </c>
      <c r="BL543" s="13"/>
      <c r="BM543" s="73">
        <f>(BM622*BM611)-BM541</f>
        <v>0</v>
      </c>
      <c r="BN543" s="13"/>
      <c r="BO543" s="73">
        <f>(BO622*BO611)-BO541</f>
        <v>0</v>
      </c>
      <c r="BP543" s="13"/>
      <c r="BQ543" s="73">
        <f>(BQ622*BQ611)-BQ541</f>
        <v>0</v>
      </c>
      <c r="BR543" s="13"/>
      <c r="BS543" s="73">
        <f>(BS622*BS611)-BS541</f>
        <v>0</v>
      </c>
      <c r="BT543" s="13"/>
      <c r="BU543" s="73">
        <f>(BU622*BU611)-BU541</f>
        <v>0</v>
      </c>
      <c r="BV543" s="13"/>
      <c r="BW543" s="73">
        <f>(BW622*BW611)-BW541</f>
        <v>0</v>
      </c>
      <c r="BX543" s="13"/>
      <c r="BY543" s="73">
        <f>(BY622*BY611)-BY541</f>
        <v>0</v>
      </c>
      <c r="BZ543" s="13"/>
      <c r="CA543" s="73">
        <f>(CA622*CA611)-CA541</f>
        <v>0</v>
      </c>
      <c r="CB543" s="13"/>
      <c r="CC543" s="73">
        <f>(CC622*CC611)-CC541</f>
        <v>0</v>
      </c>
      <c r="CD543" s="13"/>
      <c r="CE543" s="73">
        <f>(CE622*CE611)-CE541</f>
        <v>0</v>
      </c>
      <c r="CF543" s="13"/>
      <c r="CG543" s="73">
        <f>(CG622*CG611)-CG541</f>
        <v>0</v>
      </c>
      <c r="CH543" s="13"/>
      <c r="CI543" s="73">
        <f>(CI622*CI611)-CI541</f>
        <v>0</v>
      </c>
      <c r="CJ543" s="13"/>
      <c r="CK543" s="73">
        <f>(CK622*CK611)-CK541</f>
        <v>0</v>
      </c>
      <c r="CL543" s="13"/>
      <c r="CM543" s="73">
        <f>(CM622*CM611)-CM541</f>
        <v>0</v>
      </c>
      <c r="CN543" s="13"/>
      <c r="CO543" s="73">
        <f>(CO622*CO611)-CO541</f>
        <v>0</v>
      </c>
      <c r="CP543" s="13"/>
      <c r="CQ543" s="73">
        <f>(CQ622*CQ611)-CQ541</f>
        <v>0</v>
      </c>
      <c r="CR543" s="13"/>
      <c r="CS543" s="73">
        <f>(CS622*CS611)-CS541</f>
        <v>0</v>
      </c>
      <c r="CT543" s="13"/>
      <c r="CU543" s="73">
        <f>(CU622*CU611)-CU541</f>
        <v>0</v>
      </c>
      <c r="CV543" s="13"/>
      <c r="CW543" s="73">
        <f>(CW622*CW611)-CW541</f>
        <v>0</v>
      </c>
      <c r="CX543" s="13"/>
      <c r="CY543" s="73">
        <f>(CY622*CY611)-CY541</f>
        <v>0</v>
      </c>
      <c r="CZ543" s="13"/>
      <c r="DA543" s="73">
        <f>(DA622*DA611)-DA541</f>
        <v>0</v>
      </c>
      <c r="DB543" s="13"/>
      <c r="DC543" s="73">
        <f>(DC622*DC611)-DC541</f>
        <v>0</v>
      </c>
      <c r="DD543" s="13"/>
      <c r="DE543" s="73">
        <f>(DE622*DE611)-DE541</f>
        <v>0</v>
      </c>
      <c r="DF543" s="13"/>
      <c r="DG543" s="73">
        <f>(DG622*DG611)-DG541</f>
        <v>0</v>
      </c>
      <c r="DH543" s="13"/>
      <c r="DI543" s="73">
        <f>(DI622*DI611)-DI541</f>
        <v>0</v>
      </c>
      <c r="DJ543" s="13"/>
      <c r="DK543" s="73">
        <f>(DK622*DK611)-DK541</f>
        <v>0</v>
      </c>
      <c r="DL543" s="13"/>
      <c r="DM543" s="73">
        <f>(DM622*DM611)-DM541</f>
        <v>0</v>
      </c>
      <c r="DN543" s="130" t="str">
        <f t="shared" ref="DN543:DZ544" si="2935">IF(ISERROR((DM543/DE543-1)*100),"NA",IF(((DM543/DE543-1)*100)&gt;100,"NM",IF(((DM543/DE543-1)*100)&lt;-50,"NM",(DM543/DE543-1)*100)))</f>
        <v>NA</v>
      </c>
      <c r="DO543" s="73">
        <f>(DO622*DO611)-DO541</f>
        <v>0</v>
      </c>
      <c r="DP543" s="130" t="str">
        <f t="shared" si="2935"/>
        <v>NA</v>
      </c>
      <c r="DQ543" s="73">
        <f>(DQ622*DQ611)-DQ541</f>
        <v>0</v>
      </c>
      <c r="DR543" s="130" t="str">
        <f t="shared" si="2935"/>
        <v>NA</v>
      </c>
      <c r="DS543" s="73">
        <f>(DS622*DS611)-DS541</f>
        <v>0</v>
      </c>
      <c r="DT543" s="130" t="str">
        <f t="shared" si="2935"/>
        <v>NA</v>
      </c>
      <c r="DU543" s="73">
        <f>(DU622*DU611)-DU541</f>
        <v>0</v>
      </c>
      <c r="DV543" s="130" t="str">
        <f t="shared" si="2935"/>
        <v>NA</v>
      </c>
      <c r="DW543" s="73">
        <f>(DW622*DW611)-DW541</f>
        <v>0</v>
      </c>
      <c r="DX543" s="73">
        <f t="shared" ref="DX543:DY543" si="2936">(DX622*DX611)-DX541</f>
        <v>0</v>
      </c>
      <c r="DY543" s="73">
        <f t="shared" si="2936"/>
        <v>6.1499999999966803E-2</v>
      </c>
      <c r="DZ543" s="130" t="str">
        <f t="shared" si="2935"/>
        <v>NA</v>
      </c>
      <c r="EA543" s="73">
        <f t="shared" ref="EA543:EC543" si="2937">(EA622*EA611)-EA541</f>
        <v>0.11029999999993834</v>
      </c>
      <c r="EB543" s="130" t="str">
        <f t="shared" ref="EB543:EB544" si="2938">IF(ISERROR((EA543/DS543-1)*100),"NA",IF(((EA543/DS543-1)*100)&gt;100,"NM",IF(((EA543/DS543-1)*100)&lt;-50,"NM",(EA543/DS543-1)*100)))</f>
        <v>NA</v>
      </c>
      <c r="EC543" s="73">
        <f t="shared" si="2937"/>
        <v>4.4499999999970896E-2</v>
      </c>
      <c r="ED543" s="130" t="str">
        <f t="shared" ref="ED543:ED544" si="2939">IF(ISERROR((EC543/DU543-1)*100),"NA",IF(((EC543/DU543-1)*100)&gt;100,"NM",IF(((EC543/DU543-1)*100)&lt;-50,"NM",(EC543/DU543-1)*100)))</f>
        <v>NA</v>
      </c>
      <c r="EE543" s="73">
        <f t="shared" ref="EE543:EG543" si="2940">(EE622*EE611)-EE541</f>
        <v>3.6799999999971078E-2</v>
      </c>
      <c r="EF543" s="130" t="str">
        <f t="shared" ref="EF543:EF544" si="2941">IF(ISERROR((EE543/DW543-1)*100),"NA",IF(((EE543/DW543-1)*100)&gt;100,"NM",IF(((EE543/DW543-1)*100)&lt;-50,"NM",(EE543/DW543-1)*100)))</f>
        <v>NA</v>
      </c>
      <c r="EG543" s="73">
        <f t="shared" si="2940"/>
        <v>-7.6099999999996726E-2</v>
      </c>
      <c r="EH543" s="130" t="str">
        <f t="shared" ref="EH543:EH544" si="2942">IF(ISERROR((EG543/DY543-1)*100),"NA",IF(((EG543/DY543-1)*100)&gt;100,"NM",IF(((EG543/DY543-1)*100)&lt;-50,"NM",(EG543/DY543-1)*100)))</f>
        <v>NM</v>
      </c>
      <c r="EI543" s="73">
        <f t="shared" ref="EI543:EK543" si="2943">(EI622*EI611)-EI541</f>
        <v>2.2100000000023101E-2</v>
      </c>
      <c r="EJ543" s="130" t="str">
        <f t="shared" ref="EJ543:EJ544" si="2944">IF(ISERROR((EI543/EA543-1)*100),"NA",IF(((EI543/EA543-1)*100)&gt;100,"NM",IF(((EI543/EA543-1)*100)&lt;-50,"NM",(EI543/EA543-1)*100)))</f>
        <v>NM</v>
      </c>
      <c r="EK543" s="73">
        <f t="shared" si="2943"/>
        <v>9.174999999999045E-2</v>
      </c>
      <c r="EL543" s="130" t="str">
        <f t="shared" ref="EL543:EL544" si="2945">IF(ISERROR((EK543/EC543-1)*100),"NA",IF(((EK543/EC543-1)*100)&gt;100,"NM",IF(((EK543/EC543-1)*100)&lt;-50,"NM",(EK543/EC543-1)*100)))</f>
        <v>NM</v>
      </c>
      <c r="EM543" s="73">
        <f t="shared" ref="EM543" si="2946">(EM622*EM611)-EM541</f>
        <v>6.9200000000023465E-2</v>
      </c>
      <c r="EN543" s="130">
        <f t="shared" ref="EN543:EN544" si="2947">IF(ISERROR((EM543/EE543-1)*100),"NA",IF(((EM543/EE543-1)*100)&gt;100,"NM",IF(((EM543/EE543-1)*100)&lt;-50,"NM",(EM543/EE543-1)*100)))</f>
        <v>88.04347826108112</v>
      </c>
      <c r="EO543" s="73">
        <f t="shared" ref="EO543" si="2948">(EO622*EO611)-EO541</f>
        <v>2.7700000000038472E-2</v>
      </c>
      <c r="EP543" s="130" t="str">
        <f t="shared" ref="EP543:EP544" si="2949">IF(ISERROR((EO543/EG543-1)*100),"NA",IF(((EO543/EG543-1)*100)&gt;100,"NM",IF(((EO543/EG543-1)*100)&lt;-50,"NM",(EO543/EG543-1)*100)))</f>
        <v>NM</v>
      </c>
      <c r="EQ543" s="73">
        <f t="shared" ref="EQ543:EW543" si="2950">(EQ622*EQ611)-EQ541</f>
        <v>0</v>
      </c>
      <c r="ER543" s="130" t="str">
        <f t="shared" ref="ER543:ER544" si="2951">IF(ISERROR((EQ543/EI543-1)*100),"NA",IF(((EQ543/EI543-1)*100)&gt;100,"NM",IF(((EQ543/EI543-1)*100)&lt;-50,"NM",(EQ543/EI543-1)*100)))</f>
        <v>NM</v>
      </c>
      <c r="ES543" s="73">
        <f t="shared" si="2950"/>
        <v>0</v>
      </c>
      <c r="ET543" s="130" t="str">
        <f t="shared" ref="ET543:ET544" si="2952">IF(ISERROR((ES543/EK543-1)*100),"NA",IF(((ES543/EK543-1)*100)&gt;100,"NM",IF(((ES543/EK543-1)*100)&lt;-50,"NM",(ES543/EK543-1)*100)))</f>
        <v>NM</v>
      </c>
      <c r="EU543" s="73">
        <f t="shared" si="2950"/>
        <v>0</v>
      </c>
      <c r="EV543" s="130" t="str">
        <f t="shared" ref="EV543:EV544" si="2953">IF(ISERROR((EU543/EM543-1)*100),"NA",IF(((EU543/EM543-1)*100)&gt;100,"NM",IF(((EU543/EM543-1)*100)&lt;-50,"NM",(EU543/EM543-1)*100)))</f>
        <v>NM</v>
      </c>
      <c r="EW543" s="73">
        <f t="shared" si="2950"/>
        <v>0</v>
      </c>
      <c r="EX543" s="130" t="str">
        <f t="shared" ref="EX543:EX544" si="2954">IF(ISERROR((EW543/EO543-1)*100),"NA",IF(((EW543/EO543-1)*100)&gt;100,"NM",IF(((EW543/EO543-1)*100)&lt;-50,"NM",(EW543/EO543-1)*100)))</f>
        <v>NM</v>
      </c>
      <c r="EY543" s="65"/>
      <c r="EZ543" s="558"/>
      <c r="FA543" s="65"/>
      <c r="FB543" s="16"/>
      <c r="FC543" s="16"/>
      <c r="FD543" s="16"/>
      <c r="FE543" s="122"/>
      <c r="FF543" s="16"/>
      <c r="FG543" s="122"/>
      <c r="FH543" s="16"/>
      <c r="FI543" s="122"/>
      <c r="FJ543" s="16"/>
      <c r="FK543" s="122"/>
      <c r="FL543" s="16"/>
      <c r="FM543" s="13"/>
      <c r="FN543" s="16"/>
      <c r="FO543" s="13"/>
      <c r="FP543" s="16"/>
      <c r="FQ543" s="13"/>
      <c r="FR543" s="73">
        <f>FR544-FR541</f>
        <v>0</v>
      </c>
      <c r="FS543" s="13"/>
      <c r="FT543" s="73">
        <f>FT544-FT541</f>
        <v>0</v>
      </c>
      <c r="FU543" s="13"/>
      <c r="FV543" s="73">
        <f>FV544-FV541</f>
        <v>0</v>
      </c>
      <c r="FW543" s="13"/>
      <c r="FX543" s="73">
        <f>FX544-FX541</f>
        <v>0</v>
      </c>
      <c r="FY543" s="13"/>
      <c r="FZ543" s="73">
        <f>FZ544-FZ541</f>
        <v>0</v>
      </c>
      <c r="GA543" s="13"/>
      <c r="GB543" s="73">
        <f>GB544-GB541</f>
        <v>0</v>
      </c>
      <c r="GC543" s="13"/>
      <c r="GD543" s="73">
        <f>GD544-GD541</f>
        <v>0</v>
      </c>
      <c r="GE543" s="13"/>
      <c r="GF543" s="73">
        <f>GF544-GF541</f>
        <v>0</v>
      </c>
      <c r="GG543" s="61" t="str">
        <f t="shared" ref="GG543:GW544" si="2955">IF(ISERROR((GF543/GD543-1)*100),"NA",IF(((GF543/GD543-1)*100)&gt;100,"NM",IF(((GF543/GD543-1)*100)&lt;-50,"NM",(GF543/GD543-1)*100)))</f>
        <v>NA</v>
      </c>
      <c r="GH543" s="73">
        <f>GH544-GH541</f>
        <v>0</v>
      </c>
      <c r="GI543" s="61" t="str">
        <f t="shared" si="2955"/>
        <v>NA</v>
      </c>
      <c r="GJ543" s="73">
        <f>GJ544-GJ541</f>
        <v>6.1500000000023647E-2</v>
      </c>
      <c r="GK543" s="61" t="str">
        <f t="shared" si="2955"/>
        <v>NA</v>
      </c>
      <c r="GL543" s="73">
        <f>GL544-GL541</f>
        <v>0.11549999999988358</v>
      </c>
      <c r="GM543" s="61">
        <f t="shared" si="2955"/>
        <v>87.804878048518972</v>
      </c>
      <c r="GN543" s="73">
        <f>GN544-GN541</f>
        <v>0.21075000000018917</v>
      </c>
      <c r="GO543" s="61">
        <f t="shared" si="2955"/>
        <v>82.467532467880162</v>
      </c>
      <c r="GP543" s="73">
        <f>GP544-GP541</f>
        <v>0</v>
      </c>
      <c r="GQ543" s="61" t="str">
        <f t="shared" si="2955"/>
        <v>NM</v>
      </c>
      <c r="GR543" s="73">
        <f>(GR622*GR611)-GR541</f>
        <v>0</v>
      </c>
      <c r="GS543" s="61" t="str">
        <f t="shared" si="2955"/>
        <v>NA</v>
      </c>
      <c r="GT543" s="73">
        <f>(GT622*GT611)-GT541</f>
        <v>0</v>
      </c>
      <c r="GU543" s="61" t="str">
        <f t="shared" si="2955"/>
        <v>NA</v>
      </c>
      <c r="GV543" s="73">
        <f>(GV622*GV611)-GV541</f>
        <v>0</v>
      </c>
      <c r="GW543" s="61" t="str">
        <f t="shared" si="2955"/>
        <v>NA</v>
      </c>
      <c r="GX543" s="73">
        <f>(GX622*GX611)-GX541</f>
        <v>0</v>
      </c>
      <c r="GY543" s="61" t="str">
        <f t="shared" ref="GY543:GY544" si="2956">IF(ISERROR((GX543/GV543-1)*100),"NA",IF(((GX543/GV543-1)*100)&gt;100,"NM",IF(((GX543/GV543-1)*100)&lt;-50,"NM",(GX543/GV543-1)*100)))</f>
        <v>NA</v>
      </c>
      <c r="GZ543" s="61" t="str">
        <f t="shared" si="2854"/>
        <v>NM</v>
      </c>
      <c r="HA543" s="13"/>
      <c r="HB543" s="452"/>
      <c r="HC543"/>
      <c r="HD543"/>
      <c r="HE543"/>
      <c r="HF543"/>
      <c r="HG543"/>
      <c r="HH543"/>
    </row>
    <row r="544" spans="1:216" s="5" customFormat="1" ht="12.75" customHeight="1" x14ac:dyDescent="0.2">
      <c r="B544" s="403" t="s">
        <v>507</v>
      </c>
      <c r="C544" s="16"/>
      <c r="D544" s="122"/>
      <c r="E544" s="16"/>
      <c r="F544" s="16"/>
      <c r="G544" s="16"/>
      <c r="H544" s="16"/>
      <c r="I544" s="16"/>
      <c r="J544" s="16"/>
      <c r="K544" s="16"/>
      <c r="L544" s="13"/>
      <c r="M544" s="16"/>
      <c r="N544" s="13"/>
      <c r="O544" s="139"/>
      <c r="P544" s="13"/>
      <c r="Q544" s="139"/>
      <c r="R544" s="13"/>
      <c r="S544" s="139"/>
      <c r="T544" s="13"/>
      <c r="U544" s="16"/>
      <c r="V544" s="13"/>
      <c r="W544" s="139"/>
      <c r="X544" s="13"/>
      <c r="Y544" s="139"/>
      <c r="Z544" s="13"/>
      <c r="AA544" s="139"/>
      <c r="AB544" s="13"/>
      <c r="AC544" s="139"/>
      <c r="AD544" s="13"/>
      <c r="AE544" s="139"/>
      <c r="AF544" s="13"/>
      <c r="AG544" s="139"/>
      <c r="AH544" s="13"/>
      <c r="AI544" s="139"/>
      <c r="AJ544" s="13"/>
      <c r="AK544" s="139"/>
      <c r="AL544" s="13"/>
      <c r="AM544" s="139"/>
      <c r="AN544" s="13"/>
      <c r="AO544" s="139"/>
      <c r="AP544" s="13"/>
      <c r="AQ544" s="139"/>
      <c r="AR544" s="13"/>
      <c r="AS544" s="139"/>
      <c r="AT544" s="13"/>
      <c r="AU544" s="139"/>
      <c r="AV544" s="13"/>
      <c r="AW544" s="139"/>
      <c r="AX544" s="13"/>
      <c r="AY544" s="73">
        <f>AY541+AY543</f>
        <v>246.95999999999995</v>
      </c>
      <c r="AZ544" s="13"/>
      <c r="BA544" s="73">
        <f>BA541+BA543</f>
        <v>323.45999999999998</v>
      </c>
      <c r="BB544" s="13"/>
      <c r="BC544" s="73">
        <f>BC541+BC543</f>
        <v>357.76000000000005</v>
      </c>
      <c r="BD544" s="13"/>
      <c r="BE544" s="73">
        <f>BE541+BE543</f>
        <v>360.45999999999992</v>
      </c>
      <c r="BF544" s="13"/>
      <c r="BG544" s="73">
        <f>BG541+BG543</f>
        <v>339.40000000000009</v>
      </c>
      <c r="BH544" s="13"/>
      <c r="BI544" s="73">
        <f>BI541+BI543</f>
        <v>350.6</v>
      </c>
      <c r="BJ544" s="13"/>
      <c r="BK544" s="73">
        <f>BK541+BK543</f>
        <v>332.3</v>
      </c>
      <c r="BL544" s="13"/>
      <c r="BM544" s="73">
        <f>BM541+BM543</f>
        <v>301.49999999999983</v>
      </c>
      <c r="BN544" s="13"/>
      <c r="BO544" s="73">
        <f>BO541+BO543</f>
        <v>299.50000000000011</v>
      </c>
      <c r="BP544" s="13"/>
      <c r="BQ544" s="73">
        <f>BQ541+BQ543</f>
        <v>308.60000000000008</v>
      </c>
      <c r="BR544" s="13"/>
      <c r="BS544" s="73">
        <f>BS541+BS543</f>
        <v>298.00000000000011</v>
      </c>
      <c r="BT544" s="13"/>
      <c r="BU544" s="73">
        <f>BU541+BU543</f>
        <v>-127.10000000000014</v>
      </c>
      <c r="BV544" s="13"/>
      <c r="BW544" s="73">
        <f>BW541+BW543</f>
        <v>163.10000000000005</v>
      </c>
      <c r="BX544" s="13"/>
      <c r="BY544" s="73">
        <f>BY541+BY543</f>
        <v>207.30000000000015</v>
      </c>
      <c r="BZ544" s="13"/>
      <c r="CA544" s="73">
        <f>CA541+CA543</f>
        <v>259.20999999999987</v>
      </c>
      <c r="CB544" s="13"/>
      <c r="CC544" s="73">
        <f>CC541+CC543</f>
        <v>279</v>
      </c>
      <c r="CD544" s="13"/>
      <c r="CE544" s="73">
        <f>CE541+CE543</f>
        <v>257.80000000000007</v>
      </c>
      <c r="CF544" s="13"/>
      <c r="CG544" s="73">
        <f>CG541+CG543</f>
        <v>272.40000000000003</v>
      </c>
      <c r="CH544" s="13"/>
      <c r="CI544" s="73">
        <f>CI541+CI543</f>
        <v>204.59999999999997</v>
      </c>
      <c r="CJ544" s="13"/>
      <c r="CK544" s="73">
        <f>CK541+CK543</f>
        <v>265.5999999999998</v>
      </c>
      <c r="CL544" s="13"/>
      <c r="CM544" s="73">
        <f>CM541+CM543</f>
        <v>321.9000000000002</v>
      </c>
      <c r="CN544" s="13"/>
      <c r="CO544" s="73">
        <f>CO541+CO543</f>
        <v>324.89999999999981</v>
      </c>
      <c r="CP544" s="13"/>
      <c r="CQ544" s="73">
        <f>CQ541+CQ543</f>
        <v>322.89999999999992</v>
      </c>
      <c r="CR544" s="13"/>
      <c r="CS544" s="73">
        <f>CS541+CS543</f>
        <v>277</v>
      </c>
      <c r="CT544" s="13"/>
      <c r="CU544" s="73">
        <f>CU541+CU543</f>
        <v>293</v>
      </c>
      <c r="CV544" s="13"/>
      <c r="CW544" s="73">
        <f>CW541+CW543</f>
        <v>315</v>
      </c>
      <c r="CX544" s="13"/>
      <c r="CY544" s="73">
        <f>CY541+CY543</f>
        <v>362</v>
      </c>
      <c r="CZ544" s="13"/>
      <c r="DA544" s="73">
        <f>DA541+DA543</f>
        <v>310</v>
      </c>
      <c r="DB544" s="13"/>
      <c r="DC544" s="73">
        <f>DC541+DC543</f>
        <v>285</v>
      </c>
      <c r="DD544" s="13"/>
      <c r="DE544" s="73">
        <f>DE541+DE543</f>
        <v>351</v>
      </c>
      <c r="DF544" s="13"/>
      <c r="DG544" s="73">
        <f>DG541+DG543</f>
        <v>367</v>
      </c>
      <c r="DH544" s="13"/>
      <c r="DI544" s="73">
        <f>DI541+DI543</f>
        <v>382</v>
      </c>
      <c r="DJ544" s="13"/>
      <c r="DK544" s="73">
        <f>DK541+DK543</f>
        <v>364</v>
      </c>
      <c r="DL544" s="13"/>
      <c r="DM544" s="73">
        <f>DM541+DM543</f>
        <v>395</v>
      </c>
      <c r="DN544" s="130">
        <f t="shared" si="2935"/>
        <v>12.535612535612529</v>
      </c>
      <c r="DO544" s="73">
        <f>DO541+DO543</f>
        <v>416</v>
      </c>
      <c r="DP544" s="130">
        <f t="shared" si="2935"/>
        <v>13.351498637602187</v>
      </c>
      <c r="DQ544" s="73">
        <f>DQ541+DQ543</f>
        <v>440</v>
      </c>
      <c r="DR544" s="130">
        <f t="shared" si="2935"/>
        <v>15.18324607329844</v>
      </c>
      <c r="DS544" s="73">
        <f>DS541+DS543</f>
        <v>352</v>
      </c>
      <c r="DT544" s="130">
        <f t="shared" si="2935"/>
        <v>-3.2967032967032961</v>
      </c>
      <c r="DU544" s="73">
        <f>DU541+DU543</f>
        <v>371</v>
      </c>
      <c r="DV544" s="130">
        <f t="shared" si="2935"/>
        <v>-6.0759493670886062</v>
      </c>
      <c r="DW544" s="73">
        <f>DW541+DW543</f>
        <v>282</v>
      </c>
      <c r="DX544" s="73">
        <f t="shared" ref="DX544:DY544" si="2957">DX541+DX543</f>
        <v>282</v>
      </c>
      <c r="DY544" s="73">
        <f t="shared" si="2957"/>
        <v>382.06149999999997</v>
      </c>
      <c r="DZ544" s="130">
        <f t="shared" si="2935"/>
        <v>-13.167840909090922</v>
      </c>
      <c r="EA544" s="73">
        <f t="shared" ref="EA544:EC544" si="2958">EA541+EA543</f>
        <v>307.11029999999994</v>
      </c>
      <c r="EB544" s="130">
        <f t="shared" si="2938"/>
        <v>-12.752755681818195</v>
      </c>
      <c r="EC544" s="73">
        <f t="shared" si="2958"/>
        <v>373.04449999999997</v>
      </c>
      <c r="ED544" s="130">
        <f t="shared" si="2939"/>
        <v>0.55107816711590374</v>
      </c>
      <c r="EE544" s="73">
        <f t="shared" ref="EE544:EG544" si="2959">EE541+EE543</f>
        <v>441.03679999999997</v>
      </c>
      <c r="EF544" s="130">
        <f t="shared" si="2941"/>
        <v>56.396028368794319</v>
      </c>
      <c r="EG544" s="73">
        <f t="shared" si="2959"/>
        <v>408.9239</v>
      </c>
      <c r="EH544" s="130">
        <f t="shared" si="2942"/>
        <v>7.030909945126651</v>
      </c>
      <c r="EI544" s="73">
        <f t="shared" ref="EI544:EK544" si="2960">EI541+EI543</f>
        <v>442.02210000000002</v>
      </c>
      <c r="EJ544" s="130">
        <f t="shared" si="2944"/>
        <v>43.929428612456213</v>
      </c>
      <c r="EK544" s="73">
        <f t="shared" si="2960"/>
        <v>419.09174999999999</v>
      </c>
      <c r="EL544" s="130">
        <f t="shared" si="2945"/>
        <v>12.343634606595199</v>
      </c>
      <c r="EM544" s="73">
        <f t="shared" ref="EM544" si="2961">EM541+EM543</f>
        <v>454.06920000000002</v>
      </c>
      <c r="EN544" s="130">
        <f t="shared" si="2947"/>
        <v>2.9549461632226715</v>
      </c>
      <c r="EO544" s="73">
        <f t="shared" ref="EO544" si="2962">EO541+EO543</f>
        <v>440.02770000000004</v>
      </c>
      <c r="EP544" s="130">
        <f t="shared" si="2949"/>
        <v>7.6062563229980062</v>
      </c>
      <c r="EQ544" s="73">
        <f t="shared" ref="EQ544:EW544" si="2963">EQ541+EQ543</f>
        <v>433.01539174143363</v>
      </c>
      <c r="ER544" s="130">
        <f t="shared" si="2951"/>
        <v>-2.0376149198346405</v>
      </c>
      <c r="ES544" s="73">
        <f t="shared" si="2963"/>
        <v>460.45921990626726</v>
      </c>
      <c r="ET544" s="130">
        <f t="shared" si="2952"/>
        <v>9.8707430786378669</v>
      </c>
      <c r="EU544" s="73">
        <f t="shared" si="2963"/>
        <v>479.13694888564487</v>
      </c>
      <c r="EV544" s="130">
        <f t="shared" si="2953"/>
        <v>5.5206891120659352</v>
      </c>
      <c r="EW544" s="73">
        <f t="shared" si="2963"/>
        <v>492.61294385852671</v>
      </c>
      <c r="EX544" s="130">
        <f t="shared" si="2954"/>
        <v>11.950439451545126</v>
      </c>
      <c r="EY544" s="65"/>
      <c r="EZ544" s="558"/>
      <c r="FA544" s="65"/>
      <c r="FB544" s="16"/>
      <c r="FC544" s="16"/>
      <c r="FD544" s="16"/>
      <c r="FE544" s="122"/>
      <c r="FF544" s="16"/>
      <c r="FG544" s="122"/>
      <c r="FH544" s="16"/>
      <c r="FI544" s="122"/>
      <c r="FJ544" s="16"/>
      <c r="FK544" s="122"/>
      <c r="FL544" s="16"/>
      <c r="FM544" s="13"/>
      <c r="FN544" s="16"/>
      <c r="FO544" s="13"/>
      <c r="FP544" s="16"/>
      <c r="FQ544" s="13"/>
      <c r="FR544" s="73">
        <f>AY544+BA544+BC544+BE544</f>
        <v>1288.6399999999999</v>
      </c>
      <c r="FS544" s="61"/>
      <c r="FT544" s="73">
        <f>BG544+BI544+BK544+BM544</f>
        <v>1323.8</v>
      </c>
      <c r="FU544" s="61"/>
      <c r="FV544" s="73">
        <f>BO544+BQ544+BS544+BU544</f>
        <v>779.00000000000011</v>
      </c>
      <c r="FW544" s="61"/>
      <c r="FX544" s="151">
        <f t="shared" ref="FX544" si="2964">BW544+BY544+CA544+CC544</f>
        <v>908.61000000000013</v>
      </c>
      <c r="FY544" s="61"/>
      <c r="FZ544" s="151">
        <f t="shared" ref="FZ544" si="2965">CE544+CG544+CI544+CK544</f>
        <v>1000.3999999999997</v>
      </c>
      <c r="GA544" s="61"/>
      <c r="GB544" s="151">
        <f t="shared" ref="GB544" si="2966">CM544+CO544+CQ544+CS544</f>
        <v>1246.6999999999998</v>
      </c>
      <c r="GC544" s="61"/>
      <c r="GD544" s="73">
        <f>CU544+CW544+CY544+DA544</f>
        <v>1280</v>
      </c>
      <c r="GE544" s="13"/>
      <c r="GF544" s="73">
        <f>DC544+DE544+DG544+DI544</f>
        <v>1385</v>
      </c>
      <c r="GG544" s="61">
        <f t="shared" si="2955"/>
        <v>8.203125</v>
      </c>
      <c r="GH544" s="73">
        <f>DK544+DM544+DO544+DQ544</f>
        <v>1615</v>
      </c>
      <c r="GI544" s="61">
        <f t="shared" si="2955"/>
        <v>16.606498194945839</v>
      </c>
      <c r="GJ544" s="73">
        <f>DS544+DU544+DW544+DY544</f>
        <v>1387.0615</v>
      </c>
      <c r="GK544" s="61">
        <f t="shared" si="2955"/>
        <v>-14.11383900928792</v>
      </c>
      <c r="GL544" s="73">
        <f>EA544+EC544+EE544+EG544</f>
        <v>1530.1154999999999</v>
      </c>
      <c r="GM544" s="61">
        <f t="shared" si="2955"/>
        <v>10.313457622463007</v>
      </c>
      <c r="GN544" s="73">
        <f>EI544+EK544+EM544+EO544</f>
        <v>1755.2107500000002</v>
      </c>
      <c r="GO544" s="61">
        <f t="shared" si="2955"/>
        <v>14.710997307066066</v>
      </c>
      <c r="GP544" s="73">
        <f>EQ544+ES544+EU544+EW544</f>
        <v>1865.2245043918724</v>
      </c>
      <c r="GQ544" s="61">
        <f t="shared" si="2955"/>
        <v>6.2678373176481728</v>
      </c>
      <c r="GR544" s="73">
        <f>GR541+GR543</f>
        <v>1997.2805153712757</v>
      </c>
      <c r="GS544" s="61">
        <f t="shared" si="2955"/>
        <v>7.0798989970624504</v>
      </c>
      <c r="GT544" s="73">
        <f>GT541+GT543</f>
        <v>2187.2095019673025</v>
      </c>
      <c r="GU544" s="61">
        <f t="shared" si="2955"/>
        <v>9.5093796356753089</v>
      </c>
      <c r="GV544" s="73">
        <f>GV541+GV543</f>
        <v>2296.8237050363132</v>
      </c>
      <c r="GW544" s="61">
        <f t="shared" si="2955"/>
        <v>5.0116005334842173</v>
      </c>
      <c r="GX544" s="73">
        <f>GX541+GX543</f>
        <v>2417.6717699682927</v>
      </c>
      <c r="GY544" s="61">
        <f t="shared" si="2956"/>
        <v>5.2615298539018251</v>
      </c>
      <c r="GZ544" s="61">
        <f t="shared" si="2854"/>
        <v>6.6138468460235522</v>
      </c>
      <c r="HA544" s="13"/>
      <c r="HB544" s="452"/>
      <c r="HC544"/>
      <c r="HD544"/>
      <c r="HE544"/>
      <c r="HF544"/>
      <c r="HG544"/>
      <c r="HH544"/>
    </row>
    <row r="545" spans="1:216" s="5" customFormat="1" ht="12.75" customHeight="1" x14ac:dyDescent="0.2">
      <c r="B545" s="94"/>
      <c r="C545" s="66"/>
      <c r="D545" s="67"/>
      <c r="E545" s="66"/>
      <c r="F545" s="66"/>
      <c r="G545" s="66"/>
      <c r="H545" s="66"/>
      <c r="I545" s="66"/>
      <c r="J545" s="66"/>
      <c r="K545" s="66"/>
      <c r="L545" s="61"/>
      <c r="M545" s="66"/>
      <c r="N545" s="61"/>
      <c r="O545" s="138"/>
      <c r="P545" s="61"/>
      <c r="Q545" s="138"/>
      <c r="R545" s="61"/>
      <c r="S545" s="138"/>
      <c r="T545" s="61"/>
      <c r="U545" s="66"/>
      <c r="V545" s="61"/>
      <c r="W545" s="138"/>
      <c r="X545" s="61"/>
      <c r="Y545" s="138"/>
      <c r="Z545" s="61"/>
      <c r="AA545" s="138"/>
      <c r="AB545" s="61"/>
      <c r="AC545" s="138"/>
      <c r="AD545" s="61"/>
      <c r="AE545" s="138"/>
      <c r="AF545" s="61"/>
      <c r="AG545" s="138"/>
      <c r="AH545" s="61"/>
      <c r="AI545" s="138"/>
      <c r="AJ545" s="61"/>
      <c r="AK545" s="138"/>
      <c r="AL545" s="61"/>
      <c r="AM545" s="138"/>
      <c r="AN545" s="61"/>
      <c r="AO545" s="138"/>
      <c r="AP545" s="61"/>
      <c r="AQ545" s="138"/>
      <c r="AR545" s="61"/>
      <c r="AS545" s="138"/>
      <c r="AT545" s="61"/>
      <c r="AU545" s="138"/>
      <c r="AV545" s="61"/>
      <c r="AW545" s="138"/>
      <c r="AX545" s="61"/>
      <c r="AY545" s="138"/>
      <c r="AZ545" s="61"/>
      <c r="BA545" s="138"/>
      <c r="BB545" s="61"/>
      <c r="BC545" s="138"/>
      <c r="BD545" s="61"/>
      <c r="BE545" s="138"/>
      <c r="BF545" s="61"/>
      <c r="BG545" s="138"/>
      <c r="BH545" s="61"/>
      <c r="BI545" s="138"/>
      <c r="BJ545" s="61"/>
      <c r="BK545" s="138"/>
      <c r="BL545" s="61"/>
      <c r="BM545" s="138"/>
      <c r="BN545" s="61"/>
      <c r="BO545" s="138"/>
      <c r="BP545" s="61"/>
      <c r="BQ545" s="138"/>
      <c r="BR545" s="61"/>
      <c r="BS545" s="138"/>
      <c r="BT545" s="61"/>
      <c r="BU545" s="138"/>
      <c r="BV545" s="61"/>
      <c r="BW545" s="138"/>
      <c r="BX545" s="61"/>
      <c r="BY545" s="138"/>
      <c r="BZ545" s="61"/>
      <c r="CA545" s="138"/>
      <c r="CB545" s="61"/>
      <c r="CC545" s="138"/>
      <c r="CD545" s="61"/>
      <c r="CE545" s="138"/>
      <c r="CF545" s="61"/>
      <c r="CG545" s="138"/>
      <c r="CH545" s="61"/>
      <c r="CI545" s="138"/>
      <c r="CJ545" s="61"/>
      <c r="CK545" s="138"/>
      <c r="CL545" s="61"/>
      <c r="CM545" s="138"/>
      <c r="CN545" s="61"/>
      <c r="CO545" s="138"/>
      <c r="CP545" s="61"/>
      <c r="CQ545" s="138"/>
      <c r="CR545" s="61"/>
      <c r="CS545" s="138"/>
      <c r="CT545" s="61"/>
      <c r="CU545" s="138"/>
      <c r="CV545" s="61"/>
      <c r="CW545" s="138"/>
      <c r="CX545" s="61"/>
      <c r="CY545" s="138"/>
      <c r="CZ545" s="61"/>
      <c r="DA545" s="138"/>
      <c r="DB545" s="61"/>
      <c r="DC545" s="138"/>
      <c r="DD545" s="61"/>
      <c r="DE545" s="138"/>
      <c r="DF545" s="61"/>
      <c r="DG545" s="138"/>
      <c r="DH545" s="61"/>
      <c r="DI545" s="138"/>
      <c r="DJ545" s="61"/>
      <c r="DK545" s="138"/>
      <c r="DL545" s="61"/>
      <c r="DM545" s="138"/>
      <c r="DN545" s="61"/>
      <c r="DO545" s="138"/>
      <c r="DP545" s="61"/>
      <c r="DQ545" s="138"/>
      <c r="DR545" s="61"/>
      <c r="DS545" s="138"/>
      <c r="DT545" s="61"/>
      <c r="DU545" s="138"/>
      <c r="DV545" s="61"/>
      <c r="DW545" s="138"/>
      <c r="DX545" s="138"/>
      <c r="DY545" s="138"/>
      <c r="DZ545" s="61"/>
      <c r="EA545" s="138"/>
      <c r="EB545" s="61"/>
      <c r="EC545" s="138"/>
      <c r="ED545" s="61"/>
      <c r="EE545" s="138"/>
      <c r="EF545" s="61"/>
      <c r="EG545" s="138"/>
      <c r="EH545" s="61"/>
      <c r="EI545" s="138"/>
      <c r="EJ545" s="61"/>
      <c r="EK545" s="138"/>
      <c r="EL545" s="61"/>
      <c r="EM545" s="138"/>
      <c r="EN545" s="61"/>
      <c r="EO545" s="138"/>
      <c r="EP545" s="61"/>
      <c r="EQ545" s="138"/>
      <c r="ER545" s="61"/>
      <c r="ES545" s="138"/>
      <c r="ET545" s="61"/>
      <c r="EU545" s="138"/>
      <c r="EV545" s="61"/>
      <c r="EW545" s="138"/>
      <c r="EX545" s="61"/>
      <c r="EY545" s="64"/>
      <c r="EZ545" s="558"/>
      <c r="FA545" s="64"/>
      <c r="FB545" s="66"/>
      <c r="FC545" s="66"/>
      <c r="FD545" s="66"/>
      <c r="FE545" s="67"/>
      <c r="FF545" s="66"/>
      <c r="FG545" s="67"/>
      <c r="FH545" s="66"/>
      <c r="FI545" s="67"/>
      <c r="FJ545" s="66"/>
      <c r="FK545" s="67"/>
      <c r="FL545" s="66"/>
      <c r="FM545" s="61"/>
      <c r="FN545" s="66"/>
      <c r="FO545" s="61"/>
      <c r="FP545" s="16"/>
      <c r="FQ545" s="61"/>
      <c r="FR545" s="16"/>
      <c r="FS545" s="61"/>
      <c r="FT545" s="16"/>
      <c r="FU545" s="61"/>
      <c r="FV545" s="16"/>
      <c r="FW545" s="61"/>
      <c r="FX545" s="16"/>
      <c r="FY545" s="61"/>
      <c r="FZ545" s="16"/>
      <c r="GA545" s="61"/>
      <c r="GB545" s="16"/>
      <c r="GC545" s="61"/>
      <c r="GD545" s="16"/>
      <c r="GE545" s="61"/>
      <c r="GF545" s="16"/>
      <c r="GG545" s="61"/>
      <c r="GH545" s="16"/>
      <c r="GI545" s="61"/>
      <c r="GJ545" s="16"/>
      <c r="GK545" s="61"/>
      <c r="GL545" s="16"/>
      <c r="GM545" s="61"/>
      <c r="GN545" s="16"/>
      <c r="GO545" s="61"/>
      <c r="GP545" s="16"/>
      <c r="GQ545" s="61"/>
      <c r="GR545" s="66"/>
      <c r="GS545" s="61"/>
      <c r="GT545" s="66"/>
      <c r="GU545" s="61"/>
      <c r="GV545" s="66"/>
      <c r="GW545" s="61"/>
      <c r="GX545" s="66"/>
      <c r="GY545" s="61"/>
      <c r="GZ545" s="61"/>
      <c r="HA545" s="61"/>
      <c r="HB545" s="452"/>
      <c r="HC545"/>
      <c r="HD545"/>
      <c r="HE545"/>
      <c r="HF545"/>
      <c r="HG545"/>
      <c r="HH545"/>
    </row>
    <row r="546" spans="1:216" s="5" customFormat="1" ht="12.75" customHeight="1" x14ac:dyDescent="0.2">
      <c r="A546" s="5" t="s">
        <v>340</v>
      </c>
      <c r="B546" s="94" t="s">
        <v>438</v>
      </c>
      <c r="C546" s="72">
        <v>-0.3</v>
      </c>
      <c r="D546" s="70"/>
      <c r="E546" s="72">
        <v>-6.7</v>
      </c>
      <c r="F546" s="71"/>
      <c r="G546" s="72">
        <v>-11.5</v>
      </c>
      <c r="H546" s="71"/>
      <c r="I546" s="146">
        <v>1.2</v>
      </c>
      <c r="J546" s="71"/>
      <c r="K546" s="72">
        <v>-13.4</v>
      </c>
      <c r="L546" s="61" t="str">
        <f>IF(ISERROR((K546/C546-1)*100),"NA",IF(((K546/C546-1)*100)&gt;100,"NM",IF(((K546/C546-1)*100)&lt;-50,"NM",(K546/C546-1)*100)))</f>
        <v>NM</v>
      </c>
      <c r="M546" s="72">
        <v>-11.4</v>
      </c>
      <c r="N546" s="61">
        <f>IF(ISERROR((M546/E546-1)*100),"NA",IF(((M546/E546-1)*100)&gt;100,"NM",IF(((M546/E546-1)*100)&lt;-50,"NM",(M546/E546-1)*100)))</f>
        <v>70.149253731343293</v>
      </c>
      <c r="O546" s="72">
        <v>-23.7</v>
      </c>
      <c r="P546" s="61" t="str">
        <f>IF(ISERROR((O546/G546-1)*100),"NA",IF(((O546/G546-1)*100)&gt;100,"NM",IF(((O546/G546-1)*100)&lt;-50,"NM",(O546/G546-1)*100)))</f>
        <v>NM</v>
      </c>
      <c r="Q546" s="72">
        <v>-20</v>
      </c>
      <c r="R546" s="61" t="str">
        <f>IF(ISERROR((Q546/I546-1)*100),"NA",IF(((Q546/I546-1)*100)&gt;100,"NM",IF(((Q546/I546-1)*100)&lt;-50,"NM",(Q546/I546-1)*100)))</f>
        <v>NM</v>
      </c>
      <c r="S546" s="72">
        <v>-67.599999999999994</v>
      </c>
      <c r="T546" s="61" t="str">
        <f>IF(ISERROR((S546/K546-1)*100),"NA",IF(((S546/K546-1)*100)&gt;100,"NM",IF(((S546/K546-1)*100)&lt;-50,"NM",(S546/K546-1)*100)))</f>
        <v>NM</v>
      </c>
      <c r="U546" s="72">
        <v>-52.6</v>
      </c>
      <c r="V546" s="61" t="str">
        <f>IF(ISERROR((U546/M546-1)*100),"NA",IF(((U546/M546-1)*100)&gt;100,"NM",IF(((U546/M546-1)*100)&lt;-50,"NM",(U546/M546-1)*100)))</f>
        <v>NM</v>
      </c>
      <c r="W546" s="72">
        <v>-23.6</v>
      </c>
      <c r="X546" s="61">
        <f>IF(ISERROR((W546/O546-1)*100),"NA",IF(((W546/O546-1)*100)&gt;100,"NM",IF(((W546/O546-1)*100)&lt;-50,"NM",(W546/O546-1)*100)))</f>
        <v>-0.42194092827003704</v>
      </c>
      <c r="Y546" s="72">
        <v>-33.299999999999997</v>
      </c>
      <c r="Z546" s="61">
        <f>IF(ISERROR((Y546/Q546-1)*100),"NA",IF(((Y546/Q546-1)*100)&gt;100,"NM",IF(((Y546/Q546-1)*100)&lt;-50,"NM",(Y546/Q546-1)*100)))</f>
        <v>66.499999999999986</v>
      </c>
      <c r="AA546" s="72">
        <v>-58.2</v>
      </c>
      <c r="AB546" s="61">
        <f>IF(ISERROR((AA546/S546-1)*100),"NA",IF(((AA546/S546-1)*100)&gt;100,"NM",IF(((AA546/S546-1)*100)&lt;-50,"NM",(AA546/S546-1)*100)))</f>
        <v>-13.905325443786975</v>
      </c>
      <c r="AC546" s="72">
        <v>-1.3</v>
      </c>
      <c r="AD546" s="61" t="str">
        <f>IF(ISERROR((AC546/U546-1)*100),"NA",IF(((AC546/U546-1)*100)&gt;100,"NM",IF(((AC546/U546-1)*100)&lt;-50,"NM",(AC546/U546-1)*100)))</f>
        <v>NM</v>
      </c>
      <c r="AE546" s="72">
        <v>6.4</v>
      </c>
      <c r="AF546" s="61" t="str">
        <f>IF(ISERROR((AE546/W546-1)*100),"NA",IF(((AE546/W546-1)*100)&gt;100,"NM",IF(((AE546/W546-1)*100)&lt;-50,"NM",(AE546/W546-1)*100)))</f>
        <v>NM</v>
      </c>
      <c r="AG546" s="72">
        <v>42</v>
      </c>
      <c r="AH546" s="61" t="str">
        <f>IF(ISERROR((AG546/Y546-1)*100),"NA",IF(((AG546/Y546-1)*100)&gt;100,"NM",IF(((AG546/Y546-1)*100)&lt;-50,"NM",(AG546/Y546-1)*100)))</f>
        <v>NM</v>
      </c>
      <c r="AI546" s="72">
        <v>-7.9</v>
      </c>
      <c r="AJ546" s="61" t="str">
        <f>IF(ISERROR((AI546/AA546-1)*100),"NA",IF(((AI546/AA546-1)*100)&gt;100,"NM",IF(((AI546/AA546-1)*100)&lt;-50,"NM",(AI546/AA546-1)*100)))</f>
        <v>NM</v>
      </c>
      <c r="AK546" s="72">
        <v>-11.5</v>
      </c>
      <c r="AL546" s="61" t="str">
        <f>IF(ISERROR((AK546/AC546-1)*100),"NA",IF(((AK546/AC546-1)*100)&gt;100,"NM",IF(((AK546/AC546-1)*100)&lt;-50,"NM",(AK546/AC546-1)*100)))</f>
        <v>NM</v>
      </c>
      <c r="AM546" s="72">
        <v>31.5</v>
      </c>
      <c r="AN546" s="61" t="str">
        <f>IF(ISERROR((AM546/AE546-1)*100),"NA",IF(((AM546/AE546-1)*100)&gt;100,"NM",IF(((AM546/AE546-1)*100)&lt;-50,"NM",(AM546/AE546-1)*100)))</f>
        <v>NM</v>
      </c>
      <c r="AO546" s="72">
        <v>4.3</v>
      </c>
      <c r="AP546" s="61" t="str">
        <f>IF(ISERROR((AO546/AG546-1)*100),"NA",IF(((AO546/AG546-1)*100)&gt;100,"NM",IF(((AO546/AG546-1)*100)&lt;-50,"NM",(AO546/AG546-1)*100)))</f>
        <v>NM</v>
      </c>
      <c r="AQ546" s="72">
        <v>-4.7</v>
      </c>
      <c r="AR546" s="61">
        <f>IF(ISERROR((AQ546/AI546-1)*100),"NA",IF(((AQ546/AI546-1)*100)&gt;100,"NM",IF(((AQ546/AI546-1)*100)&lt;-50,"NM",(AQ546/AI546-1)*100)))</f>
        <v>-40.506329113924053</v>
      </c>
      <c r="AS546" s="72">
        <v>-2.7</v>
      </c>
      <c r="AT546" s="61" t="str">
        <f>IF(ISERROR((AS546/AK546-1)*100),"NA",IF(((AS546/AK546-1)*100)&gt;100,"NM",IF(((AS546/AK546-1)*100)&lt;-50,"NM",(AS546/AK546-1)*100)))</f>
        <v>NM</v>
      </c>
      <c r="AU546" s="72">
        <v>-1.1000000000000001</v>
      </c>
      <c r="AV546" s="61" t="str">
        <f>IF(ISERROR((AU546/AM546-1)*100),"NA",IF(((AU546/AM546-1)*100)&gt;100,"NM",IF(((AU546/AM546-1)*100)&lt;-50,"NM",(AU546/AM546-1)*100)))</f>
        <v>NM</v>
      </c>
      <c r="AW546" s="72">
        <v>-6.1</v>
      </c>
      <c r="AX546" s="61" t="str">
        <f>IF(ISERROR((AW546/AO546-1)*100),"NA",IF(((AW546/AO546-1)*100)&gt;100,"NM",IF(((AW546/AO546-1)*100)&lt;-50,"NM",(AW546/AO546-1)*100)))</f>
        <v>NM</v>
      </c>
      <c r="AY546" s="72">
        <v>-4.4000000000000004</v>
      </c>
      <c r="AZ546" s="61">
        <f>IF(ISERROR((AY546/AQ546-1)*100),"NA",IF(((AY546/AQ546-1)*100)&gt;100,"NM",IF(((AY546/AQ546-1)*100)&lt;-50,"NM",(AY546/AQ546-1)*100)))</f>
        <v>-6.3829787234042534</v>
      </c>
      <c r="BA546" s="72">
        <v>-3.8</v>
      </c>
      <c r="BB546" s="61">
        <f>IF(ISERROR((BA546/AS546-1)*100),"NA",IF(((BA546/AS546-1)*100)&gt;100,"NM",IF(((BA546/AS546-1)*100)&lt;-50,"NM",(BA546/AS546-1)*100)))</f>
        <v>40.740740740740719</v>
      </c>
      <c r="BC546" s="72">
        <v>-5</v>
      </c>
      <c r="BD546" s="61" t="str">
        <f>IF(ISERROR((BC546/AU546-1)*100),"NA",IF(((BC546/AU546-1)*100)&gt;100,"NM",IF(((BC546/AU546-1)*100)&lt;-50,"NM",(BC546/AU546-1)*100)))</f>
        <v>NM</v>
      </c>
      <c r="BE546" s="72">
        <v>9.4</v>
      </c>
      <c r="BF546" s="61" t="str">
        <f>IF(ISERROR((BE546/AW546-1)*100),"NA",IF(((BE546/AW546-1)*100)&gt;100,"NM",IF(((BE546/AW546-1)*100)&lt;-50,"NM",(BE546/AW546-1)*100)))</f>
        <v>NM</v>
      </c>
      <c r="BG546" s="72">
        <v>21.5</v>
      </c>
      <c r="BH546" s="61" t="str">
        <f>IF(ISERROR((BG546/AY546-1)*100),"NA",IF(((BG546/AY546-1)*100)&gt;100,"NM",IF(((BG546/AY546-1)*100)&lt;-50,"NM",(BG546/AY546-1)*100)))</f>
        <v>NM</v>
      </c>
      <c r="BI546" s="72">
        <v>4</v>
      </c>
      <c r="BJ546" s="61" t="str">
        <f>IF(ISERROR((BI546/BA546-1)*100),"NA",IF(((BI546/BA546-1)*100)&gt;100,"NM",IF(((BI546/BA546-1)*100)&lt;-50,"NM",(BI546/BA546-1)*100)))</f>
        <v>NM</v>
      </c>
      <c r="BK546" s="72">
        <v>-42.7</v>
      </c>
      <c r="BL546" s="61" t="str">
        <f>IF(ISERROR((BK546/BC546-1)*100),"NA",IF(((BK546/BC546-1)*100)&gt;100,"NM",IF(((BK546/BC546-1)*100)&lt;-50,"NM",(BK546/BC546-1)*100)))</f>
        <v>NM</v>
      </c>
      <c r="BM546" s="72">
        <v>-102.4</v>
      </c>
      <c r="BN546" s="61" t="str">
        <f>IF(ISERROR((BM546/BE546-1)*100),"NA",IF(((BM546/BE546-1)*100)&gt;100,"NM",IF(((BM546/BE546-1)*100)&lt;-50,"NM",(BM546/BE546-1)*100)))</f>
        <v>NM</v>
      </c>
      <c r="BO546" s="72">
        <v>-29.481999999999999</v>
      </c>
      <c r="BP546" s="61" t="str">
        <f t="shared" ref="BP546:BP551" si="2967">IF(ISERROR((BO546/BG546-1)*100),"NA",IF(((BO546/BG546-1)*100)&gt;100,"NM",IF(((BO546/BG546-1)*100)&lt;-50,"NM",(BO546/BG546-1)*100)))</f>
        <v>NM</v>
      </c>
      <c r="BQ546" s="72">
        <v>-73.2</v>
      </c>
      <c r="BR546" s="61" t="str">
        <f t="shared" ref="BR546:BR551" si="2968">IF(ISERROR((BQ546/BI546-1)*100),"NA",IF(((BQ546/BI546-1)*100)&gt;100,"NM",IF(((BQ546/BI546-1)*100)&lt;-50,"NM",(BQ546/BI546-1)*100)))</f>
        <v>NM</v>
      </c>
      <c r="BS546" s="72">
        <v>-168.7</v>
      </c>
      <c r="BT546" s="61" t="str">
        <f t="shared" ref="BT546:BT551" si="2969">IF(ISERROR((BS546/BK546-1)*100),"NA",IF(((BS546/BK546-1)*100)&gt;100,"NM",IF(((BS546/BK546-1)*100)&lt;-50,"NM",(BS546/BK546-1)*100)))</f>
        <v>NM</v>
      </c>
      <c r="BU546" s="72">
        <v>-218.7</v>
      </c>
      <c r="BV546" s="61" t="str">
        <f t="shared" ref="BV546:BV551" si="2970">IF(ISERROR((BU546/BM546-1)*100),"NA",IF(((BU546/BM546-1)*100)&gt;100,"NM",IF(((BU546/BM546-1)*100)&lt;-50,"NM",(BU546/BM546-1)*100)))</f>
        <v>NM</v>
      </c>
      <c r="BW546" s="72">
        <v>-188.4</v>
      </c>
      <c r="BX546" s="61" t="str">
        <f>IF(ISERROR((BW546/BO546-1)*100),"NA",IF(((BW546/BO546-1)*100)&gt;100,"NM",IF(((BW546/BO546-1)*100)&lt;-50,"NM",(BW546/BO546-1)*100)))</f>
        <v>NM</v>
      </c>
      <c r="BY546" s="72">
        <v>-214.5</v>
      </c>
      <c r="BZ546" s="61" t="str">
        <f>IF(ISERROR((BY546/BQ546-1)*100),"NA",IF(((BY546/BQ546-1)*100)&gt;100,"NM",IF(((BY546/BQ546-1)*100)&lt;-50,"NM",(BY546/BQ546-1)*100)))</f>
        <v>NM</v>
      </c>
      <c r="CA546" s="72">
        <v>-196</v>
      </c>
      <c r="CB546" s="61">
        <f>IF(ISERROR((CA546/BS546-1)*100),"NA",IF(((CA546/BS546-1)*100)&gt;100,"NM",IF(((CA546/BS546-1)*100)&lt;-50,"NM",(CA546/BS546-1)*100)))</f>
        <v>16.182572614107894</v>
      </c>
      <c r="CC546" s="72">
        <f>-98.3+7.6</f>
        <v>-90.7</v>
      </c>
      <c r="CD546" s="61" t="str">
        <f t="shared" ref="CD546:CD551" si="2971">IF(ISERROR((CC546/BU546-1)*100),"NA",IF(((CC546/BU546-1)*100)&gt;100,"NM",IF(((CC546/BU546-1)*100)&lt;-50,"NM",(CC546/BU546-1)*100)))</f>
        <v>NM</v>
      </c>
      <c r="CE546" s="72">
        <v>-26.5</v>
      </c>
      <c r="CF546" s="61" t="str">
        <f t="shared" ref="CF546:CF551" si="2972">IF(ISERROR((CE546/BW546-1)*100),"NA",IF(((CE546/BW546-1)*100)&gt;100,"NM",IF(((CE546/BW546-1)*100)&lt;-50,"NM",(CE546/BW546-1)*100)))</f>
        <v>NM</v>
      </c>
      <c r="CG546" s="72">
        <v>-7.3</v>
      </c>
      <c r="CH546" s="61" t="str">
        <f t="shared" ref="CH546:CH551" si="2973">IF(ISERROR((CG546/BY546-1)*100),"NA",IF(((CG546/BY546-1)*100)&gt;100,"NM",IF(((CG546/BY546-1)*100)&lt;-50,"NM",(CG546/BY546-1)*100)))</f>
        <v>NM</v>
      </c>
      <c r="CI546" s="72">
        <v>16.5</v>
      </c>
      <c r="CJ546" s="61" t="str">
        <f t="shared" ref="CJ546:CJ551" si="2974">IF(ISERROR((CI546/CA546-1)*100),"NA",IF(((CI546/CA546-1)*100)&gt;100,"NM",IF(((CI546/CA546-1)*100)&lt;-50,"NM",(CI546/CA546-1)*100)))</f>
        <v>NM</v>
      </c>
      <c r="CK546" s="72">
        <v>-77.8</v>
      </c>
      <c r="CL546" s="61">
        <f t="shared" ref="CL546:CL551" si="2975">IF(ISERROR((CK546/CC546-1)*100),"NA",IF(((CK546/CC546-1)*100)&gt;100,"NM",IF(((CK546/CC546-1)*100)&lt;-50,"NM",(CK546/CC546-1)*100)))</f>
        <v>-14.22271223814775</v>
      </c>
      <c r="CM546" s="72">
        <v>-13.5</v>
      </c>
      <c r="CN546" s="61">
        <f t="shared" ref="CN546:CN551" si="2976">IF(ISERROR((CM546/CE546-1)*100),"NA",IF(((CM546/CE546-1)*100)&gt;100,"NM",IF(((CM546/CE546-1)*100)&lt;-50,"NM",(CM546/CE546-1)*100)))</f>
        <v>-49.056603773584904</v>
      </c>
      <c r="CO546" s="72">
        <v>-21.2</v>
      </c>
      <c r="CP546" s="61" t="str">
        <f t="shared" ref="CP546:CP555" si="2977">IF(ISERROR((CO546/CG546-1)*100),"NA",IF(((CO546/CG546-1)*100)&gt;100,"NM",IF(((CO546/CG546-1)*100)&lt;-50,"NM",(CO546/CG546-1)*100)))</f>
        <v>NM</v>
      </c>
      <c r="CQ546" s="72">
        <v>-121</v>
      </c>
      <c r="CR546" s="61" t="str">
        <f t="shared" ref="CR546:CR555" si="2978">IF(ISERROR((CQ546/CI546-1)*100),"NA",IF(((CQ546/CI546-1)*100)&gt;100,"NM",IF(((CQ546/CI546-1)*100)&lt;-50,"NM",(CQ546/CI546-1)*100)))</f>
        <v>NM</v>
      </c>
      <c r="CS546" s="72">
        <v>-97</v>
      </c>
      <c r="CT546" s="61">
        <f t="shared" ref="CT546:CT555" si="2979">IF(ISERROR((CS546/CK546-1)*100),"NA",IF(((CS546/CK546-1)*100)&gt;100,"NM",IF(((CS546/CK546-1)*100)&lt;-50,"NM",(CS546/CK546-1)*100)))</f>
        <v>24.678663239074549</v>
      </c>
      <c r="CU546" s="72">
        <v>-73</v>
      </c>
      <c r="CV546" s="61" t="str">
        <f t="shared" ref="CV546:CV555" si="2980">IF(ISERROR((CU546/CM546-1)*100),"NA",IF(((CU546/CM546-1)*100)&gt;100,"NM",IF(((CU546/CM546-1)*100)&lt;-50,"NM",(CU546/CM546-1)*100)))</f>
        <v>NM</v>
      </c>
      <c r="CW546" s="72">
        <v>12</v>
      </c>
      <c r="CX546" s="61" t="str">
        <f t="shared" ref="CX546:CX555" si="2981">IF(ISERROR((CW546/CO546-1)*100),"NA",IF(((CW546/CO546-1)*100)&gt;100,"NM",IF(((CW546/CO546-1)*100)&lt;-50,"NM",(CW546/CO546-1)*100)))</f>
        <v>NM</v>
      </c>
      <c r="CY546" s="72">
        <v>25</v>
      </c>
      <c r="CZ546" s="61" t="str">
        <f t="shared" ref="CZ546:CZ555" si="2982">IF(ISERROR((CY546/CQ546-1)*100),"NA",IF(((CY546/CQ546-1)*100)&gt;100,"NM",IF(((CY546/CQ546-1)*100)&lt;-50,"NM",(CY546/CQ546-1)*100)))</f>
        <v>NM</v>
      </c>
      <c r="DA546" s="72">
        <v>11</v>
      </c>
      <c r="DB546" s="61" t="str">
        <f t="shared" ref="DB546:DB555" si="2983">IF(ISERROR((DA546/CS546-1)*100),"NA",IF(((DA546/CS546-1)*100)&gt;100,"NM",IF(((DA546/CS546-1)*100)&lt;-50,"NM",(DA546/CS546-1)*100)))</f>
        <v>NM</v>
      </c>
      <c r="DC546" s="72">
        <v>-60</v>
      </c>
      <c r="DD546" s="61">
        <f t="shared" ref="DD546:DD555" si="2984">IF(ISERROR((DC546/CU546-1)*100),"NA",IF(((DC546/CU546-1)*100)&gt;100,"NM",IF(((DC546/CU546-1)*100)&lt;-50,"NM",(DC546/CU546-1)*100)))</f>
        <v>-17.808219178082197</v>
      </c>
      <c r="DE546" s="72">
        <v>-33</v>
      </c>
      <c r="DF546" s="61" t="str">
        <f t="shared" ref="DF546:DF555" si="2985">IF(ISERROR((DE546/CW546-1)*100),"NA",IF(((DE546/CW546-1)*100)&gt;100,"NM",IF(((DE546/CW546-1)*100)&lt;-50,"NM",(DE546/CW546-1)*100)))</f>
        <v>NM</v>
      </c>
      <c r="DG546" s="72">
        <v>-43</v>
      </c>
      <c r="DH546" s="61" t="str">
        <f t="shared" ref="DH546:DH555" si="2986">IF(ISERROR((DG546/CY546-1)*100),"NA",IF(((DG546/CY546-1)*100)&gt;100,"NM",IF(((DG546/CY546-1)*100)&lt;-50,"NM",(DG546/CY546-1)*100)))</f>
        <v>NM</v>
      </c>
      <c r="DI546" s="72">
        <v>-43</v>
      </c>
      <c r="DJ546" s="61" t="str">
        <f t="shared" ref="DJ546:DJ555" si="2987">IF(ISERROR((DI546/DA546-1)*100),"NA",IF(((DI546/DA546-1)*100)&gt;100,"NM",IF(((DI546/DA546-1)*100)&lt;-50,"NM",(DI546/DA546-1)*100)))</f>
        <v>NM</v>
      </c>
      <c r="DK546" s="72">
        <v>-38</v>
      </c>
      <c r="DL546" s="61">
        <f t="shared" ref="DL546:DL555" si="2988">IF(ISERROR((DK546/DC546-1)*100),"NA",IF(((DK546/DC546-1)*100)&gt;100,"NM",IF(((DK546/DC546-1)*100)&lt;-50,"NM",(DK546/DC546-1)*100)))</f>
        <v>-36.666666666666671</v>
      </c>
      <c r="DM546" s="72">
        <v>-3</v>
      </c>
      <c r="DN546" s="130" t="str">
        <f t="shared" ref="DN546:DZ555" si="2989">IF(ISERROR((DM546/DE546-1)*100),"NA",IF(((DM546/DE546-1)*100)&gt;100,"NM",IF(((DM546/DE546-1)*100)&lt;-50,"NM",(DM546/DE546-1)*100)))</f>
        <v>NM</v>
      </c>
      <c r="DO546" s="72">
        <v>31</v>
      </c>
      <c r="DP546" s="130" t="str">
        <f t="shared" si="2989"/>
        <v>NM</v>
      </c>
      <c r="DQ546" s="72">
        <v>-96</v>
      </c>
      <c r="DR546" s="130" t="str">
        <f t="shared" si="2989"/>
        <v>NM</v>
      </c>
      <c r="DS546" s="72">
        <v>-60</v>
      </c>
      <c r="DT546" s="130">
        <f t="shared" si="2989"/>
        <v>57.894736842105267</v>
      </c>
      <c r="DU546" s="72">
        <v>-23</v>
      </c>
      <c r="DV546" s="130" t="str">
        <f t="shared" si="2989"/>
        <v>NM</v>
      </c>
      <c r="DW546" s="72">
        <v>-11</v>
      </c>
      <c r="DX546" s="72">
        <v>-11</v>
      </c>
      <c r="DY546" s="72">
        <v>-118</v>
      </c>
      <c r="DZ546" s="130">
        <f t="shared" si="2989"/>
        <v>22.916666666666675</v>
      </c>
      <c r="EA546" s="72">
        <v>-102</v>
      </c>
      <c r="EB546" s="130">
        <f t="shared" ref="EB546:EB555" si="2990">IF(ISERROR((EA546/DS546-1)*100),"NA",IF(((EA546/DS546-1)*100)&gt;100,"NM",IF(((EA546/DS546-1)*100)&lt;-50,"NM",(EA546/DS546-1)*100)))</f>
        <v>70</v>
      </c>
      <c r="EC546" s="72">
        <v>-57</v>
      </c>
      <c r="ED546" s="130" t="str">
        <f t="shared" ref="ED546:ED555" si="2991">IF(ISERROR((EC546/DU546-1)*100),"NA",IF(((EC546/DU546-1)*100)&gt;100,"NM",IF(((EC546/DU546-1)*100)&lt;-50,"NM",(EC546/DU546-1)*100)))</f>
        <v>NM</v>
      </c>
      <c r="EE546" s="72">
        <v>-4</v>
      </c>
      <c r="EF546" s="130" t="str">
        <f t="shared" ref="EF546:EF555" si="2992">IF(ISERROR((EE546/DW546-1)*100),"NA",IF(((EE546/DW546-1)*100)&gt;100,"NM",IF(((EE546/DW546-1)*100)&lt;-50,"NM",(EE546/DW546-1)*100)))</f>
        <v>NM</v>
      </c>
      <c r="EG546" s="72">
        <v>-172</v>
      </c>
      <c r="EH546" s="130">
        <f t="shared" ref="EH546:EH555" si="2993">IF(ISERROR((EG546/DY546-1)*100),"NA",IF(((EG546/DY546-1)*100)&gt;100,"NM",IF(((EG546/DY546-1)*100)&lt;-50,"NM",(EG546/DY546-1)*100)))</f>
        <v>45.762711864406768</v>
      </c>
      <c r="EI546" s="72">
        <v>-52</v>
      </c>
      <c r="EJ546" s="130">
        <f t="shared" ref="EJ546:EJ555" si="2994">IF(ISERROR((EI546/EA546-1)*100),"NA",IF(((EI546/EA546-1)*100)&gt;100,"NM",IF(((EI546/EA546-1)*100)&lt;-50,"NM",(EI546/EA546-1)*100)))</f>
        <v>-49.019607843137258</v>
      </c>
      <c r="EK546" s="72">
        <v>-34</v>
      </c>
      <c r="EL546" s="130">
        <f t="shared" ref="EL546:EL555" si="2995">IF(ISERROR((EK546/EC546-1)*100),"NA",IF(((EK546/EC546-1)*100)&gt;100,"NM",IF(((EK546/EC546-1)*100)&lt;-50,"NM",(EK546/EC546-1)*100)))</f>
        <v>-40.350877192982459</v>
      </c>
      <c r="EM546" s="72">
        <f>-63-3</f>
        <v>-66</v>
      </c>
      <c r="EN546" s="130" t="str">
        <f t="shared" ref="EN546:EN555" si="2996">IF(ISERROR((EM546/EE546-1)*100),"NA",IF(((EM546/EE546-1)*100)&gt;100,"NM",IF(((EM546/EE546-1)*100)&lt;-50,"NM",(EM546/EE546-1)*100)))</f>
        <v>NM</v>
      </c>
      <c r="EO546" s="72">
        <f>-69</f>
        <v>-69</v>
      </c>
      <c r="EP546" s="130" t="str">
        <f t="shared" ref="EP546:EP555" si="2997">IF(ISERROR((EO546/EG546-1)*100),"NA",IF(((EO546/EG546-1)*100)&gt;100,"NM",IF(((EO546/EG546-1)*100)&lt;-50,"NM",(EO546/EG546-1)*100)))</f>
        <v>NM</v>
      </c>
      <c r="EQ546" s="73">
        <f t="shared" ref="EQ546:EW546" si="2998">EQ554*EQ627/400</f>
        <v>-68.792999999999992</v>
      </c>
      <c r="ER546" s="130">
        <f t="shared" ref="ER546:ER555" si="2999">IF(ISERROR((EQ546/EI546-1)*100),"NA",IF(((EQ546/EI546-1)*100)&gt;100,"NM",IF(((EQ546/EI546-1)*100)&lt;-50,"NM",(EQ546/EI546-1)*100)))</f>
        <v>32.294230769230751</v>
      </c>
      <c r="ES546" s="73">
        <f t="shared" si="2998"/>
        <v>-68.586620999999994</v>
      </c>
      <c r="ET546" s="130" t="str">
        <f t="shared" ref="ET546:ET555" si="3000">IF(ISERROR((ES546/EK546-1)*100),"NA",IF(((ES546/EK546-1)*100)&gt;100,"NM",IF(((ES546/EK546-1)*100)&lt;-50,"NM",(ES546/EK546-1)*100)))</f>
        <v>NM</v>
      </c>
      <c r="EU546" s="73">
        <f t="shared" si="2998"/>
        <v>-68.380861136999997</v>
      </c>
      <c r="EV546" s="130">
        <f t="shared" ref="EV546:EV555" si="3001">IF(ISERROR((EU546/EM546-1)*100),"NA",IF(((EU546/EM546-1)*100)&gt;100,"NM",IF(((EU546/EM546-1)*100)&lt;-50,"NM",(EU546/EM546-1)*100)))</f>
        <v>3.6073653590908972</v>
      </c>
      <c r="EW546" s="73">
        <f t="shared" si="2998"/>
        <v>-68.175718553588993</v>
      </c>
      <c r="EX546" s="130">
        <f t="shared" ref="EX546:EX555" si="3002">IF(ISERROR((EW546/EO546-1)*100),"NA",IF(((EW546/EO546-1)*100)&gt;100,"NM",IF(((EW546/EO546-1)*100)&lt;-50,"NM",(EW546/EO546-1)*100)))</f>
        <v>-1.1946107919000082</v>
      </c>
      <c r="EY546" s="74"/>
      <c r="EZ546" s="558"/>
      <c r="FA546" s="74"/>
      <c r="FB546" s="72">
        <v>16.293351400000002</v>
      </c>
      <c r="FC546" s="91"/>
      <c r="FD546" s="72">
        <v>-4.9999999999999822E-2</v>
      </c>
      <c r="FE546" s="126" t="str">
        <f>IF(ISERROR((FD546/FB546-1)*100),"NA",IF(((FD546/FB546-1)*100)&gt;100,"NM",IF(((FD546/FB546-1)*100)&lt;-50,"NM",(FD546/FB546-1)*100)))</f>
        <v>NM</v>
      </c>
      <c r="FF546" s="72">
        <v>-17.399999999999999</v>
      </c>
      <c r="FG546" s="126" t="str">
        <f>IF(ISERROR((FF546/FD546-1)*100),"NA",IF(((FF546/FD546-1)*100)&gt;100,"NM",IF(((FF546/FD546-1)*100)&lt;-50,"NM",(FF546/FD546-1)*100)))</f>
        <v>NM</v>
      </c>
      <c r="FH546" s="72">
        <v>-68.5</v>
      </c>
      <c r="FI546" s="126" t="str">
        <f>IF(ISERROR((FH546/FF546-1)*100),"NA",IF(((FH546/FF546-1)*100)&gt;100,"NM",IF(((FH546/FF546-1)*100)&lt;-50,"NM",(FH546/FF546-1)*100)))</f>
        <v>NM</v>
      </c>
      <c r="FJ546" s="72">
        <v>-177.1</v>
      </c>
      <c r="FK546" s="126" t="str">
        <f t="shared" ref="FK546:FK553" si="3003">IF(ISERROR((FJ546/FH546-1)*100),"NA",IF(((FJ546/FH546-1)*100)&gt;100,"NM",IF(((FJ546/FH546-1)*100)&lt;-50,"NM",(FJ546/FH546-1)*100)))</f>
        <v>NM</v>
      </c>
      <c r="FL546" s="72">
        <v>-11.1</v>
      </c>
      <c r="FM546" s="126" t="str">
        <f t="shared" ref="FM546:FM553" si="3004">IF(ISERROR((FL546/FJ546-1)*100),"NA",IF(((FL546/FJ546-1)*100)&gt;100,"NM",IF(((FL546/FJ546-1)*100)&lt;-50,"NM",(FL546/FJ546-1)*100)))</f>
        <v>NM</v>
      </c>
      <c r="FN546" s="73">
        <f>AI546+AK546+AM546+AO546</f>
        <v>16.400000000000002</v>
      </c>
      <c r="FO546" s="126" t="str">
        <f t="shared" ref="FO546:FO553" si="3005">IF(ISERROR((FN546/FL546-1)*100),"NA",IF(((FN546/FL546-1)*100)&gt;100,"NM",IF(((FN546/FL546-1)*100)&lt;-50,"NM",(FN546/FL546-1)*100)))</f>
        <v>NM</v>
      </c>
      <c r="FP546" s="73">
        <f>AQ546+AS546+AU546+AW546</f>
        <v>-14.6</v>
      </c>
      <c r="FQ546" s="61" t="str">
        <f>IF(ISERROR((FP546/FH546-1)*100),"NA",IF(((FP546/FH546-1)*100)&gt;100,"NM",IF(((FP546/FH546-1)*100)&lt;-50,"NM",(FP546/FH546-1)*100)))</f>
        <v>NM</v>
      </c>
      <c r="FR546" s="73">
        <f>AY546+BA546+BC546+BE546</f>
        <v>-3.7999999999999989</v>
      </c>
      <c r="FS546" s="61" t="str">
        <f t="shared" ref="FS546:FS555" si="3006">IF(ISERROR((FR546/FP546-1)*100),"NA",IF(((FR546/FP546-1)*100)&gt;100,"NM",IF(((FR546/FP546-1)*100)&lt;-50,"NM",(FR546/FP546-1)*100)))</f>
        <v>NM</v>
      </c>
      <c r="FT546" s="73">
        <f>BG546+BI546+BK546+BM546</f>
        <v>-119.60000000000001</v>
      </c>
      <c r="FU546" s="61" t="str">
        <f t="shared" ref="FU546:FU555" si="3007">IF(ISERROR((FT546/FR546-1)*100),"NA",IF(((FT546/FR546-1)*100)&gt;100,"NM",IF(((FT546/FR546-1)*100)&lt;-50,"NM",(FT546/FR546-1)*100)))</f>
        <v>NM</v>
      </c>
      <c r="FV546" s="73">
        <f>BO546+BQ546+BS546+BU546</f>
        <v>-490.08199999999999</v>
      </c>
      <c r="FW546" s="61" t="str">
        <f t="shared" ref="FW546:FW555" si="3008">IF(ISERROR((FV546/FT546-1)*100),"NA",IF(((FV546/FT546-1)*100)&gt;100,"NM",IF(((FV546/FT546-1)*100)&lt;-50,"NM",(FV546/FT546-1)*100)))</f>
        <v>NM</v>
      </c>
      <c r="FX546" s="151">
        <f t="shared" ref="FX546:FX551" si="3009">BW546+BY546+CA546+CC546</f>
        <v>-689.6</v>
      </c>
      <c r="FY546" s="61">
        <f t="shared" ref="FY546:FY555" si="3010">IF(ISERROR((FX546/FV546-1)*100),"NA",IF(((FX546/FV546-1)*100)&gt;100,"NM",IF(((FX546/FV546-1)*100)&lt;-50,"NM",(FX546/FV546-1)*100)))</f>
        <v>40.711146297966458</v>
      </c>
      <c r="FZ546" s="151">
        <f t="shared" ref="FZ546:FZ551" si="3011">CE546+CG546+CI546+CK546</f>
        <v>-95.1</v>
      </c>
      <c r="GA546" s="61" t="str">
        <f t="shared" ref="GA546:GA555" si="3012">IF(ISERROR((FZ546/FX546-1)*100),"NA",IF(((FZ546/FX546-1)*100)&gt;100,"NM",IF(((FZ546/FX546-1)*100)&lt;-50,"NM",(FZ546/FX546-1)*100)))</f>
        <v>NM</v>
      </c>
      <c r="GB546" s="151">
        <f t="shared" ref="GB546:GB551" si="3013">CM546+CO546+CQ546+CS546</f>
        <v>-252.7</v>
      </c>
      <c r="GC546" s="61" t="str">
        <f t="shared" ref="GC546:GC555" si="3014">IF(ISERROR((GB546/FZ546-1)*100),"NA",IF(((GB546/FZ546-1)*100)&gt;100,"NM",IF(((GB546/FZ546-1)*100)&lt;-50,"NM",(GB546/FZ546-1)*100)))</f>
        <v>NM</v>
      </c>
      <c r="GD546" s="151">
        <f t="shared" ref="GD546:GD551" si="3015">CU546+CW546+CY546+DA546</f>
        <v>-25</v>
      </c>
      <c r="GE546" s="61" t="str">
        <f t="shared" ref="GE546:GW555" si="3016">IF(ISERROR((GD546/GB546-1)*100),"NA",IF(((GD546/GB546-1)*100)&gt;100,"NM",IF(((GD546/GB546-1)*100)&lt;-50,"NM",(GD546/GB546-1)*100)))</f>
        <v>NM</v>
      </c>
      <c r="GF546" s="151">
        <f t="shared" ref="GF546:GF551" si="3017">DC546+DE546+DG546+DI546</f>
        <v>-179</v>
      </c>
      <c r="GG546" s="61" t="str">
        <f t="shared" si="3016"/>
        <v>NM</v>
      </c>
      <c r="GH546" s="151">
        <f t="shared" ref="GH546:GH551" si="3018">DK546+DM546+DO546+DQ546</f>
        <v>-106</v>
      </c>
      <c r="GI546" s="61">
        <f t="shared" si="3016"/>
        <v>-40.782122905027926</v>
      </c>
      <c r="GJ546" s="151">
        <f t="shared" ref="GJ546:GJ551" si="3019">DS546+DU546+DW546+DY546</f>
        <v>-212</v>
      </c>
      <c r="GK546" s="61">
        <f t="shared" si="3016"/>
        <v>100</v>
      </c>
      <c r="GL546" s="151">
        <f t="shared" ref="GL546:GL551" si="3020">EA546+EC546+EE546+EG546</f>
        <v>-335</v>
      </c>
      <c r="GM546" s="61">
        <f t="shared" si="3016"/>
        <v>58.018867924528308</v>
      </c>
      <c r="GN546" s="151">
        <f t="shared" ref="GN546:GN551" si="3021">EI546+EK546+EM546+EO546</f>
        <v>-221</v>
      </c>
      <c r="GO546" s="61">
        <f t="shared" si="3016"/>
        <v>-34.02985074626865</v>
      </c>
      <c r="GP546" s="151">
        <f t="shared" ref="GP546:GP551" si="3022">EQ546+ES546+EU546+EW546</f>
        <v>-273.93620069058898</v>
      </c>
      <c r="GQ546" s="61">
        <f t="shared" si="3016"/>
        <v>23.953031986691855</v>
      </c>
      <c r="GR546" s="73">
        <f>GR554*GR627/100</f>
        <v>-271.1968386836831</v>
      </c>
      <c r="GS546" s="61">
        <f t="shared" si="3016"/>
        <v>-1.0000000000000009</v>
      </c>
      <c r="GT546" s="73">
        <f>GT554*GT627/100</f>
        <v>-268.48487029684628</v>
      </c>
      <c r="GU546" s="61">
        <f t="shared" si="3016"/>
        <v>-0.99999999999998979</v>
      </c>
      <c r="GV546" s="73">
        <f>GV554*GV627/100</f>
        <v>-265.80002159387777</v>
      </c>
      <c r="GW546" s="61">
        <f t="shared" si="3016"/>
        <v>-1.000000000000012</v>
      </c>
      <c r="GX546" s="73">
        <f>GX554*GX627/100</f>
        <v>-263.14202137793905</v>
      </c>
      <c r="GY546" s="61">
        <f t="shared" ref="GY546:GY555" si="3023">IF(ISERROR((GX546/GV546-1)*100),"NA",IF(((GX546/GV546-1)*100)&gt;100,"NM",IF(((GX546/GV546-1)*100)&lt;-50,"NM",(GX546/GV546-1)*100)))</f>
        <v>-0.99999999999997868</v>
      </c>
      <c r="GZ546" s="61">
        <f t="shared" ref="GZ546:GZ564" si="3024">IF(ISERROR((GX546/GN546)^0.2),"",IF(OR((GX546/GN546)^0.2&lt;0.5,(GX546/GN546)^0.2&gt;2),"NM",((GX546/GN546)^0.2-1)*100))</f>
        <v>3.5522611607423649</v>
      </c>
      <c r="HA546" s="61"/>
      <c r="HB546" s="452"/>
      <c r="HC546"/>
      <c r="HD546"/>
      <c r="HE546"/>
      <c r="HF546"/>
      <c r="HG546"/>
      <c r="HH546"/>
    </row>
    <row r="547" spans="1:216" s="5" customFormat="1" ht="12.75" hidden="1" customHeight="1" outlineLevel="1" x14ac:dyDescent="0.2">
      <c r="A547" s="5" t="s">
        <v>341</v>
      </c>
      <c r="B547" s="68" t="s">
        <v>181</v>
      </c>
      <c r="C547" s="72"/>
      <c r="D547" s="70"/>
      <c r="E547" s="69"/>
      <c r="F547" s="71"/>
      <c r="G547" s="69"/>
      <c r="H547" s="71"/>
      <c r="I547" s="150"/>
      <c r="J547" s="71"/>
      <c r="K547" s="72">
        <v>0</v>
      </c>
      <c r="L547" s="61" t="str">
        <f>IF(ISERROR((K547/C547-1)*100),"NA",IF(((K547/C547-1)*100)&gt;100,"NM",IF(((K547/C547-1)*100)&lt;-50,"NM",(K547/C547-1)*100)))</f>
        <v>NA</v>
      </c>
      <c r="M547" s="72">
        <v>0.1</v>
      </c>
      <c r="N547" s="61" t="str">
        <f>IF(ISERROR((M547/E547-1)*100),"NA",IF(((M547/E547-1)*100)&gt;100,"NM",IF(((M547/E547-1)*100)&lt;-50,"NM",(M547/E547-1)*100)))</f>
        <v>NA</v>
      </c>
      <c r="O547" s="72">
        <v>-0.3</v>
      </c>
      <c r="P547" s="61" t="str">
        <f>IF(ISERROR((O547/G547-1)*100),"NA",IF(((O547/G547-1)*100)&gt;100,"NM",IF(((O547/G547-1)*100)&lt;-50,"NM",(O547/G547-1)*100)))</f>
        <v>NA</v>
      </c>
      <c r="Q547" s="72">
        <v>-4.7</v>
      </c>
      <c r="R547" s="61" t="str">
        <f>IF(ISERROR((Q547/I547-1)*100),"NA",IF(((Q547/I547-1)*100)&gt;100,"NM",IF(((Q547/I547-1)*100)&lt;-50,"NM",(Q547/I547-1)*100)))</f>
        <v>NA</v>
      </c>
      <c r="S547" s="72">
        <v>0.1</v>
      </c>
      <c r="T547" s="61" t="str">
        <f>IF(ISERROR((S547/K547-1)*100),"NA",IF(((S547/K547-1)*100)&gt;100,"NM",IF(((S547/K547-1)*100)&lt;-50,"NM",(S547/K547-1)*100)))</f>
        <v>NA</v>
      </c>
      <c r="U547" s="72">
        <v>0.3</v>
      </c>
      <c r="V547" s="61" t="str">
        <f>IF(ISERROR((U547/M547-1)*100),"NA",IF(((U547/M547-1)*100)&gt;100,"NM",IF(((U547/M547-1)*100)&lt;-50,"NM",(U547/M547-1)*100)))</f>
        <v>NM</v>
      </c>
      <c r="W547" s="72">
        <v>0.2</v>
      </c>
      <c r="X547" s="61" t="str">
        <f>IF(ISERROR((W547/O547-1)*100),"NA",IF(((W547/O547-1)*100)&gt;100,"NM",IF(((W547/O547-1)*100)&lt;-50,"NM",(W547/O547-1)*100)))</f>
        <v>NM</v>
      </c>
      <c r="Y547" s="72">
        <v>0.3</v>
      </c>
      <c r="Z547" s="61" t="str">
        <f>IF(ISERROR((Y547/Q547-1)*100),"NA",IF(((Y547/Q547-1)*100)&gt;100,"NM",IF(((Y547/Q547-1)*100)&lt;-50,"NM",(Y547/Q547-1)*100)))</f>
        <v>NM</v>
      </c>
      <c r="AA547" s="72">
        <v>-1.2</v>
      </c>
      <c r="AB547" s="61" t="str">
        <f>IF(ISERROR((AA547/S547-1)*100),"NA",IF(((AA547/S547-1)*100)&gt;100,"NM",IF(((AA547/S547-1)*100)&lt;-50,"NM",(AA547/S547-1)*100)))</f>
        <v>NM</v>
      </c>
      <c r="AC547" s="72">
        <v>-0.6</v>
      </c>
      <c r="AD547" s="61" t="str">
        <f>IF(ISERROR((AC547/U547-1)*100),"NA",IF(((AC547/U547-1)*100)&gt;100,"NM",IF(((AC547/U547-1)*100)&lt;-50,"NM",(AC547/U547-1)*100)))</f>
        <v>NM</v>
      </c>
      <c r="AE547" s="72">
        <v>5.9</v>
      </c>
      <c r="AF547" s="61" t="str">
        <f>IF(ISERROR((AE547/W547-1)*100),"NA",IF(((AE547/W547-1)*100)&gt;100,"NM",IF(((AE547/W547-1)*100)&lt;-50,"NM",(AE547/W547-1)*100)))</f>
        <v>NM</v>
      </c>
      <c r="AG547" s="72">
        <v>-3</v>
      </c>
      <c r="AH547" s="61" t="str">
        <f>IF(ISERROR((AG547/Y547-1)*100),"NA",IF(((AG547/Y547-1)*100)&gt;100,"NM",IF(((AG547/Y547-1)*100)&lt;-50,"NM",(AG547/Y547-1)*100)))</f>
        <v>NM</v>
      </c>
      <c r="AI547" s="72">
        <v>-5.3</v>
      </c>
      <c r="AJ547" s="61" t="str">
        <f>IF(ISERROR((AI547/AA547-1)*100),"NA",IF(((AI547/AA547-1)*100)&gt;100,"NM",IF(((AI547/AA547-1)*100)&lt;-50,"NM",(AI547/AA547-1)*100)))</f>
        <v>NM</v>
      </c>
      <c r="AK547" s="72">
        <v>4.9000000000000004</v>
      </c>
      <c r="AL547" s="61" t="str">
        <f>IF(ISERROR((AK547/AC547-1)*100),"NA",IF(((AK547/AC547-1)*100)&gt;100,"NM",IF(((AK547/AC547-1)*100)&lt;-50,"NM",(AK547/AC547-1)*100)))</f>
        <v>NM</v>
      </c>
      <c r="AM547" s="72">
        <v>-6.7</v>
      </c>
      <c r="AN547" s="61" t="str">
        <f>IF(ISERROR((AM547/AE547-1)*100),"NA",IF(((AM547/AE547-1)*100)&gt;100,"NM",IF(((AM547/AE547-1)*100)&lt;-50,"NM",(AM547/AE547-1)*100)))</f>
        <v>NM</v>
      </c>
      <c r="AO547" s="72">
        <v>-0.9</v>
      </c>
      <c r="AP547" s="61" t="str">
        <f>IF(ISERROR((AO547/AG547-1)*100),"NA",IF(((AO547/AG547-1)*100)&gt;100,"NM",IF(((AO547/AG547-1)*100)&lt;-50,"NM",(AO547/AG547-1)*100)))</f>
        <v>NM</v>
      </c>
      <c r="AQ547" s="72">
        <v>2.8</v>
      </c>
      <c r="AR547" s="61" t="str">
        <f>IF(ISERROR((AQ547/AI547-1)*100),"NA",IF(((AQ547/AI547-1)*100)&gt;100,"NM",IF(((AQ547/AI547-1)*100)&lt;-50,"NM",(AQ547/AI547-1)*100)))</f>
        <v>NM</v>
      </c>
      <c r="AS547" s="72">
        <v>-3.3</v>
      </c>
      <c r="AT547" s="61" t="str">
        <f>IF(ISERROR((AS547/AK547-1)*100),"NA",IF(((AS547/AK547-1)*100)&gt;100,"NM",IF(((AS547/AK547-1)*100)&lt;-50,"NM",(AS547/AK547-1)*100)))</f>
        <v>NM</v>
      </c>
      <c r="AU547" s="72">
        <v>3.5</v>
      </c>
      <c r="AV547" s="61" t="str">
        <f>IF(ISERROR((AU547/AM547-1)*100),"NA",IF(((AU547/AM547-1)*100)&gt;100,"NM",IF(((AU547/AM547-1)*100)&lt;-50,"NM",(AU547/AM547-1)*100)))</f>
        <v>NM</v>
      </c>
      <c r="AW547" s="72">
        <v>0</v>
      </c>
      <c r="AX547" s="61" t="str">
        <f>IF(ISERROR((AW547/AO547-1)*100),"NA",IF(((AW547/AO547-1)*100)&gt;100,"NM",IF(((AW547/AO547-1)*100)&lt;-50,"NM",(AW547/AO547-1)*100)))</f>
        <v>NM</v>
      </c>
      <c r="AY547" s="72">
        <v>3.8</v>
      </c>
      <c r="AZ547" s="61">
        <f>IF(ISERROR((AY547/AQ547-1)*100),"NA",IF(((AY547/AQ547-1)*100)&gt;100,"NM",IF(((AY547/AQ547-1)*100)&lt;-50,"NM",(AY547/AQ547-1)*100)))</f>
        <v>35.714285714285722</v>
      </c>
      <c r="BA547" s="72">
        <v>1.2</v>
      </c>
      <c r="BB547" s="61" t="str">
        <f>IF(ISERROR((BA547/AS547-1)*100),"NA",IF(((BA547/AS547-1)*100)&gt;100,"NM",IF(((BA547/AS547-1)*100)&lt;-50,"NM",(BA547/AS547-1)*100)))</f>
        <v>NM</v>
      </c>
      <c r="BC547" s="72">
        <v>-2.2000000000000002</v>
      </c>
      <c r="BD547" s="61" t="str">
        <f>IF(ISERROR((BC547/AU547-1)*100),"NA",IF(((BC547/AU547-1)*100)&gt;100,"NM",IF(((BC547/AU547-1)*100)&lt;-50,"NM",(BC547/AU547-1)*100)))</f>
        <v>NM</v>
      </c>
      <c r="BE547" s="72">
        <v>0.1</v>
      </c>
      <c r="BF547" s="61" t="str">
        <f>IF(ISERROR((BE547/AW547-1)*100),"NA",IF(((BE547/AW547-1)*100)&gt;100,"NM",IF(((BE547/AW547-1)*100)&lt;-50,"NM",(BE547/AW547-1)*100)))</f>
        <v>NA</v>
      </c>
      <c r="BG547" s="72">
        <v>0</v>
      </c>
      <c r="BH547" s="61" t="str">
        <f>IF(ISERROR((BG547/AY547-1)*100),"NA",IF(((BG547/AY547-1)*100)&gt;100,"NM",IF(((BG547/AY547-1)*100)&lt;-50,"NM",(BG547/AY547-1)*100)))</f>
        <v>NM</v>
      </c>
      <c r="BI547" s="72">
        <v>0</v>
      </c>
      <c r="BJ547" s="61" t="str">
        <f>IF(ISERROR((BI547/BA547-1)*100),"NA",IF(((BI547/BA547-1)*100)&gt;100,"NM",IF(((BI547/BA547-1)*100)&lt;-50,"NM",(BI547/BA547-1)*100)))</f>
        <v>NM</v>
      </c>
      <c r="BK547" s="72">
        <v>0</v>
      </c>
      <c r="BL547" s="61" t="str">
        <f>IF(ISERROR((BK547/BC547-1)*100),"NA",IF(((BK547/BC547-1)*100)&gt;100,"NM",IF(((BK547/BC547-1)*100)&lt;-50,"NM",(BK547/BC547-1)*100)))</f>
        <v>NM</v>
      </c>
      <c r="BM547" s="72">
        <v>0</v>
      </c>
      <c r="BN547" s="61" t="str">
        <f>IF(ISERROR((BM547/BE547-1)*100),"NA",IF(((BM547/BE547-1)*100)&gt;100,"NM",IF(((BM547/BE547-1)*100)&lt;-50,"NM",(BM547/BE547-1)*100)))</f>
        <v>NM</v>
      </c>
      <c r="BO547" s="72">
        <v>0</v>
      </c>
      <c r="BP547" s="61" t="str">
        <f t="shared" si="2967"/>
        <v>NA</v>
      </c>
      <c r="BQ547" s="72">
        <v>0</v>
      </c>
      <c r="BR547" s="61" t="str">
        <f t="shared" si="2968"/>
        <v>NA</v>
      </c>
      <c r="BS547" s="72">
        <v>0</v>
      </c>
      <c r="BT547" s="61" t="str">
        <f t="shared" si="2969"/>
        <v>NA</v>
      </c>
      <c r="BU547" s="72">
        <v>0</v>
      </c>
      <c r="BV547" s="61" t="str">
        <f t="shared" si="2970"/>
        <v>NA</v>
      </c>
      <c r="BW547" s="72">
        <v>0</v>
      </c>
      <c r="BX547" s="61" t="str">
        <f t="shared" ref="BX547:BX555" si="3025">IF(ISERROR((BW547/BO547-1)*100),"NA",IF(((BW547/BO547-1)*100)&gt;100,"NM",IF(((BW547/BO547-1)*100)&lt;-50,"NM",(BW547/BO547-1)*100)))</f>
        <v>NA</v>
      </c>
      <c r="BY547" s="72">
        <v>0</v>
      </c>
      <c r="BZ547" s="61" t="str">
        <f t="shared" ref="BZ547:BZ555" si="3026">IF(ISERROR((BY547/BQ547-1)*100),"NA",IF(((BY547/BQ547-1)*100)&gt;100,"NM",IF(((BY547/BQ547-1)*100)&lt;-50,"NM",(BY547/BQ547-1)*100)))</f>
        <v>NA</v>
      </c>
      <c r="CA547" s="72">
        <v>0</v>
      </c>
      <c r="CB547" s="61" t="str">
        <f t="shared" ref="CB547:CB555" si="3027">IF(ISERROR((CA547/BS547-1)*100),"NA",IF(((CA547/BS547-1)*100)&gt;100,"NM",IF(((CA547/BS547-1)*100)&lt;-50,"NM",(CA547/BS547-1)*100)))</f>
        <v>NA</v>
      </c>
      <c r="CC547" s="72">
        <v>0</v>
      </c>
      <c r="CD547" s="61" t="str">
        <f t="shared" si="2971"/>
        <v>NA</v>
      </c>
      <c r="CE547" s="72">
        <v>0</v>
      </c>
      <c r="CF547" s="61" t="str">
        <f t="shared" si="2972"/>
        <v>NA</v>
      </c>
      <c r="CG547" s="72">
        <v>0</v>
      </c>
      <c r="CH547" s="61" t="str">
        <f t="shared" si="2973"/>
        <v>NA</v>
      </c>
      <c r="CI547" s="72">
        <v>0</v>
      </c>
      <c r="CJ547" s="61" t="str">
        <f t="shared" si="2974"/>
        <v>NA</v>
      </c>
      <c r="CK547" s="72">
        <v>0</v>
      </c>
      <c r="CL547" s="61" t="str">
        <f t="shared" si="2975"/>
        <v>NA</v>
      </c>
      <c r="CM547" s="72">
        <v>0</v>
      </c>
      <c r="CN547" s="61" t="str">
        <f t="shared" si="2976"/>
        <v>NA</v>
      </c>
      <c r="CO547" s="72">
        <v>0</v>
      </c>
      <c r="CP547" s="61" t="str">
        <f t="shared" si="2977"/>
        <v>NA</v>
      </c>
      <c r="CQ547" s="72">
        <v>0</v>
      </c>
      <c r="CR547" s="61" t="str">
        <f t="shared" si="2978"/>
        <v>NA</v>
      </c>
      <c r="CS547" s="72">
        <v>0</v>
      </c>
      <c r="CT547" s="61" t="str">
        <f t="shared" si="2979"/>
        <v>NA</v>
      </c>
      <c r="CU547" s="72">
        <v>0</v>
      </c>
      <c r="CV547" s="61" t="str">
        <f t="shared" si="2980"/>
        <v>NA</v>
      </c>
      <c r="CW547" s="72">
        <v>0</v>
      </c>
      <c r="CX547" s="61" t="str">
        <f t="shared" si="2981"/>
        <v>NA</v>
      </c>
      <c r="CY547" s="72">
        <v>0</v>
      </c>
      <c r="CZ547" s="61" t="str">
        <f t="shared" si="2982"/>
        <v>NA</v>
      </c>
      <c r="DA547" s="72">
        <v>0</v>
      </c>
      <c r="DB547" s="61" t="str">
        <f t="shared" si="2983"/>
        <v>NA</v>
      </c>
      <c r="DC547" s="72">
        <v>0</v>
      </c>
      <c r="DD547" s="61" t="str">
        <f t="shared" si="2984"/>
        <v>NA</v>
      </c>
      <c r="DE547" s="72">
        <v>0</v>
      </c>
      <c r="DF547" s="61" t="str">
        <f t="shared" si="2985"/>
        <v>NA</v>
      </c>
      <c r="DG547" s="72">
        <v>0</v>
      </c>
      <c r="DH547" s="61" t="str">
        <f t="shared" si="2986"/>
        <v>NA</v>
      </c>
      <c r="DI547" s="72">
        <v>0</v>
      </c>
      <c r="DJ547" s="61" t="str">
        <f t="shared" si="2987"/>
        <v>NA</v>
      </c>
      <c r="DK547" s="72">
        <v>0</v>
      </c>
      <c r="DL547" s="61" t="str">
        <f t="shared" si="2988"/>
        <v>NA</v>
      </c>
      <c r="DM547" s="72">
        <v>0</v>
      </c>
      <c r="DN547" s="130" t="str">
        <f t="shared" si="2989"/>
        <v>NA</v>
      </c>
      <c r="DO547" s="72">
        <v>0</v>
      </c>
      <c r="DP547" s="130" t="str">
        <f t="shared" si="2989"/>
        <v>NA</v>
      </c>
      <c r="DQ547" s="72">
        <v>0</v>
      </c>
      <c r="DR547" s="130" t="str">
        <f t="shared" si="2989"/>
        <v>NA</v>
      </c>
      <c r="DS547" s="72">
        <v>0</v>
      </c>
      <c r="DT547" s="130" t="str">
        <f t="shared" si="2989"/>
        <v>NA</v>
      </c>
      <c r="DU547" s="72">
        <v>0</v>
      </c>
      <c r="DV547" s="130" t="str">
        <f t="shared" si="2989"/>
        <v>NA</v>
      </c>
      <c r="DW547" s="72">
        <v>0</v>
      </c>
      <c r="DX547" s="72">
        <v>0</v>
      </c>
      <c r="DY547" s="72">
        <v>0</v>
      </c>
      <c r="DZ547" s="130" t="str">
        <f t="shared" si="2989"/>
        <v>NA</v>
      </c>
      <c r="EA547" s="72">
        <v>0</v>
      </c>
      <c r="EB547" s="130" t="str">
        <f t="shared" si="2990"/>
        <v>NA</v>
      </c>
      <c r="EC547" s="72">
        <v>0</v>
      </c>
      <c r="ED547" s="130" t="str">
        <f t="shared" si="2991"/>
        <v>NA</v>
      </c>
      <c r="EE547" s="72">
        <v>0</v>
      </c>
      <c r="EF547" s="130" t="str">
        <f t="shared" si="2992"/>
        <v>NA</v>
      </c>
      <c r="EG547" s="72">
        <v>0</v>
      </c>
      <c r="EH547" s="130" t="str">
        <f t="shared" si="2993"/>
        <v>NA</v>
      </c>
      <c r="EI547" s="72">
        <v>0</v>
      </c>
      <c r="EJ547" s="130" t="str">
        <f t="shared" si="2994"/>
        <v>NA</v>
      </c>
      <c r="EK547" s="72">
        <f t="shared" ref="EK547:EM547" si="3028">EI547</f>
        <v>0</v>
      </c>
      <c r="EL547" s="130" t="str">
        <f t="shared" si="2995"/>
        <v>NA</v>
      </c>
      <c r="EM547" s="72">
        <f t="shared" si="3028"/>
        <v>0</v>
      </c>
      <c r="EN547" s="130" t="str">
        <f t="shared" si="2996"/>
        <v>NA</v>
      </c>
      <c r="EO547" s="72"/>
      <c r="EP547" s="130" t="str">
        <f t="shared" si="2997"/>
        <v>NA</v>
      </c>
      <c r="EQ547" s="72">
        <f t="shared" ref="EQ547" si="3029">EO547</f>
        <v>0</v>
      </c>
      <c r="ER547" s="130" t="str">
        <f t="shared" si="2999"/>
        <v>NA</v>
      </c>
      <c r="ES547" s="72">
        <f t="shared" ref="ES547" si="3030">EQ547</f>
        <v>0</v>
      </c>
      <c r="ET547" s="130" t="str">
        <f t="shared" si="3000"/>
        <v>NA</v>
      </c>
      <c r="EU547" s="72">
        <f t="shared" ref="EU547" si="3031">ES547</f>
        <v>0</v>
      </c>
      <c r="EV547" s="130" t="str">
        <f t="shared" si="3001"/>
        <v>NA</v>
      </c>
      <c r="EW547" s="72">
        <f t="shared" ref="EW547" si="3032">EU547</f>
        <v>0</v>
      </c>
      <c r="EX547" s="130" t="str">
        <f t="shared" si="3002"/>
        <v>NA</v>
      </c>
      <c r="EY547" s="90"/>
      <c r="EZ547" s="558"/>
      <c r="FA547" s="90"/>
      <c r="FB547" s="138"/>
      <c r="FC547" s="219"/>
      <c r="FD547" s="138"/>
      <c r="FE547" s="143"/>
      <c r="FF547" s="138"/>
      <c r="FG547" s="143"/>
      <c r="FH547" s="138">
        <v>-4.9000000000000004</v>
      </c>
      <c r="FI547" s="143" t="str">
        <f>IF(ISERROR((FH547/FF547-1)*100),"NA",IF(((FH547/FF547-1)*100)&gt;100,"NM",IF(((FH547/FF547-1)*100)&lt;-50,"NM",(FH547/FF547-1)*100)))</f>
        <v>NA</v>
      </c>
      <c r="FJ547" s="138">
        <v>0.9</v>
      </c>
      <c r="FK547" s="143" t="str">
        <f t="shared" si="3003"/>
        <v>NM</v>
      </c>
      <c r="FL547" s="138">
        <v>1.1000000000000001</v>
      </c>
      <c r="FM547" s="143">
        <f t="shared" si="3004"/>
        <v>22.222222222222232</v>
      </c>
      <c r="FN547" s="73">
        <f>AI547+AK547+AM547+AO547</f>
        <v>-8</v>
      </c>
      <c r="FO547" s="143" t="str">
        <f t="shared" si="3005"/>
        <v>NM</v>
      </c>
      <c r="FP547" s="73">
        <f>AQ547+AS547+AU547+AW547</f>
        <v>3</v>
      </c>
      <c r="FQ547" s="61" t="str">
        <f>IF(ISERROR((FP547/FH547-1)*100),"NA",IF(((FP547/FH547-1)*100)&gt;100,"NM",IF(((FP547/FH547-1)*100)&lt;-50,"NM",(FP547/FH547-1)*100)))</f>
        <v>NM</v>
      </c>
      <c r="FR547" s="73">
        <f>AY547+BA547+BC547+BE547</f>
        <v>2.9</v>
      </c>
      <c r="FS547" s="61">
        <f t="shared" si="3006"/>
        <v>-3.3333333333333326</v>
      </c>
      <c r="FT547" s="73">
        <f>BG547+BI547+BK547+BM547</f>
        <v>0</v>
      </c>
      <c r="FU547" s="61" t="str">
        <f t="shared" si="3007"/>
        <v>NM</v>
      </c>
      <c r="FV547" s="73">
        <f>BO547+BQ547+BS547+BU547</f>
        <v>0</v>
      </c>
      <c r="FW547" s="61" t="str">
        <f t="shared" si="3008"/>
        <v>NA</v>
      </c>
      <c r="FX547" s="73">
        <f t="shared" si="3009"/>
        <v>0</v>
      </c>
      <c r="FY547" s="61" t="str">
        <f t="shared" si="3010"/>
        <v>NA</v>
      </c>
      <c r="FZ547" s="73">
        <f t="shared" si="3011"/>
        <v>0</v>
      </c>
      <c r="GA547" s="61" t="str">
        <f t="shared" si="3012"/>
        <v>NA</v>
      </c>
      <c r="GB547" s="156">
        <f t="shared" si="3013"/>
        <v>0</v>
      </c>
      <c r="GC547" s="61" t="str">
        <f t="shared" si="3014"/>
        <v>NA</v>
      </c>
      <c r="GD547" s="156">
        <f t="shared" si="3015"/>
        <v>0</v>
      </c>
      <c r="GE547" s="61" t="str">
        <f t="shared" si="3016"/>
        <v>NA</v>
      </c>
      <c r="GF547" s="156">
        <f t="shared" si="3017"/>
        <v>0</v>
      </c>
      <c r="GG547" s="61" t="str">
        <f t="shared" si="3016"/>
        <v>NA</v>
      </c>
      <c r="GH547" s="156">
        <f t="shared" si="3018"/>
        <v>0</v>
      </c>
      <c r="GI547" s="61" t="str">
        <f t="shared" si="3016"/>
        <v>NA</v>
      </c>
      <c r="GJ547" s="156">
        <f t="shared" si="3019"/>
        <v>0</v>
      </c>
      <c r="GK547" s="61" t="str">
        <f t="shared" si="3016"/>
        <v>NA</v>
      </c>
      <c r="GL547" s="156">
        <f t="shared" si="3020"/>
        <v>0</v>
      </c>
      <c r="GM547" s="61" t="str">
        <f t="shared" si="3016"/>
        <v>NA</v>
      </c>
      <c r="GN547" s="156">
        <f t="shared" si="3021"/>
        <v>0</v>
      </c>
      <c r="GO547" s="61" t="str">
        <f t="shared" si="3016"/>
        <v>NA</v>
      </c>
      <c r="GP547" s="156">
        <f t="shared" si="3022"/>
        <v>0</v>
      </c>
      <c r="GQ547" s="61" t="str">
        <f t="shared" si="3016"/>
        <v>NA</v>
      </c>
      <c r="GR547" s="72">
        <v>0</v>
      </c>
      <c r="GS547" s="61" t="str">
        <f t="shared" si="3016"/>
        <v>NA</v>
      </c>
      <c r="GT547" s="72">
        <v>0</v>
      </c>
      <c r="GU547" s="61" t="str">
        <f t="shared" si="3016"/>
        <v>NA</v>
      </c>
      <c r="GV547" s="72">
        <v>0</v>
      </c>
      <c r="GW547" s="61" t="str">
        <f t="shared" si="3016"/>
        <v>NA</v>
      </c>
      <c r="GX547" s="72">
        <v>0</v>
      </c>
      <c r="GY547" s="61" t="str">
        <f t="shared" si="3023"/>
        <v>NA</v>
      </c>
      <c r="GZ547" s="61" t="str">
        <f t="shared" si="3024"/>
        <v/>
      </c>
      <c r="HA547" s="61"/>
      <c r="HB547" s="452"/>
      <c r="HC547"/>
      <c r="HD547"/>
      <c r="HE547"/>
      <c r="HF547"/>
      <c r="HG547"/>
      <c r="HH547"/>
    </row>
    <row r="548" spans="1:216" s="5" customFormat="1" ht="12.75" customHeight="1" collapsed="1" x14ac:dyDescent="0.2">
      <c r="A548" s="5" t="s">
        <v>105</v>
      </c>
      <c r="B548" s="68" t="s">
        <v>562</v>
      </c>
      <c r="C548" s="72"/>
      <c r="D548" s="70"/>
      <c r="E548" s="69"/>
      <c r="F548" s="71"/>
      <c r="G548" s="69"/>
      <c r="H548" s="71"/>
      <c r="I548" s="150"/>
      <c r="J548" s="71"/>
      <c r="K548" s="72">
        <v>-0.7</v>
      </c>
      <c r="L548" s="61" t="str">
        <f>IF(ISERROR((K548/C548-1)*100),"NA",IF(((K548/C548-1)*100)&gt;100,"NM",IF(((K548/C548-1)*100)&lt;-50,"NM",(K548/C548-1)*100)))</f>
        <v>NA</v>
      </c>
      <c r="M548" s="72">
        <v>-2.6</v>
      </c>
      <c r="N548" s="61" t="str">
        <f>IF(ISERROR((M548/E548-1)*100),"NA",IF(((M548/E548-1)*100)&gt;100,"NM",IF(((M548/E548-1)*100)&lt;-50,"NM",(M548/E548-1)*100)))</f>
        <v>NA</v>
      </c>
      <c r="O548" s="72">
        <v>0</v>
      </c>
      <c r="P548" s="61" t="str">
        <f>IF(ISERROR((O548/G548-1)*100),"NA",IF(((O548/G548-1)*100)&gt;100,"NM",IF(((O548/G548-1)*100)&lt;-50,"NM",(O548/G548-1)*100)))</f>
        <v>NA</v>
      </c>
      <c r="Q548" s="72">
        <v>-1.9</v>
      </c>
      <c r="R548" s="61" t="str">
        <f>IF(ISERROR((Q548/I548-1)*100),"NA",IF(((Q548/I548-1)*100)&gt;100,"NM",IF(((Q548/I548-1)*100)&lt;-50,"NM",(Q548/I548-1)*100)))</f>
        <v>NA</v>
      </c>
      <c r="S548" s="72">
        <v>0</v>
      </c>
      <c r="T548" s="61" t="str">
        <f>IF(ISERROR((S548/K548-1)*100),"NA",IF(((S548/K548-1)*100)&gt;100,"NM",IF(((S548/K548-1)*100)&lt;-50,"NM",(S548/K548-1)*100)))</f>
        <v>NM</v>
      </c>
      <c r="U548" s="72">
        <v>-1</v>
      </c>
      <c r="V548" s="61" t="str">
        <f>IF(ISERROR((U548/M548-1)*100),"NA",IF(((U548/M548-1)*100)&gt;100,"NM",IF(((U548/M548-1)*100)&lt;-50,"NM",(U548/M548-1)*100)))</f>
        <v>NM</v>
      </c>
      <c r="W548" s="72">
        <v>0.3</v>
      </c>
      <c r="X548" s="61" t="str">
        <f>IF(ISERROR((W548/O548-1)*100),"NA",IF(((W548/O548-1)*100)&gt;100,"NM",IF(((W548/O548-1)*100)&lt;-50,"NM",(W548/O548-1)*100)))</f>
        <v>NA</v>
      </c>
      <c r="Y548" s="72">
        <v>1.7</v>
      </c>
      <c r="Z548" s="61" t="str">
        <f>IF(ISERROR((Y548/Q548-1)*100),"NA",IF(((Y548/Q548-1)*100)&gt;100,"NM",IF(((Y548/Q548-1)*100)&lt;-50,"NM",(Y548/Q548-1)*100)))</f>
        <v>NM</v>
      </c>
      <c r="AA548" s="72">
        <v>-3.6</v>
      </c>
      <c r="AB548" s="61" t="str">
        <f>IF(ISERROR((AA548/S548-1)*100),"NA",IF(((AA548/S548-1)*100)&gt;100,"NM",IF(((AA548/S548-1)*100)&lt;-50,"NM",(AA548/S548-1)*100)))</f>
        <v>NA</v>
      </c>
      <c r="AC548" s="72">
        <v>-8.6999999999999993</v>
      </c>
      <c r="AD548" s="61" t="str">
        <f>IF(ISERROR((AC548/U548-1)*100),"NA",IF(((AC548/U548-1)*100)&gt;100,"NM",IF(((AC548/U548-1)*100)&lt;-50,"NM",(AC548/U548-1)*100)))</f>
        <v>NM</v>
      </c>
      <c r="AE548" s="72">
        <v>-10.6</v>
      </c>
      <c r="AF548" s="61" t="str">
        <f>IF(ISERROR((AE548/W548-1)*100),"NA",IF(((AE548/W548-1)*100)&gt;100,"NM",IF(((AE548/W548-1)*100)&lt;-50,"NM",(AE548/W548-1)*100)))</f>
        <v>NM</v>
      </c>
      <c r="AG548" s="72">
        <v>-7.4</v>
      </c>
      <c r="AH548" s="61" t="str">
        <f>IF(ISERROR((AG548/Y548-1)*100),"NA",IF(((AG548/Y548-1)*100)&gt;100,"NM",IF(((AG548/Y548-1)*100)&lt;-50,"NM",(AG548/Y548-1)*100)))</f>
        <v>NM</v>
      </c>
      <c r="AI548" s="72">
        <v>-4</v>
      </c>
      <c r="AJ548" s="61">
        <f>IF(ISERROR((AI548/AA548-1)*100),"NA",IF(((AI548/AA548-1)*100)&gt;100,"NM",IF(((AI548/AA548-1)*100)&lt;-50,"NM",(AI548/AA548-1)*100)))</f>
        <v>11.111111111111116</v>
      </c>
      <c r="AK548" s="72">
        <v>5</v>
      </c>
      <c r="AL548" s="61" t="str">
        <f>IF(ISERROR((AK548/AC548-1)*100),"NA",IF(((AK548/AC548-1)*100)&gt;100,"NM",IF(((AK548/AC548-1)*100)&lt;-50,"NM",(AK548/AC548-1)*100)))</f>
        <v>NM</v>
      </c>
      <c r="AM548" s="72">
        <v>-2.2999999999999998</v>
      </c>
      <c r="AN548" s="61" t="str">
        <f>IF(ISERROR((AM548/AE548-1)*100),"NA",IF(((AM548/AE548-1)*100)&gt;100,"NM",IF(((AM548/AE548-1)*100)&lt;-50,"NM",(AM548/AE548-1)*100)))</f>
        <v>NM</v>
      </c>
      <c r="AO548" s="72">
        <v>0</v>
      </c>
      <c r="AP548" s="61" t="str">
        <f>IF(ISERROR((AO548/AG548-1)*100),"NA",IF(((AO548/AG548-1)*100)&gt;100,"NM",IF(((AO548/AG548-1)*100)&lt;-50,"NM",(AO548/AG548-1)*100)))</f>
        <v>NM</v>
      </c>
      <c r="AQ548" s="72">
        <v>0</v>
      </c>
      <c r="AR548" s="61" t="str">
        <f>IF(ISERROR((AQ548/AI548-1)*100),"NA",IF(((AQ548/AI548-1)*100)&gt;100,"NM",IF(((AQ548/AI548-1)*100)&lt;-50,"NM",(AQ548/AI548-1)*100)))</f>
        <v>NM</v>
      </c>
      <c r="AS548" s="72">
        <v>0</v>
      </c>
      <c r="AT548" s="61" t="str">
        <f>IF(ISERROR((AS548/AK548-1)*100),"NA",IF(((AS548/AK548-1)*100)&gt;100,"NM",IF(((AS548/AK548-1)*100)&lt;-50,"NM",(AS548/AK548-1)*100)))</f>
        <v>NM</v>
      </c>
      <c r="AU548" s="72">
        <v>0</v>
      </c>
      <c r="AV548" s="61" t="str">
        <f>IF(ISERROR((AU548/AM548-1)*100),"NA",IF(((AU548/AM548-1)*100)&gt;100,"NM",IF(((AU548/AM548-1)*100)&lt;-50,"NM",(AU548/AM548-1)*100)))</f>
        <v>NM</v>
      </c>
      <c r="AW548" s="72">
        <v>0</v>
      </c>
      <c r="AX548" s="61" t="str">
        <f>IF(ISERROR((AW548/AO548-1)*100),"NA",IF(((AW548/AO548-1)*100)&gt;100,"NM",IF(((AW548/AO548-1)*100)&lt;-50,"NM",(AW548/AO548-1)*100)))</f>
        <v>NA</v>
      </c>
      <c r="AY548" s="72">
        <v>0</v>
      </c>
      <c r="AZ548" s="61" t="str">
        <f>IF(ISERROR((AY548/AQ548-1)*100),"NA",IF(((AY548/AQ548-1)*100)&gt;100,"NM",IF(((AY548/AQ548-1)*100)&lt;-50,"NM",(AY548/AQ548-1)*100)))</f>
        <v>NA</v>
      </c>
      <c r="BA548" s="72">
        <v>0</v>
      </c>
      <c r="BB548" s="61" t="str">
        <f>IF(ISERROR((BA548/AS548-1)*100),"NA",IF(((BA548/AS548-1)*100)&gt;100,"NM",IF(((BA548/AS548-1)*100)&lt;-50,"NM",(BA548/AS548-1)*100)))</f>
        <v>NA</v>
      </c>
      <c r="BC548" s="72">
        <v>0</v>
      </c>
      <c r="BD548" s="61" t="str">
        <f>IF(ISERROR((BC548/AU548-1)*100),"NA",IF(((BC548/AU548-1)*100)&gt;100,"NM",IF(((BC548/AU548-1)*100)&lt;-50,"NM",(BC548/AU548-1)*100)))</f>
        <v>NA</v>
      </c>
      <c r="BE548" s="72">
        <v>0</v>
      </c>
      <c r="BF548" s="61" t="str">
        <f>IF(ISERROR((BE548/AW548-1)*100),"NA",IF(((BE548/AW548-1)*100)&gt;100,"NM",IF(((BE548/AW548-1)*100)&lt;-50,"NM",(BE548/AW548-1)*100)))</f>
        <v>NA</v>
      </c>
      <c r="BG548" s="72">
        <v>0</v>
      </c>
      <c r="BH548" s="61" t="str">
        <f>IF(ISERROR((BG548/AY548-1)*100),"NA",IF(((BG548/AY548-1)*100)&gt;100,"NM",IF(((BG548/AY548-1)*100)&lt;-50,"NM",(BG548/AY548-1)*100)))</f>
        <v>NA</v>
      </c>
      <c r="BI548" s="72">
        <v>0</v>
      </c>
      <c r="BJ548" s="61" t="str">
        <f>IF(ISERROR((BI548/BA548-1)*100),"NA",IF(((BI548/BA548-1)*100)&gt;100,"NM",IF(((BI548/BA548-1)*100)&lt;-50,"NM",(BI548/BA548-1)*100)))</f>
        <v>NA</v>
      </c>
      <c r="BK548" s="72">
        <v>0</v>
      </c>
      <c r="BL548" s="61" t="str">
        <f>IF(ISERROR((BK548/BC548-1)*100),"NA",IF(((BK548/BC548-1)*100)&gt;100,"NM",IF(((BK548/BC548-1)*100)&lt;-50,"NM",(BK548/BC548-1)*100)))</f>
        <v>NA</v>
      </c>
      <c r="BM548" s="72">
        <v>0</v>
      </c>
      <c r="BN548" s="61" t="str">
        <f>IF(ISERROR((BM548/BE548-1)*100),"NA",IF(((BM548/BE548-1)*100)&gt;100,"NM",IF(((BM548/BE548-1)*100)&lt;-50,"NM",(BM548/BE548-1)*100)))</f>
        <v>NA</v>
      </c>
      <c r="BO548" s="72">
        <v>0</v>
      </c>
      <c r="BP548" s="61" t="str">
        <f t="shared" si="2967"/>
        <v>NA</v>
      </c>
      <c r="BQ548" s="72">
        <v>0</v>
      </c>
      <c r="BR548" s="61" t="str">
        <f t="shared" si="2968"/>
        <v>NA</v>
      </c>
      <c r="BS548" s="72">
        <v>0</v>
      </c>
      <c r="BT548" s="61" t="str">
        <f t="shared" si="2969"/>
        <v>NA</v>
      </c>
      <c r="BU548" s="72">
        <v>0</v>
      </c>
      <c r="BV548" s="61" t="str">
        <f t="shared" si="2970"/>
        <v>NA</v>
      </c>
      <c r="BW548" s="72">
        <v>0</v>
      </c>
      <c r="BX548" s="61" t="str">
        <f t="shared" si="3025"/>
        <v>NA</v>
      </c>
      <c r="BY548" s="72">
        <v>0</v>
      </c>
      <c r="BZ548" s="61" t="str">
        <f t="shared" si="3026"/>
        <v>NA</v>
      </c>
      <c r="CA548" s="72">
        <v>0</v>
      </c>
      <c r="CB548" s="61" t="str">
        <f t="shared" si="3027"/>
        <v>NA</v>
      </c>
      <c r="CC548" s="72">
        <v>0</v>
      </c>
      <c r="CD548" s="61" t="str">
        <f t="shared" si="2971"/>
        <v>NA</v>
      </c>
      <c r="CE548" s="72">
        <v>0</v>
      </c>
      <c r="CF548" s="61" t="str">
        <f t="shared" si="2972"/>
        <v>NA</v>
      </c>
      <c r="CG548" s="72">
        <v>0</v>
      </c>
      <c r="CH548" s="61" t="str">
        <f t="shared" si="2973"/>
        <v>NA</v>
      </c>
      <c r="CI548" s="72">
        <v>0</v>
      </c>
      <c r="CJ548" s="61" t="str">
        <f t="shared" si="2974"/>
        <v>NA</v>
      </c>
      <c r="CK548" s="72">
        <v>0</v>
      </c>
      <c r="CL548" s="61" t="str">
        <f t="shared" si="2975"/>
        <v>NA</v>
      </c>
      <c r="CM548" s="72">
        <v>0</v>
      </c>
      <c r="CN548" s="61" t="str">
        <f t="shared" si="2976"/>
        <v>NA</v>
      </c>
      <c r="CO548" s="72">
        <v>0</v>
      </c>
      <c r="CP548" s="61" t="str">
        <f t="shared" si="2977"/>
        <v>NA</v>
      </c>
      <c r="CQ548" s="72">
        <v>0</v>
      </c>
      <c r="CR548" s="61" t="str">
        <f t="shared" si="2978"/>
        <v>NA</v>
      </c>
      <c r="CS548" s="72">
        <v>0</v>
      </c>
      <c r="CT548" s="61" t="str">
        <f t="shared" si="2979"/>
        <v>NA</v>
      </c>
      <c r="CU548" s="72">
        <v>0</v>
      </c>
      <c r="CV548" s="61" t="str">
        <f t="shared" si="2980"/>
        <v>NA</v>
      </c>
      <c r="CW548" s="72">
        <v>0</v>
      </c>
      <c r="CX548" s="61" t="str">
        <f t="shared" si="2981"/>
        <v>NA</v>
      </c>
      <c r="CY548" s="72">
        <v>0</v>
      </c>
      <c r="CZ548" s="61" t="str">
        <f t="shared" si="2982"/>
        <v>NA</v>
      </c>
      <c r="DA548" s="72">
        <v>0</v>
      </c>
      <c r="DB548" s="61" t="str">
        <f t="shared" si="2983"/>
        <v>NA</v>
      </c>
      <c r="DC548" s="72">
        <v>0</v>
      </c>
      <c r="DD548" s="61" t="str">
        <f t="shared" si="2984"/>
        <v>NA</v>
      </c>
      <c r="DE548" s="72">
        <v>0</v>
      </c>
      <c r="DF548" s="61" t="str">
        <f t="shared" si="2985"/>
        <v>NA</v>
      </c>
      <c r="DG548" s="72">
        <v>0</v>
      </c>
      <c r="DH548" s="61" t="str">
        <f t="shared" si="2986"/>
        <v>NA</v>
      </c>
      <c r="DI548" s="72">
        <v>0</v>
      </c>
      <c r="DJ548" s="61" t="str">
        <f t="shared" si="2987"/>
        <v>NA</v>
      </c>
      <c r="DK548" s="72">
        <v>0</v>
      </c>
      <c r="DL548" s="61" t="str">
        <f t="shared" si="2988"/>
        <v>NA</v>
      </c>
      <c r="DM548" s="72">
        <v>0</v>
      </c>
      <c r="DN548" s="130" t="str">
        <f t="shared" si="2989"/>
        <v>NA</v>
      </c>
      <c r="DO548" s="72">
        <v>0</v>
      </c>
      <c r="DP548" s="130" t="str">
        <f t="shared" si="2989"/>
        <v>NA</v>
      </c>
      <c r="DQ548" s="72">
        <v>0</v>
      </c>
      <c r="DR548" s="130" t="str">
        <f t="shared" si="2989"/>
        <v>NA</v>
      </c>
      <c r="DS548" s="72">
        <v>0</v>
      </c>
      <c r="DT548" s="130" t="str">
        <f t="shared" si="2989"/>
        <v>NA</v>
      </c>
      <c r="DU548" s="72">
        <v>0</v>
      </c>
      <c r="DV548" s="130" t="str">
        <f t="shared" si="2989"/>
        <v>NA</v>
      </c>
      <c r="DW548" s="72">
        <v>0</v>
      </c>
      <c r="DX548" s="72">
        <v>0</v>
      </c>
      <c r="DY548" s="72">
        <v>0</v>
      </c>
      <c r="DZ548" s="130" t="str">
        <f t="shared" si="2989"/>
        <v>NA</v>
      </c>
      <c r="EA548" s="72">
        <v>0</v>
      </c>
      <c r="EB548" s="130" t="str">
        <f t="shared" si="2990"/>
        <v>NA</v>
      </c>
      <c r="EC548" s="72">
        <v>0</v>
      </c>
      <c r="ED548" s="130" t="str">
        <f t="shared" si="2991"/>
        <v>NA</v>
      </c>
      <c r="EE548" s="72">
        <v>0</v>
      </c>
      <c r="EF548" s="130" t="str">
        <f t="shared" si="2992"/>
        <v>NA</v>
      </c>
      <c r="EG548" s="72">
        <v>0</v>
      </c>
      <c r="EH548" s="130" t="str">
        <f t="shared" si="2993"/>
        <v>NA</v>
      </c>
      <c r="EI548" s="72">
        <v>0</v>
      </c>
      <c r="EJ548" s="130" t="str">
        <f t="shared" si="2994"/>
        <v>NA</v>
      </c>
      <c r="EK548" s="72">
        <v>0</v>
      </c>
      <c r="EL548" s="130" t="str">
        <f t="shared" si="2995"/>
        <v>NA</v>
      </c>
      <c r="EM548" s="72">
        <v>0</v>
      </c>
      <c r="EN548" s="130" t="str">
        <f t="shared" si="2996"/>
        <v>NA</v>
      </c>
      <c r="EO548" s="72">
        <v>0</v>
      </c>
      <c r="EP548" s="130" t="str">
        <f t="shared" si="2997"/>
        <v>NA</v>
      </c>
      <c r="EQ548" s="72">
        <v>0</v>
      </c>
      <c r="ER548" s="130" t="str">
        <f t="shared" si="2999"/>
        <v>NA</v>
      </c>
      <c r="ES548" s="72">
        <v>0</v>
      </c>
      <c r="ET548" s="130" t="str">
        <f t="shared" si="3000"/>
        <v>NA</v>
      </c>
      <c r="EU548" s="72">
        <f>-25*(1-EU510/100)</f>
        <v>-20.97193341119824</v>
      </c>
      <c r="EV548" s="130" t="str">
        <f t="shared" si="3001"/>
        <v>NA</v>
      </c>
      <c r="EW548" s="72">
        <f>-25*(1-EW510/100)</f>
        <v>-20.954788428931241</v>
      </c>
      <c r="EX548" s="130" t="str">
        <f t="shared" si="3002"/>
        <v>NA</v>
      </c>
      <c r="EY548" s="64"/>
      <c r="EZ548" s="558"/>
      <c r="FA548" s="64"/>
      <c r="FB548" s="72"/>
      <c r="FC548" s="71"/>
      <c r="FD548" s="72"/>
      <c r="FE548" s="70"/>
      <c r="FF548" s="72"/>
      <c r="FG548" s="70"/>
      <c r="FH548" s="72">
        <v>-4.8</v>
      </c>
      <c r="FI548" s="70" t="str">
        <f>IF(ISERROR((FH548/FF548-1)*100),"NA",IF(((FH548/FF548-1)*100)&gt;100,"NM",IF(((FH548/FF548-1)*100)&lt;-50,"NM",(FH548/FF548-1)*100)))</f>
        <v>NA</v>
      </c>
      <c r="FJ548" s="72">
        <v>0.7</v>
      </c>
      <c r="FK548" s="70" t="str">
        <f t="shared" si="3003"/>
        <v>NM</v>
      </c>
      <c r="FL548" s="72">
        <v>-30.3</v>
      </c>
      <c r="FM548" s="70" t="str">
        <f t="shared" si="3004"/>
        <v>NM</v>
      </c>
      <c r="FN548" s="73">
        <f>AI548+AK548+AM548+AO548</f>
        <v>-1.2999999999999998</v>
      </c>
      <c r="FO548" s="70" t="str">
        <f t="shared" si="3005"/>
        <v>NM</v>
      </c>
      <c r="FP548" s="73">
        <f>AQ548+AS548+AU548+AW548</f>
        <v>0</v>
      </c>
      <c r="FQ548" s="61" t="str">
        <f>IF(ISERROR((FP548/FH548-1)*100),"NA",IF(((FP548/FH548-1)*100)&gt;100,"NM",IF(((FP548/FH548-1)*100)&lt;-50,"NM",(FP548/FH548-1)*100)))</f>
        <v>NM</v>
      </c>
      <c r="FR548" s="73">
        <f>AY548+BA548+BC548+BE548</f>
        <v>0</v>
      </c>
      <c r="FS548" s="61" t="str">
        <f t="shared" si="3006"/>
        <v>NA</v>
      </c>
      <c r="FT548" s="73">
        <f>BG548+BI548+BK548+BM548</f>
        <v>0</v>
      </c>
      <c r="FU548" s="61" t="str">
        <f t="shared" si="3007"/>
        <v>NA</v>
      </c>
      <c r="FV548" s="73">
        <f>BO548+BQ548+BS548+BU548</f>
        <v>0</v>
      </c>
      <c r="FW548" s="61" t="str">
        <f t="shared" si="3008"/>
        <v>NA</v>
      </c>
      <c r="FX548" s="151">
        <f t="shared" si="3009"/>
        <v>0</v>
      </c>
      <c r="FY548" s="61" t="str">
        <f t="shared" si="3010"/>
        <v>NA</v>
      </c>
      <c r="FZ548" s="151">
        <f t="shared" si="3011"/>
        <v>0</v>
      </c>
      <c r="GA548" s="61" t="str">
        <f t="shared" si="3012"/>
        <v>NA</v>
      </c>
      <c r="GB548" s="151">
        <f t="shared" si="3013"/>
        <v>0</v>
      </c>
      <c r="GC548" s="61" t="str">
        <f t="shared" si="3014"/>
        <v>NA</v>
      </c>
      <c r="GD548" s="151">
        <f t="shared" si="3015"/>
        <v>0</v>
      </c>
      <c r="GE548" s="61" t="str">
        <f t="shared" si="3016"/>
        <v>NA</v>
      </c>
      <c r="GF548" s="151">
        <f t="shared" si="3017"/>
        <v>0</v>
      </c>
      <c r="GG548" s="61" t="str">
        <f t="shared" si="3016"/>
        <v>NA</v>
      </c>
      <c r="GH548" s="151">
        <f t="shared" si="3018"/>
        <v>0</v>
      </c>
      <c r="GI548" s="61" t="str">
        <f t="shared" si="3016"/>
        <v>NA</v>
      </c>
      <c r="GJ548" s="151">
        <f t="shared" si="3019"/>
        <v>0</v>
      </c>
      <c r="GK548" s="61" t="str">
        <f t="shared" si="3016"/>
        <v>NA</v>
      </c>
      <c r="GL548" s="151">
        <f t="shared" si="3020"/>
        <v>0</v>
      </c>
      <c r="GM548" s="61" t="str">
        <f t="shared" si="3016"/>
        <v>NA</v>
      </c>
      <c r="GN548" s="151">
        <f t="shared" si="3021"/>
        <v>0</v>
      </c>
      <c r="GO548" s="61" t="str">
        <f t="shared" si="3016"/>
        <v>NA</v>
      </c>
      <c r="GP548" s="151">
        <f t="shared" si="3022"/>
        <v>-41.926721840129481</v>
      </c>
      <c r="GQ548" s="61" t="str">
        <f t="shared" si="3016"/>
        <v>NA</v>
      </c>
      <c r="GR548" s="72">
        <f>-75*(1-GR510/100)</f>
        <v>-62.701945418140248</v>
      </c>
      <c r="GS548" s="61">
        <f t="shared" si="3016"/>
        <v>49.551271041958977</v>
      </c>
      <c r="GT548" s="72">
        <f>-25*(1-GT510/100)</f>
        <v>-20.821860636420471</v>
      </c>
      <c r="GU548" s="61" t="str">
        <f t="shared" si="3016"/>
        <v>NM</v>
      </c>
      <c r="GV548" s="72">
        <v>0</v>
      </c>
      <c r="GW548" s="61" t="str">
        <f t="shared" si="3016"/>
        <v>NM</v>
      </c>
      <c r="GX548" s="72">
        <v>0</v>
      </c>
      <c r="GY548" s="61" t="str">
        <f t="shared" si="3023"/>
        <v>NA</v>
      </c>
      <c r="GZ548" s="61" t="str">
        <f t="shared" si="3024"/>
        <v/>
      </c>
      <c r="HA548" s="61"/>
      <c r="HB548" s="452"/>
      <c r="HC548"/>
      <c r="HD548"/>
      <c r="HE548"/>
      <c r="HF548"/>
      <c r="HG548"/>
      <c r="HH548"/>
    </row>
    <row r="549" spans="1:216" s="5" customFormat="1" ht="12.75" customHeight="1" x14ac:dyDescent="0.2">
      <c r="B549" s="68" t="s">
        <v>85</v>
      </c>
      <c r="C549" s="72"/>
      <c r="D549" s="70"/>
      <c r="E549" s="69"/>
      <c r="F549" s="71"/>
      <c r="G549" s="69"/>
      <c r="H549" s="71"/>
      <c r="I549" s="150"/>
      <c r="J549" s="71"/>
      <c r="K549" s="69"/>
      <c r="L549" s="61"/>
      <c r="M549" s="69"/>
      <c r="N549" s="61"/>
      <c r="O549" s="69"/>
      <c r="P549" s="61"/>
      <c r="Q549" s="69"/>
      <c r="R549" s="61"/>
      <c r="S549" s="72">
        <v>0</v>
      </c>
      <c r="T549" s="61" t="str">
        <f>IF(ISERROR((S549/K549-1)*100),"NA",IF(((S549/K549-1)*100)&gt;100,"NM",IF(((S549/K549-1)*100)&lt;-50,"NM",(S549/K549-1)*100)))</f>
        <v>NA</v>
      </c>
      <c r="U549" s="72">
        <v>-14.4</v>
      </c>
      <c r="V549" s="61" t="str">
        <f>IF(ISERROR((U549/M549-1)*100),"NA",IF(((U549/M549-1)*100)&gt;100,"NM",IF(((U549/M549-1)*100)&lt;-50,"NM",(U549/M549-1)*100)))</f>
        <v>NA</v>
      </c>
      <c r="W549" s="72">
        <v>-175.3</v>
      </c>
      <c r="X549" s="61" t="str">
        <f>IF(ISERROR((W549/O549-1)*100),"NA",IF(((W549/O549-1)*100)&gt;100,"NM",IF(((W549/O549-1)*100)&lt;-50,"NM",(W549/O549-1)*100)))</f>
        <v>NA</v>
      </c>
      <c r="Y549" s="72">
        <v>-17.600000000000001</v>
      </c>
      <c r="Z549" s="61" t="str">
        <f>IF(ISERROR((Y549/Q549-1)*100),"NA",IF(((Y549/Q549-1)*100)&gt;100,"NM",IF(((Y549/Q549-1)*100)&lt;-50,"NM",(Y549/Q549-1)*100)))</f>
        <v>NA</v>
      </c>
      <c r="AA549" s="72">
        <v>-0.1</v>
      </c>
      <c r="AB549" s="61" t="str">
        <f>IF(ISERROR((AA549/S549-1)*100),"NA",IF(((AA549/S549-1)*100)&gt;100,"NM",IF(((AA549/S549-1)*100)&lt;-50,"NM",(AA549/S549-1)*100)))</f>
        <v>NA</v>
      </c>
      <c r="AC549" s="72">
        <v>-0.1</v>
      </c>
      <c r="AD549" s="61" t="str">
        <f>IF(ISERROR((AC549/U549-1)*100),"NA",IF(((AC549/U549-1)*100)&gt;100,"NM",IF(((AC549/U549-1)*100)&lt;-50,"NM",(AC549/U549-1)*100)))</f>
        <v>NM</v>
      </c>
      <c r="AE549" s="72">
        <v>-24.6</v>
      </c>
      <c r="AF549" s="61" t="str">
        <f>IF(ISERROR((AE549/W549-1)*100),"NA",IF(((AE549/W549-1)*100)&gt;100,"NM",IF(((AE549/W549-1)*100)&lt;-50,"NM",(AE549/W549-1)*100)))</f>
        <v>NM</v>
      </c>
      <c r="AG549" s="72">
        <v>-257.39999999999998</v>
      </c>
      <c r="AH549" s="61" t="str">
        <f>IF(ISERROR((AG549/Y549-1)*100),"NA",IF(((AG549/Y549-1)*100)&gt;100,"NM",IF(((AG549/Y549-1)*100)&lt;-50,"NM",(AG549/Y549-1)*100)))</f>
        <v>NM</v>
      </c>
      <c r="AI549" s="72">
        <v>-27.9</v>
      </c>
      <c r="AJ549" s="61" t="str">
        <f>IF(ISERROR((AI549/AA549-1)*100),"NA",IF(((AI549/AA549-1)*100)&gt;100,"NM",IF(((AI549/AA549-1)*100)&lt;-50,"NM",(AI549/AA549-1)*100)))</f>
        <v>NM</v>
      </c>
      <c r="AK549" s="72">
        <v>7.3</v>
      </c>
      <c r="AL549" s="61" t="str">
        <f>IF(ISERROR((AK549/AC549-1)*100),"NA",IF(((AK549/AC549-1)*100)&gt;100,"NM",IF(((AK549/AC549-1)*100)&lt;-50,"NM",(AK549/AC549-1)*100)))</f>
        <v>NM</v>
      </c>
      <c r="AM549" s="72">
        <v>-1</v>
      </c>
      <c r="AN549" s="61" t="str">
        <f>IF(ISERROR((AM549/AE549-1)*100),"NA",IF(((AM549/AE549-1)*100)&gt;100,"NM",IF(((AM549/AE549-1)*100)&lt;-50,"NM",(AM549/AE549-1)*100)))</f>
        <v>NM</v>
      </c>
      <c r="AO549" s="72">
        <v>-3.7</v>
      </c>
      <c r="AP549" s="61" t="str">
        <f>IF(ISERROR((AO549/AG549-1)*100),"NA",IF(((AO549/AG549-1)*100)&gt;100,"NM",IF(((AO549/AG549-1)*100)&lt;-50,"NM",(AO549/AG549-1)*100)))</f>
        <v>NM</v>
      </c>
      <c r="AQ549" s="72">
        <f>0.2+9.3</f>
        <v>9.5</v>
      </c>
      <c r="AR549" s="61" t="str">
        <f>IF(ISERROR((AQ549/AI549-1)*100),"NA",IF(((AQ549/AI549-1)*100)&gt;100,"NM",IF(((AQ549/AI549-1)*100)&lt;-50,"NM",(AQ549/AI549-1)*100)))</f>
        <v>NM</v>
      </c>
      <c r="AS549" s="72">
        <f>0.2</f>
        <v>0.2</v>
      </c>
      <c r="AT549" s="61" t="str">
        <f>IF(ISERROR((AS549/AK549-1)*100),"NA",IF(((AS549/AK549-1)*100)&gt;100,"NM",IF(((AS549/AK549-1)*100)&lt;-50,"NM",(AS549/AK549-1)*100)))</f>
        <v>NM</v>
      </c>
      <c r="AU549" s="72">
        <f>0.2</f>
        <v>0.2</v>
      </c>
      <c r="AV549" s="61" t="str">
        <f>IF(ISERROR((AU549/AM549-1)*100),"NA",IF(((AU549/AM549-1)*100)&gt;100,"NM",IF(((AU549/AM549-1)*100)&lt;-50,"NM",(AU549/AM549-1)*100)))</f>
        <v>NM</v>
      </c>
      <c r="AW549" s="72">
        <v>0.2</v>
      </c>
      <c r="AX549" s="61" t="str">
        <f>IF(ISERROR((AW549/AO549-1)*100),"NA",IF(((AW549/AO549-1)*100)&gt;100,"NM",IF(((AW549/AO549-1)*100)&lt;-50,"NM",(AW549/AO549-1)*100)))</f>
        <v>NM</v>
      </c>
      <c r="AY549" s="72">
        <v>0.2</v>
      </c>
      <c r="AZ549" s="61" t="str">
        <f>IF(ISERROR((AY549/AQ549-1)*100),"NA",IF(((AY549/AQ549-1)*100)&gt;100,"NM",IF(((AY549/AQ549-1)*100)&lt;-50,"NM",(AY549/AQ549-1)*100)))</f>
        <v>NM</v>
      </c>
      <c r="BA549" s="72">
        <v>0.2</v>
      </c>
      <c r="BB549" s="61">
        <f>IF(ISERROR((BA549/AS549-1)*100),"NA",IF(((BA549/AS549-1)*100)&gt;100,"NM",IF(((BA549/AS549-1)*100)&lt;-50,"NM",(BA549/AS549-1)*100)))</f>
        <v>0</v>
      </c>
      <c r="BC549" s="72">
        <v>0.2</v>
      </c>
      <c r="BD549" s="61">
        <f>IF(ISERROR((BC549/AU549-1)*100),"NA",IF(((BC549/AU549-1)*100)&gt;100,"NM",IF(((BC549/AU549-1)*100)&lt;-50,"NM",(BC549/AU549-1)*100)))</f>
        <v>0</v>
      </c>
      <c r="BE549" s="72">
        <f>0.2-3.6</f>
        <v>-3.4</v>
      </c>
      <c r="BF549" s="61" t="str">
        <f>IF(ISERROR((BE549/AW549-1)*100),"NA",IF(((BE549/AW549-1)*100)&gt;100,"NM",IF(((BE549/AW549-1)*100)&lt;-50,"NM",(BE549/AW549-1)*100)))</f>
        <v>NM</v>
      </c>
      <c r="BG549" s="72">
        <f>0.2</f>
        <v>0.2</v>
      </c>
      <c r="BH549" s="61">
        <f>IF(ISERROR((BG549/AY549-1)*100),"NA",IF(((BG549/AY549-1)*100)&gt;100,"NM",IF(((BG549/AY549-1)*100)&lt;-50,"NM",(BG549/AY549-1)*100)))</f>
        <v>0</v>
      </c>
      <c r="BI549" s="72">
        <v>-7.9</v>
      </c>
      <c r="BJ549" s="61" t="str">
        <f>IF(ISERROR((BI549/BA549-1)*100),"NA",IF(((BI549/BA549-1)*100)&gt;100,"NM",IF(((BI549/BA549-1)*100)&lt;-50,"NM",(BI549/BA549-1)*100)))</f>
        <v>NM</v>
      </c>
      <c r="BK549" s="72">
        <v>0.4</v>
      </c>
      <c r="BL549" s="61">
        <f>IF(ISERROR((BK549/BC549-1)*100),"NA",IF(((BK549/BC549-1)*100)&gt;100,"NM",IF(((BK549/BC549-1)*100)&lt;-50,"NM",(BK549/BC549-1)*100)))</f>
        <v>100</v>
      </c>
      <c r="BM549" s="72">
        <v>0.4</v>
      </c>
      <c r="BN549" s="61" t="str">
        <f>IF(ISERROR((BM549/BE549-1)*100),"NA",IF(((BM549/BE549-1)*100)&gt;100,"NM",IF(((BM549/BE549-1)*100)&lt;-50,"NM",(BM549/BE549-1)*100)))</f>
        <v>NM</v>
      </c>
      <c r="BO549" s="72">
        <v>0.4</v>
      </c>
      <c r="BP549" s="61">
        <f t="shared" si="2967"/>
        <v>100</v>
      </c>
      <c r="BQ549" s="72">
        <f>-139+0.4</f>
        <v>-138.6</v>
      </c>
      <c r="BR549" s="61" t="str">
        <f t="shared" si="2968"/>
        <v>NM</v>
      </c>
      <c r="BS549" s="72">
        <v>0.4</v>
      </c>
      <c r="BT549" s="61">
        <f t="shared" si="2969"/>
        <v>0</v>
      </c>
      <c r="BU549" s="72">
        <v>-157.69999999999999</v>
      </c>
      <c r="BV549" s="61" t="str">
        <f t="shared" si="2970"/>
        <v>NM</v>
      </c>
      <c r="BW549" s="72">
        <f>0.4+41.8-603.5</f>
        <v>-561.29999999999995</v>
      </c>
      <c r="BX549" s="61" t="str">
        <f t="shared" si="3025"/>
        <v>NM</v>
      </c>
      <c r="BY549" s="72">
        <v>0</v>
      </c>
      <c r="BZ549" s="61" t="str">
        <f t="shared" si="3026"/>
        <v>NM</v>
      </c>
      <c r="CA549" s="72">
        <f>0.4+1.4</f>
        <v>1.7999999999999998</v>
      </c>
      <c r="CB549" s="61" t="str">
        <f t="shared" si="3027"/>
        <v>NM</v>
      </c>
      <c r="CC549" s="72">
        <f>0.5-108.8</f>
        <v>-108.3</v>
      </c>
      <c r="CD549" s="61">
        <f t="shared" si="2971"/>
        <v>-31.325301204819279</v>
      </c>
      <c r="CE549" s="72">
        <f>5.5+0.4-18.4</f>
        <v>-12.499999999999998</v>
      </c>
      <c r="CF549" s="61" t="str">
        <f t="shared" si="2972"/>
        <v>NM</v>
      </c>
      <c r="CG549" s="72">
        <f>0.5-130.6-30.9-1.9-18.3</f>
        <v>-181.20000000000002</v>
      </c>
      <c r="CH549" s="61" t="str">
        <f t="shared" si="2973"/>
        <v>NA</v>
      </c>
      <c r="CI549" s="72">
        <f>25.1+0.5-1</f>
        <v>24.6</v>
      </c>
      <c r="CJ549" s="61" t="str">
        <f t="shared" si="2974"/>
        <v>NM</v>
      </c>
      <c r="CK549" s="72">
        <f>10.7-3.1+0.3</f>
        <v>7.8999999999999995</v>
      </c>
      <c r="CL549" s="61" t="str">
        <f t="shared" si="2975"/>
        <v>NM</v>
      </c>
      <c r="CM549" s="72">
        <f>4.9+0.4</f>
        <v>5.3000000000000007</v>
      </c>
      <c r="CN549" s="61" t="str">
        <f t="shared" si="2976"/>
        <v>NM</v>
      </c>
      <c r="CO549" s="72">
        <f>0.4-1.3</f>
        <v>-0.9</v>
      </c>
      <c r="CP549" s="61" t="str">
        <f t="shared" si="2977"/>
        <v>NM</v>
      </c>
      <c r="CQ549" s="72">
        <f>-41.5+0.4-5.5</f>
        <v>-46.6</v>
      </c>
      <c r="CR549" s="61" t="str">
        <f t="shared" si="2978"/>
        <v>NM</v>
      </c>
      <c r="CS549" s="72">
        <f>25+1-747</f>
        <v>-721</v>
      </c>
      <c r="CT549" s="61" t="str">
        <f t="shared" si="2979"/>
        <v>NM</v>
      </c>
      <c r="CU549" s="72">
        <f>23+1</f>
        <v>24</v>
      </c>
      <c r="CV549" s="61" t="str">
        <f t="shared" si="2980"/>
        <v>NM</v>
      </c>
      <c r="CW549" s="72">
        <f>-10</f>
        <v>-10</v>
      </c>
      <c r="CX549" s="61" t="str">
        <f t="shared" si="2981"/>
        <v>NM</v>
      </c>
      <c r="CY549" s="72">
        <f>10+1+2</f>
        <v>13</v>
      </c>
      <c r="CZ549" s="61" t="str">
        <f t="shared" si="2982"/>
        <v>NM</v>
      </c>
      <c r="DA549" s="72">
        <f>2-3</f>
        <v>-1</v>
      </c>
      <c r="DB549" s="61" t="str">
        <f t="shared" si="2983"/>
        <v>NM</v>
      </c>
      <c r="DC549" s="72">
        <v>14</v>
      </c>
      <c r="DD549" s="61">
        <f t="shared" si="2984"/>
        <v>-41.666666666666664</v>
      </c>
      <c r="DE549" s="72">
        <f>-2+1</f>
        <v>-1</v>
      </c>
      <c r="DF549" s="61" t="str">
        <f t="shared" si="2985"/>
        <v>NM</v>
      </c>
      <c r="DG549" s="72">
        <v>13</v>
      </c>
      <c r="DH549" s="61">
        <f t="shared" si="2986"/>
        <v>0</v>
      </c>
      <c r="DI549" s="72">
        <v>12</v>
      </c>
      <c r="DJ549" s="61" t="str">
        <f t="shared" si="2987"/>
        <v>NM</v>
      </c>
      <c r="DK549" s="72">
        <v>2</v>
      </c>
      <c r="DL549" s="61" t="str">
        <f t="shared" si="2988"/>
        <v>NM</v>
      </c>
      <c r="DM549" s="72">
        <v>7</v>
      </c>
      <c r="DN549" s="130" t="str">
        <f t="shared" si="2989"/>
        <v>NM</v>
      </c>
      <c r="DO549" s="72">
        <v>-6</v>
      </c>
      <c r="DP549" s="130" t="str">
        <f t="shared" si="2989"/>
        <v>NM</v>
      </c>
      <c r="DQ549" s="72">
        <v>4</v>
      </c>
      <c r="DR549" s="130" t="str">
        <f t="shared" si="2989"/>
        <v>NM</v>
      </c>
      <c r="DS549" s="72">
        <v>8</v>
      </c>
      <c r="DT549" s="130" t="str">
        <f t="shared" si="2989"/>
        <v>NM</v>
      </c>
      <c r="DU549" s="72">
        <v>-4</v>
      </c>
      <c r="DV549" s="130" t="str">
        <f t="shared" si="2989"/>
        <v>NM</v>
      </c>
      <c r="DW549" s="72">
        <v>-51</v>
      </c>
      <c r="DX549" s="72">
        <v>-51</v>
      </c>
      <c r="DY549" s="72">
        <v>19</v>
      </c>
      <c r="DZ549" s="130" t="str">
        <f t="shared" si="2989"/>
        <v>NM</v>
      </c>
      <c r="EA549" s="72">
        <v>-4</v>
      </c>
      <c r="EB549" s="130" t="str">
        <f t="shared" si="2990"/>
        <v>NM</v>
      </c>
      <c r="EC549" s="72">
        <v>9</v>
      </c>
      <c r="ED549" s="130" t="str">
        <f t="shared" si="2991"/>
        <v>NM</v>
      </c>
      <c r="EE549" s="72">
        <v>30</v>
      </c>
      <c r="EF549" s="130" t="str">
        <f t="shared" si="2992"/>
        <v>NM</v>
      </c>
      <c r="EG549" s="72">
        <f>-6-41</f>
        <v>-47</v>
      </c>
      <c r="EH549" s="130" t="str">
        <f t="shared" si="2993"/>
        <v>NM</v>
      </c>
      <c r="EI549" s="72">
        <v>45</v>
      </c>
      <c r="EJ549" s="130" t="str">
        <f t="shared" si="2994"/>
        <v>NM</v>
      </c>
      <c r="EK549" s="72">
        <v>26</v>
      </c>
      <c r="EL549" s="130" t="str">
        <f t="shared" si="2995"/>
        <v>NM</v>
      </c>
      <c r="EM549" s="72">
        <v>30</v>
      </c>
      <c r="EN549" s="130">
        <f t="shared" si="2996"/>
        <v>0</v>
      </c>
      <c r="EO549" s="72">
        <f>1322+28-905</f>
        <v>445</v>
      </c>
      <c r="EP549" s="130" t="str">
        <f t="shared" si="2997"/>
        <v>NM</v>
      </c>
      <c r="EQ549" s="72">
        <v>0</v>
      </c>
      <c r="ER549" s="130" t="str">
        <f t="shared" si="2999"/>
        <v>NM</v>
      </c>
      <c r="ES549" s="72">
        <v>0</v>
      </c>
      <c r="ET549" s="130" t="str">
        <f t="shared" si="3000"/>
        <v>NM</v>
      </c>
      <c r="EU549" s="72">
        <v>0</v>
      </c>
      <c r="EV549" s="130" t="str">
        <f t="shared" si="3001"/>
        <v>NM</v>
      </c>
      <c r="EW549" s="72">
        <v>0</v>
      </c>
      <c r="EX549" s="130" t="str">
        <f t="shared" si="3002"/>
        <v>NM</v>
      </c>
      <c r="EY549" s="90"/>
      <c r="EZ549" s="558"/>
      <c r="FA549" s="90"/>
      <c r="FB549" s="138"/>
      <c r="FC549" s="219"/>
      <c r="FD549" s="138"/>
      <c r="FE549" s="143"/>
      <c r="FF549" s="138"/>
      <c r="FG549" s="143"/>
      <c r="FH549" s="138"/>
      <c r="FI549" s="143"/>
      <c r="FJ549" s="72">
        <v>-207.3</v>
      </c>
      <c r="FK549" s="143" t="str">
        <f t="shared" si="3003"/>
        <v>NA</v>
      </c>
      <c r="FL549" s="72">
        <v>-282.2</v>
      </c>
      <c r="FM549" s="143">
        <f t="shared" si="3004"/>
        <v>36.131210805595735</v>
      </c>
      <c r="FN549" s="73">
        <f>AI549+AK549+AM549+AO549</f>
        <v>-25.299999999999997</v>
      </c>
      <c r="FO549" s="143" t="str">
        <f t="shared" si="3005"/>
        <v>NM</v>
      </c>
      <c r="FP549" s="73">
        <f>AQ549+AS549+AU549+AW549</f>
        <v>10.099999999999998</v>
      </c>
      <c r="FQ549" s="61" t="str">
        <f>IF(ISERROR((FP549/FH549-1)*100),"NA",IF(((FP549/FH549-1)*100)&gt;100,"NM",IF(((FP549/FH549-1)*100)&lt;-50,"NM",(FP549/FH549-1)*100)))</f>
        <v>NA</v>
      </c>
      <c r="FR549" s="73">
        <f>AY549+BA549+BC549+BE549</f>
        <v>-2.8</v>
      </c>
      <c r="FS549" s="61" t="str">
        <f t="shared" si="3006"/>
        <v>NM</v>
      </c>
      <c r="FT549" s="73">
        <f>BG549+BI549+BK549+BM549</f>
        <v>-6.8999999999999995</v>
      </c>
      <c r="FU549" s="61" t="str">
        <f t="shared" si="3007"/>
        <v>NM</v>
      </c>
      <c r="FV549" s="73">
        <f>BO549+BQ549+BS549+BU549</f>
        <v>-295.5</v>
      </c>
      <c r="FW549" s="61" t="str">
        <f t="shared" si="3008"/>
        <v>NM</v>
      </c>
      <c r="FX549" s="73">
        <f t="shared" si="3009"/>
        <v>-667.8</v>
      </c>
      <c r="FY549" s="61" t="str">
        <f t="shared" si="3010"/>
        <v>NM</v>
      </c>
      <c r="FZ549" s="73">
        <f t="shared" si="3011"/>
        <v>-161.20000000000002</v>
      </c>
      <c r="GA549" s="61" t="str">
        <f t="shared" si="3012"/>
        <v>NM</v>
      </c>
      <c r="GB549" s="73">
        <f t="shared" si="3013"/>
        <v>-763.2</v>
      </c>
      <c r="GC549" s="61" t="str">
        <f t="shared" si="3014"/>
        <v>NM</v>
      </c>
      <c r="GD549" s="148">
        <f>25+3-3+2</f>
        <v>27</v>
      </c>
      <c r="GE549" s="61" t="str">
        <f t="shared" si="3016"/>
        <v>NM</v>
      </c>
      <c r="GF549" s="73">
        <f t="shared" si="3017"/>
        <v>38</v>
      </c>
      <c r="GG549" s="61">
        <f t="shared" si="3016"/>
        <v>40.740740740740748</v>
      </c>
      <c r="GH549" s="73">
        <f t="shared" si="3018"/>
        <v>7</v>
      </c>
      <c r="GI549" s="61" t="str">
        <f t="shared" si="3016"/>
        <v>NM</v>
      </c>
      <c r="GJ549" s="73">
        <f t="shared" si="3019"/>
        <v>-28</v>
      </c>
      <c r="GK549" s="61" t="str">
        <f t="shared" si="3016"/>
        <v>NM</v>
      </c>
      <c r="GL549" s="73">
        <f t="shared" si="3020"/>
        <v>-12</v>
      </c>
      <c r="GM549" s="61" t="str">
        <f t="shared" si="3016"/>
        <v>NM</v>
      </c>
      <c r="GN549" s="73">
        <f t="shared" si="3021"/>
        <v>546</v>
      </c>
      <c r="GO549" s="61" t="str">
        <f t="shared" si="3016"/>
        <v>NM</v>
      </c>
      <c r="GP549" s="73">
        <f t="shared" si="3022"/>
        <v>0</v>
      </c>
      <c r="GQ549" s="61" t="str">
        <f t="shared" si="3016"/>
        <v>NM</v>
      </c>
      <c r="GR549" s="72">
        <v>0</v>
      </c>
      <c r="GS549" s="61" t="str">
        <f t="shared" si="3016"/>
        <v>NA</v>
      </c>
      <c r="GT549" s="72">
        <v>0</v>
      </c>
      <c r="GU549" s="61" t="str">
        <f t="shared" si="3016"/>
        <v>NA</v>
      </c>
      <c r="GV549" s="72">
        <v>0</v>
      </c>
      <c r="GW549" s="61" t="str">
        <f t="shared" si="3016"/>
        <v>NA</v>
      </c>
      <c r="GX549" s="72">
        <v>0</v>
      </c>
      <c r="GY549" s="61" t="str">
        <f t="shared" si="3023"/>
        <v>NA</v>
      </c>
      <c r="GZ549" s="61" t="str">
        <f t="shared" si="3024"/>
        <v>NM</v>
      </c>
      <c r="HA549" s="61"/>
      <c r="HB549" s="452"/>
      <c r="HC549"/>
      <c r="HD549"/>
      <c r="HE549"/>
      <c r="HF549"/>
      <c r="HG549"/>
      <c r="HH549"/>
    </row>
    <row r="550" spans="1:216" s="5" customFormat="1" ht="12.75" customHeight="1" x14ac:dyDescent="0.2">
      <c r="B550" s="68" t="s">
        <v>479</v>
      </c>
      <c r="C550" s="72"/>
      <c r="D550" s="70"/>
      <c r="E550" s="69"/>
      <c r="F550" s="71"/>
      <c r="G550" s="69"/>
      <c r="H550" s="71"/>
      <c r="I550" s="150"/>
      <c r="J550" s="71"/>
      <c r="K550" s="69"/>
      <c r="L550" s="61"/>
      <c r="M550" s="69"/>
      <c r="N550" s="61"/>
      <c r="O550" s="69"/>
      <c r="P550" s="61"/>
      <c r="Q550" s="69"/>
      <c r="R550" s="61"/>
      <c r="S550" s="69"/>
      <c r="T550" s="61"/>
      <c r="U550" s="69"/>
      <c r="V550" s="61"/>
      <c r="W550" s="69"/>
      <c r="X550" s="61"/>
      <c r="Y550" s="69"/>
      <c r="Z550" s="61"/>
      <c r="AA550" s="72"/>
      <c r="AB550" s="61"/>
      <c r="AC550" s="72"/>
      <c r="AD550" s="61"/>
      <c r="AE550" s="72"/>
      <c r="AF550" s="61"/>
      <c r="AG550" s="72">
        <v>241.5</v>
      </c>
      <c r="AH550" s="61" t="str">
        <f>IF(ISERROR((AG550/Y550-1)*100),"NA",IF(((AG550/Y550-1)*100)&gt;100,"NM",IF(((AG550/Y550-1)*100)&lt;-50,"NM",(AG550/Y550-1)*100)))</f>
        <v>NA</v>
      </c>
      <c r="AI550" s="72">
        <v>0</v>
      </c>
      <c r="AJ550" s="61" t="str">
        <f>IF(ISERROR((AI550/AA550-1)*100),"NA",IF(((AI550/AA550-1)*100)&gt;100,"NM",IF(((AI550/AA550-1)*100)&lt;-50,"NM",(AI550/AA550-1)*100)))</f>
        <v>NA</v>
      </c>
      <c r="AK550" s="72">
        <v>0</v>
      </c>
      <c r="AL550" s="61" t="str">
        <f>IF(ISERROR((AK550/AC550-1)*100),"NA",IF(((AK550/AC550-1)*100)&gt;100,"NM",IF(((AK550/AC550-1)*100)&lt;-50,"NM",(AK550/AC550-1)*100)))</f>
        <v>NA</v>
      </c>
      <c r="AM550" s="72">
        <v>0</v>
      </c>
      <c r="AN550" s="61" t="str">
        <f>IF(ISERROR((AM550/AE550-1)*100),"NA",IF(((AM550/AE550-1)*100)&gt;100,"NM",IF(((AM550/AE550-1)*100)&lt;-50,"NM",(AM550/AE550-1)*100)))</f>
        <v>NA</v>
      </c>
      <c r="AO550" s="72">
        <v>0</v>
      </c>
      <c r="AP550" s="61" t="str">
        <f>IF(ISERROR((AO550/AG550-1)*100),"NA",IF(((AO550/AG550-1)*100)&gt;100,"NM",IF(((AO550/AG550-1)*100)&lt;-50,"NM",(AO550/AG550-1)*100)))</f>
        <v>NM</v>
      </c>
      <c r="AQ550" s="72">
        <v>0</v>
      </c>
      <c r="AR550" s="61" t="str">
        <f>IF(ISERROR((AQ550/AI550-1)*100),"NA",IF(((AQ550/AI550-1)*100)&gt;100,"NM",IF(((AQ550/AI550-1)*100)&lt;-50,"NM",(AQ550/AI550-1)*100)))</f>
        <v>NA</v>
      </c>
      <c r="AS550" s="72">
        <v>0</v>
      </c>
      <c r="AT550" s="61" t="str">
        <f>IF(ISERROR((AS550/AK550-1)*100),"NA",IF(((AS550/AK550-1)*100)&gt;100,"NM",IF(((AS550/AK550-1)*100)&lt;-50,"NM",(AS550/AK550-1)*100)))</f>
        <v>NA</v>
      </c>
      <c r="AU550" s="72">
        <v>0</v>
      </c>
      <c r="AV550" s="61" t="str">
        <f>IF(ISERROR((AU550/AM550-1)*100),"NA",IF(((AU550/AM550-1)*100)&gt;100,"NM",IF(((AU550/AM550-1)*100)&lt;-50,"NM",(AU550/AM550-1)*100)))</f>
        <v>NA</v>
      </c>
      <c r="AW550" s="72">
        <v>0</v>
      </c>
      <c r="AX550" s="61" t="str">
        <f>IF(ISERROR((AW550/AO550-1)*100),"NA",IF(((AW550/AO550-1)*100)&gt;100,"NM",IF(((AW550/AO550-1)*100)&lt;-50,"NM",(AW550/AO550-1)*100)))</f>
        <v>NA</v>
      </c>
      <c r="AY550" s="72">
        <v>0</v>
      </c>
      <c r="AZ550" s="61" t="str">
        <f>IF(ISERROR((AY550/AQ550-1)*100),"NA",IF(((AY550/AQ550-1)*100)&gt;100,"NM",IF(((AY550/AQ550-1)*100)&lt;-50,"NM",(AY550/AQ550-1)*100)))</f>
        <v>NA</v>
      </c>
      <c r="BA550" s="72">
        <v>0</v>
      </c>
      <c r="BB550" s="61" t="str">
        <f>IF(ISERROR((BA550/AS550-1)*100),"NA",IF(((BA550/AS550-1)*100)&gt;100,"NM",IF(((BA550/AS550-1)*100)&lt;-50,"NM",(BA550/AS550-1)*100)))</f>
        <v>NA</v>
      </c>
      <c r="BC550" s="72">
        <v>0</v>
      </c>
      <c r="BD550" s="61" t="str">
        <f>IF(ISERROR((BC550/AU550-1)*100),"NA",IF(((BC550/AU550-1)*100)&gt;100,"NM",IF(((BC550/AU550-1)*100)&lt;-50,"NM",(BC550/AU550-1)*100)))</f>
        <v>NA</v>
      </c>
      <c r="BE550" s="72">
        <v>0</v>
      </c>
      <c r="BF550" s="61" t="str">
        <f>IF(ISERROR((BE550/AW550-1)*100),"NA",IF(((BE550/AW550-1)*100)&gt;100,"NM",IF(((BE550/AW550-1)*100)&lt;-50,"NM",(BE550/AW550-1)*100)))</f>
        <v>NA</v>
      </c>
      <c r="BG550" s="72">
        <v>0</v>
      </c>
      <c r="BH550" s="61" t="str">
        <f>IF(ISERROR((BG550/AY550-1)*100),"NA",IF(((BG550/AY550-1)*100)&gt;100,"NM",IF(((BG550/AY550-1)*100)&lt;-50,"NM",(BG550/AY550-1)*100)))</f>
        <v>NA</v>
      </c>
      <c r="BI550" s="72">
        <v>0</v>
      </c>
      <c r="BJ550" s="61" t="str">
        <f>IF(ISERROR((BI550/BA550-1)*100),"NA",IF(((BI550/BA550-1)*100)&gt;100,"NM",IF(((BI550/BA550-1)*100)&lt;-50,"NM",(BI550/BA550-1)*100)))</f>
        <v>NA</v>
      </c>
      <c r="BK550" s="72">
        <v>0</v>
      </c>
      <c r="BL550" s="61" t="str">
        <f>IF(ISERROR((BK550/BC550-1)*100),"NA",IF(((BK550/BC550-1)*100)&gt;100,"NM",IF(((BK550/BC550-1)*100)&lt;-50,"NM",(BK550/BC550-1)*100)))</f>
        <v>NA</v>
      </c>
      <c r="BM550" s="72">
        <v>0</v>
      </c>
      <c r="BN550" s="61" t="str">
        <f>IF(ISERROR((BM550/BE550-1)*100),"NA",IF(((BM550/BE550-1)*100)&gt;100,"NM",IF(((BM550/BE550-1)*100)&lt;-50,"NM",(BM550/BE550-1)*100)))</f>
        <v>NA</v>
      </c>
      <c r="BO550" s="72">
        <v>0</v>
      </c>
      <c r="BP550" s="61" t="str">
        <f t="shared" si="2967"/>
        <v>NA</v>
      </c>
      <c r="BQ550" s="72">
        <v>0</v>
      </c>
      <c r="BR550" s="61" t="str">
        <f t="shared" si="2968"/>
        <v>NA</v>
      </c>
      <c r="BS550" s="72">
        <v>0</v>
      </c>
      <c r="BT550" s="61" t="str">
        <f t="shared" si="2969"/>
        <v>NA</v>
      </c>
      <c r="BU550" s="72">
        <v>0</v>
      </c>
      <c r="BV550" s="61" t="str">
        <f t="shared" si="2970"/>
        <v>NA</v>
      </c>
      <c r="BW550" s="72">
        <v>0</v>
      </c>
      <c r="BX550" s="61" t="str">
        <f t="shared" si="3025"/>
        <v>NA</v>
      </c>
      <c r="BY550" s="72">
        <v>0</v>
      </c>
      <c r="BZ550" s="61" t="str">
        <f t="shared" si="3026"/>
        <v>NA</v>
      </c>
      <c r="CA550" s="72">
        <v>0</v>
      </c>
      <c r="CB550" s="61" t="str">
        <f t="shared" si="3027"/>
        <v>NA</v>
      </c>
      <c r="CC550" s="72">
        <v>0</v>
      </c>
      <c r="CD550" s="61" t="str">
        <f t="shared" si="2971"/>
        <v>NA</v>
      </c>
      <c r="CE550" s="72">
        <v>0</v>
      </c>
      <c r="CF550" s="61" t="str">
        <f t="shared" si="2972"/>
        <v>NA</v>
      </c>
      <c r="CG550" s="72">
        <v>0</v>
      </c>
      <c r="CH550" s="61" t="str">
        <f t="shared" si="2973"/>
        <v>NA</v>
      </c>
      <c r="CI550" s="72">
        <v>0</v>
      </c>
      <c r="CJ550" s="61" t="str">
        <f t="shared" si="2974"/>
        <v>NA</v>
      </c>
      <c r="CK550" s="72">
        <v>0</v>
      </c>
      <c r="CL550" s="61" t="str">
        <f t="shared" si="2975"/>
        <v>NA</v>
      </c>
      <c r="CM550" s="72">
        <v>0</v>
      </c>
      <c r="CN550" s="61" t="str">
        <f t="shared" si="2976"/>
        <v>NA</v>
      </c>
      <c r="CO550" s="72">
        <v>0</v>
      </c>
      <c r="CP550" s="61" t="str">
        <f t="shared" si="2977"/>
        <v>NA</v>
      </c>
      <c r="CQ550" s="72">
        <v>0</v>
      </c>
      <c r="CR550" s="61" t="str">
        <f t="shared" si="2978"/>
        <v>NA</v>
      </c>
      <c r="CS550" s="72">
        <v>0</v>
      </c>
      <c r="CT550" s="61" t="str">
        <f t="shared" si="2979"/>
        <v>NA</v>
      </c>
      <c r="CU550" s="72">
        <v>0</v>
      </c>
      <c r="CV550" s="61" t="str">
        <f t="shared" si="2980"/>
        <v>NA</v>
      </c>
      <c r="CW550" s="72">
        <v>0</v>
      </c>
      <c r="CX550" s="61" t="str">
        <f t="shared" si="2981"/>
        <v>NA</v>
      </c>
      <c r="CY550" s="72">
        <v>0</v>
      </c>
      <c r="CZ550" s="61" t="str">
        <f t="shared" si="2982"/>
        <v>NA</v>
      </c>
      <c r="DA550" s="72">
        <v>0</v>
      </c>
      <c r="DB550" s="61" t="str">
        <f t="shared" si="2983"/>
        <v>NA</v>
      </c>
      <c r="DC550" s="72">
        <v>0</v>
      </c>
      <c r="DD550" s="61" t="str">
        <f t="shared" si="2984"/>
        <v>NA</v>
      </c>
      <c r="DE550" s="72">
        <v>0</v>
      </c>
      <c r="DF550" s="61" t="str">
        <f t="shared" si="2985"/>
        <v>NA</v>
      </c>
      <c r="DG550" s="72">
        <v>0</v>
      </c>
      <c r="DH550" s="61" t="str">
        <f t="shared" si="2986"/>
        <v>NA</v>
      </c>
      <c r="DI550" s="72">
        <v>0</v>
      </c>
      <c r="DJ550" s="61" t="str">
        <f t="shared" si="2987"/>
        <v>NA</v>
      </c>
      <c r="DK550" s="72">
        <v>0</v>
      </c>
      <c r="DL550" s="61" t="str">
        <f t="shared" si="2988"/>
        <v>NA</v>
      </c>
      <c r="DM550" s="72">
        <v>0</v>
      </c>
      <c r="DN550" s="130" t="str">
        <f t="shared" si="2989"/>
        <v>NA</v>
      </c>
      <c r="DO550" s="72">
        <v>0</v>
      </c>
      <c r="DP550" s="130" t="str">
        <f t="shared" si="2989"/>
        <v>NA</v>
      </c>
      <c r="DQ550" s="72">
        <v>0</v>
      </c>
      <c r="DR550" s="130" t="str">
        <f t="shared" si="2989"/>
        <v>NA</v>
      </c>
      <c r="DS550" s="72">
        <v>0</v>
      </c>
      <c r="DT550" s="130" t="str">
        <f t="shared" si="2989"/>
        <v>NA</v>
      </c>
      <c r="DU550" s="72">
        <v>0</v>
      </c>
      <c r="DV550" s="130" t="str">
        <f t="shared" si="2989"/>
        <v>NA</v>
      </c>
      <c r="DW550" s="72">
        <v>0</v>
      </c>
      <c r="DX550" s="72">
        <v>0</v>
      </c>
      <c r="DY550" s="72">
        <v>0</v>
      </c>
      <c r="DZ550" s="130" t="str">
        <f t="shared" si="2989"/>
        <v>NA</v>
      </c>
      <c r="EA550" s="72">
        <v>0</v>
      </c>
      <c r="EB550" s="130" t="str">
        <f t="shared" si="2990"/>
        <v>NA</v>
      </c>
      <c r="EC550" s="72">
        <v>0</v>
      </c>
      <c r="ED550" s="130" t="str">
        <f t="shared" si="2991"/>
        <v>NA</v>
      </c>
      <c r="EE550" s="72">
        <v>0</v>
      </c>
      <c r="EF550" s="130" t="str">
        <f t="shared" si="2992"/>
        <v>NA</v>
      </c>
      <c r="EG550" s="72">
        <v>0</v>
      </c>
      <c r="EH550" s="130" t="str">
        <f t="shared" si="2993"/>
        <v>NA</v>
      </c>
      <c r="EI550" s="72">
        <v>0</v>
      </c>
      <c r="EJ550" s="130" t="str">
        <f t="shared" si="2994"/>
        <v>NA</v>
      </c>
      <c r="EK550" s="72">
        <v>0</v>
      </c>
      <c r="EL550" s="130" t="str">
        <f t="shared" si="2995"/>
        <v>NA</v>
      </c>
      <c r="EM550" s="72">
        <v>0</v>
      </c>
      <c r="EN550" s="130" t="str">
        <f t="shared" si="2996"/>
        <v>NA</v>
      </c>
      <c r="EO550" s="72">
        <v>0</v>
      </c>
      <c r="EP550" s="130" t="str">
        <f t="shared" si="2997"/>
        <v>NA</v>
      </c>
      <c r="EQ550" s="72">
        <v>0</v>
      </c>
      <c r="ER550" s="130" t="str">
        <f t="shared" si="2999"/>
        <v>NA</v>
      </c>
      <c r="ES550" s="72">
        <v>0</v>
      </c>
      <c r="ET550" s="130" t="str">
        <f t="shared" si="3000"/>
        <v>NA</v>
      </c>
      <c r="EU550" s="72">
        <v>0</v>
      </c>
      <c r="EV550" s="130" t="str">
        <f t="shared" si="3001"/>
        <v>NA</v>
      </c>
      <c r="EW550" s="72">
        <v>0</v>
      </c>
      <c r="EX550" s="130" t="str">
        <f t="shared" si="3002"/>
        <v>NA</v>
      </c>
      <c r="EY550" s="64"/>
      <c r="EZ550" s="558"/>
      <c r="FA550" s="64"/>
      <c r="FB550" s="72"/>
      <c r="FC550" s="71"/>
      <c r="FD550" s="72"/>
      <c r="FE550" s="70"/>
      <c r="FF550" s="72"/>
      <c r="FG550" s="70"/>
      <c r="FH550" s="72"/>
      <c r="FI550" s="70"/>
      <c r="FJ550" s="72"/>
      <c r="FK550" s="70"/>
      <c r="FL550" s="72">
        <v>241.5</v>
      </c>
      <c r="FM550" s="70" t="str">
        <f t="shared" si="3004"/>
        <v>NA</v>
      </c>
      <c r="FN550" s="73">
        <f>AI550+AK550+AM550+AO550</f>
        <v>0</v>
      </c>
      <c r="FO550" s="70" t="str">
        <f t="shared" si="3005"/>
        <v>NM</v>
      </c>
      <c r="FP550" s="73">
        <f>AQ550+AS550+AU550+AW550</f>
        <v>0</v>
      </c>
      <c r="FQ550" s="61"/>
      <c r="FR550" s="73">
        <f>AY550+BA550+BC550+BE550</f>
        <v>0</v>
      </c>
      <c r="FS550" s="61" t="str">
        <f t="shared" si="3006"/>
        <v>NA</v>
      </c>
      <c r="FT550" s="73">
        <f>BG550+BI550+BK550+BM550</f>
        <v>0</v>
      </c>
      <c r="FU550" s="61" t="str">
        <f t="shared" si="3007"/>
        <v>NA</v>
      </c>
      <c r="FV550" s="73">
        <f>BO550+BQ550+BS550+BU550</f>
        <v>0</v>
      </c>
      <c r="FW550" s="61" t="str">
        <f t="shared" si="3008"/>
        <v>NA</v>
      </c>
      <c r="FX550" s="151">
        <f t="shared" si="3009"/>
        <v>0</v>
      </c>
      <c r="FY550" s="61" t="str">
        <f t="shared" si="3010"/>
        <v>NA</v>
      </c>
      <c r="FZ550" s="151">
        <f t="shared" si="3011"/>
        <v>0</v>
      </c>
      <c r="GA550" s="61" t="str">
        <f t="shared" si="3012"/>
        <v>NA</v>
      </c>
      <c r="GB550" s="151">
        <f t="shared" si="3013"/>
        <v>0</v>
      </c>
      <c r="GC550" s="61" t="str">
        <f t="shared" si="3014"/>
        <v>NA</v>
      </c>
      <c r="GD550" s="151">
        <f t="shared" si="3015"/>
        <v>0</v>
      </c>
      <c r="GE550" s="61" t="str">
        <f t="shared" si="3016"/>
        <v>NA</v>
      </c>
      <c r="GF550" s="151">
        <f t="shared" si="3017"/>
        <v>0</v>
      </c>
      <c r="GG550" s="61" t="str">
        <f t="shared" si="3016"/>
        <v>NA</v>
      </c>
      <c r="GH550" s="151">
        <f t="shared" si="3018"/>
        <v>0</v>
      </c>
      <c r="GI550" s="61" t="str">
        <f t="shared" si="3016"/>
        <v>NA</v>
      </c>
      <c r="GJ550" s="151">
        <f t="shared" si="3019"/>
        <v>0</v>
      </c>
      <c r="GK550" s="61" t="str">
        <f t="shared" si="3016"/>
        <v>NA</v>
      </c>
      <c r="GL550" s="151">
        <f t="shared" si="3020"/>
        <v>0</v>
      </c>
      <c r="GM550" s="61" t="str">
        <f t="shared" si="3016"/>
        <v>NA</v>
      </c>
      <c r="GN550" s="151">
        <f t="shared" si="3021"/>
        <v>0</v>
      </c>
      <c r="GO550" s="61" t="str">
        <f t="shared" si="3016"/>
        <v>NA</v>
      </c>
      <c r="GP550" s="151">
        <f t="shared" si="3022"/>
        <v>0</v>
      </c>
      <c r="GQ550" s="61" t="str">
        <f t="shared" si="3016"/>
        <v>NA</v>
      </c>
      <c r="GR550" s="72">
        <v>0</v>
      </c>
      <c r="GS550" s="61" t="str">
        <f t="shared" si="3016"/>
        <v>NA</v>
      </c>
      <c r="GT550" s="72">
        <v>0</v>
      </c>
      <c r="GU550" s="61" t="str">
        <f t="shared" si="3016"/>
        <v>NA</v>
      </c>
      <c r="GV550" s="72">
        <v>0</v>
      </c>
      <c r="GW550" s="61" t="str">
        <f t="shared" si="3016"/>
        <v>NA</v>
      </c>
      <c r="GX550" s="72">
        <v>0</v>
      </c>
      <c r="GY550" s="61" t="str">
        <f t="shared" si="3023"/>
        <v>NA</v>
      </c>
      <c r="GZ550" s="61" t="str">
        <f t="shared" si="3024"/>
        <v/>
      </c>
      <c r="HA550" s="61"/>
      <c r="HB550" s="452"/>
      <c r="HC550"/>
      <c r="HD550"/>
      <c r="HE550"/>
      <c r="HF550"/>
      <c r="HG550"/>
      <c r="HH550"/>
    </row>
    <row r="551" spans="1:216" s="5" customFormat="1" ht="12.75" customHeight="1" x14ac:dyDescent="0.2">
      <c r="B551" s="68" t="s">
        <v>535</v>
      </c>
      <c r="C551" s="72"/>
      <c r="D551" s="70"/>
      <c r="E551" s="69"/>
      <c r="F551" s="71"/>
      <c r="G551" s="69"/>
      <c r="H551" s="71"/>
      <c r="I551" s="150"/>
      <c r="J551" s="71"/>
      <c r="K551" s="69"/>
      <c r="L551" s="61"/>
      <c r="M551" s="69"/>
      <c r="N551" s="61"/>
      <c r="O551" s="69"/>
      <c r="P551" s="61"/>
      <c r="Q551" s="69"/>
      <c r="R551" s="61"/>
      <c r="S551" s="69"/>
      <c r="T551" s="61"/>
      <c r="U551" s="69"/>
      <c r="V551" s="61"/>
      <c r="W551" s="69"/>
      <c r="X551" s="61"/>
      <c r="Y551" s="69"/>
      <c r="Z551" s="61"/>
      <c r="AA551" s="72"/>
      <c r="AB551" s="61"/>
      <c r="AC551" s="72"/>
      <c r="AD551" s="61"/>
      <c r="AE551" s="72"/>
      <c r="AF551" s="61"/>
      <c r="AG551" s="72"/>
      <c r="AH551" s="61"/>
      <c r="AI551" s="72"/>
      <c r="AJ551" s="61"/>
      <c r="AK551" s="69"/>
      <c r="AL551" s="61"/>
      <c r="AM551" s="69"/>
      <c r="AN551" s="61"/>
      <c r="AO551" s="69"/>
      <c r="AP551" s="61"/>
      <c r="AQ551" s="69"/>
      <c r="AR551" s="61"/>
      <c r="AS551" s="69"/>
      <c r="AT551" s="61"/>
      <c r="AU551" s="69"/>
      <c r="AV551" s="61"/>
      <c r="AW551" s="72"/>
      <c r="AX551" s="61"/>
      <c r="AY551" s="72"/>
      <c r="AZ551" s="61"/>
      <c r="BA551" s="72"/>
      <c r="BB551" s="61"/>
      <c r="BC551" s="72"/>
      <c r="BD551" s="61"/>
      <c r="BE551" s="72"/>
      <c r="BF551" s="61"/>
      <c r="BG551" s="72"/>
      <c r="BH551" s="61"/>
      <c r="BI551" s="72"/>
      <c r="BJ551" s="61"/>
      <c r="BK551" s="72"/>
      <c r="BL551" s="61"/>
      <c r="BM551" s="72"/>
      <c r="BN551" s="61"/>
      <c r="BO551" s="72">
        <v>19</v>
      </c>
      <c r="BP551" s="61" t="str">
        <f t="shared" si="2967"/>
        <v>NA</v>
      </c>
      <c r="BQ551" s="72">
        <v>28</v>
      </c>
      <c r="BR551" s="61" t="str">
        <f t="shared" si="2968"/>
        <v>NA</v>
      </c>
      <c r="BS551" s="72">
        <v>18</v>
      </c>
      <c r="BT551" s="61" t="str">
        <f t="shared" si="2969"/>
        <v>NA</v>
      </c>
      <c r="BU551" s="72">
        <v>-2.4</v>
      </c>
      <c r="BV551" s="61" t="str">
        <f t="shared" si="2970"/>
        <v>NA</v>
      </c>
      <c r="BW551" s="72">
        <v>7.7</v>
      </c>
      <c r="BX551" s="61" t="str">
        <f t="shared" si="3025"/>
        <v>NM</v>
      </c>
      <c r="BY551" s="72">
        <v>-153.80000000000001</v>
      </c>
      <c r="BZ551" s="61" t="str">
        <f t="shared" si="3026"/>
        <v>NM</v>
      </c>
      <c r="CA551" s="72">
        <v>72</v>
      </c>
      <c r="CB551" s="61" t="str">
        <f t="shared" si="3027"/>
        <v>NM</v>
      </c>
      <c r="CC551" s="72">
        <v>4.0999999999999996</v>
      </c>
      <c r="CD551" s="61" t="str">
        <f t="shared" si="2971"/>
        <v>NM</v>
      </c>
      <c r="CE551" s="72">
        <v>27.9</v>
      </c>
      <c r="CF551" s="61" t="str">
        <f t="shared" si="2972"/>
        <v>NM</v>
      </c>
      <c r="CG551" s="72">
        <v>2.7</v>
      </c>
      <c r="CH551" s="61" t="str">
        <f t="shared" si="2973"/>
        <v>NM</v>
      </c>
      <c r="CI551" s="72">
        <v>-1.7</v>
      </c>
      <c r="CJ551" s="61" t="str">
        <f t="shared" si="2974"/>
        <v>NM</v>
      </c>
      <c r="CK551" s="72">
        <v>0</v>
      </c>
      <c r="CL551" s="61" t="str">
        <f t="shared" si="2975"/>
        <v>NM</v>
      </c>
      <c r="CM551" s="72">
        <v>0</v>
      </c>
      <c r="CN551" s="61" t="str">
        <f t="shared" si="2976"/>
        <v>NM</v>
      </c>
      <c r="CO551" s="72">
        <v>0</v>
      </c>
      <c r="CP551" s="61" t="str">
        <f t="shared" si="2977"/>
        <v>NM</v>
      </c>
      <c r="CQ551" s="72">
        <v>-8.4</v>
      </c>
      <c r="CR551" s="61" t="str">
        <f t="shared" si="2978"/>
        <v>NM</v>
      </c>
      <c r="CS551" s="72">
        <v>0</v>
      </c>
      <c r="CT551" s="61" t="str">
        <f t="shared" si="2979"/>
        <v>NA</v>
      </c>
      <c r="CU551" s="72">
        <v>-1</v>
      </c>
      <c r="CV551" s="61" t="str">
        <f t="shared" si="2980"/>
        <v>NA</v>
      </c>
      <c r="CW551" s="72">
        <v>0</v>
      </c>
      <c r="CX551" s="61" t="str">
        <f t="shared" si="2981"/>
        <v>NA</v>
      </c>
      <c r="CY551" s="72">
        <v>28</v>
      </c>
      <c r="CZ551" s="61" t="str">
        <f t="shared" si="2982"/>
        <v>NM</v>
      </c>
      <c r="DA551" s="72">
        <v>0</v>
      </c>
      <c r="DB551" s="61" t="str">
        <f t="shared" si="2983"/>
        <v>NA</v>
      </c>
      <c r="DC551" s="72">
        <v>0</v>
      </c>
      <c r="DD551" s="61" t="str">
        <f t="shared" si="2984"/>
        <v>NM</v>
      </c>
      <c r="DE551" s="72">
        <v>0</v>
      </c>
      <c r="DF551" s="61" t="str">
        <f t="shared" si="2985"/>
        <v>NA</v>
      </c>
      <c r="DG551" s="72">
        <v>0</v>
      </c>
      <c r="DH551" s="61" t="str">
        <f t="shared" si="2986"/>
        <v>NM</v>
      </c>
      <c r="DI551" s="72">
        <v>0</v>
      </c>
      <c r="DJ551" s="61" t="str">
        <f t="shared" si="2987"/>
        <v>NA</v>
      </c>
      <c r="DK551" s="72">
        <v>0</v>
      </c>
      <c r="DL551" s="61" t="str">
        <f t="shared" si="2988"/>
        <v>NA</v>
      </c>
      <c r="DM551" s="72">
        <v>0</v>
      </c>
      <c r="DN551" s="130" t="str">
        <f t="shared" si="2989"/>
        <v>NA</v>
      </c>
      <c r="DO551" s="72">
        <v>0</v>
      </c>
      <c r="DP551" s="130" t="str">
        <f t="shared" si="2989"/>
        <v>NA</v>
      </c>
      <c r="DQ551" s="72">
        <v>1</v>
      </c>
      <c r="DR551" s="130" t="str">
        <f t="shared" si="2989"/>
        <v>NA</v>
      </c>
      <c r="DS551" s="72">
        <v>0</v>
      </c>
      <c r="DT551" s="130" t="str">
        <f t="shared" si="2989"/>
        <v>NA</v>
      </c>
      <c r="DU551" s="72">
        <v>0</v>
      </c>
      <c r="DV551" s="130" t="str">
        <f t="shared" si="2989"/>
        <v>NA</v>
      </c>
      <c r="DW551" s="72">
        <v>0</v>
      </c>
      <c r="DX551" s="72">
        <v>0</v>
      </c>
      <c r="DY551" s="72">
        <v>0</v>
      </c>
      <c r="DZ551" s="130" t="str">
        <f t="shared" si="2989"/>
        <v>NM</v>
      </c>
      <c r="EA551" s="72">
        <v>0</v>
      </c>
      <c r="EB551" s="130" t="str">
        <f t="shared" si="2990"/>
        <v>NA</v>
      </c>
      <c r="EC551" s="72">
        <v>0</v>
      </c>
      <c r="ED551" s="130" t="str">
        <f t="shared" si="2991"/>
        <v>NA</v>
      </c>
      <c r="EE551" s="72">
        <v>0</v>
      </c>
      <c r="EF551" s="130" t="str">
        <f t="shared" si="2992"/>
        <v>NA</v>
      </c>
      <c r="EG551" s="72">
        <v>0</v>
      </c>
      <c r="EH551" s="130" t="str">
        <f t="shared" si="2993"/>
        <v>NA</v>
      </c>
      <c r="EI551" s="72">
        <v>0</v>
      </c>
      <c r="EJ551" s="130" t="str">
        <f t="shared" si="2994"/>
        <v>NA</v>
      </c>
      <c r="EK551" s="72">
        <v>0</v>
      </c>
      <c r="EL551" s="130" t="str">
        <f t="shared" si="2995"/>
        <v>NA</v>
      </c>
      <c r="EM551" s="72">
        <v>0</v>
      </c>
      <c r="EN551" s="130" t="str">
        <f t="shared" si="2996"/>
        <v>NA</v>
      </c>
      <c r="EO551" s="72">
        <v>0</v>
      </c>
      <c r="EP551" s="130" t="str">
        <f t="shared" si="2997"/>
        <v>NA</v>
      </c>
      <c r="EQ551" s="72">
        <v>0</v>
      </c>
      <c r="ER551" s="130" t="str">
        <f t="shared" si="2999"/>
        <v>NA</v>
      </c>
      <c r="ES551" s="72">
        <v>0</v>
      </c>
      <c r="ET551" s="130" t="str">
        <f t="shared" si="3000"/>
        <v>NA</v>
      </c>
      <c r="EU551" s="72">
        <v>0</v>
      </c>
      <c r="EV551" s="130" t="str">
        <f t="shared" si="3001"/>
        <v>NA</v>
      </c>
      <c r="EW551" s="72">
        <v>0</v>
      </c>
      <c r="EX551" s="130" t="str">
        <f t="shared" si="3002"/>
        <v>NA</v>
      </c>
      <c r="EY551" s="64"/>
      <c r="EZ551" s="558"/>
      <c r="FA551" s="64"/>
      <c r="FB551" s="72"/>
      <c r="FC551" s="71"/>
      <c r="FD551" s="72"/>
      <c r="FE551" s="70"/>
      <c r="FF551" s="72"/>
      <c r="FG551" s="70"/>
      <c r="FH551" s="72"/>
      <c r="FI551" s="70"/>
      <c r="FJ551" s="72"/>
      <c r="FK551" s="70"/>
      <c r="FL551" s="72"/>
      <c r="FM551" s="70"/>
      <c r="FN551" s="69"/>
      <c r="FO551" s="70"/>
      <c r="FP551" s="73"/>
      <c r="FQ551" s="61"/>
      <c r="FR551" s="73"/>
      <c r="FS551" s="61"/>
      <c r="FT551" s="73"/>
      <c r="FU551" s="61"/>
      <c r="FV551" s="73">
        <f>+BO551+BQ551+BS551+BU551</f>
        <v>62.6</v>
      </c>
      <c r="FW551" s="61" t="str">
        <f t="shared" si="3008"/>
        <v>NA</v>
      </c>
      <c r="FX551" s="73">
        <f t="shared" si="3009"/>
        <v>-70.000000000000028</v>
      </c>
      <c r="FY551" s="61" t="str">
        <f t="shared" si="3010"/>
        <v>NM</v>
      </c>
      <c r="FZ551" s="73">
        <f t="shared" si="3011"/>
        <v>28.9</v>
      </c>
      <c r="GA551" s="61" t="str">
        <f t="shared" si="3012"/>
        <v>NM</v>
      </c>
      <c r="GB551" s="73">
        <f t="shared" si="3013"/>
        <v>-8.4</v>
      </c>
      <c r="GC551" s="61" t="str">
        <f t="shared" si="3014"/>
        <v>NM</v>
      </c>
      <c r="GD551" s="73">
        <f t="shared" si="3015"/>
        <v>27</v>
      </c>
      <c r="GE551" s="61" t="str">
        <f t="shared" si="3016"/>
        <v>NM</v>
      </c>
      <c r="GF551" s="73">
        <f t="shared" si="3017"/>
        <v>0</v>
      </c>
      <c r="GG551" s="61" t="str">
        <f t="shared" si="3016"/>
        <v>NM</v>
      </c>
      <c r="GH551" s="73">
        <f t="shared" si="3018"/>
        <v>1</v>
      </c>
      <c r="GI551" s="61" t="str">
        <f t="shared" si="3016"/>
        <v>NA</v>
      </c>
      <c r="GJ551" s="73">
        <f t="shared" si="3019"/>
        <v>0</v>
      </c>
      <c r="GK551" s="61" t="str">
        <f t="shared" si="3016"/>
        <v>NM</v>
      </c>
      <c r="GL551" s="73">
        <f t="shared" si="3020"/>
        <v>0</v>
      </c>
      <c r="GM551" s="61" t="str">
        <f t="shared" si="3016"/>
        <v>NA</v>
      </c>
      <c r="GN551" s="73">
        <f t="shared" si="3021"/>
        <v>0</v>
      </c>
      <c r="GO551" s="61" t="str">
        <f t="shared" si="3016"/>
        <v>NA</v>
      </c>
      <c r="GP551" s="73">
        <f t="shared" si="3022"/>
        <v>0</v>
      </c>
      <c r="GQ551" s="61" t="str">
        <f t="shared" si="3016"/>
        <v>NA</v>
      </c>
      <c r="GR551" s="72">
        <v>0</v>
      </c>
      <c r="GS551" s="61" t="str">
        <f t="shared" si="3016"/>
        <v>NA</v>
      </c>
      <c r="GT551" s="72">
        <v>0</v>
      </c>
      <c r="GU551" s="61" t="str">
        <f t="shared" si="3016"/>
        <v>NA</v>
      </c>
      <c r="GV551" s="72">
        <v>0</v>
      </c>
      <c r="GW551" s="61" t="str">
        <f t="shared" si="3016"/>
        <v>NA</v>
      </c>
      <c r="GX551" s="72">
        <v>0</v>
      </c>
      <c r="GY551" s="61" t="str">
        <f t="shared" si="3023"/>
        <v>NA</v>
      </c>
      <c r="GZ551" s="61" t="str">
        <f t="shared" si="3024"/>
        <v/>
      </c>
      <c r="HA551" s="61"/>
      <c r="HB551" s="452"/>
      <c r="HC551"/>
      <c r="HD551"/>
      <c r="HE551"/>
      <c r="HF551"/>
      <c r="HG551"/>
      <c r="HH551"/>
    </row>
    <row r="552" spans="1:216" s="5" customFormat="1" ht="12.75" customHeight="1" x14ac:dyDescent="0.2">
      <c r="A552" s="5" t="s">
        <v>342</v>
      </c>
      <c r="B552" s="68" t="s">
        <v>343</v>
      </c>
      <c r="C552" s="69">
        <f>SUM(C546:C551)</f>
        <v>-0.3</v>
      </c>
      <c r="D552" s="70"/>
      <c r="E552" s="69">
        <f>SUM(E546:E551)</f>
        <v>-6.7</v>
      </c>
      <c r="F552" s="71"/>
      <c r="G552" s="69">
        <f>SUM(G546:G551)</f>
        <v>-11.5</v>
      </c>
      <c r="H552" s="71"/>
      <c r="I552" s="69">
        <f>SUM(I546:I551)</f>
        <v>1.2</v>
      </c>
      <c r="J552" s="71"/>
      <c r="K552" s="69">
        <f>SUM(K546:K551)</f>
        <v>-14.1</v>
      </c>
      <c r="L552" s="61" t="str">
        <f>IF(ISERROR((K552/C552-1)*100),"NA",IF(((K552/C552-1)*100)&gt;100,"NM",IF(((K552/C552-1)*100)&lt;-50,"NM",(K552/C552-1)*100)))</f>
        <v>NM</v>
      </c>
      <c r="M552" s="69">
        <f>SUM(M546:M551)</f>
        <v>-13.9</v>
      </c>
      <c r="N552" s="61" t="str">
        <f>IF(ISERROR((M552/E552-1)*100),"NA",IF(((M552/E552-1)*100)&gt;100,"NM",IF(((M552/E552-1)*100)&lt;-50,"NM",(M552/E552-1)*100)))</f>
        <v>NM</v>
      </c>
      <c r="O552" s="69">
        <f>SUM(O546:O551)</f>
        <v>-24</v>
      </c>
      <c r="P552" s="61" t="str">
        <f>IF(ISERROR((O552/G552-1)*100),"NA",IF(((O552/G552-1)*100)&gt;100,"NM",IF(((O552/G552-1)*100)&lt;-50,"NM",(O552/G552-1)*100)))</f>
        <v>NM</v>
      </c>
      <c r="Q552" s="69">
        <f>SUM(Q546:Q551)</f>
        <v>-26.599999999999998</v>
      </c>
      <c r="R552" s="61" t="str">
        <f>IF(ISERROR((Q552/I552-1)*100),"NA",IF(((Q552/I552-1)*100)&gt;100,"NM",IF(((Q552/I552-1)*100)&lt;-50,"NM",(Q552/I552-1)*100)))</f>
        <v>NM</v>
      </c>
      <c r="S552" s="69">
        <f>SUM(S546:S551)</f>
        <v>-67.5</v>
      </c>
      <c r="T552" s="61" t="str">
        <f>IF(ISERROR((S552/K552-1)*100),"NA",IF(((S552/K552-1)*100)&gt;100,"NM",IF(((S552/K552-1)*100)&lt;-50,"NM",(S552/K552-1)*100)))</f>
        <v>NM</v>
      </c>
      <c r="U552" s="69">
        <f>SUM(U546:U551)</f>
        <v>-67.7</v>
      </c>
      <c r="V552" s="61" t="str">
        <f>IF(ISERROR((U552/M552-1)*100),"NA",IF(((U552/M552-1)*100)&gt;100,"NM",IF(((U552/M552-1)*100)&lt;-50,"NM",(U552/M552-1)*100)))</f>
        <v>NM</v>
      </c>
      <c r="W552" s="69">
        <f>SUM(W546:W551)</f>
        <v>-198.4</v>
      </c>
      <c r="X552" s="61" t="str">
        <f>IF(ISERROR((W552/O552-1)*100),"NA",IF(((W552/O552-1)*100)&gt;100,"NM",IF(((W552/O552-1)*100)&lt;-50,"NM",(W552/O552-1)*100)))</f>
        <v>NM</v>
      </c>
      <c r="Y552" s="69">
        <f>SUM(Y546:Y551)</f>
        <v>-48.900000000000006</v>
      </c>
      <c r="Z552" s="61">
        <f>IF(ISERROR((Y552/Q552-1)*100),"NA",IF(((Y552/Q552-1)*100)&gt;100,"NM",IF(((Y552/Q552-1)*100)&lt;-50,"NM",(Y552/Q552-1)*100)))</f>
        <v>83.834586466165433</v>
      </c>
      <c r="AA552" s="69">
        <f>SUM(AA546:AA551)</f>
        <v>-63.100000000000009</v>
      </c>
      <c r="AB552" s="61">
        <f>IF(ISERROR((AA552/S552-1)*100),"NA",IF(((AA552/S552-1)*100)&gt;100,"NM",IF(((AA552/S552-1)*100)&lt;-50,"NM",(AA552/S552-1)*100)))</f>
        <v>-6.5185185185185013</v>
      </c>
      <c r="AC552" s="69">
        <f>SUM(AC546:AC551)</f>
        <v>-10.7</v>
      </c>
      <c r="AD552" s="61" t="str">
        <f>IF(ISERROR((AC552/U552-1)*100),"NA",IF(((AC552/U552-1)*100)&gt;100,"NM",IF(((AC552/U552-1)*100)&lt;-50,"NM",(AC552/U552-1)*100)))</f>
        <v>NM</v>
      </c>
      <c r="AE552" s="69">
        <f>SUM(AE546:AE551)</f>
        <v>-22.9</v>
      </c>
      <c r="AF552" s="61" t="str">
        <f>IF(ISERROR((AE552/W552-1)*100),"NA",IF(((AE552/W552-1)*100)&gt;100,"NM",IF(((AE552/W552-1)*100)&lt;-50,"NM",(AE552/W552-1)*100)))</f>
        <v>NM</v>
      </c>
      <c r="AG552" s="69">
        <f>SUM(AG546:AG551)</f>
        <v>15.700000000000017</v>
      </c>
      <c r="AH552" s="61" t="str">
        <f>IF(ISERROR((AG552/Y552-1)*100),"NA",IF(((AG552/Y552-1)*100)&gt;100,"NM",IF(((AG552/Y552-1)*100)&lt;-50,"NM",(AG552/Y552-1)*100)))</f>
        <v>NM</v>
      </c>
      <c r="AI552" s="69">
        <f>SUM(AI546:AI551)</f>
        <v>-45.099999999999994</v>
      </c>
      <c r="AJ552" s="61">
        <f>IF(ISERROR((AI552/AA552-1)*100),"NA",IF(((AI552/AA552-1)*100)&gt;100,"NM",IF(((AI552/AA552-1)*100)&lt;-50,"NM",(AI552/AA552-1)*100)))</f>
        <v>-28.526148969889086</v>
      </c>
      <c r="AK552" s="69">
        <f>SUM(AK546:AK551)</f>
        <v>5.7</v>
      </c>
      <c r="AL552" s="61" t="str">
        <f>IF(ISERROR((AK552/AC552-1)*100),"NA",IF(((AK552/AC552-1)*100)&gt;100,"NM",IF(((AK552/AC552-1)*100)&lt;-50,"NM",(AK552/AC552-1)*100)))</f>
        <v>NM</v>
      </c>
      <c r="AM552" s="69">
        <f>SUM(AM546:AM551)</f>
        <v>21.5</v>
      </c>
      <c r="AN552" s="61" t="str">
        <f>IF(ISERROR((AM552/AE552-1)*100),"NA",IF(((AM552/AE552-1)*100)&gt;100,"NM",IF(((AM552/AE552-1)*100)&lt;-50,"NM",(AM552/AE552-1)*100)))</f>
        <v>NM</v>
      </c>
      <c r="AO552" s="69">
        <f>SUM(AO546:AO551)</f>
        <v>-0.30000000000000027</v>
      </c>
      <c r="AP552" s="61" t="str">
        <f>IF(ISERROR((AO552/AG552-1)*100),"NA",IF(((AO552/AG552-1)*100)&gt;100,"NM",IF(((AO552/AG552-1)*100)&lt;-50,"NM",(AO552/AG552-1)*100)))</f>
        <v>NM</v>
      </c>
      <c r="AQ552" s="69">
        <f>SUM(AQ546:AQ551)</f>
        <v>7.6</v>
      </c>
      <c r="AR552" s="61" t="str">
        <f>IF(ISERROR((AQ552/AI552-1)*100),"NA",IF(((AQ552/AI552-1)*100)&gt;100,"NM",IF(((AQ552/AI552-1)*100)&lt;-50,"NM",(AQ552/AI552-1)*100)))</f>
        <v>NM</v>
      </c>
      <c r="AS552" s="69">
        <f>SUM(AS546:AS551)</f>
        <v>-5.8</v>
      </c>
      <c r="AT552" s="61" t="str">
        <f>IF(ISERROR((AS552/AK552-1)*100),"NA",IF(((AS552/AK552-1)*100)&gt;100,"NM",IF(((AS552/AK552-1)*100)&lt;-50,"NM",(AS552/AK552-1)*100)))</f>
        <v>NM</v>
      </c>
      <c r="AU552" s="69">
        <f>SUM(AU546:AU551)</f>
        <v>2.6</v>
      </c>
      <c r="AV552" s="61" t="str">
        <f>IF(ISERROR((AU552/AM552-1)*100),"NA",IF(((AU552/AM552-1)*100)&gt;100,"NM",IF(((AU552/AM552-1)*100)&lt;-50,"NM",(AU552/AM552-1)*100)))</f>
        <v>NM</v>
      </c>
      <c r="AW552" s="69">
        <f>SUM(AW546:AW551)</f>
        <v>-5.8999999999999995</v>
      </c>
      <c r="AX552" s="61" t="str">
        <f>IF(ISERROR((AW552/AO552-1)*100),"NA",IF(((AW552/AO552-1)*100)&gt;100,"NM",IF(((AW552/AO552-1)*100)&lt;-50,"NM",(AW552/AO552-1)*100)))</f>
        <v>NM</v>
      </c>
      <c r="AY552" s="69">
        <f>SUM(AY546:AY551)</f>
        <v>-0.40000000000000052</v>
      </c>
      <c r="AZ552" s="61" t="str">
        <f>IF(ISERROR((AY552/AQ552-1)*100),"NA",IF(((AY552/AQ552-1)*100)&gt;100,"NM",IF(((AY552/AQ552-1)*100)&lt;-50,"NM",(AY552/AQ552-1)*100)))</f>
        <v>NM</v>
      </c>
      <c r="BA552" s="69">
        <f>SUM(BA546:BA551)</f>
        <v>-2.3999999999999995</v>
      </c>
      <c r="BB552" s="61" t="str">
        <f>IF(ISERROR((BA552/AS552-1)*100),"NA",IF(((BA552/AS552-1)*100)&gt;100,"NM",IF(((BA552/AS552-1)*100)&lt;-50,"NM",(BA552/AS552-1)*100)))</f>
        <v>NM</v>
      </c>
      <c r="BC552" s="69">
        <f>SUM(BC546:BC551)</f>
        <v>-7</v>
      </c>
      <c r="BD552" s="61" t="str">
        <f>IF(ISERROR((BC552/AU552-1)*100),"NA",IF(((BC552/AU552-1)*100)&gt;100,"NM",IF(((BC552/AU552-1)*100)&lt;-50,"NM",(BC552/AU552-1)*100)))</f>
        <v>NM</v>
      </c>
      <c r="BE552" s="69">
        <f>SUM(BE546:BE551)</f>
        <v>6.1</v>
      </c>
      <c r="BF552" s="61" t="str">
        <f>IF(ISERROR((BE552/AW552-1)*100),"NA",IF(((BE552/AW552-1)*100)&gt;100,"NM",IF(((BE552/AW552-1)*100)&lt;-50,"NM",(BE552/AW552-1)*100)))</f>
        <v>NM</v>
      </c>
      <c r="BG552" s="69">
        <f>SUM(BG546:BG551)</f>
        <v>21.7</v>
      </c>
      <c r="BH552" s="61" t="str">
        <f>IF(ISERROR((BG552/AY552-1)*100),"NA",IF(((BG552/AY552-1)*100)&gt;100,"NM",IF(((BG552/AY552-1)*100)&lt;-50,"NM",(BG552/AY552-1)*100)))</f>
        <v>NM</v>
      </c>
      <c r="BI552" s="69">
        <f>SUM(BI546:BI551)</f>
        <v>-3.9000000000000004</v>
      </c>
      <c r="BJ552" s="61">
        <f>IF(ISERROR((BI552/BA552-1)*100),"NA",IF(((BI552/BA552-1)*100)&gt;100,"NM",IF(((BI552/BA552-1)*100)&lt;-50,"NM",(BI552/BA552-1)*100)))</f>
        <v>62.500000000000043</v>
      </c>
      <c r="BK552" s="69">
        <f>SUM(BK546:BK551)</f>
        <v>-42.300000000000004</v>
      </c>
      <c r="BL552" s="61" t="str">
        <f>IF(ISERROR((BK552/BC552-1)*100),"NA",IF(((BK552/BC552-1)*100)&gt;100,"NM",IF(((BK552/BC552-1)*100)&lt;-50,"NM",(BK552/BC552-1)*100)))</f>
        <v>NM</v>
      </c>
      <c r="BM552" s="69">
        <f>SUM(BM546:BM551)</f>
        <v>-102</v>
      </c>
      <c r="BN552" s="61" t="str">
        <f>IF(ISERROR((BM552/BE552-1)*100),"NA",IF(((BM552/BE552-1)*100)&gt;100,"NM",IF(((BM552/BE552-1)*100)&lt;-50,"NM",(BM552/BE552-1)*100)))</f>
        <v>NM</v>
      </c>
      <c r="BO552" s="69">
        <f>SUM(BO546:BO551)</f>
        <v>-10.082000000000001</v>
      </c>
      <c r="BP552" s="61" t="str">
        <f>IF(ISERROR((BO552/BG552-1)*100),"NA",IF(((BO552/BG552-1)*100)&gt;100,"NM",IF(((BO552/BG552-1)*100)&lt;-50,"NM",(BO552/BG552-1)*100)))</f>
        <v>NM</v>
      </c>
      <c r="BQ552" s="69">
        <f>SUM(BQ546:BQ551)</f>
        <v>-183.8</v>
      </c>
      <c r="BR552" s="61" t="str">
        <f>IF(ISERROR((BQ552/BI552-1)*100),"NA",IF(((BQ552/BI552-1)*100)&gt;100,"NM",IF(((BQ552/BI552-1)*100)&lt;-50,"NM",(BQ552/BI552-1)*100)))</f>
        <v>NM</v>
      </c>
      <c r="BS552" s="69">
        <f>SUM(BS546:BS551)</f>
        <v>-150.29999999999998</v>
      </c>
      <c r="BT552" s="61" t="str">
        <f>IF(ISERROR((BS552/BK552-1)*100),"NA",IF(((BS552/BK552-1)*100)&gt;100,"NM",IF(((BS552/BK552-1)*100)&lt;-50,"NM",(BS552/BK552-1)*100)))</f>
        <v>NM</v>
      </c>
      <c r="BU552" s="69">
        <f>SUM(BU546:BU551)</f>
        <v>-378.79999999999995</v>
      </c>
      <c r="BV552" s="61" t="str">
        <f>IF(ISERROR((BU552/BM552-1)*100),"NA",IF(((BU552/BM552-1)*100)&gt;100,"NM",IF(((BU552/BM552-1)*100)&lt;-50,"NM",(BU552/BM552-1)*100)))</f>
        <v>NM</v>
      </c>
      <c r="BW552" s="69">
        <f>SUM(BW546:BW551)</f>
        <v>-741.99999999999989</v>
      </c>
      <c r="BX552" s="61" t="str">
        <f t="shared" si="3025"/>
        <v>NM</v>
      </c>
      <c r="BY552" s="69">
        <f>SUM(BY546:BY551)</f>
        <v>-368.3</v>
      </c>
      <c r="BZ552" s="61" t="str">
        <f t="shared" si="3026"/>
        <v>NM</v>
      </c>
      <c r="CA552" s="69">
        <f>SUM(CA546:CA551)</f>
        <v>-122.19999999999999</v>
      </c>
      <c r="CB552" s="61">
        <f t="shared" si="3027"/>
        <v>-18.695941450432464</v>
      </c>
      <c r="CC552" s="69">
        <f>SUM(CC546:CC551)</f>
        <v>-194.9</v>
      </c>
      <c r="CD552" s="61">
        <f>IF(ISERROR((CC552/BU552-1)*100),"NA",IF(((CC552/BU552-1)*100)&gt;100,"NM",IF(((CC552/BU552-1)*100)&lt;-50,"NM",(CC552/BU552-1)*100)))</f>
        <v>-48.548046462513192</v>
      </c>
      <c r="CE552" s="69">
        <f>SUM(CE546:CE551)</f>
        <v>-11.100000000000001</v>
      </c>
      <c r="CF552" s="61" t="str">
        <f>IF(ISERROR((CE552/BW552-1)*100),"NA",IF(((CE552/BW552-1)*100)&gt;100,"NM",IF(((CE552/BW552-1)*100)&lt;-50,"NM",(CE552/BW552-1)*100)))</f>
        <v>NM</v>
      </c>
      <c r="CG552" s="69">
        <f>SUM(CG546:CG551)</f>
        <v>-185.80000000000004</v>
      </c>
      <c r="CH552" s="61">
        <f>IF(ISERROR((CG552/BY552-1)*100),"NA",IF(((CG552/BY552-1)*100)&gt;100,"NM",IF(((CG552/BY552-1)*100)&lt;-50,"NM",(CG552/BY552-1)*100)))</f>
        <v>-49.551995655715444</v>
      </c>
      <c r="CI552" s="69">
        <f>SUM(CI546:CI551)</f>
        <v>39.4</v>
      </c>
      <c r="CJ552" s="61" t="str">
        <f>IF(ISERROR((CI552/CA552-1)*100),"NA",IF(((CI552/CA552-1)*100)&gt;100,"NM",IF(((CI552/CA552-1)*100)&lt;-50,"NM",(CI552/CA552-1)*100)))</f>
        <v>NM</v>
      </c>
      <c r="CK552" s="69">
        <f>SUM(CK546:CK551)</f>
        <v>-69.899999999999991</v>
      </c>
      <c r="CL552" s="61" t="str">
        <f>IF(ISERROR((CK552/CC552-1)*100),"NA",IF(((CK552/CC552-1)*100)&gt;100,"NM",IF(((CK552/CC552-1)*100)&lt;-50,"NM",(CK552/CC552-1)*100)))</f>
        <v>NM</v>
      </c>
      <c r="CM552" s="69">
        <f>SUM(CM546:CM551)</f>
        <v>-8.1999999999999993</v>
      </c>
      <c r="CN552" s="61">
        <f>IF(ISERROR((CM552/CE552-1)*100),"NA",IF(((CM552/CE552-1)*100)&gt;100,"NM",IF(((CM552/CE552-1)*100)&lt;-50,"NM",(CM552/CE552-1)*100)))</f>
        <v>-26.126126126126138</v>
      </c>
      <c r="CO552" s="69">
        <f>SUM(CO546:CO551)</f>
        <v>-22.099999999999998</v>
      </c>
      <c r="CP552" s="61" t="str">
        <f t="shared" si="2977"/>
        <v>NM</v>
      </c>
      <c r="CQ552" s="69">
        <f>SUM(CQ546:CQ551)</f>
        <v>-176</v>
      </c>
      <c r="CR552" s="61" t="str">
        <f t="shared" si="2978"/>
        <v>NM</v>
      </c>
      <c r="CS552" s="69">
        <f>SUM(CS546:CS551)</f>
        <v>-818</v>
      </c>
      <c r="CT552" s="61" t="str">
        <f t="shared" si="2979"/>
        <v>NM</v>
      </c>
      <c r="CU552" s="69">
        <f>SUM(CU546:CU551)</f>
        <v>-50</v>
      </c>
      <c r="CV552" s="61" t="str">
        <f t="shared" si="2980"/>
        <v>NM</v>
      </c>
      <c r="CW552" s="69">
        <f>SUM(CW546:CW551)</f>
        <v>2</v>
      </c>
      <c r="CX552" s="61" t="str">
        <f t="shared" si="2981"/>
        <v>NM</v>
      </c>
      <c r="CY552" s="69">
        <f>SUM(CY546:CY551)</f>
        <v>66</v>
      </c>
      <c r="CZ552" s="61" t="str">
        <f t="shared" si="2982"/>
        <v>NM</v>
      </c>
      <c r="DA552" s="69">
        <f>SUM(DA546:DA551)</f>
        <v>10</v>
      </c>
      <c r="DB552" s="61" t="str">
        <f t="shared" si="2983"/>
        <v>NM</v>
      </c>
      <c r="DC552" s="69">
        <f>SUM(DC546:DC551)</f>
        <v>-46</v>
      </c>
      <c r="DD552" s="61">
        <f t="shared" si="2984"/>
        <v>-7.9999999999999964</v>
      </c>
      <c r="DE552" s="69">
        <f>SUM(DE546:DE551)</f>
        <v>-34</v>
      </c>
      <c r="DF552" s="61" t="str">
        <f t="shared" si="2985"/>
        <v>NM</v>
      </c>
      <c r="DG552" s="69">
        <f>SUM(DG546:DG551)</f>
        <v>-30</v>
      </c>
      <c r="DH552" s="61" t="str">
        <f t="shared" si="2986"/>
        <v>NM</v>
      </c>
      <c r="DI552" s="69">
        <f>SUM(DI546:DI551)</f>
        <v>-31</v>
      </c>
      <c r="DJ552" s="61" t="str">
        <f t="shared" si="2987"/>
        <v>NM</v>
      </c>
      <c r="DK552" s="69">
        <f>SUM(DK546:DK551)</f>
        <v>-36</v>
      </c>
      <c r="DL552" s="61">
        <f t="shared" si="2988"/>
        <v>-21.739130434782606</v>
      </c>
      <c r="DM552" s="69">
        <f>SUM(DM546:DM551)</f>
        <v>4</v>
      </c>
      <c r="DN552" s="130" t="str">
        <f t="shared" si="2989"/>
        <v>NM</v>
      </c>
      <c r="DO552" s="69">
        <f>SUM(DO546:DO551)</f>
        <v>25</v>
      </c>
      <c r="DP552" s="130" t="str">
        <f t="shared" si="2989"/>
        <v>NM</v>
      </c>
      <c r="DQ552" s="69">
        <f>SUM(DQ546:DQ551)</f>
        <v>-91</v>
      </c>
      <c r="DR552" s="130" t="str">
        <f t="shared" si="2989"/>
        <v>NM</v>
      </c>
      <c r="DS552" s="69">
        <f>SUM(DS546:DS551)</f>
        <v>-52</v>
      </c>
      <c r="DT552" s="130">
        <f t="shared" si="2989"/>
        <v>44.444444444444443</v>
      </c>
      <c r="DU552" s="69">
        <f>SUM(DU546:DU551)</f>
        <v>-27</v>
      </c>
      <c r="DV552" s="130" t="str">
        <f t="shared" si="2989"/>
        <v>NM</v>
      </c>
      <c r="DW552" s="69">
        <f>SUM(DW546:DW551)</f>
        <v>-62</v>
      </c>
      <c r="DX552" s="69">
        <f t="shared" ref="DX552:DY552" si="3033">SUM(DX546:DX551)</f>
        <v>-62</v>
      </c>
      <c r="DY552" s="69">
        <f t="shared" si="3033"/>
        <v>-99</v>
      </c>
      <c r="DZ552" s="130">
        <f t="shared" si="2989"/>
        <v>8.7912087912087813</v>
      </c>
      <c r="EA552" s="69">
        <f t="shared" ref="EA552:EC552" si="3034">SUM(EA546:EA551)</f>
        <v>-106</v>
      </c>
      <c r="EB552" s="130" t="str">
        <f t="shared" si="2990"/>
        <v>NM</v>
      </c>
      <c r="EC552" s="69">
        <f t="shared" si="3034"/>
        <v>-48</v>
      </c>
      <c r="ED552" s="130">
        <f t="shared" si="2991"/>
        <v>77.777777777777771</v>
      </c>
      <c r="EE552" s="69">
        <f t="shared" ref="EE552:EG552" si="3035">SUM(EE546:EE551)</f>
        <v>26</v>
      </c>
      <c r="EF552" s="130" t="str">
        <f t="shared" si="2992"/>
        <v>NM</v>
      </c>
      <c r="EG552" s="69">
        <f t="shared" si="3035"/>
        <v>-219</v>
      </c>
      <c r="EH552" s="130" t="str">
        <f t="shared" si="2993"/>
        <v>NM</v>
      </c>
      <c r="EI552" s="69">
        <f t="shared" ref="EI552" si="3036">SUM(EI546:EI551)</f>
        <v>-7</v>
      </c>
      <c r="EJ552" s="130" t="str">
        <f t="shared" si="2994"/>
        <v>NM</v>
      </c>
      <c r="EK552" s="69">
        <f t="shared" ref="EK552:EM552" si="3037">SUM(EK546:EK551)</f>
        <v>-8</v>
      </c>
      <c r="EL552" s="130" t="str">
        <f t="shared" si="2995"/>
        <v>NM</v>
      </c>
      <c r="EM552" s="69">
        <f t="shared" si="3037"/>
        <v>-36</v>
      </c>
      <c r="EN552" s="130" t="str">
        <f t="shared" si="2996"/>
        <v>NM</v>
      </c>
      <c r="EO552" s="69">
        <f t="shared" ref="EO552" si="3038">SUM(EO546:EO551)</f>
        <v>376</v>
      </c>
      <c r="EP552" s="130" t="str">
        <f t="shared" si="2997"/>
        <v>NM</v>
      </c>
      <c r="EQ552" s="69">
        <f t="shared" ref="EQ552:EW552" si="3039">SUM(EQ546:EQ551)</f>
        <v>-68.792999999999992</v>
      </c>
      <c r="ER552" s="130" t="str">
        <f t="shared" si="2999"/>
        <v>NM</v>
      </c>
      <c r="ES552" s="69">
        <f t="shared" si="3039"/>
        <v>-68.586620999999994</v>
      </c>
      <c r="ET552" s="130" t="str">
        <f t="shared" si="3000"/>
        <v>NM</v>
      </c>
      <c r="EU552" s="69">
        <f t="shared" si="3039"/>
        <v>-89.352794548198233</v>
      </c>
      <c r="EV552" s="130" t="str">
        <f t="shared" si="3001"/>
        <v>NM</v>
      </c>
      <c r="EW552" s="69">
        <f t="shared" si="3039"/>
        <v>-89.130506982520231</v>
      </c>
      <c r="EX552" s="130" t="str">
        <f t="shared" si="3002"/>
        <v>NM</v>
      </c>
      <c r="EY552" s="69"/>
      <c r="EZ552" s="558"/>
      <c r="FA552" s="69"/>
      <c r="FB552" s="69">
        <f>SUM(FB546:FB551)</f>
        <v>16.293351400000002</v>
      </c>
      <c r="FC552" s="71"/>
      <c r="FD552" s="69">
        <f>SUM(FD546:FD551)</f>
        <v>-4.9999999999999822E-2</v>
      </c>
      <c r="FE552" s="70" t="str">
        <f>IF(ISERROR((FD552/FB552-1)*100),"NA",IF(((FD552/FB552-1)*100)&gt;100,"NM",IF(((FD552/FB552-1)*100)&lt;-50,"NM",(FD552/FB552-1)*100)))</f>
        <v>NM</v>
      </c>
      <c r="FF552" s="69">
        <f>SUM(FF546:FF551)</f>
        <v>-17.399999999999999</v>
      </c>
      <c r="FG552" s="70" t="str">
        <f>IF(ISERROR((FF552/FD552-1)*100),"NA",IF(((FF552/FD552-1)*100)&gt;100,"NM",IF(((FF552/FD552-1)*100)&lt;-50,"NM",(FF552/FD552-1)*100)))</f>
        <v>NM</v>
      </c>
      <c r="FH552" s="69">
        <f>SUM(FH546:FH551)</f>
        <v>-78.2</v>
      </c>
      <c r="FI552" s="70" t="str">
        <f>IF(ISERROR((FH552/FF552-1)*100),"NA",IF(((FH552/FF552-1)*100)&gt;100,"NM",IF(((FH552/FF552-1)*100)&lt;-50,"NM",(FH552/FF552-1)*100)))</f>
        <v>NM</v>
      </c>
      <c r="FJ552" s="69">
        <f>SUM(FJ546:FJ551)</f>
        <v>-382.8</v>
      </c>
      <c r="FK552" s="70" t="str">
        <f t="shared" si="3003"/>
        <v>NM</v>
      </c>
      <c r="FL552" s="69">
        <f>SUM(FL546:FL551)</f>
        <v>-81</v>
      </c>
      <c r="FM552" s="61" t="str">
        <f t="shared" si="3004"/>
        <v>NM</v>
      </c>
      <c r="FN552" s="69">
        <f>SUM(FN546:FN551)</f>
        <v>-18.199999999999996</v>
      </c>
      <c r="FO552" s="61" t="str">
        <f t="shared" si="3005"/>
        <v>NM</v>
      </c>
      <c r="FP552" s="69">
        <f>SUM(FP546:FP551)</f>
        <v>-1.5000000000000018</v>
      </c>
      <c r="FQ552" s="61" t="str">
        <f>IF(ISERROR((FP552/FH552-1)*100),"NA",IF(((FP552/FH552-1)*100)&gt;100,"NM",IF(((FP552/FH552-1)*100)&lt;-50,"NM",(FP552/FH552-1)*100)))</f>
        <v>NM</v>
      </c>
      <c r="FR552" s="69">
        <f>SUM(FR546:FR551)</f>
        <v>-3.6999999999999988</v>
      </c>
      <c r="FS552" s="61" t="str">
        <f t="shared" si="3006"/>
        <v>NM</v>
      </c>
      <c r="FT552" s="69">
        <f>SUM(FT546:FT551)</f>
        <v>-126.50000000000001</v>
      </c>
      <c r="FU552" s="61" t="str">
        <f t="shared" si="3007"/>
        <v>NM</v>
      </c>
      <c r="FV552" s="69">
        <f>SUM(FV546:FV551)</f>
        <v>-722.98199999999997</v>
      </c>
      <c r="FW552" s="61" t="str">
        <f t="shared" si="3008"/>
        <v>NM</v>
      </c>
      <c r="FX552" s="69">
        <f>SUM(FX546:FX551)</f>
        <v>-1427.4</v>
      </c>
      <c r="FY552" s="61">
        <f t="shared" si="3010"/>
        <v>97.432301219117505</v>
      </c>
      <c r="FZ552" s="69">
        <f>SUM(FZ546:FZ551)</f>
        <v>-227.4</v>
      </c>
      <c r="GA552" s="61" t="str">
        <f t="shared" si="3012"/>
        <v>NM</v>
      </c>
      <c r="GB552" s="69">
        <f>SUM(GB546:GB551)</f>
        <v>-1024.3000000000002</v>
      </c>
      <c r="GC552" s="61" t="str">
        <f t="shared" si="3014"/>
        <v>NM</v>
      </c>
      <c r="GD552" s="69">
        <f>SUM(GD546:GD551)</f>
        <v>29</v>
      </c>
      <c r="GE552" s="61" t="str">
        <f t="shared" si="3016"/>
        <v>NM</v>
      </c>
      <c r="GF552" s="69">
        <f>SUM(GF546:GF551)</f>
        <v>-141</v>
      </c>
      <c r="GG552" s="61" t="str">
        <f t="shared" si="3016"/>
        <v>NM</v>
      </c>
      <c r="GH552" s="69">
        <f>SUM(GH546:GH551)</f>
        <v>-98</v>
      </c>
      <c r="GI552" s="61">
        <f t="shared" si="3016"/>
        <v>-30.49645390070922</v>
      </c>
      <c r="GJ552" s="69">
        <f>SUM(GJ546:GJ551)</f>
        <v>-240</v>
      </c>
      <c r="GK552" s="61" t="str">
        <f t="shared" si="3016"/>
        <v>NM</v>
      </c>
      <c r="GL552" s="69">
        <f>SUM(GL546:GL551)</f>
        <v>-347</v>
      </c>
      <c r="GM552" s="61">
        <f t="shared" si="3016"/>
        <v>44.583333333333329</v>
      </c>
      <c r="GN552" s="69">
        <f>SUM(GN546:GN551)</f>
        <v>325</v>
      </c>
      <c r="GO552" s="61" t="str">
        <f t="shared" si="3016"/>
        <v>NM</v>
      </c>
      <c r="GP552" s="69">
        <f>SUM(GP546:GP551)</f>
        <v>-315.86292253071844</v>
      </c>
      <c r="GQ552" s="61" t="str">
        <f t="shared" si="3016"/>
        <v>NM</v>
      </c>
      <c r="GR552" s="69">
        <f>SUM(GR546:GR551)</f>
        <v>-333.89878410182337</v>
      </c>
      <c r="GS552" s="61">
        <f t="shared" si="3016"/>
        <v>5.7100280800925329</v>
      </c>
      <c r="GT552" s="69">
        <f>SUM(GT546:GT551)</f>
        <v>-289.30673093326675</v>
      </c>
      <c r="GU552" s="61">
        <f t="shared" si="3016"/>
        <v>-13.354961231292817</v>
      </c>
      <c r="GV552" s="69">
        <f>SUM(GV546:GV551)</f>
        <v>-265.80002159387777</v>
      </c>
      <c r="GW552" s="61">
        <f t="shared" si="3016"/>
        <v>-8.1251857720555982</v>
      </c>
      <c r="GX552" s="69">
        <f>SUM(GX546:GX551)</f>
        <v>-263.14202137793905</v>
      </c>
      <c r="GY552" s="61">
        <f t="shared" si="3023"/>
        <v>-0.99999999999997868</v>
      </c>
      <c r="GZ552" s="61" t="str">
        <f t="shared" si="3024"/>
        <v>NM</v>
      </c>
      <c r="HA552" s="61"/>
      <c r="HB552" s="452"/>
      <c r="HC552"/>
      <c r="HD552"/>
      <c r="HE552"/>
      <c r="HF552"/>
      <c r="HG552"/>
      <c r="HH552"/>
    </row>
    <row r="553" spans="1:216" s="106" customFormat="1" ht="12.75" customHeight="1" x14ac:dyDescent="0.2">
      <c r="B553" s="63" t="s">
        <v>119</v>
      </c>
      <c r="C553" s="102">
        <f>C541</f>
        <v>170.3</v>
      </c>
      <c r="D553" s="99"/>
      <c r="E553" s="102">
        <f>E541</f>
        <v>173.1</v>
      </c>
      <c r="F553" s="100"/>
      <c r="G553" s="102">
        <f>G541</f>
        <v>190.7</v>
      </c>
      <c r="H553" s="100"/>
      <c r="I553" s="102">
        <f>I541</f>
        <v>184.99</v>
      </c>
      <c r="J553" s="101"/>
      <c r="K553" s="102">
        <f>K541</f>
        <v>167.4</v>
      </c>
      <c r="L553" s="61">
        <f>IF(ISERROR((K553/C553-1)*100),"NA",IF(((K553/C553-1)*100)&gt;100,"NM",IF(((K553/C553-1)*100)&lt;-50,"NM",(K553/C553-1)*100)))</f>
        <v>-1.7028772753963639</v>
      </c>
      <c r="M553" s="102">
        <f>M541</f>
        <v>157.30000000000001</v>
      </c>
      <c r="N553" s="61">
        <f>IF(ISERROR((M553/E553-1)*100),"NA",IF(((M553/E553-1)*100)&gt;100,"NM",IF(((M553/E553-1)*100)&lt;-50,"NM",(M553/E553-1)*100)))</f>
        <v>-9.1276718659734186</v>
      </c>
      <c r="O553" s="102">
        <f>O541</f>
        <v>134</v>
      </c>
      <c r="P553" s="61">
        <f>IF(ISERROR((O553/G553-1)*100),"NA",IF(((O553/G553-1)*100)&gt;100,"NM",IF(((O553/G553-1)*100)&lt;-50,"NM",(O553/G553-1)*100)))</f>
        <v>-29.732564237021496</v>
      </c>
      <c r="Q553" s="102">
        <f>Q541</f>
        <v>186.6</v>
      </c>
      <c r="R553" s="61">
        <f>IF(ISERROR((Q553/I553-1)*100),"NA",IF(((Q553/I553-1)*100)&gt;100,"NM",IF(((Q553/I553-1)*100)&lt;-50,"NM",(Q553/I553-1)*100)))</f>
        <v>0.87031731444942029</v>
      </c>
      <c r="S553" s="102">
        <f>S541</f>
        <v>153.1</v>
      </c>
      <c r="T553" s="61">
        <f>IF(ISERROR((S553/K553-1)*100),"NA",IF(((S553/K553-1)*100)&gt;100,"NM",IF(((S553/K553-1)*100)&lt;-50,"NM",(S553/K553-1)*100)))</f>
        <v>-8.54241338112306</v>
      </c>
      <c r="U553" s="102">
        <f>U541</f>
        <v>116</v>
      </c>
      <c r="V553" s="61">
        <f>IF(ISERROR((U553/M553-1)*100),"NA",IF(((U553/M553-1)*100)&gt;100,"NM",IF(((U553/M553-1)*100)&lt;-50,"NM",(U553/M553-1)*100)))</f>
        <v>-26.25556261919899</v>
      </c>
      <c r="W553" s="102">
        <f>W541</f>
        <v>62.500000000000128</v>
      </c>
      <c r="X553" s="61" t="str">
        <f>IF(ISERROR((W553/O553-1)*100),"NA",IF(((W553/O553-1)*100)&gt;100,"NM",IF(((W553/O553-1)*100)&lt;-50,"NM",(W553/O553-1)*100)))</f>
        <v>NM</v>
      </c>
      <c r="Y553" s="102">
        <f>Y541</f>
        <v>100.1</v>
      </c>
      <c r="Z553" s="61">
        <f>IF(ISERROR((Y553/Q553-1)*100),"NA",IF(((Y553/Q553-1)*100)&gt;100,"NM",IF(((Y553/Q553-1)*100)&lt;-50,"NM",(Y553/Q553-1)*100)))</f>
        <v>-46.355841371918551</v>
      </c>
      <c r="AA553" s="102">
        <f>AA541</f>
        <v>104.7</v>
      </c>
      <c r="AB553" s="61">
        <f>IF(ISERROR((AA553/S553-1)*100),"NA",IF(((AA553/S553-1)*100)&gt;100,"NM",IF(((AA553/S553-1)*100)&lt;-50,"NM",(AA553/S553-1)*100)))</f>
        <v>-31.613324624428472</v>
      </c>
      <c r="AC553" s="102">
        <f>AC541</f>
        <v>153.30000000000001</v>
      </c>
      <c r="AD553" s="61">
        <f>IF(ISERROR((AC553/U553-1)*100),"NA",IF(((AC553/U553-1)*100)&gt;100,"NM",IF(((AC553/U553-1)*100)&lt;-50,"NM",(AC553/U553-1)*100)))</f>
        <v>32.15517241379311</v>
      </c>
      <c r="AE553" s="102">
        <f>AE541</f>
        <v>156.1</v>
      </c>
      <c r="AF553" s="61" t="str">
        <f>IF(ISERROR((AE553/W553-1)*100),"NA",IF(((AE553/W553-1)*100)&gt;100,"NM",IF(((AE553/W553-1)*100)&lt;-50,"NM",(AE553/W553-1)*100)))</f>
        <v>NM</v>
      </c>
      <c r="AG553" s="102">
        <f>AG541</f>
        <v>178.7</v>
      </c>
      <c r="AH553" s="61">
        <f>IF(ISERROR((AG553/Y553-1)*100),"NA",IF(((AG553/Y553-1)*100)&gt;100,"NM",IF(((AG553/Y553-1)*100)&lt;-50,"NM",(AG553/Y553-1)*100)))</f>
        <v>78.521478521478528</v>
      </c>
      <c r="AI553" s="102">
        <f>AI541</f>
        <v>175.4</v>
      </c>
      <c r="AJ553" s="61">
        <f>IF(ISERROR((AI553/AA553-1)*100),"NA",IF(((AI553/AA553-1)*100)&gt;100,"NM",IF(((AI553/AA553-1)*100)&lt;-50,"NM",(AI553/AA553-1)*100)))</f>
        <v>67.526265520534864</v>
      </c>
      <c r="AK553" s="102">
        <f>AK541</f>
        <v>181.35</v>
      </c>
      <c r="AL553" s="61">
        <f>IF(ISERROR((AK553/AC553-1)*100),"NA",IF(((AK553/AC553-1)*100)&gt;100,"NM",IF(((AK553/AC553-1)*100)&lt;-50,"NM",(AK553/AC553-1)*100)))</f>
        <v>18.297455968688837</v>
      </c>
      <c r="AM553" s="102">
        <f>AM541</f>
        <v>178.3</v>
      </c>
      <c r="AN553" s="61">
        <f>IF(ISERROR((AM553/AE553-1)*100),"NA",IF(((AM553/AE553-1)*100)&gt;100,"NM",IF(((AM553/AE553-1)*100)&lt;-50,"NM",(AM553/AE553-1)*100)))</f>
        <v>14.221652786675222</v>
      </c>
      <c r="AO553" s="102">
        <f>AO541</f>
        <v>189.87</v>
      </c>
      <c r="AP553" s="61">
        <f>IF(ISERROR((AO553/AG553-1)*100),"NA",IF(((AO553/AG553-1)*100)&gt;100,"NM",IF(((AO553/AG553-1)*100)&lt;-50,"NM",(AO553/AG553-1)*100)))</f>
        <v>6.2506994963626328</v>
      </c>
      <c r="AQ553" s="102">
        <f>AQ541</f>
        <v>211.64200000000005</v>
      </c>
      <c r="AR553" s="61">
        <f>IF(ISERROR((AQ553/AI553-1)*100),"NA",IF(((AQ553/AI553-1)*100)&gt;100,"NM",IF(((AQ553/AI553-1)*100)&lt;-50,"NM",(AQ553/AI553-1)*100)))</f>
        <v>20.662485746864334</v>
      </c>
      <c r="AS553" s="102">
        <f>AS541</f>
        <v>241.36300000000003</v>
      </c>
      <c r="AT553" s="61">
        <f>IF(ISERROR((AS553/AK553-1)*100),"NA",IF(((AS553/AK553-1)*100)&gt;100,"NM",IF(((AS553/AK553-1)*100)&lt;-50,"NM",(AS553/AK553-1)*100)))</f>
        <v>33.092362834298328</v>
      </c>
      <c r="AU553" s="102">
        <f>AU541</f>
        <v>250.21599999999989</v>
      </c>
      <c r="AV553" s="61">
        <f>IF(ISERROR((AU553/AM553-1)*100),"NA",IF(((AU553/AM553-1)*100)&gt;100,"NM",IF(((AU553/AM553-1)*100)&lt;-50,"NM",(AU553/AM553-1)*100)))</f>
        <v>40.334268087492916</v>
      </c>
      <c r="AW553" s="102">
        <f>AW541</f>
        <v>256.73500000000001</v>
      </c>
      <c r="AX553" s="61">
        <f>IF(ISERROR((AW553/AO553-1)*100),"NA",IF(((AW553/AO553-1)*100)&gt;100,"NM",IF(((AW553/AO553-1)*100)&lt;-50,"NM",(AW553/AO553-1)*100)))</f>
        <v>35.216200558276725</v>
      </c>
      <c r="AY553" s="102">
        <f>AY541</f>
        <v>246.95999999999995</v>
      </c>
      <c r="AZ553" s="61">
        <f>IF(ISERROR((AY553/AQ553-1)*100),"NA",IF(((AY553/AQ553-1)*100)&gt;100,"NM",IF(((AY553/AQ553-1)*100)&lt;-50,"NM",(AY553/AQ553-1)*100)))</f>
        <v>16.687613989661742</v>
      </c>
      <c r="BA553" s="102">
        <f>BA541</f>
        <v>323.45999999999998</v>
      </c>
      <c r="BB553" s="61">
        <f>IF(ISERROR((BA553/AS553-1)*100),"NA",IF(((BA553/AS553-1)*100)&gt;100,"NM",IF(((BA553/AS553-1)*100)&lt;-50,"NM",(BA553/AS553-1)*100)))</f>
        <v>34.013912654383624</v>
      </c>
      <c r="BC553" s="102">
        <f>BC541</f>
        <v>357.76000000000005</v>
      </c>
      <c r="BD553" s="61">
        <f>IF(ISERROR((BC553/AU553-1)*100),"NA",IF(((BC553/AU553-1)*100)&gt;100,"NM",IF(((BC553/AU553-1)*100)&lt;-50,"NM",(BC553/AU553-1)*100)))</f>
        <v>42.980464878345195</v>
      </c>
      <c r="BE553" s="102">
        <f>BE541</f>
        <v>360.45999999999992</v>
      </c>
      <c r="BF553" s="510">
        <f>IF(ISERROR((BE553/AW553-1)*100),"NA",IF(((BE553/AW553-1)*100)&gt;100,"NM",IF(((BE553/AW553-1)*100)&lt;-50,"NM",(BE553/AW553-1)*100)))</f>
        <v>40.401581397160456</v>
      </c>
      <c r="BG553" s="102">
        <f>BG541</f>
        <v>339.40000000000009</v>
      </c>
      <c r="BH553" s="61">
        <f>IF(ISERROR((BG553/AY553-1)*100),"NA",IF(((BG553/AY553-1)*100)&gt;100,"NM",IF(((BG553/AY553-1)*100)&lt;-50,"NM",(BG553/AY553-1)*100)))</f>
        <v>37.431162941367077</v>
      </c>
      <c r="BI553" s="102">
        <f>BI541</f>
        <v>350.6</v>
      </c>
      <c r="BJ553" s="61">
        <f>IF(ISERROR((BI553/BA553-1)*100),"NA",IF(((BI553/BA553-1)*100)&gt;100,"NM",IF(((BI553/BA553-1)*100)&lt;-50,"NM",(BI553/BA553-1)*100)))</f>
        <v>8.3905274222469739</v>
      </c>
      <c r="BK553" s="102">
        <f>BK541</f>
        <v>332.3</v>
      </c>
      <c r="BL553" s="61">
        <f>IF(ISERROR((BK553/BC553-1)*100),"NA",IF(((BK553/BC553-1)*100)&gt;100,"NM",IF(((BK553/BC553-1)*100)&lt;-50,"NM",(BK553/BC553-1)*100)))</f>
        <v>-7.1165026833631568</v>
      </c>
      <c r="BM553" s="102">
        <f>BM541</f>
        <v>301.49999999999983</v>
      </c>
      <c r="BN553" s="61">
        <f>IF(ISERROR((BM553/BE553-1)*100),"NA",IF(((BM553/BE553-1)*100)&gt;100,"NM",IF(((BM553/BE553-1)*100)&lt;-50,"NM",(BM553/BE553-1)*100)))</f>
        <v>-16.356877323420104</v>
      </c>
      <c r="BO553" s="102">
        <f>BO541</f>
        <v>299.50000000000011</v>
      </c>
      <c r="BP553" s="61">
        <f>IF(ISERROR((BO553/BG553-1)*100),"NA",IF(((BO553/BG553-1)*100)&gt;100,"NM",IF(((BO553/BG553-1)*100)&lt;-50,"NM",(BO553/BG553-1)*100)))</f>
        <v>-11.756040070713015</v>
      </c>
      <c r="BQ553" s="102">
        <f>BQ541</f>
        <v>308.60000000000008</v>
      </c>
      <c r="BR553" s="61">
        <f>IF(ISERROR((BQ553/BI553-1)*100),"NA",IF(((BQ553/BI553-1)*100)&gt;100,"NM",IF(((BQ553/BI553-1)*100)&lt;-50,"NM",(BQ553/BI553-1)*100)))</f>
        <v>-11.979463776383326</v>
      </c>
      <c r="BS553" s="102">
        <f>BS541</f>
        <v>298.00000000000011</v>
      </c>
      <c r="BT553" s="61">
        <f>IF(ISERROR((BS553/BK553-1)*100),"NA",IF(((BS553/BK553-1)*100)&gt;100,"NM",IF(((BS553/BK553-1)*100)&lt;-50,"NM",(BS553/BK553-1)*100)))</f>
        <v>-10.321998194402616</v>
      </c>
      <c r="BU553" s="102">
        <f>BU541</f>
        <v>-127.10000000000014</v>
      </c>
      <c r="BV553" s="61" t="str">
        <f>IF(ISERROR((BU553/BM553-1)*100),"NA",IF(((BU553/BM553-1)*100)&gt;100,"NM",IF(((BU553/BM553-1)*100)&lt;-50,"NM",(BU553/BM553-1)*100)))</f>
        <v>NM</v>
      </c>
      <c r="BW553" s="102">
        <f>BW541</f>
        <v>163.10000000000005</v>
      </c>
      <c r="BX553" s="61">
        <f t="shared" si="3025"/>
        <v>-45.542570951585979</v>
      </c>
      <c r="BY553" s="102">
        <f>BY541</f>
        <v>207.30000000000015</v>
      </c>
      <c r="BZ553" s="61">
        <f t="shared" si="3026"/>
        <v>-32.825664290343461</v>
      </c>
      <c r="CA553" s="102">
        <f>CA541</f>
        <v>259.20999999999987</v>
      </c>
      <c r="CB553" s="61">
        <f t="shared" si="3027"/>
        <v>-13.016778523490014</v>
      </c>
      <c r="CC553" s="102">
        <f>CC541</f>
        <v>279</v>
      </c>
      <c r="CD553" s="61" t="str">
        <f>IF(ISERROR((CC553/BU553-1)*100),"NA",IF(((CC553/BU553-1)*100)&gt;100,"NM",IF(((CC553/BU553-1)*100)&lt;-50,"NM",(CC553/BU553-1)*100)))</f>
        <v>NM</v>
      </c>
      <c r="CE553" s="102">
        <f>CE541</f>
        <v>257.80000000000007</v>
      </c>
      <c r="CF553" s="61">
        <f>IF(ISERROR((CE553/BW553-1)*100),"NA",IF(((CE553/BW553-1)*100)&gt;100,"NM",IF(((CE553/BW553-1)*100)&lt;-50,"NM",(CE553/BW553-1)*100)))</f>
        <v>58.062538320049043</v>
      </c>
      <c r="CG553" s="102">
        <f>CG541</f>
        <v>272.40000000000003</v>
      </c>
      <c r="CH553" s="61">
        <f>IF(ISERROR((CG553/BY553-1)*100),"NA",IF(((CG553/BY553-1)*100)&gt;100,"NM",IF(((CG553/BY553-1)*100)&lt;-50,"NM",(CG553/BY553-1)*100)))</f>
        <v>31.403762662807445</v>
      </c>
      <c r="CI553" s="102">
        <f>CI541</f>
        <v>204.59999999999997</v>
      </c>
      <c r="CJ553" s="61">
        <f>IF(ISERROR((CI553/CA553-1)*100),"NA",IF(((CI553/CA553-1)*100)&gt;100,"NM",IF(((CI553/CA553-1)*100)&lt;-50,"NM",(CI553/CA553-1)*100)))</f>
        <v>-21.067860036264008</v>
      </c>
      <c r="CK553" s="102">
        <f>CK541</f>
        <v>265.5999999999998</v>
      </c>
      <c r="CL553" s="61">
        <f>IF(ISERROR((CK553/CC553-1)*100),"NA",IF(((CK553/CC553-1)*100)&gt;100,"NM",IF(((CK553/CC553-1)*100)&lt;-50,"NM",(CK553/CC553-1)*100)))</f>
        <v>-4.8028673835126217</v>
      </c>
      <c r="CM553" s="102">
        <f>CM541</f>
        <v>321.9000000000002</v>
      </c>
      <c r="CN553" s="61">
        <f>IF(ISERROR((CM553/CE553-1)*100),"NA",IF(((CM553/CE553-1)*100)&gt;100,"NM",IF(((CM553/CE553-1)*100)&lt;-50,"NM",(CM553/CE553-1)*100)))</f>
        <v>24.864235841737823</v>
      </c>
      <c r="CO553" s="102">
        <f>CO541</f>
        <v>324.89999999999981</v>
      </c>
      <c r="CP553" s="61">
        <f t="shared" si="2977"/>
        <v>19.273127753303875</v>
      </c>
      <c r="CQ553" s="102">
        <f>CQ541</f>
        <v>322.89999999999992</v>
      </c>
      <c r="CR553" s="61">
        <f t="shared" si="2978"/>
        <v>57.82013685239491</v>
      </c>
      <c r="CS553" s="102">
        <f>CS541</f>
        <v>277</v>
      </c>
      <c r="CT553" s="61">
        <f t="shared" si="2979"/>
        <v>4.2921686746988819</v>
      </c>
      <c r="CU553" s="102">
        <f>CU541</f>
        <v>293</v>
      </c>
      <c r="CV553" s="61">
        <f t="shared" si="2980"/>
        <v>-8.9779434607021429</v>
      </c>
      <c r="CW553" s="102">
        <f>CW541</f>
        <v>315</v>
      </c>
      <c r="CX553" s="61">
        <f t="shared" si="2981"/>
        <v>-3.0470914127423199</v>
      </c>
      <c r="CY553" s="102">
        <f>CY541</f>
        <v>362</v>
      </c>
      <c r="CZ553" s="61">
        <f t="shared" si="2982"/>
        <v>12.109012078042758</v>
      </c>
      <c r="DA553" s="102">
        <f>DA541</f>
        <v>310</v>
      </c>
      <c r="DB553" s="61">
        <f t="shared" si="2983"/>
        <v>11.913357400722013</v>
      </c>
      <c r="DC553" s="102">
        <f>DC541</f>
        <v>285</v>
      </c>
      <c r="DD553" s="61">
        <f t="shared" si="2984"/>
        <v>-2.7303754266211566</v>
      </c>
      <c r="DE553" s="102">
        <f>DE541</f>
        <v>351</v>
      </c>
      <c r="DF553" s="61">
        <f t="shared" si="2985"/>
        <v>11.428571428571432</v>
      </c>
      <c r="DG553" s="102">
        <f>DG541</f>
        <v>367</v>
      </c>
      <c r="DH553" s="61">
        <f t="shared" si="2986"/>
        <v>1.3812154696132506</v>
      </c>
      <c r="DI553" s="102">
        <f>DI541</f>
        <v>382</v>
      </c>
      <c r="DJ553" s="61">
        <f t="shared" si="2987"/>
        <v>23.225806451612897</v>
      </c>
      <c r="DK553" s="102">
        <f>DK541</f>
        <v>364</v>
      </c>
      <c r="DL553" s="61">
        <f t="shared" si="2988"/>
        <v>27.719298245614034</v>
      </c>
      <c r="DM553" s="102">
        <f>DM541</f>
        <v>395</v>
      </c>
      <c r="DN553" s="130">
        <f t="shared" si="2989"/>
        <v>12.535612535612529</v>
      </c>
      <c r="DO553" s="102">
        <f>DO541</f>
        <v>416</v>
      </c>
      <c r="DP553" s="130">
        <f t="shared" si="2989"/>
        <v>13.351498637602187</v>
      </c>
      <c r="DQ553" s="102">
        <f>DQ541</f>
        <v>440</v>
      </c>
      <c r="DR553" s="130">
        <f t="shared" si="2989"/>
        <v>15.18324607329844</v>
      </c>
      <c r="DS553" s="102">
        <f>DS541</f>
        <v>352</v>
      </c>
      <c r="DT553" s="130">
        <f t="shared" si="2989"/>
        <v>-3.2967032967032961</v>
      </c>
      <c r="DU553" s="102">
        <f>DU541</f>
        <v>371</v>
      </c>
      <c r="DV553" s="130">
        <f t="shared" si="2989"/>
        <v>-6.0759493670886062</v>
      </c>
      <c r="DW553" s="102">
        <f>DW541</f>
        <v>282</v>
      </c>
      <c r="DX553" s="102">
        <f t="shared" ref="DX553:DY553" si="3040">DX541</f>
        <v>282</v>
      </c>
      <c r="DY553" s="102">
        <f t="shared" si="3040"/>
        <v>382</v>
      </c>
      <c r="DZ553" s="130">
        <f t="shared" si="2989"/>
        <v>-13.181818181818183</v>
      </c>
      <c r="EA553" s="102">
        <f t="shared" ref="EA553:EC553" si="3041">EA541</f>
        <v>307</v>
      </c>
      <c r="EB553" s="130">
        <f t="shared" si="2990"/>
        <v>-12.784090909090907</v>
      </c>
      <c r="EC553" s="102">
        <f t="shared" si="3041"/>
        <v>373</v>
      </c>
      <c r="ED553" s="130">
        <f t="shared" si="2991"/>
        <v>0.53908355795149188</v>
      </c>
      <c r="EE553" s="102">
        <f t="shared" ref="EE553:EG553" si="3042">EE541</f>
        <v>441</v>
      </c>
      <c r="EF553" s="130">
        <f t="shared" si="2992"/>
        <v>56.38297872340425</v>
      </c>
      <c r="EG553" s="102">
        <f t="shared" si="3042"/>
        <v>409</v>
      </c>
      <c r="EH553" s="130">
        <f t="shared" si="2993"/>
        <v>7.0680628272251411</v>
      </c>
      <c r="EI553" s="102">
        <f t="shared" ref="EI553:EK553" si="3043">EI541</f>
        <v>442</v>
      </c>
      <c r="EJ553" s="130">
        <f t="shared" si="2994"/>
        <v>43.973941368078172</v>
      </c>
      <c r="EK553" s="102">
        <f t="shared" si="3043"/>
        <v>419</v>
      </c>
      <c r="EL553" s="130">
        <f t="shared" si="2995"/>
        <v>12.332439678284191</v>
      </c>
      <c r="EM553" s="102">
        <f t="shared" ref="EM553" si="3044">EM541</f>
        <v>454</v>
      </c>
      <c r="EN553" s="130">
        <f t="shared" si="2996"/>
        <v>2.947845804988658</v>
      </c>
      <c r="EO553" s="102">
        <f t="shared" ref="EO553" si="3045">EO541</f>
        <v>440</v>
      </c>
      <c r="EP553" s="130">
        <f t="shared" si="2997"/>
        <v>7.5794621026894937</v>
      </c>
      <c r="EQ553" s="102">
        <f t="shared" ref="EQ553:EW553" si="3046">EQ541</f>
        <v>433.01539174143363</v>
      </c>
      <c r="ER553" s="130">
        <f t="shared" si="2999"/>
        <v>-2.0327168005806251</v>
      </c>
      <c r="ES553" s="102">
        <f t="shared" si="3046"/>
        <v>460.45921990626726</v>
      </c>
      <c r="ET553" s="130">
        <f t="shared" si="3000"/>
        <v>9.894801886937298</v>
      </c>
      <c r="EU553" s="102">
        <f t="shared" si="3046"/>
        <v>479.13694888564487</v>
      </c>
      <c r="EV553" s="130">
        <f t="shared" si="3001"/>
        <v>5.5367728823006335</v>
      </c>
      <c r="EW553" s="102">
        <f t="shared" si="3046"/>
        <v>492.61294385852671</v>
      </c>
      <c r="EX553" s="130">
        <f t="shared" si="3002"/>
        <v>11.95748724057426</v>
      </c>
      <c r="EY553" s="316"/>
      <c r="EZ553" s="558"/>
      <c r="FA553" s="316"/>
      <c r="FB553" s="104">
        <f>FB536+FB546</f>
        <v>546.29187330000002</v>
      </c>
      <c r="FC553" s="317"/>
      <c r="FD553" s="104">
        <f>FD536</f>
        <v>475.2</v>
      </c>
      <c r="FE553" s="126">
        <f>IF(ISERROR((FD553/FB553-1)*100),"NA",IF(((FD553/FB553-1)*100)&gt;100,"NM",IF(((FD553/FB553-1)*100)&lt;-50,"NM",(FD553/FB553-1)*100)))</f>
        <v>-13.013533016801704</v>
      </c>
      <c r="FF553" s="104">
        <f>FF536</f>
        <v>690.59</v>
      </c>
      <c r="FG553" s="126">
        <f>IF(ISERROR((FF553/FD553-1)*100),"NA",IF(((FF553/FD553-1)*100)&gt;100,"NM",IF(((FF553/FD553-1)*100)&lt;-50,"NM",(FF553/FD553-1)*100)))</f>
        <v>45.326178451178457</v>
      </c>
      <c r="FH553" s="104">
        <f>FH536-0.1</f>
        <v>644.6</v>
      </c>
      <c r="FI553" s="126">
        <f>IF(ISERROR((FH553/FF553-1)*100),"NA",IF(((FH553/FF553-1)*100)&gt;100,"NM",IF(((FH553/FF553-1)*100)&lt;-50,"NM",(FH553/FF553-1)*100)))</f>
        <v>-6.659523016551061</v>
      </c>
      <c r="FJ553" s="104">
        <f>FJ536</f>
        <v>432.2</v>
      </c>
      <c r="FK553" s="126">
        <f t="shared" si="3003"/>
        <v>-32.950667080359921</v>
      </c>
      <c r="FL553" s="104">
        <f>FL536</f>
        <v>592.79999999999995</v>
      </c>
      <c r="FM553" s="126">
        <f t="shared" si="3004"/>
        <v>37.158722813512249</v>
      </c>
      <c r="FN553" s="104">
        <f>FN538</f>
        <v>724.92</v>
      </c>
      <c r="FO553" s="126">
        <f t="shared" si="3005"/>
        <v>22.287449392712546</v>
      </c>
      <c r="FP553" s="104">
        <f>FP538</f>
        <v>959.95600000000002</v>
      </c>
      <c r="FQ553" s="61">
        <f>IF(ISERROR((FP553/FH553-1)*100),"NA",IF(((FP553/FH553-1)*100)&gt;100,"NM",IF(((FP553/FH553-1)*100)&lt;-50,"NM",(FP553/FH553-1)*100)))</f>
        <v>48.922742786224013</v>
      </c>
      <c r="FR553" s="104">
        <f>FR538</f>
        <v>1288.6399999999999</v>
      </c>
      <c r="FS553" s="61">
        <f t="shared" si="3006"/>
        <v>34.239485976440577</v>
      </c>
      <c r="FT553" s="104">
        <f>FT538</f>
        <v>1323.7999999999995</v>
      </c>
      <c r="FU553" s="61">
        <f t="shared" si="3007"/>
        <v>2.7284579091134464</v>
      </c>
      <c r="FV553" s="104">
        <f>FV538</f>
        <v>779.00000000000045</v>
      </c>
      <c r="FW553" s="61">
        <f t="shared" si="3008"/>
        <v>-41.154252908294254</v>
      </c>
      <c r="FX553" s="104">
        <f>FX541</f>
        <v>908.61000000000024</v>
      </c>
      <c r="FY553" s="61">
        <f t="shared" si="3010"/>
        <v>16.637997432605879</v>
      </c>
      <c r="FZ553" s="104">
        <f>FZ541</f>
        <v>1000.3999999999994</v>
      </c>
      <c r="GA553" s="61">
        <f t="shared" si="3012"/>
        <v>10.102244087121992</v>
      </c>
      <c r="GB553" s="104">
        <f>GB541</f>
        <v>1246.7000000000003</v>
      </c>
      <c r="GC553" s="61">
        <f t="shared" si="3014"/>
        <v>24.620151939224421</v>
      </c>
      <c r="GD553" s="104">
        <f>GD541</f>
        <v>1280</v>
      </c>
      <c r="GE553" s="61">
        <f t="shared" si="3016"/>
        <v>2.6710515761610321</v>
      </c>
      <c r="GF553" s="104">
        <f>GF541</f>
        <v>1385</v>
      </c>
      <c r="GG553" s="61">
        <f t="shared" si="3016"/>
        <v>8.203125</v>
      </c>
      <c r="GH553" s="104">
        <f>GH541</f>
        <v>1615</v>
      </c>
      <c r="GI553" s="61">
        <f t="shared" si="3016"/>
        <v>16.606498194945839</v>
      </c>
      <c r="GJ553" s="104">
        <f>GJ541</f>
        <v>1387</v>
      </c>
      <c r="GK553" s="61">
        <f t="shared" si="3016"/>
        <v>-14.117647058823534</v>
      </c>
      <c r="GL553" s="104">
        <f>GL541</f>
        <v>1530</v>
      </c>
      <c r="GM553" s="61">
        <f t="shared" si="3016"/>
        <v>10.31002162941601</v>
      </c>
      <c r="GN553" s="104">
        <f>GN541</f>
        <v>1755</v>
      </c>
      <c r="GO553" s="61">
        <f t="shared" si="3016"/>
        <v>14.705882352941169</v>
      </c>
      <c r="GP553" s="104">
        <f>GP541</f>
        <v>1865.2245043918708</v>
      </c>
      <c r="GQ553" s="61">
        <f t="shared" si="3016"/>
        <v>6.2805985408473486</v>
      </c>
      <c r="GR553" s="104">
        <f>GR538</f>
        <v>1997.2805153712757</v>
      </c>
      <c r="GS553" s="61">
        <f t="shared" si="3016"/>
        <v>7.0798989970625392</v>
      </c>
      <c r="GT553" s="104">
        <f>GT538</f>
        <v>2187.2095019673025</v>
      </c>
      <c r="GU553" s="61">
        <f t="shared" si="3016"/>
        <v>9.5093796356753089</v>
      </c>
      <c r="GV553" s="104">
        <f>GV538</f>
        <v>2296.8237050363132</v>
      </c>
      <c r="GW553" s="61">
        <f t="shared" si="3016"/>
        <v>5.0116005334842173</v>
      </c>
      <c r="GX553" s="104">
        <f>GX538</f>
        <v>2417.6717699682927</v>
      </c>
      <c r="GY553" s="61">
        <f t="shared" si="3023"/>
        <v>5.2615298539018251</v>
      </c>
      <c r="GZ553" s="61">
        <f t="shared" si="3024"/>
        <v>6.6164072778214678</v>
      </c>
      <c r="HA553" s="61"/>
      <c r="HB553" s="452"/>
      <c r="HC553"/>
      <c r="HD553"/>
      <c r="HE553"/>
      <c r="HF553"/>
      <c r="HG553"/>
      <c r="HH553"/>
    </row>
    <row r="554" spans="1:216" s="5" customFormat="1" ht="12.75" customHeight="1" x14ac:dyDescent="0.2">
      <c r="B554" s="2" t="s">
        <v>539</v>
      </c>
      <c r="C554" s="318">
        <f>C546/C627*400</f>
        <v>-3.3543539514289547E-3</v>
      </c>
      <c r="D554" s="67"/>
      <c r="E554" s="318">
        <f>E546/E627*400</f>
        <v>-7.644649315975037E-2</v>
      </c>
      <c r="F554" s="66"/>
      <c r="G554" s="318">
        <f>G546/G627*400</f>
        <v>-0.1302916834251984</v>
      </c>
      <c r="H554" s="66"/>
      <c r="I554" s="318">
        <f>I546/I627*400</f>
        <v>1.3571359906809995E-2</v>
      </c>
      <c r="J554" s="66"/>
      <c r="K554" s="318">
        <f>K546/K627*400</f>
        <v>-0.14995313964386131</v>
      </c>
      <c r="L554" s="61"/>
      <c r="M554" s="318">
        <f>M546/M627*400</f>
        <v>-0.12738853503184713</v>
      </c>
      <c r="N554" s="61"/>
      <c r="O554" s="318">
        <f>O546/O627*400</f>
        <v>-0.25769272588887682</v>
      </c>
      <c r="P554" s="61"/>
      <c r="Q554" s="318">
        <f>Q546/Q627*400</f>
        <v>-0.22152626055364949</v>
      </c>
      <c r="R554" s="61"/>
      <c r="S554" s="318">
        <f>S546/S627*400</f>
        <v>-0.74361096826178175</v>
      </c>
      <c r="T554" s="61"/>
      <c r="U554" s="318">
        <f>U546/U627*400</f>
        <v>-0.56619869160739611</v>
      </c>
      <c r="V554" s="61"/>
      <c r="W554" s="318">
        <f>W546/W627*400</f>
        <v>-0.23982155650287329</v>
      </c>
      <c r="X554" s="61"/>
      <c r="Y554" s="318">
        <f>Y546/Y627*400</f>
        <v>-0.33300083250208123</v>
      </c>
      <c r="Z554" s="61"/>
      <c r="AA554" s="318">
        <f>AA546/AA627*400</f>
        <v>-0.5676885711220141</v>
      </c>
      <c r="AB554" s="61"/>
      <c r="AC554" s="318">
        <f>AC546/AC627*400</f>
        <v>-1.2208980174494502E-2</v>
      </c>
      <c r="AD554" s="61"/>
      <c r="AE554" s="318">
        <f>AE546/AE627*400</f>
        <v>6.0344197646104852E-2</v>
      </c>
      <c r="AF554" s="61"/>
      <c r="AG554" s="318">
        <f>AG546/AG627*400</f>
        <v>0.39272890484739675</v>
      </c>
      <c r="AH554" s="61"/>
      <c r="AI554" s="318">
        <f>AI546/AI627*400</f>
        <v>-7.2640839323520695E-2</v>
      </c>
      <c r="AJ554" s="61"/>
      <c r="AK554" s="318">
        <f>AK546/AK627*400</f>
        <v>-0.1085866037179109</v>
      </c>
      <c r="AL554" s="61"/>
      <c r="AM554" s="318">
        <f>AM546/AM627*400</f>
        <v>0.28684214120828838</v>
      </c>
      <c r="AN554" s="61"/>
      <c r="AO554" s="318">
        <f>AO546/AO627*400</f>
        <v>3.8645606309119909E-2</v>
      </c>
      <c r="AP554" s="61"/>
      <c r="AQ554" s="318">
        <f>AQ546/AQ627*400</f>
        <v>-4.2744564846687982E-2</v>
      </c>
      <c r="AR554" s="61">
        <f>IF(ISERROR((AQ554/AI554-1)*100),"NA",IF(((AQ554/AI554-1)*100)&gt;100,"NM",IF(((AQ554/AI554-1)*100)&lt;-50,"NM",(AQ554/AI554-1)*100)))</f>
        <v>-41.156289981292204</v>
      </c>
      <c r="AS554" s="318">
        <f>AS546/AS627*400</f>
        <v>-2.4073128815758092E-2</v>
      </c>
      <c r="AT554" s="61" t="str">
        <f>IF(ISERROR((AS554/AK554-1)*100),"NA",IF(((AS554/AK554-1)*100)&gt;100,"NM",IF(((AS554/AK554-1)*100)&lt;-50,"NM",(AS554/AK554-1)*100)))</f>
        <v>NM</v>
      </c>
      <c r="AU554" s="318">
        <f>AU546/AU627*400</f>
        <v>-9.9807190654417621E-3</v>
      </c>
      <c r="AV554" s="61" t="str">
        <f>IF(ISERROR((AU554/AM554-1)*100),"NA",IF(((AU554/AM554-1)*100)&gt;100,"NM",IF(((AU554/AM554-1)*100)&lt;-50,"NM",(AU554/AM554-1)*100)))</f>
        <v>NM</v>
      </c>
      <c r="AW554" s="318">
        <f>AW546/AW627*400</f>
        <v>-5.6523350630096364E-2</v>
      </c>
      <c r="AX554" s="61" t="str">
        <f>IF(ISERROR((AW554/AO554-1)*100),"NA",IF(((AW554/AO554-1)*100)&gt;100,"NM",IF(((AW554/AO554-1)*100)&lt;-50,"NM",(AW554/AO554-1)*100)))</f>
        <v>NM</v>
      </c>
      <c r="AY554" s="318">
        <f>AY546/AY627*400</f>
        <v>-4.1340561667903758E-2</v>
      </c>
      <c r="AZ554" s="61">
        <f>IF(ISERROR((AY554/AQ554-1)*100),"NA",IF(((AY554/AQ554-1)*100)&gt;100,"NM",IF(((AY554/AQ554-1)*100)&lt;-50,"NM",(AY554/AQ554-1)*100)))</f>
        <v>-3.2846355643576297</v>
      </c>
      <c r="BA554" s="318">
        <f>BA546/BA627*400</f>
        <v>-2.1803368046590353E-2</v>
      </c>
      <c r="BB554" s="61">
        <f>IF(ISERROR((BA554/AS554-1)*100),"NA",IF(((BA554/AS554-1)*100)&gt;100,"NM",IF(((BA554/AS554-1)*100)&lt;-50,"NM",(BA554/AS554-1)*100)))</f>
        <v>-9.428607251426202</v>
      </c>
      <c r="BC554" s="318">
        <f>BC546/BC627*400</f>
        <v>-2.7930035261669518E-2</v>
      </c>
      <c r="BD554" s="61" t="str">
        <f>IF(ISERROR((BC554/AU554-1)*100),"NA",IF(((BC554/AU554-1)*100)&gt;100,"NM",IF(((BC554/AU554-1)*100)&lt;-50,"NM",(BC554/AU554-1)*100)))</f>
        <v>NM</v>
      </c>
      <c r="BE554" s="318">
        <f>BE546/BE627*400</f>
        <v>5.259653422411719E-2</v>
      </c>
      <c r="BF554" s="61" t="str">
        <f>IF(ISERROR((BE554/AW554-1)*100),"NA",IF(((BE554/AW554-1)*100)&gt;100,"NM",IF(((BE554/AW554-1)*100)&lt;-50,"NM",(BE554/AW554-1)*100)))</f>
        <v>NM</v>
      </c>
      <c r="BG554" s="300">
        <f>BG546/BG627*400</f>
        <v>0.1197544754753974</v>
      </c>
      <c r="BH554" s="61" t="str">
        <f>IF(ISERROR((BG554/AY554-1)*100),"NA",IF(((BG554/AY554-1)*100)&gt;100,"NM",IF(((BG554/AY554-1)*100)&lt;-50,"NM",(BG554/AY554-1)*100)))</f>
        <v>NM</v>
      </c>
      <c r="BI554" s="300">
        <f>BI546/BI627*400</f>
        <v>2.258850104118872E-2</v>
      </c>
      <c r="BJ554" s="61" t="str">
        <f>IF(ISERROR((BI554/BA554-1)*100),"NA",IF(((BI554/BA554-1)*100)&gt;100,"NM",IF(((BI554/BA554-1)*100)&lt;-50,"NM",(BI554/BA554-1)*100)))</f>
        <v>NM</v>
      </c>
      <c r="BK554" s="300">
        <f>BK546/BK627*400</f>
        <v>-0.23883802782435062</v>
      </c>
      <c r="BL554" s="61" t="str">
        <f>IF(ISERROR((BK554/BC554-1)*100),"NA",IF(((BK554/BC554-1)*100)&gt;100,"NM",IF(((BK554/BC554-1)*100)&lt;-50,"NM",(BK554/BC554-1)*100)))</f>
        <v>NM</v>
      </c>
      <c r="BM554" s="300">
        <f>BM546/BM627*400</f>
        <v>-0.56950902093390576</v>
      </c>
      <c r="BN554" s="61" t="str">
        <f>IF(ISERROR((BM554/BE554-1)*100),"NA",IF(((BM554/BE554-1)*100)&gt;100,"NM",IF(((BM554/BE554-1)*100)&lt;-50,"NM",(BM554/BE554-1)*100)))</f>
        <v>NM</v>
      </c>
      <c r="BO554" s="300">
        <f>BO546/BO627*400</f>
        <v>-0.1648067997758377</v>
      </c>
      <c r="BP554" s="61" t="str">
        <f>IF(ISERROR((BO554/BG554-1)*100),"NA",IF(((BO554/BG554-1)*100)&gt;100,"NM",IF(((BO554/BG554-1)*100)&lt;-50,"NM",(BO554/BG554-1)*100)))</f>
        <v>NM</v>
      </c>
      <c r="BQ554" s="300">
        <f>BQ546/BQ627*400</f>
        <v>-0.41708569914560117</v>
      </c>
      <c r="BR554" s="61" t="str">
        <f>IF(ISERROR((BQ554/BI554-1)*100),"NA",IF(((BQ554/BI554-1)*100)&gt;100,"NM",IF(((BQ554/BI554-1)*100)&lt;-50,"NM",(BQ554/BI554-1)*100)))</f>
        <v>NM</v>
      </c>
      <c r="BS554" s="300">
        <f>BS546/BS627*400</f>
        <v>-0.99297501081559925</v>
      </c>
      <c r="BT554" s="61" t="str">
        <f>IF(ISERROR((BS554/BK554-1)*100),"NA",IF(((BS554/BK554-1)*100)&gt;100,"NM",IF(((BS554/BK554-1)*100)&lt;-50,"NM",(BS554/BK554-1)*100)))</f>
        <v>NM</v>
      </c>
      <c r="BU554" s="300">
        <f>BU546/BU627*400</f>
        <v>-1.2990619370991479</v>
      </c>
      <c r="BV554" s="61" t="str">
        <f>IF(ISERROR((BU554/BM554-1)*100),"NA",IF(((BU554/BM554-1)*100)&gt;100,"NM",IF(((BU554/BM554-1)*100)&lt;-50,"NM",(BU554/BM554-1)*100)))</f>
        <v>NM</v>
      </c>
      <c r="BW554" s="300">
        <f>BW546/BW627*400</f>
        <v>-1.1391463657965861</v>
      </c>
      <c r="BX554" s="61" t="str">
        <f t="shared" si="3025"/>
        <v>NM</v>
      </c>
      <c r="BY554" s="300">
        <f>BY546/BY627*400</f>
        <v>-1.2161915062205784</v>
      </c>
      <c r="BZ554" s="61" t="str">
        <f t="shared" si="3026"/>
        <v>NM</v>
      </c>
      <c r="CA554" s="300">
        <f>CA546/CA627*400</f>
        <v>-1.0291050330324338</v>
      </c>
      <c r="CB554" s="61">
        <f t="shared" si="3027"/>
        <v>3.6385630880235942</v>
      </c>
      <c r="CC554" s="300">
        <f>CC546/CC627*400</f>
        <v>-0.47788403277220159</v>
      </c>
      <c r="CD554" s="61" t="str">
        <f>IF(ISERROR((CC554/BU554-1)*100),"NA",IF(((CC554/BU554-1)*100)&gt;100,"NM",IF(((CC554/BU554-1)*100)&lt;-50,"NM",(CC554/BU554-1)*100)))</f>
        <v>NM</v>
      </c>
      <c r="CE554" s="300">
        <f>CE546/CE627*400</f>
        <v>-0.13510499314915719</v>
      </c>
      <c r="CF554" s="61" t="str">
        <f>IF(ISERROR((CE554/BW554-1)*100),"NA",IF(((CE554/BW554-1)*100)&gt;100,"NM",IF(((CE554/BW554-1)*100)&lt;-50,"NM",(CE554/BW554-1)*100)))</f>
        <v>NM</v>
      </c>
      <c r="CG554" s="300">
        <f>CG546/CG627*400</f>
        <v>-3.520057092432842E-2</v>
      </c>
      <c r="CH554" s="61" t="str">
        <f>IF(ISERROR((CG554/BY554-1)*100),"NA",IF(((CG554/BY554-1)*100)&gt;100,"NM",IF(((CG554/BY554-1)*100)&lt;-50,"NM",(CG554/BY554-1)*100)))</f>
        <v>NM</v>
      </c>
      <c r="CI554" s="300">
        <f>CI546/CI627*400</f>
        <v>7.6642590055043314E-2</v>
      </c>
      <c r="CJ554" s="61" t="str">
        <f>IF(ISERROR((CI554/CA554-1)*100),"NA",IF(((CI554/CA554-1)*100)&gt;100,"NM",IF(((CI554/CA554-1)*100)&lt;-50,"NM",(CI554/CA554-1)*100)))</f>
        <v>NM</v>
      </c>
      <c r="CK554" s="300">
        <f>CK546/CK627*400</f>
        <v>-0.37340967913405426</v>
      </c>
      <c r="CL554" s="61">
        <f>IF(ISERROR((CK554/CC554-1)*100),"NA",IF(((CK554/CC554-1)*100)&gt;100,"NM",IF(((CK554/CC554-1)*100)&lt;-50,"NM",(CK554/CC554-1)*100)))</f>
        <v>-21.861863229054212</v>
      </c>
      <c r="CM554" s="300">
        <f>CM546/CM627*400</f>
        <v>-6.4049189777749316E-2</v>
      </c>
      <c r="CN554" s="61" t="str">
        <f>IF(ISERROR((CM554/CE554-1)*100),"NA",IF(((CM554/CE554-1)*100)&gt;100,"NM",IF(((CM554/CE554-1)*100)&lt;-50,"NM",(CM554/CE554-1)*100)))</f>
        <v>NM</v>
      </c>
      <c r="CO554" s="300">
        <f>CO546/CO627*400</f>
        <v>-9.828693293771297E-2</v>
      </c>
      <c r="CP554" s="61" t="str">
        <f t="shared" si="2977"/>
        <v>NM</v>
      </c>
      <c r="CQ554" s="300">
        <f>CQ546/CQ627*400</f>
        <v>-0.52499929493896336</v>
      </c>
      <c r="CR554" s="61" t="str">
        <f t="shared" si="2978"/>
        <v>NM</v>
      </c>
      <c r="CS554" s="300">
        <f>CS546/CS627*400</f>
        <v>-0.41662192633952538</v>
      </c>
      <c r="CT554" s="61">
        <f t="shared" si="2979"/>
        <v>11.572342555683424</v>
      </c>
      <c r="CU554" s="300">
        <f>CU546/CU627*400</f>
        <v>-0.31427587394523848</v>
      </c>
      <c r="CV554" s="61" t="str">
        <f t="shared" si="2980"/>
        <v>NM</v>
      </c>
      <c r="CW554" s="300">
        <f>CW546/CW627*400</f>
        <v>4.954173891503591E-2</v>
      </c>
      <c r="CX554" s="61" t="str">
        <f t="shared" si="2981"/>
        <v>NM</v>
      </c>
      <c r="CY554" s="300">
        <f>CY546/CY627*400</f>
        <v>0.101555835398302</v>
      </c>
      <c r="CZ554" s="61" t="str">
        <f t="shared" si="2982"/>
        <v>NM</v>
      </c>
      <c r="DA554" s="300">
        <f>DA546/DA627*400</f>
        <v>4.4415282895068894E-2</v>
      </c>
      <c r="DB554" s="61" t="str">
        <f t="shared" si="2983"/>
        <v>NM</v>
      </c>
      <c r="DC554" s="300">
        <f>DC546/DC627*400</f>
        <v>-0.24172835775796947</v>
      </c>
      <c r="DD554" s="61">
        <f t="shared" si="2984"/>
        <v>-23.084023369834039</v>
      </c>
      <c r="DE554" s="300">
        <f>DE546/DE627*400</f>
        <v>-0.13726122266473947</v>
      </c>
      <c r="DF554" s="61" t="str">
        <f t="shared" si="2985"/>
        <v>NM</v>
      </c>
      <c r="DG554" s="300">
        <f>DG546/DG627*400</f>
        <v>-0.17997656119203082</v>
      </c>
      <c r="DH554" s="61" t="str">
        <f t="shared" si="2986"/>
        <v>NM</v>
      </c>
      <c r="DI554" s="300">
        <f>DI546/DI627*400</f>
        <v>-0.18049973239865255</v>
      </c>
      <c r="DJ554" s="61" t="str">
        <f t="shared" si="2987"/>
        <v>NM</v>
      </c>
      <c r="DK554" s="300">
        <f>DK546/DK627*400</f>
        <v>-0.15477511786328876</v>
      </c>
      <c r="DL554" s="61">
        <f t="shared" si="2988"/>
        <v>-35.971468428930734</v>
      </c>
      <c r="DM554" s="300">
        <f>DM546/DM627*400</f>
        <v>-1.1886130866300837E-2</v>
      </c>
      <c r="DN554" s="130" t="str">
        <f t="shared" si="2989"/>
        <v>NM</v>
      </c>
      <c r="DO554" s="300">
        <f>DO546/DO627*400</f>
        <v>0.12230606105439661</v>
      </c>
      <c r="DP554" s="130" t="str">
        <f t="shared" si="2989"/>
        <v>NM</v>
      </c>
      <c r="DQ554" s="300">
        <f>DQ546/DQ627*400</f>
        <v>-0.37293501801548068</v>
      </c>
      <c r="DR554" s="130" t="str">
        <f t="shared" si="2989"/>
        <v>NM</v>
      </c>
      <c r="DS554" s="300">
        <f>DS546/DS627*400</f>
        <v>-0.22638305900108477</v>
      </c>
      <c r="DT554" s="130">
        <f t="shared" si="2989"/>
        <v>46.26579654815481</v>
      </c>
      <c r="DU554" s="300">
        <f>DU546/DU627*400</f>
        <v>-9.018812065602054E-2</v>
      </c>
      <c r="DV554" s="130" t="str">
        <f t="shared" si="2989"/>
        <v>NM</v>
      </c>
      <c r="DW554" s="300">
        <f>DW546/DW627*400</f>
        <v>-4.2636072054961775E-2</v>
      </c>
      <c r="DX554" s="300">
        <f t="shared" ref="DX554:DY554" si="3047">DX546/DX627*400</f>
        <v>-4.2636072054961775E-2</v>
      </c>
      <c r="DY554" s="300">
        <f t="shared" si="3047"/>
        <v>-0.46180338134001253</v>
      </c>
      <c r="DZ554" s="130">
        <f t="shared" si="2989"/>
        <v>23.829449912596544</v>
      </c>
      <c r="EA554" s="300">
        <f t="shared" ref="EA554:EC554" si="3048">EA546/EA627*400</f>
        <v>-0.38356318921510563</v>
      </c>
      <c r="EB554" s="130">
        <f t="shared" si="2990"/>
        <v>69.431047935997597</v>
      </c>
      <c r="EC554" s="300">
        <f t="shared" si="3048"/>
        <v>-0.20617251575682496</v>
      </c>
      <c r="ED554" s="130" t="str">
        <f t="shared" si="2991"/>
        <v>NM</v>
      </c>
      <c r="EE554" s="300">
        <f t="shared" ref="EE554:EG554" si="3049">EE546/EE627*400</f>
        <v>-1.4338073859002966E-2</v>
      </c>
      <c r="EF554" s="130" t="str">
        <f t="shared" si="2992"/>
        <v>NM</v>
      </c>
      <c r="EG554" s="300">
        <f t="shared" si="3049"/>
        <v>-0.64467162039336212</v>
      </c>
      <c r="EH554" s="130">
        <f t="shared" si="2993"/>
        <v>39.598722409247358</v>
      </c>
      <c r="EI554" s="300">
        <f t="shared" ref="EI554:EK554" si="3050">EI546/EI627*400</f>
        <v>-0.19147036351753152</v>
      </c>
      <c r="EJ554" s="130" t="str">
        <f t="shared" si="2994"/>
        <v>NM</v>
      </c>
      <c r="EK554" s="300">
        <f t="shared" si="3050"/>
        <v>-0.12292229683927006</v>
      </c>
      <c r="EL554" s="130">
        <f t="shared" si="2995"/>
        <v>-40.378912102787915</v>
      </c>
      <c r="EM554" s="300">
        <f t="shared" ref="EM554" si="3051">EM546/EM627*400</f>
        <v>-0.23631773994306893</v>
      </c>
      <c r="EN554" s="130" t="str">
        <f t="shared" si="2996"/>
        <v>NM</v>
      </c>
      <c r="EO554" s="300">
        <f t="shared" ref="EO554" si="3052">EO546/EO627*400</f>
        <v>-0.24405556685442439</v>
      </c>
      <c r="EP554" s="130" t="str">
        <f t="shared" si="2997"/>
        <v>NM</v>
      </c>
      <c r="EQ554" s="299">
        <f t="shared" ref="EQ554" si="3053">EO554</f>
        <v>-0.24405556685442439</v>
      </c>
      <c r="ER554" s="130">
        <f t="shared" si="2999"/>
        <v>27.463886510080204</v>
      </c>
      <c r="ES554" s="299">
        <f t="shared" ref="ES554" si="3054">EQ554</f>
        <v>-0.24405556685442439</v>
      </c>
      <c r="ET554" s="130">
        <f t="shared" si="3000"/>
        <v>98.544587214754856</v>
      </c>
      <c r="EU554" s="299">
        <f t="shared" ref="EU554" si="3055">ES554</f>
        <v>-0.24405556685442439</v>
      </c>
      <c r="EV554" s="130">
        <f t="shared" si="3001"/>
        <v>3.2743318014210709</v>
      </c>
      <c r="EW554" s="299">
        <f t="shared" ref="EW554" si="3056">EU554</f>
        <v>-0.24405556685442439</v>
      </c>
      <c r="EX554" s="130">
        <f t="shared" si="3002"/>
        <v>0</v>
      </c>
      <c r="EY554" s="225"/>
      <c r="EZ554" s="558"/>
      <c r="FA554" s="225"/>
      <c r="FB554" s="318">
        <f>FB546/FB627*100</f>
        <v>4.2956936948812939E-2</v>
      </c>
      <c r="FC554" s="319"/>
      <c r="FD554" s="318">
        <f>FD546/FD627*100</f>
        <v>-1.4053470645110467E-4</v>
      </c>
      <c r="FE554" s="320"/>
      <c r="FF554" s="318">
        <f>FF546/FF627*100</f>
        <v>-4.9196179662186229E-2</v>
      </c>
      <c r="FG554" s="320"/>
      <c r="FH554" s="318">
        <f>FH546/FH627*100</f>
        <v>-0.18968186059906239</v>
      </c>
      <c r="FI554" s="320"/>
      <c r="FJ554" s="318">
        <f>FJ546/FJ627*100</f>
        <v>-0.44275110687776714</v>
      </c>
      <c r="FK554" s="320"/>
      <c r="FL554" s="318">
        <f>FL546/FL627*100</f>
        <v>-2.5948159784560141E-2</v>
      </c>
      <c r="FM554" s="228"/>
      <c r="FN554" s="318">
        <f>FN546/FN627*100</f>
        <v>3.684813624823062E-2</v>
      </c>
      <c r="FO554" s="228"/>
      <c r="FP554" s="318">
        <f>FP546/FP627*100</f>
        <v>-3.382134914751668E-2</v>
      </c>
      <c r="FQ554" s="61" t="str">
        <f>IF(ISERROR((FP554/FH554-1)*100),"NA",IF(((FP554/FH554-1)*100)&gt;100,"NM",IF(((FP554/FH554-1)*100)&lt;-50,"NM",(FP554/FH554-1)*100)))</f>
        <v>NM</v>
      </c>
      <c r="FR554" s="318">
        <f>FR546/FR627*100</f>
        <v>-5.3156071822246078E-3</v>
      </c>
      <c r="FS554" s="61" t="str">
        <f t="shared" si="3006"/>
        <v>NM</v>
      </c>
      <c r="FT554" s="300">
        <f>FT546/FT627*100</f>
        <v>-0.16629218482347446</v>
      </c>
      <c r="FU554" s="61" t="str">
        <f t="shared" si="3007"/>
        <v>NM</v>
      </c>
      <c r="FV554" s="300">
        <f>FV546/FV627*100</f>
        <v>-0.72776277121333399</v>
      </c>
      <c r="FW554" s="61" t="str">
        <f t="shared" si="3008"/>
        <v>NM</v>
      </c>
      <c r="FX554" s="300">
        <f>FX546/FX627*100</f>
        <v>-0.90834848125609202</v>
      </c>
      <c r="FY554" s="61">
        <f t="shared" si="3010"/>
        <v>24.813815323595566</v>
      </c>
      <c r="FZ554" s="300">
        <f>FZ546/FZ627*100</f>
        <v>-0.11411073420838226</v>
      </c>
      <c r="GA554" s="61" t="str">
        <f t="shared" si="3012"/>
        <v>NM</v>
      </c>
      <c r="GB554" s="300">
        <f>GB546/GB627*100</f>
        <v>-0.27134113604638677</v>
      </c>
      <c r="GC554" s="61" t="str">
        <f t="shared" si="3014"/>
        <v>NM</v>
      </c>
      <c r="GD554" s="300">
        <f>GD546/GD627*100</f>
        <v>-2.5235956190380052E-2</v>
      </c>
      <c r="GE554" s="61" t="str">
        <f t="shared" si="3016"/>
        <v>NM</v>
      </c>
      <c r="GF554" s="300">
        <f>GF546/GF627*100</f>
        <v>-0.18784565174045817</v>
      </c>
      <c r="GG554" s="61" t="str">
        <f t="shared" si="3016"/>
        <v>NM</v>
      </c>
      <c r="GH554" s="300">
        <f>GH546/GH627*100</f>
        <v>-0.10294560393135666</v>
      </c>
      <c r="GI554" s="61">
        <f t="shared" si="3016"/>
        <v>-45.19670645685526</v>
      </c>
      <c r="GJ554" s="300">
        <f>GJ546/GJ627*100</f>
        <v>-0.20742016280525985</v>
      </c>
      <c r="GK554" s="61" t="str">
        <f t="shared" si="3016"/>
        <v>NM</v>
      </c>
      <c r="GL554" s="300">
        <f>GL546/GL627*100</f>
        <v>-0.31390260586013996</v>
      </c>
      <c r="GM554" s="61">
        <f t="shared" si="3016"/>
        <v>51.336592168647101</v>
      </c>
      <c r="GN554" s="300">
        <f>GN546/GN627*100</f>
        <v>-0.19542130534357893</v>
      </c>
      <c r="GO554" s="61">
        <f t="shared" si="3016"/>
        <v>-37.744605589337041</v>
      </c>
      <c r="GP554" s="300">
        <f>GP546/GP627*100</f>
        <v>-0.24515933297035103</v>
      </c>
      <c r="GQ554" s="61">
        <f t="shared" si="3016"/>
        <v>25.451691431149449</v>
      </c>
      <c r="GR554" s="299">
        <f>GP554</f>
        <v>-0.24515933297035103</v>
      </c>
      <c r="GS554" s="61">
        <f t="shared" si="3016"/>
        <v>0</v>
      </c>
      <c r="GT554" s="299">
        <f>GR554</f>
        <v>-0.24515933297035103</v>
      </c>
      <c r="GU554" s="61">
        <f t="shared" si="3016"/>
        <v>0</v>
      </c>
      <c r="GV554" s="299">
        <f>GT554</f>
        <v>-0.24515933297035103</v>
      </c>
      <c r="GW554" s="61">
        <f t="shared" si="3016"/>
        <v>0</v>
      </c>
      <c r="GX554" s="299">
        <f>GV554</f>
        <v>-0.24515933297035103</v>
      </c>
      <c r="GY554" s="61">
        <f t="shared" si="3023"/>
        <v>0</v>
      </c>
      <c r="GZ554" s="61">
        <f t="shared" si="3024"/>
        <v>4.6394152950824274</v>
      </c>
      <c r="HA554" s="61"/>
      <c r="HB554" s="452"/>
      <c r="HC554"/>
      <c r="HD554"/>
      <c r="HE554"/>
      <c r="HF554"/>
      <c r="HG554"/>
      <c r="HH554"/>
    </row>
    <row r="555" spans="1:216" s="7" customFormat="1" ht="12.75" customHeight="1" x14ac:dyDescent="0.2">
      <c r="B555" s="2" t="s">
        <v>528</v>
      </c>
      <c r="C555" s="226">
        <f>C546/C533*100</f>
        <v>-0.17615971814445094</v>
      </c>
      <c r="D555" s="70"/>
      <c r="E555" s="226">
        <f>E546/E533*100</f>
        <v>-3.8705950317735418</v>
      </c>
      <c r="F555" s="71"/>
      <c r="G555" s="226">
        <f>G546/G533*100</f>
        <v>-6.0304142632406927</v>
      </c>
      <c r="H555" s="70"/>
      <c r="I555" s="226">
        <f>I546/I533*100</f>
        <v>0.64868371263311531</v>
      </c>
      <c r="J555" s="70"/>
      <c r="K555" s="226">
        <f>K546/K533*100</f>
        <v>-8.0047789725209082</v>
      </c>
      <c r="L555" s="61" t="str">
        <f>IF(ISERROR((K555/C555-1)*100),"NA",IF(((K555/C555-1)*100)&gt;100,"NM",IF(((K555/C555-1)*100)&lt;-50,"NM",(K555/C555-1)*100)))</f>
        <v>NM</v>
      </c>
      <c r="M555" s="226">
        <f>M546/M533*100</f>
        <v>-7.247298156389065</v>
      </c>
      <c r="N555" s="61">
        <f>IF(ISERROR((M555/E555-1)*100),"NA",IF(((M555/E555-1)*100)&gt;100,"NM",IF(((M555/E555-1)*100)&lt;-50,"NM",(M555/E555-1)*100)))</f>
        <v>87.239897144917464</v>
      </c>
      <c r="O555" s="226">
        <f>O546/O533*100</f>
        <v>-17.686567164179102</v>
      </c>
      <c r="P555" s="61" t="str">
        <f>IF(ISERROR((O555/G555-1)*100),"NA",IF(((O555/G555-1)*100)&gt;100,"NM",IF(((O555/G555-1)*100)&lt;-50,"NM",(O555/G555-1)*100)))</f>
        <v>NM</v>
      </c>
      <c r="Q555" s="226">
        <f>Q546/Q533*100</f>
        <v>-10.718113612004288</v>
      </c>
      <c r="R555" s="61" t="str">
        <f>IF(ISERROR((Q555/I555-1)*100),"NA",IF(((Q555/I555-1)*100)&gt;100,"NM",IF(((Q555/I555-1)*100)&lt;-50,"NM",(Q555/I555-1)*100)))</f>
        <v>NM</v>
      </c>
      <c r="S555" s="226">
        <f>S546/S533*100</f>
        <v>-44.154147615937298</v>
      </c>
      <c r="T555" s="61" t="str">
        <f>IF(ISERROR((S555/K555-1)*100),"NA",IF(((S555/K555-1)*100)&gt;100,"NM",IF(((S555/K555-1)*100)&lt;-50,"NM",(S555/K555-1)*100)))</f>
        <v>NM</v>
      </c>
      <c r="U555" s="226">
        <f>U546/U533*100</f>
        <v>-45.344827586206897</v>
      </c>
      <c r="V555" s="61" t="str">
        <f>IF(ISERROR((U555/M555-1)*100),"NA",IF(((U555/M555-1)*100)&gt;100,"NM",IF(((U555/M555-1)*100)&lt;-50,"NM",(U555/M555-1)*100)))</f>
        <v>NM</v>
      </c>
      <c r="W555" s="226">
        <f>W546/W533*100</f>
        <v>-37.759999999999927</v>
      </c>
      <c r="X555" s="61" t="str">
        <f>IF(ISERROR((W555/O555-1)*100),"NA",IF(((W555/O555-1)*100)&gt;100,"NM",IF(((W555/O555-1)*100)&lt;-50,"NM",(W555/O555-1)*100)))</f>
        <v>NM</v>
      </c>
      <c r="Y555" s="226">
        <f>Y546/Y533*100</f>
        <v>-33.266733266733269</v>
      </c>
      <c r="Z555" s="61" t="str">
        <f>IF(ISERROR((Y555/Q555-1)*100),"NA",IF(((Y555/Q555-1)*100)&gt;100,"NM",IF(((Y555/Q555-1)*100)&lt;-50,"NM",(Y555/Q555-1)*100)))</f>
        <v>NM</v>
      </c>
      <c r="AA555" s="226">
        <f>AA546/AA533*100</f>
        <v>-55.587392550143264</v>
      </c>
      <c r="AB555" s="61">
        <f>IF(ISERROR((AA555/S555-1)*100),"NA",IF(((AA555/S555-1)*100)&gt;100,"NM",IF(((AA555/S555-1)*100)&lt;-50,"NM",(AA555/S555-1)*100)))</f>
        <v>25.893931944185411</v>
      </c>
      <c r="AC555" s="226">
        <f>AC546/AC533*100</f>
        <v>-0.84801043705153289</v>
      </c>
      <c r="AD555" s="61" t="str">
        <f>IF(ISERROR((AC555/U555-1)*100),"NA",IF(((AC555/U555-1)*100)&gt;100,"NM",IF(((AC555/U555-1)*100)&lt;-50,"NM",(AC555/U555-1)*100)))</f>
        <v>NM</v>
      </c>
      <c r="AE555" s="226">
        <f>AE546/AE533*100</f>
        <v>4.0999359385009617</v>
      </c>
      <c r="AF555" s="61" t="str">
        <f>IF(ISERROR((AE555/W555-1)*100),"NA",IF(((AE555/W555-1)*100)&gt;100,"NM",IF(((AE555/W555-1)*100)&lt;-50,"NM",(AE555/W555-1)*100)))</f>
        <v>NM</v>
      </c>
      <c r="AG555" s="226">
        <f>AG546/AG533*100</f>
        <v>23.503077783995526</v>
      </c>
      <c r="AH555" s="61" t="str">
        <f>IF(ISERROR((AG555/Y555-1)*100),"NA",IF(((AG555/Y555-1)*100)&gt;100,"NM",IF(((AG555/Y555-1)*100)&lt;-50,"NM",(AG555/Y555-1)*100)))</f>
        <v>NM</v>
      </c>
      <c r="AI555" s="226">
        <f>AI546/AI533*100</f>
        <v>-4.503990877993159</v>
      </c>
      <c r="AJ555" s="61" t="str">
        <f>IF(ISERROR((AI555/AA555-1)*100),"NA",IF(((AI555/AA555-1)*100)&gt;100,"NM",IF(((AI555/AA555-1)*100)&lt;-50,"NM",(AI555/AA555-1)*100)))</f>
        <v>NM</v>
      </c>
      <c r="AK555" s="226">
        <f>AK546/AK533*100</f>
        <v>-6.3413289219740836</v>
      </c>
      <c r="AL555" s="61" t="str">
        <f>IF(ISERROR((AK555/AC555-1)*100),"NA",IF(((AK555/AC555-1)*100)&gt;100,"NM",IF(((AK555/AC555-1)*100)&lt;-50,"NM",(AK555/AC555-1)*100)))</f>
        <v>NM</v>
      </c>
      <c r="AM555" s="226">
        <f>AM546/AM533*100</f>
        <v>17.666853617498596</v>
      </c>
      <c r="AN555" s="61" t="str">
        <f>IF(ISERROR((AM555/AE555-1)*100),"NA",IF(((AM555/AE555-1)*100)&gt;100,"NM",IF(((AM555/AE555-1)*100)&lt;-50,"NM",(AM555/AE555-1)*100)))</f>
        <v>NM</v>
      </c>
      <c r="AO555" s="226">
        <f>AO546/AO533*100</f>
        <v>2.2647074314004318</v>
      </c>
      <c r="AP555" s="61" t="str">
        <f>IF(ISERROR((AO555/AG555-1)*100),"NA",IF(((AO555/AG555-1)*100)&gt;100,"NM",IF(((AO555/AG555-1)*100)&lt;-50,"NM",(AO555/AG555-1)*100)))</f>
        <v>NM</v>
      </c>
      <c r="AQ555" s="226">
        <f>AQ546/AQ533*100</f>
        <v>-2.2537426513603966</v>
      </c>
      <c r="AR555" s="61">
        <f>IF(ISERROR((AQ555/AI555-1)*100),"NA",IF(((AQ555/AI555-1)*100)&gt;100,"NM",IF(((AQ555/AI555-1)*100)&lt;-50,"NM",(AQ555/AI555-1)*100)))</f>
        <v>-49.961207462200818</v>
      </c>
      <c r="AS555" s="226">
        <f>AS546/AS533*100</f>
        <v>-1.3855888496020281</v>
      </c>
      <c r="AT555" s="61" t="str">
        <f>IF(ISERROR((AS555/AK555-1)*100),"NA",IF(((AS555/AK555-1)*100)&gt;100,"NM",IF(((AS555/AK555-1)*100)&lt;-50,"NM",(AS555/AK555-1)*100)))</f>
        <v>NM</v>
      </c>
      <c r="AU555" s="226">
        <f>AU546/AU533*100</f>
        <v>-0.52464395753245663</v>
      </c>
      <c r="AV555" s="61" t="str">
        <f>IF(ISERROR((AU555/AM555-1)*100),"NA",IF(((AU555/AM555-1)*100)&gt;100,"NM",IF(((AU555/AM555-1)*100)&lt;-50,"NM",(AU555/AM555-1)*100)))</f>
        <v>NM</v>
      </c>
      <c r="AW555" s="226">
        <f>AW546/AW533*100</f>
        <v>-2.375990807642121</v>
      </c>
      <c r="AX555" s="61" t="str">
        <f>IF(ISERROR((AW555/AO555-1)*100),"NA",IF(((AW555/AO555-1)*100)&gt;100,"NM",IF(((AW555/AO555-1)*100)&lt;-50,"NM",(AW555/AO555-1)*100)))</f>
        <v>NM</v>
      </c>
      <c r="AY555" s="226">
        <f>AY546/AY533*100</f>
        <v>-1.7816650469711699</v>
      </c>
      <c r="AZ555" s="61">
        <f>IF(ISERROR((AY555/AQ555-1)*100),"NA",IF(((AY555/AQ555-1)*100)&gt;100,"NM",IF(((AY555/AQ555-1)*100)&lt;-50,"NM",(AY555/AQ555-1)*100)))</f>
        <v>-20.946384632880456</v>
      </c>
      <c r="BA555" s="226">
        <f>BA546/BA533*100</f>
        <v>-1.2904978604903892</v>
      </c>
      <c r="BB555" s="61">
        <f>IF(ISERROR((BA555/AS555-1)*100),"NA",IF(((BA555/AS555-1)*100)&gt;100,"NM",IF(((BA555/AS555-1)*100)&lt;-50,"NM",(BA555/AS555-1)*100)))</f>
        <v>-6.8628575597264092</v>
      </c>
      <c r="BC555" s="226">
        <f>BC546/BC533*100</f>
        <v>-1.5301750520259516</v>
      </c>
      <c r="BD555" s="61" t="str">
        <f>IF(ISERROR((BC555/AU555-1)*100),"NA",IF(((BC555/AU555-1)*100)&gt;100,"NM",IF(((BC555/AU555-1)*100)&lt;-50,"NM",(BC555/AU555-1)*100)))</f>
        <v>NM</v>
      </c>
      <c r="BE555" s="226">
        <f>BE546/BE533*100</f>
        <v>2.7937942103073183</v>
      </c>
      <c r="BF555" s="61" t="str">
        <f>IF(ISERROR((BE555/AW555-1)*100),"NA",IF(((BE555/AW555-1)*100)&gt;100,"NM",IF(((BE555/AW555-1)*100)&lt;-50,"NM",(BE555/AW555-1)*100)))</f>
        <v>NM</v>
      </c>
      <c r="BG555" s="428">
        <f>BG546/BG533*100</f>
        <v>6.6276202219482103</v>
      </c>
      <c r="BH555" s="61" t="str">
        <f>IF(ISERROR((BG555/AY555-1)*100),"NA",IF(((BG555/AY555-1)*100)&gt;100,"NM",IF(((BG555/AY555-1)*100)&lt;-50,"NM",(BG555/AY555-1)*100)))</f>
        <v>NM</v>
      </c>
      <c r="BI555" s="428">
        <f>BI546/BI533*100</f>
        <v>1.2319063751154911</v>
      </c>
      <c r="BJ555" s="61" t="str">
        <f>IF(ISERROR((BI555/BA555-1)*100),"NA",IF(((BI555/BA555-1)*100)&gt;100,"NM",IF(((BI555/BA555-1)*100)&lt;-50,"NM",(BI555/BA555-1)*100)))</f>
        <v>NM</v>
      </c>
      <c r="BK555" s="428">
        <f>BK546/BK533*100</f>
        <v>-12.734864300626306</v>
      </c>
      <c r="BL555" s="61" t="str">
        <f>IF(ISERROR((BK555/BC555-1)*100),"NA",IF(((BK555/BC555-1)*100)&gt;100,"NM",IF(((BK555/BC555-1)*100)&lt;-50,"NM",(BK555/BC555-1)*100)))</f>
        <v>NM</v>
      </c>
      <c r="BM555" s="428">
        <f>BM546/BM533*100</f>
        <v>-28.723702664796651</v>
      </c>
      <c r="BN555" s="61" t="str">
        <f>IF(ISERROR((BM555/BE555-1)*100),"NA",IF(((BM555/BE555-1)*100)&gt;100,"NM",IF(((BM555/BE555-1)*100)&lt;-50,"NM",(BM555/BE555-1)*100)))</f>
        <v>NM</v>
      </c>
      <c r="BO555" s="428">
        <f>BO546/BO533*100</f>
        <v>-9.6821018062397339</v>
      </c>
      <c r="BP555" s="61" t="str">
        <f>IF(ISERROR((BO555/BG555-1)*100),"NA",IF(((BO555/BG555-1)*100)&gt;100,"NM",IF(((BO555/BG555-1)*100)&lt;-50,"NM",(BO555/BG555-1)*100)))</f>
        <v>NM</v>
      </c>
      <c r="BQ555" s="428">
        <f>BQ546/BQ533*100</f>
        <v>-23.720025923525593</v>
      </c>
      <c r="BR555" s="61" t="str">
        <f>IF(ISERROR((BQ555/BI555-1)*100),"NA",IF(((BQ555/BI555-1)*100)&gt;100,"NM",IF(((BQ555/BI555-1)*100)&lt;-50,"NM",(BQ555/BI555-1)*100)))</f>
        <v>NM</v>
      </c>
      <c r="BS555" s="428">
        <f>BS546/BS533*100</f>
        <v>-53.555555555555536</v>
      </c>
      <c r="BT555" s="61" t="str">
        <f>IF(ISERROR((BS555/BK555-1)*100),"NA",IF(((BS555/BK555-1)*100)&gt;100,"NM",IF(((BS555/BK555-1)*100)&lt;-50,"NM",(BS555/BK555-1)*100)))</f>
        <v>NM</v>
      </c>
      <c r="BU555" s="428">
        <f>BU546/BU533*100</f>
        <v>-102.24403927068731</v>
      </c>
      <c r="BV555" s="61" t="str">
        <f>IF(ISERROR((BU555/BM555-1)*100),"NA",IF(((BU555/BM555-1)*100)&gt;100,"NM",IF(((BU555/BM555-1)*100)&lt;-50,"NM",(BU555/BM555-1)*100)))</f>
        <v>NM</v>
      </c>
      <c r="BW555" s="428">
        <f>BW546/BW533*100</f>
        <v>-96.368286445012757</v>
      </c>
      <c r="BX555" s="61" t="str">
        <f t="shared" si="3025"/>
        <v>NM</v>
      </c>
      <c r="BY555" s="428">
        <f>BY546/BY533*100</f>
        <v>-103.47322720694638</v>
      </c>
      <c r="BZ555" s="61" t="str">
        <f t="shared" si="3026"/>
        <v>NM</v>
      </c>
      <c r="CA555" s="428">
        <f>CA546/CA533*100</f>
        <v>-74.949332721502088</v>
      </c>
      <c r="CB555" s="61">
        <f t="shared" si="3027"/>
        <v>39.946886824381544</v>
      </c>
      <c r="CC555" s="428">
        <f>CC546/CC533*100</f>
        <v>-30.263596930263599</v>
      </c>
      <c r="CD555" s="61" t="str">
        <f>IF(ISERROR((CC555/BU555-1)*100),"NA",IF(((CC555/BU555-1)*100)&gt;100,"NM",IF(((CC555/BU555-1)*100)&lt;-50,"NM",(CC555/BU555-1)*100)))</f>
        <v>NM</v>
      </c>
      <c r="CE555" s="428">
        <f>CE546/CE533*100</f>
        <v>-9.3573446327683598</v>
      </c>
      <c r="CF555" s="61" t="str">
        <f>IF(ISERROR((CE555/BW555-1)*100),"NA",IF(((CE555/BW555-1)*100)&gt;100,"NM",IF(((CE555/BW555-1)*100)&lt;-50,"NM",(CE555/BW555-1)*100)))</f>
        <v>NM</v>
      </c>
      <c r="CG555" s="428">
        <f>CG546/CG533*100</f>
        <v>-2.5111799105607151</v>
      </c>
      <c r="CH555" s="61" t="str">
        <f>IF(ISERROR((CG555/BY555-1)*100),"NA",IF(((CG555/BY555-1)*100)&gt;100,"NM",IF(((CG555/BY555-1)*100)&lt;-50,"NM",(CG555/BY555-1)*100)))</f>
        <v>NM</v>
      </c>
      <c r="CI555" s="428">
        <f>CI546/CI533*100</f>
        <v>5.8593750000000009</v>
      </c>
      <c r="CJ555" s="61" t="str">
        <f>IF(ISERROR((CI555/CA555-1)*100),"NA",IF(((CI555/CA555-1)*100)&gt;100,"NM",IF(((CI555/CA555-1)*100)&lt;-50,"NM",(CI555/CA555-1)*100)))</f>
        <v>NM</v>
      </c>
      <c r="CK555" s="428">
        <f>CK546/CK533*100</f>
        <v>-26.142473118279586</v>
      </c>
      <c r="CL555" s="61">
        <f>IF(ISERROR((CK555/CC555-1)*100),"NA",IF(((CK555/CC555-1)*100)&gt;100,"NM",IF(((CK555/CC555-1)*100)&lt;-50,"NM",(CK555/CC555-1)*100)))</f>
        <v>-13.617428957570111</v>
      </c>
      <c r="CM555" s="428">
        <f>CM546/CM533*100</f>
        <v>-4.8930772018847373</v>
      </c>
      <c r="CN555" s="61">
        <f>IF(ISERROR((CM555/CE555-1)*100),"NA",IF(((CM555/CE555-1)*100)&gt;100,"NM",IF(((CM555/CE555-1)*100)&lt;-50,"NM",(CM555/CE555-1)*100)))</f>
        <v>-47.708699487782724</v>
      </c>
      <c r="CO555" s="428">
        <f>CO546/CO533*100</f>
        <v>-7.2877277414919259</v>
      </c>
      <c r="CP555" s="61" t="str">
        <f t="shared" si="2977"/>
        <v>NM</v>
      </c>
      <c r="CQ555" s="428">
        <f>CQ546/CQ533*100</f>
        <v>-38.670501757750095</v>
      </c>
      <c r="CR555" s="61" t="str">
        <f t="shared" si="2978"/>
        <v>NM</v>
      </c>
      <c r="CS555" s="428">
        <f>CS546/CS533*100</f>
        <v>-34.642857142857139</v>
      </c>
      <c r="CT555" s="61">
        <f t="shared" si="2979"/>
        <v>32.515607785530577</v>
      </c>
      <c r="CU555" s="428">
        <f>CU546/CU533*100</f>
        <v>-24.914675767918087</v>
      </c>
      <c r="CV555" s="61" t="str">
        <f t="shared" si="2980"/>
        <v>NM</v>
      </c>
      <c r="CW555" s="428">
        <f>CW546/CW533*100</f>
        <v>4.0677966101694913</v>
      </c>
      <c r="CX555" s="61" t="str">
        <f t="shared" si="2981"/>
        <v>NM</v>
      </c>
      <c r="CY555" s="428">
        <f>CY546/CY533*100</f>
        <v>7.6219512195121952</v>
      </c>
      <c r="CZ555" s="61" t="str">
        <f t="shared" si="2982"/>
        <v>NM</v>
      </c>
      <c r="DA555" s="428">
        <f>DA546/DA533*100</f>
        <v>3.6423841059602649</v>
      </c>
      <c r="DB555" s="61" t="str">
        <f t="shared" si="2983"/>
        <v>NM</v>
      </c>
      <c r="DC555" s="428">
        <f>DC546/DC533*100</f>
        <v>-20.100637190198931</v>
      </c>
      <c r="DD555" s="61">
        <f t="shared" si="2984"/>
        <v>-19.322100044817979</v>
      </c>
      <c r="DE555" s="428">
        <f>DE546/DE533*100</f>
        <v>-9.9397590361445776</v>
      </c>
      <c r="DF555" s="61" t="str">
        <f t="shared" si="2985"/>
        <v>NM</v>
      </c>
      <c r="DG555" s="428">
        <f>DG546/DG533*100</f>
        <v>-12.684365781710916</v>
      </c>
      <c r="DH555" s="61" t="str">
        <f t="shared" si="2986"/>
        <v>NM</v>
      </c>
      <c r="DI555" s="428">
        <f>DI546/DI533*100</f>
        <v>-12.044817927170868</v>
      </c>
      <c r="DJ555" s="61" t="str">
        <f t="shared" si="2987"/>
        <v>NM</v>
      </c>
      <c r="DK555" s="428">
        <f>DK546/DK533*100</f>
        <v>-10.43956043956044</v>
      </c>
      <c r="DL555" s="61">
        <f t="shared" si="2988"/>
        <v>-48.063534798534803</v>
      </c>
      <c r="DM555" s="428">
        <f>DM546/DM533*100</f>
        <v>-0.78125</v>
      </c>
      <c r="DN555" s="130" t="str">
        <f t="shared" si="2989"/>
        <v>NM</v>
      </c>
      <c r="DO555" s="428">
        <f>DO546/DO533*100</f>
        <v>7.673267326732673</v>
      </c>
      <c r="DP555" s="130" t="str">
        <f t="shared" si="2989"/>
        <v>NM</v>
      </c>
      <c r="DQ555" s="428">
        <f>DQ546/DQ533*100</f>
        <v>-24.806201550387598</v>
      </c>
      <c r="DR555" s="130" t="str">
        <f t="shared" si="2989"/>
        <v>NM</v>
      </c>
      <c r="DS555" s="428">
        <f>DS546/DS533*100</f>
        <v>-17.045454545454543</v>
      </c>
      <c r="DT555" s="130">
        <f t="shared" si="2989"/>
        <v>63.277511961722468</v>
      </c>
      <c r="DU555" s="428">
        <f>DU546/DU533*100</f>
        <v>-6.0686015831134563</v>
      </c>
      <c r="DV555" s="130" t="str">
        <f t="shared" si="2989"/>
        <v>NM</v>
      </c>
      <c r="DW555" s="428">
        <f>DW546/DW533*100</f>
        <v>-2.6097271648873073</v>
      </c>
      <c r="DX555" s="428">
        <f t="shared" ref="DX555:DY555" si="3057">DX546/DX533*100</f>
        <v>-2.6097271648873073</v>
      </c>
      <c r="DY555" s="428">
        <f t="shared" si="3057"/>
        <v>-30.890052356020941</v>
      </c>
      <c r="DZ555" s="130">
        <f t="shared" si="2989"/>
        <v>24.525523560209407</v>
      </c>
      <c r="EA555" s="428">
        <f t="shared" ref="EA555:EC555" si="3058">EA546/EA533*100</f>
        <v>-28.176795580110497</v>
      </c>
      <c r="EB555" s="130">
        <f t="shared" si="2990"/>
        <v>65.303867403314925</v>
      </c>
      <c r="EC555" s="428">
        <f t="shared" si="3058"/>
        <v>-15.281501340482572</v>
      </c>
      <c r="ED555" s="130" t="str">
        <f t="shared" si="2991"/>
        <v>NM</v>
      </c>
      <c r="EE555" s="428">
        <f t="shared" ref="EE555:EG555" si="3059">EE546/EE533*100</f>
        <v>-0.97967180994366887</v>
      </c>
      <c r="EF555" s="130" t="str">
        <f t="shared" si="2992"/>
        <v>NM</v>
      </c>
      <c r="EG555" s="428">
        <f t="shared" si="3059"/>
        <v>-42.053789731051346</v>
      </c>
      <c r="EH555" s="130">
        <f t="shared" si="2993"/>
        <v>36.140234553064523</v>
      </c>
      <c r="EI555" s="428">
        <f t="shared" ref="EI555:EK555" si="3060">EI546/EI533*100</f>
        <v>-13.06532663316583</v>
      </c>
      <c r="EJ555" s="130" t="str">
        <f t="shared" si="2994"/>
        <v>NM</v>
      </c>
      <c r="EK555" s="428">
        <f t="shared" si="3060"/>
        <v>-8.1145584725536999</v>
      </c>
      <c r="EL555" s="130">
        <f t="shared" si="2995"/>
        <v>-46.899468241008236</v>
      </c>
      <c r="EM555" s="428">
        <f t="shared" ref="EM555" si="3061">EM546/EM533*100</f>
        <v>-15.224913494809689</v>
      </c>
      <c r="EN555" s="130" t="str">
        <f t="shared" si="2996"/>
        <v>NM</v>
      </c>
      <c r="EO555" s="428">
        <f t="shared" ref="EO555" si="3062">EO546/EO533*100</f>
        <v>-15.681818181818183</v>
      </c>
      <c r="EP555" s="130" t="str">
        <f t="shared" si="2997"/>
        <v>NM</v>
      </c>
      <c r="EQ555" s="428">
        <f t="shared" ref="EQ555:EW555" si="3063">EQ546/EQ533*100</f>
        <v>-15.886964138466084</v>
      </c>
      <c r="ER555" s="130">
        <f t="shared" si="2999"/>
        <v>21.596379367490414</v>
      </c>
      <c r="ES555" s="428">
        <f t="shared" si="3063"/>
        <v>-14.895264995228402</v>
      </c>
      <c r="ET555" s="130">
        <f t="shared" si="3000"/>
        <v>83.562236264726479</v>
      </c>
      <c r="EU555" s="428">
        <f t="shared" si="3063"/>
        <v>-14.271673536352628</v>
      </c>
      <c r="EV555" s="130">
        <f t="shared" si="3001"/>
        <v>-6.2610533635020555</v>
      </c>
      <c r="EW555" s="428">
        <f t="shared" si="3063"/>
        <v>-13.83961168774492</v>
      </c>
      <c r="EX555" s="130">
        <f t="shared" si="3002"/>
        <v>-11.747403730322258</v>
      </c>
      <c r="EY555" s="225"/>
      <c r="EZ555" s="558"/>
      <c r="FA555" s="225"/>
      <c r="FB555" s="226">
        <f>FB546/FB533*100</f>
        <v>3.0742258188927982</v>
      </c>
      <c r="FC555" s="228"/>
      <c r="FD555" s="226">
        <f>FD546/FD533*100</f>
        <v>-1.0521885521885484E-2</v>
      </c>
      <c r="FE555" s="228" t="str">
        <f>IF(ISERROR((FD555/FB555-1)*100),"NA",IF(((FD555/FB555-1)*100)&gt;100,"NM",IF(((FD555/FB555-1)*100)&lt;-50,"NM",(FD555/FB555-1)*100)))</f>
        <v>NM</v>
      </c>
      <c r="FF555" s="226">
        <f>FF546/FF533*100</f>
        <v>-2.519584702935171</v>
      </c>
      <c r="FG555" s="228" t="str">
        <f>IF(ISERROR((FF555/FD555-1)*100),"NA",IF(((FF555/FD555-1)*100)&gt;100,"NM",IF(((FF555/FD555-1)*100)&lt;-50,"NM",(FF555/FD555-1)*100)))</f>
        <v>NM</v>
      </c>
      <c r="FH555" s="226">
        <f>FH546/FH533*100</f>
        <v>-10.625096944315185</v>
      </c>
      <c r="FI555" s="228" t="str">
        <f>IF(ISERROR((FH555/FF555-1)*100),"NA",IF(((FH555/FF555-1)*100)&gt;100,"NM",IF(((FH555/FF555-1)*100)&lt;-50,"NM",(FH555/FF555-1)*100)))</f>
        <v>NM</v>
      </c>
      <c r="FJ555" s="226">
        <f>FJ546/FJ533*100</f>
        <v>-40.97639981490051</v>
      </c>
      <c r="FK555" s="228" t="str">
        <f>IF(ISERROR((FJ555/FH555-1)*100),"NA",IF(((FJ555/FH555-1)*100)&gt;100,"NM",IF(((FJ555/FH555-1)*100)&lt;-50,"NM",(FJ555/FH555-1)*100)))</f>
        <v>NM</v>
      </c>
      <c r="FL555" s="226">
        <f>FL546/FL533*100</f>
        <v>-1.8724696356275303</v>
      </c>
      <c r="FM555" s="228" t="str">
        <f>IF(ISERROR((FL555/FJ555-1)*100),"NA",IF(((FL555/FJ555-1)*100)&gt;100,"NM",IF(((FL555/FJ555-1)*100)&lt;-50,"NM",(FL555/FJ555-1)*100)))</f>
        <v>NM</v>
      </c>
      <c r="FN555" s="226">
        <f>FN546/FN533*100</f>
        <v>2.2623186006731784</v>
      </c>
      <c r="FO555" s="228" t="str">
        <f>IF(ISERROR((FN555/FL555-1)*100),"NA",IF(((FN555/FL555-1)*100)&gt;100,"NM",IF(((FN555/FL555-1)*100)&lt;-50,"NM",(FN555/FL555-1)*100)))</f>
        <v>NM</v>
      </c>
      <c r="FP555" s="318">
        <f>FP546/FP533*100</f>
        <v>-1.6785352135993543</v>
      </c>
      <c r="FQ555" s="61" t="str">
        <f>IF(ISERROR((FP555/FH555-1)*100),"NA",IF(((FP555/FH555-1)*100)&gt;100,"NM",IF(((FP555/FH555-1)*100)&lt;-50,"NM",(FP555/FH555-1)*100)))</f>
        <v>NM</v>
      </c>
      <c r="FR555" s="318">
        <f>FR546/FR533*100</f>
        <v>-0.31544693850444944</v>
      </c>
      <c r="FS555" s="61" t="str">
        <f t="shared" si="3006"/>
        <v>NM</v>
      </c>
      <c r="FT555" s="300">
        <f>FT546/FT533*100</f>
        <v>-8.9193825042881691</v>
      </c>
      <c r="FU555" s="61" t="str">
        <f t="shared" si="3007"/>
        <v>NM</v>
      </c>
      <c r="FV555" s="300">
        <f>FV546/FV533*100</f>
        <v>-42.914360770577915</v>
      </c>
      <c r="FW555" s="61" t="str">
        <f t="shared" si="3008"/>
        <v>NM</v>
      </c>
      <c r="FX555" s="300">
        <f>FX546/FX533*100</f>
        <v>-71.534527650128098</v>
      </c>
      <c r="FY555" s="61">
        <f t="shared" si="3010"/>
        <v>66.691350787105691</v>
      </c>
      <c r="FZ555" s="300">
        <f>FZ546/FZ533*100</f>
        <v>-8.2473332755181712</v>
      </c>
      <c r="GA555" s="61" t="str">
        <f t="shared" si="3012"/>
        <v>NM</v>
      </c>
      <c r="GB555" s="300">
        <f>GB546/GB533*100</f>
        <v>-21.790118134000167</v>
      </c>
      <c r="GC555" s="61" t="str">
        <f t="shared" si="3014"/>
        <v>NM</v>
      </c>
      <c r="GD555" s="300">
        <f>GD546/GD533*100</f>
        <v>-2.0525451559934318</v>
      </c>
      <c r="GE555" s="61" t="str">
        <f t="shared" si="3016"/>
        <v>NM</v>
      </c>
      <c r="GF555" s="300">
        <f>GF546/GF533*100</f>
        <v>-13.49417790301983</v>
      </c>
      <c r="GG555" s="61" t="str">
        <f t="shared" si="3016"/>
        <v>NM</v>
      </c>
      <c r="GH555" s="300">
        <f>GH546/GH533*100</f>
        <v>-6.8875893437296938</v>
      </c>
      <c r="GI555" s="61">
        <f t="shared" si="3016"/>
        <v>-48.95880732246507</v>
      </c>
      <c r="GJ555" s="300">
        <f>GJ546/GJ533*100</f>
        <v>-13.815575105897688</v>
      </c>
      <c r="GK555" s="61" t="str">
        <f t="shared" si="3016"/>
        <v>NM</v>
      </c>
      <c r="GL555" s="300">
        <f>GL546/GL533*100</f>
        <v>-21.580879984539074</v>
      </c>
      <c r="GM555" s="61">
        <f t="shared" si="3016"/>
        <v>56.206888378656636</v>
      </c>
      <c r="GN555" s="300">
        <f>GN546/GN533*100</f>
        <v>-13.073055309080154</v>
      </c>
      <c r="GO555" s="61">
        <f t="shared" si="3016"/>
        <v>-39.422973861835466</v>
      </c>
      <c r="GP555" s="300">
        <f>GP546/GP533*100</f>
        <v>-14.686500206574429</v>
      </c>
      <c r="GQ555" s="61">
        <f t="shared" si="3016"/>
        <v>12.341758367484502</v>
      </c>
      <c r="GR555" s="428">
        <f>GR546/GR533*100</f>
        <v>-13.578304929954726</v>
      </c>
      <c r="GS555" s="61">
        <f t="shared" si="3016"/>
        <v>-7.5456729719965416</v>
      </c>
      <c r="GT555" s="428">
        <f>GT546/GT533*100</f>
        <v>-12.275224209448409</v>
      </c>
      <c r="GU555" s="61">
        <f t="shared" si="3016"/>
        <v>-9.5967849243952852</v>
      </c>
      <c r="GV555" s="428">
        <f>GV546/GV533*100</f>
        <v>-11.572504281066511</v>
      </c>
      <c r="GW555" s="61">
        <f t="shared" si="3016"/>
        <v>-5.7247013691285931</v>
      </c>
      <c r="GX555" s="428">
        <f>GX546/GX533*100</f>
        <v>-10.884108614189184</v>
      </c>
      <c r="GY555" s="61">
        <f t="shared" si="3023"/>
        <v>-5.9485453637169394</v>
      </c>
      <c r="GZ555" s="61">
        <f t="shared" si="3024"/>
        <v>-3.5986415867141797</v>
      </c>
      <c r="HA555" s="61"/>
      <c r="HB555" s="452"/>
      <c r="HC555"/>
      <c r="HD555"/>
      <c r="HE555"/>
      <c r="HF555"/>
      <c r="HG555"/>
      <c r="HH555"/>
    </row>
    <row r="556" spans="1:216" s="5" customFormat="1" ht="12.75" customHeight="1" x14ac:dyDescent="0.2">
      <c r="B556" s="2"/>
      <c r="C556" s="66"/>
      <c r="D556" s="67"/>
      <c r="E556" s="66"/>
      <c r="F556" s="66"/>
      <c r="G556" s="64"/>
      <c r="H556" s="66"/>
      <c r="I556" s="64"/>
      <c r="J556" s="66"/>
      <c r="K556" s="64"/>
      <c r="L556" s="61"/>
      <c r="M556" s="66"/>
      <c r="N556" s="61"/>
      <c r="O556" s="64"/>
      <c r="P556" s="61"/>
      <c r="Q556" s="64"/>
      <c r="R556" s="61"/>
      <c r="S556" s="64"/>
      <c r="T556" s="61"/>
      <c r="U556" s="64"/>
      <c r="V556" s="61"/>
      <c r="W556" s="64"/>
      <c r="X556" s="61"/>
      <c r="Y556" s="64"/>
      <c r="Z556" s="61"/>
      <c r="AA556" s="64"/>
      <c r="AB556" s="61"/>
      <c r="AC556" s="64"/>
      <c r="AD556" s="61"/>
      <c r="AE556" s="64"/>
      <c r="AF556" s="61"/>
      <c r="AG556" s="64"/>
      <c r="AH556" s="61"/>
      <c r="AI556" s="64"/>
      <c r="AJ556" s="61"/>
      <c r="AK556" s="64"/>
      <c r="AL556" s="61"/>
      <c r="AM556" s="64"/>
      <c r="AN556" s="61"/>
      <c r="AO556" s="64"/>
      <c r="AP556" s="61"/>
      <c r="AQ556" s="64"/>
      <c r="AR556" s="61"/>
      <c r="AS556" s="64"/>
      <c r="AT556" s="61"/>
      <c r="AU556" s="64"/>
      <c r="AV556" s="61"/>
      <c r="AW556" s="64"/>
      <c r="AX556" s="61"/>
      <c r="AY556" s="64"/>
      <c r="AZ556" s="61"/>
      <c r="BA556" s="64"/>
      <c r="BB556" s="61"/>
      <c r="BC556" s="64"/>
      <c r="BD556" s="61"/>
      <c r="BE556" s="64"/>
      <c r="BF556" s="61"/>
      <c r="BG556" s="66"/>
      <c r="BH556" s="61"/>
      <c r="BI556" s="64"/>
      <c r="BJ556" s="61"/>
      <c r="BK556" s="64"/>
      <c r="BL556" s="61"/>
      <c r="BM556" s="64"/>
      <c r="BN556" s="61"/>
      <c r="BO556" s="64"/>
      <c r="BP556" s="61"/>
      <c r="BQ556" s="64"/>
      <c r="BR556" s="61"/>
      <c r="BS556" s="64"/>
      <c r="BT556" s="61"/>
      <c r="BU556" s="64"/>
      <c r="BV556" s="61"/>
      <c r="BW556" s="64"/>
      <c r="BX556" s="61"/>
      <c r="BY556" s="64"/>
      <c r="BZ556" s="61"/>
      <c r="CA556" s="64"/>
      <c r="CB556" s="61"/>
      <c r="CC556" s="64"/>
      <c r="CD556" s="61"/>
      <c r="CE556" s="64"/>
      <c r="CF556" s="61"/>
      <c r="CG556" s="64"/>
      <c r="CH556" s="61"/>
      <c r="CI556" s="64"/>
      <c r="CJ556" s="61"/>
      <c r="CK556" s="64"/>
      <c r="CL556" s="61"/>
      <c r="CM556" s="64"/>
      <c r="CN556" s="61"/>
      <c r="CO556" s="64"/>
      <c r="CP556" s="61"/>
      <c r="CQ556" s="64"/>
      <c r="CR556" s="61"/>
      <c r="CS556" s="64"/>
      <c r="CT556" s="61"/>
      <c r="CU556" s="64"/>
      <c r="CV556" s="61"/>
      <c r="CW556" s="64"/>
      <c r="CX556" s="61"/>
      <c r="CY556" s="64"/>
      <c r="CZ556" s="61"/>
      <c r="DA556" s="64"/>
      <c r="DB556" s="61"/>
      <c r="DC556" s="64"/>
      <c r="DD556" s="61"/>
      <c r="DE556" s="64"/>
      <c r="DF556" s="61"/>
      <c r="DG556" s="64"/>
      <c r="DH556" s="61"/>
      <c r="DI556" s="64"/>
      <c r="DJ556" s="61"/>
      <c r="DK556" s="64"/>
      <c r="DL556" s="61"/>
      <c r="DM556" s="64"/>
      <c r="DN556" s="61"/>
      <c r="DO556" s="64"/>
      <c r="DP556" s="61"/>
      <c r="DQ556" s="64"/>
      <c r="DR556" s="61"/>
      <c r="DS556" s="64"/>
      <c r="DT556" s="61"/>
      <c r="DU556" s="64"/>
      <c r="DV556" s="61"/>
      <c r="DW556" s="64"/>
      <c r="DX556" s="64"/>
      <c r="DY556" s="64"/>
      <c r="DZ556" s="61"/>
      <c r="EA556" s="64"/>
      <c r="EB556" s="61"/>
      <c r="EC556" s="64"/>
      <c r="ED556" s="61"/>
      <c r="EE556" s="64"/>
      <c r="EF556" s="61"/>
      <c r="EG556" s="64"/>
      <c r="EH556" s="61"/>
      <c r="EI556" s="64"/>
      <c r="EJ556" s="61"/>
      <c r="EK556" s="64"/>
      <c r="EL556" s="61"/>
      <c r="EM556" s="64"/>
      <c r="EN556" s="61"/>
      <c r="EO556" s="64"/>
      <c r="EP556" s="61"/>
      <c r="EQ556" s="64"/>
      <c r="ER556" s="61"/>
      <c r="ES556" s="64"/>
      <c r="ET556" s="61"/>
      <c r="EU556" s="64"/>
      <c r="EV556" s="61"/>
      <c r="EW556" s="64"/>
      <c r="EX556" s="61"/>
      <c r="EY556" s="64"/>
      <c r="EZ556" s="558"/>
      <c r="FA556" s="64"/>
      <c r="FB556" s="66"/>
      <c r="FC556" s="66"/>
      <c r="FD556" s="66"/>
      <c r="FE556" s="67"/>
      <c r="FF556" s="66"/>
      <c r="FG556" s="67"/>
      <c r="FH556" s="66"/>
      <c r="FI556" s="67"/>
      <c r="FJ556" s="66"/>
      <c r="FK556" s="67"/>
      <c r="FL556" s="66"/>
      <c r="FM556" s="61"/>
      <c r="FN556" s="66"/>
      <c r="FO556" s="61"/>
      <c r="FP556" s="65"/>
      <c r="FQ556" s="61"/>
      <c r="FR556" s="65"/>
      <c r="FS556" s="61"/>
      <c r="FT556" s="65"/>
      <c r="FU556" s="61"/>
      <c r="FV556" s="65"/>
      <c r="FW556" s="61"/>
      <c r="FX556" s="65"/>
      <c r="FY556" s="61"/>
      <c r="FZ556" s="65"/>
      <c r="GA556" s="61"/>
      <c r="GB556" s="65"/>
      <c r="GC556" s="61"/>
      <c r="GD556" s="65"/>
      <c r="GE556" s="61"/>
      <c r="GF556" s="65"/>
      <c r="GG556" s="61"/>
      <c r="GH556" s="65"/>
      <c r="GI556" s="61"/>
      <c r="GJ556" s="65"/>
      <c r="GK556" s="61"/>
      <c r="GL556" s="65"/>
      <c r="GM556" s="61"/>
      <c r="GN556" s="65"/>
      <c r="GO556" s="61"/>
      <c r="GP556" s="65"/>
      <c r="GQ556" s="61"/>
      <c r="GR556" s="64"/>
      <c r="GS556" s="61"/>
      <c r="GT556" s="64"/>
      <c r="GU556" s="61"/>
      <c r="GV556" s="64"/>
      <c r="GW556" s="61"/>
      <c r="GX556" s="64"/>
      <c r="GY556" s="61"/>
      <c r="GZ556" s="61" t="str">
        <f t="shared" si="3024"/>
        <v/>
      </c>
      <c r="HA556" s="61"/>
      <c r="HB556" s="452"/>
      <c r="HC556"/>
      <c r="HD556"/>
      <c r="HE556"/>
      <c r="HF556"/>
      <c r="HG556"/>
      <c r="HH556"/>
    </row>
    <row r="557" spans="1:216" s="321" customFormat="1" ht="12.75" hidden="1" customHeight="1" outlineLevel="1" x14ac:dyDescent="0.2">
      <c r="B557" s="490" t="s">
        <v>440</v>
      </c>
      <c r="C557" s="322"/>
      <c r="D557" s="323"/>
      <c r="E557" s="322"/>
      <c r="F557" s="322"/>
      <c r="G557" s="322"/>
      <c r="H557" s="322"/>
      <c r="I557" s="322"/>
      <c r="J557" s="322"/>
      <c r="K557" s="322"/>
      <c r="L557" s="324"/>
      <c r="M557" s="322"/>
      <c r="N557" s="324"/>
      <c r="O557" s="325"/>
      <c r="P557" s="324"/>
      <c r="Q557" s="325"/>
      <c r="R557" s="324"/>
      <c r="S557" s="325"/>
      <c r="T557" s="324"/>
      <c r="U557" s="322"/>
      <c r="V557" s="324"/>
      <c r="W557" s="325"/>
      <c r="X557" s="324"/>
      <c r="Y557" s="325"/>
      <c r="Z557" s="324"/>
      <c r="AA557" s="325"/>
      <c r="AB557" s="324"/>
      <c r="AC557" s="325"/>
      <c r="AD557" s="324"/>
      <c r="AE557" s="325"/>
      <c r="AF557" s="324"/>
      <c r="AG557" s="325"/>
      <c r="AH557" s="324"/>
      <c r="AI557" s="325"/>
      <c r="AJ557" s="324"/>
      <c r="AK557" s="325"/>
      <c r="AL557" s="324"/>
      <c r="AM557" s="325"/>
      <c r="AN557" s="324"/>
      <c r="AO557" s="325"/>
      <c r="AP557" s="324"/>
      <c r="AQ557" s="325"/>
      <c r="AR557" s="324"/>
      <c r="AS557" s="325"/>
      <c r="AT557" s="324"/>
      <c r="AU557" s="325"/>
      <c r="AV557" s="324"/>
      <c r="AW557" s="325"/>
      <c r="AX557" s="324"/>
      <c r="AY557" s="325"/>
      <c r="AZ557" s="324"/>
      <c r="BA557" s="325"/>
      <c r="BB557" s="324"/>
      <c r="BC557" s="325"/>
      <c r="BD557" s="324"/>
      <c r="BE557" s="325"/>
      <c r="BF557" s="324"/>
      <c r="BG557" s="325"/>
      <c r="BH557" s="324"/>
      <c r="BI557" s="325"/>
      <c r="BJ557" s="324"/>
      <c r="BK557" s="325"/>
      <c r="BL557" s="324"/>
      <c r="BM557" s="325"/>
      <c r="BN557" s="324"/>
      <c r="BO557" s="325"/>
      <c r="BP557" s="324"/>
      <c r="BQ557" s="325"/>
      <c r="BR557" s="324"/>
      <c r="BS557" s="325"/>
      <c r="BT557" s="324"/>
      <c r="BU557" s="325"/>
      <c r="BV557" s="324"/>
      <c r="BW557" s="325"/>
      <c r="BX557" s="324"/>
      <c r="BY557" s="325"/>
      <c r="BZ557" s="324"/>
      <c r="CA557" s="325"/>
      <c r="CB557" s="324"/>
      <c r="CC557" s="325"/>
      <c r="CD557" s="324"/>
      <c r="CE557" s="325"/>
      <c r="CF557" s="324"/>
      <c r="CG557" s="325"/>
      <c r="CH557" s="324"/>
      <c r="CI557" s="325"/>
      <c r="CJ557" s="324"/>
      <c r="CK557" s="325"/>
      <c r="CL557" s="324"/>
      <c r="CM557" s="325"/>
      <c r="CN557" s="324"/>
      <c r="CO557" s="325"/>
      <c r="CP557" s="324"/>
      <c r="CQ557" s="325"/>
      <c r="CR557" s="324"/>
      <c r="CS557" s="325"/>
      <c r="CT557" s="324"/>
      <c r="CU557" s="325"/>
      <c r="CV557" s="324"/>
      <c r="CW557" s="325"/>
      <c r="CX557" s="324"/>
      <c r="CY557" s="325"/>
      <c r="CZ557" s="324"/>
      <c r="DA557" s="325"/>
      <c r="DB557" s="324"/>
      <c r="DC557" s="325"/>
      <c r="DD557" s="324"/>
      <c r="DE557" s="325"/>
      <c r="DF557" s="324"/>
      <c r="DG557" s="325"/>
      <c r="DH557" s="324"/>
      <c r="DI557" s="325"/>
      <c r="DJ557" s="324"/>
      <c r="DK557" s="325"/>
      <c r="DL557" s="324"/>
      <c r="DM557" s="325"/>
      <c r="DN557" s="324"/>
      <c r="DO557" s="325"/>
      <c r="DP557" s="324"/>
      <c r="DQ557" s="325"/>
      <c r="DR557" s="324"/>
      <c r="DS557" s="325"/>
      <c r="DT557" s="324"/>
      <c r="DU557" s="325"/>
      <c r="DV557" s="324"/>
      <c r="DW557" s="325"/>
      <c r="DX557" s="325"/>
      <c r="DY557" s="325"/>
      <c r="DZ557" s="324"/>
      <c r="EA557" s="325"/>
      <c r="EB557" s="324"/>
      <c r="EC557" s="325"/>
      <c r="ED557" s="324"/>
      <c r="EE557" s="325"/>
      <c r="EF557" s="324"/>
      <c r="EG557" s="325"/>
      <c r="EH557" s="324"/>
      <c r="EI557" s="325"/>
      <c r="EJ557" s="324"/>
      <c r="EK557" s="325"/>
      <c r="EL557" s="324"/>
      <c r="EM557" s="325"/>
      <c r="EN557" s="324"/>
      <c r="EO557" s="325"/>
      <c r="EP557" s="324"/>
      <c r="EQ557" s="325"/>
      <c r="ER557" s="324"/>
      <c r="ES557" s="325"/>
      <c r="ET557" s="324"/>
      <c r="EU557" s="325"/>
      <c r="EV557" s="324"/>
      <c r="EW557" s="325"/>
      <c r="EX557" s="324"/>
      <c r="EY557" s="326"/>
      <c r="EZ557" s="558"/>
      <c r="FA557" s="326"/>
      <c r="FB557" s="322"/>
      <c r="FC557" s="322"/>
      <c r="FD557" s="322"/>
      <c r="FE557" s="323"/>
      <c r="FF557" s="322"/>
      <c r="FG557" s="323"/>
      <c r="FH557" s="322"/>
      <c r="FI557" s="323"/>
      <c r="FJ557" s="322"/>
      <c r="FK557" s="323"/>
      <c r="FL557" s="322"/>
      <c r="FM557" s="324"/>
      <c r="FN557" s="322"/>
      <c r="FO557" s="324"/>
      <c r="FP557" s="327"/>
      <c r="FQ557" s="324"/>
      <c r="FR557" s="327"/>
      <c r="FS557" s="324"/>
      <c r="FT557" s="327"/>
      <c r="FU557" s="324"/>
      <c r="FV557" s="327"/>
      <c r="FW557" s="324"/>
      <c r="FX557" s="327"/>
      <c r="FY557" s="324"/>
      <c r="FZ557" s="327"/>
      <c r="GA557" s="324"/>
      <c r="GB557" s="327"/>
      <c r="GC557" s="324"/>
      <c r="GD557" s="327"/>
      <c r="GE557" s="324"/>
      <c r="GF557" s="327"/>
      <c r="GG557" s="324"/>
      <c r="GH557" s="327"/>
      <c r="GI557" s="324"/>
      <c r="GJ557" s="327"/>
      <c r="GK557" s="324"/>
      <c r="GL557" s="327"/>
      <c r="GM557" s="324"/>
      <c r="GN557" s="327"/>
      <c r="GO557" s="324"/>
      <c r="GP557" s="327"/>
      <c r="GQ557" s="324"/>
      <c r="GR557" s="322"/>
      <c r="GS557" s="324"/>
      <c r="GT557" s="322"/>
      <c r="GU557" s="324"/>
      <c r="GV557" s="322"/>
      <c r="GW557" s="324"/>
      <c r="GX557" s="322"/>
      <c r="GY557" s="324"/>
      <c r="GZ557" s="324" t="str">
        <f t="shared" si="3024"/>
        <v/>
      </c>
      <c r="HA557" s="324"/>
      <c r="HB557" s="452"/>
      <c r="HC557"/>
      <c r="HD557"/>
      <c r="HE557"/>
      <c r="HF557"/>
      <c r="HG557"/>
      <c r="HH557"/>
    </row>
    <row r="558" spans="1:216" s="321" customFormat="1" ht="12.75" hidden="1" customHeight="1" outlineLevel="1" x14ac:dyDescent="0.2">
      <c r="B558" s="491" t="s">
        <v>441</v>
      </c>
      <c r="C558" s="328">
        <v>0</v>
      </c>
      <c r="D558" s="329"/>
      <c r="E558" s="328">
        <v>0</v>
      </c>
      <c r="F558" s="330"/>
      <c r="G558" s="328">
        <v>0</v>
      </c>
      <c r="H558" s="326"/>
      <c r="I558" s="328">
        <v>0</v>
      </c>
      <c r="J558" s="330"/>
      <c r="K558" s="328">
        <v>0</v>
      </c>
      <c r="L558" s="331" t="s">
        <v>101</v>
      </c>
      <c r="M558" s="328">
        <v>0</v>
      </c>
      <c r="N558" s="331" t="s">
        <v>101</v>
      </c>
      <c r="O558" s="328">
        <v>0</v>
      </c>
      <c r="P558" s="331" t="s">
        <v>101</v>
      </c>
      <c r="Q558" s="328">
        <v>0</v>
      </c>
      <c r="R558" s="331" t="s">
        <v>101</v>
      </c>
      <c r="S558" s="328">
        <v>0</v>
      </c>
      <c r="T558" s="331" t="s">
        <v>101</v>
      </c>
      <c r="U558" s="328">
        <v>0</v>
      </c>
      <c r="V558" s="331" t="s">
        <v>101</v>
      </c>
      <c r="W558" s="328">
        <v>0</v>
      </c>
      <c r="X558" s="331" t="s">
        <v>101</v>
      </c>
      <c r="Y558" s="328">
        <v>0</v>
      </c>
      <c r="Z558" s="331" t="s">
        <v>101</v>
      </c>
      <c r="AA558" s="328">
        <v>0</v>
      </c>
      <c r="AB558" s="331" t="s">
        <v>101</v>
      </c>
      <c r="AC558" s="328">
        <v>0</v>
      </c>
      <c r="AD558" s="331" t="s">
        <v>101</v>
      </c>
      <c r="AE558" s="328">
        <v>0</v>
      </c>
      <c r="AF558" s="331" t="s">
        <v>101</v>
      </c>
      <c r="AG558" s="328">
        <v>0</v>
      </c>
      <c r="AH558" s="331" t="s">
        <v>101</v>
      </c>
      <c r="AI558" s="328">
        <v>0</v>
      </c>
      <c r="AJ558" s="324"/>
      <c r="AK558" s="328"/>
      <c r="AL558" s="324"/>
      <c r="AM558" s="328"/>
      <c r="AN558" s="324"/>
      <c r="AO558" s="328"/>
      <c r="AP558" s="324"/>
      <c r="AQ558" s="328"/>
      <c r="AR558" s="324"/>
      <c r="AS558" s="328"/>
      <c r="AT558" s="324"/>
      <c r="AU558" s="328"/>
      <c r="AV558" s="324"/>
      <c r="AW558" s="328"/>
      <c r="AX558" s="324"/>
      <c r="AY558" s="332"/>
      <c r="AZ558" s="324"/>
      <c r="BA558" s="332"/>
      <c r="BB558" s="324"/>
      <c r="BC558" s="332"/>
      <c r="BD558" s="324"/>
      <c r="BE558" s="332"/>
      <c r="BF558" s="324"/>
      <c r="BG558" s="332"/>
      <c r="BH558" s="324"/>
      <c r="BI558" s="332"/>
      <c r="BJ558" s="324"/>
      <c r="BK558" s="332"/>
      <c r="BL558" s="324"/>
      <c r="BM558" s="332"/>
      <c r="BN558" s="324"/>
      <c r="BO558" s="332"/>
      <c r="BP558" s="324"/>
      <c r="BQ558" s="332"/>
      <c r="BR558" s="324"/>
      <c r="BS558" s="332"/>
      <c r="BT558" s="324"/>
      <c r="BU558" s="332"/>
      <c r="BV558" s="324"/>
      <c r="BW558" s="332"/>
      <c r="BX558" s="324"/>
      <c r="BY558" s="332"/>
      <c r="BZ558" s="324"/>
      <c r="CA558" s="332"/>
      <c r="CB558" s="324"/>
      <c r="CC558" s="332"/>
      <c r="CD558" s="324"/>
      <c r="CE558" s="332"/>
      <c r="CF558" s="324"/>
      <c r="CG558" s="332"/>
      <c r="CH558" s="324"/>
      <c r="CI558" s="332"/>
      <c r="CJ558" s="324"/>
      <c r="CK558" s="332"/>
      <c r="CL558" s="324"/>
      <c r="CM558" s="332"/>
      <c r="CN558" s="324"/>
      <c r="CO558" s="332"/>
      <c r="CP558" s="324"/>
      <c r="CQ558" s="332"/>
      <c r="CR558" s="324"/>
      <c r="CS558" s="332"/>
      <c r="CT558" s="324"/>
      <c r="CU558" s="332"/>
      <c r="CV558" s="324"/>
      <c r="CW558" s="332"/>
      <c r="CX558" s="324"/>
      <c r="CY558" s="332"/>
      <c r="CZ558" s="324"/>
      <c r="DA558" s="332"/>
      <c r="DB558" s="324"/>
      <c r="DC558" s="332"/>
      <c r="DD558" s="324"/>
      <c r="DE558" s="332"/>
      <c r="DF558" s="324"/>
      <c r="DG558" s="332"/>
      <c r="DH558" s="324"/>
      <c r="DI558" s="332"/>
      <c r="DJ558" s="324"/>
      <c r="DK558" s="332"/>
      <c r="DL558" s="324"/>
      <c r="DM558" s="332"/>
      <c r="DN558" s="324"/>
      <c r="DO558" s="332"/>
      <c r="DP558" s="324"/>
      <c r="DQ558" s="332"/>
      <c r="DR558" s="324"/>
      <c r="DS558" s="332"/>
      <c r="DT558" s="324"/>
      <c r="DU558" s="332"/>
      <c r="DV558" s="324"/>
      <c r="DW558" s="332"/>
      <c r="DX558" s="332"/>
      <c r="DY558" s="332"/>
      <c r="DZ558" s="324"/>
      <c r="EA558" s="332"/>
      <c r="EB558" s="324"/>
      <c r="EC558" s="332"/>
      <c r="ED558" s="324"/>
      <c r="EE558" s="332"/>
      <c r="EF558" s="324"/>
      <c r="EG558" s="332"/>
      <c r="EH558" s="324"/>
      <c r="EI558" s="332"/>
      <c r="EJ558" s="324"/>
      <c r="EK558" s="332"/>
      <c r="EL558" s="324"/>
      <c r="EM558" s="332"/>
      <c r="EN558" s="324"/>
      <c r="EO558" s="332"/>
      <c r="EP558" s="324"/>
      <c r="EQ558" s="332"/>
      <c r="ER558" s="324"/>
      <c r="ES558" s="332"/>
      <c r="ET558" s="324"/>
      <c r="EU558" s="332"/>
      <c r="EV558" s="324"/>
      <c r="EW558" s="332"/>
      <c r="EX558" s="324"/>
      <c r="EY558" s="333"/>
      <c r="EZ558" s="558"/>
      <c r="FA558" s="333"/>
      <c r="FB558" s="328">
        <v>0</v>
      </c>
      <c r="FC558" s="334"/>
      <c r="FD558" s="328">
        <v>0</v>
      </c>
      <c r="FE558" s="335" t="s">
        <v>101</v>
      </c>
      <c r="FF558" s="336">
        <v>0</v>
      </c>
      <c r="FG558" s="335" t="s">
        <v>101</v>
      </c>
      <c r="FH558" s="336">
        <v>0</v>
      </c>
      <c r="FI558" s="335" t="s">
        <v>101</v>
      </c>
      <c r="FJ558" s="336">
        <v>0</v>
      </c>
      <c r="FK558" s="335" t="s">
        <v>101</v>
      </c>
      <c r="FL558" s="336">
        <v>0</v>
      </c>
      <c r="FM558" s="335" t="s">
        <v>101</v>
      </c>
      <c r="FN558" s="337">
        <v>0</v>
      </c>
      <c r="FO558" s="335" t="str">
        <f t="shared" ref="FO558:FO566" si="3064">IF(ISERROR((FN558/FL558-1)*100),"NA",IF(((FN558/FL558-1)*100)&gt;100,"NM",IF(((FN558/FL558-1)*100)&lt;-50,"NM",(FN558/FL558-1)*100)))</f>
        <v>NA</v>
      </c>
      <c r="FP558" s="332"/>
      <c r="FQ558" s="324"/>
      <c r="FR558" s="332"/>
      <c r="FS558" s="324"/>
      <c r="FT558" s="332"/>
      <c r="FU558" s="324"/>
      <c r="FV558" s="332"/>
      <c r="FW558" s="324"/>
      <c r="FX558" s="332"/>
      <c r="FY558" s="324"/>
      <c r="FZ558" s="332"/>
      <c r="GA558" s="324"/>
      <c r="GB558" s="332"/>
      <c r="GC558" s="324"/>
      <c r="GD558" s="332"/>
      <c r="GE558" s="324"/>
      <c r="GF558" s="332"/>
      <c r="GG558" s="324"/>
      <c r="GH558" s="332"/>
      <c r="GI558" s="324"/>
      <c r="GJ558" s="332"/>
      <c r="GK558" s="324"/>
      <c r="GL558" s="332"/>
      <c r="GM558" s="324"/>
      <c r="GN558" s="332"/>
      <c r="GO558" s="324"/>
      <c r="GP558" s="332"/>
      <c r="GQ558" s="324"/>
      <c r="GR558" s="338"/>
      <c r="GS558" s="324"/>
      <c r="GT558" s="338"/>
      <c r="GU558" s="324"/>
      <c r="GV558" s="338"/>
      <c r="GW558" s="324"/>
      <c r="GX558" s="338"/>
      <c r="GY558" s="324"/>
      <c r="GZ558" s="324" t="str">
        <f t="shared" si="3024"/>
        <v/>
      </c>
      <c r="HA558" s="324"/>
      <c r="HB558" s="452"/>
      <c r="HC558"/>
      <c r="HD558"/>
      <c r="HE558"/>
      <c r="HF558"/>
      <c r="HG558"/>
      <c r="HH558"/>
    </row>
    <row r="559" spans="1:216" s="321" customFormat="1" ht="12.75" hidden="1" customHeight="1" outlineLevel="1" x14ac:dyDescent="0.2">
      <c r="B559" s="491" t="s">
        <v>442</v>
      </c>
      <c r="C559" s="328">
        <v>0</v>
      </c>
      <c r="D559" s="329"/>
      <c r="E559" s="328">
        <v>0</v>
      </c>
      <c r="F559" s="330"/>
      <c r="G559" s="328">
        <v>0</v>
      </c>
      <c r="H559" s="330"/>
      <c r="I559" s="328">
        <v>0</v>
      </c>
      <c r="J559" s="330"/>
      <c r="K559" s="328">
        <v>-0.2</v>
      </c>
      <c r="L559" s="331" t="s">
        <v>101</v>
      </c>
      <c r="M559" s="328">
        <v>-5.3</v>
      </c>
      <c r="N559" s="331" t="s">
        <v>101</v>
      </c>
      <c r="O559" s="328">
        <v>0</v>
      </c>
      <c r="P559" s="331" t="s">
        <v>101</v>
      </c>
      <c r="Q559" s="328">
        <v>0</v>
      </c>
      <c r="R559" s="331" t="s">
        <v>101</v>
      </c>
      <c r="S559" s="328">
        <v>0</v>
      </c>
      <c r="T559" s="331" t="s">
        <v>102</v>
      </c>
      <c r="U559" s="328">
        <v>0</v>
      </c>
      <c r="V559" s="331" t="s">
        <v>102</v>
      </c>
      <c r="W559" s="328">
        <v>0</v>
      </c>
      <c r="X559" s="331" t="s">
        <v>101</v>
      </c>
      <c r="Y559" s="339">
        <v>0</v>
      </c>
      <c r="Z559" s="331" t="s">
        <v>101</v>
      </c>
      <c r="AA559" s="339">
        <v>0</v>
      </c>
      <c r="AB559" s="331" t="s">
        <v>101</v>
      </c>
      <c r="AC559" s="339">
        <v>0</v>
      </c>
      <c r="AD559" s="331" t="s">
        <v>101</v>
      </c>
      <c r="AE559" s="339">
        <v>0</v>
      </c>
      <c r="AF559" s="331" t="s">
        <v>101</v>
      </c>
      <c r="AG559" s="328">
        <v>0.6</v>
      </c>
      <c r="AH559" s="331" t="s">
        <v>101</v>
      </c>
      <c r="AI559" s="328">
        <v>-2.7</v>
      </c>
      <c r="AJ559" s="324"/>
      <c r="AK559" s="339"/>
      <c r="AL559" s="324"/>
      <c r="AM559" s="339"/>
      <c r="AN559" s="324"/>
      <c r="AO559" s="339"/>
      <c r="AP559" s="324"/>
      <c r="AQ559" s="339"/>
      <c r="AR559" s="324"/>
      <c r="AS559" s="339"/>
      <c r="AT559" s="324"/>
      <c r="AU559" s="339"/>
      <c r="AV559" s="324"/>
      <c r="AW559" s="339"/>
      <c r="AX559" s="324"/>
      <c r="AY559" s="332"/>
      <c r="AZ559" s="324"/>
      <c r="BA559" s="332"/>
      <c r="BB559" s="324"/>
      <c r="BC559" s="332"/>
      <c r="BD559" s="324"/>
      <c r="BE559" s="332"/>
      <c r="BF559" s="324"/>
      <c r="BG559" s="332"/>
      <c r="BH559" s="324"/>
      <c r="BI559" s="332"/>
      <c r="BJ559" s="324"/>
      <c r="BK559" s="332"/>
      <c r="BL559" s="324"/>
      <c r="BM559" s="332"/>
      <c r="BN559" s="324"/>
      <c r="BO559" s="332"/>
      <c r="BP559" s="324"/>
      <c r="BQ559" s="332"/>
      <c r="BR559" s="324"/>
      <c r="BS559" s="332"/>
      <c r="BT559" s="324"/>
      <c r="BU559" s="332"/>
      <c r="BV559" s="324"/>
      <c r="BW559" s="332"/>
      <c r="BX559" s="324"/>
      <c r="BY559" s="332"/>
      <c r="BZ559" s="324"/>
      <c r="CA559" s="332"/>
      <c r="CB559" s="324"/>
      <c r="CC559" s="332"/>
      <c r="CD559" s="324"/>
      <c r="CE559" s="332"/>
      <c r="CF559" s="324"/>
      <c r="CG559" s="332"/>
      <c r="CH559" s="324"/>
      <c r="CI559" s="332"/>
      <c r="CJ559" s="324"/>
      <c r="CK559" s="332"/>
      <c r="CL559" s="324"/>
      <c r="CM559" s="332"/>
      <c r="CN559" s="324"/>
      <c r="CO559" s="332"/>
      <c r="CP559" s="324"/>
      <c r="CQ559" s="332"/>
      <c r="CR559" s="324"/>
      <c r="CS559" s="332"/>
      <c r="CT559" s="324"/>
      <c r="CU559" s="332"/>
      <c r="CV559" s="324"/>
      <c r="CW559" s="332"/>
      <c r="CX559" s="324"/>
      <c r="CY559" s="332"/>
      <c r="CZ559" s="324"/>
      <c r="DA559" s="332"/>
      <c r="DB559" s="324"/>
      <c r="DC559" s="332"/>
      <c r="DD559" s="324"/>
      <c r="DE559" s="332"/>
      <c r="DF559" s="324"/>
      <c r="DG559" s="332"/>
      <c r="DH559" s="324"/>
      <c r="DI559" s="332"/>
      <c r="DJ559" s="324"/>
      <c r="DK559" s="332"/>
      <c r="DL559" s="324"/>
      <c r="DM559" s="332"/>
      <c r="DN559" s="324"/>
      <c r="DO559" s="332"/>
      <c r="DP559" s="324"/>
      <c r="DQ559" s="332"/>
      <c r="DR559" s="324"/>
      <c r="DS559" s="332"/>
      <c r="DT559" s="324"/>
      <c r="DU559" s="332"/>
      <c r="DV559" s="324"/>
      <c r="DW559" s="332"/>
      <c r="DX559" s="332"/>
      <c r="DY559" s="332"/>
      <c r="DZ559" s="324"/>
      <c r="EA559" s="332"/>
      <c r="EB559" s="324"/>
      <c r="EC559" s="332"/>
      <c r="ED559" s="324"/>
      <c r="EE559" s="332"/>
      <c r="EF559" s="324"/>
      <c r="EG559" s="332"/>
      <c r="EH559" s="324"/>
      <c r="EI559" s="332"/>
      <c r="EJ559" s="324"/>
      <c r="EK559" s="332"/>
      <c r="EL559" s="324"/>
      <c r="EM559" s="332"/>
      <c r="EN559" s="324"/>
      <c r="EO559" s="332"/>
      <c r="EP559" s="324"/>
      <c r="EQ559" s="332"/>
      <c r="ER559" s="324"/>
      <c r="ES559" s="332"/>
      <c r="ET559" s="324"/>
      <c r="EU559" s="332"/>
      <c r="EV559" s="324"/>
      <c r="EW559" s="332"/>
      <c r="EX559" s="324"/>
      <c r="EY559" s="333"/>
      <c r="EZ559" s="558"/>
      <c r="FA559" s="333"/>
      <c r="FB559" s="328">
        <v>-20</v>
      </c>
      <c r="FC559" s="334"/>
      <c r="FD559" s="328">
        <v>0</v>
      </c>
      <c r="FE559" s="335" t="s">
        <v>102</v>
      </c>
      <c r="FF559" s="336">
        <v>0</v>
      </c>
      <c r="FG559" s="335" t="s">
        <v>101</v>
      </c>
      <c r="FH559" s="336">
        <v>-5.5</v>
      </c>
      <c r="FI559" s="335" t="s">
        <v>101</v>
      </c>
      <c r="FJ559" s="336">
        <v>0</v>
      </c>
      <c r="FK559" s="335" t="s">
        <v>102</v>
      </c>
      <c r="FL559" s="336">
        <v>0.6</v>
      </c>
      <c r="FM559" s="335" t="s">
        <v>101</v>
      </c>
      <c r="FN559" s="337">
        <v>-2.7</v>
      </c>
      <c r="FO559" s="335" t="str">
        <f t="shared" si="3064"/>
        <v>NM</v>
      </c>
      <c r="FP559" s="332"/>
      <c r="FQ559" s="324"/>
      <c r="FR559" s="332"/>
      <c r="FS559" s="324"/>
      <c r="FT559" s="332"/>
      <c r="FU559" s="324"/>
      <c r="FV559" s="332"/>
      <c r="FW559" s="324"/>
      <c r="FX559" s="332"/>
      <c r="FY559" s="324"/>
      <c r="FZ559" s="332"/>
      <c r="GA559" s="324"/>
      <c r="GB559" s="332"/>
      <c r="GC559" s="324"/>
      <c r="GD559" s="332"/>
      <c r="GE559" s="324"/>
      <c r="GF559" s="332"/>
      <c r="GG559" s="324"/>
      <c r="GH559" s="332"/>
      <c r="GI559" s="324"/>
      <c r="GJ559" s="332"/>
      <c r="GK559" s="324"/>
      <c r="GL559" s="332"/>
      <c r="GM559" s="324"/>
      <c r="GN559" s="332"/>
      <c r="GO559" s="324"/>
      <c r="GP559" s="332"/>
      <c r="GQ559" s="324"/>
      <c r="GR559" s="338"/>
      <c r="GS559" s="324"/>
      <c r="GT559" s="338"/>
      <c r="GU559" s="324"/>
      <c r="GV559" s="338"/>
      <c r="GW559" s="324"/>
      <c r="GX559" s="338"/>
      <c r="GY559" s="324"/>
      <c r="GZ559" s="324" t="str">
        <f t="shared" si="3024"/>
        <v/>
      </c>
      <c r="HA559" s="324"/>
      <c r="HB559" s="452"/>
      <c r="HC559"/>
      <c r="HD559"/>
      <c r="HE559"/>
      <c r="HF559"/>
      <c r="HG559"/>
      <c r="HH559"/>
    </row>
    <row r="560" spans="1:216" s="321" customFormat="1" ht="12.75" hidden="1" customHeight="1" outlineLevel="1" x14ac:dyDescent="0.2">
      <c r="B560" s="492" t="s">
        <v>658</v>
      </c>
      <c r="C560" s="328">
        <v>0</v>
      </c>
      <c r="D560" s="329"/>
      <c r="E560" s="328">
        <v>-0.1</v>
      </c>
      <c r="F560" s="330"/>
      <c r="G560" s="340">
        <v>-40.5</v>
      </c>
      <c r="H560" s="330"/>
      <c r="I560" s="328">
        <v>-36</v>
      </c>
      <c r="J560" s="330"/>
      <c r="K560" s="328">
        <v>0</v>
      </c>
      <c r="L560" s="331" t="s">
        <v>101</v>
      </c>
      <c r="M560" s="328">
        <v>0</v>
      </c>
      <c r="N560" s="331" t="s">
        <v>102</v>
      </c>
      <c r="O560" s="328">
        <v>0</v>
      </c>
      <c r="P560" s="331" t="s">
        <v>102</v>
      </c>
      <c r="Q560" s="328">
        <v>0</v>
      </c>
      <c r="R560" s="331" t="s">
        <v>102</v>
      </c>
      <c r="S560" s="328">
        <v>0</v>
      </c>
      <c r="T560" s="331" t="s">
        <v>101</v>
      </c>
      <c r="U560" s="328">
        <v>0</v>
      </c>
      <c r="V560" s="331" t="s">
        <v>101</v>
      </c>
      <c r="W560" s="328">
        <v>0</v>
      </c>
      <c r="X560" s="331" t="s">
        <v>101</v>
      </c>
      <c r="Y560" s="339">
        <v>0</v>
      </c>
      <c r="Z560" s="331" t="s">
        <v>101</v>
      </c>
      <c r="AA560" s="339">
        <v>0</v>
      </c>
      <c r="AB560" s="331" t="s">
        <v>101</v>
      </c>
      <c r="AC560" s="339">
        <v>0</v>
      </c>
      <c r="AD560" s="331" t="s">
        <v>101</v>
      </c>
      <c r="AE560" s="339">
        <v>0</v>
      </c>
      <c r="AF560" s="331" t="s">
        <v>101</v>
      </c>
      <c r="AG560" s="339">
        <v>0</v>
      </c>
      <c r="AH560" s="331" t="s">
        <v>101</v>
      </c>
      <c r="AI560" s="339">
        <v>0</v>
      </c>
      <c r="AJ560" s="324"/>
      <c r="AK560" s="339"/>
      <c r="AL560" s="324"/>
      <c r="AM560" s="339"/>
      <c r="AN560" s="324"/>
      <c r="AO560" s="339"/>
      <c r="AP560" s="324"/>
      <c r="AQ560" s="339"/>
      <c r="AR560" s="324"/>
      <c r="AS560" s="339"/>
      <c r="AT560" s="324"/>
      <c r="AU560" s="339"/>
      <c r="AV560" s="324"/>
      <c r="AW560" s="339"/>
      <c r="AX560" s="324"/>
      <c r="AY560" s="332"/>
      <c r="AZ560" s="324"/>
      <c r="BA560" s="332"/>
      <c r="BB560" s="324"/>
      <c r="BC560" s="332"/>
      <c r="BD560" s="324"/>
      <c r="BE560" s="332"/>
      <c r="BF560" s="324"/>
      <c r="BG560" s="332"/>
      <c r="BH560" s="324"/>
      <c r="BI560" s="332"/>
      <c r="BJ560" s="324"/>
      <c r="BK560" s="332"/>
      <c r="BL560" s="324"/>
      <c r="BM560" s="332"/>
      <c r="BN560" s="324"/>
      <c r="BO560" s="332"/>
      <c r="BP560" s="324"/>
      <c r="BQ560" s="332"/>
      <c r="BR560" s="324"/>
      <c r="BS560" s="332"/>
      <c r="BT560" s="324"/>
      <c r="BU560" s="332"/>
      <c r="BV560" s="324"/>
      <c r="BW560" s="332"/>
      <c r="BX560" s="324"/>
      <c r="BY560" s="332"/>
      <c r="BZ560" s="324"/>
      <c r="CA560" s="332"/>
      <c r="CB560" s="324"/>
      <c r="CC560" s="332"/>
      <c r="CD560" s="324"/>
      <c r="CE560" s="332"/>
      <c r="CF560" s="324"/>
      <c r="CG560" s="332"/>
      <c r="CH560" s="324"/>
      <c r="CI560" s="332"/>
      <c r="CJ560" s="324"/>
      <c r="CK560" s="332"/>
      <c r="CL560" s="324"/>
      <c r="CM560" s="332"/>
      <c r="CN560" s="324"/>
      <c r="CO560" s="332"/>
      <c r="CP560" s="324"/>
      <c r="CQ560" s="332"/>
      <c r="CR560" s="324"/>
      <c r="CS560" s="332"/>
      <c r="CT560" s="324"/>
      <c r="CU560" s="332"/>
      <c r="CV560" s="324"/>
      <c r="CW560" s="332"/>
      <c r="CX560" s="324"/>
      <c r="CY560" s="332"/>
      <c r="CZ560" s="324"/>
      <c r="DA560" s="332"/>
      <c r="DB560" s="324"/>
      <c r="DC560" s="332"/>
      <c r="DD560" s="324"/>
      <c r="DE560" s="332"/>
      <c r="DF560" s="324"/>
      <c r="DG560" s="332"/>
      <c r="DH560" s="324"/>
      <c r="DI560" s="332"/>
      <c r="DJ560" s="324"/>
      <c r="DK560" s="332"/>
      <c r="DL560" s="324"/>
      <c r="DM560" s="332"/>
      <c r="DN560" s="324"/>
      <c r="DO560" s="332"/>
      <c r="DP560" s="324"/>
      <c r="DQ560" s="332"/>
      <c r="DR560" s="324"/>
      <c r="DS560" s="332"/>
      <c r="DT560" s="324"/>
      <c r="DU560" s="332"/>
      <c r="DV560" s="324"/>
      <c r="DW560" s="332"/>
      <c r="DX560" s="332"/>
      <c r="DY560" s="332"/>
      <c r="DZ560" s="324"/>
      <c r="EA560" s="332"/>
      <c r="EB560" s="324"/>
      <c r="EC560" s="332"/>
      <c r="ED560" s="324"/>
      <c r="EE560" s="332"/>
      <c r="EF560" s="324"/>
      <c r="EG560" s="332"/>
      <c r="EH560" s="324"/>
      <c r="EI560" s="332"/>
      <c r="EJ560" s="324"/>
      <c r="EK560" s="332"/>
      <c r="EL560" s="324"/>
      <c r="EM560" s="332"/>
      <c r="EN560" s="324"/>
      <c r="EO560" s="332"/>
      <c r="EP560" s="324"/>
      <c r="EQ560" s="332"/>
      <c r="ER560" s="324"/>
      <c r="ES560" s="332"/>
      <c r="ET560" s="324"/>
      <c r="EU560" s="332"/>
      <c r="EV560" s="324"/>
      <c r="EW560" s="332"/>
      <c r="EX560" s="324"/>
      <c r="EY560" s="333"/>
      <c r="EZ560" s="558"/>
      <c r="FA560" s="333"/>
      <c r="FB560" s="339">
        <v>0</v>
      </c>
      <c r="FC560" s="334"/>
      <c r="FD560" s="339">
        <v>-6.5</v>
      </c>
      <c r="FE560" s="335" t="s">
        <v>101</v>
      </c>
      <c r="FF560" s="336">
        <v>-76.599999999999994</v>
      </c>
      <c r="FG560" s="335" t="s">
        <v>102</v>
      </c>
      <c r="FH560" s="336">
        <v>0</v>
      </c>
      <c r="FI560" s="335" t="s">
        <v>102</v>
      </c>
      <c r="FJ560" s="336">
        <v>0</v>
      </c>
      <c r="FK560" s="335" t="s">
        <v>101</v>
      </c>
      <c r="FL560" s="336">
        <v>0</v>
      </c>
      <c r="FM560" s="335" t="s">
        <v>101</v>
      </c>
      <c r="FN560" s="337">
        <v>0</v>
      </c>
      <c r="FO560" s="335" t="str">
        <f t="shared" si="3064"/>
        <v>NA</v>
      </c>
      <c r="FP560" s="332"/>
      <c r="FQ560" s="324"/>
      <c r="FR560" s="332"/>
      <c r="FS560" s="324"/>
      <c r="FT560" s="332"/>
      <c r="FU560" s="324"/>
      <c r="FV560" s="332"/>
      <c r="FW560" s="324"/>
      <c r="FX560" s="332"/>
      <c r="FY560" s="324"/>
      <c r="FZ560" s="332"/>
      <c r="GA560" s="324"/>
      <c r="GB560" s="332"/>
      <c r="GC560" s="324"/>
      <c r="GD560" s="332"/>
      <c r="GE560" s="324"/>
      <c r="GF560" s="332"/>
      <c r="GG560" s="324"/>
      <c r="GH560" s="332"/>
      <c r="GI560" s="324"/>
      <c r="GJ560" s="332"/>
      <c r="GK560" s="324"/>
      <c r="GL560" s="332"/>
      <c r="GM560" s="324"/>
      <c r="GN560" s="332"/>
      <c r="GO560" s="324"/>
      <c r="GP560" s="332"/>
      <c r="GQ560" s="324"/>
      <c r="GR560" s="332"/>
      <c r="GS560" s="324"/>
      <c r="GT560" s="332"/>
      <c r="GU560" s="324"/>
      <c r="GV560" s="332"/>
      <c r="GW560" s="324"/>
      <c r="GX560" s="332"/>
      <c r="GY560" s="324"/>
      <c r="GZ560" s="324" t="str">
        <f t="shared" si="3024"/>
        <v/>
      </c>
      <c r="HA560" s="324"/>
      <c r="HB560" s="452"/>
      <c r="HC560"/>
      <c r="HD560"/>
      <c r="HE560"/>
      <c r="HF560"/>
      <c r="HG560"/>
      <c r="HH560"/>
    </row>
    <row r="561" spans="1:216" s="321" customFormat="1" ht="12.75" hidden="1" customHeight="1" outlineLevel="1" x14ac:dyDescent="0.2">
      <c r="B561" s="491" t="s">
        <v>109</v>
      </c>
      <c r="C561" s="341">
        <v>0</v>
      </c>
      <c r="D561" s="329"/>
      <c r="E561" s="341">
        <v>0</v>
      </c>
      <c r="F561" s="330"/>
      <c r="G561" s="341">
        <v>0</v>
      </c>
      <c r="H561" s="330"/>
      <c r="I561" s="341">
        <v>0</v>
      </c>
      <c r="J561" s="330"/>
      <c r="K561" s="341">
        <v>-3.6</v>
      </c>
      <c r="L561" s="331" t="s">
        <v>101</v>
      </c>
      <c r="M561" s="328">
        <v>-3.7</v>
      </c>
      <c r="N561" s="331" t="s">
        <v>101</v>
      </c>
      <c r="O561" s="328">
        <v>0</v>
      </c>
      <c r="P561" s="331" t="s">
        <v>101</v>
      </c>
      <c r="Q561" s="328">
        <v>0</v>
      </c>
      <c r="R561" s="331" t="s">
        <v>101</v>
      </c>
      <c r="S561" s="328">
        <v>0</v>
      </c>
      <c r="T561" s="331" t="s">
        <v>102</v>
      </c>
      <c r="U561" s="328">
        <v>0</v>
      </c>
      <c r="V561" s="331" t="s">
        <v>102</v>
      </c>
      <c r="W561" s="328">
        <v>0</v>
      </c>
      <c r="X561" s="331" t="s">
        <v>101</v>
      </c>
      <c r="Y561" s="339">
        <v>0</v>
      </c>
      <c r="Z561" s="331" t="s">
        <v>101</v>
      </c>
      <c r="AA561" s="339">
        <v>0</v>
      </c>
      <c r="AB561" s="331" t="s">
        <v>101</v>
      </c>
      <c r="AC561" s="339">
        <v>0</v>
      </c>
      <c r="AD561" s="331" t="s">
        <v>101</v>
      </c>
      <c r="AE561" s="339">
        <v>0</v>
      </c>
      <c r="AF561" s="331" t="s">
        <v>101</v>
      </c>
      <c r="AG561" s="328">
        <v>-63.6</v>
      </c>
      <c r="AH561" s="331" t="s">
        <v>101</v>
      </c>
      <c r="AI561" s="328">
        <v>-21.8</v>
      </c>
      <c r="AJ561" s="324"/>
      <c r="AK561" s="339"/>
      <c r="AL561" s="324"/>
      <c r="AM561" s="339"/>
      <c r="AN561" s="324"/>
      <c r="AO561" s="339"/>
      <c r="AP561" s="324"/>
      <c r="AQ561" s="339"/>
      <c r="AR561" s="324"/>
      <c r="AS561" s="339"/>
      <c r="AT561" s="324"/>
      <c r="AU561" s="339"/>
      <c r="AV561" s="324"/>
      <c r="AW561" s="339"/>
      <c r="AX561" s="324"/>
      <c r="AY561" s="332"/>
      <c r="AZ561" s="324"/>
      <c r="BA561" s="332"/>
      <c r="BB561" s="324"/>
      <c r="BC561" s="332"/>
      <c r="BD561" s="324"/>
      <c r="BE561" s="332"/>
      <c r="BF561" s="324"/>
      <c r="BG561" s="332"/>
      <c r="BH561" s="324"/>
      <c r="BI561" s="332"/>
      <c r="BJ561" s="324"/>
      <c r="BK561" s="332"/>
      <c r="BL561" s="324"/>
      <c r="BM561" s="332"/>
      <c r="BN561" s="324"/>
      <c r="BO561" s="332"/>
      <c r="BP561" s="324"/>
      <c r="BQ561" s="332"/>
      <c r="BR561" s="324"/>
      <c r="BS561" s="332"/>
      <c r="BT561" s="324"/>
      <c r="BU561" s="332"/>
      <c r="BV561" s="324"/>
      <c r="BW561" s="332"/>
      <c r="BX561" s="324"/>
      <c r="BY561" s="332"/>
      <c r="BZ561" s="324"/>
      <c r="CA561" s="332"/>
      <c r="CB561" s="324"/>
      <c r="CC561" s="332"/>
      <c r="CD561" s="324"/>
      <c r="CE561" s="332"/>
      <c r="CF561" s="324"/>
      <c r="CG561" s="332"/>
      <c r="CH561" s="324"/>
      <c r="CI561" s="332"/>
      <c r="CJ561" s="324"/>
      <c r="CK561" s="332"/>
      <c r="CL561" s="324"/>
      <c r="CM561" s="332"/>
      <c r="CN561" s="324"/>
      <c r="CO561" s="332"/>
      <c r="CP561" s="324"/>
      <c r="CQ561" s="332"/>
      <c r="CR561" s="324"/>
      <c r="CS561" s="332"/>
      <c r="CT561" s="324"/>
      <c r="CU561" s="332"/>
      <c r="CV561" s="324"/>
      <c r="CW561" s="332"/>
      <c r="CX561" s="324"/>
      <c r="CY561" s="332"/>
      <c r="CZ561" s="324"/>
      <c r="DA561" s="332"/>
      <c r="DB561" s="324"/>
      <c r="DC561" s="332"/>
      <c r="DD561" s="324"/>
      <c r="DE561" s="332"/>
      <c r="DF561" s="324"/>
      <c r="DG561" s="332"/>
      <c r="DH561" s="324"/>
      <c r="DI561" s="332"/>
      <c r="DJ561" s="324"/>
      <c r="DK561" s="332"/>
      <c r="DL561" s="324"/>
      <c r="DM561" s="332"/>
      <c r="DN561" s="324"/>
      <c r="DO561" s="332"/>
      <c r="DP561" s="324"/>
      <c r="DQ561" s="332"/>
      <c r="DR561" s="324"/>
      <c r="DS561" s="332"/>
      <c r="DT561" s="324"/>
      <c r="DU561" s="332"/>
      <c r="DV561" s="324"/>
      <c r="DW561" s="332"/>
      <c r="DX561" s="332"/>
      <c r="DY561" s="332"/>
      <c r="DZ561" s="324"/>
      <c r="EA561" s="332"/>
      <c r="EB561" s="324"/>
      <c r="EC561" s="332"/>
      <c r="ED561" s="324"/>
      <c r="EE561" s="332"/>
      <c r="EF561" s="324"/>
      <c r="EG561" s="332"/>
      <c r="EH561" s="324"/>
      <c r="EI561" s="332"/>
      <c r="EJ561" s="324"/>
      <c r="EK561" s="332"/>
      <c r="EL561" s="324"/>
      <c r="EM561" s="332"/>
      <c r="EN561" s="324"/>
      <c r="EO561" s="332"/>
      <c r="EP561" s="324"/>
      <c r="EQ561" s="332"/>
      <c r="ER561" s="324"/>
      <c r="ES561" s="332"/>
      <c r="ET561" s="324"/>
      <c r="EU561" s="332"/>
      <c r="EV561" s="324"/>
      <c r="EW561" s="332"/>
      <c r="EX561" s="324"/>
      <c r="EY561" s="333"/>
      <c r="EZ561" s="558"/>
      <c r="FA561" s="333"/>
      <c r="FB561" s="328">
        <v>0</v>
      </c>
      <c r="FC561" s="334"/>
      <c r="FD561" s="328">
        <v>0</v>
      </c>
      <c r="FE561" s="335" t="s">
        <v>101</v>
      </c>
      <c r="FF561" s="336">
        <v>0</v>
      </c>
      <c r="FG561" s="335" t="s">
        <v>101</v>
      </c>
      <c r="FH561" s="336">
        <v>-7.3</v>
      </c>
      <c r="FI561" s="335" t="s">
        <v>101</v>
      </c>
      <c r="FJ561" s="336">
        <v>0</v>
      </c>
      <c r="FK561" s="335" t="s">
        <v>102</v>
      </c>
      <c r="FL561" s="336">
        <v>-63.6</v>
      </c>
      <c r="FM561" s="335" t="s">
        <v>101</v>
      </c>
      <c r="FN561" s="337">
        <v>-21.8</v>
      </c>
      <c r="FO561" s="335" t="str">
        <f t="shared" si="3064"/>
        <v>NM</v>
      </c>
      <c r="FP561" s="332"/>
      <c r="FQ561" s="324"/>
      <c r="FR561" s="332"/>
      <c r="FS561" s="324"/>
      <c r="FT561" s="332"/>
      <c r="FU561" s="324"/>
      <c r="FV561" s="332"/>
      <c r="FW561" s="324"/>
      <c r="FX561" s="332"/>
      <c r="FY561" s="324"/>
      <c r="FZ561" s="332"/>
      <c r="GA561" s="324"/>
      <c r="GB561" s="332"/>
      <c r="GC561" s="324"/>
      <c r="GD561" s="332"/>
      <c r="GE561" s="324"/>
      <c r="GF561" s="332"/>
      <c r="GG561" s="324"/>
      <c r="GH561" s="332"/>
      <c r="GI561" s="324"/>
      <c r="GJ561" s="332"/>
      <c r="GK561" s="324"/>
      <c r="GL561" s="332"/>
      <c r="GM561" s="324"/>
      <c r="GN561" s="332"/>
      <c r="GO561" s="324"/>
      <c r="GP561" s="332"/>
      <c r="GQ561" s="324"/>
      <c r="GR561" s="338"/>
      <c r="GS561" s="324"/>
      <c r="GT561" s="338"/>
      <c r="GU561" s="324"/>
      <c r="GV561" s="338"/>
      <c r="GW561" s="324"/>
      <c r="GX561" s="338"/>
      <c r="GY561" s="324"/>
      <c r="GZ561" s="324" t="str">
        <f t="shared" si="3024"/>
        <v/>
      </c>
      <c r="HA561" s="324"/>
      <c r="HB561" s="452"/>
      <c r="HC561"/>
      <c r="HD561"/>
      <c r="HE561"/>
      <c r="HF561"/>
      <c r="HG561"/>
      <c r="HH561"/>
    </row>
    <row r="562" spans="1:216" s="321" customFormat="1" ht="12.75" hidden="1" customHeight="1" outlineLevel="1" x14ac:dyDescent="0.2">
      <c r="B562" s="491" t="s">
        <v>552</v>
      </c>
      <c r="C562" s="328">
        <v>0</v>
      </c>
      <c r="D562" s="329"/>
      <c r="E562" s="340">
        <v>-2.7</v>
      </c>
      <c r="F562" s="330"/>
      <c r="G562" s="328">
        <v>0</v>
      </c>
      <c r="H562" s="330"/>
      <c r="I562" s="328">
        <v>-1.9</v>
      </c>
      <c r="J562" s="330"/>
      <c r="K562" s="328">
        <v>0</v>
      </c>
      <c r="L562" s="331" t="s">
        <v>101</v>
      </c>
      <c r="M562" s="328">
        <v>-0.1</v>
      </c>
      <c r="N562" s="331" t="s">
        <v>102</v>
      </c>
      <c r="O562" s="328">
        <v>0</v>
      </c>
      <c r="P562" s="331" t="s">
        <v>101</v>
      </c>
      <c r="Q562" s="328">
        <v>0</v>
      </c>
      <c r="R562" s="331" t="s">
        <v>102</v>
      </c>
      <c r="S562" s="328">
        <v>0</v>
      </c>
      <c r="T562" s="331" t="s">
        <v>101</v>
      </c>
      <c r="U562" s="328">
        <v>0</v>
      </c>
      <c r="V562" s="331" t="s">
        <v>102</v>
      </c>
      <c r="W562" s="328">
        <v>0</v>
      </c>
      <c r="X562" s="331" t="s">
        <v>101</v>
      </c>
      <c r="Y562" s="339">
        <v>0</v>
      </c>
      <c r="Z562" s="331" t="s">
        <v>101</v>
      </c>
      <c r="AA562" s="339">
        <v>0</v>
      </c>
      <c r="AB562" s="331" t="s">
        <v>101</v>
      </c>
      <c r="AC562" s="339">
        <v>0</v>
      </c>
      <c r="AD562" s="331" t="s">
        <v>101</v>
      </c>
      <c r="AE562" s="339">
        <v>0</v>
      </c>
      <c r="AF562" s="331" t="s">
        <v>101</v>
      </c>
      <c r="AG562" s="339">
        <v>0</v>
      </c>
      <c r="AH562" s="331" t="s">
        <v>101</v>
      </c>
      <c r="AI562" s="339">
        <v>0</v>
      </c>
      <c r="AJ562" s="324"/>
      <c r="AK562" s="339"/>
      <c r="AL562" s="324"/>
      <c r="AM562" s="339"/>
      <c r="AN562" s="324"/>
      <c r="AO562" s="339"/>
      <c r="AP562" s="324"/>
      <c r="AQ562" s="339"/>
      <c r="AR562" s="324"/>
      <c r="AS562" s="339"/>
      <c r="AT562" s="324"/>
      <c r="AU562" s="339"/>
      <c r="AV562" s="324"/>
      <c r="AW562" s="339"/>
      <c r="AX562" s="324"/>
      <c r="AY562" s="332"/>
      <c r="AZ562" s="324"/>
      <c r="BA562" s="332"/>
      <c r="BB562" s="324"/>
      <c r="BC562" s="332"/>
      <c r="BD562" s="324"/>
      <c r="BE562" s="332"/>
      <c r="BF562" s="324"/>
      <c r="BG562" s="332"/>
      <c r="BH562" s="324"/>
      <c r="BI562" s="332"/>
      <c r="BJ562" s="324"/>
      <c r="BK562" s="332"/>
      <c r="BL562" s="324"/>
      <c r="BM562" s="332"/>
      <c r="BN562" s="324"/>
      <c r="BO562" s="332"/>
      <c r="BP562" s="324"/>
      <c r="BQ562" s="332"/>
      <c r="BR562" s="324"/>
      <c r="BS562" s="332"/>
      <c r="BT562" s="324"/>
      <c r="BU562" s="332"/>
      <c r="BV562" s="324"/>
      <c r="BW562" s="332"/>
      <c r="BX562" s="324"/>
      <c r="BY562" s="332"/>
      <c r="BZ562" s="324"/>
      <c r="CA562" s="332"/>
      <c r="CB562" s="324"/>
      <c r="CC562" s="332"/>
      <c r="CD562" s="324"/>
      <c r="CE562" s="332"/>
      <c r="CF562" s="324"/>
      <c r="CG562" s="332"/>
      <c r="CH562" s="324"/>
      <c r="CI562" s="332"/>
      <c r="CJ562" s="324"/>
      <c r="CK562" s="332"/>
      <c r="CL562" s="324"/>
      <c r="CM562" s="332"/>
      <c r="CN562" s="324"/>
      <c r="CO562" s="332"/>
      <c r="CP562" s="324"/>
      <c r="CQ562" s="332"/>
      <c r="CR562" s="324"/>
      <c r="CS562" s="332"/>
      <c r="CT562" s="324"/>
      <c r="CU562" s="332"/>
      <c r="CV562" s="324"/>
      <c r="CW562" s="332"/>
      <c r="CX562" s="324"/>
      <c r="CY562" s="332"/>
      <c r="CZ562" s="324"/>
      <c r="DA562" s="332"/>
      <c r="DB562" s="324"/>
      <c r="DC562" s="332"/>
      <c r="DD562" s="324"/>
      <c r="DE562" s="332"/>
      <c r="DF562" s="324"/>
      <c r="DG562" s="332"/>
      <c r="DH562" s="324"/>
      <c r="DI562" s="332"/>
      <c r="DJ562" s="324"/>
      <c r="DK562" s="332"/>
      <c r="DL562" s="324"/>
      <c r="DM562" s="332"/>
      <c r="DN562" s="324"/>
      <c r="DO562" s="332"/>
      <c r="DP562" s="324"/>
      <c r="DQ562" s="332"/>
      <c r="DR562" s="324"/>
      <c r="DS562" s="332"/>
      <c r="DT562" s="324"/>
      <c r="DU562" s="332"/>
      <c r="DV562" s="324"/>
      <c r="DW562" s="332"/>
      <c r="DX562" s="332"/>
      <c r="DY562" s="332"/>
      <c r="DZ562" s="324"/>
      <c r="EA562" s="332"/>
      <c r="EB562" s="324"/>
      <c r="EC562" s="332"/>
      <c r="ED562" s="324"/>
      <c r="EE562" s="332"/>
      <c r="EF562" s="324"/>
      <c r="EG562" s="332"/>
      <c r="EH562" s="324"/>
      <c r="EI562" s="332"/>
      <c r="EJ562" s="324"/>
      <c r="EK562" s="332"/>
      <c r="EL562" s="324"/>
      <c r="EM562" s="332"/>
      <c r="EN562" s="324"/>
      <c r="EO562" s="332"/>
      <c r="EP562" s="324"/>
      <c r="EQ562" s="332"/>
      <c r="ER562" s="324"/>
      <c r="ES562" s="332"/>
      <c r="ET562" s="324"/>
      <c r="EU562" s="332"/>
      <c r="EV562" s="324"/>
      <c r="EW562" s="332"/>
      <c r="EX562" s="324"/>
      <c r="EY562" s="333"/>
      <c r="EZ562" s="558"/>
      <c r="FA562" s="333"/>
      <c r="FB562" s="328">
        <v>0</v>
      </c>
      <c r="FC562" s="334"/>
      <c r="FD562" s="328">
        <v>0</v>
      </c>
      <c r="FE562" s="335" t="s">
        <v>101</v>
      </c>
      <c r="FF562" s="336">
        <v>-4.5999999999999996</v>
      </c>
      <c r="FG562" s="335" t="s">
        <v>101</v>
      </c>
      <c r="FH562" s="336">
        <v>-0.1</v>
      </c>
      <c r="FI562" s="335" t="s">
        <v>102</v>
      </c>
      <c r="FJ562" s="336">
        <v>0</v>
      </c>
      <c r="FK562" s="335" t="s">
        <v>102</v>
      </c>
      <c r="FL562" s="336">
        <v>0</v>
      </c>
      <c r="FM562" s="335" t="s">
        <v>101</v>
      </c>
      <c r="FN562" s="337">
        <v>0</v>
      </c>
      <c r="FO562" s="335" t="str">
        <f t="shared" si="3064"/>
        <v>NA</v>
      </c>
      <c r="FP562" s="332"/>
      <c r="FQ562" s="324"/>
      <c r="FR562" s="332"/>
      <c r="FS562" s="324"/>
      <c r="FT562" s="332"/>
      <c r="FU562" s="324"/>
      <c r="FV562" s="332"/>
      <c r="FW562" s="324"/>
      <c r="FX562" s="332"/>
      <c r="FY562" s="324"/>
      <c r="FZ562" s="332"/>
      <c r="GA562" s="324"/>
      <c r="GB562" s="332"/>
      <c r="GC562" s="324"/>
      <c r="GD562" s="332"/>
      <c r="GE562" s="324"/>
      <c r="GF562" s="332"/>
      <c r="GG562" s="324"/>
      <c r="GH562" s="332"/>
      <c r="GI562" s="324"/>
      <c r="GJ562" s="332"/>
      <c r="GK562" s="324"/>
      <c r="GL562" s="332"/>
      <c r="GM562" s="324"/>
      <c r="GN562" s="332"/>
      <c r="GO562" s="324"/>
      <c r="GP562" s="332"/>
      <c r="GQ562" s="324"/>
      <c r="GR562" s="338"/>
      <c r="GS562" s="324"/>
      <c r="GT562" s="338"/>
      <c r="GU562" s="324"/>
      <c r="GV562" s="338"/>
      <c r="GW562" s="324"/>
      <c r="GX562" s="338"/>
      <c r="GY562" s="324"/>
      <c r="GZ562" s="324" t="str">
        <f t="shared" si="3024"/>
        <v/>
      </c>
      <c r="HA562" s="324"/>
      <c r="HB562" s="452"/>
      <c r="HC562"/>
      <c r="HD562"/>
      <c r="HE562"/>
      <c r="HF562"/>
      <c r="HG562"/>
      <c r="HH562"/>
    </row>
    <row r="563" spans="1:216" s="321" customFormat="1" ht="12.75" hidden="1" customHeight="1" outlineLevel="1" x14ac:dyDescent="0.2">
      <c r="B563" s="491" t="s">
        <v>553</v>
      </c>
      <c r="C563" s="341">
        <v>0</v>
      </c>
      <c r="D563" s="329"/>
      <c r="E563" s="341">
        <v>0</v>
      </c>
      <c r="F563" s="330"/>
      <c r="G563" s="341">
        <v>0</v>
      </c>
      <c r="H563" s="330"/>
      <c r="I563" s="341">
        <v>0.95</v>
      </c>
      <c r="J563" s="330"/>
      <c r="K563" s="341">
        <v>-0.4</v>
      </c>
      <c r="L563" s="331" t="s">
        <v>101</v>
      </c>
      <c r="M563" s="328">
        <v>-3.4</v>
      </c>
      <c r="N563" s="331" t="s">
        <v>101</v>
      </c>
      <c r="O563" s="328">
        <v>0</v>
      </c>
      <c r="P563" s="331" t="s">
        <v>101</v>
      </c>
      <c r="Q563" s="328">
        <v>-3.3</v>
      </c>
      <c r="R563" s="331" t="s">
        <v>102</v>
      </c>
      <c r="S563" s="328">
        <v>0</v>
      </c>
      <c r="T563" s="331" t="s">
        <v>102</v>
      </c>
      <c r="U563" s="328">
        <v>-14.4</v>
      </c>
      <c r="V563" s="331" t="s">
        <v>102</v>
      </c>
      <c r="W563" s="328">
        <v>-175.3</v>
      </c>
      <c r="X563" s="331" t="s">
        <v>101</v>
      </c>
      <c r="Y563" s="328">
        <v>-17.600000000000001</v>
      </c>
      <c r="Z563" s="331" t="s">
        <v>102</v>
      </c>
      <c r="AA563" s="328">
        <v>-0.1</v>
      </c>
      <c r="AB563" s="331" t="s">
        <v>101</v>
      </c>
      <c r="AC563" s="328">
        <v>-0.1</v>
      </c>
      <c r="AD563" s="331" t="s">
        <v>102</v>
      </c>
      <c r="AE563" s="328">
        <v>-24.6</v>
      </c>
      <c r="AF563" s="331" t="s">
        <v>102</v>
      </c>
      <c r="AG563" s="328">
        <v>-8.8000000000000114</v>
      </c>
      <c r="AH563" s="331">
        <v>-49.999999999999943</v>
      </c>
      <c r="AI563" s="328">
        <v>-3.4</v>
      </c>
      <c r="AJ563" s="324" t="s">
        <v>102</v>
      </c>
      <c r="AK563" s="328">
        <v>7.3</v>
      </c>
      <c r="AL563" s="324" t="s">
        <v>102</v>
      </c>
      <c r="AM563" s="328">
        <v>-1</v>
      </c>
      <c r="AN563" s="324" t="s">
        <v>102</v>
      </c>
      <c r="AO563" s="328">
        <v>-3.7</v>
      </c>
      <c r="AP563" s="324" t="s">
        <v>102</v>
      </c>
      <c r="AQ563" s="328"/>
      <c r="AR563" s="324"/>
      <c r="AS563" s="328"/>
      <c r="AT563" s="324"/>
      <c r="AU563" s="328"/>
      <c r="AV563" s="324"/>
      <c r="AW563" s="328"/>
      <c r="AX563" s="324"/>
      <c r="AY563" s="332"/>
      <c r="AZ563" s="324"/>
      <c r="BA563" s="332"/>
      <c r="BB563" s="324"/>
      <c r="BC563" s="332"/>
      <c r="BD563" s="324"/>
      <c r="BE563" s="332"/>
      <c r="BF563" s="324"/>
      <c r="BG563" s="332"/>
      <c r="BH563" s="324"/>
      <c r="BI563" s="332"/>
      <c r="BJ563" s="324"/>
      <c r="BK563" s="332"/>
      <c r="BL563" s="324"/>
      <c r="BM563" s="332"/>
      <c r="BN563" s="324"/>
      <c r="BO563" s="332"/>
      <c r="BP563" s="324"/>
      <c r="BQ563" s="332"/>
      <c r="BR563" s="324"/>
      <c r="BS563" s="332"/>
      <c r="BT563" s="324"/>
      <c r="BU563" s="332"/>
      <c r="BV563" s="324"/>
      <c r="BW563" s="332"/>
      <c r="BX563" s="324"/>
      <c r="BY563" s="332"/>
      <c r="BZ563" s="324"/>
      <c r="CA563" s="332"/>
      <c r="CB563" s="324"/>
      <c r="CC563" s="332"/>
      <c r="CD563" s="324"/>
      <c r="CE563" s="332"/>
      <c r="CF563" s="324"/>
      <c r="CG563" s="332"/>
      <c r="CH563" s="324"/>
      <c r="CI563" s="332"/>
      <c r="CJ563" s="324"/>
      <c r="CK563" s="332"/>
      <c r="CL563" s="324"/>
      <c r="CM563" s="332"/>
      <c r="CN563" s="324"/>
      <c r="CO563" s="332"/>
      <c r="CP563" s="324"/>
      <c r="CQ563" s="332"/>
      <c r="CR563" s="324"/>
      <c r="CS563" s="332"/>
      <c r="CT563" s="324"/>
      <c r="CU563" s="332"/>
      <c r="CV563" s="324"/>
      <c r="CW563" s="332"/>
      <c r="CX563" s="324"/>
      <c r="CY563" s="332"/>
      <c r="CZ563" s="324"/>
      <c r="DA563" s="332"/>
      <c r="DB563" s="324"/>
      <c r="DC563" s="332"/>
      <c r="DD563" s="324"/>
      <c r="DE563" s="332"/>
      <c r="DF563" s="324"/>
      <c r="DG563" s="332"/>
      <c r="DH563" s="324"/>
      <c r="DI563" s="332"/>
      <c r="DJ563" s="324"/>
      <c r="DK563" s="332"/>
      <c r="DL563" s="324"/>
      <c r="DM563" s="332"/>
      <c r="DN563" s="324"/>
      <c r="DO563" s="332"/>
      <c r="DP563" s="324"/>
      <c r="DQ563" s="332"/>
      <c r="DR563" s="324"/>
      <c r="DS563" s="332"/>
      <c r="DT563" s="324"/>
      <c r="DU563" s="332"/>
      <c r="DV563" s="324"/>
      <c r="DW563" s="332"/>
      <c r="DX563" s="332"/>
      <c r="DY563" s="332"/>
      <c r="DZ563" s="324"/>
      <c r="EA563" s="332"/>
      <c r="EB563" s="324"/>
      <c r="EC563" s="332"/>
      <c r="ED563" s="324"/>
      <c r="EE563" s="332"/>
      <c r="EF563" s="324"/>
      <c r="EG563" s="332"/>
      <c r="EH563" s="324"/>
      <c r="EI563" s="332"/>
      <c r="EJ563" s="324"/>
      <c r="EK563" s="332"/>
      <c r="EL563" s="324"/>
      <c r="EM563" s="332"/>
      <c r="EN563" s="324"/>
      <c r="EO563" s="332"/>
      <c r="EP563" s="324"/>
      <c r="EQ563" s="332"/>
      <c r="ER563" s="324"/>
      <c r="ES563" s="332"/>
      <c r="ET563" s="324"/>
      <c r="EU563" s="332"/>
      <c r="EV563" s="324"/>
      <c r="EW563" s="332"/>
      <c r="EX563" s="324"/>
      <c r="EY563" s="333"/>
      <c r="EZ563" s="558"/>
      <c r="FA563" s="333"/>
      <c r="FB563" s="342">
        <v>0</v>
      </c>
      <c r="FC563" s="334"/>
      <c r="FD563" s="342">
        <v>0</v>
      </c>
      <c r="FE563" s="335" t="s">
        <v>101</v>
      </c>
      <c r="FF563" s="336">
        <v>0.95</v>
      </c>
      <c r="FG563" s="335" t="s">
        <v>101</v>
      </c>
      <c r="FH563" s="336">
        <v>-7.1</v>
      </c>
      <c r="FI563" s="335" t="s">
        <v>102</v>
      </c>
      <c r="FJ563" s="336">
        <v>-207.3</v>
      </c>
      <c r="FK563" s="335" t="s">
        <v>102</v>
      </c>
      <c r="FL563" s="336">
        <v>-33.6</v>
      </c>
      <c r="FM563" s="335" t="s">
        <v>102</v>
      </c>
      <c r="FN563" s="337">
        <v>-0.79999999999999938</v>
      </c>
      <c r="FO563" s="335" t="str">
        <f t="shared" si="3064"/>
        <v>NM</v>
      </c>
      <c r="FP563" s="332"/>
      <c r="FQ563" s="324"/>
      <c r="FR563" s="332"/>
      <c r="FS563" s="324"/>
      <c r="FT563" s="332"/>
      <c r="FU563" s="324"/>
      <c r="FV563" s="332"/>
      <c r="FW563" s="324"/>
      <c r="FX563" s="332"/>
      <c r="FY563" s="324"/>
      <c r="FZ563" s="332"/>
      <c r="GA563" s="324"/>
      <c r="GB563" s="332"/>
      <c r="GC563" s="324"/>
      <c r="GD563" s="332"/>
      <c r="GE563" s="324"/>
      <c r="GF563" s="332"/>
      <c r="GG563" s="324"/>
      <c r="GH563" s="332"/>
      <c r="GI563" s="324"/>
      <c r="GJ563" s="332"/>
      <c r="GK563" s="324"/>
      <c r="GL563" s="332"/>
      <c r="GM563" s="324"/>
      <c r="GN563" s="332"/>
      <c r="GO563" s="324"/>
      <c r="GP563" s="332"/>
      <c r="GQ563" s="324"/>
      <c r="GR563" s="338"/>
      <c r="GS563" s="324"/>
      <c r="GT563" s="338"/>
      <c r="GU563" s="324"/>
      <c r="GV563" s="338"/>
      <c r="GW563" s="324"/>
      <c r="GX563" s="338"/>
      <c r="GY563" s="324"/>
      <c r="GZ563" s="324" t="str">
        <f t="shared" si="3024"/>
        <v/>
      </c>
      <c r="HA563" s="324"/>
      <c r="HB563" s="452"/>
      <c r="HC563"/>
      <c r="HD563"/>
      <c r="HE563"/>
      <c r="HF563"/>
      <c r="HG563"/>
      <c r="HH563"/>
    </row>
    <row r="564" spans="1:216" s="321" customFormat="1" ht="12.75" hidden="1" customHeight="1" outlineLevel="1" x14ac:dyDescent="0.2">
      <c r="B564" s="492" t="s">
        <v>62</v>
      </c>
      <c r="C564" s="336">
        <f>SUM(C558:C563)</f>
        <v>0</v>
      </c>
      <c r="D564" s="329"/>
      <c r="E564" s="336">
        <f>SUM(E558:E563)</f>
        <v>-2.8000000000000003</v>
      </c>
      <c r="F564" s="330"/>
      <c r="G564" s="336">
        <f>SUM(G558:G563)</f>
        <v>-40.5</v>
      </c>
      <c r="H564" s="330"/>
      <c r="I564" s="336">
        <f>SUM(I558:I563)</f>
        <v>-36.949999999999996</v>
      </c>
      <c r="J564" s="330"/>
      <c r="K564" s="336">
        <f>SUM(K558:K563)</f>
        <v>-4.2</v>
      </c>
      <c r="L564" s="324" t="str">
        <f>IF(ISERROR((K564/C564-1)*100),"NA",IF(((K564/C564-1)*100)&gt;100,"NM",IF(((K564/C564-1)*100)&lt;-50,"NM",(K564/C564-1)*100)))</f>
        <v>NA</v>
      </c>
      <c r="M564" s="336">
        <f>SUM(M558:M563)</f>
        <v>-12.5</v>
      </c>
      <c r="N564" s="324" t="str">
        <f>IF(ISERROR((M564/E564-1)*100),"NA",IF(((M564/E564-1)*100)&gt;100,"NM",IF(((M564/E564-1)*100)&lt;-50,"NM",(M564/E564-1)*100)))</f>
        <v>NM</v>
      </c>
      <c r="O564" s="336">
        <f>SUM(O558:O563)</f>
        <v>0</v>
      </c>
      <c r="P564" s="324" t="str">
        <f>IF(ISERROR((O564/G564-1)*100),"NA",IF(((O564/G564-1)*100)&gt;100,"NM",IF(((O564/G564-1)*100)&lt;-50,"NM",(O564/G564-1)*100)))</f>
        <v>NM</v>
      </c>
      <c r="Q564" s="336">
        <f>SUM(Q558:Q563)</f>
        <v>-3.3</v>
      </c>
      <c r="R564" s="324" t="str">
        <f>IF(ISERROR((Q564/I564-1)*100),"NA",IF(((Q564/I564-1)*100)&gt;100,"NM",IF(((Q564/I564-1)*100)&lt;-50,"NM",(Q564/I564-1)*100)))</f>
        <v>NM</v>
      </c>
      <c r="S564" s="336">
        <f>SUM(S558:S563)</f>
        <v>0</v>
      </c>
      <c r="T564" s="324" t="str">
        <f>IF(ISERROR((S564/K564-1)*100),"NA",IF(((S564/K564-1)*100)&gt;100,"NM",IF(((S564/K564-1)*100)&lt;-50,"NM",(S564/K564-1)*100)))</f>
        <v>NM</v>
      </c>
      <c r="U564" s="336">
        <f>SUM(U558:U563)</f>
        <v>-14.4</v>
      </c>
      <c r="V564" s="324">
        <f>IF(ISERROR((U564/M564-1)*100),"NA",IF(((U564/M564-1)*100)&gt;100,"NM",IF(((U564/M564-1)*100)&lt;-50,"NM",(U564/M564-1)*100)))</f>
        <v>15.200000000000014</v>
      </c>
      <c r="W564" s="336">
        <f>SUM(W558:W563)</f>
        <v>-175.3</v>
      </c>
      <c r="X564" s="324" t="str">
        <f>IF(ISERROR((W564/O564-1)*100),"NA",IF(((W564/O564-1)*100)&gt;100,"NM",IF(((W564/O564-1)*100)&lt;-50,"NM",(W564/O564-1)*100)))</f>
        <v>NA</v>
      </c>
      <c r="Y564" s="336">
        <f>SUM(Y558:Y563)</f>
        <v>-17.600000000000001</v>
      </c>
      <c r="Z564" s="324" t="str">
        <f>IF(ISERROR((Y564/Q564-1)*100),"NA",IF(((Y564/Q564-1)*100)&gt;100,"NM",IF(((Y564/Q564-1)*100)&lt;-50,"NM",(Y564/Q564-1)*100)))</f>
        <v>NM</v>
      </c>
      <c r="AA564" s="336">
        <f>SUM(AA558:AA563)</f>
        <v>-0.1</v>
      </c>
      <c r="AB564" s="324" t="str">
        <f>IF(ISERROR((AA564/S564-1)*100),"NA",IF(((AA564/S564-1)*100)&gt;100,"NM",IF(((AA564/S564-1)*100)&lt;-50,"NM",(AA564/S564-1)*100)))</f>
        <v>NA</v>
      </c>
      <c r="AC564" s="336">
        <f>SUM(AC558:AC563)</f>
        <v>-0.1</v>
      </c>
      <c r="AD564" s="324" t="str">
        <f>IF(ISERROR((AC564/U564-1)*100),"NA",IF(((AC564/U564-1)*100)&gt;100,"NM",IF(((AC564/U564-1)*100)&lt;-50,"NM",(AC564/U564-1)*100)))</f>
        <v>NM</v>
      </c>
      <c r="AE564" s="336">
        <f>SUM(AE558:AE563)</f>
        <v>-24.6</v>
      </c>
      <c r="AF564" s="324" t="str">
        <f>IF(ISERROR((AE564/W564-1)*100),"NA",IF(((AE564/W564-1)*100)&gt;100,"NM",IF(((AE564/W564-1)*100)&lt;-50,"NM",(AE564/W564-1)*100)))</f>
        <v>NM</v>
      </c>
      <c r="AG564" s="336">
        <f>SUM(AG558:AG563)</f>
        <v>-71.800000000000011</v>
      </c>
      <c r="AH564" s="324" t="str">
        <f>IF(ISERROR((AG564/Y564-1)*100),"NA",IF(((AG564/Y564-1)*100)&gt;100,"NM",IF(((AG564/Y564-1)*100)&lt;-50,"NM",(AG564/Y564-1)*100)))</f>
        <v>NM</v>
      </c>
      <c r="AI564" s="336">
        <f>SUM(AI558:AI563)</f>
        <v>-27.9</v>
      </c>
      <c r="AJ564" s="324" t="str">
        <f>IF(ISERROR((AI564/AA564-1)*100),"NA",IF(((AI564/AA564-1)*100)&gt;100,"NM",IF(((AI564/AA564-1)*100)&lt;-50,"NM",(AI564/AA564-1)*100)))</f>
        <v>NM</v>
      </c>
      <c r="AK564" s="336">
        <f>SUM(AK558:AK563)</f>
        <v>7.3</v>
      </c>
      <c r="AL564" s="324" t="str">
        <f>IF(ISERROR((AK564/AC564-1)*100),"NA",IF(((AK564/AC564-1)*100)&gt;100,"NM",IF(((AK564/AC564-1)*100)&lt;-50,"NM",(AK564/AC564-1)*100)))</f>
        <v>NM</v>
      </c>
      <c r="AM564" s="336">
        <f>SUM(AM558:AM563)</f>
        <v>-1</v>
      </c>
      <c r="AN564" s="324" t="str">
        <f>IF(ISERROR((AM564/AE564-1)*100),"NA",IF(((AM564/AE564-1)*100)&gt;100,"NM",IF(((AM564/AE564-1)*100)&lt;-50,"NM",(AM564/AE564-1)*100)))</f>
        <v>NM</v>
      </c>
      <c r="AO564" s="336">
        <f>SUM(AO558:AO563)</f>
        <v>-3.7</v>
      </c>
      <c r="AP564" s="324" t="str">
        <f>IF(ISERROR((AO564/AG564-1)*100),"NA",IF(((AO564/AG564-1)*100)&gt;100,"NM",IF(((AO564/AG564-1)*100)&lt;-50,"NM",(AO564/AG564-1)*100)))</f>
        <v>NM</v>
      </c>
      <c r="AQ564" s="336"/>
      <c r="AR564" s="324"/>
      <c r="AS564" s="336"/>
      <c r="AT564" s="324"/>
      <c r="AU564" s="336"/>
      <c r="AV564" s="324"/>
      <c r="AW564" s="336"/>
      <c r="AX564" s="324"/>
      <c r="AY564" s="332"/>
      <c r="AZ564" s="324"/>
      <c r="BA564" s="332"/>
      <c r="BB564" s="324"/>
      <c r="BC564" s="332"/>
      <c r="BD564" s="324"/>
      <c r="BE564" s="332"/>
      <c r="BF564" s="324"/>
      <c r="BG564" s="332"/>
      <c r="BH564" s="324"/>
      <c r="BI564" s="332"/>
      <c r="BJ564" s="324"/>
      <c r="BK564" s="332"/>
      <c r="BL564" s="324"/>
      <c r="BM564" s="332"/>
      <c r="BN564" s="324"/>
      <c r="BO564" s="332"/>
      <c r="BP564" s="324"/>
      <c r="BQ564" s="332"/>
      <c r="BR564" s="324"/>
      <c r="BS564" s="332"/>
      <c r="BT564" s="324"/>
      <c r="BU564" s="332"/>
      <c r="BV564" s="324"/>
      <c r="BW564" s="332"/>
      <c r="BX564" s="324"/>
      <c r="BY564" s="332"/>
      <c r="BZ564" s="324"/>
      <c r="CA564" s="332"/>
      <c r="CB564" s="324"/>
      <c r="CC564" s="332"/>
      <c r="CD564" s="324"/>
      <c r="CE564" s="332"/>
      <c r="CF564" s="324"/>
      <c r="CG564" s="332"/>
      <c r="CH564" s="324"/>
      <c r="CI564" s="332"/>
      <c r="CJ564" s="324"/>
      <c r="CK564" s="332"/>
      <c r="CL564" s="324"/>
      <c r="CM564" s="332"/>
      <c r="CN564" s="324"/>
      <c r="CO564" s="332"/>
      <c r="CP564" s="324"/>
      <c r="CQ564" s="332"/>
      <c r="CR564" s="324"/>
      <c r="CS564" s="332"/>
      <c r="CT564" s="324"/>
      <c r="CU564" s="332"/>
      <c r="CV564" s="324"/>
      <c r="CW564" s="332"/>
      <c r="CX564" s="324"/>
      <c r="CY564" s="332"/>
      <c r="CZ564" s="324"/>
      <c r="DA564" s="332"/>
      <c r="DB564" s="324"/>
      <c r="DC564" s="332"/>
      <c r="DD564" s="324"/>
      <c r="DE564" s="332"/>
      <c r="DF564" s="324"/>
      <c r="DG564" s="332"/>
      <c r="DH564" s="324"/>
      <c r="DI564" s="332"/>
      <c r="DJ564" s="324"/>
      <c r="DK564" s="332"/>
      <c r="DL564" s="324"/>
      <c r="DM564" s="332"/>
      <c r="DN564" s="324"/>
      <c r="DO564" s="332"/>
      <c r="DP564" s="324"/>
      <c r="DQ564" s="332"/>
      <c r="DR564" s="324"/>
      <c r="DS564" s="332"/>
      <c r="DT564" s="324"/>
      <c r="DU564" s="332"/>
      <c r="DV564" s="324"/>
      <c r="DW564" s="332"/>
      <c r="DX564" s="332"/>
      <c r="DY564" s="332"/>
      <c r="DZ564" s="324"/>
      <c r="EA564" s="332"/>
      <c r="EB564" s="324"/>
      <c r="EC564" s="332"/>
      <c r="ED564" s="324"/>
      <c r="EE564" s="332"/>
      <c r="EF564" s="324"/>
      <c r="EG564" s="332"/>
      <c r="EH564" s="324"/>
      <c r="EI564" s="332"/>
      <c r="EJ564" s="324"/>
      <c r="EK564" s="332"/>
      <c r="EL564" s="324"/>
      <c r="EM564" s="332"/>
      <c r="EN564" s="324"/>
      <c r="EO564" s="332"/>
      <c r="EP564" s="324"/>
      <c r="EQ564" s="332"/>
      <c r="ER564" s="324"/>
      <c r="ES564" s="332"/>
      <c r="ET564" s="324"/>
      <c r="EU564" s="332"/>
      <c r="EV564" s="324"/>
      <c r="EW564" s="332"/>
      <c r="EX564" s="324"/>
      <c r="EY564" s="339"/>
      <c r="EZ564" s="558"/>
      <c r="FA564" s="339"/>
      <c r="FB564" s="343">
        <f>SUM(FB558:FB563)</f>
        <v>-20</v>
      </c>
      <c r="FC564" s="334"/>
      <c r="FD564" s="343">
        <f>SUM(FD558:FD563)</f>
        <v>-6.5</v>
      </c>
      <c r="FE564" s="335" t="str">
        <f>IF(ISERROR((FD564/FB564-1)*100),"NA",IF(((FD564/FB564-1)*100)&gt;100,"NM",IF(((FD564/FB564-1)*100)&lt;-50,"NM",(FD564/FB564-1)*100)))</f>
        <v>NM</v>
      </c>
      <c r="FF564" s="343">
        <f>SUM(FF558:FF563)</f>
        <v>-80.249999999999986</v>
      </c>
      <c r="FG564" s="335" t="str">
        <f>IF(ISERROR((FF564/FD564-1)*100),"NA",IF(((FF564/FD564-1)*100)&gt;100,"NM",IF(((FF564/FD564-1)*100)&lt;-50,"NM",(FF564/FD564-1)*100)))</f>
        <v>NM</v>
      </c>
      <c r="FH564" s="343">
        <f>SUM(FH558:FH563)</f>
        <v>-20</v>
      </c>
      <c r="FI564" s="335" t="str">
        <f>IF(ISERROR((FH564/FF564-1)*100),"NA",IF(((FH564/FF564-1)*100)&gt;100,"NM",IF(((FH564/FF564-1)*100)&lt;-50,"NM",(FH564/FF564-1)*100)))</f>
        <v>NM</v>
      </c>
      <c r="FJ564" s="343">
        <f>SUM(FJ558:FJ563)</f>
        <v>-207.3</v>
      </c>
      <c r="FK564" s="335" t="str">
        <f>IF(ISERROR((FJ564/FH564-1)*100),"NA",IF(((FJ564/FH564-1)*100)&gt;100,"NM",IF(((FJ564/FH564-1)*100)&lt;-50,"NM",(FJ564/FH564-1)*100)))</f>
        <v>NM</v>
      </c>
      <c r="FL564" s="343">
        <f>SUM(FL558:FL563)</f>
        <v>-96.6</v>
      </c>
      <c r="FM564" s="335" t="str">
        <f>IF(ISERROR((FL564/FJ564-1)*100),"NA",IF(((FL564/FJ564-1)*100)&gt;100,"NM",IF(((FL564/FJ564-1)*100)&lt;-50,"NM",(FL564/FJ564-1)*100)))</f>
        <v>NM</v>
      </c>
      <c r="FN564" s="343">
        <f>SUM(FN558:FN563)</f>
        <v>-25.3</v>
      </c>
      <c r="FO564" s="335" t="str">
        <f t="shared" si="3064"/>
        <v>NM</v>
      </c>
      <c r="FP564" s="332"/>
      <c r="FQ564" s="324"/>
      <c r="FR564" s="332"/>
      <c r="FS564" s="324"/>
      <c r="FT564" s="332"/>
      <c r="FU564" s="324"/>
      <c r="FV564" s="332"/>
      <c r="FW564" s="324"/>
      <c r="FX564" s="332"/>
      <c r="FY564" s="324"/>
      <c r="FZ564" s="332"/>
      <c r="GA564" s="324"/>
      <c r="GB564" s="332"/>
      <c r="GC564" s="324"/>
      <c r="GD564" s="332"/>
      <c r="GE564" s="324"/>
      <c r="GF564" s="332"/>
      <c r="GG564" s="324"/>
      <c r="GH564" s="332"/>
      <c r="GI564" s="324"/>
      <c r="GJ564" s="332"/>
      <c r="GK564" s="324"/>
      <c r="GL564" s="332"/>
      <c r="GM564" s="324"/>
      <c r="GN564" s="332"/>
      <c r="GO564" s="324"/>
      <c r="GP564" s="332"/>
      <c r="GQ564" s="324"/>
      <c r="GR564" s="332"/>
      <c r="GS564" s="324"/>
      <c r="GT564" s="332"/>
      <c r="GU564" s="324"/>
      <c r="GV564" s="332"/>
      <c r="GW564" s="324"/>
      <c r="GX564" s="332"/>
      <c r="GY564" s="324"/>
      <c r="GZ564" s="324" t="str">
        <f t="shared" si="3024"/>
        <v/>
      </c>
      <c r="HA564" s="324"/>
      <c r="HB564" s="452"/>
      <c r="HC564"/>
      <c r="HD564"/>
      <c r="HE564"/>
      <c r="HF564"/>
      <c r="HG564"/>
      <c r="HH564"/>
    </row>
    <row r="565" spans="1:216" s="321" customFormat="1" ht="12.75" hidden="1" customHeight="1" outlineLevel="1" x14ac:dyDescent="0.2">
      <c r="B565" s="492" t="s">
        <v>2</v>
      </c>
      <c r="C565" s="328">
        <v>15.7</v>
      </c>
      <c r="D565" s="329"/>
      <c r="E565" s="328">
        <v>19.3</v>
      </c>
      <c r="F565" s="330"/>
      <c r="G565" s="328">
        <v>10.6</v>
      </c>
      <c r="H565" s="330"/>
      <c r="I565" s="328">
        <v>15.5</v>
      </c>
      <c r="J565" s="330"/>
      <c r="K565" s="328">
        <v>13.8</v>
      </c>
      <c r="L565" s="324">
        <f>IF(ISERROR((K565/C565-1)*100),"NA",IF(((K565/C565-1)*100)&gt;100,"NM",IF(((K565/C565-1)*100)&lt;-50,"NM",(K565/C565-1)*100)))</f>
        <v>-12.101910828025463</v>
      </c>
      <c r="M565" s="328">
        <v>15.7</v>
      </c>
      <c r="N565" s="324">
        <f>IF(ISERROR((M565/E565-1)*100),"NA",IF(((M565/E565-1)*100)&gt;100,"NM",IF(((M565/E565-1)*100)&lt;-50,"NM",(M565/E565-1)*100)))</f>
        <v>-18.652849740932652</v>
      </c>
      <c r="O565" s="328">
        <v>9.5999999999999908</v>
      </c>
      <c r="P565" s="324">
        <f>IF(ISERROR((O565/G565-1)*100),"NA",IF(((O565/G565-1)*100)&gt;100,"NM",IF(((O565/G565-1)*100)&lt;-50,"NM",(O565/G565-1)*100)))</f>
        <v>-9.433962264151031</v>
      </c>
      <c r="Q565" s="328">
        <v>19</v>
      </c>
      <c r="R565" s="324">
        <f>IF(ISERROR((Q565/I565-1)*100),"NA",IF(((Q565/I565-1)*100)&gt;100,"NM",IF(((Q565/I565-1)*100)&lt;-50,"NM",(Q565/I565-1)*100)))</f>
        <v>22.580645161290324</v>
      </c>
      <c r="S565" s="328">
        <v>13.8</v>
      </c>
      <c r="T565" s="324">
        <f>IF(ISERROR((S565/K565-1)*100),"NA",IF(((S565/K565-1)*100)&gt;100,"NM",IF(((S565/K565-1)*100)&lt;-50,"NM",(S565/K565-1)*100)))</f>
        <v>0</v>
      </c>
      <c r="U565" s="328">
        <v>6.4000000000000057</v>
      </c>
      <c r="V565" s="324" t="str">
        <f>IF(ISERROR((U565/M565-1)*100),"NA",IF(((U565/M565-1)*100)&gt;100,"NM",IF(((U565/M565-1)*100)&lt;-50,"NM",(U565/M565-1)*100)))</f>
        <v>NM</v>
      </c>
      <c r="W565" s="328">
        <v>-0.59999999999999731</v>
      </c>
      <c r="X565" s="324" t="str">
        <f>IF(ISERROR((W565/O565-1)*100),"NA",IF(((W565/O565-1)*100)&gt;100,"NM",IF(((W565/O565-1)*100)&lt;-50,"NM",(W565/O565-1)*100)))</f>
        <v>NM</v>
      </c>
      <c r="Y565" s="328">
        <v>15.3</v>
      </c>
      <c r="Z565" s="324">
        <f>IF(ISERROR((Y565/Q565-1)*100),"NA",IF(((Y565/Q565-1)*100)&gt;100,"NM",IF(((Y565/Q565-1)*100)&lt;-50,"NM",(Y565/Q565-1)*100)))</f>
        <v>-19.473684210526308</v>
      </c>
      <c r="AA565" s="328">
        <v>6.8000000000000087</v>
      </c>
      <c r="AB565" s="324" t="str">
        <f>IF(ISERROR((AA565/S565-1)*100),"NA",IF(((AA565/S565-1)*100)&gt;100,"NM",IF(((AA565/S565-1)*100)&lt;-50,"NM",(AA565/S565-1)*100)))</f>
        <v>NM</v>
      </c>
      <c r="AC565" s="328">
        <v>12.4</v>
      </c>
      <c r="AD565" s="324">
        <f>IF(ISERROR((AC565/U565-1)*100),"NA",IF(((AC565/U565-1)*100)&gt;100,"NM",IF(((AC565/U565-1)*100)&lt;-50,"NM",(AC565/U565-1)*100)))</f>
        <v>93.749999999999829</v>
      </c>
      <c r="AE565" s="328">
        <v>11.3</v>
      </c>
      <c r="AF565" s="324" t="str">
        <f>IF(ISERROR((AE565/W565-1)*100),"NA",IF(((AE565/W565-1)*100)&gt;100,"NM",IF(((AE565/W565-1)*100)&lt;-50,"NM",(AE565/W565-1)*100)))</f>
        <v>NM</v>
      </c>
      <c r="AG565" s="328">
        <v>13</v>
      </c>
      <c r="AH565" s="324">
        <f>IF(ISERROR((AG565/Y565-1)*100),"NA",IF(((AG565/Y565-1)*100)&gt;100,"NM",IF(((AG565/Y565-1)*100)&lt;-50,"NM",(AG565/Y565-1)*100)))</f>
        <v>-15.032679738562093</v>
      </c>
      <c r="AI565" s="328">
        <v>6.1999999999999948</v>
      </c>
      <c r="AJ565" s="324">
        <f>IF(ISERROR((AI565/AA565-1)*100),"NA",IF(((AI565/AA565-1)*100)&gt;100,"NM",IF(((AI565/AA565-1)*100)&lt;-50,"NM",(AI565/AA565-1)*100)))</f>
        <v>-8.8235294117648966</v>
      </c>
      <c r="AK565" s="328">
        <v>10.65</v>
      </c>
      <c r="AL565" s="324">
        <f>IF(ISERROR((AK565/AC565-1)*100),"NA",IF(((AK565/AC565-1)*100)&gt;100,"NM",IF(((AK565/AC565-1)*100)&lt;-50,"NM",(AK565/AC565-1)*100)))</f>
        <v>-14.11290322580645</v>
      </c>
      <c r="AM565" s="328">
        <v>10.1</v>
      </c>
      <c r="AN565" s="324">
        <f>IF(ISERROR((AM565/AE565-1)*100),"NA",IF(((AM565/AE565-1)*100)&gt;100,"NM",IF(((AM565/AE565-1)*100)&lt;-50,"NM",(AM565/AE565-1)*100)))</f>
        <v>-10.619469026548678</v>
      </c>
      <c r="AO565" s="328">
        <v>16.600000000000001</v>
      </c>
      <c r="AP565" s="324">
        <f>IF(ISERROR((AO565/AG565-1)*100),"NA",IF(((AO565/AG565-1)*100)&gt;100,"NM",IF(((AO565/AG565-1)*100)&lt;-50,"NM",(AO565/AG565-1)*100)))</f>
        <v>27.692307692307704</v>
      </c>
      <c r="AQ565" s="338">
        <v>20.908999999999999</v>
      </c>
      <c r="AR565" s="324" t="str">
        <f>IF(ISERROR((AQ565/AI565-1)*100),"NA",IF(((AQ565/AI565-1)*100)&gt;100,"NM",IF(((AQ565/AI565-1)*100)&lt;-50,"NM",(AQ565/AI565-1)*100)))</f>
        <v>NM</v>
      </c>
      <c r="AS565" s="338">
        <v>24.823999999999998</v>
      </c>
      <c r="AT565" s="324" t="str">
        <f>IF(ISERROR((AS565/AK565-1)*100),"NA",IF(((AS565/AK565-1)*100)&gt;100,"NM",IF(((AS565/AK565-1)*100)&lt;-50,"NM",(AS565/AK565-1)*100)))</f>
        <v>NM</v>
      </c>
      <c r="AU565" s="338">
        <v>23.76</v>
      </c>
      <c r="AV565" s="324" t="str">
        <f>IF(ISERROR((AU565/AM565-1)*100),"NA",IF(((AU565/AM565-1)*100)&gt;100,"NM",IF(((AU565/AM565-1)*100)&lt;-50,"NM",(AU565/AM565-1)*100)))</f>
        <v>NM</v>
      </c>
      <c r="AW565" s="338">
        <v>31.170999999999999</v>
      </c>
      <c r="AX565" s="324">
        <f>IF(ISERROR((AW565/AO565-1)*100),"NA",IF(((AW565/AO565-1)*100)&gt;100,"NM",IF(((AW565/AO565-1)*100)&lt;-50,"NM",(AW565/AO565-1)*100)))</f>
        <v>87.777108433734924</v>
      </c>
      <c r="AY565" s="338">
        <v>21.86</v>
      </c>
      <c r="AZ565" s="324">
        <f>IF(ISERROR((AY565/AQ565-1)*100),"NA",IF(((AY565/AQ565-1)*100)&gt;100,"NM",IF(((AY565/AQ565-1)*100)&lt;-50,"NM",(AY565/AQ565-1)*100)))</f>
        <v>4.5482806446984547</v>
      </c>
      <c r="BA565" s="338">
        <v>5.9599999999999929</v>
      </c>
      <c r="BB565" s="324" t="str">
        <f>IF(ISERROR((BA565/AS565-1)*100),"NA",IF(((BA565/AS565-1)*100)&gt;100,"NM",IF(((BA565/AS565-1)*100)&lt;-50,"NM",(BA565/AS565-1)*100)))</f>
        <v>NM</v>
      </c>
      <c r="BC565" s="338">
        <v>24.46</v>
      </c>
      <c r="BD565" s="324">
        <f>IF(ISERROR((BC565/AU565-1)*100),"NA",IF(((BC565/AU565-1)*100)&gt;100,"NM",IF(((BC565/AU565-1)*100)&lt;-50,"NM",(BC565/AU565-1)*100)))</f>
        <v>2.946127946127941</v>
      </c>
      <c r="BE565" s="338">
        <v>27.36</v>
      </c>
      <c r="BF565" s="324">
        <f>IF(ISERROR((BE565/AW565-1)*100),"NA",IF(((BE565/AW565-1)*100)&gt;100,"NM",IF(((BE565/AW565-1)*100)&lt;-50,"NM",(BE565/AW565-1)*100)))</f>
        <v>-12.226107600012837</v>
      </c>
      <c r="BG565" s="338"/>
      <c r="BH565" s="324" t="str">
        <f>IF(ISERROR((BG565/AY565-1)*100),"NA",IF(((BG565/AY565-1)*100)&gt;100,"NM",IF(((BG565/AY565-1)*100)&lt;-50,"NM",(BG565/AY565-1)*100)))</f>
        <v>NM</v>
      </c>
      <c r="BI565" s="338">
        <v>6.3</v>
      </c>
      <c r="BJ565" s="324">
        <f>IF(ISERROR((BI565/BA565-1)*100),"NA",IF(((BI565/BA565-1)*100)&gt;100,"NM",IF(((BI565/BA565-1)*100)&lt;-50,"NM",(BI565/BA565-1)*100)))</f>
        <v>5.7046979865773118</v>
      </c>
      <c r="BK565" s="338">
        <v>6.6</v>
      </c>
      <c r="BL565" s="324" t="str">
        <f>IF(ISERROR((BK565/BC565-1)*100),"NA",IF(((BK565/BC565-1)*100)&gt;100,"NM",IF(((BK565/BC565-1)*100)&lt;-50,"NM",(BK565/BC565-1)*100)))</f>
        <v>NM</v>
      </c>
      <c r="BM565" s="338">
        <v>-126.8</v>
      </c>
      <c r="BN565" s="324" t="str">
        <f>IF(ISERROR((BM565/BE565-1)*100),"NA",IF(((BM565/BE565-1)*100)&gt;100,"NM",IF(((BM565/BE565-1)*100)&lt;-50,"NM",(BM565/BE565-1)*100)))</f>
        <v>NM</v>
      </c>
      <c r="BO565" s="338">
        <v>-4.2</v>
      </c>
      <c r="BP565" s="324" t="str">
        <f>IF(ISERROR((BO565/BG565-1)*100),"NA",IF(((BO565/BG565-1)*100)&gt;100,"NM",IF(((BO565/BG565-1)*100)&lt;-50,"NM",(BO565/BG565-1)*100)))</f>
        <v>NA</v>
      </c>
      <c r="BQ565" s="338">
        <v>13.1</v>
      </c>
      <c r="BR565" s="324" t="str">
        <f>IF(ISERROR((BQ565/BI565-1)*100),"NA",IF(((BQ565/BI565-1)*100)&gt;100,"NM",IF(((BQ565/BI565-1)*100)&lt;-50,"NM",(BQ565/BI565-1)*100)))</f>
        <v>NM</v>
      </c>
      <c r="BS565" s="338">
        <v>12.2</v>
      </c>
      <c r="BT565" s="324">
        <f>IF(ISERROR((BS565/BK565-1)*100),"NA",IF(((BS565/BK565-1)*100)&gt;100,"NM",IF(((BS565/BK565-1)*100)&lt;-50,"NM",(BS565/BK565-1)*100)))</f>
        <v>84.848484848484844</v>
      </c>
      <c r="BU565" s="338">
        <v>0.5</v>
      </c>
      <c r="BV565" s="324" t="str">
        <f>IF(ISERROR((BU565/BM565-1)*100),"NA",IF(((BU565/BM565-1)*100)&gt;100,"NM",IF(((BU565/BM565-1)*100)&lt;-50,"NM",(BU565/BM565-1)*100)))</f>
        <v>NM</v>
      </c>
      <c r="BW565" s="338">
        <v>4.9000000000000004</v>
      </c>
      <c r="BX565" s="324" t="str">
        <f>IF(ISERROR((BW565/BO565-1)*100),"NA",IF(((BW565/BO565-1)*100)&gt;100,"NM",IF(((BW565/BO565-1)*100)&lt;-50,"NM",(BW565/BO565-1)*100)))</f>
        <v>NM</v>
      </c>
      <c r="BY565" s="338">
        <f>-160.3+5</f>
        <v>-155.30000000000001</v>
      </c>
      <c r="BZ565" s="324"/>
      <c r="CA565" s="332"/>
      <c r="CB565" s="324"/>
      <c r="CC565" s="332"/>
      <c r="CD565" s="324"/>
      <c r="CE565" s="332"/>
      <c r="CF565" s="324"/>
      <c r="CG565" s="332"/>
      <c r="CH565" s="324"/>
      <c r="CI565" s="332"/>
      <c r="CJ565" s="324"/>
      <c r="CK565" s="332"/>
      <c r="CL565" s="324"/>
      <c r="CM565" s="332"/>
      <c r="CN565" s="324"/>
      <c r="CO565" s="332"/>
      <c r="CP565" s="324"/>
      <c r="CQ565" s="332"/>
      <c r="CR565" s="324"/>
      <c r="CS565" s="332"/>
      <c r="CT565" s="324"/>
      <c r="CU565" s="332"/>
      <c r="CV565" s="324"/>
      <c r="CW565" s="332"/>
      <c r="CX565" s="324"/>
      <c r="CY565" s="332"/>
      <c r="CZ565" s="324"/>
      <c r="DA565" s="332"/>
      <c r="DB565" s="324"/>
      <c r="DC565" s="332"/>
      <c r="DD565" s="324"/>
      <c r="DE565" s="332"/>
      <c r="DF565" s="324"/>
      <c r="DG565" s="332"/>
      <c r="DH565" s="324"/>
      <c r="DI565" s="332"/>
      <c r="DJ565" s="324"/>
      <c r="DK565" s="332"/>
      <c r="DL565" s="324"/>
      <c r="DM565" s="332"/>
      <c r="DN565" s="324"/>
      <c r="DO565" s="332"/>
      <c r="DP565" s="324"/>
      <c r="DQ565" s="332"/>
      <c r="DR565" s="324"/>
      <c r="DS565" s="332"/>
      <c r="DT565" s="324"/>
      <c r="DU565" s="332"/>
      <c r="DV565" s="324"/>
      <c r="DW565" s="332"/>
      <c r="DX565" s="332"/>
      <c r="DY565" s="332"/>
      <c r="DZ565" s="324"/>
      <c r="EA565" s="332"/>
      <c r="EB565" s="324"/>
      <c r="EC565" s="332"/>
      <c r="ED565" s="324"/>
      <c r="EE565" s="332"/>
      <c r="EF565" s="324"/>
      <c r="EG565" s="332"/>
      <c r="EH565" s="324"/>
      <c r="EI565" s="332"/>
      <c r="EJ565" s="324"/>
      <c r="EK565" s="332"/>
      <c r="EL565" s="324"/>
      <c r="EM565" s="332"/>
      <c r="EN565" s="324"/>
      <c r="EO565" s="332"/>
      <c r="EP565" s="324"/>
      <c r="EQ565" s="332"/>
      <c r="ER565" s="324"/>
      <c r="ES565" s="332"/>
      <c r="ET565" s="324"/>
      <c r="EU565" s="332"/>
      <c r="EV565" s="324"/>
      <c r="EW565" s="332"/>
      <c r="EX565" s="324"/>
      <c r="EY565" s="333"/>
      <c r="EZ565" s="558"/>
      <c r="FA565" s="333"/>
      <c r="FB565" s="336">
        <v>0</v>
      </c>
      <c r="FC565" s="334"/>
      <c r="FD565" s="336">
        <v>0</v>
      </c>
      <c r="FE565" s="335" t="str">
        <f>IF(ISERROR((FD565/FB565-1)*100),"NA",IF(((FD565/FB565-1)*100)&gt;100,"NM",IF(((FD565/FB565-1)*100)&lt;-50,"NM",(FD565/FB565-1)*100)))</f>
        <v>NA</v>
      </c>
      <c r="FF565" s="336">
        <v>0</v>
      </c>
      <c r="FG565" s="335" t="str">
        <f>IF(ISERROR((FF565/FD565-1)*100),"NA",IF(((FF565/FD565-1)*100)&gt;100,"NM",IF(((FF565/FD565-1)*100)&lt;-50,"NM",(FF565/FD565-1)*100)))</f>
        <v>NA</v>
      </c>
      <c r="FH565" s="336">
        <v>0</v>
      </c>
      <c r="FI565" s="335" t="str">
        <f>IF(ISERROR((FH565/FF565-1)*100),"NA",IF(((FH565/FF565-1)*100)&gt;100,"NM",IF(((FH565/FF565-1)*100)&lt;-50,"NM",(FH565/FF565-1)*100)))</f>
        <v>NA</v>
      </c>
      <c r="FJ565" s="336">
        <v>0</v>
      </c>
      <c r="FK565" s="335" t="str">
        <f>IF(ISERROR((FJ565/FH565-1)*100),"NA",IF(((FJ565/FH565-1)*100)&gt;100,"NM",IF(((FJ565/FH565-1)*100)&lt;-50,"NM",(FJ565/FH565-1)*100)))</f>
        <v>NA</v>
      </c>
      <c r="FL565" s="336">
        <v>0</v>
      </c>
      <c r="FM565" s="335" t="str">
        <f>IF(ISERROR((FL565/FJ565-1)*100),"NA",IF(((FL565/FJ565-1)*100)&gt;100,"NM",IF(((FL565/FJ565-1)*100)&lt;-50,"NM",(FL565/FJ565-1)*100)))</f>
        <v>NA</v>
      </c>
      <c r="FN565" s="336">
        <v>0</v>
      </c>
      <c r="FO565" s="335" t="str">
        <f t="shared" si="3064"/>
        <v>NA</v>
      </c>
      <c r="FP565" s="332">
        <f>AQ565+AS565+AU565+AW565</f>
        <v>100.66399999999999</v>
      </c>
      <c r="FQ565" s="324" t="str">
        <f>IF(ISERROR((FP565/FH565-1)*100),"NA",IF(((FP565/FH565-1)*100)&gt;100,"NM",IF(((FP565/FH565-1)*100)&lt;-50,"NM",(FP565/FH565-1)*100)))</f>
        <v>NA</v>
      </c>
      <c r="FR565" s="332">
        <f>AY565+BA565+BC565+BE565</f>
        <v>79.639999999999986</v>
      </c>
      <c r="FS565" s="324">
        <f>IF(ISERROR((FR565/FP565-1)*100),"NA",IF(((FR565/FP565-1)*100)&gt;100,"NM",IF(((FR565/FP565-1)*100)&lt;-50,"NM",(FR565/FP565-1)*100)))</f>
        <v>-20.885321465469286</v>
      </c>
      <c r="FT565" s="332">
        <f>BG565+BI565+BK565+BM565</f>
        <v>-113.9</v>
      </c>
      <c r="FU565" s="324" t="str">
        <f>IF(ISERROR((FT565/FR565-1)*100),"NA",IF(((FT565/FR565-1)*100)&gt;100,"NM",IF(((FT565/FR565-1)*100)&lt;-50,"NM",(FT565/FR565-1)*100)))</f>
        <v>NM</v>
      </c>
      <c r="FV565" s="332">
        <f>BO565+BQ565+BS565+BU565</f>
        <v>21.599999999999998</v>
      </c>
      <c r="FW565" s="324" t="str">
        <f>IF(ISERROR((FV565/FT565-1)*100),"NA",IF(((FV565/FT565-1)*100)&gt;100,"NM",IF(((FV565/FT565-1)*100)&lt;-50,"NM",(FV565/FT565-1)*100)))</f>
        <v>NM</v>
      </c>
      <c r="FX565" s="332">
        <f>BW565+BY565+CA565+CC565</f>
        <v>-150.4</v>
      </c>
      <c r="FY565" s="324" t="str">
        <f>IF(ISERROR((FX565/FV565-1)*100),"NA",IF(((FX565/FV565-1)*100)&gt;100,"NM",IF(((FX565/FV565-1)*100)&lt;-50,"NM",(FX565/FV565-1)*100)))</f>
        <v>NM</v>
      </c>
      <c r="FZ565" s="332"/>
      <c r="GA565" s="324"/>
      <c r="GB565" s="332"/>
      <c r="GC565" s="324"/>
      <c r="GD565" s="332"/>
      <c r="GE565" s="324"/>
      <c r="GF565" s="332"/>
      <c r="GG565" s="324"/>
      <c r="GH565" s="332"/>
      <c r="GI565" s="324"/>
      <c r="GJ565" s="332"/>
      <c r="GK565" s="324"/>
      <c r="GL565" s="332"/>
      <c r="GM565" s="324"/>
      <c r="GN565" s="332"/>
      <c r="GO565" s="324"/>
      <c r="GP565" s="332"/>
      <c r="GQ565" s="324"/>
      <c r="GR565" s="332"/>
      <c r="GS565" s="324"/>
      <c r="GT565" s="332"/>
      <c r="GU565" s="324"/>
      <c r="GV565" s="332"/>
      <c r="GW565" s="324"/>
      <c r="GX565" s="332"/>
      <c r="GY565" s="324"/>
      <c r="GZ565" s="324"/>
      <c r="HA565" s="324"/>
      <c r="HB565" s="452"/>
      <c r="HC565"/>
      <c r="HD565"/>
      <c r="HE565"/>
      <c r="HF565"/>
      <c r="HG565"/>
      <c r="HH565"/>
    </row>
    <row r="566" spans="1:216" s="7" customFormat="1" ht="12.75" customHeight="1" collapsed="1" x14ac:dyDescent="0.2">
      <c r="A566" s="7" t="s">
        <v>575</v>
      </c>
      <c r="B566" s="344" t="s">
        <v>63</v>
      </c>
      <c r="C566" s="102">
        <f>C553+C552</f>
        <v>170</v>
      </c>
      <c r="D566" s="70"/>
      <c r="E566" s="102">
        <f>E553+E552</f>
        <v>166.4</v>
      </c>
      <c r="F566" s="71"/>
      <c r="G566" s="102">
        <f>G553+G552</f>
        <v>179.2</v>
      </c>
      <c r="H566" s="71"/>
      <c r="I566" s="102">
        <f>I553+I552</f>
        <v>186.19</v>
      </c>
      <c r="J566" s="71"/>
      <c r="K566" s="102">
        <f>K553+K552</f>
        <v>153.30000000000001</v>
      </c>
      <c r="L566" s="61">
        <f>IF(ISERROR((K566/C566-1)*100),"NA",IF(((K566/C566-1)*100)&gt;100,"NM",IF(((K566/C566-1)*100)&lt;-50,"NM",(K566/C566-1)*100)))</f>
        <v>-9.8235294117646976</v>
      </c>
      <c r="M566" s="102">
        <f>M553+M552</f>
        <v>143.4</v>
      </c>
      <c r="N566" s="61">
        <f>IF(ISERROR((M566/E566-1)*100),"NA",IF(((M566/E566-1)*100)&gt;100,"NM",IF(((M566/E566-1)*100)&lt;-50,"NM",(M566/E566-1)*100)))</f>
        <v>-13.822115384615385</v>
      </c>
      <c r="O566" s="102">
        <f>O553+O552</f>
        <v>110</v>
      </c>
      <c r="P566" s="61">
        <f>IF(ISERROR((O566/G566-1)*100),"NA",IF(((O566/G566-1)*100)&gt;100,"NM",IF(((O566/G566-1)*100)&lt;-50,"NM",(O566/G566-1)*100)))</f>
        <v>-38.616071428571431</v>
      </c>
      <c r="Q566" s="102">
        <f>Q553+Q552</f>
        <v>160</v>
      </c>
      <c r="R566" s="61">
        <f>IF(ISERROR((Q566/I566-1)*100),"NA",IF(((Q566/I566-1)*100)&gt;100,"NM",IF(((Q566/I566-1)*100)&lt;-50,"NM",(Q566/I566-1)*100)))</f>
        <v>-14.066276384338583</v>
      </c>
      <c r="S566" s="102">
        <f>S553+S552</f>
        <v>85.6</v>
      </c>
      <c r="T566" s="61">
        <f>IF(ISERROR((S566/K566-1)*100),"NA",IF(((S566/K566-1)*100)&gt;100,"NM",IF(((S566/K566-1)*100)&lt;-50,"NM",(S566/K566-1)*100)))</f>
        <v>-44.161774298760605</v>
      </c>
      <c r="U566" s="102">
        <f>U553+U552</f>
        <v>48.3</v>
      </c>
      <c r="V566" s="61" t="str">
        <f>IF(ISERROR((U566/M566-1)*100),"NA",IF(((U566/M566-1)*100)&gt;100,"NM",IF(((U566/M566-1)*100)&lt;-50,"NM",(U566/M566-1)*100)))</f>
        <v>NM</v>
      </c>
      <c r="W566" s="102">
        <f>W553+W552</f>
        <v>-135.89999999999986</v>
      </c>
      <c r="X566" s="61" t="str">
        <f>IF(ISERROR((W566/O566-1)*100),"NA",IF(((W566/O566-1)*100)&gt;100,"NM",IF(((W566/O566-1)*100)&lt;-50,"NM",(W566/O566-1)*100)))</f>
        <v>NM</v>
      </c>
      <c r="Y566" s="102">
        <f>Y553+Y552</f>
        <v>51.199999999999989</v>
      </c>
      <c r="Z566" s="61" t="str">
        <f>IF(ISERROR((Y566/Q566-1)*100),"NA",IF(((Y566/Q566-1)*100)&gt;100,"NM",IF(((Y566/Q566-1)*100)&lt;-50,"NM",(Y566/Q566-1)*100)))</f>
        <v>NM</v>
      </c>
      <c r="AA566" s="102">
        <f>AA553+AA552</f>
        <v>41.599999999999994</v>
      </c>
      <c r="AB566" s="61" t="str">
        <f>IF(ISERROR((AA566/S566-1)*100),"NA",IF(((AA566/S566-1)*100)&gt;100,"NM",IF(((AA566/S566-1)*100)&lt;-50,"NM",(AA566/S566-1)*100)))</f>
        <v>NM</v>
      </c>
      <c r="AC566" s="102">
        <f>AC553+AC552</f>
        <v>142.60000000000002</v>
      </c>
      <c r="AD566" s="61" t="str">
        <f>IF(ISERROR((AC566/U566-1)*100),"NA",IF(((AC566/U566-1)*100)&gt;100,"NM",IF(((AC566/U566-1)*100)&lt;-50,"NM",(AC566/U566-1)*100)))</f>
        <v>NM</v>
      </c>
      <c r="AE566" s="102">
        <f>AE553+AE552</f>
        <v>133.19999999999999</v>
      </c>
      <c r="AF566" s="61" t="str">
        <f>IF(ISERROR((AE566/W566-1)*100),"NA",IF(((AE566/W566-1)*100)&gt;100,"NM",IF(((AE566/W566-1)*100)&lt;-50,"NM",(AE566/W566-1)*100)))</f>
        <v>NM</v>
      </c>
      <c r="AG566" s="102">
        <f>AG553+AG552</f>
        <v>194.4</v>
      </c>
      <c r="AH566" s="61" t="str">
        <f>IF(ISERROR((AG566/Y566-1)*100),"NA",IF(((AG566/Y566-1)*100)&gt;100,"NM",IF(((AG566/Y566-1)*100)&lt;-50,"NM",(AG566/Y566-1)*100)))</f>
        <v>NM</v>
      </c>
      <c r="AI566" s="102">
        <f>AI553+AI552</f>
        <v>130.30000000000001</v>
      </c>
      <c r="AJ566" s="61" t="str">
        <f>IF(ISERROR((AI566/AA566-1)*100),"NA",IF(((AI566/AA566-1)*100)&gt;100,"NM",IF(((AI566/AA566-1)*100)&lt;-50,"NM",(AI566/AA566-1)*100)))</f>
        <v>NM</v>
      </c>
      <c r="AK566" s="102">
        <f>AK553+AK552</f>
        <v>187.04999999999998</v>
      </c>
      <c r="AL566" s="61">
        <f>IF(ISERROR((AK566/AC566-1)*100),"NA",IF(((AK566/AC566-1)*100)&gt;100,"NM",IF(((AK566/AC566-1)*100)&lt;-50,"NM",(AK566/AC566-1)*100)))</f>
        <v>31.171107994389867</v>
      </c>
      <c r="AM566" s="102">
        <f>AM553+AM552</f>
        <v>199.8</v>
      </c>
      <c r="AN566" s="61">
        <f>IF(ISERROR((AM566/AE566-1)*100),"NA",IF(((AM566/AE566-1)*100)&gt;100,"NM",IF(((AM566/AE566-1)*100)&lt;-50,"NM",(AM566/AE566-1)*100)))</f>
        <v>50.000000000000021</v>
      </c>
      <c r="AO566" s="102">
        <f>AO553+AO552</f>
        <v>189.57</v>
      </c>
      <c r="AP566" s="61">
        <f>IF(ISERROR((AO566/AG566-1)*100),"NA",IF(((AO566/AG566-1)*100)&gt;100,"NM",IF(((AO566/AG566-1)*100)&lt;-50,"NM",(AO566/AG566-1)*100)))</f>
        <v>-2.4845679012345689</v>
      </c>
      <c r="AQ566" s="102">
        <f>AQ553+AQ552</f>
        <v>219.24200000000005</v>
      </c>
      <c r="AR566" s="61">
        <f>IF(ISERROR((AQ566/AI566-1)*100),"NA",IF(((AQ566/AI566-1)*100)&gt;100,"NM",IF(((AQ566/AI566-1)*100)&lt;-50,"NM",(AQ566/AI566-1)*100)))</f>
        <v>68.259401381427494</v>
      </c>
      <c r="AS566" s="102">
        <f>AS553+AS552</f>
        <v>235.56300000000002</v>
      </c>
      <c r="AT566" s="61">
        <f>IF(ISERROR((AS566/AK566-1)*100),"NA",IF(((AS566/AK566-1)*100)&gt;100,"NM",IF(((AS566/AK566-1)*100)&lt;-50,"NM",(AS566/AK566-1)*100)))</f>
        <v>25.935846030473165</v>
      </c>
      <c r="AU566" s="102">
        <f>AU553+AU552</f>
        <v>252.81599999999989</v>
      </c>
      <c r="AV566" s="61">
        <f>IF(ISERROR((AU566/AM566-1)*100),"NA",IF(((AU566/AM566-1)*100)&gt;100,"NM",IF(((AU566/AM566-1)*100)&lt;-50,"NM",(AU566/AM566-1)*100)))</f>
        <v>26.534534534534473</v>
      </c>
      <c r="AW566" s="102">
        <f>AW553+AW552</f>
        <v>250.83500000000001</v>
      </c>
      <c r="AX566" s="61">
        <f>IF(ISERROR((AW566/AO566-1)*100),"NA",IF(((AW566/AO566-1)*100)&gt;100,"NM",IF(((AW566/AO566-1)*100)&lt;-50,"NM",(AW566/AO566-1)*100)))</f>
        <v>32.317877301260765</v>
      </c>
      <c r="AY566" s="102">
        <f>AY553+AY552</f>
        <v>246.55999999999995</v>
      </c>
      <c r="AZ566" s="61">
        <f>IF(ISERROR((AY566/AQ566-1)*100),"NA",IF(((AY566/AQ566-1)*100)&gt;100,"NM",IF(((AY566/AQ566-1)*100)&lt;-50,"NM",(AY566/AQ566-1)*100)))</f>
        <v>12.460203793068803</v>
      </c>
      <c r="BA566" s="102">
        <f>BA553+BA552</f>
        <v>321.06</v>
      </c>
      <c r="BB566" s="61">
        <f>IF(ISERROR((BA566/AS566-1)*100),"NA",IF(((BA566/AS566-1)*100)&gt;100,"NM",IF(((BA566/AS566-1)*100)&lt;-50,"NM",(BA566/AS566-1)*100)))</f>
        <v>36.294749175379827</v>
      </c>
      <c r="BC566" s="102">
        <f>BC553+BC552</f>
        <v>350.76000000000005</v>
      </c>
      <c r="BD566" s="61">
        <f>IF(ISERROR((BC566/AU566-1)*100),"NA",IF(((BC566/AU566-1)*100)&gt;100,"NM",IF(((BC566/AU566-1)*100)&lt;-50,"NM",(BC566/AU566-1)*100)))</f>
        <v>38.741218910195641</v>
      </c>
      <c r="BE566" s="102">
        <f>BE553+BE552</f>
        <v>366.55999999999995</v>
      </c>
      <c r="BF566" s="61">
        <f>IF(ISERROR((BE566/AW566-1)*100),"NA",IF(((BE566/AW566-1)*100)&gt;100,"NM",IF(((BE566/AW566-1)*100)&lt;-50,"NM",(BE566/AW566-1)*100)))</f>
        <v>46.135906073713763</v>
      </c>
      <c r="BG566" s="102">
        <f>BG553+BG552</f>
        <v>361.10000000000008</v>
      </c>
      <c r="BH566" s="61">
        <f>IF(ISERROR((BG566/AY566-1)*100),"NA",IF(((BG566/AY566-1)*100)&gt;100,"NM",IF(((BG566/AY566-1)*100)&lt;-50,"NM",(BG566/AY566-1)*100)))</f>
        <v>46.455223880597089</v>
      </c>
      <c r="BI566" s="102">
        <f>BI553+BI552</f>
        <v>346.70000000000005</v>
      </c>
      <c r="BJ566" s="61">
        <f>IF(ISERROR((BI566/BA566-1)*100),"NA",IF(((BI566/BA566-1)*100)&gt;100,"NM",IF(((BI566/BA566-1)*100)&lt;-50,"NM",(BI566/BA566-1)*100)))</f>
        <v>7.9860462218900086</v>
      </c>
      <c r="BK566" s="102">
        <f>BK553+BK552</f>
        <v>290</v>
      </c>
      <c r="BL566" s="61">
        <f>IF(ISERROR((BK566/BC566-1)*100),"NA",IF(((BK566/BC566-1)*100)&gt;100,"NM",IF(((BK566/BC566-1)*100)&lt;-50,"NM",(BK566/BC566-1)*100)))</f>
        <v>-17.322385676816065</v>
      </c>
      <c r="BM566" s="102">
        <f>BM553+BM552</f>
        <v>199.49999999999983</v>
      </c>
      <c r="BN566" s="61">
        <f>IF(ISERROR((BM566/BE566-1)*100),"NA",IF(((BM566/BE566-1)*100)&gt;100,"NM",IF(((BM566/BE566-1)*100)&lt;-50,"NM",(BM566/BE566-1)*100)))</f>
        <v>-45.575076385857741</v>
      </c>
      <c r="BO566" s="102">
        <f>BO553+BO552</f>
        <v>289.41800000000012</v>
      </c>
      <c r="BP566" s="61">
        <f>IF(ISERROR((BO566/BG566-1)*100),"NA",IF(((BO566/BG566-1)*100)&gt;100,"NM",IF(((BO566/BG566-1)*100)&lt;-50,"NM",(BO566/BG566-1)*100)))</f>
        <v>-19.851010800332304</v>
      </c>
      <c r="BQ566" s="102">
        <f>BQ553+BQ552</f>
        <v>124.80000000000007</v>
      </c>
      <c r="BR566" s="61" t="str">
        <f>IF(ISERROR((BQ566/BI566-1)*100),"NA",IF(((BQ566/BI566-1)*100)&gt;100,"NM",IF(((BQ566/BI566-1)*100)&lt;-50,"NM",(BQ566/BI566-1)*100)))</f>
        <v>NM</v>
      </c>
      <c r="BS566" s="102">
        <f>BS553+BS552</f>
        <v>147.70000000000013</v>
      </c>
      <c r="BT566" s="61">
        <f>IF(ISERROR((BS566/BK566-1)*100),"NA",IF(((BS566/BK566-1)*100)&gt;100,"NM",IF(((BS566/BK566-1)*100)&lt;-50,"NM",(BS566/BK566-1)*100)))</f>
        <v>-49.068965517241338</v>
      </c>
      <c r="BU566" s="102">
        <f>BU553+BU552</f>
        <v>-505.90000000000009</v>
      </c>
      <c r="BV566" s="61" t="str">
        <f>IF(ISERROR((BU566/BM566-1)*100),"NA",IF(((BU566/BM566-1)*100)&gt;100,"NM",IF(((BU566/BM566-1)*100)&lt;-50,"NM",(BU566/BM566-1)*100)))</f>
        <v>NM</v>
      </c>
      <c r="BW566" s="102">
        <f>BW553+BW552</f>
        <v>-578.89999999999986</v>
      </c>
      <c r="BX566" s="61" t="str">
        <f>IF(ISERROR((BW566/BO566-1)*100),"NA",IF(((BW566/BO566-1)*100)&gt;100,"NM",IF(((BW566/BO566-1)*100)&lt;-50,"NM",(BW566/BO566-1)*100)))</f>
        <v>NM</v>
      </c>
      <c r="BY566" s="102">
        <f>BY553+BY552</f>
        <v>-160.99999999999986</v>
      </c>
      <c r="BZ566" s="61" t="str">
        <f>IF(ISERROR((BY566/BQ566-1)*100),"NA",IF(((BY566/BQ566-1)*100)&gt;100,"NM",IF(((BY566/BQ566-1)*100)&lt;-50,"NM",(BY566/BQ566-1)*100)))</f>
        <v>NM</v>
      </c>
      <c r="CA566" s="102">
        <f>CA553+CA552</f>
        <v>137.00999999999988</v>
      </c>
      <c r="CB566" s="61">
        <f>IF(ISERROR((CA566/BS566-1)*100),"NA",IF(((CA566/BS566-1)*100)&gt;100,"NM",IF(((CA566/BS566-1)*100)&lt;-50,"NM",(CA566/BS566-1)*100)))</f>
        <v>-7.2376438727151271</v>
      </c>
      <c r="CC566" s="102">
        <f>CC553+CC552</f>
        <v>84.1</v>
      </c>
      <c r="CD566" s="61" t="str">
        <f>IF(ISERROR((CC566/BU566-1)*100),"NA",IF(((CC566/BU566-1)*100)&gt;100,"NM",IF(((CC566/BU566-1)*100)&lt;-50,"NM",(CC566/BU566-1)*100)))</f>
        <v>NM</v>
      </c>
      <c r="CE566" s="102">
        <f>CE553+CE552</f>
        <v>246.70000000000007</v>
      </c>
      <c r="CF566" s="61" t="str">
        <f>IF(ISERROR((CE566/BW566-1)*100),"NA",IF(((CE566/BW566-1)*100)&gt;100,"NM",IF(((CE566/BW566-1)*100)&lt;-50,"NM",(CE566/BW566-1)*100)))</f>
        <v>NM</v>
      </c>
      <c r="CG566" s="102">
        <f>CG553+CG552</f>
        <v>86.6</v>
      </c>
      <c r="CH566" s="61" t="str">
        <f>IF(ISERROR((CG566/BY566-1)*100),"NA",IF(((CG566/BY566-1)*100)&gt;100,"NM",IF(((CG566/BY566-1)*100)&lt;-50,"NM",(CG566/BY566-1)*100)))</f>
        <v>NM</v>
      </c>
      <c r="CI566" s="102">
        <f>CI553+CI552</f>
        <v>243.99999999999997</v>
      </c>
      <c r="CJ566" s="61">
        <f>IF(ISERROR((CI566/CA566-1)*100),"NA",IF(((CI566/CA566-1)*100)&gt;100,"NM",IF(((CI566/CA566-1)*100)&lt;-50,"NM",(CI566/CA566-1)*100)))</f>
        <v>78.089190570031519</v>
      </c>
      <c r="CK566" s="102">
        <f>CK553+CK552</f>
        <v>195.69999999999982</v>
      </c>
      <c r="CL566" s="61" t="str">
        <f>IF(ISERROR((CK566/CC566-1)*100),"NA",IF(((CK566/CC566-1)*100)&gt;100,"NM",IF(((CK566/CC566-1)*100)&lt;-50,"NM",(CK566/CC566-1)*100)))</f>
        <v>NM</v>
      </c>
      <c r="CM566" s="102">
        <f>CM553+CM552</f>
        <v>313.70000000000022</v>
      </c>
      <c r="CN566" s="61">
        <f>IF(ISERROR((CM566/CE566-1)*100),"NA",IF(((CM566/CE566-1)*100)&gt;100,"NM",IF(((CM566/CE566-1)*100)&lt;-50,"NM",(CM566/CE566-1)*100)))</f>
        <v>27.15849209566279</v>
      </c>
      <c r="CO566" s="102">
        <f>CO553+CO552</f>
        <v>302.79999999999978</v>
      </c>
      <c r="CP566" s="61" t="str">
        <f>IF(ISERROR((CO566/CG566-1)*100),"NA",IF(((CO566/CG566-1)*100)&gt;100,"NM",IF(((CO566/CG566-1)*100)&lt;-50,"NM",(CO566/CG566-1)*100)))</f>
        <v>NM</v>
      </c>
      <c r="CQ566" s="102">
        <f>CQ553+CQ552</f>
        <v>146.89999999999992</v>
      </c>
      <c r="CR566" s="61">
        <f>IF(ISERROR((CQ566/CI566-1)*100),"NA",IF(((CQ566/CI566-1)*100)&gt;100,"NM",IF(((CQ566/CI566-1)*100)&lt;-50,"NM",(CQ566/CI566-1)*100)))</f>
        <v>-39.795081967213143</v>
      </c>
      <c r="CS566" s="102">
        <f>CS553+CS552</f>
        <v>-541</v>
      </c>
      <c r="CT566" s="126" t="str">
        <f>IF(ISERROR((CS566/CK566-1)*100),"NA",IF(((CS566/CK566-1)*100)&gt;100,"NM",IF(((CS566/CK566-1)*100)&lt;-50,"NM",(CS566/CK566-1)*100)))</f>
        <v>NM</v>
      </c>
      <c r="CU566" s="102">
        <f>CU553+CU552</f>
        <v>243</v>
      </c>
      <c r="CV566" s="126">
        <f>IF(ISERROR((CU566/CM566-1)*100),"NA",IF(((CU566/CM566-1)*100)&gt;100,"NM",IF(((CU566/CM566-1)*100)&lt;-50,"NM",(CU566/CM566-1)*100)))</f>
        <v>-22.537456168313732</v>
      </c>
      <c r="CW566" s="102">
        <f>CW553+CW552</f>
        <v>317</v>
      </c>
      <c r="CX566" s="126">
        <f>IF(ISERROR((CW566/CO566-1)*100),"NA",IF(((CW566/CO566-1)*100)&gt;100,"NM",IF(((CW566/CO566-1)*100)&lt;-50,"NM",(CW566/CO566-1)*100)))</f>
        <v>4.6895640686922757</v>
      </c>
      <c r="CY566" s="102">
        <f>CY553+CY552</f>
        <v>428</v>
      </c>
      <c r="CZ566" s="126" t="str">
        <f>IF(ISERROR((CY566/CQ566-1)*100),"NA",IF(((CY566/CQ566-1)*100)&gt;100,"NM",IF(((CY566/CQ566-1)*100)&lt;-50,"NM",(CY566/CQ566-1)*100)))</f>
        <v>NM</v>
      </c>
      <c r="DA566" s="102">
        <f>DA553+DA552</f>
        <v>320</v>
      </c>
      <c r="DB566" s="61" t="str">
        <f>IF(ISERROR((DA566/CS566-1)*100),"NA",IF(((DA566/CS566-1)*100)&gt;100,"NM",IF(((DA566/CS566-1)*100)&lt;-50,"NM",(DA566/CS566-1)*100)))</f>
        <v>NM</v>
      </c>
      <c r="DC566" s="102">
        <f>DC553+DC552</f>
        <v>239</v>
      </c>
      <c r="DD566" s="61">
        <f>IF(ISERROR((DC566/CU566-1)*100),"NA",IF(((DC566/CU566-1)*100)&gt;100,"NM",IF(((DC566/CU566-1)*100)&lt;-50,"NM",(DC566/CU566-1)*100)))</f>
        <v>-1.6460905349794275</v>
      </c>
      <c r="DE566" s="102">
        <f>DE553+DE552</f>
        <v>317</v>
      </c>
      <c r="DF566" s="61">
        <f>IF(ISERROR((DE566/CW566-1)*100),"NA",IF(((DE566/CW566-1)*100)&gt;100,"NM",IF(((DE566/CW566-1)*100)&lt;-50,"NM",(DE566/CW566-1)*100)))</f>
        <v>0</v>
      </c>
      <c r="DG566" s="102">
        <f>DG553+DG552</f>
        <v>337</v>
      </c>
      <c r="DH566" s="61">
        <f>IF(ISERROR((DG566/CY566-1)*100),"NA",IF(((DG566/CY566-1)*100)&gt;100,"NM",IF(((DG566/CY566-1)*100)&lt;-50,"NM",(DG566/CY566-1)*100)))</f>
        <v>-21.261682242990652</v>
      </c>
      <c r="DI566" s="102">
        <f>DI553+DI552</f>
        <v>351</v>
      </c>
      <c r="DJ566" s="61">
        <f>IF(ISERROR((DI566/DA566-1)*100),"NA",IF(((DI566/DA566-1)*100)&gt;100,"NM",IF(((DI566/DA566-1)*100)&lt;-50,"NM",(DI566/DA566-1)*100)))</f>
        <v>9.6875000000000036</v>
      </c>
      <c r="DK566" s="102">
        <f>DK553+DK552</f>
        <v>328</v>
      </c>
      <c r="DL566" s="61">
        <f>IF(ISERROR((DK566/DC566-1)*100),"NA",IF(((DK566/DC566-1)*100)&gt;100,"NM",IF(((DK566/DC566-1)*100)&lt;-50,"NM",(DK566/DC566-1)*100)))</f>
        <v>37.238493723849373</v>
      </c>
      <c r="DM566" s="102">
        <f>DM553+DM552</f>
        <v>399</v>
      </c>
      <c r="DN566" s="130">
        <f t="shared" ref="DN566:DZ566" si="3065">IF(ISERROR((DM566/DE566-1)*100),"NA",IF(((DM566/DE566-1)*100)&gt;100,"NM",IF(((DM566/DE566-1)*100)&lt;-50,"NM",(DM566/DE566-1)*100)))</f>
        <v>25.867507886435327</v>
      </c>
      <c r="DO566" s="102">
        <f>DO553+DO552</f>
        <v>441</v>
      </c>
      <c r="DP566" s="130">
        <f t="shared" si="3065"/>
        <v>30.86053412462908</v>
      </c>
      <c r="DQ566" s="102">
        <f>DQ553+DQ552</f>
        <v>349</v>
      </c>
      <c r="DR566" s="130">
        <f t="shared" si="3065"/>
        <v>-0.56980056980057148</v>
      </c>
      <c r="DS566" s="102">
        <f>DS553+DS552</f>
        <v>300</v>
      </c>
      <c r="DT566" s="130">
        <f t="shared" si="3065"/>
        <v>-8.5365853658536555</v>
      </c>
      <c r="DU566" s="102">
        <f>DU553+DU552</f>
        <v>344</v>
      </c>
      <c r="DV566" s="130">
        <f t="shared" si="3065"/>
        <v>-13.78446115288221</v>
      </c>
      <c r="DW566" s="102">
        <f>DW553+DW552</f>
        <v>220</v>
      </c>
      <c r="DX566" s="102">
        <f t="shared" ref="DX566:DY566" si="3066">DX553+DX552</f>
        <v>220</v>
      </c>
      <c r="DY566" s="102">
        <f t="shared" si="3066"/>
        <v>283</v>
      </c>
      <c r="DZ566" s="130">
        <f t="shared" si="3065"/>
        <v>-18.911174785100282</v>
      </c>
      <c r="EA566" s="102">
        <f t="shared" ref="EA566:EC566" si="3067">EA553+EA552</f>
        <v>201</v>
      </c>
      <c r="EB566" s="130">
        <f t="shared" ref="EB566" si="3068">IF(ISERROR((EA566/DS566-1)*100),"NA",IF(((EA566/DS566-1)*100)&gt;100,"NM",IF(((EA566/DS566-1)*100)&lt;-50,"NM",(EA566/DS566-1)*100)))</f>
        <v>-32.999999999999993</v>
      </c>
      <c r="EC566" s="102">
        <f t="shared" si="3067"/>
        <v>325</v>
      </c>
      <c r="ED566" s="130">
        <f t="shared" ref="ED566" si="3069">IF(ISERROR((EC566/DU566-1)*100),"NA",IF(((EC566/DU566-1)*100)&gt;100,"NM",IF(((EC566/DU566-1)*100)&lt;-50,"NM",(EC566/DU566-1)*100)))</f>
        <v>-5.5232558139534866</v>
      </c>
      <c r="EE566" s="102">
        <f t="shared" ref="EE566:EG566" si="3070">EE553+EE552</f>
        <v>467</v>
      </c>
      <c r="EF566" s="130" t="str">
        <f t="shared" ref="EF566" si="3071">IF(ISERROR((EE566/DW566-1)*100),"NA",IF(((EE566/DW566-1)*100)&gt;100,"NM",IF(((EE566/DW566-1)*100)&lt;-50,"NM",(EE566/DW566-1)*100)))</f>
        <v>NM</v>
      </c>
      <c r="EG566" s="102">
        <f t="shared" si="3070"/>
        <v>190</v>
      </c>
      <c r="EH566" s="130">
        <f t="shared" ref="EH566" si="3072">IF(ISERROR((EG566/DY566-1)*100),"NA",IF(((EG566/DY566-1)*100)&gt;100,"NM",IF(((EG566/DY566-1)*100)&lt;-50,"NM",(EG566/DY566-1)*100)))</f>
        <v>-32.862190812720847</v>
      </c>
      <c r="EI566" s="102">
        <f t="shared" ref="EI566:EK566" si="3073">EI553+EI552</f>
        <v>435</v>
      </c>
      <c r="EJ566" s="130" t="str">
        <f t="shared" ref="EJ566" si="3074">IF(ISERROR((EI566/EA566-1)*100),"NA",IF(((EI566/EA566-1)*100)&gt;100,"NM",IF(((EI566/EA566-1)*100)&lt;-50,"NM",(EI566/EA566-1)*100)))</f>
        <v>NM</v>
      </c>
      <c r="EK566" s="102">
        <f t="shared" si="3073"/>
        <v>411</v>
      </c>
      <c r="EL566" s="130">
        <f t="shared" ref="EL566" si="3075">IF(ISERROR((EK566/EC566-1)*100),"NA",IF(((EK566/EC566-1)*100)&gt;100,"NM",IF(((EK566/EC566-1)*100)&lt;-50,"NM",(EK566/EC566-1)*100)))</f>
        <v>26.461538461538471</v>
      </c>
      <c r="EM566" s="102">
        <f t="shared" ref="EM566" si="3076">EM553+EM552</f>
        <v>418</v>
      </c>
      <c r="EN566" s="130">
        <f t="shared" ref="EN566" si="3077">IF(ISERROR((EM566/EE566-1)*100),"NA",IF(((EM566/EE566-1)*100)&gt;100,"NM",IF(((EM566/EE566-1)*100)&lt;-50,"NM",(EM566/EE566-1)*100)))</f>
        <v>-10.492505353319059</v>
      </c>
      <c r="EO566" s="102">
        <f t="shared" ref="EO566" si="3078">EO553+EO552</f>
        <v>816</v>
      </c>
      <c r="EP566" s="130" t="str">
        <f t="shared" ref="EP566" si="3079">IF(ISERROR((EO566/EG566-1)*100),"NA",IF(((EO566/EG566-1)*100)&gt;100,"NM",IF(((EO566/EG566-1)*100)&lt;-50,"NM",(EO566/EG566-1)*100)))</f>
        <v>NM</v>
      </c>
      <c r="EQ566" s="102">
        <f t="shared" ref="EQ566:EW566" si="3080">EQ553+EQ552</f>
        <v>364.22239174143363</v>
      </c>
      <c r="ER566" s="130">
        <f t="shared" ref="ER566" si="3081">IF(ISERROR((EQ566/EI566-1)*100),"NA",IF(((EQ566/EI566-1)*100)&gt;100,"NM",IF(((EQ566/EI566-1)*100)&lt;-50,"NM",(EQ566/EI566-1)*100)))</f>
        <v>-16.270714542199173</v>
      </c>
      <c r="ES566" s="102">
        <f t="shared" si="3080"/>
        <v>391.87259890626729</v>
      </c>
      <c r="ET566" s="130">
        <f t="shared" ref="ET566" si="3082">IF(ISERROR((ES566/EK566-1)*100),"NA",IF(((ES566/EK566-1)*100)&gt;100,"NM",IF(((ES566/EK566-1)*100)&lt;-50,"NM",(ES566/EK566-1)*100)))</f>
        <v>-4.6538688792536975</v>
      </c>
      <c r="EU566" s="102">
        <f t="shared" si="3080"/>
        <v>389.78415433744664</v>
      </c>
      <c r="EV566" s="130">
        <f t="shared" ref="EV566" si="3083">IF(ISERROR((EU566/EM566-1)*100),"NA",IF(((EU566/EM566-1)*100)&gt;100,"NM",IF(((EU566/EM566-1)*100)&lt;-50,"NM",(EU566/EM566-1)*100)))</f>
        <v>-6.750202311615638</v>
      </c>
      <c r="EW566" s="102">
        <f t="shared" si="3080"/>
        <v>403.48243687600649</v>
      </c>
      <c r="EX566" s="130" t="str">
        <f t="shared" ref="EX566" si="3084">IF(ISERROR((EW566/EO566-1)*100),"NA",IF(((EW566/EO566-1)*100)&gt;100,"NM",IF(((EW566/EO566-1)*100)&lt;-50,"NM",(EW566/EO566-1)*100)))</f>
        <v>NM</v>
      </c>
      <c r="EY566" s="103"/>
      <c r="EZ566" s="558"/>
      <c r="FA566" s="103"/>
      <c r="FB566" s="102">
        <f>FB553+FB552</f>
        <v>562.58522470000003</v>
      </c>
      <c r="FC566" s="71"/>
      <c r="FD566" s="98">
        <v>460.4</v>
      </c>
      <c r="FE566" s="70">
        <f>IF(ISERROR((FD566/FB566-1)*100),"NA",IF(((FD566/FB566-1)*100)&gt;100,"NM",IF(((FD566/FB566-1)*100)&lt;-50,"NM",(FD566/FB566-1)*100)))</f>
        <v>-18.163510204963274</v>
      </c>
      <c r="FF566" s="98">
        <f>585.3</f>
        <v>585.29999999999995</v>
      </c>
      <c r="FG566" s="70">
        <f>IF(ISERROR((FF566/FD566-1)*100),"NA",IF(((FF566/FD566-1)*100)&gt;100,"NM",IF(((FF566/FD566-1)*100)&lt;-50,"NM",(FF566/FD566-1)*100)))</f>
        <v>27.128583840139008</v>
      </c>
      <c r="FH566" s="98">
        <v>545.70000000000005</v>
      </c>
      <c r="FI566" s="70">
        <f>IF(ISERROR((FH566/FF566-1)*100),"NA",IF(((FH566/FF566-1)*100)&gt;100,"NM",IF(((FH566/FF566-1)*100)&lt;-50,"NM",(FH566/FF566-1)*100)))</f>
        <v>-6.7657611481291458</v>
      </c>
      <c r="FJ566" s="102">
        <f>FJ553+FJ552</f>
        <v>49.399999999999977</v>
      </c>
      <c r="FK566" s="70" t="str">
        <f>IF(ISERROR((FJ566/FH566-1)*100),"NA",IF(((FJ566/FH566-1)*100)&gt;100,"NM",IF(((FJ566/FH566-1)*100)&lt;-50,"NM",(FJ566/FH566-1)*100)))</f>
        <v>NM</v>
      </c>
      <c r="FL566" s="102">
        <f>FL553+FL552</f>
        <v>511.79999999999995</v>
      </c>
      <c r="FM566" s="61" t="str">
        <f>IF(ISERROR((FL566/FJ566-1)*100),"NA",IF(((FL566/FJ566-1)*100)&gt;100,"NM",IF(((FL566/FJ566-1)*100)&lt;-50,"NM",(FL566/FJ566-1)*100)))</f>
        <v>NM</v>
      </c>
      <c r="FN566" s="102">
        <f>FN553+FN552</f>
        <v>706.71999999999991</v>
      </c>
      <c r="FO566" s="61">
        <f t="shared" si="3064"/>
        <v>38.085189527159045</v>
      </c>
      <c r="FP566" s="102">
        <f>FP553+FP552</f>
        <v>958.45600000000002</v>
      </c>
      <c r="FQ566" s="61">
        <f>IF(ISERROR((FP566/FH566-1)*100),"NA",IF(((FP566/FH566-1)*100)&gt;100,"NM",IF(((FP566/FH566-1)*100)&lt;-50,"NM",(FP566/FH566-1)*100)))</f>
        <v>75.637896280007325</v>
      </c>
      <c r="FR566" s="102">
        <f>FR553+FR552</f>
        <v>1284.9399999999998</v>
      </c>
      <c r="FS566" s="61">
        <f>IF(ISERROR((FR566/FP566-1)*100),"NA",IF(((FR566/FP566-1)*100)&gt;100,"NM",IF(((FR566/FP566-1)*100)&lt;-50,"NM",(FR566/FP566-1)*100)))</f>
        <v>34.063535519627372</v>
      </c>
      <c r="FT566" s="102">
        <f>FT553+FT552</f>
        <v>1197.2999999999995</v>
      </c>
      <c r="FU566" s="61">
        <f>IF(ISERROR((FT566/FR566-1)*100),"NA",IF(((FT566/FR566-1)*100)&gt;100,"NM",IF(((FT566/FR566-1)*100)&lt;-50,"NM",(FT566/FR566-1)*100)))</f>
        <v>-6.8205519323859765</v>
      </c>
      <c r="FV566" s="102">
        <f>FV553+FV552</f>
        <v>56.018000000000484</v>
      </c>
      <c r="FW566" s="61" t="str">
        <f>IF(ISERROR((FV566/FT566-1)*100),"NA",IF(((FV566/FT566-1)*100)&gt;100,"NM",IF(((FV566/FT566-1)*100)&lt;-50,"NM",(FV566/FT566-1)*100)))</f>
        <v>NM</v>
      </c>
      <c r="FX566" s="102">
        <f>FX553+FX552</f>
        <v>-518.78999999999985</v>
      </c>
      <c r="FY566" s="61" t="str">
        <f>IF(ISERROR((FX566/FV566-1)*100),"NA",IF(((FX566/FV566-1)*100)&gt;100,"NM",IF(((FX566/FV566-1)*100)&lt;-50,"NM",(FX566/FV566-1)*100)))</f>
        <v>NM</v>
      </c>
      <c r="FZ566" s="102">
        <f>FZ553+FZ552</f>
        <v>772.99999999999943</v>
      </c>
      <c r="GA566" s="61" t="str">
        <f>IF(ISERROR((FZ566/FX566-1)*100),"NA",IF(((FZ566/FX566-1)*100)&gt;100,"NM",IF(((FZ566/FX566-1)*100)&lt;-50,"NM",(FZ566/FX566-1)*100)))</f>
        <v>NM</v>
      </c>
      <c r="GB566" s="102">
        <f>GB553+GB552</f>
        <v>222.40000000000009</v>
      </c>
      <c r="GC566" s="61" t="str">
        <f>IF(ISERROR((GB566/FZ566-1)*100),"NA",IF(((GB566/FZ566-1)*100)&gt;100,"NM",IF(((GB566/FZ566-1)*100)&lt;-50,"NM",(GB566/FZ566-1)*100)))</f>
        <v>NM</v>
      </c>
      <c r="GD566" s="102">
        <f>GD553+GD552</f>
        <v>1309</v>
      </c>
      <c r="GE566" s="61" t="str">
        <f>IF(ISERROR((GD566/GB566-1)*100),"NA",IF(((GD566/GB566-1)*100)&gt;100,"NM",IF(((GD566/GB566-1)*100)&lt;-50,"NM",(GD566/GB566-1)*100)))</f>
        <v>NM</v>
      </c>
      <c r="GF566" s="102">
        <f>GF553+GF552</f>
        <v>1244</v>
      </c>
      <c r="GG566" s="61">
        <f>IF(ISERROR((GF566/GD566-1)*100),"NA",IF(((GF566/GD566-1)*100)&gt;100,"NM",IF(((GF566/GD566-1)*100)&lt;-50,"NM",(GF566/GD566-1)*100)))</f>
        <v>-4.9656226126814307</v>
      </c>
      <c r="GH566" s="102">
        <f>GH553+GH552</f>
        <v>1517</v>
      </c>
      <c r="GI566" s="61">
        <f>IF(ISERROR((GH566/GF566-1)*100),"NA",IF(((GH566/GF566-1)*100)&gt;100,"NM",IF(((GH566/GF566-1)*100)&lt;-50,"NM",(GH566/GF566-1)*100)))</f>
        <v>21.945337620578776</v>
      </c>
      <c r="GJ566" s="102">
        <f>GJ553+GJ552</f>
        <v>1147</v>
      </c>
      <c r="GK566" s="61">
        <f>IF(ISERROR((GJ566/GH566-1)*100),"NA",IF(((GJ566/GH566-1)*100)&gt;100,"NM",IF(((GJ566/GH566-1)*100)&lt;-50,"NM",(GJ566/GH566-1)*100)))</f>
        <v>-24.390243902439025</v>
      </c>
      <c r="GL566" s="102">
        <f>GL553+GL552</f>
        <v>1183</v>
      </c>
      <c r="GM566" s="61">
        <f>IF(ISERROR((GL566/GJ566-1)*100),"NA",IF(((GL566/GJ566-1)*100)&gt;100,"NM",IF(((GL566/GJ566-1)*100)&lt;-50,"NM",(GL566/GJ566-1)*100)))</f>
        <v>3.1386224934611962</v>
      </c>
      <c r="GN566" s="102">
        <f>GN553+GN552</f>
        <v>2080</v>
      </c>
      <c r="GO566" s="61">
        <f>IF(ISERROR((GN566/GL566-1)*100),"NA",IF(((GN566/GL566-1)*100)&gt;100,"NM",IF(((GN566/GL566-1)*100)&lt;-50,"NM",(GN566/GL566-1)*100)))</f>
        <v>75.824175824175825</v>
      </c>
      <c r="GP566" s="102">
        <f>GP553+GP552</f>
        <v>1549.3615818611524</v>
      </c>
      <c r="GQ566" s="61">
        <f>IF(ISERROR((GP566/GN566-1)*100),"NA",IF(((GP566/GN566-1)*100)&gt;100,"NM",IF(((GP566/GN566-1)*100)&lt;-50,"NM",(GP566/GN566-1)*100)))</f>
        <v>-25.511462410521514</v>
      </c>
      <c r="GR566" s="102">
        <f>GR553+GR552</f>
        <v>1663.3817312694523</v>
      </c>
      <c r="GS566" s="61">
        <f>IF(ISERROR((GR566/GP566-1)*100),"NA",IF(((GR566/GP566-1)*100)&gt;100,"NM",IF(((GR566/GP566-1)*100)&lt;-50,"NM",(GR566/GP566-1)*100)))</f>
        <v>7.359169786005304</v>
      </c>
      <c r="GT566" s="102">
        <f>GT553+GT552</f>
        <v>1897.9027710340356</v>
      </c>
      <c r="GU566" s="61">
        <f>IF(ISERROR((GT566/GR566-1)*100),"NA",IF(((GT566/GR566-1)*100)&gt;100,"NM",IF(((GT566/GR566-1)*100)&lt;-50,"NM",(GT566/GR566-1)*100)))</f>
        <v>14.099051069029267</v>
      </c>
      <c r="GV566" s="102">
        <f>GV553+GV552</f>
        <v>2031.0236834424354</v>
      </c>
      <c r="GW566" s="61">
        <f>IF(ISERROR((GV566/GT566-1)*100),"NA",IF(((GV566/GT566-1)*100)&gt;100,"NM",IF(((GV566/GT566-1)*100)&lt;-50,"NM",(GV566/GT566-1)*100)))</f>
        <v>7.0141060142860479</v>
      </c>
      <c r="GX566" s="102">
        <f>GX553+GX552</f>
        <v>2154.5297485903538</v>
      </c>
      <c r="GY566" s="61">
        <f>IF(ISERROR((GX566/GV566-1)*100),"NA",IF(((GX566/GV566-1)*100)&gt;100,"NM",IF(((GX566/GV566-1)*100)&lt;-50,"NM",(GX566/GV566-1)*100)))</f>
        <v>6.0809761183377553</v>
      </c>
      <c r="GZ566" s="61">
        <f>IF(ISERROR((GX566/GN566)^0.2),"",IF(OR((GX566/GN566)^0.2&lt;0.5,(GX566/GN566)^0.2&gt;2),"NM",((GX566/GN566)^0.2-1)*100))</f>
        <v>0.7065763927251556</v>
      </c>
      <c r="HA566" s="61"/>
      <c r="HB566" s="452"/>
      <c r="HC566"/>
      <c r="HD566"/>
      <c r="HE566"/>
      <c r="HF566"/>
      <c r="HG566"/>
      <c r="HH566"/>
    </row>
    <row r="567" spans="1:216" s="76" customFormat="1" ht="12.75" customHeight="1" x14ac:dyDescent="0.2">
      <c r="B567" s="345"/>
      <c r="C567" s="137"/>
      <c r="D567" s="78"/>
      <c r="E567" s="137"/>
      <c r="F567" s="79"/>
      <c r="G567" s="137"/>
      <c r="H567" s="79"/>
      <c r="I567" s="137"/>
      <c r="J567" s="79"/>
      <c r="K567" s="137"/>
      <c r="L567" s="80"/>
      <c r="M567" s="137"/>
      <c r="N567" s="80"/>
      <c r="O567" s="137"/>
      <c r="P567" s="80"/>
      <c r="Q567" s="137"/>
      <c r="R567" s="80"/>
      <c r="S567" s="137"/>
      <c r="T567" s="80"/>
      <c r="U567" s="137"/>
      <c r="V567" s="80"/>
      <c r="W567" s="137"/>
      <c r="X567" s="80"/>
      <c r="Y567" s="137"/>
      <c r="Z567" s="80"/>
      <c r="AA567" s="137"/>
      <c r="AB567" s="80"/>
      <c r="AC567" s="137"/>
      <c r="AD567" s="80"/>
      <c r="AE567" s="137"/>
      <c r="AF567" s="80"/>
      <c r="AG567" s="137"/>
      <c r="AH567" s="80"/>
      <c r="AI567" s="137"/>
      <c r="AJ567" s="80"/>
      <c r="AK567" s="137"/>
      <c r="AL567" s="80"/>
      <c r="AM567" s="137"/>
      <c r="AN567" s="80"/>
      <c r="AO567" s="137"/>
      <c r="AP567" s="80"/>
      <c r="AQ567" s="137"/>
      <c r="AR567" s="61"/>
      <c r="AS567" s="137"/>
      <c r="AT567" s="61"/>
      <c r="AU567" s="137"/>
      <c r="AV567" s="61"/>
      <c r="AW567" s="137"/>
      <c r="AX567" s="61"/>
      <c r="AY567" s="137"/>
      <c r="AZ567" s="61"/>
      <c r="BA567" s="137"/>
      <c r="BB567" s="61"/>
      <c r="BC567" s="137"/>
      <c r="BD567" s="61"/>
      <c r="BE567" s="137"/>
      <c r="BF567" s="61"/>
      <c r="BG567" s="137"/>
      <c r="BH567" s="61"/>
      <c r="BI567" s="137"/>
      <c r="BJ567" s="61"/>
      <c r="BK567" s="137"/>
      <c r="BL567" s="61"/>
      <c r="BM567" s="137"/>
      <c r="BN567" s="61"/>
      <c r="BO567" s="137"/>
      <c r="BP567" s="61"/>
      <c r="BQ567" s="137"/>
      <c r="BR567" s="61"/>
      <c r="BS567" s="137"/>
      <c r="BT567" s="61"/>
      <c r="BU567" s="137"/>
      <c r="BV567" s="61"/>
      <c r="BW567" s="137"/>
      <c r="BX567" s="61"/>
      <c r="BY567" s="137"/>
      <c r="BZ567" s="61"/>
      <c r="CA567" s="137"/>
      <c r="CB567" s="61"/>
      <c r="CC567" s="137"/>
      <c r="CD567" s="61"/>
      <c r="CE567" s="137"/>
      <c r="CF567" s="61"/>
      <c r="CG567" s="137"/>
      <c r="CH567" s="61"/>
      <c r="CI567" s="137"/>
      <c r="CJ567" s="61"/>
      <c r="CK567" s="137"/>
      <c r="CL567" s="61"/>
      <c r="CM567" s="137"/>
      <c r="CN567" s="61"/>
      <c r="CO567" s="137"/>
      <c r="CP567" s="61"/>
      <c r="CQ567" s="137"/>
      <c r="CR567" s="61"/>
      <c r="CS567" s="137"/>
      <c r="CT567" s="61"/>
      <c r="CU567" s="137"/>
      <c r="CV567" s="61"/>
      <c r="CW567" s="137"/>
      <c r="CX567" s="61"/>
      <c r="CY567" s="137"/>
      <c r="CZ567" s="61"/>
      <c r="DA567" s="137"/>
      <c r="DB567" s="61"/>
      <c r="DC567" s="137"/>
      <c r="DD567" s="61"/>
      <c r="DE567" s="137"/>
      <c r="DF567" s="61"/>
      <c r="DG567" s="137"/>
      <c r="DH567" s="61"/>
      <c r="DI567" s="137"/>
      <c r="DJ567" s="61"/>
      <c r="DK567" s="137"/>
      <c r="DL567" s="61"/>
      <c r="DM567" s="137"/>
      <c r="DN567" s="61"/>
      <c r="DO567" s="137"/>
      <c r="DP567" s="61"/>
      <c r="DQ567" s="137"/>
      <c r="DR567" s="61"/>
      <c r="DS567" s="137"/>
      <c r="DT567" s="61"/>
      <c r="DU567" s="137"/>
      <c r="DV567" s="61"/>
      <c r="DW567" s="137"/>
      <c r="DX567" s="137"/>
      <c r="DY567" s="137"/>
      <c r="DZ567" s="61"/>
      <c r="EA567" s="137"/>
      <c r="EB567" s="61"/>
      <c r="EC567" s="137"/>
      <c r="ED567" s="61"/>
      <c r="EE567" s="137"/>
      <c r="EF567" s="61"/>
      <c r="EG567" s="137"/>
      <c r="EH567" s="61"/>
      <c r="EI567" s="137"/>
      <c r="EJ567" s="61"/>
      <c r="EK567" s="137"/>
      <c r="EL567" s="61"/>
      <c r="EM567" s="137"/>
      <c r="EN567" s="61"/>
      <c r="EO567" s="137"/>
      <c r="EP567" s="61"/>
      <c r="EQ567" s="137"/>
      <c r="ER567" s="61"/>
      <c r="ES567" s="137"/>
      <c r="ET567" s="61"/>
      <c r="EU567" s="137"/>
      <c r="EV567" s="61"/>
      <c r="EW567" s="137"/>
      <c r="EX567" s="61"/>
      <c r="EY567" s="277"/>
      <c r="EZ567" s="558"/>
      <c r="FA567" s="277"/>
      <c r="FB567" s="137"/>
      <c r="FC567" s="79"/>
      <c r="FD567" s="137"/>
      <c r="FE567" s="78"/>
      <c r="FF567" s="137"/>
      <c r="FG567" s="78"/>
      <c r="FH567" s="137"/>
      <c r="FI567" s="78"/>
      <c r="FJ567" s="137"/>
      <c r="FK567" s="78"/>
      <c r="FL567" s="137"/>
      <c r="FM567" s="80"/>
      <c r="FN567" s="137"/>
      <c r="FO567" s="80"/>
      <c r="FP567" s="104"/>
      <c r="FQ567" s="61"/>
      <c r="FR567" s="104"/>
      <c r="FS567" s="61"/>
      <c r="FT567" s="104"/>
      <c r="FU567" s="61"/>
      <c r="FV567" s="104"/>
      <c r="FW567" s="61"/>
      <c r="FX567" s="104"/>
      <c r="FY567" s="61"/>
      <c r="FZ567" s="104"/>
      <c r="GA567" s="61"/>
      <c r="GB567" s="104"/>
      <c r="GC567" s="61"/>
      <c r="GD567" s="104"/>
      <c r="GE567" s="61"/>
      <c r="GF567" s="104"/>
      <c r="GG567" s="61"/>
      <c r="GH567" s="104"/>
      <c r="GI567" s="61"/>
      <c r="GJ567" s="104"/>
      <c r="GK567" s="61"/>
      <c r="GL567" s="104"/>
      <c r="GM567" s="61"/>
      <c r="GN567" s="104"/>
      <c r="GO567" s="61"/>
      <c r="GP567" s="104"/>
      <c r="GQ567" s="61"/>
      <c r="GR567" s="137"/>
      <c r="GS567" s="61"/>
      <c r="GT567" s="137"/>
      <c r="GU567" s="61"/>
      <c r="GV567" s="137"/>
      <c r="GW567" s="61"/>
      <c r="GX567" s="137"/>
      <c r="GY567" s="61"/>
      <c r="GZ567" s="61" t="str">
        <f>IF(ISERROR((GX567/GN567)^0.2),"",IF(OR((GX567/GN567)^0.2&lt;0.5,(GX567/GN567)^0.2&gt;2),"NM",((GX567/GN567)^0.2-1)*100))</f>
        <v/>
      </c>
      <c r="HA567" s="61"/>
      <c r="HB567" s="452"/>
      <c r="HC567"/>
      <c r="HD567"/>
      <c r="HE567"/>
      <c r="HF567"/>
      <c r="HG567"/>
      <c r="HH567"/>
    </row>
    <row r="568" spans="1:216" s="5" customFormat="1" ht="12.75" customHeight="1" x14ac:dyDescent="0.2">
      <c r="B568" s="401" t="s">
        <v>508</v>
      </c>
      <c r="C568" s="73"/>
      <c r="D568" s="422"/>
      <c r="E568" s="73"/>
      <c r="F568" s="65"/>
      <c r="G568" s="73"/>
      <c r="H568" s="65"/>
      <c r="I568" s="73"/>
      <c r="J568" s="65"/>
      <c r="K568" s="73"/>
      <c r="L568" s="13"/>
      <c r="M568" s="73"/>
      <c r="N568" s="13"/>
      <c r="O568" s="73"/>
      <c r="P568" s="13"/>
      <c r="Q568" s="73"/>
      <c r="R568" s="13"/>
      <c r="S568" s="73"/>
      <c r="T568" s="13"/>
      <c r="U568" s="73"/>
      <c r="V568" s="13"/>
      <c r="W568" s="73"/>
      <c r="X568" s="13"/>
      <c r="Y568" s="73"/>
      <c r="Z568" s="13"/>
      <c r="AA568" s="73"/>
      <c r="AB568" s="13"/>
      <c r="AC568" s="73"/>
      <c r="AD568" s="13"/>
      <c r="AE568" s="73"/>
      <c r="AF568" s="13"/>
      <c r="AG568" s="73"/>
      <c r="AH568" s="13"/>
      <c r="AI568" s="73"/>
      <c r="AJ568" s="13"/>
      <c r="AK568" s="73"/>
      <c r="AL568" s="13"/>
      <c r="AM568" s="73"/>
      <c r="AN568" s="13"/>
      <c r="AO568" s="73"/>
      <c r="AP568" s="13"/>
      <c r="AQ568" s="73"/>
      <c r="AR568" s="13"/>
      <c r="AS568" s="73"/>
      <c r="AT568" s="13"/>
      <c r="AU568" s="73"/>
      <c r="AV568" s="13"/>
      <c r="AW568" s="73"/>
      <c r="AX568" s="13"/>
      <c r="AY568" s="73">
        <f>AY566+AY543</f>
        <v>246.55999999999995</v>
      </c>
      <c r="AZ568" s="13"/>
      <c r="BA568" s="73">
        <f>BA566+BA543</f>
        <v>321.06</v>
      </c>
      <c r="BB568" s="13"/>
      <c r="BC568" s="73">
        <f>BC566+BC543</f>
        <v>350.76000000000005</v>
      </c>
      <c r="BD568" s="13"/>
      <c r="BE568" s="73">
        <f>BE566+BE543</f>
        <v>366.55999999999995</v>
      </c>
      <c r="BF568" s="13"/>
      <c r="BG568" s="73">
        <f>BG566+BG543</f>
        <v>361.10000000000008</v>
      </c>
      <c r="BH568" s="13"/>
      <c r="BI568" s="73">
        <f>BI566+BI543</f>
        <v>346.70000000000005</v>
      </c>
      <c r="BJ568" s="13"/>
      <c r="BK568" s="73">
        <f>BK566+BK543</f>
        <v>290</v>
      </c>
      <c r="BL568" s="13"/>
      <c r="BM568" s="73">
        <f>BM566+BM543</f>
        <v>199.49999999999983</v>
      </c>
      <c r="BN568" s="13"/>
      <c r="BO568" s="73">
        <f>BO566+BO543</f>
        <v>289.41800000000012</v>
      </c>
      <c r="BP568" s="13"/>
      <c r="BQ568" s="73">
        <f>BQ566+BQ543</f>
        <v>124.80000000000007</v>
      </c>
      <c r="BR568" s="13"/>
      <c r="BS568" s="73">
        <f>BS566+BS543</f>
        <v>147.70000000000013</v>
      </c>
      <c r="BT568" s="13"/>
      <c r="BU568" s="73">
        <f>BU566+BU543</f>
        <v>-505.90000000000009</v>
      </c>
      <c r="BV568" s="13"/>
      <c r="BW568" s="73">
        <f>BW566+BW543</f>
        <v>-578.89999999999986</v>
      </c>
      <c r="BX568" s="13"/>
      <c r="BY568" s="73">
        <f>BY566+BY543</f>
        <v>-160.99999999999986</v>
      </c>
      <c r="BZ568" s="13"/>
      <c r="CA568" s="73">
        <f>CA566+CA543</f>
        <v>137.00999999999988</v>
      </c>
      <c r="CB568" s="13"/>
      <c r="CC568" s="73">
        <f>CC566+CC543</f>
        <v>84.1</v>
      </c>
      <c r="CD568" s="13"/>
      <c r="CE568" s="73">
        <f>CE566+CE543</f>
        <v>246.70000000000007</v>
      </c>
      <c r="CF568" s="13"/>
      <c r="CG568" s="73">
        <f>CG566+CG543</f>
        <v>86.6</v>
      </c>
      <c r="CH568" s="13"/>
      <c r="CI568" s="73">
        <f>CI566+CI543</f>
        <v>243.99999999999997</v>
      </c>
      <c r="CJ568" s="13"/>
      <c r="CK568" s="73">
        <f>CK566+CK543</f>
        <v>195.69999999999982</v>
      </c>
      <c r="CL568" s="13"/>
      <c r="CM568" s="73">
        <f>CM566+CM543</f>
        <v>313.70000000000022</v>
      </c>
      <c r="CN568" s="13"/>
      <c r="CO568" s="73">
        <f>CO566+CO543</f>
        <v>302.79999999999978</v>
      </c>
      <c r="CP568" s="13"/>
      <c r="CQ568" s="73">
        <f>CQ566+CQ543</f>
        <v>146.89999999999992</v>
      </c>
      <c r="CR568" s="13"/>
      <c r="CS568" s="73">
        <f>CS566+CS543</f>
        <v>-541</v>
      </c>
      <c r="CT568" s="13"/>
      <c r="CU568" s="73">
        <f>CU566+CU543</f>
        <v>243</v>
      </c>
      <c r="CV568" s="13"/>
      <c r="CW568" s="73">
        <f>CW566+CW543</f>
        <v>317</v>
      </c>
      <c r="CX568" s="13"/>
      <c r="CY568" s="73">
        <f>CY566+CY543</f>
        <v>428</v>
      </c>
      <c r="CZ568" s="13"/>
      <c r="DA568" s="73">
        <f>DA566+DA543</f>
        <v>320</v>
      </c>
      <c r="DB568" s="13"/>
      <c r="DC568" s="73">
        <f>DC566+DC543</f>
        <v>239</v>
      </c>
      <c r="DD568" s="13"/>
      <c r="DE568" s="73">
        <f>DE566+DE543</f>
        <v>317</v>
      </c>
      <c r="DF568" s="13"/>
      <c r="DG568" s="73">
        <f>DG566+DG543</f>
        <v>337</v>
      </c>
      <c r="DH568" s="13"/>
      <c r="DI568" s="73">
        <f>DI566+DI543</f>
        <v>351</v>
      </c>
      <c r="DJ568" s="13"/>
      <c r="DK568" s="73">
        <f>DK566+DK543</f>
        <v>328</v>
      </c>
      <c r="DL568" s="13"/>
      <c r="DM568" s="73">
        <f>DM566+DM543</f>
        <v>399</v>
      </c>
      <c r="DN568" s="130">
        <f t="shared" ref="DN568:DZ568" si="3085">IF(ISERROR((DM568/DE568-1)*100),"NA",IF(((DM568/DE568-1)*100)&gt;100,"NM",IF(((DM568/DE568-1)*100)&lt;-50,"NM",(DM568/DE568-1)*100)))</f>
        <v>25.867507886435327</v>
      </c>
      <c r="DO568" s="73">
        <f>DO566+DO543</f>
        <v>441</v>
      </c>
      <c r="DP568" s="130">
        <f t="shared" si="3085"/>
        <v>30.86053412462908</v>
      </c>
      <c r="DQ568" s="73">
        <f>DQ566+DQ543</f>
        <v>349</v>
      </c>
      <c r="DR568" s="130">
        <f t="shared" si="3085"/>
        <v>-0.56980056980057148</v>
      </c>
      <c r="DS568" s="73">
        <f>DS566+DS543</f>
        <v>300</v>
      </c>
      <c r="DT568" s="130">
        <f t="shared" si="3085"/>
        <v>-8.5365853658536555</v>
      </c>
      <c r="DU568" s="73">
        <f>DU566+DU543</f>
        <v>344</v>
      </c>
      <c r="DV568" s="130">
        <f t="shared" si="3085"/>
        <v>-13.78446115288221</v>
      </c>
      <c r="DW568" s="73">
        <f>DW566+DW543</f>
        <v>220</v>
      </c>
      <c r="DX568" s="73">
        <f t="shared" ref="DX568:DY568" si="3086">DX566+DX543</f>
        <v>220</v>
      </c>
      <c r="DY568" s="73">
        <f t="shared" si="3086"/>
        <v>283.06149999999997</v>
      </c>
      <c r="DZ568" s="130">
        <f t="shared" si="3085"/>
        <v>-18.893553008595998</v>
      </c>
      <c r="EA568" s="73">
        <f t="shared" ref="EA568:EC568" si="3087">EA566+EA543</f>
        <v>201.11029999999994</v>
      </c>
      <c r="EB568" s="130">
        <f t="shared" ref="EB568" si="3088">IF(ISERROR((EA568/DS568-1)*100),"NA",IF(((EA568/DS568-1)*100)&gt;100,"NM",IF(((EA568/DS568-1)*100)&lt;-50,"NM",(EA568/DS568-1)*100)))</f>
        <v>-32.963233333333349</v>
      </c>
      <c r="EC568" s="73">
        <f t="shared" si="3087"/>
        <v>325.04449999999997</v>
      </c>
      <c r="ED568" s="130">
        <f t="shared" ref="ED568" si="3089">IF(ISERROR((EC568/DU568-1)*100),"NA",IF(((EC568/DU568-1)*100)&gt;100,"NM",IF(((EC568/DU568-1)*100)&lt;-50,"NM",(EC568/DU568-1)*100)))</f>
        <v>-5.5103197674418736</v>
      </c>
      <c r="EE568" s="73">
        <f t="shared" ref="EE568:EG568" si="3090">EE566+EE543</f>
        <v>467.03679999999997</v>
      </c>
      <c r="EF568" s="130" t="str">
        <f t="shared" ref="EF568" si="3091">IF(ISERROR((EE568/DW568-1)*100),"NA",IF(((EE568/DW568-1)*100)&gt;100,"NM",IF(((EE568/DW568-1)*100)&lt;-50,"NM",(EE568/DW568-1)*100)))</f>
        <v>NM</v>
      </c>
      <c r="EG568" s="73">
        <f t="shared" si="3090"/>
        <v>189.9239</v>
      </c>
      <c r="EH568" s="130">
        <f t="shared" ref="EH568" si="3092">IF(ISERROR((EG568/DY568-1)*100),"NA",IF(((EG568/DY568-1)*100)&gt;100,"NM",IF(((EG568/DY568-1)*100)&lt;-50,"NM",(EG568/DY568-1)*100)))</f>
        <v>-32.9036622783388</v>
      </c>
      <c r="EI568" s="73">
        <f t="shared" ref="EI568:EK568" si="3093">EI566+EI543</f>
        <v>435.02210000000002</v>
      </c>
      <c r="EJ568" s="130" t="str">
        <f t="shared" ref="EJ568" si="3094">IF(ISERROR((EI568/EA568-1)*100),"NA",IF(((EI568/EA568-1)*100)&gt;100,"NM",IF(((EI568/EA568-1)*100)&lt;-50,"NM",(EI568/EA568-1)*100)))</f>
        <v>NM</v>
      </c>
      <c r="EK568" s="73">
        <f t="shared" si="3093"/>
        <v>411.09174999999999</v>
      </c>
      <c r="EL568" s="130">
        <f t="shared" ref="EL568" si="3095">IF(ISERROR((EK568/EC568-1)*100),"NA",IF(((EK568/EC568-1)*100)&gt;100,"NM",IF(((EK568/EC568-1)*100)&lt;-50,"NM",(EK568/EC568-1)*100)))</f>
        <v>26.472452233463418</v>
      </c>
      <c r="EM568" s="73">
        <f t="shared" ref="EM568" si="3096">EM566+EM543</f>
        <v>418.06920000000002</v>
      </c>
      <c r="EN568" s="130">
        <f t="shared" ref="EN568" si="3097">IF(ISERROR((EM568/EE568-1)*100),"NA",IF(((EM568/EE568-1)*100)&gt;100,"NM",IF(((EM568/EE568-1)*100)&lt;-50,"NM",(EM568/EE568-1)*100)))</f>
        <v>-10.48474124522949</v>
      </c>
      <c r="EO568" s="73">
        <f t="shared" ref="EO568" si="3098">EO566+EO543</f>
        <v>816.0277000000001</v>
      </c>
      <c r="EP568" s="130" t="str">
        <f t="shared" ref="EP568" si="3099">IF(ISERROR((EO568/EG568-1)*100),"NA",IF(((EO568/EG568-1)*100)&gt;100,"NM",IF(((EO568/EG568-1)*100)&lt;-50,"NM",(EO568/EG568-1)*100)))</f>
        <v>NM</v>
      </c>
      <c r="EQ568" s="73">
        <f t="shared" ref="EQ568:EW568" si="3100">EQ566+EQ543</f>
        <v>364.22239174143363</v>
      </c>
      <c r="ER568" s="130">
        <f t="shared" ref="ER568" si="3101">IF(ISERROR((EQ568/EI568-1)*100),"NA",IF(((EQ568/EI568-1)*100)&gt;100,"NM",IF(((EQ568/EI568-1)*100)&lt;-50,"NM",(EQ568/EI568-1)*100)))</f>
        <v>-16.274968158759386</v>
      </c>
      <c r="ES568" s="73">
        <f t="shared" si="3100"/>
        <v>391.87259890626729</v>
      </c>
      <c r="ET568" s="130">
        <f t="shared" ref="ET568" si="3102">IF(ISERROR((ES568/EK568-1)*100),"NA",IF(((ES568/EK568-1)*100)&gt;100,"NM",IF(((ES568/EK568-1)*100)&lt;-50,"NM",(ES568/EK568-1)*100)))</f>
        <v>-4.6751488186597578</v>
      </c>
      <c r="EU568" s="73">
        <f t="shared" si="3100"/>
        <v>389.78415433744664</v>
      </c>
      <c r="EV568" s="130">
        <f t="shared" ref="EV568" si="3103">IF(ISERROR((EU568/EM568-1)*100),"NA",IF(((EU568/EM568-1)*100)&gt;100,"NM",IF(((EU568/EM568-1)*100)&lt;-50,"NM",(EU568/EM568-1)*100)))</f>
        <v>-6.7656372826683686</v>
      </c>
      <c r="EW568" s="73">
        <f t="shared" si="3100"/>
        <v>403.48243687600649</v>
      </c>
      <c r="EX568" s="130" t="str">
        <f t="shared" ref="EX568" si="3104">IF(ISERROR((EW568/EO568-1)*100),"NA",IF(((EW568/EO568-1)*100)&gt;100,"NM",IF(((EW568/EO568-1)*100)&lt;-50,"NM",(EW568/EO568-1)*100)))</f>
        <v>NM</v>
      </c>
      <c r="EY568" s="65"/>
      <c r="EZ568" s="558"/>
      <c r="FA568" s="65"/>
      <c r="FB568" s="73"/>
      <c r="FC568" s="65"/>
      <c r="FD568" s="73"/>
      <c r="FE568" s="422"/>
      <c r="FF568" s="73"/>
      <c r="FG568" s="422"/>
      <c r="FH568" s="73"/>
      <c r="FI568" s="422"/>
      <c r="FJ568" s="73"/>
      <c r="FK568" s="422"/>
      <c r="FL568" s="73"/>
      <c r="FM568" s="13"/>
      <c r="FN568" s="73"/>
      <c r="FO568" s="13"/>
      <c r="FP568" s="73"/>
      <c r="FQ568" s="13"/>
      <c r="FR568" s="73">
        <f>FR566+FR543</f>
        <v>1284.9399999999998</v>
      </c>
      <c r="FS568" s="13"/>
      <c r="FT568" s="73">
        <f>FT566+FT543</f>
        <v>1197.2999999999995</v>
      </c>
      <c r="FU568" s="13"/>
      <c r="FV568" s="73">
        <f>FV566+FV543</f>
        <v>56.018000000000484</v>
      </c>
      <c r="FW568" s="13"/>
      <c r="FX568" s="73">
        <f>FX566+FX543</f>
        <v>-518.78999999999985</v>
      </c>
      <c r="FY568" s="13"/>
      <c r="FZ568" s="73">
        <f>FZ566+FZ543</f>
        <v>772.99999999999943</v>
      </c>
      <c r="GA568" s="13"/>
      <c r="GB568" s="73">
        <f>GB566+GB543</f>
        <v>222.40000000000009</v>
      </c>
      <c r="GC568" s="13"/>
      <c r="GD568" s="73">
        <f>GD566+GD543</f>
        <v>1309</v>
      </c>
      <c r="GE568" s="13"/>
      <c r="GF568" s="73">
        <f>GF566+GF543</f>
        <v>1244</v>
      </c>
      <c r="GG568" s="61">
        <f t="shared" ref="GG568:GW568" si="3105">IF(ISERROR((GF568/GD568-1)*100),"NA",IF(((GF568/GD568-1)*100)&gt;100,"NM",IF(((GF568/GD568-1)*100)&lt;-50,"NM",(GF568/GD568-1)*100)))</f>
        <v>-4.9656226126814307</v>
      </c>
      <c r="GH568" s="73">
        <f>GH566+GH543</f>
        <v>1517</v>
      </c>
      <c r="GI568" s="61">
        <f t="shared" si="3105"/>
        <v>21.945337620578776</v>
      </c>
      <c r="GJ568" s="73">
        <f>GJ566+GJ543</f>
        <v>1147.0615</v>
      </c>
      <c r="GK568" s="61">
        <f t="shared" si="3105"/>
        <v>-24.386189848384966</v>
      </c>
      <c r="GL568" s="73">
        <f>GL566+GL543</f>
        <v>1183.1154999999999</v>
      </c>
      <c r="GM568" s="61">
        <f t="shared" si="3105"/>
        <v>3.1431618967247887</v>
      </c>
      <c r="GN568" s="73">
        <f>GN566+GN543</f>
        <v>2080.2107500000002</v>
      </c>
      <c r="GO568" s="61">
        <f t="shared" si="3105"/>
        <v>75.824824372599323</v>
      </c>
      <c r="GP568" s="73">
        <f>GP566+GP543</f>
        <v>1549.3615818611524</v>
      </c>
      <c r="GQ568" s="61">
        <f t="shared" si="3105"/>
        <v>-25.519008982087399</v>
      </c>
      <c r="GR568" s="73">
        <f>GR566+GR543</f>
        <v>1663.3817312694523</v>
      </c>
      <c r="GS568" s="61">
        <f t="shared" si="3105"/>
        <v>7.359169786005304</v>
      </c>
      <c r="GT568" s="73">
        <f>GT566+GT543</f>
        <v>1897.9027710340356</v>
      </c>
      <c r="GU568" s="61">
        <f t="shared" si="3105"/>
        <v>14.099051069029267</v>
      </c>
      <c r="GV568" s="73">
        <f>GV566+GV543</f>
        <v>2031.0236834424354</v>
      </c>
      <c r="GW568" s="61">
        <f t="shared" si="3105"/>
        <v>7.0141060142860479</v>
      </c>
      <c r="GX568" s="73">
        <f>GX566+GX543</f>
        <v>2154.5297485903538</v>
      </c>
      <c r="GY568" s="61">
        <f t="shared" ref="GY568" si="3106">IF(ISERROR((GX568/GV568-1)*100),"NA",IF(((GX568/GV568-1)*100)&gt;100,"NM",IF(((GX568/GV568-1)*100)&lt;-50,"NM",(GX568/GV568-1)*100)))</f>
        <v>6.0809761183377553</v>
      </c>
      <c r="GZ568" s="61">
        <f>IF(ISERROR((GX568/GN568)^0.2),"",IF(OR((GX568/GN568)^0.2&lt;0.5,(GX568/GN568)^0.2&gt;2),"NM",((GX568/GN568)^0.2-1)*100))</f>
        <v>0.70453575610978092</v>
      </c>
      <c r="HA568" s="13"/>
      <c r="HB568" s="452"/>
      <c r="HC568"/>
      <c r="HD568"/>
      <c r="HE568"/>
      <c r="HF568"/>
      <c r="HG568"/>
      <c r="HH568"/>
    </row>
    <row r="569" spans="1:216" s="76" customFormat="1" ht="12.75" customHeight="1" x14ac:dyDescent="0.2">
      <c r="B569" s="345"/>
      <c r="C569" s="137"/>
      <c r="D569" s="78"/>
      <c r="E569" s="137"/>
      <c r="F569" s="79"/>
      <c r="G569" s="137"/>
      <c r="H569" s="79"/>
      <c r="I569" s="137"/>
      <c r="J569" s="79"/>
      <c r="K569" s="137"/>
      <c r="L569" s="80"/>
      <c r="M569" s="137"/>
      <c r="N569" s="80"/>
      <c r="O569" s="137"/>
      <c r="P569" s="80"/>
      <c r="Q569" s="137"/>
      <c r="R569" s="80"/>
      <c r="S569" s="137"/>
      <c r="T569" s="80"/>
      <c r="U569" s="137"/>
      <c r="V569" s="80"/>
      <c r="W569" s="137"/>
      <c r="X569" s="80"/>
      <c r="Y569" s="137"/>
      <c r="Z569" s="80"/>
      <c r="AA569" s="137"/>
      <c r="AB569" s="80"/>
      <c r="AC569" s="137"/>
      <c r="AD569" s="80"/>
      <c r="AE569" s="137"/>
      <c r="AF569" s="80"/>
      <c r="AG569" s="137"/>
      <c r="AH569" s="80"/>
      <c r="AI569" s="137"/>
      <c r="AJ569" s="80"/>
      <c r="AK569" s="137"/>
      <c r="AL569" s="80"/>
      <c r="AM569" s="137"/>
      <c r="AN569" s="80"/>
      <c r="AO569" s="137"/>
      <c r="AP569" s="80"/>
      <c r="AQ569" s="137"/>
      <c r="AR569" s="61"/>
      <c r="AS569" s="137"/>
      <c r="AT569" s="61"/>
      <c r="AU569" s="137"/>
      <c r="AV569" s="61"/>
      <c r="AW569" s="137"/>
      <c r="AX569" s="61"/>
      <c r="AY569" s="137"/>
      <c r="AZ569" s="61"/>
      <c r="BA569" s="137"/>
      <c r="BB569" s="61"/>
      <c r="BC569" s="137"/>
      <c r="BD569" s="61"/>
      <c r="BE569" s="137"/>
      <c r="BF569" s="61"/>
      <c r="BG569" s="137"/>
      <c r="BH569" s="61"/>
      <c r="BI569" s="137"/>
      <c r="BJ569" s="61"/>
      <c r="BK569" s="137"/>
      <c r="BL569" s="61"/>
      <c r="BM569" s="137"/>
      <c r="BN569" s="61"/>
      <c r="BO569" s="137"/>
      <c r="BP569" s="61"/>
      <c r="BQ569" s="137"/>
      <c r="BR569" s="61"/>
      <c r="BS569" s="137"/>
      <c r="BT569" s="61"/>
      <c r="BU569" s="137"/>
      <c r="BV569" s="61"/>
      <c r="BW569" s="137"/>
      <c r="BX569" s="61"/>
      <c r="BY569" s="137"/>
      <c r="BZ569" s="61"/>
      <c r="CA569" s="137"/>
      <c r="CB569" s="61"/>
      <c r="CC569" s="137"/>
      <c r="CD569" s="61"/>
      <c r="CE569" s="137"/>
      <c r="CF569" s="61"/>
      <c r="CG569" s="137"/>
      <c r="CH569" s="61"/>
      <c r="CI569" s="137"/>
      <c r="CJ569" s="61"/>
      <c r="CK569" s="137"/>
      <c r="CL569" s="61"/>
      <c r="CM569" s="137"/>
      <c r="CN569" s="61"/>
      <c r="CO569" s="137"/>
      <c r="CP569" s="61"/>
      <c r="CQ569" s="137"/>
      <c r="CR569" s="61"/>
      <c r="CS569" s="137"/>
      <c r="CT569" s="61"/>
      <c r="CU569" s="137"/>
      <c r="CV569" s="61"/>
      <c r="CW569" s="137"/>
      <c r="CX569" s="61"/>
      <c r="CY569" s="137"/>
      <c r="CZ569" s="61"/>
      <c r="DA569" s="137"/>
      <c r="DB569" s="61"/>
      <c r="DC569" s="137"/>
      <c r="DD569" s="61"/>
      <c r="DE569" s="137"/>
      <c r="DF569" s="61"/>
      <c r="DG569" s="137"/>
      <c r="DH569" s="61"/>
      <c r="DI569" s="137"/>
      <c r="DJ569" s="61"/>
      <c r="DK569" s="137"/>
      <c r="DL569" s="61"/>
      <c r="DM569" s="137"/>
      <c r="DN569" s="61"/>
      <c r="DO569" s="137"/>
      <c r="DP569" s="61"/>
      <c r="DQ569" s="137"/>
      <c r="DR569" s="61"/>
      <c r="DS569" s="137"/>
      <c r="DT569" s="61"/>
      <c r="DU569" s="137"/>
      <c r="DV569" s="61"/>
      <c r="DW569" s="137"/>
      <c r="DX569" s="137"/>
      <c r="DY569" s="137"/>
      <c r="DZ569" s="61"/>
      <c r="EA569" s="137"/>
      <c r="EB569" s="61"/>
      <c r="EC569" s="137"/>
      <c r="ED569" s="61"/>
      <c r="EE569" s="137"/>
      <c r="EF569" s="61"/>
      <c r="EG569" s="137"/>
      <c r="EH569" s="61"/>
      <c r="EI569" s="137"/>
      <c r="EJ569" s="61"/>
      <c r="EK569" s="137"/>
      <c r="EL569" s="61"/>
      <c r="EM569" s="137"/>
      <c r="EN569" s="61"/>
      <c r="EO569" s="137"/>
      <c r="EP569" s="61"/>
      <c r="EQ569" s="137"/>
      <c r="ER569" s="61"/>
      <c r="ES569" s="137"/>
      <c r="ET569" s="61"/>
      <c r="EU569" s="137"/>
      <c r="EV569" s="61"/>
      <c r="EW569" s="137"/>
      <c r="EX569" s="61"/>
      <c r="EY569" s="277"/>
      <c r="EZ569" s="558"/>
      <c r="FA569" s="277"/>
      <c r="FB569" s="137"/>
      <c r="FC569" s="79"/>
      <c r="FD569" s="137"/>
      <c r="FE569" s="78"/>
      <c r="FF569" s="137"/>
      <c r="FG569" s="78"/>
      <c r="FH569" s="137"/>
      <c r="FI569" s="78"/>
      <c r="FJ569" s="137"/>
      <c r="FK569" s="78"/>
      <c r="FL569" s="137"/>
      <c r="FM569" s="80"/>
      <c r="FN569" s="137"/>
      <c r="FO569" s="80"/>
      <c r="FP569" s="104"/>
      <c r="FQ569" s="61"/>
      <c r="FR569" s="104"/>
      <c r="FS569" s="61"/>
      <c r="FT569" s="104"/>
      <c r="FU569" s="61"/>
      <c r="FV569" s="104"/>
      <c r="FW569" s="61"/>
      <c r="FX569" s="104"/>
      <c r="FY569" s="61"/>
      <c r="FZ569" s="104"/>
      <c r="GA569" s="61"/>
      <c r="GB569" s="104"/>
      <c r="GC569" s="61"/>
      <c r="GD569" s="104"/>
      <c r="GE569" s="61"/>
      <c r="GF569" s="104"/>
      <c r="GG569" s="61"/>
      <c r="GH569" s="104"/>
      <c r="GI569" s="61"/>
      <c r="GJ569" s="104"/>
      <c r="GK569" s="61"/>
      <c r="GL569" s="104"/>
      <c r="GM569" s="61"/>
      <c r="GN569" s="104"/>
      <c r="GO569" s="61"/>
      <c r="GP569" s="104"/>
      <c r="GQ569" s="61"/>
      <c r="GR569" s="137"/>
      <c r="GS569" s="61"/>
      <c r="GT569" s="137"/>
      <c r="GU569" s="61"/>
      <c r="GV569" s="137"/>
      <c r="GW569" s="61"/>
      <c r="GX569" s="137"/>
      <c r="GY569" s="61"/>
      <c r="GZ569" s="61"/>
      <c r="HA569" s="61"/>
      <c r="HB569" s="452"/>
      <c r="HC569"/>
      <c r="HD569"/>
      <c r="HE569"/>
      <c r="HF569"/>
      <c r="HG569"/>
      <c r="HH569"/>
    </row>
    <row r="570" spans="1:216" s="5" customFormat="1" ht="12.75" customHeight="1" x14ac:dyDescent="0.2">
      <c r="B570" s="63" t="s">
        <v>360</v>
      </c>
      <c r="C570" s="66"/>
      <c r="D570" s="67"/>
      <c r="E570" s="66"/>
      <c r="F570" s="66"/>
      <c r="G570" s="64"/>
      <c r="H570" s="66"/>
      <c r="I570" s="64"/>
      <c r="J570" s="66"/>
      <c r="K570" s="64"/>
      <c r="L570" s="61"/>
      <c r="M570" s="66"/>
      <c r="N570" s="61"/>
      <c r="O570" s="64"/>
      <c r="P570" s="61"/>
      <c r="Q570" s="64"/>
      <c r="R570" s="61"/>
      <c r="S570" s="64"/>
      <c r="T570" s="61"/>
      <c r="U570" s="64"/>
      <c r="V570" s="61"/>
      <c r="W570" s="64"/>
      <c r="X570" s="61"/>
      <c r="Y570" s="64"/>
      <c r="Z570" s="61"/>
      <c r="AA570" s="64"/>
      <c r="AB570" s="61"/>
      <c r="AC570" s="64"/>
      <c r="AD570" s="61"/>
      <c r="AE570" s="64"/>
      <c r="AF570" s="61"/>
      <c r="AG570" s="64"/>
      <c r="AH570" s="61"/>
      <c r="AI570" s="64"/>
      <c r="AJ570" s="61"/>
      <c r="AK570" s="64"/>
      <c r="AL570" s="61"/>
      <c r="AM570" s="64"/>
      <c r="AN570" s="61"/>
      <c r="AO570" s="64"/>
      <c r="AP570" s="61"/>
      <c r="AQ570" s="64"/>
      <c r="AR570" s="61"/>
      <c r="AS570" s="64"/>
      <c r="AT570" s="61"/>
      <c r="AU570" s="64"/>
      <c r="AV570" s="61"/>
      <c r="AW570" s="64"/>
      <c r="AX570" s="61"/>
      <c r="AY570" s="64"/>
      <c r="AZ570" s="61"/>
      <c r="BA570" s="64"/>
      <c r="BB570" s="61"/>
      <c r="BC570" s="64"/>
      <c r="BD570" s="61"/>
      <c r="BE570" s="64"/>
      <c r="BF570" s="61"/>
      <c r="BG570" s="64"/>
      <c r="BH570" s="61"/>
      <c r="BI570" s="64"/>
      <c r="BJ570" s="61"/>
      <c r="BK570" s="64"/>
      <c r="BL570" s="61"/>
      <c r="BM570" s="64"/>
      <c r="BN570" s="61"/>
      <c r="BO570" s="64"/>
      <c r="BP570" s="61"/>
      <c r="BQ570" s="64"/>
      <c r="BR570" s="61"/>
      <c r="BS570" s="64"/>
      <c r="BT570" s="61"/>
      <c r="BU570" s="64"/>
      <c r="BV570" s="61"/>
      <c r="BW570" s="64"/>
      <c r="BX570" s="61"/>
      <c r="BY570" s="64"/>
      <c r="BZ570" s="61"/>
      <c r="CA570" s="64"/>
      <c r="CB570" s="61"/>
      <c r="CC570" s="64"/>
      <c r="CD570" s="61"/>
      <c r="CE570" s="64"/>
      <c r="CF570" s="61"/>
      <c r="CG570" s="64"/>
      <c r="CH570" s="61"/>
      <c r="CI570" s="64"/>
      <c r="CJ570" s="61"/>
      <c r="CK570" s="64"/>
      <c r="CL570" s="61"/>
      <c r="CM570" s="64"/>
      <c r="CN570" s="61"/>
      <c r="CO570" s="64"/>
      <c r="CP570" s="61"/>
      <c r="CQ570" s="64"/>
      <c r="CR570" s="61"/>
      <c r="CS570" s="64"/>
      <c r="CT570" s="61"/>
      <c r="CU570" s="64"/>
      <c r="CV570" s="61"/>
      <c r="CW570" s="64"/>
      <c r="CX570" s="61"/>
      <c r="CY570" s="64"/>
      <c r="CZ570" s="61"/>
      <c r="DA570" s="64"/>
      <c r="DB570" s="61"/>
      <c r="DC570" s="64"/>
      <c r="DD570" s="61"/>
      <c r="DE570" s="64"/>
      <c r="DF570" s="61"/>
      <c r="DG570" s="64"/>
      <c r="DH570" s="61"/>
      <c r="DI570" s="64"/>
      <c r="DJ570" s="61"/>
      <c r="DK570" s="64"/>
      <c r="DL570" s="61"/>
      <c r="DM570" s="64"/>
      <c r="DN570" s="61"/>
      <c r="DO570" s="64"/>
      <c r="DP570" s="61"/>
      <c r="DQ570" s="64"/>
      <c r="DR570" s="61"/>
      <c r="DS570" s="64"/>
      <c r="DT570" s="61"/>
      <c r="DU570" s="64"/>
      <c r="DV570" s="61"/>
      <c r="DW570" s="64"/>
      <c r="DX570" s="64"/>
      <c r="DY570" s="64"/>
      <c r="DZ570" s="61"/>
      <c r="EA570" s="64"/>
      <c r="EB570" s="61"/>
      <c r="EC570" s="64"/>
      <c r="ED570" s="61"/>
      <c r="EE570" s="64"/>
      <c r="EF570" s="61"/>
      <c r="EG570" s="64"/>
      <c r="EH570" s="61"/>
      <c r="EI570" s="64"/>
      <c r="EJ570" s="61"/>
      <c r="EK570" s="64"/>
      <c r="EL570" s="61"/>
      <c r="EM570" s="64"/>
      <c r="EN570" s="61"/>
      <c r="EO570" s="64"/>
      <c r="EP570" s="61"/>
      <c r="EQ570" s="64"/>
      <c r="ER570" s="61"/>
      <c r="ES570" s="64"/>
      <c r="ET570" s="61"/>
      <c r="EU570" s="64"/>
      <c r="EV570" s="61"/>
      <c r="EW570" s="64"/>
      <c r="EX570" s="61"/>
      <c r="EY570" s="64"/>
      <c r="EZ570" s="558"/>
      <c r="FA570" s="64"/>
      <c r="FB570" s="66"/>
      <c r="FC570" s="66"/>
      <c r="FD570" s="66"/>
      <c r="FE570" s="67"/>
      <c r="FF570" s="66"/>
      <c r="FG570" s="67"/>
      <c r="FH570" s="66"/>
      <c r="FI570" s="67"/>
      <c r="FJ570" s="66"/>
      <c r="FK570" s="67"/>
      <c r="FL570" s="66"/>
      <c r="FM570" s="61"/>
      <c r="FN570" s="66"/>
      <c r="FO570" s="61"/>
      <c r="FP570" s="65"/>
      <c r="FQ570" s="61"/>
      <c r="FR570" s="65"/>
      <c r="FS570" s="61"/>
      <c r="FT570" s="65"/>
      <c r="FU570" s="61"/>
      <c r="FV570" s="65"/>
      <c r="FW570" s="61"/>
      <c r="FX570" s="65"/>
      <c r="FY570" s="61"/>
      <c r="FZ570" s="65"/>
      <c r="GA570" s="61"/>
      <c r="GB570" s="65"/>
      <c r="GC570" s="61"/>
      <c r="GD570" s="65"/>
      <c r="GE570" s="61"/>
      <c r="GF570" s="65"/>
      <c r="GG570" s="61"/>
      <c r="GH570" s="65"/>
      <c r="GI570" s="61"/>
      <c r="GJ570" s="65"/>
      <c r="GK570" s="61"/>
      <c r="GL570" s="65"/>
      <c r="GM570" s="61"/>
      <c r="GN570" s="65"/>
      <c r="GO570" s="61"/>
      <c r="GP570" s="65"/>
      <c r="GQ570" s="61"/>
      <c r="GR570" s="64"/>
      <c r="GS570" s="61"/>
      <c r="GT570" s="64"/>
      <c r="GU570" s="61"/>
      <c r="GV570" s="64"/>
      <c r="GW570" s="61"/>
      <c r="GX570" s="64"/>
      <c r="GY570" s="61"/>
      <c r="GZ570" s="61" t="str">
        <f t="shared" ref="GZ570:GZ584" si="3107">IF(ISERROR((GX570/GN570)^0.2),"",IF(OR((GX570/GN570)^0.2&lt;0.5,(GX570/GN570)^0.2&gt;2),"NM",((GX570/GN570)^0.2-1)*100))</f>
        <v/>
      </c>
      <c r="HA570" s="61"/>
      <c r="HB570" s="452"/>
      <c r="HC570"/>
      <c r="HD570"/>
      <c r="HE570"/>
      <c r="HF570"/>
      <c r="HG570"/>
      <c r="HH570"/>
    </row>
    <row r="571" spans="1:216" s="5" customFormat="1" ht="12.75" customHeight="1" x14ac:dyDescent="0.2">
      <c r="A571" s="5" t="s">
        <v>669</v>
      </c>
      <c r="B571" s="2" t="s">
        <v>109</v>
      </c>
      <c r="C571" s="346"/>
      <c r="D571" s="70"/>
      <c r="E571" s="346"/>
      <c r="F571" s="71"/>
      <c r="G571" s="346"/>
      <c r="H571" s="71"/>
      <c r="I571" s="346"/>
      <c r="J571" s="71"/>
      <c r="K571" s="346"/>
      <c r="L571" s="61"/>
      <c r="M571" s="346"/>
      <c r="N571" s="61"/>
      <c r="O571" s="346"/>
      <c r="P571" s="61"/>
      <c r="Q571" s="346"/>
      <c r="R571" s="61"/>
      <c r="S571" s="346"/>
      <c r="T571" s="61"/>
      <c r="U571" s="346"/>
      <c r="V571" s="61"/>
      <c r="W571" s="346"/>
      <c r="X571" s="61"/>
      <c r="Y571" s="346"/>
      <c r="Z571" s="61"/>
      <c r="AA571" s="346"/>
      <c r="AB571" s="61"/>
      <c r="AC571" s="346"/>
      <c r="AD571" s="61"/>
      <c r="AE571" s="346"/>
      <c r="AF571" s="61"/>
      <c r="AG571" s="346"/>
      <c r="AH571" s="61"/>
      <c r="AI571" s="346"/>
      <c r="AJ571" s="61"/>
      <c r="AK571" s="346"/>
      <c r="AL571" s="61"/>
      <c r="AM571" s="346"/>
      <c r="AN571" s="61"/>
      <c r="AO571" s="346"/>
      <c r="AP571" s="61"/>
      <c r="AQ571" s="346">
        <f>AQ518/AQ$533*100</f>
        <v>23.83212973885357</v>
      </c>
      <c r="AR571" s="61" t="str">
        <f t="shared" ref="AR571:AR576" si="3108">IF(ISERROR((AQ571/AI571-1)*100),"NA",IF(((AQ571/AI571-1)*100)&gt;100,"NM",IF(((AQ571/AI571-1)*100)&lt;-50,"NM",(AQ571/AI571-1)*100)))</f>
        <v>NA</v>
      </c>
      <c r="AS571" s="346">
        <f>AS518/AS$533*100</f>
        <v>16.678384300765142</v>
      </c>
      <c r="AT571" s="61" t="str">
        <f t="shared" ref="AT571:AT576" si="3109">IF(ISERROR((AS571/AK571-1)*100),"NA",IF(((AS571/AK571-1)*100)&gt;100,"NM",IF(((AS571/AK571-1)*100)&lt;-50,"NM",(AS571/AK571-1)*100)))</f>
        <v>NA</v>
      </c>
      <c r="AU571" s="346">
        <f>AU518/AU$533*100</f>
        <v>37.678975131876406</v>
      </c>
      <c r="AV571" s="61" t="str">
        <f t="shared" ref="AV571:AV576" si="3110">IF(ISERROR((AU571/AM571-1)*100),"NA",IF(((AU571/AM571-1)*100)&gt;100,"NM",IF(((AU571/AM571-1)*100)&lt;-50,"NM",(AU571/AM571-1)*100)))</f>
        <v>NA</v>
      </c>
      <c r="AW571" s="346">
        <f>AW518/AW$533*100</f>
        <v>27.616024305217451</v>
      </c>
      <c r="AX571" s="61" t="str">
        <f t="shared" ref="AX571:AX576" si="3111">IF(ISERROR((AW571/AO571-1)*100),"NA",IF(((AW571/AO571-1)*100)&gt;100,"NM",IF(((AW571/AO571-1)*100)&lt;-50,"NM",(AW571/AO571-1)*100)))</f>
        <v>NA</v>
      </c>
      <c r="AY571" s="346">
        <f>AY518/AY$533*100</f>
        <v>26.886945254292193</v>
      </c>
      <c r="AZ571" s="61">
        <f t="shared" ref="AZ571:AZ576" si="3112">IF(ISERROR((AY571/AQ571-1)*100),"NA",IF(((AY571/AQ571-1)*100)&gt;100,"NM",IF(((AY571/AQ571-1)*100)&lt;-50,"NM",(AY571/AQ571-1)*100)))</f>
        <v>12.818055074861201</v>
      </c>
      <c r="BA571" s="346">
        <f>BA518/BA$533*100</f>
        <v>26.862731780207849</v>
      </c>
      <c r="BB571" s="61">
        <f t="shared" ref="BB571:BB576" si="3113">IF(ISERROR((BA571/AS571-1)*100),"NA",IF(((BA571/AS571-1)*100)&gt;100,"NM",IF(((BA571/AS571-1)*100)&lt;-50,"NM",(BA571/AS571-1)*100)))</f>
        <v>61.063153934973698</v>
      </c>
      <c r="BC571" s="346">
        <f>BC518/BC$533*100</f>
        <v>30.725915044681116</v>
      </c>
      <c r="BD571" s="61">
        <f t="shared" ref="BD571:BD576" si="3114">IF(ISERROR((BC571/AU571-1)*100),"NA",IF(((BC571/AU571-1)*100)&gt;100,"NM",IF(((BC571/AU571-1)*100)&lt;-50,"NM",(BC571/AU571-1)*100)))</f>
        <v>-18.453421471416299</v>
      </c>
      <c r="BE571" s="346">
        <f>BE518/BE$533*100</f>
        <v>33.495809308684535</v>
      </c>
      <c r="BF571" s="61">
        <f t="shared" ref="BF571:BF576" si="3115">IF(ISERROR((BE571/AW571-1)*100),"NA",IF(((BE571/AW571-1)*100)&gt;100,"NM",IF(((BE571/AW571-1)*100)&lt;-50,"NM",(BE571/AW571-1)*100)))</f>
        <v>21.291207374684372</v>
      </c>
      <c r="BG571" s="346">
        <f>BG518/BG$533*100</f>
        <v>34.741060419235495</v>
      </c>
      <c r="BH571" s="61">
        <f t="shared" ref="BH571:BH576" si="3116">IF(ISERROR((BG571/AY571-1)*100),"NA",IF(((BG571/AY571-1)*100)&gt;100,"NM",IF(((BG571/AY571-1)*100)&lt;-50,"NM",(BG571/AY571-1)*100)))</f>
        <v>29.211630739975881</v>
      </c>
      <c r="BI571" s="346">
        <f>BI518/BI$533*100</f>
        <v>35.571296581459805</v>
      </c>
      <c r="BJ571" s="61">
        <f t="shared" ref="BJ571:BJ576" si="3117">IF(ISERROR((BI571/BA571-1)*100),"NA",IF(((BI571/BA571-1)*100)&gt;100,"NM",IF(((BI571/BA571-1)*100)&lt;-50,"NM",(BI571/BA571-1)*100)))</f>
        <v>32.418760952928572</v>
      </c>
      <c r="BK571" s="346">
        <f>BK518/BK$533*100</f>
        <v>42.320310169997015</v>
      </c>
      <c r="BL571" s="61">
        <f t="shared" ref="BL571:BL576" si="3118">IF(ISERROR((BK571/BC571-1)*100),"NA",IF(((BK571/BC571-1)*100)&gt;100,"NM",IF(((BK571/BC571-1)*100)&lt;-50,"NM",(BK571/BC571-1)*100)))</f>
        <v>37.734905887930495</v>
      </c>
      <c r="BM571" s="346">
        <f>BM518/BM$533*100</f>
        <v>43.450210378681625</v>
      </c>
      <c r="BN571" s="61">
        <f t="shared" ref="BN571:BN576" si="3119">IF(ISERROR((BM571/BE571-1)*100),"NA",IF(((BM571/BE571-1)*100)&gt;100,"NM",IF(((BM571/BE571-1)*100)&lt;-50,"NM",(BM571/BE571-1)*100)))</f>
        <v>29.718347684216685</v>
      </c>
      <c r="BO571" s="346">
        <f>BO518/BO$533*100</f>
        <v>35.435139573070607</v>
      </c>
      <c r="BP571" s="61">
        <f t="shared" ref="BP571:BP576" si="3120">IF(ISERROR((BO571/BG571-1)*100),"NA",IF(((BO571/BG571-1)*100)&gt;100,"NM",IF(((BO571/BG571-1)*100)&lt;-50,"NM",(BO571/BG571-1)*100)))</f>
        <v>1.9978640417401161</v>
      </c>
      <c r="BQ571" s="346">
        <f>BQ518/BQ$533*100</f>
        <v>37.653920933246937</v>
      </c>
      <c r="BR571" s="61">
        <f t="shared" ref="BR571:BR576" si="3121">IF(ISERROR((BQ571/BI571-1)*100),"NA",IF(((BQ571/BI571-1)*100)&gt;100,"NM",IF(((BQ571/BI571-1)*100)&lt;-50,"NM",(BQ571/BI571-1)*100)))</f>
        <v>5.8547889785738771</v>
      </c>
      <c r="BS571" s="346">
        <f>BS518/BS$533*100</f>
        <v>37.428571428571431</v>
      </c>
      <c r="BT571" s="61">
        <f t="shared" ref="BT571:BT576" si="3122">IF(ISERROR((BS571/BK571-1)*100),"NA",IF(((BS571/BK571-1)*100)&gt;100,"NM",IF(((BS571/BK571-1)*100)&lt;-50,"NM",(BS571/BK571-1)*100)))</f>
        <v>-11.558844256518663</v>
      </c>
      <c r="BU571" s="346">
        <f>BU518/BU$533*100</f>
        <v>35.203366058906006</v>
      </c>
      <c r="BV571" s="61">
        <f t="shared" ref="BV571:BV576" si="3123">IF(ISERROR((BU571/BM571-1)*100),"NA",IF(((BU571/BM571-1)*100)&gt;100,"NM",IF(((BU571/BM571-1)*100)&lt;-50,"NM",(BU571/BM571-1)*100)))</f>
        <v>-18.979987088444204</v>
      </c>
      <c r="BW571" s="346">
        <f>BW518/BW$533*100</f>
        <v>37.800511508951409</v>
      </c>
      <c r="BX571" s="61">
        <f t="shared" ref="BX571:BX579" si="3124">IF(ISERROR((BW571/BO571-1)*100),"NA",IF(((BW571/BO571-1)*100)&gt;100,"NM",IF(((BW571/BO571-1)*100)&lt;-50,"NM",(BW571/BO571-1)*100)))</f>
        <v>6.6752155187739026</v>
      </c>
      <c r="BY571" s="346">
        <f>BY518/BY$533*100</f>
        <v>31.548480463096944</v>
      </c>
      <c r="BZ571" s="61">
        <f t="shared" ref="BZ571:BZ579" si="3125">IF(ISERROR((BY571/BQ571-1)*100),"NA",IF(((BY571/BQ571-1)*100)&gt;100,"NM",IF(((BY571/BQ571-1)*100)&lt;-50,"NM",(BY571/BQ571-1)*100)))</f>
        <v>-16.214620732257202</v>
      </c>
      <c r="CA571" s="346">
        <f>CA518/CA$533*100</f>
        <v>30.400367098772531</v>
      </c>
      <c r="CB571" s="61">
        <f t="shared" ref="CB571:CB579" si="3126">IF(ISERROR((CA571/BS571-1)*100),"NA",IF(((CA571/BS571-1)*100)&gt;100,"NM",IF(((CA571/BS571-1)*100)&lt;-50,"NM",(CA571/BS571-1)*100)))</f>
        <v>-18.777645155951262</v>
      </c>
      <c r="CC571" s="346">
        <f>CC518/CC$533*100</f>
        <v>33.767100433767098</v>
      </c>
      <c r="CD571" s="61">
        <f t="shared" ref="CD571:CD579" si="3127">IF(ISERROR((CC571/BU571-1)*100),"NA",IF(((CC571/BU571-1)*100)&gt;100,"NM",IF(((CC571/BU571-1)*100)&lt;-50,"NM",(CC571/BU571-1)*100)))</f>
        <v>-4.0799099232033509</v>
      </c>
      <c r="CE571" s="346">
        <f>CE518/CE$533*100</f>
        <v>34.498587570621446</v>
      </c>
      <c r="CF571" s="61">
        <f t="shared" ref="CF571:CF579" si="3128">IF(ISERROR((CE571/BW571-1)*100),"NA",IF(((CE571/BW571-1)*100)&gt;100,"NM",IF(((CE571/BW571-1)*100)&lt;-50,"NM",(CE571/BW571-1)*100)))</f>
        <v>-8.7351303104669533</v>
      </c>
      <c r="CG571" s="346">
        <f>CG518/CG$533*100</f>
        <v>34.8813209494324</v>
      </c>
      <c r="CH571" s="61">
        <f t="shared" ref="CH571:CH579" si="3129">IF(ISERROR((CG571/BY571-1)*100),"NA",IF(((CG571/BY571-1)*100)&gt;100,"NM",IF(((CG571/BY571-1)*100)&lt;-50,"NM",(CG571/BY571-1)*100)))</f>
        <v>10.564187046136709</v>
      </c>
      <c r="CI571" s="346">
        <f>CI518/CI$533*100</f>
        <v>40.518465909090892</v>
      </c>
      <c r="CJ571" s="61">
        <f t="shared" ref="CJ571:CJ579" si="3130">IF(ISERROR((CI571/CA571-1)*100),"NA",IF(((CI571/CA571-1)*100)&gt;100,"NM",IF(((CI571/CA571-1)*100)&lt;-50,"NM",(CI571/CA571-1)*100)))</f>
        <v>33.282817860205704</v>
      </c>
      <c r="CK571" s="346">
        <f>CK518/CK$533*100</f>
        <v>40.725806451612925</v>
      </c>
      <c r="CL571" s="61">
        <f t="shared" ref="CL571:CL579" si="3131">IF(ISERROR((CK571/CC571-1)*100),"NA",IF(((CK571/CC571-1)*100)&gt;100,"NM",IF(((CK571/CC571-1)*100)&lt;-50,"NM",(CK571/CC571-1)*100)))</f>
        <v>20.607946576565173</v>
      </c>
      <c r="CM571" s="346">
        <f>CM518/CM$533*100</f>
        <v>45.668720550924249</v>
      </c>
      <c r="CN571" s="61">
        <f t="shared" ref="CN571:CN579" si="3132">IF(ISERROR((CM571/CE571-1)*100),"NA",IF(((CM571/CE571-1)*100)&gt;100,"NM",IF(((CM571/CE571-1)*100)&lt;-50,"NM",(CM571/CE571-1)*100)))</f>
        <v>32.378522620488795</v>
      </c>
      <c r="CO571" s="346">
        <f>CO518/CO$533*100</f>
        <v>44.963905122035072</v>
      </c>
      <c r="CP571" s="61">
        <f t="shared" ref="CP571:CP579" si="3133">IF(ISERROR((CO571/CG571-1)*100),"NA",IF(((CO571/CG571-1)*100)&gt;100,"NM",IF(((CO571/CG571-1)*100)&lt;-50,"NM",(CO571/CG571-1)*100)))</f>
        <v>28.905396636840219</v>
      </c>
      <c r="CQ571" s="346">
        <f>CQ518/CQ$533*100</f>
        <v>39.405560882070958</v>
      </c>
      <c r="CR571" s="61">
        <f t="shared" ref="CR571:CR579" si="3134">IF(ISERROR((CQ571/CI571-1)*100),"NA",IF(((CQ571/CI571-1)*100)&gt;100,"NM",IF(((CQ571/CI571-1)*100)&lt;-50,"NM",(CQ571/CI571-1)*100)))</f>
        <v>-2.746661311207832</v>
      </c>
      <c r="CS571" s="346">
        <f>CS518/CS$533*100</f>
        <v>46.785714285714285</v>
      </c>
      <c r="CT571" s="61">
        <f t="shared" ref="CT571:CT579" si="3135">IF(ISERROR((CS571/CK571-1)*100),"NA",IF(((CS571/CK571-1)*100)&gt;100,"NM",IF(((CS571/CK571-1)*100)&lt;-50,"NM",(CS571/CK571-1)*100)))</f>
        <v>14.879773691654808</v>
      </c>
      <c r="CU571" s="346">
        <f>CU518/CU$533*100</f>
        <v>46.757679180887372</v>
      </c>
      <c r="CV571" s="61">
        <f t="shared" ref="CV571:CV579" si="3136">IF(ISERROR((CU571/CM571-1)*100),"NA",IF(((CU571/CM571-1)*100)&gt;100,"NM",IF(((CU571/CM571-1)*100)&lt;-50,"NM",(CU571/CM571-1)*100)))</f>
        <v>2.3844736984668602</v>
      </c>
      <c r="CW571" s="346">
        <f>CW518/CW$533*100</f>
        <v>49.491525423728817</v>
      </c>
      <c r="CX571" s="61">
        <f t="shared" ref="CX571:CX579" si="3137">IF(ISERROR((CW571/CO571-1)*100),"NA",IF(((CW571/CO571-1)*100)&gt;100,"NM",IF(((CW571/CO571-1)*100)&lt;-50,"NM",(CW571/CO571-1)*100)))</f>
        <v>10.069455242834181</v>
      </c>
      <c r="CY571" s="346">
        <f>CY518/CY$533*100</f>
        <v>45.121951219512198</v>
      </c>
      <c r="CZ571" s="61">
        <f t="shared" ref="CZ571:CZ579" si="3138">IF(ISERROR((CY571/CQ571-1)*100),"NA",IF(((CY571/CQ571-1)*100)&gt;100,"NM",IF(((CY571/CQ571-1)*100)&lt;-50,"NM",(CY571/CQ571-1)*100)))</f>
        <v>14.506557474333848</v>
      </c>
      <c r="DA571" s="346">
        <f>DA518/DA$533*100</f>
        <v>50.993377483443716</v>
      </c>
      <c r="DB571" s="61">
        <f t="shared" ref="DB571:DB579" si="3139">IF(ISERROR((DA571/CS571-1)*100),"NA",IF(((DA571/CS571-1)*100)&gt;100,"NM",IF(((DA571/CS571-1)*100)&lt;-50,"NM",(DA571/CS571-1)*100)))</f>
        <v>8.9934785905667169</v>
      </c>
      <c r="DC571" s="346">
        <f>DC518/DC$533*100</f>
        <v>53.266688554027162</v>
      </c>
      <c r="DD571" s="61">
        <f t="shared" ref="DD571:DD579" si="3140">IF(ISERROR((DC571/CU571-1)*100),"NA",IF(((DC571/CU571-1)*100)&gt;100,"NM",IF(((DC571/CU571-1)*100)&lt;-50,"NM",(DC571/CU571-1)*100)))</f>
        <v>13.920728075401168</v>
      </c>
      <c r="DE571" s="346">
        <f>DE518/DE$533*100</f>
        <v>56.024096385542165</v>
      </c>
      <c r="DF571" s="61">
        <f t="shared" ref="DF571:DF579" si="3141">IF(ISERROR((DE571/CW571-1)*100),"NA",IF(((DE571/CW571-1)*100)&gt;100,"NM",IF(((DE571/CW571-1)*100)&lt;-50,"NM",(DE571/CW571-1)*100)))</f>
        <v>13.199372833800949</v>
      </c>
      <c r="DG571" s="346">
        <f>DG518/DG$533*100</f>
        <v>57.227138643067846</v>
      </c>
      <c r="DH571" s="61">
        <f t="shared" ref="DH571:DH579" si="3142">IF(ISERROR((DG571/CY571-1)*100),"NA",IF(((DG571/CY571-1)*100)&gt;100,"NM",IF(((DG571/CY571-1)*100)&lt;-50,"NM",(DG571/CY571-1)*100)))</f>
        <v>26.827712668420634</v>
      </c>
      <c r="DI571" s="346">
        <f>DI518/DI$533*100</f>
        <v>56.582633053221286</v>
      </c>
      <c r="DJ571" s="61">
        <f t="shared" ref="DJ571:DJ579" si="3143">IF(ISERROR((DI571/DA571-1)*100),"NA",IF(((DI571/DA571-1)*100)&gt;100,"NM",IF(((DI571/DA571-1)*100)&lt;-50,"NM",(DI571/DA571-1)*100)))</f>
        <v>10.960747935537828</v>
      </c>
      <c r="DK571" s="346">
        <f>DK518/DK$533*100</f>
        <v>59.340659340659343</v>
      </c>
      <c r="DL571" s="61">
        <f t="shared" ref="DL571:DL579" si="3144">IF(ISERROR((DK571/DC571-1)*100),"NA",IF(((DK571/DC571-1)*100)&gt;100,"NM",IF(((DK571/DC571-1)*100)&lt;-50,"NM",(DK571/DC571-1)*100)))</f>
        <v>11.402944225585742</v>
      </c>
      <c r="DM571" s="346">
        <f>DM518/DM$533*100</f>
        <v>59.114583333333336</v>
      </c>
      <c r="DN571" s="130">
        <f t="shared" ref="DN571:DZ583" si="3145">IF(ISERROR((DM571/DE571-1)*100),"NA",IF(((DM571/DE571-1)*100)&gt;100,"NM",IF(((DM571/DE571-1)*100)&lt;-50,"NM",(DM571/DE571-1)*100)))</f>
        <v>5.5163530465949906</v>
      </c>
      <c r="DO571" s="346">
        <f>DO518/DO$533*100</f>
        <v>57.67326732673267</v>
      </c>
      <c r="DP571" s="130">
        <f t="shared" si="3145"/>
        <v>0.77957538021842243</v>
      </c>
      <c r="DQ571" s="346">
        <f>DQ518/DQ$533*100</f>
        <v>61.240310077519375</v>
      </c>
      <c r="DR571" s="130">
        <f t="shared" si="3145"/>
        <v>8.2316371172000977</v>
      </c>
      <c r="DS571" s="346">
        <f>DS518/DS$533*100</f>
        <v>67.897727272727266</v>
      </c>
      <c r="DT571" s="130">
        <f t="shared" si="3145"/>
        <v>14.420244107744097</v>
      </c>
      <c r="DU571" s="346">
        <f>DU518/DU$533*100</f>
        <v>67.282321899736147</v>
      </c>
      <c r="DV571" s="130">
        <f t="shared" si="3145"/>
        <v>13.816791231271708</v>
      </c>
      <c r="DW571" s="346">
        <f>DW518/DW$533*100</f>
        <v>60.260972716488723</v>
      </c>
      <c r="DX571" s="346">
        <f t="shared" ref="DX571:DY571" si="3146">DX518/DX$533*100</f>
        <v>60.260972716488723</v>
      </c>
      <c r="DY571" s="346">
        <f t="shared" si="3146"/>
        <v>63.612565445026178</v>
      </c>
      <c r="DZ571" s="130">
        <f t="shared" si="3145"/>
        <v>3.8736828152959202</v>
      </c>
      <c r="EA571" s="346">
        <f t="shared" ref="EA571:EC571" si="3147">EA518/EA$533*100</f>
        <v>61.325966850828728</v>
      </c>
      <c r="EB571" s="130">
        <f t="shared" ref="EB571:EB583" si="3148">IF(ISERROR((EA571/DS571-1)*100),"NA",IF(((EA571/DS571-1)*100)&gt;100,"NM",IF(((EA571/DS571-1)*100)&lt;-50,"NM",(EA571/DS571-1)*100)))</f>
        <v>-9.6789107468965963</v>
      </c>
      <c r="EC571" s="346">
        <f t="shared" si="3147"/>
        <v>63.002680965147448</v>
      </c>
      <c r="ED571" s="130">
        <f t="shared" ref="ED571:ED583" si="3149">IF(ISERROR((EC571/DU571-1)*100),"NA",IF(((EC571/DU571-1)*100)&gt;100,"NM",IF(((EC571/DU571-1)*100)&lt;-50,"NM",(EC571/DU571-1)*100)))</f>
        <v>-6.3607212321926117</v>
      </c>
      <c r="EE571" s="346">
        <f t="shared" ref="EE571:EG571" si="3150">EE518/EE$533*100</f>
        <v>60.470242468772959</v>
      </c>
      <c r="EF571" s="130">
        <f t="shared" ref="EF571:EF583" si="3151">IF(ISERROR((EE571/DW571-1)*100),"NA",IF(((EE571/DW571-1)*100)&gt;100,"NM",IF(((EE571/DW571-1)*100)&lt;-50,"NM",(EE571/DW571-1)*100)))</f>
        <v>0.34727244325907236</v>
      </c>
      <c r="EG571" s="346">
        <f t="shared" si="3150"/>
        <v>59.168704156479215</v>
      </c>
      <c r="EH571" s="130">
        <f t="shared" ref="EH571:EH583" si="3152">IF(ISERROR((EG571/DY571-1)*100),"NA",IF(((EG571/DY571-1)*100)&gt;100,"NM",IF(((EG571/DY571-1)*100)&lt;-50,"NM",(EG571/DY571-1)*100)))</f>
        <v>-6.9858230955758831</v>
      </c>
      <c r="EI571" s="346">
        <f t="shared" ref="EI571:EK571" si="3153">EI518/EI$533*100</f>
        <v>60.301507537688437</v>
      </c>
      <c r="EJ571" s="130">
        <f t="shared" ref="EJ571:EJ583" si="3154">IF(ISERROR((EI571/EA571-1)*100),"NA",IF(((EI571/EA571-1)*100)&gt;100,"NM",IF(((EI571/EA571-1)*100)&lt;-50,"NM",(EI571/EA571-1)*100)))</f>
        <v>-1.6705147358413774</v>
      </c>
      <c r="EK571" s="346">
        <f t="shared" si="3153"/>
        <v>59.904534606205253</v>
      </c>
      <c r="EL571" s="130">
        <f t="shared" ref="EL571:EL583" si="3155">IF(ISERROR((EK571/EC571-1)*100),"NA",IF(((EK571/EC571-1)*100)&gt;100,"NM",IF(((EK571/EC571-1)*100)&lt;-50,"NM",(EK571/EC571-1)*100)))</f>
        <v>-4.9174833697252733</v>
      </c>
      <c r="EM571" s="346">
        <f t="shared" ref="EM571" si="3156">EM518/EM$533*100</f>
        <v>60.438292964244525</v>
      </c>
      <c r="EN571" s="130">
        <f t="shared" ref="EN571:EN583" si="3157">IF(ISERROR((EM571/EE571-1)*100),"NA",IF(((EM571/EE571-1)*100)&gt;100,"NM",IF(((EM571/EE571-1)*100)&lt;-50,"NM",(EM571/EE571-1)*100)))</f>
        <v>-5.2835085860514219E-2</v>
      </c>
      <c r="EO571" s="346">
        <f t="shared" ref="EO571:EO573" si="3158">EO518/EO$533*100</f>
        <v>60.227272727272727</v>
      </c>
      <c r="EP571" s="130">
        <f t="shared" ref="EP571:EP583" si="3159">IF(ISERROR((EO571/EG571-1)*100),"NA",IF(((EO571/EG571-1)*100)&gt;100,"NM",IF(((EO571/EG571-1)*100)&lt;-50,"NM",(EO571/EG571-1)*100)))</f>
        <v>1.7890683696468956</v>
      </c>
      <c r="EQ571" s="346">
        <f t="shared" ref="EQ571:EW571" si="3160">EQ518/EQ$533*100</f>
        <v>64.768351843578614</v>
      </c>
      <c r="ER571" s="130">
        <f t="shared" ref="ER571:ER583" si="3161">IF(ISERROR((EQ571/EI571-1)*100),"NA",IF(((EQ571/EI571-1)*100)&gt;100,"NM",IF(((EQ571/EI571-1)*100)&lt;-50,"NM",(EQ571/EI571-1)*100)))</f>
        <v>7.4075168072678776</v>
      </c>
      <c r="ES571" s="346">
        <f t="shared" si="3160"/>
        <v>60.772537734292776</v>
      </c>
      <c r="ET571" s="130">
        <f t="shared" ref="ET571:ET583" si="3162">IF(ISERROR((ES571/EK571-1)*100),"NA",IF(((ES571/EK571-1)*100)&gt;100,"NM",IF(((ES571/EK571-1)*100)&lt;-50,"NM",(ES571/EK571-1)*100)))</f>
        <v>1.4489773333413281</v>
      </c>
      <c r="EU571" s="346">
        <f t="shared" si="3160"/>
        <v>59.181601709300224</v>
      </c>
      <c r="EV571" s="130">
        <f t="shared" ref="EV571:EV583" si="3163">IF(ISERROR((EU571/EM571-1)*100),"NA",IF(((EU571/EM571-1)*100)&gt;100,"NM",IF(((EU571/EM571-1)*100)&lt;-50,"NM",(EU571/EM571-1)*100)))</f>
        <v>-2.0792964084670018</v>
      </c>
      <c r="EW571" s="346">
        <f t="shared" si="3160"/>
        <v>58.432191938040901</v>
      </c>
      <c r="EX571" s="130">
        <f t="shared" ref="EX571:EX583" si="3164">IF(ISERROR((EW571/EO571-1)*100),"NA",IF(((EW571/EO571-1)*100)&gt;100,"NM",IF(((EW571/EO571-1)*100)&lt;-50,"NM",(EW571/EO571-1)*100)))</f>
        <v>-2.9805114991019011</v>
      </c>
      <c r="EY571" s="64"/>
      <c r="EZ571" s="558"/>
      <c r="FA571" s="64"/>
      <c r="FB571" s="346"/>
      <c r="FC571" s="71"/>
      <c r="FD571" s="346"/>
      <c r="FE571" s="70"/>
      <c r="FF571" s="346"/>
      <c r="FG571" s="70"/>
      <c r="FH571" s="346"/>
      <c r="FI571" s="70"/>
      <c r="FJ571" s="346"/>
      <c r="FK571" s="70"/>
      <c r="FL571" s="346"/>
      <c r="FM571" s="61"/>
      <c r="FN571" s="346"/>
      <c r="FO571" s="61"/>
      <c r="FP571" s="347">
        <f>FP518/FP$533*100</f>
        <v>26.684111169617136</v>
      </c>
      <c r="FQ571" s="61" t="str">
        <f t="shared" ref="FQ571:FQ576" si="3165">IF(ISERROR((FP571/FH571-1)*100),"NA",IF(((FP571/FH571-1)*100)&gt;100,"NM",IF(((FP571/FH571-1)*100)&lt;-50,"NM",(FP571/FH571-1)*100)))</f>
        <v>NA</v>
      </c>
      <c r="FR571" s="347">
        <f>FR518/FR$533*100</f>
        <v>29.768229512551475</v>
      </c>
      <c r="FS571" s="61">
        <f t="shared" ref="FS571:FS581" si="3166">IF(ISERROR((FR571/FP571-1)*100),"NA",IF(((FR571/FP571-1)*100)&gt;100,"NM",IF(((FR571/FP571-1)*100)&lt;-50,"NM",(FR571/FP571-1)*100)))</f>
        <v>11.557882978864043</v>
      </c>
      <c r="FT571" s="347">
        <f>FT518/FT$533*100</f>
        <v>39.152807815646192</v>
      </c>
      <c r="FU571" s="61">
        <f t="shared" ref="FU571:FU581" si="3167">IF(ISERROR((FT571/FR571-1)*100),"NA",IF(((FT571/FR571-1)*100)&gt;100,"NM",IF(((FT571/FR571-1)*100)&lt;-50,"NM",(FT571/FR571-1)*100)))</f>
        <v>31.525483566759661</v>
      </c>
      <c r="FV571" s="347">
        <f>FV518/FV$533*100</f>
        <v>36.541155866900205</v>
      </c>
      <c r="FW571" s="61">
        <f t="shared" ref="FW571:FW581" si="3168">IF(ISERROR((FV571/FT571-1)*100),"NA",IF(((FV571/FT571-1)*100)&gt;100,"NM",IF(((FV571/FT571-1)*100)&lt;-50,"NM",(FV571/FT571-1)*100)))</f>
        <v>-6.6704078058542731</v>
      </c>
      <c r="FX571" s="347">
        <f>FX518/FX$533*100</f>
        <v>33.194676403771773</v>
      </c>
      <c r="FY571" s="61">
        <f t="shared" ref="FY571:FY581" si="3169">IF(ISERROR((FX571/FV571-1)*100),"NA",IF(((FX571/FV571-1)*100)&gt;100,"NM",IF(((FX571/FV571-1)*100)&lt;-50,"NM",(FX571/FV571-1)*100)))</f>
        <v>-9.1581105844540271</v>
      </c>
      <c r="FZ571" s="347">
        <f>FZ518/FZ$533*100</f>
        <v>37.672361460411103</v>
      </c>
      <c r="GA571" s="61">
        <f t="shared" ref="GA571:GA581" si="3170">IF(ISERROR((FZ571/FX571-1)*100),"NA",IF(((FZ571/FX571-1)*100)&gt;100,"NM",IF(((FZ571/FX571-1)*100)&lt;-50,"NM",(FZ571/FX571-1)*100)))</f>
        <v>13.489166160783995</v>
      </c>
      <c r="GB571" s="347">
        <f>GB518/GB$533*100</f>
        <v>44.071742692075553</v>
      </c>
      <c r="GC571" s="61">
        <f t="shared" ref="GC571:GC581" si="3171">IF(ISERROR((GB571/FZ571-1)*100),"NA",IF(((GB571/FZ571-1)*100)&gt;100,"NM",IF(((GB571/FZ571-1)*100)&lt;-50,"NM",(GB571/FZ571-1)*100)))</f>
        <v>16.98693945265255</v>
      </c>
      <c r="GD571" s="347">
        <f>GD518/GD$533*100</f>
        <v>48.029556650246306</v>
      </c>
      <c r="GE571" s="61">
        <f t="shared" ref="GE571:GW581" si="3172">IF(ISERROR((GD571/GB571-1)*100),"NA",IF(((GD571/GB571-1)*100)&gt;100,"NM",IF(((GD571/GB571-1)*100)&lt;-50,"NM",(GD571/GB571-1)*100)))</f>
        <v>8.9803890575046452</v>
      </c>
      <c r="GF571" s="347">
        <f>GF518/GF$533*100</f>
        <v>55.861373330378186</v>
      </c>
      <c r="GG571" s="61">
        <f t="shared" si="3172"/>
        <v>16.306243959659206</v>
      </c>
      <c r="GH571" s="347">
        <f>GH518/GH$533*100</f>
        <v>59.324236517218978</v>
      </c>
      <c r="GI571" s="61">
        <f t="shared" si="3172"/>
        <v>6.1990298132495791</v>
      </c>
      <c r="GJ571" s="347">
        <f>GJ518/GJ$533*100</f>
        <v>64.581296839361357</v>
      </c>
      <c r="GK571" s="61">
        <f t="shared" si="3172"/>
        <v>8.8615726569300399</v>
      </c>
      <c r="GL571" s="347">
        <f>GL518/GL$533*100</f>
        <v>60.93538620112092</v>
      </c>
      <c r="GM571" s="61">
        <f t="shared" si="3172"/>
        <v>-5.6454590054288101</v>
      </c>
      <c r="GN571" s="347">
        <f>GN518/GN$533*100</f>
        <v>60.218870156758356</v>
      </c>
      <c r="GO571" s="61">
        <f t="shared" si="3172"/>
        <v>-1.1758619892842881</v>
      </c>
      <c r="GP571" s="347">
        <f>GP518/GP$533*100</f>
        <v>60.673401221271426</v>
      </c>
      <c r="GQ571" s="61">
        <f t="shared" si="3172"/>
        <v>0.75479839347676325</v>
      </c>
      <c r="GR571" s="346">
        <f>GR518/GR$533*100</f>
        <v>59.148895966737982</v>
      </c>
      <c r="GS571" s="61">
        <f t="shared" si="3172"/>
        <v>-2.5126418230184355</v>
      </c>
      <c r="GT571" s="346">
        <f>GT518/GT$533*100</f>
        <v>57.180580220464897</v>
      </c>
      <c r="GU571" s="61">
        <f t="shared" si="3172"/>
        <v>-3.3277303221009524</v>
      </c>
      <c r="GV571" s="346">
        <f>GV518/GV$533*100</f>
        <v>57.848613728040498</v>
      </c>
      <c r="GW571" s="61">
        <f t="shared" si="3172"/>
        <v>1.168287388830147</v>
      </c>
      <c r="GX571" s="346">
        <f>GX518/GX$533*100</f>
        <v>58.588097003336827</v>
      </c>
      <c r="GY571" s="61">
        <f t="shared" ref="GY571:GY581" si="3173">IF(ISERROR((GX571/GV571-1)*100),"NA",IF(((GX571/GV571-1)*100)&gt;100,"NM",IF(((GX571/GV571-1)*100)&lt;-50,"NM",(GX571/GV571-1)*100)))</f>
        <v>1.2783076855960696</v>
      </c>
      <c r="GZ571" s="61">
        <f t="shared" si="3107"/>
        <v>-0.54757944444808748</v>
      </c>
      <c r="HA571" s="61"/>
      <c r="HB571" s="452"/>
      <c r="HC571"/>
      <c r="HD571"/>
      <c r="HE571"/>
      <c r="HF571"/>
      <c r="HG571"/>
      <c r="HH571"/>
    </row>
    <row r="572" spans="1:216" s="5" customFormat="1" ht="12.75" customHeight="1" x14ac:dyDescent="0.2">
      <c r="A572" s="5" t="s">
        <v>581</v>
      </c>
      <c r="B572" s="2" t="s">
        <v>222</v>
      </c>
      <c r="C572" s="346"/>
      <c r="D572" s="70"/>
      <c r="E572" s="346"/>
      <c r="F572" s="71"/>
      <c r="G572" s="346"/>
      <c r="H572" s="71"/>
      <c r="I572" s="346"/>
      <c r="J572" s="71"/>
      <c r="K572" s="346"/>
      <c r="L572" s="61"/>
      <c r="M572" s="346"/>
      <c r="N572" s="61"/>
      <c r="O572" s="346"/>
      <c r="P572" s="61"/>
      <c r="Q572" s="346"/>
      <c r="R572" s="61"/>
      <c r="S572" s="346"/>
      <c r="T572" s="61"/>
      <c r="U572" s="346"/>
      <c r="V572" s="61"/>
      <c r="W572" s="346"/>
      <c r="X572" s="61"/>
      <c r="Y572" s="346"/>
      <c r="Z572" s="61"/>
      <c r="AA572" s="346"/>
      <c r="AB572" s="61"/>
      <c r="AC572" s="346"/>
      <c r="AD572" s="61"/>
      <c r="AE572" s="346"/>
      <c r="AF572" s="61"/>
      <c r="AG572" s="346"/>
      <c r="AH572" s="61"/>
      <c r="AI572" s="346"/>
      <c r="AJ572" s="61"/>
      <c r="AK572" s="346"/>
      <c r="AL572" s="61"/>
      <c r="AM572" s="346"/>
      <c r="AN572" s="61"/>
      <c r="AO572" s="346"/>
      <c r="AP572" s="61"/>
      <c r="AQ572" s="346">
        <f>AQ519/AQ$533*100</f>
        <v>20.091875977021413</v>
      </c>
      <c r="AR572" s="61" t="str">
        <f t="shared" si="3108"/>
        <v>NA</v>
      </c>
      <c r="AS572" s="346">
        <f>AS519/AS$533*100</f>
        <v>23.247101809989573</v>
      </c>
      <c r="AT572" s="61" t="str">
        <f t="shared" si="3109"/>
        <v>NA</v>
      </c>
      <c r="AU572" s="346">
        <f>AU519/AU$533*100</f>
        <v>9.7297606669655519</v>
      </c>
      <c r="AV572" s="61" t="str">
        <f t="shared" si="3110"/>
        <v>NA</v>
      </c>
      <c r="AW572" s="346">
        <f>AW519/AW$533*100</f>
        <v>17.605702377938332</v>
      </c>
      <c r="AX572" s="61" t="str">
        <f t="shared" si="3111"/>
        <v>NA</v>
      </c>
      <c r="AY572" s="346">
        <f>AY519/AY$533*100</f>
        <v>21.258503401360542</v>
      </c>
      <c r="AZ572" s="61">
        <f t="shared" si="3112"/>
        <v>5.8064633968145651</v>
      </c>
      <c r="BA572" s="346">
        <f>BA519/BA$533*100</f>
        <v>17.761325816749306</v>
      </c>
      <c r="BB572" s="61">
        <f t="shared" si="3113"/>
        <v>-23.597676983902392</v>
      </c>
      <c r="BC572" s="346">
        <f>BC519/BC$533*100</f>
        <v>14.84269800465173</v>
      </c>
      <c r="BD572" s="61">
        <f t="shared" si="3114"/>
        <v>52.549466658985807</v>
      </c>
      <c r="BE572" s="346">
        <f>BE519/BE$533*100</f>
        <v>14.147298341556199</v>
      </c>
      <c r="BF572" s="61">
        <f t="shared" si="3115"/>
        <v>-19.643658413286889</v>
      </c>
      <c r="BG572" s="346">
        <f>BG519/BG$533*100</f>
        <v>15.320591861898889</v>
      </c>
      <c r="BH572" s="61">
        <f t="shared" si="3116"/>
        <v>-27.931935881627624</v>
      </c>
      <c r="BI572" s="346">
        <f>BI519/BI$533*100</f>
        <v>15.183246073298431</v>
      </c>
      <c r="BJ572" s="61">
        <f t="shared" si="3117"/>
        <v>-14.515131190373697</v>
      </c>
      <c r="BK572" s="346">
        <f>BK519/BK$533*100</f>
        <v>13.182224873247836</v>
      </c>
      <c r="BL572" s="61">
        <f t="shared" si="3118"/>
        <v>-11.187138152938891</v>
      </c>
      <c r="BM572" s="346">
        <f>BM519/BM$533*100</f>
        <v>12.0897615708275</v>
      </c>
      <c r="BN572" s="61">
        <f t="shared" si="3119"/>
        <v>-14.543672728558366</v>
      </c>
      <c r="BO572" s="346">
        <f>BO519/BO$533*100</f>
        <v>13.924466338259437</v>
      </c>
      <c r="BP572" s="61">
        <f t="shared" si="3120"/>
        <v>-9.1127388303548944</v>
      </c>
      <c r="BQ572" s="346">
        <f>BQ519/BQ$533*100</f>
        <v>13.383020090732337</v>
      </c>
      <c r="BR572" s="61">
        <f t="shared" si="3121"/>
        <v>-11.856660781728412</v>
      </c>
      <c r="BS572" s="346">
        <f>BS519/BS$533*100</f>
        <v>13.36507936507936</v>
      </c>
      <c r="BT572" s="61">
        <f t="shared" si="3122"/>
        <v>1.3871292106585997</v>
      </c>
      <c r="BU572" s="346">
        <f>BU519/BU$533*100</f>
        <v>11.640953716690044</v>
      </c>
      <c r="BV572" s="61">
        <f t="shared" si="3123"/>
        <v>-3.7122969837587672</v>
      </c>
      <c r="BW572" s="346">
        <f>BW519/BW$533*100</f>
        <v>15.242966751918141</v>
      </c>
      <c r="BX572" s="61">
        <f t="shared" si="3124"/>
        <v>9.4689475462046211</v>
      </c>
      <c r="BY572" s="346">
        <f>BY519/BY$533*100</f>
        <v>13.362276893391215</v>
      </c>
      <c r="BZ572" s="61">
        <f t="shared" si="3125"/>
        <v>-0.15499638497507018</v>
      </c>
      <c r="CA572" s="346">
        <f>CA519/CA$533*100</f>
        <v>14.378035256777954</v>
      </c>
      <c r="CB572" s="61">
        <f t="shared" si="3126"/>
        <v>7.5791236552270158</v>
      </c>
      <c r="CC572" s="346">
        <f>CC519/CC$533*100</f>
        <v>12.112112112112104</v>
      </c>
      <c r="CD572" s="61">
        <f t="shared" si="3127"/>
        <v>4.0474209148907203</v>
      </c>
      <c r="CE572" s="346">
        <f>CE519/CE$533*100</f>
        <v>12.676553672316379</v>
      </c>
      <c r="CF572" s="61">
        <f t="shared" si="3128"/>
        <v>-16.83670325711897</v>
      </c>
      <c r="CG572" s="346">
        <f>CG519/CG$533*100</f>
        <v>12.383900928792576</v>
      </c>
      <c r="CH572" s="61">
        <f t="shared" si="3129"/>
        <v>-7.3219255401190564</v>
      </c>
      <c r="CI572" s="346">
        <f>CI519/CI$533*100</f>
        <v>13.778409090909093</v>
      </c>
      <c r="CJ572" s="61">
        <f t="shared" si="3130"/>
        <v>-4.1704318786267454</v>
      </c>
      <c r="CK572" s="346">
        <f>CK519/CK$533*100</f>
        <v>11.962365591397859</v>
      </c>
      <c r="CL572" s="61">
        <f t="shared" si="3131"/>
        <v>-1.2363369768060406</v>
      </c>
      <c r="CM572" s="346">
        <f>CM519/CM$533*100</f>
        <v>14.026821312069583</v>
      </c>
      <c r="CN572" s="61">
        <f t="shared" si="3132"/>
        <v>10.651693470142277</v>
      </c>
      <c r="CO572" s="346">
        <f>CO519/CO$533*100</f>
        <v>13.544173255414238</v>
      </c>
      <c r="CP572" s="61">
        <f t="shared" si="3133"/>
        <v>9.3691990374699117</v>
      </c>
      <c r="CQ572" s="346">
        <f>CQ519/CQ$533*100</f>
        <v>11.569191434963251</v>
      </c>
      <c r="CR572" s="61">
        <f t="shared" si="3134"/>
        <v>-16.03390958542137</v>
      </c>
      <c r="CS572" s="346">
        <f>CS519/CS$533*100</f>
        <v>11.785714285714285</v>
      </c>
      <c r="CT572" s="61">
        <f t="shared" si="3135"/>
        <v>-1.4767255216694308</v>
      </c>
      <c r="CU572" s="346">
        <f>CU519/CU$533*100</f>
        <v>11.945392491467576</v>
      </c>
      <c r="CV572" s="61">
        <f t="shared" si="3136"/>
        <v>-14.838920196488214</v>
      </c>
      <c r="CW572" s="346">
        <f>CW519/CW$533*100</f>
        <v>11.525423728813559</v>
      </c>
      <c r="CX572" s="61">
        <f t="shared" si="3137"/>
        <v>-14.904929880409579</v>
      </c>
      <c r="CY572" s="346">
        <f>CY519/CY$533*100</f>
        <v>9.7560975609756095</v>
      </c>
      <c r="CZ572" s="61">
        <f t="shared" si="3138"/>
        <v>-15.67174235278268</v>
      </c>
      <c r="DA572" s="346">
        <f>DA519/DA$533*100</f>
        <v>10.596026490066226</v>
      </c>
      <c r="DB572" s="61">
        <f t="shared" si="3139"/>
        <v>-10.094320690347169</v>
      </c>
      <c r="DC572" s="346">
        <f>DC519/DC$533*100</f>
        <v>11.05535045460941</v>
      </c>
      <c r="DD572" s="61">
        <f t="shared" si="3140"/>
        <v>-7.450923337126925</v>
      </c>
      <c r="DE572" s="346">
        <f>DE519/DE$533*100</f>
        <v>10.240963855421686</v>
      </c>
      <c r="DF572" s="61">
        <f t="shared" si="3141"/>
        <v>-11.144578313253017</v>
      </c>
      <c r="DG572" s="346">
        <f>DG519/DG$533*100</f>
        <v>9.7345132743362832</v>
      </c>
      <c r="DH572" s="61">
        <f t="shared" si="3142"/>
        <v>-0.22123893805309214</v>
      </c>
      <c r="DI572" s="346">
        <f>DI519/DI$533*100</f>
        <v>9.5238095238095237</v>
      </c>
      <c r="DJ572" s="61">
        <f t="shared" si="3143"/>
        <v>-10.119047619047628</v>
      </c>
      <c r="DK572" s="346">
        <f>DK519/DK$533*100</f>
        <v>10.714285714285714</v>
      </c>
      <c r="DL572" s="61">
        <f t="shared" si="3144"/>
        <v>-3.0850649350649406</v>
      </c>
      <c r="DM572" s="346">
        <f>DM519/DM$533*100</f>
        <v>10.15625</v>
      </c>
      <c r="DN572" s="130">
        <f t="shared" si="3145"/>
        <v>-0.82720588235293269</v>
      </c>
      <c r="DO572" s="346">
        <f>DO519/DO$533*100</f>
        <v>9.9009900990099009</v>
      </c>
      <c r="DP572" s="130">
        <f t="shared" si="3145"/>
        <v>1.7101710171017137</v>
      </c>
      <c r="DQ572" s="346">
        <f>DQ519/DQ$533*100</f>
        <v>10.852713178294573</v>
      </c>
      <c r="DR572" s="130">
        <f t="shared" si="3145"/>
        <v>13.953488372093027</v>
      </c>
      <c r="DS572" s="346">
        <f>DS519/DS$533*100</f>
        <v>9.9431818181818183</v>
      </c>
      <c r="DT572" s="130">
        <f t="shared" si="3145"/>
        <v>-7.1969696969696901</v>
      </c>
      <c r="DU572" s="346">
        <f>DU519/DU$533*100</f>
        <v>7.9155672823219003</v>
      </c>
      <c r="DV572" s="130">
        <f t="shared" si="3145"/>
        <v>-22.06210675867667</v>
      </c>
      <c r="DW572" s="346">
        <f>DW519/DW$533*100</f>
        <v>9.4899169632265714</v>
      </c>
      <c r="DX572" s="346">
        <f t="shared" ref="DX572:DY572" si="3174">DX519/DX$533*100</f>
        <v>9.4899169632265714</v>
      </c>
      <c r="DY572" s="346">
        <f t="shared" si="3174"/>
        <v>8.6387434554973819</v>
      </c>
      <c r="DZ572" s="130">
        <f t="shared" si="3145"/>
        <v>-20.400149588631265</v>
      </c>
      <c r="EA572" s="346">
        <f t="shared" ref="EA572:EC572" si="3175">EA519/EA$533*100</f>
        <v>9.6685082872928181</v>
      </c>
      <c r="EB572" s="130">
        <f t="shared" si="3148"/>
        <v>-2.7624309392265123</v>
      </c>
      <c r="EC572" s="346">
        <f t="shared" si="3175"/>
        <v>8.310991957104557</v>
      </c>
      <c r="ED572" s="130">
        <f t="shared" si="3149"/>
        <v>4.9955317247542208</v>
      </c>
      <c r="EE572" s="346">
        <f t="shared" ref="EE572:EG572" si="3176">EE519/EE$533*100</f>
        <v>7.5679647318148415</v>
      </c>
      <c r="EF572" s="130">
        <f t="shared" si="3151"/>
        <v>-20.252571638501106</v>
      </c>
      <c r="EG572" s="346">
        <f t="shared" si="3176"/>
        <v>8.3129584352078236</v>
      </c>
      <c r="EH572" s="130">
        <f t="shared" si="3152"/>
        <v>-3.77120841668519</v>
      </c>
      <c r="EI572" s="346">
        <f t="shared" ref="EI572:EK572" si="3177">EI519/EI$533*100</f>
        <v>8.7939698492462313</v>
      </c>
      <c r="EJ572" s="130">
        <f t="shared" si="3154"/>
        <v>-9.0452261306532726</v>
      </c>
      <c r="EK572" s="346">
        <f t="shared" si="3177"/>
        <v>8.8305489260143197</v>
      </c>
      <c r="EL572" s="130">
        <f t="shared" si="3155"/>
        <v>6.2514435291400439</v>
      </c>
      <c r="EM572" s="346">
        <f t="shared" ref="EM572" si="3178">EM519/EM$533*100</f>
        <v>8.3044982698961931</v>
      </c>
      <c r="EN572" s="130">
        <f t="shared" si="3157"/>
        <v>9.7322538381429133</v>
      </c>
      <c r="EO572" s="346">
        <f t="shared" si="3158"/>
        <v>9.3181818181818183</v>
      </c>
      <c r="EP572" s="130">
        <f t="shared" si="3159"/>
        <v>12.092245989304828</v>
      </c>
      <c r="EQ572" s="346">
        <f t="shared" ref="EQ572:EW572" si="3179">EQ519/EQ$533*100</f>
        <v>10.347995248588795</v>
      </c>
      <c r="ER572" s="130">
        <f t="shared" si="3161"/>
        <v>17.671488826809735</v>
      </c>
      <c r="ES572" s="346">
        <f t="shared" si="3179"/>
        <v>9.7184358344554056</v>
      </c>
      <c r="ET572" s="130">
        <f t="shared" si="3162"/>
        <v>10.054719314508521</v>
      </c>
      <c r="EU572" s="346">
        <f t="shared" si="3179"/>
        <v>9.4359542693987919</v>
      </c>
      <c r="EV572" s="130">
        <f t="shared" si="3163"/>
        <v>13.624615994010458</v>
      </c>
      <c r="EW572" s="346">
        <f t="shared" si="3179"/>
        <v>9.2423362118944965</v>
      </c>
      <c r="EX572" s="130">
        <f t="shared" si="3164"/>
        <v>-0.81395284796150769</v>
      </c>
      <c r="EY572" s="64"/>
      <c r="EZ572" s="558"/>
      <c r="FA572" s="64"/>
      <c r="FB572" s="346"/>
      <c r="FC572" s="71"/>
      <c r="FD572" s="346"/>
      <c r="FE572" s="70"/>
      <c r="FF572" s="346"/>
      <c r="FG572" s="70"/>
      <c r="FH572" s="346"/>
      <c r="FI572" s="70"/>
      <c r="FJ572" s="346"/>
      <c r="FK572" s="70"/>
      <c r="FL572" s="346"/>
      <c r="FM572" s="61"/>
      <c r="FN572" s="346"/>
      <c r="FO572" s="61"/>
      <c r="FP572" s="347">
        <f>FP519/FP$533*100</f>
        <v>17.567135660135701</v>
      </c>
      <c r="FQ572" s="61" t="str">
        <f t="shared" si="3165"/>
        <v>NA</v>
      </c>
      <c r="FR572" s="347">
        <f>FR519/FR$533*100</f>
        <v>16.677181564616813</v>
      </c>
      <c r="FS572" s="61">
        <f t="shared" si="3166"/>
        <v>-5.0660170942860123</v>
      </c>
      <c r="FT572" s="347">
        <f>FT519/FT$533*100</f>
        <v>13.893653516295029</v>
      </c>
      <c r="FU572" s="61">
        <f t="shared" si="3167"/>
        <v>-16.690638268443781</v>
      </c>
      <c r="FV572" s="347">
        <f>FV519/FV$533*100</f>
        <v>13.196147110332749</v>
      </c>
      <c r="FW572" s="61">
        <f t="shared" si="3168"/>
        <v>-5.0203238848889997</v>
      </c>
      <c r="FX572" s="347">
        <f>FX519/FX$533*100</f>
        <v>13.630563998298781</v>
      </c>
      <c r="FY572" s="61">
        <f t="shared" si="3169"/>
        <v>3.2919979167697955</v>
      </c>
      <c r="FZ572" s="347">
        <f>FZ519/FZ$533*100</f>
        <v>12.687537941201988</v>
      </c>
      <c r="GA572" s="61">
        <f t="shared" si="3170"/>
        <v>-6.918466889664221</v>
      </c>
      <c r="GB572" s="347">
        <f>GB519/GB$533*100</f>
        <v>12.701560748469431</v>
      </c>
      <c r="GC572" s="61">
        <f t="shared" si="3171"/>
        <v>0.11052425878392835</v>
      </c>
      <c r="GD572" s="347">
        <f>GD519/GD$533*100</f>
        <v>10.919540229885058</v>
      </c>
      <c r="GE572" s="61">
        <f t="shared" si="3172"/>
        <v>-14.029933437897469</v>
      </c>
      <c r="GF572" s="347">
        <f>GF519/GF$533*100</f>
        <v>10.101786810081885</v>
      </c>
      <c r="GG572" s="61">
        <f t="shared" si="3172"/>
        <v>-7.48889973925011</v>
      </c>
      <c r="GH572" s="347">
        <f>GH519/GH$533*100</f>
        <v>10.396361273554255</v>
      </c>
      <c r="GI572" s="61">
        <f t="shared" si="3172"/>
        <v>2.9160629600535337</v>
      </c>
      <c r="GJ572" s="347">
        <f>GJ519/GJ$533*100</f>
        <v>8.9931573802541553</v>
      </c>
      <c r="GK572" s="61">
        <f t="shared" si="3172"/>
        <v>-13.497067448680333</v>
      </c>
      <c r="GL572" s="347">
        <f>GL519/GL$533*100</f>
        <v>8.4326483282870583</v>
      </c>
      <c r="GM572" s="61">
        <f t="shared" si="3172"/>
        <v>-6.2326169582863074</v>
      </c>
      <c r="GN572" s="347">
        <f>GN519/GN$533*100</f>
        <v>8.8139603667553974</v>
      </c>
      <c r="GO572" s="61">
        <f t="shared" si="3172"/>
        <v>4.5218539137845903</v>
      </c>
      <c r="GP572" s="347">
        <f>GP519/GP$533*100</f>
        <v>9.6662859322464154</v>
      </c>
      <c r="GQ572" s="61">
        <f t="shared" si="3172"/>
        <v>9.6701769695474162</v>
      </c>
      <c r="GR572" s="346">
        <f>GR519/GR$533*100</f>
        <v>9.2970651290485051</v>
      </c>
      <c r="GS572" s="61">
        <f t="shared" si="3172"/>
        <v>-3.8196759933016411</v>
      </c>
      <c r="GT572" s="346">
        <f>GT519/GT$533*100</f>
        <v>8.7446579610839628</v>
      </c>
      <c r="GU572" s="61">
        <f t="shared" si="3172"/>
        <v>-5.941737099792455</v>
      </c>
      <c r="GV572" s="346">
        <f>GV519/GV$533*100</f>
        <v>8.6005223130154569</v>
      </c>
      <c r="GW572" s="61">
        <f t="shared" si="3172"/>
        <v>-1.6482708495855092</v>
      </c>
      <c r="GX572" s="346">
        <f>GX519/GX$533*100</f>
        <v>8.4584113598441846</v>
      </c>
      <c r="GY572" s="61">
        <f t="shared" si="3173"/>
        <v>-1.6523525897515712</v>
      </c>
      <c r="GZ572" s="61">
        <f t="shared" si="3107"/>
        <v>-0.82012837235250213</v>
      </c>
      <c r="HA572" s="61"/>
      <c r="HB572" s="452"/>
      <c r="HC572"/>
      <c r="HD572"/>
      <c r="HE572"/>
      <c r="HF572"/>
      <c r="HG572"/>
      <c r="HH572"/>
    </row>
    <row r="573" spans="1:216" s="5" customFormat="1" ht="12.75" customHeight="1" x14ac:dyDescent="0.2">
      <c r="B573" s="63" t="s">
        <v>125</v>
      </c>
      <c r="C573" s="346"/>
      <c r="D573" s="70"/>
      <c r="E573" s="346"/>
      <c r="F573" s="71"/>
      <c r="G573" s="346"/>
      <c r="H573" s="71"/>
      <c r="I573" s="346"/>
      <c r="J573" s="71"/>
      <c r="K573" s="346"/>
      <c r="L573" s="61"/>
      <c r="M573" s="346"/>
      <c r="N573" s="61"/>
      <c r="O573" s="346"/>
      <c r="P573" s="61"/>
      <c r="Q573" s="346"/>
      <c r="R573" s="61"/>
      <c r="S573" s="346"/>
      <c r="T573" s="61"/>
      <c r="U573" s="346"/>
      <c r="V573" s="61"/>
      <c r="W573" s="346"/>
      <c r="X573" s="61"/>
      <c r="Y573" s="346"/>
      <c r="Z573" s="61"/>
      <c r="AA573" s="346"/>
      <c r="AB573" s="61"/>
      <c r="AC573" s="346"/>
      <c r="AD573" s="61"/>
      <c r="AE573" s="346"/>
      <c r="AF573" s="61"/>
      <c r="AG573" s="346"/>
      <c r="AH573" s="61"/>
      <c r="AI573" s="346"/>
      <c r="AJ573" s="61"/>
      <c r="AK573" s="346"/>
      <c r="AL573" s="61"/>
      <c r="AM573" s="346"/>
      <c r="AN573" s="61"/>
      <c r="AO573" s="346"/>
      <c r="AP573" s="61"/>
      <c r="AQ573" s="346">
        <f>AQ520/AQ$533*100</f>
        <v>43.924005715874991</v>
      </c>
      <c r="AR573" s="61" t="str">
        <f t="shared" si="3108"/>
        <v>NA</v>
      </c>
      <c r="AS573" s="346">
        <f>AS520/AS$533*100</f>
        <v>39.925486110754719</v>
      </c>
      <c r="AT573" s="61" t="str">
        <f t="shared" si="3109"/>
        <v>NA</v>
      </c>
      <c r="AU573" s="346">
        <f>AU520/AU$533*100</f>
        <v>47.40873579884196</v>
      </c>
      <c r="AV573" s="61" t="str">
        <f t="shared" si="3110"/>
        <v>NA</v>
      </c>
      <c r="AW573" s="346">
        <f>AW520/AW$533*100</f>
        <v>45.221726683155779</v>
      </c>
      <c r="AX573" s="61" t="str">
        <f t="shared" si="3111"/>
        <v>NA</v>
      </c>
      <c r="AY573" s="346">
        <f>AY520/AY$533*100</f>
        <v>48.145448655652743</v>
      </c>
      <c r="AZ573" s="61">
        <f t="shared" si="3112"/>
        <v>9.6107877024796053</v>
      </c>
      <c r="BA573" s="346">
        <f>BA520/BA$533*100</f>
        <v>44.624057596957158</v>
      </c>
      <c r="BB573" s="61">
        <f t="shared" si="3113"/>
        <v>11.768351356245077</v>
      </c>
      <c r="BC573" s="346">
        <f>BC520/BC$533*100</f>
        <v>45.568613049332846</v>
      </c>
      <c r="BD573" s="61">
        <f t="shared" si="3114"/>
        <v>-3.8814001649756347</v>
      </c>
      <c r="BE573" s="346">
        <f>BE520/BE$533*100</f>
        <v>47.643107650240744</v>
      </c>
      <c r="BF573" s="61">
        <f t="shared" si="3115"/>
        <v>5.3544637604182377</v>
      </c>
      <c r="BG573" s="346">
        <f>BG520/BG$533*100</f>
        <v>50.061652281134386</v>
      </c>
      <c r="BH573" s="61">
        <f t="shared" si="3116"/>
        <v>3.9800306757691084</v>
      </c>
      <c r="BI573" s="346">
        <f>BI520/BI$533*100</f>
        <v>50.754542654758239</v>
      </c>
      <c r="BJ573" s="61">
        <f t="shared" si="3117"/>
        <v>13.738071766515269</v>
      </c>
      <c r="BK573" s="346">
        <f>BK520/BK$533*100</f>
        <v>55.502535043244848</v>
      </c>
      <c r="BL573" s="61">
        <f t="shared" si="3118"/>
        <v>21.799921764477403</v>
      </c>
      <c r="BM573" s="346">
        <f>BM520/BM$533*100</f>
        <v>55.539971949509123</v>
      </c>
      <c r="BN573" s="61">
        <f t="shared" si="3119"/>
        <v>16.57504031273762</v>
      </c>
      <c r="BO573" s="346">
        <f>BO520/BO$533*100</f>
        <v>49.359605911330043</v>
      </c>
      <c r="BP573" s="61">
        <f t="shared" si="3120"/>
        <v>-1.4023635613579333</v>
      </c>
      <c r="BQ573" s="346">
        <f>BQ520/BQ$533*100</f>
        <v>51.036941023979267</v>
      </c>
      <c r="BR573" s="61">
        <f t="shared" si="3121"/>
        <v>0.55640018498828159</v>
      </c>
      <c r="BS573" s="346">
        <f>BS520/BS$533*100</f>
        <v>50.793650793650777</v>
      </c>
      <c r="BT573" s="61">
        <f t="shared" si="3122"/>
        <v>-8.4840886023046291</v>
      </c>
      <c r="BU573" s="346">
        <f>BU520/BU$533*100</f>
        <v>46.844319775596048</v>
      </c>
      <c r="BV573" s="61">
        <f t="shared" si="3123"/>
        <v>-15.656565656565713</v>
      </c>
      <c r="BW573" s="346">
        <f>BW520/BW$533*100</f>
        <v>53.043478260869549</v>
      </c>
      <c r="BX573" s="61">
        <f t="shared" si="3124"/>
        <v>7.4633342011628745</v>
      </c>
      <c r="BY573" s="346">
        <f>BY520/BY$533*100</f>
        <v>44.910757356488155</v>
      </c>
      <c r="BZ573" s="61">
        <f t="shared" si="3125"/>
        <v>-12.003430347858778</v>
      </c>
      <c r="CA573" s="346">
        <f>CA520/CA$533*100</f>
        <v>44.778402355550483</v>
      </c>
      <c r="CB573" s="61">
        <f t="shared" si="3126"/>
        <v>-11.842520362509957</v>
      </c>
      <c r="CC573" s="346">
        <f>CC520/CC$533*100</f>
        <v>45.879212545879192</v>
      </c>
      <c r="CD573" s="61">
        <f t="shared" si="3127"/>
        <v>-2.0602438766111342</v>
      </c>
      <c r="CE573" s="346">
        <f>CE520/CE$533*100</f>
        <v>47.175141242937833</v>
      </c>
      <c r="CF573" s="61">
        <f t="shared" si="3128"/>
        <v>-11.063258312494217</v>
      </c>
      <c r="CG573" s="346">
        <f>CG520/CG$533*100</f>
        <v>47.265221878224978</v>
      </c>
      <c r="CH573" s="61">
        <f t="shared" si="3129"/>
        <v>5.2425402293882151</v>
      </c>
      <c r="CI573" s="346">
        <f>CI520/CI$533*100</f>
        <v>54.296874999999986</v>
      </c>
      <c r="CJ573" s="61">
        <f t="shared" si="3130"/>
        <v>21.256838439367964</v>
      </c>
      <c r="CK573" s="346">
        <f>CK520/CK$533*100</f>
        <v>52.68817204301078</v>
      </c>
      <c r="CL573" s="61">
        <f t="shared" si="3131"/>
        <v>14.841055718475182</v>
      </c>
      <c r="CM573" s="346">
        <f>CM520/CM$533*100</f>
        <v>59.695541862993828</v>
      </c>
      <c r="CN573" s="61">
        <f t="shared" si="3132"/>
        <v>26.540250416166611</v>
      </c>
      <c r="CO573" s="346">
        <f>CO520/CO$533*100</f>
        <v>58.508078377449316</v>
      </c>
      <c r="CP573" s="61">
        <f t="shared" si="3133"/>
        <v>23.786742243992109</v>
      </c>
      <c r="CQ573" s="346">
        <f>CQ520/CQ$533*100</f>
        <v>50.974752317034209</v>
      </c>
      <c r="CR573" s="61">
        <f t="shared" si="3134"/>
        <v>-6.118441775821859</v>
      </c>
      <c r="CS573" s="346">
        <f>CS520/CS$533*100</f>
        <v>58.571428571428577</v>
      </c>
      <c r="CT573" s="61">
        <f t="shared" si="3135"/>
        <v>11.166180758017452</v>
      </c>
      <c r="CU573" s="346">
        <f>CU520/CU$533*100</f>
        <v>58.703071672354945</v>
      </c>
      <c r="CV573" s="61">
        <f t="shared" si="3136"/>
        <v>-1.6625532823149269</v>
      </c>
      <c r="CW573" s="346">
        <f>CW520/CW$533*100</f>
        <v>61.016949152542374</v>
      </c>
      <c r="CX573" s="61">
        <f t="shared" si="3137"/>
        <v>4.2880758429763244</v>
      </c>
      <c r="CY573" s="346">
        <f>CY520/CY$533*100</f>
        <v>54.878048780487809</v>
      </c>
      <c r="CZ573" s="61">
        <f t="shared" si="3138"/>
        <v>7.6573132502484764</v>
      </c>
      <c r="DA573" s="346">
        <f>DA520/DA$533*100</f>
        <v>61.589403973509938</v>
      </c>
      <c r="DB573" s="61">
        <f t="shared" si="3139"/>
        <v>5.1526409303828125</v>
      </c>
      <c r="DC573" s="346">
        <f>DC520/DC$533*100</f>
        <v>64.32203900863658</v>
      </c>
      <c r="DD573" s="61">
        <f t="shared" si="3140"/>
        <v>9.5718455205262778</v>
      </c>
      <c r="DE573" s="346">
        <f>DE520/DE$533*100</f>
        <v>66.265060240963862</v>
      </c>
      <c r="DF573" s="61">
        <f t="shared" si="3141"/>
        <v>8.601070950468559</v>
      </c>
      <c r="DG573" s="346">
        <f>DG520/DG$533*100</f>
        <v>66.961651917404126</v>
      </c>
      <c r="DH573" s="61">
        <f t="shared" si="3142"/>
        <v>22.019010160603059</v>
      </c>
      <c r="DI573" s="346">
        <f>DI520/DI$533*100</f>
        <v>66.106442577030805</v>
      </c>
      <c r="DJ573" s="61">
        <f t="shared" si="3143"/>
        <v>7.3341164422758176</v>
      </c>
      <c r="DK573" s="346">
        <f>DK520/DK$533*100</f>
        <v>70.054945054945051</v>
      </c>
      <c r="DL573" s="61">
        <f t="shared" si="3144"/>
        <v>8.9128176510988801</v>
      </c>
      <c r="DM573" s="346">
        <f>DM520/DM$533*100</f>
        <v>69.270833333333343</v>
      </c>
      <c r="DN573" s="130">
        <f t="shared" si="3145"/>
        <v>4.5359848484848531</v>
      </c>
      <c r="DO573" s="346">
        <f>DO520/DO$533*100</f>
        <v>67.574257425742573</v>
      </c>
      <c r="DP573" s="130">
        <f t="shared" si="3145"/>
        <v>0.91486020848781102</v>
      </c>
      <c r="DQ573" s="346">
        <f>DQ520/DQ$533*100</f>
        <v>72.093023255813947</v>
      </c>
      <c r="DR573" s="130">
        <f t="shared" si="3145"/>
        <v>9.0559716200236515</v>
      </c>
      <c r="DS573" s="346">
        <f>DS520/DS$533*100</f>
        <v>77.840909090909093</v>
      </c>
      <c r="DT573" s="130">
        <f t="shared" si="3145"/>
        <v>11.114081996434955</v>
      </c>
      <c r="DU573" s="346">
        <f>DU520/DU$533*100</f>
        <v>75.197889182058049</v>
      </c>
      <c r="DV573" s="130">
        <f t="shared" si="3145"/>
        <v>8.5563513004146117</v>
      </c>
      <c r="DW573" s="346">
        <f>DW520/DW$533*100</f>
        <v>69.7508896797153</v>
      </c>
      <c r="DX573" s="346">
        <f t="shared" ref="DX573:DY573" si="3180">DX520/DX$533*100</f>
        <v>69.7508896797153</v>
      </c>
      <c r="DY573" s="346">
        <f t="shared" si="3180"/>
        <v>72.251308900523554</v>
      </c>
      <c r="DZ573" s="130">
        <f t="shared" si="3145"/>
        <v>0.21955750717783662</v>
      </c>
      <c r="EA573" s="346">
        <f t="shared" ref="EA573:EC573" si="3181">EA520/EA$533*100</f>
        <v>70.994475138121544</v>
      </c>
      <c r="EB573" s="130">
        <f t="shared" si="3148"/>
        <v>-8.7954188006613805</v>
      </c>
      <c r="EC573" s="346">
        <f t="shared" si="3181"/>
        <v>71.31367292225201</v>
      </c>
      <c r="ED573" s="130">
        <f t="shared" si="3149"/>
        <v>-5.1653261840929439</v>
      </c>
      <c r="EE573" s="346">
        <f t="shared" ref="EE573:EG573" si="3182">EE520/EE$533*100</f>
        <v>68.038207200587806</v>
      </c>
      <c r="EF573" s="130">
        <f t="shared" si="3151"/>
        <v>-2.4554274318103309</v>
      </c>
      <c r="EG573" s="346">
        <f t="shared" si="3182"/>
        <v>67.481662591687041</v>
      </c>
      <c r="EH573" s="130">
        <f t="shared" si="3152"/>
        <v>-6.6014669926650278</v>
      </c>
      <c r="EI573" s="346">
        <f t="shared" ref="EI573:EK573" si="3183">EI520/EI$533*100</f>
        <v>69.095477386934675</v>
      </c>
      <c r="EJ573" s="130">
        <f t="shared" si="3154"/>
        <v>-2.6748528635394786</v>
      </c>
      <c r="EK573" s="346">
        <f t="shared" si="3183"/>
        <v>68.735083532219562</v>
      </c>
      <c r="EL573" s="130">
        <f t="shared" si="3155"/>
        <v>-3.6158415130906119</v>
      </c>
      <c r="EM573" s="346">
        <f t="shared" ref="EM573" si="3184">EM520/EM$533*100</f>
        <v>68.742791234140711</v>
      </c>
      <c r="EN573" s="130">
        <f t="shared" si="3157"/>
        <v>1.0355711335480633</v>
      </c>
      <c r="EO573" s="346">
        <f t="shared" si="3158"/>
        <v>69.545454545454547</v>
      </c>
      <c r="EP573" s="130">
        <f t="shared" si="3159"/>
        <v>3.0583003952569188</v>
      </c>
      <c r="EQ573" s="346">
        <f t="shared" ref="EQ573:EW573" si="3185">EQ520/EQ$533*100</f>
        <v>75.116347092167402</v>
      </c>
      <c r="ER573" s="130">
        <f t="shared" si="3161"/>
        <v>8.7138405188459167</v>
      </c>
      <c r="ES573" s="346">
        <f t="shared" si="3185"/>
        <v>70.490973568748174</v>
      </c>
      <c r="ET573" s="130">
        <f t="shared" si="3162"/>
        <v>2.5545761295329372</v>
      </c>
      <c r="EU573" s="346">
        <f t="shared" si="3185"/>
        <v>68.617555978699016</v>
      </c>
      <c r="EV573" s="130">
        <f t="shared" si="3163"/>
        <v>-0.18217947393951439</v>
      </c>
      <c r="EW573" s="346">
        <f t="shared" si="3185"/>
        <v>67.674528149935398</v>
      </c>
      <c r="EX573" s="130">
        <f t="shared" si="3164"/>
        <v>-2.6902209608772099</v>
      </c>
      <c r="EY573" s="64"/>
      <c r="EZ573" s="558"/>
      <c r="FA573" s="64"/>
      <c r="FB573" s="346"/>
      <c r="FC573" s="71"/>
      <c r="FD573" s="346"/>
      <c r="FE573" s="70"/>
      <c r="FF573" s="346"/>
      <c r="FG573" s="70"/>
      <c r="FH573" s="346"/>
      <c r="FI573" s="70"/>
      <c r="FJ573" s="346"/>
      <c r="FK573" s="70"/>
      <c r="FL573" s="346"/>
      <c r="FM573" s="61"/>
      <c r="FN573" s="346"/>
      <c r="FO573" s="61"/>
      <c r="FP573" s="347">
        <f>FP520/FP$533*100</f>
        <v>44.251246829752837</v>
      </c>
      <c r="FQ573" s="61" t="str">
        <f t="shared" si="3165"/>
        <v>NA</v>
      </c>
      <c r="FR573" s="347">
        <f>FR520/FR$533*100</f>
        <v>46.445411077168288</v>
      </c>
      <c r="FS573" s="61">
        <f t="shared" si="3166"/>
        <v>4.958423557774605</v>
      </c>
      <c r="FT573" s="347">
        <f>FT520/FT$533*100</f>
        <v>53.046461331941217</v>
      </c>
      <c r="FU573" s="61">
        <f t="shared" si="3167"/>
        <v>14.212491830044073</v>
      </c>
      <c r="FV573" s="347">
        <f>FV520/FV$533*100</f>
        <v>49.737302977232957</v>
      </c>
      <c r="FW573" s="61">
        <f t="shared" si="3168"/>
        <v>-6.2382263993087435</v>
      </c>
      <c r="FX573" s="347">
        <f>FX520/FX$533*100</f>
        <v>46.825240402070548</v>
      </c>
      <c r="FY573" s="61">
        <f t="shared" si="3169"/>
        <v>-5.8548863747103326</v>
      </c>
      <c r="FZ573" s="347">
        <f>FZ520/FZ$533*100</f>
        <v>50.359899401613092</v>
      </c>
      <c r="GA573" s="61">
        <f t="shared" si="3170"/>
        <v>7.5486190122928676</v>
      </c>
      <c r="GB573" s="347">
        <f>GB520/GB$533*100</f>
        <v>56.773303440545</v>
      </c>
      <c r="GC573" s="61">
        <f t="shared" si="3171"/>
        <v>12.735140687605263</v>
      </c>
      <c r="GD573" s="347">
        <f>GD520/GD$533*100</f>
        <v>58.949096880131357</v>
      </c>
      <c r="GE573" s="61">
        <f t="shared" si="3172"/>
        <v>3.8324235295994713</v>
      </c>
      <c r="GF573" s="347">
        <f>GF520/GF$533*100</f>
        <v>65.963160140460062</v>
      </c>
      <c r="GG573" s="61">
        <f t="shared" si="3172"/>
        <v>11.898508427688537</v>
      </c>
      <c r="GH573" s="347">
        <f>GH520/GH$533*100</f>
        <v>69.720597790773226</v>
      </c>
      <c r="GI573" s="61">
        <f t="shared" si="3172"/>
        <v>5.6962668894458446</v>
      </c>
      <c r="GJ573" s="347">
        <f>GJ520/GJ$533*100</f>
        <v>73.574454219615518</v>
      </c>
      <c r="GK573" s="61">
        <f t="shared" si="3172"/>
        <v>5.5275722683954198</v>
      </c>
      <c r="GL573" s="347">
        <f>GL520/GL$533*100</f>
        <v>69.368034529407979</v>
      </c>
      <c r="GM573" s="61">
        <f t="shared" si="3172"/>
        <v>-5.7172285337674715</v>
      </c>
      <c r="GN573" s="347">
        <f>GN520/GN$533*100</f>
        <v>69.032830523513752</v>
      </c>
      <c r="GO573" s="61">
        <f t="shared" si="3172"/>
        <v>-0.48322546280610279</v>
      </c>
      <c r="GP573" s="347">
        <f>GP520/GP$533*100</f>
        <v>70.339687153517843</v>
      </c>
      <c r="GQ573" s="61">
        <f t="shared" si="3172"/>
        <v>1.8930943727694327</v>
      </c>
      <c r="GR573" s="346">
        <f>GR520/GR$533*100</f>
        <v>68.445961095786487</v>
      </c>
      <c r="GS573" s="61">
        <f t="shared" si="3172"/>
        <v>-2.6922582888352364</v>
      </c>
      <c r="GT573" s="346">
        <f>GT520/GT$533*100</f>
        <v>65.925238181548863</v>
      </c>
      <c r="GU573" s="61">
        <f t="shared" si="3172"/>
        <v>-3.682792781169375</v>
      </c>
      <c r="GV573" s="346">
        <f>GV520/GV$533*100</f>
        <v>66.449136041055951</v>
      </c>
      <c r="GW573" s="61">
        <f t="shared" si="3172"/>
        <v>0.79468481867952523</v>
      </c>
      <c r="GX573" s="346">
        <f>GX520/GX$533*100</f>
        <v>67.046508363181019</v>
      </c>
      <c r="GY573" s="61">
        <f t="shared" si="3173"/>
        <v>0.89899185710402563</v>
      </c>
      <c r="GZ573" s="61">
        <f t="shared" si="3107"/>
        <v>-0.58221179733954909</v>
      </c>
      <c r="HA573" s="61"/>
      <c r="HB573" s="452"/>
      <c r="HC573"/>
      <c r="HD573"/>
      <c r="HE573"/>
      <c r="HF573"/>
      <c r="HG573"/>
      <c r="HH573"/>
    </row>
    <row r="574" spans="1:216" s="5" customFormat="1" ht="12.75" customHeight="1" x14ac:dyDescent="0.2">
      <c r="A574" s="5" t="s">
        <v>668</v>
      </c>
      <c r="B574" s="2" t="s">
        <v>223</v>
      </c>
      <c r="C574" s="346"/>
      <c r="D574" s="70"/>
      <c r="E574" s="346"/>
      <c r="F574" s="71"/>
      <c r="G574" s="346"/>
      <c r="H574" s="71"/>
      <c r="I574" s="346"/>
      <c r="J574" s="71"/>
      <c r="K574" s="346"/>
      <c r="L574" s="61"/>
      <c r="M574" s="346"/>
      <c r="N574" s="61"/>
      <c r="O574" s="346"/>
      <c r="P574" s="61"/>
      <c r="Q574" s="346"/>
      <c r="R574" s="61"/>
      <c r="S574" s="346"/>
      <c r="T574" s="61"/>
      <c r="U574" s="346"/>
      <c r="V574" s="61"/>
      <c r="W574" s="346"/>
      <c r="X574" s="61"/>
      <c r="Y574" s="346"/>
      <c r="Z574" s="61"/>
      <c r="AA574" s="346"/>
      <c r="AB574" s="61"/>
      <c r="AC574" s="346"/>
      <c r="AD574" s="61"/>
      <c r="AE574" s="346"/>
      <c r="AF574" s="61"/>
      <c r="AG574" s="346"/>
      <c r="AH574" s="61"/>
      <c r="AI574" s="346"/>
      <c r="AJ574" s="61"/>
      <c r="AK574" s="346"/>
      <c r="AL574" s="61"/>
      <c r="AM574" s="346"/>
      <c r="AN574" s="61"/>
      <c r="AO574" s="346"/>
      <c r="AP574" s="61"/>
      <c r="AQ574" s="346">
        <f>AQ523/AQ$533*100</f>
        <v>29.826126152046108</v>
      </c>
      <c r="AR574" s="61" t="str">
        <f t="shared" si="3108"/>
        <v>NA</v>
      </c>
      <c r="AS574" s="346">
        <f>AS523/AS$533*100</f>
        <v>30.585590902326267</v>
      </c>
      <c r="AT574" s="61" t="str">
        <f t="shared" si="3109"/>
        <v>NA</v>
      </c>
      <c r="AU574" s="346">
        <f>AU523/AU$533*100</f>
        <v>29.523146337508223</v>
      </c>
      <c r="AV574" s="61" t="str">
        <f t="shared" si="3110"/>
        <v>NA</v>
      </c>
      <c r="AW574" s="346">
        <f>AW523/AW$533*100</f>
        <v>28.745593705571888</v>
      </c>
      <c r="AX574" s="61" t="str">
        <f t="shared" si="3111"/>
        <v>NA</v>
      </c>
      <c r="AY574" s="346">
        <f>AY523/AY$533*100</f>
        <v>27.939747327502435</v>
      </c>
      <c r="AZ574" s="61">
        <f t="shared" si="3112"/>
        <v>-6.3245854152409464</v>
      </c>
      <c r="BA574" s="346">
        <f>BA523/BA$533*100</f>
        <v>48.937037288596073</v>
      </c>
      <c r="BB574" s="61">
        <f t="shared" si="3113"/>
        <v>60.0003002880485</v>
      </c>
      <c r="BC574" s="346">
        <f>BC523/BC$533*100</f>
        <v>42.783694454645577</v>
      </c>
      <c r="BD574" s="61">
        <f t="shared" si="3114"/>
        <v>44.915768683808089</v>
      </c>
      <c r="BE574" s="346">
        <f>BE523/BE$533*100</f>
        <v>43.779349699815739</v>
      </c>
      <c r="BF574" s="61">
        <f t="shared" si="3115"/>
        <v>52.299340720625963</v>
      </c>
      <c r="BG574" s="346">
        <f>BG523/BG$533*100</f>
        <v>47.965474722564757</v>
      </c>
      <c r="BH574" s="61">
        <f t="shared" si="3116"/>
        <v>71.674690398327385</v>
      </c>
      <c r="BI574" s="346">
        <f>BI523/BI$533*100</f>
        <v>49.43024330150908</v>
      </c>
      <c r="BJ574" s="61">
        <f t="shared" si="3117"/>
        <v>1.0078379081357669</v>
      </c>
      <c r="BK574" s="346">
        <f>BK523/BK$533*100</f>
        <v>49.448255293766778</v>
      </c>
      <c r="BL574" s="61">
        <f t="shared" si="3118"/>
        <v>15.577338338993174</v>
      </c>
      <c r="BM574" s="346">
        <f>BM523/BM$533*100</f>
        <v>48.976157082748927</v>
      </c>
      <c r="BN574" s="61">
        <f t="shared" si="3119"/>
        <v>11.870453578151396</v>
      </c>
      <c r="BO574" s="346">
        <f>BO523/BO$533*100</f>
        <v>54.646962233169148</v>
      </c>
      <c r="BP574" s="61">
        <f t="shared" si="3120"/>
        <v>13.929785015681651</v>
      </c>
      <c r="BQ574" s="346">
        <f>BQ523/BQ$533*100</f>
        <v>52.981205443940382</v>
      </c>
      <c r="BR574" s="61">
        <f t="shared" si="3121"/>
        <v>7.1837844713236398</v>
      </c>
      <c r="BS574" s="346">
        <f>BS523/BS$533*100</f>
        <v>53.142857142857146</v>
      </c>
      <c r="BT574" s="61">
        <f t="shared" si="3122"/>
        <v>7.4716525934861222</v>
      </c>
      <c r="BU574" s="346">
        <f>BU523/BU$533*100</f>
        <v>62.412342215988815</v>
      </c>
      <c r="BV574" s="61">
        <f t="shared" si="3123"/>
        <v>27.434135166094052</v>
      </c>
      <c r="BW574" s="346">
        <f>BW523/BW$533*100</f>
        <v>72.73657289002557</v>
      </c>
      <c r="BX574" s="61">
        <f t="shared" si="3124"/>
        <v>33.102682962817177</v>
      </c>
      <c r="BY574" s="346">
        <f>BY523/BY$533*100</f>
        <v>64.109985528219937</v>
      </c>
      <c r="BZ574" s="61">
        <f t="shared" si="3125"/>
        <v>21.005146996994917</v>
      </c>
      <c r="CA574" s="346">
        <f>CA523/CA$533*100</f>
        <v>54.491224044969591</v>
      </c>
      <c r="CB574" s="61">
        <f t="shared" si="3126"/>
        <v>2.5372495469857759</v>
      </c>
      <c r="CC574" s="346">
        <f>CC523/CC$533*100</f>
        <v>52.585919252585967</v>
      </c>
      <c r="CD574" s="61">
        <f t="shared" si="3127"/>
        <v>-15.744358590800511</v>
      </c>
      <c r="CE574" s="346">
        <f>CE523/CE$533*100</f>
        <v>53.283898305084755</v>
      </c>
      <c r="CF574" s="61">
        <f t="shared" si="3128"/>
        <v>-26.744007604472074</v>
      </c>
      <c r="CG574" s="346">
        <f>CG523/CG$533*100</f>
        <v>52.184382524939807</v>
      </c>
      <c r="CH574" s="61">
        <f t="shared" si="3129"/>
        <v>-18.601787077351183</v>
      </c>
      <c r="CI574" s="346">
        <f>CI523/CI$533*100</f>
        <v>53.941761363636353</v>
      </c>
      <c r="CJ574" s="61">
        <f t="shared" si="3130"/>
        <v>-1.0083507775119682</v>
      </c>
      <c r="CK574" s="346">
        <f>CK523/CK$533*100</f>
        <v>52.251344086021504</v>
      </c>
      <c r="CL574" s="61">
        <f t="shared" si="3131"/>
        <v>-0.63624478057975331</v>
      </c>
      <c r="CM574" s="346">
        <f>CM523/CM$533*100</f>
        <v>46.393620877129358</v>
      </c>
      <c r="CN574" s="61">
        <f t="shared" si="3132"/>
        <v>-12.931256246500777</v>
      </c>
      <c r="CO574" s="346">
        <f>CO523/CO$533*100</f>
        <v>46.54520453764183</v>
      </c>
      <c r="CP574" s="61">
        <f t="shared" si="3133"/>
        <v>-10.80625603762374</v>
      </c>
      <c r="CQ574" s="346">
        <f>CQ523/CQ$533*100</f>
        <v>52.668584212208359</v>
      </c>
      <c r="CR574" s="61">
        <f t="shared" si="3134"/>
        <v>-2.3602810127855367</v>
      </c>
      <c r="CS574" s="346">
        <f>CS523/CS$533*100</f>
        <v>46.785714285714285</v>
      </c>
      <c r="CT574" s="61">
        <f t="shared" si="3135"/>
        <v>-10.460266421681208</v>
      </c>
      <c r="CU574" s="346">
        <f>CU523/CU$533*100</f>
        <v>47.44027303754266</v>
      </c>
      <c r="CV574" s="61">
        <f t="shared" si="3136"/>
        <v>2.2560260238908558</v>
      </c>
      <c r="CW574" s="346">
        <f>CW523/CW$533*100</f>
        <v>43.728813559322035</v>
      </c>
      <c r="CX574" s="61">
        <f t="shared" si="3137"/>
        <v>-6.0508724933030162</v>
      </c>
      <c r="CY574" s="346">
        <f>CY523/CY$533*100</f>
        <v>41.158536585365852</v>
      </c>
      <c r="CZ574" s="61">
        <f t="shared" si="3138"/>
        <v>-21.853725136159106</v>
      </c>
      <c r="DA574" s="346">
        <f>DA523/DA$533*100</f>
        <v>45.695364238410598</v>
      </c>
      <c r="DB574" s="61">
        <f t="shared" si="3139"/>
        <v>-2.330519185076585</v>
      </c>
      <c r="DC574" s="346">
        <f>DC523/DC$533*100</f>
        <v>40.033099049239866</v>
      </c>
      <c r="DD574" s="61">
        <f t="shared" si="3140"/>
        <v>-15.613683299084313</v>
      </c>
      <c r="DE574" s="346">
        <f>DE523/DE$533*100</f>
        <v>39.156626506024097</v>
      </c>
      <c r="DF574" s="61">
        <f t="shared" si="3141"/>
        <v>-10.455776594751098</v>
      </c>
      <c r="DG574" s="346">
        <f>DG523/DG$533*100</f>
        <v>36.873156342182888</v>
      </c>
      <c r="DH574" s="61">
        <f t="shared" si="3142"/>
        <v>-10.411886813066751</v>
      </c>
      <c r="DI574" s="346">
        <f>DI523/DI$533*100</f>
        <v>40.896358543417364</v>
      </c>
      <c r="DJ574" s="61">
        <f t="shared" si="3143"/>
        <v>-10.502171883246058</v>
      </c>
      <c r="DK574" s="346">
        <f>DK523/DK$533*100</f>
        <v>32.967032967032964</v>
      </c>
      <c r="DL574" s="61">
        <f t="shared" si="3144"/>
        <v>-17.650559786829866</v>
      </c>
      <c r="DM574" s="346">
        <f>DM523/DM$533*100</f>
        <v>37.239583333333329</v>
      </c>
      <c r="DN574" s="130">
        <f t="shared" si="3145"/>
        <v>-4.8958333333333437</v>
      </c>
      <c r="DO574" s="346">
        <f>DO523/DO$533*100</f>
        <v>37.128712871287128</v>
      </c>
      <c r="DP574" s="130">
        <f t="shared" si="3145"/>
        <v>0.69306930693069368</v>
      </c>
      <c r="DQ574" s="346">
        <f>DQ523/DQ$533*100</f>
        <v>36.434108527131784</v>
      </c>
      <c r="DR574" s="130">
        <f t="shared" si="3145"/>
        <v>-10.911118190506519</v>
      </c>
      <c r="DS574" s="346">
        <f>DS523/DS$533*100</f>
        <v>31.53409090909091</v>
      </c>
      <c r="DT574" s="130">
        <f t="shared" si="3145"/>
        <v>-4.3465909090908976</v>
      </c>
      <c r="DU574" s="346">
        <f>DU523/DU$533*100</f>
        <v>27.70448548812665</v>
      </c>
      <c r="DV574" s="130">
        <f t="shared" si="3145"/>
        <v>-25.60473826964591</v>
      </c>
      <c r="DW574" s="346">
        <f>DW523/DW$533*100</f>
        <v>36.29893238434164</v>
      </c>
      <c r="DX574" s="346">
        <f t="shared" ref="DX574:DY574" si="3186">DX523/DX$533*100</f>
        <v>36.29893238434164</v>
      </c>
      <c r="DY574" s="346">
        <f t="shared" si="3186"/>
        <v>31.151832460732987</v>
      </c>
      <c r="DZ574" s="130">
        <f t="shared" si="3145"/>
        <v>-14.498161969477552</v>
      </c>
      <c r="EA574" s="346">
        <f t="shared" ref="EA574:EC574" si="3187">EA523/EA$533*100</f>
        <v>33.701657458563538</v>
      </c>
      <c r="EB574" s="130">
        <f t="shared" si="3148"/>
        <v>6.8737245532825675</v>
      </c>
      <c r="EC574" s="346">
        <f t="shared" si="3187"/>
        <v>32.171581769436997</v>
      </c>
      <c r="ED574" s="130">
        <f t="shared" si="3149"/>
        <v>16.124090386824964</v>
      </c>
      <c r="EE574" s="346">
        <f t="shared" ref="EE574:EG574" si="3188">EE523/EE$533*100</f>
        <v>33.676218466813616</v>
      </c>
      <c r="EF574" s="130">
        <f t="shared" si="3151"/>
        <v>-7.2253197139742653</v>
      </c>
      <c r="EG574" s="346">
        <f t="shared" si="3188"/>
        <v>37.65281173594132</v>
      </c>
      <c r="EH574" s="130">
        <f t="shared" si="3152"/>
        <v>20.868689774198181</v>
      </c>
      <c r="EI574" s="346">
        <f t="shared" ref="EI574:EK574" si="3189">EI523/EI$533*100</f>
        <v>32.412060301507537</v>
      </c>
      <c r="EJ574" s="130">
        <f t="shared" si="3154"/>
        <v>-3.8265095971661611</v>
      </c>
      <c r="EK574" s="346">
        <f t="shared" si="3189"/>
        <v>31.742243436754176</v>
      </c>
      <c r="EL574" s="130">
        <f t="shared" si="3155"/>
        <v>-1.334526650755774</v>
      </c>
      <c r="EM574" s="346">
        <f t="shared" ref="EM574" si="3190">EM523/EM$533*100</f>
        <v>31.603229527104958</v>
      </c>
      <c r="EN574" s="130">
        <f t="shared" si="3157"/>
        <v>-6.1556464296948725</v>
      </c>
      <c r="EO574" s="346">
        <f t="shared" ref="EO574:EO576" si="3191">EO523/EO$533*100</f>
        <v>34.545454545454547</v>
      </c>
      <c r="EP574" s="130">
        <f t="shared" si="3159"/>
        <v>-8.2526564344746145</v>
      </c>
      <c r="EQ574" s="346">
        <f t="shared" ref="EQ574:EW574" si="3192">EQ523/EQ$533*100</f>
        <v>33.175902487136462</v>
      </c>
      <c r="ER574" s="130">
        <f t="shared" si="3161"/>
        <v>2.356660386669085</v>
      </c>
      <c r="ES574" s="346">
        <f t="shared" si="3192"/>
        <v>34.750616136234399</v>
      </c>
      <c r="ET574" s="130">
        <f t="shared" si="3162"/>
        <v>9.4775049705429595</v>
      </c>
      <c r="EU574" s="346">
        <f t="shared" si="3192"/>
        <v>33.377505408585634</v>
      </c>
      <c r="EV574" s="130">
        <f t="shared" si="3163"/>
        <v>5.6142233184078405</v>
      </c>
      <c r="EW574" s="346">
        <f t="shared" si="3192"/>
        <v>34.086066307135091</v>
      </c>
      <c r="EX574" s="130">
        <f t="shared" si="3164"/>
        <v>-1.3298080582931582</v>
      </c>
      <c r="EY574" s="64"/>
      <c r="EZ574" s="558"/>
      <c r="FA574" s="64"/>
      <c r="FB574" s="346"/>
      <c r="FC574" s="71"/>
      <c r="FD574" s="346"/>
      <c r="FE574" s="70"/>
      <c r="FF574" s="346"/>
      <c r="FG574" s="70"/>
      <c r="FH574" s="346"/>
      <c r="FI574" s="70"/>
      <c r="FJ574" s="346"/>
      <c r="FK574" s="70"/>
      <c r="FL574" s="346"/>
      <c r="FM574" s="61"/>
      <c r="FN574" s="346"/>
      <c r="FO574" s="61"/>
      <c r="FP574" s="347">
        <f>FP523/FP$533*100</f>
        <v>29.604302568618746</v>
      </c>
      <c r="FQ574" s="61" t="str">
        <f t="shared" si="3165"/>
        <v>NA</v>
      </c>
      <c r="FR574" s="347">
        <f>FR523/FR$533*100</f>
        <v>41.522778589454106</v>
      </c>
      <c r="FS574" s="61">
        <f t="shared" si="3166"/>
        <v>40.259269723412515</v>
      </c>
      <c r="FT574" s="347">
        <f>FT523/FT$533*100</f>
        <v>48.959653963755706</v>
      </c>
      <c r="FU574" s="61">
        <f t="shared" si="3167"/>
        <v>17.910350961412803</v>
      </c>
      <c r="FV574" s="347">
        <f>FV523/FV$533*100</f>
        <v>55.236427320490343</v>
      </c>
      <c r="FW574" s="61">
        <f t="shared" si="3168"/>
        <v>12.820297629924561</v>
      </c>
      <c r="FX574" s="347">
        <f>FX523/FX$533*100</f>
        <v>59.66743083577969</v>
      </c>
      <c r="FY574" s="61">
        <f t="shared" si="3169"/>
        <v>8.0218865162657629</v>
      </c>
      <c r="FZ574" s="347">
        <f>FZ523/FZ$533*100</f>
        <v>52.900875899748435</v>
      </c>
      <c r="GA574" s="61">
        <f t="shared" si="3170"/>
        <v>-11.340449624275895</v>
      </c>
      <c r="GB574" s="347">
        <f>GB523/GB$533*100</f>
        <v>48.219367077692482</v>
      </c>
      <c r="GC574" s="61">
        <f t="shared" si="3171"/>
        <v>-8.8495865946110257</v>
      </c>
      <c r="GD574" s="347">
        <f>GD523/GD$533*100</f>
        <v>44.41707717569787</v>
      </c>
      <c r="GE574" s="61">
        <f t="shared" si="3172"/>
        <v>-7.8853998557638638</v>
      </c>
      <c r="GF574" s="347">
        <f>GF523/GF$533*100</f>
        <v>39.238506202044789</v>
      </c>
      <c r="GG574" s="61">
        <f t="shared" si="3172"/>
        <v>-11.65896385565518</v>
      </c>
      <c r="GH574" s="347">
        <f>GH523/GH$533*100</f>
        <v>35.997400909681609</v>
      </c>
      <c r="GI574" s="61">
        <f t="shared" si="3172"/>
        <v>-8.2600119272488559</v>
      </c>
      <c r="GJ574" s="347">
        <f>GJ523/GJ$533*100</f>
        <v>31.801889866405997</v>
      </c>
      <c r="GK574" s="61">
        <f t="shared" si="3172"/>
        <v>-11.655038800724126</v>
      </c>
      <c r="GL574" s="347">
        <f>GL523/GL$533*100</f>
        <v>34.368356632094311</v>
      </c>
      <c r="GM574" s="61">
        <f t="shared" si="3172"/>
        <v>8.0701705982555652</v>
      </c>
      <c r="GN574" s="347">
        <f>GN523/GN$533*100</f>
        <v>32.593907128068615</v>
      </c>
      <c r="GO574" s="61">
        <f t="shared" si="3172"/>
        <v>-5.1630327368305302</v>
      </c>
      <c r="GP574" s="347">
        <f>GP523/GP$533*100</f>
        <v>33.856809961213465</v>
      </c>
      <c r="GQ574" s="61">
        <f t="shared" si="3172"/>
        <v>3.8746592367175481</v>
      </c>
      <c r="GR574" s="346">
        <f>GR523/GR$533*100</f>
        <v>31.989260450725304</v>
      </c>
      <c r="GS574" s="61">
        <f t="shared" si="3172"/>
        <v>-5.5160232538967291</v>
      </c>
      <c r="GT574" s="346">
        <f>GT523/GT$533*100</f>
        <v>29.969876594259276</v>
      </c>
      <c r="GU574" s="61">
        <f t="shared" si="3172"/>
        <v>-6.3126931601828922</v>
      </c>
      <c r="GV574" s="346">
        <f>GV523/GV$533*100</f>
        <v>29.47703515736676</v>
      </c>
      <c r="GW574" s="61">
        <f t="shared" si="3172"/>
        <v>-1.6444560101622763</v>
      </c>
      <c r="GX574" s="346">
        <f>GX523/GX$533*100</f>
        <v>28.921456921102319</v>
      </c>
      <c r="GY574" s="61">
        <f t="shared" si="3173"/>
        <v>-1.8847833009609682</v>
      </c>
      <c r="GZ574" s="61">
        <f t="shared" si="3107"/>
        <v>-2.3624780136251022</v>
      </c>
      <c r="HA574" s="61"/>
      <c r="HB574" s="452"/>
      <c r="HC574"/>
      <c r="HD574"/>
      <c r="HE574"/>
      <c r="HF574"/>
      <c r="HG574"/>
      <c r="HH574"/>
    </row>
    <row r="575" spans="1:216" s="5" customFormat="1" ht="12.75" customHeight="1" x14ac:dyDescent="0.2">
      <c r="A575" s="5" t="s">
        <v>579</v>
      </c>
      <c r="B575" s="2" t="s">
        <v>130</v>
      </c>
      <c r="C575" s="346"/>
      <c r="D575" s="70"/>
      <c r="E575" s="346"/>
      <c r="F575" s="71"/>
      <c r="G575" s="346"/>
      <c r="H575" s="71"/>
      <c r="I575" s="346"/>
      <c r="J575" s="71"/>
      <c r="K575" s="346"/>
      <c r="L575" s="61"/>
      <c r="M575" s="346"/>
      <c r="N575" s="61"/>
      <c r="O575" s="346"/>
      <c r="P575" s="61"/>
      <c r="Q575" s="346"/>
      <c r="R575" s="61"/>
      <c r="S575" s="346"/>
      <c r="T575" s="61"/>
      <c r="U575" s="346"/>
      <c r="V575" s="61"/>
      <c r="W575" s="346"/>
      <c r="X575" s="61"/>
      <c r="Y575" s="346"/>
      <c r="Z575" s="61"/>
      <c r="AA575" s="346"/>
      <c r="AB575" s="61"/>
      <c r="AC575" s="346"/>
      <c r="AD575" s="61"/>
      <c r="AE575" s="346"/>
      <c r="AF575" s="61"/>
      <c r="AG575" s="346"/>
      <c r="AH575" s="61"/>
      <c r="AI575" s="346"/>
      <c r="AJ575" s="61"/>
      <c r="AK575" s="346"/>
      <c r="AL575" s="61"/>
      <c r="AM575" s="346"/>
      <c r="AN575" s="61"/>
      <c r="AO575" s="346"/>
      <c r="AP575" s="61"/>
      <c r="AQ575" s="346"/>
      <c r="AR575" s="61" t="str">
        <f t="shared" si="3108"/>
        <v>NA</v>
      </c>
      <c r="AS575" s="346"/>
      <c r="AT575" s="61" t="str">
        <f t="shared" si="3109"/>
        <v>NA</v>
      </c>
      <c r="AU575" s="346"/>
      <c r="AV575" s="61" t="str">
        <f t="shared" si="3110"/>
        <v>NA</v>
      </c>
      <c r="AW575" s="346"/>
      <c r="AX575" s="61" t="str">
        <f t="shared" si="3111"/>
        <v>NA</v>
      </c>
      <c r="AY575" s="346">
        <f>AY524/AY$533*100</f>
        <v>11.94525429219307</v>
      </c>
      <c r="AZ575" s="61" t="str">
        <f t="shared" si="3112"/>
        <v>NA</v>
      </c>
      <c r="BA575" s="346">
        <f>BA524/BA$533*100</f>
        <v>8.7957617333423936</v>
      </c>
      <c r="BB575" s="61" t="str">
        <f t="shared" si="3113"/>
        <v>NA</v>
      </c>
      <c r="BC575" s="346">
        <f>BC524/BC$533*100</f>
        <v>7.2836332476435501</v>
      </c>
      <c r="BD575" s="61" t="str">
        <f t="shared" si="3114"/>
        <v>NA</v>
      </c>
      <c r="BE575" s="346">
        <f>BE524/BE$533*100</f>
        <v>7.1925340307911698</v>
      </c>
      <c r="BF575" s="61" t="str">
        <f t="shared" si="3115"/>
        <v>NA</v>
      </c>
      <c r="BG575" s="346">
        <f>BG524/BG$533*100</f>
        <v>7.0900123304562355</v>
      </c>
      <c r="BH575" s="61">
        <f t="shared" si="3116"/>
        <v>-40.645781521034863</v>
      </c>
      <c r="BI575" s="346">
        <f>BI524/BI$533*100</f>
        <v>8.9005235602094306</v>
      </c>
      <c r="BJ575" s="61">
        <f t="shared" si="3117"/>
        <v>1.1910489397400692</v>
      </c>
      <c r="BK575" s="346">
        <f>BK524/BK$533*100</f>
        <v>7.5156576200417602</v>
      </c>
      <c r="BL575" s="61">
        <f t="shared" si="3118"/>
        <v>3.1855581481024853</v>
      </c>
      <c r="BM575" s="346">
        <f>BM524/BM$533*100</f>
        <v>7.0687237026647933</v>
      </c>
      <c r="BN575" s="61">
        <f t="shared" si="3119"/>
        <v>-1.7213728512975535</v>
      </c>
      <c r="BO575" s="346">
        <f>BO524/BO$533*100</f>
        <v>8.5714285714285534</v>
      </c>
      <c r="BP575" s="61">
        <f t="shared" si="3120"/>
        <v>20.894409937887804</v>
      </c>
      <c r="BQ575" s="346">
        <f>BQ524/BQ$533*100</f>
        <v>10.466623460790661</v>
      </c>
      <c r="BR575" s="61">
        <f t="shared" si="3121"/>
        <v>17.595593000647924</v>
      </c>
      <c r="BS575" s="346">
        <f>BS524/BS$533*100</f>
        <v>8.7301587301587276</v>
      </c>
      <c r="BT575" s="61">
        <f t="shared" si="3122"/>
        <v>16.159611992945202</v>
      </c>
      <c r="BU575" s="346">
        <f>BU524/BU$533*100</f>
        <v>10.004675081813927</v>
      </c>
      <c r="BV575" s="61">
        <f t="shared" si="3123"/>
        <v>41.534391534391531</v>
      </c>
      <c r="BW575" s="346">
        <f>BW524/BW$533*100</f>
        <v>13.14578005115092</v>
      </c>
      <c r="BX575" s="61">
        <f t="shared" si="3124"/>
        <v>53.3674339300944</v>
      </c>
      <c r="BY575" s="346">
        <f>BY524/BY$533*100</f>
        <v>16.208393632416794</v>
      </c>
      <c r="BZ575" s="61">
        <f t="shared" si="3125"/>
        <v>54.857903249654051</v>
      </c>
      <c r="CA575" s="346">
        <f>CA524/CA$533*100</f>
        <v>13.196436082750179</v>
      </c>
      <c r="CB575" s="61">
        <f t="shared" si="3126"/>
        <v>51.159176947865738</v>
      </c>
      <c r="CC575" s="346">
        <f>CC524/CC$533*100</f>
        <v>11.044377711044353</v>
      </c>
      <c r="CD575" s="61">
        <f t="shared" si="3127"/>
        <v>10.392167868803192</v>
      </c>
      <c r="CE575" s="346">
        <f>CE524/CE$533*100</f>
        <v>11.052259887005659</v>
      </c>
      <c r="CF575" s="61">
        <f t="shared" si="3128"/>
        <v>-15.925416034645822</v>
      </c>
      <c r="CG575" s="346">
        <f>CG524/CG$533*100</f>
        <v>12.968696250430003</v>
      </c>
      <c r="CH575" s="61">
        <f t="shared" si="3129"/>
        <v>-19.98777581207921</v>
      </c>
      <c r="CI575" s="346">
        <f>CI524/CI$533*100</f>
        <v>4.4389204545454719</v>
      </c>
      <c r="CJ575" s="61" t="str">
        <f t="shared" si="3130"/>
        <v>NM</v>
      </c>
      <c r="CK575" s="346">
        <f>CK524/CK$533*100</f>
        <v>6.0483870967741948</v>
      </c>
      <c r="CL575" s="61">
        <f t="shared" si="3131"/>
        <v>-45.235600818633529</v>
      </c>
      <c r="CM575" s="346">
        <f>CM524/CM$533*100</f>
        <v>6.9227981152591838</v>
      </c>
      <c r="CN575" s="61">
        <f t="shared" si="3132"/>
        <v>-37.363053474715677</v>
      </c>
      <c r="CO575" s="346">
        <f>CO524/CO$533*100</f>
        <v>7.7689927810243846</v>
      </c>
      <c r="CP575" s="61">
        <f t="shared" si="3133"/>
        <v>-40.094265213692637</v>
      </c>
      <c r="CQ575" s="346">
        <f>CQ524/CQ$533*100</f>
        <v>8.5650367529562033</v>
      </c>
      <c r="CR575" s="61">
        <f t="shared" si="3134"/>
        <v>92.953147970596589</v>
      </c>
      <c r="CS575" s="346">
        <f>CS524/CS$533*100</f>
        <v>7.1428571428571423</v>
      </c>
      <c r="CT575" s="61">
        <f t="shared" si="3135"/>
        <v>18.095238095238052</v>
      </c>
      <c r="CU575" s="346">
        <f>CU524/CU$533*100</f>
        <v>5.4607508532423212</v>
      </c>
      <c r="CV575" s="61">
        <f t="shared" si="3136"/>
        <v>-21.119310973322015</v>
      </c>
      <c r="CW575" s="346">
        <f>CW524/CW$533*100</f>
        <v>8.1355932203389827</v>
      </c>
      <c r="CX575" s="61">
        <f t="shared" si="3137"/>
        <v>4.7187640617972093</v>
      </c>
      <c r="CY575" s="346">
        <f>CY524/CY$533*100</f>
        <v>4.8780487804878048</v>
      </c>
      <c r="CZ575" s="61">
        <f t="shared" si="3138"/>
        <v>-43.046960320349392</v>
      </c>
      <c r="DA575" s="346">
        <f>DA524/DA$533*100</f>
        <v>4.3046357615894042</v>
      </c>
      <c r="DB575" s="61">
        <f t="shared" si="3139"/>
        <v>-39.735099337748338</v>
      </c>
      <c r="DC575" s="346">
        <f>DC524/DC$533*100</f>
        <v>4.6901486777130836</v>
      </c>
      <c r="DD575" s="61">
        <f t="shared" si="3140"/>
        <v>-14.111652339379166</v>
      </c>
      <c r="DE575" s="346">
        <f>DE524/DE$533*100</f>
        <v>6.6265060240963862</v>
      </c>
      <c r="DF575" s="61">
        <f t="shared" si="3141"/>
        <v>-18.549196787148581</v>
      </c>
      <c r="DG575" s="346">
        <f>DG524/DG$533*100</f>
        <v>5.8997050147492622</v>
      </c>
      <c r="DH575" s="61">
        <f t="shared" si="3142"/>
        <v>20.943952802359878</v>
      </c>
      <c r="DI575" s="346">
        <f>DI524/DI$533*100</f>
        <v>0.84033613445378152</v>
      </c>
      <c r="DJ575" s="61" t="str">
        <f t="shared" si="3143"/>
        <v>NM</v>
      </c>
      <c r="DK575" s="346">
        <f>DK524/DK$533*100</f>
        <v>5.4945054945054945</v>
      </c>
      <c r="DL575" s="61">
        <f t="shared" si="3144"/>
        <v>17.149921507064359</v>
      </c>
      <c r="DM575" s="346">
        <f>DM524/DM$533*100</f>
        <v>0.52083333333333326</v>
      </c>
      <c r="DN575" s="130" t="str">
        <f t="shared" si="3145"/>
        <v>NM</v>
      </c>
      <c r="DO575" s="346">
        <f>DO524/DO$533*100</f>
        <v>1.9801980198019802</v>
      </c>
      <c r="DP575" s="130" t="str">
        <f t="shared" si="3145"/>
        <v>NM</v>
      </c>
      <c r="DQ575" s="346">
        <f>DQ524/DQ$533*100</f>
        <v>-1.8087855297157622</v>
      </c>
      <c r="DR575" s="130" t="str">
        <f t="shared" si="3145"/>
        <v>NM</v>
      </c>
      <c r="DS575" s="346">
        <f>DS524/DS$533*100</f>
        <v>-1.7045454545454544</v>
      </c>
      <c r="DT575" s="130" t="str">
        <f t="shared" si="3145"/>
        <v>NM</v>
      </c>
      <c r="DU575" s="346">
        <f>DU524/DU$533*100</f>
        <v>5.0131926121372032</v>
      </c>
      <c r="DV575" s="130" t="str">
        <f t="shared" si="3145"/>
        <v>NM</v>
      </c>
      <c r="DW575" s="346">
        <f>DW524/DW$533*100</f>
        <v>4.0332147093712933</v>
      </c>
      <c r="DX575" s="346">
        <f t="shared" ref="DX575:DY575" si="3193">DX524/DX$533*100</f>
        <v>4.0332147093712933</v>
      </c>
      <c r="DY575" s="346">
        <f t="shared" si="3193"/>
        <v>3.4031413612565444</v>
      </c>
      <c r="DZ575" s="130" t="str">
        <f t="shared" si="3145"/>
        <v>NM</v>
      </c>
      <c r="EA575" s="346">
        <f t="shared" ref="EA575:EC575" si="3194">EA524/EA$533*100</f>
        <v>1.3812154696132597</v>
      </c>
      <c r="EB575" s="130" t="str">
        <f t="shared" si="3148"/>
        <v>NM</v>
      </c>
      <c r="EC575" s="346">
        <f t="shared" si="3194"/>
        <v>4.0214477211796247</v>
      </c>
      <c r="ED575" s="130">
        <f t="shared" si="3149"/>
        <v>-19.782700719627488</v>
      </c>
      <c r="EE575" s="346">
        <f t="shared" ref="EE575:EG575" si="3195">EE524/EE$533*100</f>
        <v>5.6331129071760957</v>
      </c>
      <c r="EF575" s="130">
        <f t="shared" si="3151"/>
        <v>39.668064139689662</v>
      </c>
      <c r="EG575" s="346">
        <f t="shared" si="3195"/>
        <v>3.9119804400977993</v>
      </c>
      <c r="EH575" s="130">
        <f t="shared" si="3152"/>
        <v>14.952040624412266</v>
      </c>
      <c r="EI575" s="346">
        <f t="shared" ref="EI575:EK575" si="3196">EI524/EI$533*100</f>
        <v>1.7587939698492463</v>
      </c>
      <c r="EJ575" s="130">
        <f t="shared" si="3154"/>
        <v>27.336683417085439</v>
      </c>
      <c r="EK575" s="346">
        <f t="shared" si="3196"/>
        <v>8.3532219570405726</v>
      </c>
      <c r="EL575" s="130" t="str">
        <f t="shared" si="3155"/>
        <v>NM</v>
      </c>
      <c r="EM575" s="346">
        <f t="shared" ref="EM575" si="3197">EM524/EM$533*100</f>
        <v>8.7658592848904267</v>
      </c>
      <c r="EN575" s="130">
        <f t="shared" si="3157"/>
        <v>55.613058522641801</v>
      </c>
      <c r="EO575" s="346">
        <f t="shared" si="3191"/>
        <v>4.5454545454545459</v>
      </c>
      <c r="EP575" s="130">
        <f t="shared" si="3159"/>
        <v>16.193181818181834</v>
      </c>
      <c r="EQ575" s="346">
        <f t="shared" ref="EQ575:EW575" si="3198">EQ524/EQ$533*100</f>
        <v>4.101322571601477</v>
      </c>
      <c r="ER575" s="130" t="str">
        <f t="shared" si="3161"/>
        <v>NM</v>
      </c>
      <c r="ES575" s="346">
        <f t="shared" si="3198"/>
        <v>6.3580278487440367</v>
      </c>
      <c r="ET575" s="130">
        <f t="shared" si="3162"/>
        <v>-23.885323753607103</v>
      </c>
      <c r="EU575" s="346">
        <f t="shared" si="3198"/>
        <v>9.0989837059036507</v>
      </c>
      <c r="EV575" s="130">
        <f t="shared" si="3163"/>
        <v>3.8002483291903255</v>
      </c>
      <c r="EW575" s="346">
        <f t="shared" si="3198"/>
        <v>8.9777654049329421</v>
      </c>
      <c r="EX575" s="130">
        <f t="shared" si="3164"/>
        <v>97.510838908524704</v>
      </c>
      <c r="EY575" s="85"/>
      <c r="EZ575" s="558"/>
      <c r="FA575" s="85"/>
      <c r="FB575" s="346"/>
      <c r="FC575" s="86"/>
      <c r="FD575" s="346"/>
      <c r="FE575" s="87"/>
      <c r="FF575" s="346"/>
      <c r="FG575" s="87"/>
      <c r="FH575" s="346"/>
      <c r="FI575" s="87"/>
      <c r="FJ575" s="346"/>
      <c r="FK575" s="87"/>
      <c r="FL575" s="346"/>
      <c r="FM575" s="87"/>
      <c r="FN575" s="346"/>
      <c r="FO575" s="87"/>
      <c r="FP575" s="347"/>
      <c r="FQ575" s="61" t="str">
        <f t="shared" si="3165"/>
        <v>NA</v>
      </c>
      <c r="FR575" s="347">
        <f>FR524/FR$533*100</f>
        <v>8.5834772214105506</v>
      </c>
      <c r="FS575" s="61" t="str">
        <f t="shared" si="3166"/>
        <v>NA</v>
      </c>
      <c r="FT575" s="347">
        <f>FT524/FT$533*100</f>
        <v>7.6292042657916186</v>
      </c>
      <c r="FU575" s="61">
        <f t="shared" si="3167"/>
        <v>-11.117556801322914</v>
      </c>
      <c r="FV575" s="347">
        <f>FV524/FV$533*100</f>
        <v>9.3957968476357312</v>
      </c>
      <c r="FW575" s="61">
        <f t="shared" si="3168"/>
        <v>23.155659755569658</v>
      </c>
      <c r="FX575" s="347">
        <f>FX524/FX$533*100</f>
        <v>13.164801195008341</v>
      </c>
      <c r="FY575" s="61">
        <f t="shared" si="3169"/>
        <v>40.113727536808177</v>
      </c>
      <c r="FZ575" s="347">
        <f>FZ524/FZ$533*100</f>
        <v>8.6289133639753821</v>
      </c>
      <c r="GA575" s="61">
        <f t="shared" si="3170"/>
        <v>-34.45466257973434</v>
      </c>
      <c r="GB575" s="347">
        <f>GB524/GB$533*100</f>
        <v>7.6312839527464051</v>
      </c>
      <c r="GC575" s="61">
        <f t="shared" si="3171"/>
        <v>-11.56147210138826</v>
      </c>
      <c r="GD575" s="347">
        <f>GD524/GD$533*100</f>
        <v>5.6650246305418719</v>
      </c>
      <c r="GE575" s="61">
        <f t="shared" si="3172"/>
        <v>-25.76577328769034</v>
      </c>
      <c r="GF575" s="347">
        <f>GF524/GF$533*100</f>
        <v>4.447801655185307</v>
      </c>
      <c r="GG575" s="61">
        <f t="shared" si="3172"/>
        <v>-21.486631651946318</v>
      </c>
      <c r="GH575" s="347">
        <f>GH524/GH$533*100</f>
        <v>1.4944769330734242</v>
      </c>
      <c r="GI575" s="61" t="str">
        <f t="shared" si="3172"/>
        <v>NM</v>
      </c>
      <c r="GJ575" s="347">
        <f>GJ524/GJ$533*100</f>
        <v>2.8022157054415122</v>
      </c>
      <c r="GK575" s="61">
        <f t="shared" si="3172"/>
        <v>87.504781333673364</v>
      </c>
      <c r="GL575" s="347">
        <f>GL524/GL$533*100</f>
        <v>3.8008116987695675</v>
      </c>
      <c r="GM575" s="61">
        <f t="shared" si="3172"/>
        <v>35.635943064230261</v>
      </c>
      <c r="GN575" s="347">
        <f>GN524/GN$533*100</f>
        <v>5.9154096421177167</v>
      </c>
      <c r="GO575" s="61">
        <f t="shared" si="3172"/>
        <v>55.635430295920884</v>
      </c>
      <c r="GP575" s="347">
        <f>GP524/GP$533*100</f>
        <v>7.2301061067037553</v>
      </c>
      <c r="GQ575" s="61">
        <f t="shared" si="3172"/>
        <v>22.224943733826976</v>
      </c>
      <c r="GR575" s="346">
        <f>GR524/GR$533*100</f>
        <v>9.1115334874916307</v>
      </c>
      <c r="GS575" s="61">
        <f t="shared" si="3172"/>
        <v>26.022126826650794</v>
      </c>
      <c r="GT575" s="346">
        <f>GT524/GT$533*100</f>
        <v>9.5857724634290271</v>
      </c>
      <c r="GU575" s="61">
        <f t="shared" si="3172"/>
        <v>5.2048206439501588</v>
      </c>
      <c r="GV575" s="346">
        <f>GV524/GV$533*100</f>
        <v>9.1839350629332923</v>
      </c>
      <c r="GW575" s="61">
        <f t="shared" si="3172"/>
        <v>-4.1920189742537417</v>
      </c>
      <c r="GX575" s="346">
        <f>GX524/GX$533*100</f>
        <v>8.7781828920415226</v>
      </c>
      <c r="GY575" s="61">
        <f t="shared" si="3173"/>
        <v>-4.4180644583322497</v>
      </c>
      <c r="GZ575" s="61">
        <f t="shared" si="3107"/>
        <v>8.2141269596055277</v>
      </c>
      <c r="HA575" s="61"/>
      <c r="HB575" s="452"/>
      <c r="HC575"/>
      <c r="HD575"/>
      <c r="HE575"/>
      <c r="HF575"/>
      <c r="HG575"/>
      <c r="HH575"/>
    </row>
    <row r="576" spans="1:216" s="5" customFormat="1" ht="12.75" hidden="1" customHeight="1" outlineLevel="1" x14ac:dyDescent="0.2">
      <c r="A576" s="5" t="s">
        <v>582</v>
      </c>
      <c r="B576" s="2" t="s">
        <v>313</v>
      </c>
      <c r="C576" s="346"/>
      <c r="D576" s="70"/>
      <c r="E576" s="346"/>
      <c r="F576" s="71"/>
      <c r="G576" s="346"/>
      <c r="H576" s="71"/>
      <c r="I576" s="346"/>
      <c r="J576" s="71"/>
      <c r="K576" s="346"/>
      <c r="L576" s="61"/>
      <c r="M576" s="346"/>
      <c r="N576" s="61"/>
      <c r="O576" s="346"/>
      <c r="P576" s="61"/>
      <c r="Q576" s="346"/>
      <c r="R576" s="61"/>
      <c r="S576" s="346"/>
      <c r="T576" s="61"/>
      <c r="U576" s="346"/>
      <c r="V576" s="61"/>
      <c r="W576" s="346"/>
      <c r="X576" s="61"/>
      <c r="Y576" s="346"/>
      <c r="Z576" s="61"/>
      <c r="AA576" s="346"/>
      <c r="AB576" s="61"/>
      <c r="AC576" s="346"/>
      <c r="AD576" s="61"/>
      <c r="AE576" s="346"/>
      <c r="AF576" s="61"/>
      <c r="AG576" s="346"/>
      <c r="AH576" s="61"/>
      <c r="AI576" s="346"/>
      <c r="AJ576" s="61"/>
      <c r="AK576" s="346"/>
      <c r="AL576" s="61"/>
      <c r="AM576" s="346"/>
      <c r="AN576" s="61"/>
      <c r="AO576" s="346"/>
      <c r="AP576" s="61"/>
      <c r="AQ576" s="346">
        <f>AQ525/AQ$533*100</f>
        <v>1.5824150530828318</v>
      </c>
      <c r="AR576" s="61" t="str">
        <f t="shared" si="3108"/>
        <v>NA</v>
      </c>
      <c r="AS576" s="346">
        <f>AS525/AS$533*100</f>
        <v>2.2066785382550846</v>
      </c>
      <c r="AT576" s="61" t="str">
        <f t="shared" si="3109"/>
        <v>NA</v>
      </c>
      <c r="AU576" s="346">
        <f>AU525/AU$533*100</f>
        <v>1.1446777255253604</v>
      </c>
      <c r="AV576" s="61" t="str">
        <f t="shared" si="3110"/>
        <v>NA</v>
      </c>
      <c r="AW576" s="346">
        <f>AW525/AW$533*100</f>
        <v>3.7003135528852682</v>
      </c>
      <c r="AX576" s="61" t="str">
        <f t="shared" si="3111"/>
        <v>NA</v>
      </c>
      <c r="AY576" s="346">
        <f>AY525/AY$533*100</f>
        <v>3.0369290573372241</v>
      </c>
      <c r="AZ576" s="61">
        <f t="shared" si="3112"/>
        <v>91.917351356127128</v>
      </c>
      <c r="BA576" s="346">
        <f>BA525/BA$533*100</f>
        <v>5.4676356720776988</v>
      </c>
      <c r="BB576" s="61" t="str">
        <f t="shared" si="3113"/>
        <v>NM</v>
      </c>
      <c r="BC576" s="346">
        <f>BC525/BC$533*100</f>
        <v>3.9172481331864386</v>
      </c>
      <c r="BD576" s="61" t="str">
        <f t="shared" si="3114"/>
        <v>NM</v>
      </c>
      <c r="BE576" s="346">
        <f>BE525/BE$533*100</f>
        <v>3.7745943054152011</v>
      </c>
      <c r="BF576" s="61">
        <f t="shared" si="3115"/>
        <v>2.0074177895549772</v>
      </c>
      <c r="BG576" s="346">
        <f>BG525/BG$533*100</f>
        <v>3.5450061652281111</v>
      </c>
      <c r="BH576" s="61">
        <f t="shared" si="3116"/>
        <v>16.729963008631099</v>
      </c>
      <c r="BI576" s="346">
        <f>BI525/BI$533*100</f>
        <v>3.2337542346781594</v>
      </c>
      <c r="BJ576" s="61">
        <f t="shared" si="3117"/>
        <v>-40.85644273643905</v>
      </c>
      <c r="BK576" s="346">
        <f>BK525/BK$533*100</f>
        <v>0</v>
      </c>
      <c r="BL576" s="61" t="str">
        <f t="shared" si="3118"/>
        <v>NM</v>
      </c>
      <c r="BM576" s="346">
        <f>BM525/BM$533*100</f>
        <v>0</v>
      </c>
      <c r="BN576" s="61" t="str">
        <f t="shared" si="3119"/>
        <v>NM</v>
      </c>
      <c r="BO576" s="346">
        <f>BO525/BO$533*100</f>
        <v>0</v>
      </c>
      <c r="BP576" s="61" t="str">
        <f t="shared" si="3120"/>
        <v>NM</v>
      </c>
      <c r="BQ576" s="346">
        <f>BQ525/BQ$533*100</f>
        <v>0</v>
      </c>
      <c r="BR576" s="61" t="str">
        <f t="shared" si="3121"/>
        <v>NM</v>
      </c>
      <c r="BS576" s="346">
        <f>BS525/BS$533*100</f>
        <v>0</v>
      </c>
      <c r="BT576" s="61" t="str">
        <f t="shared" si="3122"/>
        <v>NA</v>
      </c>
      <c r="BU576" s="346">
        <f>BU525/BU$533*100</f>
        <v>0</v>
      </c>
      <c r="BV576" s="61" t="str">
        <f t="shared" si="3123"/>
        <v>NA</v>
      </c>
      <c r="BW576" s="346">
        <f>BW525/BW$533*100</f>
        <v>0</v>
      </c>
      <c r="BX576" s="61" t="str">
        <f t="shared" si="3124"/>
        <v>NA</v>
      </c>
      <c r="BY576" s="346">
        <f>BY525/BY$533*100</f>
        <v>0</v>
      </c>
      <c r="BZ576" s="61" t="str">
        <f t="shared" si="3125"/>
        <v>NA</v>
      </c>
      <c r="CA576" s="346">
        <f>CA525/CA$533*100</f>
        <v>0</v>
      </c>
      <c r="CB576" s="61" t="str">
        <f t="shared" si="3126"/>
        <v>NA</v>
      </c>
      <c r="CC576" s="346">
        <f>CC525/CC$533*100</f>
        <v>0</v>
      </c>
      <c r="CD576" s="61" t="str">
        <f t="shared" si="3127"/>
        <v>NA</v>
      </c>
      <c r="CE576" s="346">
        <f>CE525/CE$533*100</f>
        <v>0</v>
      </c>
      <c r="CF576" s="61" t="str">
        <f t="shared" si="3128"/>
        <v>NA</v>
      </c>
      <c r="CG576" s="346">
        <f>CG525/CG$533*100</f>
        <v>0</v>
      </c>
      <c r="CH576" s="61" t="str">
        <f t="shared" si="3129"/>
        <v>NA</v>
      </c>
      <c r="CI576" s="346">
        <f>CI525/CI$533*100</f>
        <v>0</v>
      </c>
      <c r="CJ576" s="61" t="str">
        <f t="shared" si="3130"/>
        <v>NA</v>
      </c>
      <c r="CK576" s="346">
        <f>CK525/CK$533*100</f>
        <v>0</v>
      </c>
      <c r="CL576" s="61" t="str">
        <f t="shared" si="3131"/>
        <v>NA</v>
      </c>
      <c r="CM576" s="346">
        <f>CM525/CM$533*100</f>
        <v>0</v>
      </c>
      <c r="CN576" s="61" t="str">
        <f t="shared" si="3132"/>
        <v>NA</v>
      </c>
      <c r="CO576" s="346">
        <f>CO525/CO$533*100</f>
        <v>0</v>
      </c>
      <c r="CP576" s="61" t="str">
        <f t="shared" si="3133"/>
        <v>NA</v>
      </c>
      <c r="CQ576" s="346">
        <f>CQ525/CQ$533*100</f>
        <v>0</v>
      </c>
      <c r="CR576" s="61" t="str">
        <f t="shared" si="3134"/>
        <v>NA</v>
      </c>
      <c r="CS576" s="346">
        <f>CS525/CS$533*100</f>
        <v>0</v>
      </c>
      <c r="CT576" s="61" t="str">
        <f t="shared" si="3135"/>
        <v>NA</v>
      </c>
      <c r="CU576" s="346">
        <f>CU525/CU$533*100</f>
        <v>0</v>
      </c>
      <c r="CV576" s="61" t="str">
        <f t="shared" si="3136"/>
        <v>NA</v>
      </c>
      <c r="CW576" s="346">
        <f>CW525/CW$533*100</f>
        <v>0</v>
      </c>
      <c r="CX576" s="61" t="str">
        <f t="shared" si="3137"/>
        <v>NA</v>
      </c>
      <c r="CY576" s="346">
        <f>CY525/CY$533*100</f>
        <v>0</v>
      </c>
      <c r="CZ576" s="61" t="str">
        <f t="shared" si="3138"/>
        <v>NA</v>
      </c>
      <c r="DA576" s="346">
        <f>DA525/DA$533*100</f>
        <v>0</v>
      </c>
      <c r="DB576" s="61" t="str">
        <f t="shared" si="3139"/>
        <v>NA</v>
      </c>
      <c r="DC576" s="346">
        <f>DC525/DC$533*100</f>
        <v>0</v>
      </c>
      <c r="DD576" s="61" t="str">
        <f t="shared" si="3140"/>
        <v>NA</v>
      </c>
      <c r="DE576" s="346">
        <f>DE525/DE$533*100</f>
        <v>0</v>
      </c>
      <c r="DF576" s="61" t="str">
        <f t="shared" si="3141"/>
        <v>NA</v>
      </c>
      <c r="DG576" s="346">
        <f>DG525/DG$533*100</f>
        <v>0</v>
      </c>
      <c r="DH576" s="61" t="str">
        <f t="shared" si="3142"/>
        <v>NA</v>
      </c>
      <c r="DI576" s="346">
        <f>DI525/DI$533*100</f>
        <v>0</v>
      </c>
      <c r="DJ576" s="61" t="str">
        <f t="shared" si="3143"/>
        <v>NA</v>
      </c>
      <c r="DK576" s="346">
        <f>DK525/DK$533*100</f>
        <v>0</v>
      </c>
      <c r="DL576" s="61" t="str">
        <f t="shared" si="3144"/>
        <v>NA</v>
      </c>
      <c r="DM576" s="346">
        <f>DM525/DM$533*100</f>
        <v>0</v>
      </c>
      <c r="DN576" s="130" t="str">
        <f t="shared" si="3145"/>
        <v>NA</v>
      </c>
      <c r="DO576" s="346">
        <f>DO525/DO$533*100</f>
        <v>0</v>
      </c>
      <c r="DP576" s="130" t="str">
        <f t="shared" si="3145"/>
        <v>NA</v>
      </c>
      <c r="DQ576" s="346">
        <f>DQ525/DQ$533*100</f>
        <v>0</v>
      </c>
      <c r="DR576" s="130" t="str">
        <f t="shared" si="3145"/>
        <v>NA</v>
      </c>
      <c r="DS576" s="346">
        <f>DS525/DS$533*100</f>
        <v>0</v>
      </c>
      <c r="DT576" s="130" t="str">
        <f t="shared" si="3145"/>
        <v>NA</v>
      </c>
      <c r="DU576" s="346">
        <f>DU525/DU$533*100</f>
        <v>0</v>
      </c>
      <c r="DV576" s="130" t="str">
        <f t="shared" si="3145"/>
        <v>NA</v>
      </c>
      <c r="DW576" s="346">
        <f>DW525/DW$533*100</f>
        <v>0</v>
      </c>
      <c r="DX576" s="346">
        <f t="shared" ref="DX576:DY576" si="3199">DX525/DX$533*100</f>
        <v>0</v>
      </c>
      <c r="DY576" s="346">
        <f t="shared" si="3199"/>
        <v>0</v>
      </c>
      <c r="DZ576" s="130" t="str">
        <f t="shared" si="3145"/>
        <v>NA</v>
      </c>
      <c r="EA576" s="346">
        <f t="shared" ref="EA576:EC576" si="3200">EA525/EA$533*100</f>
        <v>0</v>
      </c>
      <c r="EB576" s="130" t="str">
        <f t="shared" si="3148"/>
        <v>NA</v>
      </c>
      <c r="EC576" s="346">
        <f t="shared" si="3200"/>
        <v>0</v>
      </c>
      <c r="ED576" s="130" t="str">
        <f t="shared" si="3149"/>
        <v>NA</v>
      </c>
      <c r="EE576" s="346">
        <f t="shared" ref="EE576:EG576" si="3201">EE525/EE$533*100</f>
        <v>0</v>
      </c>
      <c r="EF576" s="130" t="str">
        <f t="shared" si="3151"/>
        <v>NA</v>
      </c>
      <c r="EG576" s="346">
        <f t="shared" si="3201"/>
        <v>0</v>
      </c>
      <c r="EH576" s="130" t="str">
        <f t="shared" si="3152"/>
        <v>NA</v>
      </c>
      <c r="EI576" s="346">
        <f t="shared" ref="EI576:EK576" si="3202">EI525/EI$533*100</f>
        <v>0</v>
      </c>
      <c r="EJ576" s="130" t="str">
        <f t="shared" si="3154"/>
        <v>NA</v>
      </c>
      <c r="EK576" s="346">
        <f t="shared" si="3202"/>
        <v>0</v>
      </c>
      <c r="EL576" s="130" t="str">
        <f t="shared" si="3155"/>
        <v>NA</v>
      </c>
      <c r="EM576" s="346">
        <f t="shared" ref="EM576" si="3203">EM525/EM$533*100</f>
        <v>0</v>
      </c>
      <c r="EN576" s="130" t="str">
        <f t="shared" si="3157"/>
        <v>NA</v>
      </c>
      <c r="EO576" s="346">
        <f t="shared" si="3191"/>
        <v>0</v>
      </c>
      <c r="EP576" s="130" t="str">
        <f t="shared" si="3159"/>
        <v>NA</v>
      </c>
      <c r="EQ576" s="346">
        <f t="shared" ref="EQ576:EW576" si="3204">EQ525/EQ$533*100</f>
        <v>0</v>
      </c>
      <c r="ER576" s="130" t="str">
        <f t="shared" si="3161"/>
        <v>NA</v>
      </c>
      <c r="ES576" s="346">
        <f t="shared" si="3204"/>
        <v>0</v>
      </c>
      <c r="ET576" s="130" t="str">
        <f t="shared" si="3162"/>
        <v>NA</v>
      </c>
      <c r="EU576" s="346">
        <f t="shared" si="3204"/>
        <v>0</v>
      </c>
      <c r="EV576" s="130" t="str">
        <f t="shared" si="3163"/>
        <v>NA</v>
      </c>
      <c r="EW576" s="346">
        <f t="shared" si="3204"/>
        <v>0</v>
      </c>
      <c r="EX576" s="130" t="str">
        <f t="shared" si="3164"/>
        <v>NA</v>
      </c>
      <c r="EY576" s="85"/>
      <c r="EZ576" s="558"/>
      <c r="FA576" s="85"/>
      <c r="FB576" s="346"/>
      <c r="FC576" s="86"/>
      <c r="FD576" s="346"/>
      <c r="FE576" s="87"/>
      <c r="FF576" s="346"/>
      <c r="FG576" s="87"/>
      <c r="FH576" s="346"/>
      <c r="FI576" s="87"/>
      <c r="FJ576" s="346"/>
      <c r="FK576" s="87"/>
      <c r="FL576" s="346"/>
      <c r="FM576" s="87"/>
      <c r="FN576" s="346"/>
      <c r="FO576" s="87"/>
      <c r="FP576" s="347">
        <f>FP525/FP$533*100</f>
        <v>2.241879223642973</v>
      </c>
      <c r="FQ576" s="61" t="str">
        <f t="shared" si="3165"/>
        <v>NA</v>
      </c>
      <c r="FR576" s="347">
        <f>FR525/FR$533*100</f>
        <v>4.0759064948864392</v>
      </c>
      <c r="FS576" s="61">
        <f t="shared" si="3166"/>
        <v>81.807585881599735</v>
      </c>
      <c r="FT576" s="347">
        <f>FT525/FT$533*100</f>
        <v>1.6406890894175536</v>
      </c>
      <c r="FU576" s="61" t="str">
        <f t="shared" si="3167"/>
        <v>NM</v>
      </c>
      <c r="FV576" s="347">
        <f>FV525/FV$533*100</f>
        <v>0</v>
      </c>
      <c r="FW576" s="61" t="str">
        <f t="shared" si="3168"/>
        <v>NM</v>
      </c>
      <c r="FX576" s="347">
        <f>FX525/FX$533*100</f>
        <v>0</v>
      </c>
      <c r="FY576" s="61" t="str">
        <f t="shared" si="3169"/>
        <v>NA</v>
      </c>
      <c r="FZ576" s="347">
        <f>FZ525/FZ$533*100</f>
        <v>0</v>
      </c>
      <c r="GA576" s="61" t="str">
        <f t="shared" si="3170"/>
        <v>NA</v>
      </c>
      <c r="GB576" s="347">
        <f>GB525/GB$533*100</f>
        <v>0</v>
      </c>
      <c r="GC576" s="61" t="str">
        <f t="shared" si="3171"/>
        <v>NA</v>
      </c>
      <c r="GD576" s="347">
        <f>GD525/GD$533*100</f>
        <v>0</v>
      </c>
      <c r="GE576" s="61" t="str">
        <f t="shared" si="3172"/>
        <v>NA</v>
      </c>
      <c r="GF576" s="347">
        <f>GF525/GF$533*100</f>
        <v>0</v>
      </c>
      <c r="GG576" s="61" t="str">
        <f t="shared" si="3172"/>
        <v>NA</v>
      </c>
      <c r="GH576" s="347">
        <f>GH525/GH$533*100</f>
        <v>0</v>
      </c>
      <c r="GI576" s="61" t="str">
        <f t="shared" si="3172"/>
        <v>NA</v>
      </c>
      <c r="GJ576" s="347">
        <f>GJ525/GJ$533*100</f>
        <v>0</v>
      </c>
      <c r="GK576" s="61" t="str">
        <f t="shared" si="3172"/>
        <v>NA</v>
      </c>
      <c r="GL576" s="347">
        <f>GL525/GL$533*100</f>
        <v>0</v>
      </c>
      <c r="GM576" s="61" t="str">
        <f t="shared" si="3172"/>
        <v>NA</v>
      </c>
      <c r="GN576" s="347">
        <f>GN525/GN$533*100</f>
        <v>0</v>
      </c>
      <c r="GO576" s="61" t="str">
        <f t="shared" si="3172"/>
        <v>NA</v>
      </c>
      <c r="GP576" s="347">
        <f>GP525/GP$533*100</f>
        <v>0</v>
      </c>
      <c r="GQ576" s="61" t="str">
        <f t="shared" si="3172"/>
        <v>NA</v>
      </c>
      <c r="GR576" s="346">
        <f>GR525/GR$533*100</f>
        <v>0</v>
      </c>
      <c r="GS576" s="61" t="str">
        <f t="shared" si="3172"/>
        <v>NA</v>
      </c>
      <c r="GT576" s="346">
        <f>GT525/GT$533*100</f>
        <v>0</v>
      </c>
      <c r="GU576" s="61" t="str">
        <f t="shared" si="3172"/>
        <v>NA</v>
      </c>
      <c r="GV576" s="346">
        <f>GV525/GV$533*100</f>
        <v>0</v>
      </c>
      <c r="GW576" s="61" t="str">
        <f t="shared" si="3172"/>
        <v>NA</v>
      </c>
      <c r="GX576" s="346">
        <f>GX525/GX$533*100</f>
        <v>0</v>
      </c>
      <c r="GY576" s="61" t="str">
        <f t="shared" si="3173"/>
        <v>NA</v>
      </c>
      <c r="GZ576" s="61" t="str">
        <f t="shared" si="3107"/>
        <v/>
      </c>
      <c r="HA576" s="61"/>
      <c r="HB576" s="452"/>
      <c r="HC576"/>
      <c r="HD576"/>
      <c r="HE576"/>
      <c r="HF576"/>
      <c r="HG576"/>
      <c r="HH576"/>
    </row>
    <row r="577" spans="1:216" s="5" customFormat="1" ht="12.75" customHeight="1" collapsed="1" x14ac:dyDescent="0.2">
      <c r="B577" s="63" t="s">
        <v>263</v>
      </c>
      <c r="C577" s="346"/>
      <c r="D577" s="346"/>
      <c r="E577" s="346"/>
      <c r="F577" s="346"/>
      <c r="G577" s="346"/>
      <c r="H577" s="346"/>
      <c r="I577" s="346"/>
      <c r="J577" s="346"/>
      <c r="K577" s="346"/>
      <c r="L577" s="499"/>
      <c r="M577" s="346"/>
      <c r="N577" s="499"/>
      <c r="O577" s="346"/>
      <c r="P577" s="499"/>
      <c r="Q577" s="346"/>
      <c r="R577" s="499"/>
      <c r="S577" s="346"/>
      <c r="T577" s="499"/>
      <c r="U577" s="346"/>
      <c r="V577" s="499"/>
      <c r="W577" s="346"/>
      <c r="X577" s="499"/>
      <c r="Y577" s="346"/>
      <c r="Z577" s="499"/>
      <c r="AA577" s="346"/>
      <c r="AB577" s="499"/>
      <c r="AC577" s="346"/>
      <c r="AD577" s="499"/>
      <c r="AE577" s="346"/>
      <c r="AF577" s="499"/>
      <c r="AG577" s="346"/>
      <c r="AH577" s="499"/>
      <c r="AI577" s="346"/>
      <c r="AJ577" s="499"/>
      <c r="AK577" s="346"/>
      <c r="AL577" s="499"/>
      <c r="AM577" s="346"/>
      <c r="AN577" s="499"/>
      <c r="AO577" s="346"/>
      <c r="AP577" s="499"/>
      <c r="AQ577" s="346">
        <f t="shared" ref="AQ577:BV577" si="3205">SUM(AQ574:AQ576)</f>
        <v>31.408541205128941</v>
      </c>
      <c r="AR577" s="499">
        <f t="shared" si="3205"/>
        <v>0</v>
      </c>
      <c r="AS577" s="346">
        <f t="shared" si="3205"/>
        <v>32.79226944058135</v>
      </c>
      <c r="AT577" s="499">
        <f t="shared" si="3205"/>
        <v>0</v>
      </c>
      <c r="AU577" s="346">
        <f t="shared" si="3205"/>
        <v>30.667824063033585</v>
      </c>
      <c r="AV577" s="499">
        <f t="shared" si="3205"/>
        <v>0</v>
      </c>
      <c r="AW577" s="346">
        <f t="shared" si="3205"/>
        <v>32.445907258457154</v>
      </c>
      <c r="AX577" s="499">
        <f t="shared" si="3205"/>
        <v>0</v>
      </c>
      <c r="AY577" s="346">
        <f t="shared" si="3205"/>
        <v>42.921930677032726</v>
      </c>
      <c r="AZ577" s="499">
        <f t="shared" si="3205"/>
        <v>85.592765940886181</v>
      </c>
      <c r="BA577" s="346">
        <f t="shared" si="3205"/>
        <v>63.200434694016167</v>
      </c>
      <c r="BB577" s="499">
        <f t="shared" si="3205"/>
        <v>60.0003002880485</v>
      </c>
      <c r="BC577" s="346">
        <f t="shared" si="3205"/>
        <v>53.984575835475567</v>
      </c>
      <c r="BD577" s="499">
        <f t="shared" si="3205"/>
        <v>44.915768683808089</v>
      </c>
      <c r="BE577" s="346">
        <f t="shared" si="3205"/>
        <v>54.746478036022111</v>
      </c>
      <c r="BF577" s="499">
        <f t="shared" si="3205"/>
        <v>54.306758510180941</v>
      </c>
      <c r="BG577" s="346">
        <f>BG526/BG$533*100</f>
        <v>58.600493218249106</v>
      </c>
      <c r="BH577" s="499">
        <f t="shared" si="3205"/>
        <v>47.758871885923625</v>
      </c>
      <c r="BI577" s="346">
        <f>SUM(BI574:BI576)</f>
        <v>61.564521096396668</v>
      </c>
      <c r="BJ577" s="499">
        <f t="shared" si="3205"/>
        <v>-38.657555888563216</v>
      </c>
      <c r="BK577" s="346">
        <f>SUM(BK574:BK576)</f>
        <v>56.963912913808535</v>
      </c>
      <c r="BL577" s="499">
        <f t="shared" si="3205"/>
        <v>18.762896487095659</v>
      </c>
      <c r="BM577" s="346">
        <f>SUM(BM574:BM576)</f>
        <v>56.044880785413717</v>
      </c>
      <c r="BN577" s="499">
        <f t="shared" si="3205"/>
        <v>10.149080726853843</v>
      </c>
      <c r="BO577" s="346">
        <f>SUM(BO574:BO576)</f>
        <v>63.218390804597703</v>
      </c>
      <c r="BP577" s="499">
        <f t="shared" si="3205"/>
        <v>34.824194953569453</v>
      </c>
      <c r="BQ577" s="346">
        <f>SUM(BQ574:BQ576)</f>
        <v>63.44782890473104</v>
      </c>
      <c r="BR577" s="499">
        <f t="shared" si="3205"/>
        <v>24.779377471971564</v>
      </c>
      <c r="BS577" s="346">
        <f>SUM(BS574:BS576)</f>
        <v>61.873015873015873</v>
      </c>
      <c r="BT577" s="499">
        <f t="shared" si="3205"/>
        <v>23.631264586431325</v>
      </c>
      <c r="BU577" s="346">
        <f>SUM(BU574:BU576)</f>
        <v>72.417017297802744</v>
      </c>
      <c r="BV577" s="499">
        <f t="shared" si="3205"/>
        <v>68.968526700485583</v>
      </c>
      <c r="BW577" s="346">
        <f>SUM(BW574:BW576)</f>
        <v>85.882352941176492</v>
      </c>
      <c r="BX577" s="61">
        <f t="shared" si="3124"/>
        <v>35.850267379679181</v>
      </c>
      <c r="BY577" s="346">
        <f>SUM(BY574:BY576)</f>
        <v>80.318379160636738</v>
      </c>
      <c r="BZ577" s="61">
        <f t="shared" si="3125"/>
        <v>26.589641516713481</v>
      </c>
      <c r="CA577" s="346">
        <f>SUM(CA574:CA576)</f>
        <v>67.687660127719766</v>
      </c>
      <c r="CB577" s="61">
        <f t="shared" si="3126"/>
        <v>9.3977062095009103</v>
      </c>
      <c r="CC577" s="346">
        <f>SUM(CC574:CC576)</f>
        <v>63.630296963630322</v>
      </c>
      <c r="CD577" s="61">
        <f t="shared" si="3127"/>
        <v>-12.133502127046359</v>
      </c>
      <c r="CE577" s="346">
        <f>SUM(CE574:CE576)</f>
        <v>64.336158192090409</v>
      </c>
      <c r="CF577" s="61">
        <f t="shared" si="3128"/>
        <v>-25.088034981812555</v>
      </c>
      <c r="CG577" s="346">
        <f>SUM(CG574:CG576)</f>
        <v>65.153078775369806</v>
      </c>
      <c r="CH577" s="61">
        <f t="shared" si="3129"/>
        <v>-18.88148210129631</v>
      </c>
      <c r="CI577" s="346">
        <f>SUM(CI574:CI576)</f>
        <v>58.380681818181827</v>
      </c>
      <c r="CJ577" s="61">
        <f t="shared" si="3130"/>
        <v>-13.749889258952985</v>
      </c>
      <c r="CK577" s="346">
        <f>SUM(CK574:CK576)</f>
        <v>58.299731182795696</v>
      </c>
      <c r="CL577" s="61">
        <f t="shared" si="3131"/>
        <v>-8.3774020163405183</v>
      </c>
      <c r="CM577" s="346">
        <f>SUM(CM574:CM576)</f>
        <v>53.316418992388542</v>
      </c>
      <c r="CN577" s="61">
        <f t="shared" si="3132"/>
        <v>-17.128376187461956</v>
      </c>
      <c r="CO577" s="346">
        <f>SUM(CO574:CO576)</f>
        <v>54.314197318666217</v>
      </c>
      <c r="CP577" s="61">
        <f t="shared" si="3133"/>
        <v>-16.636023439618441</v>
      </c>
      <c r="CQ577" s="346">
        <f>SUM(CQ574:CQ576)</f>
        <v>61.233620965164562</v>
      </c>
      <c r="CR577" s="61">
        <f t="shared" si="3134"/>
        <v>4.8867862760969549</v>
      </c>
      <c r="CS577" s="346">
        <f>SUM(CS574:CS576)</f>
        <v>53.928571428571431</v>
      </c>
      <c r="CT577" s="61">
        <f t="shared" si="3135"/>
        <v>-7.4977356937011024</v>
      </c>
      <c r="CU577" s="346">
        <f>SUM(CU574:CU576)</f>
        <v>52.901023890784984</v>
      </c>
      <c r="CV577" s="61">
        <f t="shared" si="3136"/>
        <v>-0.77911290640667596</v>
      </c>
      <c r="CW577" s="346">
        <f>SUM(CW574:CW576)</f>
        <v>51.864406779661017</v>
      </c>
      <c r="CX577" s="61">
        <f t="shared" si="3137"/>
        <v>-4.5104054923836179</v>
      </c>
      <c r="CY577" s="346">
        <f>SUM(CY574:CY576)</f>
        <v>46.036585365853654</v>
      </c>
      <c r="CZ577" s="61">
        <f t="shared" si="3138"/>
        <v>-24.818123376953992</v>
      </c>
      <c r="DA577" s="346">
        <f>SUM(DA574:DA576)</f>
        <v>50</v>
      </c>
      <c r="DB577" s="61">
        <f t="shared" si="3139"/>
        <v>-7.2847682119205341</v>
      </c>
      <c r="DC577" s="346">
        <f>SUM(DC574:DC576)</f>
        <v>44.723247726952948</v>
      </c>
      <c r="DD577" s="61">
        <f t="shared" si="3140"/>
        <v>-15.458634941953465</v>
      </c>
      <c r="DE577" s="346">
        <f>SUM(DE574:DE576)</f>
        <v>45.783132530120483</v>
      </c>
      <c r="DF577" s="61">
        <f t="shared" si="3141"/>
        <v>-11.725332703362469</v>
      </c>
      <c r="DG577" s="346">
        <f>SUM(DG574:DG576)</f>
        <v>42.772861356932154</v>
      </c>
      <c r="DH577" s="61">
        <f t="shared" si="3142"/>
        <v>-7.0894137412334519</v>
      </c>
      <c r="DI577" s="346">
        <f>SUM(DI574:DI576)</f>
        <v>41.736694677871142</v>
      </c>
      <c r="DJ577" s="61">
        <f t="shared" si="3143"/>
        <v>-16.526610644257712</v>
      </c>
      <c r="DK577" s="346">
        <f>SUM(DK574:DK576)</f>
        <v>38.46153846153846</v>
      </c>
      <c r="DL577" s="61">
        <f t="shared" si="3144"/>
        <v>-14.001016437007996</v>
      </c>
      <c r="DM577" s="346">
        <f>SUM(DM574:DM576)</f>
        <v>37.760416666666664</v>
      </c>
      <c r="DN577" s="130">
        <f t="shared" si="3145"/>
        <v>-17.5233004385965</v>
      </c>
      <c r="DO577" s="346">
        <f>SUM(DO574:DO576)</f>
        <v>39.10891089108911</v>
      </c>
      <c r="DP577" s="130">
        <f t="shared" si="3145"/>
        <v>-8.5660635029020114</v>
      </c>
      <c r="DQ577" s="346">
        <f>SUM(DQ574:DQ576)</f>
        <v>34.625322997416021</v>
      </c>
      <c r="DR577" s="130">
        <f t="shared" si="3145"/>
        <v>-17.038655637063616</v>
      </c>
      <c r="DS577" s="346">
        <f>SUM(DS574:DS576)</f>
        <v>29.829545454545457</v>
      </c>
      <c r="DT577" s="130">
        <f t="shared" si="3145"/>
        <v>-22.443181818181813</v>
      </c>
      <c r="DU577" s="346">
        <f>SUM(DU574:DU576)</f>
        <v>32.717678100263853</v>
      </c>
      <c r="DV577" s="130">
        <f t="shared" si="3145"/>
        <v>-13.354562824128823</v>
      </c>
      <c r="DW577" s="346">
        <f>SUM(DW574:DW576)</f>
        <v>40.332147093712933</v>
      </c>
      <c r="DX577" s="346">
        <f t="shared" ref="DX577:DY577" si="3206">SUM(DX574:DX576)</f>
        <v>40.332147093712933</v>
      </c>
      <c r="DY577" s="346">
        <f t="shared" si="3206"/>
        <v>34.554973821989535</v>
      </c>
      <c r="DZ577" s="130">
        <f t="shared" si="3145"/>
        <v>-0.20317261858245894</v>
      </c>
      <c r="EA577" s="346">
        <f t="shared" ref="EA577:EC577" si="3207">SUM(EA574:EA576)</f>
        <v>35.082872928176798</v>
      </c>
      <c r="EB577" s="130">
        <f t="shared" si="3148"/>
        <v>17.611154959221253</v>
      </c>
      <c r="EC577" s="346">
        <f t="shared" si="3207"/>
        <v>36.193029490616624</v>
      </c>
      <c r="ED577" s="130">
        <f t="shared" si="3149"/>
        <v>10.62224336244919</v>
      </c>
      <c r="EE577" s="346">
        <f t="shared" ref="EE577:EG577" si="3208">SUM(EE574:EE576)</f>
        <v>39.309331373989714</v>
      </c>
      <c r="EF577" s="130">
        <f t="shared" si="3151"/>
        <v>-2.5359813286078614</v>
      </c>
      <c r="EG577" s="346">
        <f t="shared" si="3208"/>
        <v>41.56479217603912</v>
      </c>
      <c r="EH577" s="130">
        <f t="shared" si="3152"/>
        <v>20.285989479143485</v>
      </c>
      <c r="EI577" s="346">
        <f t="shared" ref="EI577:EK577" si="3209">SUM(EI574:EI576)</f>
        <v>34.170854271356781</v>
      </c>
      <c r="EJ577" s="130">
        <f t="shared" si="3154"/>
        <v>-2.5996122344003614</v>
      </c>
      <c r="EK577" s="346">
        <f t="shared" si="3209"/>
        <v>40.095465393794747</v>
      </c>
      <c r="EL577" s="130">
        <f t="shared" si="3155"/>
        <v>10.782285865818064</v>
      </c>
      <c r="EM577" s="346">
        <f t="shared" ref="EM577" si="3210">SUM(EM574:EM576)</f>
        <v>40.369088811995383</v>
      </c>
      <c r="EN577" s="130">
        <f t="shared" si="3157"/>
        <v>2.6959436880854559</v>
      </c>
      <c r="EO577" s="346">
        <f t="shared" ref="EO577" si="3211">SUM(EO574:EO576)</f>
        <v>39.090909090909093</v>
      </c>
      <c r="EP577" s="130">
        <f t="shared" si="3159"/>
        <v>-5.9518716577540047</v>
      </c>
      <c r="EQ577" s="346">
        <f t="shared" ref="EQ577:EW577" si="3212">SUM(EQ574:EQ576)</f>
        <v>37.27722505873794</v>
      </c>
      <c r="ER577" s="130">
        <f t="shared" si="3161"/>
        <v>9.0907027454242737</v>
      </c>
      <c r="ES577" s="346">
        <f t="shared" si="3212"/>
        <v>41.108643984978436</v>
      </c>
      <c r="ET577" s="130">
        <f t="shared" si="3162"/>
        <v>2.5269156530117076</v>
      </c>
      <c r="EU577" s="346">
        <f t="shared" si="3212"/>
        <v>42.476489114489283</v>
      </c>
      <c r="EV577" s="130">
        <f t="shared" si="3163"/>
        <v>5.2203316064634686</v>
      </c>
      <c r="EW577" s="346">
        <f t="shared" si="3212"/>
        <v>43.063831712068037</v>
      </c>
      <c r="EX577" s="130">
        <f t="shared" si="3164"/>
        <v>10.16329042622055</v>
      </c>
      <c r="EY577" s="346"/>
      <c r="EZ577" s="558"/>
      <c r="FA577" s="346"/>
      <c r="FB577" s="346"/>
      <c r="FC577" s="346"/>
      <c r="FD577" s="346"/>
      <c r="FE577" s="499"/>
      <c r="FF577" s="346"/>
      <c r="FG577" s="499"/>
      <c r="FH577" s="346"/>
      <c r="FI577" s="499"/>
      <c r="FJ577" s="346"/>
      <c r="FK577" s="499"/>
      <c r="FL577" s="346"/>
      <c r="FM577" s="499"/>
      <c r="FN577" s="346"/>
      <c r="FO577" s="499"/>
      <c r="FP577" s="346">
        <f t="shared" ref="FP577:FZ577" si="3213">SUM(FP574:FP576)</f>
        <v>31.846181792261717</v>
      </c>
      <c r="FQ577" s="499">
        <f t="shared" si="3213"/>
        <v>0</v>
      </c>
      <c r="FR577" s="346">
        <f t="shared" si="3213"/>
        <v>54.182162305751092</v>
      </c>
      <c r="FS577" s="61">
        <f t="shared" si="3166"/>
        <v>70.137075330383183</v>
      </c>
      <c r="FT577" s="346">
        <f t="shared" si="3213"/>
        <v>58.229547318964883</v>
      </c>
      <c r="FU577" s="61">
        <f t="shared" si="3167"/>
        <v>7.4699584530685703</v>
      </c>
      <c r="FV577" s="346">
        <f t="shared" si="3213"/>
        <v>64.632224168126072</v>
      </c>
      <c r="FW577" s="61">
        <f t="shared" si="3168"/>
        <v>10.995580669877359</v>
      </c>
      <c r="FX577" s="346">
        <f t="shared" si="3213"/>
        <v>72.832232030788035</v>
      </c>
      <c r="FY577" s="61">
        <f t="shared" si="3169"/>
        <v>12.687181925430103</v>
      </c>
      <c r="FZ577" s="346">
        <f t="shared" si="3213"/>
        <v>61.529789263723814</v>
      </c>
      <c r="GA577" s="61">
        <f t="shared" si="3170"/>
        <v>-15.518462707948299</v>
      </c>
      <c r="GB577" s="346">
        <f>SUM(GB574:GB576)</f>
        <v>55.85065103043889</v>
      </c>
      <c r="GC577" s="61">
        <f t="shared" si="3171"/>
        <v>-9.2299003478518049</v>
      </c>
      <c r="GD577" s="346">
        <f>SUM(GD574:GD576)</f>
        <v>50.082101806239741</v>
      </c>
      <c r="GE577" s="61">
        <f t="shared" si="3172"/>
        <v>-10.328526378421731</v>
      </c>
      <c r="GF577" s="346">
        <f>SUM(GF574:GF576)</f>
        <v>43.686307857230098</v>
      </c>
      <c r="GG577" s="61">
        <f t="shared" si="3172"/>
        <v>-12.770618081793028</v>
      </c>
      <c r="GH577" s="346">
        <f>SUM(GH574:GH576)</f>
        <v>37.491877842755031</v>
      </c>
      <c r="GI577" s="61">
        <f t="shared" si="3172"/>
        <v>-14.179339748094289</v>
      </c>
      <c r="GJ577" s="346">
        <f>SUM(GJ574:GJ576)</f>
        <v>34.604105571847512</v>
      </c>
      <c r="GK577" s="61">
        <f t="shared" si="3172"/>
        <v>-7.7023943239630359</v>
      </c>
      <c r="GL577" s="346">
        <f>SUM(GL574:GL576)</f>
        <v>38.169168330863876</v>
      </c>
      <c r="GM577" s="61">
        <f t="shared" si="3172"/>
        <v>10.302427125632029</v>
      </c>
      <c r="GN577" s="346">
        <f>SUM(GN574:GN576)</f>
        <v>38.509316770186331</v>
      </c>
      <c r="GO577" s="61">
        <f t="shared" si="3172"/>
        <v>0.89116020651518468</v>
      </c>
      <c r="GP577" s="346">
        <f>SUM(GP574:GP576)</f>
        <v>41.086916067917223</v>
      </c>
      <c r="GQ577" s="61">
        <f t="shared" si="3172"/>
        <v>6.6934433376560243</v>
      </c>
      <c r="GR577" s="346">
        <f>SUM(GR574:GR576)</f>
        <v>41.100793938216938</v>
      </c>
      <c r="GS577" s="61">
        <f t="shared" si="3172"/>
        <v>3.377686044085948E-2</v>
      </c>
      <c r="GT577" s="346">
        <f>SUM(GT574:GT576)</f>
        <v>39.555649057688299</v>
      </c>
      <c r="GU577" s="61">
        <f t="shared" si="3172"/>
        <v>-3.7594039736831175</v>
      </c>
      <c r="GV577" s="346">
        <f>SUM(GV574:GV576)</f>
        <v>38.660970220300051</v>
      </c>
      <c r="GW577" s="61">
        <f t="shared" si="3172"/>
        <v>-2.261823174948896</v>
      </c>
      <c r="GX577" s="346">
        <f>SUM(GX574:GX576)</f>
        <v>37.69963981314384</v>
      </c>
      <c r="GY577" s="61">
        <f t="shared" si="3173"/>
        <v>-2.486565654401085</v>
      </c>
      <c r="GZ577" s="61">
        <f t="shared" si="3107"/>
        <v>-0.42409149479469832</v>
      </c>
      <c r="HA577" s="61"/>
      <c r="HB577" s="452"/>
      <c r="HC577"/>
      <c r="HD577"/>
      <c r="HE577"/>
      <c r="HF577"/>
      <c r="HG577"/>
      <c r="HH577"/>
    </row>
    <row r="578" spans="1:216" s="5" customFormat="1" ht="12.75" hidden="1" customHeight="1" outlineLevel="1" x14ac:dyDescent="0.2">
      <c r="A578" s="5" t="s">
        <v>671</v>
      </c>
      <c r="B578" s="2" t="s">
        <v>110</v>
      </c>
      <c r="C578" s="348"/>
      <c r="D578" s="70"/>
      <c r="E578" s="348"/>
      <c r="F578" s="71"/>
      <c r="G578" s="348"/>
      <c r="H578" s="71"/>
      <c r="I578" s="348"/>
      <c r="J578" s="71"/>
      <c r="K578" s="348"/>
      <c r="L578" s="61"/>
      <c r="M578" s="348"/>
      <c r="N578" s="61"/>
      <c r="O578" s="348"/>
      <c r="P578" s="61"/>
      <c r="Q578" s="348"/>
      <c r="R578" s="61"/>
      <c r="S578" s="348"/>
      <c r="T578" s="61"/>
      <c r="U578" s="348"/>
      <c r="V578" s="61"/>
      <c r="W578" s="348"/>
      <c r="X578" s="61"/>
      <c r="Y578" s="348"/>
      <c r="Z578" s="61"/>
      <c r="AA578" s="348"/>
      <c r="AB578" s="61"/>
      <c r="AC578" s="348"/>
      <c r="AD578" s="61"/>
      <c r="AE578" s="348"/>
      <c r="AF578" s="61"/>
      <c r="AG578" s="348"/>
      <c r="AH578" s="61"/>
      <c r="AI578" s="348"/>
      <c r="AJ578" s="61"/>
      <c r="AK578" s="348"/>
      <c r="AL578" s="61"/>
      <c r="AM578" s="348"/>
      <c r="AN578" s="61"/>
      <c r="AO578" s="346"/>
      <c r="AP578" s="61"/>
      <c r="AQ578" s="346">
        <f>AQ528/AQ$533*100</f>
        <v>0</v>
      </c>
      <c r="AR578" s="61" t="str">
        <f>IF(ISERROR((AQ578/AI578-1)*100),"NA",IF(((AQ578/AI578-1)*100)&gt;100,"NM",IF(((AQ578/AI578-1)*100)&lt;-50,"NM",(AQ578/AI578-1)*100)))</f>
        <v>NA</v>
      </c>
      <c r="AS578" s="346">
        <f>AS528/AS$533*100</f>
        <v>0</v>
      </c>
      <c r="AT578" s="61" t="str">
        <f>IF(ISERROR((AS578/AK578-1)*100),"NA",IF(((AS578/AK578-1)*100)&gt;100,"NM",IF(((AS578/AK578-1)*100)&lt;-50,"NM",(AS578/AK578-1)*100)))</f>
        <v>NA</v>
      </c>
      <c r="AU578" s="346">
        <f>AU528/AU$533*100</f>
        <v>0</v>
      </c>
      <c r="AV578" s="61" t="str">
        <f>IF(ISERROR((AU578/AM578-1)*100),"NA",IF(((AU578/AM578-1)*100)&gt;100,"NM",IF(((AU578/AM578-1)*100)&lt;-50,"NM",(AU578/AM578-1)*100)))</f>
        <v>NA</v>
      </c>
      <c r="AW578" s="346">
        <f>AW528/AW$533*100</f>
        <v>0</v>
      </c>
      <c r="AX578" s="61" t="str">
        <f>IF(ISERROR((AW578/AO578-1)*100),"NA",IF(((AW578/AO578-1)*100)&gt;100,"NM",IF(((AW578/AO578-1)*100)&lt;-50,"NM",(AW578/AO578-1)*100)))</f>
        <v>NA</v>
      </c>
      <c r="AY578" s="346">
        <f>AY528/AY$533*100</f>
        <v>0</v>
      </c>
      <c r="AZ578" s="61" t="str">
        <f>IF(ISERROR((AY578/AQ578-1)*100),"NA",IF(((AY578/AQ578-1)*100)&gt;100,"NM",IF(((AY578/AQ578-1)*100)&lt;-50,"NM",(AY578/AQ578-1)*100)))</f>
        <v>NA</v>
      </c>
      <c r="BA578" s="346">
        <f>BA528/BA$533*100</f>
        <v>0</v>
      </c>
      <c r="BB578" s="61" t="str">
        <f>IF(ISERROR((BA578/AS578-1)*100),"NA",IF(((BA578/AS578-1)*100)&gt;100,"NM",IF(((BA578/AS578-1)*100)&lt;-50,"NM",(BA578/AS578-1)*100)))</f>
        <v>NA</v>
      </c>
      <c r="BC578" s="346">
        <f>BC528/BC$533*100</f>
        <v>0</v>
      </c>
      <c r="BD578" s="61" t="str">
        <f>IF(ISERROR((BC578/AU578-1)*100),"NA",IF(((BC578/AU578-1)*100)&gt;100,"NM",IF(((BC578/AU578-1)*100)&lt;-50,"NM",(BC578/AU578-1)*100)))</f>
        <v>NA</v>
      </c>
      <c r="BE578" s="346">
        <f>BE528/BE$533*100</f>
        <v>0</v>
      </c>
      <c r="BF578" s="61" t="str">
        <f>IF(ISERROR((BE578/AW578-1)*100),"NA",IF(((BE578/AW578-1)*100)&gt;100,"NM",IF(((BE578/AW578-1)*100)&lt;-50,"NM",(BE578/AW578-1)*100)))</f>
        <v>NA</v>
      </c>
      <c r="BG578" s="346">
        <f>BG528/BG$533*100</f>
        <v>0</v>
      </c>
      <c r="BH578" s="61" t="str">
        <f>IF(ISERROR((BG578/AY578-1)*100),"NA",IF(((BG578/AY578-1)*100)&gt;100,"NM",IF(((BG578/AY578-1)*100)&lt;-50,"NM",(BG578/AY578-1)*100)))</f>
        <v>NA</v>
      </c>
      <c r="BI578" s="346">
        <f>BI528/BI$533*100</f>
        <v>0</v>
      </c>
      <c r="BJ578" s="61" t="str">
        <f>IF(ISERROR((BI578/BA578-1)*100),"NA",IF(((BI578/BA578-1)*100)&gt;100,"NM",IF(((BI578/BA578-1)*100)&lt;-50,"NM",(BI578/BA578-1)*100)))</f>
        <v>NA</v>
      </c>
      <c r="BK578" s="346">
        <f>BK528/BK$533*100</f>
        <v>0</v>
      </c>
      <c r="BL578" s="61" t="str">
        <f>IF(ISERROR((BK578/BC578-1)*100),"NA",IF(((BK578/BC578-1)*100)&gt;100,"NM",IF(((BK578/BC578-1)*100)&lt;-50,"NM",(BK578/BC578-1)*100)))</f>
        <v>NA</v>
      </c>
      <c r="BM578" s="346">
        <f>BM528/BM$533*100</f>
        <v>0</v>
      </c>
      <c r="BN578" s="61" t="str">
        <f>IF(ISERROR((BM578/BE578-1)*100),"NA",IF(((BM578/BE578-1)*100)&gt;100,"NM",IF(((BM578/BE578-1)*100)&lt;-50,"NM",(BM578/BE578-1)*100)))</f>
        <v>NA</v>
      </c>
      <c r="BO578" s="346">
        <f>BO528/BO$533*100</f>
        <v>0</v>
      </c>
      <c r="BP578" s="61" t="str">
        <f>IF(ISERROR((BO578/BG578-1)*100),"NA",IF(((BO578/BG578-1)*100)&gt;100,"NM",IF(((BO578/BG578-1)*100)&lt;-50,"NM",(BO578/BG578-1)*100)))</f>
        <v>NA</v>
      </c>
      <c r="BQ578" s="346">
        <f>BQ528/BQ$533*100</f>
        <v>0</v>
      </c>
      <c r="BR578" s="61" t="str">
        <f>IF(ISERROR((BQ578/BI578-1)*100),"NA",IF(((BQ578/BI578-1)*100)&gt;100,"NM",IF(((BQ578/BI578-1)*100)&lt;-50,"NM",(BQ578/BI578-1)*100)))</f>
        <v>NA</v>
      </c>
      <c r="BS578" s="346">
        <f>BS528/BS$533*100</f>
        <v>0</v>
      </c>
      <c r="BT578" s="61" t="str">
        <f>IF(ISERROR((BS578/BK578-1)*100),"NA",IF(((BS578/BK578-1)*100)&gt;100,"NM",IF(((BS578/BK578-1)*100)&lt;-50,"NM",(BS578/BK578-1)*100)))</f>
        <v>NA</v>
      </c>
      <c r="BU578" s="346">
        <f>BU528/BU$533*100</f>
        <v>0</v>
      </c>
      <c r="BV578" s="61" t="str">
        <f>IF(ISERROR((BU578/BM578-1)*100),"NA",IF(((BU578/BM578-1)*100)&gt;100,"NM",IF(((BU578/BM578-1)*100)&lt;-50,"NM",(BU578/BM578-1)*100)))</f>
        <v>NA</v>
      </c>
      <c r="BW578" s="346">
        <f t="shared" ref="BW578:BW583" si="3214">BW528/BW$533*100</f>
        <v>0</v>
      </c>
      <c r="BX578" s="61" t="str">
        <f t="shared" si="3124"/>
        <v>NA</v>
      </c>
      <c r="BY578" s="346">
        <f t="shared" ref="BY578:BY583" si="3215">BY528/BY$533*100</f>
        <v>0</v>
      </c>
      <c r="BZ578" s="61" t="str">
        <f t="shared" si="3125"/>
        <v>NA</v>
      </c>
      <c r="CA578" s="346">
        <f t="shared" ref="CA578:CA583" si="3216">CA528/CA$533*100</f>
        <v>0</v>
      </c>
      <c r="CB578" s="61" t="str">
        <f t="shared" si="3126"/>
        <v>NA</v>
      </c>
      <c r="CC578" s="346">
        <f t="shared" ref="CC578:CC583" si="3217">CC528/CC$533*100</f>
        <v>0</v>
      </c>
      <c r="CD578" s="61" t="str">
        <f t="shared" si="3127"/>
        <v>NA</v>
      </c>
      <c r="CE578" s="346">
        <f t="shared" ref="CE578:CE583" si="3218">CE528/CE$533*100</f>
        <v>0</v>
      </c>
      <c r="CF578" s="61" t="str">
        <f t="shared" si="3128"/>
        <v>NA</v>
      </c>
      <c r="CG578" s="346">
        <f t="shared" ref="CG578:CG583" si="3219">CG528/CG$533*100</f>
        <v>0</v>
      </c>
      <c r="CH578" s="61" t="str">
        <f t="shared" si="3129"/>
        <v>NA</v>
      </c>
      <c r="CI578" s="346">
        <f t="shared" ref="CI578:CI583" si="3220">CI528/CI$533*100</f>
        <v>0</v>
      </c>
      <c r="CJ578" s="61" t="str">
        <f t="shared" si="3130"/>
        <v>NA</v>
      </c>
      <c r="CK578" s="346">
        <f t="shared" ref="CK578:CK583" si="3221">CK528/CK$533*100</f>
        <v>0</v>
      </c>
      <c r="CL578" s="61" t="str">
        <f t="shared" si="3131"/>
        <v>NA</v>
      </c>
      <c r="CM578" s="346">
        <f t="shared" ref="CM578:CM583" si="3222">CM528/CM$533*100</f>
        <v>0</v>
      </c>
      <c r="CN578" s="61" t="str">
        <f t="shared" si="3132"/>
        <v>NA</v>
      </c>
      <c r="CO578" s="346">
        <f t="shared" ref="CO578:CO583" si="3223">CO528/CO$533*100</f>
        <v>0</v>
      </c>
      <c r="CP578" s="61" t="str">
        <f t="shared" si="3133"/>
        <v>NA</v>
      </c>
      <c r="CQ578" s="346">
        <f t="shared" ref="CQ578:CQ583" si="3224">CQ528/CQ$533*100</f>
        <v>0</v>
      </c>
      <c r="CR578" s="61" t="str">
        <f t="shared" si="3134"/>
        <v>NA</v>
      </c>
      <c r="CS578" s="346">
        <f t="shared" ref="CS578:CS583" si="3225">CS528/CS$533*100</f>
        <v>0</v>
      </c>
      <c r="CT578" s="61" t="str">
        <f t="shared" si="3135"/>
        <v>NA</v>
      </c>
      <c r="CU578" s="346">
        <f t="shared" ref="CU578:CU583" si="3226">CU528/CU$533*100</f>
        <v>0</v>
      </c>
      <c r="CV578" s="61" t="str">
        <f t="shared" si="3136"/>
        <v>NA</v>
      </c>
      <c r="CW578" s="346">
        <f t="shared" ref="CW578:CY583" si="3227">CW528/CW$533*100</f>
        <v>0</v>
      </c>
      <c r="CX578" s="61" t="str">
        <f t="shared" si="3137"/>
        <v>NA</v>
      </c>
      <c r="CY578" s="346">
        <f t="shared" si="3227"/>
        <v>0</v>
      </c>
      <c r="CZ578" s="61" t="str">
        <f t="shared" si="3138"/>
        <v>NA</v>
      </c>
      <c r="DA578" s="346">
        <f t="shared" ref="DA578:DC583" si="3228">DA528/DA$533*100</f>
        <v>0</v>
      </c>
      <c r="DB578" s="61" t="str">
        <f t="shared" si="3139"/>
        <v>NA</v>
      </c>
      <c r="DC578" s="346">
        <f t="shared" si="3228"/>
        <v>0</v>
      </c>
      <c r="DD578" s="61" t="str">
        <f t="shared" si="3140"/>
        <v>NA</v>
      </c>
      <c r="DE578" s="346">
        <f t="shared" ref="DE578:DG583" si="3229">DE528/DE$533*100</f>
        <v>0</v>
      </c>
      <c r="DF578" s="61" t="str">
        <f t="shared" si="3141"/>
        <v>NA</v>
      </c>
      <c r="DG578" s="346">
        <f t="shared" si="3229"/>
        <v>0</v>
      </c>
      <c r="DH578" s="61" t="str">
        <f t="shared" si="3142"/>
        <v>NA</v>
      </c>
      <c r="DI578" s="346">
        <f t="shared" ref="DI578:DK583" si="3230">DI528/DI$533*100</f>
        <v>0</v>
      </c>
      <c r="DJ578" s="61" t="str">
        <f t="shared" si="3143"/>
        <v>NA</v>
      </c>
      <c r="DK578" s="346">
        <f t="shared" si="3230"/>
        <v>0</v>
      </c>
      <c r="DL578" s="61" t="str">
        <f t="shared" si="3144"/>
        <v>NA</v>
      </c>
      <c r="DM578" s="346">
        <f t="shared" ref="DM578:DO578" si="3231">DM528/DM$533*100</f>
        <v>0</v>
      </c>
      <c r="DN578" s="130" t="str">
        <f t="shared" si="3145"/>
        <v>NA</v>
      </c>
      <c r="DO578" s="346">
        <f t="shared" si="3231"/>
        <v>0</v>
      </c>
      <c r="DP578" s="130" t="str">
        <f t="shared" si="3145"/>
        <v>NA</v>
      </c>
      <c r="DQ578" s="346">
        <f t="shared" ref="DQ578:DS578" si="3232">DQ528/DQ$533*100</f>
        <v>0</v>
      </c>
      <c r="DR578" s="130" t="str">
        <f t="shared" si="3145"/>
        <v>NA</v>
      </c>
      <c r="DS578" s="346">
        <f t="shared" si="3232"/>
        <v>0</v>
      </c>
      <c r="DT578" s="130" t="str">
        <f t="shared" si="3145"/>
        <v>NA</v>
      </c>
      <c r="DU578" s="346">
        <f t="shared" ref="DU578:DW578" si="3233">DU528/DU$533*100</f>
        <v>0</v>
      </c>
      <c r="DV578" s="130" t="str">
        <f t="shared" si="3145"/>
        <v>NA</v>
      </c>
      <c r="DW578" s="346">
        <f t="shared" si="3233"/>
        <v>0</v>
      </c>
      <c r="DX578" s="346">
        <f t="shared" ref="DX578:DY578" si="3234">DX528/DX$533*100</f>
        <v>0</v>
      </c>
      <c r="DY578" s="346">
        <f t="shared" si="3234"/>
        <v>0</v>
      </c>
      <c r="DZ578" s="130" t="str">
        <f t="shared" si="3145"/>
        <v>NA</v>
      </c>
      <c r="EA578" s="346">
        <f t="shared" ref="EA578:EC578" si="3235">EA528/EA$533*100</f>
        <v>0</v>
      </c>
      <c r="EB578" s="130" t="str">
        <f t="shared" si="3148"/>
        <v>NA</v>
      </c>
      <c r="EC578" s="346">
        <f t="shared" si="3235"/>
        <v>0</v>
      </c>
      <c r="ED578" s="130" t="str">
        <f t="shared" si="3149"/>
        <v>NA</v>
      </c>
      <c r="EE578" s="346">
        <f t="shared" ref="EE578:EG578" si="3236">EE528/EE$533*100</f>
        <v>0</v>
      </c>
      <c r="EF578" s="130" t="str">
        <f t="shared" si="3151"/>
        <v>NA</v>
      </c>
      <c r="EG578" s="346">
        <f t="shared" si="3236"/>
        <v>0</v>
      </c>
      <c r="EH578" s="130" t="str">
        <f t="shared" si="3152"/>
        <v>NA</v>
      </c>
      <c r="EI578" s="346">
        <f t="shared" ref="EI578:EK578" si="3237">EI528/EI$533*100</f>
        <v>0</v>
      </c>
      <c r="EJ578" s="130" t="str">
        <f t="shared" si="3154"/>
        <v>NA</v>
      </c>
      <c r="EK578" s="346">
        <f t="shared" si="3237"/>
        <v>0</v>
      </c>
      <c r="EL578" s="130" t="str">
        <f t="shared" si="3155"/>
        <v>NA</v>
      </c>
      <c r="EM578" s="346">
        <f t="shared" ref="EM578" si="3238">EM528/EM$533*100</f>
        <v>0</v>
      </c>
      <c r="EN578" s="130" t="str">
        <f t="shared" si="3157"/>
        <v>NA</v>
      </c>
      <c r="EO578" s="346">
        <f t="shared" ref="EO578:EO583" si="3239">EO528/EO$533*100</f>
        <v>0</v>
      </c>
      <c r="EP578" s="130" t="str">
        <f t="shared" si="3159"/>
        <v>NA</v>
      </c>
      <c r="EQ578" s="346">
        <f t="shared" ref="EQ578" si="3240">EQ528/EQ$533*100</f>
        <v>0</v>
      </c>
      <c r="ER578" s="130" t="str">
        <f t="shared" si="3161"/>
        <v>NA</v>
      </c>
      <c r="ES578" s="346">
        <f t="shared" ref="ES578" si="3241">ES528/ES$533*100</f>
        <v>0</v>
      </c>
      <c r="ET578" s="130" t="str">
        <f t="shared" si="3162"/>
        <v>NA</v>
      </c>
      <c r="EU578" s="346">
        <f t="shared" ref="EU578" si="3242">EU528/EU$533*100</f>
        <v>0</v>
      </c>
      <c r="EV578" s="130" t="str">
        <f t="shared" si="3163"/>
        <v>NA</v>
      </c>
      <c r="EW578" s="346">
        <f t="shared" ref="EW578" si="3243">EW528/EW$533*100</f>
        <v>0</v>
      </c>
      <c r="EX578" s="130" t="str">
        <f t="shared" si="3164"/>
        <v>NA</v>
      </c>
      <c r="EY578" s="85"/>
      <c r="EZ578" s="558"/>
      <c r="FA578" s="85"/>
      <c r="FB578" s="346"/>
      <c r="FC578" s="86"/>
      <c r="FD578" s="346"/>
      <c r="FE578" s="87"/>
      <c r="FF578" s="346"/>
      <c r="FG578" s="87"/>
      <c r="FH578" s="346"/>
      <c r="FI578" s="87"/>
      <c r="FJ578" s="346"/>
      <c r="FK578" s="87"/>
      <c r="FL578" s="346"/>
      <c r="FM578" s="87"/>
      <c r="FN578" s="346"/>
      <c r="FO578" s="87"/>
      <c r="FP578" s="347">
        <f>FP528/FP$533*100</f>
        <v>0</v>
      </c>
      <c r="FQ578" s="61" t="str">
        <f>IF(ISERROR((FP578/FH578-1)*100),"NA",IF(((FP578/FH578-1)*100)&gt;100,"NM",IF(((FP578/FH578-1)*100)&lt;-50,"NM",(FP578/FH578-1)*100)))</f>
        <v>NA</v>
      </c>
      <c r="FR578" s="347">
        <f t="shared" ref="FR578:FR583" si="3244">FR528/FR$533*100</f>
        <v>0</v>
      </c>
      <c r="FS578" s="61" t="str">
        <f t="shared" si="3166"/>
        <v>NA</v>
      </c>
      <c r="FT578" s="347">
        <f t="shared" ref="FT578:FT583" si="3245">FT528/FT$533*100</f>
        <v>0</v>
      </c>
      <c r="FU578" s="61" t="str">
        <f t="shared" si="3167"/>
        <v>NA</v>
      </c>
      <c r="FV578" s="347">
        <f t="shared" ref="FV578:FV583" si="3246">FV528/FV$533*100</f>
        <v>0</v>
      </c>
      <c r="FW578" s="61" t="str">
        <f t="shared" si="3168"/>
        <v>NA</v>
      </c>
      <c r="FX578" s="347">
        <f t="shared" ref="FX578:FX583" si="3247">FX528/FX$533*100</f>
        <v>0</v>
      </c>
      <c r="FY578" s="61" t="str">
        <f t="shared" si="3169"/>
        <v>NA</v>
      </c>
      <c r="FZ578" s="347">
        <f t="shared" ref="FZ578:FZ583" si="3248">FZ528/FZ$533*100</f>
        <v>0</v>
      </c>
      <c r="GA578" s="61" t="str">
        <f t="shared" si="3170"/>
        <v>NA</v>
      </c>
      <c r="GB578" s="347">
        <f t="shared" ref="GB578:GB583" si="3249">GB528/GB$533*100</f>
        <v>0</v>
      </c>
      <c r="GC578" s="61" t="str">
        <f t="shared" si="3171"/>
        <v>NA</v>
      </c>
      <c r="GD578" s="347">
        <f t="shared" ref="GD578:GD583" si="3250">GD528/GD$533*100</f>
        <v>0</v>
      </c>
      <c r="GE578" s="61" t="str">
        <f t="shared" si="3172"/>
        <v>NA</v>
      </c>
      <c r="GF578" s="347">
        <f t="shared" ref="GF578:GF583" si="3251">GF528/GF$533*100</f>
        <v>0</v>
      </c>
      <c r="GG578" s="61" t="str">
        <f t="shared" si="3172"/>
        <v>NA</v>
      </c>
      <c r="GH578" s="347">
        <f t="shared" ref="GH578:GH583" si="3252">GH528/GH$533*100</f>
        <v>0</v>
      </c>
      <c r="GI578" s="61" t="str">
        <f t="shared" si="3172"/>
        <v>NA</v>
      </c>
      <c r="GJ578" s="347">
        <f t="shared" ref="GJ578:GJ583" si="3253">GJ528/GJ$533*100</f>
        <v>0</v>
      </c>
      <c r="GK578" s="61" t="str">
        <f t="shared" si="3172"/>
        <v>NA</v>
      </c>
      <c r="GL578" s="347">
        <f t="shared" ref="GL578:GL583" si="3254">GL528/GL$533*100</f>
        <v>0</v>
      </c>
      <c r="GM578" s="61" t="str">
        <f t="shared" si="3172"/>
        <v>NA</v>
      </c>
      <c r="GN578" s="347">
        <f t="shared" ref="GN578:GN583" si="3255">GN528/GN$533*100</f>
        <v>0</v>
      </c>
      <c r="GO578" s="61" t="str">
        <f t="shared" si="3172"/>
        <v>NA</v>
      </c>
      <c r="GP578" s="347">
        <f t="shared" ref="GP578:GP583" si="3256">GP528/GP$533*100</f>
        <v>0</v>
      </c>
      <c r="GQ578" s="61" t="str">
        <f t="shared" si="3172"/>
        <v>NA</v>
      </c>
      <c r="GR578" s="346">
        <f t="shared" ref="GR578:GR583" si="3257">GR528/GR$533*100</f>
        <v>0</v>
      </c>
      <c r="GS578" s="61" t="str">
        <f t="shared" si="3172"/>
        <v>NA</v>
      </c>
      <c r="GT578" s="346">
        <f t="shared" ref="GT578:GV578" si="3258">GT528/GT$533*100</f>
        <v>0</v>
      </c>
      <c r="GU578" s="61" t="str">
        <f t="shared" si="3172"/>
        <v>NA</v>
      </c>
      <c r="GV578" s="346">
        <f t="shared" si="3258"/>
        <v>0</v>
      </c>
      <c r="GW578" s="61" t="str">
        <f t="shared" si="3172"/>
        <v>NA</v>
      </c>
      <c r="GX578" s="346">
        <f t="shared" ref="GX578" si="3259">GX528/GX$533*100</f>
        <v>0</v>
      </c>
      <c r="GY578" s="61" t="str">
        <f t="shared" si="3173"/>
        <v>NA</v>
      </c>
      <c r="GZ578" s="61" t="str">
        <f t="shared" si="3107"/>
        <v/>
      </c>
      <c r="HA578" s="61"/>
      <c r="HB578" s="452"/>
      <c r="HC578"/>
      <c r="HD578"/>
      <c r="HE578"/>
      <c r="HF578"/>
      <c r="HG578"/>
      <c r="HH578"/>
    </row>
    <row r="579" spans="1:216" s="5" customFormat="1" ht="12.75" hidden="1" customHeight="1" outlineLevel="1" x14ac:dyDescent="0.2">
      <c r="A579" s="5" t="s">
        <v>670</v>
      </c>
      <c r="B579" s="2" t="s">
        <v>10</v>
      </c>
      <c r="C579" s="348"/>
      <c r="D579" s="70"/>
      <c r="E579" s="348"/>
      <c r="F579" s="71"/>
      <c r="G579" s="348"/>
      <c r="H579" s="71"/>
      <c r="I579" s="348"/>
      <c r="J579" s="71"/>
      <c r="K579" s="348"/>
      <c r="L579" s="61"/>
      <c r="M579" s="348"/>
      <c r="N579" s="61"/>
      <c r="O579" s="348"/>
      <c r="P579" s="61"/>
      <c r="Q579" s="348"/>
      <c r="R579" s="61"/>
      <c r="S579" s="348"/>
      <c r="T579" s="61"/>
      <c r="U579" s="348"/>
      <c r="V579" s="61"/>
      <c r="W579" s="348"/>
      <c r="X579" s="61"/>
      <c r="Y579" s="348"/>
      <c r="Z579" s="61"/>
      <c r="AA579" s="348"/>
      <c r="AB579" s="61"/>
      <c r="AC579" s="348"/>
      <c r="AD579" s="61"/>
      <c r="AE579" s="348"/>
      <c r="AF579" s="61"/>
      <c r="AG579" s="348"/>
      <c r="AH579" s="61"/>
      <c r="AI579" s="348"/>
      <c r="AJ579" s="61"/>
      <c r="AK579" s="348"/>
      <c r="AL579" s="61"/>
      <c r="AM579" s="348"/>
      <c r="AN579" s="61"/>
      <c r="AO579" s="346"/>
      <c r="AP579" s="61"/>
      <c r="AQ579" s="346">
        <f>AQ529/AQ$533*100</f>
        <v>4.8095827219457012</v>
      </c>
      <c r="AR579" s="61" t="str">
        <f>IF(ISERROR((AQ579/AI579-1)*100),"NA",IF(((AQ579/AI579-1)*100)&gt;100,"NM",IF(((AQ579/AI579-1)*100)&lt;-50,"NM",(AQ579/AI579-1)*100)))</f>
        <v>NA</v>
      </c>
      <c r="AS579" s="346">
        <f>AS529/AS$533*100</f>
        <v>5.2652376284877098</v>
      </c>
      <c r="AT579" s="61" t="str">
        <f>IF(ISERROR((AS579/AK579-1)*100),"NA",IF(((AS579/AK579-1)*100)&gt;100,"NM",IF(((AS579/AK579-1)*100)&lt;-50,"NM",(AS579/AK579-1)*100)))</f>
        <v>NA</v>
      </c>
      <c r="AU579" s="346">
        <f>AU529/AU$533*100</f>
        <v>4.5596329400093545</v>
      </c>
      <c r="AV579" s="61" t="str">
        <f>IF(ISERROR((AU579/AM579-1)*100),"NA",IF(((AU579/AM579-1)*100)&gt;100,"NM",IF(((AU579/AM579-1)*100)&lt;-50,"NM",(AU579/AM579-1)*100)))</f>
        <v>NA</v>
      </c>
      <c r="AW579" s="346">
        <f>AW529/AW$533*100</f>
        <v>5.242760044403763</v>
      </c>
      <c r="AX579" s="61" t="str">
        <f>IF(ISERROR((AW579/AO579-1)*100),"NA",IF(((AW579/AO579-1)*100)&gt;100,"NM",IF(((AW579/AO579-1)*100)&lt;-50,"NM",(AW579/AO579-1)*100)))</f>
        <v>NA</v>
      </c>
      <c r="AY579" s="346">
        <f>AY529/AY$533*100</f>
        <v>4.3164885001619702</v>
      </c>
      <c r="AZ579" s="61">
        <f>IF(ISERROR((AY579/AQ579-1)*100),"NA",IF(((AY579/AQ579-1)*100)&gt;100,"NM",IF(((AY579/AQ579-1)*100)&lt;-50,"NM",(AY579/AQ579-1)*100)))</f>
        <v>-10.252328534319322</v>
      </c>
      <c r="BA579" s="346">
        <f>BA529/BA$533*100</f>
        <v>3.2805814032466185</v>
      </c>
      <c r="BB579" s="61">
        <f>IF(ISERROR((BA579/AS579-1)*100),"NA",IF(((BA579/AS579-1)*100)&gt;100,"NM",IF(((BA579/AS579-1)*100)&lt;-50,"NM",(BA579/AS579-1)*100)))</f>
        <v>-37.693573686077443</v>
      </c>
      <c r="BC579" s="346">
        <f>BC529/BC$533*100</f>
        <v>3.4459542171624427</v>
      </c>
      <c r="BD579" s="61">
        <f>IF(ISERROR((BC579/AU579-1)*100),"NA",IF(((BC579/AU579-1)*100)&gt;100,"NM",IF(((BC579/AU579-1)*100)&lt;-50,"NM",(BC579/AU579-1)*100)))</f>
        <v>-24.424745094604638</v>
      </c>
      <c r="BE579" s="346">
        <f>BE529/BE$533*100</f>
        <v>2.9305117993223564</v>
      </c>
      <c r="BF579" s="61">
        <f>IF(ISERROR((BE579/AW579-1)*100),"NA",IF(((BE579/AW579-1)*100)&gt;100,"NM",IF(((BE579/AW579-1)*100)&lt;-50,"NM",(BE579/AW579-1)*100)))</f>
        <v>-44.103644368571679</v>
      </c>
      <c r="BG579" s="346">
        <f>BG529/BG$533*100</f>
        <v>0</v>
      </c>
      <c r="BH579" s="61" t="str">
        <f>IF(ISERROR((BG579/AY579-1)*100),"NA",IF(((BG579/AY579-1)*100)&gt;100,"NM",IF(((BG579/AY579-1)*100)&lt;-50,"NM",(BG579/AY579-1)*100)))</f>
        <v>NM</v>
      </c>
      <c r="BI579" s="346">
        <f>BI529/BI$533*100</f>
        <v>0</v>
      </c>
      <c r="BJ579" s="61" t="str">
        <f>IF(ISERROR((BI579/BA579-1)*100),"NA",IF(((BI579/BA579-1)*100)&gt;100,"NM",IF(((BI579/BA579-1)*100)&lt;-50,"NM",(BI579/BA579-1)*100)))</f>
        <v>NM</v>
      </c>
      <c r="BK579" s="346">
        <f>BK529/BK$533*100</f>
        <v>0</v>
      </c>
      <c r="BL579" s="61" t="str">
        <f>IF(ISERROR((BK579/BC579-1)*100),"NA",IF(((BK579/BC579-1)*100)&gt;100,"NM",IF(((BK579/BC579-1)*100)&lt;-50,"NM",(BK579/BC579-1)*100)))</f>
        <v>NM</v>
      </c>
      <c r="BM579" s="346">
        <f>BM529/BM$533*100</f>
        <v>0</v>
      </c>
      <c r="BN579" s="61" t="str">
        <f>IF(ISERROR((BM579/BE579-1)*100),"NA",IF(((BM579/BE579-1)*100)&gt;100,"NM",IF(((BM579/BE579-1)*100)&lt;-50,"NM",(BM579/BE579-1)*100)))</f>
        <v>NM</v>
      </c>
      <c r="BO579" s="346">
        <f>BO529/BO$533*100</f>
        <v>0</v>
      </c>
      <c r="BP579" s="61" t="str">
        <f>IF(ISERROR((BO579/BG579-1)*100),"NA",IF(((BO579/BG579-1)*100)&gt;100,"NM",IF(((BO579/BG579-1)*100)&lt;-50,"NM",(BO579/BG579-1)*100)))</f>
        <v>NA</v>
      </c>
      <c r="BQ579" s="346">
        <f>BQ529/BQ$533*100</f>
        <v>0</v>
      </c>
      <c r="BR579" s="61" t="str">
        <f>IF(ISERROR((BQ579/BI579-1)*100),"NA",IF(((BQ579/BI579-1)*100)&gt;100,"NM",IF(((BQ579/BI579-1)*100)&lt;-50,"NM",(BQ579/BI579-1)*100)))</f>
        <v>NA</v>
      </c>
      <c r="BS579" s="346">
        <f>BS529/BS$533*100</f>
        <v>0</v>
      </c>
      <c r="BT579" s="61" t="str">
        <f>IF(ISERROR((BS579/BK579-1)*100),"NA",IF(((BS579/BK579-1)*100)&gt;100,"NM",IF(((BS579/BK579-1)*100)&lt;-50,"NM",(BS579/BK579-1)*100)))</f>
        <v>NA</v>
      </c>
      <c r="BU579" s="346">
        <f>BU529/BU$533*100</f>
        <v>0</v>
      </c>
      <c r="BV579" s="61" t="str">
        <f>IF(ISERROR((BU579/BM579-1)*100),"NA",IF(((BU579/BM579-1)*100)&gt;100,"NM",IF(((BU579/BM579-1)*100)&lt;-50,"NM",(BU579/BM579-1)*100)))</f>
        <v>NA</v>
      </c>
      <c r="BW579" s="346">
        <f t="shared" si="3214"/>
        <v>0</v>
      </c>
      <c r="BX579" s="61" t="str">
        <f t="shared" si="3124"/>
        <v>NA</v>
      </c>
      <c r="BY579" s="346">
        <f t="shared" si="3215"/>
        <v>0</v>
      </c>
      <c r="BZ579" s="61" t="str">
        <f t="shared" si="3125"/>
        <v>NA</v>
      </c>
      <c r="CA579" s="346">
        <f t="shared" si="3216"/>
        <v>0</v>
      </c>
      <c r="CB579" s="61" t="str">
        <f t="shared" si="3126"/>
        <v>NA</v>
      </c>
      <c r="CC579" s="346">
        <f t="shared" si="3217"/>
        <v>0</v>
      </c>
      <c r="CD579" s="61" t="str">
        <f t="shared" si="3127"/>
        <v>NA</v>
      </c>
      <c r="CE579" s="346">
        <f t="shared" si="3218"/>
        <v>0</v>
      </c>
      <c r="CF579" s="61" t="str">
        <f t="shared" si="3128"/>
        <v>NA</v>
      </c>
      <c r="CG579" s="346">
        <f t="shared" si="3219"/>
        <v>0</v>
      </c>
      <c r="CH579" s="61" t="str">
        <f t="shared" si="3129"/>
        <v>NA</v>
      </c>
      <c r="CI579" s="346">
        <f t="shared" si="3220"/>
        <v>0</v>
      </c>
      <c r="CJ579" s="61" t="str">
        <f t="shared" si="3130"/>
        <v>NA</v>
      </c>
      <c r="CK579" s="346">
        <f t="shared" si="3221"/>
        <v>0</v>
      </c>
      <c r="CL579" s="61" t="str">
        <f t="shared" si="3131"/>
        <v>NA</v>
      </c>
      <c r="CM579" s="346">
        <f t="shared" si="3222"/>
        <v>0</v>
      </c>
      <c r="CN579" s="61" t="str">
        <f t="shared" si="3132"/>
        <v>NA</v>
      </c>
      <c r="CO579" s="346">
        <f t="shared" si="3223"/>
        <v>0</v>
      </c>
      <c r="CP579" s="61" t="str">
        <f t="shared" si="3133"/>
        <v>NA</v>
      </c>
      <c r="CQ579" s="346">
        <f t="shared" si="3224"/>
        <v>0</v>
      </c>
      <c r="CR579" s="61" t="str">
        <f t="shared" si="3134"/>
        <v>NA</v>
      </c>
      <c r="CS579" s="346">
        <f t="shared" si="3225"/>
        <v>0</v>
      </c>
      <c r="CT579" s="61" t="str">
        <f t="shared" si="3135"/>
        <v>NA</v>
      </c>
      <c r="CU579" s="346">
        <f t="shared" si="3226"/>
        <v>0</v>
      </c>
      <c r="CV579" s="61" t="str">
        <f t="shared" si="3136"/>
        <v>NA</v>
      </c>
      <c r="CW579" s="346">
        <f t="shared" si="3227"/>
        <v>0</v>
      </c>
      <c r="CX579" s="61" t="str">
        <f t="shared" si="3137"/>
        <v>NA</v>
      </c>
      <c r="CY579" s="346">
        <f t="shared" si="3227"/>
        <v>0</v>
      </c>
      <c r="CZ579" s="61" t="str">
        <f t="shared" si="3138"/>
        <v>NA</v>
      </c>
      <c r="DA579" s="346">
        <f t="shared" si="3228"/>
        <v>0</v>
      </c>
      <c r="DB579" s="61" t="str">
        <f t="shared" si="3139"/>
        <v>NA</v>
      </c>
      <c r="DC579" s="346">
        <f t="shared" si="3228"/>
        <v>0</v>
      </c>
      <c r="DD579" s="61" t="str">
        <f t="shared" si="3140"/>
        <v>NA</v>
      </c>
      <c r="DE579" s="346">
        <f t="shared" si="3229"/>
        <v>0</v>
      </c>
      <c r="DF579" s="61" t="str">
        <f t="shared" si="3141"/>
        <v>NA</v>
      </c>
      <c r="DG579" s="346">
        <f t="shared" si="3229"/>
        <v>0</v>
      </c>
      <c r="DH579" s="61" t="str">
        <f t="shared" si="3142"/>
        <v>NA</v>
      </c>
      <c r="DI579" s="346">
        <f t="shared" si="3230"/>
        <v>0</v>
      </c>
      <c r="DJ579" s="61" t="str">
        <f t="shared" si="3143"/>
        <v>NA</v>
      </c>
      <c r="DK579" s="346">
        <f t="shared" si="3230"/>
        <v>0</v>
      </c>
      <c r="DL579" s="61" t="str">
        <f t="shared" si="3144"/>
        <v>NA</v>
      </c>
      <c r="DM579" s="346">
        <f t="shared" ref="DM579:DO579" si="3260">DM529/DM$533*100</f>
        <v>0</v>
      </c>
      <c r="DN579" s="130" t="str">
        <f t="shared" si="3145"/>
        <v>NA</v>
      </c>
      <c r="DO579" s="346">
        <f t="shared" si="3260"/>
        <v>0</v>
      </c>
      <c r="DP579" s="130" t="str">
        <f t="shared" si="3145"/>
        <v>NA</v>
      </c>
      <c r="DQ579" s="346">
        <f t="shared" ref="DQ579:DS579" si="3261">DQ529/DQ$533*100</f>
        <v>0</v>
      </c>
      <c r="DR579" s="130" t="str">
        <f t="shared" si="3145"/>
        <v>NA</v>
      </c>
      <c r="DS579" s="346">
        <f t="shared" si="3261"/>
        <v>0</v>
      </c>
      <c r="DT579" s="130" t="str">
        <f t="shared" si="3145"/>
        <v>NA</v>
      </c>
      <c r="DU579" s="346">
        <f t="shared" ref="DU579:DW579" si="3262">DU529/DU$533*100</f>
        <v>0</v>
      </c>
      <c r="DV579" s="130" t="str">
        <f t="shared" si="3145"/>
        <v>NA</v>
      </c>
      <c r="DW579" s="346">
        <f t="shared" si="3262"/>
        <v>0</v>
      </c>
      <c r="DX579" s="346">
        <f t="shared" ref="DX579:DY579" si="3263">DX529/DX$533*100</f>
        <v>0</v>
      </c>
      <c r="DY579" s="346">
        <f t="shared" si="3263"/>
        <v>0</v>
      </c>
      <c r="DZ579" s="130" t="str">
        <f t="shared" si="3145"/>
        <v>NA</v>
      </c>
      <c r="EA579" s="346">
        <f t="shared" ref="EA579:EC579" si="3264">EA529/EA$533*100</f>
        <v>0</v>
      </c>
      <c r="EB579" s="130" t="str">
        <f t="shared" si="3148"/>
        <v>NA</v>
      </c>
      <c r="EC579" s="346">
        <f t="shared" si="3264"/>
        <v>0</v>
      </c>
      <c r="ED579" s="130" t="str">
        <f t="shared" si="3149"/>
        <v>NA</v>
      </c>
      <c r="EE579" s="346">
        <f t="shared" ref="EE579:EG579" si="3265">EE529/EE$533*100</f>
        <v>0</v>
      </c>
      <c r="EF579" s="130" t="str">
        <f t="shared" si="3151"/>
        <v>NA</v>
      </c>
      <c r="EG579" s="346">
        <f t="shared" si="3265"/>
        <v>0</v>
      </c>
      <c r="EH579" s="130" t="str">
        <f t="shared" si="3152"/>
        <v>NA</v>
      </c>
      <c r="EI579" s="346">
        <f t="shared" ref="EI579:EK579" si="3266">EI529/EI$533*100</f>
        <v>0</v>
      </c>
      <c r="EJ579" s="130" t="str">
        <f t="shared" si="3154"/>
        <v>NA</v>
      </c>
      <c r="EK579" s="346">
        <f t="shared" si="3266"/>
        <v>0</v>
      </c>
      <c r="EL579" s="130" t="str">
        <f t="shared" si="3155"/>
        <v>NA</v>
      </c>
      <c r="EM579" s="346">
        <f t="shared" ref="EM579" si="3267">EM529/EM$533*100</f>
        <v>0</v>
      </c>
      <c r="EN579" s="130" t="str">
        <f t="shared" si="3157"/>
        <v>NA</v>
      </c>
      <c r="EO579" s="346">
        <f t="shared" si="3239"/>
        <v>0</v>
      </c>
      <c r="EP579" s="130" t="str">
        <f t="shared" si="3159"/>
        <v>NA</v>
      </c>
      <c r="EQ579" s="346">
        <f t="shared" ref="EQ579" si="3268">EQ529/EQ$533*100</f>
        <v>0</v>
      </c>
      <c r="ER579" s="130" t="str">
        <f t="shared" si="3161"/>
        <v>NA</v>
      </c>
      <c r="ES579" s="346">
        <f t="shared" ref="ES579" si="3269">ES529/ES$533*100</f>
        <v>0</v>
      </c>
      <c r="ET579" s="130" t="str">
        <f t="shared" si="3162"/>
        <v>NA</v>
      </c>
      <c r="EU579" s="346">
        <f t="shared" ref="EU579" si="3270">EU529/EU$533*100</f>
        <v>0</v>
      </c>
      <c r="EV579" s="130" t="str">
        <f t="shared" si="3163"/>
        <v>NA</v>
      </c>
      <c r="EW579" s="346">
        <f t="shared" ref="EW579" si="3271">EW529/EW$533*100</f>
        <v>0</v>
      </c>
      <c r="EX579" s="130" t="str">
        <f t="shared" si="3164"/>
        <v>NA</v>
      </c>
      <c r="EY579" s="85"/>
      <c r="EZ579" s="558"/>
      <c r="FA579" s="85"/>
      <c r="FB579" s="346"/>
      <c r="FC579" s="86"/>
      <c r="FD579" s="346"/>
      <c r="FE579" s="87"/>
      <c r="FF579" s="346"/>
      <c r="FG579" s="87"/>
      <c r="FH579" s="346"/>
      <c r="FI579" s="87"/>
      <c r="FJ579" s="346"/>
      <c r="FK579" s="87"/>
      <c r="FL579" s="346"/>
      <c r="FM579" s="87"/>
      <c r="FN579" s="346"/>
      <c r="FO579" s="87"/>
      <c r="FP579" s="347">
        <f>FP529/FP$533*100</f>
        <v>4.9792712397937038</v>
      </c>
      <c r="FQ579" s="61" t="str">
        <f>IF(ISERROR((FP579/FH579-1)*100),"NA",IF(((FP579/FH579-1)*100)&gt;100,"NM",IF(((FP579/FH579-1)*100)&lt;-50,"NM",(FP579/FH579-1)*100)))</f>
        <v>NA</v>
      </c>
      <c r="FR579" s="347">
        <f t="shared" si="3244"/>
        <v>3.4400318767432587</v>
      </c>
      <c r="FS579" s="61">
        <f t="shared" si="3166"/>
        <v>-30.91294466445289</v>
      </c>
      <c r="FT579" s="347">
        <f t="shared" si="3245"/>
        <v>0</v>
      </c>
      <c r="FU579" s="61" t="str">
        <f t="shared" si="3167"/>
        <v>NM</v>
      </c>
      <c r="FV579" s="347">
        <f t="shared" si="3246"/>
        <v>0</v>
      </c>
      <c r="FW579" s="61" t="str">
        <f t="shared" si="3168"/>
        <v>NA</v>
      </c>
      <c r="FX579" s="347">
        <f t="shared" si="3247"/>
        <v>0</v>
      </c>
      <c r="FY579" s="61" t="str">
        <f t="shared" si="3169"/>
        <v>NA</v>
      </c>
      <c r="FZ579" s="347">
        <f t="shared" si="3248"/>
        <v>0</v>
      </c>
      <c r="GA579" s="61" t="str">
        <f t="shared" si="3170"/>
        <v>NA</v>
      </c>
      <c r="GB579" s="347">
        <f t="shared" si="3249"/>
        <v>0</v>
      </c>
      <c r="GC579" s="61" t="str">
        <f t="shared" si="3171"/>
        <v>NA</v>
      </c>
      <c r="GD579" s="347">
        <f t="shared" si="3250"/>
        <v>0</v>
      </c>
      <c r="GE579" s="61" t="str">
        <f t="shared" si="3172"/>
        <v>NA</v>
      </c>
      <c r="GF579" s="347">
        <f t="shared" si="3251"/>
        <v>0</v>
      </c>
      <c r="GG579" s="61" t="str">
        <f t="shared" si="3172"/>
        <v>NA</v>
      </c>
      <c r="GH579" s="347">
        <f t="shared" si="3252"/>
        <v>0</v>
      </c>
      <c r="GI579" s="61" t="str">
        <f t="shared" si="3172"/>
        <v>NA</v>
      </c>
      <c r="GJ579" s="347">
        <f t="shared" si="3253"/>
        <v>0</v>
      </c>
      <c r="GK579" s="61" t="str">
        <f t="shared" si="3172"/>
        <v>NA</v>
      </c>
      <c r="GL579" s="347">
        <f t="shared" si="3254"/>
        <v>0</v>
      </c>
      <c r="GM579" s="61" t="str">
        <f t="shared" si="3172"/>
        <v>NA</v>
      </c>
      <c r="GN579" s="347">
        <f t="shared" si="3255"/>
        <v>0</v>
      </c>
      <c r="GO579" s="61" t="str">
        <f t="shared" si="3172"/>
        <v>NA</v>
      </c>
      <c r="GP579" s="347">
        <f t="shared" si="3256"/>
        <v>0</v>
      </c>
      <c r="GQ579" s="61" t="str">
        <f t="shared" si="3172"/>
        <v>NA</v>
      </c>
      <c r="GR579" s="346">
        <f t="shared" si="3257"/>
        <v>0</v>
      </c>
      <c r="GS579" s="61" t="str">
        <f t="shared" si="3172"/>
        <v>NA</v>
      </c>
      <c r="GT579" s="346">
        <f t="shared" ref="GT579:GV579" si="3272">GT529/GT$533*100</f>
        <v>0</v>
      </c>
      <c r="GU579" s="61" t="str">
        <f t="shared" si="3172"/>
        <v>NA</v>
      </c>
      <c r="GV579" s="346">
        <f t="shared" si="3272"/>
        <v>0</v>
      </c>
      <c r="GW579" s="61" t="str">
        <f t="shared" si="3172"/>
        <v>NA</v>
      </c>
      <c r="GX579" s="346">
        <f t="shared" ref="GX579" si="3273">GX529/GX$533*100</f>
        <v>0</v>
      </c>
      <c r="GY579" s="61" t="str">
        <f t="shared" si="3173"/>
        <v>NA</v>
      </c>
      <c r="GZ579" s="61" t="str">
        <f t="shared" si="3107"/>
        <v/>
      </c>
      <c r="HA579" s="61"/>
      <c r="HB579" s="452"/>
      <c r="HC579"/>
      <c r="HD579"/>
      <c r="HE579"/>
      <c r="HF579"/>
      <c r="HG579"/>
      <c r="HH579"/>
    </row>
    <row r="580" spans="1:216" s="5" customFormat="1" ht="12.75" hidden="1" customHeight="1" outlineLevel="1" x14ac:dyDescent="0.2">
      <c r="A580" s="5" t="s">
        <v>580</v>
      </c>
      <c r="B580" s="2" t="s">
        <v>461</v>
      </c>
      <c r="C580" s="348"/>
      <c r="D580" s="70"/>
      <c r="E580" s="348"/>
      <c r="F580" s="71"/>
      <c r="G580" s="348"/>
      <c r="H580" s="71"/>
      <c r="I580" s="348"/>
      <c r="J580" s="71"/>
      <c r="K580" s="348"/>
      <c r="L580" s="61"/>
      <c r="M580" s="348"/>
      <c r="N580" s="61"/>
      <c r="O580" s="348"/>
      <c r="P580" s="61"/>
      <c r="Q580" s="348"/>
      <c r="R580" s="61"/>
      <c r="S580" s="348"/>
      <c r="T580" s="61"/>
      <c r="U580" s="348"/>
      <c r="V580" s="61"/>
      <c r="W580" s="348"/>
      <c r="X580" s="61"/>
      <c r="Y580" s="348"/>
      <c r="Z580" s="61"/>
      <c r="AA580" s="348"/>
      <c r="AB580" s="61"/>
      <c r="AC580" s="348"/>
      <c r="AD580" s="61"/>
      <c r="AE580" s="348"/>
      <c r="AF580" s="61"/>
      <c r="AG580" s="348"/>
      <c r="AH580" s="61"/>
      <c r="AI580" s="348"/>
      <c r="AJ580" s="61"/>
      <c r="AK580" s="348"/>
      <c r="AL580" s="61"/>
      <c r="AM580" s="348"/>
      <c r="AN580" s="61"/>
      <c r="AO580" s="346"/>
      <c r="AP580" s="61"/>
      <c r="AQ580" s="346"/>
      <c r="AR580" s="61"/>
      <c r="AS580" s="346"/>
      <c r="AT580" s="61"/>
      <c r="AU580" s="346"/>
      <c r="AV580" s="61"/>
      <c r="AW580" s="346"/>
      <c r="AX580" s="61"/>
      <c r="AY580" s="346"/>
      <c r="AZ580" s="61"/>
      <c r="BA580" s="346"/>
      <c r="BB580" s="61"/>
      <c r="BC580" s="346"/>
      <c r="BD580" s="61"/>
      <c r="BE580" s="346"/>
      <c r="BF580" s="61"/>
      <c r="BG580" s="346"/>
      <c r="BH580" s="61"/>
      <c r="BI580" s="346"/>
      <c r="BJ580" s="61"/>
      <c r="BK580" s="346"/>
      <c r="BL580" s="61"/>
      <c r="BM580" s="346"/>
      <c r="BN580" s="61"/>
      <c r="BO580" s="346"/>
      <c r="BP580" s="61"/>
      <c r="BQ580" s="346"/>
      <c r="BR580" s="61"/>
      <c r="BS580" s="346"/>
      <c r="BT580" s="61"/>
      <c r="BU580" s="346"/>
      <c r="BV580" s="61"/>
      <c r="BW580" s="346">
        <f t="shared" si="3214"/>
        <v>0</v>
      </c>
      <c r="BX580" s="61"/>
      <c r="BY580" s="346">
        <f t="shared" si="3215"/>
        <v>0</v>
      </c>
      <c r="BZ580" s="61"/>
      <c r="CA580" s="346">
        <f t="shared" si="3216"/>
        <v>0</v>
      </c>
      <c r="CB580" s="61"/>
      <c r="CC580" s="346">
        <f t="shared" si="3217"/>
        <v>0</v>
      </c>
      <c r="CD580" s="61"/>
      <c r="CE580" s="346">
        <f t="shared" si="3218"/>
        <v>0</v>
      </c>
      <c r="CF580" s="61"/>
      <c r="CG580" s="346">
        <f t="shared" si="3219"/>
        <v>0</v>
      </c>
      <c r="CH580" s="61"/>
      <c r="CI580" s="346">
        <f t="shared" si="3220"/>
        <v>0</v>
      </c>
      <c r="CJ580" s="61"/>
      <c r="CK580" s="346">
        <f t="shared" si="3221"/>
        <v>0</v>
      </c>
      <c r="CL580" s="61"/>
      <c r="CM580" s="346">
        <f t="shared" si="3222"/>
        <v>0</v>
      </c>
      <c r="CN580" s="61"/>
      <c r="CO580" s="346">
        <f t="shared" si="3223"/>
        <v>0</v>
      </c>
      <c r="CP580" s="61"/>
      <c r="CQ580" s="346">
        <f t="shared" si="3224"/>
        <v>0</v>
      </c>
      <c r="CR580" s="61"/>
      <c r="CS580" s="346">
        <f t="shared" si="3225"/>
        <v>0</v>
      </c>
      <c r="CT580" s="61"/>
      <c r="CU580" s="346">
        <f t="shared" si="3226"/>
        <v>0</v>
      </c>
      <c r="CV580" s="61"/>
      <c r="CW580" s="346">
        <f t="shared" si="3227"/>
        <v>0</v>
      </c>
      <c r="CX580" s="61"/>
      <c r="CY580" s="346">
        <f t="shared" si="3227"/>
        <v>0</v>
      </c>
      <c r="CZ580" s="61"/>
      <c r="DA580" s="346">
        <f t="shared" si="3228"/>
        <v>0</v>
      </c>
      <c r="DB580" s="61"/>
      <c r="DC580" s="346">
        <f t="shared" si="3228"/>
        <v>0</v>
      </c>
      <c r="DD580" s="61"/>
      <c r="DE580" s="346">
        <f t="shared" si="3229"/>
        <v>0</v>
      </c>
      <c r="DF580" s="61"/>
      <c r="DG580" s="346">
        <f t="shared" si="3229"/>
        <v>0</v>
      </c>
      <c r="DH580" s="61"/>
      <c r="DI580" s="346">
        <f t="shared" si="3230"/>
        <v>0</v>
      </c>
      <c r="DJ580" s="61"/>
      <c r="DK580" s="346">
        <f t="shared" si="3230"/>
        <v>0</v>
      </c>
      <c r="DL580" s="61"/>
      <c r="DM580" s="346">
        <f t="shared" ref="DM580:DO580" si="3274">DM530/DM$533*100</f>
        <v>0</v>
      </c>
      <c r="DN580" s="130" t="str">
        <f t="shared" si="3145"/>
        <v>NA</v>
      </c>
      <c r="DO580" s="346">
        <f t="shared" si="3274"/>
        <v>0</v>
      </c>
      <c r="DP580" s="130" t="str">
        <f t="shared" si="3145"/>
        <v>NA</v>
      </c>
      <c r="DQ580" s="346">
        <f t="shared" ref="DQ580:DS580" si="3275">DQ530/DQ$533*100</f>
        <v>0</v>
      </c>
      <c r="DR580" s="130" t="str">
        <f t="shared" si="3145"/>
        <v>NA</v>
      </c>
      <c r="DS580" s="346">
        <f t="shared" si="3275"/>
        <v>0</v>
      </c>
      <c r="DT580" s="130" t="str">
        <f t="shared" si="3145"/>
        <v>NA</v>
      </c>
      <c r="DU580" s="346">
        <f t="shared" ref="DU580:DW580" si="3276">DU530/DU$533*100</f>
        <v>0</v>
      </c>
      <c r="DV580" s="130" t="str">
        <f t="shared" si="3145"/>
        <v>NA</v>
      </c>
      <c r="DW580" s="346">
        <f t="shared" si="3276"/>
        <v>0</v>
      </c>
      <c r="DX580" s="346">
        <f t="shared" ref="DX580:DY580" si="3277">DX530/DX$533*100</f>
        <v>0</v>
      </c>
      <c r="DY580" s="346">
        <f t="shared" si="3277"/>
        <v>0</v>
      </c>
      <c r="DZ580" s="130" t="str">
        <f t="shared" si="3145"/>
        <v>NA</v>
      </c>
      <c r="EA580" s="346">
        <f t="shared" ref="EA580:EC580" si="3278">EA530/EA$533*100</f>
        <v>0</v>
      </c>
      <c r="EB580" s="130" t="str">
        <f t="shared" si="3148"/>
        <v>NA</v>
      </c>
      <c r="EC580" s="346">
        <f t="shared" si="3278"/>
        <v>0</v>
      </c>
      <c r="ED580" s="130" t="str">
        <f t="shared" si="3149"/>
        <v>NA</v>
      </c>
      <c r="EE580" s="346">
        <f t="shared" ref="EE580:EG580" si="3279">EE530/EE$533*100</f>
        <v>0</v>
      </c>
      <c r="EF580" s="130" t="str">
        <f t="shared" si="3151"/>
        <v>NA</v>
      </c>
      <c r="EG580" s="346">
        <f t="shared" si="3279"/>
        <v>0</v>
      </c>
      <c r="EH580" s="130" t="str">
        <f t="shared" si="3152"/>
        <v>NA</v>
      </c>
      <c r="EI580" s="346">
        <f t="shared" ref="EI580:EK580" si="3280">EI530/EI$533*100</f>
        <v>0</v>
      </c>
      <c r="EJ580" s="130" t="str">
        <f t="shared" si="3154"/>
        <v>NA</v>
      </c>
      <c r="EK580" s="346">
        <f t="shared" si="3280"/>
        <v>0</v>
      </c>
      <c r="EL580" s="130" t="str">
        <f t="shared" si="3155"/>
        <v>NA</v>
      </c>
      <c r="EM580" s="346">
        <f t="shared" ref="EM580" si="3281">EM530/EM$533*100</f>
        <v>0</v>
      </c>
      <c r="EN580" s="130" t="str">
        <f t="shared" si="3157"/>
        <v>NA</v>
      </c>
      <c r="EO580" s="346">
        <f t="shared" si="3239"/>
        <v>0</v>
      </c>
      <c r="EP580" s="130" t="str">
        <f t="shared" si="3159"/>
        <v>NA</v>
      </c>
      <c r="EQ580" s="346">
        <f t="shared" ref="EQ580" si="3282">EQ530/EQ$533*100</f>
        <v>0</v>
      </c>
      <c r="ER580" s="130" t="str">
        <f t="shared" si="3161"/>
        <v>NA</v>
      </c>
      <c r="ES580" s="346">
        <f t="shared" ref="ES580" si="3283">ES530/ES$533*100</f>
        <v>0</v>
      </c>
      <c r="ET580" s="130" t="str">
        <f t="shared" si="3162"/>
        <v>NA</v>
      </c>
      <c r="EU580" s="346">
        <f t="shared" ref="EU580" si="3284">EU530/EU$533*100</f>
        <v>0</v>
      </c>
      <c r="EV580" s="130" t="str">
        <f t="shared" si="3163"/>
        <v>NA</v>
      </c>
      <c r="EW580" s="346">
        <f t="shared" ref="EW580" si="3285">EW530/EW$533*100</f>
        <v>0</v>
      </c>
      <c r="EX580" s="130" t="str">
        <f t="shared" si="3164"/>
        <v>NA</v>
      </c>
      <c r="EY580" s="64"/>
      <c r="EZ580" s="558"/>
      <c r="FA580" s="64"/>
      <c r="FB580" s="348"/>
      <c r="FC580" s="71"/>
      <c r="FD580" s="348"/>
      <c r="FE580" s="70"/>
      <c r="FF580" s="348"/>
      <c r="FG580" s="70"/>
      <c r="FH580" s="348"/>
      <c r="FI580" s="70"/>
      <c r="FJ580" s="348"/>
      <c r="FK580" s="70"/>
      <c r="FL580" s="348"/>
      <c r="FM580" s="61"/>
      <c r="FN580" s="348"/>
      <c r="FO580" s="61"/>
      <c r="FP580" s="347"/>
      <c r="FQ580" s="61"/>
      <c r="FR580" s="347">
        <f t="shared" si="3244"/>
        <v>3.2872891486253155</v>
      </c>
      <c r="FS580" s="61" t="str">
        <f t="shared" si="3166"/>
        <v>NA</v>
      </c>
      <c r="FT580" s="347">
        <f t="shared" si="3245"/>
        <v>0</v>
      </c>
      <c r="FU580" s="61" t="str">
        <f t="shared" si="3167"/>
        <v>NM</v>
      </c>
      <c r="FV580" s="347">
        <f t="shared" si="3246"/>
        <v>0</v>
      </c>
      <c r="FW580" s="61" t="str">
        <f t="shared" si="3168"/>
        <v>NA</v>
      </c>
      <c r="FX580" s="347">
        <f t="shared" si="3247"/>
        <v>0</v>
      </c>
      <c r="FY580" s="61" t="str">
        <f t="shared" si="3169"/>
        <v>NA</v>
      </c>
      <c r="FZ580" s="347">
        <f t="shared" si="3248"/>
        <v>0</v>
      </c>
      <c r="GA580" s="61" t="str">
        <f t="shared" si="3170"/>
        <v>NA</v>
      </c>
      <c r="GB580" s="347">
        <f t="shared" si="3249"/>
        <v>0</v>
      </c>
      <c r="GC580" s="61" t="str">
        <f t="shared" si="3171"/>
        <v>NA</v>
      </c>
      <c r="GD580" s="347">
        <f t="shared" si="3250"/>
        <v>0</v>
      </c>
      <c r="GE580" s="61" t="str">
        <f t="shared" si="3172"/>
        <v>NA</v>
      </c>
      <c r="GF580" s="347">
        <f t="shared" si="3251"/>
        <v>0</v>
      </c>
      <c r="GG580" s="61" t="str">
        <f t="shared" si="3172"/>
        <v>NA</v>
      </c>
      <c r="GH580" s="347">
        <f t="shared" si="3252"/>
        <v>0</v>
      </c>
      <c r="GI580" s="61" t="str">
        <f t="shared" si="3172"/>
        <v>NA</v>
      </c>
      <c r="GJ580" s="347">
        <f t="shared" si="3253"/>
        <v>0</v>
      </c>
      <c r="GK580" s="61" t="str">
        <f t="shared" si="3172"/>
        <v>NA</v>
      </c>
      <c r="GL580" s="347">
        <f t="shared" si="3254"/>
        <v>0</v>
      </c>
      <c r="GM580" s="61" t="str">
        <f t="shared" si="3172"/>
        <v>NA</v>
      </c>
      <c r="GN580" s="347">
        <f t="shared" si="3255"/>
        <v>0</v>
      </c>
      <c r="GO580" s="61" t="str">
        <f t="shared" si="3172"/>
        <v>NA</v>
      </c>
      <c r="GP580" s="347">
        <f t="shared" si="3256"/>
        <v>0</v>
      </c>
      <c r="GQ580" s="61" t="str">
        <f t="shared" si="3172"/>
        <v>NA</v>
      </c>
      <c r="GR580" s="346">
        <f t="shared" si="3257"/>
        <v>0</v>
      </c>
      <c r="GS580" s="61" t="str">
        <f t="shared" si="3172"/>
        <v>NA</v>
      </c>
      <c r="GT580" s="346">
        <f t="shared" ref="GT580:GV580" si="3286">GT530/GT$533*100</f>
        <v>0</v>
      </c>
      <c r="GU580" s="61" t="str">
        <f t="shared" si="3172"/>
        <v>NA</v>
      </c>
      <c r="GV580" s="346">
        <f t="shared" si="3286"/>
        <v>0</v>
      </c>
      <c r="GW580" s="61" t="str">
        <f t="shared" si="3172"/>
        <v>NA</v>
      </c>
      <c r="GX580" s="346">
        <f t="shared" ref="GX580" si="3287">GX530/GX$533*100</f>
        <v>0</v>
      </c>
      <c r="GY580" s="61" t="str">
        <f t="shared" si="3173"/>
        <v>NA</v>
      </c>
      <c r="GZ580" s="61" t="str">
        <f t="shared" si="3107"/>
        <v/>
      </c>
      <c r="HA580" s="61"/>
      <c r="HB580" s="452"/>
      <c r="HC580"/>
      <c r="HD580"/>
      <c r="HE580"/>
      <c r="HF580"/>
      <c r="HG580"/>
      <c r="HH580"/>
    </row>
    <row r="581" spans="1:216" s="5" customFormat="1" ht="12.75" customHeight="1" collapsed="1" x14ac:dyDescent="0.2">
      <c r="A581" s="5" t="s">
        <v>104</v>
      </c>
      <c r="B581" s="2" t="s">
        <v>117</v>
      </c>
      <c r="C581" s="346"/>
      <c r="D581" s="70"/>
      <c r="E581" s="346"/>
      <c r="F581" s="71"/>
      <c r="G581" s="346"/>
      <c r="H581" s="71"/>
      <c r="I581" s="346"/>
      <c r="J581" s="71"/>
      <c r="K581" s="346"/>
      <c r="L581" s="61"/>
      <c r="M581" s="346"/>
      <c r="N581" s="61"/>
      <c r="O581" s="346"/>
      <c r="P581" s="61"/>
      <c r="Q581" s="346"/>
      <c r="R581" s="61"/>
      <c r="S581" s="346"/>
      <c r="T581" s="61"/>
      <c r="U581" s="346"/>
      <c r="V581" s="61"/>
      <c r="W581" s="346"/>
      <c r="X581" s="61"/>
      <c r="Y581" s="346"/>
      <c r="Z581" s="61"/>
      <c r="AA581" s="346"/>
      <c r="AB581" s="61"/>
      <c r="AC581" s="346"/>
      <c r="AD581" s="61"/>
      <c r="AE581" s="346"/>
      <c r="AF581" s="61"/>
      <c r="AG581" s="346"/>
      <c r="AH581" s="61"/>
      <c r="AI581" s="346"/>
      <c r="AJ581" s="61"/>
      <c r="AK581" s="346"/>
      <c r="AL581" s="61"/>
      <c r="AM581" s="346"/>
      <c r="AN581" s="61"/>
      <c r="AO581" s="346"/>
      <c r="AP581" s="61"/>
      <c r="AQ581" s="346">
        <f>AQ531/AQ$533*100</f>
        <v>-1.630367024388371</v>
      </c>
      <c r="AR581" s="61" t="str">
        <f>IF(ISERROR((AQ581/AI581-1)*100),"NA",IF(((AQ581/AI581-1)*100)&gt;100,"NM",IF(((AQ581/AI581-1)*100)&lt;-50,"NM",(AQ581/AI581-1)*100)))</f>
        <v>NA</v>
      </c>
      <c r="AS581" s="346">
        <f>AS531/AS$533*100</f>
        <v>3.3869949656938396</v>
      </c>
      <c r="AT581" s="61" t="str">
        <f>IF(ISERROR((AS581/AK581-1)*100),"NA",IF(((AS581/AK581-1)*100)&gt;100,"NM",IF(((AS581/AK581-1)*100)&lt;-50,"NM",(AS581/AK581-1)*100)))</f>
        <v>NA</v>
      </c>
      <c r="AU581" s="346">
        <f>AU531/AU$533*100</f>
        <v>3.6009653448818639</v>
      </c>
      <c r="AV581" s="61" t="str">
        <f>IF(ISERROR((AU581/AM581-1)*100),"NA",IF(((AU581/AM581-1)*100)&gt;100,"NM",IF(((AU581/AM581-1)*100)&lt;-50,"NM",(AU581/AM581-1)*100)))</f>
        <v>NA</v>
      </c>
      <c r="AW581" s="346">
        <f>AW531/AW$533*100</f>
        <v>3.7003135528852713</v>
      </c>
      <c r="AX581" s="61" t="str">
        <f>IF(ISERROR((AW581/AO581-1)*100),"NA",IF(((AW581/AO581-1)*100)&gt;100,"NM",IF(((AW581/AO581-1)*100)&lt;-50,"NM",(AW581/AO581-1)*100)))</f>
        <v>NA</v>
      </c>
      <c r="AY581" s="349">
        <f>AY531/AY$533*100</f>
        <v>8.098477486232597E-2</v>
      </c>
      <c r="AZ581" s="61" t="str">
        <f>IF(ISERROR((AY581/AQ581-1)*100),"NA",IF(((AY581/AQ581-1)*100)&gt;100,"NM",IF(((AY581/AQ581-1)*100)&lt;-50,"NM",(AY581/AQ581-1)*100)))</f>
        <v>NM</v>
      </c>
      <c r="BA581" s="349">
        <f>BA531/BA$533*100</f>
        <v>-9.8485363037424438</v>
      </c>
      <c r="BB581" s="61" t="str">
        <f>IF(ISERROR((BA581/AS581-1)*100),"NA",IF(((BA581/AS581-1)*100)&gt;100,"NM",IF(((BA581/AS581-1)*100)&lt;-50,"NM",(BA581/AS581-1)*100)))</f>
        <v>NM</v>
      </c>
      <c r="BC581" s="349">
        <f>BC531/BC$533*100</f>
        <v>-7.4672542538866429</v>
      </c>
      <c r="BD581" s="61" t="str">
        <f>IF(ISERROR((BC581/AU581-1)*100),"NA",IF(((BC581/AU581-1)*100)&gt;100,"NM",IF(((BC581/AU581-1)*100)&lt;-50,"NM",(BC581/AU581-1)*100)))</f>
        <v>NM</v>
      </c>
      <c r="BE581" s="349">
        <f>BE531/BE$533*100</f>
        <v>-10.521310111157346</v>
      </c>
      <c r="BF581" s="61" t="str">
        <f>IF(ISERROR((BE581/AW581-1)*100),"NA",IF(((BE581/AW581-1)*100)&gt;100,"NM",IF(((BE581/AW581-1)*100)&lt;-50,"NM",(BE581/AW581-1)*100)))</f>
        <v>NM</v>
      </c>
      <c r="BG581" s="349">
        <f>BG531/BG$533*100</f>
        <v>-8.6621454993834757</v>
      </c>
      <c r="BH581" s="61" t="str">
        <f>IF(ISERROR((BG581/AY581-1)*100),"NA",IF(((BG581/AY581-1)*100)&gt;100,"NM",IF(((BG581/AY581-1)*100)&lt;-50,"NM",(BG581/AY581-1)*100)))</f>
        <v>NM</v>
      </c>
      <c r="BI581" s="349">
        <f>BI531/BI$533*100</f>
        <v>-12.319063751154914</v>
      </c>
      <c r="BJ581" s="61">
        <f>IF(ISERROR((BI581/BA581-1)*100),"NA",IF(((BI581/BA581-1)*100)&gt;100,"NM",IF(((BI581/BA581-1)*100)&lt;-50,"NM",(BI581/BA581-1)*100)))</f>
        <v>25.085224557416417</v>
      </c>
      <c r="BK581" s="349">
        <f>BK531/BK$533*100</f>
        <v>-12.46644795705339</v>
      </c>
      <c r="BL581" s="61">
        <f>IF(ISERROR((BK581/BC581-1)*100),"NA",IF(((BK581/BC581-1)*100)&gt;100,"NM",IF(((BK581/BC581-1)*100)&lt;-50,"NM",(BK581/BC581-1)*100)))</f>
        <v>66.948218624867479</v>
      </c>
      <c r="BM581" s="349">
        <f>BM531/BM$533*100</f>
        <v>-11.584852734922858</v>
      </c>
      <c r="BN581" s="61">
        <f>IF(ISERROR((BM581/BE581-1)*100),"NA",IF(((BM581/BE581-1)*100)&gt;100,"NM",IF(((BM581/BE581-1)*100)&lt;-50,"NM",(BM581/BE581-1)*100)))</f>
        <v>10.108461898083165</v>
      </c>
      <c r="BO581" s="349">
        <f>BO531/BO$533*100</f>
        <v>-12.577996715927744</v>
      </c>
      <c r="BP581" s="61">
        <f>IF(ISERROR((BO581/BG581-1)*100),"NA",IF(((BO581/BG581-1)*100)&gt;100,"NM",IF(((BO581/BG581-1)*100)&lt;-50,"NM",(BO581/BG581-1)*100)))</f>
        <v>45.2064816600342</v>
      </c>
      <c r="BQ581" s="349">
        <f>BQ531/BQ$533*100</f>
        <v>-14.484769928710303</v>
      </c>
      <c r="BR581" s="61">
        <f>IF(ISERROR((BQ581/BI581-1)*100),"NA",IF(((BQ581/BI581-1)*100)&gt;100,"NM",IF(((BQ581/BI581-1)*100)&lt;-50,"NM",(BQ581/BI581-1)*100)))</f>
        <v>17.580119896305881</v>
      </c>
      <c r="BS581" s="349">
        <f>BS531/BS$533*100</f>
        <v>-12.666666666666663</v>
      </c>
      <c r="BT581" s="61">
        <f>IF(ISERROR((BS581/BK581-1)*100),"NA",IF(((BS581/BK581-1)*100)&gt;100,"NM",IF(((BS581/BK581-1)*100)&lt;-50,"NM",(BS581/BK581-1)*100)))</f>
        <v>1.606060606060522</v>
      </c>
      <c r="BU581" s="349">
        <f>BU531/BU$533*100</f>
        <v>-19.261337073398799</v>
      </c>
      <c r="BV581" s="61">
        <f>IF(ISERROR((BU581/BM581-1)*100),"NA",IF(((BU581/BM581-1)*100)&gt;100,"NM",IF(((BU581/BM581-1)*100)&lt;-50,"NM",(BU581/BM581-1)*100)))</f>
        <v>66.26311541565795</v>
      </c>
      <c r="BW581" s="349">
        <f t="shared" si="3214"/>
        <v>-38.925831202046027</v>
      </c>
      <c r="BX581" s="61" t="str">
        <f>IF(ISERROR((BW581/BO581-1)*100),"NA",IF(((BW581/BO581-1)*100)&gt;100,"NM",IF(((BW581/BO581-1)*100)&lt;-50,"NM",(BW581/BO581-1)*100)))</f>
        <v>NM</v>
      </c>
      <c r="BY581" s="349">
        <f t="shared" si="3215"/>
        <v>-25.22913651712491</v>
      </c>
      <c r="BZ581" s="61">
        <f>IF(ISERROR((BY581/BQ581-1)*100),"NA",IF(((BY581/BQ581-1)*100)&gt;100,"NM",IF(((BY581/BQ581-1)*100)&lt;-50,"NM",(BY581/BQ581-1)*100)))</f>
        <v>74.176991704356794</v>
      </c>
      <c r="CA581" s="349">
        <f t="shared" si="3216"/>
        <v>-12.466062483270244</v>
      </c>
      <c r="CB581" s="61">
        <f>IF(ISERROR((CA581/BS581-1)*100),"NA",IF(((CA581/BS581-1)*100)&gt;100,"NM",IF(((CA581/BS581-1)*100)&lt;-50,"NM",(CA581/BS581-1)*100)))</f>
        <v>-1.5837172373401431</v>
      </c>
      <c r="CC581" s="349">
        <f t="shared" si="3217"/>
        <v>-9.5095095095095044</v>
      </c>
      <c r="CD581" s="61" t="str">
        <f>IF(ISERROR((CC581/BU581-1)*100),"NA",IF(((CC581/BU581-1)*100)&gt;100,"NM",IF(((CC581/BU581-1)*100)&lt;-50,"NM",(CC581/BU581-1)*100)))</f>
        <v>NM</v>
      </c>
      <c r="CE581" s="349">
        <f t="shared" si="3218"/>
        <v>-11.511299435028247</v>
      </c>
      <c r="CF581" s="61" t="str">
        <f>IF(ISERROR((CE581/BW581-1)*100),"NA",IF(((CE581/BW581-1)*100)&gt;100,"NM",IF(((CE581/BW581-1)*100)&lt;-50,"NM",(CE581/BW581-1)*100)))</f>
        <v>NM</v>
      </c>
      <c r="CG581" s="349">
        <f t="shared" si="3219"/>
        <v>-12.41830065359477</v>
      </c>
      <c r="CH581" s="61" t="str">
        <f>IF(ISERROR((CG581/BY581-1)*100),"NA",IF(((CG581/BY581-1)*100)&gt;100,"NM",IF(((CG581/BY581-1)*100)&lt;-50,"NM",(CG581/BY581-1)*100)))</f>
        <v>NM</v>
      </c>
      <c r="CI581" s="349">
        <f t="shared" si="3220"/>
        <v>-12.67755681818182</v>
      </c>
      <c r="CJ581" s="61">
        <f>IF(ISERROR((CI581/CA581-1)*100),"NA",IF(((CI581/CA581-1)*100)&gt;100,"NM",IF(((CI581/CA581-1)*100)&lt;-50,"NM",(CI581/CA581-1)*100)))</f>
        <v>1.6965608442554014</v>
      </c>
      <c r="CK581" s="349">
        <f t="shared" si="3221"/>
        <v>-10.987903225806466</v>
      </c>
      <c r="CL581" s="61">
        <f>IF(ISERROR((CK581/CC581-1)*100),"NA",IF(((CK581/CC581-1)*100)&gt;100,"NM",IF(((CK581/CC581-1)*100)&lt;-50,"NM",(CK581/CC581-1)*100)))</f>
        <v>15.546477079796484</v>
      </c>
      <c r="CM581" s="349">
        <f t="shared" si="3222"/>
        <v>-13.011960855382377</v>
      </c>
      <c r="CN581" s="61">
        <f>IF(ISERROR((CM581/CE581-1)*100),"NA",IF(((CM581/CE581-1)*100)&gt;100,"NM",IF(((CM581/CE581-1)*100)&lt;-50,"NM",(CM581/CE581-1)*100)))</f>
        <v>13.036420682340166</v>
      </c>
      <c r="CO581" s="349">
        <f t="shared" si="3223"/>
        <v>-12.375386730835347</v>
      </c>
      <c r="CP581" s="61">
        <f>IF(ISERROR((CO581/CG581-1)*100),"NA",IF(((CO581/CG581-1)*100)&gt;100,"NM",IF(((CO581/CG581-1)*100)&lt;-50,"NM",(CO581/CG581-1)*100)))</f>
        <v>-0.34557000958903572</v>
      </c>
      <c r="CQ581" s="349">
        <f t="shared" si="3224"/>
        <v>-10.194950463406842</v>
      </c>
      <c r="CR581" s="61">
        <f>IF(ISERROR((CQ581/CI581-1)*100),"NA",IF(((CQ581/CI581-1)*100)&gt;100,"NM",IF(((CQ581/CI581-1)*100)&lt;-50,"NM",(CQ581/CI581-1)*100)))</f>
        <v>-19.582687661194221</v>
      </c>
      <c r="CS581" s="349">
        <f t="shared" si="3225"/>
        <v>-12.5</v>
      </c>
      <c r="CT581" s="61">
        <f>IF(ISERROR((CS581/CK581-1)*100),"NA",IF(((CS581/CK581-1)*100)&gt;100,"NM",IF(((CS581/CK581-1)*100)&lt;-50,"NM",(CS581/CK581-1)*100)))</f>
        <v>13.761467889908108</v>
      </c>
      <c r="CU581" s="349">
        <f t="shared" si="3226"/>
        <v>-11.604095563139932</v>
      </c>
      <c r="CV581" s="61">
        <f>IF(ISERROR((CU581/CM581-1)*100),"NA",IF(((CU581/CM581-1)*100)&gt;100,"NM",IF(((CU581/CM581-1)*100)&lt;-50,"NM",(CU581/CM581-1)*100)))</f>
        <v>-10.819778109462142</v>
      </c>
      <c r="CW581" s="349">
        <f t="shared" si="3227"/>
        <v>-11.525423728813559</v>
      </c>
      <c r="CX581" s="61">
        <f>IF(ISERROR((CW581/CO581-1)*100),"NA",IF(((CW581/CO581-1)*100)&gt;100,"NM",IF(((CW581/CO581-1)*100)&lt;-50,"NM",(CW581/CO581-1)*100)))</f>
        <v>-6.8681732580038286</v>
      </c>
      <c r="CY581" s="349">
        <f t="shared" si="3227"/>
        <v>-0.91463414634146334</v>
      </c>
      <c r="CZ581" s="61" t="str">
        <f>IF(ISERROR((CY581/CQ581-1)*100),"NA",IF(((CY581/CQ581-1)*100)&gt;100,"NM",IF(((CY581/CQ581-1)*100)&lt;-50,"NM",(CY581/CQ581-1)*100)))</f>
        <v>NM</v>
      </c>
      <c r="DA581" s="349">
        <f t="shared" si="3228"/>
        <v>-11.589403973509933</v>
      </c>
      <c r="DB581" s="61">
        <f>IF(ISERROR((DA581/CS581-1)*100),"NA",IF(((DA581/CS581-1)*100)&gt;100,"NM",IF(((DA581/CS581-1)*100)&lt;-50,"NM",(DA581/CS581-1)*100)))</f>
        <v>-7.2847682119205341</v>
      </c>
      <c r="DC581" s="349">
        <f t="shared" si="3228"/>
        <v>-9.0452867355895172</v>
      </c>
      <c r="DD581" s="61">
        <f>IF(ISERROR((DC581/CU581-1)*100),"NA",IF(((DC581/CU581-1)*100)&gt;100,"NM",IF(((DC581/CU581-1)*100)&lt;-50,"NM",(DC581/CU581-1)*100)))</f>
        <v>-22.050911366831517</v>
      </c>
      <c r="DE581" s="349">
        <f t="shared" si="3229"/>
        <v>-12.048192771084338</v>
      </c>
      <c r="DF581" s="61">
        <f>IF(ISERROR((DE581/CW581-1)*100),"NA",IF(((DE581/CW581-1)*100)&gt;100,"NM",IF(((DE581/CW581-1)*100)&lt;-50,"NM",(DE581/CW581-1)*100)))</f>
        <v>4.5357902197023403</v>
      </c>
      <c r="DG581" s="349">
        <f t="shared" si="3229"/>
        <v>-9.7345132743362832</v>
      </c>
      <c r="DH581" s="61" t="str">
        <f>IF(ISERROR((DG581/CY581-1)*100),"NA",IF(((DG581/CY581-1)*100)&gt;100,"NM",IF(((DG581/CY581-1)*100)&lt;-50,"NM",(DG581/CY581-1)*100)))</f>
        <v>NM</v>
      </c>
      <c r="DI581" s="349">
        <f t="shared" si="3230"/>
        <v>-7.8431372549019605</v>
      </c>
      <c r="DJ581" s="61">
        <f>IF(ISERROR((DI581/DA581-1)*100),"NA",IF(((DI581/DA581-1)*100)&gt;100,"NM",IF(((DI581/DA581-1)*100)&lt;-50,"NM",(DI581/DA581-1)*100)))</f>
        <v>-32.324929971988794</v>
      </c>
      <c r="DK581" s="349">
        <f t="shared" si="3230"/>
        <v>-8.2417582417582409</v>
      </c>
      <c r="DL581" s="61">
        <f>IF(ISERROR((DK581/DC581-1)*100),"NA",IF(((DK581/DC581-1)*100)&gt;100,"NM",IF(((DK581/DC581-1)*100)&lt;-50,"NM",(DK581/DC581-1)*100)))</f>
        <v>-8.883394383394382</v>
      </c>
      <c r="DM581" s="349">
        <f t="shared" ref="DM581:DO581" si="3288">DM531/DM$533*100</f>
        <v>-7.291666666666667</v>
      </c>
      <c r="DN581" s="130">
        <f t="shared" si="3145"/>
        <v>-39.479166666666664</v>
      </c>
      <c r="DO581" s="349">
        <f t="shared" si="3288"/>
        <v>-7.1782178217821775</v>
      </c>
      <c r="DP581" s="130">
        <f t="shared" si="3145"/>
        <v>-26.260126012601269</v>
      </c>
      <c r="DQ581" s="349">
        <f t="shared" ref="DQ581:DS581" si="3289">DQ531/DQ$533*100</f>
        <v>-6.7183462532299743</v>
      </c>
      <c r="DR581" s="130">
        <f t="shared" si="3145"/>
        <v>-14.341085271317821</v>
      </c>
      <c r="DS581" s="349">
        <f t="shared" si="3289"/>
        <v>-7.6704545454545459</v>
      </c>
      <c r="DT581" s="130">
        <f t="shared" si="3145"/>
        <v>-6.9318181818181728</v>
      </c>
      <c r="DU581" s="349">
        <f t="shared" ref="DU581:DW581" si="3290">DU531/DU$533*100</f>
        <v>-7.9155672823219003</v>
      </c>
      <c r="DV581" s="130">
        <f t="shared" si="3145"/>
        <v>8.556351300414633</v>
      </c>
      <c r="DW581" s="349">
        <f t="shared" si="3290"/>
        <v>-8.4223013048635824</v>
      </c>
      <c r="DX581" s="349">
        <f t="shared" ref="DX581:DY581" si="3291">DX531/DX$533*100</f>
        <v>-8.4223013048635824</v>
      </c>
      <c r="DY581" s="349">
        <f t="shared" si="3291"/>
        <v>-6.8062827225130889</v>
      </c>
      <c r="DZ581" s="130">
        <f t="shared" si="3145"/>
        <v>1.308900523560208</v>
      </c>
      <c r="EA581" s="349">
        <f t="shared" ref="EA581:EC581" si="3292">EA531/EA$533*100</f>
        <v>-4.1436464088397784</v>
      </c>
      <c r="EB581" s="130">
        <f t="shared" si="3148"/>
        <v>-45.979128299570306</v>
      </c>
      <c r="EC581" s="349">
        <f t="shared" si="3292"/>
        <v>-7.5067024128686324</v>
      </c>
      <c r="ED581" s="130">
        <f t="shared" si="3149"/>
        <v>-5.1653261840929554</v>
      </c>
      <c r="EE581" s="349">
        <f t="shared" ref="EE581:EG581" si="3293">EE531/EE$533*100</f>
        <v>-7.3475385745775164</v>
      </c>
      <c r="EF581" s="130">
        <f t="shared" si="3151"/>
        <v>-12.760915234241599</v>
      </c>
      <c r="EG581" s="349">
        <f t="shared" si="3293"/>
        <v>-9.0464547677261606</v>
      </c>
      <c r="EH581" s="130">
        <f t="shared" si="3152"/>
        <v>32.913296971976671</v>
      </c>
      <c r="EI581" s="349">
        <f t="shared" ref="EI581:EK581" si="3294">EI531/EI$533*100</f>
        <v>-3.2663316582914574</v>
      </c>
      <c r="EJ581" s="130">
        <f t="shared" si="3154"/>
        <v>-21.172529313232815</v>
      </c>
      <c r="EK581" s="349">
        <f t="shared" si="3294"/>
        <v>-8.8305489260143197</v>
      </c>
      <c r="EL581" s="130">
        <f t="shared" si="3155"/>
        <v>17.63552676440505</v>
      </c>
      <c r="EM581" s="349">
        <f t="shared" ref="EM581" si="3295">EM531/EM$533*100</f>
        <v>-9.1118800461361023</v>
      </c>
      <c r="EN581" s="130">
        <f t="shared" si="3157"/>
        <v>24.012687427912361</v>
      </c>
      <c r="EO581" s="349">
        <f t="shared" si="3239"/>
        <v>-8.6363636363636367</v>
      </c>
      <c r="EP581" s="130">
        <f t="shared" si="3159"/>
        <v>-4.5331695331695236</v>
      </c>
      <c r="EQ581" s="349">
        <f t="shared" ref="EQ581" si="3296">EQ531/EQ$533*100</f>
        <v>-12.393572150905346</v>
      </c>
      <c r="ER581" s="130" t="str">
        <f t="shared" si="3161"/>
        <v>NM</v>
      </c>
      <c r="ES581" s="349">
        <f t="shared" ref="ES581" si="3297">ES531/ES$533*100</f>
        <v>-11.599617553726613</v>
      </c>
      <c r="ET581" s="130">
        <f t="shared" si="3162"/>
        <v>31.35783121652571</v>
      </c>
      <c r="EU581" s="349">
        <f t="shared" ref="EU581" si="3298">EU531/EU$533*100</f>
        <v>-11.094045093188301</v>
      </c>
      <c r="EV581" s="130">
        <f t="shared" si="3163"/>
        <v>21.753634123977928</v>
      </c>
      <c r="EW581" s="349">
        <f t="shared" ref="EW581" si="3299">EW531/EW$533*100</f>
        <v>-10.738359862003431</v>
      </c>
      <c r="EX581" s="130">
        <f t="shared" si="3164"/>
        <v>24.33890366530289</v>
      </c>
      <c r="EY581" s="64"/>
      <c r="EZ581" s="558"/>
      <c r="FA581" s="64"/>
      <c r="FB581" s="346"/>
      <c r="FC581" s="71"/>
      <c r="FD581" s="346"/>
      <c r="FE581" s="70"/>
      <c r="FF581" s="346"/>
      <c r="FG581" s="70"/>
      <c r="FH581" s="346"/>
      <c r="FI581" s="70"/>
      <c r="FJ581" s="346"/>
      <c r="FK581" s="70"/>
      <c r="FL581" s="346"/>
      <c r="FM581" s="61"/>
      <c r="FN581" s="346"/>
      <c r="FO581" s="61"/>
      <c r="FP581" s="350">
        <f>FP531/FP$533*100</f>
        <v>2.3281053476292408</v>
      </c>
      <c r="FQ581" s="61" t="str">
        <f>IF(ISERROR((FP581/FH581-1)*100),"NA",IF(((FP581/FH581-1)*100)&gt;100,"NM",IF(((FP581/FH581-1)*100)&lt;-50,"NM",(FP581/FH581-1)*100)))</f>
        <v>NA</v>
      </c>
      <c r="FR581" s="350">
        <f t="shared" si="3244"/>
        <v>-7.3548944082879544</v>
      </c>
      <c r="FS581" s="61" t="str">
        <f t="shared" si="3166"/>
        <v>NM</v>
      </c>
      <c r="FT581" s="350">
        <f t="shared" si="3245"/>
        <v>-11.276008650906101</v>
      </c>
      <c r="FU581" s="61">
        <f t="shared" si="3167"/>
        <v>53.3129916617102</v>
      </c>
      <c r="FV581" s="350">
        <f t="shared" si="3246"/>
        <v>-14.369527145359019</v>
      </c>
      <c r="FW581" s="61">
        <f t="shared" si="3168"/>
        <v>27.434516859867198</v>
      </c>
      <c r="FX581" s="350">
        <f t="shared" si="3247"/>
        <v>-19.657472432858576</v>
      </c>
      <c r="FY581" s="61">
        <f t="shared" si="3169"/>
        <v>36.799716747864068</v>
      </c>
      <c r="FZ581" s="350">
        <f t="shared" si="3248"/>
        <v>-11.889688665336923</v>
      </c>
      <c r="GA581" s="61">
        <f t="shared" si="3170"/>
        <v>-39.515679312551718</v>
      </c>
      <c r="GB581" s="350">
        <f t="shared" si="3249"/>
        <v>-11.968612572216959</v>
      </c>
      <c r="GC581" s="61">
        <f t="shared" si="3171"/>
        <v>0.66380129119889553</v>
      </c>
      <c r="GD581" s="350">
        <f t="shared" si="3250"/>
        <v>-8.7027914614121507</v>
      </c>
      <c r="GE581" s="61">
        <f t="shared" si="3172"/>
        <v>-27.286547134008167</v>
      </c>
      <c r="GF581" s="350">
        <f t="shared" si="3251"/>
        <v>-9.6494679976901594</v>
      </c>
      <c r="GG581" s="61">
        <f t="shared" si="3172"/>
        <v>10.8778492564775</v>
      </c>
      <c r="GH581" s="350">
        <f t="shared" si="3252"/>
        <v>-7.3424301494476927</v>
      </c>
      <c r="GI581" s="61">
        <f t="shared" si="3172"/>
        <v>-23.908446028265118</v>
      </c>
      <c r="GJ581" s="350">
        <f t="shared" si="3253"/>
        <v>-7.7223851417399807</v>
      </c>
      <c r="GK581" s="61">
        <f t="shared" si="3172"/>
        <v>5.1747852490073631</v>
      </c>
      <c r="GL581" s="350">
        <f t="shared" si="3254"/>
        <v>-7.0862590994008894</v>
      </c>
      <c r="GM581" s="61">
        <f t="shared" si="3172"/>
        <v>-8.2374296368720294</v>
      </c>
      <c r="GN581" s="350">
        <f t="shared" si="3255"/>
        <v>-7.5421472937000882</v>
      </c>
      <c r="GO581" s="61">
        <f t="shared" si="3172"/>
        <v>6.4334113091876866</v>
      </c>
      <c r="GP581" s="350">
        <f t="shared" si="3256"/>
        <v>-11.426603221435057</v>
      </c>
      <c r="GQ581" s="61">
        <f t="shared" si="3172"/>
        <v>51.50331565361541</v>
      </c>
      <c r="GR581" s="349">
        <f t="shared" si="3257"/>
        <v>-9.5467550340034375</v>
      </c>
      <c r="GS581" s="61">
        <f t="shared" si="3172"/>
        <v>-16.451504887342459</v>
      </c>
      <c r="GT581" s="349">
        <f t="shared" ref="GT581:GV581" si="3300">GT531/GT$533*100</f>
        <v>-5.4808872392371519</v>
      </c>
      <c r="GU581" s="61">
        <f t="shared" si="3172"/>
        <v>-42.589003072610119</v>
      </c>
      <c r="GV581" s="349">
        <f t="shared" si="3300"/>
        <v>-5.1101062613560053</v>
      </c>
      <c r="GW581" s="61">
        <f t="shared" si="3172"/>
        <v>-6.7649809546666217</v>
      </c>
      <c r="GX581" s="349">
        <f t="shared" ref="GX581" si="3301">GX531/GX$533*100</f>
        <v>-4.7461481763248461</v>
      </c>
      <c r="GY581" s="61">
        <f t="shared" si="3173"/>
        <v>-7.1223193103342686</v>
      </c>
      <c r="GZ581" s="61">
        <f t="shared" si="3107"/>
        <v>-8.8473588957366562</v>
      </c>
      <c r="HA581" s="61"/>
      <c r="HB581" s="452"/>
      <c r="HC581"/>
      <c r="HD581"/>
      <c r="HE581"/>
      <c r="HF581"/>
      <c r="HG581"/>
      <c r="HH581"/>
    </row>
    <row r="582" spans="1:216" s="5" customFormat="1" ht="12.75" customHeight="1" collapsed="1" x14ac:dyDescent="0.2">
      <c r="B582" s="2" t="str">
        <f>B532</f>
        <v>Adjs in deferred compensation plans</v>
      </c>
      <c r="C582" s="346"/>
      <c r="D582" s="70"/>
      <c r="E582" s="346"/>
      <c r="F582" s="71"/>
      <c r="G582" s="346"/>
      <c r="H582" s="71"/>
      <c r="I582" s="346"/>
      <c r="J582" s="71"/>
      <c r="K582" s="346"/>
      <c r="L582" s="61"/>
      <c r="M582" s="346"/>
      <c r="N582" s="61"/>
      <c r="O582" s="346"/>
      <c r="P582" s="61"/>
      <c r="Q582" s="346"/>
      <c r="R582" s="61"/>
      <c r="S582" s="346"/>
      <c r="T582" s="61"/>
      <c r="U582" s="346"/>
      <c r="V582" s="61"/>
      <c r="W582" s="346"/>
      <c r="X582" s="61"/>
      <c r="Y582" s="346"/>
      <c r="Z582" s="61"/>
      <c r="AA582" s="346"/>
      <c r="AB582" s="61"/>
      <c r="AC582" s="346"/>
      <c r="AD582" s="61"/>
      <c r="AE582" s="346"/>
      <c r="AF582" s="61"/>
      <c r="AG582" s="346"/>
      <c r="AH582" s="61"/>
      <c r="AI582" s="346"/>
      <c r="AJ582" s="61"/>
      <c r="AK582" s="346"/>
      <c r="AL582" s="61"/>
      <c r="AM582" s="346"/>
      <c r="AN582" s="61"/>
      <c r="AO582" s="346"/>
      <c r="AP582" s="61"/>
      <c r="AQ582" s="346">
        <f>AQ532/AQ$533*100</f>
        <v>0</v>
      </c>
      <c r="AR582" s="61" t="str">
        <f>IF(ISERROR((AQ582/AI582-1)*100),"NA",IF(((AQ582/AI582-1)*100)&gt;100,"NM",IF(((AQ582/AI582-1)*100)&lt;-50,"NM",(AQ582/AI582-1)*100)))</f>
        <v>NA</v>
      </c>
      <c r="AS582" s="346">
        <f>AS532/AS$533*100</f>
        <v>0</v>
      </c>
      <c r="AT582" s="61" t="str">
        <f>IF(ISERROR((AS582/AK582-1)*100),"NA",IF(((AS582/AK582-1)*100)&gt;100,"NM",IF(((AS582/AK582-1)*100)&lt;-50,"NM",(AS582/AK582-1)*100)))</f>
        <v>NA</v>
      </c>
      <c r="AU582" s="346">
        <f>AU532/AU$533*100</f>
        <v>0</v>
      </c>
      <c r="AV582" s="61" t="str">
        <f>IF(ISERROR((AU582/AM582-1)*100),"NA",IF(((AU582/AM582-1)*100)&gt;100,"NM",IF(((AU582/AM582-1)*100)&lt;-50,"NM",(AU582/AM582-1)*100)))</f>
        <v>NA</v>
      </c>
      <c r="AW582" s="346">
        <f>AW532/AW$533*100</f>
        <v>0</v>
      </c>
      <c r="AX582" s="61" t="str">
        <f>IF(ISERROR((AW582/AO582-1)*100),"NA",IF(((AW582/AO582-1)*100)&gt;100,"NM",IF(((AW582/AO582-1)*100)&lt;-50,"NM",(AW582/AO582-1)*100)))</f>
        <v>NA</v>
      </c>
      <c r="AY582" s="349">
        <f>AY532/AY$533*100</f>
        <v>0</v>
      </c>
      <c r="AZ582" s="61" t="str">
        <f>IF(ISERROR((AY582/AQ582-1)*100),"NA",IF(((AY582/AQ582-1)*100)&gt;100,"NM",IF(((AY582/AQ582-1)*100)&lt;-50,"NM",(AY582/AQ582-1)*100)))</f>
        <v>NA</v>
      </c>
      <c r="BA582" s="349">
        <f>BA532/BA$533*100</f>
        <v>0</v>
      </c>
      <c r="BB582" s="61" t="str">
        <f>IF(ISERROR((BA582/AS582-1)*100),"NA",IF(((BA582/AS582-1)*100)&gt;100,"NM",IF(((BA582/AS582-1)*100)&lt;-50,"NM",(BA582/AS582-1)*100)))</f>
        <v>NA</v>
      </c>
      <c r="BC582" s="349">
        <f>BC532/BC$533*100</f>
        <v>0</v>
      </c>
      <c r="BD582" s="61" t="str">
        <f>IF(ISERROR((BC582/AU582-1)*100),"NA",IF(((BC582/AU582-1)*100)&gt;100,"NM",IF(((BC582/AU582-1)*100)&lt;-50,"NM",(BC582/AU582-1)*100)))</f>
        <v>NA</v>
      </c>
      <c r="BE582" s="349">
        <f>BE532/BE$533*100</f>
        <v>0</v>
      </c>
      <c r="BF582" s="61" t="str">
        <f>IF(ISERROR((BE582/AW582-1)*100),"NA",IF(((BE582/AW582-1)*100)&gt;100,"NM",IF(((BE582/AW582-1)*100)&lt;-50,"NM",(BE582/AW582-1)*100)))</f>
        <v>NA</v>
      </c>
      <c r="BG582" s="349">
        <f>BG532/BG$533*100</f>
        <v>0</v>
      </c>
      <c r="BH582" s="61" t="str">
        <f>IF(ISERROR((BG582/AY582-1)*100),"NA",IF(((BG582/AY582-1)*100)&gt;100,"NM",IF(((BG582/AY582-1)*100)&lt;-50,"NM",(BG582/AY582-1)*100)))</f>
        <v>NA</v>
      </c>
      <c r="BI582" s="349">
        <f>BI532/BI$533*100</f>
        <v>0</v>
      </c>
      <c r="BJ582" s="61" t="str">
        <f>IF(ISERROR((BI582/BA582-1)*100),"NA",IF(((BI582/BA582-1)*100)&gt;100,"NM",IF(((BI582/BA582-1)*100)&lt;-50,"NM",(BI582/BA582-1)*100)))</f>
        <v>NA</v>
      </c>
      <c r="BK582" s="349">
        <f>BK532/BK$533*100</f>
        <v>0</v>
      </c>
      <c r="BL582" s="61" t="str">
        <f>IF(ISERROR((BK582/BC582-1)*100),"NA",IF(((BK582/BC582-1)*100)&gt;100,"NM",IF(((BK582/BC582-1)*100)&lt;-50,"NM",(BK582/BC582-1)*100)))</f>
        <v>NA</v>
      </c>
      <c r="BM582" s="349">
        <f>BM532/BM$533*100</f>
        <v>0</v>
      </c>
      <c r="BN582" s="61" t="str">
        <f>IF(ISERROR((BM582/BE582-1)*100),"NA",IF(((BM582/BE582-1)*100)&gt;100,"NM",IF(((BM582/BE582-1)*100)&lt;-50,"NM",(BM582/BE582-1)*100)))</f>
        <v>NA</v>
      </c>
      <c r="BO582" s="349">
        <f>BO532/BO$533*100</f>
        <v>0</v>
      </c>
      <c r="BP582" s="61" t="str">
        <f>IF(ISERROR((BO582/BG582-1)*100),"NA",IF(((BO582/BG582-1)*100)&gt;100,"NM",IF(((BO582/BG582-1)*100)&lt;-50,"NM",(BO582/BG582-1)*100)))</f>
        <v>NA</v>
      </c>
      <c r="BQ582" s="349">
        <f>BQ532/BQ$533*100</f>
        <v>0</v>
      </c>
      <c r="BR582" s="61" t="str">
        <f>IF(ISERROR((BQ582/BI582-1)*100),"NA",IF(((BQ582/BI582-1)*100)&gt;100,"NM",IF(((BQ582/BI582-1)*100)&lt;-50,"NM",(BQ582/BI582-1)*100)))</f>
        <v>NA</v>
      </c>
      <c r="BS582" s="349">
        <f>BS532/BS$533*100</f>
        <v>0</v>
      </c>
      <c r="BT582" s="61" t="str">
        <f>IF(ISERROR((BS582/BK582-1)*100),"NA",IF(((BS582/BK582-1)*100)&gt;100,"NM",IF(((BS582/BK582-1)*100)&lt;-50,"NM",(BS582/BK582-1)*100)))</f>
        <v>NA</v>
      </c>
      <c r="BU582" s="349">
        <f>BU532/BU$533*100</f>
        <v>0</v>
      </c>
      <c r="BV582" s="61" t="str">
        <f>IF(ISERROR((BU582/BM582-1)*100),"NA",IF(((BU582/BM582-1)*100)&gt;100,"NM",IF(((BU582/BM582-1)*100)&lt;-50,"NM",(BU582/BM582-1)*100)))</f>
        <v>NA</v>
      </c>
      <c r="BW582" s="349">
        <f t="shared" si="3214"/>
        <v>0</v>
      </c>
      <c r="BX582" s="61" t="str">
        <f>IF(ISERROR((BW582/BO582-1)*100),"NA",IF(((BW582/BO582-1)*100)&gt;100,"NM",IF(((BW582/BO582-1)*100)&lt;-50,"NM",(BW582/BO582-1)*100)))</f>
        <v>NA</v>
      </c>
      <c r="BY582" s="349">
        <f t="shared" si="3215"/>
        <v>0</v>
      </c>
      <c r="BZ582" s="61" t="str">
        <f>IF(ISERROR((BY582/BQ582-1)*100),"NA",IF(((BY582/BQ582-1)*100)&gt;100,"NM",IF(((BY582/BQ582-1)*100)&lt;-50,"NM",(BY582/BQ582-1)*100)))</f>
        <v>NA</v>
      </c>
      <c r="CA582" s="349">
        <f t="shared" si="3216"/>
        <v>0</v>
      </c>
      <c r="CB582" s="61" t="str">
        <f>IF(ISERROR((CA582/BS582-1)*100),"NA",IF(((CA582/BS582-1)*100)&gt;100,"NM",IF(((CA582/BS582-1)*100)&lt;-50,"NM",(CA582/BS582-1)*100)))</f>
        <v>NA</v>
      </c>
      <c r="CC582" s="349">
        <f t="shared" si="3217"/>
        <v>0</v>
      </c>
      <c r="CD582" s="61" t="str">
        <f>IF(ISERROR((CC582/BU582-1)*100),"NA",IF(((CC582/BU582-1)*100)&gt;100,"NM",IF(((CC582/BU582-1)*100)&lt;-50,"NM",(CC582/BU582-1)*100)))</f>
        <v>NA</v>
      </c>
      <c r="CE582" s="349">
        <f t="shared" si="3218"/>
        <v>0</v>
      </c>
      <c r="CF582" s="61" t="str">
        <f>IF(ISERROR((CE582/BW582-1)*100),"NA",IF(((CE582/BW582-1)*100)&gt;100,"NM",IF(((CE582/BW582-1)*100)&lt;-50,"NM",(CE582/BW582-1)*100)))</f>
        <v>NA</v>
      </c>
      <c r="CG582" s="349">
        <f t="shared" si="3219"/>
        <v>0</v>
      </c>
      <c r="CH582" s="61" t="str">
        <f>IF(ISERROR((CG582/BY582-1)*100),"NA",IF(((CG582/BY582-1)*100)&gt;100,"NM",IF(((CG582/BY582-1)*100)&lt;-50,"NM",(CG582/BY582-1)*100)))</f>
        <v>NA</v>
      </c>
      <c r="CI582" s="349">
        <f t="shared" si="3220"/>
        <v>0</v>
      </c>
      <c r="CJ582" s="61" t="str">
        <f>IF(ISERROR((CI582/CA582-1)*100),"NA",IF(((CI582/CA582-1)*100)&gt;100,"NM",IF(((CI582/CA582-1)*100)&lt;-50,"NM",(CI582/CA582-1)*100)))</f>
        <v>NA</v>
      </c>
      <c r="CK582" s="349">
        <f t="shared" si="3221"/>
        <v>0</v>
      </c>
      <c r="CL582" s="61" t="str">
        <f>IF(ISERROR((CK582/CC582-1)*100),"NA",IF(((CK582/CC582-1)*100)&gt;100,"NM",IF(((CK582/CC582-1)*100)&lt;-50,"NM",(CK582/CC582-1)*100)))</f>
        <v>NA</v>
      </c>
      <c r="CM582" s="349">
        <f t="shared" si="3222"/>
        <v>0</v>
      </c>
      <c r="CN582" s="61" t="str">
        <f>IF(ISERROR((CM582/CE582-1)*100),"NA",IF(((CM582/CE582-1)*100)&gt;100,"NM",IF(((CM582/CE582-1)*100)&lt;-50,"NM",(CM582/CE582-1)*100)))</f>
        <v>NA</v>
      </c>
      <c r="CO582" s="349">
        <f t="shared" si="3223"/>
        <v>-0.44688896528016531</v>
      </c>
      <c r="CP582" s="61" t="str">
        <f>IF(ISERROR((CO582/CG582-1)*100),"NA",IF(((CO582/CG582-1)*100)&gt;100,"NM",IF(((CO582/CG582-1)*100)&lt;-50,"NM",(CO582/CG582-1)*100)))</f>
        <v>NA</v>
      </c>
      <c r="CQ582" s="349">
        <f t="shared" si="3224"/>
        <v>-2.013422818791947</v>
      </c>
      <c r="CR582" s="61" t="str">
        <f>IF(ISERROR((CQ582/CI582-1)*100),"NA",IF(((CQ582/CI582-1)*100)&gt;100,"NM",IF(((CQ582/CI582-1)*100)&lt;-50,"NM",(CQ582/CI582-1)*100)))</f>
        <v>NA</v>
      </c>
      <c r="CS582" s="349">
        <f t="shared" si="3225"/>
        <v>0</v>
      </c>
      <c r="CT582" s="61" t="str">
        <f>IF(ISERROR((CS582/CK582-1)*100),"NA",IF(((CS582/CK582-1)*100)&gt;100,"NM",IF(((CS582/CK582-1)*100)&lt;-50,"NM",(CS582/CK582-1)*100)))</f>
        <v>NA</v>
      </c>
      <c r="CU582" s="349">
        <f t="shared" si="3226"/>
        <v>0</v>
      </c>
      <c r="CV582" s="61" t="str">
        <f>IF(ISERROR((CU582/CM582-1)*100),"NA",IF(((CU582/CM582-1)*100)&gt;100,"NM",IF(((CU582/CM582-1)*100)&lt;-50,"NM",(CU582/CM582-1)*100)))</f>
        <v>NA</v>
      </c>
      <c r="CW582" s="349">
        <f t="shared" si="3227"/>
        <v>-1.3559322033898304</v>
      </c>
      <c r="CX582" s="61" t="str">
        <f>IF(ISERROR((CW582/CO582-1)*100),"NA",IF(((CW582/CO582-1)*100)&gt;100,"NM",IF(((CW582/CO582-1)*100)&lt;-50,"NM",(CW582/CO582-1)*100)))</f>
        <v>NM</v>
      </c>
      <c r="CY582" s="349">
        <f t="shared" si="3227"/>
        <v>0</v>
      </c>
      <c r="CZ582" s="61" t="str">
        <f>IF(ISERROR((CY582/CQ582-1)*100),"NA",IF(((CY582/CQ582-1)*100)&gt;100,"NM",IF(((CY582/CQ582-1)*100)&lt;-50,"NM",(CY582/CQ582-1)*100)))</f>
        <v>NM</v>
      </c>
      <c r="DA582" s="349">
        <f t="shared" si="3228"/>
        <v>0</v>
      </c>
      <c r="DB582" s="61" t="str">
        <f>IF(ISERROR((DA582/CS582-1)*100),"NA",IF(((DA582/CS582-1)*100)&gt;100,"NM",IF(((DA582/CS582-1)*100)&lt;-50,"NM",(DA582/CS582-1)*100)))</f>
        <v>NA</v>
      </c>
      <c r="DC582" s="349">
        <f t="shared" si="3228"/>
        <v>0</v>
      </c>
      <c r="DD582" s="61" t="str">
        <f>IF(ISERROR((DC582/CU582-1)*100),"NA",IF(((DC582/CU582-1)*100)&gt;100,"NM",IF(((DC582/CU582-1)*100)&lt;-50,"NM",(DC582/CU582-1)*100)))</f>
        <v>NA</v>
      </c>
      <c r="DE582" s="349">
        <f t="shared" si="3229"/>
        <v>0</v>
      </c>
      <c r="DF582" s="61" t="str">
        <f>IF(ISERROR((DE582/CW582-1)*100),"NA",IF(((DE582/CW582-1)*100)&gt;100,"NM",IF(((DE582/CW582-1)*100)&lt;-50,"NM",(DE582/CW582-1)*100)))</f>
        <v>NM</v>
      </c>
      <c r="DG582" s="349">
        <f t="shared" si="3229"/>
        <v>0</v>
      </c>
      <c r="DH582" s="61" t="str">
        <f>IF(ISERROR((DG582/CY582-1)*100),"NA",IF(((DG582/CY582-1)*100)&gt;100,"NM",IF(((DG582/CY582-1)*100)&lt;-50,"NM",(DG582/CY582-1)*100)))</f>
        <v>NA</v>
      </c>
      <c r="DI582" s="349">
        <f t="shared" si="3230"/>
        <v>0</v>
      </c>
      <c r="DJ582" s="61" t="str">
        <f>IF(ISERROR((DI582/DA582-1)*100),"NA",IF(((DI582/DA582-1)*100)&gt;100,"NM",IF(((DI582/DA582-1)*100)&lt;-50,"NM",(DI582/DA582-1)*100)))</f>
        <v>NA</v>
      </c>
      <c r="DK582" s="349">
        <f t="shared" si="3230"/>
        <v>-0.27472527472527475</v>
      </c>
      <c r="DL582" s="61" t="str">
        <f>IF(ISERROR((DK582/DC582-1)*100),"NA",IF(((DK582/DC582-1)*100)&gt;100,"NM",IF(((DK582/DC582-1)*100)&lt;-50,"NM",(DK582/DC582-1)*100)))</f>
        <v>NA</v>
      </c>
      <c r="DM582" s="349">
        <f t="shared" ref="DM582:DO582" si="3302">DM532/DM$533*100</f>
        <v>0.26041666666666663</v>
      </c>
      <c r="DN582" s="130" t="str">
        <f t="shared" si="3145"/>
        <v>NA</v>
      </c>
      <c r="DO582" s="349">
        <f t="shared" si="3302"/>
        <v>0.49504950495049505</v>
      </c>
      <c r="DP582" s="130" t="str">
        <f t="shared" si="3145"/>
        <v>NA</v>
      </c>
      <c r="DQ582" s="349">
        <f t="shared" ref="DQ582:DS582" si="3303">DQ532/DQ$533*100</f>
        <v>0</v>
      </c>
      <c r="DR582" s="130" t="str">
        <f t="shared" si="3145"/>
        <v>NA</v>
      </c>
      <c r="DS582" s="349">
        <f t="shared" si="3303"/>
        <v>0</v>
      </c>
      <c r="DT582" s="130" t="str">
        <f t="shared" si="3145"/>
        <v>NM</v>
      </c>
      <c r="DU582" s="349">
        <f t="shared" ref="DU582:DW582" si="3304">DU532/DU$533*100</f>
        <v>0</v>
      </c>
      <c r="DV582" s="130" t="str">
        <f t="shared" si="3145"/>
        <v>NM</v>
      </c>
      <c r="DW582" s="349">
        <f t="shared" si="3304"/>
        <v>-1.6607354685646498</v>
      </c>
      <c r="DX582" s="349">
        <f t="shared" ref="DX582:DY582" si="3305">DX532/DX$533*100</f>
        <v>-1.6607354685646498</v>
      </c>
      <c r="DY582" s="349">
        <f t="shared" si="3305"/>
        <v>0</v>
      </c>
      <c r="DZ582" s="130" t="str">
        <f t="shared" si="3145"/>
        <v>NA</v>
      </c>
      <c r="EA582" s="349">
        <f t="shared" ref="EA582:EC582" si="3306">EA532/EA$533*100</f>
        <v>-1.9337016574585635</v>
      </c>
      <c r="EB582" s="130" t="str">
        <f t="shared" si="3148"/>
        <v>NA</v>
      </c>
      <c r="EC582" s="349">
        <f t="shared" si="3306"/>
        <v>0</v>
      </c>
      <c r="ED582" s="130" t="str">
        <f t="shared" si="3149"/>
        <v>NA</v>
      </c>
      <c r="EE582" s="349">
        <f t="shared" ref="EE582:EG582" si="3307">EE532/EE$533*100</f>
        <v>0</v>
      </c>
      <c r="EF582" s="130" t="str">
        <f t="shared" si="3151"/>
        <v>NM</v>
      </c>
      <c r="EG582" s="349">
        <f t="shared" si="3307"/>
        <v>0</v>
      </c>
      <c r="EH582" s="130" t="str">
        <f t="shared" si="3152"/>
        <v>NA</v>
      </c>
      <c r="EI582" s="349">
        <f t="shared" ref="EI582:EK582" si="3308">EI532/EI$533*100</f>
        <v>0</v>
      </c>
      <c r="EJ582" s="130" t="str">
        <f t="shared" si="3154"/>
        <v>NM</v>
      </c>
      <c r="EK582" s="349">
        <f t="shared" si="3308"/>
        <v>0</v>
      </c>
      <c r="EL582" s="130" t="str">
        <f t="shared" si="3155"/>
        <v>NA</v>
      </c>
      <c r="EM582" s="349">
        <f t="shared" ref="EM582" si="3309">EM532/EM$533*100</f>
        <v>0</v>
      </c>
      <c r="EN582" s="130" t="str">
        <f t="shared" si="3157"/>
        <v>NA</v>
      </c>
      <c r="EO582" s="349">
        <f t="shared" si="3239"/>
        <v>0</v>
      </c>
      <c r="EP582" s="130" t="str">
        <f t="shared" si="3159"/>
        <v>NA</v>
      </c>
      <c r="EQ582" s="349">
        <f t="shared" ref="EQ582" si="3310">EQ532/EQ$533*100</f>
        <v>0</v>
      </c>
      <c r="ER582" s="130" t="str">
        <f t="shared" si="3161"/>
        <v>NA</v>
      </c>
      <c r="ES582" s="349">
        <f t="shared" ref="ES582" si="3311">ES532/ES$533*100</f>
        <v>0</v>
      </c>
      <c r="ET582" s="130" t="str">
        <f t="shared" si="3162"/>
        <v>NA</v>
      </c>
      <c r="EU582" s="349">
        <f t="shared" ref="EU582" si="3312">EU532/EU$533*100</f>
        <v>0</v>
      </c>
      <c r="EV582" s="130" t="str">
        <f t="shared" si="3163"/>
        <v>NA</v>
      </c>
      <c r="EW582" s="349">
        <f t="shared" ref="EW582" si="3313">EW532/EW$533*100</f>
        <v>0</v>
      </c>
      <c r="EX582" s="130" t="str">
        <f t="shared" si="3164"/>
        <v>NA</v>
      </c>
      <c r="EY582" s="64"/>
      <c r="EZ582" s="558"/>
      <c r="FA582" s="64"/>
      <c r="FB582" s="346"/>
      <c r="FC582" s="71"/>
      <c r="FD582" s="346"/>
      <c r="FE582" s="70"/>
      <c r="FF582" s="346"/>
      <c r="FG582" s="70"/>
      <c r="FH582" s="346"/>
      <c r="FI582" s="70"/>
      <c r="FJ582" s="346"/>
      <c r="FK582" s="70"/>
      <c r="FL582" s="346"/>
      <c r="FM582" s="61"/>
      <c r="FN582" s="346"/>
      <c r="FO582" s="61"/>
      <c r="FP582" s="350">
        <f>FP532/FP$533*100</f>
        <v>0</v>
      </c>
      <c r="FQ582" s="61" t="str">
        <f>IF(ISERROR((FP582/FH582-1)*100),"NA",IF(((FP582/FH582-1)*100)&gt;100,"NM",IF(((FP582/FH582-1)*100)&lt;-50,"NM",(FP582/FH582-1)*100)))</f>
        <v>NA</v>
      </c>
      <c r="FR582" s="350">
        <f t="shared" si="3244"/>
        <v>0</v>
      </c>
      <c r="FS582" s="61" t="str">
        <f>IF(ISERROR((FR582/FJ582-1)*100),"NA",IF(((FR582/FJ582-1)*100)&gt;100,"NM",IF(((FR582/FJ582-1)*100)&lt;-50,"NM",(FR582/FJ582-1)*100)))</f>
        <v>NA</v>
      </c>
      <c r="FT582" s="350">
        <f t="shared" si="3245"/>
        <v>0</v>
      </c>
      <c r="FU582" s="61" t="str">
        <f>IF(ISERROR((FT582/FL582-1)*100),"NA",IF(((FT582/FL582-1)*100)&gt;100,"NM",IF(((FT582/FL582-1)*100)&lt;-50,"NM",(FT582/FL582-1)*100)))</f>
        <v>NA</v>
      </c>
      <c r="FV582" s="350">
        <f t="shared" si="3246"/>
        <v>0</v>
      </c>
      <c r="FW582" s="61" t="str">
        <f>IF(ISERROR((FV582/FN582-1)*100),"NA",IF(((FV582/FN582-1)*100)&gt;100,"NM",IF(((FV582/FN582-1)*100)&lt;-50,"NM",(FV582/FN582-1)*100)))</f>
        <v>NA</v>
      </c>
      <c r="FX582" s="350">
        <f t="shared" si="3247"/>
        <v>0</v>
      </c>
      <c r="FY582" s="61" t="str">
        <f>IF(ISERROR((FX582/FP582-1)*100),"NA",IF(((FX582/FP582-1)*100)&gt;100,"NM",IF(((FX582/FP582-1)*100)&lt;-50,"NM",(FX582/FP582-1)*100)))</f>
        <v>NA</v>
      </c>
      <c r="FZ582" s="350">
        <f t="shared" si="3248"/>
        <v>0</v>
      </c>
      <c r="GA582" s="61" t="str">
        <f>IF(ISERROR((FZ582/FR582-1)*100),"NA",IF(((FZ582/FR582-1)*100)&gt;100,"NM",IF(((FZ582/FR582-1)*100)&lt;-50,"NM",(FZ582/FR582-1)*100)))</f>
        <v>NA</v>
      </c>
      <c r="GB582" s="350">
        <f t="shared" si="3249"/>
        <v>-0.65534189876692228</v>
      </c>
      <c r="GC582" s="61" t="str">
        <f>IF(ISERROR((GB582/FT582-1)*100),"NA",IF(((GB582/FT582-1)*100)&gt;100,"NM",IF(((GB582/FT582-1)*100)&lt;-50,"NM",(GB582/FT582-1)*100)))</f>
        <v>NA</v>
      </c>
      <c r="GD582" s="350">
        <f t="shared" si="3250"/>
        <v>-0.32840722495894908</v>
      </c>
      <c r="GE582" s="61" t="str">
        <f>IF(ISERROR((GD582/FV582-1)*100),"NA",IF(((GD582/FV582-1)*100)&gt;100,"NM",IF(((GD582/FV582-1)*100)&lt;-50,"NM",(GD582/FV582-1)*100)))</f>
        <v>NA</v>
      </c>
      <c r="GF582" s="350">
        <f t="shared" si="3251"/>
        <v>0</v>
      </c>
      <c r="GG582" s="61" t="str">
        <f>IF(ISERROR((GF582/FX582-1)*100),"NA",IF(((GF582/FX582-1)*100)&gt;100,"NM",IF(((GF582/FX582-1)*100)&lt;-50,"NM",(GF582/FX582-1)*100)))</f>
        <v>NA</v>
      </c>
      <c r="GH582" s="350">
        <f t="shared" si="3252"/>
        <v>0.12995451591942819</v>
      </c>
      <c r="GI582" s="61" t="str">
        <f>IF(ISERROR((GH582/FZ582-1)*100),"NA",IF(((GH582/FZ582-1)*100)&gt;100,"NM",IF(((GH582/FZ582-1)*100)&lt;-50,"NM",(GH582/FZ582-1)*100)))</f>
        <v>NA</v>
      </c>
      <c r="GJ582" s="350">
        <f t="shared" si="3253"/>
        <v>-0.45617464972303684</v>
      </c>
      <c r="GK582" s="61">
        <f>IF(ISERROR((GJ582/GB582-1)*100),"NA",IF(((GJ582/GB582-1)*100)&gt;100,"NM",IF(((GJ582/GB582-1)*100)&lt;-50,"NM",(GJ582/GB582-1)*100)))</f>
        <v>-30.391349831078163</v>
      </c>
      <c r="GL582" s="350">
        <f t="shared" si="3254"/>
        <v>-0.45094376087096572</v>
      </c>
      <c r="GM582" s="61">
        <f>IF(ISERROR((GL582/GD582-1)*100),"NA",IF(((GL582/GD582-1)*100)&gt;100,"NM",IF(((GL582/GD582-1)*100)&lt;-50,"NM",(GL582/GD582-1)*100)))</f>
        <v>37.312375185209071</v>
      </c>
      <c r="GN582" s="350">
        <f t="shared" si="3255"/>
        <v>0</v>
      </c>
      <c r="GO582" s="61" t="str">
        <f>IF(ISERROR((GN582/GF582-1)*100),"NA",IF(((GN582/GF582-1)*100)&gt;100,"NM",IF(((GN582/GF582-1)*100)&lt;-50,"NM",(GN582/GF582-1)*100)))</f>
        <v>NA</v>
      </c>
      <c r="GP582" s="350">
        <f t="shared" si="3256"/>
        <v>0</v>
      </c>
      <c r="GQ582" s="61" t="str">
        <f>IF(ISERROR((GP582/GH582-1)*100),"NA",IF(((GP582/GH582-1)*100)&gt;100,"NM",IF(((GP582/GH582-1)*100)&lt;-50,"NM",(GP582/GH582-1)*100)))</f>
        <v>NM</v>
      </c>
      <c r="GR582" s="349">
        <f t="shared" si="3257"/>
        <v>0</v>
      </c>
      <c r="GS582" s="61" t="str">
        <f>IF(ISERROR((GR582/GJ582-1)*100),"NA",IF(((GR582/GJ582-1)*100)&gt;100,"NM",IF(((GR582/GJ582-1)*100)&lt;-50,"NM",(GR582/GJ582-1)*100)))</f>
        <v>NM</v>
      </c>
      <c r="GT582" s="349">
        <f t="shared" ref="GT582:GV582" si="3314">GT532/GT$533*100</f>
        <v>0</v>
      </c>
      <c r="GU582" s="61" t="str">
        <f>IF(ISERROR((GT582/GL582-1)*100),"NA",IF(((GT582/GL582-1)*100)&gt;100,"NM",IF(((GT582/GL582-1)*100)&lt;-50,"NM",(GT582/GL582-1)*100)))</f>
        <v>NM</v>
      </c>
      <c r="GV582" s="349">
        <f t="shared" si="3314"/>
        <v>0</v>
      </c>
      <c r="GW582" s="61" t="str">
        <f>IF(ISERROR((GV582/GN582-1)*100),"NA",IF(((GV582/GN582-1)*100)&gt;100,"NM",IF(((GV582/GN582-1)*100)&lt;-50,"NM",(GV582/GN582-1)*100)))</f>
        <v>NA</v>
      </c>
      <c r="GX582" s="349">
        <f t="shared" ref="GX582" si="3315">GX532/GX$533*100</f>
        <v>0</v>
      </c>
      <c r="GY582" s="61" t="str">
        <f>IF(ISERROR((GX582/GP582-1)*100),"NA",IF(((GX582/GP582-1)*100)&gt;100,"NM",IF(((GX582/GP582-1)*100)&lt;-50,"NM",(GX582/GP582-1)*100)))</f>
        <v>NA</v>
      </c>
      <c r="GZ582" s="61" t="str">
        <f t="shared" si="3107"/>
        <v/>
      </c>
      <c r="HA582" s="61"/>
      <c r="HB582" s="452"/>
      <c r="HC582"/>
      <c r="HD582"/>
      <c r="HE582"/>
      <c r="HF582"/>
      <c r="HG582"/>
      <c r="HH582"/>
    </row>
    <row r="583" spans="1:216" s="5" customFormat="1" ht="12.75" customHeight="1" x14ac:dyDescent="0.2">
      <c r="B583" s="63" t="s">
        <v>639</v>
      </c>
      <c r="C583" s="351"/>
      <c r="D583" s="70"/>
      <c r="E583" s="351"/>
      <c r="F583" s="71"/>
      <c r="G583" s="351"/>
      <c r="H583" s="71"/>
      <c r="I583" s="351"/>
      <c r="J583" s="352"/>
      <c r="K583" s="351"/>
      <c r="L583" s="61"/>
      <c r="M583" s="351"/>
      <c r="N583" s="61"/>
      <c r="O583" s="351"/>
      <c r="P583" s="61"/>
      <c r="Q583" s="351"/>
      <c r="R583" s="61"/>
      <c r="S583" s="351"/>
      <c r="T583" s="61"/>
      <c r="U583" s="351"/>
      <c r="V583" s="61"/>
      <c r="W583" s="351"/>
      <c r="X583" s="61"/>
      <c r="Y583" s="351"/>
      <c r="Z583" s="61"/>
      <c r="AA583" s="351"/>
      <c r="AB583" s="61"/>
      <c r="AC583" s="351"/>
      <c r="AD583" s="61"/>
      <c r="AE583" s="351"/>
      <c r="AF583" s="61"/>
      <c r="AG583" s="351"/>
      <c r="AH583" s="61"/>
      <c r="AI583" s="351"/>
      <c r="AJ583" s="61"/>
      <c r="AK583" s="351"/>
      <c r="AL583" s="61"/>
      <c r="AM583" s="351"/>
      <c r="AN583" s="61"/>
      <c r="AO583" s="346"/>
      <c r="AP583" s="61"/>
      <c r="AQ583" s="346">
        <f>AQ533/AQ$533*100</f>
        <v>100</v>
      </c>
      <c r="AR583" s="61" t="str">
        <f>IF(ISERROR((AQ583/AI583-1)*100),"NA",IF(((AQ583/AI583-1)*100)&gt;100,"NM",IF(((AQ583/AI583-1)*100)&lt;-50,"NM",(AQ583/AI583-1)*100)))</f>
        <v>NA</v>
      </c>
      <c r="AS583" s="346">
        <f>AS533/AS$533*100</f>
        <v>100</v>
      </c>
      <c r="AT583" s="61" t="str">
        <f>IF(ISERROR((AS583/AK583-1)*100),"NA",IF(((AS583/AK583-1)*100)&gt;100,"NM",IF(((AS583/AK583-1)*100)&lt;-50,"NM",(AS583/AK583-1)*100)))</f>
        <v>NA</v>
      </c>
      <c r="AU583" s="346">
        <f>AU533/AU$533*100</f>
        <v>100</v>
      </c>
      <c r="AV583" s="61" t="str">
        <f>IF(ISERROR((AU583/AM583-1)*100),"NA",IF(((AU583/AM583-1)*100)&gt;100,"NM",IF(((AU583/AM583-1)*100)&lt;-50,"NM",(AU583/AM583-1)*100)))</f>
        <v>NA</v>
      </c>
      <c r="AW583" s="346">
        <f>AW533/AW$533*100</f>
        <v>100</v>
      </c>
      <c r="AX583" s="61" t="str">
        <f>IF(ISERROR((AW583/AO583-1)*100),"NA",IF(((AW583/AO583-1)*100)&gt;100,"NM",IF(((AW583/AO583-1)*100)&lt;-50,"NM",(AW583/AO583-1)*100)))</f>
        <v>NA</v>
      </c>
      <c r="AY583" s="346">
        <f>AY533/AY$533*100</f>
        <v>100</v>
      </c>
      <c r="AZ583" s="61">
        <f>IF(ISERROR((AY583/AQ583-1)*100),"NA",IF(((AY583/AQ583-1)*100)&gt;100,"NM",IF(((AY583/AQ583-1)*100)&lt;-50,"NM",(AY583/AQ583-1)*100)))</f>
        <v>0</v>
      </c>
      <c r="BA583" s="346">
        <f>BA533/BA$533*100</f>
        <v>100</v>
      </c>
      <c r="BB583" s="61">
        <f>IF(ISERROR((BA583/AS583-1)*100),"NA",IF(((BA583/AS583-1)*100)&gt;100,"NM",IF(((BA583/AS583-1)*100)&lt;-50,"NM",(BA583/AS583-1)*100)))</f>
        <v>0</v>
      </c>
      <c r="BC583" s="346">
        <f>BC533/BC$533*100</f>
        <v>100</v>
      </c>
      <c r="BD583" s="61">
        <f>IF(ISERROR((BC583/AU583-1)*100),"NA",IF(((BC583/AU583-1)*100)&gt;100,"NM",IF(((BC583/AU583-1)*100)&lt;-50,"NM",(BC583/AU583-1)*100)))</f>
        <v>0</v>
      </c>
      <c r="BE583" s="346">
        <f>BE533/BE$533*100</f>
        <v>100</v>
      </c>
      <c r="BF583" s="61">
        <f>IF(ISERROR((BE583/AW583-1)*100),"NA",IF(((BE583/AW583-1)*100)&gt;100,"NM",IF(((BE583/AW583-1)*100)&lt;-50,"NM",(BE583/AW583-1)*100)))</f>
        <v>0</v>
      </c>
      <c r="BG583" s="346">
        <f>BG533/BG$533*100</f>
        <v>100</v>
      </c>
      <c r="BH583" s="61">
        <f>IF(ISERROR((BG583/AY583-1)*100),"NA",IF(((BG583/AY583-1)*100)&gt;100,"NM",IF(((BG583/AY583-1)*100)&lt;-50,"NM",(BG583/AY583-1)*100)))</f>
        <v>0</v>
      </c>
      <c r="BI583" s="346">
        <f>BI533/BI$533*100</f>
        <v>100</v>
      </c>
      <c r="BJ583" s="61">
        <f>IF(ISERROR((BI583/BA583-1)*100),"NA",IF(((BI583/BA583-1)*100)&gt;100,"NM",IF(((BI583/BA583-1)*100)&lt;-50,"NM",(BI583/BA583-1)*100)))</f>
        <v>0</v>
      </c>
      <c r="BK583" s="346">
        <f>BK533/BK$533*100</f>
        <v>100</v>
      </c>
      <c r="BL583" s="61">
        <f>IF(ISERROR((BK583/BC583-1)*100),"NA",IF(((BK583/BC583-1)*100)&gt;100,"NM",IF(((BK583/BC583-1)*100)&lt;-50,"NM",(BK583/BC583-1)*100)))</f>
        <v>0</v>
      </c>
      <c r="BM583" s="346">
        <f>BM533/BM$533*100</f>
        <v>100</v>
      </c>
      <c r="BN583" s="61">
        <f>IF(ISERROR((BM583/BE583-1)*100),"NA",IF(((BM583/BE583-1)*100)&gt;100,"NM",IF(((BM583/BE583-1)*100)&lt;-50,"NM",(BM583/BE583-1)*100)))</f>
        <v>0</v>
      </c>
      <c r="BO583" s="351">
        <f>BO533/BO$533*100</f>
        <v>100</v>
      </c>
      <c r="BP583" s="429">
        <f>IF(ISERROR((BO583/BG583-1)*100),"NA",IF(((BO583/BG583-1)*100)&gt;100,"NM",IF(((BO583/BG583-1)*100)&lt;-50,"NM",(BO583/BG583-1)*100)))</f>
        <v>0</v>
      </c>
      <c r="BQ583" s="351">
        <f>BQ533/BQ$533*100</f>
        <v>100</v>
      </c>
      <c r="BR583" s="429">
        <f>IF(ISERROR((BQ583/BI583-1)*100),"NA",IF(((BQ583/BI583-1)*100)&gt;100,"NM",IF(((BQ583/BI583-1)*100)&lt;-50,"NM",(BQ583/BI583-1)*100)))</f>
        <v>0</v>
      </c>
      <c r="BS583" s="351">
        <f>BS533/BS$533*100</f>
        <v>100</v>
      </c>
      <c r="BT583" s="429">
        <f>IF(ISERROR((BS583/BK583-1)*100),"NA",IF(((BS583/BK583-1)*100)&gt;100,"NM",IF(((BS583/BK583-1)*100)&lt;-50,"NM",(BS583/BK583-1)*100)))</f>
        <v>0</v>
      </c>
      <c r="BU583" s="351">
        <f>BU533/BU$533*100</f>
        <v>100</v>
      </c>
      <c r="BV583" s="429">
        <f>IF(ISERROR((BU583/BM583-1)*100),"NA",IF(((BU583/BM583-1)*100)&gt;100,"NM",IF(((BU583/BM583-1)*100)&lt;-50,"NM",(BU583/BM583-1)*100)))</f>
        <v>0</v>
      </c>
      <c r="BW583" s="351">
        <f t="shared" si="3214"/>
        <v>100</v>
      </c>
      <c r="BX583" s="429">
        <f>IF(ISERROR((BW583/BO583-1)*100),"NA",IF(((BW583/BO583-1)*100)&gt;100,"NM",IF(((BW583/BO583-1)*100)&lt;-50,"NM",(BW583/BO583-1)*100)))</f>
        <v>0</v>
      </c>
      <c r="BY583" s="351">
        <f t="shared" si="3215"/>
        <v>100</v>
      </c>
      <c r="BZ583" s="429">
        <f>IF(ISERROR((BY583/BQ583-1)*100),"NA",IF(((BY583/BQ583-1)*100)&gt;100,"NM",IF(((BY583/BQ583-1)*100)&lt;-50,"NM",(BY583/BQ583-1)*100)))</f>
        <v>0</v>
      </c>
      <c r="CA583" s="351">
        <f t="shared" si="3216"/>
        <v>100</v>
      </c>
      <c r="CB583" s="429">
        <f>IF(ISERROR((CA583/BS583-1)*100),"NA",IF(((CA583/BS583-1)*100)&gt;100,"NM",IF(((CA583/BS583-1)*100)&lt;-50,"NM",(CA583/BS583-1)*100)))</f>
        <v>0</v>
      </c>
      <c r="CC583" s="351">
        <f t="shared" si="3217"/>
        <v>100</v>
      </c>
      <c r="CD583" s="429">
        <f>IF(ISERROR((CC583/BU583-1)*100),"NA",IF(((CC583/BU583-1)*100)&gt;100,"NM",IF(((CC583/BU583-1)*100)&lt;-50,"NM",(CC583/BU583-1)*100)))</f>
        <v>0</v>
      </c>
      <c r="CE583" s="351">
        <f t="shared" si="3218"/>
        <v>100</v>
      </c>
      <c r="CF583" s="429">
        <f>IF(ISERROR((CE583/BW583-1)*100),"NA",IF(((CE583/BW583-1)*100)&gt;100,"NM",IF(((CE583/BW583-1)*100)&lt;-50,"NM",(CE583/BW583-1)*100)))</f>
        <v>0</v>
      </c>
      <c r="CG583" s="351">
        <f t="shared" si="3219"/>
        <v>100</v>
      </c>
      <c r="CH583" s="429">
        <f>IF(ISERROR((CG583/BY583-1)*100),"NA",IF(((CG583/BY583-1)*100)&gt;100,"NM",IF(((CG583/BY583-1)*100)&lt;-50,"NM",(CG583/BY583-1)*100)))</f>
        <v>0</v>
      </c>
      <c r="CI583" s="351">
        <f t="shared" si="3220"/>
        <v>100</v>
      </c>
      <c r="CJ583" s="429">
        <f>IF(ISERROR((CI583/CA583-1)*100),"NA",IF(((CI583/CA583-1)*100)&gt;100,"NM",IF(((CI583/CA583-1)*100)&lt;-50,"NM",(CI583/CA583-1)*100)))</f>
        <v>0</v>
      </c>
      <c r="CK583" s="351">
        <f t="shared" si="3221"/>
        <v>100</v>
      </c>
      <c r="CL583" s="429">
        <f>IF(ISERROR((CK583/CC583-1)*100),"NA",IF(((CK583/CC583-1)*100)&gt;100,"NM",IF(((CK583/CC583-1)*100)&lt;-50,"NM",(CK583/CC583-1)*100)))</f>
        <v>0</v>
      </c>
      <c r="CM583" s="351">
        <f t="shared" si="3222"/>
        <v>100</v>
      </c>
      <c r="CN583" s="429">
        <f>IF(ISERROR((CM583/CE583-1)*100),"NA",IF(((CM583/CE583-1)*100)&gt;100,"NM",IF(((CM583/CE583-1)*100)&lt;-50,"NM",(CM583/CE583-1)*100)))</f>
        <v>0</v>
      </c>
      <c r="CO583" s="351">
        <f t="shared" si="3223"/>
        <v>100</v>
      </c>
      <c r="CP583" s="429">
        <f>IF(ISERROR((CO583/CG583-1)*100),"NA",IF(((CO583/CG583-1)*100)&gt;100,"NM",IF(((CO583/CG583-1)*100)&lt;-50,"NM",(CO583/CG583-1)*100)))</f>
        <v>0</v>
      </c>
      <c r="CQ583" s="351">
        <f t="shared" si="3224"/>
        <v>100</v>
      </c>
      <c r="CR583" s="429">
        <f>IF(ISERROR((CQ583/CI583-1)*100),"NA",IF(((CQ583/CI583-1)*100)&gt;100,"NM",IF(((CQ583/CI583-1)*100)&lt;-50,"NM",(CQ583/CI583-1)*100)))</f>
        <v>0</v>
      </c>
      <c r="CS583" s="351">
        <f t="shared" si="3225"/>
        <v>100</v>
      </c>
      <c r="CT583" s="429">
        <f>IF(ISERROR((CS583/CK583-1)*100),"NA",IF(((CS583/CK583-1)*100)&gt;100,"NM",IF(((CS583/CK583-1)*100)&lt;-50,"NM",(CS583/CK583-1)*100)))</f>
        <v>0</v>
      </c>
      <c r="CU583" s="351">
        <f t="shared" si="3226"/>
        <v>100</v>
      </c>
      <c r="CV583" s="61">
        <f>IF(ISERROR((CU583/CM583-1)*100),"NA",IF(((CU583/CM583-1)*100)&gt;100,"NM",IF(((CU583/CM583-1)*100)&lt;-50,"NM",(CU583/CM583-1)*100)))</f>
        <v>0</v>
      </c>
      <c r="CW583" s="351">
        <f t="shared" si="3227"/>
        <v>100</v>
      </c>
      <c r="CX583" s="61">
        <f>IF(ISERROR((CW583/CO583-1)*100),"NA",IF(((CW583/CO583-1)*100)&gt;100,"NM",IF(((CW583/CO583-1)*100)&lt;-50,"NM",(CW583/CO583-1)*100)))</f>
        <v>0</v>
      </c>
      <c r="CY583" s="351">
        <f t="shared" si="3227"/>
        <v>100</v>
      </c>
      <c r="CZ583" s="61">
        <f>IF(ISERROR((CY583/CQ583-1)*100),"NA",IF(((CY583/CQ583-1)*100)&gt;100,"NM",IF(((CY583/CQ583-1)*100)&lt;-50,"NM",(CY583/CQ583-1)*100)))</f>
        <v>0</v>
      </c>
      <c r="DA583" s="351">
        <f t="shared" si="3228"/>
        <v>100</v>
      </c>
      <c r="DB583" s="61">
        <f>IF(ISERROR((DA583/CS583-1)*100),"NA",IF(((DA583/CS583-1)*100)&gt;100,"NM",IF(((DA583/CS583-1)*100)&lt;-50,"NM",(DA583/CS583-1)*100)))</f>
        <v>0</v>
      </c>
      <c r="DC583" s="351">
        <f t="shared" si="3228"/>
        <v>100</v>
      </c>
      <c r="DD583" s="61">
        <f>IF(ISERROR((DC583/CU583-1)*100),"NA",IF(((DC583/CU583-1)*100)&gt;100,"NM",IF(((DC583/CU583-1)*100)&lt;-50,"NM",(DC583/CU583-1)*100)))</f>
        <v>0</v>
      </c>
      <c r="DE583" s="351">
        <f t="shared" si="3229"/>
        <v>100</v>
      </c>
      <c r="DF583" s="61">
        <f>IF(ISERROR((DE583/CW583-1)*100),"NA",IF(((DE583/CW583-1)*100)&gt;100,"NM",IF(((DE583/CW583-1)*100)&lt;-50,"NM",(DE583/CW583-1)*100)))</f>
        <v>0</v>
      </c>
      <c r="DG583" s="351">
        <f t="shared" si="3229"/>
        <v>100</v>
      </c>
      <c r="DH583" s="61">
        <f>IF(ISERROR((DG583/CY583-1)*100),"NA",IF(((DG583/CY583-1)*100)&gt;100,"NM",IF(((DG583/CY583-1)*100)&lt;-50,"NM",(DG583/CY583-1)*100)))</f>
        <v>0</v>
      </c>
      <c r="DI583" s="351">
        <f t="shared" si="3230"/>
        <v>100</v>
      </c>
      <c r="DJ583" s="61">
        <f>IF(ISERROR((DI583/DA583-1)*100),"NA",IF(((DI583/DA583-1)*100)&gt;100,"NM",IF(((DI583/DA583-1)*100)&lt;-50,"NM",(DI583/DA583-1)*100)))</f>
        <v>0</v>
      </c>
      <c r="DK583" s="351">
        <f t="shared" si="3230"/>
        <v>100</v>
      </c>
      <c r="DL583" s="61">
        <f>IF(ISERROR((DK583/DC583-1)*100),"NA",IF(((DK583/DC583-1)*100)&gt;100,"NM",IF(((DK583/DC583-1)*100)&lt;-50,"NM",(DK583/DC583-1)*100)))</f>
        <v>0</v>
      </c>
      <c r="DM583" s="351">
        <f t="shared" ref="DM583:DO583" si="3316">DM533/DM$533*100</f>
        <v>100</v>
      </c>
      <c r="DN583" s="130">
        <f t="shared" si="3145"/>
        <v>0</v>
      </c>
      <c r="DO583" s="351">
        <f t="shared" si="3316"/>
        <v>100</v>
      </c>
      <c r="DP583" s="130">
        <f t="shared" si="3145"/>
        <v>0</v>
      </c>
      <c r="DQ583" s="351">
        <f t="shared" ref="DQ583:DS583" si="3317">DQ533/DQ$533*100</f>
        <v>100</v>
      </c>
      <c r="DR583" s="130">
        <f t="shared" si="3145"/>
        <v>0</v>
      </c>
      <c r="DS583" s="351">
        <f t="shared" si="3317"/>
        <v>100</v>
      </c>
      <c r="DT583" s="130">
        <f t="shared" si="3145"/>
        <v>0</v>
      </c>
      <c r="DU583" s="351">
        <f t="shared" ref="DU583:DW583" si="3318">DU533/DU$533*100</f>
        <v>100</v>
      </c>
      <c r="DV583" s="130">
        <f t="shared" si="3145"/>
        <v>0</v>
      </c>
      <c r="DW583" s="351">
        <f t="shared" si="3318"/>
        <v>100</v>
      </c>
      <c r="DX583" s="351">
        <f t="shared" ref="DX583:DY583" si="3319">DX533/DX$533*100</f>
        <v>100</v>
      </c>
      <c r="DY583" s="351">
        <f t="shared" si="3319"/>
        <v>100</v>
      </c>
      <c r="DZ583" s="130">
        <f t="shared" si="3145"/>
        <v>0</v>
      </c>
      <c r="EA583" s="351">
        <f t="shared" ref="EA583:EC583" si="3320">EA533/EA$533*100</f>
        <v>100</v>
      </c>
      <c r="EB583" s="130">
        <f t="shared" si="3148"/>
        <v>0</v>
      </c>
      <c r="EC583" s="351">
        <f t="shared" si="3320"/>
        <v>100</v>
      </c>
      <c r="ED583" s="130">
        <f t="shared" si="3149"/>
        <v>0</v>
      </c>
      <c r="EE583" s="351">
        <f t="shared" ref="EE583:EG583" si="3321">EE533/EE$533*100</f>
        <v>100</v>
      </c>
      <c r="EF583" s="130">
        <f t="shared" si="3151"/>
        <v>0</v>
      </c>
      <c r="EG583" s="351">
        <f t="shared" si="3321"/>
        <v>100</v>
      </c>
      <c r="EH583" s="130">
        <f t="shared" si="3152"/>
        <v>0</v>
      </c>
      <c r="EI583" s="351">
        <f t="shared" ref="EI583:EK583" si="3322">EI533/EI$533*100</f>
        <v>100</v>
      </c>
      <c r="EJ583" s="130">
        <f t="shared" si="3154"/>
        <v>0</v>
      </c>
      <c r="EK583" s="351">
        <f t="shared" si="3322"/>
        <v>100</v>
      </c>
      <c r="EL583" s="130">
        <f t="shared" si="3155"/>
        <v>0</v>
      </c>
      <c r="EM583" s="351">
        <f t="shared" ref="EM583" si="3323">EM533/EM$533*100</f>
        <v>100</v>
      </c>
      <c r="EN583" s="130">
        <f t="shared" si="3157"/>
        <v>0</v>
      </c>
      <c r="EO583" s="351">
        <f t="shared" si="3239"/>
        <v>100</v>
      </c>
      <c r="EP583" s="130">
        <f t="shared" si="3159"/>
        <v>0</v>
      </c>
      <c r="EQ583" s="351">
        <f t="shared" ref="EQ583" si="3324">EQ533/EQ$533*100</f>
        <v>100</v>
      </c>
      <c r="ER583" s="130">
        <f t="shared" si="3161"/>
        <v>0</v>
      </c>
      <c r="ES583" s="351">
        <f t="shared" ref="ES583" si="3325">ES533/ES$533*100</f>
        <v>100</v>
      </c>
      <c r="ET583" s="130">
        <f t="shared" si="3162"/>
        <v>0</v>
      </c>
      <c r="EU583" s="351">
        <f t="shared" ref="EU583" si="3326">EU533/EU$533*100</f>
        <v>100</v>
      </c>
      <c r="EV583" s="130">
        <f t="shared" si="3163"/>
        <v>0</v>
      </c>
      <c r="EW583" s="351">
        <f t="shared" ref="EW583" si="3327">EW533/EW$533*100</f>
        <v>100</v>
      </c>
      <c r="EX583" s="130">
        <f t="shared" si="3164"/>
        <v>0</v>
      </c>
      <c r="EY583" s="430"/>
      <c r="EZ583" s="558"/>
      <c r="FA583" s="430"/>
      <c r="FB583" s="351"/>
      <c r="FC583" s="431"/>
      <c r="FD583" s="351"/>
      <c r="FE583" s="429"/>
      <c r="FF583" s="351"/>
      <c r="FG583" s="429"/>
      <c r="FH583" s="351"/>
      <c r="FI583" s="429"/>
      <c r="FJ583" s="351"/>
      <c r="FK583" s="429"/>
      <c r="FL583" s="351"/>
      <c r="FM583" s="429"/>
      <c r="FN583" s="351"/>
      <c r="FO583" s="429"/>
      <c r="FP583" s="432">
        <f>FP533/FP$533*100</f>
        <v>100</v>
      </c>
      <c r="FQ583" s="429" t="str">
        <f>IF(ISERROR((FP583/FH583-1)*100),"NA",IF(((FP583/FH583-1)*100)&gt;100,"NM",IF(((FP583/FH583-1)*100)&lt;-50,"NM",(FP583/FH583-1)*100)))</f>
        <v>NA</v>
      </c>
      <c r="FR583" s="432">
        <f t="shared" si="3244"/>
        <v>100</v>
      </c>
      <c r="FS583" s="429">
        <f>IF(ISERROR((FR583/FP583-1)*100),"NA",IF(((FR583/FP583-1)*100)&gt;100,"NM",IF(((FR583/FP583-1)*100)&lt;-50,"NM",(FR583/FP583-1)*100)))</f>
        <v>0</v>
      </c>
      <c r="FT583" s="432">
        <f t="shared" si="3245"/>
        <v>100</v>
      </c>
      <c r="FU583" s="429">
        <f>IF(ISERROR((FT583/FR583-1)*100),"NA",IF(((FT583/FR583-1)*100)&gt;100,"NM",IF(((FT583/FR583-1)*100)&lt;-50,"NM",(FT583/FR583-1)*100)))</f>
        <v>0</v>
      </c>
      <c r="FV583" s="432">
        <f t="shared" si="3246"/>
        <v>100</v>
      </c>
      <c r="FW583" s="429">
        <f>IF(ISERROR((FV583/FT583-1)*100),"NA",IF(((FV583/FT583-1)*100)&gt;100,"NM",IF(((FV583/FT583-1)*100)&lt;-50,"NM",(FV583/FT583-1)*100)))</f>
        <v>0</v>
      </c>
      <c r="FX583" s="432">
        <f t="shared" si="3247"/>
        <v>100</v>
      </c>
      <c r="FY583" s="429">
        <f>IF(ISERROR((FX583/FV583-1)*100),"NA",IF(((FX583/FV583-1)*100)&gt;100,"NM",IF(((FX583/FV583-1)*100)&lt;-50,"NM",(FX583/FV583-1)*100)))</f>
        <v>0</v>
      </c>
      <c r="FZ583" s="432">
        <f t="shared" si="3248"/>
        <v>100</v>
      </c>
      <c r="GA583" s="429">
        <f>IF(ISERROR((FZ583/FX583-1)*100),"NA",IF(((FZ583/FX583-1)*100)&gt;100,"NM",IF(((FZ583/FX583-1)*100)&lt;-50,"NM",(FZ583/FX583-1)*100)))</f>
        <v>0</v>
      </c>
      <c r="GB583" s="432">
        <f t="shared" si="3249"/>
        <v>100</v>
      </c>
      <c r="GC583" s="429">
        <f>IF(ISERROR((GB583/FZ583-1)*100),"NA",IF(((GB583/FZ583-1)*100)&gt;100,"NM",IF(((GB583/FZ583-1)*100)&lt;-50,"NM",(GB583/FZ583-1)*100)))</f>
        <v>0</v>
      </c>
      <c r="GD583" s="432">
        <f t="shared" si="3250"/>
        <v>100</v>
      </c>
      <c r="GE583" s="429">
        <f>IF(ISERROR((GD583/GB583-1)*100),"NA",IF(((GD583/GB583-1)*100)&gt;100,"NM",IF(((GD583/GB583-1)*100)&lt;-50,"NM",(GD583/GB583-1)*100)))</f>
        <v>0</v>
      </c>
      <c r="GF583" s="432">
        <f t="shared" si="3251"/>
        <v>100</v>
      </c>
      <c r="GG583" s="429">
        <f>IF(ISERROR((GF583/GD583-1)*100),"NA",IF(((GF583/GD583-1)*100)&gt;100,"NM",IF(((GF583/GD583-1)*100)&lt;-50,"NM",(GF583/GD583-1)*100)))</f>
        <v>0</v>
      </c>
      <c r="GH583" s="432">
        <f t="shared" si="3252"/>
        <v>100</v>
      </c>
      <c r="GI583" s="429">
        <f>IF(ISERROR((GH583/GF583-1)*100),"NA",IF(((GH583/GF583-1)*100)&gt;100,"NM",IF(((GH583/GF583-1)*100)&lt;-50,"NM",(GH583/GF583-1)*100)))</f>
        <v>0</v>
      </c>
      <c r="GJ583" s="432">
        <f t="shared" si="3253"/>
        <v>100</v>
      </c>
      <c r="GK583" s="429">
        <f>IF(ISERROR((GJ583/GH583-1)*100),"NA",IF(((GJ583/GH583-1)*100)&gt;100,"NM",IF(((GJ583/GH583-1)*100)&lt;-50,"NM",(GJ583/GH583-1)*100)))</f>
        <v>0</v>
      </c>
      <c r="GL583" s="432">
        <f t="shared" si="3254"/>
        <v>100</v>
      </c>
      <c r="GM583" s="429">
        <f>IF(ISERROR((GL583/GJ583-1)*100),"NA",IF(((GL583/GJ583-1)*100)&gt;100,"NM",IF(((GL583/GJ583-1)*100)&lt;-50,"NM",(GL583/GJ583-1)*100)))</f>
        <v>0</v>
      </c>
      <c r="GN583" s="432">
        <f t="shared" si="3255"/>
        <v>100</v>
      </c>
      <c r="GO583" s="429">
        <f>IF(ISERROR((GN583/GL583-1)*100),"NA",IF(((GN583/GL583-1)*100)&gt;100,"NM",IF(((GN583/GL583-1)*100)&lt;-50,"NM",(GN583/GL583-1)*100)))</f>
        <v>0</v>
      </c>
      <c r="GP583" s="432">
        <f t="shared" si="3256"/>
        <v>100</v>
      </c>
      <c r="GQ583" s="429">
        <f>IF(ISERROR((GP583/GN583-1)*100),"NA",IF(((GP583/GN583-1)*100)&gt;100,"NM",IF(((GP583/GN583-1)*100)&lt;-50,"NM",(GP583/GN583-1)*100)))</f>
        <v>0</v>
      </c>
      <c r="GR583" s="351">
        <f t="shared" si="3257"/>
        <v>100</v>
      </c>
      <c r="GS583" s="429">
        <f>IF(ISERROR((GR583/GP583-1)*100),"NA",IF(((GR583/GP583-1)*100)&gt;100,"NM",IF(((GR583/GP583-1)*100)&lt;-50,"NM",(GR583/GP583-1)*100)))</f>
        <v>0</v>
      </c>
      <c r="GT583" s="351">
        <f t="shared" ref="GT583:GV583" si="3328">GT533/GT$533*100</f>
        <v>100</v>
      </c>
      <c r="GU583" s="429">
        <f>IF(ISERROR((GT583/GR583-1)*100),"NA",IF(((GT583/GR583-1)*100)&gt;100,"NM",IF(((GT583/GR583-1)*100)&lt;-50,"NM",(GT583/GR583-1)*100)))</f>
        <v>0</v>
      </c>
      <c r="GV583" s="351">
        <f t="shared" si="3328"/>
        <v>100</v>
      </c>
      <c r="GW583" s="429">
        <f>IF(ISERROR((GV583/GT583-1)*100),"NA",IF(((GV583/GT583-1)*100)&gt;100,"NM",IF(((GV583/GT583-1)*100)&lt;-50,"NM",(GV583/GT583-1)*100)))</f>
        <v>0</v>
      </c>
      <c r="GX583" s="351">
        <f t="shared" ref="GX583" si="3329">GX533/GX$533*100</f>
        <v>100</v>
      </c>
      <c r="GY583" s="429">
        <f>IF(ISERROR((GX583/GV583-1)*100),"NA",IF(((GX583/GV583-1)*100)&gt;100,"NM",IF(((GX583/GV583-1)*100)&lt;-50,"NM",(GX583/GV583-1)*100)))</f>
        <v>0</v>
      </c>
      <c r="GZ583" s="61">
        <f t="shared" si="3107"/>
        <v>0</v>
      </c>
      <c r="HA583" s="61"/>
      <c r="HB583" s="452"/>
      <c r="HC583"/>
      <c r="HD583"/>
      <c r="HE583"/>
      <c r="HF583"/>
      <c r="HG583"/>
      <c r="HH583"/>
    </row>
    <row r="584" spans="1:216" s="5" customFormat="1" ht="12.75" customHeight="1" x14ac:dyDescent="0.2">
      <c r="B584" s="123"/>
      <c r="C584" s="353"/>
      <c r="D584" s="354"/>
      <c r="E584" s="353"/>
      <c r="F584" s="353"/>
      <c r="G584" s="64"/>
      <c r="H584" s="353"/>
      <c r="I584" s="64"/>
      <c r="J584" s="353"/>
      <c r="K584" s="64"/>
      <c r="L584" s="61"/>
      <c r="M584" s="353"/>
      <c r="N584" s="61"/>
      <c r="O584" s="64"/>
      <c r="P584" s="61"/>
      <c r="Q584" s="64"/>
      <c r="R584" s="61"/>
      <c r="S584" s="64"/>
      <c r="T584" s="61"/>
      <c r="U584" s="64"/>
      <c r="V584" s="61"/>
      <c r="W584" s="64"/>
      <c r="X584" s="61"/>
      <c r="Y584" s="64"/>
      <c r="Z584" s="61"/>
      <c r="AA584" s="64"/>
      <c r="AB584" s="61"/>
      <c r="AC584" s="64"/>
      <c r="AD584" s="61"/>
      <c r="AE584" s="64"/>
      <c r="AF584" s="61"/>
      <c r="AG584" s="64"/>
      <c r="AH584" s="61"/>
      <c r="AI584" s="64"/>
      <c r="AJ584" s="61"/>
      <c r="AK584" s="64"/>
      <c r="AL584" s="61"/>
      <c r="AM584" s="64"/>
      <c r="AN584" s="61"/>
      <c r="AO584" s="64"/>
      <c r="AP584" s="61"/>
      <c r="AQ584" s="64"/>
      <c r="AR584" s="61"/>
      <c r="AS584" s="64"/>
      <c r="AT584" s="61"/>
      <c r="AU584" s="64"/>
      <c r="AV584" s="61"/>
      <c r="AW584" s="64"/>
      <c r="AX584" s="61"/>
      <c r="AY584" s="64"/>
      <c r="AZ584" s="61"/>
      <c r="BA584" s="64"/>
      <c r="BB584" s="61"/>
      <c r="BC584" s="64"/>
      <c r="BD584" s="61"/>
      <c r="BE584" s="64"/>
      <c r="BF584" s="61"/>
      <c r="BG584" s="64"/>
      <c r="BH584" s="61"/>
      <c r="BI584" s="64"/>
      <c r="BJ584" s="61"/>
      <c r="BK584" s="64"/>
      <c r="BL584" s="61"/>
      <c r="BM584" s="64"/>
      <c r="BN584" s="61"/>
      <c r="BO584" s="64"/>
      <c r="BP584" s="61"/>
      <c r="BQ584" s="64"/>
      <c r="BR584" s="61"/>
      <c r="BS584" s="64"/>
      <c r="BT584" s="61"/>
      <c r="BU584" s="64"/>
      <c r="BV584" s="61"/>
      <c r="BW584" s="64"/>
      <c r="BX584" s="61"/>
      <c r="BY584" s="64"/>
      <c r="BZ584" s="61"/>
      <c r="CA584" s="64"/>
      <c r="CB584" s="61"/>
      <c r="CC584" s="64"/>
      <c r="CD584" s="61"/>
      <c r="CE584" s="64"/>
      <c r="CF584" s="61"/>
      <c r="CG584" s="64"/>
      <c r="CH584" s="61"/>
      <c r="CI584" s="64"/>
      <c r="CJ584" s="61"/>
      <c r="CK584" s="64"/>
      <c r="CL584" s="61"/>
      <c r="CM584" s="64"/>
      <c r="CN584" s="61"/>
      <c r="CO584" s="64"/>
      <c r="CP584" s="61"/>
      <c r="CQ584" s="64"/>
      <c r="CR584" s="61"/>
      <c r="CS584" s="64"/>
      <c r="CT584" s="61"/>
      <c r="CU584" s="64"/>
      <c r="CV584" s="61"/>
      <c r="CW584" s="64"/>
      <c r="CX584" s="61"/>
      <c r="CY584" s="64"/>
      <c r="CZ584" s="61"/>
      <c r="DA584" s="64"/>
      <c r="DB584" s="61"/>
      <c r="DC584" s="64"/>
      <c r="DD584" s="61"/>
      <c r="DE584" s="64"/>
      <c r="DF584" s="61"/>
      <c r="DG584" s="64"/>
      <c r="DH584" s="61"/>
      <c r="DI584" s="64"/>
      <c r="DJ584" s="61"/>
      <c r="DK584" s="64"/>
      <c r="DL584" s="61"/>
      <c r="DM584" s="64"/>
      <c r="DN584" s="61"/>
      <c r="DO584" s="64"/>
      <c r="DP584" s="61"/>
      <c r="DQ584" s="64"/>
      <c r="DR584" s="61"/>
      <c r="DS584" s="64"/>
      <c r="DT584" s="61"/>
      <c r="DU584" s="64"/>
      <c r="DV584" s="61"/>
      <c r="DW584" s="64"/>
      <c r="DX584" s="64"/>
      <c r="DY584" s="64"/>
      <c r="DZ584" s="61"/>
      <c r="EA584" s="64"/>
      <c r="EB584" s="61"/>
      <c r="EC584" s="64"/>
      <c r="ED584" s="61"/>
      <c r="EE584" s="64"/>
      <c r="EF584" s="61"/>
      <c r="EG584" s="64"/>
      <c r="EH584" s="61"/>
      <c r="EI584" s="64"/>
      <c r="EJ584" s="61"/>
      <c r="EK584" s="64"/>
      <c r="EL584" s="61"/>
      <c r="EM584" s="64"/>
      <c r="EN584" s="61"/>
      <c r="EO584" s="64"/>
      <c r="EP584" s="61"/>
      <c r="EQ584" s="64"/>
      <c r="ER584" s="61"/>
      <c r="ES584" s="64"/>
      <c r="ET584" s="61"/>
      <c r="EU584" s="64"/>
      <c r="EV584" s="61"/>
      <c r="EW584" s="64"/>
      <c r="EX584" s="61"/>
      <c r="EY584" s="64"/>
      <c r="EZ584" s="558"/>
      <c r="FA584" s="64"/>
      <c r="FB584" s="66"/>
      <c r="FC584" s="353"/>
      <c r="FD584" s="66"/>
      <c r="FE584" s="354"/>
      <c r="FF584" s="66"/>
      <c r="FG584" s="354"/>
      <c r="FH584" s="66"/>
      <c r="FI584" s="354"/>
      <c r="FJ584" s="66"/>
      <c r="FK584" s="354"/>
      <c r="FL584" s="66"/>
      <c r="FM584" s="61"/>
      <c r="FN584" s="66"/>
      <c r="FO584" s="61"/>
      <c r="FP584" s="65"/>
      <c r="FQ584" s="61"/>
      <c r="FR584" s="65"/>
      <c r="FS584" s="61"/>
      <c r="FT584" s="65"/>
      <c r="FU584" s="61"/>
      <c r="FV584" s="65"/>
      <c r="FW584" s="61"/>
      <c r="FX584" s="65"/>
      <c r="FY584" s="61"/>
      <c r="FZ584" s="65"/>
      <c r="GA584" s="61"/>
      <c r="GB584" s="65"/>
      <c r="GC584" s="61"/>
      <c r="GD584" s="65"/>
      <c r="GE584" s="61"/>
      <c r="GF584" s="65"/>
      <c r="GG584" s="61"/>
      <c r="GH584" s="65"/>
      <c r="GI584" s="61"/>
      <c r="GJ584" s="65"/>
      <c r="GK584" s="61"/>
      <c r="GL584" s="65"/>
      <c r="GM584" s="61"/>
      <c r="GN584" s="65"/>
      <c r="GO584" s="61"/>
      <c r="GP584" s="65"/>
      <c r="GQ584" s="61"/>
      <c r="GR584" s="64"/>
      <c r="GS584" s="61"/>
      <c r="GT584" s="64"/>
      <c r="GU584" s="61"/>
      <c r="GV584" s="64"/>
      <c r="GW584" s="61"/>
      <c r="GX584" s="64"/>
      <c r="GY584" s="61"/>
      <c r="GZ584" s="61" t="str">
        <f t="shared" si="3107"/>
        <v/>
      </c>
      <c r="HA584" s="61"/>
      <c r="HB584" s="452"/>
      <c r="HC584"/>
      <c r="HD584"/>
      <c r="HE584"/>
      <c r="HF584"/>
      <c r="HG584"/>
      <c r="HH584"/>
    </row>
    <row r="585" spans="1:216" s="623" customFormat="1" ht="12.75" customHeight="1" x14ac:dyDescent="0.2">
      <c r="B585" s="624" t="s">
        <v>55</v>
      </c>
      <c r="C585" s="625"/>
      <c r="D585" s="626"/>
      <c r="E585" s="625"/>
      <c r="F585" s="625"/>
      <c r="G585" s="625"/>
      <c r="H585" s="625"/>
      <c r="I585" s="625"/>
      <c r="J585" s="625"/>
      <c r="K585" s="625"/>
      <c r="L585" s="627"/>
      <c r="M585" s="625"/>
      <c r="N585" s="627"/>
      <c r="O585" s="625"/>
      <c r="P585" s="627"/>
      <c r="Q585" s="625"/>
      <c r="R585" s="627"/>
      <c r="S585" s="625"/>
      <c r="T585" s="627"/>
      <c r="U585" s="625"/>
      <c r="V585" s="627"/>
      <c r="W585" s="625"/>
      <c r="X585" s="627"/>
      <c r="Y585" s="625"/>
      <c r="Z585" s="627"/>
      <c r="AA585" s="625"/>
      <c r="AB585" s="627"/>
      <c r="AC585" s="625"/>
      <c r="AD585" s="627"/>
      <c r="AE585" s="625"/>
      <c r="AF585" s="627"/>
      <c r="AG585" s="625"/>
      <c r="AH585" s="627"/>
      <c r="AI585" s="625"/>
      <c r="AJ585" s="627"/>
      <c r="AK585" s="625"/>
      <c r="AL585" s="627"/>
      <c r="AM585" s="625"/>
      <c r="AN585" s="627"/>
      <c r="AO585" s="625"/>
      <c r="AP585" s="627"/>
      <c r="AQ585" s="625"/>
      <c r="AR585" s="627"/>
      <c r="AS585" s="625"/>
      <c r="AT585" s="627"/>
      <c r="AU585" s="625"/>
      <c r="AV585" s="627"/>
      <c r="AW585" s="625"/>
      <c r="AX585" s="627"/>
      <c r="AY585" s="625"/>
      <c r="AZ585" s="627"/>
      <c r="BA585" s="625"/>
      <c r="BB585" s="627"/>
      <c r="BC585" s="625"/>
      <c r="BD585" s="627"/>
      <c r="BE585" s="625"/>
      <c r="BF585" s="627"/>
      <c r="BG585" s="625"/>
      <c r="BH585" s="627"/>
      <c r="BI585" s="625"/>
      <c r="BJ585" s="627"/>
      <c r="BK585" s="625"/>
      <c r="BL585" s="627"/>
      <c r="BM585" s="625"/>
      <c r="BN585" s="627"/>
      <c r="BO585" s="625"/>
      <c r="BP585" s="627"/>
      <c r="BQ585" s="625"/>
      <c r="BR585" s="627"/>
      <c r="BS585" s="625"/>
      <c r="BT585" s="627"/>
      <c r="BU585" s="625"/>
      <c r="BV585" s="627"/>
      <c r="BW585" s="625"/>
      <c r="BX585" s="627"/>
      <c r="BY585" s="625"/>
      <c r="BZ585" s="627"/>
      <c r="CA585" s="625"/>
      <c r="CB585" s="627"/>
      <c r="CC585" s="625"/>
      <c r="CD585" s="627"/>
      <c r="CE585" s="625"/>
      <c r="CF585" s="627"/>
      <c r="CG585" s="625"/>
      <c r="CH585" s="627"/>
      <c r="CI585" s="625"/>
      <c r="CJ585" s="627"/>
      <c r="CK585" s="625"/>
      <c r="CL585" s="627"/>
      <c r="CM585" s="625"/>
      <c r="CN585" s="627"/>
      <c r="CO585" s="625"/>
      <c r="CP585" s="627"/>
      <c r="CQ585" s="625"/>
      <c r="CR585" s="627"/>
      <c r="CS585" s="625"/>
      <c r="CT585" s="627"/>
      <c r="CU585" s="625"/>
      <c r="CV585" s="627"/>
      <c r="CW585" s="625"/>
      <c r="CX585" s="627"/>
      <c r="CY585" s="625"/>
      <c r="CZ585" s="627"/>
      <c r="DA585" s="625"/>
      <c r="DB585" s="627"/>
      <c r="DC585" s="625"/>
      <c r="DD585" s="627"/>
      <c r="DE585" s="625"/>
      <c r="DF585" s="627"/>
      <c r="DG585" s="625"/>
      <c r="DH585" s="627"/>
      <c r="DI585" s="625"/>
      <c r="DJ585" s="627"/>
      <c r="DK585" s="625"/>
      <c r="DL585" s="627"/>
      <c r="DM585" s="625"/>
      <c r="DN585" s="627"/>
      <c r="DO585" s="625"/>
      <c r="DP585" s="627"/>
      <c r="DQ585" s="625"/>
      <c r="DR585" s="627"/>
      <c r="DS585" s="625"/>
      <c r="DT585" s="627"/>
      <c r="DU585" s="625"/>
      <c r="DV585" s="627"/>
      <c r="DW585" s="625"/>
      <c r="DX585" s="625"/>
      <c r="DY585" s="625"/>
      <c r="DZ585" s="627"/>
      <c r="EA585" s="625"/>
      <c r="EB585" s="627"/>
      <c r="EC585" s="625"/>
      <c r="ED585" s="627"/>
      <c r="EE585" s="625"/>
      <c r="EF585" s="627"/>
      <c r="EG585" s="625"/>
      <c r="EH585" s="627"/>
      <c r="EI585" s="625"/>
      <c r="EJ585" s="627"/>
      <c r="EK585" s="625"/>
      <c r="EL585" s="627"/>
      <c r="EM585" s="625"/>
      <c r="EN585" s="627"/>
      <c r="EO585" s="625"/>
      <c r="EP585" s="627"/>
      <c r="EQ585" s="625"/>
      <c r="ER585" s="627"/>
      <c r="ES585" s="625"/>
      <c r="ET585" s="627"/>
      <c r="EU585" s="625"/>
      <c r="EV585" s="627"/>
      <c r="EW585" s="625"/>
      <c r="EX585" s="627"/>
      <c r="EY585" s="628"/>
      <c r="EZ585" s="558"/>
      <c r="FA585" s="628"/>
      <c r="FB585" s="625"/>
      <c r="FC585" s="625"/>
      <c r="FD585" s="625"/>
      <c r="FE585" s="626"/>
      <c r="FF585" s="625"/>
      <c r="FG585" s="626"/>
      <c r="FH585" s="625"/>
      <c r="FI585" s="626"/>
      <c r="FJ585" s="625"/>
      <c r="FK585" s="626"/>
      <c r="FL585" s="625"/>
      <c r="FM585" s="627"/>
      <c r="FN585" s="625"/>
      <c r="FO585" s="627"/>
      <c r="FP585" s="625"/>
      <c r="FQ585" s="627"/>
      <c r="FR585" s="625"/>
      <c r="FS585" s="627"/>
      <c r="FT585" s="625"/>
      <c r="FU585" s="627"/>
      <c r="FV585" s="625"/>
      <c r="FW585" s="627"/>
      <c r="FX585" s="625"/>
      <c r="FY585" s="627"/>
      <c r="FZ585" s="625"/>
      <c r="GA585" s="627"/>
      <c r="GB585" s="625"/>
      <c r="GC585" s="627"/>
      <c r="GD585" s="625"/>
      <c r="GE585" s="627"/>
      <c r="GF585" s="625"/>
      <c r="GG585" s="627"/>
      <c r="GH585" s="625"/>
      <c r="GI585" s="627"/>
      <c r="GJ585" s="625"/>
      <c r="GK585" s="627"/>
      <c r="GL585" s="625"/>
      <c r="GM585" s="627"/>
      <c r="GN585" s="625"/>
      <c r="GO585" s="627"/>
      <c r="GP585" s="625"/>
      <c r="GQ585" s="627"/>
      <c r="GR585" s="625"/>
      <c r="GS585" s="627"/>
      <c r="GT585" s="625"/>
      <c r="GU585" s="627"/>
      <c r="GV585" s="625"/>
      <c r="GW585" s="627"/>
      <c r="GX585" s="625"/>
      <c r="GY585" s="627"/>
      <c r="GZ585" s="627"/>
      <c r="HA585" s="627"/>
      <c r="HB585" s="629"/>
      <c r="HC585"/>
      <c r="HD585"/>
      <c r="HE585"/>
      <c r="HF585"/>
      <c r="HG585"/>
      <c r="HH585"/>
    </row>
    <row r="586" spans="1:216" s="5" customFormat="1" ht="12.75" customHeight="1" x14ac:dyDescent="0.2">
      <c r="B586" s="355"/>
      <c r="C586" s="356"/>
      <c r="D586" s="107"/>
      <c r="E586" s="356"/>
      <c r="F586" s="64"/>
      <c r="G586" s="356"/>
      <c r="H586" s="64"/>
      <c r="I586" s="356"/>
      <c r="J586" s="64"/>
      <c r="K586" s="356"/>
      <c r="L586" s="61"/>
      <c r="M586" s="356"/>
      <c r="N586" s="61"/>
      <c r="O586" s="356"/>
      <c r="P586" s="61"/>
      <c r="Q586" s="356"/>
      <c r="R586" s="61"/>
      <c r="S586" s="356"/>
      <c r="T586" s="61"/>
      <c r="U586" s="356"/>
      <c r="V586" s="61"/>
      <c r="W586" s="356"/>
      <c r="X586" s="61"/>
      <c r="Y586" s="356"/>
      <c r="Z586" s="61"/>
      <c r="AA586" s="356"/>
      <c r="AB586" s="61"/>
      <c r="AC586" s="356"/>
      <c r="AD586" s="61"/>
      <c r="AE586" s="356"/>
      <c r="AF586" s="61"/>
      <c r="AG586" s="356"/>
      <c r="AH586" s="61"/>
      <c r="AI586" s="356"/>
      <c r="AJ586" s="61"/>
      <c r="AK586" s="356"/>
      <c r="AL586" s="61"/>
      <c r="AM586" s="356"/>
      <c r="AN586" s="61"/>
      <c r="AO586" s="356"/>
      <c r="AP586" s="61"/>
      <c r="AQ586" s="356"/>
      <c r="AR586" s="61"/>
      <c r="AS586" s="356"/>
      <c r="AT586" s="61"/>
      <c r="AU586" s="356"/>
      <c r="AV586" s="61"/>
      <c r="AW586" s="356"/>
      <c r="AX586" s="61"/>
      <c r="AY586" s="356"/>
      <c r="AZ586" s="61"/>
      <c r="BA586" s="356"/>
      <c r="BB586" s="61"/>
      <c r="BC586" s="356"/>
      <c r="BD586" s="61"/>
      <c r="BE586" s="356"/>
      <c r="BF586" s="61"/>
      <c r="BG586" s="356"/>
      <c r="BH586" s="61"/>
      <c r="BI586" s="356"/>
      <c r="BJ586" s="61"/>
      <c r="BK586" s="356"/>
      <c r="BL586" s="61"/>
      <c r="BM586" s="356"/>
      <c r="BN586" s="61"/>
      <c r="BO586" s="356"/>
      <c r="BP586" s="61"/>
      <c r="BQ586" s="356"/>
      <c r="BR586" s="61"/>
      <c r="BS586" s="356"/>
      <c r="BT586" s="61"/>
      <c r="BU586" s="356"/>
      <c r="BV586" s="61"/>
      <c r="BW586" s="356"/>
      <c r="BX586" s="61"/>
      <c r="BY586" s="356"/>
      <c r="BZ586" s="61"/>
      <c r="CA586" s="356"/>
      <c r="CB586" s="61"/>
      <c r="CC586" s="356"/>
      <c r="CD586" s="61"/>
      <c r="CE586" s="356"/>
      <c r="CF586" s="61"/>
      <c r="CG586" s="356"/>
      <c r="CH586" s="61"/>
      <c r="CI586" s="356"/>
      <c r="CJ586" s="61"/>
      <c r="CK586" s="356"/>
      <c r="CL586" s="61"/>
      <c r="CM586" s="356"/>
      <c r="CN586" s="61"/>
      <c r="CO586" s="356"/>
      <c r="CP586" s="61"/>
      <c r="CQ586" s="356"/>
      <c r="CR586" s="61"/>
      <c r="CS586" s="356"/>
      <c r="CT586" s="61"/>
      <c r="CU586" s="356"/>
      <c r="CV586" s="61"/>
      <c r="CW586" s="356"/>
      <c r="CX586" s="61"/>
      <c r="CY586" s="356"/>
      <c r="CZ586" s="61"/>
      <c r="DA586" s="356"/>
      <c r="DB586" s="61"/>
      <c r="DC586" s="356"/>
      <c r="DD586" s="61"/>
      <c r="DE586" s="356"/>
      <c r="DF586" s="61"/>
      <c r="DG586" s="356"/>
      <c r="DH586" s="61"/>
      <c r="DI586" s="356"/>
      <c r="DJ586" s="61"/>
      <c r="DK586" s="356"/>
      <c r="DL586" s="61"/>
      <c r="DM586" s="356"/>
      <c r="DN586" s="61"/>
      <c r="DO586" s="356"/>
      <c r="DP586" s="61"/>
      <c r="DQ586" s="356"/>
      <c r="DR586" s="61"/>
      <c r="DS586" s="356"/>
      <c r="DT586" s="61"/>
      <c r="DU586" s="356"/>
      <c r="DV586" s="61"/>
      <c r="DW586" s="356"/>
      <c r="DX586" s="356"/>
      <c r="DY586" s="356"/>
      <c r="DZ586" s="61"/>
      <c r="EA586" s="356"/>
      <c r="EB586" s="61"/>
      <c r="EC586" s="356"/>
      <c r="ED586" s="61"/>
      <c r="EE586" s="356"/>
      <c r="EF586" s="61"/>
      <c r="EG586" s="356"/>
      <c r="EH586" s="61"/>
      <c r="EI586" s="356"/>
      <c r="EJ586" s="61"/>
      <c r="EK586" s="356"/>
      <c r="EL586" s="61"/>
      <c r="EM586" s="356"/>
      <c r="EN586" s="61"/>
      <c r="EO586" s="356"/>
      <c r="EP586" s="61"/>
      <c r="EQ586" s="356"/>
      <c r="ER586" s="61"/>
      <c r="ES586" s="356"/>
      <c r="ET586" s="61"/>
      <c r="EU586" s="356"/>
      <c r="EV586" s="61"/>
      <c r="EW586" s="356"/>
      <c r="EX586" s="61"/>
      <c r="EY586" s="356"/>
      <c r="EZ586" s="558"/>
      <c r="FA586" s="356"/>
      <c r="FB586" s="356"/>
      <c r="FC586" s="64"/>
      <c r="FD586" s="64"/>
      <c r="FE586" s="107"/>
      <c r="FF586" s="356"/>
      <c r="FG586" s="107"/>
      <c r="FH586" s="356"/>
      <c r="FI586" s="107"/>
      <c r="FJ586" s="356"/>
      <c r="FK586" s="107"/>
      <c r="FL586" s="356"/>
      <c r="FM586" s="61"/>
      <c r="FN586" s="356"/>
      <c r="FO586" s="61"/>
      <c r="FP586" s="357"/>
      <c r="FQ586" s="61"/>
      <c r="FR586" s="357"/>
      <c r="FS586" s="61"/>
      <c r="FT586" s="357"/>
      <c r="FU586" s="61"/>
      <c r="FV586" s="357"/>
      <c r="FW586" s="61"/>
      <c r="FX586" s="357"/>
      <c r="FY586" s="61"/>
      <c r="FZ586" s="357"/>
      <c r="GA586" s="61"/>
      <c r="GB586" s="357"/>
      <c r="GC586" s="61"/>
      <c r="GD586" s="357"/>
      <c r="GE586" s="61"/>
      <c r="GF586" s="357"/>
      <c r="GG586" s="61"/>
      <c r="GH586" s="357"/>
      <c r="GI586" s="61"/>
      <c r="GJ586" s="357"/>
      <c r="GK586" s="61"/>
      <c r="GL586" s="357"/>
      <c r="GM586" s="61"/>
      <c r="GN586" s="357"/>
      <c r="GO586" s="61"/>
      <c r="GP586" s="357"/>
      <c r="GQ586" s="61"/>
      <c r="GR586" s="356"/>
      <c r="GS586" s="61"/>
      <c r="GT586" s="356"/>
      <c r="GU586" s="61"/>
      <c r="GV586" s="356"/>
      <c r="GW586" s="61"/>
      <c r="GX586" s="356"/>
      <c r="GY586" s="61"/>
      <c r="GZ586" s="61" t="str">
        <f t="shared" ref="GZ586:GZ602" si="3330">IF(ISERROR((GX586/GN586)^0.2),"",IF(OR((GX586/GN586)^0.2&lt;0.5,(GX586/GN586)^0.2&gt;2),"NM",((GX586/GN586)^0.2-1)*100))</f>
        <v/>
      </c>
      <c r="HA586" s="61"/>
      <c r="HB586" s="452"/>
      <c r="HC586"/>
      <c r="HD586"/>
      <c r="HE586"/>
      <c r="HF586"/>
      <c r="HG586"/>
      <c r="HH586"/>
    </row>
    <row r="587" spans="1:216" s="5" customFormat="1" ht="12.75" customHeight="1" x14ac:dyDescent="0.2">
      <c r="B587" s="106" t="s">
        <v>299</v>
      </c>
      <c r="C587" s="231"/>
      <c r="D587" s="107"/>
      <c r="E587" s="231"/>
      <c r="F587" s="64"/>
      <c r="G587" s="64"/>
      <c r="H587" s="64"/>
      <c r="I587" s="356"/>
      <c r="J587" s="64"/>
      <c r="K587" s="356"/>
      <c r="L587" s="61"/>
      <c r="M587" s="231"/>
      <c r="N587" s="61"/>
      <c r="O587" s="64"/>
      <c r="P587" s="61"/>
      <c r="Q587" s="64"/>
      <c r="R587" s="61"/>
      <c r="S587" s="64"/>
      <c r="T587" s="61"/>
      <c r="U587" s="356"/>
      <c r="V587" s="61"/>
      <c r="W587" s="64"/>
      <c r="X587" s="61"/>
      <c r="Y587" s="64"/>
      <c r="Z587" s="61"/>
      <c r="AA587" s="64"/>
      <c r="AB587" s="61"/>
      <c r="AC587" s="64"/>
      <c r="AD587" s="61"/>
      <c r="AE587" s="64"/>
      <c r="AF587" s="61"/>
      <c r="AG587" s="64"/>
      <c r="AH587" s="61"/>
      <c r="AI587" s="64"/>
      <c r="AJ587" s="61"/>
      <c r="AK587" s="64"/>
      <c r="AL587" s="61"/>
      <c r="AM587" s="64"/>
      <c r="AN587" s="61"/>
      <c r="AO587" s="64"/>
      <c r="AP587" s="61"/>
      <c r="AQ587" s="64"/>
      <c r="AR587" s="61"/>
      <c r="AS587" s="64"/>
      <c r="AT587" s="61"/>
      <c r="AU587" s="64"/>
      <c r="AV587" s="61"/>
      <c r="AW587" s="64"/>
      <c r="AX587" s="61"/>
      <c r="AY587" s="64"/>
      <c r="AZ587" s="61"/>
      <c r="BA587" s="64"/>
      <c r="BB587" s="61"/>
      <c r="BC587" s="64"/>
      <c r="BD587" s="61"/>
      <c r="BE587" s="64"/>
      <c r="BF587" s="61"/>
      <c r="BG587" s="64"/>
      <c r="BH587" s="61"/>
      <c r="BI587" s="64"/>
      <c r="BJ587" s="61"/>
      <c r="BK587" s="64"/>
      <c r="BL587" s="61"/>
      <c r="BM587" s="64"/>
      <c r="BN587" s="61"/>
      <c r="BO587" s="64"/>
      <c r="BP587" s="61"/>
      <c r="BQ587" s="64"/>
      <c r="BR587" s="61"/>
      <c r="BS587" s="64"/>
      <c r="BT587" s="61"/>
      <c r="BU587" s="64"/>
      <c r="BV587" s="61"/>
      <c r="BW587" s="356"/>
      <c r="BX587" s="61"/>
      <c r="BY587" s="356"/>
      <c r="BZ587" s="61"/>
      <c r="CA587" s="356"/>
      <c r="CB587" s="61"/>
      <c r="CC587" s="356"/>
      <c r="CD587" s="61"/>
      <c r="CE587" s="356"/>
      <c r="CF587" s="61"/>
      <c r="CG587" s="356"/>
      <c r="CH587" s="61"/>
      <c r="CI587" s="356"/>
      <c r="CJ587" s="61"/>
      <c r="CK587" s="356"/>
      <c r="CL587" s="61"/>
      <c r="CM587" s="356"/>
      <c r="CN587" s="61"/>
      <c r="CO587" s="356"/>
      <c r="CP587" s="61"/>
      <c r="CQ587" s="356"/>
      <c r="CR587" s="61"/>
      <c r="CS587" s="356"/>
      <c r="CT587" s="61"/>
      <c r="CU587" s="356"/>
      <c r="CV587" s="61"/>
      <c r="CW587" s="356"/>
      <c r="CX587" s="61"/>
      <c r="CY587" s="356"/>
      <c r="CZ587" s="61"/>
      <c r="DA587" s="356"/>
      <c r="DB587" s="61"/>
      <c r="DC587" s="356"/>
      <c r="DD587" s="61"/>
      <c r="DE587" s="356"/>
      <c r="DF587" s="61"/>
      <c r="DG587" s="356"/>
      <c r="DH587" s="61"/>
      <c r="DI587" s="356"/>
      <c r="DJ587" s="61"/>
      <c r="DK587" s="356"/>
      <c r="DL587" s="61"/>
      <c r="DM587" s="356"/>
      <c r="DN587" s="61"/>
      <c r="DO587" s="356"/>
      <c r="DP587" s="61"/>
      <c r="DQ587" s="356"/>
      <c r="DR587" s="61"/>
      <c r="DS587" s="356"/>
      <c r="DT587" s="61"/>
      <c r="DU587" s="356"/>
      <c r="DV587" s="61"/>
      <c r="DW587" s="356"/>
      <c r="DX587" s="356"/>
      <c r="DY587" s="356"/>
      <c r="DZ587" s="61"/>
      <c r="EA587" s="356"/>
      <c r="EB587" s="61"/>
      <c r="EC587" s="356"/>
      <c r="ED587" s="61"/>
      <c r="EE587" s="356"/>
      <c r="EF587" s="61"/>
      <c r="EG587" s="356"/>
      <c r="EH587" s="61"/>
      <c r="EI587" s="356"/>
      <c r="EJ587" s="61"/>
      <c r="EK587" s="356"/>
      <c r="EL587" s="61"/>
      <c r="EM587" s="356"/>
      <c r="EN587" s="61"/>
      <c r="EO587" s="356"/>
      <c r="EP587" s="61"/>
      <c r="EQ587" s="356"/>
      <c r="ER587" s="61"/>
      <c r="ES587" s="356"/>
      <c r="ET587" s="61"/>
      <c r="EU587" s="356"/>
      <c r="EV587" s="61"/>
      <c r="EW587" s="356"/>
      <c r="EX587" s="61"/>
      <c r="EY587" s="64"/>
      <c r="EZ587" s="558"/>
      <c r="FA587" s="64"/>
      <c r="FB587" s="356"/>
      <c r="FC587" s="64"/>
      <c r="FD587" s="64"/>
      <c r="FE587" s="107"/>
      <c r="FF587" s="356"/>
      <c r="FG587" s="107"/>
      <c r="FH587" s="356"/>
      <c r="FI587" s="107"/>
      <c r="FJ587" s="356"/>
      <c r="FK587" s="107"/>
      <c r="FL587" s="356"/>
      <c r="FM587" s="61"/>
      <c r="FN587" s="356"/>
      <c r="FO587" s="61"/>
      <c r="FP587" s="357"/>
      <c r="FQ587" s="61"/>
      <c r="FR587" s="357"/>
      <c r="FS587" s="61"/>
      <c r="FT587" s="357"/>
      <c r="FU587" s="61"/>
      <c r="FV587" s="357"/>
      <c r="FW587" s="61"/>
      <c r="FX587" s="357"/>
      <c r="FY587" s="61"/>
      <c r="FZ587" s="357"/>
      <c r="GA587" s="61"/>
      <c r="GB587" s="357"/>
      <c r="GC587" s="61"/>
      <c r="GD587" s="357"/>
      <c r="GE587" s="61"/>
      <c r="GF587" s="357"/>
      <c r="GG587" s="61"/>
      <c r="GH587" s="357"/>
      <c r="GI587" s="61"/>
      <c r="GJ587" s="357"/>
      <c r="GK587" s="61"/>
      <c r="GL587" s="357"/>
      <c r="GM587" s="61"/>
      <c r="GN587" s="357"/>
      <c r="GO587" s="61"/>
      <c r="GP587" s="357"/>
      <c r="GQ587" s="61"/>
      <c r="GR587" s="356"/>
      <c r="GS587" s="61"/>
      <c r="GT587" s="356"/>
      <c r="GU587" s="61"/>
      <c r="GV587" s="356"/>
      <c r="GW587" s="61"/>
      <c r="GX587" s="356"/>
      <c r="GY587" s="61"/>
      <c r="GZ587" s="61" t="str">
        <f t="shared" si="3330"/>
        <v/>
      </c>
      <c r="HA587" s="61"/>
      <c r="HB587" s="452"/>
      <c r="HC587"/>
      <c r="HD587"/>
      <c r="HE587"/>
      <c r="HF587"/>
      <c r="HG587"/>
      <c r="HH587"/>
    </row>
    <row r="588" spans="1:216" s="5" customFormat="1" ht="12.75" customHeight="1" x14ac:dyDescent="0.2">
      <c r="A588" s="5" t="s">
        <v>106</v>
      </c>
      <c r="B588" s="7" t="s">
        <v>362</v>
      </c>
      <c r="C588" s="141">
        <v>0.28999999999999998</v>
      </c>
      <c r="D588" s="70"/>
      <c r="E588" s="141">
        <v>0.28999999999999998</v>
      </c>
      <c r="F588" s="71"/>
      <c r="G588" s="162">
        <v>0.28999999999999998</v>
      </c>
      <c r="H588" s="71"/>
      <c r="I588" s="162">
        <v>0.30499999999999999</v>
      </c>
      <c r="J588" s="61"/>
      <c r="K588" s="162">
        <v>0.30499999999999999</v>
      </c>
      <c r="L588" s="61">
        <f>IF(ISERROR((K588/C588-1)*100),"NA",IF(((K588/C588-1)*100)&gt;100,"NM",IF(((K588/C588-1)*100)&lt;-50,"NM",(K588/C588-1)*100)))</f>
        <v>5.1724137931034475</v>
      </c>
      <c r="M588" s="141">
        <v>0.30499999999999999</v>
      </c>
      <c r="N588" s="61">
        <f>IF(ISERROR((M588/E588-1)*100),"NA",IF(((M588/E588-1)*100)&gt;100,"NM",IF(((M588/E588-1)*100)&lt;-50,"NM",(M588/E588-1)*100)))</f>
        <v>5.1724137931034475</v>
      </c>
      <c r="O588" s="162">
        <v>0.30499999999999999</v>
      </c>
      <c r="P588" s="61">
        <f>IF(ISERROR((O588/G588-1)*100),"NA",IF(((O588/G588-1)*100)&gt;100,"NM",IF(((O588/G588-1)*100)&lt;-50,"NM",(O588/G588-1)*100)))</f>
        <v>5.1724137931034475</v>
      </c>
      <c r="Q588" s="162">
        <v>0.32</v>
      </c>
      <c r="R588" s="61">
        <f>IF(ISERROR((Q588/I588-1)*100),"NA",IF(((Q588/I588-1)*100)&gt;100,"NM",IF(((Q588/I588-1)*100)&lt;-50,"NM",(Q588/I588-1)*100)))</f>
        <v>4.9180327868852514</v>
      </c>
      <c r="S588" s="162">
        <v>0.32</v>
      </c>
      <c r="T588" s="61">
        <f>IF(ISERROR((S588/K588-1)*100),"NA",IF(((S588/K588-1)*100)&gt;100,"NM",IF(((S588/K588-1)*100)&lt;-50,"NM",(S588/K588-1)*100)))</f>
        <v>4.9180327868852514</v>
      </c>
      <c r="U588" s="162">
        <f>S588</f>
        <v>0.32</v>
      </c>
      <c r="V588" s="61">
        <f>IF(ISERROR((U588/M588-1)*100),"NA",IF(((U588/M588-1)*100)&gt;100,"NM",IF(((U588/M588-1)*100)&lt;-50,"NM",(U588/M588-1)*100)))</f>
        <v>4.9180327868852514</v>
      </c>
      <c r="W588" s="162">
        <v>0.32</v>
      </c>
      <c r="X588" s="61">
        <f>IF(ISERROR((W588/O588-1)*100),"NA",IF(((W588/O588-1)*100)&gt;100,"NM",IF(((W588/O588-1)*100)&lt;-50,"NM",(W588/O588-1)*100)))</f>
        <v>4.9180327868852514</v>
      </c>
      <c r="Y588" s="162">
        <v>0.32</v>
      </c>
      <c r="Z588" s="61">
        <f>IF(ISERROR((Y588/Q588-1)*100),"NA",IF(((Y588/Q588-1)*100)&gt;100,"NM",IF(((Y588/Q588-1)*100)&lt;-50,"NM",(Y588/Q588-1)*100)))</f>
        <v>0</v>
      </c>
      <c r="AA588" s="162">
        <v>0.33500000000000002</v>
      </c>
      <c r="AB588" s="61">
        <f>IF(ISERROR((AA588/S588-1)*100),"NA",IF(((AA588/S588-1)*100)&gt;100,"NM",IF(((AA588/S588-1)*100)&lt;-50,"NM",(AA588/S588-1)*100)))</f>
        <v>4.6875</v>
      </c>
      <c r="AC588" s="162">
        <v>0.33500000000000002</v>
      </c>
      <c r="AD588" s="61">
        <f>IF(ISERROR((AC588/U588-1)*100),"NA",IF(((AC588/U588-1)*100)&gt;100,"NM",IF(((AC588/U588-1)*100)&lt;-50,"NM",(AC588/U588-1)*100)))</f>
        <v>4.6875</v>
      </c>
      <c r="AE588" s="162">
        <v>0.33500000000000002</v>
      </c>
      <c r="AF588" s="61">
        <f>IF(ISERROR((AE588/W588-1)*100),"NA",IF(((AE588/W588-1)*100)&gt;100,"NM",IF(((AE588/W588-1)*100)&lt;-50,"NM",(AE588/W588-1)*100)))</f>
        <v>4.6875</v>
      </c>
      <c r="AG588" s="162">
        <v>0.35</v>
      </c>
      <c r="AH588" s="61">
        <f>IF(ISERROR((AG588/Y588-1)*100),"NA",IF(((AG588/Y588-1)*100)&gt;100,"NM",IF(((AG588/Y588-1)*100)&lt;-50,"NM",(AG588/Y588-1)*100)))</f>
        <v>9.375</v>
      </c>
      <c r="AI588" s="162">
        <v>0.35</v>
      </c>
      <c r="AJ588" s="61">
        <f>IF(ISERROR((AI588/AA588-1)*100),"NA",IF(((AI588/AA588-1)*100)&gt;100,"NM",IF(((AI588/AA588-1)*100)&lt;-50,"NM",(AI588/AA588-1)*100)))</f>
        <v>4.4776119402984982</v>
      </c>
      <c r="AK588" s="162">
        <v>0.34821428571428575</v>
      </c>
      <c r="AL588" s="61">
        <f>IF(ISERROR((AK588/AC588-1)*100),"NA",IF(((AK588/AC588-1)*100)&gt;100,"NM",IF(((AK588/AC588-1)*100)&lt;-50,"NM",(AK588/AC588-1)*100)))</f>
        <v>3.9445628997867965</v>
      </c>
      <c r="AM588" s="162">
        <v>0.33500000000000002</v>
      </c>
      <c r="AN588" s="61">
        <f>IF(ISERROR((AM588/AE588-1)*100),"NA",IF(((AM588/AE588-1)*100)&gt;100,"NM",IF(((AM588/AE588-1)*100)&lt;-50,"NM",(AM588/AE588-1)*100)))</f>
        <v>0</v>
      </c>
      <c r="AO588" s="162">
        <v>0.33500000000000002</v>
      </c>
      <c r="AP588" s="61">
        <f>IF(ISERROR((AO588/AG588-1)*100),"NA",IF(((AO588/AG588-1)*100)&gt;100,"NM",IF(((AO588/AG588-1)*100)&lt;-50,"NM",(AO588/AG588-1)*100)))</f>
        <v>-4.2857142857142705</v>
      </c>
      <c r="AQ588" s="162">
        <v>0.36499999999999999</v>
      </c>
      <c r="AR588" s="61">
        <f>IF(ISERROR((AQ588/AI588-1)*100),"NA",IF(((AQ588/AI588-1)*100)&gt;100,"NM",IF(((AQ588/AI588-1)*100)&lt;-50,"NM",(AQ588/AI588-1)*100)))</f>
        <v>4.2857142857142927</v>
      </c>
      <c r="AS588" s="162">
        <v>0.36499999999999999</v>
      </c>
      <c r="AT588" s="61">
        <f>IF(ISERROR((AS588/AK588-1)*100),"NA",IF(((AS588/AK588-1)*100)&gt;100,"NM",IF(((AS588/AK588-1)*100)&lt;-50,"NM",(AS588/AK588-1)*100)))</f>
        <v>4.8205128205128123</v>
      </c>
      <c r="AU588" s="162">
        <v>0.36499999999999999</v>
      </c>
      <c r="AV588" s="61">
        <f>IF(ISERROR((AU588/AM588-1)*100),"NA",IF(((AU588/AM588-1)*100)&gt;100,"NM",IF(((AU588/AM588-1)*100)&lt;-50,"NM",(AU588/AM588-1)*100)))</f>
        <v>8.9552238805969964</v>
      </c>
      <c r="AW588" s="162">
        <v>0.36499999999999999</v>
      </c>
      <c r="AX588" s="61">
        <f>IF(ISERROR((AW588/AO588-1)*100),"NA",IF(((AW588/AO588-1)*100)&gt;100,"NM",IF(((AW588/AO588-1)*100)&lt;-50,"NM",(AW588/AO588-1)*100)))</f>
        <v>8.9552238805969964</v>
      </c>
      <c r="AY588" s="162">
        <v>0.38</v>
      </c>
      <c r="AZ588" s="61">
        <f>IF(ISERROR((AY588/AQ588-1)*100),"NA",IF(((AY588/AQ588-1)*100)&gt;100,"NM",IF(((AY588/AQ588-1)*100)&lt;-50,"NM",(AY588/AQ588-1)*100)))</f>
        <v>4.1095890410958846</v>
      </c>
      <c r="BA588" s="162">
        <v>0.38</v>
      </c>
      <c r="BB588" s="61">
        <f>IF(ISERROR((BA588/AS588-1)*100),"NA",IF(((BA588/AS588-1)*100)&gt;100,"NM",IF(((BA588/AS588-1)*100)&lt;-50,"NM",(BA588/AS588-1)*100)))</f>
        <v>4.1095890410958846</v>
      </c>
      <c r="BC588" s="162">
        <v>0.38</v>
      </c>
      <c r="BD588" s="61">
        <f>IF(ISERROR((BC588/AU588-1)*100),"NA",IF(((BC588/AU588-1)*100)&gt;100,"NM",IF(((BC588/AU588-1)*100)&lt;-50,"NM",(BC588/AU588-1)*100)))</f>
        <v>4.1095890410958846</v>
      </c>
      <c r="BE588" s="162">
        <v>0.38</v>
      </c>
      <c r="BF588" s="61">
        <f>IF(ISERROR((BE588/AW588-1)*100),"NA",IF(((BE588/AW588-1)*100)&gt;100,"NM",IF(((BE588/AW588-1)*100)&lt;-50,"NM",(BE588/AW588-1)*100)))</f>
        <v>4.1095890410958846</v>
      </c>
      <c r="BG588" s="162">
        <v>0.39500000000000002</v>
      </c>
      <c r="BH588" s="61">
        <f>IF(ISERROR((BG588/AY588-1)*100),"NA",IF(((BG588/AY588-1)*100)&gt;100,"NM",IF(((BG588/AY588-1)*100)&lt;-50,"NM",(BG588/AY588-1)*100)))</f>
        <v>3.9473684210526327</v>
      </c>
      <c r="BI588" s="162">
        <v>0.39500000000000002</v>
      </c>
      <c r="BJ588" s="61">
        <f>IF(ISERROR((BI588/BA588-1)*100),"NA",IF(((BI588/BA588-1)*100)&gt;100,"NM",IF(((BI588/BA588-1)*100)&lt;-50,"NM",(BI588/BA588-1)*100)))</f>
        <v>3.9473684210526327</v>
      </c>
      <c r="BK588" s="162">
        <v>0.39500000000000002</v>
      </c>
      <c r="BL588" s="61">
        <f>IF(ISERROR((BK588/BC588-1)*100),"NA",IF(((BK588/BC588-1)*100)&gt;100,"NM",IF(((BK588/BC588-1)*100)&lt;-50,"NM",(BK588/BC588-1)*100)))</f>
        <v>3.9473684210526327</v>
      </c>
      <c r="BM588" s="162">
        <v>0.41499999999999998</v>
      </c>
      <c r="BN588" s="61">
        <f>IF(ISERROR((BM588/BE588-1)*100),"NA",IF(((BM588/BE588-1)*100)&gt;100,"NM",IF(((BM588/BE588-1)*100)&lt;-50,"NM",(BM588/BE588-1)*100)))</f>
        <v>9.210526315789469</v>
      </c>
      <c r="BO588" s="162">
        <v>0.41499999999999998</v>
      </c>
      <c r="BP588" s="61">
        <f>IF(ISERROR((BO588/BG588-1)*100),"NA",IF(((BO588/BG588-1)*100)&gt;100,"NM",IF(((BO588/BG588-1)*100)&lt;-50,"NM",(BO588/BG588-1)*100)))</f>
        <v>5.0632911392404889</v>
      </c>
      <c r="BQ588" s="162">
        <v>0.41499999999999998</v>
      </c>
      <c r="BR588" s="61">
        <f>IF(ISERROR((BQ588/BI588-1)*100),"NA",IF(((BQ588/BI588-1)*100)&gt;100,"NM",IF(((BQ588/BI588-1)*100)&lt;-50,"NM",(BQ588/BI588-1)*100)))</f>
        <v>5.0632911392404889</v>
      </c>
      <c r="BS588" s="162">
        <v>0.41499999999999998</v>
      </c>
      <c r="BT588" s="61">
        <f>IF(ISERROR((BS588/BK588-1)*100),"NA",IF(((BS588/BK588-1)*100)&gt;100,"NM",IF(((BS588/BK588-1)*100)&lt;-50,"NM",(BS588/BK588-1)*100)))</f>
        <v>5.0632911392404889</v>
      </c>
      <c r="BU588" s="162">
        <v>0.21</v>
      </c>
      <c r="BV588" s="61">
        <f>IF(ISERROR((BU588/BM588-1)*100),"NA",IF(((BU588/BM588-1)*100)&gt;100,"NM",IF(((BU588/BM588-1)*100)&lt;-50,"NM",(BU588/BM588-1)*100)))</f>
        <v>-49.397590361445786</v>
      </c>
      <c r="BW588" s="162">
        <v>0.01</v>
      </c>
      <c r="BX588" s="61" t="str">
        <f>IF(ISERROR((BW588/BO588-1)*100),"NA",IF(((BW588/BO588-1)*100)&gt;100,"NM",IF(((BW588/BO588-1)*100)&lt;-50,"NM",(BW588/BO588-1)*100)))</f>
        <v>NM</v>
      </c>
      <c r="BY588" s="162">
        <v>0.01</v>
      </c>
      <c r="BZ588" s="61" t="str">
        <f>IF(ISERROR((BY588/BQ588-1)*100),"NA",IF(((BY588/BQ588-1)*100)&gt;100,"NM",IF(((BY588/BQ588-1)*100)&lt;-50,"NM",(BY588/BQ588-1)*100)))</f>
        <v>NM</v>
      </c>
      <c r="CA588" s="162">
        <v>0.01</v>
      </c>
      <c r="CB588" s="61" t="str">
        <f>IF(ISERROR((CA588/BS588-1)*100),"NA",IF(((CA588/BS588-1)*100)&gt;100,"NM",IF(((CA588/BS588-1)*100)&lt;-50,"NM",(CA588/BS588-1)*100)))</f>
        <v>NM</v>
      </c>
      <c r="CC588" s="162">
        <v>0.01</v>
      </c>
      <c r="CD588" s="61" t="str">
        <f>IF(ISERROR((CC588/BU588-1)*100),"NA",IF(((CC588/BU588-1)*100)&gt;100,"NM",IF(((CC588/BU588-1)*100)&lt;-50,"NM",(CC588/BU588-1)*100)))</f>
        <v>NM</v>
      </c>
      <c r="CE588" s="162">
        <v>0.01</v>
      </c>
      <c r="CF588" s="61">
        <f>IF(ISERROR((CE588/BW588-1)*100),"NA",IF(((CE588/BW588-1)*100)&gt;100,"NM",IF(((CE588/BW588-1)*100)&lt;-50,"NM",(CE588/BW588-1)*100)))</f>
        <v>0</v>
      </c>
      <c r="CG588" s="162">
        <v>0.01</v>
      </c>
      <c r="CH588" s="61">
        <f>IF(ISERROR((CG588/BY588-1)*100),"NA",IF(((CG588/BY588-1)*100)&gt;100,"NM",IF(((CG588/BY588-1)*100)&lt;-50,"NM",(CG588/BY588-1)*100)))</f>
        <v>0</v>
      </c>
      <c r="CI588" s="162">
        <v>0.01</v>
      </c>
      <c r="CJ588" s="61">
        <f>IF(ISERROR((CI588/CA588-1)*100),"NA",IF(((CI588/CA588-1)*100)&gt;100,"NM",IF(((CI588/CA588-1)*100)&lt;-50,"NM",(CI588/CA588-1)*100)))</f>
        <v>0</v>
      </c>
      <c r="CK588" s="162">
        <v>0.01</v>
      </c>
      <c r="CL588" s="61">
        <f>IF(ISERROR((CK588/CC588-1)*100),"NA",IF(((CK588/CC588-1)*100)&gt;100,"NM",IF(((CK588/CC588-1)*100)&lt;-50,"NM",(CK588/CC588-1)*100)))</f>
        <v>0</v>
      </c>
      <c r="CM588" s="162">
        <v>0.05</v>
      </c>
      <c r="CN588" s="61" t="str">
        <f>IF(ISERROR((CM588/CE588-1)*100),"NA",IF(((CM588/CE588-1)*100)&gt;100,"NM",IF(((CM588/CE588-1)*100)&lt;-50,"NM",(CM588/CE588-1)*100)))</f>
        <v>NM</v>
      </c>
      <c r="CO588" s="162">
        <v>0.05</v>
      </c>
      <c r="CP588" s="61" t="str">
        <f>IF(ISERROR((CO588/CG588-1)*100),"NA",IF(((CO588/CG588-1)*100)&gt;100,"NM",IF(((CO588/CG588-1)*100)&lt;-50,"NM",(CO588/CG588-1)*100)))</f>
        <v>NM</v>
      </c>
      <c r="CQ588" s="162">
        <v>0.05</v>
      </c>
      <c r="CR588" s="61" t="str">
        <f>IF(ISERROR((CQ588/CI588-1)*100),"NA",IF(((CQ588/CI588-1)*100)&gt;100,"NM",IF(((CQ588/CI588-1)*100)&lt;-50,"NM",(CQ588/CI588-1)*100)))</f>
        <v>NM</v>
      </c>
      <c r="CS588" s="162">
        <v>0.08</v>
      </c>
      <c r="CT588" s="61" t="str">
        <f>IF(ISERROR((CS588/CK588-1)*100),"NA",IF(((CS588/CK588-1)*100)&gt;100,"NM",IF(((CS588/CK588-1)*100)&lt;-50,"NM",(CS588/CK588-1)*100)))</f>
        <v>NM</v>
      </c>
      <c r="CU588" s="162">
        <v>0.08</v>
      </c>
      <c r="CV588" s="61">
        <f>IF(ISERROR((CU588/CM588-1)*100),"NA",IF(((CU588/CM588-1)*100)&gt;100,"NM",IF(((CU588/CM588-1)*100)&lt;-50,"NM",(CU588/CM588-1)*100)))</f>
        <v>59.999999999999986</v>
      </c>
      <c r="CW588" s="162">
        <v>0.08</v>
      </c>
      <c r="CX588" s="61">
        <f>IF(ISERROR((CW588/CO588-1)*100),"NA",IF(((CW588/CO588-1)*100)&gt;100,"NM",IF(((CW588/CO588-1)*100)&lt;-50,"NM",(CW588/CO588-1)*100)))</f>
        <v>59.999999999999986</v>
      </c>
      <c r="CY588" s="162">
        <v>0.08</v>
      </c>
      <c r="CZ588" s="61">
        <f>IF(ISERROR((CY588/CQ588-1)*100),"NA",IF(((CY588/CQ588-1)*100)&gt;100,"NM",IF(((CY588/CQ588-1)*100)&lt;-50,"NM",(CY588/CQ588-1)*100)))</f>
        <v>59.999999999999986</v>
      </c>
      <c r="DA588" s="162">
        <v>0.12</v>
      </c>
      <c r="DB588" s="61">
        <f>IF(ISERROR((DA588/CS588-1)*100),"NA",IF(((DA588/CS588-1)*100)&gt;100,"NM",IF(((DA588/CS588-1)*100)&lt;-50,"NM",(DA588/CS588-1)*100)))</f>
        <v>50</v>
      </c>
      <c r="DC588" s="162">
        <v>0.12</v>
      </c>
      <c r="DD588" s="162">
        <f>IF(ISERROR((DC588/CU588-1)*100),"NA",IF(((DC588/CU588-1)*100)&gt;100,"NM",IF(((DC588/CU588-1)*100)&lt;-50,"NM",(DC588/CU588-1)*100)))</f>
        <v>50</v>
      </c>
      <c r="DE588" s="162">
        <v>0.12</v>
      </c>
      <c r="DF588" s="162">
        <f>IF(ISERROR((DE588/CW588-1)*100),"NA",IF(((DE588/CW588-1)*100)&gt;100,"NM",IF(((DE588/CW588-1)*100)&lt;-50,"NM",(DE588/CW588-1)*100)))</f>
        <v>50</v>
      </c>
      <c r="DG588" s="162">
        <v>0.12</v>
      </c>
      <c r="DH588" s="162">
        <f>IF(ISERROR((DG588/CY588-1)*100),"NA",IF(((DG588/CY588-1)*100)&gt;100,"NM",IF(((DG588/CY588-1)*100)&lt;-50,"NM",(DG588/CY588-1)*100)))</f>
        <v>50</v>
      </c>
      <c r="DI588" s="162">
        <v>0.16</v>
      </c>
      <c r="DJ588" s="61">
        <f>IF(ISERROR((DI588/DA588-1)*100),"NA",IF(((DI588/DA588-1)*100)&gt;100,"NM",IF(((DI588/DA588-1)*100)&lt;-50,"NM",(DI588/DA588-1)*100)))</f>
        <v>33.33333333333335</v>
      </c>
      <c r="DK588" s="162">
        <v>0.16</v>
      </c>
      <c r="DL588" s="61">
        <f>IF(ISERROR((DK588/DC588-1)*100),"NA",IF(((DK588/DC588-1)*100)&gt;100,"NM",IF(((DK588/DC588-1)*100)&lt;-50,"NM",(DK588/DC588-1)*100)))</f>
        <v>33.33333333333335</v>
      </c>
      <c r="DM588" s="162">
        <v>0.16</v>
      </c>
      <c r="DN588" s="130">
        <f t="shared" ref="DN588:DZ590" si="3331">IF(ISERROR((DM588/DE588-1)*100),"NA",IF(((DM588/DE588-1)*100)&gt;100,"NM",IF(((DM588/DE588-1)*100)&lt;-50,"NM",(DM588/DE588-1)*100)))</f>
        <v>33.33333333333335</v>
      </c>
      <c r="DO588" s="162">
        <v>0.16</v>
      </c>
      <c r="DP588" s="130">
        <f t="shared" si="3331"/>
        <v>33.33333333333335</v>
      </c>
      <c r="DQ588" s="162">
        <v>0.2</v>
      </c>
      <c r="DR588" s="130">
        <f t="shared" si="3331"/>
        <v>25</v>
      </c>
      <c r="DS588" s="162">
        <v>0.2</v>
      </c>
      <c r="DT588" s="130">
        <f t="shared" si="3331"/>
        <v>25</v>
      </c>
      <c r="DU588" s="162">
        <v>0.2</v>
      </c>
      <c r="DV588" s="130">
        <f t="shared" si="3331"/>
        <v>25</v>
      </c>
      <c r="DW588" s="162">
        <v>0.2</v>
      </c>
      <c r="DX588" s="162">
        <v>0.2</v>
      </c>
      <c r="DY588" s="162">
        <v>0.2</v>
      </c>
      <c r="DZ588" s="130">
        <f t="shared" si="3331"/>
        <v>0</v>
      </c>
      <c r="EA588" s="162">
        <v>0.25</v>
      </c>
      <c r="EB588" s="130">
        <f t="shared" ref="EB588:EB590" si="3332">IF(ISERROR((EA588/DS588-1)*100),"NA",IF(((EA588/DS588-1)*100)&gt;100,"NM",IF(((EA588/DS588-1)*100)&lt;-50,"NM",(EA588/DS588-1)*100)))</f>
        <v>25</v>
      </c>
      <c r="EC588" s="162">
        <v>0.25</v>
      </c>
      <c r="ED588" s="130">
        <f t="shared" ref="ED588:ED590" si="3333">IF(ISERROR((EC588/DU588-1)*100),"NA",IF(((EC588/DU588-1)*100)&gt;100,"NM",IF(((EC588/DU588-1)*100)&lt;-50,"NM",(EC588/DU588-1)*100)))</f>
        <v>25</v>
      </c>
      <c r="EE588" s="162">
        <v>0.25</v>
      </c>
      <c r="EF588" s="130">
        <f t="shared" ref="EF588:EF590" si="3334">IF(ISERROR((EE588/DW588-1)*100),"NA",IF(((EE588/DW588-1)*100)&gt;100,"NM",IF(((EE588/DW588-1)*100)&lt;-50,"NM",(EE588/DW588-1)*100)))</f>
        <v>25</v>
      </c>
      <c r="EG588" s="162">
        <v>0.25</v>
      </c>
      <c r="EH588" s="130">
        <f t="shared" ref="EH588:EH590" si="3335">IF(ISERROR((EG588/DY588-1)*100),"NA",IF(((EG588/DY588-1)*100)&gt;100,"NM",IF(((EG588/DY588-1)*100)&lt;-50,"NM",(EG588/DY588-1)*100)))</f>
        <v>25</v>
      </c>
      <c r="EI588" s="162">
        <v>0.28999999999999998</v>
      </c>
      <c r="EJ588" s="130">
        <f t="shared" ref="EJ588:EJ590" si="3336">IF(ISERROR((EI588/EA588-1)*100),"NA",IF(((EI588/EA588-1)*100)&gt;100,"NM",IF(((EI588/EA588-1)*100)&lt;-50,"NM",(EI588/EA588-1)*100)))</f>
        <v>15.999999999999993</v>
      </c>
      <c r="EK588" s="162">
        <v>0.28999999999999998</v>
      </c>
      <c r="EL588" s="130">
        <f t="shared" ref="EL588:EL590" si="3337">IF(ISERROR((EK588/EC588-1)*100),"NA",IF(((EK588/EC588-1)*100)&gt;100,"NM",IF(((EK588/EC588-1)*100)&lt;-50,"NM",(EK588/EC588-1)*100)))</f>
        <v>15.999999999999993</v>
      </c>
      <c r="EM588" s="162">
        <v>0.28999999999999998</v>
      </c>
      <c r="EN588" s="130">
        <f t="shared" ref="EN588:EN590" si="3338">IF(ISERROR((EM588/EE588-1)*100),"NA",IF(((EM588/EE588-1)*100)&gt;100,"NM",IF(((EM588/EE588-1)*100)&lt;-50,"NM",(EM588/EE588-1)*100)))</f>
        <v>15.999999999999993</v>
      </c>
      <c r="EO588" s="162">
        <v>0.28999999999999998</v>
      </c>
      <c r="EP588" s="130">
        <f t="shared" ref="EP588:EP590" si="3339">IF(ISERROR((EO588/EG588-1)*100),"NA",IF(((EO588/EG588-1)*100)&gt;100,"NM",IF(((EO588/EG588-1)*100)&lt;-50,"NM",(EO588/EG588-1)*100)))</f>
        <v>15.999999999999993</v>
      </c>
      <c r="EQ588" s="162">
        <v>0.33</v>
      </c>
      <c r="ER588" s="130">
        <f t="shared" ref="ER588:ER590" si="3340">IF(ISERROR((EQ588/EI588-1)*100),"NA",IF(((EQ588/EI588-1)*100)&gt;100,"NM",IF(((EQ588/EI588-1)*100)&lt;-50,"NM",(EQ588/EI588-1)*100)))</f>
        <v>13.793103448275868</v>
      </c>
      <c r="ES588" s="162">
        <f>EQ588</f>
        <v>0.33</v>
      </c>
      <c r="ET588" s="130">
        <f t="shared" ref="ET588:ET590" si="3341">IF(ISERROR((ES588/EK588-1)*100),"NA",IF(((ES588/EK588-1)*100)&gt;100,"NM",IF(((ES588/EK588-1)*100)&lt;-50,"NM",(ES588/EK588-1)*100)))</f>
        <v>13.793103448275868</v>
      </c>
      <c r="EU588" s="162">
        <f>ES588</f>
        <v>0.33</v>
      </c>
      <c r="EV588" s="130">
        <f t="shared" ref="EV588:EV590" si="3342">IF(ISERROR((EU588/EM588-1)*100),"NA",IF(((EU588/EM588-1)*100)&gt;100,"NM",IF(((EU588/EM588-1)*100)&lt;-50,"NM",(EU588/EM588-1)*100)))</f>
        <v>13.793103448275868</v>
      </c>
      <c r="EW588" s="162">
        <f>EU588</f>
        <v>0.33</v>
      </c>
      <c r="EX588" s="130">
        <f t="shared" ref="EX588:EX590" si="3343">IF(ISERROR((EW588/EO588-1)*100),"NA",IF(((EW588/EO588-1)*100)&gt;100,"NM",IF(((EW588/EO588-1)*100)&lt;-50,"NM",(EW588/EO588-1)*100)))</f>
        <v>13.793103448275868</v>
      </c>
      <c r="EY588" s="64"/>
      <c r="EZ588" s="558"/>
      <c r="FA588" s="64"/>
      <c r="FB588" s="141">
        <v>1.0549999999999999</v>
      </c>
      <c r="FC588" s="71"/>
      <c r="FD588" s="141">
        <v>1.115</v>
      </c>
      <c r="FE588" s="70">
        <f>IF(ISERROR((FD588/FB588-1)*100),"NA",IF(((FD588/FB588-1)*100)&gt;100,"NM",IF(((FD588/FB588-1)*100)&lt;-50,"NM",(FD588/FB588-1)*100)))</f>
        <v>5.6872037914692086</v>
      </c>
      <c r="FF588" s="358">
        <f>C588+E588+G588+I588</f>
        <v>1.1749999999999998</v>
      </c>
      <c r="FG588" s="70">
        <f>IF(ISERROR((FF588/FD588-1)*100),"NA",IF(((FF588/FD588-1)*100)&gt;100,"NM",IF(((FF588/FD588-1)*100)&lt;-50,"NM",(FF588/FD588-1)*100)))</f>
        <v>5.3811659192825045</v>
      </c>
      <c r="FH588" s="358">
        <f>K588+M588+O588+Q588</f>
        <v>1.2350000000000001</v>
      </c>
      <c r="FI588" s="70">
        <f>IF(ISERROR((FH588/FF588-1)*100),"NA",IF(((FH588/FF588-1)*100)&gt;100,"NM",IF(((FH588/FF588-1)*100)&lt;-50,"NM",(FH588/FF588-1)*100)))</f>
        <v>5.1063829787234338</v>
      </c>
      <c r="FJ588" s="358">
        <f>S588+U588+W588+Y588</f>
        <v>1.28</v>
      </c>
      <c r="FK588" s="70">
        <f>IF(ISERROR((FJ588/FH588-1)*100),"NA",IF(((FJ588/FH588-1)*100)&gt;100,"NM",IF(((FJ588/FH588-1)*100)&lt;-50,"NM",(FJ588/FH588-1)*100)))</f>
        <v>3.6437246963562764</v>
      </c>
      <c r="FL588" s="140">
        <f>AA588+AC588+AE588+AG588</f>
        <v>1.355</v>
      </c>
      <c r="FM588" s="61">
        <f>IF(ISERROR((FL588/FJ588-1)*100),"NA",IF(((FL588/FJ588-1)*100)&gt;100,"NM",IF(((FL588/FJ588-1)*100)&lt;-50,"NM",(FL588/FJ588-1)*100)))</f>
        <v>5.859375</v>
      </c>
      <c r="FN588" s="140">
        <f>AI588+AK588+AM588+AO588</f>
        <v>1.3682142857142856</v>
      </c>
      <c r="FO588" s="61">
        <f>IF(ISERROR((FN588/FL588-1)*100),"NA",IF(((FN588/FL588-1)*100)&gt;100,"NM",IF(((FN588/FL588-1)*100)&lt;-50,"NM",(FN588/FL588-1)*100)))</f>
        <v>0.9752240379546695</v>
      </c>
      <c r="FP588" s="163">
        <f>AQ588+AS588+AU588+AW588</f>
        <v>1.46</v>
      </c>
      <c r="FQ588" s="61">
        <f>IF(ISERROR((FP588/FH588-1)*100),"NA",IF(((FP588/FH588-1)*100)&gt;100,"NM",IF(((FP588/FH588-1)*100)&lt;-50,"NM",(FP588/FH588-1)*100)))</f>
        <v>18.218623481781361</v>
      </c>
      <c r="FR588" s="163">
        <f>AY588+BA588+BC588+BE588</f>
        <v>1.52</v>
      </c>
      <c r="FS588" s="61">
        <f>IF(ISERROR((FR588/FP588-1)*100),"NA",IF(((FR588/FP588-1)*100)&gt;100,"NM",IF(((FR588/FP588-1)*100)&lt;-50,"NM",(FR588/FP588-1)*100)))</f>
        <v>4.1095890410958846</v>
      </c>
      <c r="FT588" s="163">
        <f>BG588+BI588+BK588+BM588</f>
        <v>1.6</v>
      </c>
      <c r="FU588" s="61">
        <f>IF(ISERROR((FT588/FR588-1)*100),"NA",IF(((FT588/FR588-1)*100)&gt;100,"NM",IF(((FT588/FR588-1)*100)&lt;-50,"NM",(FT588/FR588-1)*100)))</f>
        <v>5.2631578947368363</v>
      </c>
      <c r="FV588" s="163">
        <f>BO588+BQ588+BS588+BU588</f>
        <v>1.4549999999999998</v>
      </c>
      <c r="FW588" s="61">
        <f>IF(ISERROR((FV588/FT588-1)*100),"NA",IF(((FV588/FT588-1)*100)&gt;100,"NM",IF(((FV588/FT588-1)*100)&lt;-50,"NM",(FV588/FT588-1)*100)))</f>
        <v>-9.0625000000000178</v>
      </c>
      <c r="FX588" s="163">
        <f>BW588+BY588+CA588+CC588</f>
        <v>0.04</v>
      </c>
      <c r="FY588" s="61" t="str">
        <f>IF(ISERROR((FX588/FV588-1)*100),"NA",IF(((FX588/FV588-1)*100)&gt;100,"NM",IF(((FX588/FV588-1)*100)&lt;-50,"NM",(FX588/FV588-1)*100)))</f>
        <v>NM</v>
      </c>
      <c r="FZ588" s="163">
        <f>CE588+CG588+CI588+CK588</f>
        <v>0.04</v>
      </c>
      <c r="GA588" s="61">
        <f>IF(ISERROR((FZ588/FX588-1)*100),"NA",IF(((FZ588/FX588-1)*100)&gt;100,"NM",IF(((FZ588/FX588-1)*100)&lt;-50,"NM",(FZ588/FX588-1)*100)))</f>
        <v>0</v>
      </c>
      <c r="GB588" s="163">
        <f>CM588+CO588+CQ588+CS588</f>
        <v>0.23000000000000004</v>
      </c>
      <c r="GC588" s="61" t="str">
        <f>IF(ISERROR((GB588/FZ588-1)*100),"NA",IF(((GB588/FZ588-1)*100)&gt;100,"NM",IF(((GB588/FZ588-1)*100)&lt;-50,"NM",(GB588/FZ588-1)*100)))</f>
        <v>NM</v>
      </c>
      <c r="GD588" s="163">
        <f>CU588+CW588+CY588+DA588</f>
        <v>0.36</v>
      </c>
      <c r="GE588" s="61">
        <f>IF(ISERROR((GD588/GB588-1)*100),"NA",IF(((GD588/GB588-1)*100)&gt;100,"NM",IF(((GD588/GB588-1)*100)&lt;-50,"NM",(GD588/GB588-1)*100)))</f>
        <v>56.521739130434746</v>
      </c>
      <c r="GF588" s="163">
        <f>DC588+DE588+DG588+DI588</f>
        <v>0.52</v>
      </c>
      <c r="GG588" s="61">
        <f>IF(ISERROR((GF588/GD588-1)*100),"NA",IF(((GF588/GD588-1)*100)&gt;100,"NM",IF(((GF588/GD588-1)*100)&lt;-50,"NM",(GF588/GD588-1)*100)))</f>
        <v>44.444444444444464</v>
      </c>
      <c r="GH588" s="163">
        <f>DK588+DM588+DO588+DQ588</f>
        <v>0.67999999999999994</v>
      </c>
      <c r="GI588" s="61">
        <f>IF(ISERROR((GH588/GF588-1)*100),"NA",IF(((GH588/GF588-1)*100)&gt;100,"NM",IF(((GH588/GF588-1)*100)&lt;-50,"NM",(GH588/GF588-1)*100)))</f>
        <v>30.769230769230749</v>
      </c>
      <c r="GJ588" s="163">
        <f>DS588+DU588+DW588+DY588</f>
        <v>0.8</v>
      </c>
      <c r="GK588" s="61">
        <f>IF(ISERROR((GJ588/GH588-1)*100),"NA",IF(((GJ588/GH588-1)*100)&gt;100,"NM",IF(((GJ588/GH588-1)*100)&lt;-50,"NM",(GJ588/GH588-1)*100)))</f>
        <v>17.647058823529438</v>
      </c>
      <c r="GL588" s="163">
        <f>EA588+EC588+EE588+EG588</f>
        <v>1</v>
      </c>
      <c r="GM588" s="61">
        <f>IF(ISERROR((GL588/GJ588-1)*100),"NA",IF(((GL588/GJ588-1)*100)&gt;100,"NM",IF(((GL588/GJ588-1)*100)&lt;-50,"NM",(GL588/GJ588-1)*100)))</f>
        <v>25</v>
      </c>
      <c r="GN588" s="163">
        <f>EI588+EK588+EM588+EO588</f>
        <v>1.1599999999999999</v>
      </c>
      <c r="GO588" s="61">
        <f>IF(ISERROR((GN588/GL588-1)*100),"NA",IF(((GN588/GL588-1)*100)&gt;100,"NM",IF(((GN588/GL588-1)*100)&lt;-50,"NM",(GN588/GL588-1)*100)))</f>
        <v>15.999999999999993</v>
      </c>
      <c r="GP588" s="163">
        <f>EQ588+ES588+EU588+EW588</f>
        <v>1.32</v>
      </c>
      <c r="GQ588" s="61">
        <f>IF(ISERROR((GP588/GN588-1)*100),"NA",IF(((GP588/GN588-1)*100)&gt;100,"NM",IF(((GP588/GN588-1)*100)&lt;-50,"NM",(GP588/GN588-1)*100)))</f>
        <v>13.793103448275868</v>
      </c>
      <c r="GR588" s="162">
        <f>GP588*1.08</f>
        <v>1.4256000000000002</v>
      </c>
      <c r="GS588" s="61">
        <f>IF(ISERROR((GR588/GP588-1)*100),"NA",IF(((GR588/GP588-1)*100)&gt;100,"NM",IF(((GR588/GP588-1)*100)&lt;-50,"NM",(GR588/GP588-1)*100)))</f>
        <v>8.0000000000000071</v>
      </c>
      <c r="GT588" s="162">
        <f>GR588*1.08</f>
        <v>1.5396480000000003</v>
      </c>
      <c r="GU588" s="61">
        <f>IF(ISERROR((GT588/GR588-1)*100),"NA",IF(((GT588/GR588-1)*100)&gt;100,"NM",IF(((GT588/GR588-1)*100)&lt;-50,"NM",(GT588/GR588-1)*100)))</f>
        <v>8.0000000000000071</v>
      </c>
      <c r="GV588" s="162">
        <f>GT588*1.08</f>
        <v>1.6628198400000005</v>
      </c>
      <c r="GW588" s="61">
        <f>IF(ISERROR((GV588/GT588-1)*100),"NA",IF(((GV588/GT588-1)*100)&gt;100,"NM",IF(((GV588/GT588-1)*100)&lt;-50,"NM",(GV588/GT588-1)*100)))</f>
        <v>8.0000000000000071</v>
      </c>
      <c r="GX588" s="162">
        <f>GV588*1.08</f>
        <v>1.7958454272000006</v>
      </c>
      <c r="GY588" s="61">
        <f>IF(ISERROR((GX588/GV588-1)*100),"NA",IF(((GX588/GV588-1)*100)&gt;100,"NM",IF(((GX588/GV588-1)*100)&lt;-50,"NM",(GX588/GV588-1)*100)))</f>
        <v>8.0000000000000071</v>
      </c>
      <c r="GZ588" s="61">
        <f t="shared" si="3330"/>
        <v>9.1345325978362091</v>
      </c>
      <c r="HA588" s="61"/>
      <c r="HB588" s="452"/>
      <c r="HC588"/>
      <c r="HD588"/>
      <c r="HE588"/>
      <c r="HF588"/>
      <c r="HG588"/>
      <c r="HH588"/>
    </row>
    <row r="589" spans="1:216" s="5" customFormat="1" ht="12.75" customHeight="1" x14ac:dyDescent="0.2">
      <c r="A589" s="5" t="s">
        <v>348</v>
      </c>
      <c r="B589" s="7" t="s">
        <v>363</v>
      </c>
      <c r="C589" s="86">
        <f>+C588/C614*100</f>
        <v>33.34233705226071</v>
      </c>
      <c r="D589" s="70"/>
      <c r="E589" s="86">
        <f>+E588/E614*100</f>
        <v>32.501444251877523</v>
      </c>
      <c r="F589" s="71"/>
      <c r="G589" s="86">
        <f>+G588/G614*100</f>
        <v>29.745149449396958</v>
      </c>
      <c r="H589" s="71"/>
      <c r="I589" s="86">
        <f>+I588/I614*100</f>
        <v>32.249310773555322</v>
      </c>
      <c r="J589" s="71"/>
      <c r="K589" s="86">
        <f>+K588/K614*100</f>
        <v>35.291816009557941</v>
      </c>
      <c r="L589" s="61">
        <f>IF(ISERROR((K589/C589-1)*100),"NA",IF(((K589/C589-1)*100)&gt;100,"NM",IF(((K589/C589-1)*100)&lt;-50,"NM",(K589/C589-1)*100)))</f>
        <v>5.8468575680271639</v>
      </c>
      <c r="M589" s="86">
        <f>+M588/M614*100</f>
        <v>37.228226319135402</v>
      </c>
      <c r="N589" s="61">
        <f>IF(ISERROR((M589/E589-1)*100),"NA",IF(((M589/E589-1)*100)&gt;100,"NM",IF(((M589/E589-1)*100)&lt;-50,"NM",(M589/E589-1)*100)))</f>
        <v>14.543298539678972</v>
      </c>
      <c r="O589" s="86">
        <f>+O588/O614*100</f>
        <v>44.338805970149259</v>
      </c>
      <c r="P589" s="61">
        <f>IF(ISERROR((O589/G589-1)*100),"NA",IF(((O589/G589-1)*100)&gt;100,"NM",IF(((O589/G589-1)*100)&lt;-50,"NM",(O589/G589-1)*100)))</f>
        <v>49.062306933704683</v>
      </c>
      <c r="Q589" s="86">
        <f>+Q588/Q614*100</f>
        <v>33.063236870310831</v>
      </c>
      <c r="R589" s="61">
        <f>IF(ISERROR((Q589/I589-1)*100),"NA",IF(((Q589/I589-1)*100)&gt;100,"NM",IF(((Q589/I589-1)*100)&lt;-50,"NM",(Q589/I589-1)*100)))</f>
        <v>2.5238557886419599</v>
      </c>
      <c r="S589" s="86">
        <f>+S588/S614*100</f>
        <v>39.712606139777925</v>
      </c>
      <c r="T589" s="61">
        <f>IF(ISERROR((S589/K589-1)*100),"NA",IF(((S589/K589-1)*100)&gt;100,"NM",IF(((S589/K589-1)*100)&lt;-50,"NM",(S589/K589-1)*100)))</f>
        <v>12.526388919807129</v>
      </c>
      <c r="U589" s="86">
        <f>+U588/U614*100</f>
        <v>52</v>
      </c>
      <c r="V589" s="61">
        <f>IF(ISERROR((U589/M589-1)*100),"NA",IF(((U589/M589-1)*100)&gt;100,"NM",IF(((U589/M589-1)*100)&lt;-50,"NM",(U589/M589-1)*100)))</f>
        <v>39.678961748633903</v>
      </c>
      <c r="W589" s="86">
        <f>+W588/W614*100</f>
        <v>94.156799999999819</v>
      </c>
      <c r="X589" s="61" t="str">
        <f>IF(ISERROR((W589/O589-1)*100),"NA",IF(((W589/O589-1)*100)&gt;100,"NM",IF(((W589/O589-1)*100)&lt;-50,"NM",(W589/O589-1)*100)))</f>
        <v>NM</v>
      </c>
      <c r="Y589" s="86">
        <f>+Y588/Y614*100</f>
        <v>57.190809190809198</v>
      </c>
      <c r="Z589" s="61">
        <f>IF(ISERROR((Y589/Q589-1)*100),"NA",IF(((Y589/Q589-1)*100)&gt;100,"NM",IF(((Y589/Q589-1)*100)&lt;-50,"NM",(Y589/Q589-1)*100)))</f>
        <v>72.974017683561243</v>
      </c>
      <c r="AA589" s="86">
        <f>+AA588/AA614*100</f>
        <v>57.049188156638017</v>
      </c>
      <c r="AB589" s="61">
        <f>IF(ISERROR((AA589/S589-1)*100),"NA",IF(((AA589/S589-1)*100)&gt;100,"NM",IF(((AA589/S589-1)*100)&lt;-50,"NM",(AA589/S589-1)*100)))</f>
        <v>43.655110308902636</v>
      </c>
      <c r="AC589" s="86">
        <f>+AC588/AC614*100</f>
        <v>39.159817351598171</v>
      </c>
      <c r="AD589" s="61">
        <f>IF(ISERROR((AC589/U589-1)*100),"NA",IF(((AC589/U589-1)*100)&gt;100,"NM",IF(((AC589/U589-1)*100)&lt;-50,"NM",(AC589/U589-1)*100)))</f>
        <v>-24.692658939234292</v>
      </c>
      <c r="AE589" s="86">
        <f>+AE588/AE614*100</f>
        <v>38.607623318385656</v>
      </c>
      <c r="AF589" s="61" t="str">
        <f>IF(ISERROR((AE589/W589-1)*100),"NA",IF(((AE589/W589-1)*100)&gt;100,"NM",IF(((AE589/W589-1)*100)&lt;-50,"NM",(AE589/W589-1)*100)))</f>
        <v>NM</v>
      </c>
      <c r="AG589" s="86">
        <f>+AG588/AG614*100</f>
        <v>35.332960268606605</v>
      </c>
      <c r="AH589" s="61">
        <f>IF(ISERROR((AG589/Y589-1)*100),"NA",IF(((AG589/Y589-1)*100)&gt;100,"NM",IF(((AG589/Y589-1)*100)&lt;-50,"NM",(AG589/Y589-1)*100)))</f>
        <v>-38.219163588465612</v>
      </c>
      <c r="AI589" s="86">
        <f>+AI588/AI614*100</f>
        <v>36.157354618015958</v>
      </c>
      <c r="AJ589" s="61">
        <f>IF(ISERROR((AI589/AA589-1)*100),"NA",IF(((AI589/AA589-1)*100)&gt;100,"NM",IF(((AI589/AA589-1)*100)&lt;-50,"NM",(AI589/AA589-1)*100)))</f>
        <v>-36.620737671603777</v>
      </c>
      <c r="AK589" s="86">
        <f>+AK588/AK614*100</f>
        <v>34.619815668202769</v>
      </c>
      <c r="AL589" s="61">
        <f>IF(ISERROR((AK589/AC589-1)*100),"NA",IF(((AK589/AC589-1)*100)&gt;100,"NM",IF(((AK589/AC589-1)*100)&lt;-50,"NM",(AK589/AC589-1)*100)))</f>
        <v>-11.593521089827341</v>
      </c>
      <c r="AM589" s="86">
        <f>+AM588/AM614*100</f>
        <v>33.387268648345483</v>
      </c>
      <c r="AN589" s="61">
        <f>IF(ISERROR((AM589/AE589-1)*100),"NA",IF(((AM589/AE589-1)*100)&gt;100,"NM",IF(((AM589/AE589-1)*100)&lt;-50,"NM",(AM589/AE589-1)*100)))</f>
        <v>-13.521564451117463</v>
      </c>
      <c r="AO589" s="86">
        <f>+AO588/AO614*100</f>
        <v>31.176331173961131</v>
      </c>
      <c r="AP589" s="61">
        <f>IF(ISERROR((AO589/AG589-1)*100),"NA",IF(((AO589/AG589-1)*100)&gt;100,"NM",IF(((AO589/AG589-1)*100)&lt;-50,"NM",(AO589/AG589-1)*100)))</f>
        <v>-11.764168818706777</v>
      </c>
      <c r="AQ589" s="86">
        <f>+AQ588/AQ614*100</f>
        <v>30.456620141559792</v>
      </c>
      <c r="AR589" s="61">
        <f>IF(ISERROR((AQ589/AI589-1)*100),"NA",IF(((AQ589/AI589-1)*100)&gt;100,"NM",IF(((AQ589/AI589-1)*100)&lt;-50,"NM",(AQ589/AI589-1)*100)))</f>
        <v>-15.766458958852281</v>
      </c>
      <c r="AS589" s="86">
        <f>+AS588/AS614*100</f>
        <v>26.524778031429836</v>
      </c>
      <c r="AT589" s="61">
        <f>IF(ISERROR((AS589/AK589-1)*100),"NA",IF(((AS589/AK589-1)*100)&gt;100,"NM",IF(((AS589/AK589-1)*100)&lt;-50,"NM",(AS589/AK589-1)*100)))</f>
        <v>-23.382671110545438</v>
      </c>
      <c r="AU589" s="86">
        <f>+AU588/AU614*100</f>
        <v>25.644643028423452</v>
      </c>
      <c r="AV589" s="61">
        <f>IF(ISERROR((AU589/AM589-1)*100),"NA",IF(((AU589/AM589-1)*100)&gt;100,"NM",IF(((AU589/AM589-1)*100)&lt;-50,"NM",(AU589/AM589-1)*100)))</f>
        <v>-23.190353489145686</v>
      </c>
      <c r="AW589" s="86">
        <f>+AW588/AW614*100</f>
        <v>25.107211716361228</v>
      </c>
      <c r="AX589" s="61">
        <f>IF(ISERROR((AW589/AO589-1)*100),"NA",IF(((AW589/AO589-1)*100)&gt;100,"NM",IF(((AW589/AO589-1)*100)&lt;-50,"NM",(AW589/AO589-1)*100)))</f>
        <v>-19.467073991916372</v>
      </c>
      <c r="AY589" s="86">
        <f>+AY588/AY614*100</f>
        <v>27.373663751214778</v>
      </c>
      <c r="AZ589" s="61">
        <f>IF(ISERROR((AY589/AQ589-1)*100),"NA",IF(((AY589/AQ589-1)*100)&gt;100,"NM",IF(((AY589/AQ589-1)*100)&lt;-50,"NM",(AY589/AQ589-1)*100)))</f>
        <v>-10.122450803850501</v>
      </c>
      <c r="BA589" s="86">
        <f>+BA588/BA614*100</f>
        <v>33.199777406789096</v>
      </c>
      <c r="BB589" s="61">
        <f t="shared" ref="BB589:BB655" si="3344">IF(ISERROR((BA589/AS589-1)*100),"NA",IF(((BA589/AS589-1)*100)&gt;100,"NM",IF(((BA589/AS589-1)*100)&lt;-50,"NM",(BA589/AS589-1)*100)))</f>
        <v>25.16514697106944</v>
      </c>
      <c r="BC589" s="86">
        <f>+BC588/BC614*100</f>
        <v>29.995527728085857</v>
      </c>
      <c r="BD589" s="61">
        <f t="shared" ref="BD589:BD655" si="3345">IF(ISERROR((BC589/AU589-1)*100),"NA",IF(((BC589/AU589-1)*100)&gt;100,"NM",IF(((BC589/AU589-1)*100)&lt;-50,"NM",(BC589/AU589-1)*100)))</f>
        <v>16.966056789482575</v>
      </c>
      <c r="BE589" s="86">
        <f>+BE588/BE614*100</f>
        <v>29.560006658159022</v>
      </c>
      <c r="BF589" s="61">
        <f t="shared" ref="BF589:BF655" si="3346">IF(ISERROR((BE589/AW589-1)*100),"NA",IF(((BE589/AW589-1)*100)&gt;100,"NM",IF(((BE589/AW589-1)*100)&lt;-50,"NM",(BE589/AW589-1)*100)))</f>
        <v>17.735123247063346</v>
      </c>
      <c r="BG589" s="86">
        <f>+BG588/BG614*100</f>
        <v>32.528727165586325</v>
      </c>
      <c r="BH589" s="61">
        <f>IF(ISERROR((BG589/AY589-1)*100),"NA",IF(((BG589/AY589-1)*100)&gt;100,"NM",IF(((BG589/AY589-1)*100)&lt;-50,"NM",(BG589/AY589-1)*100)))</f>
        <v>18.8322011303393</v>
      </c>
      <c r="BI589" s="86">
        <f>+BI588/BI614*100</f>
        <v>30.915002852253277</v>
      </c>
      <c r="BJ589" s="61">
        <f>IF(ISERROR((BI589/BA589-1)*100),"NA",IF(((BI589/BA589-1)*100)&gt;100,"NM",IF(((BI589/BA589-1)*100)&lt;-50,"NM",(BI589/BA589-1)*100)))</f>
        <v>-6.8818972083487528</v>
      </c>
      <c r="BK589" s="86">
        <f>+BK588/BK614*100</f>
        <v>32.391664158892567</v>
      </c>
      <c r="BL589" s="61">
        <f>IF(ISERROR((BK589/BC589-1)*100),"NA",IF(((BK589/BC589-1)*100)&gt;100,"NM",IF(((BK589/BC589-1)*100)&lt;-50,"NM",(BK589/BC589-1)*100)))</f>
        <v>7.9883122995136446</v>
      </c>
      <c r="BM589" s="86">
        <f>+BM588/BM614*100</f>
        <v>37.081592039801016</v>
      </c>
      <c r="BN589" s="61">
        <f>IF(ISERROR((BM589/BE589-1)*100),"NA",IF(((BM589/BE589-1)*100)&gt;100,"NM",IF(((BM589/BE589-1)*100)&lt;-50,"NM",(BM589/BE589-1)*100)))</f>
        <v>25.445141026603668</v>
      </c>
      <c r="BO589" s="86">
        <f>+BO588/BO614*100</f>
        <v>36.414691151919854</v>
      </c>
      <c r="BP589" s="61">
        <f>IF(ISERROR((BO589/BG589-1)*100),"NA",IF(((BO589/BG589-1)*100)&gt;100,"NM",IF(((BO589/BG589-1)*100)&lt;-50,"NM",(BO589/BG589-1)*100)))</f>
        <v>11.946252820014047</v>
      </c>
      <c r="BQ589" s="86">
        <f>+BQ588/BQ614*100</f>
        <v>34.910563836681781</v>
      </c>
      <c r="BR589" s="61">
        <f>IF(ISERROR((BQ589/BI589-1)*100),"NA",IF(((BQ589/BI589-1)*100)&gt;100,"NM",IF(((BQ589/BI589-1)*100)&lt;-50,"NM",(BQ589/BI589-1)*100)))</f>
        <v>12.924342926713607</v>
      </c>
      <c r="BS589" s="86">
        <f>+BS588/BS614*100</f>
        <v>35.880092281879179</v>
      </c>
      <c r="BT589" s="61">
        <f>IF(ISERROR((BS589/BK589-1)*100),"NA",IF(((BS589/BK589-1)*100)&gt;100,"NM",IF(((BS589/BK589-1)*100)&lt;-50,"NM",(BS589/BK589-1)*100)))</f>
        <v>10.76952423893578</v>
      </c>
      <c r="BU589" s="86">
        <f>+BU588/BU614*100</f>
        <v>-42.561762391817417</v>
      </c>
      <c r="BV589" s="61" t="str">
        <f>IF(ISERROR((BU589/BM589-1)*100),"NA",IF(((BU589/BM589-1)*100)&gt;100,"NM",IF(((BU589/BM589-1)*100)&lt;-50,"NM",(BU589/BM589-1)*100)))</f>
        <v>NM</v>
      </c>
      <c r="BW589" s="86">
        <f>+BW588/BW614*100</f>
        <v>1.5806253832004902</v>
      </c>
      <c r="BX589" s="61" t="str">
        <f>IF(ISERROR((BW589/BO589-1)*100),"NA",IF(((BW589/BO589-1)*100)&gt;100,"NM",IF(((BW589/BO589-1)*100)&lt;-50,"NM",(BW589/BO589-1)*100)))</f>
        <v>NM</v>
      </c>
      <c r="BY589" s="86">
        <f>+BY588/BY614*100</f>
        <v>1.2657983598649289</v>
      </c>
      <c r="BZ589" s="61" t="str">
        <f>IF(ISERROR((BY589/BQ589-1)*100),"NA",IF(((BY589/BQ589-1)*100)&gt;100,"NM",IF(((BY589/BQ589-1)*100)&lt;-50,"NM",(BY589/BQ589-1)*100)))</f>
        <v>NM</v>
      </c>
      <c r="CA589" s="86">
        <f>+CA588/CA614*100</f>
        <v>1.1959415146020607</v>
      </c>
      <c r="CB589" s="61" t="str">
        <f>IF(ISERROR((CA589/BS589-1)*100),"NA",IF(((CA589/BS589-1)*100)&gt;100,"NM",IF(((CA589/BS589-1)*100)&lt;-50,"NM",(CA589/BS589-1)*100)))</f>
        <v>NM</v>
      </c>
      <c r="CC589" s="86">
        <f>+CC588/CC614*100</f>
        <v>1.1168458781362007</v>
      </c>
      <c r="CD589" s="61" t="str">
        <f>IF(ISERROR((CC589/BU589-1)*100),"NA",IF(((CC589/BU589-1)*100)&gt;100,"NM",IF(((CC589/BU589-1)*100)&lt;-50,"NM",(CC589/BU589-1)*100)))</f>
        <v>NM</v>
      </c>
      <c r="CE589" s="86">
        <f>+CE588/CE614*100</f>
        <v>1.2105508145849493</v>
      </c>
      <c r="CF589" s="61">
        <f>IF(ISERROR((CE589/BW589-1)*100),"NA",IF(((CE589/BW589-1)*100)&gt;100,"NM",IF(((CE589/BW589-1)*100)&lt;-50,"NM",(CE589/BW589-1)*100)))</f>
        <v>-23.413173832891676</v>
      </c>
      <c r="CG589" s="86">
        <f>+CG588/CG614*100</f>
        <v>1.1549192364170338</v>
      </c>
      <c r="CH589" s="61">
        <f>IF(ISERROR((CG589/BY589-1)*100),"NA",IF(((CG589/BY589-1)*100)&gt;100,"NM",IF(((CG589/BY589-1)*100)&lt;-50,"NM",(CG589/BY589-1)*100)))</f>
        <v>-8.7596197754377663</v>
      </c>
      <c r="CI589" s="86">
        <f>+CI588/CI614*100</f>
        <v>1.5918866080156406</v>
      </c>
      <c r="CJ589" s="61">
        <f>IF(ISERROR((CI589/CA589-1)*100),"NA",IF(((CI589/CA589-1)*100)&gt;100,"NM",IF(((CI589/CA589-1)*100)&lt;-50,"NM",(CI589/CA589-1)*100)))</f>
        <v>33.107396020559364</v>
      </c>
      <c r="CK589" s="86">
        <f>+CK588/CK614*100</f>
        <v>1.2176204819277119</v>
      </c>
      <c r="CL589" s="61">
        <f>IF(ISERROR((CK589/CC589-1)*100),"NA",IF(((CK589/CC589-1)*100)&gt;100,"NM",IF(((CK589/CC589-1)*100)&lt;-50,"NM",(CK589/CC589-1)*100)))</f>
        <v>9.0231432791500588</v>
      </c>
      <c r="CM589" s="86">
        <f>+CM588/CM614*100</f>
        <v>5.0155327741534608</v>
      </c>
      <c r="CN589" s="61" t="str">
        <f>IF(ISERROR((CM589/CE589-1)*100),"NA",IF(((CM589/CE589-1)*100)&gt;100,"NM",IF(((CM589/CE589-1)*100)&lt;-50,"NM",(CM589/CE589-1)*100)))</f>
        <v>NM</v>
      </c>
      <c r="CO589" s="86">
        <f>+CO588/CO614*100</f>
        <v>4.9261311172668538</v>
      </c>
      <c r="CP589" s="61" t="str">
        <f>IF(ISERROR((CO589/CG589-1)*100),"NA",IF(((CO589/CG589-1)*100)&gt;100,"NM",IF(((CO589/CG589-1)*100)&lt;-50,"NM",(CO589/CG589-1)*100)))</f>
        <v>NM</v>
      </c>
      <c r="CQ589" s="86">
        <f>+CQ588/CQ614*100</f>
        <v>4.8312170950758766</v>
      </c>
      <c r="CR589" s="61" t="str">
        <f>IF(ISERROR((CQ589/CI589-1)*100),"NA",IF(((CQ589/CI589-1)*100)&gt;100,"NM",IF(((CQ589/CI589-1)*100)&lt;-50,"NM",(CQ589/CI589-1)*100)))</f>
        <v>NM</v>
      </c>
      <c r="CS589" s="86">
        <f>+CS588/CS614*100</f>
        <v>8.7624548736462096</v>
      </c>
      <c r="CT589" s="61" t="str">
        <f>IF(ISERROR((CS589/CK589-1)*100),"NA",IF(((CS589/CK589-1)*100)&gt;100,"NM",IF(((CS589/CK589-1)*100)&lt;-50,"NM",(CS589/CK589-1)*100)))</f>
        <v>NM</v>
      </c>
      <c r="CU589" s="86">
        <f>+CU588/CU614*100</f>
        <v>8.0791808873720132</v>
      </c>
      <c r="CV589" s="61">
        <f>IF(ISERROR((CU589/CM589-1)*100),"NA",IF(((CU589/CM589-1)*100)&gt;100,"NM",IF(((CU589/CM589-1)*100)&lt;-50,"NM",(CU589/CM589-1)*100)))</f>
        <v>61.083203942090591</v>
      </c>
      <c r="CW589" s="86">
        <f>+CW588/CW614*100</f>
        <v>7.3650793650793647</v>
      </c>
      <c r="CX589" s="61">
        <f>IF(ISERROR((CW589/CO589-1)*100),"NA",IF(((CW589/CO589-1)*100)&gt;100,"NM",IF(((CW589/CO589-1)*100)&lt;-50,"NM",(CW589/CO589-1)*100)))</f>
        <v>49.510420850626957</v>
      </c>
      <c r="CY589" s="86">
        <f>+CY588/CY614*100</f>
        <v>6.2917127071823202</v>
      </c>
      <c r="CZ589" s="61">
        <f>IF(ISERROR((CY589/CQ589-1)*100),"NA",IF(((CY589/CQ589-1)*100)&gt;100,"NM",IF(((CY589/CQ589-1)*100)&lt;-50,"NM",(CY589/CQ589-1)*100)))</f>
        <v>30.230386740331451</v>
      </c>
      <c r="DA589" s="86">
        <f>+DA588/DA614*100</f>
        <v>10.881290322580647</v>
      </c>
      <c r="DB589" s="61">
        <f>IF(ISERROR((DA589/CS589-1)*100),"NA",IF(((DA589/CS589-1)*100)&gt;100,"NM",IF(((DA589/CS589-1)*100)&lt;-50,"NM",(DA589/CS589-1)*100)))</f>
        <v>24.18084292002467</v>
      </c>
      <c r="DC589" s="86">
        <f>+DC588/DC614*100</f>
        <v>11.730526315789474</v>
      </c>
      <c r="DD589" s="61">
        <f>IF(ISERROR((DC589/CU589-1)*100),"NA",IF(((DC589/CU589-1)*100)&gt;100,"NM",IF(((DC589/CU589-1)*100)&lt;-50,"NM",(DC589/CU589-1)*100)))</f>
        <v>45.194500275697713</v>
      </c>
      <c r="DE589" s="86">
        <f>+DE588/DE614*100</f>
        <v>9.4256410256410241</v>
      </c>
      <c r="DF589" s="61">
        <f>IF(ISERROR((DE589/CW589-1)*100),"NA",IF(((DE589/CW589-1)*100)&gt;100,"NM",IF(((DE589/CW589-1)*100)&lt;-50,"NM",(DE589/CW589-1)*100)))</f>
        <v>27.977453580901845</v>
      </c>
      <c r="DG589" s="86">
        <f>+DG588/DG614*100</f>
        <v>8.9493188010899178</v>
      </c>
      <c r="DH589" s="61">
        <f>IF(ISERROR((DG589/CY589-1)*100),"NA",IF(((DG589/CY589-1)*100)&gt;100,"NM",IF(((DG589/CY589-1)*100)&lt;-50,"NM",(DG589/CY589-1)*100)))</f>
        <v>42.239787758805349</v>
      </c>
      <c r="DI589" s="86">
        <f>+DI588/DI614*100</f>
        <v>11.426178010471205</v>
      </c>
      <c r="DJ589" s="61">
        <f>IF(ISERROR((DI589/DA589-1)*100),"NA",IF(((DI589/DA589-1)*100)&gt;100,"NM",IF(((DI589/DA589-1)*100)&lt;-50,"NM",(DI589/DA589-1)*100)))</f>
        <v>5.0075650197460186</v>
      </c>
      <c r="DK589" s="86">
        <f>+DK588/DK614*100</f>
        <v>11.960439560439562</v>
      </c>
      <c r="DL589" s="61">
        <f>IF(ISERROR((DK589/DC589-1)*100),"NA",IF(((DK589/DC589-1)*100)&gt;100,"NM",IF(((DK589/DC589-1)*100)&lt;-50,"NM",(DK589/DC589-1)*100)))</f>
        <v>1.959956769719895</v>
      </c>
      <c r="DM589" s="86">
        <f>+DM588/DM614*100</f>
        <v>10.892151898734175</v>
      </c>
      <c r="DN589" s="130">
        <f t="shared" si="3331"/>
        <v>15.558738860346267</v>
      </c>
      <c r="DO589" s="86">
        <f>+DO588/DO614*100</f>
        <v>10.261538461538462</v>
      </c>
      <c r="DP589" s="130">
        <f t="shared" si="3331"/>
        <v>14.662788192199972</v>
      </c>
      <c r="DQ589" s="86">
        <f>+DQ588/DQ614*100</f>
        <v>11.954545454545455</v>
      </c>
      <c r="DR589" s="130">
        <f t="shared" si="3331"/>
        <v>4.6241835510530516</v>
      </c>
      <c r="DS589" s="86">
        <f>+DS588/DS614*100</f>
        <v>14.806818181818185</v>
      </c>
      <c r="DT589" s="130">
        <f t="shared" si="3331"/>
        <v>23.798277705389069</v>
      </c>
      <c r="DU589" s="86">
        <f>+DU588/DU614*100</f>
        <v>13.741239892183287</v>
      </c>
      <c r="DV589" s="130">
        <f t="shared" si="3331"/>
        <v>26.157255425167335</v>
      </c>
      <c r="DW589" s="86">
        <f>+DW588/DW614*100</f>
        <v>17.957446808510639</v>
      </c>
      <c r="DX589" s="86">
        <f t="shared" ref="DX589:DY589" si="3347">+DX588/DX614*100</f>
        <v>17.957446808510639</v>
      </c>
      <c r="DY589" s="86">
        <f t="shared" si="3347"/>
        <v>13.029315960912053</v>
      </c>
      <c r="DZ589" s="130">
        <f t="shared" si="3331"/>
        <v>8.9904757186559436</v>
      </c>
      <c r="EA589" s="86">
        <f t="shared" ref="EA589:EC589" si="3348">+EA588/EA614*100</f>
        <v>19.952114924181966</v>
      </c>
      <c r="EB589" s="130">
        <f t="shared" si="3332"/>
        <v>34.749509848657922</v>
      </c>
      <c r="EC589" s="86">
        <f t="shared" si="3348"/>
        <v>16.077170418006432</v>
      </c>
      <c r="ED589" s="130">
        <f t="shared" si="3333"/>
        <v>16.999415949007201</v>
      </c>
      <c r="EE589" s="86">
        <f t="shared" ref="EE589:EG589" si="3349">+EE588/EE614*100</f>
        <v>13.241525423728815</v>
      </c>
      <c r="EF589" s="130">
        <f t="shared" si="3334"/>
        <v>-26.261647521889309</v>
      </c>
      <c r="EG589" s="86">
        <f t="shared" si="3349"/>
        <v>14.11631846414455</v>
      </c>
      <c r="EH589" s="130">
        <f t="shared" si="3335"/>
        <v>8.3427442123094266</v>
      </c>
      <c r="EI589" s="86">
        <f t="shared" ref="EI589:EK589" si="3350">+EI588/EI614*100</f>
        <v>15.096304008328994</v>
      </c>
      <c r="EJ589" s="130">
        <f t="shared" si="3336"/>
        <v>-24.337324310255092</v>
      </c>
      <c r="EK589" s="86">
        <f t="shared" si="3350"/>
        <v>15.718157181571815</v>
      </c>
      <c r="EL589" s="130">
        <f t="shared" si="3337"/>
        <v>-2.2330623306233144</v>
      </c>
      <c r="EM589" s="86">
        <f t="shared" ref="EM589" si="3351">+EM588/EM614*100</f>
        <v>14.299802761341221</v>
      </c>
      <c r="EN589" s="130">
        <f t="shared" si="3338"/>
        <v>7.9921104536488929</v>
      </c>
      <c r="EO589" s="86">
        <f t="shared" ref="EO589" si="3352">+EO588/EO614*100</f>
        <v>14.624306606152293</v>
      </c>
      <c r="EP589" s="130">
        <f t="shared" si="3339"/>
        <v>3.5985879979828495</v>
      </c>
      <c r="EQ589" s="86">
        <f t="shared" ref="EQ589:EW589" si="3353">+EQ588/EQ614*100</f>
        <v>16.865220357711394</v>
      </c>
      <c r="ER589" s="130">
        <f t="shared" si="3340"/>
        <v>11.717545886771008</v>
      </c>
      <c r="ES589" s="86">
        <f t="shared" si="3353"/>
        <v>15.860036425129257</v>
      </c>
      <c r="ET589" s="130">
        <f t="shared" si="3341"/>
        <v>0.90264553228787126</v>
      </c>
      <c r="EU589" s="86">
        <f t="shared" si="3353"/>
        <v>15.207847101095878</v>
      </c>
      <c r="EV589" s="130">
        <f t="shared" si="3342"/>
        <v>6.3500480035256768</v>
      </c>
      <c r="EW589" s="86">
        <f t="shared" si="3353"/>
        <v>14.726458071517424</v>
      </c>
      <c r="EX589" s="130">
        <f t="shared" si="3343"/>
        <v>0.69850467523810966</v>
      </c>
      <c r="EY589" s="64"/>
      <c r="EZ589" s="558"/>
      <c r="FA589" s="64"/>
      <c r="FB589" s="86">
        <f>+FB588/FB614*100</f>
        <v>40.46722559359651</v>
      </c>
      <c r="FC589" s="71"/>
      <c r="FD589" s="86">
        <f>+FD588/FD614*100</f>
        <v>47.021464646464644</v>
      </c>
      <c r="FE589" s="70">
        <f>IF(ISERROR((FD589/FB589-1)*100),"NA",IF(((FD589/FB589-1)*100)&gt;100,"NM",IF(((FD589/FB589-1)*100)&lt;-50,"NM",(FD589/FB589-1)*100)))</f>
        <v>16.196413163311263</v>
      </c>
      <c r="FF589" s="86">
        <f>+FF588/FF614*100</f>
        <v>31.905603908848185</v>
      </c>
      <c r="FG589" s="70">
        <f>IF(ISERROR((FF589/FD589-1)*100),"NA",IF(((FF589/FD589-1)*100)&gt;100,"NM",IF(((FF589/FD589-1)*100)&lt;-50,"NM",(FF589/FD589-1)*100)))</f>
        <v>-32.14672458900737</v>
      </c>
      <c r="FH589" s="86">
        <f>+FH588/FH614*100</f>
        <v>36.984671837729252</v>
      </c>
      <c r="FI589" s="70">
        <f>IF(ISERROR((FH589/FF589-1)*100),"NA",IF(((FH589/FF589-1)*100)&gt;100,"NM",IF(((FH589/FF589-1)*100)&lt;-50,"NM",(FH589/FF589-1)*100)))</f>
        <v>15.919046520453172</v>
      </c>
      <c r="FJ589" s="86">
        <f>+FJ588/FJ614*100</f>
        <v>55.159024134246437</v>
      </c>
      <c r="FK589" s="70">
        <f>IF(ISERROR((FJ589/FH589-1)*100),"NA",IF(((FJ589/FH589-1)*100)&gt;100,"NM",IF(((FJ589/FH589-1)*100)&lt;-50,"NM",(FJ589/FH589-1)*100)))</f>
        <v>49.140228622974959</v>
      </c>
      <c r="FL589" s="86">
        <f>+FL588/FL614*100</f>
        <v>41.048638641909932</v>
      </c>
      <c r="FM589" s="61">
        <f>IF(ISERROR((FL589/FJ589-1)*100),"NA",IF(((FL589/FJ589-1)*100)&gt;100,"NM",IF(((FL589/FJ589-1)*100)&lt;-50,"NM",(FL589/FJ589-1)*100)))</f>
        <v>-25.581281963934941</v>
      </c>
      <c r="FN589" s="86">
        <f>+FN588/FN614*100</f>
        <v>33.768690979654764</v>
      </c>
      <c r="FO589" s="61">
        <f>IF(ISERROR((FN589/FL589-1)*100),"NA",IF(((FN589/FL589-1)*100)&gt;100,"NM",IF(((FN589/FL589-1)*100)&lt;-50,"NM",(FN589/FL589-1)*100)))</f>
        <v>-17.734930811621286</v>
      </c>
      <c r="FP589" s="176">
        <f>+FP588/FP614*100</f>
        <v>26.783102558867277</v>
      </c>
      <c r="FQ589" s="61">
        <f t="shared" ref="FQ589:FQ650" si="3354">IF(ISERROR((FP589/FH589-1)*100),"NA",IF(((FP589/FH589-1)*100)&gt;100,"NM",IF(((FP589/FH589-1)*100)&lt;-50,"NM",(FP589/FH589-1)*100)))</f>
        <v>-27.583235897350932</v>
      </c>
      <c r="FR589" s="176">
        <f>+FR588/FR614*100</f>
        <v>30.175533896200648</v>
      </c>
      <c r="FS589" s="61">
        <f>IF(ISERROR((FR589/FP589-1)*100),"NA",IF(((FR589/FP589-1)*100)&gt;100,"NM",IF(((FR589/FP589-1)*100)&lt;-50,"NM",(FR589/FP589-1)*100)))</f>
        <v>12.666312014737869</v>
      </c>
      <c r="FT589" s="176">
        <f>+FT588/FT614*100</f>
        <v>33.110741803897881</v>
      </c>
      <c r="FU589" s="61">
        <f>IF(ISERROR((FT589/FR589-1)*100),"NA",IF(((FT589/FR589-1)*100)&gt;100,"NM",IF(((FT589/FR589-1)*100)&lt;-50,"NM",(FT589/FR589-1)*100)))</f>
        <v>9.7271117647625083</v>
      </c>
      <c r="FV589" s="176">
        <f>+FV588/FV614*100</f>
        <v>48.452293806161713</v>
      </c>
      <c r="FW589" s="61">
        <f>IF(ISERROR((FV589/FT589-1)*100),"NA",IF(((FV589/FT589-1)*100)&gt;100,"NM",IF(((FV589/FT589-1)*100)&lt;-50,"NM",(FV589/FT589-1)*100)))</f>
        <v>46.334063105942811</v>
      </c>
      <c r="FX589" s="176">
        <f>+FX588/FX614*100</f>
        <v>1.2566447650807275</v>
      </c>
      <c r="FY589" s="61" t="str">
        <f>IF(ISERROR((FX589/FV589-1)*100),"NA",IF(((FX589/FV589-1)*100)&gt;100,"NM",IF(((FX589/FV589-1)*100)&lt;-50,"NM",(FX589/FV589-1)*100)))</f>
        <v>NM</v>
      </c>
      <c r="FZ589" s="176">
        <f>+FZ588/FZ614*100</f>
        <v>1.2752698920431838</v>
      </c>
      <c r="GA589" s="61">
        <f>IF(ISERROR((FZ589/FX589-1)*100),"NA",IF(((FZ589/FX589-1)*100)&gt;100,"NM",IF(((FZ589/FX589-1)*100)&lt;-50,"NM",(FZ589/FX589-1)*100)))</f>
        <v>1.482131424886779</v>
      </c>
      <c r="GB589" s="176">
        <f>+GB588/GB614*100</f>
        <v>5.811341942728804</v>
      </c>
      <c r="GC589" s="61" t="str">
        <f>IF(ISERROR((GB589/FZ589-1)*100),"NA",IF(((GB589/FZ589-1)*100)&gt;100,"NM",IF(((GB589/FZ589-1)*100)&lt;-50,"NM",(GB589/FZ589-1)*100)))</f>
        <v>NM</v>
      </c>
      <c r="GD589" s="176">
        <f>+GD588/GD614*100</f>
        <v>8.088750000000001</v>
      </c>
      <c r="GE589" s="61">
        <f>IF(ISERROR((GD589/GB589-1)*100),"NA",IF(((GD589/GB589-1)*100)&gt;100,"NM",IF(((GD589/GB589-1)*100)&lt;-50,"NM",(GD589/GB589-1)*100)))</f>
        <v>39.18902173913046</v>
      </c>
      <c r="GF589" s="176">
        <f>+GF588/GF614*100</f>
        <v>10.332418772563177</v>
      </c>
      <c r="GG589" s="61">
        <f>IF(ISERROR((GF589/GD589-1)*100),"NA",IF(((GF589/GD589-1)*100)&gt;100,"NM",IF(((GF589/GD589-1)*100)&lt;-50,"NM",(GF589/GD589-1)*100)))</f>
        <v>27.738139670074791</v>
      </c>
      <c r="GH589" s="176">
        <f>+GH588/GH614*100</f>
        <v>11.284210526315789</v>
      </c>
      <c r="GI589" s="61">
        <f>IF(ISERROR((GH589/GF589-1)*100),"NA",IF(((GH589/GF589-1)*100)&gt;100,"NM",IF(((GH589/GF589-1)*100)&lt;-50,"NM",(GH589/GF589-1)*100)))</f>
        <v>9.2117032294510857</v>
      </c>
      <c r="GJ589" s="176">
        <f>+GJ588/GJ614*100</f>
        <v>14.673395818312907</v>
      </c>
      <c r="GK589" s="61">
        <f>IF(ISERROR((GJ589/GH589-1)*100),"NA",IF(((GJ589/GH589-1)*100)&gt;100,"NM",IF(((GJ589/GH589-1)*100)&lt;-50,"NM",(GJ589/GH589-1)*100)))</f>
        <v>30.034757718258032</v>
      </c>
      <c r="GL589" s="176">
        <f>+GL588/GL614*100</f>
        <v>15.514705882352942</v>
      </c>
      <c r="GM589" s="61">
        <f>IF(ISERROR((GL589/GJ589-1)*100),"NA",IF(((GL589/GJ589-1)*100)&gt;100,"NM",IF(((GL589/GJ589-1)*100)&lt;-50,"NM",(GL589/GJ589-1)*100)))</f>
        <v>5.7335743849426635</v>
      </c>
      <c r="GN589" s="176">
        <f>+GN588/GN614*100</f>
        <v>14.922193732193731</v>
      </c>
      <c r="GO589" s="61">
        <f>IF(ISERROR((GN589/GL589-1)*100),"NA",IF(((GN589/GL589-1)*100)&gt;100,"NM",IF(((GN589/GL589-1)*100)&lt;-50,"NM",(GN589/GL589-1)*100)))</f>
        <v>-3.8190356597939679</v>
      </c>
      <c r="GP589" s="176">
        <f>+GP588/GP614*100</f>
        <v>15.62647566216741</v>
      </c>
      <c r="GQ589" s="61">
        <f>IF(ISERROR((GP589/GN589-1)*100),"NA",IF(((GP589/GN589-1)*100)&gt;100,"NM",IF(((GP589/GN589-1)*100)&lt;-50,"NM",(GP589/GN589-1)*100)))</f>
        <v>4.7196943198387187</v>
      </c>
      <c r="GR589" s="86">
        <f>+GR588/GR614*100</f>
        <v>15.490275092432249</v>
      </c>
      <c r="GS589" s="61">
        <f>IF(ISERROR((GR589/GP589-1)*100),"NA",IF(((GR589/GP589-1)*100)&gt;100,"NM",IF(((GR589/GP589-1)*100)&lt;-50,"NM",(GR589/GP589-1)*100)))</f>
        <v>-0.87160133020210973</v>
      </c>
      <c r="GT589" s="86">
        <f>+GT588/GT614*100</f>
        <v>14.949845166373679</v>
      </c>
      <c r="GU589" s="61">
        <f>IF(ISERROR((GT589/GR589-1)*100),"NA",IF(((GT589/GR589-1)*100)&gt;100,"NM",IF(((GT589/GR589-1)*100)&lt;-50,"NM",(GT589/GR589-1)*100)))</f>
        <v>-3.4888336251858831</v>
      </c>
      <c r="GV589" s="86">
        <f>+GV588/GV614*100</f>
        <v>14.983381533420214</v>
      </c>
      <c r="GW589" s="61">
        <f>IF(ISERROR((GV589/GT589-1)*100),"NA",IF(((GV589/GT589-1)*100)&gt;100,"NM",IF(((GV589/GT589-1)*100)&lt;-50,"NM",(GV589/GT589-1)*100)))</f>
        <v>0.22432584868483652</v>
      </c>
      <c r="GX589" s="86">
        <f>+GX588/GX614*100</f>
        <v>14.965414858337311</v>
      </c>
      <c r="GY589" s="61">
        <f>IF(ISERROR((GX589/GV589-1)*100),"NA",IF(((GX589/GV589-1)*100)&gt;100,"NM",IF(((GX589/GV589-1)*100)&lt;-50,"NM",(GX589/GV589-1)*100)))</f>
        <v>-0.11991068266418159</v>
      </c>
      <c r="GZ589" s="61">
        <f t="shared" si="3330"/>
        <v>5.7861650822155219E-2</v>
      </c>
      <c r="HA589" s="61"/>
      <c r="HB589" s="452"/>
      <c r="HC589"/>
      <c r="HD589"/>
      <c r="HE589"/>
      <c r="HF589"/>
      <c r="HG589"/>
      <c r="HH589"/>
    </row>
    <row r="590" spans="1:216" s="5" customFormat="1" ht="12.75" customHeight="1" x14ac:dyDescent="0.2">
      <c r="A590" s="5" t="s">
        <v>371</v>
      </c>
      <c r="B590" s="7" t="s">
        <v>364</v>
      </c>
      <c r="C590" s="91">
        <f>C588*C609</f>
        <v>56.578999999999994</v>
      </c>
      <c r="D590" s="70"/>
      <c r="E590" s="91">
        <f>E588*E609</f>
        <v>56.172999999999995</v>
      </c>
      <c r="F590" s="71"/>
      <c r="G590" s="91">
        <f>G588*G611</f>
        <v>56.723999999999997</v>
      </c>
      <c r="H590" s="71"/>
      <c r="I590" s="91">
        <f>I588*I611</f>
        <v>59.657999999999994</v>
      </c>
      <c r="J590" s="61"/>
      <c r="K590" s="91">
        <f>K588*K611</f>
        <v>59.078499999999998</v>
      </c>
      <c r="L590" s="61">
        <f>IF(ISERROR((K590/C590-1)*100),"NA",IF(((K590/C590-1)*100)&gt;100,"NM",IF(((K590/C590-1)*100)&lt;-50,"NM",(K590/C590-1)*100)))</f>
        <v>4.4177168207285566</v>
      </c>
      <c r="M590" s="91">
        <f>M588*M609</f>
        <v>58.804000000000002</v>
      </c>
      <c r="N590" s="61">
        <f>IF(ISERROR((M590/E590-1)*100),"NA",IF(((M590/E590-1)*100)&gt;100,"NM",IF(((M590/E590-1)*100)&lt;-50,"NM",(M590/E590-1)*100)))</f>
        <v>4.683744859630079</v>
      </c>
      <c r="O590" s="91">
        <f>O588*O611</f>
        <v>59.414000000000001</v>
      </c>
      <c r="P590" s="61">
        <f>IF(ISERROR((O590/G590-1)*100),"NA",IF(((O590/G590-1)*100)&gt;100,"NM",IF(((O590/G590-1)*100)&lt;-50,"NM",(O590/G590-1)*100)))</f>
        <v>4.7422607714547649</v>
      </c>
      <c r="Q590" s="91">
        <f>Q588*Q611</f>
        <v>61.696000000000005</v>
      </c>
      <c r="R590" s="61">
        <f>IF(ISERROR((Q590/I590-1)*100),"NA",IF(((Q590/I590-1)*100)&gt;100,"NM",IF(((Q590/I590-1)*100)&lt;-50,"NM",(Q590/I590-1)*100)))</f>
        <v>3.416138657011647</v>
      </c>
      <c r="S590" s="91">
        <f>S588*S611</f>
        <v>60.800000000000004</v>
      </c>
      <c r="T590" s="61">
        <f>IF(ISERROR((S590/K590-1)*100),"NA",IF(((S590/K590-1)*100)&gt;100,"NM",IF(((S590/K590-1)*100)&lt;-50,"NM",(S590/K590-1)*100)))</f>
        <v>2.913919615426952</v>
      </c>
      <c r="U590" s="91">
        <f>U588*U611</f>
        <v>60.32</v>
      </c>
      <c r="V590" s="61">
        <f>IF(ISERROR((U590/M590-1)*100),"NA",IF(((U590/M590-1)*100)&gt;100,"NM",IF(((U590/M590-1)*100)&lt;-50,"NM",(U590/M590-1)*100)))</f>
        <v>2.5780559145636373</v>
      </c>
      <c r="W590" s="91">
        <f>W588*W611</f>
        <v>58.848000000000006</v>
      </c>
      <c r="X590" s="61">
        <f>IF(ISERROR((W590/O590-1)*100),"NA",IF(((W590/O590-1)*100)&gt;100,"NM",IF(((W590/O590-1)*100)&lt;-50,"NM",(W590/O590-1)*100)))</f>
        <v>-0.95263742552259556</v>
      </c>
      <c r="Y590" s="91">
        <f>Y588*Y611</f>
        <v>57.248000000000005</v>
      </c>
      <c r="Z590" s="61">
        <f>IF(ISERROR((Y590/Q590-1)*100),"NA",IF(((Y590/Q590-1)*100)&gt;100,"NM",IF(((Y590/Q590-1)*100)&lt;-50,"NM",(Y590/Q590-1)*100)))</f>
        <v>-7.2095435684647269</v>
      </c>
      <c r="AA590" s="91">
        <f>AA588*AA611</f>
        <v>59.730500000000006</v>
      </c>
      <c r="AB590" s="61">
        <f>IF(ISERROR((AA590/S590-1)*100),"NA",IF(((AA590/S590-1)*100)&gt;100,"NM",IF(((AA590/S590-1)*100)&lt;-50,"NM",(AA590/S590-1)*100)))</f>
        <v>-1.7590460526315743</v>
      </c>
      <c r="AC590" s="91">
        <f>AC588*AC611</f>
        <v>60.031999999999996</v>
      </c>
      <c r="AD590" s="61">
        <f>IF(ISERROR((AC590/U590-1)*100),"NA",IF(((AC590/U590-1)*100)&gt;100,"NM",IF(((AC590/U590-1)*100)&lt;-50,"NM",(AC590/U590-1)*100)))</f>
        <v>-0.4774535809018654</v>
      </c>
      <c r="AE590" s="91">
        <f>AE588*AE611</f>
        <v>60.266500000000008</v>
      </c>
      <c r="AF590" s="61">
        <f>IF(ISERROR((AE590/W590-1)*100),"NA",IF(((AE590/W590-1)*100)&gt;100,"NM",IF(((AE590/W590-1)*100)&lt;-50,"NM",(AE590/W590-1)*100)))</f>
        <v>2.4104472539423716</v>
      </c>
      <c r="AG590" s="91">
        <f>AG588*AG611</f>
        <v>63.14</v>
      </c>
      <c r="AH590" s="61">
        <f>IF(ISERROR((AG590/Y590-1)*100),"NA",IF(((AG590/Y590-1)*100)&gt;100,"NM",IF(((AG590/Y590-1)*100)&lt;-50,"NM",(AG590/Y590-1)*100)))</f>
        <v>10.29206260480715</v>
      </c>
      <c r="AI590" s="91">
        <f>AI588*AI611</f>
        <v>63.419999999999995</v>
      </c>
      <c r="AJ590" s="61">
        <f>IF(ISERROR((AI590/AA590-1)*100),"NA",IF(((AI590/AA590-1)*100)&gt;100,"NM",IF(((AI590/AA590-1)*100)&lt;-50,"NM",(AI590/AA590-1)*100)))</f>
        <v>6.1769112932253734</v>
      </c>
      <c r="AK590" s="91">
        <f>AK588*AK611</f>
        <v>62.783035714285724</v>
      </c>
      <c r="AL590" s="61">
        <f>IF(ISERROR((AK590/AC590-1)*100),"NA",IF(((AK590/AC590-1)*100)&gt;100,"NM",IF(((AK590/AC590-1)*100)&lt;-50,"NM",(AK590/AC590-1)*100)))</f>
        <v>4.5826154622296889</v>
      </c>
      <c r="AM590" s="91">
        <f>AM588*AM611</f>
        <v>59.529499999999999</v>
      </c>
      <c r="AN590" s="61">
        <f>IF(ISERROR((AM590/AE590-1)*100),"NA",IF(((AM590/AE590-1)*100)&gt;100,"NM",IF(((AM590/AE590-1)*100)&lt;-50,"NM",(AM590/AE590-1)*100)))</f>
        <v>-1.2229016120066882</v>
      </c>
      <c r="AO590" s="91">
        <f>AO588*AO611</f>
        <v>59.194499999999998</v>
      </c>
      <c r="AP590" s="61">
        <f>IF(ISERROR((AO590/AG590-1)*100),"NA",IF(((AO590/AG590-1)*100)&gt;100,"NM",IF(((AO590/AG590-1)*100)&lt;-50,"NM",(AO590/AG590-1)*100)))</f>
        <v>-6.2488121634463152</v>
      </c>
      <c r="AQ590" s="91">
        <f>AQ588*AQ611</f>
        <v>64.459000000000003</v>
      </c>
      <c r="AR590" s="61">
        <f>IF(ISERROR((AQ590/AI590-1)*100),"NA",IF(((AQ590/AI590-1)*100)&gt;100,"NM",IF(((AQ590/AI590-1)*100)&lt;-50,"NM",(AQ590/AI590-1)*100)))</f>
        <v>1.6382844528540108</v>
      </c>
      <c r="AS590" s="91">
        <f>AS588*AS611</f>
        <v>64.021000000000001</v>
      </c>
      <c r="AT590" s="61">
        <f>IF(ISERROR((AS590/AK590-1)*100),"NA",IF(((AS590/AK590-1)*100)&gt;100,"NM",IF(((AS590/AK590-1)*100)&lt;-50,"NM",(AS590/AK590-1)*100)))</f>
        <v>1.9718133595005405</v>
      </c>
      <c r="AU590" s="91">
        <f>AU588*AU611</f>
        <v>64.167000000000002</v>
      </c>
      <c r="AV590" s="61">
        <f>IF(ISERROR((AU590/AM590-1)*100),"NA",IF(((AU590/AM590-1)*100)&gt;100,"NM",IF(((AU590/AM590-1)*100)&lt;-50,"NM",(AU590/AM590-1)*100)))</f>
        <v>7.7902552515979551</v>
      </c>
      <c r="AW590" s="91">
        <f>AW588*AW611</f>
        <v>64.459000000000003</v>
      </c>
      <c r="AX590" s="61">
        <f>IF(ISERROR((AW590/AO590-1)*100),"NA",IF(((AW590/AO590-1)*100)&gt;100,"NM",IF(((AW590/AO590-1)*100)&lt;-50,"NM",(AW590/AO590-1)*100)))</f>
        <v>8.8935627465389633</v>
      </c>
      <c r="AY590" s="91">
        <f>AY588*AY611</f>
        <v>67.602000000000004</v>
      </c>
      <c r="AZ590" s="61">
        <f>IF(ISERROR((AY590/AQ590-1)*100),"NA",IF(((AY590/AQ590-1)*100)&gt;100,"NM",IF(((AY590/AQ590-1)*100)&lt;-50,"NM",(AY590/AQ590-1)*100)))</f>
        <v>4.8759676693712395</v>
      </c>
      <c r="BA590" s="91">
        <f>BA588*BA611</f>
        <v>107.38800000000001</v>
      </c>
      <c r="BB590" s="61">
        <f t="shared" si="3344"/>
        <v>67.738710735539897</v>
      </c>
      <c r="BC590" s="91">
        <f>BC588*BC611</f>
        <v>107.312</v>
      </c>
      <c r="BD590" s="61">
        <f t="shared" si="3345"/>
        <v>67.238611747471438</v>
      </c>
      <c r="BE590" s="91">
        <f>BE588*BE611</f>
        <v>106.55199999999999</v>
      </c>
      <c r="BF590" s="61">
        <f t="shared" si="3346"/>
        <v>65.301974898772855</v>
      </c>
      <c r="BG590" s="91">
        <f>BG588*BG611</f>
        <v>110.4025</v>
      </c>
      <c r="BH590" s="61">
        <f>IF(ISERROR((BG590/AY590-1)*100),"NA",IF(((BG590/AY590-1)*100)&gt;100,"NM",IF(((BG590/AY590-1)*100)&lt;-50,"NM",(BG590/AY590-1)*100)))</f>
        <v>63.312475962249628</v>
      </c>
      <c r="BI590" s="91">
        <f>BI588*BI611</f>
        <v>108.38799999999999</v>
      </c>
      <c r="BJ590" s="61">
        <f>IF(ISERROR((BI590/BA590-1)*100),"NA",IF(((BI590/BA590-1)*100)&gt;100,"NM",IF(((BI590/BA590-1)*100)&lt;-50,"NM",(BI590/BA590-1)*100)))</f>
        <v>0.93120274146085702</v>
      </c>
      <c r="BK590" s="91">
        <f>BK588*BK611</f>
        <v>107.6375</v>
      </c>
      <c r="BL590" s="61">
        <f>IF(ISERROR((BK590/BC590-1)*100),"NA",IF(((BK590/BC590-1)*100)&gt;100,"NM",IF(((BK590/BC590-1)*100)&lt;-50,"NM",(BK590/BC590-1)*100)))</f>
        <v>0.30332115700015816</v>
      </c>
      <c r="BM590" s="91">
        <f>BM588*BM611</f>
        <v>111.80099999999999</v>
      </c>
      <c r="BN590" s="61">
        <f>IF(ISERROR((BM590/BE590-1)*100),"NA",IF(((BM590/BE590-1)*100)&gt;100,"NM",IF(((BM590/BE590-1)*100)&lt;-50,"NM",(BM590/BE590-1)*100)))</f>
        <v>4.9262332006907439</v>
      </c>
      <c r="BO590" s="91">
        <f>BO588*BO611</f>
        <v>109.062</v>
      </c>
      <c r="BP590" s="61">
        <f>IF(ISERROR((BO590/BG590-1)*100),"NA",IF(((BO590/BG590-1)*100)&gt;100,"NM",IF(((BO590/BG590-1)*100)&lt;-50,"NM",(BO590/BG590-1)*100)))</f>
        <v>-1.2141935191685049</v>
      </c>
      <c r="BQ590" s="91">
        <f>BQ588*BQ611</f>
        <v>107.73400000000001</v>
      </c>
      <c r="BR590" s="61">
        <f>IF(ISERROR((BQ590/BI590-1)*100),"NA",IF(((BQ590/BI590-1)*100)&gt;100,"NM",IF(((BQ590/BI590-1)*100)&lt;-50,"NM",(BQ590/BI590-1)*100)))</f>
        <v>-0.60338782891092846</v>
      </c>
      <c r="BS590" s="91">
        <f>BS588*BS611</f>
        <v>106.92267499999998</v>
      </c>
      <c r="BT590" s="61">
        <f>IF(ISERROR((BS590/BK590-1)*100),"NA",IF(((BS590/BK590-1)*100)&gt;100,"NM",IF(((BS590/BK590-1)*100)&lt;-50,"NM",(BS590/BK590-1)*100)))</f>
        <v>-0.66410405295553865</v>
      </c>
      <c r="BU590" s="91">
        <f>BU588*BU611</f>
        <v>54.096000000000004</v>
      </c>
      <c r="BV590" s="61" t="str">
        <f>IF(ISERROR((BU590/BM590-1)*100),"NA",IF(((BU590/BM590-1)*100)&gt;100,"NM",IF(((BU590/BM590-1)*100)&lt;-50,"NM",(BU590/BM590-1)*100)))</f>
        <v>NM</v>
      </c>
      <c r="BW590" s="91">
        <f>BW588*BW611</f>
        <v>2.5780000000000003</v>
      </c>
      <c r="BX590" s="61" t="str">
        <f>IF(ISERROR((BW590/BO590-1)*100),"NA",IF(((BW590/BO590-1)*100)&gt;100,"NM",IF(((BW590/BO590-1)*100)&lt;-50,"NM",(BW590/BO590-1)*100)))</f>
        <v>NM</v>
      </c>
      <c r="BY590" s="91">
        <f>BY588*BY611</f>
        <v>2.6239999999999997</v>
      </c>
      <c r="BZ590" s="61" t="str">
        <f>IF(ISERROR((BY590/BQ590-1)*100),"NA",IF(((BY590/BQ590-1)*100)&gt;100,"NM",IF(((BY590/BQ590-1)*100)&lt;-50,"NM",(BY590/BQ590-1)*100)))</f>
        <v>NM</v>
      </c>
      <c r="CA590" s="91">
        <f>CA588*CA611</f>
        <v>3.1</v>
      </c>
      <c r="CB590" s="61" t="str">
        <f>IF(ISERROR((CA590/BS590-1)*100),"NA",IF(((CA590/BS590-1)*100)&gt;100,"NM",IF(((CA590/BS590-1)*100)&lt;-50,"NM",(CA590/BS590-1)*100)))</f>
        <v>NM</v>
      </c>
      <c r="CC590" s="91">
        <f>CC588*CC611</f>
        <v>3.1160000000000001</v>
      </c>
      <c r="CD590" s="61" t="str">
        <f>IF(ISERROR((CC590/BU590-1)*100),"NA",IF(((CC590/BU590-1)*100)&gt;100,"NM",IF(((CC590/BU590-1)*100)&lt;-50,"NM",(CC590/BU590-1)*100)))</f>
        <v>NM</v>
      </c>
      <c r="CE590" s="91">
        <f>CE588*CE611</f>
        <v>3.1208</v>
      </c>
      <c r="CF590" s="61">
        <f>IF(ISERROR((CE590/BW590-1)*100),"NA",IF(((CE590/BW590-1)*100)&gt;100,"NM",IF(((CE590/BW590-1)*100)&lt;-50,"NM",(CE590/BW590-1)*100)))</f>
        <v>21.05508145849495</v>
      </c>
      <c r="CG590" s="91">
        <f>CG588*CG611</f>
        <v>3.1460000000000004</v>
      </c>
      <c r="CH590" s="61">
        <f>IF(ISERROR((CG590/BY590-1)*100),"NA",IF(((CG590/BY590-1)*100)&gt;100,"NM",IF(((CG590/BY590-1)*100)&lt;-50,"NM",(CG590/BY590-1)*100)))</f>
        <v>19.893292682926855</v>
      </c>
      <c r="CI590" s="91">
        <f>CI588*CI611</f>
        <v>3.2570000000000001</v>
      </c>
      <c r="CJ590" s="61">
        <f>IF(ISERROR((CI590/CA590-1)*100),"NA",IF(((CI590/CA590-1)*100)&gt;100,"NM",IF(((CI590/CA590-1)*100)&lt;-50,"NM",(CI590/CA590-1)*100)))</f>
        <v>5.0645161290322482</v>
      </c>
      <c r="CK590" s="91">
        <f>CK588*CK611</f>
        <v>3.234</v>
      </c>
      <c r="CL590" s="61">
        <f>IF(ISERROR((CK590/CC590-1)*100),"NA",IF(((CK590/CC590-1)*100)&gt;100,"NM",IF(((CK590/CC590-1)*100)&lt;-50,"NM",(CK590/CC590-1)*100)))</f>
        <v>3.7869062901155326</v>
      </c>
      <c r="CM590" s="91">
        <f>CM588*CM611</f>
        <v>16.145</v>
      </c>
      <c r="CN590" s="61" t="str">
        <f>IF(ISERROR((CM590/CE590-1)*100),"NA",IF(((CM590/CE590-1)*100)&gt;100,"NM",IF(((CM590/CE590-1)*100)&lt;-50,"NM",(CM590/CE590-1)*100)))</f>
        <v>NM</v>
      </c>
      <c r="CO590" s="91">
        <f>CO588*CO611</f>
        <v>16.004999999999999</v>
      </c>
      <c r="CP590" s="61" t="str">
        <f>IF(ISERROR((CO590/CG590-1)*100),"NA",IF(((CO590/CG590-1)*100)&gt;100,"NM",IF(((CO590/CG590-1)*100)&lt;-50,"NM",(CO590/CG590-1)*100)))</f>
        <v>NM</v>
      </c>
      <c r="CQ590" s="91">
        <f>CQ588*CQ611</f>
        <v>15.600000000000001</v>
      </c>
      <c r="CR590" s="61" t="str">
        <f>IF(ISERROR((CQ590/CI590-1)*100),"NA",IF(((CQ590/CI590-1)*100)&gt;100,"NM",IF(((CQ590/CI590-1)*100)&lt;-50,"NM",(CQ590/CI590-1)*100)))</f>
        <v>NM</v>
      </c>
      <c r="CS590" s="91">
        <f>CS588*CS611</f>
        <v>24.271999999999998</v>
      </c>
      <c r="CT590" s="61" t="str">
        <f>IF(ISERROR((CS590/CK590-1)*100),"NA",IF(((CS590/CK590-1)*100)&gt;100,"NM",IF(((CS590/CK590-1)*100)&lt;-50,"NM",(CS590/CK590-1)*100)))</f>
        <v>NM</v>
      </c>
      <c r="CU590" s="91">
        <f>CU588*CU611</f>
        <v>23.671999999999997</v>
      </c>
      <c r="CV590" s="61">
        <f>IF(ISERROR((CU590/CM590-1)*100),"NA",IF(((CU590/CM590-1)*100)&gt;100,"NM",IF(((CU590/CM590-1)*100)&lt;-50,"NM",(CU590/CM590-1)*100)))</f>
        <v>46.62124496748217</v>
      </c>
      <c r="CW590" s="91">
        <f>CW588*CW611</f>
        <v>23.2</v>
      </c>
      <c r="CX590" s="61">
        <f>IF(ISERROR((CW590/CO590-1)*100),"NA",IF(((CW590/CO590-1)*100)&gt;100,"NM",IF(((CW590/CO590-1)*100)&lt;-50,"NM",(CW590/CO590-1)*100)))</f>
        <v>44.954701655732585</v>
      </c>
      <c r="CY590" s="91">
        <f>CY588*CY611</f>
        <v>22.776</v>
      </c>
      <c r="CZ590" s="61">
        <f>IF(ISERROR((CY590/CQ590-1)*100),"NA",IF(((CY590/CQ590-1)*100)&gt;100,"NM",IF(((CY590/CQ590-1)*100)&lt;-50,"NM",(CY590/CQ590-1)*100)))</f>
        <v>46</v>
      </c>
      <c r="DA590" s="91">
        <f>DA588*DA611</f>
        <v>33.731999999999999</v>
      </c>
      <c r="DB590" s="61">
        <f>IF(ISERROR((DA590/CS590-1)*100),"NA",IF(((DA590/CS590-1)*100)&gt;100,"NM",IF(((DA590/CS590-1)*100)&lt;-50,"NM",(DA590/CS590-1)*100)))</f>
        <v>38.974950560316415</v>
      </c>
      <c r="DC590" s="91">
        <f>DC588*DC611</f>
        <v>33.432000000000002</v>
      </c>
      <c r="DD590" s="61">
        <f>IF(ISERROR((DC590/CU590-1)*100),"NA",IF(((DC590/CU590-1)*100)&gt;100,"NM",IF(((DC590/CU590-1)*100)&lt;-50,"NM",(DC590/CU590-1)*100)))</f>
        <v>41.230145319364688</v>
      </c>
      <c r="DE590" s="91">
        <f>DE588*DE611</f>
        <v>33.083999999999996</v>
      </c>
      <c r="DF590" s="61">
        <f>IF(ISERROR((DE590/CW590-1)*100),"NA",IF(((DE590/CW590-1)*100)&gt;100,"NM",IF(((DE590/CW590-1)*100)&lt;-50,"NM",(DE590/CW590-1)*100)))</f>
        <v>42.603448275862064</v>
      </c>
      <c r="DG590" s="91">
        <f>DG588*DG611</f>
        <v>32.843999999999994</v>
      </c>
      <c r="DH590" s="61">
        <f>IF(ISERROR((DG590/CY590-1)*100),"NA",IF(((DG590/CY590-1)*100)&gt;100,"NM",IF(((DG590/CY590-1)*100)&lt;-50,"NM",(DG590/CY590-1)*100)))</f>
        <v>44.204425711275007</v>
      </c>
      <c r="DI590" s="91">
        <f>DI588*DI611</f>
        <v>43.648000000000003</v>
      </c>
      <c r="DJ590" s="61">
        <f>IF(ISERROR((DI590/DA590-1)*100),"NA",IF(((DI590/DA590-1)*100)&gt;100,"NM",IF(((DI590/DA590-1)*100)&lt;-50,"NM",(DI590/DA590-1)*100)))</f>
        <v>29.396418830783833</v>
      </c>
      <c r="DK590" s="91">
        <f>DK588*DK611</f>
        <v>43.536000000000001</v>
      </c>
      <c r="DL590" s="61">
        <f>IF(ISERROR((DK590/DC590-1)*100),"NA",IF(((DK590/DC590-1)*100)&gt;100,"NM",IF(((DK590/DC590-1)*100)&lt;-50,"NM",(DK590/DC590-1)*100)))</f>
        <v>30.222541277817648</v>
      </c>
      <c r="DM590" s="91">
        <f>DM588*DM611</f>
        <v>43.023999999999994</v>
      </c>
      <c r="DN590" s="130">
        <f t="shared" si="3331"/>
        <v>30.044734614919587</v>
      </c>
      <c r="DO590" s="91">
        <f>DO588*DO611</f>
        <v>42.688000000000002</v>
      </c>
      <c r="DP590" s="130">
        <f t="shared" si="3331"/>
        <v>29.971988795518236</v>
      </c>
      <c r="DQ590" s="91">
        <f>DQ588*DQ611</f>
        <v>52.6</v>
      </c>
      <c r="DR590" s="130">
        <f t="shared" si="3331"/>
        <v>20.509530791788855</v>
      </c>
      <c r="DS590" s="91">
        <f>DS588*DS611</f>
        <v>52.120000000000005</v>
      </c>
      <c r="DT590" s="130">
        <f t="shared" si="3331"/>
        <v>19.717015803013616</v>
      </c>
      <c r="DU590" s="91">
        <f>DU588*DU611</f>
        <v>50.980000000000004</v>
      </c>
      <c r="DV590" s="130">
        <f t="shared" si="3331"/>
        <v>18.492004462625534</v>
      </c>
      <c r="DW590" s="91">
        <f>DW588*DW611</f>
        <v>50.64</v>
      </c>
      <c r="DX590" s="91">
        <f t="shared" ref="DX590:DY590" si="3355">DX588*DX611</f>
        <v>50.64</v>
      </c>
      <c r="DY590" s="91">
        <f t="shared" si="3355"/>
        <v>49.78</v>
      </c>
      <c r="DZ590" s="130">
        <f t="shared" si="3331"/>
        <v>-5.3612167300380209</v>
      </c>
      <c r="EA590" s="91">
        <f t="shared" ref="EA590:EC590" si="3356">EA588*EA611</f>
        <v>61.274999999999999</v>
      </c>
      <c r="EB590" s="130">
        <f t="shared" si="3332"/>
        <v>17.565234075211045</v>
      </c>
      <c r="EC590" s="91">
        <f t="shared" si="3356"/>
        <v>59.975000000000001</v>
      </c>
      <c r="ED590" s="130">
        <f t="shared" si="3333"/>
        <v>17.644174185955276</v>
      </c>
      <c r="EE590" s="91">
        <f t="shared" ref="EE590:EG590" si="3357">EE588*EE611</f>
        <v>58.4</v>
      </c>
      <c r="EF590" s="130">
        <f t="shared" si="3334"/>
        <v>15.323854660347557</v>
      </c>
      <c r="EG590" s="91">
        <f t="shared" si="3357"/>
        <v>57.725000000000001</v>
      </c>
      <c r="EH590" s="130">
        <f t="shared" si="3335"/>
        <v>15.960224989955796</v>
      </c>
      <c r="EI590" s="91">
        <f t="shared" ref="EI590:EK590" si="3358">EI588*EI611</f>
        <v>66.728999999999999</v>
      </c>
      <c r="EJ590" s="130">
        <f t="shared" si="3336"/>
        <v>8.9008567931456497</v>
      </c>
      <c r="EK590" s="91">
        <f t="shared" si="3358"/>
        <v>65.873499999999993</v>
      </c>
      <c r="EL590" s="130">
        <f t="shared" si="3337"/>
        <v>9.8349312213422024</v>
      </c>
      <c r="EM590" s="91">
        <f t="shared" ref="EM590" si="3359">EM588*EM611</f>
        <v>64.930999999999997</v>
      </c>
      <c r="EN590" s="130">
        <f t="shared" si="3338"/>
        <v>11.183219178082183</v>
      </c>
      <c r="EO590" s="91">
        <f t="shared" ref="EO590" si="3360">EO588*EO611</f>
        <v>64.350999999999999</v>
      </c>
      <c r="EP590" s="130">
        <f t="shared" si="3339"/>
        <v>11.478562148116067</v>
      </c>
      <c r="EQ590" s="91">
        <f t="shared" ref="EQ590:EW590" si="3361">EQ588*EQ611</f>
        <v>73.029000000000011</v>
      </c>
      <c r="ER590" s="130">
        <f t="shared" si="3340"/>
        <v>9.4411725037090388</v>
      </c>
      <c r="ES590" s="91">
        <f t="shared" si="3361"/>
        <v>73.029000000000011</v>
      </c>
      <c r="ET590" s="130">
        <f t="shared" si="3341"/>
        <v>10.862486432328655</v>
      </c>
      <c r="EU590" s="91">
        <f t="shared" si="3361"/>
        <v>72.866414591384782</v>
      </c>
      <c r="EV590" s="130">
        <f t="shared" si="3342"/>
        <v>12.221303524333194</v>
      </c>
      <c r="EW590" s="91">
        <f t="shared" si="3361"/>
        <v>72.544438632193604</v>
      </c>
      <c r="EX590" s="130">
        <f t="shared" si="3343"/>
        <v>12.732418505063791</v>
      </c>
      <c r="EY590" s="64"/>
      <c r="EZ590" s="558"/>
      <c r="FA590" s="64"/>
      <c r="FB590" s="91">
        <f>FB588*FB611</f>
        <v>214.4756975</v>
      </c>
      <c r="FC590" s="71"/>
      <c r="FD590" s="91">
        <f>FD588*FD611</f>
        <v>223.446</v>
      </c>
      <c r="FE590" s="70">
        <f>IF(ISERROR((FD590/FB590-1)*100),"NA",IF(((FD590/FB590-1)*100)&gt;100,"NM",IF(((FD590/FB590-1)*100)&lt;-50,"NM",(FD590/FB590-1)*100)))</f>
        <v>4.1824330703015944</v>
      </c>
      <c r="FF590" s="91">
        <f>FF588*FF611</f>
        <v>229.41874999999996</v>
      </c>
      <c r="FG590" s="70">
        <f>IF(ISERROR((FF590/FD590-1)*100),"NA",IF(((FF590/FD590-1)*100)&gt;100,"NM",IF(((FF590/FD590-1)*100)&lt;-50,"NM",(FF590/FD590-1)*100)))</f>
        <v>2.6730171943109227</v>
      </c>
      <c r="FH590" s="91">
        <f>FH588*FH611</f>
        <v>238.75637499999999</v>
      </c>
      <c r="FI590" s="70">
        <f>IF(ISERROR((FH590/FF590-1)*100),"NA",IF(((FH590/FF590-1)*100)&gt;100,"NM",IF(((FH590/FF590-1)*100)&lt;-50,"NM",(FH590/FF590-1)*100)))</f>
        <v>4.0701228648486909</v>
      </c>
      <c r="FJ590" s="91">
        <f>FJ588*FJ611</f>
        <v>237.21599999999998</v>
      </c>
      <c r="FK590" s="70">
        <f>IF(ISERROR((FJ590/FH590-1)*100),"NA",IF(((FJ590/FH590-1)*100)&gt;100,"NM",IF(((FJ590/FH590-1)*100)&lt;-50,"NM",(FJ590/FH590-1)*100)))</f>
        <v>-0.64516601912724125</v>
      </c>
      <c r="FL590" s="91">
        <f>FL588*FL611</f>
        <v>243.15474999999998</v>
      </c>
      <c r="FM590" s="61">
        <f>IF(ISERROR((FL590/FJ590-1)*100),"NA",IF(((FL590/FJ590-1)*100)&gt;100,"NM",IF(((FL590/FJ590-1)*100)&lt;-50,"NM",(FL590/FJ590-1)*100)))</f>
        <v>2.5035199986510159</v>
      </c>
      <c r="FN590" s="91">
        <f>FN588*FN611+5</f>
        <v>249.87615178571428</v>
      </c>
      <c r="FO590" s="61">
        <f>IF(ISERROR((FN590/FL590-1)*100),"NA",IF(((FN590/FL590-1)*100)&gt;100,"NM",IF(((FN590/FL590-1)*100)&lt;-50,"NM",(FN590/FL590-1)*100)))</f>
        <v>2.7642486053487847</v>
      </c>
      <c r="FP590" s="75">
        <f>FP588*FP611</f>
        <v>257.10599999999999</v>
      </c>
      <c r="FQ590" s="61">
        <f t="shared" si="3354"/>
        <v>7.6855015913187774</v>
      </c>
      <c r="FR590" s="75">
        <f>FR588*FR611</f>
        <v>388.85399999999998</v>
      </c>
      <c r="FS590" s="61">
        <f>IF(ISERROR((FR590/FP590-1)*100),"NA",IF(((FR590/FP590-1)*100)&gt;100,"NM",IF(((FR590/FP590-1)*100)&lt;-50,"NM",(FR590/FP590-1)*100)))</f>
        <v>51.242678117196803</v>
      </c>
      <c r="FT590" s="75">
        <f>FT588*FT611</f>
        <v>438.32</v>
      </c>
      <c r="FU590" s="61">
        <f>IF(ISERROR((FT590/FR590-1)*100),"NA",IF(((FT590/FR590-1)*100)&gt;100,"NM",IF(((FT590/FR590-1)*100)&lt;-50,"NM",(FT590/FR590-1)*100)))</f>
        <v>12.720969824149941</v>
      </c>
      <c r="FV590" s="75">
        <f>FV588*FV611</f>
        <v>377.44336874999993</v>
      </c>
      <c r="FW590" s="61">
        <f>IF(ISERROR((FV590/FT590-1)*100),"NA",IF(((FV590/FT590-1)*100)&gt;100,"NM",IF(((FV590/FT590-1)*100)&lt;-50,"NM",(FV590/FT590-1)*100)))</f>
        <v>-13.888627315659807</v>
      </c>
      <c r="FX590" s="75">
        <f>FX588*FX611</f>
        <v>11.418000000000003</v>
      </c>
      <c r="FY590" s="61" t="str">
        <f>IF(ISERROR((FX590/FV590-1)*100),"NA",IF(((FX590/FV590-1)*100)&gt;100,"NM",IF(((FX590/FV590-1)*100)&lt;-50,"NM",(FX590/FV590-1)*100)))</f>
        <v>NM</v>
      </c>
      <c r="FZ590" s="75">
        <f>FZ588*FZ611</f>
        <v>12.757800000000003</v>
      </c>
      <c r="GA590" s="61">
        <f>IF(ISERROR((FZ590/FX590-1)*100),"NA",IF(((FZ590/FX590-1)*100)&gt;100,"NM",IF(((FZ590/FX590-1)*100)&lt;-50,"NM",(FZ590/FX590-1)*100)))</f>
        <v>11.734104046242777</v>
      </c>
      <c r="GB590" s="75">
        <f>GB588*GB611</f>
        <v>72.450000000000017</v>
      </c>
      <c r="GC590" s="61" t="str">
        <f>IF(ISERROR((GB590/FZ590-1)*100),"NA",IF(((GB590/FZ590-1)*100)&gt;100,"NM",IF(((GB590/FZ590-1)*100)&lt;-50,"NM",(GB590/FZ590-1)*100)))</f>
        <v>NM</v>
      </c>
      <c r="GD590" s="75">
        <f>GD588*GD611</f>
        <v>103.536</v>
      </c>
      <c r="GE590" s="61">
        <f>IF(ISERROR((GD590/GB590-1)*100),"NA",IF(((GD590/GB590-1)*100)&gt;100,"NM",IF(((GD590/GB590-1)*100)&lt;-50,"NM",(GD590/GB590-1)*100)))</f>
        <v>42.906832298136607</v>
      </c>
      <c r="GF590" s="75">
        <f>GF588*GF611</f>
        <v>143.10399999999998</v>
      </c>
      <c r="GG590" s="61">
        <f>IF(ISERROR((GF590/GD590-1)*100),"NA",IF(((GF590/GD590-1)*100)&gt;100,"NM",IF(((GF590/GD590-1)*100)&lt;-50,"NM",(GF590/GD590-1)*100)))</f>
        <v>38.216658939885619</v>
      </c>
      <c r="GH590" s="75">
        <f>GH588*GH611</f>
        <v>182.23999999999998</v>
      </c>
      <c r="GI590" s="61">
        <f>IF(ISERROR((GH590/GF590-1)*100),"NA",IF(((GH590/GF590-1)*100)&gt;100,"NM",IF(((GH590/GF590-1)*100)&lt;-50,"NM",(GH590/GF590-1)*100)))</f>
        <v>27.347942754919497</v>
      </c>
      <c r="GJ590" s="75">
        <f>GJ588*GJ611</f>
        <v>203.52</v>
      </c>
      <c r="GK590" s="61">
        <f>IF(ISERROR((GJ590/GH590-1)*100),"NA",IF(((GJ590/GH590-1)*100)&gt;100,"NM",IF(((GJ590/GH590-1)*100)&lt;-50,"NM",(GJ590/GH590-1)*100)))</f>
        <v>11.676909569798077</v>
      </c>
      <c r="GL590" s="75">
        <f>GL588*GL611</f>
        <v>237.375</v>
      </c>
      <c r="GM590" s="61">
        <f>IF(ISERROR((GL590/GJ590-1)*100),"NA",IF(((GL590/GJ590-1)*100)&gt;100,"NM",IF(((GL590/GJ590-1)*100)&lt;-50,"NM",(GL590/GJ590-1)*100)))</f>
        <v>16.634728773584897</v>
      </c>
      <c r="GN590" s="75">
        <f>GN588*GN611</f>
        <v>261.88449999999995</v>
      </c>
      <c r="GO590" s="61">
        <f>IF(ISERROR((GN590/GL590-1)*100),"NA",IF(((GN590/GL590-1)*100)&gt;100,"NM",IF(((GN590/GL590-1)*100)&lt;-50,"NM",(GN590/GL590-1)*100)))</f>
        <v>10.325223802001027</v>
      </c>
      <c r="GP590" s="75">
        <f>GP588*GP611</f>
        <v>291.46885322357838</v>
      </c>
      <c r="GQ590" s="61">
        <f>IF(ISERROR((GP590/GN590-1)*100),"NA",IF(((GP590/GN590-1)*100)&gt;100,"NM",IF(((GP590/GN590-1)*100)&lt;-50,"NM",(GP590/GN590-1)*100)))</f>
        <v>11.296717913270339</v>
      </c>
      <c r="GR590" s="91">
        <f>GR588*GR611</f>
        <v>309.38424619855914</v>
      </c>
      <c r="GS590" s="61">
        <f>IF(ISERROR((GR590/GP590-1)*100),"NA",IF(((GR590/GP590-1)*100)&gt;100,"NM",IF(((GR590/GP590-1)*100)&lt;-50,"NM",(GR590/GP590-1)*100)))</f>
        <v>6.1465891730250632</v>
      </c>
      <c r="GT590" s="91">
        <f>GT588*GT611</f>
        <v>326.98443400832463</v>
      </c>
      <c r="GU590" s="61">
        <f>IF(ISERROR((GT590/GR590-1)*100),"NA",IF(((GT590/GR590-1)*100)&gt;100,"NM",IF(((GT590/GR590-1)*100)&lt;-50,"NM",(GT590/GR590-1)*100)))</f>
        <v>5.6887795762134319</v>
      </c>
      <c r="GV590" s="91">
        <f>GV588*GV611</f>
        <v>344.14185887562894</v>
      </c>
      <c r="GW590" s="61">
        <f>IF(ISERROR((GV590/GT590-1)*100),"NA",IF(((GV590/GT590-1)*100)&gt;100,"NM",IF(((GV590/GT590-1)*100)&lt;-50,"NM",(GV590/GT590-1)*100)))</f>
        <v>5.2471686975984699</v>
      </c>
      <c r="GX590" s="91">
        <f>GX588*GX611</f>
        <v>361.81461028866153</v>
      </c>
      <c r="GY590" s="61">
        <f>IF(ISERROR((GX590/GV590-1)*100),"NA",IF(((GX590/GV590-1)*100)&gt;100,"NM",IF(((GX590/GV590-1)*100)&lt;-50,"NM",(GX590/GV590-1)*100)))</f>
        <v>5.1353100348712433</v>
      </c>
      <c r="GZ590" s="61">
        <f t="shared" si="3330"/>
        <v>6.6780972911196779</v>
      </c>
      <c r="HA590" s="61"/>
      <c r="HB590" s="452"/>
      <c r="HC590"/>
      <c r="HD590"/>
      <c r="HE590"/>
      <c r="HF590"/>
      <c r="HG590"/>
      <c r="HH590"/>
    </row>
    <row r="591" spans="1:216" s="5" customFormat="1" ht="12.75" customHeight="1" x14ac:dyDescent="0.2">
      <c r="A591" s="8"/>
      <c r="B591" s="105"/>
      <c r="C591" s="66"/>
      <c r="D591" s="107"/>
      <c r="E591" s="66"/>
      <c r="F591" s="64"/>
      <c r="G591" s="64"/>
      <c r="H591" s="64"/>
      <c r="I591" s="356"/>
      <c r="J591" s="64"/>
      <c r="K591" s="356"/>
      <c r="L591" s="61"/>
      <c r="M591" s="66"/>
      <c r="N591" s="61"/>
      <c r="O591" s="64"/>
      <c r="P591" s="61"/>
      <c r="Q591" s="64"/>
      <c r="R591" s="61"/>
      <c r="S591" s="64"/>
      <c r="T591" s="61"/>
      <c r="U591" s="356"/>
      <c r="V591" s="61"/>
      <c r="W591" s="64"/>
      <c r="X591" s="61"/>
      <c r="Y591" s="64"/>
      <c r="Z591" s="61"/>
      <c r="AA591" s="64"/>
      <c r="AB591" s="61"/>
      <c r="AC591" s="64"/>
      <c r="AD591" s="61"/>
      <c r="AE591" s="64"/>
      <c r="AF591" s="61"/>
      <c r="AG591" s="64"/>
      <c r="AH591" s="61"/>
      <c r="AI591" s="64"/>
      <c r="AJ591" s="61"/>
      <c r="AK591" s="64"/>
      <c r="AL591" s="61"/>
      <c r="AM591" s="64"/>
      <c r="AN591" s="61"/>
      <c r="AO591" s="64"/>
      <c r="AP591" s="61"/>
      <c r="AQ591" s="64"/>
      <c r="AR591" s="61"/>
      <c r="AS591" s="64"/>
      <c r="AT591" s="61"/>
      <c r="AU591" s="64"/>
      <c r="AV591" s="61"/>
      <c r="AW591" s="64"/>
      <c r="AX591" s="61"/>
      <c r="AY591" s="64"/>
      <c r="AZ591" s="61"/>
      <c r="BA591" s="64"/>
      <c r="BB591" s="61"/>
      <c r="BC591" s="64"/>
      <c r="BD591" s="61"/>
      <c r="BE591" s="64"/>
      <c r="BF591" s="61"/>
      <c r="BG591" s="64"/>
      <c r="BH591" s="61"/>
      <c r="BI591" s="64"/>
      <c r="BJ591" s="61"/>
      <c r="BK591" s="64"/>
      <c r="BL591" s="61"/>
      <c r="BM591" s="64"/>
      <c r="BN591" s="61"/>
      <c r="BO591" s="64"/>
      <c r="BP591" s="61"/>
      <c r="BQ591" s="64"/>
      <c r="BR591" s="61"/>
      <c r="BS591" s="64"/>
      <c r="BT591" s="61"/>
      <c r="BU591" s="64"/>
      <c r="BV591" s="61"/>
      <c r="BW591" s="356"/>
      <c r="BX591" s="61"/>
      <c r="BY591" s="356"/>
      <c r="BZ591" s="61"/>
      <c r="CA591" s="356"/>
      <c r="CB591" s="61"/>
      <c r="CC591" s="356"/>
      <c r="CD591" s="61"/>
      <c r="CE591" s="356"/>
      <c r="CF591" s="61"/>
      <c r="CG591" s="356"/>
      <c r="CH591" s="61"/>
      <c r="CI591" s="356"/>
      <c r="CJ591" s="61"/>
      <c r="CK591" s="356"/>
      <c r="CL591" s="61"/>
      <c r="CM591" s="356"/>
      <c r="CN591" s="61"/>
      <c r="CO591" s="356"/>
      <c r="CP591" s="61"/>
      <c r="CQ591" s="356"/>
      <c r="CR591" s="61"/>
      <c r="CS591" s="356"/>
      <c r="CT591" s="61"/>
      <c r="CU591" s="356"/>
      <c r="CV591" s="61"/>
      <c r="CW591" s="356"/>
      <c r="CX591" s="61"/>
      <c r="CY591" s="356"/>
      <c r="CZ591" s="61"/>
      <c r="DA591" s="356"/>
      <c r="DB591" s="61"/>
      <c r="DC591" s="356"/>
      <c r="DD591" s="61"/>
      <c r="DE591" s="356"/>
      <c r="DF591" s="61"/>
      <c r="DG591" s="356"/>
      <c r="DH591" s="61"/>
      <c r="DI591" s="356"/>
      <c r="DJ591" s="61"/>
      <c r="DK591" s="356"/>
      <c r="DL591" s="61"/>
      <c r="DM591" s="356"/>
      <c r="DN591" s="61"/>
      <c r="DO591" s="356"/>
      <c r="DP591" s="61"/>
      <c r="DQ591" s="356"/>
      <c r="DR591" s="61"/>
      <c r="DS591" s="356"/>
      <c r="DT591" s="61"/>
      <c r="DU591" s="356"/>
      <c r="DV591" s="61"/>
      <c r="DW591" s="356"/>
      <c r="DX591" s="356"/>
      <c r="DY591" s="356"/>
      <c r="DZ591" s="61"/>
      <c r="EA591" s="356"/>
      <c r="EB591" s="61"/>
      <c r="EC591" s="356"/>
      <c r="ED591" s="61"/>
      <c r="EE591" s="356"/>
      <c r="EF591" s="61"/>
      <c r="EG591" s="356"/>
      <c r="EH591" s="61"/>
      <c r="EI591" s="356"/>
      <c r="EJ591" s="61"/>
      <c r="EK591" s="356"/>
      <c r="EL591" s="61"/>
      <c r="EM591" s="356"/>
      <c r="EN591" s="61"/>
      <c r="EO591" s="356"/>
      <c r="EP591" s="61"/>
      <c r="EQ591" s="356"/>
      <c r="ER591" s="61"/>
      <c r="ES591" s="356"/>
      <c r="ET591" s="61"/>
      <c r="EU591" s="356"/>
      <c r="EV591" s="61"/>
      <c r="EW591" s="356"/>
      <c r="EX591" s="61"/>
      <c r="EY591" s="64"/>
      <c r="EZ591" s="558"/>
      <c r="FA591" s="64"/>
      <c r="FB591" s="356"/>
      <c r="FC591" s="64"/>
      <c r="FD591" s="64"/>
      <c r="FE591" s="107"/>
      <c r="FF591" s="356"/>
      <c r="FG591" s="107"/>
      <c r="FH591" s="356"/>
      <c r="FI591" s="107"/>
      <c r="FJ591" s="356"/>
      <c r="FK591" s="107"/>
      <c r="FL591" s="356"/>
      <c r="FM591" s="61"/>
      <c r="FN591" s="356"/>
      <c r="FO591" s="61"/>
      <c r="FP591" s="357"/>
      <c r="FQ591" s="61"/>
      <c r="FR591" s="357"/>
      <c r="FS591" s="61"/>
      <c r="FT591" s="357"/>
      <c r="FU591" s="61"/>
      <c r="FV591" s="357"/>
      <c r="FW591" s="61"/>
      <c r="FX591" s="357"/>
      <c r="FY591" s="61"/>
      <c r="FZ591" s="357"/>
      <c r="GA591" s="61"/>
      <c r="GB591" s="357"/>
      <c r="GC591" s="61"/>
      <c r="GD591" s="357"/>
      <c r="GE591" s="61"/>
      <c r="GF591" s="357"/>
      <c r="GG591" s="61"/>
      <c r="GH591" s="357"/>
      <c r="GI591" s="61"/>
      <c r="GJ591" s="357"/>
      <c r="GK591" s="61"/>
      <c r="GL591" s="357"/>
      <c r="GM591" s="61"/>
      <c r="GN591" s="357"/>
      <c r="GO591" s="61"/>
      <c r="GP591" s="357"/>
      <c r="GQ591" s="61"/>
      <c r="GR591" s="356"/>
      <c r="GS591" s="61"/>
      <c r="GT591" s="356"/>
      <c r="GU591" s="61"/>
      <c r="GV591" s="356"/>
      <c r="GW591" s="61"/>
      <c r="GX591" s="356"/>
      <c r="GY591" s="61"/>
      <c r="GZ591" s="61" t="str">
        <f t="shared" si="3330"/>
        <v/>
      </c>
      <c r="HA591" s="61"/>
      <c r="HB591" s="452"/>
      <c r="HC591"/>
      <c r="HD591"/>
      <c r="HE591"/>
      <c r="HF591"/>
      <c r="HG591"/>
      <c r="HH591"/>
    </row>
    <row r="592" spans="1:216" s="5" customFormat="1" ht="12.75" customHeight="1" x14ac:dyDescent="0.2">
      <c r="A592" s="8"/>
      <c r="B592" s="105" t="s">
        <v>6</v>
      </c>
      <c r="C592" s="64"/>
      <c r="D592" s="107"/>
      <c r="E592" s="64"/>
      <c r="F592" s="64"/>
      <c r="G592" s="356"/>
      <c r="H592" s="64"/>
      <c r="I592" s="356"/>
      <c r="J592" s="64"/>
      <c r="K592" s="356"/>
      <c r="L592" s="61"/>
      <c r="M592" s="64"/>
      <c r="N592" s="61"/>
      <c r="O592" s="356"/>
      <c r="P592" s="61"/>
      <c r="Q592" s="356"/>
      <c r="R592" s="61"/>
      <c r="S592" s="356"/>
      <c r="T592" s="61"/>
      <c r="U592" s="356"/>
      <c r="V592" s="61"/>
      <c r="W592" s="356"/>
      <c r="X592" s="61"/>
      <c r="Y592" s="356"/>
      <c r="Z592" s="61"/>
      <c r="AA592" s="356"/>
      <c r="AB592" s="61"/>
      <c r="AC592" s="356"/>
      <c r="AD592" s="61"/>
      <c r="AE592" s="356"/>
      <c r="AF592" s="61"/>
      <c r="AG592" s="356"/>
      <c r="AH592" s="61"/>
      <c r="AI592" s="356"/>
      <c r="AJ592" s="61"/>
      <c r="AK592" s="356"/>
      <c r="AL592" s="61"/>
      <c r="AM592" s="356"/>
      <c r="AN592" s="61"/>
      <c r="AO592" s="356"/>
      <c r="AP592" s="61"/>
      <c r="AQ592" s="356"/>
      <c r="AR592" s="61"/>
      <c r="AS592" s="356"/>
      <c r="AT592" s="61"/>
      <c r="AU592" s="356"/>
      <c r="AV592" s="61"/>
      <c r="AW592" s="356"/>
      <c r="AX592" s="61"/>
      <c r="AY592" s="356"/>
      <c r="AZ592" s="61"/>
      <c r="BA592" s="356"/>
      <c r="BB592" s="61"/>
      <c r="BC592" s="356"/>
      <c r="BD592" s="61"/>
      <c r="BE592" s="356"/>
      <c r="BF592" s="61"/>
      <c r="BG592" s="356"/>
      <c r="BH592" s="61"/>
      <c r="BI592" s="356"/>
      <c r="BJ592" s="61"/>
      <c r="BK592" s="356"/>
      <c r="BL592" s="61"/>
      <c r="BM592" s="356"/>
      <c r="BN592" s="61"/>
      <c r="BO592" s="356"/>
      <c r="BP592" s="61"/>
      <c r="BQ592" s="356"/>
      <c r="BR592" s="61"/>
      <c r="BS592" s="356"/>
      <c r="BT592" s="61"/>
      <c r="BU592" s="356"/>
      <c r="BV592" s="61"/>
      <c r="BW592" s="356"/>
      <c r="BX592" s="61"/>
      <c r="BY592" s="356"/>
      <c r="BZ592" s="61"/>
      <c r="CA592" s="356"/>
      <c r="CB592" s="61"/>
      <c r="CC592" s="356"/>
      <c r="CD592" s="61"/>
      <c r="CE592" s="356"/>
      <c r="CF592" s="61"/>
      <c r="CG592" s="356"/>
      <c r="CH592" s="61"/>
      <c r="CI592" s="356"/>
      <c r="CJ592" s="61"/>
      <c r="CK592" s="356"/>
      <c r="CL592" s="61"/>
      <c r="CM592" s="356"/>
      <c r="CN592" s="61"/>
      <c r="CO592" s="356"/>
      <c r="CP592" s="61"/>
      <c r="CQ592" s="356"/>
      <c r="CR592" s="61"/>
      <c r="CS592" s="356"/>
      <c r="CT592" s="61"/>
      <c r="CU592" s="356"/>
      <c r="CV592" s="61"/>
      <c r="CW592" s="356"/>
      <c r="CX592" s="61"/>
      <c r="CY592" s="356"/>
      <c r="CZ592" s="61"/>
      <c r="DA592" s="356"/>
      <c r="DB592" s="61"/>
      <c r="DC592" s="356"/>
      <c r="DD592" s="61"/>
      <c r="DE592" s="356"/>
      <c r="DF592" s="61"/>
      <c r="DG592" s="356"/>
      <c r="DH592" s="61"/>
      <c r="DI592" s="356"/>
      <c r="DJ592" s="61"/>
      <c r="DK592" s="356"/>
      <c r="DL592" s="61"/>
      <c r="DM592" s="356"/>
      <c r="DN592" s="61"/>
      <c r="DO592" s="356"/>
      <c r="DP592" s="61"/>
      <c r="DQ592" s="356"/>
      <c r="DR592" s="61"/>
      <c r="DS592" s="356"/>
      <c r="DT592" s="61"/>
      <c r="DU592" s="356"/>
      <c r="DV592" s="61"/>
      <c r="DW592" s="356"/>
      <c r="DX592" s="356"/>
      <c r="DY592" s="356"/>
      <c r="DZ592" s="61"/>
      <c r="EA592" s="356"/>
      <c r="EB592" s="61"/>
      <c r="EC592" s="356"/>
      <c r="ED592" s="61"/>
      <c r="EE592" s="356"/>
      <c r="EF592" s="61"/>
      <c r="EG592" s="356"/>
      <c r="EH592" s="61"/>
      <c r="EI592" s="356"/>
      <c r="EJ592" s="61"/>
      <c r="EK592" s="356"/>
      <c r="EL592" s="61"/>
      <c r="EM592" s="356"/>
      <c r="EN592" s="61"/>
      <c r="EO592" s="356"/>
      <c r="EP592" s="61"/>
      <c r="EQ592" s="356"/>
      <c r="ER592" s="61"/>
      <c r="ES592" s="356"/>
      <c r="ET592" s="61"/>
      <c r="EU592" s="356"/>
      <c r="EV592" s="61"/>
      <c r="EW592" s="356"/>
      <c r="EX592" s="61"/>
      <c r="EY592" s="64"/>
      <c r="EZ592" s="558"/>
      <c r="FA592" s="64"/>
      <c r="FB592" s="356"/>
      <c r="FC592" s="64"/>
      <c r="FD592" s="64"/>
      <c r="FE592" s="107"/>
      <c r="FF592" s="356"/>
      <c r="FG592" s="107"/>
      <c r="FH592" s="356"/>
      <c r="FI592" s="107"/>
      <c r="FJ592" s="356"/>
      <c r="FK592" s="107"/>
      <c r="FL592" s="356"/>
      <c r="FM592" s="61"/>
      <c r="FN592" s="356"/>
      <c r="FO592" s="61"/>
      <c r="FP592" s="357"/>
      <c r="FQ592" s="61"/>
      <c r="FR592" s="357"/>
      <c r="FS592" s="61"/>
      <c r="FT592" s="357"/>
      <c r="FU592" s="61"/>
      <c r="FV592" s="357"/>
      <c r="FW592" s="61"/>
      <c r="FX592" s="357"/>
      <c r="FY592" s="61"/>
      <c r="FZ592" s="357"/>
      <c r="GA592" s="61"/>
      <c r="GB592" s="357"/>
      <c r="GC592" s="61"/>
      <c r="GD592" s="357"/>
      <c r="GE592" s="61"/>
      <c r="GF592" s="357"/>
      <c r="GG592" s="61"/>
      <c r="GH592" s="357"/>
      <c r="GI592" s="61"/>
      <c r="GJ592" s="357"/>
      <c r="GK592" s="61"/>
      <c r="GL592" s="357"/>
      <c r="GM592" s="61"/>
      <c r="GN592" s="357"/>
      <c r="GO592" s="61"/>
      <c r="GP592" s="357"/>
      <c r="GQ592" s="61"/>
      <c r="GR592" s="356"/>
      <c r="GS592" s="61"/>
      <c r="GT592" s="356"/>
      <c r="GU592" s="61"/>
      <c r="GV592" s="356"/>
      <c r="GW592" s="61"/>
      <c r="GX592" s="356"/>
      <c r="GY592" s="61"/>
      <c r="GZ592" s="61" t="str">
        <f t="shared" si="3330"/>
        <v/>
      </c>
      <c r="HA592" s="61"/>
      <c r="HB592" s="452"/>
      <c r="HC592"/>
      <c r="HD592"/>
      <c r="HE592"/>
      <c r="HF592"/>
      <c r="HG592"/>
      <c r="HH592"/>
    </row>
    <row r="593" spans="1:216" s="7" customFormat="1" ht="12.75" customHeight="1" x14ac:dyDescent="0.2">
      <c r="A593" s="11" t="s">
        <v>122</v>
      </c>
      <c r="B593" s="105" t="s">
        <v>529</v>
      </c>
      <c r="C593" s="359">
        <v>0</v>
      </c>
      <c r="D593" s="70"/>
      <c r="E593" s="359">
        <v>0</v>
      </c>
      <c r="F593" s="71"/>
      <c r="G593" s="359">
        <v>0</v>
      </c>
      <c r="H593" s="71"/>
      <c r="I593" s="359">
        <v>0</v>
      </c>
      <c r="J593" s="71"/>
      <c r="K593" s="359">
        <v>0</v>
      </c>
      <c r="L593" s="61" t="str">
        <f>IF(ISERROR((K593/C593-1)*100),"NA",IF(((K593/C593-1)*100)&gt;100,"NM",IF(((K593/C593-1)*100)&lt;-50,"NM",(K593/C593-1)*100)))</f>
        <v>NA</v>
      </c>
      <c r="M593" s="359">
        <v>0</v>
      </c>
      <c r="N593" s="61" t="str">
        <f>IF(ISERROR((M593/E593-1)*100),"NA",IF(((M593/E593-1)*100)&gt;100,"NM",IF(((M593/E593-1)*100)&lt;-50,"NM",(M593/E593-1)*100)))</f>
        <v>NA</v>
      </c>
      <c r="O593" s="359">
        <v>0</v>
      </c>
      <c r="P593" s="61" t="str">
        <f>IF(ISERROR((O593/G593-1)*100),"NA",IF(((O593/G593-1)*100)&gt;100,"NM",IF(((O593/G593-1)*100)&lt;-50,"NM",(O593/G593-1)*100)))</f>
        <v>NA</v>
      </c>
      <c r="Q593" s="359">
        <v>0</v>
      </c>
      <c r="R593" s="61" t="str">
        <f>IF(ISERROR((Q593/I593-1)*100),"NA",IF(((Q593/I593-1)*100)&gt;100,"NM",IF(((Q593/I593-1)*100)&lt;-50,"NM",(Q593/I593-1)*100)))</f>
        <v>NA</v>
      </c>
      <c r="S593" s="359">
        <v>0</v>
      </c>
      <c r="T593" s="61" t="str">
        <f>IF(ISERROR((S593/K593-1)*100),"NA",IF(((S593/K593-1)*100)&gt;100,"NM",IF(((S593/K593-1)*100)&lt;-50,"NM",(S593/K593-1)*100)))</f>
        <v>NA</v>
      </c>
      <c r="U593" s="359">
        <v>0</v>
      </c>
      <c r="V593" s="61" t="str">
        <f>IF(ISERROR((U593/M593-1)*100),"NA",IF(((U593/M593-1)*100)&gt;100,"NM",IF(((U593/M593-1)*100)&lt;-50,"NM",(U593/M593-1)*100)))</f>
        <v>NA</v>
      </c>
      <c r="W593" s="359">
        <v>0</v>
      </c>
      <c r="X593" s="61" t="str">
        <f>IF(ISERROR((W593/O593-1)*100),"NA",IF(((W593/O593-1)*100)&gt;100,"NM",IF(((W593/O593-1)*100)&lt;-50,"NM",(W593/O593-1)*100)))</f>
        <v>NA</v>
      </c>
      <c r="Y593" s="359">
        <v>0</v>
      </c>
      <c r="Z593" s="61" t="str">
        <f>IF(ISERROR((Y593/Q593-1)*100),"NA",IF(((Y593/Q593-1)*100)&gt;100,"NM",IF(((Y593/Q593-1)*100)&lt;-50,"NM",(Y593/Q593-1)*100)))</f>
        <v>NA</v>
      </c>
      <c r="AA593" s="359">
        <v>0</v>
      </c>
      <c r="AB593" s="61" t="str">
        <f>IF(ISERROR((AA593/S593-1)*100),"NA",IF(((AA593/S593-1)*100)&gt;100,"NM",IF(((AA593/S593-1)*100)&lt;-50,"NM",(AA593/S593-1)*100)))</f>
        <v>NA</v>
      </c>
      <c r="AC593" s="359">
        <v>0</v>
      </c>
      <c r="AD593" s="61" t="str">
        <f>IF(ISERROR((AC593/U593-1)*100),"NA",IF(((AC593/U593-1)*100)&gt;100,"NM",IF(((AC593/U593-1)*100)&lt;-50,"NM",(AC593/U593-1)*100)))</f>
        <v>NA</v>
      </c>
      <c r="AE593" s="359">
        <v>0</v>
      </c>
      <c r="AF593" s="61" t="str">
        <f>IF(ISERROR((AE593/W593-1)*100),"NA",IF(((AE593/W593-1)*100)&gt;100,"NM",IF(((AE593/W593-1)*100)&lt;-50,"NM",(AE593/W593-1)*100)))</f>
        <v>NA</v>
      </c>
      <c r="AG593" s="359">
        <v>0</v>
      </c>
      <c r="AH593" s="61" t="str">
        <f>IF(ISERROR((AG593/Y593-1)*100),"NA",IF(((AG593/Y593-1)*100)&gt;100,"NM",IF(((AG593/Y593-1)*100)&lt;-50,"NM",(AG593/Y593-1)*100)))</f>
        <v>NA</v>
      </c>
      <c r="AI593" s="359">
        <v>0</v>
      </c>
      <c r="AJ593" s="61" t="str">
        <f>IF(ISERROR((AI593/AA593-1)*100),"NA",IF(((AI593/AA593-1)*100)&gt;100,"NM",IF(((AI593/AA593-1)*100)&lt;-50,"NM",(AI593/AA593-1)*100)))</f>
        <v>NA</v>
      </c>
      <c r="AK593" s="359">
        <v>0</v>
      </c>
      <c r="AL593" s="61" t="str">
        <f>IF(ISERROR((AK593/AC593-1)*100),"NA",IF(((AK593/AC593-1)*100)&gt;100,"NM",IF(((AK593/AC593-1)*100)&lt;-50,"NM",(AK593/AC593-1)*100)))</f>
        <v>NA</v>
      </c>
      <c r="AM593" s="359">
        <v>0</v>
      </c>
      <c r="AN593" s="61" t="str">
        <f>IF(ISERROR((AM593/AE593-1)*100),"NA",IF(((AM593/AE593-1)*100)&gt;100,"NM",IF(((AM593/AE593-1)*100)&lt;-50,"NM",(AM593/AE593-1)*100)))</f>
        <v>NA</v>
      </c>
      <c r="AO593" s="359">
        <v>0</v>
      </c>
      <c r="AP593" s="61" t="str">
        <f>IF(ISERROR((AO593/AG593-1)*100),"NA",IF(((AO593/AG593-1)*100)&gt;100,"NM",IF(((AO593/AG593-1)*100)&lt;-50,"NM",(AO593/AG593-1)*100)))</f>
        <v>NA</v>
      </c>
      <c r="AQ593" s="359">
        <v>0</v>
      </c>
      <c r="AR593" s="61" t="str">
        <f>IF(ISERROR((AQ593/AI593-1)*100),"NA",IF(((AQ593/AI593-1)*100)&gt;100,"NM",IF(((AQ593/AI593-1)*100)&lt;-50,"NM",(AQ593/AI593-1)*100)))</f>
        <v>NA</v>
      </c>
      <c r="AS593" s="359">
        <v>0</v>
      </c>
      <c r="AT593" s="61" t="str">
        <f>IF(ISERROR((AS593/AK593-1)*100),"NA",IF(((AS593/AK593-1)*100)&gt;100,"NM",IF(((AS593/AK593-1)*100)&lt;-50,"NM",(AS593/AK593-1)*100)))</f>
        <v>NA</v>
      </c>
      <c r="AU593" s="359">
        <v>0</v>
      </c>
      <c r="AV593" s="61" t="str">
        <f>IF(ISERROR((AU593/AM593-1)*100),"NA",IF(((AU593/AM593-1)*100)&gt;100,"NM",IF(((AU593/AM593-1)*100)&lt;-50,"NM",(AU593/AM593-1)*100)))</f>
        <v>NA</v>
      </c>
      <c r="AW593" s="359">
        <v>0</v>
      </c>
      <c r="AX593" s="61" t="str">
        <f>IF(ISERROR((AW593/AO593-1)*100),"NA",IF(((AW593/AO593-1)*100)&gt;100,"NM",IF(((AW593/AO593-1)*100)&lt;-50,"NM",(AW593/AO593-1)*100)))</f>
        <v>NA</v>
      </c>
      <c r="AY593" s="157">
        <v>0</v>
      </c>
      <c r="AZ593" s="61" t="str">
        <f>IF(ISERROR((AY593/AQ593-1)*100),"NA",IF(((AY593/AQ593-1)*100)&gt;100,"NM",IF(((AY593/AQ593-1)*100)&lt;-50,"NM",(AY593/AQ593-1)*100)))</f>
        <v>NA</v>
      </c>
      <c r="BA593" s="157">
        <v>0</v>
      </c>
      <c r="BB593" s="61" t="str">
        <f t="shared" si="3344"/>
        <v>NA</v>
      </c>
      <c r="BC593" s="157">
        <v>0</v>
      </c>
      <c r="BD593" s="61" t="str">
        <f t="shared" si="3345"/>
        <v>NA</v>
      </c>
      <c r="BE593" s="157">
        <v>0</v>
      </c>
      <c r="BF593" s="61" t="str">
        <f t="shared" si="3346"/>
        <v>NA</v>
      </c>
      <c r="BG593" s="157">
        <v>0</v>
      </c>
      <c r="BH593" s="61" t="str">
        <f>IF(ISERROR((BG593/AY593-1)*100),"NA",IF(((BG593/AY593-1)*100)&gt;100,"NM",IF(((BG593/AY593-1)*100)&lt;-50,"NM",(BG593/AY593-1)*100)))</f>
        <v>NA</v>
      </c>
      <c r="BI593" s="157">
        <v>0</v>
      </c>
      <c r="BJ593" s="61" t="str">
        <f>IF(ISERROR((BI593/BA593-1)*100),"NA",IF(((BI593/BA593-1)*100)&gt;100,"NM",IF(((BI593/BA593-1)*100)&lt;-50,"NM",(BI593/BA593-1)*100)))</f>
        <v>NA</v>
      </c>
      <c r="BK593" s="157">
        <v>0</v>
      </c>
      <c r="BL593" s="61" t="str">
        <f>IF(ISERROR((BK593/BC593-1)*100),"NA",IF(((BK593/BC593-1)*100)&gt;100,"NM",IF(((BK593/BC593-1)*100)&lt;-50,"NM",(BK593/BC593-1)*100)))</f>
        <v>NA</v>
      </c>
      <c r="BM593" s="157">
        <v>0</v>
      </c>
      <c r="BN593" s="61" t="str">
        <f>IF(ISERROR((BM593/BE593-1)*100),"NA",IF(((BM593/BE593-1)*100)&gt;100,"NM",IF(((BM593/BE593-1)*100)&lt;-50,"NM",(BM593/BE593-1)*100)))</f>
        <v>NA</v>
      </c>
      <c r="BO593" s="157">
        <v>0</v>
      </c>
      <c r="BP593" s="61" t="str">
        <f>IF(ISERROR((BO593/BG593-1)*100),"NA",IF(((BO593/BG593-1)*100)&gt;100,"NM",IF(((BO593/BG593-1)*100)&lt;-50,"NM",(BO593/BG593-1)*100)))</f>
        <v>NA</v>
      </c>
      <c r="BQ593" s="799">
        <f>BQ596/BQ594</f>
        <v>2.6656832612038506</v>
      </c>
      <c r="BR593" s="798" t="str">
        <f>IF(ISERROR((BQ593/BI593-1)*100),"NA",IF(((BQ593/BI593-1)*100)&gt;100,"NM",IF(((BQ593/BI593-1)*100)&lt;-50,"NM",(BQ593/BI593-1)*100)))</f>
        <v>NA</v>
      </c>
      <c r="BS593" s="799">
        <f>BS596/BS595</f>
        <v>0</v>
      </c>
      <c r="BT593" s="798" t="str">
        <f>IF(ISERROR((BS593/BK593-1)*100),"NA",IF(((BS593/BK593-1)*100)&gt;100,"NM",IF(((BS593/BK593-1)*100)&lt;-50,"NM",(BS593/BK593-1)*100)))</f>
        <v>NA</v>
      </c>
      <c r="BU593" s="799">
        <f>BU596/BU595</f>
        <v>0</v>
      </c>
      <c r="BV593" s="61" t="str">
        <f>IF(ISERROR((BU593/BM593-1)*100),"NA",IF(((BU593/BM593-1)*100)&gt;100,"NM",IF(((BU593/BM593-1)*100)&lt;-50,"NM",(BU593/BM593-1)*100)))</f>
        <v>NA</v>
      </c>
      <c r="BW593" s="157">
        <v>0</v>
      </c>
      <c r="BX593" s="61" t="str">
        <f>IF(ISERROR((BW593/BO593-1)*100),"NA",IF(((BW593/BO593-1)*100)&gt;100,"NM",IF(((BW593/BO593-1)*100)&lt;-50,"NM",(BW593/BO593-1)*100)))</f>
        <v>NA</v>
      </c>
      <c r="BY593" s="157">
        <v>46</v>
      </c>
      <c r="BZ593" s="61" t="str">
        <f>IF(ISERROR((BY593/BQ593-1)*100),"NA",IF(((BY593/BQ593-1)*100)&gt;100,"NM",IF(((BY593/BQ593-1)*100)&lt;-50,"NM",(BY593/BQ593-1)*100)))</f>
        <v>NM</v>
      </c>
      <c r="CA593" s="157">
        <v>0</v>
      </c>
      <c r="CB593" s="61" t="str">
        <f>IF(ISERROR((CA593/BS593-1)*100),"NA",IF(((CA593/BS593-1)*100)&gt;100,"NM",IF(((CA593/BS593-1)*100)&lt;-50,"NM",(CA593/BS593-1)*100)))</f>
        <v>NA</v>
      </c>
      <c r="CC593" s="157">
        <v>0</v>
      </c>
      <c r="CD593" s="61" t="str">
        <f>IF(ISERROR((CC593/BU593-1)*100),"NA",IF(((CC593/BU593-1)*100)&gt;100,"NM",IF(((CC593/BU593-1)*100)&lt;-50,"NM",(CC593/BU593-1)*100)))</f>
        <v>NA</v>
      </c>
      <c r="CE593" s="157">
        <v>0</v>
      </c>
      <c r="CF593" s="61" t="str">
        <f>IF(ISERROR((CE593/BW593-1)*100),"NA",IF(((CE593/BW593-1)*100)&gt;100,"NM",IF(((CE593/BW593-1)*100)&lt;-50,"NM",(CE593/BW593-1)*100)))</f>
        <v>NA</v>
      </c>
      <c r="CG593" s="157">
        <v>14.14</v>
      </c>
      <c r="CH593" s="61" t="str">
        <f>IF(ISERROR((CG593/BY593-1)*100),"NA",IF(((CG593/BY593-1)*100)&gt;100,"NM",IF(((CG593/BY593-1)*100)&lt;-50,"NM",(CG593/BY593-1)*100)))</f>
        <v>NM</v>
      </c>
      <c r="CI593" s="157">
        <v>0</v>
      </c>
      <c r="CJ593" s="61" t="str">
        <f>IF(ISERROR((CI593/CA593-1)*100),"NA",IF(((CI593/CA593-1)*100)&gt;100,"NM",IF(((CI593/CA593-1)*100)&lt;-50,"NM",(CI593/CA593-1)*100)))</f>
        <v>NA</v>
      </c>
      <c r="CK593" s="157">
        <v>0</v>
      </c>
      <c r="CL593" s="61" t="str">
        <f>IF(ISERROR((CK593/CC593-1)*100),"NA",IF(((CK593/CC593-1)*100)&gt;100,"NM",IF(((CK593/CC593-1)*100)&lt;-50,"NM",(CK593/CC593-1)*100)))</f>
        <v>NA</v>
      </c>
      <c r="CM593" s="157">
        <v>0</v>
      </c>
      <c r="CN593" s="61" t="str">
        <f>IF(ISERROR((CM593/CE593-1)*100),"NA",IF(((CM593/CE593-1)*100)&gt;100,"NM",IF(((CM593/CE593-1)*100)&lt;-50,"NM",(CM593/CE593-1)*100)))</f>
        <v>NA</v>
      </c>
      <c r="CO593" s="157">
        <v>0</v>
      </c>
      <c r="CP593" s="61" t="str">
        <f>IF(ISERROR((CO593/CG593-1)*100),"NA",IF(((CO593/CG593-1)*100)&gt;100,"NM",IF(((CO593/CG593-1)*100)&lt;-50,"NM",(CO593/CG593-1)*100)))</f>
        <v>NM</v>
      </c>
      <c r="CQ593" s="157">
        <v>0</v>
      </c>
      <c r="CR593" s="61" t="str">
        <f>IF(ISERROR((CQ593/CI593-1)*100),"NA",IF(((CQ593/CI593-1)*100)&gt;100,"NM",IF(((CQ593/CI593-1)*100)&lt;-50,"NM",(CQ593/CI593-1)*100)))</f>
        <v>NA</v>
      </c>
      <c r="CS593" s="157">
        <v>0</v>
      </c>
      <c r="CT593" s="61" t="str">
        <f>IF(ISERROR((CS593/CK593-1)*100),"NA",IF(((CS593/CK593-1)*100)&gt;100,"NM",IF(((CS593/CK593-1)*100)&lt;-50,"NM",(CS593/CK593-1)*100)))</f>
        <v>NA</v>
      </c>
      <c r="CU593" s="157">
        <v>0</v>
      </c>
      <c r="CV593" s="61" t="str">
        <f>IF(ISERROR((CU593/CM593-1)*100),"NA",IF(((CU593/CM593-1)*100)&gt;100,"NM",IF(((CU593/CM593-1)*100)&lt;-50,"NM",(CU593/CM593-1)*100)))</f>
        <v>NA</v>
      </c>
      <c r="CW593" s="157">
        <v>0</v>
      </c>
      <c r="CX593" s="61" t="str">
        <f>IF(ISERROR((CW593/CO593-1)*100),"NA",IF(((CW593/CO593-1)*100)&gt;100,"NM",IF(((CW593/CO593-1)*100)&lt;-50,"NM",(CW593/CO593-1)*100)))</f>
        <v>NA</v>
      </c>
      <c r="CY593" s="157">
        <v>0</v>
      </c>
      <c r="CZ593" s="61" t="str">
        <f>IF(ISERROR((CY593/CQ593-1)*100),"NA",IF(((CY593/CQ593-1)*100)&gt;100,"NM",IF(((CY593/CQ593-1)*100)&lt;-50,"NM",(CY593/CQ593-1)*100)))</f>
        <v>NA</v>
      </c>
      <c r="DA593" s="157">
        <v>0</v>
      </c>
      <c r="DB593" s="61" t="str">
        <f>IF(ISERROR((DA593/CS593-1)*100),"NA",IF(((DA593/CS593-1)*100)&gt;100,"NM",IF(((DA593/CS593-1)*100)&lt;-50,"NM",(DA593/CS593-1)*100)))</f>
        <v>NA</v>
      </c>
      <c r="DC593" s="157">
        <v>0</v>
      </c>
      <c r="DD593" s="61" t="str">
        <f>IF(ISERROR((DC593/CU593-1)*100),"NA",IF(((DC593/CU593-1)*100)&gt;100,"NM",IF(((DC593/CU593-1)*100)&lt;-50,"NM",(DC593/CU593-1)*100)))</f>
        <v>NA</v>
      </c>
      <c r="DE593" s="157">
        <v>0</v>
      </c>
      <c r="DF593" s="61" t="str">
        <f>IF(ISERROR((DE593/CW593-1)*100),"NA",IF(((DE593/CW593-1)*100)&gt;100,"NM",IF(((DE593/CW593-1)*100)&lt;-50,"NM",(DE593/CW593-1)*100)))</f>
        <v>NA</v>
      </c>
      <c r="DG593" s="157">
        <v>0</v>
      </c>
      <c r="DH593" s="61" t="str">
        <f>IF(ISERROR((DG593/CY593-1)*100),"NA",IF(((DG593/CY593-1)*100)&gt;100,"NM",IF(((DG593/CY593-1)*100)&lt;-50,"NM",(DG593/CY593-1)*100)))</f>
        <v>NA</v>
      </c>
      <c r="DI593" s="157">
        <v>0</v>
      </c>
      <c r="DJ593" s="61" t="str">
        <f>IF(ISERROR((DI593/DA593-1)*100),"NA",IF(((DI593/DA593-1)*100)&gt;100,"NM",IF(((DI593/DA593-1)*100)&lt;-50,"NM",(DI593/DA593-1)*100)))</f>
        <v>NA</v>
      </c>
      <c r="DK593" s="157">
        <v>0</v>
      </c>
      <c r="DL593" s="61" t="str">
        <f>IF(ISERROR((DK593/DC593-1)*100),"NA",IF(((DK593/DC593-1)*100)&gt;100,"NM",IF(((DK593/DC593-1)*100)&lt;-50,"NM",(DK593/DC593-1)*100)))</f>
        <v>NA</v>
      </c>
      <c r="DM593" s="157">
        <v>0</v>
      </c>
      <c r="DN593" s="130" t="str">
        <f t="shared" ref="DN593:DZ596" si="3362">IF(ISERROR((DM593/DE593-1)*100),"NA",IF(((DM593/DE593-1)*100)&gt;100,"NM",IF(((DM593/DE593-1)*100)&lt;-50,"NM",(DM593/DE593-1)*100)))</f>
        <v>NA</v>
      </c>
      <c r="DO593" s="157">
        <v>0</v>
      </c>
      <c r="DP593" s="130" t="str">
        <f t="shared" si="3362"/>
        <v>NA</v>
      </c>
      <c r="DQ593" s="157">
        <v>0</v>
      </c>
      <c r="DR593" s="130" t="str">
        <f t="shared" si="3362"/>
        <v>NA</v>
      </c>
      <c r="DS593" s="157">
        <v>0</v>
      </c>
      <c r="DT593" s="130" t="str">
        <f t="shared" si="3362"/>
        <v>NA</v>
      </c>
      <c r="DU593" s="157">
        <v>0</v>
      </c>
      <c r="DV593" s="130" t="str">
        <f t="shared" si="3362"/>
        <v>NA</v>
      </c>
      <c r="DW593" s="157">
        <v>0</v>
      </c>
      <c r="DX593" s="157">
        <v>0</v>
      </c>
      <c r="DY593" s="157">
        <v>0</v>
      </c>
      <c r="DZ593" s="130" t="str">
        <f t="shared" si="3362"/>
        <v>NA</v>
      </c>
      <c r="EA593" s="157">
        <v>0</v>
      </c>
      <c r="EB593" s="130" t="str">
        <f t="shared" ref="EB593:EB596" si="3363">IF(ISERROR((EA593/DS593-1)*100),"NA",IF(((EA593/DS593-1)*100)&gt;100,"NM",IF(((EA593/DS593-1)*100)&lt;-50,"NM",(EA593/DS593-1)*100)))</f>
        <v>NA</v>
      </c>
      <c r="EC593" s="157">
        <v>0</v>
      </c>
      <c r="ED593" s="130" t="str">
        <f t="shared" ref="ED593:ED596" si="3364">IF(ISERROR((EC593/DU593-1)*100),"NA",IF(((EC593/DU593-1)*100)&gt;100,"NM",IF(((EC593/DU593-1)*100)&lt;-50,"NM",(EC593/DU593-1)*100)))</f>
        <v>NA</v>
      </c>
      <c r="EE593" s="157">
        <v>0</v>
      </c>
      <c r="EF593" s="130" t="str">
        <f t="shared" ref="EF593:EF596" si="3365">IF(ISERROR((EE593/DW593-1)*100),"NA",IF(((EE593/DW593-1)*100)&gt;100,"NM",IF(((EE593/DW593-1)*100)&lt;-50,"NM",(EE593/DW593-1)*100)))</f>
        <v>NA</v>
      </c>
      <c r="EG593" s="157">
        <v>0</v>
      </c>
      <c r="EH593" s="130" t="str">
        <f t="shared" ref="EH593:EH596" si="3366">IF(ISERROR((EG593/DY593-1)*100),"NA",IF(((EG593/DY593-1)*100)&gt;100,"NM",IF(((EG593/DY593-1)*100)&lt;-50,"NM",(EG593/DY593-1)*100)))</f>
        <v>NA</v>
      </c>
      <c r="EI593" s="157">
        <v>0</v>
      </c>
      <c r="EJ593" s="130" t="str">
        <f t="shared" ref="EJ593:EJ596" si="3367">IF(ISERROR((EI593/EA593-1)*100),"NA",IF(((EI593/EA593-1)*100)&gt;100,"NM",IF(((EI593/EA593-1)*100)&lt;-50,"NM",(EI593/EA593-1)*100)))</f>
        <v>NA</v>
      </c>
      <c r="EK593" s="157">
        <v>0</v>
      </c>
      <c r="EL593" s="130" t="str">
        <f t="shared" ref="EL593:EL596" si="3368">IF(ISERROR((EK593/EC593-1)*100),"NA",IF(((EK593/EC593-1)*100)&gt;100,"NM",IF(((EK593/EC593-1)*100)&lt;-50,"NM",(EK593/EC593-1)*100)))</f>
        <v>NA</v>
      </c>
      <c r="EM593" s="157">
        <v>0</v>
      </c>
      <c r="EN593" s="130" t="str">
        <f t="shared" ref="EN593:EN596" si="3369">IF(ISERROR((EM593/EE593-1)*100),"NA",IF(((EM593/EE593-1)*100)&gt;100,"NM",IF(((EM593/EE593-1)*100)&lt;-50,"NM",(EM593/EE593-1)*100)))</f>
        <v>NA</v>
      </c>
      <c r="EO593" s="157">
        <v>0</v>
      </c>
      <c r="EP593" s="130" t="str">
        <f t="shared" ref="EP593:EP596" si="3370">IF(ISERROR((EO593/EG593-1)*100),"NA",IF(((EO593/EG593-1)*100)&gt;100,"NM",IF(((EO593/EG593-1)*100)&lt;-50,"NM",(EO593/EG593-1)*100)))</f>
        <v>NA</v>
      </c>
      <c r="EQ593" s="157">
        <v>0</v>
      </c>
      <c r="ER593" s="130" t="str">
        <f t="shared" ref="ER593:ER596" si="3371">IF(ISERROR((EQ593/EI593-1)*100),"NA",IF(((EQ593/EI593-1)*100)&gt;100,"NM",IF(((EQ593/EI593-1)*100)&lt;-50,"NM",(EQ593/EI593-1)*100)))</f>
        <v>NA</v>
      </c>
      <c r="ES593" s="157">
        <v>0</v>
      </c>
      <c r="ET593" s="130" t="str">
        <f t="shared" ref="ET593:ET596" si="3372">IF(ISERROR((ES593/EK593-1)*100),"NA",IF(((ES593/EK593-1)*100)&gt;100,"NM",IF(((ES593/EK593-1)*100)&lt;-50,"NM",(ES593/EK593-1)*100)))</f>
        <v>NA</v>
      </c>
      <c r="EU593" s="157">
        <v>0.25</v>
      </c>
      <c r="EV593" s="130" t="str">
        <f t="shared" ref="EV593:EV596" si="3373">IF(ISERROR((EU593/EM593-1)*100),"NA",IF(((EU593/EM593-1)*100)&gt;100,"NM",IF(((EU593/EM593-1)*100)&lt;-50,"NM",(EU593/EM593-1)*100)))</f>
        <v>NA</v>
      </c>
      <c r="EW593" s="157">
        <v>0.25</v>
      </c>
      <c r="EX593" s="130" t="str">
        <f t="shared" ref="EX593:EX596" si="3374">IF(ISERROR((EW593/EO593-1)*100),"NA",IF(((EW593/EO593-1)*100)&gt;100,"NM",IF(((EW593/EO593-1)*100)&lt;-50,"NM",(EW593/EO593-1)*100)))</f>
        <v>NA</v>
      </c>
      <c r="EY593" s="360"/>
      <c r="EZ593" s="558"/>
      <c r="FA593" s="360"/>
      <c r="FB593" s="360">
        <v>0</v>
      </c>
      <c r="FC593" s="361"/>
      <c r="FD593" s="360">
        <v>0</v>
      </c>
      <c r="FE593" s="362" t="str">
        <f>IF(ISERROR((FD593/FB593-1)*100),"NA",IF(((FD593/FB593-1)*100)&gt;100,"NM",IF(((FD593/FB593-1)*100)&lt;-50,"NM",(FD593/FB593-1)*100)))</f>
        <v>NA</v>
      </c>
      <c r="FF593" s="360">
        <v>0</v>
      </c>
      <c r="FG593" s="362" t="str">
        <f>IF(ISERROR((FF593/FD593-1)*100),"NA",IF(((FF593/FD593-1)*100)&gt;100,"NM",IF(((FF593/FD593-1)*100)&lt;-50,"NM",(FF593/FD593-1)*100)))</f>
        <v>NA</v>
      </c>
      <c r="FH593" s="360">
        <v>0</v>
      </c>
      <c r="FI593" s="362" t="str">
        <f>IF(ISERROR((FH593/FF593-1)*100),"NA",IF(((FH593/FF593-1)*100)&gt;100,"NM",IF(((FH593/FF593-1)*100)&lt;-50,"NM",(FH593/FF593-1)*100)))</f>
        <v>NA</v>
      </c>
      <c r="FJ593" s="360">
        <v>0</v>
      </c>
      <c r="FK593" s="362" t="str">
        <f>IF(ISERROR((FJ593/FH593-1)*100),"NA",IF(((FJ593/FH593-1)*100)&gt;100,"NM",IF(((FJ593/FH593-1)*100)&lt;-50,"NM",(FJ593/FH593-1)*100)))</f>
        <v>NA</v>
      </c>
      <c r="FL593" s="360">
        <v>0</v>
      </c>
      <c r="FM593" s="362" t="str">
        <f>IF(ISERROR((FL593/FJ593-1)*100),"NA",IF(((FL593/FJ593-1)*100)&gt;100,"NM",IF(((FL593/FJ593-1)*100)&lt;-50,"NM",(FL593/FJ593-1)*100)))</f>
        <v>NA</v>
      </c>
      <c r="FN593" s="360">
        <v>0</v>
      </c>
      <c r="FO593" s="362" t="str">
        <f>IF(ISERROR((FN593/FL593-1)*100),"NA",IF(((FN593/FL593-1)*100)&gt;100,"NM",IF(((FN593/FL593-1)*100)&lt;-50,"NM",(FN593/FL593-1)*100)))</f>
        <v>NA</v>
      </c>
      <c r="FP593" s="156">
        <v>0</v>
      </c>
      <c r="FQ593" s="61" t="str">
        <f t="shared" si="3354"/>
        <v>NA</v>
      </c>
      <c r="FR593" s="156">
        <f>AY593+BA593+BC593+BE593</f>
        <v>0</v>
      </c>
      <c r="FS593" s="61" t="str">
        <f>IF(ISERROR((FR593/FP593-1)*100),"NA",IF(((FR593/FP593-1)*100)&gt;100,"NM",IF(((FR593/FP593-1)*100)&lt;-50,"NM",(FR593/FP593-1)*100)))</f>
        <v>NA</v>
      </c>
      <c r="FT593" s="156">
        <f>BG593+BI593+BK593+BM593</f>
        <v>0</v>
      </c>
      <c r="FU593" s="61" t="str">
        <f>IF(ISERROR((FT593/FR593-1)*100),"NA",IF(((FT593/FR593-1)*100)&gt;100,"NM",IF(((FT593/FR593-1)*100)&lt;-50,"NM",(FT593/FR593-1)*100)))</f>
        <v>NA</v>
      </c>
      <c r="FV593" s="156">
        <f>BO593+BQ593+BS593+BU593</f>
        <v>2.6656832612038506</v>
      </c>
      <c r="FW593" s="61" t="str">
        <f>IF(ISERROR((FV593/FT593-1)*100),"NA",IF(((FV593/FT593-1)*100)&gt;100,"NM",IF(((FV593/FT593-1)*100)&lt;-50,"NM",(FV593/FT593-1)*100)))</f>
        <v>NA</v>
      </c>
      <c r="FX593" s="176">
        <f>BW593+BY593+CA593+CC593</f>
        <v>46</v>
      </c>
      <c r="FY593" s="61" t="str">
        <f>IF(ISERROR((FX593/FV593-1)*100),"NA",IF(((FX593/FV593-1)*100)&gt;100,"NM",IF(((FX593/FV593-1)*100)&lt;-50,"NM",(FX593/FV593-1)*100)))</f>
        <v>NM</v>
      </c>
      <c r="FZ593" s="176">
        <f>CE593+CG593+CI593+CK593</f>
        <v>14.14</v>
      </c>
      <c r="GA593" s="61" t="str">
        <f>IF(ISERROR((FZ593/FX593-1)*100),"NA",IF(((FZ593/FX593-1)*100)&gt;100,"NM",IF(((FZ593/FX593-1)*100)&lt;-50,"NM",(FZ593/FX593-1)*100)))</f>
        <v>NM</v>
      </c>
      <c r="GB593" s="176">
        <f>CM593+CO593+CQ593+CS593</f>
        <v>0</v>
      </c>
      <c r="GC593" s="61" t="str">
        <f>IF(ISERROR((GB593/FZ593-1)*100),"NA",IF(((GB593/FZ593-1)*100)&gt;100,"NM",IF(((GB593/FZ593-1)*100)&lt;-50,"NM",(GB593/FZ593-1)*100)))</f>
        <v>NM</v>
      </c>
      <c r="GD593" s="176">
        <f>CU593+CW593+CY593+DA593</f>
        <v>0</v>
      </c>
      <c r="GE593" s="61" t="str">
        <f>IF(ISERROR((GD593/GB593-1)*100),"NA",IF(((GD593/GB593-1)*100)&gt;100,"NM",IF(((GD593/GB593-1)*100)&lt;-50,"NM",(GD593/GB593-1)*100)))</f>
        <v>NA</v>
      </c>
      <c r="GF593" s="176">
        <f>DC593+DE593+DG593+DI593</f>
        <v>0</v>
      </c>
      <c r="GG593" s="61" t="str">
        <f>IF(ISERROR((GF593/GD593-1)*100),"NA",IF(((GF593/GD593-1)*100)&gt;100,"NM",IF(((GF593/GD593-1)*100)&lt;-50,"NM",(GF593/GD593-1)*100)))</f>
        <v>NA</v>
      </c>
      <c r="GH593" s="176">
        <f>DK593+DM593+DO593+DQ593</f>
        <v>0</v>
      </c>
      <c r="GI593" s="61" t="str">
        <f>IF(ISERROR((GH593/GF593-1)*100),"NA",IF(((GH593/GF593-1)*100)&gt;100,"NM",IF(((GH593/GF593-1)*100)&lt;-50,"NM",(GH593/GF593-1)*100)))</f>
        <v>NA</v>
      </c>
      <c r="GJ593" s="176">
        <f>DS593+DU593+DW593+DY593</f>
        <v>0</v>
      </c>
      <c r="GK593" s="61" t="str">
        <f>IF(ISERROR((GJ593/GH593-1)*100),"NA",IF(((GJ593/GH593-1)*100)&gt;100,"NM",IF(((GJ593/GH593-1)*100)&lt;-50,"NM",(GJ593/GH593-1)*100)))</f>
        <v>NA</v>
      </c>
      <c r="GL593" s="176">
        <f>EA593+EC593+EE593+EG593</f>
        <v>0</v>
      </c>
      <c r="GM593" s="61" t="str">
        <f>IF(ISERROR((GL593/GJ593-1)*100),"NA",IF(((GL593/GJ593-1)*100)&gt;100,"NM",IF(((GL593/GJ593-1)*100)&lt;-50,"NM",(GL593/GJ593-1)*100)))</f>
        <v>NA</v>
      </c>
      <c r="GN593" s="176">
        <f>EI593+EK593+EM593+EO593</f>
        <v>0</v>
      </c>
      <c r="GO593" s="61" t="str">
        <f>IF(ISERROR((GN593/GL593-1)*100),"NA",IF(((GN593/GL593-1)*100)&gt;100,"NM",IF(((GN593/GL593-1)*100)&lt;-50,"NM",(GN593/GL593-1)*100)))</f>
        <v>NA</v>
      </c>
      <c r="GP593" s="176">
        <f>EQ593+ES593+EU593+EW593</f>
        <v>0.5</v>
      </c>
      <c r="GQ593" s="61" t="str">
        <f>IF(ISERROR((GP593/GN593-1)*100),"NA",IF(((GP593/GN593-1)*100)&gt;100,"NM",IF(((GP593/GN593-1)*100)&lt;-50,"NM",(GP593/GN593-1)*100)))</f>
        <v>NA</v>
      </c>
      <c r="GR593" s="157">
        <f>GP593</f>
        <v>0.5</v>
      </c>
      <c r="GS593" s="61">
        <f>IF(ISERROR((GR593/GP593-1)*100),"NA",IF(((GR593/GP593-1)*100)&gt;100,"NM",IF(((GR593/GP593-1)*100)&lt;-50,"NM",(GR593/GP593-1)*100)))</f>
        <v>0</v>
      </c>
      <c r="GT593" s="157">
        <f>GR593</f>
        <v>0.5</v>
      </c>
      <c r="GU593" s="61">
        <f>IF(ISERROR((GT593/GR593-1)*100),"NA",IF(((GT593/GR593-1)*100)&gt;100,"NM",IF(((GT593/GR593-1)*100)&lt;-50,"NM",(GT593/GR593-1)*100)))</f>
        <v>0</v>
      </c>
      <c r="GV593" s="157">
        <f>GT593</f>
        <v>0.5</v>
      </c>
      <c r="GW593" s="61">
        <f>IF(ISERROR((GV593/GT593-1)*100),"NA",IF(((GV593/GT593-1)*100)&gt;100,"NM",IF(((GV593/GT593-1)*100)&lt;-50,"NM",(GV593/GT593-1)*100)))</f>
        <v>0</v>
      </c>
      <c r="GX593" s="157">
        <f>GV593</f>
        <v>0.5</v>
      </c>
      <c r="GY593" s="61">
        <f>IF(ISERROR((GX593/GV593-1)*100),"NA",IF(((GX593/GV593-1)*100)&gt;100,"NM",IF(((GX593/GV593-1)*100)&lt;-50,"NM",(GX593/GV593-1)*100)))</f>
        <v>0</v>
      </c>
      <c r="GZ593" s="61" t="str">
        <f t="shared" si="3330"/>
        <v/>
      </c>
      <c r="HA593" s="61"/>
      <c r="HB593" s="452"/>
      <c r="HC593"/>
      <c r="HD593"/>
      <c r="HE593"/>
      <c r="HF593"/>
      <c r="HG593"/>
      <c r="HH593"/>
    </row>
    <row r="594" spans="1:216" s="7" customFormat="1" ht="12.75" customHeight="1" x14ac:dyDescent="0.2">
      <c r="A594" s="11"/>
      <c r="B594" s="7" t="s">
        <v>530</v>
      </c>
      <c r="C594" s="359">
        <v>0</v>
      </c>
      <c r="D594" s="70"/>
      <c r="E594" s="359">
        <v>0</v>
      </c>
      <c r="F594" s="71"/>
      <c r="G594" s="359">
        <v>0</v>
      </c>
      <c r="H594" s="71"/>
      <c r="I594" s="359">
        <v>0</v>
      </c>
      <c r="J594" s="71"/>
      <c r="K594" s="359">
        <v>0</v>
      </c>
      <c r="L594" s="61" t="str">
        <f>IF(ISERROR((K594/C594-1)*100),"NA",IF(((K594/C594-1)*100)&gt;100,"NM",IF(((K594/C594-1)*100)&lt;-50,"NM",(K594/C594-1)*100)))</f>
        <v>NA</v>
      </c>
      <c r="M594" s="359">
        <v>0</v>
      </c>
      <c r="N594" s="61" t="str">
        <f>IF(ISERROR((M594/E594-1)*100),"NA",IF(((M594/E594-1)*100)&gt;100,"NM",IF(((M594/E594-1)*100)&lt;-50,"NM",(M594/E594-1)*100)))</f>
        <v>NA</v>
      </c>
      <c r="O594" s="359">
        <v>0</v>
      </c>
      <c r="P594" s="61" t="str">
        <f>IF(ISERROR((O594/G594-1)*100),"NA",IF(((O594/G594-1)*100)&gt;100,"NM",IF(((O594/G594-1)*100)&lt;-50,"NM",(O594/G594-1)*100)))</f>
        <v>NA</v>
      </c>
      <c r="Q594" s="359">
        <v>0</v>
      </c>
      <c r="R594" s="61" t="str">
        <f>IF(ISERROR((Q594/I594-1)*100),"NA",IF(((Q594/I594-1)*100)&gt;100,"NM",IF(((Q594/I594-1)*100)&lt;-50,"NM",(Q594/I594-1)*100)))</f>
        <v>NA</v>
      </c>
      <c r="S594" s="359">
        <v>0</v>
      </c>
      <c r="T594" s="61" t="str">
        <f>IF(ISERROR((S594/K594-1)*100),"NA",IF(((S594/K594-1)*100)&gt;100,"NM",IF(((S594/K594-1)*100)&lt;-50,"NM",(S594/K594-1)*100)))</f>
        <v>NA</v>
      </c>
      <c r="U594" s="359">
        <v>0</v>
      </c>
      <c r="V594" s="61" t="str">
        <f>IF(ISERROR((U594/M594-1)*100),"NA",IF(((U594/M594-1)*100)&gt;100,"NM",IF(((U594/M594-1)*100)&lt;-50,"NM",(U594/M594-1)*100)))</f>
        <v>NA</v>
      </c>
      <c r="W594" s="359">
        <v>0</v>
      </c>
      <c r="X594" s="61" t="str">
        <f>IF(ISERROR((W594/O594-1)*100),"NA",IF(((W594/O594-1)*100)&gt;100,"NM",IF(((W594/O594-1)*100)&lt;-50,"NM",(W594/O594-1)*100)))</f>
        <v>NA</v>
      </c>
      <c r="Y594" s="359">
        <v>0</v>
      </c>
      <c r="Z594" s="61" t="str">
        <f>IF(ISERROR((Y594/Q594-1)*100),"NA",IF(((Y594/Q594-1)*100)&gt;100,"NM",IF(((Y594/Q594-1)*100)&lt;-50,"NM",(Y594/Q594-1)*100)))</f>
        <v>NA</v>
      </c>
      <c r="AA594" s="359">
        <v>0</v>
      </c>
      <c r="AB594" s="61" t="str">
        <f>IF(ISERROR((AA594/S594-1)*100),"NA",IF(((AA594/S594-1)*100)&gt;100,"NM",IF(((AA594/S594-1)*100)&lt;-50,"NM",(AA594/S594-1)*100)))</f>
        <v>NA</v>
      </c>
      <c r="AC594" s="359">
        <v>0</v>
      </c>
      <c r="AD594" s="61" t="str">
        <f>IF(ISERROR((AC594/U594-1)*100),"NA",IF(((AC594/U594-1)*100)&gt;100,"NM",IF(((AC594/U594-1)*100)&lt;-50,"NM",(AC594/U594-1)*100)))</f>
        <v>NA</v>
      </c>
      <c r="AE594" s="359">
        <v>0</v>
      </c>
      <c r="AF594" s="61" t="str">
        <f>IF(ISERROR((AE594/W594-1)*100),"NA",IF(((AE594/W594-1)*100)&gt;100,"NM",IF(((AE594/W594-1)*100)&lt;-50,"NM",(AE594/W594-1)*100)))</f>
        <v>NA</v>
      </c>
      <c r="AG594" s="359">
        <v>0</v>
      </c>
      <c r="AH594" s="61" t="str">
        <f>IF(ISERROR((AG594/Y594-1)*100),"NA",IF(((AG594/Y594-1)*100)&gt;100,"NM",IF(((AG594/Y594-1)*100)&lt;-50,"NM",(AG594/Y594-1)*100)))</f>
        <v>NA</v>
      </c>
      <c r="AI594" s="359">
        <v>0</v>
      </c>
      <c r="AJ594" s="61" t="str">
        <f>IF(ISERROR((AI594/AA594-1)*100),"NA",IF(((AI594/AA594-1)*100)&gt;100,"NM",IF(((AI594/AA594-1)*100)&lt;-50,"NM",(AI594/AA594-1)*100)))</f>
        <v>NA</v>
      </c>
      <c r="AK594" s="359">
        <v>0</v>
      </c>
      <c r="AL594" s="61" t="str">
        <f>IF(ISERROR((AK594/AC594-1)*100),"NA",IF(((AK594/AC594-1)*100)&gt;100,"NM",IF(((AK594/AC594-1)*100)&lt;-50,"NM",(AK594/AC594-1)*100)))</f>
        <v>NA</v>
      </c>
      <c r="AM594" s="359">
        <v>0</v>
      </c>
      <c r="AN594" s="61" t="str">
        <f>IF(ISERROR((AM594/AE594-1)*100),"NA",IF(((AM594/AE594-1)*100)&gt;100,"NM",IF(((AM594/AE594-1)*100)&lt;-50,"NM",(AM594/AE594-1)*100)))</f>
        <v>NA</v>
      </c>
      <c r="AO594" s="359">
        <v>0</v>
      </c>
      <c r="AP594" s="61" t="str">
        <f>IF(ISERROR((AO594/AG594-1)*100),"NA",IF(((AO594/AG594-1)*100)&gt;100,"NM",IF(((AO594/AG594-1)*100)&lt;-50,"NM",(AO594/AG594-1)*100)))</f>
        <v>NA</v>
      </c>
      <c r="AQ594" s="359">
        <v>0</v>
      </c>
      <c r="AR594" s="61" t="str">
        <f>IF(ISERROR((AQ594/AI594-1)*100),"NA",IF(((AQ594/AI594-1)*100)&gt;100,"NM",IF(((AQ594/AI594-1)*100)&lt;-50,"NM",(AQ594/AI594-1)*100)))</f>
        <v>NA</v>
      </c>
      <c r="AS594" s="359">
        <v>0</v>
      </c>
      <c r="AT594" s="61" t="str">
        <f>IF(ISERROR((AS594/AK594-1)*100),"NA",IF(((AS594/AK594-1)*100)&gt;100,"NM",IF(((AS594/AK594-1)*100)&lt;-50,"NM",(AS594/AK594-1)*100)))</f>
        <v>NA</v>
      </c>
      <c r="AU594" s="359">
        <v>0</v>
      </c>
      <c r="AV594" s="61" t="str">
        <f>IF(ISERROR((AU594/AM594-1)*100),"NA",IF(((AU594/AM594-1)*100)&gt;100,"NM",IF(((AU594/AM594-1)*100)&lt;-50,"NM",(AU594/AM594-1)*100)))</f>
        <v>NA</v>
      </c>
      <c r="AW594" s="359">
        <v>0</v>
      </c>
      <c r="AX594" s="61" t="str">
        <f>IF(ISERROR((AW594/AO594-1)*100),"NA",IF(((AW594/AO594-1)*100)&gt;100,"NM",IF(((AW594/AO594-1)*100)&lt;-50,"NM",(AW594/AO594-1)*100)))</f>
        <v>NA</v>
      </c>
      <c r="AY594" s="363">
        <v>0</v>
      </c>
      <c r="AZ594" s="61" t="str">
        <f>IF(ISERROR((AY594/AQ594-1)*100),"NA",IF(((AY594/AQ594-1)*100)&gt;100,"NM",IF(((AY594/AQ594-1)*100)&lt;-50,"NM",(AY594/AQ594-1)*100)))</f>
        <v>NA</v>
      </c>
      <c r="BA594" s="363">
        <v>0</v>
      </c>
      <c r="BB594" s="61" t="str">
        <f t="shared" si="3344"/>
        <v>NA</v>
      </c>
      <c r="BC594" s="363">
        <v>0</v>
      </c>
      <c r="BD594" s="61" t="str">
        <f t="shared" si="3345"/>
        <v>NA</v>
      </c>
      <c r="BE594" s="363">
        <v>0</v>
      </c>
      <c r="BF594" s="61" t="str">
        <f t="shared" si="3346"/>
        <v>NA</v>
      </c>
      <c r="BG594" s="363">
        <v>67.62392732786887</v>
      </c>
      <c r="BH594" s="61" t="str">
        <f>IF(ISERROR((BG594/AY594-1)*100),"NA",IF(((BG594/AY594-1)*100)&gt;100,"NM",IF(((BG594/AY594-1)*100)&lt;-50,"NM",(BG594/AY594-1)*100)))</f>
        <v>NA</v>
      </c>
      <c r="BI594" s="363">
        <v>71.307613222222244</v>
      </c>
      <c r="BJ594" s="61" t="str">
        <f>IF(ISERROR((BI594/BA594-1)*100),"NA",IF(((BI594/BA594-1)*100)&gt;100,"NM",IF(((BI594/BA594-1)*100)&lt;-50,"NM",(BI594/BA594-1)*100)))</f>
        <v>NA</v>
      </c>
      <c r="BK594" s="363">
        <v>63.314437825396844</v>
      </c>
      <c r="BL594" s="61" t="str">
        <f>IF(ISERROR((BK594/BC594-1)*100),"NA",IF(((BK594/BC594-1)*100)&gt;100,"NM",IF(((BK594/BC594-1)*100)&lt;-50,"NM",(BK594/BC594-1)*100)))</f>
        <v>NA</v>
      </c>
      <c r="BM594" s="363">
        <v>61.996711718749999</v>
      </c>
      <c r="BN594" s="61" t="str">
        <f>IF(ISERROR((BM594/BE594-1)*100),"NA",IF(((BM594/BE594-1)*100)&gt;100,"NM",IF(((BM594/BE594-1)*100)&lt;-50,"NM",(BM594/BE594-1)*100)))</f>
        <v>NA</v>
      </c>
      <c r="BO594" s="363">
        <v>52.536222311475441</v>
      </c>
      <c r="BP594" s="61">
        <f>IF(ISERROR((BO594/BG594-1)*100),"NA",IF(((BO594/BG594-1)*100)&gt;100,"NM",IF(((BO594/BG594-1)*100)&lt;-50,"NM",(BO594/BG594-1)*100)))</f>
        <v>-22.311193112523576</v>
      </c>
      <c r="BQ594" s="363">
        <v>52.519367937500022</v>
      </c>
      <c r="BR594" s="61">
        <f>IF(ISERROR((BQ594/BI594-1)*100),"NA",IF(((BQ594/BI594-1)*100)&gt;100,"NM",IF(((BQ594/BI594-1)*100)&lt;-50,"NM",(BQ594/BI594-1)*100)))</f>
        <v>-26.348161768043965</v>
      </c>
      <c r="BS594" s="363">
        <v>47.887962765625019</v>
      </c>
      <c r="BT594" s="61">
        <f>IF(ISERROR((BS594/BK594-1)*100),"NA",IF(((BS594/BK594-1)*100)&gt;100,"NM",IF(((BS594/BK594-1)*100)&lt;-50,"NM",(BS594/BK594-1)*100)))</f>
        <v>-24.364861459109278</v>
      </c>
      <c r="BU594" s="363">
        <v>19.030151010937505</v>
      </c>
      <c r="BV594" s="61" t="str">
        <f>IF(ISERROR((BU594/BM594-1)*100),"NA",IF(((BU594/BM594-1)*100)&gt;100,"NM",IF(((BU594/BM594-1)*100)&lt;-50,"NM",(BU594/BM594-1)*100)))</f>
        <v>NM</v>
      </c>
      <c r="BW594" s="363">
        <v>13.104587873770493</v>
      </c>
      <c r="BX594" s="61" t="str">
        <f>IF(ISERROR((BW594/BO594-1)*100),"NA",IF(((BW594/BO594-1)*100)&gt;100,"NM",IF(((BW594/BO594-1)*100)&lt;-50,"NM",(BW594/BO594-1)*100)))</f>
        <v>NM</v>
      </c>
      <c r="BY594" s="363">
        <v>15</v>
      </c>
      <c r="BZ594" s="61" t="str">
        <f>IF(ISERROR((BY594/BQ594-1)*100),"NA",IF(((BY594/BQ594-1)*100)&gt;100,"NM",IF(((BY594/BQ594-1)*100)&lt;-50,"NM",(BY594/BQ594-1)*100)))</f>
        <v>NM</v>
      </c>
      <c r="CA594" s="363">
        <v>21.75</v>
      </c>
      <c r="CB594" s="61" t="str">
        <f>IF(ISERROR((CA594/BS594-1)*100),"NA",IF(((CA594/BS594-1)*100)&gt;100,"NM",IF(((CA594/BS594-1)*100)&lt;-50,"NM",(CA594/BS594-1)*100)))</f>
        <v>NM</v>
      </c>
      <c r="CC594" s="363">
        <v>23</v>
      </c>
      <c r="CD594" s="61">
        <f>IF(ISERROR((CC594/BU594-1)*100),"NA",IF(((CC594/BU594-1)*100)&gt;100,"NM",IF(((CC594/BU594-1)*100)&lt;-50,"NM",(CC594/BU594-1)*100)))</f>
        <v>20.860838081530943</v>
      </c>
      <c r="CE594" s="363">
        <v>26.55</v>
      </c>
      <c r="CF594" s="61" t="str">
        <f>IF(ISERROR((CE594/BW594-1)*100),"NA",IF(((CE594/BW594-1)*100)&gt;100,"NM",IF(((CE594/BW594-1)*100)&lt;-50,"NM",(CE594/BW594-1)*100)))</f>
        <v>NM</v>
      </c>
      <c r="CG594" s="363">
        <v>27.25</v>
      </c>
      <c r="CH594" s="61">
        <f>IF(ISERROR((CG594/BY594-1)*100),"NA",IF(((CG594/BY594-1)*100)&gt;100,"NM",IF(((CG594/BY594-1)*100)&lt;-50,"NM",(CG594/BY594-1)*100)))</f>
        <v>81.666666666666671</v>
      </c>
      <c r="CI594" s="363">
        <v>26.55</v>
      </c>
      <c r="CJ594" s="61">
        <f>IF(ISERROR((CI594/CA594-1)*100),"NA",IF(((CI594/CA594-1)*100)&gt;100,"NM",IF(((CI594/CA594-1)*100)&lt;-50,"NM",(CI594/CA594-1)*100)))</f>
        <v>22.068965517241381</v>
      </c>
      <c r="CK594" s="363">
        <v>26.55</v>
      </c>
      <c r="CL594" s="61">
        <f>IF(ISERROR((CK594/CC594-1)*100),"NA",IF(((CK594/CC594-1)*100)&gt;100,"NM",IF(((CK594/CC594-1)*100)&lt;-50,"NM",(CK594/CC594-1)*100)))</f>
        <v>15.434782608695663</v>
      </c>
      <c r="CM594" s="464">
        <f>+CM599</f>
        <v>31.25</v>
      </c>
      <c r="CN594" s="13">
        <f>IF(ISERROR((CM594/CE594-1)*100),"NA",IF(((CM594/CE594-1)*100)&gt;100,"NM",IF(((CM594/CE594-1)*100)&lt;-50,"NM",(CM594/CE594-1)*100)))</f>
        <v>17.702448210922796</v>
      </c>
      <c r="CO594" s="464">
        <f>+CO599</f>
        <v>29.450980392156861</v>
      </c>
      <c r="CP594" s="13">
        <f>IF(ISERROR((CO594/CG594-1)*100),"NA",IF(((CO594/CG594-1)*100)&gt;100,"NM",IF(((CO594/CG594-1)*100)&lt;-50,"NM",(CO594/CG594-1)*100)))</f>
        <v>8.0769922647958126</v>
      </c>
      <c r="CQ594" s="464">
        <f>+CQ599</f>
        <v>22.417910447761191</v>
      </c>
      <c r="CR594" s="13">
        <f>IF(ISERROR((CQ594/CI594-1)*100),"NA",IF(((CQ594/CI594-1)*100)&gt;100,"NM",IF(((CQ594/CI594-1)*100)&lt;-50,"NM",(CQ594/CI594-1)*100)))</f>
        <v>-15.563425808809072</v>
      </c>
      <c r="CS594" s="464">
        <f>+CS599</f>
        <v>19.23076923076923</v>
      </c>
      <c r="CT594" s="13">
        <f>IF(ISERROR((CS594/CK594-1)*100),"NA",IF(((CS594/CK594-1)*100)&gt;100,"NM",IF(((CS594/CK594-1)*100)&lt;-50,"NM",(CS594/CK594-1)*100)))</f>
        <v>-27.56772417789367</v>
      </c>
      <c r="CU594" s="464">
        <f>+CU599</f>
        <v>25</v>
      </c>
      <c r="CV594" s="13">
        <f>IF(ISERROR((CU594/CM594-1)*100),"NA",IF(((CU594/CM594-1)*100)&gt;100,"NM",IF(((CU594/CM594-1)*100)&lt;-50,"NM",(CU594/CM594-1)*100)))</f>
        <v>-19.999999999999996</v>
      </c>
      <c r="CW594" s="464">
        <f>+CW599</f>
        <v>23.076923076923077</v>
      </c>
      <c r="CX594" s="13">
        <f>IF(ISERROR((CW594/CO594-1)*100),"NA",IF(((CW594/CO594-1)*100)&gt;100,"NM",IF(((CW594/CO594-1)*100)&lt;-50,"NM",(CW594/CO594-1)*100)))</f>
        <v>-21.642937621632697</v>
      </c>
      <c r="CY594" s="464">
        <f>+CY599</f>
        <v>23.80952380952381</v>
      </c>
      <c r="CZ594" s="13">
        <f>IF(ISERROR((CY594/CQ594-1)*100),"NA",IF(((CY594/CQ594-1)*100)&gt;100,"NM",IF(((CY594/CQ594-1)*100)&lt;-50,"NM",(CY594/CQ594-1)*100)))</f>
        <v>6.2075962209118263</v>
      </c>
      <c r="DA594" s="464">
        <f>+DA599</f>
        <v>24.210526315789476</v>
      </c>
      <c r="DB594" s="13">
        <f>IF(ISERROR((DA594/CS594-1)*100),"NA",IF(((DA594/CS594-1)*100)&gt;100,"NM",IF(((DA594/CS594-1)*100)&lt;-50,"NM",(DA594/CS594-1)*100)))</f>
        <v>25.894736842105281</v>
      </c>
      <c r="DC594" s="464">
        <f>+DC599</f>
        <v>29.411764705882355</v>
      </c>
      <c r="DD594" s="13">
        <f>IF(ISERROR((DC594/CU594-1)*100),"NA",IF(((DC594/CU594-1)*100)&gt;100,"NM",IF(((DC594/CU594-1)*100)&lt;-50,"NM",(DC594/CU594-1)*100)))</f>
        <v>17.647058823529417</v>
      </c>
      <c r="DE594" s="464">
        <f>+DE599</f>
        <v>34.883720930232556</v>
      </c>
      <c r="DF594" s="61">
        <f>IF(ISERROR((DE594/CW594-1)*100),"NA",IF(((DE594/CW594-1)*100)&gt;100,"NM",IF(((DE594/CW594-1)*100)&lt;-50,"NM",(DE594/CW594-1)*100)))</f>
        <v>51.162790697674424</v>
      </c>
      <c r="DG594" s="464">
        <f>+DG599</f>
        <v>43.478260869565219</v>
      </c>
      <c r="DH594" s="61">
        <f>IF(ISERROR((DG594/CY594-1)*100),"NA",IF(((DG594/CY594-1)*100)&gt;100,"NM",IF(((DG594/CY594-1)*100)&lt;-50,"NM",(DG594/CY594-1)*100)))</f>
        <v>82.608695652173907</v>
      </c>
      <c r="DI594" s="464">
        <f>+DI599</f>
        <v>50</v>
      </c>
      <c r="DJ594" s="61" t="str">
        <f>IF(ISERROR((DI594/DA594-1)*100),"NA",IF(((DI594/DA594-1)*100)&gt;100,"NM",IF(((DI594/DA594-1)*100)&lt;-50,"NM",(DI594/DA594-1)*100)))</f>
        <v>NM</v>
      </c>
      <c r="DK594" s="464">
        <f>+DK599</f>
        <v>50</v>
      </c>
      <c r="DL594" s="61">
        <f>IF(ISERROR((DK594/DC594-1)*100),"NA",IF(((DK594/DC594-1)*100)&gt;100,"NM",IF(((DK594/DC594-1)*100)&lt;-50,"NM",(DK594/DC594-1)*100)))</f>
        <v>70</v>
      </c>
      <c r="DM594" s="464">
        <f>+DM599</f>
        <v>48.387096774193544</v>
      </c>
      <c r="DN594" s="130">
        <f t="shared" si="3362"/>
        <v>38.709677419354826</v>
      </c>
      <c r="DO594" s="464">
        <f>+DO599</f>
        <v>53.571428571428577</v>
      </c>
      <c r="DP594" s="130">
        <f t="shared" si="3362"/>
        <v>23.214285714285722</v>
      </c>
      <c r="DQ594" s="464">
        <f>+DQ599</f>
        <v>55.555555555555557</v>
      </c>
      <c r="DR594" s="130">
        <f t="shared" si="3362"/>
        <v>11.111111111111116</v>
      </c>
      <c r="DS594" s="464">
        <f>+DS599</f>
        <v>58.333333333333336</v>
      </c>
      <c r="DT594" s="130">
        <f t="shared" si="3362"/>
        <v>16.666666666666675</v>
      </c>
      <c r="DU594" s="464">
        <f>+DU599</f>
        <v>57.692307692307693</v>
      </c>
      <c r="DV594" s="130">
        <f t="shared" si="3362"/>
        <v>19.230769230769251</v>
      </c>
      <c r="DW594" s="464">
        <f>+DW599</f>
        <v>54.054054054054049</v>
      </c>
      <c r="DX594" s="464">
        <f t="shared" ref="DX594:DY594" si="3375">+DX599</f>
        <v>54.054054054054049</v>
      </c>
      <c r="DY594" s="464">
        <f t="shared" si="3375"/>
        <v>54.054054054054049</v>
      </c>
      <c r="DZ594" s="130">
        <f t="shared" si="3362"/>
        <v>-2.7027027027027195</v>
      </c>
      <c r="EA594" s="464">
        <f t="shared" ref="EA594:EC594" si="3376">+EA599</f>
        <v>36.363636363636367</v>
      </c>
      <c r="EB594" s="130">
        <f t="shared" si="3363"/>
        <v>-37.662337662337663</v>
      </c>
      <c r="EC594" s="464">
        <f t="shared" si="3376"/>
        <v>44.354838709677416</v>
      </c>
      <c r="ED594" s="130">
        <f t="shared" si="3364"/>
        <v>-23.118279569892476</v>
      </c>
      <c r="EE594" s="464">
        <f t="shared" ref="EE594:EG594" si="3377">+EE599</f>
        <v>46.511627906976749</v>
      </c>
      <c r="EF594" s="130">
        <f t="shared" si="3365"/>
        <v>-13.953488372093004</v>
      </c>
      <c r="EG594" s="464">
        <f t="shared" si="3377"/>
        <v>63.75</v>
      </c>
      <c r="EH594" s="130">
        <f t="shared" si="3366"/>
        <v>17.937500000000007</v>
      </c>
      <c r="EI594" s="464">
        <f t="shared" ref="EI594:EK594" si="3378">+EI599</f>
        <v>68.965517241379317</v>
      </c>
      <c r="EJ594" s="130">
        <f t="shared" si="3367"/>
        <v>89.65517241379311</v>
      </c>
      <c r="EK594" s="464">
        <f t="shared" si="3378"/>
        <v>66.666666666666671</v>
      </c>
      <c r="EL594" s="130">
        <f t="shared" si="3368"/>
        <v>50.303030303030319</v>
      </c>
      <c r="EM594" s="464">
        <f t="shared" ref="EM594" si="3379">+EM599</f>
        <v>71.428571428571431</v>
      </c>
      <c r="EN594" s="130">
        <f t="shared" si="3369"/>
        <v>53.571428571428555</v>
      </c>
      <c r="EO594" s="464">
        <f t="shared" ref="EO594" si="3380">+EO599</f>
        <v>73.529411764705884</v>
      </c>
      <c r="EP594" s="130">
        <f t="shared" si="3370"/>
        <v>15.340253748558252</v>
      </c>
      <c r="EQ594" s="15">
        <f t="shared" ref="EQ594:EW594" si="3381">EQ599*0.75</f>
        <v>58.833811401639338</v>
      </c>
      <c r="ER594" s="130">
        <f t="shared" si="3371"/>
        <v>-14.690973467622969</v>
      </c>
      <c r="ES594" s="15">
        <f t="shared" si="3381"/>
        <v>59.762987629672132</v>
      </c>
      <c r="ET594" s="130">
        <f t="shared" si="3372"/>
        <v>-10.355518555491805</v>
      </c>
      <c r="EU594" s="15">
        <f t="shared" si="3381"/>
        <v>60.710747382265573</v>
      </c>
      <c r="EV594" s="130">
        <f t="shared" si="3373"/>
        <v>-15.004953664828202</v>
      </c>
      <c r="EW594" s="15">
        <f t="shared" si="3381"/>
        <v>61.677462329910895</v>
      </c>
      <c r="EX594" s="130">
        <f t="shared" si="3374"/>
        <v>-16.118651231321181</v>
      </c>
      <c r="EY594" s="360"/>
      <c r="EZ594" s="558"/>
      <c r="FA594" s="360"/>
      <c r="FB594" s="360">
        <v>0</v>
      </c>
      <c r="FC594" s="361"/>
      <c r="FD594" s="360">
        <v>0</v>
      </c>
      <c r="FE594" s="362" t="str">
        <f>IF(ISERROR((FD594/FB594-1)*100),"NA",IF(((FD594/FB594-1)*100)&gt;100,"NM",IF(((FD594/FB594-1)*100)&lt;-50,"NM",(FD594/FB594-1)*100)))</f>
        <v>NA</v>
      </c>
      <c r="FF594" s="360">
        <v>0</v>
      </c>
      <c r="FG594" s="362" t="str">
        <f>IF(ISERROR((FF594/FD594-1)*100),"NA",IF(((FF594/FD594-1)*100)&gt;100,"NM",IF(((FF594/FD594-1)*100)&lt;-50,"NM",(FF594/FD594-1)*100)))</f>
        <v>NA</v>
      </c>
      <c r="FH594" s="360">
        <v>0</v>
      </c>
      <c r="FI594" s="362" t="str">
        <f>IF(ISERROR((FH594/FF594-1)*100),"NA",IF(((FH594/FF594-1)*100)&gt;100,"NM",IF(((FH594/FF594-1)*100)&lt;-50,"NM",(FH594/FF594-1)*100)))</f>
        <v>NA</v>
      </c>
      <c r="FJ594" s="360">
        <v>0</v>
      </c>
      <c r="FK594" s="362" t="str">
        <f>IF(ISERROR((FJ594/FH594-1)*100),"NA",IF(((FJ594/FH594-1)*100)&gt;100,"NM",IF(((FJ594/FH594-1)*100)&lt;-50,"NM",(FJ594/FH594-1)*100)))</f>
        <v>NA</v>
      </c>
      <c r="FL594" s="360">
        <v>0</v>
      </c>
      <c r="FM594" s="362" t="str">
        <f>IF(ISERROR((FL594/FJ594-1)*100),"NA",IF(((FL594/FJ594-1)*100)&gt;100,"NM",IF(((FL594/FJ594-1)*100)&lt;-50,"NM",(FL594/FJ594-1)*100)))</f>
        <v>NA</v>
      </c>
      <c r="FN594" s="360">
        <v>0</v>
      </c>
      <c r="FO594" s="362" t="str">
        <f>IF(ISERROR((FN594/FL594-1)*100),"NA",IF(((FN594/FL594-1)*100)&gt;100,"NM",IF(((FN594/FL594-1)*100)&lt;-50,"NM",(FN594/FL594-1)*100)))</f>
        <v>NA</v>
      </c>
      <c r="FP594" s="364">
        <v>0</v>
      </c>
      <c r="FQ594" s="61" t="str">
        <f t="shared" si="3354"/>
        <v>NA</v>
      </c>
      <c r="FR594" s="364">
        <f>BE594</f>
        <v>0</v>
      </c>
      <c r="FS594" s="61" t="str">
        <f>IF(ISERROR((FR594/FP594-1)*100),"NA",IF(((FR594/FP594-1)*100)&gt;100,"NM",IF(((FR594/FP594-1)*100)&lt;-50,"NM",(FR594/FP594-1)*100)))</f>
        <v>NA</v>
      </c>
      <c r="FT594" s="364">
        <f>BM594</f>
        <v>61.996711718749999</v>
      </c>
      <c r="FU594" s="61" t="str">
        <f>IF(ISERROR((FT594/FR594-1)*100),"NA",IF(((FT594/FR594-1)*100)&gt;100,"NM",IF(((FT594/FR594-1)*100)&lt;-50,"NM",(FT594/FR594-1)*100)))</f>
        <v>NA</v>
      </c>
      <c r="FV594" s="364">
        <f>BU594</f>
        <v>19.030151010937505</v>
      </c>
      <c r="FW594" s="61" t="str">
        <f>IF(ISERROR((FV594/FT594-1)*100),"NA",IF(((FV594/FT594-1)*100)&gt;100,"NM",IF(((FV594/FT594-1)*100)&lt;-50,"NM",(FV594/FT594-1)*100)))</f>
        <v>NM</v>
      </c>
      <c r="FX594" s="14">
        <f>CC594</f>
        <v>23</v>
      </c>
      <c r="FY594" s="61">
        <f>IF(ISERROR((FX594/FV594-1)*100),"NA",IF(((FX594/FV594-1)*100)&gt;100,"NM",IF(((FX594/FV594-1)*100)&lt;-50,"NM",(FX594/FV594-1)*100)))</f>
        <v>20.860838081530943</v>
      </c>
      <c r="FZ594" s="14">
        <f>CK594</f>
        <v>26.55</v>
      </c>
      <c r="GA594" s="61">
        <f>IF(ISERROR((FZ594/FX594-1)*100),"NA",IF(((FZ594/FX594-1)*100)&gt;100,"NM",IF(((FZ594/FX594-1)*100)&lt;-50,"NM",(FZ594/FX594-1)*100)))</f>
        <v>15.434782608695663</v>
      </c>
      <c r="GB594" s="14">
        <f>AVERAGE(CM594,CO594,CQ594,CS594)</f>
        <v>25.58741501767182</v>
      </c>
      <c r="GC594" s="61">
        <f>IF(ISERROR((GB594/FZ594-1)*100),"NA",IF(((GB594/FZ594-1)*100)&gt;100,"NM",IF(((GB594/FZ594-1)*100)&lt;-50,"NM",(GB594/FZ594-1)*100)))</f>
        <v>-3.6255554889950359</v>
      </c>
      <c r="GD594" s="14">
        <f>AVERAGE(CU594,CW594,CY594,DA594)</f>
        <v>24.024243300559093</v>
      </c>
      <c r="GE594" s="61">
        <f>IF(ISERROR((GD594/GB594-1)*100),"NA",IF(((GD594/GB594-1)*100)&gt;100,"NM",IF(((GD594/GB594-1)*100)&lt;-50,"NM",(GD594/GB594-1)*100)))</f>
        <v>-6.1091427798905418</v>
      </c>
      <c r="GF594" s="14">
        <f>AVERAGE(DC594,DE594,DG594,DI594)</f>
        <v>39.443436626420031</v>
      </c>
      <c r="GG594" s="61">
        <f>IF(ISERROR((GF594/GD594-1)*100),"NA",IF(((GF594/GD594-1)*100)&gt;100,"NM",IF(((GF594/GD594-1)*100)&lt;-50,"NM",(GF594/GD594-1)*100)))</f>
        <v>64.181806406789519</v>
      </c>
      <c r="GH594" s="14">
        <f>AVERAGE(DK594,DM594,DO594,DQ594)</f>
        <v>51.878520225294423</v>
      </c>
      <c r="GI594" s="61">
        <f>IF(ISERROR((GH594/GF594-1)*100),"NA",IF(((GH594/GF594-1)*100)&gt;100,"NM",IF(((GH594/GF594-1)*100)&lt;-50,"NM",(GH594/GF594-1)*100)))</f>
        <v>31.526369562192546</v>
      </c>
      <c r="GJ594" s="14">
        <f>AVERAGE(DS594,DU594,DW594,DY594)</f>
        <v>56.03343728343728</v>
      </c>
      <c r="GK594" s="61">
        <f>IF(ISERROR((GJ594/GH594-1)*100),"NA",IF(((GJ594/GH594-1)*100)&gt;100,"NM",IF(((GJ594/GH594-1)*100)&lt;-50,"NM",(GJ594/GH594-1)*100)))</f>
        <v>8.0089351818424461</v>
      </c>
      <c r="GL594" s="14">
        <f>AVERAGE(EA594,EC594,EE594,EG594)</f>
        <v>47.745025745072631</v>
      </c>
      <c r="GM594" s="61">
        <f>IF(ISERROR((GL594/GJ594-1)*100),"NA",IF(((GL594/GJ594-1)*100)&gt;100,"NM",IF(((GL594/GJ594-1)*100)&lt;-50,"NM",(GL594/GJ594-1)*100)))</f>
        <v>-14.791902728434959</v>
      </c>
      <c r="GN594" s="14">
        <f>AVERAGE(EI594,EK594,EM594,EO594)</f>
        <v>70.147541775330836</v>
      </c>
      <c r="GO594" s="61">
        <f>IF(ISERROR((GN594/GL594-1)*100),"NA",IF(((GN594/GL594-1)*100)&gt;100,"NM",IF(((GN594/GL594-1)*100)&lt;-50,"NM",(GN594/GL594-1)*100)))</f>
        <v>46.921151849143541</v>
      </c>
      <c r="GP594" s="14">
        <f>AVERAGE(EQ594,ES594,EU594,EW594)</f>
        <v>60.246252185871981</v>
      </c>
      <c r="GQ594" s="61">
        <f>IF(ISERROR((GP594/GN594-1)*100),"NA",IF(((GP594/GN594-1)*100)&gt;100,"NM",IF(((GP594/GN594-1)*100)&lt;-50,"NM",(GP594/GN594-1)*100)))</f>
        <v>-14.114948776353121</v>
      </c>
      <c r="GR594" s="15">
        <f>GR599*0.75</f>
        <v>63.996752360741738</v>
      </c>
      <c r="GS594" s="61">
        <f>IF(ISERROR((GR594/GP594-1)*100),"NA",IF(((GR594/GP594-1)*100)&gt;100,"NM",IF(((GR594/GP594-1)*100)&lt;-50,"NM",(GR594/GP594-1)*100)))</f>
        <v>6.2252837957433416</v>
      </c>
      <c r="GT594" s="15">
        <f>GT599*0.75</f>
        <v>67.961756549601091</v>
      </c>
      <c r="GU594" s="61">
        <f>IF(ISERROR((GT594/GR594-1)*100),"NA",IF(((GT594/GR594-1)*100)&gt;100,"NM",IF(((GT594/GR594-1)*100)&lt;-50,"NM",(GT594/GR594-1)*100)))</f>
        <v>6.1956334385675049</v>
      </c>
      <c r="GV594" s="15">
        <f>GV599*0.75</f>
        <v>72.151582193569169</v>
      </c>
      <c r="GW594" s="61">
        <f>IF(ISERROR((GV594/GT594-1)*100),"NA",IF(((GV594/GT594-1)*100)&gt;100,"NM",IF(((GV594/GT594-1)*100)&lt;-50,"NM",(GV594/GT594-1)*100)))</f>
        <v>6.1649755048785115</v>
      </c>
      <c r="GX594" s="15">
        <f>GX599*0.75</f>
        <v>76.576824698654704</v>
      </c>
      <c r="GY594" s="61">
        <f>IF(ISERROR((GX594/GV594-1)*100),"NA",IF(((GX594/GV594-1)*100)&gt;100,"NM",IF(((GX594/GV594-1)*100)&lt;-50,"NM",(GX594/GV594-1)*100)))</f>
        <v>6.1332577478528938</v>
      </c>
      <c r="GZ594" s="61">
        <f t="shared" si="3330"/>
        <v>1.7693450456905069</v>
      </c>
      <c r="HA594" s="61"/>
      <c r="HB594" s="452"/>
      <c r="HC594"/>
      <c r="HD594"/>
      <c r="HE594"/>
      <c r="HF594"/>
      <c r="HG594"/>
      <c r="HH594"/>
    </row>
    <row r="595" spans="1:216" s="7" customFormat="1" ht="12.75" customHeight="1" x14ac:dyDescent="0.2">
      <c r="A595" s="11"/>
      <c r="B595" s="7" t="s">
        <v>300</v>
      </c>
      <c r="C595" s="74">
        <v>50</v>
      </c>
      <c r="D595" s="70"/>
      <c r="E595" s="74">
        <v>50</v>
      </c>
      <c r="F595" s="74"/>
      <c r="G595" s="74">
        <v>50</v>
      </c>
      <c r="H595" s="71"/>
      <c r="I595" s="74">
        <v>50</v>
      </c>
      <c r="J595" s="352"/>
      <c r="K595" s="74">
        <v>50</v>
      </c>
      <c r="L595" s="61">
        <f>IF(ISERROR((K595/C595-1)*100),"NA",IF(((K595/C595-1)*100)&gt;100,"NM",IF(((K595/C595-1)*100)&lt;-50,"NM",(K595/C595-1)*100)))</f>
        <v>0</v>
      </c>
      <c r="M595" s="74">
        <v>50</v>
      </c>
      <c r="N595" s="61">
        <f>IF(ISERROR((M595/E595-1)*100),"NA",IF(((M595/E595-1)*100)&gt;100,"NM",IF(((M595/E595-1)*100)&lt;-50,"NM",(M595/E595-1)*100)))</f>
        <v>0</v>
      </c>
      <c r="O595" s="74">
        <v>50</v>
      </c>
      <c r="P595" s="61">
        <f>IF(ISERROR((O595/G595-1)*100),"NA",IF(((O595/G595-1)*100)&gt;100,"NM",IF(((O595/G595-1)*100)&lt;-50,"NM",(O595/G595-1)*100)))</f>
        <v>0</v>
      </c>
      <c r="Q595" s="74">
        <v>50</v>
      </c>
      <c r="R595" s="61">
        <f>IF(ISERROR((Q595/I595-1)*100),"NA",IF(((Q595/I595-1)*100)&gt;100,"NM",IF(((Q595/I595-1)*100)&lt;-50,"NM",(Q595/I595-1)*100)))</f>
        <v>0</v>
      </c>
      <c r="S595" s="74">
        <v>50</v>
      </c>
      <c r="T595" s="61">
        <f>IF(ISERROR((S595/K595-1)*100),"NA",IF(((S595/K595-1)*100)&gt;100,"NM",IF(((S595/K595-1)*100)&lt;-50,"NM",(S595/K595-1)*100)))</f>
        <v>0</v>
      </c>
      <c r="U595" s="74">
        <v>50</v>
      </c>
      <c r="V595" s="61">
        <f>IF(ISERROR((U595/M595-1)*100),"NA",IF(((U595/M595-1)*100)&gt;100,"NM",IF(((U595/M595-1)*100)&lt;-50,"NM",(U595/M595-1)*100)))</f>
        <v>0</v>
      </c>
      <c r="W595" s="74">
        <v>50</v>
      </c>
      <c r="X595" s="61">
        <f>IF(ISERROR((W595/O595-1)*100),"NA",IF(((W595/O595-1)*100)&gt;100,"NM",IF(((W595/O595-1)*100)&lt;-50,"NM",(W595/O595-1)*100)))</f>
        <v>0</v>
      </c>
      <c r="Y595" s="74">
        <v>50</v>
      </c>
      <c r="Z595" s="61">
        <f>IF(ISERROR((Y595/Q595-1)*100),"NA",IF(((Y595/Q595-1)*100)&gt;100,"NM",IF(((Y595/Q595-1)*100)&lt;-50,"NM",(Y595/Q595-1)*100)))</f>
        <v>0</v>
      </c>
      <c r="AA595" s="74">
        <v>50</v>
      </c>
      <c r="AB595" s="61">
        <f>IF(ISERROR((AA595/S595-1)*100),"NA",IF(((AA595/S595-1)*100)&gt;100,"NM",IF(((AA595/S595-1)*100)&lt;-50,"NM",(AA595/S595-1)*100)))</f>
        <v>0</v>
      </c>
      <c r="AC595" s="74">
        <v>50</v>
      </c>
      <c r="AD595" s="61">
        <f>IF(ISERROR((AC595/U595-1)*100),"NA",IF(((AC595/U595-1)*100)&gt;100,"NM",IF(((AC595/U595-1)*100)&lt;-50,"NM",(AC595/U595-1)*100)))</f>
        <v>0</v>
      </c>
      <c r="AE595" s="74">
        <v>50</v>
      </c>
      <c r="AF595" s="61">
        <f>IF(ISERROR((AE595/W595-1)*100),"NA",IF(((AE595/W595-1)*100)&gt;100,"NM",IF(((AE595/W595-1)*100)&lt;-50,"NM",(AE595/W595-1)*100)))</f>
        <v>0</v>
      </c>
      <c r="AG595" s="74">
        <v>50</v>
      </c>
      <c r="AH595" s="61">
        <f>IF(ISERROR((AG595/Y595-1)*100),"NA",IF(((AG595/Y595-1)*100)&gt;100,"NM",IF(((AG595/Y595-1)*100)&lt;-50,"NM",(AG595/Y595-1)*100)))</f>
        <v>0</v>
      </c>
      <c r="AI595" s="74">
        <v>50</v>
      </c>
      <c r="AJ595" s="61">
        <f>IF(ISERROR((AI595/AA595-1)*100),"NA",IF(((AI595/AA595-1)*100)&gt;100,"NM",IF(((AI595/AA595-1)*100)&lt;-50,"NM",(AI595/AA595-1)*100)))</f>
        <v>0</v>
      </c>
      <c r="AK595" s="74">
        <v>50</v>
      </c>
      <c r="AL595" s="61">
        <f>IF(ISERROR((AK595/AC595-1)*100),"NA",IF(((AK595/AC595-1)*100)&gt;100,"NM",IF(((AK595/AC595-1)*100)&lt;-50,"NM",(AK595/AC595-1)*100)))</f>
        <v>0</v>
      </c>
      <c r="AM595" s="74">
        <v>50</v>
      </c>
      <c r="AN595" s="61">
        <f>IF(ISERROR((AM595/AE595-1)*100),"NA",IF(((AM595/AE595-1)*100)&gt;100,"NM",IF(((AM595/AE595-1)*100)&lt;-50,"NM",(AM595/AE595-1)*100)))</f>
        <v>0</v>
      </c>
      <c r="AO595" s="74">
        <v>50</v>
      </c>
      <c r="AP595" s="61">
        <f>IF(ISERROR((AO595/AG595-1)*100),"NA",IF(((AO595/AG595-1)*100)&gt;100,"NM",IF(((AO595/AG595-1)*100)&lt;-50,"NM",(AO595/AG595-1)*100)))</f>
        <v>0</v>
      </c>
      <c r="AQ595" s="74">
        <v>50</v>
      </c>
      <c r="AR595" s="61">
        <f>IF(ISERROR((AQ595/AI595-1)*100),"NA",IF(((AQ595/AI595-1)*100)&gt;100,"NM",IF(((AQ595/AI595-1)*100)&lt;-50,"NM",(AQ595/AI595-1)*100)))</f>
        <v>0</v>
      </c>
      <c r="AS595" s="74">
        <v>50</v>
      </c>
      <c r="AT595" s="61">
        <f>IF(ISERROR((AS595/AK595-1)*100),"NA",IF(((AS595/AK595-1)*100)&gt;100,"NM",IF(((AS595/AK595-1)*100)&lt;-50,"NM",(AS595/AK595-1)*100)))</f>
        <v>0</v>
      </c>
      <c r="AU595" s="74">
        <v>50</v>
      </c>
      <c r="AV595" s="61">
        <f>IF(ISERROR((AU595/AM595-1)*100),"NA",IF(((AU595/AM595-1)*100)&gt;100,"NM",IF(((AU595/AM595-1)*100)&lt;-50,"NM",(AU595/AM595-1)*100)))</f>
        <v>0</v>
      </c>
      <c r="AW595" s="74">
        <v>50</v>
      </c>
      <c r="AX595" s="61">
        <f>IF(ISERROR((AW595/AO595-1)*100),"NA",IF(((AW595/AO595-1)*100)&gt;100,"NM",IF(((AW595/AO595-1)*100)&lt;-50,"NM",(AW595/AO595-1)*100)))</f>
        <v>0</v>
      </c>
      <c r="AY595" s="148">
        <v>50</v>
      </c>
      <c r="AZ595" s="61">
        <f>IF(ISERROR((AY595/AQ595-1)*100),"NA",IF(((AY595/AQ595-1)*100)&gt;100,"NM",IF(((AY595/AQ595-1)*100)&lt;-50,"NM",(AY595/AQ595-1)*100)))</f>
        <v>0</v>
      </c>
      <c r="BA595" s="148">
        <v>50</v>
      </c>
      <c r="BB595" s="61">
        <f t="shared" si="3344"/>
        <v>0</v>
      </c>
      <c r="BC595" s="148">
        <v>50</v>
      </c>
      <c r="BD595" s="61">
        <f t="shared" si="3345"/>
        <v>0</v>
      </c>
      <c r="BE595" s="148">
        <v>50</v>
      </c>
      <c r="BF595" s="61">
        <f t="shared" si="3346"/>
        <v>0</v>
      </c>
      <c r="BG595" s="148">
        <v>50</v>
      </c>
      <c r="BH595" s="61">
        <f>IF(ISERROR((BG595/AY595-1)*100),"NA",IF(((BG595/AY595-1)*100)&gt;100,"NM",IF(((BG595/AY595-1)*100)&lt;-50,"NM",(BG595/AY595-1)*100)))</f>
        <v>0</v>
      </c>
      <c r="BI595" s="148">
        <v>50</v>
      </c>
      <c r="BJ595" s="61">
        <f>IF(ISERROR((BI595/BA595-1)*100),"NA",IF(((BI595/BA595-1)*100)&gt;100,"NM",IF(((BI595/BA595-1)*100)&lt;-50,"NM",(BI595/BA595-1)*100)))</f>
        <v>0</v>
      </c>
      <c r="BK595" s="148">
        <v>50</v>
      </c>
      <c r="BL595" s="61">
        <f>IF(ISERROR((BK595/BC595-1)*100),"NA",IF(((BK595/BC595-1)*100)&gt;100,"NM",IF(((BK595/BC595-1)*100)&lt;-50,"NM",(BK595/BC595-1)*100)))</f>
        <v>0</v>
      </c>
      <c r="BM595" s="148">
        <v>50</v>
      </c>
      <c r="BN595" s="61">
        <f>IF(ISERROR((BM595/BE595-1)*100),"NA",IF(((BM595/BE595-1)*100)&gt;100,"NM",IF(((BM595/BE595-1)*100)&lt;-50,"NM",(BM595/BE595-1)*100)))</f>
        <v>0</v>
      </c>
      <c r="BO595" s="148">
        <v>50</v>
      </c>
      <c r="BP595" s="61">
        <f>IF(ISERROR((BO595/BG595-1)*100),"NA",IF(((BO595/BG595-1)*100)&gt;100,"NM",IF(((BO595/BG595-1)*100)&lt;-50,"NM",(BO595/BG595-1)*100)))</f>
        <v>0</v>
      </c>
      <c r="BQ595" s="148">
        <v>50</v>
      </c>
      <c r="BR595" s="61">
        <f>IF(ISERROR((BQ595/BI595-1)*100),"NA",IF(((BQ595/BI595-1)*100)&gt;100,"NM",IF(((BQ595/BI595-1)*100)&lt;-50,"NM",(BQ595/BI595-1)*100)))</f>
        <v>0</v>
      </c>
      <c r="BS595" s="148">
        <v>50</v>
      </c>
      <c r="BT595" s="61">
        <f>IF(ISERROR((BS595/BK595-1)*100),"NA",IF(((BS595/BK595-1)*100)&gt;100,"NM",IF(((BS595/BK595-1)*100)&lt;-50,"NM",(BS595/BK595-1)*100)))</f>
        <v>0</v>
      </c>
      <c r="BU595" s="148">
        <v>50</v>
      </c>
      <c r="BV595" s="61">
        <f>IF(ISERROR((BU595/BM595-1)*100),"NA",IF(((BU595/BM595-1)*100)&gt;100,"NM",IF(((BU595/BM595-1)*100)&lt;-50,"NM",(BU595/BM595-1)*100)))</f>
        <v>0</v>
      </c>
      <c r="BW595" s="74">
        <v>50</v>
      </c>
      <c r="BX595" s="61">
        <f>IF(ISERROR((BW595/BO595-1)*100),"NA",IF(((BW595/BO595-1)*100)&gt;100,"NM",IF(((BW595/BO595-1)*100)&lt;-50,"NM",(BW595/BO595-1)*100)))</f>
        <v>0</v>
      </c>
      <c r="BY595" s="74">
        <v>50</v>
      </c>
      <c r="BZ595" s="61">
        <f>IF(ISERROR((BY595/BQ595-1)*100),"NA",IF(((BY595/BQ595-1)*100)&gt;100,"NM",IF(((BY595/BQ595-1)*100)&lt;-50,"NM",(BY595/BQ595-1)*100)))</f>
        <v>0</v>
      </c>
      <c r="CA595" s="74">
        <v>50</v>
      </c>
      <c r="CB595" s="61">
        <f>IF(ISERROR((CA595/BS595-1)*100),"NA",IF(((CA595/BS595-1)*100)&gt;100,"NM",IF(((CA595/BS595-1)*100)&lt;-50,"NM",(CA595/BS595-1)*100)))</f>
        <v>0</v>
      </c>
      <c r="CC595" s="74">
        <v>50</v>
      </c>
      <c r="CD595" s="61">
        <f>IF(ISERROR((CC595/BU595-1)*100),"NA",IF(((CC595/BU595-1)*100)&gt;100,"NM",IF(((CC595/BU595-1)*100)&lt;-50,"NM",(CC595/BU595-1)*100)))</f>
        <v>0</v>
      </c>
      <c r="CE595" s="74">
        <v>50</v>
      </c>
      <c r="CF595" s="61">
        <f>IF(ISERROR((CE595/BW595-1)*100),"NA",IF(((CE595/BW595-1)*100)&gt;100,"NM",IF(((CE595/BW595-1)*100)&lt;-50,"NM",(CE595/BW595-1)*100)))</f>
        <v>0</v>
      </c>
      <c r="CG595" s="74">
        <v>50</v>
      </c>
      <c r="CH595" s="61">
        <f>IF(ISERROR((CG595/BY595-1)*100),"NA",IF(((CG595/BY595-1)*100)&gt;100,"NM",IF(((CG595/BY595-1)*100)&lt;-50,"NM",(CG595/BY595-1)*100)))</f>
        <v>0</v>
      </c>
      <c r="CI595" s="74">
        <v>50</v>
      </c>
      <c r="CJ595" s="61">
        <f>IF(ISERROR((CI595/CA595-1)*100),"NA",IF(((CI595/CA595-1)*100)&gt;100,"NM",IF(((CI595/CA595-1)*100)&lt;-50,"NM",(CI595/CA595-1)*100)))</f>
        <v>0</v>
      </c>
      <c r="CK595" s="74">
        <v>50</v>
      </c>
      <c r="CL595" s="61">
        <f>IF(ISERROR((CK595/CC595-1)*100),"NA",IF(((CK595/CC595-1)*100)&gt;100,"NM",IF(((CK595/CC595-1)*100)&lt;-50,"NM",(CK595/CC595-1)*100)))</f>
        <v>0</v>
      </c>
      <c r="CM595" s="74">
        <v>50</v>
      </c>
      <c r="CN595" s="61">
        <f>IF(ISERROR((CM595/CE595-1)*100),"NA",IF(((CM595/CE595-1)*100)&gt;100,"NM",IF(((CM595/CE595-1)*100)&lt;-50,"NM",(CM595/CE595-1)*100)))</f>
        <v>0</v>
      </c>
      <c r="CO595" s="74">
        <v>50</v>
      </c>
      <c r="CP595" s="61">
        <f>IF(ISERROR((CO595/CG595-1)*100),"NA",IF(((CO595/CG595-1)*100)&gt;100,"NM",IF(((CO595/CG595-1)*100)&lt;-50,"NM",(CO595/CG595-1)*100)))</f>
        <v>0</v>
      </c>
      <c r="CQ595" s="74">
        <v>50</v>
      </c>
      <c r="CR595" s="61">
        <f>IF(ISERROR((CQ595/CI595-1)*100),"NA",IF(((CQ595/CI595-1)*100)&gt;100,"NM",IF(((CQ595/CI595-1)*100)&lt;-50,"NM",(CQ595/CI595-1)*100)))</f>
        <v>0</v>
      </c>
      <c r="CS595" s="74">
        <v>50</v>
      </c>
      <c r="CT595" s="61">
        <f>IF(ISERROR((CS595/CK595-1)*100),"NA",IF(((CS595/CK595-1)*100)&gt;100,"NM",IF(((CS595/CK595-1)*100)&lt;-50,"NM",(CS595/CK595-1)*100)))</f>
        <v>0</v>
      </c>
      <c r="CU595" s="74">
        <v>50</v>
      </c>
      <c r="CV595" s="61">
        <f>IF(ISERROR((CU595/CM595-1)*100),"NA",IF(((CU595/CM595-1)*100)&gt;100,"NM",IF(((CU595/CM595-1)*100)&lt;-50,"NM",(CU595/CM595-1)*100)))</f>
        <v>0</v>
      </c>
      <c r="CW595" s="74">
        <v>50</v>
      </c>
      <c r="CX595" s="61">
        <f>IF(ISERROR((CW595/CO595-1)*100),"NA",IF(((CW595/CO595-1)*100)&gt;100,"NM",IF(((CW595/CO595-1)*100)&lt;-50,"NM",(CW595/CO595-1)*100)))</f>
        <v>0</v>
      </c>
      <c r="CY595" s="74">
        <v>50</v>
      </c>
      <c r="CZ595" s="61">
        <f>IF(ISERROR((CY595/CQ595-1)*100),"NA",IF(((CY595/CQ595-1)*100)&gt;100,"NM",IF(((CY595/CQ595-1)*100)&lt;-50,"NM",(CY595/CQ595-1)*100)))</f>
        <v>0</v>
      </c>
      <c r="DA595" s="74">
        <v>50</v>
      </c>
      <c r="DB595" s="61">
        <f>IF(ISERROR((DA595/CS595-1)*100),"NA",IF(((DA595/CS595-1)*100)&gt;100,"NM",IF(((DA595/CS595-1)*100)&lt;-50,"NM",(DA595/CS595-1)*100)))</f>
        <v>0</v>
      </c>
      <c r="DC595" s="74">
        <v>50</v>
      </c>
      <c r="DD595" s="61">
        <f>IF(ISERROR((DC595/CU595-1)*100),"NA",IF(((DC595/CU595-1)*100)&gt;100,"NM",IF(((DC595/CU595-1)*100)&lt;-50,"NM",(DC595/CU595-1)*100)))</f>
        <v>0</v>
      </c>
      <c r="DE595" s="74">
        <v>50</v>
      </c>
      <c r="DF595" s="61">
        <f>IF(ISERROR((DE595/CW595-1)*100),"NA",IF(((DE595/CW595-1)*100)&gt;100,"NM",IF(((DE595/CW595-1)*100)&lt;-50,"NM",(DE595/CW595-1)*100)))</f>
        <v>0</v>
      </c>
      <c r="DG595" s="74">
        <v>50</v>
      </c>
      <c r="DH595" s="61">
        <f>IF(ISERROR((DG595/CY595-1)*100),"NA",IF(((DG595/CY595-1)*100)&gt;100,"NM",IF(((DG595/CY595-1)*100)&lt;-50,"NM",(DG595/CY595-1)*100)))</f>
        <v>0</v>
      </c>
      <c r="DI595" s="74">
        <v>50</v>
      </c>
      <c r="DJ595" s="61">
        <f>IF(ISERROR((DI595/DA595-1)*100),"NA",IF(((DI595/DA595-1)*100)&gt;100,"NM",IF(((DI595/DA595-1)*100)&lt;-50,"NM",(DI595/DA595-1)*100)))</f>
        <v>0</v>
      </c>
      <c r="DK595" s="74">
        <v>50</v>
      </c>
      <c r="DL595" s="61">
        <f>IF(ISERROR((DK595/DC595-1)*100),"NA",IF(((DK595/DC595-1)*100)&gt;100,"NM",IF(((DK595/DC595-1)*100)&lt;-50,"NM",(DK595/DC595-1)*100)))</f>
        <v>0</v>
      </c>
      <c r="DM595" s="74">
        <v>50</v>
      </c>
      <c r="DN595" s="130">
        <f t="shared" si="3362"/>
        <v>0</v>
      </c>
      <c r="DO595" s="74">
        <v>50</v>
      </c>
      <c r="DP595" s="130">
        <f t="shared" si="3362"/>
        <v>0</v>
      </c>
      <c r="DQ595" s="74">
        <v>50</v>
      </c>
      <c r="DR595" s="130">
        <f t="shared" si="3362"/>
        <v>0</v>
      </c>
      <c r="DS595" s="74">
        <v>50</v>
      </c>
      <c r="DT595" s="130">
        <f t="shared" si="3362"/>
        <v>0</v>
      </c>
      <c r="DU595" s="74">
        <v>50</v>
      </c>
      <c r="DV595" s="130">
        <f t="shared" si="3362"/>
        <v>0</v>
      </c>
      <c r="DW595" s="74">
        <v>50</v>
      </c>
      <c r="DX595" s="74">
        <v>50</v>
      </c>
      <c r="DY595" s="74">
        <v>50</v>
      </c>
      <c r="DZ595" s="130">
        <f t="shared" si="3362"/>
        <v>0</v>
      </c>
      <c r="EA595" s="74">
        <v>50</v>
      </c>
      <c r="EB595" s="130">
        <f t="shared" si="3363"/>
        <v>0</v>
      </c>
      <c r="EC595" s="74">
        <v>50</v>
      </c>
      <c r="ED595" s="130">
        <f t="shared" si="3364"/>
        <v>0</v>
      </c>
      <c r="EE595" s="74">
        <v>50</v>
      </c>
      <c r="EF595" s="130">
        <f t="shared" si="3365"/>
        <v>0</v>
      </c>
      <c r="EG595" s="74">
        <v>50</v>
      </c>
      <c r="EH595" s="130">
        <f t="shared" si="3366"/>
        <v>0</v>
      </c>
      <c r="EI595" s="74">
        <v>50</v>
      </c>
      <c r="EJ595" s="130">
        <f t="shared" si="3367"/>
        <v>0</v>
      </c>
      <c r="EK595" s="74">
        <v>50</v>
      </c>
      <c r="EL595" s="130">
        <f t="shared" si="3368"/>
        <v>0</v>
      </c>
      <c r="EM595" s="74">
        <v>50</v>
      </c>
      <c r="EN595" s="130">
        <f t="shared" si="3369"/>
        <v>0</v>
      </c>
      <c r="EO595" s="74">
        <v>50</v>
      </c>
      <c r="EP595" s="130">
        <f t="shared" si="3370"/>
        <v>0</v>
      </c>
      <c r="EQ595" s="74">
        <v>50</v>
      </c>
      <c r="ER595" s="130">
        <f t="shared" si="3371"/>
        <v>0</v>
      </c>
      <c r="ES595" s="74">
        <v>50</v>
      </c>
      <c r="ET595" s="130">
        <f t="shared" si="3372"/>
        <v>0</v>
      </c>
      <c r="EU595" s="74">
        <v>50</v>
      </c>
      <c r="EV595" s="130">
        <f t="shared" si="3373"/>
        <v>0</v>
      </c>
      <c r="EW595" s="74">
        <v>50</v>
      </c>
      <c r="EX595" s="130">
        <f t="shared" si="3374"/>
        <v>0</v>
      </c>
      <c r="EY595" s="64"/>
      <c r="EZ595" s="558"/>
      <c r="FA595" s="64"/>
      <c r="FB595" s="365">
        <v>50</v>
      </c>
      <c r="FC595" s="71"/>
      <c r="FD595" s="365">
        <v>50</v>
      </c>
      <c r="FE595" s="70">
        <f>IF(ISERROR((FD595/FB595-1)*100),"NA",IF(((FD595/FB595-1)*100)&gt;100,"NM",IF(((FD595/FB595-1)*100)&lt;-50,"NM",(FD595/FB595-1)*100)))</f>
        <v>0</v>
      </c>
      <c r="FF595" s="365">
        <v>50</v>
      </c>
      <c r="FG595" s="70">
        <f>IF(ISERROR((FF595/FD595-1)*100),"NA",IF(((FF595/FD595-1)*100)&gt;100,"NM",IF(((FF595/FD595-1)*100)&lt;-50,"NM",(FF595/FD595-1)*100)))</f>
        <v>0</v>
      </c>
      <c r="FH595" s="365">
        <v>50</v>
      </c>
      <c r="FI595" s="70">
        <f>IF(ISERROR((FH595/FF595-1)*100),"NA",IF(((FH595/FF595-1)*100)&gt;100,"NM",IF(((FH595/FF595-1)*100)&lt;-50,"NM",(FH595/FF595-1)*100)))</f>
        <v>0</v>
      </c>
      <c r="FJ595" s="365">
        <v>50</v>
      </c>
      <c r="FK595" s="70">
        <f>IF(ISERROR((FJ595/FH595-1)*100),"NA",IF(((FJ595/FH595-1)*100)&gt;100,"NM",IF(((FJ595/FH595-1)*100)&lt;-50,"NM",(FJ595/FH595-1)*100)))</f>
        <v>0</v>
      </c>
      <c r="FL595" s="365">
        <v>50</v>
      </c>
      <c r="FM595" s="61">
        <f>IF(ISERROR((FL595/FJ595-1)*100),"NA",IF(((FL595/FJ595-1)*100)&gt;100,"NM",IF(((FL595/FJ595-1)*100)&lt;-50,"NM",(FL595/FJ595-1)*100)))</f>
        <v>0</v>
      </c>
      <c r="FN595" s="365">
        <v>50</v>
      </c>
      <c r="FO595" s="61">
        <f>IF(ISERROR((FN595/FL595-1)*100),"NA",IF(((FN595/FL595-1)*100)&gt;100,"NM",IF(((FN595/FL595-1)*100)&lt;-50,"NM",(FN595/FL595-1)*100)))</f>
        <v>0</v>
      </c>
      <c r="FP595" s="75">
        <v>50</v>
      </c>
      <c r="FQ595" s="61">
        <f t="shared" si="3354"/>
        <v>0</v>
      </c>
      <c r="FR595" s="75">
        <v>25</v>
      </c>
      <c r="FS595" s="61">
        <f>IF(ISERROR((FR595/FP595-1)*100),"NA",IF(((FR595/FP595-1)*100)&gt;100,"NM",IF(((FR595/FP595-1)*100)&lt;-50,"NM",(FR595/FP595-1)*100)))</f>
        <v>-50</v>
      </c>
      <c r="FT595" s="75">
        <v>25</v>
      </c>
      <c r="FU595" s="61">
        <f>IF(ISERROR((FT595/FR595-1)*100),"NA",IF(((FT595/FR595-1)*100)&gt;100,"NM",IF(((FT595/FR595-1)*100)&lt;-50,"NM",(FT595/FR595-1)*100)))</f>
        <v>0</v>
      </c>
      <c r="FV595" s="75">
        <v>25</v>
      </c>
      <c r="FW595" s="61">
        <f>IF(ISERROR((FV595/FT595-1)*100),"NA",IF(((FV595/FT595-1)*100)&gt;100,"NM",IF(((FV595/FT595-1)*100)&lt;-50,"NM",(FV595/FT595-1)*100)))</f>
        <v>0</v>
      </c>
      <c r="FX595" s="74">
        <v>25</v>
      </c>
      <c r="FY595" s="61">
        <f>IF(ISERROR((FX595/FV595-1)*100),"NA",IF(((FX595/FV595-1)*100)&gt;100,"NM",IF(((FX595/FV595-1)*100)&lt;-50,"NM",(FX595/FV595-1)*100)))</f>
        <v>0</v>
      </c>
      <c r="FZ595" s="74">
        <v>25</v>
      </c>
      <c r="GA595" s="61">
        <f>IF(ISERROR((FZ595/FX595-1)*100),"NA",IF(((FZ595/FX595-1)*100)&gt;100,"NM",IF(((FZ595/FX595-1)*100)&lt;-50,"NM",(FZ595/FX595-1)*100)))</f>
        <v>0</v>
      </c>
      <c r="GB595" s="74">
        <v>25</v>
      </c>
      <c r="GC595" s="61">
        <f>IF(ISERROR((GB595/FZ595-1)*100),"NA",IF(((GB595/FZ595-1)*100)&gt;100,"NM",IF(((GB595/FZ595-1)*100)&lt;-50,"NM",(GB595/FZ595-1)*100)))</f>
        <v>0</v>
      </c>
      <c r="GD595" s="74">
        <v>25</v>
      </c>
      <c r="GE595" s="61">
        <f>IF(ISERROR((GD595/GB595-1)*100),"NA",IF(((GD595/GB595-1)*100)&gt;100,"NM",IF(((GD595/GB595-1)*100)&lt;-50,"NM",(GD595/GB595-1)*100)))</f>
        <v>0</v>
      </c>
      <c r="GF595" s="74">
        <v>50</v>
      </c>
      <c r="GG595" s="61">
        <f>IF(ISERROR((GF595/GD595-1)*100),"NA",IF(((GF595/GD595-1)*100)&gt;100,"NM",IF(((GF595/GD595-1)*100)&lt;-50,"NM",(GF595/GD595-1)*100)))</f>
        <v>100</v>
      </c>
      <c r="GH595" s="74">
        <v>50</v>
      </c>
      <c r="GI595" s="61">
        <f>IF(ISERROR((GH595/GF595-1)*100),"NA",IF(((GH595/GF595-1)*100)&gt;100,"NM",IF(((GH595/GF595-1)*100)&lt;-50,"NM",(GH595/GF595-1)*100)))</f>
        <v>0</v>
      </c>
      <c r="GJ595" s="74">
        <v>50</v>
      </c>
      <c r="GK595" s="61">
        <f>IF(ISERROR((GJ595/GH595-1)*100),"NA",IF(((GJ595/GH595-1)*100)&gt;100,"NM",IF(((GJ595/GH595-1)*100)&lt;-50,"NM",(GJ595/GH595-1)*100)))</f>
        <v>0</v>
      </c>
      <c r="GL595" s="74">
        <v>50</v>
      </c>
      <c r="GM595" s="61">
        <f>IF(ISERROR((GL595/GJ595-1)*100),"NA",IF(((GL595/GJ595-1)*100)&gt;100,"NM",IF(((GL595/GJ595-1)*100)&lt;-50,"NM",(GL595/GJ595-1)*100)))</f>
        <v>0</v>
      </c>
      <c r="GN595" s="74">
        <v>50</v>
      </c>
      <c r="GO595" s="61">
        <f>IF(ISERROR((GN595/GL595-1)*100),"NA",IF(((GN595/GL595-1)*100)&gt;100,"NM",IF(((GN595/GL595-1)*100)&lt;-50,"NM",(GN595/GL595-1)*100)))</f>
        <v>0</v>
      </c>
      <c r="GP595" s="74">
        <v>50</v>
      </c>
      <c r="GQ595" s="61">
        <f>IF(ISERROR((GP595/GN595-1)*100),"NA",IF(((GP595/GN595-1)*100)&gt;100,"NM",IF(((GP595/GN595-1)*100)&lt;-50,"NM",(GP595/GN595-1)*100)))</f>
        <v>0</v>
      </c>
      <c r="GR595" s="74">
        <v>50</v>
      </c>
      <c r="GS595" s="61">
        <f>IF(ISERROR((GR595/GP595-1)*100),"NA",IF(((GR595/GP595-1)*100)&gt;100,"NM",IF(((GR595/GP595-1)*100)&lt;-50,"NM",(GR595/GP595-1)*100)))</f>
        <v>0</v>
      </c>
      <c r="GT595" s="74">
        <v>50</v>
      </c>
      <c r="GU595" s="61">
        <f>IF(ISERROR((GT595/GR595-1)*100),"NA",IF(((GT595/GR595-1)*100)&gt;100,"NM",IF(((GT595/GR595-1)*100)&lt;-50,"NM",(GT595/GR595-1)*100)))</f>
        <v>0</v>
      </c>
      <c r="GV595" s="74">
        <v>50</v>
      </c>
      <c r="GW595" s="61">
        <f>IF(ISERROR((GV595/GT595-1)*100),"NA",IF(((GV595/GT595-1)*100)&gt;100,"NM",IF(((GV595/GT595-1)*100)&lt;-50,"NM",(GV595/GT595-1)*100)))</f>
        <v>0</v>
      </c>
      <c r="GX595" s="74">
        <v>50</v>
      </c>
      <c r="GY595" s="61">
        <f>IF(ISERROR((GX595/GV595-1)*100),"NA",IF(((GX595/GV595-1)*100)&gt;100,"NM",IF(((GX595/GV595-1)*100)&lt;-50,"NM",(GX595/GV595-1)*100)))</f>
        <v>0</v>
      </c>
      <c r="GZ595" s="61">
        <f t="shared" si="3330"/>
        <v>0</v>
      </c>
      <c r="HA595" s="61"/>
      <c r="HB595" s="452"/>
      <c r="HC595"/>
      <c r="HD595"/>
      <c r="HE595"/>
      <c r="HF595"/>
      <c r="HG595"/>
      <c r="HH595"/>
    </row>
    <row r="596" spans="1:216" s="7" customFormat="1" ht="12.75" customHeight="1" x14ac:dyDescent="0.2">
      <c r="A596" s="11"/>
      <c r="B596" s="7" t="s">
        <v>656</v>
      </c>
      <c r="C596" s="359">
        <v>0</v>
      </c>
      <c r="D596" s="70"/>
      <c r="E596" s="359">
        <v>0</v>
      </c>
      <c r="F596" s="71"/>
      <c r="G596" s="359">
        <v>0</v>
      </c>
      <c r="H596" s="71"/>
      <c r="I596" s="359">
        <v>0</v>
      </c>
      <c r="J596" s="71"/>
      <c r="K596" s="359">
        <v>0</v>
      </c>
      <c r="L596" s="61" t="str">
        <f>IF(ISERROR((K596/C596-1)*100),"NA",IF(((K596/C596-1)*100)&gt;100,"NM",IF(((K596/C596-1)*100)&lt;-50,"NM",(K596/C596-1)*100)))</f>
        <v>NA</v>
      </c>
      <c r="M596" s="359">
        <v>0</v>
      </c>
      <c r="N596" s="61" t="str">
        <f>IF(ISERROR((M596/E596-1)*100),"NA",IF(((M596/E596-1)*100)&gt;100,"NM",IF(((M596/E596-1)*100)&lt;-50,"NM",(M596/E596-1)*100)))</f>
        <v>NA</v>
      </c>
      <c r="O596" s="359">
        <v>0</v>
      </c>
      <c r="P596" s="61" t="str">
        <f>IF(ISERROR((O596/G596-1)*100),"NA",IF(((O596/G596-1)*100)&gt;100,"NM",IF(((O596/G596-1)*100)&lt;-50,"NM",(O596/G596-1)*100)))</f>
        <v>NA</v>
      </c>
      <c r="Q596" s="359">
        <v>0</v>
      </c>
      <c r="R596" s="61" t="str">
        <f>IF(ISERROR((Q596/I596-1)*100),"NA",IF(((Q596/I596-1)*100)&gt;100,"NM",IF(((Q596/I596-1)*100)&lt;-50,"NM",(Q596/I596-1)*100)))</f>
        <v>NA</v>
      </c>
      <c r="S596" s="359">
        <v>0</v>
      </c>
      <c r="T596" s="61" t="str">
        <f>IF(ISERROR((S596/K596-1)*100),"NA",IF(((S596/K596-1)*100)&gt;100,"NM",IF(((S596/K596-1)*100)&lt;-50,"NM",(S596/K596-1)*100)))</f>
        <v>NA</v>
      </c>
      <c r="U596" s="359">
        <v>0</v>
      </c>
      <c r="V596" s="61" t="str">
        <f>IF(ISERROR((U596/M596-1)*100),"NA",IF(((U596/M596-1)*100)&gt;100,"NM",IF(((U596/M596-1)*100)&lt;-50,"NM",(U596/M596-1)*100)))</f>
        <v>NA</v>
      </c>
      <c r="W596" s="359">
        <v>0</v>
      </c>
      <c r="X596" s="61" t="str">
        <f>IF(ISERROR((W596/O596-1)*100),"NA",IF(((W596/O596-1)*100)&gt;100,"NM",IF(((W596/O596-1)*100)&lt;-50,"NM",(W596/O596-1)*100)))</f>
        <v>NA</v>
      </c>
      <c r="Y596" s="359">
        <v>0</v>
      </c>
      <c r="Z596" s="61" t="str">
        <f>IF(ISERROR((Y596/Q596-1)*100),"NA",IF(((Y596/Q596-1)*100)&gt;100,"NM",IF(((Y596/Q596-1)*100)&lt;-50,"NM",(Y596/Q596-1)*100)))</f>
        <v>NA</v>
      </c>
      <c r="AA596" s="359">
        <v>0</v>
      </c>
      <c r="AB596" s="61" t="str">
        <f>IF(ISERROR((AA596/S596-1)*100),"NA",IF(((AA596/S596-1)*100)&gt;100,"NM",IF(((AA596/S596-1)*100)&lt;-50,"NM",(AA596/S596-1)*100)))</f>
        <v>NA</v>
      </c>
      <c r="AC596" s="359">
        <v>0</v>
      </c>
      <c r="AD596" s="61" t="str">
        <f>IF(ISERROR((AC596/U596-1)*100),"NA",IF(((AC596/U596-1)*100)&gt;100,"NM",IF(((AC596/U596-1)*100)&lt;-50,"NM",(AC596/U596-1)*100)))</f>
        <v>NA</v>
      </c>
      <c r="AE596" s="359">
        <v>0</v>
      </c>
      <c r="AF596" s="61" t="str">
        <f>IF(ISERROR((AE596/W596-1)*100),"NA",IF(((AE596/W596-1)*100)&gt;100,"NM",IF(((AE596/W596-1)*100)&lt;-50,"NM",(AE596/W596-1)*100)))</f>
        <v>NA</v>
      </c>
      <c r="AG596" s="359">
        <v>0</v>
      </c>
      <c r="AH596" s="61" t="str">
        <f>IF(ISERROR((AG596/Y596-1)*100),"NA",IF(((AG596/Y596-1)*100)&gt;100,"NM",IF(((AG596/Y596-1)*100)&lt;-50,"NM",(AG596/Y596-1)*100)))</f>
        <v>NA</v>
      </c>
      <c r="AI596" s="359">
        <v>0</v>
      </c>
      <c r="AJ596" s="61" t="str">
        <f>IF(ISERROR((AI596/AA596-1)*100),"NA",IF(((AI596/AA596-1)*100)&gt;100,"NM",IF(((AI596/AA596-1)*100)&lt;-50,"NM",(AI596/AA596-1)*100)))</f>
        <v>NA</v>
      </c>
      <c r="AK596" s="359">
        <v>0</v>
      </c>
      <c r="AL596" s="61" t="str">
        <f>IF(ISERROR((AK596/AC596-1)*100),"NA",IF(((AK596/AC596-1)*100)&gt;100,"NM",IF(((AK596/AC596-1)*100)&lt;-50,"NM",(AK596/AC596-1)*100)))</f>
        <v>NA</v>
      </c>
      <c r="AM596" s="359">
        <v>0</v>
      </c>
      <c r="AN596" s="61" t="str">
        <f>IF(ISERROR((AM596/AE596-1)*100),"NA",IF(((AM596/AE596-1)*100)&gt;100,"NM",IF(((AM596/AE596-1)*100)&lt;-50,"NM",(AM596/AE596-1)*100)))</f>
        <v>NA</v>
      </c>
      <c r="AO596" s="359">
        <v>0</v>
      </c>
      <c r="AP596" s="61" t="str">
        <f>IF(ISERROR((AO596/AG596-1)*100),"NA",IF(((AO596/AG596-1)*100)&gt;100,"NM",IF(((AO596/AG596-1)*100)&lt;-50,"NM",(AO596/AG596-1)*100)))</f>
        <v>NA</v>
      </c>
      <c r="AQ596" s="359">
        <v>0</v>
      </c>
      <c r="AR596" s="61"/>
      <c r="AS596" s="359">
        <v>0</v>
      </c>
      <c r="AT596" s="61"/>
      <c r="AU596" s="359">
        <v>0</v>
      </c>
      <c r="AV596" s="61"/>
      <c r="AW596" s="359">
        <v>0</v>
      </c>
      <c r="AX596" s="61"/>
      <c r="AY596" s="148">
        <v>0</v>
      </c>
      <c r="AZ596" s="61"/>
      <c r="BA596" s="148">
        <v>0</v>
      </c>
      <c r="BB596" s="61"/>
      <c r="BC596" s="148">
        <v>0</v>
      </c>
      <c r="BD596" s="61"/>
      <c r="BE596" s="148">
        <v>0</v>
      </c>
      <c r="BF596" s="61"/>
      <c r="BG596" s="148">
        <v>0</v>
      </c>
      <c r="BH596" s="61"/>
      <c r="BI596" s="148">
        <v>0</v>
      </c>
      <c r="BJ596" s="61"/>
      <c r="BK596" s="148">
        <v>0</v>
      </c>
      <c r="BL596" s="61"/>
      <c r="BM596" s="148">
        <v>0</v>
      </c>
      <c r="BN596" s="61"/>
      <c r="BO596" s="148">
        <v>0</v>
      </c>
      <c r="BP596" s="61"/>
      <c r="BQ596" s="796">
        <v>140</v>
      </c>
      <c r="BR596" s="61"/>
      <c r="BS596" s="148">
        <v>0</v>
      </c>
      <c r="BT596" s="61"/>
      <c r="BU596" s="148">
        <v>0</v>
      </c>
      <c r="BV596" s="61"/>
      <c r="BW596" s="148">
        <f>BW593*BW594</f>
        <v>0</v>
      </c>
      <c r="BX596" s="61" t="str">
        <f>IF(ISERROR((BW596/BO596-1)*100),"NA",IF(((BW596/BO596-1)*100)&gt;100,"NM",IF(((BW596/BO596-1)*100)&lt;-50,"NM",(BW596/BO596-1)*100)))</f>
        <v>NA</v>
      </c>
      <c r="BY596" s="148">
        <f>BY593*BY594</f>
        <v>690</v>
      </c>
      <c r="BZ596" s="61" t="str">
        <f>IF(ISERROR((BY596/BQ596-1)*100),"NA",IF(((BY596/BQ596-1)*100)&gt;100,"NM",IF(((BY596/BQ596-1)*100)&lt;-50,"NM",(BY596/BQ596-1)*100)))</f>
        <v>NM</v>
      </c>
      <c r="CA596" s="148">
        <f>CA593*CA594</f>
        <v>0</v>
      </c>
      <c r="CB596" s="61" t="str">
        <f>IF(ISERROR((CA596/BS596-1)*100),"NA",IF(((CA596/BS596-1)*100)&gt;100,"NM",IF(((CA596/BS596-1)*100)&lt;-50,"NM",(CA596/BS596-1)*100)))</f>
        <v>NA</v>
      </c>
      <c r="CC596" s="148">
        <f>CC593*CC594</f>
        <v>0</v>
      </c>
      <c r="CD596" s="61" t="str">
        <f>IF(ISERROR((CC596/BU596-1)*100),"NA",IF(((CC596/BU596-1)*100)&gt;100,"NM",IF(((CC596/BU596-1)*100)&lt;-50,"NM",(CC596/BU596-1)*100)))</f>
        <v>NA</v>
      </c>
      <c r="CE596" s="148">
        <f>CE593*CE594</f>
        <v>0</v>
      </c>
      <c r="CF596" s="61" t="str">
        <f>IF(ISERROR((CE596/BW596-1)*100),"NA",IF(((CE596/BW596-1)*100)&gt;100,"NM",IF(((CE596/BW596-1)*100)&lt;-50,"NM",(CE596/BW596-1)*100)))</f>
        <v>NA</v>
      </c>
      <c r="CG596" s="148">
        <f>CG593*CG594</f>
        <v>385.315</v>
      </c>
      <c r="CH596" s="61">
        <f>IF(ISERROR((CG596/BY596-1)*100),"NA",IF(((CG596/BY596-1)*100)&gt;100,"NM",IF(((CG596/BY596-1)*100)&lt;-50,"NM",(CG596/BY596-1)*100)))</f>
        <v>-44.157246376811599</v>
      </c>
      <c r="CI596" s="148">
        <f>CI593*CI594</f>
        <v>0</v>
      </c>
      <c r="CJ596" s="61" t="str">
        <f>IF(ISERROR((CI596/CA596-1)*100),"NA",IF(((CI596/CA596-1)*100)&gt;100,"NM",IF(((CI596/CA596-1)*100)&lt;-50,"NM",(CI596/CA596-1)*100)))</f>
        <v>NA</v>
      </c>
      <c r="CK596" s="148">
        <f>CK593*CK594</f>
        <v>0</v>
      </c>
      <c r="CL596" s="61" t="str">
        <f>IF(ISERROR((CK596/CC596-1)*100),"NA",IF(((CK596/CC596-1)*100)&gt;100,"NM",IF(((CK596/CC596-1)*100)&lt;-50,"NM",(CK596/CC596-1)*100)))</f>
        <v>NA</v>
      </c>
      <c r="CM596" s="151">
        <f>CM593*CM594</f>
        <v>0</v>
      </c>
      <c r="CN596" s="13" t="str">
        <f>IF(ISERROR((CM596/CE596-1)*100),"NA",IF(((CM596/CE596-1)*100)&gt;100,"NM",IF(((CM596/CE596-1)*100)&lt;-50,"NM",(CM596/CE596-1)*100)))</f>
        <v>NA</v>
      </c>
      <c r="CO596" s="151">
        <f>CO593*CO594</f>
        <v>0</v>
      </c>
      <c r="CP596" s="13" t="str">
        <f>IF(ISERROR((CO596/CG596-1)*100),"NA",IF(((CO596/CG596-1)*100)&gt;100,"NM",IF(((CO596/CG596-1)*100)&lt;-50,"NM",(CO596/CG596-1)*100)))</f>
        <v>NM</v>
      </c>
      <c r="CQ596" s="151">
        <f>CQ593*CQ594</f>
        <v>0</v>
      </c>
      <c r="CR596" s="13" t="str">
        <f>IF(ISERROR((CQ596/CI596-1)*100),"NA",IF(((CQ596/CI596-1)*100)&gt;100,"NM",IF(((CQ596/CI596-1)*100)&lt;-50,"NM",(CQ596/CI596-1)*100)))</f>
        <v>NA</v>
      </c>
      <c r="CS596" s="151">
        <f>CS593*CS594</f>
        <v>0</v>
      </c>
      <c r="CT596" s="13" t="str">
        <f>IF(ISERROR((CS596/CK596-1)*100),"NA",IF(((CS596/CK596-1)*100)&gt;100,"NM",IF(((CS596/CK596-1)*100)&lt;-50,"NM",(CS596/CK596-1)*100)))</f>
        <v>NA</v>
      </c>
      <c r="CU596" s="151">
        <f>CU593*CU594</f>
        <v>0</v>
      </c>
      <c r="CV596" s="13" t="str">
        <f>IF(ISERROR((CU596/CM596-1)*100),"NA",IF(((CU596/CM596-1)*100)&gt;100,"NM",IF(((CU596/CM596-1)*100)&lt;-50,"NM",(CU596/CM596-1)*100)))</f>
        <v>NA</v>
      </c>
      <c r="CW596" s="151">
        <f>CW593*CW594</f>
        <v>0</v>
      </c>
      <c r="CX596" s="13" t="str">
        <f>IF(ISERROR((CW596/CO596-1)*100),"NA",IF(((CW596/CO596-1)*100)&gt;100,"NM",IF(((CW596/CO596-1)*100)&lt;-50,"NM",(CW596/CO596-1)*100)))</f>
        <v>NA</v>
      </c>
      <c r="CY596" s="151">
        <f>CY593*CY594</f>
        <v>0</v>
      </c>
      <c r="CZ596" s="13" t="str">
        <f>IF(ISERROR((CY596/CQ596-1)*100),"NA",IF(((CY596/CQ596-1)*100)&gt;100,"NM",IF(((CY596/CQ596-1)*100)&lt;-50,"NM",(CY596/CQ596-1)*100)))</f>
        <v>NA</v>
      </c>
      <c r="DA596" s="151">
        <f>DA593*DA594</f>
        <v>0</v>
      </c>
      <c r="DB596" s="13" t="str">
        <f>IF(ISERROR((DA596/CS596-1)*100),"NA",IF(((DA596/CS596-1)*100)&gt;100,"NM",IF(((DA596/CS596-1)*100)&lt;-50,"NM",(DA596/CS596-1)*100)))</f>
        <v>NA</v>
      </c>
      <c r="DC596" s="151">
        <f>DC593*DC594</f>
        <v>0</v>
      </c>
      <c r="DD596" s="13" t="str">
        <f>IF(ISERROR((DC596/CU596-1)*100),"NA",IF(((DC596/CU596-1)*100)&gt;100,"NM",IF(((DC596/CU596-1)*100)&lt;-50,"NM",(DC596/CU596-1)*100)))</f>
        <v>NA</v>
      </c>
      <c r="DE596" s="151">
        <f>DE593*DE594</f>
        <v>0</v>
      </c>
      <c r="DF596" s="13" t="str">
        <f>IF(ISERROR((DE596/CW596-1)*100),"NA",IF(((DE596/CW596-1)*100)&gt;100,"NM",IF(((DE596/CW596-1)*100)&lt;-50,"NM",(DE596/CW596-1)*100)))</f>
        <v>NA</v>
      </c>
      <c r="DG596" s="151">
        <f>DG593*DG594</f>
        <v>0</v>
      </c>
      <c r="DH596" s="13" t="str">
        <f>IF(ISERROR((DG596/CY596-1)*100),"NA",IF(((DG596/CY596-1)*100)&gt;100,"NM",IF(((DG596/CY596-1)*100)&lt;-50,"NM",(DG596/CY596-1)*100)))</f>
        <v>NA</v>
      </c>
      <c r="DI596" s="151">
        <f>DI593*DI594</f>
        <v>0</v>
      </c>
      <c r="DJ596" s="13" t="str">
        <f>IF(ISERROR((DI596/DA596-1)*100),"NA",IF(((DI596/DA596-1)*100)&gt;100,"NM",IF(((DI596/DA596-1)*100)&lt;-50,"NM",(DI596/DA596-1)*100)))</f>
        <v>NA</v>
      </c>
      <c r="DK596" s="151">
        <f>DK593*DK594</f>
        <v>0</v>
      </c>
      <c r="DL596" s="13" t="str">
        <f>IF(ISERROR((DK596/DC596-1)*100),"NA",IF(((DK596/DC596-1)*100)&gt;100,"NM",IF(((DK596/DC596-1)*100)&lt;-50,"NM",(DK596/DC596-1)*100)))</f>
        <v>NA</v>
      </c>
      <c r="DM596" s="151">
        <f>DM593*DM594</f>
        <v>0</v>
      </c>
      <c r="DN596" s="130" t="str">
        <f t="shared" si="3362"/>
        <v>NA</v>
      </c>
      <c r="DO596" s="151">
        <f>DO593*DO594</f>
        <v>0</v>
      </c>
      <c r="DP596" s="130" t="str">
        <f t="shared" si="3362"/>
        <v>NA</v>
      </c>
      <c r="DQ596" s="151">
        <f>DQ593*DQ594</f>
        <v>0</v>
      </c>
      <c r="DR596" s="130" t="str">
        <f t="shared" si="3362"/>
        <v>NA</v>
      </c>
      <c r="DS596" s="151">
        <f>DS593*DS594</f>
        <v>0</v>
      </c>
      <c r="DT596" s="130" t="str">
        <f t="shared" si="3362"/>
        <v>NA</v>
      </c>
      <c r="DU596" s="151">
        <f>DU593*DU594</f>
        <v>0</v>
      </c>
      <c r="DV596" s="130" t="str">
        <f t="shared" si="3362"/>
        <v>NA</v>
      </c>
      <c r="DW596" s="151">
        <f>DW593*DW594</f>
        <v>0</v>
      </c>
      <c r="DX596" s="151">
        <f t="shared" ref="DX596:DY596" si="3382">DX593*DX594</f>
        <v>0</v>
      </c>
      <c r="DY596" s="151">
        <f t="shared" si="3382"/>
        <v>0</v>
      </c>
      <c r="DZ596" s="130" t="str">
        <f t="shared" si="3362"/>
        <v>NA</v>
      </c>
      <c r="EA596" s="151">
        <f t="shared" ref="EA596:EC596" si="3383">EA593*EA594</f>
        <v>0</v>
      </c>
      <c r="EB596" s="130" t="str">
        <f t="shared" si="3363"/>
        <v>NA</v>
      </c>
      <c r="EC596" s="151">
        <f t="shared" si="3383"/>
        <v>0</v>
      </c>
      <c r="ED596" s="130" t="str">
        <f t="shared" si="3364"/>
        <v>NA</v>
      </c>
      <c r="EE596" s="151">
        <f t="shared" ref="EE596:EG596" si="3384">EE593*EE594</f>
        <v>0</v>
      </c>
      <c r="EF596" s="130" t="str">
        <f t="shared" si="3365"/>
        <v>NA</v>
      </c>
      <c r="EG596" s="151">
        <f t="shared" si="3384"/>
        <v>0</v>
      </c>
      <c r="EH596" s="130" t="str">
        <f t="shared" si="3366"/>
        <v>NA</v>
      </c>
      <c r="EI596" s="151">
        <f t="shared" ref="EI596" si="3385">EI593*EI594</f>
        <v>0</v>
      </c>
      <c r="EJ596" s="130" t="str">
        <f t="shared" si="3367"/>
        <v>NA</v>
      </c>
      <c r="EK596" s="151">
        <f t="shared" ref="EK596:EM596" si="3386">EK593*EK594</f>
        <v>0</v>
      </c>
      <c r="EL596" s="130" t="str">
        <f t="shared" si="3368"/>
        <v>NA</v>
      </c>
      <c r="EM596" s="151">
        <f t="shared" si="3386"/>
        <v>0</v>
      </c>
      <c r="EN596" s="130" t="str">
        <f t="shared" si="3369"/>
        <v>NA</v>
      </c>
      <c r="EO596" s="151">
        <f t="shared" ref="EO596" si="3387">EO593*EO594</f>
        <v>0</v>
      </c>
      <c r="EP596" s="130" t="str">
        <f t="shared" si="3370"/>
        <v>NA</v>
      </c>
      <c r="EQ596" s="151">
        <f t="shared" ref="EQ596:EW596" si="3388">EQ593*EQ594</f>
        <v>0</v>
      </c>
      <c r="ER596" s="130" t="str">
        <f t="shared" si="3371"/>
        <v>NA</v>
      </c>
      <c r="ES596" s="151">
        <f t="shared" si="3388"/>
        <v>0</v>
      </c>
      <c r="ET596" s="130" t="str">
        <f t="shared" si="3372"/>
        <v>NA</v>
      </c>
      <c r="EU596" s="151">
        <f t="shared" si="3388"/>
        <v>15.177686845566393</v>
      </c>
      <c r="EV596" s="130" t="str">
        <f t="shared" si="3373"/>
        <v>NA</v>
      </c>
      <c r="EW596" s="151">
        <f t="shared" si="3388"/>
        <v>15.419365582477724</v>
      </c>
      <c r="EX596" s="130" t="str">
        <f t="shared" si="3374"/>
        <v>NA</v>
      </c>
      <c r="EY596" s="15"/>
      <c r="EZ596" s="558"/>
      <c r="FA596" s="15"/>
      <c r="FB596" s="15">
        <v>0</v>
      </c>
      <c r="FC596" s="366"/>
      <c r="FD596" s="15">
        <v>0</v>
      </c>
      <c r="FE596" s="223" t="str">
        <f>IF(ISERROR((FD596/FB596-1)*100),"NA",IF(((FD596/FB596-1)*100)&gt;100,"NM",IF(((FD596/FB596-1)*100)&lt;-50,"NM",(FD596/FB596-1)*100)))</f>
        <v>NA</v>
      </c>
      <c r="FF596" s="15">
        <v>0</v>
      </c>
      <c r="FG596" s="223" t="str">
        <f>IF(ISERROR((FF596/FD596-1)*100),"NA",IF(((FF596/FD596-1)*100)&gt;100,"NM",IF(((FF596/FD596-1)*100)&lt;-50,"NM",(FF596/FD596-1)*100)))</f>
        <v>NA</v>
      </c>
      <c r="FH596" s="15">
        <v>0</v>
      </c>
      <c r="FI596" s="223" t="str">
        <f>IF(ISERROR((FH596/FF596-1)*100),"NA",IF(((FH596/FF596-1)*100)&gt;100,"NM",IF(((FH596/FF596-1)*100)&lt;-50,"NM",(FH596/FF596-1)*100)))</f>
        <v>NA</v>
      </c>
      <c r="FJ596" s="15">
        <v>0</v>
      </c>
      <c r="FK596" s="223" t="str">
        <f>IF(ISERROR((FJ596/FH596-1)*100),"NA",IF(((FJ596/FH596-1)*100)&gt;100,"NM",IF(((FJ596/FH596-1)*100)&lt;-50,"NM",(FJ596/FH596-1)*100)))</f>
        <v>NA</v>
      </c>
      <c r="FL596" s="15">
        <v>0</v>
      </c>
      <c r="FM596" s="223" t="str">
        <f>IF(ISERROR((FL596/FJ596-1)*100),"NA",IF(((FL596/FJ596-1)*100)&gt;100,"NM",IF(((FL596/FJ596-1)*100)&lt;-50,"NM",(FL596/FJ596-1)*100)))</f>
        <v>NA</v>
      </c>
      <c r="FN596" s="15">
        <v>0</v>
      </c>
      <c r="FO596" s="223" t="str">
        <f>IF(ISERROR((FN596/FL596-1)*100),"NA",IF(((FN596/FL596-1)*100)&gt;100,"NM",IF(((FN596/FL596-1)*100)&lt;-50,"NM",(FN596/FL596-1)*100)))</f>
        <v>NA</v>
      </c>
      <c r="FP596" s="151">
        <v>0</v>
      </c>
      <c r="FQ596" s="61"/>
      <c r="FR596" s="151">
        <f>AY596+BA596+BC596+BE596</f>
        <v>0</v>
      </c>
      <c r="FS596" s="61" t="str">
        <f>IF(ISERROR((FR596/FP596-1)*100),"NA",IF(((FR596/FP596-1)*100)&gt;100,"NM",IF(((FR596/FP596-1)*100)&lt;-50,"NM",(FR596/FP596-1)*100)))</f>
        <v>NA</v>
      </c>
      <c r="FT596" s="151">
        <f>BG596+BI596+BK596+BM596</f>
        <v>0</v>
      </c>
      <c r="FU596" s="61" t="str">
        <f>IF(ISERROR((FT596/FR596-1)*100),"NA",IF(((FT596/FR596-1)*100)&gt;100,"NM",IF(((FT596/FR596-1)*100)&lt;-50,"NM",(FT596/FR596-1)*100)))</f>
        <v>NA</v>
      </c>
      <c r="FV596" s="151">
        <f>BO596+BQ596+BS596+BU596</f>
        <v>140</v>
      </c>
      <c r="FW596" s="61" t="str">
        <f>IF(ISERROR((FV596/FT596-1)*100),"NA",IF(((FV596/FT596-1)*100)&gt;100,"NM",IF(((FV596/FT596-1)*100)&lt;-50,"NM",(FV596/FT596-1)*100)))</f>
        <v>NA</v>
      </c>
      <c r="FX596" s="75">
        <f>BW596+BY596+CA596+CC596</f>
        <v>690</v>
      </c>
      <c r="FY596" s="61" t="str">
        <f>IF(ISERROR((FX596/FV596-1)*100),"NA",IF(((FX596/FV596-1)*100)&gt;100,"NM",IF(((FX596/FV596-1)*100)&lt;-50,"NM",(FX596/FV596-1)*100)))</f>
        <v>NM</v>
      </c>
      <c r="FZ596" s="75">
        <f>CE596+CG596+CI596+CK596</f>
        <v>385.315</v>
      </c>
      <c r="GA596" s="61">
        <f>IF(ISERROR((FZ596/FX596-1)*100),"NA",IF(((FZ596/FX596-1)*100)&gt;100,"NM",IF(((FZ596/FX596-1)*100)&lt;-50,"NM",(FZ596/FX596-1)*100)))</f>
        <v>-44.157246376811599</v>
      </c>
      <c r="GB596" s="75">
        <f>CM596+CO596+CQ596+CS596</f>
        <v>0</v>
      </c>
      <c r="GC596" s="61" t="str">
        <f>IF(ISERROR((GB596/FZ596-1)*100),"NA",IF(((GB596/FZ596-1)*100)&gt;100,"NM",IF(((GB596/FZ596-1)*100)&lt;-50,"NM",(GB596/FZ596-1)*100)))</f>
        <v>NM</v>
      </c>
      <c r="GD596" s="75">
        <f>CU596+CW596+CY596+DA596</f>
        <v>0</v>
      </c>
      <c r="GE596" s="61" t="str">
        <f>IF(ISERROR((GD596/GB596-1)*100),"NA",IF(((GD596/GB596-1)*100)&gt;100,"NM",IF(((GD596/GB596-1)*100)&lt;-50,"NM",(GD596/GB596-1)*100)))</f>
        <v>NA</v>
      </c>
      <c r="GF596" s="75">
        <f>DC596+DE596+DG596+DI596</f>
        <v>0</v>
      </c>
      <c r="GG596" s="61" t="str">
        <f>IF(ISERROR((GF596/GD596-1)*100),"NA",IF(((GF596/GD596-1)*100)&gt;100,"NM",IF(((GF596/GD596-1)*100)&lt;-50,"NM",(GF596/GD596-1)*100)))</f>
        <v>NA</v>
      </c>
      <c r="GH596" s="75">
        <f>DK596+DM596+DO596+DQ596</f>
        <v>0</v>
      </c>
      <c r="GI596" s="61" t="str">
        <f>IF(ISERROR((GH596/GF596-1)*100),"NA",IF(((GH596/GF596-1)*100)&gt;100,"NM",IF(((GH596/GF596-1)*100)&lt;-50,"NM",(GH596/GF596-1)*100)))</f>
        <v>NA</v>
      </c>
      <c r="GJ596" s="75">
        <f>DS596+DU596+DW596+DY596</f>
        <v>0</v>
      </c>
      <c r="GK596" s="61" t="str">
        <f>IF(ISERROR((GJ596/GH596-1)*100),"NA",IF(((GJ596/GH596-1)*100)&gt;100,"NM",IF(((GJ596/GH596-1)*100)&lt;-50,"NM",(GJ596/GH596-1)*100)))</f>
        <v>NA</v>
      </c>
      <c r="GL596" s="75">
        <f>EA596+EC596+EE596+EG596</f>
        <v>0</v>
      </c>
      <c r="GM596" s="61" t="str">
        <f>IF(ISERROR((GL596/GJ596-1)*100),"NA",IF(((GL596/GJ596-1)*100)&gt;100,"NM",IF(((GL596/GJ596-1)*100)&lt;-50,"NM",(GL596/GJ596-1)*100)))</f>
        <v>NA</v>
      </c>
      <c r="GN596" s="75">
        <f>EI596+EK596+EM596+EO596</f>
        <v>0</v>
      </c>
      <c r="GO596" s="61" t="str">
        <f>IF(ISERROR((GN596/GL596-1)*100),"NA",IF(((GN596/GL596-1)*100)&gt;100,"NM",IF(((GN596/GL596-1)*100)&lt;-50,"NM",(GN596/GL596-1)*100)))</f>
        <v>NA</v>
      </c>
      <c r="GP596" s="75">
        <f>EQ596+ES596+EU596+EW596</f>
        <v>30.597052428044115</v>
      </c>
      <c r="GQ596" s="61" t="str">
        <f>IF(ISERROR((GP596/GN596-1)*100),"NA",IF(((GP596/GN596-1)*100)&gt;100,"NM",IF(((GP596/GN596-1)*100)&lt;-50,"NM",(GP596/GN596-1)*100)))</f>
        <v>NA</v>
      </c>
      <c r="GR596" s="151">
        <f>GR593*GR594</f>
        <v>31.998376180370869</v>
      </c>
      <c r="GS596" s="61">
        <f>IF(ISERROR((GR596/GP596-1)*100),"NA",IF(((GR596/GP596-1)*100)&gt;100,"NM",IF(((GR596/GP596-1)*100)&lt;-50,"NM",(GR596/GP596-1)*100)))</f>
        <v>4.5799305525337175</v>
      </c>
      <c r="GT596" s="151">
        <f>GT593*GT594</f>
        <v>33.980878274800546</v>
      </c>
      <c r="GU596" s="61">
        <f>IF(ISERROR((GT596/GR596-1)*100),"NA",IF(((GT596/GR596-1)*100)&gt;100,"NM",IF(((GT596/GR596-1)*100)&lt;-50,"NM",(GT596/GR596-1)*100)))</f>
        <v>6.1956334385675049</v>
      </c>
      <c r="GV596" s="151">
        <f>GV593*GV594</f>
        <v>36.075791096784585</v>
      </c>
      <c r="GW596" s="61">
        <f>IF(ISERROR((GV596/GT596-1)*100),"NA",IF(((GV596/GT596-1)*100)&gt;100,"NM",IF(((GV596/GT596-1)*100)&lt;-50,"NM",(GV596/GT596-1)*100)))</f>
        <v>6.1649755048785115</v>
      </c>
      <c r="GX596" s="151">
        <f>GX593*GX594</f>
        <v>38.288412349327352</v>
      </c>
      <c r="GY596" s="61">
        <f>IF(ISERROR((GX596/GV596-1)*100),"NA",IF(((GX596/GV596-1)*100)&gt;100,"NM",IF(((GX596/GV596-1)*100)&lt;-50,"NM",(GX596/GV596-1)*100)))</f>
        <v>6.1332577478528938</v>
      </c>
      <c r="GZ596" s="61" t="str">
        <f t="shared" si="3330"/>
        <v/>
      </c>
      <c r="HA596" s="61"/>
      <c r="HB596" s="452"/>
      <c r="HC596"/>
      <c r="HD596"/>
      <c r="HE596"/>
      <c r="HF596"/>
      <c r="HG596"/>
      <c r="HH596"/>
    </row>
    <row r="597" spans="1:216" s="5" customFormat="1" ht="12.75" customHeight="1" x14ac:dyDescent="0.2">
      <c r="A597" s="8"/>
      <c r="B597" s="7"/>
      <c r="C597" s="66"/>
      <c r="D597" s="107"/>
      <c r="E597" s="66"/>
      <c r="F597" s="64"/>
      <c r="G597" s="64"/>
      <c r="H597" s="64"/>
      <c r="I597" s="356"/>
      <c r="J597" s="64"/>
      <c r="K597" s="356"/>
      <c r="L597" s="61"/>
      <c r="M597" s="66"/>
      <c r="N597" s="61"/>
      <c r="O597" s="64"/>
      <c r="P597" s="61"/>
      <c r="Q597" s="64"/>
      <c r="R597" s="61"/>
      <c r="S597" s="64"/>
      <c r="T597" s="61"/>
      <c r="U597" s="356"/>
      <c r="V597" s="61"/>
      <c r="W597" s="64"/>
      <c r="X597" s="61"/>
      <c r="Y597" s="64"/>
      <c r="Z597" s="61"/>
      <c r="AA597" s="64"/>
      <c r="AB597" s="61"/>
      <c r="AC597" s="64"/>
      <c r="AD597" s="61"/>
      <c r="AE597" s="64"/>
      <c r="AF597" s="61"/>
      <c r="AG597" s="64"/>
      <c r="AH597" s="61"/>
      <c r="AI597" s="64"/>
      <c r="AJ597" s="61"/>
      <c r="AK597" s="64"/>
      <c r="AL597" s="61"/>
      <c r="AM597" s="64"/>
      <c r="AN597" s="61"/>
      <c r="AO597" s="64"/>
      <c r="AP597" s="61"/>
      <c r="AQ597" s="64"/>
      <c r="AR597" s="61"/>
      <c r="AS597" s="367"/>
      <c r="AT597" s="61"/>
      <c r="AU597" s="64"/>
      <c r="AV597" s="61"/>
      <c r="AW597" s="64"/>
      <c r="AX597" s="61"/>
      <c r="AY597" s="64"/>
      <c r="AZ597" s="61"/>
      <c r="BA597" s="64"/>
      <c r="BB597" s="61"/>
      <c r="BC597" s="64"/>
      <c r="BD597" s="61"/>
      <c r="BE597" s="64"/>
      <c r="BF597" s="61"/>
      <c r="BG597" s="64"/>
      <c r="BH597" s="61"/>
      <c r="BI597" s="64"/>
      <c r="BJ597" s="61"/>
      <c r="BK597" s="64"/>
      <c r="BL597" s="61"/>
      <c r="BM597" s="64"/>
      <c r="BN597" s="61"/>
      <c r="BO597" s="64"/>
      <c r="BP597" s="61"/>
      <c r="BQ597" s="64"/>
      <c r="BR597" s="61"/>
      <c r="BS597" s="64"/>
      <c r="BT597" s="61"/>
      <c r="BU597" s="64"/>
      <c r="BV597" s="61"/>
      <c r="BW597" s="356"/>
      <c r="BX597" s="61"/>
      <c r="BY597" s="356"/>
      <c r="BZ597" s="61"/>
      <c r="CA597" s="356"/>
      <c r="CB597" s="61"/>
      <c r="CC597" s="356"/>
      <c r="CD597" s="61"/>
      <c r="CE597" s="356"/>
      <c r="CF597" s="61"/>
      <c r="CG597" s="356"/>
      <c r="CH597" s="61"/>
      <c r="CI597" s="356"/>
      <c r="CJ597" s="61"/>
      <c r="CK597" s="356"/>
      <c r="CL597" s="61"/>
      <c r="CM597" s="356"/>
      <c r="CN597" s="61"/>
      <c r="CO597" s="356"/>
      <c r="CP597" s="61"/>
      <c r="CQ597" s="356"/>
      <c r="CR597" s="61"/>
      <c r="CS597" s="356"/>
      <c r="CT597" s="61"/>
      <c r="CU597" s="356"/>
      <c r="CV597" s="61"/>
      <c r="CW597" s="356"/>
      <c r="CX597" s="61"/>
      <c r="CY597" s="356"/>
      <c r="CZ597" s="61"/>
      <c r="DA597" s="356"/>
      <c r="DB597" s="61"/>
      <c r="DC597" s="356"/>
      <c r="DD597" s="61"/>
      <c r="DE597" s="356"/>
      <c r="DF597" s="61"/>
      <c r="DG597" s="356"/>
      <c r="DH597" s="61"/>
      <c r="DI597" s="356"/>
      <c r="DJ597" s="61"/>
      <c r="DK597" s="356"/>
      <c r="DL597" s="61"/>
      <c r="DM597" s="356"/>
      <c r="DN597" s="61"/>
      <c r="DO597" s="356"/>
      <c r="DP597" s="61"/>
      <c r="DQ597" s="356"/>
      <c r="DR597" s="61"/>
      <c r="DS597" s="356"/>
      <c r="DT597" s="61"/>
      <c r="DU597" s="356"/>
      <c r="DV597" s="61"/>
      <c r="DW597" s="356"/>
      <c r="DX597" s="356"/>
      <c r="DY597" s="356"/>
      <c r="DZ597" s="61"/>
      <c r="EA597" s="356"/>
      <c r="EB597" s="61"/>
      <c r="EC597" s="356"/>
      <c r="ED597" s="61"/>
      <c r="EE597" s="356"/>
      <c r="EF597" s="61"/>
      <c r="EG597" s="356"/>
      <c r="EH597" s="61"/>
      <c r="EI597" s="356"/>
      <c r="EJ597" s="61"/>
      <c r="EK597" s="356"/>
      <c r="EL597" s="61"/>
      <c r="EM597" s="356"/>
      <c r="EN597" s="61"/>
      <c r="EO597" s="356"/>
      <c r="EP597" s="61"/>
      <c r="EQ597" s="356"/>
      <c r="ER597" s="61"/>
      <c r="ES597" s="356"/>
      <c r="ET597" s="61"/>
      <c r="EU597" s="356"/>
      <c r="EV597" s="61"/>
      <c r="EW597" s="356"/>
      <c r="EX597" s="61"/>
      <c r="EY597" s="64"/>
      <c r="EZ597" s="558"/>
      <c r="FA597" s="64"/>
      <c r="FB597" s="356"/>
      <c r="FC597" s="64"/>
      <c r="FD597" s="64"/>
      <c r="FE597" s="107"/>
      <c r="FF597" s="356"/>
      <c r="FG597" s="107"/>
      <c r="FH597" s="356"/>
      <c r="FI597" s="107"/>
      <c r="FJ597" s="356"/>
      <c r="FK597" s="107"/>
      <c r="FL597" s="356"/>
      <c r="FM597" s="61"/>
      <c r="FN597" s="356"/>
      <c r="FO597" s="61"/>
      <c r="FP597" s="357"/>
      <c r="FQ597" s="61"/>
      <c r="FR597" s="357"/>
      <c r="FS597" s="61"/>
      <c r="FT597" s="357"/>
      <c r="FU597" s="61"/>
      <c r="FV597" s="357"/>
      <c r="FW597" s="61"/>
      <c r="FX597" s="357"/>
      <c r="FY597" s="61"/>
      <c r="FZ597" s="357"/>
      <c r="GA597" s="61"/>
      <c r="GB597" s="357"/>
      <c r="GC597" s="61"/>
      <c r="GD597" s="357"/>
      <c r="GE597" s="61"/>
      <c r="GF597" s="357"/>
      <c r="GG597" s="61"/>
      <c r="GH597" s="357"/>
      <c r="GI597" s="61"/>
      <c r="GJ597" s="357"/>
      <c r="GK597" s="61"/>
      <c r="GL597" s="357"/>
      <c r="GM597" s="61"/>
      <c r="GN597" s="357"/>
      <c r="GO597" s="61"/>
      <c r="GP597" s="357"/>
      <c r="GQ597" s="61"/>
      <c r="GR597" s="356"/>
      <c r="GS597" s="61"/>
      <c r="GT597" s="356"/>
      <c r="GU597" s="61"/>
      <c r="GV597" s="356"/>
      <c r="GW597" s="61"/>
      <c r="GX597" s="356"/>
      <c r="GY597" s="61"/>
      <c r="GZ597" s="61" t="str">
        <f t="shared" si="3330"/>
        <v/>
      </c>
      <c r="HA597" s="61"/>
      <c r="HB597" s="452"/>
      <c r="HC597"/>
      <c r="HD597"/>
      <c r="HE597"/>
      <c r="HF597"/>
      <c r="HG597"/>
      <c r="HH597"/>
    </row>
    <row r="598" spans="1:216" s="5" customFormat="1" ht="12.75" customHeight="1" x14ac:dyDescent="0.2">
      <c r="A598" s="5" t="s">
        <v>372</v>
      </c>
      <c r="B598" s="105" t="s">
        <v>657</v>
      </c>
      <c r="C598" s="72">
        <v>2.7959999999999998</v>
      </c>
      <c r="D598" s="70"/>
      <c r="E598" s="72">
        <v>2.3130000000000002</v>
      </c>
      <c r="F598" s="71"/>
      <c r="G598" s="368">
        <v>0</v>
      </c>
      <c r="H598" s="71"/>
      <c r="I598" s="72">
        <v>1.1000000000000001</v>
      </c>
      <c r="J598" s="71"/>
      <c r="K598" s="365">
        <v>3.6</v>
      </c>
      <c r="L598" s="61">
        <f>IF(ISERROR((K598/C598-1)*100),"NA",IF(((K598/C598-1)*100)&gt;100,"NM",IF(((K598/C598-1)*100)&lt;-50,"NM",(K598/C598-1)*100)))</f>
        <v>28.755364806866957</v>
      </c>
      <c r="M598" s="72">
        <v>0.75</v>
      </c>
      <c r="N598" s="61" t="str">
        <f>IF(ISERROR((M598/E598-1)*100),"NA",IF(((M598/E598-1)*100)&gt;100,"NM",IF(((M598/E598-1)*100)&lt;-50,"NM",(M598/E598-1)*100)))</f>
        <v>NM</v>
      </c>
      <c r="O598" s="368">
        <v>4.0839999999999996</v>
      </c>
      <c r="P598" s="61" t="str">
        <f>IF(ISERROR((O598/G598-1)*100),"NA",IF(((O598/G598-1)*100)&gt;100,"NM",IF(((O598/G598-1)*100)&lt;-50,"NM",(O598/G598-1)*100)))</f>
        <v>NA</v>
      </c>
      <c r="Q598" s="368">
        <v>2.8940000000000001</v>
      </c>
      <c r="R598" s="61" t="str">
        <f>IF(ISERROR((Q598/I598-1)*100),"NA",IF(((Q598/I598-1)*100)&gt;100,"NM",IF(((Q598/I598-1)*100)&lt;-50,"NM",(Q598/I598-1)*100)))</f>
        <v>NM</v>
      </c>
      <c r="S598" s="368">
        <v>1</v>
      </c>
      <c r="T598" s="61" t="str">
        <f>IF(ISERROR((S598/K598-1)*100),"NA",IF(((S598/K598-1)*100)&gt;100,"NM",IF(((S598/K598-1)*100)&lt;-50,"NM",(S598/K598-1)*100)))</f>
        <v>NM</v>
      </c>
      <c r="U598" s="369">
        <v>3.9</v>
      </c>
      <c r="V598" s="61" t="str">
        <f>IF(ISERROR((U598/M598-1)*100),"NA",IF(((U598/M598-1)*100)&gt;100,"NM",IF(((U598/M598-1)*100)&lt;-50,"NM",(U598/M598-1)*100)))</f>
        <v>NM</v>
      </c>
      <c r="W598" s="368">
        <v>7.2030000000000003</v>
      </c>
      <c r="X598" s="61">
        <f>IF(ISERROR((W598/O598-1)*100),"NA",IF(((W598/O598-1)*100)&gt;100,"NM",IF(((W598/O598-1)*100)&lt;-50,"NM",(W598/O598-1)*100)))</f>
        <v>76.371204701273271</v>
      </c>
      <c r="Y598" s="74">
        <v>0</v>
      </c>
      <c r="Z598" s="61" t="str">
        <f>IF(ISERROR((Y598/Q598-1)*100),"NA",IF(((Y598/Q598-1)*100)&gt;100,"NM",IF(((Y598/Q598-1)*100)&lt;-50,"NM",(Y598/Q598-1)*100)))</f>
        <v>NM</v>
      </c>
      <c r="AA598" s="74">
        <v>0</v>
      </c>
      <c r="AB598" s="61" t="str">
        <f>IF(ISERROR((AA598/S598-1)*100),"NA",IF(((AA598/S598-1)*100)&gt;100,"NM",IF(((AA598/S598-1)*100)&lt;-50,"NM",(AA598/S598-1)*100)))</f>
        <v>NM</v>
      </c>
      <c r="AC598" s="74">
        <v>0</v>
      </c>
      <c r="AD598" s="61" t="str">
        <f>IF(ISERROR((AC598/U598-1)*100),"NA",IF(((AC598/U598-1)*100)&gt;100,"NM",IF(((AC598/U598-1)*100)&lt;-50,"NM",(AC598/U598-1)*100)))</f>
        <v>NM</v>
      </c>
      <c r="AE598" s="74">
        <v>0</v>
      </c>
      <c r="AF598" s="61" t="str">
        <f>IF(ISERROR((AE598/W598-1)*100),"NA",IF(((AE598/W598-1)*100)&gt;100,"NM",IF(((AE598/W598-1)*100)&lt;-50,"NM",(AE598/W598-1)*100)))</f>
        <v>NM</v>
      </c>
      <c r="AG598" s="74">
        <v>0</v>
      </c>
      <c r="AH598" s="61" t="str">
        <f>IF(ISERROR((AG598/Y598-1)*100),"NA",IF(((AG598/Y598-1)*100)&gt;100,"NM",IF(((AG598/Y598-1)*100)&lt;-50,"NM",(AG598/Y598-1)*100)))</f>
        <v>NA</v>
      </c>
      <c r="AI598" s="368">
        <v>1.39</v>
      </c>
      <c r="AJ598" s="61" t="str">
        <f>IF(ISERROR((AI598/AA598-1)*100),"NA",IF(((AI598/AA598-1)*100)&gt;100,"NM",IF(((AI598/AA598-1)*100)&lt;-50,"NM",(AI598/AA598-1)*100)))</f>
        <v>NA</v>
      </c>
      <c r="AK598" s="368">
        <v>3.226</v>
      </c>
      <c r="AL598" s="61" t="str">
        <f>IF(ISERROR((AK598/AC598-1)*100),"NA",IF(((AK598/AC598-1)*100)&gt;100,"NM",IF(((AK598/AC598-1)*100)&lt;-50,"NM",(AK598/AC598-1)*100)))</f>
        <v>NA</v>
      </c>
      <c r="AM598" s="368">
        <v>1.6379999999999999</v>
      </c>
      <c r="AN598" s="61" t="str">
        <f>IF(ISERROR((AM598/AE598-1)*100),"NA",IF(((AM598/AE598-1)*100)&gt;100,"NM",IF(((AM598/AE598-1)*100)&lt;-50,"NM",(AM598/AE598-1)*100)))</f>
        <v>NA</v>
      </c>
      <c r="AO598" s="368">
        <v>1.379</v>
      </c>
      <c r="AP598" s="61" t="str">
        <f>IF(ISERROR((AO598/AG598-1)*100),"NA",IF(((AO598/AG598-1)*100)&gt;100,"NM",IF(((AO598/AG598-1)*100)&lt;-50,"NM",(AO598/AG598-1)*100)))</f>
        <v>NA</v>
      </c>
      <c r="AQ598" s="368">
        <v>0.755</v>
      </c>
      <c r="AR598" s="61">
        <f>IF(ISERROR((AQ598/AI598-1)*100),"NA",IF(((AQ598/AI598-1)*100)&gt;100,"NM",IF(((AQ598/AI598-1)*100)&lt;-50,"NM",(AQ598/AI598-1)*100)))</f>
        <v>-45.683453237410063</v>
      </c>
      <c r="AS598" s="368">
        <v>1.58</v>
      </c>
      <c r="AT598" s="61" t="str">
        <f>IF(ISERROR((AS598/AK598-1)*100),"NA",IF(((AS598/AK598-1)*100)&gt;100,"NM",IF(((AS598/AK598-1)*100)&lt;-50,"NM",(AS598/AK598-1)*100)))</f>
        <v>NM</v>
      </c>
      <c r="AU598" s="370">
        <v>0</v>
      </c>
      <c r="AV598" s="61" t="str">
        <f>IF(ISERROR((AU598/AM598-1)*100),"NA",IF(((AU598/AM598-1)*100)&gt;100,"NM",IF(((AU598/AM598-1)*100)&lt;-50,"NM",(AU598/AM598-1)*100)))</f>
        <v>NM</v>
      </c>
      <c r="AW598" s="370">
        <v>0</v>
      </c>
      <c r="AX598" s="61" t="str">
        <f>IF(ISERROR((AW598/AO598-1)*100),"NA",IF(((AW598/AO598-1)*100)&gt;100,"NM",IF(((AW598/AO598-1)*100)&lt;-50,"NM",(AW598/AO598-1)*100)))</f>
        <v>NM</v>
      </c>
      <c r="AY598" s="371"/>
      <c r="AZ598" s="61" t="str">
        <f>IF(ISERROR((AY598/AQ598-1)*100),"NA",IF(((AY598/AQ598-1)*100)&gt;100,"NM",IF(((AY598/AQ598-1)*100)&lt;-50,"NM",(AY598/AQ598-1)*100)))</f>
        <v>NM</v>
      </c>
      <c r="BA598" s="371">
        <v>8.1</v>
      </c>
      <c r="BB598" s="61" t="str">
        <f t="shared" si="3344"/>
        <v>NM</v>
      </c>
      <c r="BC598" s="371">
        <v>6.3</v>
      </c>
      <c r="BD598" s="61" t="str">
        <f t="shared" si="3345"/>
        <v>NA</v>
      </c>
      <c r="BE598" s="371">
        <v>2.5</v>
      </c>
      <c r="BF598" s="61" t="str">
        <f t="shared" si="3346"/>
        <v>NA</v>
      </c>
      <c r="BG598" s="371">
        <v>7.2</v>
      </c>
      <c r="BH598" s="61" t="str">
        <f>IF(ISERROR((BG598/AY598-1)*100),"NA",IF(((BG598/AY598-1)*100)&gt;100,"NM",IF(((BG598/AY598-1)*100)&lt;-50,"NM",(BG598/AY598-1)*100)))</f>
        <v>NA</v>
      </c>
      <c r="BI598" s="371">
        <v>0</v>
      </c>
      <c r="BJ598" s="61" t="str">
        <f>IF(ISERROR((BI598/BA598-1)*100),"NA",IF(((BI598/BA598-1)*100)&gt;100,"NM",IF(((BI598/BA598-1)*100)&lt;-50,"NM",(BI598/BA598-1)*100)))</f>
        <v>NM</v>
      </c>
      <c r="BK598" s="371">
        <v>3.0920000000000001</v>
      </c>
      <c r="BL598" s="61" t="str">
        <f>IF(ISERROR((BK598/BC598-1)*100),"NA",IF(((BK598/BC598-1)*100)&gt;100,"NM",IF(((BK598/BC598-1)*100)&lt;-50,"NM",(BK598/BC598-1)*100)))</f>
        <v>NM</v>
      </c>
      <c r="BM598" s="371">
        <v>5.0730000000000004</v>
      </c>
      <c r="BN598" s="61" t="str">
        <f>IF(ISERROR((BM598/BE598-1)*100),"NA",IF(((BM598/BE598-1)*100)&gt;100,"NM",IF(((BM598/BE598-1)*100)&lt;-50,"NM",(BM598/BE598-1)*100)))</f>
        <v>NM</v>
      </c>
      <c r="BO598" s="797">
        <v>5.45</v>
      </c>
      <c r="BP598" s="798">
        <f>IF(ISERROR((BO598/BG598-1)*100),"NA",IF(((BO598/BG598-1)*100)&gt;100,"NM",IF(((BO598/BG598-1)*100)&lt;-50,"NM",(BO598/BG598-1)*100)))</f>
        <v>-24.305555555555557</v>
      </c>
      <c r="BQ598" s="797">
        <v>9.9999999999999995E-8</v>
      </c>
      <c r="BR598" s="798" t="str">
        <f>IF(ISERROR((BQ598/BI598-1)*100),"NA",IF(((BQ598/BI598-1)*100)&gt;100,"NM",IF(((BQ598/BI598-1)*100)&lt;-50,"NM",(BQ598/BI598-1)*100)))</f>
        <v>NA</v>
      </c>
      <c r="BS598" s="797">
        <v>1.01</v>
      </c>
      <c r="BT598" s="798" t="str">
        <f>IF(ISERROR((BS598/BK598-1)*100),"NA",IF(((BS598/BK598-1)*100)&gt;100,"NM",IF(((BS598/BK598-1)*100)&lt;-50,"NM",(BS598/BK598-1)*100)))</f>
        <v>NM</v>
      </c>
      <c r="BU598" s="797">
        <v>9.9999999999999995E-8</v>
      </c>
      <c r="BV598" s="61" t="str">
        <f>IF(ISERROR((BU598/BM598-1)*100),"NA",IF(((BU598/BM598-1)*100)&gt;100,"NM",IF(((BU598/BM598-1)*100)&lt;-50,"NM",(BU598/BM598-1)*100)))</f>
        <v>NM</v>
      </c>
      <c r="BW598" s="372">
        <f>+BW602/BW599</f>
        <v>0</v>
      </c>
      <c r="BX598" s="61" t="str">
        <f>IF(ISERROR((BW598/BO598-1)*100),"NA",IF(((BW598/BO598-1)*100)&gt;100,"NM",IF(((BW598/BO598-1)*100)&lt;-50,"NM",(BW598/BO598-1)*100)))</f>
        <v>NM</v>
      </c>
      <c r="BY598" s="372">
        <f>+BY602/BY599</f>
        <v>0</v>
      </c>
      <c r="BZ598" s="61" t="str">
        <f>IF(ISERROR((BY598/BQ598-1)*100),"NA",IF(((BY598/BQ598-1)*100)&gt;100,"NM",IF(((BY598/BQ598-1)*100)&lt;-50,"NM",(BY598/BQ598-1)*100)))</f>
        <v>NM</v>
      </c>
      <c r="CA598" s="372">
        <f>+CA602/CA599</f>
        <v>0</v>
      </c>
      <c r="CB598" s="61" t="str">
        <f>IF(ISERROR((CA598/BS598-1)*100),"NA",IF(((CA598/BS598-1)*100)&gt;100,"NM",IF(((CA598/BS598-1)*100)&lt;-50,"NM",(CA598/BS598-1)*100)))</f>
        <v>NM</v>
      </c>
      <c r="CC598" s="372">
        <f>+CC602/CC599</f>
        <v>0</v>
      </c>
      <c r="CD598" s="61" t="str">
        <f>IF(ISERROR((CC598/BU598-1)*100),"NA",IF(((CC598/BU598-1)*100)&gt;100,"NM",IF(((CC598/BU598-1)*100)&lt;-50,"NM",(CC598/BU598-1)*100)))</f>
        <v>NM</v>
      </c>
      <c r="CE598" s="372">
        <f>+CE602/CE599</f>
        <v>0</v>
      </c>
      <c r="CF598" s="61" t="str">
        <f>IF(ISERROR((CE598/BW598-1)*100),"NA",IF(((CE598/BW598-1)*100)&gt;100,"NM",IF(((CE598/BW598-1)*100)&lt;-50,"NM",(CE598/BW598-1)*100)))</f>
        <v>NA</v>
      </c>
      <c r="CG598" s="372">
        <f>+CG602/CG599</f>
        <v>0</v>
      </c>
      <c r="CH598" s="61" t="str">
        <f>IF(ISERROR((CG598/BY598-1)*100),"NA",IF(((CG598/BY598-1)*100)&gt;100,"NM",IF(((CG598/BY598-1)*100)&lt;-50,"NM",(CG598/BY598-1)*100)))</f>
        <v>NA</v>
      </c>
      <c r="CI598" s="372">
        <f>+CI602/CI599</f>
        <v>0</v>
      </c>
      <c r="CJ598" s="61" t="str">
        <f>IF(ISERROR((CI598/CA598-1)*100),"NA",IF(((CI598/CA598-1)*100)&gt;100,"NM",IF(((CI598/CA598-1)*100)&lt;-50,"NM",(CI598/CA598-1)*100)))</f>
        <v>NA</v>
      </c>
      <c r="CK598" s="438">
        <f>0.333803+0.71525+0.002096</f>
        <v>1.0511490000000001</v>
      </c>
      <c r="CL598" s="61" t="str">
        <f>IF(ISERROR((CK598/CC598-1)*100),"NA",IF(((CK598/CC598-1)*100)&gt;100,"NM",IF(((CK598/CC598-1)*100)&lt;-50,"NM",(CK598/CC598-1)*100)))</f>
        <v>NA</v>
      </c>
      <c r="CM598" s="438">
        <v>2.4</v>
      </c>
      <c r="CN598" s="61" t="str">
        <f>IF(ISERROR((CM598/CE598-1)*100),"NA",IF(((CM598/CE598-1)*100)&gt;100,"NM",IF(((CM598/CE598-1)*100)&lt;-50,"NM",(CM598/CE598-1)*100)))</f>
        <v>NA</v>
      </c>
      <c r="CO598" s="438">
        <v>5.0999999999999996</v>
      </c>
      <c r="CP598" s="61" t="str">
        <f>IF(ISERROR((CO598/CG598-1)*100),"NA",IF(((CO598/CG598-1)*100)&gt;100,"NM",IF(((CO598/CG598-1)*100)&lt;-50,"NM",(CO598/CG598-1)*100)))</f>
        <v>NA</v>
      </c>
      <c r="CQ598" s="438">
        <v>6.7</v>
      </c>
      <c r="CR598" s="61" t="str">
        <f>IF(ISERROR((CQ598/CI598-1)*100),"NA",IF(((CQ598/CI598-1)*100)&gt;100,"NM",IF(((CQ598/CI598-1)*100)&lt;-50,"NM",(CQ598/CI598-1)*100)))</f>
        <v>NA</v>
      </c>
      <c r="CS598" s="438">
        <v>10.4</v>
      </c>
      <c r="CT598" s="61" t="str">
        <f>IF(ISERROR((CS598/CK598-1)*100),"NA",IF(((CS598/CK598-1)*100)&gt;100,"NM",IF(((CS598/CK598-1)*100)&lt;-50,"NM",(CS598/CK598-1)*100)))</f>
        <v>NM</v>
      </c>
      <c r="CU598" s="438">
        <v>6</v>
      </c>
      <c r="CV598" s="61" t="str">
        <f>IF(ISERROR((CU598/CM598-1)*100),"NA",IF(((CU598/CM598-1)*100)&gt;100,"NM",IF(((CU598/CM598-1)*100)&lt;-50,"NM",(CU598/CM598-1)*100)))</f>
        <v>NM</v>
      </c>
      <c r="CW598" s="438">
        <v>6.5</v>
      </c>
      <c r="CX598" s="61">
        <f>IF(ISERROR((CW598/CO598-1)*100),"NA",IF(((CW598/CO598-1)*100)&gt;100,"NM",IF(((CW598/CO598-1)*100)&lt;-50,"NM",(CW598/CO598-1)*100)))</f>
        <v>27.450980392156875</v>
      </c>
      <c r="CY598" s="438">
        <v>4.2</v>
      </c>
      <c r="CZ598" s="61">
        <f>IF(ISERROR((CY598/CQ598-1)*100),"NA",IF(((CY598/CQ598-1)*100)&gt;100,"NM",IF(((CY598/CQ598-1)*100)&lt;-50,"NM",(CY598/CQ598-1)*100)))</f>
        <v>-37.31343283582089</v>
      </c>
      <c r="DA598" s="438">
        <v>3.8</v>
      </c>
      <c r="DB598" s="61" t="str">
        <f>IF(ISERROR((DA598/CS598-1)*100),"NA",IF(((DA598/CS598-1)*100)&gt;100,"NM",IF(((DA598/CS598-1)*100)&lt;-50,"NM",(DA598/CS598-1)*100)))</f>
        <v>NM</v>
      </c>
      <c r="DC598" s="438">
        <v>3.4</v>
      </c>
      <c r="DD598" s="61">
        <f>IF(ISERROR((DC598/CU598-1)*100),"NA",IF(((DC598/CU598-1)*100)&gt;100,"NM",IF(((DC598/CU598-1)*100)&lt;-50,"NM",(DC598/CU598-1)*100)))</f>
        <v>-43.333333333333336</v>
      </c>
      <c r="DE598" s="438">
        <v>4.3</v>
      </c>
      <c r="DF598" s="61">
        <f>IF(ISERROR((DE598/CW598-1)*100),"NA",IF(((DE598/CW598-1)*100)&gt;100,"NM",IF(((DE598/CW598-1)*100)&lt;-50,"NM",(DE598/CW598-1)*100)))</f>
        <v>-33.846153846153847</v>
      </c>
      <c r="DG598" s="438">
        <v>2.2999999999999998</v>
      </c>
      <c r="DH598" s="61">
        <f>IF(ISERROR((DG598/CY598-1)*100),"NA",IF(((DG598/CY598-1)*100)&gt;100,"NM",IF(((DG598/CY598-1)*100)&lt;-50,"NM",(DG598/CY598-1)*100)))</f>
        <v>-45.238095238095241</v>
      </c>
      <c r="DI598" s="438">
        <v>2</v>
      </c>
      <c r="DJ598" s="61">
        <f>IF(ISERROR((DI598/DA598-1)*100),"NA",IF(((DI598/DA598-1)*100)&gt;100,"NM",IF(((DI598/DA598-1)*100)&lt;-50,"NM",(DI598/DA598-1)*100)))</f>
        <v>-47.368421052631582</v>
      </c>
      <c r="DK598" s="438">
        <v>3</v>
      </c>
      <c r="DL598" s="61">
        <f>IF(ISERROR((DK598/DC598-1)*100),"NA",IF(((DK598/DC598-1)*100)&gt;100,"NM",IF(((DK598/DC598-1)*100)&lt;-50,"NM",(DK598/DC598-1)*100)))</f>
        <v>-11.764705882352944</v>
      </c>
      <c r="DM598" s="438">
        <v>3.1</v>
      </c>
      <c r="DN598" s="130">
        <f t="shared" ref="DN598:DZ601" si="3389">IF(ISERROR((DM598/DE598-1)*100),"NA",IF(((DM598/DE598-1)*100)&gt;100,"NM",IF(((DM598/DE598-1)*100)&lt;-50,"NM",(DM598/DE598-1)*100)))</f>
        <v>-27.906976744186039</v>
      </c>
      <c r="DO598" s="438">
        <v>2.8</v>
      </c>
      <c r="DP598" s="130">
        <f t="shared" si="3389"/>
        <v>21.739130434782616</v>
      </c>
      <c r="DQ598" s="438">
        <v>3.6</v>
      </c>
      <c r="DR598" s="130">
        <f t="shared" si="3389"/>
        <v>80</v>
      </c>
      <c r="DS598" s="438">
        <v>6</v>
      </c>
      <c r="DT598" s="130">
        <f t="shared" si="3389"/>
        <v>100</v>
      </c>
      <c r="DU598" s="438">
        <v>2.6</v>
      </c>
      <c r="DV598" s="130">
        <f t="shared" si="3389"/>
        <v>-16.129032258064512</v>
      </c>
      <c r="DW598" s="438">
        <v>3.7</v>
      </c>
      <c r="DX598" s="438">
        <v>3.7</v>
      </c>
      <c r="DY598" s="438">
        <v>3.7</v>
      </c>
      <c r="DZ598" s="130">
        <f t="shared" si="3389"/>
        <v>2.7777777777777901</v>
      </c>
      <c r="EA598" s="438">
        <v>5.5</v>
      </c>
      <c r="EB598" s="130">
        <f t="shared" ref="EB598:EB601" si="3390">IF(ISERROR((EA598/DS598-1)*100),"NA",IF(((EA598/DS598-1)*100)&gt;100,"NM",IF(((EA598/DS598-1)*100)&lt;-50,"NM",(EA598/DS598-1)*100)))</f>
        <v>-8.3333333333333375</v>
      </c>
      <c r="EC598" s="438">
        <v>6.2</v>
      </c>
      <c r="ED598" s="130" t="str">
        <f t="shared" ref="ED598:ED601" si="3391">IF(ISERROR((EC598/DU598-1)*100),"NA",IF(((EC598/DU598-1)*100)&gt;100,"NM",IF(((EC598/DU598-1)*100)&lt;-50,"NM",(EC598/DU598-1)*100)))</f>
        <v>NM</v>
      </c>
      <c r="EE598" s="438">
        <v>4.3</v>
      </c>
      <c r="EF598" s="130">
        <f t="shared" ref="EF598:EF601" si="3392">IF(ISERROR((EE598/DW598-1)*100),"NA",IF(((EE598/DW598-1)*100)&gt;100,"NM",IF(((EE598/DW598-1)*100)&lt;-50,"NM",(EE598/DW598-1)*100)))</f>
        <v>16.216216216216207</v>
      </c>
      <c r="EG598" s="438">
        <v>3.2</v>
      </c>
      <c r="EH598" s="130">
        <f t="shared" ref="EH598:EH601" si="3393">IF(ISERROR((EG598/DY598-1)*100),"NA",IF(((EG598/DY598-1)*100)&gt;100,"NM",IF(((EG598/DY598-1)*100)&lt;-50,"NM",(EG598/DY598-1)*100)))</f>
        <v>-13.513513513513509</v>
      </c>
      <c r="EI598" s="438">
        <v>2.9</v>
      </c>
      <c r="EJ598" s="130">
        <f t="shared" ref="EJ598:EJ601" si="3394">IF(ISERROR((EI598/EA598-1)*100),"NA",IF(((EI598/EA598-1)*100)&gt;100,"NM",IF(((EI598/EA598-1)*100)&lt;-50,"NM",(EI598/EA598-1)*100)))</f>
        <v>-47.27272727272728</v>
      </c>
      <c r="EK598" s="438">
        <v>3</v>
      </c>
      <c r="EL598" s="130" t="str">
        <f t="shared" ref="EL598:EL601" si="3395">IF(ISERROR((EK598/EC598-1)*100),"NA",IF(((EK598/EC598-1)*100)&gt;100,"NM",IF(((EK598/EC598-1)*100)&lt;-50,"NM",(EK598/EC598-1)*100)))</f>
        <v>NM</v>
      </c>
      <c r="EM598" s="438">
        <v>2.8</v>
      </c>
      <c r="EN598" s="130">
        <f t="shared" ref="EN598:EN601" si="3396">IF(ISERROR((EM598/EE598-1)*100),"NA",IF(((EM598/EE598-1)*100)&gt;100,"NM",IF(((EM598/EE598-1)*100)&lt;-50,"NM",(EM598/EE598-1)*100)))</f>
        <v>-34.883720930232563</v>
      </c>
      <c r="EO598" s="438">
        <v>1.7</v>
      </c>
      <c r="EP598" s="130">
        <f t="shared" ref="EP598:EP601" si="3397">IF(ISERROR((EO598/EG598-1)*100),"NA",IF(((EO598/EG598-1)*100)&gt;100,"NM",IF(((EO598/EG598-1)*100)&lt;-50,"NM",(EO598/EG598-1)*100)))</f>
        <v>-46.875</v>
      </c>
      <c r="EQ598" s="372">
        <f t="shared" ref="EQ598:EW598" si="3398">+EQ602/EQ599</f>
        <v>0</v>
      </c>
      <c r="ER598" s="130" t="str">
        <f t="shared" ref="ER598:ER601" si="3399">IF(ISERROR((EQ598/EI598-1)*100),"NA",IF(((EQ598/EI598-1)*100)&gt;100,"NM",IF(((EQ598/EI598-1)*100)&lt;-50,"NM",(EQ598/EI598-1)*100)))</f>
        <v>NM</v>
      </c>
      <c r="ES598" s="372">
        <f t="shared" si="3398"/>
        <v>0</v>
      </c>
      <c r="ET598" s="130" t="str">
        <f t="shared" ref="ET598:ET601" si="3400">IF(ISERROR((ES598/EK598-1)*100),"NA",IF(((ES598/EK598-1)*100)&gt;100,"NM",IF(((ES598/EK598-1)*100)&lt;-50,"NM",(ES598/EK598-1)*100)))</f>
        <v>NM</v>
      </c>
      <c r="EU598" s="372">
        <f t="shared" si="3398"/>
        <v>1.235366112819565</v>
      </c>
      <c r="EV598" s="130" t="str">
        <f t="shared" ref="EV598:EV601" si="3401">IF(ISERROR((EU598/EM598-1)*100),"NA",IF(((EU598/EM598-1)*100)&gt;100,"NM",IF(((EU598/EM598-1)*100)&lt;-50,"NM",(EU598/EM598-1)*100)))</f>
        <v>NM</v>
      </c>
      <c r="EW598" s="372">
        <f t="shared" si="3398"/>
        <v>1.216003336823867</v>
      </c>
      <c r="EX598" s="130">
        <f t="shared" ref="EX598:EX601" si="3402">IF(ISERROR((EW598/EO598-1)*100),"NA",IF(((EW598/EO598-1)*100)&gt;100,"NM",IF(((EW598/EO598-1)*100)&lt;-50,"NM",(EW598/EO598-1)*100)))</f>
        <v>-28.470391951537234</v>
      </c>
      <c r="EY598" s="360"/>
      <c r="EZ598" s="558"/>
      <c r="FA598" s="360"/>
      <c r="FB598" s="373">
        <v>1.2465999999999999</v>
      </c>
      <c r="FC598" s="361"/>
      <c r="FD598" s="373">
        <v>7.6749999999999998</v>
      </c>
      <c r="FE598" s="362" t="str">
        <f>IF(ISERROR((FD598/FB598-1)*100),"NA",IF(((FD598/FB598-1)*100)&gt;100,"NM",IF(((FD598/FB598-1)*100)&lt;-50,"NM",(FD598/FB598-1)*100)))</f>
        <v>NM</v>
      </c>
      <c r="FF598" s="374">
        <f>C598+E598+G598+I598</f>
        <v>6.2089999999999996</v>
      </c>
      <c r="FG598" s="362">
        <f>IF(ISERROR((FF598/FD598-1)*100),"NA",IF(((FF598/FD598-1)*100)&gt;100,"NM",IF(((FF598/FD598-1)*100)&lt;-50,"NM",(FF598/FD598-1)*100)))</f>
        <v>-19.100977198697066</v>
      </c>
      <c r="FH598" s="374">
        <f>K598+M598+O598+Q598</f>
        <v>11.327999999999999</v>
      </c>
      <c r="FI598" s="362">
        <f>IF(ISERROR((FH598/FF598-1)*100),"NA",IF(((FH598/FF598-1)*100)&gt;100,"NM",IF(((FH598/FF598-1)*100)&lt;-50,"NM",(FH598/FF598-1)*100)))</f>
        <v>82.444838138186498</v>
      </c>
      <c r="FJ598" s="374">
        <f>S598+U598+W598+Y598</f>
        <v>12.103000000000002</v>
      </c>
      <c r="FK598" s="362">
        <f>IF(ISERROR((FJ598/FH598-1)*100),"NA",IF(((FJ598/FH598-1)*100)&gt;100,"NM",IF(((FJ598/FH598-1)*100)&lt;-50,"NM",(FJ598/FH598-1)*100)))</f>
        <v>6.8414548022599053</v>
      </c>
      <c r="FL598" s="375">
        <f>AA598+AC598+AE598+AG598</f>
        <v>0</v>
      </c>
      <c r="FM598" s="362" t="str">
        <f>IF(ISERROR((FL598/FJ598-1)*100),"NA",IF(((FL598/FJ598-1)*100)&gt;100,"NM",IF(((FL598/FJ598-1)*100)&lt;-50,"NM",(FL598/FJ598-1)*100)))</f>
        <v>NM</v>
      </c>
      <c r="FN598" s="375">
        <f>AI598+AK598+AM598+AO598</f>
        <v>7.6329999999999991</v>
      </c>
      <c r="FO598" s="362" t="str">
        <f>IF(ISERROR((FN598/FL598-1)*100),"NA",IF(((FN598/FL598-1)*100)&gt;100,"NM",IF(((FN598/FL598-1)*100)&lt;-50,"NM",(FN598/FL598-1)*100)))</f>
        <v>NA</v>
      </c>
      <c r="FP598" s="372">
        <f>AQ598+AS598+AU598+AW598</f>
        <v>2.335</v>
      </c>
      <c r="FQ598" s="61" t="str">
        <f t="shared" si="3354"/>
        <v>NM</v>
      </c>
      <c r="FR598" s="372">
        <f>AY598+BA598+BC598+BE598</f>
        <v>16.899999999999999</v>
      </c>
      <c r="FS598" s="61" t="str">
        <f>IF(ISERROR((FR598/FP598-1)*100),"NA",IF(((FR598/FP598-1)*100)&gt;100,"NM",IF(((FR598/FP598-1)*100)&lt;-50,"NM",(FR598/FP598-1)*100)))</f>
        <v>NM</v>
      </c>
      <c r="FT598" s="372">
        <f>BG598+BI598+BK598+BM598</f>
        <v>15.365</v>
      </c>
      <c r="FU598" s="61">
        <f>IF(ISERROR((FT598/FR598-1)*100),"NA",IF(((FT598/FR598-1)*100)&gt;100,"NM",IF(((FT598/FR598-1)*100)&lt;-50,"NM",(FT598/FR598-1)*100)))</f>
        <v>-9.0828402366863852</v>
      </c>
      <c r="FV598" s="372">
        <f>BO598+BQ598+BS598+BU598</f>
        <v>6.4600002000000005</v>
      </c>
      <c r="FW598" s="61" t="str">
        <f>IF(ISERROR((FV598/FT598-1)*100),"NA",IF(((FV598/FT598-1)*100)&gt;100,"NM",IF(((FV598/FT598-1)*100)&lt;-50,"NM",(FV598/FT598-1)*100)))</f>
        <v>NM</v>
      </c>
      <c r="FX598" s="176">
        <f>BW598+BY598+CA598+CC598</f>
        <v>0</v>
      </c>
      <c r="FY598" s="61" t="str">
        <f>IF(ISERROR((FX598/FV598-1)*100),"NA",IF(((FX598/FV598-1)*100)&gt;100,"NM",IF(((FX598/FV598-1)*100)&lt;-50,"NM",(FX598/FV598-1)*100)))</f>
        <v>NM</v>
      </c>
      <c r="FZ598" s="176">
        <f>CE598+CG598+CI598+CK598</f>
        <v>1.0511490000000001</v>
      </c>
      <c r="GA598" s="61" t="str">
        <f>IF(ISERROR((FZ598/FX598-1)*100),"NA",IF(((FZ598/FX598-1)*100)&gt;100,"NM",IF(((FZ598/FX598-1)*100)&lt;-50,"NM",(FZ598/FX598-1)*100)))</f>
        <v>NA</v>
      </c>
      <c r="GB598" s="176">
        <f>CM598+CO598+CQ598+CS598</f>
        <v>24.6</v>
      </c>
      <c r="GC598" s="61" t="str">
        <f>IF(ISERROR((GB598/FZ598-1)*100),"NA",IF(((GB598/FZ598-1)*100)&gt;100,"NM",IF(((GB598/FZ598-1)*100)&lt;-50,"NM",(GB598/FZ598-1)*100)))</f>
        <v>NM</v>
      </c>
      <c r="GD598" s="176">
        <f>CU598+CW598+CY598+DA598</f>
        <v>20.5</v>
      </c>
      <c r="GE598" s="61">
        <f>IF(ISERROR((GD598/GB598-1)*100),"NA",IF(((GD598/GB598-1)*100)&gt;100,"NM",IF(((GD598/GB598-1)*100)&lt;-50,"NM",(GD598/GB598-1)*100)))</f>
        <v>-16.666666666666675</v>
      </c>
      <c r="GF598" s="176">
        <f>DC598+DE598+DG598+DI598</f>
        <v>12</v>
      </c>
      <c r="GG598" s="61">
        <f>IF(ISERROR((GF598/GD598-1)*100),"NA",IF(((GF598/GD598-1)*100)&gt;100,"NM",IF(((GF598/GD598-1)*100)&lt;-50,"NM",(GF598/GD598-1)*100)))</f>
        <v>-41.463414634146346</v>
      </c>
      <c r="GH598" s="176">
        <f>DK598+DM598+DO598+DQ598</f>
        <v>12.499999999999998</v>
      </c>
      <c r="GI598" s="61">
        <f>IF(ISERROR((GH598/GF598-1)*100),"NA",IF(((GH598/GF598-1)*100)&gt;100,"NM",IF(((GH598/GF598-1)*100)&lt;-50,"NM",(GH598/GF598-1)*100)))</f>
        <v>4.1666666666666519</v>
      </c>
      <c r="GJ598" s="176">
        <f>DS598+DU598+DW598+DY598</f>
        <v>16</v>
      </c>
      <c r="GK598" s="61">
        <f>IF(ISERROR((GJ598/GH598-1)*100),"NA",IF(((GJ598/GH598-1)*100)&gt;100,"NM",IF(((GJ598/GH598-1)*100)&lt;-50,"NM",(GJ598/GH598-1)*100)))</f>
        <v>28.000000000000025</v>
      </c>
      <c r="GL598" s="176">
        <f>EA598+EC598+EE598+EG598</f>
        <v>19.2</v>
      </c>
      <c r="GM598" s="61">
        <f>IF(ISERROR((GL598/GJ598-1)*100),"NA",IF(((GL598/GJ598-1)*100)&gt;100,"NM",IF(((GL598/GJ598-1)*100)&lt;-50,"NM",(GL598/GJ598-1)*100)))</f>
        <v>19.999999999999996</v>
      </c>
      <c r="GN598" s="176">
        <f>EI598+EK598+EM598+EO598</f>
        <v>10.399999999999999</v>
      </c>
      <c r="GO598" s="61">
        <f>IF(ISERROR((GN598/GL598-1)*100),"NA",IF(((GN598/GL598-1)*100)&gt;100,"NM",IF(((GN598/GL598-1)*100)&lt;-50,"NM",(GN598/GL598-1)*100)))</f>
        <v>-45.833333333333336</v>
      </c>
      <c r="GP598" s="176">
        <f>EQ598+ES598+EU598+EW598</f>
        <v>2.451369449643432</v>
      </c>
      <c r="GQ598" s="61" t="str">
        <f>IF(ISERROR((GP598/GN598-1)*100),"NA",IF(((GP598/GN598-1)*100)&gt;100,"NM",IF(((GP598/GN598-1)*100)&lt;-50,"NM",(GP598/GN598-1)*100)))</f>
        <v>NM</v>
      </c>
      <c r="GR598" s="372">
        <f>+GR602/GR599</f>
        <v>4.6877378762743662</v>
      </c>
      <c r="GS598" s="61">
        <f>IF(ISERROR((GR598/GP598-1)*100),"NA",IF(((GR598/GP598-1)*100)&gt;100,"NM",IF(((GR598/GP598-1)*100)&lt;-50,"NM",(GR598/GP598-1)*100)))</f>
        <v>91.229350474129006</v>
      </c>
      <c r="GT598" s="372">
        <f>+GT602/GT599</f>
        <v>5.5178091185196294</v>
      </c>
      <c r="GU598" s="61">
        <f>IF(ISERROR((GT598/GR598-1)*100),"NA",IF(((GT598/GR598-1)*100)&gt;100,"NM",IF(((GT598/GR598-1)*100)&lt;-50,"NM",(GT598/GR598-1)*100)))</f>
        <v>17.707287910581115</v>
      </c>
      <c r="GV598" s="372">
        <f>+GV602/GV599</f>
        <v>6.2368694672936531</v>
      </c>
      <c r="GW598" s="61">
        <f>IF(ISERROR((GV598/GT598-1)*100),"NA",IF(((GV598/GT598-1)*100)&gt;100,"NM",IF(((GV598/GT598-1)*100)&lt;-50,"NM",(GV598/GT598-1)*100)))</f>
        <v>13.031627831427063</v>
      </c>
      <c r="GX598" s="372">
        <f>+GX602/GX599</f>
        <v>6.1213036952710702</v>
      </c>
      <c r="GY598" s="61">
        <f>IF(ISERROR((GX598/GV598-1)*100),"NA",IF(((GX598/GV598-1)*100)&gt;100,"NM",IF(((GX598/GV598-1)*100)&lt;-50,"NM",(GX598/GV598-1)*100)))</f>
        <v>-1.8529451775223693</v>
      </c>
      <c r="GZ598" s="61">
        <f t="shared" si="3330"/>
        <v>-10.058087621034872</v>
      </c>
      <c r="HA598" s="61"/>
      <c r="HB598" s="452"/>
      <c r="HC598"/>
      <c r="HD598"/>
      <c r="HE598"/>
      <c r="HF598"/>
      <c r="HG598"/>
      <c r="HH598"/>
    </row>
    <row r="599" spans="1:216" s="7" customFormat="1" ht="12.75" customHeight="1" x14ac:dyDescent="0.2">
      <c r="B599" s="7" t="s">
        <v>530</v>
      </c>
      <c r="C599" s="91">
        <f>(C601/C598)</f>
        <v>28.612303290414879</v>
      </c>
      <c r="D599" s="70"/>
      <c r="E599" s="91">
        <f>(E601/E598)</f>
        <v>33.808906182447039</v>
      </c>
      <c r="F599" s="71"/>
      <c r="G599" s="368">
        <v>0</v>
      </c>
      <c r="H599" s="71"/>
      <c r="I599" s="91">
        <f>(I601/I598)</f>
        <v>47.272727272727266</v>
      </c>
      <c r="J599" s="61"/>
      <c r="K599" s="91">
        <f>(K601/K598)</f>
        <v>42.222222222222221</v>
      </c>
      <c r="L599" s="61">
        <f>IF(ISERROR((K599/C599-1)*100),"NA",IF(((K599/C599-1)*100)&gt;100,"NM",IF(((K599/C599-1)*100)&lt;-50,"NM",(K599/C599-1)*100)))</f>
        <v>47.56666666666667</v>
      </c>
      <c r="M599" s="91">
        <f>(M601/M598)</f>
        <v>46.800000000000004</v>
      </c>
      <c r="N599" s="61">
        <f>IF(ISERROR((M599/E599-1)*100),"NA",IF(((M599/E599-1)*100)&gt;100,"NM",IF(((M599/E599-1)*100)&lt;-50,"NM",(M599/E599-1)*100)))</f>
        <v>38.425063938618933</v>
      </c>
      <c r="O599" s="91">
        <f>(O601/O598)</f>
        <v>44.711067580803139</v>
      </c>
      <c r="P599" s="61" t="str">
        <f>IF(ISERROR((O599/G599-1)*100),"NA",IF(((O599/G599-1)*100)&gt;100,"NM",IF(((O599/G599-1)*100)&lt;-50,"NM",(O599/G599-1)*100)))</f>
        <v>NA</v>
      </c>
      <c r="Q599" s="91">
        <f>(Q601/Q598)</f>
        <v>46.406357982031793</v>
      </c>
      <c r="R599" s="61">
        <f>IF(ISERROR((Q599/I599-1)*100),"NA",IF(((Q599/I599-1)*100)&gt;100,"NM",IF(((Q599/I599-1)*100)&lt;-50,"NM",(Q599/I599-1)*100)))</f>
        <v>-1.8327042687788841</v>
      </c>
      <c r="S599" s="91">
        <f>(S601/S598)</f>
        <v>50.9</v>
      </c>
      <c r="T599" s="61">
        <f>IF(ISERROR((S599/K599-1)*100),"NA",IF(((S599/K599-1)*100)&gt;100,"NM",IF(((S599/K599-1)*100)&lt;-50,"NM",(S599/K599-1)*100)))</f>
        <v>20.552631578947377</v>
      </c>
      <c r="U599" s="270">
        <f>+U601/U598</f>
        <v>45.051282051282051</v>
      </c>
      <c r="V599" s="61">
        <f>IF(ISERROR((U599/M599-1)*100),"NA",IF(((U599/M599-1)*100)&gt;100,"NM",IF(((U599/M599-1)*100)&lt;-50,"NM",(U599/M599-1)*100)))</f>
        <v>-3.7365768134999033</v>
      </c>
      <c r="W599" s="91">
        <f>(W601/W598)</f>
        <v>34.402332361516038</v>
      </c>
      <c r="X599" s="61">
        <f>IF(ISERROR((W599/O599-1)*100),"NA",IF(((W599/O599-1)*100)&gt;100,"NM",IF(((W599/O599-1)*100)&lt;-50,"NM",(W599/O599-1)*100)))</f>
        <v>-23.056338792753838</v>
      </c>
      <c r="Y599" s="74">
        <v>0</v>
      </c>
      <c r="Z599" s="61" t="str">
        <f>IF(ISERROR((Y599/Q599-1)*100),"NA",IF(((Y599/Q599-1)*100)&gt;100,"NM",IF(((Y599/Q599-1)*100)&lt;-50,"NM",(Y599/Q599-1)*100)))</f>
        <v>NM</v>
      </c>
      <c r="AA599" s="74">
        <v>0</v>
      </c>
      <c r="AB599" s="61" t="str">
        <f>IF(ISERROR((AA599/S599-1)*100),"NA",IF(((AA599/S599-1)*100)&gt;100,"NM",IF(((AA599/S599-1)*100)&lt;-50,"NM",(AA599/S599-1)*100)))</f>
        <v>NM</v>
      </c>
      <c r="AC599" s="74">
        <v>0</v>
      </c>
      <c r="AD599" s="61" t="str">
        <f>IF(ISERROR((AC599/U599-1)*100),"NA",IF(((AC599/U599-1)*100)&gt;100,"NM",IF(((AC599/U599-1)*100)&lt;-50,"NM",(AC599/U599-1)*100)))</f>
        <v>NM</v>
      </c>
      <c r="AE599" s="74">
        <v>0</v>
      </c>
      <c r="AF599" s="61" t="str">
        <f>IF(ISERROR((AE599/W599-1)*100),"NA",IF(((AE599/W599-1)*100)&gt;100,"NM",IF(((AE599/W599-1)*100)&lt;-50,"NM",(AE599/W599-1)*100)))</f>
        <v>NM</v>
      </c>
      <c r="AG599" s="74">
        <v>0</v>
      </c>
      <c r="AH599" s="61" t="str">
        <f>IF(ISERROR((AG599/Y599-1)*100),"NA",IF(((AG599/Y599-1)*100)&gt;100,"NM",IF(((AG599/Y599-1)*100)&lt;-50,"NM",(AG599/Y599-1)*100)))</f>
        <v>NA</v>
      </c>
      <c r="AI599" s="161">
        <f>+AI601/AI598</f>
        <v>46.618705035971225</v>
      </c>
      <c r="AJ599" s="61" t="str">
        <f>IF(ISERROR((AI599/AA599-1)*100),"NA",IF(((AI599/AA599-1)*100)&gt;100,"NM",IF(((AI599/AA599-1)*100)&lt;-50,"NM",(AI599/AA599-1)*100)))</f>
        <v>NA</v>
      </c>
      <c r="AK599" s="163">
        <f>AK601/AK598</f>
        <v>45.970241785492874</v>
      </c>
      <c r="AL599" s="61" t="str">
        <f>IF(ISERROR((AK599/AC599-1)*100),"NA",IF(((AK599/AC599-1)*100)&gt;100,"NM",IF(((AK599/AC599-1)*100)&lt;-50,"NM",(AK599/AC599-1)*100)))</f>
        <v>NA</v>
      </c>
      <c r="AM599" s="161">
        <f>+AM601/AM598</f>
        <v>44.688644688644693</v>
      </c>
      <c r="AN599" s="61" t="str">
        <f>IF(ISERROR((AM599/AE599-1)*100),"NA",IF(((AM599/AE599-1)*100)&gt;100,"NM",IF(((AM599/AE599-1)*100)&lt;-50,"NM",(AM599/AE599-1)*100)))</f>
        <v>NA</v>
      </c>
      <c r="AO599" s="161">
        <f>+AO601/AO598</f>
        <v>46.410442349528644</v>
      </c>
      <c r="AP599" s="61" t="str">
        <f>IF(ISERROR((AO599/AG599-1)*100),"NA",IF(((AO599/AG599-1)*100)&gt;100,"NM",IF(((AO599/AG599-1)*100)&lt;-50,"NM",(AO599/AG599-1)*100)))</f>
        <v>NA</v>
      </c>
      <c r="AQ599" s="161">
        <f>+AQ601/AQ598</f>
        <v>46.357615894039732</v>
      </c>
      <c r="AR599" s="61">
        <f>IF(ISERROR((AQ599/AI599-1)*100),"NA",IF(((AQ599/AI599-1)*100)&gt;100,"NM",IF(((AQ599/AI599-1)*100)&lt;-50,"NM",(AQ599/AI599-1)*100)))</f>
        <v>-0.56005232605674804</v>
      </c>
      <c r="AS599" s="161">
        <f>+AS601/AS598</f>
        <v>43.670886075949362</v>
      </c>
      <c r="AT599" s="61">
        <f>IF(ISERROR((AS599/AK599-1)*100),"NA",IF(((AS599/AK599-1)*100)&gt;100,"NM",IF(((AS599/AK599-1)*100)&lt;-50,"NM",(AS599/AK599-1)*100)))</f>
        <v>-5.001835144293576</v>
      </c>
      <c r="AU599" s="162">
        <v>49.555</v>
      </c>
      <c r="AV599" s="61">
        <f>IF(ISERROR((AU599/AM599-1)*100),"NA",IF(((AU599/AM599-1)*100)&gt;100,"NM",IF(((AU599/AM599-1)*100)&lt;-50,"NM",(AU599/AM599-1)*100)))</f>
        <v>10.889467213114745</v>
      </c>
      <c r="AW599" s="162">
        <v>49.555</v>
      </c>
      <c r="AX599" s="61">
        <f>IF(ISERROR((AW599/AO599-1)*100),"NA",IF(((AW599/AO599-1)*100)&gt;100,"NM",IF(((AW599/AO599-1)*100)&lt;-50,"NM",(AW599/AO599-1)*100)))</f>
        <v>6.7755390624999912</v>
      </c>
      <c r="AY599" s="162">
        <v>49.555</v>
      </c>
      <c r="AZ599" s="61">
        <f>IF(ISERROR((AY599/AQ599-1)*100),"NA",IF(((AY599/AQ599-1)*100)&gt;100,"NM",IF(((AY599/AQ599-1)*100)&lt;-50,"NM",(AY599/AQ599-1)*100)))</f>
        <v>6.8972142857142815</v>
      </c>
      <c r="BA599" s="162">
        <v>56.21</v>
      </c>
      <c r="BB599" s="61">
        <f t="shared" si="3344"/>
        <v>28.712753623188412</v>
      </c>
      <c r="BC599" s="162">
        <v>56.21</v>
      </c>
      <c r="BD599" s="61">
        <f t="shared" si="3345"/>
        <v>13.429522752497224</v>
      </c>
      <c r="BE599" s="162">
        <v>70</v>
      </c>
      <c r="BF599" s="61">
        <f t="shared" si="3346"/>
        <v>41.257188981939265</v>
      </c>
      <c r="BG599" s="162">
        <f>BG601/BG598</f>
        <v>71.111111111111114</v>
      </c>
      <c r="BH599" s="61">
        <f>IF(ISERROR((BG599/AY599-1)*100),"NA",IF(((BG599/AY599-1)*100)&gt;100,"NM",IF(((BG599/AY599-1)*100)&lt;-50,"NM",(BG599/AY599-1)*100)))</f>
        <v>43.499366584827179</v>
      </c>
      <c r="BI599" s="162">
        <f>+BG599</f>
        <v>71.111111111111114</v>
      </c>
      <c r="BJ599" s="61">
        <f>IF(ISERROR((BI599/BA599-1)*100),"NA",IF(((BI599/BA599-1)*100)&gt;100,"NM",IF(((BI599/BA599-1)*100)&lt;-50,"NM",(BI599/BA599-1)*100)))</f>
        <v>26.509715550811453</v>
      </c>
      <c r="BK599" s="162">
        <f>+BI599</f>
        <v>71.111111111111114</v>
      </c>
      <c r="BL599" s="61">
        <f>IF(ISERROR((BK599/BC599-1)*100),"NA",IF(((BK599/BC599-1)*100)&gt;100,"NM",IF(((BK599/BC599-1)*100)&lt;-50,"NM",(BK599/BC599-1)*100)))</f>
        <v>26.509715550811453</v>
      </c>
      <c r="BM599" s="162">
        <f>BM601/BM598</f>
        <v>59.116893356987966</v>
      </c>
      <c r="BN599" s="61">
        <f>IF(ISERROR((BM599/BE599-1)*100),"NA",IF(((BM599/BE599-1)*100)&gt;100,"NM",IF(((BM599/BE599-1)*100)&lt;-50,"NM",(BM599/BE599-1)*100)))</f>
        <v>-15.547295204302902</v>
      </c>
      <c r="BO599" s="162">
        <f>BO601/BO598</f>
        <v>52.477064220183486</v>
      </c>
      <c r="BP599" s="61">
        <f>IF(ISERROR((BO599/BG599-1)*100),"NA",IF(((BO599/BG599-1)*100)&gt;100,"NM",IF(((BO599/BG599-1)*100)&lt;-50,"NM",(BO599/BG599-1)*100)))</f>
        <v>-26.204128440366979</v>
      </c>
      <c r="BQ599" s="162">
        <v>52</v>
      </c>
      <c r="BR599" s="61">
        <f>IF(ISERROR((BQ599/BI599-1)*100),"NA",IF(((BQ599/BI599-1)*100)&gt;100,"NM",IF(((BQ599/BI599-1)*100)&lt;-50,"NM",(BQ599/BI599-1)*100)))</f>
        <v>-26.875000000000004</v>
      </c>
      <c r="BS599" s="162">
        <v>52</v>
      </c>
      <c r="BT599" s="61">
        <f>IF(ISERROR((BS599/BK599-1)*100),"NA",IF(((BS599/BK599-1)*100)&gt;100,"NM",IF(((BS599/BK599-1)*100)&lt;-50,"NM",(BS599/BK599-1)*100)))</f>
        <v>-26.875000000000004</v>
      </c>
      <c r="BU599" s="162">
        <v>20</v>
      </c>
      <c r="BV599" s="61" t="str">
        <f>IF(ISERROR((BU599/BM599-1)*100),"NA",IF(((BU599/BM599-1)*100)&gt;100,"NM",IF(((BU599/BM599-1)*100)&lt;-50,"NM",(BU599/BM599-1)*100)))</f>
        <v>NM</v>
      </c>
      <c r="BW599" s="376">
        <v>13.2</v>
      </c>
      <c r="BX599" s="61" t="str">
        <f>IF(ISERROR((BW599/BO599-1)*100),"NA",IF(((BW599/BO599-1)*100)&gt;100,"NM",IF(((BW599/BO599-1)*100)&lt;-50,"NM",(BW599/BO599-1)*100)))</f>
        <v>NM</v>
      </c>
      <c r="BY599" s="376">
        <v>13.2</v>
      </c>
      <c r="BZ599" s="61" t="str">
        <f>IF(ISERROR((BY599/BQ599-1)*100),"NA",IF(((BY599/BQ599-1)*100)&gt;100,"NM",IF(((BY599/BQ599-1)*100)&lt;-50,"NM",(BY599/BQ599-1)*100)))</f>
        <v>NM</v>
      </c>
      <c r="CA599" s="376">
        <f>+CA594</f>
        <v>21.75</v>
      </c>
      <c r="CB599" s="61" t="str">
        <f>IF(ISERROR((CA599/BS599-1)*100),"NA",IF(((CA599/BS599-1)*100)&gt;100,"NM",IF(((CA599/BS599-1)*100)&lt;-50,"NM",(CA599/BS599-1)*100)))</f>
        <v>NM</v>
      </c>
      <c r="CC599" s="377">
        <f>+CC594</f>
        <v>23</v>
      </c>
      <c r="CD599" s="61">
        <f>IF(ISERROR((CC599/BU599-1)*100),"NA",IF(((CC599/BU599-1)*100)&gt;100,"NM",IF(((CC599/BU599-1)*100)&lt;-50,"NM",(CC599/BU599-1)*100)))</f>
        <v>14.999999999999991</v>
      </c>
      <c r="CE599" s="377">
        <f>+CE594</f>
        <v>26.55</v>
      </c>
      <c r="CF599" s="61" t="str">
        <f>IF(ISERROR((CE599/BW599-1)*100),"NA",IF(((CE599/BW599-1)*100)&gt;100,"NM",IF(((CE599/BW599-1)*100)&lt;-50,"NM",(CE599/BW599-1)*100)))</f>
        <v>NM</v>
      </c>
      <c r="CG599" s="377">
        <v>26</v>
      </c>
      <c r="CH599" s="61">
        <f>IF(ISERROR((CG599/BY599-1)*100),"NA",IF(((CG599/BY599-1)*100)&gt;100,"NM",IF(((CG599/BY599-1)*100)&lt;-50,"NM",(CG599/BY599-1)*100)))</f>
        <v>96.969696969696969</v>
      </c>
      <c r="CI599" s="377">
        <v>26</v>
      </c>
      <c r="CJ599" s="61">
        <f>IF(ISERROR((CI599/CA599-1)*100),"NA",IF(((CI599/CA599-1)*100)&gt;100,"NM",IF(((CI599/CA599-1)*100)&lt;-50,"NM",(CI599/CA599-1)*100)))</f>
        <v>19.540229885057482</v>
      </c>
      <c r="CK599" s="377">
        <f>CK601/CK598</f>
        <v>23.78349786757158</v>
      </c>
      <c r="CL599" s="61">
        <f>IF(ISERROR((CK599/CC599-1)*100),"NA",IF(((CK599/CC599-1)*100)&gt;100,"NM",IF(((CK599/CC599-1)*100)&lt;-50,"NM",(CK599/CC599-1)*100)))</f>
        <v>3.406512467702516</v>
      </c>
      <c r="CM599" s="377">
        <f>CM601/CM598</f>
        <v>31.25</v>
      </c>
      <c r="CN599" s="61">
        <f>IF(ISERROR((CM599/CE599-1)*100),"NA",IF(((CM599/CE599-1)*100)&gt;100,"NM",IF(((CM599/CE599-1)*100)&lt;-50,"NM",(CM599/CE599-1)*100)))</f>
        <v>17.702448210922796</v>
      </c>
      <c r="CO599" s="377">
        <f>CO601/CO598</f>
        <v>29.450980392156861</v>
      </c>
      <c r="CP599" s="61">
        <f>IF(ISERROR((CO599/CG599-1)*100),"NA",IF(((CO599/CG599-1)*100)&gt;100,"NM",IF(((CO599/CG599-1)*100)&lt;-50,"NM",(CO599/CG599-1)*100)))</f>
        <v>13.273001508295623</v>
      </c>
      <c r="CQ599" s="377">
        <f>CQ601/CQ598</f>
        <v>22.417910447761191</v>
      </c>
      <c r="CR599" s="61">
        <f>IF(ISERROR((CQ599/CI599-1)*100),"NA",IF(((CQ599/CI599-1)*100)&gt;100,"NM",IF(((CQ599/CI599-1)*100)&lt;-50,"NM",(CQ599/CI599-1)*100)))</f>
        <v>-13.777267508610802</v>
      </c>
      <c r="CS599" s="377">
        <f>CS601/CS598</f>
        <v>19.23076923076923</v>
      </c>
      <c r="CT599" s="61">
        <f>IF(ISERROR((CS599/CK599-1)*100),"NA",IF(((CS599/CK599-1)*100)&gt;100,"NM",IF(((CS599/CK599-1)*100)&lt;-50,"NM",(CS599/CK599-1)*100)))</f>
        <v>-19.142384615384611</v>
      </c>
      <c r="CU599" s="377">
        <f>CU601/CU598</f>
        <v>25</v>
      </c>
      <c r="CV599" s="61">
        <f>IF(ISERROR((CU599/CM599-1)*100),"NA",IF(((CU599/CM599-1)*100)&gt;100,"NM",IF(((CU599/CM599-1)*100)&lt;-50,"NM",(CU599/CM599-1)*100)))</f>
        <v>-19.999999999999996</v>
      </c>
      <c r="CW599" s="377">
        <f>CW601/CW598</f>
        <v>23.076923076923077</v>
      </c>
      <c r="CX599" s="61">
        <f>IF(ISERROR((CW599/CO599-1)*100),"NA",IF(((CW599/CO599-1)*100)&gt;100,"NM",IF(((CW599/CO599-1)*100)&lt;-50,"NM",(CW599/CO599-1)*100)))</f>
        <v>-21.642937621632697</v>
      </c>
      <c r="CY599" s="377">
        <f>CY601/CY598</f>
        <v>23.80952380952381</v>
      </c>
      <c r="CZ599" s="61">
        <f>IF(ISERROR((CY599/CQ599-1)*100),"NA",IF(((CY599/CQ599-1)*100)&gt;100,"NM",IF(((CY599/CQ599-1)*100)&lt;-50,"NM",(CY599/CQ599-1)*100)))</f>
        <v>6.2075962209118263</v>
      </c>
      <c r="DA599" s="377">
        <f>DA601/DA598</f>
        <v>24.210526315789476</v>
      </c>
      <c r="DB599" s="61">
        <f>IF(ISERROR((DA599/CS599-1)*100),"NA",IF(((DA599/CS599-1)*100)&gt;100,"NM",IF(((DA599/CS599-1)*100)&lt;-50,"NM",(DA599/CS599-1)*100)))</f>
        <v>25.894736842105281</v>
      </c>
      <c r="DC599" s="377">
        <f>DC601/DC598</f>
        <v>29.411764705882355</v>
      </c>
      <c r="DD599" s="61">
        <f>IF(ISERROR((DC599/CU599-1)*100),"NA",IF(((DC599/CU599-1)*100)&gt;100,"NM",IF(((DC599/CU599-1)*100)&lt;-50,"NM",(DC599/CU599-1)*100)))</f>
        <v>17.647058823529417</v>
      </c>
      <c r="DE599" s="377">
        <f>DE601/DE598</f>
        <v>34.883720930232556</v>
      </c>
      <c r="DF599" s="61">
        <f>IF(ISERROR((DE599/CW599-1)*100),"NA",IF(((DE599/CW599-1)*100)&gt;100,"NM",IF(((DE599/CW599-1)*100)&lt;-50,"NM",(DE599/CW599-1)*100)))</f>
        <v>51.162790697674424</v>
      </c>
      <c r="DG599" s="377">
        <f>DG601/DG598</f>
        <v>43.478260869565219</v>
      </c>
      <c r="DH599" s="61">
        <f>IF(ISERROR((DG599/CY599-1)*100),"NA",IF(((DG599/CY599-1)*100)&gt;100,"NM",IF(((DG599/CY599-1)*100)&lt;-50,"NM",(DG599/CY599-1)*100)))</f>
        <v>82.608695652173907</v>
      </c>
      <c r="DI599" s="377">
        <f>DI601/DI598</f>
        <v>50</v>
      </c>
      <c r="DJ599" s="61" t="str">
        <f>IF(ISERROR((DI599/DA599-1)*100),"NA",IF(((DI599/DA599-1)*100)&gt;100,"NM",IF(((DI599/DA599-1)*100)&lt;-50,"NM",(DI599/DA599-1)*100)))</f>
        <v>NM</v>
      </c>
      <c r="DK599" s="377">
        <f>DK601/DK598</f>
        <v>50</v>
      </c>
      <c r="DL599" s="61">
        <f>IF(ISERROR((DK599/DC599-1)*100),"NA",IF(((DK599/DC599-1)*100)&gt;100,"NM",IF(((DK599/DC599-1)*100)&lt;-50,"NM",(DK599/DC599-1)*100)))</f>
        <v>70</v>
      </c>
      <c r="DM599" s="377">
        <f>DM601/DM598</f>
        <v>48.387096774193544</v>
      </c>
      <c r="DN599" s="130">
        <f t="shared" si="3389"/>
        <v>38.709677419354826</v>
      </c>
      <c r="DO599" s="377">
        <f>DO601/DO598</f>
        <v>53.571428571428577</v>
      </c>
      <c r="DP599" s="130">
        <f t="shared" si="3389"/>
        <v>23.214285714285722</v>
      </c>
      <c r="DQ599" s="377">
        <f>DQ601/DQ598</f>
        <v>55.555555555555557</v>
      </c>
      <c r="DR599" s="130">
        <f t="shared" si="3389"/>
        <v>11.111111111111116</v>
      </c>
      <c r="DS599" s="377">
        <f>DS601/DS598</f>
        <v>58.333333333333336</v>
      </c>
      <c r="DT599" s="130">
        <f t="shared" si="3389"/>
        <v>16.666666666666675</v>
      </c>
      <c r="DU599" s="377">
        <f>DU601/DU598</f>
        <v>57.692307692307693</v>
      </c>
      <c r="DV599" s="130">
        <f t="shared" si="3389"/>
        <v>19.230769230769251</v>
      </c>
      <c r="DW599" s="377">
        <f>DW601/DW598</f>
        <v>54.054054054054049</v>
      </c>
      <c r="DX599" s="377">
        <f t="shared" ref="DX599:DY599" si="3403">DX601/DX598</f>
        <v>54.054054054054049</v>
      </c>
      <c r="DY599" s="377">
        <f t="shared" si="3403"/>
        <v>54.054054054054049</v>
      </c>
      <c r="DZ599" s="130">
        <f t="shared" si="3389"/>
        <v>-2.7027027027027195</v>
      </c>
      <c r="EA599" s="377">
        <f t="shared" ref="EA599:EC599" si="3404">EA601/EA598</f>
        <v>36.363636363636367</v>
      </c>
      <c r="EB599" s="130">
        <f t="shared" si="3390"/>
        <v>-37.662337662337663</v>
      </c>
      <c r="EC599" s="377">
        <f t="shared" si="3404"/>
        <v>44.354838709677416</v>
      </c>
      <c r="ED599" s="130">
        <f t="shared" si="3391"/>
        <v>-23.118279569892476</v>
      </c>
      <c r="EE599" s="377">
        <f t="shared" ref="EE599:EG599" si="3405">EE601/EE598</f>
        <v>46.511627906976749</v>
      </c>
      <c r="EF599" s="130">
        <f t="shared" si="3392"/>
        <v>-13.953488372093004</v>
      </c>
      <c r="EG599" s="377">
        <f t="shared" si="3405"/>
        <v>63.75</v>
      </c>
      <c r="EH599" s="130">
        <f t="shared" si="3393"/>
        <v>17.937500000000007</v>
      </c>
      <c r="EI599" s="377">
        <f t="shared" ref="EI599:EK599" si="3406">EI601/EI598</f>
        <v>68.965517241379317</v>
      </c>
      <c r="EJ599" s="130">
        <f t="shared" si="3394"/>
        <v>89.65517241379311</v>
      </c>
      <c r="EK599" s="377">
        <f t="shared" si="3406"/>
        <v>66.666666666666671</v>
      </c>
      <c r="EL599" s="130">
        <f t="shared" si="3395"/>
        <v>50.303030303030319</v>
      </c>
      <c r="EM599" s="377">
        <f t="shared" ref="EM599" si="3407">EM601/EM598</f>
        <v>71.428571428571431</v>
      </c>
      <c r="EN599" s="130">
        <f t="shared" si="3396"/>
        <v>53.571428571428555</v>
      </c>
      <c r="EO599" s="377">
        <f t="shared" ref="EO599" si="3408">EO601/EO598</f>
        <v>73.529411764705884</v>
      </c>
      <c r="EP599" s="130">
        <f t="shared" si="3397"/>
        <v>15.340253748558252</v>
      </c>
      <c r="EQ599" s="376">
        <v>78.445081868852455</v>
      </c>
      <c r="ER599" s="130">
        <f t="shared" si="3399"/>
        <v>13.745368709836047</v>
      </c>
      <c r="ES599" s="376">
        <f t="shared" ref="ES599" si="3409">EQ599*1.02-ES588</f>
        <v>79.683983506229509</v>
      </c>
      <c r="ET599" s="130">
        <f t="shared" si="3400"/>
        <v>19.525975259344253</v>
      </c>
      <c r="EU599" s="376">
        <f t="shared" ref="EU599" si="3410">ES599*1.02-EU588</f>
        <v>80.947663176354098</v>
      </c>
      <c r="EV599" s="130">
        <f t="shared" si="3401"/>
        <v>13.32672844689573</v>
      </c>
      <c r="EW599" s="376">
        <f t="shared" ref="EW599" si="3411">EU599*1.02-EW588</f>
        <v>82.236616439881189</v>
      </c>
      <c r="EX599" s="130">
        <f t="shared" si="3402"/>
        <v>11.841798358238421</v>
      </c>
      <c r="EY599" s="64"/>
      <c r="EZ599" s="558"/>
      <c r="FA599" s="64"/>
      <c r="FB599" s="91">
        <f>(FB601/FB598)</f>
        <v>37.622332745066579</v>
      </c>
      <c r="FC599" s="71"/>
      <c r="FD599" s="91">
        <f>(FD601/FD598)</f>
        <v>49.211726384364823</v>
      </c>
      <c r="FE599" s="70">
        <f>IF(ISERROR((FD599/FB599-1)*100),"NA",IF(((FD599/FB599-1)*100)&gt;100,"NM",IF(((FD599/FB599-1)*100)&lt;-50,"NM",(FD599/FB599-1)*100)))</f>
        <v>30.804558871533459</v>
      </c>
      <c r="FF599" s="91">
        <f>(FF601/FF598)</f>
        <v>33.854082783056853</v>
      </c>
      <c r="FG599" s="70">
        <f>IF(ISERROR((FF599/FD599-1)*100),"NA",IF(((FF599/FD599-1)*100)&gt;100,"NM",IF(((FF599/FD599-1)*100)&lt;-50,"NM",(FF599/FD599-1)*100)))</f>
        <v>-31.20728478687812</v>
      </c>
      <c r="FH599" s="91">
        <f>(FH601/FH598)</f>
        <v>44.491525423728817</v>
      </c>
      <c r="FI599" s="70">
        <f>IF(ISERROR((FH599/FF599-1)*100),"NA",IF(((FH599/FF599-1)*100)&gt;100,"NM",IF(((FH599/FF599-1)*100)&lt;-50,"NM",(FH599/FF599-1)*100)))</f>
        <v>31.421446886742267</v>
      </c>
      <c r="FJ599" s="91">
        <f>(FJ601/FJ598)</f>
        <v>39.196893332231674</v>
      </c>
      <c r="FK599" s="70">
        <f>IF(ISERROR((FJ599/FH599-1)*100),"NA",IF(((FJ599/FH599-1)*100)&gt;100,"NM",IF(((FJ599/FH599-1)*100)&lt;-50,"NM",(FJ599/FH599-1)*100)))</f>
        <v>-11.900315938984052</v>
      </c>
      <c r="FL599" s="376">
        <f>+AG599</f>
        <v>0</v>
      </c>
      <c r="FM599" s="61" t="str">
        <f>IF(ISERROR((FL599/FJ599-1)*100),"NA",IF(((FL599/FJ599-1)*100)&gt;100,"NM",IF(((FL599/FJ599-1)*100)&lt;-50,"NM",(FL599/FJ599-1)*100)))</f>
        <v>NM</v>
      </c>
      <c r="FN599" s="376">
        <f>+AO599</f>
        <v>46.410442349528644</v>
      </c>
      <c r="FO599" s="61" t="str">
        <f>IF(ISERROR((FN599/FL599-1)*100),"NA",IF(((FN599/FL599-1)*100)&gt;100,"NM",IF(((FN599/FL599-1)*100)&lt;-50,"NM",(FN599/FL599-1)*100)))</f>
        <v>NA</v>
      </c>
      <c r="FP599" s="377">
        <f>+AW599</f>
        <v>49.555</v>
      </c>
      <c r="FQ599" s="61">
        <f t="shared" si="3354"/>
        <v>11.380761904761894</v>
      </c>
      <c r="FR599" s="377">
        <f>BE599</f>
        <v>70</v>
      </c>
      <c r="FS599" s="61">
        <f>IF(ISERROR((FR599/FP599-1)*100),"NA",IF(((FR599/FP599-1)*100)&gt;100,"NM",IF(((FR599/FP599-1)*100)&lt;-50,"NM",(FR599/FP599-1)*100)))</f>
        <v>41.257188981939265</v>
      </c>
      <c r="FT599" s="377">
        <f>BM599</f>
        <v>59.116893356987966</v>
      </c>
      <c r="FU599" s="61">
        <f>IF(ISERROR((FT599/FR599-1)*100),"NA",IF(((FT599/FR599-1)*100)&gt;100,"NM",IF(((FT599/FR599-1)*100)&lt;-50,"NM",(FT599/FR599-1)*100)))</f>
        <v>-15.547295204302902</v>
      </c>
      <c r="FV599" s="377">
        <f>BU599</f>
        <v>20</v>
      </c>
      <c r="FW599" s="61" t="str">
        <f>IF(ISERROR((FV599/FT599-1)*100),"NA",IF(((FV599/FT599-1)*100)&gt;100,"NM",IF(((FV599/FT599-1)*100)&lt;-50,"NM",(FV599/FT599-1)*100)))</f>
        <v>NM</v>
      </c>
      <c r="FX599" s="377">
        <f>CC599</f>
        <v>23</v>
      </c>
      <c r="FY599" s="61">
        <f>IF(ISERROR((FX599/FV599-1)*100),"NA",IF(((FX599/FV599-1)*100)&gt;100,"NM",IF(((FX599/FV599-1)*100)&lt;-50,"NM",(FX599/FV599-1)*100)))</f>
        <v>14.999999999999991</v>
      </c>
      <c r="FZ599" s="377">
        <f>CK599</f>
        <v>23.78349786757158</v>
      </c>
      <c r="GA599" s="61">
        <f>IF(ISERROR((FZ599/FX599-1)*100),"NA",IF(((FZ599/FX599-1)*100)&gt;100,"NM",IF(((FZ599/FX599-1)*100)&lt;-50,"NM",(FZ599/FX599-1)*100)))</f>
        <v>3.406512467702516</v>
      </c>
      <c r="GB599" s="377">
        <f>CS599</f>
        <v>19.23076923076923</v>
      </c>
      <c r="GC599" s="61">
        <f>IF(ISERROR((GB599/FZ599-1)*100),"NA",IF(((GB599/FZ599-1)*100)&gt;100,"NM",IF(((GB599/FZ599-1)*100)&lt;-50,"NM",(GB599/FZ599-1)*100)))</f>
        <v>-19.142384615384611</v>
      </c>
      <c r="GD599" s="377">
        <f>DA599</f>
        <v>24.210526315789476</v>
      </c>
      <c r="GE599" s="61">
        <f>IF(ISERROR((GD599/GB599-1)*100),"NA",IF(((GD599/GB599-1)*100)&gt;100,"NM",IF(((GD599/GB599-1)*100)&lt;-50,"NM",(GD599/GB599-1)*100)))</f>
        <v>25.894736842105281</v>
      </c>
      <c r="GF599" s="14">
        <f>AVERAGE(DC599,DE599,DG599,DI599)</f>
        <v>39.443436626420031</v>
      </c>
      <c r="GG599" s="61">
        <f>IF(ISERROR((GF599/GD599-1)*100),"NA",IF(((GF599/GD599-1)*100)&gt;100,"NM",IF(((GF599/GD599-1)*100)&lt;-50,"NM",(GF599/GD599-1)*100)))</f>
        <v>62.918542587387073</v>
      </c>
      <c r="GH599" s="14">
        <f>AVERAGE(DK599,DM599,DO599,DQ599)</f>
        <v>51.878520225294423</v>
      </c>
      <c r="GI599" s="61">
        <f>IF(ISERROR((GH599/GF599-1)*100),"NA",IF(((GH599/GF599-1)*100)&gt;100,"NM",IF(((GH599/GF599-1)*100)&lt;-50,"NM",(GH599/GF599-1)*100)))</f>
        <v>31.526369562192546</v>
      </c>
      <c r="GJ599" s="14">
        <f>AVERAGE(DS599,DU599,DW599,DY599)</f>
        <v>56.03343728343728</v>
      </c>
      <c r="GK599" s="61">
        <f>IF(ISERROR((GJ599/GH599-1)*100),"NA",IF(((GJ599/GH599-1)*100)&gt;100,"NM",IF(((GJ599/GH599-1)*100)&lt;-50,"NM",(GJ599/GH599-1)*100)))</f>
        <v>8.0089351818424461</v>
      </c>
      <c r="GL599" s="14">
        <f>AVERAGE(EA599,EC599,EE599,EG599)</f>
        <v>47.745025745072631</v>
      </c>
      <c r="GM599" s="61">
        <f>IF(ISERROR((GL599/GJ599-1)*100),"NA",IF(((GL599/GJ599-1)*100)&gt;100,"NM",IF(((GL599/GJ599-1)*100)&lt;-50,"NM",(GL599/GJ599-1)*100)))</f>
        <v>-14.791902728434959</v>
      </c>
      <c r="GN599" s="14">
        <f>AVERAGE(EI599,EK599,EM599,EO599)</f>
        <v>70.147541775330836</v>
      </c>
      <c r="GO599" s="61">
        <f>IF(ISERROR((GN599/GL599-1)*100),"NA",IF(((GN599/GL599-1)*100)&gt;100,"NM",IF(((GN599/GL599-1)*100)&lt;-50,"NM",(GN599/GL599-1)*100)))</f>
        <v>46.921151849143541</v>
      </c>
      <c r="GP599" s="14">
        <f>AVERAGE(EQ599,ES599,EU599,EW599)</f>
        <v>80.328336247829313</v>
      </c>
      <c r="GQ599" s="61">
        <f>IF(ISERROR((GP599/GN599-1)*100),"NA",IF(((GP599/GN599-1)*100)&gt;100,"NM",IF(((GP599/GN599-1)*100)&lt;-50,"NM",(GP599/GN599-1)*100)))</f>
        <v>14.513401631529167</v>
      </c>
      <c r="GR599" s="376">
        <f>GP599*1.08-GR588</f>
        <v>85.329003147655655</v>
      </c>
      <c r="GS599" s="61">
        <f>IF(ISERROR((GR599/GP599-1)*100),"NA",IF(((GR599/GP599-1)*100)&gt;100,"NM",IF(((GR599/GP599-1)*100)&lt;-50,"NM",(GR599/GP599-1)*100)))</f>
        <v>6.2252837957433416</v>
      </c>
      <c r="GT599" s="376">
        <f>GR599*1.08-GT588</f>
        <v>90.615675399468117</v>
      </c>
      <c r="GU599" s="61">
        <f>IF(ISERROR((GT599/GR599-1)*100),"NA",IF(((GT599/GR599-1)*100)&gt;100,"NM",IF(((GT599/GR599-1)*100)&lt;-50,"NM",(GT599/GR599-1)*100)))</f>
        <v>6.1956334385674827</v>
      </c>
      <c r="GV599" s="376">
        <f>GT599*1.08-GV588</f>
        <v>96.202109591425568</v>
      </c>
      <c r="GW599" s="61">
        <f>IF(ISERROR((GV599/GT599-1)*100),"NA",IF(((GV599/GT599-1)*100)&gt;100,"NM",IF(((GV599/GT599-1)*100)&lt;-50,"NM",(GV599/GT599-1)*100)))</f>
        <v>6.1649755048785337</v>
      </c>
      <c r="GX599" s="376">
        <f>GV599*1.08-GX588</f>
        <v>102.10243293153961</v>
      </c>
      <c r="GY599" s="61">
        <f>IF(ISERROR((GX599/GV599-1)*100),"NA",IF(((GX599/GV599-1)*100)&gt;100,"NM",IF(((GX599/GV599-1)*100)&lt;-50,"NM",(GX599/GV599-1)*100)))</f>
        <v>6.1332577478528938</v>
      </c>
      <c r="GZ599" s="61">
        <f t="shared" si="3330"/>
        <v>7.7965165603182118</v>
      </c>
      <c r="HA599" s="61"/>
      <c r="HB599" s="452"/>
      <c r="HC599"/>
      <c r="HD599"/>
      <c r="HE599"/>
      <c r="HF599"/>
      <c r="HG599"/>
      <c r="HH599"/>
    </row>
    <row r="600" spans="1:216" s="5" customFormat="1" ht="12.75" customHeight="1" x14ac:dyDescent="0.2">
      <c r="B600" s="7" t="s">
        <v>300</v>
      </c>
      <c r="C600" s="74">
        <v>50</v>
      </c>
      <c r="D600" s="70"/>
      <c r="E600" s="74">
        <v>50</v>
      </c>
      <c r="F600" s="74"/>
      <c r="G600" s="74">
        <v>50</v>
      </c>
      <c r="H600" s="71"/>
      <c r="I600" s="74">
        <v>50</v>
      </c>
      <c r="J600" s="352"/>
      <c r="K600" s="74">
        <v>50</v>
      </c>
      <c r="L600" s="61">
        <f>IF(ISERROR((K600/C600-1)*100),"NA",IF(((K600/C600-1)*100)&gt;100,"NM",IF(((K600/C600-1)*100)&lt;-50,"NM",(K600/C600-1)*100)))</f>
        <v>0</v>
      </c>
      <c r="M600" s="74">
        <v>50</v>
      </c>
      <c r="N600" s="61">
        <f>IF(ISERROR((M600/E600-1)*100),"NA",IF(((M600/E600-1)*100)&gt;100,"NM",IF(((M600/E600-1)*100)&lt;-50,"NM",(M600/E600-1)*100)))</f>
        <v>0</v>
      </c>
      <c r="O600" s="74">
        <v>50</v>
      </c>
      <c r="P600" s="61">
        <f>IF(ISERROR((O600/G600-1)*100),"NA",IF(((O600/G600-1)*100)&gt;100,"NM",IF(((O600/G600-1)*100)&lt;-50,"NM",(O600/G600-1)*100)))</f>
        <v>0</v>
      </c>
      <c r="Q600" s="74">
        <v>50</v>
      </c>
      <c r="R600" s="61">
        <f>IF(ISERROR((Q600/I600-1)*100),"NA",IF(((Q600/I600-1)*100)&gt;100,"NM",IF(((Q600/I600-1)*100)&lt;-50,"NM",(Q600/I600-1)*100)))</f>
        <v>0</v>
      </c>
      <c r="S600" s="74">
        <v>50</v>
      </c>
      <c r="T600" s="61">
        <f>IF(ISERROR((S600/K600-1)*100),"NA",IF(((S600/K600-1)*100)&gt;100,"NM",IF(((S600/K600-1)*100)&lt;-50,"NM",(S600/K600-1)*100)))</f>
        <v>0</v>
      </c>
      <c r="U600" s="74">
        <v>50</v>
      </c>
      <c r="V600" s="61">
        <f>IF(ISERROR((U600/M600-1)*100),"NA",IF(((U600/M600-1)*100)&gt;100,"NM",IF(((U600/M600-1)*100)&lt;-50,"NM",(U600/M600-1)*100)))</f>
        <v>0</v>
      </c>
      <c r="W600" s="74">
        <v>50</v>
      </c>
      <c r="X600" s="61">
        <f>IF(ISERROR((W600/O600-1)*100),"NA",IF(((W600/O600-1)*100)&gt;100,"NM",IF(((W600/O600-1)*100)&lt;-50,"NM",(W600/O600-1)*100)))</f>
        <v>0</v>
      </c>
      <c r="Y600" s="74">
        <v>50</v>
      </c>
      <c r="Z600" s="61">
        <f>IF(ISERROR((Y600/Q600-1)*100),"NA",IF(((Y600/Q600-1)*100)&gt;100,"NM",IF(((Y600/Q600-1)*100)&lt;-50,"NM",(Y600/Q600-1)*100)))</f>
        <v>0</v>
      </c>
      <c r="AA600" s="74">
        <v>50</v>
      </c>
      <c r="AB600" s="61">
        <f>IF(ISERROR((AA600/S600-1)*100),"NA",IF(((AA600/S600-1)*100)&gt;100,"NM",IF(((AA600/S600-1)*100)&lt;-50,"NM",(AA600/S600-1)*100)))</f>
        <v>0</v>
      </c>
      <c r="AC600" s="74">
        <v>50</v>
      </c>
      <c r="AD600" s="61">
        <f>IF(ISERROR((AC600/U600-1)*100),"NA",IF(((AC600/U600-1)*100)&gt;100,"NM",IF(((AC600/U600-1)*100)&lt;-50,"NM",(AC600/U600-1)*100)))</f>
        <v>0</v>
      </c>
      <c r="AE600" s="74">
        <v>50</v>
      </c>
      <c r="AF600" s="61">
        <f>IF(ISERROR((AE600/W600-1)*100),"NA",IF(((AE600/W600-1)*100)&gt;100,"NM",IF(((AE600/W600-1)*100)&lt;-50,"NM",(AE600/W600-1)*100)))</f>
        <v>0</v>
      </c>
      <c r="AG600" s="74">
        <v>50</v>
      </c>
      <c r="AH600" s="61">
        <f>IF(ISERROR((AG600/Y600-1)*100),"NA",IF(((AG600/Y600-1)*100)&gt;100,"NM",IF(((AG600/Y600-1)*100)&lt;-50,"NM",(AG600/Y600-1)*100)))</f>
        <v>0</v>
      </c>
      <c r="AI600" s="74">
        <v>50</v>
      </c>
      <c r="AJ600" s="61">
        <f>IF(ISERROR((AI600/AA600-1)*100),"NA",IF(((AI600/AA600-1)*100)&gt;100,"NM",IF(((AI600/AA600-1)*100)&lt;-50,"NM",(AI600/AA600-1)*100)))</f>
        <v>0</v>
      </c>
      <c r="AK600" s="74">
        <v>50</v>
      </c>
      <c r="AL600" s="61">
        <f>IF(ISERROR((AK600/AC600-1)*100),"NA",IF(((AK600/AC600-1)*100)&gt;100,"NM",IF(((AK600/AC600-1)*100)&lt;-50,"NM",(AK600/AC600-1)*100)))</f>
        <v>0</v>
      </c>
      <c r="AM600" s="74">
        <v>50</v>
      </c>
      <c r="AN600" s="61">
        <f>IF(ISERROR((AM600/AE600-1)*100),"NA",IF(((AM600/AE600-1)*100)&gt;100,"NM",IF(((AM600/AE600-1)*100)&lt;-50,"NM",(AM600/AE600-1)*100)))</f>
        <v>0</v>
      </c>
      <c r="AO600" s="74">
        <v>50</v>
      </c>
      <c r="AP600" s="61">
        <f>IF(ISERROR((AO600/AG600-1)*100),"NA",IF(((AO600/AG600-1)*100)&gt;100,"NM",IF(((AO600/AG600-1)*100)&lt;-50,"NM",(AO600/AG600-1)*100)))</f>
        <v>0</v>
      </c>
      <c r="AQ600" s="74">
        <v>50</v>
      </c>
      <c r="AR600" s="61">
        <f>IF(ISERROR((AQ600/AI600-1)*100),"NA",IF(((AQ600/AI600-1)*100)&gt;100,"NM",IF(((AQ600/AI600-1)*100)&lt;-50,"NM",(AQ600/AI600-1)*100)))</f>
        <v>0</v>
      </c>
      <c r="AS600" s="74">
        <v>50</v>
      </c>
      <c r="AT600" s="61">
        <f>IF(ISERROR((AS600/AK600-1)*100),"NA",IF(((AS600/AK600-1)*100)&gt;100,"NM",IF(((AS600/AK600-1)*100)&lt;-50,"NM",(AS600/AK600-1)*100)))</f>
        <v>0</v>
      </c>
      <c r="AU600" s="74">
        <v>50</v>
      </c>
      <c r="AV600" s="61">
        <f>IF(ISERROR((AU600/AM600-1)*100),"NA",IF(((AU600/AM600-1)*100)&gt;100,"NM",IF(((AU600/AM600-1)*100)&lt;-50,"NM",(AU600/AM600-1)*100)))</f>
        <v>0</v>
      </c>
      <c r="AW600" s="74">
        <v>50</v>
      </c>
      <c r="AX600" s="61">
        <f>IF(ISERROR((AW600/AO600-1)*100),"NA",IF(((AW600/AO600-1)*100)&gt;100,"NM",IF(((AW600/AO600-1)*100)&lt;-50,"NM",(AW600/AO600-1)*100)))</f>
        <v>0</v>
      </c>
      <c r="AY600" s="74">
        <v>50</v>
      </c>
      <c r="AZ600" s="61">
        <f>IF(ISERROR((AY600/AQ600-1)*100),"NA",IF(((AY600/AQ600-1)*100)&gt;100,"NM",IF(((AY600/AQ600-1)*100)&lt;-50,"NM",(AY600/AQ600-1)*100)))</f>
        <v>0</v>
      </c>
      <c r="BA600" s="74">
        <v>50</v>
      </c>
      <c r="BB600" s="61">
        <f t="shared" si="3344"/>
        <v>0</v>
      </c>
      <c r="BC600" s="74">
        <v>50</v>
      </c>
      <c r="BD600" s="61">
        <f t="shared" si="3345"/>
        <v>0</v>
      </c>
      <c r="BE600" s="74">
        <v>50</v>
      </c>
      <c r="BF600" s="61">
        <f t="shared" si="3346"/>
        <v>0</v>
      </c>
      <c r="BG600" s="74">
        <v>50</v>
      </c>
      <c r="BH600" s="61">
        <f>IF(ISERROR((BG600/AY600-1)*100),"NA",IF(((BG600/AY600-1)*100)&gt;100,"NM",IF(((BG600/AY600-1)*100)&lt;-50,"NM",(BG600/AY600-1)*100)))</f>
        <v>0</v>
      </c>
      <c r="BI600" s="74">
        <v>50</v>
      </c>
      <c r="BJ600" s="61">
        <f>IF(ISERROR((BI600/BA600-1)*100),"NA",IF(((BI600/BA600-1)*100)&gt;100,"NM",IF(((BI600/BA600-1)*100)&lt;-50,"NM",(BI600/BA600-1)*100)))</f>
        <v>0</v>
      </c>
      <c r="BK600" s="74">
        <v>50</v>
      </c>
      <c r="BL600" s="61">
        <f>IF(ISERROR((BK600/BC600-1)*100),"NA",IF(((BK600/BC600-1)*100)&gt;100,"NM",IF(((BK600/BC600-1)*100)&lt;-50,"NM",(BK600/BC600-1)*100)))</f>
        <v>0</v>
      </c>
      <c r="BM600" s="74">
        <v>50</v>
      </c>
      <c r="BN600" s="61">
        <f>IF(ISERROR((BM600/BE600-1)*100),"NA",IF(((BM600/BE600-1)*100)&gt;100,"NM",IF(((BM600/BE600-1)*100)&lt;-50,"NM",(BM600/BE600-1)*100)))</f>
        <v>0</v>
      </c>
      <c r="BO600" s="74">
        <v>50</v>
      </c>
      <c r="BP600" s="61">
        <f>IF(ISERROR((BO600/BG600-1)*100),"NA",IF(((BO600/BG600-1)*100)&gt;100,"NM",IF(((BO600/BG600-1)*100)&lt;-50,"NM",(BO600/BG600-1)*100)))</f>
        <v>0</v>
      </c>
      <c r="BQ600" s="74">
        <v>50</v>
      </c>
      <c r="BR600" s="61">
        <f>IF(ISERROR((BQ600/BI600-1)*100),"NA",IF(((BQ600/BI600-1)*100)&gt;100,"NM",IF(((BQ600/BI600-1)*100)&lt;-50,"NM",(BQ600/BI600-1)*100)))</f>
        <v>0</v>
      </c>
      <c r="BS600" s="74">
        <v>50</v>
      </c>
      <c r="BT600" s="61">
        <f>IF(ISERROR((BS600/BK600-1)*100),"NA",IF(((BS600/BK600-1)*100)&gt;100,"NM",IF(((BS600/BK600-1)*100)&lt;-50,"NM",(BS600/BK600-1)*100)))</f>
        <v>0</v>
      </c>
      <c r="BU600" s="74">
        <v>50</v>
      </c>
      <c r="BV600" s="61">
        <f>IF(ISERROR((BU600/BM600-1)*100),"NA",IF(((BU600/BM600-1)*100)&gt;100,"NM",IF(((BU600/BM600-1)*100)&lt;-50,"NM",(BU600/BM600-1)*100)))</f>
        <v>0</v>
      </c>
      <c r="BW600" s="74">
        <v>50</v>
      </c>
      <c r="BX600" s="61">
        <f>IF(ISERROR((BW600/BO600-1)*100),"NA",IF(((BW600/BO600-1)*100)&gt;100,"NM",IF(((BW600/BO600-1)*100)&lt;-50,"NM",(BW600/BO600-1)*100)))</f>
        <v>0</v>
      </c>
      <c r="BY600" s="74">
        <v>50</v>
      </c>
      <c r="BZ600" s="61">
        <f>IF(ISERROR((BY600/BQ600-1)*100),"NA",IF(((BY600/BQ600-1)*100)&gt;100,"NM",IF(((BY600/BQ600-1)*100)&lt;-50,"NM",(BY600/BQ600-1)*100)))</f>
        <v>0</v>
      </c>
      <c r="CA600" s="74">
        <v>50</v>
      </c>
      <c r="CB600" s="61">
        <f>IF(ISERROR((CA600/BS600-1)*100),"NA",IF(((CA600/BS600-1)*100)&gt;100,"NM",IF(((CA600/BS600-1)*100)&lt;-50,"NM",(CA600/BS600-1)*100)))</f>
        <v>0</v>
      </c>
      <c r="CC600" s="74">
        <v>50</v>
      </c>
      <c r="CD600" s="61">
        <f>IF(ISERROR((CC600/BU600-1)*100),"NA",IF(((CC600/BU600-1)*100)&gt;100,"NM",IF(((CC600/BU600-1)*100)&lt;-50,"NM",(CC600/BU600-1)*100)))</f>
        <v>0</v>
      </c>
      <c r="CE600" s="74">
        <v>50</v>
      </c>
      <c r="CF600" s="61">
        <f>IF(ISERROR((CE600/BW600-1)*100),"NA",IF(((CE600/BW600-1)*100)&gt;100,"NM",IF(((CE600/BW600-1)*100)&lt;-50,"NM",(CE600/BW600-1)*100)))</f>
        <v>0</v>
      </c>
      <c r="CG600" s="74">
        <v>50</v>
      </c>
      <c r="CH600" s="61">
        <f>IF(ISERROR((CG600/BY600-1)*100),"NA",IF(((CG600/BY600-1)*100)&gt;100,"NM",IF(((CG600/BY600-1)*100)&lt;-50,"NM",(CG600/BY600-1)*100)))</f>
        <v>0</v>
      </c>
      <c r="CI600" s="74">
        <v>50</v>
      </c>
      <c r="CJ600" s="61">
        <f>IF(ISERROR((CI600/CA600-1)*100),"NA",IF(((CI600/CA600-1)*100)&gt;100,"NM",IF(((CI600/CA600-1)*100)&lt;-50,"NM",(CI600/CA600-1)*100)))</f>
        <v>0</v>
      </c>
      <c r="CK600" s="74">
        <v>50</v>
      </c>
      <c r="CL600" s="61">
        <f>IF(ISERROR((CK600/CC600-1)*100),"NA",IF(((CK600/CC600-1)*100)&gt;100,"NM",IF(((CK600/CC600-1)*100)&lt;-50,"NM",(CK600/CC600-1)*100)))</f>
        <v>0</v>
      </c>
      <c r="CM600" s="74">
        <v>50</v>
      </c>
      <c r="CN600" s="61">
        <f>IF(ISERROR((CM600/CE600-1)*100),"NA",IF(((CM600/CE600-1)*100)&gt;100,"NM",IF(((CM600/CE600-1)*100)&lt;-50,"NM",(CM600/CE600-1)*100)))</f>
        <v>0</v>
      </c>
      <c r="CO600" s="74">
        <v>50</v>
      </c>
      <c r="CP600" s="61">
        <f>IF(ISERROR((CO600/CG600-1)*100),"NA",IF(((CO600/CG600-1)*100)&gt;100,"NM",IF(((CO600/CG600-1)*100)&lt;-50,"NM",(CO600/CG600-1)*100)))</f>
        <v>0</v>
      </c>
      <c r="CQ600" s="74">
        <v>50</v>
      </c>
      <c r="CR600" s="61">
        <f>IF(ISERROR((CQ600/CI600-1)*100),"NA",IF(((CQ600/CI600-1)*100)&gt;100,"NM",IF(((CQ600/CI600-1)*100)&lt;-50,"NM",(CQ600/CI600-1)*100)))</f>
        <v>0</v>
      </c>
      <c r="CS600" s="74">
        <v>50</v>
      </c>
      <c r="CT600" s="61">
        <f>IF(ISERROR((CS600/CK600-1)*100),"NA",IF(((CS600/CK600-1)*100)&gt;100,"NM",IF(((CS600/CK600-1)*100)&lt;-50,"NM",(CS600/CK600-1)*100)))</f>
        <v>0</v>
      </c>
      <c r="CU600" s="74">
        <v>50</v>
      </c>
      <c r="CV600" s="61">
        <f>IF(ISERROR((CU600/CM600-1)*100),"NA",IF(((CU600/CM600-1)*100)&gt;100,"NM",IF(((CU600/CM600-1)*100)&lt;-50,"NM",(CU600/CM600-1)*100)))</f>
        <v>0</v>
      </c>
      <c r="CW600" s="74">
        <v>50</v>
      </c>
      <c r="CX600" s="61">
        <f>IF(ISERROR((CW600/CO600-1)*100),"NA",IF(((CW600/CO600-1)*100)&gt;100,"NM",IF(((CW600/CO600-1)*100)&lt;-50,"NM",(CW600/CO600-1)*100)))</f>
        <v>0</v>
      </c>
      <c r="CY600" s="74">
        <v>50</v>
      </c>
      <c r="CZ600" s="61">
        <f>IF(ISERROR((CY600/CQ600-1)*100),"NA",IF(((CY600/CQ600-1)*100)&gt;100,"NM",IF(((CY600/CQ600-1)*100)&lt;-50,"NM",(CY600/CQ600-1)*100)))</f>
        <v>0</v>
      </c>
      <c r="DA600" s="74">
        <v>50</v>
      </c>
      <c r="DB600" s="61">
        <f>IF(ISERROR((DA600/CS600-1)*100),"NA",IF(((DA600/CS600-1)*100)&gt;100,"NM",IF(((DA600/CS600-1)*100)&lt;-50,"NM",(DA600/CS600-1)*100)))</f>
        <v>0</v>
      </c>
      <c r="DC600" s="74">
        <v>50</v>
      </c>
      <c r="DD600" s="61">
        <f>IF(ISERROR((DC600/CU600-1)*100),"NA",IF(((DC600/CU600-1)*100)&gt;100,"NM",IF(((DC600/CU600-1)*100)&lt;-50,"NM",(DC600/CU600-1)*100)))</f>
        <v>0</v>
      </c>
      <c r="DE600" s="74">
        <v>50</v>
      </c>
      <c r="DF600" s="61">
        <f>IF(ISERROR((DE600/CW600-1)*100),"NA",IF(((DE600/CW600-1)*100)&gt;100,"NM",IF(((DE600/CW600-1)*100)&lt;-50,"NM",(DE600/CW600-1)*100)))</f>
        <v>0</v>
      </c>
      <c r="DG600" s="74">
        <v>50</v>
      </c>
      <c r="DH600" s="61">
        <f>IF(ISERROR((DG600/CY600-1)*100),"NA",IF(((DG600/CY600-1)*100)&gt;100,"NM",IF(((DG600/CY600-1)*100)&lt;-50,"NM",(DG600/CY600-1)*100)))</f>
        <v>0</v>
      </c>
      <c r="DI600" s="74">
        <v>50</v>
      </c>
      <c r="DJ600" s="61">
        <f>IF(ISERROR((DI600/DA600-1)*100),"NA",IF(((DI600/DA600-1)*100)&gt;100,"NM",IF(((DI600/DA600-1)*100)&lt;-50,"NM",(DI600/DA600-1)*100)))</f>
        <v>0</v>
      </c>
      <c r="DK600" s="74">
        <v>50</v>
      </c>
      <c r="DL600" s="61">
        <f>IF(ISERROR((DK600/DC600-1)*100),"NA",IF(((DK600/DC600-1)*100)&gt;100,"NM",IF(((DK600/DC600-1)*100)&lt;-50,"NM",(DK600/DC600-1)*100)))</f>
        <v>0</v>
      </c>
      <c r="DM600" s="74">
        <v>50</v>
      </c>
      <c r="DN600" s="130">
        <f t="shared" si="3389"/>
        <v>0</v>
      </c>
      <c r="DO600" s="74">
        <v>50</v>
      </c>
      <c r="DP600" s="130">
        <f t="shared" si="3389"/>
        <v>0</v>
      </c>
      <c r="DQ600" s="74">
        <v>50</v>
      </c>
      <c r="DR600" s="130">
        <f t="shared" si="3389"/>
        <v>0</v>
      </c>
      <c r="DS600" s="74">
        <v>50</v>
      </c>
      <c r="DT600" s="130">
        <f t="shared" si="3389"/>
        <v>0</v>
      </c>
      <c r="DU600" s="74">
        <v>50</v>
      </c>
      <c r="DV600" s="130">
        <f t="shared" si="3389"/>
        <v>0</v>
      </c>
      <c r="DW600" s="74">
        <v>50</v>
      </c>
      <c r="DX600" s="74">
        <v>50</v>
      </c>
      <c r="DY600" s="74">
        <v>50</v>
      </c>
      <c r="DZ600" s="130">
        <f t="shared" si="3389"/>
        <v>0</v>
      </c>
      <c r="EA600" s="74">
        <v>50</v>
      </c>
      <c r="EB600" s="130">
        <f t="shared" si="3390"/>
        <v>0</v>
      </c>
      <c r="EC600" s="74">
        <v>50</v>
      </c>
      <c r="ED600" s="130">
        <f t="shared" si="3391"/>
        <v>0</v>
      </c>
      <c r="EE600" s="74">
        <v>50</v>
      </c>
      <c r="EF600" s="130">
        <f t="shared" si="3392"/>
        <v>0</v>
      </c>
      <c r="EG600" s="74">
        <v>50</v>
      </c>
      <c r="EH600" s="130">
        <f t="shared" si="3393"/>
        <v>0</v>
      </c>
      <c r="EI600" s="74">
        <v>50</v>
      </c>
      <c r="EJ600" s="130">
        <f t="shared" si="3394"/>
        <v>0</v>
      </c>
      <c r="EK600" s="74">
        <v>50</v>
      </c>
      <c r="EL600" s="130">
        <f t="shared" si="3395"/>
        <v>0</v>
      </c>
      <c r="EM600" s="74">
        <v>50</v>
      </c>
      <c r="EN600" s="130">
        <f t="shared" si="3396"/>
        <v>0</v>
      </c>
      <c r="EO600" s="74">
        <v>50</v>
      </c>
      <c r="EP600" s="130">
        <f t="shared" si="3397"/>
        <v>0</v>
      </c>
      <c r="EQ600" s="74">
        <v>50</v>
      </c>
      <c r="ER600" s="130">
        <f t="shared" si="3399"/>
        <v>0</v>
      </c>
      <c r="ES600" s="74">
        <v>50</v>
      </c>
      <c r="ET600" s="130">
        <f t="shared" si="3400"/>
        <v>0</v>
      </c>
      <c r="EU600" s="74">
        <v>50</v>
      </c>
      <c r="EV600" s="130">
        <f t="shared" si="3401"/>
        <v>0</v>
      </c>
      <c r="EW600" s="74">
        <v>50</v>
      </c>
      <c r="EX600" s="130">
        <f t="shared" si="3402"/>
        <v>0</v>
      </c>
      <c r="EY600" s="64"/>
      <c r="EZ600" s="558"/>
      <c r="FA600" s="64"/>
      <c r="FB600" s="365">
        <v>50</v>
      </c>
      <c r="FC600" s="71"/>
      <c r="FD600" s="365">
        <v>50</v>
      </c>
      <c r="FE600" s="70">
        <f>IF(ISERROR((FD600/FB600-1)*100),"NA",IF(((FD600/FB600-1)*100)&gt;100,"NM",IF(((FD600/FB600-1)*100)&lt;-50,"NM",(FD600/FB600-1)*100)))</f>
        <v>0</v>
      </c>
      <c r="FF600" s="365">
        <v>50</v>
      </c>
      <c r="FG600" s="70">
        <f>IF(ISERROR((FF600/FD600-1)*100),"NA",IF(((FF600/FD600-1)*100)&gt;100,"NM",IF(((FF600/FD600-1)*100)&lt;-50,"NM",(FF600/FD600-1)*100)))</f>
        <v>0</v>
      </c>
      <c r="FH600" s="365">
        <v>50</v>
      </c>
      <c r="FI600" s="70">
        <f>IF(ISERROR((FH600/FF600-1)*100),"NA",IF(((FH600/FF600-1)*100)&gt;100,"NM",IF(((FH600/FF600-1)*100)&lt;-50,"NM",(FH600/FF600-1)*100)))</f>
        <v>0</v>
      </c>
      <c r="FJ600" s="365">
        <v>50</v>
      </c>
      <c r="FK600" s="70">
        <f>IF(ISERROR((FJ600/FH600-1)*100),"NA",IF(((FJ600/FH600-1)*100)&gt;100,"NM",IF(((FJ600/FH600-1)*100)&lt;-50,"NM",(FJ600/FH600-1)*100)))</f>
        <v>0</v>
      </c>
      <c r="FL600" s="365">
        <v>50</v>
      </c>
      <c r="FM600" s="61">
        <f>IF(ISERROR((FL600/FJ600-1)*100),"NA",IF(((FL600/FJ600-1)*100)&gt;100,"NM",IF(((FL600/FJ600-1)*100)&lt;-50,"NM",(FL600/FJ600-1)*100)))</f>
        <v>0</v>
      </c>
      <c r="FN600" s="365">
        <v>50</v>
      </c>
      <c r="FO600" s="61">
        <f>IF(ISERROR((FN600/FL600-1)*100),"NA",IF(((FN600/FL600-1)*100)&gt;100,"NM",IF(((FN600/FL600-1)*100)&lt;-50,"NM",(FN600/FL600-1)*100)))</f>
        <v>0</v>
      </c>
      <c r="FP600" s="75">
        <v>50</v>
      </c>
      <c r="FQ600" s="61">
        <f t="shared" si="3354"/>
        <v>0</v>
      </c>
      <c r="FR600" s="75">
        <v>38</v>
      </c>
      <c r="FS600" s="61">
        <f>IF(ISERROR((FR600/FP600-1)*100),"NA",IF(((FR600/FP600-1)*100)&gt;100,"NM",IF(((FR600/FP600-1)*100)&lt;-50,"NM",(FR600/FP600-1)*100)))</f>
        <v>-24</v>
      </c>
      <c r="FT600" s="75">
        <v>38</v>
      </c>
      <c r="FU600" s="61">
        <f>IF(ISERROR((FT600/FR600-1)*100),"NA",IF(((FT600/FR600-1)*100)&gt;100,"NM",IF(((FT600/FR600-1)*100)&lt;-50,"NM",(FT600/FR600-1)*100)))</f>
        <v>0</v>
      </c>
      <c r="FV600" s="75">
        <v>38</v>
      </c>
      <c r="FW600" s="61">
        <f>IF(ISERROR((FV600/FT600-1)*100),"NA",IF(((FV600/FT600-1)*100)&gt;100,"NM",IF(((FV600/FT600-1)*100)&lt;-50,"NM",(FV600/FT600-1)*100)))</f>
        <v>0</v>
      </c>
      <c r="FX600" s="75">
        <v>38</v>
      </c>
      <c r="FY600" s="61">
        <f>IF(ISERROR((FX600/FV600-1)*100),"NA",IF(((FX600/FV600-1)*100)&gt;100,"NM",IF(((FX600/FV600-1)*100)&lt;-50,"NM",(FX600/FV600-1)*100)))</f>
        <v>0</v>
      </c>
      <c r="FZ600" s="75">
        <v>50</v>
      </c>
      <c r="GA600" s="61">
        <f>IF(ISERROR((FZ600/FX600-1)*100),"NA",IF(((FZ600/FX600-1)*100)&gt;100,"NM",IF(((FZ600/FX600-1)*100)&lt;-50,"NM",(FZ600/FX600-1)*100)))</f>
        <v>31.578947368421062</v>
      </c>
      <c r="GB600" s="75">
        <f>AVERAGE(CM600,CO600,CQ600,CS600)</f>
        <v>50</v>
      </c>
      <c r="GC600" s="61">
        <f>IF(ISERROR((GB600/FZ600-1)*100),"NA",IF(((GB600/FZ600-1)*100)&gt;100,"NM",IF(((GB600/FZ600-1)*100)&lt;-50,"NM",(GB600/FZ600-1)*100)))</f>
        <v>0</v>
      </c>
      <c r="GD600" s="75">
        <f>AVERAGE(CU600,CW600,CY600,DA600)</f>
        <v>50</v>
      </c>
      <c r="GE600" s="61">
        <f>IF(ISERROR((GD600/GB600-1)*100),"NA",IF(((GD600/GB600-1)*100)&gt;100,"NM",IF(((GD600/GB600-1)*100)&lt;-50,"NM",(GD600/GB600-1)*100)))</f>
        <v>0</v>
      </c>
      <c r="GF600" s="75">
        <f>AVERAGE(DC600,DE600,DG600,DI600)</f>
        <v>50</v>
      </c>
      <c r="GG600" s="61">
        <f>IF(ISERROR((GF600/GD600-1)*100),"NA",IF(((GF600/GD600-1)*100)&gt;100,"NM",IF(((GF600/GD600-1)*100)&lt;-50,"NM",(GF600/GD600-1)*100)))</f>
        <v>0</v>
      </c>
      <c r="GH600" s="75">
        <f>AVERAGE(DK600,DM600,DO600,DQ600)</f>
        <v>50</v>
      </c>
      <c r="GI600" s="61">
        <f>IF(ISERROR((GH600/GF600-1)*100),"NA",IF(((GH600/GF600-1)*100)&gt;100,"NM",IF(((GH600/GF600-1)*100)&lt;-50,"NM",(GH600/GF600-1)*100)))</f>
        <v>0</v>
      </c>
      <c r="GJ600" s="75">
        <f>AVERAGE(DS600,DU600,DW600,DY600)</f>
        <v>50</v>
      </c>
      <c r="GK600" s="61">
        <f>IF(ISERROR((GJ600/GH600-1)*100),"NA",IF(((GJ600/GH600-1)*100)&gt;100,"NM",IF(((GJ600/GH600-1)*100)&lt;-50,"NM",(GJ600/GH600-1)*100)))</f>
        <v>0</v>
      </c>
      <c r="GL600" s="75">
        <f>AVERAGE(EA600,EC600,EE600,EG600)</f>
        <v>50</v>
      </c>
      <c r="GM600" s="61">
        <f>IF(ISERROR((GL600/GJ600-1)*100),"NA",IF(((GL600/GJ600-1)*100)&gt;100,"NM",IF(((GL600/GJ600-1)*100)&lt;-50,"NM",(GL600/GJ600-1)*100)))</f>
        <v>0</v>
      </c>
      <c r="GN600" s="75">
        <f>AVERAGE(EI600,EK600,EM600,EO600)</f>
        <v>50</v>
      </c>
      <c r="GO600" s="61">
        <f>IF(ISERROR((GN600/GL600-1)*100),"NA",IF(((GN600/GL600-1)*100)&gt;100,"NM",IF(((GN600/GL600-1)*100)&lt;-50,"NM",(GN600/GL600-1)*100)))</f>
        <v>0</v>
      </c>
      <c r="GP600" s="75">
        <f>AVERAGE(EQ600,ES600,EU600,EW600)</f>
        <v>50</v>
      </c>
      <c r="GQ600" s="61">
        <f>IF(ISERROR((GP600/GN600-1)*100),"NA",IF(((GP600/GN600-1)*100)&gt;100,"NM",IF(((GP600/GN600-1)*100)&lt;-50,"NM",(GP600/GN600-1)*100)))</f>
        <v>0</v>
      </c>
      <c r="GR600" s="74">
        <v>45</v>
      </c>
      <c r="GS600" s="61">
        <f>IF(ISERROR((GR600/GP600-1)*100),"NA",IF(((GR600/GP600-1)*100)&gt;100,"NM",IF(((GR600/GP600-1)*100)&lt;-50,"NM",(GR600/GP600-1)*100)))</f>
        <v>-9.9999999999999982</v>
      </c>
      <c r="GT600" s="74">
        <v>45</v>
      </c>
      <c r="GU600" s="61">
        <f>IF(ISERROR((GT600/GR600-1)*100),"NA",IF(((GT600/GR600-1)*100)&gt;100,"NM",IF(((GT600/GR600-1)*100)&lt;-50,"NM",(GT600/GR600-1)*100)))</f>
        <v>0</v>
      </c>
      <c r="GV600" s="74">
        <v>45</v>
      </c>
      <c r="GW600" s="61">
        <f>IF(ISERROR((GV600/GT600-1)*100),"NA",IF(((GV600/GT600-1)*100)&gt;100,"NM",IF(((GV600/GT600-1)*100)&lt;-50,"NM",(GV600/GT600-1)*100)))</f>
        <v>0</v>
      </c>
      <c r="GX600" s="74">
        <v>48</v>
      </c>
      <c r="GY600" s="61">
        <f>IF(ISERROR((GX600/GV600-1)*100),"NA",IF(((GX600/GV600-1)*100)&gt;100,"NM",IF(((GX600/GV600-1)*100)&lt;-50,"NM",(GX600/GV600-1)*100)))</f>
        <v>6.6666666666666652</v>
      </c>
      <c r="GZ600" s="61">
        <f t="shared" si="3330"/>
        <v>-0.81311607174336942</v>
      </c>
      <c r="HA600" s="61"/>
      <c r="HB600" s="452"/>
      <c r="HC600"/>
      <c r="HD600"/>
      <c r="HE600"/>
      <c r="HF600"/>
      <c r="HG600"/>
      <c r="HH600"/>
    </row>
    <row r="601" spans="1:216" s="5" customFormat="1" ht="12.75" customHeight="1" x14ac:dyDescent="0.2">
      <c r="A601" s="5" t="s">
        <v>373</v>
      </c>
      <c r="B601" s="7" t="s">
        <v>436</v>
      </c>
      <c r="C601" s="74">
        <v>80</v>
      </c>
      <c r="D601" s="70"/>
      <c r="E601" s="188">
        <v>78.2</v>
      </c>
      <c r="F601" s="71"/>
      <c r="G601" s="368">
        <v>0</v>
      </c>
      <c r="H601" s="71"/>
      <c r="I601" s="188">
        <v>52</v>
      </c>
      <c r="J601" s="71"/>
      <c r="K601" s="365">
        <v>152</v>
      </c>
      <c r="L601" s="61">
        <f>IF(ISERROR((K601/C601-1)*100),"NA",IF(((K601/C601-1)*100)&gt;100,"NM",IF(((K601/C601-1)*100)&lt;-50,"NM",(K601/C601-1)*100)))</f>
        <v>89.999999999999986</v>
      </c>
      <c r="M601" s="188">
        <v>35.1</v>
      </c>
      <c r="N601" s="61" t="str">
        <f>IF(ISERROR((M601/E601-1)*100),"NA",IF(((M601/E601-1)*100)&gt;100,"NM",IF(((M601/E601-1)*100)&lt;-50,"NM",(M601/E601-1)*100)))</f>
        <v>NM</v>
      </c>
      <c r="O601" s="368">
        <v>182.6</v>
      </c>
      <c r="P601" s="61" t="str">
        <f>IF(ISERROR((O601/G601-1)*100),"NA",IF(((O601/G601-1)*100)&gt;100,"NM",IF(((O601/G601-1)*100)&lt;-50,"NM",(O601/G601-1)*100)))</f>
        <v>NA</v>
      </c>
      <c r="Q601" s="368">
        <v>134.30000000000001</v>
      </c>
      <c r="R601" s="61" t="str">
        <f>IF(ISERROR((Q601/I601-1)*100),"NA",IF(((Q601/I601-1)*100)&gt;100,"NM",IF(((Q601/I601-1)*100)&lt;-50,"NM",(Q601/I601-1)*100)))</f>
        <v>NM</v>
      </c>
      <c r="S601" s="368">
        <v>50.9</v>
      </c>
      <c r="T601" s="61" t="str">
        <f>IF(ISERROR((S601/K601-1)*100),"NA",IF(((S601/K601-1)*100)&gt;100,"NM",IF(((S601/K601-1)*100)&lt;-50,"NM",(S601/K601-1)*100)))</f>
        <v>NM</v>
      </c>
      <c r="U601" s="365">
        <v>175.7</v>
      </c>
      <c r="V601" s="61" t="str">
        <f>IF(ISERROR((U601/M601-1)*100),"NA",IF(((U601/M601-1)*100)&gt;100,"NM",IF(((U601/M601-1)*100)&lt;-50,"NM",(U601/M601-1)*100)))</f>
        <v>NM</v>
      </c>
      <c r="W601" s="368">
        <v>247.8</v>
      </c>
      <c r="X601" s="61">
        <f>IF(ISERROR((W601/O601-1)*100),"NA",IF(((W601/O601-1)*100)&gt;100,"NM",IF(((W601/O601-1)*100)&lt;-50,"NM",(W601/O601-1)*100)))</f>
        <v>35.706462212486322</v>
      </c>
      <c r="Y601" s="368">
        <v>0</v>
      </c>
      <c r="Z601" s="61" t="str">
        <f>IF(ISERROR((Y601/Q601-1)*100),"NA",IF(((Y601/Q601-1)*100)&gt;100,"NM",IF(((Y601/Q601-1)*100)&lt;-50,"NM",(Y601/Q601-1)*100)))</f>
        <v>NM</v>
      </c>
      <c r="AA601" s="365">
        <v>0</v>
      </c>
      <c r="AB601" s="61" t="str">
        <f>IF(ISERROR((AA601/S601-1)*100),"NA",IF(((AA601/S601-1)*100)&gt;100,"NM",IF(((AA601/S601-1)*100)&lt;-50,"NM",(AA601/S601-1)*100)))</f>
        <v>NM</v>
      </c>
      <c r="AC601" s="365">
        <v>0</v>
      </c>
      <c r="AD601" s="61" t="str">
        <f>IF(ISERROR((AC601/U601-1)*100),"NA",IF(((AC601/U601-1)*100)&gt;100,"NM",IF(((AC601/U601-1)*100)&lt;-50,"NM",(AC601/U601-1)*100)))</f>
        <v>NM</v>
      </c>
      <c r="AE601" s="365">
        <v>0</v>
      </c>
      <c r="AF601" s="61" t="str">
        <f>IF(ISERROR((AE601/W601-1)*100),"NA",IF(((AE601/W601-1)*100)&gt;100,"NM",IF(((AE601/W601-1)*100)&lt;-50,"NM",(AE601/W601-1)*100)))</f>
        <v>NM</v>
      </c>
      <c r="AG601" s="365">
        <v>0</v>
      </c>
      <c r="AH601" s="61" t="str">
        <f>IF(ISERROR((AG601/Y601-1)*100),"NA",IF(((AG601/Y601-1)*100)&gt;100,"NM",IF(((AG601/Y601-1)*100)&lt;-50,"NM",(AG601/Y601-1)*100)))</f>
        <v>NA</v>
      </c>
      <c r="AI601" s="365">
        <v>64.8</v>
      </c>
      <c r="AJ601" s="61" t="str">
        <f>IF(ISERROR((AI601/AA601-1)*100),"NA",IF(((AI601/AA601-1)*100)&gt;100,"NM",IF(((AI601/AA601-1)*100)&lt;-50,"NM",(AI601/AA601-1)*100)))</f>
        <v>NA</v>
      </c>
      <c r="AK601" s="365">
        <v>148.30000000000001</v>
      </c>
      <c r="AL601" s="61" t="str">
        <f>IF(ISERROR((AK601/AC601-1)*100),"NA",IF(((AK601/AC601-1)*100)&gt;100,"NM",IF(((AK601/AC601-1)*100)&lt;-50,"NM",(AK601/AC601-1)*100)))</f>
        <v>NA</v>
      </c>
      <c r="AM601" s="365">
        <v>73.2</v>
      </c>
      <c r="AN601" s="61" t="str">
        <f>IF(ISERROR((AM601/AE601-1)*100),"NA",IF(((AM601/AE601-1)*100)&gt;100,"NM",IF(((AM601/AE601-1)*100)&lt;-50,"NM",(AM601/AE601-1)*100)))</f>
        <v>NA</v>
      </c>
      <c r="AO601" s="365">
        <v>64</v>
      </c>
      <c r="AP601" s="61" t="str">
        <f>IF(ISERROR((AO601/AG601-1)*100),"NA",IF(((AO601/AG601-1)*100)&gt;100,"NM",IF(((AO601/AG601-1)*100)&lt;-50,"NM",(AO601/AG601-1)*100)))</f>
        <v>NA</v>
      </c>
      <c r="AQ601" s="365">
        <v>35</v>
      </c>
      <c r="AR601" s="61">
        <f>IF(ISERROR((AQ601/AI601-1)*100),"NA",IF(((AQ601/AI601-1)*100)&gt;100,"NM",IF(((AQ601/AI601-1)*100)&lt;-50,"NM",(AQ601/AI601-1)*100)))</f>
        <v>-45.987654320987644</v>
      </c>
      <c r="AS601" s="365">
        <v>69</v>
      </c>
      <c r="AT601" s="61" t="str">
        <f>IF(ISERROR((AS601/AK601-1)*100),"NA",IF(((AS601/AK601-1)*100)&gt;100,"NM",IF(((AS601/AK601-1)*100)&lt;-50,"NM",(AS601/AK601-1)*100)))</f>
        <v>NM</v>
      </c>
      <c r="AU601" s="365">
        <v>0</v>
      </c>
      <c r="AV601" s="61" t="str">
        <f>IF(ISERROR((AU601/AM601-1)*100),"NA",IF(((AU601/AM601-1)*100)&gt;100,"NM",IF(((AU601/AM601-1)*100)&lt;-50,"NM",(AU601/AM601-1)*100)))</f>
        <v>NM</v>
      </c>
      <c r="AW601" s="365">
        <v>0</v>
      </c>
      <c r="AX601" s="61" t="str">
        <f>IF(ISERROR((AW601/AO601-1)*100),"NA",IF(((AW601/AO601-1)*100)&gt;100,"NM",IF(((AW601/AO601-1)*100)&lt;-50,"NM",(AW601/AO601-1)*100)))</f>
        <v>NM</v>
      </c>
      <c r="AY601" s="365">
        <v>0</v>
      </c>
      <c r="AZ601" s="61" t="str">
        <f>IF(ISERROR((AY601/AQ601-1)*100),"NA",IF(((AY601/AQ601-1)*100)&gt;100,"NM",IF(((AY601/AQ601-1)*100)&lt;-50,"NM",(AY601/AQ601-1)*100)))</f>
        <v>NM</v>
      </c>
      <c r="BA601" s="365">
        <f>BA598*BA599</f>
        <v>455.30099999999999</v>
      </c>
      <c r="BB601" s="61" t="str">
        <f t="shared" si="3344"/>
        <v>NM</v>
      </c>
      <c r="BC601" s="365">
        <f>BC598*BC599</f>
        <v>354.12299999999999</v>
      </c>
      <c r="BD601" s="61" t="str">
        <f t="shared" si="3345"/>
        <v>NA</v>
      </c>
      <c r="BE601" s="365">
        <v>150</v>
      </c>
      <c r="BF601" s="61" t="str">
        <f t="shared" si="3346"/>
        <v>NA</v>
      </c>
      <c r="BG601" s="365">
        <v>512</v>
      </c>
      <c r="BH601" s="61" t="str">
        <f>IF(ISERROR((BG601/AY601-1)*100),"NA",IF(((BG601/AY601-1)*100)&gt;100,"NM",IF(((BG601/AY601-1)*100)&lt;-50,"NM",(BG601/AY601-1)*100)))</f>
        <v>NA</v>
      </c>
      <c r="BI601" s="365">
        <v>0</v>
      </c>
      <c r="BJ601" s="61" t="str">
        <f>IF(ISERROR((BI601/BA601-1)*100),"NA",IF(((BI601/BA601-1)*100)&gt;100,"NM",IF(((BI601/BA601-1)*100)&lt;-50,"NM",(BI601/BA601-1)*100)))</f>
        <v>NM</v>
      </c>
      <c r="BK601" s="365">
        <v>174.6</v>
      </c>
      <c r="BL601" s="61" t="str">
        <f>IF(ISERROR((BK601/BC601-1)*100),"NA",IF(((BK601/BC601-1)*100)&gt;100,"NM",IF(((BK601/BC601-1)*100)&lt;-50,"NM",(BK601/BC601-1)*100)))</f>
        <v>NM</v>
      </c>
      <c r="BM601" s="365">
        <v>299.89999999999998</v>
      </c>
      <c r="BN601" s="61">
        <f>IF(ISERROR((BM601/BE601-1)*100),"NA",IF(((BM601/BE601-1)*100)&gt;100,"NM",IF(((BM601/BE601-1)*100)&lt;-50,"NM",(BM601/BE601-1)*100)))</f>
        <v>99.933333333333323</v>
      </c>
      <c r="BO601" s="365">
        <v>286</v>
      </c>
      <c r="BP601" s="61">
        <f>IF(ISERROR((BO601/BG601-1)*100),"NA",IF(((BO601/BG601-1)*100)&gt;100,"NM",IF(((BO601/BG601-1)*100)&lt;-50,"NM",(BO601/BG601-1)*100)))</f>
        <v>-44.140625</v>
      </c>
      <c r="BQ601" s="365">
        <v>0</v>
      </c>
      <c r="BR601" s="61" t="str">
        <f>IF(ISERROR((BQ601/BI601-1)*100),"NA",IF(((BQ601/BI601-1)*100)&gt;100,"NM",IF(((BQ601/BI601-1)*100)&lt;-50,"NM",(BQ601/BI601-1)*100)))</f>
        <v>NA</v>
      </c>
      <c r="BS601" s="365">
        <v>50</v>
      </c>
      <c r="BT601" s="61" t="str">
        <f>IF(ISERROR((BS601/BK601-1)*100),"NA",IF(((BS601/BK601-1)*100)&gt;100,"NM",IF(((BS601/BK601-1)*100)&lt;-50,"NM",(BS601/BK601-1)*100)))</f>
        <v>NM</v>
      </c>
      <c r="BU601" s="365">
        <v>0</v>
      </c>
      <c r="BV601" s="61" t="str">
        <f>IF(ISERROR((BU601/BM601-1)*100),"NA",IF(((BU601/BM601-1)*100)&gt;100,"NM",IF(((BU601/BM601-1)*100)&lt;-50,"NM",(BU601/BM601-1)*100)))</f>
        <v>NM</v>
      </c>
      <c r="BW601" s="365">
        <v>0</v>
      </c>
      <c r="BX601" s="61" t="str">
        <f>IF(ISERROR((BW601/BO601-1)*100),"NA",IF(((BW601/BO601-1)*100)&gt;100,"NM",IF(((BW601/BO601-1)*100)&lt;-50,"NM",(BW601/BO601-1)*100)))</f>
        <v>NM</v>
      </c>
      <c r="BY601" s="365">
        <v>0</v>
      </c>
      <c r="BZ601" s="61" t="str">
        <f>IF(ISERROR((BY601/BQ601-1)*100),"NA",IF(((BY601/BQ601-1)*100)&gt;100,"NM",IF(((BY601/BQ601-1)*100)&lt;-50,"NM",(BY601/BQ601-1)*100)))</f>
        <v>NA</v>
      </c>
      <c r="CA601" s="365">
        <v>0</v>
      </c>
      <c r="CB601" s="61" t="str">
        <f>IF(ISERROR((CA601/BS601-1)*100),"NA",IF(((CA601/BS601-1)*100)&gt;100,"NM",IF(((CA601/BS601-1)*100)&lt;-50,"NM",(CA601/BS601-1)*100)))</f>
        <v>NM</v>
      </c>
      <c r="CC601" s="365">
        <v>0</v>
      </c>
      <c r="CD601" s="61" t="str">
        <f>IF(ISERROR((CC601/BU601-1)*100),"NA",IF(((CC601/BU601-1)*100)&gt;100,"NM",IF(((CC601/BU601-1)*100)&lt;-50,"NM",(CC601/BU601-1)*100)))</f>
        <v>NA</v>
      </c>
      <c r="CE601" s="365">
        <v>0</v>
      </c>
      <c r="CF601" s="61" t="str">
        <f>IF(ISERROR((CE601/BW601-1)*100),"NA",IF(((CE601/BW601-1)*100)&gt;100,"NM",IF(((CE601/BW601-1)*100)&lt;-50,"NM",(CE601/BW601-1)*100)))</f>
        <v>NA</v>
      </c>
      <c r="CG601" s="365">
        <v>0</v>
      </c>
      <c r="CH601" s="61" t="str">
        <f>IF(ISERROR((CG601/BY601-1)*100),"NA",IF(((CG601/BY601-1)*100)&gt;100,"NM",IF(((CG601/BY601-1)*100)&lt;-50,"NM",(CG601/BY601-1)*100)))</f>
        <v>NA</v>
      </c>
      <c r="CI601" s="365">
        <v>0</v>
      </c>
      <c r="CJ601" s="61" t="str">
        <f>IF(ISERROR((CI601/CA601-1)*100),"NA",IF(((CI601/CA601-1)*100)&gt;100,"NM",IF(((CI601/CA601-1)*100)&lt;-50,"NM",(CI601/CA601-1)*100)))</f>
        <v>NA</v>
      </c>
      <c r="CK601" s="365">
        <v>25</v>
      </c>
      <c r="CL601" s="61" t="str">
        <f>IF(ISERROR((CK601/CC601-1)*100),"NA",IF(((CK601/CC601-1)*100)&gt;100,"NM",IF(((CK601/CC601-1)*100)&lt;-50,"NM",(CK601/CC601-1)*100)))</f>
        <v>NA</v>
      </c>
      <c r="CM601" s="365">
        <v>75</v>
      </c>
      <c r="CN601" s="61" t="str">
        <f>IF(ISERROR((CM601/CE601-1)*100),"NA",IF(((CM601/CE601-1)*100)&gt;100,"NM",IF(((CM601/CE601-1)*100)&lt;-50,"NM",(CM601/CE601-1)*100)))</f>
        <v>NA</v>
      </c>
      <c r="CO601" s="365">
        <v>150.19999999999999</v>
      </c>
      <c r="CP601" s="61" t="str">
        <f>IF(ISERROR((CO601/CG601-1)*100),"NA",IF(((CO601/CG601-1)*100)&gt;100,"NM",IF(((CO601/CG601-1)*100)&lt;-50,"NM",(CO601/CG601-1)*100)))</f>
        <v>NA</v>
      </c>
      <c r="CQ601" s="365">
        <v>150.19999999999999</v>
      </c>
      <c r="CR601" s="61" t="str">
        <f>IF(ISERROR((CQ601/CI601-1)*100),"NA",IF(((CQ601/CI601-1)*100)&gt;100,"NM",IF(((CQ601/CI601-1)*100)&lt;-50,"NM",(CQ601/CI601-1)*100)))</f>
        <v>NA</v>
      </c>
      <c r="CS601" s="365">
        <v>200</v>
      </c>
      <c r="CT601" s="61" t="str">
        <f>IF(ISERROR((CS601/CK601-1)*100),"NA",IF(((CS601/CK601-1)*100)&gt;100,"NM",IF(((CS601/CK601-1)*100)&lt;-50,"NM",(CS601/CK601-1)*100)))</f>
        <v>NM</v>
      </c>
      <c r="CU601" s="365">
        <v>150</v>
      </c>
      <c r="CV601" s="61">
        <f>IF(ISERROR((CU601/CM601-1)*100),"NA",IF(((CU601/CM601-1)*100)&gt;100,"NM",IF(((CU601/CM601-1)*100)&lt;-50,"NM",(CU601/CM601-1)*100)))</f>
        <v>100</v>
      </c>
      <c r="CW601" s="365">
        <v>150</v>
      </c>
      <c r="CX601" s="61">
        <f>IF(ISERROR((CW601/CO601-1)*100),"NA",IF(((CW601/CO601-1)*100)&gt;100,"NM",IF(((CW601/CO601-1)*100)&lt;-50,"NM",(CW601/CO601-1)*100)))</f>
        <v>-0.13315579227695107</v>
      </c>
      <c r="CY601" s="365">
        <v>100</v>
      </c>
      <c r="CZ601" s="61">
        <f>IF(ISERROR((CY601/CQ601-1)*100),"NA",IF(((CY601/CQ601-1)*100)&gt;100,"NM",IF(((CY601/CQ601-1)*100)&lt;-50,"NM",(CY601/CQ601-1)*100)))</f>
        <v>-33.422103861517968</v>
      </c>
      <c r="DA601" s="365">
        <v>92</v>
      </c>
      <c r="DB601" s="61" t="str">
        <f>IF(ISERROR((DA601/CS601-1)*100),"NA",IF(((DA601/CS601-1)*100)&gt;100,"NM",IF(((DA601/CS601-1)*100)&lt;-50,"NM",(DA601/CS601-1)*100)))</f>
        <v>NM</v>
      </c>
      <c r="DC601" s="365">
        <v>100</v>
      </c>
      <c r="DD601" s="61">
        <f>IF(ISERROR((DC601/CU601-1)*100),"NA",IF(((DC601/CU601-1)*100)&gt;100,"NM",IF(((DC601/CU601-1)*100)&lt;-50,"NM",(DC601/CU601-1)*100)))</f>
        <v>-33.333333333333336</v>
      </c>
      <c r="DE601" s="365">
        <v>150</v>
      </c>
      <c r="DF601" s="61">
        <f>IF(ISERROR((DE601/CW601-1)*100),"NA",IF(((DE601/CW601-1)*100)&gt;100,"NM",IF(((DE601/CW601-1)*100)&lt;-50,"NM",(DE601/CW601-1)*100)))</f>
        <v>0</v>
      </c>
      <c r="DG601" s="365">
        <v>100</v>
      </c>
      <c r="DH601" s="61">
        <f>IF(ISERROR((DG601/CY601-1)*100),"NA",IF(((DG601/CY601-1)*100)&gt;100,"NM",IF(((DG601/CY601-1)*100)&lt;-50,"NM",(DG601/CY601-1)*100)))</f>
        <v>0</v>
      </c>
      <c r="DI601" s="365">
        <v>100</v>
      </c>
      <c r="DJ601" s="61">
        <f>IF(ISERROR((DI601/DA601-1)*100),"NA",IF(((DI601/DA601-1)*100)&gt;100,"NM",IF(((DI601/DA601-1)*100)&lt;-50,"NM",(DI601/DA601-1)*100)))</f>
        <v>8.6956521739130377</v>
      </c>
      <c r="DK601" s="365">
        <v>150</v>
      </c>
      <c r="DL601" s="61">
        <f>IF(ISERROR((DK601/DC601-1)*100),"NA",IF(((DK601/DC601-1)*100)&gt;100,"NM",IF(((DK601/DC601-1)*100)&lt;-50,"NM",(DK601/DC601-1)*100)))</f>
        <v>50</v>
      </c>
      <c r="DM601" s="365">
        <v>150</v>
      </c>
      <c r="DN601" s="130">
        <f t="shared" si="3389"/>
        <v>0</v>
      </c>
      <c r="DO601" s="365">
        <v>150</v>
      </c>
      <c r="DP601" s="130">
        <f t="shared" si="3389"/>
        <v>50</v>
      </c>
      <c r="DQ601" s="365">
        <v>200</v>
      </c>
      <c r="DR601" s="130">
        <f t="shared" si="3389"/>
        <v>100</v>
      </c>
      <c r="DS601" s="365">
        <v>350</v>
      </c>
      <c r="DT601" s="130" t="str">
        <f t="shared" si="3389"/>
        <v>NM</v>
      </c>
      <c r="DU601" s="365">
        <v>150</v>
      </c>
      <c r="DV601" s="130">
        <f t="shared" si="3389"/>
        <v>0</v>
      </c>
      <c r="DW601" s="365">
        <v>200</v>
      </c>
      <c r="DX601" s="365">
        <v>200</v>
      </c>
      <c r="DY601" s="365">
        <v>200</v>
      </c>
      <c r="DZ601" s="61">
        <f t="shared" si="3389"/>
        <v>0</v>
      </c>
      <c r="EA601" s="365">
        <v>200</v>
      </c>
      <c r="EB601" s="61">
        <f t="shared" si="3390"/>
        <v>-42.857142857142861</v>
      </c>
      <c r="EC601" s="365">
        <v>275</v>
      </c>
      <c r="ED601" s="61">
        <f t="shared" si="3391"/>
        <v>83.333333333333329</v>
      </c>
      <c r="EE601" s="365">
        <v>200</v>
      </c>
      <c r="EF601" s="61">
        <f t="shared" si="3392"/>
        <v>0</v>
      </c>
      <c r="EG601" s="365">
        <v>204</v>
      </c>
      <c r="EH601" s="61">
        <f t="shared" si="3393"/>
        <v>2.0000000000000018</v>
      </c>
      <c r="EI601" s="365">
        <v>200</v>
      </c>
      <c r="EJ601" s="61">
        <f t="shared" si="3394"/>
        <v>0</v>
      </c>
      <c r="EK601" s="365">
        <v>200</v>
      </c>
      <c r="EL601" s="61">
        <f t="shared" si="3395"/>
        <v>-27.27272727272727</v>
      </c>
      <c r="EM601" s="365">
        <v>200</v>
      </c>
      <c r="EN601" s="61">
        <f t="shared" si="3396"/>
        <v>0</v>
      </c>
      <c r="EO601" s="365">
        <v>125</v>
      </c>
      <c r="EP601" s="61">
        <f t="shared" si="3397"/>
        <v>-38.725490196078425</v>
      </c>
      <c r="EQ601" s="365">
        <v>0</v>
      </c>
      <c r="ER601" s="61" t="str">
        <f t="shared" si="3399"/>
        <v>NM</v>
      </c>
      <c r="ES601" s="365">
        <v>0</v>
      </c>
      <c r="ET601" s="61" t="str">
        <f t="shared" si="3400"/>
        <v>NM</v>
      </c>
      <c r="EU601" s="365">
        <v>100</v>
      </c>
      <c r="EV601" s="61">
        <f t="shared" si="3401"/>
        <v>-50</v>
      </c>
      <c r="EW601" s="365">
        <f t="shared" ref="EW601" si="3412">EU601</f>
        <v>100</v>
      </c>
      <c r="EX601" s="61">
        <f t="shared" si="3402"/>
        <v>-19.999999999999996</v>
      </c>
      <c r="EY601" s="64"/>
      <c r="EZ601" s="558"/>
      <c r="FA601" s="64"/>
      <c r="FB601" s="72">
        <v>46.9</v>
      </c>
      <c r="FC601" s="71"/>
      <c r="FD601" s="72">
        <v>377.7</v>
      </c>
      <c r="FE601" s="70" t="str">
        <f>IF(ISERROR((FD601/FB601-1)*100),"NA",IF(((FD601/FB601-1)*100)&gt;100,"NM",IF(((FD601/FB601-1)*100)&lt;-50,"NM",(FD601/FB601-1)*100)))</f>
        <v>NM</v>
      </c>
      <c r="FF601" s="378">
        <f>C601+E601+G601+I601</f>
        <v>210.2</v>
      </c>
      <c r="FG601" s="70">
        <f>IF(ISERROR((FF601/FD601-1)*100),"NA",IF(((FF601/FD601-1)*100)&gt;100,"NM",IF(((FF601/FD601-1)*100)&lt;-50,"NM",(FF601/FD601-1)*100)))</f>
        <v>-44.347365634101145</v>
      </c>
      <c r="FH601" s="378">
        <f>K601+M601+O601+Q601</f>
        <v>504</v>
      </c>
      <c r="FI601" s="70" t="str">
        <f>IF(ISERROR((FH601/FF601-1)*100),"NA",IF(((FH601/FF601-1)*100)&gt;100,"NM",IF(((FH601/FF601-1)*100)&lt;-50,"NM",(FH601/FF601-1)*100)))</f>
        <v>NM</v>
      </c>
      <c r="FJ601" s="378">
        <f>S601+U601+W601+Y601</f>
        <v>474.4</v>
      </c>
      <c r="FK601" s="70">
        <f>IF(ISERROR((FJ601/FH601-1)*100),"NA",IF(((FJ601/FH601-1)*100)&gt;100,"NM",IF(((FJ601/FH601-1)*100)&lt;-50,"NM",(FJ601/FH601-1)*100)))</f>
        <v>-5.8730158730158744</v>
      </c>
      <c r="FL601" s="69">
        <f>AA601+AC601+AE601+AG601</f>
        <v>0</v>
      </c>
      <c r="FM601" s="61" t="str">
        <f>IF(ISERROR((FL601/FJ601-1)*100),"NA",IF(((FL601/FJ601-1)*100)&gt;100,"NM",IF(((FL601/FJ601-1)*100)&lt;-50,"NM",(FL601/FJ601-1)*100)))</f>
        <v>NM</v>
      </c>
      <c r="FN601" s="69">
        <f>AI601+AK601+AM601+AO601</f>
        <v>350.3</v>
      </c>
      <c r="FO601" s="61" t="str">
        <f>IF(ISERROR((FN601/FL601-1)*100),"NA",IF(((FN601/FL601-1)*100)&gt;100,"NM",IF(((FN601/FL601-1)*100)&lt;-50,"NM",(FN601/FL601-1)*100)))</f>
        <v>NA</v>
      </c>
      <c r="FP601" s="270">
        <f>AQ601+AS601+AU601+AW601</f>
        <v>104</v>
      </c>
      <c r="FQ601" s="61" t="str">
        <f t="shared" si="3354"/>
        <v>NM</v>
      </c>
      <c r="FR601" s="270">
        <f>AY601+BA601+BC601+BE601</f>
        <v>959.42399999999998</v>
      </c>
      <c r="FS601" s="61" t="str">
        <f>IF(ISERROR((FR601/FP601-1)*100),"NA",IF(((FR601/FP601-1)*100)&gt;100,"NM",IF(((FR601/FP601-1)*100)&lt;-50,"NM",(FR601/FP601-1)*100)))</f>
        <v>NM</v>
      </c>
      <c r="FT601" s="270">
        <f>BG601+BI601+BK601+BM601</f>
        <v>986.5</v>
      </c>
      <c r="FU601" s="61">
        <f>IF(ISERROR((FT601/FR601-1)*100),"NA",IF(((FT601/FR601-1)*100)&gt;100,"NM",IF(((FT601/FR601-1)*100)&lt;-50,"NM",(FT601/FR601-1)*100)))</f>
        <v>2.8221099326262378</v>
      </c>
      <c r="FV601" s="270">
        <f>BO601+BQ601+BS601+BU601</f>
        <v>336</v>
      </c>
      <c r="FW601" s="61" t="str">
        <f>IF(ISERROR((FV601/FT601-1)*100),"NA",IF(((FV601/FT601-1)*100)&gt;100,"NM",IF(((FV601/FT601-1)*100)&lt;-50,"NM",(FV601/FT601-1)*100)))</f>
        <v>NM</v>
      </c>
      <c r="FX601" s="75">
        <f>BW601+BY601+CA601+CC601</f>
        <v>0</v>
      </c>
      <c r="FY601" s="61" t="str">
        <f>IF(ISERROR((FX601/FV601-1)*100),"NA",IF(((FX601/FV601-1)*100)&gt;100,"NM",IF(((FX601/FV601-1)*100)&lt;-50,"NM",(FX601/FV601-1)*100)))</f>
        <v>NM</v>
      </c>
      <c r="FZ601" s="75">
        <f>CE601+CG601+CI601+CK601</f>
        <v>25</v>
      </c>
      <c r="GA601" s="61" t="str">
        <f>IF(ISERROR((FZ601/FX601-1)*100),"NA",IF(((FZ601/FX601-1)*100)&gt;100,"NM",IF(((FZ601/FX601-1)*100)&lt;-50,"NM",(FZ601/FX601-1)*100)))</f>
        <v>NA</v>
      </c>
      <c r="GB601" s="75">
        <f>CM601+CO601+CQ601+CS601</f>
        <v>575.4</v>
      </c>
      <c r="GC601" s="61" t="str">
        <f>IF(ISERROR((GB601/FZ601-1)*100),"NA",IF(((GB601/FZ601-1)*100)&gt;100,"NM",IF(((GB601/FZ601-1)*100)&lt;-50,"NM",(GB601/FZ601-1)*100)))</f>
        <v>NM</v>
      </c>
      <c r="GD601" s="75">
        <f>CU601+CW601+CY601+DA601</f>
        <v>492</v>
      </c>
      <c r="GE601" s="61">
        <f>IF(ISERROR((GD601/GB601-1)*100),"NA",IF(((GD601/GB601-1)*100)&gt;100,"NM",IF(((GD601/GB601-1)*100)&lt;-50,"NM",(GD601/GB601-1)*100)))</f>
        <v>-14.494264859228355</v>
      </c>
      <c r="GF601" s="75">
        <f>DC601+DE601+DG601+DI601</f>
        <v>450</v>
      </c>
      <c r="GG601" s="61">
        <f>IF(ISERROR((GF601/GD601-1)*100),"NA",IF(((GF601/GD601-1)*100)&gt;100,"NM",IF(((GF601/GD601-1)*100)&lt;-50,"NM",(GF601/GD601-1)*100)))</f>
        <v>-8.5365853658536555</v>
      </c>
      <c r="GH601" s="75">
        <f>DK601+DM601+DO601+DQ601</f>
        <v>650</v>
      </c>
      <c r="GI601" s="61">
        <f>IF(ISERROR((GH601/GF601-1)*100),"NA",IF(((GH601/GF601-1)*100)&gt;100,"NM",IF(((GH601/GF601-1)*100)&lt;-50,"NM",(GH601/GF601-1)*100)))</f>
        <v>44.444444444444443</v>
      </c>
      <c r="GJ601" s="75">
        <f>DS601+DU601+DW601+DY601</f>
        <v>900</v>
      </c>
      <c r="GK601" s="61">
        <f>IF(ISERROR((GJ601/GH601-1)*100),"NA",IF(((GJ601/GH601-1)*100)&gt;100,"NM",IF(((GJ601/GH601-1)*100)&lt;-50,"NM",(GJ601/GH601-1)*100)))</f>
        <v>38.46153846153846</v>
      </c>
      <c r="GL601" s="75">
        <f>EA601+EC601+EE601+EG601</f>
        <v>879</v>
      </c>
      <c r="GM601" s="61">
        <f>IF(ISERROR((GL601/GJ601-1)*100),"NA",IF(((GL601/GJ601-1)*100)&gt;100,"NM",IF(((GL601/GJ601-1)*100)&lt;-50,"NM",(GL601/GJ601-1)*100)))</f>
        <v>-2.3333333333333317</v>
      </c>
      <c r="GN601" s="75">
        <f>EI601+EK601+EM601+EO601</f>
        <v>725</v>
      </c>
      <c r="GO601" s="61">
        <f>IF(ISERROR((GN601/GL601-1)*100),"NA",IF(((GN601/GL601-1)*100)&gt;100,"NM",IF(((GN601/GL601-1)*100)&lt;-50,"NM",(GN601/GL601-1)*100)))</f>
        <v>-17.519908987485778</v>
      </c>
      <c r="GP601" s="75">
        <f>EQ601+ES601+EU601+EW601</f>
        <v>200</v>
      </c>
      <c r="GQ601" s="61" t="str">
        <f>IF(ISERROR((GP601/GN601-1)*100),"NA",IF(((GP601/GN601-1)*100)&gt;100,"NM",IF(((GP601/GN601-1)*100)&lt;-50,"NM",(GP601/GN601-1)*100)))</f>
        <v>NM</v>
      </c>
      <c r="GR601" s="365">
        <v>400</v>
      </c>
      <c r="GS601" s="61">
        <f>IF(ISERROR((GR601/GP601-1)*100),"NA",IF(((GR601/GP601-1)*100)&gt;100,"NM",IF(((GR601/GP601-1)*100)&lt;-50,"NM",(GR601/GP601-1)*100)))</f>
        <v>100</v>
      </c>
      <c r="GT601" s="365">
        <v>500</v>
      </c>
      <c r="GU601" s="61">
        <f>IF(ISERROR((GT601/GR601-1)*100),"NA",IF(((GT601/GR601-1)*100)&gt;100,"NM",IF(((GT601/GR601-1)*100)&lt;-50,"NM",(GT601/GR601-1)*100)))</f>
        <v>25</v>
      </c>
      <c r="GV601" s="365">
        <v>600</v>
      </c>
      <c r="GW601" s="61">
        <f>IF(ISERROR((GV601/GT601-1)*100),"NA",IF(((GV601/GT601-1)*100)&gt;100,"NM",IF(((GV601/GT601-1)*100)&lt;-50,"NM",(GV601/GT601-1)*100)))</f>
        <v>19.999999999999996</v>
      </c>
      <c r="GX601" s="365">
        <f>GV601+25</f>
        <v>625</v>
      </c>
      <c r="GY601" s="61">
        <f>IF(ISERROR((GX601/GV601-1)*100),"NA",IF(((GX601/GV601-1)*100)&gt;100,"NM",IF(((GX601/GV601-1)*100)&lt;-50,"NM",(GX601/GV601-1)*100)))</f>
        <v>4.1666666666666741</v>
      </c>
      <c r="GZ601" s="61">
        <f t="shared" si="3330"/>
        <v>-2.9247758199096863</v>
      </c>
      <c r="HA601" s="61"/>
      <c r="HB601" s="452"/>
      <c r="HC601"/>
      <c r="HD601"/>
      <c r="HE601"/>
      <c r="HF601"/>
      <c r="HG601"/>
      <c r="HH601"/>
    </row>
    <row r="602" spans="1:216" s="112" customFormat="1" ht="12.75" hidden="1" customHeight="1" outlineLevel="1" x14ac:dyDescent="0.2">
      <c r="B602" s="117" t="s">
        <v>31</v>
      </c>
      <c r="C602" s="474"/>
      <c r="D602" s="114"/>
      <c r="E602" s="493"/>
      <c r="F602" s="115"/>
      <c r="G602" s="494"/>
      <c r="H602" s="115"/>
      <c r="I602" s="493"/>
      <c r="J602" s="115"/>
      <c r="K602" s="495"/>
      <c r="L602" s="116"/>
      <c r="M602" s="493"/>
      <c r="N602" s="116"/>
      <c r="O602" s="494"/>
      <c r="P602" s="116"/>
      <c r="Q602" s="494"/>
      <c r="R602" s="116"/>
      <c r="S602" s="494"/>
      <c r="T602" s="116"/>
      <c r="U602" s="495"/>
      <c r="V602" s="116"/>
      <c r="W602" s="494"/>
      <c r="X602" s="116"/>
      <c r="Y602" s="494"/>
      <c r="Z602" s="116"/>
      <c r="AA602" s="495"/>
      <c r="AB602" s="116"/>
      <c r="AC602" s="495"/>
      <c r="AD602" s="116"/>
      <c r="AE602" s="495"/>
      <c r="AF602" s="116"/>
      <c r="AG602" s="495"/>
      <c r="AH602" s="116"/>
      <c r="AI602" s="495"/>
      <c r="AJ602" s="116"/>
      <c r="AK602" s="495"/>
      <c r="AL602" s="116"/>
      <c r="AM602" s="495"/>
      <c r="AN602" s="116"/>
      <c r="AO602" s="495"/>
      <c r="AP602" s="116"/>
      <c r="AQ602" s="495"/>
      <c r="AR602" s="116"/>
      <c r="AS602" s="495"/>
      <c r="AT602" s="116"/>
      <c r="AU602" s="495"/>
      <c r="AV602" s="116"/>
      <c r="AW602" s="495"/>
      <c r="AX602" s="116"/>
      <c r="AY602" s="495"/>
      <c r="AZ602" s="116"/>
      <c r="BA602" s="495"/>
      <c r="BB602" s="116"/>
      <c r="BC602" s="495"/>
      <c r="BD602" s="116"/>
      <c r="BE602" s="495"/>
      <c r="BF602" s="116"/>
      <c r="BG602" s="495"/>
      <c r="BH602" s="116"/>
      <c r="BI602" s="495"/>
      <c r="BJ602" s="116"/>
      <c r="BK602" s="495"/>
      <c r="BL602" s="116"/>
      <c r="BM602" s="495"/>
      <c r="BN602" s="116"/>
      <c r="BO602" s="495"/>
      <c r="BP602" s="116"/>
      <c r="BQ602" s="495"/>
      <c r="BR602" s="116"/>
      <c r="BS602" s="495"/>
      <c r="BT602" s="116"/>
      <c r="BU602" s="495"/>
      <c r="BV602" s="116"/>
      <c r="BW602" s="425"/>
      <c r="BX602" s="116"/>
      <c r="BY602" s="425"/>
      <c r="BZ602" s="116"/>
      <c r="CA602" s="425"/>
      <c r="CB602" s="116"/>
      <c r="CC602" s="425"/>
      <c r="CD602" s="116"/>
      <c r="CE602" s="425"/>
      <c r="CF602" s="116"/>
      <c r="CG602" s="425"/>
      <c r="CH602" s="116"/>
      <c r="CI602" s="425"/>
      <c r="CJ602" s="116"/>
      <c r="CK602" s="425">
        <f>CK601</f>
        <v>25</v>
      </c>
      <c r="CL602" s="116"/>
      <c r="CM602" s="425">
        <f>CM601</f>
        <v>75</v>
      </c>
      <c r="CN602" s="116"/>
      <c r="CO602" s="425">
        <f>CO601</f>
        <v>150.19999999999999</v>
      </c>
      <c r="CP602" s="116"/>
      <c r="CQ602" s="425">
        <f>CQ601</f>
        <v>150.19999999999999</v>
      </c>
      <c r="CR602" s="116"/>
      <c r="CS602" s="425">
        <f>CS601</f>
        <v>200</v>
      </c>
      <c r="CT602" s="116"/>
      <c r="CU602" s="425">
        <f>CU601</f>
        <v>150</v>
      </c>
      <c r="CV602" s="116"/>
      <c r="CW602" s="425">
        <f>CW601</f>
        <v>150</v>
      </c>
      <c r="CX602" s="116"/>
      <c r="CY602" s="425">
        <f>CY601</f>
        <v>100</v>
      </c>
      <c r="CZ602" s="116"/>
      <c r="DA602" s="425">
        <f>DA601</f>
        <v>92</v>
      </c>
      <c r="DB602" s="116"/>
      <c r="DC602" s="425">
        <f>DC601</f>
        <v>100</v>
      </c>
      <c r="DD602" s="116"/>
      <c r="DE602" s="425">
        <f>DE601</f>
        <v>150</v>
      </c>
      <c r="DF602" s="116"/>
      <c r="DG602" s="425">
        <f>DG601</f>
        <v>100</v>
      </c>
      <c r="DH602" s="116"/>
      <c r="DI602" s="425">
        <f>DI601</f>
        <v>100</v>
      </c>
      <c r="DJ602" s="116"/>
      <c r="DK602" s="425">
        <f>DK601</f>
        <v>150</v>
      </c>
      <c r="DL602" s="116"/>
      <c r="DM602" s="425">
        <f>DM601</f>
        <v>150</v>
      </c>
      <c r="DN602" s="116"/>
      <c r="DO602" s="425">
        <f>DO601</f>
        <v>150</v>
      </c>
      <c r="DP602" s="116"/>
      <c r="DQ602" s="425">
        <f>DQ601</f>
        <v>200</v>
      </c>
      <c r="DR602" s="116"/>
      <c r="DS602" s="425">
        <f>DS601</f>
        <v>350</v>
      </c>
      <c r="DT602" s="116"/>
      <c r="DU602" s="425">
        <f>DU601</f>
        <v>150</v>
      </c>
      <c r="DV602" s="116"/>
      <c r="DW602" s="425">
        <f>DW601</f>
        <v>200</v>
      </c>
      <c r="DX602" s="425">
        <f t="shared" ref="DX602:DY602" si="3413">DX601</f>
        <v>200</v>
      </c>
      <c r="DY602" s="425">
        <f t="shared" si="3413"/>
        <v>200</v>
      </c>
      <c r="DZ602" s="116"/>
      <c r="EA602" s="425">
        <f t="shared" ref="EA602:EC602" si="3414">EA601</f>
        <v>200</v>
      </c>
      <c r="EB602" s="116"/>
      <c r="EC602" s="425">
        <f t="shared" si="3414"/>
        <v>275</v>
      </c>
      <c r="ED602" s="116"/>
      <c r="EE602" s="425">
        <f t="shared" ref="EE602:EG602" si="3415">EE601</f>
        <v>200</v>
      </c>
      <c r="EF602" s="116"/>
      <c r="EG602" s="425">
        <f t="shared" si="3415"/>
        <v>204</v>
      </c>
      <c r="EH602" s="116"/>
      <c r="EI602" s="425">
        <f t="shared" ref="EI602" si="3416">EI601</f>
        <v>200</v>
      </c>
      <c r="EJ602" s="116"/>
      <c r="EK602" s="425">
        <f t="shared" ref="EK602:EM602" si="3417">IF($B$6=1,EK601,IF($B$6=2,EK601+EK765,IF($B$6=3,EK601+EK766)))</f>
        <v>200</v>
      </c>
      <c r="EL602" s="116"/>
      <c r="EM602" s="425">
        <f t="shared" si="3417"/>
        <v>200</v>
      </c>
      <c r="EN602" s="116"/>
      <c r="EO602" s="425">
        <f t="shared" ref="EO602" si="3418">IF($B$6=1,EO601,IF($B$6=2,EO601+EO765,IF($B$6=3,EO601+EO766)))</f>
        <v>125</v>
      </c>
      <c r="EP602" s="116"/>
      <c r="EQ602" s="425">
        <f t="shared" ref="EQ602:EW602" si="3419">IF($B$6=1,EQ601,IF($B$6=2,EQ601+EQ765,IF($B$6=3,EQ601+EQ766)))</f>
        <v>0</v>
      </c>
      <c r="ER602" s="116"/>
      <c r="ES602" s="425">
        <f t="shared" si="3419"/>
        <v>0</v>
      </c>
      <c r="ET602" s="116"/>
      <c r="EU602" s="425">
        <f t="shared" si="3419"/>
        <v>100</v>
      </c>
      <c r="EV602" s="116"/>
      <c r="EW602" s="425">
        <f t="shared" si="3419"/>
        <v>100</v>
      </c>
      <c r="EX602" s="116"/>
      <c r="EY602" s="115"/>
      <c r="EZ602" s="558"/>
      <c r="FA602" s="115"/>
      <c r="FB602" s="473"/>
      <c r="FC602" s="115"/>
      <c r="FD602" s="473"/>
      <c r="FE602" s="114"/>
      <c r="FF602" s="495"/>
      <c r="FG602" s="114"/>
      <c r="FH602" s="495"/>
      <c r="FI602" s="114"/>
      <c r="FJ602" s="495"/>
      <c r="FK602" s="114"/>
      <c r="FL602" s="473"/>
      <c r="FM602" s="116"/>
      <c r="FN602" s="473"/>
      <c r="FO602" s="116"/>
      <c r="FP602" s="425"/>
      <c r="FQ602" s="116"/>
      <c r="FR602" s="425"/>
      <c r="FS602" s="116"/>
      <c r="FT602" s="425"/>
      <c r="FU602" s="116"/>
      <c r="FV602" s="425"/>
      <c r="FW602" s="116"/>
      <c r="FX602" s="425"/>
      <c r="FY602" s="116"/>
      <c r="FZ602" s="425"/>
      <c r="GA602" s="116"/>
      <c r="GB602" s="425"/>
      <c r="GC602" s="116"/>
      <c r="GD602" s="425"/>
      <c r="GE602" s="116"/>
      <c r="GF602" s="425"/>
      <c r="GG602" s="116"/>
      <c r="GH602" s="425"/>
      <c r="GI602" s="116"/>
      <c r="GJ602" s="425"/>
      <c r="GK602" s="116"/>
      <c r="GL602" s="425"/>
      <c r="GM602" s="116"/>
      <c r="GN602" s="425"/>
      <c r="GO602" s="116"/>
      <c r="GP602" s="425"/>
      <c r="GQ602" s="116"/>
      <c r="GR602" s="425">
        <f>IF($B$6=1,GR601,IF($B$6=2,GR601+GR765,IF($B$6=3,GR601+GR766)))</f>
        <v>400</v>
      </c>
      <c r="GS602" s="116"/>
      <c r="GT602" s="425">
        <f>IF($B$6=1,GT601,IF($B$6=2,GT601+GT765,IF($B$6=3,GT601+GT766)))</f>
        <v>500</v>
      </c>
      <c r="GU602" s="116"/>
      <c r="GV602" s="425">
        <f>IF($B$6=1,GV601,IF($B$6=2,GV601+GV765,IF($B$6=3,GV601+GV766)))</f>
        <v>600</v>
      </c>
      <c r="GW602" s="116"/>
      <c r="GX602" s="425">
        <f>IF($B$6=1,GX601,IF($B$6=2,GX601+GX765,IF($B$6=3,GX601+GX766)))</f>
        <v>625</v>
      </c>
      <c r="GY602" s="116"/>
      <c r="GZ602" s="116" t="str">
        <f t="shared" si="3330"/>
        <v/>
      </c>
      <c r="HA602" s="116"/>
      <c r="HB602" s="475"/>
      <c r="HC602"/>
      <c r="HD602"/>
      <c r="HE602"/>
      <c r="HF602"/>
      <c r="HG602"/>
      <c r="HH602"/>
    </row>
    <row r="603" spans="1:216" s="5" customFormat="1" ht="12.75" hidden="1" customHeight="1" outlineLevel="1" x14ac:dyDescent="0.2">
      <c r="B603" s="7" t="s">
        <v>56</v>
      </c>
      <c r="C603" s="75"/>
      <c r="D603" s="422"/>
      <c r="E603" s="270"/>
      <c r="F603" s="65"/>
      <c r="G603" s="270"/>
      <c r="H603" s="65"/>
      <c r="I603" s="270"/>
      <c r="J603" s="65"/>
      <c r="K603" s="270"/>
      <c r="L603" s="13"/>
      <c r="M603" s="270"/>
      <c r="N603" s="13"/>
      <c r="O603" s="270"/>
      <c r="P603" s="13"/>
      <c r="Q603" s="270"/>
      <c r="R603" s="13"/>
      <c r="S603" s="270"/>
      <c r="T603" s="13"/>
      <c r="U603" s="270"/>
      <c r="V603" s="13"/>
      <c r="W603" s="270"/>
      <c r="X603" s="13"/>
      <c r="Y603" s="270"/>
      <c r="Z603" s="13"/>
      <c r="AA603" s="270"/>
      <c r="AB603" s="13"/>
      <c r="AC603" s="270"/>
      <c r="AD603" s="13"/>
      <c r="AE603" s="270"/>
      <c r="AF603" s="13"/>
      <c r="AG603" s="270"/>
      <c r="AH603" s="13"/>
      <c r="AI603" s="270"/>
      <c r="AJ603" s="13"/>
      <c r="AK603" s="270"/>
      <c r="AL603" s="13"/>
      <c r="AM603" s="270"/>
      <c r="AN603" s="13"/>
      <c r="AO603" s="270"/>
      <c r="AP603" s="13"/>
      <c r="AQ603" s="270"/>
      <c r="AR603" s="13"/>
      <c r="AS603" s="270"/>
      <c r="AT603" s="13"/>
      <c r="AU603" s="270"/>
      <c r="AV603" s="13"/>
      <c r="AW603" s="270"/>
      <c r="AX603" s="13"/>
      <c r="AY603" s="270">
        <f>+AY655+AY590-AY568+(AW656-AY656)-AW655</f>
        <v>23.342000000000553</v>
      </c>
      <c r="AZ603" s="13"/>
      <c r="BA603" s="270">
        <f>+BA655+BA590-BA568+(AY656-BA656)-AY655</f>
        <v>5208.3280000000004</v>
      </c>
      <c r="BB603" s="13"/>
      <c r="BC603" s="270">
        <f>+BC655+BC590-BC568+(BA656-BC656)-BA655</f>
        <v>-183.04799999999886</v>
      </c>
      <c r="BD603" s="13"/>
      <c r="BE603" s="270">
        <f>+BE655+BE590-BE568+(BC656-BE656)-BC655</f>
        <v>-93.808000000000902</v>
      </c>
      <c r="BF603" s="13"/>
      <c r="BG603" s="270">
        <f>+BG655+BG590-BG568+(BE656-BG656)-BE655</f>
        <v>-477.99749999999949</v>
      </c>
      <c r="BH603" s="13"/>
      <c r="BI603" s="270">
        <f>+BI655+BI590-BI568+(BG656-BI656)-BG655</f>
        <v>76.688000000000102</v>
      </c>
      <c r="BJ603" s="13"/>
      <c r="BK603" s="270">
        <f>+BK655+BK590-BK568+(BI656-BK656)-BI655</f>
        <v>-235.46249999999964</v>
      </c>
      <c r="BL603" s="13"/>
      <c r="BM603" s="270">
        <f>+BM655+BM590-BM568+(BK656-BM656)-BK655</f>
        <v>-221.29900000000089</v>
      </c>
      <c r="BN603" s="13"/>
      <c r="BO603" s="270">
        <f>+BO655+BO590-BO568+(BM656-BO656)-BM655</f>
        <v>-404.7559999999994</v>
      </c>
      <c r="BP603" s="13"/>
      <c r="BQ603" s="270">
        <f>+BQ655+BQ590-BQ568+(BO656-BQ656)-BO655</f>
        <v>-119.06599999999708</v>
      </c>
      <c r="BR603" s="13"/>
      <c r="BS603" s="270">
        <f>+BS655+BS590-BS568+(BQ656-BS656)-BQ655</f>
        <v>-36.377325000001292</v>
      </c>
      <c r="BT603" s="13"/>
      <c r="BU603" s="270">
        <f>+BU655+BU590-BU568+(BS656-BU656)-BS655</f>
        <v>29.89600000000064</v>
      </c>
      <c r="BV603" s="13"/>
      <c r="BW603" s="270">
        <f>+BW655+BW590-BW568+(BU656-BW656)-BU655</f>
        <v>99.377999999999702</v>
      </c>
      <c r="BX603" s="13"/>
      <c r="BY603" s="270">
        <f>+BY655+BY590-BY568+(BW656-BY656)-BW655</f>
        <v>647.32399999999961</v>
      </c>
      <c r="BZ603" s="13"/>
      <c r="CA603" s="270">
        <f>+CA655+CA590-CA568+(BY656-CA656)-BY655</f>
        <v>159.89000000000124</v>
      </c>
      <c r="CB603" s="13"/>
      <c r="CC603" s="270">
        <f>+CC655+CC590-CC568+(CA656-CC656)-CA655</f>
        <v>-1.7840000000014697</v>
      </c>
      <c r="CD603" s="13"/>
      <c r="CE603" s="270">
        <f>+CE655+CE590-CE568+(CC656-CE656)-CC655</f>
        <v>-145.3791999999994</v>
      </c>
      <c r="CF603" s="13"/>
      <c r="CG603" s="270">
        <f>+CG655+CG590-CG568+(CE656-CG656)-CE655</f>
        <v>362.44599999999809</v>
      </c>
      <c r="CH603" s="13"/>
      <c r="CI603" s="270">
        <f>+CI655+CI590-CI568+(CG656-CI656)-CG655</f>
        <v>-44.143000000001848</v>
      </c>
      <c r="CJ603" s="13"/>
      <c r="CK603" s="270">
        <f>+CK655+CK590-CK568+(CI656-CK656)-CI655</f>
        <v>-30.365999999998166</v>
      </c>
      <c r="CL603" s="13"/>
      <c r="CM603" s="270">
        <f>+CM655+CM590-CM568+(CK656-CM656)-CK655</f>
        <v>-1169.5550000000003</v>
      </c>
      <c r="CN603" s="13"/>
      <c r="CO603" s="270">
        <f>+CO655+CO590-CO568+(CM656-CO656)-CM655</f>
        <v>-141.4950000000008</v>
      </c>
      <c r="CP603" s="13"/>
      <c r="CQ603" s="270">
        <f>+CQ655+CQ590-CQ568+(CO656-CQ656)-CO655</f>
        <v>-139.29999999999927</v>
      </c>
      <c r="CR603" s="13"/>
      <c r="CS603" s="270">
        <f>+CS655+CS590-CS568+(CQ656-CS656)-CQ655</f>
        <v>-336.72799999999916</v>
      </c>
      <c r="CT603" s="13"/>
      <c r="CU603" s="270">
        <f>+CU655+CU590-CU568+(CS656-CU656)-CS655</f>
        <v>-142.32799999999952</v>
      </c>
      <c r="CV603" s="13"/>
      <c r="CW603" s="270">
        <f>+CW655+CW590-CW568+(CU656-CW656)-CU655</f>
        <v>-131.79999999999927</v>
      </c>
      <c r="CX603" s="13"/>
      <c r="CY603" s="270">
        <f>+CY655+CY590-CY568+(CW656-CY656)-CW655</f>
        <v>-95.22400000000016</v>
      </c>
      <c r="CZ603" s="13"/>
      <c r="DA603" s="270">
        <f>+DA655+DA590-DA568+(CY656-DA656)-CY655</f>
        <v>-91.268000000000029</v>
      </c>
      <c r="DB603" s="13"/>
      <c r="DC603" s="270">
        <f>+DC655+DC590-DC568+(DA656-DC656)-DA655</f>
        <v>-89.567999999999302</v>
      </c>
      <c r="DD603" s="13"/>
      <c r="DE603" s="270">
        <f>+DE655+DE590-DE568+(DC656-DE656)-DC655</f>
        <v>-140.91599999999926</v>
      </c>
      <c r="DF603" s="13"/>
      <c r="DG603" s="270">
        <f>+DG655+DG590-DG568+(DE656-DG656)-DE655</f>
        <v>-89.156000000000859</v>
      </c>
      <c r="DH603" s="13"/>
      <c r="DI603" s="270">
        <f>+DI655+DI590-DI568+(DG656-DI656)-DG655</f>
        <v>-56.352000000000771</v>
      </c>
      <c r="DJ603" s="13"/>
      <c r="DK603" s="270">
        <f>+DK655+DK590-DK568+(DI656-DK656)-DI655</f>
        <v>-141.46399999999994</v>
      </c>
      <c r="DL603" s="13"/>
      <c r="DM603" s="270">
        <f>+DM655+DM590-DM568+(DK656-DM656)-DK655</f>
        <v>-136.97600000000057</v>
      </c>
      <c r="DN603" s="13"/>
      <c r="DO603" s="270">
        <f>+DO655+DO590-DO568+(DM656-DO656)-DM655</f>
        <v>-120.3119999999999</v>
      </c>
      <c r="DP603" s="13"/>
      <c r="DQ603" s="270">
        <f>+DQ655+DQ590-DQ568+(DO656-DQ656)-DO655</f>
        <v>-182.39999999999964</v>
      </c>
      <c r="DR603" s="13"/>
      <c r="DS603" s="270">
        <f>+DS655+DS590-DS568+(DQ656-DS656)-DQ655</f>
        <v>-321.8799999999992</v>
      </c>
      <c r="DT603" s="13"/>
      <c r="DU603" s="270">
        <f>+DU655+DU590-DU568+(DS656-DU656)-DS655</f>
        <v>-108.02000000000044</v>
      </c>
      <c r="DV603" s="13"/>
      <c r="DW603" s="270">
        <f>+DW655+DW590-DW568+(DU656-DW656)-DU655</f>
        <v>-186.36000000000058</v>
      </c>
      <c r="DX603" s="270">
        <f t="shared" ref="DX603:EI603" si="3420">+DX655+DX590-DX568+(DV656-DX656)-DV655</f>
        <v>12534.27598920922</v>
      </c>
      <c r="DY603" s="270">
        <f t="shared" si="3420"/>
        <v>-199.28149999999914</v>
      </c>
      <c r="DZ603" s="13"/>
      <c r="EA603" s="270">
        <f t="shared" si="3420"/>
        <v>-184.83530000000064</v>
      </c>
      <c r="EB603" s="13"/>
      <c r="EC603" s="270">
        <f t="shared" si="3420"/>
        <v>-267.06949999999961</v>
      </c>
      <c r="ED603" s="13"/>
      <c r="EE603" s="270">
        <f t="shared" si="3420"/>
        <v>-187.63680000000022</v>
      </c>
      <c r="EF603" s="13"/>
      <c r="EG603" s="270">
        <f t="shared" si="3420"/>
        <v>-166.19889999999941</v>
      </c>
      <c r="EH603" s="13"/>
      <c r="EI603" s="270">
        <f t="shared" si="3420"/>
        <v>-154.29310000000078</v>
      </c>
      <c r="EJ603" s="13"/>
      <c r="EK603" s="270">
        <f t="shared" ref="EK603:EM603" si="3421">+EK655+EK590-EK568+(EI656-EK656)-EI655</f>
        <v>-186.2182499999999</v>
      </c>
      <c r="EL603" s="13"/>
      <c r="EM603" s="270">
        <f t="shared" si="3421"/>
        <v>-183.13819999999942</v>
      </c>
      <c r="EN603" s="13"/>
      <c r="EO603" s="270">
        <f t="shared" ref="EO603" si="3422">+EO655+EO590-EO568+(EM656-EO656)-EM655</f>
        <v>-114.67669999999998</v>
      </c>
      <c r="EP603" s="13"/>
      <c r="EQ603" s="270">
        <f t="shared" ref="EQ603" si="3423">+EQ655+EQ590-EQ568+(EO656-EQ656)-EO655</f>
        <v>0</v>
      </c>
      <c r="ER603" s="13"/>
      <c r="ES603" s="270">
        <f t="shared" ref="ES603" si="3424">+ES655+ES590-ES568+(EQ656-ES656)-EQ655</f>
        <v>0</v>
      </c>
      <c r="ET603" s="13"/>
      <c r="EU603" s="270">
        <f t="shared" ref="EU603" si="3425">+EU655+EU590-EU568+(ES656-EU656)-ES655</f>
        <v>-84.822313154432777</v>
      </c>
      <c r="EV603" s="13"/>
      <c r="EW603" s="270">
        <f t="shared" ref="EW603" si="3426">+EW655+EW590-EW568+(EU656-EW656)-EU655</f>
        <v>-84.580634417521651</v>
      </c>
      <c r="EX603" s="13"/>
      <c r="EY603" s="65"/>
      <c r="EZ603" s="558"/>
      <c r="FA603" s="65"/>
      <c r="FB603" s="73"/>
      <c r="FC603" s="65"/>
      <c r="FD603" s="73"/>
      <c r="FE603" s="422"/>
      <c r="FF603" s="270"/>
      <c r="FG603" s="422"/>
      <c r="FH603" s="270"/>
      <c r="FI603" s="422"/>
      <c r="FJ603" s="270"/>
      <c r="FK603" s="422"/>
      <c r="FL603" s="270"/>
      <c r="FM603" s="13"/>
      <c r="FN603" s="270"/>
      <c r="FO603" s="13"/>
      <c r="FP603" s="270"/>
      <c r="FQ603" s="13"/>
      <c r="FR603" s="270">
        <f>+FR655+FR590-FR568+(FP656-FR656)-FP655</f>
        <v>4954.8139999999985</v>
      </c>
      <c r="FS603" s="13"/>
      <c r="FT603" s="270">
        <f>+FT655+FT590-FT568+(FR656-FT656)-FR655</f>
        <v>-857.97999999999956</v>
      </c>
      <c r="FU603" s="13"/>
      <c r="FV603" s="270">
        <f>+FV655+FV590-FV568+(FT656-FV656)-FT655</f>
        <v>-530.67463124999995</v>
      </c>
      <c r="FW603" s="13"/>
      <c r="FX603" s="270">
        <f>+FX655+FX590-FX568+(FV656-FX656)-FV655</f>
        <v>904.80799999999817</v>
      </c>
      <c r="FY603" s="13"/>
      <c r="FZ603" s="270">
        <f>+FZ655+FZ590-FZ568+(FX656-FZ656)-FX655</f>
        <v>142.5578000000005</v>
      </c>
      <c r="GA603" s="13"/>
      <c r="GB603" s="270">
        <f>+GB655+GB590-GB568+(FZ656-GB656)-FZ655</f>
        <v>-1786.6499999999996</v>
      </c>
      <c r="GC603" s="13"/>
      <c r="GD603" s="270">
        <f>+GD655+GD590-GD568+(GB656-GD656)-GB655</f>
        <v>-461.46399999999994</v>
      </c>
      <c r="GE603" s="13"/>
      <c r="GF603" s="270">
        <f>+GF655+GF590-GF568+(GD656-GF656)-GD655</f>
        <v>-375.89600000000064</v>
      </c>
      <c r="GG603" s="13"/>
      <c r="GH603" s="270">
        <f>+GH655+GH590-GH568+(GF656-GH656)-GF655</f>
        <v>-580.76000000000022</v>
      </c>
      <c r="GI603" s="13"/>
      <c r="GJ603" s="270">
        <f>+GJ655+GJ590-GJ568+(GH656-GJ656)-GH655</f>
        <v>-815.54149999999936</v>
      </c>
      <c r="GK603" s="13"/>
      <c r="GL603" s="270">
        <f>+GL655+GL590-GL568+(GJ656-GL656)-GJ655</f>
        <v>-805.74049999999988</v>
      </c>
      <c r="GM603" s="13"/>
      <c r="GN603" s="270">
        <f>+GN655+GN590-GN568+(GL656-GN656)-GL655</f>
        <v>-638.32625000000007</v>
      </c>
      <c r="GO603" s="13"/>
      <c r="GP603" s="270">
        <f>+GP655+GP590-GP568+(GN656-GP656)-GN655</f>
        <v>-169.40294757195807</v>
      </c>
      <c r="GQ603" s="13"/>
      <c r="GR603" s="270">
        <f>+GR655+GR590-GR568+(GP656-GR656)-GP655</f>
        <v>-368.00162381962946</v>
      </c>
      <c r="GS603" s="13"/>
      <c r="GT603" s="270">
        <f>+GT655+GT590-GT568+(GR656-GT656)-GR655</f>
        <v>-466.01912172519951</v>
      </c>
      <c r="GU603" s="13"/>
      <c r="GV603" s="270">
        <f>+GV655+GV590-GV568+(GT656-GV656)-GT655</f>
        <v>-563.92420890321591</v>
      </c>
      <c r="GW603" s="13"/>
      <c r="GX603" s="270">
        <f>+GX655+GX590-GX568+(GV656-GX656)-GV655</f>
        <v>-586.7115876506723</v>
      </c>
      <c r="GY603" s="13"/>
      <c r="GZ603" s="13"/>
      <c r="HA603" s="13"/>
      <c r="HB603" s="452"/>
      <c r="HC603"/>
      <c r="HD603"/>
      <c r="HE603"/>
      <c r="HF603"/>
      <c r="HG603"/>
      <c r="HH603"/>
    </row>
    <row r="604" spans="1:216" s="5" customFormat="1" ht="12.75" customHeight="1" collapsed="1" x14ac:dyDescent="0.2">
      <c r="A604" s="8"/>
      <c r="B604" s="7"/>
      <c r="C604" s="231"/>
      <c r="D604" s="107"/>
      <c r="E604" s="231"/>
      <c r="F604" s="64"/>
      <c r="G604" s="64"/>
      <c r="H604" s="64"/>
      <c r="I604" s="356"/>
      <c r="J604" s="64"/>
      <c r="K604" s="356"/>
      <c r="L604" s="61"/>
      <c r="M604" s="231"/>
      <c r="N604" s="61"/>
      <c r="O604" s="64"/>
      <c r="P604" s="61"/>
      <c r="Q604" s="64"/>
      <c r="R604" s="61"/>
      <c r="S604" s="64"/>
      <c r="T604" s="61"/>
      <c r="U604" s="356"/>
      <c r="V604" s="61"/>
      <c r="W604" s="64"/>
      <c r="X604" s="61"/>
      <c r="Y604" s="64"/>
      <c r="Z604" s="61"/>
      <c r="AA604" s="64"/>
      <c r="AB604" s="61"/>
      <c r="AC604" s="64"/>
      <c r="AD604" s="61"/>
      <c r="AE604" s="64"/>
      <c r="AF604" s="61"/>
      <c r="AG604" s="64"/>
      <c r="AH604" s="61"/>
      <c r="AI604" s="64"/>
      <c r="AJ604" s="61"/>
      <c r="AK604" s="64"/>
      <c r="AL604" s="61"/>
      <c r="AM604" s="64"/>
      <c r="AN604" s="61"/>
      <c r="AO604" s="64"/>
      <c r="AP604" s="61"/>
      <c r="AQ604" s="64"/>
      <c r="AR604" s="61"/>
      <c r="AS604" s="64"/>
      <c r="AT604" s="61"/>
      <c r="AU604" s="64"/>
      <c r="AV604" s="61"/>
      <c r="AW604" s="64"/>
      <c r="AX604" s="61"/>
      <c r="AY604" s="64"/>
      <c r="AZ604" s="61"/>
      <c r="BA604" s="64"/>
      <c r="BB604" s="61"/>
      <c r="BC604" s="64"/>
      <c r="BD604" s="61"/>
      <c r="BE604" s="64"/>
      <c r="BF604" s="61"/>
      <c r="BG604" s="64"/>
      <c r="BH604" s="61"/>
      <c r="BI604" s="64"/>
      <c r="BJ604" s="61"/>
      <c r="BK604" s="64"/>
      <c r="BL604" s="61"/>
      <c r="BM604" s="64"/>
      <c r="BN604" s="61"/>
      <c r="BO604" s="64"/>
      <c r="BP604" s="61"/>
      <c r="BQ604" s="64"/>
      <c r="BR604" s="61"/>
      <c r="BS604" s="64"/>
      <c r="BT604" s="61"/>
      <c r="BU604" s="64"/>
      <c r="BV604" s="61"/>
      <c r="BW604" s="356"/>
      <c r="BX604" s="61"/>
      <c r="BY604" s="356"/>
      <c r="BZ604" s="61"/>
      <c r="CA604" s="356"/>
      <c r="CB604" s="61"/>
      <c r="CC604" s="356"/>
      <c r="CD604" s="61"/>
      <c r="CE604" s="356"/>
      <c r="CF604" s="61"/>
      <c r="CG604" s="356"/>
      <c r="CH604" s="61"/>
      <c r="CI604" s="356"/>
      <c r="CJ604" s="61"/>
      <c r="CK604" s="356"/>
      <c r="CL604" s="61"/>
      <c r="CM604" s="356"/>
      <c r="CN604" s="61"/>
      <c r="CO604" s="356"/>
      <c r="CP604" s="61"/>
      <c r="CQ604" s="356"/>
      <c r="CR604" s="61"/>
      <c r="CS604" s="356"/>
      <c r="CT604" s="61"/>
      <c r="CU604" s="356"/>
      <c r="CV604" s="61"/>
      <c r="CW604" s="356"/>
      <c r="CX604" s="61"/>
      <c r="CY604" s="356"/>
      <c r="CZ604" s="61"/>
      <c r="DA604" s="356"/>
      <c r="DB604" s="61"/>
      <c r="DC604" s="356"/>
      <c r="DD604" s="61"/>
      <c r="DE604" s="356"/>
      <c r="DF604" s="61"/>
      <c r="DG604" s="356"/>
      <c r="DH604" s="61"/>
      <c r="DI604" s="356"/>
      <c r="DJ604" s="61"/>
      <c r="DK604" s="356"/>
      <c r="DL604" s="61"/>
      <c r="DM604" s="356"/>
      <c r="DN604" s="61"/>
      <c r="DO604" s="356"/>
      <c r="DP604" s="61"/>
      <c r="DQ604" s="356"/>
      <c r="DR604" s="61"/>
      <c r="DS604" s="356"/>
      <c r="DT604" s="61"/>
      <c r="DU604" s="356"/>
      <c r="DV604" s="61"/>
      <c r="DW604" s="356"/>
      <c r="DX604" s="356"/>
      <c r="DY604" s="356"/>
      <c r="DZ604" s="61"/>
      <c r="EA604" s="356"/>
      <c r="EB604" s="61"/>
      <c r="EC604" s="356"/>
      <c r="ED604" s="61"/>
      <c r="EE604" s="356"/>
      <c r="EF604" s="61"/>
      <c r="EG604" s="356"/>
      <c r="EH604" s="61"/>
      <c r="EI604" s="356"/>
      <c r="EJ604" s="61"/>
      <c r="EK604" s="356"/>
      <c r="EL604" s="61"/>
      <c r="EM604" s="356"/>
      <c r="EN604" s="61"/>
      <c r="EO604" s="356"/>
      <c r="EP604" s="61"/>
      <c r="EQ604" s="356"/>
      <c r="ER604" s="61"/>
      <c r="ES604" s="356"/>
      <c r="ET604" s="61"/>
      <c r="EU604" s="356"/>
      <c r="EV604" s="61"/>
      <c r="EW604" s="356"/>
      <c r="EX604" s="61"/>
      <c r="EY604" s="64"/>
      <c r="EZ604" s="558"/>
      <c r="FA604" s="64"/>
      <c r="FB604" s="356"/>
      <c r="FC604" s="64"/>
      <c r="FD604" s="64"/>
      <c r="FE604" s="107"/>
      <c r="FF604" s="356"/>
      <c r="FG604" s="107"/>
      <c r="FH604" s="356"/>
      <c r="FI604" s="107"/>
      <c r="FJ604" s="356"/>
      <c r="FK604" s="107"/>
      <c r="FL604" s="356"/>
      <c r="FM604" s="61"/>
      <c r="FN604" s="356"/>
      <c r="FO604" s="61"/>
      <c r="FP604" s="357"/>
      <c r="FQ604" s="61"/>
      <c r="FR604" s="357"/>
      <c r="FS604" s="61"/>
      <c r="FT604" s="357"/>
      <c r="FU604" s="61"/>
      <c r="FV604" s="357"/>
      <c r="FW604" s="61"/>
      <c r="FX604" s="357"/>
      <c r="FY604" s="61"/>
      <c r="FZ604" s="357"/>
      <c r="GA604" s="61"/>
      <c r="GB604" s="387"/>
      <c r="GC604" s="61"/>
      <c r="GD604" s="357"/>
      <c r="GE604" s="61"/>
      <c r="GF604" s="387"/>
      <c r="GG604" s="61"/>
      <c r="GH604" s="387"/>
      <c r="GI604" s="61"/>
      <c r="GJ604" s="357"/>
      <c r="GK604" s="61"/>
      <c r="GL604" s="357"/>
      <c r="GM604" s="61"/>
      <c r="GN604" s="357"/>
      <c r="GO604" s="61"/>
      <c r="GP604" s="896"/>
      <c r="GQ604" s="61"/>
      <c r="GR604" s="356"/>
      <c r="GS604" s="61"/>
      <c r="GT604" s="356"/>
      <c r="GU604" s="61"/>
      <c r="GV604" s="356"/>
      <c r="GW604" s="61"/>
      <c r="GX604" s="356"/>
      <c r="GY604" s="61"/>
      <c r="GZ604" s="61" t="str">
        <f t="shared" ref="GZ604:GZ622" si="3427">IF(ISERROR((GX604/GN604)^0.2),"",IF(OR((GX604/GN604)^0.2&lt;0.5,(GX604/GN604)^0.2&gt;2),"NM",((GX604/GN604)^0.2-1)*100))</f>
        <v/>
      </c>
      <c r="HA604" s="61"/>
      <c r="HB604" s="452"/>
      <c r="HC604"/>
      <c r="HD604"/>
      <c r="HE604"/>
      <c r="HF604"/>
      <c r="HG604"/>
      <c r="HH604"/>
    </row>
    <row r="605" spans="1:216" s="5" customFormat="1" ht="12.75" customHeight="1" x14ac:dyDescent="0.2">
      <c r="A605" s="8"/>
      <c r="B605" s="105" t="s">
        <v>72</v>
      </c>
      <c r="C605" s="231"/>
      <c r="D605" s="107"/>
      <c r="E605" s="231"/>
      <c r="F605" s="64"/>
      <c r="G605" s="64"/>
      <c r="H605" s="64"/>
      <c r="I605" s="356"/>
      <c r="J605" s="64"/>
      <c r="K605" s="356"/>
      <c r="L605" s="61"/>
      <c r="M605" s="231"/>
      <c r="N605" s="61"/>
      <c r="O605" s="64"/>
      <c r="P605" s="61"/>
      <c r="Q605" s="64"/>
      <c r="R605" s="61"/>
      <c r="S605" s="64"/>
      <c r="T605" s="61"/>
      <c r="U605" s="356"/>
      <c r="V605" s="61"/>
      <c r="W605" s="64"/>
      <c r="X605" s="61"/>
      <c r="Y605" s="64"/>
      <c r="Z605" s="61"/>
      <c r="AA605" s="64"/>
      <c r="AB605" s="61"/>
      <c r="AC605" s="64"/>
      <c r="AD605" s="61"/>
      <c r="AE605" s="64"/>
      <c r="AF605" s="61"/>
      <c r="AG605" s="64"/>
      <c r="AH605" s="61"/>
      <c r="AI605" s="64"/>
      <c r="AJ605" s="61"/>
      <c r="AK605" s="64"/>
      <c r="AL605" s="61"/>
      <c r="AM605" s="64"/>
      <c r="AN605" s="61"/>
      <c r="AO605" s="64"/>
      <c r="AP605" s="61"/>
      <c r="AQ605" s="64"/>
      <c r="AR605" s="61"/>
      <c r="AS605" s="64"/>
      <c r="AT605" s="61"/>
      <c r="AU605" s="64"/>
      <c r="AV605" s="61"/>
      <c r="AW605" s="64"/>
      <c r="AX605" s="61"/>
      <c r="AY605" s="64"/>
      <c r="AZ605" s="61"/>
      <c r="BA605" s="64"/>
      <c r="BB605" s="61"/>
      <c r="BC605" s="64"/>
      <c r="BD605" s="61"/>
      <c r="BE605" s="64"/>
      <c r="BF605" s="61"/>
      <c r="BG605" s="64"/>
      <c r="BH605" s="61"/>
      <c r="BI605" s="64"/>
      <c r="BJ605" s="61"/>
      <c r="BK605" s="64"/>
      <c r="BL605" s="61"/>
      <c r="BM605" s="64"/>
      <c r="BN605" s="61"/>
      <c r="BO605" s="64"/>
      <c r="BP605" s="61"/>
      <c r="BQ605" s="64"/>
      <c r="BR605" s="61"/>
      <c r="BS605" s="64"/>
      <c r="BT605" s="61"/>
      <c r="BU605" s="64"/>
      <c r="BV605" s="61"/>
      <c r="BW605" s="356"/>
      <c r="BX605" s="61"/>
      <c r="BY605" s="356"/>
      <c r="BZ605" s="61"/>
      <c r="CA605" s="356"/>
      <c r="CB605" s="61"/>
      <c r="CC605" s="356"/>
      <c r="CD605" s="61"/>
      <c r="CE605" s="356"/>
      <c r="CF605" s="61"/>
      <c r="CG605" s="356"/>
      <c r="CH605" s="61"/>
      <c r="CI605" s="356"/>
      <c r="CJ605" s="61"/>
      <c r="CK605" s="356"/>
      <c r="CL605" s="61"/>
      <c r="CM605" s="356"/>
      <c r="CN605" s="61"/>
      <c r="CO605" s="356"/>
      <c r="CP605" s="61"/>
      <c r="CQ605" s="356"/>
      <c r="CR605" s="61"/>
      <c r="CS605" s="356"/>
      <c r="CT605" s="61"/>
      <c r="CU605" s="356"/>
      <c r="CV605" s="61"/>
      <c r="CW605" s="356"/>
      <c r="CX605" s="61"/>
      <c r="CY605" s="356"/>
      <c r="CZ605" s="61"/>
      <c r="DA605" s="356"/>
      <c r="DB605" s="61"/>
      <c r="DC605" s="356"/>
      <c r="DD605" s="61"/>
      <c r="DE605" s="356"/>
      <c r="DF605" s="61"/>
      <c r="DG605" s="356"/>
      <c r="DH605" s="61"/>
      <c r="DI605" s="356"/>
      <c r="DJ605" s="61"/>
      <c r="DK605" s="356"/>
      <c r="DL605" s="61"/>
      <c r="DM605" s="356"/>
      <c r="DN605" s="61"/>
      <c r="DO605" s="356"/>
      <c r="DP605" s="61"/>
      <c r="DQ605" s="356"/>
      <c r="DR605" s="61"/>
      <c r="DS605" s="356"/>
      <c r="DT605" s="61"/>
      <c r="DU605" s="356"/>
      <c r="DV605" s="61"/>
      <c r="DW605" s="356"/>
      <c r="DX605" s="356"/>
      <c r="DY605" s="356"/>
      <c r="DZ605" s="61"/>
      <c r="EA605" s="356"/>
      <c r="EB605" s="61"/>
      <c r="EC605" s="356"/>
      <c r="ED605" s="61"/>
      <c r="EE605" s="356"/>
      <c r="EF605" s="61"/>
      <c r="EG605" s="356"/>
      <c r="EH605" s="61"/>
      <c r="EI605" s="356"/>
      <c r="EJ605" s="61"/>
      <c r="EK605" s="356"/>
      <c r="EL605" s="61"/>
      <c r="EM605" s="356"/>
      <c r="EN605" s="61"/>
      <c r="EO605" s="356"/>
      <c r="EP605" s="61"/>
      <c r="EQ605" s="356"/>
      <c r="ER605" s="61"/>
      <c r="ES605" s="356"/>
      <c r="ET605" s="61"/>
      <c r="EU605" s="356"/>
      <c r="EV605" s="61"/>
      <c r="EW605" s="356"/>
      <c r="EX605" s="61"/>
      <c r="EY605" s="64"/>
      <c r="EZ605" s="558"/>
      <c r="FA605" s="64"/>
      <c r="FB605" s="356"/>
      <c r="FC605" s="64"/>
      <c r="FD605" s="64"/>
      <c r="FE605" s="107"/>
      <c r="FF605" s="356"/>
      <c r="FG605" s="107"/>
      <c r="FH605" s="356"/>
      <c r="FI605" s="107"/>
      <c r="FJ605" s="356"/>
      <c r="FK605" s="107"/>
      <c r="FL605" s="356"/>
      <c r="FM605" s="61"/>
      <c r="FN605" s="356"/>
      <c r="FO605" s="61"/>
      <c r="FP605" s="357"/>
      <c r="FQ605" s="61"/>
      <c r="FR605" s="357"/>
      <c r="FS605" s="61"/>
      <c r="FT605" s="357"/>
      <c r="FU605" s="61"/>
      <c r="FV605" s="357"/>
      <c r="FW605" s="61"/>
      <c r="FX605" s="357"/>
      <c r="FY605" s="61"/>
      <c r="FZ605" s="357"/>
      <c r="GA605" s="61"/>
      <c r="GB605" s="357"/>
      <c r="GC605" s="61"/>
      <c r="GD605" s="357"/>
      <c r="GE605" s="61"/>
      <c r="GF605" s="357"/>
      <c r="GG605" s="61"/>
      <c r="GH605" s="357"/>
      <c r="GI605" s="61"/>
      <c r="GJ605" s="357"/>
      <c r="GK605" s="61"/>
      <c r="GL605" s="357"/>
      <c r="GM605" s="61"/>
      <c r="GN605" s="357"/>
      <c r="GO605" s="61"/>
      <c r="GP605" s="357"/>
      <c r="GQ605" s="61"/>
      <c r="GR605" s="356"/>
      <c r="GS605" s="61"/>
      <c r="GT605" s="356"/>
      <c r="GU605" s="61"/>
      <c r="GV605" s="356"/>
      <c r="GW605" s="61"/>
      <c r="GX605" s="356"/>
      <c r="GY605" s="61"/>
      <c r="GZ605" s="61" t="str">
        <f t="shared" si="3427"/>
        <v/>
      </c>
      <c r="HA605" s="61"/>
      <c r="HB605" s="452"/>
      <c r="HC605"/>
      <c r="HD605"/>
      <c r="HE605"/>
      <c r="HF605"/>
      <c r="HG605"/>
      <c r="HH605"/>
    </row>
    <row r="606" spans="1:216" s="5" customFormat="1" ht="12.75" customHeight="1" x14ac:dyDescent="0.2">
      <c r="A606" s="8"/>
      <c r="B606" s="7" t="s">
        <v>338</v>
      </c>
      <c r="C606" s="231"/>
      <c r="D606" s="107"/>
      <c r="E606" s="231"/>
      <c r="F606" s="64"/>
      <c r="G606" s="64"/>
      <c r="H606" s="64"/>
      <c r="I606" s="356"/>
      <c r="J606" s="64"/>
      <c r="K606" s="356"/>
      <c r="L606" s="61"/>
      <c r="M606" s="231"/>
      <c r="N606" s="61"/>
      <c r="O606" s="64"/>
      <c r="P606" s="61"/>
      <c r="Q606" s="64"/>
      <c r="R606" s="61"/>
      <c r="S606" s="71">
        <f>(S601+S590)/S533*100</f>
        <v>72.958850424559117</v>
      </c>
      <c r="T606" s="61"/>
      <c r="U606" s="71">
        <f>(U601+U590)/U533*100</f>
        <v>203.4655172413793</v>
      </c>
      <c r="V606" s="61"/>
      <c r="W606" s="71">
        <f>(W601+W590)/W533*100</f>
        <v>490.63679999999908</v>
      </c>
      <c r="X606" s="61"/>
      <c r="Y606" s="71">
        <f>(Y601+Y590)/Y533*100</f>
        <v>57.190809190809198</v>
      </c>
      <c r="Z606" s="61"/>
      <c r="AA606" s="71">
        <f>(AA601+AA590)/AA533*100</f>
        <v>57.049188156638017</v>
      </c>
      <c r="AB606" s="61"/>
      <c r="AC606" s="71">
        <f>(AC601+AC590)/AC533*100</f>
        <v>39.159817351598171</v>
      </c>
      <c r="AD606" s="61"/>
      <c r="AE606" s="71">
        <f>(AE601+AE590)/AE533*100</f>
        <v>38.607623318385656</v>
      </c>
      <c r="AF606" s="61"/>
      <c r="AG606" s="71">
        <f>(AG601+AG590)/AG533*100</f>
        <v>35.332960268606605</v>
      </c>
      <c r="AH606" s="61">
        <f>IF(ISERROR((AG606/Y606-1)*100),"NA",IF(((AG606/Y606-1)*100)&gt;100,"NM",IF(((AG606/Y606-1)*100)&lt;-50,"NM",(AG606/Y606-1)*100)))</f>
        <v>-38.219163588465612</v>
      </c>
      <c r="AI606" s="71">
        <f>(AI601+AI590)/AI533*100</f>
        <v>73.10148232611175</v>
      </c>
      <c r="AJ606" s="61">
        <f>IF(ISERROR((AI606/AA606-1)*100),"NA",IF(((AI606/AA606-1)*100)&gt;100,"NM",IF(((AI606/AA606-1)*100)&lt;-50,"NM",(AI606/AA606-1)*100)))</f>
        <v>28.137638217391437</v>
      </c>
      <c r="AK606" s="71">
        <f>(AK601+AK590)/AK533*100</f>
        <v>116.39538776635551</v>
      </c>
      <c r="AL606" s="61" t="str">
        <f>IF(ISERROR((AK606/AC606-1)*100),"NA",IF(((AK606/AC606-1)*100)&gt;100,"NM",IF(((AK606/AC606-1)*100)&lt;-50,"NM",(AK606/AC606-1)*100)))</f>
        <v>NM</v>
      </c>
      <c r="AM606" s="71">
        <f>(AM601+AM590)/AM533*100</f>
        <v>74.441671340437466</v>
      </c>
      <c r="AN606" s="61">
        <f>IF(ISERROR((AM606/AE606-1)*100),"NA",IF(((AM606/AE606-1)*100)&gt;100,"NM",IF(((AM606/AE606-1)*100)&lt;-50,"NM",(AM606/AE606-1)*100)))</f>
        <v>92.815990579215438</v>
      </c>
      <c r="AO606" s="71">
        <f>(AO601+AO590)/AO533*100</f>
        <v>64.883604571548958</v>
      </c>
      <c r="AP606" s="61">
        <f>IF(ISERROR((AO606/AG606-1)*100),"NA",IF(((AO606/AG606-1)*100)&gt;100,"NM",IF(((AO606/AG606-1)*100)&lt;-50,"NM",(AO606/AG606-1)*100)))</f>
        <v>83.634782023056673</v>
      </c>
      <c r="AQ606" s="71">
        <f>(AQ601+AQ590)/AQ533*100</f>
        <v>47.692551140777383</v>
      </c>
      <c r="AR606" s="61">
        <f t="shared" ref="AR606:AR611" si="3428">IF(ISERROR((AQ606/AI606-1)*100),"NA",IF(((AQ606/AI606-1)*100)&gt;100,"NM",IF(((AQ606/AI606-1)*100)&lt;-50,"NM",(AQ606/AI606-1)*100)))</f>
        <v>-34.758434954824892</v>
      </c>
      <c r="AS606" s="71">
        <f>(AS601+AS590)/AS533*100</f>
        <v>68.263857171448663</v>
      </c>
      <c r="AT606" s="61">
        <f t="shared" ref="AT606:AT611" si="3429">IF(ISERROR((AS606/AK606-1)*100),"NA",IF(((AS606/AK606-1)*100)&gt;100,"NM",IF(((AS606/AK606-1)*100)&lt;-50,"NM",(AS606/AK606-1)*100)))</f>
        <v>-41.351750716723359</v>
      </c>
      <c r="AU606" s="71">
        <f>(AU601+AU590)/AU533*100</f>
        <v>30.604389839077406</v>
      </c>
      <c r="AV606" s="61" t="str">
        <f t="shared" ref="AV606:AV611" si="3430">IF(ISERROR((AU606/AM606-1)*100),"NA",IF(((AU606/AM606-1)*100)&gt;100,"NM",IF(((AU606/AM606-1)*100)&lt;-50,"NM",(AU606/AM606-1)*100)))</f>
        <v>NM</v>
      </c>
      <c r="AW606" s="71">
        <f>(AW601+AW590)/AW533*100</f>
        <v>25.107211716361228</v>
      </c>
      <c r="AX606" s="61" t="str">
        <f t="shared" ref="AX606:AX611" si="3431">IF(ISERROR((AW606/AO606-1)*100),"NA",IF(((AW606/AO606-1)*100)&gt;100,"NM",IF(((AW606/AO606-1)*100)&lt;-50,"NM",(AW606/AO606-1)*100)))</f>
        <v>NM</v>
      </c>
      <c r="AY606" s="71">
        <f>(AY601+AY590)/AY533*100</f>
        <v>27.373663751214778</v>
      </c>
      <c r="AZ606" s="61">
        <f t="shared" ref="AZ606:AZ611" si="3432">IF(ISERROR((AY606/AQ606-1)*100),"NA",IF(((AY606/AQ606-1)*100)&gt;100,"NM",IF(((AY606/AQ606-1)*100)&lt;-50,"NM",(AY606/AQ606-1)*100)))</f>
        <v>-42.603901245680795</v>
      </c>
      <c r="BA606" s="71">
        <f>(BA601+BA590)/BA533*100</f>
        <v>191.09182911091489</v>
      </c>
      <c r="BB606" s="61" t="str">
        <f t="shared" si="3344"/>
        <v>NM</v>
      </c>
      <c r="BC606" s="71">
        <f>(BC601+BC590)/BC533*100</f>
        <v>141.21526502631897</v>
      </c>
      <c r="BD606" s="61" t="str">
        <f t="shared" si="3345"/>
        <v>NM</v>
      </c>
      <c r="BE606" s="71">
        <f>(BE601+BE590)/BE533*100</f>
        <v>76.250371515187567</v>
      </c>
      <c r="BF606" s="61" t="str">
        <f t="shared" si="3346"/>
        <v>NM</v>
      </c>
      <c r="BG606" s="71">
        <f>(BG601+BG590)/BG533*100</f>
        <v>191.86266954377308</v>
      </c>
      <c r="BH606" s="61" t="str">
        <f t="shared" ref="BH606:BH611" si="3433">IF(ISERROR((BG606/AY606-1)*100),"NA",IF(((BG606/AY606-1)*100)&gt;100,"NM",IF(((BG606/AY606-1)*100)&lt;-50,"NM",(BG606/AY606-1)*100)))</f>
        <v>NM</v>
      </c>
      <c r="BI606" s="71">
        <f>(BI601+BI590)/BI533*100</f>
        <v>33.380967046504459</v>
      </c>
      <c r="BJ606" s="61" t="str">
        <f t="shared" ref="BJ606:BJ611" si="3434">IF(ISERROR((BI606/BA606-1)*100),"NA",IF(((BI606/BA606-1)*100)&gt;100,"NM",IF(((BI606/BA606-1)*100)&lt;-50,"NM",(BI606/BA606-1)*100)))</f>
        <v>NM</v>
      </c>
      <c r="BK606" s="71">
        <f>(BK601+BK590)/BK533*100</f>
        <v>84.174619743513261</v>
      </c>
      <c r="BL606" s="61">
        <f t="shared" ref="BL606:BL611" si="3435">IF(ISERROR((BK606/BC606-1)*100),"NA",IF(((BK606/BC606-1)*100)&gt;100,"NM",IF(((BK606/BC606-1)*100)&lt;-50,"NM",(BK606/BC606-1)*100)))</f>
        <v>-40.392690742162159</v>
      </c>
      <c r="BM606" s="71">
        <f>(BM601+BM590)/BM533*100</f>
        <v>115.48415147265081</v>
      </c>
      <c r="BN606" s="61">
        <f t="shared" ref="BN606:BN611" si="3436">IF(ISERROR((BM606/BE606-1)*100),"NA",IF(((BM606/BE606-1)*100)&gt;100,"NM",IF(((BM606/BE606-1)*100)&lt;-50,"NM",(BM606/BE606-1)*100)))</f>
        <v>51.4538869487982</v>
      </c>
      <c r="BO606" s="71">
        <f>(BO601+BO590)/BO533*100</f>
        <v>129.74121510673231</v>
      </c>
      <c r="BP606" s="61">
        <f t="shared" ref="BP606:BP611" si="3437">IF(ISERROR((BO606/BG606-1)*100),"NA",IF(((BO606/BG606-1)*100)&gt;100,"NM",IF(((BO606/BG606-1)*100)&lt;-50,"NM",(BO606/BG606-1)*100)))</f>
        <v>-32.378083024049594</v>
      </c>
      <c r="BQ606" s="71">
        <f>(BQ601+BQ590)/BQ533*100</f>
        <v>34.910563836681789</v>
      </c>
      <c r="BR606" s="61">
        <f t="shared" ref="BR606:BR611" si="3438">IF(ISERROR((BQ606/BI606-1)*100),"NA",IF(((BQ606/BI606-1)*100)&gt;100,"NM",IF(((BQ606/BI606-1)*100)&lt;-50,"NM",(BQ606/BI606-1)*100)))</f>
        <v>4.5822422940784868</v>
      </c>
      <c r="BS606" s="71">
        <f>(BS601+BS590)/BS533*100</f>
        <v>49.816722222222189</v>
      </c>
      <c r="BT606" s="61">
        <f t="shared" ref="BT606:BT611" si="3439">IF(ISERROR((BS606/BK606-1)*100),"NA",IF(((BS606/BK606-1)*100)&gt;100,"NM",IF(((BS606/BK606-1)*100)&lt;-50,"NM",(BS606/BK606-1)*100)))</f>
        <v>-40.817407463178704</v>
      </c>
      <c r="BU606" s="71">
        <f>(BU601+BU590)/BU533*100</f>
        <v>25.290322580645181</v>
      </c>
      <c r="BV606" s="61" t="str">
        <f t="shared" ref="BV606:BV611" si="3440">IF(ISERROR((BU606/BM606-1)*100),"NA",IF(((BU606/BM606-1)*100)&gt;100,"NM",IF(((BU606/BM606-1)*100)&lt;-50,"NM",(BU606/BM606-1)*100)))</f>
        <v>NM</v>
      </c>
      <c r="BW606" s="71">
        <f>(BW602+BW590)/BW533*100</f>
        <v>1.3186700767263426</v>
      </c>
      <c r="BX606" s="61" t="str">
        <f t="shared" ref="BX606:BX616" si="3441">IF(ISERROR((BW606/BO606-1)*100),"NA",IF(((BW606/BO606-1)*100)&gt;100,"NM",IF(((BW606/BO606-1)*100)&lt;-50,"NM",(BW606/BO606-1)*100)))</f>
        <v>NM</v>
      </c>
      <c r="BY606" s="71">
        <f>(BY602+BY590)/BY533*100</f>
        <v>1.2657983598649289</v>
      </c>
      <c r="BZ606" s="61" t="str">
        <f t="shared" ref="BZ606:BZ611" si="3442">IF(ISERROR((BY606/BQ606-1)*100),"NA",IF(((BY606/BQ606-1)*100)&gt;100,"NM",IF(((BY606/BQ606-1)*100)&lt;-50,"NM",(BY606/BQ606-1)*100)))</f>
        <v>NM</v>
      </c>
      <c r="CA606" s="71">
        <f>(CA602+CA590)/CA533*100</f>
        <v>1.185423119574778</v>
      </c>
      <c r="CB606" s="61" t="str">
        <f t="shared" ref="CB606:CB611" si="3443">IF(ISERROR((CA606/BS606-1)*100),"NA",IF(((CA606/BS606-1)*100)&gt;100,"NM",IF(((CA606/BS606-1)*100)&lt;-50,"NM",(CA606/BS606-1)*100)))</f>
        <v>NM</v>
      </c>
      <c r="CC606" s="71">
        <f>(CC602+CC590)/CC533*100</f>
        <v>1.0397063730397065</v>
      </c>
      <c r="CD606" s="61" t="str">
        <f t="shared" ref="CD606:CD611" si="3444">IF(ISERROR((CC606/BU606-1)*100),"NA",IF(((CC606/BU606-1)*100)&gt;100,"NM",IF(((CC606/BU606-1)*100)&lt;-50,"NM",(CC606/BU606-1)*100)))</f>
        <v>NM</v>
      </c>
      <c r="CE606" s="71">
        <f>(CE602+CE590)/CE533*100</f>
        <v>1.1019774011299432</v>
      </c>
      <c r="CF606" s="61">
        <f t="shared" ref="CF606:CF611" si="3445">IF(ISERROR((CE606/BW606-1)*100),"NA",IF(((CE606/BW606-1)*100)&gt;100,"NM",IF(((CE606/BW606-1)*100)&lt;-50,"NM",(CE606/BW606-1)*100)))</f>
        <v>-16.432667990339834</v>
      </c>
      <c r="CG606" s="71">
        <f>(CG602+CG590)/CG533*100</f>
        <v>1.0822153422772616</v>
      </c>
      <c r="CH606" s="61">
        <f t="shared" ref="CH606:CH611" si="3446">IF(ISERROR((CG606/BY606-1)*100),"NA",IF(((CG606/BY606-1)*100)&gt;100,"NM",IF(((CG606/BY606-1)*100)&lt;-50,"NM",(CG606/BY606-1)*100)))</f>
        <v>-14.503338241586693</v>
      </c>
      <c r="CI606" s="71">
        <f>(CI602+CI590)/CI533*100</f>
        <v>1.1566051136363638</v>
      </c>
      <c r="CJ606" s="61">
        <f t="shared" ref="CJ606:CJ611" si="3447">IF(ISERROR((CI606/CA606-1)*100),"NA",IF(((CI606/CA606-1)*100)&gt;100,"NM",IF(((CI606/CA606-1)*100)&lt;-50,"NM",(CI606/CA606-1)*100)))</f>
        <v>-2.431031204178935</v>
      </c>
      <c r="CK606" s="71">
        <f>(CK602+CK590)/CK533*100</f>
        <v>9.487231182795707</v>
      </c>
      <c r="CL606" s="61" t="str">
        <f t="shared" ref="CL606:CL611" si="3448">IF(ISERROR((CK606/CC606-1)*100),"NA",IF(((CK606/CC606-1)*100)&gt;100,"NM",IF(((CK606/CC606-1)*100)&lt;-50,"NM",(CK606/CC606-1)*100)))</f>
        <v>NM</v>
      </c>
      <c r="CM606" s="71">
        <f>(CM602+CM590)/CM533*100</f>
        <v>33.035520115984021</v>
      </c>
      <c r="CN606" s="61" t="str">
        <f t="shared" ref="CN606:CN611" si="3449">IF(ISERROR((CM606/CE606-1)*100),"NA",IF(((CM606/CE606-1)*100)&gt;100,"NM",IF(((CM606/CE606-1)*100)&lt;-50,"NM",(CM606/CE606-1)*100)))</f>
        <v>NM</v>
      </c>
      <c r="CO606" s="71">
        <f>(CO602+CO590)/CO533*100</f>
        <v>57.134754211069129</v>
      </c>
      <c r="CP606" s="61" t="str">
        <f t="shared" ref="CP606:CP611" si="3450">IF(ISERROR((CO606/CG606-1)*100),"NA",IF(((CO606/CG606-1)*100)&gt;100,"NM",IF(((CO606/CG606-1)*100)&lt;-50,"NM",(CO606/CG606-1)*100)))</f>
        <v>NM</v>
      </c>
      <c r="CQ606" s="71">
        <f>(CQ602+CQ590)/CQ533*100</f>
        <v>52.988175135826154</v>
      </c>
      <c r="CR606" s="61" t="str">
        <f t="shared" ref="CR606:CR611" si="3451">IF(ISERROR((CQ606/CI606-1)*100),"NA",IF(((CQ606/CI606-1)*100)&gt;100,"NM",IF(((CQ606/CI606-1)*100)&lt;-50,"NM",(CQ606/CI606-1)*100)))</f>
        <v>NM</v>
      </c>
      <c r="CS606" s="71">
        <f>(CS602+CS590)/CS533*100</f>
        <v>80.097142857142856</v>
      </c>
      <c r="CT606" s="61" t="str">
        <f t="shared" ref="CT606:CT611" si="3452">IF(ISERROR((CS606/CK606-1)*100),"NA",IF(((CS606/CK606-1)*100)&gt;100,"NM",IF(((CS606/CK606-1)*100)&lt;-50,"NM",(CS606/CK606-1)*100)))</f>
        <v>NM</v>
      </c>
      <c r="CU606" s="71">
        <f>(CU602+CU590)/CU533*100</f>
        <v>59.273720136518769</v>
      </c>
      <c r="CV606" s="61">
        <f t="shared" ref="CV606:CV611" si="3453">IF(ISERROR((CU606/CM606-1)*100),"NA",IF(((CU606/CM606-1)*100)&gt;100,"NM",IF(((CU606/CM606-1)*100)&lt;-50,"NM",(CU606/CM606-1)*100)))</f>
        <v>79.424207424055567</v>
      </c>
      <c r="CW606" s="71">
        <f>(CW602+CW590)/CW533*100</f>
        <v>58.711864406779654</v>
      </c>
      <c r="CX606" s="61">
        <f t="shared" ref="CX606:CX611" si="3454">IF(ISERROR((CW606/CO606-1)*100),"NA",IF(((CW606/CO606-1)*100)&gt;100,"NM",IF(((CW606/CO606-1)*100)&lt;-50,"NM",(CW606/CO606-1)*100)))</f>
        <v>2.760334261497488</v>
      </c>
      <c r="CY606" s="71">
        <f>(CY602+CY590)/CY533*100</f>
        <v>37.431707317073169</v>
      </c>
      <c r="CZ606" s="61">
        <f t="shared" ref="CZ606:CZ611" si="3455">IF(ISERROR((CY606/CQ606-1)*100),"NA",IF(((CY606/CQ606-1)*100)&gt;100,"NM",IF(((CY606/CQ606-1)*100)&lt;-50,"NM",(CY606/CQ606-1)*100)))</f>
        <v>-29.358376239371577</v>
      </c>
      <c r="DA606" s="71">
        <f>(DA602+DA590)/DA533*100</f>
        <v>41.633112582781457</v>
      </c>
      <c r="DB606" s="61">
        <f>IF(ISERROR((DA606/CS606-1)*100),"NA",IF(((DA606/CS606-1)*100)&gt;100,"NM",IF(((DA606/CS606-1)*100)&lt;-50,"NM",(DA606/CS606-1)*100)))</f>
        <v>-48.021725747401334</v>
      </c>
      <c r="DC606" s="71">
        <f>(DC602+DC590)/DC533*100</f>
        <v>44.701137026043732</v>
      </c>
      <c r="DD606" s="61">
        <f>IF(ISERROR((DC606/CU606-1)*100),"NA",IF(((DC606/CU606-1)*100)&gt;100,"NM",IF(((DC606/CU606-1)*100)&lt;-50,"NM",(DC606/CU606-1)*100)))</f>
        <v>-24.585234530431997</v>
      </c>
      <c r="DE606" s="71">
        <f>(DE602+DE590)/DE533*100</f>
        <v>55.145783132530127</v>
      </c>
      <c r="DF606" s="61">
        <f>IF(ISERROR((DE606/CW606-1)*100),"NA",IF(((DE606/CW606-1)*100)&gt;100,"NM",IF(((DE606/CW606-1)*100)&lt;-50,"NM",(DE606/CW606-1)*100)))</f>
        <v>-6.0738682211524893</v>
      </c>
      <c r="DG606" s="71">
        <f>(DG602+DG590)/DG533*100</f>
        <v>39.187020648967554</v>
      </c>
      <c r="DH606" s="61">
        <f>IF(ISERROR((DG606/CY606-1)*100),"NA",IF(((DG606/CY606-1)*100)&gt;100,"NM",IF(((DG606/CY606-1)*100)&lt;-50,"NM",(DG606/CY606-1)*100)))</f>
        <v>4.6893755527249503</v>
      </c>
      <c r="DI606" s="71">
        <f>(DI602+DI590)/DI533*100</f>
        <v>40.237535014005601</v>
      </c>
      <c r="DJ606" s="61">
        <f>IF(ISERROR((DI606/DA606-1)*100),"NA",IF(((DI606/DA606-1)*100)&gt;100,"NM",IF(((DI606/DA606-1)*100)&lt;-50,"NM",(DI606/DA606-1)*100)))</f>
        <v>-3.3520855929302651</v>
      </c>
      <c r="DK606" s="71">
        <f>(DK602+DK590)/DK533*100</f>
        <v>53.169230769230765</v>
      </c>
      <c r="DL606" s="61">
        <f>IF(ISERROR((DK606/DC606-1)*100),"NA",IF(((DK606/DC606-1)*100)&gt;100,"NM",IF(((DK606/DC606-1)*100)&lt;-50,"NM",(DK606/DC606-1)*100)))</f>
        <v>18.943799434572227</v>
      </c>
      <c r="DM606" s="71">
        <f>(DM602+DM590)/DM533*100</f>
        <v>50.266666666666673</v>
      </c>
      <c r="DN606" s="130">
        <f t="shared" ref="DN606:DZ607" si="3456">IF(ISERROR((DM606/DE606-1)*100),"NA",IF(((DM606/DE606-1)*100)&gt;100,"NM",IF(((DM606/DE606-1)*100)&lt;-50,"NM",(DM606/DE606-1)*100)))</f>
        <v>-8.8476691937398488</v>
      </c>
      <c r="DO606" s="71">
        <f>(DO602+DO590)/DO533*100</f>
        <v>47.695049504950489</v>
      </c>
      <c r="DP606" s="130">
        <f t="shared" si="3456"/>
        <v>21.71134399881225</v>
      </c>
      <c r="DQ606" s="71">
        <f>(DQ602+DQ590)/DQ533*100</f>
        <v>65.271317829457359</v>
      </c>
      <c r="DR606" s="130">
        <f t="shared" si="3456"/>
        <v>62.21500101022135</v>
      </c>
      <c r="DS606" s="71">
        <f>(DS602+DS590)/DS533*100</f>
        <v>114.23863636363636</v>
      </c>
      <c r="DT606" s="130" t="str">
        <f t="shared" si="3456"/>
        <v>NM</v>
      </c>
      <c r="DU606" s="71">
        <f>(DU602+DU590)/DU533*100</f>
        <v>53.029023746701853</v>
      </c>
      <c r="DV606" s="130">
        <f t="shared" si="3456"/>
        <v>5.4954053316349727</v>
      </c>
      <c r="DW606" s="71">
        <f>(DW602+DW590)/DW533*100</f>
        <v>59.46381969157769</v>
      </c>
      <c r="DX606" s="71">
        <f t="shared" ref="DX606:DY606" si="3457">(DX602+DX590)/DX533*100</f>
        <v>59.46381969157769</v>
      </c>
      <c r="DY606" s="71">
        <f t="shared" si="3457"/>
        <v>65.387434554973822</v>
      </c>
      <c r="DZ606" s="130">
        <f t="shared" si="3456"/>
        <v>0.17789854621881318</v>
      </c>
      <c r="EA606" s="71">
        <f t="shared" ref="EA606:EC606" si="3458">(EA602+EA590)/EA533*100</f>
        <v>72.175414364640872</v>
      </c>
      <c r="EB606" s="130">
        <f t="shared" ref="EB606:EB607" si="3459">IF(ISERROR((EA606/DS606-1)*100),"NA",IF(((EA606/DS606-1)*100)&gt;100,"NM",IF(((EA606/DS606-1)*100)&lt;-50,"NM",(EA606/DS606-1)*100)))</f>
        <v>-36.820486779186346</v>
      </c>
      <c r="EC606" s="71">
        <f t="shared" si="3458"/>
        <v>89.805630026809652</v>
      </c>
      <c r="ED606" s="130">
        <f t="shared" ref="ED606:ED607" si="3460">IF(ISERROR((EC606/DU606-1)*100),"NA",IF(((EC606/DU606-1)*100)&gt;100,"NM",IF(((EC606/DU606-1)*100)&lt;-50,"NM",(EC606/DU606-1)*100)))</f>
        <v>69.351844860985452</v>
      </c>
      <c r="EE606" s="71">
        <f t="shared" ref="EE606:EG606" si="3461">(EE602+EE590)/EE533*100</f>
        <v>63.286798922361001</v>
      </c>
      <c r="EF606" s="130">
        <f t="shared" ref="EF606:EF607" si="3462">IF(ISERROR((EE606/DW606-1)*100),"NA",IF(((EE606/DW606-1)*100)&gt;100,"NM",IF(((EE606/DW606-1)*100)&lt;-50,"NM",(EE606/DW606-1)*100)))</f>
        <v>6.4290845267122698</v>
      </c>
      <c r="EG606" s="71">
        <f t="shared" si="3461"/>
        <v>63.99144254278729</v>
      </c>
      <c r="EH606" s="130">
        <f t="shared" ref="EH606:EH607" si="3463">IF(ISERROR((EG606/DY606-1)*100),"NA",IF(((EG606/DY606-1)*100)&gt;100,"NM",IF(((EG606/DY606-1)*100)&lt;-50,"NM",(EG606/DY606-1)*100)))</f>
        <v>-2.1349545546290982</v>
      </c>
      <c r="EI606" s="71">
        <f t="shared" ref="EI606:EK606" si="3464">(EI602+EI590)/EI533*100</f>
        <v>67.017336683417085</v>
      </c>
      <c r="EJ606" s="130">
        <f t="shared" ref="EJ606:EJ607" si="3465">IF(ISERROR((EI606/EA606-1)*100),"NA",IF(((EI606/EA606-1)*100)&gt;100,"NM",IF(((EI606/EA606-1)*100)&lt;-50,"NM",(EI606/EA606-1)*100)))</f>
        <v>-7.1465854773821169</v>
      </c>
      <c r="EK606" s="71">
        <f t="shared" si="3464"/>
        <v>63.454295942720762</v>
      </c>
      <c r="EL606" s="130">
        <f t="shared" ref="EL606:EL607" si="3466">IF(ISERROR((EK606/EC606-1)*100),"NA",IF(((EK606/EC606-1)*100)&gt;100,"NM",IF(((EK606/EC606-1)*100)&lt;-50,"NM",(EK606/EC606-1)*100)))</f>
        <v>-29.342630385447144</v>
      </c>
      <c r="EM606" s="71">
        <f t="shared" ref="EM606" si="3467">(EM602+EM590)/EM533*100</f>
        <v>61.114417531718566</v>
      </c>
      <c r="EN606" s="130">
        <f t="shared" ref="EN606:EN607" si="3468">IF(ISERROR((EM606/EE606-1)*100),"NA",IF(((EM606/EE606-1)*100)&gt;100,"NM",IF(((EM606/EE606-1)*100)&lt;-50,"NM",(EM606/EE606-1)*100)))</f>
        <v>-3.4325979945793561</v>
      </c>
      <c r="EO606" s="71">
        <f t="shared" ref="EO606" si="3469">(EO602+EO590)/EO533*100</f>
        <v>43.034318181818179</v>
      </c>
      <c r="EP606" s="130">
        <f t="shared" ref="EP606:EP607" si="3470">IF(ISERROR((EO606/EG606-1)*100),"NA",IF(((EO606/EG606-1)*100)&gt;100,"NM",IF(((EO606/EG606-1)*100)&lt;-50,"NM",(EO606/EG606-1)*100)))</f>
        <v>-32.749885810053939</v>
      </c>
      <c r="EQ606" s="71">
        <f t="shared" ref="EQ606:EW606" si="3471">(EQ602+EQ590)/EQ533*100</f>
        <v>16.865220357711394</v>
      </c>
      <c r="ER606" s="130" t="str">
        <f t="shared" ref="ER606:ER607" si="3472">IF(ISERROR((EQ606/EI606-1)*100),"NA",IF(((EQ606/EI606-1)*100)&gt;100,"NM",IF(((EQ606/EI606-1)*100)&lt;-50,"NM",(EQ606/EI606-1)*100)))</f>
        <v>NM</v>
      </c>
      <c r="ES606" s="71">
        <f t="shared" si="3471"/>
        <v>15.860036425129257</v>
      </c>
      <c r="ET606" s="130" t="str">
        <f t="shared" ref="ET606:ET607" si="3473">IF(ISERROR((ES606/EK606-1)*100),"NA",IF(((ES606/EK606-1)*100)&gt;100,"NM",IF(((ES606/EK606-1)*100)&lt;-50,"NM",(ES606/EK606-1)*100)))</f>
        <v>NM</v>
      </c>
      <c r="EU606" s="71">
        <f t="shared" si="3471"/>
        <v>36.078706723292726</v>
      </c>
      <c r="EV606" s="130">
        <f t="shared" ref="EV606:EV607" si="3474">IF(ISERROR((EU606/EM606-1)*100),"NA",IF(((EU606/EM606-1)*100)&gt;100,"NM",IF(((EU606/EM606-1)*100)&lt;-50,"NM",(EU606/EM606-1)*100)))</f>
        <v>-40.965310346666115</v>
      </c>
      <c r="EW606" s="71">
        <f t="shared" si="3471"/>
        <v>35.026371268422565</v>
      </c>
      <c r="EX606" s="130">
        <f t="shared" ref="EX606:EX607" si="3475">IF(ISERROR((EW606/EO606-1)*100),"NA",IF(((EW606/EO606-1)*100)&gt;100,"NM",IF(((EW606/EO606-1)*100)&lt;-50,"NM",(EW606/EO606-1)*100)))</f>
        <v>-18.608281138700455</v>
      </c>
      <c r="EY606" s="71"/>
      <c r="EZ606" s="558"/>
      <c r="FA606" s="71"/>
      <c r="FB606" s="379"/>
      <c r="FC606" s="71"/>
      <c r="FD606" s="71"/>
      <c r="FE606" s="70"/>
      <c r="FF606" s="379"/>
      <c r="FG606" s="70"/>
      <c r="FH606" s="379"/>
      <c r="FI606" s="70"/>
      <c r="FJ606" s="71">
        <f>(FJ601+FJ590)/FJ533*100</f>
        <v>164.64969921332718</v>
      </c>
      <c r="FK606" s="70"/>
      <c r="FL606" s="71">
        <f>(FL601+FL590)/FL533*100</f>
        <v>41.018007759784076</v>
      </c>
      <c r="FM606" s="61"/>
      <c r="FN606" s="71">
        <f>(FN601+FN590)/FN533*100</f>
        <v>82.792053162516467</v>
      </c>
      <c r="FO606" s="61"/>
      <c r="FP606" s="65">
        <f>(FP601+FP590)/FP533*100</f>
        <v>41.515694304247155</v>
      </c>
      <c r="FQ606" s="61" t="str">
        <f t="shared" si="3354"/>
        <v>NA</v>
      </c>
      <c r="FR606" s="65">
        <f>(FR601+FR590)/FR533*100</f>
        <v>111.92372825076373</v>
      </c>
      <c r="FS606" s="61" t="str">
        <f t="shared" ref="FS606:FS611" si="3476">IF(ISERROR((FR606/FP606-1)*100),"NA",IF(((FR606/FP606-1)*100)&gt;100,"NM",IF(((FR606/FP606-1)*100)&lt;-50,"NM",(FR606/FP606-1)*100)))</f>
        <v>NM</v>
      </c>
      <c r="FT606" s="65">
        <f>(FT601+FT590)/FT533*100</f>
        <v>106.2584831083601</v>
      </c>
      <c r="FU606" s="61">
        <f t="shared" ref="FU606:FU611" si="3477">IF(ISERROR((FT606/FR606-1)*100),"NA",IF(((FT606/FR606-1)*100)&gt;100,"NM",IF(((FT606/FR606-1)*100)&lt;-50,"NM",(FT606/FR606-1)*100)))</f>
        <v>-5.0617015988877023</v>
      </c>
      <c r="FV606" s="65">
        <f>(FV601+FV590)/FV533*100</f>
        <v>62.473149627845856</v>
      </c>
      <c r="FW606" s="61">
        <f t="shared" ref="FW606:FW611" si="3478">IF(ISERROR((FV606/FT606-1)*100),"NA",IF(((FV606/FT606-1)*100)&gt;100,"NM",IF(((FV606/FT606-1)*100)&lt;-50,"NM",(FV606/FT606-1)*100)))</f>
        <v>-41.206435664871023</v>
      </c>
      <c r="FX606" s="65">
        <f>(FX601+FX590)/FX533*100</f>
        <v>1.1844275474320807</v>
      </c>
      <c r="FY606" s="61" t="str">
        <f t="shared" ref="FY606:FY611" si="3479">IF(ISERROR((FX606/FV606-1)*100),"NA",IF(((FX606/FV606-1)*100)&gt;100,"NM",IF(((FX606/FV606-1)*100)&lt;-50,"NM",(FX606/FV606-1)*100)))</f>
        <v>NM</v>
      </c>
      <c r="FZ606" s="65">
        <f>(FZ601+FZ590)/FZ533*100</f>
        <v>3.2744601508975824</v>
      </c>
      <c r="GA606" s="61" t="str">
        <f t="shared" ref="GA606:GA611" si="3480">IF(ISERROR((FZ606/FX606-1)*100),"NA",IF(((FZ606/FX606-1)*100)&gt;100,"NM",IF(((FZ606/FX606-1)*100)&lt;-50,"NM",(FZ606/FX606-1)*100)))</f>
        <v>NM</v>
      </c>
      <c r="GB606" s="65">
        <f>(GB601+GB590)/GB533*100</f>
        <v>55.863585410019823</v>
      </c>
      <c r="GC606" s="61" t="str">
        <f t="shared" ref="GC606:GC611" si="3481">IF(ISERROR((GB606/FZ606-1)*100),"NA",IF(((GB606/FZ606-1)*100)&gt;100,"NM",IF(((GB606/FZ606-1)*100)&lt;-50,"NM",(GB606/FZ606-1)*100)))</f>
        <v>NM</v>
      </c>
      <c r="GD606" s="65">
        <f>(GD601+GD590)/GD533*100</f>
        <v>48.894581280788181</v>
      </c>
      <c r="GE606" s="61">
        <f>IF(ISERROR((GD606/GB606-1)*100),"NA",IF(((GD606/GB606-1)*100)&gt;100,"NM",IF(((GD606/GB606-1)*100)&lt;-50,"NM",(GD606/GB606-1)*100)))</f>
        <v>-12.47503911193939</v>
      </c>
      <c r="GF606" s="65">
        <f>(GF601+GF590)/GF533*100</f>
        <v>44.712016150797062</v>
      </c>
      <c r="GG606" s="61">
        <f>IF(ISERROR((GF606/GD606-1)*100),"NA",IF(((GF606/GD606-1)*100)&gt;100,"NM",IF(((GF606/GD606-1)*100)&lt;-50,"NM",(GF606/GD606-1)*100)))</f>
        <v>-8.5542508401325605</v>
      </c>
      <c r="GH606" s="65">
        <f>(GH601+GH590)/GH533*100</f>
        <v>54.07667316439246</v>
      </c>
      <c r="GI606" s="61">
        <f>IF(ISERROR((GH606/GF606-1)*100),"NA",IF(((GH606/GF606-1)*100)&gt;100,"NM",IF(((GH606/GF606-1)*100)&lt;-50,"NM",(GH606/GF606-1)*100)))</f>
        <v>20.944385469024439</v>
      </c>
      <c r="GJ606" s="65">
        <f>(GJ601+GJ590)/GJ533*100</f>
        <v>71.913978494623649</v>
      </c>
      <c r="GK606" s="61">
        <f>IF(ISERROR((GJ606/GH606-1)*100),"NA",IF(((GJ606/GH606-1)*100)&gt;100,"NM",IF(((GJ606/GH606-1)*100)&lt;-50,"NM",(GJ606/GH606-1)*100)))</f>
        <v>32.985212082122707</v>
      </c>
      <c r="GL606" s="65">
        <f>(GL601+GL590)/GL533*100</f>
        <v>71.917477291760605</v>
      </c>
      <c r="GM606" s="61">
        <f>IF(ISERROR((GL606/GJ606-1)*100),"NA",IF(((GL606/GJ606-1)*100)&gt;100,"NM",IF(((GL606/GJ606-1)*100)&lt;-50,"NM",(GL606/GJ606-1)*100)))</f>
        <v>4.865253195829311E-3</v>
      </c>
      <c r="GN606" s="65">
        <f>(GN601+GN590)/GN533*100</f>
        <v>58.37826086956521</v>
      </c>
      <c r="GO606" s="61">
        <f>IF(ISERROR((GN606/GL606-1)*100),"NA",IF(((GN606/GL606-1)*100)&gt;100,"NM",IF(((GN606/GL606-1)*100)&lt;-50,"NM",(GN606/GL606-1)*100)))</f>
        <v>-18.826044700189371</v>
      </c>
      <c r="GP606" s="65">
        <f>(GP601+GP590)/GP533*100</f>
        <v>26.349045493792428</v>
      </c>
      <c r="GQ606" s="61" t="str">
        <f>IF(ISERROR((GP606/GN606-1)*100),"NA",IF(((GP606/GN606-1)*100)&gt;100,"NM",IF(((GP606/GN606-1)*100)&lt;-50,"NM",(GP606/GN606-1)*100)))</f>
        <v>NM</v>
      </c>
      <c r="GR606" s="71">
        <f>(GR602+GR590)/GR533*100</f>
        <v>35.517506967051709</v>
      </c>
      <c r="GS606" s="61">
        <f>IF(ISERROR((GR606/GP606-1)*100),"NA",IF(((GR606/GP606-1)*100)&gt;100,"NM",IF(((GR606/GP606-1)*100)&lt;-50,"NM",(GR606/GP606-1)*100)))</f>
        <v>34.796180663998925</v>
      </c>
      <c r="GT606" s="71">
        <f>(GT602+GT590)/GT533*100</f>
        <v>37.81002383468465</v>
      </c>
      <c r="GU606" s="61">
        <f>IF(ISERROR((GT606/GR606-1)*100),"NA",IF(((GT606/GR606-1)*100)&gt;100,"NM",IF(((GT606/GR606-1)*100)&lt;-50,"NM",(GT606/GR606-1)*100)))</f>
        <v>6.4546108761508014</v>
      </c>
      <c r="GV606" s="71">
        <f>(GV602+GV590)/GV533*100</f>
        <v>41.106413905663771</v>
      </c>
      <c r="GW606" s="61">
        <f>IF(ISERROR((GV606/GT606-1)*100),"NA",IF(((GV606/GT606-1)*100)&gt;100,"NM",IF(((GV606/GT606-1)*100)&lt;-50,"NM",(GV606/GT606-1)*100)))</f>
        <v>8.7182967283802917</v>
      </c>
      <c r="GX606" s="71">
        <f>(GX602+GX590)/GX533*100</f>
        <v>40.816732136538256</v>
      </c>
      <c r="GY606" s="61">
        <f>IF(ISERROR((GX606/GV606-1)*100),"NA",IF(((GX606/GV606-1)*100)&gt;100,"NM",IF(((GX606/GV606-1)*100)&lt;-50,"NM",(GX606/GV606-1)*100)))</f>
        <v>-0.70471184810797505</v>
      </c>
      <c r="GZ606" s="61">
        <f t="shared" si="3427"/>
        <v>-6.9069164753121415</v>
      </c>
      <c r="HA606" s="61"/>
      <c r="HB606" s="452"/>
      <c r="HC606"/>
      <c r="HD606"/>
      <c r="HE606"/>
      <c r="HF606"/>
      <c r="HG606"/>
      <c r="HH606"/>
    </row>
    <row r="607" spans="1:216" s="5" customFormat="1" ht="12.75" customHeight="1" x14ac:dyDescent="0.2">
      <c r="A607" s="8"/>
      <c r="B607" s="7" t="s">
        <v>339</v>
      </c>
      <c r="C607" s="231"/>
      <c r="D607" s="107"/>
      <c r="E607" s="231"/>
      <c r="F607" s="64"/>
      <c r="G607" s="64"/>
      <c r="H607" s="64"/>
      <c r="I607" s="356"/>
      <c r="J607" s="64"/>
      <c r="K607" s="356"/>
      <c r="L607" s="61"/>
      <c r="M607" s="231"/>
      <c r="N607" s="61"/>
      <c r="O607" s="64"/>
      <c r="P607" s="61"/>
      <c r="Q607" s="64"/>
      <c r="R607" s="61"/>
      <c r="S607" s="71">
        <f>(S601+S590)/S566*100</f>
        <v>130.49065420560748</v>
      </c>
      <c r="T607" s="61"/>
      <c r="U607" s="71">
        <f>(U601+U590)/U566*100</f>
        <v>488.65424430641821</v>
      </c>
      <c r="V607" s="61"/>
      <c r="W607" s="71">
        <f>(W601+W590)/W566*100</f>
        <v>-225.6423841059605</v>
      </c>
      <c r="X607" s="61"/>
      <c r="Y607" s="71">
        <f>(Y601+Y590)/Y566*100</f>
        <v>111.81250000000003</v>
      </c>
      <c r="Z607" s="61"/>
      <c r="AA607" s="71">
        <f>(AA601+AA590)/AA566*100</f>
        <v>143.58293269230774</v>
      </c>
      <c r="AB607" s="61"/>
      <c r="AC607" s="71">
        <f>(AC601+AC590)/AC566*100</f>
        <v>42.098176718092553</v>
      </c>
      <c r="AD607" s="61"/>
      <c r="AE607" s="71">
        <f>(AE601+AE590)/AE566*100</f>
        <v>45.245120120120127</v>
      </c>
      <c r="AF607" s="61"/>
      <c r="AG607" s="71">
        <f>(AG601+AG590)/AG566*100</f>
        <v>32.479423868312757</v>
      </c>
      <c r="AH607" s="61" t="str">
        <f>IF(ISERROR((AG607/Y607-1)*100),"NA",IF(((AG607/Y607-1)*100)&gt;100,"NM",IF(((AG607/Y607-1)*100)&lt;-50,"NM",(AG607/Y607-1)*100)))</f>
        <v>NM</v>
      </c>
      <c r="AI607" s="71">
        <f>(AI601+AI590)/AI566*100</f>
        <v>98.403683806600142</v>
      </c>
      <c r="AJ607" s="61">
        <f>IF(ISERROR((AI607/AA607-1)*100),"NA",IF(((AI607/AA607-1)*100)&gt;100,"NM",IF(((AI607/AA607-1)*100)&lt;-50,"NM",(AI607/AA607-1)*100)))</f>
        <v>-31.465612269199749</v>
      </c>
      <c r="AK607" s="71">
        <f>(AK601+AK590)/AK566*100</f>
        <v>112.8484553404361</v>
      </c>
      <c r="AL607" s="61" t="str">
        <f>IF(ISERROR((AK607/AC607-1)*100),"NA",IF(((AK607/AC607-1)*100)&gt;100,"NM",IF(((AK607/AC607-1)*100)&lt;-50,"NM",(AK607/AC607-1)*100)))</f>
        <v>NM</v>
      </c>
      <c r="AM607" s="71">
        <f>(AM601+AM590)/AM566*100</f>
        <v>66.431181181181174</v>
      </c>
      <c r="AN607" s="61">
        <f>IF(ISERROR((AM607/AE607-1)*100),"NA",IF(((AM607/AE607-1)*100)&gt;100,"NM",IF(((AM607/AE607-1)*100)&lt;-50,"NM",(AM607/AE607-1)*100)))</f>
        <v>46.82507418438653</v>
      </c>
      <c r="AO607" s="71">
        <f>(AO601+AO590)/AO566*100</f>
        <v>64.986284749696694</v>
      </c>
      <c r="AP607" s="61" t="str">
        <f>IF(ISERROR((AO607/AG607-1)*100),"NA",IF(((AO607/AG607-1)*100)&gt;100,"NM",IF(((AO607/AG607-1)*100)&lt;-50,"NM",(AO607/AG607-1)*100)))</f>
        <v>NM</v>
      </c>
      <c r="AQ607" s="71">
        <f>(AQ601+AQ590)/AQ566*100</f>
        <v>45.364939199605907</v>
      </c>
      <c r="AR607" s="61" t="str">
        <f t="shared" si="3428"/>
        <v>NM</v>
      </c>
      <c r="AS607" s="71">
        <f>(AS601+AS590)/AS566*100</f>
        <v>56.469394599321632</v>
      </c>
      <c r="AT607" s="61">
        <f t="shared" si="3429"/>
        <v>-49.959975589415627</v>
      </c>
      <c r="AU607" s="71">
        <f>(AU601+AU590)/AU566*100</f>
        <v>25.380909436111647</v>
      </c>
      <c r="AV607" s="61" t="str">
        <f t="shared" si="3430"/>
        <v>NM</v>
      </c>
      <c r="AW607" s="71">
        <f>(AW601+AW590)/AW566*100</f>
        <v>25.69776945003688</v>
      </c>
      <c r="AX607" s="61" t="str">
        <f t="shared" si="3431"/>
        <v>NM</v>
      </c>
      <c r="AY607" s="71">
        <f>(AY601+AY590)/AY566*100</f>
        <v>27.418072680077881</v>
      </c>
      <c r="AZ607" s="61">
        <f t="shared" si="3432"/>
        <v>-39.561094616619549</v>
      </c>
      <c r="BA607" s="71">
        <f>(BA601+BA590)/BA566*100</f>
        <v>175.25976452999438</v>
      </c>
      <c r="BB607" s="61" t="str">
        <f t="shared" si="3344"/>
        <v>NM</v>
      </c>
      <c r="BC607" s="71">
        <f>(BC601+BC590)/BC566*100</f>
        <v>131.55291367316681</v>
      </c>
      <c r="BD607" s="61" t="str">
        <f t="shared" si="3345"/>
        <v>NM</v>
      </c>
      <c r="BE607" s="71">
        <f>(BE601+BE590)/BE566*100</f>
        <v>69.989087734613719</v>
      </c>
      <c r="BF607" s="61" t="str">
        <f t="shared" si="3346"/>
        <v>NM</v>
      </c>
      <c r="BG607" s="71">
        <f>(BG601+BG590)/BG566*100</f>
        <v>172.36291885904177</v>
      </c>
      <c r="BH607" s="61" t="str">
        <f t="shared" si="3433"/>
        <v>NM</v>
      </c>
      <c r="BI607" s="71">
        <f>(BI601+BI590)/BI566*100</f>
        <v>31.262763195846549</v>
      </c>
      <c r="BJ607" s="61" t="str">
        <f t="shared" si="3434"/>
        <v>NM</v>
      </c>
      <c r="BK607" s="71">
        <f>(BK601+BK590)/BK566*100</f>
        <v>97.323275862068968</v>
      </c>
      <c r="BL607" s="61">
        <f t="shared" si="3435"/>
        <v>-26.019672887016988</v>
      </c>
      <c r="BM607" s="71">
        <f>(BM601+BM590)/BM566*100</f>
        <v>206.36641604010043</v>
      </c>
      <c r="BN607" s="61" t="str">
        <f t="shared" si="3436"/>
        <v>NM</v>
      </c>
      <c r="BO607" s="71">
        <f>(BO601+BO590)/BO566*100</f>
        <v>136.50222170010153</v>
      </c>
      <c r="BP607" s="61">
        <f t="shared" si="3437"/>
        <v>-20.805343397710207</v>
      </c>
      <c r="BQ607" s="71">
        <f>(BQ601+BQ590)/BQ566*100</f>
        <v>86.325320512820468</v>
      </c>
      <c r="BR607" s="61" t="str">
        <f t="shared" si="3438"/>
        <v>NM</v>
      </c>
      <c r="BS607" s="71">
        <f>(BS601+BS590)/BS566*100</f>
        <v>106.2441943127961</v>
      </c>
      <c r="BT607" s="61">
        <f t="shared" si="3439"/>
        <v>9.1662743282195471</v>
      </c>
      <c r="BU607" s="71">
        <f>(BU601+BU590)/BU566*100</f>
        <v>-10.693022336430124</v>
      </c>
      <c r="BV607" s="61" t="str">
        <f t="shared" si="3440"/>
        <v>NM</v>
      </c>
      <c r="BW607" s="71">
        <f>(BW602+BW590)/BW566*100</f>
        <v>-0.4453273449645882</v>
      </c>
      <c r="BX607" s="61" t="str">
        <f t="shared" si="3441"/>
        <v>NM</v>
      </c>
      <c r="BY607" s="71">
        <f>(BY602+BY590)/BY566*100</f>
        <v>-1.6298136645962746</v>
      </c>
      <c r="BZ607" s="61" t="str">
        <f t="shared" si="3442"/>
        <v>NM</v>
      </c>
      <c r="CA607" s="71">
        <f>(CA602+CA590)/CA566*100</f>
        <v>2.2626085687176141</v>
      </c>
      <c r="CB607" s="61" t="str">
        <f t="shared" si="3443"/>
        <v>NM</v>
      </c>
      <c r="CC607" s="71">
        <f>(CC602+CC590)/CC566*100</f>
        <v>3.7051129607609994</v>
      </c>
      <c r="CD607" s="61" t="str">
        <f t="shared" si="3444"/>
        <v>NM</v>
      </c>
      <c r="CE607" s="71">
        <f>(CE602+CE590)/CE566*100</f>
        <v>1.2650182407782729</v>
      </c>
      <c r="CF607" s="61" t="str">
        <f t="shared" si="3445"/>
        <v>NM</v>
      </c>
      <c r="CG607" s="71">
        <f>(CG602+CG590)/CG566*100</f>
        <v>3.6327944572748274</v>
      </c>
      <c r="CH607" s="61" t="str">
        <f t="shared" si="3446"/>
        <v>NM</v>
      </c>
      <c r="CI607" s="71">
        <f>(CI602+CI590)/CI566*100</f>
        <v>1.3348360655737708</v>
      </c>
      <c r="CJ607" s="61">
        <f t="shared" si="3447"/>
        <v>-41.004551824431566</v>
      </c>
      <c r="CK607" s="71">
        <f>(CK602+CK590)/CK566*100</f>
        <v>14.427184466019433</v>
      </c>
      <c r="CL607" s="61" t="str">
        <f t="shared" si="3448"/>
        <v>NM</v>
      </c>
      <c r="CM607" s="71">
        <f>(CM602+CM590)/CM566*100</f>
        <v>29.054829454893188</v>
      </c>
      <c r="CN607" s="61" t="str">
        <f t="shared" si="3449"/>
        <v>NM</v>
      </c>
      <c r="CO607" s="71">
        <f>(CO602+CO590)/CO566*100</f>
        <v>54.889365918097788</v>
      </c>
      <c r="CP607" s="61" t="str">
        <f t="shared" si="3450"/>
        <v>NM</v>
      </c>
      <c r="CQ607" s="71">
        <f>(CQ602+CQ590)/CQ566*100</f>
        <v>112.86589516678016</v>
      </c>
      <c r="CR607" s="61" t="str">
        <f t="shared" si="3451"/>
        <v>NM</v>
      </c>
      <c r="CS607" s="71">
        <f>(CS602+CS590)/CS566*100</f>
        <v>-41.455083179297596</v>
      </c>
      <c r="CT607" s="61" t="str">
        <f t="shared" si="3452"/>
        <v>NM</v>
      </c>
      <c r="CU607" s="71">
        <f>(CU602+CU590)/CU566*100</f>
        <v>71.469958847736621</v>
      </c>
      <c r="CV607" s="61" t="str">
        <f t="shared" si="3453"/>
        <v>NM</v>
      </c>
      <c r="CW607" s="71">
        <f>(CW602+CW590)/CW566*100</f>
        <v>54.637223974763401</v>
      </c>
      <c r="CX607" s="61">
        <f t="shared" si="3454"/>
        <v>-0.45936392071027621</v>
      </c>
      <c r="CY607" s="71">
        <f>(CY602+CY590)/CY566*100</f>
        <v>28.685981308411211</v>
      </c>
      <c r="CZ607" s="61" t="str">
        <f t="shared" si="3455"/>
        <v>NM</v>
      </c>
      <c r="DA607" s="71">
        <f>(DA602+DA590)/DA566*100</f>
        <v>39.291249999999998</v>
      </c>
      <c r="DB607" s="61" t="str">
        <f>IF(ISERROR((DA607/CS607-1)*100),"NA",IF(((DA607/CS607-1)*100)&gt;100,"NM",IF(((DA607/CS607-1)*100)&lt;-50,"NM",(DA607/CS607-1)*100)))</f>
        <v>NM</v>
      </c>
      <c r="DC607" s="71">
        <f>(DC602+DC590)/DC566*100</f>
        <v>55.829288702928878</v>
      </c>
      <c r="DD607" s="61">
        <f>IF(ISERROR((DC607/CU607-1)*100),"NA",IF(((DC607/CU607-1)*100)&gt;100,"NM",IF(((DC607/CU607-1)*100)&lt;-50,"NM",(DC607/CU607-1)*100)))</f>
        <v>-21.884257941339314</v>
      </c>
      <c r="DE607" s="71">
        <f>(DE602+DE590)/DE566*100</f>
        <v>57.755205047318611</v>
      </c>
      <c r="DF607" s="61">
        <f>IF(ISERROR((DE607/CW607-1)*100),"NA",IF(((DE607/CW607-1)*100)&gt;100,"NM",IF(((DE607/CW607-1)*100)&lt;-50,"NM",(DE607/CW607-1)*100)))</f>
        <v>5.7066974595842979</v>
      </c>
      <c r="DG607" s="71">
        <f>(DG602+DG590)/DG566*100</f>
        <v>39.419584569732933</v>
      </c>
      <c r="DH607" s="61">
        <f>IF(ISERROR((DG607/CY607-1)*100),"NA",IF(((DG607/CY607-1)*100)&gt;100,"NM",IF(((DG607/CY607-1)*100)&lt;-50,"NM",(DG607/CY607-1)*100)))</f>
        <v>37.417591352102185</v>
      </c>
      <c r="DI607" s="71">
        <f>(DI602+DI590)/DI566*100</f>
        <v>40.925356125356124</v>
      </c>
      <c r="DJ607" s="61">
        <f>IF(ISERROR((DI607/DA607-1)*100),"NA",IF(((DI607/DA607-1)*100)&gt;100,"NM",IF(((DI607/DA607-1)*100)&lt;-50,"NM",(DI607/DA607-1)*100)))</f>
        <v>4.1589568297168533</v>
      </c>
      <c r="DK607" s="71">
        <f>(DK602+DK590)/DK566*100</f>
        <v>59.004878048780483</v>
      </c>
      <c r="DL607" s="61">
        <f>IF(ISERROR((DK607/DC607-1)*100),"NA",IF(((DK607/DC607-1)*100)&gt;100,"NM",IF(((DK607/DC607-1)*100)&lt;-50,"NM",(DK607/DC607-1)*100)))</f>
        <v>5.6880347567190404</v>
      </c>
      <c r="DM607" s="71">
        <f>(DM602+DM590)/DM566*100</f>
        <v>48.376942355889724</v>
      </c>
      <c r="DN607" s="130">
        <f t="shared" si="3456"/>
        <v>-16.237952378050281</v>
      </c>
      <c r="DO607" s="71">
        <f>(DO602+DO590)/DO566*100</f>
        <v>43.693424036281172</v>
      </c>
      <c r="DP607" s="130">
        <f t="shared" si="3456"/>
        <v>10.841919094778518</v>
      </c>
      <c r="DQ607" s="71">
        <f>(DQ602+DQ590)/DQ566*100</f>
        <v>72.378223495702002</v>
      </c>
      <c r="DR607" s="130">
        <f t="shared" si="3456"/>
        <v>76.854230111045084</v>
      </c>
      <c r="DS607" s="71">
        <f>(DS602+DS590)/DS566*100</f>
        <v>134.04</v>
      </c>
      <c r="DT607" s="130" t="str">
        <f t="shared" si="3456"/>
        <v>NM</v>
      </c>
      <c r="DU607" s="71">
        <f>(DU602+DU590)/DU566*100</f>
        <v>58.424418604651166</v>
      </c>
      <c r="DV607" s="130">
        <f t="shared" si="3456"/>
        <v>20.769142817762631</v>
      </c>
      <c r="DW607" s="71">
        <f>(DW602+DW590)/DW566*100</f>
        <v>113.92727272727272</v>
      </c>
      <c r="DX607" s="71">
        <f t="shared" ref="DX607:DY607" si="3482">(DX602+DX590)/DX566*100</f>
        <v>113.92727272727272</v>
      </c>
      <c r="DY607" s="71">
        <f t="shared" si="3482"/>
        <v>88.261484098939931</v>
      </c>
      <c r="DZ607" s="130">
        <f t="shared" si="3456"/>
        <v>21.944805821575763</v>
      </c>
      <c r="EA607" s="71">
        <f t="shared" ref="EA607:EC607" si="3483">(EA602+EA590)/EA566*100</f>
        <v>129.98756218905473</v>
      </c>
      <c r="EB607" s="130">
        <f t="shared" si="3459"/>
        <v>-3.0233048425434728</v>
      </c>
      <c r="EC607" s="71">
        <f t="shared" si="3483"/>
        <v>103.06923076923078</v>
      </c>
      <c r="ED607" s="130">
        <f t="shared" si="3460"/>
        <v>76.414645161784193</v>
      </c>
      <c r="EE607" s="71">
        <f t="shared" ref="EE607:EG607" si="3484">(EE602+EE590)/EE566*100</f>
        <v>55.331905781584581</v>
      </c>
      <c r="EF607" s="130" t="str">
        <f t="shared" si="3462"/>
        <v>NM</v>
      </c>
      <c r="EG607" s="71">
        <f t="shared" si="3484"/>
        <v>137.75000000000003</v>
      </c>
      <c r="EH607" s="130">
        <f t="shared" si="3463"/>
        <v>56.070341900872791</v>
      </c>
      <c r="EI607" s="71">
        <f t="shared" ref="EI607:EK607" si="3485">(EI602+EI590)/EI566*100</f>
        <v>61.317011494252874</v>
      </c>
      <c r="EJ607" s="130" t="str">
        <f t="shared" si="3465"/>
        <v>NM</v>
      </c>
      <c r="EK607" s="71">
        <f t="shared" si="3485"/>
        <v>64.689416058394158</v>
      </c>
      <c r="EL607" s="130">
        <f t="shared" si="3466"/>
        <v>-37.236927475250106</v>
      </c>
      <c r="EM607" s="71">
        <f t="shared" ref="EM607" si="3486">(EM602+EM590)/EM566*100</f>
        <v>63.380622009569379</v>
      </c>
      <c r="EN607" s="130">
        <f t="shared" si="3468"/>
        <v>14.546247981690797</v>
      </c>
      <c r="EO607" s="71">
        <f t="shared" ref="EO607" si="3487">(EO602+EO590)/EO566*100</f>
        <v>23.204779411764704</v>
      </c>
      <c r="EP607" s="130" t="str">
        <f t="shared" si="3470"/>
        <v>NM</v>
      </c>
      <c r="EQ607" s="71">
        <f t="shared" ref="EQ607:EW607" si="3488">(EQ602+EQ590)/EQ566*100</f>
        <v>20.050661808800673</v>
      </c>
      <c r="ER607" s="130" t="str">
        <f t="shared" si="3472"/>
        <v>NM</v>
      </c>
      <c r="ES607" s="71">
        <f t="shared" si="3488"/>
        <v>18.635903659461516</v>
      </c>
      <c r="ET607" s="130" t="str">
        <f t="shared" si="3473"/>
        <v>NM</v>
      </c>
      <c r="EU607" s="71">
        <f t="shared" si="3488"/>
        <v>44.349266810299753</v>
      </c>
      <c r="EV607" s="130">
        <f t="shared" si="3474"/>
        <v>-30.027088084424637</v>
      </c>
      <c r="EW607" s="71">
        <f t="shared" si="3488"/>
        <v>42.763804037700396</v>
      </c>
      <c r="EX607" s="130">
        <f t="shared" si="3475"/>
        <v>84.288776371730421</v>
      </c>
      <c r="EY607" s="71"/>
      <c r="EZ607" s="558"/>
      <c r="FA607" s="71"/>
      <c r="FB607" s="379"/>
      <c r="FC607" s="71"/>
      <c r="FD607" s="71"/>
      <c r="FE607" s="70"/>
      <c r="FF607" s="379"/>
      <c r="FG607" s="70"/>
      <c r="FH607" s="379"/>
      <c r="FI607" s="70"/>
      <c r="FJ607" s="71">
        <f>(FJ601+FJ590)/FJ566*100</f>
        <v>1440.5182186234824</v>
      </c>
      <c r="FK607" s="70"/>
      <c r="FL607" s="71">
        <f>(FL601+FL590)/FL566*100</f>
        <v>47.509720593982024</v>
      </c>
      <c r="FM607" s="61"/>
      <c r="FN607" s="71">
        <f>(FN601+FN590)/FN566*100</f>
        <v>84.924178144910911</v>
      </c>
      <c r="FO607" s="61"/>
      <c r="FP607" s="65">
        <f>(FP601+FP590)/FP566*100</f>
        <v>37.675803584097757</v>
      </c>
      <c r="FQ607" s="61" t="str">
        <f t="shared" si="3354"/>
        <v>NA</v>
      </c>
      <c r="FR607" s="65">
        <f>(FR601+FR590)/FR566*100</f>
        <v>104.92925739723258</v>
      </c>
      <c r="FS607" s="61" t="str">
        <f t="shared" si="3476"/>
        <v>NM</v>
      </c>
      <c r="FT607" s="65">
        <f>(FT601+FT590)/FT566*100</f>
        <v>119.00275620145331</v>
      </c>
      <c r="FU607" s="61">
        <f t="shared" si="3477"/>
        <v>13.412368631317428</v>
      </c>
      <c r="FV607" s="65">
        <f>(FV601+FV590)/FV566*100</f>
        <v>1273.5966452747221</v>
      </c>
      <c r="FW607" s="61" t="str">
        <f t="shared" si="3478"/>
        <v>NM</v>
      </c>
      <c r="FX607" s="65">
        <f>(FX601+FX590)/FX566*100</f>
        <v>-2.200890533741978</v>
      </c>
      <c r="FY607" s="61" t="str">
        <f t="shared" si="3479"/>
        <v>NM</v>
      </c>
      <c r="FZ607" s="65">
        <f>(FZ601+FZ590)/FZ566*100</f>
        <v>4.8845795601552426</v>
      </c>
      <c r="GA607" s="61" t="str">
        <f t="shared" si="3480"/>
        <v>NM</v>
      </c>
      <c r="GB607" s="65">
        <f>(GB601+GB590)/GB566*100</f>
        <v>291.29946043165455</v>
      </c>
      <c r="GC607" s="61" t="str">
        <f t="shared" si="3481"/>
        <v>NM</v>
      </c>
      <c r="GD607" s="65">
        <f>(GD601+GD590)/GD566*100</f>
        <v>45.495492742551569</v>
      </c>
      <c r="GE607" s="61" t="str">
        <f>IF(ISERROR((GD607/GB607-1)*100),"NA",IF(((GD607/GB607-1)*100)&gt;100,"NM",IF(((GD607/GB607-1)*100)&lt;-50,"NM",(GD607/GB607-1)*100)))</f>
        <v>NM</v>
      </c>
      <c r="GF607" s="65">
        <f>(GF601+GF590)/GF566*100</f>
        <v>47.677170418006433</v>
      </c>
      <c r="GG607" s="61">
        <f>IF(ISERROR((GF607/GD607-1)*100),"NA",IF(((GF607/GD607-1)*100)&gt;100,"NM",IF(((GF607/GD607-1)*100)&lt;-50,"NM",(GF607/GD607-1)*100)))</f>
        <v>4.7953710223570312</v>
      </c>
      <c r="GH607" s="65">
        <f>(GH601+GH590)/GH566*100</f>
        <v>54.860909690177984</v>
      </c>
      <c r="GI607" s="61">
        <f>IF(ISERROR((GH607/GF607-1)*100),"NA",IF(((GH607/GF607-1)*100)&gt;100,"NM",IF(((GH607/GF607-1)*100)&lt;-50,"NM",(GH607/GF607-1)*100)))</f>
        <v>15.067461447876607</v>
      </c>
      <c r="GJ607" s="65">
        <f>(GJ601+GJ590)/GJ566*100</f>
        <v>96.209241499564087</v>
      </c>
      <c r="GK607" s="61">
        <f>IF(ISERROR((GJ607/GH607-1)*100),"NA",IF(((GJ607/GH607-1)*100)&gt;100,"NM",IF(((GJ607/GH607-1)*100)&lt;-50,"NM",(GJ607/GH607-1)*100)))</f>
        <v>75.369387862682302</v>
      </c>
      <c r="GL607" s="65">
        <f>(GL601+GL590)/GL566*100</f>
        <v>94.368131868131869</v>
      </c>
      <c r="GM607" s="61">
        <f>IF(ISERROR((GL607/GJ607-1)*100),"NA",IF(((GL607/GJ607-1)*100)&gt;100,"NM",IF(((GL607/GJ607-1)*100)&lt;-50,"NM",(GL607/GJ607-1)*100)))</f>
        <v>-1.9136515398477161</v>
      </c>
      <c r="GN607" s="65">
        <f>(GN601+GN590)/GN566*100</f>
        <v>47.446370192307683</v>
      </c>
      <c r="GO607" s="61">
        <f>IF(ISERROR((GN607/GL607-1)*100),"NA",IF(((GN607/GL607-1)*100)&gt;100,"NM",IF(((GN607/GL607-1)*100)&lt;-50,"NM",(GN607/GL607-1)*100)))</f>
        <v>-49.722041484716172</v>
      </c>
      <c r="GP607" s="65">
        <f>(GP601+GP590)/GP566*100</f>
        <v>31.720733170187888</v>
      </c>
      <c r="GQ607" s="61">
        <f>IF(ISERROR((GP607/GN607-1)*100),"NA",IF(((GP607/GN607-1)*100)&gt;100,"NM",IF(((GP607/GN607-1)*100)&lt;-50,"NM",(GP607/GN607-1)*100)))</f>
        <v>-33.144025472088359</v>
      </c>
      <c r="GR607" s="71">
        <f>(GR602+GR590)/GR566*100</f>
        <v>42.647110573781191</v>
      </c>
      <c r="GS607" s="61">
        <f>IF(ISERROR((GR607/GP607-1)*100),"NA",IF(((GR607/GP607-1)*100)&gt;100,"NM",IF(((GR607/GP607-1)*100)&lt;-50,"NM",(GR607/GP607-1)*100)))</f>
        <v>34.445538648085993</v>
      </c>
      <c r="GT607" s="71">
        <f>(GT602+GT590)/GT566*100</f>
        <v>43.573593264620094</v>
      </c>
      <c r="GU607" s="61">
        <f>IF(ISERROR((GT607/GR607-1)*100),"NA",IF(((GT607/GR607-1)*100)&gt;100,"NM",IF(((GT607/GR607-1)*100)&lt;-50,"NM",(GT607/GR607-1)*100)))</f>
        <v>2.1724395354664194</v>
      </c>
      <c r="GV607" s="71">
        <f>(GV602+GV590)/GV566*100</f>
        <v>46.486009324882815</v>
      </c>
      <c r="GW607" s="61">
        <f>IF(ISERROR((GV607/GT607-1)*100),"NA",IF(((GV607/GT607-1)*100)&gt;100,"NM",IF(((GV607/GT607-1)*100)&lt;-50,"NM",(GV607/GT607-1)*100)))</f>
        <v>6.683901514790791</v>
      </c>
      <c r="GX607" s="71">
        <f>(GX602+GX590)/GX566*100</f>
        <v>45.801855877567043</v>
      </c>
      <c r="GY607" s="61">
        <f>IF(ISERROR((GX607/GV607-1)*100),"NA",IF(((GX607/GV607-1)*100)&gt;100,"NM",IF(((GX607/GV607-1)*100)&lt;-50,"NM",(GX607/GV607-1)*100)))</f>
        <v>-1.4717405457077226</v>
      </c>
      <c r="GZ607" s="61">
        <f t="shared" si="3427"/>
        <v>-0.70302539202986569</v>
      </c>
      <c r="HA607" s="61"/>
      <c r="HB607" s="452"/>
      <c r="HC607"/>
      <c r="HD607"/>
      <c r="HE607"/>
      <c r="HF607"/>
      <c r="HG607"/>
      <c r="HH607"/>
    </row>
    <row r="608" spans="1:216" s="5" customFormat="1" ht="12.75" customHeight="1" x14ac:dyDescent="0.2">
      <c r="A608" s="8"/>
      <c r="B608" s="7"/>
      <c r="C608" s="231"/>
      <c r="D608" s="107"/>
      <c r="E608" s="231"/>
      <c r="F608" s="64"/>
      <c r="G608" s="64"/>
      <c r="H608" s="64"/>
      <c r="I608" s="356"/>
      <c r="J608" s="64"/>
      <c r="K608" s="356"/>
      <c r="L608" s="61"/>
      <c r="M608" s="231"/>
      <c r="N608" s="61"/>
      <c r="O608" s="64"/>
      <c r="P608" s="61"/>
      <c r="Q608" s="64"/>
      <c r="R608" s="61"/>
      <c r="S608" s="64"/>
      <c r="T608" s="61"/>
      <c r="U608" s="356"/>
      <c r="V608" s="61"/>
      <c r="W608" s="64"/>
      <c r="X608" s="61"/>
      <c r="Y608" s="64"/>
      <c r="Z608" s="61"/>
      <c r="AA608" s="64"/>
      <c r="AB608" s="61"/>
      <c r="AC608" s="64"/>
      <c r="AD608" s="61"/>
      <c r="AE608" s="64"/>
      <c r="AF608" s="61"/>
      <c r="AG608" s="64"/>
      <c r="AH608" s="61"/>
      <c r="AI608" s="64"/>
      <c r="AJ608" s="61"/>
      <c r="AK608" s="64"/>
      <c r="AL608" s="61"/>
      <c r="AM608" s="64"/>
      <c r="AN608" s="61"/>
      <c r="AO608" s="64"/>
      <c r="AP608" s="61"/>
      <c r="AQ608" s="64"/>
      <c r="AR608" s="61" t="str">
        <f t="shared" si="3428"/>
        <v>NA</v>
      </c>
      <c r="AS608" s="64"/>
      <c r="AT608" s="61" t="str">
        <f t="shared" si="3429"/>
        <v>NA</v>
      </c>
      <c r="AU608" s="64"/>
      <c r="AV608" s="61" t="str">
        <f t="shared" si="3430"/>
        <v>NA</v>
      </c>
      <c r="AW608" s="64"/>
      <c r="AX608" s="61" t="str">
        <f t="shared" si="3431"/>
        <v>NA</v>
      </c>
      <c r="AY608" s="64"/>
      <c r="AZ608" s="61" t="str">
        <f t="shared" si="3432"/>
        <v>NA</v>
      </c>
      <c r="BA608" s="64"/>
      <c r="BB608" s="61" t="str">
        <f t="shared" si="3344"/>
        <v>NA</v>
      </c>
      <c r="BC608" s="64"/>
      <c r="BD608" s="61" t="str">
        <f t="shared" si="3345"/>
        <v>NA</v>
      </c>
      <c r="BE608" s="64"/>
      <c r="BF608" s="61" t="str">
        <f t="shared" si="3346"/>
        <v>NA</v>
      </c>
      <c r="BG608" s="64"/>
      <c r="BH608" s="61" t="str">
        <f t="shared" si="3433"/>
        <v>NA</v>
      </c>
      <c r="BI608" s="64"/>
      <c r="BJ608" s="61" t="str">
        <f t="shared" si="3434"/>
        <v>NA</v>
      </c>
      <c r="BK608" s="64"/>
      <c r="BL608" s="61" t="str">
        <f t="shared" si="3435"/>
        <v>NA</v>
      </c>
      <c r="BM608" s="64"/>
      <c r="BN608" s="61" t="str">
        <f t="shared" si="3436"/>
        <v>NA</v>
      </c>
      <c r="BO608" s="64"/>
      <c r="BP608" s="61" t="str">
        <f t="shared" si="3437"/>
        <v>NA</v>
      </c>
      <c r="BQ608" s="64"/>
      <c r="BR608" s="61" t="str">
        <f t="shared" si="3438"/>
        <v>NA</v>
      </c>
      <c r="BS608" s="64"/>
      <c r="BT608" s="61" t="str">
        <f t="shared" si="3439"/>
        <v>NA</v>
      </c>
      <c r="BU608" s="64"/>
      <c r="BV608" s="61" t="str">
        <f t="shared" si="3440"/>
        <v>NA</v>
      </c>
      <c r="BW608" s="356"/>
      <c r="BX608" s="61" t="str">
        <f t="shared" si="3441"/>
        <v>NA</v>
      </c>
      <c r="BY608" s="356"/>
      <c r="BZ608" s="61" t="str">
        <f t="shared" si="3442"/>
        <v>NA</v>
      </c>
      <c r="CA608" s="356"/>
      <c r="CB608" s="61" t="str">
        <f t="shared" si="3443"/>
        <v>NA</v>
      </c>
      <c r="CC608" s="356"/>
      <c r="CD608" s="61" t="str">
        <f t="shared" si="3444"/>
        <v>NA</v>
      </c>
      <c r="CE608" s="356"/>
      <c r="CF608" s="61" t="str">
        <f t="shared" si="3445"/>
        <v>NA</v>
      </c>
      <c r="CG608" s="356"/>
      <c r="CH608" s="61" t="str">
        <f t="shared" si="3446"/>
        <v>NA</v>
      </c>
      <c r="CI608" s="356"/>
      <c r="CJ608" s="61" t="str">
        <f t="shared" si="3447"/>
        <v>NA</v>
      </c>
      <c r="CK608" s="356"/>
      <c r="CL608" s="61" t="str">
        <f t="shared" si="3448"/>
        <v>NA</v>
      </c>
      <c r="CM608" s="356"/>
      <c r="CN608" s="61" t="str">
        <f t="shared" si="3449"/>
        <v>NA</v>
      </c>
      <c r="CO608" s="356"/>
      <c r="CP608" s="61"/>
      <c r="CQ608" s="356"/>
      <c r="CR608" s="61"/>
      <c r="CS608" s="356"/>
      <c r="CT608" s="61"/>
      <c r="CU608" s="356"/>
      <c r="CV608" s="61"/>
      <c r="CW608" s="356"/>
      <c r="CX608" s="61"/>
      <c r="CY608" s="356"/>
      <c r="CZ608" s="61"/>
      <c r="DA608" s="356"/>
      <c r="DB608" s="61"/>
      <c r="DC608" s="356"/>
      <c r="DD608" s="61"/>
      <c r="DE608" s="356"/>
      <c r="DF608" s="61"/>
      <c r="DG608" s="356"/>
      <c r="DH608" s="61"/>
      <c r="DI608" s="356"/>
      <c r="DJ608" s="61"/>
      <c r="DK608" s="356"/>
      <c r="DL608" s="61"/>
      <c r="DM608" s="356"/>
      <c r="DN608" s="61"/>
      <c r="DO608" s="356"/>
      <c r="DP608" s="61"/>
      <c r="DQ608" s="356"/>
      <c r="DR608" s="61"/>
      <c r="DS608" s="356"/>
      <c r="DT608" s="61"/>
      <c r="DU608" s="356"/>
      <c r="DV608" s="61"/>
      <c r="DW608" s="356"/>
      <c r="DX608" s="356"/>
      <c r="DY608" s="356"/>
      <c r="DZ608" s="61"/>
      <c r="EA608" s="356"/>
      <c r="EB608" s="61"/>
      <c r="EC608" s="356"/>
      <c r="ED608" s="61"/>
      <c r="EE608" s="356"/>
      <c r="EF608" s="61"/>
      <c r="EG608" s="356"/>
      <c r="EH608" s="61"/>
      <c r="EI608" s="356"/>
      <c r="EJ608" s="61"/>
      <c r="EK608" s="356"/>
      <c r="EL608" s="61"/>
      <c r="EM608" s="356"/>
      <c r="EN608" s="61"/>
      <c r="EO608" s="356"/>
      <c r="EP608" s="61"/>
      <c r="EQ608" s="356"/>
      <c r="ER608" s="61"/>
      <c r="ES608" s="356"/>
      <c r="ET608" s="61"/>
      <c r="EU608" s="356"/>
      <c r="EV608" s="61"/>
      <c r="EW608" s="356"/>
      <c r="EX608" s="61"/>
      <c r="EY608" s="64"/>
      <c r="EZ608" s="558"/>
      <c r="FA608" s="64"/>
      <c r="FB608" s="356"/>
      <c r="FC608" s="64"/>
      <c r="FD608" s="64"/>
      <c r="FE608" s="107"/>
      <c r="FF608" s="356"/>
      <c r="FG608" s="107"/>
      <c r="FH608" s="356"/>
      <c r="FI608" s="107"/>
      <c r="FJ608" s="356"/>
      <c r="FK608" s="107"/>
      <c r="FL608" s="356"/>
      <c r="FM608" s="61"/>
      <c r="FN608" s="356"/>
      <c r="FO608" s="61"/>
      <c r="FP608" s="357"/>
      <c r="FQ608" s="61" t="str">
        <f t="shared" si="3354"/>
        <v>NA</v>
      </c>
      <c r="FR608" s="357"/>
      <c r="FS608" s="61" t="str">
        <f t="shared" si="3476"/>
        <v>NA</v>
      </c>
      <c r="FT608" s="357"/>
      <c r="FU608" s="61" t="str">
        <f t="shared" si="3477"/>
        <v>NA</v>
      </c>
      <c r="FV608" s="357"/>
      <c r="FW608" s="61" t="str">
        <f t="shared" si="3478"/>
        <v>NA</v>
      </c>
      <c r="FX608" s="357"/>
      <c r="FY608" s="61" t="str">
        <f t="shared" si="3479"/>
        <v>NA</v>
      </c>
      <c r="FZ608" s="357"/>
      <c r="GA608" s="61"/>
      <c r="GB608" s="357"/>
      <c r="GC608" s="61"/>
      <c r="GD608" s="357"/>
      <c r="GE608" s="61"/>
      <c r="GF608" s="357"/>
      <c r="GG608" s="61"/>
      <c r="GH608" s="357"/>
      <c r="GI608" s="61"/>
      <c r="GJ608" s="357"/>
      <c r="GK608" s="61"/>
      <c r="GL608" s="357"/>
      <c r="GM608" s="61"/>
      <c r="GN608" s="357"/>
      <c r="GO608" s="61"/>
      <c r="GP608" s="357"/>
      <c r="GQ608" s="61"/>
      <c r="GR608" s="356"/>
      <c r="GS608" s="61"/>
      <c r="GT608" s="356"/>
      <c r="GU608" s="61"/>
      <c r="GV608" s="356"/>
      <c r="GW608" s="61"/>
      <c r="GX608" s="356"/>
      <c r="GY608" s="61"/>
      <c r="GZ608" s="61" t="str">
        <f t="shared" si="3427"/>
        <v/>
      </c>
      <c r="HA608" s="61"/>
      <c r="HB608" s="452"/>
      <c r="HC608"/>
      <c r="HD608"/>
      <c r="HE608"/>
      <c r="HF608"/>
      <c r="HG608"/>
      <c r="HH608"/>
    </row>
    <row r="609" spans="1:216" s="5" customFormat="1" ht="12.75" customHeight="1" x14ac:dyDescent="0.2">
      <c r="A609" s="5" t="s">
        <v>623</v>
      </c>
      <c r="B609" s="7" t="s">
        <v>416</v>
      </c>
      <c r="C609" s="72">
        <v>195.1</v>
      </c>
      <c r="D609" s="70"/>
      <c r="E609" s="72">
        <v>193.7</v>
      </c>
      <c r="F609" s="71"/>
      <c r="G609" s="365">
        <v>196.2</v>
      </c>
      <c r="H609" s="71"/>
      <c r="I609" s="365">
        <v>195.2</v>
      </c>
      <c r="J609" s="61"/>
      <c r="K609" s="365">
        <v>191.3</v>
      </c>
      <c r="L609" s="61">
        <f>IF(ISERROR((K609/C609-1)*100),"NA",IF(((K609/C609-1)*100)&gt;100,"NM",IF(((K609/C609-1)*100)&lt;-50,"NM",(K609/C609-1)*100)))</f>
        <v>-1.9477191184008147</v>
      </c>
      <c r="M609" s="72">
        <v>192.8</v>
      </c>
      <c r="N609" s="61">
        <f>IF(ISERROR((M609/E609-1)*100),"NA",IF(((M609/E609-1)*100)&gt;100,"NM",IF(((M609/E609-1)*100)&lt;-50,"NM",(M609/E609-1)*100)))</f>
        <v>-0.46463603510582541</v>
      </c>
      <c r="O609" s="365">
        <v>193.2</v>
      </c>
      <c r="P609" s="61">
        <f>IF(ISERROR((O609/G609-1)*100),"NA",IF(((O609/G609-1)*100)&gt;100,"NM",IF(((O609/G609-1)*100)&lt;-50,"NM",(O609/G609-1)*100)))</f>
        <v>-1.5290519877675823</v>
      </c>
      <c r="Q609" s="365">
        <v>191.1</v>
      </c>
      <c r="R609" s="61">
        <f>IF(ISERROR((Q609/I609-1)*100),"NA",IF(((Q609/I609-1)*100)&gt;100,"NM",IF(((Q609/I609-1)*100)&lt;-50,"NM",(Q609/I609-1)*100)))</f>
        <v>-2.1004098360655754</v>
      </c>
      <c r="S609" s="365">
        <v>191.7</v>
      </c>
      <c r="T609" s="61">
        <f>IF(ISERROR((S609/K609-1)*100),"NA",IF(((S609/K609-1)*100)&gt;100,"NM",IF(((S609/K609-1)*100)&lt;-50,"NM",(S609/K609-1)*100)))</f>
        <v>0.209095661265013</v>
      </c>
      <c r="U609" s="365">
        <v>186.9</v>
      </c>
      <c r="V609" s="61">
        <f>IF(ISERROR((U609/M609-1)*100),"NA",IF(((U609/M609-1)*100)&gt;100,"NM",IF(((U609/M609-1)*100)&lt;-50,"NM",(U609/M609-1)*100)))</f>
        <v>-3.0601659751037347</v>
      </c>
      <c r="W609" s="365">
        <v>178.7</v>
      </c>
      <c r="X609" s="61">
        <f>IF(ISERROR((W609/O609-1)*100),"NA",IF(((W609/O609-1)*100)&gt;100,"NM",IF(((W609/O609-1)*100)&lt;-50,"NM",(W609/O609-1)*100)))</f>
        <v>-7.5051759834368514</v>
      </c>
      <c r="Y609" s="365">
        <v>179</v>
      </c>
      <c r="Z609" s="61">
        <f>IF(ISERROR((Y609/Q609-1)*100),"NA",IF(((Y609/Q609-1)*100)&gt;100,"NM",IF(((Y609/Q609-1)*100)&lt;-50,"NM",(Y609/Q609-1)*100)))</f>
        <v>-6.3317634746206108</v>
      </c>
      <c r="AA609" s="365">
        <v>177.7</v>
      </c>
      <c r="AB609" s="61">
        <f>IF(ISERROR((AA609/S609-1)*100),"NA",IF(((AA609/S609-1)*100)&gt;100,"NM",IF(((AA609/S609-1)*100)&lt;-50,"NM",(AA609/S609-1)*100)))</f>
        <v>-7.3030777256129387</v>
      </c>
      <c r="AC609" s="365">
        <v>178</v>
      </c>
      <c r="AD609" s="61">
        <f>IF(ISERROR((AC609/U609-1)*100),"NA",IF(((AC609/U609-1)*100)&gt;100,"NM",IF(((AC609/U609-1)*100)&lt;-50,"NM",(AC609/U609-1)*100)))</f>
        <v>-4.7619047619047672</v>
      </c>
      <c r="AE609" s="365">
        <v>179.9</v>
      </c>
      <c r="AF609" s="61">
        <f>IF(ISERROR((AE609/W609-1)*100),"NA",IF(((AE609/W609-1)*100)&gt;100,"NM",IF(((AE609/W609-1)*100)&lt;-50,"NM",(AE609/W609-1)*100)))</f>
        <v>0.67151650811416719</v>
      </c>
      <c r="AG609" s="365">
        <v>180.7</v>
      </c>
      <c r="AH609" s="61">
        <f>IF(ISERROR((AG609/Y609-1)*100),"NA",IF(((AG609/Y609-1)*100)&gt;100,"NM",IF(((AG609/Y609-1)*100)&lt;-50,"NM",(AG609/Y609-1)*100)))</f>
        <v>0.94972067039105212</v>
      </c>
      <c r="AI609" s="365">
        <v>181.4</v>
      </c>
      <c r="AJ609" s="61">
        <f>IF(ISERROR((AI609/AA609-1)*100),"NA",IF(((AI609/AA609-1)*100)&gt;100,"NM",IF(((AI609/AA609-1)*100)&lt;-50,"NM",(AI609/AA609-1)*100)))</f>
        <v>2.0821609454136247</v>
      </c>
      <c r="AK609" s="365">
        <v>178.8</v>
      </c>
      <c r="AL609" s="61">
        <f>IF(ISERROR((AK609/AC609-1)*100),"NA",IF(((AK609/AC609-1)*100)&gt;100,"NM",IF(((AK609/AC609-1)*100)&lt;-50,"NM",(AK609/AC609-1)*100)))</f>
        <v>0.44943820224718767</v>
      </c>
      <c r="AM609" s="365">
        <v>177.1</v>
      </c>
      <c r="AN609" s="61">
        <f>IF(ISERROR((AM609/AE609-1)*100),"NA",IF(((AM609/AE609-1)*100)&gt;100,"NM",IF(((AM609/AE609-1)*100)&lt;-50,"NM",(AM609/AE609-1)*100)))</f>
        <v>-1.5564202334630406</v>
      </c>
      <c r="AO609" s="365">
        <v>176.1</v>
      </c>
      <c r="AP609" s="61">
        <f>IF(ISERROR((AO609/AG609-1)*100),"NA",IF(((AO609/AG609-1)*100)&gt;100,"NM",IF(((AO609/AG609-1)*100)&lt;-50,"NM",(AO609/AG609-1)*100)))</f>
        <v>-2.5456557830658477</v>
      </c>
      <c r="AQ609" s="365">
        <v>176.5</v>
      </c>
      <c r="AR609" s="61">
        <f t="shared" si="3428"/>
        <v>-2.7012127894156635</v>
      </c>
      <c r="AS609" s="365">
        <v>174.8</v>
      </c>
      <c r="AT609" s="61">
        <f t="shared" si="3429"/>
        <v>-2.2371364653243853</v>
      </c>
      <c r="AU609" s="365">
        <v>176.3</v>
      </c>
      <c r="AV609" s="61">
        <f t="shared" si="3430"/>
        <v>-0.45172219085262144</v>
      </c>
      <c r="AW609" s="365">
        <v>176.9</v>
      </c>
      <c r="AX609" s="61">
        <f t="shared" si="3431"/>
        <v>0.45428733674048871</v>
      </c>
      <c r="AY609" s="365">
        <v>178.5</v>
      </c>
      <c r="AZ609" s="61">
        <f t="shared" si="3432"/>
        <v>1.1331444759206777</v>
      </c>
      <c r="BA609" s="365">
        <v>285</v>
      </c>
      <c r="BB609" s="61">
        <f t="shared" si="3344"/>
        <v>63.043478260869556</v>
      </c>
      <c r="BC609" s="365">
        <v>281.3</v>
      </c>
      <c r="BD609" s="61">
        <f t="shared" si="3345"/>
        <v>59.557572319909234</v>
      </c>
      <c r="BE609" s="365">
        <v>280.2</v>
      </c>
      <c r="BF609" s="61">
        <f t="shared" si="3346"/>
        <v>58.394573205200672</v>
      </c>
      <c r="BG609" s="365">
        <v>274</v>
      </c>
      <c r="BH609" s="61">
        <f t="shared" si="3433"/>
        <v>53.501400560224099</v>
      </c>
      <c r="BI609" s="365">
        <v>274.5</v>
      </c>
      <c r="BJ609" s="61">
        <f t="shared" si="3434"/>
        <v>-3.6842105263157898</v>
      </c>
      <c r="BK609" s="365">
        <v>271.7</v>
      </c>
      <c r="BL609" s="61">
        <f t="shared" si="3435"/>
        <v>-3.412726626377538</v>
      </c>
      <c r="BM609" s="365">
        <v>266.2</v>
      </c>
      <c r="BN609" s="61">
        <f t="shared" si="3436"/>
        <v>-4.9964311206281202</v>
      </c>
      <c r="BO609" s="365">
        <v>260.49049000000002</v>
      </c>
      <c r="BP609" s="61">
        <f t="shared" si="3437"/>
        <v>-4.9304781021897721</v>
      </c>
      <c r="BQ609" s="365">
        <v>257.8</v>
      </c>
      <c r="BR609" s="61">
        <f t="shared" si="3438"/>
        <v>-6.083788706739524</v>
      </c>
      <c r="BS609" s="365">
        <v>256.89999999999998</v>
      </c>
      <c r="BT609" s="61">
        <f t="shared" si="3439"/>
        <v>-5.4471843945528171</v>
      </c>
      <c r="BU609" s="365">
        <v>257.7</v>
      </c>
      <c r="BV609" s="61">
        <f t="shared" si="3440"/>
        <v>-3.1930879038317039</v>
      </c>
      <c r="BW609" s="365">
        <v>258.10000000000002</v>
      </c>
      <c r="BX609" s="61">
        <f t="shared" si="3441"/>
        <v>-0.91768801233396147</v>
      </c>
      <c r="BY609" s="365">
        <v>304.2</v>
      </c>
      <c r="BZ609" s="61">
        <f t="shared" si="3442"/>
        <v>17.998448409619861</v>
      </c>
      <c r="CA609" s="365">
        <v>311.8</v>
      </c>
      <c r="CB609" s="61">
        <f t="shared" si="3443"/>
        <v>21.370182950564431</v>
      </c>
      <c r="CC609" s="365">
        <v>311.8</v>
      </c>
      <c r="CD609" s="61">
        <f t="shared" si="3444"/>
        <v>20.993403181994587</v>
      </c>
      <c r="CE609" s="365">
        <v>313</v>
      </c>
      <c r="CF609" s="61">
        <f t="shared" si="3445"/>
        <v>21.270825261526525</v>
      </c>
      <c r="CG609" s="365">
        <v>325.89999999999998</v>
      </c>
      <c r="CH609" s="61">
        <f t="shared" si="3446"/>
        <v>7.1334648257725064</v>
      </c>
      <c r="CI609" s="365">
        <v>324.3</v>
      </c>
      <c r="CJ609" s="61">
        <f t="shared" si="3447"/>
        <v>4.0089801154586269</v>
      </c>
      <c r="CK609" s="365">
        <v>324</v>
      </c>
      <c r="CL609" s="61">
        <f t="shared" si="3448"/>
        <v>3.912764592687612</v>
      </c>
      <c r="CM609" s="365">
        <v>321.3</v>
      </c>
      <c r="CN609" s="61">
        <f t="shared" si="3449"/>
        <v>2.6517571884984159</v>
      </c>
      <c r="CO609" s="365">
        <v>316.8</v>
      </c>
      <c r="CP609" s="61">
        <f t="shared" si="3450"/>
        <v>-2.7922675667382491</v>
      </c>
      <c r="CQ609" s="365">
        <v>306.89999999999998</v>
      </c>
      <c r="CR609" s="61">
        <f t="shared" si="3451"/>
        <v>-5.3654024051803972</v>
      </c>
      <c r="CS609" s="365">
        <v>297</v>
      </c>
      <c r="CT609" s="61">
        <f t="shared" si="3452"/>
        <v>-8.3333333333333375</v>
      </c>
      <c r="CU609" s="365">
        <v>293</v>
      </c>
      <c r="CV609" s="61">
        <f t="shared" si="3453"/>
        <v>-8.8079676314970499</v>
      </c>
      <c r="CW609" s="365">
        <v>286.8</v>
      </c>
      <c r="CX609" s="61">
        <f t="shared" si="3454"/>
        <v>-9.4696969696969724</v>
      </c>
      <c r="CY609" s="365">
        <v>282.39999999999998</v>
      </c>
      <c r="CZ609" s="61">
        <f t="shared" si="3455"/>
        <v>-7.9830563701531414</v>
      </c>
      <c r="DA609" s="365">
        <v>279.10000000000002</v>
      </c>
      <c r="DB609" s="61">
        <f>IF(ISERROR((DA609/CS609-1)*100),"NA",IF(((DA609/CS609-1)*100)&gt;100,"NM",IF(((DA609/CS609-1)*100)&lt;-50,"NM",(DA609/CS609-1)*100)))</f>
        <v>-6.0269360269360135</v>
      </c>
      <c r="DC609" s="365">
        <v>277.2</v>
      </c>
      <c r="DD609" s="61">
        <f>IF(ISERROR((DC609/CU609-1)*100),"NA",IF(((DC609/CU609-1)*100)&gt;100,"NM",IF(((DC609/CU609-1)*100)&lt;-50,"NM",(DC609/CU609-1)*100)))</f>
        <v>-5.3924914675767983</v>
      </c>
      <c r="DE609" s="365">
        <v>273.89999999999998</v>
      </c>
      <c r="DF609" s="61">
        <f>IF(ISERROR((DE609/CW609-1)*100),"NA",IF(((DE609/CW609-1)*100)&gt;100,"NM",IF(((DE609/CW609-1)*100)&lt;-50,"NM",(DE609/CW609-1)*100)))</f>
        <v>-4.4979079497908021</v>
      </c>
      <c r="DG609" s="365">
        <v>272.5</v>
      </c>
      <c r="DH609" s="61">
        <f>IF(ISERROR((DG609/CY609-1)*100),"NA",IF(((DG609/CY609-1)*100)&gt;100,"NM",IF(((DG609/CY609-1)*100)&lt;-50,"NM",(DG609/CY609-1)*100)))</f>
        <v>-3.5056657223795917</v>
      </c>
      <c r="DI609" s="365">
        <v>272.2</v>
      </c>
      <c r="DJ609" s="61">
        <f>IF(ISERROR((DI609/DA609-1)*100),"NA",IF(((DI609/DA609-1)*100)&gt;100,"NM",IF(((DI609/DA609-1)*100)&lt;-50,"NM",(DI609/DA609-1)*100)))</f>
        <v>-2.4722321748477327</v>
      </c>
      <c r="DK609" s="365">
        <v>270.39999999999998</v>
      </c>
      <c r="DL609" s="61">
        <f>IF(ISERROR((DK609/DC609-1)*100),"NA",IF(((DK609/DC609-1)*100)&gt;100,"NM",IF(((DK609/DC609-1)*100)&lt;-50,"NM",(DK609/DC609-1)*100)))</f>
        <v>-2.4531024531024626</v>
      </c>
      <c r="DM609" s="365">
        <v>267.60000000000002</v>
      </c>
      <c r="DN609" s="130">
        <f t="shared" ref="DN609:DZ611" si="3489">IF(ISERROR((DM609/DE609-1)*100),"NA",IF(((DM609/DE609-1)*100)&gt;100,"NM",IF(((DM609/DE609-1)*100)&lt;-50,"NM",(DM609/DE609-1)*100)))</f>
        <v>-2.3001095290251738</v>
      </c>
      <c r="DO609" s="365">
        <v>265.5</v>
      </c>
      <c r="DP609" s="130">
        <f t="shared" si="3489"/>
        <v>-2.5688073394495414</v>
      </c>
      <c r="DQ609" s="365">
        <v>261.5</v>
      </c>
      <c r="DR609" s="130">
        <f t="shared" si="3489"/>
        <v>-3.930933137398962</v>
      </c>
      <c r="DS609" s="365">
        <v>257.2</v>
      </c>
      <c r="DT609" s="130">
        <f t="shared" si="3489"/>
        <v>-4.8816568047337245</v>
      </c>
      <c r="DU609" s="365">
        <v>254.1</v>
      </c>
      <c r="DV609" s="130">
        <f t="shared" si="3489"/>
        <v>-5.0448430493273637</v>
      </c>
      <c r="DW609" s="365">
        <v>251.2</v>
      </c>
      <c r="DX609" s="365">
        <v>251.2</v>
      </c>
      <c r="DY609" s="365">
        <v>246.7</v>
      </c>
      <c r="DZ609" s="130">
        <f t="shared" si="3489"/>
        <v>-5.659655831739963</v>
      </c>
      <c r="EA609" s="365">
        <v>242.2</v>
      </c>
      <c r="EB609" s="130">
        <f t="shared" ref="EB609:EB611" si="3490">IF(ISERROR((EA609/DS609-1)*100),"NA",IF(((EA609/DS609-1)*100)&gt;100,"NM",IF(((EA609/DS609-1)*100)&lt;-50,"NM",(EA609/DS609-1)*100)))</f>
        <v>-5.8320373250388862</v>
      </c>
      <c r="EC609" s="365">
        <v>236.3</v>
      </c>
      <c r="ED609" s="130">
        <f t="shared" ref="ED609:ED611" si="3491">IF(ISERROR((EC609/DU609-1)*100),"NA",IF(((EC609/DU609-1)*100)&gt;100,"NM",IF(((EC609/DU609-1)*100)&lt;-50,"NM",(EC609/DU609-1)*100)))</f>
        <v>-7.0051160960251764</v>
      </c>
      <c r="EE609" s="365">
        <v>231.3</v>
      </c>
      <c r="EF609" s="130">
        <f t="shared" ref="EF609:EF611" si="3492">IF(ISERROR((EE609/DW609-1)*100),"NA",IF(((EE609/DW609-1)*100)&gt;100,"NM",IF(((EE609/DW609-1)*100)&lt;-50,"NM",(EE609/DW609-1)*100)))</f>
        <v>-7.9219745222929845</v>
      </c>
      <c r="EG609" s="365">
        <v>230.1</v>
      </c>
      <c r="EH609" s="130">
        <f t="shared" ref="EH609:EH611" si="3493">IF(ISERROR((EG609/DY609-1)*100),"NA",IF(((EG609/DY609-1)*100)&gt;100,"NM",IF(((EG609/DY609-1)*100)&lt;-50,"NM",(EG609/DY609-1)*100)))</f>
        <v>-6.7288204296716669</v>
      </c>
      <c r="EI609" s="365">
        <v>228.9</v>
      </c>
      <c r="EJ609" s="130">
        <f t="shared" ref="EJ609:EJ611" si="3494">IF(ISERROR((EI609/EA609-1)*100),"NA",IF(((EI609/EA609-1)*100)&gt;100,"NM",IF(((EI609/EA609-1)*100)&lt;-50,"NM",(EI609/EA609-1)*100)))</f>
        <v>-5.4913294797687806</v>
      </c>
      <c r="EK609" s="365">
        <v>226</v>
      </c>
      <c r="EL609" s="130">
        <f t="shared" ref="EL609:EL611" si="3495">IF(ISERROR((EK609/EC609-1)*100),"NA",IF(((EK609/EC609-1)*100)&gt;100,"NM",IF(((EK609/EC609-1)*100)&lt;-50,"NM",(EK609/EC609-1)*100)))</f>
        <v>-4.3588658484976728</v>
      </c>
      <c r="EM609" s="365">
        <v>222.7</v>
      </c>
      <c r="EN609" s="130">
        <f t="shared" ref="EN609:EN611" si="3496">IF(ISERROR((EM609/EE609-1)*100),"NA",IF(((EM609/EE609-1)*100)&gt;100,"NM",IF(((EM609/EE609-1)*100)&lt;-50,"NM",(EM609/EE609-1)*100)))</f>
        <v>-3.7181150021617038</v>
      </c>
      <c r="EO609" s="365">
        <v>221.3</v>
      </c>
      <c r="EP609" s="130">
        <f t="shared" ref="EP609:EP611" si="3497">IF(ISERROR((EO609/EG609-1)*100),"NA",IF(((EO609/EG609-1)*100)&gt;100,"NM",IF(((EO609/EG609-1)*100)&lt;-50,"NM",(EO609/EG609-1)*100)))</f>
        <v>-3.8244241634072029</v>
      </c>
      <c r="EQ609" s="378">
        <f t="shared" ref="EQ609" si="3498">EO609+EQ593-EQ598</f>
        <v>221.3</v>
      </c>
      <c r="ER609" s="130">
        <f t="shared" ref="ER609:ER611" si="3499">IF(ISERROR((EQ609/EI609-1)*100),"NA",IF(((EQ609/EI609-1)*100)&gt;100,"NM",IF(((EQ609/EI609-1)*100)&lt;-50,"NM",(EQ609/EI609-1)*100)))</f>
        <v>-3.3202271734381839</v>
      </c>
      <c r="ES609" s="378">
        <f t="shared" ref="ES609" si="3500">EQ609+ES593-ES598</f>
        <v>221.3</v>
      </c>
      <c r="ET609" s="130">
        <f t="shared" ref="ET609:ET611" si="3501">IF(ISERROR((ES609/EK609-1)*100),"NA",IF(((ES609/EK609-1)*100)&gt;100,"NM",IF(((ES609/EK609-1)*100)&lt;-50,"NM",(ES609/EK609-1)*100)))</f>
        <v>-2.0796460176991105</v>
      </c>
      <c r="EU609" s="378">
        <f t="shared" ref="EU609" si="3502">ES609+EU593-EU598</f>
        <v>220.31463388718043</v>
      </c>
      <c r="EV609" s="130">
        <f t="shared" ref="EV609:EV611" si="3503">IF(ISERROR((EU609/EM609-1)*100),"NA",IF(((EU609/EM609-1)*100)&gt;100,"NM",IF(((EU609/EM609-1)*100)&lt;-50,"NM",(EU609/EM609-1)*100)))</f>
        <v>-1.0711118602692249</v>
      </c>
      <c r="EW609" s="378">
        <f t="shared" ref="EW609" si="3504">EU609+EW593-EW598</f>
        <v>219.34863055035657</v>
      </c>
      <c r="EX609" s="130">
        <f t="shared" ref="EX609:EX611" si="3505">IF(ISERROR((EW609/EO609-1)*100),"NA",IF(((EW609/EO609-1)*100)&gt;100,"NM",IF(((EW609/EO609-1)*100)&lt;-50,"NM",(EW609/EO609-1)*100)))</f>
        <v>-0.88177562116739105</v>
      </c>
      <c r="EY609" s="64"/>
      <c r="EZ609" s="558"/>
      <c r="FA609" s="64"/>
      <c r="FB609" s="72">
        <v>202.6</v>
      </c>
      <c r="FC609" s="71"/>
      <c r="FD609" s="72">
        <v>196</v>
      </c>
      <c r="FE609" s="70">
        <f>IF(ISERROR((FD609/FB609-1)*100),"NA",IF(((FD609/FB609-1)*100)&gt;100,"NM",IF(((FD609/FB609-1)*100)&lt;-50,"NM",(FD609/FB609-1)*100)))</f>
        <v>-3.257650542941759</v>
      </c>
      <c r="FF609" s="69">
        <f>I609</f>
        <v>195.2</v>
      </c>
      <c r="FG609" s="70">
        <f>IF(ISERROR((FF609/FD609-1)*100),"NA",IF(((FF609/FD609-1)*100)&gt;100,"NM",IF(((FF609/FD609-1)*100)&lt;-50,"NM",(FF609/FD609-1)*100)))</f>
        <v>-0.40816326530612734</v>
      </c>
      <c r="FH609" s="69">
        <f>Q609</f>
        <v>191.1</v>
      </c>
      <c r="FI609" s="70">
        <f>IF(ISERROR((FH609/FF609-1)*100),"NA",IF(((FH609/FF609-1)*100)&gt;100,"NM",IF(((FH609/FF609-1)*100)&lt;-50,"NM",(FH609/FF609-1)*100)))</f>
        <v>-2.1004098360655754</v>
      </c>
      <c r="FJ609" s="69">
        <f>Y609</f>
        <v>179</v>
      </c>
      <c r="FK609" s="70">
        <f>IF(ISERROR((FJ609/FH609-1)*100),"NA",IF(((FJ609/FH609-1)*100)&gt;100,"NM",IF(((FJ609/FH609-1)*100)&lt;-50,"NM",(FJ609/FH609-1)*100)))</f>
        <v>-6.3317634746206108</v>
      </c>
      <c r="FL609" s="69">
        <f>AG609</f>
        <v>180.7</v>
      </c>
      <c r="FM609" s="61">
        <f>IF(ISERROR((FL609/FJ609-1)*100),"NA",IF(((FL609/FJ609-1)*100)&gt;100,"NM",IF(((FL609/FJ609-1)*100)&lt;-50,"NM",(FL609/FJ609-1)*100)))</f>
        <v>0.94972067039105212</v>
      </c>
      <c r="FN609" s="69">
        <f>AO609</f>
        <v>176.1</v>
      </c>
      <c r="FO609" s="61">
        <f>IF(ISERROR((FN609/FL609-1)*100),"NA",IF(((FN609/FL609-1)*100)&gt;100,"NM",IF(((FN609/FL609-1)*100)&lt;-50,"NM",(FN609/FL609-1)*100)))</f>
        <v>-2.5456557830658477</v>
      </c>
      <c r="FP609" s="270">
        <f>AW609</f>
        <v>176.9</v>
      </c>
      <c r="FQ609" s="61">
        <f t="shared" si="3354"/>
        <v>-7.4306645735217058</v>
      </c>
      <c r="FR609" s="270">
        <f>BE609</f>
        <v>280.2</v>
      </c>
      <c r="FS609" s="61">
        <f t="shared" si="3476"/>
        <v>58.394573205200672</v>
      </c>
      <c r="FT609" s="270">
        <f>BM609</f>
        <v>266.2</v>
      </c>
      <c r="FU609" s="61">
        <f t="shared" si="3477"/>
        <v>-4.9964311206281202</v>
      </c>
      <c r="FV609" s="270">
        <f>BU609</f>
        <v>257.7</v>
      </c>
      <c r="FW609" s="61">
        <f t="shared" si="3478"/>
        <v>-3.1930879038317039</v>
      </c>
      <c r="FX609" s="270">
        <f>CC609</f>
        <v>311.8</v>
      </c>
      <c r="FY609" s="61">
        <f t="shared" si="3479"/>
        <v>20.993403181994587</v>
      </c>
      <c r="FZ609" s="270">
        <f>CK609</f>
        <v>324</v>
      </c>
      <c r="GA609" s="61">
        <f t="shared" si="3480"/>
        <v>3.912764592687612</v>
      </c>
      <c r="GB609" s="270">
        <f>CS609</f>
        <v>297</v>
      </c>
      <c r="GC609" s="61">
        <f t="shared" si="3481"/>
        <v>-8.3333333333333375</v>
      </c>
      <c r="GD609" s="270">
        <f>DA609</f>
        <v>279.10000000000002</v>
      </c>
      <c r="GE609" s="61">
        <f>IF(ISERROR((GD609/GB609-1)*100),"NA",IF(((GD609/GB609-1)*100)&gt;100,"NM",IF(((GD609/GB609-1)*100)&lt;-50,"NM",(GD609/GB609-1)*100)))</f>
        <v>-6.0269360269360135</v>
      </c>
      <c r="GF609" s="270">
        <f>DI609</f>
        <v>272.2</v>
      </c>
      <c r="GG609" s="61">
        <f>IF(ISERROR((GF609/GD609-1)*100),"NA",IF(((GF609/GD609-1)*100)&gt;100,"NM",IF(((GF609/GD609-1)*100)&lt;-50,"NM",(GF609/GD609-1)*100)))</f>
        <v>-2.4722321748477327</v>
      </c>
      <c r="GH609" s="270">
        <f>DQ609</f>
        <v>261.5</v>
      </c>
      <c r="GI609" s="61">
        <f>IF(ISERROR((GH609/GF609-1)*100),"NA",IF(((GH609/GF609-1)*100)&gt;100,"NM",IF(((GH609/GF609-1)*100)&lt;-50,"NM",(GH609/GF609-1)*100)))</f>
        <v>-3.930933137398962</v>
      </c>
      <c r="GJ609" s="270">
        <f>DY609</f>
        <v>246.7</v>
      </c>
      <c r="GK609" s="61">
        <f>IF(ISERROR((GJ609/GH609-1)*100),"NA",IF(((GJ609/GH609-1)*100)&gt;100,"NM",IF(((GJ609/GH609-1)*100)&lt;-50,"NM",(GJ609/GH609-1)*100)))</f>
        <v>-5.659655831739963</v>
      </c>
      <c r="GL609" s="270">
        <f>EG609</f>
        <v>230.1</v>
      </c>
      <c r="GM609" s="61">
        <f>IF(ISERROR((GL609/GJ609-1)*100),"NA",IF(((GL609/GJ609-1)*100)&gt;100,"NM",IF(((GL609/GJ609-1)*100)&lt;-50,"NM",(GL609/GJ609-1)*100)))</f>
        <v>-6.7288204296716669</v>
      </c>
      <c r="GN609" s="270">
        <f>EO609</f>
        <v>221.3</v>
      </c>
      <c r="GO609" s="61">
        <f>IF(ISERROR((GN609/GL609-1)*100),"NA",IF(((GN609/GL609-1)*100)&gt;100,"NM",IF(((GN609/GL609-1)*100)&lt;-50,"NM",(GN609/GL609-1)*100)))</f>
        <v>-3.8244241634072029</v>
      </c>
      <c r="GP609" s="270">
        <f>EW609</f>
        <v>219.34863055035657</v>
      </c>
      <c r="GQ609" s="61">
        <f>IF(ISERROR((GP609/GN609-1)*100),"NA",IF(((GP609/GN609-1)*100)&gt;100,"NM",IF(((GP609/GN609-1)*100)&lt;-50,"NM",(GP609/GN609-1)*100)))</f>
        <v>-0.88177562116739105</v>
      </c>
      <c r="GR609" s="378">
        <f>GP609+GR593-GR598</f>
        <v>215.16089267408222</v>
      </c>
      <c r="GS609" s="61">
        <f>IF(ISERROR((GR609/GP609-1)*100),"NA",IF(((GR609/GP609-1)*100)&gt;100,"NM",IF(((GR609/GP609-1)*100)&lt;-50,"NM",(GR609/GP609-1)*100)))</f>
        <v>-1.9091698296757609</v>
      </c>
      <c r="GT609" s="378">
        <f>GR609+GT593-GT598</f>
        <v>210.14308355556258</v>
      </c>
      <c r="GU609" s="61">
        <f>IF(ISERROR((GT609/GR609-1)*100),"NA",IF(((GT609/GR609-1)*100)&gt;100,"NM",IF(((GT609/GR609-1)*100)&lt;-50,"NM",(GT609/GR609-1)*100)))</f>
        <v>-2.3321194926070654</v>
      </c>
      <c r="GV609" s="378">
        <f>GT609+GV593-GV598</f>
        <v>204.40621408826894</v>
      </c>
      <c r="GW609" s="61">
        <f>IF(ISERROR((GV609/GT609-1)*100),"NA",IF(((GV609/GT609-1)*100)&gt;100,"NM",IF(((GV609/GT609-1)*100)&lt;-50,"NM",(GV609/GT609-1)*100)))</f>
        <v>-2.7299825291546176</v>
      </c>
      <c r="GX609" s="378">
        <f>GV609+GX593-GX598</f>
        <v>198.78491039299786</v>
      </c>
      <c r="GY609" s="61">
        <f>IF(ISERROR((GX609/GV609-1)*100),"NA",IF(((GX609/GV609-1)*100)&gt;100,"NM",IF(((GX609/GV609-1)*100)&lt;-50,"NM",(GX609/GV609-1)*100)))</f>
        <v>-2.7500649725079485</v>
      </c>
      <c r="GZ609" s="61">
        <f t="shared" si="3427"/>
        <v>-2.1230561985737917</v>
      </c>
      <c r="HA609" s="61"/>
      <c r="HB609" s="452"/>
      <c r="HC609"/>
      <c r="HD609"/>
      <c r="HE609"/>
      <c r="HF609"/>
      <c r="HG609"/>
      <c r="HH609"/>
    </row>
    <row r="610" spans="1:216" s="5" customFormat="1" ht="12.75" customHeight="1" x14ac:dyDescent="0.2">
      <c r="B610" s="7" t="s">
        <v>561</v>
      </c>
      <c r="C610" s="72">
        <v>193.3</v>
      </c>
      <c r="D610" s="70"/>
      <c r="E610" s="72">
        <v>191.1</v>
      </c>
      <c r="F610" s="71"/>
      <c r="G610" s="72">
        <v>191.8</v>
      </c>
      <c r="H610" s="71"/>
      <c r="I610" s="72">
        <v>191.2</v>
      </c>
      <c r="J610" s="61"/>
      <c r="K610" s="72">
        <v>188.1</v>
      </c>
      <c r="L610" s="61"/>
      <c r="M610" s="72">
        <v>188.1</v>
      </c>
      <c r="N610" s="61"/>
      <c r="O610" s="72">
        <v>189.7</v>
      </c>
      <c r="P610" s="61"/>
      <c r="Q610" s="72">
        <v>187.3</v>
      </c>
      <c r="R610" s="61"/>
      <c r="S610" s="72">
        <v>187.9</v>
      </c>
      <c r="T610" s="61"/>
      <c r="U610" s="72">
        <v>184.5</v>
      </c>
      <c r="V610" s="61"/>
      <c r="W610" s="72">
        <v>177.5</v>
      </c>
      <c r="X610" s="61"/>
      <c r="Y610" s="72">
        <v>177.6</v>
      </c>
      <c r="Z610" s="61"/>
      <c r="AA610" s="72">
        <v>177.7</v>
      </c>
      <c r="AB610" s="61"/>
      <c r="AC610" s="72">
        <v>178</v>
      </c>
      <c r="AD610" s="61"/>
      <c r="AE610" s="72">
        <v>178.3</v>
      </c>
      <c r="AF610" s="61"/>
      <c r="AG610" s="72">
        <v>178.5</v>
      </c>
      <c r="AH610" s="61"/>
      <c r="AI610" s="72">
        <v>178.78765799999999</v>
      </c>
      <c r="AJ610" s="61"/>
      <c r="AK610" s="72">
        <v>176.190787</v>
      </c>
      <c r="AL610" s="61"/>
      <c r="AM610" s="72">
        <v>174.81800200000001</v>
      </c>
      <c r="AN610" s="61"/>
      <c r="AO610" s="72">
        <v>173.82832200000001</v>
      </c>
      <c r="AP610" s="61"/>
      <c r="AQ610" s="72">
        <v>173.943679</v>
      </c>
      <c r="AR610" s="61">
        <f t="shared" si="3428"/>
        <v>-2.7093475322552685</v>
      </c>
      <c r="AS610" s="72">
        <v>172.616332</v>
      </c>
      <c r="AT610" s="61">
        <f t="shared" si="3429"/>
        <v>-2.0287411509206765</v>
      </c>
      <c r="AU610" s="72">
        <v>173.47117499999999</v>
      </c>
      <c r="AV610" s="61">
        <f t="shared" si="3430"/>
        <v>-0.77041665308588136</v>
      </c>
      <c r="AW610" s="72">
        <v>174.01631800000001</v>
      </c>
      <c r="AX610" s="61">
        <f t="shared" si="3431"/>
        <v>0.10815038529796706</v>
      </c>
      <c r="AY610" s="72">
        <v>176.12362899999999</v>
      </c>
      <c r="AZ610" s="61">
        <f t="shared" si="3432"/>
        <v>1.2532504846008097</v>
      </c>
      <c r="BA610" s="72">
        <v>281.76949400000001</v>
      </c>
      <c r="BB610" s="61">
        <f t="shared" si="3344"/>
        <v>63.234550714471219</v>
      </c>
      <c r="BC610" s="72">
        <v>277.57161500000001</v>
      </c>
      <c r="BD610" s="61">
        <f t="shared" si="3345"/>
        <v>60.010223600549217</v>
      </c>
      <c r="BE610" s="72">
        <v>276</v>
      </c>
      <c r="BF610" s="61">
        <f t="shared" si="3346"/>
        <v>58.605815346581444</v>
      </c>
      <c r="BG610" s="72">
        <v>270.89999999999998</v>
      </c>
      <c r="BH610" s="61">
        <f t="shared" si="3433"/>
        <v>53.812410940044828</v>
      </c>
      <c r="BI610" s="72">
        <v>271.63938899999999</v>
      </c>
      <c r="BJ610" s="61">
        <f t="shared" si="3434"/>
        <v>-3.5951745010409208</v>
      </c>
      <c r="BK610" s="72">
        <v>269.39999999999998</v>
      </c>
      <c r="BL610" s="61">
        <f t="shared" si="3435"/>
        <v>-2.9439663706247621</v>
      </c>
      <c r="BM610" s="72">
        <v>264.39999999999998</v>
      </c>
      <c r="BN610" s="61">
        <f t="shared" si="3436"/>
        <v>-4.202898550724643</v>
      </c>
      <c r="BO610" s="72">
        <v>259.39999999999998</v>
      </c>
      <c r="BP610" s="61">
        <f t="shared" si="3437"/>
        <v>-4.2451088962716881</v>
      </c>
      <c r="BQ610" s="72">
        <v>257</v>
      </c>
      <c r="BR610" s="61">
        <f t="shared" si="3438"/>
        <v>-5.3892732765644658</v>
      </c>
      <c r="BS610" s="72">
        <v>256</v>
      </c>
      <c r="BT610" s="61">
        <f t="shared" si="3439"/>
        <v>-4.9740163325909359</v>
      </c>
      <c r="BU610" s="72">
        <v>256.10000000000002</v>
      </c>
      <c r="BV610" s="61">
        <f t="shared" si="3440"/>
        <v>-3.1391830559757805</v>
      </c>
      <c r="BW610" s="72">
        <v>256.14999999999998</v>
      </c>
      <c r="BX610" s="61">
        <f t="shared" si="3441"/>
        <v>-1.2528912875867437</v>
      </c>
      <c r="BY610" s="72">
        <v>302.3</v>
      </c>
      <c r="BZ610" s="61">
        <f t="shared" si="3442"/>
        <v>17.626459143968876</v>
      </c>
      <c r="CA610" s="72">
        <v>302.3</v>
      </c>
      <c r="CB610" s="61">
        <f t="shared" si="3443"/>
        <v>18.085937500000004</v>
      </c>
      <c r="CC610" s="72">
        <v>302.39999999999998</v>
      </c>
      <c r="CD610" s="61">
        <f t="shared" si="3444"/>
        <v>18.078875439281504</v>
      </c>
      <c r="CE610" s="72">
        <v>302.60000000000002</v>
      </c>
      <c r="CF610" s="61">
        <f t="shared" si="3445"/>
        <v>18.133905914503234</v>
      </c>
      <c r="CG610" s="72">
        <v>316.8</v>
      </c>
      <c r="CH610" s="61">
        <f t="shared" si="3446"/>
        <v>4.7965597088984513</v>
      </c>
      <c r="CI610" s="72">
        <v>316.89999999999998</v>
      </c>
      <c r="CJ610" s="61">
        <f t="shared" si="3447"/>
        <v>4.8296394310287649</v>
      </c>
      <c r="CK610" s="72">
        <v>315.89999999999998</v>
      </c>
      <c r="CL610" s="61">
        <f t="shared" si="3448"/>
        <v>4.4642857142857206</v>
      </c>
      <c r="CM610" s="72">
        <v>313.60000000000002</v>
      </c>
      <c r="CN610" s="61">
        <f t="shared" si="3449"/>
        <v>3.6351619299405113</v>
      </c>
      <c r="CO610" s="72">
        <v>308.5</v>
      </c>
      <c r="CP610" s="61">
        <f t="shared" si="3450"/>
        <v>-2.6199494949495028</v>
      </c>
      <c r="CQ610" s="72">
        <v>301.8</v>
      </c>
      <c r="CR610" s="61">
        <f t="shared" si="3451"/>
        <v>-4.7649100662669479</v>
      </c>
      <c r="CS610" s="72">
        <v>291.5</v>
      </c>
      <c r="CT610" s="61">
        <f t="shared" si="3452"/>
        <v>-7.7239632795188307</v>
      </c>
      <c r="CU610" s="72">
        <v>285.60000000000002</v>
      </c>
      <c r="CV610" s="61">
        <f t="shared" si="3453"/>
        <v>-8.9285714285714306</v>
      </c>
      <c r="CW610" s="72">
        <v>279.3</v>
      </c>
      <c r="CX610" s="61">
        <f t="shared" si="3454"/>
        <v>-9.4651539708265791</v>
      </c>
      <c r="CY610" s="72">
        <v>275.2</v>
      </c>
      <c r="CZ610" s="61">
        <f t="shared" si="3455"/>
        <v>-8.8137839628893424</v>
      </c>
      <c r="DA610" s="72">
        <v>271.60000000000002</v>
      </c>
      <c r="DB610" s="61">
        <f>IF(ISERROR((DA610/CS610-1)*100),"NA",IF(((DA610/CS610-1)*100)&gt;100,"NM",IF(((DA610/CS610-1)*100)&lt;-50,"NM",(DA610/CS610-1)*100)))</f>
        <v>-6.8267581475128569</v>
      </c>
      <c r="DC610" s="72">
        <v>268.60000000000002</v>
      </c>
      <c r="DD610" s="61">
        <f>IF(ISERROR((DC610/CU610-1)*100),"NA",IF(((DC610/CU610-1)*100)&gt;100,"NM",IF(((DC610/CU610-1)*100)&lt;-50,"NM",(DC610/CU610-1)*100)))</f>
        <v>-5.9523809523809534</v>
      </c>
      <c r="DE610" s="72">
        <v>264.39999999999998</v>
      </c>
      <c r="DF610" s="61">
        <f>IF(ISERROR((DE610/CW610-1)*100),"NA",IF(((DE610/CW610-1)*100)&gt;100,"NM",IF(((DE610/CW610-1)*100)&lt;-50,"NM",(DE610/CW610-1)*100)))</f>
        <v>-5.3347654851414354</v>
      </c>
      <c r="DG610" s="72">
        <v>262.3</v>
      </c>
      <c r="DH610" s="61">
        <f>IF(ISERROR((DG610/CY610-1)*100),"NA",IF(((DG610/CY610-1)*100)&gt;100,"NM",IF(((DG610/CY610-1)*100)&lt;-50,"NM",(DG610/CY610-1)*100)))</f>
        <v>-4.6874999999999893</v>
      </c>
      <c r="DI610" s="72">
        <v>262.89999999999998</v>
      </c>
      <c r="DJ610" s="61">
        <f>IF(ISERROR((DI610/DA610-1)*100),"NA",IF(((DI610/DA610-1)*100)&gt;100,"NM",IF(((DI610/DA610-1)*100)&lt;-50,"NM",(DI610/DA610-1)*100)))</f>
        <v>-3.2032400589101839</v>
      </c>
      <c r="DK610" s="72">
        <v>263.7</v>
      </c>
      <c r="DL610" s="61">
        <f>IF(ISERROR((DK610/DC610-1)*100),"NA",IF(((DK610/DC610-1)*100)&gt;100,"NM",IF(((DK610/DC610-1)*100)&lt;-50,"NM",(DK610/DC610-1)*100)))</f>
        <v>-1.8242740134028379</v>
      </c>
      <c r="DM610" s="72">
        <v>260.8</v>
      </c>
      <c r="DN610" s="130">
        <f t="shared" si="3489"/>
        <v>-1.3615733736762392</v>
      </c>
      <c r="DO610" s="72">
        <v>259.8</v>
      </c>
      <c r="DP610" s="130">
        <f t="shared" si="3489"/>
        <v>-0.95310712924132623</v>
      </c>
      <c r="DQ610" s="72">
        <v>256.60000000000002</v>
      </c>
      <c r="DR610" s="130">
        <f t="shared" si="3489"/>
        <v>-2.3963484214530095</v>
      </c>
      <c r="DS610" s="72">
        <v>252.9</v>
      </c>
      <c r="DT610" s="130">
        <f t="shared" si="3489"/>
        <v>-4.0955631399317349</v>
      </c>
      <c r="DU610" s="72">
        <v>250.9</v>
      </c>
      <c r="DV610" s="130">
        <f t="shared" si="3489"/>
        <v>-3.7960122699386534</v>
      </c>
      <c r="DW610" s="72">
        <v>247.5</v>
      </c>
      <c r="DX610" s="72">
        <v>247.5</v>
      </c>
      <c r="DY610" s="72">
        <v>243.8</v>
      </c>
      <c r="DZ610" s="130">
        <f t="shared" si="3489"/>
        <v>-4.9883086515978174</v>
      </c>
      <c r="EA610" s="72">
        <v>239</v>
      </c>
      <c r="EB610" s="130">
        <f t="shared" si="3490"/>
        <v>-5.4962435745353861</v>
      </c>
      <c r="EC610" s="72">
        <v>232.77</v>
      </c>
      <c r="ED610" s="130">
        <f t="shared" si="3491"/>
        <v>-7.2259864487843721</v>
      </c>
      <c r="EE610" s="72">
        <v>228.5</v>
      </c>
      <c r="EF610" s="130">
        <f t="shared" si="3492"/>
        <v>-7.6767676767676818</v>
      </c>
      <c r="EG610" s="72">
        <v>226.34</v>
      </c>
      <c r="EH610" s="130">
        <f t="shared" si="3493"/>
        <v>-7.1616078753076291</v>
      </c>
      <c r="EI610" s="72">
        <v>224.88</v>
      </c>
      <c r="EJ610" s="130">
        <f t="shared" si="3494"/>
        <v>-5.9079497907949863</v>
      </c>
      <c r="EK610" s="72">
        <v>222.22</v>
      </c>
      <c r="EL610" s="130">
        <f t="shared" si="3495"/>
        <v>-4.532371010009884</v>
      </c>
      <c r="EM610" s="72">
        <f>219.5+0.04</f>
        <v>219.54</v>
      </c>
      <c r="EN610" s="130">
        <f t="shared" si="3496"/>
        <v>-3.9212253829321697</v>
      </c>
      <c r="EO610" s="72">
        <f>218.1-0.04</f>
        <v>218.06</v>
      </c>
      <c r="EP610" s="130">
        <f t="shared" si="3497"/>
        <v>-3.6582133074136269</v>
      </c>
      <c r="EQ610" s="73">
        <f t="shared" ref="EQ610" si="3506">EO610+EQ593-EQ598</f>
        <v>218.06</v>
      </c>
      <c r="ER610" s="130">
        <f t="shared" si="3499"/>
        <v>-3.0327285663464876</v>
      </c>
      <c r="ES610" s="73">
        <f t="shared" ref="ES610" si="3507">EQ610+ES593-ES598</f>
        <v>218.06</v>
      </c>
      <c r="ET610" s="130">
        <f t="shared" si="3501"/>
        <v>-1.8720187201871963</v>
      </c>
      <c r="EU610" s="73">
        <f t="shared" ref="EU610" si="3508">ES610+EU593-EU598</f>
        <v>217.07463388718043</v>
      </c>
      <c r="EV610" s="130">
        <f t="shared" si="3503"/>
        <v>-1.12296898643508</v>
      </c>
      <c r="EW610" s="73">
        <f t="shared" ref="EW610" si="3509">EU610+EW593-EW598</f>
        <v>216.10863055035657</v>
      </c>
      <c r="EX610" s="130">
        <f t="shared" si="3505"/>
        <v>-0.89487730424810952</v>
      </c>
      <c r="EY610" s="64"/>
      <c r="EZ610" s="558"/>
      <c r="FA610" s="64"/>
      <c r="FB610" s="72" t="s">
        <v>157</v>
      </c>
      <c r="FC610" s="71"/>
      <c r="FD610" s="72" t="s">
        <v>157</v>
      </c>
      <c r="FE610" s="70"/>
      <c r="FF610" s="72" t="s">
        <v>157</v>
      </c>
      <c r="FG610" s="70"/>
      <c r="FH610" s="72" t="s">
        <v>157</v>
      </c>
      <c r="FI610" s="70"/>
      <c r="FJ610" s="72" t="s">
        <v>157</v>
      </c>
      <c r="FK610" s="70"/>
      <c r="FL610" s="72" t="s">
        <v>157</v>
      </c>
      <c r="FM610" s="61"/>
      <c r="FN610" s="72" t="s">
        <v>157</v>
      </c>
      <c r="FO610" s="61"/>
      <c r="FP610" s="73">
        <f>AW610</f>
        <v>174.01631800000001</v>
      </c>
      <c r="FQ610" s="61" t="str">
        <f t="shared" si="3354"/>
        <v>NA</v>
      </c>
      <c r="FR610" s="73">
        <f>BE610</f>
        <v>276</v>
      </c>
      <c r="FS610" s="61">
        <f t="shared" si="3476"/>
        <v>58.605815346581444</v>
      </c>
      <c r="FT610" s="73">
        <f>BM610</f>
        <v>264.39999999999998</v>
      </c>
      <c r="FU610" s="61">
        <f t="shared" si="3477"/>
        <v>-4.202898550724643</v>
      </c>
      <c r="FV610" s="73">
        <f>BU610</f>
        <v>256.10000000000002</v>
      </c>
      <c r="FW610" s="61">
        <f t="shared" si="3478"/>
        <v>-3.1391830559757805</v>
      </c>
      <c r="FX610" s="73">
        <f>CC610</f>
        <v>302.39999999999998</v>
      </c>
      <c r="FY610" s="61">
        <f t="shared" si="3479"/>
        <v>18.078875439281504</v>
      </c>
      <c r="FZ610" s="73">
        <f>CK610</f>
        <v>315.89999999999998</v>
      </c>
      <c r="GA610" s="61">
        <f t="shared" si="3480"/>
        <v>4.4642857142857206</v>
      </c>
      <c r="GB610" s="73">
        <f>CS610</f>
        <v>291.5</v>
      </c>
      <c r="GC610" s="61">
        <f t="shared" si="3481"/>
        <v>-7.7239632795188307</v>
      </c>
      <c r="GD610" s="73">
        <f>DA610</f>
        <v>271.60000000000002</v>
      </c>
      <c r="GE610" s="61">
        <f>IF(ISERROR((GD610/GB610-1)*100),"NA",IF(((GD610/GB610-1)*100)&gt;100,"NM",IF(((GD610/GB610-1)*100)&lt;-50,"NM",(GD610/GB610-1)*100)))</f>
        <v>-6.8267581475128569</v>
      </c>
      <c r="GF610" s="73">
        <f>DI610</f>
        <v>262.89999999999998</v>
      </c>
      <c r="GG610" s="61">
        <f>IF(ISERROR((GF610/GD610-1)*100),"NA",IF(((GF610/GD610-1)*100)&gt;100,"NM",IF(((GF610/GD610-1)*100)&lt;-50,"NM",(GF610/GD610-1)*100)))</f>
        <v>-3.2032400589101839</v>
      </c>
      <c r="GH610" s="73">
        <f>DQ610</f>
        <v>256.60000000000002</v>
      </c>
      <c r="GI610" s="61">
        <f>IF(ISERROR((GH610/GF610-1)*100),"NA",IF(((GH610/GF610-1)*100)&gt;100,"NM",IF(((GH610/GF610-1)*100)&lt;-50,"NM",(GH610/GF610-1)*100)))</f>
        <v>-2.3963484214530095</v>
      </c>
      <c r="GJ610" s="73">
        <f>DY610</f>
        <v>243.8</v>
      </c>
      <c r="GK610" s="61">
        <f>IF(ISERROR((GJ610/GH610-1)*100),"NA",IF(((GJ610/GH610-1)*100)&gt;100,"NM",IF(((GJ610/GH610-1)*100)&lt;-50,"NM",(GJ610/GH610-1)*100)))</f>
        <v>-4.9883086515978174</v>
      </c>
      <c r="GL610" s="73">
        <f>EG610</f>
        <v>226.34</v>
      </c>
      <c r="GM610" s="61">
        <f>IF(ISERROR((GL610/GJ610-1)*100),"NA",IF(((GL610/GJ610-1)*100)&gt;100,"NM",IF(((GL610/GJ610-1)*100)&lt;-50,"NM",(GL610/GJ610-1)*100)))</f>
        <v>-7.1616078753076291</v>
      </c>
      <c r="GN610" s="73">
        <f>EO610</f>
        <v>218.06</v>
      </c>
      <c r="GO610" s="61">
        <f>IF(ISERROR((GN610/GL610-1)*100),"NA",IF(((GN610/GL610-1)*100)&gt;100,"NM",IF(((GN610/GL610-1)*100)&lt;-50,"NM",(GN610/GL610-1)*100)))</f>
        <v>-3.6582133074136269</v>
      </c>
      <c r="GP610" s="73">
        <f>EW610</f>
        <v>216.10863055035657</v>
      </c>
      <c r="GQ610" s="61">
        <f>IF(ISERROR((GP610/GN610-1)*100),"NA",IF(((GP610/GN610-1)*100)&gt;100,"NM",IF(((GP610/GN610-1)*100)&lt;-50,"NM",(GP610/GN610-1)*100)))</f>
        <v>-0.89487730424810952</v>
      </c>
      <c r="GR610" s="73">
        <f>GP610+GR593-GR598</f>
        <v>211.92089267408221</v>
      </c>
      <c r="GS610" s="61">
        <f>IF(ISERROR((GR610/GP610-1)*100),"NA",IF(((GR610/GP610-1)*100)&gt;100,"NM",IF(((GR610/GP610-1)*100)&lt;-50,"NM",(GR610/GP610-1)*100)))</f>
        <v>-1.9377929819876183</v>
      </c>
      <c r="GT610" s="73">
        <f>GR610+GT593-GT598</f>
        <v>206.90308355556257</v>
      </c>
      <c r="GU610" s="61">
        <f>IF(ISERROR((GT610/GR610-1)*100),"NA",IF(((GT610/GR610-1)*100)&gt;100,"NM",IF(((GT610/GR610-1)*100)&lt;-50,"NM",(GT610/GR610-1)*100)))</f>
        <v>-2.3677746234471719</v>
      </c>
      <c r="GV610" s="73">
        <f>GT610+GV593-GV598</f>
        <v>201.16621408826893</v>
      </c>
      <c r="GW610" s="61">
        <f>IF(ISERROR((GV610/GT610-1)*100),"NA",IF(((GV610/GT610-1)*100)&gt;100,"NM",IF(((GV610/GT610-1)*100)&lt;-50,"NM",(GV610/GT610-1)*100)))</f>
        <v>-2.7727327059159257</v>
      </c>
      <c r="GX610" s="73">
        <f>GV610+GX593-GX598</f>
        <v>195.54491039299785</v>
      </c>
      <c r="GY610" s="61">
        <f>IF(ISERROR((GX610/GV610-1)*100),"NA",IF(((GX610/GV610-1)*100)&gt;100,"NM",IF(((GX610/GV610-1)*100)&lt;-50,"NM",(GX610/GV610-1)*100)))</f>
        <v>-2.7943577507525852</v>
      </c>
      <c r="GZ610" s="61">
        <f t="shared" si="3427"/>
        <v>-2.1560218916530149</v>
      </c>
      <c r="HA610" s="61"/>
      <c r="HB610" s="452"/>
      <c r="HC610"/>
      <c r="HD610"/>
      <c r="HE610"/>
      <c r="HF610"/>
      <c r="HG610"/>
      <c r="HH610"/>
    </row>
    <row r="611" spans="1:216" s="5" customFormat="1" ht="12.75" customHeight="1" x14ac:dyDescent="0.2">
      <c r="A611" s="5" t="s">
        <v>456</v>
      </c>
      <c r="B611" s="105" t="s">
        <v>660</v>
      </c>
      <c r="C611" s="316">
        <v>195.8</v>
      </c>
      <c r="D611" s="70"/>
      <c r="E611" s="316">
        <v>194</v>
      </c>
      <c r="F611" s="71"/>
      <c r="G611" s="380">
        <v>195.6</v>
      </c>
      <c r="H611" s="71"/>
      <c r="I611" s="380">
        <v>195.6</v>
      </c>
      <c r="J611" s="61"/>
      <c r="K611" s="380">
        <v>193.7</v>
      </c>
      <c r="L611" s="61">
        <f>IF(ISERROR((K611/C611-1)*100),"NA",IF(((K611/C611-1)*100)&gt;100,"NM",IF(((K611/C611-1)*100)&lt;-50,"NM",(K611/C611-1)*100)))</f>
        <v>-1.0725229826353488</v>
      </c>
      <c r="M611" s="316">
        <v>192</v>
      </c>
      <c r="N611" s="61">
        <f>IF(ISERROR((M611/E611-1)*100),"NA",IF(((M611/E611-1)*100)&gt;100,"NM",IF(((M611/E611-1)*100)&lt;-50,"NM",(M611/E611-1)*100)))</f>
        <v>-1.0309278350515427</v>
      </c>
      <c r="O611" s="380">
        <v>194.8</v>
      </c>
      <c r="P611" s="61">
        <f>IF(ISERROR((O611/G611-1)*100),"NA",IF(((O611/G611-1)*100)&gt;100,"NM",IF(((O611/G611-1)*100)&lt;-50,"NM",(O611/G611-1)*100)))</f>
        <v>-0.40899795501021519</v>
      </c>
      <c r="Q611" s="380">
        <v>192.8</v>
      </c>
      <c r="R611" s="61">
        <f>IF(ISERROR((Q611/I611-1)*100),"NA",IF(((Q611/I611-1)*100)&gt;100,"NM",IF(((Q611/I611-1)*100)&lt;-50,"NM",(Q611/I611-1)*100)))</f>
        <v>-1.4314928425357754</v>
      </c>
      <c r="S611" s="380">
        <v>190</v>
      </c>
      <c r="T611" s="61">
        <f>IF(ISERROR((S611/K611-1)*100),"NA",IF(((S611/K611-1)*100)&gt;100,"NM",IF(((S611/K611-1)*100)&lt;-50,"NM",(S611/K611-1)*100)))</f>
        <v>-1.9101703665462044</v>
      </c>
      <c r="U611" s="380">
        <v>188.5</v>
      </c>
      <c r="V611" s="61">
        <f>IF(ISERROR((U611/M611-1)*100),"NA",IF(((U611/M611-1)*100)&gt;100,"NM",IF(((U611/M611-1)*100)&lt;-50,"NM",(U611/M611-1)*100)))</f>
        <v>-1.822916666666663</v>
      </c>
      <c r="W611" s="380">
        <v>183.9</v>
      </c>
      <c r="X611" s="61">
        <f>IF(ISERROR((W611/O611-1)*100),"NA",IF(((W611/O611-1)*100)&gt;100,"NM",IF(((W611/O611-1)*100)&lt;-50,"NM",(W611/O611-1)*100)))</f>
        <v>-5.5954825462012359</v>
      </c>
      <c r="Y611" s="380">
        <v>178.9</v>
      </c>
      <c r="Z611" s="61">
        <f>IF(ISERROR((Y611/Q611-1)*100),"NA",IF(((Y611/Q611-1)*100)&gt;100,"NM",IF(((Y611/Q611-1)*100)&lt;-50,"NM",(Y611/Q611-1)*100)))</f>
        <v>-7.2095435684647384</v>
      </c>
      <c r="AA611" s="380">
        <v>178.3</v>
      </c>
      <c r="AB611" s="61">
        <f>IF(ISERROR((AA611/S611-1)*100),"NA",IF(((AA611/S611-1)*100)&gt;100,"NM",IF(((AA611/S611-1)*100)&lt;-50,"NM",(AA611/S611-1)*100)))</f>
        <v>-6.1578947368420955</v>
      </c>
      <c r="AC611" s="380">
        <v>179.2</v>
      </c>
      <c r="AD611" s="61">
        <f>IF(ISERROR((AC611/U611-1)*100),"NA",IF(((AC611/U611-1)*100)&gt;100,"NM",IF(((AC611/U611-1)*100)&lt;-50,"NM",(AC611/U611-1)*100)))</f>
        <v>-4.9336870026525315</v>
      </c>
      <c r="AE611" s="380">
        <v>179.9</v>
      </c>
      <c r="AF611" s="61">
        <f>IF(ISERROR((AE611/W611-1)*100),"NA",IF(((AE611/W611-1)*100)&gt;100,"NM",IF(((AE611/W611-1)*100)&lt;-50,"NM",(AE611/W611-1)*100)))</f>
        <v>-2.1750951604132651</v>
      </c>
      <c r="AG611" s="380">
        <v>180.4</v>
      </c>
      <c r="AH611" s="61">
        <f>IF(ISERROR((AG611/Y611-1)*100),"NA",IF(((AG611/Y611-1)*100)&gt;100,"NM",IF(((AG611/Y611-1)*100)&lt;-50,"NM",(AG611/Y611-1)*100)))</f>
        <v>0.83845723868083422</v>
      </c>
      <c r="AI611" s="380">
        <v>181.2</v>
      </c>
      <c r="AJ611" s="61">
        <f>IF(ISERROR((AI611/AA611-1)*100),"NA",IF(((AI611/AA611-1)*100)&gt;100,"NM",IF(((AI611/AA611-1)*100)&lt;-50,"NM",(AI611/AA611-1)*100)))</f>
        <v>1.6264722378014351</v>
      </c>
      <c r="AK611" s="380">
        <v>180.3</v>
      </c>
      <c r="AL611" s="61">
        <f>IF(ISERROR((AK611/AC611-1)*100),"NA",IF(((AK611/AC611-1)*100)&gt;100,"NM",IF(((AK611/AC611-1)*100)&lt;-50,"NM",(AK611/AC611-1)*100)))</f>
        <v>0.61383928571430157</v>
      </c>
      <c r="AM611" s="380">
        <v>177.7</v>
      </c>
      <c r="AN611" s="61">
        <f>IF(ISERROR((AM611/AE611-1)*100),"NA",IF(((AM611/AE611-1)*100)&gt;100,"NM",IF(((AM611/AE611-1)*100)&lt;-50,"NM",(AM611/AE611-1)*100)))</f>
        <v>-1.2229016120066771</v>
      </c>
      <c r="AO611" s="380">
        <v>176.7</v>
      </c>
      <c r="AP611" s="61">
        <f>IF(ISERROR((AO611/AG611-1)*100),"NA",IF(((AO611/AG611-1)*100)&gt;100,"NM",IF(((AO611/AG611-1)*100)&lt;-50,"NM",(AO611/AG611-1)*100)))</f>
        <v>-2.0509977827051107</v>
      </c>
      <c r="AQ611" s="380">
        <v>176.6</v>
      </c>
      <c r="AR611" s="61">
        <f t="shared" si="3428"/>
        <v>-2.5386313465783683</v>
      </c>
      <c r="AS611" s="380">
        <v>175.4</v>
      </c>
      <c r="AT611" s="61">
        <f t="shared" si="3429"/>
        <v>-2.717692734331667</v>
      </c>
      <c r="AU611" s="380">
        <v>175.8</v>
      </c>
      <c r="AV611" s="61">
        <f t="shared" si="3430"/>
        <v>-1.0692177827799521</v>
      </c>
      <c r="AW611" s="380">
        <v>176.6</v>
      </c>
      <c r="AX611" s="61">
        <f t="shared" si="3431"/>
        <v>-5.659309564233217E-2</v>
      </c>
      <c r="AY611" s="380">
        <v>177.9</v>
      </c>
      <c r="AZ611" s="61">
        <f t="shared" si="3432"/>
        <v>0.7361268403170973</v>
      </c>
      <c r="BA611" s="380">
        <v>282.60000000000002</v>
      </c>
      <c r="BB611" s="61">
        <f t="shared" si="3344"/>
        <v>61.117445838084386</v>
      </c>
      <c r="BC611" s="380">
        <v>282.39999999999998</v>
      </c>
      <c r="BD611" s="61">
        <f t="shared" si="3345"/>
        <v>60.637087599544913</v>
      </c>
      <c r="BE611" s="380">
        <v>280.39999999999998</v>
      </c>
      <c r="BF611" s="61">
        <f t="shared" si="3346"/>
        <v>58.776896942242352</v>
      </c>
      <c r="BG611" s="380">
        <v>279.5</v>
      </c>
      <c r="BH611" s="61">
        <f t="shared" si="3433"/>
        <v>57.110736368746487</v>
      </c>
      <c r="BI611" s="380">
        <v>274.39999999999998</v>
      </c>
      <c r="BJ611" s="61">
        <f t="shared" si="3434"/>
        <v>-2.9016277423920878</v>
      </c>
      <c r="BK611" s="380">
        <v>272.5</v>
      </c>
      <c r="BL611" s="61">
        <f t="shared" si="3435"/>
        <v>-3.5056657223795917</v>
      </c>
      <c r="BM611" s="380">
        <v>269.39999999999998</v>
      </c>
      <c r="BN611" s="61">
        <f t="shared" si="3436"/>
        <v>-3.9229671897289542</v>
      </c>
      <c r="BO611" s="380">
        <v>262.8</v>
      </c>
      <c r="BP611" s="61">
        <f t="shared" si="3437"/>
        <v>-5.9749552772808574</v>
      </c>
      <c r="BQ611" s="380">
        <v>259.60000000000002</v>
      </c>
      <c r="BR611" s="61">
        <f t="shared" si="3438"/>
        <v>-5.393586005830886</v>
      </c>
      <c r="BS611" s="380">
        <v>257.64499999999998</v>
      </c>
      <c r="BT611" s="61">
        <f t="shared" si="3439"/>
        <v>-5.4513761467890003</v>
      </c>
      <c r="BU611" s="380">
        <v>257.60000000000002</v>
      </c>
      <c r="BV611" s="61">
        <f t="shared" si="3440"/>
        <v>-4.3801039346696218</v>
      </c>
      <c r="BW611" s="380">
        <v>257.8</v>
      </c>
      <c r="BX611" s="61">
        <f t="shared" si="3441"/>
        <v>-1.9025875190258779</v>
      </c>
      <c r="BY611" s="380">
        <v>262.39999999999998</v>
      </c>
      <c r="BZ611" s="61">
        <f t="shared" si="3442"/>
        <v>1.0785824345146189</v>
      </c>
      <c r="CA611" s="380">
        <v>310</v>
      </c>
      <c r="CB611" s="61">
        <f t="shared" si="3443"/>
        <v>20.320596169147475</v>
      </c>
      <c r="CC611" s="380">
        <v>311.60000000000002</v>
      </c>
      <c r="CD611" s="61">
        <f t="shared" si="3444"/>
        <v>20.962732919254655</v>
      </c>
      <c r="CE611" s="380">
        <v>312.08</v>
      </c>
      <c r="CF611" s="61">
        <f t="shared" si="3445"/>
        <v>21.05508145849495</v>
      </c>
      <c r="CG611" s="380">
        <v>314.60000000000002</v>
      </c>
      <c r="CH611" s="61">
        <f t="shared" si="3446"/>
        <v>19.893292682926855</v>
      </c>
      <c r="CI611" s="380">
        <v>325.7</v>
      </c>
      <c r="CJ611" s="61">
        <f t="shared" si="3447"/>
        <v>5.0645161290322482</v>
      </c>
      <c r="CK611" s="380">
        <v>323.39999999999998</v>
      </c>
      <c r="CL611" s="61">
        <f t="shared" si="3448"/>
        <v>3.7869062901155104</v>
      </c>
      <c r="CM611" s="380">
        <v>322.89999999999998</v>
      </c>
      <c r="CN611" s="61">
        <f t="shared" si="3449"/>
        <v>3.4670597282747906</v>
      </c>
      <c r="CO611" s="380">
        <f>319.9+0.2</f>
        <v>320.09999999999997</v>
      </c>
      <c r="CP611" s="61">
        <f t="shared" si="3450"/>
        <v>1.7482517482517279</v>
      </c>
      <c r="CQ611" s="380">
        <v>312</v>
      </c>
      <c r="CR611" s="61">
        <f t="shared" si="3451"/>
        <v>-4.2063248388087171</v>
      </c>
      <c r="CS611" s="380">
        <v>303.39999999999998</v>
      </c>
      <c r="CT611" s="61">
        <f t="shared" si="3452"/>
        <v>-6.1842918985776096</v>
      </c>
      <c r="CU611" s="380">
        <v>295.89999999999998</v>
      </c>
      <c r="CV611" s="61">
        <f t="shared" si="3453"/>
        <v>-8.3617218953236261</v>
      </c>
      <c r="CW611" s="380">
        <v>290</v>
      </c>
      <c r="CX611" s="61">
        <f t="shared" si="3454"/>
        <v>-9.4033114651671301</v>
      </c>
      <c r="CY611" s="380">
        <v>284.7</v>
      </c>
      <c r="CZ611" s="61">
        <f t="shared" si="3455"/>
        <v>-8.7500000000000018</v>
      </c>
      <c r="DA611" s="380">
        <v>281.10000000000002</v>
      </c>
      <c r="DB611" s="61">
        <f>IF(ISERROR((DA611/CS611-1)*100),"NA",IF(((DA611/CS611-1)*100)&gt;100,"NM",IF(((DA611/CS611-1)*100)&lt;-50,"NM",(DA611/CS611-1)*100)))</f>
        <v>-7.3500329597890435</v>
      </c>
      <c r="DC611" s="380">
        <v>278.60000000000002</v>
      </c>
      <c r="DD611" s="61">
        <f>IF(ISERROR((DC611/CU611-1)*100),"NA",IF(((DC611/CU611-1)*100)&gt;100,"NM",IF(((DC611/CU611-1)*100)&lt;-50,"NM",(DC611/CU611-1)*100)))</f>
        <v>-5.8465697870902167</v>
      </c>
      <c r="DE611" s="380">
        <v>275.7</v>
      </c>
      <c r="DF611" s="61">
        <f>IF(ISERROR((DE611/CW611-1)*100),"NA",IF(((DE611/CW611-1)*100)&gt;100,"NM",IF(((DE611/CW611-1)*100)&lt;-50,"NM",(DE611/CW611-1)*100)))</f>
        <v>-4.9310344827586228</v>
      </c>
      <c r="DG611" s="380">
        <v>273.7</v>
      </c>
      <c r="DH611" s="61">
        <f>IF(ISERROR((DG611/CY611-1)*100),"NA",IF(((DG611/CY611-1)*100)&gt;100,"NM",IF(((DG611/CY611-1)*100)&lt;-50,"NM",(DG611/CY611-1)*100)))</f>
        <v>-3.863716192483313</v>
      </c>
      <c r="DI611" s="380">
        <v>272.8</v>
      </c>
      <c r="DJ611" s="61">
        <f>IF(ISERROR((DI611/DA611-1)*100),"NA",IF(((DI611/DA611-1)*100)&gt;100,"NM",IF(((DI611/DA611-1)*100)&lt;-50,"NM",(DI611/DA611-1)*100)))</f>
        <v>-2.9526858769121311</v>
      </c>
      <c r="DK611" s="380">
        <v>272.10000000000002</v>
      </c>
      <c r="DL611" s="61">
        <f>IF(ISERROR((DK611/DC611-1)*100),"NA",IF(((DK611/DC611-1)*100)&gt;100,"NM",IF(((DK611/DC611-1)*100)&lt;-50,"NM",(DK611/DC611-1)*100)))</f>
        <v>-2.3330940416367518</v>
      </c>
      <c r="DM611" s="380">
        <v>268.89999999999998</v>
      </c>
      <c r="DN611" s="130">
        <f t="shared" si="3489"/>
        <v>-2.4664490388103033</v>
      </c>
      <c r="DO611" s="380">
        <v>266.8</v>
      </c>
      <c r="DP611" s="130">
        <f t="shared" si="3489"/>
        <v>-2.5210084033613356</v>
      </c>
      <c r="DQ611" s="380">
        <v>263</v>
      </c>
      <c r="DR611" s="130">
        <f t="shared" si="3489"/>
        <v>-3.5923753665689229</v>
      </c>
      <c r="DS611" s="380">
        <v>260.60000000000002</v>
      </c>
      <c r="DT611" s="130">
        <f t="shared" si="3489"/>
        <v>-4.2263873575891235</v>
      </c>
      <c r="DU611" s="380">
        <v>254.9</v>
      </c>
      <c r="DV611" s="130">
        <f t="shared" si="3489"/>
        <v>-5.2063964298995842</v>
      </c>
      <c r="DW611" s="380">
        <v>253.2</v>
      </c>
      <c r="DX611" s="380">
        <v>253.2</v>
      </c>
      <c r="DY611" s="380">
        <v>248.9</v>
      </c>
      <c r="DZ611" s="130">
        <f t="shared" si="3489"/>
        <v>-5.3612167300380209</v>
      </c>
      <c r="EA611" s="380">
        <v>245.1</v>
      </c>
      <c r="EB611" s="130">
        <f t="shared" si="3490"/>
        <v>-5.9478127398311713</v>
      </c>
      <c r="EC611" s="380">
        <v>239.9</v>
      </c>
      <c r="ED611" s="130">
        <f t="shared" si="3491"/>
        <v>-5.8846606512357731</v>
      </c>
      <c r="EE611" s="380">
        <v>233.6</v>
      </c>
      <c r="EF611" s="130">
        <f t="shared" si="3492"/>
        <v>-7.7409162717219537</v>
      </c>
      <c r="EG611" s="380">
        <v>230.9</v>
      </c>
      <c r="EH611" s="130">
        <f t="shared" si="3493"/>
        <v>-7.2318200080353501</v>
      </c>
      <c r="EI611" s="380">
        <v>230.1</v>
      </c>
      <c r="EJ611" s="130">
        <f t="shared" si="3494"/>
        <v>-6.1199510403916797</v>
      </c>
      <c r="EK611" s="380">
        <v>227.15</v>
      </c>
      <c r="EL611" s="130">
        <f t="shared" si="3495"/>
        <v>-5.3147144643601489</v>
      </c>
      <c r="EM611" s="380">
        <v>223.9</v>
      </c>
      <c r="EN611" s="130">
        <f t="shared" si="3496"/>
        <v>-4.1523972602739656</v>
      </c>
      <c r="EO611" s="380">
        <v>221.9</v>
      </c>
      <c r="EP611" s="130">
        <f t="shared" si="3497"/>
        <v>-3.8977912516240831</v>
      </c>
      <c r="EQ611" s="381">
        <f t="shared" ref="EQ611" si="3510">EO609+((1-EQ595/100)*EQ593)-((1-EQ600/100)*EQ598)</f>
        <v>221.3</v>
      </c>
      <c r="ER611" s="130">
        <f t="shared" si="3499"/>
        <v>-3.8244241634072029</v>
      </c>
      <c r="ES611" s="381">
        <f t="shared" ref="ES611" si="3511">EQ609+((1-ES595/100)*ES593)-((1-ES600/100)*ES598)</f>
        <v>221.3</v>
      </c>
      <c r="ET611" s="130">
        <f t="shared" si="3501"/>
        <v>-2.5753907109839269</v>
      </c>
      <c r="EU611" s="381">
        <f t="shared" ref="EU611" si="3512">ES609+((1-EU595/100)*EU593)-((1-EU600/100)*EU598)</f>
        <v>220.80731694359022</v>
      </c>
      <c r="EV611" s="130">
        <f t="shared" si="3503"/>
        <v>-1.3812787210405464</v>
      </c>
      <c r="EW611" s="381">
        <f t="shared" ref="EW611" si="3513">EU609+((1-EW595/100)*EW593)-((1-EW600/100)*EW598)</f>
        <v>219.8316322187685</v>
      </c>
      <c r="EX611" s="130">
        <f t="shared" si="3505"/>
        <v>-0.93211707130756993</v>
      </c>
      <c r="EY611" s="64"/>
      <c r="EZ611" s="558"/>
      <c r="FA611" s="64"/>
      <c r="FB611" s="98">
        <v>203.2945</v>
      </c>
      <c r="FC611" s="71"/>
      <c r="FD611" s="98">
        <v>200.4</v>
      </c>
      <c r="FE611" s="70">
        <f>IF(ISERROR((FD611/FB611-1)*100),"NA",IF(((FD611/FB611-1)*100)&gt;100,"NM",IF(((FD611/FB611-1)*100)&lt;-50,"NM",(FD611/FB611-1)*100)))</f>
        <v>-1.4237965119567875</v>
      </c>
      <c r="FF611" s="380">
        <f>AVERAGE(C611,E611,G611,I611)</f>
        <v>195.25</v>
      </c>
      <c r="FG611" s="70">
        <f>IF(ISERROR((FF611/FD611-1)*100),"NA",IF(((FF611/FD611-1)*100)&gt;100,"NM",IF(((FF611/FD611-1)*100)&lt;-50,"NM",(FF611/FD611-1)*100)))</f>
        <v>-2.5698602794411163</v>
      </c>
      <c r="FH611" s="380">
        <f>AVERAGE(Q611,O611,M611,K611)</f>
        <v>193.32499999999999</v>
      </c>
      <c r="FI611" s="70">
        <f>IF(ISERROR((FH611/FF611-1)*100),"NA",IF(((FH611/FF611-1)*100)&gt;100,"NM",IF(((FH611/FF611-1)*100)&lt;-50,"NM",(FH611/FF611-1)*100)))</f>
        <v>-0.98591549295775627</v>
      </c>
      <c r="FJ611" s="380">
        <f>AVERAGE(Y611,W611,U611,S611)</f>
        <v>185.32499999999999</v>
      </c>
      <c r="FK611" s="70">
        <f>IF(ISERROR((FJ611/FH611-1)*100),"NA",IF(((FJ611/FH611-1)*100)&gt;100,"NM",IF(((FJ611/FH611-1)*100)&lt;-50,"NM",(FJ611/FH611-1)*100)))</f>
        <v>-4.1381094012672985</v>
      </c>
      <c r="FL611" s="380">
        <f>AVERAGE(AG611,AE611,AC611,AA611)</f>
        <v>179.45</v>
      </c>
      <c r="FM611" s="61">
        <f>IF(ISERROR((FL611/FJ611-1)*100),"NA",IF(((FL611/FJ611-1)*100)&gt;100,"NM",IF(((FL611/FJ611-1)*100)&lt;-50,"NM",(FL611/FJ611-1)*100)))</f>
        <v>-3.1701065695399988</v>
      </c>
      <c r="FN611" s="380">
        <f>AVERAGE(AO611,AM611,AK611,AI611)</f>
        <v>178.97500000000002</v>
      </c>
      <c r="FO611" s="61">
        <f>IF(ISERROR((FN611/FL611-1)*100),"NA",IF(((FN611/FL611-1)*100)&gt;100,"NM",IF(((FN611/FL611-1)*100)&lt;-50,"NM",(FN611/FL611-1)*100)))</f>
        <v>-0.2646976873780793</v>
      </c>
      <c r="FP611" s="382">
        <f>AVERAGE(AW611,AU611,AS611,AQ611)</f>
        <v>176.1</v>
      </c>
      <c r="FQ611" s="61">
        <f t="shared" si="3354"/>
        <v>-8.909866804603638</v>
      </c>
      <c r="FR611" s="382">
        <f>AVERAGE(AY611,BA611,BC611,BE611)</f>
        <v>255.82499999999999</v>
      </c>
      <c r="FS611" s="61">
        <f t="shared" si="3476"/>
        <v>45.272572402044297</v>
      </c>
      <c r="FT611" s="382">
        <f>AVERAGE(BG611,BI611,BK611,BM611)</f>
        <v>273.95</v>
      </c>
      <c r="FU611" s="61">
        <f t="shared" si="3477"/>
        <v>7.084921332942451</v>
      </c>
      <c r="FV611" s="382">
        <f>AVERAGE(BO611,BQ611,BS611,BU611)</f>
        <v>259.41125</v>
      </c>
      <c r="FW611" s="61">
        <f t="shared" si="3478"/>
        <v>-5.3070815842306995</v>
      </c>
      <c r="FX611" s="382">
        <f>AVERAGE(BW611,BY611,CA611,CC611)</f>
        <v>285.45000000000005</v>
      </c>
      <c r="FY611" s="61">
        <f t="shared" si="3479"/>
        <v>10.037633294623905</v>
      </c>
      <c r="FZ611" s="382">
        <f>AVERAGE(CE611,CG611,CI611,CK611)</f>
        <v>318.94500000000005</v>
      </c>
      <c r="GA611" s="61">
        <f t="shared" si="3480"/>
        <v>11.734104046242777</v>
      </c>
      <c r="GB611" s="380">
        <v>315</v>
      </c>
      <c r="GC611" s="61">
        <f t="shared" si="3481"/>
        <v>-1.2368903729483294</v>
      </c>
      <c r="GD611" s="380">
        <v>287.60000000000002</v>
      </c>
      <c r="GE611" s="61">
        <f>IF(ISERROR((GD611/GB611-1)*100),"NA",IF(((GD611/GB611-1)*100)&gt;100,"NM",IF(((GD611/GB611-1)*100)&lt;-50,"NM",(GD611/GB611-1)*100)))</f>
        <v>-8.6984126984126942</v>
      </c>
      <c r="GF611" s="382">
        <f>AVERAGE(DC611,DE611,DG611,DI611)</f>
        <v>275.2</v>
      </c>
      <c r="GG611" s="61">
        <f>IF(ISERROR((GF611/GD611-1)*100),"NA",IF(((GF611/GD611-1)*100)&gt;100,"NM",IF(((GF611/GD611-1)*100)&lt;-50,"NM",(GF611/GD611-1)*100)))</f>
        <v>-4.3115438108484172</v>
      </c>
      <c r="GH611" s="802">
        <v>268</v>
      </c>
      <c r="GI611" s="61">
        <f>IF(ISERROR((GH611/GF611-1)*100),"NA",IF(((GH611/GF611-1)*100)&gt;100,"NM",IF(((GH611/GF611-1)*100)&lt;-50,"NM",(GH611/GF611-1)*100)))</f>
        <v>-2.6162790697674354</v>
      </c>
      <c r="GJ611" s="382">
        <f>AVERAGE(DS611,DU611,DW611,DY611)</f>
        <v>254.4</v>
      </c>
      <c r="GK611" s="61">
        <f>IF(ISERROR((GJ611/GH611-1)*100),"NA",IF(((GJ611/GH611-1)*100)&gt;100,"NM",IF(((GJ611/GH611-1)*100)&lt;-50,"NM",(GJ611/GH611-1)*100)))</f>
        <v>-5.0746268656716387</v>
      </c>
      <c r="GL611" s="382">
        <f>AVERAGE(EA611,EC611,EE611,EG611)</f>
        <v>237.375</v>
      </c>
      <c r="GM611" s="61">
        <f>IF(ISERROR((GL611/GJ611-1)*100),"NA",IF(((GL611/GJ611-1)*100)&gt;100,"NM",IF(((GL611/GJ611-1)*100)&lt;-50,"NM",(GL611/GJ611-1)*100)))</f>
        <v>-6.6922169811320824</v>
      </c>
      <c r="GN611" s="382">
        <f>AVERAGE(EI611,EK611,EM611,EO611)</f>
        <v>225.76249999999999</v>
      </c>
      <c r="GO611" s="61">
        <f>IF(ISERROR((GN611/GL611-1)*100),"NA",IF(((GN611/GL611-1)*100)&gt;100,"NM",IF(((GN611/GL611-1)*100)&lt;-50,"NM",(GN611/GL611-1)*100)))</f>
        <v>-4.8920484465508229</v>
      </c>
      <c r="GP611" s="382">
        <f>AVERAGE(EQ611,ES611,EU611,EW611)</f>
        <v>220.80973729058968</v>
      </c>
      <c r="GQ611" s="61">
        <f>IF(ISERROR((GP611/GN611-1)*100),"NA",IF(((GP611/GN611-1)*100)&gt;100,"NM",IF(((GP611/GN611-1)*100)&lt;-50,"NM",(GP611/GN611-1)*100)))</f>
        <v>-2.1937933489442729</v>
      </c>
      <c r="GR611" s="381">
        <f>GP609+((1-GR595/100)*GR593)-((1-GR600/100)*GR598)</f>
        <v>217.02037471840566</v>
      </c>
      <c r="GS611" s="61">
        <f>IF(ISERROR((GR611/GP611-1)*100),"NA",IF(((GR611/GP611-1)*100)&gt;100,"NM",IF(((GR611/GP611-1)*100)&lt;-50,"NM",(GR611/GP611-1)*100)))</f>
        <v>-1.7161211360879225</v>
      </c>
      <c r="GT611" s="381">
        <f>GR609+((1-GT595/100)*GT593)-((1-GT600/100)*GT598)</f>
        <v>212.37609765889641</v>
      </c>
      <c r="GU611" s="61">
        <f>IF(ISERROR((GT611/GR611-1)*100),"NA",IF(((GT611/GR611-1)*100)&gt;100,"NM",IF(((GT611/GR611-1)*100)&lt;-50,"NM",(GT611/GR611-1)*100)))</f>
        <v>-2.1400189109135104</v>
      </c>
      <c r="GV611" s="381">
        <f>GT609+((1-GV595/100)*GV593)-((1-GV600/100)*GV598)</f>
        <v>206.96280534855109</v>
      </c>
      <c r="GW611" s="61">
        <f>IF(ISERROR((GV611/GT611-1)*100),"NA",IF(((GV611/GT611-1)*100)&gt;100,"NM",IF(((GV611/GT611-1)*100)&lt;-50,"NM",(GV611/GT611-1)*100)))</f>
        <v>-2.5489178725940143</v>
      </c>
      <c r="GX611" s="381">
        <f>GV609+((1-GX595/100)*GX593)-((1-GX600/100)*GX598)</f>
        <v>201.47313616672798</v>
      </c>
      <c r="GY611" s="61">
        <f>IF(ISERROR((GX611/GV611-1)*100),"NA",IF(((GX611/GV611-1)*100)&gt;100,"NM",IF(((GX611/GV611-1)*100)&lt;-50,"NM",(GX611/GV611-1)*100)))</f>
        <v>-2.6524907084525706</v>
      </c>
      <c r="GZ611" s="61">
        <f t="shared" si="3427"/>
        <v>-2.2508322968391226</v>
      </c>
      <c r="HA611" s="61"/>
      <c r="HB611" s="452"/>
      <c r="HC611"/>
      <c r="HD611"/>
      <c r="HE611"/>
      <c r="HF611"/>
      <c r="HG611"/>
      <c r="HH611"/>
    </row>
    <row r="612" spans="1:216" s="5" customFormat="1" ht="12.75" customHeight="1" x14ac:dyDescent="0.2">
      <c r="A612" s="8"/>
      <c r="B612" s="105"/>
      <c r="C612" s="231"/>
      <c r="D612" s="107"/>
      <c r="E612" s="231"/>
      <c r="F612" s="64"/>
      <c r="G612" s="64"/>
      <c r="H612" s="64"/>
      <c r="I612" s="356"/>
      <c r="J612" s="64"/>
      <c r="K612" s="356"/>
      <c r="L612" s="61"/>
      <c r="M612" s="231"/>
      <c r="N612" s="61"/>
      <c r="O612" s="64"/>
      <c r="P612" s="61"/>
      <c r="Q612" s="64"/>
      <c r="R612" s="61"/>
      <c r="S612" s="64"/>
      <c r="T612" s="61"/>
      <c r="U612" s="356"/>
      <c r="V612" s="61"/>
      <c r="W612" s="64"/>
      <c r="X612" s="61"/>
      <c r="Y612" s="64"/>
      <c r="Z612" s="61"/>
      <c r="AA612" s="64"/>
      <c r="AB612" s="61"/>
      <c r="AC612" s="64"/>
      <c r="AD612" s="61"/>
      <c r="AE612" s="64"/>
      <c r="AF612" s="61"/>
      <c r="AG612" s="64"/>
      <c r="AH612" s="61"/>
      <c r="AI612" s="64"/>
      <c r="AJ612" s="61"/>
      <c r="AK612" s="64"/>
      <c r="AL612" s="61"/>
      <c r="AM612" s="64"/>
      <c r="AN612" s="61"/>
      <c r="AO612" s="64"/>
      <c r="AP612" s="61"/>
      <c r="AQ612" s="64"/>
      <c r="AR612" s="61"/>
      <c r="AS612" s="64"/>
      <c r="AT612" s="61"/>
      <c r="AU612" s="64"/>
      <c r="AV612" s="61"/>
      <c r="AW612" s="64"/>
      <c r="AX612" s="61"/>
      <c r="AY612" s="158"/>
      <c r="AZ612" s="61"/>
      <c r="BA612" s="158"/>
      <c r="BB612" s="61"/>
      <c r="BC612" s="158"/>
      <c r="BD612" s="61"/>
      <c r="BE612" s="158"/>
      <c r="BF612" s="61"/>
      <c r="BG612" s="158"/>
      <c r="BH612" s="61"/>
      <c r="BI612" s="158"/>
      <c r="BJ612" s="61"/>
      <c r="BK612" s="158"/>
      <c r="BL612" s="61"/>
      <c r="BM612" s="158"/>
      <c r="BN612" s="61"/>
      <c r="BO612" s="158"/>
      <c r="BP612" s="61"/>
      <c r="BQ612" s="158"/>
      <c r="BR612" s="61"/>
      <c r="BS612" s="158"/>
      <c r="BT612" s="61"/>
      <c r="BU612" s="158"/>
      <c r="BV612" s="61"/>
      <c r="BW612" s="383"/>
      <c r="BX612" s="61"/>
      <c r="BY612" s="383"/>
      <c r="BZ612" s="61"/>
      <c r="CA612" s="383"/>
      <c r="CB612" s="61"/>
      <c r="CC612" s="383"/>
      <c r="CD612" s="61"/>
      <c r="CE612" s="383"/>
      <c r="CF612" s="61"/>
      <c r="CG612" s="383"/>
      <c r="CH612" s="61"/>
      <c r="CI612" s="383"/>
      <c r="CJ612" s="61"/>
      <c r="CK612" s="383"/>
      <c r="CL612" s="61"/>
      <c r="CM612" s="383"/>
      <c r="CN612" s="61"/>
      <c r="CO612" s="383"/>
      <c r="CP612" s="61"/>
      <c r="CQ612" s="383"/>
      <c r="CR612" s="61"/>
      <c r="CS612" s="383"/>
      <c r="CT612" s="61"/>
      <c r="CU612" s="383"/>
      <c r="CV612" s="61"/>
      <c r="CW612" s="383"/>
      <c r="CX612" s="61"/>
      <c r="CY612" s="383"/>
      <c r="CZ612" s="61"/>
      <c r="DA612" s="383"/>
      <c r="DB612" s="61"/>
      <c r="DC612" s="383"/>
      <c r="DD612" s="61"/>
      <c r="DE612" s="383"/>
      <c r="DF612" s="61"/>
      <c r="DG612" s="383"/>
      <c r="DH612" s="61"/>
      <c r="DI612" s="383"/>
      <c r="DJ612" s="61"/>
      <c r="DK612" s="383"/>
      <c r="DL612" s="61"/>
      <c r="DM612" s="383"/>
      <c r="DN612" s="61"/>
      <c r="DO612" s="383"/>
      <c r="DP612" s="61"/>
      <c r="DQ612" s="383"/>
      <c r="DR612" s="795"/>
      <c r="DS612" s="383"/>
      <c r="DT612" s="61"/>
      <c r="DU612" s="383"/>
      <c r="DV612" s="61"/>
      <c r="DW612" s="383"/>
      <c r="DX612" s="383"/>
      <c r="DY612" s="383"/>
      <c r="DZ612" s="61"/>
      <c r="EA612" s="383"/>
      <c r="EB612" s="61"/>
      <c r="EC612" s="383"/>
      <c r="ED612" s="61"/>
      <c r="EE612" s="383"/>
      <c r="EF612" s="61"/>
      <c r="EG612" s="383"/>
      <c r="EH612" s="61"/>
      <c r="EI612" s="383"/>
      <c r="EJ612" s="61"/>
      <c r="EK612" s="383"/>
      <c r="EL612" s="61"/>
      <c r="EM612" s="383"/>
      <c r="EN612" s="61"/>
      <c r="EO612" s="383"/>
      <c r="EP612" s="61"/>
      <c r="EQ612" s="383"/>
      <c r="ER612" s="61"/>
      <c r="ES612" s="383"/>
      <c r="ET612" s="61"/>
      <c r="EU612" s="383"/>
      <c r="EV612" s="61"/>
      <c r="EW612" s="383"/>
      <c r="EX612" s="61"/>
      <c r="EY612" s="64"/>
      <c r="EZ612" s="558"/>
      <c r="FA612" s="64"/>
      <c r="FB612" s="356"/>
      <c r="FC612" s="64"/>
      <c r="FD612" s="64"/>
      <c r="FE612" s="107"/>
      <c r="FF612" s="356"/>
      <c r="FG612" s="107"/>
      <c r="FH612" s="356"/>
      <c r="FI612" s="107"/>
      <c r="FJ612" s="356"/>
      <c r="FK612" s="107"/>
      <c r="FL612" s="356"/>
      <c r="FM612" s="61"/>
      <c r="FN612" s="356"/>
      <c r="FO612" s="61"/>
      <c r="FP612" s="384"/>
      <c r="FQ612" s="61"/>
      <c r="FR612" s="384"/>
      <c r="FS612" s="61"/>
      <c r="FT612" s="384"/>
      <c r="FU612" s="61"/>
      <c r="FV612" s="384"/>
      <c r="FW612" s="61"/>
      <c r="FX612" s="384"/>
      <c r="FY612" s="61"/>
      <c r="FZ612" s="384"/>
      <c r="GA612" s="61"/>
      <c r="GB612" s="384"/>
      <c r="GC612" s="61"/>
      <c r="GD612" s="384"/>
      <c r="GE612" s="61"/>
      <c r="GF612" s="384"/>
      <c r="GG612" s="61"/>
      <c r="GH612" s="384"/>
      <c r="GI612" s="61"/>
      <c r="GJ612" s="384"/>
      <c r="GK612" s="61"/>
      <c r="GL612" s="384"/>
      <c r="GM612" s="61"/>
      <c r="GN612" s="384"/>
      <c r="GO612" s="61"/>
      <c r="GP612" s="384"/>
      <c r="GQ612" s="61"/>
      <c r="GR612" s="383"/>
      <c r="GS612" s="61"/>
      <c r="GT612" s="383"/>
      <c r="GU612" s="61"/>
      <c r="GV612" s="383"/>
      <c r="GW612" s="61"/>
      <c r="GX612" s="383"/>
      <c r="GY612" s="61"/>
      <c r="GZ612" s="61" t="str">
        <f t="shared" si="3427"/>
        <v/>
      </c>
      <c r="HA612" s="61"/>
      <c r="HB612" s="452"/>
      <c r="HC612"/>
      <c r="HD612"/>
      <c r="HE612"/>
      <c r="HF612"/>
      <c r="HG612"/>
      <c r="HH612"/>
    </row>
    <row r="613" spans="1:216" s="5" customFormat="1" ht="12.75" customHeight="1" x14ac:dyDescent="0.2">
      <c r="B613" s="105" t="s">
        <v>68</v>
      </c>
      <c r="C613" s="231"/>
      <c r="D613" s="107"/>
      <c r="E613" s="231"/>
      <c r="F613" s="64"/>
      <c r="G613" s="64"/>
      <c r="H613" s="64"/>
      <c r="I613" s="356"/>
      <c r="J613" s="64"/>
      <c r="K613" s="356"/>
      <c r="L613" s="61"/>
      <c r="M613" s="231"/>
      <c r="N613" s="61"/>
      <c r="O613" s="64"/>
      <c r="P613" s="61"/>
      <c r="Q613" s="64"/>
      <c r="R613" s="61"/>
      <c r="S613" s="64"/>
      <c r="T613" s="61"/>
      <c r="U613" s="356"/>
      <c r="V613" s="61"/>
      <c r="W613" s="64"/>
      <c r="X613" s="61"/>
      <c r="Y613" s="64"/>
      <c r="Z613" s="61"/>
      <c r="AA613" s="64"/>
      <c r="AB613" s="61"/>
      <c r="AC613" s="64"/>
      <c r="AD613" s="61"/>
      <c r="AE613" s="64"/>
      <c r="AF613" s="61"/>
      <c r="AG613" s="64"/>
      <c r="AH613" s="61"/>
      <c r="AI613" s="64"/>
      <c r="AJ613" s="61"/>
      <c r="AK613" s="367"/>
      <c r="AL613" s="61"/>
      <c r="AM613" s="64"/>
      <c r="AN613" s="61"/>
      <c r="AO613" s="385"/>
      <c r="AP613" s="61"/>
      <c r="AQ613" s="385"/>
      <c r="AR613" s="61"/>
      <c r="AS613" s="385"/>
      <c r="AT613" s="61"/>
      <c r="AU613" s="385"/>
      <c r="AV613" s="61"/>
      <c r="AW613" s="385"/>
      <c r="AX613" s="61"/>
      <c r="AY613" s="385"/>
      <c r="AZ613" s="61"/>
      <c r="BA613" s="385"/>
      <c r="BB613" s="61"/>
      <c r="BC613" s="385"/>
      <c r="BD613" s="61"/>
      <c r="BE613" s="385"/>
      <c r="BF613" s="61"/>
      <c r="BG613" s="385"/>
      <c r="BH613" s="61"/>
      <c r="BI613" s="385"/>
      <c r="BJ613" s="61"/>
      <c r="BK613" s="385"/>
      <c r="BL613" s="61"/>
      <c r="BM613" s="385"/>
      <c r="BN613" s="61"/>
      <c r="BO613" s="385"/>
      <c r="BP613" s="61"/>
      <c r="BQ613" s="385"/>
      <c r="BR613" s="61"/>
      <c r="BS613" s="385"/>
      <c r="BT613" s="61"/>
      <c r="BU613" s="385"/>
      <c r="BV613" s="61"/>
      <c r="BW613" s="386"/>
      <c r="BX613" s="61"/>
      <c r="BY613" s="386"/>
      <c r="BZ613" s="61"/>
      <c r="CA613" s="386"/>
      <c r="CB613" s="61"/>
      <c r="CC613" s="386"/>
      <c r="CD613" s="61"/>
      <c r="CE613" s="386"/>
      <c r="CF613" s="61"/>
      <c r="CG613" s="386"/>
      <c r="CH613" s="61"/>
      <c r="CI613" s="386"/>
      <c r="CJ613" s="61"/>
      <c r="CK613" s="386"/>
      <c r="CL613" s="61"/>
      <c r="CM613" s="386"/>
      <c r="CN613" s="61"/>
      <c r="CO613" s="386"/>
      <c r="CP613" s="61"/>
      <c r="CQ613" s="386"/>
      <c r="CR613" s="61"/>
      <c r="CS613" s="386"/>
      <c r="CT613" s="61"/>
      <c r="CU613" s="386"/>
      <c r="CV613" s="61"/>
      <c r="CW613" s="386"/>
      <c r="CX613" s="61"/>
      <c r="CY613" s="386"/>
      <c r="CZ613" s="61"/>
      <c r="DA613" s="386"/>
      <c r="DB613" s="61"/>
      <c r="DC613" s="386"/>
      <c r="DD613" s="61"/>
      <c r="DE613" s="386"/>
      <c r="DF613" s="61"/>
      <c r="DG613" s="386"/>
      <c r="DH613" s="61"/>
      <c r="DI613" s="386"/>
      <c r="DJ613" s="61"/>
      <c r="DK613" s="386"/>
      <c r="DL613" s="61"/>
      <c r="DM613" s="386"/>
      <c r="DN613" s="61"/>
      <c r="DO613" s="386"/>
      <c r="DP613" s="61"/>
      <c r="DQ613" s="386"/>
      <c r="DR613" s="61"/>
      <c r="DS613" s="386"/>
      <c r="DT613" s="61"/>
      <c r="DU613" s="386"/>
      <c r="DV613" s="61"/>
      <c r="DW613" s="386"/>
      <c r="DX613" s="386"/>
      <c r="DY613" s="386"/>
      <c r="DZ613" s="61"/>
      <c r="EA613" s="386"/>
      <c r="EB613" s="61"/>
      <c r="EC613" s="386"/>
      <c r="ED613" s="61"/>
      <c r="EE613" s="386"/>
      <c r="EF613" s="61"/>
      <c r="EG613" s="386"/>
      <c r="EH613" s="61"/>
      <c r="EI613" s="386"/>
      <c r="EJ613" s="61"/>
      <c r="EK613" s="386"/>
      <c r="EL613" s="61"/>
      <c r="EM613" s="386"/>
      <c r="EN613" s="61"/>
      <c r="EO613" s="386"/>
      <c r="EP613" s="61"/>
      <c r="EQ613" s="386"/>
      <c r="ER613" s="61"/>
      <c r="ES613" s="386"/>
      <c r="ET613" s="61"/>
      <c r="EU613" s="386"/>
      <c r="EV613" s="61"/>
      <c r="EW613" s="386"/>
      <c r="EX613" s="61"/>
      <c r="EY613" s="64"/>
      <c r="EZ613" s="558"/>
      <c r="FA613" s="64"/>
      <c r="FB613" s="356"/>
      <c r="FC613" s="64"/>
      <c r="FD613" s="64"/>
      <c r="FE613" s="107"/>
      <c r="FF613" s="356"/>
      <c r="FG613" s="107"/>
      <c r="FH613" s="356"/>
      <c r="FI613" s="107"/>
      <c r="FJ613" s="356"/>
      <c r="FK613" s="107"/>
      <c r="FL613" s="386"/>
      <c r="FM613" s="61"/>
      <c r="FN613" s="356"/>
      <c r="FO613" s="61"/>
      <c r="FP613" s="387"/>
      <c r="FQ613" s="61"/>
      <c r="FR613" s="387"/>
      <c r="FS613" s="61"/>
      <c r="FT613" s="387"/>
      <c r="FU613" s="61"/>
      <c r="FV613" s="387"/>
      <c r="FW613" s="61"/>
      <c r="FX613" s="387"/>
      <c r="FY613" s="61"/>
      <c r="FZ613" s="387"/>
      <c r="GA613" s="61"/>
      <c r="GB613" s="387"/>
      <c r="GC613" s="61"/>
      <c r="GD613" s="387"/>
      <c r="GE613" s="61"/>
      <c r="GF613" s="387"/>
      <c r="GG613" s="61"/>
      <c r="GH613" s="803"/>
      <c r="GI613" s="61"/>
      <c r="GJ613" s="387"/>
      <c r="GK613" s="61"/>
      <c r="GL613" s="387"/>
      <c r="GM613" s="61"/>
      <c r="GN613" s="387"/>
      <c r="GO613" s="61"/>
      <c r="GP613" s="387"/>
      <c r="GQ613" s="61"/>
      <c r="GR613" s="386"/>
      <c r="GS613" s="61"/>
      <c r="GT613" s="386"/>
      <c r="GU613" s="61"/>
      <c r="GV613" s="386"/>
      <c r="GW613" s="61"/>
      <c r="GX613" s="386"/>
      <c r="GY613" s="61"/>
      <c r="GZ613" s="61" t="str">
        <f t="shared" si="3427"/>
        <v/>
      </c>
      <c r="HA613" s="61"/>
      <c r="HB613" s="452"/>
      <c r="HC613"/>
      <c r="HD613"/>
      <c r="HE613"/>
      <c r="HF613"/>
      <c r="HG613"/>
      <c r="HH613"/>
    </row>
    <row r="614" spans="1:216" s="5" customFormat="1" ht="12.75" customHeight="1" x14ac:dyDescent="0.2">
      <c r="A614" s="5" t="s">
        <v>457</v>
      </c>
      <c r="B614" s="105" t="s">
        <v>69</v>
      </c>
      <c r="C614" s="144">
        <f>C541/C611</f>
        <v>0.86976506639427986</v>
      </c>
      <c r="D614" s="70"/>
      <c r="E614" s="144">
        <f>E541/E611</f>
        <v>0.89226804123711334</v>
      </c>
      <c r="F614" s="71"/>
      <c r="G614" s="144">
        <f>G541/G611</f>
        <v>0.97494887525562368</v>
      </c>
      <c r="H614" s="71"/>
      <c r="I614" s="144">
        <f>I541/I611</f>
        <v>0.94575664621676903</v>
      </c>
      <c r="J614" s="71"/>
      <c r="K614" s="144">
        <f>K541/K611</f>
        <v>0.86422302529685091</v>
      </c>
      <c r="L614" s="61">
        <f>IF(ISERROR((K614/C614-1)*100),"NA",IF(((K614/C614-1)*100)&gt;100,"NM",IF(((K614/C614-1)*100)&lt;-50,"NM",(K614/C614-1)*100)))</f>
        <v>-0.63718828354467627</v>
      </c>
      <c r="M614" s="144">
        <f>M541/M611</f>
        <v>0.81927083333333339</v>
      </c>
      <c r="N614" s="61">
        <f>IF(ISERROR((M614/E614-1)*100),"NA",IF(((M614/E614-1)*100)&gt;100,"NM",IF(((M614/E614-1)*100)&lt;-50,"NM",(M614/E614-1)*100)))</f>
        <v>-8.1810851145773018</v>
      </c>
      <c r="O614" s="144">
        <f>O541/O611</f>
        <v>0.68788501026694038</v>
      </c>
      <c r="P614" s="61">
        <f>IF(ISERROR((O614/G614-1)*100),"NA",IF(((O614/G614-1)*100)&gt;100,"NM",IF(((O614/G614-1)*100)&lt;-50,"NM",(O614/G614-1)*100)))</f>
        <v>-29.443991605551368</v>
      </c>
      <c r="Q614" s="144">
        <f>Q541/Q611</f>
        <v>0.96784232365145217</v>
      </c>
      <c r="R614" s="61">
        <f>IF(ISERROR((Q614/I614-1)*100),"NA",IF(((Q614/I614-1)*100)&gt;100,"NM",IF(((Q614/I614-1)*100)&lt;-50,"NM",(Q614/I614-1)*100)))</f>
        <v>2.3352389351986691</v>
      </c>
      <c r="S614" s="144">
        <f>S541/S611</f>
        <v>0.8057894736842105</v>
      </c>
      <c r="T614" s="61">
        <f>IF(ISERROR((S614/K614-1)*100),"NA",IF(((S614/K614-1)*100)&gt;100,"NM",IF(((S614/K614-1)*100)&lt;-50,"NM",(S614/K614-1)*100)))</f>
        <v>-6.7613972206502115</v>
      </c>
      <c r="U614" s="144">
        <f>U541/U611</f>
        <v>0.61538461538461542</v>
      </c>
      <c r="V614" s="61">
        <f>IF(ISERROR((U614/M614-1)*100),"NA",IF(((U614/M614-1)*100)&gt;100,"NM",IF(((U614/M614-1)*100)&lt;-50,"NM",(U614/M614-1)*100)))</f>
        <v>-24.886302508680135</v>
      </c>
      <c r="W614" s="144">
        <f>W541/W611</f>
        <v>0.3398586188145738</v>
      </c>
      <c r="X614" s="61" t="str">
        <f>IF(ISERROR((W614/O614-1)*100),"NA",IF(((W614/O614-1)*100)&gt;100,"NM",IF(((W614/O614-1)*100)&lt;-50,"NM",(W614/O614-1)*100)))</f>
        <v>NM</v>
      </c>
      <c r="Y614" s="144">
        <f>Y541/Y611</f>
        <v>0.55953046394633865</v>
      </c>
      <c r="Z614" s="61">
        <f>IF(ISERROR((Y614/Q614-1)*100),"NA",IF(((Y614/Q614-1)*100)&gt;100,"NM",IF(((Y614/Q614-1)*100)&lt;-50,"NM",(Y614/Q614-1)*100)))</f>
        <v>-42.187849169960288</v>
      </c>
      <c r="AA614" s="144">
        <f>AA541/AA611</f>
        <v>0.58721256309590575</v>
      </c>
      <c r="AB614" s="61">
        <f>IF(ISERROR((AA614/S614-1)*100),"NA",IF(((AA614/S614-1)*100)&gt;100,"NM",IF(((AA614/S614-1)*100)&lt;-50,"NM",(AA614/S614-1)*100)))</f>
        <v>-27.125808629508754</v>
      </c>
      <c r="AC614" s="144">
        <f>AC541/AC611</f>
        <v>0.85546875000000011</v>
      </c>
      <c r="AD614" s="61">
        <f>IF(ISERROR((AC614/U614-1)*100),"NA",IF(((AC614/U614-1)*100)&gt;100,"NM",IF(((AC614/U614-1)*100)&lt;-50,"NM",(AC614/U614-1)*100)))</f>
        <v>39.013671875</v>
      </c>
      <c r="AE614" s="144">
        <f>AE541/AE611</f>
        <v>0.86770428015564194</v>
      </c>
      <c r="AF614" s="61" t="str">
        <f>IF(ISERROR((AE614/W614-1)*100),"NA",IF(((AE614/W614-1)*100)&gt;100,"NM",IF(((AE614/W614-1)*100)&lt;-50,"NM",(AE614/W614-1)*100)))</f>
        <v>NM</v>
      </c>
      <c r="AG614" s="144">
        <f>AG541/AG611</f>
        <v>0.99057649667405756</v>
      </c>
      <c r="AH614" s="61">
        <f>IF(ISERROR((AG614/Y614-1)*100),"NA",IF(((AG614/Y614-1)*100)&gt;100,"NM",IF(((AG614/Y614-1)*100)&lt;-50,"NM",(AG614/Y614-1)*100)))</f>
        <v>77.037098156832087</v>
      </c>
      <c r="AI614" s="144">
        <f>AI541/AI611</f>
        <v>0.967991169977925</v>
      </c>
      <c r="AJ614" s="61">
        <f>IF(ISERROR((AI614/AA614-1)*100),"NA",IF(((AI614/AA614-1)*100)&gt;100,"NM",IF(((AI614/AA614-1)*100)&lt;-50,"NM",(AI614/AA614-1)*100)))</f>
        <v>64.845105641894961</v>
      </c>
      <c r="AK614" s="144">
        <f>AK541/AK611</f>
        <v>1.0058236272878536</v>
      </c>
      <c r="AL614" s="61">
        <f>IF(ISERROR((AK614/AC614-1)*100),"NA",IF(((AK614/AC614-1)*100)&gt;100,"NM",IF(((AK614/AC614-1)*100)&lt;-50,"NM",(AK614/AC614-1)*100)))</f>
        <v>17.575729947803875</v>
      </c>
      <c r="AM614" s="144">
        <f>AM541/AM611</f>
        <v>1.003376477208779</v>
      </c>
      <c r="AN614" s="61">
        <f>IF(ISERROR((AM614/AE614-1)*100),"NA",IF(((AM614/AE614-1)*100)&gt;100,"NM",IF(((AM614/AE614-1)*100)&lt;-50,"NM",(AM614/AE614-1)*100)))</f>
        <v>15.635764413747189</v>
      </c>
      <c r="AO614" s="144">
        <f>AO541/AO611</f>
        <v>1.0745331069609509</v>
      </c>
      <c r="AP614" s="61">
        <f>IF(ISERROR((AO614/AG614-1)*100),"NA",IF(((AO614/AG614-1)*100)&gt;100,"NM",IF(((AO614/AG614-1)*100)&lt;-50,"NM",(AO614/AG614-1)*100)))</f>
        <v>8.4755302158676891</v>
      </c>
      <c r="AQ614" s="144">
        <f>AQ541/AQ611</f>
        <v>1.1984258210645531</v>
      </c>
      <c r="AR614" s="61">
        <f>IF(ISERROR((AQ614/AI614-1)*100),"NA",IF(((AQ614/AI614-1)*100)&gt;100,"NM",IF(((AQ614/AI614-1)*100)&lt;-50,"NM",(AQ614/AI614-1)*100)))</f>
        <v>23.805449701765681</v>
      </c>
      <c r="AS614" s="144">
        <f>AS541/AS611</f>
        <v>1.376071835803877</v>
      </c>
      <c r="AT614" s="61">
        <f>IF(ISERROR((AS614/AK614-1)*100),"NA",IF(((AS614/AK614-1)*100)&gt;100,"NM",IF(((AS614/AK614-1)*100)&lt;-50,"NM",(AS614/AK614-1)*100)))</f>
        <v>36.81045050754841</v>
      </c>
      <c r="AU614" s="144">
        <f>AU541/AU611</f>
        <v>1.4232992036404999</v>
      </c>
      <c r="AV614" s="61">
        <f>IF(ISERROR((AU614/AM614-1)*100),"NA",IF(((AU614/AM614-1)*100)&gt;100,"NM",IF(((AU614/AM614-1)*100)&lt;-50,"NM",(AU614/AM614-1)*100)))</f>
        <v>41.850963817676281</v>
      </c>
      <c r="AW614" s="144">
        <f>AW541/AW611</f>
        <v>1.45376557191393</v>
      </c>
      <c r="AX614" s="61">
        <f>IF(ISERROR((AW614/AO614-1)*100),"NA",IF(((AW614/AO614-1)*100)&gt;100,"NM",IF(((AW614/AO614-1)*100)&lt;-50,"NM",(AW614/AO614-1)*100)))</f>
        <v>35.292766923258753</v>
      </c>
      <c r="AY614" s="144">
        <f>AY541/AY611</f>
        <v>1.3881956155143336</v>
      </c>
      <c r="AZ614" s="61">
        <f>IF(ISERROR((AY614/AQ614-1)*100),"NA",IF(((AY614/AQ614-1)*100)&gt;100,"NM",IF(((AY614/AQ614-1)*100)&lt;-50,"NM",(AY614/AQ614-1)*100)))</f>
        <v>15.834922038079036</v>
      </c>
      <c r="BA614" s="144">
        <f>BA541/BA611</f>
        <v>1.1445859872611464</v>
      </c>
      <c r="BB614" s="61">
        <f t="shared" si="3344"/>
        <v>-16.82222123291265</v>
      </c>
      <c r="BC614" s="144">
        <f>BC541/BC611</f>
        <v>1.2668555240793204</v>
      </c>
      <c r="BD614" s="61">
        <f t="shared" si="3345"/>
        <v>-10.991622784656197</v>
      </c>
      <c r="BE614" s="144">
        <f>BE541/BE611</f>
        <v>1.2855206847360912</v>
      </c>
      <c r="BF614" s="61">
        <f t="shared" si="3346"/>
        <v>-11.573041102929604</v>
      </c>
      <c r="BG614" s="144">
        <f>BG541/BG611</f>
        <v>1.2143112701252239</v>
      </c>
      <c r="BH614" s="61">
        <f>IF(ISERROR((BG614/AY614-1)*100),"NA",IF(((BG614/AY614-1)*100)&gt;100,"NM",IF(((BG614/AY614-1)*100)&lt;-50,"NM",(BG614/AY614-1)*100)))</f>
        <v>-12.525925269162064</v>
      </c>
      <c r="BI614" s="144">
        <f>BI541/BI611</f>
        <v>1.2776967930029157</v>
      </c>
      <c r="BJ614" s="61">
        <f>IF(ISERROR((BI614/BA614-1)*100),"NA",IF(((BI614/BA614-1)*100)&gt;100,"NM",IF(((BI614/BA614-1)*100)&lt;-50,"NM",(BI614/BA614-1)*100)))</f>
        <v>11.629602950171281</v>
      </c>
      <c r="BK614" s="144">
        <f>BK541/BK611</f>
        <v>1.2194495412844037</v>
      </c>
      <c r="BL614" s="61">
        <f>IF(ISERROR((BK614/BC614-1)*100),"NA",IF(((BK614/BC614-1)*100)&gt;100,"NM",IF(((BK614/BC614-1)*100)&lt;-50,"NM",(BK614/BC614-1)*100)))</f>
        <v>-3.7420196615844392</v>
      </c>
      <c r="BM614" s="144">
        <f>BM541/BM611</f>
        <v>1.1191536748329616</v>
      </c>
      <c r="BN614" s="61">
        <f>IF(ISERROR((BM614/BE614-1)*100),"NA",IF(((BM614/BE614-1)*100)&gt;100,"NM",IF(((BM614/BE614-1)*100)&lt;-50,"NM",(BM614/BE614-1)*100)))</f>
        <v>-12.941605053775051</v>
      </c>
      <c r="BO614" s="144">
        <f>BO541/BO611</f>
        <v>1.1396499238964997</v>
      </c>
      <c r="BP614" s="61">
        <f>IF(ISERROR((BO614/BG614-1)*100),"NA",IF(((BO614/BG614-1)*100)&gt;100,"NM",IF(((BO614/BG614-1)*100)&lt;-50,"NM",(BO614/BG614-1)*100)))</f>
        <v>-6.1484520538975911</v>
      </c>
      <c r="BQ614" s="144">
        <f>BQ541/BQ611</f>
        <v>1.1887519260400619</v>
      </c>
      <c r="BR614" s="61">
        <f>IF(ISERROR((BQ614/BI614-1)*100),"NA",IF(((BQ614/BI614-1)*100)&gt;100,"NM",IF(((BQ614/BI614-1)*100)&lt;-50,"NM",(BQ614/BI614-1)*100)))</f>
        <v>-6.9613438375947245</v>
      </c>
      <c r="BS614" s="144">
        <f>BS541/BS611</f>
        <v>1.1566302470453536</v>
      </c>
      <c r="BT614" s="61">
        <f>IF(ISERROR((BS614/BK614-1)*100),"NA",IF(((BS614/BK614-1)*100)&gt;100,"NM",IF(((BS614/BK614-1)*100)&lt;-50,"NM",(BS614/BK614-1)*100)))</f>
        <v>-5.1514467890885314</v>
      </c>
      <c r="BU614" s="144">
        <f>BU541/BU611</f>
        <v>-0.49340062111801292</v>
      </c>
      <c r="BV614" s="61" t="str">
        <f>IF(ISERROR((BU614/BM614-1)*100),"NA",IF(((BU614/BM614-1)*100)&gt;100,"NM",IF(((BU614/BM614-1)*100)&lt;-50,"NM",(BU614/BM614-1)*100)))</f>
        <v>NM</v>
      </c>
      <c r="BW614" s="144">
        <f>BW541/BW611</f>
        <v>0.63266097750193961</v>
      </c>
      <c r="BX614" s="61">
        <f t="shared" si="3441"/>
        <v>-44.486375663602786</v>
      </c>
      <c r="BY614" s="144">
        <f>BY541/BY611</f>
        <v>0.79001524390243971</v>
      </c>
      <c r="BZ614" s="61">
        <f>IF(ISERROR((BY614/BQ614-1)*100),"NA",IF(((BY614/BQ614-1)*100)&gt;100,"NM",IF(((BY614/BQ614-1)*100)&lt;-50,"NM",(BY614/BQ614-1)*100)))</f>
        <v>-33.542463604318442</v>
      </c>
      <c r="CA614" s="144">
        <f>CA541/CA611</f>
        <v>0.83616129032258024</v>
      </c>
      <c r="CB614" s="61">
        <f>IF(ISERROR((CA614/BS614-1)*100),"NA",IF(((CA614/BS614-1)*100)&gt;100,"NM",IF(((CA614/BS614-1)*100)&lt;-50,"NM",(CA614/BS614-1)*100)))</f>
        <v>-27.707122266724461</v>
      </c>
      <c r="CC614" s="144">
        <f>CC541/CC611</f>
        <v>0.89537869062901154</v>
      </c>
      <c r="CD614" s="61" t="str">
        <f>IF(ISERROR((CC614/BU614-1)*100),"NA",IF(((CC614/BU614-1)*100)&gt;100,"NM",IF(((CC614/BU614-1)*100)&lt;-50,"NM",(CC614/BU614-1)*100)))</f>
        <v>NM</v>
      </c>
      <c r="CE614" s="144">
        <f>CE541/CE611</f>
        <v>0.82607023840041038</v>
      </c>
      <c r="CF614" s="61">
        <f>IF(ISERROR((CE614/BW614-1)*100),"NA",IF(((CE614/BW614-1)*100)&gt;100,"NM",IF(((CE614/BW614-1)*100)&lt;-50,"NM",(CE614/BW614-1)*100)))</f>
        <v>30.570758712216882</v>
      </c>
      <c r="CG614" s="144">
        <f>CG541/CG611</f>
        <v>0.86586141131595684</v>
      </c>
      <c r="CH614" s="61">
        <f>IF(ISERROR((CG614/BY614-1)*100),"NA",IF(((CG614/BY614-1)*100)&gt;100,"NM",IF(((CG614/BY614-1)*100)&lt;-50,"NM",(CG614/BY614-1)*100)))</f>
        <v>9.6005954314070774</v>
      </c>
      <c r="CI614" s="144">
        <f>CI541/CI611</f>
        <v>0.62818544673011967</v>
      </c>
      <c r="CJ614" s="61">
        <f>IF(ISERROR((CI614/CA614-1)*100),"NA",IF(((CI614/CA614-1)*100)&gt;100,"NM",IF(((CI614/CA614-1)*100)&lt;-50,"NM",(CI614/CA614-1)*100)))</f>
        <v>-24.872694538660856</v>
      </c>
      <c r="CK614" s="144">
        <f>CK541/CK611</f>
        <v>0.82127396413110643</v>
      </c>
      <c r="CL614" s="61">
        <f>IF(ISERROR((CK614/CC614-1)*100),"NA",IF(((CK614/CC614-1)*100)&gt;100,"NM",IF(((CK614/CC614-1)*100)&lt;-50,"NM",(CK614/CC614-1)*100)))</f>
        <v>-8.2763558339595811</v>
      </c>
      <c r="CM614" s="144">
        <f>CM541/CM611</f>
        <v>0.99690306596469569</v>
      </c>
      <c r="CN614" s="61">
        <f>IF(ISERROR((CM614/CE614-1)*100),"NA",IF(((CM614/CE614-1)*100)&gt;100,"NM",IF(((CM614/CE614-1)*100)&lt;-50,"NM",(CM614/CE614-1)*100)))</f>
        <v>20.680181856579583</v>
      </c>
      <c r="CO614" s="144">
        <f>CO541/CO611</f>
        <v>1.0149953139643857</v>
      </c>
      <c r="CP614" s="61">
        <f>IF(ISERROR((CO614/CG614-1)*100),"NA",IF(((CO614/CG614-1)*100)&gt;100,"NM",IF(((CO614/CG614-1)*100)&lt;-50,"NM",(CO614/CG614-1)*100)))</f>
        <v>17.223761297061579</v>
      </c>
      <c r="CQ614" s="144">
        <f>CQ541/CQ611</f>
        <v>1.0349358974358971</v>
      </c>
      <c r="CR614" s="61">
        <f>IF(ISERROR((CQ614/CI614-1)*100),"NA",IF(((CQ614/CI614-1)*100)&gt;100,"NM",IF(((CQ614/CI614-1)*100)&lt;-50,"NM",(CQ614/CI614-1)*100)))</f>
        <v>64.750059528285291</v>
      </c>
      <c r="CS614" s="144">
        <f>CS541/CS611</f>
        <v>0.91298615688859597</v>
      </c>
      <c r="CT614" s="61">
        <f>IF(ISERROR((CS614/CK614-1)*100),"NA",IF(((CS614/CK614-1)*100)&gt;100,"NM",IF(((CS614/CK614-1)*100)&lt;-50,"NM",(CS614/CK614-1)*100)))</f>
        <v>11.167064434402164</v>
      </c>
      <c r="CU614" s="144">
        <f>CU541/CU611</f>
        <v>0.9901993916863806</v>
      </c>
      <c r="CV614" s="61">
        <f>IF(ISERROR((CU614/CM614-1)*100),"NA",IF(((CU614/CM614-1)*100)&gt;100,"NM",IF(((CU614/CM614-1)*100)&lt;-50,"NM",(CU614/CM614-1)*100)))</f>
        <v>-0.67244996100277454</v>
      </c>
      <c r="CW614" s="144">
        <f>CW541/CW611</f>
        <v>1.0862068965517242</v>
      </c>
      <c r="CX614" s="61">
        <f>IF(ISERROR((CW614/CO614-1)*100),"NA",IF(((CW614/CO614-1)*100)&gt;100,"NM",IF(((CW614/CO614-1)*100)&lt;-50,"NM",(CW614/CO614-1)*100)))</f>
        <v>7.0159518578661428</v>
      </c>
      <c r="CY614" s="144">
        <f>CY541/CY611</f>
        <v>1.2715138742536003</v>
      </c>
      <c r="CZ614" s="61">
        <f>IF(ISERROR((CY614/CQ614-1)*100),"NA",IF(((CY614/CQ614-1)*100)&gt;100,"NM",IF(((CY614/CQ614-1)*100)&lt;-50,"NM",(CY614/CQ614-1)*100)))</f>
        <v>22.859191318403038</v>
      </c>
      <c r="DA614" s="144">
        <f>DA541/DA611</f>
        <v>1.1028103877623621</v>
      </c>
      <c r="DB614" s="61">
        <f>IF(ISERROR((DA614/CS614-1)*100),"NA",IF(((DA614/CS614-1)*100)&gt;100,"NM",IF(((DA614/CS614-1)*100)&lt;-50,"NM",(DA614/CS614-1)*100)))</f>
        <v>20.79157821194968</v>
      </c>
      <c r="DC614" s="144">
        <f>DC541/DC611</f>
        <v>1.0229720028715004</v>
      </c>
      <c r="DD614" s="61">
        <f>IF(ISERROR((DC614/CU614-1)*100),"NA",IF(((DC614/CU614-1)*100)&gt;100,"NM",IF(((DC614/CU614-1)*100)&lt;-50,"NM",(DC614/CU614-1)*100)))</f>
        <v>3.3096981739511699</v>
      </c>
      <c r="DE614" s="144">
        <f>DE541/DE611</f>
        <v>1.2731229597388467</v>
      </c>
      <c r="DF614" s="61">
        <f>IF(ISERROR((DE614/CW614-1)*100),"NA",IF(((DE614/CW614-1)*100)&gt;100,"NM",IF(((DE614/CW614-1)*100)&lt;-50,"NM",(DE614/CW614-1)*100)))</f>
        <v>17.208145499766836</v>
      </c>
      <c r="DG614" s="144">
        <f>DG541/DG611</f>
        <v>1.3408841797588602</v>
      </c>
      <c r="DH614" s="61">
        <f>IF(ISERROR((DG614/CY614-1)*100),"NA",IF(((DG614/CY614-1)*100)&gt;100,"NM",IF(((DG614/CY614-1)*100)&lt;-50,"NM",(DG614/CY614-1)*100)))</f>
        <v>5.4557254081070372</v>
      </c>
      <c r="DI614" s="144">
        <f>DI541/DI611</f>
        <v>1.4002932551319647</v>
      </c>
      <c r="DJ614" s="61">
        <f>IF(ISERROR((DI614/DA614-1)*100),"NA",IF(((DI614/DA614-1)*100)&gt;100,"NM",IF(((DI614/DA614-1)*100)&lt;-50,"NM",(DI614/DA614-1)*100)))</f>
        <v>26.974978715353327</v>
      </c>
      <c r="DK614" s="144">
        <f>DK541/DK611</f>
        <v>1.3377434766629914</v>
      </c>
      <c r="DL614" s="61">
        <f>IF(ISERROR((DK614/DC614-1)*100),"NA",IF(((DK614/DC614-1)*100)&gt;100,"NM",IF(((DK614/DC614-1)*100)&lt;-50,"NM",(DK614/DC614-1)*100)))</f>
        <v>30.770292139757682</v>
      </c>
      <c r="DM614" s="144">
        <f>DM541/DM611</f>
        <v>1.4689475641502419</v>
      </c>
      <c r="DN614" s="130">
        <f t="shared" ref="DN614:DZ618" si="3514">IF(ISERROR((DM614/DE614-1)*100),"NA",IF(((DM614/DE614-1)*100)&gt;100,"NM",IF(((DM614/DE614-1)*100)&lt;-50,"NM",(DM614/DE614-1)*100)))</f>
        <v>15.381436876416421</v>
      </c>
      <c r="DO614" s="144">
        <f>DO541/DO611</f>
        <v>1.5592203898050974</v>
      </c>
      <c r="DP614" s="130">
        <f t="shared" si="3514"/>
        <v>16.283002912712561</v>
      </c>
      <c r="DQ614" s="144">
        <f>(DQ541)/DQ611</f>
        <v>1.6730038022813689</v>
      </c>
      <c r="DR614" s="130">
        <f t="shared" si="3514"/>
        <v>19.475245356638094</v>
      </c>
      <c r="DS614" s="144">
        <f>(DS541)/DS611</f>
        <v>1.3507290867229469</v>
      </c>
      <c r="DT614" s="130">
        <f t="shared" si="3514"/>
        <v>0.97071002673458917</v>
      </c>
      <c r="DU614" s="144">
        <f>(DU541)/DU611</f>
        <v>1.4554727344056493</v>
      </c>
      <c r="DV614" s="130">
        <f t="shared" si="3514"/>
        <v>-0.91731182742302853</v>
      </c>
      <c r="DW614" s="144">
        <f>(DW541)/DW611</f>
        <v>1.113744075829384</v>
      </c>
      <c r="DX614" s="144">
        <f t="shared" ref="DX614" si="3515">(DX541)/DX611</f>
        <v>1.113744075829384</v>
      </c>
      <c r="DY614" s="144">
        <f>ROUND(((DY541)/DY611),3)</f>
        <v>1.5349999999999999</v>
      </c>
      <c r="DZ614" s="130">
        <f t="shared" si="3514"/>
        <v>-8.2488636363636463</v>
      </c>
      <c r="EA614" s="144">
        <f>ROUND(((EA541)/EA611),3)</f>
        <v>1.2529999999999999</v>
      </c>
      <c r="EB614" s="130">
        <f t="shared" ref="EB614:EB618" si="3516">IF(ISERROR((EA614/DS614-1)*100),"NA",IF(((EA614/DS614-1)*100)&gt;100,"NM",IF(((EA614/DS614-1)*100)&lt;-50,"NM",(EA614/DS614-1)*100)))</f>
        <v>-7.2352840909090883</v>
      </c>
      <c r="EC614" s="144">
        <f>ROUND(((EC541)/EC611),3)</f>
        <v>1.5549999999999999</v>
      </c>
      <c r="ED614" s="130">
        <f t="shared" ref="ED614:ED618" si="3517">IF(ISERROR((EC614/DU614-1)*100),"NA",IF(((EC614/DU614-1)*100)&gt;100,"NM",IF(((EC614/DU614-1)*100)&lt;-50,"NM",(EC614/DU614-1)*100)))</f>
        <v>6.8381401617250592</v>
      </c>
      <c r="EE614" s="144">
        <f>ROUND(((EE541)/EE611),3)</f>
        <v>1.8879999999999999</v>
      </c>
      <c r="EF614" s="130">
        <f t="shared" ref="EF614:EF618" si="3518">IF(ISERROR((EE614/DW614-1)*100),"NA",IF(((EE614/DW614-1)*100)&gt;100,"NM",IF(((EE614/DW614-1)*100)&lt;-50,"NM",(EE614/DW614-1)*100)))</f>
        <v>69.518297872340412</v>
      </c>
      <c r="EG614" s="144">
        <f>ROUND(((EG541)/EG611),3)</f>
        <v>1.7709999999999999</v>
      </c>
      <c r="EH614" s="130">
        <f t="shared" ref="EH614:EH618" si="3519">IF(ISERROR((EG614/DY614-1)*100),"NA",IF(((EG614/DY614-1)*100)&gt;100,"NM",IF(((EG614/DY614-1)*100)&lt;-50,"NM",(EG614/DY614-1)*100)))</f>
        <v>15.374592833876211</v>
      </c>
      <c r="EI614" s="144">
        <f>ROUND(((EI541)/EI611),3)</f>
        <v>1.921</v>
      </c>
      <c r="EJ614" s="130">
        <f t="shared" ref="EJ614:EJ618" si="3520">IF(ISERROR((EI614/EA614-1)*100),"NA",IF(((EI614/EA614-1)*100)&gt;100,"NM",IF(((EI614/EA614-1)*100)&lt;-50,"NM",(EI614/EA614-1)*100)))</f>
        <v>53.31205107741421</v>
      </c>
      <c r="EK614" s="144">
        <f>ROUND(((EK541)/EK611),3)</f>
        <v>1.845</v>
      </c>
      <c r="EL614" s="130">
        <f t="shared" ref="EL614:EL618" si="3521">IF(ISERROR((EK614/EC614-1)*100),"NA",IF(((EK614/EC614-1)*100)&gt;100,"NM",IF(((EK614/EC614-1)*100)&lt;-50,"NM",(EK614/EC614-1)*100)))</f>
        <v>18.649517684887474</v>
      </c>
      <c r="EM614" s="144">
        <f>ROUND(((EM541)/EM611),3)</f>
        <v>2.028</v>
      </c>
      <c r="EN614" s="130">
        <f t="shared" ref="EN614:EN618" si="3522">IF(ISERROR((EM614/EE614-1)*100),"NA",IF(((EM614/EE614-1)*100)&gt;100,"NM",IF(((EM614/EE614-1)*100)&lt;-50,"NM",(EM614/EE614-1)*100)))</f>
        <v>7.4152542372881491</v>
      </c>
      <c r="EO614" s="144">
        <f>ROUND(((EO541)/EO611),3)</f>
        <v>1.9830000000000001</v>
      </c>
      <c r="EP614" s="130">
        <f t="shared" ref="EP614:EP618" si="3523">IF(ISERROR((EO614/EG614-1)*100),"NA",IF(((EO614/EG614-1)*100)&gt;100,"NM",IF(((EO614/EG614-1)*100)&lt;-50,"NM",(EO614/EG614-1)*100)))</f>
        <v>11.970638057594595</v>
      </c>
      <c r="EQ614" s="144">
        <f t="shared" ref="EQ614:EW614" si="3524">EQ541/EQ611</f>
        <v>1.9566895243625559</v>
      </c>
      <c r="ER614" s="130">
        <f t="shared" ref="ER614:ER618" si="3525">IF(ISERROR((EQ614/EI614-1)*100),"NA",IF(((EQ614/EI614-1)*100)&gt;100,"NM",IF(((EQ614/EI614-1)*100)&lt;-50,"NM",(EQ614/EI614-1)*100)))</f>
        <v>1.8578617575510714</v>
      </c>
      <c r="ES614" s="144">
        <f t="shared" si="3524"/>
        <v>2.0807014003898203</v>
      </c>
      <c r="ET614" s="130">
        <f t="shared" ref="ET614:ET618" si="3526">IF(ISERROR((ES614/EK614-1)*100),"NA",IF(((ES614/EK614-1)*100)&gt;100,"NM",IF(((ES614/EK614-1)*100)&lt;-50,"NM",(ES614/EK614-1)*100)))</f>
        <v>12.775143652564779</v>
      </c>
      <c r="EU614" s="144">
        <f t="shared" si="3524"/>
        <v>2.1699323895505249</v>
      </c>
      <c r="EV614" s="130">
        <f t="shared" ref="EV614:EV618" si="3527">IF(ISERROR((EU614/EM614-1)*100),"NA",IF(((EU614/EM614-1)*100)&gt;100,"NM",IF(((EU614/EM614-1)*100)&lt;-50,"NM",(EU614/EM614-1)*100)))</f>
        <v>6.9986385379943172</v>
      </c>
      <c r="EW614" s="144">
        <f t="shared" si="3524"/>
        <v>2.2408646967070514</v>
      </c>
      <c r="EX614" s="130">
        <f t="shared" ref="EX614:EX618" si="3528">IF(ISERROR((EW614/EO614-1)*100),"NA",IF(((EW614/EO614-1)*100)&gt;100,"NM",IF(((EW614/EO614-1)*100)&lt;-50,"NM",(EW614/EO614-1)*100)))</f>
        <v>13.003766853608223</v>
      </c>
      <c r="EY614" s="64"/>
      <c r="EZ614" s="558"/>
      <c r="FA614" s="64"/>
      <c r="FB614" s="144">
        <f>FB541/FB611</f>
        <v>2.6070480111365533</v>
      </c>
      <c r="FC614" s="71"/>
      <c r="FD614" s="144">
        <f>FD541/FD611</f>
        <v>2.3712574850299402</v>
      </c>
      <c r="FE614" s="70">
        <f>IF(ISERROR((FD614/FB614-1)*100),"NA",IF(((FD614/FB614-1)*100)&gt;100,"NM",IF(((FD614/FB614-1)*100)&lt;-50,"NM",(FD614/FB614-1)*100)))</f>
        <v>-9.0443492064351876</v>
      </c>
      <c r="FF614" s="580">
        <f>C614+E614+G614+I614</f>
        <v>3.6827386291037865</v>
      </c>
      <c r="FG614" s="70">
        <f>IF(ISERROR((FF614/FD614-1)*100),"NA",IF(((FF614/FD614-1)*100)&gt;100,"NM",IF(((FF614/FD614-1)*100)&lt;-50,"NM",(FF614/FD614-1)*100)))</f>
        <v>55.307411883922299</v>
      </c>
      <c r="FH614" s="580">
        <f>K614+M614+O614+Q614</f>
        <v>3.3392211925485764</v>
      </c>
      <c r="FI614" s="70">
        <f>IF(ISERROR((FH614/FF614-1)*100),"NA",IF(((FH614/FF614-1)*100)&gt;100,"NM",IF(((FH614/FF614-1)*100)&lt;-50,"NM",(FH614/FF614-1)*100)))</f>
        <v>-9.3277712906497214</v>
      </c>
      <c r="FJ614" s="580">
        <f>S614+U614+W614+Y614</f>
        <v>2.3205631718297384</v>
      </c>
      <c r="FK614" s="70">
        <f>IF(ISERROR((FJ614/FH614-1)*100),"NA",IF(((FJ614/FH614-1)*100)&gt;100,"NM",IF(((FJ614/FH614-1)*100)&lt;-50,"NM",(FJ614/FH614-1)*100)))</f>
        <v>-30.505856365309334</v>
      </c>
      <c r="FL614" s="580">
        <f>AA614+AC614+AE614+AG614</f>
        <v>3.3009620899256058</v>
      </c>
      <c r="FM614" s="61">
        <f>IF(ISERROR((FL614/FJ614-1)*100),"NA",IF(((FL614/FJ614-1)*100)&gt;100,"NM",IF(((FL614/FJ614-1)*100)&lt;-50,"NM",(FL614/FJ614-1)*100)))</f>
        <v>42.248318425343001</v>
      </c>
      <c r="FN614" s="580">
        <f>AI614+AK614+AM614+AO614</f>
        <v>4.0517243814355091</v>
      </c>
      <c r="FO614" s="61">
        <f>IF(ISERROR((FN614/FL614-1)*100),"NA",IF(((FN614/FL614-1)*100)&gt;100,"NM",IF(((FN614/FL614-1)*100)&lt;-50,"NM",(FN614/FL614-1)*100)))</f>
        <v>22.743741704916797</v>
      </c>
      <c r="FP614" s="144">
        <f>FP541/FP611</f>
        <v>5.4511981828506535</v>
      </c>
      <c r="FQ614" s="61">
        <f t="shared" si="3354"/>
        <v>63.247591834135555</v>
      </c>
      <c r="FR614" s="144">
        <f>FR541/FR611</f>
        <v>5.0371933939216262</v>
      </c>
      <c r="FS614" s="61">
        <f>IF(ISERROR((FR614/FP614-1)*100),"NA",IF(((FR614/FP614-1)*100)&gt;100,"NM",IF(((FR614/FP614-1)*100)&lt;-50,"NM",(FR614/FP614-1)*100)))</f>
        <v>-7.5947484395536557</v>
      </c>
      <c r="FT614" s="144">
        <f>FT541/FT611</f>
        <v>4.8322686621646271</v>
      </c>
      <c r="FU614" s="61">
        <f>IF(ISERROR((FT614/FR614-1)*100),"NA",IF(((FT614/FR614-1)*100)&gt;100,"NM",IF(((FT614/FR614-1)*100)&lt;-50,"NM",(FT614/FR614-1)*100)))</f>
        <v>-4.0682323613836502</v>
      </c>
      <c r="FV614" s="144">
        <f>FV541/FV611</f>
        <v>3.002953804046665</v>
      </c>
      <c r="FW614" s="61">
        <f>IF(ISERROR((FV614/FT614-1)*100),"NA",IF(((FV614/FT614-1)*100)&gt;100,"NM",IF(((FV614/FT614-1)*100)&lt;-50,"NM",(FV614/FT614-1)*100)))</f>
        <v>-37.856232465736205</v>
      </c>
      <c r="FX614" s="144">
        <f>FX541/FX611</f>
        <v>3.1830793483972677</v>
      </c>
      <c r="FY614" s="61">
        <f>IF(ISERROR((FX614/FV614-1)*100),"NA",IF(((FX614/FV614-1)*100)&gt;100,"NM",IF(((FX614/FV614-1)*100)&lt;-50,"NM",(FX614/FV614-1)*100)))</f>
        <v>5.9982788981925772</v>
      </c>
      <c r="FZ614" s="144">
        <f>FZ541/FZ611</f>
        <v>3.1365909482826169</v>
      </c>
      <c r="GA614" s="61">
        <f>IF(ISERROR((FZ614/FX614-1)*100),"NA",IF(((FZ614/FX614-1)*100)&gt;100,"NM",IF(((FZ614/FX614-1)*100)&lt;-50,"NM",(FZ614/FX614-1)*100)))</f>
        <v>-1.4604851160263554</v>
      </c>
      <c r="GB614" s="144">
        <f>GB541/GB611</f>
        <v>3.9577777777777787</v>
      </c>
      <c r="GC614" s="61">
        <f>IF(ISERROR((GB614/FZ614-1)*100),"NA",IF(((GB614/FZ614-1)*100)&gt;100,"NM",IF(((GB614/FZ614-1)*100)&lt;-50,"NM",(GB614/FZ614-1)*100)))</f>
        <v>26.180870984939485</v>
      </c>
      <c r="GD614" s="144">
        <f>GD541/GD611</f>
        <v>4.4506258692628649</v>
      </c>
      <c r="GE614" s="61">
        <f>IF(ISERROR((GD614/GB614-1)*100),"NA",IF(((GD614/GB614-1)*100)&gt;100,"NM",IF(((GD614/GB614-1)*100)&lt;-50,"NM",(GD614/GB614-1)*100)))</f>
        <v>12.452646893222274</v>
      </c>
      <c r="GF614" s="144">
        <f>GF541/GF611</f>
        <v>5.0327034883720936</v>
      </c>
      <c r="GG614" s="61">
        <f>IF(ISERROR((GF614/GD614-1)*100),"NA",IF(((GF614/GD614-1)*100)&gt;100,"NM",IF(((GF614/GD614-1)*100)&lt;-50,"NM",(GF614/GD614-1)*100)))</f>
        <v>13.078556504360495</v>
      </c>
      <c r="GH614" s="144">
        <f>GH541/GH611</f>
        <v>6.0261194029850742</v>
      </c>
      <c r="GI614" s="61">
        <f>IF(ISERROR((GH614/GF614-1)*100),"NA",IF(((GH614/GF614-1)*100)&gt;100,"NM",IF(((GH614/GF614-1)*100)&lt;-50,"NM",(GH614/GF614-1)*100)))</f>
        <v>19.739210086750347</v>
      </c>
      <c r="GJ614" s="144">
        <f>GJ541/GJ611</f>
        <v>5.4520440251572326</v>
      </c>
      <c r="GK614" s="61">
        <f>IF(ISERROR((GJ614/GH614-1)*100),"NA",IF(((GJ614/GH614-1)*100)&gt;100,"NM",IF(((GJ614/GH614-1)*100)&lt;-50,"NM",(GJ614/GH614-1)*100)))</f>
        <v>-9.526452090270066</v>
      </c>
      <c r="GL614" s="144">
        <f>GL541/GL611</f>
        <v>6.4454976303317535</v>
      </c>
      <c r="GM614" s="61">
        <f>IF(ISERROR((GL614/GJ614-1)*100),"NA",IF(((GL614/GJ614-1)*100)&gt;100,"NM",IF(((GL614/GJ614-1)*100)&lt;-50,"NM",(GL614/GJ614-1)*100)))</f>
        <v>18.221672469819627</v>
      </c>
      <c r="GN614" s="144">
        <f>GN541/GN611</f>
        <v>7.7736559437461938</v>
      </c>
      <c r="GO614" s="61">
        <f>IF(ISERROR((GN614/GL614-1)*100),"NA",IF(((GN614/GL614-1)*100)&gt;100,"NM",IF(((GN614/GL614-1)*100)&lt;-50,"NM",(GN614/GL614-1)*100)))</f>
        <v>20.605985597826979</v>
      </c>
      <c r="GP614" s="144">
        <f>GP541/GP611</f>
        <v>8.4472022261282849</v>
      </c>
      <c r="GQ614" s="61">
        <f>IF(ISERROR((GP614/GN614-1)*100),"NA",IF(((GP614/GN614-1)*100)&gt;100,"NM",IF(((GP614/GN614-1)*100)&lt;-50,"NM",(GP614/GN614-1)*100)))</f>
        <v>8.6644725114693344</v>
      </c>
      <c r="GR614" s="144">
        <f>GR541/GR611</f>
        <v>9.2031935617236069</v>
      </c>
      <c r="GS614" s="61">
        <f>IF(ISERROR((GR614/GP614-1)*100),"NA",IF(((GR614/GP614-1)*100)&gt;100,"NM",IF(((GR614/GP614-1)*100)&lt;-50,"NM",(GR614/GP614-1)*100)))</f>
        <v>8.9496062170376867</v>
      </c>
      <c r="GT614" s="144">
        <f>GT541/GT611</f>
        <v>10.298755491214671</v>
      </c>
      <c r="GU614" s="61">
        <f>IF(ISERROR((GT614/GR614-1)*100),"NA",IF(((GT614/GR614-1)*100)&gt;100,"NM",IF(((GT614/GR614-1)*100)&lt;-50,"NM",(GT614/GR614-1)*100)))</f>
        <v>11.904149599195035</v>
      </c>
      <c r="GV614" s="144">
        <f>GV541/GV611</f>
        <v>11.097760784447122</v>
      </c>
      <c r="GW614" s="61">
        <f>IF(ISERROR((GV614/GT614-1)*100),"NA",IF(((GV614/GT614-1)*100)&gt;100,"NM",IF(((GV614/GT614-1)*100)&lt;-50,"NM",(GV614/GT614-1)*100)))</f>
        <v>7.7582703455193247</v>
      </c>
      <c r="GX614" s="144">
        <f>GX541/GX611</f>
        <v>11.999970894221658</v>
      </c>
      <c r="GY614" s="61">
        <f>IF(ISERROR((GX614/GV614-1)*100),"NA",IF(((GX614/GV614-1)*100)&gt;100,"NM",IF(((GX614/GV614-1)*100)&lt;-50,"NM",(GX614/GV614-1)*100)))</f>
        <v>8.1296590122841081</v>
      </c>
      <c r="GZ614" s="61">
        <f t="shared" si="3427"/>
        <v>9.0714220724498862</v>
      </c>
      <c r="HA614" s="61"/>
      <c r="HB614" s="452"/>
      <c r="HC614"/>
      <c r="HD614"/>
      <c r="HE614"/>
      <c r="HF614"/>
      <c r="HG614"/>
      <c r="HH614"/>
    </row>
    <row r="615" spans="1:216" s="5" customFormat="1" ht="12.75" customHeight="1" x14ac:dyDescent="0.2">
      <c r="B615" s="7" t="s">
        <v>270</v>
      </c>
      <c r="C615" s="389">
        <f>ROUND(C564/C611,2)</f>
        <v>0</v>
      </c>
      <c r="D615" s="70"/>
      <c r="E615" s="389">
        <f>ROUND(E564/E611,2)</f>
        <v>-0.01</v>
      </c>
      <c r="F615" s="71"/>
      <c r="G615" s="389">
        <f>ROUND(G564/G611,2)</f>
        <v>-0.21</v>
      </c>
      <c r="H615" s="71"/>
      <c r="I615" s="389">
        <f>ROUND(I564/I611,2)</f>
        <v>-0.19</v>
      </c>
      <c r="J615" s="71"/>
      <c r="K615" s="389">
        <f>ROUND(K564/K611,2)</f>
        <v>-0.02</v>
      </c>
      <c r="L615" s="61" t="str">
        <f>IF(ISERROR((K615/C615-1)*100),"NA",IF(((K615/C615-1)*100)&gt;100,"NM",IF(((K615/C615-1)*100)&lt;-50,"NM",(K615/C615-1)*100)))</f>
        <v>NA</v>
      </c>
      <c r="M615" s="389">
        <f>ROUND(M564/M611,2)</f>
        <v>-7.0000000000000007E-2</v>
      </c>
      <c r="N615" s="61" t="str">
        <f>IF(ISERROR((M615/E615-1)*100),"NA",IF(((M615/E615-1)*100)&gt;100,"NM",IF(((M615/E615-1)*100)&lt;-50,"NM",(M615/E615-1)*100)))</f>
        <v>NM</v>
      </c>
      <c r="O615" s="389">
        <f>ROUND(O564/O611,2)</f>
        <v>0</v>
      </c>
      <c r="P615" s="61" t="str">
        <f>IF(ISERROR((O615/G615-1)*100),"NA",IF(((O615/G615-1)*100)&gt;100,"NM",IF(((O615/G615-1)*100)&lt;-50,"NM",(O615/G615-1)*100)))</f>
        <v>NM</v>
      </c>
      <c r="Q615" s="389">
        <f>ROUND(Q564/Q611,2)</f>
        <v>-0.02</v>
      </c>
      <c r="R615" s="61" t="str">
        <f>IF(ISERROR((Q615/I615-1)*100),"NA",IF(((Q615/I615-1)*100)&gt;100,"NM",IF(((Q615/I615-1)*100)&lt;-50,"NM",(Q615/I615-1)*100)))</f>
        <v>NM</v>
      </c>
      <c r="S615" s="389">
        <f>ROUND(S564/S611,2)</f>
        <v>0</v>
      </c>
      <c r="T615" s="61" t="str">
        <f>IF(ISERROR((S615/K615-1)*100),"NA",IF(((S615/K615-1)*100)&gt;100,"NM",IF(((S615/K615-1)*100)&lt;-50,"NM",(S615/K615-1)*100)))</f>
        <v>NM</v>
      </c>
      <c r="U615" s="389">
        <f>ROUND(U564/U611,2)</f>
        <v>-0.08</v>
      </c>
      <c r="V615" s="61">
        <f>IF(ISERROR((U615/M615-1)*100),"NA",IF(((U615/M615-1)*100)&gt;100,"NM",IF(((U615/M615-1)*100)&lt;-50,"NM",(U615/M615-1)*100)))</f>
        <v>14.285714285714279</v>
      </c>
      <c r="W615" s="389">
        <f>ROUND(W564/W611,2)</f>
        <v>-0.95</v>
      </c>
      <c r="X615" s="61" t="str">
        <f>IF(ISERROR((W615/O615-1)*100),"NA",IF(((W615/O615-1)*100)&gt;100,"NM",IF(((W615/O615-1)*100)&lt;-50,"NM",(W615/O615-1)*100)))</f>
        <v>NA</v>
      </c>
      <c r="Y615" s="389">
        <f>ROUND(Y564/Y611,2)</f>
        <v>-0.1</v>
      </c>
      <c r="Z615" s="61" t="str">
        <f>IF(ISERROR((Y615/Q615-1)*100),"NA",IF(((Y615/Q615-1)*100)&gt;100,"NM",IF(((Y615/Q615-1)*100)&lt;-50,"NM",(Y615/Q615-1)*100)))</f>
        <v>NM</v>
      </c>
      <c r="AA615" s="389">
        <f>ROUND(AA564/AA611,2)</f>
        <v>0</v>
      </c>
      <c r="AB615" s="61" t="str">
        <f>IF(ISERROR((AA615/S615-1)*100),"NA",IF(((AA615/S615-1)*100)&gt;100,"NM",IF(((AA615/S615-1)*100)&lt;-50,"NM",(AA615/S615-1)*100)))</f>
        <v>NA</v>
      </c>
      <c r="AC615" s="389">
        <f>ROUND(AC564/AC611,2)</f>
        <v>0</v>
      </c>
      <c r="AD615" s="61" t="str">
        <f>IF(ISERROR((AC615/U615-1)*100),"NA",IF(((AC615/U615-1)*100)&gt;100,"NM",IF(((AC615/U615-1)*100)&lt;-50,"NM",(AC615/U615-1)*100)))</f>
        <v>NM</v>
      </c>
      <c r="AE615" s="389">
        <f>ROUND(AE564/AE611,2)</f>
        <v>-0.14000000000000001</v>
      </c>
      <c r="AF615" s="61" t="str">
        <f>IF(ISERROR((AE615/W615-1)*100),"NA",IF(((AE615/W615-1)*100)&gt;100,"NM",IF(((AE615/W615-1)*100)&lt;-50,"NM",(AE615/W615-1)*100)))</f>
        <v>NM</v>
      </c>
      <c r="AG615" s="389">
        <f>ROUND(AG564/AG611,2)</f>
        <v>-0.4</v>
      </c>
      <c r="AH615" s="61" t="str">
        <f>IF(ISERROR((AG615/Y615-1)*100),"NA",IF(((AG615/Y615-1)*100)&gt;100,"NM",IF(((AG615/Y615-1)*100)&lt;-50,"NM",(AG615/Y615-1)*100)))</f>
        <v>NM</v>
      </c>
      <c r="AI615" s="389">
        <f>ROUND(AI564/AI611,2)</f>
        <v>-0.15</v>
      </c>
      <c r="AJ615" s="61" t="str">
        <f>IF(ISERROR((AI615/AA615-1)*100),"NA",IF(((AI615/AA615-1)*100)&gt;100,"NM",IF(((AI615/AA615-1)*100)&lt;-50,"NM",(AI615/AA615-1)*100)))</f>
        <v>NA</v>
      </c>
      <c r="AK615" s="389">
        <f>ROUND(AK564/AK611,2)</f>
        <v>0.04</v>
      </c>
      <c r="AL615" s="61" t="str">
        <f>IF(ISERROR((AK615/AC615-1)*100),"NA",IF(((AK615/AC615-1)*100)&gt;100,"NM",IF(((AK615/AC615-1)*100)&lt;-50,"NM",(AK615/AC615-1)*100)))</f>
        <v>NA</v>
      </c>
      <c r="AM615" s="389">
        <f>ROUND(AM564/AM611,2)</f>
        <v>-0.01</v>
      </c>
      <c r="AN615" s="61" t="str">
        <f>IF(ISERROR((AM615/AE615-1)*100),"NA",IF(((AM615/AE615-1)*100)&gt;100,"NM",IF(((AM615/AE615-1)*100)&lt;-50,"NM",(AM615/AE615-1)*100)))</f>
        <v>NM</v>
      </c>
      <c r="AO615" s="389">
        <f>ROUND(AO564/AO611,2)</f>
        <v>-0.02</v>
      </c>
      <c r="AP615" s="61" t="str">
        <f>IF(ISERROR((AO615/AG615-1)*100),"NA",IF(((AO615/AG615-1)*100)&gt;100,"NM",IF(((AO615/AG615-1)*100)&lt;-50,"NM",(AO615/AG615-1)*100)))</f>
        <v>NM</v>
      </c>
      <c r="AQ615" s="389">
        <f>ROUND(AQ564/AQ611,2)</f>
        <v>0</v>
      </c>
      <c r="AR615" s="61" t="str">
        <f>IF(ISERROR((AQ615/AI615-1)*100),"NA",IF(((AQ615/AI615-1)*100)&gt;100,"NM",IF(((AQ615/AI615-1)*100)&lt;-50,"NM",(AQ615/AI615-1)*100)))</f>
        <v>NM</v>
      </c>
      <c r="AS615" s="389">
        <f>ROUND(AS564/AS611,2)</f>
        <v>0</v>
      </c>
      <c r="AT615" s="61" t="str">
        <f>IF(ISERROR((AS615/AK615-1)*100),"NA",IF(((AS615/AK615-1)*100)&gt;100,"NM",IF(((AS615/AK615-1)*100)&lt;-50,"NM",(AS615/AK615-1)*100)))</f>
        <v>NM</v>
      </c>
      <c r="AU615" s="389">
        <f>ROUND(AU564/AU611,2)</f>
        <v>0</v>
      </c>
      <c r="AV615" s="61" t="str">
        <f>IF(ISERROR((AU615/AM615-1)*100),"NA",IF(((AU615/AM615-1)*100)&gt;100,"NM",IF(((AU615/AM615-1)*100)&lt;-50,"NM",(AU615/AM615-1)*100)))</f>
        <v>NM</v>
      </c>
      <c r="AW615" s="389">
        <f>ROUND(AW564/AW611,2)</f>
        <v>0</v>
      </c>
      <c r="AX615" s="61" t="str">
        <f>IF(ISERROR((AW615/AO615-1)*100),"NA",IF(((AW615/AO615-1)*100)&gt;100,"NM",IF(((AW615/AO615-1)*100)&lt;-50,"NM",(AW615/AO615-1)*100)))</f>
        <v>NM</v>
      </c>
      <c r="AY615" s="389">
        <f>ROUND(AY564/AY611,2)</f>
        <v>0</v>
      </c>
      <c r="AZ615" s="61" t="str">
        <f>IF(ISERROR((AY615/AQ615-1)*100),"NA",IF(((AY615/AQ615-1)*100)&gt;100,"NM",IF(((AY615/AQ615-1)*100)&lt;-50,"NM",(AY615/AQ615-1)*100)))</f>
        <v>NA</v>
      </c>
      <c r="BA615" s="389">
        <f>ROUND(BA564/BA611,2)</f>
        <v>0</v>
      </c>
      <c r="BB615" s="61" t="str">
        <f t="shared" si="3344"/>
        <v>NA</v>
      </c>
      <c r="BC615" s="389">
        <f>ROUND(BC564/BC611,2)</f>
        <v>0</v>
      </c>
      <c r="BD615" s="61" t="str">
        <f t="shared" si="3345"/>
        <v>NA</v>
      </c>
      <c r="BE615" s="389">
        <f>ROUND(BE564/BE611,2)</f>
        <v>0</v>
      </c>
      <c r="BF615" s="61" t="str">
        <f t="shared" si="3346"/>
        <v>NA</v>
      </c>
      <c r="BG615" s="389">
        <f>ROUND(BG564/BG611,2)</f>
        <v>0</v>
      </c>
      <c r="BH615" s="61" t="str">
        <f>IF(ISERROR((BG615/AY615-1)*100),"NA",IF(((BG615/AY615-1)*100)&gt;100,"NM",IF(((BG615/AY615-1)*100)&lt;-50,"NM",(BG615/AY615-1)*100)))</f>
        <v>NA</v>
      </c>
      <c r="BI615" s="389">
        <f>ROUND(BI564/BI611,2)</f>
        <v>0</v>
      </c>
      <c r="BJ615" s="61" t="str">
        <f>IF(ISERROR((BI615/BA615-1)*100),"NA",IF(((BI615/BA615-1)*100)&gt;100,"NM",IF(((BI615/BA615-1)*100)&lt;-50,"NM",(BI615/BA615-1)*100)))</f>
        <v>NA</v>
      </c>
      <c r="BK615" s="389">
        <f>ROUND(BK564/BK611,2)</f>
        <v>0</v>
      </c>
      <c r="BL615" s="61" t="str">
        <f>IF(ISERROR((BK615/BC615-1)*100),"NA",IF(((BK615/BC615-1)*100)&gt;100,"NM",IF(((BK615/BC615-1)*100)&lt;-50,"NM",(BK615/BC615-1)*100)))</f>
        <v>NA</v>
      </c>
      <c r="BM615" s="389">
        <f>ROUND(BM564/BM611,2)</f>
        <v>0</v>
      </c>
      <c r="BN615" s="61" t="str">
        <f>IF(ISERROR((BM615/BE615-1)*100),"NA",IF(((BM615/BE615-1)*100)&gt;100,"NM",IF(((BM615/BE615-1)*100)&lt;-50,"NM",(BM615/BE615-1)*100)))</f>
        <v>NA</v>
      </c>
      <c r="BO615" s="389">
        <f>ROUND(BO564/BO611,2)</f>
        <v>0</v>
      </c>
      <c r="BP615" s="61" t="str">
        <f>IF(ISERROR((BO615/BG615-1)*100),"NA",IF(((BO615/BG615-1)*100)&gt;100,"NM",IF(((BO615/BG615-1)*100)&lt;-50,"NM",(BO615/BG615-1)*100)))</f>
        <v>NA</v>
      </c>
      <c r="BQ615" s="389">
        <f>ROUND(BQ564/BQ611,2)</f>
        <v>0</v>
      </c>
      <c r="BR615" s="61" t="str">
        <f>IF(ISERROR((BQ615/BI615-1)*100),"NA",IF(((BQ615/BI615-1)*100)&gt;100,"NM",IF(((BQ615/BI615-1)*100)&lt;-50,"NM",(BQ615/BI615-1)*100)))</f>
        <v>NA</v>
      </c>
      <c r="BS615" s="389">
        <f>ROUND(BS564/BS611,2)</f>
        <v>0</v>
      </c>
      <c r="BT615" s="61" t="str">
        <f>IF(ISERROR((BS615/BK615-1)*100),"NA",IF(((BS615/BK615-1)*100)&gt;100,"NM",IF(((BS615/BK615-1)*100)&lt;-50,"NM",(BS615/BK615-1)*100)))</f>
        <v>NA</v>
      </c>
      <c r="BU615" s="389">
        <f>ROUND(BU564/BU611,2)</f>
        <v>0</v>
      </c>
      <c r="BV615" s="61" t="str">
        <f>IF(ISERROR((BU615/BM615-1)*100),"NA",IF(((BU615/BM615-1)*100)&gt;100,"NM",IF(((BU615/BM615-1)*100)&lt;-50,"NM",(BU615/BM615-1)*100)))</f>
        <v>NA</v>
      </c>
      <c r="BW615" s="389">
        <f>ROUND(BW564/BW611,2)</f>
        <v>0</v>
      </c>
      <c r="BX615" s="61" t="str">
        <f t="shared" si="3441"/>
        <v>NA</v>
      </c>
      <c r="BY615" s="389">
        <f>ROUND(BY564/BY611,2)</f>
        <v>0</v>
      </c>
      <c r="BZ615" s="61" t="str">
        <f>IF(ISERROR((BY615/BQ615-1)*100),"NA",IF(((BY615/BQ615-1)*100)&gt;100,"NM",IF(((BY615/BQ615-1)*100)&lt;-50,"NM",(BY615/BQ615-1)*100)))</f>
        <v>NA</v>
      </c>
      <c r="CA615" s="389">
        <f>ROUND(CA564/CA611,2)</f>
        <v>0</v>
      </c>
      <c r="CB615" s="61" t="str">
        <f>IF(ISERROR((CA615/BS615-1)*100),"NA",IF(((CA615/BS615-1)*100)&gt;100,"NM",IF(((CA615/BS615-1)*100)&lt;-50,"NM",(CA615/BS615-1)*100)))</f>
        <v>NA</v>
      </c>
      <c r="CC615" s="389">
        <f>ROUND(CC564/CC611,2)</f>
        <v>0</v>
      </c>
      <c r="CD615" s="61" t="str">
        <f>IF(ISERROR((CC615/BU615-1)*100),"NA",IF(((CC615/BU615-1)*100)&gt;100,"NM",IF(((CC615/BU615-1)*100)&lt;-50,"NM",(CC615/BU615-1)*100)))</f>
        <v>NA</v>
      </c>
      <c r="CE615" s="389">
        <f>ROUND(CE564/CE611,2)</f>
        <v>0</v>
      </c>
      <c r="CF615" s="61" t="str">
        <f>IF(ISERROR((CE615/BW615-1)*100),"NA",IF(((CE615/BW615-1)*100)&gt;100,"NM",IF(((CE615/BW615-1)*100)&lt;-50,"NM",(CE615/BW615-1)*100)))</f>
        <v>NA</v>
      </c>
      <c r="CG615" s="389">
        <f>ROUND(CG564/CG611,2)</f>
        <v>0</v>
      </c>
      <c r="CH615" s="61" t="str">
        <f>IF(ISERROR((CG615/BY615-1)*100),"NA",IF(((CG615/BY615-1)*100)&gt;100,"NM",IF(((CG615/BY615-1)*100)&lt;-50,"NM",(CG615/BY615-1)*100)))</f>
        <v>NA</v>
      </c>
      <c r="CI615" s="389">
        <f>ROUND(CI564/CI611,2)</f>
        <v>0</v>
      </c>
      <c r="CJ615" s="61" t="str">
        <f>IF(ISERROR((CI615/CA615-1)*100),"NA",IF(((CI615/CA615-1)*100)&gt;100,"NM",IF(((CI615/CA615-1)*100)&lt;-50,"NM",(CI615/CA615-1)*100)))</f>
        <v>NA</v>
      </c>
      <c r="CK615" s="389">
        <f>ROUND(CK564/CK611,2)</f>
        <v>0</v>
      </c>
      <c r="CL615" s="61" t="str">
        <f>IF(ISERROR((CK615/CC615-1)*100),"NA",IF(((CK615/CC615-1)*100)&gt;100,"NM",IF(((CK615/CC615-1)*100)&lt;-50,"NM",(CK615/CC615-1)*100)))</f>
        <v>NA</v>
      </c>
      <c r="CM615" s="389">
        <f>ROUND(CM564/CM611,2)</f>
        <v>0</v>
      </c>
      <c r="CN615" s="61" t="str">
        <f>IF(ISERROR((CM615/CE615-1)*100),"NA",IF(((CM615/CE615-1)*100)&gt;100,"NM",IF(((CM615/CE615-1)*100)&lt;-50,"NM",(CM615/CE615-1)*100)))</f>
        <v>NA</v>
      </c>
      <c r="CO615" s="389">
        <f>ROUND(CO564/CO611,2)</f>
        <v>0</v>
      </c>
      <c r="CP615" s="61" t="str">
        <f>IF(ISERROR((CO615/CG615-1)*100),"NA",IF(((CO615/CG615-1)*100)&gt;100,"NM",IF(((CO615/CG615-1)*100)&lt;-50,"NM",(CO615/CG615-1)*100)))</f>
        <v>NA</v>
      </c>
      <c r="CQ615" s="389">
        <f>ROUND(CQ564/CQ611,2)</f>
        <v>0</v>
      </c>
      <c r="CR615" s="61" t="str">
        <f>IF(ISERROR((CQ615/CI615-1)*100),"NA",IF(((CQ615/CI615-1)*100)&gt;100,"NM",IF(((CQ615/CI615-1)*100)&lt;-50,"NM",(CQ615/CI615-1)*100)))</f>
        <v>NA</v>
      </c>
      <c r="CS615" s="389">
        <f>ROUND(CS564/CS611,2)</f>
        <v>0</v>
      </c>
      <c r="CT615" s="61" t="str">
        <f>IF(ISERROR((CS615/CK615-1)*100),"NA",IF(((CS615/CK615-1)*100)&gt;100,"NM",IF(((CS615/CK615-1)*100)&lt;-50,"NM",(CS615/CK615-1)*100)))</f>
        <v>NA</v>
      </c>
      <c r="CU615" s="389">
        <f>ROUND(CU564/CU611,2)</f>
        <v>0</v>
      </c>
      <c r="CV615" s="61" t="str">
        <f>IF(ISERROR((CU615/CM615-1)*100),"NA",IF(((CU615/CM615-1)*100)&gt;100,"NM",IF(((CU615/CM615-1)*100)&lt;-50,"NM",(CU615/CM615-1)*100)))</f>
        <v>NA</v>
      </c>
      <c r="CW615" s="389">
        <f>ROUND(CW564/CW611,2)</f>
        <v>0</v>
      </c>
      <c r="CX615" s="61" t="str">
        <f>IF(ISERROR((CW615/CO615-1)*100),"NA",IF(((CW615/CO615-1)*100)&gt;100,"NM",IF(((CW615/CO615-1)*100)&lt;-50,"NM",(CW615/CO615-1)*100)))</f>
        <v>NA</v>
      </c>
      <c r="CY615" s="389">
        <f>ROUND(CY564/CY611,2)</f>
        <v>0</v>
      </c>
      <c r="CZ615" s="61" t="str">
        <f>IF(ISERROR((CY615/CQ615-1)*100),"NA",IF(((CY615/CQ615-1)*100)&gt;100,"NM",IF(((CY615/CQ615-1)*100)&lt;-50,"NM",(CY615/CQ615-1)*100)))</f>
        <v>NA</v>
      </c>
      <c r="DA615" s="389">
        <f>ROUND(DA564/DA611,2)</f>
        <v>0</v>
      </c>
      <c r="DB615" s="61" t="str">
        <f>IF(ISERROR((DA615/CS615-1)*100),"NA",IF(((DA615/CS615-1)*100)&gt;100,"NM",IF(((DA615/CS615-1)*100)&lt;-50,"NM",(DA615/CS615-1)*100)))</f>
        <v>NA</v>
      </c>
      <c r="DC615" s="389">
        <f>ROUND(DC564/DC611,2)</f>
        <v>0</v>
      </c>
      <c r="DD615" s="61" t="str">
        <f>IF(ISERROR((DC615/CU615-1)*100),"NA",IF(((DC615/CU615-1)*100)&gt;100,"NM",IF(((DC615/CU615-1)*100)&lt;-50,"NM",(DC615/CU615-1)*100)))</f>
        <v>NA</v>
      </c>
      <c r="DE615" s="389">
        <f>ROUND(DE564/DE611,2)</f>
        <v>0</v>
      </c>
      <c r="DF615" s="61" t="str">
        <f>IF(ISERROR((DE615/CW615-1)*100),"NA",IF(((DE615/CW615-1)*100)&gt;100,"NM",IF(((DE615/CW615-1)*100)&lt;-50,"NM",(DE615/CW615-1)*100)))</f>
        <v>NA</v>
      </c>
      <c r="DG615" s="389">
        <f>ROUND(DG564/DG611,2)</f>
        <v>0</v>
      </c>
      <c r="DH615" s="61" t="str">
        <f>IF(ISERROR((DG615/CY615-1)*100),"NA",IF(((DG615/CY615-1)*100)&gt;100,"NM",IF(((DG615/CY615-1)*100)&lt;-50,"NM",(DG615/CY615-1)*100)))</f>
        <v>NA</v>
      </c>
      <c r="DI615" s="389">
        <f>ROUND(DI564/DI611,2)</f>
        <v>0</v>
      </c>
      <c r="DJ615" s="61" t="str">
        <f>IF(ISERROR((DI615/DA615-1)*100),"NA",IF(((DI615/DA615-1)*100)&gt;100,"NM",IF(((DI615/DA615-1)*100)&lt;-50,"NM",(DI615/DA615-1)*100)))</f>
        <v>NA</v>
      </c>
      <c r="DK615" s="389">
        <f>ROUND(DK564/DK611,2)</f>
        <v>0</v>
      </c>
      <c r="DL615" s="61" t="str">
        <f>IF(ISERROR((DK615/DC615-1)*100),"NA",IF(((DK615/DC615-1)*100)&gt;100,"NM",IF(((DK615/DC615-1)*100)&lt;-50,"NM",(DK615/DC615-1)*100)))</f>
        <v>NA</v>
      </c>
      <c r="DM615" s="389">
        <f>ROUND(DM564/DM611,2)</f>
        <v>0</v>
      </c>
      <c r="DN615" s="130" t="str">
        <f t="shared" si="3514"/>
        <v>NA</v>
      </c>
      <c r="DO615" s="389">
        <f>ROUND(DO564/DO611,2)</f>
        <v>0</v>
      </c>
      <c r="DP615" s="130" t="str">
        <f t="shared" si="3514"/>
        <v>NA</v>
      </c>
      <c r="DQ615" s="389">
        <f>ROUND(DQ564/DQ611,2)</f>
        <v>0</v>
      </c>
      <c r="DR615" s="130" t="str">
        <f t="shared" si="3514"/>
        <v>NA</v>
      </c>
      <c r="DS615" s="389">
        <f>ROUND(DS564/DS611,2)</f>
        <v>0</v>
      </c>
      <c r="DT615" s="130" t="str">
        <f t="shared" si="3514"/>
        <v>NA</v>
      </c>
      <c r="DU615" s="389">
        <f>ROUND(DU564/DU611,2)</f>
        <v>0</v>
      </c>
      <c r="DV615" s="130" t="str">
        <f t="shared" si="3514"/>
        <v>NA</v>
      </c>
      <c r="DW615" s="389">
        <f>ROUND(DW564/DW611,2)</f>
        <v>0</v>
      </c>
      <c r="DX615" s="389">
        <f t="shared" ref="DX615:DY615" si="3529">ROUND(DX564/DX611,2)</f>
        <v>0</v>
      </c>
      <c r="DY615" s="389">
        <f t="shared" si="3529"/>
        <v>0</v>
      </c>
      <c r="DZ615" s="130" t="str">
        <f t="shared" si="3514"/>
        <v>NA</v>
      </c>
      <c r="EA615" s="389">
        <f t="shared" ref="EA615:EC615" si="3530">ROUND(EA564/EA611,2)</f>
        <v>0</v>
      </c>
      <c r="EB615" s="130" t="str">
        <f t="shared" si="3516"/>
        <v>NA</v>
      </c>
      <c r="EC615" s="389">
        <f t="shared" si="3530"/>
        <v>0</v>
      </c>
      <c r="ED615" s="130" t="str">
        <f t="shared" si="3517"/>
        <v>NA</v>
      </c>
      <c r="EE615" s="389">
        <f t="shared" ref="EE615:EG615" si="3531">ROUND(EE564/EE611,2)</f>
        <v>0</v>
      </c>
      <c r="EF615" s="130" t="str">
        <f t="shared" si="3518"/>
        <v>NA</v>
      </c>
      <c r="EG615" s="389">
        <f t="shared" si="3531"/>
        <v>0</v>
      </c>
      <c r="EH615" s="130" t="str">
        <f t="shared" si="3519"/>
        <v>NA</v>
      </c>
      <c r="EI615" s="389">
        <f t="shared" ref="EI615:EK615" si="3532">ROUND(EI564/EI611,2)</f>
        <v>0</v>
      </c>
      <c r="EJ615" s="130" t="str">
        <f t="shared" si="3520"/>
        <v>NA</v>
      </c>
      <c r="EK615" s="389">
        <f t="shared" si="3532"/>
        <v>0</v>
      </c>
      <c r="EL615" s="130" t="str">
        <f t="shared" si="3521"/>
        <v>NA</v>
      </c>
      <c r="EM615" s="389">
        <f t="shared" ref="EM615" si="3533">ROUND(EM564/EM611,2)</f>
        <v>0</v>
      </c>
      <c r="EN615" s="130" t="str">
        <f t="shared" si="3522"/>
        <v>NA</v>
      </c>
      <c r="EO615" s="389">
        <f t="shared" ref="EO615" si="3534">ROUND(EO564/EO611,2)</f>
        <v>0</v>
      </c>
      <c r="EP615" s="130" t="str">
        <f t="shared" si="3523"/>
        <v>NA</v>
      </c>
      <c r="EQ615" s="389">
        <f t="shared" ref="EQ615:EW615" si="3535">ROUND(EQ564/EQ611,2)</f>
        <v>0</v>
      </c>
      <c r="ER615" s="130" t="str">
        <f t="shared" si="3525"/>
        <v>NA</v>
      </c>
      <c r="ES615" s="389">
        <f t="shared" si="3535"/>
        <v>0</v>
      </c>
      <c r="ET615" s="130" t="str">
        <f t="shared" si="3526"/>
        <v>NA</v>
      </c>
      <c r="EU615" s="389">
        <f t="shared" si="3535"/>
        <v>0</v>
      </c>
      <c r="EV615" s="130" t="str">
        <f t="shared" si="3527"/>
        <v>NA</v>
      </c>
      <c r="EW615" s="389">
        <f t="shared" si="3535"/>
        <v>0</v>
      </c>
      <c r="EX615" s="130" t="str">
        <f t="shared" si="3528"/>
        <v>NA</v>
      </c>
      <c r="EY615" s="64"/>
      <c r="EZ615" s="558"/>
      <c r="FA615" s="64"/>
      <c r="FB615" s="161">
        <f>FB564/FB611</f>
        <v>-9.8379444598845511E-2</v>
      </c>
      <c r="FC615" s="71"/>
      <c r="FD615" s="161">
        <f>FD564/FD611</f>
        <v>-3.2435129740518959E-2</v>
      </c>
      <c r="FE615" s="70" t="str">
        <f>IF(ISERROR((FD615/FB615-1)*100),"NA",IF(((FD615/FB615-1)*100)&gt;100,"NM",IF(((FD615/FB615-1)*100)&lt;-50,"NM",(FD615/FB615-1)*100)))</f>
        <v>NM</v>
      </c>
      <c r="FF615" s="161">
        <f>C615+E615+G615+I615</f>
        <v>-0.41000000000000003</v>
      </c>
      <c r="FG615" s="70" t="str">
        <f>IF(ISERROR((FF615/FD615-1)*100),"NA",IF(((FF615/FD615-1)*100)&gt;100,"NM",IF(((FF615/FD615-1)*100)&lt;-50,"NM",(FF615/FD615-1)*100)))</f>
        <v>NM</v>
      </c>
      <c r="FH615" s="161">
        <f>K615+M615+O615+Q615</f>
        <v>-0.11000000000000001</v>
      </c>
      <c r="FI615" s="70" t="str">
        <f>IF(ISERROR((FH615/FF615-1)*100),"NA",IF(((FH615/FF615-1)*100)&gt;100,"NM",IF(((FH615/FF615-1)*100)&lt;-50,"NM",(FH615/FF615-1)*100)))</f>
        <v>NM</v>
      </c>
      <c r="FJ615" s="366">
        <f>S615+U615+W615+Y615</f>
        <v>-1.1300000000000001</v>
      </c>
      <c r="FK615" s="70" t="str">
        <f>IF(ISERROR((FJ615/FH615-1)*100),"NA",IF(((FJ615/FH615-1)*100)&gt;100,"NM",IF(((FJ615/FH615-1)*100)&lt;-50,"NM",(FJ615/FH615-1)*100)))</f>
        <v>NM</v>
      </c>
      <c r="FL615" s="366">
        <f>AA615+AC615+AE615+AG615</f>
        <v>-0.54</v>
      </c>
      <c r="FM615" s="61" t="str">
        <f>IF(ISERROR((FL615/FJ615-1)*100),"NA",IF(((FL615/FJ615-1)*100)&gt;100,"NM",IF(((FL615/FJ615-1)*100)&lt;-50,"NM",(FL615/FJ615-1)*100)))</f>
        <v>NM</v>
      </c>
      <c r="FN615" s="366">
        <f>AI615+AK615+AM615+AO615</f>
        <v>-0.13999999999999999</v>
      </c>
      <c r="FO615" s="61" t="str">
        <f>IF(ISERROR((FN615/FL615-1)*100),"NA",IF(((FN615/FL615-1)*100)&gt;100,"NM",IF(((FN615/FL615-1)*100)&lt;-50,"NM",(FN615/FL615-1)*100)))</f>
        <v>NM</v>
      </c>
      <c r="FP615" s="390">
        <f>AQ615+AS615+AU615+AW615</f>
        <v>0</v>
      </c>
      <c r="FQ615" s="61" t="str">
        <f t="shared" si="3354"/>
        <v>NM</v>
      </c>
      <c r="FR615" s="390">
        <f>AY615+BA615+BC615+BE615</f>
        <v>0</v>
      </c>
      <c r="FS615" s="61" t="str">
        <f>IF(ISERROR((FR615/FP615-1)*100),"NA",IF(((FR615/FP615-1)*100)&gt;100,"NM",IF(((FR615/FP615-1)*100)&lt;-50,"NM",(FR615/FP615-1)*100)))</f>
        <v>NA</v>
      </c>
      <c r="FT615" s="390">
        <f>BG615+BI615+BK615+BM615</f>
        <v>0</v>
      </c>
      <c r="FU615" s="61" t="str">
        <f>IF(ISERROR((FT615/FR615-1)*100),"NA",IF(((FT615/FR615-1)*100)&gt;100,"NM",IF(((FT615/FR615-1)*100)&lt;-50,"NM",(FT615/FR615-1)*100)))</f>
        <v>NA</v>
      </c>
      <c r="FV615" s="389">
        <f>ROUND(FV564/FV611,2)</f>
        <v>0</v>
      </c>
      <c r="FW615" s="61" t="str">
        <f>IF(ISERROR((FV615/FT615-1)*100),"NA",IF(((FV615/FT615-1)*100)&gt;100,"NM",IF(((FV615/FT615-1)*100)&lt;-50,"NM",(FV615/FT615-1)*100)))</f>
        <v>NA</v>
      </c>
      <c r="FX615" s="389">
        <f>ROUND(FX564/FX611,2)</f>
        <v>0</v>
      </c>
      <c r="FY615" s="61" t="str">
        <f>IF(ISERROR((FX615/FV615-1)*100),"NA",IF(((FX615/FV615-1)*100)&gt;100,"NM",IF(((FX615/FV615-1)*100)&lt;-50,"NM",(FX615/FV615-1)*100)))</f>
        <v>NA</v>
      </c>
      <c r="FZ615" s="389">
        <f>ROUND(FZ564/FZ611,2)</f>
        <v>0</v>
      </c>
      <c r="GA615" s="61" t="str">
        <f>IF(ISERROR((FZ615/FX615-1)*100),"NA",IF(((FZ615/FX615-1)*100)&gt;100,"NM",IF(((FZ615/FX615-1)*100)&lt;-50,"NM",(FZ615/FX615-1)*100)))</f>
        <v>NA</v>
      </c>
      <c r="GB615" s="389">
        <f>ROUND(GB564/GB611,2)</f>
        <v>0</v>
      </c>
      <c r="GC615" s="61" t="str">
        <f>IF(ISERROR((GB615/FZ615-1)*100),"NA",IF(((GB615/FZ615-1)*100)&gt;100,"NM",IF(((GB615/FZ615-1)*100)&lt;-50,"NM",(GB615/FZ615-1)*100)))</f>
        <v>NA</v>
      </c>
      <c r="GD615" s="389">
        <f>ROUND(GD564/GD611,2)</f>
        <v>0</v>
      </c>
      <c r="GE615" s="61" t="str">
        <f>IF(ISERROR((GD615/GB615-1)*100),"NA",IF(((GD615/GB615-1)*100)&gt;100,"NM",IF(((GD615/GB615-1)*100)&lt;-50,"NM",(GD615/GB615-1)*100)))</f>
        <v>NA</v>
      </c>
      <c r="GF615" s="389">
        <f>ROUND(GF564/GF611,2)</f>
        <v>0</v>
      </c>
      <c r="GG615" s="61" t="str">
        <f>IF(ISERROR((GF615/GD615-1)*100),"NA",IF(((GF615/GD615-1)*100)&gt;100,"NM",IF(((GF615/GD615-1)*100)&lt;-50,"NM",(GF615/GD615-1)*100)))</f>
        <v>NA</v>
      </c>
      <c r="GH615" s="389">
        <f>ROUND(GH564/GH611,2)</f>
        <v>0</v>
      </c>
      <c r="GI615" s="61" t="str">
        <f>IF(ISERROR((GH615/GF615-1)*100),"NA",IF(((GH615/GF615-1)*100)&gt;100,"NM",IF(((GH615/GF615-1)*100)&lt;-50,"NM",(GH615/GF615-1)*100)))</f>
        <v>NA</v>
      </c>
      <c r="GJ615" s="389">
        <f>ROUND(GJ564/GJ611,2)</f>
        <v>0</v>
      </c>
      <c r="GK615" s="61" t="str">
        <f>IF(ISERROR((GJ615/GH615-1)*100),"NA",IF(((GJ615/GH615-1)*100)&gt;100,"NM",IF(((GJ615/GH615-1)*100)&lt;-50,"NM",(GJ615/GH615-1)*100)))</f>
        <v>NA</v>
      </c>
      <c r="GL615" s="389">
        <f>ROUND(GL564/GL611,2)</f>
        <v>0</v>
      </c>
      <c r="GM615" s="61" t="str">
        <f>IF(ISERROR((GL615/GJ615-1)*100),"NA",IF(((GL615/GJ615-1)*100)&gt;100,"NM",IF(((GL615/GJ615-1)*100)&lt;-50,"NM",(GL615/GJ615-1)*100)))</f>
        <v>NA</v>
      </c>
      <c r="GN615" s="389">
        <f>ROUND(GN564/GN611,2)</f>
        <v>0</v>
      </c>
      <c r="GO615" s="61" t="str">
        <f>IF(ISERROR((GN615/GL615-1)*100),"NA",IF(((GN615/GL615-1)*100)&gt;100,"NM",IF(((GN615/GL615-1)*100)&lt;-50,"NM",(GN615/GL615-1)*100)))</f>
        <v>NA</v>
      </c>
      <c r="GP615" s="389">
        <f>ROUND(GP564/GP611,2)</f>
        <v>0</v>
      </c>
      <c r="GQ615" s="61" t="str">
        <f>IF(ISERROR((GP615/GN615-1)*100),"NA",IF(((GP615/GN615-1)*100)&gt;100,"NM",IF(((GP615/GN615-1)*100)&lt;-50,"NM",(GP615/GN615-1)*100)))</f>
        <v>NA</v>
      </c>
      <c r="GR615" s="389">
        <f>GR564/GR611</f>
        <v>0</v>
      </c>
      <c r="GS615" s="61" t="str">
        <f>IF(ISERROR((GR615/GP615-1)*100),"NA",IF(((GR615/GP615-1)*100)&gt;100,"NM",IF(((GR615/GP615-1)*100)&lt;-50,"NM",(GR615/GP615-1)*100)))</f>
        <v>NA</v>
      </c>
      <c r="GT615" s="389">
        <f>GT564/GT611</f>
        <v>0</v>
      </c>
      <c r="GU615" s="61" t="str">
        <f>IF(ISERROR((GT615/GR615-1)*100),"NA",IF(((GT615/GR615-1)*100)&gt;100,"NM",IF(((GT615/GR615-1)*100)&lt;-50,"NM",(GT615/GR615-1)*100)))</f>
        <v>NA</v>
      </c>
      <c r="GV615" s="389">
        <f>GV564/GV611</f>
        <v>0</v>
      </c>
      <c r="GW615" s="61" t="str">
        <f>IF(ISERROR((GV615/GT615-1)*100),"NA",IF(((GV615/GT615-1)*100)&gt;100,"NM",IF(((GV615/GT615-1)*100)&lt;-50,"NM",(GV615/GT615-1)*100)))</f>
        <v>NA</v>
      </c>
      <c r="GX615" s="389">
        <f>GX564/GX611</f>
        <v>0</v>
      </c>
      <c r="GY615" s="61" t="str">
        <f>IF(ISERROR((GX615/GV615-1)*100),"NA",IF(((GX615/GV615-1)*100)&gt;100,"NM",IF(((GX615/GV615-1)*100)&lt;-50,"NM",(GX615/GV615-1)*100)))</f>
        <v>NA</v>
      </c>
      <c r="GZ615" s="61" t="str">
        <f t="shared" si="3427"/>
        <v/>
      </c>
      <c r="HA615" s="61"/>
      <c r="HB615" s="452"/>
      <c r="HC615"/>
      <c r="HD615"/>
      <c r="HE615"/>
      <c r="HF615"/>
      <c r="HG615"/>
      <c r="HH615"/>
    </row>
    <row r="616" spans="1:216" s="5" customFormat="1" ht="12.75" customHeight="1" x14ac:dyDescent="0.2">
      <c r="B616" s="7" t="s">
        <v>269</v>
      </c>
      <c r="C616" s="389">
        <f>ROUND(C546/C611,2)</f>
        <v>0</v>
      </c>
      <c r="D616" s="70"/>
      <c r="E616" s="389">
        <f>ROUND(E546/E611,2)</f>
        <v>-0.03</v>
      </c>
      <c r="F616" s="71"/>
      <c r="G616" s="389">
        <f>ROUND(G546/G611,2)</f>
        <v>-0.06</v>
      </c>
      <c r="H616" s="71"/>
      <c r="I616" s="389">
        <f>ROUND(I546/I611,2)</f>
        <v>0.01</v>
      </c>
      <c r="J616" s="71"/>
      <c r="K616" s="389">
        <f>ROUND(K546/K611,2)</f>
        <v>-7.0000000000000007E-2</v>
      </c>
      <c r="L616" s="61" t="str">
        <f>IF(ISERROR((K616/C616-1)*100),"NA",IF(((K616/C616-1)*100)&gt;100,"NM",IF(((K616/C616-1)*100)&lt;-50,"NM",(K616/C616-1)*100)))</f>
        <v>NA</v>
      </c>
      <c r="M616" s="389">
        <f>ROUND(M546/M611,2)</f>
        <v>-0.06</v>
      </c>
      <c r="N616" s="61">
        <f>IF(ISERROR((M616/E616-1)*100),"NA",IF(((M616/E616-1)*100)&gt;100,"NM",IF(((M616/E616-1)*100)&lt;-50,"NM",(M616/E616-1)*100)))</f>
        <v>100</v>
      </c>
      <c r="O616" s="389">
        <f>ROUND(O546/O611,2)</f>
        <v>-0.12</v>
      </c>
      <c r="P616" s="61">
        <f>IF(ISERROR((O616/G616-1)*100),"NA",IF(((O616/G616-1)*100)&gt;100,"NM",IF(((O616/G616-1)*100)&lt;-50,"NM",(O616/G616-1)*100)))</f>
        <v>100</v>
      </c>
      <c r="Q616" s="389">
        <f>ROUND(Q546/Q611,2)</f>
        <v>-0.1</v>
      </c>
      <c r="R616" s="61" t="str">
        <f>IF(ISERROR((Q616/I616-1)*100),"NA",IF(((Q616/I616-1)*100)&gt;100,"NM",IF(((Q616/I616-1)*100)&lt;-50,"NM",(Q616/I616-1)*100)))</f>
        <v>NM</v>
      </c>
      <c r="S616" s="389">
        <f>ROUND(S546/S611,2)</f>
        <v>-0.36</v>
      </c>
      <c r="T616" s="61" t="str">
        <f>IF(ISERROR((S616/K616-1)*100),"NA",IF(((S616/K616-1)*100)&gt;100,"NM",IF(((S616/K616-1)*100)&lt;-50,"NM",(S616/K616-1)*100)))</f>
        <v>NM</v>
      </c>
      <c r="U616" s="389">
        <f>ROUND(U546/U611,2)</f>
        <v>-0.28000000000000003</v>
      </c>
      <c r="V616" s="61" t="str">
        <f>IF(ISERROR((U616/M616-1)*100),"NA",IF(((U616/M616-1)*100)&gt;100,"NM",IF(((U616/M616-1)*100)&lt;-50,"NM",(U616/M616-1)*100)))</f>
        <v>NM</v>
      </c>
      <c r="W616" s="389">
        <f>ROUND(W546/W611,2)</f>
        <v>-0.13</v>
      </c>
      <c r="X616" s="61">
        <f>IF(ISERROR((W616/O616-1)*100),"NA",IF(((W616/O616-1)*100)&gt;100,"NM",IF(((W616/O616-1)*100)&lt;-50,"NM",(W616/O616-1)*100)))</f>
        <v>8.3333333333333481</v>
      </c>
      <c r="Y616" s="389">
        <f>ROUND(Y546/Y611,2)</f>
        <v>-0.19</v>
      </c>
      <c r="Z616" s="61">
        <f>IF(ISERROR((Y616/Q616-1)*100),"NA",IF(((Y616/Q616-1)*100)&gt;100,"NM",IF(((Y616/Q616-1)*100)&lt;-50,"NM",(Y616/Q616-1)*100)))</f>
        <v>89.999999999999986</v>
      </c>
      <c r="AA616" s="389">
        <f>ROUND(AA546/AA611,2)</f>
        <v>-0.33</v>
      </c>
      <c r="AB616" s="61">
        <f>IF(ISERROR((AA616/S616-1)*100),"NA",IF(((AA616/S616-1)*100)&gt;100,"NM",IF(((AA616/S616-1)*100)&lt;-50,"NM",(AA616/S616-1)*100)))</f>
        <v>-8.333333333333325</v>
      </c>
      <c r="AC616" s="389">
        <f>ROUND(AC546/AC611,2)</f>
        <v>-0.01</v>
      </c>
      <c r="AD616" s="61" t="str">
        <f>IF(ISERROR((AC616/U616-1)*100),"NA",IF(((AC616/U616-1)*100)&gt;100,"NM",IF(((AC616/U616-1)*100)&lt;-50,"NM",(AC616/U616-1)*100)))</f>
        <v>NM</v>
      </c>
      <c r="AE616" s="389">
        <f>ROUND(AE546/AE611,2)</f>
        <v>0.04</v>
      </c>
      <c r="AF616" s="61" t="str">
        <f>IF(ISERROR((AE616/W616-1)*100),"NA",IF(((AE616/W616-1)*100)&gt;100,"NM",IF(((AE616/W616-1)*100)&lt;-50,"NM",(AE616/W616-1)*100)))</f>
        <v>NM</v>
      </c>
      <c r="AG616" s="389">
        <f>ROUND(AG546/AG611,2)</f>
        <v>0.23</v>
      </c>
      <c r="AH616" s="61" t="str">
        <f>IF(ISERROR((AG616/Y616-1)*100),"NA",IF(((AG616/Y616-1)*100)&gt;100,"NM",IF(((AG616/Y616-1)*100)&lt;-50,"NM",(AG616/Y616-1)*100)))</f>
        <v>NM</v>
      </c>
      <c r="AI616" s="389">
        <f>ROUND(AI546/AI611,2)</f>
        <v>-0.04</v>
      </c>
      <c r="AJ616" s="61" t="str">
        <f>IF(ISERROR((AI616/AA616-1)*100),"NA",IF(((AI616/AA616-1)*100)&gt;100,"NM",IF(((AI616/AA616-1)*100)&lt;-50,"NM",(AI616/AA616-1)*100)))</f>
        <v>NM</v>
      </c>
      <c r="AK616" s="389">
        <f>ROUND(AK546/AK611,2)</f>
        <v>-0.06</v>
      </c>
      <c r="AL616" s="61" t="str">
        <f>IF(ISERROR((AK616/AC616-1)*100),"NA",IF(((AK616/AC616-1)*100)&gt;100,"NM",IF(((AK616/AC616-1)*100)&lt;-50,"NM",(AK616/AC616-1)*100)))</f>
        <v>NM</v>
      </c>
      <c r="AM616" s="389">
        <f>ROUND(AM546/AM611,2)</f>
        <v>0.18</v>
      </c>
      <c r="AN616" s="61" t="str">
        <f>IF(ISERROR((AM616/AE616-1)*100),"NA",IF(((AM616/AE616-1)*100)&gt;100,"NM",IF(((AM616/AE616-1)*100)&lt;-50,"NM",(AM616/AE616-1)*100)))</f>
        <v>NM</v>
      </c>
      <c r="AO616" s="389">
        <f>ROUND(AO546/AO611,2)</f>
        <v>0.02</v>
      </c>
      <c r="AP616" s="61" t="str">
        <f>IF(ISERROR((AO616/AG616-1)*100),"NA",IF(((AO616/AG616-1)*100)&gt;100,"NM",IF(((AO616/AG616-1)*100)&lt;-50,"NM",(AO616/AG616-1)*100)))</f>
        <v>NM</v>
      </c>
      <c r="AQ616" s="389">
        <f>ROUND(AQ546/AQ611,2)</f>
        <v>-0.03</v>
      </c>
      <c r="AR616" s="61">
        <f>IF(ISERROR((AQ616/AI616-1)*100),"NA",IF(((AQ616/AI616-1)*100)&gt;100,"NM",IF(((AQ616/AI616-1)*100)&lt;-50,"NM",(AQ616/AI616-1)*100)))</f>
        <v>-25</v>
      </c>
      <c r="AS616" s="389">
        <f>ROUND(AS546/AS611,2)</f>
        <v>-0.02</v>
      </c>
      <c r="AT616" s="61" t="str">
        <f>IF(ISERROR((AS616/AK616-1)*100),"NA",IF(((AS616/AK616-1)*100)&gt;100,"NM",IF(((AS616/AK616-1)*100)&lt;-50,"NM",(AS616/AK616-1)*100)))</f>
        <v>NM</v>
      </c>
      <c r="AU616" s="389">
        <f>ROUND(AU546/AU611,2)</f>
        <v>-0.01</v>
      </c>
      <c r="AV616" s="61" t="str">
        <f>IF(ISERROR((AU616/AM616-1)*100),"NA",IF(((AU616/AM616-1)*100)&gt;100,"NM",IF(((AU616/AM616-1)*100)&lt;-50,"NM",(AU616/AM616-1)*100)))</f>
        <v>NM</v>
      </c>
      <c r="AW616" s="389">
        <f>ROUND(AW546/AW611,2)</f>
        <v>-0.03</v>
      </c>
      <c r="AX616" s="61" t="str">
        <f>IF(ISERROR((AW616/AO616-1)*100),"NA",IF(((AW616/AO616-1)*100)&gt;100,"NM",IF(((AW616/AO616-1)*100)&lt;-50,"NM",(AW616/AO616-1)*100)))</f>
        <v>NM</v>
      </c>
      <c r="AY616" s="389">
        <f>ROUND(AY546/AY611,2)</f>
        <v>-0.02</v>
      </c>
      <c r="AZ616" s="61">
        <f>IF(ISERROR((AY616/AQ616-1)*100),"NA",IF(((AY616/AQ616-1)*100)&gt;100,"NM",IF(((AY616/AQ616-1)*100)&lt;-50,"NM",(AY616/AQ616-1)*100)))</f>
        <v>-33.333333333333329</v>
      </c>
      <c r="BA616" s="389">
        <f>ROUND(BA546/BA611,2)</f>
        <v>-0.01</v>
      </c>
      <c r="BB616" s="61">
        <f t="shared" si="3344"/>
        <v>-50</v>
      </c>
      <c r="BC616" s="389">
        <f>ROUND(BC546/BC611,2)</f>
        <v>-0.02</v>
      </c>
      <c r="BD616" s="61">
        <f t="shared" si="3345"/>
        <v>100</v>
      </c>
      <c r="BE616" s="389">
        <f>ROUND(BE546/BE611,2)</f>
        <v>0.03</v>
      </c>
      <c r="BF616" s="61" t="str">
        <f t="shared" si="3346"/>
        <v>NM</v>
      </c>
      <c r="BG616" s="389">
        <f>ROUND(BG546/BG611,2)</f>
        <v>0.08</v>
      </c>
      <c r="BH616" s="61" t="str">
        <f>IF(ISERROR((BG616/AY616-1)*100),"NA",IF(((BG616/AY616-1)*100)&gt;100,"NM",IF(((BG616/AY616-1)*100)&lt;-50,"NM",(BG616/AY616-1)*100)))</f>
        <v>NM</v>
      </c>
      <c r="BI616" s="389">
        <f>ROUND(BI546/BI611,2)</f>
        <v>0.01</v>
      </c>
      <c r="BJ616" s="61" t="str">
        <f>IF(ISERROR((BI616/BA616-1)*100),"NA",IF(((BI616/BA616-1)*100)&gt;100,"NM",IF(((BI616/BA616-1)*100)&lt;-50,"NM",(BI616/BA616-1)*100)))</f>
        <v>NM</v>
      </c>
      <c r="BK616" s="389">
        <f>ROUND(BK546/BK611,2)</f>
        <v>-0.16</v>
      </c>
      <c r="BL616" s="61" t="str">
        <f>IF(ISERROR((BK616/BC616-1)*100),"NA",IF(((BK616/BC616-1)*100)&gt;100,"NM",IF(((BK616/BC616-1)*100)&lt;-50,"NM",(BK616/BC616-1)*100)))</f>
        <v>NM</v>
      </c>
      <c r="BM616" s="389">
        <f>ROUND(BM546/BM611,2)</f>
        <v>-0.38</v>
      </c>
      <c r="BN616" s="61" t="str">
        <f>IF(ISERROR((BM616/BE616-1)*100),"NA",IF(((BM616/BE616-1)*100)&gt;100,"NM",IF(((BM616/BE616-1)*100)&lt;-50,"NM",(BM616/BE616-1)*100)))</f>
        <v>NM</v>
      </c>
      <c r="BO616" s="389">
        <f>ROUND(BO546/BO611,2)</f>
        <v>-0.11</v>
      </c>
      <c r="BP616" s="61" t="str">
        <f>IF(ISERROR((BO616/BG616-1)*100),"NA",IF(((BO616/BG616-1)*100)&gt;100,"NM",IF(((BO616/BG616-1)*100)&lt;-50,"NM",(BO616/BG616-1)*100)))</f>
        <v>NM</v>
      </c>
      <c r="BQ616" s="389">
        <f>ROUND(BQ546/BQ611,2)</f>
        <v>-0.28000000000000003</v>
      </c>
      <c r="BR616" s="61" t="str">
        <f>IF(ISERROR((BQ616/BI616-1)*100),"NA",IF(((BQ616/BI616-1)*100)&gt;100,"NM",IF(((BQ616/BI616-1)*100)&lt;-50,"NM",(BQ616/BI616-1)*100)))</f>
        <v>NM</v>
      </c>
      <c r="BS616" s="389">
        <f>ROUND(BS546/BS611,2)</f>
        <v>-0.65</v>
      </c>
      <c r="BT616" s="61" t="str">
        <f>IF(ISERROR((BS616/BK616-1)*100),"NA",IF(((BS616/BK616-1)*100)&gt;100,"NM",IF(((BS616/BK616-1)*100)&lt;-50,"NM",(BS616/BK616-1)*100)))</f>
        <v>NM</v>
      </c>
      <c r="BU616" s="389">
        <f>ROUND(BU546/BU611,2)</f>
        <v>-0.85</v>
      </c>
      <c r="BV616" s="61" t="str">
        <f>IF(ISERROR((BU616/BM616-1)*100),"NA",IF(((BU616/BM616-1)*100)&gt;100,"NM",IF(((BU616/BM616-1)*100)&lt;-50,"NM",(BU616/BM616-1)*100)))</f>
        <v>NM</v>
      </c>
      <c r="BW616" s="389">
        <f>ROUND(BW546/BW611,2)</f>
        <v>-0.73</v>
      </c>
      <c r="BX616" s="61" t="str">
        <f t="shared" si="3441"/>
        <v>NM</v>
      </c>
      <c r="BY616" s="389">
        <f>ROUND(BY546/BY611,2)</f>
        <v>-0.82</v>
      </c>
      <c r="BZ616" s="61" t="str">
        <f>IF(ISERROR((BY616/BQ616-1)*100),"NA",IF(((BY616/BQ616-1)*100)&gt;100,"NM",IF(((BY616/BQ616-1)*100)&lt;-50,"NM",(BY616/BQ616-1)*100)))</f>
        <v>NM</v>
      </c>
      <c r="CA616" s="389">
        <f>ROUND(CA546/CA611,2)</f>
        <v>-0.63</v>
      </c>
      <c r="CB616" s="61">
        <f>IF(ISERROR((CA616/BS616-1)*100),"NA",IF(((CA616/BS616-1)*100)&gt;100,"NM",IF(((CA616/BS616-1)*100)&lt;-50,"NM",(CA616/BS616-1)*100)))</f>
        <v>-3.0769230769230771</v>
      </c>
      <c r="CC616" s="389">
        <f>ROUND(CC546/CC611,2)</f>
        <v>-0.28999999999999998</v>
      </c>
      <c r="CD616" s="61" t="str">
        <f>IF(ISERROR((CC616/BU616-1)*100),"NA",IF(((CC616/BU616-1)*100)&gt;100,"NM",IF(((CC616/BU616-1)*100)&lt;-50,"NM",(CC616/BU616-1)*100)))</f>
        <v>NM</v>
      </c>
      <c r="CE616" s="389">
        <f>ROUND(CE546/CE611,2)</f>
        <v>-0.08</v>
      </c>
      <c r="CF616" s="61" t="str">
        <f>IF(ISERROR((CE616/BW616-1)*100),"NA",IF(((CE616/BW616-1)*100)&gt;100,"NM",IF(((CE616/BW616-1)*100)&lt;-50,"NM",(CE616/BW616-1)*100)))</f>
        <v>NM</v>
      </c>
      <c r="CG616" s="389">
        <f>ROUND(CG546/CG611,2)</f>
        <v>-0.02</v>
      </c>
      <c r="CH616" s="61" t="str">
        <f>IF(ISERROR((CG616/BY616-1)*100),"NA",IF(((CG616/BY616-1)*100)&gt;100,"NM",IF(((CG616/BY616-1)*100)&lt;-50,"NM",(CG616/BY616-1)*100)))</f>
        <v>NM</v>
      </c>
      <c r="CI616" s="389">
        <f>ROUND(CI546/CI611,2)</f>
        <v>0.05</v>
      </c>
      <c r="CJ616" s="61" t="str">
        <f>IF(ISERROR((CI616/CA616-1)*100),"NA",IF(((CI616/CA616-1)*100)&gt;100,"NM",IF(((CI616/CA616-1)*100)&lt;-50,"NM",(CI616/CA616-1)*100)))</f>
        <v>NM</v>
      </c>
      <c r="CK616" s="389">
        <f>ROUND(CK546/CK611,2)</f>
        <v>-0.24</v>
      </c>
      <c r="CL616" s="61">
        <f>IF(ISERROR((CK616/CC616-1)*100),"NA",IF(((CK616/CC616-1)*100)&gt;100,"NM",IF(((CK616/CC616-1)*100)&lt;-50,"NM",(CK616/CC616-1)*100)))</f>
        <v>-17.241379310344829</v>
      </c>
      <c r="CM616" s="389">
        <f>ROUND(CM546/CM611,2)</f>
        <v>-0.04</v>
      </c>
      <c r="CN616" s="61">
        <f>IF(ISERROR((CM616/CE616-1)*100),"NA",IF(((CM616/CE616-1)*100)&gt;100,"NM",IF(((CM616/CE616-1)*100)&lt;-50,"NM",(CM616/CE616-1)*100)))</f>
        <v>-50</v>
      </c>
      <c r="CO616" s="389">
        <f>ROUND(CO546/CO611,2)</f>
        <v>-7.0000000000000007E-2</v>
      </c>
      <c r="CP616" s="61" t="str">
        <f>IF(ISERROR((CO616/CG616-1)*100),"NA",IF(((CO616/CG616-1)*100)&gt;100,"NM",IF(((CO616/CG616-1)*100)&lt;-50,"NM",(CO616/CG616-1)*100)))</f>
        <v>NM</v>
      </c>
      <c r="CQ616" s="389">
        <f>ROUND(CQ546/CQ611,2)</f>
        <v>-0.39</v>
      </c>
      <c r="CR616" s="61" t="str">
        <f>IF(ISERROR((CQ616/CI616-1)*100),"NA",IF(((CQ616/CI616-1)*100)&gt;100,"NM",IF(((CQ616/CI616-1)*100)&lt;-50,"NM",(CQ616/CI616-1)*100)))</f>
        <v>NM</v>
      </c>
      <c r="CS616" s="389">
        <f>ROUND(CS546/CS611,2)</f>
        <v>-0.32</v>
      </c>
      <c r="CT616" s="61">
        <f>IF(ISERROR((CS616/CK616-1)*100),"NA",IF(((CS616/CK616-1)*100)&gt;100,"NM",IF(((CS616/CK616-1)*100)&lt;-50,"NM",(CS616/CK616-1)*100)))</f>
        <v>33.33333333333335</v>
      </c>
      <c r="CU616" s="389">
        <f>ROUND(CU546/CU611,2)</f>
        <v>-0.25</v>
      </c>
      <c r="CV616" s="61" t="str">
        <f>IF(ISERROR((CU616/CM616-1)*100),"NA",IF(((CU616/CM616-1)*100)&gt;100,"NM",IF(((CU616/CM616-1)*100)&lt;-50,"NM",(CU616/CM616-1)*100)))</f>
        <v>NM</v>
      </c>
      <c r="CW616" s="389">
        <f>ROUND(CW546/CW611,2)</f>
        <v>0.04</v>
      </c>
      <c r="CX616" s="61" t="str">
        <f>IF(ISERROR((CW616/CO616-1)*100),"NA",IF(((CW616/CO616-1)*100)&gt;100,"NM",IF(((CW616/CO616-1)*100)&lt;-50,"NM",(CW616/CO616-1)*100)))</f>
        <v>NM</v>
      </c>
      <c r="CY616" s="389">
        <f>ROUND(CY546/CY611,2)</f>
        <v>0.09</v>
      </c>
      <c r="CZ616" s="61" t="str">
        <f>IF(ISERROR((CY616/CQ616-1)*100),"NA",IF(((CY616/CQ616-1)*100)&gt;100,"NM",IF(((CY616/CQ616-1)*100)&lt;-50,"NM",(CY616/CQ616-1)*100)))</f>
        <v>NM</v>
      </c>
      <c r="DA616" s="389">
        <f>ROUND(DA546/DA611,2)</f>
        <v>0.04</v>
      </c>
      <c r="DB616" s="61" t="str">
        <f>IF(ISERROR((DA616/CS616-1)*100),"NA",IF(((DA616/CS616-1)*100)&gt;100,"NM",IF(((DA616/CS616-1)*100)&lt;-50,"NM",(DA616/CS616-1)*100)))</f>
        <v>NM</v>
      </c>
      <c r="DC616" s="389">
        <f>ROUND(DC546/DC611,2)</f>
        <v>-0.22</v>
      </c>
      <c r="DD616" s="61">
        <f>IF(ISERROR((DC616/CU616-1)*100),"NA",IF(((DC616/CU616-1)*100)&gt;100,"NM",IF(((DC616/CU616-1)*100)&lt;-50,"NM",(DC616/CU616-1)*100)))</f>
        <v>-12</v>
      </c>
      <c r="DE616" s="389">
        <f>ROUND(DE546/DE611,2)</f>
        <v>-0.12</v>
      </c>
      <c r="DF616" s="61" t="str">
        <f>IF(ISERROR((DE616/CW616-1)*100),"NA",IF(((DE616/CW616-1)*100)&gt;100,"NM",IF(((DE616/CW616-1)*100)&lt;-50,"NM",(DE616/CW616-1)*100)))</f>
        <v>NM</v>
      </c>
      <c r="DG616" s="389">
        <f>ROUND(DG546/DG611,2)</f>
        <v>-0.16</v>
      </c>
      <c r="DH616" s="61" t="str">
        <f>IF(ISERROR((DG616/CY616-1)*100),"NA",IF(((DG616/CY616-1)*100)&gt;100,"NM",IF(((DG616/CY616-1)*100)&lt;-50,"NM",(DG616/CY616-1)*100)))</f>
        <v>NM</v>
      </c>
      <c r="DI616" s="389">
        <f>ROUND(DI546/DI611,2)</f>
        <v>-0.16</v>
      </c>
      <c r="DJ616" s="61" t="str">
        <f>IF(ISERROR((DI616/DA616-1)*100),"NA",IF(((DI616/DA616-1)*100)&gt;100,"NM",IF(((DI616/DA616-1)*100)&lt;-50,"NM",(DI616/DA616-1)*100)))</f>
        <v>NM</v>
      </c>
      <c r="DK616" s="389">
        <f>ROUND(DK546/DK611,2)</f>
        <v>-0.14000000000000001</v>
      </c>
      <c r="DL616" s="61">
        <f>IF(ISERROR((DK616/DC616-1)*100),"NA",IF(((DK616/DC616-1)*100)&gt;100,"NM",IF(((DK616/DC616-1)*100)&lt;-50,"NM",(DK616/DC616-1)*100)))</f>
        <v>-36.363636363636353</v>
      </c>
      <c r="DM616" s="389">
        <f>ROUND(DM546/DM611,2)</f>
        <v>-0.01</v>
      </c>
      <c r="DN616" s="130" t="str">
        <f t="shared" si="3514"/>
        <v>NM</v>
      </c>
      <c r="DO616" s="389">
        <f>ROUND(DO546/DO611,2)</f>
        <v>0.12</v>
      </c>
      <c r="DP616" s="130" t="str">
        <f t="shared" si="3514"/>
        <v>NM</v>
      </c>
      <c r="DQ616" s="389">
        <f>ROUND(DQ546/DQ611,2)</f>
        <v>-0.37</v>
      </c>
      <c r="DR616" s="130" t="str">
        <f t="shared" si="3514"/>
        <v>NM</v>
      </c>
      <c r="DS616" s="389">
        <f>ROUND(DS546/DS611,2)</f>
        <v>-0.23</v>
      </c>
      <c r="DT616" s="130">
        <f t="shared" si="3514"/>
        <v>64.285714285714278</v>
      </c>
      <c r="DU616" s="389">
        <f>ROUND(DU546/DU611,2)</f>
        <v>-0.09</v>
      </c>
      <c r="DV616" s="130" t="str">
        <f t="shared" si="3514"/>
        <v>NM</v>
      </c>
      <c r="DW616" s="389">
        <f>ROUND(DW546/DW611,2)</f>
        <v>-0.04</v>
      </c>
      <c r="DX616" s="389">
        <f t="shared" ref="DX616:DY616" si="3536">ROUND(DX546/DX611,2)</f>
        <v>-0.04</v>
      </c>
      <c r="DY616" s="389">
        <f t="shared" si="3536"/>
        <v>-0.47</v>
      </c>
      <c r="DZ616" s="130">
        <f t="shared" si="3514"/>
        <v>27.027027027027017</v>
      </c>
      <c r="EA616" s="389">
        <f t="shared" ref="EA616:EC616" si="3537">ROUND(EA546/EA611,2)</f>
        <v>-0.42</v>
      </c>
      <c r="EB616" s="130">
        <f t="shared" si="3516"/>
        <v>82.608695652173907</v>
      </c>
      <c r="EC616" s="389">
        <f t="shared" si="3537"/>
        <v>-0.24</v>
      </c>
      <c r="ED616" s="130" t="str">
        <f t="shared" si="3517"/>
        <v>NM</v>
      </c>
      <c r="EE616" s="389">
        <f t="shared" ref="EE616:EG616" si="3538">ROUND(EE546/EE611,2)</f>
        <v>-0.02</v>
      </c>
      <c r="EF616" s="130">
        <f t="shared" si="3518"/>
        <v>-50</v>
      </c>
      <c r="EG616" s="389">
        <f t="shared" si="3538"/>
        <v>-0.74</v>
      </c>
      <c r="EH616" s="130">
        <f t="shared" si="3519"/>
        <v>57.446808510638306</v>
      </c>
      <c r="EI616" s="389">
        <f t="shared" ref="EI616:EK616" si="3539">ROUND(EI546/EI611,2)</f>
        <v>-0.23</v>
      </c>
      <c r="EJ616" s="130">
        <f t="shared" si="3520"/>
        <v>-45.238095238095234</v>
      </c>
      <c r="EK616" s="389">
        <f t="shared" si="3539"/>
        <v>-0.15</v>
      </c>
      <c r="EL616" s="130">
        <f t="shared" si="3521"/>
        <v>-37.5</v>
      </c>
      <c r="EM616" s="389">
        <f t="shared" ref="EM616" si="3540">ROUND(EM546/EM611,2)</f>
        <v>-0.28999999999999998</v>
      </c>
      <c r="EN616" s="130" t="str">
        <f t="shared" si="3522"/>
        <v>NM</v>
      </c>
      <c r="EO616" s="389">
        <f t="shared" ref="EO616" si="3541">ROUND(EO546/EO611,2)</f>
        <v>-0.31</v>
      </c>
      <c r="EP616" s="130" t="str">
        <f t="shared" si="3523"/>
        <v>NM</v>
      </c>
      <c r="EQ616" s="389">
        <f t="shared" ref="EQ616:EW616" si="3542">ROUND(EQ546/EQ611,2)</f>
        <v>-0.31</v>
      </c>
      <c r="ER616" s="130">
        <f t="shared" si="3525"/>
        <v>34.782608695652172</v>
      </c>
      <c r="ES616" s="389">
        <f t="shared" si="3542"/>
        <v>-0.31</v>
      </c>
      <c r="ET616" s="130" t="str">
        <f t="shared" si="3526"/>
        <v>NM</v>
      </c>
      <c r="EU616" s="389">
        <f t="shared" si="3542"/>
        <v>-0.31</v>
      </c>
      <c r="EV616" s="130">
        <f t="shared" si="3527"/>
        <v>6.8965517241379448</v>
      </c>
      <c r="EW616" s="389">
        <f t="shared" si="3542"/>
        <v>-0.31</v>
      </c>
      <c r="EX616" s="130">
        <f t="shared" si="3528"/>
        <v>0</v>
      </c>
      <c r="EY616" s="64"/>
      <c r="EZ616" s="558"/>
      <c r="FA616" s="64"/>
      <c r="FB616" s="161">
        <f>FB546/FB611</f>
        <v>8.0146543069291115E-2</v>
      </c>
      <c r="FC616" s="71"/>
      <c r="FD616" s="161">
        <f>FD546/FD611</f>
        <v>-2.4950099800399113E-4</v>
      </c>
      <c r="FE616" s="70" t="str">
        <f>IF(ISERROR((FD616/FB616-1)*100),"NA",IF(((FD616/FB616-1)*100)&gt;100,"NM",IF(((FD616/FB616-1)*100)&lt;-50,"NM",(FD616/FB616-1)*100)))</f>
        <v>NM</v>
      </c>
      <c r="FF616" s="161">
        <f>C616+E616+G616+I616</f>
        <v>-0.08</v>
      </c>
      <c r="FG616" s="70" t="str">
        <f>IF(ISERROR((FF616/FD616-1)*100),"NA",IF(((FF616/FD616-1)*100)&gt;100,"NM",IF(((FF616/FD616-1)*100)&lt;-50,"NM",(FF616/FD616-1)*100)))</f>
        <v>NM</v>
      </c>
      <c r="FH616" s="161">
        <f>K616+M616+O616+Q616</f>
        <v>-0.35</v>
      </c>
      <c r="FI616" s="70" t="str">
        <f>IF(ISERROR((FH616/FF616-1)*100),"NA",IF(((FH616/FF616-1)*100)&gt;100,"NM",IF(((FH616/FF616-1)*100)&lt;-50,"NM",(FH616/FF616-1)*100)))</f>
        <v>NM</v>
      </c>
      <c r="FJ616" s="366">
        <f>S616+U616+W616+Y616</f>
        <v>-0.96</v>
      </c>
      <c r="FK616" s="70" t="str">
        <f>IF(ISERROR((FJ616/FH616-1)*100),"NA",IF(((FJ616/FH616-1)*100)&gt;100,"NM",IF(((FJ616/FH616-1)*100)&lt;-50,"NM",(FJ616/FH616-1)*100)))</f>
        <v>NM</v>
      </c>
      <c r="FL616" s="366">
        <f>AA616+AC616+AE616+AG616</f>
        <v>-7.0000000000000034E-2</v>
      </c>
      <c r="FM616" s="61" t="str">
        <f>IF(ISERROR((FL616/FJ616-1)*100),"NA",IF(((FL616/FJ616-1)*100)&gt;100,"NM",IF(((FL616/FJ616-1)*100)&lt;-50,"NM",(FL616/FJ616-1)*100)))</f>
        <v>NM</v>
      </c>
      <c r="FN616" s="366">
        <f>AI616+AK616+AM616+AO616</f>
        <v>9.9999999999999992E-2</v>
      </c>
      <c r="FO616" s="61" t="str">
        <f>IF(ISERROR((FN616/FL616-1)*100),"NA",IF(((FN616/FL616-1)*100)&gt;100,"NM",IF(((FN616/FL616-1)*100)&lt;-50,"NM",(FN616/FL616-1)*100)))</f>
        <v>NM</v>
      </c>
      <c r="FP616" s="390">
        <f>AQ616+AS616+AU616+AW616</f>
        <v>-0.09</v>
      </c>
      <c r="FQ616" s="61" t="str">
        <f t="shared" si="3354"/>
        <v>NM</v>
      </c>
      <c r="FR616" s="390">
        <f>AY616+BA616+BC616+BE616</f>
        <v>-2.0000000000000004E-2</v>
      </c>
      <c r="FS616" s="61" t="str">
        <f>IF(ISERROR((FR616/FP616-1)*100),"NA",IF(((FR616/FP616-1)*100)&gt;100,"NM",IF(((FR616/FP616-1)*100)&lt;-50,"NM",(FR616/FP616-1)*100)))</f>
        <v>NM</v>
      </c>
      <c r="FT616" s="390">
        <f>BG616+BI616+BK616+BM616</f>
        <v>-0.45</v>
      </c>
      <c r="FU616" s="61" t="str">
        <f>IF(ISERROR((FT616/FR616-1)*100),"NA",IF(((FT616/FR616-1)*100)&gt;100,"NM",IF(((FT616/FR616-1)*100)&lt;-50,"NM",(FT616/FR616-1)*100)))</f>
        <v>NM</v>
      </c>
      <c r="FV616" s="389">
        <f>ROUND(FV546/FV611,2)</f>
        <v>-1.89</v>
      </c>
      <c r="FW616" s="61" t="str">
        <f>IF(ISERROR((FV616/FT616-1)*100),"NA",IF(((FV616/FT616-1)*100)&gt;100,"NM",IF(((FV616/FT616-1)*100)&lt;-50,"NM",(FV616/FT616-1)*100)))</f>
        <v>NM</v>
      </c>
      <c r="FX616" s="389">
        <f>ROUND(FX546/FX611,2)</f>
        <v>-2.42</v>
      </c>
      <c r="FY616" s="61">
        <f>IF(ISERROR((FX616/FV616-1)*100),"NA",IF(((FX616/FV616-1)*100)&gt;100,"NM",IF(((FX616/FV616-1)*100)&lt;-50,"NM",(FX616/FV616-1)*100)))</f>
        <v>28.042328042328045</v>
      </c>
      <c r="FZ616" s="389">
        <f>ROUND(FZ546/FZ611,2)</f>
        <v>-0.3</v>
      </c>
      <c r="GA616" s="61" t="str">
        <f>IF(ISERROR((FZ616/FX616-1)*100),"NA",IF(((FZ616/FX616-1)*100)&gt;100,"NM",IF(((FZ616/FX616-1)*100)&lt;-50,"NM",(FZ616/FX616-1)*100)))</f>
        <v>NM</v>
      </c>
      <c r="GB616" s="389">
        <f>ROUND(GB546/GB611,2)</f>
        <v>-0.8</v>
      </c>
      <c r="GC616" s="61" t="str">
        <f>IF(ISERROR((GB616/FZ616-1)*100),"NA",IF(((GB616/FZ616-1)*100)&gt;100,"NM",IF(((GB616/FZ616-1)*100)&lt;-50,"NM",(GB616/FZ616-1)*100)))</f>
        <v>NM</v>
      </c>
      <c r="GD616" s="389">
        <f>ROUND(GD546/GD611,2)</f>
        <v>-0.09</v>
      </c>
      <c r="GE616" s="61" t="str">
        <f>IF(ISERROR((GD616/GB616-1)*100),"NA",IF(((GD616/GB616-1)*100)&gt;100,"NM",IF(((GD616/GB616-1)*100)&lt;-50,"NM",(GD616/GB616-1)*100)))</f>
        <v>NM</v>
      </c>
      <c r="GF616" s="389">
        <f>ROUND(GF546/GF611,2)</f>
        <v>-0.65</v>
      </c>
      <c r="GG616" s="61" t="str">
        <f>IF(ISERROR((GF616/GD616-1)*100),"NA",IF(((GF616/GD616-1)*100)&gt;100,"NM",IF(((GF616/GD616-1)*100)&lt;-50,"NM",(GF616/GD616-1)*100)))</f>
        <v>NM</v>
      </c>
      <c r="GH616" s="389">
        <f>ROUND(GH546/GH611,2)</f>
        <v>-0.4</v>
      </c>
      <c r="GI616" s="61">
        <f>IF(ISERROR((GH616/GF616-1)*100),"NA",IF(((GH616/GF616-1)*100)&gt;100,"NM",IF(((GH616/GF616-1)*100)&lt;-50,"NM",(GH616/GF616-1)*100)))</f>
        <v>-38.46153846153846</v>
      </c>
      <c r="GJ616" s="389">
        <f>ROUND(GJ546/GJ611,2)</f>
        <v>-0.83</v>
      </c>
      <c r="GK616" s="61" t="str">
        <f>IF(ISERROR((GJ616/GH616-1)*100),"NA",IF(((GJ616/GH616-1)*100)&gt;100,"NM",IF(((GJ616/GH616-1)*100)&lt;-50,"NM",(GJ616/GH616-1)*100)))</f>
        <v>NM</v>
      </c>
      <c r="GL616" s="389">
        <f>ROUND(GL546/GL611,2)</f>
        <v>-1.41</v>
      </c>
      <c r="GM616" s="61">
        <f>IF(ISERROR((GL616/GJ616-1)*100),"NA",IF(((GL616/GJ616-1)*100)&gt;100,"NM",IF(((GL616/GJ616-1)*100)&lt;-50,"NM",(GL616/GJ616-1)*100)))</f>
        <v>69.879518072289159</v>
      </c>
      <c r="GN616" s="389">
        <f>ROUND(GN546/GN611,2)</f>
        <v>-0.98</v>
      </c>
      <c r="GO616" s="61">
        <f>IF(ISERROR((GN616/GL616-1)*100),"NA",IF(((GN616/GL616-1)*100)&gt;100,"NM",IF(((GN616/GL616-1)*100)&lt;-50,"NM",(GN616/GL616-1)*100)))</f>
        <v>-30.49645390070922</v>
      </c>
      <c r="GP616" s="389">
        <f>ROUND(GP546/GP611,2)</f>
        <v>-1.24</v>
      </c>
      <c r="GQ616" s="61">
        <f>IF(ISERROR((GP616/GN616-1)*100),"NA",IF(((GP616/GN616-1)*100)&gt;100,"NM",IF(((GP616/GN616-1)*100)&lt;-50,"NM",(GP616/GN616-1)*100)))</f>
        <v>26.530612244897966</v>
      </c>
      <c r="GR616" s="389">
        <f>GR546/GR611</f>
        <v>-1.2496376851047926</v>
      </c>
      <c r="GS616" s="61">
        <f>IF(ISERROR((GR616/GP616-1)*100),"NA",IF(((GR616/GP616-1)*100)&gt;100,"NM",IF(((GR616/GP616-1)*100)&lt;-50,"NM",(GR616/GP616-1)*100)))</f>
        <v>0.77723266974134564</v>
      </c>
      <c r="GT616" s="389">
        <f>GT546/GT611</f>
        <v>-1.2641953273294806</v>
      </c>
      <c r="GU616" s="61">
        <f>IF(ISERROR((GT616/GR616-1)*100),"NA",IF(((GT616/GR616-1)*100)&gt;100,"NM",IF(((GT616/GR616-1)*100)&lt;-50,"NM",(GT616/GR616-1)*100)))</f>
        <v>1.1649490406867136</v>
      </c>
      <c r="GV616" s="389">
        <f>GV546/GV611</f>
        <v>-1.2842888418826635</v>
      </c>
      <c r="GW616" s="61">
        <f>IF(ISERROR((GV616/GT616-1)*100),"NA",IF(((GV616/GT616-1)*100)&gt;100,"NM",IF(((GV616/GT616-1)*100)&lt;-50,"NM",(GV616/GT616-1)*100)))</f>
        <v>1.589431167700095</v>
      </c>
      <c r="GX616" s="389">
        <f>GX546/GX611</f>
        <v>-1.3060898657981743</v>
      </c>
      <c r="GY616" s="61">
        <f>IF(ISERROR((GX616/GV616-1)*100),"NA",IF(((GX616/GV616-1)*100)&gt;100,"NM",IF(((GX616/GV616-1)*100)&lt;-50,"NM",(GX616/GV616-1)*100)))</f>
        <v>1.697517194305953</v>
      </c>
      <c r="GZ616" s="61">
        <f t="shared" si="3427"/>
        <v>5.9130310058227664</v>
      </c>
      <c r="HA616" s="61"/>
      <c r="HB616" s="452"/>
      <c r="HC616"/>
      <c r="HD616"/>
      <c r="HE616"/>
      <c r="HF616"/>
      <c r="HG616"/>
      <c r="HH616"/>
    </row>
    <row r="617" spans="1:216" s="5" customFormat="1" ht="12.75" customHeight="1" x14ac:dyDescent="0.2">
      <c r="A617" s="5" t="s">
        <v>458</v>
      </c>
      <c r="B617" s="105" t="s">
        <v>70</v>
      </c>
      <c r="C617" s="144">
        <f>ROUND(C566/C611,2)</f>
        <v>0.87</v>
      </c>
      <c r="D617" s="70"/>
      <c r="E617" s="144">
        <f>ROUND(E566/E611,2)</f>
        <v>0.86</v>
      </c>
      <c r="F617" s="71"/>
      <c r="G617" s="144">
        <f>ROUND(G566/G611,2)</f>
        <v>0.92</v>
      </c>
      <c r="H617" s="71"/>
      <c r="I617" s="144">
        <f>ROUND(I566/I611,2)</f>
        <v>0.95</v>
      </c>
      <c r="J617" s="71"/>
      <c r="K617" s="144">
        <f>ROUND(K566/K611,2)</f>
        <v>0.79</v>
      </c>
      <c r="L617" s="61">
        <f>IF(ISERROR((K617/C617-1)*100),"NA",IF(((K617/C617-1)*100)&gt;100,"NM",IF(((K617/C617-1)*100)&lt;-50,"NM",(K617/C617-1)*100)))</f>
        <v>-9.1954022988505741</v>
      </c>
      <c r="M617" s="144">
        <f>ROUND(M566/M611,2)</f>
        <v>0.75</v>
      </c>
      <c r="N617" s="61">
        <f>IF(ISERROR((M617/E617-1)*100),"NA",IF(((M617/E617-1)*100)&gt;100,"NM",IF(((M617/E617-1)*100)&lt;-50,"NM",(M617/E617-1)*100)))</f>
        <v>-12.790697674418606</v>
      </c>
      <c r="O617" s="144">
        <f>ROUND(O566/O611,2)</f>
        <v>0.56000000000000005</v>
      </c>
      <c r="P617" s="61">
        <f>IF(ISERROR((O617/G617-1)*100),"NA",IF(((O617/G617-1)*100)&gt;100,"NM",IF(((O617/G617-1)*100)&lt;-50,"NM",(O617/G617-1)*100)))</f>
        <v>-39.130434782608688</v>
      </c>
      <c r="Q617" s="144">
        <f>ROUND(Q566/Q611,2)</f>
        <v>0.83</v>
      </c>
      <c r="R617" s="61">
        <f>IF(ISERROR((Q617/I617-1)*100),"NA",IF(((Q617/I617-1)*100)&gt;100,"NM",IF(((Q617/I617-1)*100)&lt;-50,"NM",(Q617/I617-1)*100)))</f>
        <v>-12.631578947368416</v>
      </c>
      <c r="S617" s="144">
        <f>ROUND(S566/S611,2)</f>
        <v>0.45</v>
      </c>
      <c r="T617" s="61">
        <f>IF(ISERROR((S617/K617-1)*100),"NA",IF(((S617/K617-1)*100)&gt;100,"NM",IF(((S617/K617-1)*100)&lt;-50,"NM",(S617/K617-1)*100)))</f>
        <v>-43.037974683544299</v>
      </c>
      <c r="U617" s="144">
        <f>ROUND(U566/U611,2)</f>
        <v>0.26</v>
      </c>
      <c r="V617" s="61" t="str">
        <f>IF(ISERROR((U617/M617-1)*100),"NA",IF(((U617/M617-1)*100)&gt;100,"NM",IF(((U617/M617-1)*100)&lt;-50,"NM",(U617/M617-1)*100)))</f>
        <v>NM</v>
      </c>
      <c r="W617" s="144">
        <f>ROUND(W566/W611,2)</f>
        <v>-0.74</v>
      </c>
      <c r="X617" s="61" t="str">
        <f>IF(ISERROR((W617/O617-1)*100),"NA",IF(((W617/O617-1)*100)&gt;100,"NM",IF(((W617/O617-1)*100)&lt;-50,"NM",(W617/O617-1)*100)))</f>
        <v>NM</v>
      </c>
      <c r="Y617" s="144">
        <f>ROUND(Y566/Y611,2)</f>
        <v>0.28999999999999998</v>
      </c>
      <c r="Z617" s="61" t="str">
        <f>IF(ISERROR((Y617/Q617-1)*100),"NA",IF(((Y617/Q617-1)*100)&gt;100,"NM",IF(((Y617/Q617-1)*100)&lt;-50,"NM",(Y617/Q617-1)*100)))</f>
        <v>NM</v>
      </c>
      <c r="AA617" s="144">
        <f>ROUND(AA566/AA611,2)</f>
        <v>0.23</v>
      </c>
      <c r="AB617" s="61">
        <f>IF(ISERROR((AA617/S617-1)*100),"NA",IF(((AA617/S617-1)*100)&gt;100,"NM",IF(((AA617/S617-1)*100)&lt;-50,"NM",(AA617/S617-1)*100)))</f>
        <v>-48.888888888888893</v>
      </c>
      <c r="AC617" s="144">
        <f>ROUND(AC566/AC611,2)</f>
        <v>0.8</v>
      </c>
      <c r="AD617" s="61" t="str">
        <f>IF(ISERROR((AC617/U617-1)*100),"NA",IF(((AC617/U617-1)*100)&gt;100,"NM",IF(((AC617/U617-1)*100)&lt;-50,"NM",(AC617/U617-1)*100)))</f>
        <v>NM</v>
      </c>
      <c r="AE617" s="144">
        <f>ROUND(AE566/AE611,2)</f>
        <v>0.74</v>
      </c>
      <c r="AF617" s="61" t="str">
        <f>IF(ISERROR((AE617/W617-1)*100),"NA",IF(((AE617/W617-1)*100)&gt;100,"NM",IF(((AE617/W617-1)*100)&lt;-50,"NM",(AE617/W617-1)*100)))</f>
        <v>NM</v>
      </c>
      <c r="AG617" s="144">
        <f>ROUND(AG566/AG611,2)</f>
        <v>1.08</v>
      </c>
      <c r="AH617" s="61" t="str">
        <f>IF(ISERROR((AG617/Y617-1)*100),"NA",IF(((AG617/Y617-1)*100)&gt;100,"NM",IF(((AG617/Y617-1)*100)&lt;-50,"NM",(AG617/Y617-1)*100)))</f>
        <v>NM</v>
      </c>
      <c r="AI617" s="144">
        <f>ROUND(AI566/AI611,2)</f>
        <v>0.72</v>
      </c>
      <c r="AJ617" s="61" t="str">
        <f>IF(ISERROR((AI617/AA617-1)*100),"NA",IF(((AI617/AA617-1)*100)&gt;100,"NM",IF(((AI617/AA617-1)*100)&lt;-50,"NM",(AI617/AA617-1)*100)))</f>
        <v>NM</v>
      </c>
      <c r="AK617" s="144">
        <f>ROUND(AK566/AK611,2)</f>
        <v>1.04</v>
      </c>
      <c r="AL617" s="61">
        <f>IF(ISERROR((AK617/AC617-1)*100),"NA",IF(((AK617/AC617-1)*100)&gt;100,"NM",IF(((AK617/AC617-1)*100)&lt;-50,"NM",(AK617/AC617-1)*100)))</f>
        <v>30.000000000000004</v>
      </c>
      <c r="AM617" s="144">
        <f>ROUND(AM566/AM611,2)</f>
        <v>1.1200000000000001</v>
      </c>
      <c r="AN617" s="61">
        <f>IF(ISERROR((AM617/AE617-1)*100),"NA",IF(((AM617/AE617-1)*100)&gt;100,"NM",IF(((AM617/AE617-1)*100)&lt;-50,"NM",(AM617/AE617-1)*100)))</f>
        <v>51.351351351351362</v>
      </c>
      <c r="AO617" s="144">
        <f>ROUND(AO566/AO611,2)</f>
        <v>1.07</v>
      </c>
      <c r="AP617" s="61">
        <f>IF(ISERROR((AO617/AG617-1)*100),"NA",IF(((AO617/AG617-1)*100)&gt;100,"NM",IF(((AO617/AG617-1)*100)&lt;-50,"NM",(AO617/AG617-1)*100)))</f>
        <v>-0.92592592592593004</v>
      </c>
      <c r="AQ617" s="144">
        <f>ROUND(AQ566/AQ611,2)</f>
        <v>1.24</v>
      </c>
      <c r="AR617" s="61">
        <f>IF(ISERROR((AQ617/AI617-1)*100),"NA",IF(((AQ617/AI617-1)*100)&gt;100,"NM",IF(((AQ617/AI617-1)*100)&lt;-50,"NM",(AQ617/AI617-1)*100)))</f>
        <v>72.222222222222229</v>
      </c>
      <c r="AS617" s="144">
        <f>ROUND(AS566/AS611,2)</f>
        <v>1.34</v>
      </c>
      <c r="AT617" s="61">
        <f>IF(ISERROR((AS617/AK617-1)*100),"NA",IF(((AS617/AK617-1)*100)&gt;100,"NM",IF(((AS617/AK617-1)*100)&lt;-50,"NM",(AS617/AK617-1)*100)))</f>
        <v>28.846153846153854</v>
      </c>
      <c r="AU617" s="144">
        <f>ROUND(AU566/AU611,2)</f>
        <v>1.44</v>
      </c>
      <c r="AV617" s="61">
        <f>IF(ISERROR((AU617/AM617-1)*100),"NA",IF(((AU617/AM617-1)*100)&gt;100,"NM",IF(((AU617/AM617-1)*100)&lt;-50,"NM",(AU617/AM617-1)*100)))</f>
        <v>28.571428571428559</v>
      </c>
      <c r="AW617" s="144">
        <f>ROUND(AW566/AW611,2)</f>
        <v>1.42</v>
      </c>
      <c r="AX617" s="61">
        <f>IF(ISERROR((AW617/AO617-1)*100),"NA",IF(((AW617/AO617-1)*100)&gt;100,"NM",IF(((AW617/AO617-1)*100)&lt;-50,"NM",(AW617/AO617-1)*100)))</f>
        <v>32.710280373831765</v>
      </c>
      <c r="AY617" s="144">
        <f>ROUND(AY566/AY611,2)</f>
        <v>1.39</v>
      </c>
      <c r="AZ617" s="61">
        <f>IF(ISERROR((AY617/AQ617-1)*100),"NA",IF(((AY617/AQ617-1)*100)&gt;100,"NM",IF(((AY617/AQ617-1)*100)&lt;-50,"NM",(AY617/AQ617-1)*100)))</f>
        <v>12.096774193548377</v>
      </c>
      <c r="BA617" s="144">
        <f>ROUND(BA566/BA611,2)</f>
        <v>1.1399999999999999</v>
      </c>
      <c r="BB617" s="61">
        <f t="shared" si="3344"/>
        <v>-14.925373134328368</v>
      </c>
      <c r="BC617" s="144">
        <f>ROUND(BC566/BC611,2)</f>
        <v>1.24</v>
      </c>
      <c r="BD617" s="61">
        <f t="shared" si="3345"/>
        <v>-13.888888888888884</v>
      </c>
      <c r="BE617" s="144">
        <f>ROUND(BE566/BE611,2)</f>
        <v>1.31</v>
      </c>
      <c r="BF617" s="61">
        <f t="shared" si="3346"/>
        <v>-7.7464788732394263</v>
      </c>
      <c r="BG617" s="144">
        <f>ROUND(BG566/BG611,2)</f>
        <v>1.29</v>
      </c>
      <c r="BH617" s="61">
        <f>IF(ISERROR((BG617/AY617-1)*100),"NA",IF(((BG617/AY617-1)*100)&gt;100,"NM",IF(((BG617/AY617-1)*100)&lt;-50,"NM",(BG617/AY617-1)*100)))</f>
        <v>-7.1942446043165358</v>
      </c>
      <c r="BI617" s="144">
        <f>ROUND(BI566/BI611,2)</f>
        <v>1.26</v>
      </c>
      <c r="BJ617" s="61">
        <f>IF(ISERROR((BI617/BA617-1)*100),"NA",IF(((BI617/BA617-1)*100)&gt;100,"NM",IF(((BI617/BA617-1)*100)&lt;-50,"NM",(BI617/BA617-1)*100)))</f>
        <v>10.526315789473696</v>
      </c>
      <c r="BK617" s="144">
        <f>ROUND(BK566/BK611,2)</f>
        <v>1.06</v>
      </c>
      <c r="BL617" s="61">
        <f>IF(ISERROR((BK617/BC617-1)*100),"NA",IF(((BK617/BC617-1)*100)&gt;100,"NM",IF(((BK617/BC617-1)*100)&lt;-50,"NM",(BK617/BC617-1)*100)))</f>
        <v>-14.516129032258062</v>
      </c>
      <c r="BM617" s="144">
        <f>ROUND(BM566/BM611,2)</f>
        <v>0.74</v>
      </c>
      <c r="BN617" s="61">
        <f>IF(ISERROR((BM617/BE617-1)*100),"NA",IF(((BM617/BE617-1)*100)&gt;100,"NM",IF(((BM617/BE617-1)*100)&lt;-50,"NM",(BM617/BE617-1)*100)))</f>
        <v>-43.511450381679396</v>
      </c>
      <c r="BO617" s="144">
        <f>ROUND(BO566/BO611,2)</f>
        <v>1.1000000000000001</v>
      </c>
      <c r="BP617" s="61">
        <f>IF(ISERROR((BO617/BG617-1)*100),"NA",IF(((BO617/BG617-1)*100)&gt;100,"NM",IF(((BO617/BG617-1)*100)&lt;-50,"NM",(BO617/BG617-1)*100)))</f>
        <v>-14.728682170542628</v>
      </c>
      <c r="BQ617" s="144">
        <f>ROUND(BQ566/BQ611,2)</f>
        <v>0.48</v>
      </c>
      <c r="BR617" s="61" t="str">
        <f>IF(ISERROR((BQ617/BI617-1)*100),"NA",IF(((BQ617/BI617-1)*100)&gt;100,"NM",IF(((BQ617/BI617-1)*100)&lt;-50,"NM",(BQ617/BI617-1)*100)))</f>
        <v>NM</v>
      </c>
      <c r="BS617" s="144">
        <f>(BS566/BS610)</f>
        <v>0.57695312500000051</v>
      </c>
      <c r="BT617" s="61">
        <f>IF(ISERROR((BS617/BK617-1)*100),"NA",IF(((BS617/BK617-1)*100)&gt;100,"NM",IF(((BS617/BK617-1)*100)&lt;-50,"NM",(BS617/BK617-1)*100)))</f>
        <v>-45.570459905660329</v>
      </c>
      <c r="BU617" s="144">
        <f>ROUND(BU566/BU611,2)</f>
        <v>-1.96</v>
      </c>
      <c r="BV617" s="61" t="str">
        <f>IF(ISERROR((BU617/BM617-1)*100),"NA",IF(((BU617/BM617-1)*100)&gt;100,"NM",IF(((BU617/BM617-1)*100)&lt;-50,"NM",(BU617/BM617-1)*100)))</f>
        <v>NM</v>
      </c>
      <c r="BW617" s="144">
        <f>ROUND(BW566/BW611,2)</f>
        <v>-2.25</v>
      </c>
      <c r="BX617" s="61" t="str">
        <f>IF(ISERROR((BW617/BO617-1)*100),"NA",IF(((BW617/BO617-1)*100)&gt;100,"NM",IF(((BW617/BO617-1)*100)&lt;-50,"NM",(BW617/BO617-1)*100)))</f>
        <v>NM</v>
      </c>
      <c r="BY617" s="144">
        <f>ROUND(BY566/BY611,2)</f>
        <v>-0.61</v>
      </c>
      <c r="BZ617" s="61" t="str">
        <f>IF(ISERROR((BY617/BQ617-1)*100),"NA",IF(((BY617/BQ617-1)*100)&gt;100,"NM",IF(((BY617/BQ617-1)*100)&lt;-50,"NM",(BY617/BQ617-1)*100)))</f>
        <v>NM</v>
      </c>
      <c r="CA617" s="144">
        <f>ROUND(CA566/CA611,2)</f>
        <v>0.44</v>
      </c>
      <c r="CB617" s="61">
        <f>IF(ISERROR((CA617/BS617-1)*100),"NA",IF(((CA617/BS617-1)*100)&gt;100,"NM",IF(((CA617/BS617-1)*100)&lt;-50,"NM",(CA617/BS617-1)*100)))</f>
        <v>-23.737305348679826</v>
      </c>
      <c r="CC617" s="144">
        <f>ROUND(CC566/CC611,2)</f>
        <v>0.27</v>
      </c>
      <c r="CD617" s="61" t="str">
        <f>IF(ISERROR((CC617/BU617-1)*100),"NA",IF(((CC617/BU617-1)*100)&gt;100,"NM",IF(((CC617/BU617-1)*100)&lt;-50,"NM",(CC617/BU617-1)*100)))</f>
        <v>NM</v>
      </c>
      <c r="CE617" s="144">
        <f>ROUND(CE566/CE611,2)</f>
        <v>0.79</v>
      </c>
      <c r="CF617" s="61" t="str">
        <f>IF(ISERROR((CE617/BW617-1)*100),"NA",IF(((CE617/BW617-1)*100)&gt;100,"NM",IF(((CE617/BW617-1)*100)&lt;-50,"NM",(CE617/BW617-1)*100)))</f>
        <v>NM</v>
      </c>
      <c r="CG617" s="144">
        <f>ROUND(CG566/CG611,2)</f>
        <v>0.28000000000000003</v>
      </c>
      <c r="CH617" s="61" t="str">
        <f>IF(ISERROR((CG617/BY617-1)*100),"NA",IF(((CG617/BY617-1)*100)&gt;100,"NM",IF(((CG617/BY617-1)*100)&lt;-50,"NM",(CG617/BY617-1)*100)))</f>
        <v>NM</v>
      </c>
      <c r="CI617" s="144">
        <f>ROUND(CI566/CI611,2)</f>
        <v>0.75</v>
      </c>
      <c r="CJ617" s="61">
        <f>IF(ISERROR((CI617/CA617-1)*100),"NA",IF(((CI617/CA617-1)*100)&gt;100,"NM",IF(((CI617/CA617-1)*100)&lt;-50,"NM",(CI617/CA617-1)*100)))</f>
        <v>70.454545454545453</v>
      </c>
      <c r="CK617" s="144">
        <f>ROUND(CK566/CK611,2)</f>
        <v>0.61</v>
      </c>
      <c r="CL617" s="61" t="str">
        <f>IF(ISERROR((CK617/CC617-1)*100),"NA",IF(((CK617/CC617-1)*100)&gt;100,"NM",IF(((CK617/CC617-1)*100)&lt;-50,"NM",(CK617/CC617-1)*100)))</f>
        <v>NM</v>
      </c>
      <c r="CM617" s="144">
        <f>ROUND(CM566/CM611,2)</f>
        <v>0.97</v>
      </c>
      <c r="CN617" s="61">
        <f>IF(ISERROR((CM617/CE617-1)*100),"NA",IF(((CM617/CE617-1)*100)&gt;100,"NM",IF(((CM617/CE617-1)*100)&lt;-50,"NM",(CM617/CE617-1)*100)))</f>
        <v>22.784810126582265</v>
      </c>
      <c r="CO617" s="144">
        <f>(CO566/CO611)</f>
        <v>0.94595438925335773</v>
      </c>
      <c r="CP617" s="61" t="str">
        <f>IF(ISERROR((CO617/CG617-1)*100),"NA",IF(((CO617/CG617-1)*100)&gt;100,"NM",IF(((CO617/CG617-1)*100)&lt;-50,"NM",(CO617/CG617-1)*100)))</f>
        <v>NM</v>
      </c>
      <c r="CQ617" s="144">
        <f>((CQ566)/CQ611)</f>
        <v>0.4708333333333331</v>
      </c>
      <c r="CR617" s="61">
        <f>IF(ISERROR((CQ617/CI617-1)*100),"NA",IF(((CQ617/CI617-1)*100)&gt;100,"NM",IF(((CQ617/CI617-1)*100)&lt;-50,"NM",(CQ617/CI617-1)*100)))</f>
        <v>-37.222222222222257</v>
      </c>
      <c r="CS617" s="450">
        <f>((CS566)/297.9)</f>
        <v>-1.816045652903659</v>
      </c>
      <c r="CT617" s="61" t="str">
        <f>IF(ISERROR((CS617/CK617-1)*100),"NA",IF(((CS617/CK617-1)*100)&gt;100,"NM",IF(((CS617/CK617-1)*100)&lt;-50,"NM",(CS617/CK617-1)*100)))</f>
        <v>NM</v>
      </c>
      <c r="CU617" s="144">
        <f>((CU566)/CU611)</f>
        <v>0.82122338627914837</v>
      </c>
      <c r="CV617" s="61">
        <f>IF(ISERROR((CU617/CM617-1)*100),"NA",IF(((CU617/CM617-1)*100)&gt;100,"NM",IF(((CU617/CM617-1)*100)&lt;-50,"NM",(CU617/CM617-1)*100)))</f>
        <v>-15.337795228953777</v>
      </c>
      <c r="CW617" s="144">
        <f>((CW566)/CW611)</f>
        <v>1.0931034482758621</v>
      </c>
      <c r="CX617" s="61">
        <f>IF(ISERROR((CW617/CO617-1)*100),"NA",IF(((CW617/CO617-1)*100)&gt;100,"NM",IF(((CW617/CO617-1)*100)&lt;-50,"NM",(CW617/CO617-1)*100)))</f>
        <v>15.555618822028961</v>
      </c>
      <c r="CY617" s="144">
        <f>((CY566)/CY611)</f>
        <v>1.5033368458025993</v>
      </c>
      <c r="CZ617" s="61" t="str">
        <f>IF(ISERROR((CY617/CQ617-1)*100),"NA",IF(((CY617/CQ617-1)*100)&gt;100,"NM",IF(((CY617/CQ617-1)*100)&lt;-50,"NM",(CY617/CQ617-1)*100)))</f>
        <v>NM</v>
      </c>
      <c r="DA617" s="144">
        <f>((DA566)/DA611)</f>
        <v>1.1383849163998576</v>
      </c>
      <c r="DB617" s="61" t="str">
        <f>IF(ISERROR((DA617/CS617-1)*100),"NA",IF(((DA617/CS617-1)*100)&gt;100,"NM",IF(((DA617/CS617-1)*100)&lt;-50,"NM",(DA617/CS617-1)*100)))</f>
        <v>NM</v>
      </c>
      <c r="DC617" s="144">
        <f>((DC566)/DC611)</f>
        <v>0.85786073223259141</v>
      </c>
      <c r="DD617" s="61">
        <f>IF(ISERROR((DC617/CU617-1)*100),"NA",IF(((DC617/CU617-1)*100)&gt;100,"NM",IF(((DC617/CU617-1)*100)&lt;-50,"NM",(DC617/CU617-1)*100)))</f>
        <v>4.4613130319439476</v>
      </c>
      <c r="DE617" s="144">
        <f>((DE566)/DE611)</f>
        <v>1.1498005077983315</v>
      </c>
      <c r="DF617" s="61">
        <f>IF(ISERROR((DE617/CW617-1)*100),"NA",IF(((DE617/CW617-1)*100)&gt;100,"NM",IF(((DE617/CW617-1)*100)&lt;-50,"NM",(DE617/CW617-1)*100)))</f>
        <v>5.1867972433804699</v>
      </c>
      <c r="DG617" s="144">
        <f>((DG566)/DG611)</f>
        <v>1.2312751187431494</v>
      </c>
      <c r="DH617" s="61">
        <f>IF(ISERROR((DG617/CY617-1)*100),"NA",IF(((DG617/CY617-1)*100)&gt;100,"NM",IF(((DG617/CY617-1)*100)&lt;-50,"NM",(DG617/CY617-1)*100)))</f>
        <v>-18.097190115379757</v>
      </c>
      <c r="DI617" s="144">
        <f>((DI566)/DI611)</f>
        <v>1.2866568914956011</v>
      </c>
      <c r="DJ617" s="61">
        <f>IF(ISERROR((DI617/DA617-1)*100),"NA",IF(((DI617/DA617-1)*100)&gt;100,"NM",IF(((DI617/DA617-1)*100)&lt;-50,"NM",(DI617/DA617-1)*100)))</f>
        <v>13.024766312316727</v>
      </c>
      <c r="DK617" s="144">
        <f>((DK566)/DK611)</f>
        <v>1.2054391767732451</v>
      </c>
      <c r="DL617" s="61">
        <f>IF(ISERROR((DK617/DC617-1)*100),"NA",IF(((DK617/DC617-1)*100)&gt;100,"NM",IF(((DK617/DC617-1)*100)&lt;-50,"NM",(DK617/DC617-1)*100)))</f>
        <v>40.516884790387508</v>
      </c>
      <c r="DM617" s="144">
        <f>((DM566)/DM611)</f>
        <v>1.4838229825213836</v>
      </c>
      <c r="DN617" s="130">
        <f t="shared" si="3514"/>
        <v>29.050472012979633</v>
      </c>
      <c r="DO617" s="144">
        <f>((DO566)/DO611)</f>
        <v>1.6529235382308844</v>
      </c>
      <c r="DP617" s="130">
        <f t="shared" si="3514"/>
        <v>34.244858283024662</v>
      </c>
      <c r="DQ617" s="144">
        <f>((DQ566)/DQ611)</f>
        <v>1.3269961977186311</v>
      </c>
      <c r="DR617" s="130">
        <f t="shared" si="3514"/>
        <v>3.1352030591574209</v>
      </c>
      <c r="DS617" s="144">
        <f>((DS566)/DS611)</f>
        <v>1.1511895625479662</v>
      </c>
      <c r="DT617" s="130">
        <f t="shared" si="3514"/>
        <v>-4.5004024483836558</v>
      </c>
      <c r="DU617" s="144">
        <f>((DU566)/DU611)</f>
        <v>1.3495488426834052</v>
      </c>
      <c r="DV617" s="130">
        <f t="shared" si="3514"/>
        <v>-9.0492020557474628</v>
      </c>
      <c r="DW617" s="144">
        <f>((DW566)/DW611)</f>
        <v>0.86887835703001581</v>
      </c>
      <c r="DX617" s="144">
        <f t="shared" ref="DX617:DY617" si="3543">((DX566)/DX611)</f>
        <v>0.86887835703001581</v>
      </c>
      <c r="DY617" s="144">
        <f t="shared" si="3543"/>
        <v>1.1370028123744476</v>
      </c>
      <c r="DZ617" s="130">
        <f t="shared" si="3514"/>
        <v>-14.317553107598934</v>
      </c>
      <c r="EA617" s="144">
        <f t="shared" ref="EA617:EC617" si="3544">((EA566)/EA611)</f>
        <v>0.82007343941248467</v>
      </c>
      <c r="EB617" s="130">
        <f t="shared" si="3516"/>
        <v>-28.762953896368828</v>
      </c>
      <c r="EC617" s="144">
        <f t="shared" si="3544"/>
        <v>1.3547311379741558</v>
      </c>
      <c r="ED617" s="130">
        <f t="shared" si="3517"/>
        <v>0.38400205511985863</v>
      </c>
      <c r="EE617" s="144">
        <f t="shared" ref="EE617:EG617" si="3545">((EE566)/EE611)</f>
        <v>1.9991438356164384</v>
      </c>
      <c r="EF617" s="130" t="str">
        <f t="shared" si="3518"/>
        <v>NM</v>
      </c>
      <c r="EG617" s="144">
        <f t="shared" si="3545"/>
        <v>0.82286704200952787</v>
      </c>
      <c r="EH617" s="130">
        <f t="shared" si="3519"/>
        <v>-27.628407506653186</v>
      </c>
      <c r="EI617" s="144">
        <f t="shared" ref="EI617:EK617" si="3546">((EI566)/EI611)</f>
        <v>1.8904823989569752</v>
      </c>
      <c r="EJ617" s="130" t="str">
        <f t="shared" si="3520"/>
        <v>NM</v>
      </c>
      <c r="EK617" s="144">
        <f t="shared" si="3546"/>
        <v>1.8093770636143518</v>
      </c>
      <c r="EL617" s="130">
        <f t="shared" si="3521"/>
        <v>33.559863864948625</v>
      </c>
      <c r="EM617" s="144">
        <f>((EM566)/EM611)</f>
        <v>1.866904868244752</v>
      </c>
      <c r="EN617" s="130">
        <f t="shared" si="3522"/>
        <v>-6.6147800381211823</v>
      </c>
      <c r="EO617" s="144">
        <f>((EO566)/EO611)</f>
        <v>3.6773321315908065</v>
      </c>
      <c r="EP617" s="130" t="str">
        <f t="shared" si="3523"/>
        <v>NM</v>
      </c>
      <c r="EQ617" s="144">
        <f t="shared" ref="EQ617:EW617" si="3547">ROUND(EQ566/EQ611,2)</f>
        <v>1.65</v>
      </c>
      <c r="ER617" s="130">
        <f t="shared" si="3525"/>
        <v>-12.720689655172423</v>
      </c>
      <c r="ES617" s="144">
        <f t="shared" si="3547"/>
        <v>1.77</v>
      </c>
      <c r="ET617" s="130">
        <f t="shared" si="3526"/>
        <v>-2.1762773722627804</v>
      </c>
      <c r="EU617" s="144">
        <f t="shared" si="3547"/>
        <v>1.77</v>
      </c>
      <c r="EV617" s="130">
        <f t="shared" si="3527"/>
        <v>-5.1906698564593174</v>
      </c>
      <c r="EW617" s="144">
        <f t="shared" si="3547"/>
        <v>1.84</v>
      </c>
      <c r="EX617" s="130">
        <f t="shared" si="3528"/>
        <v>-49.963725490196076</v>
      </c>
      <c r="EY617" s="64"/>
      <c r="EZ617" s="558"/>
      <c r="FA617" s="64"/>
      <c r="FB617" s="144">
        <f>FB566/FB611</f>
        <v>2.7673410972751356</v>
      </c>
      <c r="FC617" s="71"/>
      <c r="FD617" s="144">
        <f>FD566/FD611</f>
        <v>2.2974051896207581</v>
      </c>
      <c r="FE617" s="70">
        <f>IF(ISERROR((FD617/FB617-1)*100),"NA",IF(((FD617/FB617-1)*100)&gt;100,"NM",IF(((FD617/FB617-1)*100)&lt;-50,"NM",(FD617/FB617-1)*100)))</f>
        <v>-16.981495635543453</v>
      </c>
      <c r="FF617" s="144">
        <f>C617+E617+G617+I617</f>
        <v>3.5999999999999996</v>
      </c>
      <c r="FG617" s="70">
        <f>IF(ISERROR((FF617/FD617-1)*100),"NA",IF(((FF617/FD617-1)*100)&gt;100,"NM",IF(((FF617/FD617-1)*100)&lt;-50,"NM",(FF617/FD617-1)*100)))</f>
        <v>56.698523023457881</v>
      </c>
      <c r="FH617" s="144">
        <f>K617+M617+O617+Q617</f>
        <v>2.93</v>
      </c>
      <c r="FI617" s="70">
        <f>IF(ISERROR((FH617/FF617-1)*100),"NA",IF(((FH617/FF617-1)*100)&gt;100,"NM",IF(((FH617/FF617-1)*100)&lt;-50,"NM",(FH617/FF617-1)*100)))</f>
        <v>-18.6111111111111</v>
      </c>
      <c r="FJ617" s="144">
        <f>S617+U617+W617+Y617</f>
        <v>0.25999999999999995</v>
      </c>
      <c r="FK617" s="70" t="str">
        <f>IF(ISERROR((FJ617/FH617-1)*100),"NA",IF(((FJ617/FH617-1)*100)&gt;100,"NM",IF(((FJ617/FH617-1)*100)&lt;-50,"NM",(FJ617/FH617-1)*100)))</f>
        <v>NM</v>
      </c>
      <c r="FL617" s="144">
        <f>AA617+AC617+AE617+AG617</f>
        <v>2.85</v>
      </c>
      <c r="FM617" s="61" t="str">
        <f>IF(ISERROR((FL617/FJ617-1)*100),"NA",IF(((FL617/FJ617-1)*100)&gt;100,"NM",IF(((FL617/FJ617-1)*100)&lt;-50,"NM",(FL617/FJ617-1)*100)))</f>
        <v>NM</v>
      </c>
      <c r="FN617" s="144">
        <f>AI617+AK617+AM617+AO617</f>
        <v>3.95</v>
      </c>
      <c r="FO617" s="61">
        <f>IF(ISERROR((FN617/FL617-1)*100),"NA",IF(((FN617/FL617-1)*100)&gt;100,"NM",IF(((FN617/FL617-1)*100)&lt;-50,"NM",(FN617/FL617-1)*100)))</f>
        <v>38.596491228070185</v>
      </c>
      <c r="FP617" s="388">
        <f>AQ617+AS617+AU617+AW617</f>
        <v>5.4399999999999995</v>
      </c>
      <c r="FQ617" s="61">
        <f t="shared" si="3354"/>
        <v>85.66552901023887</v>
      </c>
      <c r="FR617" s="388">
        <f>AY617+BA617+BC617+BE617</f>
        <v>5.08</v>
      </c>
      <c r="FS617" s="61">
        <f>IF(ISERROR((FR617/FP617-1)*100),"NA",IF(((FR617/FP617-1)*100)&gt;100,"NM",IF(((FR617/FP617-1)*100)&lt;-50,"NM",(FR617/FP617-1)*100)))</f>
        <v>-6.6176470588235166</v>
      </c>
      <c r="FT617" s="388">
        <f>BG617+BI617+BK617+BM617</f>
        <v>4.3499999999999996</v>
      </c>
      <c r="FU617" s="61">
        <f>IF(ISERROR((FT617/FR617-1)*100),"NA",IF(((FT617/FR617-1)*100)&gt;100,"NM",IF(((FT617/FR617-1)*100)&lt;-50,"NM",(FT617/FR617-1)*100)))</f>
        <v>-14.370078740157489</v>
      </c>
      <c r="FV617" s="144">
        <f>ROUND(FV566/FV611,2)</f>
        <v>0.22</v>
      </c>
      <c r="FW617" s="61" t="str">
        <f>IF(ISERROR((FV617/FT617-1)*100),"NA",IF(((FV617/FT617-1)*100)&gt;100,"NM",IF(((FV617/FT617-1)*100)&lt;-50,"NM",(FV617/FT617-1)*100)))</f>
        <v>NM</v>
      </c>
      <c r="FX617" s="144">
        <f>ROUND(FX566/FX611,2)</f>
        <v>-1.82</v>
      </c>
      <c r="FY617" s="61" t="str">
        <f>IF(ISERROR((FX617/FV617-1)*100),"NA",IF(((FX617/FV617-1)*100)&gt;100,"NM",IF(((FX617/FV617-1)*100)&lt;-50,"NM",(FX617/FV617-1)*100)))</f>
        <v>NM</v>
      </c>
      <c r="FZ617" s="144">
        <f>ROUND(FZ566/FZ611,2)</f>
        <v>2.42</v>
      </c>
      <c r="GA617" s="61" t="str">
        <f>IF(ISERROR((FZ617/FX617-1)*100),"NA",IF(((FZ617/FX617-1)*100)&gt;100,"NM",IF(((FZ617/FX617-1)*100)&lt;-50,"NM",(FZ617/FX617-1)*100)))</f>
        <v>NM</v>
      </c>
      <c r="GB617" s="144">
        <f>ROUND(GB566/GB611,2)</f>
        <v>0.71</v>
      </c>
      <c r="GC617" s="61" t="str">
        <f>IF(ISERROR((GB617/FZ617-1)*100),"NA",IF(((GB617/FZ617-1)*100)&gt;100,"NM",IF(((GB617/FZ617-1)*100)&lt;-50,"NM",(GB617/FZ617-1)*100)))</f>
        <v>NM</v>
      </c>
      <c r="GD617" s="144">
        <f>ROUND(GD566/GD611,2)</f>
        <v>4.55</v>
      </c>
      <c r="GE617" s="61" t="str">
        <f>IF(ISERROR((GD617/GB617-1)*100),"NA",IF(((GD617/GB617-1)*100)&gt;100,"NM",IF(((GD617/GB617-1)*100)&lt;-50,"NM",(GD617/GB617-1)*100)))</f>
        <v>NM</v>
      </c>
      <c r="GF617" s="144">
        <f>ROUND(GF566/GF611,2)</f>
        <v>4.5199999999999996</v>
      </c>
      <c r="GG617" s="61">
        <f>IF(ISERROR((GF617/GD617-1)*100),"NA",IF(((GF617/GD617-1)*100)&gt;100,"NM",IF(((GF617/GD617-1)*100)&lt;-50,"NM",(GF617/GD617-1)*100)))</f>
        <v>-0.6593406593406681</v>
      </c>
      <c r="GH617" s="144">
        <f>ROUND(GH566/GH611,2)</f>
        <v>5.66</v>
      </c>
      <c r="GI617" s="61">
        <f>IF(ISERROR((GH617/GF617-1)*100),"NA",IF(((GH617/GF617-1)*100)&gt;100,"NM",IF(((GH617/GF617-1)*100)&lt;-50,"NM",(GH617/GF617-1)*100)))</f>
        <v>25.221238938053105</v>
      </c>
      <c r="GJ617" s="144">
        <f>ROUND(GJ566/GJ611,2)</f>
        <v>4.51</v>
      </c>
      <c r="GK617" s="61">
        <f>IF(ISERROR((GJ617/GH617-1)*100),"NA",IF(((GJ617/GH617-1)*100)&gt;100,"NM",IF(((GJ617/GH617-1)*100)&lt;-50,"NM",(GJ617/GH617-1)*100)))</f>
        <v>-20.318021201413437</v>
      </c>
      <c r="GL617" s="144">
        <f>ROUND(GL566/GL611,2)</f>
        <v>4.9800000000000004</v>
      </c>
      <c r="GM617" s="61">
        <f>IF(ISERROR((GL617/GJ617-1)*100),"NA",IF(((GL617/GJ617-1)*100)&gt;100,"NM",IF(((GL617/GJ617-1)*100)&lt;-50,"NM",(GL617/GJ617-1)*100)))</f>
        <v>10.421286031042154</v>
      </c>
      <c r="GN617" s="144">
        <f>ROUND(GN566/GN611,2)</f>
        <v>9.2100000000000009</v>
      </c>
      <c r="GO617" s="61">
        <f>IF(ISERROR((GN617/GL617-1)*100),"NA",IF(((GN617/GL617-1)*100)&gt;100,"NM",IF(((GN617/GL617-1)*100)&lt;-50,"NM",(GN617/GL617-1)*100)))</f>
        <v>84.939759036144565</v>
      </c>
      <c r="GP617" s="144">
        <f>ROUND(GP566/GP611,2)</f>
        <v>7.02</v>
      </c>
      <c r="GQ617" s="61">
        <f>IF(ISERROR((GP617/GN617-1)*100),"NA",IF(((GP617/GN617-1)*100)&gt;100,"NM",IF(((GP617/GN617-1)*100)&lt;-50,"NM",(GP617/GN617-1)*100)))</f>
        <v>-23.778501628664507</v>
      </c>
      <c r="GR617" s="144">
        <f>GR566/GR611</f>
        <v>7.6646339470557541</v>
      </c>
      <c r="GS617" s="61">
        <f>IF(ISERROR((GR617/GP617-1)*100),"NA",IF(((GR617/GP617-1)*100)&gt;100,"NM",IF(((GR617/GP617-1)*100)&lt;-50,"NM",(GR617/GP617-1)*100)))</f>
        <v>9.1828197586289804</v>
      </c>
      <c r="GT617" s="144">
        <f>GT566/GT611</f>
        <v>8.9365177717989432</v>
      </c>
      <c r="GU617" s="61">
        <f>IF(ISERROR((GT617/GR617-1)*100),"NA",IF(((GT617/GR617-1)*100)&gt;100,"NM",IF(((GT617/GR617-1)*100)&lt;-50,"NM",(GT617/GR617-1)*100)))</f>
        <v>16.594188757465233</v>
      </c>
      <c r="GV617" s="144">
        <f>GV566/GV611</f>
        <v>9.8134719425644583</v>
      </c>
      <c r="GW617" s="61">
        <f>IF(ISERROR((GV617/GT617-1)*100),"NA",IF(((GV617/GT617-1)*100)&gt;100,"NM",IF(((GV617/GT617-1)*100)&lt;-50,"NM",(GV617/GT617-1)*100)))</f>
        <v>9.8131531001138796</v>
      </c>
      <c r="GX617" s="144">
        <f>GX566/GX611</f>
        <v>10.693881028423485</v>
      </c>
      <c r="GY617" s="61">
        <f>IF(ISERROR((GX617/GV617-1)*100),"NA",IF(((GX617/GV617-1)*100)&gt;100,"NM",IF(((GX617/GV617-1)*100)&lt;-50,"NM",(GX617/GV617-1)*100)))</f>
        <v>8.9714332604384772</v>
      </c>
      <c r="GZ617" s="61">
        <f t="shared" si="3427"/>
        <v>3.0327149025566325</v>
      </c>
      <c r="HA617" s="61"/>
      <c r="HB617" s="452"/>
      <c r="HC617"/>
      <c r="HD617"/>
      <c r="HE617"/>
      <c r="HF617"/>
      <c r="HG617"/>
      <c r="HH617"/>
    </row>
    <row r="618" spans="1:216" s="5" customFormat="1" ht="12.75" customHeight="1" x14ac:dyDescent="0.2">
      <c r="A618" s="5" t="s">
        <v>483</v>
      </c>
      <c r="B618" s="105" t="s">
        <v>385</v>
      </c>
      <c r="C618" s="144">
        <f>C614-(C538-C536)/C611</f>
        <v>0.86976506639427986</v>
      </c>
      <c r="D618" s="70"/>
      <c r="E618" s="144">
        <f>E614-(E538-E536)/E611</f>
        <v>0.89226804123711334</v>
      </c>
      <c r="F618" s="71"/>
      <c r="G618" s="144">
        <f>G614-(G538-G536)/G611</f>
        <v>0.97494887525562368</v>
      </c>
      <c r="H618" s="71"/>
      <c r="I618" s="144">
        <f>I614-(I538-I536)/I611</f>
        <v>0.94575664621676903</v>
      </c>
      <c r="J618" s="71"/>
      <c r="K618" s="144">
        <f>K614-(K538-K536)/K611</f>
        <v>0.86422302529685091</v>
      </c>
      <c r="L618" s="61">
        <f>IF(ISERROR((K618/C618-1)*100),"NA",IF(((K618/C618-1)*100)&gt;100,"NM",IF(((K618/C618-1)*100)&lt;-50,"NM",(K618/C618-1)*100)))</f>
        <v>-0.63718828354467627</v>
      </c>
      <c r="M618" s="144">
        <f>M614-(M538-M536)/M611</f>
        <v>0.81927083333333339</v>
      </c>
      <c r="N618" s="61">
        <f>IF(ISERROR((M618/E618-1)*100),"NA",IF(((M618/E618-1)*100)&gt;100,"NM",IF(((M618/E618-1)*100)&lt;-50,"NM",(M618/E618-1)*100)))</f>
        <v>-8.1810851145773018</v>
      </c>
      <c r="O618" s="144">
        <f>O614-(O538-O536)/O611</f>
        <v>0.68788501026694038</v>
      </c>
      <c r="P618" s="61">
        <f>IF(ISERROR((O618/G618-1)*100),"NA",IF(((O618/G618-1)*100)&gt;100,"NM",IF(((O618/G618-1)*100)&lt;-50,"NM",(O618/G618-1)*100)))</f>
        <v>-29.443991605551368</v>
      </c>
      <c r="Q618" s="144">
        <f>Q614-(Q538-Q536)/Q611</f>
        <v>0.96784232365145217</v>
      </c>
      <c r="R618" s="61">
        <f>IF(ISERROR((Q618/I618-1)*100),"NA",IF(((Q618/I618-1)*100)&gt;100,"NM",IF(((Q618/I618-1)*100)&lt;-50,"NM",(Q618/I618-1)*100)))</f>
        <v>2.3352389351986691</v>
      </c>
      <c r="S618" s="144">
        <f>S614-(S538-S536)/S611</f>
        <v>0.8057894736842105</v>
      </c>
      <c r="T618" s="61">
        <f>IF(ISERROR((S618/K618-1)*100),"NA",IF(((S618/K618-1)*100)&gt;100,"NM",IF(((S618/K618-1)*100)&lt;-50,"NM",(S618/K618-1)*100)))</f>
        <v>-6.7613972206502115</v>
      </c>
      <c r="U618" s="144">
        <f>U614-(U538-U536)/U611</f>
        <v>0.61538461538461542</v>
      </c>
      <c r="V618" s="61">
        <f>IF(ISERROR((U618/M618-1)*100),"NA",IF(((U618/M618-1)*100)&gt;100,"NM",IF(((U618/M618-1)*100)&lt;-50,"NM",(U618/M618-1)*100)))</f>
        <v>-24.886302508680135</v>
      </c>
      <c r="W618" s="144">
        <f>W614-(W538-W536)/W611</f>
        <v>0.3398586188145738</v>
      </c>
      <c r="X618" s="61" t="str">
        <f>IF(ISERROR((W618/O618-1)*100),"NA",IF(((W618/O618-1)*100)&gt;100,"NM",IF(((W618/O618-1)*100)&lt;-50,"NM",(W618/O618-1)*100)))</f>
        <v>NM</v>
      </c>
      <c r="Y618" s="144">
        <f>Y614-(Y538-Y536)/Y611</f>
        <v>0.55953046394633865</v>
      </c>
      <c r="Z618" s="61">
        <f>IF(ISERROR((Y618/Q618-1)*100),"NA",IF(((Y618/Q618-1)*100)&gt;100,"NM",IF(((Y618/Q618-1)*100)&lt;-50,"NM",(Y618/Q618-1)*100)))</f>
        <v>-42.187849169960288</v>
      </c>
      <c r="AA618" s="144">
        <f>AA614-(AA538-AA536)/AA611</f>
        <v>0.58721256309590575</v>
      </c>
      <c r="AB618" s="61">
        <f>IF(ISERROR((AA618/S618-1)*100),"NA",IF(((AA618/S618-1)*100)&gt;100,"NM",IF(((AA618/S618-1)*100)&lt;-50,"NM",(AA618/S618-1)*100)))</f>
        <v>-27.125808629508754</v>
      </c>
      <c r="AC618" s="144">
        <f>AC614-(AC538-AC536)/AC611</f>
        <v>0.85546875000000011</v>
      </c>
      <c r="AD618" s="61">
        <f>IF(ISERROR((AC618/U618-1)*100),"NA",IF(((AC618/U618-1)*100)&gt;100,"NM",IF(((AC618/U618-1)*100)&lt;-50,"NM",(AC618/U618-1)*100)))</f>
        <v>39.013671875</v>
      </c>
      <c r="AE618" s="144">
        <f>AE614-(AE538-AE536)/AE611</f>
        <v>0.86770428015564194</v>
      </c>
      <c r="AF618" s="61" t="str">
        <f>IF(ISERROR((AE618/W618-1)*100),"NA",IF(((AE618/W618-1)*100)&gt;100,"NM",IF(((AE618/W618-1)*100)&lt;-50,"NM",(AE618/W618-1)*100)))</f>
        <v>NM</v>
      </c>
      <c r="AG618" s="144">
        <f>AG614-(AG538-AG536)/AG611</f>
        <v>0.99057649667405756</v>
      </c>
      <c r="AH618" s="61">
        <f>IF(ISERROR((AG618/Y618-1)*100),"NA",IF(((AG618/Y618-1)*100)&gt;100,"NM",IF(((AG618/Y618-1)*100)&lt;-50,"NM",(AG618/Y618-1)*100)))</f>
        <v>77.037098156832087</v>
      </c>
      <c r="AI618" s="144">
        <f>AI614-(AI538-AI536)/AI611</f>
        <v>0.967991169977925</v>
      </c>
      <c r="AJ618" s="61">
        <f>IF(ISERROR((AI618/AA618-1)*100),"NA",IF(((AI618/AA618-1)*100)&gt;100,"NM",IF(((AI618/AA618-1)*100)&lt;-50,"NM",(AI618/AA618-1)*100)))</f>
        <v>64.845105641894961</v>
      </c>
      <c r="AK618" s="144">
        <f>AK614-(AK538-AK536)/AK611</f>
        <v>1.0058236272878536</v>
      </c>
      <c r="AL618" s="61">
        <f>IF(ISERROR((AK618/AC618-1)*100),"NA",IF(((AK618/AC618-1)*100)&gt;100,"NM",IF(((AK618/AC618-1)*100)&lt;-50,"NM",(AK618/AC618-1)*100)))</f>
        <v>17.575729947803875</v>
      </c>
      <c r="AM618" s="144">
        <f>AM614-(AM538-AM536)/AM611</f>
        <v>1.003376477208779</v>
      </c>
      <c r="AN618" s="61">
        <f>IF(ISERROR((AM618/AE618-1)*100),"NA",IF(((AM618/AE618-1)*100)&gt;100,"NM",IF(((AM618/AE618-1)*100)&lt;-50,"NM",(AM618/AE618-1)*100)))</f>
        <v>15.635764413747189</v>
      </c>
      <c r="AO618" s="144">
        <f>AO614-(AO538-AO536)/AO611</f>
        <v>1.0745331069609509</v>
      </c>
      <c r="AP618" s="61">
        <f>IF(ISERROR((AO618/AG618-1)*100),"NA",IF(((AO618/AG618-1)*100)&gt;100,"NM",IF(((AO618/AG618-1)*100)&lt;-50,"NM",(AO618/AG618-1)*100)))</f>
        <v>8.4755302158676891</v>
      </c>
      <c r="AQ618" s="144">
        <f>AQ614-(AQ538-AQ536)/AQ611</f>
        <v>1.1808720271800683</v>
      </c>
      <c r="AR618" s="61">
        <f>IF(ISERROR((AQ618/AI618-1)*100),"NA",IF(((AQ618/AI618-1)*100)&gt;100,"NM",IF(((AQ618/AI618-1)*100)&lt;-50,"NM",(AQ618/AI618-1)*100)))</f>
        <v>21.99202470070032</v>
      </c>
      <c r="AS618" s="144">
        <f>AS614-(AS538-AS536)/AS611</f>
        <v>1.1109635119726342</v>
      </c>
      <c r="AT618" s="61">
        <f>IF(ISERROR((AS618/AK618-1)*100),"NA",IF(((AS618/AK618-1)*100)&gt;100,"NM",IF(((AS618/AK618-1)*100)&lt;-50,"NM",(AS618/AK618-1)*100)))</f>
        <v>10.453113431853289</v>
      </c>
      <c r="AU618" s="144">
        <f>AU614-(AU538-AU536)/AU611</f>
        <v>1.1926393629123999</v>
      </c>
      <c r="AV618" s="61">
        <f>IF(ISERROR((AU618/AM618-1)*100),"NA",IF(((AU618/AM618-1)*100)&gt;100,"NM",IF(((AU618/AM618-1)*100)&lt;-50,"NM",(AU618/AM618-1)*100)))</f>
        <v>18.862599433277303</v>
      </c>
      <c r="AW618" s="144">
        <f>AW614-(AW538-AW536)/AW611</f>
        <v>1.45376557191393</v>
      </c>
      <c r="AX618" s="61">
        <f>IF(ISERROR((AW618/AO618-1)*100),"NA",IF(((AW618/AO618-1)*100)&gt;100,"NM",IF(((AW618/AO618-1)*100)&lt;-50,"NM",(AW618/AO618-1)*100)))</f>
        <v>35.292766923258753</v>
      </c>
      <c r="AY618" s="144">
        <f>AY614-(AY538-AY536)/AY611</f>
        <v>1.3881956155143336</v>
      </c>
      <c r="AZ618" s="61">
        <f>IF(ISERROR((AY618/AQ618-1)*100),"NA",IF(((AY618/AQ618-1)*100)&gt;100,"NM",IF(((AY618/AQ618-1)*100)&lt;-50,"NM",(AY618/AQ618-1)*100)))</f>
        <v>17.556821023981371</v>
      </c>
      <c r="BA618" s="144">
        <f>BA614-(BA538-BA536)/BA611</f>
        <v>1.0419674451521583</v>
      </c>
      <c r="BB618" s="61">
        <f t="shared" si="3344"/>
        <v>-6.2104710079961105</v>
      </c>
      <c r="BC618" s="144">
        <f>BC614-(BC538-BC536)/BC611</f>
        <v>1.1570821529745046</v>
      </c>
      <c r="BD618" s="61">
        <f t="shared" si="3345"/>
        <v>-2.9813882589842966</v>
      </c>
      <c r="BE618" s="144">
        <f>BE614-(BE538-BE536)/BE611</f>
        <v>1.199928673323823</v>
      </c>
      <c r="BF618" s="61">
        <f t="shared" si="3346"/>
        <v>-17.460648641989941</v>
      </c>
      <c r="BG618" s="144">
        <f>BG614-(BG538-BG536)/BG611</f>
        <v>1.1606440071556354</v>
      </c>
      <c r="BH618" s="61">
        <f>IF(ISERROR((BG618/AY618-1)*100),"NA",IF(((BG618/AY618-1)*100)&gt;100,"NM",IF(((BG618/AY618-1)*100)&lt;-50,"NM",(BG618/AY618-1)*100)))</f>
        <v>-16.391897929629252</v>
      </c>
      <c r="BI618" s="388">
        <f>(BI536-BI539)/BI611</f>
        <v>1.1833090379008748</v>
      </c>
      <c r="BJ618" s="61">
        <f>IF(ISERROR((BI618/BA618-1)*100),"NA",IF(((BI618/BA618-1)*100)&gt;100,"NM",IF(((BI618/BA618-1)*100)&lt;-50,"NM",(BI618/BA618-1)*100)))</f>
        <v>13.564876081908327</v>
      </c>
      <c r="BK618" s="388">
        <f>(BK536-BK539)/BK611</f>
        <v>1.2304587155963302</v>
      </c>
      <c r="BL618" s="61">
        <f>IF(ISERROR((BK618/BC618-1)*100),"NA",IF(((BK618/BC618-1)*100)&gt;100,"NM",IF(((BK618/BC618-1)*100)&lt;-50,"NM",(BK618/BC618-1)*100)))</f>
        <v>6.3415171025840378</v>
      </c>
      <c r="BM618" s="388">
        <f>(BM536-BM539)/BM611</f>
        <v>1.3233110616184107</v>
      </c>
      <c r="BN618" s="61">
        <f>IF(ISERROR((BM618/BE618-1)*100),"NA",IF(((BM618/BE618-1)*100)&gt;100,"NM",IF(((BM618/BE618-1)*100)&lt;-50,"NM",(BM618/BE618-1)*100)))</f>
        <v>10.28247687029733</v>
      </c>
      <c r="BO618" s="388">
        <f>(BO536-BO539)/BO611</f>
        <v>1.1586757990867584</v>
      </c>
      <c r="BP618" s="61">
        <f>IF(ISERROR((BO618/BG618-1)*100),"NA",IF(((BO618/BG618-1)*100)&gt;100,"NM",IF(((BO618/BG618-1)*100)&lt;-50,"NM",(BO618/BG618-1)*100)))</f>
        <v>-0.16957896277778328</v>
      </c>
      <c r="BQ618" s="388">
        <f>(BQ536-BQ539)/BQ611</f>
        <v>1.1887519260400619</v>
      </c>
      <c r="BR618" s="61">
        <f>IF(ISERROR((BQ618/BI618-1)*100),"NA",IF(((BQ618/BI618-1)*100)&gt;100,"NM",IF(((BQ618/BI618-1)*100)&lt;-50,"NM",(BQ618/BI618-1)*100)))</f>
        <v>0.45997182180255169</v>
      </c>
      <c r="BS618" s="388">
        <f>(BS536-BS539)/BS611</f>
        <v>1.2226125094606926</v>
      </c>
      <c r="BT618" s="61">
        <f>IF(ISERROR((BS618/BK618-1)*100),"NA",IF(((BS618/BK618-1)*100)&gt;100,"NM",IF(((BS618/BK618-1)*100)&lt;-50,"NM",(BS618/BK618-1)*100)))</f>
        <v>-0.63766512733709479</v>
      </c>
      <c r="BU618" s="388">
        <f>(BU536-BU539)/BU611</f>
        <v>0.83035714285714224</v>
      </c>
      <c r="BV618" s="61">
        <f>IF(ISERROR((BU618/BM618-1)*100),"NA",IF(((BU618/BM618-1)*100)&gt;100,"NM",IF(((BU618/BM618-1)*100)&lt;-50,"NM",(BU618/BM618-1)*100)))</f>
        <v>-37.251552795031074</v>
      </c>
      <c r="BW618" s="388">
        <f>(BW536-BW539)/BW611</f>
        <v>0.75833979829325082</v>
      </c>
      <c r="BX618" s="61">
        <f>IF(ISERROR((BW618/BO618-1)*100),"NA",IF(((BW618/BO618-1)*100)&gt;100,"NM",IF(((BW618/BO618-1)*100)&lt;-50,"NM",(BW618/BO618-1)*100)))</f>
        <v>-34.551166176858381</v>
      </c>
      <c r="BY618" s="388">
        <f>(BY536-BY539)/BY611</f>
        <v>0.79001524390243971</v>
      </c>
      <c r="BZ618" s="61">
        <f>IF(ISERROR((BY618/BQ618-1)*100),"NA",IF(((BY618/BQ618-1)*100)&gt;100,"NM",IF(((BY618/BQ618-1)*100)&lt;-50,"NM",(BY618/BQ618-1)*100)))</f>
        <v>-33.542463604318442</v>
      </c>
      <c r="CA618" s="388">
        <f>(CA536-CA539)/CA611</f>
        <v>0.79099999999999959</v>
      </c>
      <c r="CB618" s="61">
        <f>IF(ISERROR((CA618/BS618-1)*100),"NA",IF(((CA618/BS618-1)*100)&gt;100,"NM",IF(((CA618/BS618-1)*100)&lt;-50,"NM",(CA618/BS618-1)*100)))</f>
        <v>-35.302477777777838</v>
      </c>
      <c r="CC618" s="388">
        <f>(CC536-CC539)/CC611</f>
        <v>0.90340179717586644</v>
      </c>
      <c r="CD618" s="61">
        <f>IF(ISERROR((CC618/BU618-1)*100),"NA",IF(((CC618/BU618-1)*100)&gt;100,"NM",IF(((CC618/BU618-1)*100)&lt;-50,"NM",(CC618/BU618-1)*100)))</f>
        <v>8.7967755738678655</v>
      </c>
      <c r="CE618" s="388">
        <f>(CE536-CE539)/CE611</f>
        <v>0.84850038451679077</v>
      </c>
      <c r="CF618" s="61">
        <f>IF(ISERROR((CE618/BW618-1)*100),"NA",IF(((CE618/BW618-1)*100)&gt;100,"NM",IF(((CE618/BW618-1)*100)&lt;-50,"NM",(CE618/BW618-1)*100)))</f>
        <v>11.889206715308752</v>
      </c>
      <c r="CG618" s="388">
        <f>(CG536-CG539)/CG611</f>
        <v>0.86586141131595684</v>
      </c>
      <c r="CH618" s="61">
        <f>IF(ISERROR((CG618/BY618-1)*100),"NA",IF(((CG618/BY618-1)*100)&gt;100,"NM",IF(((CG618/BY618-1)*100)&lt;-50,"NM",(CG618/BY618-1)*100)))</f>
        <v>9.6005954314070774</v>
      </c>
      <c r="CI618" s="388">
        <f>(CI536-CI539)/CI611</f>
        <v>0.86152901443045737</v>
      </c>
      <c r="CJ618" s="61">
        <f>IF(ISERROR((CI618/CA618-1)*100),"NA",IF(((CI618/CA618-1)*100)&gt;100,"NM",IF(((CI618/CA618-1)*100)&lt;-50,"NM",(CI618/CA618-1)*100)))</f>
        <v>8.9164367168720347</v>
      </c>
      <c r="CK618" s="388">
        <f>(CK536-CK539)/CK611</f>
        <v>0.92022263450834818</v>
      </c>
      <c r="CL618" s="61">
        <f>IF(ISERROR((CK618/CC618-1)*100),"NA",IF(((CK618/CC618-1)*100)&gt;100,"NM",IF(((CK618/CC618-1)*100)&lt;-50,"NM",(CK618/CC618-1)*100)))</f>
        <v>1.8619441963770189</v>
      </c>
      <c r="CM618" s="388">
        <f>(CM536-CM539)/CM611</f>
        <v>0.85444410034066343</v>
      </c>
      <c r="CN618" s="61">
        <f>IF(ISERROR((CM618/CE618-1)*100),"NA",IF(((CM618/CE618-1)*100)&gt;100,"NM",IF(((CM618/CE618-1)*100)&lt;-50,"NM",(CM618/CE618-1)*100)))</f>
        <v>0.70049653863828443</v>
      </c>
      <c r="CO618" s="388">
        <f>(CO536-CO539)/CO611</f>
        <v>0.9087785067166505</v>
      </c>
      <c r="CP618" s="61">
        <f>IF(ISERROR((CO618/CG618-1)*100),"NA",IF(((CO618/CG618-1)*100)&gt;100,"NM",IF(((CO618/CG618-1)*100)&lt;-50,"NM",(CO618/CG618-1)*100)))</f>
        <v>4.9565779049406178</v>
      </c>
      <c r="CQ618" s="388">
        <f>(CQ536-CQ539)/CQ611</f>
        <v>1.0028846153846152</v>
      </c>
      <c r="CR618" s="61">
        <f>IF(ISERROR((CQ618/CI618-1)*100),"NA",IF(((CQ618/CI618-1)*100)&gt;100,"NM",IF(((CQ618/CI618-1)*100)&lt;-50,"NM",(CQ618/CI618-1)*100)))</f>
        <v>16.407526454301212</v>
      </c>
      <c r="CS618" s="388">
        <f>(CS536-CS539)/CS611</f>
        <v>0.92287409360580097</v>
      </c>
      <c r="CT618" s="61">
        <f>IF(ISERROR((CS618/CK618-1)*100),"NA",IF(((CS618/CK618-1)*100)&gt;100,"NM",IF(((CS618/CK618-1)*100)&lt;-50,"NM",(CS618/CK618-1)*100)))</f>
        <v>0.2881323495014243</v>
      </c>
      <c r="CU618" s="388">
        <f>(CU536-CU539)/CU611</f>
        <v>0.9901993916863806</v>
      </c>
      <c r="CV618" s="61">
        <f>IF(ISERROR((CU618/CM618-1)*100),"NA",IF(((CU618/CM618-1)*100)&gt;100,"NM",IF(((CU618/CM618-1)*100)&lt;-50,"NM",(CU618/CM618-1)*100)))</f>
        <v>15.88814192661545</v>
      </c>
      <c r="CW618" s="388">
        <f>(CW536-CW539)/CW611</f>
        <v>1.0172413793103448</v>
      </c>
      <c r="CX618" s="61">
        <f>IF(ISERROR((CW618/CO618-1)*100),"NA",IF(((CW618/CO618-1)*100)&gt;100,"NM",IF(((CW618/CO618-1)*100)&lt;-50,"NM",(CW618/CO618-1)*100)))</f>
        <v>11.935017365844459</v>
      </c>
      <c r="CY618" s="388">
        <f>(CY536-CY539)/CY611</f>
        <v>1.152089919213207</v>
      </c>
      <c r="CZ618" s="61">
        <f>IF(ISERROR((CY618/CQ618-1)*100),"NA",IF(((CY618/CQ618-1)*100)&gt;100,"NM",IF(((CY618/CQ618-1)*100)&lt;-50,"NM",(CY618/CQ618-1)*100)))</f>
        <v>14.877614188085865</v>
      </c>
      <c r="DA618" s="388">
        <f>(DA536-DA539)/DA611</f>
        <v>1.0743507648523656</v>
      </c>
      <c r="DB618" s="61">
        <f>IF(ISERROR((DA618/CS618-1)*100),"NA",IF(((DA618/CS618-1)*100)&gt;100,"NM",IF(((DA618/CS618-1)*100)&lt;-50,"NM",(DA618/CS618-1)*100)))</f>
        <v>16.41357930578846</v>
      </c>
      <c r="DC618" s="388">
        <f>(DC536-DC539)/DC611</f>
        <v>1.0714213926776739</v>
      </c>
      <c r="DD618" s="61">
        <f>IF(ISERROR((DC618/CU618-1)*100),"NA",IF(((DC618/CU618-1)*100)&gt;100,"NM",IF(((DC618/CU618-1)*100)&lt;-50,"NM",(DC618/CU618-1)*100)))</f>
        <v>8.202590475537086</v>
      </c>
      <c r="DE618" s="388">
        <f>(DE536-DE539)/DE611</f>
        <v>1.2042074718897353</v>
      </c>
      <c r="DF618" s="61">
        <f>IF(ISERROR((DE618/CW618-1)*100),"NA",IF(((DE618/CW618-1)*100)&gt;100,"NM",IF(((DE618/CW618-1)*100)&lt;-50,"NM",(DE618/CW618-1)*100)))</f>
        <v>18.379717575601106</v>
      </c>
      <c r="DG618" s="388">
        <f>(DG536-DG539)/DG611</f>
        <v>1.2385823894775303</v>
      </c>
      <c r="DH618" s="61">
        <f>IF(ISERROR((DG618/CY618-1)*100),"NA",IF(((DG618/CY618-1)*100)&gt;100,"NM",IF(((DG618/CY618-1)*100)&lt;-50,"NM",(DG618/CY618-1)*100)))</f>
        <v>7.5074409403209863</v>
      </c>
      <c r="DI618" s="388">
        <f>(DI536-DI539)/DI611</f>
        <v>1.3086510263929618</v>
      </c>
      <c r="DJ618" s="61">
        <f>IF(ISERROR((DI618/DA618-1)*100),"NA",IF(((DI618/DA618-1)*100)&gt;100,"NM",IF(((DI618/DA618-1)*100)&lt;-50,"NM",(DI618/DA618-1)*100)))</f>
        <v>21.808544211609803</v>
      </c>
      <c r="DK618" s="388">
        <f>(DK536-DK539)/DK611</f>
        <v>1.3377434766629914</v>
      </c>
      <c r="DL618" s="61">
        <f>IF(ISERROR((DK618/DC618-1)*100),"NA",IF(((DK618/DC618-1)*100)&gt;100,"NM",IF(((DK618/DC618-1)*100)&lt;-50,"NM",(DK618/DC618-1)*100)))</f>
        <v>24.85689438398564</v>
      </c>
      <c r="DM618" s="781">
        <f>(DM536+0.5-DM539)/DM611</f>
        <v>1.4298995909259948</v>
      </c>
      <c r="DN618" s="130">
        <f t="shared" si="3514"/>
        <v>18.741963017559261</v>
      </c>
      <c r="DO618" s="388">
        <f>(DO536-DO539)/DO611</f>
        <v>1.5142428785607196</v>
      </c>
      <c r="DP618" s="130">
        <f t="shared" si="3514"/>
        <v>22.256128572881686</v>
      </c>
      <c r="DQ618" s="388">
        <f>(DQ536-DQ539)/DQ611</f>
        <v>1.4714828897338403</v>
      </c>
      <c r="DR618" s="130">
        <f t="shared" si="3514"/>
        <v>12.442726139885618</v>
      </c>
      <c r="DS618" s="388">
        <f>(DS536-DS539)/DS611</f>
        <v>1.3507290867229469</v>
      </c>
      <c r="DT618" s="130">
        <f t="shared" si="3514"/>
        <v>0.97071002673458917</v>
      </c>
      <c r="DU618" s="388">
        <f>(DU536-DU539)/DU611</f>
        <v>1.4868575912122401</v>
      </c>
      <c r="DV618" s="130">
        <f t="shared" si="3514"/>
        <v>3.9833566390042652</v>
      </c>
      <c r="DW618" s="388">
        <f>(DW536-DW539)/DW611</f>
        <v>1.6646919431279621</v>
      </c>
      <c r="DX618" s="388">
        <f t="shared" ref="DX618" si="3548">(DX536-DX539)/DX611</f>
        <v>1.6646919431279621</v>
      </c>
      <c r="DY618" s="388">
        <f>ROUND(((DY536-DY539)/DY611),3)</f>
        <v>1.5349999999999999</v>
      </c>
      <c r="DZ618" s="130">
        <f t="shared" si="3514"/>
        <v>4.3165374677002433</v>
      </c>
      <c r="EA618" s="388">
        <f>ROUND(((EA536-EA539)/EA611),3)</f>
        <v>1.4770000000000001</v>
      </c>
      <c r="EB618" s="130">
        <f t="shared" si="3516"/>
        <v>9.3483522727273005</v>
      </c>
      <c r="EC618" s="388">
        <f>ROUND(((EC536-EC539)/EC611),3)</f>
        <v>1.5549999999999999</v>
      </c>
      <c r="ED618" s="130">
        <f t="shared" si="3517"/>
        <v>4.5829815303429999</v>
      </c>
      <c r="EE618" s="388">
        <f>ROUND(((EE536-EE539)/EE611),3)</f>
        <v>1.748</v>
      </c>
      <c r="EF618" s="130">
        <f t="shared" si="3518"/>
        <v>5.0044128113879038</v>
      </c>
      <c r="EG618" s="388">
        <f>ROUND(((EG536-EG539)/EG611),3)</f>
        <v>1.7709999999999999</v>
      </c>
      <c r="EH618" s="130">
        <f t="shared" si="3519"/>
        <v>15.374592833876211</v>
      </c>
      <c r="EI618" s="388">
        <f>ROUND(((EI536-EI539)/EI611),3)</f>
        <v>1.73</v>
      </c>
      <c r="EJ618" s="130">
        <f t="shared" si="3520"/>
        <v>17.129316181448885</v>
      </c>
      <c r="EK618" s="388">
        <f>ROUND(((EK536-EK539)/EK611),3)</f>
        <v>1.845</v>
      </c>
      <c r="EL618" s="130">
        <f t="shared" si="3521"/>
        <v>18.649517684887474</v>
      </c>
      <c r="EM618" s="388">
        <f>ROUND(((EM536-EM539)/EM611),3)</f>
        <v>1.9359999999999999</v>
      </c>
      <c r="EN618" s="130">
        <f t="shared" si="3522"/>
        <v>10.755148741418763</v>
      </c>
      <c r="EO618" s="388">
        <f>ROUND(((EO536-EO539)/EO611),3)</f>
        <v>1.9830000000000001</v>
      </c>
      <c r="EP618" s="130">
        <f t="shared" si="3523"/>
        <v>11.970638057594595</v>
      </c>
      <c r="EQ618" s="388">
        <f t="shared" ref="EQ618:EW618" si="3549">(EQ536-EQ539)/EQ611</f>
        <v>1.9566895243625559</v>
      </c>
      <c r="ER618" s="130">
        <f t="shared" si="3525"/>
        <v>13.103440714598612</v>
      </c>
      <c r="ES618" s="388">
        <f t="shared" si="3549"/>
        <v>2.0807014003898203</v>
      </c>
      <c r="ET618" s="130">
        <f t="shared" si="3526"/>
        <v>12.775143652564779</v>
      </c>
      <c r="EU618" s="388">
        <f t="shared" si="3549"/>
        <v>2.1699323895505249</v>
      </c>
      <c r="EV618" s="130">
        <f t="shared" si="3527"/>
        <v>12.083284584221321</v>
      </c>
      <c r="EW618" s="388">
        <f t="shared" si="3549"/>
        <v>2.2408646967070514</v>
      </c>
      <c r="EX618" s="130">
        <f t="shared" si="3528"/>
        <v>13.003766853608223</v>
      </c>
      <c r="EY618" s="64"/>
      <c r="EZ618" s="558"/>
      <c r="FA618" s="64"/>
      <c r="FB618" s="144">
        <f>FB614-(FB538-FB536)/FB611</f>
        <v>2.6070480111365533</v>
      </c>
      <c r="FC618" s="71"/>
      <c r="FD618" s="144">
        <f>FD614-(FD538-FD536)/FD611</f>
        <v>2.3712574850299402</v>
      </c>
      <c r="FE618" s="70">
        <f>IF(ISERROR((FD618/FB618-1)*100),"NA",IF(((FD618/FB618-1)*100)&gt;100,"NM",IF(((FD618/FB618-1)*100)&lt;-50,"NM",(FD618/FB618-1)*100)))</f>
        <v>-9.0443492064351876</v>
      </c>
      <c r="FF618" s="144">
        <f>FF614-(FF538-FF536)/FF611</f>
        <v>3.6827386291037865</v>
      </c>
      <c r="FG618" s="70">
        <f>IF(ISERROR((FF618/FD618-1)*100),"NA",IF(((FF618/FD618-1)*100)&gt;100,"NM",IF(((FF618/FD618-1)*100)&lt;-50,"NM",(FF618/FD618-1)*100)))</f>
        <v>55.307411883922299</v>
      </c>
      <c r="FH618" s="144">
        <f>FH614-(FH538-FH536)/FH611</f>
        <v>3.3392211925485764</v>
      </c>
      <c r="FI618" s="70">
        <f>IF(ISERROR((FH618/FF618-1)*100),"NA",IF(((FH618/FF618-1)*100)&gt;100,"NM",IF(((FH618/FF618-1)*100)&lt;-50,"NM",(FH618/FF618-1)*100)))</f>
        <v>-9.3277712906497214</v>
      </c>
      <c r="FJ618" s="144">
        <f>FJ614-(FJ538-FJ536)/FJ611</f>
        <v>2.3205631718297384</v>
      </c>
      <c r="FK618" s="70">
        <f>IF(ISERROR((FJ618/FH618-1)*100),"NA",IF(((FJ618/FH618-1)*100)&gt;100,"NM",IF(((FJ618/FH618-1)*100)&lt;-50,"NM",(FJ618/FH618-1)*100)))</f>
        <v>-30.505856365309334</v>
      </c>
      <c r="FL618" s="144">
        <f>FL614-(FL538-FL536)/FL611</f>
        <v>3.3009620899256058</v>
      </c>
      <c r="FM618" s="70">
        <f>IF(ISERROR((FL618/FJ618-1)*100),"NA",IF(((FL618/FJ618-1)*100)&gt;100,"NM",IF(((FL618/FJ618-1)*100)&lt;-50,"NM",(FL618/FJ618-1)*100)))</f>
        <v>42.248318425343001</v>
      </c>
      <c r="FN618" s="144">
        <f>FN614-(FN538-FN536)/FN611</f>
        <v>4.0517243814355091</v>
      </c>
      <c r="FO618" s="70">
        <f>IF(ISERROR((FN618/FL618-1)*100),"NA",IF(((FN618/FL618-1)*100)&gt;100,"NM",IF(((FN618/FL618-1)*100)&lt;-50,"NM",(FN618/FL618-1)*100)))</f>
        <v>22.743741704916797</v>
      </c>
      <c r="FP618" s="388">
        <f>FP614-(FP538-FP536)/FP611</f>
        <v>4.939273140261216</v>
      </c>
      <c r="FQ618" s="61">
        <f t="shared" si="3354"/>
        <v>47.916920007669226</v>
      </c>
      <c r="FR618" s="388">
        <f>FR614-(FR538-FR536)/FR611</f>
        <v>4.7088439362845698</v>
      </c>
      <c r="FS618" s="61">
        <f>IF(ISERROR((FR618/FP618-1)*100),"NA",IF(((FR618/FP618-1)*100)&gt;100,"NM",IF(((FR618/FP618-1)*100)&lt;-50,"NM",(FR618/FP618-1)*100)))</f>
        <v>-4.6652452179322008</v>
      </c>
      <c r="FT618" s="388">
        <f>FT614-(FT538-FT536)/FT611</f>
        <v>4.894688811826974</v>
      </c>
      <c r="FU618" s="61">
        <f>IF(ISERROR((FT618/FR618-1)*100),"NA",IF(((FT618/FR618-1)*100)&gt;100,"NM",IF(((FT618/FR618-1)*100)&lt;-50,"NM",(FT618/FR618-1)*100)))</f>
        <v>3.946719790612585</v>
      </c>
      <c r="FV618" s="388">
        <f>(FV536-FV539)/FV611</f>
        <v>4.4022763083713619</v>
      </c>
      <c r="FW618" s="61">
        <f>IF(ISERROR((FV618/FT618-1)*100),"NA",IF(((FV618/FT618-1)*100)&gt;100,"NM",IF(((FV618/FT618-1)*100)&lt;-50,"NM",(FV618/FT618-1)*100)))</f>
        <v>-10.060139109677458</v>
      </c>
      <c r="FX618" s="388">
        <f>(FX536-FX539)/FX611</f>
        <v>3.2562970747941851</v>
      </c>
      <c r="FY618" s="61">
        <f>IF(ISERROR((FX618/FV618-1)*100),"NA",IF(((FX618/FV618-1)*100)&gt;100,"NM",IF(((FX618/FV618-1)*100)&lt;-50,"NM",(FX618/FV618-1)*100)))</f>
        <v>-26.031515363948976</v>
      </c>
      <c r="FZ618" s="388">
        <f>(FZ536-FZ539)/FZ611</f>
        <v>3.4971546818416943</v>
      </c>
      <c r="GA618" s="61">
        <f>IF(ISERROR((FZ618/FX618-1)*100),"NA",IF(((FZ618/FX618-1)*100)&gt;100,"NM",IF(((FZ618/FX618-1)*100)&lt;-50,"NM",(FZ618/FX618-1)*100)))</f>
        <v>7.3966717874698995</v>
      </c>
      <c r="GB618" s="388">
        <f>(GB536-GB539)/GB611</f>
        <v>3.6815873015873026</v>
      </c>
      <c r="GC618" s="61">
        <f>IF(ISERROR((GB618/FZ618-1)*100),"NA",IF(((GB618/FZ618-1)*100)&gt;100,"NM",IF(((GB618/FZ618-1)*100)&lt;-50,"NM",(GB618/FZ618-1)*100)))</f>
        <v>5.2737907391754657</v>
      </c>
      <c r="GD618" s="388">
        <f>(GD536-GD539)/GD611</f>
        <v>4.2350486787204451</v>
      </c>
      <c r="GE618" s="61">
        <f>IF(ISERROR((GD618/GB618-1)*100),"NA",IF(((GD618/GB618-1)*100)&gt;100,"NM",IF(((GD618/GB618-1)*100)&lt;-50,"NM",(GD618/GB618-1)*100)))</f>
        <v>15.033227023966521</v>
      </c>
      <c r="GF618" s="388">
        <f>(GF536-GF539)/GF611</f>
        <v>4.8201235465116286</v>
      </c>
      <c r="GG618" s="61">
        <f>IF(ISERROR((GF618/GD618-1)*100),"NA",IF(((GF618/GD618-1)*100)&gt;100,"NM",IF(((GF618/GD618-1)*100)&lt;-50,"NM",(GF618/GD618-1)*100)))</f>
        <v>13.815068306793465</v>
      </c>
      <c r="GH618" s="388">
        <f>(GH536-GH539)/GH611</f>
        <v>5.7425373134328357</v>
      </c>
      <c r="GI618" s="61">
        <f>IF(ISERROR((GH618/GF618-1)*100),"NA",IF(((GH618/GF618-1)*100)&gt;100,"NM",IF(((GH618/GF618-1)*100)&lt;-50,"NM",(GH618/GF618-1)*100)))</f>
        <v>19.136724567750285</v>
      </c>
      <c r="GJ618" s="388">
        <f>(GJ536-GJ539)/GJ611</f>
        <v>6.0318396226415096</v>
      </c>
      <c r="GK618" s="61">
        <f>IF(ISERROR((GJ618/GH618-1)*100),"NA",IF(((GJ618/GH618-1)*100)&gt;100,"NM",IF(((GJ618/GH618-1)*100)&lt;-50,"NM",(GJ618/GH618-1)*100)))</f>
        <v>5.037882967376528</v>
      </c>
      <c r="GL618" s="388">
        <f>(GL536-GL539)/GL611</f>
        <v>6.5394418114797261</v>
      </c>
      <c r="GM618" s="61">
        <f>IF(ISERROR((GL618/GJ618-1)*100),"NA",IF(((GL618/GJ618-1)*100)&gt;100,"NM",IF(((GL618/GJ618-1)*100)&lt;-50,"NM",(GL618/GJ618-1)*100)))</f>
        <v>8.4153793965749291</v>
      </c>
      <c r="GN618" s="388">
        <f>(GN536-GN539)/GN611</f>
        <v>7.4879574774375728</v>
      </c>
      <c r="GO618" s="61">
        <f>IF(ISERROR((GN618/GL618-1)*100),"NA",IF(((GN618/GL618-1)*100)&gt;100,"NM",IF(((GN618/GL618-1)*100)&lt;-50,"NM",(GN618/GL618-1)*100)))</f>
        <v>14.504535605665382</v>
      </c>
      <c r="GP618" s="388">
        <f>(GP536-GP539)/GP611</f>
        <v>8.4472022261282849</v>
      </c>
      <c r="GQ618" s="61">
        <f>IF(ISERROR((GP618/GN618-1)*100),"NA",IF(((GP618/GN618-1)*100)&gt;100,"NM",IF(((GP618/GN618-1)*100)&lt;-50,"NM",(GP618/GN618-1)*100)))</f>
        <v>12.810499412971721</v>
      </c>
      <c r="GR618" s="388">
        <f>(GR536-GR539)/GR611</f>
        <v>9.2031935617236069</v>
      </c>
      <c r="GS618" s="61">
        <f>IF(ISERROR((GR618/GP618-1)*100),"NA",IF(((GR618/GP618-1)*100)&gt;100,"NM",IF(((GR618/GP618-1)*100)&lt;-50,"NM",(GR618/GP618-1)*100)))</f>
        <v>8.9496062170376867</v>
      </c>
      <c r="GT618" s="388">
        <f>(GT536-GT539)/GT611</f>
        <v>10.298755491214671</v>
      </c>
      <c r="GU618" s="61">
        <f>IF(ISERROR((GT618/GR618-1)*100),"NA",IF(((GT618/GR618-1)*100)&gt;100,"NM",IF(((GT618/GR618-1)*100)&lt;-50,"NM",(GT618/GR618-1)*100)))</f>
        <v>11.904149599195035</v>
      </c>
      <c r="GV618" s="388">
        <f>(GV536-GV539)/GV611</f>
        <v>11.097760784447122</v>
      </c>
      <c r="GW618" s="61">
        <f>IF(ISERROR((GV618/GT618-1)*100),"NA",IF(((GV618/GT618-1)*100)&gt;100,"NM",IF(((GV618/GT618-1)*100)&lt;-50,"NM",(GV618/GT618-1)*100)))</f>
        <v>7.7582703455193247</v>
      </c>
      <c r="GX618" s="388">
        <f>(GX536-GX539)/GX611</f>
        <v>11.999970894221658</v>
      </c>
      <c r="GY618" s="61">
        <f>IF(ISERROR((GX618/GV618-1)*100),"NA",IF(((GX618/GV618-1)*100)&gt;100,"NM",IF(((GX618/GV618-1)*100)&lt;-50,"NM",(GX618/GV618-1)*100)))</f>
        <v>8.1296590122841081</v>
      </c>
      <c r="GZ618" s="61">
        <f t="shared" si="3427"/>
        <v>9.8913135571231603</v>
      </c>
      <c r="HA618" s="61"/>
      <c r="HB618" s="452"/>
      <c r="HC618"/>
      <c r="HD618"/>
      <c r="HE618"/>
      <c r="HF618"/>
      <c r="HG618"/>
      <c r="HH618"/>
    </row>
    <row r="619" spans="1:216" s="5" customFormat="1" ht="12.75" customHeight="1" x14ac:dyDescent="0.2">
      <c r="B619" s="105"/>
      <c r="C619" s="144"/>
      <c r="D619" s="70"/>
      <c r="E619" s="144"/>
      <c r="F619" s="71"/>
      <c r="G619" s="144"/>
      <c r="H619" s="71"/>
      <c r="I619" s="144"/>
      <c r="J619" s="71"/>
      <c r="K619" s="144"/>
      <c r="L619" s="61"/>
      <c r="M619" s="144"/>
      <c r="N619" s="61"/>
      <c r="O619" s="144"/>
      <c r="P619" s="61"/>
      <c r="Q619" s="144"/>
      <c r="R619" s="61"/>
      <c r="S619" s="144"/>
      <c r="T619" s="61"/>
      <c r="U619" s="144"/>
      <c r="V619" s="61"/>
      <c r="W619" s="144"/>
      <c r="X619" s="61"/>
      <c r="Y619" s="144"/>
      <c r="Z619" s="61"/>
      <c r="AA619" s="144"/>
      <c r="AB619" s="61"/>
      <c r="AC619" s="144"/>
      <c r="AD619" s="61"/>
      <c r="AE619" s="144"/>
      <c r="AF619" s="61"/>
      <c r="AG619" s="144"/>
      <c r="AH619" s="61"/>
      <c r="AI619" s="144"/>
      <c r="AJ619" s="61"/>
      <c r="AK619" s="144"/>
      <c r="AL619" s="61"/>
      <c r="AM619" s="144"/>
      <c r="AN619" s="61"/>
      <c r="AO619" s="144"/>
      <c r="AP619" s="61"/>
      <c r="AQ619" s="144"/>
      <c r="AR619" s="61"/>
      <c r="AS619" s="144"/>
      <c r="AT619" s="61"/>
      <c r="AU619" s="144"/>
      <c r="AV619" s="61"/>
      <c r="AW619" s="144"/>
      <c r="AX619" s="61"/>
      <c r="AY619" s="144"/>
      <c r="AZ619" s="61"/>
      <c r="BA619" s="144"/>
      <c r="BB619" s="61"/>
      <c r="BC619" s="144"/>
      <c r="BD619" s="61"/>
      <c r="BE619" s="144"/>
      <c r="BF619" s="61"/>
      <c r="BG619" s="144"/>
      <c r="BH619" s="61"/>
      <c r="BI619" s="144"/>
      <c r="BJ619" s="61"/>
      <c r="BK619" s="144"/>
      <c r="BL619" s="61"/>
      <c r="BM619" s="144"/>
      <c r="BN619" s="61"/>
      <c r="BO619" s="144"/>
      <c r="BP619" s="61"/>
      <c r="BQ619" s="144"/>
      <c r="BR619" s="61"/>
      <c r="BS619" s="144"/>
      <c r="BT619" s="61"/>
      <c r="BU619" s="144"/>
      <c r="BV619" s="61"/>
      <c r="BW619" s="144"/>
      <c r="BX619" s="61"/>
      <c r="BY619" s="144"/>
      <c r="BZ619" s="61"/>
      <c r="CA619" s="144"/>
      <c r="CB619" s="61"/>
      <c r="CC619" s="144"/>
      <c r="CD619" s="61"/>
      <c r="CE619" s="144"/>
      <c r="CF619" s="61"/>
      <c r="CG619" s="144"/>
      <c r="CH619" s="61"/>
      <c r="CI619" s="144"/>
      <c r="CJ619" s="61"/>
      <c r="CK619" s="144"/>
      <c r="CL619" s="61"/>
      <c r="CM619" s="144"/>
      <c r="CN619" s="61"/>
      <c r="CO619" s="144"/>
      <c r="CP619" s="61"/>
      <c r="CQ619" s="144"/>
      <c r="CR619" s="61"/>
      <c r="CS619" s="144"/>
      <c r="CT619" s="61"/>
      <c r="CU619" s="144"/>
      <c r="CV619" s="61"/>
      <c r="CW619" s="144"/>
      <c r="CX619" s="61"/>
      <c r="CY619" s="144"/>
      <c r="CZ619" s="61"/>
      <c r="DA619" s="144"/>
      <c r="DB619" s="61"/>
      <c r="DC619" s="144"/>
      <c r="DD619" s="61"/>
      <c r="DE619" s="144"/>
      <c r="DF619" s="61"/>
      <c r="DG619" s="144"/>
      <c r="DH619" s="61"/>
      <c r="DI619" s="144"/>
      <c r="DJ619" s="61"/>
      <c r="DK619" s="144"/>
      <c r="DL619" s="61"/>
      <c r="DM619" s="144"/>
      <c r="DN619" s="61"/>
      <c r="DO619" s="144"/>
      <c r="DP619" s="61"/>
      <c r="DQ619" s="144"/>
      <c r="DR619" s="61"/>
      <c r="DS619" s="144"/>
      <c r="DT619" s="61"/>
      <c r="DU619" s="144"/>
      <c r="DV619" s="61"/>
      <c r="DW619" s="144"/>
      <c r="DX619" s="144"/>
      <c r="DY619" s="144"/>
      <c r="DZ619" s="61"/>
      <c r="EA619" s="144"/>
      <c r="EB619" s="61"/>
      <c r="EC619" s="144"/>
      <c r="ED619" s="61"/>
      <c r="EE619" s="144"/>
      <c r="EF619" s="61"/>
      <c r="EG619" s="144"/>
      <c r="EH619" s="61"/>
      <c r="EI619" s="144"/>
      <c r="EJ619" s="61"/>
      <c r="EK619" s="144"/>
      <c r="EL619" s="61"/>
      <c r="EM619" s="144"/>
      <c r="EN619" s="61"/>
      <c r="EO619" s="144"/>
      <c r="EP619" s="61"/>
      <c r="EQ619" s="144"/>
      <c r="ER619" s="61"/>
      <c r="ES619" s="144"/>
      <c r="ET619" s="61"/>
      <c r="EU619" s="144"/>
      <c r="EV619" s="61"/>
      <c r="EW619" s="144"/>
      <c r="EX619" s="61"/>
      <c r="EY619" s="64"/>
      <c r="EZ619" s="558"/>
      <c r="FA619" s="64"/>
      <c r="FB619" s="144"/>
      <c r="FC619" s="71"/>
      <c r="FD619" s="144"/>
      <c r="FE619" s="70"/>
      <c r="FF619" s="144"/>
      <c r="FG619" s="70"/>
      <c r="FH619" s="144"/>
      <c r="FI619" s="70"/>
      <c r="FJ619" s="144"/>
      <c r="FK619" s="70"/>
      <c r="FL619" s="144"/>
      <c r="FM619" s="61"/>
      <c r="FN619" s="144"/>
      <c r="FO619" s="61"/>
      <c r="FP619" s="388"/>
      <c r="FQ619" s="61"/>
      <c r="FR619" s="388"/>
      <c r="FS619" s="61"/>
      <c r="FT619" s="388"/>
      <c r="FU619" s="61"/>
      <c r="FV619" s="388"/>
      <c r="FW619" s="61"/>
      <c r="FX619" s="388"/>
      <c r="FY619" s="61"/>
      <c r="FZ619" s="388"/>
      <c r="GA619" s="61"/>
      <c r="GB619" s="388"/>
      <c r="GC619" s="61"/>
      <c r="GD619" s="388"/>
      <c r="GE619" s="61"/>
      <c r="GF619" s="388"/>
      <c r="GG619" s="61"/>
      <c r="GH619" s="388"/>
      <c r="GI619" s="61"/>
      <c r="GJ619" s="388"/>
      <c r="GK619" s="61"/>
      <c r="GL619" s="388"/>
      <c r="GM619" s="61"/>
      <c r="GN619" s="388"/>
      <c r="GO619" s="61"/>
      <c r="GP619" s="388"/>
      <c r="GQ619" s="61"/>
      <c r="GR619" s="144"/>
      <c r="GS619" s="61"/>
      <c r="GT619" s="144"/>
      <c r="GU619" s="61"/>
      <c r="GV619" s="144"/>
      <c r="GW619" s="61"/>
      <c r="GX619" s="144"/>
      <c r="GY619" s="61"/>
      <c r="GZ619" s="61" t="str">
        <f t="shared" si="3427"/>
        <v/>
      </c>
      <c r="HA619" s="61"/>
      <c r="HB619" s="452"/>
      <c r="HC619"/>
      <c r="HD619"/>
      <c r="HE619"/>
      <c r="HF619"/>
      <c r="HG619"/>
      <c r="HH619"/>
    </row>
    <row r="620" spans="1:216" s="5" customFormat="1" ht="12.75" customHeight="1" x14ac:dyDescent="0.2">
      <c r="B620" s="105" t="s">
        <v>99</v>
      </c>
      <c r="C620" s="144">
        <f>C614</f>
        <v>0.86976506639427986</v>
      </c>
      <c r="D620" s="70"/>
      <c r="E620" s="144">
        <f>E614</f>
        <v>0.89226804123711334</v>
      </c>
      <c r="F620" s="71"/>
      <c r="G620" s="144">
        <f>G614</f>
        <v>0.97494887525562368</v>
      </c>
      <c r="H620" s="71"/>
      <c r="I620" s="144">
        <f>I614</f>
        <v>0.94575664621676903</v>
      </c>
      <c r="J620" s="71"/>
      <c r="K620" s="144">
        <f>K614</f>
        <v>0.86422302529685091</v>
      </c>
      <c r="L620" s="61">
        <f>IF(ISERROR((K620/C620-1)*100),"NA",IF(((K620/C620-1)*100)&gt;100,"NM",IF(((K620/C620-1)*100)&lt;-50,"NM",(K620/C620-1)*100)))</f>
        <v>-0.63718828354467627</v>
      </c>
      <c r="M620" s="144">
        <f>M614</f>
        <v>0.81927083333333339</v>
      </c>
      <c r="N620" s="61">
        <f>IF(ISERROR((M620/E620-1)*100),"NA",IF(((M620/E620-1)*100)&gt;100,"NM",IF(((M620/E620-1)*100)&lt;-50,"NM",(M620/E620-1)*100)))</f>
        <v>-8.1810851145773018</v>
      </c>
      <c r="O620" s="144">
        <f>O614</f>
        <v>0.68788501026694038</v>
      </c>
      <c r="P620" s="61">
        <f>IF(ISERROR((O620/G620-1)*100),"NA",IF(((O620/G620-1)*100)&gt;100,"NM",IF(((O620/G620-1)*100)&lt;-50,"NM",(O620/G620-1)*100)))</f>
        <v>-29.443991605551368</v>
      </c>
      <c r="Q620" s="144">
        <f>Q614</f>
        <v>0.96784232365145217</v>
      </c>
      <c r="R620" s="61">
        <f>IF(ISERROR((Q620/I620-1)*100),"NA",IF(((Q620/I620-1)*100)&gt;100,"NM",IF(((Q620/I620-1)*100)&lt;-50,"NM",(Q620/I620-1)*100)))</f>
        <v>2.3352389351986691</v>
      </c>
      <c r="S620" s="144">
        <f>S614</f>
        <v>0.8057894736842105</v>
      </c>
      <c r="T620" s="61">
        <f>IF(ISERROR((S620/K620-1)*100),"NA",IF(((S620/K620-1)*100)&gt;100,"NM",IF(((S620/K620-1)*100)&lt;-50,"NM",(S620/K620-1)*100)))</f>
        <v>-6.7613972206502115</v>
      </c>
      <c r="U620" s="144">
        <f>U614</f>
        <v>0.61538461538461542</v>
      </c>
      <c r="V620" s="61">
        <f>IF(ISERROR((U620/M620-1)*100),"NA",IF(((U620/M620-1)*100)&gt;100,"NM",IF(((U620/M620-1)*100)&lt;-50,"NM",(U620/M620-1)*100)))</f>
        <v>-24.886302508680135</v>
      </c>
      <c r="W620" s="144">
        <f>W614</f>
        <v>0.3398586188145738</v>
      </c>
      <c r="X620" s="61" t="str">
        <f>IF(ISERROR((W620/O620-1)*100),"NA",IF(((W620/O620-1)*100)&gt;100,"NM",IF(((W620/O620-1)*100)&lt;-50,"NM",(W620/O620-1)*100)))</f>
        <v>NM</v>
      </c>
      <c r="Y620" s="144">
        <f>Y614</f>
        <v>0.55953046394633865</v>
      </c>
      <c r="Z620" s="61">
        <f>IF(ISERROR((Y620/Q620-1)*100),"NA",IF(((Y620/Q620-1)*100)&gt;100,"NM",IF(((Y620/Q620-1)*100)&lt;-50,"NM",(Y620/Q620-1)*100)))</f>
        <v>-42.187849169960288</v>
      </c>
      <c r="AA620" s="144">
        <f>AA614</f>
        <v>0.58721256309590575</v>
      </c>
      <c r="AB620" s="61">
        <f>IF(ISERROR((AA620/S620-1)*100),"NA",IF(((AA620/S620-1)*100)&gt;100,"NM",IF(((AA620/S620-1)*100)&lt;-50,"NM",(AA620/S620-1)*100)))</f>
        <v>-27.125808629508754</v>
      </c>
      <c r="AC620" s="144">
        <f>AC614</f>
        <v>0.85546875000000011</v>
      </c>
      <c r="AD620" s="61">
        <f>IF(ISERROR((AC620/U620-1)*100),"NA",IF(((AC620/U620-1)*100)&gt;100,"NM",IF(((AC620/U620-1)*100)&lt;-50,"NM",(AC620/U620-1)*100)))</f>
        <v>39.013671875</v>
      </c>
      <c r="AE620" s="144">
        <f>AE614</f>
        <v>0.86770428015564194</v>
      </c>
      <c r="AF620" s="61" t="str">
        <f>IF(ISERROR((AE620/W620-1)*100),"NA",IF(((AE620/W620-1)*100)&gt;100,"NM",IF(((AE620/W620-1)*100)&lt;-50,"NM",(AE620/W620-1)*100)))</f>
        <v>NM</v>
      </c>
      <c r="AG620" s="144">
        <f>AG614</f>
        <v>0.99057649667405756</v>
      </c>
      <c r="AH620" s="61">
        <f>IF(ISERROR((AG620/Y620-1)*100),"NA",IF(((AG620/Y620-1)*100)&gt;100,"NM",IF(((AG620/Y620-1)*100)&lt;-50,"NM",(AG620/Y620-1)*100)))</f>
        <v>77.037098156832087</v>
      </c>
      <c r="AI620" s="144">
        <f>AI614</f>
        <v>0.967991169977925</v>
      </c>
      <c r="AJ620" s="61">
        <f>IF(ISERROR((AI620/AA620-1)*100),"NA",IF(((AI620/AA620-1)*100)&gt;100,"NM",IF(((AI620/AA620-1)*100)&lt;-50,"NM",(AI620/AA620-1)*100)))</f>
        <v>64.845105641894961</v>
      </c>
      <c r="AK620" s="144">
        <f>AK614</f>
        <v>1.0058236272878536</v>
      </c>
      <c r="AL620" s="61">
        <f>IF(ISERROR((AK620/AC620-1)*100),"NA",IF(((AK620/AC620-1)*100)&gt;100,"NM",IF(((AK620/AC620-1)*100)&lt;-50,"NM",(AK620/AC620-1)*100)))</f>
        <v>17.575729947803875</v>
      </c>
      <c r="AM620" s="144">
        <f>AM614</f>
        <v>1.003376477208779</v>
      </c>
      <c r="AN620" s="61">
        <f>IF(ISERROR((AM620/AE620-1)*100),"NA",IF(((AM620/AE620-1)*100)&gt;100,"NM",IF(((AM620/AE620-1)*100)&lt;-50,"NM",(AM620/AE620-1)*100)))</f>
        <v>15.635764413747189</v>
      </c>
      <c r="AO620" s="144">
        <f>AO614</f>
        <v>1.0745331069609509</v>
      </c>
      <c r="AP620" s="61">
        <f>IF(ISERROR((AO620/AG620-1)*100),"NA",IF(((AO620/AG620-1)*100)&gt;100,"NM",IF(((AO620/AG620-1)*100)&lt;-50,"NM",(AO620/AG620-1)*100)))</f>
        <v>8.4755302158676891</v>
      </c>
      <c r="AQ620" s="144">
        <f>AQ614</f>
        <v>1.1984258210645531</v>
      </c>
      <c r="AR620" s="61">
        <f>IF(ISERROR((AQ620/AI620-1)*100),"NA",IF(((AQ620/AI620-1)*100)&gt;100,"NM",IF(((AQ620/AI620-1)*100)&lt;-50,"NM",(AQ620/AI620-1)*100)))</f>
        <v>23.805449701765681</v>
      </c>
      <c r="AS620" s="144">
        <f>AS614</f>
        <v>1.376071835803877</v>
      </c>
      <c r="AT620" s="61">
        <f>IF(ISERROR((AS620/AK620-1)*100),"NA",IF(((AS620/AK620-1)*100)&gt;100,"NM",IF(((AS620/AK620-1)*100)&lt;-50,"NM",(AS620/AK620-1)*100)))</f>
        <v>36.81045050754841</v>
      </c>
      <c r="AU620" s="144">
        <f>AU614</f>
        <v>1.4232992036404999</v>
      </c>
      <c r="AV620" s="61">
        <f>IF(ISERROR((AU620/AM620-1)*100),"NA",IF(((AU620/AM620-1)*100)&gt;100,"NM",IF(((AU620/AM620-1)*100)&lt;-50,"NM",(AU620/AM620-1)*100)))</f>
        <v>41.850963817676281</v>
      </c>
      <c r="AW620" s="144">
        <f>AW614</f>
        <v>1.45376557191393</v>
      </c>
      <c r="AX620" s="61">
        <f>IF(ISERROR((AW620/AO620-1)*100),"NA",IF(((AW620/AO620-1)*100)&gt;100,"NM",IF(((AW620/AO620-1)*100)&lt;-50,"NM",(AW620/AO620-1)*100)))</f>
        <v>35.292766923258753</v>
      </c>
      <c r="AY620" s="144">
        <f>AY614</f>
        <v>1.3881956155143336</v>
      </c>
      <c r="AZ620" s="61">
        <f>IF(ISERROR((AY620/AQ620-1)*100),"NA",IF(((AY620/AQ620-1)*100)&gt;100,"NM",IF(((AY620/AQ620-1)*100)&lt;-50,"NM",(AY620/AQ620-1)*100)))</f>
        <v>15.834922038079036</v>
      </c>
      <c r="BA620" s="144">
        <f>BA614+(BA478*0.65/BA611)</f>
        <v>1.1835102618542108</v>
      </c>
      <c r="BB620" s="61">
        <f t="shared" si="3344"/>
        <v>-13.993569880541534</v>
      </c>
      <c r="BC620" s="144">
        <f>BC614+(BC478*0.65/BC611)</f>
        <v>1.2987252124645896</v>
      </c>
      <c r="BD620" s="61">
        <f t="shared" si="3345"/>
        <v>-8.7524809159786106</v>
      </c>
      <c r="BE620" s="144">
        <f>BE614+(BE478*0.65/BE611)</f>
        <v>1.3297432239657632</v>
      </c>
      <c r="BF620" s="61">
        <f t="shared" si="3346"/>
        <v>-8.5311105410817554</v>
      </c>
      <c r="BG620" s="144">
        <f>BG614+(BG478*0.65/BG611)</f>
        <v>1.2468694096601076</v>
      </c>
      <c r="BH620" s="61">
        <f>IF(ISERROR((BG620/AY620-1)*100),"NA",IF(((BG620/AY620-1)*100)&gt;100,"NM",IF(((BG620/AY620-1)*100)&lt;-50,"NM",(BG620/AY620-1)*100)))</f>
        <v>-10.180568521811949</v>
      </c>
      <c r="BI620" s="144">
        <f>BI614+(BI478*0.65/BI611)</f>
        <v>1.3487609329446066</v>
      </c>
      <c r="BJ620" s="61">
        <f>IF(ISERROR((BI620/BA620-1)*100),"NA",IF(((BI620/BA620-1)*100)&gt;100,"NM",IF(((BI620/BA620-1)*100)&lt;-50,"NM",(BI620/BA620-1)*100)))</f>
        <v>13.962757773768431</v>
      </c>
      <c r="BK620" s="144">
        <f>BK614+(BK478*0.65/BK611)</f>
        <v>1.2893394495412844</v>
      </c>
      <c r="BL620" s="61">
        <f>IF(ISERROR((BK620/BC620-1)*100),"NA",IF(((BK620/BC620-1)*100)&gt;100,"NM",IF(((BK620/BC620-1)*100)&lt;-50,"NM",(BK620/BC620-1)*100)))</f>
        <v>-0.72269043776349573</v>
      </c>
      <c r="BM620" s="144">
        <f>BM614+(BM478*0.65/BM611)</f>
        <v>1.1864699331848547</v>
      </c>
      <c r="BN620" s="61">
        <f>IF(ISERROR((BM620/BE620-1)*100),"NA",IF(((BM620/BE620-1)*100)&gt;100,"NM",IF(((BM620/BE620-1)*100)&lt;-50,"NM",(BM620/BE620-1)*100)))</f>
        <v>-10.77450805529333</v>
      </c>
      <c r="BO620" s="144">
        <f>BO614+(BO478*0.65/BO611)</f>
        <v>1.1760083713850842</v>
      </c>
      <c r="BP620" s="61">
        <f>IF(ISERROR((BO620/BG620-1)*100),"NA",IF(((BO620/BG620-1)*100)&gt;100,"NM",IF(((BO620/BG620-1)*100)&lt;-50,"NM",(BO620/BG620-1)*100)))</f>
        <v>-5.6831162691159403</v>
      </c>
      <c r="BQ620" s="144">
        <f>BQ614+(BQ478*0.65/BQ611)</f>
        <v>1.2298151001540834</v>
      </c>
      <c r="BR620" s="61">
        <f>IF(ISERROR((BQ620/BI620-1)*100),"NA",IF(((BQ620/BI620-1)*100)&gt;100,"NM",IF(((BQ620/BI620-1)*100)&lt;-50,"NM",(BQ620/BI620-1)*100)))</f>
        <v>-8.8188966543419571</v>
      </c>
      <c r="BS620" s="144">
        <f>BS614+(BS478*0.65/BS611)</f>
        <v>1.1566302470453536</v>
      </c>
      <c r="BT620" s="61">
        <f>IF(ISERROR((BS620/BK620-1)*100),"NA",IF(((BS620/BK620-1)*100)&gt;100,"NM",IF(((BS620/BK620-1)*100)&lt;-50,"NM",(BS620/BK620-1)*100)))</f>
        <v>-10.292805555832917</v>
      </c>
      <c r="BU620" s="144">
        <f>BU614+(BU478*0.65/BU611)</f>
        <v>-0.49340062111801292</v>
      </c>
      <c r="BV620" s="61" t="str">
        <f>IF(ISERROR((BU620/BM620-1)*100),"NA",IF(((BU620/BM620-1)*100)&gt;100,"NM",IF(((BU620/BM620-1)*100)&lt;-50,"NM",(BU620/BM620-1)*100)))</f>
        <v>NM</v>
      </c>
      <c r="BW620" s="144">
        <f>BW614+(BW478*0.65/BW611)</f>
        <v>0.63266097750193961</v>
      </c>
      <c r="BX620" s="61">
        <f>IF(ISERROR((BW620/BO620-1)*100),"NA",IF(((BW620/BO620-1)*100)&gt;100,"NM",IF(((BW620/BO620-1)*100)&lt;-50,"NM",(BW620/BO620-1)*100)))</f>
        <v>-46.202680789015005</v>
      </c>
      <c r="BY620" s="144">
        <f>BY614+(BY478*0.65/BY611)</f>
        <v>0.79001524390243971</v>
      </c>
      <c r="BZ620" s="61">
        <f>IF(ISERROR((BY620/BQ620-1)*100),"NA",IF(((BY620/BQ620-1)*100)&gt;100,"NM",IF(((BY620/BQ620-1)*100)&lt;-50,"NM",(BY620/BQ620-1)*100)))</f>
        <v>-35.761461718638941</v>
      </c>
      <c r="CA620" s="144">
        <f>CA614+(CA478*0.65/CA611)</f>
        <v>0.83616129032258024</v>
      </c>
      <c r="CB620" s="61">
        <f>IF(ISERROR((CA620/BS620-1)*100),"NA",IF(((CA620/BS620-1)*100)&gt;100,"NM",IF(((CA620/BS620-1)*100)&lt;-50,"NM",(CA620/BS620-1)*100)))</f>
        <v>-27.707122266724461</v>
      </c>
      <c r="CC620" s="144">
        <f>CC614+(CC478*0.65/CC611)</f>
        <v>0.89537869062901154</v>
      </c>
      <c r="CD620" s="61" t="str">
        <f>IF(ISERROR((CC620/BU620-1)*100),"NA",IF(((CC620/BU620-1)*100)&gt;100,"NM",IF(((CC620/BU620-1)*100)&lt;-50,"NM",(CC620/BU620-1)*100)))</f>
        <v>NM</v>
      </c>
      <c r="CE620" s="144">
        <f>CE614+(CE478*0.65/CE611)</f>
        <v>0.82607023840041038</v>
      </c>
      <c r="CF620" s="61">
        <f>IF(ISERROR((CE620/BW620-1)*100),"NA",IF(((CE620/BW620-1)*100)&gt;100,"NM",IF(((CE620/BW620-1)*100)&lt;-50,"NM",(CE620/BW620-1)*100)))</f>
        <v>30.570758712216882</v>
      </c>
      <c r="CG620" s="144">
        <f>CG614+(CG478*0.65/CG611)</f>
        <v>0.86586141131595684</v>
      </c>
      <c r="CH620" s="61">
        <f>IF(ISERROR((CG620/BY620-1)*100),"NA",IF(((CG620/BY620-1)*100)&gt;100,"NM",IF(((CG620/BY620-1)*100)&lt;-50,"NM",(CG620/BY620-1)*100)))</f>
        <v>9.6005954314070774</v>
      </c>
      <c r="CI620" s="144">
        <f>CI614+(CI478*0.65/CI611)</f>
        <v>0.62818544673011967</v>
      </c>
      <c r="CJ620" s="61">
        <f>IF(ISERROR((CI620/CA620-1)*100),"NA",IF(((CI620/CA620-1)*100)&gt;100,"NM",IF(((CI620/CA620-1)*100)&lt;-50,"NM",(CI620/CA620-1)*100)))</f>
        <v>-24.872694538660856</v>
      </c>
      <c r="CK620" s="144">
        <f>CK614+(CK478*0.65/CK611)</f>
        <v>0.82127396413110643</v>
      </c>
      <c r="CL620" s="61">
        <f>IF(ISERROR((CK620/CC620-1)*100),"NA",IF(((CK620/CC620-1)*100)&gt;100,"NM",IF(((CK620/CC620-1)*100)&lt;-50,"NM",(CK620/CC620-1)*100)))</f>
        <v>-8.2763558339595811</v>
      </c>
      <c r="CM620" s="144">
        <f>CM614+(CM478*0.65/CM611)</f>
        <v>0.99690306596469569</v>
      </c>
      <c r="CN620" s="61">
        <f>IF(ISERROR((CM620/CE620-1)*100),"NA",IF(((CM620/CE620-1)*100)&gt;100,"NM",IF(((CM620/CE620-1)*100)&lt;-50,"NM",(CM620/CE620-1)*100)))</f>
        <v>20.680181856579583</v>
      </c>
      <c r="CO620" s="144">
        <f>CO614+(CO478*0.65/CO611)</f>
        <v>1.0149953139643857</v>
      </c>
      <c r="CP620" s="61">
        <f>IF(ISERROR((CO620/CG620-1)*100),"NA",IF(((CO620/CG620-1)*100)&gt;100,"NM",IF(((CO620/CG620-1)*100)&lt;-50,"NM",(CO620/CG620-1)*100)))</f>
        <v>17.223761297061579</v>
      </c>
      <c r="CQ620" s="144">
        <f>CQ614+(CQ478*0.65/CQ611)</f>
        <v>1.0349358974358971</v>
      </c>
      <c r="CR620" s="61">
        <f>IF(ISERROR((CQ620/CI620-1)*100),"NA",IF(((CQ620/CI620-1)*100)&gt;100,"NM",IF(((CQ620/CI620-1)*100)&lt;-50,"NM",(CQ620/CI620-1)*100)))</f>
        <v>64.750059528285291</v>
      </c>
      <c r="CS620" s="144">
        <f>CS614+(CS478*0.65/CS611)</f>
        <v>0.91298615688859597</v>
      </c>
      <c r="CT620" s="61">
        <f>IF(ISERROR((CS620/CK620-1)*100),"NA",IF(((CS620/CK620-1)*100)&gt;100,"NM",IF(((CS620/CK620-1)*100)&lt;-50,"NM",(CS620/CK620-1)*100)))</f>
        <v>11.167064434402164</v>
      </c>
      <c r="CU620" s="144">
        <f>CU614+(CU478*0.65/CU611)</f>
        <v>0.9901993916863806</v>
      </c>
      <c r="CV620" s="61">
        <f>IF(ISERROR((CU620/CM620-1)*100),"NA",IF(((CU620/CM620-1)*100)&gt;100,"NM",IF(((CU620/CM620-1)*100)&lt;-50,"NM",(CU620/CM620-1)*100)))</f>
        <v>-0.67244996100277454</v>
      </c>
      <c r="CW620" s="144">
        <f>CW614+(CW478*0.65/CW611)</f>
        <v>1.0862068965517242</v>
      </c>
      <c r="CX620" s="61">
        <f>IF(ISERROR((CW620/CO620-1)*100),"NA",IF(((CW620/CO620-1)*100)&gt;100,"NM",IF(((CW620/CO620-1)*100)&lt;-50,"NM",(CW620/CO620-1)*100)))</f>
        <v>7.0159518578661428</v>
      </c>
      <c r="CY620" s="144">
        <f>CY614+(CY478*0.65/CY611)</f>
        <v>1.2715138742536003</v>
      </c>
      <c r="CZ620" s="61">
        <f>IF(ISERROR((CY620/CQ620-1)*100),"NA",IF(((CY620/CQ620-1)*100)&gt;100,"NM",IF(((CY620/CQ620-1)*100)&lt;-50,"NM",(CY620/CQ620-1)*100)))</f>
        <v>22.859191318403038</v>
      </c>
      <c r="DA620" s="144">
        <f>DA614+(DA478*0.65/DA611)</f>
        <v>1.1028103877623621</v>
      </c>
      <c r="DB620" s="61">
        <f>IF(ISERROR((DA620/CS620-1)*100),"NA",IF(((DA620/CS620-1)*100)&gt;100,"NM",IF(((DA620/CS620-1)*100)&lt;-50,"NM",(DA620/CS620-1)*100)))</f>
        <v>20.79157821194968</v>
      </c>
      <c r="DC620" s="144">
        <f>DC614+(DC478*0.65/DC611)</f>
        <v>1.0229720028715004</v>
      </c>
      <c r="DD620" s="61">
        <f>IF(ISERROR((DC620/CU620-1)*100),"NA",IF(((DC620/CU620-1)*100)&gt;100,"NM",IF(((DC620/CU620-1)*100)&lt;-50,"NM",(DC620/CU620-1)*100)))</f>
        <v>3.3096981739511699</v>
      </c>
      <c r="DE620" s="144">
        <f>DE614+(DE478*0.65/DE611)</f>
        <v>1.2731229597388467</v>
      </c>
      <c r="DF620" s="61">
        <f>IF(ISERROR((DE620/CW620-1)*100),"NA",IF(((DE620/CW620-1)*100)&gt;100,"NM",IF(((DE620/CW620-1)*100)&lt;-50,"NM",(DE620/CW620-1)*100)))</f>
        <v>17.208145499766836</v>
      </c>
      <c r="DG620" s="144">
        <f>DG614+(DG478*0.65/DG611)</f>
        <v>1.3408841797588602</v>
      </c>
      <c r="DH620" s="61">
        <f>IF(ISERROR((DG620/CY620-1)*100),"NA",IF(((DG620/CY620-1)*100)&gt;100,"NM",IF(((DG620/CY620-1)*100)&lt;-50,"NM",(DG620/CY620-1)*100)))</f>
        <v>5.4557254081070372</v>
      </c>
      <c r="DI620" s="144">
        <f>DI614+(DI478*0.65/DI611)</f>
        <v>1.4002932551319647</v>
      </c>
      <c r="DJ620" s="61">
        <f>IF(ISERROR((DI620/DA620-1)*100),"NA",IF(((DI620/DA620-1)*100)&gt;100,"NM",IF(((DI620/DA620-1)*100)&lt;-50,"NM",(DI620/DA620-1)*100)))</f>
        <v>26.974978715353327</v>
      </c>
      <c r="DK620" s="144">
        <f>DK614+(DK478*0.65/DK611)</f>
        <v>1.3377434766629914</v>
      </c>
      <c r="DL620" s="61">
        <f>IF(ISERROR((DK620/DC620-1)*100),"NA",IF(((DK620/DC620-1)*100)&gt;100,"NM",IF(((DK620/DC620-1)*100)&lt;-50,"NM",(DK620/DC620-1)*100)))</f>
        <v>30.770292139757682</v>
      </c>
      <c r="DM620" s="144">
        <f>DM614+(DM478*0.65/DM611)</f>
        <v>1.4689475641502419</v>
      </c>
      <c r="DN620" s="130">
        <f t="shared" ref="DN620:DZ620" si="3550">IF(ISERROR((DM620/DE620-1)*100),"NA",IF(((DM620/DE620-1)*100)&gt;100,"NM",IF(((DM620/DE620-1)*100)&lt;-50,"NM",(DM620/DE620-1)*100)))</f>
        <v>15.381436876416421</v>
      </c>
      <c r="DO620" s="144">
        <f>DO614+(DO478*0.65/DO611)</f>
        <v>1.5592203898050974</v>
      </c>
      <c r="DP620" s="130">
        <f t="shared" si="3550"/>
        <v>16.283002912712561</v>
      </c>
      <c r="DQ620" s="144">
        <f>DQ614+(DQ478*0.65/DQ611)</f>
        <v>1.6730038022813689</v>
      </c>
      <c r="DR620" s="130">
        <f t="shared" si="3550"/>
        <v>19.475245356638094</v>
      </c>
      <c r="DS620" s="144">
        <f>DS614+(DS478*0.65/DS611)</f>
        <v>1.3507290867229469</v>
      </c>
      <c r="DT620" s="130">
        <f t="shared" si="3550"/>
        <v>0.97071002673458917</v>
      </c>
      <c r="DU620" s="144">
        <f>DU614+(DU478*0.65/DU611)</f>
        <v>1.4554727344056493</v>
      </c>
      <c r="DV620" s="130">
        <f t="shared" si="3550"/>
        <v>-0.91731182742302853</v>
      </c>
      <c r="DW620" s="144">
        <f>DW614+(DW478*0.65/DW611)</f>
        <v>1.113744075829384</v>
      </c>
      <c r="DX620" s="144">
        <f t="shared" ref="DX620:DY620" si="3551">DX614+(DX478*0.65/DX611)</f>
        <v>1.113744075829384</v>
      </c>
      <c r="DY620" s="144">
        <f t="shared" si="3551"/>
        <v>1.5349999999999999</v>
      </c>
      <c r="DZ620" s="130">
        <f t="shared" si="3550"/>
        <v>-8.2488636363636463</v>
      </c>
      <c r="EA620" s="144">
        <f t="shared" ref="EA620:EC620" si="3552">EA614+(EA478*0.65/EA611)</f>
        <v>1.2529999999999999</v>
      </c>
      <c r="EB620" s="130">
        <f t="shared" ref="EB620" si="3553">IF(ISERROR((EA620/DS620-1)*100),"NA",IF(((EA620/DS620-1)*100)&gt;100,"NM",IF(((EA620/DS620-1)*100)&lt;-50,"NM",(EA620/DS620-1)*100)))</f>
        <v>-7.2352840909090883</v>
      </c>
      <c r="EC620" s="144">
        <f t="shared" si="3552"/>
        <v>1.5549999999999999</v>
      </c>
      <c r="ED620" s="130">
        <f t="shared" ref="ED620" si="3554">IF(ISERROR((EC620/DU620-1)*100),"NA",IF(((EC620/DU620-1)*100)&gt;100,"NM",IF(((EC620/DU620-1)*100)&lt;-50,"NM",(EC620/DU620-1)*100)))</f>
        <v>6.8381401617250592</v>
      </c>
      <c r="EE620" s="144">
        <f t="shared" ref="EE620:EG620" si="3555">EE614+(EE478*0.65/EE611)</f>
        <v>1.8879999999999999</v>
      </c>
      <c r="EF620" s="130">
        <f t="shared" ref="EF620" si="3556">IF(ISERROR((EE620/DW620-1)*100),"NA",IF(((EE620/DW620-1)*100)&gt;100,"NM",IF(((EE620/DW620-1)*100)&lt;-50,"NM",(EE620/DW620-1)*100)))</f>
        <v>69.518297872340412</v>
      </c>
      <c r="EG620" s="144">
        <f t="shared" si="3555"/>
        <v>1.7935205716760501</v>
      </c>
      <c r="EH620" s="130">
        <f t="shared" ref="EH620" si="3557">IF(ISERROR((EG620/DY620-1)*100),"NA",IF(((EG620/DY620-1)*100)&gt;100,"NM",IF(((EG620/DY620-1)*100)&lt;-50,"NM",(EG620/DY620-1)*100)))</f>
        <v>16.841731053814346</v>
      </c>
      <c r="EI620" s="144">
        <f t="shared" ref="EI620:EK620" si="3558">EI614+(EI478*0.65/EI611)</f>
        <v>1.9464237288135593</v>
      </c>
      <c r="EJ620" s="130">
        <f t="shared" ref="EJ620" si="3559">IF(ISERROR((EI620/EA620-1)*100),"NA",IF(((EI620/EA620-1)*100)&gt;100,"NM",IF(((EI620/EA620-1)*100)&lt;-50,"NM",(EI620/EA620-1)*100)))</f>
        <v>55.341079713771713</v>
      </c>
      <c r="EK620" s="144">
        <f t="shared" si="3558"/>
        <v>1.8850616332819723</v>
      </c>
      <c r="EL620" s="130">
        <f t="shared" ref="EL620" si="3560">IF(ISERROR((EK620/EC620-1)*100),"NA",IF(((EK620/EC620-1)*100)&gt;100,"NM",IF(((EK620/EC620-1)*100)&lt;-50,"NM",(EK620/EC620-1)*100)))</f>
        <v>21.225828506879264</v>
      </c>
      <c r="EM620" s="144">
        <f t="shared" ref="EM620" si="3561">EM614+(EM478*0.65/EM611)</f>
        <v>2.0570308173291649</v>
      </c>
      <c r="EN620" s="130">
        <f t="shared" ref="EN620" si="3562">IF(ISERROR((EM620/EE620-1)*100),"NA",IF(((EM620/EE620-1)*100)&gt;100,"NM",IF(((EM620/EE620-1)*100)&lt;-50,"NM",(EM620/EE620-1)*100)))</f>
        <v>8.9529034602312088</v>
      </c>
      <c r="EO620" s="144">
        <f t="shared" ref="EO620" si="3563">EO614+(EO478*0.65/EO611)</f>
        <v>2.0122924740874271</v>
      </c>
      <c r="EP620" s="130">
        <f t="shared" ref="EP620" si="3564">IF(ISERROR((EO620/EG620-1)*100),"NA",IF(((EO620/EG620-1)*100)&gt;100,"NM",IF(((EO620/EG620-1)*100)&lt;-50,"NM",(EO620/EG620-1)*100)))</f>
        <v>12.197903155743228</v>
      </c>
      <c r="EQ620" s="144">
        <f t="shared" ref="EQ620:EW620" si="3565">EQ614+(EQ478*0.65/EQ611)</f>
        <v>1.9860614177199893</v>
      </c>
      <c r="ER620" s="130">
        <f t="shared" ref="ER620" si="3566">IF(ISERROR((EQ620/EI620-1)*100),"NA",IF(((EQ620/EI620-1)*100)&gt;100,"NM",IF(((EQ620/EI620-1)*100)&lt;-50,"NM",(EQ620/EI620-1)*100)))</f>
        <v>2.0364367901839708</v>
      </c>
      <c r="ES620" s="144">
        <f t="shared" si="3565"/>
        <v>2.1100732937472535</v>
      </c>
      <c r="ET620" s="130">
        <f t="shared" ref="ET620" si="3567">IF(ISERROR((ES620/EK620-1)*100),"NA",IF(((ES620/EK620-1)*100)&gt;100,"NM",IF(((ES620/EK620-1)*100)&lt;-50,"NM",(ES620/EK620-1)*100)))</f>
        <v>11.936567828476052</v>
      </c>
      <c r="EU620" s="144">
        <f t="shared" si="3565"/>
        <v>2.1993698198403036</v>
      </c>
      <c r="EV620" s="130">
        <f t="shared" ref="EV620" si="3568">IF(ISERROR((EU620/EM620-1)*100),"NA",IF(((EU620/EM620-1)*100)&gt;100,"NM",IF(((EU620/EM620-1)*100)&lt;-50,"NM",(EU620/EM620-1)*100)))</f>
        <v>6.9196339360608539</v>
      </c>
      <c r="EW620" s="144">
        <f t="shared" si="3565"/>
        <v>2.2704327799460069</v>
      </c>
      <c r="EX620" s="130">
        <f t="shared" ref="EX620" si="3569">IF(ISERROR((EW620/EO620-1)*100),"NA",IF(((EW620/EO620-1)*100)&gt;100,"NM",IF(((EW620/EO620-1)*100)&lt;-50,"NM",(EW620/EO620-1)*100)))</f>
        <v>12.828170317321597</v>
      </c>
      <c r="EY620" s="64"/>
      <c r="EZ620" s="558"/>
      <c r="FA620" s="64"/>
      <c r="FB620" s="144">
        <f>FB614</f>
        <v>2.6070480111365533</v>
      </c>
      <c r="FC620" s="71"/>
      <c r="FD620" s="144">
        <f>FD614</f>
        <v>2.3712574850299402</v>
      </c>
      <c r="FE620" s="70">
        <f>IF(ISERROR((FD620/FB620-1)*100),"NA",IF(((FD620/FB620-1)*100)&gt;100,"NM",IF(((FD620/FB620-1)*100)&lt;-50,"NM",(FD620/FB620-1)*100)))</f>
        <v>-9.0443492064351876</v>
      </c>
      <c r="FF620" s="144">
        <f>FF614</f>
        <v>3.6827386291037865</v>
      </c>
      <c r="FG620" s="70">
        <f>IF(ISERROR((FF620/FD620-1)*100),"NA",IF(((FF620/FD620-1)*100)&gt;100,"NM",IF(((FF620/FD620-1)*100)&lt;-50,"NM",(FF620/FD620-1)*100)))</f>
        <v>55.307411883922299</v>
      </c>
      <c r="FH620" s="144">
        <f>FH614</f>
        <v>3.3392211925485764</v>
      </c>
      <c r="FI620" s="70">
        <f>IF(ISERROR((FH620/FF620-1)*100),"NA",IF(((FH620/FF620-1)*100)&gt;100,"NM",IF(((FH620/FF620-1)*100)&lt;-50,"NM",(FH620/FF620-1)*100)))</f>
        <v>-9.3277712906497214</v>
      </c>
      <c r="FJ620" s="144">
        <f>FJ614</f>
        <v>2.3205631718297384</v>
      </c>
      <c r="FK620" s="70">
        <f>IF(ISERROR((FJ620/FH620-1)*100),"NA",IF(((FJ620/FH620-1)*100)&gt;100,"NM",IF(((FJ620/FH620-1)*100)&lt;-50,"NM",(FJ620/FH620-1)*100)))</f>
        <v>-30.505856365309334</v>
      </c>
      <c r="FL620" s="144">
        <f>FL614</f>
        <v>3.3009620899256058</v>
      </c>
      <c r="FM620" s="70">
        <f>IF(ISERROR((FL620/FJ620-1)*100),"NA",IF(((FL620/FJ620-1)*100)&gt;100,"NM",IF(((FL620/FJ620-1)*100)&lt;-50,"NM",(FL620/FJ620-1)*100)))</f>
        <v>42.248318425343001</v>
      </c>
      <c r="FN620" s="144">
        <f>FN614+(FN478*0.65/FN611)</f>
        <v>4.0517243814355091</v>
      </c>
      <c r="FO620" s="61">
        <f>IF(ISERROR((FN620/FL620-1)*100),"NA",IF(((FN620/FL620-1)*100)&gt;100,"NM",IF(((FN620/FL620-1)*100)&lt;-50,"NM",(FN620/FL620-1)*100)))</f>
        <v>22.743741704916797</v>
      </c>
      <c r="FP620" s="388">
        <f>FP614+(FP478*0.65/FP611)</f>
        <v>5.4511981828506535</v>
      </c>
      <c r="FQ620" s="61">
        <f t="shared" si="3354"/>
        <v>63.247591834135555</v>
      </c>
      <c r="FR620" s="388">
        <f>AY620+BA620+BC620+BE620</f>
        <v>5.2001743137988976</v>
      </c>
      <c r="FS620" s="61">
        <f>IF(ISERROR((FR620/FP620-1)*100),"NA",IF(((FR620/FP620-1)*100)&gt;100,"NM",IF(((FR620/FP620-1)*100)&lt;-50,"NM",(FR620/FP620-1)*100)))</f>
        <v>-4.6049301572170247</v>
      </c>
      <c r="FT620" s="388">
        <f>FT614+(FT478*0.65/FT611)</f>
        <v>5.0723854718014225</v>
      </c>
      <c r="FU620" s="61">
        <f>IF(ISERROR((FT620/FR620-1)*100),"NA",IF(((FT620/FR620-1)*100)&gt;100,"NM",IF(((FT620/FR620-1)*100)&lt;-50,"NM",(FT620/FR620-1)*100)))</f>
        <v>-2.4573953541976779</v>
      </c>
      <c r="FV620" s="388">
        <f>FV614+(FV478*0.65/FV611)</f>
        <v>3.0808802625175291</v>
      </c>
      <c r="FW620" s="61">
        <f>IF(ISERROR((FV620/FT620-1)*100),"NA",IF(((FV620/FT620-1)*100)&gt;100,"NM",IF(((FV620/FT620-1)*100)&lt;-50,"NM",(FV620/FT620-1)*100)))</f>
        <v>-39.261708723738309</v>
      </c>
      <c r="FX620" s="388">
        <f>FX614+(FX478*0.65/FX611)</f>
        <v>3.1830793483972677</v>
      </c>
      <c r="FY620" s="61">
        <f>IF(ISERROR((FX620/FV620-1)*100),"NA",IF(((FX620/FV620-1)*100)&gt;100,"NM",IF(((FX620/FV620-1)*100)&lt;-50,"NM",(FX620/FV620-1)*100)))</f>
        <v>3.3172040836221051</v>
      </c>
      <c r="FZ620" s="388">
        <f>FZ614+(FZ478*0.65/FZ611)</f>
        <v>3.1365909482826169</v>
      </c>
      <c r="GA620" s="61">
        <f>IF(ISERROR((FZ620/FX620-1)*100),"NA",IF(((FZ620/FX620-1)*100)&gt;100,"NM",IF(((FZ620/FX620-1)*100)&lt;-50,"NM",(FZ620/FX620-1)*100)))</f>
        <v>-1.4604851160263554</v>
      </c>
      <c r="GB620" s="388">
        <f>GB614+(GB478*0.65/GB611)</f>
        <v>3.9577777777777787</v>
      </c>
      <c r="GC620" s="61">
        <f>IF(ISERROR((GB620/FZ620-1)*100),"NA",IF(((GB620/FZ620-1)*100)&gt;100,"NM",IF(((GB620/FZ620-1)*100)&lt;-50,"NM",(GB620/FZ620-1)*100)))</f>
        <v>26.180870984939485</v>
      </c>
      <c r="GD620" s="388">
        <f>GD614+(GD478*0.65/GD611)</f>
        <v>4.4506258692628649</v>
      </c>
      <c r="GE620" s="61">
        <f>IF(ISERROR((GD620/GB620-1)*100),"NA",IF(((GD620/GB620-1)*100)&gt;100,"NM",IF(((GD620/GB620-1)*100)&lt;-50,"NM",(GD620/GB620-1)*100)))</f>
        <v>12.452646893222274</v>
      </c>
      <c r="GF620" s="388">
        <f>GF614+(GF478*0.65/GF611)</f>
        <v>5.0327034883720936</v>
      </c>
      <c r="GG620" s="61">
        <f>IF(ISERROR((GF620/GD620-1)*100),"NA",IF(((GF620/GD620-1)*100)&gt;100,"NM",IF(((GF620/GD620-1)*100)&lt;-50,"NM",(GF620/GD620-1)*100)))</f>
        <v>13.078556504360495</v>
      </c>
      <c r="GH620" s="388">
        <f>GH614+(GH478*0.65/GH611)</f>
        <v>6.0261194029850742</v>
      </c>
      <c r="GI620" s="61">
        <f>IF(ISERROR((GH620/GF620-1)*100),"NA",IF(((GH620/GF620-1)*100)&gt;100,"NM",IF(((GH620/GF620-1)*100)&lt;-50,"NM",(GH620/GF620-1)*100)))</f>
        <v>19.739210086750347</v>
      </c>
      <c r="GJ620" s="388">
        <f>GJ614+(GJ478*0.65/GJ611)</f>
        <v>5.4520440251572326</v>
      </c>
      <c r="GK620" s="61">
        <f>IF(ISERROR((GJ620/GH620-1)*100),"NA",IF(((GJ620/GH620-1)*100)&gt;100,"NM",IF(((GJ620/GH620-1)*100)&lt;-50,"NM",(GJ620/GH620-1)*100)))</f>
        <v>-9.526452090270066</v>
      </c>
      <c r="GL620" s="388">
        <f>GL614+(GL478*0.65/GL611)</f>
        <v>6.4674038967877827</v>
      </c>
      <c r="GM620" s="61">
        <f>IF(ISERROR((GL620/GJ620-1)*100),"NA",IF(((GL620/GJ620-1)*100)&gt;100,"NM",IF(((GL620/GJ620-1)*100)&lt;-50,"NM",(GL620/GJ620-1)*100)))</f>
        <v>18.623471618083045</v>
      </c>
      <c r="GN620" s="388">
        <f>GN614+(GN478*0.65/GN611)</f>
        <v>7.8974586124799293</v>
      </c>
      <c r="GO620" s="61">
        <f>IF(ISERROR((GN620/GL620-1)*100),"NA",IF(((GN620/GL620-1)*100)&gt;100,"NM",IF(((GN620/GL620-1)*100)&lt;-50,"NM",(GN620/GL620-1)*100)))</f>
        <v>22.111727340895214</v>
      </c>
      <c r="GP620" s="388">
        <f>GP614+(GP478*0.65/GP611)</f>
        <v>8.5649506566052587</v>
      </c>
      <c r="GQ620" s="61">
        <f>IF(ISERROR((GP620/GN620-1)*100),"NA",IF(((GP620/GN620-1)*100)&gt;100,"NM",IF(((GP620/GN620-1)*100)&lt;-50,"NM",(GP620/GN620-1)*100)))</f>
        <v>8.4519853395689459</v>
      </c>
      <c r="GR620" s="144">
        <f>GR614+(GR478*0.65/GR611)</f>
        <v>9.2031935617236069</v>
      </c>
      <c r="GS620" s="61">
        <f>IF(ISERROR((GR620/GP620-1)*100),"NA",IF(((GR620/GP620-1)*100)&gt;100,"NM",IF(((GR620/GP620-1)*100)&lt;-50,"NM",(GR620/GP620-1)*100)))</f>
        <v>7.4517989736010648</v>
      </c>
      <c r="GT620" s="144">
        <f>GT614+(GT478*0.65/GT611)</f>
        <v>10.023300764223883</v>
      </c>
      <c r="GU620" s="61">
        <f>IF(ISERROR((GT620/GR620-1)*100),"NA",IF(((GT620/GR620-1)*100)&gt;100,"NM",IF(((GT620/GR620-1)*100)&lt;-50,"NM",(GT620/GR620-1)*100)))</f>
        <v>8.9111154405263182</v>
      </c>
      <c r="GV620" s="144">
        <f>GV614+(GV478*0.65/GV611)</f>
        <v>10.815101299321382</v>
      </c>
      <c r="GW620" s="61">
        <f>IF(ISERROR((GV620/GT620-1)*100),"NA",IF(((GV620/GT620-1)*100)&gt;100,"NM",IF(((GV620/GT620-1)*100)&lt;-50,"NM",(GV620/GT620-1)*100)))</f>
        <v>7.8995986823389375</v>
      </c>
      <c r="GX620" s="144">
        <f>GX614+(GX478*0.65/GX611)</f>
        <v>11.709609602820562</v>
      </c>
      <c r="GY620" s="61">
        <f>IF(ISERROR((GX620/GV620-1)*100),"NA",IF(((GX620/GV620-1)*100)&gt;100,"NM",IF(((GX620/GV620-1)*100)&lt;-50,"NM",(GX620/GV620-1)*100)))</f>
        <v>8.2709193260659397</v>
      </c>
      <c r="GZ620" s="61">
        <f t="shared" si="3427"/>
        <v>8.1959517305677529</v>
      </c>
      <c r="HA620" s="61"/>
      <c r="HB620" s="452"/>
      <c r="HC620"/>
      <c r="HD620"/>
      <c r="HE620"/>
      <c r="HF620"/>
      <c r="HG620"/>
      <c r="HH620"/>
    </row>
    <row r="621" spans="1:216" s="391" customFormat="1" ht="12.75" customHeight="1" x14ac:dyDescent="0.2">
      <c r="B621" s="392"/>
      <c r="C621" s="392"/>
      <c r="D621" s="393"/>
      <c r="E621" s="392"/>
      <c r="F621" s="394"/>
      <c r="G621" s="394"/>
      <c r="H621" s="394"/>
      <c r="I621" s="392"/>
      <c r="J621" s="394"/>
      <c r="K621" s="392"/>
      <c r="L621" s="509"/>
      <c r="M621" s="392"/>
      <c r="N621" s="509"/>
      <c r="O621" s="394"/>
      <c r="P621" s="509"/>
      <c r="Q621" s="394"/>
      <c r="R621" s="509"/>
      <c r="S621" s="394"/>
      <c r="T621" s="509"/>
      <c r="U621" s="392"/>
      <c r="V621" s="509"/>
      <c r="W621" s="394"/>
      <c r="X621" s="509"/>
      <c r="Y621" s="394"/>
      <c r="Z621" s="509"/>
      <c r="AA621" s="394"/>
      <c r="AB621" s="509"/>
      <c r="AC621" s="394"/>
      <c r="AD621" s="509"/>
      <c r="AE621" s="394"/>
      <c r="AF621" s="509"/>
      <c r="AG621" s="394"/>
      <c r="AH621" s="509"/>
      <c r="AI621" s="394"/>
      <c r="AJ621" s="509"/>
      <c r="AK621" s="394"/>
      <c r="AL621" s="509"/>
      <c r="AM621" s="394"/>
      <c r="AN621" s="509"/>
      <c r="AO621" s="394"/>
      <c r="AP621" s="509"/>
      <c r="AQ621" s="394"/>
      <c r="AR621" s="61"/>
      <c r="AS621" s="394"/>
      <c r="AT621" s="61"/>
      <c r="AU621" s="394"/>
      <c r="AV621" s="61"/>
      <c r="AW621" s="394"/>
      <c r="AX621" s="61"/>
      <c r="AY621" s="394"/>
      <c r="AZ621" s="61"/>
      <c r="BA621" s="394"/>
      <c r="BB621" s="61"/>
      <c r="BC621" s="394"/>
      <c r="BD621" s="61"/>
      <c r="BE621" s="394"/>
      <c r="BF621" s="61"/>
      <c r="BG621" s="394"/>
      <c r="BH621" s="61"/>
      <c r="BI621" s="394"/>
      <c r="BJ621" s="61"/>
      <c r="BK621" s="394"/>
      <c r="BL621" s="61"/>
      <c r="BM621" s="394"/>
      <c r="BN621" s="61"/>
      <c r="BO621" s="394"/>
      <c r="BP621" s="61"/>
      <c r="BQ621" s="394"/>
      <c r="BR621" s="61"/>
      <c r="BS621" s="394"/>
      <c r="BT621" s="61"/>
      <c r="BU621" s="394"/>
      <c r="BV621" s="61"/>
      <c r="BW621" s="392"/>
      <c r="BX621" s="61"/>
      <c r="BY621" s="392"/>
      <c r="BZ621" s="61"/>
      <c r="CA621" s="392"/>
      <c r="CB621" s="61"/>
      <c r="CC621" s="392"/>
      <c r="CD621" s="61"/>
      <c r="CE621" s="392"/>
      <c r="CF621" s="61"/>
      <c r="CG621" s="392"/>
      <c r="CH621" s="61"/>
      <c r="CI621" s="392"/>
      <c r="CJ621" s="61"/>
      <c r="CK621" s="392"/>
      <c r="CL621" s="61"/>
      <c r="CM621" s="392"/>
      <c r="CN621" s="61"/>
      <c r="CO621" s="392"/>
      <c r="CP621" s="61"/>
      <c r="CQ621" s="392"/>
      <c r="CR621" s="61"/>
      <c r="CS621" s="392"/>
      <c r="CT621" s="61"/>
      <c r="CU621" s="392"/>
      <c r="CV621" s="61"/>
      <c r="CW621" s="392"/>
      <c r="CX621" s="61"/>
      <c r="CY621" s="392"/>
      <c r="CZ621" s="61"/>
      <c r="DA621" s="392"/>
      <c r="DB621" s="61"/>
      <c r="DC621" s="392"/>
      <c r="DD621" s="61"/>
      <c r="DE621" s="392"/>
      <c r="DF621" s="61"/>
      <c r="DG621" s="392"/>
      <c r="DH621" s="61"/>
      <c r="DI621" s="392"/>
      <c r="DJ621" s="61"/>
      <c r="DK621" s="392"/>
      <c r="DL621" s="61"/>
      <c r="DM621" s="392"/>
      <c r="DN621" s="61"/>
      <c r="DO621" s="392"/>
      <c r="DP621" s="61"/>
      <c r="DQ621" s="392"/>
      <c r="DR621" s="61"/>
      <c r="DS621" s="392"/>
      <c r="DT621" s="61"/>
      <c r="DU621" s="392"/>
      <c r="DV621" s="61"/>
      <c r="DW621" s="392"/>
      <c r="DX621" s="392"/>
      <c r="DY621" s="392"/>
      <c r="DZ621" s="61"/>
      <c r="EA621" s="392"/>
      <c r="EB621" s="61"/>
      <c r="EC621" s="392"/>
      <c r="ED621" s="61"/>
      <c r="EE621" s="392"/>
      <c r="EF621" s="61"/>
      <c r="EG621" s="392"/>
      <c r="EH621" s="61"/>
      <c r="EI621" s="392"/>
      <c r="EJ621" s="61"/>
      <c r="EK621" s="392"/>
      <c r="EL621" s="61"/>
      <c r="EM621" s="392"/>
      <c r="EN621" s="61"/>
      <c r="EO621" s="392"/>
      <c r="EP621" s="61"/>
      <c r="EQ621" s="392"/>
      <c r="ER621" s="61"/>
      <c r="ES621" s="392"/>
      <c r="ET621" s="61"/>
      <c r="EU621" s="392"/>
      <c r="EV621" s="61"/>
      <c r="EW621" s="392"/>
      <c r="EX621" s="61"/>
      <c r="EY621" s="394"/>
      <c r="EZ621" s="558"/>
      <c r="FA621" s="394"/>
      <c r="FB621" s="392"/>
      <c r="FC621" s="395"/>
      <c r="FD621" s="395"/>
      <c r="FE621" s="519"/>
      <c r="FF621" s="392"/>
      <c r="FG621" s="519"/>
      <c r="FH621" s="392"/>
      <c r="FI621" s="519"/>
      <c r="FJ621" s="392"/>
      <c r="FK621" s="519"/>
      <c r="FL621" s="392"/>
      <c r="FM621" s="509"/>
      <c r="FN621" s="392"/>
      <c r="FO621" s="509"/>
      <c r="FP621" s="396"/>
      <c r="FQ621" s="61"/>
      <c r="FR621" s="396"/>
      <c r="FS621" s="61"/>
      <c r="FT621" s="396"/>
      <c r="FU621" s="61"/>
      <c r="FV621" s="396"/>
      <c r="FW621" s="61"/>
      <c r="FX621" s="396"/>
      <c r="FY621" s="61"/>
      <c r="FZ621" s="396"/>
      <c r="GA621" s="61"/>
      <c r="GB621" s="396"/>
      <c r="GC621" s="61"/>
      <c r="GD621" s="396"/>
      <c r="GE621" s="61"/>
      <c r="GF621" s="396"/>
      <c r="GG621" s="61"/>
      <c r="GH621" s="396"/>
      <c r="GI621" s="61"/>
      <c r="GJ621" s="396"/>
      <c r="GK621" s="61"/>
      <c r="GL621" s="396"/>
      <c r="GM621" s="61"/>
      <c r="GN621" s="396"/>
      <c r="GO621" s="61"/>
      <c r="GP621" s="396"/>
      <c r="GQ621" s="61"/>
      <c r="GR621" s="392"/>
      <c r="GS621" s="61"/>
      <c r="GT621" s="392"/>
      <c r="GU621" s="61"/>
      <c r="GV621" s="392"/>
      <c r="GW621" s="61"/>
      <c r="GX621" s="392"/>
      <c r="GY621" s="61"/>
      <c r="GZ621" s="61" t="str">
        <f t="shared" si="3427"/>
        <v/>
      </c>
      <c r="HA621" s="61"/>
      <c r="HB621" s="452"/>
      <c r="HC621"/>
      <c r="HD621"/>
      <c r="HE621"/>
      <c r="HF621"/>
      <c r="HG621"/>
      <c r="HH621"/>
    </row>
    <row r="622" spans="1:216" s="784" customFormat="1" ht="12.75" customHeight="1" x14ac:dyDescent="0.2">
      <c r="B622" s="785" t="s">
        <v>505</v>
      </c>
      <c r="C622" s="786"/>
      <c r="D622" s="787"/>
      <c r="E622" s="786"/>
      <c r="F622" s="788"/>
      <c r="G622" s="786"/>
      <c r="H622" s="788"/>
      <c r="I622" s="786"/>
      <c r="J622" s="788"/>
      <c r="K622" s="786"/>
      <c r="L622" s="789"/>
      <c r="M622" s="786"/>
      <c r="N622" s="789"/>
      <c r="O622" s="786"/>
      <c r="P622" s="789"/>
      <c r="Q622" s="786"/>
      <c r="R622" s="789"/>
      <c r="S622" s="786"/>
      <c r="T622" s="789"/>
      <c r="U622" s="786"/>
      <c r="V622" s="789"/>
      <c r="W622" s="786"/>
      <c r="X622" s="789"/>
      <c r="Y622" s="786"/>
      <c r="Z622" s="789"/>
      <c r="AA622" s="786"/>
      <c r="AB622" s="789"/>
      <c r="AC622" s="786"/>
      <c r="AD622" s="789"/>
      <c r="AE622" s="786"/>
      <c r="AF622" s="789"/>
      <c r="AG622" s="786"/>
      <c r="AH622" s="789"/>
      <c r="AI622" s="786"/>
      <c r="AJ622" s="789"/>
      <c r="AK622" s="786"/>
      <c r="AL622" s="789"/>
      <c r="AM622" s="786"/>
      <c r="AN622" s="789"/>
      <c r="AO622" s="786"/>
      <c r="AP622" s="789"/>
      <c r="AQ622" s="786"/>
      <c r="AR622" s="789"/>
      <c r="AS622" s="786"/>
      <c r="AT622" s="789"/>
      <c r="AU622" s="786"/>
      <c r="AV622" s="789"/>
      <c r="AW622" s="786"/>
      <c r="AX622" s="789"/>
      <c r="AY622" s="786">
        <f>AY614</f>
        <v>1.3881956155143336</v>
      </c>
      <c r="AZ622" s="789" t="str">
        <f>IF(ISERROR((AY622/AQ622-1)*100),"NA",IF(((AY622/AQ622-1)*100)&gt;100,"NM",IF(((AY622/AQ622-1)*100)&lt;-50,"NM",(AY622/AQ622-1)*100)))</f>
        <v>NA</v>
      </c>
      <c r="BA622" s="786">
        <f>BA614</f>
        <v>1.1445859872611464</v>
      </c>
      <c r="BB622" s="789" t="str">
        <f>IF(ISERROR((BA622/AS622-1)*100),"NA",IF(((BA622/AS622-1)*100)&gt;100,"NM",IF(((BA622/AS622-1)*100)&lt;-50,"NM",(BA622/AS622-1)*100)))</f>
        <v>NA</v>
      </c>
      <c r="BC622" s="786">
        <f>BC614</f>
        <v>1.2668555240793204</v>
      </c>
      <c r="BD622" s="789" t="str">
        <f>IF(ISERROR((BC622/AU622-1)*100),"NA",IF(((BC622/AU622-1)*100)&gt;100,"NM",IF(((BC622/AU622-1)*100)&lt;-50,"NM",(BC622/AU622-1)*100)))</f>
        <v>NA</v>
      </c>
      <c r="BE622" s="786">
        <f>BE614</f>
        <v>1.2855206847360912</v>
      </c>
      <c r="BF622" s="789" t="str">
        <f>IF(ISERROR((BE622/AW622-1)*100),"NA",IF(((BE622/AW622-1)*100)&gt;100,"NM",IF(((BE622/AW622-1)*100)&lt;-50,"NM",(BE622/AW622-1)*100)))</f>
        <v>NA</v>
      </c>
      <c r="BG622" s="786">
        <f>BG614</f>
        <v>1.2143112701252239</v>
      </c>
      <c r="BH622" s="789">
        <f>IF(ISERROR((BG622/AY622-1)*100),"NA",IF(((BG622/AY622-1)*100)&gt;100,"NM",IF(((BG622/AY622-1)*100)&lt;-50,"NM",(BG622/AY622-1)*100)))</f>
        <v>-12.525925269162064</v>
      </c>
      <c r="BI622" s="786">
        <f>BI614</f>
        <v>1.2776967930029157</v>
      </c>
      <c r="BJ622" s="789">
        <f>IF(ISERROR((BI622/BA622-1)*100),"NA",IF(((BI622/BA622-1)*100)&gt;100,"NM",IF(((BI622/BA622-1)*100)&lt;-50,"NM",(BI622/BA622-1)*100)))</f>
        <v>11.629602950171281</v>
      </c>
      <c r="BK622" s="786">
        <f>BK614</f>
        <v>1.2194495412844037</v>
      </c>
      <c r="BL622" s="789">
        <f>IF(ISERROR((BK622/BC622-1)*100),"NA",IF(((BK622/BC622-1)*100)&gt;100,"NM",IF(((BK622/BC622-1)*100)&lt;-50,"NM",(BK622/BC622-1)*100)))</f>
        <v>-3.7420196615844392</v>
      </c>
      <c r="BM622" s="786">
        <f>BM614</f>
        <v>1.1191536748329616</v>
      </c>
      <c r="BN622" s="789">
        <f>IF(ISERROR((BM622/BE622-1)*100),"NA",IF(((BM622/BE622-1)*100)&gt;100,"NM",IF(((BM622/BE622-1)*100)&lt;-50,"NM",(BM622/BE622-1)*100)))</f>
        <v>-12.941605053775051</v>
      </c>
      <c r="BO622" s="786">
        <f>BO614</f>
        <v>1.1396499238964997</v>
      </c>
      <c r="BP622" s="789">
        <f>IF(ISERROR((BO622/BG622-1)*100),"NA",IF(((BO622/BG622-1)*100)&gt;100,"NM",IF(((BO622/BG622-1)*100)&lt;-50,"NM",(BO622/BG622-1)*100)))</f>
        <v>-6.1484520538975911</v>
      </c>
      <c r="BQ622" s="786">
        <f>BQ614</f>
        <v>1.1887519260400619</v>
      </c>
      <c r="BR622" s="789">
        <f>IF(ISERROR((BQ622/BI622-1)*100),"NA",IF(((BQ622/BI622-1)*100)&gt;100,"NM",IF(((BQ622/BI622-1)*100)&lt;-50,"NM",(BQ622/BI622-1)*100)))</f>
        <v>-6.9613438375947245</v>
      </c>
      <c r="BS622" s="786">
        <f>BS614</f>
        <v>1.1566302470453536</v>
      </c>
      <c r="BT622" s="789">
        <f>IF(ISERROR((BS622/BK622-1)*100),"NA",IF(((BS622/BK622-1)*100)&gt;100,"NM",IF(((BS622/BK622-1)*100)&lt;-50,"NM",(BS622/BK622-1)*100)))</f>
        <v>-5.1514467890885314</v>
      </c>
      <c r="BU622" s="786">
        <f>BU614</f>
        <v>-0.49340062111801292</v>
      </c>
      <c r="BV622" s="789" t="str">
        <f>IF(ISERROR((BU622/BM622-1)*100),"NA",IF(((BU622/BM622-1)*100)&gt;100,"NM",IF(((BU622/BM622-1)*100)&lt;-50,"NM",(BU622/BM622-1)*100)))</f>
        <v>NM</v>
      </c>
      <c r="BW622" s="786">
        <f>BW614</f>
        <v>0.63266097750193961</v>
      </c>
      <c r="BX622" s="789">
        <f>IF(ISERROR((BW622/BO622-1)*100),"NA",IF(((BW622/BO622-1)*100)&gt;100,"NM",IF(((BW622/BO622-1)*100)&lt;-50,"NM",(BW622/BO622-1)*100)))</f>
        <v>-44.486375663602786</v>
      </c>
      <c r="BY622" s="786">
        <f>BY614</f>
        <v>0.79001524390243971</v>
      </c>
      <c r="BZ622" s="789">
        <f>IF(ISERROR((BY622/BQ622-1)*100),"NA",IF(((BY622/BQ622-1)*100)&gt;100,"NM",IF(((BY622/BQ622-1)*100)&lt;-50,"NM",(BY622/BQ622-1)*100)))</f>
        <v>-33.542463604318442</v>
      </c>
      <c r="CA622" s="786">
        <f>CA614</f>
        <v>0.83616129032258024</v>
      </c>
      <c r="CB622" s="789">
        <f>IF(ISERROR((CA622/BS622-1)*100),"NA",IF(((CA622/BS622-1)*100)&gt;100,"NM",IF(((CA622/BS622-1)*100)&lt;-50,"NM",(CA622/BS622-1)*100)))</f>
        <v>-27.707122266724461</v>
      </c>
      <c r="CC622" s="786">
        <f>CC614</f>
        <v>0.89537869062901154</v>
      </c>
      <c r="CD622" s="789" t="str">
        <f>IF(ISERROR((CC622/BU622-1)*100),"NA",IF(((CC622/BU622-1)*100)&gt;100,"NM",IF(((CC622/BU622-1)*100)&lt;-50,"NM",(CC622/BU622-1)*100)))</f>
        <v>NM</v>
      </c>
      <c r="CE622" s="786">
        <f>CE614</f>
        <v>0.82607023840041038</v>
      </c>
      <c r="CF622" s="789">
        <f>IF(ISERROR((CE622/BW622-1)*100),"NA",IF(((CE622/BW622-1)*100)&gt;100,"NM",IF(((CE622/BW622-1)*100)&lt;-50,"NM",(CE622/BW622-1)*100)))</f>
        <v>30.570758712216882</v>
      </c>
      <c r="CG622" s="786">
        <f>CG614</f>
        <v>0.86586141131595684</v>
      </c>
      <c r="CH622" s="789">
        <f>IF(ISERROR((CG622/BY622-1)*100),"NA",IF(((CG622/BY622-1)*100)&gt;100,"NM",IF(((CG622/BY622-1)*100)&lt;-50,"NM",(CG622/BY622-1)*100)))</f>
        <v>9.6005954314070774</v>
      </c>
      <c r="CI622" s="786">
        <f>CI614</f>
        <v>0.62818544673011967</v>
      </c>
      <c r="CJ622" s="789">
        <f>IF(ISERROR((CI622/CA622-1)*100),"NA",IF(((CI622/CA622-1)*100)&gt;100,"NM",IF(((CI622/CA622-1)*100)&lt;-50,"NM",(CI622/CA622-1)*100)))</f>
        <v>-24.872694538660856</v>
      </c>
      <c r="CK622" s="786">
        <f>CK614</f>
        <v>0.82127396413110643</v>
      </c>
      <c r="CL622" s="789">
        <f>IF(ISERROR((CK622/CC622-1)*100),"NA",IF(((CK622/CC622-1)*100)&gt;100,"NM",IF(((CK622/CC622-1)*100)&lt;-50,"NM",(CK622/CC622-1)*100)))</f>
        <v>-8.2763558339595811</v>
      </c>
      <c r="CM622" s="786">
        <f>CM614</f>
        <v>0.99690306596469569</v>
      </c>
      <c r="CN622" s="789">
        <f>IF(ISERROR((CM622/CE622-1)*100),"NA",IF(((CM622/CE622-1)*100)&gt;100,"NM",IF(((CM622/CE622-1)*100)&lt;-50,"NM",(CM622/CE622-1)*100)))</f>
        <v>20.680181856579583</v>
      </c>
      <c r="CO622" s="786">
        <f>CO614</f>
        <v>1.0149953139643857</v>
      </c>
      <c r="CP622" s="789">
        <f>IF(ISERROR((CO622/CG622-1)*100),"NA",IF(((CO622/CG622-1)*100)&gt;100,"NM",IF(((CO622/CG622-1)*100)&lt;-50,"NM",(CO622/CG622-1)*100)))</f>
        <v>17.223761297061579</v>
      </c>
      <c r="CQ622" s="786">
        <f>CQ614</f>
        <v>1.0349358974358971</v>
      </c>
      <c r="CR622" s="789">
        <f>IF(ISERROR((CQ622/CI622-1)*100),"NA",IF(((CQ622/CI622-1)*100)&gt;100,"NM",IF(((CQ622/CI622-1)*100)&lt;-50,"NM",(CQ622/CI622-1)*100)))</f>
        <v>64.750059528285291</v>
      </c>
      <c r="CS622" s="786">
        <f>CS614</f>
        <v>0.91298615688859597</v>
      </c>
      <c r="CT622" s="789">
        <f>IF(ISERROR((CS622/CK622-1)*100),"NA",IF(((CS622/CK622-1)*100)&gt;100,"NM",IF(((CS622/CK622-1)*100)&lt;-50,"NM",(CS622/CK622-1)*100)))</f>
        <v>11.167064434402164</v>
      </c>
      <c r="CU622" s="786">
        <f>CU614</f>
        <v>0.9901993916863806</v>
      </c>
      <c r="CV622" s="789">
        <f>IF(ISERROR((CU622/CM622-1)*100),"NA",IF(((CU622/CM622-1)*100)&gt;100,"NM",IF(((CU622/CM622-1)*100)&lt;-50,"NM",(CU622/CM622-1)*100)))</f>
        <v>-0.67244996100277454</v>
      </c>
      <c r="CW622" s="786">
        <f>CW614</f>
        <v>1.0862068965517242</v>
      </c>
      <c r="CX622" s="789">
        <f>IF(ISERROR((CW622/CO622-1)*100),"NA",IF(((CW622/CO622-1)*100)&gt;100,"NM",IF(((CW622/CO622-1)*100)&lt;-50,"NM",(CW622/CO622-1)*100)))</f>
        <v>7.0159518578661428</v>
      </c>
      <c r="CY622" s="786">
        <f>CY614</f>
        <v>1.2715138742536003</v>
      </c>
      <c r="CZ622" s="789">
        <f>IF(ISERROR((CY622/CQ622-1)*100),"NA",IF(((CY622/CQ622-1)*100)&gt;100,"NM",IF(((CY622/CQ622-1)*100)&lt;-50,"NM",(CY622/CQ622-1)*100)))</f>
        <v>22.859191318403038</v>
      </c>
      <c r="DA622" s="786">
        <f>DA614</f>
        <v>1.1028103877623621</v>
      </c>
      <c r="DB622" s="789">
        <f>IF(ISERROR((DA622/CS622-1)*100),"NA",IF(((DA622/CS622-1)*100)&gt;100,"NM",IF(((DA622/CS622-1)*100)&lt;-50,"NM",(DA622/CS622-1)*100)))</f>
        <v>20.79157821194968</v>
      </c>
      <c r="DC622" s="786">
        <f>DC614</f>
        <v>1.0229720028715004</v>
      </c>
      <c r="DD622" s="789">
        <f>IF(ISERROR((DC622/CU622-1)*100),"NA",IF(((DC622/CU622-1)*100)&gt;100,"NM",IF(((DC622/CU622-1)*100)&lt;-50,"NM",(DC622/CU622-1)*100)))</f>
        <v>3.3096981739511699</v>
      </c>
      <c r="DE622" s="786">
        <f>DE614</f>
        <v>1.2731229597388467</v>
      </c>
      <c r="DF622" s="789">
        <f>IF(ISERROR((DE622/CW622-1)*100),"NA",IF(((DE622/CW622-1)*100)&gt;100,"NM",IF(((DE622/CW622-1)*100)&lt;-50,"NM",(DE622/CW622-1)*100)))</f>
        <v>17.208145499766836</v>
      </c>
      <c r="DG622" s="786">
        <f>DG614</f>
        <v>1.3408841797588602</v>
      </c>
      <c r="DH622" s="789">
        <f>IF(ISERROR((DG622/CY622-1)*100),"NA",IF(((DG622/CY622-1)*100)&gt;100,"NM",IF(((DG622/CY622-1)*100)&lt;-50,"NM",(DG622/CY622-1)*100)))</f>
        <v>5.4557254081070372</v>
      </c>
      <c r="DI622" s="786">
        <f>DI614</f>
        <v>1.4002932551319647</v>
      </c>
      <c r="DJ622" s="789">
        <f>IF(ISERROR((DI622/DA622-1)*100),"NA",IF(((DI622/DA622-1)*100)&gt;100,"NM",IF(((DI622/DA622-1)*100)&lt;-50,"NM",(DI622/DA622-1)*100)))</f>
        <v>26.974978715353327</v>
      </c>
      <c r="DK622" s="786">
        <f>DK614</f>
        <v>1.3377434766629914</v>
      </c>
      <c r="DL622" s="789">
        <f>IF(ISERROR((DK622/DC622-1)*100),"NA",IF(((DK622/DC622-1)*100)&gt;100,"NM",IF(((DK622/DC622-1)*100)&lt;-50,"NM",(DK622/DC622-1)*100)))</f>
        <v>30.770292139757682</v>
      </c>
      <c r="DM622" s="786">
        <f>DM614</f>
        <v>1.4689475641502419</v>
      </c>
      <c r="DN622" s="789">
        <f>IF(ISERROR((DM622/DE622-1)*100),"NA",IF(((DM622/DE622-1)*100)&gt;100,"NM",IF(((DM622/DE622-1)*100)&lt;-50,"NM",(DM622/DE622-1)*100)))</f>
        <v>15.381436876416421</v>
      </c>
      <c r="DO622" s="786">
        <f>DO614</f>
        <v>1.5592203898050974</v>
      </c>
      <c r="DP622" s="789">
        <f>IF(ISERROR((DO622/DG622-1)*100),"NA",IF(((DO622/DG622-1)*100)&gt;100,"NM",IF(((DO622/DG622-1)*100)&lt;-50,"NM",(DO622/DG622-1)*100)))</f>
        <v>16.283002912712561</v>
      </c>
      <c r="DQ622" s="786">
        <f>DQ614</f>
        <v>1.6730038022813689</v>
      </c>
      <c r="DR622" s="789">
        <f>IF(ISERROR((DQ622/DI622-1)*100),"NA",IF(((DQ622/DI622-1)*100)&gt;100,"NM",IF(((DQ622/DI622-1)*100)&lt;-50,"NM",(DQ622/DI622-1)*100)))</f>
        <v>19.475245356638094</v>
      </c>
      <c r="DS622" s="786">
        <f>DS614</f>
        <v>1.3507290867229469</v>
      </c>
      <c r="DT622" s="789">
        <f>IF(ISERROR((DS622/DK622-1)*100),"NA",IF(((DS622/DK622-1)*100)&gt;100,"NM",IF(((DS622/DK622-1)*100)&lt;-50,"NM",(DS622/DK622-1)*100)))</f>
        <v>0.97071002673458917</v>
      </c>
      <c r="DU622" s="786">
        <f>DU614</f>
        <v>1.4554727344056493</v>
      </c>
      <c r="DV622" s="789">
        <f>IF(ISERROR((DU622/DM622-1)*100),"NA",IF(((DU622/DM622-1)*100)&gt;100,"NM",IF(((DU622/DM622-1)*100)&lt;-50,"NM",(DU622/DM622-1)*100)))</f>
        <v>-0.91731182742302853</v>
      </c>
      <c r="DW622" s="786">
        <f>DW614</f>
        <v>1.113744075829384</v>
      </c>
      <c r="DX622" s="786">
        <f t="shared" ref="DX622" si="3570">DX614</f>
        <v>1.113744075829384</v>
      </c>
      <c r="DY622" s="786">
        <f>ROUND(DY614,3)</f>
        <v>1.5349999999999999</v>
      </c>
      <c r="DZ622" s="789">
        <f>IF(ISERROR((DY622/DQ622-1)*100),"NA",IF(((DY622/DQ622-1)*100)&gt;100,"NM",IF(((DY622/DQ622-1)*100)&lt;-50,"NM",(DY622/DQ622-1)*100)))</f>
        <v>-8.2488636363636463</v>
      </c>
      <c r="EA622" s="786">
        <f>ROUND(EA614,3)</f>
        <v>1.2529999999999999</v>
      </c>
      <c r="EB622" s="789">
        <f>IF(ISERROR((EA622/DS622-1)*100),"NA",IF(((EA622/DS622-1)*100)&gt;100,"NM",IF(((EA622/DS622-1)*100)&lt;-50,"NM",(EA622/DS622-1)*100)))</f>
        <v>-7.2352840909090883</v>
      </c>
      <c r="EC622" s="786">
        <f>ROUND(EC614,3)</f>
        <v>1.5549999999999999</v>
      </c>
      <c r="ED622" s="789">
        <f>IF(ISERROR((EC622/DU622-1)*100),"NA",IF(((EC622/DU622-1)*100)&gt;100,"NM",IF(((EC622/DU622-1)*100)&lt;-50,"NM",(EC622/DU622-1)*100)))</f>
        <v>6.8381401617250592</v>
      </c>
      <c r="EE622" s="786">
        <f>ROUND(EE614,3)</f>
        <v>1.8879999999999999</v>
      </c>
      <c r="EF622" s="789">
        <f>IF(ISERROR((EE622/DW622-1)*100),"NA",IF(((EE622/DW622-1)*100)&gt;100,"NM",IF(((EE622/DW622-1)*100)&lt;-50,"NM",(EE622/DW622-1)*100)))</f>
        <v>69.518297872340412</v>
      </c>
      <c r="EG622" s="786">
        <f>ROUND(EG614,3)</f>
        <v>1.7709999999999999</v>
      </c>
      <c r="EH622" s="789">
        <f>IF(ISERROR((EG622/DY622-1)*100),"NA",IF(((EG622/DY622-1)*100)&gt;100,"NM",IF(((EG622/DY622-1)*100)&lt;-50,"NM",(EG622/DY622-1)*100)))</f>
        <v>15.374592833876211</v>
      </c>
      <c r="EI622" s="786">
        <f>ROUND(EI614,3)</f>
        <v>1.921</v>
      </c>
      <c r="EJ622" s="789">
        <f t="shared" ref="EJ622" si="3571">IF(ISERROR((EI622/EA622-1)*100),"NA",IF(((EI622/EA622-1)*100)&gt;100,"NM",IF(((EI622/EA622-1)*100)&lt;-50,"NM",(EI622/EA622-1)*100)))</f>
        <v>53.31205107741421</v>
      </c>
      <c r="EK622" s="786">
        <f>ROUND(EK614,3)</f>
        <v>1.845</v>
      </c>
      <c r="EL622" s="789">
        <f t="shared" ref="EL622" si="3572">IF(ISERROR((EK622/EC622-1)*100),"NA",IF(((EK622/EC622-1)*100)&gt;100,"NM",IF(((EK622/EC622-1)*100)&lt;-50,"NM",(EK622/EC622-1)*100)))</f>
        <v>18.649517684887474</v>
      </c>
      <c r="EM622" s="786">
        <f>ROUND(EM614,3)</f>
        <v>2.028</v>
      </c>
      <c r="EN622" s="789">
        <f t="shared" ref="EN622" si="3573">IF(ISERROR((EM622/EE622-1)*100),"NA",IF(((EM622/EE622-1)*100)&gt;100,"NM",IF(((EM622/EE622-1)*100)&lt;-50,"NM",(EM622/EE622-1)*100)))</f>
        <v>7.4152542372881491</v>
      </c>
      <c r="EO622" s="786">
        <f>ROUND(EO614,3)</f>
        <v>1.9830000000000001</v>
      </c>
      <c r="EP622" s="789">
        <f t="shared" ref="EP622" si="3574">IF(ISERROR((EO622/EG622-1)*100),"NA",IF(((EO622/EG622-1)*100)&gt;100,"NM",IF(((EO622/EG622-1)*100)&lt;-50,"NM",(EO622/EG622-1)*100)))</f>
        <v>11.970638057594595</v>
      </c>
      <c r="EQ622" s="786">
        <f t="shared" ref="EQ622:EW622" si="3575">EQ618</f>
        <v>1.9566895243625559</v>
      </c>
      <c r="ER622" s="789">
        <f t="shared" ref="ER622" si="3576">IF(ISERROR((EQ622/EI622-1)*100),"NA",IF(((EQ622/EI622-1)*100)&gt;100,"NM",IF(((EQ622/EI622-1)*100)&lt;-50,"NM",(EQ622/EI622-1)*100)))</f>
        <v>1.8578617575510714</v>
      </c>
      <c r="ES622" s="786">
        <f t="shared" si="3575"/>
        <v>2.0807014003898203</v>
      </c>
      <c r="ET622" s="789">
        <f t="shared" ref="ET622" si="3577">IF(ISERROR((ES622/EK622-1)*100),"NA",IF(((ES622/EK622-1)*100)&gt;100,"NM",IF(((ES622/EK622-1)*100)&lt;-50,"NM",(ES622/EK622-1)*100)))</f>
        <v>12.775143652564779</v>
      </c>
      <c r="EU622" s="786">
        <f t="shared" si="3575"/>
        <v>2.1699323895505249</v>
      </c>
      <c r="EV622" s="789">
        <f t="shared" ref="EV622" si="3578">IF(ISERROR((EU622/EM622-1)*100),"NA",IF(((EU622/EM622-1)*100)&gt;100,"NM",IF(((EU622/EM622-1)*100)&lt;-50,"NM",(EU622/EM622-1)*100)))</f>
        <v>6.9986385379943172</v>
      </c>
      <c r="EW622" s="786">
        <f t="shared" si="3575"/>
        <v>2.2408646967070514</v>
      </c>
      <c r="EX622" s="789">
        <f t="shared" ref="EX622" si="3579">IF(ISERROR((EW622/EO622-1)*100),"NA",IF(((EW622/EO622-1)*100)&gt;100,"NM",IF(((EW622/EO622-1)*100)&lt;-50,"NM",(EW622/EO622-1)*100)))</f>
        <v>13.003766853608223</v>
      </c>
      <c r="EY622" s="790"/>
      <c r="EZ622" s="558"/>
      <c r="FA622" s="790"/>
      <c r="FB622" s="786"/>
      <c r="FC622" s="788"/>
      <c r="FD622" s="786"/>
      <c r="FE622" s="787"/>
      <c r="FF622" s="786"/>
      <c r="FG622" s="787"/>
      <c r="FH622" s="786"/>
      <c r="FI622" s="787"/>
      <c r="FJ622" s="786"/>
      <c r="FK622" s="787"/>
      <c r="FL622" s="786"/>
      <c r="FM622" s="787"/>
      <c r="FN622" s="786"/>
      <c r="FO622" s="787"/>
      <c r="FP622" s="791"/>
      <c r="FQ622" s="789"/>
      <c r="FR622" s="786">
        <f>FR544/FR611</f>
        <v>5.0371933939216262</v>
      </c>
      <c r="FS622" s="789" t="str">
        <f>IF(ISERROR((FR622/FP622-1)*100),"NA",IF(((FR622/FP622-1)*100)&gt;100,"NM",IF(((FR622/FP622-1)*100)&lt;-50,"NM",(FR622/FP622-1)*100)))</f>
        <v>NA</v>
      </c>
      <c r="FT622" s="786">
        <f>FT544/FT611</f>
        <v>4.8322686621646289</v>
      </c>
      <c r="FU622" s="789">
        <f>IF(ISERROR((FT622/FR622-1)*100),"NA",IF(((FT622/FR622-1)*100)&gt;100,"NM",IF(((FT622/FR622-1)*100)&lt;-50,"NM",(FT622/FR622-1)*100)))</f>
        <v>-4.0682323613836164</v>
      </c>
      <c r="FV622" s="786">
        <f>FV544/FV611</f>
        <v>3.0029538040466637</v>
      </c>
      <c r="FW622" s="789">
        <f>IF(ISERROR((FV622/FT622-1)*100),"NA",IF(((FV622/FT622-1)*100)&gt;100,"NM",IF(((FV622/FT622-1)*100)&lt;-50,"NM",(FV622/FT622-1)*100)))</f>
        <v>-37.856232465736248</v>
      </c>
      <c r="FX622" s="786">
        <f>FX544/FX611</f>
        <v>3.1830793483972672</v>
      </c>
      <c r="FY622" s="789">
        <f>IF(ISERROR((FX622/FV622-1)*100),"NA",IF(((FX622/FV622-1)*100)&gt;100,"NM",IF(((FX622/FV622-1)*100)&lt;-50,"NM",(FX622/FV622-1)*100)))</f>
        <v>5.9982788981926216</v>
      </c>
      <c r="FZ622" s="786">
        <f>FZ544/FZ611</f>
        <v>3.1365909482826182</v>
      </c>
      <c r="GA622" s="789">
        <f>IF(ISERROR((FZ622/FX622-1)*100),"NA",IF(((FZ622/FX622-1)*100)&gt;100,"NM",IF(((FZ622/FX622-1)*100)&lt;-50,"NM",(FZ622/FX622-1)*100)))</f>
        <v>-1.4604851160262999</v>
      </c>
      <c r="GB622" s="786">
        <f>GB544/GB611</f>
        <v>3.9577777777777774</v>
      </c>
      <c r="GC622" s="789">
        <f>IF(ISERROR((GB622/FZ622-1)*100),"NA",IF(((GB622/FZ622-1)*100)&gt;100,"NM",IF(((GB622/FZ622-1)*100)&lt;-50,"NM",(GB622/FZ622-1)*100)))</f>
        <v>26.180870984939396</v>
      </c>
      <c r="GD622" s="786">
        <f>GD544/GD611</f>
        <v>4.4506258692628649</v>
      </c>
      <c r="GE622" s="789">
        <f>IF(ISERROR((GD622/GB622-1)*100),"NA",IF(((GD622/GB622-1)*100)&gt;100,"NM",IF(((GD622/GB622-1)*100)&lt;-50,"NM",(GD622/GB622-1)*100)))</f>
        <v>12.452646893222319</v>
      </c>
      <c r="GF622" s="786">
        <f>GF544/GF611</f>
        <v>5.0327034883720936</v>
      </c>
      <c r="GG622" s="789">
        <f>IF(ISERROR((GF622/GD622-1)*100),"NA",IF(((GF622/GD622-1)*100)&gt;100,"NM",IF(((GF622/GD622-1)*100)&lt;-50,"NM",(GF622/GD622-1)*100)))</f>
        <v>13.078556504360495</v>
      </c>
      <c r="GH622" s="786">
        <f>GH544/GH611</f>
        <v>6.0261194029850742</v>
      </c>
      <c r="GI622" s="789">
        <f>IF(ISERROR((GH622/GF622-1)*100),"NA",IF(((GH622/GF622-1)*100)&gt;100,"NM",IF(((GH622/GF622-1)*100)&lt;-50,"NM",(GH622/GF622-1)*100)))</f>
        <v>19.739210086750347</v>
      </c>
      <c r="GJ622" s="786">
        <f>GJ544/GJ611</f>
        <v>5.4522857704402519</v>
      </c>
      <c r="GK622" s="789">
        <f>IF(ISERROR((GJ622/GH622-1)*100),"NA",IF(((GJ622/GH622-1)*100)&gt;100,"NM",IF(((GJ622/GH622-1)*100)&lt;-50,"NM",(GJ622/GH622-1)*100)))</f>
        <v>-9.5224404657592849</v>
      </c>
      <c r="GL622" s="786">
        <f>GL544/GL611</f>
        <v>6.4459842022116902</v>
      </c>
      <c r="GM622" s="789">
        <f>IF(ISERROR((GL622/GJ622-1)*100),"NA",IF(((GL622/GJ622-1)*100)&gt;100,"NM",IF(((GL622/GJ622-1)*100)&lt;-50,"NM",(GL622/GJ622-1)*100)))</f>
        <v>18.225354899018818</v>
      </c>
      <c r="GN622" s="786">
        <f>GN544/GN611</f>
        <v>7.7745894468744821</v>
      </c>
      <c r="GO622" s="789">
        <f>IF(ISERROR((GN622/GL622-1)*100),"NA",IF(((GN622/GL622-1)*100)&gt;100,"NM",IF(((GN622/GL622-1)*100)&lt;-50,"NM",(GN622/GL622-1)*100)))</f>
        <v>20.611363648811487</v>
      </c>
      <c r="GP622" s="786">
        <f>GP544/GP611</f>
        <v>8.447202226128292</v>
      </c>
      <c r="GQ622" s="789">
        <f>IF(ISERROR((GP622/GN622-1)*100),"NA",IF(((GP622/GN622-1)*100)&gt;100,"NM",IF(((GP622/GN622-1)*100)&lt;-50,"NM",(GP622/GN622-1)*100)))</f>
        <v>8.6514250540163484</v>
      </c>
      <c r="GR622" s="786">
        <f>GR618</f>
        <v>9.2031935617236069</v>
      </c>
      <c r="GS622" s="789">
        <f>IF(ISERROR((GR622/GP622-1)*100),"NA",IF(((GR622/GP622-1)*100)&gt;100,"NM",IF(((GR622/GP622-1)*100)&lt;-50,"NM",(GR622/GP622-1)*100)))</f>
        <v>8.9496062170375765</v>
      </c>
      <c r="GT622" s="786">
        <f>GT618</f>
        <v>10.298755491214671</v>
      </c>
      <c r="GU622" s="789">
        <f>IF(ISERROR((GT622/GR622-1)*100),"NA",IF(((GT622/GR622-1)*100)&gt;100,"NM",IF(((GT622/GR622-1)*100)&lt;-50,"NM",(GT622/GR622-1)*100)))</f>
        <v>11.904149599195035</v>
      </c>
      <c r="GV622" s="786">
        <f>GV618</f>
        <v>11.097760784447122</v>
      </c>
      <c r="GW622" s="789">
        <f>IF(ISERROR((GV622/GT622-1)*100),"NA",IF(((GV622/GT622-1)*100)&gt;100,"NM",IF(((GV622/GT622-1)*100)&lt;-50,"NM",(GV622/GT622-1)*100)))</f>
        <v>7.7582703455193247</v>
      </c>
      <c r="GX622" s="786">
        <f>GX618</f>
        <v>11.999970894221658</v>
      </c>
      <c r="GY622" s="789">
        <f>IF(ISERROR((GX622/GV622-1)*100),"NA",IF(((GX622/GV622-1)*100)&gt;100,"NM",IF(((GX622/GV622-1)*100)&lt;-50,"NM",(GX622/GV622-1)*100)))</f>
        <v>8.1296590122841081</v>
      </c>
      <c r="GZ622" s="789">
        <f t="shared" si="3427"/>
        <v>9.0688026825787702</v>
      </c>
      <c r="HA622" s="789"/>
      <c r="HB622" s="792"/>
      <c r="HC622"/>
      <c r="HD622"/>
      <c r="HE622"/>
      <c r="HF622"/>
      <c r="HG622"/>
      <c r="HH622"/>
    </row>
    <row r="623" spans="1:216" s="391" customFormat="1" ht="12.75" customHeight="1" x14ac:dyDescent="0.2">
      <c r="B623" s="392"/>
      <c r="C623" s="392"/>
      <c r="D623" s="393"/>
      <c r="E623" s="392"/>
      <c r="F623" s="394"/>
      <c r="G623" s="394"/>
      <c r="H623" s="394"/>
      <c r="I623" s="392"/>
      <c r="J623" s="394"/>
      <c r="K623" s="392"/>
      <c r="L623" s="509"/>
      <c r="M623" s="392"/>
      <c r="N623" s="509"/>
      <c r="O623" s="394"/>
      <c r="P623" s="509"/>
      <c r="Q623" s="394"/>
      <c r="R623" s="509"/>
      <c r="S623" s="394"/>
      <c r="T623" s="509"/>
      <c r="U623" s="392"/>
      <c r="V623" s="509"/>
      <c r="W623" s="394"/>
      <c r="X623" s="509"/>
      <c r="Y623" s="394"/>
      <c r="Z623" s="509"/>
      <c r="AA623" s="394"/>
      <c r="AB623" s="509"/>
      <c r="AC623" s="394"/>
      <c r="AD623" s="509"/>
      <c r="AE623" s="394"/>
      <c r="AF623" s="509"/>
      <c r="AG623" s="394"/>
      <c r="AH623" s="509"/>
      <c r="AI623" s="394"/>
      <c r="AJ623" s="509"/>
      <c r="AK623" s="394"/>
      <c r="AL623" s="509"/>
      <c r="AM623" s="394"/>
      <c r="AN623" s="509"/>
      <c r="AO623" s="394"/>
      <c r="AP623" s="509"/>
      <c r="AQ623" s="394"/>
      <c r="AR623" s="61"/>
      <c r="AS623" s="394"/>
      <c r="AT623" s="61"/>
      <c r="AU623" s="394"/>
      <c r="AV623" s="61"/>
      <c r="AW623" s="394"/>
      <c r="AX623" s="61"/>
      <c r="AY623" s="394"/>
      <c r="AZ623" s="61"/>
      <c r="BA623" s="394"/>
      <c r="BB623" s="61"/>
      <c r="BC623" s="394"/>
      <c r="BD623" s="61"/>
      <c r="BE623" s="394"/>
      <c r="BF623" s="61"/>
      <c r="BG623" s="394"/>
      <c r="BH623" s="61"/>
      <c r="BI623" s="394"/>
      <c r="BJ623" s="61"/>
      <c r="BK623" s="394"/>
      <c r="BL623" s="61"/>
      <c r="BM623" s="394"/>
      <c r="BN623" s="61"/>
      <c r="BO623" s="394"/>
      <c r="BP623" s="61"/>
      <c r="BQ623" s="394"/>
      <c r="BR623" s="61"/>
      <c r="BS623" s="394"/>
      <c r="BT623" s="61"/>
      <c r="BU623" s="394"/>
      <c r="BV623" s="61"/>
      <c r="BW623" s="392"/>
      <c r="BX623" s="61"/>
      <c r="BY623" s="392"/>
      <c r="BZ623" s="61"/>
      <c r="CA623" s="392"/>
      <c r="CB623" s="61"/>
      <c r="CC623" s="392"/>
      <c r="CD623" s="61"/>
      <c r="CE623" s="392"/>
      <c r="CF623" s="61"/>
      <c r="CG623" s="392"/>
      <c r="CH623" s="61"/>
      <c r="CI623" s="392"/>
      <c r="CJ623" s="61"/>
      <c r="CK623" s="392"/>
      <c r="CL623" s="61"/>
      <c r="CM623" s="392"/>
      <c r="CN623" s="61"/>
      <c r="CO623" s="392"/>
      <c r="CP623" s="61"/>
      <c r="CQ623" s="392"/>
      <c r="CR623" s="61"/>
      <c r="CS623" s="392"/>
      <c r="CT623" s="61"/>
      <c r="CU623" s="392"/>
      <c r="CV623" s="61"/>
      <c r="CW623" s="392"/>
      <c r="CX623" s="61"/>
      <c r="CY623" s="392"/>
      <c r="CZ623" s="61"/>
      <c r="DA623" s="392"/>
      <c r="DB623" s="61"/>
      <c r="DC623" s="392"/>
      <c r="DD623" s="61"/>
      <c r="DE623" s="392"/>
      <c r="DF623" s="61"/>
      <c r="DG623" s="392"/>
      <c r="DH623" s="61"/>
      <c r="DI623" s="392"/>
      <c r="DJ623" s="61"/>
      <c r="DK623" s="392"/>
      <c r="DL623" s="61"/>
      <c r="DM623" s="392"/>
      <c r="DN623" s="61"/>
      <c r="DO623" s="392"/>
      <c r="DP623" s="61"/>
      <c r="DQ623" s="392"/>
      <c r="DR623" s="61"/>
      <c r="DS623" s="392"/>
      <c r="DT623" s="61"/>
      <c r="DU623" s="392"/>
      <c r="DV623" s="61"/>
      <c r="DW623" s="392"/>
      <c r="DX623" s="392"/>
      <c r="DY623" s="392"/>
      <c r="DZ623" s="61"/>
      <c r="EA623" s="392"/>
      <c r="EB623" s="61"/>
      <c r="EC623" s="392"/>
      <c r="ED623" s="61"/>
      <c r="EE623" s="392"/>
      <c r="EF623" s="61"/>
      <c r="EG623" s="392"/>
      <c r="EH623" s="61"/>
      <c r="EI623" s="392"/>
      <c r="EJ623" s="61"/>
      <c r="EK623" s="392"/>
      <c r="EL623" s="61"/>
      <c r="EM623" s="392"/>
      <c r="EN623" s="61"/>
      <c r="EO623" s="392"/>
      <c r="EP623" s="61"/>
      <c r="EQ623" s="392"/>
      <c r="ER623" s="61"/>
      <c r="ES623" s="392"/>
      <c r="ET623" s="61"/>
      <c r="EU623" s="392"/>
      <c r="EV623" s="61"/>
      <c r="EW623" s="392"/>
      <c r="EX623" s="61"/>
      <c r="EY623" s="394"/>
      <c r="EZ623" s="558"/>
      <c r="FA623" s="394"/>
      <c r="FB623" s="392"/>
      <c r="FC623" s="395"/>
      <c r="FD623" s="395"/>
      <c r="FE623" s="519"/>
      <c r="FF623" s="392"/>
      <c r="FG623" s="519"/>
      <c r="FH623" s="392"/>
      <c r="FI623" s="519"/>
      <c r="FJ623" s="392"/>
      <c r="FK623" s="519"/>
      <c r="FL623" s="392"/>
      <c r="FM623" s="509"/>
      <c r="FN623" s="392"/>
      <c r="FO623" s="509"/>
      <c r="FP623" s="396"/>
      <c r="FQ623" s="61"/>
      <c r="FR623" s="396"/>
      <c r="FS623" s="61"/>
      <c r="FT623" s="396"/>
      <c r="FU623" s="61"/>
      <c r="FV623" s="396"/>
      <c r="FW623" s="61"/>
      <c r="FX623" s="396"/>
      <c r="FY623" s="61"/>
      <c r="FZ623" s="396"/>
      <c r="GA623" s="61"/>
      <c r="GB623" s="396"/>
      <c r="GC623" s="61"/>
      <c r="GD623" s="396"/>
      <c r="GE623" s="61"/>
      <c r="GF623" s="396"/>
      <c r="GG623" s="61"/>
      <c r="GH623" s="396"/>
      <c r="GI623" s="61"/>
      <c r="GJ623" s="396"/>
      <c r="GK623" s="61"/>
      <c r="GL623" s="396"/>
      <c r="GM623" s="61"/>
      <c r="GN623" s="396"/>
      <c r="GO623" s="61"/>
      <c r="GP623" s="396"/>
      <c r="GQ623" s="61"/>
      <c r="GR623" s="392"/>
      <c r="GS623" s="61"/>
      <c r="GT623" s="392"/>
      <c r="GU623" s="61"/>
      <c r="GV623" s="392"/>
      <c r="GW623" s="61"/>
      <c r="GX623" s="392"/>
      <c r="GY623" s="61"/>
      <c r="GZ623" s="61"/>
      <c r="HA623" s="61"/>
      <c r="HB623" s="452"/>
      <c r="HC623"/>
      <c r="HD623"/>
      <c r="HE623"/>
      <c r="HF623"/>
      <c r="HG623"/>
      <c r="HH623"/>
    </row>
    <row r="624" spans="1:216" s="623" customFormat="1" ht="12.75" customHeight="1" x14ac:dyDescent="0.2">
      <c r="B624" s="624" t="s">
        <v>57</v>
      </c>
      <c r="C624" s="625"/>
      <c r="D624" s="626"/>
      <c r="E624" s="625"/>
      <c r="F624" s="625"/>
      <c r="G624" s="625"/>
      <c r="H624" s="625"/>
      <c r="I624" s="625"/>
      <c r="J624" s="625"/>
      <c r="K624" s="625"/>
      <c r="L624" s="627"/>
      <c r="M624" s="625"/>
      <c r="N624" s="627"/>
      <c r="O624" s="625"/>
      <c r="P624" s="627"/>
      <c r="Q624" s="625"/>
      <c r="R624" s="627"/>
      <c r="S624" s="625"/>
      <c r="T624" s="627"/>
      <c r="U624" s="625"/>
      <c r="V624" s="627"/>
      <c r="W624" s="625"/>
      <c r="X624" s="627"/>
      <c r="Y624" s="625"/>
      <c r="Z624" s="627"/>
      <c r="AA624" s="625"/>
      <c r="AB624" s="627"/>
      <c r="AC624" s="625"/>
      <c r="AD624" s="627"/>
      <c r="AE624" s="625"/>
      <c r="AF624" s="627"/>
      <c r="AG624" s="625"/>
      <c r="AH624" s="627"/>
      <c r="AI624" s="625"/>
      <c r="AJ624" s="627"/>
      <c r="AK624" s="625"/>
      <c r="AL624" s="627"/>
      <c r="AM624" s="625"/>
      <c r="AN624" s="627"/>
      <c r="AO624" s="625"/>
      <c r="AP624" s="627"/>
      <c r="AQ624" s="625"/>
      <c r="AR624" s="627"/>
      <c r="AS624" s="625"/>
      <c r="AT624" s="627"/>
      <c r="AU624" s="625"/>
      <c r="AV624" s="627"/>
      <c r="AW624" s="625"/>
      <c r="AX624" s="627"/>
      <c r="AY624" s="625"/>
      <c r="AZ624" s="627"/>
      <c r="BA624" s="625"/>
      <c r="BB624" s="627"/>
      <c r="BC624" s="625"/>
      <c r="BD624" s="627"/>
      <c r="BE624" s="625"/>
      <c r="BF624" s="627"/>
      <c r="BG624" s="625"/>
      <c r="BH624" s="627"/>
      <c r="BI624" s="625"/>
      <c r="BJ624" s="627"/>
      <c r="BK624" s="625"/>
      <c r="BL624" s="627"/>
      <c r="BM624" s="625"/>
      <c r="BN624" s="627"/>
      <c r="BO624" s="625"/>
      <c r="BP624" s="627"/>
      <c r="BQ624" s="625"/>
      <c r="BR624" s="627"/>
      <c r="BS624" s="625"/>
      <c r="BT624" s="627"/>
      <c r="BU624" s="625"/>
      <c r="BV624" s="627"/>
      <c r="BW624" s="625"/>
      <c r="BX624" s="627"/>
      <c r="BY624" s="625"/>
      <c r="BZ624" s="627"/>
      <c r="CA624" s="625"/>
      <c r="CB624" s="627"/>
      <c r="CC624" s="625"/>
      <c r="CD624" s="627"/>
      <c r="CE624" s="625"/>
      <c r="CF624" s="627"/>
      <c r="CG624" s="625"/>
      <c r="CH624" s="627"/>
      <c r="CI624" s="625"/>
      <c r="CJ624" s="627"/>
      <c r="CK624" s="625"/>
      <c r="CL624" s="627"/>
      <c r="CM624" s="625"/>
      <c r="CN624" s="627"/>
      <c r="CO624" s="625"/>
      <c r="CP624" s="627"/>
      <c r="CQ624" s="625"/>
      <c r="CR624" s="627"/>
      <c r="CS624" s="625"/>
      <c r="CT624" s="627"/>
      <c r="CU624" s="625"/>
      <c r="CV624" s="627"/>
      <c r="CW624" s="625"/>
      <c r="CX624" s="627"/>
      <c r="CY624" s="625"/>
      <c r="CZ624" s="627"/>
      <c r="DA624" s="625"/>
      <c r="DB624" s="627"/>
      <c r="DC624" s="625"/>
      <c r="DD624" s="627"/>
      <c r="DE624" s="625"/>
      <c r="DF624" s="627"/>
      <c r="DG624" s="625"/>
      <c r="DH624" s="627"/>
      <c r="DI624" s="625"/>
      <c r="DJ624" s="627"/>
      <c r="DK624" s="625"/>
      <c r="DL624" s="627"/>
      <c r="DM624" s="625"/>
      <c r="DN624" s="627"/>
      <c r="DO624" s="625"/>
      <c r="DP624" s="627"/>
      <c r="DQ624" s="625"/>
      <c r="DR624" s="627"/>
      <c r="DS624" s="625"/>
      <c r="DT624" s="627"/>
      <c r="DU624" s="625"/>
      <c r="DV624" s="627"/>
      <c r="DW624" s="625"/>
      <c r="DX624" s="625"/>
      <c r="DY624" s="625"/>
      <c r="DZ624" s="627"/>
      <c r="EA624" s="625"/>
      <c r="EB624" s="627"/>
      <c r="EC624" s="625"/>
      <c r="ED624" s="627"/>
      <c r="EE624" s="625"/>
      <c r="EF624" s="627"/>
      <c r="EG624" s="625"/>
      <c r="EH624" s="627"/>
      <c r="EI624" s="625"/>
      <c r="EJ624" s="627"/>
      <c r="EK624" s="625"/>
      <c r="EL624" s="627"/>
      <c r="EM624" s="625"/>
      <c r="EN624" s="627"/>
      <c r="EO624" s="625"/>
      <c r="EP624" s="627"/>
      <c r="EQ624" s="625"/>
      <c r="ER624" s="627"/>
      <c r="ES624" s="625"/>
      <c r="ET624" s="627"/>
      <c r="EU624" s="625"/>
      <c r="EV624" s="627"/>
      <c r="EW624" s="625"/>
      <c r="EX624" s="627"/>
      <c r="EY624" s="628"/>
      <c r="EZ624" s="558"/>
      <c r="FA624" s="628"/>
      <c r="FB624" s="625"/>
      <c r="FC624" s="625"/>
      <c r="FD624" s="625"/>
      <c r="FE624" s="626"/>
      <c r="FF624" s="625"/>
      <c r="FG624" s="626"/>
      <c r="FH624" s="625"/>
      <c r="FI624" s="626"/>
      <c r="FJ624" s="625"/>
      <c r="FK624" s="626"/>
      <c r="FL624" s="625"/>
      <c r="FM624" s="627"/>
      <c r="FN624" s="625"/>
      <c r="FO624" s="627"/>
      <c r="FP624" s="625"/>
      <c r="FQ624" s="627"/>
      <c r="FR624" s="625"/>
      <c r="FS624" s="627"/>
      <c r="FT624" s="625"/>
      <c r="FU624" s="627"/>
      <c r="FV624" s="625"/>
      <c r="FW624" s="627"/>
      <c r="FX624" s="625"/>
      <c r="FY624" s="627"/>
      <c r="FZ624" s="625"/>
      <c r="GA624" s="627"/>
      <c r="GB624" s="625"/>
      <c r="GC624" s="627"/>
      <c r="GD624" s="625"/>
      <c r="GE624" s="627"/>
      <c r="GF624" s="625"/>
      <c r="GG624" s="627"/>
      <c r="GH624" s="625"/>
      <c r="GI624" s="627"/>
      <c r="GJ624" s="625"/>
      <c r="GK624" s="627"/>
      <c r="GL624" s="625"/>
      <c r="GM624" s="627"/>
      <c r="GN624" s="625"/>
      <c r="GO624" s="627"/>
      <c r="GP624" s="625"/>
      <c r="GQ624" s="627"/>
      <c r="GR624" s="625"/>
      <c r="GS624" s="627"/>
      <c r="GT624" s="625"/>
      <c r="GU624" s="627"/>
      <c r="GV624" s="625"/>
      <c r="GW624" s="627"/>
      <c r="GX624" s="625"/>
      <c r="GY624" s="627"/>
      <c r="GZ624" s="627"/>
      <c r="HA624" s="627"/>
      <c r="HB624" s="629"/>
      <c r="HC624"/>
      <c r="HD624"/>
      <c r="HE624"/>
      <c r="HF624"/>
      <c r="HG624"/>
      <c r="HH624"/>
    </row>
    <row r="625" spans="1:216" s="5" customFormat="1" ht="12.75" customHeight="1" x14ac:dyDescent="0.2">
      <c r="C625" s="386"/>
      <c r="D625" s="107"/>
      <c r="E625" s="386"/>
      <c r="F625" s="64"/>
      <c r="G625" s="386"/>
      <c r="H625" s="64"/>
      <c r="I625" s="386"/>
      <c r="J625" s="64"/>
      <c r="K625" s="356"/>
      <c r="L625" s="61"/>
      <c r="M625" s="386"/>
      <c r="N625" s="61"/>
      <c r="O625" s="386"/>
      <c r="P625" s="61"/>
      <c r="Q625" s="386"/>
      <c r="R625" s="61"/>
      <c r="S625" s="386"/>
      <c r="T625" s="61"/>
      <c r="U625" s="356"/>
      <c r="V625" s="61"/>
      <c r="W625" s="386"/>
      <c r="X625" s="61"/>
      <c r="Y625" s="386"/>
      <c r="Z625" s="61"/>
      <c r="AA625" s="386"/>
      <c r="AB625" s="61"/>
      <c r="AC625" s="386"/>
      <c r="AD625" s="61"/>
      <c r="AE625" s="386"/>
      <c r="AF625" s="61"/>
      <c r="AG625" s="386"/>
      <c r="AH625" s="61"/>
      <c r="AI625" s="386"/>
      <c r="AJ625" s="61"/>
      <c r="AK625" s="386"/>
      <c r="AL625" s="61"/>
      <c r="AM625" s="386"/>
      <c r="AN625" s="61"/>
      <c r="AO625" s="386"/>
      <c r="AP625" s="61"/>
      <c r="AQ625" s="386"/>
      <c r="AR625" s="61"/>
      <c r="AS625" s="386"/>
      <c r="AT625" s="61"/>
      <c r="AU625" s="386"/>
      <c r="AV625" s="61"/>
      <c r="AW625" s="386"/>
      <c r="AX625" s="61"/>
      <c r="AY625" s="386"/>
      <c r="AZ625" s="61"/>
      <c r="BA625" s="386"/>
      <c r="BB625" s="61"/>
      <c r="BC625" s="386"/>
      <c r="BD625" s="61"/>
      <c r="BE625" s="386"/>
      <c r="BF625" s="61"/>
      <c r="BG625" s="386"/>
      <c r="BH625" s="61"/>
      <c r="BI625" s="386"/>
      <c r="BJ625" s="61"/>
      <c r="BK625" s="386"/>
      <c r="BL625" s="61"/>
      <c r="BM625" s="386"/>
      <c r="BN625" s="61"/>
      <c r="BO625" s="386"/>
      <c r="BP625" s="61"/>
      <c r="BQ625" s="386"/>
      <c r="BR625" s="61"/>
      <c r="BS625" s="386"/>
      <c r="BT625" s="61"/>
      <c r="BU625" s="386"/>
      <c r="BV625" s="61"/>
      <c r="BW625" s="356"/>
      <c r="BX625" s="61"/>
      <c r="BY625" s="356"/>
      <c r="BZ625" s="61"/>
      <c r="CA625" s="356"/>
      <c r="CB625" s="61"/>
      <c r="CC625" s="356"/>
      <c r="CD625" s="61"/>
      <c r="CE625" s="356"/>
      <c r="CF625" s="61"/>
      <c r="CG625" s="356"/>
      <c r="CH625" s="61"/>
      <c r="CI625" s="356"/>
      <c r="CJ625" s="61"/>
      <c r="CK625" s="356"/>
      <c r="CL625" s="61"/>
      <c r="CM625" s="356"/>
      <c r="CN625" s="61"/>
      <c r="CO625" s="356"/>
      <c r="CP625" s="61"/>
      <c r="CQ625" s="356"/>
      <c r="CR625" s="61"/>
      <c r="CS625" s="356"/>
      <c r="CT625" s="61"/>
      <c r="CU625" s="356"/>
      <c r="CV625" s="61"/>
      <c r="CW625" s="356"/>
      <c r="CX625" s="61"/>
      <c r="CY625" s="356"/>
      <c r="CZ625" s="61"/>
      <c r="DA625" s="356"/>
      <c r="DB625" s="61"/>
      <c r="DC625" s="356"/>
      <c r="DD625" s="61"/>
      <c r="DE625" s="356"/>
      <c r="DF625" s="61"/>
      <c r="DG625" s="356"/>
      <c r="DH625" s="61"/>
      <c r="DI625" s="356"/>
      <c r="DJ625" s="61"/>
      <c r="DK625" s="356"/>
      <c r="DL625" s="61"/>
      <c r="DM625" s="356"/>
      <c r="DN625" s="61"/>
      <c r="DO625" s="356"/>
      <c r="DP625" s="61"/>
      <c r="DQ625" s="356"/>
      <c r="DR625" s="61"/>
      <c r="DS625" s="356"/>
      <c r="DT625" s="61"/>
      <c r="DU625" s="356"/>
      <c r="DV625" s="61"/>
      <c r="DW625" s="356"/>
      <c r="DX625" s="356"/>
      <c r="DY625" s="356"/>
      <c r="DZ625" s="61"/>
      <c r="EA625" s="356"/>
      <c r="EB625" s="61"/>
      <c r="EC625" s="356"/>
      <c r="ED625" s="61"/>
      <c r="EE625" s="356"/>
      <c r="EF625" s="61"/>
      <c r="EG625" s="356"/>
      <c r="EH625" s="61"/>
      <c r="EI625" s="356"/>
      <c r="EJ625" s="61"/>
      <c r="EK625" s="356"/>
      <c r="EL625" s="61"/>
      <c r="EM625" s="356"/>
      <c r="EN625" s="61"/>
      <c r="EO625" s="356"/>
      <c r="EP625" s="61"/>
      <c r="EQ625" s="356"/>
      <c r="ER625" s="61"/>
      <c r="ES625" s="356"/>
      <c r="ET625" s="61"/>
      <c r="EU625" s="356"/>
      <c r="EV625" s="61"/>
      <c r="EW625" s="356"/>
      <c r="EX625" s="61"/>
      <c r="EY625" s="64"/>
      <c r="EZ625" s="558"/>
      <c r="FA625" s="64"/>
      <c r="FB625" s="356"/>
      <c r="FC625" s="397"/>
      <c r="FD625" s="397"/>
      <c r="FE625" s="398"/>
      <c r="FF625" s="356"/>
      <c r="FG625" s="398"/>
      <c r="FH625" s="356"/>
      <c r="FI625" s="398"/>
      <c r="FJ625" s="356"/>
      <c r="FK625" s="398"/>
      <c r="FL625" s="356"/>
      <c r="FM625" s="61"/>
      <c r="FN625" s="356"/>
      <c r="FO625" s="61"/>
      <c r="FP625" s="357"/>
      <c r="FQ625" s="61"/>
      <c r="FR625" s="357"/>
      <c r="FS625" s="61"/>
      <c r="FT625" s="357"/>
      <c r="FU625" s="61"/>
      <c r="FV625" s="357"/>
      <c r="FW625" s="61"/>
      <c r="FX625" s="357"/>
      <c r="FY625" s="61"/>
      <c r="FZ625" s="357"/>
      <c r="GA625" s="61"/>
      <c r="GB625" s="357"/>
      <c r="GC625" s="61"/>
      <c r="GD625" s="357"/>
      <c r="GE625" s="61"/>
      <c r="GF625" s="357"/>
      <c r="GG625" s="61"/>
      <c r="GH625" s="357"/>
      <c r="GI625" s="61"/>
      <c r="GJ625" s="357"/>
      <c r="GK625" s="61"/>
      <c r="GL625" s="357"/>
      <c r="GM625" s="61"/>
      <c r="GN625" s="357"/>
      <c r="GO625" s="61"/>
      <c r="GP625" s="357"/>
      <c r="GQ625" s="61"/>
      <c r="GR625" s="356"/>
      <c r="GS625" s="61"/>
      <c r="GT625" s="356"/>
      <c r="GU625" s="61"/>
      <c r="GV625" s="356"/>
      <c r="GW625" s="61"/>
      <c r="GX625" s="356"/>
      <c r="GY625" s="61"/>
      <c r="GZ625" s="61" t="str">
        <f t="shared" ref="GZ625:GZ637" si="3580">IF(ISERROR((GX625/GN625)^0.2),"",IF(OR((GX625/GN625)^0.2&lt;0.5,(GX625/GN625)^0.2&gt;2),"NM",((GX625/GN625)^0.2-1)*100))</f>
        <v/>
      </c>
      <c r="HA625" s="61"/>
      <c r="HB625" s="452"/>
      <c r="HC625"/>
      <c r="HD625"/>
      <c r="HE625"/>
      <c r="HF625"/>
      <c r="HG625"/>
      <c r="HH625"/>
    </row>
    <row r="626" spans="1:216" s="5" customFormat="1" ht="12.75" customHeight="1" x14ac:dyDescent="0.2">
      <c r="B626" s="105" t="s">
        <v>143</v>
      </c>
      <c r="C626" s="356"/>
      <c r="D626" s="107"/>
      <c r="E626" s="356"/>
      <c r="F626" s="64"/>
      <c r="G626" s="356"/>
      <c r="H626" s="64"/>
      <c r="I626" s="356"/>
      <c r="J626" s="64"/>
      <c r="K626" s="356"/>
      <c r="L626" s="61"/>
      <c r="M626" s="356"/>
      <c r="N626" s="61"/>
      <c r="O626" s="356"/>
      <c r="P626" s="61"/>
      <c r="Q626" s="356"/>
      <c r="R626" s="61"/>
      <c r="S626" s="356"/>
      <c r="T626" s="61"/>
      <c r="U626" s="356"/>
      <c r="V626" s="61"/>
      <c r="W626" s="356"/>
      <c r="X626" s="61"/>
      <c r="Y626" s="356"/>
      <c r="Z626" s="61"/>
      <c r="AA626" s="356"/>
      <c r="AB626" s="61"/>
      <c r="AC626" s="356"/>
      <c r="AD626" s="61"/>
      <c r="AE626" s="356"/>
      <c r="AF626" s="61"/>
      <c r="AG626" s="356"/>
      <c r="AH626" s="61"/>
      <c r="AI626" s="356"/>
      <c r="AJ626" s="61"/>
      <c r="AK626" s="356"/>
      <c r="AL626" s="61"/>
      <c r="AM626" s="356"/>
      <c r="AN626" s="61"/>
      <c r="AO626" s="356"/>
      <c r="AP626" s="61"/>
      <c r="AQ626" s="356"/>
      <c r="AR626" s="61"/>
      <c r="AS626" s="356"/>
      <c r="AT626" s="61"/>
      <c r="AU626" s="356"/>
      <c r="AV626" s="61"/>
      <c r="AW626" s="356"/>
      <c r="AX626" s="61"/>
      <c r="AY626" s="356"/>
      <c r="AZ626" s="61"/>
      <c r="BA626" s="356"/>
      <c r="BB626" s="61"/>
      <c r="BC626" s="356"/>
      <c r="BD626" s="61"/>
      <c r="BE626" s="356"/>
      <c r="BF626" s="61"/>
      <c r="BG626" s="356"/>
      <c r="BH626" s="61"/>
      <c r="BI626" s="356"/>
      <c r="BJ626" s="61"/>
      <c r="BK626" s="356"/>
      <c r="BL626" s="61"/>
      <c r="BM626" s="356"/>
      <c r="BN626" s="61"/>
      <c r="BO626" s="356"/>
      <c r="BP626" s="61"/>
      <c r="BQ626" s="356"/>
      <c r="BR626" s="61"/>
      <c r="BS626" s="356"/>
      <c r="BT626" s="61"/>
      <c r="BU626" s="12"/>
      <c r="BV626" s="61"/>
      <c r="BW626" s="356"/>
      <c r="BX626" s="61"/>
      <c r="BY626" s="356"/>
      <c r="BZ626" s="61"/>
      <c r="CA626" s="356"/>
      <c r="CB626" s="61"/>
      <c r="CC626" s="356"/>
      <c r="CD626" s="61"/>
      <c r="CE626" s="356"/>
      <c r="CF626" s="61"/>
      <c r="CG626" s="356"/>
      <c r="CH626" s="61"/>
      <c r="CI626" s="356"/>
      <c r="CJ626" s="61"/>
      <c r="CK626" s="356"/>
      <c r="CL626" s="61"/>
      <c r="CM626" s="356"/>
      <c r="CN626" s="61"/>
      <c r="CO626" s="446">
        <f>+CO496/CO627*400</f>
        <v>5.5638749159693095</v>
      </c>
      <c r="CP626" s="61"/>
      <c r="CQ626" s="446">
        <f>+CQ496/CQ627*400</f>
        <v>5.0963981143413761</v>
      </c>
      <c r="CR626" s="61"/>
      <c r="CS626" s="446"/>
      <c r="CT626" s="61"/>
      <c r="CU626" s="446"/>
      <c r="CV626" s="61"/>
      <c r="CW626" s="446"/>
      <c r="CX626" s="61"/>
      <c r="CY626" s="446"/>
      <c r="CZ626" s="61"/>
      <c r="DA626" s="446"/>
      <c r="DB626" s="61"/>
      <c r="DC626" s="446"/>
      <c r="DD626" s="61"/>
      <c r="DE626" s="446"/>
      <c r="DF626" s="61"/>
      <c r="DG626" s="446"/>
      <c r="DH626" s="61"/>
      <c r="DI626" s="446"/>
      <c r="DJ626" s="61"/>
      <c r="DK626" s="446"/>
      <c r="DL626" s="61"/>
      <c r="DM626" s="446"/>
      <c r="DN626" s="61"/>
      <c r="DO626" s="446"/>
      <c r="DP626" s="61"/>
      <c r="DQ626" s="446"/>
      <c r="DR626" s="61"/>
      <c r="DS626" s="446"/>
      <c r="DT626" s="61"/>
      <c r="DU626" s="446"/>
      <c r="DV626" s="61"/>
      <c r="DW626" s="446"/>
      <c r="DX626" s="446"/>
      <c r="DY626" s="446"/>
      <c r="DZ626" s="61"/>
      <c r="EA626" s="446"/>
      <c r="EB626" s="61"/>
      <c r="EC626" s="446"/>
      <c r="ED626" s="61"/>
      <c r="EE626" s="446"/>
      <c r="EF626" s="61"/>
      <c r="EG626" s="446"/>
      <c r="EH626" s="61"/>
      <c r="EI626" s="446"/>
      <c r="EJ626" s="61"/>
      <c r="EK626" s="446"/>
      <c r="EL626" s="61"/>
      <c r="EM626" s="446"/>
      <c r="EN626" s="61"/>
      <c r="EO626" s="446"/>
      <c r="EP626" s="61"/>
      <c r="EQ626" s="356"/>
      <c r="ER626" s="61"/>
      <c r="ES626" s="356"/>
      <c r="ET626" s="61"/>
      <c r="EU626" s="356"/>
      <c r="EV626" s="61"/>
      <c r="EW626" s="356"/>
      <c r="EX626" s="61"/>
      <c r="EY626" s="64"/>
      <c r="EZ626" s="558"/>
      <c r="FA626" s="64"/>
      <c r="FB626" s="356"/>
      <c r="FC626" s="64"/>
      <c r="FD626" s="64"/>
      <c r="FE626" s="107"/>
      <c r="FF626" s="356"/>
      <c r="FG626" s="107"/>
      <c r="FH626" s="356"/>
      <c r="FI626" s="107"/>
      <c r="FJ626" s="356"/>
      <c r="FK626" s="107"/>
      <c r="FL626" s="356"/>
      <c r="FM626" s="61"/>
      <c r="FN626" s="356"/>
      <c r="FO626" s="61"/>
      <c r="FP626" s="357"/>
      <c r="FQ626" s="61"/>
      <c r="FR626" s="357"/>
      <c r="FS626" s="61"/>
      <c r="FT626" s="357"/>
      <c r="FU626" s="61"/>
      <c r="FV626" s="357"/>
      <c r="FW626" s="61"/>
      <c r="FX626" s="357"/>
      <c r="FY626" s="61"/>
      <c r="FZ626" s="357"/>
      <c r="GA626" s="61"/>
      <c r="GB626" s="357"/>
      <c r="GC626" s="61"/>
      <c r="GD626" s="357"/>
      <c r="GE626" s="61"/>
      <c r="GF626" s="357"/>
      <c r="GG626" s="61"/>
      <c r="GH626" s="357"/>
      <c r="GI626" s="61"/>
      <c r="GJ626" s="357"/>
      <c r="GK626" s="61"/>
      <c r="GL626" s="357"/>
      <c r="GM626" s="61"/>
      <c r="GN626" s="357"/>
      <c r="GO626" s="61"/>
      <c r="GP626" s="357"/>
      <c r="GQ626" s="61"/>
      <c r="GR626" s="356"/>
      <c r="GS626" s="61"/>
      <c r="GT626" s="356"/>
      <c r="GU626" s="61"/>
      <c r="GV626" s="356"/>
      <c r="GW626" s="61"/>
      <c r="GX626" s="356"/>
      <c r="GY626" s="61"/>
      <c r="GZ626" s="61" t="str">
        <f t="shared" si="3580"/>
        <v/>
      </c>
      <c r="HA626" s="61"/>
      <c r="HB626" s="452"/>
      <c r="HC626"/>
      <c r="HD626"/>
      <c r="HE626"/>
      <c r="HF626"/>
      <c r="HG626"/>
      <c r="HH626"/>
    </row>
    <row r="627" spans="1:216" s="5" customFormat="1" ht="12.75" customHeight="1" x14ac:dyDescent="0.2">
      <c r="A627" s="7" t="s">
        <v>152</v>
      </c>
      <c r="B627" s="7" t="s">
        <v>144</v>
      </c>
      <c r="C627" s="188">
        <v>35774.400000000001</v>
      </c>
      <c r="D627" s="70"/>
      <c r="E627" s="188">
        <v>35057.199999999997</v>
      </c>
      <c r="F627" s="71"/>
      <c r="G627" s="188">
        <v>35305.4</v>
      </c>
      <c r="H627" s="71"/>
      <c r="I627" s="188">
        <v>35368.6</v>
      </c>
      <c r="J627" s="61"/>
      <c r="K627" s="188">
        <v>35744.5</v>
      </c>
      <c r="L627" s="61">
        <f t="shared" ref="L627:L636" si="3581">IF(ISERROR((K627/C627-1)*100),"NA",IF(((K627/C627-1)*100)&gt;100,"NM",IF(((K627/C627-1)*100)&lt;-50,"NM",(K627/C627-1)*100)))</f>
        <v>-8.3579319289772691E-2</v>
      </c>
      <c r="M627" s="188">
        <v>35796</v>
      </c>
      <c r="N627" s="61">
        <f t="shared" ref="N627:N636" si="3582">IF(ISERROR((M627/E627-1)*100),"NA",IF(((M627/E627-1)*100)&gt;100,"NM",IF(((M627/E627-1)*100)&lt;-50,"NM",(M627/E627-1)*100)))</f>
        <v>2.1074130278516234</v>
      </c>
      <c r="O627" s="188">
        <v>36788</v>
      </c>
      <c r="P627" s="61">
        <f t="shared" ref="P627:P636" si="3583">IF(ISERROR((O627/G627-1)*100),"NA",IF(((O627/G627-1)*100)&gt;100,"NM",IF(((O627/G627-1)*100)&lt;-50,"NM",(O627/G627-1)*100)))</f>
        <v>4.1993576053521497</v>
      </c>
      <c r="Q627" s="188">
        <v>36113.1</v>
      </c>
      <c r="R627" s="61">
        <f t="shared" ref="R627:R636" si="3584">IF(ISERROR((Q627/I627-1)*100),"NA",IF(((Q627/I627-1)*100)&gt;100,"NM",IF(((Q627/I627-1)*100)&lt;-50,"NM",(Q627/I627-1)*100)))</f>
        <v>2.1049744688791838</v>
      </c>
      <c r="S627" s="188">
        <v>36363.1</v>
      </c>
      <c r="T627" s="61">
        <f t="shared" ref="T627:T636" si="3585">IF(ISERROR((S627/K627-1)*100),"NA",IF(((S627/K627-1)*100)&gt;100,"NM",IF(((S627/K627-1)*100)&lt;-50,"NM",(S627/K627-1)*100)))</f>
        <v>1.7306158989494946</v>
      </c>
      <c r="U627" s="74">
        <v>37160.1</v>
      </c>
      <c r="V627" s="61">
        <f t="shared" ref="V627:V636" si="3586">IF(ISERROR((U627/M627-1)*100),"NA",IF(((U627/M627-1)*100)&gt;100,"NM",IF(((U627/M627-1)*100)&lt;-50,"NM",(U627/M627-1)*100)))</f>
        <v>3.8107609788803121</v>
      </c>
      <c r="W627" s="188">
        <v>39362.6</v>
      </c>
      <c r="X627" s="61">
        <f t="shared" ref="X627:X636" si="3587">IF(ISERROR((W627/O627-1)*100),"NA",IF(((W627/O627-1)*100)&gt;100,"NM",IF(((W627/O627-1)*100)&lt;-50,"NM",(W627/O627-1)*100)))</f>
        <v>6.9984777644884089</v>
      </c>
      <c r="Y627" s="188">
        <v>39999.9</v>
      </c>
      <c r="Z627" s="61">
        <f t="shared" ref="Z627:Z636" si="3588">IF(ISERROR((Y627/Q627-1)*100),"NA",IF(((Y627/Q627-1)*100)&gt;100,"NM",IF(((Y627/Q627-1)*100)&lt;-50,"NM",(Y627/Q627-1)*100)))</f>
        <v>10.762853368999071</v>
      </c>
      <c r="AA627" s="188">
        <v>41008.400000000001</v>
      </c>
      <c r="AB627" s="61">
        <f t="shared" ref="AB627:AB636" si="3589">IF(ISERROR((AA627/S627-1)*100),"NA",IF(((AA627/S627-1)*100)&gt;100,"NM",IF(((AA627/S627-1)*100)&lt;-50,"NM",(AA627/S627-1)*100)))</f>
        <v>12.774763427760561</v>
      </c>
      <c r="AC627" s="188">
        <v>42591.6</v>
      </c>
      <c r="AD627" s="61">
        <f t="shared" ref="AD627:AD636" si="3590">IF(ISERROR((AC627/U627-1)*100),"NA",IF(((AC627/U627-1)*100)&gt;100,"NM",IF(((AC627/U627-1)*100)&lt;-50,"NM",(AC627/U627-1)*100)))</f>
        <v>14.616483809247004</v>
      </c>
      <c r="AE627" s="188">
        <v>42423.3</v>
      </c>
      <c r="AF627" s="61">
        <f t="shared" ref="AF627:AF636" si="3591">IF(ISERROR((AE627/W627-1)*100),"NA",IF(((AE627/W627-1)*100)&gt;100,"NM",IF(((AE627/W627-1)*100)&lt;-50,"NM",(AE627/W627-1)*100)))</f>
        <v>7.7756550634358712</v>
      </c>
      <c r="AG627" s="188">
        <v>42777.599999999999</v>
      </c>
      <c r="AH627" s="61">
        <f t="shared" ref="AH627:AH636" si="3592">IF(ISERROR((AG627/Y627-1)*100),"NA",IF(((AG627/Y627-1)*100)&gt;100,"NM",IF(((AG627/Y627-1)*100)&lt;-50,"NM",(AG627/Y627-1)*100)))</f>
        <v>6.9442673606683991</v>
      </c>
      <c r="AI627" s="188">
        <v>43501.7</v>
      </c>
      <c r="AJ627" s="61">
        <f t="shared" ref="AJ627:AJ636" si="3593">IF(ISERROR((AI627/AA627-1)*100),"NA",IF(((AI627/AA627-1)*100)&gt;100,"NM",IF(((AI627/AA627-1)*100)&lt;-50,"NM",(AI627/AA627-1)*100)))</f>
        <v>6.0799738590142427</v>
      </c>
      <c r="AK627" s="188">
        <v>42362.5</v>
      </c>
      <c r="AL627" s="61">
        <f t="shared" ref="AL627:AL636" si="3594">IF(ISERROR((AK627/AC627-1)*100),"NA",IF(((AK627/AC627-1)*100)&gt;100,"NM",IF(((AK627/AC627-1)*100)&lt;-50,"NM",(AK627/AC627-1)*100)))</f>
        <v>-0.53789949191859199</v>
      </c>
      <c r="AM627" s="188">
        <v>43926.6</v>
      </c>
      <c r="AN627" s="61">
        <f t="shared" ref="AN627:AN636" si="3595">IF(ISERROR((AM627/AE627-1)*100),"NA",IF(((AM627/AE627-1)*100)&gt;100,"NM",IF(((AM627/AE627-1)*100)&lt;-50,"NM",(AM627/AE627-1)*100)))</f>
        <v>3.5435715750542718</v>
      </c>
      <c r="AO627" s="188">
        <v>44507</v>
      </c>
      <c r="AP627" s="61">
        <f t="shared" ref="AP627:AP636" si="3596">IF(ISERROR((AO627/AG627-1)*100),"NA",IF(((AO627/AG627-1)*100)&gt;100,"NM",IF(((AO627/AG627-1)*100)&lt;-50,"NM",(AO627/AG627-1)*100)))</f>
        <v>4.0427700478755213</v>
      </c>
      <c r="AQ627" s="188">
        <v>43982.2</v>
      </c>
      <c r="AR627" s="61">
        <f t="shared" ref="AR627:AR636" si="3597">IF(ISERROR((AQ627/AI627-1)*100),"NA",IF(((AQ627/AI627-1)*100)&gt;100,"NM",IF(((AQ627/AI627-1)*100)&lt;-50,"NM",(AQ627/AI627-1)*100)))</f>
        <v>1.1045545346503705</v>
      </c>
      <c r="AS627" s="188">
        <v>44863.3</v>
      </c>
      <c r="AT627" s="61">
        <f t="shared" ref="AT627:AT636" si="3598">IF(ISERROR((AS627/AK627-1)*100),"NA",IF(((AS627/AK627-1)*100)&gt;100,"NM",IF(((AS627/AK627-1)*100)&lt;-50,"NM",(AS627/AK627-1)*100)))</f>
        <v>5.9033343169076602</v>
      </c>
      <c r="AU627" s="188">
        <v>44085</v>
      </c>
      <c r="AV627" s="61">
        <f t="shared" ref="AV627:AV636" si="3599">IF(ISERROR((AU627/AM627-1)*100),"NA",IF(((AU627/AM627-1)*100)&gt;100,"NM",IF(((AU627/AM627-1)*100)&lt;-50,"NM",(AU627/AM627-1)*100)))</f>
        <v>0.36060154894757002</v>
      </c>
      <c r="AW627" s="188">
        <v>43168</v>
      </c>
      <c r="AX627" s="61">
        <f t="shared" ref="AX627:AX636" si="3600">IF(ISERROR((AW627/AO627-1)*100),"NA",IF(((AW627/AO627-1)*100)&gt;100,"NM",IF(((AW627/AO627-1)*100)&lt;-50,"NM",(AW627/AO627-1)*100)))</f>
        <v>-3.0085155144134679</v>
      </c>
      <c r="AY627" s="188">
        <v>42573.2</v>
      </c>
      <c r="AZ627" s="61">
        <f t="shared" ref="AZ627:AZ636" si="3601">IF(ISERROR((AY627/AQ627-1)*100),"NA",IF(((AY627/AQ627-1)*100)&gt;100,"NM",IF(((AY627/AQ627-1)*100)&lt;-50,"NM",(AY627/AQ627-1)*100)))</f>
        <v>-3.20356871643529</v>
      </c>
      <c r="BA627" s="188">
        <v>69714</v>
      </c>
      <c r="BB627" s="61">
        <f t="shared" si="3344"/>
        <v>55.392046505718476</v>
      </c>
      <c r="BC627" s="188">
        <v>71607.5</v>
      </c>
      <c r="BD627" s="61">
        <f t="shared" si="3345"/>
        <v>62.43053192695929</v>
      </c>
      <c r="BE627" s="188">
        <v>71487.600000000006</v>
      </c>
      <c r="BF627" s="61">
        <f t="shared" si="3346"/>
        <v>65.603224610822835</v>
      </c>
      <c r="BG627" s="188">
        <v>71813.600000000006</v>
      </c>
      <c r="BH627" s="61">
        <f t="shared" ref="BH627:BH636" si="3602">IF(ISERROR((BG627/AY627-1)*100),"NA",IF(((BG627/AY627-1)*100)&gt;100,"NM",IF(((BG627/AY627-1)*100)&lt;-50,"NM",(BG627/AY627-1)*100)))</f>
        <v>68.682645420123478</v>
      </c>
      <c r="BI627" s="188">
        <v>70832.5</v>
      </c>
      <c r="BJ627" s="61">
        <f t="shared" ref="BJ627:BJ636" si="3603">IF(ISERROR((BI627/BA627-1)*100),"NA",IF(((BI627/BA627-1)*100)&gt;100,"NM",IF(((BI627/BA627-1)*100)&lt;-50,"NM",(BI627/BA627-1)*100)))</f>
        <v>1.6044123131652155</v>
      </c>
      <c r="BK627" s="188">
        <v>71512.899999999994</v>
      </c>
      <c r="BL627" s="61">
        <f t="shared" ref="BL627:BL636" si="3604">IF(ISERROR((BK627/BC627-1)*100),"NA",IF(((BK627/BC627-1)*100)&gt;100,"NM",IF(((BK627/BC627-1)*100)&lt;-50,"NM",(BK627/BC627-1)*100)))</f>
        <v>-0.13210906678770007</v>
      </c>
      <c r="BM627" s="188">
        <v>71921.600000000006</v>
      </c>
      <c r="BN627" s="61">
        <f t="shared" ref="BN627:BN636" si="3605">IF(ISERROR((BM627/BE627-1)*100),"NA",IF(((BM627/BE627-1)*100)&gt;100,"NM",IF(((BM627/BE627-1)*100)&lt;-50,"NM",(BM627/BE627-1)*100)))</f>
        <v>0.60709829396985437</v>
      </c>
      <c r="BO627" s="188">
        <v>71555.3</v>
      </c>
      <c r="BP627" s="61">
        <f t="shared" ref="BP627:BP636" si="3606">IF(ISERROR((BO627/BG627-1)*100),"NA",IF(((BO627/BG627-1)*100)&gt;100,"NM",IF(((BO627/BG627-1)*100)&lt;-50,"NM",(BO627/BG627-1)*100)))</f>
        <v>-0.3596811745964601</v>
      </c>
      <c r="BQ627" s="188">
        <v>70201.399999999994</v>
      </c>
      <c r="BR627" s="61">
        <f t="shared" ref="BR627:BR636" si="3607">IF(ISERROR((BQ627/BI627-1)*100),"NA",IF(((BQ627/BI627-1)*100)&gt;100,"NM",IF(((BQ627/BI627-1)*100)&lt;-50,"NM",(BQ627/BI627-1)*100)))</f>
        <v>-0.89097518794339914</v>
      </c>
      <c r="BS627" s="188">
        <v>67957.399999999994</v>
      </c>
      <c r="BT627" s="61">
        <f t="shared" ref="BT627:BT636" si="3608">IF(ISERROR((BS627/BK627-1)*100),"NA",IF(((BS627/BK627-1)*100)&gt;100,"NM",IF(((BS627/BK627-1)*100)&lt;-50,"NM",(BS627/BK627-1)*100)))</f>
        <v>-4.9718302571983504</v>
      </c>
      <c r="BU627" s="188">
        <v>67340.899999999994</v>
      </c>
      <c r="BV627" s="61">
        <f t="shared" ref="BV627:BV636" si="3609">IF(ISERROR((BU627/BM627-1)*100),"NA",IF(((BU627/BM627-1)*100)&gt;100,"NM",IF(((BU627/BM627-1)*100)&lt;-50,"NM",(BU627/BM627-1)*100)))</f>
        <v>-6.369018486796751</v>
      </c>
      <c r="BW627" s="188">
        <v>66154.8</v>
      </c>
      <c r="BX627" s="61">
        <f t="shared" ref="BX627:BX636" si="3610">IF(ISERROR((BW627/BO627-1)*100),"NA",IF(((BW627/BO627-1)*100)&gt;100,"NM",IF(((BW627/BO627-1)*100)&lt;-50,"NM",(BW627/BO627-1)*100)))</f>
        <v>-7.5473095633726617</v>
      </c>
      <c r="BY627" s="188">
        <v>70548.100000000006</v>
      </c>
      <c r="BZ627" s="61">
        <f t="shared" ref="BZ627:BZ636" si="3611">IF(ISERROR((BY627/BQ627-1)*100),"NA",IF(((BY627/BQ627-1)*100)&gt;100,"NM",IF(((BY627/BQ627-1)*100)&lt;-50,"NM",(BY627/BQ627-1)*100)))</f>
        <v>0.49386479471920097</v>
      </c>
      <c r="CA627" s="188">
        <v>76182.7</v>
      </c>
      <c r="CB627" s="61">
        <f t="shared" ref="CB627:CB636" si="3612">IF(ISERROR((CA627/BS627-1)*100),"NA",IF(((CA627/BS627-1)*100)&gt;100,"NM",IF(((CA627/BS627-1)*100)&lt;-50,"NM",(CA627/BS627-1)*100)))</f>
        <v>12.103611968674489</v>
      </c>
      <c r="CC627" s="188">
        <v>75918</v>
      </c>
      <c r="CD627" s="61">
        <f t="shared" ref="CD627:CD636" si="3613">IF(ISERROR((CC627/BU627-1)*100),"NA",IF(((CC627/BU627-1)*100)&gt;100,"NM",IF(((CC627/BU627-1)*100)&lt;-50,"NM",(CC627/BU627-1)*100)))</f>
        <v>12.736836009022756</v>
      </c>
      <c r="CE627" s="188">
        <v>78457.5</v>
      </c>
      <c r="CF627" s="61">
        <f t="shared" ref="CF627:CF636" si="3614">IF(ISERROR((CE627/BW627-1)*100),"NA",IF(((CE627/BW627-1)*100)&gt;100,"NM",IF(((CE627/BW627-1)*100)&lt;-50,"NM",(CE627/BW627-1)*100)))</f>
        <v>18.596836510729364</v>
      </c>
      <c r="CG627" s="188">
        <v>82953.2</v>
      </c>
      <c r="CH627" s="61">
        <f t="shared" ref="CH627:CH636" si="3615">IF(ISERROR((CG627/BY627-1)*100),"NA",IF(((CG627/BY627-1)*100)&gt;100,"NM",IF(((CG627/BY627-1)*100)&lt;-50,"NM",(CG627/BY627-1)*100)))</f>
        <v>17.583889573213153</v>
      </c>
      <c r="CI627" s="188">
        <v>86114</v>
      </c>
      <c r="CJ627" s="61">
        <f t="shared" ref="CJ627:CJ636" si="3616">IF(ISERROR((CI627/CA627-1)*100),"NA",IF(((CI627/CA627-1)*100)&gt;100,"NM",IF(((CI627/CA627-1)*100)&lt;-50,"NM",(CI627/CA627-1)*100)))</f>
        <v>13.036161753258945</v>
      </c>
      <c r="CK627" s="188">
        <v>83340.100000000006</v>
      </c>
      <c r="CL627" s="61">
        <f t="shared" ref="CL627:CL636" si="3617">IF(ISERROR((CK627/CC627-1)*100),"NA",IF(((CK627/CC627-1)*100)&gt;100,"NM",IF(((CK627/CC627-1)*100)&lt;-50,"NM",(CK627/CC627-1)*100)))</f>
        <v>9.7764693485076002</v>
      </c>
      <c r="CM627" s="188">
        <v>84310.2</v>
      </c>
      <c r="CN627" s="61">
        <f t="shared" ref="CN627:CN636" si="3618">IF(ISERROR((CM627/CE627-1)*100),"NA",IF(((CM627/CE627-1)*100)&gt;100,"NM",IF(((CM627/CE627-1)*100)&lt;-50,"NM",(CM627/CE627-1)*100)))</f>
        <v>7.459707484944067</v>
      </c>
      <c r="CO627" s="188">
        <v>86278</v>
      </c>
      <c r="CP627" s="61">
        <f t="shared" ref="CP627:CP636" si="3619">IF(ISERROR((CO627/CG627-1)*100),"NA",IF(((CO627/CG627-1)*100)&gt;100,"NM",IF(((CO627/CG627-1)*100)&lt;-50,"NM",(CO627/CG627-1)*100)))</f>
        <v>4.0080430893564056</v>
      </c>
      <c r="CQ627" s="188">
        <v>92190.6</v>
      </c>
      <c r="CR627" s="61">
        <f t="shared" ref="CR627:CR636" si="3620">IF(ISERROR((CQ627/CI627-1)*100),"NA",IF(((CQ627/CI627-1)*100)&gt;100,"NM",IF(((CQ627/CI627-1)*100)&lt;-50,"NM",(CQ627/CI627-1)*100)))</f>
        <v>7.0564600413405509</v>
      </c>
      <c r="CS627" s="188">
        <v>93130</v>
      </c>
      <c r="CT627" s="61">
        <f t="shared" ref="CT627:CT636" si="3621">IF(ISERROR((CS627/CK627-1)*100),"NA",IF(((CS627/CK627-1)*100)&gt;100,"NM",IF(((CS627/CK627-1)*100)&lt;-50,"NM",(CS627/CK627-1)*100)))</f>
        <v>11.746926149596648</v>
      </c>
      <c r="CU627" s="188">
        <v>92912</v>
      </c>
      <c r="CV627" s="61">
        <f t="shared" ref="CV627:CV636" si="3622">IF(ISERROR((CU627/CM627-1)*100),"NA",IF(((CU627/CM627-1)*100)&gt;100,"NM",IF(((CU627/CM627-1)*100)&lt;-50,"NM",(CU627/CM627-1)*100)))</f>
        <v>10.202561493152661</v>
      </c>
      <c r="CW627" s="188">
        <v>96888</v>
      </c>
      <c r="CX627" s="61">
        <f t="shared" ref="CX627:CX636" si="3623">IF(ISERROR((CW627/CO627-1)*100),"NA",IF(((CW627/CO627-1)*100)&gt;100,"NM",IF(((CW627/CO627-1)*100)&lt;-50,"NM",(CW627/CO627-1)*100)))</f>
        <v>12.297457057419049</v>
      </c>
      <c r="CY627" s="188">
        <v>98468</v>
      </c>
      <c r="CZ627" s="61">
        <f t="shared" ref="CZ627:CZ636" si="3624">IF(ISERROR((CY627/CQ627-1)*100),"NA",IF(((CY627/CQ627-1)*100)&gt;100,"NM",IF(((CY627/CQ627-1)*100)&lt;-50,"NM",(CY627/CQ627-1)*100)))</f>
        <v>6.8091540786153759</v>
      </c>
      <c r="DA627" s="188">
        <v>99065</v>
      </c>
      <c r="DB627" s="61">
        <f t="shared" ref="DB627:DB636" si="3625">IF(ISERROR((DA627/CS627-1)*100),"NA",IF(((DA627/CS627-1)*100)&gt;100,"NM",IF(((DA627/CS627-1)*100)&lt;-50,"NM",(DA627/CS627-1)*100)))</f>
        <v>6.3728121980027863</v>
      </c>
      <c r="DC627" s="188">
        <v>99285</v>
      </c>
      <c r="DD627" s="61">
        <f t="shared" ref="DD627:DD636" si="3626">IF(ISERROR((DC627/CU627-1)*100),"NA",IF(((DC627/CU627-1)*100)&gt;100,"NM",IF(((DC627/CU627-1)*100)&lt;-50,"NM",(DC627/CU627-1)*100)))</f>
        <v>6.8591785775787839</v>
      </c>
      <c r="DE627" s="188">
        <v>96167</v>
      </c>
      <c r="DF627" s="61">
        <f t="shared" ref="DF627:DF636" si="3627">IF(ISERROR((DE627/CW627-1)*100),"NA",IF(((DE627/CW627-1)*100)&gt;100,"NM",IF(((DE627/CW627-1)*100)&lt;-50,"NM",(DE627/CW627-1)*100)))</f>
        <v>-0.74415820328627147</v>
      </c>
      <c r="DG627" s="188">
        <v>95568</v>
      </c>
      <c r="DH627" s="61">
        <f t="shared" ref="DH627:DH636" si="3628">IF(ISERROR((DG627/CY627-1)*100),"NA",IF(((DG627/CY627-1)*100)&gt;100,"NM",IF(((DG627/CY627-1)*100)&lt;-50,"NM",(DG627/CY627-1)*100)))</f>
        <v>-2.9451192265507631</v>
      </c>
      <c r="DI627" s="188">
        <v>95291</v>
      </c>
      <c r="DJ627" s="61">
        <f t="shared" ref="DJ627:DJ636" si="3629">IF(ISERROR((DI627/DA627-1)*100),"NA",IF(((DI627/DA627-1)*100)&gt;100,"NM",IF(((DI627/DA627-1)*100)&lt;-50,"NM",(DI627/DA627-1)*100)))</f>
        <v>-3.809619946499776</v>
      </c>
      <c r="DK627" s="188">
        <v>98207</v>
      </c>
      <c r="DL627" s="61">
        <f t="shared" ref="DL627:DL636" si="3630">IF(ISERROR((DK627/DC627-1)*100),"NA",IF(((DK627/DC627-1)*100)&gt;100,"NM",IF(((DK627/DC627-1)*100)&lt;-50,"NM",(DK627/DC627-1)*100)))</f>
        <v>-1.0857632069295464</v>
      </c>
      <c r="DM627" s="188">
        <v>100958</v>
      </c>
      <c r="DN627" s="130">
        <f t="shared" ref="DN627:DZ636" si="3631">IF(ISERROR((DM627/DE627-1)*100),"NA",IF(((DM627/DE627-1)*100)&gt;100,"NM",IF(((DM627/DE627-1)*100)&lt;-50,"NM",(DM627/DE627-1)*100)))</f>
        <v>4.9819584680815598</v>
      </c>
      <c r="DO627" s="188">
        <v>101385</v>
      </c>
      <c r="DP627" s="130">
        <f t="shared" si="3631"/>
        <v>6.0867654445002417</v>
      </c>
      <c r="DQ627" s="188">
        <v>102967</v>
      </c>
      <c r="DR627" s="61">
        <f t="shared" ref="DR627:DR636" si="3632">IF(ISERROR((DQ627/DI627-1)*100),"NA",IF(((DQ627/DI627-1)*100)&gt;100,"NM",IF(((DQ627/DI627-1)*100)&lt;-50,"NM",(DQ627/DI627-1)*100)))</f>
        <v>8.0553252668142949</v>
      </c>
      <c r="DS627" s="188">
        <v>106015</v>
      </c>
      <c r="DT627" s="130">
        <f t="shared" si="3631"/>
        <v>7.9505534228720975</v>
      </c>
      <c r="DU627" s="188">
        <v>102009</v>
      </c>
      <c r="DV627" s="130">
        <f t="shared" si="3631"/>
        <v>1.0410269617068479</v>
      </c>
      <c r="DW627" s="188">
        <v>103199</v>
      </c>
      <c r="DX627" s="188">
        <v>103199</v>
      </c>
      <c r="DY627" s="188">
        <v>102208</v>
      </c>
      <c r="DZ627" s="130">
        <f t="shared" si="3631"/>
        <v>-0.73712937154621905</v>
      </c>
      <c r="EA627" s="188">
        <v>106371</v>
      </c>
      <c r="EB627" s="130">
        <f t="shared" ref="EB627:EB636" si="3633">IF(ISERROR((EA627/DS627-1)*100),"NA",IF(((EA627/DS627-1)*100)&gt;100,"NM",IF(((EA627/DS627-1)*100)&lt;-50,"NM",(EA627/DS627-1)*100)))</f>
        <v>0.33580153751826547</v>
      </c>
      <c r="EC627" s="188">
        <v>110587</v>
      </c>
      <c r="ED627" s="130">
        <f t="shared" ref="ED627:ED636" si="3634">IF(ISERROR((EC627/DU627-1)*100),"NA",IF(((EC627/DU627-1)*100)&gt;100,"NM",IF(((EC627/DU627-1)*100)&lt;-50,"NM",(EC627/DU627-1)*100)))</f>
        <v>8.4090619455146065</v>
      </c>
      <c r="EE627" s="188">
        <v>111591</v>
      </c>
      <c r="EF627" s="130">
        <f t="shared" ref="EF627:EF636" si="3635">IF(ISERROR((EE627/DW627-1)*100),"NA",IF(((EE627/DW627-1)*100)&gt;100,"NM",IF(((EE627/DW627-1)*100)&lt;-50,"NM",(EE627/DW627-1)*100)))</f>
        <v>8.1318617428463469</v>
      </c>
      <c r="EG627" s="188">
        <v>106721</v>
      </c>
      <c r="EH627" s="130">
        <f t="shared" ref="EH627:EH636" si="3636">IF(ISERROR((EG627/DY627-1)*100),"NA",IF(((EG627/DY627-1)*100)&gt;100,"NM",IF(((EG627/DY627-1)*100)&lt;-50,"NM",(EG627/DY627-1)*100)))</f>
        <v>4.4155056355666966</v>
      </c>
      <c r="EI627" s="188">
        <v>108633</v>
      </c>
      <c r="EJ627" s="130">
        <f t="shared" ref="EJ627:EJ636" si="3637">IF(ISERROR((EI627/EA627-1)*100),"NA",IF(((EI627/EA627-1)*100)&gt;100,"NM",IF(((EI627/EA627-1)*100)&lt;-50,"NM",(EI627/EA627-1)*100)))</f>
        <v>2.1265194460896364</v>
      </c>
      <c r="EK627" s="188">
        <v>110639</v>
      </c>
      <c r="EL627" s="130">
        <f t="shared" ref="EL627:EL636" si="3638">IF(ISERROR((EK627/EC627-1)*100),"NA",IF(((EK627/EC627-1)*100)&gt;100,"NM",IF(((EK627/EC627-1)*100)&lt;-50,"NM",(EK627/EC627-1)*100)))</f>
        <v>4.7021801839286503E-2</v>
      </c>
      <c r="EM627" s="188">
        <v>111714</v>
      </c>
      <c r="EN627" s="130">
        <f t="shared" ref="EN627:EN636" si="3639">IF(ISERROR((EM627/EE627-1)*100),"NA",IF(((EM627/EE627-1)*100)&gt;100,"NM",IF(((EM627/EE627-1)*100)&lt;-50,"NM",(EM627/EE627-1)*100)))</f>
        <v>0.11022394279107672</v>
      </c>
      <c r="EO627" s="188">
        <v>113089</v>
      </c>
      <c r="EP627" s="130">
        <f t="shared" ref="EP627:EP636" si="3640">IF(ISERROR((EO627/EG627-1)*100),"NA",IF(((EO627/EG627-1)*100)&gt;100,"NM",IF(((EO627/EG627-1)*100)&lt;-50,"NM",(EO627/EG627-1)*100)))</f>
        <v>5.9669605794548497</v>
      </c>
      <c r="EQ627" s="74">
        <f t="shared" ref="EQ627" si="3641">(EO627*0.997)</f>
        <v>112749.73299999999</v>
      </c>
      <c r="ER627" s="130">
        <f t="shared" ref="ER627:ER636" si="3642">IF(ISERROR((EQ627/EI627-1)*100),"NA",IF(((EQ627/EI627-1)*100)&gt;100,"NM",IF(((EQ627/EI627-1)*100)&lt;-50,"NM",(EQ627/EI627-1)*100)))</f>
        <v>3.7895786731471981</v>
      </c>
      <c r="ES627" s="74">
        <f t="shared" ref="ES627" si="3643">(EQ627*0.997)</f>
        <v>112411.48380099999</v>
      </c>
      <c r="ET627" s="130">
        <f t="shared" ref="ET627:ET636" si="3644">IF(ISERROR((ES627/EK627-1)*100),"NA",IF(((ES627/EK627-1)*100)&gt;100,"NM",IF(((ES627/EK627-1)*100)&lt;-50,"NM",(ES627/EK627-1)*100)))</f>
        <v>1.6020424994802829</v>
      </c>
      <c r="EU627" s="74">
        <f t="shared" ref="EU627" si="3645">(ES627*0.997)</f>
        <v>112074.249349597</v>
      </c>
      <c r="EV627" s="130">
        <f t="shared" ref="EV627:EV636" si="3646">IF(ISERROR((EU627/EM627-1)*100),"NA",IF(((EU627/EM627-1)*100)&gt;100,"NM",IF(((EU627/EM627-1)*100)&lt;-50,"NM",(EU627/EM627-1)*100)))</f>
        <v>0.32247466709365291</v>
      </c>
      <c r="EW627" s="74">
        <f t="shared" ref="EW627" si="3647">(EU627*0.997)</f>
        <v>111738.0266015482</v>
      </c>
      <c r="EX627" s="130">
        <f t="shared" ref="EX627:EX636" si="3648">IF(ISERROR((EW627/EO627-1)*100),"NA",IF(((EW627/EO627-1)*100)&gt;100,"NM",IF(((EW627/EO627-1)*100)&lt;-50,"NM",(EW627/EO627-1)*100)))</f>
        <v>-1.1946107919000082</v>
      </c>
      <c r="EY627" s="356"/>
      <c r="EZ627" s="558"/>
      <c r="FA627" s="356"/>
      <c r="FB627" s="74">
        <v>37929.5</v>
      </c>
      <c r="FC627" s="71"/>
      <c r="FD627" s="74">
        <v>35578.400000000001</v>
      </c>
      <c r="FE627" s="70">
        <f t="shared" ref="FE627:FK636" si="3649">IF(ISERROR((FD627/FB627-1)*100),"NA",IF(((FD627/FB627-1)*100)&gt;100,"NM",IF(((FD627/FB627-1)*100)&lt;-50,"NM",(FD627/FB627-1)*100)))</f>
        <v>-6.1986053072146996</v>
      </c>
      <c r="FF627" s="399">
        <f>I627</f>
        <v>35368.6</v>
      </c>
      <c r="FG627" s="70">
        <f t="shared" si="3649"/>
        <v>-0.58968362826884446</v>
      </c>
      <c r="FH627" s="399">
        <f>Q627</f>
        <v>36113.1</v>
      </c>
      <c r="FI627" s="70">
        <f t="shared" si="3649"/>
        <v>2.1049744688791838</v>
      </c>
      <c r="FJ627" s="399">
        <f>Y627</f>
        <v>39999.9</v>
      </c>
      <c r="FK627" s="70">
        <f t="shared" si="3649"/>
        <v>10.762853368999071</v>
      </c>
      <c r="FL627" s="399">
        <f>+AG627</f>
        <v>42777.599999999999</v>
      </c>
      <c r="FM627" s="61">
        <f t="shared" ref="FM627:FM636" si="3650">IF(ISERROR((FL627/FJ627-1)*100),"NA",IF(((FL627/FJ627-1)*100)&gt;100,"NM",IF(((FL627/FJ627-1)*100)&lt;-50,"NM",(FL627/FJ627-1)*100)))</f>
        <v>6.9442673606683991</v>
      </c>
      <c r="FN627" s="399">
        <f>+AO627</f>
        <v>44507</v>
      </c>
      <c r="FO627" s="61">
        <f t="shared" ref="FO627:FO636" si="3651">IF(ISERROR((FN627/FL627-1)*100),"NA",IF(((FN627/FL627-1)*100)&gt;100,"NM",IF(((FN627/FL627-1)*100)&lt;-50,"NM",(FN627/FL627-1)*100)))</f>
        <v>4.0427700478755213</v>
      </c>
      <c r="FP627" s="75">
        <f>+AW627</f>
        <v>43168</v>
      </c>
      <c r="FQ627" s="61">
        <f t="shared" si="3354"/>
        <v>19.535570194749276</v>
      </c>
      <c r="FR627" s="75">
        <f>BE627</f>
        <v>71487.600000000006</v>
      </c>
      <c r="FS627" s="61">
        <f t="shared" ref="FS627:FS636" si="3652">IF(ISERROR((FR627/FP627-1)*100),"NA",IF(((FR627/FP627-1)*100)&gt;100,"NM",IF(((FR627/FP627-1)*100)&lt;-50,"NM",(FR627/FP627-1)*100)))</f>
        <v>65.603224610822835</v>
      </c>
      <c r="FT627" s="75">
        <f>BM627</f>
        <v>71921.600000000006</v>
      </c>
      <c r="FU627" s="61">
        <f t="shared" ref="FU627:FU636" si="3653">IF(ISERROR((FT627/FR627-1)*100),"NA",IF(((FT627/FR627-1)*100)&gt;100,"NM",IF(((FT627/FR627-1)*100)&lt;-50,"NM",(FT627/FR627-1)*100)))</f>
        <v>0.60709829396985437</v>
      </c>
      <c r="FV627" s="75">
        <f>BU627</f>
        <v>67340.899999999994</v>
      </c>
      <c r="FW627" s="61">
        <f t="shared" ref="FW627:FW636" si="3654">IF(ISERROR((FV627/FT627-1)*100),"NA",IF(((FV627/FT627-1)*100)&gt;100,"NM",IF(((FV627/FT627-1)*100)&lt;-50,"NM",(FV627/FT627-1)*100)))</f>
        <v>-6.369018486796751</v>
      </c>
      <c r="FX627" s="75">
        <f>CC627</f>
        <v>75918</v>
      </c>
      <c r="FY627" s="61">
        <f t="shared" ref="FY627:FY636" si="3655">IF(ISERROR((FX627/FV627-1)*100),"NA",IF(((FX627/FV627-1)*100)&gt;100,"NM",IF(((FX627/FV627-1)*100)&lt;-50,"NM",(FX627/FV627-1)*100)))</f>
        <v>12.736836009022756</v>
      </c>
      <c r="FZ627" s="75">
        <f>CK627</f>
        <v>83340.100000000006</v>
      </c>
      <c r="GA627" s="61">
        <f t="shared" ref="GA627:GA636" si="3656">IF(ISERROR((FZ627/FX627-1)*100),"NA",IF(((FZ627/FX627-1)*100)&gt;100,"NM",IF(((FZ627/FX627-1)*100)&lt;-50,"NM",(FZ627/FX627-1)*100)))</f>
        <v>9.7764693485076002</v>
      </c>
      <c r="GB627" s="75">
        <f>CS627</f>
        <v>93130</v>
      </c>
      <c r="GC627" s="61">
        <f t="shared" ref="GC627:GC636" si="3657">IF(ISERROR((GB627/FZ627-1)*100),"NA",IF(((GB627/FZ627-1)*100)&gt;100,"NM",IF(((GB627/FZ627-1)*100)&lt;-50,"NM",(GB627/FZ627-1)*100)))</f>
        <v>11.746926149596648</v>
      </c>
      <c r="GD627" s="75">
        <f>DA627</f>
        <v>99065</v>
      </c>
      <c r="GE627" s="61">
        <f t="shared" ref="GE627:GW636" si="3658">IF(ISERROR((GD627/GB627-1)*100),"NA",IF(((GD627/GB627-1)*100)&gt;100,"NM",IF(((GD627/GB627-1)*100)&lt;-50,"NM",(GD627/GB627-1)*100)))</f>
        <v>6.3728121980027863</v>
      </c>
      <c r="GF627" s="75">
        <f>DI627</f>
        <v>95291</v>
      </c>
      <c r="GG627" s="61">
        <f t="shared" si="3658"/>
        <v>-3.809619946499776</v>
      </c>
      <c r="GH627" s="75">
        <f>DQ627</f>
        <v>102967</v>
      </c>
      <c r="GI627" s="61">
        <f t="shared" si="3658"/>
        <v>8.0553252668142949</v>
      </c>
      <c r="GJ627" s="75">
        <f>DY627</f>
        <v>102208</v>
      </c>
      <c r="GK627" s="61">
        <f t="shared" si="3658"/>
        <v>-0.73712937154621905</v>
      </c>
      <c r="GL627" s="75">
        <f>EG627</f>
        <v>106721</v>
      </c>
      <c r="GM627" s="61">
        <f t="shared" si="3658"/>
        <v>4.4155056355666966</v>
      </c>
      <c r="GN627" s="75">
        <f>EO627</f>
        <v>113089</v>
      </c>
      <c r="GO627" s="61">
        <f t="shared" si="3658"/>
        <v>5.9669605794548497</v>
      </c>
      <c r="GP627" s="75">
        <f>EW627</f>
        <v>111738.0266015482</v>
      </c>
      <c r="GQ627" s="61">
        <f t="shared" si="3658"/>
        <v>-1.1946107919000082</v>
      </c>
      <c r="GR627" s="74">
        <f>GP627*0.99</f>
        <v>110620.64633553273</v>
      </c>
      <c r="GS627" s="61">
        <f t="shared" si="3658"/>
        <v>-0.99999999999998979</v>
      </c>
      <c r="GT627" s="74">
        <f>GR627*0.99</f>
        <v>109514.43987217741</v>
      </c>
      <c r="GU627" s="61">
        <f t="shared" si="3658"/>
        <v>-1.0000000000000009</v>
      </c>
      <c r="GV627" s="74">
        <f>GT627*0.99</f>
        <v>108419.29547345563</v>
      </c>
      <c r="GW627" s="61">
        <f t="shared" si="3658"/>
        <v>-1.0000000000000009</v>
      </c>
      <c r="GX627" s="74">
        <f>GV627*0.99</f>
        <v>107335.10251872106</v>
      </c>
      <c r="GY627" s="61">
        <f t="shared" ref="GY627:GY636" si="3659">IF(ISERROR((GX627/GV627-1)*100),"NA",IF(((GX627/GV627-1)*100)&gt;100,"NM",IF(((GX627/GV627-1)*100)&lt;-50,"NM",(GX627/GV627-1)*100)))</f>
        <v>-1.000000000000012</v>
      </c>
      <c r="GZ627" s="61">
        <f t="shared" si="3580"/>
        <v>-1.0389527992624048</v>
      </c>
      <c r="HA627" s="61"/>
      <c r="HB627" s="452"/>
      <c r="HC627"/>
      <c r="HD627"/>
      <c r="HE627"/>
      <c r="HF627"/>
      <c r="HG627"/>
      <c r="HH627"/>
    </row>
    <row r="628" spans="1:216" s="5" customFormat="1" ht="12.75" customHeight="1" x14ac:dyDescent="0.2">
      <c r="A628" s="7"/>
      <c r="B628" s="7" t="s">
        <v>145</v>
      </c>
      <c r="C628" s="188">
        <v>56907.6</v>
      </c>
      <c r="D628" s="70"/>
      <c r="E628" s="188">
        <v>54924.2</v>
      </c>
      <c r="F628" s="71"/>
      <c r="G628" s="188">
        <v>54410.9</v>
      </c>
      <c r="H628" s="71"/>
      <c r="I628" s="188">
        <v>50579.9</v>
      </c>
      <c r="J628" s="61"/>
      <c r="K628" s="188">
        <v>44506.2</v>
      </c>
      <c r="L628" s="61">
        <f t="shared" si="3581"/>
        <v>-21.792168357126297</v>
      </c>
      <c r="M628" s="188">
        <v>47140.2</v>
      </c>
      <c r="N628" s="61">
        <f t="shared" si="3582"/>
        <v>-14.17225922271057</v>
      </c>
      <c r="O628" s="188">
        <v>39479.800000000003</v>
      </c>
      <c r="P628" s="61">
        <f t="shared" si="3583"/>
        <v>-27.441376635931402</v>
      </c>
      <c r="Q628" s="188">
        <v>44833.4</v>
      </c>
      <c r="R628" s="61">
        <f t="shared" si="3584"/>
        <v>-11.361232426319546</v>
      </c>
      <c r="S628" s="188">
        <v>44916.7</v>
      </c>
      <c r="T628" s="61">
        <f t="shared" si="3585"/>
        <v>0.9223434038403644</v>
      </c>
      <c r="U628" s="188">
        <v>40579.599999999999</v>
      </c>
      <c r="V628" s="61">
        <f t="shared" si="3586"/>
        <v>-13.917208666912739</v>
      </c>
      <c r="W628" s="188">
        <v>34069</v>
      </c>
      <c r="X628" s="61">
        <f t="shared" si="3587"/>
        <v>-13.70523660200913</v>
      </c>
      <c r="Y628" s="188">
        <v>36178.300000000003</v>
      </c>
      <c r="Z628" s="61">
        <f t="shared" si="3588"/>
        <v>-19.305027055721848</v>
      </c>
      <c r="AA628" s="188">
        <v>34775.199999999997</v>
      </c>
      <c r="AB628" s="61">
        <f t="shared" si="3589"/>
        <v>-22.578461908377069</v>
      </c>
      <c r="AC628" s="188">
        <v>39942.800000000003</v>
      </c>
      <c r="AD628" s="61">
        <f t="shared" si="3590"/>
        <v>-1.5692614022809415</v>
      </c>
      <c r="AE628" s="188">
        <v>41283.4</v>
      </c>
      <c r="AF628" s="61">
        <f t="shared" si="3591"/>
        <v>21.175849012298563</v>
      </c>
      <c r="AG628" s="188">
        <v>46565.2</v>
      </c>
      <c r="AH628" s="61">
        <f t="shared" si="3592"/>
        <v>28.710304243151263</v>
      </c>
      <c r="AI628" s="188">
        <v>48557.9</v>
      </c>
      <c r="AJ628" s="61">
        <f t="shared" si="3593"/>
        <v>39.633704479054053</v>
      </c>
      <c r="AK628" s="188">
        <v>49343.7</v>
      </c>
      <c r="AL628" s="61">
        <f t="shared" si="3594"/>
        <v>23.535906346074874</v>
      </c>
      <c r="AM628" s="188">
        <v>49657.9</v>
      </c>
      <c r="AN628" s="61">
        <f t="shared" si="3595"/>
        <v>20.285393160447065</v>
      </c>
      <c r="AO628" s="188">
        <v>55204.6</v>
      </c>
      <c r="AP628" s="61">
        <f t="shared" si="3596"/>
        <v>18.553340262685445</v>
      </c>
      <c r="AQ628" s="188">
        <v>55387.199999999997</v>
      </c>
      <c r="AR628" s="61">
        <f t="shared" si="3597"/>
        <v>14.064240834138197</v>
      </c>
      <c r="AS628" s="188">
        <v>57240</v>
      </c>
      <c r="AT628" s="61">
        <f t="shared" si="3598"/>
        <v>16.002650794326346</v>
      </c>
      <c r="AU628" s="188">
        <v>60811.5</v>
      </c>
      <c r="AV628" s="61">
        <f t="shared" si="3599"/>
        <v>22.460877322641505</v>
      </c>
      <c r="AW628" s="188">
        <v>63747</v>
      </c>
      <c r="AX628" s="61">
        <f t="shared" si="3600"/>
        <v>15.474072812772842</v>
      </c>
      <c r="AY628" s="188">
        <v>67984.2</v>
      </c>
      <c r="AZ628" s="61">
        <f t="shared" si="3601"/>
        <v>22.743521968974779</v>
      </c>
      <c r="BA628" s="188">
        <v>71095</v>
      </c>
      <c r="BB628" s="61">
        <f t="shared" si="3344"/>
        <v>24.205101327742828</v>
      </c>
      <c r="BC628" s="188">
        <v>74357.100000000006</v>
      </c>
      <c r="BD628" s="61">
        <f t="shared" si="3345"/>
        <v>22.274734219678848</v>
      </c>
      <c r="BE628" s="188">
        <v>80533.7</v>
      </c>
      <c r="BF628" s="61">
        <f t="shared" si="3346"/>
        <v>26.333317646320609</v>
      </c>
      <c r="BG628" s="188">
        <v>83147.5</v>
      </c>
      <c r="BH628" s="61">
        <f t="shared" si="3602"/>
        <v>22.304153023790828</v>
      </c>
      <c r="BI628" s="188">
        <v>89497.2</v>
      </c>
      <c r="BJ628" s="61">
        <f t="shared" si="3603"/>
        <v>25.883958084253457</v>
      </c>
      <c r="BK628" s="188">
        <v>92903.1</v>
      </c>
      <c r="BL628" s="61">
        <f t="shared" si="3604"/>
        <v>24.94180111919373</v>
      </c>
      <c r="BM628" s="188">
        <v>91113.3</v>
      </c>
      <c r="BN628" s="61">
        <f t="shared" si="3605"/>
        <v>13.136860717935473</v>
      </c>
      <c r="BO628" s="188">
        <v>84703.1</v>
      </c>
      <c r="BP628" s="61">
        <f t="shared" si="3606"/>
        <v>1.8708920893592884</v>
      </c>
      <c r="BQ628" s="188">
        <v>85295.4</v>
      </c>
      <c r="BR628" s="61">
        <f t="shared" si="3607"/>
        <v>-4.6948954827637053</v>
      </c>
      <c r="BS628" s="188">
        <v>74970.8</v>
      </c>
      <c r="BT628" s="61">
        <f t="shared" si="3608"/>
        <v>-19.302154610556588</v>
      </c>
      <c r="BU628" s="188">
        <v>60632.6</v>
      </c>
      <c r="BV628" s="61">
        <f t="shared" si="3609"/>
        <v>-33.453623126371234</v>
      </c>
      <c r="BW628" s="188">
        <v>57486.5</v>
      </c>
      <c r="BX628" s="61">
        <f t="shared" si="3610"/>
        <v>-32.131763772518362</v>
      </c>
      <c r="BY628" s="188">
        <v>61090.9</v>
      </c>
      <c r="BZ628" s="61">
        <f t="shared" si="3611"/>
        <v>-28.377263017700827</v>
      </c>
      <c r="CA628" s="188">
        <v>70111</v>
      </c>
      <c r="CB628" s="61">
        <f t="shared" si="3612"/>
        <v>-6.4822570920945228</v>
      </c>
      <c r="CC628" s="188">
        <v>73500.100000000006</v>
      </c>
      <c r="CD628" s="61">
        <f t="shared" si="3613"/>
        <v>21.222081850357743</v>
      </c>
      <c r="CE628" s="188">
        <v>76429.2</v>
      </c>
      <c r="CF628" s="61">
        <f t="shared" si="3614"/>
        <v>32.951562540770432</v>
      </c>
      <c r="CG628" s="188">
        <v>70844.100000000006</v>
      </c>
      <c r="CH628" s="61">
        <f t="shared" si="3615"/>
        <v>15.965061899562794</v>
      </c>
      <c r="CI628" s="188">
        <v>78575.7</v>
      </c>
      <c r="CJ628" s="61">
        <f t="shared" si="3616"/>
        <v>12.073283792842782</v>
      </c>
      <c r="CK628" s="188">
        <v>84630.1</v>
      </c>
      <c r="CL628" s="61">
        <f t="shared" si="3617"/>
        <v>15.14283654035844</v>
      </c>
      <c r="CM628" s="188">
        <v>88236.3</v>
      </c>
      <c r="CN628" s="61">
        <f t="shared" si="3618"/>
        <v>15.448415003689696</v>
      </c>
      <c r="CO628" s="188">
        <v>88845.6</v>
      </c>
      <c r="CP628" s="61">
        <f t="shared" si="3619"/>
        <v>25.410020029896629</v>
      </c>
      <c r="CQ628" s="188">
        <v>78194.600000000006</v>
      </c>
      <c r="CR628" s="61">
        <f t="shared" si="3620"/>
        <v>-0.4850099967292576</v>
      </c>
      <c r="CS628" s="188">
        <v>83477</v>
      </c>
      <c r="CT628" s="61">
        <f t="shared" si="3621"/>
        <v>-1.3625175912589049</v>
      </c>
      <c r="CU628" s="188">
        <v>91088</v>
      </c>
      <c r="CV628" s="61">
        <f t="shared" si="3622"/>
        <v>3.23188982312268</v>
      </c>
      <c r="CW628" s="188">
        <v>88839</v>
      </c>
      <c r="CX628" s="61">
        <f t="shared" si="3623"/>
        <v>-7.4286177368487749E-3</v>
      </c>
      <c r="CY628" s="188">
        <v>93326</v>
      </c>
      <c r="CZ628" s="61">
        <f t="shared" si="3624"/>
        <v>19.350952623326911</v>
      </c>
      <c r="DA628" s="188">
        <v>95373</v>
      </c>
      <c r="DB628" s="61">
        <f t="shared" si="3625"/>
        <v>14.250631910586154</v>
      </c>
      <c r="DC628" s="188">
        <v>101366</v>
      </c>
      <c r="DD628" s="61">
        <f t="shared" si="3626"/>
        <v>11.283593887229927</v>
      </c>
      <c r="DE628" s="188">
        <v>102783</v>
      </c>
      <c r="DF628" s="61">
        <f t="shared" si="3627"/>
        <v>15.695809272954442</v>
      </c>
      <c r="DG628" s="188">
        <v>109376</v>
      </c>
      <c r="DH628" s="61">
        <f t="shared" si="3628"/>
        <v>17.197779825557724</v>
      </c>
      <c r="DI628" s="188">
        <v>117135</v>
      </c>
      <c r="DJ628" s="61">
        <f t="shared" si="3629"/>
        <v>22.817778616589599</v>
      </c>
      <c r="DK628" s="188">
        <v>118968</v>
      </c>
      <c r="DL628" s="61">
        <f t="shared" si="3630"/>
        <v>17.364796874691702</v>
      </c>
      <c r="DM628" s="188">
        <v>124159</v>
      </c>
      <c r="DN628" s="130">
        <f t="shared" si="3631"/>
        <v>20.797213546987336</v>
      </c>
      <c r="DO628" s="188">
        <v>122937</v>
      </c>
      <c r="DP628" s="130">
        <f t="shared" si="3631"/>
        <v>12.398515213575202</v>
      </c>
      <c r="DQ628" s="188">
        <v>125265</v>
      </c>
      <c r="DR628" s="61">
        <f t="shared" si="3632"/>
        <v>6.9407094378281409</v>
      </c>
      <c r="DS628" s="188">
        <v>127828</v>
      </c>
      <c r="DT628" s="130">
        <f t="shared" si="3631"/>
        <v>7.447380808284576</v>
      </c>
      <c r="DU628" s="188">
        <v>128079</v>
      </c>
      <c r="DV628" s="130">
        <f t="shared" si="3631"/>
        <v>3.1572419236624016</v>
      </c>
      <c r="DW628" s="188">
        <v>120275</v>
      </c>
      <c r="DX628" s="188">
        <v>120275</v>
      </c>
      <c r="DY628" s="188">
        <v>123619</v>
      </c>
      <c r="DZ628" s="130">
        <f t="shared" si="3631"/>
        <v>-1.3140142897058227</v>
      </c>
      <c r="EA628" s="188">
        <v>123506</v>
      </c>
      <c r="EB628" s="130">
        <f t="shared" si="3633"/>
        <v>-3.3811058610007216</v>
      </c>
      <c r="EC628" s="188">
        <v>125033</v>
      </c>
      <c r="ED628" s="130">
        <f t="shared" si="3634"/>
        <v>-2.378219692533512</v>
      </c>
      <c r="EE628" s="188">
        <v>128593</v>
      </c>
      <c r="EF628" s="130">
        <f t="shared" si="3635"/>
        <v>6.9158179172729151</v>
      </c>
      <c r="EG628" s="188">
        <v>128397</v>
      </c>
      <c r="EH628" s="130">
        <f t="shared" si="3636"/>
        <v>3.8651016429513296</v>
      </c>
      <c r="EI628" s="188">
        <v>132958</v>
      </c>
      <c r="EJ628" s="130">
        <f t="shared" si="3637"/>
        <v>7.6530694865026838</v>
      </c>
      <c r="EK628" s="188">
        <v>135825</v>
      </c>
      <c r="EL628" s="130">
        <f t="shared" si="3638"/>
        <v>8.6313213311685733</v>
      </c>
      <c r="EM628" s="188">
        <v>139612</v>
      </c>
      <c r="EN628" s="130">
        <f t="shared" si="3639"/>
        <v>8.5688956630609816</v>
      </c>
      <c r="EO628" s="188">
        <v>144219</v>
      </c>
      <c r="EP628" s="130">
        <f t="shared" si="3640"/>
        <v>12.322717820509821</v>
      </c>
      <c r="EQ628" s="188">
        <f t="shared" ref="EQ628" si="3660">EO628*1.02</f>
        <v>147103.38</v>
      </c>
      <c r="ER628" s="130">
        <f t="shared" si="3642"/>
        <v>10.638983739225916</v>
      </c>
      <c r="ES628" s="188">
        <f t="shared" ref="ES628" si="3661">EQ628*1.02</f>
        <v>150045.44760000001</v>
      </c>
      <c r="ET628" s="130">
        <f t="shared" si="3644"/>
        <v>10.469683489784654</v>
      </c>
      <c r="EU628" s="188">
        <f t="shared" ref="EU628" si="3662">ES628*1.02</f>
        <v>153046.35655200001</v>
      </c>
      <c r="EV628" s="130">
        <f t="shared" si="3646"/>
        <v>9.6226374179870113</v>
      </c>
      <c r="EW628" s="188">
        <f t="shared" ref="EW628" si="3663">EU628*1.02</f>
        <v>156107.28368304</v>
      </c>
      <c r="EX628" s="130">
        <f t="shared" si="3648"/>
        <v>8.2432159999999968</v>
      </c>
      <c r="EY628" s="356"/>
      <c r="EZ628" s="558"/>
      <c r="FA628" s="356"/>
      <c r="FB628" s="365">
        <v>43408.9</v>
      </c>
      <c r="FC628" s="71"/>
      <c r="FD628" s="365">
        <v>53564.2</v>
      </c>
      <c r="FE628" s="70">
        <f t="shared" si="3649"/>
        <v>23.394511263819151</v>
      </c>
      <c r="FF628" s="399">
        <f>I628</f>
        <v>50579.9</v>
      </c>
      <c r="FG628" s="70">
        <f t="shared" si="3649"/>
        <v>-5.5714451069931004</v>
      </c>
      <c r="FH628" s="399">
        <f>Q628</f>
        <v>44833.4</v>
      </c>
      <c r="FI628" s="70">
        <f t="shared" si="3649"/>
        <v>-11.361232426319546</v>
      </c>
      <c r="FJ628" s="399">
        <f>Y628</f>
        <v>36178.300000000003</v>
      </c>
      <c r="FK628" s="70">
        <f t="shared" si="3649"/>
        <v>-19.305027055721848</v>
      </c>
      <c r="FL628" s="399">
        <f>AG628</f>
        <v>46565.2</v>
      </c>
      <c r="FM628" s="61">
        <f t="shared" si="3650"/>
        <v>28.710304243151263</v>
      </c>
      <c r="FN628" s="399">
        <f>+AO628</f>
        <v>55204.6</v>
      </c>
      <c r="FO628" s="61">
        <f t="shared" si="3651"/>
        <v>18.553340262685445</v>
      </c>
      <c r="FP628" s="400">
        <f>+AW628</f>
        <v>63747</v>
      </c>
      <c r="FQ628" s="61">
        <f t="shared" si="3354"/>
        <v>42.186405670772231</v>
      </c>
      <c r="FR628" s="400">
        <f>BE628</f>
        <v>80533.7</v>
      </c>
      <c r="FS628" s="61">
        <f t="shared" si="3652"/>
        <v>26.333317646320609</v>
      </c>
      <c r="FT628" s="400">
        <f>BM628</f>
        <v>91113.3</v>
      </c>
      <c r="FU628" s="61">
        <f t="shared" si="3653"/>
        <v>13.136860717935473</v>
      </c>
      <c r="FV628" s="400">
        <f>BU628</f>
        <v>60632.6</v>
      </c>
      <c r="FW628" s="61">
        <f t="shared" si="3654"/>
        <v>-33.453623126371234</v>
      </c>
      <c r="FX628" s="75">
        <f>CC628</f>
        <v>73500.100000000006</v>
      </c>
      <c r="FY628" s="61">
        <f t="shared" si="3655"/>
        <v>21.222081850357743</v>
      </c>
      <c r="FZ628" s="75">
        <f>CK628</f>
        <v>84630.1</v>
      </c>
      <c r="GA628" s="61">
        <f t="shared" si="3656"/>
        <v>15.14283654035844</v>
      </c>
      <c r="GB628" s="75">
        <f>CS628</f>
        <v>83477</v>
      </c>
      <c r="GC628" s="61">
        <f t="shared" si="3657"/>
        <v>-1.3625175912589049</v>
      </c>
      <c r="GD628" s="75">
        <f>DA628</f>
        <v>95373</v>
      </c>
      <c r="GE628" s="61">
        <f t="shared" si="3658"/>
        <v>14.250631910586154</v>
      </c>
      <c r="GF628" s="75">
        <f>DI628</f>
        <v>117135</v>
      </c>
      <c r="GG628" s="61">
        <f t="shared" si="3658"/>
        <v>22.817778616589599</v>
      </c>
      <c r="GH628" s="75">
        <f>DQ628</f>
        <v>125265</v>
      </c>
      <c r="GI628" s="61">
        <f t="shared" si="3658"/>
        <v>6.9407094378281409</v>
      </c>
      <c r="GJ628" s="75">
        <f>DY628</f>
        <v>123619</v>
      </c>
      <c r="GK628" s="61">
        <f t="shared" si="3658"/>
        <v>-1.3140142897058227</v>
      </c>
      <c r="GL628" s="75">
        <f>EG628</f>
        <v>128397</v>
      </c>
      <c r="GM628" s="61">
        <f t="shared" si="3658"/>
        <v>3.8651016429513296</v>
      </c>
      <c r="GN628" s="75">
        <f>EO628</f>
        <v>144219</v>
      </c>
      <c r="GO628" s="61">
        <f t="shared" si="3658"/>
        <v>12.322717820509821</v>
      </c>
      <c r="GP628" s="75">
        <f>EW628</f>
        <v>156107.28368304</v>
      </c>
      <c r="GQ628" s="61">
        <f t="shared" si="3658"/>
        <v>8.2432159999999968</v>
      </c>
      <c r="GR628" s="188">
        <f>GP628*1.08</f>
        <v>168595.86637768321</v>
      </c>
      <c r="GS628" s="61">
        <f t="shared" si="3658"/>
        <v>8.0000000000000071</v>
      </c>
      <c r="GT628" s="188">
        <f>GR628*1.08</f>
        <v>182083.53568789788</v>
      </c>
      <c r="GU628" s="61">
        <f t="shared" si="3658"/>
        <v>8.0000000000000071</v>
      </c>
      <c r="GV628" s="188">
        <f>GT628*1.08</f>
        <v>196650.21854292971</v>
      </c>
      <c r="GW628" s="61">
        <f t="shared" si="3658"/>
        <v>8.0000000000000071</v>
      </c>
      <c r="GX628" s="188">
        <f>GV628*1.08</f>
        <v>212382.23602636409</v>
      </c>
      <c r="GY628" s="61">
        <f t="shared" si="3659"/>
        <v>8.0000000000000071</v>
      </c>
      <c r="GZ628" s="61">
        <f t="shared" si="3580"/>
        <v>8.0485994413188813</v>
      </c>
      <c r="HA628" s="61"/>
      <c r="HB628" s="452"/>
      <c r="HC628"/>
      <c r="HD628"/>
      <c r="HE628"/>
      <c r="HF628"/>
      <c r="HG628"/>
      <c r="HH628"/>
    </row>
    <row r="629" spans="1:216" s="5" customFormat="1" ht="12.75" customHeight="1" x14ac:dyDescent="0.2">
      <c r="A629" s="7"/>
      <c r="B629" s="7" t="s">
        <v>285</v>
      </c>
      <c r="C629" s="188">
        <v>2870.4</v>
      </c>
      <c r="D629" s="70"/>
      <c r="E629" s="188">
        <v>2968</v>
      </c>
      <c r="F629" s="71"/>
      <c r="G629" s="188">
        <v>3048</v>
      </c>
      <c r="H629" s="71"/>
      <c r="I629" s="188">
        <v>3070.5</v>
      </c>
      <c r="J629" s="61"/>
      <c r="K629" s="188">
        <v>2963.4</v>
      </c>
      <c r="L629" s="61">
        <f t="shared" si="3581"/>
        <v>3.2399665551839485</v>
      </c>
      <c r="M629" s="188">
        <v>3129.1</v>
      </c>
      <c r="N629" s="61">
        <f t="shared" si="3582"/>
        <v>5.4278975741239854</v>
      </c>
      <c r="O629" s="188">
        <v>3087.2</v>
      </c>
      <c r="P629" s="61">
        <f t="shared" si="3583"/>
        <v>1.286089238845145</v>
      </c>
      <c r="Q629" s="188">
        <v>2885.3</v>
      </c>
      <c r="R629" s="61">
        <f t="shared" si="3584"/>
        <v>-6.0315909460999739</v>
      </c>
      <c r="S629" s="188">
        <v>3114.9</v>
      </c>
      <c r="T629" s="61">
        <f t="shared" si="3585"/>
        <v>5.1123709252885119</v>
      </c>
      <c r="U629" s="188">
        <v>3056.6</v>
      </c>
      <c r="V629" s="61">
        <f t="shared" si="3586"/>
        <v>-2.3169601482854518</v>
      </c>
      <c r="W629" s="188">
        <v>2868.7</v>
      </c>
      <c r="X629" s="61">
        <f t="shared" si="3587"/>
        <v>-7.0776107799948136</v>
      </c>
      <c r="Y629" s="188">
        <v>2971</v>
      </c>
      <c r="Z629" s="61">
        <f t="shared" si="3588"/>
        <v>2.9702283991265954</v>
      </c>
      <c r="AA629" s="188">
        <v>2919</v>
      </c>
      <c r="AB629" s="61">
        <f t="shared" si="3589"/>
        <v>-6.2891264567080825</v>
      </c>
      <c r="AC629" s="188">
        <v>2697.1</v>
      </c>
      <c r="AD629" s="61">
        <f t="shared" si="3590"/>
        <v>-11.761434273375649</v>
      </c>
      <c r="AE629" s="188">
        <v>2919.4</v>
      </c>
      <c r="AF629" s="61">
        <f t="shared" si="3591"/>
        <v>1.7673510649423241</v>
      </c>
      <c r="AG629" s="188">
        <v>3147.1</v>
      </c>
      <c r="AH629" s="61">
        <f t="shared" si="3592"/>
        <v>5.9272972063278306</v>
      </c>
      <c r="AI629" s="188">
        <v>2999</v>
      </c>
      <c r="AJ629" s="61">
        <f t="shared" si="3593"/>
        <v>2.7406646111681976</v>
      </c>
      <c r="AK629" s="188">
        <v>3521.4</v>
      </c>
      <c r="AL629" s="61">
        <f t="shared" si="3594"/>
        <v>30.562455971228374</v>
      </c>
      <c r="AM629" s="188">
        <v>3326.8</v>
      </c>
      <c r="AN629" s="61">
        <f t="shared" si="3595"/>
        <v>13.954922244296775</v>
      </c>
      <c r="AO629" s="188">
        <v>3445</v>
      </c>
      <c r="AP629" s="61">
        <f t="shared" si="3596"/>
        <v>9.465857456070669</v>
      </c>
      <c r="AQ629" s="188">
        <v>3712.7</v>
      </c>
      <c r="AR629" s="61">
        <f t="shared" si="3597"/>
        <v>23.797932644214725</v>
      </c>
      <c r="AS629" s="188">
        <v>4657.3999999999996</v>
      </c>
      <c r="AT629" s="61">
        <f t="shared" si="3598"/>
        <v>32.259896632021338</v>
      </c>
      <c r="AU629" s="188">
        <v>4989</v>
      </c>
      <c r="AV629" s="61">
        <f t="shared" si="3599"/>
        <v>49.963929301430788</v>
      </c>
      <c r="AW629" s="188">
        <v>5163.2</v>
      </c>
      <c r="AX629" s="61">
        <f t="shared" si="3600"/>
        <v>49.875181422351233</v>
      </c>
      <c r="AY629" s="188">
        <v>5433.7</v>
      </c>
      <c r="AZ629" s="61">
        <f t="shared" si="3601"/>
        <v>46.354405149890908</v>
      </c>
      <c r="BA629" s="188">
        <v>8328.4</v>
      </c>
      <c r="BB629" s="61">
        <f t="shared" si="3344"/>
        <v>78.820801305449393</v>
      </c>
      <c r="BC629" s="188">
        <v>8171.6</v>
      </c>
      <c r="BD629" s="61">
        <f t="shared" si="3345"/>
        <v>63.792343154940866</v>
      </c>
      <c r="BE629" s="188">
        <v>8420.4</v>
      </c>
      <c r="BF629" s="61">
        <f t="shared" si="3346"/>
        <v>63.084908583823982</v>
      </c>
      <c r="BG629" s="188">
        <v>8534.7000000000007</v>
      </c>
      <c r="BH629" s="61">
        <f t="shared" si="3602"/>
        <v>57.069768297844959</v>
      </c>
      <c r="BI629" s="188">
        <v>9100.6</v>
      </c>
      <c r="BJ629" s="61">
        <f t="shared" si="3603"/>
        <v>9.2718889582632968</v>
      </c>
      <c r="BK629" s="188">
        <v>9337</v>
      </c>
      <c r="BL629" s="61">
        <f t="shared" si="3604"/>
        <v>14.261588917715006</v>
      </c>
      <c r="BM629" s="188">
        <v>9579.7999999999993</v>
      </c>
      <c r="BN629" s="61">
        <f t="shared" si="3605"/>
        <v>13.768942093012203</v>
      </c>
      <c r="BO629" s="188">
        <v>9995.5</v>
      </c>
      <c r="BP629" s="61">
        <f t="shared" si="3606"/>
        <v>17.116008764221348</v>
      </c>
      <c r="BQ629" s="188">
        <v>10608.1</v>
      </c>
      <c r="BR629" s="61">
        <f t="shared" si="3607"/>
        <v>16.564841878557466</v>
      </c>
      <c r="BS629" s="188">
        <v>11651.7</v>
      </c>
      <c r="BT629" s="61">
        <f t="shared" si="3608"/>
        <v>24.79061797151121</v>
      </c>
      <c r="BU629" s="188">
        <v>11936.8</v>
      </c>
      <c r="BV629" s="61">
        <f t="shared" si="3609"/>
        <v>24.603853942671037</v>
      </c>
      <c r="BW629" s="188">
        <v>11922.3</v>
      </c>
      <c r="BX629" s="61">
        <f t="shared" si="3610"/>
        <v>19.276674503526571</v>
      </c>
      <c r="BY629" s="188">
        <v>10455.9</v>
      </c>
      <c r="BZ629" s="61">
        <f t="shared" si="3611"/>
        <v>-1.4347526889829543</v>
      </c>
      <c r="CA629" s="188">
        <v>9182.2999999999993</v>
      </c>
      <c r="CB629" s="61">
        <f t="shared" si="3612"/>
        <v>-21.193473913677842</v>
      </c>
      <c r="CC629" s="188">
        <v>9509.6</v>
      </c>
      <c r="CD629" s="61">
        <f t="shared" si="3613"/>
        <v>-20.33375779103277</v>
      </c>
      <c r="CE629" s="188">
        <v>9195.1</v>
      </c>
      <c r="CF629" s="61">
        <f t="shared" si="3614"/>
        <v>-22.874780872818157</v>
      </c>
      <c r="CG629" s="188">
        <v>8534.5</v>
      </c>
      <c r="CH629" s="61">
        <f t="shared" si="3615"/>
        <v>-18.37622777570558</v>
      </c>
      <c r="CI629" s="188">
        <v>7918.5</v>
      </c>
      <c r="CJ629" s="61">
        <f t="shared" si="3616"/>
        <v>-13.763436176121447</v>
      </c>
      <c r="CK629" s="188">
        <v>8930.2999999999993</v>
      </c>
      <c r="CL629" s="61">
        <f t="shared" si="3617"/>
        <v>-6.0917388744006207</v>
      </c>
      <c r="CM629" s="188">
        <v>7695.5</v>
      </c>
      <c r="CN629" s="61">
        <f t="shared" si="3618"/>
        <v>-16.308686148057117</v>
      </c>
      <c r="CO629" s="188">
        <v>7699</v>
      </c>
      <c r="CP629" s="61">
        <f t="shared" si="3619"/>
        <v>-9.7896771925713324</v>
      </c>
      <c r="CQ629" s="188">
        <v>6704.7</v>
      </c>
      <c r="CR629" s="61">
        <f t="shared" si="3620"/>
        <v>-15.328660731199095</v>
      </c>
      <c r="CS629" s="188">
        <v>6766</v>
      </c>
      <c r="CT629" s="61">
        <f t="shared" si="3621"/>
        <v>-24.235468013392602</v>
      </c>
      <c r="CU629" s="188">
        <v>6880</v>
      </c>
      <c r="CV629" s="61">
        <f t="shared" si="3622"/>
        <v>-10.597102202585928</v>
      </c>
      <c r="CW629" s="188">
        <v>6505</v>
      </c>
      <c r="CX629" s="61">
        <f t="shared" si="3623"/>
        <v>-15.508507598389398</v>
      </c>
      <c r="CY629" s="188">
        <v>5813</v>
      </c>
      <c r="CZ629" s="61">
        <f t="shared" si="3624"/>
        <v>-13.299625635748058</v>
      </c>
      <c r="DA629" s="188">
        <v>6667</v>
      </c>
      <c r="DB629" s="61">
        <f t="shared" si="3625"/>
        <v>-1.4631983446644958</v>
      </c>
      <c r="DC629" s="188">
        <v>6936</v>
      </c>
      <c r="DD629" s="61">
        <f t="shared" si="3626"/>
        <v>0.81395348837209891</v>
      </c>
      <c r="DE629" s="188">
        <v>8214</v>
      </c>
      <c r="DF629" s="61">
        <f t="shared" si="3627"/>
        <v>26.272098385857024</v>
      </c>
      <c r="DG629" s="188">
        <v>8500</v>
      </c>
      <c r="DH629" s="61">
        <f t="shared" si="3628"/>
        <v>46.223980732840175</v>
      </c>
      <c r="DI629" s="188">
        <v>8886</v>
      </c>
      <c r="DJ629" s="61">
        <f t="shared" si="3629"/>
        <v>33.283335833208348</v>
      </c>
      <c r="DK629" s="188">
        <v>8454</v>
      </c>
      <c r="DL629" s="61">
        <f t="shared" si="3630"/>
        <v>21.885813148788923</v>
      </c>
      <c r="DM629" s="188">
        <v>8149</v>
      </c>
      <c r="DN629" s="130">
        <f t="shared" si="3631"/>
        <v>-0.79133187241294811</v>
      </c>
      <c r="DO629" s="188">
        <v>8372</v>
      </c>
      <c r="DP629" s="130">
        <f t="shared" si="3631"/>
        <v>-1.5058823529411791</v>
      </c>
      <c r="DQ629" s="188">
        <v>8207</v>
      </c>
      <c r="DR629" s="61">
        <f t="shared" si="3632"/>
        <v>-7.641233400855274</v>
      </c>
      <c r="DS629" s="188">
        <v>8156</v>
      </c>
      <c r="DT629" s="130">
        <f t="shared" si="3631"/>
        <v>-3.5249585994795329</v>
      </c>
      <c r="DU629" s="188">
        <v>9150</v>
      </c>
      <c r="DV629" s="130">
        <f t="shared" si="3631"/>
        <v>12.283715793348883</v>
      </c>
      <c r="DW629" s="188">
        <v>8866</v>
      </c>
      <c r="DX629" s="188">
        <v>8866</v>
      </c>
      <c r="DY629" s="188">
        <v>9510</v>
      </c>
      <c r="DZ629" s="130">
        <f t="shared" si="3631"/>
        <v>15.876690629950051</v>
      </c>
      <c r="EA629" s="188">
        <v>8984</v>
      </c>
      <c r="EB629" s="130">
        <f t="shared" si="3633"/>
        <v>10.152035311427166</v>
      </c>
      <c r="EC629" s="188">
        <v>8280</v>
      </c>
      <c r="ED629" s="130">
        <f t="shared" si="3634"/>
        <v>-9.5081967213114797</v>
      </c>
      <c r="EE629" s="188">
        <v>8020</v>
      </c>
      <c r="EF629" s="130">
        <f t="shared" si="3635"/>
        <v>-9.5420708323934118</v>
      </c>
      <c r="EG629" s="188">
        <v>9134</v>
      </c>
      <c r="EH629" s="130">
        <f t="shared" si="3636"/>
        <v>-3.9537329127234511</v>
      </c>
      <c r="EI629" s="188">
        <v>9030</v>
      </c>
      <c r="EJ629" s="130">
        <f t="shared" si="3637"/>
        <v>0.51202137132679848</v>
      </c>
      <c r="EK629" s="188">
        <v>8555</v>
      </c>
      <c r="EL629" s="130">
        <f t="shared" si="3638"/>
        <v>3.3212560386473466</v>
      </c>
      <c r="EM629" s="188">
        <v>8543</v>
      </c>
      <c r="EN629" s="130">
        <f t="shared" si="3639"/>
        <v>6.5211970074813053</v>
      </c>
      <c r="EO629" s="188">
        <v>8403</v>
      </c>
      <c r="EP629" s="130">
        <f t="shared" si="3640"/>
        <v>-8.0030654696737429</v>
      </c>
      <c r="EQ629" s="188">
        <f t="shared" ref="EQ629" si="3664">EO629*1.024</f>
        <v>8604.6720000000005</v>
      </c>
      <c r="ER629" s="130">
        <f t="shared" si="3642"/>
        <v>-4.710166112956804</v>
      </c>
      <c r="ES629" s="188">
        <f t="shared" ref="ES629" si="3665">EQ629*1.024</f>
        <v>8811.1841280000008</v>
      </c>
      <c r="ET629" s="130">
        <f t="shared" si="3644"/>
        <v>2.9945543892460735</v>
      </c>
      <c r="EU629" s="188">
        <f t="shared" ref="EU629" si="3666">ES629*1.024</f>
        <v>9022.6525470720007</v>
      </c>
      <c r="EV629" s="130">
        <f t="shared" si="3646"/>
        <v>5.614568033149947</v>
      </c>
      <c r="EW629" s="188">
        <f t="shared" ref="EW629" si="3667">EU629*1.024</f>
        <v>9239.196208201729</v>
      </c>
      <c r="EX629" s="130">
        <f t="shared" si="3648"/>
        <v>9.95116277760002</v>
      </c>
      <c r="EY629" s="356"/>
      <c r="EZ629" s="558"/>
      <c r="FA629" s="356"/>
      <c r="FB629" s="365">
        <v>1964.4</v>
      </c>
      <c r="FC629" s="71"/>
      <c r="FD629" s="74">
        <v>2800.3</v>
      </c>
      <c r="FE629" s="70">
        <f t="shared" si="3649"/>
        <v>42.552433312970891</v>
      </c>
      <c r="FF629" s="399">
        <f>I629</f>
        <v>3070.5</v>
      </c>
      <c r="FG629" s="70">
        <f t="shared" si="3649"/>
        <v>9.6489661821947514</v>
      </c>
      <c r="FH629" s="399">
        <f>Q629</f>
        <v>2885.3</v>
      </c>
      <c r="FI629" s="70">
        <f t="shared" si="3649"/>
        <v>-6.0315909460999739</v>
      </c>
      <c r="FJ629" s="399">
        <f>Y629</f>
        <v>2971</v>
      </c>
      <c r="FK629" s="70">
        <f t="shared" si="3649"/>
        <v>2.9702283991265954</v>
      </c>
      <c r="FL629" s="399">
        <f>AG629</f>
        <v>3147.1</v>
      </c>
      <c r="FM629" s="61">
        <f t="shared" si="3650"/>
        <v>5.9272972063278306</v>
      </c>
      <c r="FN629" s="399">
        <f>+AO629</f>
        <v>3445</v>
      </c>
      <c r="FO629" s="61">
        <f t="shared" si="3651"/>
        <v>9.465857456070669</v>
      </c>
      <c r="FP629" s="400">
        <f>+AW629</f>
        <v>5163.2</v>
      </c>
      <c r="FQ629" s="61">
        <f t="shared" si="3354"/>
        <v>78.948462898138814</v>
      </c>
      <c r="FR629" s="400">
        <f>BE629</f>
        <v>8420.4</v>
      </c>
      <c r="FS629" s="61">
        <f t="shared" si="3652"/>
        <v>63.084908583823982</v>
      </c>
      <c r="FT629" s="400">
        <f>BM629</f>
        <v>9579.7999999999993</v>
      </c>
      <c r="FU629" s="61">
        <f t="shared" si="3653"/>
        <v>13.768942093012203</v>
      </c>
      <c r="FV629" s="400">
        <f>BU629</f>
        <v>11936.8</v>
      </c>
      <c r="FW629" s="61">
        <f t="shared" si="3654"/>
        <v>24.603853942671037</v>
      </c>
      <c r="FX629" s="75">
        <f>CC629</f>
        <v>9509.6</v>
      </c>
      <c r="FY629" s="61">
        <f t="shared" si="3655"/>
        <v>-20.33375779103277</v>
      </c>
      <c r="FZ629" s="75">
        <f>CK629</f>
        <v>8930.2999999999993</v>
      </c>
      <c r="GA629" s="61">
        <f t="shared" si="3656"/>
        <v>-6.0917388744006207</v>
      </c>
      <c r="GB629" s="75">
        <f>CS629</f>
        <v>6766</v>
      </c>
      <c r="GC629" s="61">
        <f t="shared" si="3657"/>
        <v>-24.235468013392602</v>
      </c>
      <c r="GD629" s="75">
        <f>DA629</f>
        <v>6667</v>
      </c>
      <c r="GE629" s="61">
        <f t="shared" si="3658"/>
        <v>-1.4631983446644958</v>
      </c>
      <c r="GF629" s="75">
        <f>DI629</f>
        <v>8886</v>
      </c>
      <c r="GG629" s="61">
        <f t="shared" si="3658"/>
        <v>33.283335833208348</v>
      </c>
      <c r="GH629" s="75">
        <f>DQ629</f>
        <v>8207</v>
      </c>
      <c r="GI629" s="61">
        <f t="shared" si="3658"/>
        <v>-7.641233400855274</v>
      </c>
      <c r="GJ629" s="75">
        <f>DY629</f>
        <v>9510</v>
      </c>
      <c r="GK629" s="61">
        <f t="shared" si="3658"/>
        <v>15.876690629950051</v>
      </c>
      <c r="GL629" s="75">
        <f>EG629</f>
        <v>9134</v>
      </c>
      <c r="GM629" s="61">
        <f t="shared" si="3658"/>
        <v>-3.9537329127234511</v>
      </c>
      <c r="GN629" s="75">
        <f>EO629</f>
        <v>8403</v>
      </c>
      <c r="GO629" s="61">
        <f t="shared" si="3658"/>
        <v>-8.0030654696737429</v>
      </c>
      <c r="GP629" s="75">
        <f>EW629</f>
        <v>9239.196208201729</v>
      </c>
      <c r="GQ629" s="61">
        <f t="shared" si="3658"/>
        <v>9.95116277760002</v>
      </c>
      <c r="GR629" s="188">
        <f>GP629*1.1</f>
        <v>10163.115829021903</v>
      </c>
      <c r="GS629" s="61">
        <f t="shared" si="3658"/>
        <v>10.000000000000009</v>
      </c>
      <c r="GT629" s="188">
        <f>GR629*1.1</f>
        <v>11179.427411924094</v>
      </c>
      <c r="GU629" s="61">
        <f t="shared" si="3658"/>
        <v>10.000000000000009</v>
      </c>
      <c r="GV629" s="188">
        <f>GT629*1.1</f>
        <v>12297.370153116504</v>
      </c>
      <c r="GW629" s="61">
        <f t="shared" si="3658"/>
        <v>10.000000000000009</v>
      </c>
      <c r="GX629" s="188">
        <f>GV629*1.1</f>
        <v>13527.107168428156</v>
      </c>
      <c r="GY629" s="61">
        <f t="shared" si="3659"/>
        <v>10.000000000000009</v>
      </c>
      <c r="GZ629" s="61">
        <f t="shared" si="3580"/>
        <v>9.9902308204583115</v>
      </c>
      <c r="HA629" s="61"/>
      <c r="HB629" s="452"/>
      <c r="HC629"/>
      <c r="HD629"/>
      <c r="HE629"/>
      <c r="HF629"/>
      <c r="HG629"/>
      <c r="HH629"/>
    </row>
    <row r="630" spans="1:216" s="5" customFormat="1" ht="12.75" customHeight="1" x14ac:dyDescent="0.2">
      <c r="A630" s="5" t="s">
        <v>264</v>
      </c>
      <c r="B630" s="7" t="s">
        <v>264</v>
      </c>
      <c r="C630" s="188">
        <v>1349.6</v>
      </c>
      <c r="D630" s="70"/>
      <c r="E630" s="188">
        <v>1335.4</v>
      </c>
      <c r="F630" s="71"/>
      <c r="G630" s="188">
        <v>1296.5999999999999</v>
      </c>
      <c r="H630" s="71"/>
      <c r="I630" s="188">
        <v>1286</v>
      </c>
      <c r="J630" s="61"/>
      <c r="K630" s="188">
        <v>1274.5</v>
      </c>
      <c r="L630" s="61">
        <f t="shared" si="3581"/>
        <v>-5.5646117368108978</v>
      </c>
      <c r="M630" s="188">
        <v>1263.5999999999999</v>
      </c>
      <c r="N630" s="61">
        <f t="shared" si="3582"/>
        <v>-5.3766661674404803</v>
      </c>
      <c r="O630" s="188">
        <v>1253.2</v>
      </c>
      <c r="P630" s="61">
        <f t="shared" si="3583"/>
        <v>-3.3472157951565551</v>
      </c>
      <c r="Q630" s="188">
        <v>1175.0999999999999</v>
      </c>
      <c r="R630" s="61">
        <f t="shared" si="3584"/>
        <v>-8.6236391912908328</v>
      </c>
      <c r="S630" s="188">
        <v>1211.5</v>
      </c>
      <c r="T630" s="61">
        <f t="shared" si="3585"/>
        <v>-4.943114947038052</v>
      </c>
      <c r="U630" s="188">
        <v>1212.4000000000001</v>
      </c>
      <c r="V630" s="61">
        <f t="shared" si="3586"/>
        <v>-4.0519151630262655</v>
      </c>
      <c r="W630" s="188">
        <v>1232.7</v>
      </c>
      <c r="X630" s="61">
        <f t="shared" si="3587"/>
        <v>-1.6358123204596287</v>
      </c>
      <c r="Y630" s="188">
        <v>1233.2</v>
      </c>
      <c r="Z630" s="61">
        <f t="shared" si="3588"/>
        <v>4.9442600629733713</v>
      </c>
      <c r="AA630" s="188">
        <v>1233</v>
      </c>
      <c r="AB630" s="61">
        <f t="shared" si="3589"/>
        <v>1.7746595130004206</v>
      </c>
      <c r="AC630" s="188">
        <v>1233.5999999999999</v>
      </c>
      <c r="AD630" s="61">
        <f t="shared" si="3590"/>
        <v>1.7485978225008081</v>
      </c>
      <c r="AE630" s="188">
        <v>1233.7</v>
      </c>
      <c r="AF630" s="61">
        <f t="shared" si="3591"/>
        <v>8.1122738703665043E-2</v>
      </c>
      <c r="AG630" s="188">
        <v>1234.7</v>
      </c>
      <c r="AH630" s="61">
        <f t="shared" si="3592"/>
        <v>0.12163477132662859</v>
      </c>
      <c r="AI630" s="188">
        <v>1235.2</v>
      </c>
      <c r="AJ630" s="61">
        <f t="shared" si="3593"/>
        <v>0.17842660178426506</v>
      </c>
      <c r="AK630" s="188">
        <v>1235</v>
      </c>
      <c r="AL630" s="61">
        <f t="shared" si="3594"/>
        <v>0.11348897535667923</v>
      </c>
      <c r="AM630" s="188">
        <v>1195</v>
      </c>
      <c r="AN630" s="61">
        <f t="shared" si="3595"/>
        <v>-3.1369052443868117</v>
      </c>
      <c r="AO630" s="188">
        <v>1195.9000000000001</v>
      </c>
      <c r="AP630" s="61">
        <f t="shared" si="3596"/>
        <v>-3.1424637563780666</v>
      </c>
      <c r="AQ630" s="188">
        <v>1195.7</v>
      </c>
      <c r="AR630" s="61">
        <f t="shared" si="3597"/>
        <v>-3.1978626943005128</v>
      </c>
      <c r="AS630" s="188">
        <v>1194.8</v>
      </c>
      <c r="AT630" s="61">
        <f t="shared" si="3598"/>
        <v>-3.2550607287449407</v>
      </c>
      <c r="AU630" s="188">
        <v>1194.5999999999999</v>
      </c>
      <c r="AV630" s="61">
        <f t="shared" si="3599"/>
        <v>-3.3472803347289748E-2</v>
      </c>
      <c r="AW630" s="188">
        <v>1194.2</v>
      </c>
      <c r="AX630" s="61">
        <f t="shared" si="3600"/>
        <v>-0.14215235387574632</v>
      </c>
      <c r="AY630" s="188">
        <v>1194.4000000000001</v>
      </c>
      <c r="AZ630" s="61">
        <f t="shared" si="3601"/>
        <v>-0.10872292381031157</v>
      </c>
      <c r="BA630" s="188">
        <v>4502.6000000000004</v>
      </c>
      <c r="BB630" s="61" t="str">
        <f t="shared" si="3344"/>
        <v>NM</v>
      </c>
      <c r="BC630" s="188">
        <v>4498</v>
      </c>
      <c r="BD630" s="61" t="str">
        <f t="shared" si="3345"/>
        <v>NM</v>
      </c>
      <c r="BE630" s="188">
        <v>4499.5</v>
      </c>
      <c r="BF630" s="61" t="str">
        <f t="shared" si="3346"/>
        <v>NM</v>
      </c>
      <c r="BG630" s="188">
        <v>4124.8</v>
      </c>
      <c r="BH630" s="61" t="str">
        <f t="shared" si="3602"/>
        <v>NM</v>
      </c>
      <c r="BI630" s="188">
        <v>4159</v>
      </c>
      <c r="BJ630" s="61">
        <f t="shared" si="3603"/>
        <v>-7.6311464487185283</v>
      </c>
      <c r="BK630" s="188">
        <v>4159.3</v>
      </c>
      <c r="BL630" s="61">
        <f t="shared" si="3604"/>
        <v>-7.5300133392618873</v>
      </c>
      <c r="BM630" s="188">
        <v>4143.7</v>
      </c>
      <c r="BN630" s="61">
        <f t="shared" si="3605"/>
        <v>-7.9075452828092025</v>
      </c>
      <c r="BO630" s="188">
        <v>4128.3999999999996</v>
      </c>
      <c r="BP630" s="61">
        <f t="shared" si="3606"/>
        <v>8.7276958882842592E-2</v>
      </c>
      <c r="BQ630" s="188">
        <v>4045</v>
      </c>
      <c r="BR630" s="61">
        <f t="shared" si="3607"/>
        <v>-2.7410435200769467</v>
      </c>
      <c r="BS630" s="188">
        <v>4041.3</v>
      </c>
      <c r="BT630" s="61">
        <f t="shared" si="3608"/>
        <v>-2.837015844012214</v>
      </c>
      <c r="BU630" s="188">
        <v>3944.1</v>
      </c>
      <c r="BV630" s="61">
        <f t="shared" si="3609"/>
        <v>-4.8169510340999588</v>
      </c>
      <c r="BW630" s="188">
        <v>3344.1</v>
      </c>
      <c r="BX630" s="61">
        <f t="shared" si="3610"/>
        <v>-18.997674643929852</v>
      </c>
      <c r="BY630" s="188">
        <v>3344.1</v>
      </c>
      <c r="BZ630" s="61">
        <f t="shared" si="3611"/>
        <v>-17.327564894932014</v>
      </c>
      <c r="CA630" s="188">
        <v>3096.4</v>
      </c>
      <c r="CB630" s="61">
        <f t="shared" si="3612"/>
        <v>-23.381090243238567</v>
      </c>
      <c r="CC630" s="188">
        <v>3013.5</v>
      </c>
      <c r="CD630" s="61">
        <f t="shared" si="3613"/>
        <v>-23.59473644177379</v>
      </c>
      <c r="CE630" s="188">
        <v>3013.5</v>
      </c>
      <c r="CF630" s="61">
        <f t="shared" si="3614"/>
        <v>-9.8860680003588381</v>
      </c>
      <c r="CG630" s="188">
        <v>3013.5</v>
      </c>
      <c r="CH630" s="61">
        <f t="shared" si="3615"/>
        <v>-9.8860680003588381</v>
      </c>
      <c r="CI630" s="188">
        <v>3019.4</v>
      </c>
      <c r="CJ630" s="61">
        <f t="shared" si="3616"/>
        <v>-2.4867588166903487</v>
      </c>
      <c r="CK630" s="188">
        <v>3019.4</v>
      </c>
      <c r="CL630" s="61">
        <f t="shared" si="3617"/>
        <v>0.1957856313256956</v>
      </c>
      <c r="CM630" s="188">
        <v>3019.4</v>
      </c>
      <c r="CN630" s="61">
        <f t="shared" si="3618"/>
        <v>0.1957856313256956</v>
      </c>
      <c r="CO630" s="188">
        <v>3019.4</v>
      </c>
      <c r="CP630" s="61">
        <f t="shared" si="3619"/>
        <v>0.1957856313256956</v>
      </c>
      <c r="CQ630" s="188">
        <v>3019.4</v>
      </c>
      <c r="CR630" s="61">
        <f t="shared" si="3620"/>
        <v>0</v>
      </c>
      <c r="CS630" s="188">
        <v>2273</v>
      </c>
      <c r="CT630" s="61">
        <f t="shared" si="3621"/>
        <v>-24.720143074783074</v>
      </c>
      <c r="CU630" s="188">
        <v>2273</v>
      </c>
      <c r="CV630" s="61">
        <f t="shared" si="3622"/>
        <v>-24.720143074783074</v>
      </c>
      <c r="CW630" s="188">
        <v>2273</v>
      </c>
      <c r="CX630" s="61">
        <f t="shared" si="3623"/>
        <v>-24.720143074783074</v>
      </c>
      <c r="CY630" s="188">
        <v>2273</v>
      </c>
      <c r="CZ630" s="61">
        <f t="shared" si="3624"/>
        <v>-24.720143074783074</v>
      </c>
      <c r="DA630" s="188">
        <v>2273</v>
      </c>
      <c r="DB630" s="61">
        <f t="shared" si="3625"/>
        <v>0</v>
      </c>
      <c r="DC630" s="188">
        <v>2273</v>
      </c>
      <c r="DD630" s="61">
        <f t="shared" si="3626"/>
        <v>0</v>
      </c>
      <c r="DE630" s="188">
        <v>2273</v>
      </c>
      <c r="DF630" s="61">
        <f t="shared" si="3627"/>
        <v>0</v>
      </c>
      <c r="DG630" s="188">
        <v>2273</v>
      </c>
      <c r="DH630" s="61">
        <f t="shared" si="3628"/>
        <v>0</v>
      </c>
      <c r="DI630" s="188">
        <v>2273</v>
      </c>
      <c r="DJ630" s="61">
        <f t="shared" si="3629"/>
        <v>0</v>
      </c>
      <c r="DK630" s="188">
        <v>2273</v>
      </c>
      <c r="DL630" s="61">
        <f t="shared" si="3630"/>
        <v>0</v>
      </c>
      <c r="DM630" s="188">
        <v>2273</v>
      </c>
      <c r="DN630" s="130">
        <f t="shared" si="3631"/>
        <v>0</v>
      </c>
      <c r="DO630" s="188">
        <v>2273</v>
      </c>
      <c r="DP630" s="130">
        <f t="shared" si="3631"/>
        <v>0</v>
      </c>
      <c r="DQ630" s="188">
        <v>2273</v>
      </c>
      <c r="DR630" s="61">
        <f t="shared" si="3632"/>
        <v>0</v>
      </c>
      <c r="DS630" s="188">
        <v>2273</v>
      </c>
      <c r="DT630" s="130">
        <f t="shared" si="3631"/>
        <v>0</v>
      </c>
      <c r="DU630" s="188">
        <v>2273</v>
      </c>
      <c r="DV630" s="130">
        <f t="shared" si="3631"/>
        <v>0</v>
      </c>
      <c r="DW630" s="188">
        <v>2273</v>
      </c>
      <c r="DX630" s="188">
        <v>2273</v>
      </c>
      <c r="DY630" s="188">
        <v>2273</v>
      </c>
      <c r="DZ630" s="130">
        <f t="shared" si="3631"/>
        <v>0</v>
      </c>
      <c r="EA630" s="188">
        <v>2273</v>
      </c>
      <c r="EB630" s="130">
        <f t="shared" si="3633"/>
        <v>0</v>
      </c>
      <c r="EC630" s="188">
        <v>2273</v>
      </c>
      <c r="ED630" s="130">
        <f t="shared" si="3634"/>
        <v>0</v>
      </c>
      <c r="EE630" s="188">
        <v>2273</v>
      </c>
      <c r="EF630" s="130">
        <f t="shared" si="3635"/>
        <v>0</v>
      </c>
      <c r="EG630" s="188">
        <v>2273</v>
      </c>
      <c r="EH630" s="130">
        <f t="shared" si="3636"/>
        <v>0</v>
      </c>
      <c r="EI630" s="188">
        <v>2273</v>
      </c>
      <c r="EJ630" s="130">
        <f t="shared" si="3637"/>
        <v>0</v>
      </c>
      <c r="EK630" s="188">
        <v>2273</v>
      </c>
      <c r="EL630" s="130">
        <f t="shared" si="3638"/>
        <v>0</v>
      </c>
      <c r="EM630" s="188">
        <v>2273</v>
      </c>
      <c r="EN630" s="130">
        <f t="shared" si="3639"/>
        <v>0</v>
      </c>
      <c r="EO630" s="188">
        <v>1368</v>
      </c>
      <c r="EP630" s="130">
        <f t="shared" si="3640"/>
        <v>-39.815222173339201</v>
      </c>
      <c r="EQ630" s="188">
        <f t="shared" ref="EQ630" si="3668">EO630</f>
        <v>1368</v>
      </c>
      <c r="ER630" s="130">
        <f t="shared" si="3642"/>
        <v>-39.815222173339201</v>
      </c>
      <c r="ES630" s="188">
        <f t="shared" ref="ES630" si="3669">EQ630</f>
        <v>1368</v>
      </c>
      <c r="ET630" s="130">
        <f t="shared" si="3644"/>
        <v>-39.815222173339201</v>
      </c>
      <c r="EU630" s="188">
        <f t="shared" ref="EU630" si="3670">ES630</f>
        <v>1368</v>
      </c>
      <c r="EV630" s="130">
        <f t="shared" si="3646"/>
        <v>-39.815222173339201</v>
      </c>
      <c r="EW630" s="188">
        <f t="shared" ref="EW630" si="3671">EU630</f>
        <v>1368</v>
      </c>
      <c r="EX630" s="130">
        <f t="shared" si="3648"/>
        <v>0</v>
      </c>
      <c r="EY630" s="356"/>
      <c r="EZ630" s="558"/>
      <c r="FA630" s="356"/>
      <c r="FB630" s="365">
        <v>1484.3</v>
      </c>
      <c r="FC630" s="71"/>
      <c r="FD630" s="74">
        <v>1423</v>
      </c>
      <c r="FE630" s="70">
        <f t="shared" si="3649"/>
        <v>-4.1298928787980804</v>
      </c>
      <c r="FF630" s="399">
        <f>I630</f>
        <v>1286</v>
      </c>
      <c r="FG630" s="70">
        <f t="shared" si="3649"/>
        <v>-9.6275474349964867</v>
      </c>
      <c r="FH630" s="399">
        <f>Q630</f>
        <v>1175.0999999999999</v>
      </c>
      <c r="FI630" s="70">
        <f t="shared" si="3649"/>
        <v>-8.6236391912908328</v>
      </c>
      <c r="FJ630" s="399">
        <f>Y630</f>
        <v>1233.2</v>
      </c>
      <c r="FK630" s="70">
        <f t="shared" si="3649"/>
        <v>4.9442600629733713</v>
      </c>
      <c r="FL630" s="399">
        <f>AG630</f>
        <v>1234.7</v>
      </c>
      <c r="FM630" s="61">
        <f t="shared" si="3650"/>
        <v>0.12163477132662859</v>
      </c>
      <c r="FN630" s="399">
        <f>+AO630</f>
        <v>1195.9000000000001</v>
      </c>
      <c r="FO630" s="61">
        <f t="shared" si="3651"/>
        <v>-3.1424637563780666</v>
      </c>
      <c r="FP630" s="400">
        <f>+AW630</f>
        <v>1194.2</v>
      </c>
      <c r="FQ630" s="61">
        <f t="shared" si="3354"/>
        <v>1.6253935835248257</v>
      </c>
      <c r="FR630" s="400">
        <f>BE630</f>
        <v>4499.5</v>
      </c>
      <c r="FS630" s="61" t="str">
        <f t="shared" si="3652"/>
        <v>NM</v>
      </c>
      <c r="FT630" s="400">
        <f>BM630</f>
        <v>4143.7</v>
      </c>
      <c r="FU630" s="61">
        <f t="shared" si="3653"/>
        <v>-7.9075452828092025</v>
      </c>
      <c r="FV630" s="400">
        <f>BU630</f>
        <v>3944.1</v>
      </c>
      <c r="FW630" s="61">
        <f t="shared" si="3654"/>
        <v>-4.8169510340999588</v>
      </c>
      <c r="FX630" s="75">
        <f>CC630</f>
        <v>3013.5</v>
      </c>
      <c r="FY630" s="61">
        <f t="shared" si="3655"/>
        <v>-23.59473644177379</v>
      </c>
      <c r="FZ630" s="75">
        <f>CK630</f>
        <v>3019.4</v>
      </c>
      <c r="GA630" s="61">
        <f t="shared" si="3656"/>
        <v>0.1957856313256956</v>
      </c>
      <c r="GB630" s="75">
        <f>CS630</f>
        <v>2273</v>
      </c>
      <c r="GC630" s="61">
        <f t="shared" si="3657"/>
        <v>-24.720143074783074</v>
      </c>
      <c r="GD630" s="75">
        <f>DA630</f>
        <v>2273</v>
      </c>
      <c r="GE630" s="61">
        <f t="shared" si="3658"/>
        <v>0</v>
      </c>
      <c r="GF630" s="75">
        <f>DI630</f>
        <v>2273</v>
      </c>
      <c r="GG630" s="61">
        <f t="shared" si="3658"/>
        <v>0</v>
      </c>
      <c r="GH630" s="75">
        <f>DQ630</f>
        <v>2273</v>
      </c>
      <c r="GI630" s="61">
        <f t="shared" si="3658"/>
        <v>0</v>
      </c>
      <c r="GJ630" s="75">
        <f>DY630</f>
        <v>2273</v>
      </c>
      <c r="GK630" s="61">
        <f t="shared" si="3658"/>
        <v>0</v>
      </c>
      <c r="GL630" s="75">
        <f>EG630</f>
        <v>2273</v>
      </c>
      <c r="GM630" s="61">
        <f t="shared" si="3658"/>
        <v>0</v>
      </c>
      <c r="GN630" s="75">
        <f>EO630</f>
        <v>1368</v>
      </c>
      <c r="GO630" s="61">
        <f t="shared" si="3658"/>
        <v>-39.815222173339201</v>
      </c>
      <c r="GP630" s="75">
        <f>EW630</f>
        <v>1368</v>
      </c>
      <c r="GQ630" s="61">
        <f t="shared" si="3658"/>
        <v>0</v>
      </c>
      <c r="GR630" s="188">
        <f>GP630*0.96</f>
        <v>1313.28</v>
      </c>
      <c r="GS630" s="61">
        <f t="shared" si="3658"/>
        <v>-4.0000000000000036</v>
      </c>
      <c r="GT630" s="188">
        <f>GR630*0.96</f>
        <v>1260.7487999999998</v>
      </c>
      <c r="GU630" s="61">
        <f t="shared" si="3658"/>
        <v>-4.0000000000000142</v>
      </c>
      <c r="GV630" s="188">
        <f>GT630*0.96</f>
        <v>1210.3188479999999</v>
      </c>
      <c r="GW630" s="61">
        <f t="shared" si="3658"/>
        <v>-3.9999999999999925</v>
      </c>
      <c r="GX630" s="188">
        <f>GV630*0.96</f>
        <v>1161.9060940799998</v>
      </c>
      <c r="GY630" s="61">
        <f t="shared" si="3659"/>
        <v>-4.0000000000000142</v>
      </c>
      <c r="GZ630" s="61">
        <f t="shared" si="3580"/>
        <v>-3.2130094242720175</v>
      </c>
      <c r="HA630" s="61"/>
      <c r="HB630" s="452"/>
      <c r="HC630"/>
      <c r="HD630"/>
      <c r="HE630"/>
      <c r="HF630"/>
      <c r="HG630"/>
      <c r="HH630"/>
    </row>
    <row r="631" spans="1:216" s="5" customFormat="1" ht="12.75" customHeight="1" x14ac:dyDescent="0.2">
      <c r="A631" s="8"/>
      <c r="B631" s="7" t="s">
        <v>165</v>
      </c>
      <c r="C631" s="91">
        <f>C632-C627-C628-C629-C630</f>
        <v>9438.0000000000073</v>
      </c>
      <c r="D631" s="70"/>
      <c r="E631" s="91">
        <f>E632-E627-E628-E629-E630</f>
        <v>9562.800000000012</v>
      </c>
      <c r="F631" s="71"/>
      <c r="G631" s="91">
        <f>G632-G627-G628-G629-G630</f>
        <v>9182.2000000000098</v>
      </c>
      <c r="H631" s="71"/>
      <c r="I631" s="91">
        <f>I632-I627-I628-I629-I630</f>
        <v>9552.8000000000029</v>
      </c>
      <c r="J631" s="61"/>
      <c r="K631" s="91">
        <f>K632-K627-K628-K629-K630</f>
        <v>9634.6</v>
      </c>
      <c r="L631" s="61">
        <f t="shared" si="3581"/>
        <v>2.0830684467047389</v>
      </c>
      <c r="M631" s="91">
        <f>M632-M627-M628-M629-M630</f>
        <v>9102.2999999999993</v>
      </c>
      <c r="N631" s="61">
        <f t="shared" si="3582"/>
        <v>-4.8155351988958479</v>
      </c>
      <c r="O631" s="91">
        <f>O632-O627-O628-O629-O630</f>
        <v>9597.7999999999956</v>
      </c>
      <c r="P631" s="61">
        <f t="shared" si="3583"/>
        <v>4.5261484175904032</v>
      </c>
      <c r="Q631" s="91">
        <f>Q632-Q627-Q628-Q629-Q630</f>
        <v>13035.499999999995</v>
      </c>
      <c r="R631" s="61">
        <f t="shared" si="3584"/>
        <v>36.457373754291837</v>
      </c>
      <c r="S631" s="91">
        <f>S632-S627-S628-S629-S630</f>
        <v>12240.199999999999</v>
      </c>
      <c r="T631" s="61">
        <f t="shared" si="3585"/>
        <v>27.044194880949888</v>
      </c>
      <c r="U631" s="91">
        <f>U632-U627-U628-U629-U630</f>
        <v>13060.5</v>
      </c>
      <c r="V631" s="61">
        <f t="shared" si="3586"/>
        <v>43.485712402359852</v>
      </c>
      <c r="W631" s="91">
        <f>W632-W627-W628-W629-W630</f>
        <v>12903.199999999997</v>
      </c>
      <c r="X631" s="61">
        <f t="shared" si="3587"/>
        <v>34.439142303444584</v>
      </c>
      <c r="Y631" s="91">
        <f>Y632-Y627-Y628-Y629-Y630</f>
        <v>12738.499999999989</v>
      </c>
      <c r="Z631" s="61">
        <f t="shared" si="3588"/>
        <v>-2.2783936174293751</v>
      </c>
      <c r="AA631" s="91">
        <f>AA632-AA627-AA628-AA629-AA630</f>
        <v>12518.900000000001</v>
      </c>
      <c r="AB631" s="61">
        <f t="shared" si="3589"/>
        <v>2.2769235796801013</v>
      </c>
      <c r="AC631" s="91">
        <f>AC632-AC627-AC628-AC629-AC630</f>
        <v>13067.7</v>
      </c>
      <c r="AD631" s="61">
        <f t="shared" si="3590"/>
        <v>5.5128057884457071E-2</v>
      </c>
      <c r="AE631" s="91">
        <f>AE632-AE627-AE628-AE629-AE630</f>
        <v>12980.099999999989</v>
      </c>
      <c r="AF631" s="61">
        <f t="shared" si="3591"/>
        <v>0.59597619195232987</v>
      </c>
      <c r="AG631" s="91">
        <f>AG632-AG627-AG628-AG629-AG630</f>
        <v>13020.299999999997</v>
      </c>
      <c r="AH631" s="61">
        <f t="shared" si="3592"/>
        <v>2.2121913883111022</v>
      </c>
      <c r="AI631" s="91">
        <f>AI632-AI627-AI628-AI629-AI630</f>
        <v>13576.099999999995</v>
      </c>
      <c r="AJ631" s="61">
        <f t="shared" si="3593"/>
        <v>8.4448314149006229</v>
      </c>
      <c r="AK631" s="91">
        <f>AK632-AK627-AK628-AK629-AK630</f>
        <v>12855.299999999997</v>
      </c>
      <c r="AL631" s="61">
        <f t="shared" si="3594"/>
        <v>-1.6253816662458065</v>
      </c>
      <c r="AM631" s="91">
        <f>AM632-AM627-AM628-AM629-AM630</f>
        <v>12270.8</v>
      </c>
      <c r="AN631" s="61">
        <f t="shared" si="3595"/>
        <v>-5.4645187633376562</v>
      </c>
      <c r="AO631" s="91">
        <f>AO632-AO627-AO628-AO629-AO630</f>
        <v>11866.800000000005</v>
      </c>
      <c r="AP631" s="61">
        <f t="shared" si="3596"/>
        <v>-8.8592428745880909</v>
      </c>
      <c r="AQ631" s="91">
        <f>AQ632-AQ627-AQ628-AQ629-AQ630</f>
        <v>12074.400000000001</v>
      </c>
      <c r="AR631" s="61">
        <f t="shared" si="3597"/>
        <v>-11.061350461472696</v>
      </c>
      <c r="AS631" s="91">
        <f>AS632-AS627-AS628-AS629-AS630</f>
        <v>11058.999999999998</v>
      </c>
      <c r="AT631" s="61">
        <f t="shared" si="3598"/>
        <v>-13.973225051146221</v>
      </c>
      <c r="AU631" s="91">
        <f>AU632-AU627-AU628-AU629-AU630</f>
        <v>11090.099999999997</v>
      </c>
      <c r="AV631" s="61">
        <f t="shared" si="3599"/>
        <v>-9.6220295335267654</v>
      </c>
      <c r="AW631" s="91">
        <f>AW632-AW627-AW628-AW629-AW630</f>
        <v>11587.200000000004</v>
      </c>
      <c r="AX631" s="61">
        <f t="shared" si="3600"/>
        <v>-2.3561533016483005</v>
      </c>
      <c r="AY631" s="91">
        <f>AY632-AY627-AY628-AY629-AY630</f>
        <v>11286.500000000005</v>
      </c>
      <c r="AZ631" s="61">
        <f t="shared" si="3601"/>
        <v>-6.5253760021201535</v>
      </c>
      <c r="BA631" s="91">
        <f>BA632-BA627-BA628-BA629-BA630</f>
        <v>13739.999999999998</v>
      </c>
      <c r="BB631" s="61">
        <f t="shared" si="3344"/>
        <v>24.242698254815089</v>
      </c>
      <c r="BC631" s="91">
        <f>BC632-BC627-BC628-BC629-BC630</f>
        <v>13092.400000000001</v>
      </c>
      <c r="BD631" s="61">
        <f t="shared" si="3345"/>
        <v>18.054841705665471</v>
      </c>
      <c r="BE631" s="91">
        <f>BE632-BE627-BE628-BE629-BE630</f>
        <v>13552.500000000007</v>
      </c>
      <c r="BF631" s="61">
        <f t="shared" si="3346"/>
        <v>16.960956917978475</v>
      </c>
      <c r="BG631" s="91">
        <f>BG632-BG627-BG628-BG629-BG630</f>
        <v>13705.799999999988</v>
      </c>
      <c r="BH631" s="61">
        <f t="shared" si="3602"/>
        <v>21.435343109023886</v>
      </c>
      <c r="BI631" s="91">
        <f>BI632-BI627-BI628-BI629-BI630</f>
        <v>14060.30000000001</v>
      </c>
      <c r="BJ631" s="61">
        <f t="shared" si="3603"/>
        <v>2.3311499272198777</v>
      </c>
      <c r="BK631" s="91">
        <f>BK632-BK627-BK628-BK629-BK630</f>
        <v>14304.599999999995</v>
      </c>
      <c r="BL631" s="61">
        <f t="shared" si="3604"/>
        <v>9.2588066359108545</v>
      </c>
      <c r="BM631" s="91">
        <f>BM632-BM627-BM628-BM629-BM630</f>
        <v>14678.699999999997</v>
      </c>
      <c r="BN631" s="61">
        <f t="shared" si="3605"/>
        <v>8.3099059214166271</v>
      </c>
      <c r="BO631" s="91">
        <f>BO632-BO627-BO628-BO629-BO630</f>
        <v>14966.900000000003</v>
      </c>
      <c r="BP631" s="61">
        <f t="shared" si="3606"/>
        <v>9.2012140845482584</v>
      </c>
      <c r="BQ631" s="91">
        <f>BQ632-BQ627-BQ628-BQ629-BQ630</f>
        <v>14131.300000000025</v>
      </c>
      <c r="BR631" s="61">
        <f t="shared" si="3607"/>
        <v>0.50496788830973749</v>
      </c>
      <c r="BS631" s="91">
        <f>BS632-BS627-BS628-BS629-BS630</f>
        <v>14649.500000000015</v>
      </c>
      <c r="BT631" s="61">
        <f t="shared" si="3608"/>
        <v>2.4111125092628916</v>
      </c>
      <c r="BU631" s="91">
        <f>BU632-BU627-BU628-BU629-BU630</f>
        <v>19281.399999999998</v>
      </c>
      <c r="BV631" s="61">
        <f t="shared" si="3609"/>
        <v>31.356319020076718</v>
      </c>
      <c r="BW631" s="91">
        <f>BW632-BW627-BW628-BW629-BW630</f>
        <v>18519.199999999993</v>
      </c>
      <c r="BX631" s="61">
        <f t="shared" si="3610"/>
        <v>23.73437385163253</v>
      </c>
      <c r="BY631" s="91">
        <f>BY632-BY627-BY628-BY629-BY630</f>
        <v>21605.399999999987</v>
      </c>
      <c r="BZ631" s="61">
        <f t="shared" si="3611"/>
        <v>52.890392249828032</v>
      </c>
      <c r="CA631" s="91">
        <f>CA632-CA627-CA628-CA629-CA630</f>
        <v>22916.800000000014</v>
      </c>
      <c r="CB631" s="61">
        <f t="shared" si="3612"/>
        <v>56.434007986620635</v>
      </c>
      <c r="CC631" s="91">
        <f>CC632-CC627-CC628-CC629-CC630</f>
        <v>15492.099999999984</v>
      </c>
      <c r="CD631" s="61">
        <f t="shared" si="3613"/>
        <v>-19.652618585787419</v>
      </c>
      <c r="CE631" s="91">
        <f>CE632-CE627-CE628-CE629-CE630</f>
        <v>14526.099999999999</v>
      </c>
      <c r="CF631" s="61">
        <f t="shared" si="3614"/>
        <v>-21.561946520368036</v>
      </c>
      <c r="CG631" s="91">
        <f>CG632-CG627-CG628-CG629-CG630</f>
        <v>14783.999999999985</v>
      </c>
      <c r="CH631" s="61">
        <f t="shared" si="3615"/>
        <v>-31.572662389958094</v>
      </c>
      <c r="CI631" s="91">
        <f>CI632-CI627-CI628-CI629-CI630</f>
        <v>14862.299999999997</v>
      </c>
      <c r="CJ631" s="61">
        <f t="shared" si="3616"/>
        <v>-35.146704600991463</v>
      </c>
      <c r="CK631" s="91">
        <f>CK632-CK627-CK628-CK629-CK630</f>
        <v>13903.800000000001</v>
      </c>
      <c r="CL631" s="61">
        <f t="shared" si="3617"/>
        <v>-10.252322151289917</v>
      </c>
      <c r="CM631" s="91">
        <f>CM632-CM627-CM628-CM629-CM630</f>
        <v>13478.999999999995</v>
      </c>
      <c r="CN631" s="61">
        <f t="shared" si="3618"/>
        <v>-7.2084041828157863</v>
      </c>
      <c r="CO631" s="91">
        <f>CO632-CO627-CO628-CO629-CO630</f>
        <v>14139.899999999989</v>
      </c>
      <c r="CP631" s="61">
        <f t="shared" si="3619"/>
        <v>-4.3567370129869998</v>
      </c>
      <c r="CQ631" s="91">
        <f>CQ632-CQ627-CQ628-CQ629-CQ630</f>
        <v>16212.599999999982</v>
      </c>
      <c r="CR631" s="61">
        <f t="shared" si="3620"/>
        <v>9.0854040088006904</v>
      </c>
      <c r="CS631" s="91">
        <f>CS632-CS627-CS628-CS629-CS630</f>
        <v>15845</v>
      </c>
      <c r="CT631" s="61">
        <f t="shared" si="3621"/>
        <v>13.96165077173146</v>
      </c>
      <c r="CU631" s="91">
        <f>CU632-CU627-CU628-CU629-CU630</f>
        <v>14865</v>
      </c>
      <c r="CV631" s="61">
        <f t="shared" si="3622"/>
        <v>10.282661918539993</v>
      </c>
      <c r="CW631" s="91">
        <f>CW632-CW627-CW628-CW629-CW630</f>
        <v>16605</v>
      </c>
      <c r="CX631" s="61">
        <f t="shared" si="3623"/>
        <v>17.433645216727236</v>
      </c>
      <c r="CY631" s="91">
        <f>CY632-CY627-CY628-CY629-CY630</f>
        <v>15578</v>
      </c>
      <c r="CZ631" s="61">
        <f t="shared" si="3624"/>
        <v>-3.9142395420844411</v>
      </c>
      <c r="DA631" s="91">
        <f>DA632-DA627-DA628-DA629-DA630</f>
        <v>15491</v>
      </c>
      <c r="DB631" s="61">
        <f t="shared" si="3625"/>
        <v>-2.2341432628589453</v>
      </c>
      <c r="DC631" s="91">
        <f>DC632-DC627-DC628-DC629-DC630</f>
        <v>14481</v>
      </c>
      <c r="DD631" s="61">
        <f t="shared" si="3626"/>
        <v>-2.5832492431887011</v>
      </c>
      <c r="DE631" s="91">
        <f>DE632-DE627-DE628-DE629-DE630</f>
        <v>13884</v>
      </c>
      <c r="DF631" s="61">
        <f t="shared" si="3627"/>
        <v>-16.386630532972003</v>
      </c>
      <c r="DG631" s="91">
        <f>DG632-DG627-DG628-DG629-DG630</f>
        <v>14207</v>
      </c>
      <c r="DH631" s="61">
        <f t="shared" si="3628"/>
        <v>-8.8008730260623942</v>
      </c>
      <c r="DI631" s="91">
        <f>DI632-DI627-DI628-DI629-DI630</f>
        <v>13360</v>
      </c>
      <c r="DJ631" s="61">
        <f t="shared" si="3629"/>
        <v>-13.75637466916274</v>
      </c>
      <c r="DK631" s="91">
        <f>DK632-DK627-DK628-DK629-DK630</f>
        <v>14047</v>
      </c>
      <c r="DL631" s="61">
        <f t="shared" si="3630"/>
        <v>-2.9970305918099571</v>
      </c>
      <c r="DM631" s="91">
        <f>DM632-DM627-DM628-DM629-DM630</f>
        <v>13586</v>
      </c>
      <c r="DN631" s="130">
        <f t="shared" si="3631"/>
        <v>-2.146355517142029</v>
      </c>
      <c r="DO631" s="91">
        <f>DO632-DO627-DO628-DO629-DO630</f>
        <v>13479</v>
      </c>
      <c r="DP631" s="130">
        <f t="shared" si="3631"/>
        <v>-5.12423453227282</v>
      </c>
      <c r="DQ631" s="91">
        <f>DQ632-DQ627-DQ628-DQ629-DQ630</f>
        <v>14665</v>
      </c>
      <c r="DR631" s="61">
        <f t="shared" si="3632"/>
        <v>9.7679640718562943</v>
      </c>
      <c r="DS631" s="91">
        <f>DS632-DS627-DS628-DS629-DS630</f>
        <v>14181</v>
      </c>
      <c r="DT631" s="130">
        <f t="shared" si="3631"/>
        <v>0.95394034313376341</v>
      </c>
      <c r="DU631" s="91">
        <f>DU632-DU627-DU628-DU629-DU630</f>
        <v>13673</v>
      </c>
      <c r="DV631" s="130">
        <f t="shared" si="3631"/>
        <v>0.64036508170175477</v>
      </c>
      <c r="DW631" s="91">
        <f>DW632-DW627-DW628-DW629-DW630</f>
        <v>14889</v>
      </c>
      <c r="DX631" s="91">
        <f t="shared" ref="DX631:DY631" si="3672">DX632-DX627-DX628-DX629-DX630</f>
        <v>14919</v>
      </c>
      <c r="DY631" s="91">
        <f t="shared" si="3672"/>
        <v>14298</v>
      </c>
      <c r="DZ631" s="130">
        <f t="shared" si="3631"/>
        <v>-2.5025571087623599</v>
      </c>
      <c r="EA631" s="91">
        <f t="shared" ref="EA631:EC631" si="3673">EA632-EA627-EA628-EA629-EA630</f>
        <v>14584</v>
      </c>
      <c r="EB631" s="130">
        <f t="shared" si="3633"/>
        <v>2.8418306184331055</v>
      </c>
      <c r="EC631" s="91">
        <f t="shared" si="3673"/>
        <v>16855</v>
      </c>
      <c r="ED631" s="130">
        <f t="shared" si="3634"/>
        <v>23.272142178015077</v>
      </c>
      <c r="EE631" s="91">
        <f t="shared" ref="EE631:EG631" si="3674">EE632-EE627-EE628-EE629-EE630</f>
        <v>16128</v>
      </c>
      <c r="EF631" s="130">
        <f t="shared" si="3635"/>
        <v>8.3215796897038175</v>
      </c>
      <c r="EG631" s="91">
        <f t="shared" si="3674"/>
        <v>15102</v>
      </c>
      <c r="EH631" s="130">
        <f t="shared" si="3636"/>
        <v>5.6231640788921622</v>
      </c>
      <c r="EI631" s="91">
        <f t="shared" ref="EI631" si="3675">EI632-EI627-EI628-EI629-EI630</f>
        <v>14574</v>
      </c>
      <c r="EJ631" s="130">
        <f t="shared" si="3637"/>
        <v>-6.856829402084319E-2</v>
      </c>
      <c r="EK631" s="91">
        <f t="shared" ref="EK631:EM631" si="3676">EK632-EK627-EK628-EK629-EK630</f>
        <v>14359</v>
      </c>
      <c r="EL631" s="130">
        <f t="shared" si="3638"/>
        <v>-14.808662118065852</v>
      </c>
      <c r="EM631" s="91">
        <f t="shared" si="3676"/>
        <v>14643</v>
      </c>
      <c r="EN631" s="130">
        <f t="shared" si="3639"/>
        <v>-9.20758928571429</v>
      </c>
      <c r="EO631" s="91">
        <f t="shared" ref="EO631" si="3677">EO632-EO627-EO628-EO629-EO630</f>
        <v>14684</v>
      </c>
      <c r="EP631" s="130">
        <f t="shared" si="3640"/>
        <v>-2.7678453185008611</v>
      </c>
      <c r="EQ631" s="91">
        <f t="shared" ref="EQ631:EW631" si="3678">EQ632-EQ627-EQ628-EQ629-EQ630</f>
        <v>16163.659999999938</v>
      </c>
      <c r="ER631" s="130">
        <f t="shared" si="3642"/>
        <v>10.907506518457112</v>
      </c>
      <c r="ES631" s="91">
        <f t="shared" si="3678"/>
        <v>17643.171145999913</v>
      </c>
      <c r="ET631" s="130">
        <f t="shared" si="3644"/>
        <v>22.871865352739839</v>
      </c>
      <c r="EU631" s="91">
        <f t="shared" si="3678"/>
        <v>19122.217526455912</v>
      </c>
      <c r="EV631" s="130">
        <f t="shared" si="3646"/>
        <v>30.589479795505792</v>
      </c>
      <c r="EW631" s="91">
        <f t="shared" si="3678"/>
        <v>20600.471621961828</v>
      </c>
      <c r="EX631" s="130">
        <f t="shared" si="3648"/>
        <v>40.291961468004821</v>
      </c>
      <c r="EY631" s="356"/>
      <c r="EZ631" s="558"/>
      <c r="FA631" s="356"/>
      <c r="FB631" s="91">
        <f>FB632-FB627-FB628-FB629-FB630</f>
        <v>9049.2000000000025</v>
      </c>
      <c r="FC631" s="71"/>
      <c r="FD631" s="91">
        <f>FD632-FD627-FD628-FD629-FD630</f>
        <v>9729.799999999992</v>
      </c>
      <c r="FE631" s="70">
        <f t="shared" si="3649"/>
        <v>7.5211068381734192</v>
      </c>
      <c r="FF631" s="91">
        <f>FF632-FF627-FF628-FF629-FF630</f>
        <v>9552.8000000000029</v>
      </c>
      <c r="FG631" s="70">
        <f t="shared" si="3649"/>
        <v>-1.8191535283355154</v>
      </c>
      <c r="FH631" s="91">
        <f>FH632-FH627-FH628-FH629-FH630</f>
        <v>13035.499999999995</v>
      </c>
      <c r="FI631" s="70">
        <f t="shared" si="3649"/>
        <v>36.457373754291837</v>
      </c>
      <c r="FJ631" s="91">
        <f>FJ632-FJ627-FJ628-FJ629-FJ630</f>
        <v>12738.499999999989</v>
      </c>
      <c r="FK631" s="70">
        <f t="shared" si="3649"/>
        <v>-2.2783936174293751</v>
      </c>
      <c r="FL631" s="91">
        <f>FL632-FL627-FL628-FL629-FL630</f>
        <v>13020.299999999997</v>
      </c>
      <c r="FM631" s="61">
        <f t="shared" si="3650"/>
        <v>2.2121913883111022</v>
      </c>
      <c r="FN631" s="91">
        <f>FN632-FN627-FN628-FN629-FN630</f>
        <v>11866.800000000005</v>
      </c>
      <c r="FO631" s="61">
        <f t="shared" si="3651"/>
        <v>-8.8592428745880909</v>
      </c>
      <c r="FP631" s="75">
        <f>FP632-FP627-FP628-FP629-FP630</f>
        <v>11587.200000000004</v>
      </c>
      <c r="FQ631" s="61">
        <f t="shared" si="3354"/>
        <v>-11.110429212534934</v>
      </c>
      <c r="FR631" s="75">
        <f>FR632-FR627-FR628-FR629-FR630</f>
        <v>13552.500000000007</v>
      </c>
      <c r="FS631" s="61">
        <f t="shared" si="3652"/>
        <v>16.960956917978475</v>
      </c>
      <c r="FT631" s="75">
        <f>FT632-FT627-FT628-FT629-FT630</f>
        <v>14678.699999999997</v>
      </c>
      <c r="FU631" s="61">
        <f t="shared" si="3653"/>
        <v>8.3099059214166271</v>
      </c>
      <c r="FV631" s="75">
        <f>FV632-FV627-FV628-FV629-FV630</f>
        <v>19281.399999999998</v>
      </c>
      <c r="FW631" s="61">
        <f t="shared" si="3654"/>
        <v>31.356319020076718</v>
      </c>
      <c r="FX631" s="75">
        <f>FX632-FX627-FX628-FX629-FX630</f>
        <v>15492.099999999984</v>
      </c>
      <c r="FY631" s="61">
        <f t="shared" si="3655"/>
        <v>-19.652618585787419</v>
      </c>
      <c r="FZ631" s="75">
        <f>FZ632-FZ627-FZ628-FZ629-FZ630</f>
        <v>13903.800000000001</v>
      </c>
      <c r="GA631" s="61">
        <f t="shared" si="3656"/>
        <v>-10.252322151289917</v>
      </c>
      <c r="GB631" s="75">
        <f>GB632-GB627-GB628-GB629-GB630</f>
        <v>15845</v>
      </c>
      <c r="GC631" s="61">
        <f t="shared" si="3657"/>
        <v>13.96165077173146</v>
      </c>
      <c r="GD631" s="75">
        <f>GD632-GD627-GD628-GD629-GD630</f>
        <v>15491</v>
      </c>
      <c r="GE631" s="61">
        <f t="shared" si="3658"/>
        <v>-2.2341432628589453</v>
      </c>
      <c r="GF631" s="75">
        <f>GF632-GF627-GF628-GF629-GF630</f>
        <v>13360</v>
      </c>
      <c r="GG631" s="61">
        <f t="shared" si="3658"/>
        <v>-13.75637466916274</v>
      </c>
      <c r="GH631" s="75">
        <f>GH632-GH627-GH628-GH629-GH630</f>
        <v>14665</v>
      </c>
      <c r="GI631" s="61">
        <f t="shared" si="3658"/>
        <v>9.7679640718562943</v>
      </c>
      <c r="GJ631" s="75">
        <f>GJ632-GJ627-GJ628-GJ629-GJ630</f>
        <v>14298</v>
      </c>
      <c r="GK631" s="61">
        <f t="shared" si="3658"/>
        <v>-2.5025571087623599</v>
      </c>
      <c r="GL631" s="75">
        <f>GL632-GL627-GL628-GL629-GL630</f>
        <v>15102</v>
      </c>
      <c r="GM631" s="61">
        <f t="shared" si="3658"/>
        <v>5.6231640788921622</v>
      </c>
      <c r="GN631" s="75">
        <f>GN632-GN627-GN628-GN629-GN630</f>
        <v>14684</v>
      </c>
      <c r="GO631" s="61">
        <f t="shared" si="3658"/>
        <v>-2.7678453185008611</v>
      </c>
      <c r="GP631" s="75">
        <f>GP632-GP627-GP628-GP629-GP630</f>
        <v>20600.471621961828</v>
      </c>
      <c r="GQ631" s="61">
        <f t="shared" si="3658"/>
        <v>40.291961468004821</v>
      </c>
      <c r="GR631" s="91">
        <f>GR632-GR627-GR628-GR629-GR630</f>
        <v>26303.248259399028</v>
      </c>
      <c r="GS631" s="61">
        <f t="shared" si="3658"/>
        <v>27.68274795882617</v>
      </c>
      <c r="GT631" s="91">
        <f>GT632-GT627-GT628-GT629-GT630</f>
        <v>31977.774437735723</v>
      </c>
      <c r="GU631" s="61">
        <f t="shared" si="3658"/>
        <v>21.573480668149038</v>
      </c>
      <c r="GV631" s="91">
        <f>GV632-GV627-GV628-GV629-GV630</f>
        <v>37599.678764817378</v>
      </c>
      <c r="GW631" s="61">
        <f t="shared" si="3658"/>
        <v>17.580661649947295</v>
      </c>
      <c r="GX631" s="91">
        <f>GX632-GX627-GX628-GX629-GX630</f>
        <v>43141.14288166508</v>
      </c>
      <c r="GY631" s="61">
        <f t="shared" si="3659"/>
        <v>14.738062395450413</v>
      </c>
      <c r="GZ631" s="61">
        <f t="shared" si="3580"/>
        <v>24.053623469462138</v>
      </c>
      <c r="HA631" s="61"/>
      <c r="HB631" s="452"/>
      <c r="HC631"/>
      <c r="HD631"/>
      <c r="HE631"/>
      <c r="HF631"/>
      <c r="HG631"/>
      <c r="HH631"/>
    </row>
    <row r="632" spans="1:216" s="5" customFormat="1" ht="12.75" customHeight="1" x14ac:dyDescent="0.2">
      <c r="A632" s="7"/>
      <c r="B632" s="7" t="s">
        <v>604</v>
      </c>
      <c r="C632" s="74">
        <v>106340</v>
      </c>
      <c r="D632" s="70"/>
      <c r="E632" s="74">
        <v>103847.6</v>
      </c>
      <c r="F632" s="71"/>
      <c r="G632" s="74">
        <v>103243.1</v>
      </c>
      <c r="H632" s="71"/>
      <c r="I632" s="74">
        <v>99857.8</v>
      </c>
      <c r="J632" s="61"/>
      <c r="K632" s="74">
        <v>94123.199999999997</v>
      </c>
      <c r="L632" s="61">
        <f t="shared" si="3581"/>
        <v>-11.48843332706414</v>
      </c>
      <c r="M632" s="74">
        <v>96431.2</v>
      </c>
      <c r="N632" s="61">
        <f t="shared" si="3582"/>
        <v>-7.1416190648604383</v>
      </c>
      <c r="O632" s="74">
        <v>90206</v>
      </c>
      <c r="P632" s="61">
        <f t="shared" si="3583"/>
        <v>-12.6275751115571</v>
      </c>
      <c r="Q632" s="74">
        <v>98042.4</v>
      </c>
      <c r="R632" s="61">
        <f t="shared" si="3584"/>
        <v>-1.8179851749187459</v>
      </c>
      <c r="S632" s="74">
        <v>97846.399999999994</v>
      </c>
      <c r="T632" s="61">
        <f t="shared" si="3585"/>
        <v>3.9556666156696618</v>
      </c>
      <c r="U632" s="74">
        <v>95069.2</v>
      </c>
      <c r="V632" s="61">
        <f t="shared" si="3586"/>
        <v>-1.4124059433046621</v>
      </c>
      <c r="W632" s="74">
        <v>90436.2</v>
      </c>
      <c r="X632" s="61">
        <f t="shared" si="3587"/>
        <v>0.25519366782698061</v>
      </c>
      <c r="Y632" s="74">
        <v>93120.9</v>
      </c>
      <c r="Z632" s="61">
        <f t="shared" si="3588"/>
        <v>-5.0197669579692068</v>
      </c>
      <c r="AA632" s="74">
        <v>92454.5</v>
      </c>
      <c r="AB632" s="61">
        <f t="shared" si="3589"/>
        <v>-5.5105757595578346</v>
      </c>
      <c r="AC632" s="74">
        <v>99532.800000000003</v>
      </c>
      <c r="AD632" s="61">
        <f t="shared" si="3590"/>
        <v>4.6951063015151062</v>
      </c>
      <c r="AE632" s="74">
        <v>100839.9</v>
      </c>
      <c r="AF632" s="61">
        <f t="shared" si="3591"/>
        <v>11.503911044471128</v>
      </c>
      <c r="AG632" s="74">
        <v>106744.9</v>
      </c>
      <c r="AH632" s="61">
        <f t="shared" si="3592"/>
        <v>14.630442789964437</v>
      </c>
      <c r="AI632" s="74">
        <v>109869.9</v>
      </c>
      <c r="AJ632" s="61">
        <f t="shared" si="3593"/>
        <v>18.836725091801899</v>
      </c>
      <c r="AK632" s="74">
        <v>109317.9</v>
      </c>
      <c r="AL632" s="61">
        <f t="shared" si="3594"/>
        <v>9.8310305748456663</v>
      </c>
      <c r="AM632" s="74">
        <v>110377.1</v>
      </c>
      <c r="AN632" s="61">
        <f t="shared" si="3595"/>
        <v>9.4577642381636693</v>
      </c>
      <c r="AO632" s="74">
        <v>116219.3</v>
      </c>
      <c r="AP632" s="61">
        <f t="shared" si="3596"/>
        <v>8.875740199297578</v>
      </c>
      <c r="AQ632" s="74">
        <v>116352.2</v>
      </c>
      <c r="AR632" s="61">
        <f t="shared" si="3597"/>
        <v>5.8999780649659384</v>
      </c>
      <c r="AS632" s="74">
        <v>119014.5</v>
      </c>
      <c r="AT632" s="61">
        <f t="shared" si="3598"/>
        <v>8.8700935528399416</v>
      </c>
      <c r="AU632" s="74">
        <v>122170.2</v>
      </c>
      <c r="AV632" s="61">
        <f t="shared" si="3599"/>
        <v>10.684372030067824</v>
      </c>
      <c r="AW632" s="74">
        <v>124859.6</v>
      </c>
      <c r="AX632" s="61">
        <f t="shared" si="3600"/>
        <v>7.434479471137756</v>
      </c>
      <c r="AY632" s="74">
        <v>128472</v>
      </c>
      <c r="AZ632" s="61">
        <f t="shared" si="3601"/>
        <v>10.41647686936733</v>
      </c>
      <c r="BA632" s="74">
        <v>167380</v>
      </c>
      <c r="BB632" s="61">
        <f t="shared" si="3344"/>
        <v>40.638325582176968</v>
      </c>
      <c r="BC632" s="74">
        <v>171726.6</v>
      </c>
      <c r="BD632" s="61">
        <f t="shared" si="3345"/>
        <v>40.563410717179814</v>
      </c>
      <c r="BE632" s="74">
        <v>178493.7</v>
      </c>
      <c r="BF632" s="61">
        <f t="shared" si="3346"/>
        <v>42.955527648654979</v>
      </c>
      <c r="BG632" s="74">
        <v>181326.4</v>
      </c>
      <c r="BH632" s="61">
        <f t="shared" si="3602"/>
        <v>41.140793324615466</v>
      </c>
      <c r="BI632" s="74">
        <v>187649.6</v>
      </c>
      <c r="BJ632" s="61">
        <f t="shared" si="3603"/>
        <v>12.109929501732598</v>
      </c>
      <c r="BK632" s="74">
        <v>192216.9</v>
      </c>
      <c r="BL632" s="61">
        <f t="shared" si="3604"/>
        <v>11.931931337369983</v>
      </c>
      <c r="BM632" s="74">
        <v>191437.1</v>
      </c>
      <c r="BN632" s="61">
        <f t="shared" si="3605"/>
        <v>7.2514604156897366</v>
      </c>
      <c r="BO632" s="74">
        <v>185349.2</v>
      </c>
      <c r="BP632" s="61">
        <f t="shared" si="3606"/>
        <v>2.2185407089094777</v>
      </c>
      <c r="BQ632" s="74">
        <v>184281.2</v>
      </c>
      <c r="BR632" s="61">
        <f t="shared" si="3607"/>
        <v>-1.7950477912023199</v>
      </c>
      <c r="BS632" s="74">
        <v>173270.7</v>
      </c>
      <c r="BT632" s="61">
        <f t="shared" si="3608"/>
        <v>-9.8566775345976243</v>
      </c>
      <c r="BU632" s="74">
        <v>163135.79999999999</v>
      </c>
      <c r="BV632" s="61">
        <f t="shared" si="3609"/>
        <v>-14.78360255143858</v>
      </c>
      <c r="BW632" s="74">
        <v>157426.9</v>
      </c>
      <c r="BX632" s="61">
        <f t="shared" si="3610"/>
        <v>-15.064699496949551</v>
      </c>
      <c r="BY632" s="74">
        <v>167044.4</v>
      </c>
      <c r="BZ632" s="61">
        <f t="shared" si="3611"/>
        <v>-9.3535314508479512</v>
      </c>
      <c r="CA632" s="74">
        <v>181489.2</v>
      </c>
      <c r="CB632" s="61">
        <f t="shared" si="3612"/>
        <v>4.7431562289527385</v>
      </c>
      <c r="CC632" s="74">
        <v>177433.3</v>
      </c>
      <c r="CD632" s="61">
        <f t="shared" si="3613"/>
        <v>8.7641707093109034</v>
      </c>
      <c r="CE632" s="74">
        <v>181621.4</v>
      </c>
      <c r="CF632" s="61">
        <f t="shared" si="3614"/>
        <v>15.368720339408327</v>
      </c>
      <c r="CG632" s="74">
        <v>180129.3</v>
      </c>
      <c r="CH632" s="61">
        <f t="shared" si="3615"/>
        <v>7.8331868652885106</v>
      </c>
      <c r="CI632" s="74">
        <v>190489.9</v>
      </c>
      <c r="CJ632" s="61">
        <f t="shared" si="3616"/>
        <v>4.9593584632033005</v>
      </c>
      <c r="CK632" s="74">
        <v>193823.7</v>
      </c>
      <c r="CL632" s="61">
        <f t="shared" si="3617"/>
        <v>9.2374993870936386</v>
      </c>
      <c r="CM632" s="74">
        <v>196740.4</v>
      </c>
      <c r="CN632" s="61">
        <f t="shared" si="3618"/>
        <v>8.3244595625845861</v>
      </c>
      <c r="CO632" s="74">
        <v>199981.9</v>
      </c>
      <c r="CP632" s="61">
        <f t="shared" si="3619"/>
        <v>11.021305251283398</v>
      </c>
      <c r="CQ632" s="74">
        <v>196321.9</v>
      </c>
      <c r="CR632" s="61">
        <f t="shared" si="3620"/>
        <v>3.0615796428052011</v>
      </c>
      <c r="CS632" s="74">
        <v>201491</v>
      </c>
      <c r="CT632" s="61">
        <f t="shared" si="3621"/>
        <v>3.9558113894224478</v>
      </c>
      <c r="CU632" s="74">
        <v>208018</v>
      </c>
      <c r="CV632" s="61">
        <f t="shared" si="3622"/>
        <v>5.7322237832189149</v>
      </c>
      <c r="CW632" s="74">
        <v>211110</v>
      </c>
      <c r="CX632" s="61">
        <f t="shared" si="3623"/>
        <v>5.5645535921000855</v>
      </c>
      <c r="CY632" s="74">
        <v>215458</v>
      </c>
      <c r="CZ632" s="61">
        <f t="shared" si="3624"/>
        <v>9.7473078652967402</v>
      </c>
      <c r="DA632" s="74">
        <v>218869</v>
      </c>
      <c r="DB632" s="61">
        <f t="shared" si="3625"/>
        <v>8.6247028403253712</v>
      </c>
      <c r="DC632" s="74">
        <v>224341</v>
      </c>
      <c r="DD632" s="61">
        <f t="shared" si="3626"/>
        <v>7.846917093713035</v>
      </c>
      <c r="DE632" s="74">
        <v>223321</v>
      </c>
      <c r="DF632" s="61">
        <f t="shared" si="3627"/>
        <v>5.7841883378333625</v>
      </c>
      <c r="DG632" s="74">
        <v>229924</v>
      </c>
      <c r="DH632" s="61">
        <f t="shared" si="3628"/>
        <v>6.7140695634416048</v>
      </c>
      <c r="DI632" s="74">
        <v>236945</v>
      </c>
      <c r="DJ632" s="61">
        <f t="shared" si="3629"/>
        <v>8.2588214868254628</v>
      </c>
      <c r="DK632" s="74">
        <v>241949</v>
      </c>
      <c r="DL632" s="61">
        <f t="shared" si="3630"/>
        <v>7.8487659411342614</v>
      </c>
      <c r="DM632" s="74">
        <v>249125</v>
      </c>
      <c r="DN632" s="130">
        <f t="shared" si="3631"/>
        <v>11.554667944349163</v>
      </c>
      <c r="DO632" s="74">
        <v>248446</v>
      </c>
      <c r="DP632" s="130">
        <f t="shared" si="3631"/>
        <v>8.0557053635114109</v>
      </c>
      <c r="DQ632" s="74">
        <v>253377</v>
      </c>
      <c r="DR632" s="61">
        <f t="shared" si="3632"/>
        <v>6.9349427082234349</v>
      </c>
      <c r="DS632" s="74">
        <v>258453</v>
      </c>
      <c r="DT632" s="130">
        <f t="shared" si="3631"/>
        <v>6.8212722515902158</v>
      </c>
      <c r="DU632" s="74">
        <v>255184</v>
      </c>
      <c r="DV632" s="130">
        <f t="shared" si="3631"/>
        <v>2.4321123933768174</v>
      </c>
      <c r="DW632" s="74">
        <v>249502</v>
      </c>
      <c r="DX632" s="74">
        <v>249532</v>
      </c>
      <c r="DY632" s="74">
        <v>251908</v>
      </c>
      <c r="DZ632" s="130">
        <f t="shared" si="3631"/>
        <v>-0.57976848727390173</v>
      </c>
      <c r="EA632" s="74">
        <v>255718</v>
      </c>
      <c r="EB632" s="130">
        <f t="shared" si="3633"/>
        <v>-1.0582194828460123</v>
      </c>
      <c r="EC632" s="74">
        <v>263028</v>
      </c>
      <c r="ED632" s="130">
        <f t="shared" si="3634"/>
        <v>3.0738604301210115</v>
      </c>
      <c r="EE632" s="74">
        <v>266605</v>
      </c>
      <c r="EF632" s="130">
        <f t="shared" si="3635"/>
        <v>6.854854870902849</v>
      </c>
      <c r="EG632" s="74">
        <v>261627</v>
      </c>
      <c r="EH632" s="130">
        <f t="shared" si="3636"/>
        <v>3.8581545643647575</v>
      </c>
      <c r="EI632" s="74">
        <v>267468</v>
      </c>
      <c r="EJ632" s="130">
        <f t="shared" si="3637"/>
        <v>4.5949053253975025</v>
      </c>
      <c r="EK632" s="74">
        <v>271651</v>
      </c>
      <c r="EL632" s="130">
        <f t="shared" si="3638"/>
        <v>3.2783581976063347</v>
      </c>
      <c r="EM632" s="74">
        <v>276785</v>
      </c>
      <c r="EN632" s="130">
        <f t="shared" si="3639"/>
        <v>3.8183830010690034</v>
      </c>
      <c r="EO632" s="74">
        <v>281763</v>
      </c>
      <c r="EP632" s="130">
        <f t="shared" si="3640"/>
        <v>7.6964533477049457</v>
      </c>
      <c r="EQ632" s="74">
        <f t="shared" ref="EQ632" si="3679">EO632*1.015</f>
        <v>285989.44499999995</v>
      </c>
      <c r="ER632" s="130">
        <f t="shared" si="3642"/>
        <v>6.924733052178178</v>
      </c>
      <c r="ES632" s="74">
        <f t="shared" ref="ES632" si="3680">EQ632*1.015</f>
        <v>290279.28667499992</v>
      </c>
      <c r="ET632" s="130">
        <f t="shared" si="3644"/>
        <v>6.8574334992324459</v>
      </c>
      <c r="EU632" s="74">
        <f t="shared" ref="EU632" si="3681">ES632*1.015</f>
        <v>294633.47597512492</v>
      </c>
      <c r="EV632" s="130">
        <f t="shared" si="3646"/>
        <v>6.4484982839116745</v>
      </c>
      <c r="EW632" s="74">
        <f t="shared" ref="EW632" si="3682">EU632*1.015</f>
        <v>299052.97811475175</v>
      </c>
      <c r="EX632" s="130">
        <f t="shared" si="3648"/>
        <v>6.1363550624999652</v>
      </c>
      <c r="EY632" s="64"/>
      <c r="EZ632" s="558"/>
      <c r="FA632" s="64"/>
      <c r="FB632" s="74">
        <v>93836.3</v>
      </c>
      <c r="FC632" s="71"/>
      <c r="FD632" s="74">
        <v>103095.7</v>
      </c>
      <c r="FE632" s="70">
        <f t="shared" si="3649"/>
        <v>9.8676098695281045</v>
      </c>
      <c r="FF632" s="399">
        <f>I632</f>
        <v>99857.8</v>
      </c>
      <c r="FG632" s="70">
        <f t="shared" si="3649"/>
        <v>-3.140674150328282</v>
      </c>
      <c r="FH632" s="399">
        <f>Q632</f>
        <v>98042.4</v>
      </c>
      <c r="FI632" s="70">
        <f t="shared" si="3649"/>
        <v>-1.8179851749187459</v>
      </c>
      <c r="FJ632" s="399">
        <f>Y632</f>
        <v>93120.9</v>
      </c>
      <c r="FK632" s="70">
        <f t="shared" si="3649"/>
        <v>-5.0197669579692068</v>
      </c>
      <c r="FL632" s="399">
        <f>AG632</f>
        <v>106744.9</v>
      </c>
      <c r="FM632" s="61">
        <f t="shared" si="3650"/>
        <v>14.630442789964437</v>
      </c>
      <c r="FN632" s="399">
        <f>+AO632</f>
        <v>116219.3</v>
      </c>
      <c r="FO632" s="61">
        <f t="shared" si="3651"/>
        <v>8.875740199297578</v>
      </c>
      <c r="FP632" s="75">
        <f>+AW632</f>
        <v>124859.6</v>
      </c>
      <c r="FQ632" s="61">
        <f t="shared" si="3354"/>
        <v>27.3526555857466</v>
      </c>
      <c r="FR632" s="75">
        <f>BE632</f>
        <v>178493.7</v>
      </c>
      <c r="FS632" s="61">
        <f t="shared" si="3652"/>
        <v>42.955527648654979</v>
      </c>
      <c r="FT632" s="75">
        <f>BM632</f>
        <v>191437.1</v>
      </c>
      <c r="FU632" s="61">
        <f t="shared" si="3653"/>
        <v>7.2514604156897366</v>
      </c>
      <c r="FV632" s="75">
        <f>BU632</f>
        <v>163135.79999999999</v>
      </c>
      <c r="FW632" s="61">
        <f t="shared" si="3654"/>
        <v>-14.78360255143858</v>
      </c>
      <c r="FX632" s="75">
        <f>CC632</f>
        <v>177433.3</v>
      </c>
      <c r="FY632" s="61">
        <f t="shared" si="3655"/>
        <v>8.7641707093109034</v>
      </c>
      <c r="FZ632" s="75">
        <f>CK632</f>
        <v>193823.7</v>
      </c>
      <c r="GA632" s="61">
        <f t="shared" si="3656"/>
        <v>9.2374993870936386</v>
      </c>
      <c r="GB632" s="75">
        <f>CS632</f>
        <v>201491</v>
      </c>
      <c r="GC632" s="61">
        <f t="shared" si="3657"/>
        <v>3.9558113894224478</v>
      </c>
      <c r="GD632" s="75">
        <f>DA632</f>
        <v>218869</v>
      </c>
      <c r="GE632" s="61">
        <f t="shared" si="3658"/>
        <v>8.6247028403253712</v>
      </c>
      <c r="GF632" s="75">
        <f>DI632</f>
        <v>236945</v>
      </c>
      <c r="GG632" s="61">
        <f t="shared" si="3658"/>
        <v>8.2588214868254628</v>
      </c>
      <c r="GH632" s="75">
        <f>DQ632</f>
        <v>253377</v>
      </c>
      <c r="GI632" s="61">
        <f t="shared" si="3658"/>
        <v>6.9349427082234349</v>
      </c>
      <c r="GJ632" s="75">
        <f>DY632</f>
        <v>251908</v>
      </c>
      <c r="GK632" s="61">
        <f t="shared" si="3658"/>
        <v>-0.57976848727390173</v>
      </c>
      <c r="GL632" s="75">
        <f>EG632</f>
        <v>261627</v>
      </c>
      <c r="GM632" s="61">
        <f t="shared" si="3658"/>
        <v>3.8581545643647575</v>
      </c>
      <c r="GN632" s="75">
        <f>EO632</f>
        <v>281763</v>
      </c>
      <c r="GO632" s="61">
        <f t="shared" si="3658"/>
        <v>7.6964533477049457</v>
      </c>
      <c r="GP632" s="75">
        <f>EW632</f>
        <v>299052.97811475175</v>
      </c>
      <c r="GQ632" s="61">
        <f t="shared" si="3658"/>
        <v>6.1363550624999652</v>
      </c>
      <c r="GR632" s="74">
        <f>GP632*1.06</f>
        <v>316996.15680163685</v>
      </c>
      <c r="GS632" s="61">
        <f t="shared" si="3658"/>
        <v>6.0000000000000053</v>
      </c>
      <c r="GT632" s="74">
        <f>GR632*1.06</f>
        <v>336015.9262097351</v>
      </c>
      <c r="GU632" s="61">
        <f t="shared" si="3658"/>
        <v>6.0000000000000053</v>
      </c>
      <c r="GV632" s="74">
        <f>GT632*1.06</f>
        <v>356176.88178231922</v>
      </c>
      <c r="GW632" s="61">
        <f t="shared" si="3658"/>
        <v>6.0000000000000053</v>
      </c>
      <c r="GX632" s="74">
        <f>GV632*1.06</f>
        <v>377547.4946892584</v>
      </c>
      <c r="GY632" s="61">
        <f t="shared" si="3659"/>
        <v>6.0000000000000053</v>
      </c>
      <c r="GZ632" s="61">
        <f t="shared" si="3580"/>
        <v>6.0272569910919005</v>
      </c>
      <c r="HA632" s="61"/>
      <c r="HB632" s="452"/>
      <c r="HC632"/>
      <c r="HD632"/>
      <c r="HE632"/>
      <c r="HF632"/>
      <c r="HG632"/>
      <c r="HH632"/>
    </row>
    <row r="633" spans="1:216" s="5" customFormat="1" ht="12.75" customHeight="1" x14ac:dyDescent="0.2">
      <c r="A633" s="8"/>
      <c r="B633" s="7" t="s">
        <v>146</v>
      </c>
      <c r="C633" s="91">
        <f>C656</f>
        <v>-442.6</v>
      </c>
      <c r="D633" s="70"/>
      <c r="E633" s="91">
        <f>E656</f>
        <v>-556.6</v>
      </c>
      <c r="F633" s="71"/>
      <c r="G633" s="91">
        <f>G656</f>
        <v>-337.69999999999982</v>
      </c>
      <c r="H633" s="71"/>
      <c r="I633" s="91">
        <f>I656</f>
        <v>12</v>
      </c>
      <c r="J633" s="61"/>
      <c r="K633" s="91">
        <f>K656</f>
        <v>190.4</v>
      </c>
      <c r="L633" s="61" t="str">
        <f t="shared" si="3581"/>
        <v>NM</v>
      </c>
      <c r="M633" s="91">
        <f>M656</f>
        <v>76.2</v>
      </c>
      <c r="N633" s="61" t="str">
        <f t="shared" si="3582"/>
        <v>NM</v>
      </c>
      <c r="O633" s="91">
        <f>O656</f>
        <v>247.9</v>
      </c>
      <c r="P633" s="61" t="str">
        <f t="shared" si="3583"/>
        <v>NM</v>
      </c>
      <c r="Q633" s="91">
        <f>Q656</f>
        <v>195.7</v>
      </c>
      <c r="R633" s="61" t="str">
        <f t="shared" si="3584"/>
        <v>NM</v>
      </c>
      <c r="S633" s="91">
        <f>S656</f>
        <v>31.8</v>
      </c>
      <c r="T633" s="61" t="str">
        <f t="shared" si="3585"/>
        <v>NM</v>
      </c>
      <c r="U633" s="91">
        <f>U656</f>
        <v>325.7</v>
      </c>
      <c r="V633" s="61" t="str">
        <f t="shared" si="3586"/>
        <v>NM</v>
      </c>
      <c r="W633" s="91">
        <f>W656</f>
        <v>817.5</v>
      </c>
      <c r="X633" s="61" t="str">
        <f t="shared" si="3587"/>
        <v>NM</v>
      </c>
      <c r="Y633" s="91">
        <f>Y656</f>
        <v>753.3</v>
      </c>
      <c r="Z633" s="61" t="str">
        <f t="shared" si="3588"/>
        <v>NM</v>
      </c>
      <c r="AA633" s="91">
        <f>AA656</f>
        <v>872</v>
      </c>
      <c r="AB633" s="61" t="str">
        <f t="shared" si="3589"/>
        <v>NM</v>
      </c>
      <c r="AC633" s="91">
        <f>AC656</f>
        <v>1117.8</v>
      </c>
      <c r="AD633" s="61" t="str">
        <f t="shared" si="3590"/>
        <v>NM</v>
      </c>
      <c r="AE633" s="91">
        <f>AE656</f>
        <v>795.79999999999927</v>
      </c>
      <c r="AF633" s="61">
        <f t="shared" si="3591"/>
        <v>-2.6544342507646146</v>
      </c>
      <c r="AG633" s="91">
        <f>AG656</f>
        <v>869</v>
      </c>
      <c r="AH633" s="61">
        <f t="shared" si="3592"/>
        <v>15.359086685251565</v>
      </c>
      <c r="AI633" s="91">
        <f>AI656</f>
        <v>1139.3000000000002</v>
      </c>
      <c r="AJ633" s="61">
        <f t="shared" si="3593"/>
        <v>30.653669724770658</v>
      </c>
      <c r="AK633" s="91">
        <f>AK656</f>
        <v>495.29999999999927</v>
      </c>
      <c r="AL633" s="61" t="str">
        <f t="shared" si="3594"/>
        <v>NM</v>
      </c>
      <c r="AM633" s="91">
        <f>AM656</f>
        <v>861</v>
      </c>
      <c r="AN633" s="61">
        <f t="shared" si="3595"/>
        <v>8.1930133199297206</v>
      </c>
      <c r="AO633" s="91">
        <f>AO656</f>
        <v>836.9</v>
      </c>
      <c r="AP633" s="61">
        <f t="shared" si="3596"/>
        <v>-3.6939010356731861</v>
      </c>
      <c r="AQ633" s="91">
        <f>AQ656</f>
        <v>590.6</v>
      </c>
      <c r="AR633" s="61">
        <f t="shared" si="3597"/>
        <v>-48.161151584306161</v>
      </c>
      <c r="AS633" s="91">
        <f>AS656</f>
        <v>863.1</v>
      </c>
      <c r="AT633" s="61">
        <f t="shared" si="3598"/>
        <v>74.258025439128076</v>
      </c>
      <c r="AU633" s="91">
        <f>AU656</f>
        <v>577.9</v>
      </c>
      <c r="AV633" s="61">
        <f t="shared" si="3599"/>
        <v>-32.880371660859467</v>
      </c>
      <c r="AW633" s="91">
        <f>AW656</f>
        <v>503.90000000000003</v>
      </c>
      <c r="AX633" s="61">
        <f t="shared" si="3600"/>
        <v>-39.78970008364201</v>
      </c>
      <c r="AY633" s="91">
        <f>AY656</f>
        <v>255.39999999999998</v>
      </c>
      <c r="AZ633" s="61" t="str">
        <f t="shared" si="3601"/>
        <v>NM</v>
      </c>
      <c r="BA633" s="91">
        <f>BA656</f>
        <v>-100</v>
      </c>
      <c r="BB633" s="61" t="str">
        <f t="shared" si="3344"/>
        <v>NM</v>
      </c>
      <c r="BC633" s="91">
        <f>BC656</f>
        <v>478</v>
      </c>
      <c r="BD633" s="61">
        <f t="shared" si="3345"/>
        <v>-17.286727807579162</v>
      </c>
      <c r="BE633" s="91">
        <f>BE656</f>
        <v>469.6</v>
      </c>
      <c r="BF633" s="61">
        <f t="shared" si="3346"/>
        <v>-6.8069061321690878</v>
      </c>
      <c r="BG633" s="91">
        <f>BG656</f>
        <v>528.1</v>
      </c>
      <c r="BH633" s="61" t="str">
        <f t="shared" si="3602"/>
        <v>NM</v>
      </c>
      <c r="BI633" s="91">
        <f>BI656</f>
        <v>16.600000000000001</v>
      </c>
      <c r="BJ633" s="61" t="str">
        <f t="shared" si="3603"/>
        <v>NM</v>
      </c>
      <c r="BK633" s="91">
        <f>BK656</f>
        <v>196.9</v>
      </c>
      <c r="BL633" s="61" t="str">
        <f t="shared" si="3604"/>
        <v>NM</v>
      </c>
      <c r="BM633" s="91">
        <f>BM656</f>
        <v>86</v>
      </c>
      <c r="BN633" s="61" t="str">
        <f t="shared" si="3605"/>
        <v>NM</v>
      </c>
      <c r="BO633" s="91">
        <f>BO656</f>
        <v>-321.7</v>
      </c>
      <c r="BP633" s="61" t="str">
        <f t="shared" si="3606"/>
        <v>NM</v>
      </c>
      <c r="BQ633" s="91">
        <f>BQ656</f>
        <v>-808.3</v>
      </c>
      <c r="BR633" s="61" t="str">
        <f t="shared" si="3607"/>
        <v>NM</v>
      </c>
      <c r="BS633" s="91">
        <f>BS656</f>
        <v>-1810.3</v>
      </c>
      <c r="BT633" s="61" t="str">
        <f t="shared" si="3608"/>
        <v>NM</v>
      </c>
      <c r="BU633" s="91">
        <f>BU656</f>
        <v>-2803.5</v>
      </c>
      <c r="BV633" s="61" t="str">
        <f t="shared" si="3609"/>
        <v>NM</v>
      </c>
      <c r="BW633" s="91">
        <f>BW656</f>
        <v>-2975.1</v>
      </c>
      <c r="BX633" s="61" t="str">
        <f t="shared" si="3610"/>
        <v>NM</v>
      </c>
      <c r="BY633" s="91">
        <f>BY656</f>
        <v>-1707.4</v>
      </c>
      <c r="BZ633" s="61" t="str">
        <f t="shared" si="3611"/>
        <v>NM</v>
      </c>
      <c r="CA633" s="91">
        <f>CA656</f>
        <v>-220</v>
      </c>
      <c r="CB633" s="61" t="str">
        <f t="shared" si="3612"/>
        <v>NM</v>
      </c>
      <c r="CC633" s="91">
        <f>CC656</f>
        <v>-261.39999999999998</v>
      </c>
      <c r="CD633" s="61" t="str">
        <f t="shared" si="3613"/>
        <v>NM</v>
      </c>
      <c r="CE633" s="91">
        <f>CE656</f>
        <v>302.2</v>
      </c>
      <c r="CF633" s="61" t="str">
        <f t="shared" si="3614"/>
        <v>NM</v>
      </c>
      <c r="CG633" s="91">
        <f>CG656</f>
        <v>937.9</v>
      </c>
      <c r="CH633" s="61" t="str">
        <f t="shared" si="3615"/>
        <v>NM</v>
      </c>
      <c r="CI633" s="91">
        <f>CI656</f>
        <v>1661.5</v>
      </c>
      <c r="CJ633" s="61" t="str">
        <f t="shared" si="3616"/>
        <v>NM</v>
      </c>
      <c r="CK633" s="91">
        <f>CK656</f>
        <v>747.7</v>
      </c>
      <c r="CL633" s="61" t="str">
        <f t="shared" si="3617"/>
        <v>NM</v>
      </c>
      <c r="CM633" s="91">
        <f>CM656</f>
        <v>872.7</v>
      </c>
      <c r="CN633" s="61" t="str">
        <f t="shared" si="3618"/>
        <v>NM</v>
      </c>
      <c r="CO633" s="91">
        <f>CO656</f>
        <v>1227</v>
      </c>
      <c r="CP633" s="61">
        <f t="shared" si="3619"/>
        <v>30.824181682482156</v>
      </c>
      <c r="CQ633" s="91">
        <f>CQ656</f>
        <v>2664</v>
      </c>
      <c r="CR633" s="61">
        <f t="shared" si="3620"/>
        <v>60.33704483900091</v>
      </c>
      <c r="CS633" s="91">
        <f>CS656</f>
        <v>2679</v>
      </c>
      <c r="CT633" s="61" t="str">
        <f t="shared" si="3621"/>
        <v>NM</v>
      </c>
      <c r="CU633" s="91">
        <f>CU656</f>
        <v>2622</v>
      </c>
      <c r="CV633" s="61" t="str">
        <f t="shared" si="3622"/>
        <v>NM</v>
      </c>
      <c r="CW633" s="91">
        <f>CW656</f>
        <v>3379</v>
      </c>
      <c r="CX633" s="61" t="str">
        <f t="shared" si="3623"/>
        <v>NM</v>
      </c>
      <c r="CY633" s="91">
        <f>CY656</f>
        <v>4150</v>
      </c>
      <c r="CZ633" s="61">
        <f t="shared" si="3624"/>
        <v>55.780780780780773</v>
      </c>
      <c r="DA633" s="91">
        <f>DA656</f>
        <v>3808</v>
      </c>
      <c r="DB633" s="61">
        <f t="shared" si="3625"/>
        <v>42.142590518850319</v>
      </c>
      <c r="DC633" s="91">
        <f>DC656</f>
        <v>3581</v>
      </c>
      <c r="DD633" s="61">
        <f t="shared" si="3626"/>
        <v>36.575133485888635</v>
      </c>
      <c r="DE633" s="91">
        <f>DE656</f>
        <v>1893</v>
      </c>
      <c r="DF633" s="61">
        <f t="shared" si="3627"/>
        <v>-43.977508138502522</v>
      </c>
      <c r="DG633" s="91">
        <f>DG656</f>
        <v>1750</v>
      </c>
      <c r="DH633" s="61" t="str">
        <f t="shared" si="3628"/>
        <v>NM</v>
      </c>
      <c r="DI633" s="91">
        <f>DI656</f>
        <v>1563</v>
      </c>
      <c r="DJ633" s="61" t="str">
        <f t="shared" si="3629"/>
        <v>NM</v>
      </c>
      <c r="DK633" s="91">
        <f>DK656</f>
        <v>2454</v>
      </c>
      <c r="DL633" s="61">
        <f t="shared" si="3630"/>
        <v>-31.471655962021782</v>
      </c>
      <c r="DM633" s="91">
        <f>DM656</f>
        <v>3199</v>
      </c>
      <c r="DN633" s="130">
        <f t="shared" si="3631"/>
        <v>68.99101954569467</v>
      </c>
      <c r="DO633" s="91">
        <f>DO656</f>
        <v>2922</v>
      </c>
      <c r="DP633" s="130">
        <f t="shared" si="3631"/>
        <v>66.971428571428575</v>
      </c>
      <c r="DQ633" s="91">
        <f>DQ656</f>
        <v>3096</v>
      </c>
      <c r="DR633" s="61">
        <f t="shared" si="3632"/>
        <v>98.080614203454886</v>
      </c>
      <c r="DS633" s="91">
        <f>DS656</f>
        <v>3653</v>
      </c>
      <c r="DT633" s="130">
        <f t="shared" si="3631"/>
        <v>48.85900570497148</v>
      </c>
      <c r="DU633" s="91">
        <f>DU656</f>
        <v>1944</v>
      </c>
      <c r="DV633" s="130">
        <f t="shared" si="3631"/>
        <v>-39.231009690528282</v>
      </c>
      <c r="DW633" s="91">
        <f>DW656</f>
        <v>1663</v>
      </c>
      <c r="DX633" s="91">
        <f t="shared" ref="DX633:DY633" si="3683">DX656</f>
        <v>1663</v>
      </c>
      <c r="DY633" s="91">
        <f t="shared" si="3683"/>
        <v>845</v>
      </c>
      <c r="DZ633" s="130" t="str">
        <f t="shared" si="3631"/>
        <v>NM</v>
      </c>
      <c r="EA633" s="91">
        <f t="shared" ref="EA633:EC633" si="3684">EA656</f>
        <v>1931</v>
      </c>
      <c r="EB633" s="130">
        <f t="shared" si="3633"/>
        <v>-47.13933753079661</v>
      </c>
      <c r="EC633" s="91">
        <f t="shared" si="3684"/>
        <v>3195</v>
      </c>
      <c r="ED633" s="130">
        <f t="shared" si="3634"/>
        <v>64.351851851851862</v>
      </c>
      <c r="EE633" s="91">
        <f t="shared" ref="EE633:EG633" si="3685">EE656</f>
        <v>3377</v>
      </c>
      <c r="EF633" s="130" t="str">
        <f t="shared" si="3635"/>
        <v>NM</v>
      </c>
      <c r="EG633" s="91">
        <f t="shared" si="3685"/>
        <v>1566</v>
      </c>
      <c r="EH633" s="130">
        <f t="shared" si="3636"/>
        <v>85.325443786982262</v>
      </c>
      <c r="EI633" s="91">
        <f t="shared" ref="EI633:EK633" si="3686">EI656</f>
        <v>1847</v>
      </c>
      <c r="EJ633" s="130">
        <f t="shared" si="3637"/>
        <v>-4.3500776799585754</v>
      </c>
      <c r="EK633" s="91">
        <f t="shared" si="3686"/>
        <v>2711</v>
      </c>
      <c r="EL633" s="130">
        <f t="shared" si="3638"/>
        <v>-15.148669796557124</v>
      </c>
      <c r="EM633" s="91">
        <f t="shared" ref="EM633" si="3687">EM656</f>
        <v>2859</v>
      </c>
      <c r="EN633" s="130">
        <f t="shared" si="3639"/>
        <v>-15.339058335801003</v>
      </c>
      <c r="EO633" s="91">
        <f t="shared" ref="EO633" si="3688">EO656</f>
        <v>3230</v>
      </c>
      <c r="EP633" s="130" t="str">
        <f t="shared" si="3640"/>
        <v>NM</v>
      </c>
      <c r="EQ633" s="91">
        <f t="shared" ref="EQ633:EW633" si="3689">EQ656</f>
        <v>3230</v>
      </c>
      <c r="ER633" s="130">
        <f t="shared" si="3642"/>
        <v>74.878180833784526</v>
      </c>
      <c r="ES633" s="91">
        <f t="shared" si="3689"/>
        <v>3230</v>
      </c>
      <c r="ET633" s="130">
        <f t="shared" si="3644"/>
        <v>19.144227222427148</v>
      </c>
      <c r="EU633" s="91">
        <f t="shared" si="3689"/>
        <v>3230</v>
      </c>
      <c r="EV633" s="130">
        <f t="shared" si="3646"/>
        <v>12.976565232598801</v>
      </c>
      <c r="EW633" s="91">
        <f t="shared" si="3689"/>
        <v>3230</v>
      </c>
      <c r="EX633" s="130">
        <f t="shared" si="3648"/>
        <v>0</v>
      </c>
      <c r="EY633" s="356"/>
      <c r="EZ633" s="558"/>
      <c r="FA633" s="356"/>
      <c r="FB633" s="91">
        <f>FB656</f>
        <v>552.32847487949948</v>
      </c>
      <c r="FC633" s="71"/>
      <c r="FD633" s="91">
        <f>FD656</f>
        <v>-465.70000000000073</v>
      </c>
      <c r="FE633" s="70" t="str">
        <f t="shared" si="3649"/>
        <v>NM</v>
      </c>
      <c r="FF633" s="91">
        <f>FF656</f>
        <v>12</v>
      </c>
      <c r="FG633" s="70" t="str">
        <f t="shared" si="3649"/>
        <v>NM</v>
      </c>
      <c r="FH633" s="91">
        <f>FH656</f>
        <v>195.7</v>
      </c>
      <c r="FI633" s="70" t="str">
        <f t="shared" si="3649"/>
        <v>NM</v>
      </c>
      <c r="FJ633" s="91">
        <f>FJ656</f>
        <v>753.3</v>
      </c>
      <c r="FK633" s="70" t="str">
        <f t="shared" si="3649"/>
        <v>NM</v>
      </c>
      <c r="FL633" s="91">
        <f>FL656</f>
        <v>869</v>
      </c>
      <c r="FM633" s="61">
        <f t="shared" si="3650"/>
        <v>15.359086685251565</v>
      </c>
      <c r="FN633" s="91">
        <f>FN656</f>
        <v>836.9</v>
      </c>
      <c r="FO633" s="61">
        <f t="shared" si="3651"/>
        <v>-3.6939010356731861</v>
      </c>
      <c r="FP633" s="75">
        <f>FP656</f>
        <v>503.90000000000003</v>
      </c>
      <c r="FQ633" s="61" t="str">
        <f t="shared" si="3354"/>
        <v>NM</v>
      </c>
      <c r="FR633" s="75">
        <f>FR656</f>
        <v>469.6</v>
      </c>
      <c r="FS633" s="61">
        <f t="shared" si="3652"/>
        <v>-6.8069061321690878</v>
      </c>
      <c r="FT633" s="75">
        <f>FT656</f>
        <v>86</v>
      </c>
      <c r="FU633" s="61" t="str">
        <f t="shared" si="3653"/>
        <v>NM</v>
      </c>
      <c r="FV633" s="75">
        <f>FV656</f>
        <v>-2803.5</v>
      </c>
      <c r="FW633" s="61" t="str">
        <f t="shared" si="3654"/>
        <v>NM</v>
      </c>
      <c r="FX633" s="75">
        <f>FX656</f>
        <v>-261.39999999999998</v>
      </c>
      <c r="FY633" s="61" t="str">
        <f t="shared" si="3655"/>
        <v>NM</v>
      </c>
      <c r="FZ633" s="75">
        <f>FZ656</f>
        <v>747.7</v>
      </c>
      <c r="GA633" s="61" t="str">
        <f t="shared" si="3656"/>
        <v>NM</v>
      </c>
      <c r="GB633" s="75">
        <f>GB656</f>
        <v>2679</v>
      </c>
      <c r="GC633" s="61" t="str">
        <f t="shared" si="3657"/>
        <v>NM</v>
      </c>
      <c r="GD633" s="75">
        <f>GD656</f>
        <v>3808</v>
      </c>
      <c r="GE633" s="61">
        <f t="shared" si="3658"/>
        <v>42.142590518850319</v>
      </c>
      <c r="GF633" s="75">
        <f>GF656</f>
        <v>1563</v>
      </c>
      <c r="GG633" s="61" t="str">
        <f t="shared" si="3658"/>
        <v>NM</v>
      </c>
      <c r="GH633" s="75">
        <f>GH656</f>
        <v>3096</v>
      </c>
      <c r="GI633" s="61">
        <f t="shared" si="3658"/>
        <v>98.080614203454886</v>
      </c>
      <c r="GJ633" s="75">
        <f>GJ656</f>
        <v>845</v>
      </c>
      <c r="GK633" s="61" t="str">
        <f t="shared" si="3658"/>
        <v>NM</v>
      </c>
      <c r="GL633" s="75">
        <f>GL656</f>
        <v>1566</v>
      </c>
      <c r="GM633" s="61">
        <f t="shared" si="3658"/>
        <v>85.325443786982262</v>
      </c>
      <c r="GN633" s="75">
        <f>GN656</f>
        <v>3230</v>
      </c>
      <c r="GO633" s="61" t="str">
        <f t="shared" si="3658"/>
        <v>NM</v>
      </c>
      <c r="GP633" s="75">
        <f>GP656</f>
        <v>3230</v>
      </c>
      <c r="GQ633" s="61">
        <f t="shared" si="3658"/>
        <v>0</v>
      </c>
      <c r="GR633" s="91">
        <f>GR656</f>
        <v>3230</v>
      </c>
      <c r="GS633" s="61">
        <f t="shared" si="3658"/>
        <v>0</v>
      </c>
      <c r="GT633" s="91">
        <f>GT656</f>
        <v>3230</v>
      </c>
      <c r="GU633" s="61">
        <f t="shared" si="3658"/>
        <v>0</v>
      </c>
      <c r="GV633" s="91">
        <f>GV656</f>
        <v>3230</v>
      </c>
      <c r="GW633" s="61">
        <f t="shared" si="3658"/>
        <v>0</v>
      </c>
      <c r="GX633" s="91">
        <f>GX656</f>
        <v>3230</v>
      </c>
      <c r="GY633" s="61">
        <f t="shared" si="3659"/>
        <v>0</v>
      </c>
      <c r="GZ633" s="61">
        <f t="shared" si="3580"/>
        <v>0</v>
      </c>
      <c r="HA633" s="61"/>
      <c r="HB633" s="452"/>
      <c r="HC633"/>
      <c r="HD633"/>
      <c r="HE633"/>
      <c r="HF633"/>
      <c r="HG633"/>
      <c r="HH633"/>
    </row>
    <row r="634" spans="1:216" s="5" customFormat="1" ht="12.75" customHeight="1" x14ac:dyDescent="0.2">
      <c r="A634" s="8"/>
      <c r="B634" s="7" t="s">
        <v>147</v>
      </c>
      <c r="C634" s="91">
        <f>C632-C633</f>
        <v>106782.6</v>
      </c>
      <c r="D634" s="70"/>
      <c r="E634" s="91">
        <f>E632-E633</f>
        <v>104404.20000000001</v>
      </c>
      <c r="F634" s="71"/>
      <c r="G634" s="91">
        <f>G632-G633</f>
        <v>103580.8</v>
      </c>
      <c r="H634" s="71"/>
      <c r="I634" s="91">
        <f>I632-I633</f>
        <v>99845.8</v>
      </c>
      <c r="J634" s="61"/>
      <c r="K634" s="91">
        <f>K632-K633</f>
        <v>93932.800000000003</v>
      </c>
      <c r="L634" s="61">
        <f t="shared" si="3581"/>
        <v>-12.033608471792224</v>
      </c>
      <c r="M634" s="91">
        <f>M632-M633</f>
        <v>96355</v>
      </c>
      <c r="N634" s="61">
        <f t="shared" si="3582"/>
        <v>-7.709651527428985</v>
      </c>
      <c r="O634" s="91">
        <f>O632-O633</f>
        <v>89958.1</v>
      </c>
      <c r="P634" s="61">
        <f t="shared" si="3583"/>
        <v>-13.1517617164571</v>
      </c>
      <c r="Q634" s="91">
        <f>Q632-Q633</f>
        <v>97846.7</v>
      </c>
      <c r="R634" s="61">
        <f t="shared" si="3584"/>
        <v>-2.0021873729290651</v>
      </c>
      <c r="S634" s="91">
        <f>S632-S633</f>
        <v>97814.599999999991</v>
      </c>
      <c r="T634" s="61">
        <f t="shared" si="3585"/>
        <v>4.1325287865367377</v>
      </c>
      <c r="U634" s="91">
        <f>U632-U633</f>
        <v>94743.5</v>
      </c>
      <c r="V634" s="61">
        <f t="shared" si="3586"/>
        <v>-1.6724612111462811</v>
      </c>
      <c r="W634" s="91">
        <f>W632-W633</f>
        <v>89618.7</v>
      </c>
      <c r="X634" s="61">
        <f t="shared" si="3587"/>
        <v>-0.37728675905783771</v>
      </c>
      <c r="Y634" s="91">
        <f>Y632-Y633</f>
        <v>92367.599999999991</v>
      </c>
      <c r="Z634" s="61">
        <f t="shared" si="3588"/>
        <v>-5.5996778634333166</v>
      </c>
      <c r="AA634" s="91">
        <f>AA632-AA633</f>
        <v>91582.5</v>
      </c>
      <c r="AB634" s="61">
        <f t="shared" si="3589"/>
        <v>-6.3713392479241238</v>
      </c>
      <c r="AC634" s="91">
        <f>AC632-AC633</f>
        <v>98415</v>
      </c>
      <c r="AD634" s="61">
        <f t="shared" si="3590"/>
        <v>3.8751998817860844</v>
      </c>
      <c r="AE634" s="91">
        <f>AE632-AE633</f>
        <v>100044.09999999999</v>
      </c>
      <c r="AF634" s="61">
        <f t="shared" si="3591"/>
        <v>11.633063188821069</v>
      </c>
      <c r="AG634" s="91">
        <f>AG632-AG633</f>
        <v>105875.9</v>
      </c>
      <c r="AH634" s="61">
        <f t="shared" si="3592"/>
        <v>14.624500365929194</v>
      </c>
      <c r="AI634" s="91">
        <f>AI632-AI633</f>
        <v>108730.59999999999</v>
      </c>
      <c r="AJ634" s="61">
        <f t="shared" si="3593"/>
        <v>18.724210411377705</v>
      </c>
      <c r="AK634" s="91">
        <f>AK632-AK633</f>
        <v>108822.59999999999</v>
      </c>
      <c r="AL634" s="61">
        <f t="shared" si="3594"/>
        <v>10.575217192501141</v>
      </c>
      <c r="AM634" s="91">
        <f>AM632-AM633</f>
        <v>109516.1</v>
      </c>
      <c r="AN634" s="61">
        <f t="shared" si="3595"/>
        <v>9.467824689312021</v>
      </c>
      <c r="AO634" s="91">
        <f>AO632-AO633</f>
        <v>115382.40000000001</v>
      </c>
      <c r="AP634" s="61">
        <f t="shared" si="3596"/>
        <v>8.9789083256907496</v>
      </c>
      <c r="AQ634" s="91">
        <f>AQ632-AQ633</f>
        <v>115761.59999999999</v>
      </c>
      <c r="AR634" s="61">
        <f t="shared" si="3597"/>
        <v>6.466440909918636</v>
      </c>
      <c r="AS634" s="91">
        <f>AS632-AS633</f>
        <v>118151.4</v>
      </c>
      <c r="AT634" s="61">
        <f t="shared" si="3598"/>
        <v>8.5724840244581593</v>
      </c>
      <c r="AU634" s="91">
        <f>AU632-AU633</f>
        <v>121592.3</v>
      </c>
      <c r="AV634" s="61">
        <f t="shared" si="3599"/>
        <v>11.026871848066166</v>
      </c>
      <c r="AW634" s="91">
        <f>AW632-AW633</f>
        <v>124355.70000000001</v>
      </c>
      <c r="AX634" s="61">
        <f t="shared" si="3600"/>
        <v>7.7770093185789202</v>
      </c>
      <c r="AY634" s="91">
        <f>AY632-AY633</f>
        <v>128216.6</v>
      </c>
      <c r="AZ634" s="61">
        <f t="shared" si="3601"/>
        <v>10.759180937374758</v>
      </c>
      <c r="BA634" s="91">
        <f>BA632-BA633</f>
        <v>167480</v>
      </c>
      <c r="BB634" s="61">
        <f t="shared" si="3344"/>
        <v>41.75033050814465</v>
      </c>
      <c r="BC634" s="91">
        <f>BC632-BC633</f>
        <v>171248.6</v>
      </c>
      <c r="BD634" s="61">
        <f t="shared" si="3345"/>
        <v>40.838359007930606</v>
      </c>
      <c r="BE634" s="91">
        <f>BE632-BE633</f>
        <v>178024.1</v>
      </c>
      <c r="BF634" s="61">
        <f t="shared" si="3346"/>
        <v>43.157169313509549</v>
      </c>
      <c r="BG634" s="91">
        <f>BG632-BG633</f>
        <v>180798.3</v>
      </c>
      <c r="BH634" s="61">
        <f t="shared" si="3602"/>
        <v>41.010056420151521</v>
      </c>
      <c r="BI634" s="91">
        <f>BI632-BI633</f>
        <v>187633</v>
      </c>
      <c r="BJ634" s="61">
        <f t="shared" si="3603"/>
        <v>12.033078576546451</v>
      </c>
      <c r="BK634" s="91">
        <f>BK632-BK633</f>
        <v>192020</v>
      </c>
      <c r="BL634" s="61">
        <f t="shared" si="3604"/>
        <v>12.129383831459052</v>
      </c>
      <c r="BM634" s="91">
        <f>BM632-BM633</f>
        <v>191351.1</v>
      </c>
      <c r="BN634" s="61">
        <f t="shared" si="3605"/>
        <v>7.4860650889402081</v>
      </c>
      <c r="BO634" s="91">
        <f>BO632-BO633</f>
        <v>185670.90000000002</v>
      </c>
      <c r="BP634" s="61">
        <f t="shared" si="3606"/>
        <v>2.6950474644949818</v>
      </c>
      <c r="BQ634" s="91">
        <f>BQ632-BQ633</f>
        <v>185089.5</v>
      </c>
      <c r="BR634" s="61">
        <f t="shared" si="3607"/>
        <v>-1.3555717810832868</v>
      </c>
      <c r="BS634" s="91">
        <f>BS632-BS633</f>
        <v>175081</v>
      </c>
      <c r="BT634" s="61">
        <f t="shared" si="3608"/>
        <v>-8.821476929486515</v>
      </c>
      <c r="BU634" s="91">
        <f>BU632-BU633</f>
        <v>165939.29999999999</v>
      </c>
      <c r="BV634" s="61">
        <f t="shared" si="3609"/>
        <v>-13.280195410426188</v>
      </c>
      <c r="BW634" s="91">
        <f>BW632-BW633</f>
        <v>160402</v>
      </c>
      <c r="BX634" s="61">
        <f t="shared" si="3610"/>
        <v>-13.609510160181282</v>
      </c>
      <c r="BY634" s="91">
        <f>BY632-BY633</f>
        <v>168751.8</v>
      </c>
      <c r="BZ634" s="61">
        <f t="shared" si="3611"/>
        <v>-8.8269188689796056</v>
      </c>
      <c r="CA634" s="91">
        <f>CA632-CA633</f>
        <v>181709.2</v>
      </c>
      <c r="CB634" s="61">
        <f t="shared" si="3612"/>
        <v>3.7857905769329792</v>
      </c>
      <c r="CC634" s="91">
        <f>CC632-CC633</f>
        <v>177694.69999999998</v>
      </c>
      <c r="CD634" s="61">
        <f t="shared" si="3613"/>
        <v>7.0841566765678765</v>
      </c>
      <c r="CE634" s="91">
        <f>CE632-CE633</f>
        <v>181319.19999999998</v>
      </c>
      <c r="CF634" s="61">
        <f t="shared" si="3614"/>
        <v>13.040485779479049</v>
      </c>
      <c r="CG634" s="91">
        <f>CG632-CG633</f>
        <v>179191.4</v>
      </c>
      <c r="CH634" s="61">
        <f t="shared" si="3615"/>
        <v>6.1863636417507806</v>
      </c>
      <c r="CI634" s="91">
        <f>CI632-CI633</f>
        <v>188828.4</v>
      </c>
      <c r="CJ634" s="61">
        <f t="shared" si="3616"/>
        <v>3.917908394291536</v>
      </c>
      <c r="CK634" s="91">
        <f>CK632-CK633</f>
        <v>193076</v>
      </c>
      <c r="CL634" s="61">
        <f t="shared" si="3617"/>
        <v>8.6560263192993592</v>
      </c>
      <c r="CM634" s="91">
        <f>CM632-CM633</f>
        <v>195867.69999999998</v>
      </c>
      <c r="CN634" s="61">
        <f t="shared" si="3618"/>
        <v>8.023695229186977</v>
      </c>
      <c r="CO634" s="91">
        <f>CO632-CO633</f>
        <v>198754.9</v>
      </c>
      <c r="CP634" s="61">
        <f t="shared" si="3619"/>
        <v>10.917655646420531</v>
      </c>
      <c r="CQ634" s="91">
        <f>CQ632-CQ633</f>
        <v>193657.9</v>
      </c>
      <c r="CR634" s="61">
        <f t="shared" si="3620"/>
        <v>2.5576131556481974</v>
      </c>
      <c r="CS634" s="91">
        <f>CS632-CS633</f>
        <v>198812</v>
      </c>
      <c r="CT634" s="61">
        <f t="shared" si="3621"/>
        <v>2.970850856657492</v>
      </c>
      <c r="CU634" s="91">
        <f>CU632-CU633</f>
        <v>205396</v>
      </c>
      <c r="CV634" s="61">
        <f t="shared" si="3622"/>
        <v>4.8646611973286236</v>
      </c>
      <c r="CW634" s="91">
        <f>CW632-CW633</f>
        <v>207731</v>
      </c>
      <c r="CX634" s="61">
        <f t="shared" si="3623"/>
        <v>4.5161653876206298</v>
      </c>
      <c r="CY634" s="91">
        <f>CY632-CY633</f>
        <v>211308</v>
      </c>
      <c r="CZ634" s="61">
        <f t="shared" si="3624"/>
        <v>9.1140614454664703</v>
      </c>
      <c r="DA634" s="91">
        <f>DA632-DA633</f>
        <v>215061</v>
      </c>
      <c r="DB634" s="61">
        <f t="shared" si="3625"/>
        <v>8.1730479045530444</v>
      </c>
      <c r="DC634" s="91">
        <f>DC632-DC633</f>
        <v>220760</v>
      </c>
      <c r="DD634" s="61">
        <f t="shared" si="3626"/>
        <v>7.4801846189799237</v>
      </c>
      <c r="DE634" s="91">
        <f>DE632-DE633</f>
        <v>221428</v>
      </c>
      <c r="DF634" s="61">
        <f t="shared" si="3627"/>
        <v>6.5936234842175701</v>
      </c>
      <c r="DG634" s="91">
        <f>DG632-DG633</f>
        <v>228174</v>
      </c>
      <c r="DH634" s="61">
        <f t="shared" si="3628"/>
        <v>7.9817138963030221</v>
      </c>
      <c r="DI634" s="91">
        <f>DI632-DI633</f>
        <v>235382</v>
      </c>
      <c r="DJ634" s="61">
        <f t="shared" si="3629"/>
        <v>9.4489470429319979</v>
      </c>
      <c r="DK634" s="91">
        <f>DK632-DK633</f>
        <v>239495</v>
      </c>
      <c r="DL634" s="61">
        <f t="shared" si="3630"/>
        <v>8.4865917738720764</v>
      </c>
      <c r="DM634" s="91">
        <f>DM632-DM633</f>
        <v>245926</v>
      </c>
      <c r="DN634" s="130">
        <f t="shared" si="3631"/>
        <v>11.063641454558582</v>
      </c>
      <c r="DO634" s="91">
        <f>DO632-DO633</f>
        <v>245524</v>
      </c>
      <c r="DP634" s="130">
        <f t="shared" si="3631"/>
        <v>7.6038461875586272</v>
      </c>
      <c r="DQ634" s="91">
        <f>DQ632-DQ633</f>
        <v>250281</v>
      </c>
      <c r="DR634" s="61">
        <f t="shared" si="3632"/>
        <v>6.3297108529964063</v>
      </c>
      <c r="DS634" s="91">
        <f>DS632-DS633</f>
        <v>254800</v>
      </c>
      <c r="DT634" s="130">
        <f t="shared" si="3631"/>
        <v>6.390530073696743</v>
      </c>
      <c r="DU634" s="91">
        <f>DU632-DU633</f>
        <v>253240</v>
      </c>
      <c r="DV634" s="130">
        <f t="shared" si="3631"/>
        <v>2.974065369257417</v>
      </c>
      <c r="DW634" s="91">
        <f>DW632-DW633</f>
        <v>247839</v>
      </c>
      <c r="DX634" s="91">
        <f t="shared" ref="DX634:DY634" si="3690">DX632-DX633</f>
        <v>247869</v>
      </c>
      <c r="DY634" s="91">
        <f t="shared" si="3690"/>
        <v>251063</v>
      </c>
      <c r="DZ634" s="130">
        <f t="shared" si="3631"/>
        <v>0.31244880754033311</v>
      </c>
      <c r="EA634" s="91">
        <f t="shared" ref="EA634:EC634" si="3691">EA632-EA633</f>
        <v>253787</v>
      </c>
      <c r="EB634" s="130">
        <f t="shared" si="3633"/>
        <v>-0.39756671899529028</v>
      </c>
      <c r="EC634" s="91">
        <f t="shared" si="3691"/>
        <v>259833</v>
      </c>
      <c r="ED634" s="130">
        <f t="shared" si="3634"/>
        <v>2.603459169167599</v>
      </c>
      <c r="EE634" s="91">
        <f t="shared" ref="EE634:EG634" si="3692">EE632-EE633</f>
        <v>263228</v>
      </c>
      <c r="EF634" s="130">
        <f t="shared" si="3635"/>
        <v>6.2092729554267034</v>
      </c>
      <c r="EG634" s="91">
        <f t="shared" si="3692"/>
        <v>260061</v>
      </c>
      <c r="EH634" s="130">
        <f t="shared" si="3636"/>
        <v>3.5839609978371989</v>
      </c>
      <c r="EI634" s="91">
        <f t="shared" ref="EI634:EK634" si="3693">EI632-EI633</f>
        <v>265621</v>
      </c>
      <c r="EJ634" s="130">
        <f t="shared" si="3637"/>
        <v>4.6629654001189902</v>
      </c>
      <c r="EK634" s="91">
        <f t="shared" si="3693"/>
        <v>268940</v>
      </c>
      <c r="EL634" s="130">
        <f t="shared" si="3638"/>
        <v>3.5049435599019407</v>
      </c>
      <c r="EM634" s="91">
        <f t="shared" ref="EM634" si="3694">EM632-EM633</f>
        <v>273926</v>
      </c>
      <c r="EN634" s="130">
        <f t="shared" si="3639"/>
        <v>4.0641573084930105</v>
      </c>
      <c r="EO634" s="91">
        <f t="shared" ref="EO634" si="3695">EO632-EO633</f>
        <v>278533</v>
      </c>
      <c r="EP634" s="130">
        <f t="shared" si="3640"/>
        <v>7.1029489235217902</v>
      </c>
      <c r="EQ634" s="91">
        <f t="shared" ref="EQ634:EW634" si="3696">EQ632-EQ633</f>
        <v>282759.44499999995</v>
      </c>
      <c r="ER634" s="130">
        <f t="shared" si="3642"/>
        <v>6.452217633394941</v>
      </c>
      <c r="ES634" s="91">
        <f t="shared" si="3696"/>
        <v>287049.28667499992</v>
      </c>
      <c r="ET634" s="130">
        <f t="shared" si="3644"/>
        <v>6.7335787443295603</v>
      </c>
      <c r="EU634" s="91">
        <f t="shared" si="3696"/>
        <v>291403.47597512492</v>
      </c>
      <c r="EV634" s="130">
        <f t="shared" si="3646"/>
        <v>6.3803640308422338</v>
      </c>
      <c r="EW634" s="91">
        <f t="shared" si="3696"/>
        <v>295822.97811475175</v>
      </c>
      <c r="EX634" s="130">
        <f t="shared" si="3648"/>
        <v>6.2075151291774322</v>
      </c>
      <c r="EY634" s="356"/>
      <c r="EZ634" s="558"/>
      <c r="FA634" s="356"/>
      <c r="FB634" s="91">
        <f>FB632-FB633</f>
        <v>93283.971525120505</v>
      </c>
      <c r="FC634" s="71"/>
      <c r="FD634" s="91">
        <f>FD632-FD633</f>
        <v>103561.4</v>
      </c>
      <c r="FE634" s="70">
        <f t="shared" si="3649"/>
        <v>11.017357330366107</v>
      </c>
      <c r="FF634" s="91">
        <f>FF632-FF633</f>
        <v>99845.8</v>
      </c>
      <c r="FG634" s="70">
        <f t="shared" si="3649"/>
        <v>-3.587823262335188</v>
      </c>
      <c r="FH634" s="91">
        <f>FH632-FH633</f>
        <v>97846.7</v>
      </c>
      <c r="FI634" s="70">
        <f t="shared" si="3649"/>
        <v>-2.0021873729290651</v>
      </c>
      <c r="FJ634" s="91">
        <f>FJ632-FJ633</f>
        <v>92367.599999999991</v>
      </c>
      <c r="FK634" s="70">
        <f t="shared" si="3649"/>
        <v>-5.5996778634333166</v>
      </c>
      <c r="FL634" s="91">
        <f>FL632-FL633</f>
        <v>105875.9</v>
      </c>
      <c r="FM634" s="61">
        <f t="shared" si="3650"/>
        <v>14.624500365929194</v>
      </c>
      <c r="FN634" s="91">
        <f>FN632-FN633</f>
        <v>115382.40000000001</v>
      </c>
      <c r="FO634" s="61">
        <f t="shared" si="3651"/>
        <v>8.9789083256907496</v>
      </c>
      <c r="FP634" s="75">
        <f>FP632-FP633</f>
        <v>124355.70000000001</v>
      </c>
      <c r="FQ634" s="61">
        <f t="shared" si="3354"/>
        <v>27.092380223349387</v>
      </c>
      <c r="FR634" s="75">
        <f>FR632-FR633</f>
        <v>178024.1</v>
      </c>
      <c r="FS634" s="61">
        <f t="shared" si="3652"/>
        <v>43.157169313509549</v>
      </c>
      <c r="FT634" s="75">
        <f>FT632-FT633</f>
        <v>191351.1</v>
      </c>
      <c r="FU634" s="61">
        <f t="shared" si="3653"/>
        <v>7.4860650889402081</v>
      </c>
      <c r="FV634" s="75">
        <f>FV632-FV633</f>
        <v>165939.29999999999</v>
      </c>
      <c r="FW634" s="61">
        <f t="shared" si="3654"/>
        <v>-13.280195410426188</v>
      </c>
      <c r="FX634" s="75">
        <f>FX632-FX633</f>
        <v>177694.69999999998</v>
      </c>
      <c r="FY634" s="61">
        <f t="shared" si="3655"/>
        <v>7.0841566765678765</v>
      </c>
      <c r="FZ634" s="75">
        <f>FZ632-FZ633</f>
        <v>193076</v>
      </c>
      <c r="GA634" s="61">
        <f t="shared" si="3656"/>
        <v>8.6560263192993592</v>
      </c>
      <c r="GB634" s="75">
        <f>GB632-GB633</f>
        <v>198812</v>
      </c>
      <c r="GC634" s="61">
        <f t="shared" si="3657"/>
        <v>2.970850856657492</v>
      </c>
      <c r="GD634" s="75">
        <f>GD632-GD633</f>
        <v>215061</v>
      </c>
      <c r="GE634" s="61">
        <f t="shared" si="3658"/>
        <v>8.1730479045530444</v>
      </c>
      <c r="GF634" s="75">
        <f>GF632-GF633</f>
        <v>235382</v>
      </c>
      <c r="GG634" s="61">
        <f t="shared" si="3658"/>
        <v>9.4489470429319979</v>
      </c>
      <c r="GH634" s="75">
        <f>GH632-GH633</f>
        <v>250281</v>
      </c>
      <c r="GI634" s="61">
        <f t="shared" si="3658"/>
        <v>6.3297108529964063</v>
      </c>
      <c r="GJ634" s="75">
        <f>GJ632-GJ633</f>
        <v>251063</v>
      </c>
      <c r="GK634" s="61">
        <f t="shared" si="3658"/>
        <v>0.31244880754033311</v>
      </c>
      <c r="GL634" s="75">
        <f>GL632-GL633</f>
        <v>260061</v>
      </c>
      <c r="GM634" s="61">
        <f t="shared" si="3658"/>
        <v>3.5839609978371989</v>
      </c>
      <c r="GN634" s="75">
        <f>GN632-GN633</f>
        <v>278533</v>
      </c>
      <c r="GO634" s="61">
        <f t="shared" si="3658"/>
        <v>7.1029489235217902</v>
      </c>
      <c r="GP634" s="75">
        <f>GP632-GP633</f>
        <v>295822.97811475175</v>
      </c>
      <c r="GQ634" s="61">
        <f t="shared" si="3658"/>
        <v>6.2075151291774322</v>
      </c>
      <c r="GR634" s="91">
        <f>GR632-GR633</f>
        <v>313766.15680163685</v>
      </c>
      <c r="GS634" s="61">
        <f t="shared" si="3658"/>
        <v>6.0655121523132127</v>
      </c>
      <c r="GT634" s="91">
        <f>GT632-GT633</f>
        <v>332785.9262097351</v>
      </c>
      <c r="GU634" s="61">
        <f t="shared" si="3658"/>
        <v>6.0617657436275341</v>
      </c>
      <c r="GV634" s="91">
        <f>GV632-GV633</f>
        <v>352946.88178231922</v>
      </c>
      <c r="GW634" s="61">
        <f t="shared" si="3658"/>
        <v>6.0582356358056755</v>
      </c>
      <c r="GX634" s="91">
        <f>GX632-GX633</f>
        <v>374317.4946892584</v>
      </c>
      <c r="GY634" s="61">
        <f t="shared" si="3659"/>
        <v>6.05490911239146</v>
      </c>
      <c r="GZ634" s="61">
        <f t="shared" si="3580"/>
        <v>6.0895711190175783</v>
      </c>
      <c r="HA634" s="61"/>
      <c r="HB634" s="452"/>
      <c r="HC634"/>
      <c r="HD634"/>
      <c r="HE634"/>
      <c r="HF634"/>
      <c r="HG634"/>
      <c r="HH634"/>
    </row>
    <row r="635" spans="1:216" s="5" customFormat="1" ht="12.75" customHeight="1" x14ac:dyDescent="0.2">
      <c r="A635" s="8"/>
      <c r="B635" s="7" t="s">
        <v>148</v>
      </c>
      <c r="C635" s="91">
        <f>C634-C628</f>
        <v>49875.000000000007</v>
      </c>
      <c r="D635" s="70"/>
      <c r="E635" s="91">
        <f>E634-E628</f>
        <v>49480.000000000015</v>
      </c>
      <c r="F635" s="71"/>
      <c r="G635" s="91">
        <f>G634-G628</f>
        <v>49169.9</v>
      </c>
      <c r="H635" s="71"/>
      <c r="I635" s="91">
        <f>I634-I628</f>
        <v>49265.9</v>
      </c>
      <c r="J635" s="61"/>
      <c r="K635" s="91">
        <f>K634-K628</f>
        <v>49426.600000000006</v>
      </c>
      <c r="L635" s="61">
        <f t="shared" si="3581"/>
        <v>-0.89904761904762154</v>
      </c>
      <c r="M635" s="91">
        <f>M634-M628</f>
        <v>49214.8</v>
      </c>
      <c r="N635" s="61">
        <f t="shared" si="3582"/>
        <v>-0.53597413096202473</v>
      </c>
      <c r="O635" s="91">
        <f>O634-O628</f>
        <v>50478.3</v>
      </c>
      <c r="P635" s="61">
        <f t="shared" si="3583"/>
        <v>2.6609775492730359</v>
      </c>
      <c r="Q635" s="91">
        <f>Q634-Q628</f>
        <v>53013.299999999996</v>
      </c>
      <c r="R635" s="61">
        <f t="shared" si="3584"/>
        <v>7.6064783146151616</v>
      </c>
      <c r="S635" s="91">
        <f>S634-S628</f>
        <v>52897.899999999994</v>
      </c>
      <c r="T635" s="61">
        <f t="shared" si="3585"/>
        <v>7.0231413854078273</v>
      </c>
      <c r="U635" s="91">
        <f>U634-U628</f>
        <v>54163.9</v>
      </c>
      <c r="V635" s="61">
        <f t="shared" si="3586"/>
        <v>10.056121329356206</v>
      </c>
      <c r="W635" s="91">
        <f>W634-W628</f>
        <v>55549.7</v>
      </c>
      <c r="X635" s="61">
        <f t="shared" si="3587"/>
        <v>10.046693331590006</v>
      </c>
      <c r="Y635" s="91">
        <f>Y634-Y628</f>
        <v>56189.299999999988</v>
      </c>
      <c r="Z635" s="61">
        <f t="shared" si="3588"/>
        <v>5.9909494409893238</v>
      </c>
      <c r="AA635" s="91">
        <f>AA634-AA628</f>
        <v>56807.3</v>
      </c>
      <c r="AB635" s="61">
        <f t="shared" si="3589"/>
        <v>7.3904635155649157</v>
      </c>
      <c r="AC635" s="91">
        <f>AC634-AC628</f>
        <v>58472.2</v>
      </c>
      <c r="AD635" s="61">
        <f t="shared" si="3590"/>
        <v>7.9541908909808834</v>
      </c>
      <c r="AE635" s="91">
        <f>AE634-AE628</f>
        <v>58760.69999999999</v>
      </c>
      <c r="AF635" s="61">
        <f t="shared" si="3591"/>
        <v>5.7804092551354769</v>
      </c>
      <c r="AG635" s="91">
        <f>AG634-AG628</f>
        <v>59310.7</v>
      </c>
      <c r="AH635" s="61">
        <f t="shared" si="3592"/>
        <v>5.5551501798385194</v>
      </c>
      <c r="AI635" s="91">
        <f>AI634-AI628</f>
        <v>60172.69999999999</v>
      </c>
      <c r="AJ635" s="61">
        <f t="shared" si="3593"/>
        <v>5.9242386101785893</v>
      </c>
      <c r="AK635" s="91">
        <f>AK634-AK628</f>
        <v>59478.899999999994</v>
      </c>
      <c r="AL635" s="61">
        <f t="shared" si="3594"/>
        <v>1.7216728633435929</v>
      </c>
      <c r="AM635" s="91">
        <f>AM634-AM628</f>
        <v>59858.200000000004</v>
      </c>
      <c r="AN635" s="61">
        <f t="shared" si="3595"/>
        <v>1.8677449383686984</v>
      </c>
      <c r="AO635" s="91">
        <f>AO634-AO628</f>
        <v>60177.80000000001</v>
      </c>
      <c r="AP635" s="61">
        <f t="shared" si="3596"/>
        <v>1.4619621754590861</v>
      </c>
      <c r="AQ635" s="91">
        <f>AQ634-AQ628</f>
        <v>60374.399999999994</v>
      </c>
      <c r="AR635" s="61">
        <f t="shared" si="3597"/>
        <v>0.33520184402562325</v>
      </c>
      <c r="AS635" s="91">
        <f>AS634-AS628</f>
        <v>60911.399999999994</v>
      </c>
      <c r="AT635" s="61">
        <f t="shared" si="3598"/>
        <v>2.4084171025355205</v>
      </c>
      <c r="AU635" s="91">
        <f>AU634-AU628</f>
        <v>60780.800000000003</v>
      </c>
      <c r="AV635" s="61">
        <f t="shared" si="3599"/>
        <v>1.5413092942988538</v>
      </c>
      <c r="AW635" s="91">
        <f>AW634-AW628</f>
        <v>60608.700000000012</v>
      </c>
      <c r="AX635" s="61">
        <f t="shared" si="3600"/>
        <v>0.71604478728035659</v>
      </c>
      <c r="AY635" s="91">
        <f>AY634-AY628</f>
        <v>60232.400000000009</v>
      </c>
      <c r="AZ635" s="61">
        <f t="shared" si="3601"/>
        <v>-0.23519902475218624</v>
      </c>
      <c r="BA635" s="91">
        <f>BA634-BA628</f>
        <v>96385</v>
      </c>
      <c r="BB635" s="61">
        <f t="shared" si="3344"/>
        <v>58.238030976139129</v>
      </c>
      <c r="BC635" s="91">
        <f>BC634-BC628</f>
        <v>96891.5</v>
      </c>
      <c r="BD635" s="61">
        <f t="shared" si="3345"/>
        <v>59.411360166368318</v>
      </c>
      <c r="BE635" s="91">
        <f>BE634-BE628</f>
        <v>97490.400000000009</v>
      </c>
      <c r="BF635" s="61">
        <f t="shared" si="3346"/>
        <v>60.852154888654589</v>
      </c>
      <c r="BG635" s="91">
        <f>BG634-BG628</f>
        <v>97650.799999999988</v>
      </c>
      <c r="BH635" s="61">
        <f t="shared" si="3602"/>
        <v>62.123375459055218</v>
      </c>
      <c r="BI635" s="91">
        <f>BI634-BI628</f>
        <v>98135.8</v>
      </c>
      <c r="BJ635" s="61">
        <f t="shared" si="3603"/>
        <v>1.8164652176168472</v>
      </c>
      <c r="BK635" s="91">
        <f>BK634-BK628</f>
        <v>99116.9</v>
      </c>
      <c r="BL635" s="61">
        <f t="shared" si="3604"/>
        <v>2.2967959005691929</v>
      </c>
      <c r="BM635" s="91">
        <f>BM634-BM628</f>
        <v>100237.8</v>
      </c>
      <c r="BN635" s="61">
        <f t="shared" si="3605"/>
        <v>2.8181236306343838</v>
      </c>
      <c r="BO635" s="91">
        <f>BO634-BO628</f>
        <v>100967.80000000002</v>
      </c>
      <c r="BP635" s="61">
        <f t="shared" si="3606"/>
        <v>3.3967975684787266</v>
      </c>
      <c r="BQ635" s="91">
        <f>BQ634-BQ628</f>
        <v>99794.1</v>
      </c>
      <c r="BR635" s="61">
        <f t="shared" si="3607"/>
        <v>1.6898012753755465</v>
      </c>
      <c r="BS635" s="91">
        <f>BS634-BS628</f>
        <v>100110.2</v>
      </c>
      <c r="BT635" s="61">
        <f t="shared" si="3608"/>
        <v>1.0021499865310535</v>
      </c>
      <c r="BU635" s="91">
        <f>BU634-BU628</f>
        <v>105306.69999999998</v>
      </c>
      <c r="BV635" s="61">
        <f t="shared" si="3609"/>
        <v>5.0568747518401125</v>
      </c>
      <c r="BW635" s="91">
        <f>BW634-BW628</f>
        <v>102915.5</v>
      </c>
      <c r="BX635" s="61">
        <f t="shared" si="3610"/>
        <v>1.9290308395349731</v>
      </c>
      <c r="BY635" s="91">
        <f>BY634-BY628</f>
        <v>107660.9</v>
      </c>
      <c r="BZ635" s="61">
        <f t="shared" si="3611"/>
        <v>7.883031161160825</v>
      </c>
      <c r="CA635" s="91">
        <f>CA634-CA628</f>
        <v>111598.20000000001</v>
      </c>
      <c r="CB635" s="61">
        <f t="shared" si="3612"/>
        <v>11.475354159716012</v>
      </c>
      <c r="CC635" s="91">
        <f>CC634-CC628</f>
        <v>104194.59999999998</v>
      </c>
      <c r="CD635" s="61">
        <f t="shared" si="3613"/>
        <v>-1.0560581615414844</v>
      </c>
      <c r="CE635" s="91">
        <f>CE634-CE628</f>
        <v>104889.99999999999</v>
      </c>
      <c r="CF635" s="61">
        <f t="shared" si="3614"/>
        <v>1.9185642590280327</v>
      </c>
      <c r="CG635" s="91">
        <f>CG634-CG628</f>
        <v>108347.29999999999</v>
      </c>
      <c r="CH635" s="61">
        <f t="shared" si="3615"/>
        <v>0.63755736762372006</v>
      </c>
      <c r="CI635" s="91">
        <f>CI634-CI628</f>
        <v>110252.7</v>
      </c>
      <c r="CJ635" s="61">
        <f t="shared" si="3616"/>
        <v>-1.2056646074936839</v>
      </c>
      <c r="CK635" s="91">
        <f>CK634-CK628</f>
        <v>108445.9</v>
      </c>
      <c r="CL635" s="61">
        <f t="shared" si="3617"/>
        <v>4.0801538659393177</v>
      </c>
      <c r="CM635" s="91">
        <f>CM634-CM628</f>
        <v>107631.39999999998</v>
      </c>
      <c r="CN635" s="61">
        <f t="shared" si="3618"/>
        <v>2.6135951949661562</v>
      </c>
      <c r="CO635" s="91">
        <f>CO634-CO628</f>
        <v>109909.29999999999</v>
      </c>
      <c r="CP635" s="61">
        <f t="shared" si="3619"/>
        <v>1.4416602905656273</v>
      </c>
      <c r="CQ635" s="91">
        <f>CQ634-CQ628</f>
        <v>115463.29999999999</v>
      </c>
      <c r="CR635" s="61">
        <f t="shared" si="3620"/>
        <v>4.7260520604030409</v>
      </c>
      <c r="CS635" s="91">
        <f>CS634-CS628</f>
        <v>115335</v>
      </c>
      <c r="CT635" s="61">
        <f t="shared" si="3621"/>
        <v>6.3525684235181012</v>
      </c>
      <c r="CU635" s="91">
        <f>CU634-CU628</f>
        <v>114308</v>
      </c>
      <c r="CV635" s="61">
        <f t="shared" si="3622"/>
        <v>6.2032083574124375</v>
      </c>
      <c r="CW635" s="91">
        <f>CW634-CW628</f>
        <v>118892</v>
      </c>
      <c r="CX635" s="61">
        <f t="shared" si="3623"/>
        <v>8.1728297787357462</v>
      </c>
      <c r="CY635" s="91">
        <f>CY634-CY628</f>
        <v>117982</v>
      </c>
      <c r="CZ635" s="61">
        <f t="shared" si="3624"/>
        <v>2.1813857736614262</v>
      </c>
      <c r="DA635" s="91">
        <f>DA634-DA628</f>
        <v>119688</v>
      </c>
      <c r="DB635" s="61">
        <f t="shared" si="3625"/>
        <v>3.7742229158538088</v>
      </c>
      <c r="DC635" s="91">
        <f>DC634-DC628</f>
        <v>119394</v>
      </c>
      <c r="DD635" s="61">
        <f t="shared" si="3626"/>
        <v>4.4493823704377711</v>
      </c>
      <c r="DE635" s="91">
        <f>DE634-DE628</f>
        <v>118645</v>
      </c>
      <c r="DF635" s="61">
        <f t="shared" si="3627"/>
        <v>-0.20775157285604084</v>
      </c>
      <c r="DG635" s="91">
        <f>DG634-DG628</f>
        <v>118798</v>
      </c>
      <c r="DH635" s="61">
        <f t="shared" si="3628"/>
        <v>0.69163092675152971</v>
      </c>
      <c r="DI635" s="91">
        <f>DI634-DI628</f>
        <v>118247</v>
      </c>
      <c r="DJ635" s="61">
        <f t="shared" si="3629"/>
        <v>-1.2039636387942032</v>
      </c>
      <c r="DK635" s="91">
        <f>DK634-DK628</f>
        <v>120527</v>
      </c>
      <c r="DL635" s="61">
        <f t="shared" si="3630"/>
        <v>0.94895890915791536</v>
      </c>
      <c r="DM635" s="91">
        <f>DM634-DM628</f>
        <v>121767</v>
      </c>
      <c r="DN635" s="130">
        <f t="shared" si="3631"/>
        <v>2.631379324876737</v>
      </c>
      <c r="DO635" s="91">
        <f>DO634-DO628</f>
        <v>122587</v>
      </c>
      <c r="DP635" s="130">
        <f t="shared" si="3631"/>
        <v>3.1894476337985589</v>
      </c>
      <c r="DQ635" s="91">
        <f>DQ634-DQ628</f>
        <v>125016</v>
      </c>
      <c r="DR635" s="61">
        <f t="shared" si="3632"/>
        <v>5.724458125787546</v>
      </c>
      <c r="DS635" s="91">
        <f>DS634-DS628</f>
        <v>126972</v>
      </c>
      <c r="DT635" s="130">
        <f t="shared" si="3631"/>
        <v>5.3473495565309115</v>
      </c>
      <c r="DU635" s="91">
        <f>DU634-DU628</f>
        <v>125161</v>
      </c>
      <c r="DV635" s="130">
        <f t="shared" si="3631"/>
        <v>2.7872904810005927</v>
      </c>
      <c r="DW635" s="91">
        <f>DW634-DW628</f>
        <v>127564</v>
      </c>
      <c r="DX635" s="91">
        <f t="shared" ref="DX635:DY635" si="3697">DX634-DX628</f>
        <v>127594</v>
      </c>
      <c r="DY635" s="91">
        <f t="shared" si="3697"/>
        <v>127444</v>
      </c>
      <c r="DZ635" s="130">
        <f t="shared" si="3631"/>
        <v>1.9421514046202182</v>
      </c>
      <c r="EA635" s="91">
        <f t="shared" ref="EA635:EC635" si="3698">EA634-EA628</f>
        <v>130281</v>
      </c>
      <c r="EB635" s="130">
        <f t="shared" si="3633"/>
        <v>2.6060863812494173</v>
      </c>
      <c r="EC635" s="91">
        <f t="shared" si="3698"/>
        <v>134800</v>
      </c>
      <c r="ED635" s="130">
        <f t="shared" si="3634"/>
        <v>7.701280750393491</v>
      </c>
      <c r="EE635" s="91">
        <f t="shared" ref="EE635:EG635" si="3699">EE634-EE628</f>
        <v>134635</v>
      </c>
      <c r="EF635" s="130">
        <f t="shared" si="3635"/>
        <v>5.543099934150697</v>
      </c>
      <c r="EG635" s="91">
        <f t="shared" si="3699"/>
        <v>131664</v>
      </c>
      <c r="EH635" s="130">
        <f t="shared" si="3636"/>
        <v>3.3112582781456901</v>
      </c>
      <c r="EI635" s="91">
        <f t="shared" ref="EI635:EK635" si="3700">EI634-EI628</f>
        <v>132663</v>
      </c>
      <c r="EJ635" s="130">
        <f t="shared" si="3637"/>
        <v>1.8283556312892912</v>
      </c>
      <c r="EK635" s="91">
        <f t="shared" si="3700"/>
        <v>133115</v>
      </c>
      <c r="EL635" s="130">
        <f t="shared" si="3638"/>
        <v>-1.2499999999999956</v>
      </c>
      <c r="EM635" s="91">
        <f t="shared" ref="EM635" si="3701">EM634-EM628</f>
        <v>134314</v>
      </c>
      <c r="EN635" s="130">
        <f t="shared" si="3639"/>
        <v>-0.23842240130723669</v>
      </c>
      <c r="EO635" s="91">
        <f t="shared" ref="EO635" si="3702">EO634-EO628</f>
        <v>134314</v>
      </c>
      <c r="EP635" s="130">
        <f t="shared" si="3640"/>
        <v>2.0126989913719751</v>
      </c>
      <c r="EQ635" s="91">
        <f t="shared" ref="EQ635:EW635" si="3703">EQ634-EQ628</f>
        <v>135656.06499999994</v>
      </c>
      <c r="ER635" s="130">
        <f t="shared" si="3642"/>
        <v>2.2561415013982344</v>
      </c>
      <c r="ES635" s="91">
        <f t="shared" si="3703"/>
        <v>137003.83907499991</v>
      </c>
      <c r="ET635" s="130">
        <f t="shared" si="3644"/>
        <v>2.9214131202343063</v>
      </c>
      <c r="EU635" s="91">
        <f t="shared" si="3703"/>
        <v>138357.11942312491</v>
      </c>
      <c r="EV635" s="130">
        <f t="shared" si="3646"/>
        <v>3.0101995496559564</v>
      </c>
      <c r="EW635" s="91">
        <f t="shared" si="3703"/>
        <v>139715.69443171174</v>
      </c>
      <c r="EX635" s="130">
        <f t="shared" si="3648"/>
        <v>4.0216912843871411</v>
      </c>
      <c r="EY635" s="356"/>
      <c r="EZ635" s="558"/>
      <c r="FA635" s="356"/>
      <c r="FB635" s="91">
        <f>FB634-FB628</f>
        <v>49875.071525120504</v>
      </c>
      <c r="FC635" s="71"/>
      <c r="FD635" s="91">
        <f>FD634-FD628</f>
        <v>49997.2</v>
      </c>
      <c r="FE635" s="70">
        <f t="shared" si="3649"/>
        <v>0.24486877140212915</v>
      </c>
      <c r="FF635" s="91">
        <f>FF634-FF628</f>
        <v>49265.9</v>
      </c>
      <c r="FG635" s="70">
        <f t="shared" si="3649"/>
        <v>-1.4626819101869581</v>
      </c>
      <c r="FH635" s="91">
        <f>FH634-FH628</f>
        <v>53013.299999999996</v>
      </c>
      <c r="FI635" s="70">
        <f t="shared" si="3649"/>
        <v>7.6064783146151616</v>
      </c>
      <c r="FJ635" s="91">
        <f>FJ634-FJ628</f>
        <v>56189.299999999988</v>
      </c>
      <c r="FK635" s="70">
        <f t="shared" si="3649"/>
        <v>5.9909494409893238</v>
      </c>
      <c r="FL635" s="91">
        <f>FL634-FL628</f>
        <v>59310.7</v>
      </c>
      <c r="FM635" s="61">
        <f t="shared" si="3650"/>
        <v>5.5551501798385194</v>
      </c>
      <c r="FN635" s="91">
        <f>FN634-FN628</f>
        <v>60177.80000000001</v>
      </c>
      <c r="FO635" s="61">
        <f t="shared" si="3651"/>
        <v>1.4619621754590861</v>
      </c>
      <c r="FP635" s="75">
        <f>FP634-FP628</f>
        <v>60608.700000000012</v>
      </c>
      <c r="FQ635" s="61">
        <f t="shared" si="3354"/>
        <v>14.327348042849653</v>
      </c>
      <c r="FR635" s="75">
        <f>FR634-FR628</f>
        <v>97490.400000000009</v>
      </c>
      <c r="FS635" s="61">
        <f t="shared" si="3652"/>
        <v>60.852154888654589</v>
      </c>
      <c r="FT635" s="75">
        <f>FT634-FT628</f>
        <v>100237.8</v>
      </c>
      <c r="FU635" s="61">
        <f t="shared" si="3653"/>
        <v>2.8181236306343838</v>
      </c>
      <c r="FV635" s="75">
        <f>FV634-FV628</f>
        <v>105306.69999999998</v>
      </c>
      <c r="FW635" s="61">
        <f t="shared" si="3654"/>
        <v>5.0568747518401125</v>
      </c>
      <c r="FX635" s="75">
        <f>FX634-FX628</f>
        <v>104194.59999999998</v>
      </c>
      <c r="FY635" s="61">
        <f t="shared" si="3655"/>
        <v>-1.0560581615414844</v>
      </c>
      <c r="FZ635" s="75">
        <f>FZ634-FZ628</f>
        <v>108445.9</v>
      </c>
      <c r="GA635" s="61">
        <f t="shared" si="3656"/>
        <v>4.0801538659393177</v>
      </c>
      <c r="GB635" s="75">
        <f>GB634-GB628</f>
        <v>115335</v>
      </c>
      <c r="GC635" s="61">
        <f t="shared" si="3657"/>
        <v>6.3525684235181012</v>
      </c>
      <c r="GD635" s="75">
        <f>GD634-GD628</f>
        <v>119688</v>
      </c>
      <c r="GE635" s="61">
        <f t="shared" si="3658"/>
        <v>3.7742229158538088</v>
      </c>
      <c r="GF635" s="75">
        <f>GF634-GF628</f>
        <v>118247</v>
      </c>
      <c r="GG635" s="61">
        <f t="shared" si="3658"/>
        <v>-1.2039636387942032</v>
      </c>
      <c r="GH635" s="75">
        <f>GH634-GH628</f>
        <v>125016</v>
      </c>
      <c r="GI635" s="61">
        <f t="shared" si="3658"/>
        <v>5.724458125787546</v>
      </c>
      <c r="GJ635" s="75">
        <f>GJ634-GJ628</f>
        <v>127444</v>
      </c>
      <c r="GK635" s="61">
        <f t="shared" si="3658"/>
        <v>1.9421514046202182</v>
      </c>
      <c r="GL635" s="75">
        <f>GL634-GL628</f>
        <v>131664</v>
      </c>
      <c r="GM635" s="61">
        <f t="shared" si="3658"/>
        <v>3.3112582781456901</v>
      </c>
      <c r="GN635" s="75">
        <f>GN634-GN628</f>
        <v>134314</v>
      </c>
      <c r="GO635" s="61">
        <f t="shared" si="3658"/>
        <v>2.0126989913719751</v>
      </c>
      <c r="GP635" s="75">
        <f>GP634-GP628</f>
        <v>139715.69443171174</v>
      </c>
      <c r="GQ635" s="61">
        <f t="shared" si="3658"/>
        <v>4.0216912843871411</v>
      </c>
      <c r="GR635" s="91">
        <f>GR634-GR628</f>
        <v>145170.29042395364</v>
      </c>
      <c r="GS635" s="61">
        <f t="shared" si="3658"/>
        <v>3.9040681967965396</v>
      </c>
      <c r="GT635" s="91">
        <f>GT634-GT628</f>
        <v>150702.39052183722</v>
      </c>
      <c r="GU635" s="61">
        <f t="shared" si="3658"/>
        <v>3.8107660194986792</v>
      </c>
      <c r="GV635" s="91">
        <f>GV634-GV628</f>
        <v>156296.66323938951</v>
      </c>
      <c r="GW635" s="61">
        <f t="shared" si="3658"/>
        <v>3.7121326995417814</v>
      </c>
      <c r="GX635" s="91">
        <f>GX634-GX628</f>
        <v>161935.25866289431</v>
      </c>
      <c r="GY635" s="61">
        <f t="shared" si="3659"/>
        <v>3.607623673237681</v>
      </c>
      <c r="GZ635" s="61">
        <f t="shared" si="3580"/>
        <v>3.8111560151161017</v>
      </c>
      <c r="HA635" s="61"/>
      <c r="HB635" s="452"/>
      <c r="HC635"/>
      <c r="HD635"/>
      <c r="HE635"/>
      <c r="HF635"/>
      <c r="HG635"/>
      <c r="HH635"/>
    </row>
    <row r="636" spans="1:216" s="5" customFormat="1" ht="12.75" customHeight="1" x14ac:dyDescent="0.2">
      <c r="B636" s="7" t="s">
        <v>149</v>
      </c>
      <c r="C636" s="91">
        <f>C632-C628</f>
        <v>49432.4</v>
      </c>
      <c r="D636" s="70"/>
      <c r="E636" s="91">
        <f>E632-E628</f>
        <v>48923.400000000009</v>
      </c>
      <c r="F636" s="71"/>
      <c r="G636" s="91">
        <f>G632-G628</f>
        <v>48832.200000000004</v>
      </c>
      <c r="H636" s="71"/>
      <c r="I636" s="91">
        <f>I632-I628</f>
        <v>49277.9</v>
      </c>
      <c r="J636" s="61"/>
      <c r="K636" s="91">
        <f>K632-K628</f>
        <v>49617</v>
      </c>
      <c r="L636" s="61">
        <f t="shared" si="3581"/>
        <v>0.37343928273763094</v>
      </c>
      <c r="M636" s="91">
        <f>M632-M628</f>
        <v>49291</v>
      </c>
      <c r="N636" s="61">
        <f t="shared" si="3582"/>
        <v>0.75137868586401257</v>
      </c>
      <c r="O636" s="91">
        <f>O632-O628</f>
        <v>50726.2</v>
      </c>
      <c r="P636" s="61">
        <f t="shared" si="3583"/>
        <v>3.8785883085341144</v>
      </c>
      <c r="Q636" s="91">
        <f>Q632-Q628</f>
        <v>53208.999999999993</v>
      </c>
      <c r="R636" s="61">
        <f t="shared" si="3584"/>
        <v>7.9774097516330578</v>
      </c>
      <c r="S636" s="91">
        <f>S632-S628</f>
        <v>52929.7</v>
      </c>
      <c r="T636" s="61">
        <f t="shared" si="3585"/>
        <v>6.6765423141261993</v>
      </c>
      <c r="U636" s="91">
        <f>U632-U628</f>
        <v>54489.599999999999</v>
      </c>
      <c r="V636" s="61">
        <f t="shared" si="3586"/>
        <v>10.546752956929261</v>
      </c>
      <c r="W636" s="91">
        <f>W632-W628</f>
        <v>56367.199999999997</v>
      </c>
      <c r="X636" s="61">
        <f t="shared" si="3587"/>
        <v>11.120486060457901</v>
      </c>
      <c r="Y636" s="91">
        <f>Y632-Y628</f>
        <v>56942.599999999991</v>
      </c>
      <c r="Z636" s="61">
        <f t="shared" si="3588"/>
        <v>7.0168580503298328</v>
      </c>
      <c r="AA636" s="91">
        <f>AA632-AA628</f>
        <v>57679.3</v>
      </c>
      <c r="AB636" s="61">
        <f t="shared" si="3589"/>
        <v>8.9734119029580839</v>
      </c>
      <c r="AC636" s="91">
        <f>AC632-AC628</f>
        <v>59590</v>
      </c>
      <c r="AD636" s="61">
        <f t="shared" si="3590"/>
        <v>9.3603182992717961</v>
      </c>
      <c r="AE636" s="91">
        <f>AE632-AE628</f>
        <v>59556.499999999993</v>
      </c>
      <c r="AF636" s="61">
        <f t="shared" si="3591"/>
        <v>5.658077747342416</v>
      </c>
      <c r="AG636" s="91">
        <f>AG632-AG628</f>
        <v>60179.7</v>
      </c>
      <c r="AH636" s="61">
        <f t="shared" si="3592"/>
        <v>5.6848475482327965</v>
      </c>
      <c r="AI636" s="91">
        <f>AI632-AI628</f>
        <v>61311.999999999993</v>
      </c>
      <c r="AJ636" s="61">
        <f t="shared" si="3593"/>
        <v>6.2981000116159258</v>
      </c>
      <c r="AK636" s="91">
        <f>AK632-AK628</f>
        <v>59974.2</v>
      </c>
      <c r="AL636" s="61">
        <f t="shared" si="3594"/>
        <v>0.64473905017619071</v>
      </c>
      <c r="AM636" s="91">
        <f>AM632-AM628</f>
        <v>60719.200000000004</v>
      </c>
      <c r="AN636" s="61">
        <f t="shared" si="3595"/>
        <v>1.9522638167118744</v>
      </c>
      <c r="AO636" s="91">
        <f>AO632-AO628</f>
        <v>61014.700000000004</v>
      </c>
      <c r="AP636" s="61">
        <f t="shared" si="3596"/>
        <v>1.3875110710090066</v>
      </c>
      <c r="AQ636" s="91">
        <f>AQ632-AQ628</f>
        <v>60965</v>
      </c>
      <c r="AR636" s="61">
        <f t="shared" si="3597"/>
        <v>-0.56595772442588066</v>
      </c>
      <c r="AS636" s="91">
        <f>AS632-AS628</f>
        <v>61774.5</v>
      </c>
      <c r="AT636" s="61">
        <f t="shared" si="3598"/>
        <v>3.0017907700311097</v>
      </c>
      <c r="AU636" s="91">
        <f>AU632-AU628</f>
        <v>61358.7</v>
      </c>
      <c r="AV636" s="61">
        <f t="shared" si="3599"/>
        <v>1.0532088696820763</v>
      </c>
      <c r="AW636" s="91">
        <f>AW632-AW628</f>
        <v>61112.600000000006</v>
      </c>
      <c r="AX636" s="61">
        <f t="shared" si="3600"/>
        <v>0.16045313670312034</v>
      </c>
      <c r="AY636" s="91">
        <f>AY632-AY628</f>
        <v>60487.8</v>
      </c>
      <c r="AZ636" s="61">
        <f t="shared" si="3601"/>
        <v>-0.78274419749035928</v>
      </c>
      <c r="BA636" s="91">
        <f>BA632-BA628</f>
        <v>96285</v>
      </c>
      <c r="BB636" s="61">
        <f t="shared" si="3344"/>
        <v>55.865284219216662</v>
      </c>
      <c r="BC636" s="91">
        <f>BC632-BC628</f>
        <v>97369.5</v>
      </c>
      <c r="BD636" s="61">
        <f t="shared" si="3345"/>
        <v>58.688987869690855</v>
      </c>
      <c r="BE636" s="91">
        <f>BE632-BE628</f>
        <v>97960.000000000015</v>
      </c>
      <c r="BF636" s="61">
        <f t="shared" si="3346"/>
        <v>60.294276466718813</v>
      </c>
      <c r="BG636" s="91">
        <f>BG632-BG628</f>
        <v>98178.9</v>
      </c>
      <c r="BH636" s="61">
        <f t="shared" si="3602"/>
        <v>62.31190421870194</v>
      </c>
      <c r="BI636" s="91">
        <f>BI632-BI628</f>
        <v>98152.400000000009</v>
      </c>
      <c r="BJ636" s="61">
        <f t="shared" si="3603"/>
        <v>1.9394505893960634</v>
      </c>
      <c r="BK636" s="91">
        <f>BK632-BK628</f>
        <v>99313.799999999988</v>
      </c>
      <c r="BL636" s="61">
        <f t="shared" si="3604"/>
        <v>1.9968265216520509</v>
      </c>
      <c r="BM636" s="91">
        <f>BM632-BM628</f>
        <v>100323.8</v>
      </c>
      <c r="BN636" s="61">
        <f t="shared" si="3605"/>
        <v>2.4130257247856113</v>
      </c>
      <c r="BO636" s="91">
        <f>BO632-BO628</f>
        <v>100646.1</v>
      </c>
      <c r="BP636" s="61">
        <f t="shared" si="3606"/>
        <v>2.5129635797508598</v>
      </c>
      <c r="BQ636" s="91">
        <f>BQ632-BQ628</f>
        <v>98985.800000000017</v>
      </c>
      <c r="BR636" s="61">
        <f t="shared" si="3607"/>
        <v>0.849087745179955</v>
      </c>
      <c r="BS636" s="91">
        <f>BS632-BS628</f>
        <v>98299.900000000009</v>
      </c>
      <c r="BT636" s="61">
        <f t="shared" si="3608"/>
        <v>-1.0209054532199779</v>
      </c>
      <c r="BU636" s="91">
        <f>BU632-BU628</f>
        <v>102503.19999999998</v>
      </c>
      <c r="BV636" s="61">
        <f t="shared" si="3609"/>
        <v>2.1723658792828671</v>
      </c>
      <c r="BW636" s="91">
        <f>BW632-BW628</f>
        <v>99940.4</v>
      </c>
      <c r="BX636" s="61">
        <f t="shared" si="3610"/>
        <v>-0.70116974229503803</v>
      </c>
      <c r="BY636" s="91">
        <f>BY632-BY628</f>
        <v>105953.5</v>
      </c>
      <c r="BZ636" s="61">
        <f t="shared" si="3611"/>
        <v>7.0390904553986333</v>
      </c>
      <c r="CA636" s="91">
        <f>CA632-CA628</f>
        <v>111378.20000000001</v>
      </c>
      <c r="CB636" s="61">
        <f t="shared" si="3612"/>
        <v>13.304489628168504</v>
      </c>
      <c r="CC636" s="91">
        <f>CC632-CC628</f>
        <v>103933.19999999998</v>
      </c>
      <c r="CD636" s="61">
        <f t="shared" si="3613"/>
        <v>1.3950783975524628</v>
      </c>
      <c r="CE636" s="91">
        <f>CE632-CE628</f>
        <v>105192.2</v>
      </c>
      <c r="CF636" s="61">
        <f t="shared" si="3614"/>
        <v>5.254931939435914</v>
      </c>
      <c r="CG636" s="91">
        <f>CG632-CG628</f>
        <v>109285.19999999998</v>
      </c>
      <c r="CH636" s="61">
        <f t="shared" si="3615"/>
        <v>3.144492631201401</v>
      </c>
      <c r="CI636" s="91">
        <f>CI632-CI628</f>
        <v>111914.2</v>
      </c>
      <c r="CJ636" s="61">
        <f t="shared" si="3616"/>
        <v>0.4812431876255685</v>
      </c>
      <c r="CK636" s="91">
        <f>CK632-CK628</f>
        <v>109193.60000000001</v>
      </c>
      <c r="CL636" s="61">
        <f t="shared" si="3617"/>
        <v>5.0613278528901517</v>
      </c>
      <c r="CM636" s="91">
        <f>CM632-CM628</f>
        <v>108504.09999999999</v>
      </c>
      <c r="CN636" s="61">
        <f t="shared" si="3618"/>
        <v>3.1484273548799235</v>
      </c>
      <c r="CO636" s="91">
        <f>CO632-CO628</f>
        <v>111136.29999999999</v>
      </c>
      <c r="CP636" s="61">
        <f t="shared" si="3619"/>
        <v>1.6938249644050662</v>
      </c>
      <c r="CQ636" s="91">
        <f>CQ632-CQ628</f>
        <v>118127.29999999999</v>
      </c>
      <c r="CR636" s="61">
        <f t="shared" si="3620"/>
        <v>5.5516636852159795</v>
      </c>
      <c r="CS636" s="91">
        <f>CS632-CS628</f>
        <v>118014</v>
      </c>
      <c r="CT636" s="61">
        <f t="shared" si="3621"/>
        <v>8.0777627992849368</v>
      </c>
      <c r="CU636" s="91">
        <f>CU632-CU628</f>
        <v>116930</v>
      </c>
      <c r="CV636" s="61">
        <f t="shared" si="3622"/>
        <v>7.7655130082642021</v>
      </c>
      <c r="CW636" s="91">
        <f>CW632-CW628</f>
        <v>122271</v>
      </c>
      <c r="CX636" s="61">
        <f t="shared" si="3623"/>
        <v>10.018958702062264</v>
      </c>
      <c r="CY636" s="91">
        <f>CY632-CY628</f>
        <v>122132</v>
      </c>
      <c r="CZ636" s="61">
        <f t="shared" si="3624"/>
        <v>3.39015621283143</v>
      </c>
      <c r="DA636" s="91">
        <f>DA632-DA628</f>
        <v>123496</v>
      </c>
      <c r="DB636" s="61">
        <f t="shared" si="3625"/>
        <v>4.645211585066189</v>
      </c>
      <c r="DC636" s="91">
        <f>DC632-DC628</f>
        <v>122975</v>
      </c>
      <c r="DD636" s="61">
        <f t="shared" si="3626"/>
        <v>5.169759685281794</v>
      </c>
      <c r="DE636" s="91">
        <f>DE632-DE628</f>
        <v>120538</v>
      </c>
      <c r="DF636" s="61">
        <f t="shared" si="3627"/>
        <v>-1.4173434420263198</v>
      </c>
      <c r="DG636" s="91">
        <f>DG632-DG628</f>
        <v>120548</v>
      </c>
      <c r="DH636" s="61">
        <f t="shared" si="3628"/>
        <v>-1.2969573903645282</v>
      </c>
      <c r="DI636" s="91">
        <f>DI632-DI628</f>
        <v>119810</v>
      </c>
      <c r="DJ636" s="61">
        <f t="shared" si="3629"/>
        <v>-2.9847120554511886</v>
      </c>
      <c r="DK636" s="91">
        <f>DK632-DK628</f>
        <v>122981</v>
      </c>
      <c r="DL636" s="61">
        <f t="shared" si="3630"/>
        <v>4.8790404553855637E-3</v>
      </c>
      <c r="DM636" s="91">
        <f>DM632-DM628</f>
        <v>124966</v>
      </c>
      <c r="DN636" s="130">
        <f t="shared" si="3631"/>
        <v>3.6735303389802354</v>
      </c>
      <c r="DO636" s="91">
        <f>DO632-DO628</f>
        <v>125509</v>
      </c>
      <c r="DP636" s="130">
        <f t="shared" si="3631"/>
        <v>4.1153731293758433</v>
      </c>
      <c r="DQ636" s="91">
        <f>DQ632-DQ628</f>
        <v>128112</v>
      </c>
      <c r="DR636" s="61">
        <f t="shared" si="3632"/>
        <v>6.9293047324931134</v>
      </c>
      <c r="DS636" s="91">
        <f>DS632-DS628</f>
        <v>130625</v>
      </c>
      <c r="DT636" s="130">
        <f t="shared" si="3631"/>
        <v>6.2155942787910368</v>
      </c>
      <c r="DU636" s="91">
        <f>DU632-DU628</f>
        <v>127105</v>
      </c>
      <c r="DV636" s="130">
        <f t="shared" si="3631"/>
        <v>1.7116655730358588</v>
      </c>
      <c r="DW636" s="91">
        <f>DW632-DW628</f>
        <v>129227</v>
      </c>
      <c r="DX636" s="91">
        <f t="shared" ref="DX636:DY636" si="3704">DX632-DX628</f>
        <v>129257</v>
      </c>
      <c r="DY636" s="91">
        <f t="shared" si="3704"/>
        <v>128289</v>
      </c>
      <c r="DZ636" s="130">
        <f t="shared" si="3631"/>
        <v>0.13816035968527984</v>
      </c>
      <c r="EA636" s="91">
        <f t="shared" ref="EA636:EC636" si="3705">EA632-EA628</f>
        <v>132212</v>
      </c>
      <c r="EB636" s="130">
        <f t="shared" si="3633"/>
        <v>1.2149282296650687</v>
      </c>
      <c r="EC636" s="91">
        <f t="shared" si="3705"/>
        <v>137995</v>
      </c>
      <c r="ED636" s="130">
        <f t="shared" si="3634"/>
        <v>8.5677196019039457</v>
      </c>
      <c r="EE636" s="91">
        <f t="shared" ref="EE636:EG636" si="3706">EE632-EE628</f>
        <v>138012</v>
      </c>
      <c r="EF636" s="130">
        <f t="shared" si="3635"/>
        <v>6.7981149450192291</v>
      </c>
      <c r="EG636" s="91">
        <f t="shared" si="3706"/>
        <v>133230</v>
      </c>
      <c r="EH636" s="130">
        <f t="shared" si="3636"/>
        <v>3.851460374622917</v>
      </c>
      <c r="EI636" s="91">
        <f t="shared" ref="EI636:EK636" si="3707">EI632-EI628</f>
        <v>134510</v>
      </c>
      <c r="EJ636" s="130">
        <f t="shared" si="3637"/>
        <v>1.7381175687532169</v>
      </c>
      <c r="EK636" s="91">
        <f t="shared" si="3707"/>
        <v>135826</v>
      </c>
      <c r="EL636" s="130">
        <f t="shared" si="3638"/>
        <v>-1.5717960795680996</v>
      </c>
      <c r="EM636" s="91">
        <f t="shared" ref="EM636" si="3708">EM632-EM628</f>
        <v>137173</v>
      </c>
      <c r="EN636" s="130">
        <f t="shared" si="3639"/>
        <v>-0.60791815204475075</v>
      </c>
      <c r="EO636" s="91">
        <f t="shared" ref="EO636" si="3709">EO632-EO628</f>
        <v>137544</v>
      </c>
      <c r="EP636" s="130">
        <f t="shared" si="3640"/>
        <v>3.2380094573294382</v>
      </c>
      <c r="EQ636" s="91">
        <f t="shared" ref="EQ636:EW636" si="3710">EQ632-EQ628</f>
        <v>138886.06499999994</v>
      </c>
      <c r="ER636" s="130">
        <f t="shared" si="3642"/>
        <v>3.2533380417812285</v>
      </c>
      <c r="ES636" s="91">
        <f t="shared" si="3710"/>
        <v>140233.83907499991</v>
      </c>
      <c r="ET636" s="130">
        <f t="shared" si="3644"/>
        <v>3.2452101033674685</v>
      </c>
      <c r="EU636" s="91">
        <f t="shared" si="3710"/>
        <v>141587.11942312491</v>
      </c>
      <c r="EV636" s="130">
        <f t="shared" si="3646"/>
        <v>3.2179214737046768</v>
      </c>
      <c r="EW636" s="91">
        <f t="shared" si="3710"/>
        <v>142945.69443171174</v>
      </c>
      <c r="EX636" s="130">
        <f t="shared" si="3648"/>
        <v>3.9272483217819287</v>
      </c>
      <c r="EY636" s="356"/>
      <c r="EZ636" s="558"/>
      <c r="FA636" s="356"/>
      <c r="FB636" s="91">
        <f>FB632-FB628</f>
        <v>50427.4</v>
      </c>
      <c r="FC636" s="71"/>
      <c r="FD636" s="91">
        <f>FD632-FD628</f>
        <v>49531.5</v>
      </c>
      <c r="FE636" s="70">
        <f t="shared" si="3649"/>
        <v>-1.7766135077358802</v>
      </c>
      <c r="FF636" s="91">
        <f>FF632-FF628</f>
        <v>49277.9</v>
      </c>
      <c r="FG636" s="70">
        <f t="shared" si="3649"/>
        <v>-0.51199741578591418</v>
      </c>
      <c r="FH636" s="91">
        <f>FH632-FH628</f>
        <v>53208.999999999993</v>
      </c>
      <c r="FI636" s="70">
        <f t="shared" si="3649"/>
        <v>7.9774097516330578</v>
      </c>
      <c r="FJ636" s="91">
        <f>FJ632-FJ628</f>
        <v>56942.599999999991</v>
      </c>
      <c r="FK636" s="70">
        <f t="shared" si="3649"/>
        <v>7.0168580503298328</v>
      </c>
      <c r="FL636" s="91">
        <f>FL632-FL628</f>
        <v>60179.7</v>
      </c>
      <c r="FM636" s="61">
        <f t="shared" si="3650"/>
        <v>5.6848475482327965</v>
      </c>
      <c r="FN636" s="91">
        <f>FN632-FN628</f>
        <v>61014.700000000004</v>
      </c>
      <c r="FO636" s="61">
        <f t="shared" si="3651"/>
        <v>1.3875110710090066</v>
      </c>
      <c r="FP636" s="75">
        <f>FP632-FP628</f>
        <v>61112.600000000006</v>
      </c>
      <c r="FQ636" s="61">
        <f t="shared" si="3354"/>
        <v>14.853878103328411</v>
      </c>
      <c r="FR636" s="75">
        <f>FR632-FR628</f>
        <v>97960.000000000015</v>
      </c>
      <c r="FS636" s="61">
        <f t="shared" si="3652"/>
        <v>60.294276466718813</v>
      </c>
      <c r="FT636" s="75">
        <f>FT632-FT628</f>
        <v>100323.8</v>
      </c>
      <c r="FU636" s="61">
        <f t="shared" si="3653"/>
        <v>2.4130257247856113</v>
      </c>
      <c r="FV636" s="75">
        <f>FV632-FV628</f>
        <v>102503.19999999998</v>
      </c>
      <c r="FW636" s="61">
        <f t="shared" si="3654"/>
        <v>2.1723658792828671</v>
      </c>
      <c r="FX636" s="75">
        <f>FX632-FX628</f>
        <v>103933.19999999998</v>
      </c>
      <c r="FY636" s="61">
        <f t="shared" si="3655"/>
        <v>1.3950783975524628</v>
      </c>
      <c r="FZ636" s="75">
        <f>FZ632-FZ628</f>
        <v>109193.60000000001</v>
      </c>
      <c r="GA636" s="61">
        <f t="shared" si="3656"/>
        <v>5.0613278528901517</v>
      </c>
      <c r="GB636" s="75">
        <f>GB632-GB628</f>
        <v>118014</v>
      </c>
      <c r="GC636" s="61">
        <f t="shared" si="3657"/>
        <v>8.0777627992849368</v>
      </c>
      <c r="GD636" s="75">
        <f>GD632-GD628</f>
        <v>123496</v>
      </c>
      <c r="GE636" s="61">
        <f t="shared" si="3658"/>
        <v>4.645211585066189</v>
      </c>
      <c r="GF636" s="75">
        <f>GF632-GF628</f>
        <v>119810</v>
      </c>
      <c r="GG636" s="61">
        <f t="shared" si="3658"/>
        <v>-2.9847120554511886</v>
      </c>
      <c r="GH636" s="75">
        <f>GH632-GH628</f>
        <v>128112</v>
      </c>
      <c r="GI636" s="61">
        <f t="shared" si="3658"/>
        <v>6.9293047324931134</v>
      </c>
      <c r="GJ636" s="75">
        <f>GJ632-GJ628</f>
        <v>128289</v>
      </c>
      <c r="GK636" s="61">
        <f t="shared" si="3658"/>
        <v>0.13816035968527984</v>
      </c>
      <c r="GL636" s="75">
        <f>GL632-GL628</f>
        <v>133230</v>
      </c>
      <c r="GM636" s="61">
        <f t="shared" si="3658"/>
        <v>3.851460374622917</v>
      </c>
      <c r="GN636" s="75">
        <f>GN632-GN628</f>
        <v>137544</v>
      </c>
      <c r="GO636" s="61">
        <f t="shared" si="3658"/>
        <v>3.2380094573294382</v>
      </c>
      <c r="GP636" s="75">
        <f>GP632-GP628</f>
        <v>142945.69443171174</v>
      </c>
      <c r="GQ636" s="61">
        <f t="shared" si="3658"/>
        <v>3.9272483217819287</v>
      </c>
      <c r="GR636" s="91">
        <f>GR632-GR628</f>
        <v>148400.29042395364</v>
      </c>
      <c r="GS636" s="61">
        <f t="shared" si="3658"/>
        <v>3.8158518967128963</v>
      </c>
      <c r="GT636" s="91">
        <f>GT632-GT628</f>
        <v>153932.39052183722</v>
      </c>
      <c r="GU636" s="61">
        <f t="shared" si="3658"/>
        <v>3.7278229591595435</v>
      </c>
      <c r="GV636" s="91">
        <f>GV632-GV628</f>
        <v>159526.66323938951</v>
      </c>
      <c r="GW636" s="61">
        <f t="shared" si="3658"/>
        <v>3.6342401352876141</v>
      </c>
      <c r="GX636" s="91">
        <f>GX632-GX628</f>
        <v>165165.25866289431</v>
      </c>
      <c r="GY636" s="61">
        <f t="shared" si="3659"/>
        <v>3.5345786773232968</v>
      </c>
      <c r="GZ636" s="61">
        <f t="shared" si="3580"/>
        <v>3.7278581454177173</v>
      </c>
      <c r="HA636" s="61"/>
      <c r="HB636" s="452"/>
      <c r="HC636"/>
      <c r="HD636"/>
      <c r="HE636"/>
      <c r="HF636"/>
      <c r="HG636"/>
      <c r="HH636"/>
    </row>
    <row r="637" spans="1:216" s="5" customFormat="1" ht="12.75" customHeight="1" x14ac:dyDescent="0.2">
      <c r="B637" s="7"/>
      <c r="C637" s="91"/>
      <c r="D637" s="70"/>
      <c r="E637" s="91"/>
      <c r="F637" s="71"/>
      <c r="G637" s="91"/>
      <c r="H637" s="71"/>
      <c r="I637" s="91"/>
      <c r="J637" s="61"/>
      <c r="K637" s="91"/>
      <c r="L637" s="61"/>
      <c r="M637" s="91"/>
      <c r="N637" s="61"/>
      <c r="O637" s="91"/>
      <c r="P637" s="61"/>
      <c r="Q637" s="91"/>
      <c r="R637" s="61"/>
      <c r="S637" s="91"/>
      <c r="T637" s="61"/>
      <c r="U637" s="91"/>
      <c r="V637" s="61"/>
      <c r="W637" s="91"/>
      <c r="X637" s="61"/>
      <c r="Y637" s="91"/>
      <c r="Z637" s="61"/>
      <c r="AA637" s="91"/>
      <c r="AB637" s="61"/>
      <c r="AC637" s="91"/>
      <c r="AD637" s="61"/>
      <c r="AE637" s="91"/>
      <c r="AF637" s="61"/>
      <c r="AG637" s="91"/>
      <c r="AH637" s="61"/>
      <c r="AI637" s="91"/>
      <c r="AJ637" s="61"/>
      <c r="AK637" s="91"/>
      <c r="AL637" s="61"/>
      <c r="AM637" s="91"/>
      <c r="AN637" s="61"/>
      <c r="AO637" s="91"/>
      <c r="AP637" s="61"/>
      <c r="AQ637" s="91"/>
      <c r="AR637" s="61"/>
      <c r="AS637" s="91"/>
      <c r="AT637" s="61"/>
      <c r="AU637" s="91"/>
      <c r="AV637" s="61"/>
      <c r="AW637" s="91"/>
      <c r="AX637" s="61"/>
      <c r="AY637" s="91"/>
      <c r="AZ637" s="61"/>
      <c r="BA637" s="91"/>
      <c r="BB637" s="61"/>
      <c r="BC637" s="91"/>
      <c r="BD637" s="61"/>
      <c r="BE637" s="91"/>
      <c r="BF637" s="61"/>
      <c r="BG637" s="91"/>
      <c r="BH637" s="61"/>
      <c r="BI637" s="91"/>
      <c r="BJ637" s="61"/>
      <c r="BK637" s="91"/>
      <c r="BL637" s="61"/>
      <c r="BM637" s="91"/>
      <c r="BN637" s="61"/>
      <c r="BO637" s="91"/>
      <c r="BP637" s="61"/>
      <c r="BQ637" s="91"/>
      <c r="BR637" s="61"/>
      <c r="BS637" s="91"/>
      <c r="BT637" s="61"/>
      <c r="BU637" s="91"/>
      <c r="BV637" s="61"/>
      <c r="BW637" s="91"/>
      <c r="BX637" s="61"/>
      <c r="BY637" s="91"/>
      <c r="BZ637" s="61"/>
      <c r="CA637" s="91"/>
      <c r="CB637" s="61"/>
      <c r="CC637" s="91"/>
      <c r="CD637" s="61"/>
      <c r="CE637" s="91"/>
      <c r="CF637" s="61"/>
      <c r="CG637" s="91"/>
      <c r="CH637" s="61"/>
      <c r="CI637" s="91"/>
      <c r="CJ637" s="61"/>
      <c r="CK637" s="91"/>
      <c r="CL637" s="61"/>
      <c r="CM637" s="91"/>
      <c r="CN637" s="61"/>
      <c r="CO637" s="91"/>
      <c r="CP637" s="61"/>
      <c r="CQ637" s="91"/>
      <c r="CR637" s="61"/>
      <c r="CS637" s="91"/>
      <c r="CT637" s="61"/>
      <c r="CU637" s="91"/>
      <c r="CV637" s="61"/>
      <c r="CW637" s="91"/>
      <c r="CX637" s="61"/>
      <c r="CY637" s="91"/>
      <c r="CZ637" s="61"/>
      <c r="DA637" s="91"/>
      <c r="DB637" s="61"/>
      <c r="DC637" s="91"/>
      <c r="DD637" s="61"/>
      <c r="DE637" s="91"/>
      <c r="DF637" s="61"/>
      <c r="DG637" s="91"/>
      <c r="DH637" s="61"/>
      <c r="DI637" s="91"/>
      <c r="DJ637" s="61"/>
      <c r="DK637" s="91"/>
      <c r="DL637" s="61"/>
      <c r="DM637" s="91"/>
      <c r="DN637" s="61"/>
      <c r="DO637" s="91"/>
      <c r="DP637" s="61"/>
      <c r="DQ637" s="91"/>
      <c r="DR637" s="61"/>
      <c r="DS637" s="91"/>
      <c r="DT637" s="61"/>
      <c r="DU637" s="91"/>
      <c r="DV637" s="61"/>
      <c r="DW637" s="91"/>
      <c r="DX637" s="91"/>
      <c r="DY637" s="91"/>
      <c r="DZ637" s="61"/>
      <c r="EA637" s="91"/>
      <c r="EB637" s="61"/>
      <c r="EC637" s="91"/>
      <c r="ED637" s="61"/>
      <c r="EE637" s="91"/>
      <c r="EF637" s="61"/>
      <c r="EG637" s="91"/>
      <c r="EH637" s="61"/>
      <c r="EI637" s="91"/>
      <c r="EJ637" s="61"/>
      <c r="EK637" s="91"/>
      <c r="EL637" s="61"/>
      <c r="EM637" s="91"/>
      <c r="EN637" s="61"/>
      <c r="EO637" s="91"/>
      <c r="EP637" s="61"/>
      <c r="EQ637" s="91"/>
      <c r="ER637" s="61"/>
      <c r="ES637" s="91"/>
      <c r="ET637" s="61"/>
      <c r="EU637" s="91"/>
      <c r="EV637" s="61"/>
      <c r="EW637" s="91"/>
      <c r="EX637" s="61"/>
      <c r="EY637" s="356"/>
      <c r="EZ637" s="558"/>
      <c r="FA637" s="356"/>
      <c r="FB637" s="91"/>
      <c r="FC637" s="71"/>
      <c r="FD637" s="91"/>
      <c r="FE637" s="70"/>
      <c r="FF637" s="91"/>
      <c r="FG637" s="70"/>
      <c r="FH637" s="91"/>
      <c r="FI637" s="70"/>
      <c r="FJ637" s="91"/>
      <c r="FK637" s="70"/>
      <c r="FL637" s="91"/>
      <c r="FM637" s="61"/>
      <c r="FN637" s="91"/>
      <c r="FO637" s="61"/>
      <c r="FP637" s="75"/>
      <c r="FQ637" s="61"/>
      <c r="FR637" s="75"/>
      <c r="FS637" s="61"/>
      <c r="FT637" s="75"/>
      <c r="FU637" s="61"/>
      <c r="FV637" s="75"/>
      <c r="FW637" s="61"/>
      <c r="FX637" s="75"/>
      <c r="FY637" s="61"/>
      <c r="FZ637" s="75"/>
      <c r="GA637" s="61"/>
      <c r="GB637" s="75"/>
      <c r="GC637" s="61"/>
      <c r="GD637" s="75"/>
      <c r="GE637" s="61"/>
      <c r="GF637" s="75"/>
      <c r="GG637" s="61"/>
      <c r="GH637" s="75"/>
      <c r="GI637" s="61"/>
      <c r="GJ637" s="75"/>
      <c r="GK637" s="61"/>
      <c r="GL637" s="75"/>
      <c r="GM637" s="61"/>
      <c r="GN637" s="75"/>
      <c r="GO637" s="61"/>
      <c r="GP637" s="75"/>
      <c r="GQ637" s="61"/>
      <c r="GR637" s="91"/>
      <c r="GS637" s="61"/>
      <c r="GT637" s="91"/>
      <c r="GU637" s="61"/>
      <c r="GV637" s="91"/>
      <c r="GW637" s="61"/>
      <c r="GX637" s="91"/>
      <c r="GY637" s="61"/>
      <c r="GZ637" s="61" t="str">
        <f t="shared" si="3580"/>
        <v/>
      </c>
      <c r="HA637" s="61"/>
      <c r="HB637" s="452"/>
      <c r="HC637"/>
      <c r="HD637"/>
      <c r="HE637"/>
      <c r="HF637"/>
      <c r="HG637"/>
      <c r="HH637"/>
    </row>
    <row r="638" spans="1:216" s="5" customFormat="1" ht="12.75" customHeight="1" x14ac:dyDescent="0.2">
      <c r="A638" s="5" t="s">
        <v>296</v>
      </c>
      <c r="B638" s="401" t="s">
        <v>637</v>
      </c>
      <c r="C638" s="91"/>
      <c r="D638" s="70"/>
      <c r="E638" s="91"/>
      <c r="F638" s="71"/>
      <c r="G638" s="91"/>
      <c r="H638" s="71"/>
      <c r="I638" s="91"/>
      <c r="J638" s="61"/>
      <c r="K638" s="91"/>
      <c r="L638" s="61"/>
      <c r="M638" s="91"/>
      <c r="N638" s="61"/>
      <c r="O638" s="91"/>
      <c r="P638" s="61"/>
      <c r="Q638" s="91"/>
      <c r="R638" s="61"/>
      <c r="S638" s="90">
        <v>7.5</v>
      </c>
      <c r="T638" s="61"/>
      <c r="U638" s="90">
        <v>6.4</v>
      </c>
      <c r="V638" s="61"/>
      <c r="W638" s="90">
        <v>6.6</v>
      </c>
      <c r="X638" s="61"/>
      <c r="Y638" s="90">
        <v>6.6</v>
      </c>
      <c r="Z638" s="61"/>
      <c r="AA638" s="90">
        <v>6.6</v>
      </c>
      <c r="AB638" s="61"/>
      <c r="AC638" s="90">
        <v>6.6</v>
      </c>
      <c r="AD638" s="61"/>
      <c r="AE638" s="90">
        <v>6.9</v>
      </c>
      <c r="AF638" s="61"/>
      <c r="AG638" s="90">
        <v>6.8</v>
      </c>
      <c r="AH638" s="61"/>
      <c r="AI638" s="90">
        <v>6.9</v>
      </c>
      <c r="AJ638" s="61"/>
      <c r="AK638" s="90">
        <v>7.1</v>
      </c>
      <c r="AL638" s="61"/>
      <c r="AM638" s="90">
        <v>6.9</v>
      </c>
      <c r="AN638" s="61"/>
      <c r="AO638" s="90">
        <v>7</v>
      </c>
      <c r="AP638" s="61"/>
      <c r="AQ638" s="90">
        <v>6.2</v>
      </c>
      <c r="AR638" s="61">
        <f>IF(ISERROR((AQ638/AI638-1)*100),"NA",IF(((AQ638/AI638-1)*100)&gt;100,"NM",IF(((AQ638/AI638-1)*100)&lt;-50,"NM",(AQ638/AI638-1)*100)))</f>
        <v>-10.144927536231885</v>
      </c>
      <c r="AS638" s="90">
        <v>6.5</v>
      </c>
      <c r="AT638" s="61">
        <f>IF(ISERROR((AS638/AK638-1)*100),"NA",IF(((AS638/AK638-1)*100)&gt;100,"NM",IF(((AS638/AK638-1)*100)&lt;-50,"NM",(AS638/AK638-1)*100)))</f>
        <v>-8.4507042253521121</v>
      </c>
      <c r="AU638" s="90">
        <v>7.3</v>
      </c>
      <c r="AV638" s="61">
        <f>IF(ISERROR((AU638/AM638-1)*100),"NA",IF(((AU638/AM638-1)*100)&gt;100,"NM",IF(((AU638/AM638-1)*100)&lt;-50,"NM",(AU638/AM638-1)*100)))</f>
        <v>5.7971014492753437</v>
      </c>
      <c r="AW638" s="90">
        <v>7.4</v>
      </c>
      <c r="AX638" s="61">
        <f>IF(ISERROR((AW638/AO638-1)*100),"NA",IF(((AW638/AO638-1)*100)&gt;100,"NM",IF(((AW638/AO638-1)*100)&lt;-50,"NM",(AW638/AO638-1)*100)))</f>
        <v>5.7142857142857162</v>
      </c>
      <c r="AY638" s="90">
        <v>7.5</v>
      </c>
      <c r="AZ638" s="61">
        <f>IF(ISERROR((AY638/AQ638-1)*100),"NA",IF(((AY638/AQ638-1)*100)&gt;100,"NM",IF(((AY638/AQ638-1)*100)&lt;-50,"NM",(AY638/AQ638-1)*100)))</f>
        <v>20.967741935483875</v>
      </c>
      <c r="BA638" s="90">
        <v>7</v>
      </c>
      <c r="BB638" s="61">
        <f t="shared" si="3344"/>
        <v>7.6923076923076872</v>
      </c>
      <c r="BC638" s="90">
        <v>6.4</v>
      </c>
      <c r="BD638" s="61">
        <f t="shared" si="3345"/>
        <v>-12.328767123287665</v>
      </c>
      <c r="BE638" s="90">
        <v>6.3</v>
      </c>
      <c r="BF638" s="61">
        <f t="shared" si="3346"/>
        <v>-14.864864864864868</v>
      </c>
      <c r="BG638" s="90">
        <v>6.3</v>
      </c>
      <c r="BH638" s="61">
        <f>IF(ISERROR((BG638/AY638-1)*100),"NA",IF(((BG638/AY638-1)*100)&gt;100,"NM",IF(((BG638/AY638-1)*100)&lt;-50,"NM",(BG638/AY638-1)*100)))</f>
        <v>-16.000000000000004</v>
      </c>
      <c r="BI638" s="90">
        <v>5.3</v>
      </c>
      <c r="BJ638" s="61">
        <f>IF(ISERROR((BI638/BA638-1)*100),"NA",IF(((BI638/BA638-1)*100)&gt;100,"NM",IF(((BI638/BA638-1)*100)&lt;-50,"NM",(BI638/BA638-1)*100)))</f>
        <v>-24.285714285714288</v>
      </c>
      <c r="BK638" s="90">
        <v>5.2</v>
      </c>
      <c r="BL638" s="61">
        <f>IF(ISERROR((BK638/BC638-1)*100),"NA",IF(((BK638/BC638-1)*100)&gt;100,"NM",IF(((BK638/BC638-1)*100)&lt;-50,"NM",(BK638/BC638-1)*100)))</f>
        <v>-18.75</v>
      </c>
      <c r="BM638" s="90">
        <v>5</v>
      </c>
      <c r="BN638" s="61">
        <f>IF(ISERROR((BM638/BE638-1)*100),"NA",IF(((BM638/BE638-1)*100)&gt;100,"NM",IF(((BM638/BE638-1)*100)&lt;-50,"NM",(BM638/BE638-1)*100)))</f>
        <v>-20.634920634920629</v>
      </c>
      <c r="BO638" s="90">
        <v>5.2</v>
      </c>
      <c r="BP638" s="61">
        <f>IF(ISERROR((BO638/BG638-1)*100),"NA",IF(((BO638/BG638-1)*100)&gt;100,"NM",IF(((BO638/BG638-1)*100)&lt;-50,"NM",(BO638/BG638-1)*100)))</f>
        <v>-17.460317460317455</v>
      </c>
      <c r="BQ638" s="90">
        <v>5.2</v>
      </c>
      <c r="BR638" s="61">
        <f>IF(ISERROR((BQ638/BI638-1)*100),"NA",IF(((BQ638/BI638-1)*100)&gt;100,"NM",IF(((BQ638/BI638-1)*100)&lt;-50,"NM",(BQ638/BI638-1)*100)))</f>
        <v>-1.8867924528301772</v>
      </c>
      <c r="BS638" s="90">
        <v>4.8</v>
      </c>
      <c r="BT638" s="61">
        <f>IF(ISERROR((BS638/BK638-1)*100),"NA",IF(((BS638/BK638-1)*100)&gt;100,"NM",IF(((BS638/BK638-1)*100)&lt;-50,"NM",(BS638/BK638-1)*100)))</f>
        <v>-7.6923076923076987</v>
      </c>
      <c r="BU638" s="90">
        <v>4.5</v>
      </c>
      <c r="BV638" s="61">
        <f>IF(ISERROR((BU638/BM638-1)*100),"NA",IF(((BU638/BM638-1)*100)&gt;100,"NM",IF(((BU638/BM638-1)*100)&lt;-50,"NM",(BU638/BM638-1)*100)))</f>
        <v>-9.9999999999999982</v>
      </c>
      <c r="BW638" s="90">
        <v>5.6</v>
      </c>
      <c r="BX638" s="61">
        <f>IF(ISERROR((BW638/BO638-1)*100),"NA",IF(((BW638/BO638-1)*100)&gt;100,"NM",IF(((BW638/BO638-1)*100)&lt;-50,"NM",(BW638/BO638-1)*100)))</f>
        <v>7.6923076923076872</v>
      </c>
      <c r="BY638" s="90">
        <v>7</v>
      </c>
      <c r="BZ638" s="61">
        <f>IF(ISERROR((BY638/BQ638-1)*100),"NA",IF(((BY638/BQ638-1)*100)&gt;100,"NM",IF(((BY638/BQ638-1)*100)&lt;-50,"NM",(BY638/BQ638-1)*100)))</f>
        <v>34.615384615384606</v>
      </c>
      <c r="CA638" s="90">
        <v>6.8</v>
      </c>
      <c r="CB638" s="61">
        <f>IF(ISERROR((CA638/BS638-1)*100),"NA",IF(((CA638/BS638-1)*100)&gt;100,"NM",IF(((CA638/BS638-1)*100)&lt;-50,"NM",(CA638/BS638-1)*100)))</f>
        <v>41.666666666666671</v>
      </c>
      <c r="CC638" s="90">
        <v>6.9</v>
      </c>
      <c r="CD638" s="61">
        <f>IF(ISERROR((CC638/BU638-1)*100),"NA",IF(((CC638/BU638-1)*100)&gt;100,"NM",IF(((CC638/BU638-1)*100)&lt;-50,"NM",(CC638/BU638-1)*100)))</f>
        <v>53.333333333333343</v>
      </c>
      <c r="CE638" s="90">
        <v>6.1</v>
      </c>
      <c r="CF638" s="61">
        <f>IF(ISERROR((CE638/BW638-1)*100),"NA",IF(((CE638/BW638-1)*100)&gt;100,"NM",IF(((CE638/BW638-1)*100)&lt;-50,"NM",(CE638/BW638-1)*100)))</f>
        <v>8.9285714285714199</v>
      </c>
      <c r="CG638" s="90">
        <v>5.8</v>
      </c>
      <c r="CH638" s="61">
        <f>IF(ISERROR((CG638/BY638-1)*100),"NA",IF(((CG638/BY638-1)*100)&gt;100,"NM",IF(((CG638/BY638-1)*100)&lt;-50,"NM",(CG638/BY638-1)*100)))</f>
        <v>-17.142857142857149</v>
      </c>
      <c r="CI638" s="90">
        <v>6.9</v>
      </c>
      <c r="CJ638" s="61">
        <f>IF(ISERROR((CI638/CA638-1)*100),"NA",IF(((CI638/CA638-1)*100)&gt;100,"NM",IF(((CI638/CA638-1)*100)&lt;-50,"NM",(CI638/CA638-1)*100)))</f>
        <v>1.4705882352941346</v>
      </c>
      <c r="CK638" s="90">
        <v>5.7</v>
      </c>
      <c r="CL638" s="61">
        <f>IF(ISERROR((CK638/CC638-1)*100),"NA",IF(((CK638/CC638-1)*100)&gt;100,"NM",IF(((CK638/CC638-1)*100)&lt;-50,"NM",(CK638/CC638-1)*100)))</f>
        <v>-17.391304347826086</v>
      </c>
      <c r="CM638" s="90">
        <v>5.7</v>
      </c>
      <c r="CN638" s="61">
        <f>IF(ISERROR((CM638/CE638-1)*100),"NA",IF(((CM638/CE638-1)*100)&gt;100,"NM",IF(((CM638/CE638-1)*100)&lt;-50,"NM",(CM638/CE638-1)*100)))</f>
        <v>-6.5573770491803245</v>
      </c>
      <c r="CO638" s="90">
        <v>5.5</v>
      </c>
      <c r="CP638" s="61">
        <f>IF(ISERROR((CO638/CG638-1)*100),"NA",IF(((CO638/CG638-1)*100)&gt;100,"NM",IF(((CO638/CG638-1)*100)&lt;-50,"NM",(CO638/CG638-1)*100)))</f>
        <v>-5.1724137931034475</v>
      </c>
      <c r="CQ638" s="90">
        <v>5</v>
      </c>
      <c r="CR638" s="61">
        <f>IF(ISERROR((CQ638/CI638-1)*100),"NA",IF(((CQ638/CI638-1)*100)&gt;100,"NM",IF(((CQ638/CI638-1)*100)&lt;-50,"NM",(CQ638/CI638-1)*100)))</f>
        <v>-27.536231884057973</v>
      </c>
      <c r="CS638" s="90">
        <v>5.6</v>
      </c>
      <c r="CT638" s="61">
        <f>IF(ISERROR((CS638/CK638-1)*100),"NA",IF(((CS638/CK638-1)*100)&gt;100,"NM",IF(((CS638/CK638-1)*100)&lt;-50,"NM",(CS638/CK638-1)*100)))</f>
        <v>-1.7543859649122862</v>
      </c>
      <c r="CU638" s="90">
        <v>5.7</v>
      </c>
      <c r="CV638" s="61">
        <f>IF(ISERROR((CU638/CM638-1)*100),"NA",IF(((CU638/CM638-1)*100)&gt;100,"NM",IF(((CU638/CM638-1)*100)&lt;-50,"NM",(CU638/CM638-1)*100)))</f>
        <v>0</v>
      </c>
      <c r="CW638" s="90">
        <v>5.3</v>
      </c>
      <c r="CX638" s="61">
        <f>IF(ISERROR((CW638/CO638-1)*100),"NA",IF(((CW638/CO638-1)*100)&gt;100,"NM",IF(((CW638/CO638-1)*100)&lt;-50,"NM",(CW638/CO638-1)*100)))</f>
        <v>-3.6363636363636376</v>
      </c>
      <c r="CY638" s="90">
        <v>5.2</v>
      </c>
      <c r="CZ638" s="61">
        <f>IF(ISERROR((CY638/CQ638-1)*100),"NA",IF(((CY638/CQ638-1)*100)&gt;100,"NM",IF(((CY638/CQ638-1)*100)&lt;-50,"NM",(CY638/CQ638-1)*100)))</f>
        <v>4.0000000000000036</v>
      </c>
      <c r="DA638" s="90">
        <v>5.5</v>
      </c>
      <c r="DB638" s="61">
        <f>IF(ISERROR((DA638/CS638-1)*100),"NA",IF(((DA638/CS638-1)*100)&gt;100,"NM",IF(((DA638/CS638-1)*100)&lt;-50,"NM",(DA638/CS638-1)*100)))</f>
        <v>-1.7857142857142794</v>
      </c>
      <c r="DC638" s="90">
        <v>5.3</v>
      </c>
      <c r="DD638" s="61">
        <f>IF(ISERROR((DC638/CU638-1)*100),"NA",IF(((DC638/CU638-1)*100)&gt;100,"NM",IF(((DC638/CU638-1)*100)&lt;-50,"NM",(DC638/CU638-1)*100)))</f>
        <v>-7.017543859649134</v>
      </c>
      <c r="DE638" s="90">
        <v>5.3</v>
      </c>
      <c r="DF638" s="61">
        <f>IF(ISERROR((DE638/CW638-1)*100),"NA",IF(((DE638/CW638-1)*100)&gt;100,"NM",IF(((DE638/CW638-1)*100)&lt;-50,"NM",(DE638/CW638-1)*100)))</f>
        <v>0</v>
      </c>
      <c r="DG638" s="90">
        <v>5.2</v>
      </c>
      <c r="DH638" s="61">
        <f>IF(ISERROR((DG638/CY638-1)*100),"NA",IF(((DG638/CY638-1)*100)&gt;100,"NM",IF(((DG638/CY638-1)*100)&lt;-50,"NM",(DG638/CY638-1)*100)))</f>
        <v>0</v>
      </c>
      <c r="DI638" s="90">
        <v>4.7</v>
      </c>
      <c r="DJ638" s="61">
        <f>IF(ISERROR((DI638/DA638-1)*100),"NA",IF(((DI638/DA638-1)*100)&gt;100,"NM",IF(((DI638/DA638-1)*100)&lt;-50,"NM",(DI638/DA638-1)*100)))</f>
        <v>-14.54545454545454</v>
      </c>
      <c r="DK638" s="90">
        <v>4.8</v>
      </c>
      <c r="DL638" s="61">
        <f>IF(ISERROR((DK638/DC638-1)*100),"NA",IF(((DK638/DC638-1)*100)&gt;100,"NM",IF(((DK638/DC638-1)*100)&lt;-50,"NM",(DK638/DC638-1)*100)))</f>
        <v>-9.4339622641509422</v>
      </c>
      <c r="DM638" s="90">
        <v>5.3</v>
      </c>
      <c r="DN638" s="130">
        <f t="shared" ref="DN638:DZ640" si="3711">IF(ISERROR((DM638/DE638-1)*100),"NA",IF(((DM638/DE638-1)*100)&gt;100,"NM",IF(((DM638/DE638-1)*100)&lt;-50,"NM",(DM638/DE638-1)*100)))</f>
        <v>0</v>
      </c>
      <c r="DO638" s="90">
        <v>5.2</v>
      </c>
      <c r="DP638" s="130">
        <f t="shared" si="3711"/>
        <v>0</v>
      </c>
      <c r="DQ638" s="90">
        <v>5</v>
      </c>
      <c r="DR638" s="61">
        <f t="shared" ref="DR638:DR640" si="3712">IF(ISERROR((DQ638/DI638-1)*100),"NA",IF(((DQ638/DI638-1)*100)&gt;100,"NM",IF(((DQ638/DI638-1)*100)&lt;-50,"NM",(DQ638/DI638-1)*100)))</f>
        <v>6.3829787234042534</v>
      </c>
      <c r="DS638" s="90">
        <v>5.0999999999999996</v>
      </c>
      <c r="DT638" s="130">
        <f t="shared" si="3711"/>
        <v>6.25</v>
      </c>
      <c r="DU638" s="90">
        <v>4.9000000000000004</v>
      </c>
      <c r="DV638" s="130">
        <f t="shared" si="3711"/>
        <v>-7.5471698113207424</v>
      </c>
      <c r="DW638" s="90">
        <v>5</v>
      </c>
      <c r="DX638" s="90">
        <v>5</v>
      </c>
      <c r="DY638" s="90">
        <v>4.9000000000000004</v>
      </c>
      <c r="DZ638" s="130">
        <f t="shared" si="3711"/>
        <v>-1.9999999999999907</v>
      </c>
      <c r="EA638" s="90">
        <v>5.4</v>
      </c>
      <c r="EB638" s="130">
        <f t="shared" ref="EB638:EB640" si="3713">IF(ISERROR((EA638/DS638-1)*100),"NA",IF(((EA638/DS638-1)*100)&gt;100,"NM",IF(((EA638/DS638-1)*100)&lt;-50,"NM",(EA638/DS638-1)*100)))</f>
        <v>5.8823529411764941</v>
      </c>
      <c r="EC638" s="90">
        <v>5.3</v>
      </c>
      <c r="ED638" s="130">
        <f t="shared" ref="ED638:ED640" si="3714">IF(ISERROR((EC638/DU638-1)*100),"NA",IF(((EC638/DU638-1)*100)&gt;100,"NM",IF(((EC638/DU638-1)*100)&lt;-50,"NM",(EC638/DU638-1)*100)))</f>
        <v>8.1632653061224367</v>
      </c>
      <c r="EE638" s="90">
        <v>5.0999999999999996</v>
      </c>
      <c r="EF638" s="130">
        <f t="shared" ref="EF638:EF640" si="3715">IF(ISERROR((EE638/DW638-1)*100),"NA",IF(((EE638/DW638-1)*100)&gt;100,"NM",IF(((EE638/DW638-1)*100)&lt;-50,"NM",(EE638/DW638-1)*100)))</f>
        <v>2.0000000000000018</v>
      </c>
      <c r="EG638" s="90">
        <v>5</v>
      </c>
      <c r="EH638" s="130">
        <f t="shared" ref="EH638:EH640" si="3716">IF(ISERROR((EG638/DY638-1)*100),"NA",IF(((EG638/DY638-1)*100)&gt;100,"NM",IF(((EG638/DY638-1)*100)&lt;-50,"NM",(EG638/DY638-1)*100)))</f>
        <v>2.0408163265306145</v>
      </c>
      <c r="EI638" s="90">
        <v>4.5999999999999996</v>
      </c>
      <c r="EJ638" s="130">
        <f t="shared" ref="EJ638:EJ640" si="3717">IF(ISERROR((EI638/EA638-1)*100),"NA",IF(((EI638/EA638-1)*100)&gt;100,"NM",IF(((EI638/EA638-1)*100)&lt;-50,"NM",(EI638/EA638-1)*100)))</f>
        <v>-14.814814814814826</v>
      </c>
      <c r="EK638" s="90">
        <v>4.5</v>
      </c>
      <c r="EL638" s="130">
        <f t="shared" ref="EL638:EL640" si="3718">IF(ISERROR((EK638/EC638-1)*100),"NA",IF(((EK638/EC638-1)*100)&gt;100,"NM",IF(((EK638/EC638-1)*100)&lt;-50,"NM",(EK638/EC638-1)*100)))</f>
        <v>-15.094339622641506</v>
      </c>
      <c r="EM638" s="90">
        <v>4.3</v>
      </c>
      <c r="EN638" s="130">
        <f t="shared" ref="EN638:EN640" si="3719">IF(ISERROR((EM638/EE638-1)*100),"NA",IF(((EM638/EE638-1)*100)&gt;100,"NM",IF(((EM638/EE638-1)*100)&lt;-50,"NM",(EM638/EE638-1)*100)))</f>
        <v>-15.686274509803921</v>
      </c>
      <c r="EO638" s="90">
        <v>4.4000000000000004</v>
      </c>
      <c r="EP638" s="130">
        <f t="shared" ref="EP638:EP640" si="3720">IF(ISERROR((EO638/EG638-1)*100),"NA",IF(((EO638/EG638-1)*100)&gt;100,"NM",IF(((EO638/EG638-1)*100)&lt;-50,"NM",(EO638/EG638-1)*100)))</f>
        <v>-11.999999999999989</v>
      </c>
      <c r="EQ638" s="91"/>
      <c r="ER638" s="130" t="str">
        <f t="shared" ref="ER638:ER640" si="3721">IF(ISERROR((EQ638/EI638-1)*100),"NA",IF(((EQ638/EI638-1)*100)&gt;100,"NM",IF(((EQ638/EI638-1)*100)&lt;-50,"NM",(EQ638/EI638-1)*100)))</f>
        <v>NM</v>
      </c>
      <c r="ES638" s="91"/>
      <c r="ET638" s="130" t="str">
        <f t="shared" ref="ET638:ET640" si="3722">IF(ISERROR((ES638/EK638-1)*100),"NA",IF(((ES638/EK638-1)*100)&gt;100,"NM",IF(((ES638/EK638-1)*100)&lt;-50,"NM",(ES638/EK638-1)*100)))</f>
        <v>NM</v>
      </c>
      <c r="EU638" s="91"/>
      <c r="EV638" s="130" t="str">
        <f t="shared" ref="EV638:EV640" si="3723">IF(ISERROR((EU638/EM638-1)*100),"NA",IF(((EU638/EM638-1)*100)&gt;100,"NM",IF(((EU638/EM638-1)*100)&lt;-50,"NM",(EU638/EM638-1)*100)))</f>
        <v>NM</v>
      </c>
      <c r="EW638" s="91"/>
      <c r="EX638" s="130" t="str">
        <f t="shared" ref="EX638:EX640" si="3724">IF(ISERROR((EW638/EO638-1)*100),"NA",IF(((EW638/EO638-1)*100)&gt;100,"NM",IF(((EW638/EO638-1)*100)&lt;-50,"NM",(EW638/EO638-1)*100)))</f>
        <v>NM</v>
      </c>
      <c r="EY638" s="356"/>
      <c r="EZ638" s="558"/>
      <c r="FA638" s="356"/>
      <c r="FB638" s="91"/>
      <c r="FC638" s="71"/>
      <c r="FD638" s="91"/>
      <c r="FE638" s="70"/>
      <c r="FF638" s="91"/>
      <c r="FG638" s="70"/>
      <c r="FH638" s="91"/>
      <c r="FI638" s="70"/>
      <c r="FJ638" s="91"/>
      <c r="FK638" s="70"/>
      <c r="FL638" s="91"/>
      <c r="FM638" s="61"/>
      <c r="FN638" s="91"/>
      <c r="FO638" s="61"/>
      <c r="FP638" s="75"/>
      <c r="FQ638" s="61"/>
      <c r="FR638" s="83">
        <f>BE638</f>
        <v>6.3</v>
      </c>
      <c r="FS638" s="61" t="str">
        <f>IF(ISERROR((FR638/FP638-1)*100),"NA",IF(((FR638/FP638-1)*100)&gt;100,"NM",IF(((FR638/FP638-1)*100)&lt;-50,"NM",(FR638/FP638-1)*100)))</f>
        <v>NA</v>
      </c>
      <c r="FT638" s="402">
        <f>BM638</f>
        <v>5</v>
      </c>
      <c r="FU638" s="61">
        <f>IF(ISERROR((FT638/FR638-1)*100),"NA",IF(((FT638/FR638-1)*100)&gt;100,"NM",IF(((FT638/FR638-1)*100)&lt;-50,"NM",(FT638/FR638-1)*100)))</f>
        <v>-20.634920634920629</v>
      </c>
      <c r="FV638" s="402">
        <f>BU638</f>
        <v>4.5</v>
      </c>
      <c r="FW638" s="61">
        <f>IF(ISERROR((FV638/FT638-1)*100),"NA",IF(((FV638/FT638-1)*100)&gt;100,"NM",IF(((FV638/FT638-1)*100)&lt;-50,"NM",(FV638/FT638-1)*100)))</f>
        <v>-9.9999999999999982</v>
      </c>
      <c r="FX638" s="83"/>
      <c r="FY638" s="61"/>
      <c r="FZ638" s="83"/>
      <c r="GA638" s="61"/>
      <c r="GB638" s="83"/>
      <c r="GC638" s="61"/>
      <c r="GD638" s="83"/>
      <c r="GE638" s="61"/>
      <c r="GF638" s="83"/>
      <c r="GG638" s="61"/>
      <c r="GH638" s="83"/>
      <c r="GI638" s="61"/>
      <c r="GJ638" s="83"/>
      <c r="GK638" s="61"/>
      <c r="GL638" s="83"/>
      <c r="GM638" s="61"/>
      <c r="GN638" s="83"/>
      <c r="GO638" s="61"/>
      <c r="GP638" s="83"/>
      <c r="GQ638" s="61"/>
      <c r="GR638" s="91"/>
      <c r="GS638" s="61"/>
      <c r="GT638" s="91"/>
      <c r="GU638" s="61"/>
      <c r="GV638" s="91"/>
      <c r="GW638" s="61"/>
      <c r="GX638" s="91"/>
      <c r="GY638" s="61"/>
      <c r="GZ638" s="61"/>
      <c r="HA638" s="61"/>
      <c r="HB638" s="452"/>
      <c r="HC638"/>
      <c r="HD638"/>
      <c r="HE638"/>
      <c r="HF638"/>
      <c r="HG638"/>
      <c r="HH638"/>
    </row>
    <row r="639" spans="1:216" s="5" customFormat="1" ht="12.75" customHeight="1" x14ac:dyDescent="0.2">
      <c r="A639" s="5" t="s">
        <v>297</v>
      </c>
      <c r="B639" s="403" t="s">
        <v>638</v>
      </c>
      <c r="C639" s="91"/>
      <c r="D639" s="70"/>
      <c r="E639" s="91"/>
      <c r="F639" s="71"/>
      <c r="G639" s="91"/>
      <c r="H639" s="71"/>
      <c r="I639" s="91"/>
      <c r="J639" s="61"/>
      <c r="K639" s="91"/>
      <c r="L639" s="61"/>
      <c r="M639" s="91"/>
      <c r="N639" s="61"/>
      <c r="O639" s="91"/>
      <c r="P639" s="61"/>
      <c r="Q639" s="91"/>
      <c r="R639" s="61"/>
      <c r="S639" s="91">
        <f>S638/100*32767</f>
        <v>2457.5250000000001</v>
      </c>
      <c r="T639" s="61"/>
      <c r="U639" s="91">
        <f>U638/100*29725</f>
        <v>1902.4</v>
      </c>
      <c r="V639" s="61"/>
      <c r="W639" s="91">
        <f>32037/100*W638</f>
        <v>2114.442</v>
      </c>
      <c r="X639" s="61"/>
      <c r="Y639" s="91">
        <f>Y638/100*32767</f>
        <v>2162.6220000000003</v>
      </c>
      <c r="Z639" s="61"/>
      <c r="AA639" s="91">
        <f>AA638/100*33887</f>
        <v>2236.5419999999999</v>
      </c>
      <c r="AB639" s="61"/>
      <c r="AC639" s="91">
        <f>AC638/100*35355</f>
        <v>2333.4300000000003</v>
      </c>
      <c r="AD639" s="61"/>
      <c r="AE639" s="91">
        <f>AE638/100*35384</f>
        <v>2441.4960000000001</v>
      </c>
      <c r="AF639" s="61"/>
      <c r="AG639" s="91">
        <f>AG638/100*35887</f>
        <v>2440.3160000000003</v>
      </c>
      <c r="AH639" s="61"/>
      <c r="AI639" s="91">
        <f>AI638/100*36856</f>
        <v>2543.0640000000003</v>
      </c>
      <c r="AJ639" s="61"/>
      <c r="AK639" s="91">
        <f>AK638/100*35894</f>
        <v>2548.4739999999997</v>
      </c>
      <c r="AL639" s="61"/>
      <c r="AM639" s="91">
        <f>AM638/100*37444</f>
        <v>2583.6360000000004</v>
      </c>
      <c r="AN639" s="61"/>
      <c r="AO639" s="91">
        <f>AO638/100*37936</f>
        <v>2655.5200000000004</v>
      </c>
      <c r="AP639" s="61"/>
      <c r="AQ639" s="91">
        <f>AQ638/100*37429</f>
        <v>2320.598</v>
      </c>
      <c r="AR639" s="61">
        <f>IF(ISERROR((AQ639/AI639-1)*100),"NA",IF(((AQ639/AI639-1)*100)&gt;100,"NM",IF(((AQ639/AI639-1)*100)&lt;-50,"NM",(AQ639/AI639-1)*100)))</f>
        <v>-8.7479512902546084</v>
      </c>
      <c r="AS639" s="91">
        <f>AS638/100*38318</f>
        <v>2490.67</v>
      </c>
      <c r="AT639" s="61">
        <f>IF(ISERROR((AS639/AK639-1)*100),"NA",IF(((AS639/AK639-1)*100)&gt;100,"NM",IF(((AS639/AK639-1)*100)&lt;-50,"NM",(AS639/AK639-1)*100)))</f>
        <v>-2.2681808800089631</v>
      </c>
      <c r="AU639" s="91">
        <f>AU638/100*38318</f>
        <v>2797.2139999999999</v>
      </c>
      <c r="AV639" s="61">
        <f>IF(ISERROR((AU639/AM639-1)*100),"NA",IF(((AU639/AM639-1)*100)&gt;100,"NM",IF(((AU639/AM639-1)*100)&lt;-50,"NM",(AU639/AM639-1)*100)))</f>
        <v>8.2665669622191231</v>
      </c>
      <c r="AW639" s="74">
        <f>AW638/100*35347.6</f>
        <v>2615.7224000000001</v>
      </c>
      <c r="AX639" s="61">
        <f>IF(ISERROR((AW639/AO639-1)*100),"NA",IF(((AW639/AO639-1)*100)&gt;100,"NM",IF(((AW639/AO639-1)*100)&lt;-50,"NM",(AW639/AO639-1)*100)))</f>
        <v>-1.498674459239635</v>
      </c>
      <c r="AY639" s="74">
        <f>AY638/100*35497.4</f>
        <v>2662.3049999999998</v>
      </c>
      <c r="AZ639" s="61">
        <f>IF(ISERROR((AY639/AQ639-1)*100),"NA",IF(((AY639/AQ639-1)*100)&gt;100,"NM",IF(((AY639/AQ639-1)*100)&lt;-50,"NM",(AY639/AQ639-1)*100)))</f>
        <v>14.724954516034217</v>
      </c>
      <c r="BA639" s="74">
        <f>BA638/100*57435.1</f>
        <v>4020.4570000000003</v>
      </c>
      <c r="BB639" s="61">
        <f t="shared" si="3344"/>
        <v>61.420702060088253</v>
      </c>
      <c r="BC639" s="74">
        <f>BC638/100*57855.6</f>
        <v>3702.7584000000002</v>
      </c>
      <c r="BD639" s="61">
        <f t="shared" si="3345"/>
        <v>32.373082645804004</v>
      </c>
      <c r="BE639" s="74">
        <f>BE638/100*57725.8</f>
        <v>3636.7254000000003</v>
      </c>
      <c r="BF639" s="61">
        <f t="shared" si="3346"/>
        <v>39.033308733373254</v>
      </c>
      <c r="BG639" s="74">
        <f>BG638/100*57725.8</f>
        <v>3636.7254000000003</v>
      </c>
      <c r="BH639" s="61">
        <f>IF(ISERROR((BG639/AY639-1)*100),"NA",IF(((BG639/AY639-1)*100)&gt;100,"NM",IF(((BG639/AY639-1)*100)&lt;-50,"NM",(BG639/AY639-1)*100)))</f>
        <v>36.600629905288848</v>
      </c>
      <c r="BI639" s="74">
        <f>BI638/100*58211.9</f>
        <v>3085.2307000000001</v>
      </c>
      <c r="BJ639" s="61">
        <f>IF(ISERROR((BI639/BA639-1)*100),"NA",IF(((BI639/BA639-1)*100)&gt;100,"NM",IF(((BI639/BA639-1)*100)&lt;-50,"NM",(BI639/BA639-1)*100)))</f>
        <v>-23.261691394784233</v>
      </c>
      <c r="BK639" s="74">
        <f>BK638/100*58591</f>
        <v>3046.7320000000004</v>
      </c>
      <c r="BL639" s="61">
        <f>IF(ISERROR((BK639/BC639-1)*100),"NA",IF(((BK639/BC639-1)*100)&gt;100,"NM",IF(((BK639/BC639-1)*100)&lt;-50,"NM",(BK639/BC639-1)*100)))</f>
        <v>-17.717234805273808</v>
      </c>
      <c r="BM639" s="74">
        <f>BM638/100*56275.7</f>
        <v>2813.7849999999999</v>
      </c>
      <c r="BN639" s="61">
        <f>IF(ISERROR((BM639/BE639-1)*100),"NA",IF(((BM639/BE639-1)*100)&gt;100,"NM",IF(((BM639/BE639-1)*100)&lt;-50,"NM",(BM639/BE639-1)*100)))</f>
        <v>-22.628609792754773</v>
      </c>
      <c r="BO639" s="74">
        <f>BO638/100*56275.7</f>
        <v>2926.3364000000001</v>
      </c>
      <c r="BP639" s="61">
        <f>IF(ISERROR((BO639/BG639-1)*100),"NA",IF(((BO639/BG639-1)*100)&gt;100,"NM",IF(((BO639/BG639-1)*100)&lt;-50,"NM",(BO639/BG639-1)*100)))</f>
        <v>-19.533754184464957</v>
      </c>
      <c r="BQ639" s="74">
        <f>BQ638/100*54517.6</f>
        <v>2834.9152000000004</v>
      </c>
      <c r="BR639" s="61">
        <f>IF(ISERROR((BQ639/BI639-1)*100),"NA",IF(((BQ639/BI639-1)*100)&gt;100,"NM",IF(((BQ639/BI639-1)*100)&lt;-50,"NM",(BQ639/BI639-1)*100)))</f>
        <v>-8.1133478932385756</v>
      </c>
      <c r="BS639" s="74">
        <f>BS638/100*54322.7</f>
        <v>2607.4895999999999</v>
      </c>
      <c r="BT639" s="61">
        <f>IF(ISERROR((BS639/BK639-1)*100),"NA",IF(((BS639/BK639-1)*100)&gt;100,"NM",IF(((BS639/BK639-1)*100)&lt;-50,"NM",(BS639/BK639-1)*100)))</f>
        <v>-14.416837450750531</v>
      </c>
      <c r="BU639" s="74">
        <f>BU638/100*55194</f>
        <v>2483.73</v>
      </c>
      <c r="BV639" s="61">
        <f>IF(ISERROR((BU639/BM639-1)*100),"NA",IF(((BU639/BM639-1)*100)&gt;100,"NM",IF(((BU639/BM639-1)*100)&lt;-50,"NM",(BU639/BM639-1)*100)))</f>
        <v>-11.72992961438063</v>
      </c>
      <c r="BW639" s="74">
        <f>BW638/100*55194</f>
        <v>3090.8639999999996</v>
      </c>
      <c r="BX639" s="61">
        <f>IF(ISERROR((BW639/BO639-1)*100),"NA",IF(((BW639/BO639-1)*100)&gt;100,"NM",IF(((BW639/BO639-1)*100)&lt;-50,"NM",(BW639/BO639-1)*100)))</f>
        <v>5.6223064443308601</v>
      </c>
      <c r="BY639" s="74">
        <f>BY638/100*55194</f>
        <v>3863.5800000000004</v>
      </c>
      <c r="BZ639" s="61">
        <f>IF(ISERROR((BY639/BQ639-1)*100),"NA",IF(((BY639/BQ639-1)*100)&gt;100,"NM",IF(((BY639/BQ639-1)*100)&lt;-50,"NM",(BY639/BQ639-1)*100)))</f>
        <v>36.285558030095565</v>
      </c>
      <c r="CA639" s="74">
        <f>CA638/100*55194</f>
        <v>3753.1920000000005</v>
      </c>
      <c r="CB639" s="61">
        <f>IF(ISERROR((CA639/BS639-1)*100),"NA",IF(((CA639/BS639-1)*100)&gt;100,"NM",IF(((CA639/BS639-1)*100)&lt;-50,"NM",(CA639/BS639-1)*100)))</f>
        <v>43.938905834945643</v>
      </c>
      <c r="CC639" s="74">
        <f>CC638/100*60818.3</f>
        <v>4196.462700000001</v>
      </c>
      <c r="CD639" s="61">
        <f>IF(ISERROR((CC639/BU639-1)*100),"NA",IF(((CC639/BU639-1)*100)&gt;100,"NM",IF(((CC639/BU639-1)*100)&lt;-50,"NM",(CC639/BU639-1)*100)))</f>
        <v>68.958087231703956</v>
      </c>
      <c r="CE639" s="74">
        <v>3722</v>
      </c>
      <c r="CF639" s="61">
        <f>IF(ISERROR((CE639/BW639-1)*100),"NA",IF(((CE639/BW639-1)*100)&gt;100,"NM",IF(((CE639/BW639-1)*100)&lt;-50,"NM",(CE639/BW639-1)*100)))</f>
        <v>20.419403765419663</v>
      </c>
      <c r="CG639" s="74">
        <v>3884</v>
      </c>
      <c r="CH639" s="61">
        <f>IF(ISERROR((CG639/BY639-1)*100),"NA",IF(((CG639/BY639-1)*100)&gt;100,"NM",IF(((CG639/BY639-1)*100)&lt;-50,"NM",(CG639/BY639-1)*100)))</f>
        <v>0.52852535731109374</v>
      </c>
      <c r="CI639" s="74">
        <v>4851</v>
      </c>
      <c r="CJ639" s="61">
        <f>IF(ISERROR((CI639/CA639-1)*100),"NA",IF(((CI639/CA639-1)*100)&gt;100,"NM",IF(((CI639/CA639-1)*100)&lt;-50,"NM",(CI639/CA639-1)*100)))</f>
        <v>29.249982414968368</v>
      </c>
      <c r="CK639" s="74">
        <f>+CK638/100*71208.1</f>
        <v>4058.8617000000004</v>
      </c>
      <c r="CL639" s="61">
        <f>IF(ISERROR((CK639/CC639-1)*100),"NA",IF(((CK639/CC639-1)*100)&gt;100,"NM",IF(((CK639/CC639-1)*100)&lt;-50,"NM",(CK639/CC639-1)*100)))</f>
        <v>-3.2789758860480411</v>
      </c>
      <c r="CM639" s="74">
        <f>+CM638/100*72413.7</f>
        <v>4127.5808999999999</v>
      </c>
      <c r="CN639" s="61">
        <f>IF(ISERROR((CM639/CE639-1)*100),"NA",IF(((CM639/CE639-1)*100)&gt;100,"NM",IF(((CM639/CE639-1)*100)&lt;-50,"NM",(CM639/CE639-1)*100)))</f>
        <v>10.896853842020416</v>
      </c>
      <c r="CO639" s="74">
        <f>+CO638/100*70282</f>
        <v>3865.51</v>
      </c>
      <c r="CP639" s="61">
        <f>IF(ISERROR((CO639/CG639-1)*100),"NA",IF(((CO639/CG639-1)*100)&gt;100,"NM",IF(((CO639/CG639-1)*100)&lt;-50,"NM",(CO639/CG639-1)*100)))</f>
        <v>-0.47605561277033193</v>
      </c>
      <c r="CQ639" s="74">
        <f>+CQ638/100*71395</f>
        <v>3569.75</v>
      </c>
      <c r="CR639" s="61">
        <f>IF(ISERROR((CQ639/CI639-1)*100),"NA",IF(((CQ639/CI639-1)*100)&gt;100,"NM",IF(((CQ639/CI639-1)*100)&lt;-50,"NM",(CQ639/CI639-1)*100)))</f>
        <v>-26.412079983508551</v>
      </c>
      <c r="CS639" s="74">
        <f>71960*(CS638/100)</f>
        <v>4029.7599999999998</v>
      </c>
      <c r="CT639" s="61">
        <f>IF(ISERROR((CS639/CK639-1)*100),"NA",IF(((CS639/CK639-1)*100)&gt;100,"NM",IF(((CS639/CK639-1)*100)&lt;-50,"NM",(CS639/CK639-1)*100)))</f>
        <v>-0.71699166295813299</v>
      </c>
      <c r="CU639" s="74">
        <f>72858.8*(CU638/100)</f>
        <v>4152.9516000000003</v>
      </c>
      <c r="CV639" s="61">
        <f>IF(ISERROR((CU639/CM639-1)*100),"NA",IF(((CU639/CM639-1)*100)&gt;100,"NM",IF(((CU639/CM639-1)*100)&lt;-50,"NM",(CU639/CM639-1)*100)))</f>
        <v>0.61466269504251159</v>
      </c>
      <c r="CW639" s="74">
        <f>74326*(CW638/100)</f>
        <v>3939.2779999999998</v>
      </c>
      <c r="CX639" s="61">
        <f>IF(ISERROR((CW639/CO639-1)*100),"NA",IF(((CW639/CO639-1)*100)&gt;100,"NM",IF(((CW639/CO639-1)*100)&lt;-50,"NM",(CW639/CO639-1)*100)))</f>
        <v>1.908363967497162</v>
      </c>
      <c r="CY639" s="74">
        <f>74664*(CY638/100)</f>
        <v>3882.5280000000002</v>
      </c>
      <c r="CZ639" s="61">
        <f>IF(ISERROR((CY639/CQ639-1)*100),"NA",IF(((CY639/CQ639-1)*100)&gt;100,"NM",IF(((CY639/CQ639-1)*100)&lt;-50,"NM",(CY639/CQ639-1)*100)))</f>
        <v>8.7619020939841761</v>
      </c>
      <c r="DA639" s="74">
        <f>75520*(DA638/100)</f>
        <v>4153.6000000000004</v>
      </c>
      <c r="DB639" s="61">
        <f>IF(ISERROR((DA639/CS639-1)*100),"NA",IF(((DA639/CS639-1)*100)&gt;100,"NM",IF(((DA639/CS639-1)*100)&lt;-50,"NM",(DA639/CS639-1)*100)))</f>
        <v>3.0731358691336697</v>
      </c>
      <c r="DC639" s="74">
        <f>76883*(DC638/100)</f>
        <v>4074.799</v>
      </c>
      <c r="DD639" s="61">
        <f>IF(ISERROR((DC639/CU639-1)*100),"NA",IF(((DC639/CU639-1)*100)&gt;100,"NM",IF(((DC639/CU639-1)*100)&lt;-50,"NM",(DC639/CU639-1)*100)))</f>
        <v>-1.881856749787314</v>
      </c>
      <c r="DE639" s="74">
        <f>78237*(DE638/100)</f>
        <v>4146.5609999999997</v>
      </c>
      <c r="DF639" s="61">
        <f>IF(ISERROR((DE639/CW639-1)*100),"NA",IF(((DE639/CW639-1)*100)&gt;100,"NM",IF(((DE639/CW639-1)*100)&lt;-50,"NM",(DE639/CW639-1)*100)))</f>
        <v>5.2619540941258647</v>
      </c>
      <c r="DG639" s="74">
        <f>78776*(DG638/100)</f>
        <v>4096.3520000000008</v>
      </c>
      <c r="DH639" s="61">
        <f>IF(ISERROR((DG639/CY639-1)*100),"NA",IF(((DG639/CY639-1)*100)&gt;100,"NM",IF(((DG639/CY639-1)*100)&lt;-50,"NM",(DG639/CY639-1)*100)))</f>
        <v>5.507339547841017</v>
      </c>
      <c r="DI639" s="74">
        <f>79062*(DI638/100)</f>
        <v>3715.9140000000002</v>
      </c>
      <c r="DJ639" s="61">
        <f>IF(ISERROR((DI639/DA639-1)*100),"NA",IF(((DI639/DA639-1)*100)&gt;100,"NM",IF(((DI639/DA639-1)*100)&lt;-50,"NM",(DI639/DA639-1)*100)))</f>
        <v>-10.537509630200315</v>
      </c>
      <c r="DK639" s="74">
        <f>79876*(DK638/100)</f>
        <v>3834.0480000000002</v>
      </c>
      <c r="DL639" s="61">
        <f>IF(ISERROR((DK639/DC639-1)*100),"NA",IF(((DK639/DC639-1)*100)&gt;100,"NM",IF(((DK639/DC639-1)*100)&lt;-50,"NM",(DK639/DC639-1)*100)))</f>
        <v>-5.9082914273808296</v>
      </c>
      <c r="DM639" s="74">
        <f>78237*(DM638/100)</f>
        <v>4146.5609999999997</v>
      </c>
      <c r="DN639" s="130">
        <f t="shared" si="3711"/>
        <v>0</v>
      </c>
      <c r="DO639" s="74">
        <f>78611*(DO638/100)</f>
        <v>4087.7720000000004</v>
      </c>
      <c r="DP639" s="130">
        <f t="shared" si="3711"/>
        <v>-0.20945465624049309</v>
      </c>
      <c r="DQ639" s="74">
        <f>80960*(DQ638/100)</f>
        <v>4048</v>
      </c>
      <c r="DR639" s="61">
        <f t="shared" si="3712"/>
        <v>8.9368591415194043</v>
      </c>
      <c r="DS639" s="74">
        <f>82579*(DS638/100)</f>
        <v>4211.5289999999995</v>
      </c>
      <c r="DT639" s="130">
        <f t="shared" si="3711"/>
        <v>9.8454948920827068</v>
      </c>
      <c r="DU639" s="74">
        <f>82746*(DU638/100)</f>
        <v>4054.5540000000001</v>
      </c>
      <c r="DV639" s="130">
        <f t="shared" si="3711"/>
        <v>-2.2188748700428973</v>
      </c>
      <c r="DW639" s="74">
        <f>83164*(DW638/100)</f>
        <v>4158.2</v>
      </c>
      <c r="DX639" s="74">
        <f t="shared" ref="DX639" si="3725">83164*(DX638/100)</f>
        <v>4158.2</v>
      </c>
      <c r="DY639" s="74">
        <f>84241*(DY638/100)</f>
        <v>4127.8090000000002</v>
      </c>
      <c r="DZ639" s="130">
        <f t="shared" si="3711"/>
        <v>1.9715662055336036</v>
      </c>
      <c r="EA639" s="74">
        <f>84853*(EA638/100)</f>
        <v>4582.0620000000008</v>
      </c>
      <c r="EB639" s="130">
        <f t="shared" si="3713"/>
        <v>8.7980636011292255</v>
      </c>
      <c r="EC639" s="74">
        <f>85187*(EC638/100)</f>
        <v>4514.9110000000001</v>
      </c>
      <c r="ED639" s="130">
        <f t="shared" si="3714"/>
        <v>11.35407248244813</v>
      </c>
      <c r="EE639" s="74">
        <f>85860*(EE638/100)</f>
        <v>4378.8599999999997</v>
      </c>
      <c r="EF639" s="130">
        <f t="shared" si="3715"/>
        <v>5.3066230580539608</v>
      </c>
      <c r="EG639" s="74">
        <f>86003*(EG638/100)</f>
        <v>4300.1500000000005</v>
      </c>
      <c r="EH639" s="130">
        <f t="shared" si="3716"/>
        <v>4.1751205058179863</v>
      </c>
      <c r="EI639" s="74">
        <f>87337*(EI638/100)</f>
        <v>4017.502</v>
      </c>
      <c r="EJ639" s="130">
        <f t="shared" si="3717"/>
        <v>-12.321090373722587</v>
      </c>
      <c r="EK639" s="74">
        <f>87665*(EK638/100)</f>
        <v>3944.9249999999997</v>
      </c>
      <c r="EL639" s="130">
        <f t="shared" si="3718"/>
        <v>-12.624523495590513</v>
      </c>
      <c r="EM639" s="74">
        <f>88050*(EM638/100)</f>
        <v>3786.1499999999996</v>
      </c>
      <c r="EN639" s="130">
        <f t="shared" si="3719"/>
        <v>-13.535714775078445</v>
      </c>
      <c r="EO639" s="74">
        <f>88418*(EO638/100)</f>
        <v>3890.3920000000003</v>
      </c>
      <c r="EP639" s="130">
        <f t="shared" si="3720"/>
        <v>-9.5289234096485043</v>
      </c>
      <c r="EQ639" s="91"/>
      <c r="ER639" s="130" t="str">
        <f t="shared" si="3721"/>
        <v>NM</v>
      </c>
      <c r="ES639" s="91"/>
      <c r="ET639" s="130" t="str">
        <f t="shared" si="3722"/>
        <v>NM</v>
      </c>
      <c r="EU639" s="91"/>
      <c r="EV639" s="130" t="str">
        <f t="shared" si="3723"/>
        <v>NM</v>
      </c>
      <c r="EW639" s="91"/>
      <c r="EX639" s="130" t="str">
        <f t="shared" si="3724"/>
        <v>NM</v>
      </c>
      <c r="EY639" s="356"/>
      <c r="EZ639" s="558"/>
      <c r="FA639" s="356"/>
      <c r="FB639" s="91"/>
      <c r="FC639" s="71"/>
      <c r="FD639" s="91"/>
      <c r="FE639" s="70"/>
      <c r="FF639" s="91"/>
      <c r="FG639" s="70"/>
      <c r="FH639" s="91"/>
      <c r="FI639" s="70"/>
      <c r="FJ639" s="91"/>
      <c r="FK639" s="70"/>
      <c r="FL639" s="91"/>
      <c r="FM639" s="61"/>
      <c r="FN639" s="91"/>
      <c r="FO639" s="61"/>
      <c r="FP639" s="75"/>
      <c r="FQ639" s="61"/>
      <c r="FR639" s="75">
        <f>BE639</f>
        <v>3636.7254000000003</v>
      </c>
      <c r="FS639" s="61" t="str">
        <f>IF(ISERROR((FR639/FP639-1)*100),"NA",IF(((FR639/FP639-1)*100)&gt;100,"NM",IF(((FR639/FP639-1)*100)&lt;-50,"NM",(FR639/FP639-1)*100)))</f>
        <v>NA</v>
      </c>
      <c r="FT639" s="400">
        <f>BM639</f>
        <v>2813.7849999999999</v>
      </c>
      <c r="FU639" s="61">
        <f>IF(ISERROR((FT639/FR639-1)*100),"NA",IF(((FT639/FR639-1)*100)&gt;100,"NM",IF(((FT639/FR639-1)*100)&lt;-50,"NM",(FT639/FR639-1)*100)))</f>
        <v>-22.628609792754773</v>
      </c>
      <c r="FV639" s="400">
        <f>BU639</f>
        <v>2483.73</v>
      </c>
      <c r="FW639" s="61">
        <f>IF(ISERROR((FV639/FT639-1)*100),"NA",IF(((FV639/FT639-1)*100)&gt;100,"NM",IF(((FV639/FT639-1)*100)&lt;-50,"NM",(FV639/FT639-1)*100)))</f>
        <v>-11.72992961438063</v>
      </c>
      <c r="FX639" s="75"/>
      <c r="FY639" s="61"/>
      <c r="FZ639" s="75"/>
      <c r="GA639" s="61"/>
      <c r="GB639" s="75"/>
      <c r="GC639" s="61"/>
      <c r="GD639" s="75"/>
      <c r="GE639" s="61"/>
      <c r="GF639" s="75"/>
      <c r="GG639" s="61"/>
      <c r="GH639" s="75"/>
      <c r="GI639" s="61"/>
      <c r="GJ639" s="75"/>
      <c r="GK639" s="61"/>
      <c r="GL639" s="75"/>
      <c r="GM639" s="61"/>
      <c r="GN639" s="75"/>
      <c r="GO639" s="61"/>
      <c r="GP639" s="75"/>
      <c r="GQ639" s="61"/>
      <c r="GR639" s="91"/>
      <c r="GS639" s="61"/>
      <c r="GT639" s="91"/>
      <c r="GU639" s="61"/>
      <c r="GV639" s="91"/>
      <c r="GW639" s="61"/>
      <c r="GX639" s="91"/>
      <c r="GY639" s="61"/>
      <c r="GZ639" s="61"/>
      <c r="HA639" s="61"/>
      <c r="HB639" s="452"/>
      <c r="HC639"/>
      <c r="HD639"/>
      <c r="HE639"/>
      <c r="HF639"/>
      <c r="HG639"/>
      <c r="HH639"/>
    </row>
    <row r="640" spans="1:216" s="5" customFormat="1" ht="12.75" customHeight="1" x14ac:dyDescent="0.2">
      <c r="A640" s="5" t="s">
        <v>298</v>
      </c>
      <c r="B640" s="401" t="s">
        <v>295</v>
      </c>
      <c r="C640" s="91"/>
      <c r="D640" s="70"/>
      <c r="E640" s="91"/>
      <c r="F640" s="71"/>
      <c r="G640" s="91"/>
      <c r="H640" s="71"/>
      <c r="I640" s="91"/>
      <c r="J640" s="61"/>
      <c r="K640" s="91"/>
      <c r="L640" s="61"/>
      <c r="M640" s="91"/>
      <c r="N640" s="61"/>
      <c r="O640" s="91"/>
      <c r="P640" s="61"/>
      <c r="Q640" s="91"/>
      <c r="R640" s="61"/>
      <c r="S640" s="219">
        <f>S639/S657*100</f>
        <v>47.798751312871985</v>
      </c>
      <c r="T640" s="61"/>
      <c r="U640" s="219">
        <f>U639/U657*100</f>
        <v>37.842891527918681</v>
      </c>
      <c r="V640" s="61"/>
      <c r="W640" s="219">
        <f>W639/W657*100</f>
        <v>45.774078323555514</v>
      </c>
      <c r="X640" s="61"/>
      <c r="Y640" s="219">
        <f>Y639/Y657*100</f>
        <v>47.072874493927138</v>
      </c>
      <c r="Z640" s="61"/>
      <c r="AA640" s="219">
        <f>AA639/AA657*100</f>
        <v>48.854128440366971</v>
      </c>
      <c r="AB640" s="61"/>
      <c r="AC640" s="219">
        <f>AC639/AC657*100</f>
        <v>49.667525169749482</v>
      </c>
      <c r="AD640" s="61"/>
      <c r="AE640" s="219">
        <f>AE639/AE657*100</f>
        <v>50.964305097482566</v>
      </c>
      <c r="AF640" s="61"/>
      <c r="AG640" s="219">
        <f>AG639/AG657*100</f>
        <v>49.373123457289687</v>
      </c>
      <c r="AH640" s="61"/>
      <c r="AI640" s="219">
        <f>AI639/AI657*100</f>
        <v>50.818592382398798</v>
      </c>
      <c r="AJ640" s="61"/>
      <c r="AK640" s="219">
        <f>AK639/AK657*100</f>
        <v>50.730034238394772</v>
      </c>
      <c r="AL640" s="61"/>
      <c r="AM640" s="219">
        <f>AM639/AM657*100</f>
        <v>50.562370347176021</v>
      </c>
      <c r="AN640" s="61"/>
      <c r="AO640" s="219">
        <f>AO639/AO657*100</f>
        <v>49.740948170903032</v>
      </c>
      <c r="AP640" s="61"/>
      <c r="AQ640" s="219">
        <f>AQ639/AQ657*100</f>
        <v>42.561817948388757</v>
      </c>
      <c r="AR640" s="61">
        <f>IF(ISERROR((AQ640/AI640-1)*100),"NA",IF(((AQ640/AI640-1)*100)&gt;100,"NM",IF(((AQ640/AI640-1)*100)&lt;-50,"NM",(AQ640/AI640-1)*100)))</f>
        <v>-16.247546511874265</v>
      </c>
      <c r="AS640" s="219">
        <f>AS639/AS657*100</f>
        <v>45.281615882481283</v>
      </c>
      <c r="AT640" s="61">
        <f>IF(ISERROR((AS640/AK640-1)*100),"NA",IF(((AS640/AK640-1)*100)&gt;100,"NM",IF(((AS640/AK640-1)*100)&lt;-50,"NM",(AS640/AK640-1)*100)))</f>
        <v>-10.740024992511987</v>
      </c>
      <c r="AU640" s="219">
        <f>AU639/AU657*100</f>
        <v>49.018032068693593</v>
      </c>
      <c r="AV640" s="61">
        <f>IF(ISERROR((AU640/AM640-1)*100),"NA",IF(((AU640/AM640-1)*100)&gt;100,"NM",IF(((AU640/AM640-1)*100)&lt;-50,"NM",(AU640/AM640-1)*100)))</f>
        <v>-3.0543233394291991</v>
      </c>
      <c r="AW640" s="219">
        <f>AW639/AW657*100</f>
        <v>44.481292407108242</v>
      </c>
      <c r="AX640" s="61">
        <f>IF(ISERROR((AW640/AO640-1)*100),"NA",IF(((AW640/AO640-1)*100)&gt;100,"NM",IF(((AW640/AO640-1)*100)&lt;-50,"NM",(AW640/AO640-1)*100)))</f>
        <v>-10.574096307379055</v>
      </c>
      <c r="AY640" s="219">
        <f>AY639/AY657*100</f>
        <v>43.767754981258626</v>
      </c>
      <c r="AZ640" s="61">
        <f>IF(ISERROR((AY640/AQ640-1)*100),"NA",IF(((AY640/AQ640-1)*100)&gt;100,"NM",IF(((AY640/AQ640-1)*100)&lt;-50,"NM",(AY640/AQ640-1)*100)))</f>
        <v>2.8333776398653976</v>
      </c>
      <c r="BA640" s="219">
        <f>BA639/BA657*100</f>
        <v>34.945909533412149</v>
      </c>
      <c r="BB640" s="61">
        <f t="shared" si="3344"/>
        <v>-22.82539204407643</v>
      </c>
      <c r="BC640" s="219">
        <f>BC639/BC657*100</f>
        <v>32.016380175007782</v>
      </c>
      <c r="BD640" s="61">
        <f t="shared" si="3345"/>
        <v>-34.684484823584491</v>
      </c>
      <c r="BE640" s="219">
        <f>BE639/BE657*100</f>
        <v>30.999926692466374</v>
      </c>
      <c r="BF640" s="61">
        <f t="shared" si="3346"/>
        <v>-30.307945172221451</v>
      </c>
      <c r="BG640" s="219">
        <f>BG639/BG657*100</f>
        <v>31.612428612407751</v>
      </c>
      <c r="BH640" s="61">
        <f>IF(ISERROR((BG640/AY640-1)*100),"NA",IF(((BG640/AY640-1)*100)&gt;100,"NM",IF(((BG640/AY640-1)*100)&lt;-50,"NM",(BG640/AY640-1)*100)))</f>
        <v>-27.772332334742313</v>
      </c>
      <c r="BI640" s="219">
        <f>BI639/BI657*100</f>
        <v>26.103770168625363</v>
      </c>
      <c r="BJ640" s="61">
        <f>IF(ISERROR((BI640/BA640-1)*100),"NA",IF(((BI640/BA640-1)*100)&gt;100,"NM",IF(((BI640/BA640-1)*100)&lt;-50,"NM",(BI640/BA640-1)*100)))</f>
        <v>-25.302358653257329</v>
      </c>
      <c r="BK640" s="219">
        <f>BK639/BK657*100</f>
        <v>25.894373618901923</v>
      </c>
      <c r="BL640" s="61">
        <f>IF(ISERROR((BK640/BC640-1)*100),"NA",IF(((BK640/BC640-1)*100)&gt;100,"NM",IF(((BK640/BC640-1)*100)&lt;-50,"NM",(BK640/BC640-1)*100)))</f>
        <v>-19.121482574362801</v>
      </c>
      <c r="BM640" s="219">
        <f>BM639/BM657*100</f>
        <v>24.189204291461781</v>
      </c>
      <c r="BN640" s="61">
        <f>IF(ISERROR((BM640/BE640-1)*100),"NA",IF(((BM640/BE640-1)*100)&gt;100,"NM",IF(((BM640/BE640-1)*100)&lt;-50,"NM",(BM640/BE640-1)*100)))</f>
        <v>-21.970124215357391</v>
      </c>
      <c r="BO640" s="219">
        <f>BO639/BO657*100</f>
        <v>25.651616409537169</v>
      </c>
      <c r="BP640" s="61">
        <f>IF(ISERROR((BO640/BG640-1)*100),"NA",IF(((BO640/BG640-1)*100)&gt;100,"NM",IF(((BO640/BG640-1)*100)&lt;-50,"NM",(BO640/BG640-1)*100)))</f>
        <v>-18.855913526779744</v>
      </c>
      <c r="BQ640" s="219">
        <f>BQ639/BQ657*100</f>
        <v>25.074431275428978</v>
      </c>
      <c r="BR640" s="61">
        <f>IF(ISERROR((BQ640/BI640-1)*100),"NA",IF(((BQ640/BI640-1)*100)&gt;100,"NM",IF(((BQ640/BI640-1)*100)&lt;-50,"NM",(BQ640/BI640-1)*100)))</f>
        <v>-3.9432575698722938</v>
      </c>
      <c r="BS640" s="219">
        <f>BS639/BS657*100</f>
        <v>23.053911444334418</v>
      </c>
      <c r="BT640" s="61">
        <f>IF(ISERROR((BS640/BK640-1)*100),"NA",IF(((BS640/BK640-1)*100)&gt;100,"NM",IF(((BS640/BK640-1)*100)&lt;-50,"NM",(BS640/BK640-1)*100)))</f>
        <v>-10.969418362350636</v>
      </c>
      <c r="BU640" s="219">
        <f>BU639/BU657*100</f>
        <v>23.039525801693834</v>
      </c>
      <c r="BV640" s="61">
        <f>IF(ISERROR((BU640/BM640-1)*100),"NA",IF(((BU640/BM640-1)*100)&gt;100,"NM",IF(((BU640/BM640-1)*100)&lt;-50,"NM",(BU640/BM640-1)*100)))</f>
        <v>-4.752857828290602</v>
      </c>
      <c r="BW640" s="219">
        <f>BW639/BW657*100</f>
        <v>30.013633450505907</v>
      </c>
      <c r="BX640" s="61">
        <f>IF(ISERROR((BW640/BO640-1)*100),"NA",IF(((BW640/BO640-1)*100)&gt;100,"NM",IF(((BW640/BO640-1)*100)&lt;-50,"NM",(BW640/BO640-1)*100)))</f>
        <v>17.004842779993211</v>
      </c>
      <c r="BY640" s="219">
        <f>BY639/BY657*100</f>
        <v>35.833943924540208</v>
      </c>
      <c r="BZ640" s="61">
        <f>IF(ISERROR((BY640/BQ640-1)*100),"NA",IF(((BY640/BQ640-1)*100)&gt;100,"NM",IF(((BY640/BQ640-1)*100)&lt;-50,"NM",(BY640/BQ640-1)*100)))</f>
        <v>42.910295874406245</v>
      </c>
      <c r="CA640" s="219">
        <f>CA639/CA657*100</f>
        <v>33.886724992551265</v>
      </c>
      <c r="CB640" s="61">
        <f>IF(ISERROR((CA640/BS640-1)*100),"NA",IF(((CA640/BS640-1)*100)&gt;100,"NM",IF(((CA640/BS640-1)*100)&lt;-50,"NM",(CA640/BS640-1)*100)))</f>
        <v>46.989048146443935</v>
      </c>
      <c r="CC640" s="219">
        <f>CC639/CC657*100</f>
        <v>37.619904257321906</v>
      </c>
      <c r="CD640" s="61">
        <f>IF(ISERROR((CC640/BU640-1)*100),"NA",IF(((CC640/BU640-1)*100)&gt;100,"NM",IF(((CC640/BU640-1)*100)&lt;-50,"NM",(CC640/BU640-1)*100)))</f>
        <v>63.284195087713748</v>
      </c>
      <c r="CE640" s="219">
        <f>CE639/CE657*100</f>
        <v>33.075330353413726</v>
      </c>
      <c r="CF640" s="61">
        <f>IF(ISERROR((CE640/BW640-1)*100),"NA",IF(((CE640/BW640-1)*100)&gt;100,"NM",IF(((CE640/BW640-1)*100)&lt;-50,"NM",(CE640/BW640-1)*100)))</f>
        <v>10.201020506086756</v>
      </c>
      <c r="CG640" s="219">
        <f>CG639/CG657*100</f>
        <v>33.199418753739636</v>
      </c>
      <c r="CH640" s="61">
        <f>IF(ISERROR((CG640/BY640-1)*100),"NA",IF(((CG640/BY640-1)*100)&gt;100,"NM",IF(((CG640/BY640-1)*100)&lt;-50,"NM",(CG640/BY640-1)*100)))</f>
        <v>-7.3520379904271849</v>
      </c>
      <c r="CI640" s="219">
        <f>CI639/CI657*100</f>
        <v>40.779784121860189</v>
      </c>
      <c r="CJ640" s="61">
        <f>IF(ISERROR((CI640/CA640-1)*100),"NA",IF(((CI640/CA640-1)*100)&gt;100,"NM",IF(((CI640/CA640-1)*100)&lt;-50,"NM",(CI640/CA640-1)*100)))</f>
        <v>20.34147333749161</v>
      </c>
      <c r="CK640" s="219">
        <f>CK639/CK657*100</f>
        <v>33.661989434137524</v>
      </c>
      <c r="CL640" s="61">
        <f>IF(ISERROR((CK640/CC640-1)*100),"NA",IF(((CK640/CC640-1)*100)&gt;100,"NM",IF(((CK640/CC640-1)*100)&lt;-50,"NM",(CK640/CC640-1)*100)))</f>
        <v>-10.5207998300901</v>
      </c>
      <c r="CM640" s="219">
        <f>CM639/CM657*100</f>
        <v>36.900514943186387</v>
      </c>
      <c r="CN640" s="61">
        <f>IF(ISERROR((CM640/CE640-1)*100),"NA",IF(((CM640/CE640-1)*100)&gt;100,"NM",IF(((CM640/CE640-1)*100)&lt;-50,"NM",(CM640/CE640-1)*100)))</f>
        <v>11.565068432877679</v>
      </c>
      <c r="CO640" s="219">
        <f>CO639/CO657*100</f>
        <v>34.114464742741148</v>
      </c>
      <c r="CP640" s="61">
        <f>IF(ISERROR((CO640/CG640-1)*100),"NA",IF(((CO640/CG640-1)*100)&gt;100,"NM",IF(((CO640/CG640-1)*100)&lt;-50,"NM",(CO640/CG640-1)*100)))</f>
        <v>2.7562108716088218</v>
      </c>
      <c r="CQ640" s="219">
        <f>CQ639/CQ657*100</f>
        <v>31.526538903117547</v>
      </c>
      <c r="CR640" s="61">
        <f>IF(ISERROR((CQ640/CI640-1)*100),"NA",IF(((CQ640/CI640-1)*100)&gt;100,"NM",IF(((CQ640/CI640-1)*100)&lt;-50,"NM",(CQ640/CI640-1)*100)))</f>
        <v>-22.690765579071314</v>
      </c>
      <c r="CS640" s="219">
        <f>CS639/CS657*100</f>
        <v>38.669609442471931</v>
      </c>
      <c r="CT640" s="61">
        <f>IF(ISERROR((CS640/CK640-1)*100),"NA",IF(((CS640/CK640-1)*100)&gt;100,"NM",IF(((CS640/CK640-1)*100)&lt;-50,"NM",(CS640/CK640-1)*100)))</f>
        <v>14.87618555086363</v>
      </c>
      <c r="CU640" s="219">
        <f>CU639/CU657*100</f>
        <v>39.5594551343113</v>
      </c>
      <c r="CV640" s="61">
        <f>IF(ISERROR((CU640/CM640-1)*100),"NA",IF(((CU640/CM640-1)*100)&gt;100,"NM",IF(((CU640/CM640-1)*100)&lt;-50,"NM",(CU640/CM640-1)*100)))</f>
        <v>7.2056994196930013</v>
      </c>
      <c r="CW640" s="219">
        <f>CW639/CW657*100</f>
        <v>36.953827392120076</v>
      </c>
      <c r="CX640" s="61">
        <f>IF(ISERROR((CW640/CO640-1)*100),"NA",IF(((CW640/CO640-1)*100)&gt;100,"NM",IF(((CW640/CO640-1)*100)&lt;-50,"NM",(CW640/CO640-1)*100)))</f>
        <v>8.3230461647008092</v>
      </c>
      <c r="CY640" s="219">
        <f>CY639/CY657*100</f>
        <v>35.392233363719242</v>
      </c>
      <c r="CZ640" s="61">
        <f>IF(ISERROR((CY640/CQ640-1)*100),"NA",IF(((CY640/CQ640-1)*100)&gt;100,"NM",IF(((CY640/CQ640-1)*100)&lt;-50,"NM",(CY640/CQ640-1)*100)))</f>
        <v>12.261715351885428</v>
      </c>
      <c r="DA640" s="219">
        <f>DA639/DA657*100</f>
        <v>37.201970443349758</v>
      </c>
      <c r="DB640" s="61">
        <f>IF(ISERROR((DA640/CS640-1)*100),"NA",IF(((DA640/CS640-1)*100)&gt;100,"NM",IF(((DA640/CS640-1)*100)&lt;-50,"NM",(DA640/CS640-1)*100)))</f>
        <v>-3.7953292528220439</v>
      </c>
      <c r="DC640" s="219">
        <f>DC639/DC657*100</f>
        <v>36.120902402269301</v>
      </c>
      <c r="DD640" s="61">
        <f>IF(ISERROR((DC640/CU640-1)*100),"NA",IF(((DC640/CU640-1)*100)&gt;100,"NM",IF(((DC640/CU640-1)*100)&lt;-50,"NM",(DC640/CU640-1)*100)))</f>
        <v>-8.6921134792365287</v>
      </c>
      <c r="DE640" s="219">
        <f>DE639/DE657*100</f>
        <v>36.296927521008399</v>
      </c>
      <c r="DF640" s="61">
        <f>IF(ISERROR((DE640/CW640-1)*100),"NA",IF(((DE640/CW640-1)*100)&gt;100,"NM",IF(((DE640/CW640-1)*100)&lt;-50,"NM",(DE640/CW640-1)*100)))</f>
        <v>-1.7776233680513176</v>
      </c>
      <c r="DG640" s="219">
        <f>DG639/DG657*100</f>
        <v>35.19505112123035</v>
      </c>
      <c r="DH640" s="61">
        <f>IF(ISERROR((DG640/CY640-1)*100),"NA",IF(((DG640/CY640-1)*100)&gt;100,"NM",IF(((DG640/CY640-1)*100)&lt;-50,"NM",(DG640/CY640-1)*100)))</f>
        <v>-0.557134217732147</v>
      </c>
      <c r="DI640" s="219">
        <f>DI639/DI657*100</f>
        <v>31.252430613961312</v>
      </c>
      <c r="DJ640" s="61">
        <f>IF(ISERROR((DI640/DA640-1)*100),"NA",IF(((DI640/DA640-1)*100)&gt;100,"NM",IF(((DI640/DA640-1)*100)&lt;-50,"NM",(DI640/DA640-1)*100)))</f>
        <v>-15.992539530797856</v>
      </c>
      <c r="DK640" s="219">
        <f>DK639/DK657*100</f>
        <v>31.862777362253802</v>
      </c>
      <c r="DL640" s="61">
        <f>IF(ISERROR((DK640/DC640-1)*100),"NA",IF(((DK640/DC640-1)*100)&gt;100,"NM",IF(((DK640/DC640-1)*100)&lt;-50,"NM",(DK640/DC640-1)*100)))</f>
        <v>-11.788534496159164</v>
      </c>
      <c r="DM640" s="219">
        <f>DM639/DM657*100</f>
        <v>33.843952007835455</v>
      </c>
      <c r="DN640" s="130">
        <f t="shared" si="3711"/>
        <v>-6.7580803134182137</v>
      </c>
      <c r="DO640" s="219">
        <f>DO639/DO657*100</f>
        <v>32.623878691141265</v>
      </c>
      <c r="DP640" s="130">
        <f t="shared" si="3711"/>
        <v>-7.3054942333585782</v>
      </c>
      <c r="DQ640" s="219">
        <f>DQ639/DQ657*100</f>
        <v>32.01518506801645</v>
      </c>
      <c r="DR640" s="61">
        <f t="shared" si="3712"/>
        <v>2.4406244220710027</v>
      </c>
      <c r="DS640" s="219">
        <f>DS639/DS657*100</f>
        <v>33.504606205250589</v>
      </c>
      <c r="DT640" s="130">
        <f t="shared" si="3711"/>
        <v>5.1528114587455098</v>
      </c>
      <c r="DU640" s="219">
        <f>DU639/DU657*100</f>
        <v>31.787957663661309</v>
      </c>
      <c r="DV640" s="130">
        <f t="shared" si="3711"/>
        <v>-6.074923944160382</v>
      </c>
      <c r="DW640" s="219">
        <f>DW639/DW657*100</f>
        <v>32.644057151829173</v>
      </c>
      <c r="DX640" s="219">
        <f t="shared" ref="DX640:DY640" si="3726">DX639/DX657*100</f>
        <v>32.644057151829173</v>
      </c>
      <c r="DY640" s="219">
        <f t="shared" si="3726"/>
        <v>32.319206075790795</v>
      </c>
      <c r="DZ640" s="130">
        <f t="shared" si="3711"/>
        <v>0.94961502527144415</v>
      </c>
      <c r="EA640" s="219">
        <f t="shared" ref="EA640:EC640" si="3727">EA639/EA657*100</f>
        <v>36.002687200440015</v>
      </c>
      <c r="EB640" s="130">
        <f t="shared" si="3713"/>
        <v>7.4559330137655699</v>
      </c>
      <c r="EC640" s="219">
        <f t="shared" si="3727"/>
        <v>35.480636542239687</v>
      </c>
      <c r="ED640" s="130">
        <f t="shared" si="3714"/>
        <v>11.616596818359604</v>
      </c>
      <c r="EE640" s="219">
        <f t="shared" ref="EE640:EG640" si="3728">EE639/EE657*100</f>
        <v>33.824038312992428</v>
      </c>
      <c r="EF640" s="130">
        <f t="shared" si="3715"/>
        <v>3.6146890555763367</v>
      </c>
      <c r="EG640" s="219">
        <f t="shared" si="3728"/>
        <v>33.303516109045859</v>
      </c>
      <c r="EH640" s="130">
        <f t="shared" si="3716"/>
        <v>3.0455885300733732</v>
      </c>
      <c r="EI640" s="219">
        <f t="shared" ref="EI640:EK640" si="3729">EI639/EI657*100</f>
        <v>30.60720706993753</v>
      </c>
      <c r="EJ640" s="130">
        <f t="shared" si="3717"/>
        <v>-14.98632616077764</v>
      </c>
      <c r="EK640" s="219">
        <f t="shared" si="3729"/>
        <v>29.694580353782456</v>
      </c>
      <c r="EL640" s="130">
        <f t="shared" si="3718"/>
        <v>-16.307644823589719</v>
      </c>
      <c r="EM640" s="219">
        <f t="shared" ref="EM640" si="3730">EM639/EM657*100</f>
        <v>28.139353400222962</v>
      </c>
      <c r="EN640" s="130">
        <f t="shared" si="3719"/>
        <v>-16.806641655753673</v>
      </c>
      <c r="EO640" s="219">
        <f t="shared" ref="EO640" si="3731">EO639/EO657*100</f>
        <v>27.607096224808402</v>
      </c>
      <c r="EP640" s="130">
        <f t="shared" si="3720"/>
        <v>-17.104559967739274</v>
      </c>
      <c r="EQ640" s="91"/>
      <c r="ER640" s="130" t="str">
        <f t="shared" si="3721"/>
        <v>NM</v>
      </c>
      <c r="ES640" s="91"/>
      <c r="ET640" s="130" t="str">
        <f t="shared" si="3722"/>
        <v>NM</v>
      </c>
      <c r="EU640" s="91"/>
      <c r="EV640" s="130" t="str">
        <f t="shared" si="3723"/>
        <v>NM</v>
      </c>
      <c r="EW640" s="91"/>
      <c r="EX640" s="130" t="str">
        <f t="shared" si="3724"/>
        <v>NM</v>
      </c>
      <c r="EY640" s="356"/>
      <c r="EZ640" s="558"/>
      <c r="FA640" s="356"/>
      <c r="FB640" s="91"/>
      <c r="FC640" s="71"/>
      <c r="FD640" s="91"/>
      <c r="FE640" s="70"/>
      <c r="FF640" s="91"/>
      <c r="FG640" s="70"/>
      <c r="FH640" s="91"/>
      <c r="FI640" s="70"/>
      <c r="FJ640" s="91"/>
      <c r="FK640" s="70"/>
      <c r="FL640" s="91"/>
      <c r="FM640" s="61"/>
      <c r="FN640" s="91"/>
      <c r="FO640" s="61"/>
      <c r="FP640" s="75"/>
      <c r="FQ640" s="61"/>
      <c r="FR640" s="83">
        <f>BE640</f>
        <v>30.999926692466374</v>
      </c>
      <c r="FS640" s="61" t="str">
        <f>IF(ISERROR((FR640/FP640-1)*100),"NA",IF(((FR640/FP640-1)*100)&gt;100,"NM",IF(((FR640/FP640-1)*100)&lt;-50,"NM",(FR640/FP640-1)*100)))</f>
        <v>NA</v>
      </c>
      <c r="FT640" s="402">
        <f>BM640</f>
        <v>24.189204291461781</v>
      </c>
      <c r="FU640" s="61">
        <f>IF(ISERROR((FT640/FR640-1)*100),"NA",IF(((FT640/FR640-1)*100)&gt;100,"NM",IF(((FT640/FR640-1)*100)&lt;-50,"NM",(FT640/FR640-1)*100)))</f>
        <v>-21.970124215357391</v>
      </c>
      <c r="FV640" s="402">
        <f>BU640</f>
        <v>23.039525801693834</v>
      </c>
      <c r="FW640" s="61">
        <f>IF(ISERROR((FV640/FT640-1)*100),"NA",IF(((FV640/FT640-1)*100)&gt;100,"NM",IF(((FV640/FT640-1)*100)&lt;-50,"NM",(FV640/FT640-1)*100)))</f>
        <v>-4.752857828290602</v>
      </c>
      <c r="FX640" s="83"/>
      <c r="FY640" s="61"/>
      <c r="FZ640" s="83"/>
      <c r="GA640" s="61"/>
      <c r="GB640" s="83"/>
      <c r="GC640" s="61"/>
      <c r="GD640" s="83"/>
      <c r="GE640" s="61"/>
      <c r="GF640" s="83"/>
      <c r="GG640" s="61"/>
      <c r="GH640" s="83"/>
      <c r="GI640" s="61"/>
      <c r="GJ640" s="83"/>
      <c r="GK640" s="61"/>
      <c r="GL640" s="83"/>
      <c r="GM640" s="61"/>
      <c r="GN640" s="83"/>
      <c r="GO640" s="61"/>
      <c r="GP640" s="83"/>
      <c r="GQ640" s="61"/>
      <c r="GR640" s="91"/>
      <c r="GS640" s="61"/>
      <c r="GT640" s="91"/>
      <c r="GU640" s="61"/>
      <c r="GV640" s="91"/>
      <c r="GW640" s="61"/>
      <c r="GX640" s="91"/>
      <c r="GY640" s="61"/>
      <c r="GZ640" s="61"/>
      <c r="HA640" s="61"/>
      <c r="HB640" s="452"/>
      <c r="HC640"/>
      <c r="HD640"/>
      <c r="HE640"/>
      <c r="HF640"/>
      <c r="HG640"/>
      <c r="HH640"/>
    </row>
    <row r="641" spans="1:216" s="5" customFormat="1" ht="12.75" customHeight="1" x14ac:dyDescent="0.2">
      <c r="B641" s="7"/>
      <c r="C641" s="91"/>
      <c r="D641" s="70"/>
      <c r="E641" s="91"/>
      <c r="F641" s="71"/>
      <c r="G641" s="91"/>
      <c r="H641" s="71"/>
      <c r="I641" s="91"/>
      <c r="J641" s="61"/>
      <c r="K641" s="91"/>
      <c r="L641" s="61"/>
      <c r="M641" s="91"/>
      <c r="N641" s="61"/>
      <c r="O641" s="91"/>
      <c r="P641" s="61"/>
      <c r="Q641" s="91"/>
      <c r="R641" s="61"/>
      <c r="S641" s="91"/>
      <c r="T641" s="61"/>
      <c r="U641" s="91"/>
      <c r="V641" s="61"/>
      <c r="W641" s="91"/>
      <c r="X641" s="61"/>
      <c r="Y641" s="91"/>
      <c r="Z641" s="61"/>
      <c r="AA641" s="91"/>
      <c r="AB641" s="61"/>
      <c r="AC641" s="91"/>
      <c r="AD641" s="61"/>
      <c r="AE641" s="91"/>
      <c r="AF641" s="61"/>
      <c r="AG641" s="91"/>
      <c r="AH641" s="61"/>
      <c r="AI641" s="91"/>
      <c r="AJ641" s="61"/>
      <c r="AK641" s="91"/>
      <c r="AL641" s="61"/>
      <c r="AM641" s="91"/>
      <c r="AN641" s="61"/>
      <c r="AO641" s="91"/>
      <c r="AP641" s="61"/>
      <c r="AQ641" s="91"/>
      <c r="AR641" s="61"/>
      <c r="AS641" s="91"/>
      <c r="AT641" s="61"/>
      <c r="AU641" s="91"/>
      <c r="AV641" s="61"/>
      <c r="AW641" s="91"/>
      <c r="AX641" s="61"/>
      <c r="AY641" s="91"/>
      <c r="AZ641" s="61"/>
      <c r="BA641" s="91"/>
      <c r="BB641" s="61"/>
      <c r="BC641" s="91"/>
      <c r="BD641" s="61"/>
      <c r="BE641" s="91"/>
      <c r="BF641" s="61"/>
      <c r="BG641" s="91"/>
      <c r="BH641" s="61"/>
      <c r="BI641" s="91"/>
      <c r="BJ641" s="61"/>
      <c r="BK641" s="91"/>
      <c r="BL641" s="61"/>
      <c r="BM641" s="91"/>
      <c r="BN641" s="61"/>
      <c r="BO641" s="91"/>
      <c r="BP641" s="61"/>
      <c r="BQ641" s="91"/>
      <c r="BR641" s="61"/>
      <c r="BS641" s="91"/>
      <c r="BT641" s="61"/>
      <c r="BU641" s="91"/>
      <c r="BV641" s="61"/>
      <c r="BW641" s="91"/>
      <c r="BX641" s="61"/>
      <c r="BY641" s="91"/>
      <c r="BZ641" s="61"/>
      <c r="CA641" s="91"/>
      <c r="CB641" s="61"/>
      <c r="CC641" s="91"/>
      <c r="CD641" s="61"/>
      <c r="CE641" s="91"/>
      <c r="CF641" s="61"/>
      <c r="CG641" s="91"/>
      <c r="CH641" s="61"/>
      <c r="CI641" s="91"/>
      <c r="CJ641" s="61"/>
      <c r="CK641" s="91"/>
      <c r="CL641" s="61"/>
      <c r="CM641" s="91"/>
      <c r="CN641" s="61"/>
      <c r="CO641" s="91"/>
      <c r="CP641" s="61"/>
      <c r="CQ641" s="91"/>
      <c r="CR641" s="61"/>
      <c r="CS641" s="91"/>
      <c r="CT641" s="61"/>
      <c r="CU641" s="91"/>
      <c r="CV641" s="61"/>
      <c r="CW641" s="91"/>
      <c r="CX641" s="61"/>
      <c r="CY641" s="91"/>
      <c r="CZ641" s="61"/>
      <c r="DA641" s="91"/>
      <c r="DB641" s="61"/>
      <c r="DC641" s="91"/>
      <c r="DD641" s="61"/>
      <c r="DE641" s="91"/>
      <c r="DF641" s="61"/>
      <c r="DG641" s="91"/>
      <c r="DH641" s="61"/>
      <c r="DI641" s="91"/>
      <c r="DJ641" s="61"/>
      <c r="DK641" s="91"/>
      <c r="DL641" s="61"/>
      <c r="DM641" s="91"/>
      <c r="DN641" s="61"/>
      <c r="DO641" s="91"/>
      <c r="DP641" s="61"/>
      <c r="DQ641" s="91"/>
      <c r="DR641" s="61"/>
      <c r="DS641" s="91"/>
      <c r="DT641" s="61"/>
      <c r="DU641" s="91"/>
      <c r="DV641" s="61"/>
      <c r="DW641" s="91"/>
      <c r="DX641" s="91"/>
      <c r="DY641" s="91"/>
      <c r="DZ641" s="61"/>
      <c r="EA641" s="91"/>
      <c r="EB641" s="61"/>
      <c r="EC641" s="91"/>
      <c r="ED641" s="61"/>
      <c r="EE641" s="91"/>
      <c r="EF641" s="61"/>
      <c r="EG641" s="91"/>
      <c r="EH641" s="61"/>
      <c r="EI641" s="91"/>
      <c r="EJ641" s="61"/>
      <c r="EK641" s="91"/>
      <c r="EL641" s="61"/>
      <c r="EM641" s="91"/>
      <c r="EN641" s="61"/>
      <c r="EO641" s="91"/>
      <c r="EP641" s="61"/>
      <c r="EQ641" s="91"/>
      <c r="ER641" s="61"/>
      <c r="ES641" s="91"/>
      <c r="ET641" s="61"/>
      <c r="EU641" s="91"/>
      <c r="EV641" s="61"/>
      <c r="EW641" s="91"/>
      <c r="EX641" s="61"/>
      <c r="EY641" s="356"/>
      <c r="EZ641" s="558"/>
      <c r="FA641" s="356"/>
      <c r="FB641" s="91"/>
      <c r="FC641" s="71"/>
      <c r="FD641" s="91"/>
      <c r="FE641" s="70"/>
      <c r="FF641" s="91"/>
      <c r="FG641" s="70"/>
      <c r="FH641" s="91"/>
      <c r="FI641" s="70"/>
      <c r="FJ641" s="91"/>
      <c r="FK641" s="70"/>
      <c r="FL641" s="91"/>
      <c r="FM641" s="61"/>
      <c r="FN641" s="91"/>
      <c r="FO641" s="61"/>
      <c r="FP641" s="75"/>
      <c r="FQ641" s="61"/>
      <c r="FR641" s="75"/>
      <c r="FS641" s="61"/>
      <c r="FT641" s="75"/>
      <c r="FU641" s="61"/>
      <c r="FV641" s="75"/>
      <c r="FW641" s="61"/>
      <c r="FX641" s="75"/>
      <c r="FY641" s="61"/>
      <c r="FZ641" s="75"/>
      <c r="GA641" s="61"/>
      <c r="GB641" s="75"/>
      <c r="GC641" s="61"/>
      <c r="GD641" s="75"/>
      <c r="GE641" s="61"/>
      <c r="GF641" s="75"/>
      <c r="GG641" s="61"/>
      <c r="GH641" s="75"/>
      <c r="GI641" s="61"/>
      <c r="GJ641" s="75"/>
      <c r="GK641" s="61"/>
      <c r="GL641" s="75"/>
      <c r="GM641" s="61"/>
      <c r="GN641" s="75"/>
      <c r="GO641" s="61"/>
      <c r="GP641" s="75"/>
      <c r="GQ641" s="61"/>
      <c r="GR641" s="91"/>
      <c r="GS641" s="61"/>
      <c r="GT641" s="91"/>
      <c r="GU641" s="61"/>
      <c r="GV641" s="91"/>
      <c r="GW641" s="61"/>
      <c r="GX641" s="91"/>
      <c r="GY641" s="61"/>
      <c r="GZ641" s="61" t="str">
        <f t="shared" ref="GZ641:GZ672" si="3732">IF(ISERROR((GX641/GN641)^0.2),"",IF(OR((GX641/GN641)^0.2&lt;0.5,(GX641/GN641)^0.2&gt;2),"NM",((GX641/GN641)^0.2-1)*100))</f>
        <v/>
      </c>
      <c r="HA641" s="61"/>
      <c r="HB641" s="452"/>
      <c r="HC641"/>
      <c r="HD641"/>
      <c r="HE641"/>
      <c r="HF641"/>
      <c r="HG641"/>
      <c r="HH641"/>
    </row>
    <row r="642" spans="1:216" s="5" customFormat="1" ht="12.75" customHeight="1" x14ac:dyDescent="0.2">
      <c r="A642" s="8"/>
      <c r="B642" s="105" t="s">
        <v>150</v>
      </c>
      <c r="C642" s="231"/>
      <c r="D642" s="107"/>
      <c r="E642" s="231"/>
      <c r="F642" s="64"/>
      <c r="G642" s="64"/>
      <c r="H642" s="64"/>
      <c r="I642" s="356"/>
      <c r="J642" s="64"/>
      <c r="K642" s="356"/>
      <c r="L642" s="61"/>
      <c r="M642" s="231"/>
      <c r="N642" s="61"/>
      <c r="O642" s="64"/>
      <c r="P642" s="61"/>
      <c r="Q642" s="64"/>
      <c r="R642" s="61"/>
      <c r="S642" s="64"/>
      <c r="T642" s="61"/>
      <c r="U642" s="356"/>
      <c r="V642" s="61"/>
      <c r="W642" s="64"/>
      <c r="X642" s="61"/>
      <c r="Y642" s="64"/>
      <c r="Z642" s="61"/>
      <c r="AA642" s="64"/>
      <c r="AB642" s="61"/>
      <c r="AC642" s="64"/>
      <c r="AD642" s="61"/>
      <c r="AE642" s="64"/>
      <c r="AF642" s="61"/>
      <c r="AG642" s="64"/>
      <c r="AH642" s="61"/>
      <c r="AI642" s="64"/>
      <c r="AJ642" s="61"/>
      <c r="AK642" s="64"/>
      <c r="AL642" s="61"/>
      <c r="AM642" s="64"/>
      <c r="AN642" s="61"/>
      <c r="AO642" s="64"/>
      <c r="AP642" s="61"/>
      <c r="AQ642" s="64"/>
      <c r="AR642" s="61"/>
      <c r="AS642" s="64"/>
      <c r="AT642" s="61"/>
      <c r="AU642" s="64"/>
      <c r="AV642" s="61"/>
      <c r="AW642" s="64"/>
      <c r="AX642" s="61"/>
      <c r="AY642" s="64"/>
      <c r="AZ642" s="61"/>
      <c r="BA642" s="64"/>
      <c r="BB642" s="61"/>
      <c r="BC642" s="64"/>
      <c r="BD642" s="61"/>
      <c r="BE642" s="64"/>
      <c r="BF642" s="61"/>
      <c r="BG642" s="64"/>
      <c r="BH642" s="61"/>
      <c r="BI642" s="64"/>
      <c r="BJ642" s="61"/>
      <c r="BK642" s="64"/>
      <c r="BL642" s="61"/>
      <c r="BM642" s="64"/>
      <c r="BN642" s="61"/>
      <c r="BO642" s="64"/>
      <c r="BP642" s="61"/>
      <c r="BQ642" s="64"/>
      <c r="BR642" s="61"/>
      <c r="BS642" s="64"/>
      <c r="BT642" s="61"/>
      <c r="BU642" s="64"/>
      <c r="BV642" s="61"/>
      <c r="BW642" s="356"/>
      <c r="BX642" s="61"/>
      <c r="BY642" s="356"/>
      <c r="BZ642" s="61"/>
      <c r="CA642" s="356"/>
      <c r="CB642" s="61"/>
      <c r="CC642" s="356"/>
      <c r="CD642" s="61"/>
      <c r="CE642" s="356"/>
      <c r="CF642" s="61"/>
      <c r="CG642" s="356"/>
      <c r="CH642" s="61"/>
      <c r="CI642" s="356"/>
      <c r="CJ642" s="61"/>
      <c r="CK642" s="356"/>
      <c r="CL642" s="61"/>
      <c r="CM642" s="356"/>
      <c r="CN642" s="61"/>
      <c r="CO642" s="356"/>
      <c r="CP642" s="61"/>
      <c r="CQ642" s="356"/>
      <c r="CR642" s="61"/>
      <c r="CS642" s="356"/>
      <c r="CT642" s="61"/>
      <c r="CU642" s="356"/>
      <c r="CV642" s="61"/>
      <c r="CW642" s="356"/>
      <c r="CX642" s="61"/>
      <c r="CY642" s="356"/>
      <c r="CZ642" s="61"/>
      <c r="DA642" s="356"/>
      <c r="DB642" s="61"/>
      <c r="DC642" s="356"/>
      <c r="DD642" s="61"/>
      <c r="DE642" s="356"/>
      <c r="DF642" s="61"/>
      <c r="DG642" s="356"/>
      <c r="DH642" s="61"/>
      <c r="DI642" s="356"/>
      <c r="DJ642" s="61"/>
      <c r="DK642" s="356"/>
      <c r="DL642" s="61"/>
      <c r="DM642" s="356"/>
      <c r="DN642" s="61"/>
      <c r="DO642" s="356"/>
      <c r="DP642" s="61"/>
      <c r="DQ642" s="356"/>
      <c r="DR642" s="61"/>
      <c r="DS642" s="356"/>
      <c r="DT642" s="61"/>
      <c r="DU642" s="356"/>
      <c r="DV642" s="61"/>
      <c r="DW642" s="356"/>
      <c r="DX642" s="356"/>
      <c r="DY642" s="356"/>
      <c r="DZ642" s="61"/>
      <c r="EA642" s="356"/>
      <c r="EB642" s="61"/>
      <c r="EC642" s="356"/>
      <c r="ED642" s="61"/>
      <c r="EE642" s="356"/>
      <c r="EF642" s="61"/>
      <c r="EG642" s="356"/>
      <c r="EH642" s="61"/>
      <c r="EI642" s="356"/>
      <c r="EJ642" s="61"/>
      <c r="EK642" s="356"/>
      <c r="EL642" s="61"/>
      <c r="EM642" s="356"/>
      <c r="EN642" s="61"/>
      <c r="EO642" s="356"/>
      <c r="EP642" s="61"/>
      <c r="EQ642" s="356"/>
      <c r="ER642" s="61"/>
      <c r="ES642" s="356"/>
      <c r="ET642" s="61"/>
      <c r="EU642" s="356"/>
      <c r="EV642" s="61"/>
      <c r="EW642" s="356"/>
      <c r="EX642" s="61"/>
      <c r="EY642" s="64"/>
      <c r="EZ642" s="558"/>
      <c r="FA642" s="64"/>
      <c r="FB642" s="356"/>
      <c r="FC642" s="64"/>
      <c r="FD642" s="64"/>
      <c r="FE642" s="107"/>
      <c r="FF642" s="356"/>
      <c r="FG642" s="107"/>
      <c r="FH642" s="356"/>
      <c r="FI642" s="107"/>
      <c r="FJ642" s="356"/>
      <c r="FK642" s="107"/>
      <c r="FL642" s="356"/>
      <c r="FM642" s="61"/>
      <c r="FN642" s="356"/>
      <c r="FO642" s="61"/>
      <c r="FP642" s="357"/>
      <c r="FQ642" s="61"/>
      <c r="FR642" s="357"/>
      <c r="FS642" s="61"/>
      <c r="FT642" s="357"/>
      <c r="FU642" s="61"/>
      <c r="FV642" s="357"/>
      <c r="FW642" s="61"/>
      <c r="FX642" s="357"/>
      <c r="FY642" s="61"/>
      <c r="FZ642" s="357"/>
      <c r="GA642" s="61"/>
      <c r="GB642" s="357"/>
      <c r="GC642" s="61"/>
      <c r="GD642" s="357"/>
      <c r="GE642" s="61"/>
      <c r="GF642" s="357"/>
      <c r="GG642" s="61"/>
      <c r="GH642" s="357"/>
      <c r="GI642" s="61"/>
      <c r="GJ642" s="357"/>
      <c r="GK642" s="61"/>
      <c r="GL642" s="357"/>
      <c r="GM642" s="61"/>
      <c r="GN642" s="357"/>
      <c r="GO642" s="61"/>
      <c r="GP642" s="357"/>
      <c r="GQ642" s="61"/>
      <c r="GR642" s="356"/>
      <c r="GS642" s="61"/>
      <c r="GT642" s="356"/>
      <c r="GU642" s="61"/>
      <c r="GV642" s="356"/>
      <c r="GW642" s="61"/>
      <c r="GX642" s="356"/>
      <c r="GY642" s="61"/>
      <c r="GZ642" s="61" t="str">
        <f t="shared" si="3732"/>
        <v/>
      </c>
      <c r="HA642" s="61"/>
      <c r="HB642" s="452"/>
      <c r="HC642"/>
      <c r="HD642"/>
      <c r="HE642"/>
      <c r="HF642"/>
      <c r="HG642"/>
      <c r="HH642"/>
    </row>
    <row r="643" spans="1:216" s="5" customFormat="1" ht="12.75" customHeight="1" x14ac:dyDescent="0.2">
      <c r="A643" s="7" t="s">
        <v>398</v>
      </c>
      <c r="B643" s="7" t="s">
        <v>647</v>
      </c>
      <c r="C643" s="74">
        <v>474.2</v>
      </c>
      <c r="D643" s="70"/>
      <c r="E643" s="74">
        <v>355.7</v>
      </c>
      <c r="F643" s="71"/>
      <c r="G643" s="74">
        <v>330.3</v>
      </c>
      <c r="H643" s="71"/>
      <c r="I643" s="74">
        <v>312.89999999999998</v>
      </c>
      <c r="J643" s="61"/>
      <c r="K643" s="74">
        <v>415.3</v>
      </c>
      <c r="L643" s="61">
        <f t="shared" ref="L643:L650" si="3733">IF(ISERROR((K643/C643-1)*100),"NA",IF(((K643/C643-1)*100)&gt;100,"NM",IF(((K643/C643-1)*100)&lt;-50,"NM",(K643/C643-1)*100)))</f>
        <v>-12.42091944327287</v>
      </c>
      <c r="M643" s="74">
        <v>351.3</v>
      </c>
      <c r="N643" s="61">
        <f t="shared" ref="N643:N650" si="3734">IF(ISERROR((M643/E643-1)*100),"NA",IF(((M643/E643-1)*100)&gt;100,"NM",IF(((M643/E643-1)*100)&lt;-50,"NM",(M643/E643-1)*100)))</f>
        <v>-1.2369974697779007</v>
      </c>
      <c r="O643" s="74">
        <v>539</v>
      </c>
      <c r="P643" s="61">
        <f t="shared" ref="P643:P650" si="3735">IF(ISERROR((O643/G643-1)*100),"NA",IF(((O643/G643-1)*100)&gt;100,"NM",IF(((O643/G643-1)*100)&lt;-50,"NM",(O643/G643-1)*100)))</f>
        <v>63.184983348471093</v>
      </c>
      <c r="Q643" s="74">
        <v>350.2</v>
      </c>
      <c r="R643" s="61">
        <f t="shared" ref="R643:R650" si="3736">IF(ISERROR((Q643/I643-1)*100),"NA",IF(((Q643/I643-1)*100)&gt;100,"NM",IF(((Q643/I643-1)*100)&lt;-50,"NM",(Q643/I643-1)*100)))</f>
        <v>11.920741450942796</v>
      </c>
      <c r="S643" s="74">
        <v>510.2</v>
      </c>
      <c r="T643" s="61">
        <f t="shared" ref="T643:T650" si="3737">IF(ISERROR((S643/K643-1)*100),"NA",IF(((S643/K643-1)*100)&gt;100,"NM",IF(((S643/K643-1)*100)&lt;-50,"NM",(S643/K643-1)*100)))</f>
        <v>22.850951119672523</v>
      </c>
      <c r="U643" s="74">
        <v>211</v>
      </c>
      <c r="V643" s="61">
        <f t="shared" ref="V643:V650" si="3738">IF(ISERROR((U643/M643-1)*100),"NA",IF(((U643/M643-1)*100)&gt;100,"NM",IF(((U643/M643-1)*100)&lt;-50,"NM",(U643/M643-1)*100)))</f>
        <v>-39.937375462567601</v>
      </c>
      <c r="W643" s="74">
        <v>120</v>
      </c>
      <c r="X643" s="61" t="str">
        <f t="shared" ref="X643:X650" si="3739">IF(ISERROR((W643/O643-1)*100),"NA",IF(((W643/O643-1)*100)&gt;100,"NM",IF(((W643/O643-1)*100)&lt;-50,"NM",(W643/O643-1)*100)))</f>
        <v>NM</v>
      </c>
      <c r="Y643" s="74">
        <v>153</v>
      </c>
      <c r="Z643" s="61" t="str">
        <f t="shared" ref="Z643:Z650" si="3740">IF(ISERROR((Y643/Q643-1)*100),"NA",IF(((Y643/Q643-1)*100)&gt;100,"NM",IF(((Y643/Q643-1)*100)&lt;-50,"NM",(Y643/Q643-1)*100)))</f>
        <v>NM</v>
      </c>
      <c r="AA643" s="74">
        <v>125.395</v>
      </c>
      <c r="AB643" s="61" t="str">
        <f t="shared" ref="AB643:AB650" si="3741">IF(ISERROR((AA643/S643-1)*100),"NA",IF(((AA643/S643-1)*100)&gt;100,"NM",IF(((AA643/S643-1)*100)&lt;-50,"NM",(AA643/S643-1)*100)))</f>
        <v>NM</v>
      </c>
      <c r="AC643" s="74">
        <v>83.4</v>
      </c>
      <c r="AD643" s="61" t="str">
        <f t="shared" ref="AD643:AD650" si="3742">IF(ISERROR((AC643/U643-1)*100),"NA",IF(((AC643/U643-1)*100)&gt;100,"NM",IF(((AC643/U643-1)*100)&lt;-50,"NM",(AC643/U643-1)*100)))</f>
        <v>NM</v>
      </c>
      <c r="AE643" s="74">
        <v>90.9</v>
      </c>
      <c r="AF643" s="61">
        <f t="shared" ref="AF643:AF650" si="3743">IF(ISERROR((AE643/W643-1)*100),"NA",IF(((AE643/W643-1)*100)&gt;100,"NM",IF(((AE643/W643-1)*100)&lt;-50,"NM",(AE643/W643-1)*100)))</f>
        <v>-24.249999999999993</v>
      </c>
      <c r="AG643" s="74">
        <v>44</v>
      </c>
      <c r="AH643" s="61" t="str">
        <f t="shared" ref="AH643:AH650" si="3744">IF(ISERROR((AG643/Y643-1)*100),"NA",IF(((AG643/Y643-1)*100)&gt;100,"NM",IF(((AG643/Y643-1)*100)&lt;-50,"NM",(AG643/Y643-1)*100)))</f>
        <v>NM</v>
      </c>
      <c r="AI643" s="74">
        <v>38</v>
      </c>
      <c r="AJ643" s="61" t="str">
        <f t="shared" ref="AJ643:AJ650" si="3745">IF(ISERROR((AI643/AA643-1)*100),"NA",IF(((AI643/AA643-1)*100)&gt;100,"NM",IF(((AI643/AA643-1)*100)&lt;-50,"NM",(AI643/AA643-1)*100)))</f>
        <v>NM</v>
      </c>
      <c r="AK643" s="74">
        <v>30</v>
      </c>
      <c r="AL643" s="61" t="str">
        <f t="shared" ref="AL643:AL650" si="3746">IF(ISERROR((AK643/AC643-1)*100),"NA",IF(((AK643/AC643-1)*100)&gt;100,"NM",IF(((AK643/AC643-1)*100)&lt;-50,"NM",(AK643/AC643-1)*100)))</f>
        <v>NM</v>
      </c>
      <c r="AM643" s="74">
        <v>0</v>
      </c>
      <c r="AN643" s="61" t="str">
        <f t="shared" ref="AN643:AN650" si="3747">IF(ISERROR((AM643/AE643-1)*100),"NA",IF(((AM643/AE643-1)*100)&gt;100,"NM",IF(((AM643/AE643-1)*100)&lt;-50,"NM",(AM643/AE643-1)*100)))</f>
        <v>NM</v>
      </c>
      <c r="AO643" s="74">
        <v>214.4</v>
      </c>
      <c r="AP643" s="61" t="str">
        <f t="shared" ref="AP643:AP650" si="3748">IF(ISERROR((AO643/AG643-1)*100),"NA",IF(((AO643/AG643-1)*100)&gt;100,"NM",IF(((AO643/AG643-1)*100)&lt;-50,"NM",(AO643/AG643-1)*100)))</f>
        <v>NM</v>
      </c>
      <c r="AQ643" s="74">
        <v>194</v>
      </c>
      <c r="AR643" s="61" t="str">
        <f t="shared" ref="AR643:AR650" si="3749">IF(ISERROR((AQ643/AI643-1)*100),"NA",IF(((AQ643/AI643-1)*100)&gt;100,"NM",IF(((AQ643/AI643-1)*100)&lt;-50,"NM",(AQ643/AI643-1)*100)))</f>
        <v>NM</v>
      </c>
      <c r="AS643" s="74">
        <v>222.5</v>
      </c>
      <c r="AT643" s="61" t="str">
        <f t="shared" ref="AT643:AT650" si="3750">IF(ISERROR((AS643/AK643-1)*100),"NA",IF(((AS643/AK643-1)*100)&gt;100,"NM",IF(((AS643/AK643-1)*100)&lt;-50,"NM",(AS643/AK643-1)*100)))</f>
        <v>NM</v>
      </c>
      <c r="AU643" s="74">
        <v>165.1</v>
      </c>
      <c r="AV643" s="61" t="str">
        <f t="shared" ref="AV643:AV650" si="3751">IF(ISERROR((AU643/AM643-1)*100),"NA",IF(((AU643/AM643-1)*100)&gt;100,"NM",IF(((AU643/AM643-1)*100)&lt;-50,"NM",(AU643/AM643-1)*100)))</f>
        <v>NA</v>
      </c>
      <c r="AW643" s="74">
        <v>119.9</v>
      </c>
      <c r="AX643" s="61">
        <f t="shared" ref="AX643:AX650" si="3752">IF(ISERROR((AW643/AO643-1)*100),"NA",IF(((AW643/AO643-1)*100)&gt;100,"NM",IF(((AW643/AO643-1)*100)&lt;-50,"NM",(AW643/AO643-1)*100)))</f>
        <v>-44.076492537313428</v>
      </c>
      <c r="AY643" s="74">
        <v>10.6</v>
      </c>
      <c r="AZ643" s="61" t="str">
        <f t="shared" ref="AZ643:AZ650" si="3753">IF(ISERROR((AY643/AQ643-1)*100),"NA",IF(((AY643/AQ643-1)*100)&gt;100,"NM",IF(((AY643/AQ643-1)*100)&lt;-50,"NM",(AY643/AQ643-1)*100)))</f>
        <v>NM</v>
      </c>
      <c r="BA643" s="74">
        <v>561</v>
      </c>
      <c r="BB643" s="61" t="str">
        <f t="shared" si="3344"/>
        <v>NM</v>
      </c>
      <c r="BC643" s="74">
        <v>559.20000000000005</v>
      </c>
      <c r="BD643" s="61" t="str">
        <f t="shared" si="3345"/>
        <v>NM</v>
      </c>
      <c r="BE643" s="74">
        <v>657.6</v>
      </c>
      <c r="BF643" s="61" t="str">
        <f t="shared" si="3346"/>
        <v>NM</v>
      </c>
      <c r="BG643" s="74">
        <v>493.8</v>
      </c>
      <c r="BH643" s="61" t="str">
        <f>IF(ISERROR((BG643/AY643-1)*100),"NA",IF(((BG643/AY643-1)*100)&gt;100,"NM",IF(((BG643/AY643-1)*100)&lt;-50,"NM",(BG643/AY643-1)*100)))</f>
        <v>NM</v>
      </c>
      <c r="BI643" s="74">
        <v>231</v>
      </c>
      <c r="BJ643" s="61" t="str">
        <f>IF(ISERROR((BI643/BA643-1)*100),"NA",IF(((BI643/BA643-1)*100)&gt;100,"NM",IF(((BI643/BA643-1)*100)&lt;-50,"NM",(BI643/BA643-1)*100)))</f>
        <v>NM</v>
      </c>
      <c r="BK643" s="74">
        <v>327.10000000000002</v>
      </c>
      <c r="BL643" s="61">
        <f>IF(ISERROR((BK643/BC643-1)*100),"NA",IF(((BK643/BC643-1)*100)&gt;100,"NM",IF(((BK643/BC643-1)*100)&lt;-50,"NM",(BK643/BC643-1)*100)))</f>
        <v>-41.505722460658077</v>
      </c>
      <c r="BM643" s="74">
        <v>550.20000000000005</v>
      </c>
      <c r="BN643" s="61">
        <f>IF(ISERROR((BM643/BE643-1)*100),"NA",IF(((BM643/BE643-1)*100)&gt;100,"NM",IF(((BM643/BE643-1)*100)&lt;-50,"NM",(BM643/BE643-1)*100)))</f>
        <v>-16.332116788321159</v>
      </c>
      <c r="BO643" s="74">
        <v>410.6</v>
      </c>
      <c r="BP643" s="61">
        <f>IF(ISERROR((BO643/BG643-1)*100),"NA",IF(((BO643/BG643-1)*100)&gt;100,"NM",IF(((BO643/BG643-1)*100)&lt;-50,"NM",(BO643/BG643-1)*100)))</f>
        <v>-16.848926690968003</v>
      </c>
      <c r="BQ643" s="74">
        <v>900</v>
      </c>
      <c r="BR643" s="61" t="str">
        <f>IF(ISERROR((BQ643/BI643-1)*100),"NA",IF(((BQ643/BI643-1)*100)&gt;100,"NM",IF(((BQ643/BI643-1)*100)&lt;-50,"NM",(BQ643/BI643-1)*100)))</f>
        <v>NM</v>
      </c>
      <c r="BS643" s="74">
        <v>635.20000000000005</v>
      </c>
      <c r="BT643" s="61">
        <f>IF(ISERROR((BS643/BK643-1)*100),"NA",IF(((BS643/BK643-1)*100)&gt;100,"NM",IF(((BS643/BK643-1)*100)&lt;-50,"NM",(BS643/BK643-1)*100)))</f>
        <v>94.191378783246705</v>
      </c>
      <c r="BU643" s="74">
        <v>814.7</v>
      </c>
      <c r="BV643" s="61">
        <f>IF(ISERROR((BU643/BM643-1)*100),"NA",IF(((BU643/BM643-1)*100)&gt;100,"NM",IF(((BU643/BM643-1)*100)&lt;-50,"NM",(BU643/BM643-1)*100)))</f>
        <v>48.073427844420216</v>
      </c>
      <c r="BW643" s="74">
        <v>1435.7</v>
      </c>
      <c r="BX643" s="61" t="str">
        <f>IF(ISERROR((BW643/BO643-1)*100),"NA",IF(((BW643/BO643-1)*100)&gt;100,"NM",IF(((BW643/BO643-1)*100)&lt;-50,"NM",(BW643/BO643-1)*100)))</f>
        <v>NM</v>
      </c>
      <c r="BY643" s="74">
        <v>454.5</v>
      </c>
      <c r="BZ643" s="61">
        <f>IF(ISERROR((BY643/BQ643-1)*100),"NA",IF(((BY643/BQ643-1)*100)&gt;100,"NM",IF(((BY643/BQ643-1)*100)&lt;-50,"NM",(BY643/BQ643-1)*100)))</f>
        <v>-49.5</v>
      </c>
      <c r="CA643" s="74">
        <v>400.2</v>
      </c>
      <c r="CB643" s="61">
        <f>IF(ISERROR((CA643/BS643-1)*100),"NA",IF(((CA643/BS643-1)*100)&gt;100,"NM",IF(((CA643/BS643-1)*100)&lt;-50,"NM",(CA643/BS643-1)*100)))</f>
        <v>-36.996221662468521</v>
      </c>
      <c r="CC643" s="74">
        <v>349.9</v>
      </c>
      <c r="CD643" s="61" t="str">
        <f>IF(ISERROR((CC643/BU643-1)*100),"NA",IF(((CC643/BU643-1)*100)&gt;100,"NM",IF(((CC643/BU643-1)*100)&lt;-50,"NM",(CC643/BU643-1)*100)))</f>
        <v>NM</v>
      </c>
      <c r="CE643" s="74">
        <v>101.2</v>
      </c>
      <c r="CF643" s="61" t="str">
        <f>IF(ISERROR((CE643/BW643-1)*100),"NA",IF(((CE643/BW643-1)*100)&gt;100,"NM",IF(((CE643/BW643-1)*100)&lt;-50,"NM",(CE643/BW643-1)*100)))</f>
        <v>NM</v>
      </c>
      <c r="CG643" s="74">
        <v>99.4</v>
      </c>
      <c r="CH643" s="61" t="str">
        <f>IF(ISERROR((CG643/BY643-1)*100),"NA",IF(((CG643/BY643-1)*100)&gt;100,"NM",IF(((CG643/BY643-1)*100)&lt;-50,"NM",(CG643/BY643-1)*100)))</f>
        <v>NM</v>
      </c>
      <c r="CI643" s="74">
        <v>101</v>
      </c>
      <c r="CJ643" s="61" t="str">
        <f>IF(ISERROR((CI643/CA643-1)*100),"NA",IF(((CI643/CA643-1)*100)&gt;100,"NM",IF(((CI643/CA643-1)*100)&lt;-50,"NM",(CI643/CA643-1)*100)))</f>
        <v>NM</v>
      </c>
      <c r="CK643" s="74">
        <v>351.4</v>
      </c>
      <c r="CL643" s="61">
        <f>IF(ISERROR((CK643/CC643-1)*100),"NA",IF(((CK643/CC643-1)*100)&gt;100,"NM",IF(((CK643/CC643-1)*100)&lt;-50,"NM",(CK643/CC643-1)*100)))</f>
        <v>0.42869391254645173</v>
      </c>
      <c r="CM643" s="74">
        <v>351.6</v>
      </c>
      <c r="CN643" s="61" t="str">
        <f>IF(ISERROR((CM643/CE643-1)*100),"NA",IF(((CM643/CE643-1)*100)&gt;100,"NM",IF(((CM643/CE643-1)*100)&lt;-50,"NM",(CM643/CE643-1)*100)))</f>
        <v>NM</v>
      </c>
      <c r="CO643" s="74">
        <v>251.3</v>
      </c>
      <c r="CP643" s="61" t="str">
        <f>IF(ISERROR((CO643/CG643-1)*100),"NA",IF(((CO643/CG643-1)*100)&gt;100,"NM",IF(((CO643/CG643-1)*100)&lt;-50,"NM",(CO643/CG643-1)*100)))</f>
        <v>NM</v>
      </c>
      <c r="CQ643" s="74">
        <v>549.9</v>
      </c>
      <c r="CR643" s="61" t="str">
        <f>IF(ISERROR((CQ643/CI643-1)*100),"NA",IF(((CQ643/CI643-1)*100)&gt;100,"NM",IF(((CQ643/CI643-1)*100)&lt;-50,"NM",(CQ643/CI643-1)*100)))</f>
        <v>NM</v>
      </c>
      <c r="CS643" s="74">
        <v>300</v>
      </c>
      <c r="CT643" s="61">
        <f>IF(ISERROR((CS643/CK643-1)*100),"NA",IF(((CS643/CK643-1)*100)&gt;100,"NM",IF(((CS643/CK643-1)*100)&lt;-50,"NM",(CS643/CK643-1)*100)))</f>
        <v>-14.62720546385885</v>
      </c>
      <c r="CU643" s="74">
        <v>300</v>
      </c>
      <c r="CV643" s="61">
        <f>IF(ISERROR((CU643/CM643-1)*100),"NA",IF(((CU643/CM643-1)*100)&gt;100,"NM",IF(((CU643/CM643-1)*100)&lt;-50,"NM",(CU643/CM643-1)*100)))</f>
        <v>-14.675767918088745</v>
      </c>
      <c r="CW643" s="74">
        <v>300</v>
      </c>
      <c r="CX643" s="61">
        <f>IF(ISERROR((CW643/CO643-1)*100),"NA",IF(((CW643/CO643-1)*100)&gt;100,"NM",IF(((CW643/CO643-1)*100)&lt;-50,"NM",(CW643/CO643-1)*100)))</f>
        <v>19.379228014325498</v>
      </c>
      <c r="CY643" s="74">
        <v>200</v>
      </c>
      <c r="CZ643" s="61" t="str">
        <f>IF(ISERROR((CY643/CQ643-1)*100),"NA",IF(((CY643/CQ643-1)*100)&gt;100,"NM",IF(((CY643/CQ643-1)*100)&lt;-50,"NM",(CY643/CQ643-1)*100)))</f>
        <v>NM</v>
      </c>
      <c r="DA643" s="74">
        <v>200</v>
      </c>
      <c r="DB643" s="61">
        <f>IF(ISERROR((DA643/CS643-1)*100),"NA",IF(((DA643/CS643-1)*100)&gt;100,"NM",IF(((DA643/CS643-1)*100)&lt;-50,"NM",(DA643/CS643-1)*100)))</f>
        <v>-33.333333333333336</v>
      </c>
      <c r="DC643" s="74">
        <v>706</v>
      </c>
      <c r="DD643" s="61" t="str">
        <f>IF(ISERROR((DC643/CU643-1)*100),"NA",IF(((DC643/CU643-1)*100)&gt;100,"NM",IF(((DC643/CU643-1)*100)&lt;-50,"NM",(DC643/CU643-1)*100)))</f>
        <v>NM</v>
      </c>
      <c r="DE643" s="74">
        <v>506</v>
      </c>
      <c r="DF643" s="61">
        <f>IF(ISERROR((DE643/CW643-1)*100),"NA",IF(((DE643/CW643-1)*100)&gt;100,"NM",IF(((DE643/CW643-1)*100)&lt;-50,"NM",(DE643/CW643-1)*100)))</f>
        <v>68.666666666666671</v>
      </c>
      <c r="DG643" s="74">
        <v>503</v>
      </c>
      <c r="DH643" s="61" t="str">
        <f>IF(ISERROR((DG643/CY643-1)*100),"NA",IF(((DG643/CY643-1)*100)&gt;100,"NM",IF(((DG643/CY643-1)*100)&lt;-50,"NM",(DG643/CY643-1)*100)))</f>
        <v>NM</v>
      </c>
      <c r="DI643" s="74">
        <v>501</v>
      </c>
      <c r="DJ643" s="61" t="str">
        <f>IF(ISERROR((DI643/DA643-1)*100),"NA",IF(((DI643/DA643-1)*100)&gt;100,"NM",IF(((DI643/DA643-1)*100)&lt;-50,"NM",(DI643/DA643-1)*100)))</f>
        <v>NM</v>
      </c>
      <c r="DK643" s="74">
        <v>0</v>
      </c>
      <c r="DL643" s="61" t="str">
        <f>IF(ISERROR((DK643/DC643-1)*100),"NA",IF(((DK643/DC643-1)*100)&gt;100,"NM",IF(((DK643/DC643-1)*100)&lt;-50,"NM",(DK643/DC643-1)*100)))</f>
        <v>NM</v>
      </c>
      <c r="DM643" s="74">
        <v>250</v>
      </c>
      <c r="DN643" s="130" t="str">
        <f t="shared" ref="DN643:DZ650" si="3754">IF(ISERROR((DM643/DE643-1)*100),"NA",IF(((DM643/DE643-1)*100)&gt;100,"NM",IF(((DM643/DE643-1)*100)&lt;-50,"NM",(DM643/DE643-1)*100)))</f>
        <v>NM</v>
      </c>
      <c r="DO643" s="74">
        <v>250</v>
      </c>
      <c r="DP643" s="130" t="str">
        <f t="shared" si="3754"/>
        <v>NM</v>
      </c>
      <c r="DQ643" s="74">
        <v>250</v>
      </c>
      <c r="DR643" s="61" t="str">
        <f t="shared" ref="DR643:DR650" si="3755">IF(ISERROR((DQ643/DI643-1)*100),"NA",IF(((DQ643/DI643-1)*100)&gt;100,"NM",IF(((DQ643/DI643-1)*100)&lt;-50,"NM",(DQ643/DI643-1)*100)))</f>
        <v>NM</v>
      </c>
      <c r="DS643" s="74">
        <v>250</v>
      </c>
      <c r="DT643" s="130" t="str">
        <f t="shared" si="3754"/>
        <v>NA</v>
      </c>
      <c r="DU643" s="74">
        <v>0</v>
      </c>
      <c r="DV643" s="130" t="str">
        <f t="shared" si="3754"/>
        <v>NM</v>
      </c>
      <c r="DW643" s="74">
        <v>0</v>
      </c>
      <c r="DX643" s="74">
        <v>0</v>
      </c>
      <c r="DY643" s="74">
        <v>0</v>
      </c>
      <c r="DZ643" s="130" t="str">
        <f t="shared" si="3754"/>
        <v>NM</v>
      </c>
      <c r="EA643" s="74">
        <v>0</v>
      </c>
      <c r="EB643" s="130" t="str">
        <f t="shared" ref="EB643:EB650" si="3756">IF(ISERROR((EA643/DS643-1)*100),"NA",IF(((EA643/DS643-1)*100)&gt;100,"NM",IF(((EA643/DS643-1)*100)&lt;-50,"NM",(EA643/DS643-1)*100)))</f>
        <v>NM</v>
      </c>
      <c r="EC643" s="74">
        <v>250</v>
      </c>
      <c r="ED643" s="130" t="str">
        <f t="shared" ref="ED643:ED650" si="3757">IF(ISERROR((EC643/DU643-1)*100),"NA",IF(((EC643/DU643-1)*100)&gt;100,"NM",IF(((EC643/DU643-1)*100)&lt;-50,"NM",(EC643/DU643-1)*100)))</f>
        <v>NA</v>
      </c>
      <c r="EE643" s="74">
        <v>250</v>
      </c>
      <c r="EF643" s="130" t="str">
        <f t="shared" ref="EF643:EF650" si="3758">IF(ISERROR((EE643/DW643-1)*100),"NA",IF(((EE643/DW643-1)*100)&gt;100,"NM",IF(((EE643/DW643-1)*100)&lt;-50,"NM",(EE643/DW643-1)*100)))</f>
        <v>NA</v>
      </c>
      <c r="EG643" s="74">
        <v>0</v>
      </c>
      <c r="EH643" s="130" t="str">
        <f t="shared" ref="EH643:EH650" si="3759">IF(ISERROR((EG643/DY643-1)*100),"NA",IF(((EG643/DY643-1)*100)&gt;100,"NM",IF(((EG643/DY643-1)*100)&lt;-50,"NM",(EG643/DY643-1)*100)))</f>
        <v>NA</v>
      </c>
      <c r="EI643" s="74">
        <v>200</v>
      </c>
      <c r="EJ643" s="130" t="str">
        <f t="shared" ref="EJ643:EJ650" si="3760">IF(ISERROR((EI643/EA643-1)*100),"NA",IF(((EI643/EA643-1)*100)&gt;100,"NM",IF(((EI643/EA643-1)*100)&lt;-50,"NM",(EI643/EA643-1)*100)))</f>
        <v>NA</v>
      </c>
      <c r="EK643" s="74">
        <v>450</v>
      </c>
      <c r="EL643" s="130">
        <f t="shared" ref="EL643:EL650" si="3761">IF(ISERROR((EK643/EC643-1)*100),"NA",IF(((EK643/EC643-1)*100)&gt;100,"NM",IF(((EK643/EC643-1)*100)&lt;-50,"NM",(EK643/EC643-1)*100)))</f>
        <v>80</v>
      </c>
      <c r="EM643" s="74">
        <v>450</v>
      </c>
      <c r="EN643" s="130">
        <f t="shared" ref="EN643:EN650" si="3762">IF(ISERROR((EM643/EE643-1)*100),"NA",IF(((EM643/EE643-1)*100)&gt;100,"NM",IF(((EM643/EE643-1)*100)&lt;-50,"NM",(EM643/EE643-1)*100)))</f>
        <v>80</v>
      </c>
      <c r="EO643" s="74">
        <v>450</v>
      </c>
      <c r="EP643" s="130" t="str">
        <f t="shared" ref="EP643:EP650" si="3763">IF(ISERROR((EO643/EG643-1)*100),"NA",IF(((EO643/EG643-1)*100)&gt;100,"NM",IF(((EO643/EG643-1)*100)&lt;-50,"NM",(EO643/EG643-1)*100)))</f>
        <v>NA</v>
      </c>
      <c r="EQ643" s="74">
        <f t="shared" ref="EQ643" si="3764">+EO643+6</f>
        <v>456</v>
      </c>
      <c r="ER643" s="130" t="str">
        <f t="shared" ref="ER643:ER650" si="3765">IF(ISERROR((EQ643/EI643-1)*100),"NA",IF(((EQ643/EI643-1)*100)&gt;100,"NM",IF(((EQ643/EI643-1)*100)&lt;-50,"NM",(EQ643/EI643-1)*100)))</f>
        <v>NM</v>
      </c>
      <c r="ES643" s="74">
        <f t="shared" ref="ES643" si="3766">+EQ643+6</f>
        <v>462</v>
      </c>
      <c r="ET643" s="130">
        <f t="shared" ref="ET643:ET650" si="3767">IF(ISERROR((ES643/EK643-1)*100),"NA",IF(((ES643/EK643-1)*100)&gt;100,"NM",IF(((ES643/EK643-1)*100)&lt;-50,"NM",(ES643/EK643-1)*100)))</f>
        <v>2.6666666666666616</v>
      </c>
      <c r="EU643" s="74">
        <f t="shared" ref="EU643" si="3768">+ES643+6</f>
        <v>468</v>
      </c>
      <c r="EV643" s="130">
        <f t="shared" ref="EV643:EV650" si="3769">IF(ISERROR((EU643/EM643-1)*100),"NA",IF(((EU643/EM643-1)*100)&gt;100,"NM",IF(((EU643/EM643-1)*100)&lt;-50,"NM",(EU643/EM643-1)*100)))</f>
        <v>4.0000000000000036</v>
      </c>
      <c r="EW643" s="74">
        <f t="shared" ref="EW643" si="3770">+EU643+6</f>
        <v>474</v>
      </c>
      <c r="EX643" s="130">
        <f t="shared" ref="EX643:EX650" si="3771">IF(ISERROR((EW643/EO643-1)*100),"NA",IF(((EW643/EO643-1)*100)&gt;100,"NM",IF(((EW643/EO643-1)*100)&lt;-50,"NM",(EW643/EO643-1)*100)))</f>
        <v>5.3333333333333233</v>
      </c>
      <c r="EY643" s="231"/>
      <c r="EZ643" s="558"/>
      <c r="FA643" s="231"/>
      <c r="FB643" s="188">
        <v>314.60000000000002</v>
      </c>
      <c r="FC643" s="71"/>
      <c r="FD643" s="188">
        <v>460.2</v>
      </c>
      <c r="FE643" s="70">
        <f t="shared" ref="FE643:FK650" si="3772">IF(ISERROR((FD643/FB643-1)*100),"NA",IF(((FD643/FB643-1)*100)&gt;100,"NM",IF(((FD643/FB643-1)*100)&lt;-50,"NM",(FD643/FB643-1)*100)))</f>
        <v>46.280991735537171</v>
      </c>
      <c r="FF643" s="399">
        <f>I643</f>
        <v>312.89999999999998</v>
      </c>
      <c r="FG643" s="70">
        <f t="shared" si="3772"/>
        <v>-32.007822685788788</v>
      </c>
      <c r="FH643" s="399">
        <f>Q643</f>
        <v>350.2</v>
      </c>
      <c r="FI643" s="70">
        <f t="shared" si="3772"/>
        <v>11.920741450942796</v>
      </c>
      <c r="FJ643" s="399">
        <f>Y643</f>
        <v>153</v>
      </c>
      <c r="FK643" s="70" t="str">
        <f t="shared" si="3772"/>
        <v>NM</v>
      </c>
      <c r="FL643" s="399">
        <f>AG643</f>
        <v>44</v>
      </c>
      <c r="FM643" s="61" t="str">
        <f t="shared" ref="FM643:FM650" si="3773">IF(ISERROR((FL643/FJ643-1)*100),"NA",IF(((FL643/FJ643-1)*100)&gt;100,"NM",IF(((FL643/FJ643-1)*100)&lt;-50,"NM",(FL643/FJ643-1)*100)))</f>
        <v>NM</v>
      </c>
      <c r="FN643" s="399">
        <f>+AO643</f>
        <v>214.4</v>
      </c>
      <c r="FO643" s="61" t="str">
        <f t="shared" ref="FO643:FO650" si="3774">IF(ISERROR((FN643/FL643-1)*100),"NA",IF(((FN643/FL643-1)*100)&gt;100,"NM",IF(((FN643/FL643-1)*100)&lt;-50,"NM",(FN643/FL643-1)*100)))</f>
        <v>NM</v>
      </c>
      <c r="FP643" s="75">
        <f>+AW643</f>
        <v>119.9</v>
      </c>
      <c r="FQ643" s="61" t="str">
        <f t="shared" si="3354"/>
        <v>NM</v>
      </c>
      <c r="FR643" s="75">
        <f>BE643</f>
        <v>657.6</v>
      </c>
      <c r="FS643" s="61" t="str">
        <f>IF(ISERROR((FR643/FP643-1)*100),"NA",IF(((FR643/FP643-1)*100)&gt;100,"NM",IF(((FR643/FP643-1)*100)&lt;-50,"NM",(FR643/FP643-1)*100)))</f>
        <v>NM</v>
      </c>
      <c r="FT643" s="75">
        <f>BM643</f>
        <v>550.20000000000005</v>
      </c>
      <c r="FU643" s="61">
        <f>IF(ISERROR((FT643/FR643-1)*100),"NA",IF(((FT643/FR643-1)*100)&gt;100,"NM",IF(((FT643/FR643-1)*100)&lt;-50,"NM",(FT643/FR643-1)*100)))</f>
        <v>-16.332116788321159</v>
      </c>
      <c r="FV643" s="75">
        <f>BU643</f>
        <v>814.7</v>
      </c>
      <c r="FW643" s="61">
        <f>IF(ISERROR((FV643/FT643-1)*100),"NA",IF(((FV643/FT643-1)*100)&gt;100,"NM",IF(((FV643/FT643-1)*100)&lt;-50,"NM",(FV643/FT643-1)*100)))</f>
        <v>48.073427844420216</v>
      </c>
      <c r="FX643" s="75">
        <f>CC643</f>
        <v>349.9</v>
      </c>
      <c r="FY643" s="61" t="str">
        <f>IF(ISERROR((FX643/FV643-1)*100),"NA",IF(((FX643/FV643-1)*100)&gt;100,"NM",IF(((FX643/FV643-1)*100)&lt;-50,"NM",(FX643/FV643-1)*100)))</f>
        <v>NM</v>
      </c>
      <c r="FZ643" s="75">
        <f>CK643</f>
        <v>351.4</v>
      </c>
      <c r="GA643" s="61">
        <f>IF(ISERROR((FZ643/FX643-1)*100),"NA",IF(((FZ643/FX643-1)*100)&gt;100,"NM",IF(((FZ643/FX643-1)*100)&lt;-50,"NM",(FZ643/FX643-1)*100)))</f>
        <v>0.42869391254645173</v>
      </c>
      <c r="GB643" s="75">
        <f>CS643</f>
        <v>300</v>
      </c>
      <c r="GC643" s="61">
        <f>IF(ISERROR((GB643/FZ643-1)*100),"NA",IF(((GB643/FZ643-1)*100)&gt;100,"NM",IF(((GB643/FZ643-1)*100)&lt;-50,"NM",(GB643/FZ643-1)*100)))</f>
        <v>-14.62720546385885</v>
      </c>
      <c r="GD643" s="75">
        <f>DA643</f>
        <v>200</v>
      </c>
      <c r="GE643" s="61">
        <f>IF(ISERROR((GD643/GB643-1)*100),"NA",IF(((GD643/GB643-1)*100)&gt;100,"NM",IF(((GD643/GB643-1)*100)&lt;-50,"NM",(GD643/GB643-1)*100)))</f>
        <v>-33.333333333333336</v>
      </c>
      <c r="GF643" s="75">
        <f>DI643</f>
        <v>501</v>
      </c>
      <c r="GG643" s="61" t="str">
        <f t="shared" ref="GG643:GG650" si="3775">IF(ISERROR((GF643/GD643-1)*100),"NA",IF(((GF643/GD643-1)*100)&gt;100,"NM",IF(((GF643/GD643-1)*100)&lt;-50,"NM",(GF643/GD643-1)*100)))</f>
        <v>NM</v>
      </c>
      <c r="GH643" s="75">
        <f>DQ643</f>
        <v>250</v>
      </c>
      <c r="GI643" s="61" t="str">
        <f t="shared" ref="GI643:GI650" si="3776">IF(ISERROR((GH643/GF643-1)*100),"NA",IF(((GH643/GF643-1)*100)&gt;100,"NM",IF(((GH643/GF643-1)*100)&lt;-50,"NM",(GH643/GF643-1)*100)))</f>
        <v>NM</v>
      </c>
      <c r="GJ643" s="75">
        <f>DY643</f>
        <v>0</v>
      </c>
      <c r="GK643" s="61" t="str">
        <f t="shared" ref="GK643:GW650" si="3777">IF(ISERROR((GJ643/GH643-1)*100),"NA",IF(((GJ643/GH643-1)*100)&gt;100,"NM",IF(((GJ643/GH643-1)*100)&lt;-50,"NM",(GJ643/GH643-1)*100)))</f>
        <v>NM</v>
      </c>
      <c r="GL643" s="75">
        <f>EG643</f>
        <v>0</v>
      </c>
      <c r="GM643" s="61" t="str">
        <f t="shared" si="3777"/>
        <v>NA</v>
      </c>
      <c r="GN643" s="75">
        <f>EO643</f>
        <v>450</v>
      </c>
      <c r="GO643" s="61" t="str">
        <f t="shared" si="3777"/>
        <v>NA</v>
      </c>
      <c r="GP643" s="75">
        <f>EW643</f>
        <v>474</v>
      </c>
      <c r="GQ643" s="61">
        <f t="shared" si="3777"/>
        <v>5.3333333333333233</v>
      </c>
      <c r="GR643" s="74">
        <f>+GP643+25</f>
        <v>499</v>
      </c>
      <c r="GS643" s="61">
        <f t="shared" si="3777"/>
        <v>5.2742616033755185</v>
      </c>
      <c r="GT643" s="74">
        <f>+GR643+25</f>
        <v>524</v>
      </c>
      <c r="GU643" s="61">
        <f t="shared" si="3777"/>
        <v>5.0100200400801542</v>
      </c>
      <c r="GV643" s="74">
        <f>+GT643+25</f>
        <v>549</v>
      </c>
      <c r="GW643" s="61">
        <f t="shared" si="3777"/>
        <v>4.7709923664122078</v>
      </c>
      <c r="GX643" s="74">
        <f>+GV643+25</f>
        <v>574</v>
      </c>
      <c r="GY643" s="61">
        <f t="shared" ref="GY643:GY650" si="3778">IF(ISERROR((GX643/GV643-1)*100),"NA",IF(((GX643/GV643-1)*100)&gt;100,"NM",IF(((GX643/GV643-1)*100)&lt;-50,"NM",(GX643/GV643-1)*100)))</f>
        <v>4.5537340619307809</v>
      </c>
      <c r="GZ643" s="61">
        <f t="shared" si="3732"/>
        <v>4.9880515267585857</v>
      </c>
      <c r="HA643" s="61"/>
      <c r="HB643" s="452"/>
      <c r="HC643"/>
      <c r="HD643"/>
      <c r="HE643"/>
      <c r="HF643"/>
      <c r="HG643"/>
      <c r="HH643"/>
    </row>
    <row r="644" spans="1:216" s="5" customFormat="1" ht="12.75" customHeight="1" x14ac:dyDescent="0.2">
      <c r="A644" s="7" t="s">
        <v>399</v>
      </c>
      <c r="B644" s="7" t="s">
        <v>648</v>
      </c>
      <c r="C644" s="74">
        <v>712</v>
      </c>
      <c r="D644" s="70"/>
      <c r="E644" s="74">
        <v>712.1</v>
      </c>
      <c r="F644" s="71"/>
      <c r="G644" s="74">
        <v>712.2</v>
      </c>
      <c r="H644" s="71"/>
      <c r="I644" s="74">
        <v>712.2</v>
      </c>
      <c r="J644" s="61"/>
      <c r="K644" s="74">
        <v>712.3</v>
      </c>
      <c r="L644" s="61">
        <f t="shared" si="3733"/>
        <v>4.2134831460671762E-2</v>
      </c>
      <c r="M644" s="74">
        <v>712.4</v>
      </c>
      <c r="N644" s="61">
        <f t="shared" si="3734"/>
        <v>4.2128914478301027E-2</v>
      </c>
      <c r="O644" s="74">
        <v>712.4</v>
      </c>
      <c r="P644" s="61">
        <f t="shared" si="3735"/>
        <v>2.808199943835632E-2</v>
      </c>
      <c r="Q644" s="74">
        <v>861.8</v>
      </c>
      <c r="R644" s="61">
        <f t="shared" si="3736"/>
        <v>21.005335579893281</v>
      </c>
      <c r="S644" s="74">
        <v>861.8</v>
      </c>
      <c r="T644" s="61">
        <f t="shared" si="3737"/>
        <v>20.988347606345648</v>
      </c>
      <c r="U644" s="74">
        <v>1112.3</v>
      </c>
      <c r="V644" s="61">
        <f t="shared" si="3738"/>
        <v>56.1341942728804</v>
      </c>
      <c r="W644" s="74">
        <v>1118.0999999999999</v>
      </c>
      <c r="X644" s="61">
        <f t="shared" si="3739"/>
        <v>56.948343627175731</v>
      </c>
      <c r="Y644" s="74">
        <v>1119.2</v>
      </c>
      <c r="Z644" s="61">
        <f t="shared" si="3740"/>
        <v>29.867718728243233</v>
      </c>
      <c r="AA644" s="74">
        <v>1118.5999999999999</v>
      </c>
      <c r="AB644" s="61">
        <f t="shared" si="3741"/>
        <v>29.798097006265944</v>
      </c>
      <c r="AC644" s="74">
        <v>1121.4390000000001</v>
      </c>
      <c r="AD644" s="61">
        <f t="shared" si="3742"/>
        <v>0.82163085498516697</v>
      </c>
      <c r="AE644" s="74">
        <v>1118.5</v>
      </c>
      <c r="AF644" s="61">
        <f t="shared" si="3743"/>
        <v>3.5774975404723186E-2</v>
      </c>
      <c r="AG644" s="74">
        <v>1117.5</v>
      </c>
      <c r="AH644" s="61">
        <f t="shared" si="3744"/>
        <v>-0.15189421015011639</v>
      </c>
      <c r="AI644" s="74">
        <v>1317.7</v>
      </c>
      <c r="AJ644" s="61">
        <f t="shared" si="3745"/>
        <v>17.799034507419996</v>
      </c>
      <c r="AK644" s="74">
        <v>1313.7</v>
      </c>
      <c r="AL644" s="61">
        <f t="shared" si="3746"/>
        <v>17.144133564108245</v>
      </c>
      <c r="AM644" s="74">
        <v>1315.4</v>
      </c>
      <c r="AN644" s="61">
        <f t="shared" si="3747"/>
        <v>17.603933839964235</v>
      </c>
      <c r="AO644" s="74">
        <v>1048.7</v>
      </c>
      <c r="AP644" s="61">
        <f t="shared" si="3748"/>
        <v>-6.1565995525727057</v>
      </c>
      <c r="AQ644" s="74">
        <v>1046.5999999999999</v>
      </c>
      <c r="AR644" s="61">
        <f t="shared" si="3749"/>
        <v>-20.573726948470828</v>
      </c>
      <c r="AS644" s="74">
        <v>1000.6</v>
      </c>
      <c r="AT644" s="61">
        <f t="shared" si="3750"/>
        <v>-23.833447514653272</v>
      </c>
      <c r="AU644" s="74">
        <v>999.5</v>
      </c>
      <c r="AV644" s="61">
        <f t="shared" si="3751"/>
        <v>-24.015508590542812</v>
      </c>
      <c r="AW644" s="74">
        <v>999</v>
      </c>
      <c r="AX644" s="61">
        <f t="shared" si="3752"/>
        <v>-4.7392009154190955</v>
      </c>
      <c r="AY644" s="74">
        <v>998.5</v>
      </c>
      <c r="AZ644" s="61">
        <f t="shared" si="3753"/>
        <v>-4.5958341295623821</v>
      </c>
      <c r="BA644" s="74">
        <v>2329.1</v>
      </c>
      <c r="BB644" s="61" t="str">
        <f t="shared" si="3344"/>
        <v>NM</v>
      </c>
      <c r="BC644" s="74">
        <v>2330.4</v>
      </c>
      <c r="BD644" s="61" t="str">
        <f t="shared" si="3345"/>
        <v>NM</v>
      </c>
      <c r="BE644" s="74">
        <v>2231</v>
      </c>
      <c r="BF644" s="61" t="str">
        <f t="shared" si="3346"/>
        <v>NM</v>
      </c>
      <c r="BG644" s="74">
        <v>2483.4</v>
      </c>
      <c r="BH644" s="61" t="str">
        <f>IF(ISERROR((BG644/AY644-1)*100),"NA",IF(((BG644/AY644-1)*100)&gt;100,"NM",IF(((BG644/AY644-1)*100)&lt;-50,"NM",(BG644/AY644-1)*100)))</f>
        <v>NM</v>
      </c>
      <c r="BI644" s="74">
        <v>2382.4</v>
      </c>
      <c r="BJ644" s="61">
        <f>IF(ISERROR((BI644/BA644-1)*100),"NA",IF(((BI644/BA644-1)*100)&gt;100,"NM",IF(((BI644/BA644-1)*100)&lt;-50,"NM",(BI644/BA644-1)*100)))</f>
        <v>2.2884375939204116</v>
      </c>
      <c r="BK644" s="74">
        <v>2682.5</v>
      </c>
      <c r="BL644" s="61">
        <f>IF(ISERROR((BK644/BC644-1)*100),"NA",IF(((BK644/BC644-1)*100)&gt;100,"NM",IF(((BK644/BC644-1)*100)&lt;-50,"NM",(BK644/BC644-1)*100)))</f>
        <v>15.108994164091992</v>
      </c>
      <c r="BM644" s="74">
        <v>2892.7</v>
      </c>
      <c r="BN644" s="61">
        <f>IF(ISERROR((BM644/BE644-1)*100),"NA",IF(((BM644/BE644-1)*100)&gt;100,"NM",IF(((BM644/BE644-1)*100)&lt;-50,"NM",(BM644/BE644-1)*100)))</f>
        <v>29.65934558493948</v>
      </c>
      <c r="BO644" s="74">
        <v>2901.5</v>
      </c>
      <c r="BP644" s="61">
        <f>IF(ISERROR((BO644/BG644-1)*100),"NA",IF(((BO644/BG644-1)*100)&gt;100,"NM",IF(((BO644/BG644-1)*100)&lt;-50,"NM",(BO644/BG644-1)*100)))</f>
        <v>16.835789643231045</v>
      </c>
      <c r="BQ644" s="74">
        <v>4101.8</v>
      </c>
      <c r="BR644" s="61">
        <f>IF(ISERROR((BQ644/BI644-1)*100),"NA",IF(((BQ644/BI644-1)*100)&gt;100,"NM",IF(((BQ644/BI644-1)*100)&lt;-50,"NM",(BQ644/BI644-1)*100)))</f>
        <v>72.170920080591003</v>
      </c>
      <c r="BS644" s="74">
        <v>4569.3999999999996</v>
      </c>
      <c r="BT644" s="61">
        <f>IF(ISERROR((BS644/BK644-1)*100),"NA",IF(((BS644/BK644-1)*100)&gt;100,"NM",IF(((BS644/BK644-1)*100)&lt;-50,"NM",(BS644/BK644-1)*100)))</f>
        <v>70.341099720410057</v>
      </c>
      <c r="BU644" s="74">
        <v>4731</v>
      </c>
      <c r="BV644" s="61">
        <f>IF(ISERROR((BU644/BM644-1)*100),"NA",IF(((BU644/BM644-1)*100)&gt;100,"NM",IF(((BU644/BM644-1)*100)&lt;-50,"NM",(BU644/BM644-1)*100)))</f>
        <v>63.549624917896772</v>
      </c>
      <c r="BW644" s="74">
        <v>4344.8999999999996</v>
      </c>
      <c r="BX644" s="61">
        <f>IF(ISERROR((BW644/BO644-1)*100),"NA",IF(((BW644/BO644-1)*100)&gt;100,"NM",IF(((BW644/BO644-1)*100)&lt;-50,"NM",(BW644/BO644-1)*100)))</f>
        <v>49.746682750301559</v>
      </c>
      <c r="BY644" s="74">
        <v>4775.1000000000004</v>
      </c>
      <c r="BZ644" s="61">
        <f>IF(ISERROR((BY644/BQ644-1)*100),"NA",IF(((BY644/BQ644-1)*100)&gt;100,"NM",IF(((BY644/BQ644-1)*100)&lt;-50,"NM",(BY644/BQ644-1)*100)))</f>
        <v>16.414744746208989</v>
      </c>
      <c r="CA644" s="74">
        <v>4788.6000000000004</v>
      </c>
      <c r="CB644" s="61">
        <f>IF(ISERROR((CA644/BS644-1)*100),"NA",IF(((CA644/BS644-1)*100)&gt;100,"NM",IF(((CA644/BS644-1)*100)&lt;-50,"NM",(CA644/BS644-1)*100)))</f>
        <v>4.797128725872124</v>
      </c>
      <c r="CC644" s="74">
        <v>5050.3999999999996</v>
      </c>
      <c r="CD644" s="61">
        <f>IF(ISERROR((CC644/BU644-1)*100),"NA",IF(((CC644/BU644-1)*100)&gt;100,"NM",IF(((CC644/BU644-1)*100)&lt;-50,"NM",(CC644/BU644-1)*100)))</f>
        <v>6.7512153878672487</v>
      </c>
      <c r="CE644" s="74">
        <v>5060.3</v>
      </c>
      <c r="CF644" s="61">
        <f>IF(ISERROR((CE644/BW644-1)*100),"NA",IF(((CE644/BW644-1)*100)&gt;100,"NM",IF(((CE644/BW644-1)*100)&lt;-50,"NM",(CE644/BW644-1)*100)))</f>
        <v>16.465281134203337</v>
      </c>
      <c r="CG644" s="74">
        <v>5864.7</v>
      </c>
      <c r="CH644" s="61">
        <f>IF(ISERROR((CG644/BY644-1)*100),"NA",IF(((CG644/BY644-1)*100)&gt;100,"NM",IF(((CG644/BY644-1)*100)&lt;-50,"NM",(CG644/BY644-1)*100)))</f>
        <v>22.818370295910029</v>
      </c>
      <c r="CI644" s="74">
        <v>5943.2</v>
      </c>
      <c r="CJ644" s="61">
        <f>IF(ISERROR((CI644/CA644-1)*100),"NA",IF(((CI644/CA644-1)*100)&gt;100,"NM",IF(((CI644/CA644-1)*100)&lt;-50,"NM",(CI644/CA644-1)*100)))</f>
        <v>24.111431316042253</v>
      </c>
      <c r="CK644" s="74">
        <v>5399</v>
      </c>
      <c r="CL644" s="61">
        <f>IF(ISERROR((CK644/CC644-1)*100),"NA",IF(((CK644/CC644-1)*100)&gt;100,"NM",IF(((CK644/CC644-1)*100)&lt;-50,"NM",(CK644/CC644-1)*100)))</f>
        <v>6.9024235704102654</v>
      </c>
      <c r="CM644" s="74">
        <f>1122.2+4247.4</f>
        <v>5369.5999999999995</v>
      </c>
      <c r="CN644" s="61">
        <f>IF(ISERROR((CM644/CE644-1)*100),"NA",IF(((CM644/CE644-1)*100)&gt;100,"NM",IF(((CM644/CE644-1)*100)&lt;-50,"NM",(CM644/CE644-1)*100)))</f>
        <v>6.1122858328557461</v>
      </c>
      <c r="CO644" s="74">
        <f>1122.2+4606.5</f>
        <v>5728.7</v>
      </c>
      <c r="CP644" s="61">
        <f>IF(ISERROR((CO644/CG644-1)*100),"NA",IF(((CO644/CG644-1)*100)&gt;100,"NM",IF(((CO644/CG644-1)*100)&lt;-50,"NM",(CO644/CG644-1)*100)))</f>
        <v>-2.3189591965488421</v>
      </c>
      <c r="CQ644" s="74">
        <f>1122.3+4226.1</f>
        <v>5348.4000000000005</v>
      </c>
      <c r="CR644" s="61">
        <f>IF(ISERROR((CQ644/CI644-1)*100),"NA",IF(((CQ644/CI644-1)*100)&gt;100,"NM",IF(((CQ644/CI644-1)*100)&lt;-50,"NM",(CQ644/CI644-1)*100)))</f>
        <v>-10.008076457127457</v>
      </c>
      <c r="CS644" s="74">
        <f>1122+4269</f>
        <v>5391</v>
      </c>
      <c r="CT644" s="61">
        <f>IF(ISERROR((CS644/CK644-1)*100),"NA",IF(((CS644/CK644-1)*100)&gt;100,"NM",IF(((CS644/CK644-1)*100)&lt;-50,"NM",(CS644/CK644-1)*100)))</f>
        <v>-0.14817558807186382</v>
      </c>
      <c r="CU644" s="74">
        <f>1122+4484</f>
        <v>5606</v>
      </c>
      <c r="CV644" s="61">
        <f>IF(ISERROR((CU644/CM644-1)*100),"NA",IF(((CU644/CM644-1)*100)&gt;100,"NM",IF(((CU644/CM644-1)*100)&lt;-50,"NM",(CU644/CM644-1)*100)))</f>
        <v>4.4025625744934516</v>
      </c>
      <c r="CW644" s="74">
        <f>1122+4597</f>
        <v>5719</v>
      </c>
      <c r="CX644" s="61">
        <f>IF(ISERROR((CW644/CO644-1)*100),"NA",IF(((CW644/CO644-1)*100)&gt;100,"NM",IF(((CW644/CO644-1)*100)&lt;-50,"NM",(CW644/CO644-1)*100)))</f>
        <v>-0.16932288302755616</v>
      </c>
      <c r="CY644" s="74">
        <f>1122+4372</f>
        <v>5494</v>
      </c>
      <c r="CZ644" s="61">
        <f>IF(ISERROR((CY644/CQ644-1)*100),"NA",IF(((CY644/CQ644-1)*100)&gt;100,"NM",IF(((CY644/CQ644-1)*100)&lt;-50,"NM",(CY644/CQ644-1)*100)))</f>
        <v>2.722309475731044</v>
      </c>
      <c r="DA644" s="74">
        <f>1122+4317</f>
        <v>5439</v>
      </c>
      <c r="DB644" s="61">
        <f>IF(ISERROR((DA644/CS644-1)*100),"NA",IF(((DA644/CS644-1)*100)&gt;100,"NM",IF(((DA644/CS644-1)*100)&lt;-50,"NM",(DA644/CS644-1)*100)))</f>
        <v>0.89037284362827318</v>
      </c>
      <c r="DC644" s="74">
        <f>1122+3767</f>
        <v>4889</v>
      </c>
      <c r="DD644" s="61">
        <f>IF(ISERROR((DC644/CU644-1)*100),"NA",IF(((DC644/CU644-1)*100)&gt;100,"NM",IF(((DC644/CU644-1)*100)&lt;-50,"NM",(DC644/CU644-1)*100)))</f>
        <v>-12.789867998572957</v>
      </c>
      <c r="DE644" s="74">
        <f>1122+3928</f>
        <v>5050</v>
      </c>
      <c r="DF644" s="61">
        <f>IF(ISERROR((DE644/CW644-1)*100),"NA",IF(((DE644/CW644-1)*100)&gt;100,"NM",IF(((DE644/CW644-1)*100)&lt;-50,"NM",(DE644/CW644-1)*100)))</f>
        <v>-11.697849274348659</v>
      </c>
      <c r="DG644" s="74">
        <f>1122+4243</f>
        <v>5365</v>
      </c>
      <c r="DH644" s="61">
        <f>IF(ISERROR((DG644/CY644-1)*100),"NA",IF(((DG644/CY644-1)*100)&gt;100,"NM",IF(((DG644/CY644-1)*100)&lt;-50,"NM",(DG644/CY644-1)*100)))</f>
        <v>-2.3480160174736087</v>
      </c>
      <c r="DI644" s="74">
        <f>1122+4198</f>
        <v>5320</v>
      </c>
      <c r="DJ644" s="61">
        <f>IF(ISERROR((DI644/DA644-1)*100),"NA",IF(((DI644/DA644-1)*100)&gt;100,"NM",IF(((DI644/DA644-1)*100)&lt;-50,"NM",(DI644/DA644-1)*100)))</f>
        <v>-2.1879021879021909</v>
      </c>
      <c r="DK644" s="74">
        <f>1122+4258</f>
        <v>5380</v>
      </c>
      <c r="DL644" s="61">
        <f>IF(ISERROR((DK644/DC644-1)*100),"NA",IF(((DK644/DC644-1)*100)&gt;100,"NM",IF(((DK644/DC644-1)*100)&lt;-50,"NM",(DK644/DC644-1)*100)))</f>
        <v>10.042953569237056</v>
      </c>
      <c r="DM644" s="74">
        <f>1122+4048</f>
        <v>5170</v>
      </c>
      <c r="DN644" s="130">
        <f t="shared" si="3754"/>
        <v>2.3762376237623783</v>
      </c>
      <c r="DO644" s="74">
        <f>1122+4064</f>
        <v>5186</v>
      </c>
      <c r="DP644" s="130">
        <f t="shared" si="3754"/>
        <v>-3.3364398881640223</v>
      </c>
      <c r="DQ644" s="74">
        <f>4147+1123</f>
        <v>5270</v>
      </c>
      <c r="DR644" s="61">
        <f t="shared" si="3755"/>
        <v>-0.93984962406015171</v>
      </c>
      <c r="DS644" s="74">
        <f>1115+4480</f>
        <v>5595</v>
      </c>
      <c r="DT644" s="130">
        <f t="shared" si="3754"/>
        <v>3.9962825278810454</v>
      </c>
      <c r="DU644" s="74">
        <f>1115+4384</f>
        <v>5499</v>
      </c>
      <c r="DV644" s="130">
        <f t="shared" si="3754"/>
        <v>6.3636363636363713</v>
      </c>
      <c r="DW644" s="74">
        <f>1115+4459</f>
        <v>5574</v>
      </c>
      <c r="DX644" s="74">
        <f t="shared" ref="DX644" si="3779">1123+4481</f>
        <v>5604</v>
      </c>
      <c r="DY644" s="74">
        <f>1115+4438</f>
        <v>5553</v>
      </c>
      <c r="DZ644" s="130">
        <f t="shared" si="3754"/>
        <v>5.3700189753320693</v>
      </c>
      <c r="EA644" s="74">
        <f>1115+4535</f>
        <v>5650</v>
      </c>
      <c r="EB644" s="130">
        <f t="shared" si="3756"/>
        <v>0.98302055406613853</v>
      </c>
      <c r="EC644" s="74">
        <f>865+4595</f>
        <v>5460</v>
      </c>
      <c r="ED644" s="130">
        <f t="shared" si="3757"/>
        <v>-0.70921985815602939</v>
      </c>
      <c r="EE644" s="74">
        <f>865+4592</f>
        <v>5457</v>
      </c>
      <c r="EF644" s="130">
        <f t="shared" si="3758"/>
        <v>-2.0990312163616798</v>
      </c>
      <c r="EG644" s="74">
        <v>5345</v>
      </c>
      <c r="EH644" s="130">
        <f t="shared" si="3759"/>
        <v>-3.7457230325949942</v>
      </c>
      <c r="EI644" s="74">
        <v>5133</v>
      </c>
      <c r="EJ644" s="130">
        <f t="shared" si="3760"/>
        <v>-9.1504424778761084</v>
      </c>
      <c r="EK644" s="74">
        <v>4901</v>
      </c>
      <c r="EL644" s="130">
        <f t="shared" si="3761"/>
        <v>-10.238095238095235</v>
      </c>
      <c r="EM644" s="74">
        <v>4900</v>
      </c>
      <c r="EN644" s="130">
        <f t="shared" si="3762"/>
        <v>-10.20707348359905</v>
      </c>
      <c r="EO644" s="74">
        <v>4894</v>
      </c>
      <c r="EP644" s="130">
        <f t="shared" si="3763"/>
        <v>-8.4377923292797021</v>
      </c>
      <c r="EQ644" s="74">
        <f>+EO644+25+500</f>
        <v>5419</v>
      </c>
      <c r="ER644" s="130">
        <f t="shared" si="3765"/>
        <v>5.5717903759984422</v>
      </c>
      <c r="ES644" s="74">
        <f>+EQ644</f>
        <v>5419</v>
      </c>
      <c r="ET644" s="130">
        <f t="shared" si="3767"/>
        <v>10.569271577229134</v>
      </c>
      <c r="EU644" s="74">
        <f t="shared" ref="EU644" si="3780">+ES644+25</f>
        <v>5444</v>
      </c>
      <c r="EV644" s="130">
        <f t="shared" si="3769"/>
        <v>11.102040816326531</v>
      </c>
      <c r="EW644" s="74">
        <f t="shared" ref="EW644" si="3781">+EU644+25</f>
        <v>5469</v>
      </c>
      <c r="EX644" s="130">
        <f t="shared" si="3771"/>
        <v>11.749080506742949</v>
      </c>
      <c r="EY644" s="231"/>
      <c r="EZ644" s="558"/>
      <c r="FA644" s="231"/>
      <c r="FB644" s="188">
        <v>712.2</v>
      </c>
      <c r="FC644" s="71"/>
      <c r="FD644" s="188">
        <v>712</v>
      </c>
      <c r="FE644" s="70">
        <f t="shared" si="3772"/>
        <v>-2.8081999438367422E-2</v>
      </c>
      <c r="FF644" s="399">
        <f>I644</f>
        <v>712.2</v>
      </c>
      <c r="FG644" s="70">
        <f t="shared" si="3772"/>
        <v>2.8089887640447841E-2</v>
      </c>
      <c r="FH644" s="399">
        <f>Q644</f>
        <v>861.8</v>
      </c>
      <c r="FI644" s="70">
        <f t="shared" si="3772"/>
        <v>21.005335579893281</v>
      </c>
      <c r="FJ644" s="399">
        <f>Y644</f>
        <v>1119.2</v>
      </c>
      <c r="FK644" s="70">
        <f t="shared" si="3772"/>
        <v>29.867718728243233</v>
      </c>
      <c r="FL644" s="399">
        <f>AG644</f>
        <v>1117.5</v>
      </c>
      <c r="FM644" s="61">
        <f t="shared" si="3773"/>
        <v>-0.15189421015011639</v>
      </c>
      <c r="FN644" s="399">
        <f>+AO644</f>
        <v>1048.7</v>
      </c>
      <c r="FO644" s="61">
        <f t="shared" si="3774"/>
        <v>-6.1565995525727057</v>
      </c>
      <c r="FP644" s="75">
        <f>+AW644</f>
        <v>999</v>
      </c>
      <c r="FQ644" s="61">
        <f t="shared" si="3354"/>
        <v>15.920167092132754</v>
      </c>
      <c r="FR644" s="75">
        <f>BE644</f>
        <v>2231</v>
      </c>
      <c r="FS644" s="61" t="str">
        <f>IF(ISERROR((FR644/FP644-1)*100),"NA",IF(((FR644/FP644-1)*100)&gt;100,"NM",IF(((FR644/FP644-1)*100)&lt;-50,"NM",(FR644/FP644-1)*100)))</f>
        <v>NM</v>
      </c>
      <c r="FT644" s="75">
        <f>BM644</f>
        <v>2892.7</v>
      </c>
      <c r="FU644" s="61">
        <f>IF(ISERROR((FT644/FR644-1)*100),"NA",IF(((FT644/FR644-1)*100)&gt;100,"NM",IF(((FT644/FR644-1)*100)&lt;-50,"NM",(FT644/FR644-1)*100)))</f>
        <v>29.65934558493948</v>
      </c>
      <c r="FV644" s="75">
        <f>BU644</f>
        <v>4731</v>
      </c>
      <c r="FW644" s="61">
        <f>IF(ISERROR((FV644/FT644-1)*100),"NA",IF(((FV644/FT644-1)*100)&gt;100,"NM",IF(((FV644/FT644-1)*100)&lt;-50,"NM",(FV644/FT644-1)*100)))</f>
        <v>63.549624917896772</v>
      </c>
      <c r="FX644" s="75">
        <f>CC644</f>
        <v>5050.3999999999996</v>
      </c>
      <c r="FY644" s="61">
        <f>IF(ISERROR((FX644/FV644-1)*100),"NA",IF(((FX644/FV644-1)*100)&gt;100,"NM",IF(((FX644/FV644-1)*100)&lt;-50,"NM",(FX644/FV644-1)*100)))</f>
        <v>6.7512153878672487</v>
      </c>
      <c r="FZ644" s="75">
        <f>CK644</f>
        <v>5399</v>
      </c>
      <c r="GA644" s="61">
        <f>IF(ISERROR((FZ644/FX644-1)*100),"NA",IF(((FZ644/FX644-1)*100)&gt;100,"NM",IF(((FZ644/FX644-1)*100)&lt;-50,"NM",(FZ644/FX644-1)*100)))</f>
        <v>6.9024235704102654</v>
      </c>
      <c r="GB644" s="75">
        <f>CS644</f>
        <v>5391</v>
      </c>
      <c r="GC644" s="61">
        <f>IF(ISERROR((GB644/FZ644-1)*100),"NA",IF(((GB644/FZ644-1)*100)&gt;100,"NM",IF(((GB644/FZ644-1)*100)&lt;-50,"NM",(GB644/FZ644-1)*100)))</f>
        <v>-0.14817558807186382</v>
      </c>
      <c r="GD644" s="75">
        <f>DA644</f>
        <v>5439</v>
      </c>
      <c r="GE644" s="61">
        <f>IF(ISERROR((GD644/GB644-1)*100),"NA",IF(((GD644/GB644-1)*100)&gt;100,"NM",IF(((GD644/GB644-1)*100)&lt;-50,"NM",(GD644/GB644-1)*100)))</f>
        <v>0.89037284362827318</v>
      </c>
      <c r="GF644" s="75">
        <f>DI644</f>
        <v>5320</v>
      </c>
      <c r="GG644" s="61">
        <f t="shared" si="3775"/>
        <v>-2.1879021879021909</v>
      </c>
      <c r="GH644" s="75">
        <f>DQ644</f>
        <v>5270</v>
      </c>
      <c r="GI644" s="61">
        <f t="shared" si="3776"/>
        <v>-0.93984962406015171</v>
      </c>
      <c r="GJ644" s="75">
        <f>DY644</f>
        <v>5553</v>
      </c>
      <c r="GK644" s="61">
        <f t="shared" si="3777"/>
        <v>5.3700189753320693</v>
      </c>
      <c r="GL644" s="75">
        <f>EG644</f>
        <v>5345</v>
      </c>
      <c r="GM644" s="61">
        <f t="shared" si="3777"/>
        <v>-3.7457230325949942</v>
      </c>
      <c r="GN644" s="75">
        <f>EO644</f>
        <v>4894</v>
      </c>
      <c r="GO644" s="61">
        <f t="shared" si="3777"/>
        <v>-8.4377923292797021</v>
      </c>
      <c r="GP644" s="75">
        <f>EW644</f>
        <v>5469</v>
      </c>
      <c r="GQ644" s="61">
        <f t="shared" si="3777"/>
        <v>11.749080506742949</v>
      </c>
      <c r="GR644" s="74">
        <f>+GP644+100</f>
        <v>5569</v>
      </c>
      <c r="GS644" s="61">
        <f t="shared" si="3777"/>
        <v>1.8284878405558702</v>
      </c>
      <c r="GT644" s="74">
        <f>+GR644+100</f>
        <v>5669</v>
      </c>
      <c r="GU644" s="61">
        <f t="shared" si="3777"/>
        <v>1.7956545160711102</v>
      </c>
      <c r="GV644" s="74">
        <f>+GT644+100</f>
        <v>5769</v>
      </c>
      <c r="GW644" s="61">
        <f t="shared" si="3777"/>
        <v>1.7639795378373568</v>
      </c>
      <c r="GX644" s="74">
        <f>+GV644+100</f>
        <v>5869</v>
      </c>
      <c r="GY644" s="61">
        <f t="shared" si="3778"/>
        <v>1.7334026694401095</v>
      </c>
      <c r="GZ644" s="61">
        <f t="shared" si="3732"/>
        <v>3.7003038480563522</v>
      </c>
      <c r="HA644" s="61"/>
      <c r="HB644" s="452"/>
      <c r="HC644"/>
      <c r="HD644"/>
      <c r="HE644"/>
      <c r="HF644"/>
      <c r="HG644"/>
      <c r="HH644"/>
    </row>
    <row r="645" spans="1:216" s="5" customFormat="1" ht="12.75" customHeight="1" x14ac:dyDescent="0.2">
      <c r="A645" s="404"/>
      <c r="B645" s="7" t="s">
        <v>649</v>
      </c>
      <c r="C645" s="399">
        <f>SUM(C643:C644)</f>
        <v>1186.2</v>
      </c>
      <c r="D645" s="70"/>
      <c r="E645" s="399">
        <f>SUM(E643:E644)</f>
        <v>1067.8</v>
      </c>
      <c r="F645" s="71"/>
      <c r="G645" s="399">
        <f>SUM(G643:G644)</f>
        <v>1042.5</v>
      </c>
      <c r="H645" s="71"/>
      <c r="I645" s="399">
        <f>SUM(I643:I644)</f>
        <v>1025.0999999999999</v>
      </c>
      <c r="J645" s="61"/>
      <c r="K645" s="399">
        <f>SUM(K643:K644)</f>
        <v>1127.5999999999999</v>
      </c>
      <c r="L645" s="61">
        <f t="shared" si="3733"/>
        <v>-4.9401450008430441</v>
      </c>
      <c r="M645" s="399">
        <f>SUM(M643:M644)</f>
        <v>1063.7</v>
      </c>
      <c r="N645" s="61">
        <f t="shared" si="3734"/>
        <v>-0.38396703502527885</v>
      </c>
      <c r="O645" s="399">
        <f>SUM(O643:O644)</f>
        <v>1251.4000000000001</v>
      </c>
      <c r="P645" s="61">
        <f t="shared" si="3735"/>
        <v>20.038369304556358</v>
      </c>
      <c r="Q645" s="399">
        <f>SUM(Q643:Q644)</f>
        <v>1212</v>
      </c>
      <c r="R645" s="61">
        <f t="shared" si="3736"/>
        <v>18.232367573895235</v>
      </c>
      <c r="S645" s="399">
        <f>SUM(S643:S644)</f>
        <v>1372</v>
      </c>
      <c r="T645" s="61">
        <f t="shared" si="3737"/>
        <v>21.674352607307569</v>
      </c>
      <c r="U645" s="399">
        <f>SUM(U643:U644)</f>
        <v>1323.3</v>
      </c>
      <c r="V645" s="61">
        <f t="shared" si="3738"/>
        <v>24.405377456049628</v>
      </c>
      <c r="W645" s="399">
        <f>SUM(W643:W644)</f>
        <v>1238.0999999999999</v>
      </c>
      <c r="X645" s="61">
        <f t="shared" si="3739"/>
        <v>-1.0628096531884457</v>
      </c>
      <c r="Y645" s="399">
        <f>SUM(Y643:Y644)</f>
        <v>1272.2</v>
      </c>
      <c r="Z645" s="61">
        <f t="shared" si="3740"/>
        <v>4.9669966996699788</v>
      </c>
      <c r="AA645" s="399">
        <f>SUM(AA643:AA644)</f>
        <v>1243.9949999999999</v>
      </c>
      <c r="AB645" s="61">
        <f t="shared" si="3741"/>
        <v>-9.329810495626834</v>
      </c>
      <c r="AC645" s="399">
        <f>SUM(AC643:AC644)</f>
        <v>1204.8390000000002</v>
      </c>
      <c r="AD645" s="61">
        <f t="shared" si="3742"/>
        <v>-8.9519383359782161</v>
      </c>
      <c r="AE645" s="399">
        <f>SUM(AE643:AE644)</f>
        <v>1209.4000000000001</v>
      </c>
      <c r="AF645" s="61">
        <f t="shared" si="3743"/>
        <v>-2.3180680074307292</v>
      </c>
      <c r="AG645" s="399">
        <f>SUM(AG643:AG644)</f>
        <v>1161.5</v>
      </c>
      <c r="AH645" s="61">
        <f t="shared" si="3744"/>
        <v>-8.701462034271346</v>
      </c>
      <c r="AI645" s="399">
        <f>SUM(AI643:AI644)</f>
        <v>1355.7</v>
      </c>
      <c r="AJ645" s="61">
        <f t="shared" si="3745"/>
        <v>8.9795376991065101</v>
      </c>
      <c r="AK645" s="399">
        <f>SUM(AK643:AK644)</f>
        <v>1343.7</v>
      </c>
      <c r="AL645" s="61">
        <f t="shared" si="3746"/>
        <v>11.525274331259183</v>
      </c>
      <c r="AM645" s="399">
        <f>SUM(AM643:AM644)</f>
        <v>1315.4</v>
      </c>
      <c r="AN645" s="61">
        <f t="shared" si="3747"/>
        <v>8.7646766991896783</v>
      </c>
      <c r="AO645" s="399">
        <f>SUM(AO643:AO644)</f>
        <v>1263.1000000000001</v>
      </c>
      <c r="AP645" s="61">
        <f t="shared" si="3748"/>
        <v>8.7473095135600651</v>
      </c>
      <c r="AQ645" s="399">
        <f>SUM(AQ643:AQ644)</f>
        <v>1240.5999999999999</v>
      </c>
      <c r="AR645" s="61">
        <f t="shared" si="3749"/>
        <v>-8.4900789260160874</v>
      </c>
      <c r="AS645" s="399">
        <f>SUM(AS643:AS644)</f>
        <v>1223.0999999999999</v>
      </c>
      <c r="AT645" s="61">
        <f t="shared" si="3750"/>
        <v>-8.9752176825184335</v>
      </c>
      <c r="AU645" s="399">
        <f>SUM(AU643:AU644)</f>
        <v>1164.5999999999999</v>
      </c>
      <c r="AV645" s="61">
        <f t="shared" si="3751"/>
        <v>-11.464193401246781</v>
      </c>
      <c r="AW645" s="399">
        <f>SUM(AW643:AW644)</f>
        <v>1118.9000000000001</v>
      </c>
      <c r="AX645" s="61">
        <f t="shared" si="3752"/>
        <v>-11.416356583010057</v>
      </c>
      <c r="AY645" s="399">
        <f>SUM(AY643:AY644)</f>
        <v>1009.1</v>
      </c>
      <c r="AZ645" s="61">
        <f t="shared" si="3753"/>
        <v>-18.660325648879571</v>
      </c>
      <c r="BA645" s="399">
        <f>SUM(BA643:BA644)</f>
        <v>2890.1</v>
      </c>
      <c r="BB645" s="61" t="str">
        <f t="shared" si="3344"/>
        <v>NM</v>
      </c>
      <c r="BC645" s="399">
        <f>SUM(BC643:BC644)</f>
        <v>2889.6000000000004</v>
      </c>
      <c r="BD645" s="61" t="str">
        <f t="shared" si="3345"/>
        <v>NM</v>
      </c>
      <c r="BE645" s="399">
        <f>SUM(BE643:BE644)</f>
        <v>2888.6</v>
      </c>
      <c r="BF645" s="61" t="str">
        <f t="shared" si="3346"/>
        <v>NM</v>
      </c>
      <c r="BG645" s="399">
        <f>SUM(BG643:BG644)</f>
        <v>2977.2000000000003</v>
      </c>
      <c r="BH645" s="61" t="str">
        <f>IF(ISERROR((BG645/AY645-1)*100),"NA",IF(((BG645/AY645-1)*100)&gt;100,"NM",IF(((BG645/AY645-1)*100)&lt;-50,"NM",(BG645/AY645-1)*100)))</f>
        <v>NM</v>
      </c>
      <c r="BI645" s="399">
        <f>SUM(BI643:BI644)</f>
        <v>2613.4</v>
      </c>
      <c r="BJ645" s="61">
        <f>IF(ISERROR((BI645/BA645-1)*100),"NA",IF(((BI645/BA645-1)*100)&gt;100,"NM",IF(((BI645/BA645-1)*100)&lt;-50,"NM",(BI645/BA645-1)*100)))</f>
        <v>-9.5740631812047958</v>
      </c>
      <c r="BK645" s="399">
        <f>SUM(BK643:BK644)</f>
        <v>3009.6</v>
      </c>
      <c r="BL645" s="61">
        <f>IF(ISERROR((BK645/BC645-1)*100),"NA",IF(((BK645/BC645-1)*100)&gt;100,"NM",IF(((BK645/BC645-1)*100)&lt;-50,"NM",(BK645/BC645-1)*100)))</f>
        <v>4.1528239202657691</v>
      </c>
      <c r="BM645" s="399">
        <f>SUM(BM643:BM644)</f>
        <v>3442.8999999999996</v>
      </c>
      <c r="BN645" s="61">
        <f>IF(ISERROR((BM645/BE645-1)*100),"NA",IF(((BM645/BE645-1)*100)&gt;100,"NM",IF(((BM645/BE645-1)*100)&lt;-50,"NM",(BM645/BE645-1)*100)))</f>
        <v>19.189226614969179</v>
      </c>
      <c r="BO645" s="399">
        <f>SUM(BO643:BO644)</f>
        <v>3312.1</v>
      </c>
      <c r="BP645" s="61">
        <f>IF(ISERROR((BO645/BG645-1)*100),"NA",IF(((BO645/BG645-1)*100)&gt;100,"NM",IF(((BO645/BG645-1)*100)&lt;-50,"NM",(BO645/BG645-1)*100)))</f>
        <v>11.248824398763935</v>
      </c>
      <c r="BQ645" s="399">
        <f>SUM(BQ643:BQ644)</f>
        <v>5001.8</v>
      </c>
      <c r="BR645" s="61">
        <f>IF(ISERROR((BQ645/BI645-1)*100),"NA",IF(((BQ645/BI645-1)*100)&gt;100,"NM",IF(((BQ645/BI645-1)*100)&lt;-50,"NM",(BQ645/BI645-1)*100)))</f>
        <v>91.390525751894074</v>
      </c>
      <c r="BS645" s="399">
        <f>SUM(BS643:BS644)</f>
        <v>5204.5999999999995</v>
      </c>
      <c r="BT645" s="61">
        <f>IF(ISERROR((BS645/BK645-1)*100),"NA",IF(((BS645/BK645-1)*100)&gt;100,"NM",IF(((BS645/BK645-1)*100)&lt;-50,"NM",(BS645/BK645-1)*100)))</f>
        <v>72.933280170122259</v>
      </c>
      <c r="BU645" s="399">
        <f>SUM(BU643:BU644)</f>
        <v>5545.7</v>
      </c>
      <c r="BV645" s="61">
        <f>IF(ISERROR((BU645/BM645-1)*100),"NA",IF(((BU645/BM645-1)*100)&gt;100,"NM",IF(((BU645/BM645-1)*100)&lt;-50,"NM",(BU645/BM645-1)*100)))</f>
        <v>61.076418135873837</v>
      </c>
      <c r="BW645" s="399">
        <f>SUM(BW643:BW644)</f>
        <v>5780.5999999999995</v>
      </c>
      <c r="BX645" s="61">
        <f>IF(ISERROR((BW645/BO645-1)*100),"NA",IF(((BW645/BO645-1)*100)&gt;100,"NM",IF(((BW645/BO645-1)*100)&lt;-50,"NM",(BW645/BO645-1)*100)))</f>
        <v>74.529754536396837</v>
      </c>
      <c r="BY645" s="399">
        <f>SUM(BY643:BY644)</f>
        <v>5229.6000000000004</v>
      </c>
      <c r="BZ645" s="61">
        <f>IF(ISERROR((BY645/BQ645-1)*100),"NA",IF(((BY645/BQ645-1)*100)&gt;100,"NM",IF(((BY645/BQ645-1)*100)&lt;-50,"NM",(BY645/BQ645-1)*100)))</f>
        <v>4.5543604302451079</v>
      </c>
      <c r="CA645" s="399">
        <f>SUM(CA643:CA644)</f>
        <v>5188.8</v>
      </c>
      <c r="CB645" s="61">
        <f>IF(ISERROR((CA645/BS645-1)*100),"NA",IF(((CA645/BS645-1)*100)&gt;100,"NM",IF(((CA645/BS645-1)*100)&lt;-50,"NM",(CA645/BS645-1)*100)))</f>
        <v>-0.30357760442684123</v>
      </c>
      <c r="CC645" s="399">
        <f>SUM(CC643:CC644)</f>
        <v>5400.2999999999993</v>
      </c>
      <c r="CD645" s="61">
        <f>IF(ISERROR((CC645/BU645-1)*100),"NA",IF(((CC645/BU645-1)*100)&gt;100,"NM",IF(((CC645/BU645-1)*100)&lt;-50,"NM",(CC645/BU645-1)*100)))</f>
        <v>-2.6218511639648834</v>
      </c>
      <c r="CE645" s="399">
        <f>SUM(CE643:CE644)</f>
        <v>5161.5</v>
      </c>
      <c r="CF645" s="61">
        <f>IF(ISERROR((CE645/BW645-1)*100),"NA",IF(((CE645/BW645-1)*100)&gt;100,"NM",IF(((CE645/BW645-1)*100)&lt;-50,"NM",(CE645/BW645-1)*100)))</f>
        <v>-10.709960903712412</v>
      </c>
      <c r="CG645" s="399">
        <f>SUM(CG643:CG644)</f>
        <v>5964.0999999999995</v>
      </c>
      <c r="CH645" s="61">
        <f>IF(ISERROR((CG645/BY645-1)*100),"NA",IF(((CG645/BY645-1)*100)&gt;100,"NM",IF(((CG645/BY645-1)*100)&lt;-50,"NM",(CG645/BY645-1)*100)))</f>
        <v>14.045051246749264</v>
      </c>
      <c r="CI645" s="399">
        <f>SUM(CI643:CI644)</f>
        <v>6044.2</v>
      </c>
      <c r="CJ645" s="61">
        <f>IF(ISERROR((CI645/CA645-1)*100),"NA",IF(((CI645/CA645-1)*100)&gt;100,"NM",IF(((CI645/CA645-1)*100)&lt;-50,"NM",(CI645/CA645-1)*100)))</f>
        <v>16.485507246376805</v>
      </c>
      <c r="CK645" s="399">
        <f>SUM(CK643:CK644)</f>
        <v>5750.4</v>
      </c>
      <c r="CL645" s="61">
        <f>IF(ISERROR((CK645/CC645-1)*100),"NA",IF(((CK645/CC645-1)*100)&gt;100,"NM",IF(((CK645/CC645-1)*100)&lt;-50,"NM",(CK645/CC645-1)*100)))</f>
        <v>6.4829731681573355</v>
      </c>
      <c r="CM645" s="399">
        <f>SUM(CM643:CM644)</f>
        <v>5721.2</v>
      </c>
      <c r="CN645" s="61">
        <f>IF(ISERROR((CM645/CE645-1)*100),"NA",IF(((CM645/CE645-1)*100)&gt;100,"NM",IF(((CM645/CE645-1)*100)&lt;-50,"NM",(CM645/CE645-1)*100)))</f>
        <v>10.843746972779233</v>
      </c>
      <c r="CO645" s="399">
        <f>SUM(CO643:CO644)</f>
        <v>5980</v>
      </c>
      <c r="CP645" s="61">
        <f>IF(ISERROR((CO645/CG645-1)*100),"NA",IF(((CO645/CG645-1)*100)&gt;100,"NM",IF(((CO645/CG645-1)*100)&lt;-50,"NM",(CO645/CG645-1)*100)))</f>
        <v>0.26659512751296965</v>
      </c>
      <c r="CQ645" s="399">
        <f>SUM(CQ643:CQ644)</f>
        <v>5898.3</v>
      </c>
      <c r="CR645" s="61">
        <f>IF(ISERROR((CQ645/CI645-1)*100),"NA",IF(((CQ645/CI645-1)*100)&gt;100,"NM",IF(((CQ645/CI645-1)*100)&lt;-50,"NM",(CQ645/CI645-1)*100)))</f>
        <v>-2.4138843850302738</v>
      </c>
      <c r="CS645" s="399">
        <f>SUM(CS643:CS644)</f>
        <v>5691</v>
      </c>
      <c r="CT645" s="61">
        <f>IF(ISERROR((CS645/CK645-1)*100),"NA",IF(((CS645/CK645-1)*100)&gt;100,"NM",IF(((CS645/CK645-1)*100)&lt;-50,"NM",(CS645/CK645-1)*100)))</f>
        <v>-1.032971619365608</v>
      </c>
      <c r="CU645" s="399">
        <f>SUM(CU643:CU644)</f>
        <v>5906</v>
      </c>
      <c r="CV645" s="61">
        <f>IF(ISERROR((CU645/CM645-1)*100),"NA",IF(((CU645/CM645-1)*100)&gt;100,"NM",IF(((CU645/CM645-1)*100)&lt;-50,"NM",(CU645/CM645-1)*100)))</f>
        <v>3.2300915891771087</v>
      </c>
      <c r="CW645" s="399">
        <f>SUM(CW643:CW644)</f>
        <v>6019</v>
      </c>
      <c r="CX645" s="61">
        <f>IF(ISERROR((CW645/CO645-1)*100),"NA",IF(((CW645/CO645-1)*100)&gt;100,"NM",IF(((CW645/CO645-1)*100)&lt;-50,"NM",(CW645/CO645-1)*100)))</f>
        <v>0.6521739130434856</v>
      </c>
      <c r="CY645" s="399">
        <f>SUM(CY643:CY644)</f>
        <v>5694</v>
      </c>
      <c r="CZ645" s="61">
        <f>IF(ISERROR((CY645/CQ645-1)*100),"NA",IF(((CY645/CQ645-1)*100)&gt;100,"NM",IF(((CY645/CQ645-1)*100)&lt;-50,"NM",(CY645/CQ645-1)*100)))</f>
        <v>-3.4637098825085255</v>
      </c>
      <c r="DA645" s="399">
        <f>SUM(DA643:DA644)</f>
        <v>5639</v>
      </c>
      <c r="DB645" s="61">
        <f>IF(ISERROR((DA645/CS645-1)*100),"NA",IF(((DA645/CS645-1)*100)&gt;100,"NM",IF(((DA645/CS645-1)*100)&lt;-50,"NM",(DA645/CS645-1)*100)))</f>
        <v>-0.91372342294852027</v>
      </c>
      <c r="DC645" s="399">
        <f>SUM(DC643:DC644)</f>
        <v>5595</v>
      </c>
      <c r="DD645" s="61">
        <f>IF(ISERROR((DC645/CU645-1)*100),"NA",IF(((DC645/CU645-1)*100)&gt;100,"NM",IF(((DC645/CU645-1)*100)&lt;-50,"NM",(DC645/CU645-1)*100)))</f>
        <v>-5.2658313579410754</v>
      </c>
      <c r="DE645" s="399">
        <f>SUM(DE643:DE644)</f>
        <v>5556</v>
      </c>
      <c r="DF645" s="61">
        <f>IF(ISERROR((DE645/CW645-1)*100),"NA",IF(((DE645/CW645-1)*100)&gt;100,"NM",IF(((DE645/CW645-1)*100)&lt;-50,"NM",(DE645/CW645-1)*100)))</f>
        <v>-7.6923076923076872</v>
      </c>
      <c r="DG645" s="399">
        <f>SUM(DG643:DG644)</f>
        <v>5868</v>
      </c>
      <c r="DH645" s="61">
        <f>IF(ISERROR((DG645/CY645-1)*100),"NA",IF(((DG645/CY645-1)*100)&gt;100,"NM",IF(((DG645/CY645-1)*100)&lt;-50,"NM",(DG645/CY645-1)*100)))</f>
        <v>3.0558482613277205</v>
      </c>
      <c r="DI645" s="399">
        <f>SUM(DI643:DI644)</f>
        <v>5821</v>
      </c>
      <c r="DJ645" s="61">
        <f>IF(ISERROR((DI645/DA645-1)*100),"NA",IF(((DI645/DA645-1)*100)&gt;100,"NM",IF(((DI645/DA645-1)*100)&lt;-50,"NM",(DI645/DA645-1)*100)))</f>
        <v>3.2275226103919197</v>
      </c>
      <c r="DK645" s="399">
        <f>SUM(DK643:DK644)</f>
        <v>5380</v>
      </c>
      <c r="DL645" s="61">
        <f>IF(ISERROR((DK645/DC645-1)*100),"NA",IF(((DK645/DC645-1)*100)&gt;100,"NM",IF(((DK645/DC645-1)*100)&lt;-50,"NM",(DK645/DC645-1)*100)))</f>
        <v>-3.8427167113494143</v>
      </c>
      <c r="DM645" s="399">
        <f>SUM(DM643:DM644)</f>
        <v>5420</v>
      </c>
      <c r="DN645" s="130">
        <f t="shared" si="3754"/>
        <v>-2.4478041756659463</v>
      </c>
      <c r="DO645" s="399">
        <f>SUM(DO643:DO644)</f>
        <v>5436</v>
      </c>
      <c r="DP645" s="130">
        <f t="shared" si="3754"/>
        <v>-7.361963190184051</v>
      </c>
      <c r="DQ645" s="399">
        <f>SUM(DQ643:DQ644)</f>
        <v>5520</v>
      </c>
      <c r="DR645" s="61">
        <f t="shared" si="3755"/>
        <v>-5.1709328294107575</v>
      </c>
      <c r="DS645" s="399">
        <f>SUM(DS643:DS644)</f>
        <v>5845</v>
      </c>
      <c r="DT645" s="130">
        <f t="shared" si="3754"/>
        <v>8.6431226765799174</v>
      </c>
      <c r="DU645" s="399">
        <f>SUM(DU643:DU644)</f>
        <v>5499</v>
      </c>
      <c r="DV645" s="130">
        <f t="shared" si="3754"/>
        <v>1.4575645756457645</v>
      </c>
      <c r="DW645" s="399">
        <f>SUM(DW643:DW644)</f>
        <v>5574</v>
      </c>
      <c r="DX645" s="399">
        <f t="shared" ref="DX645:DY645" si="3782">SUM(DX643:DX644)</f>
        <v>5604</v>
      </c>
      <c r="DY645" s="399">
        <f t="shared" si="3782"/>
        <v>5553</v>
      </c>
      <c r="DZ645" s="130">
        <f t="shared" si="3754"/>
        <v>0.59782608695653217</v>
      </c>
      <c r="EA645" s="399">
        <f t="shared" ref="EA645:EC645" si="3783">SUM(EA643:EA644)</f>
        <v>5650</v>
      </c>
      <c r="EB645" s="130">
        <f t="shared" si="3756"/>
        <v>-3.3361847733105243</v>
      </c>
      <c r="EC645" s="399">
        <f t="shared" si="3783"/>
        <v>5710</v>
      </c>
      <c r="ED645" s="130">
        <f t="shared" si="3757"/>
        <v>3.8370612838698026</v>
      </c>
      <c r="EE645" s="399">
        <f t="shared" ref="EE645:EG645" si="3784">SUM(EE643:EE644)</f>
        <v>5707</v>
      </c>
      <c r="EF645" s="130">
        <f t="shared" si="3758"/>
        <v>2.3860782203085851</v>
      </c>
      <c r="EG645" s="399">
        <f t="shared" si="3784"/>
        <v>5345</v>
      </c>
      <c r="EH645" s="130">
        <f t="shared" si="3759"/>
        <v>-3.7457230325949942</v>
      </c>
      <c r="EI645" s="399">
        <f t="shared" ref="EI645:EK645" si="3785">SUM(EI643:EI644)</f>
        <v>5333</v>
      </c>
      <c r="EJ645" s="130">
        <f t="shared" si="3760"/>
        <v>-5.6106194690265454</v>
      </c>
      <c r="EK645" s="399">
        <f t="shared" si="3785"/>
        <v>5351</v>
      </c>
      <c r="EL645" s="130">
        <f t="shared" si="3761"/>
        <v>-6.287215411558666</v>
      </c>
      <c r="EM645" s="399">
        <f t="shared" ref="EM645" si="3786">SUM(EM643:EM644)</f>
        <v>5350</v>
      </c>
      <c r="EN645" s="130">
        <f t="shared" si="3762"/>
        <v>-6.2554757315577358</v>
      </c>
      <c r="EO645" s="399">
        <f t="shared" ref="EO645" si="3787">SUM(EO643:EO644)</f>
        <v>5344</v>
      </c>
      <c r="EP645" s="130">
        <f t="shared" si="3763"/>
        <v>-1.870907390084664E-2</v>
      </c>
      <c r="EQ645" s="399">
        <f t="shared" ref="EQ645:EW645" si="3788">SUM(EQ643:EQ644)</f>
        <v>5875</v>
      </c>
      <c r="ER645" s="130">
        <f t="shared" si="3765"/>
        <v>10.163135195949756</v>
      </c>
      <c r="ES645" s="399">
        <f t="shared" si="3788"/>
        <v>5881</v>
      </c>
      <c r="ET645" s="130">
        <f t="shared" si="3767"/>
        <v>9.9046907120164498</v>
      </c>
      <c r="EU645" s="399">
        <f t="shared" si="3788"/>
        <v>5912</v>
      </c>
      <c r="EV645" s="130">
        <f t="shared" si="3769"/>
        <v>10.504672897196254</v>
      </c>
      <c r="EW645" s="399">
        <f t="shared" si="3788"/>
        <v>5943</v>
      </c>
      <c r="EX645" s="130">
        <f t="shared" si="3771"/>
        <v>11.208832335329344</v>
      </c>
      <c r="EY645" s="356"/>
      <c r="EZ645" s="558"/>
      <c r="FA645" s="356"/>
      <c r="FB645" s="399">
        <f>SUM(FB643:FB644)</f>
        <v>1026.8000000000002</v>
      </c>
      <c r="FC645" s="71"/>
      <c r="FD645" s="399">
        <f>SUM(FD643:FD644)</f>
        <v>1172.2</v>
      </c>
      <c r="FE645" s="70">
        <f t="shared" si="3772"/>
        <v>14.160498636540698</v>
      </c>
      <c r="FF645" s="399">
        <f>SUM(FF643:FF644)</f>
        <v>1025.0999999999999</v>
      </c>
      <c r="FG645" s="70">
        <f t="shared" si="3772"/>
        <v>-12.549053062617311</v>
      </c>
      <c r="FH645" s="399">
        <f>SUM(FH643:FH644)</f>
        <v>1212</v>
      </c>
      <c r="FI645" s="70">
        <f t="shared" si="3772"/>
        <v>18.232367573895235</v>
      </c>
      <c r="FJ645" s="399">
        <f>SUM(FJ643:FJ644)</f>
        <v>1272.2</v>
      </c>
      <c r="FK645" s="70">
        <f t="shared" si="3772"/>
        <v>4.9669966996699788</v>
      </c>
      <c r="FL645" s="399">
        <f>SUM(FL643:FL644)</f>
        <v>1161.5</v>
      </c>
      <c r="FM645" s="61">
        <f t="shared" si="3773"/>
        <v>-8.701462034271346</v>
      </c>
      <c r="FN645" s="399">
        <f>SUM(FN643:FN644)</f>
        <v>1263.1000000000001</v>
      </c>
      <c r="FO645" s="61">
        <f t="shared" si="3774"/>
        <v>8.7473095135600651</v>
      </c>
      <c r="FP645" s="400">
        <f>SUM(FP643:FP644)</f>
        <v>1118.9000000000001</v>
      </c>
      <c r="FQ645" s="61">
        <f t="shared" si="3354"/>
        <v>-7.6815181518151698</v>
      </c>
      <c r="FR645" s="400">
        <f>SUM(FR643:FR644)</f>
        <v>2888.6</v>
      </c>
      <c r="FS645" s="61" t="str">
        <f>IF(ISERROR((FR645/FP645-1)*100),"NA",IF(((FR645/FP645-1)*100)&gt;100,"NM",IF(((FR645/FP645-1)*100)&lt;-50,"NM",(FR645/FP645-1)*100)))</f>
        <v>NM</v>
      </c>
      <c r="FT645" s="400">
        <f>SUM(FT643:FT644)</f>
        <v>3442.8999999999996</v>
      </c>
      <c r="FU645" s="61">
        <f>IF(ISERROR((FT645/FR645-1)*100),"NA",IF(((FT645/FR645-1)*100)&gt;100,"NM",IF(((FT645/FR645-1)*100)&lt;-50,"NM",(FT645/FR645-1)*100)))</f>
        <v>19.189226614969179</v>
      </c>
      <c r="FV645" s="400">
        <f>SUM(FV643:FV644)</f>
        <v>5545.7</v>
      </c>
      <c r="FW645" s="61">
        <f>IF(ISERROR((FV645/FT645-1)*100),"NA",IF(((FV645/FT645-1)*100)&gt;100,"NM",IF(((FV645/FT645-1)*100)&lt;-50,"NM",(FV645/FT645-1)*100)))</f>
        <v>61.076418135873837</v>
      </c>
      <c r="FX645" s="400">
        <f>SUM(FX643:FX644)</f>
        <v>5400.2999999999993</v>
      </c>
      <c r="FY645" s="61">
        <f>IF(ISERROR((FX645/FV645-1)*100),"NA",IF(((FX645/FV645-1)*100)&gt;100,"NM",IF(((FX645/FV645-1)*100)&lt;-50,"NM",(FX645/FV645-1)*100)))</f>
        <v>-2.6218511639648834</v>
      </c>
      <c r="FZ645" s="400">
        <f>SUM(FZ643:FZ644)</f>
        <v>5750.4</v>
      </c>
      <c r="GA645" s="61">
        <f>IF(ISERROR((FZ645/FX645-1)*100),"NA",IF(((FZ645/FX645-1)*100)&gt;100,"NM",IF(((FZ645/FX645-1)*100)&lt;-50,"NM",(FZ645/FX645-1)*100)))</f>
        <v>6.4829731681573355</v>
      </c>
      <c r="GB645" s="400">
        <f>SUM(GB643:GB644)</f>
        <v>5691</v>
      </c>
      <c r="GC645" s="61">
        <f>IF(ISERROR((GB645/FZ645-1)*100),"NA",IF(((GB645/FZ645-1)*100)&gt;100,"NM",IF(((GB645/FZ645-1)*100)&lt;-50,"NM",(GB645/FZ645-1)*100)))</f>
        <v>-1.032971619365608</v>
      </c>
      <c r="GD645" s="400">
        <f>SUM(GD643:GD644)</f>
        <v>5639</v>
      </c>
      <c r="GE645" s="61">
        <f>IF(ISERROR((GD645/GB645-1)*100),"NA",IF(((GD645/GB645-1)*100)&gt;100,"NM",IF(((GD645/GB645-1)*100)&lt;-50,"NM",(GD645/GB645-1)*100)))</f>
        <v>-0.91372342294852027</v>
      </c>
      <c r="GF645" s="400">
        <f>SUM(GF643:GF644)</f>
        <v>5821</v>
      </c>
      <c r="GG645" s="61">
        <f t="shared" si="3775"/>
        <v>3.2275226103919197</v>
      </c>
      <c r="GH645" s="400">
        <f>SUM(GH643:GH644)</f>
        <v>5520</v>
      </c>
      <c r="GI645" s="61">
        <f t="shared" si="3776"/>
        <v>-5.1709328294107575</v>
      </c>
      <c r="GJ645" s="400">
        <f>SUM(GJ643:GJ644)</f>
        <v>5553</v>
      </c>
      <c r="GK645" s="61">
        <f t="shared" si="3777"/>
        <v>0.59782608695653217</v>
      </c>
      <c r="GL645" s="400">
        <f>SUM(GL643:GL644)</f>
        <v>5345</v>
      </c>
      <c r="GM645" s="61">
        <f t="shared" si="3777"/>
        <v>-3.7457230325949942</v>
      </c>
      <c r="GN645" s="400">
        <f>SUM(GN643:GN644)</f>
        <v>5344</v>
      </c>
      <c r="GO645" s="61">
        <f t="shared" si="3777"/>
        <v>-1.870907390084664E-2</v>
      </c>
      <c r="GP645" s="400">
        <f>SUM(GP643:GP644)</f>
        <v>5943</v>
      </c>
      <c r="GQ645" s="61">
        <f t="shared" si="3777"/>
        <v>11.208832335329344</v>
      </c>
      <c r="GR645" s="399">
        <f>SUM(GR643:GR644)</f>
        <v>6068</v>
      </c>
      <c r="GS645" s="61">
        <f t="shared" si="3777"/>
        <v>2.103314824162883</v>
      </c>
      <c r="GT645" s="399">
        <f>SUM(GT643:GT644)</f>
        <v>6193</v>
      </c>
      <c r="GU645" s="61">
        <f t="shared" si="3777"/>
        <v>2.0599868160843693</v>
      </c>
      <c r="GV645" s="399">
        <f>SUM(GV643:GV644)</f>
        <v>6318</v>
      </c>
      <c r="GW645" s="61">
        <f t="shared" si="3777"/>
        <v>2.018407879864359</v>
      </c>
      <c r="GX645" s="399">
        <f>SUM(GX643:GX644)</f>
        <v>6443</v>
      </c>
      <c r="GY645" s="61">
        <f t="shared" si="3778"/>
        <v>1.978474200696434</v>
      </c>
      <c r="GZ645" s="61">
        <f t="shared" si="3732"/>
        <v>3.8112299032542873</v>
      </c>
      <c r="HA645" s="61"/>
      <c r="HB645" s="452"/>
      <c r="HC645"/>
      <c r="HD645"/>
      <c r="HE645"/>
      <c r="HF645"/>
      <c r="HG645"/>
      <c r="HH645"/>
    </row>
    <row r="646" spans="1:216" s="5" customFormat="1" ht="12.75" customHeight="1" x14ac:dyDescent="0.2">
      <c r="A646" s="7"/>
      <c r="B646" s="7" t="s">
        <v>167</v>
      </c>
      <c r="C646" s="405"/>
      <c r="D646" s="70"/>
      <c r="E646" s="405"/>
      <c r="F646" s="71"/>
      <c r="G646" s="405"/>
      <c r="H646" s="71"/>
      <c r="I646" s="405"/>
      <c r="J646" s="71"/>
      <c r="K646" s="405"/>
      <c r="L646" s="61"/>
      <c r="M646" s="405"/>
      <c r="N646" s="61"/>
      <c r="O646" s="405"/>
      <c r="P646" s="61"/>
      <c r="Q646" s="405"/>
      <c r="R646" s="61"/>
      <c r="S646" s="405"/>
      <c r="T646" s="61"/>
      <c r="U646" s="405"/>
      <c r="V646" s="61"/>
      <c r="W646" s="405"/>
      <c r="X646" s="61"/>
      <c r="Y646" s="405"/>
      <c r="Z646" s="61"/>
      <c r="AA646" s="405"/>
      <c r="AB646" s="61"/>
      <c r="AC646" s="405"/>
      <c r="AD646" s="61"/>
      <c r="AE646" s="405"/>
      <c r="AF646" s="61"/>
      <c r="AG646" s="405"/>
      <c r="AH646" s="61"/>
      <c r="AI646" s="405"/>
      <c r="AJ646" s="61"/>
      <c r="AK646" s="405"/>
      <c r="AL646" s="61"/>
      <c r="AM646" s="405"/>
      <c r="AN646" s="61"/>
      <c r="AO646" s="405"/>
      <c r="AP646" s="61"/>
      <c r="AQ646" s="405"/>
      <c r="AR646" s="61"/>
      <c r="AS646" s="405"/>
      <c r="AT646" s="61"/>
      <c r="AU646" s="405"/>
      <c r="AV646" s="61"/>
      <c r="AW646" s="405"/>
      <c r="AX646" s="61"/>
      <c r="AY646" s="405"/>
      <c r="AZ646" s="61"/>
      <c r="BA646" s="405"/>
      <c r="BB646" s="61"/>
      <c r="BC646" s="405"/>
      <c r="BD646" s="61"/>
      <c r="BE646" s="405"/>
      <c r="BF646" s="61"/>
      <c r="BG646" s="405"/>
      <c r="BH646" s="61"/>
      <c r="BI646" s="405"/>
      <c r="BJ646" s="61"/>
      <c r="BK646" s="405"/>
      <c r="BL646" s="61"/>
      <c r="BM646" s="405"/>
      <c r="BN646" s="61"/>
      <c r="BO646" s="405"/>
      <c r="BP646" s="61"/>
      <c r="BQ646" s="405"/>
      <c r="BR646" s="61"/>
      <c r="BS646" s="405"/>
      <c r="BT646" s="61"/>
      <c r="BU646" s="405"/>
      <c r="BV646" s="61"/>
      <c r="BW646" s="405"/>
      <c r="BX646" s="61"/>
      <c r="BY646" s="405">
        <v>0</v>
      </c>
      <c r="BZ646" s="61"/>
      <c r="CA646" s="405">
        <v>800</v>
      </c>
      <c r="CB646" s="61"/>
      <c r="CC646" s="405">
        <v>806.3</v>
      </c>
      <c r="CD646" s="61"/>
      <c r="CE646" s="405">
        <v>812.8</v>
      </c>
      <c r="CF646" s="61"/>
      <c r="CG646" s="405">
        <v>0</v>
      </c>
      <c r="CH646" s="61"/>
      <c r="CI646" s="405">
        <v>0</v>
      </c>
      <c r="CJ646" s="61"/>
      <c r="CK646" s="405">
        <v>0</v>
      </c>
      <c r="CL646" s="61"/>
      <c r="CM646" s="405">
        <v>0</v>
      </c>
      <c r="CN646" s="61"/>
      <c r="CO646" s="405">
        <v>0</v>
      </c>
      <c r="CP646" s="61"/>
      <c r="CQ646" s="405">
        <v>0</v>
      </c>
      <c r="CR646" s="61"/>
      <c r="CS646" s="405">
        <v>0</v>
      </c>
      <c r="CT646" s="61"/>
      <c r="CU646" s="405">
        <v>0</v>
      </c>
      <c r="CV646" s="61"/>
      <c r="CW646" s="405">
        <v>0</v>
      </c>
      <c r="CX646" s="61"/>
      <c r="CY646" s="405">
        <v>0</v>
      </c>
      <c r="CZ646" s="61"/>
      <c r="DA646" s="405">
        <v>0</v>
      </c>
      <c r="DB646" s="61"/>
      <c r="DC646" s="405">
        <v>0</v>
      </c>
      <c r="DD646" s="61"/>
      <c r="DE646" s="405">
        <v>0</v>
      </c>
      <c r="DF646" s="61"/>
      <c r="DG646" s="405">
        <v>0</v>
      </c>
      <c r="DH646" s="61"/>
      <c r="DI646" s="405">
        <v>0</v>
      </c>
      <c r="DJ646" s="61"/>
      <c r="DK646" s="405">
        <v>0</v>
      </c>
      <c r="DL646" s="61"/>
      <c r="DM646" s="405">
        <v>0</v>
      </c>
      <c r="DN646" s="130" t="str">
        <f t="shared" si="3754"/>
        <v>NA</v>
      </c>
      <c r="DO646" s="405">
        <v>0</v>
      </c>
      <c r="DP646" s="130" t="str">
        <f t="shared" si="3754"/>
        <v>NA</v>
      </c>
      <c r="DQ646" s="405">
        <v>0</v>
      </c>
      <c r="DR646" s="61" t="str">
        <f t="shared" si="3755"/>
        <v>NA</v>
      </c>
      <c r="DS646" s="405">
        <v>0</v>
      </c>
      <c r="DT646" s="130" t="str">
        <f t="shared" si="3754"/>
        <v>NA</v>
      </c>
      <c r="DU646" s="405">
        <v>0</v>
      </c>
      <c r="DV646" s="130" t="str">
        <f t="shared" si="3754"/>
        <v>NA</v>
      </c>
      <c r="DW646" s="405">
        <v>0</v>
      </c>
      <c r="DX646" s="405">
        <v>0</v>
      </c>
      <c r="DY646" s="405">
        <v>0</v>
      </c>
      <c r="DZ646" s="130" t="str">
        <f t="shared" si="3754"/>
        <v>NA</v>
      </c>
      <c r="EA646" s="405">
        <v>0</v>
      </c>
      <c r="EB646" s="130" t="str">
        <f t="shared" si="3756"/>
        <v>NA</v>
      </c>
      <c r="EC646" s="405">
        <v>0</v>
      </c>
      <c r="ED646" s="130" t="str">
        <f t="shared" si="3757"/>
        <v>NA</v>
      </c>
      <c r="EE646" s="405">
        <v>0</v>
      </c>
      <c r="EF646" s="130" t="str">
        <f t="shared" si="3758"/>
        <v>NA</v>
      </c>
      <c r="EG646" s="405">
        <v>0</v>
      </c>
      <c r="EH646" s="130" t="str">
        <f t="shared" si="3759"/>
        <v>NA</v>
      </c>
      <c r="EI646" s="405">
        <v>0</v>
      </c>
      <c r="EJ646" s="130" t="str">
        <f t="shared" si="3760"/>
        <v>NA</v>
      </c>
      <c r="EK646" s="405">
        <v>0</v>
      </c>
      <c r="EL646" s="130" t="str">
        <f t="shared" si="3761"/>
        <v>NA</v>
      </c>
      <c r="EM646" s="405">
        <v>0</v>
      </c>
      <c r="EN646" s="130" t="str">
        <f t="shared" si="3762"/>
        <v>NA</v>
      </c>
      <c r="EO646" s="405">
        <v>0</v>
      </c>
      <c r="EP646" s="130" t="str">
        <f t="shared" si="3763"/>
        <v>NA</v>
      </c>
      <c r="EQ646" s="405">
        <v>0</v>
      </c>
      <c r="ER646" s="130" t="str">
        <f t="shared" si="3765"/>
        <v>NA</v>
      </c>
      <c r="ES646" s="405">
        <v>0</v>
      </c>
      <c r="ET646" s="130" t="str">
        <f t="shared" si="3767"/>
        <v>NA</v>
      </c>
      <c r="EU646" s="405">
        <v>0</v>
      </c>
      <c r="EV646" s="130" t="str">
        <f t="shared" si="3769"/>
        <v>NA</v>
      </c>
      <c r="EW646" s="405">
        <v>0</v>
      </c>
      <c r="EX646" s="130" t="str">
        <f t="shared" si="3771"/>
        <v>NA</v>
      </c>
      <c r="EY646" s="356"/>
      <c r="EZ646" s="558"/>
      <c r="FA646" s="356"/>
      <c r="FB646" s="405"/>
      <c r="FC646" s="71"/>
      <c r="FD646" s="405"/>
      <c r="FE646" s="70"/>
      <c r="FF646" s="406"/>
      <c r="FG646" s="70"/>
      <c r="FH646" s="406"/>
      <c r="FI646" s="70"/>
      <c r="FJ646" s="406"/>
      <c r="FK646" s="70"/>
      <c r="FL646" s="406"/>
      <c r="FM646" s="61"/>
      <c r="FN646" s="406"/>
      <c r="FO646" s="61"/>
      <c r="FP646" s="407"/>
      <c r="FQ646" s="61"/>
      <c r="FR646" s="407"/>
      <c r="FS646" s="61"/>
      <c r="FT646" s="407"/>
      <c r="FU646" s="61"/>
      <c r="FV646" s="407"/>
      <c r="FW646" s="61"/>
      <c r="FX646" s="75">
        <f>CC646</f>
        <v>806.3</v>
      </c>
      <c r="FY646" s="13"/>
      <c r="FZ646" s="75">
        <f>CK646</f>
        <v>0</v>
      </c>
      <c r="GA646" s="13"/>
      <c r="GB646" s="75">
        <f>CS646</f>
        <v>0</v>
      </c>
      <c r="GC646" s="13"/>
      <c r="GD646" s="75">
        <f>DA646</f>
        <v>0</v>
      </c>
      <c r="GE646" s="13"/>
      <c r="GF646" s="75">
        <f>DI646</f>
        <v>0</v>
      </c>
      <c r="GG646" s="61" t="str">
        <f t="shared" si="3775"/>
        <v>NA</v>
      </c>
      <c r="GH646" s="75">
        <f>DQ646</f>
        <v>0</v>
      </c>
      <c r="GI646" s="61" t="str">
        <f t="shared" si="3776"/>
        <v>NA</v>
      </c>
      <c r="GJ646" s="75">
        <f>DY646</f>
        <v>0</v>
      </c>
      <c r="GK646" s="61" t="str">
        <f t="shared" si="3777"/>
        <v>NA</v>
      </c>
      <c r="GL646" s="75">
        <f>EG646</f>
        <v>0</v>
      </c>
      <c r="GM646" s="61" t="str">
        <f t="shared" si="3777"/>
        <v>NA</v>
      </c>
      <c r="GN646" s="75">
        <f>EO646</f>
        <v>0</v>
      </c>
      <c r="GO646" s="61" t="str">
        <f t="shared" si="3777"/>
        <v>NA</v>
      </c>
      <c r="GP646" s="75">
        <f>EW646</f>
        <v>0</v>
      </c>
      <c r="GQ646" s="61" t="str">
        <f t="shared" si="3777"/>
        <v>NA</v>
      </c>
      <c r="GR646" s="405">
        <v>0</v>
      </c>
      <c r="GS646" s="61" t="str">
        <f t="shared" si="3777"/>
        <v>NA</v>
      </c>
      <c r="GT646" s="405">
        <v>0</v>
      </c>
      <c r="GU646" s="61" t="str">
        <f t="shared" si="3777"/>
        <v>NA</v>
      </c>
      <c r="GV646" s="405">
        <v>0</v>
      </c>
      <c r="GW646" s="61" t="str">
        <f t="shared" si="3777"/>
        <v>NA</v>
      </c>
      <c r="GX646" s="405">
        <v>0</v>
      </c>
      <c r="GY646" s="61" t="str">
        <f t="shared" si="3778"/>
        <v>NA</v>
      </c>
      <c r="GZ646" s="61" t="str">
        <f t="shared" si="3732"/>
        <v/>
      </c>
      <c r="HA646" s="61"/>
      <c r="HB646" s="452"/>
      <c r="HC646"/>
      <c r="HD646"/>
      <c r="HE646"/>
      <c r="HF646"/>
      <c r="HG646"/>
      <c r="HH646"/>
    </row>
    <row r="647" spans="1:216" s="5" customFormat="1" ht="12.75" customHeight="1" x14ac:dyDescent="0.2">
      <c r="A647" s="7" t="s">
        <v>400</v>
      </c>
      <c r="B647" s="7" t="s">
        <v>432</v>
      </c>
      <c r="C647" s="405">
        <v>0</v>
      </c>
      <c r="D647" s="70"/>
      <c r="E647" s="405">
        <v>0</v>
      </c>
      <c r="F647" s="71"/>
      <c r="G647" s="405">
        <v>0</v>
      </c>
      <c r="H647" s="71"/>
      <c r="I647" s="405">
        <v>0</v>
      </c>
      <c r="J647" s="71"/>
      <c r="K647" s="405">
        <v>0</v>
      </c>
      <c r="L647" s="61" t="str">
        <f t="shared" si="3733"/>
        <v>NA</v>
      </c>
      <c r="M647" s="405">
        <v>0</v>
      </c>
      <c r="N647" s="61" t="str">
        <f t="shared" si="3734"/>
        <v>NA</v>
      </c>
      <c r="O647" s="405">
        <v>0</v>
      </c>
      <c r="P647" s="61" t="str">
        <f t="shared" si="3735"/>
        <v>NA</v>
      </c>
      <c r="Q647" s="405">
        <v>474.65600000000001</v>
      </c>
      <c r="R647" s="61" t="str">
        <f t="shared" si="3736"/>
        <v>NA</v>
      </c>
      <c r="S647" s="405">
        <v>0</v>
      </c>
      <c r="T647" s="61" t="str">
        <f t="shared" si="3737"/>
        <v>NA</v>
      </c>
      <c r="U647" s="405">
        <v>380.02300000000002</v>
      </c>
      <c r="V647" s="61" t="str">
        <f t="shared" si="3738"/>
        <v>NA</v>
      </c>
      <c r="W647" s="405">
        <v>390.58800000000002</v>
      </c>
      <c r="X647" s="61" t="str">
        <f t="shared" si="3739"/>
        <v>NA</v>
      </c>
      <c r="Y647" s="405">
        <v>392.65800000000002</v>
      </c>
      <c r="Z647" s="61">
        <f t="shared" si="3740"/>
        <v>-17.275247758376587</v>
      </c>
      <c r="AA647" s="405">
        <v>390.79700000000003</v>
      </c>
      <c r="AB647" s="61" t="str">
        <f t="shared" si="3741"/>
        <v>NA</v>
      </c>
      <c r="AC647" s="405">
        <v>397.15</v>
      </c>
      <c r="AD647" s="61">
        <f t="shared" si="3742"/>
        <v>4.5068324811919247</v>
      </c>
      <c r="AE647" s="405">
        <v>333.6</v>
      </c>
      <c r="AF647" s="61">
        <f t="shared" si="3743"/>
        <v>-14.590309994162642</v>
      </c>
      <c r="AG647" s="405">
        <v>341.3</v>
      </c>
      <c r="AH647" s="61">
        <f t="shared" si="3744"/>
        <v>-13.079575610327565</v>
      </c>
      <c r="AI647" s="405">
        <v>344.7</v>
      </c>
      <c r="AJ647" s="61">
        <f t="shared" si="3745"/>
        <v>-11.795638144612175</v>
      </c>
      <c r="AK647" s="405">
        <v>337.6</v>
      </c>
      <c r="AL647" s="61">
        <f t="shared" si="3746"/>
        <v>-14.994334634269158</v>
      </c>
      <c r="AM647" s="405">
        <v>341.1</v>
      </c>
      <c r="AN647" s="61">
        <f t="shared" si="3747"/>
        <v>2.248201438848918</v>
      </c>
      <c r="AO647" s="405">
        <v>339.8</v>
      </c>
      <c r="AP647" s="61">
        <f t="shared" si="3748"/>
        <v>-0.43949604453560331</v>
      </c>
      <c r="AQ647" s="405">
        <v>336.6</v>
      </c>
      <c r="AR647" s="61">
        <f t="shared" si="3749"/>
        <v>-2.3498694516971175</v>
      </c>
      <c r="AS647" s="405">
        <v>338.7</v>
      </c>
      <c r="AT647" s="61">
        <f t="shared" si="3750"/>
        <v>0.32582938388625582</v>
      </c>
      <c r="AU647" s="405">
        <v>335.9</v>
      </c>
      <c r="AV647" s="61">
        <f t="shared" si="3751"/>
        <v>-1.5244796247434911</v>
      </c>
      <c r="AW647" s="405">
        <v>334</v>
      </c>
      <c r="AX647" s="61">
        <f t="shared" si="3752"/>
        <v>-1.7068864037669274</v>
      </c>
      <c r="AY647" s="405">
        <v>332.3</v>
      </c>
      <c r="AZ647" s="61">
        <f t="shared" si="3753"/>
        <v>-1.2774806892454027</v>
      </c>
      <c r="BA647" s="405">
        <v>330.5</v>
      </c>
      <c r="BB647" s="61">
        <f t="shared" si="3344"/>
        <v>-2.4210215529967494</v>
      </c>
      <c r="BC647" s="405">
        <v>332.5</v>
      </c>
      <c r="BD647" s="61">
        <f t="shared" si="3345"/>
        <v>-1.0122060136945499</v>
      </c>
      <c r="BE647" s="405">
        <v>154.6</v>
      </c>
      <c r="BF647" s="61" t="str">
        <f t="shared" si="3346"/>
        <v>NM</v>
      </c>
      <c r="BG647" s="405">
        <v>154.6</v>
      </c>
      <c r="BH647" s="61" t="str">
        <f>IF(ISERROR((BG647/AY647-1)*100),"NA",IF(((BG647/AY647-1)*100)&gt;100,"NM",IF(((BG647/AY647-1)*100)&lt;-50,"NM",(BG647/AY647-1)*100)))</f>
        <v>NM</v>
      </c>
      <c r="BI647" s="405">
        <v>154.6</v>
      </c>
      <c r="BJ647" s="61" t="str">
        <f>IF(ISERROR((BI647/BA647-1)*100),"NA",IF(((BI647/BA647-1)*100)&gt;100,"NM",IF(((BI647/BA647-1)*100)&lt;-50,"NM",(BI647/BA647-1)*100)))</f>
        <v>NM</v>
      </c>
      <c r="BK647" s="405">
        <v>154.6</v>
      </c>
      <c r="BL647" s="61" t="str">
        <f>IF(ISERROR((BK647/BC647-1)*100),"NA",IF(((BK647/BC647-1)*100)&gt;100,"NM",IF(((BK647/BC647-1)*100)&lt;-50,"NM",(BK647/BC647-1)*100)))</f>
        <v>NM</v>
      </c>
      <c r="BM647" s="405">
        <v>154.6</v>
      </c>
      <c r="BN647" s="61">
        <f>IF(ISERROR((BM647/BE647-1)*100),"NA",IF(((BM647/BE647-1)*100)&gt;100,"NM",IF(((BM647/BE647-1)*100)&lt;-50,"NM",(BM647/BE647-1)*100)))</f>
        <v>0</v>
      </c>
      <c r="BO647" s="405">
        <v>154.6</v>
      </c>
      <c r="BP647" s="61">
        <f>IF(ISERROR((BO647/BG647-1)*100),"NA",IF(((BO647/BG647-1)*100)&gt;100,"NM",IF(((BO647/BG647-1)*100)&lt;-50,"NM",(BO647/BG647-1)*100)))</f>
        <v>0</v>
      </c>
      <c r="BQ647" s="405">
        <v>154.6</v>
      </c>
      <c r="BR647" s="61">
        <f>IF(ISERROR((BQ647/BI647-1)*100),"NA",IF(((BQ647/BI647-1)*100)&gt;100,"NM",IF(((BQ647/BI647-1)*100)&lt;-50,"NM",(BQ647/BI647-1)*100)))</f>
        <v>0</v>
      </c>
      <c r="BS647" s="405">
        <v>154.6</v>
      </c>
      <c r="BT647" s="61">
        <f>IF(ISERROR((BS647/BK647-1)*100),"NA",IF(((BS647/BK647-1)*100)&gt;100,"NM",IF(((BS647/BK647-1)*100)&lt;-50,"NM",(BS647/BK647-1)*100)))</f>
        <v>0</v>
      </c>
      <c r="BU647" s="405"/>
      <c r="BV647" s="61" t="str">
        <f>IF(ISERROR((BU647/BM647-1)*100),"NA",IF(((BU647/BM647-1)*100)&gt;100,"NM",IF(((BU647/BM647-1)*100)&lt;-50,"NM",(BU647/BM647-1)*100)))</f>
        <v>NM</v>
      </c>
      <c r="BW647" s="405"/>
      <c r="BX647" s="61" t="str">
        <f>IF(ISERROR((BW647/BO647-1)*100),"NA",IF(((BW647/BO647-1)*100)&gt;100,"NM",IF(((BW647/BO647-1)*100)&lt;-50,"NM",(BW647/BO647-1)*100)))</f>
        <v>NM</v>
      </c>
      <c r="BY647" s="405"/>
      <c r="BZ647" s="61" t="str">
        <f>IF(ISERROR((BY647/BQ647-1)*100),"NA",IF(((BY647/BQ647-1)*100)&gt;100,"NM",IF(((BY647/BQ647-1)*100)&lt;-50,"NM",(BY647/BQ647-1)*100)))</f>
        <v>NM</v>
      </c>
      <c r="CA647" s="407">
        <v>0</v>
      </c>
      <c r="CB647" s="61" t="str">
        <f>IF(ISERROR((CA647/BS647-1)*100),"NA",IF(((CA647/BS647-1)*100)&gt;100,"NM",IF(((CA647/BS647-1)*100)&lt;-50,"NM",(CA647/BS647-1)*100)))</f>
        <v>NM</v>
      </c>
      <c r="CC647" s="407">
        <v>0</v>
      </c>
      <c r="CD647" s="61" t="str">
        <f>IF(ISERROR((CC647/BU647-1)*100),"NA",IF(((CC647/BU647-1)*100)&gt;100,"NM",IF(((CC647/BU647-1)*100)&lt;-50,"NM",(CC647/BU647-1)*100)))</f>
        <v>NA</v>
      </c>
      <c r="CE647" s="407">
        <v>0</v>
      </c>
      <c r="CF647" s="61" t="str">
        <f>IF(ISERROR((CE647/BW647-1)*100),"NA",IF(((CE647/BW647-1)*100)&gt;100,"NM",IF(((CE647/BW647-1)*100)&lt;-50,"NM",(CE647/BW647-1)*100)))</f>
        <v>NA</v>
      </c>
      <c r="CG647" s="407">
        <v>0</v>
      </c>
      <c r="CH647" s="61" t="str">
        <f>IF(ISERROR((CG647/BY647-1)*100),"NA",IF(((CG647/BY647-1)*100)&gt;100,"NM",IF(((CG647/BY647-1)*100)&lt;-50,"NM",(CG647/BY647-1)*100)))</f>
        <v>NA</v>
      </c>
      <c r="CI647" s="407">
        <v>0</v>
      </c>
      <c r="CJ647" s="61" t="str">
        <f>IF(ISERROR((CI647/CA647-1)*100),"NA",IF(((CI647/CA647-1)*100)&gt;100,"NM",IF(((CI647/CA647-1)*100)&lt;-50,"NM",(CI647/CA647-1)*100)))</f>
        <v>NA</v>
      </c>
      <c r="CK647" s="407">
        <v>0</v>
      </c>
      <c r="CL647" s="61" t="str">
        <f>IF(ISERROR((CK647/CC647-1)*100),"NA",IF(((CK647/CC647-1)*100)&gt;100,"NM",IF(((CK647/CC647-1)*100)&lt;-50,"NM",(CK647/CC647-1)*100)))</f>
        <v>NA</v>
      </c>
      <c r="CM647" s="407">
        <v>0</v>
      </c>
      <c r="CN647" s="61" t="str">
        <f>IF(ISERROR((CM647/CE647-1)*100),"NA",IF(((CM647/CE647-1)*100)&gt;100,"NM",IF(((CM647/CE647-1)*100)&lt;-50,"NM",(CM647/CE647-1)*100)))</f>
        <v>NA</v>
      </c>
      <c r="CO647" s="407">
        <v>0</v>
      </c>
      <c r="CP647" s="61" t="str">
        <f>IF(ISERROR((CO647/CG647-1)*100),"NA",IF(((CO647/CG647-1)*100)&gt;100,"NM",IF(((CO647/CG647-1)*100)&lt;-50,"NM",(CO647/CG647-1)*100)))</f>
        <v>NA</v>
      </c>
      <c r="CQ647" s="407">
        <v>0</v>
      </c>
      <c r="CR647" s="61" t="str">
        <f>IF(ISERROR((CQ647/CI647-1)*100),"NA",IF(((CQ647/CI647-1)*100)&gt;100,"NM",IF(((CQ647/CI647-1)*100)&lt;-50,"NM",(CQ647/CI647-1)*100)))</f>
        <v>NA</v>
      </c>
      <c r="CS647" s="407">
        <v>0</v>
      </c>
      <c r="CT647" s="61" t="str">
        <f>IF(ISERROR((CS647/CK647-1)*100),"NA",IF(((CS647/CK647-1)*100)&gt;100,"NM",IF(((CS647/CK647-1)*100)&lt;-50,"NM",(CS647/CK647-1)*100)))</f>
        <v>NA</v>
      </c>
      <c r="CU647" s="407">
        <v>0</v>
      </c>
      <c r="CV647" s="61" t="str">
        <f>IF(ISERROR((CU647/CM647-1)*100),"NA",IF(((CU647/CM647-1)*100)&gt;100,"NM",IF(((CU647/CM647-1)*100)&lt;-50,"NM",(CU647/CM647-1)*100)))</f>
        <v>NA</v>
      </c>
      <c r="CW647" s="407">
        <v>0</v>
      </c>
      <c r="CX647" s="61" t="str">
        <f>IF(ISERROR((CW647/CO647-1)*100),"NA",IF(((CW647/CO647-1)*100)&gt;100,"NM",IF(((CW647/CO647-1)*100)&lt;-50,"NM",(CW647/CO647-1)*100)))</f>
        <v>NA</v>
      </c>
      <c r="CY647" s="407">
        <v>0</v>
      </c>
      <c r="CZ647" s="61" t="str">
        <f>IF(ISERROR((CY647/CQ647-1)*100),"NA",IF(((CY647/CQ647-1)*100)&gt;100,"NM",IF(((CY647/CQ647-1)*100)&lt;-50,"NM",(CY647/CQ647-1)*100)))</f>
        <v>NA</v>
      </c>
      <c r="DA647" s="407">
        <v>0</v>
      </c>
      <c r="DB647" s="61" t="str">
        <f>IF(ISERROR((DA647/CS647-1)*100),"NA",IF(((DA647/CS647-1)*100)&gt;100,"NM",IF(((DA647/CS647-1)*100)&lt;-50,"NM",(DA647/CS647-1)*100)))</f>
        <v>NA</v>
      </c>
      <c r="DC647" s="407">
        <v>0</v>
      </c>
      <c r="DD647" s="61" t="str">
        <f>IF(ISERROR((DC647/CU647-1)*100),"NA",IF(((DC647/CU647-1)*100)&gt;100,"NM",IF(((DC647/CU647-1)*100)&lt;-50,"NM",(DC647/CU647-1)*100)))</f>
        <v>NA</v>
      </c>
      <c r="DE647" s="407">
        <v>0</v>
      </c>
      <c r="DF647" s="61" t="str">
        <f>IF(ISERROR((DE647/CW647-1)*100),"NA",IF(((DE647/CW647-1)*100)&gt;100,"NM",IF(((DE647/CW647-1)*100)&lt;-50,"NM",(DE647/CW647-1)*100)))</f>
        <v>NA</v>
      </c>
      <c r="DG647" s="407">
        <v>0</v>
      </c>
      <c r="DH647" s="61" t="str">
        <f>IF(ISERROR((DG647/CY647-1)*100),"NA",IF(((DG647/CY647-1)*100)&gt;100,"NM",IF(((DG647/CY647-1)*100)&lt;-50,"NM",(DG647/CY647-1)*100)))</f>
        <v>NA</v>
      </c>
      <c r="DI647" s="407">
        <v>0</v>
      </c>
      <c r="DJ647" s="61" t="str">
        <f>IF(ISERROR((DI647/DA647-1)*100),"NA",IF(((DI647/DA647-1)*100)&gt;100,"NM",IF(((DI647/DA647-1)*100)&lt;-50,"NM",(DI647/DA647-1)*100)))</f>
        <v>NA</v>
      </c>
      <c r="DK647" s="407">
        <v>0</v>
      </c>
      <c r="DL647" s="61" t="str">
        <f>IF(ISERROR((DK647/DC647-1)*100),"NA",IF(((DK647/DC647-1)*100)&gt;100,"NM",IF(((DK647/DC647-1)*100)&lt;-50,"NM",(DK647/DC647-1)*100)))</f>
        <v>NA</v>
      </c>
      <c r="DM647" s="407">
        <v>0</v>
      </c>
      <c r="DN647" s="130" t="str">
        <f t="shared" si="3754"/>
        <v>NA</v>
      </c>
      <c r="DO647" s="407">
        <v>0</v>
      </c>
      <c r="DP647" s="130" t="str">
        <f t="shared" si="3754"/>
        <v>NA</v>
      </c>
      <c r="DQ647" s="407">
        <v>0</v>
      </c>
      <c r="DR647" s="61" t="str">
        <f t="shared" si="3755"/>
        <v>NA</v>
      </c>
      <c r="DS647" s="407">
        <v>0</v>
      </c>
      <c r="DT647" s="130" t="str">
        <f t="shared" si="3754"/>
        <v>NA</v>
      </c>
      <c r="DU647" s="407">
        <v>0</v>
      </c>
      <c r="DV647" s="130" t="str">
        <f t="shared" si="3754"/>
        <v>NA</v>
      </c>
      <c r="DW647" s="407">
        <v>0</v>
      </c>
      <c r="DX647" s="407">
        <v>0</v>
      </c>
      <c r="DY647" s="407">
        <v>0</v>
      </c>
      <c r="DZ647" s="130" t="str">
        <f t="shared" si="3754"/>
        <v>NA</v>
      </c>
      <c r="EA647" s="407">
        <v>0</v>
      </c>
      <c r="EB647" s="130" t="str">
        <f t="shared" si="3756"/>
        <v>NA</v>
      </c>
      <c r="EC647" s="407">
        <v>0</v>
      </c>
      <c r="ED647" s="130" t="str">
        <f t="shared" si="3757"/>
        <v>NA</v>
      </c>
      <c r="EE647" s="407">
        <v>0</v>
      </c>
      <c r="EF647" s="130" t="str">
        <f t="shared" si="3758"/>
        <v>NA</v>
      </c>
      <c r="EG647" s="407">
        <v>0</v>
      </c>
      <c r="EH647" s="130" t="str">
        <f t="shared" si="3759"/>
        <v>NA</v>
      </c>
      <c r="EI647" s="407">
        <v>0</v>
      </c>
      <c r="EJ647" s="130" t="str">
        <f t="shared" si="3760"/>
        <v>NA</v>
      </c>
      <c r="EK647" s="407">
        <v>0</v>
      </c>
      <c r="EL647" s="130" t="str">
        <f t="shared" si="3761"/>
        <v>NA</v>
      </c>
      <c r="EM647" s="407">
        <v>0</v>
      </c>
      <c r="EN647" s="130" t="str">
        <f t="shared" si="3762"/>
        <v>NA</v>
      </c>
      <c r="EO647" s="407">
        <v>0</v>
      </c>
      <c r="EP647" s="130" t="str">
        <f t="shared" si="3763"/>
        <v>NA</v>
      </c>
      <c r="EQ647" s="405">
        <v>0</v>
      </c>
      <c r="ER647" s="130" t="str">
        <f t="shared" si="3765"/>
        <v>NA</v>
      </c>
      <c r="ES647" s="405">
        <v>0</v>
      </c>
      <c r="ET647" s="130" t="str">
        <f t="shared" si="3767"/>
        <v>NA</v>
      </c>
      <c r="EU647" s="405">
        <v>0</v>
      </c>
      <c r="EV647" s="130" t="str">
        <f t="shared" si="3769"/>
        <v>NA</v>
      </c>
      <c r="EW647" s="405">
        <v>0</v>
      </c>
      <c r="EX647" s="130" t="str">
        <f t="shared" si="3771"/>
        <v>NA</v>
      </c>
      <c r="EY647" s="356"/>
      <c r="EZ647" s="558"/>
      <c r="FA647" s="356"/>
      <c r="FB647" s="405">
        <v>0</v>
      </c>
      <c r="FC647" s="71"/>
      <c r="FD647" s="405">
        <v>0</v>
      </c>
      <c r="FE647" s="70" t="str">
        <f t="shared" si="3772"/>
        <v>NA</v>
      </c>
      <c r="FF647" s="406">
        <f>I647</f>
        <v>0</v>
      </c>
      <c r="FG647" s="70" t="str">
        <f t="shared" si="3772"/>
        <v>NA</v>
      </c>
      <c r="FH647" s="406">
        <f>Q647</f>
        <v>474.65600000000001</v>
      </c>
      <c r="FI647" s="70" t="str">
        <f t="shared" si="3772"/>
        <v>NA</v>
      </c>
      <c r="FJ647" s="406">
        <f>Y647</f>
        <v>392.65800000000002</v>
      </c>
      <c r="FK647" s="70">
        <f t="shared" si="3772"/>
        <v>-17.275247758376587</v>
      </c>
      <c r="FL647" s="406">
        <f>AG647</f>
        <v>341.3</v>
      </c>
      <c r="FM647" s="61">
        <f t="shared" si="3773"/>
        <v>-13.079575610327565</v>
      </c>
      <c r="FN647" s="406">
        <f>+AO647</f>
        <v>339.8</v>
      </c>
      <c r="FO647" s="61">
        <f t="shared" si="3774"/>
        <v>-0.43949604453560331</v>
      </c>
      <c r="FP647" s="407">
        <f>+AW647</f>
        <v>334</v>
      </c>
      <c r="FQ647" s="61">
        <f t="shared" si="3354"/>
        <v>-29.633250185397429</v>
      </c>
      <c r="FR647" s="407">
        <f>BE647</f>
        <v>154.6</v>
      </c>
      <c r="FS647" s="61" t="str">
        <f>IF(ISERROR((FR647/FP647-1)*100),"NA",IF(((FR647/FP647-1)*100)&gt;100,"NM",IF(((FR647/FP647-1)*100)&lt;-50,"NM",(FR647/FP647-1)*100)))</f>
        <v>NM</v>
      </c>
      <c r="FT647" s="407">
        <f>BM647</f>
        <v>154.6</v>
      </c>
      <c r="FU647" s="61">
        <f>IF(ISERROR((FT647/FR647-1)*100),"NA",IF(((FT647/FR647-1)*100)&gt;100,"NM",IF(((FT647/FR647-1)*100)&lt;-50,"NM",(FT647/FR647-1)*100)))</f>
        <v>0</v>
      </c>
      <c r="FV647" s="407">
        <f>BU647</f>
        <v>0</v>
      </c>
      <c r="FW647" s="61" t="str">
        <f>IF(ISERROR((FV647/FT647-1)*100),"NA",IF(((FV647/FT647-1)*100)&gt;100,"NM",IF(((FV647/FT647-1)*100)&lt;-50,"NM",(FV647/FT647-1)*100)))</f>
        <v>NM</v>
      </c>
      <c r="FX647" s="75">
        <f>CC647</f>
        <v>0</v>
      </c>
      <c r="FY647" s="61" t="str">
        <f>IF(ISERROR((FX647/FV647-1)*100),"NA",IF(((FX647/FV647-1)*100)&gt;100,"NM",IF(((FX647/FV647-1)*100)&lt;-50,"NM",(FX647/FV647-1)*100)))</f>
        <v>NA</v>
      </c>
      <c r="FZ647" s="75">
        <f>CK647</f>
        <v>0</v>
      </c>
      <c r="GA647" s="61" t="str">
        <f>IF(ISERROR((FZ647/FX647-1)*100),"NA",IF(((FZ647/FX647-1)*100)&gt;100,"NM",IF(((FZ647/FX647-1)*100)&lt;-50,"NM",(FZ647/FX647-1)*100)))</f>
        <v>NA</v>
      </c>
      <c r="GB647" s="75">
        <f>CS647</f>
        <v>0</v>
      </c>
      <c r="GC647" s="61" t="str">
        <f>IF(ISERROR((GB647/FZ647-1)*100),"NA",IF(((GB647/FZ647-1)*100)&gt;100,"NM",IF(((GB647/FZ647-1)*100)&lt;-50,"NM",(GB647/FZ647-1)*100)))</f>
        <v>NA</v>
      </c>
      <c r="GD647" s="75">
        <f>DA647</f>
        <v>0</v>
      </c>
      <c r="GE647" s="61" t="str">
        <f>IF(ISERROR((GD647/GB647-1)*100),"NA",IF(((GD647/GB647-1)*100)&gt;100,"NM",IF(((GD647/GB647-1)*100)&lt;-50,"NM",(GD647/GB647-1)*100)))</f>
        <v>NA</v>
      </c>
      <c r="GF647" s="75">
        <f>DI647</f>
        <v>0</v>
      </c>
      <c r="GG647" s="61" t="str">
        <f t="shared" si="3775"/>
        <v>NA</v>
      </c>
      <c r="GH647" s="75">
        <f>DQ647</f>
        <v>0</v>
      </c>
      <c r="GI647" s="61" t="str">
        <f t="shared" si="3776"/>
        <v>NA</v>
      </c>
      <c r="GJ647" s="75">
        <f>DY647</f>
        <v>0</v>
      </c>
      <c r="GK647" s="61" t="str">
        <f t="shared" si="3777"/>
        <v>NA</v>
      </c>
      <c r="GL647" s="75">
        <f>EG647</f>
        <v>0</v>
      </c>
      <c r="GM647" s="61" t="str">
        <f t="shared" si="3777"/>
        <v>NA</v>
      </c>
      <c r="GN647" s="75">
        <f>EO647</f>
        <v>0</v>
      </c>
      <c r="GO647" s="61" t="str">
        <f t="shared" si="3777"/>
        <v>NA</v>
      </c>
      <c r="GP647" s="75">
        <f>EW647</f>
        <v>0</v>
      </c>
      <c r="GQ647" s="61" t="str">
        <f t="shared" si="3777"/>
        <v>NA</v>
      </c>
      <c r="GR647" s="405">
        <f>+GP647</f>
        <v>0</v>
      </c>
      <c r="GS647" s="61" t="str">
        <f t="shared" si="3777"/>
        <v>NA</v>
      </c>
      <c r="GT647" s="405">
        <f>+GR647</f>
        <v>0</v>
      </c>
      <c r="GU647" s="61" t="str">
        <f t="shared" si="3777"/>
        <v>NA</v>
      </c>
      <c r="GV647" s="405">
        <f>+GT647</f>
        <v>0</v>
      </c>
      <c r="GW647" s="61" t="str">
        <f t="shared" si="3777"/>
        <v>NA</v>
      </c>
      <c r="GX647" s="405">
        <f>+GV647</f>
        <v>0</v>
      </c>
      <c r="GY647" s="61" t="str">
        <f t="shared" si="3778"/>
        <v>NA</v>
      </c>
      <c r="GZ647" s="61" t="str">
        <f t="shared" si="3732"/>
        <v/>
      </c>
      <c r="HA647" s="61"/>
      <c r="HB647" s="452"/>
      <c r="HC647"/>
      <c r="HD647"/>
      <c r="HE647"/>
      <c r="HF647"/>
      <c r="HG647"/>
      <c r="HH647"/>
    </row>
    <row r="648" spans="1:216" s="5" customFormat="1" ht="12.75" customHeight="1" x14ac:dyDescent="0.2">
      <c r="A648" s="11"/>
      <c r="B648" s="7" t="s">
        <v>650</v>
      </c>
      <c r="C648" s="378">
        <f>SUM(C643:C644)</f>
        <v>1186.2</v>
      </c>
      <c r="D648" s="70"/>
      <c r="E648" s="378">
        <f>SUM(E643:E644)+E647</f>
        <v>1067.8</v>
      </c>
      <c r="F648" s="71"/>
      <c r="G648" s="378">
        <f>SUM(G643:G644)+G647</f>
        <v>1042.5</v>
      </c>
      <c r="H648" s="71"/>
      <c r="I648" s="378">
        <f>SUM(I643:I644)+I647</f>
        <v>1025.0999999999999</v>
      </c>
      <c r="J648" s="61"/>
      <c r="K648" s="378">
        <f>SUM(K643:K644)+K647</f>
        <v>1127.5999999999999</v>
      </c>
      <c r="L648" s="61">
        <f t="shared" si="3733"/>
        <v>-4.9401450008430441</v>
      </c>
      <c r="M648" s="378">
        <f>SUM(M643:M644)+M647</f>
        <v>1063.7</v>
      </c>
      <c r="N648" s="61">
        <f t="shared" si="3734"/>
        <v>-0.38396703502527885</v>
      </c>
      <c r="O648" s="378">
        <f>SUM(O643:O644)+O647</f>
        <v>1251.4000000000001</v>
      </c>
      <c r="P648" s="61">
        <f t="shared" si="3735"/>
        <v>20.038369304556358</v>
      </c>
      <c r="Q648" s="378">
        <f>SUM(Q643:Q644)+Q647</f>
        <v>1686.6559999999999</v>
      </c>
      <c r="R648" s="61">
        <f t="shared" si="3736"/>
        <v>64.535752609501529</v>
      </c>
      <c r="S648" s="378">
        <f>SUM(S643:S644)+S647</f>
        <v>1372</v>
      </c>
      <c r="T648" s="61">
        <f t="shared" si="3737"/>
        <v>21.674352607307569</v>
      </c>
      <c r="U648" s="378">
        <f>SUM(U643:U644)+U647</f>
        <v>1703.3229999999999</v>
      </c>
      <c r="V648" s="61">
        <f t="shared" si="3738"/>
        <v>60.131898091567159</v>
      </c>
      <c r="W648" s="378">
        <f>SUM(W643:W644)+W647</f>
        <v>1628.6879999999999</v>
      </c>
      <c r="X648" s="61">
        <f t="shared" si="3739"/>
        <v>30.149272814447791</v>
      </c>
      <c r="Y648" s="378">
        <f>SUM(Y643:Y644)+Y647</f>
        <v>1664.8580000000002</v>
      </c>
      <c r="Z648" s="61">
        <f t="shared" si="3740"/>
        <v>-1.2923797146543126</v>
      </c>
      <c r="AA648" s="378">
        <f>SUM(AA643:AA644)+AA647</f>
        <v>1634.7919999999999</v>
      </c>
      <c r="AB648" s="61">
        <f t="shared" si="3741"/>
        <v>19.153935860058311</v>
      </c>
      <c r="AC648" s="378">
        <f>SUM(AC643:AC644)+AC647</f>
        <v>1601.989</v>
      </c>
      <c r="AD648" s="61">
        <f t="shared" si="3742"/>
        <v>-5.9491946037245942</v>
      </c>
      <c r="AE648" s="378">
        <f>SUM(AE643:AE644)+AE647</f>
        <v>1543</v>
      </c>
      <c r="AF648" s="61">
        <f t="shared" si="3743"/>
        <v>-5.2611672708339441</v>
      </c>
      <c r="AG648" s="378">
        <f>SUM(AG643:AG644)+AG647</f>
        <v>1502.8</v>
      </c>
      <c r="AH648" s="61">
        <f t="shared" si="3744"/>
        <v>-9.7340433838801985</v>
      </c>
      <c r="AI648" s="378">
        <f>SUM(AI643:AI644)+AI647</f>
        <v>1700.4</v>
      </c>
      <c r="AJ648" s="61">
        <f t="shared" si="3745"/>
        <v>4.0132322644104157</v>
      </c>
      <c r="AK648" s="378">
        <f>SUM(AK643:AK644)+AK647</f>
        <v>1681.3000000000002</v>
      </c>
      <c r="AL648" s="61">
        <f t="shared" si="3746"/>
        <v>4.9507830578112699</v>
      </c>
      <c r="AM648" s="378">
        <f>SUM(AM643:AM644)+AM647</f>
        <v>1656.5</v>
      </c>
      <c r="AN648" s="61">
        <f t="shared" si="3747"/>
        <v>7.3558003888528845</v>
      </c>
      <c r="AO648" s="378">
        <f>SUM(AO643:AO644)+AO647</f>
        <v>1602.9</v>
      </c>
      <c r="AP648" s="61">
        <f t="shared" si="3748"/>
        <v>6.6608996539792464</v>
      </c>
      <c r="AQ648" s="378">
        <f>SUM(AQ643:AQ644)+AQ647</f>
        <v>1577.1999999999998</v>
      </c>
      <c r="AR648" s="61">
        <f t="shared" si="3749"/>
        <v>-7.2453540343448752</v>
      </c>
      <c r="AS648" s="378">
        <f>SUM(AS643:AS644)+AS647</f>
        <v>1561.8</v>
      </c>
      <c r="AT648" s="61">
        <f t="shared" si="3750"/>
        <v>-7.1075953131505498</v>
      </c>
      <c r="AU648" s="378">
        <f>SUM(AU643:AU644)+AU647</f>
        <v>1500.5</v>
      </c>
      <c r="AV648" s="61">
        <f t="shared" si="3751"/>
        <v>-9.4174464231814081</v>
      </c>
      <c r="AW648" s="378">
        <f>SUM(AW643:AW644)+AW647</f>
        <v>1452.9</v>
      </c>
      <c r="AX648" s="61">
        <f t="shared" si="3752"/>
        <v>-9.3580385551188421</v>
      </c>
      <c r="AY648" s="378">
        <f>SUM(AY643:AY644)+AY647</f>
        <v>1341.4</v>
      </c>
      <c r="AZ648" s="61">
        <f t="shared" si="3753"/>
        <v>-14.950545270098893</v>
      </c>
      <c r="BA648" s="378">
        <f>SUM(BA643:BA644)+BA647</f>
        <v>3220.6</v>
      </c>
      <c r="BB648" s="61" t="str">
        <f t="shared" si="3344"/>
        <v>NM</v>
      </c>
      <c r="BC648" s="378">
        <f>SUM(BC643:BC644)+BC647</f>
        <v>3222.1000000000004</v>
      </c>
      <c r="BD648" s="61" t="str">
        <f t="shared" si="3345"/>
        <v>NM</v>
      </c>
      <c r="BE648" s="378">
        <f>SUM(BE643:BE644)+BE647</f>
        <v>3043.2</v>
      </c>
      <c r="BF648" s="61" t="str">
        <f t="shared" si="3346"/>
        <v>NM</v>
      </c>
      <c r="BG648" s="378">
        <f>SUM(BG643:BG644)+BG647</f>
        <v>3131.8</v>
      </c>
      <c r="BH648" s="61" t="str">
        <f>IF(ISERROR((BG648/AY648-1)*100),"NA",IF(((BG648/AY648-1)*100)&gt;100,"NM",IF(((BG648/AY648-1)*100)&lt;-50,"NM",(BG648/AY648-1)*100)))</f>
        <v>NM</v>
      </c>
      <c r="BI648" s="378">
        <f>SUM(BI643:BI644)+BI647</f>
        <v>2768</v>
      </c>
      <c r="BJ648" s="61">
        <f>IF(ISERROR((BI648/BA648-1)*100),"NA",IF(((BI648/BA648-1)*100)&gt;100,"NM",IF(((BI648/BA648-1)*100)&lt;-50,"NM",(BI648/BA648-1)*100)))</f>
        <v>-14.053281997143385</v>
      </c>
      <c r="BK648" s="378">
        <f>SUM(BK643:BK644)+BK647</f>
        <v>3164.2</v>
      </c>
      <c r="BL648" s="61">
        <f>IF(ISERROR((BK648/BC648-1)*100),"NA",IF(((BK648/BC648-1)*100)&gt;100,"NM",IF(((BK648/BC648-1)*100)&lt;-50,"NM",(BK648/BC648-1)*100)))</f>
        <v>-1.7969647124546295</v>
      </c>
      <c r="BM648" s="378">
        <f>SUM(BM643:BM644)+BM647</f>
        <v>3597.4999999999995</v>
      </c>
      <c r="BN648" s="61">
        <f>IF(ISERROR((BM648/BE648-1)*100),"NA",IF(((BM648/BE648-1)*100)&gt;100,"NM",IF(((BM648/BE648-1)*100)&lt;-50,"NM",(BM648/BE648-1)*100)))</f>
        <v>18.214379600420607</v>
      </c>
      <c r="BO648" s="378">
        <f>SUM(BO643:BO644)+BO647</f>
        <v>3466.7</v>
      </c>
      <c r="BP648" s="61">
        <f>IF(ISERROR((BO648/BG648-1)*100),"NA",IF(((BO648/BG648-1)*100)&gt;100,"NM",IF(((BO648/BG648-1)*100)&lt;-50,"NM",(BO648/BG648-1)*100)))</f>
        <v>10.693530876812041</v>
      </c>
      <c r="BQ648" s="378">
        <f>SUM(BQ643:BQ644)+BQ647</f>
        <v>5156.4000000000005</v>
      </c>
      <c r="BR648" s="61">
        <f>IF(ISERROR((BQ648/BI648-1)*100),"NA",IF(((BQ648/BI648-1)*100)&gt;100,"NM",IF(((BQ648/BI648-1)*100)&lt;-50,"NM",(BQ648/BI648-1)*100)))</f>
        <v>86.28612716763007</v>
      </c>
      <c r="BS648" s="378">
        <f>SUM(BS643:BS644)+BS647</f>
        <v>5359.2</v>
      </c>
      <c r="BT648" s="61">
        <f>IF(ISERROR((BS648/BK648-1)*100),"NA",IF(((BS648/BK648-1)*100)&gt;100,"NM",IF(((BS648/BK648-1)*100)&lt;-50,"NM",(BS648/BK648-1)*100)))</f>
        <v>69.369824916250565</v>
      </c>
      <c r="BU648" s="378">
        <f>SUM(BU643:BU644)+BU647</f>
        <v>5545.7</v>
      </c>
      <c r="BV648" s="61">
        <f>IF(ISERROR((BU648/BM648-1)*100),"NA",IF(((BU648/BM648-1)*100)&gt;100,"NM",IF(((BU648/BM648-1)*100)&lt;-50,"NM",(BU648/BM648-1)*100)))</f>
        <v>54.154273801250888</v>
      </c>
      <c r="BW648" s="378">
        <f>SUM(BW643:BW644)+BW647</f>
        <v>5780.5999999999995</v>
      </c>
      <c r="BX648" s="61">
        <f>IF(ISERROR((BW648/BO648-1)*100),"NA",IF(((BW648/BO648-1)*100)&gt;100,"NM",IF(((BW648/BO648-1)*100)&lt;-50,"NM",(BW648/BO648-1)*100)))</f>
        <v>66.746473591600065</v>
      </c>
      <c r="BY648" s="378">
        <f>SUM(BY643:BY644)+BY647</f>
        <v>5229.6000000000004</v>
      </c>
      <c r="BZ648" s="61">
        <f>IF(ISERROR((BY648/BQ648-1)*100),"NA",IF(((BY648/BQ648-1)*100)&gt;100,"NM",IF(((BY648/BQ648-1)*100)&lt;-50,"NM",(BY648/BQ648-1)*100)))</f>
        <v>1.4195950663253409</v>
      </c>
      <c r="CA648" s="378">
        <f>SUM(CA643:CA644)+CA647+CA646</f>
        <v>5988.8</v>
      </c>
      <c r="CB648" s="61">
        <f>IF(ISERROR((CA648/BS648-1)*100),"NA",IF(((CA648/BS648-1)*100)&gt;100,"NM",IF(((CA648/BS648-1)*100)&lt;-50,"NM",(CA648/BS648-1)*100)))</f>
        <v>11.748022092849686</v>
      </c>
      <c r="CC648" s="378">
        <f>SUM(CC643:CC644)+CC647+CC646</f>
        <v>6206.5999999999995</v>
      </c>
      <c r="CD648" s="61">
        <f>IF(ISERROR((CC648/BU648-1)*100),"NA",IF(((CC648/BU648-1)*100)&gt;100,"NM",IF(((CC648/BU648-1)*100)&lt;-50,"NM",(CC648/BU648-1)*100)))</f>
        <v>11.917341363578981</v>
      </c>
      <c r="CE648" s="378">
        <f>SUM(CE643:CE644)+CE647+CE646</f>
        <v>5974.3</v>
      </c>
      <c r="CF648" s="61">
        <f>IF(ISERROR((CE648/BW648-1)*100),"NA",IF(((CE648/BW648-1)*100)&gt;100,"NM",IF(((CE648/BW648-1)*100)&lt;-50,"NM",(CE648/BW648-1)*100)))</f>
        <v>3.3508632321904486</v>
      </c>
      <c r="CG648" s="378">
        <f>SUM(CG643:CG644)+CG647+CG646</f>
        <v>5964.0999999999995</v>
      </c>
      <c r="CH648" s="61">
        <f>IF(ISERROR((CG648/BY648-1)*100),"NA",IF(((CG648/BY648-1)*100)&gt;100,"NM",IF(((CG648/BY648-1)*100)&lt;-50,"NM",(CG648/BY648-1)*100)))</f>
        <v>14.045051246749264</v>
      </c>
      <c r="CI648" s="378">
        <f>SUM(CI643:CI644)+CI647+CI646</f>
        <v>6044.2</v>
      </c>
      <c r="CJ648" s="61">
        <f>IF(ISERROR((CI648/CA648-1)*100),"NA",IF(((CI648/CA648-1)*100)&gt;100,"NM",IF(((CI648/CA648-1)*100)&lt;-50,"NM",(CI648/CA648-1)*100)))</f>
        <v>0.92506011220945261</v>
      </c>
      <c r="CK648" s="378">
        <f>SUM(CK643:CK644)+CK647+CK646</f>
        <v>5750.4</v>
      </c>
      <c r="CL648" s="61">
        <f>IF(ISERROR((CK648/CC648-1)*100),"NA",IF(((CK648/CC648-1)*100)&gt;100,"NM",IF(((CK648/CC648-1)*100)&lt;-50,"NM",(CK648/CC648-1)*100)))</f>
        <v>-7.3502400670254264</v>
      </c>
      <c r="CM648" s="378">
        <f>SUM(CM643:CM644)+CM647+CM646</f>
        <v>5721.2</v>
      </c>
      <c r="CN648" s="61">
        <f>IF(ISERROR((CM648/CE648-1)*100),"NA",IF(((CM648/CE648-1)*100)&gt;100,"NM",IF(((CM648/CE648-1)*100)&lt;-50,"NM",(CM648/CE648-1)*100)))</f>
        <v>-4.2364795875667554</v>
      </c>
      <c r="CO648" s="378">
        <f>SUM(CO643:CO644)+CO647+CO646</f>
        <v>5980</v>
      </c>
      <c r="CP648" s="61">
        <f>IF(ISERROR((CO648/CG648-1)*100),"NA",IF(((CO648/CG648-1)*100)&gt;100,"NM",IF(((CO648/CG648-1)*100)&lt;-50,"NM",(CO648/CG648-1)*100)))</f>
        <v>0.26659512751296965</v>
      </c>
      <c r="CQ648" s="378">
        <f>SUM(CQ643:CQ644)+CQ647+CQ646</f>
        <v>5898.3</v>
      </c>
      <c r="CR648" s="61">
        <f>IF(ISERROR((CQ648/CI648-1)*100),"NA",IF(((CQ648/CI648-1)*100)&gt;100,"NM",IF(((CQ648/CI648-1)*100)&lt;-50,"NM",(CQ648/CI648-1)*100)))</f>
        <v>-2.4138843850302738</v>
      </c>
      <c r="CS648" s="378">
        <f>SUM(CS643:CS644)+CS647+CS646</f>
        <v>5691</v>
      </c>
      <c r="CT648" s="61">
        <f>IF(ISERROR((CS648/CK648-1)*100),"NA",IF(((CS648/CK648-1)*100)&gt;100,"NM",IF(((CS648/CK648-1)*100)&lt;-50,"NM",(CS648/CK648-1)*100)))</f>
        <v>-1.032971619365608</v>
      </c>
      <c r="CU648" s="378">
        <f>SUM(CU643:CU644)+CU647+CU646</f>
        <v>5906</v>
      </c>
      <c r="CV648" s="61">
        <f>IF(ISERROR((CU648/CM648-1)*100),"NA",IF(((CU648/CM648-1)*100)&gt;100,"NM",IF(((CU648/CM648-1)*100)&lt;-50,"NM",(CU648/CM648-1)*100)))</f>
        <v>3.2300915891771087</v>
      </c>
      <c r="CW648" s="378">
        <f>SUM(CW643:CW644)+CW647+CW646</f>
        <v>6019</v>
      </c>
      <c r="CX648" s="61">
        <f>IF(ISERROR((CW648/CO648-1)*100),"NA",IF(((CW648/CO648-1)*100)&gt;100,"NM",IF(((CW648/CO648-1)*100)&lt;-50,"NM",(CW648/CO648-1)*100)))</f>
        <v>0.6521739130434856</v>
      </c>
      <c r="CY648" s="378">
        <f>SUM(CY643:CY644)+CY647+CY646</f>
        <v>5694</v>
      </c>
      <c r="CZ648" s="61">
        <f>IF(ISERROR((CY648/CQ648-1)*100),"NA",IF(((CY648/CQ648-1)*100)&gt;100,"NM",IF(((CY648/CQ648-1)*100)&lt;-50,"NM",(CY648/CQ648-1)*100)))</f>
        <v>-3.4637098825085255</v>
      </c>
      <c r="DA648" s="378">
        <f>SUM(DA643:DA644)+DA647+DA646</f>
        <v>5639</v>
      </c>
      <c r="DB648" s="61">
        <f>IF(ISERROR((DA648/CS648-1)*100),"NA",IF(((DA648/CS648-1)*100)&gt;100,"NM",IF(((DA648/CS648-1)*100)&lt;-50,"NM",(DA648/CS648-1)*100)))</f>
        <v>-0.91372342294852027</v>
      </c>
      <c r="DC648" s="378">
        <f>SUM(DC643:DC644)+DC647+DC646</f>
        <v>5595</v>
      </c>
      <c r="DD648" s="61">
        <f>IF(ISERROR((DC648/CU648-1)*100),"NA",IF(((DC648/CU648-1)*100)&gt;100,"NM",IF(((DC648/CU648-1)*100)&lt;-50,"NM",(DC648/CU648-1)*100)))</f>
        <v>-5.2658313579410754</v>
      </c>
      <c r="DE648" s="378">
        <f>SUM(DE643:DE644)+DE647+DE646</f>
        <v>5556</v>
      </c>
      <c r="DF648" s="61">
        <f>IF(ISERROR((DE648/CW648-1)*100),"NA",IF(((DE648/CW648-1)*100)&gt;100,"NM",IF(((DE648/CW648-1)*100)&lt;-50,"NM",(DE648/CW648-1)*100)))</f>
        <v>-7.6923076923076872</v>
      </c>
      <c r="DG648" s="378">
        <f>SUM(DG643:DG644)+DG647+DG646</f>
        <v>5868</v>
      </c>
      <c r="DH648" s="61">
        <f>IF(ISERROR((DG648/CY648-1)*100),"NA",IF(((DG648/CY648-1)*100)&gt;100,"NM",IF(((DG648/CY648-1)*100)&lt;-50,"NM",(DG648/CY648-1)*100)))</f>
        <v>3.0558482613277205</v>
      </c>
      <c r="DI648" s="378">
        <f>SUM(DI643:DI644)+DI647+DI646</f>
        <v>5821</v>
      </c>
      <c r="DJ648" s="61">
        <f>IF(ISERROR((DI648/DA648-1)*100),"NA",IF(((DI648/DA648-1)*100)&gt;100,"NM",IF(((DI648/DA648-1)*100)&lt;-50,"NM",(DI648/DA648-1)*100)))</f>
        <v>3.2275226103919197</v>
      </c>
      <c r="DK648" s="378">
        <f>SUM(DK643:DK644)+DK647+DK646</f>
        <v>5380</v>
      </c>
      <c r="DL648" s="61">
        <f>IF(ISERROR((DK648/DC648-1)*100),"NA",IF(((DK648/DC648-1)*100)&gt;100,"NM",IF(((DK648/DC648-1)*100)&lt;-50,"NM",(DK648/DC648-1)*100)))</f>
        <v>-3.8427167113494143</v>
      </c>
      <c r="DM648" s="378">
        <f>SUM(DM643:DM644)+DM647+DM646</f>
        <v>5420</v>
      </c>
      <c r="DN648" s="130">
        <f t="shared" si="3754"/>
        <v>-2.4478041756659463</v>
      </c>
      <c r="DO648" s="378">
        <f>SUM(DO643:DO644)+DO647+DO646</f>
        <v>5436</v>
      </c>
      <c r="DP648" s="130">
        <f t="shared" si="3754"/>
        <v>-7.361963190184051</v>
      </c>
      <c r="DQ648" s="378">
        <f>SUM(DQ643:DQ644)+DQ647+DQ646</f>
        <v>5520</v>
      </c>
      <c r="DR648" s="61">
        <f t="shared" si="3755"/>
        <v>-5.1709328294107575</v>
      </c>
      <c r="DS648" s="378">
        <f>SUM(DS643:DS644)+DS647+DS646</f>
        <v>5845</v>
      </c>
      <c r="DT648" s="130">
        <f t="shared" si="3754"/>
        <v>8.6431226765799174</v>
      </c>
      <c r="DU648" s="378">
        <f>SUM(DU643:DU644)+DU647+DU646</f>
        <v>5499</v>
      </c>
      <c r="DV648" s="130">
        <f t="shared" si="3754"/>
        <v>1.4575645756457645</v>
      </c>
      <c r="DW648" s="378">
        <f>SUM(DW643:DW644)+DW647+DW646</f>
        <v>5574</v>
      </c>
      <c r="DX648" s="378">
        <f t="shared" ref="DX648:DY648" si="3789">SUM(DX643:DX644)+DX647+DX646</f>
        <v>5604</v>
      </c>
      <c r="DY648" s="378">
        <f t="shared" si="3789"/>
        <v>5553</v>
      </c>
      <c r="DZ648" s="130">
        <f t="shared" si="3754"/>
        <v>0.59782608695653217</v>
      </c>
      <c r="EA648" s="378">
        <f t="shared" ref="EA648:EC648" si="3790">SUM(EA643:EA644)+EA647+EA646</f>
        <v>5650</v>
      </c>
      <c r="EB648" s="130">
        <f t="shared" si="3756"/>
        <v>-3.3361847733105243</v>
      </c>
      <c r="EC648" s="378">
        <f t="shared" si="3790"/>
        <v>5710</v>
      </c>
      <c r="ED648" s="130">
        <f t="shared" si="3757"/>
        <v>3.8370612838698026</v>
      </c>
      <c r="EE648" s="378">
        <f t="shared" ref="EE648:EG648" si="3791">SUM(EE643:EE644)+EE647+EE646</f>
        <v>5707</v>
      </c>
      <c r="EF648" s="130">
        <f t="shared" si="3758"/>
        <v>2.3860782203085851</v>
      </c>
      <c r="EG648" s="378">
        <f t="shared" si="3791"/>
        <v>5345</v>
      </c>
      <c r="EH648" s="130">
        <f t="shared" si="3759"/>
        <v>-3.7457230325949942</v>
      </c>
      <c r="EI648" s="378">
        <f t="shared" ref="EI648:EK648" si="3792">SUM(EI643:EI644)+EI647+EI646</f>
        <v>5333</v>
      </c>
      <c r="EJ648" s="130">
        <f t="shared" si="3760"/>
        <v>-5.6106194690265454</v>
      </c>
      <c r="EK648" s="378">
        <f t="shared" si="3792"/>
        <v>5351</v>
      </c>
      <c r="EL648" s="130">
        <f t="shared" si="3761"/>
        <v>-6.287215411558666</v>
      </c>
      <c r="EM648" s="378">
        <f t="shared" ref="EM648" si="3793">SUM(EM643:EM644)+EM647+EM646</f>
        <v>5350</v>
      </c>
      <c r="EN648" s="130">
        <f t="shared" si="3762"/>
        <v>-6.2554757315577358</v>
      </c>
      <c r="EO648" s="378">
        <f t="shared" ref="EO648" si="3794">SUM(EO643:EO644)+EO647+EO646</f>
        <v>5344</v>
      </c>
      <c r="EP648" s="130">
        <f t="shared" si="3763"/>
        <v>-1.870907390084664E-2</v>
      </c>
      <c r="EQ648" s="378">
        <f t="shared" ref="EQ648:EW648" si="3795">SUM(EQ643:EQ644)+EQ647+EQ646</f>
        <v>5875</v>
      </c>
      <c r="ER648" s="130">
        <f t="shared" si="3765"/>
        <v>10.163135195949756</v>
      </c>
      <c r="ES648" s="378">
        <f t="shared" si="3795"/>
        <v>5881</v>
      </c>
      <c r="ET648" s="130">
        <f t="shared" si="3767"/>
        <v>9.9046907120164498</v>
      </c>
      <c r="EU648" s="378">
        <f t="shared" si="3795"/>
        <v>5912</v>
      </c>
      <c r="EV648" s="130">
        <f t="shared" si="3769"/>
        <v>10.504672897196254</v>
      </c>
      <c r="EW648" s="378">
        <f t="shared" si="3795"/>
        <v>5943</v>
      </c>
      <c r="EX648" s="130">
        <f t="shared" si="3771"/>
        <v>11.208832335329344</v>
      </c>
      <c r="EY648" s="356"/>
      <c r="EZ648" s="558"/>
      <c r="FA648" s="356"/>
      <c r="FB648" s="378">
        <f>SUM(FB643:FB644)</f>
        <v>1026.8000000000002</v>
      </c>
      <c r="FC648" s="71"/>
      <c r="FD648" s="378">
        <f>SUM(FD643:FD644)</f>
        <v>1172.2</v>
      </c>
      <c r="FE648" s="70">
        <f t="shared" si="3772"/>
        <v>14.160498636540698</v>
      </c>
      <c r="FF648" s="378">
        <f>SUM(FF643:FF644)</f>
        <v>1025.0999999999999</v>
      </c>
      <c r="FG648" s="70">
        <f t="shared" si="3772"/>
        <v>-12.549053062617311</v>
      </c>
      <c r="FH648" s="378">
        <f>SUM(FH643:FH644)</f>
        <v>1212</v>
      </c>
      <c r="FI648" s="70">
        <f t="shared" si="3772"/>
        <v>18.232367573895235</v>
      </c>
      <c r="FJ648" s="378">
        <f>SUM(FJ643:FJ644)+FJ647</f>
        <v>1664.8580000000002</v>
      </c>
      <c r="FK648" s="70">
        <f t="shared" si="3772"/>
        <v>37.36452145214524</v>
      </c>
      <c r="FL648" s="378">
        <f>SUM(FL643:FL644)+FL647</f>
        <v>1502.8</v>
      </c>
      <c r="FM648" s="61">
        <f t="shared" si="3773"/>
        <v>-9.7340433838801985</v>
      </c>
      <c r="FN648" s="378">
        <f>SUM(FN643:FN644)+FN647</f>
        <v>1602.9</v>
      </c>
      <c r="FO648" s="61">
        <f t="shared" si="3774"/>
        <v>6.6608996539792464</v>
      </c>
      <c r="FP648" s="270">
        <f>SUM(FP643:FP644)+FP647</f>
        <v>1452.9</v>
      </c>
      <c r="FQ648" s="61">
        <f t="shared" si="3354"/>
        <v>19.876237623762382</v>
      </c>
      <c r="FR648" s="270">
        <f>SUM(FR643:FR644)+FR647</f>
        <v>3043.2</v>
      </c>
      <c r="FS648" s="61" t="str">
        <f>IF(ISERROR((FR648/FP648-1)*100),"NA",IF(((FR648/FP648-1)*100)&gt;100,"NM",IF(((FR648/FP648-1)*100)&lt;-50,"NM",(FR648/FP648-1)*100)))</f>
        <v>NM</v>
      </c>
      <c r="FT648" s="270">
        <f>SUM(FT643:FT644)+FT647</f>
        <v>3597.4999999999995</v>
      </c>
      <c r="FU648" s="61">
        <f>IF(ISERROR((FT648/FR648-1)*100),"NA",IF(((FT648/FR648-1)*100)&gt;100,"NM",IF(((FT648/FR648-1)*100)&lt;-50,"NM",(FT648/FR648-1)*100)))</f>
        <v>18.214379600420607</v>
      </c>
      <c r="FV648" s="270">
        <f>SUM(FV643:FV644)+FV647</f>
        <v>5545.7</v>
      </c>
      <c r="FW648" s="61">
        <f>IF(ISERROR((FV648/FT648-1)*100),"NA",IF(((FV648/FT648-1)*100)&gt;100,"NM",IF(((FV648/FT648-1)*100)&lt;-50,"NM",(FV648/FT648-1)*100)))</f>
        <v>54.154273801250888</v>
      </c>
      <c r="FX648" s="270">
        <f>SUM(FX643:FX644)+FX647+FX646</f>
        <v>6206.5999999999995</v>
      </c>
      <c r="FY648" s="61">
        <f>IF(ISERROR((FX648/FV648-1)*100),"NA",IF(((FX648/FV648-1)*100)&gt;100,"NM",IF(((FX648/FV648-1)*100)&lt;-50,"NM",(FX648/FV648-1)*100)))</f>
        <v>11.917341363578981</v>
      </c>
      <c r="FZ648" s="270">
        <f>SUM(FZ643:FZ644)+FZ647</f>
        <v>5750.4</v>
      </c>
      <c r="GA648" s="61">
        <f>IF(ISERROR((FZ648/FX648-1)*100),"NA",IF(((FZ648/FX648-1)*100)&gt;100,"NM",IF(((FZ648/FX648-1)*100)&lt;-50,"NM",(FZ648/FX648-1)*100)))</f>
        <v>-7.3502400670254264</v>
      </c>
      <c r="GB648" s="270">
        <f>SUM(GB643:GB644)+GB647</f>
        <v>5691</v>
      </c>
      <c r="GC648" s="61">
        <f>IF(ISERROR((GB648/FZ648-1)*100),"NA",IF(((GB648/FZ648-1)*100)&gt;100,"NM",IF(((GB648/FZ648-1)*100)&lt;-50,"NM",(GB648/FZ648-1)*100)))</f>
        <v>-1.032971619365608</v>
      </c>
      <c r="GD648" s="270">
        <f>SUM(GD643:GD644)+GD647</f>
        <v>5639</v>
      </c>
      <c r="GE648" s="61">
        <f>IF(ISERROR((GD648/GB648-1)*100),"NA",IF(((GD648/GB648-1)*100)&gt;100,"NM",IF(((GD648/GB648-1)*100)&lt;-50,"NM",(GD648/GB648-1)*100)))</f>
        <v>-0.91372342294852027</v>
      </c>
      <c r="GF648" s="270">
        <f>SUM(GF643:GF644)+GF647</f>
        <v>5821</v>
      </c>
      <c r="GG648" s="61">
        <f t="shared" si="3775"/>
        <v>3.2275226103919197</v>
      </c>
      <c r="GH648" s="270">
        <f>SUM(GH643:GH644)+GH647</f>
        <v>5520</v>
      </c>
      <c r="GI648" s="61">
        <f t="shared" si="3776"/>
        <v>-5.1709328294107575</v>
      </c>
      <c r="GJ648" s="270">
        <f>SUM(GJ643:GJ644)+GJ647</f>
        <v>5553</v>
      </c>
      <c r="GK648" s="61">
        <f t="shared" si="3777"/>
        <v>0.59782608695653217</v>
      </c>
      <c r="GL648" s="270">
        <f>SUM(GL643:GL644)+GL647</f>
        <v>5345</v>
      </c>
      <c r="GM648" s="61">
        <f t="shared" si="3777"/>
        <v>-3.7457230325949942</v>
      </c>
      <c r="GN648" s="270">
        <f>SUM(GN643:GN644)+GN647</f>
        <v>5344</v>
      </c>
      <c r="GO648" s="61">
        <f t="shared" si="3777"/>
        <v>-1.870907390084664E-2</v>
      </c>
      <c r="GP648" s="270">
        <f>SUM(GP643:GP644)+GP647</f>
        <v>5943</v>
      </c>
      <c r="GQ648" s="61">
        <f t="shared" si="3777"/>
        <v>11.208832335329344</v>
      </c>
      <c r="GR648" s="378">
        <f>SUM(GR643:GR644)+GR647</f>
        <v>6068</v>
      </c>
      <c r="GS648" s="61">
        <f t="shared" si="3777"/>
        <v>2.103314824162883</v>
      </c>
      <c r="GT648" s="378">
        <f>SUM(GT643:GT644)+GT647</f>
        <v>6193</v>
      </c>
      <c r="GU648" s="61">
        <f t="shared" si="3777"/>
        <v>2.0599868160843693</v>
      </c>
      <c r="GV648" s="378">
        <f>SUM(GV643:GV644)+GV647</f>
        <v>6318</v>
      </c>
      <c r="GW648" s="61">
        <f t="shared" si="3777"/>
        <v>2.018407879864359</v>
      </c>
      <c r="GX648" s="378">
        <f>SUM(GX643:GX644)+GX647</f>
        <v>6443</v>
      </c>
      <c r="GY648" s="61">
        <f t="shared" si="3778"/>
        <v>1.978474200696434</v>
      </c>
      <c r="GZ648" s="61">
        <f t="shared" si="3732"/>
        <v>3.8112299032542873</v>
      </c>
      <c r="HA648" s="61"/>
      <c r="HB648" s="452"/>
      <c r="HC648"/>
      <c r="HD648"/>
      <c r="HE648"/>
      <c r="HF648"/>
      <c r="HG648"/>
      <c r="HH648"/>
    </row>
    <row r="649" spans="1:216" s="5" customFormat="1" ht="12.75" customHeight="1" x14ac:dyDescent="0.2">
      <c r="A649" s="8"/>
      <c r="B649" s="7" t="s">
        <v>651</v>
      </c>
      <c r="C649" s="91">
        <f>C632-C655-C647-C643-C644</f>
        <v>100844.8</v>
      </c>
      <c r="D649" s="70"/>
      <c r="E649" s="91">
        <f>E632-E655-E647-E643-E644</f>
        <v>98556.1</v>
      </c>
      <c r="F649" s="71"/>
      <c r="G649" s="91">
        <f>G632-G655-G647-G643-G644</f>
        <v>97662</v>
      </c>
      <c r="H649" s="71"/>
      <c r="I649" s="91">
        <f>I632-I655-I647-I643-I644</f>
        <v>93878.6</v>
      </c>
      <c r="J649" s="61"/>
      <c r="K649" s="91">
        <f>K632-K655-K647-K643-K644</f>
        <v>87869.499999999985</v>
      </c>
      <c r="L649" s="61">
        <f t="shared" si="3733"/>
        <v>-12.866602938376614</v>
      </c>
      <c r="M649" s="91">
        <f>M632-M655-M647-M643-M644</f>
        <v>90278.6</v>
      </c>
      <c r="N649" s="61">
        <f t="shared" si="3734"/>
        <v>-8.3987698376863484</v>
      </c>
      <c r="O649" s="91">
        <f>O632-O655-O647-O643-O644</f>
        <v>83549.600000000006</v>
      </c>
      <c r="P649" s="61">
        <f t="shared" si="3735"/>
        <v>-14.45024676947021</v>
      </c>
      <c r="Q649" s="91">
        <f>Q632-Q655-Q647-Q643-Q644</f>
        <v>91051.943999999989</v>
      </c>
      <c r="R649" s="61">
        <f t="shared" si="3736"/>
        <v>-3.0109694861235825</v>
      </c>
      <c r="S649" s="91">
        <f>S632-S655-S647-S643-S644</f>
        <v>91301.2</v>
      </c>
      <c r="T649" s="61">
        <f t="shared" si="3737"/>
        <v>3.9054506967719282</v>
      </c>
      <c r="U649" s="91">
        <f>U632-U655-U647-U643-U644</f>
        <v>88013.07699999999</v>
      </c>
      <c r="V649" s="61">
        <f t="shared" si="3738"/>
        <v>-2.5094795444324691</v>
      </c>
      <c r="W649" s="91">
        <f>W632-W655-W647-W643-W644</f>
        <v>83370.711999999985</v>
      </c>
      <c r="X649" s="61">
        <f t="shared" si="3739"/>
        <v>-0.21410994187885946</v>
      </c>
      <c r="Y649" s="91">
        <f>Y632-Y655-Y647-Y643-Y644</f>
        <v>86108.542000000001</v>
      </c>
      <c r="Z649" s="61">
        <f t="shared" si="3740"/>
        <v>-5.4292108249769928</v>
      </c>
      <c r="AA649" s="91">
        <f>AA632-AA655-AA647-AA643-AA644</f>
        <v>85369.707999999984</v>
      </c>
      <c r="AB649" s="61">
        <f t="shared" si="3741"/>
        <v>-6.4966199787078516</v>
      </c>
      <c r="AC649" s="91">
        <f>AC632-AC655-AC647-AC643-AC644</f>
        <v>92114.911000000022</v>
      </c>
      <c r="AD649" s="61">
        <f t="shared" si="3742"/>
        <v>4.6604824417171953</v>
      </c>
      <c r="AE649" s="91">
        <f>AE632-AE655-AE647-AE643-AE644</f>
        <v>93710.5</v>
      </c>
      <c r="AF649" s="61">
        <f t="shared" si="3743"/>
        <v>12.402182675374075</v>
      </c>
      <c r="AG649" s="91">
        <f>AG632-AG655-AG647-AG643-AG644</f>
        <v>99430.499999999985</v>
      </c>
      <c r="AH649" s="61">
        <f t="shared" si="3744"/>
        <v>15.471122481669685</v>
      </c>
      <c r="AI649" s="91">
        <f>AI632-AI655-AI647-AI643-AI644</f>
        <v>102026</v>
      </c>
      <c r="AJ649" s="61">
        <f t="shared" si="3745"/>
        <v>19.510775414623673</v>
      </c>
      <c r="AK649" s="91">
        <f>AK632-AK655-AK647-AK643-AK644</f>
        <v>102117.7</v>
      </c>
      <c r="AL649" s="61">
        <f t="shared" si="3746"/>
        <v>10.859033452249633</v>
      </c>
      <c r="AM649" s="91">
        <f>AM632-AM655-AM647-AM643-AM644</f>
        <v>102749.8</v>
      </c>
      <c r="AN649" s="61">
        <f t="shared" si="3747"/>
        <v>9.6459841746655997</v>
      </c>
      <c r="AO649" s="91">
        <f>AO632-AO655-AO647-AO643-AO644</f>
        <v>108440.8</v>
      </c>
      <c r="AP649" s="61">
        <f t="shared" si="3748"/>
        <v>9.0619075635745681</v>
      </c>
      <c r="AQ649" s="91">
        <f>AQ632-AQ655-AQ647-AQ643-AQ644</f>
        <v>108732.09999999999</v>
      </c>
      <c r="AR649" s="61">
        <f t="shared" si="3749"/>
        <v>6.5729323897829817</v>
      </c>
      <c r="AS649" s="91">
        <f>AS632-AS655-AS647-AS643-AS644</f>
        <v>111089.2</v>
      </c>
      <c r="AT649" s="61">
        <f t="shared" si="3750"/>
        <v>8.7854505144553841</v>
      </c>
      <c r="AU649" s="91">
        <f>AU632-AU655-AU647-AU643-AU644</f>
        <v>114385.3</v>
      </c>
      <c r="AV649" s="61">
        <f t="shared" si="3751"/>
        <v>11.324109633303415</v>
      </c>
      <c r="AW649" s="91">
        <f>AW632-AW655-AW647-AW643-AW644</f>
        <v>117022.30000000002</v>
      </c>
      <c r="AX649" s="61">
        <f t="shared" si="3752"/>
        <v>7.9135343892704713</v>
      </c>
      <c r="AY649" s="91">
        <f>AY632-AY655-AY647-AY643-AY644</f>
        <v>120792.4</v>
      </c>
      <c r="AZ649" s="61">
        <f t="shared" si="3753"/>
        <v>11.09175671213929</v>
      </c>
      <c r="BA649" s="91">
        <f>BA632-BA655-BA647-BA643-BA644</f>
        <v>152754.6</v>
      </c>
      <c r="BB649" s="61">
        <f t="shared" si="3344"/>
        <v>37.506256233729296</v>
      </c>
      <c r="BC649" s="91">
        <f>BC632-BC655-BC647-BC643-BC644</f>
        <v>156461.29999999999</v>
      </c>
      <c r="BD649" s="61">
        <f t="shared" si="3345"/>
        <v>36.784446952536712</v>
      </c>
      <c r="BE649" s="91">
        <f>BE632-BE655-BE647-BE643-BE644</f>
        <v>163249.5</v>
      </c>
      <c r="BF649" s="61">
        <f t="shared" si="3346"/>
        <v>39.502898165563295</v>
      </c>
      <c r="BG649" s="91">
        <f>BG632-BG655-BG647-BG643-BG644</f>
        <v>166162.4</v>
      </c>
      <c r="BH649" s="61">
        <f>IF(ISERROR((BG649/AY649-1)*100),"NA",IF(((BG649/AY649-1)*100)&gt;100,"NM",IF(((BG649/AY649-1)*100)&lt;-50,"NM",(BG649/AY649-1)*100)))</f>
        <v>37.560310085733882</v>
      </c>
      <c r="BI649" s="91">
        <f>BI632-BI655-BI647-BI643-BI644</f>
        <v>173045.9</v>
      </c>
      <c r="BJ649" s="61">
        <f>IF(ISERROR((BI649/BA649-1)*100),"NA",IF(((BI649/BA649-1)*100)&gt;100,"NM",IF(((BI649/BA649-1)*100)&lt;-50,"NM",(BI649/BA649-1)*100)))</f>
        <v>13.283593423700491</v>
      </c>
      <c r="BK649" s="91">
        <f>BK632-BK655-BK647-BK643-BK644</f>
        <v>177089.8</v>
      </c>
      <c r="BL649" s="61">
        <f>IF(ISERROR((BK649/BC649-1)*100),"NA",IF(((BK649/BC649-1)*100)&gt;100,"NM",IF(((BK649/BC649-1)*100)&lt;-50,"NM",(BK649/BC649-1)*100)))</f>
        <v>13.184410458049367</v>
      </c>
      <c r="BM649" s="91">
        <f>BM632-BM655-BM647-BM643-BM644</f>
        <v>176121.19999999998</v>
      </c>
      <c r="BN649" s="61">
        <f>IF(ISERROR((BM649/BE649-1)*100),"NA",IF(((BM649/BE649-1)*100)&gt;100,"NM",IF(((BM649/BE649-1)*100)&lt;-50,"NM",(BM649/BE649-1)*100)))</f>
        <v>7.8846795855423757</v>
      </c>
      <c r="BO649" s="91">
        <f>BO632-BO655-BO647-BO643-BO644</f>
        <v>170796.2</v>
      </c>
      <c r="BP649" s="61">
        <f>IF(ISERROR((BO649/BG649-1)*100),"NA",IF(((BO649/BG649-1)*100)&gt;100,"NM",IF(((BO649/BG649-1)*100)&lt;-50,"NM",(BO649/BG649-1)*100)))</f>
        <v>2.7887175438005229</v>
      </c>
      <c r="BQ649" s="91">
        <f>BQ632-BQ655-BQ647-BQ643-BQ644</f>
        <v>168627.1</v>
      </c>
      <c r="BR649" s="61">
        <f>IF(ISERROR((BQ649/BI649-1)*100),"NA",IF(((BQ649/BI649-1)*100)&gt;100,"NM",IF(((BQ649/BI649-1)*100)&lt;-50,"NM",(BQ649/BI649-1)*100)))</f>
        <v>-2.553542152688959</v>
      </c>
      <c r="BS649" s="91">
        <f>BS632-BS655-BS647-BS643-BS644</f>
        <v>158411.4</v>
      </c>
      <c r="BT649" s="61">
        <f>IF(ISERROR((BS649/BK649-1)*100),"NA",IF(((BS649/BK649-1)*100)&gt;100,"NM",IF(((BS649/BK649-1)*100)&lt;-50,"NM",(BS649/BK649-1)*100)))</f>
        <v>-10.547417186082985</v>
      </c>
      <c r="BU649" s="91">
        <f>BU632-BU655-BU647-BU643-BU644</f>
        <v>149613.29999999999</v>
      </c>
      <c r="BV649" s="61">
        <f>IF(ISERROR((BU649/BM649-1)*100),"NA",IF(((BU649/BM649-1)*100)&gt;100,"NM",IF(((BU649/BM649-1)*100)&lt;-50,"NM",(BU649/BM649-1)*100)))</f>
        <v>-15.050942192081362</v>
      </c>
      <c r="BW649" s="91">
        <f>BW632-BW655-BW647-BW643-BW644</f>
        <v>144323.19999999998</v>
      </c>
      <c r="BX649" s="61">
        <f>IF(ISERROR((BW649/BO649-1)*100),"NA",IF(((BW649/BO649-1)*100)&gt;100,"NM",IF(((BW649/BO649-1)*100)&lt;-50,"NM",(BW649/BO649-1)*100)))</f>
        <v>-15.499759362327747</v>
      </c>
      <c r="BY649" s="91">
        <f>BY632-BY655-BY647-BY643-BY644</f>
        <v>152740.29999999999</v>
      </c>
      <c r="BZ649" s="61">
        <f>IF(ISERROR((BY649/BQ649-1)*100),"NA",IF(((BY649/BQ649-1)*100)&gt;100,"NM",IF(((BY649/BQ649-1)*100)&lt;-50,"NM",(BY649/BQ649-1)*100)))</f>
        <v>-9.4212614698349295</v>
      </c>
      <c r="CA649" s="91">
        <f>CA632-CA655-CA646-CA644-CA643</f>
        <v>164644.69999999998</v>
      </c>
      <c r="CB649" s="61">
        <f>IF(ISERROR((CA649/BS649-1)*100),"NA",IF(((CA649/BS649-1)*100)&gt;100,"NM",IF(((CA649/BS649-1)*100)&lt;-50,"NM",(CA649/BS649-1)*100)))</f>
        <v>3.9348809492246062</v>
      </c>
      <c r="CC649" s="91">
        <f>CC632-CC655-CC646-CC644-CC643</f>
        <v>160333.20000000001</v>
      </c>
      <c r="CD649" s="61">
        <f>IF(ISERROR((CC649/BU649-1)*100),"NA",IF(((CC649/BU649-1)*100)&gt;100,"NM",IF(((CC649/BU649-1)*100)&lt;-50,"NM",(CC649/BU649-1)*100)))</f>
        <v>7.1650715544674393</v>
      </c>
      <c r="CE649" s="91">
        <f>CE632-CE655-CE646-CE644-CE643</f>
        <v>164091.80000000002</v>
      </c>
      <c r="CF649" s="61">
        <f>IF(ISERROR((CE649/BW649-1)*100),"NA",IF(((CE649/BW649-1)*100)&gt;100,"NM",IF(((CE649/BW649-1)*100)&lt;-50,"NM",(CE649/BW649-1)*100)))</f>
        <v>13.697451276024953</v>
      </c>
      <c r="CG649" s="91">
        <f>CG632-CG655-CG646-CG644-CG643</f>
        <v>161528.29999999999</v>
      </c>
      <c r="CH649" s="61">
        <f>IF(ISERROR((CG649/BY649-1)*100),"NA",IF(((CG649/BY649-1)*100)&gt;100,"NM",IF(((CG649/BY649-1)*100)&lt;-50,"NM",(CG649/BY649-1)*100)))</f>
        <v>5.7535568543468862</v>
      </c>
      <c r="CI649" s="91">
        <f>CI632-CI655-CI646-CI644-CI643</f>
        <v>170888.59999999998</v>
      </c>
      <c r="CJ649" s="61">
        <f>IF(ISERROR((CI649/CA649-1)*100),"NA",IF(((CI649/CA649-1)*100)&gt;100,"NM",IF(((CI649/CA649-1)*100)&lt;-50,"NM",(CI649/CA649-1)*100)))</f>
        <v>3.7923480075580995</v>
      </c>
      <c r="CK649" s="91">
        <f>CK632-CK655-CK646-CK644-CK643</f>
        <v>175267.90000000002</v>
      </c>
      <c r="CL649" s="61">
        <f>IF(ISERROR((CK649/CC649-1)*100),"NA",IF(((CK649/CC649-1)*100)&gt;100,"NM",IF(((CK649/CC649-1)*100)&lt;-50,"NM",(CK649/CC649-1)*100)))</f>
        <v>9.3147894509683749</v>
      </c>
      <c r="CM649" s="91">
        <f>CM632-CM655-CM646-CM644-CM643</f>
        <v>178960.8</v>
      </c>
      <c r="CN649" s="61">
        <f>IF(ISERROR((CM649/CE649-1)*100),"NA",IF(((CM649/CE649-1)*100)&gt;100,"NM",IF(((CM649/CE649-1)*100)&lt;-50,"NM",(CM649/CE649-1)*100)))</f>
        <v>9.0613912456319881</v>
      </c>
      <c r="CO649" s="91">
        <f>CO632-CO655-CO646-CO644-CO643</f>
        <v>181443.9</v>
      </c>
      <c r="CP649" s="61">
        <f>IF(ISERROR((CO649/CG649-1)*100),"NA",IF(((CO649/CG649-1)*100)&gt;100,"NM",IF(((CO649/CG649-1)*100)&lt;-50,"NM",(CO649/CG649-1)*100)))</f>
        <v>12.329480344930266</v>
      </c>
      <c r="CQ649" s="91">
        <f>CQ632-CQ655-CQ646-CQ644-CQ643</f>
        <v>176436.6</v>
      </c>
      <c r="CR649" s="61">
        <f>IF(ISERROR((CQ649/CI649-1)*100),"NA",IF(((CQ649/CI649-1)*100)&gt;100,"NM",IF(((CQ649/CI649-1)*100)&lt;-50,"NM",(CQ649/CI649-1)*100)))</f>
        <v>3.2465594545218579</v>
      </c>
      <c r="CS649" s="91">
        <f>CS632-CS655-CS646-CS644-CS643</f>
        <v>182700</v>
      </c>
      <c r="CT649" s="61">
        <f>IF(ISERROR((CS649/CK649-1)*100),"NA",IF(((CS649/CK649-1)*100)&gt;100,"NM",IF(((CS649/CK649-1)*100)&lt;-50,"NM",(CS649/CK649-1)*100)))</f>
        <v>4.2404228041757586</v>
      </c>
      <c r="CU649" s="91">
        <f>CU632-CU655-CU646-CU644-CU643</f>
        <v>188992</v>
      </c>
      <c r="CV649" s="61">
        <f>IF(ISERROR((CU649/CM649-1)*100),"NA",IF(((CU649/CM649-1)*100)&gt;100,"NM",IF(((CU649/CM649-1)*100)&lt;-50,"NM",(CU649/CM649-1)*100)))</f>
        <v>5.6052498647748639</v>
      </c>
      <c r="CW649" s="91">
        <f>CW632-CW655-CW646-CW644-CW643</f>
        <v>191052</v>
      </c>
      <c r="CX649" s="61">
        <f>IF(ISERROR((CW649/CO649-1)*100),"NA",IF(((CW649/CO649-1)*100)&gt;100,"NM",IF(((CW649/CO649-1)*100)&lt;-50,"NM",(CW649/CO649-1)*100)))</f>
        <v>5.2953557545886154</v>
      </c>
      <c r="CY649" s="91">
        <f>CY632-CY655-CY646-CY644-CY643</f>
        <v>194644</v>
      </c>
      <c r="CZ649" s="61">
        <f>IF(ISERROR((CY649/CQ649-1)*100),"NA",IF(((CY649/CQ649-1)*100)&gt;100,"NM",IF(((CY649/CQ649-1)*100)&lt;-50,"NM",(CY649/CQ649-1)*100)))</f>
        <v>10.319514205102575</v>
      </c>
      <c r="DA649" s="91">
        <f>DA632-DA655-DA646-DA644-DA643</f>
        <v>198257</v>
      </c>
      <c r="DB649" s="61">
        <f>IF(ISERROR((DA649/CS649-1)*100),"NA",IF(((DA649/CS649-1)*100)&gt;100,"NM",IF(((DA649/CS649-1)*100)&lt;-50,"NM",(DA649/CS649-1)*100)))</f>
        <v>8.5150519978106196</v>
      </c>
      <c r="DC649" s="91">
        <f>DC632-DC655-DC646-DC644-DC643</f>
        <v>203884</v>
      </c>
      <c r="DD649" s="61">
        <f>IF(ISERROR((DC649/CU649-1)*100),"NA",IF(((DC649/CU649-1)*100)&gt;100,"NM",IF(((DC649/CU649-1)*100)&lt;-50,"NM",(DC649/CU649-1)*100)))</f>
        <v>7.8796986115814427</v>
      </c>
      <c r="DE649" s="91">
        <f>DE632-DE655-DE646-DE644-DE643</f>
        <v>204448</v>
      </c>
      <c r="DF649" s="61">
        <f>IF(ISERROR((DE649/CW649-1)*100),"NA",IF(((DE649/CW649-1)*100)&gt;100,"NM",IF(((DE649/CW649-1)*100)&lt;-50,"NM",(DE649/CW649-1)*100)))</f>
        <v>7.0117036199568661</v>
      </c>
      <c r="DG649" s="91">
        <f>DG632-DG655-DG646-DG644-DG643</f>
        <v>210667</v>
      </c>
      <c r="DH649" s="61">
        <f>IF(ISERROR((DG649/CY649-1)*100),"NA",IF(((DG649/CY649-1)*100)&gt;100,"NM",IF(((DG649/CY649-1)*100)&lt;-50,"NM",(DG649/CY649-1)*100)))</f>
        <v>8.2319516656049085</v>
      </c>
      <c r="DI649" s="91">
        <f>DI632-DI655-DI646-DI644-DI643</f>
        <v>217671</v>
      </c>
      <c r="DJ649" s="61">
        <f>IF(ISERROR((DI649/DA649-1)*100),"NA",IF(((DI649/DA649-1)*100)&gt;100,"NM",IF(((DI649/DA649-1)*100)&lt;-50,"NM",(DI649/DA649-1)*100)))</f>
        <v>9.7923402452372521</v>
      </c>
      <c r="DK649" s="91">
        <f>DK632-DK655-DK646-DK644-DK643</f>
        <v>222082</v>
      </c>
      <c r="DL649" s="61">
        <f>IF(ISERROR((DK649/DC649-1)*100),"NA",IF(((DK649/DC649-1)*100)&gt;100,"NM",IF(((DK649/DC649-1)*100)&lt;-50,"NM",(DK649/DC649-1)*100)))</f>
        <v>8.925663612642488</v>
      </c>
      <c r="DM649" s="91">
        <f>DM632-DM655-DM646-DM644-DM643</f>
        <v>228254</v>
      </c>
      <c r="DN649" s="130">
        <f t="shared" si="3754"/>
        <v>11.644036625449994</v>
      </c>
      <c r="DO649" s="91">
        <f>DO632-DO655-DO646-DO644-DO643</f>
        <v>227558</v>
      </c>
      <c r="DP649" s="130">
        <f t="shared" si="3754"/>
        <v>8.0178670603369362</v>
      </c>
      <c r="DQ649" s="91">
        <f>DQ632-DQ655-DQ646-DQ644-DQ643</f>
        <v>232117</v>
      </c>
      <c r="DR649" s="61">
        <f t="shared" si="3755"/>
        <v>6.6366213230058202</v>
      </c>
      <c r="DS649" s="91">
        <f>DS632-DS655-DS646-DS644-DS643</f>
        <v>236385</v>
      </c>
      <c r="DT649" s="130">
        <f t="shared" si="3754"/>
        <v>6.4404139011716488</v>
      </c>
      <c r="DU649" s="91">
        <f>DU632-DU655-DU646-DU644-DU643</f>
        <v>234986</v>
      </c>
      <c r="DV649" s="130">
        <f t="shared" si="3754"/>
        <v>2.9493459041243453</v>
      </c>
      <c r="DW649" s="91">
        <f>DW632-DW655-DW646-DW644-DW643</f>
        <v>229527</v>
      </c>
      <c r="DX649" s="91">
        <f t="shared" ref="DX649:DY649" si="3796">DX632-DX655-DX646-DX644-DX643</f>
        <v>229527</v>
      </c>
      <c r="DY649" s="91">
        <f t="shared" si="3796"/>
        <v>232738</v>
      </c>
      <c r="DZ649" s="130">
        <f t="shared" si="3754"/>
        <v>0.26753749186831932</v>
      </c>
      <c r="EA649" s="91">
        <f t="shared" ref="EA649:EC649" si="3797">EA632-EA655-EA646-EA644-EA643</f>
        <v>235410</v>
      </c>
      <c r="EB649" s="130">
        <f t="shared" si="3756"/>
        <v>-0.41246271971572268</v>
      </c>
      <c r="EC649" s="91">
        <f t="shared" si="3797"/>
        <v>241398</v>
      </c>
      <c r="ED649" s="130">
        <f t="shared" si="3757"/>
        <v>2.7286731975521894</v>
      </c>
      <c r="EE649" s="91">
        <f t="shared" ref="EE649:EG649" si="3798">EE632-EE655-EE646-EE644-EE643</f>
        <v>244575</v>
      </c>
      <c r="EF649" s="130">
        <f t="shared" si="3758"/>
        <v>6.5560914402227111</v>
      </c>
      <c r="EG649" s="91">
        <f t="shared" si="3798"/>
        <v>241804</v>
      </c>
      <c r="EH649" s="130">
        <f t="shared" si="3759"/>
        <v>3.8953673229124686</v>
      </c>
      <c r="EI649" s="91">
        <f t="shared" ref="EI649:EK649" si="3799">EI632-EI655-EI646-EI644-EI643</f>
        <v>247162</v>
      </c>
      <c r="EJ649" s="130">
        <f t="shared" si="3760"/>
        <v>4.9921413703750916</v>
      </c>
      <c r="EK649" s="91">
        <f t="shared" si="3799"/>
        <v>250304</v>
      </c>
      <c r="EL649" s="130">
        <f t="shared" si="3761"/>
        <v>3.68934291087748</v>
      </c>
      <c r="EM649" s="91">
        <f t="shared" ref="EM649" si="3800">EM632-EM655-EM646-EM644-EM643</f>
        <v>255121</v>
      </c>
      <c r="EN649" s="130">
        <f t="shared" si="3762"/>
        <v>4.3119697434324866</v>
      </c>
      <c r="EO649" s="91">
        <f t="shared" ref="EO649" si="3801">EO632-EO655-EO646-EO644-EO643</f>
        <v>259097</v>
      </c>
      <c r="EP649" s="130">
        <f t="shared" si="3763"/>
        <v>7.151660022166717</v>
      </c>
      <c r="EQ649" s="91">
        <f t="shared" ref="EQ649:EW649" si="3802">EQ632-EQ655-EQ646-EQ644-EQ643</f>
        <v>262501.25160825852</v>
      </c>
      <c r="ER649" s="130">
        <f t="shared" si="3765"/>
        <v>6.2061528909211461</v>
      </c>
      <c r="ES649" s="91">
        <f t="shared" si="3802"/>
        <v>266466.24968435219</v>
      </c>
      <c r="ET649" s="130">
        <f t="shared" si="3767"/>
        <v>6.4570481032473204</v>
      </c>
      <c r="EU649" s="91">
        <f t="shared" si="3802"/>
        <v>270557.34355788562</v>
      </c>
      <c r="EV649" s="130">
        <f t="shared" si="3769"/>
        <v>6.0505969943225324</v>
      </c>
      <c r="EW649" s="91">
        <f t="shared" si="3802"/>
        <v>274699.48833368614</v>
      </c>
      <c r="EX649" s="130">
        <f t="shared" si="3771"/>
        <v>6.0218714742687585</v>
      </c>
      <c r="EY649" s="356"/>
      <c r="EZ649" s="558"/>
      <c r="FA649" s="356"/>
      <c r="FB649" s="91">
        <f>FB632-FB655-FB647-FB643-FB644</f>
        <v>87421.6</v>
      </c>
      <c r="FC649" s="71"/>
      <c r="FD649" s="91">
        <f>FD632-FD655-FD647-FD643-FD644</f>
        <v>97659.6</v>
      </c>
      <c r="FE649" s="70">
        <f t="shared" si="3772"/>
        <v>11.711064542401427</v>
      </c>
      <c r="FF649" s="91">
        <f>FF632-FF655-FF647-FF643-FF644</f>
        <v>93878.6</v>
      </c>
      <c r="FG649" s="70">
        <f t="shared" si="3772"/>
        <v>-3.8716111882498017</v>
      </c>
      <c r="FH649" s="91">
        <f>FH632-FH655-FH647-FH643-FH644</f>
        <v>91051.943999999989</v>
      </c>
      <c r="FI649" s="70">
        <f t="shared" si="3772"/>
        <v>-3.0109694861235825</v>
      </c>
      <c r="FJ649" s="91">
        <f>FJ632-FJ655-FJ647-FJ643-FJ644</f>
        <v>86108.542000000001</v>
      </c>
      <c r="FK649" s="70">
        <f t="shared" si="3772"/>
        <v>-5.4292108249769928</v>
      </c>
      <c r="FL649" s="91">
        <f>FL632-FL655-FL647-FL643-FL644</f>
        <v>99430.499999999985</v>
      </c>
      <c r="FM649" s="61">
        <f t="shared" si="3773"/>
        <v>15.471122481669685</v>
      </c>
      <c r="FN649" s="91">
        <f>FN632-FN655-FN647-FN643-FN644</f>
        <v>108440.8</v>
      </c>
      <c r="FO649" s="61">
        <f t="shared" si="3774"/>
        <v>9.0619075635745681</v>
      </c>
      <c r="FP649" s="75">
        <f>FP632-FP655-FP647-FP643-FP644</f>
        <v>117022.30000000002</v>
      </c>
      <c r="FQ649" s="61">
        <f t="shared" si="3354"/>
        <v>28.522571687211908</v>
      </c>
      <c r="FR649" s="75">
        <f>FR632-FR655-FR647-FR643-FR644</f>
        <v>163249.5</v>
      </c>
      <c r="FS649" s="61">
        <f>IF(ISERROR((FR649/FP649-1)*100),"NA",IF(((FR649/FP649-1)*100)&gt;100,"NM",IF(((FR649/FP649-1)*100)&lt;-50,"NM",(FR649/FP649-1)*100)))</f>
        <v>39.502898165563295</v>
      </c>
      <c r="FT649" s="75">
        <f>FT632-FT655-FT647-FT643-FT644</f>
        <v>176121.19999999998</v>
      </c>
      <c r="FU649" s="61">
        <f>IF(ISERROR((FT649/FR649-1)*100),"NA",IF(((FT649/FR649-1)*100)&gt;100,"NM",IF(((FT649/FR649-1)*100)&lt;-50,"NM",(FT649/FR649-1)*100)))</f>
        <v>7.8846795855423757</v>
      </c>
      <c r="FV649" s="75">
        <f>FV632-FV655-FV647-FV643-FV644</f>
        <v>149613.29999999999</v>
      </c>
      <c r="FW649" s="61">
        <f>IF(ISERROR((FV649/FT649-1)*100),"NA",IF(((FV649/FT649-1)*100)&gt;100,"NM",IF(((FV649/FT649-1)*100)&lt;-50,"NM",(FV649/FT649-1)*100)))</f>
        <v>-15.050942192081362</v>
      </c>
      <c r="FX649" s="91">
        <f>FX632-FX655-FX646-FX644-FX643</f>
        <v>160333.20000000001</v>
      </c>
      <c r="FY649" s="61">
        <f>IF(ISERROR((FX649/FV649-1)*100),"NA",IF(((FX649/FV649-1)*100)&gt;100,"NM",IF(((FX649/FV649-1)*100)&lt;-50,"NM",(FX649/FV649-1)*100)))</f>
        <v>7.1650715544674393</v>
      </c>
      <c r="FZ649" s="91">
        <f>FZ632-FZ655-FZ646-FZ644-FZ643</f>
        <v>175267.90000000002</v>
      </c>
      <c r="GA649" s="61">
        <f>IF(ISERROR((FZ649/FX649-1)*100),"NA",IF(((FZ649/FX649-1)*100)&gt;100,"NM",IF(((FZ649/FX649-1)*100)&lt;-50,"NM",(FZ649/FX649-1)*100)))</f>
        <v>9.3147894509683749</v>
      </c>
      <c r="GB649" s="91">
        <f>GB632-GB655-GB646-GB644-GB643</f>
        <v>182700</v>
      </c>
      <c r="GC649" s="61">
        <f>IF(ISERROR((GB649/FZ649-1)*100),"NA",IF(((GB649/FZ649-1)*100)&gt;100,"NM",IF(((GB649/FZ649-1)*100)&lt;-50,"NM",(GB649/FZ649-1)*100)))</f>
        <v>4.2404228041757586</v>
      </c>
      <c r="GD649" s="91">
        <f>GD632-GD655-GD646-GD644-GD643</f>
        <v>198257</v>
      </c>
      <c r="GE649" s="61">
        <f>IF(ISERROR((GD649/GB649-1)*100),"NA",IF(((GD649/GB649-1)*100)&gt;100,"NM",IF(((GD649/GB649-1)*100)&lt;-50,"NM",(GD649/GB649-1)*100)))</f>
        <v>8.5150519978106196</v>
      </c>
      <c r="GF649" s="91">
        <f>GF632-GF655-GF646-GF644-GF643</f>
        <v>217671</v>
      </c>
      <c r="GG649" s="61">
        <f t="shared" si="3775"/>
        <v>9.7923402452372521</v>
      </c>
      <c r="GH649" s="91">
        <f>GH632-GH655-GH646-GH644-GH643</f>
        <v>232117</v>
      </c>
      <c r="GI649" s="61">
        <f t="shared" si="3776"/>
        <v>6.6366213230058202</v>
      </c>
      <c r="GJ649" s="91">
        <f>GJ632-GJ655-GJ646-GJ644-GJ643</f>
        <v>232738</v>
      </c>
      <c r="GK649" s="61">
        <f t="shared" si="3777"/>
        <v>0.26753749186831932</v>
      </c>
      <c r="GL649" s="91">
        <f>GL632-GL655-GL646-GL644-GL643</f>
        <v>241804</v>
      </c>
      <c r="GM649" s="61">
        <f t="shared" si="3777"/>
        <v>3.8953673229124686</v>
      </c>
      <c r="GN649" s="91">
        <f>GN632-GN655-GN646-GN644-GN643</f>
        <v>259097</v>
      </c>
      <c r="GO649" s="61">
        <f t="shared" si="3777"/>
        <v>7.151660022166717</v>
      </c>
      <c r="GP649" s="91">
        <f>GP632-GP655-GP646-GP644-GP643</f>
        <v>274699.48833368614</v>
      </c>
      <c r="GQ649" s="61">
        <f t="shared" si="3777"/>
        <v>6.0218714742687585</v>
      </c>
      <c r="GR649" s="91">
        <f>GR632-GR655-GR646-GR644-GR643</f>
        <v>291531.67115931999</v>
      </c>
      <c r="GS649" s="61">
        <f t="shared" si="3777"/>
        <v>6.1274896898196207</v>
      </c>
      <c r="GT649" s="91">
        <f>GT632-GT655-GT646-GT644-GT643</f>
        <v>309321.54135211773</v>
      </c>
      <c r="GU649" s="61">
        <f t="shared" si="3777"/>
        <v>6.1022084228631535</v>
      </c>
      <c r="GV649" s="91">
        <f>GV632-GV655-GV646-GV644-GV643</f>
        <v>328234.53930903826</v>
      </c>
      <c r="GW649" s="61">
        <f t="shared" si="3777"/>
        <v>6.1143488016538905</v>
      </c>
      <c r="GX649" s="91">
        <f>GX632-GX655-GX646-GX644-GX643</f>
        <v>348274.14866532641</v>
      </c>
      <c r="GY649" s="61">
        <f t="shared" si="3778"/>
        <v>6.1052713704271566</v>
      </c>
      <c r="GZ649" s="61">
        <f t="shared" si="3732"/>
        <v>6.0942314157448108</v>
      </c>
      <c r="HA649" s="61"/>
      <c r="HB649" s="452"/>
      <c r="HC649"/>
      <c r="HD649"/>
      <c r="HE649"/>
      <c r="HF649"/>
      <c r="HG649"/>
      <c r="HH649"/>
    </row>
    <row r="650" spans="1:216" s="5" customFormat="1" ht="12.75" customHeight="1" x14ac:dyDescent="0.2">
      <c r="A650" s="11"/>
      <c r="B650" s="7" t="s">
        <v>652</v>
      </c>
      <c r="C650" s="91">
        <f>C649-C628</f>
        <v>43937.200000000004</v>
      </c>
      <c r="D650" s="70"/>
      <c r="E650" s="91">
        <f>E649-E628</f>
        <v>43631.900000000009</v>
      </c>
      <c r="F650" s="71"/>
      <c r="G650" s="91">
        <f>G649-G628</f>
        <v>43251.1</v>
      </c>
      <c r="H650" s="71"/>
      <c r="I650" s="91">
        <f>I649-I628</f>
        <v>43298.700000000004</v>
      </c>
      <c r="J650" s="61"/>
      <c r="K650" s="91">
        <f>K649-K628</f>
        <v>43363.299999999988</v>
      </c>
      <c r="L650" s="61">
        <f t="shared" si="3733"/>
        <v>-1.3061824604208239</v>
      </c>
      <c r="M650" s="91">
        <f>M649-M628</f>
        <v>43138.400000000009</v>
      </c>
      <c r="N650" s="61">
        <f t="shared" si="3734"/>
        <v>-1.1310531973166449</v>
      </c>
      <c r="O650" s="91">
        <f>O649-O628</f>
        <v>44069.8</v>
      </c>
      <c r="P650" s="61">
        <f t="shared" si="3735"/>
        <v>1.8928998337614633</v>
      </c>
      <c r="Q650" s="91">
        <f>Q649-Q628</f>
        <v>46218.543999999987</v>
      </c>
      <c r="R650" s="61">
        <f t="shared" si="3736"/>
        <v>6.743491144075886</v>
      </c>
      <c r="S650" s="91">
        <f>S649-S628</f>
        <v>46384.5</v>
      </c>
      <c r="T650" s="61">
        <f t="shared" si="3737"/>
        <v>6.9671819257298484</v>
      </c>
      <c r="U650" s="91">
        <f>U649-U628</f>
        <v>47433.476999999992</v>
      </c>
      <c r="V650" s="61">
        <f t="shared" si="3738"/>
        <v>9.9565051091370584</v>
      </c>
      <c r="W650" s="91">
        <f>W649-W628</f>
        <v>49301.711999999985</v>
      </c>
      <c r="X650" s="61">
        <f t="shared" si="3739"/>
        <v>11.871875978561231</v>
      </c>
      <c r="Y650" s="91">
        <f>Y649-Y628</f>
        <v>49930.241999999998</v>
      </c>
      <c r="Z650" s="61">
        <f t="shared" si="3740"/>
        <v>8.0307549281518185</v>
      </c>
      <c r="AA650" s="91">
        <f>AA649-AA628</f>
        <v>50594.507999999987</v>
      </c>
      <c r="AB650" s="61">
        <f t="shared" si="3741"/>
        <v>9.0763250654852143</v>
      </c>
      <c r="AC650" s="91">
        <f>AC649-AC628</f>
        <v>52172.111000000019</v>
      </c>
      <c r="AD650" s="61">
        <f t="shared" si="3742"/>
        <v>9.9900625037460991</v>
      </c>
      <c r="AE650" s="91">
        <f>AE649-AE628</f>
        <v>52427.1</v>
      </c>
      <c r="AF650" s="61">
        <f t="shared" si="3743"/>
        <v>6.3393092718565525</v>
      </c>
      <c r="AG650" s="91">
        <f>AG649-AG628</f>
        <v>52865.299999999988</v>
      </c>
      <c r="AH650" s="61">
        <f t="shared" si="3744"/>
        <v>5.8783171930149924</v>
      </c>
      <c r="AI650" s="91">
        <f>AI649-AI628</f>
        <v>53468.1</v>
      </c>
      <c r="AJ650" s="61">
        <f t="shared" si="3745"/>
        <v>5.6796520286352292</v>
      </c>
      <c r="AK650" s="91">
        <f>AK649-AK628</f>
        <v>52774</v>
      </c>
      <c r="AL650" s="61">
        <f t="shared" si="3746"/>
        <v>1.1536604298031605</v>
      </c>
      <c r="AM650" s="91">
        <f>AM649-AM628</f>
        <v>53091.9</v>
      </c>
      <c r="AN650" s="61">
        <f t="shared" si="3747"/>
        <v>1.2680464874082364</v>
      </c>
      <c r="AO650" s="91">
        <f>AO649-AO628</f>
        <v>53236.200000000004</v>
      </c>
      <c r="AP650" s="61">
        <f t="shared" si="3748"/>
        <v>0.7015944296164367</v>
      </c>
      <c r="AQ650" s="91">
        <f>AQ649-AQ628</f>
        <v>53344.899999999994</v>
      </c>
      <c r="AR650" s="61">
        <f t="shared" si="3749"/>
        <v>-0.23041776311483186</v>
      </c>
      <c r="AS650" s="91">
        <f>AS649-AS628</f>
        <v>53849.2</v>
      </c>
      <c r="AT650" s="61">
        <f t="shared" si="3750"/>
        <v>2.0373668852086135</v>
      </c>
      <c r="AU650" s="91">
        <f>AU649-AU628</f>
        <v>53573.8</v>
      </c>
      <c r="AV650" s="61">
        <f t="shared" si="3751"/>
        <v>0.90767141503695914</v>
      </c>
      <c r="AW650" s="91">
        <f>AW649-AW628</f>
        <v>53275.300000000017</v>
      </c>
      <c r="AX650" s="61">
        <f t="shared" si="3752"/>
        <v>7.3446264008358852E-2</v>
      </c>
      <c r="AY650" s="91">
        <f>AY649-AY628</f>
        <v>52808.2</v>
      </c>
      <c r="AZ650" s="61">
        <f t="shared" si="3753"/>
        <v>-1.0060943032979663</v>
      </c>
      <c r="BA650" s="91">
        <f>BA649-BA628</f>
        <v>81659.600000000006</v>
      </c>
      <c r="BB650" s="61">
        <f t="shared" si="3344"/>
        <v>51.644964084888926</v>
      </c>
      <c r="BC650" s="91">
        <f>BC649-BC628</f>
        <v>82104.199999999983</v>
      </c>
      <c r="BD650" s="61">
        <f t="shared" si="3345"/>
        <v>53.254389272368165</v>
      </c>
      <c r="BE650" s="91">
        <f>BE649-BE628</f>
        <v>82715.8</v>
      </c>
      <c r="BF650" s="61">
        <f t="shared" si="3346"/>
        <v>55.261068450107231</v>
      </c>
      <c r="BG650" s="91">
        <f>BG649-BG628</f>
        <v>83014.899999999994</v>
      </c>
      <c r="BH650" s="61">
        <f>IF(ISERROR((BG650/AY650-1)*100),"NA",IF(((BG650/AY650-1)*100)&gt;100,"NM",IF(((BG650/AY650-1)*100)&lt;-50,"NM",(BG650/AY650-1)*100)))</f>
        <v>57.200775637116962</v>
      </c>
      <c r="BI650" s="91">
        <f>BI649-BI628</f>
        <v>83548.7</v>
      </c>
      <c r="BJ650" s="61">
        <f>IF(ISERROR((BI650/BA650-1)*100),"NA",IF(((BI650/BA650-1)*100)&gt;100,"NM",IF(((BI650/BA650-1)*100)&lt;-50,"NM",(BI650/BA650-1)*100)))</f>
        <v>2.313383851990447</v>
      </c>
      <c r="BK650" s="91">
        <f>BK649-BK628</f>
        <v>84186.699999999983</v>
      </c>
      <c r="BL650" s="61">
        <f>IF(ISERROR((BK650/BC650-1)*100),"NA",IF(((BK650/BC650-1)*100)&gt;100,"NM",IF(((BK650/BC650-1)*100)&lt;-50,"NM",(BK650/BC650-1)*100)))</f>
        <v>2.5364110483994784</v>
      </c>
      <c r="BM650" s="91">
        <f>BM649-BM628</f>
        <v>85007.89999999998</v>
      </c>
      <c r="BN650" s="61">
        <f>IF(ISERROR((BM650/BE650-1)*100),"NA",IF(((BM650/BE650-1)*100)&gt;100,"NM",IF(((BM650/BE650-1)*100)&lt;-50,"NM",(BM650/BE650-1)*100)))</f>
        <v>2.7710546231795918</v>
      </c>
      <c r="BO650" s="91">
        <f>BO649-BO628</f>
        <v>86093.1</v>
      </c>
      <c r="BP650" s="61">
        <f>IF(ISERROR((BO650/BG650-1)*100),"NA",IF(((BO650/BG650-1)*100)&gt;100,"NM",IF(((BO650/BG650-1)*100)&lt;-50,"NM",(BO650/BG650-1)*100)))</f>
        <v>3.7080090441595548</v>
      </c>
      <c r="BQ650" s="91">
        <f>BQ649-BQ628</f>
        <v>83331.700000000012</v>
      </c>
      <c r="BR650" s="61">
        <f>IF(ISERROR((BQ650/BI650-1)*100),"NA",IF(((BQ650/BI650-1)*100)&gt;100,"NM",IF(((BQ650/BI650-1)*100)&lt;-50,"NM",(BQ650/BI650-1)*100)))</f>
        <v>-0.25972875700038811</v>
      </c>
      <c r="BS650" s="91">
        <f>BS649-BS628</f>
        <v>83440.599999999991</v>
      </c>
      <c r="BT650" s="61">
        <f>IF(ISERROR((BS650/BK650-1)*100),"NA",IF(((BS650/BK650-1)*100)&gt;100,"NM",IF(((BS650/BK650-1)*100)&lt;-50,"NM",(BS650/BK650-1)*100)))</f>
        <v>-0.88624450180372349</v>
      </c>
      <c r="BU650" s="91">
        <f>BU649-BU628</f>
        <v>88980.699999999983</v>
      </c>
      <c r="BV650" s="61">
        <f>IF(ISERROR((BU650/BM650-1)*100),"NA",IF(((BU650/BM650-1)*100)&gt;100,"NM",IF(((BU650/BM650-1)*100)&lt;-50,"NM",(BU650/BM650-1)*100)))</f>
        <v>4.673447997186142</v>
      </c>
      <c r="BW650" s="91">
        <f>BW649-BW628</f>
        <v>86836.699999999983</v>
      </c>
      <c r="BX650" s="61">
        <f>IF(ISERROR((BW650/BO650-1)*100),"NA",IF(((BW650/BO650-1)*100)&gt;100,"NM",IF(((BW650/BO650-1)*100)&lt;-50,"NM",(BW650/BO650-1)*100)))</f>
        <v>0.86371613985323226</v>
      </c>
      <c r="BY650" s="91">
        <f>BY649-BY628</f>
        <v>91649.4</v>
      </c>
      <c r="BZ650" s="61">
        <f>IF(ISERROR((BY650/BQ650-1)*100),"NA",IF(((BY650/BQ650-1)*100)&gt;100,"NM",IF(((BY650/BQ650-1)*100)&lt;-50,"NM",(BY650/BQ650-1)*100)))</f>
        <v>9.9814356361384462</v>
      </c>
      <c r="CA650" s="91">
        <f>CA649-CA628</f>
        <v>94533.699999999983</v>
      </c>
      <c r="CB650" s="61">
        <f>IF(ISERROR((CA650/BS650-1)*100),"NA",IF(((CA650/BS650-1)*100)&gt;100,"NM",IF(((CA650/BS650-1)*100)&lt;-50,"NM",(CA650/BS650-1)*100)))</f>
        <v>13.294607181635797</v>
      </c>
      <c r="CC650" s="91">
        <f>CC649-CC628</f>
        <v>86833.1</v>
      </c>
      <c r="CD650" s="61">
        <f>IF(ISERROR((CC650/BU650-1)*100),"NA",IF(((CC650/BU650-1)*100)&gt;100,"NM",IF(((CC650/BU650-1)*100)&lt;-50,"NM",(CC650/BU650-1)*100)))</f>
        <v>-2.4135570972131926</v>
      </c>
      <c r="CE650" s="91">
        <f>CE649-CE628</f>
        <v>87662.60000000002</v>
      </c>
      <c r="CF650" s="61">
        <f>IF(ISERROR((CE650/BW650-1)*100),"NA",IF(((CE650/BW650-1)*100)&gt;100,"NM",IF(((CE650/BW650-1)*100)&lt;-50,"NM",(CE650/BW650-1)*100)))</f>
        <v>0.95109556212988888</v>
      </c>
      <c r="CG650" s="91">
        <f>CG649-CG628</f>
        <v>90684.199999999983</v>
      </c>
      <c r="CH650" s="61">
        <f>IF(ISERROR((CG650/BY650-1)*100),"NA",IF(((CG650/BY650-1)*100)&gt;100,"NM",IF(((CG650/BY650-1)*100)&lt;-50,"NM",(CG650/BY650-1)*100)))</f>
        <v>-1.053143828546621</v>
      </c>
      <c r="CI650" s="91">
        <f>CI649-CI628</f>
        <v>92312.89999999998</v>
      </c>
      <c r="CJ650" s="61">
        <f>IF(ISERROR((CI650/CA650-1)*100),"NA",IF(((CI650/CA650-1)*100)&gt;100,"NM",IF(((CI650/CA650-1)*100)&lt;-50,"NM",(CI650/CA650-1)*100)))</f>
        <v>-2.3492151476140255</v>
      </c>
      <c r="CK650" s="91">
        <f>CK649-CK628</f>
        <v>90637.800000000017</v>
      </c>
      <c r="CL650" s="61">
        <f>IF(ISERROR((CK650/CC650-1)*100),"NA",IF(((CK650/CC650-1)*100)&gt;100,"NM",IF(((CK650/CC650-1)*100)&lt;-50,"NM",(CK650/CC650-1)*100)))</f>
        <v>4.3816240581068922</v>
      </c>
      <c r="CM650" s="91">
        <f>CM649-CM628</f>
        <v>90724.499999999985</v>
      </c>
      <c r="CN650" s="61">
        <f>IF(ISERROR((CM650/CE650-1)*100),"NA",IF(((CM650/CE650-1)*100)&gt;100,"NM",IF(((CM650/CE650-1)*100)&lt;-50,"NM",(CM650/CE650-1)*100)))</f>
        <v>3.4928236214759378</v>
      </c>
      <c r="CO650" s="91">
        <f>CO649-CO628</f>
        <v>92598.299999999988</v>
      </c>
      <c r="CP650" s="61">
        <f>IF(ISERROR((CO650/CG650-1)*100),"NA",IF(((CO650/CG650-1)*100)&gt;100,"NM",IF(((CO650/CG650-1)*100)&lt;-50,"NM",(CO650/CG650-1)*100)))</f>
        <v>2.1107315276531091</v>
      </c>
      <c r="CQ650" s="91">
        <f>CQ649-CQ628</f>
        <v>98242</v>
      </c>
      <c r="CR650" s="61">
        <f>IF(ISERROR((CQ650/CI650-1)*100),"NA",IF(((CQ650/CI650-1)*100)&gt;100,"NM",IF(((CQ650/CI650-1)*100)&lt;-50,"NM",(CQ650/CI650-1)*100)))</f>
        <v>6.4228293120463409</v>
      </c>
      <c r="CS650" s="91">
        <f>CS649-CS628</f>
        <v>99223</v>
      </c>
      <c r="CT650" s="61">
        <f>IF(ISERROR((CS650/CK650-1)*100),"NA",IF(((CS650/CK650-1)*100)&gt;100,"NM",IF(((CS650/CK650-1)*100)&lt;-50,"NM",(CS650/CK650-1)*100)))</f>
        <v>9.4719863015209746</v>
      </c>
      <c r="CU650" s="91">
        <f>CU649-CU628</f>
        <v>97904</v>
      </c>
      <c r="CV650" s="61">
        <f>IF(ISERROR((CU650/CM650-1)*100),"NA",IF(((CU650/CM650-1)*100)&gt;100,"NM",IF(((CU650/CM650-1)*100)&lt;-50,"NM",(CU650/CM650-1)*100)))</f>
        <v>7.9135183991094094</v>
      </c>
      <c r="CW650" s="91">
        <f>CW649-CW628</f>
        <v>102213</v>
      </c>
      <c r="CX650" s="61">
        <f>IF(ISERROR((CW650/CO650-1)*100),"NA",IF(((CW650/CO650-1)*100)&gt;100,"NM",IF(((CW650/CO650-1)*100)&lt;-50,"NM",(CW650/CO650-1)*100)))</f>
        <v>10.383235977334371</v>
      </c>
      <c r="CY650" s="91">
        <f>CY649-CY628</f>
        <v>101318</v>
      </c>
      <c r="CZ650" s="61">
        <f>IF(ISERROR((CY650/CQ650-1)*100),"NA",IF(((CY650/CQ650-1)*100)&gt;100,"NM",IF(((CY650/CQ650-1)*100)&lt;-50,"NM",(CY650/CQ650-1)*100)))</f>
        <v>3.1310437491093523</v>
      </c>
      <c r="DA650" s="91">
        <f>DA649-DA628</f>
        <v>102884</v>
      </c>
      <c r="DB650" s="61">
        <f>IF(ISERROR((DA650/CS650-1)*100),"NA",IF(((DA650/CS650-1)*100)&gt;100,"NM",IF(((DA650/CS650-1)*100)&lt;-50,"NM",(DA650/CS650-1)*100)))</f>
        <v>3.6896687260010275</v>
      </c>
      <c r="DC650" s="91">
        <f>DC649-DC628</f>
        <v>102518</v>
      </c>
      <c r="DD650" s="61">
        <f>IF(ISERROR((DC650/CU650-1)*100),"NA",IF(((DC650/CU650-1)*100)&gt;100,"NM",IF(((DC650/CU650-1)*100)&lt;-50,"NM",(DC650/CU650-1)*100)))</f>
        <v>4.7127798659911679</v>
      </c>
      <c r="DE650" s="91">
        <f>DE649-DE628</f>
        <v>101665</v>
      </c>
      <c r="DF650" s="61">
        <f>IF(ISERROR((DE650/CW650-1)*100),"NA",IF(((DE650/CW650-1)*100)&gt;100,"NM",IF(((DE650/CW650-1)*100)&lt;-50,"NM",(DE650/CW650-1)*100)))</f>
        <v>-0.53613532525217389</v>
      </c>
      <c r="DG650" s="91">
        <f>DG649-DG628</f>
        <v>101291</v>
      </c>
      <c r="DH650" s="61">
        <f>IF(ISERROR((DG650/CY650-1)*100),"NA",IF(((DG650/CY650-1)*100)&gt;100,"NM",IF(((DG650/CY650-1)*100)&lt;-50,"NM",(DG650/CY650-1)*100)))</f>
        <v>-2.6648769221659929E-2</v>
      </c>
      <c r="DI650" s="91">
        <f>DI649-DI628</f>
        <v>100536</v>
      </c>
      <c r="DJ650" s="61">
        <f>IF(ISERROR((DI650/DA650-1)*100),"NA",IF(((DI650/DA650-1)*100)&gt;100,"NM",IF(((DI650/DA650-1)*100)&lt;-50,"NM",(DI650/DA650-1)*100)))</f>
        <v>-2.2821818747327138</v>
      </c>
      <c r="DK650" s="91">
        <f>DK649-DK628</f>
        <v>103114</v>
      </c>
      <c r="DL650" s="61">
        <f>IF(ISERROR((DK650/DC650-1)*100),"NA",IF(((DK650/DC650-1)*100)&gt;100,"NM",IF(((DK650/DC650-1)*100)&lt;-50,"NM",(DK650/DC650-1)*100)))</f>
        <v>0.58136132191419776</v>
      </c>
      <c r="DM650" s="91">
        <f>DM649-DM628</f>
        <v>104095</v>
      </c>
      <c r="DN650" s="130">
        <f t="shared" si="3754"/>
        <v>2.3902031180839112</v>
      </c>
      <c r="DO650" s="91">
        <f>DO649-DO628</f>
        <v>104621</v>
      </c>
      <c r="DP650" s="130">
        <f t="shared" si="3754"/>
        <v>3.287557630984006</v>
      </c>
      <c r="DQ650" s="91">
        <f>DQ649-DQ628</f>
        <v>106852</v>
      </c>
      <c r="DR650" s="61">
        <f t="shared" si="3755"/>
        <v>6.282326728733989</v>
      </c>
      <c r="DS650" s="91">
        <f>DS649-DS628</f>
        <v>108557</v>
      </c>
      <c r="DT650" s="130">
        <f t="shared" si="3754"/>
        <v>5.2786236592509361</v>
      </c>
      <c r="DU650" s="91">
        <f>DU649-DU628</f>
        <v>106907</v>
      </c>
      <c r="DV650" s="130">
        <f t="shared" si="3754"/>
        <v>2.7013785484413244</v>
      </c>
      <c r="DW650" s="91">
        <f>DW649-DW628</f>
        <v>109252</v>
      </c>
      <c r="DX650" s="91">
        <f t="shared" ref="DX650:DY650" si="3803">DX649-DX628</f>
        <v>109252</v>
      </c>
      <c r="DY650" s="91">
        <f t="shared" si="3803"/>
        <v>109119</v>
      </c>
      <c r="DZ650" s="130">
        <f t="shared" si="3754"/>
        <v>2.1216261745217624</v>
      </c>
      <c r="EA650" s="91">
        <f t="shared" ref="EA650:EC650" si="3804">EA649-EA628</f>
        <v>111904</v>
      </c>
      <c r="EB650" s="130">
        <f t="shared" si="3756"/>
        <v>3.0831728953452986</v>
      </c>
      <c r="EC650" s="91">
        <f t="shared" si="3804"/>
        <v>116365</v>
      </c>
      <c r="ED650" s="130">
        <f t="shared" si="3757"/>
        <v>8.8469417344046786</v>
      </c>
      <c r="EE650" s="91">
        <f t="shared" ref="EE650:EG650" si="3805">EE649-EE628</f>
        <v>115982</v>
      </c>
      <c r="EF650" s="130">
        <f t="shared" si="3758"/>
        <v>6.1600702961959408</v>
      </c>
      <c r="EG650" s="91">
        <f t="shared" si="3805"/>
        <v>113407</v>
      </c>
      <c r="EH650" s="130">
        <f t="shared" si="3759"/>
        <v>3.9296547805606652</v>
      </c>
      <c r="EI650" s="91">
        <f t="shared" ref="EI650:EK650" si="3806">EI649-EI628</f>
        <v>114204</v>
      </c>
      <c r="EJ650" s="130">
        <f t="shared" si="3760"/>
        <v>2.0553331426937271</v>
      </c>
      <c r="EK650" s="91">
        <f t="shared" si="3806"/>
        <v>114479</v>
      </c>
      <c r="EL650" s="130">
        <f t="shared" si="3761"/>
        <v>-1.6207622566923097</v>
      </c>
      <c r="EM650" s="91">
        <f t="shared" ref="EM650" si="3807">EM649-EM628</f>
        <v>115509</v>
      </c>
      <c r="EN650" s="130">
        <f t="shared" si="3762"/>
        <v>-0.40782190339880842</v>
      </c>
      <c r="EO650" s="91">
        <f t="shared" ref="EO650" si="3808">EO649-EO628</f>
        <v>114878</v>
      </c>
      <c r="EP650" s="130">
        <f t="shared" si="3763"/>
        <v>1.2970980627298179</v>
      </c>
      <c r="EQ650" s="91">
        <f t="shared" ref="EQ650:EW650" si="3809">EQ649-EQ628</f>
        <v>115397.87160825852</v>
      </c>
      <c r="ER650" s="130">
        <f t="shared" si="3765"/>
        <v>1.0453851075781229</v>
      </c>
      <c r="ES650" s="91">
        <f t="shared" si="3809"/>
        <v>116420.80208435218</v>
      </c>
      <c r="ET650" s="130">
        <f t="shared" si="3767"/>
        <v>1.6962081118390149</v>
      </c>
      <c r="EU650" s="91">
        <f t="shared" si="3809"/>
        <v>117510.9870058856</v>
      </c>
      <c r="EV650" s="130">
        <f t="shared" si="3769"/>
        <v>1.7331870294830631</v>
      </c>
      <c r="EW650" s="91">
        <f t="shared" si="3809"/>
        <v>118592.20465064613</v>
      </c>
      <c r="EX650" s="130">
        <f t="shared" si="3771"/>
        <v>3.2331731494682492</v>
      </c>
      <c r="EY650" s="356"/>
      <c r="EZ650" s="558"/>
      <c r="FA650" s="356"/>
      <c r="FB650" s="91">
        <f>FB649-FB628</f>
        <v>44012.700000000004</v>
      </c>
      <c r="FC650" s="71"/>
      <c r="FD650" s="91">
        <f>FD649-FD628</f>
        <v>44095.400000000009</v>
      </c>
      <c r="FE650" s="70">
        <f t="shared" si="3772"/>
        <v>0.18790031059217061</v>
      </c>
      <c r="FF650" s="91">
        <f>FF649-FF628</f>
        <v>43298.700000000004</v>
      </c>
      <c r="FG650" s="70">
        <f t="shared" si="3772"/>
        <v>-1.8067644244070924</v>
      </c>
      <c r="FH650" s="91">
        <f>FH649-FH628</f>
        <v>46218.543999999987</v>
      </c>
      <c r="FI650" s="70">
        <f t="shared" si="3772"/>
        <v>6.743491144075886</v>
      </c>
      <c r="FJ650" s="91">
        <f>FJ649-FJ628</f>
        <v>49930.241999999998</v>
      </c>
      <c r="FK650" s="70">
        <f t="shared" si="3772"/>
        <v>8.0307549281518185</v>
      </c>
      <c r="FL650" s="91">
        <f>FL649-FL628</f>
        <v>52865.299999999988</v>
      </c>
      <c r="FM650" s="61">
        <f t="shared" si="3773"/>
        <v>5.8783171930149924</v>
      </c>
      <c r="FN650" s="91">
        <f>FN649-FN628</f>
        <v>53236.200000000004</v>
      </c>
      <c r="FO650" s="61">
        <f t="shared" si="3774"/>
        <v>0.7015944296164367</v>
      </c>
      <c r="FP650" s="75">
        <f>FP649-FP628</f>
        <v>53275.300000000017</v>
      </c>
      <c r="FQ650" s="61">
        <f t="shared" si="3354"/>
        <v>15.268235191485125</v>
      </c>
      <c r="FR650" s="75">
        <f>FR649-FR628</f>
        <v>82715.8</v>
      </c>
      <c r="FS650" s="61">
        <f>IF(ISERROR((FR650/FP650-1)*100),"NA",IF(((FR650/FP650-1)*100)&gt;100,"NM",IF(((FR650/FP650-1)*100)&lt;-50,"NM",(FR650/FP650-1)*100)))</f>
        <v>55.261068450107231</v>
      </c>
      <c r="FT650" s="75">
        <f>FT649-FT628</f>
        <v>85007.89999999998</v>
      </c>
      <c r="FU650" s="61">
        <f>IF(ISERROR((FT650/FR650-1)*100),"NA",IF(((FT650/FR650-1)*100)&gt;100,"NM",IF(((FT650/FR650-1)*100)&lt;-50,"NM",(FT650/FR650-1)*100)))</f>
        <v>2.7710546231795918</v>
      </c>
      <c r="FV650" s="75">
        <f>FV649-FV628</f>
        <v>88980.699999999983</v>
      </c>
      <c r="FW650" s="61">
        <f>IF(ISERROR((FV650/FT650-1)*100),"NA",IF(((FV650/FT650-1)*100)&gt;100,"NM",IF(((FV650/FT650-1)*100)&lt;-50,"NM",(FV650/FT650-1)*100)))</f>
        <v>4.673447997186142</v>
      </c>
      <c r="FX650" s="75">
        <f>FX649-FX628</f>
        <v>86833.1</v>
      </c>
      <c r="FY650" s="61">
        <f>IF(ISERROR((FX650/FV650-1)*100),"NA",IF(((FX650/FV650-1)*100)&gt;100,"NM",IF(((FX650/FV650-1)*100)&lt;-50,"NM",(FX650/FV650-1)*100)))</f>
        <v>-2.4135570972131926</v>
      </c>
      <c r="FZ650" s="75">
        <f>FZ649-FZ628</f>
        <v>90637.800000000017</v>
      </c>
      <c r="GA650" s="61">
        <f>IF(ISERROR((FZ650/FX650-1)*100),"NA",IF(((FZ650/FX650-1)*100)&gt;100,"NM",IF(((FZ650/FX650-1)*100)&lt;-50,"NM",(FZ650/FX650-1)*100)))</f>
        <v>4.3816240581068922</v>
      </c>
      <c r="GB650" s="75">
        <f>GB649-GB628</f>
        <v>99223</v>
      </c>
      <c r="GC650" s="61">
        <f>IF(ISERROR((GB650/FZ650-1)*100),"NA",IF(((GB650/FZ650-1)*100)&gt;100,"NM",IF(((GB650/FZ650-1)*100)&lt;-50,"NM",(GB650/FZ650-1)*100)))</f>
        <v>9.4719863015209746</v>
      </c>
      <c r="GD650" s="75">
        <f>GD649-GD628</f>
        <v>102884</v>
      </c>
      <c r="GE650" s="61">
        <f>IF(ISERROR((GD650/GB650-1)*100),"NA",IF(((GD650/GB650-1)*100)&gt;100,"NM",IF(((GD650/GB650-1)*100)&lt;-50,"NM",(GD650/GB650-1)*100)))</f>
        <v>3.6896687260010275</v>
      </c>
      <c r="GF650" s="75">
        <f>GF649-GF628</f>
        <v>100536</v>
      </c>
      <c r="GG650" s="61">
        <f t="shared" si="3775"/>
        <v>-2.2821818747327138</v>
      </c>
      <c r="GH650" s="75">
        <f>GH649-GH628</f>
        <v>106852</v>
      </c>
      <c r="GI650" s="61">
        <f t="shared" si="3776"/>
        <v>6.282326728733989</v>
      </c>
      <c r="GJ650" s="75">
        <f>GJ649-GJ628</f>
        <v>109119</v>
      </c>
      <c r="GK650" s="61">
        <f t="shared" si="3777"/>
        <v>2.1216261745217624</v>
      </c>
      <c r="GL650" s="75">
        <f>GL649-GL628</f>
        <v>113407</v>
      </c>
      <c r="GM650" s="61">
        <f t="shared" si="3777"/>
        <v>3.9296547805606652</v>
      </c>
      <c r="GN650" s="75">
        <f>GN649-GN628</f>
        <v>114878</v>
      </c>
      <c r="GO650" s="61">
        <f t="shared" si="3777"/>
        <v>1.2970980627298179</v>
      </c>
      <c r="GP650" s="75">
        <f>GP649-GP628</f>
        <v>118592.20465064613</v>
      </c>
      <c r="GQ650" s="61">
        <f t="shared" si="3777"/>
        <v>3.2331731494682492</v>
      </c>
      <c r="GR650" s="91">
        <f>GR649-GR628</f>
        <v>122935.80478163678</v>
      </c>
      <c r="GS650" s="61">
        <f t="shared" si="3777"/>
        <v>3.6626354521245297</v>
      </c>
      <c r="GT650" s="91">
        <f>GT649-GT628</f>
        <v>127238.00566421985</v>
      </c>
      <c r="GU650" s="61">
        <f t="shared" si="3777"/>
        <v>3.4995507535211523</v>
      </c>
      <c r="GV650" s="91">
        <f>GV649-GV628</f>
        <v>131584.32076610855</v>
      </c>
      <c r="GW650" s="61">
        <f t="shared" si="3777"/>
        <v>3.4158937647597254</v>
      </c>
      <c r="GX650" s="91">
        <f>GX649-GX628</f>
        <v>135891.91263896233</v>
      </c>
      <c r="GY650" s="61">
        <f t="shared" si="3778"/>
        <v>3.2736361351977106</v>
      </c>
      <c r="GZ650" s="61">
        <f t="shared" si="3732"/>
        <v>3.4168604059573449</v>
      </c>
      <c r="HA650" s="61"/>
      <c r="HB650" s="452"/>
      <c r="HC650"/>
      <c r="HD650"/>
      <c r="HE650"/>
      <c r="HF650"/>
      <c r="HG650"/>
      <c r="HH650"/>
    </row>
    <row r="651" spans="1:216" s="5" customFormat="1" ht="12.75" customHeight="1" x14ac:dyDescent="0.2">
      <c r="A651" s="8"/>
      <c r="B651" s="105"/>
      <c r="C651" s="231"/>
      <c r="D651" s="107"/>
      <c r="E651" s="231"/>
      <c r="F651" s="64"/>
      <c r="G651" s="64"/>
      <c r="H651" s="64"/>
      <c r="I651" s="356"/>
      <c r="J651" s="64"/>
      <c r="K651" s="356"/>
      <c r="L651" s="61"/>
      <c r="M651" s="231"/>
      <c r="N651" s="61"/>
      <c r="O651" s="64"/>
      <c r="P651" s="61"/>
      <c r="Q651" s="64"/>
      <c r="R651" s="61"/>
      <c r="S651" s="64"/>
      <c r="T651" s="61"/>
      <c r="U651" s="356"/>
      <c r="V651" s="61"/>
      <c r="W651" s="64"/>
      <c r="X651" s="61"/>
      <c r="Y651" s="64"/>
      <c r="Z651" s="61"/>
      <c r="AA651" s="64"/>
      <c r="AB651" s="61"/>
      <c r="AC651" s="64"/>
      <c r="AD651" s="61"/>
      <c r="AE651" s="64"/>
      <c r="AF651" s="61"/>
      <c r="AG651" s="64"/>
      <c r="AH651" s="61"/>
      <c r="AI651" s="64"/>
      <c r="AJ651" s="61"/>
      <c r="AK651" s="64"/>
      <c r="AL651" s="61"/>
      <c r="AM651" s="64"/>
      <c r="AN651" s="61"/>
      <c r="AO651" s="64"/>
      <c r="AP651" s="61"/>
      <c r="AQ651" s="64"/>
      <c r="AR651" s="61"/>
      <c r="AS651" s="64"/>
      <c r="AT651" s="61"/>
      <c r="AU651" s="64"/>
      <c r="AV651" s="61"/>
      <c r="AW651" s="64"/>
      <c r="AX651" s="61"/>
      <c r="AY651" s="64"/>
      <c r="AZ651" s="61"/>
      <c r="BA651" s="64"/>
      <c r="BB651" s="61"/>
      <c r="BC651" s="64"/>
      <c r="BD651" s="61"/>
      <c r="BE651" s="64"/>
      <c r="BF651" s="61"/>
      <c r="BG651" s="64"/>
      <c r="BH651" s="61"/>
      <c r="BI651" s="64"/>
      <c r="BJ651" s="61"/>
      <c r="BK651" s="64"/>
      <c r="BL651" s="61"/>
      <c r="BM651" s="64"/>
      <c r="BN651" s="61"/>
      <c r="BO651" s="64"/>
      <c r="BP651" s="61"/>
      <c r="BQ651" s="64"/>
      <c r="BR651" s="61"/>
      <c r="BS651" s="64"/>
      <c r="BT651" s="61"/>
      <c r="BU651" s="64"/>
      <c r="BV651" s="61"/>
      <c r="BW651" s="356"/>
      <c r="BX651" s="61"/>
      <c r="BY651" s="356"/>
      <c r="BZ651" s="61"/>
      <c r="CA651" s="356"/>
      <c r="CB651" s="61"/>
      <c r="CC651" s="356"/>
      <c r="CD651" s="61"/>
      <c r="CE651" s="356"/>
      <c r="CF651" s="61"/>
      <c r="CG651" s="356"/>
      <c r="CH651" s="61"/>
      <c r="CI651" s="356"/>
      <c r="CJ651" s="61"/>
      <c r="CK651" s="356"/>
      <c r="CL651" s="61"/>
      <c r="CM651" s="356"/>
      <c r="CN651" s="61"/>
      <c r="CO651" s="356"/>
      <c r="CP651" s="61"/>
      <c r="CQ651" s="356"/>
      <c r="CR651" s="61"/>
      <c r="CS651" s="356"/>
      <c r="CT651" s="61"/>
      <c r="CU651" s="356"/>
      <c r="CV651" s="61"/>
      <c r="CW651" s="356"/>
      <c r="CX651" s="61"/>
      <c r="CY651" s="356"/>
      <c r="CZ651" s="61"/>
      <c r="DA651" s="356"/>
      <c r="DB651" s="61"/>
      <c r="DC651" s="356"/>
      <c r="DD651" s="61"/>
      <c r="DE651" s="356"/>
      <c r="DF651" s="61"/>
      <c r="DG651" s="356"/>
      <c r="DH651" s="61"/>
      <c r="DI651" s="356"/>
      <c r="DJ651" s="61"/>
      <c r="DK651" s="356"/>
      <c r="DL651" s="61"/>
      <c r="DM651" s="356"/>
      <c r="DN651" s="61"/>
      <c r="DO651" s="356"/>
      <c r="DP651" s="61"/>
      <c r="DQ651" s="356"/>
      <c r="DR651" s="61"/>
      <c r="DS651" s="356"/>
      <c r="DT651" s="61"/>
      <c r="DU651" s="356"/>
      <c r="DV651" s="61"/>
      <c r="DW651" s="356"/>
      <c r="DX651" s="356"/>
      <c r="DY651" s="356"/>
      <c r="DZ651" s="61"/>
      <c r="EA651" s="356"/>
      <c r="EB651" s="61"/>
      <c r="EC651" s="356"/>
      <c r="ED651" s="61"/>
      <c r="EE651" s="356"/>
      <c r="EF651" s="61"/>
      <c r="EG651" s="356"/>
      <c r="EH651" s="61"/>
      <c r="EI651" s="356"/>
      <c r="EJ651" s="61"/>
      <c r="EK651" s="356"/>
      <c r="EL651" s="61"/>
      <c r="EM651" s="356"/>
      <c r="EN651" s="61"/>
      <c r="EO651" s="356"/>
      <c r="EP651" s="61"/>
      <c r="EQ651" s="356"/>
      <c r="ER651" s="61"/>
      <c r="ES651" s="356"/>
      <c r="ET651" s="61"/>
      <c r="EU651" s="356"/>
      <c r="EV651" s="61"/>
      <c r="EW651" s="356"/>
      <c r="EX651" s="61"/>
      <c r="EY651" s="64"/>
      <c r="EZ651" s="558"/>
      <c r="FA651" s="64"/>
      <c r="FB651" s="356"/>
      <c r="FC651" s="64"/>
      <c r="FD651" s="64"/>
      <c r="FE651" s="107"/>
      <c r="FF651" s="356"/>
      <c r="FG651" s="107"/>
      <c r="FH651" s="356"/>
      <c r="FI651" s="107"/>
      <c r="FJ651" s="356"/>
      <c r="FK651" s="107"/>
      <c r="FL651" s="356"/>
      <c r="FM651" s="61"/>
      <c r="FN651" s="356"/>
      <c r="FO651" s="61"/>
      <c r="FP651" s="357"/>
      <c r="FQ651" s="61"/>
      <c r="FR651" s="357"/>
      <c r="FS651" s="61"/>
      <c r="FT651" s="357"/>
      <c r="FU651" s="61"/>
      <c r="FV651" s="357"/>
      <c r="FW651" s="61"/>
      <c r="FX651" s="357"/>
      <c r="FY651" s="61"/>
      <c r="FZ651" s="357"/>
      <c r="GA651" s="61"/>
      <c r="GB651" s="357"/>
      <c r="GC651" s="61"/>
      <c r="GD651" s="357"/>
      <c r="GE651" s="61"/>
      <c r="GF651" s="357"/>
      <c r="GG651" s="61"/>
      <c r="GH651" s="357"/>
      <c r="GI651" s="61"/>
      <c r="GJ651" s="357"/>
      <c r="GK651" s="61"/>
      <c r="GL651" s="357"/>
      <c r="GM651" s="61"/>
      <c r="GN651" s="357"/>
      <c r="GO651" s="61"/>
      <c r="GP651" s="357"/>
      <c r="GQ651" s="61"/>
      <c r="GR651" s="356"/>
      <c r="GS651" s="61"/>
      <c r="GT651" s="356"/>
      <c r="GU651" s="61"/>
      <c r="GV651" s="356"/>
      <c r="GW651" s="61"/>
      <c r="GX651" s="356"/>
      <c r="GY651" s="61"/>
      <c r="GZ651" s="61" t="str">
        <f t="shared" si="3732"/>
        <v/>
      </c>
      <c r="HA651" s="61"/>
      <c r="HB651" s="452"/>
      <c r="HC651"/>
      <c r="HD651"/>
      <c r="HE651"/>
      <c r="HF651"/>
      <c r="HG651"/>
      <c r="HH651"/>
    </row>
    <row r="652" spans="1:216" s="5" customFormat="1" ht="12.75" customHeight="1" x14ac:dyDescent="0.2">
      <c r="A652" s="8"/>
      <c r="B652" s="105" t="s">
        <v>632</v>
      </c>
      <c r="C652" s="231"/>
      <c r="D652" s="107"/>
      <c r="E652" s="231"/>
      <c r="F652" s="64"/>
      <c r="G652" s="64"/>
      <c r="H652" s="64"/>
      <c r="I652" s="356"/>
      <c r="J652" s="64"/>
      <c r="K652" s="356"/>
      <c r="L652" s="61"/>
      <c r="M652" s="231"/>
      <c r="N652" s="61"/>
      <c r="O652" s="64"/>
      <c r="P652" s="61"/>
      <c r="Q652" s="64"/>
      <c r="R652" s="61"/>
      <c r="S652" s="64"/>
      <c r="T652" s="61"/>
      <c r="U652" s="356"/>
      <c r="V652" s="61"/>
      <c r="W652" s="64"/>
      <c r="X652" s="61"/>
      <c r="Y652" s="64"/>
      <c r="Z652" s="61"/>
      <c r="AA652" s="64"/>
      <c r="AB652" s="61"/>
      <c r="AC652" s="64"/>
      <c r="AD652" s="61"/>
      <c r="AE652" s="64"/>
      <c r="AF652" s="61"/>
      <c r="AG652" s="64"/>
      <c r="AH652" s="61"/>
      <c r="AI652" s="64"/>
      <c r="AJ652" s="61"/>
      <c r="AK652" s="64"/>
      <c r="AL652" s="61"/>
      <c r="AM652" s="64"/>
      <c r="AN652" s="61"/>
      <c r="AO652" s="64"/>
      <c r="AP652" s="61"/>
      <c r="AQ652" s="64"/>
      <c r="AR652" s="61"/>
      <c r="AS652" s="64"/>
      <c r="AT652" s="61"/>
      <c r="AU652" s="64"/>
      <c r="AV652" s="61"/>
      <c r="AW652" s="64"/>
      <c r="AX652" s="61"/>
      <c r="AY652" s="64"/>
      <c r="AZ652" s="61"/>
      <c r="BA652" s="64"/>
      <c r="BB652" s="61"/>
      <c r="BC652" s="64"/>
      <c r="BD652" s="61"/>
      <c r="BE652" s="64"/>
      <c r="BF652" s="61"/>
      <c r="BG652" s="64"/>
      <c r="BH652" s="61"/>
      <c r="BI652" s="64"/>
      <c r="BJ652" s="61"/>
      <c r="BK652" s="64"/>
      <c r="BL652" s="61"/>
      <c r="BM652" s="64"/>
      <c r="BN652" s="61"/>
      <c r="BO652" s="64"/>
      <c r="BP652" s="61"/>
      <c r="BQ652" s="64"/>
      <c r="BR652" s="61"/>
      <c r="BS652" s="64"/>
      <c r="BT652" s="61"/>
      <c r="BU652" s="64"/>
      <c r="BV652" s="61"/>
      <c r="BW652" s="408"/>
      <c r="BX652" s="61"/>
      <c r="BY652" s="408"/>
      <c r="BZ652" s="61"/>
      <c r="CA652" s="408"/>
      <c r="CB652" s="61"/>
      <c r="CC652" s="408"/>
      <c r="CD652" s="61"/>
      <c r="CE652" s="408"/>
      <c r="CF652" s="61"/>
      <c r="CG652" s="408"/>
      <c r="CH652" s="61"/>
      <c r="CI652" s="408"/>
      <c r="CJ652" s="61"/>
      <c r="CK652" s="408"/>
      <c r="CL652" s="61"/>
      <c r="CM652" s="408"/>
      <c r="CN652" s="61"/>
      <c r="CO652" s="408"/>
      <c r="CP652" s="61"/>
      <c r="CQ652" s="408"/>
      <c r="CR652" s="61"/>
      <c r="CS652" s="408"/>
      <c r="CT652" s="61"/>
      <c r="CU652" s="408"/>
      <c r="CV652" s="61"/>
      <c r="CW652" s="408"/>
      <c r="CX652" s="61"/>
      <c r="CY652" s="408"/>
      <c r="CZ652" s="61"/>
      <c r="DA652" s="408"/>
      <c r="DB652" s="61"/>
      <c r="DC652" s="408"/>
      <c r="DD652" s="61"/>
      <c r="DE652" s="408"/>
      <c r="DF652" s="61"/>
      <c r="DG652" s="408"/>
      <c r="DH652" s="61"/>
      <c r="DI652" s="408"/>
      <c r="DJ652" s="61"/>
      <c r="DK652" s="408"/>
      <c r="DL652" s="61"/>
      <c r="DM652" s="408"/>
      <c r="DN652" s="61"/>
      <c r="DO652" s="408"/>
      <c r="DP652" s="61"/>
      <c r="DQ652" s="408"/>
      <c r="DR652" s="61"/>
      <c r="DS652" s="408"/>
      <c r="DT652" s="61"/>
      <c r="DU652" s="408"/>
      <c r="DV652" s="61"/>
      <c r="DW652" s="408"/>
      <c r="DX652" s="408"/>
      <c r="DY652" s="408"/>
      <c r="DZ652" s="61"/>
      <c r="EA652" s="408"/>
      <c r="EB652" s="61"/>
      <c r="EC652" s="408"/>
      <c r="ED652" s="61"/>
      <c r="EE652" s="408"/>
      <c r="EF652" s="61"/>
      <c r="EG652" s="408"/>
      <c r="EH652" s="61"/>
      <c r="EI652" s="408"/>
      <c r="EJ652" s="61"/>
      <c r="EK652" s="408"/>
      <c r="EL652" s="61"/>
      <c r="EM652" s="408"/>
      <c r="EN652" s="61"/>
      <c r="EO652" s="408"/>
      <c r="EP652" s="61"/>
      <c r="EQ652" s="408"/>
      <c r="ER652" s="61"/>
      <c r="ES652" s="408"/>
      <c r="ET652" s="61"/>
      <c r="EU652" s="408"/>
      <c r="EV652" s="61"/>
      <c r="EW652" s="408"/>
      <c r="EX652" s="61"/>
      <c r="EY652" s="64"/>
      <c r="EZ652" s="558"/>
      <c r="FA652" s="64"/>
      <c r="FB652" s="356"/>
      <c r="FC652" s="64"/>
      <c r="FD652" s="64"/>
      <c r="FE652" s="107"/>
      <c r="FF652" s="356"/>
      <c r="FG652" s="107"/>
      <c r="FH652" s="356"/>
      <c r="FI652" s="107"/>
      <c r="FJ652" s="356"/>
      <c r="FK652" s="107"/>
      <c r="FL652" s="356"/>
      <c r="FM652" s="61"/>
      <c r="FN652" s="356"/>
      <c r="FO652" s="61"/>
      <c r="FP652" s="65"/>
      <c r="FQ652" s="61"/>
      <c r="FR652" s="65"/>
      <c r="FS652" s="61"/>
      <c r="FT652" s="65"/>
      <c r="FU652" s="61"/>
      <c r="FV652" s="65"/>
      <c r="FW652" s="61"/>
      <c r="FX652" s="65"/>
      <c r="FY652" s="61"/>
      <c r="FZ652" s="65"/>
      <c r="GA652" s="61"/>
      <c r="GB652" s="65"/>
      <c r="GC652" s="61"/>
      <c r="GD652" s="65"/>
      <c r="GE652" s="61"/>
      <c r="GF652" s="65"/>
      <c r="GG652" s="61"/>
      <c r="GH652" s="65"/>
      <c r="GI652" s="61"/>
      <c r="GJ652" s="65"/>
      <c r="GK652" s="61"/>
      <c r="GL652" s="65"/>
      <c r="GM652" s="61"/>
      <c r="GN652" s="65"/>
      <c r="GO652" s="61"/>
      <c r="GP652" s="65"/>
      <c r="GQ652" s="61"/>
      <c r="GR652" s="408"/>
      <c r="GS652" s="61"/>
      <c r="GT652" s="408"/>
      <c r="GU652" s="61"/>
      <c r="GV652" s="408"/>
      <c r="GW652" s="61"/>
      <c r="GX652" s="408"/>
      <c r="GY652" s="61"/>
      <c r="GZ652" s="61" t="str">
        <f t="shared" si="3732"/>
        <v/>
      </c>
      <c r="HA652" s="61"/>
      <c r="HB652" s="452"/>
      <c r="HC652"/>
      <c r="HD652"/>
      <c r="HE652"/>
      <c r="HF652"/>
      <c r="HG652"/>
      <c r="HH652"/>
    </row>
    <row r="653" spans="1:216" s="5" customFormat="1" ht="12.75" customHeight="1" x14ac:dyDescent="0.2">
      <c r="A653" s="8"/>
      <c r="B653" s="7" t="s">
        <v>536</v>
      </c>
      <c r="C653" s="231"/>
      <c r="D653" s="107"/>
      <c r="E653" s="231"/>
      <c r="F653" s="64"/>
      <c r="G653" s="64"/>
      <c r="H653" s="64"/>
      <c r="I653" s="72">
        <f>1003.651+0.857</f>
        <v>1004.5079999999999</v>
      </c>
      <c r="J653" s="64"/>
      <c r="K653" s="72">
        <f>993.373+0.825</f>
        <v>994.19800000000009</v>
      </c>
      <c r="L653" s="61"/>
      <c r="M653" s="72">
        <f>1028.121+0.801</f>
        <v>1028.922</v>
      </c>
      <c r="N653" s="61"/>
      <c r="O653" s="72">
        <f>1252.49+0.774</f>
        <v>1253.2639999999999</v>
      </c>
      <c r="P653" s="61"/>
      <c r="Q653" s="72">
        <f>1255.112+0.762</f>
        <v>1255.874</v>
      </c>
      <c r="R653" s="61"/>
      <c r="S653" s="72">
        <f>1307.316+0.735</f>
        <v>1308.0509999999999</v>
      </c>
      <c r="T653" s="61"/>
      <c r="U653" s="72">
        <f>1305.649+0.681</f>
        <v>1306.33</v>
      </c>
      <c r="V653" s="61"/>
      <c r="W653" s="72">
        <f>1508.056+0.671</f>
        <v>1508.7270000000001</v>
      </c>
      <c r="X653" s="61"/>
      <c r="Y653" s="72">
        <f>1467.439+0.666</f>
        <v>1468.105</v>
      </c>
      <c r="Z653" s="61"/>
      <c r="AA653" s="72">
        <f>1446.727+0.64</f>
        <v>1447.3670000000002</v>
      </c>
      <c r="AB653" s="61"/>
      <c r="AC653" s="72">
        <f>1454.828+0.638</f>
        <v>1455.4659999999999</v>
      </c>
      <c r="AD653" s="61"/>
      <c r="AE653" s="72">
        <v>1508.69</v>
      </c>
      <c r="AF653" s="61"/>
      <c r="AG653" s="72">
        <v>1529.2940000000001</v>
      </c>
      <c r="AH653" s="61">
        <f t="shared" ref="AH653:AP654" si="3810">IF(ISERROR((AG653/Y653-1)*100),"NA",IF(((AG653/Y653-1)*100)&gt;100,"NM",IF(((AG653/Y653-1)*100)&lt;-50,"NM",(AG653/Y653-1)*100)))</f>
        <v>4.1678898988832591</v>
      </c>
      <c r="AI653" s="72">
        <v>1576.0110000000002</v>
      </c>
      <c r="AJ653" s="61">
        <f t="shared" si="3810"/>
        <v>8.8881396356280007</v>
      </c>
      <c r="AK653" s="72">
        <v>1590.308</v>
      </c>
      <c r="AL653" s="61">
        <f t="shared" si="3810"/>
        <v>9.2645242142379125</v>
      </c>
      <c r="AM653" s="72">
        <v>1595.5959999999998</v>
      </c>
      <c r="AN653" s="61">
        <f t="shared" si="3810"/>
        <v>5.7603616382424283</v>
      </c>
      <c r="AO653" s="72">
        <v>1655.3510000000001</v>
      </c>
      <c r="AP653" s="61">
        <f t="shared" si="3810"/>
        <v>8.2428231589217091</v>
      </c>
      <c r="AQ653" s="72">
        <v>1688.55</v>
      </c>
      <c r="AR653" s="61">
        <f>IF(ISERROR((AQ653/AI653-1)*100),"NA",IF(((AQ653/AI653-1)*100)&gt;100,"NM",IF(((AQ653/AI653-1)*100)&lt;-50,"NM",(AQ653/AI653-1)*100)))</f>
        <v>7.1407496521280533</v>
      </c>
      <c r="AS653" s="72">
        <v>1690.7439999999999</v>
      </c>
      <c r="AT653" s="61">
        <f>IF(ISERROR((AS653/AK653-1)*100),"NA",IF(((AS653/AK653-1)*100)&gt;100,"NM",IF(((AS653/AK653-1)*100)&lt;-50,"NM",(AS653/AK653-1)*100)))</f>
        <v>6.3155061786773325</v>
      </c>
      <c r="AU653" s="72">
        <v>1740.221</v>
      </c>
      <c r="AV653" s="61">
        <f>IF(ISERROR((AU653/AM653-1)*100),"NA",IF(((AU653/AM653-1)*100)&gt;100,"NM",IF(((AU653/AM653-1)*100)&lt;-50,"NM",(AU653/AM653-1)*100)))</f>
        <v>9.0640111908026899</v>
      </c>
      <c r="AW653" s="72">
        <v>1775</v>
      </c>
      <c r="AX653" s="61">
        <f>IF(ISERROR((AW653/AO653-1)*100),"NA",IF(((AW653/AO653-1)*100)&gt;100,"NM",IF(((AW653/AO653-1)*100)&lt;-50,"NM",(AW653/AO653-1)*100)))</f>
        <v>7.228013877419337</v>
      </c>
      <c r="AY653" s="72">
        <v>1818</v>
      </c>
      <c r="AZ653" s="61">
        <f>IF(ISERROR((AY653/AQ653-1)*100),"NA",IF(((AY653/AQ653-1)*100)&gt;100,"NM",IF(((AY653/AQ653-1)*100)&lt;-50,"NM",(AY653/AQ653-1)*100)))</f>
        <v>7.6663409434129859</v>
      </c>
      <c r="BA653" s="72">
        <v>7426</v>
      </c>
      <c r="BB653" s="61" t="str">
        <f t="shared" si="3344"/>
        <v>NM</v>
      </c>
      <c r="BC653" s="72">
        <v>7448.7</v>
      </c>
      <c r="BD653" s="61" t="str">
        <f t="shared" si="3345"/>
        <v>NM</v>
      </c>
      <c r="BE653" s="72">
        <v>7450.7</v>
      </c>
      <c r="BF653" s="61" t="str">
        <f t="shared" si="3346"/>
        <v>NM</v>
      </c>
      <c r="BG653" s="72">
        <v>7318.5</v>
      </c>
      <c r="BH653" s="61" t="str">
        <f>IF(ISERROR((BG653/AY653-1)*100),"NA",IF(((BG653/AY653-1)*100)&gt;100,"NM",IF(((BG653/AY653-1)*100)&lt;-50,"NM",(BG653/AY653-1)*100)))</f>
        <v>NM</v>
      </c>
      <c r="BI653" s="72">
        <v>7362.1</v>
      </c>
      <c r="BJ653" s="61">
        <f>IF(ISERROR((BI653/BA653-1)*100),"NA",IF(((BI653/BA653-1)*100)&gt;100,"NM",IF(((BI653/BA653-1)*100)&lt;-50,"NM",(BI653/BA653-1)*100)))</f>
        <v>-0.86049016967411074</v>
      </c>
      <c r="BK653" s="72">
        <v>7308.6</v>
      </c>
      <c r="BL653" s="61">
        <f>IF(ISERROR((BK653/BC653-1)*100),"NA",IF(((BK653/BC653-1)*100)&gt;100,"NM",IF(((BK653/BC653-1)*100)&lt;-50,"NM",(BK653/BC653-1)*100)))</f>
        <v>-1.88086511740303</v>
      </c>
      <c r="BM653" s="72">
        <v>7200.5</v>
      </c>
      <c r="BN653" s="61">
        <f>IF(ISERROR((BM653/BE653-1)*100),"NA",IF(((BM653/BE653-1)*100)&gt;100,"NM",IF(((BM653/BE653-1)*100)&lt;-50,"NM",(BM653/BE653-1)*100)))</f>
        <v>-3.3580737380380365</v>
      </c>
      <c r="BO653" s="72">
        <v>7074.8</v>
      </c>
      <c r="BP653" s="61">
        <f>IF(ISERROR((BO653/BG653-1)*100),"NA",IF(((BO653/BG653-1)*100)&gt;100,"NM",IF(((BO653/BG653-1)*100)&lt;-50,"NM",(BO653/BG653-1)*100)))</f>
        <v>-3.3299173327867693</v>
      </c>
      <c r="BQ653" s="72">
        <v>7023.1</v>
      </c>
      <c r="BR653" s="61">
        <f>IF(ISERROR((BQ653/BI653-1)*100),"NA",IF(((BQ653/BI653-1)*100)&gt;100,"NM",IF(((BQ653/BI653-1)*100)&lt;-50,"NM",(BQ653/BI653-1)*100)))</f>
        <v>-4.6046644299860056</v>
      </c>
      <c r="BS653" s="72">
        <v>7006.4</v>
      </c>
      <c r="BT653" s="61">
        <f>IF(ISERROR((BS653/BK653-1)*100),"NA",IF(((BS653/BK653-1)*100)&gt;100,"NM",IF(((BS653/BK653-1)*100)&lt;-50,"NM",(BS653/BK653-1)*100)))</f>
        <v>-4.1348548285581437</v>
      </c>
      <c r="BU653" s="72">
        <v>7035.3</v>
      </c>
      <c r="BV653" s="61">
        <f>IF(ISERROR((BU653/BM653-1)*100),"NA",IF(((BU653/BM653-1)*100)&gt;100,"NM",IF(((BU653/BM653-1)*100)&lt;-50,"NM",(BU653/BM653-1)*100)))</f>
        <v>-2.2942851190889457</v>
      </c>
      <c r="BW653" s="72">
        <v>7033.5</v>
      </c>
      <c r="BX653" s="61">
        <f>IF(ISERROR((BW653/BO653-1)*100),"NA",IF(((BW653/BO653-1)*100)&gt;100,"NM",IF(((BW653/BO653-1)*100)&lt;-50,"NM",(BW653/BO653-1)*100)))</f>
        <v>-0.583762085147288</v>
      </c>
      <c r="BY653" s="72">
        <v>7681.5</v>
      </c>
      <c r="BZ653" s="61">
        <f>IF(ISERROR((BY653/BQ653-1)*100),"NA",IF(((BY653/BQ653-1)*100)&gt;100,"NM",IF(((BY653/BQ653-1)*100)&lt;-50,"NM",(BY653/BQ653-1)*100)))</f>
        <v>9.3747775198986147</v>
      </c>
      <c r="CA653" s="72">
        <v>7841.7</v>
      </c>
      <c r="CB653" s="61">
        <f>IF(ISERROR((CA653/BS653-1)*100),"NA",IF(((CA653/BS653-1)*100)&gt;100,"NM",IF(((CA653/BS653-1)*100)&lt;-50,"NM",(CA653/BS653-1)*100)))</f>
        <v>11.921957067823708</v>
      </c>
      <c r="CC653" s="72">
        <v>7839.9</v>
      </c>
      <c r="CD653" s="61">
        <f>IF(ISERROR((CC653/BU653-1)*100),"NA",IF(((CC653/BU653-1)*100)&gt;100,"NM",IF(((CC653/BU653-1)*100)&lt;-50,"NM",(CC653/BU653-1)*100)))</f>
        <v>11.436612511193545</v>
      </c>
      <c r="CE653" s="72">
        <v>7845.3</v>
      </c>
      <c r="CF653" s="61">
        <f t="shared" ref="CF653:CF663" si="3811">IF(ISERROR((CE653/BW653-1)*100),"NA",IF(((CE653/BW653-1)*100)&gt;100,"NM",IF(((CE653/BW653-1)*100)&lt;-50,"NM",(CE653/BW653-1)*100)))</f>
        <v>11.541906589891227</v>
      </c>
      <c r="CG653" s="72">
        <v>8188.2</v>
      </c>
      <c r="CH653" s="61">
        <f t="shared" ref="CH653:CH663" si="3812">IF(ISERROR((CG653/BY653-1)*100),"NA",IF(((CG653/BY653-1)*100)&gt;100,"NM",IF(((CG653/BY653-1)*100)&lt;-50,"NM",(CG653/BY653-1)*100)))</f>
        <v>6.5963678968951278</v>
      </c>
      <c r="CI653" s="72">
        <v>8141.9</v>
      </c>
      <c r="CJ653" s="61">
        <f t="shared" ref="CJ653:CJ663" si="3813">IF(ISERROR((CI653/CA653-1)*100),"NA",IF(((CI653/CA653-1)*100)&gt;100,"NM",IF(((CI653/CA653-1)*100)&lt;-50,"NM",(CI653/CA653-1)*100)))</f>
        <v>3.8282515270923412</v>
      </c>
      <c r="CK653" s="72">
        <v>8124.2</v>
      </c>
      <c r="CL653" s="61">
        <f t="shared" ref="CL653:CL663" si="3814">IF(ISERROR((CK653/CC653-1)*100),"NA",IF(((CK653/CC653-1)*100)&gt;100,"NM",IF(((CK653/CC653-1)*100)&lt;-50,"NM",(CK653/CC653-1)*100)))</f>
        <v>3.6263217643082157</v>
      </c>
      <c r="CM653" s="72">
        <v>8063.5</v>
      </c>
      <c r="CN653" s="61">
        <f t="shared" ref="CN653:CN663" si="3815">IF(ISERROR((CM653/CE653-1)*100),"NA",IF(((CM653/CE653-1)*100)&gt;100,"NM",IF(((CM653/CE653-1)*100)&lt;-50,"NM",(CM653/CE653-1)*100)))</f>
        <v>2.7812830611958717</v>
      </c>
      <c r="CO653" s="72">
        <v>7938</v>
      </c>
      <c r="CP653" s="61">
        <f t="shared" ref="CP653:CP663" si="3816">IF(ISERROR((CO653/CG653-1)*100),"NA",IF(((CO653/CG653-1)*100)&gt;100,"NM",IF(((CO653/CG653-1)*100)&lt;-50,"NM",(CO653/CG653-1)*100)))</f>
        <v>-3.0556166190371492</v>
      </c>
      <c r="CQ653" s="72">
        <v>7792</v>
      </c>
      <c r="CR653" s="61">
        <f t="shared" ref="CR653:CR663" si="3817">IF(ISERROR((CQ653/CI653-1)*100),"NA",IF(((CQ653/CI653-1)*100)&gt;100,"NM",IF(((CQ653/CI653-1)*100)&lt;-50,"NM",(CQ653/CI653-1)*100)))</f>
        <v>-4.297522691263711</v>
      </c>
      <c r="CS653" s="72">
        <v>7590</v>
      </c>
      <c r="CT653" s="61">
        <f t="shared" ref="CT653:CT663" si="3818">IF(ISERROR((CS653/CK653-1)*100),"NA",IF(((CS653/CK653-1)*100)&gt;100,"NM",IF(((CS653/CK653-1)*100)&lt;-50,"NM",(CS653/CK653-1)*100)))</f>
        <v>-6.5754166564092493</v>
      </c>
      <c r="CU653" s="72">
        <v>7448</v>
      </c>
      <c r="CV653" s="61">
        <f t="shared" ref="CV653:CV663" si="3819">IF(ISERROR((CU653/CM653-1)*100),"NA",IF(((CU653/CM653-1)*100)&gt;100,"NM",IF(((CU653/CM653-1)*100)&lt;-50,"NM",(CU653/CM653-1)*100)))</f>
        <v>-7.6331617783840784</v>
      </c>
      <c r="CW653" s="72">
        <v>7310</v>
      </c>
      <c r="CX653" s="61">
        <f t="shared" ref="CX653:CX663" si="3820">IF(ISERROR((CW653/CO653-1)*100),"NA",IF(((CW653/CO653-1)*100)&gt;100,"NM",IF(((CW653/CO653-1)*100)&lt;-50,"NM",(CW653/CO653-1)*100)))</f>
        <v>-7.9113126732174299</v>
      </c>
      <c r="CY653" s="72">
        <v>7214</v>
      </c>
      <c r="CZ653" s="61">
        <f t="shared" ref="CZ653:CZ663" si="3821">IF(ISERROR((CY653/CQ653-1)*100),"NA",IF(((CY653/CQ653-1)*100)&gt;100,"NM",IF(((CY653/CQ653-1)*100)&lt;-50,"NM",(CY653/CQ653-1)*100)))</f>
        <v>-7.417864476386038</v>
      </c>
      <c r="DA653" s="72">
        <v>7121</v>
      </c>
      <c r="DB653" s="61">
        <f t="shared" ref="DB653:DB663" si="3822">IF(ISERROR((DA653/CS653-1)*100),"NA",IF(((DA653/CS653-1)*100)&gt;100,"NM",IF(((DA653/CS653-1)*100)&lt;-50,"NM",(DA653/CS653-1)*100)))</f>
        <v>-6.1791831357048803</v>
      </c>
      <c r="DC653" s="72">
        <v>7043</v>
      </c>
      <c r="DD653" s="61">
        <f t="shared" ref="DD653:DD663" si="3823">IF(ISERROR((DC653/CU653-1)*100),"NA",IF(((DC653/CU653-1)*100)&gt;100,"NM",IF(((DC653/CU653-1)*100)&lt;-50,"NM",(DC653/CU653-1)*100)))</f>
        <v>-5.4377013963480163</v>
      </c>
      <c r="DE653" s="72">
        <v>6937</v>
      </c>
      <c r="DF653" s="61">
        <f t="shared" ref="DF653:DF663" si="3824">IF(ISERROR((DE653/CW653-1)*100),"NA",IF(((DE653/CW653-1)*100)&gt;100,"NM",IF(((DE653/CW653-1)*100)&lt;-50,"NM",(DE653/CW653-1)*100)))</f>
        <v>-5.1025991792065684</v>
      </c>
      <c r="DG653" s="72">
        <v>6886</v>
      </c>
      <c r="DH653" s="61">
        <f t="shared" ref="DH653:DH663" si="3825">IF(ISERROR((DG653/CY653-1)*100),"NA",IF(((DG653/CY653-1)*100)&gt;100,"NM",IF(((DG653/CY653-1)*100)&lt;-50,"NM",(DG653/CY653-1)*100)))</f>
        <v>-4.5467147213750998</v>
      </c>
      <c r="DI653" s="72">
        <v>6877</v>
      </c>
      <c r="DJ653" s="61">
        <f t="shared" ref="DJ653:DJ663" si="3826">IF(ISERROR((DI653/DA653-1)*100),"NA",IF(((DI653/DA653-1)*100)&gt;100,"NM",IF(((DI653/DA653-1)*100)&lt;-50,"NM",(DI653/DA653-1)*100)))</f>
        <v>-3.4264850442353612</v>
      </c>
      <c r="DK653" s="72">
        <v>6805</v>
      </c>
      <c r="DL653" s="61">
        <f t="shared" ref="DL653:DL663" si="3827">IF(ISERROR((DK653/DC653-1)*100),"NA",IF(((DK653/DC653-1)*100)&gt;100,"NM",IF(((DK653/DC653-1)*100)&lt;-50,"NM",(DK653/DC653-1)*100)))</f>
        <v>-3.3792418003691593</v>
      </c>
      <c r="DM653" s="72">
        <v>6739</v>
      </c>
      <c r="DN653" s="130">
        <f t="shared" ref="DN653:DZ663" si="3828">IF(ISERROR((DM653/DE653-1)*100),"NA",IF(((DM653/DE653-1)*100)&gt;100,"NM",IF(((DM653/DE653-1)*100)&lt;-50,"NM",(DM653/DE653-1)*100)))</f>
        <v>-2.8542597664696578</v>
      </c>
      <c r="DO653" s="72">
        <v>6696</v>
      </c>
      <c r="DP653" s="130">
        <f t="shared" si="3828"/>
        <v>-2.7592216090618682</v>
      </c>
      <c r="DQ653" s="72">
        <v>6622</v>
      </c>
      <c r="DR653" s="61">
        <f t="shared" ref="DR653:DR658" si="3829">IF(ISERROR((DQ653/DI653-1)*100),"NA",IF(((DQ653/DI653-1)*100)&gt;100,"NM",IF(((DQ653/DI653-1)*100)&lt;-50,"NM",(DQ653/DI653-1)*100)))</f>
        <v>-3.7080122146284755</v>
      </c>
      <c r="DS653" s="72">
        <v>6493</v>
      </c>
      <c r="DT653" s="130">
        <f t="shared" si="3828"/>
        <v>-4.5848640705363657</v>
      </c>
      <c r="DU653" s="72">
        <v>6469</v>
      </c>
      <c r="DV653" s="130">
        <f t="shared" si="3828"/>
        <v>-4.0065291586288794</v>
      </c>
      <c r="DW653" s="72">
        <v>6380</v>
      </c>
      <c r="DX653" s="72">
        <v>6380</v>
      </c>
      <c r="DY653" s="72">
        <v>6298</v>
      </c>
      <c r="DZ653" s="130">
        <f t="shared" si="3828"/>
        <v>-4.8927816369676798</v>
      </c>
      <c r="EA653" s="72">
        <v>6159</v>
      </c>
      <c r="EB653" s="130">
        <f t="shared" ref="EB653:EB663" si="3830">IF(ISERROR((EA653/DS653-1)*100),"NA",IF(((EA653/DS653-1)*100)&gt;100,"NM",IF(((EA653/DS653-1)*100)&lt;-50,"NM",(EA653/DS653-1)*100)))</f>
        <v>-5.144001232096107</v>
      </c>
      <c r="EC653" s="72">
        <v>6006</v>
      </c>
      <c r="ED653" s="130">
        <f t="shared" ref="ED653:ED663" si="3831">IF(ISERROR((EC653/DU653-1)*100),"NA",IF(((EC653/DU653-1)*100)&gt;100,"NM",IF(((EC653/DU653-1)*100)&lt;-50,"NM",(EC653/DU653-1)*100)))</f>
        <v>-7.1572113155047195</v>
      </c>
      <c r="EE653" s="72">
        <v>5906</v>
      </c>
      <c r="EF653" s="130">
        <f t="shared" ref="EF653:EF663" si="3832">IF(ISERROR((EE653/DW653-1)*100),"NA",IF(((EE653/DW653-1)*100)&gt;100,"NM",IF(((EE653/DW653-1)*100)&lt;-50,"NM",(EE653/DW653-1)*100)))</f>
        <v>-7.4294670846394961</v>
      </c>
      <c r="EG653" s="72">
        <v>5869</v>
      </c>
      <c r="EH653" s="130">
        <f t="shared" ref="EH653:EH663" si="3833">IF(ISERROR((EG653/DY653-1)*100),"NA",IF(((EG653/DY653-1)*100)&gt;100,"NM",IF(((EG653/DY653-1)*100)&lt;-50,"NM",(EG653/DY653-1)*100)))</f>
        <v>-6.8116862496030439</v>
      </c>
      <c r="EI653" s="72">
        <v>5839</v>
      </c>
      <c r="EJ653" s="130">
        <f t="shared" ref="EJ653:EJ663" si="3834">IF(ISERROR((EI653/EA653-1)*100),"NA",IF(((EI653/EA653-1)*100)&gt;100,"NM",IF(((EI653/EA653-1)*100)&lt;-50,"NM",(EI653/EA653-1)*100)))</f>
        <v>-5.195648644260431</v>
      </c>
      <c r="EK653" s="72">
        <v>5774</v>
      </c>
      <c r="EL653" s="130">
        <f t="shared" ref="EL653:EL663" si="3835">IF(ISERROR((EK653/EC653-1)*100),"NA",IF(((EK653/EC653-1)*100)&gt;100,"NM",IF(((EK653/EC653-1)*100)&lt;-50,"NM",(EK653/EC653-1)*100)))</f>
        <v>-3.8628038628038652</v>
      </c>
      <c r="EM653" s="72">
        <v>5717</v>
      </c>
      <c r="EN653" s="130">
        <f t="shared" ref="EN653:EN663" si="3836">IF(ISERROR((EM653/EE653-1)*100),"NA",IF(((EM653/EE653-1)*100)&gt;100,"NM",IF(((EM653/EE653-1)*100)&lt;-50,"NM",(EM653/EE653-1)*100)))</f>
        <v>-3.2001354554690109</v>
      </c>
      <c r="EO653" s="72">
        <v>5693</v>
      </c>
      <c r="EP653" s="130">
        <f t="shared" ref="EP653:EP663" si="3837">IF(ISERROR((EO653/EG653-1)*100),"NA",IF(((EO653/EG653-1)*100)&gt;100,"NM",IF(((EO653/EG653-1)*100)&lt;-50,"NM",(EO653/EG653-1)*100)))</f>
        <v>-2.9988072925540954</v>
      </c>
      <c r="EQ653" s="73">
        <f t="shared" ref="EQ653:EW653" si="3838">+EQ655-EQ654-EQ656</f>
        <v>5693.0000000000018</v>
      </c>
      <c r="ER653" s="130">
        <f t="shared" ref="ER653:ER663" si="3839">IF(ISERROR((EQ653/EI653-1)*100),"NA",IF(((EQ653/EI653-1)*100)&gt;100,"NM",IF(((EQ653/EI653-1)*100)&lt;-50,"NM",(EQ653/EI653-1)*100)))</f>
        <v>-2.5004281555060515</v>
      </c>
      <c r="ES653" s="73">
        <f t="shared" si="3838"/>
        <v>5693.0000000000018</v>
      </c>
      <c r="ET653" s="130">
        <f t="shared" ref="ET653:ET663" si="3840">IF(ISERROR((ES653/EK653-1)*100),"NA",IF(((ES653/EK653-1)*100)&gt;100,"NM",IF(((ES653/EK653-1)*100)&lt;-50,"NM",(ES653/EK653-1)*100)))</f>
        <v>-1.4028403186698735</v>
      </c>
      <c r="EU653" s="73">
        <f t="shared" si="3838"/>
        <v>5608.1776868455654</v>
      </c>
      <c r="EV653" s="130">
        <f t="shared" ref="EV653:EV663" si="3841">IF(ISERROR((EU653/EM653-1)*100),"NA",IF(((EU653/EM653-1)*100)&gt;100,"NM",IF(((EU653/EM653-1)*100)&lt;-50,"NM",(EU653/EM653-1)*100)))</f>
        <v>-1.9034863241986111</v>
      </c>
      <c r="EW653" s="73">
        <f t="shared" si="3838"/>
        <v>5523.5970524280419</v>
      </c>
      <c r="EX653" s="130">
        <f t="shared" ref="EX653:EX663" si="3842">IF(ISERROR((EW653/EO653-1)*100),"NA",IF(((EW653/EO653-1)*100)&gt;100,"NM",IF(((EW653/EO653-1)*100)&lt;-50,"NM",(EW653/EO653-1)*100)))</f>
        <v>-2.9756358259609761</v>
      </c>
      <c r="EY653" s="64"/>
      <c r="EZ653" s="558"/>
      <c r="FA653" s="64"/>
      <c r="FB653" s="356"/>
      <c r="FC653" s="64"/>
      <c r="FD653" s="64"/>
      <c r="FE653" s="107"/>
      <c r="FF653" s="73">
        <f>+I653</f>
        <v>1004.5079999999999</v>
      </c>
      <c r="FG653" s="107"/>
      <c r="FH653" s="73">
        <f>+Q653</f>
        <v>1255.874</v>
      </c>
      <c r="FI653" s="107"/>
      <c r="FJ653" s="73">
        <f>+Y653</f>
        <v>1468.105</v>
      </c>
      <c r="FK653" s="107"/>
      <c r="FL653" s="73">
        <f>+FL655-FL654-FL656</f>
        <v>1529.2980000000002</v>
      </c>
      <c r="FM653" s="61"/>
      <c r="FN653" s="73">
        <f>+FN655-FN654-FN656</f>
        <v>1749.1670000000004</v>
      </c>
      <c r="FO653" s="61">
        <f t="shared" ref="FO653:FO657" si="3843">IF(ISERROR((FN653/FL653-1)*100),"NA",IF(((FN653/FL653-1)*100)&gt;100,"NM",IF(((FN653/FL653-1)*100)&lt;-50,"NM",(FN653/FL653-1)*100)))</f>
        <v>14.377119436499619</v>
      </c>
      <c r="FP653" s="73">
        <f>+FP655-FP654-FP656</f>
        <v>1799.4999999999995</v>
      </c>
      <c r="FQ653" s="61">
        <f t="shared" ref="FQ653:FQ693" si="3844">IF(ISERROR((FP653/FH653-1)*100),"NA",IF(((FP653/FH653-1)*100)&gt;100,"NM",IF(((FP653/FH653-1)*100)&lt;-50,"NM",(FP653/FH653-1)*100)))</f>
        <v>43.286667293056439</v>
      </c>
      <c r="FR653" s="73">
        <f>+FR655-FR654-FR656</f>
        <v>7594.7</v>
      </c>
      <c r="FS653" s="61" t="str">
        <f t="shared" ref="FS653:FS663" si="3845">IF(ISERROR((FR653/FP653-1)*100),"NA",IF(((FR653/FP653-1)*100)&gt;100,"NM",IF(((FR653/FP653-1)*100)&lt;-50,"NM",(FR653/FP653-1)*100)))</f>
        <v>NM</v>
      </c>
      <c r="FT653" s="73">
        <f>+FT655-FT654-FT656</f>
        <v>7340.2</v>
      </c>
      <c r="FU653" s="61">
        <f t="shared" ref="FU653:FU663" si="3846">IF(ISERROR((FT653/FR653-1)*100),"NA",IF(((FT653/FR653-1)*100)&gt;100,"NM",IF(((FT653/FR653-1)*100)&lt;-50,"NM",(FT653/FR653-1)*100)))</f>
        <v>-3.3510211068244922</v>
      </c>
      <c r="FV653" s="73">
        <f>+FV655-FV654-FV656</f>
        <v>7035.7000000000007</v>
      </c>
      <c r="FW653" s="61">
        <f t="shared" ref="FW653:FW663" si="3847">IF(ISERROR((FV653/FT653-1)*100),"NA",IF(((FV653/FT653-1)*100)&gt;100,"NM",IF(((FV653/FT653-1)*100)&lt;-50,"NM",(FV653/FT653-1)*100)))</f>
        <v>-4.1483883272935174</v>
      </c>
      <c r="FX653" s="73">
        <f>+FX655-FX654-FX656</f>
        <v>7839.9</v>
      </c>
      <c r="FY653" s="61">
        <f t="shared" ref="FY653:FY663" si="3848">IF(ISERROR((FX653/FV653-1)*100),"NA",IF(((FX653/FV653-1)*100)&gt;100,"NM",IF(((FX653/FV653-1)*100)&lt;-50,"NM",(FX653/FV653-1)*100)))</f>
        <v>11.430277015790868</v>
      </c>
      <c r="FZ653" s="73">
        <f>+FZ655-FZ654-FZ656</f>
        <v>8124.2000000000016</v>
      </c>
      <c r="GA653" s="61">
        <f t="shared" ref="GA653:GA663" si="3849">IF(ISERROR((FZ653/FX653-1)*100),"NA",IF(((FZ653/FX653-1)*100)&gt;100,"NM",IF(((FZ653/FX653-1)*100)&lt;-50,"NM",(FZ653/FX653-1)*100)))</f>
        <v>3.6263217643082379</v>
      </c>
      <c r="GB653" s="73">
        <f>+GB655-GB654-GB656</f>
        <v>7590</v>
      </c>
      <c r="GC653" s="61">
        <f t="shared" ref="GC653:GC663" si="3850">IF(ISERROR((GB653/FZ653-1)*100),"NA",IF(((GB653/FZ653-1)*100)&gt;100,"NM",IF(((GB653/FZ653-1)*100)&lt;-50,"NM",(GB653/FZ653-1)*100)))</f>
        <v>-6.5754166564092609</v>
      </c>
      <c r="GD653" s="73">
        <f>+GD655-GD654-GD656</f>
        <v>7121</v>
      </c>
      <c r="GE653" s="61">
        <f t="shared" ref="GE653:GW663" si="3851">IF(ISERROR((GD653/GB653-1)*100),"NA",IF(((GD653/GB653-1)*100)&gt;100,"NM",IF(((GD653/GB653-1)*100)&lt;-50,"NM",(GD653/GB653-1)*100)))</f>
        <v>-6.1791831357048803</v>
      </c>
      <c r="GF653" s="73">
        <f>+GF655-GF654-GF656</f>
        <v>6877</v>
      </c>
      <c r="GG653" s="61">
        <f t="shared" si="3851"/>
        <v>-3.4264850442353612</v>
      </c>
      <c r="GH653" s="73">
        <f>+GH655-GH654-GH656</f>
        <v>6622</v>
      </c>
      <c r="GI653" s="61">
        <f t="shared" si="3851"/>
        <v>-3.7080122146284755</v>
      </c>
      <c r="GJ653" s="73">
        <f>+GJ655-GJ654-GJ656</f>
        <v>6298</v>
      </c>
      <c r="GK653" s="61">
        <f t="shared" si="3851"/>
        <v>-4.8927816369676798</v>
      </c>
      <c r="GL653" s="73">
        <f>+GL655-GL654-GL656</f>
        <v>5869</v>
      </c>
      <c r="GM653" s="61">
        <f t="shared" si="3851"/>
        <v>-6.8116862496030439</v>
      </c>
      <c r="GN653" s="73">
        <f>+GN655-GN654-GN656</f>
        <v>5693</v>
      </c>
      <c r="GO653" s="61">
        <f t="shared" si="3851"/>
        <v>-2.9988072925540954</v>
      </c>
      <c r="GP653" s="73">
        <f>+GP655-GP654-GP656</f>
        <v>5523.5970524280419</v>
      </c>
      <c r="GQ653" s="61">
        <f t="shared" si="3851"/>
        <v>-2.9756358259609761</v>
      </c>
      <c r="GR653" s="73">
        <f>+GR655-GR654-GR656</f>
        <v>5523.5970524280419</v>
      </c>
      <c r="GS653" s="61">
        <f t="shared" si="3851"/>
        <v>0</v>
      </c>
      <c r="GT653" s="73">
        <f>+GT655-GT654-GT656</f>
        <v>5523.5970524280401</v>
      </c>
      <c r="GU653" s="61">
        <f t="shared" si="3851"/>
        <v>-3.3306690738754696E-14</v>
      </c>
      <c r="GV653" s="73">
        <f>+GV655-GV654-GV656</f>
        <v>5523.5970524280419</v>
      </c>
      <c r="GW653" s="61">
        <f t="shared" si="3851"/>
        <v>2.2204460492503131E-14</v>
      </c>
      <c r="GX653" s="73">
        <f>+GX655-GX654-GX656</f>
        <v>5523.5970524280438</v>
      </c>
      <c r="GY653" s="61">
        <f t="shared" ref="GY653:GY663" si="3852">IF(ISERROR((GX653/GV653-1)*100),"NA",IF(((GX653/GV653-1)*100)&gt;100,"NM",IF(((GX653/GV653-1)*100)&lt;-50,"NM",(GX653/GV653-1)*100)))</f>
        <v>2.2204460492503131E-14</v>
      </c>
      <c r="GZ653" s="61">
        <f t="shared" si="3732"/>
        <v>-0.60233985531074064</v>
      </c>
      <c r="HA653" s="61"/>
      <c r="HB653" s="452"/>
      <c r="HC653"/>
      <c r="HD653"/>
      <c r="HE653"/>
      <c r="HF653"/>
      <c r="HG653"/>
      <c r="HH653"/>
    </row>
    <row r="654" spans="1:216" s="5" customFormat="1" ht="12.75" customHeight="1" x14ac:dyDescent="0.2">
      <c r="A654" s="8"/>
      <c r="B654" s="7" t="s">
        <v>361</v>
      </c>
      <c r="C654" s="231"/>
      <c r="D654" s="107"/>
      <c r="E654" s="231"/>
      <c r="F654" s="64"/>
      <c r="G654" s="64"/>
      <c r="H654" s="64"/>
      <c r="I654" s="72">
        <v>4942</v>
      </c>
      <c r="J654" s="72"/>
      <c r="K654" s="72">
        <v>4882.7</v>
      </c>
      <c r="L654" s="61"/>
      <c r="M654" s="72">
        <v>4952.8</v>
      </c>
      <c r="N654" s="61"/>
      <c r="O654" s="72">
        <v>5100.3999999999996</v>
      </c>
      <c r="P654" s="61"/>
      <c r="Q654" s="72">
        <v>5046.3</v>
      </c>
      <c r="R654" s="61"/>
      <c r="S654" s="72">
        <v>5076.6000000000004</v>
      </c>
      <c r="T654" s="61"/>
      <c r="U654" s="72">
        <v>4959.5</v>
      </c>
      <c r="V654" s="61"/>
      <c r="W654" s="72">
        <v>4544.2</v>
      </c>
      <c r="X654" s="61"/>
      <c r="Y654" s="72">
        <v>4623.8999999999996</v>
      </c>
      <c r="Z654" s="61"/>
      <c r="AA654" s="72">
        <v>4587.6000000000004</v>
      </c>
      <c r="AB654" s="61"/>
      <c r="AC654" s="72">
        <v>4699.8</v>
      </c>
      <c r="AD654" s="61"/>
      <c r="AE654" s="72">
        <v>3281.9870000000001</v>
      </c>
      <c r="AF654" s="61"/>
      <c r="AG654" s="72">
        <v>3413.3020000000001</v>
      </c>
      <c r="AH654" s="61">
        <f t="shared" si="3810"/>
        <v>-26.181318800147057</v>
      </c>
      <c r="AI654" s="72">
        <v>3428.2579999999998</v>
      </c>
      <c r="AJ654" s="61">
        <f t="shared" si="3810"/>
        <v>-25.27120934693523</v>
      </c>
      <c r="AK654" s="72">
        <v>3433.3220000000001</v>
      </c>
      <c r="AL654" s="61">
        <f t="shared" si="3810"/>
        <v>-26.947487127111792</v>
      </c>
      <c r="AM654" s="72">
        <v>3514.239</v>
      </c>
      <c r="AN654" s="61">
        <f t="shared" si="3810"/>
        <v>7.0765667261936116</v>
      </c>
      <c r="AO654" s="72">
        <v>3589.5329999999999</v>
      </c>
      <c r="AP654" s="61">
        <f t="shared" si="3810"/>
        <v>5.1630649734479839</v>
      </c>
      <c r="AQ654" s="72">
        <v>3677.2919999999999</v>
      </c>
      <c r="AR654" s="61">
        <f>IF(ISERROR((AQ654/AI654-1)*100),"NA",IF(((AQ654/AI654-1)*100)&gt;100,"NM",IF(((AQ654/AI654-1)*100)&lt;-50,"NM",(AQ654/AI654-1)*100)))</f>
        <v>7.2641557315697991</v>
      </c>
      <c r="AS654" s="72">
        <v>3757.6170000000002</v>
      </c>
      <c r="AT654" s="61">
        <f>IF(ISERROR((AS654/AK654-1)*100),"NA",IF(((AS654/AK654-1)*100)&gt;100,"NM",IF(((AS654/AK654-1)*100)&lt;-50,"NM",(AS654/AK654-1)*100)))</f>
        <v>9.4455166162684456</v>
      </c>
      <c r="AU654" s="72">
        <v>3922.808</v>
      </c>
      <c r="AV654" s="61">
        <f>IF(ISERROR((AU654/AM654-1)*100),"NA",IF(((AU654/AM654-1)*100)&gt;100,"NM",IF(((AU654/AM654-1)*100)&lt;-50,"NM",(AU654/AM654-1)*100)))</f>
        <v>11.626101696555068</v>
      </c>
      <c r="AW654" s="72">
        <v>4081</v>
      </c>
      <c r="AX654" s="61">
        <f>IF(ISERROR((AW654/AO654-1)*100),"NA",IF(((AW654/AO654-1)*100)&gt;100,"NM",IF(((AW654/AO654-1)*100)&lt;-50,"NM",(AW654/AO654-1)*100)))</f>
        <v>13.691669640591142</v>
      </c>
      <c r="AY654" s="72">
        <v>4236</v>
      </c>
      <c r="AZ654" s="61">
        <f>IF(ISERROR((AY654/AQ654-1)*100),"NA",IF(((AY654/AQ654-1)*100)&gt;100,"NM",IF(((AY654/AQ654-1)*100)&lt;-50,"NM",(AY654/AQ654-1)*100)))</f>
        <v>15.193463015719178</v>
      </c>
      <c r="BA654" s="72">
        <v>4013</v>
      </c>
      <c r="BB654" s="61">
        <f t="shared" si="3344"/>
        <v>6.7964084684521975</v>
      </c>
      <c r="BC654" s="72">
        <v>3986.7</v>
      </c>
      <c r="BD654" s="61">
        <f t="shared" si="3345"/>
        <v>1.6287312557739186</v>
      </c>
      <c r="BE654" s="72">
        <v>4136.7</v>
      </c>
      <c r="BF654" s="61">
        <f t="shared" si="3346"/>
        <v>1.364861553540786</v>
      </c>
      <c r="BG654" s="72">
        <v>4053.5</v>
      </c>
      <c r="BH654" s="61">
        <f>IF(ISERROR((BG654/AY654-1)*100),"NA",IF(((BG654/AY654-1)*100)&gt;100,"NM",IF(((BG654/AY654-1)*100)&lt;-50,"NM",(BG654/AY654-1)*100)))</f>
        <v>-4.3083097261567556</v>
      </c>
      <c r="BI654" s="72">
        <v>4323.8</v>
      </c>
      <c r="BJ654" s="61">
        <f>IF(ISERROR((BI654/BA654-1)*100),"NA",IF(((BI654/BA654-1)*100)&gt;100,"NM",IF(((BI654/BA654-1)*100)&lt;-50,"NM",(BI654/BA654-1)*100)))</f>
        <v>7.7448293047595262</v>
      </c>
      <c r="BK654" s="72">
        <v>4457</v>
      </c>
      <c r="BL654" s="61">
        <f>IF(ISERROR((BK654/BC654-1)*100),"NA",IF(((BK654/BC654-1)*100)&gt;100,"NM",IF(((BK654/BC654-1)*100)&lt;-50,"NM",(BK654/BC654-1)*100)))</f>
        <v>11.796724107657974</v>
      </c>
      <c r="BM654" s="72">
        <v>4292.2</v>
      </c>
      <c r="BN654" s="61">
        <f>IF(ISERROR((BM654/BE654-1)*100),"NA",IF(((BM654/BE654-1)*100)&gt;100,"NM",IF(((BM654/BE654-1)*100)&lt;-50,"NM",(BM654/BE654-1)*100)))</f>
        <v>3.7590349795730837</v>
      </c>
      <c r="BO654" s="72">
        <v>4332.8</v>
      </c>
      <c r="BP654" s="61">
        <f>IF(ISERROR((BO654/BG654-1)*100),"NA",IF(((BO654/BG654-1)*100)&gt;100,"NM",IF(((BO654/BG654-1)*100)&lt;-50,"NM",(BO654/BG654-1)*100)))</f>
        <v>6.8903416800295991</v>
      </c>
      <c r="BQ654" s="72">
        <v>4282.5</v>
      </c>
      <c r="BR654" s="61">
        <f>IF(ISERROR((BQ654/BI654-1)*100),"NA",IF(((BQ654/BI654-1)*100)&gt;100,"NM",IF(((BQ654/BI654-1)*100)&lt;-50,"NM",(BQ654/BI654-1)*100)))</f>
        <v>-0.9551783153707416</v>
      </c>
      <c r="BS654" s="72">
        <v>4303.6000000000004</v>
      </c>
      <c r="BT654" s="61">
        <f>IF(ISERROR((BS654/BK654-1)*100),"NA",IF(((BS654/BK654-1)*100)&gt;100,"NM",IF(((BS654/BK654-1)*100)&lt;-50,"NM",(BS654/BK654-1)*100)))</f>
        <v>-3.441776980031408</v>
      </c>
      <c r="BU654" s="72">
        <v>3744.6</v>
      </c>
      <c r="BV654" s="61">
        <f>IF(ISERROR((BU654/BM654-1)*100),"NA",IF(((BU654/BM654-1)*100)&gt;100,"NM",IF(((BU654/BM654-1)*100)&lt;-50,"NM",(BU654/BM654-1)*100)))</f>
        <v>-12.758026187036952</v>
      </c>
      <c r="BW654" s="72">
        <v>3264.7</v>
      </c>
      <c r="BX654" s="61">
        <f>IF(ISERROR((BW654/BO654-1)*100),"NA",IF(((BW654/BO654-1)*100)&gt;100,"NM",IF(((BW654/BO654-1)*100)&lt;-50,"NM",(BW654/BO654-1)*100)))</f>
        <v>-24.651495568685387</v>
      </c>
      <c r="BY654" s="72">
        <v>3100.4</v>
      </c>
      <c r="BZ654" s="61">
        <f>IF(ISERROR((BY654/BQ654-1)*100),"NA",IF(((BY654/BQ654-1)*100)&gt;100,"NM",IF(((BY654/BQ654-1)*100)&lt;-50,"NM",(BY654/BQ654-1)*100)))</f>
        <v>-27.603035610040859</v>
      </c>
      <c r="CA654" s="72">
        <f>3234</f>
        <v>3234</v>
      </c>
      <c r="CB654" s="61">
        <f>IF(ISERROR((CA654/BS654-1)*100),"NA",IF(((CA654/BS654-1)*100)&gt;100,"NM",IF(((CA654/BS654-1)*100)&lt;-50,"NM",(CA654/BS654-1)*100)))</f>
        <v>-24.853610930383873</v>
      </c>
      <c r="CC654" s="72">
        <v>3315</v>
      </c>
      <c r="CD654" s="61">
        <f>IF(ISERROR((CC654/BU654-1)*100),"NA",IF(((CC654/BU654-1)*100)&gt;100,"NM",IF(((CC654/BU654-1)*100)&lt;-50,"NM",(CC654/BU654-1)*100)))</f>
        <v>-11.472520429418365</v>
      </c>
      <c r="CE654" s="72">
        <v>3407.8</v>
      </c>
      <c r="CF654" s="61">
        <f t="shared" si="3811"/>
        <v>4.3832511409930497</v>
      </c>
      <c r="CG654" s="72">
        <v>3510.8</v>
      </c>
      <c r="CH654" s="61">
        <f t="shared" si="3812"/>
        <v>13.237001677202942</v>
      </c>
      <c r="CI654" s="72">
        <v>3753.7</v>
      </c>
      <c r="CJ654" s="61">
        <f t="shared" si="3813"/>
        <v>16.069882498453914</v>
      </c>
      <c r="CK654" s="72">
        <v>3933.5</v>
      </c>
      <c r="CL654" s="61">
        <f t="shared" si="3814"/>
        <v>18.657616892911012</v>
      </c>
      <c r="CM654" s="72">
        <v>3122.2</v>
      </c>
      <c r="CN654" s="61">
        <f t="shared" si="3815"/>
        <v>-8.3807735195727595</v>
      </c>
      <c r="CO654" s="72">
        <v>3393</v>
      </c>
      <c r="CP654" s="61">
        <f t="shared" si="3816"/>
        <v>-3.3553606015722992</v>
      </c>
      <c r="CQ654" s="72">
        <v>3531</v>
      </c>
      <c r="CR654" s="61">
        <f t="shared" si="3817"/>
        <v>-5.9328129578815503</v>
      </c>
      <c r="CS654" s="72">
        <v>2831</v>
      </c>
      <c r="CT654" s="61">
        <f t="shared" si="3818"/>
        <v>-28.028473369772467</v>
      </c>
      <c r="CU654" s="72">
        <v>3050</v>
      </c>
      <c r="CV654" s="61">
        <f t="shared" si="3819"/>
        <v>-2.3124719748894962</v>
      </c>
      <c r="CW654" s="72">
        <v>3350</v>
      </c>
      <c r="CX654" s="61">
        <f t="shared" si="3820"/>
        <v>-1.2673150604185057</v>
      </c>
      <c r="CY654" s="72">
        <v>3756</v>
      </c>
      <c r="CZ654" s="61">
        <f t="shared" si="3821"/>
        <v>6.3721325403568452</v>
      </c>
      <c r="DA654" s="72">
        <v>4044</v>
      </c>
      <c r="DB654" s="61">
        <f t="shared" si="3822"/>
        <v>42.847050512186513</v>
      </c>
      <c r="DC654" s="72">
        <v>4238</v>
      </c>
      <c r="DD654" s="61">
        <f t="shared" si="3823"/>
        <v>38.950819672131146</v>
      </c>
      <c r="DE654" s="72">
        <v>4487</v>
      </c>
      <c r="DF654" s="61">
        <f t="shared" si="3824"/>
        <v>33.9402985074627</v>
      </c>
      <c r="DG654" s="72">
        <v>4753</v>
      </c>
      <c r="DH654" s="61">
        <f t="shared" si="3825"/>
        <v>26.544195953141635</v>
      </c>
      <c r="DI654" s="72">
        <v>5013</v>
      </c>
      <c r="DJ654" s="61">
        <f t="shared" si="3826"/>
        <v>23.961424332344205</v>
      </c>
      <c r="DK654" s="72">
        <v>5228</v>
      </c>
      <c r="DL654" s="61">
        <f t="shared" si="3827"/>
        <v>23.360075507314782</v>
      </c>
      <c r="DM654" s="72">
        <v>5513</v>
      </c>
      <c r="DN654" s="130">
        <f t="shared" si="3828"/>
        <v>22.866057499442839</v>
      </c>
      <c r="DO654" s="72">
        <v>5834</v>
      </c>
      <c r="DP654" s="130">
        <f t="shared" si="3828"/>
        <v>22.743530401851466</v>
      </c>
      <c r="DQ654" s="72">
        <v>6022</v>
      </c>
      <c r="DR654" s="61">
        <f t="shared" si="3829"/>
        <v>20.127668063036097</v>
      </c>
      <c r="DS654" s="72">
        <v>6077</v>
      </c>
      <c r="DT654" s="130">
        <f t="shared" si="3828"/>
        <v>16.239479724560056</v>
      </c>
      <c r="DU654" s="72">
        <v>6286</v>
      </c>
      <c r="DV654" s="130">
        <f t="shared" si="3828"/>
        <v>14.021403954289857</v>
      </c>
      <c r="DW654" s="72">
        <v>6358</v>
      </c>
      <c r="DX654" s="72">
        <v>6358</v>
      </c>
      <c r="DY654" s="72">
        <v>6474</v>
      </c>
      <c r="DZ654" s="130">
        <f t="shared" si="3828"/>
        <v>7.5058120225838687</v>
      </c>
      <c r="EA654" s="72">
        <v>6568</v>
      </c>
      <c r="EB654" s="130">
        <f t="shared" si="3830"/>
        <v>8.0796445614612402</v>
      </c>
      <c r="EC654" s="72">
        <v>6719</v>
      </c>
      <c r="ED654" s="130">
        <f t="shared" si="3831"/>
        <v>6.8883232580337239</v>
      </c>
      <c r="EE654" s="72">
        <v>7040</v>
      </c>
      <c r="EF654" s="130">
        <f t="shared" si="3832"/>
        <v>10.726643598615926</v>
      </c>
      <c r="EG654" s="72">
        <v>7043</v>
      </c>
      <c r="EH654" s="130">
        <f t="shared" si="3833"/>
        <v>8.7890021624961392</v>
      </c>
      <c r="EI654" s="72">
        <v>7287</v>
      </c>
      <c r="EJ654" s="130">
        <f t="shared" si="3834"/>
        <v>10.947015834348361</v>
      </c>
      <c r="EK654" s="72">
        <v>7511</v>
      </c>
      <c r="EL654" s="61">
        <f t="shared" si="3835"/>
        <v>11.787468373269828</v>
      </c>
      <c r="EM654" s="72">
        <v>7738</v>
      </c>
      <c r="EN654" s="61">
        <f t="shared" si="3836"/>
        <v>9.9147727272727249</v>
      </c>
      <c r="EO654" s="72">
        <v>8399</v>
      </c>
      <c r="EP654" s="61">
        <f t="shared" si="3837"/>
        <v>19.253159165128487</v>
      </c>
      <c r="EQ654" s="409">
        <f t="shared" ref="EQ654" si="3853">+EO654+EQ566-EQ590</f>
        <v>8690.1933917414335</v>
      </c>
      <c r="ER654" s="61">
        <f t="shared" si="3839"/>
        <v>19.256119002901517</v>
      </c>
      <c r="ES654" s="409">
        <f t="shared" ref="ES654" si="3854">+EQ654+ES566-ES590</f>
        <v>9009.0369906477008</v>
      </c>
      <c r="ET654" s="61">
        <f t="shared" si="3840"/>
        <v>19.944574499370262</v>
      </c>
      <c r="EU654" s="409">
        <f t="shared" ref="EU654" si="3855">+ES654+EU566-EU590</f>
        <v>9325.9547303937634</v>
      </c>
      <c r="EV654" s="61">
        <f t="shared" si="3841"/>
        <v>20.521513703718842</v>
      </c>
      <c r="EW654" s="409">
        <f t="shared" ref="EW654" si="3856">+EU654+EW566-EW590</f>
        <v>9656.8927286375765</v>
      </c>
      <c r="EX654" s="61">
        <f t="shared" si="3842"/>
        <v>14.976696376206423</v>
      </c>
      <c r="EY654" s="64"/>
      <c r="EZ654" s="558"/>
      <c r="FA654" s="64"/>
      <c r="FB654" s="356"/>
      <c r="FC654" s="64"/>
      <c r="FD654" s="72"/>
      <c r="FE654" s="513"/>
      <c r="FF654" s="73">
        <f>+I654</f>
        <v>4942</v>
      </c>
      <c r="FG654" s="513"/>
      <c r="FH654" s="73">
        <f>+Q654</f>
        <v>5046.3</v>
      </c>
      <c r="FI654" s="513"/>
      <c r="FJ654" s="73">
        <f>+Y654</f>
        <v>4623.8999999999996</v>
      </c>
      <c r="FK654" s="513"/>
      <c r="FL654" s="91">
        <f>AG654</f>
        <v>3413.3020000000001</v>
      </c>
      <c r="FM654" s="61"/>
      <c r="FN654" s="91">
        <f>+AO654</f>
        <v>3589.5329999999999</v>
      </c>
      <c r="FO654" s="61">
        <f t="shared" si="3843"/>
        <v>5.1630649734479839</v>
      </c>
      <c r="FP654" s="410">
        <f>+AW654</f>
        <v>4081</v>
      </c>
      <c r="FQ654" s="61">
        <f t="shared" si="3844"/>
        <v>-19.128866694409762</v>
      </c>
      <c r="FR654" s="410">
        <f>BE654</f>
        <v>4136.7</v>
      </c>
      <c r="FS654" s="61">
        <f t="shared" si="3845"/>
        <v>1.364861553540786</v>
      </c>
      <c r="FT654" s="410">
        <f>BM654</f>
        <v>4292.2</v>
      </c>
      <c r="FU654" s="61">
        <f t="shared" si="3846"/>
        <v>3.7590349795730837</v>
      </c>
      <c r="FV654" s="410">
        <f>BU654</f>
        <v>3744.6</v>
      </c>
      <c r="FW654" s="61">
        <f t="shared" si="3847"/>
        <v>-12.758026187036952</v>
      </c>
      <c r="FX654" s="75">
        <f>CC654</f>
        <v>3315</v>
      </c>
      <c r="FY654" s="61">
        <f t="shared" si="3848"/>
        <v>-11.472520429418365</v>
      </c>
      <c r="FZ654" s="75">
        <f>CK654</f>
        <v>3933.5</v>
      </c>
      <c r="GA654" s="61">
        <f t="shared" si="3849"/>
        <v>18.657616892911012</v>
      </c>
      <c r="GB654" s="75">
        <f>CS654</f>
        <v>2831</v>
      </c>
      <c r="GC654" s="61">
        <f t="shared" si="3850"/>
        <v>-28.028473369772467</v>
      </c>
      <c r="GD654" s="75">
        <f>DA654</f>
        <v>4044</v>
      </c>
      <c r="GE654" s="61">
        <f t="shared" si="3851"/>
        <v>42.847050512186513</v>
      </c>
      <c r="GF654" s="75">
        <f>DI654</f>
        <v>5013</v>
      </c>
      <c r="GG654" s="61">
        <f t="shared" si="3851"/>
        <v>23.961424332344205</v>
      </c>
      <c r="GH654" s="75">
        <f>DQ654</f>
        <v>6022</v>
      </c>
      <c r="GI654" s="61">
        <f t="shared" si="3851"/>
        <v>20.127668063036097</v>
      </c>
      <c r="GJ654" s="75">
        <f>DY654</f>
        <v>6474</v>
      </c>
      <c r="GK654" s="61">
        <f t="shared" si="3851"/>
        <v>7.5058120225838687</v>
      </c>
      <c r="GL654" s="75">
        <f>EG654</f>
        <v>7043</v>
      </c>
      <c r="GM654" s="61">
        <f t="shared" si="3851"/>
        <v>8.7890021624961392</v>
      </c>
      <c r="GN654" s="75">
        <f>EO654</f>
        <v>8399</v>
      </c>
      <c r="GO654" s="61">
        <f t="shared" si="3851"/>
        <v>19.253159165128487</v>
      </c>
      <c r="GP654" s="75">
        <f>EW654</f>
        <v>9656.8927286375765</v>
      </c>
      <c r="GQ654" s="61">
        <f t="shared" si="3851"/>
        <v>14.976696376206423</v>
      </c>
      <c r="GR654" s="409">
        <f>+GP654+GR566-GR590+GR596-GR601</f>
        <v>10642.88858988884</v>
      </c>
      <c r="GS654" s="61">
        <f t="shared" si="3851"/>
        <v>10.210280769996416</v>
      </c>
      <c r="GT654" s="409">
        <f>+GR654+GT566-GT590+GT596-GT601</f>
        <v>11747.787805189351</v>
      </c>
      <c r="GU654" s="61">
        <f t="shared" si="3851"/>
        <v>10.381572690239448</v>
      </c>
      <c r="GV654" s="409">
        <f>+GT654+GV566-GV590+GV596-GV601</f>
        <v>12870.745420852942</v>
      </c>
      <c r="GW654" s="61">
        <f t="shared" si="3851"/>
        <v>9.5588857603262625</v>
      </c>
      <c r="GX654" s="409">
        <f>+GV654+GX566-GX590+GX596-GX601</f>
        <v>14076.748971503961</v>
      </c>
      <c r="GY654" s="61">
        <f t="shared" si="3852"/>
        <v>9.3701142491488874</v>
      </c>
      <c r="GZ654" s="61">
        <f t="shared" si="3732"/>
        <v>10.880444158402391</v>
      </c>
      <c r="HA654" s="61"/>
      <c r="HB654" s="452"/>
      <c r="HC654"/>
      <c r="HD654"/>
      <c r="HE654"/>
      <c r="HF654"/>
      <c r="HG654"/>
      <c r="HH654"/>
    </row>
    <row r="655" spans="1:216" s="5" customFormat="1" ht="12.75" customHeight="1" x14ac:dyDescent="0.2">
      <c r="A655" s="7" t="s">
        <v>401</v>
      </c>
      <c r="B655" s="7" t="s">
        <v>291</v>
      </c>
      <c r="C655" s="72">
        <v>4309</v>
      </c>
      <c r="D655" s="70"/>
      <c r="E655" s="72">
        <v>4223.7</v>
      </c>
      <c r="F655" s="71"/>
      <c r="G655" s="74">
        <v>4538.6000000000004</v>
      </c>
      <c r="H655" s="71"/>
      <c r="I655" s="74">
        <v>4954.1000000000004</v>
      </c>
      <c r="J655" s="61"/>
      <c r="K655" s="74">
        <v>5126.1000000000004</v>
      </c>
      <c r="L655" s="61">
        <f>IF(ISERROR((K655/C655-1)*100),"NA",IF(((K655/C655-1)*100)&gt;100,"NM",IF(((K655/C655-1)*100)&lt;-50,"NM",(K655/C655-1)*100)))</f>
        <v>18.962636342538875</v>
      </c>
      <c r="M655" s="72">
        <v>5088.8999999999996</v>
      </c>
      <c r="N655" s="61">
        <f>IF(ISERROR((M655/E655-1)*100),"NA",IF(((M655/E655-1)*100)&gt;100,"NM",IF(((M655/E655-1)*100)&lt;-50,"NM",(M655/E655-1)*100)))</f>
        <v>20.484409404076985</v>
      </c>
      <c r="O655" s="74">
        <v>5405</v>
      </c>
      <c r="P655" s="61">
        <f>IF(ISERROR((O655/G655-1)*100),"NA",IF(((O655/G655-1)*100)&gt;100,"NM",IF(((O655/G655-1)*100)&lt;-50,"NM",(O655/G655-1)*100)))</f>
        <v>19.089587097342786</v>
      </c>
      <c r="Q655" s="74">
        <v>5303.8</v>
      </c>
      <c r="R655" s="61">
        <f>IF(ISERROR((Q655/I655-1)*100),"NA",IF(((Q655/I655-1)*100)&gt;100,"NM",IF(((Q655/I655-1)*100)&lt;-50,"NM",(Q655/I655-1)*100)))</f>
        <v>7.058799781998748</v>
      </c>
      <c r="S655" s="74">
        <v>5173.2</v>
      </c>
      <c r="T655" s="61">
        <f>IF(ISERROR((S655/K655-1)*100),"NA",IF(((S655/K655-1)*100)&gt;100,"NM",IF(((S655/K655-1)*100)&lt;-50,"NM",(S655/K655-1)*100)))</f>
        <v>0.91882717855678031</v>
      </c>
      <c r="U655" s="74">
        <v>5352.8</v>
      </c>
      <c r="V655" s="61">
        <f>IF(ISERROR((U655/M655-1)*100),"NA",IF(((U655/M655-1)*100)&gt;100,"NM",IF(((U655/M655-1)*100)&lt;-50,"NM",(U655/M655-1)*100)))</f>
        <v>5.1857965375621484</v>
      </c>
      <c r="W655" s="74">
        <v>5436.8</v>
      </c>
      <c r="X655" s="61">
        <f>IF(ISERROR((W655/O655-1)*100),"NA",IF(((W655/O655-1)*100)&gt;100,"NM",IF(((W655/O655-1)*100)&lt;-50,"NM",(W655/O655-1)*100)))</f>
        <v>0.58834412580943685</v>
      </c>
      <c r="Y655" s="74">
        <v>5347.5</v>
      </c>
      <c r="Z655" s="61">
        <f>IF(ISERROR((Y655/Q655-1)*100),"NA",IF(((Y655/Q655-1)*100)&gt;100,"NM",IF(((Y655/Q655-1)*100)&lt;-50,"NM",(Y655/Q655-1)*100)))</f>
        <v>0.82393755420642201</v>
      </c>
      <c r="AA655" s="74">
        <v>5450</v>
      </c>
      <c r="AB655" s="61">
        <f>IF(ISERROR((AA655/S655-1)*100),"NA",IF(((AA655/S655-1)*100)&gt;100,"NM",IF(((AA655/S655-1)*100)&lt;-50,"NM",(AA655/S655-1)*100)))</f>
        <v>5.3506533673548295</v>
      </c>
      <c r="AC655" s="74">
        <v>5815.9</v>
      </c>
      <c r="AD655" s="61">
        <f>IF(ISERROR((AC655/U655-1)*100),"NA",IF(((AC655/U655-1)*100)&gt;100,"NM",IF(((AC655/U655-1)*100)&lt;-50,"NM",(AC655/U655-1)*100)))</f>
        <v>8.6515468539829499</v>
      </c>
      <c r="AE655" s="74">
        <v>5586.4</v>
      </c>
      <c r="AF655" s="61">
        <f>IF(ISERROR((AE655/W655-1)*100),"NA",IF(((AE655/W655-1)*100)&gt;100,"NM",IF(((AE655/W655-1)*100)&lt;-50,"NM",(AE655/W655-1)*100)))</f>
        <v>2.7516185991759867</v>
      </c>
      <c r="AG655" s="74">
        <v>5811.6</v>
      </c>
      <c r="AH655" s="61">
        <f>IF(ISERROR((AG655/Y655-1)*100),"NA",IF(((AG655/Y655-1)*100)&gt;100,"NM",IF(((AG655/Y655-1)*100)&lt;-50,"NM",(AG655/Y655-1)*100)))</f>
        <v>8.6788218793828911</v>
      </c>
      <c r="AI655" s="74">
        <v>6143.5</v>
      </c>
      <c r="AJ655" s="61">
        <f>IF(ISERROR((AI655/AA655-1)*100),"NA",IF(((AI655/AA655-1)*100)&gt;100,"NM",IF(((AI655/AA655-1)*100)&lt;-50,"NM",(AI655/AA655-1)*100)))</f>
        <v>12.724770642201833</v>
      </c>
      <c r="AK655" s="74">
        <v>5518.9</v>
      </c>
      <c r="AL655" s="61">
        <f>IF(ISERROR((AK655/AC655-1)*100),"NA",IF(((AK655/AC655-1)*100)&gt;100,"NM",IF(((AK655/AC655-1)*100)&lt;-50,"NM",(AK655/AC655-1)*100)))</f>
        <v>-5.1066902800942282</v>
      </c>
      <c r="AM655" s="74">
        <v>5970.8</v>
      </c>
      <c r="AN655" s="61">
        <f>IF(ISERROR((AM655/AE655-1)*100),"NA",IF(((AM655/AE655-1)*100)&gt;100,"NM",IF(((AM655/AE655-1)*100)&lt;-50,"NM",(AM655/AE655-1)*100)))</f>
        <v>6.8809967062867017</v>
      </c>
      <c r="AO655" s="74">
        <v>6175.6</v>
      </c>
      <c r="AP655" s="61">
        <f>IF(ISERROR((AO655/AG655-1)*100),"NA",IF(((AO655/AG655-1)*100)&gt;100,"NM",IF(((AO655/AG655-1)*100)&lt;-50,"NM",(AO655/AG655-1)*100)))</f>
        <v>6.2633353981691675</v>
      </c>
      <c r="AQ655" s="74">
        <v>6042.9</v>
      </c>
      <c r="AR655" s="61">
        <f>IF(ISERROR((AQ655/AI655-1)*100),"NA",IF(((AQ655/AI655-1)*100)&gt;100,"NM",IF(((AQ655/AI655-1)*100)&lt;-50,"NM",(AQ655/AI655-1)*100)))</f>
        <v>-1.6375030520061951</v>
      </c>
      <c r="AS655" s="74">
        <v>6363.5</v>
      </c>
      <c r="AT655" s="61">
        <f>IF(ISERROR((AS655/AK655-1)*100),"NA",IF(((AS655/AK655-1)*100)&gt;100,"NM",IF(((AS655/AK655-1)*100)&lt;-50,"NM",(AS655/AK655-1)*100)))</f>
        <v>15.303774302850215</v>
      </c>
      <c r="AU655" s="74">
        <v>6284.4</v>
      </c>
      <c r="AV655" s="61">
        <f>IF(ISERROR((AU655/AM655-1)*100),"NA",IF(((AU655/AM655-1)*100)&gt;100,"NM",IF(((AU655/AM655-1)*100)&lt;-50,"NM",(AU655/AM655-1)*100)))</f>
        <v>5.2522275072017122</v>
      </c>
      <c r="AW655" s="74">
        <v>6384.4</v>
      </c>
      <c r="AX655" s="61">
        <f>IF(ISERROR((AW655/AO655-1)*100),"NA",IF(((AW655/AO655-1)*100)&gt;100,"NM",IF(((AW655/AO655-1)*100)&lt;-50,"NM",(AW655/AO655-1)*100)))</f>
        <v>3.3810479953364725</v>
      </c>
      <c r="AY655" s="74">
        <v>6338.2</v>
      </c>
      <c r="AZ655" s="61">
        <f>IF(ISERROR((AY655/AQ655-1)*100),"NA",IF(((AY655/AQ655-1)*100)&gt;100,"NM",IF(((AY655/AQ655-1)*100)&lt;-50,"NM",(AY655/AQ655-1)*100)))</f>
        <v>4.8867265716791675</v>
      </c>
      <c r="BA655" s="74">
        <v>11404.8</v>
      </c>
      <c r="BB655" s="61">
        <f t="shared" si="3344"/>
        <v>79.222126188418301</v>
      </c>
      <c r="BC655" s="74">
        <v>12043.2</v>
      </c>
      <c r="BD655" s="61">
        <f t="shared" si="3345"/>
        <v>91.636433072369698</v>
      </c>
      <c r="BE655" s="74">
        <v>12201</v>
      </c>
      <c r="BF655" s="61">
        <f t="shared" si="3346"/>
        <v>91.106446964475921</v>
      </c>
      <c r="BG655" s="74">
        <v>12032.2</v>
      </c>
      <c r="BH655" s="61">
        <f>IF(ISERROR((BG655/AY655-1)*100),"NA",IF(((BG655/AY655-1)*100)&gt;100,"NM",IF(((BG655/AY655-1)*100)&lt;-50,"NM",(BG655/AY655-1)*100)))</f>
        <v>89.836231106623359</v>
      </c>
      <c r="BI655" s="74">
        <v>11835.7</v>
      </c>
      <c r="BJ655" s="61">
        <f>IF(ISERROR((BI655/BA655-1)*100),"NA",IF(((BI655/BA655-1)*100)&gt;100,"NM",IF(((BI655/BA655-1)*100)&lt;-50,"NM",(BI655/BA655-1)*100)))</f>
        <v>3.778233726150404</v>
      </c>
      <c r="BK655" s="74">
        <v>11962.9</v>
      </c>
      <c r="BL655" s="61">
        <f>IF(ISERROR((BK655/BC655-1)*100),"NA",IF(((BK655/BC655-1)*100)&gt;100,"NM",IF(((BK655/BC655-1)*100)&lt;-50,"NM",(BK655/BC655-1)*100)))</f>
        <v>-0.66676630795802216</v>
      </c>
      <c r="BM655" s="74">
        <v>11718.4</v>
      </c>
      <c r="BN655" s="61">
        <f>IF(ISERROR((BM655/BE655-1)*100),"NA",IF(((BM655/BE655-1)*100)&gt;100,"NM",IF(((BM655/BE655-1)*100)&lt;-50,"NM",(BM655/BE655-1)*100)))</f>
        <v>-3.9554134906974903</v>
      </c>
      <c r="BO655" s="74">
        <v>11086.3</v>
      </c>
      <c r="BP655" s="61">
        <f>IF(ISERROR((BO655/BG655-1)*100),"NA",IF(((BO655/BG655-1)*100)&gt;100,"NM",IF(((BO655/BG655-1)*100)&lt;-50,"NM",(BO655/BG655-1)*100)))</f>
        <v>-7.8614052293013881</v>
      </c>
      <c r="BQ655" s="74">
        <v>10497.7</v>
      </c>
      <c r="BR655" s="61">
        <f>IF(ISERROR((BQ655/BI655-1)*100),"NA",IF(((BQ655/BI655-1)*100)&gt;100,"NM",IF(((BQ655/BI655-1)*100)&lt;-50,"NM",(BQ655/BI655-1)*100)))</f>
        <v>-11.304781297261679</v>
      </c>
      <c r="BS655" s="74">
        <v>9500.1</v>
      </c>
      <c r="BT655" s="61">
        <f>IF(ISERROR((BS655/BK655-1)*100),"NA",IF(((BS655/BK655-1)*100)&gt;100,"NM",IF(((BS655/BK655-1)*100)&lt;-50,"NM",(BS655/BK655-1)*100)))</f>
        <v>-20.586981417549254</v>
      </c>
      <c r="BU655" s="74">
        <v>7976.8</v>
      </c>
      <c r="BV655" s="61">
        <f>IF(ISERROR((BU655/BM655-1)*100),"NA",IF(((BU655/BM655-1)*100)&gt;100,"NM",IF(((BU655/BM655-1)*100)&lt;-50,"NM",(BU655/BM655-1)*100)))</f>
        <v>-31.929273620972143</v>
      </c>
      <c r="BW655" s="74">
        <f>BW653+BW654+BW656</f>
        <v>7323.1</v>
      </c>
      <c r="BX655" s="61">
        <f>IF(ISERROR((BW655/BO655-1)*100),"NA",IF(((BW655/BO655-1)*100)&gt;100,"NM",IF(((BW655/BO655-1)*100)&lt;-50,"NM",(BW655/BO655-1)*100)))</f>
        <v>-33.944598287977044</v>
      </c>
      <c r="BY655" s="74">
        <f>BY653+BY654+BY656</f>
        <v>9074.5</v>
      </c>
      <c r="BZ655" s="61">
        <f>IF(ISERROR((BY655/BQ655-1)*100),"NA",IF(((BY655/BQ655-1)*100)&gt;100,"NM",IF(((BY655/BQ655-1)*100)&lt;-50,"NM",(BY655/BQ655-1)*100)))</f>
        <v>-13.557255398801649</v>
      </c>
      <c r="CA655" s="75">
        <f>CA653+CA654+CA656</f>
        <v>10855.7</v>
      </c>
      <c r="CB655" s="61">
        <f>IF(ISERROR((CA655/BS655-1)*100),"NA",IF(((CA655/BS655-1)*100)&gt;100,"NM",IF(((CA655/BS655-1)*100)&lt;-50,"NM",(CA655/BS655-1)*100)))</f>
        <v>14.269323480805474</v>
      </c>
      <c r="CC655" s="75">
        <f>CC653+CC654+CC656</f>
        <v>10893.5</v>
      </c>
      <c r="CD655" s="61">
        <f>IF(ISERROR((CC655/BU655-1)*100),"NA",IF(((CC655/BU655-1)*100)&gt;100,"NM",IF(((CC655/BU655-1)*100)&lt;-50,"NM",(CC655/BU655-1)*100)))</f>
        <v>36.564787884866099</v>
      </c>
      <c r="CE655" s="75">
        <f>CE653+CE654+CE656</f>
        <v>11555.300000000001</v>
      </c>
      <c r="CF655" s="61">
        <f t="shared" si="3811"/>
        <v>57.79246493971133</v>
      </c>
      <c r="CG655" s="75">
        <f>CG653+CG654+CG656</f>
        <v>12636.9</v>
      </c>
      <c r="CH655" s="61">
        <f t="shared" si="3812"/>
        <v>39.257259353132397</v>
      </c>
      <c r="CI655" s="75">
        <f>CI653+CI654+CI656</f>
        <v>13557.099999999999</v>
      </c>
      <c r="CJ655" s="61">
        <f t="shared" si="3813"/>
        <v>24.884622824875379</v>
      </c>
      <c r="CK655" s="75">
        <f>CK653+CK654+CK656</f>
        <v>12805.400000000001</v>
      </c>
      <c r="CL655" s="61">
        <f t="shared" si="3814"/>
        <v>17.550833065589579</v>
      </c>
      <c r="CM655" s="75">
        <f>CM653+CM654+CM656</f>
        <v>12058.400000000001</v>
      </c>
      <c r="CN655" s="61">
        <f t="shared" si="3815"/>
        <v>4.3538462869851857</v>
      </c>
      <c r="CO655" s="75">
        <f>CO653+CO654+CO656</f>
        <v>12558</v>
      </c>
      <c r="CP655" s="61">
        <f t="shared" si="3816"/>
        <v>-0.62436198751275596</v>
      </c>
      <c r="CQ655" s="75">
        <f>CQ653+CQ654+CQ656</f>
        <v>13987</v>
      </c>
      <c r="CR655" s="61">
        <f t="shared" si="3817"/>
        <v>3.171032152894071</v>
      </c>
      <c r="CS655" s="75">
        <f>CS653+CS654+CS656</f>
        <v>13100</v>
      </c>
      <c r="CT655" s="61">
        <f t="shared" si="3818"/>
        <v>2.3005919377762307</v>
      </c>
      <c r="CU655" s="75">
        <f>CU653+CU654+CU656</f>
        <v>13120</v>
      </c>
      <c r="CV655" s="61">
        <f t="shared" si="3819"/>
        <v>8.8038214025077721</v>
      </c>
      <c r="CW655" s="75">
        <f>CW653+CW654+CW656</f>
        <v>14039</v>
      </c>
      <c r="CX655" s="61">
        <f t="shared" si="3820"/>
        <v>11.793279184583527</v>
      </c>
      <c r="CY655" s="75">
        <f>CY653+CY654+CY656</f>
        <v>15120</v>
      </c>
      <c r="CZ655" s="61">
        <f t="shared" si="3821"/>
        <v>8.1003789232859003</v>
      </c>
      <c r="DA655" s="75">
        <f>DA653+DA654+DA656</f>
        <v>14973</v>
      </c>
      <c r="DB655" s="61">
        <f t="shared" si="3822"/>
        <v>14.297709923664126</v>
      </c>
      <c r="DC655" s="75">
        <f>DC653+DC654+DC656</f>
        <v>14862</v>
      </c>
      <c r="DD655" s="61">
        <f t="shared" si="3823"/>
        <v>13.277439024390247</v>
      </c>
      <c r="DE655" s="75">
        <f>DE653+DE654+DE656</f>
        <v>13317</v>
      </c>
      <c r="DF655" s="61">
        <f t="shared" si="3824"/>
        <v>-5.1428164399173752</v>
      </c>
      <c r="DG655" s="75">
        <f>DG653+DG654+DG656</f>
        <v>13389</v>
      </c>
      <c r="DH655" s="61">
        <f t="shared" si="3825"/>
        <v>-11.448412698412703</v>
      </c>
      <c r="DI655" s="75">
        <f>DI653+DI654+DI656</f>
        <v>13453</v>
      </c>
      <c r="DJ655" s="61">
        <f t="shared" si="3826"/>
        <v>-10.151606224537502</v>
      </c>
      <c r="DK655" s="75">
        <f>DK653+DK654+DK656</f>
        <v>14487</v>
      </c>
      <c r="DL655" s="61">
        <f t="shared" si="3827"/>
        <v>-2.5232135647961229</v>
      </c>
      <c r="DM655" s="75">
        <f>DM653+DM654+DM656</f>
        <v>15451</v>
      </c>
      <c r="DN655" s="130">
        <f t="shared" si="3828"/>
        <v>16.024630171960652</v>
      </c>
      <c r="DO655" s="75">
        <f>DO653+DO654+DO656</f>
        <v>15452</v>
      </c>
      <c r="DP655" s="130">
        <f t="shared" si="3828"/>
        <v>15.408170886548668</v>
      </c>
      <c r="DQ655" s="75">
        <f>DQ653+DQ654+DQ656</f>
        <v>15740</v>
      </c>
      <c r="DR655" s="61">
        <f t="shared" si="3829"/>
        <v>16.99992566713744</v>
      </c>
      <c r="DS655" s="75">
        <f>DS653+DS654+DS656</f>
        <v>16223</v>
      </c>
      <c r="DT655" s="130">
        <f t="shared" si="3828"/>
        <v>11.983157313453452</v>
      </c>
      <c r="DU655" s="75">
        <f>DU653+DU654+DU656</f>
        <v>14699</v>
      </c>
      <c r="DV655" s="130">
        <f t="shared" si="3828"/>
        <v>-4.8669988997475873</v>
      </c>
      <c r="DW655" s="75">
        <f>DW653+DW654+DW656</f>
        <v>14401</v>
      </c>
      <c r="DX655" s="75">
        <f t="shared" ref="DX655:DY655" si="3857">DX653+DX654+DX656</f>
        <v>14401</v>
      </c>
      <c r="DY655" s="75">
        <f t="shared" si="3857"/>
        <v>13617</v>
      </c>
      <c r="DZ655" s="130">
        <f t="shared" si="3828"/>
        <v>-13.487928843710295</v>
      </c>
      <c r="EA655" s="75">
        <f t="shared" ref="EA655:EC655" si="3858">EA653+EA654+EA656</f>
        <v>14658</v>
      </c>
      <c r="EB655" s="130">
        <f t="shared" si="3830"/>
        <v>-9.6467977562719636</v>
      </c>
      <c r="EC655" s="75">
        <f t="shared" si="3858"/>
        <v>15920</v>
      </c>
      <c r="ED655" s="130">
        <f t="shared" si="3831"/>
        <v>8.3066875297639342</v>
      </c>
      <c r="EE655" s="75">
        <f t="shared" ref="EE655:EG655" si="3859">EE653+EE654+EE656</f>
        <v>16323</v>
      </c>
      <c r="EF655" s="130">
        <f t="shared" si="3832"/>
        <v>13.346295396153041</v>
      </c>
      <c r="EG655" s="75">
        <f t="shared" si="3859"/>
        <v>14478</v>
      </c>
      <c r="EH655" s="130">
        <f t="shared" si="3833"/>
        <v>6.3229786296541191</v>
      </c>
      <c r="EI655" s="75">
        <f t="shared" ref="EI655:EK655" si="3860">EI653+EI654+EI656</f>
        <v>14973</v>
      </c>
      <c r="EJ655" s="130">
        <f t="shared" si="3834"/>
        <v>2.1489971346704939</v>
      </c>
      <c r="EK655" s="75">
        <f t="shared" si="3860"/>
        <v>15996</v>
      </c>
      <c r="EL655" s="130">
        <f t="shared" si="3835"/>
        <v>0.47738693467336279</v>
      </c>
      <c r="EM655" s="75">
        <f t="shared" ref="EM655" si="3861">EM653+EM654+EM656</f>
        <v>16314</v>
      </c>
      <c r="EN655" s="130">
        <f t="shared" si="3836"/>
        <v>-5.5136923359677681E-2</v>
      </c>
      <c r="EO655" s="75">
        <f t="shared" ref="EO655" si="3862">EO653+EO654+EO656</f>
        <v>17322</v>
      </c>
      <c r="EP655" s="130">
        <f t="shared" si="3837"/>
        <v>19.643597181931206</v>
      </c>
      <c r="EQ655" s="409">
        <f t="shared" ref="EQ655" si="3863">EO655+EQ566-EQ590+EQ596-EQ602+EQ656-EO656</f>
        <v>17613.193391741435</v>
      </c>
      <c r="ER655" s="130">
        <f t="shared" si="3839"/>
        <v>17.633028729990219</v>
      </c>
      <c r="ES655" s="409">
        <f t="shared" ref="ES655" si="3864">EQ655+ES566-ES590+ES596-ES602+ES656-EQ656</f>
        <v>17932.036990647703</v>
      </c>
      <c r="ET655" s="130">
        <f t="shared" si="3840"/>
        <v>12.103257005799595</v>
      </c>
      <c r="EU655" s="409">
        <f t="shared" ref="EU655" si="3865">ES655+EU566-EU590+EU596-EU602+EU656-ES656</f>
        <v>18164.132417239329</v>
      </c>
      <c r="EV655" s="130">
        <f t="shared" si="3841"/>
        <v>11.340765092799622</v>
      </c>
      <c r="EW655" s="409">
        <f t="shared" ref="EW655" si="3866">EU655+EW566-EW590+EW596-EW602+EW656-EU656</f>
        <v>18410.489781065618</v>
      </c>
      <c r="EX655" s="130">
        <f t="shared" si="3842"/>
        <v>6.2838574129177927</v>
      </c>
      <c r="EY655" s="64"/>
      <c r="EZ655" s="558"/>
      <c r="FA655" s="64"/>
      <c r="FB655" s="72">
        <v>5387.9</v>
      </c>
      <c r="FC655" s="71"/>
      <c r="FD655" s="72">
        <v>4263.8999999999996</v>
      </c>
      <c r="FE655" s="70">
        <f>IF(ISERROR((FD655/FB655-1)*100),"NA",IF(((FD655/FB655-1)*100)&gt;100,"NM",IF(((FD655/FB655-1)*100)&lt;-50,"NM",(FD655/FB655-1)*100)))</f>
        <v>-20.861560162586535</v>
      </c>
      <c r="FF655" s="91">
        <f>I655</f>
        <v>4954.1000000000004</v>
      </c>
      <c r="FG655" s="70">
        <f>IF(ISERROR((FF655/FD655-1)*100),"NA",IF(((FF655/FD655-1)*100)&gt;100,"NM",IF(((FF655/FD655-1)*100)&lt;-50,"NM",(FF655/FD655-1)*100)))</f>
        <v>16.187058795938004</v>
      </c>
      <c r="FH655" s="91">
        <f>Q655</f>
        <v>5303.8</v>
      </c>
      <c r="FI655" s="70">
        <f>IF(ISERROR((FH655/FF655-1)*100),"NA",IF(((FH655/FF655-1)*100)&gt;100,"NM",IF(((FH655/FF655-1)*100)&lt;-50,"NM",(FH655/FF655-1)*100)))</f>
        <v>7.058799781998748</v>
      </c>
      <c r="FJ655" s="91">
        <f>Y655</f>
        <v>5347.5</v>
      </c>
      <c r="FK655" s="70">
        <f>IF(ISERROR((FJ655/FH655-1)*100),"NA",IF(((FJ655/FH655-1)*100)&gt;100,"NM",IF(((FJ655/FH655-1)*100)&lt;-50,"NM",(FJ655/FH655-1)*100)))</f>
        <v>0.82393755420642201</v>
      </c>
      <c r="FL655" s="91">
        <f>AG655</f>
        <v>5811.6</v>
      </c>
      <c r="FM655" s="61">
        <f>IF(ISERROR((FL655/FJ655-1)*100),"NA",IF(((FL655/FJ655-1)*100)&gt;100,"NM",IF(((FL655/FJ655-1)*100)&lt;-50,"NM",(FL655/FJ655-1)*100)))</f>
        <v>8.6788218793828911</v>
      </c>
      <c r="FN655" s="91">
        <f>+AO655</f>
        <v>6175.6</v>
      </c>
      <c r="FO655" s="61">
        <f t="shared" si="3843"/>
        <v>6.2633353981691675</v>
      </c>
      <c r="FP655" s="410">
        <f>+AW655</f>
        <v>6384.4</v>
      </c>
      <c r="FQ655" s="61">
        <f t="shared" si="3844"/>
        <v>20.374071420490946</v>
      </c>
      <c r="FR655" s="410">
        <f>BE655</f>
        <v>12201</v>
      </c>
      <c r="FS655" s="61">
        <f t="shared" si="3845"/>
        <v>91.106446964475921</v>
      </c>
      <c r="FT655" s="410">
        <f>BM655</f>
        <v>11718.4</v>
      </c>
      <c r="FU655" s="61">
        <f t="shared" si="3846"/>
        <v>-3.9554134906974903</v>
      </c>
      <c r="FV655" s="410">
        <f>BU655</f>
        <v>7976.8</v>
      </c>
      <c r="FW655" s="61">
        <f t="shared" si="3847"/>
        <v>-31.929273620972143</v>
      </c>
      <c r="FX655" s="75">
        <f>CC655</f>
        <v>10893.5</v>
      </c>
      <c r="FY655" s="61">
        <f t="shared" si="3848"/>
        <v>36.564787884866099</v>
      </c>
      <c r="FZ655" s="75">
        <f>CK655</f>
        <v>12805.400000000001</v>
      </c>
      <c r="GA655" s="61">
        <f t="shared" si="3849"/>
        <v>17.550833065589579</v>
      </c>
      <c r="GB655" s="75">
        <f>CS655</f>
        <v>13100</v>
      </c>
      <c r="GC655" s="61">
        <f t="shared" si="3850"/>
        <v>2.3005919377762307</v>
      </c>
      <c r="GD655" s="75">
        <f>DA655</f>
        <v>14973</v>
      </c>
      <c r="GE655" s="61">
        <f t="shared" si="3851"/>
        <v>14.297709923664126</v>
      </c>
      <c r="GF655" s="75">
        <f>DI655</f>
        <v>13453</v>
      </c>
      <c r="GG655" s="61">
        <f t="shared" si="3851"/>
        <v>-10.151606224537502</v>
      </c>
      <c r="GH655" s="75">
        <f>DQ655</f>
        <v>15740</v>
      </c>
      <c r="GI655" s="61">
        <f t="shared" si="3851"/>
        <v>16.99992566713744</v>
      </c>
      <c r="GJ655" s="75">
        <f>DY655</f>
        <v>13617</v>
      </c>
      <c r="GK655" s="61">
        <f t="shared" si="3851"/>
        <v>-13.487928843710295</v>
      </c>
      <c r="GL655" s="75">
        <f>EG655</f>
        <v>14478</v>
      </c>
      <c r="GM655" s="61">
        <f t="shared" si="3851"/>
        <v>6.3229786296541191</v>
      </c>
      <c r="GN655" s="75">
        <f>EO655</f>
        <v>17322</v>
      </c>
      <c r="GO655" s="61">
        <f t="shared" si="3851"/>
        <v>19.643597181931206</v>
      </c>
      <c r="GP655" s="75">
        <f>EW655</f>
        <v>18410.489781065618</v>
      </c>
      <c r="GQ655" s="61">
        <f t="shared" si="3851"/>
        <v>6.2838574129177927</v>
      </c>
      <c r="GR655" s="409">
        <f>GP655+GR566-GR590+GR596-GR602+GR656-GP656</f>
        <v>19396.485642316882</v>
      </c>
      <c r="GS655" s="61">
        <f t="shared" si="3851"/>
        <v>5.3556199372018831</v>
      </c>
      <c r="GT655" s="409">
        <f>GR655+GT566-GT590+GT596-GT602+GT656-GR656</f>
        <v>20501.384857617391</v>
      </c>
      <c r="GU655" s="61">
        <f t="shared" si="3851"/>
        <v>5.6963886947126952</v>
      </c>
      <c r="GV655" s="409">
        <f>GT655+GV566-GV590+GV596-GV602+GV656-GT656</f>
        <v>21624.342473280984</v>
      </c>
      <c r="GW655" s="61">
        <f t="shared" si="3851"/>
        <v>5.4774720023186729</v>
      </c>
      <c r="GX655" s="409">
        <f>GV655+GX566-GX590+GX596-GX602+GX656-GV656</f>
        <v>22830.346023932005</v>
      </c>
      <c r="GY655" s="61">
        <f t="shared" si="3852"/>
        <v>5.5770646073570074</v>
      </c>
      <c r="GZ655" s="61">
        <f t="shared" si="3732"/>
        <v>5.6775879012588737</v>
      </c>
      <c r="HA655" s="61"/>
      <c r="HB655" s="452"/>
      <c r="HC655"/>
      <c r="HD655"/>
      <c r="HE655"/>
      <c r="HF655"/>
      <c r="HG655"/>
      <c r="HH655"/>
    </row>
    <row r="656" spans="1:216" s="5" customFormat="1" ht="12.75" customHeight="1" x14ac:dyDescent="0.2">
      <c r="A656" s="7" t="s">
        <v>402</v>
      </c>
      <c r="B656" s="7" t="s">
        <v>653</v>
      </c>
      <c r="C656" s="72">
        <v>-442.6</v>
      </c>
      <c r="D656" s="70"/>
      <c r="E656" s="72">
        <v>-556.6</v>
      </c>
      <c r="F656" s="71"/>
      <c r="G656" s="74">
        <f>+G655-4876.3</f>
        <v>-337.69999999999982</v>
      </c>
      <c r="H656" s="71"/>
      <c r="I656" s="74">
        <v>12</v>
      </c>
      <c r="J656" s="61"/>
      <c r="K656" s="74">
        <v>190.4</v>
      </c>
      <c r="L656" s="61" t="str">
        <f>IF(ISERROR((K656/C656-1)*100),"NA",IF(((K656/C656-1)*100)&gt;100,"NM",IF(((K656/C656-1)*100)&lt;-50,"NM",(K656/C656-1)*100)))</f>
        <v>NM</v>
      </c>
      <c r="M656" s="72">
        <v>76.2</v>
      </c>
      <c r="N656" s="61" t="str">
        <f>IF(ISERROR((M656/E656-1)*100),"NA",IF(((M656/E656-1)*100)&gt;100,"NM",IF(((M656/E656-1)*100)&lt;-50,"NM",(M656/E656-1)*100)))</f>
        <v>NM</v>
      </c>
      <c r="O656" s="74">
        <v>247.9</v>
      </c>
      <c r="P656" s="61" t="str">
        <f>IF(ISERROR((O656/G656-1)*100),"NA",IF(((O656/G656-1)*100)&gt;100,"NM",IF(((O656/G656-1)*100)&lt;-50,"NM",(O656/G656-1)*100)))</f>
        <v>NM</v>
      </c>
      <c r="Q656" s="74">
        <v>195.7</v>
      </c>
      <c r="R656" s="61" t="str">
        <f>IF(ISERROR((Q656/I656-1)*100),"NA",IF(((Q656/I656-1)*100)&gt;100,"NM",IF(((Q656/I656-1)*100)&lt;-50,"NM",(Q656/I656-1)*100)))</f>
        <v>NM</v>
      </c>
      <c r="S656" s="74">
        <v>31.8</v>
      </c>
      <c r="T656" s="61" t="str">
        <f>IF(ISERROR((S656/K656-1)*100),"NA",IF(((S656/K656-1)*100)&gt;100,"NM",IF(((S656/K656-1)*100)&lt;-50,"NM",(S656/K656-1)*100)))</f>
        <v>NM</v>
      </c>
      <c r="U656" s="74">
        <v>325.7</v>
      </c>
      <c r="V656" s="61" t="str">
        <f>IF(ISERROR((U656/M656-1)*100),"NA",IF(((U656/M656-1)*100)&gt;100,"NM",IF(((U656/M656-1)*100)&lt;-50,"NM",(U656/M656-1)*100)))</f>
        <v>NM</v>
      </c>
      <c r="W656" s="74">
        <v>817.5</v>
      </c>
      <c r="X656" s="61" t="str">
        <f>IF(ISERROR((W656/O656-1)*100),"NA",IF(((W656/O656-1)*100)&gt;100,"NM",IF(((W656/O656-1)*100)&lt;-50,"NM",(W656/O656-1)*100)))</f>
        <v>NM</v>
      </c>
      <c r="Y656" s="74">
        <v>753.3</v>
      </c>
      <c r="Z656" s="61" t="str">
        <f>IF(ISERROR((Y656/Q656-1)*100),"NA",IF(((Y656/Q656-1)*100)&gt;100,"NM",IF(((Y656/Q656-1)*100)&lt;-50,"NM",(Y656/Q656-1)*100)))</f>
        <v>NM</v>
      </c>
      <c r="AA656" s="74">
        <v>872</v>
      </c>
      <c r="AB656" s="61" t="str">
        <f>IF(ISERROR((AA656/S656-1)*100),"NA",IF(((AA656/S656-1)*100)&gt;100,"NM",IF(((AA656/S656-1)*100)&lt;-50,"NM",(AA656/S656-1)*100)))</f>
        <v>NM</v>
      </c>
      <c r="AC656" s="74">
        <v>1117.8</v>
      </c>
      <c r="AD656" s="61" t="str">
        <f>IF(ISERROR((AC656/U656-1)*100),"NA",IF(((AC656/U656-1)*100)&gt;100,"NM",IF(((AC656/U656-1)*100)&lt;-50,"NM",(AC656/U656-1)*100)))</f>
        <v>NM</v>
      </c>
      <c r="AE656" s="72">
        <f>5586.4-4790.6</f>
        <v>795.79999999999927</v>
      </c>
      <c r="AF656" s="61">
        <f>IF(ISERROR((AE656/W656-1)*100),"NA",IF(((AE656/W656-1)*100)&gt;100,"NM",IF(((AE656/W656-1)*100)&lt;-50,"NM",(AE656/W656-1)*100)))</f>
        <v>-2.6544342507646146</v>
      </c>
      <c r="AG656" s="72">
        <f>5811.6-4942.6</f>
        <v>869</v>
      </c>
      <c r="AH656" s="61">
        <f>IF(ISERROR((AG656/Y656-1)*100),"NA",IF(((AG656/Y656-1)*100)&gt;100,"NM",IF(((AG656/Y656-1)*100)&lt;-50,"NM",(AG656/Y656-1)*100)))</f>
        <v>15.359086685251565</v>
      </c>
      <c r="AI656" s="72">
        <f>6143.5-5004.2</f>
        <v>1139.3000000000002</v>
      </c>
      <c r="AJ656" s="61">
        <f>IF(ISERROR((AI656/AA656-1)*100),"NA",IF(((AI656/AA656-1)*100)&gt;100,"NM",IF(((AI656/AA656-1)*100)&lt;-50,"NM",(AI656/AA656-1)*100)))</f>
        <v>30.653669724770658</v>
      </c>
      <c r="AK656" s="74">
        <f>5518.9-5023.6</f>
        <v>495.29999999999927</v>
      </c>
      <c r="AL656" s="61" t="str">
        <f>IF(ISERROR((AK656/AC656-1)*100),"NA",IF(((AK656/AC656-1)*100)&gt;100,"NM",IF(((AK656/AC656-1)*100)&lt;-50,"NM",(AK656/AC656-1)*100)))</f>
        <v>NM</v>
      </c>
      <c r="AM656" s="74">
        <f>5970.8-5109.8</f>
        <v>861</v>
      </c>
      <c r="AN656" s="61">
        <f>IF(ISERROR((AM656/AE656-1)*100),"NA",IF(((AM656/AE656-1)*100)&gt;100,"NM",IF(((AM656/AE656-1)*100)&lt;-50,"NM",(AM656/AE656-1)*100)))</f>
        <v>8.1930133199297206</v>
      </c>
      <c r="AO656" s="74">
        <f>822.9+14</f>
        <v>836.9</v>
      </c>
      <c r="AP656" s="61">
        <f>IF(ISERROR((AO656/AG656-1)*100),"NA",IF(((AO656/AG656-1)*100)&gt;100,"NM",IF(((AO656/AG656-1)*100)&lt;-50,"NM",(AO656/AG656-1)*100)))</f>
        <v>-3.6939010356731861</v>
      </c>
      <c r="AQ656" s="74">
        <f>582.9+7.7</f>
        <v>590.6</v>
      </c>
      <c r="AR656" s="61">
        <f>IF(ISERROR((AQ656/AI656-1)*100),"NA",IF(((AQ656/AI656-1)*100)&gt;100,"NM",IF(((AQ656/AI656-1)*100)&lt;-50,"NM",(AQ656/AI656-1)*100)))</f>
        <v>-48.161151584306161</v>
      </c>
      <c r="AS656" s="74">
        <f>851.2+11.9</f>
        <v>863.1</v>
      </c>
      <c r="AT656" s="61">
        <f>IF(ISERROR((AS656/AK656-1)*100),"NA",IF(((AS656/AK656-1)*100)&gt;100,"NM",IF(((AS656/AK656-1)*100)&lt;-50,"NM",(AS656/AK656-1)*100)))</f>
        <v>74.258025439128076</v>
      </c>
      <c r="AU656" s="74">
        <f>569+8.9</f>
        <v>577.9</v>
      </c>
      <c r="AV656" s="61">
        <f>IF(ISERROR((AU656/AM656-1)*100),"NA",IF(((AU656/AM656-1)*100)&gt;100,"NM",IF(((AU656/AM656-1)*100)&lt;-50,"NM",(AU656/AM656-1)*100)))</f>
        <v>-32.880371660859467</v>
      </c>
      <c r="AW656" s="74">
        <f>496.6+7.3</f>
        <v>503.90000000000003</v>
      </c>
      <c r="AX656" s="61">
        <f>IF(ISERROR((AW656/AO656-1)*100),"NA",IF(((AW656/AO656-1)*100)&gt;100,"NM",IF(((AW656/AO656-1)*100)&lt;-50,"NM",(AW656/AO656-1)*100)))</f>
        <v>-39.78970008364201</v>
      </c>
      <c r="AY656" s="74">
        <f>220.2+35.2</f>
        <v>255.39999999999998</v>
      </c>
      <c r="AZ656" s="61" t="str">
        <f>IF(ISERROR((AY656/AQ656-1)*100),"NA",IF(((AY656/AQ656-1)*100)&gt;100,"NM",IF(((AY656/AQ656-1)*100)&lt;-50,"NM",(AY656/AQ656-1)*100)))</f>
        <v>NM</v>
      </c>
      <c r="BA656" s="74">
        <f>-151.5+51.5</f>
        <v>-100</v>
      </c>
      <c r="BB656" s="61" t="str">
        <f t="shared" ref="BB656:BB693" si="3867">IF(ISERROR((BA656/AS656-1)*100),"NA",IF(((BA656/AS656-1)*100)&gt;100,"NM",IF(((BA656/AS656-1)*100)&lt;-50,"NM",(BA656/AS656-1)*100)))</f>
        <v>NM</v>
      </c>
      <c r="BC656" s="74">
        <v>478</v>
      </c>
      <c r="BD656" s="61">
        <f t="shared" ref="BD656:BD693" si="3868">IF(ISERROR((BC656/AU656-1)*100),"NA",IF(((BC656/AU656-1)*100)&gt;100,"NM",IF(((BC656/AU656-1)*100)&lt;-50,"NM",(BC656/AU656-1)*100)))</f>
        <v>-17.286727807579162</v>
      </c>
      <c r="BE656" s="74">
        <v>469.6</v>
      </c>
      <c r="BF656" s="61">
        <f t="shared" ref="BF656:BF693" si="3869">IF(ISERROR((BE656/AW656-1)*100),"NA",IF(((BE656/AW656-1)*100)&gt;100,"NM",IF(((BE656/AW656-1)*100)&lt;-50,"NM",(BE656/AW656-1)*100)))</f>
        <v>-6.8069061321690878</v>
      </c>
      <c r="BG656" s="74">
        <v>528.1</v>
      </c>
      <c r="BH656" s="61" t="str">
        <f>IF(ISERROR((BG656/AY656-1)*100),"NA",IF(((BG656/AY656-1)*100)&gt;100,"NM",IF(((BG656/AY656-1)*100)&lt;-50,"NM",(BG656/AY656-1)*100)))</f>
        <v>NM</v>
      </c>
      <c r="BI656" s="74">
        <v>16.600000000000001</v>
      </c>
      <c r="BJ656" s="61" t="str">
        <f>IF(ISERROR((BI656/BA656-1)*100),"NA",IF(((BI656/BA656-1)*100)&gt;100,"NM",IF(((BI656/BA656-1)*100)&lt;-50,"NM",(BI656/BA656-1)*100)))</f>
        <v>NM</v>
      </c>
      <c r="BK656" s="74">
        <v>196.9</v>
      </c>
      <c r="BL656" s="61" t="str">
        <f>IF(ISERROR((BK656/BC656-1)*100),"NA",IF(((BK656/BC656-1)*100)&gt;100,"NM",IF(((BK656/BC656-1)*100)&lt;-50,"NM",(BK656/BC656-1)*100)))</f>
        <v>NM</v>
      </c>
      <c r="BM656" s="74">
        <f>86</f>
        <v>86</v>
      </c>
      <c r="BN656" s="61" t="str">
        <f>IF(ISERROR((BM656/BE656-1)*100),"NA",IF(((BM656/BE656-1)*100)&gt;100,"NM",IF(((BM656/BE656-1)*100)&lt;-50,"NM",(BM656/BE656-1)*100)))</f>
        <v>NM</v>
      </c>
      <c r="BO656" s="74">
        <v>-321.7</v>
      </c>
      <c r="BP656" s="61" t="str">
        <f>IF(ISERROR((BO656/BG656-1)*100),"NA",IF(((BO656/BG656-1)*100)&gt;100,"NM",IF(((BO656/BG656-1)*100)&lt;-50,"NM",(BO656/BG656-1)*100)))</f>
        <v>NM</v>
      </c>
      <c r="BQ656" s="74">
        <v>-808.3</v>
      </c>
      <c r="BR656" s="61" t="str">
        <f>IF(ISERROR((BQ656/BI656-1)*100),"NA",IF(((BQ656/BI656-1)*100)&gt;100,"NM",IF(((BQ656/BI656-1)*100)&lt;-50,"NM",(BQ656/BI656-1)*100)))</f>
        <v>NM</v>
      </c>
      <c r="BS656" s="74">
        <v>-1810.3</v>
      </c>
      <c r="BT656" s="61" t="str">
        <f>IF(ISERROR((BS656/BK656-1)*100),"NA",IF(((BS656/BK656-1)*100)&gt;100,"NM",IF(((BS656/BK656-1)*100)&lt;-50,"NM",(BS656/BK656-1)*100)))</f>
        <v>NM</v>
      </c>
      <c r="BU656" s="74">
        <v>-2803.5</v>
      </c>
      <c r="BV656" s="61" t="str">
        <f>IF(ISERROR((BU656/BM656-1)*100),"NA",IF(((BU656/BM656-1)*100)&gt;100,"NM",IF(((BU656/BM656-1)*100)&lt;-50,"NM",(BU656/BM656-1)*100)))</f>
        <v>NM</v>
      </c>
      <c r="BW656" s="74">
        <v>-2975.1</v>
      </c>
      <c r="BX656" s="61" t="str">
        <f t="shared" ref="BX656:BX695" si="3870">IF(ISERROR((BW656/BO656-1)*100),"NA",IF(((BW656/BO656-1)*100)&gt;100,"NM",IF(((BW656/BO656-1)*100)&lt;-50,"NM",(BW656/BO656-1)*100)))</f>
        <v>NM</v>
      </c>
      <c r="BY656" s="74">
        <v>-1707.4</v>
      </c>
      <c r="BZ656" s="61" t="str">
        <f t="shared" ref="BZ656:BZ695" si="3871">IF(ISERROR((BY656/BQ656-1)*100),"NA",IF(((BY656/BQ656-1)*100)&gt;100,"NM",IF(((BY656/BQ656-1)*100)&lt;-50,"NM",(BY656/BQ656-1)*100)))</f>
        <v>NM</v>
      </c>
      <c r="CA656" s="74">
        <v>-220</v>
      </c>
      <c r="CB656" s="61" t="str">
        <f t="shared" ref="CB656:CB695" si="3872">IF(ISERROR((CA656/BS656-1)*100),"NA",IF(((CA656/BS656-1)*100)&gt;100,"NM",IF(((CA656/BS656-1)*100)&lt;-50,"NM",(CA656/BS656-1)*100)))</f>
        <v>NM</v>
      </c>
      <c r="CC656" s="74">
        <v>-261.39999999999998</v>
      </c>
      <c r="CD656" s="61" t="str">
        <f t="shared" ref="CD656:CD695" si="3873">IF(ISERROR((CC656/BU656-1)*100),"NA",IF(((CC656/BU656-1)*100)&gt;100,"NM",IF(((CC656/BU656-1)*100)&lt;-50,"NM",(CC656/BU656-1)*100)))</f>
        <v>NM</v>
      </c>
      <c r="CE656" s="74">
        <v>302.2</v>
      </c>
      <c r="CF656" s="61" t="str">
        <f t="shared" si="3811"/>
        <v>NM</v>
      </c>
      <c r="CG656" s="74">
        <v>937.9</v>
      </c>
      <c r="CH656" s="61" t="str">
        <f t="shared" si="3812"/>
        <v>NM</v>
      </c>
      <c r="CI656" s="74">
        <v>1661.5</v>
      </c>
      <c r="CJ656" s="61" t="str">
        <f t="shared" si="3813"/>
        <v>NM</v>
      </c>
      <c r="CK656" s="74">
        <v>747.7</v>
      </c>
      <c r="CL656" s="61" t="str">
        <f t="shared" si="3814"/>
        <v>NM</v>
      </c>
      <c r="CM656" s="74">
        <v>872.7</v>
      </c>
      <c r="CN656" s="61" t="str">
        <f t="shared" si="3815"/>
        <v>NM</v>
      </c>
      <c r="CO656" s="74">
        <v>1227</v>
      </c>
      <c r="CP656" s="61">
        <f t="shared" si="3816"/>
        <v>30.824181682482156</v>
      </c>
      <c r="CQ656" s="74">
        <v>2664</v>
      </c>
      <c r="CR656" s="61">
        <f t="shared" si="3817"/>
        <v>60.33704483900091</v>
      </c>
      <c r="CS656" s="74">
        <v>2679</v>
      </c>
      <c r="CT656" s="61" t="str">
        <f t="shared" si="3818"/>
        <v>NM</v>
      </c>
      <c r="CU656" s="74">
        <v>2622</v>
      </c>
      <c r="CV656" s="61" t="str">
        <f t="shared" si="3819"/>
        <v>NM</v>
      </c>
      <c r="CW656" s="74">
        <v>3379</v>
      </c>
      <c r="CX656" s="61" t="str">
        <f t="shared" si="3820"/>
        <v>NM</v>
      </c>
      <c r="CY656" s="74">
        <v>4150</v>
      </c>
      <c r="CZ656" s="61">
        <f t="shared" si="3821"/>
        <v>55.780780780780773</v>
      </c>
      <c r="DA656" s="74">
        <v>3808</v>
      </c>
      <c r="DB656" s="61">
        <f t="shared" si="3822"/>
        <v>42.142590518850319</v>
      </c>
      <c r="DC656" s="74">
        <v>3581</v>
      </c>
      <c r="DD656" s="61">
        <f t="shared" si="3823"/>
        <v>36.575133485888635</v>
      </c>
      <c r="DE656" s="74">
        <v>1893</v>
      </c>
      <c r="DF656" s="61">
        <f t="shared" si="3824"/>
        <v>-43.977508138502522</v>
      </c>
      <c r="DG656" s="74">
        <v>1750</v>
      </c>
      <c r="DH656" s="61" t="str">
        <f t="shared" si="3825"/>
        <v>NM</v>
      </c>
      <c r="DI656" s="74">
        <v>1563</v>
      </c>
      <c r="DJ656" s="61" t="str">
        <f t="shared" si="3826"/>
        <v>NM</v>
      </c>
      <c r="DK656" s="636">
        <f>2453+1</f>
        <v>2454</v>
      </c>
      <c r="DL656" s="61">
        <f t="shared" si="3827"/>
        <v>-31.471655962021782</v>
      </c>
      <c r="DM656" s="74">
        <v>3199</v>
      </c>
      <c r="DN656" s="130">
        <f t="shared" si="3828"/>
        <v>68.99101954569467</v>
      </c>
      <c r="DO656" s="74">
        <v>2922</v>
      </c>
      <c r="DP656" s="130">
        <f t="shared" si="3828"/>
        <v>66.971428571428575</v>
      </c>
      <c r="DQ656" s="74">
        <v>3096</v>
      </c>
      <c r="DR656" s="61">
        <f t="shared" si="3829"/>
        <v>98.080614203454886</v>
      </c>
      <c r="DS656" s="74">
        <v>3653</v>
      </c>
      <c r="DT656" s="130">
        <f t="shared" si="3828"/>
        <v>48.85900570497148</v>
      </c>
      <c r="DU656" s="74">
        <v>1944</v>
      </c>
      <c r="DV656" s="130">
        <f t="shared" si="3828"/>
        <v>-39.231009690528282</v>
      </c>
      <c r="DW656" s="74">
        <v>1663</v>
      </c>
      <c r="DX656" s="74">
        <v>1663</v>
      </c>
      <c r="DY656" s="74">
        <v>845</v>
      </c>
      <c r="DZ656" s="130" t="str">
        <f t="shared" si="3828"/>
        <v>NM</v>
      </c>
      <c r="EA656" s="74">
        <v>1931</v>
      </c>
      <c r="EB656" s="130">
        <f t="shared" si="3830"/>
        <v>-47.13933753079661</v>
      </c>
      <c r="EC656" s="74">
        <v>3195</v>
      </c>
      <c r="ED656" s="130">
        <f t="shared" si="3831"/>
        <v>64.351851851851862</v>
      </c>
      <c r="EE656" s="74">
        <v>3377</v>
      </c>
      <c r="EF656" s="130" t="str">
        <f t="shared" si="3832"/>
        <v>NM</v>
      </c>
      <c r="EG656" s="74">
        <v>1566</v>
      </c>
      <c r="EH656" s="130">
        <f t="shared" si="3833"/>
        <v>85.325443786982262</v>
      </c>
      <c r="EI656" s="74">
        <v>1847</v>
      </c>
      <c r="EJ656" s="130">
        <f t="shared" si="3834"/>
        <v>-4.3500776799585754</v>
      </c>
      <c r="EK656" s="74">
        <v>2711</v>
      </c>
      <c r="EL656" s="130">
        <f t="shared" si="3835"/>
        <v>-15.148669796557124</v>
      </c>
      <c r="EM656" s="74">
        <v>2859</v>
      </c>
      <c r="EN656" s="130">
        <f t="shared" si="3836"/>
        <v>-15.339058335801003</v>
      </c>
      <c r="EO656" s="74">
        <v>3230</v>
      </c>
      <c r="EP656" s="130" t="str">
        <f t="shared" si="3837"/>
        <v>NM</v>
      </c>
      <c r="EQ656" s="74">
        <f t="shared" ref="EQ656" si="3874">EO656</f>
        <v>3230</v>
      </c>
      <c r="ER656" s="130">
        <f t="shared" si="3839"/>
        <v>74.878180833784526</v>
      </c>
      <c r="ES656" s="74">
        <f t="shared" ref="ES656" si="3875">EQ656</f>
        <v>3230</v>
      </c>
      <c r="ET656" s="130">
        <f t="shared" si="3840"/>
        <v>19.144227222427148</v>
      </c>
      <c r="EU656" s="74">
        <f t="shared" ref="EU656" si="3876">ES656</f>
        <v>3230</v>
      </c>
      <c r="EV656" s="130">
        <f t="shared" si="3841"/>
        <v>12.976565232598801</v>
      </c>
      <c r="EW656" s="74">
        <f t="shared" ref="EW656" si="3877">EU656</f>
        <v>3230</v>
      </c>
      <c r="EX656" s="130">
        <f t="shared" si="3842"/>
        <v>0</v>
      </c>
      <c r="EY656" s="356"/>
      <c r="EZ656" s="558"/>
      <c r="FA656" s="356"/>
      <c r="FB656" s="72">
        <v>552.32847487949948</v>
      </c>
      <c r="FC656" s="71"/>
      <c r="FD656" s="72">
        <v>-465.70000000000073</v>
      </c>
      <c r="FE656" s="70" t="str">
        <f>IF(ISERROR((FD656/FB656-1)*100),"NA",IF(((FD656/FB656-1)*100)&gt;100,"NM",IF(((FD656/FB656-1)*100)&lt;-50,"NM",(FD656/FB656-1)*100)))</f>
        <v>NM</v>
      </c>
      <c r="FF656" s="91">
        <f>I656</f>
        <v>12</v>
      </c>
      <c r="FG656" s="70" t="str">
        <f>IF(ISERROR((FF656/FD656-1)*100),"NA",IF(((FF656/FD656-1)*100)&gt;100,"NM",IF(((FF656/FD656-1)*100)&lt;-50,"NM",(FF656/FD656-1)*100)))</f>
        <v>NM</v>
      </c>
      <c r="FH656" s="91">
        <f>Q656</f>
        <v>195.7</v>
      </c>
      <c r="FI656" s="70" t="str">
        <f>IF(ISERROR((FH656/FF656-1)*100),"NA",IF(((FH656/FF656-1)*100)&gt;100,"NM",IF(((FH656/FF656-1)*100)&lt;-50,"NM",(FH656/FF656-1)*100)))</f>
        <v>NM</v>
      </c>
      <c r="FJ656" s="91">
        <f>Y656</f>
        <v>753.3</v>
      </c>
      <c r="FK656" s="70" t="str">
        <f>IF(ISERROR((FJ656/FH656-1)*100),"NA",IF(((FJ656/FH656-1)*100)&gt;100,"NM",IF(((FJ656/FH656-1)*100)&lt;-50,"NM",(FJ656/FH656-1)*100)))</f>
        <v>NM</v>
      </c>
      <c r="FL656" s="91">
        <f>AG656</f>
        <v>869</v>
      </c>
      <c r="FM656" s="61">
        <f>IF(ISERROR((FL656/FJ656-1)*100),"NA",IF(((FL656/FJ656-1)*100)&gt;100,"NM",IF(((FL656/FJ656-1)*100)&lt;-50,"NM",(FL656/FJ656-1)*100)))</f>
        <v>15.359086685251565</v>
      </c>
      <c r="FN656" s="91">
        <f>+AO656</f>
        <v>836.9</v>
      </c>
      <c r="FO656" s="61">
        <f t="shared" si="3843"/>
        <v>-3.6939010356731861</v>
      </c>
      <c r="FP656" s="75">
        <f>+AW656</f>
        <v>503.90000000000003</v>
      </c>
      <c r="FQ656" s="61" t="str">
        <f t="shared" si="3844"/>
        <v>NM</v>
      </c>
      <c r="FR656" s="75">
        <f>BE656</f>
        <v>469.6</v>
      </c>
      <c r="FS656" s="61">
        <f t="shared" si="3845"/>
        <v>-6.8069061321690878</v>
      </c>
      <c r="FT656" s="75">
        <f>BM656</f>
        <v>86</v>
      </c>
      <c r="FU656" s="61" t="str">
        <f t="shared" si="3846"/>
        <v>NM</v>
      </c>
      <c r="FV656" s="75">
        <f>BU656</f>
        <v>-2803.5</v>
      </c>
      <c r="FW656" s="61" t="str">
        <f t="shared" si="3847"/>
        <v>NM</v>
      </c>
      <c r="FX656" s="75">
        <f>CC656</f>
        <v>-261.39999999999998</v>
      </c>
      <c r="FY656" s="61" t="str">
        <f t="shared" si="3848"/>
        <v>NM</v>
      </c>
      <c r="FZ656" s="75">
        <f>CK656</f>
        <v>747.7</v>
      </c>
      <c r="GA656" s="61" t="str">
        <f t="shared" si="3849"/>
        <v>NM</v>
      </c>
      <c r="GB656" s="75">
        <f>CS656</f>
        <v>2679</v>
      </c>
      <c r="GC656" s="61" t="str">
        <f t="shared" si="3850"/>
        <v>NM</v>
      </c>
      <c r="GD656" s="75">
        <f>DA656</f>
        <v>3808</v>
      </c>
      <c r="GE656" s="61">
        <f t="shared" si="3851"/>
        <v>42.142590518850319</v>
      </c>
      <c r="GF656" s="75">
        <f>DI656</f>
        <v>1563</v>
      </c>
      <c r="GG656" s="61" t="str">
        <f t="shared" si="3851"/>
        <v>NM</v>
      </c>
      <c r="GH656" s="75">
        <f>DQ656</f>
        <v>3096</v>
      </c>
      <c r="GI656" s="61">
        <f t="shared" si="3851"/>
        <v>98.080614203454886</v>
      </c>
      <c r="GJ656" s="75">
        <f>DY656</f>
        <v>845</v>
      </c>
      <c r="GK656" s="61" t="str">
        <f t="shared" si="3851"/>
        <v>NM</v>
      </c>
      <c r="GL656" s="75">
        <f>EG656</f>
        <v>1566</v>
      </c>
      <c r="GM656" s="61">
        <f t="shared" si="3851"/>
        <v>85.325443786982262</v>
      </c>
      <c r="GN656" s="75">
        <f>EO656</f>
        <v>3230</v>
      </c>
      <c r="GO656" s="61" t="str">
        <f t="shared" si="3851"/>
        <v>NM</v>
      </c>
      <c r="GP656" s="75">
        <f>EW656</f>
        <v>3230</v>
      </c>
      <c r="GQ656" s="61">
        <f t="shared" si="3851"/>
        <v>0</v>
      </c>
      <c r="GR656" s="74">
        <f>GP656</f>
        <v>3230</v>
      </c>
      <c r="GS656" s="61">
        <f t="shared" si="3851"/>
        <v>0</v>
      </c>
      <c r="GT656" s="74">
        <f>GR656</f>
        <v>3230</v>
      </c>
      <c r="GU656" s="61">
        <f t="shared" si="3851"/>
        <v>0</v>
      </c>
      <c r="GV656" s="74">
        <f>GT656</f>
        <v>3230</v>
      </c>
      <c r="GW656" s="61">
        <f t="shared" si="3851"/>
        <v>0</v>
      </c>
      <c r="GX656" s="74">
        <f>GV656</f>
        <v>3230</v>
      </c>
      <c r="GY656" s="61">
        <f t="shared" si="3852"/>
        <v>0</v>
      </c>
      <c r="GZ656" s="61">
        <f t="shared" si="3732"/>
        <v>0</v>
      </c>
      <c r="HA656" s="61"/>
      <c r="HB656" s="452"/>
      <c r="HC656"/>
      <c r="HD656"/>
      <c r="HE656"/>
      <c r="HF656"/>
      <c r="HG656"/>
      <c r="HH656"/>
    </row>
    <row r="657" spans="1:216" s="5" customFormat="1" ht="12.75" customHeight="1" x14ac:dyDescent="0.2">
      <c r="A657" s="7" t="s">
        <v>403</v>
      </c>
      <c r="B657" s="7" t="s">
        <v>292</v>
      </c>
      <c r="C657" s="378">
        <f>C655-C656</f>
        <v>4751.6000000000004</v>
      </c>
      <c r="D657" s="70"/>
      <c r="E657" s="378">
        <f>E655-E656</f>
        <v>4780.3</v>
      </c>
      <c r="F657" s="71"/>
      <c r="G657" s="378">
        <f>G655-G656</f>
        <v>4876.3</v>
      </c>
      <c r="H657" s="71"/>
      <c r="I657" s="378">
        <f>I655-I656</f>
        <v>4942.1000000000004</v>
      </c>
      <c r="J657" s="61"/>
      <c r="K657" s="378">
        <f>K655-K656</f>
        <v>4935.7000000000007</v>
      </c>
      <c r="L657" s="61">
        <f>IF(ISERROR((K657/C657-1)*100),"NA",IF(((K657/C657-1)*100)&gt;100,"NM",IF(((K657/C657-1)*100)&lt;-50,"NM",(K657/C657-1)*100)))</f>
        <v>3.8744843842074328</v>
      </c>
      <c r="M657" s="378">
        <f>M655-M656</f>
        <v>5012.7</v>
      </c>
      <c r="N657" s="61">
        <f>IF(ISERROR((M657/E657-1)*100),"NA",IF(((M657/E657-1)*100)&gt;100,"NM",IF(((M657/E657-1)*100)&lt;-50,"NM",(M657/E657-1)*100)))</f>
        <v>4.8616195636256965</v>
      </c>
      <c r="O657" s="378">
        <f>O655-O656</f>
        <v>5157.1000000000004</v>
      </c>
      <c r="P657" s="61">
        <f>IF(ISERROR((O657/G657-1)*100),"NA",IF(((O657/G657-1)*100)&gt;100,"NM",IF(((O657/G657-1)*100)&lt;-50,"NM",(O657/G657-1)*100)))</f>
        <v>5.7584644094908155</v>
      </c>
      <c r="Q657" s="378">
        <f>Q655-Q656</f>
        <v>5108.1000000000004</v>
      </c>
      <c r="R657" s="61">
        <f>IF(ISERROR((Q657/I657-1)*100),"NA",IF(((Q657/I657-1)*100)&gt;100,"NM",IF(((Q657/I657-1)*100)&lt;-50,"NM",(Q657/I657-1)*100)))</f>
        <v>3.3588960158636993</v>
      </c>
      <c r="S657" s="378">
        <f>S655-S656</f>
        <v>5141.3999999999996</v>
      </c>
      <c r="T657" s="61">
        <f>IF(ISERROR((S657/K657-1)*100),"NA",IF(((S657/K657-1)*100)&gt;100,"NM",IF(((S657/K657-1)*100)&lt;-50,"NM",(S657/K657-1)*100)))</f>
        <v>4.1675952752395551</v>
      </c>
      <c r="U657" s="378">
        <f>U655-U656</f>
        <v>5027.1000000000004</v>
      </c>
      <c r="V657" s="61">
        <f>IF(ISERROR((U657/M657-1)*100),"NA",IF(((U657/M657-1)*100)&gt;100,"NM",IF(((U657/M657-1)*100)&lt;-50,"NM",(U657/M657-1)*100)))</f>
        <v>0.28727033335329555</v>
      </c>
      <c r="W657" s="378">
        <f>W655-W656</f>
        <v>4619.3</v>
      </c>
      <c r="X657" s="61">
        <f>IF(ISERROR((W657/O657-1)*100),"NA",IF(((W657/O657-1)*100)&gt;100,"NM",IF(((W657/O657-1)*100)&lt;-50,"NM",(W657/O657-1)*100)))</f>
        <v>-10.428341509763239</v>
      </c>
      <c r="Y657" s="378">
        <f>Y655-Y656</f>
        <v>4594.2</v>
      </c>
      <c r="Z657" s="61">
        <f>IF(ISERROR((Y657/Q657-1)*100),"NA",IF(((Y657/Q657-1)*100)&gt;100,"NM",IF(((Y657/Q657-1)*100)&lt;-50,"NM",(Y657/Q657-1)*100)))</f>
        <v>-10.060492159511369</v>
      </c>
      <c r="AA657" s="378">
        <f>AA655-AA656</f>
        <v>4578</v>
      </c>
      <c r="AB657" s="61">
        <f>IF(ISERROR((AA657/S657-1)*100),"NA",IF(((AA657/S657-1)*100)&gt;100,"NM",IF(((AA657/S657-1)*100)&lt;-50,"NM",(AA657/S657-1)*100)))</f>
        <v>-10.958104796358958</v>
      </c>
      <c r="AC657" s="378">
        <f>AC655-AC656</f>
        <v>4698.0999999999995</v>
      </c>
      <c r="AD657" s="61">
        <f>IF(ISERROR((AC657/U657-1)*100),"NA",IF(((AC657/U657-1)*100)&gt;100,"NM",IF(((AC657/U657-1)*100)&lt;-50,"NM",(AC657/U657-1)*100)))</f>
        <v>-6.5445286546915948</v>
      </c>
      <c r="AE657" s="378">
        <f>AE655-AE656</f>
        <v>4790.6000000000004</v>
      </c>
      <c r="AF657" s="61">
        <f>IF(ISERROR((AE657/W657-1)*100),"NA",IF(((AE657/W657-1)*100)&gt;100,"NM",IF(((AE657/W657-1)*100)&lt;-50,"NM",(AE657/W657-1)*100)))</f>
        <v>3.7083540796224668</v>
      </c>
      <c r="AG657" s="378">
        <f>AG655-AG656</f>
        <v>4942.6000000000004</v>
      </c>
      <c r="AH657" s="61">
        <f>IF(ISERROR((AG657/Y657-1)*100),"NA",IF(((AG657/Y657-1)*100)&gt;100,"NM",IF(((AG657/Y657-1)*100)&lt;-50,"NM",(AG657/Y657-1)*100)))</f>
        <v>7.5834748160724441</v>
      </c>
      <c r="AI657" s="378">
        <f>AI655-AI656</f>
        <v>5004.2</v>
      </c>
      <c r="AJ657" s="61">
        <f>IF(ISERROR((AI657/AA657-1)*100),"NA",IF(((AI657/AA657-1)*100)&gt;100,"NM",IF(((AI657/AA657-1)*100)&lt;-50,"NM",(AI657/AA657-1)*100)))</f>
        <v>9.309742245522056</v>
      </c>
      <c r="AK657" s="378">
        <f>AK655-AK656</f>
        <v>5023.6000000000004</v>
      </c>
      <c r="AL657" s="61">
        <f>IF(ISERROR((AK657/AC657-1)*100),"NA",IF(((AK657/AC657-1)*100)&gt;100,"NM",IF(((AK657/AC657-1)*100)&lt;-50,"NM",(AK657/AC657-1)*100)))</f>
        <v>6.9283327302526843</v>
      </c>
      <c r="AM657" s="378">
        <f>AM655-AM656</f>
        <v>5109.8</v>
      </c>
      <c r="AN657" s="61">
        <f>IF(ISERROR((AM657/AE657-1)*100),"NA",IF(((AM657/AE657-1)*100)&gt;100,"NM",IF(((AM657/AE657-1)*100)&lt;-50,"NM",(AM657/AE657-1)*100)))</f>
        <v>6.6630484699202519</v>
      </c>
      <c r="AO657" s="378">
        <f>AO655-AO656</f>
        <v>5338.7000000000007</v>
      </c>
      <c r="AP657" s="61">
        <f>IF(ISERROR((AO657/AG657-1)*100),"NA",IF(((AO657/AG657-1)*100)&gt;100,"NM",IF(((AO657/AG657-1)*100)&lt;-50,"NM",(AO657/AG657-1)*100)))</f>
        <v>8.0140007283616033</v>
      </c>
      <c r="AQ657" s="378">
        <f>AQ655-AQ656</f>
        <v>5452.2999999999993</v>
      </c>
      <c r="AR657" s="61">
        <f>IF(ISERROR((AQ657/AI657-1)*100),"NA",IF(((AQ657/AI657-1)*100)&gt;100,"NM",IF(((AQ657/AI657-1)*100)&lt;-50,"NM",(AQ657/AI657-1)*100)))</f>
        <v>8.9544782382798402</v>
      </c>
      <c r="AS657" s="378">
        <f>AS655-AS656</f>
        <v>5500.4</v>
      </c>
      <c r="AT657" s="61">
        <f>IF(ISERROR((AS657/AK657-1)*100),"NA",IF(((AS657/AK657-1)*100)&gt;100,"NM",IF(((AS657/AK657-1)*100)&lt;-50,"NM",(AS657/AK657-1)*100)))</f>
        <v>9.4912015287841314</v>
      </c>
      <c r="AU657" s="378">
        <f>AU655-AU656</f>
        <v>5706.5</v>
      </c>
      <c r="AV657" s="61">
        <f>IF(ISERROR((AU657/AM657-1)*100),"NA",IF(((AU657/AM657-1)*100)&gt;100,"NM",IF(((AU657/AM657-1)*100)&lt;-50,"NM",(AU657/AM657-1)*100)))</f>
        <v>11.67756076558768</v>
      </c>
      <c r="AW657" s="378">
        <f>AW655-AW656</f>
        <v>5880.5</v>
      </c>
      <c r="AX657" s="61">
        <f>IF(ISERROR((AW657/AO657-1)*100),"NA",IF(((AW657/AO657-1)*100)&gt;100,"NM",IF(((AW657/AO657-1)*100)&lt;-50,"NM",(AW657/AO657-1)*100)))</f>
        <v>10.148538033603671</v>
      </c>
      <c r="AY657" s="378">
        <f>AY655-AY656</f>
        <v>6082.8</v>
      </c>
      <c r="AZ657" s="61">
        <f>IF(ISERROR((AY657/AQ657-1)*100),"NA",IF(((AY657/AQ657-1)*100)&gt;100,"NM",IF(((AY657/AQ657-1)*100)&lt;-50,"NM",(AY657/AQ657-1)*100)))</f>
        <v>11.563927150010112</v>
      </c>
      <c r="BA657" s="378">
        <f>BA655-BA656</f>
        <v>11504.8</v>
      </c>
      <c r="BB657" s="61" t="str">
        <f t="shared" si="3867"/>
        <v>NM</v>
      </c>
      <c r="BC657" s="378">
        <f>BC655-BC656</f>
        <v>11565.2</v>
      </c>
      <c r="BD657" s="61" t="str">
        <f t="shared" si="3868"/>
        <v>NM</v>
      </c>
      <c r="BE657" s="378">
        <f>BE655-BE656</f>
        <v>11731.4</v>
      </c>
      <c r="BF657" s="61">
        <f t="shared" si="3869"/>
        <v>99.496641442054241</v>
      </c>
      <c r="BG657" s="378">
        <f>BG655-BG656</f>
        <v>11504.1</v>
      </c>
      <c r="BH657" s="61">
        <f>IF(ISERROR((BG657/AY657-1)*100),"NA",IF(((BG657/AY657-1)*100)&gt;100,"NM",IF(((BG657/AY657-1)*100)&lt;-50,"NM",(BG657/AY657-1)*100)))</f>
        <v>89.125073979088569</v>
      </c>
      <c r="BI657" s="378">
        <f>BI655-BI656</f>
        <v>11819.1</v>
      </c>
      <c r="BJ657" s="61">
        <f>IF(ISERROR((BI657/BA657-1)*100),"NA",IF(((BI657/BA657-1)*100)&gt;100,"NM",IF(((BI657/BA657-1)*100)&lt;-50,"NM",(BI657/BA657-1)*100)))</f>
        <v>2.7319032056185355</v>
      </c>
      <c r="BK657" s="378">
        <f>BK655-BK656</f>
        <v>11766</v>
      </c>
      <c r="BL657" s="61">
        <f>IF(ISERROR((BK657/BC657-1)*100),"NA",IF(((BK657/BC657-1)*100)&gt;100,"NM",IF(((BK657/BC657-1)*100)&lt;-50,"NM",(BK657/BC657-1)*100)))</f>
        <v>1.7362432123958049</v>
      </c>
      <c r="BM657" s="378">
        <f>BM655-BM656</f>
        <v>11632.4</v>
      </c>
      <c r="BN657" s="61">
        <f>IF(ISERROR((BM657/BE657-1)*100),"NA",IF(((BM657/BE657-1)*100)&gt;100,"NM",IF(((BM657/BE657-1)*100)&lt;-50,"NM",(BM657/BE657-1)*100)))</f>
        <v>-0.84388904990027047</v>
      </c>
      <c r="BO657" s="378">
        <f>BO655-BO656</f>
        <v>11408</v>
      </c>
      <c r="BP657" s="61">
        <f>IF(ISERROR((BO657/BG657-1)*100),"NA",IF(((BO657/BG657-1)*100)&gt;100,"NM",IF(((BO657/BG657-1)*100)&lt;-50,"NM",(BO657/BG657-1)*100)))</f>
        <v>-0.83535435192670926</v>
      </c>
      <c r="BQ657" s="378">
        <f>BQ655-BQ656</f>
        <v>11306</v>
      </c>
      <c r="BR657" s="61">
        <f>IF(ISERROR((BQ657/BI657-1)*100),"NA",IF(((BQ657/BI657-1)*100)&gt;100,"NM",IF(((BQ657/BI657-1)*100)&lt;-50,"NM",(BQ657/BI657-1)*100)))</f>
        <v>-4.3412781007014072</v>
      </c>
      <c r="BS657" s="378">
        <f>BS655-BS656</f>
        <v>11310.4</v>
      </c>
      <c r="BT657" s="61">
        <f>IF(ISERROR((BS657/BK657-1)*100),"NA",IF(((BS657/BK657-1)*100)&gt;100,"NM",IF(((BS657/BK657-1)*100)&lt;-50,"NM",(BS657/BK657-1)*100)))</f>
        <v>-3.8721740608533062</v>
      </c>
      <c r="BU657" s="378">
        <f>BU655-BU656</f>
        <v>10780.3</v>
      </c>
      <c r="BV657" s="61">
        <f>IF(ISERROR((BU657/BM657-1)*100),"NA",IF(((BU657/BM657-1)*100)&gt;100,"NM",IF(((BU657/BM657-1)*100)&lt;-50,"NM",(BU657/BM657-1)*100)))</f>
        <v>-7.3252295313091071</v>
      </c>
      <c r="BW657" s="378">
        <f>BW655-BW656</f>
        <v>10298.200000000001</v>
      </c>
      <c r="BX657" s="61">
        <f t="shared" si="3870"/>
        <v>-9.728260869565208</v>
      </c>
      <c r="BY657" s="378">
        <f>BY655-BY656</f>
        <v>10781.9</v>
      </c>
      <c r="BZ657" s="61">
        <f t="shared" si="3871"/>
        <v>-4.6355917212099751</v>
      </c>
      <c r="CA657" s="378">
        <f>CA655-CA656</f>
        <v>11075.7</v>
      </c>
      <c r="CB657" s="61">
        <f t="shared" si="3872"/>
        <v>-2.0750813410666202</v>
      </c>
      <c r="CC657" s="378">
        <f>CC655-CC656</f>
        <v>11154.9</v>
      </c>
      <c r="CD657" s="61">
        <f t="shared" si="3873"/>
        <v>3.4748569149281705</v>
      </c>
      <c r="CE657" s="378">
        <f>CE655-CE656</f>
        <v>11253.1</v>
      </c>
      <c r="CF657" s="61">
        <f t="shared" si="3811"/>
        <v>9.272494222291261</v>
      </c>
      <c r="CG657" s="378">
        <f>CG655-CG656</f>
        <v>11699</v>
      </c>
      <c r="CH657" s="61">
        <f t="shared" si="3812"/>
        <v>8.5059219618063722</v>
      </c>
      <c r="CI657" s="378">
        <f>CI655-CI656</f>
        <v>11895.599999999999</v>
      </c>
      <c r="CJ657" s="61">
        <f t="shared" si="3813"/>
        <v>7.4026923806170153</v>
      </c>
      <c r="CK657" s="378">
        <f>CK655-CK656</f>
        <v>12057.7</v>
      </c>
      <c r="CL657" s="61">
        <f t="shared" si="3814"/>
        <v>8.0933042878017716</v>
      </c>
      <c r="CM657" s="378">
        <f>CM655-CM656</f>
        <v>11185.7</v>
      </c>
      <c r="CN657" s="61">
        <f t="shared" si="3815"/>
        <v>-0.59894606819453911</v>
      </c>
      <c r="CO657" s="378">
        <f>CO655-CO656</f>
        <v>11331</v>
      </c>
      <c r="CP657" s="61">
        <f t="shared" si="3816"/>
        <v>-3.1455679972647199</v>
      </c>
      <c r="CQ657" s="378">
        <f>CQ655-CQ656</f>
        <v>11323</v>
      </c>
      <c r="CR657" s="61">
        <f t="shared" si="3817"/>
        <v>-4.813544503850153</v>
      </c>
      <c r="CS657" s="378">
        <f>CS655-CS656</f>
        <v>10421</v>
      </c>
      <c r="CT657" s="61">
        <f t="shared" si="3818"/>
        <v>-13.573898836428178</v>
      </c>
      <c r="CU657" s="378">
        <f>CU655-CU656</f>
        <v>10498</v>
      </c>
      <c r="CV657" s="61">
        <f t="shared" si="3819"/>
        <v>-6.1480282861153146</v>
      </c>
      <c r="CW657" s="378">
        <f>CW655-CW656</f>
        <v>10660</v>
      </c>
      <c r="CX657" s="61">
        <f t="shared" si="3820"/>
        <v>-5.9218074309416613</v>
      </c>
      <c r="CY657" s="378">
        <f>CY655-CY656</f>
        <v>10970</v>
      </c>
      <c r="CZ657" s="61">
        <f t="shared" si="3821"/>
        <v>-3.1175483529100045</v>
      </c>
      <c r="DA657" s="378">
        <f>DA655-DA656</f>
        <v>11165</v>
      </c>
      <c r="DB657" s="61">
        <f t="shared" si="3822"/>
        <v>7.139429997121205</v>
      </c>
      <c r="DC657" s="378">
        <f>DC655-DC656</f>
        <v>11281</v>
      </c>
      <c r="DD657" s="61">
        <f t="shared" si="3823"/>
        <v>7.4585635359116109</v>
      </c>
      <c r="DE657" s="378">
        <f>DE655-DE656</f>
        <v>11424</v>
      </c>
      <c r="DF657" s="61">
        <f t="shared" si="3824"/>
        <v>7.1669793621013111</v>
      </c>
      <c r="DG657" s="378">
        <f>DG655-DG656</f>
        <v>11639</v>
      </c>
      <c r="DH657" s="61">
        <f t="shared" si="3825"/>
        <v>6.0984503190519623</v>
      </c>
      <c r="DI657" s="378">
        <f>DI655-DI656</f>
        <v>11890</v>
      </c>
      <c r="DJ657" s="61">
        <f t="shared" si="3826"/>
        <v>6.4935064935064846</v>
      </c>
      <c r="DK657" s="378">
        <f>DK655-DK656</f>
        <v>12033</v>
      </c>
      <c r="DL657" s="61">
        <f t="shared" si="3827"/>
        <v>6.6660757025086337</v>
      </c>
      <c r="DM657" s="378">
        <f>DM655-DM656</f>
        <v>12252</v>
      </c>
      <c r="DN657" s="130">
        <f t="shared" si="3828"/>
        <v>7.247899159663862</v>
      </c>
      <c r="DO657" s="378">
        <f>DO655-DO656</f>
        <v>12530</v>
      </c>
      <c r="DP657" s="130">
        <f t="shared" si="3828"/>
        <v>7.6552968468081461</v>
      </c>
      <c r="DQ657" s="378">
        <f>DQ655-DQ656</f>
        <v>12644</v>
      </c>
      <c r="DR657" s="61">
        <f t="shared" si="3829"/>
        <v>6.341463414634152</v>
      </c>
      <c r="DS657" s="378">
        <f>DS655-DS656</f>
        <v>12570</v>
      </c>
      <c r="DT657" s="130">
        <f t="shared" si="3828"/>
        <v>4.4627274993767063</v>
      </c>
      <c r="DU657" s="378">
        <f>DU655-DU656</f>
        <v>12755</v>
      </c>
      <c r="DV657" s="130">
        <f t="shared" si="3828"/>
        <v>4.1054521710741199</v>
      </c>
      <c r="DW657" s="378">
        <f>DW655-DW656</f>
        <v>12738</v>
      </c>
      <c r="DX657" s="378">
        <f t="shared" ref="DX657:DY657" si="3878">DX655-DX656</f>
        <v>12738</v>
      </c>
      <c r="DY657" s="378">
        <f t="shared" si="3878"/>
        <v>12772</v>
      </c>
      <c r="DZ657" s="130">
        <f t="shared" si="3828"/>
        <v>1.0123378677633577</v>
      </c>
      <c r="EA657" s="378">
        <f t="shared" ref="EA657:EC657" si="3879">EA655-EA656</f>
        <v>12727</v>
      </c>
      <c r="EB657" s="130">
        <f t="shared" si="3830"/>
        <v>1.2490055688146429</v>
      </c>
      <c r="EC657" s="378">
        <f t="shared" si="3879"/>
        <v>12725</v>
      </c>
      <c r="ED657" s="130">
        <f t="shared" si="3831"/>
        <v>-0.23520188161505473</v>
      </c>
      <c r="EE657" s="378">
        <f t="shared" ref="EE657:EG657" si="3880">EE655-EE656</f>
        <v>12946</v>
      </c>
      <c r="EF657" s="130">
        <f t="shared" si="3832"/>
        <v>1.6329094049301274</v>
      </c>
      <c r="EG657" s="378">
        <f t="shared" si="3880"/>
        <v>12912</v>
      </c>
      <c r="EH657" s="130">
        <f t="shared" si="3833"/>
        <v>1.0961478233636024</v>
      </c>
      <c r="EI657" s="378">
        <f t="shared" ref="EI657:EK657" si="3881">EI655-EI656</f>
        <v>13126</v>
      </c>
      <c r="EJ657" s="130">
        <f t="shared" si="3834"/>
        <v>3.1350671800109975</v>
      </c>
      <c r="EK657" s="378">
        <f t="shared" si="3881"/>
        <v>13285</v>
      </c>
      <c r="EL657" s="130">
        <f t="shared" si="3835"/>
        <v>4.4007858546168954</v>
      </c>
      <c r="EM657" s="378">
        <f t="shared" ref="EM657" si="3882">EM655-EM656</f>
        <v>13455</v>
      </c>
      <c r="EN657" s="130">
        <f t="shared" si="3836"/>
        <v>3.9317163602657246</v>
      </c>
      <c r="EO657" s="378">
        <f t="shared" ref="EO657" si="3883">EO655-EO656</f>
        <v>14092</v>
      </c>
      <c r="EP657" s="130">
        <f t="shared" si="3837"/>
        <v>9.1387856257744815</v>
      </c>
      <c r="EQ657" s="378">
        <f t="shared" ref="EQ657:EW657" si="3884">EQ655-EQ656</f>
        <v>14383.193391741435</v>
      </c>
      <c r="ER657" s="130">
        <f t="shared" si="3839"/>
        <v>9.5778865742909947</v>
      </c>
      <c r="ES657" s="378">
        <f t="shared" si="3884"/>
        <v>14702.036990647703</v>
      </c>
      <c r="ET657" s="130">
        <f t="shared" si="3840"/>
        <v>10.66644328677231</v>
      </c>
      <c r="EU657" s="378">
        <f t="shared" si="3884"/>
        <v>14934.132417239329</v>
      </c>
      <c r="EV657" s="130">
        <f t="shared" si="3841"/>
        <v>10.993180358523436</v>
      </c>
      <c r="EW657" s="378">
        <f t="shared" si="3884"/>
        <v>15180.489781065618</v>
      </c>
      <c r="EX657" s="130">
        <f t="shared" si="3842"/>
        <v>7.7241681880898305</v>
      </c>
      <c r="EY657" s="356"/>
      <c r="EZ657" s="558"/>
      <c r="FA657" s="356"/>
      <c r="FB657" s="378">
        <f>FB655-FB656</f>
        <v>4835.5715251205002</v>
      </c>
      <c r="FC657" s="71"/>
      <c r="FD657" s="378">
        <f>FD655-FD656</f>
        <v>4729.6000000000004</v>
      </c>
      <c r="FE657" s="70">
        <f>IF(ISERROR((FD657/FB657-1)*100),"NA",IF(((FD657/FB657-1)*100)&gt;100,"NM",IF(((FD657/FB657-1)*100)&lt;-50,"NM",(FD657/FB657-1)*100)))</f>
        <v>-2.1914994860480097</v>
      </c>
      <c r="FF657" s="378">
        <f>FF655-FF656</f>
        <v>4942.1000000000004</v>
      </c>
      <c r="FG657" s="70">
        <f>IF(ISERROR((FF657/FD657-1)*100),"NA",IF(((FF657/FD657-1)*100)&gt;100,"NM",IF(((FF657/FD657-1)*100)&lt;-50,"NM",(FF657/FD657-1)*100)))</f>
        <v>4.4929803788903877</v>
      </c>
      <c r="FH657" s="378">
        <f>FH655-FH656</f>
        <v>5108.1000000000004</v>
      </c>
      <c r="FI657" s="70">
        <f>IF(ISERROR((FH657/FF657-1)*100),"NA",IF(((FH657/FF657-1)*100)&gt;100,"NM",IF(((FH657/FF657-1)*100)&lt;-50,"NM",(FH657/FF657-1)*100)))</f>
        <v>3.3588960158636993</v>
      </c>
      <c r="FJ657" s="378">
        <f>FJ655-FJ656</f>
        <v>4594.2</v>
      </c>
      <c r="FK657" s="70">
        <f>IF(ISERROR((FJ657/FH657-1)*100),"NA",IF(((FJ657/FH657-1)*100)&gt;100,"NM",IF(((FJ657/FH657-1)*100)&lt;-50,"NM",(FJ657/FH657-1)*100)))</f>
        <v>-10.060492159511369</v>
      </c>
      <c r="FL657" s="378">
        <f>FL655-FL656</f>
        <v>4942.6000000000004</v>
      </c>
      <c r="FM657" s="61">
        <f>IF(ISERROR((FL657/FJ657-1)*100),"NA",IF(((FL657/FJ657-1)*100)&gt;100,"NM",IF(((FL657/FJ657-1)*100)&lt;-50,"NM",(FL657/FJ657-1)*100)))</f>
        <v>7.5834748160724441</v>
      </c>
      <c r="FN657" s="378">
        <f>FN655-FN656</f>
        <v>5338.7000000000007</v>
      </c>
      <c r="FO657" s="61">
        <f t="shared" si="3843"/>
        <v>8.0140007283616033</v>
      </c>
      <c r="FP657" s="270">
        <f>FP655-FP656</f>
        <v>5880.5</v>
      </c>
      <c r="FQ657" s="61">
        <f t="shared" si="3844"/>
        <v>15.12108220277597</v>
      </c>
      <c r="FR657" s="270">
        <f>FR655-FR656</f>
        <v>11731.4</v>
      </c>
      <c r="FS657" s="61">
        <f t="shared" si="3845"/>
        <v>99.496641442054241</v>
      </c>
      <c r="FT657" s="270">
        <f>FT655-FT656</f>
        <v>11632.4</v>
      </c>
      <c r="FU657" s="61">
        <f t="shared" si="3846"/>
        <v>-0.84388904990027047</v>
      </c>
      <c r="FV657" s="270">
        <f>FV655-FV656</f>
        <v>10780.3</v>
      </c>
      <c r="FW657" s="61">
        <f t="shared" si="3847"/>
        <v>-7.3252295313091071</v>
      </c>
      <c r="FX657" s="400">
        <f>FX655-FX656</f>
        <v>11154.9</v>
      </c>
      <c r="FY657" s="61">
        <f t="shared" si="3848"/>
        <v>3.4748569149281705</v>
      </c>
      <c r="FZ657" s="400">
        <f>FZ655-FZ656</f>
        <v>12057.7</v>
      </c>
      <c r="GA657" s="61">
        <f t="shared" si="3849"/>
        <v>8.0933042878017716</v>
      </c>
      <c r="GB657" s="400">
        <f>GB655-GB656</f>
        <v>10421</v>
      </c>
      <c r="GC657" s="61">
        <f t="shared" si="3850"/>
        <v>-13.573898836428178</v>
      </c>
      <c r="GD657" s="400">
        <f>GD655-GD656</f>
        <v>11165</v>
      </c>
      <c r="GE657" s="61">
        <f t="shared" si="3851"/>
        <v>7.139429997121205</v>
      </c>
      <c r="GF657" s="400">
        <f>GF655-GF656</f>
        <v>11890</v>
      </c>
      <c r="GG657" s="61">
        <f t="shared" si="3851"/>
        <v>6.4935064935064846</v>
      </c>
      <c r="GH657" s="400">
        <f>GH655-GH656</f>
        <v>12644</v>
      </c>
      <c r="GI657" s="61">
        <f t="shared" si="3851"/>
        <v>6.341463414634152</v>
      </c>
      <c r="GJ657" s="400">
        <f>GJ655-GJ656</f>
        <v>12772</v>
      </c>
      <c r="GK657" s="61">
        <f t="shared" si="3851"/>
        <v>1.0123378677633577</v>
      </c>
      <c r="GL657" s="400">
        <f>GL655-GL656</f>
        <v>12912</v>
      </c>
      <c r="GM657" s="61">
        <f t="shared" si="3851"/>
        <v>1.0961478233636024</v>
      </c>
      <c r="GN657" s="400">
        <f>GN655-GN656</f>
        <v>14092</v>
      </c>
      <c r="GO657" s="61">
        <f t="shared" si="3851"/>
        <v>9.1387856257744815</v>
      </c>
      <c r="GP657" s="400">
        <f>GP655-GP656</f>
        <v>15180.489781065618</v>
      </c>
      <c r="GQ657" s="61">
        <f t="shared" si="3851"/>
        <v>7.7241681880898305</v>
      </c>
      <c r="GR657" s="378">
        <f>GR655-GR656</f>
        <v>16166.485642316882</v>
      </c>
      <c r="GS657" s="61">
        <f t="shared" si="3851"/>
        <v>6.4951518394424923</v>
      </c>
      <c r="GT657" s="378">
        <f>GT655-GT656</f>
        <v>17271.384857617391</v>
      </c>
      <c r="GU657" s="61">
        <f t="shared" si="3851"/>
        <v>6.834504664442087</v>
      </c>
      <c r="GV657" s="378">
        <f>GV655-GV656</f>
        <v>18394.342473280984</v>
      </c>
      <c r="GW657" s="61">
        <f t="shared" si="3851"/>
        <v>6.501838879285482</v>
      </c>
      <c r="GX657" s="378">
        <f>GX655-GX656</f>
        <v>19600.346023932005</v>
      </c>
      <c r="GY657" s="61">
        <f t="shared" si="3852"/>
        <v>6.5563830422469493</v>
      </c>
      <c r="GZ657" s="61">
        <f t="shared" si="3732"/>
        <v>6.8213889951782125</v>
      </c>
      <c r="HA657" s="61"/>
      <c r="HB657" s="452"/>
      <c r="HC657"/>
      <c r="HD657"/>
      <c r="HE657"/>
      <c r="HF657"/>
      <c r="HG657"/>
      <c r="HH657"/>
    </row>
    <row r="658" spans="1:216" s="5" customFormat="1" ht="12.75" customHeight="1" x14ac:dyDescent="0.2">
      <c r="A658" s="7"/>
      <c r="B658" s="7" t="s">
        <v>293</v>
      </c>
      <c r="C658" s="378"/>
      <c r="D658" s="70"/>
      <c r="E658" s="378"/>
      <c r="F658" s="71"/>
      <c r="G658" s="378"/>
      <c r="H658" s="71"/>
      <c r="I658" s="378"/>
      <c r="J658" s="61"/>
      <c r="K658" s="378"/>
      <c r="L658" s="61"/>
      <c r="M658" s="378"/>
      <c r="N658" s="61"/>
      <c r="O658" s="378"/>
      <c r="P658" s="61"/>
      <c r="Q658" s="378"/>
      <c r="R658" s="61"/>
      <c r="S658" s="378"/>
      <c r="T658" s="61"/>
      <c r="U658" s="378"/>
      <c r="V658" s="61"/>
      <c r="W658" s="378"/>
      <c r="X658" s="61"/>
      <c r="Y658" s="378"/>
      <c r="Z658" s="61"/>
      <c r="AA658" s="378"/>
      <c r="AB658" s="61"/>
      <c r="AC658" s="378"/>
      <c r="AD658" s="61"/>
      <c r="AE658" s="378"/>
      <c r="AF658" s="61"/>
      <c r="AG658" s="378"/>
      <c r="AH658" s="61"/>
      <c r="AI658" s="378"/>
      <c r="AJ658" s="61"/>
      <c r="AK658" s="378"/>
      <c r="AL658" s="61"/>
      <c r="AM658" s="378"/>
      <c r="AN658" s="61"/>
      <c r="AO658" s="378"/>
      <c r="AP658" s="61"/>
      <c r="AQ658" s="378"/>
      <c r="AR658" s="61"/>
      <c r="AS658" s="378"/>
      <c r="AT658" s="61"/>
      <c r="AU658" s="378"/>
      <c r="AV658" s="61"/>
      <c r="AW658" s="378"/>
      <c r="AX658" s="61"/>
      <c r="AY658" s="378"/>
      <c r="AZ658" s="61"/>
      <c r="BA658" s="378"/>
      <c r="BB658" s="61"/>
      <c r="BC658" s="378"/>
      <c r="BD658" s="61"/>
      <c r="BE658" s="378"/>
      <c r="BF658" s="61"/>
      <c r="BG658" s="378">
        <v>0</v>
      </c>
      <c r="BH658" s="61"/>
      <c r="BI658" s="378">
        <v>0</v>
      </c>
      <c r="BJ658" s="61"/>
      <c r="BK658" s="378">
        <v>0</v>
      </c>
      <c r="BL658" s="61"/>
      <c r="BM658" s="378">
        <v>0</v>
      </c>
      <c r="BN658" s="61"/>
      <c r="BO658" s="378">
        <v>0</v>
      </c>
      <c r="BP658" s="61"/>
      <c r="BQ658" s="378">
        <v>0</v>
      </c>
      <c r="BR658" s="61"/>
      <c r="BS658" s="378">
        <v>0</v>
      </c>
      <c r="BT658" s="61"/>
      <c r="BU658" s="378">
        <v>0</v>
      </c>
      <c r="BV658" s="61"/>
      <c r="BW658" s="378">
        <v>0</v>
      </c>
      <c r="BX658" s="61" t="str">
        <f t="shared" si="3870"/>
        <v>NA</v>
      </c>
      <c r="BY658" s="378">
        <v>0</v>
      </c>
      <c r="BZ658" s="61" t="str">
        <f t="shared" si="3871"/>
        <v>NA</v>
      </c>
      <c r="CA658" s="378">
        <f>950-CA646</f>
        <v>150</v>
      </c>
      <c r="CB658" s="61" t="str">
        <f t="shared" si="3872"/>
        <v>NA</v>
      </c>
      <c r="CC658" s="378">
        <f>950-CC646</f>
        <v>143.70000000000005</v>
      </c>
      <c r="CD658" s="61" t="str">
        <f t="shared" si="3873"/>
        <v>NA</v>
      </c>
      <c r="CE658" s="378">
        <f>950-CE646</f>
        <v>137.20000000000005</v>
      </c>
      <c r="CF658" s="61" t="str">
        <f t="shared" si="3811"/>
        <v>NA</v>
      </c>
      <c r="CG658" s="378">
        <v>0</v>
      </c>
      <c r="CH658" s="61" t="str">
        <f t="shared" si="3812"/>
        <v>NA</v>
      </c>
      <c r="CI658" s="378">
        <v>0</v>
      </c>
      <c r="CJ658" s="61" t="str">
        <f t="shared" si="3813"/>
        <v>NM</v>
      </c>
      <c r="CK658" s="378">
        <v>0</v>
      </c>
      <c r="CL658" s="61" t="str">
        <f t="shared" si="3814"/>
        <v>NM</v>
      </c>
      <c r="CM658" s="365">
        <v>0</v>
      </c>
      <c r="CN658" s="61" t="str">
        <f t="shared" si="3815"/>
        <v>NM</v>
      </c>
      <c r="CO658" s="365">
        <v>0</v>
      </c>
      <c r="CP658" s="61" t="str">
        <f t="shared" si="3816"/>
        <v>NA</v>
      </c>
      <c r="CQ658" s="365">
        <v>0</v>
      </c>
      <c r="CR658" s="61" t="str">
        <f t="shared" si="3817"/>
        <v>NA</v>
      </c>
      <c r="CS658" s="365">
        <v>0</v>
      </c>
      <c r="CT658" s="61" t="str">
        <f t="shared" si="3818"/>
        <v>NA</v>
      </c>
      <c r="CU658" s="365">
        <v>0</v>
      </c>
      <c r="CV658" s="61" t="str">
        <f t="shared" si="3819"/>
        <v>NA</v>
      </c>
      <c r="CW658" s="365">
        <v>0</v>
      </c>
      <c r="CX658" s="61" t="str">
        <f t="shared" si="3820"/>
        <v>NA</v>
      </c>
      <c r="CY658" s="365">
        <v>0</v>
      </c>
      <c r="CZ658" s="61" t="str">
        <f t="shared" si="3821"/>
        <v>NA</v>
      </c>
      <c r="DA658" s="365">
        <v>0</v>
      </c>
      <c r="DB658" s="61" t="str">
        <f t="shared" si="3822"/>
        <v>NA</v>
      </c>
      <c r="DC658" s="365">
        <v>0</v>
      </c>
      <c r="DD658" s="61" t="str">
        <f t="shared" si="3823"/>
        <v>NA</v>
      </c>
      <c r="DE658" s="365">
        <v>0</v>
      </c>
      <c r="DF658" s="61" t="str">
        <f t="shared" si="3824"/>
        <v>NA</v>
      </c>
      <c r="DG658" s="365">
        <v>0</v>
      </c>
      <c r="DH658" s="61" t="str">
        <f t="shared" si="3825"/>
        <v>NA</v>
      </c>
      <c r="DI658" s="365">
        <v>0</v>
      </c>
      <c r="DJ658" s="61" t="str">
        <f t="shared" si="3826"/>
        <v>NA</v>
      </c>
      <c r="DK658" s="365">
        <v>0</v>
      </c>
      <c r="DL658" s="61" t="str">
        <f t="shared" si="3827"/>
        <v>NA</v>
      </c>
      <c r="DM658" s="365">
        <v>0</v>
      </c>
      <c r="DN658" s="130" t="str">
        <f t="shared" si="3828"/>
        <v>NA</v>
      </c>
      <c r="DO658" s="365">
        <v>0</v>
      </c>
      <c r="DP658" s="130" t="str">
        <f t="shared" si="3828"/>
        <v>NA</v>
      </c>
      <c r="DQ658" s="365">
        <v>0</v>
      </c>
      <c r="DR658" s="61" t="str">
        <f t="shared" si="3829"/>
        <v>NA</v>
      </c>
      <c r="DS658" s="365">
        <v>0</v>
      </c>
      <c r="DT658" s="130" t="str">
        <f t="shared" si="3828"/>
        <v>NA</v>
      </c>
      <c r="DU658" s="365">
        <v>0</v>
      </c>
      <c r="DV658" s="130" t="str">
        <f t="shared" si="3828"/>
        <v>NA</v>
      </c>
      <c r="DW658" s="365">
        <v>0</v>
      </c>
      <c r="DX658" s="365">
        <v>0</v>
      </c>
      <c r="DY658" s="365">
        <v>0</v>
      </c>
      <c r="DZ658" s="130" t="str">
        <f t="shared" si="3828"/>
        <v>NA</v>
      </c>
      <c r="EA658" s="365">
        <v>0</v>
      </c>
      <c r="EB658" s="130" t="str">
        <f t="shared" si="3830"/>
        <v>NA</v>
      </c>
      <c r="EC658" s="365">
        <v>0</v>
      </c>
      <c r="ED658" s="130" t="str">
        <f t="shared" si="3831"/>
        <v>NA</v>
      </c>
      <c r="EE658" s="365">
        <v>0</v>
      </c>
      <c r="EF658" s="130" t="str">
        <f t="shared" si="3832"/>
        <v>NA</v>
      </c>
      <c r="EG658" s="365">
        <v>0</v>
      </c>
      <c r="EH658" s="130" t="str">
        <f t="shared" si="3833"/>
        <v>NA</v>
      </c>
      <c r="EI658" s="365">
        <v>0</v>
      </c>
      <c r="EJ658" s="130" t="str">
        <f t="shared" si="3834"/>
        <v>NA</v>
      </c>
      <c r="EK658" s="365">
        <v>0</v>
      </c>
      <c r="EL658" s="130" t="str">
        <f t="shared" si="3835"/>
        <v>NA</v>
      </c>
      <c r="EM658" s="365">
        <v>0</v>
      </c>
      <c r="EN658" s="130" t="str">
        <f t="shared" si="3836"/>
        <v>NA</v>
      </c>
      <c r="EO658" s="365">
        <v>0</v>
      </c>
      <c r="EP658" s="130" t="str">
        <f t="shared" si="3837"/>
        <v>NA</v>
      </c>
      <c r="EQ658" s="378">
        <v>0</v>
      </c>
      <c r="ER658" s="130" t="str">
        <f t="shared" si="3839"/>
        <v>NA</v>
      </c>
      <c r="ES658" s="378">
        <v>0</v>
      </c>
      <c r="ET658" s="130" t="str">
        <f t="shared" si="3840"/>
        <v>NA</v>
      </c>
      <c r="EU658" s="378">
        <v>0</v>
      </c>
      <c r="EV658" s="130" t="str">
        <f t="shared" si="3841"/>
        <v>NA</v>
      </c>
      <c r="EW658" s="378">
        <v>0</v>
      </c>
      <c r="EX658" s="130" t="str">
        <f t="shared" si="3842"/>
        <v>NA</v>
      </c>
      <c r="EY658" s="356"/>
      <c r="EZ658" s="558"/>
      <c r="FA658" s="356"/>
      <c r="FB658" s="378"/>
      <c r="FC658" s="71"/>
      <c r="FD658" s="378"/>
      <c r="FE658" s="70"/>
      <c r="FF658" s="378"/>
      <c r="FG658" s="70"/>
      <c r="FH658" s="378"/>
      <c r="FI658" s="70"/>
      <c r="FJ658" s="378"/>
      <c r="FK658" s="70"/>
      <c r="FL658" s="378"/>
      <c r="FM658" s="61"/>
      <c r="FN658" s="378"/>
      <c r="FO658" s="61"/>
      <c r="FP658" s="270"/>
      <c r="FQ658" s="61"/>
      <c r="FR658" s="410"/>
      <c r="FS658" s="61" t="str">
        <f t="shared" si="3845"/>
        <v>NA</v>
      </c>
      <c r="FT658" s="410">
        <f>BM658</f>
        <v>0</v>
      </c>
      <c r="FU658" s="61" t="str">
        <f t="shared" si="3846"/>
        <v>NA</v>
      </c>
      <c r="FV658" s="75">
        <f>BU658</f>
        <v>0</v>
      </c>
      <c r="FW658" s="61" t="str">
        <f t="shared" si="3847"/>
        <v>NA</v>
      </c>
      <c r="FX658" s="75">
        <f>CC658</f>
        <v>143.70000000000005</v>
      </c>
      <c r="FY658" s="61" t="str">
        <f t="shared" si="3848"/>
        <v>NA</v>
      </c>
      <c r="FZ658" s="400">
        <f>CK658</f>
        <v>0</v>
      </c>
      <c r="GA658" s="61" t="str">
        <f t="shared" si="3849"/>
        <v>NM</v>
      </c>
      <c r="GB658" s="400">
        <f>CS658</f>
        <v>0</v>
      </c>
      <c r="GC658" s="61" t="str">
        <f t="shared" si="3850"/>
        <v>NA</v>
      </c>
      <c r="GD658" s="400">
        <f>DA658</f>
        <v>0</v>
      </c>
      <c r="GE658" s="61" t="str">
        <f t="shared" si="3851"/>
        <v>NA</v>
      </c>
      <c r="GF658" s="400">
        <f>DI658</f>
        <v>0</v>
      </c>
      <c r="GG658" s="61" t="str">
        <f t="shared" si="3851"/>
        <v>NA</v>
      </c>
      <c r="GH658" s="400">
        <f>DQ658</f>
        <v>0</v>
      </c>
      <c r="GI658" s="61" t="str">
        <f t="shared" si="3851"/>
        <v>NA</v>
      </c>
      <c r="GJ658" s="400">
        <f>DY658</f>
        <v>0</v>
      </c>
      <c r="GK658" s="61" t="str">
        <f t="shared" si="3851"/>
        <v>NA</v>
      </c>
      <c r="GL658" s="400">
        <f>EG658</f>
        <v>0</v>
      </c>
      <c r="GM658" s="61" t="str">
        <f t="shared" si="3851"/>
        <v>NA</v>
      </c>
      <c r="GN658" s="400">
        <f>EO658</f>
        <v>0</v>
      </c>
      <c r="GO658" s="61" t="str">
        <f t="shared" si="3851"/>
        <v>NA</v>
      </c>
      <c r="GP658" s="400">
        <f>EW658</f>
        <v>0</v>
      </c>
      <c r="GQ658" s="61" t="str">
        <f t="shared" si="3851"/>
        <v>NA</v>
      </c>
      <c r="GR658" s="378">
        <f>950-GR646-950</f>
        <v>0</v>
      </c>
      <c r="GS658" s="61" t="str">
        <f t="shared" si="3851"/>
        <v>NA</v>
      </c>
      <c r="GT658" s="378">
        <f>950-GT646-950</f>
        <v>0</v>
      </c>
      <c r="GU658" s="61" t="str">
        <f t="shared" si="3851"/>
        <v>NA</v>
      </c>
      <c r="GV658" s="378">
        <f>950-GV646-950</f>
        <v>0</v>
      </c>
      <c r="GW658" s="61" t="str">
        <f t="shared" si="3851"/>
        <v>NA</v>
      </c>
      <c r="GX658" s="378">
        <f>950-GX646-950</f>
        <v>0</v>
      </c>
      <c r="GY658" s="61" t="str">
        <f t="shared" si="3852"/>
        <v>NA</v>
      </c>
      <c r="GZ658" s="61" t="str">
        <f t="shared" si="3732"/>
        <v/>
      </c>
      <c r="HA658" s="61"/>
      <c r="HB658" s="452"/>
      <c r="HC658"/>
      <c r="HD658"/>
      <c r="HE658"/>
      <c r="HF658"/>
      <c r="HG658"/>
      <c r="HH658"/>
    </row>
    <row r="659" spans="1:216" s="5" customFormat="1" ht="12.75" customHeight="1" x14ac:dyDescent="0.2">
      <c r="A659" s="7"/>
      <c r="B659" s="7" t="s">
        <v>100</v>
      </c>
      <c r="C659" s="378"/>
      <c r="D659" s="70"/>
      <c r="E659" s="378"/>
      <c r="F659" s="71"/>
      <c r="G659" s="378"/>
      <c r="H659" s="71"/>
      <c r="I659" s="378"/>
      <c r="J659" s="61"/>
      <c r="K659" s="378"/>
      <c r="L659" s="61"/>
      <c r="M659" s="378"/>
      <c r="N659" s="61"/>
      <c r="O659" s="378"/>
      <c r="P659" s="61"/>
      <c r="Q659" s="378"/>
      <c r="R659" s="61"/>
      <c r="S659" s="378"/>
      <c r="T659" s="61"/>
      <c r="U659" s="378"/>
      <c r="V659" s="61"/>
      <c r="W659" s="378"/>
      <c r="X659" s="61"/>
      <c r="Y659" s="378"/>
      <c r="Z659" s="61"/>
      <c r="AA659" s="378"/>
      <c r="AB659" s="61"/>
      <c r="AC659" s="378"/>
      <c r="AD659" s="61"/>
      <c r="AE659" s="378"/>
      <c r="AF659" s="61"/>
      <c r="AG659" s="378"/>
      <c r="AH659" s="61"/>
      <c r="AI659" s="378"/>
      <c r="AJ659" s="61"/>
      <c r="AK659" s="378"/>
      <c r="AL659" s="61"/>
      <c r="AM659" s="378"/>
      <c r="AN659" s="61"/>
      <c r="AO659" s="378"/>
      <c r="AP659" s="61"/>
      <c r="AQ659" s="378"/>
      <c r="AR659" s="61"/>
      <c r="AS659" s="378"/>
      <c r="AT659" s="61"/>
      <c r="AU659" s="378"/>
      <c r="AV659" s="61"/>
      <c r="AW659" s="378"/>
      <c r="AX659" s="61"/>
      <c r="AY659" s="378"/>
      <c r="AZ659" s="61"/>
      <c r="BA659" s="378"/>
      <c r="BB659" s="61"/>
      <c r="BC659" s="378"/>
      <c r="BD659" s="61"/>
      <c r="BE659" s="378"/>
      <c r="BF659" s="61"/>
      <c r="BG659" s="378">
        <f>+BG655-BG658</f>
        <v>12032.2</v>
      </c>
      <c r="BH659" s="61"/>
      <c r="BI659" s="378">
        <f>+BI655-BI658</f>
        <v>11835.7</v>
      </c>
      <c r="BJ659" s="61"/>
      <c r="BK659" s="378">
        <f>+BK655-BK658</f>
        <v>11962.9</v>
      </c>
      <c r="BL659" s="61"/>
      <c r="BM659" s="378">
        <f>+BM655-BM658</f>
        <v>11718.4</v>
      </c>
      <c r="BN659" s="61"/>
      <c r="BO659" s="378">
        <f>+BO655-BO658</f>
        <v>11086.3</v>
      </c>
      <c r="BP659" s="61"/>
      <c r="BQ659" s="378">
        <f>+BQ655-BQ658</f>
        <v>10497.7</v>
      </c>
      <c r="BR659" s="61"/>
      <c r="BS659" s="378">
        <f>+BS655-BS658</f>
        <v>9500.1</v>
      </c>
      <c r="BT659" s="61"/>
      <c r="BU659" s="378">
        <f>+BU655-BU658</f>
        <v>7976.8</v>
      </c>
      <c r="BV659" s="61"/>
      <c r="BW659" s="378">
        <f>+BW655-BW658</f>
        <v>7323.1</v>
      </c>
      <c r="BX659" s="61">
        <f t="shared" si="3870"/>
        <v>-33.944598287977044</v>
      </c>
      <c r="BY659" s="378">
        <f>+BY655-BY658</f>
        <v>9074.5</v>
      </c>
      <c r="BZ659" s="61">
        <f t="shared" si="3871"/>
        <v>-13.557255398801649</v>
      </c>
      <c r="CA659" s="378">
        <f>+CA655-CA658</f>
        <v>10705.7</v>
      </c>
      <c r="CB659" s="61">
        <f t="shared" si="3872"/>
        <v>12.690392732708089</v>
      </c>
      <c r="CC659" s="378">
        <f>+CC655-CC658</f>
        <v>10749.8</v>
      </c>
      <c r="CD659" s="61">
        <f t="shared" si="3873"/>
        <v>34.763313609467453</v>
      </c>
      <c r="CE659" s="378">
        <f>+CE655-CE658</f>
        <v>11418.1</v>
      </c>
      <c r="CF659" s="61">
        <f t="shared" si="3811"/>
        <v>55.918941431907257</v>
      </c>
      <c r="CG659" s="378">
        <f>+CG655-CG658</f>
        <v>12636.9</v>
      </c>
      <c r="CH659" s="61">
        <f t="shared" si="3812"/>
        <v>39.257259353132397</v>
      </c>
      <c r="CI659" s="378">
        <f>+CI655-CI658</f>
        <v>13557.099999999999</v>
      </c>
      <c r="CJ659" s="61">
        <f t="shared" si="3813"/>
        <v>26.634409706978502</v>
      </c>
      <c r="CK659" s="378">
        <f>+CK655-CK658</f>
        <v>12805.400000000001</v>
      </c>
      <c r="CL659" s="61">
        <f t="shared" si="3814"/>
        <v>19.122216227278678</v>
      </c>
      <c r="CM659" s="365">
        <f>+CM655-CM658+0.4</f>
        <v>12058.800000000001</v>
      </c>
      <c r="CN659" s="61">
        <f t="shared" si="3815"/>
        <v>5.6112663227682491</v>
      </c>
      <c r="CO659" s="365">
        <f>+CO655-CO658-1</f>
        <v>12557</v>
      </c>
      <c r="CP659" s="61">
        <f t="shared" si="3816"/>
        <v>-0.6322753206878251</v>
      </c>
      <c r="CQ659" s="365">
        <f>+CQ655-CQ658-1</f>
        <v>13986</v>
      </c>
      <c r="CR659" s="61">
        <f t="shared" si="3817"/>
        <v>3.1636559441178491</v>
      </c>
      <c r="CS659" s="270">
        <f>+CS655-CS658</f>
        <v>13100</v>
      </c>
      <c r="CT659" s="61">
        <f t="shared" si="3818"/>
        <v>2.3005919377762307</v>
      </c>
      <c r="CU659" s="270">
        <f>+CU655-CU658</f>
        <v>13120</v>
      </c>
      <c r="CV659" s="61">
        <f t="shared" si="3819"/>
        <v>8.8002122930971538</v>
      </c>
      <c r="CW659" s="270">
        <f>+CW655-CW658</f>
        <v>14039</v>
      </c>
      <c r="CX659" s="61">
        <f t="shared" si="3820"/>
        <v>11.802182049852661</v>
      </c>
      <c r="CY659" s="270">
        <f>+CY655-CY658</f>
        <v>15120</v>
      </c>
      <c r="CZ659" s="61">
        <f t="shared" si="3821"/>
        <v>8.1081081081081141</v>
      </c>
      <c r="DA659" s="365">
        <f>+DA655-DA658+2</f>
        <v>14975</v>
      </c>
      <c r="DB659" s="61">
        <f t="shared" si="3822"/>
        <v>14.312977099236646</v>
      </c>
      <c r="DC659" s="270">
        <f>+DC655-DC658</f>
        <v>14862</v>
      </c>
      <c r="DD659" s="61">
        <f t="shared" si="3823"/>
        <v>13.277439024390247</v>
      </c>
      <c r="DE659" s="270">
        <f>+DE655-DE658</f>
        <v>13317</v>
      </c>
      <c r="DF659" s="61">
        <f t="shared" si="3824"/>
        <v>-5.1428164399173752</v>
      </c>
      <c r="DG659" s="270">
        <f>+DG655-DG658</f>
        <v>13389</v>
      </c>
      <c r="DH659" s="61">
        <f t="shared" si="3825"/>
        <v>-11.448412698412703</v>
      </c>
      <c r="DI659" s="270">
        <f>+DI655-DI658</f>
        <v>13453</v>
      </c>
      <c r="DJ659" s="61">
        <f t="shared" si="3826"/>
        <v>-10.163606010016689</v>
      </c>
      <c r="DK659" s="270">
        <f>+DK655-DK658</f>
        <v>14487</v>
      </c>
      <c r="DL659" s="61">
        <f t="shared" si="3827"/>
        <v>-2.5232135647961229</v>
      </c>
      <c r="DM659" s="270">
        <f>+DM655-DM658</f>
        <v>15451</v>
      </c>
      <c r="DN659" s="130">
        <f t="shared" si="3828"/>
        <v>16.024630171960652</v>
      </c>
      <c r="DO659" s="270">
        <f>+DO655-DO658</f>
        <v>15452</v>
      </c>
      <c r="DP659" s="130">
        <f t="shared" si="3828"/>
        <v>15.408170886548668</v>
      </c>
      <c r="DQ659" s="270">
        <f>+DQ655-DQ658</f>
        <v>15740</v>
      </c>
      <c r="DR659" s="130">
        <f t="shared" si="3828"/>
        <v>16.99992566713744</v>
      </c>
      <c r="DS659" s="270">
        <f>+DS655-DS658</f>
        <v>16223</v>
      </c>
      <c r="DT659" s="130">
        <f t="shared" si="3828"/>
        <v>11.983157313453452</v>
      </c>
      <c r="DU659" s="270">
        <f>+DU655-DU658</f>
        <v>14699</v>
      </c>
      <c r="DV659" s="130">
        <f t="shared" si="3828"/>
        <v>-4.8669988997475873</v>
      </c>
      <c r="DW659" s="270">
        <f>+DW655-DW658</f>
        <v>14401</v>
      </c>
      <c r="DX659" s="270">
        <f t="shared" ref="DX659:DY659" si="3885">+DX655-DX658</f>
        <v>14401</v>
      </c>
      <c r="DY659" s="270">
        <f t="shared" si="3885"/>
        <v>13617</v>
      </c>
      <c r="DZ659" s="130">
        <f t="shared" si="3828"/>
        <v>-13.487928843710295</v>
      </c>
      <c r="EA659" s="270">
        <f t="shared" ref="EA659:EC659" si="3886">+EA655-EA658</f>
        <v>14658</v>
      </c>
      <c r="EB659" s="130">
        <f t="shared" si="3830"/>
        <v>-9.6467977562719636</v>
      </c>
      <c r="EC659" s="270">
        <f t="shared" si="3886"/>
        <v>15920</v>
      </c>
      <c r="ED659" s="130">
        <f t="shared" si="3831"/>
        <v>8.3066875297639342</v>
      </c>
      <c r="EE659" s="270">
        <f t="shared" ref="EE659:EG659" si="3887">+EE655-EE658</f>
        <v>16323</v>
      </c>
      <c r="EF659" s="130">
        <f t="shared" si="3832"/>
        <v>13.346295396153041</v>
      </c>
      <c r="EG659" s="270">
        <f t="shared" si="3887"/>
        <v>14478</v>
      </c>
      <c r="EH659" s="130">
        <f t="shared" si="3833"/>
        <v>6.3229786296541191</v>
      </c>
      <c r="EI659" s="270">
        <f t="shared" ref="EI659:EK659" si="3888">+EI655-EI658</f>
        <v>14973</v>
      </c>
      <c r="EJ659" s="130">
        <f t="shared" si="3834"/>
        <v>2.1489971346704939</v>
      </c>
      <c r="EK659" s="270">
        <f t="shared" si="3888"/>
        <v>15996</v>
      </c>
      <c r="EL659" s="130">
        <f t="shared" si="3835"/>
        <v>0.47738693467336279</v>
      </c>
      <c r="EM659" s="270">
        <f t="shared" ref="EM659" si="3889">+EM655-EM658</f>
        <v>16314</v>
      </c>
      <c r="EN659" s="130">
        <f t="shared" si="3836"/>
        <v>-5.5136923359677681E-2</v>
      </c>
      <c r="EO659" s="270">
        <f t="shared" ref="EO659" si="3890">+EO655-EO658</f>
        <v>17322</v>
      </c>
      <c r="EP659" s="130">
        <f t="shared" si="3837"/>
        <v>19.643597181931206</v>
      </c>
      <c r="EQ659" s="378">
        <f t="shared" ref="EQ659:EW659" si="3891">+EQ655-EQ658</f>
        <v>17613.193391741435</v>
      </c>
      <c r="ER659" s="130">
        <f t="shared" si="3839"/>
        <v>17.633028729990219</v>
      </c>
      <c r="ES659" s="378">
        <f t="shared" si="3891"/>
        <v>17932.036990647703</v>
      </c>
      <c r="ET659" s="130">
        <f t="shared" si="3840"/>
        <v>12.103257005799595</v>
      </c>
      <c r="EU659" s="378">
        <f t="shared" si="3891"/>
        <v>18164.132417239329</v>
      </c>
      <c r="EV659" s="130">
        <f t="shared" si="3841"/>
        <v>11.340765092799622</v>
      </c>
      <c r="EW659" s="378">
        <f t="shared" si="3891"/>
        <v>18410.489781065618</v>
      </c>
      <c r="EX659" s="130">
        <f t="shared" si="3842"/>
        <v>6.2838574129177927</v>
      </c>
      <c r="EY659" s="356"/>
      <c r="EZ659" s="558"/>
      <c r="FA659" s="356"/>
      <c r="FB659" s="378"/>
      <c r="FC659" s="71"/>
      <c r="FD659" s="378"/>
      <c r="FE659" s="70"/>
      <c r="FF659" s="378"/>
      <c r="FG659" s="70"/>
      <c r="FH659" s="378"/>
      <c r="FI659" s="70"/>
      <c r="FJ659" s="378"/>
      <c r="FK659" s="70"/>
      <c r="FL659" s="378"/>
      <c r="FM659" s="61"/>
      <c r="FN659" s="378"/>
      <c r="FO659" s="61"/>
      <c r="FP659" s="270"/>
      <c r="FQ659" s="61"/>
      <c r="FR659" s="410"/>
      <c r="FS659" s="61" t="str">
        <f t="shared" si="3845"/>
        <v>NA</v>
      </c>
      <c r="FT659" s="410">
        <f>BM659</f>
        <v>11718.4</v>
      </c>
      <c r="FU659" s="61" t="str">
        <f t="shared" si="3846"/>
        <v>NA</v>
      </c>
      <c r="FV659" s="75">
        <f>BU659</f>
        <v>7976.8</v>
      </c>
      <c r="FW659" s="61">
        <f t="shared" si="3847"/>
        <v>-31.929273620972143</v>
      </c>
      <c r="FX659" s="75">
        <f>CC659</f>
        <v>10749.8</v>
      </c>
      <c r="FY659" s="61">
        <f t="shared" si="3848"/>
        <v>34.763313609467453</v>
      </c>
      <c r="FZ659" s="400">
        <f>CK659</f>
        <v>12805.400000000001</v>
      </c>
      <c r="GA659" s="61">
        <f t="shared" si="3849"/>
        <v>19.122216227278678</v>
      </c>
      <c r="GB659" s="400">
        <f>CS659</f>
        <v>13100</v>
      </c>
      <c r="GC659" s="61">
        <f t="shared" si="3850"/>
        <v>2.3005919377762307</v>
      </c>
      <c r="GD659" s="400">
        <f>DA659</f>
        <v>14975</v>
      </c>
      <c r="GE659" s="61">
        <f t="shared" si="3851"/>
        <v>14.312977099236646</v>
      </c>
      <c r="GF659" s="400">
        <f>DI659</f>
        <v>13453</v>
      </c>
      <c r="GG659" s="61">
        <f t="shared" si="3851"/>
        <v>-10.163606010016689</v>
      </c>
      <c r="GH659" s="400">
        <f>DQ659</f>
        <v>15740</v>
      </c>
      <c r="GI659" s="61">
        <f t="shared" si="3851"/>
        <v>16.99992566713744</v>
      </c>
      <c r="GJ659" s="400">
        <f>DY659</f>
        <v>13617</v>
      </c>
      <c r="GK659" s="61">
        <f t="shared" si="3851"/>
        <v>-13.487928843710295</v>
      </c>
      <c r="GL659" s="400">
        <f>EG659</f>
        <v>14478</v>
      </c>
      <c r="GM659" s="61">
        <f t="shared" si="3851"/>
        <v>6.3229786296541191</v>
      </c>
      <c r="GN659" s="400">
        <f>EO659</f>
        <v>17322</v>
      </c>
      <c r="GO659" s="61">
        <f t="shared" si="3851"/>
        <v>19.643597181931206</v>
      </c>
      <c r="GP659" s="400">
        <f>EW659</f>
        <v>18410.489781065618</v>
      </c>
      <c r="GQ659" s="61">
        <f t="shared" si="3851"/>
        <v>6.2838574129177927</v>
      </c>
      <c r="GR659" s="378">
        <f>+GR655-GR658</f>
        <v>19396.485642316882</v>
      </c>
      <c r="GS659" s="61">
        <f t="shared" si="3851"/>
        <v>5.3556199372018831</v>
      </c>
      <c r="GT659" s="378">
        <f>+GT655-GT658</f>
        <v>20501.384857617391</v>
      </c>
      <c r="GU659" s="61">
        <f t="shared" si="3851"/>
        <v>5.6963886947126952</v>
      </c>
      <c r="GV659" s="378">
        <f>+GV655-GV658</f>
        <v>21624.342473280984</v>
      </c>
      <c r="GW659" s="61">
        <f t="shared" si="3851"/>
        <v>5.4774720023186729</v>
      </c>
      <c r="GX659" s="378">
        <f>+GX655-GX658</f>
        <v>22830.346023932005</v>
      </c>
      <c r="GY659" s="61">
        <f t="shared" si="3852"/>
        <v>5.5770646073570074</v>
      </c>
      <c r="GZ659" s="61">
        <f t="shared" si="3732"/>
        <v>5.6775879012588737</v>
      </c>
      <c r="HA659" s="61"/>
      <c r="HB659" s="452"/>
      <c r="HC659"/>
      <c r="HD659"/>
      <c r="HE659"/>
      <c r="HF659"/>
      <c r="HG659"/>
      <c r="HH659"/>
    </row>
    <row r="660" spans="1:216" s="5" customFormat="1" ht="12.75" customHeight="1" x14ac:dyDescent="0.2">
      <c r="A660" s="7"/>
      <c r="B660" s="7" t="s">
        <v>275</v>
      </c>
      <c r="C660" s="378"/>
      <c r="D660" s="70"/>
      <c r="E660" s="378"/>
      <c r="F660" s="71"/>
      <c r="G660" s="378"/>
      <c r="H660" s="71"/>
      <c r="I660" s="378"/>
      <c r="J660" s="61"/>
      <c r="K660" s="378"/>
      <c r="L660" s="61"/>
      <c r="M660" s="378"/>
      <c r="N660" s="61"/>
      <c r="O660" s="378"/>
      <c r="P660" s="61"/>
      <c r="Q660" s="378"/>
      <c r="R660" s="61"/>
      <c r="S660" s="378"/>
      <c r="T660" s="61"/>
      <c r="U660" s="378"/>
      <c r="V660" s="61"/>
      <c r="W660" s="378"/>
      <c r="X660" s="61"/>
      <c r="Y660" s="378"/>
      <c r="Z660" s="61"/>
      <c r="AA660" s="378"/>
      <c r="AB660" s="61"/>
      <c r="AC660" s="378"/>
      <c r="AD660" s="61"/>
      <c r="AE660" s="378"/>
      <c r="AF660" s="61"/>
      <c r="AG660" s="378"/>
      <c r="AH660" s="61"/>
      <c r="AI660" s="378"/>
      <c r="AJ660" s="61"/>
      <c r="AK660" s="378"/>
      <c r="AL660" s="61"/>
      <c r="AM660" s="378"/>
      <c r="AN660" s="61"/>
      <c r="AO660" s="378"/>
      <c r="AP660" s="61"/>
      <c r="AQ660" s="378"/>
      <c r="AR660" s="61"/>
      <c r="AS660" s="378"/>
      <c r="AT660" s="61"/>
      <c r="AU660" s="378"/>
      <c r="AV660" s="61"/>
      <c r="AW660" s="378"/>
      <c r="AX660" s="61"/>
      <c r="AY660" s="378"/>
      <c r="AZ660" s="61"/>
      <c r="BA660" s="378"/>
      <c r="BB660" s="61"/>
      <c r="BC660" s="378"/>
      <c r="BD660" s="61"/>
      <c r="BE660" s="378"/>
      <c r="BF660" s="61"/>
      <c r="BG660" s="378">
        <f>+BG657-BG658</f>
        <v>11504.1</v>
      </c>
      <c r="BH660" s="61"/>
      <c r="BI660" s="378">
        <f>+BI657-BI658</f>
        <v>11819.1</v>
      </c>
      <c r="BJ660" s="61"/>
      <c r="BK660" s="378">
        <f>+BK657-BK658</f>
        <v>11766</v>
      </c>
      <c r="BL660" s="61"/>
      <c r="BM660" s="378">
        <f>+BM657-BM658</f>
        <v>11632.4</v>
      </c>
      <c r="BN660" s="61"/>
      <c r="BO660" s="378">
        <f>+BO657-BO658</f>
        <v>11408</v>
      </c>
      <c r="BP660" s="61"/>
      <c r="BQ660" s="378">
        <f>+BQ657-BQ658</f>
        <v>11306</v>
      </c>
      <c r="BR660" s="61"/>
      <c r="BS660" s="378">
        <f>+BS657-BS658</f>
        <v>11310.4</v>
      </c>
      <c r="BT660" s="61"/>
      <c r="BU660" s="378">
        <f>+BU657-BU658</f>
        <v>10780.3</v>
      </c>
      <c r="BV660" s="61"/>
      <c r="BW660" s="378">
        <f>+BW657-BW658</f>
        <v>10298.200000000001</v>
      </c>
      <c r="BX660" s="61">
        <f t="shared" si="3870"/>
        <v>-9.728260869565208</v>
      </c>
      <c r="BY660" s="378">
        <f>+BY657-BY658</f>
        <v>10781.9</v>
      </c>
      <c r="BZ660" s="61">
        <f t="shared" si="3871"/>
        <v>-4.6355917212099751</v>
      </c>
      <c r="CA660" s="378">
        <f>+CA657-CA658</f>
        <v>10925.7</v>
      </c>
      <c r="CB660" s="61">
        <f t="shared" si="3872"/>
        <v>-3.4012943839298204</v>
      </c>
      <c r="CC660" s="378">
        <f>+CC657-CC658</f>
        <v>11011.199999999999</v>
      </c>
      <c r="CD660" s="61">
        <f t="shared" si="3873"/>
        <v>2.1418698923035606</v>
      </c>
      <c r="CE660" s="378">
        <f>+CE657-CE658</f>
        <v>11115.9</v>
      </c>
      <c r="CF660" s="61">
        <f t="shared" si="3811"/>
        <v>7.940222563166377</v>
      </c>
      <c r="CG660" s="378">
        <f>+CG657-CG658</f>
        <v>11699</v>
      </c>
      <c r="CH660" s="61">
        <f t="shared" si="3812"/>
        <v>8.5059219618063722</v>
      </c>
      <c r="CI660" s="378">
        <f>+CI657-CI658</f>
        <v>11895.599999999999</v>
      </c>
      <c r="CJ660" s="61">
        <f t="shared" si="3813"/>
        <v>8.8772344106098355</v>
      </c>
      <c r="CK660" s="378">
        <f>+CK657-CK658</f>
        <v>12057.7</v>
      </c>
      <c r="CL660" s="61">
        <f t="shared" si="3814"/>
        <v>9.5039596047660666</v>
      </c>
      <c r="CM660" s="378">
        <f>+CM657-CM658</f>
        <v>11185.7</v>
      </c>
      <c r="CN660" s="61">
        <f t="shared" si="3815"/>
        <v>0.62792936244480124</v>
      </c>
      <c r="CO660" s="378">
        <f>+CO657-CO658</f>
        <v>11331</v>
      </c>
      <c r="CP660" s="61">
        <f t="shared" si="3816"/>
        <v>-3.1455679972647199</v>
      </c>
      <c r="CQ660" s="378">
        <f>+CQ657-CQ658</f>
        <v>11323</v>
      </c>
      <c r="CR660" s="61">
        <f t="shared" si="3817"/>
        <v>-4.813544503850153</v>
      </c>
      <c r="CS660" s="378">
        <f>+CS657-CS658</f>
        <v>10421</v>
      </c>
      <c r="CT660" s="61">
        <f t="shared" si="3818"/>
        <v>-13.573898836428178</v>
      </c>
      <c r="CU660" s="378">
        <f>+CU657-CU658</f>
        <v>10498</v>
      </c>
      <c r="CV660" s="61">
        <f t="shared" si="3819"/>
        <v>-6.1480282861153146</v>
      </c>
      <c r="CW660" s="378">
        <f>+CW657-CW658</f>
        <v>10660</v>
      </c>
      <c r="CX660" s="61">
        <f t="shared" si="3820"/>
        <v>-5.9218074309416613</v>
      </c>
      <c r="CY660" s="378">
        <f>+CY657-CY658</f>
        <v>10970</v>
      </c>
      <c r="CZ660" s="61">
        <f t="shared" si="3821"/>
        <v>-3.1175483529100045</v>
      </c>
      <c r="DA660" s="378">
        <f>+DA657-DA658</f>
        <v>11165</v>
      </c>
      <c r="DB660" s="61">
        <f t="shared" si="3822"/>
        <v>7.139429997121205</v>
      </c>
      <c r="DC660" s="378">
        <f>+DC657-DC658</f>
        <v>11281</v>
      </c>
      <c r="DD660" s="61">
        <f t="shared" si="3823"/>
        <v>7.4585635359116109</v>
      </c>
      <c r="DE660" s="378">
        <f>+DE657-DE658</f>
        <v>11424</v>
      </c>
      <c r="DF660" s="61">
        <f t="shared" si="3824"/>
        <v>7.1669793621013111</v>
      </c>
      <c r="DG660" s="378">
        <f>+DG657-DG658</f>
        <v>11639</v>
      </c>
      <c r="DH660" s="61">
        <f t="shared" si="3825"/>
        <v>6.0984503190519623</v>
      </c>
      <c r="DI660" s="378">
        <f>+DI657-DI658</f>
        <v>11890</v>
      </c>
      <c r="DJ660" s="61">
        <f t="shared" si="3826"/>
        <v>6.4935064935064846</v>
      </c>
      <c r="DK660" s="378">
        <f>+DK657-DK658</f>
        <v>12033</v>
      </c>
      <c r="DL660" s="61">
        <f t="shared" si="3827"/>
        <v>6.6660757025086337</v>
      </c>
      <c r="DM660" s="378">
        <f>+DM657-DM658</f>
        <v>12252</v>
      </c>
      <c r="DN660" s="130">
        <f t="shared" si="3828"/>
        <v>7.247899159663862</v>
      </c>
      <c r="DO660" s="378">
        <f>+DO657-DO658</f>
        <v>12530</v>
      </c>
      <c r="DP660" s="130">
        <f t="shared" si="3828"/>
        <v>7.6552968468081461</v>
      </c>
      <c r="DQ660" s="378">
        <f>+DQ657-DQ658</f>
        <v>12644</v>
      </c>
      <c r="DR660" s="130">
        <f t="shared" si="3828"/>
        <v>6.341463414634152</v>
      </c>
      <c r="DS660" s="378">
        <f>+DS657-DS658</f>
        <v>12570</v>
      </c>
      <c r="DT660" s="130">
        <f t="shared" si="3828"/>
        <v>4.4627274993767063</v>
      </c>
      <c r="DU660" s="378">
        <f>+DU657-DU658</f>
        <v>12755</v>
      </c>
      <c r="DV660" s="130">
        <f t="shared" si="3828"/>
        <v>4.1054521710741199</v>
      </c>
      <c r="DW660" s="378">
        <f>+DW657-DW658</f>
        <v>12738</v>
      </c>
      <c r="DX660" s="378">
        <f t="shared" ref="DX660:DY660" si="3892">+DX657-DX658</f>
        <v>12738</v>
      </c>
      <c r="DY660" s="378">
        <f t="shared" si="3892"/>
        <v>12772</v>
      </c>
      <c r="DZ660" s="130">
        <f t="shared" si="3828"/>
        <v>1.0123378677633577</v>
      </c>
      <c r="EA660" s="378">
        <f t="shared" ref="EA660:EC660" si="3893">+EA657-EA658</f>
        <v>12727</v>
      </c>
      <c r="EB660" s="130">
        <f t="shared" si="3830"/>
        <v>1.2490055688146429</v>
      </c>
      <c r="EC660" s="378">
        <f t="shared" si="3893"/>
        <v>12725</v>
      </c>
      <c r="ED660" s="130">
        <f t="shared" si="3831"/>
        <v>-0.23520188161505473</v>
      </c>
      <c r="EE660" s="378">
        <f t="shared" ref="EE660:EG660" si="3894">+EE657-EE658</f>
        <v>12946</v>
      </c>
      <c r="EF660" s="130">
        <f t="shared" si="3832"/>
        <v>1.6329094049301274</v>
      </c>
      <c r="EG660" s="378">
        <f t="shared" si="3894"/>
        <v>12912</v>
      </c>
      <c r="EH660" s="130">
        <f t="shared" si="3833"/>
        <v>1.0961478233636024</v>
      </c>
      <c r="EI660" s="378">
        <f t="shared" ref="EI660:EK660" si="3895">+EI657-EI658</f>
        <v>13126</v>
      </c>
      <c r="EJ660" s="130">
        <f t="shared" si="3834"/>
        <v>3.1350671800109975</v>
      </c>
      <c r="EK660" s="378">
        <f t="shared" si="3895"/>
        <v>13285</v>
      </c>
      <c r="EL660" s="130">
        <f t="shared" si="3835"/>
        <v>4.4007858546168954</v>
      </c>
      <c r="EM660" s="378">
        <f t="shared" ref="EM660" si="3896">+EM657-EM658</f>
        <v>13455</v>
      </c>
      <c r="EN660" s="130">
        <f t="shared" si="3836"/>
        <v>3.9317163602657246</v>
      </c>
      <c r="EO660" s="378">
        <f t="shared" ref="EO660" si="3897">+EO657-EO658</f>
        <v>14092</v>
      </c>
      <c r="EP660" s="130">
        <f t="shared" si="3837"/>
        <v>9.1387856257744815</v>
      </c>
      <c r="EQ660" s="378">
        <f t="shared" ref="EQ660:EW660" si="3898">+EQ657-EQ658</f>
        <v>14383.193391741435</v>
      </c>
      <c r="ER660" s="130">
        <f t="shared" si="3839"/>
        <v>9.5778865742909947</v>
      </c>
      <c r="ES660" s="378">
        <f t="shared" si="3898"/>
        <v>14702.036990647703</v>
      </c>
      <c r="ET660" s="130">
        <f t="shared" si="3840"/>
        <v>10.66644328677231</v>
      </c>
      <c r="EU660" s="378">
        <f t="shared" si="3898"/>
        <v>14934.132417239329</v>
      </c>
      <c r="EV660" s="130">
        <f t="shared" si="3841"/>
        <v>10.993180358523436</v>
      </c>
      <c r="EW660" s="378">
        <f t="shared" si="3898"/>
        <v>15180.489781065618</v>
      </c>
      <c r="EX660" s="130">
        <f t="shared" si="3842"/>
        <v>7.7241681880898305</v>
      </c>
      <c r="EY660" s="356"/>
      <c r="EZ660" s="558"/>
      <c r="FA660" s="356"/>
      <c r="FB660" s="378"/>
      <c r="FC660" s="71"/>
      <c r="FD660" s="378"/>
      <c r="FE660" s="70"/>
      <c r="FF660" s="378"/>
      <c r="FG660" s="70"/>
      <c r="FH660" s="378"/>
      <c r="FI660" s="70"/>
      <c r="FJ660" s="378"/>
      <c r="FK660" s="70"/>
      <c r="FL660" s="378"/>
      <c r="FM660" s="61"/>
      <c r="FN660" s="378"/>
      <c r="FO660" s="61"/>
      <c r="FP660" s="270"/>
      <c r="FQ660" s="61"/>
      <c r="FR660" s="410"/>
      <c r="FS660" s="61" t="str">
        <f t="shared" si="3845"/>
        <v>NA</v>
      </c>
      <c r="FT660" s="410">
        <f>BM660</f>
        <v>11632.4</v>
      </c>
      <c r="FU660" s="61" t="str">
        <f t="shared" si="3846"/>
        <v>NA</v>
      </c>
      <c r="FV660" s="75">
        <f>BU660</f>
        <v>10780.3</v>
      </c>
      <c r="FW660" s="61">
        <f t="shared" si="3847"/>
        <v>-7.3252295313091071</v>
      </c>
      <c r="FX660" s="75">
        <f>CC660</f>
        <v>11011.199999999999</v>
      </c>
      <c r="FY660" s="61">
        <f t="shared" si="3848"/>
        <v>2.1418698923035606</v>
      </c>
      <c r="FZ660" s="400">
        <f>CK660</f>
        <v>12057.7</v>
      </c>
      <c r="GA660" s="61">
        <f t="shared" si="3849"/>
        <v>9.5039596047660666</v>
      </c>
      <c r="GB660" s="400">
        <f>CS660</f>
        <v>10421</v>
      </c>
      <c r="GC660" s="61">
        <f t="shared" si="3850"/>
        <v>-13.573898836428178</v>
      </c>
      <c r="GD660" s="400">
        <f>DA660</f>
        <v>11165</v>
      </c>
      <c r="GE660" s="61">
        <f t="shared" si="3851"/>
        <v>7.139429997121205</v>
      </c>
      <c r="GF660" s="400">
        <f>DI660</f>
        <v>11890</v>
      </c>
      <c r="GG660" s="61">
        <f t="shared" si="3851"/>
        <v>6.4935064935064846</v>
      </c>
      <c r="GH660" s="400">
        <f>DQ660</f>
        <v>12644</v>
      </c>
      <c r="GI660" s="61">
        <f t="shared" si="3851"/>
        <v>6.341463414634152</v>
      </c>
      <c r="GJ660" s="400">
        <f>DY660</f>
        <v>12772</v>
      </c>
      <c r="GK660" s="61">
        <f t="shared" si="3851"/>
        <v>1.0123378677633577</v>
      </c>
      <c r="GL660" s="400">
        <f>EG660</f>
        <v>12912</v>
      </c>
      <c r="GM660" s="61">
        <f t="shared" si="3851"/>
        <v>1.0961478233636024</v>
      </c>
      <c r="GN660" s="400">
        <f>EO660</f>
        <v>14092</v>
      </c>
      <c r="GO660" s="61">
        <f t="shared" si="3851"/>
        <v>9.1387856257744815</v>
      </c>
      <c r="GP660" s="400">
        <f>EW660</f>
        <v>15180.489781065618</v>
      </c>
      <c r="GQ660" s="61">
        <f t="shared" si="3851"/>
        <v>7.7241681880898305</v>
      </c>
      <c r="GR660" s="378">
        <f>+GR657-GR658</f>
        <v>16166.485642316882</v>
      </c>
      <c r="GS660" s="61">
        <f t="shared" si="3851"/>
        <v>6.4951518394424923</v>
      </c>
      <c r="GT660" s="378">
        <f>+GT657-GT658</f>
        <v>17271.384857617391</v>
      </c>
      <c r="GU660" s="61">
        <f t="shared" si="3851"/>
        <v>6.834504664442087</v>
      </c>
      <c r="GV660" s="378">
        <f>+GV657-GV658</f>
        <v>18394.342473280984</v>
      </c>
      <c r="GW660" s="61">
        <f t="shared" si="3851"/>
        <v>6.501838879285482</v>
      </c>
      <c r="GX660" s="378">
        <f>+GX657-GX658</f>
        <v>19600.346023932005</v>
      </c>
      <c r="GY660" s="61">
        <f t="shared" si="3852"/>
        <v>6.5563830422469493</v>
      </c>
      <c r="GZ660" s="61">
        <f t="shared" si="3732"/>
        <v>6.8213889951782125</v>
      </c>
      <c r="HA660" s="61"/>
      <c r="HB660" s="452"/>
      <c r="HC660"/>
      <c r="HD660"/>
      <c r="HE660"/>
      <c r="HF660"/>
      <c r="HG660"/>
      <c r="HH660"/>
    </row>
    <row r="661" spans="1:216" s="5" customFormat="1" ht="12.75" customHeight="1" x14ac:dyDescent="0.2">
      <c r="A661" s="7"/>
      <c r="B661" s="7" t="s">
        <v>475</v>
      </c>
      <c r="C661" s="378"/>
      <c r="D661" s="70"/>
      <c r="E661" s="378"/>
      <c r="F661" s="71"/>
      <c r="G661" s="378"/>
      <c r="H661" s="71"/>
      <c r="I661" s="378"/>
      <c r="J661" s="61"/>
      <c r="K661" s="378"/>
      <c r="L661" s="61"/>
      <c r="M661" s="378"/>
      <c r="N661" s="61"/>
      <c r="O661" s="378"/>
      <c r="P661" s="61"/>
      <c r="Q661" s="378"/>
      <c r="R661" s="61"/>
      <c r="S661" s="378"/>
      <c r="T661" s="61"/>
      <c r="U661" s="378"/>
      <c r="V661" s="61"/>
      <c r="W661" s="378"/>
      <c r="X661" s="61"/>
      <c r="Y661" s="378"/>
      <c r="Z661" s="61"/>
      <c r="AA661" s="378"/>
      <c r="AB661" s="61"/>
      <c r="AC661" s="378"/>
      <c r="AD661" s="61"/>
      <c r="AE661" s="378"/>
      <c r="AF661" s="61"/>
      <c r="AG661" s="378"/>
      <c r="AH661" s="61"/>
      <c r="AI661" s="378"/>
      <c r="AJ661" s="61"/>
      <c r="AK661" s="378"/>
      <c r="AL661" s="61"/>
      <c r="AM661" s="378"/>
      <c r="AN661" s="61"/>
      <c r="AO661" s="378"/>
      <c r="AP661" s="61"/>
      <c r="AQ661" s="378"/>
      <c r="AR661" s="61"/>
      <c r="AS661" s="378"/>
      <c r="AT661" s="61"/>
      <c r="AU661" s="378"/>
      <c r="AV661" s="61"/>
      <c r="AW661" s="378"/>
      <c r="AX661" s="61"/>
      <c r="AY661" s="378"/>
      <c r="AZ661" s="61"/>
      <c r="BA661" s="378"/>
      <c r="BB661" s="61"/>
      <c r="BC661" s="378"/>
      <c r="BD661" s="61"/>
      <c r="BE661" s="378"/>
      <c r="BF661" s="61"/>
      <c r="BG661" s="378">
        <v>0</v>
      </c>
      <c r="BH661" s="61"/>
      <c r="BI661" s="378">
        <v>0</v>
      </c>
      <c r="BJ661" s="61"/>
      <c r="BK661" s="378">
        <v>0</v>
      </c>
      <c r="BL661" s="61"/>
      <c r="BM661" s="378">
        <v>0</v>
      </c>
      <c r="BN661" s="61"/>
      <c r="BO661" s="378">
        <v>0</v>
      </c>
      <c r="BP661" s="61"/>
      <c r="BQ661" s="378">
        <v>0</v>
      </c>
      <c r="BR661" s="61"/>
      <c r="BS661" s="378">
        <v>0</v>
      </c>
      <c r="BT661" s="61"/>
      <c r="BU661" s="378">
        <v>0</v>
      </c>
      <c r="BV661" s="61"/>
      <c r="BW661" s="378">
        <v>0</v>
      </c>
      <c r="BX661" s="61" t="str">
        <f t="shared" si="3870"/>
        <v>NA</v>
      </c>
      <c r="BY661" s="378">
        <v>0</v>
      </c>
      <c r="BZ661" s="61" t="str">
        <f t="shared" si="3871"/>
        <v>NA</v>
      </c>
      <c r="CA661" s="378">
        <v>0</v>
      </c>
      <c r="CB661" s="61" t="str">
        <f t="shared" si="3872"/>
        <v>NA</v>
      </c>
      <c r="CC661" s="378">
        <v>0</v>
      </c>
      <c r="CD661" s="61" t="str">
        <f t="shared" si="3873"/>
        <v>NA</v>
      </c>
      <c r="CE661" s="378">
        <v>0</v>
      </c>
      <c r="CF661" s="61" t="str">
        <f t="shared" si="3811"/>
        <v>NA</v>
      </c>
      <c r="CG661" s="378">
        <v>0</v>
      </c>
      <c r="CH661" s="61" t="str">
        <f t="shared" si="3812"/>
        <v>NA</v>
      </c>
      <c r="CI661" s="378">
        <v>0</v>
      </c>
      <c r="CJ661" s="61" t="str">
        <f t="shared" si="3813"/>
        <v>NA</v>
      </c>
      <c r="CK661" s="378">
        <v>0</v>
      </c>
      <c r="CL661" s="61" t="str">
        <f t="shared" si="3814"/>
        <v>NA</v>
      </c>
      <c r="CM661" s="378">
        <v>0</v>
      </c>
      <c r="CN661" s="61" t="str">
        <f t="shared" si="3815"/>
        <v>NA</v>
      </c>
      <c r="CO661" s="378">
        <v>0</v>
      </c>
      <c r="CP661" s="61" t="str">
        <f t="shared" si="3816"/>
        <v>NA</v>
      </c>
      <c r="CQ661" s="378">
        <v>0</v>
      </c>
      <c r="CR661" s="61" t="str">
        <f t="shared" si="3817"/>
        <v>NA</v>
      </c>
      <c r="CS661" s="378">
        <v>0</v>
      </c>
      <c r="CT661" s="61" t="str">
        <f t="shared" si="3818"/>
        <v>NA</v>
      </c>
      <c r="CU661" s="378">
        <v>0</v>
      </c>
      <c r="CV661" s="61" t="str">
        <f t="shared" si="3819"/>
        <v>NA</v>
      </c>
      <c r="CW661" s="378">
        <v>0</v>
      </c>
      <c r="CX661" s="61" t="str">
        <f t="shared" si="3820"/>
        <v>NA</v>
      </c>
      <c r="CY661" s="378">
        <v>0</v>
      </c>
      <c r="CZ661" s="61" t="str">
        <f t="shared" si="3821"/>
        <v>NA</v>
      </c>
      <c r="DA661" s="378">
        <v>0</v>
      </c>
      <c r="DB661" s="61" t="str">
        <f t="shared" si="3822"/>
        <v>NA</v>
      </c>
      <c r="DC661" s="378">
        <v>0</v>
      </c>
      <c r="DD661" s="61" t="str">
        <f t="shared" si="3823"/>
        <v>NA</v>
      </c>
      <c r="DE661" s="378">
        <v>0</v>
      </c>
      <c r="DF661" s="61" t="str">
        <f t="shared" si="3824"/>
        <v>NA</v>
      </c>
      <c r="DG661" s="378">
        <v>0</v>
      </c>
      <c r="DH661" s="61" t="str">
        <f t="shared" si="3825"/>
        <v>NA</v>
      </c>
      <c r="DI661" s="378">
        <v>0</v>
      </c>
      <c r="DJ661" s="61" t="str">
        <f t="shared" si="3826"/>
        <v>NA</v>
      </c>
      <c r="DK661" s="378">
        <v>0</v>
      </c>
      <c r="DL661" s="61" t="str">
        <f t="shared" si="3827"/>
        <v>NA</v>
      </c>
      <c r="DM661" s="378">
        <v>0</v>
      </c>
      <c r="DN661" s="130" t="str">
        <f t="shared" si="3828"/>
        <v>NA</v>
      </c>
      <c r="DO661" s="378">
        <v>0</v>
      </c>
      <c r="DP661" s="130" t="str">
        <f t="shared" si="3828"/>
        <v>NA</v>
      </c>
      <c r="DQ661" s="378">
        <v>0</v>
      </c>
      <c r="DR661" s="130" t="str">
        <f t="shared" si="3828"/>
        <v>NA</v>
      </c>
      <c r="DS661" s="378">
        <v>0</v>
      </c>
      <c r="DT661" s="130" t="str">
        <f t="shared" si="3828"/>
        <v>NA</v>
      </c>
      <c r="DU661" s="378">
        <v>0</v>
      </c>
      <c r="DV661" s="130" t="str">
        <f t="shared" si="3828"/>
        <v>NA</v>
      </c>
      <c r="DW661" s="378">
        <v>0</v>
      </c>
      <c r="DX661" s="378">
        <v>0</v>
      </c>
      <c r="DY661" s="378">
        <v>0</v>
      </c>
      <c r="DZ661" s="130" t="str">
        <f t="shared" si="3828"/>
        <v>NA</v>
      </c>
      <c r="EA661" s="378">
        <v>0</v>
      </c>
      <c r="EB661" s="130" t="str">
        <f t="shared" si="3830"/>
        <v>NA</v>
      </c>
      <c r="EC661" s="378">
        <v>0</v>
      </c>
      <c r="ED661" s="130" t="str">
        <f t="shared" si="3831"/>
        <v>NA</v>
      </c>
      <c r="EE661" s="378">
        <v>0</v>
      </c>
      <c r="EF661" s="130" t="str">
        <f t="shared" si="3832"/>
        <v>NA</v>
      </c>
      <c r="EG661" s="378">
        <v>0</v>
      </c>
      <c r="EH661" s="130" t="str">
        <f t="shared" si="3833"/>
        <v>NA</v>
      </c>
      <c r="EI661" s="378">
        <v>0</v>
      </c>
      <c r="EJ661" s="130" t="str">
        <f t="shared" si="3834"/>
        <v>NA</v>
      </c>
      <c r="EK661" s="378">
        <v>0</v>
      </c>
      <c r="EL661" s="130" t="str">
        <f t="shared" si="3835"/>
        <v>NA</v>
      </c>
      <c r="EM661" s="378">
        <v>0</v>
      </c>
      <c r="EN661" s="130" t="str">
        <f t="shared" si="3836"/>
        <v>NA</v>
      </c>
      <c r="EO661" s="378">
        <v>0</v>
      </c>
      <c r="EP661" s="130" t="str">
        <f t="shared" si="3837"/>
        <v>NA</v>
      </c>
      <c r="EQ661" s="378">
        <v>0</v>
      </c>
      <c r="ER661" s="130" t="str">
        <f t="shared" si="3839"/>
        <v>NA</v>
      </c>
      <c r="ES661" s="378">
        <v>0</v>
      </c>
      <c r="ET661" s="130" t="str">
        <f t="shared" si="3840"/>
        <v>NA</v>
      </c>
      <c r="EU661" s="378">
        <v>0</v>
      </c>
      <c r="EV661" s="130" t="str">
        <f t="shared" si="3841"/>
        <v>NA</v>
      </c>
      <c r="EW661" s="378">
        <v>0</v>
      </c>
      <c r="EX661" s="130" t="str">
        <f t="shared" si="3842"/>
        <v>NA</v>
      </c>
      <c r="EY661" s="356"/>
      <c r="EZ661" s="558"/>
      <c r="FA661" s="356"/>
      <c r="FB661" s="378"/>
      <c r="FC661" s="71"/>
      <c r="FD661" s="378"/>
      <c r="FE661" s="70"/>
      <c r="FF661" s="378"/>
      <c r="FG661" s="70"/>
      <c r="FH661" s="378"/>
      <c r="FI661" s="70"/>
      <c r="FJ661" s="378"/>
      <c r="FK661" s="70"/>
      <c r="FL661" s="378"/>
      <c r="FM661" s="61"/>
      <c r="FN661" s="378"/>
      <c r="FO661" s="61"/>
      <c r="FP661" s="75"/>
      <c r="FQ661" s="61"/>
      <c r="FR661" s="75"/>
      <c r="FS661" s="61" t="str">
        <f t="shared" si="3845"/>
        <v>NA</v>
      </c>
      <c r="FT661" s="75">
        <v>0</v>
      </c>
      <c r="FU661" s="61" t="str">
        <f t="shared" si="3846"/>
        <v>NA</v>
      </c>
      <c r="FV661" s="75">
        <v>0</v>
      </c>
      <c r="FW661" s="61" t="str">
        <f t="shared" si="3847"/>
        <v>NA</v>
      </c>
      <c r="FX661" s="73">
        <v>0</v>
      </c>
      <c r="FY661" s="61" t="str">
        <f t="shared" si="3848"/>
        <v>NA</v>
      </c>
      <c r="FZ661" s="400">
        <f>CK661</f>
        <v>0</v>
      </c>
      <c r="GA661" s="61" t="str">
        <f t="shared" si="3849"/>
        <v>NA</v>
      </c>
      <c r="GB661" s="400">
        <f>CS661</f>
        <v>0</v>
      </c>
      <c r="GC661" s="61" t="str">
        <f t="shared" si="3850"/>
        <v>NA</v>
      </c>
      <c r="GD661" s="400">
        <f>DA661</f>
        <v>0</v>
      </c>
      <c r="GE661" s="61" t="str">
        <f t="shared" si="3851"/>
        <v>NA</v>
      </c>
      <c r="GF661" s="400">
        <f>DI661</f>
        <v>0</v>
      </c>
      <c r="GG661" s="61" t="str">
        <f t="shared" si="3851"/>
        <v>NA</v>
      </c>
      <c r="GH661" s="400">
        <f>DQ661</f>
        <v>0</v>
      </c>
      <c r="GI661" s="61" t="str">
        <f t="shared" si="3851"/>
        <v>NA</v>
      </c>
      <c r="GJ661" s="400">
        <f>DY661</f>
        <v>0</v>
      </c>
      <c r="GK661" s="61" t="str">
        <f t="shared" si="3851"/>
        <v>NA</v>
      </c>
      <c r="GL661" s="400">
        <f>EG661</f>
        <v>0</v>
      </c>
      <c r="GM661" s="61" t="str">
        <f t="shared" si="3851"/>
        <v>NA</v>
      </c>
      <c r="GN661" s="400">
        <f>EO661</f>
        <v>0</v>
      </c>
      <c r="GO661" s="61" t="str">
        <f t="shared" si="3851"/>
        <v>NA</v>
      </c>
      <c r="GP661" s="400">
        <f>EW661</f>
        <v>0</v>
      </c>
      <c r="GQ661" s="61" t="str">
        <f t="shared" si="3851"/>
        <v>NA</v>
      </c>
      <c r="GR661" s="378">
        <v>0</v>
      </c>
      <c r="GS661" s="61" t="str">
        <f t="shared" si="3851"/>
        <v>NA</v>
      </c>
      <c r="GT661" s="378">
        <v>0</v>
      </c>
      <c r="GU661" s="61" t="str">
        <f t="shared" si="3851"/>
        <v>NA</v>
      </c>
      <c r="GV661" s="378">
        <v>0</v>
      </c>
      <c r="GW661" s="61" t="str">
        <f t="shared" si="3851"/>
        <v>NA</v>
      </c>
      <c r="GX661" s="378">
        <v>0</v>
      </c>
      <c r="GY661" s="61" t="str">
        <f t="shared" si="3852"/>
        <v>NA</v>
      </c>
      <c r="GZ661" s="61" t="str">
        <f t="shared" si="3732"/>
        <v/>
      </c>
      <c r="HA661" s="61"/>
      <c r="HB661" s="452"/>
      <c r="HC661"/>
      <c r="HD661"/>
      <c r="HE661"/>
      <c r="HF661"/>
      <c r="HG661"/>
      <c r="HH661"/>
    </row>
    <row r="662" spans="1:216" s="5" customFormat="1" ht="12.75" customHeight="1" x14ac:dyDescent="0.2">
      <c r="B662" s="7" t="s">
        <v>189</v>
      </c>
      <c r="C662" s="91">
        <f>AVERAGE(C655,FH655)</f>
        <v>4806.3999999999996</v>
      </c>
      <c r="D662" s="70"/>
      <c r="E662" s="91">
        <f>AVERAGE(E655,C655)</f>
        <v>4266.3500000000004</v>
      </c>
      <c r="F662" s="71"/>
      <c r="G662" s="91">
        <f>AVERAGE(G655,E655)</f>
        <v>4381.1499999999996</v>
      </c>
      <c r="H662" s="71"/>
      <c r="I662" s="91">
        <f>AVERAGE(I655,G655)</f>
        <v>4746.3500000000004</v>
      </c>
      <c r="J662" s="61"/>
      <c r="K662" s="91">
        <f>AVERAGE(K655,I655)</f>
        <v>5040.1000000000004</v>
      </c>
      <c r="L662" s="61">
        <f>IF(ISERROR((K662/C662-1)*100),"NA",IF(((K662/C662-1)*100)&gt;100,"NM",IF(((K662/C662-1)*100)&lt;-50,"NM",(K662/C662-1)*100)))</f>
        <v>4.8622669773635385</v>
      </c>
      <c r="M662" s="91">
        <f>AVERAGE(M655,K655)</f>
        <v>5107.5</v>
      </c>
      <c r="N662" s="61">
        <f>IF(ISERROR((M662/E662-1)*100),"NA",IF(((M662/E662-1)*100)&gt;100,"NM",IF(((M662/E662-1)*100)&lt;-50,"NM",(M662/E662-1)*100)))</f>
        <v>19.715916415671476</v>
      </c>
      <c r="O662" s="91">
        <f>AVERAGE(O655,M655)</f>
        <v>5246.95</v>
      </c>
      <c r="P662" s="61">
        <f>IF(ISERROR((O662/G662-1)*100),"NA",IF(((O662/G662-1)*100)&gt;100,"NM",IF(((O662/G662-1)*100)&lt;-50,"NM",(O662/G662-1)*100)))</f>
        <v>19.761934651860823</v>
      </c>
      <c r="Q662" s="91">
        <f>AVERAGE(Q655,O655)</f>
        <v>5354.4</v>
      </c>
      <c r="R662" s="61">
        <f>IF(ISERROR((Q662/I662-1)*100),"NA",IF(((Q662/I662-1)*100)&gt;100,"NM",IF(((Q662/I662-1)*100)&lt;-50,"NM",(Q662/I662-1)*100)))</f>
        <v>12.810896794378813</v>
      </c>
      <c r="S662" s="91">
        <f>AVERAGE(S655,Q655)</f>
        <v>5238.5</v>
      </c>
      <c r="T662" s="61">
        <f>IF(ISERROR((S662/K662-1)*100),"NA",IF(((S662/K662-1)*100)&gt;100,"NM",IF(((S662/K662-1)*100)&lt;-50,"NM",(S662/K662-1)*100)))</f>
        <v>3.936429832741406</v>
      </c>
      <c r="U662" s="91">
        <f>AVERAGE(U655,S655)</f>
        <v>5263</v>
      </c>
      <c r="V662" s="61">
        <f>IF(ISERROR((U662/M662-1)*100),"NA",IF(((U662/M662-1)*100)&gt;100,"NM",IF(((U662/M662-1)*100)&lt;-50,"NM",(U662/M662-1)*100)))</f>
        <v>3.0445423396965321</v>
      </c>
      <c r="W662" s="91">
        <f>AVERAGE(W655,U655)</f>
        <v>5394.8</v>
      </c>
      <c r="X662" s="61">
        <f>IF(ISERROR((W662/O662-1)*100),"NA",IF(((W662/O662-1)*100)&gt;100,"NM",IF(((W662/O662-1)*100)&lt;-50,"NM",(W662/O662-1)*100)))</f>
        <v>2.8178274997855857</v>
      </c>
      <c r="Y662" s="91">
        <f>AVERAGE(Y655,W655)</f>
        <v>5392.15</v>
      </c>
      <c r="Z662" s="61">
        <f>IF(ISERROR((Y662/Q662-1)*100),"NA",IF(((Y662/Q662-1)*100)&gt;100,"NM",IF(((Y662/Q662-1)*100)&lt;-50,"NM",(Y662/Q662-1)*100)))</f>
        <v>0.70502764081876723</v>
      </c>
      <c r="AA662" s="91">
        <f>AVERAGE(AA655,Y655)</f>
        <v>5398.75</v>
      </c>
      <c r="AB662" s="61">
        <f>IF(ISERROR((AA662/S662-1)*100),"NA",IF(((AA662/S662-1)*100)&gt;100,"NM",IF(((AA662/S662-1)*100)&lt;-50,"NM",(AA662/S662-1)*100)))</f>
        <v>3.0590817982246721</v>
      </c>
      <c r="AC662" s="91">
        <f>AVERAGE(AC655,AA655)</f>
        <v>5632.95</v>
      </c>
      <c r="AD662" s="61">
        <f>IF(ISERROR((AC662/U662-1)*100),"NA",IF(((AC662/U662-1)*100)&gt;100,"NM",IF(((AC662/U662-1)*100)&lt;-50,"NM",(AC662/U662-1)*100)))</f>
        <v>7.0292608778263377</v>
      </c>
      <c r="AE662" s="91">
        <f>AVERAGE(AE655,AC655)</f>
        <v>5701.15</v>
      </c>
      <c r="AF662" s="61">
        <f>IF(ISERROR((AE662/W662-1)*100),"NA",IF(((AE662/W662-1)*100)&gt;100,"NM",IF(((AE662/W662-1)*100)&lt;-50,"NM",(AE662/W662-1)*100)))</f>
        <v>5.6786164454659893</v>
      </c>
      <c r="AG662" s="91">
        <f>AVERAGE(AG655,AE655)</f>
        <v>5699</v>
      </c>
      <c r="AH662" s="61">
        <f>IF(ISERROR((AG662/Y662-1)*100),"NA",IF(((AG662/Y662-1)*100)&gt;100,"NM",IF(((AG662/Y662-1)*100)&lt;-50,"NM",(AG662/Y662-1)*100)))</f>
        <v>5.690679969956336</v>
      </c>
      <c r="AI662" s="91">
        <f>AVERAGE(AI655,AG655)</f>
        <v>5977.55</v>
      </c>
      <c r="AJ662" s="61">
        <f>IF(ISERROR((AI662/AA662-1)*100),"NA",IF(((AI662/AA662-1)*100)&gt;100,"NM",IF(((AI662/AA662-1)*100)&lt;-50,"NM",(AI662/AA662-1)*100)))</f>
        <v>10.721000231535083</v>
      </c>
      <c r="AK662" s="91">
        <f>AVERAGE(AK655,AI655)</f>
        <v>5831.2</v>
      </c>
      <c r="AL662" s="61">
        <f>IF(ISERROR((AK662/AC662-1)*100),"NA",IF(((AK662/AC662-1)*100)&gt;100,"NM",IF(((AK662/AC662-1)*100)&lt;-50,"NM",(AK662/AC662-1)*100)))</f>
        <v>3.5194702598105865</v>
      </c>
      <c r="AM662" s="91">
        <f>AVERAGE(AM655,AK655)</f>
        <v>5744.85</v>
      </c>
      <c r="AN662" s="61">
        <f>IF(ISERROR((AM662/AE662-1)*100),"NA",IF(((AM662/AE662-1)*100)&gt;100,"NM",IF(((AM662/AE662-1)*100)&lt;-50,"NM",(AM662/AE662-1)*100)))</f>
        <v>0.76651201950483916</v>
      </c>
      <c r="AO662" s="91">
        <f>AVERAGE(AO655,AM655)</f>
        <v>6073.2000000000007</v>
      </c>
      <c r="AP662" s="61">
        <f>IF(ISERROR((AO662/AG662-1)*100),"NA",IF(((AO662/AG662-1)*100)&gt;100,"NM",IF(((AO662/AG662-1)*100)&lt;-50,"NM",(AO662/AG662-1)*100)))</f>
        <v>6.5660642217933107</v>
      </c>
      <c r="AQ662" s="91">
        <f>AVERAGE(AQ655,AO655)</f>
        <v>6109.25</v>
      </c>
      <c r="AR662" s="61">
        <f>IF(ISERROR((AQ662/AI662-1)*100),"NA",IF(((AQ662/AI662-1)*100)&gt;100,"NM",IF(((AQ662/AI662-1)*100)&lt;-50,"NM",(AQ662/AI662-1)*100)))</f>
        <v>2.2032438038995794</v>
      </c>
      <c r="AS662" s="91">
        <f>AVERAGE(AS655,AQ655)</f>
        <v>6203.2</v>
      </c>
      <c r="AT662" s="61">
        <f>IF(ISERROR((AS662/AK662-1)*100),"NA",IF(((AS662/AK662-1)*100)&gt;100,"NM",IF(((AS662/AK662-1)*100)&lt;-50,"NM",(AS662/AK662-1)*100)))</f>
        <v>6.3794759226231346</v>
      </c>
      <c r="AU662" s="91">
        <f>AVERAGE(AU655,AS655)</f>
        <v>6323.95</v>
      </c>
      <c r="AV662" s="61">
        <f>IF(ISERROR((AU662/AM662-1)*100),"NA",IF(((AU662/AM662-1)*100)&gt;100,"NM",IF(((AU662/AM662-1)*100)&lt;-50,"NM",(AU662/AM662-1)*100)))</f>
        <v>10.080332819829918</v>
      </c>
      <c r="AW662" s="91">
        <f>AVERAGE(AW655,AU655)</f>
        <v>6334.4</v>
      </c>
      <c r="AX662" s="61">
        <f>IF(ISERROR((AW662/AO662-1)*100),"NA",IF(((AW662/AO662-1)*100)&gt;100,"NM",IF(((AW662/AO662-1)*100)&lt;-50,"NM",(AW662/AO662-1)*100)))</f>
        <v>4.3008628070868582</v>
      </c>
      <c r="AY662" s="91">
        <f>AVERAGE(AY655,AW655)</f>
        <v>6361.2999999999993</v>
      </c>
      <c r="AZ662" s="61">
        <f>IF(ISERROR((AY662/AQ662-1)*100),"NA",IF(((AY662/AQ662-1)*100)&gt;100,"NM",IF(((AY662/AQ662-1)*100)&lt;-50,"NM",(AY662/AQ662-1)*100)))</f>
        <v>4.1257110119899965</v>
      </c>
      <c r="BA662" s="91">
        <f>AVERAGE(BA655,AY655)</f>
        <v>8871.5</v>
      </c>
      <c r="BB662" s="61">
        <f t="shared" si="3867"/>
        <v>43.014895537786948</v>
      </c>
      <c r="BC662" s="91">
        <f>AVERAGE(BC655,BA655)</f>
        <v>11724</v>
      </c>
      <c r="BD662" s="61">
        <f t="shared" si="3868"/>
        <v>85.390460076376314</v>
      </c>
      <c r="BE662" s="91">
        <f>AVERAGE(BE655,BC655)</f>
        <v>12122.1</v>
      </c>
      <c r="BF662" s="61">
        <f t="shared" si="3869"/>
        <v>91.36934832028291</v>
      </c>
      <c r="BG662" s="91">
        <f>AVERAGE(BG659,BE659)</f>
        <v>12032.2</v>
      </c>
      <c r="BH662" s="61">
        <f>IF(ISERROR((BG662/AY662-1)*100),"NA",IF(((BG662/AY662-1)*100)&gt;100,"NM",IF(((BG662/AY662-1)*100)&lt;-50,"NM",(BG662/AY662-1)*100)))</f>
        <v>89.146872494615906</v>
      </c>
      <c r="BI662" s="91">
        <f>AVERAGE(BI659,BG659)</f>
        <v>11933.95</v>
      </c>
      <c r="BJ662" s="61">
        <f>IF(ISERROR((BI662/BA662-1)*100),"NA",IF(((BI662/BA662-1)*100)&gt;100,"NM",IF(((BI662/BA662-1)*100)&lt;-50,"NM",(BI662/BA662-1)*100)))</f>
        <v>34.520092430817797</v>
      </c>
      <c r="BK662" s="91">
        <f>AVERAGE(BK659,BI659)</f>
        <v>11899.3</v>
      </c>
      <c r="BL662" s="61">
        <f>IF(ISERROR((BK662/BC662-1)*100),"NA",IF(((BK662/BC662-1)*100)&gt;100,"NM",IF(((BK662/BC662-1)*100)&lt;-50,"NM",(BK662/BC662-1)*100)))</f>
        <v>1.4952234732173331</v>
      </c>
      <c r="BM662" s="91">
        <f>AVERAGE(BM659,BK659)</f>
        <v>11840.65</v>
      </c>
      <c r="BN662" s="61">
        <f>IF(ISERROR((BM662/BE662-1)*100),"NA",IF(((BM662/BE662-1)*100)&gt;100,"NM",IF(((BM662/BE662-1)*100)&lt;-50,"NM",(BM662/BE662-1)*100)))</f>
        <v>-2.3217924287046054</v>
      </c>
      <c r="BO662" s="91">
        <f>AVERAGE(BO659,BM659)</f>
        <v>11402.349999999999</v>
      </c>
      <c r="BP662" s="61">
        <f>IF(ISERROR((BO662/BG662-1)*100),"NA",IF(((BO662/BG662-1)*100)&gt;100,"NM",IF(((BO662/BG662-1)*100)&lt;-50,"NM",(BO662/BG662-1)*100)))</f>
        <v>-5.2347035454862967</v>
      </c>
      <c r="BQ662" s="91">
        <f>AVERAGE(BQ659,BO659)</f>
        <v>10792</v>
      </c>
      <c r="BR662" s="61">
        <f>IF(ISERROR((BQ662/BI662-1)*100),"NA",IF(((BQ662/BI662-1)*100)&gt;100,"NM",IF(((BQ662/BI662-1)*100)&lt;-50,"NM",(BQ662/BI662-1)*100)))</f>
        <v>-9.568918924580716</v>
      </c>
      <c r="BS662" s="91">
        <f>AVERAGE(BS659,BQ659)</f>
        <v>9998.9000000000015</v>
      </c>
      <c r="BT662" s="61">
        <f>IF(ISERROR((BS662/BK662-1)*100),"NA",IF(((BS662/BK662-1)*100)&gt;100,"NM",IF(((BS662/BK662-1)*100)&lt;-50,"NM",(BS662/BK662-1)*100)))</f>
        <v>-15.970687351356784</v>
      </c>
      <c r="BU662" s="91">
        <f>AVERAGE(BU659,BS659)</f>
        <v>8738.4500000000007</v>
      </c>
      <c r="BV662" s="61">
        <f>IF(ISERROR((BU662/BM662-1)*100),"NA",IF(((BU662/BM662-1)*100)&gt;100,"NM",IF(((BU662/BM662-1)*100)&lt;-50,"NM",(BU662/BM662-1)*100)))</f>
        <v>-26.199575192240289</v>
      </c>
      <c r="BW662" s="91">
        <f>AVERAGE(BW659,BU659)</f>
        <v>7649.9500000000007</v>
      </c>
      <c r="BX662" s="61">
        <f t="shared" si="3870"/>
        <v>-32.909005599722853</v>
      </c>
      <c r="BY662" s="91">
        <f>AVERAGE(BY659,BW659)</f>
        <v>8198.7999999999993</v>
      </c>
      <c r="BZ662" s="61">
        <f t="shared" si="3871"/>
        <v>-24.028910303928839</v>
      </c>
      <c r="CA662" s="91">
        <f>AVERAGE(CA659,BY659)</f>
        <v>9890.1</v>
      </c>
      <c r="CB662" s="61">
        <f t="shared" si="3872"/>
        <v>-1.0881196931662562</v>
      </c>
      <c r="CC662" s="91">
        <f>AVERAGE(CC659,CA659)</f>
        <v>10727.75</v>
      </c>
      <c r="CD662" s="61">
        <f t="shared" si="3873"/>
        <v>22.764906819859341</v>
      </c>
      <c r="CE662" s="91">
        <f>AVERAGE(CE659,CC659)</f>
        <v>11083.95</v>
      </c>
      <c r="CF662" s="61">
        <f t="shared" si="3811"/>
        <v>44.88918228223713</v>
      </c>
      <c r="CG662" s="91">
        <f>AVERAGE(CG659,CE659)</f>
        <v>12027.5</v>
      </c>
      <c r="CH662" s="61">
        <f t="shared" si="3812"/>
        <v>46.698297311801753</v>
      </c>
      <c r="CI662" s="91">
        <f>AVERAGE(CI659,CG659)</f>
        <v>13097</v>
      </c>
      <c r="CJ662" s="61">
        <f t="shared" si="3813"/>
        <v>32.425354647576853</v>
      </c>
      <c r="CK662" s="91">
        <f>AVERAGE(CK659,CI659)</f>
        <v>13181.25</v>
      </c>
      <c r="CL662" s="61">
        <f t="shared" si="3814"/>
        <v>22.870592621938425</v>
      </c>
      <c r="CM662" s="91">
        <f>AVERAGE(CM659,CK659)</f>
        <v>12432.100000000002</v>
      </c>
      <c r="CN662" s="61">
        <f t="shared" si="3815"/>
        <v>12.163082655551506</v>
      </c>
      <c r="CO662" s="91">
        <f>AVERAGE(CO659,CM659)</f>
        <v>12307.900000000001</v>
      </c>
      <c r="CP662" s="61">
        <f t="shared" si="3816"/>
        <v>2.331324049054273</v>
      </c>
      <c r="CQ662" s="91">
        <f>AVERAGE(CQ659,CO659)</f>
        <v>13271.5</v>
      </c>
      <c r="CR662" s="61">
        <f t="shared" si="3817"/>
        <v>1.3323661907306938</v>
      </c>
      <c r="CS662" s="91">
        <f>AVERAGE(CS659,CQ659)</f>
        <v>13543</v>
      </c>
      <c r="CT662" s="61">
        <f t="shared" si="3818"/>
        <v>2.744428639165486</v>
      </c>
      <c r="CU662" s="91">
        <f>AVERAGE(CU659,CS659)</f>
        <v>13110</v>
      </c>
      <c r="CV662" s="61">
        <f t="shared" si="3819"/>
        <v>5.4528197167011072</v>
      </c>
      <c r="CW662" s="91">
        <f>AVERAGE(CW659,CU659)</f>
        <v>13579.5</v>
      </c>
      <c r="CX662" s="61">
        <f t="shared" si="3820"/>
        <v>10.331575654660806</v>
      </c>
      <c r="CY662" s="91">
        <f>AVERAGE(CY659,CW659)</f>
        <v>14579.5</v>
      </c>
      <c r="CZ662" s="61">
        <f t="shared" si="3821"/>
        <v>9.8557058358135876</v>
      </c>
      <c r="DA662" s="91">
        <f>AVERAGE(DA659,CY659)</f>
        <v>15047.5</v>
      </c>
      <c r="DB662" s="61">
        <f t="shared" si="3822"/>
        <v>11.10906003101233</v>
      </c>
      <c r="DC662" s="91">
        <f>AVERAGE(DC659,DA659)</f>
        <v>14918.5</v>
      </c>
      <c r="DD662" s="61">
        <f t="shared" si="3823"/>
        <v>13.794813119755922</v>
      </c>
      <c r="DE662" s="91">
        <f>AVERAGE(DE659,DC659)</f>
        <v>14089.5</v>
      </c>
      <c r="DF662" s="61">
        <f t="shared" si="3824"/>
        <v>3.7556611068154222</v>
      </c>
      <c r="DG662" s="91">
        <f>AVERAGE(DG659,DE659)</f>
        <v>13353</v>
      </c>
      <c r="DH662" s="61">
        <f t="shared" si="3825"/>
        <v>-8.412496999211216</v>
      </c>
      <c r="DI662" s="91">
        <f>AVERAGE(DI659,DG659)</f>
        <v>13421</v>
      </c>
      <c r="DJ662" s="61">
        <f t="shared" si="3826"/>
        <v>-10.809104502409038</v>
      </c>
      <c r="DK662" s="91">
        <f>AVERAGE(DK659,DI659)</f>
        <v>13970</v>
      </c>
      <c r="DL662" s="61">
        <f t="shared" si="3827"/>
        <v>-6.3578778027281508</v>
      </c>
      <c r="DM662" s="91">
        <f>AVERAGE(DM659,DK659)</f>
        <v>14969</v>
      </c>
      <c r="DN662" s="130">
        <f t="shared" si="3828"/>
        <v>6.2422371269384991</v>
      </c>
      <c r="DO662" s="91">
        <f>AVERAGE(DO659,DM659)</f>
        <v>15451.5</v>
      </c>
      <c r="DP662" s="130">
        <f t="shared" si="3828"/>
        <v>15.71556953493598</v>
      </c>
      <c r="DQ662" s="91">
        <f>AVERAGE(DQ659,DO659)</f>
        <v>15596</v>
      </c>
      <c r="DR662" s="130">
        <f t="shared" si="3828"/>
        <v>16.205945905670216</v>
      </c>
      <c r="DS662" s="91">
        <f>AVERAGE(DS659,DQ659)</f>
        <v>15981.5</v>
      </c>
      <c r="DT662" s="130">
        <f t="shared" si="3828"/>
        <v>14.398711524695784</v>
      </c>
      <c r="DU662" s="91">
        <f>AVERAGE(DU659,DS659)</f>
        <v>15461</v>
      </c>
      <c r="DV662" s="130">
        <f t="shared" si="3828"/>
        <v>3.2867927049235135</v>
      </c>
      <c r="DW662" s="91">
        <f>AVERAGE(DW659,DU659)</f>
        <v>14550</v>
      </c>
      <c r="DX662" s="91">
        <f t="shared" ref="DX662:EM662" si="3899">AVERAGE(DX659,DV659)</f>
        <v>7198.066500550126</v>
      </c>
      <c r="DY662" s="91">
        <f t="shared" si="3899"/>
        <v>14009</v>
      </c>
      <c r="DZ662" s="130">
        <f t="shared" si="3828"/>
        <v>-10.175686073352141</v>
      </c>
      <c r="EA662" s="91">
        <f t="shared" si="3899"/>
        <v>14137.5</v>
      </c>
      <c r="EB662" s="130">
        <f t="shared" si="3830"/>
        <v>-11.538341207020618</v>
      </c>
      <c r="EC662" s="91">
        <f t="shared" si="3899"/>
        <v>15289</v>
      </c>
      <c r="ED662" s="130">
        <f t="shared" si="3831"/>
        <v>-1.1124765539098358</v>
      </c>
      <c r="EE662" s="91">
        <f t="shared" si="3899"/>
        <v>16121.5</v>
      </c>
      <c r="EF662" s="130">
        <f t="shared" si="3832"/>
        <v>10.800687285223365</v>
      </c>
      <c r="EG662" s="91">
        <f t="shared" si="3899"/>
        <v>15400.5</v>
      </c>
      <c r="EH662" s="130">
        <f t="shared" si="3833"/>
        <v>9.9329002783924647</v>
      </c>
      <c r="EI662" s="91">
        <f t="shared" si="3899"/>
        <v>14725.5</v>
      </c>
      <c r="EJ662" s="130">
        <f t="shared" si="3834"/>
        <v>4.1591511936339476</v>
      </c>
      <c r="EK662" s="91">
        <f t="shared" si="3899"/>
        <v>15484.5</v>
      </c>
      <c r="EL662" s="130">
        <f t="shared" si="3835"/>
        <v>1.2786971024919769</v>
      </c>
      <c r="EM662" s="91">
        <f t="shared" si="3899"/>
        <v>16155</v>
      </c>
      <c r="EN662" s="130">
        <f t="shared" si="3836"/>
        <v>0.20779704121824949</v>
      </c>
      <c r="EO662" s="91">
        <f t="shared" ref="EO662:EO663" si="3900">AVERAGE(EO659,EM659)</f>
        <v>16818</v>
      </c>
      <c r="EP662" s="130">
        <f t="shared" si="3837"/>
        <v>9.2042466153696267</v>
      </c>
      <c r="EQ662" s="91">
        <f t="shared" ref="EQ662:EQ663" si="3901">AVERAGE(EQ659,EO659)</f>
        <v>17467.596695870718</v>
      </c>
      <c r="ER662" s="130">
        <f t="shared" si="3839"/>
        <v>18.621416562226866</v>
      </c>
      <c r="ES662" s="91">
        <f t="shared" ref="ES662:ES663" si="3902">AVERAGE(ES659,EQ659)</f>
        <v>17772.615191194571</v>
      </c>
      <c r="ET662" s="130">
        <f t="shared" si="3840"/>
        <v>14.776810301879761</v>
      </c>
      <c r="EU662" s="91">
        <f t="shared" ref="EU662:EU663" si="3903">AVERAGE(EU659,ES659)</f>
        <v>18048.084703943518</v>
      </c>
      <c r="EV662" s="130">
        <f t="shared" si="3841"/>
        <v>11.718258767833589</v>
      </c>
      <c r="EW662" s="91">
        <f t="shared" ref="EW662:EW663" si="3904">AVERAGE(EW659,EU659)</f>
        <v>18287.311099152474</v>
      </c>
      <c r="EX662" s="130">
        <f t="shared" si="3842"/>
        <v>8.7365388224073914</v>
      </c>
      <c r="EY662" s="356"/>
      <c r="EZ662" s="558"/>
      <c r="FA662" s="356"/>
      <c r="FB662" s="74">
        <v>5229.4790266195751</v>
      </c>
      <c r="FC662" s="71"/>
      <c r="FD662" s="74">
        <v>4853.2354592745241</v>
      </c>
      <c r="FE662" s="70">
        <f>IF(ISERROR((FD662/FB662-1)*100),"NA",IF(((FD662/FB662-1)*100)&gt;100,"NM",IF(((FD662/FB662-1)*100)&lt;-50,"NM",(FD662/FB662-1)*100)))</f>
        <v>-7.1946663411376459</v>
      </c>
      <c r="FF662" s="91">
        <f>AVERAGE(FD655,FF655)</f>
        <v>4609</v>
      </c>
      <c r="FG662" s="70">
        <f>IF(ISERROR((FF662/FD662-1)*100),"NA",IF(((FF662/FD662-1)*100)&gt;100,"NM",IF(((FF662/FD662-1)*100)&lt;-50,"NM",(FF662/FD662-1)*100)))</f>
        <v>-5.0324255092093377</v>
      </c>
      <c r="FH662" s="91">
        <f t="shared" ref="FH662" si="3905">AVERAGE(FF655,FH655)</f>
        <v>5128.9500000000007</v>
      </c>
      <c r="FI662" s="70">
        <f t="shared" ref="FI662:FI663" si="3906">IF(ISERROR((FH662/FF662-1)*100),"NA",IF(((FH662/FF662-1)*100)&gt;100,"NM",IF(((FH662/FF662-1)*100)&lt;-50,"NM",(FH662/FF662-1)*100)))</f>
        <v>11.281188978086366</v>
      </c>
      <c r="FJ662" s="91">
        <f t="shared" ref="FJ662" si="3907">AVERAGE(FH655,FJ655)</f>
        <v>5325.65</v>
      </c>
      <c r="FK662" s="70">
        <f t="shared" ref="FK662:FK663" si="3908">IF(ISERROR((FJ662/FH662-1)*100),"NA",IF(((FJ662/FH662-1)*100)&gt;100,"NM",IF(((FJ662/FH662-1)*100)&lt;-50,"NM",(FJ662/FH662-1)*100)))</f>
        <v>3.8350929527485977</v>
      </c>
      <c r="FL662" s="91">
        <f t="shared" ref="FL662" si="3909">AVERAGE(FJ655,FL655)</f>
        <v>5579.55</v>
      </c>
      <c r="FM662" s="61">
        <f t="shared" ref="FM662:FM663" si="3910">IF(ISERROR((FL662/FJ662-1)*100),"NA",IF(((FL662/FJ662-1)*100)&gt;100,"NM",IF(((FL662/FJ662-1)*100)&lt;-50,"NM",(FL662/FJ662-1)*100)))</f>
        <v>4.767493169847814</v>
      </c>
      <c r="FN662" s="91">
        <f t="shared" ref="FN662" si="3911">AVERAGE(FL655,FN655)</f>
        <v>5993.6</v>
      </c>
      <c r="FO662" s="61">
        <f t="shared" ref="FO662:FO663" si="3912">IF(ISERROR((FN662/FL662-1)*100),"NA",IF(((FN662/FL662-1)*100)&gt;100,"NM",IF(((FN662/FL662-1)*100)&lt;-50,"NM",(FN662/FL662-1)*100)))</f>
        <v>7.4208493516502161</v>
      </c>
      <c r="FP662" s="75">
        <f t="shared" ref="FP662" si="3913">AVERAGE(FN655,FP655)</f>
        <v>6280</v>
      </c>
      <c r="FQ662" s="61">
        <f t="shared" ref="FQ662:FQ663" si="3914">IF(ISERROR((FP662/FN662-1)*100),"NA",IF(((FP662/FN662-1)*100)&gt;100,"NM",IF(((FP662/FN662-1)*100)&lt;-50,"NM",(FP662/FN662-1)*100)))</f>
        <v>4.778430325680727</v>
      </c>
      <c r="FR662" s="75">
        <f t="shared" ref="FR662" si="3915">AVERAGE(FP655,FR655)</f>
        <v>9292.7000000000007</v>
      </c>
      <c r="FS662" s="61">
        <f t="shared" si="3845"/>
        <v>47.972929936305754</v>
      </c>
      <c r="FT662" s="75">
        <f t="shared" ref="FT662" si="3916">AVERAGE(FR655,FT655)</f>
        <v>11959.7</v>
      </c>
      <c r="FU662" s="61">
        <f t="shared" si="3846"/>
        <v>28.699947270438074</v>
      </c>
      <c r="FV662" s="75">
        <f t="shared" ref="FV662" si="3917">AVERAGE(FT655,FV655)</f>
        <v>9847.6</v>
      </c>
      <c r="FW662" s="61">
        <f t="shared" si="3847"/>
        <v>-17.660141976805445</v>
      </c>
      <c r="FX662" s="73">
        <f t="shared" ref="FX662" si="3918">AVERAGE(FV655,FX655)</f>
        <v>9435.15</v>
      </c>
      <c r="FY662" s="61">
        <f t="shared" si="3848"/>
        <v>-4.1883301515090015</v>
      </c>
      <c r="FZ662" s="73">
        <f t="shared" ref="FZ662" si="3919">AVERAGE(FX655,FZ655)</f>
        <v>11849.45</v>
      </c>
      <c r="GA662" s="61">
        <f t="shared" si="3849"/>
        <v>25.588358425674219</v>
      </c>
      <c r="GB662" s="73">
        <f t="shared" ref="GB662" si="3920">AVERAGE(FZ655,GB655)</f>
        <v>12952.7</v>
      </c>
      <c r="GC662" s="61">
        <f t="shared" si="3850"/>
        <v>9.3105587179151748</v>
      </c>
      <c r="GD662" s="73">
        <f t="shared" ref="GD662" si="3921">AVERAGE(GB655,GD655)</f>
        <v>14036.5</v>
      </c>
      <c r="GE662" s="61">
        <f t="shared" si="3851"/>
        <v>8.3673674214642446</v>
      </c>
      <c r="GF662" s="73">
        <f t="shared" ref="GF662" si="3922">AVERAGE(GD655,GF655)</f>
        <v>14213</v>
      </c>
      <c r="GG662" s="61">
        <f t="shared" si="3851"/>
        <v>1.2574359705054716</v>
      </c>
      <c r="GH662" s="73">
        <f t="shared" ref="GH662" si="3923">AVERAGE(GF655,GH655)</f>
        <v>14596.5</v>
      </c>
      <c r="GI662" s="61">
        <f t="shared" si="3851"/>
        <v>2.6982340111165737</v>
      </c>
      <c r="GJ662" s="73">
        <f t="shared" ref="GJ662:GP662" si="3924">AVERAGE(GH655,GJ655)</f>
        <v>14678.5</v>
      </c>
      <c r="GK662" s="61">
        <f t="shared" si="3851"/>
        <v>0.56177850854657319</v>
      </c>
      <c r="GL662" s="73">
        <f t="shared" si="3924"/>
        <v>14047.5</v>
      </c>
      <c r="GM662" s="61">
        <f t="shared" si="3851"/>
        <v>-4.2988043737439146</v>
      </c>
      <c r="GN662" s="73">
        <f t="shared" si="3924"/>
        <v>15900</v>
      </c>
      <c r="GO662" s="61">
        <f t="shared" si="3851"/>
        <v>13.187399893219443</v>
      </c>
      <c r="GP662" s="73">
        <f t="shared" si="3924"/>
        <v>17866.244890532809</v>
      </c>
      <c r="GQ662" s="61">
        <f t="shared" si="3851"/>
        <v>12.366320066244075</v>
      </c>
      <c r="GR662" s="91">
        <f>AVERAGE(GP655,GR655)</f>
        <v>18903.48771169125</v>
      </c>
      <c r="GS662" s="61">
        <f t="shared" si="3851"/>
        <v>5.8056006033370133</v>
      </c>
      <c r="GT662" s="91">
        <f>AVERAGE(GR655,GT655)</f>
        <v>19948.935249967137</v>
      </c>
      <c r="GU662" s="61">
        <f t="shared" si="3851"/>
        <v>5.5304478952278524</v>
      </c>
      <c r="GV662" s="91">
        <f>AVERAGE(GT655,GV655)</f>
        <v>21062.863665449186</v>
      </c>
      <c r="GW662" s="61">
        <f t="shared" si="3851"/>
        <v>5.5838990979926395</v>
      </c>
      <c r="GX662" s="91">
        <f>AVERAGE(GV655,GX655)</f>
        <v>22227.344248606496</v>
      </c>
      <c r="GY662" s="61">
        <f t="shared" si="3852"/>
        <v>5.5285957391799645</v>
      </c>
      <c r="GZ662" s="61">
        <f t="shared" si="3732"/>
        <v>6.9296364538350419</v>
      </c>
      <c r="HA662" s="61"/>
      <c r="HB662" s="452"/>
      <c r="HC662"/>
      <c r="HD662"/>
      <c r="HE662"/>
      <c r="HF662"/>
      <c r="HG662"/>
      <c r="HH662"/>
    </row>
    <row r="663" spans="1:216" s="5" customFormat="1" ht="12.75" customHeight="1" x14ac:dyDescent="0.2">
      <c r="A663" s="7" t="s">
        <v>404</v>
      </c>
      <c r="B663" s="7" t="s">
        <v>190</v>
      </c>
      <c r="C663" s="91">
        <f>AVERAGE(C657,FH657)</f>
        <v>4929.8500000000004</v>
      </c>
      <c r="D663" s="70"/>
      <c r="E663" s="91">
        <f>AVERAGE(E657,C657)</f>
        <v>4765.9500000000007</v>
      </c>
      <c r="F663" s="71"/>
      <c r="G663" s="91">
        <f>AVERAGE(G657,E657)</f>
        <v>4828.3</v>
      </c>
      <c r="H663" s="71"/>
      <c r="I663" s="91">
        <f>AVERAGE(I657,G657)</f>
        <v>4909.2000000000007</v>
      </c>
      <c r="J663" s="61"/>
      <c r="K663" s="91">
        <f>AVERAGE(K657,I657)</f>
        <v>4938.9000000000005</v>
      </c>
      <c r="L663" s="61">
        <f>IF(ISERROR((K663/C663-1)*100),"NA",IF(((K663/C663-1)*100)&gt;100,"NM",IF(((K663/C663-1)*100)&lt;-50,"NM",(K663/C663-1)*100)))</f>
        <v>0.18357556517947238</v>
      </c>
      <c r="M663" s="91">
        <f>AVERAGE(M657,K657)</f>
        <v>4974.2000000000007</v>
      </c>
      <c r="N663" s="61">
        <f>IF(ISERROR((M663/E663-1)*100),"NA",IF(((M663/E663-1)*100)&gt;100,"NM",IF(((M663/E663-1)*100)&lt;-50,"NM",(M663/E663-1)*100)))</f>
        <v>4.3695380774032344</v>
      </c>
      <c r="O663" s="91">
        <f>AVERAGE(O657,M657)</f>
        <v>5084.8999999999996</v>
      </c>
      <c r="P663" s="61">
        <f>IF(ISERROR((O663/G663-1)*100),"NA",IF(((O663/G663-1)*100)&gt;100,"NM",IF(((O663/G663-1)*100)&lt;-50,"NM",(O663/G663-1)*100)))</f>
        <v>5.3144999275106963</v>
      </c>
      <c r="Q663" s="91">
        <f>AVERAGE(Q657,O657)</f>
        <v>5132.6000000000004</v>
      </c>
      <c r="R663" s="61">
        <f>IF(ISERROR((Q663/I663-1)*100),"NA",IF(((Q663/I663-1)*100)&gt;100,"NM",IF(((Q663/I663-1)*100)&lt;-50,"NM",(Q663/I663-1)*100)))</f>
        <v>4.5506396154159523</v>
      </c>
      <c r="S663" s="91">
        <f>AVERAGE(S657,Q657)</f>
        <v>5124.75</v>
      </c>
      <c r="T663" s="61">
        <f>IF(ISERROR((S663/K663-1)*100),"NA",IF(((S663/K663-1)*100)&gt;100,"NM",IF(((S663/K663-1)*100)&lt;-50,"NM",(S663/K663-1)*100)))</f>
        <v>3.7629836603292111</v>
      </c>
      <c r="U663" s="91">
        <f>AVERAGE(U657,S657)</f>
        <v>5084.25</v>
      </c>
      <c r="V663" s="61">
        <f>IF(ISERROR((U663/M663-1)*100),"NA",IF(((U663/M663-1)*100)&gt;100,"NM",IF(((U663/M663-1)*100)&lt;-50,"NM",(U663/M663-1)*100)))</f>
        <v>2.2124160669052095</v>
      </c>
      <c r="W663" s="91">
        <f>AVERAGE(W657,U657)</f>
        <v>4823.2000000000007</v>
      </c>
      <c r="X663" s="61">
        <f>IF(ISERROR((W663/O663-1)*100),"NA",IF(((W663/O663-1)*100)&gt;100,"NM",IF(((W663/O663-1)*100)&lt;-50,"NM",(W663/O663-1)*100)))</f>
        <v>-5.1466105528132129</v>
      </c>
      <c r="Y663" s="91">
        <f>AVERAGE(Y657,W657)</f>
        <v>4606.75</v>
      </c>
      <c r="Z663" s="61">
        <f>IF(ISERROR((Y663/Q663-1)*100),"NA",IF(((Y663/Q663-1)*100)&gt;100,"NM",IF(((Y663/Q663-1)*100)&lt;-50,"NM",(Y663/Q663-1)*100)))</f>
        <v>-10.245294782371516</v>
      </c>
      <c r="AA663" s="91">
        <f>AVERAGE(AA657,Y657)</f>
        <v>4586.1000000000004</v>
      </c>
      <c r="AB663" s="61">
        <f>IF(ISERROR((AA663/S663-1)*100),"NA",IF(((AA663/S663-1)*100)&gt;100,"NM",IF(((AA663/S663-1)*100)&lt;-50,"NM",(AA663/S663-1)*100)))</f>
        <v>-10.510756622274254</v>
      </c>
      <c r="AC663" s="91">
        <f>AVERAGE(AC657,AA657)</f>
        <v>4638.0499999999993</v>
      </c>
      <c r="AD663" s="61">
        <f>IF(ISERROR((AC663/U663-1)*100),"NA",IF(((AC663/U663-1)*100)&gt;100,"NM",IF(((AC663/U663-1)*100)&lt;-50,"NM",(AC663/U663-1)*100)))</f>
        <v>-8.7761223385946945</v>
      </c>
      <c r="AE663" s="91">
        <f>AVERAGE(AE657,AC657)</f>
        <v>4744.3500000000004</v>
      </c>
      <c r="AF663" s="61">
        <f>IF(ISERROR((AE663/W663-1)*100),"NA",IF(((AE663/W663-1)*100)&gt;100,"NM",IF(((AE663/W663-1)*100)&lt;-50,"NM",(AE663/W663-1)*100)))</f>
        <v>-1.6348067672914302</v>
      </c>
      <c r="AG663" s="91">
        <f>AVERAGE(AG657,AE657)</f>
        <v>4866.6000000000004</v>
      </c>
      <c r="AH663" s="61">
        <f>IF(ISERROR((AG663/Y663-1)*100),"NA",IF(((AG663/Y663-1)*100)&gt;100,"NM",IF(((AG663/Y663-1)*100)&lt;-50,"NM",(AG663/Y663-1)*100)))</f>
        <v>5.6406360232267971</v>
      </c>
      <c r="AI663" s="91">
        <f>AVERAGE(AI657,AG657)</f>
        <v>4973.3999999999996</v>
      </c>
      <c r="AJ663" s="61">
        <f>IF(ISERROR((AI663/AA663-1)*100),"NA",IF(((AI663/AA663-1)*100)&gt;100,"NM",IF(((AI663/AA663-1)*100)&lt;-50,"NM",(AI663/AA663-1)*100)))</f>
        <v>8.4450840583502043</v>
      </c>
      <c r="AK663" s="91">
        <f>AVERAGE(AK657,AI657)</f>
        <v>5013.8999999999996</v>
      </c>
      <c r="AL663" s="61">
        <f>IF(ISERROR((AK663/AC663-1)*100),"NA",IF(((AK663/AC663-1)*100)&gt;100,"NM",IF(((AK663/AC663-1)*100)&lt;-50,"NM",(AK663/AC663-1)*100)))</f>
        <v>8.103621133881699</v>
      </c>
      <c r="AM663" s="91">
        <f>AVERAGE(AM657,AK657)</f>
        <v>5066.7000000000007</v>
      </c>
      <c r="AN663" s="61">
        <f>IF(ISERROR((AM663/AE663-1)*100),"NA",IF(((AM663/AE663-1)*100)&gt;100,"NM",IF(((AM663/AE663-1)*100)&lt;-50,"NM",(AM663/AE663-1)*100)))</f>
        <v>6.7943975465553752</v>
      </c>
      <c r="AO663" s="91">
        <f>AVERAGE(AO657,AM657)</f>
        <v>5224.25</v>
      </c>
      <c r="AP663" s="61">
        <f>IF(ISERROR((AO663/AG663-1)*100),"NA",IF(((AO663/AG663-1)*100)&gt;100,"NM",IF(((AO663/AG663-1)*100)&lt;-50,"NM",(AO663/AG663-1)*100)))</f>
        <v>7.3490732749763588</v>
      </c>
      <c r="AQ663" s="91">
        <f>AVERAGE(AQ657,AO657)</f>
        <v>5395.5</v>
      </c>
      <c r="AR663" s="61">
        <f>IF(ISERROR((AQ663/AI663-1)*100),"NA",IF(((AQ663/AI663-1)*100)&gt;100,"NM",IF(((AQ663/AI663-1)*100)&lt;-50,"NM",(AQ663/AI663-1)*100)))</f>
        <v>8.4871516467607719</v>
      </c>
      <c r="AS663" s="91">
        <f>AVERAGE(AS657,AQ657)</f>
        <v>5476.3499999999995</v>
      </c>
      <c r="AT663" s="61">
        <f>IF(ISERROR((AS663/AK663-1)*100),"NA",IF(((AS663/AK663-1)*100)&gt;100,"NM",IF(((AS663/AK663-1)*100)&lt;-50,"NM",(AS663/AK663-1)*100)))</f>
        <v>9.2233590618081784</v>
      </c>
      <c r="AU663" s="91">
        <f>AVERAGE(AU657,AS657)</f>
        <v>5603.45</v>
      </c>
      <c r="AV663" s="61">
        <f>IF(ISERROR((AU663/AM663-1)*100),"NA",IF(((AU663/AM663-1)*100)&gt;100,"NM",IF(((AU663/AM663-1)*100)&lt;-50,"NM",(AU663/AM663-1)*100)))</f>
        <v>10.593680304734821</v>
      </c>
      <c r="AW663" s="91">
        <f>AVERAGE(AW657,AU657)</f>
        <v>5793.5</v>
      </c>
      <c r="AX663" s="61">
        <f>IF(ISERROR((AW663/AO663-1)*100),"NA",IF(((AW663/AO663-1)*100)&gt;100,"NM",IF(((AW663/AO663-1)*100)&lt;-50,"NM",(AW663/AO663-1)*100)))</f>
        <v>10.896300904436051</v>
      </c>
      <c r="AY663" s="91">
        <f>AVERAGE(AY657,AW657)</f>
        <v>5981.65</v>
      </c>
      <c r="AZ663" s="61">
        <f>IF(ISERROR((AY663/AQ663-1)*100),"NA",IF(((AY663/AQ663-1)*100)&gt;100,"NM",IF(((AY663/AQ663-1)*100)&lt;-50,"NM",(AY663/AQ663-1)*100)))</f>
        <v>10.863682698545073</v>
      </c>
      <c r="BA663" s="91">
        <f>AVERAGE(BA657,AY657)</f>
        <v>8793.7999999999993</v>
      </c>
      <c r="BB663" s="61">
        <f t="shared" si="3867"/>
        <v>60.577757082728453</v>
      </c>
      <c r="BC663" s="91">
        <f>AVERAGE(BC657,BA657)</f>
        <v>11535</v>
      </c>
      <c r="BD663" s="61" t="str">
        <f t="shared" si="3868"/>
        <v>NM</v>
      </c>
      <c r="BE663" s="91">
        <f>AVERAGE(BE657,BC657)</f>
        <v>11648.3</v>
      </c>
      <c r="BF663" s="61" t="str">
        <f t="shared" si="3869"/>
        <v>NM</v>
      </c>
      <c r="BG663" s="91">
        <f>AVERAGE(BG660,BE660)</f>
        <v>11504.1</v>
      </c>
      <c r="BH663" s="61">
        <f>IF(ISERROR((BG663/AY663-1)*100),"NA",IF(((BG663/AY663-1)*100)&gt;100,"NM",IF(((BG663/AY663-1)*100)&lt;-50,"NM",(BG663/AY663-1)*100)))</f>
        <v>92.323188417911467</v>
      </c>
      <c r="BI663" s="91">
        <f>AVERAGE(BI660,BG660)</f>
        <v>11661.6</v>
      </c>
      <c r="BJ663" s="61">
        <f>IF(ISERROR((BI663/BA663-1)*100),"NA",IF(((BI663/BA663-1)*100)&gt;100,"NM",IF(((BI663/BA663-1)*100)&lt;-50,"NM",(BI663/BA663-1)*100)))</f>
        <v>32.611612727148696</v>
      </c>
      <c r="BK663" s="91">
        <f>AVERAGE(BK660,BI660)</f>
        <v>11792.55</v>
      </c>
      <c r="BL663" s="61">
        <f>IF(ISERROR((BK663/BC663-1)*100),"NA",IF(((BK663/BC663-1)*100)&gt;100,"NM",IF(((BK663/BC663-1)*100)&lt;-50,"NM",(BK663/BC663-1)*100)))</f>
        <v>2.2327698309492883</v>
      </c>
      <c r="BM663" s="91">
        <f>AVERAGE(BM660,BK660)</f>
        <v>11699.2</v>
      </c>
      <c r="BN663" s="61">
        <f>IF(ISERROR((BM663/BE663-1)*100),"NA",IF(((BM663/BE663-1)*100)&gt;100,"NM",IF(((BM663/BE663-1)*100)&lt;-50,"NM",(BM663/BE663-1)*100)))</f>
        <v>0.43697363563783842</v>
      </c>
      <c r="BO663" s="91">
        <f>AVERAGE(BO660,BM660)</f>
        <v>11520.2</v>
      </c>
      <c r="BP663" s="61">
        <f>IF(ISERROR((BO663/BG663-1)*100),"NA",IF(((BO663/BG663-1)*100)&gt;100,"NM",IF(((BO663/BG663-1)*100)&lt;-50,"NM",(BO663/BG663-1)*100)))</f>
        <v>0.13995010474527891</v>
      </c>
      <c r="BQ663" s="91">
        <f>AVERAGE(BQ660,BO660)</f>
        <v>11357</v>
      </c>
      <c r="BR663" s="61">
        <f>IF(ISERROR((BQ663/BI663-1)*100),"NA",IF(((BQ663/BI663-1)*100)&gt;100,"NM",IF(((BQ663/BI663-1)*100)&lt;-50,"NM",(BQ663/BI663-1)*100)))</f>
        <v>-2.6119914934485844</v>
      </c>
      <c r="BS663" s="91">
        <f>AVERAGE(BS660,BQ660)</f>
        <v>11308.2</v>
      </c>
      <c r="BT663" s="61">
        <f>IF(ISERROR((BS663/BK663-1)*100),"NA",IF(((BS663/BK663-1)*100)&gt;100,"NM",IF(((BS663/BK663-1)*100)&lt;-50,"NM",(BS663/BK663-1)*100)))</f>
        <v>-4.1072541562257374</v>
      </c>
      <c r="BU663" s="91">
        <f>AVERAGE(BU660,BS660)</f>
        <v>11045.349999999999</v>
      </c>
      <c r="BV663" s="61">
        <f>IF(ISERROR((BU663/BM663-1)*100),"NA",IF(((BU663/BM663-1)*100)&gt;100,"NM",IF(((BU663/BM663-1)*100)&lt;-50,"NM",(BU663/BM663-1)*100)))</f>
        <v>-5.588843681619271</v>
      </c>
      <c r="BW663" s="91">
        <f>AVERAGE(BW660,BU660)</f>
        <v>10539.25</v>
      </c>
      <c r="BX663" s="61">
        <f t="shared" si="3870"/>
        <v>-8.5150431416121322</v>
      </c>
      <c r="BY663" s="91">
        <f>AVERAGE(BY660,BW660)</f>
        <v>10540.05</v>
      </c>
      <c r="BZ663" s="61">
        <f t="shared" si="3871"/>
        <v>-7.193360922778913</v>
      </c>
      <c r="CA663" s="91">
        <f>AVERAGE(CA660,BY660)</f>
        <v>10853.8</v>
      </c>
      <c r="CB663" s="61">
        <f t="shared" si="3872"/>
        <v>-4.0183229868591024</v>
      </c>
      <c r="CC663" s="91">
        <f>AVERAGE(CC660,CA660)</f>
        <v>10968.45</v>
      </c>
      <c r="CD663" s="61">
        <f t="shared" si="3873"/>
        <v>-0.69622058151165289</v>
      </c>
      <c r="CE663" s="91">
        <f>AVERAGE(CE660,CC660)</f>
        <v>11063.55</v>
      </c>
      <c r="CF663" s="61">
        <f t="shared" si="3811"/>
        <v>4.9747372915529997</v>
      </c>
      <c r="CG663" s="91">
        <f>AVERAGE(CG660,CE660)</f>
        <v>11407.45</v>
      </c>
      <c r="CH663" s="61">
        <f t="shared" si="3812"/>
        <v>8.2295624783563781</v>
      </c>
      <c r="CI663" s="91">
        <f>AVERAGE(CI660,CG660)</f>
        <v>11797.3</v>
      </c>
      <c r="CJ663" s="61">
        <f t="shared" si="3813"/>
        <v>8.6928080487939763</v>
      </c>
      <c r="CK663" s="91">
        <f>AVERAGE(CK660,CI660)</f>
        <v>11976.65</v>
      </c>
      <c r="CL663" s="61">
        <f t="shared" si="3814"/>
        <v>9.1918183517269991</v>
      </c>
      <c r="CM663" s="91">
        <f>AVERAGE(CM660,CK660)</f>
        <v>11621.7</v>
      </c>
      <c r="CN663" s="61">
        <f t="shared" si="3815"/>
        <v>5.0449448865870439</v>
      </c>
      <c r="CO663" s="91">
        <f>AVERAGE(CO660,CM660)</f>
        <v>11258.35</v>
      </c>
      <c r="CP663" s="61">
        <f t="shared" si="3816"/>
        <v>-1.3070405743614955</v>
      </c>
      <c r="CQ663" s="91">
        <f>AVERAGE(CQ660,CO660)</f>
        <v>11327</v>
      </c>
      <c r="CR663" s="61">
        <f t="shared" si="3817"/>
        <v>-3.9865053868257894</v>
      </c>
      <c r="CS663" s="91">
        <f>AVERAGE(CS660,CQ660)</f>
        <v>10872</v>
      </c>
      <c r="CT663" s="61">
        <f t="shared" si="3818"/>
        <v>-9.2233637953851861</v>
      </c>
      <c r="CU663" s="91">
        <f>AVERAGE(CU660,CS660)</f>
        <v>10459.5</v>
      </c>
      <c r="CV663" s="61">
        <f t="shared" si="3819"/>
        <v>-10.00025813779396</v>
      </c>
      <c r="CW663" s="91">
        <f>AVERAGE(CW660,CU660)</f>
        <v>10579</v>
      </c>
      <c r="CX663" s="61">
        <f t="shared" si="3820"/>
        <v>-6.0341879582709756</v>
      </c>
      <c r="CY663" s="91">
        <f>AVERAGE(CY660,CW660)</f>
        <v>10815</v>
      </c>
      <c r="CZ663" s="61">
        <f t="shared" si="3821"/>
        <v>-4.520173037874109</v>
      </c>
      <c r="DA663" s="91">
        <f>AVERAGE(DA660,CY660)</f>
        <v>11067.5</v>
      </c>
      <c r="DB663" s="61">
        <f t="shared" si="3822"/>
        <v>1.7981972038263461</v>
      </c>
      <c r="DC663" s="91">
        <f>AVERAGE(DC660,DA660)</f>
        <v>11223</v>
      </c>
      <c r="DD663" s="61">
        <f t="shared" si="3823"/>
        <v>7.2995841101391123</v>
      </c>
      <c r="DE663" s="91">
        <f>AVERAGE(DE660,DC660)</f>
        <v>11352.5</v>
      </c>
      <c r="DF663" s="61">
        <f t="shared" si="3824"/>
        <v>7.3116551658946927</v>
      </c>
      <c r="DG663" s="91">
        <f>AVERAGE(DG660,DE660)</f>
        <v>11531.5</v>
      </c>
      <c r="DH663" s="61">
        <f t="shared" si="3825"/>
        <v>6.6250577901063368</v>
      </c>
      <c r="DI663" s="91">
        <f>AVERAGE(DI660,DG660)</f>
        <v>11764.5</v>
      </c>
      <c r="DJ663" s="61">
        <f t="shared" si="3826"/>
        <v>6.2977185452902651</v>
      </c>
      <c r="DK663" s="91">
        <f>AVERAGE(DK660,DI660)</f>
        <v>11961.5</v>
      </c>
      <c r="DL663" s="61">
        <f t="shared" si="3827"/>
        <v>6.5802370132763022</v>
      </c>
      <c r="DM663" s="91">
        <f>AVERAGE(DM660,DK660)</f>
        <v>12142.5</v>
      </c>
      <c r="DN663" s="130">
        <f t="shared" si="3828"/>
        <v>6.9588196432503802</v>
      </c>
      <c r="DO663" s="91">
        <f>AVERAGE(DO660,DM660)</f>
        <v>12391</v>
      </c>
      <c r="DP663" s="130">
        <f t="shared" si="3828"/>
        <v>7.453496943155713</v>
      </c>
      <c r="DQ663" s="91">
        <f>AVERAGE(DQ660,DO660)</f>
        <v>12587</v>
      </c>
      <c r="DR663" s="130">
        <f t="shared" si="3828"/>
        <v>6.9913723490161006</v>
      </c>
      <c r="DS663" s="91">
        <f>AVERAGE(DS660,DQ660)</f>
        <v>12607</v>
      </c>
      <c r="DT663" s="130">
        <f t="shared" si="3828"/>
        <v>5.3964803745349732</v>
      </c>
      <c r="DU663" s="91">
        <f>AVERAGE(DU660,DS660)</f>
        <v>12662.5</v>
      </c>
      <c r="DV663" s="130">
        <f t="shared" si="3828"/>
        <v>4.2824788964381355</v>
      </c>
      <c r="DW663" s="91">
        <f>AVERAGE(DW660,DU660)</f>
        <v>12746.5</v>
      </c>
      <c r="DX663" s="91">
        <f t="shared" ref="DX663:EM663" si="3925">AVERAGE(DX660,DV660)</f>
        <v>6371.052726085537</v>
      </c>
      <c r="DY663" s="91">
        <f t="shared" si="3925"/>
        <v>12755</v>
      </c>
      <c r="DZ663" s="130">
        <f t="shared" si="3828"/>
        <v>1.3347104155080558</v>
      </c>
      <c r="EA663" s="91">
        <f t="shared" si="3925"/>
        <v>12749.5</v>
      </c>
      <c r="EB663" s="130">
        <f t="shared" si="3830"/>
        <v>1.1303244229396325</v>
      </c>
      <c r="EC663" s="91">
        <f t="shared" si="3925"/>
        <v>12726</v>
      </c>
      <c r="ED663" s="130">
        <f t="shared" si="3831"/>
        <v>0.50148075024678551</v>
      </c>
      <c r="EE663" s="91">
        <f t="shared" si="3925"/>
        <v>12835.5</v>
      </c>
      <c r="EF663" s="130">
        <f t="shared" si="3832"/>
        <v>0.69823088691012281</v>
      </c>
      <c r="EG663" s="91">
        <f t="shared" si="3925"/>
        <v>12929</v>
      </c>
      <c r="EH663" s="130">
        <f t="shared" si="3833"/>
        <v>1.364170913367313</v>
      </c>
      <c r="EI663" s="91">
        <f t="shared" si="3925"/>
        <v>13019</v>
      </c>
      <c r="EJ663" s="130">
        <f t="shared" si="3834"/>
        <v>2.1138083846425459</v>
      </c>
      <c r="EK663" s="91">
        <f t="shared" si="3925"/>
        <v>13205.5</v>
      </c>
      <c r="EL663" s="130">
        <f t="shared" si="3835"/>
        <v>3.7678767876787589</v>
      </c>
      <c r="EM663" s="91">
        <f t="shared" si="3925"/>
        <v>13370</v>
      </c>
      <c r="EN663" s="130">
        <f t="shared" si="3836"/>
        <v>4.1642320127770693</v>
      </c>
      <c r="EO663" s="91">
        <f t="shared" si="3900"/>
        <v>13773.5</v>
      </c>
      <c r="EP663" s="130">
        <f t="shared" si="3837"/>
        <v>6.531827674220736</v>
      </c>
      <c r="EQ663" s="91">
        <f t="shared" si="3901"/>
        <v>14237.596695870718</v>
      </c>
      <c r="ER663" s="130">
        <f t="shared" si="3839"/>
        <v>9.3601405320740341</v>
      </c>
      <c r="ES663" s="91">
        <f t="shared" si="3902"/>
        <v>14542.615191194569</v>
      </c>
      <c r="ET663" s="130">
        <f t="shared" si="3840"/>
        <v>10.125441605350559</v>
      </c>
      <c r="EU663" s="91">
        <f t="shared" si="3903"/>
        <v>14818.084703943516</v>
      </c>
      <c r="EV663" s="130">
        <f t="shared" si="3841"/>
        <v>10.830850440863982</v>
      </c>
      <c r="EW663" s="91">
        <f t="shared" si="3904"/>
        <v>15057.311099152474</v>
      </c>
      <c r="EX663" s="130">
        <f t="shared" si="3842"/>
        <v>9.3208777663809084</v>
      </c>
      <c r="EY663" s="356"/>
      <c r="EZ663" s="558"/>
      <c r="FA663" s="356"/>
      <c r="FB663" s="74">
        <v>4676.4116528718632</v>
      </c>
      <c r="FC663" s="71"/>
      <c r="FD663" s="74">
        <v>4804.9714406400626</v>
      </c>
      <c r="FE663" s="70">
        <f>IF(ISERROR((FD663/FB663-1)*100),"NA",IF(((FD663/FB663-1)*100)&gt;100,"NM",IF(((FD663/FB663-1)*100)&lt;-50,"NM",(FD663/FB663-1)*100)))</f>
        <v>2.7491118684825011</v>
      </c>
      <c r="FF663" s="91">
        <f>AVERAGE(FD657,FF657)</f>
        <v>4835.8500000000004</v>
      </c>
      <c r="FG663" s="70">
        <f>IF(ISERROR((FF663/FD663-1)*100),"NA",IF(((FF663/FD663-1)*100)&gt;100,"NM",IF(((FF663/FD663-1)*100)&lt;-50,"NM",(FF663/FD663-1)*100)))</f>
        <v>0.64263772930612806</v>
      </c>
      <c r="FH663" s="91">
        <f t="shared" ref="FH663" si="3926">AVERAGE(FF657,FH657)</f>
        <v>5025.1000000000004</v>
      </c>
      <c r="FI663" s="70">
        <f t="shared" si="3906"/>
        <v>3.9134795330707073</v>
      </c>
      <c r="FJ663" s="91">
        <f t="shared" ref="FJ663" si="3927">AVERAGE(FH657,FJ657)</f>
        <v>4851.1499999999996</v>
      </c>
      <c r="FK663" s="70">
        <f t="shared" si="3908"/>
        <v>-3.4616226542755535</v>
      </c>
      <c r="FL663" s="91">
        <f t="shared" ref="FL663" si="3928">AVERAGE(FJ657,FL657)</f>
        <v>4768.3999999999996</v>
      </c>
      <c r="FM663" s="61">
        <f t="shared" si="3910"/>
        <v>-1.7057811034496995</v>
      </c>
      <c r="FN663" s="91">
        <f t="shared" ref="FN663" si="3929">AVERAGE(FL657,FN657)</f>
        <v>5140.6500000000005</v>
      </c>
      <c r="FO663" s="61">
        <f t="shared" si="3912"/>
        <v>7.8066017951514244</v>
      </c>
      <c r="FP663" s="75">
        <f t="shared" ref="FP663" si="3930">AVERAGE(FN657,FP657)</f>
        <v>5609.6</v>
      </c>
      <c r="FQ663" s="61">
        <f t="shared" si="3914"/>
        <v>9.1223872467489429</v>
      </c>
      <c r="FR663" s="75">
        <f t="shared" ref="FR663" si="3931">AVERAGE(FP657,FR657)</f>
        <v>8805.9500000000007</v>
      </c>
      <c r="FS663" s="61">
        <f t="shared" si="3845"/>
        <v>56.979998573873367</v>
      </c>
      <c r="FT663" s="75">
        <f t="shared" ref="FT663" si="3932">AVERAGE(FR657,FT657)</f>
        <v>11681.9</v>
      </c>
      <c r="FU663" s="61">
        <f t="shared" si="3846"/>
        <v>32.65916794894359</v>
      </c>
      <c r="FV663" s="75">
        <f t="shared" ref="FV663" si="3933">AVERAGE(FT657,FV657)</f>
        <v>11206.349999999999</v>
      </c>
      <c r="FW663" s="61">
        <f t="shared" si="3847"/>
        <v>-4.0708275194959782</v>
      </c>
      <c r="FX663" s="73">
        <f t="shared" ref="FX663" si="3934">AVERAGE(FV657,FX657)</f>
        <v>10967.599999999999</v>
      </c>
      <c r="FY663" s="61">
        <f t="shared" si="3848"/>
        <v>-2.1304885176707811</v>
      </c>
      <c r="FZ663" s="73">
        <f t="shared" ref="FZ663" si="3935">AVERAGE(FX657,FZ657)</f>
        <v>11606.3</v>
      </c>
      <c r="GA663" s="61">
        <f t="shared" si="3849"/>
        <v>5.823516539625806</v>
      </c>
      <c r="GB663" s="73">
        <f t="shared" ref="GB663" si="3936">AVERAGE(FZ657,GB657)</f>
        <v>11239.35</v>
      </c>
      <c r="GC663" s="61">
        <f t="shared" si="3850"/>
        <v>-3.1616449686807879</v>
      </c>
      <c r="GD663" s="73">
        <f t="shared" ref="GD663" si="3937">AVERAGE(GB657,GD657)</f>
        <v>10793</v>
      </c>
      <c r="GE663" s="61">
        <f t="shared" si="3851"/>
        <v>-3.9713150671524589</v>
      </c>
      <c r="GF663" s="91">
        <f t="shared" ref="GF663" si="3938">AVERAGE(GD657,GF657)</f>
        <v>11527.5</v>
      </c>
      <c r="GG663" s="61">
        <f t="shared" si="3851"/>
        <v>6.8053367923654129</v>
      </c>
      <c r="GH663" s="91">
        <f t="shared" ref="GH663" si="3939">AVERAGE(GF657,GH657)</f>
        <v>12267</v>
      </c>
      <c r="GI663" s="61">
        <f t="shared" si="3851"/>
        <v>6.4150943396226401</v>
      </c>
      <c r="GJ663" s="91">
        <f t="shared" ref="GJ663:GP663" si="3940">AVERAGE(GH657,GJ657)</f>
        <v>12708</v>
      </c>
      <c r="GK663" s="61">
        <f t="shared" si="3851"/>
        <v>3.5950110051357287</v>
      </c>
      <c r="GL663" s="91">
        <f t="shared" si="3940"/>
        <v>12842</v>
      </c>
      <c r="GM663" s="61">
        <f t="shared" si="3851"/>
        <v>1.0544538873150877</v>
      </c>
      <c r="GN663" s="91">
        <f t="shared" si="3940"/>
        <v>13502</v>
      </c>
      <c r="GO663" s="61">
        <f t="shared" si="3851"/>
        <v>5.1393863884130253</v>
      </c>
      <c r="GP663" s="91">
        <f t="shared" si="3940"/>
        <v>14636.244890532809</v>
      </c>
      <c r="GQ663" s="61">
        <f t="shared" si="3851"/>
        <v>8.4005694751356117</v>
      </c>
      <c r="GR663" s="91">
        <f>AVERAGE(GP657,GR657)</f>
        <v>15673.48771169125</v>
      </c>
      <c r="GS663" s="61">
        <f t="shared" si="3851"/>
        <v>7.0868096900275512</v>
      </c>
      <c r="GT663" s="91">
        <f t="shared" ref="GT663" si="3941">AVERAGE(GR657,GT657)</f>
        <v>16718.935249967137</v>
      </c>
      <c r="GU663" s="61">
        <f t="shared" si="3851"/>
        <v>6.6701652976450143</v>
      </c>
      <c r="GV663" s="91">
        <f t="shared" ref="GV663" si="3942">AVERAGE(GT657,GV657)</f>
        <v>17832.863665449186</v>
      </c>
      <c r="GW663" s="61">
        <f t="shared" si="3851"/>
        <v>6.662675576091126</v>
      </c>
      <c r="GX663" s="91">
        <f t="shared" ref="GX663" si="3943">AVERAGE(GV657,GX657)</f>
        <v>18997.344248606496</v>
      </c>
      <c r="GY663" s="61">
        <f t="shared" si="3852"/>
        <v>6.5299696392199014</v>
      </c>
      <c r="GZ663" s="61">
        <f t="shared" si="3732"/>
        <v>7.0678194233975367</v>
      </c>
      <c r="HA663" s="61"/>
      <c r="HB663" s="452"/>
      <c r="HC663"/>
      <c r="HD663"/>
      <c r="HE663"/>
      <c r="HF663"/>
      <c r="HG663"/>
      <c r="HH663"/>
    </row>
    <row r="664" spans="1:216" s="5" customFormat="1" ht="12.75" customHeight="1" x14ac:dyDescent="0.2">
      <c r="A664" s="8"/>
      <c r="B664" s="7"/>
      <c r="C664" s="64"/>
      <c r="D664" s="107"/>
      <c r="E664" s="64"/>
      <c r="F664" s="64"/>
      <c r="G664" s="64"/>
      <c r="H664" s="64"/>
      <c r="I664" s="64"/>
      <c r="J664" s="64"/>
      <c r="K664" s="64"/>
      <c r="L664" s="61"/>
      <c r="M664" s="64"/>
      <c r="N664" s="61"/>
      <c r="O664" s="64"/>
      <c r="P664" s="61"/>
      <c r="Q664" s="64"/>
      <c r="R664" s="61"/>
      <c r="S664" s="64"/>
      <c r="T664" s="61"/>
      <c r="U664" s="64"/>
      <c r="V664" s="61"/>
      <c r="W664" s="64"/>
      <c r="X664" s="61"/>
      <c r="Y664" s="64"/>
      <c r="Z664" s="61"/>
      <c r="AA664" s="64"/>
      <c r="AB664" s="61"/>
      <c r="AC664" s="64"/>
      <c r="AD664" s="61"/>
      <c r="AE664" s="64"/>
      <c r="AF664" s="61"/>
      <c r="AG664" s="64"/>
      <c r="AH664" s="61"/>
      <c r="AI664" s="64"/>
      <c r="AJ664" s="61"/>
      <c r="AK664" s="64"/>
      <c r="AL664" s="61"/>
      <c r="AM664" s="64"/>
      <c r="AN664" s="61"/>
      <c r="AO664" s="64"/>
      <c r="AP664" s="61"/>
      <c r="AQ664" s="64"/>
      <c r="AR664" s="61"/>
      <c r="AS664" s="64"/>
      <c r="AT664" s="61"/>
      <c r="AU664" s="64"/>
      <c r="AV664" s="61"/>
      <c r="AW664" s="64"/>
      <c r="AX664" s="61"/>
      <c r="AY664" s="64"/>
      <c r="AZ664" s="61"/>
      <c r="BA664" s="64"/>
      <c r="BB664" s="61"/>
      <c r="BC664" s="64"/>
      <c r="BD664" s="61"/>
      <c r="BE664" s="64"/>
      <c r="BF664" s="61"/>
      <c r="BG664" s="64"/>
      <c r="BH664" s="61"/>
      <c r="BI664" s="64"/>
      <c r="BJ664" s="61"/>
      <c r="BK664" s="64"/>
      <c r="BL664" s="61"/>
      <c r="BM664" s="64"/>
      <c r="BN664" s="61"/>
      <c r="BO664" s="64"/>
      <c r="BP664" s="61"/>
      <c r="BQ664" s="64"/>
      <c r="BR664" s="61"/>
      <c r="BS664" s="64"/>
      <c r="BT664" s="61"/>
      <c r="BU664" s="64"/>
      <c r="BV664" s="61"/>
      <c r="BW664" s="64"/>
      <c r="BX664" s="61"/>
      <c r="BY664" s="64"/>
      <c r="BZ664" s="61"/>
      <c r="CA664" s="64"/>
      <c r="CB664" s="61"/>
      <c r="CC664" s="64"/>
      <c r="CD664" s="61"/>
      <c r="CE664" s="64"/>
      <c r="CF664" s="61"/>
      <c r="CG664" s="64"/>
      <c r="CH664" s="61"/>
      <c r="CI664" s="64"/>
      <c r="CJ664" s="61"/>
      <c r="CK664" s="64"/>
      <c r="CL664" s="61"/>
      <c r="CM664" s="64"/>
      <c r="CN664" s="61"/>
      <c r="CO664" s="64"/>
      <c r="CP664" s="61"/>
      <c r="CQ664" s="64"/>
      <c r="CR664" s="61"/>
      <c r="CS664" s="64"/>
      <c r="CT664" s="61"/>
      <c r="CU664" s="64"/>
      <c r="CV664" s="61"/>
      <c r="CW664" s="64"/>
      <c r="CX664" s="61"/>
      <c r="CY664" s="64"/>
      <c r="CZ664" s="61"/>
      <c r="DA664" s="64"/>
      <c r="DB664" s="61"/>
      <c r="DC664" s="64"/>
      <c r="DD664" s="61"/>
      <c r="DE664" s="64"/>
      <c r="DF664" s="61"/>
      <c r="DG664" s="64"/>
      <c r="DH664" s="61"/>
      <c r="DI664" s="64"/>
      <c r="DJ664" s="61"/>
      <c r="DK664" s="64"/>
      <c r="DL664" s="61"/>
      <c r="DM664" s="64"/>
      <c r="DN664" s="61"/>
      <c r="DO664" s="64"/>
      <c r="DP664" s="61"/>
      <c r="DQ664" s="64"/>
      <c r="DR664" s="61"/>
      <c r="DS664" s="64"/>
      <c r="DT664" s="61"/>
      <c r="DU664" s="64"/>
      <c r="DV664" s="61"/>
      <c r="DW664" s="64"/>
      <c r="DX664" s="64"/>
      <c r="DY664" s="64"/>
      <c r="DZ664" s="61"/>
      <c r="EA664" s="64"/>
      <c r="EB664" s="61"/>
      <c r="EC664" s="64"/>
      <c r="ED664" s="61"/>
      <c r="EE664" s="64"/>
      <c r="EF664" s="61"/>
      <c r="EG664" s="64"/>
      <c r="EH664" s="61"/>
      <c r="EI664" s="64"/>
      <c r="EJ664" s="61"/>
      <c r="EK664" s="64"/>
      <c r="EL664" s="61"/>
      <c r="EM664" s="64"/>
      <c r="EN664" s="61"/>
      <c r="EO664" s="64"/>
      <c r="EP664" s="61"/>
      <c r="EQ664" s="64"/>
      <c r="ER664" s="61"/>
      <c r="ES664" s="64"/>
      <c r="ET664" s="61"/>
      <c r="EU664" s="64"/>
      <c r="EV664" s="61"/>
      <c r="EW664" s="64"/>
      <c r="EX664" s="61"/>
      <c r="EY664" s="356"/>
      <c r="EZ664" s="558"/>
      <c r="FA664" s="356"/>
      <c r="FB664" s="356"/>
      <c r="FC664" s="64"/>
      <c r="FD664" s="64"/>
      <c r="FE664" s="107"/>
      <c r="FF664" s="356"/>
      <c r="FG664" s="107"/>
      <c r="FH664" s="356"/>
      <c r="FI664" s="107"/>
      <c r="FJ664" s="356"/>
      <c r="FK664" s="107"/>
      <c r="FL664" s="356"/>
      <c r="FM664" s="61"/>
      <c r="FN664" s="356"/>
      <c r="FO664" s="61"/>
      <c r="FP664" s="65"/>
      <c r="FQ664" s="61"/>
      <c r="FR664" s="65"/>
      <c r="FS664" s="61"/>
      <c r="FT664" s="65"/>
      <c r="FU664" s="61"/>
      <c r="FV664" s="65"/>
      <c r="FW664" s="61"/>
      <c r="FX664" s="16"/>
      <c r="FY664" s="61"/>
      <c r="FZ664" s="16"/>
      <c r="GA664" s="61"/>
      <c r="GB664" s="16"/>
      <c r="GC664" s="61"/>
      <c r="GD664" s="16"/>
      <c r="GE664" s="61"/>
      <c r="GF664" s="16"/>
      <c r="GG664" s="61"/>
      <c r="GH664" s="16"/>
      <c r="GI664" s="61"/>
      <c r="GJ664" s="16"/>
      <c r="GK664" s="61"/>
      <c r="GL664" s="16"/>
      <c r="GM664" s="61"/>
      <c r="GN664" s="16"/>
      <c r="GO664" s="61"/>
      <c r="GP664" s="16"/>
      <c r="GQ664" s="61"/>
      <c r="GR664" s="64"/>
      <c r="GS664" s="61"/>
      <c r="GT664" s="64"/>
      <c r="GU664" s="61"/>
      <c r="GV664" s="64"/>
      <c r="GW664" s="61"/>
      <c r="GX664" s="64"/>
      <c r="GY664" s="61"/>
      <c r="GZ664" s="61" t="str">
        <f t="shared" si="3732"/>
        <v/>
      </c>
      <c r="HA664" s="61"/>
      <c r="HB664" s="452"/>
      <c r="HC664"/>
      <c r="HD664"/>
      <c r="HE664"/>
      <c r="HF664"/>
      <c r="HG664"/>
      <c r="HH664"/>
    </row>
    <row r="665" spans="1:216" s="5" customFormat="1" ht="12.75" customHeight="1" x14ac:dyDescent="0.2">
      <c r="B665" s="105" t="s">
        <v>636</v>
      </c>
      <c r="C665" s="356"/>
      <c r="D665" s="107"/>
      <c r="E665" s="356"/>
      <c r="F665" s="64"/>
      <c r="G665" s="64"/>
      <c r="H665" s="64"/>
      <c r="I665" s="356"/>
      <c r="J665" s="64"/>
      <c r="K665" s="356"/>
      <c r="L665" s="61"/>
      <c r="M665" s="356"/>
      <c r="N665" s="61"/>
      <c r="O665" s="64"/>
      <c r="P665" s="61"/>
      <c r="Q665" s="64"/>
      <c r="R665" s="61"/>
      <c r="S665" s="64"/>
      <c r="T665" s="61"/>
      <c r="U665" s="356"/>
      <c r="V665" s="61"/>
      <c r="W665" s="64"/>
      <c r="X665" s="61"/>
      <c r="Y665" s="64"/>
      <c r="Z665" s="61"/>
      <c r="AA665" s="64"/>
      <c r="AB665" s="61"/>
      <c r="AC665" s="64"/>
      <c r="AD665" s="61"/>
      <c r="AE665" s="64"/>
      <c r="AF665" s="61"/>
      <c r="AG665" s="64"/>
      <c r="AH665" s="61"/>
      <c r="AI665" s="64"/>
      <c r="AJ665" s="61"/>
      <c r="AK665" s="64"/>
      <c r="AL665" s="61"/>
      <c r="AM665" s="64"/>
      <c r="AN665" s="61"/>
      <c r="AO665" s="64"/>
      <c r="AP665" s="61"/>
      <c r="AQ665" s="64"/>
      <c r="AR665" s="61"/>
      <c r="AS665" s="64"/>
      <c r="AT665" s="61"/>
      <c r="AU665" s="64"/>
      <c r="AV665" s="61"/>
      <c r="AW665" s="64"/>
      <c r="AX665" s="61"/>
      <c r="AY665" s="64"/>
      <c r="AZ665" s="61"/>
      <c r="BA665" s="64"/>
      <c r="BB665" s="61"/>
      <c r="BC665" s="64"/>
      <c r="BD665" s="61"/>
      <c r="BE665" s="64"/>
      <c r="BF665" s="61"/>
      <c r="BG665" s="64"/>
      <c r="BH665" s="61"/>
      <c r="BI665" s="64"/>
      <c r="BJ665" s="61"/>
      <c r="BK665" s="64"/>
      <c r="BL665" s="61"/>
      <c r="BM665" s="64"/>
      <c r="BN665" s="61"/>
      <c r="BO665" s="64"/>
      <c r="BP665" s="61"/>
      <c r="BQ665" s="64"/>
      <c r="BR665" s="61"/>
      <c r="BS665" s="64"/>
      <c r="BT665" s="61"/>
      <c r="BU665" s="64"/>
      <c r="BV665" s="61"/>
      <c r="BW665" s="356"/>
      <c r="BX665" s="61"/>
      <c r="BY665" s="356"/>
      <c r="BZ665" s="61"/>
      <c r="CA665" s="356"/>
      <c r="CB665" s="61"/>
      <c r="CC665" s="356"/>
      <c r="CD665" s="61"/>
      <c r="CE665" s="356"/>
      <c r="CF665" s="61"/>
      <c r="CG665" s="356"/>
      <c r="CH665" s="61"/>
      <c r="CI665" s="356"/>
      <c r="CJ665" s="61"/>
      <c r="CK665" s="356"/>
      <c r="CL665" s="61"/>
      <c r="CM665" s="356"/>
      <c r="CN665" s="61"/>
      <c r="CO665" s="356"/>
      <c r="CP665" s="61"/>
      <c r="CQ665" s="356"/>
      <c r="CR665" s="61"/>
      <c r="CS665" s="356"/>
      <c r="CT665" s="61"/>
      <c r="CU665" s="356"/>
      <c r="CV665" s="61"/>
      <c r="CW665" s="356"/>
      <c r="CX665" s="61"/>
      <c r="CY665" s="356"/>
      <c r="CZ665" s="61"/>
      <c r="DA665" s="356"/>
      <c r="DB665" s="61"/>
      <c r="DC665" s="356"/>
      <c r="DD665" s="61"/>
      <c r="DE665" s="356"/>
      <c r="DF665" s="61"/>
      <c r="DG665" s="356"/>
      <c r="DH665" s="61"/>
      <c r="DI665" s="356"/>
      <c r="DJ665" s="61"/>
      <c r="DK665" s="356"/>
      <c r="DL665" s="61"/>
      <c r="DM665" s="356"/>
      <c r="DN665" s="61"/>
      <c r="DO665" s="356"/>
      <c r="DP665" s="61"/>
      <c r="DQ665" s="356"/>
      <c r="DR665" s="61"/>
      <c r="DS665" s="356"/>
      <c r="DT665" s="61"/>
      <c r="DU665" s="356"/>
      <c r="DV665" s="61"/>
      <c r="DW665" s="356"/>
      <c r="DX665" s="356"/>
      <c r="DY665" s="356"/>
      <c r="DZ665" s="61"/>
      <c r="EA665" s="356"/>
      <c r="EB665" s="61"/>
      <c r="EC665" s="356"/>
      <c r="ED665" s="61"/>
      <c r="EE665" s="356"/>
      <c r="EF665" s="61"/>
      <c r="EG665" s="356"/>
      <c r="EH665" s="61"/>
      <c r="EI665" s="356"/>
      <c r="EJ665" s="61"/>
      <c r="EK665" s="356"/>
      <c r="EL665" s="61"/>
      <c r="EM665" s="356"/>
      <c r="EN665" s="61"/>
      <c r="EO665" s="356"/>
      <c r="EP665" s="61"/>
      <c r="EQ665" s="356"/>
      <c r="ER665" s="61"/>
      <c r="ES665" s="356"/>
      <c r="ET665" s="61"/>
      <c r="EU665" s="356"/>
      <c r="EV665" s="61"/>
      <c r="EW665" s="356"/>
      <c r="EX665" s="61"/>
      <c r="EY665" s="64"/>
      <c r="EZ665" s="558"/>
      <c r="FA665" s="64"/>
      <c r="FB665" s="356"/>
      <c r="FC665" s="64"/>
      <c r="FD665" s="64"/>
      <c r="FE665" s="107"/>
      <c r="FF665" s="356"/>
      <c r="FG665" s="107"/>
      <c r="FH665" s="356"/>
      <c r="FI665" s="107"/>
      <c r="FJ665" s="356"/>
      <c r="FK665" s="107"/>
      <c r="FL665" s="356"/>
      <c r="FM665" s="61"/>
      <c r="FN665" s="356"/>
      <c r="FO665" s="61"/>
      <c r="FP665" s="357"/>
      <c r="FQ665" s="61"/>
      <c r="FR665" s="357"/>
      <c r="FS665" s="61"/>
      <c r="FT665" s="357"/>
      <c r="FU665" s="61"/>
      <c r="FV665" s="357"/>
      <c r="FW665" s="61"/>
      <c r="FX665" s="411"/>
      <c r="FY665" s="61"/>
      <c r="FZ665" s="411"/>
      <c r="GA665" s="61"/>
      <c r="GB665" s="411"/>
      <c r="GC665" s="61"/>
      <c r="GD665" s="411"/>
      <c r="GE665" s="61"/>
      <c r="GF665" s="411"/>
      <c r="GG665" s="61"/>
      <c r="GH665" s="581"/>
      <c r="GI665" s="61"/>
      <c r="GJ665" s="581"/>
      <c r="GK665" s="61"/>
      <c r="GL665" s="581"/>
      <c r="GM665" s="61"/>
      <c r="GN665" s="581"/>
      <c r="GO665" s="61"/>
      <c r="GP665" s="581"/>
      <c r="GQ665" s="61"/>
      <c r="GR665" s="356"/>
      <c r="GS665" s="61"/>
      <c r="GT665" s="356"/>
      <c r="GU665" s="61"/>
      <c r="GV665" s="356"/>
      <c r="GW665" s="61"/>
      <c r="GX665" s="356"/>
      <c r="GY665" s="61"/>
      <c r="GZ665" s="61" t="str">
        <f t="shared" si="3732"/>
        <v/>
      </c>
      <c r="HA665" s="61"/>
      <c r="HB665" s="452"/>
      <c r="HC665"/>
      <c r="HD665"/>
      <c r="HE665"/>
      <c r="HF665"/>
      <c r="HG665"/>
      <c r="HH665"/>
    </row>
    <row r="666" spans="1:216" s="5" customFormat="1" ht="12.75" customHeight="1" x14ac:dyDescent="0.2">
      <c r="A666" s="7" t="s">
        <v>405</v>
      </c>
      <c r="B666" s="7" t="s">
        <v>206</v>
      </c>
      <c r="C666" s="86">
        <f>C538/C663*400</f>
        <v>13.817864640911996</v>
      </c>
      <c r="D666" s="70"/>
      <c r="E666" s="86">
        <f>E538/E663*400</f>
        <v>14.528058414376984</v>
      </c>
      <c r="F666" s="71"/>
      <c r="G666" s="86">
        <f>G538/G663*400</f>
        <v>15.798521218648384</v>
      </c>
      <c r="H666" s="71"/>
      <c r="I666" s="86">
        <f>I538/I663*400</f>
        <v>15.072924305385804</v>
      </c>
      <c r="J666" s="71"/>
      <c r="K666" s="86">
        <f>K538/K663*400</f>
        <v>13.557674785883494</v>
      </c>
      <c r="L666" s="61">
        <f>IF(ISERROR((K666/C666-1)*100),"NA",IF(((K666/C666-1)*100)&gt;100,"NM",IF(((K666/C666-1)*100)&lt;-50,"NM",(K666/C666-1)*100)))</f>
        <v>-1.8829961198066014</v>
      </c>
      <c r="M666" s="86">
        <f>M538/M663*400</f>
        <v>12.649270234409551</v>
      </c>
      <c r="N666" s="61">
        <f>IF(ISERROR((M666/E666-1)*100),"NA",IF(((M666/E666-1)*100)&gt;100,"NM",IF(((M666/E666-1)*100)&lt;-50,"NM",(M666/E666-1)*100)))</f>
        <v>-12.932135364407548</v>
      </c>
      <c r="O666" s="86">
        <f>O538/O663*400</f>
        <v>10.54101358925446</v>
      </c>
      <c r="P666" s="61">
        <f>IF(ISERROR((O666/G666-1)*100),"NA",IF(((O666/G666-1)*100)&gt;100,"NM",IF(((O666/G666-1)*100)&lt;-50,"NM",(O666/G666-1)*100)))</f>
        <v>-33.27847940089498</v>
      </c>
      <c r="Q666" s="86">
        <f>Q538/Q663*400</f>
        <v>14.542337217005025</v>
      </c>
      <c r="R666" s="61">
        <f>IF(ISERROR((Q666/I666-1)*100),"NA",IF(((Q666/I666-1)*100)&gt;100,"NM",IF(((Q666/I666-1)*100)&lt;-50,"NM",(Q666/I666-1)*100)))</f>
        <v>-3.5201337021986578</v>
      </c>
      <c r="S666" s="86">
        <f>S538/S663*400</f>
        <v>11.949851212254256</v>
      </c>
      <c r="T666" s="61">
        <f>IF(ISERROR((S666/K666-1)*100),"NA",IF(((S666/K666-1)*100)&gt;100,"NM",IF(((S666/K666-1)*100)&lt;-50,"NM",(S666/K666-1)*100)))</f>
        <v>-11.859139557642539</v>
      </c>
      <c r="U666" s="86">
        <f>U538/U663*400</f>
        <v>9.1262231400894915</v>
      </c>
      <c r="V666" s="61">
        <f>IF(ISERROR((U666/M666-1)*100),"NA",IF(((U666/M666-1)*100)&gt;100,"NM",IF(((U666/M666-1)*100)&lt;-50,"NM",(U666/M666-1)*100)))</f>
        <v>-27.851781399502297</v>
      </c>
      <c r="W666" s="86">
        <f>W538/W663*400</f>
        <v>5.1832808094211407</v>
      </c>
      <c r="X666" s="61" t="str">
        <f>IF(ISERROR((W666/O666-1)*100),"NA",IF(((W666/O666-1)*100)&gt;100,"NM",IF(((W666/O666-1)*100)&lt;-50,"NM",(W666/O666-1)*100)))</f>
        <v>NM</v>
      </c>
      <c r="Y666" s="86">
        <f>Y538/Y663*400</f>
        <v>8.6915938568405053</v>
      </c>
      <c r="Z666" s="61">
        <f>IF(ISERROR((Y666/Q666-1)*100),"NA",IF(((Y666/Q666-1)*100)&gt;100,"NM",IF(((Y666/Q666-1)*100)&lt;-50,"NM",(Y666/Q666-1)*100)))</f>
        <v>-40.232483079287803</v>
      </c>
      <c r="AA666" s="86">
        <f>AA538/AA663*400</f>
        <v>9.1319421730882446</v>
      </c>
      <c r="AB666" s="61">
        <f>IF(ISERROR((AA666/S666-1)*100),"NA",IF(((AA666/S666-1)*100)&gt;100,"NM",IF(((AA666/S666-1)*100)&lt;-50,"NM",(AA666/S666-1)*100)))</f>
        <v>-23.581122384823672</v>
      </c>
      <c r="AC666" s="86">
        <f>AC538/AC663*400</f>
        <v>13.221073511497291</v>
      </c>
      <c r="AD666" s="61">
        <f>IF(ISERROR((AC666/U666-1)*100),"NA",IF(((AC666/U666-1)*100)&gt;100,"NM",IF(((AC666/U666-1)*100)&lt;-50,"NM",(AC666/U666-1)*100)))</f>
        <v>44.869058191444196</v>
      </c>
      <c r="AE666" s="86">
        <f>AE538/AE663*400</f>
        <v>13.160917723186524</v>
      </c>
      <c r="AF666" s="61" t="str">
        <f>IF(ISERROR((AE666/W666-1)*100),"NA",IF(((AE666/W666-1)*100)&gt;100,"NM",IF(((AE666/W666-1)*100)&lt;-50,"NM",(AE666/W666-1)*100)))</f>
        <v>NM</v>
      </c>
      <c r="AG666" s="86">
        <f>AG538/AG663*400</f>
        <v>14.687872436608718</v>
      </c>
      <c r="AH666" s="61">
        <f>IF(ISERROR((AG666/Y666-1)*100),"NA",IF(((AG666/Y666-1)*100)&gt;100,"NM",IF(((AG666/Y666-1)*100)&lt;-50,"NM",(AG666/Y666-1)*100)))</f>
        <v>68.989401466901128</v>
      </c>
      <c r="AI666" s="86">
        <f>AI538/AI663*400</f>
        <v>14.107049503357866</v>
      </c>
      <c r="AJ666" s="61">
        <f>IF(ISERROR((AI666/AA666-1)*100),"NA",IF(((AI666/AA666-1)*100)&gt;100,"NM",IF(((AI666/AA666-1)*100)&lt;-50,"NM",(AI666/AA666-1)*100)))</f>
        <v>54.480276330824992</v>
      </c>
      <c r="AK666" s="86">
        <f>AK538/AK663*400</f>
        <v>14.46777957278765</v>
      </c>
      <c r="AL666" s="61">
        <f>IF(ISERROR((AK666/AC666-1)*100),"NA",IF(((AK666/AC666-1)*100)&gt;100,"NM",IF(((AK666/AC666-1)*100)&lt;-50,"NM",(AK666/AC666-1)*100)))</f>
        <v>9.4296885968162982</v>
      </c>
      <c r="AM666" s="86">
        <f>AM538/AM663*400</f>
        <v>14.076223182742217</v>
      </c>
      <c r="AN666" s="61">
        <f>IF(ISERROR((AM666/AE666-1)*100),"NA",IF(((AM666/AE666-1)*100)&gt;100,"NM",IF(((AM666/AE666-1)*100)&lt;-50,"NM",(AM666/AE666-1)*100)))</f>
        <v>6.9547236659882383</v>
      </c>
      <c r="AO666" s="86">
        <f>AO538/AO663*400</f>
        <v>14.537589127625974</v>
      </c>
      <c r="AP666" s="61">
        <f>IF(ISERROR((AO666/AG666-1)*100),"NA",IF(((AO666/AG666-1)*100)&gt;100,"NM",IF(((AO666/AG666-1)*100)&lt;-50,"NM",(AO666/AG666-1)*100)))</f>
        <v>-1.0231795628083629</v>
      </c>
      <c r="AQ666" s="86">
        <f>AQ538/AQ663*400</f>
        <v>15.690260402187011</v>
      </c>
      <c r="AR666" s="61">
        <f>IF(ISERROR((AQ666/AI666-1)*100),"NA",IF(((AQ666/AI666-1)*100)&gt;100,"NM",IF(((AQ666/AI666-1)*100)&lt;-50,"NM",(AQ666/AI666-1)*100)))</f>
        <v>11.222835068752657</v>
      </c>
      <c r="AS666" s="86">
        <f>AS538/AS663*400</f>
        <v>17.629479489075756</v>
      </c>
      <c r="AT666" s="61">
        <f>IF(ISERROR((AS666/AK666-1)*100),"NA",IF(((AS666/AK666-1)*100)&gt;100,"NM",IF(((AS666/AK666-1)*100)&lt;-50,"NM",(AS666/AK666-1)*100)))</f>
        <v>21.853387386651413</v>
      </c>
      <c r="AU666" s="86">
        <f>AU538/AU663*400</f>
        <v>17.861567427210016</v>
      </c>
      <c r="AV666" s="61">
        <f>IF(ISERROR((AU666/AM666-1)*100),"NA",IF(((AU666/AM666-1)*100)&gt;100,"NM",IF(((AU666/AM666-1)*100)&lt;-50,"NM",(AU666/AM666-1)*100)))</f>
        <v>26.891760632985129</v>
      </c>
      <c r="AW666" s="86">
        <f>AW538/AW663*400</f>
        <v>17.725727107965824</v>
      </c>
      <c r="AX666" s="61">
        <f>IF(ISERROR((AW666/AO666-1)*100),"NA",IF(((AW666/AO666-1)*100)&gt;100,"NM",IF(((AW666/AO666-1)*100)&lt;-50,"NM",(AW666/AO666-1)*100)))</f>
        <v>21.93030737319015</v>
      </c>
      <c r="AY666" s="86">
        <f>AY538/AY663*400</f>
        <v>16.514506866834399</v>
      </c>
      <c r="AZ666" s="61">
        <f>IF(ISERROR((AY666/AQ666-1)*100),"NA",IF(((AY666/AQ666-1)*100)&gt;100,"NM",IF(((AY666/AQ666-1)*100)&lt;-50,"NM",(AY666/AQ666-1)*100)))</f>
        <v>5.2532363614086197</v>
      </c>
      <c r="BA666" s="86">
        <f>BA538/BA663*400</f>
        <v>14.713093315745185</v>
      </c>
      <c r="BB666" s="61">
        <f>IF(ISERROR((BA666/AS666-1)*100),"NA",IF(((BA666/AS666-1)*100)&gt;100,"NM",IF(((BA666/AS666-1)*100)&lt;-50,"NM",(BA666/AS666-1)*100)))</f>
        <v>-16.542667497005414</v>
      </c>
      <c r="BC666" s="86">
        <f>BC538/BC663*400</f>
        <v>12.406068487212831</v>
      </c>
      <c r="BD666" s="61">
        <f>IF(ISERROR((BC666/AU666-1)*100),"NA",IF(((BC666/AU666-1)*100)&gt;100,"NM",IF(((BC666/AU666-1)*100)&lt;-50,"NM",(BC666/AU666-1)*100)))</f>
        <v>-30.543226187900885</v>
      </c>
      <c r="BE666" s="86">
        <f>BE538/BE663*400</f>
        <v>12.378115261454459</v>
      </c>
      <c r="BF666" s="61">
        <f>IF(ISERROR((BE666/AW666-1)*100),"NA",IF(((BE666/AW666-1)*100)&gt;100,"NM",IF(((BE666/AW666-1)*100)&lt;-50,"NM",(BE666/AW666-1)*100)))</f>
        <v>-30.168645911897084</v>
      </c>
      <c r="BG666" s="86">
        <f>BG538/BG663*400</f>
        <v>11.801010074669033</v>
      </c>
      <c r="BH666" s="61">
        <f>IF(ISERROR((BG666/AY666-1)*100),"NA",IF(((BG666/AY666-1)*100)&gt;100,"NM",IF(((BG666/AY666-1)*100)&lt;-50,"NM",(BG666/AY666-1)*100)))</f>
        <v>-28.541553375906993</v>
      </c>
      <c r="BI666" s="86">
        <f>BI538/BI663*400</f>
        <v>12.025794059134252</v>
      </c>
      <c r="BJ666" s="61">
        <f>IF(ISERROR((BI666/BA666-1)*100),"NA",IF(((BI666/BA666-1)*100)&gt;100,"NM",IF(((BI666/BA666-1)*100)&lt;-50,"NM",(BI666/BA666-1)*100)))</f>
        <v>-18.264678942361666</v>
      </c>
      <c r="BK666" s="86">
        <f>BK538/BK663*400</f>
        <v>11.271523122649471</v>
      </c>
      <c r="BL666" s="61">
        <f>IF(ISERROR((BK666/BC666-1)*100),"NA",IF(((BK666/BC666-1)*100)&gt;100,"NM",IF(((BK666/BC666-1)*100)&lt;-50,"NM",(BK666/BC666-1)*100)))</f>
        <v>-9.1450838412891038</v>
      </c>
      <c r="BM666" s="86">
        <f>BM538/BM663*400</f>
        <v>10.308397155361043</v>
      </c>
      <c r="BN666" s="61">
        <f>IF(ISERROR((BM666/BE666-1)*100),"NA",IF(((BM666/BE666-1)*100)&gt;100,"NM",IF(((BM666/BE666-1)*100)&lt;-50,"NM",(BM666/BE666-1)*100)))</f>
        <v>-16.720785534600203</v>
      </c>
      <c r="BO666" s="86">
        <f>BO538/BO663*400</f>
        <v>10.399125015190712</v>
      </c>
      <c r="BP666" s="61">
        <f>IF(ISERROR((BO666/BG666-1)*100),"NA",IF(((BO666/BG666-1)*100)&gt;100,"NM",IF(((BO666/BG666-1)*100)&lt;-50,"NM",(BO666/BG666-1)*100)))</f>
        <v>-11.879364991709307</v>
      </c>
      <c r="BQ666" s="86">
        <f>BQ538/BQ663*400</f>
        <v>10.869067535440701</v>
      </c>
      <c r="BR666" s="61">
        <f>IF(ISERROR((BQ666/BI666-1)*100),"NA",IF(((BQ666/BI666-1)*100)&gt;100,"NM",IF(((BQ666/BI666-1)*100)&lt;-50,"NM",(BQ666/BI666-1)*100)))</f>
        <v>-9.6187122281123258</v>
      </c>
      <c r="BS666" s="86">
        <f>BS538/BS663*400</f>
        <v>10.541023328204316</v>
      </c>
      <c r="BT666" s="61">
        <f>IF(ISERROR((BS666/BK666-1)*100),"NA",IF(((BS666/BK666-1)*100)&gt;100,"NM",IF(((BS666/BK666-1)*100)&lt;-50,"NM",(BS666/BK666-1)*100)))</f>
        <v>-6.4809324036895983</v>
      </c>
      <c r="BU666" s="86">
        <f>BU538/BU663*400</f>
        <v>-4.6028419199029509</v>
      </c>
      <c r="BV666" s="61" t="str">
        <f>IF(ISERROR((BU666/BM666-1)*100),"NA",IF(((BU666/BM666-1)*100)&gt;100,"NM",IF(((BU666/BM666-1)*100)&lt;-50,"NM",(BU666/BM666-1)*100)))</f>
        <v>NM</v>
      </c>
      <c r="BW666" s="86">
        <f>BW538/BW663*400</f>
        <v>6.1901937993690277</v>
      </c>
      <c r="BX666" s="61">
        <f>IF(ISERROR((BW666/BO666-1)*100),"NA",IF(((BW666/BO666-1)*100)&gt;100,"NM",IF(((BW666/BO666-1)*100)&lt;-50,"NM",(BW666/BO666-1)*100)))</f>
        <v>-40.473897656518318</v>
      </c>
      <c r="BY666" s="86">
        <f>BY538/BY663*400</f>
        <v>7.86713535514538</v>
      </c>
      <c r="BZ666" s="61">
        <f>IF(ISERROR((BY666/BQ666-1)*100),"NA",IF(((BY666/BQ666-1)*100)&gt;100,"NM",IF(((BY666/BQ666-1)*100)&lt;-50,"NM",(BY666/BQ666-1)*100)))</f>
        <v>-27.619040644534955</v>
      </c>
      <c r="CA666" s="86">
        <f>CA538/CA663*400</f>
        <v>10.153494628609332</v>
      </c>
      <c r="CB666" s="61">
        <f>IF(ISERROR((CA666/BS666-1)*100),"NA",IF(((CA666/BS666-1)*100)&gt;100,"NM",IF(((CA666/BS666-1)*100)&lt;-50,"NM",(CA666/BS666-1)*100)))</f>
        <v>-3.6763859402348942</v>
      </c>
      <c r="CC666" s="86">
        <f>CC538/CC663*400</f>
        <v>10.838359111816162</v>
      </c>
      <c r="CD666" s="61" t="str">
        <f>IF(ISERROR((CC666/BU666-1)*100),"NA",IF(((CC666/BU666-1)*100)&gt;100,"NM",IF(((CC666/BU666-1)*100)&lt;-50,"NM",(CC666/BU666-1)*100)))</f>
        <v>NM</v>
      </c>
      <c r="CE666" s="86">
        <f>CE538/CE663*400</f>
        <v>9.9859448368742427</v>
      </c>
      <c r="CF666" s="61">
        <f>IF(ISERROR((CE666/BW666-1)*100),"NA",IF(((CE666/BW666-1)*100)&gt;100,"NM",IF(((CE666/BW666-1)*100)&lt;-50,"NM",(CE666/BW666-1)*100)))</f>
        <v>61.318775478275334</v>
      </c>
      <c r="CG666" s="86">
        <f>CG538/CG663*400</f>
        <v>10.193338563833287</v>
      </c>
      <c r="CH666" s="61">
        <f>IF(ISERROR((CG666/BY666-1)*100),"NA",IF(((CG666/BY666-1)*100)&gt;100,"NM",IF(((CG666/BY666-1)*100)&lt;-50,"NM",(CG666/BY666-1)*100)))</f>
        <v>29.568618101460387</v>
      </c>
      <c r="CI666" s="86">
        <f>CI538/CI663*400</f>
        <v>6.9710866045620605</v>
      </c>
      <c r="CJ666" s="61">
        <f>IF(ISERROR((CI666/CA666-1)*100),"NA",IF(((CI666/CA666-1)*100)&gt;100,"NM",IF(((CI666/CA666-1)*100)&lt;-50,"NM",(CI666/CA666-1)*100)))</f>
        <v>-31.342982297742626</v>
      </c>
      <c r="CK666" s="86">
        <f>CK538/CK663*400</f>
        <v>8.8705940308850906</v>
      </c>
      <c r="CL666" s="61">
        <f>IF(ISERROR((CK666/CC666-1)*100),"NA",IF(((CK666/CC666-1)*100)&gt;100,"NM",IF(((CK666/CC666-1)*100)&lt;-50,"NM",(CK666/CC666-1)*100)))</f>
        <v>-18.155562669867443</v>
      </c>
      <c r="CM666" s="86">
        <f>CM538/CM663*400</f>
        <v>11.079274116523406</v>
      </c>
      <c r="CN666" s="61">
        <f>IF(ISERROR((CM666/CE666-1)*100),"NA",IF(((CM666/CE666-1)*100)&gt;100,"NM",IF(((CM666/CE666-1)*100)&lt;-50,"NM",(CM666/CE666-1)*100)))</f>
        <v>10.948681346725643</v>
      </c>
      <c r="CO666" s="86">
        <f>CO538/CO663*400</f>
        <v>11.54343220809443</v>
      </c>
      <c r="CP666" s="61">
        <f>IF(ISERROR((CO666/CG666-1)*100),"NA",IF(((CO666/CG666-1)*100)&gt;100,"NM",IF(((CO666/CG666-1)*100)&lt;-50,"NM",(CO666/CG666-1)*100)))</f>
        <v>13.244862179417582</v>
      </c>
      <c r="CQ666" s="86">
        <f>CQ538/CQ663*400</f>
        <v>11.402842765074597</v>
      </c>
      <c r="CR666" s="61">
        <f>IF(ISERROR((CQ666/CI666-1)*100),"NA",IF(((CQ666/CI666-1)*100)&gt;100,"NM",IF(((CQ666/CI666-1)*100)&lt;-50,"NM",(CQ666/CI666-1)*100)))</f>
        <v>63.573391235912638</v>
      </c>
      <c r="CS666" s="86">
        <f>CS538/CS663*400</f>
        <v>10.191317144959529</v>
      </c>
      <c r="CT666" s="61">
        <f>IF(ISERROR((CS666/CK666-1)*100),"NA",IF(((CS666/CK666-1)*100)&gt;100,"NM",IF(((CS666/CK666-1)*100)&lt;-50,"NM",(CS666/CK666-1)*100)))</f>
        <v>14.888778693693183</v>
      </c>
      <c r="CU666" s="86">
        <f>CU538/CU663*400</f>
        <v>11.205124527941106</v>
      </c>
      <c r="CV666" s="61">
        <f>IF(ISERROR((CU666/CM666-1)*100),"NA",IF(((CU666/CM666-1)*100)&gt;100,"NM",IF(((CU666/CM666-1)*100)&lt;-50,"NM",(CU666/CM666-1)*100)))</f>
        <v>1.1359084547787113</v>
      </c>
      <c r="CW666" s="86">
        <f>CW538/CW663*400</f>
        <v>11.910388505529824</v>
      </c>
      <c r="CX666" s="61">
        <f>IF(ISERROR((CW666/CO666-1)*100),"NA",IF(((CW666/CO666-1)*100)&gt;100,"NM",IF(((CW666/CO666-1)*100)&lt;-50,"NM",(CW666/CO666-1)*100)))</f>
        <v>3.178918460473823</v>
      </c>
      <c r="CY666" s="86">
        <f>CY538/CY663*400</f>
        <v>13.388811835413778</v>
      </c>
      <c r="CZ666" s="61">
        <f>IF(ISERROR((CY666/CQ666-1)*100),"NA",IF(((CY666/CQ666-1)*100)&gt;100,"NM",IF(((CY666/CQ666-1)*100)&lt;-50,"NM",(CY666/CQ666-1)*100)))</f>
        <v>17.416438262412438</v>
      </c>
      <c r="DA666" s="86">
        <f>DA538/DA663*400</f>
        <v>11.203975604246668</v>
      </c>
      <c r="DB666" s="61">
        <f>IF(ISERROR((DA666/CS666-1)*100),"NA",IF(((DA666/CS666-1)*100)&gt;100,"NM",IF(((DA666/CS666-1)*100)&lt;-50,"NM",(DA666/CS666-1)*100)))</f>
        <v>9.9364826438355536</v>
      </c>
      <c r="DC666" s="86">
        <f>DC538/DC663*400</f>
        <v>10.157711841753542</v>
      </c>
      <c r="DD666" s="61">
        <f>IF(ISERROR((DC666/CU666-1)*100),"NA",IF(((DC666/CU666-1)*100)&gt;100,"NM",IF(((DC666/CU666-1)*100)&lt;-50,"NM",(DC666/CU666-1)*100)))</f>
        <v>-9.3476220061252668</v>
      </c>
      <c r="DE666" s="86">
        <f>DE538/DE663*400</f>
        <v>12.367319973574102</v>
      </c>
      <c r="DF666" s="61">
        <f>IF(ISERROR((DE666/CW666-1)*100),"NA",IF(((DE666/CW666-1)*100)&gt;100,"NM",IF(((DE666/CW666-1)*100)&lt;-50,"NM",(DE666/CW666-1)*100)))</f>
        <v>3.8364111114606469</v>
      </c>
      <c r="DG666" s="86">
        <f>DG538/DG663*400</f>
        <v>12.730347309543424</v>
      </c>
      <c r="DH666" s="61">
        <f>IF(ISERROR((DG666/CY666-1)*100),"NA",IF(((DG666/CY666-1)*100)&gt;100,"NM",IF(((DG666/CY666-1)*100)&lt;-50,"NM",(DG666/CY666-1)*100)))</f>
        <v>-4.9180206127678705</v>
      </c>
      <c r="DI666" s="86">
        <f>DI538/DI663*400</f>
        <v>12.988227293977644</v>
      </c>
      <c r="DJ666" s="61">
        <f>IF(ISERROR((DI666/DA666-1)*100),"NA",IF(((DI666/DA666-1)*100)&gt;100,"NM",IF(((DI666/DA666-1)*100)&lt;-50,"NM",(DI666/DA666-1)*100)))</f>
        <v>15.925165787175466</v>
      </c>
      <c r="DK666" s="86">
        <f>DK538/DK663*400</f>
        <v>12.172386406387158</v>
      </c>
      <c r="DL666" s="61">
        <f>IF(ISERROR((DK666/DC666-1)*100),"NA",IF(((DK666/DC666-1)*100)&gt;100,"NM",IF(((DK666/DC666-1)*100)&lt;-50,"NM",(DK666/DC666-1)*100)))</f>
        <v>19.833940911300928</v>
      </c>
      <c r="DM666" s="86">
        <f>DM538/DM663*400</f>
        <v>13.012147416100472</v>
      </c>
      <c r="DN666" s="130">
        <f t="shared" ref="DN666:DZ669" si="3944">IF(ISERROR((DM666/DE666-1)*100),"NA",IF(((DM666/DE666-1)*100)&gt;100,"NM",IF(((DM666/DE666-1)*100)&lt;-50,"NM",(DM666/DE666-1)*100)))</f>
        <v>5.2139626362397662</v>
      </c>
      <c r="DO666" s="86">
        <f>DO538/DO663*400</f>
        <v>13.429101767411829</v>
      </c>
      <c r="DP666" s="130">
        <f t="shared" si="3944"/>
        <v>5.4888876232353612</v>
      </c>
      <c r="DQ666" s="86">
        <f>DQ538/DQ663*400</f>
        <v>13.982680543417811</v>
      </c>
      <c r="DR666" s="130">
        <f t="shared" si="3944"/>
        <v>7.6565741184809077</v>
      </c>
      <c r="DS666" s="86">
        <f>DS538/DS663*400</f>
        <v>11.168398508764971</v>
      </c>
      <c r="DT666" s="130">
        <f t="shared" si="3944"/>
        <v>-8.2480777729449066</v>
      </c>
      <c r="DU666" s="86">
        <f>DU538/DU663*400</f>
        <v>11.71964461994077</v>
      </c>
      <c r="DV666" s="130">
        <f t="shared" si="3944"/>
        <v>-9.9330475964361948</v>
      </c>
      <c r="DW666" s="86">
        <f>DW538/DW663*400</f>
        <v>8.8494880947711128</v>
      </c>
      <c r="DX666" s="86">
        <f t="shared" ref="DX666:DY666" si="3945">DX538/DX663*400</f>
        <v>17.705080282596544</v>
      </c>
      <c r="DY666" s="86">
        <f t="shared" si="3945"/>
        <v>11.979615836926696</v>
      </c>
      <c r="DZ666" s="130">
        <f t="shared" si="3944"/>
        <v>-14.325326966252083</v>
      </c>
      <c r="EA666" s="86">
        <f t="shared" ref="EA666:EC666" si="3946">EA538/EA663*400</f>
        <v>9.6317502647162634</v>
      </c>
      <c r="EB666" s="130">
        <f t="shared" ref="EB666:EB669" si="3947">IF(ISERROR((EA666/DS666-1)*100),"NA",IF(((EA666/DS666-1)*100)&gt;100,"NM",IF(((EA666/DS666-1)*100)&lt;-50,"NM",(EA666/DS666-1)*100)))</f>
        <v>-13.758895179490105</v>
      </c>
      <c r="EC666" s="86">
        <f t="shared" si="3946"/>
        <v>11.724029545811725</v>
      </c>
      <c r="ED666" s="130">
        <f t="shared" ref="ED666:ED669" si="3948">IF(ISERROR((EC666/DU666-1)*100),"NA",IF(((EC666/DU666-1)*100)&gt;100,"NM",IF(((EC666/DU666-1)*100)&lt;-50,"NM",(EC666/DU666-1)*100)))</f>
        <v>3.7415177790411924E-2</v>
      </c>
      <c r="EE666" s="86">
        <f t="shared" ref="EE666:EG666" si="3949">EE538/EE663*400</f>
        <v>13.743134276031318</v>
      </c>
      <c r="EF666" s="130">
        <f t="shared" ref="EF666:EF669" si="3950">IF(ISERROR((EE666/DW666-1)*100),"NA",IF(((EE666/DW666-1)*100)&gt;100,"NM",IF(((EE666/DW666-1)*100)&lt;-50,"NM",(EE666/DW666-1)*100)))</f>
        <v>55.298635682121656</v>
      </c>
      <c r="EG666" s="86">
        <f t="shared" si="3949"/>
        <v>12.653724185938589</v>
      </c>
      <c r="EH666" s="130">
        <f t="shared" ref="EH666:EH669" si="3951">IF(ISERROR((EG666/DY666-1)*100),"NA",IF(((EG666/DY666-1)*100)&gt;100,"NM",IF(((EG666/DY666-1)*100)&lt;-50,"NM",(EG666/DY666-1)*100)))</f>
        <v>5.6271282667844869</v>
      </c>
      <c r="EI666" s="86">
        <f t="shared" ref="EI666:EK666" si="3952">EI538/EI663*400</f>
        <v>13.580152085413626</v>
      </c>
      <c r="EJ666" s="130">
        <f t="shared" ref="EJ666:EJ669" si="3953">IF(ISERROR((EI666/EA666-1)*100),"NA",IF(((EI666/EA666-1)*100)&gt;100,"NM",IF(((EI666/EA666-1)*100)&lt;-50,"NM",(EI666/EA666-1)*100)))</f>
        <v>40.993606688095305</v>
      </c>
      <c r="EK666" s="86">
        <f t="shared" si="3952"/>
        <v>12.691681496346218</v>
      </c>
      <c r="EL666" s="130">
        <f t="shared" ref="EL666:EL669" si="3954">IF(ISERROR((EK666/EC666-1)*100),"NA",IF(((EK666/EC666-1)*100)&gt;100,"NM",IF(((EK666/EC666-1)*100)&lt;-50,"NM",(EK666/EC666-1)*100)))</f>
        <v>8.2535782322399331</v>
      </c>
      <c r="EM666" s="86">
        <f t="shared" ref="EM666" si="3955">EM538/EM663*400</f>
        <v>13.582647718773371</v>
      </c>
      <c r="EN666" s="130">
        <f t="shared" ref="EN666:EN669" si="3956">IF(ISERROR((EM666/EE666-1)*100),"NA",IF(((EM666/EE666-1)*100)&gt;100,"NM",IF(((EM666/EE666-1)*100)&lt;-50,"NM",(EM666/EE666-1)*100)))</f>
        <v>-1.1677580531090581</v>
      </c>
      <c r="EO666" s="86">
        <f t="shared" ref="EO666" si="3957">EO538/EO663*400</f>
        <v>12.778160961266199</v>
      </c>
      <c r="EP666" s="130">
        <f t="shared" ref="EP666:EP669" si="3958">IF(ISERROR((EO666/EG666-1)*100),"NA",IF(((EO666/EG666-1)*100)&gt;100,"NM",IF(((EO666/EG666-1)*100)&lt;-50,"NM",(EO666/EG666-1)*100)))</f>
        <v>0.98340040844171472</v>
      </c>
      <c r="EQ666" s="86">
        <f t="shared" ref="EQ666:EW666" si="3959">EQ538/EQ663*400</f>
        <v>12.165406872833239</v>
      </c>
      <c r="ER666" s="130">
        <f t="shared" ref="ER666:ER669" si="3960">IF(ISERROR((EQ666/EI666-1)*100),"NA",IF(((EQ666/EI666-1)*100)&gt;100,"NM",IF(((EQ666/EI666-1)*100)&lt;-50,"NM",(EQ666/EI666-1)*100)))</f>
        <v>-10.417742037660672</v>
      </c>
      <c r="ES666" s="86">
        <f t="shared" si="3959"/>
        <v>12.665100846100128</v>
      </c>
      <c r="ET666" s="130">
        <f t="shared" ref="ET666:ET669" si="3961">IF(ISERROR((ES666/EK666-1)*100),"NA",IF(((ES666/EK666-1)*100)&gt;100,"NM",IF(((ES666/EK666-1)*100)&lt;-50,"NM",(ES666/EK666-1)*100)))</f>
        <v>-0.20943363772359946</v>
      </c>
      <c r="EU666" s="86">
        <f t="shared" si="3959"/>
        <v>12.93384289423404</v>
      </c>
      <c r="EV666" s="130">
        <f t="shared" ref="EV666:EV669" si="3962">IF(ISERROR((EU666/EM666-1)*100),"NA",IF(((EU666/EM666-1)*100)&gt;100,"NM",IF(((EU666/EM666-1)*100)&lt;-50,"NM",(EU666/EM666-1)*100)))</f>
        <v>-4.77671833925708</v>
      </c>
      <c r="EW666" s="86">
        <f t="shared" si="3959"/>
        <v>13.086345646036476</v>
      </c>
      <c r="EX666" s="130">
        <f t="shared" ref="EX666:EX669" si="3963">IF(ISERROR((EW666/EO666-1)*100),"NA",IF(((EW666/EO666-1)*100)&gt;100,"NM",IF(((EW666/EO666-1)*100)&lt;-50,"NM",(EW666/EO666-1)*100)))</f>
        <v>2.4118078157292056</v>
      </c>
      <c r="EY666" s="66"/>
      <c r="EZ666" s="558"/>
      <c r="FA666" s="66"/>
      <c r="FB666" s="86">
        <f>FB538/FB663*100</f>
        <v>11.333444556244721</v>
      </c>
      <c r="FC666" s="71"/>
      <c r="FD666" s="86">
        <f>FD538/FD663*100</f>
        <v>9.8897570125140923</v>
      </c>
      <c r="FE666" s="70">
        <f>IF(ISERROR((FD666/FB666-1)*100),"NA",IF(((FD666/FB666-1)*100)&gt;100,"NM",IF(((FD666/FB666-1)*100)&lt;-50,"NM",(FD666/FB666-1)*100)))</f>
        <v>-12.738294492605585</v>
      </c>
      <c r="FF666" s="86">
        <f>FF538/FF663*100</f>
        <v>14.280633187547172</v>
      </c>
      <c r="FG666" s="70">
        <f>IF(ISERROR((FF666/FD666-1)*100),"NA",IF(((FF666/FD666-1)*100)&gt;100,"NM",IF(((FF666/FD666-1)*100)&lt;-50,"NM",(FF666/FD666-1)*100)))</f>
        <v>44.398221002569073</v>
      </c>
      <c r="FH666" s="86">
        <f>FH538/FH663*100</f>
        <v>12.829595430936697</v>
      </c>
      <c r="FI666" s="70">
        <f>IF(ISERROR((FH666/FF666-1)*100),"NA",IF(((FH666/FF666-1)*100)&gt;100,"NM",IF(((FH666/FF666-1)*100)&lt;-50,"NM",(FH666/FF666-1)*100)))</f>
        <v>-10.160878285675679</v>
      </c>
      <c r="FJ666" s="86">
        <f>FJ538/FJ663*100</f>
        <v>8.9092277088937681</v>
      </c>
      <c r="FK666" s="70">
        <f>IF(ISERROR((FJ666/FH666-1)*100),"NA",IF(((FJ666/FH666-1)*100)&gt;100,"NM",IF(((FJ666/FH666-1)*100)&lt;-50,"NM",(FJ666/FH666-1)*100)))</f>
        <v>-30.557220164476384</v>
      </c>
      <c r="FL666" s="86">
        <f>FL538/FL663*100</f>
        <v>12.431842966194111</v>
      </c>
      <c r="FM666" s="61">
        <f>IF(ISERROR((FL666/FJ666-1)*100),"NA",IF(((FL666/FJ666-1)*100)&gt;100,"NM",IF(((FL666/FJ666-1)*100)&lt;-50,"NM",(FL666/FJ666-1)*100)))</f>
        <v>39.538951886748166</v>
      </c>
      <c r="FN666" s="86">
        <f>FN538/FN663*100</f>
        <v>14.101718654255782</v>
      </c>
      <c r="FO666" s="61">
        <f>IF(ISERROR((FN666/FL666-1)*100),"NA",IF(((FN666/FL666-1)*100)&gt;100,"NM",IF(((FN666/FL666-1)*100)&lt;-50,"NM",(FN666/FL666-1)*100)))</f>
        <v>13.432245666250452</v>
      </c>
      <c r="FP666" s="86">
        <f>FP538/FP663*100</f>
        <v>17.112735310895609</v>
      </c>
      <c r="FQ666" s="61">
        <f t="shared" si="3844"/>
        <v>33.38483978715918</v>
      </c>
      <c r="FR666" s="86">
        <f>FR538/FR663*100</f>
        <v>14.633741958562105</v>
      </c>
      <c r="FS666" s="61">
        <f>IF(ISERROR((FR666/FP666-1)*100),"NA",IF(((FR666/FP666-1)*100)&gt;100,"NM",IF(((FR666/FP666-1)*100)&lt;-50,"NM",(FR666/FP666-1)*100)))</f>
        <v>-14.486248441855686</v>
      </c>
      <c r="FT666" s="86">
        <f>FT538/FT663*100</f>
        <v>11.332060709302421</v>
      </c>
      <c r="FU666" s="61">
        <f>IF(ISERROR((FT666/FR666-1)*100),"NA",IF(((FT666/FR666-1)*100)&gt;100,"NM",IF(((FT666/FR666-1)*100)&lt;-50,"NM",(FT666/FR666-1)*100)))</f>
        <v>-22.562111991648802</v>
      </c>
      <c r="FV666" s="86">
        <f>FV538/FV663*100</f>
        <v>6.9514159382849954</v>
      </c>
      <c r="FW666" s="61">
        <f>IF(ISERROR((FV666/FT666-1)*100),"NA",IF(((FV666/FT666-1)*100)&gt;100,"NM",IF(((FV666/FT666-1)*100)&lt;-50,"NM",(FV666/FT666-1)*100)))</f>
        <v>-38.657088797815753</v>
      </c>
      <c r="FX666" s="86">
        <f>FX538/FX663*100</f>
        <v>8.5990553995404682</v>
      </c>
      <c r="FY666" s="61">
        <f>IF(ISERROR((FX666/FV666-1)*100),"NA",IF(((FX666/FV666-1)*100)&gt;100,"NM",IF(((FX666/FV666-1)*100)&lt;-50,"NM",(FX666/FV666-1)*100)))</f>
        <v>23.702213705571573</v>
      </c>
      <c r="FZ666" s="86">
        <f>FZ538/FZ663*100</f>
        <v>8.9442802615820671</v>
      </c>
      <c r="GA666" s="61">
        <f>IF(ISERROR((FZ666/FX666-1)*100),"NA",IF(((FZ666/FX666-1)*100)&gt;100,"NM",IF(((FZ666/FX666-1)*100)&lt;-50,"NM",(FZ666/FX666-1)*100)))</f>
        <v>4.0146835437302464</v>
      </c>
      <c r="GB666" s="86">
        <f>GB538/GB663*100</f>
        <v>11.092278468060877</v>
      </c>
      <c r="GC666" s="61">
        <f>IF(ISERROR((GB666/FZ666-1)*100),"NA",IF(((GB666/FZ666-1)*100)&gt;100,"NM",IF(((GB666/FZ666-1)*100)&lt;-50,"NM",(GB666/FZ666-1)*100)))</f>
        <v>24.015327602210789</v>
      </c>
      <c r="GD666" s="86">
        <f>GD538/GD663*100</f>
        <v>11.859538589826739</v>
      </c>
      <c r="GE666" s="61">
        <f>IF(ISERROR((GD666/GB666-1)*100),"NA",IF(((GD666/GB666-1)*100)&gt;100,"NM",IF(((GD666/GB666-1)*100)&lt;-50,"NM",(GD666/GB666-1)*100)))</f>
        <v>6.9170650914968546</v>
      </c>
      <c r="GF666" s="86">
        <f>GF538/GF663*100</f>
        <v>12.014747343309477</v>
      </c>
      <c r="GG666" s="61">
        <f>IF(ISERROR((GF666/GD666-1)*100),"NA",IF(((GF666/GD666-1)*100)&gt;100,"NM",IF(((GF666/GD666-1)*100)&lt;-50,"NM",(GF666/GD666-1)*100)))</f>
        <v>1.3087250596399924</v>
      </c>
      <c r="GH666" s="86">
        <f>GH538/GH663*100</f>
        <v>13.165403114045816</v>
      </c>
      <c r="GI666" s="61">
        <f>IF(ISERROR((GH666/GF666-1)*100),"NA",IF(((GH666/GF666-1)*100)&gt;100,"NM",IF(((GH666/GF666-1)*100)&lt;-50,"NM",(GH666/GF666-1)*100)))</f>
        <v>9.5770284456051726</v>
      </c>
      <c r="GJ666" s="86">
        <f>GJ538/GJ663*100</f>
        <v>10.914384639597104</v>
      </c>
      <c r="GK666" s="61">
        <f>IF(ISERROR((GJ666/GH666-1)*100),"NA",IF(((GJ666/GH666-1)*100)&gt;100,"NM",IF(((GJ666/GH666-1)*100)&lt;-50,"NM",(GJ666/GH666-1)*100)))</f>
        <v>-17.097983669388451</v>
      </c>
      <c r="GL666" s="86">
        <f>GL538/GL663*100</f>
        <v>11.914032082230182</v>
      </c>
      <c r="GM666" s="61">
        <f>IF(ISERROR((GL666/GJ666-1)*100),"NA",IF(((GL666/GJ666-1)*100)&gt;100,"NM",IF(((GL666/GJ666-1)*100)&lt;-50,"NM",(GL666/GJ666-1)*100)))</f>
        <v>9.1589904116663021</v>
      </c>
      <c r="GN666" s="86">
        <f>GN538/GN663*100</f>
        <v>12.99807435935417</v>
      </c>
      <c r="GO666" s="61">
        <f>IF(ISERROR((GN666/GL666-1)*100),"NA",IF(((GN666/GL666-1)*100)&gt;100,"NM",IF(((GN666/GL666-1)*100)&lt;-50,"NM",(GN666/GL666-1)*100)))</f>
        <v>9.0988698842001661</v>
      </c>
      <c r="GP666" s="86">
        <f>GP538/GP663*100</f>
        <v>12.743873297708742</v>
      </c>
      <c r="GQ666" s="61">
        <f>IF(ISERROR((GP666/GN666-1)*100),"NA",IF(((GP666/GN666-1)*100)&gt;100,"NM",IF(((GP666/GN666-1)*100)&lt;-50,"NM",(GP666/GN666-1)*100)))</f>
        <v>-1.9556824697074537</v>
      </c>
      <c r="GR666" s="86">
        <f>GR538/GR663*100</f>
        <v>12.74305089020776</v>
      </c>
      <c r="GS666" s="61">
        <f>IF(ISERROR((GR666/GP666-1)*100),"NA",IF(((GR666/GP666-1)*100)&gt;100,"NM",IF(((GR666/GP666-1)*100)&lt;-50,"NM",(GR666/GP666-1)*100)))</f>
        <v>-6.4533559128387985E-3</v>
      </c>
      <c r="GT666" s="86">
        <f>GT538/GT663*100</f>
        <v>13.0822296352371</v>
      </c>
      <c r="GU666" s="61">
        <f>IF(ISERROR((GT666/GR666-1)*100),"NA",IF(((GT666/GR666-1)*100)&gt;100,"NM",IF(((GT666/GR666-1)*100)&lt;-50,"NM",(GT666/GR666-1)*100)))</f>
        <v>2.6616761398165378</v>
      </c>
      <c r="GV666" s="86">
        <f>GV538/GV663*100</f>
        <v>12.879724468966602</v>
      </c>
      <c r="GW666" s="61">
        <f>IF(ISERROR((GV666/GT666-1)*100),"NA",IF(((GV666/GT666-1)*100)&gt;100,"NM",IF(((GV666/GT666-1)*100)&lt;-50,"NM",(GV666/GT666-1)*100)))</f>
        <v>-1.5479407709298121</v>
      </c>
      <c r="GX666" s="86">
        <f>GX538/GX663*100</f>
        <v>12.726367108632225</v>
      </c>
      <c r="GY666" s="61">
        <f>IF(ISERROR((GX666/GV666-1)*100),"NA",IF(((GX666/GV666-1)*100)&gt;100,"NM",IF(((GX666/GV666-1)*100)&lt;-50,"NM",(GX666/GV666-1)*100)))</f>
        <v>-1.1906882069091518</v>
      </c>
      <c r="GZ666" s="61">
        <f t="shared" si="3732"/>
        <v>-0.42161328026210088</v>
      </c>
      <c r="HA666" s="61"/>
      <c r="HB666" s="452"/>
      <c r="HC666"/>
      <c r="HD666"/>
      <c r="HE666"/>
      <c r="HF666"/>
      <c r="HG666"/>
      <c r="HH666"/>
    </row>
    <row r="667" spans="1:216" s="5" customFormat="1" ht="12.75" customHeight="1" x14ac:dyDescent="0.2">
      <c r="A667" s="7"/>
      <c r="B667" s="7" t="s">
        <v>344</v>
      </c>
      <c r="C667" s="86"/>
      <c r="D667" s="70"/>
      <c r="E667" s="86"/>
      <c r="F667" s="71"/>
      <c r="G667" s="86"/>
      <c r="H667" s="71"/>
      <c r="I667" s="86"/>
      <c r="J667" s="71"/>
      <c r="K667" s="86"/>
      <c r="L667" s="61"/>
      <c r="M667" s="86"/>
      <c r="N667" s="61"/>
      <c r="O667" s="86"/>
      <c r="P667" s="61"/>
      <c r="Q667" s="86"/>
      <c r="R667" s="61"/>
      <c r="S667" s="86"/>
      <c r="T667" s="61"/>
      <c r="U667" s="86"/>
      <c r="V667" s="61"/>
      <c r="W667" s="86"/>
      <c r="X667" s="61"/>
      <c r="Y667" s="86"/>
      <c r="Z667" s="61"/>
      <c r="AA667" s="86"/>
      <c r="AB667" s="61"/>
      <c r="AC667" s="86"/>
      <c r="AD667" s="61"/>
      <c r="AE667" s="86"/>
      <c r="AF667" s="61"/>
      <c r="AG667" s="86"/>
      <c r="AH667" s="61"/>
      <c r="AI667" s="86"/>
      <c r="AJ667" s="61"/>
      <c r="AK667" s="86"/>
      <c r="AL667" s="61"/>
      <c r="AM667" s="86"/>
      <c r="AN667" s="61"/>
      <c r="AO667" s="86"/>
      <c r="AP667" s="61"/>
      <c r="AQ667" s="86"/>
      <c r="AR667" s="61"/>
      <c r="AS667" s="86"/>
      <c r="AT667" s="61"/>
      <c r="AU667" s="86"/>
      <c r="AV667" s="61"/>
      <c r="AW667" s="86"/>
      <c r="AX667" s="61"/>
      <c r="AY667" s="86"/>
      <c r="AZ667" s="61"/>
      <c r="BA667" s="86"/>
      <c r="BB667" s="61"/>
      <c r="BC667" s="86"/>
      <c r="BD667" s="61"/>
      <c r="BE667" s="86"/>
      <c r="BF667" s="61"/>
      <c r="BG667" s="86">
        <f>BG$541/BG$663*400</f>
        <v>11.801010074669033</v>
      </c>
      <c r="BH667" s="61"/>
      <c r="BI667" s="86">
        <f>BI$541/BI$663*400</f>
        <v>12.025794059134252</v>
      </c>
      <c r="BJ667" s="61"/>
      <c r="BK667" s="86">
        <f>BK$541/BK$663*400</f>
        <v>11.271523122649471</v>
      </c>
      <c r="BL667" s="61"/>
      <c r="BM667" s="86">
        <f>BM$541/BM$663*400</f>
        <v>10.308397155361043</v>
      </c>
      <c r="BN667" s="61"/>
      <c r="BO667" s="86">
        <f>BO$541/BO$663*400</f>
        <v>10.399125015190712</v>
      </c>
      <c r="BP667" s="61"/>
      <c r="BQ667" s="86">
        <f>BQ$541/BQ$663*400</f>
        <v>10.869067535440701</v>
      </c>
      <c r="BR667" s="61"/>
      <c r="BS667" s="86">
        <f>BS$541/BS$663*400</f>
        <v>10.541023328204316</v>
      </c>
      <c r="BT667" s="61"/>
      <c r="BU667" s="86">
        <f>BU$541/BU$663*400</f>
        <v>-4.6028419199029509</v>
      </c>
      <c r="BV667" s="61"/>
      <c r="BW667" s="86">
        <f>BW$541/BW$663*400</f>
        <v>6.1901937993690277</v>
      </c>
      <c r="BX667" s="61">
        <f t="shared" si="3870"/>
        <v>-40.473897656518318</v>
      </c>
      <c r="BY667" s="86">
        <f>BY$541/BY$663*400</f>
        <v>7.86713535514538</v>
      </c>
      <c r="BZ667" s="61">
        <f t="shared" si="3871"/>
        <v>-27.619040644534955</v>
      </c>
      <c r="CA667" s="86">
        <f>CA$541/CA$663*400</f>
        <v>9.5527833569809601</v>
      </c>
      <c r="CB667" s="61">
        <f t="shared" si="3872"/>
        <v>-9.375180572640895</v>
      </c>
      <c r="CC667" s="86">
        <f>CC$541/CC$663*400</f>
        <v>10.174637255036034</v>
      </c>
      <c r="CD667" s="61" t="str">
        <f t="shared" si="3873"/>
        <v>NM</v>
      </c>
      <c r="CE667" s="86">
        <f>CE$541/CE$663*400</f>
        <v>9.3206972445553227</v>
      </c>
      <c r="CF667" s="61">
        <f>IF(ISERROR((CE667/BW667-1)*100),"NA",IF(((CE667/BW667-1)*100)&gt;100,"NM",IF(((CE667/BW667-1)*100)&lt;-50,"NM",(CE667/BW667-1)*100)))</f>
        <v>50.571977980808768</v>
      </c>
      <c r="CG667" s="86">
        <f>CG$541/CG$663*400</f>
        <v>9.5516526480501778</v>
      </c>
      <c r="CH667" s="61">
        <f>IF(ISERROR((CG667/BY667-1)*100),"NA",IF(((CG667/BY667-1)*100)&gt;100,"NM",IF(((CG667/BY667-1)*100)&lt;-50,"NM",(CG667/BY667-1)*100)))</f>
        <v>21.412079707044374</v>
      </c>
      <c r="CI667" s="86">
        <f>CI$541/CI$663*400</f>
        <v>6.9371805413102994</v>
      </c>
      <c r="CJ667" s="61">
        <f>IF(ISERROR((CI667/CA667-1)*100),"NA",IF(((CI667/CA667-1)*100)&gt;100,"NM",IF(((CI667/CA667-1)*100)&lt;-50,"NM",(CI667/CA667-1)*100)))</f>
        <v>-27.380531075890424</v>
      </c>
      <c r="CK667" s="86">
        <f>CK$541/CK$663*400</f>
        <v>8.8705940308850906</v>
      </c>
      <c r="CL667" s="61">
        <f>IF(ISERROR((CK667/CC667-1)*100),"NA",IF(((CK667/CC667-1)*100)&gt;100,"NM",IF(((CK667/CC667-1)*100)&lt;-50,"NM",(CK667/CC667-1)*100)))</f>
        <v>-12.816606542955567</v>
      </c>
      <c r="CM667" s="86">
        <f>CM$541/CM$663*400</f>
        <v>11.079274116523406</v>
      </c>
      <c r="CN667" s="61">
        <f>IF(ISERROR((CM667/CE667-1)*100),"NA",IF(((CM667/CE667-1)*100)&gt;100,"NM",IF(((CM667/CE667-1)*100)&lt;-50,"NM",(CM667/CE667-1)*100)))</f>
        <v>18.867439053396517</v>
      </c>
      <c r="CO667" s="86">
        <f>CO$541/CO$663*400</f>
        <v>11.54343220809443</v>
      </c>
      <c r="CP667" s="61">
        <f>IF(ISERROR((CO667/CG667-1)*100),"NA",IF(((CO667/CG667-1)*100)&gt;100,"NM",IF(((CO667/CG667-1)*100)&lt;-50,"NM",(CO667/CG667-1)*100)))</f>
        <v>20.852721863277178</v>
      </c>
      <c r="CQ667" s="86">
        <f>CQ$541/CQ$663*400</f>
        <v>11.402842765074597</v>
      </c>
      <c r="CR667" s="61">
        <f>IF(ISERROR((CQ667/CI667-1)*100),"NA",IF(((CQ667/CI667-1)*100)&gt;100,"NM",IF(((CQ667/CI667-1)*100)&lt;-50,"NM",(CQ667/CI667-1)*100)))</f>
        <v>64.372870176459628</v>
      </c>
      <c r="CS667" s="86">
        <f>CS$541/CS$663*400</f>
        <v>10.191317144959529</v>
      </c>
      <c r="CT667" s="61">
        <f>IF(ISERROR((CS667/CK667-1)*100),"NA",IF(((CS667/CK667-1)*100)&gt;100,"NM",IF(((CS667/CK667-1)*100)&lt;-50,"NM",(CS667/CK667-1)*100)))</f>
        <v>14.888778693693183</v>
      </c>
      <c r="CU667" s="86">
        <f>CU$541/CU$663*400</f>
        <v>11.205124527941106</v>
      </c>
      <c r="CV667" s="61">
        <f>IF(ISERROR((CU667/CM667-1)*100),"NA",IF(((CU667/CM667-1)*100)&gt;100,"NM",IF(((CU667/CM667-1)*100)&lt;-50,"NM",(CU667/CM667-1)*100)))</f>
        <v>1.1359084547787113</v>
      </c>
      <c r="CW667" s="86">
        <f>CW$541/CW$663*400</f>
        <v>11.910388505529824</v>
      </c>
      <c r="CX667" s="61">
        <f>IF(ISERROR((CW667/CO667-1)*100),"NA",IF(((CW667/CO667-1)*100)&gt;100,"NM",IF(((CW667/CO667-1)*100)&lt;-50,"NM",(CW667/CO667-1)*100)))</f>
        <v>3.178918460473823</v>
      </c>
      <c r="CY667" s="86">
        <f>CY$541/CY$663*400</f>
        <v>13.388811835413778</v>
      </c>
      <c r="CZ667" s="61">
        <f>IF(ISERROR((CY667/CQ667-1)*100),"NA",IF(((CY667/CQ667-1)*100)&gt;100,"NM",IF(((CY667/CQ667-1)*100)&lt;-50,"NM",(CY667/CQ667-1)*100)))</f>
        <v>17.416438262412438</v>
      </c>
      <c r="DA667" s="86">
        <f>DA$541/DA$663*400</f>
        <v>11.203975604246668</v>
      </c>
      <c r="DB667" s="61">
        <f>IF(ISERROR((DA667/CS667-1)*100),"NA",IF(((DA667/CS667-1)*100)&gt;100,"NM",IF(((DA667/CS667-1)*100)&lt;-50,"NM",(DA667/CS667-1)*100)))</f>
        <v>9.9364826438355536</v>
      </c>
      <c r="DC667" s="86">
        <f>DC$541/DC$663*400</f>
        <v>10.157711841753542</v>
      </c>
      <c r="DD667" s="61">
        <f>IF(ISERROR((DC667/CU667-1)*100),"NA",IF(((DC667/CU667-1)*100)&gt;100,"NM",IF(((DC667/CU667-1)*100)&lt;-50,"NM",(DC667/CU667-1)*100)))</f>
        <v>-9.3476220061252668</v>
      </c>
      <c r="DE667" s="86">
        <f>DE$541/DE$663*400</f>
        <v>12.367319973574102</v>
      </c>
      <c r="DF667" s="61">
        <f>IF(ISERROR((DE667/CW667-1)*100),"NA",IF(((DE667/CW667-1)*100)&gt;100,"NM",IF(((DE667/CW667-1)*100)&lt;-50,"NM",(DE667/CW667-1)*100)))</f>
        <v>3.8364111114606469</v>
      </c>
      <c r="DG667" s="86">
        <f>DG$541/DG$663*400</f>
        <v>12.730347309543424</v>
      </c>
      <c r="DH667" s="61">
        <f>IF(ISERROR((DG667/CY667-1)*100),"NA",IF(((DG667/CY667-1)*100)&gt;100,"NM",IF(((DG667/CY667-1)*100)&lt;-50,"NM",(DG667/CY667-1)*100)))</f>
        <v>-4.9180206127678705</v>
      </c>
      <c r="DI667" s="86">
        <f>DI$541/DI$663*400</f>
        <v>12.988227293977644</v>
      </c>
      <c r="DJ667" s="61">
        <f>IF(ISERROR((DI667/DA667-1)*100),"NA",IF(((DI667/DA667-1)*100)&gt;100,"NM",IF(((DI667/DA667-1)*100)&lt;-50,"NM",(DI667/DA667-1)*100)))</f>
        <v>15.925165787175466</v>
      </c>
      <c r="DK667" s="86">
        <f>DK$541/DK$663*400</f>
        <v>12.172386406387158</v>
      </c>
      <c r="DL667" s="61">
        <f>IF(ISERROR((DK667/DC667-1)*100),"NA",IF(((DK667/DC667-1)*100)&gt;100,"NM",IF(((DK667/DC667-1)*100)&lt;-50,"NM",(DK667/DC667-1)*100)))</f>
        <v>19.833940911300928</v>
      </c>
      <c r="DM667" s="86">
        <f>DM$541/DM$663*400</f>
        <v>13.012147416100472</v>
      </c>
      <c r="DN667" s="130">
        <f t="shared" si="3944"/>
        <v>5.2139626362397662</v>
      </c>
      <c r="DO667" s="86">
        <f>DO$541/DO$663*400</f>
        <v>13.429101767411829</v>
      </c>
      <c r="DP667" s="130">
        <f t="shared" si="3944"/>
        <v>5.4888876232353612</v>
      </c>
      <c r="DQ667" s="86">
        <f>DQ$541/DQ$663*400</f>
        <v>13.982680543417811</v>
      </c>
      <c r="DR667" s="130">
        <f t="shared" si="3944"/>
        <v>7.6565741184809077</v>
      </c>
      <c r="DS667" s="86">
        <f>DS$541/DS$663*400</f>
        <v>11.168398508764971</v>
      </c>
      <c r="DT667" s="130">
        <f t="shared" si="3944"/>
        <v>-8.2480777729449066</v>
      </c>
      <c r="DU667" s="86">
        <f>DU$541/DU$663*400</f>
        <v>11.71964461994077</v>
      </c>
      <c r="DV667" s="130">
        <f t="shared" si="3944"/>
        <v>-9.9330475964361948</v>
      </c>
      <c r="DW667" s="86">
        <f>DW$541/DW$663*400</f>
        <v>8.8494880947711128</v>
      </c>
      <c r="DX667" s="86">
        <f t="shared" ref="DX667:EM667" si="3964">DX$541/DX$663*400</f>
        <v>17.705080282596544</v>
      </c>
      <c r="DY667" s="86">
        <f t="shared" si="3964"/>
        <v>11.979615836926696</v>
      </c>
      <c r="DZ667" s="130">
        <f t="shared" si="3944"/>
        <v>-14.325326966252083</v>
      </c>
      <c r="EA667" s="86">
        <f t="shared" si="3964"/>
        <v>9.6317502647162634</v>
      </c>
      <c r="EB667" s="130">
        <f t="shared" si="3947"/>
        <v>-13.758895179490105</v>
      </c>
      <c r="EC667" s="86">
        <f t="shared" si="3964"/>
        <v>11.724029545811725</v>
      </c>
      <c r="ED667" s="130">
        <f t="shared" si="3948"/>
        <v>3.7415177790411924E-2</v>
      </c>
      <c r="EE667" s="86">
        <f t="shared" si="3964"/>
        <v>13.743134276031318</v>
      </c>
      <c r="EF667" s="130">
        <f t="shared" si="3950"/>
        <v>55.298635682121656</v>
      </c>
      <c r="EG667" s="86">
        <f t="shared" si="3964"/>
        <v>12.653724185938589</v>
      </c>
      <c r="EH667" s="130">
        <f t="shared" si="3951"/>
        <v>5.6271282667844869</v>
      </c>
      <c r="EI667" s="86">
        <f t="shared" si="3964"/>
        <v>13.580152085413626</v>
      </c>
      <c r="EJ667" s="130">
        <f t="shared" si="3953"/>
        <v>40.993606688095305</v>
      </c>
      <c r="EK667" s="86">
        <f t="shared" si="3964"/>
        <v>12.691681496346218</v>
      </c>
      <c r="EL667" s="130">
        <f t="shared" si="3954"/>
        <v>8.2535782322399331</v>
      </c>
      <c r="EM667" s="86">
        <f t="shared" si="3964"/>
        <v>13.582647718773371</v>
      </c>
      <c r="EN667" s="130">
        <f t="shared" si="3956"/>
        <v>-1.1677580531090581</v>
      </c>
      <c r="EO667" s="86">
        <f t="shared" ref="EO667" si="3965">EO$541/EO$663*400</f>
        <v>12.778160961266199</v>
      </c>
      <c r="EP667" s="130">
        <f t="shared" si="3958"/>
        <v>0.98340040844171472</v>
      </c>
      <c r="EQ667" s="86">
        <f t="shared" ref="EQ667:EW667" si="3966">EQ$541/EQ$663*400</f>
        <v>12.165406872833239</v>
      </c>
      <c r="ER667" s="130">
        <f t="shared" si="3960"/>
        <v>-10.417742037660672</v>
      </c>
      <c r="ES667" s="86">
        <f t="shared" si="3966"/>
        <v>12.665100846100128</v>
      </c>
      <c r="ET667" s="130">
        <f t="shared" si="3961"/>
        <v>-0.20943363772359946</v>
      </c>
      <c r="EU667" s="86">
        <f t="shared" si="3966"/>
        <v>12.93384289423404</v>
      </c>
      <c r="EV667" s="130">
        <f t="shared" si="3962"/>
        <v>-4.77671833925708</v>
      </c>
      <c r="EW667" s="86">
        <f t="shared" si="3966"/>
        <v>13.086345646036476</v>
      </c>
      <c r="EX667" s="130">
        <f t="shared" si="3963"/>
        <v>2.4118078157292056</v>
      </c>
      <c r="EY667" s="66"/>
      <c r="EZ667" s="558"/>
      <c r="FA667" s="66"/>
      <c r="FB667" s="86"/>
      <c r="FC667" s="71"/>
      <c r="FD667" s="86"/>
      <c r="FE667" s="70"/>
      <c r="FF667" s="86"/>
      <c r="FG667" s="70"/>
      <c r="FH667" s="86"/>
      <c r="FI667" s="70"/>
      <c r="FJ667" s="86"/>
      <c r="FK667" s="70"/>
      <c r="FL667" s="86"/>
      <c r="FM667" s="61"/>
      <c r="FN667" s="86"/>
      <c r="FO667" s="61"/>
      <c r="FP667" s="176"/>
      <c r="FQ667" s="61"/>
      <c r="FR667" s="176"/>
      <c r="FS667" s="61" t="str">
        <f>IF(ISERROR((FR667/FP667-1)*100),"NA",IF(((FR667/FP667-1)*100)&gt;100,"NM",IF(((FR667/FP667-1)*100)&lt;-50,"NM",(FR667/FP667-1)*100)))</f>
        <v>NA</v>
      </c>
      <c r="FT667" s="176"/>
      <c r="FU667" s="61" t="str">
        <f>IF(ISERROR((FT667/FR667-1)*100),"NA",IF(((FT667/FR667-1)*100)&gt;100,"NM",IF(((FT667/FR667-1)*100)&lt;-50,"NM",(FT667/FR667-1)*100)))</f>
        <v>NA</v>
      </c>
      <c r="FV667" s="86">
        <f>FV$541/FV$663*100</f>
        <v>6.9514159382849954</v>
      </c>
      <c r="FW667" s="61" t="str">
        <f>IF(ISERROR((FV667/FT667-1)*100),"NA",IF(((FV667/FT667-1)*100)&gt;100,"NM",IF(((FV667/FT667-1)*100)&lt;-50,"NM",(FV667/FT667-1)*100)))</f>
        <v>NA</v>
      </c>
      <c r="FX667" s="86">
        <f>FX$541/FX$663*100</f>
        <v>8.2844925051971288</v>
      </c>
      <c r="FY667" s="61">
        <f>IF(ISERROR((FX667/FV667-1)*100),"NA",IF(((FX667/FV667-1)*100)&gt;100,"NM",IF(((FX667/FV667-1)*100)&lt;-50,"NM",(FX667/FV667-1)*100)))</f>
        <v>19.177050815938102</v>
      </c>
      <c r="FZ667" s="86">
        <f>FZ$541/FZ$663*100</f>
        <v>8.6194566743923513</v>
      </c>
      <c r="GA667" s="61">
        <f>IF(ISERROR((FZ667/FX667-1)*100),"NA",IF(((FZ667/FX667-1)*100)&gt;100,"NM",IF(((FZ667/FX667-1)*100)&lt;-50,"NM",(FZ667/FX667-1)*100)))</f>
        <v>4.0432672126275548</v>
      </c>
      <c r="GB667" s="86">
        <f>GB$541/GB$663*100</f>
        <v>11.092278468060877</v>
      </c>
      <c r="GC667" s="61">
        <f>IF(ISERROR((GB667/FZ667-1)*100),"NA",IF(((GB667/FZ667-1)*100)&gt;100,"NM",IF(((GB667/FZ667-1)*100)&lt;-50,"NM",(GB667/FZ667-1)*100)))</f>
        <v>28.688836049435263</v>
      </c>
      <c r="GD667" s="86">
        <f>GD$541/GD$663*100</f>
        <v>11.859538589826739</v>
      </c>
      <c r="GE667" s="61">
        <f>IF(ISERROR((GD667/GB667-1)*100),"NA",IF(((GD667/GB667-1)*100)&gt;100,"NM",IF(((GD667/GB667-1)*100)&lt;-50,"NM",(GD667/GB667-1)*100)))</f>
        <v>6.9170650914968546</v>
      </c>
      <c r="GF667" s="86">
        <f>GF$541/GF$663*100</f>
        <v>12.014747343309477</v>
      </c>
      <c r="GG667" s="61">
        <f>IF(ISERROR((GF667/GD667-1)*100),"NA",IF(((GF667/GD667-1)*100)&gt;100,"NM",IF(((GF667/GD667-1)*100)&lt;-50,"NM",(GF667/GD667-1)*100)))</f>
        <v>1.3087250596399924</v>
      </c>
      <c r="GH667" s="86">
        <f>GH$541/GH$663*100</f>
        <v>13.165403114045816</v>
      </c>
      <c r="GI667" s="61">
        <f>IF(ISERROR((GH667/GF667-1)*100),"NA",IF(((GH667/GF667-1)*100)&gt;100,"NM",IF(((GH667/GF667-1)*100)&lt;-50,"NM",(GH667/GF667-1)*100)))</f>
        <v>9.5770284456051726</v>
      </c>
      <c r="GJ667" s="86">
        <f>GJ$541/GJ$663*100</f>
        <v>10.914384639597104</v>
      </c>
      <c r="GK667" s="61">
        <f>IF(ISERROR((GJ667/GH667-1)*100),"NA",IF(((GJ667/GH667-1)*100)&gt;100,"NM",IF(((GJ667/GH667-1)*100)&lt;-50,"NM",(GJ667/GH667-1)*100)))</f>
        <v>-17.097983669388451</v>
      </c>
      <c r="GL667" s="86">
        <f>GL$541/GL$663*100</f>
        <v>11.914032082230182</v>
      </c>
      <c r="GM667" s="61">
        <f>IF(ISERROR((GL667/GJ667-1)*100),"NA",IF(((GL667/GJ667-1)*100)&gt;100,"NM",IF(((GL667/GJ667-1)*100)&lt;-50,"NM",(GL667/GJ667-1)*100)))</f>
        <v>9.1589904116663021</v>
      </c>
      <c r="GN667" s="86">
        <f>GN$541/GN$663*100</f>
        <v>12.99807435935417</v>
      </c>
      <c r="GO667" s="61">
        <f>IF(ISERROR((GN667/GL667-1)*100),"NA",IF(((GN667/GL667-1)*100)&gt;100,"NM",IF(((GN667/GL667-1)*100)&lt;-50,"NM",(GN667/GL667-1)*100)))</f>
        <v>9.0988698842001661</v>
      </c>
      <c r="GP667" s="86">
        <f>GP$541/GP$663*100</f>
        <v>12.743873297708742</v>
      </c>
      <c r="GQ667" s="61">
        <f>IF(ISERROR((GP667/GN667-1)*100),"NA",IF(((GP667/GN667-1)*100)&gt;100,"NM",IF(((GP667/GN667-1)*100)&lt;-50,"NM",(GP667/GN667-1)*100)))</f>
        <v>-1.9556824697074537</v>
      </c>
      <c r="GR667" s="86">
        <f>GR$541/GR$663*100</f>
        <v>12.74305089020776</v>
      </c>
      <c r="GS667" s="61">
        <f>IF(ISERROR((GR667/GP667-1)*100),"NA",IF(((GR667/GP667-1)*100)&gt;100,"NM",IF(((GR667/GP667-1)*100)&lt;-50,"NM",(GR667/GP667-1)*100)))</f>
        <v>-6.4533559128387985E-3</v>
      </c>
      <c r="GT667" s="86">
        <f>GT$541/GT$663*100</f>
        <v>13.0822296352371</v>
      </c>
      <c r="GU667" s="61">
        <f>IF(ISERROR((GT667/GR667-1)*100),"NA",IF(((GT667/GR667-1)*100)&gt;100,"NM",IF(((GT667/GR667-1)*100)&lt;-50,"NM",(GT667/GR667-1)*100)))</f>
        <v>2.6616761398165378</v>
      </c>
      <c r="GV667" s="86">
        <f>GV$541/GV$663*100</f>
        <v>12.879724468966602</v>
      </c>
      <c r="GW667" s="61">
        <f>IF(ISERROR((GV667/GT667-1)*100),"NA",IF(((GV667/GT667-1)*100)&gt;100,"NM",IF(((GV667/GT667-1)*100)&lt;-50,"NM",(GV667/GT667-1)*100)))</f>
        <v>-1.5479407709298121</v>
      </c>
      <c r="GX667" s="86">
        <f>GX$541/GX$663*100</f>
        <v>12.726367108632225</v>
      </c>
      <c r="GY667" s="61">
        <f>IF(ISERROR((GX667/GV667-1)*100),"NA",IF(((GX667/GV667-1)*100)&gt;100,"NM",IF(((GX667/GV667-1)*100)&lt;-50,"NM",(GX667/GV667-1)*100)))</f>
        <v>-1.1906882069091518</v>
      </c>
      <c r="GZ667" s="61">
        <f t="shared" si="3732"/>
        <v>-0.42161328026210088</v>
      </c>
      <c r="HA667" s="61"/>
      <c r="HB667" s="452"/>
      <c r="HC667"/>
      <c r="HD667"/>
      <c r="HE667"/>
      <c r="HF667"/>
      <c r="HG667"/>
      <c r="HH667"/>
    </row>
    <row r="668" spans="1:216" s="5" customFormat="1" ht="12.75" customHeight="1" x14ac:dyDescent="0.2">
      <c r="A668" s="7" t="s">
        <v>406</v>
      </c>
      <c r="B668" s="7" t="s">
        <v>191</v>
      </c>
      <c r="C668" s="86">
        <f>C566/C663*400</f>
        <v>13.793523129506982</v>
      </c>
      <c r="D668" s="70"/>
      <c r="E668" s="86">
        <f>E566/E663*400</f>
        <v>13.965736107176951</v>
      </c>
      <c r="F668" s="71"/>
      <c r="G668" s="86">
        <f>G566/G663*400</f>
        <v>14.845804941697905</v>
      </c>
      <c r="H668" s="71"/>
      <c r="I668" s="86">
        <f>I566/I663*400</f>
        <v>15.17069991037236</v>
      </c>
      <c r="J668" s="71"/>
      <c r="K668" s="86">
        <f>K566/K663*400</f>
        <v>12.415720099617324</v>
      </c>
      <c r="L668" s="61">
        <f>IF(ISERROR((K668/C668-1)*100),"NA",IF(((K668/C668-1)*100)&gt;100,"NM",IF(((K668/C668-1)*100)&lt;-50,"NM",(K668/C668-1)*100)))</f>
        <v>-9.9887680395610694</v>
      </c>
      <c r="M668" s="86">
        <f>M566/M663*400</f>
        <v>11.531502553174379</v>
      </c>
      <c r="N668" s="61">
        <f>IF(ISERROR((M668/E668-1)*100),"NA",IF(((M668/E668-1)*100)&gt;100,"NM",IF(((M668/E668-1)*100)&lt;-50,"NM",(M668/E668-1)*100)))</f>
        <v>-17.430041175929333</v>
      </c>
      <c r="O668" s="86">
        <f>O566/O663*400</f>
        <v>8.6530708568506771</v>
      </c>
      <c r="P668" s="61">
        <f>IF(ISERROR((O668/G668-1)*100),"NA",IF(((O668/G668-1)*100)&gt;100,"NM",IF(((O668/G668-1)*100)&lt;-50,"NM",(O668/G668-1)*100)))</f>
        <v>-41.713696961311207</v>
      </c>
      <c r="Q668" s="86">
        <f>Q566/Q663*400</f>
        <v>12.469313798075049</v>
      </c>
      <c r="R668" s="61">
        <f>IF(ISERROR((Q668/I668-1)*100),"NA",IF(((Q668/I668-1)*100)&gt;100,"NM",IF(((Q668/I668-1)*100)&lt;-50,"NM",(Q668/I668-1)*100)))</f>
        <v>-17.806601727388639</v>
      </c>
      <c r="S668" s="86">
        <f>S566/S663*400</f>
        <v>6.6813015269037503</v>
      </c>
      <c r="T668" s="61">
        <f>IF(ISERROR((S668/K668-1)*100),"NA",IF(((S668/K668-1)*100)&gt;100,"NM",IF(((S668/K668-1)*100)&lt;-50,"NM",(S668/K668-1)*100)))</f>
        <v>-46.186757809483147</v>
      </c>
      <c r="U668" s="86">
        <f>U566/U663*400</f>
        <v>3.7999704971234691</v>
      </c>
      <c r="V668" s="61" t="str">
        <f>IF(ISERROR((U668/M668-1)*100),"NA",IF(((U668/M668-1)*100)&gt;100,"NM",IF(((U668/M668-1)*100)&lt;-50,"NM",(U668/M668-1)*100)))</f>
        <v>NM</v>
      </c>
      <c r="W668" s="86">
        <f>W566/W663*400</f>
        <v>-11.270525792005294</v>
      </c>
      <c r="X668" s="61" t="str">
        <f>IF(ISERROR((W668/O668-1)*100),"NA",IF(((W668/O668-1)*100)&gt;100,"NM",IF(((W668/O668-1)*100)&lt;-50,"NM",(W668/O668-1)*100)))</f>
        <v>NM</v>
      </c>
      <c r="Y668" s="86">
        <f>Y566/Y663*400</f>
        <v>4.44565040429804</v>
      </c>
      <c r="Z668" s="61" t="str">
        <f>IF(ISERROR((Y668/Q668-1)*100),"NA",IF(((Y668/Q668-1)*100)&gt;100,"NM",IF(((Y668/Q668-1)*100)&lt;-50,"NM",(Y668/Q668-1)*100)))</f>
        <v>NM</v>
      </c>
      <c r="AA668" s="86">
        <f>AA566/AA663*400</f>
        <v>3.6283552473779457</v>
      </c>
      <c r="AB668" s="61">
        <f>IF(ISERROR((AA668/S668-1)*100),"NA",IF(((AA668/S668-1)*100)&gt;100,"NM",IF(((AA668/S668-1)*100)&lt;-50,"NM",(AA668/S668-1)*100)))</f>
        <v>-45.693885648364109</v>
      </c>
      <c r="AC668" s="86">
        <f>AC566/AC663*400</f>
        <v>12.298271903062712</v>
      </c>
      <c r="AD668" s="61" t="str">
        <f>IF(ISERROR((AC668/U668-1)*100),"NA",IF(((AC668/U668-1)*100)&gt;100,"NM",IF(((AC668/U668-1)*100)&lt;-50,"NM",(AC668/U668-1)*100)))</f>
        <v>NM</v>
      </c>
      <c r="AE668" s="86">
        <f>AE566/AE663*400</f>
        <v>11.230200132789527</v>
      </c>
      <c r="AF668" s="61" t="str">
        <f>IF(ISERROR((AE668/W668-1)*100),"NA",IF(((AE668/W668-1)*100)&gt;100,"NM",IF(((AE668/W668-1)*100)&lt;-50,"NM",(AE668/W668-1)*100)))</f>
        <v>NM</v>
      </c>
      <c r="AG668" s="86">
        <f>AG566/AG663*400</f>
        <v>15.978301072617432</v>
      </c>
      <c r="AH668" s="61" t="str">
        <f>IF(ISERROR((AG668/Y668-1)*100),"NA",IF(((AG668/Y668-1)*100)&gt;100,"NM",IF(((AG668/Y668-1)*100)&lt;-50,"NM",(AG668/Y668-1)*100)))</f>
        <v>NM</v>
      </c>
      <c r="AI668" s="86">
        <f>AI566/AI663*400</f>
        <v>10.479752282140991</v>
      </c>
      <c r="AJ668" s="61" t="str">
        <f>IF(ISERROR((AI668/AA668-1)*100),"NA",IF(((AI668/AA668-1)*100)&gt;100,"NM",IF(((AI668/AA668-1)*100)&lt;-50,"NM",(AI668/AA668-1)*100)))</f>
        <v>NM</v>
      </c>
      <c r="AK668" s="86">
        <f>AK566/AK663*400</f>
        <v>14.922515407168072</v>
      </c>
      <c r="AL668" s="61">
        <f>IF(ISERROR((AK668/AC668-1)*100),"NA",IF(((AK668/AC668-1)*100)&gt;100,"NM",IF(((AK668/AC668-1)*100)&lt;-50,"NM",(AK668/AC668-1)*100)))</f>
        <v>21.338310982145625</v>
      </c>
      <c r="AM668" s="86">
        <f>AM566/AM663*400</f>
        <v>15.773580436970807</v>
      </c>
      <c r="AN668" s="61">
        <f>IF(ISERROR((AM668/AE668-1)*100),"NA",IF(((AM668/AE668-1)*100)&gt;100,"NM",IF(((AM668/AE668-1)*100)&lt;-50,"NM",(AM668/AE668-1)*100)))</f>
        <v>40.456806205222342</v>
      </c>
      <c r="AO668" s="86">
        <f>AO566/AO663*400</f>
        <v>14.51461932334785</v>
      </c>
      <c r="AP668" s="61">
        <f>IF(ISERROR((AO668/AG668-1)*100),"NA",IF(((AO668/AG668-1)*100)&gt;100,"NM",IF(((AO668/AG668-1)*100)&lt;-50,"NM",(AO668/AG668-1)*100)))</f>
        <v>-9.1604341576586261</v>
      </c>
      <c r="AQ668" s="86">
        <f>AQ566/AQ663*400</f>
        <v>16.253692892225004</v>
      </c>
      <c r="AR668" s="61">
        <f>IF(ISERROR((AQ668/AI668-1)*100),"NA",IF(((AQ668/AI668-1)*100)&gt;100,"NM",IF(((AQ668/AI668-1)*100)&lt;-50,"NM",(AQ668/AI668-1)*100)))</f>
        <v>55.096155468518468</v>
      </c>
      <c r="AS668" s="86">
        <f>AS566/AS663*400</f>
        <v>17.20583965597524</v>
      </c>
      <c r="AT668" s="61">
        <f>IF(ISERROR((AS668/AK668-1)*100),"NA",IF(((AS668/AK668-1)*100)&gt;100,"NM",IF(((AS668/AK668-1)*100)&lt;-50,"NM",(AS668/AK668-1)*100)))</f>
        <v>15.30120215329358</v>
      </c>
      <c r="AU668" s="86">
        <f>AU566/AU663*400</f>
        <v>18.04716737010234</v>
      </c>
      <c r="AV668" s="61">
        <f>IF(ISERROR((AU668/AM668-1)*100),"NA",IF(((AU668/AM668-1)*100)&gt;100,"NM",IF(((AU668/AM668-1)*100)&lt;-50,"NM",(AU668/AM668-1)*100)))</f>
        <v>14.41389253515708</v>
      </c>
      <c r="AW668" s="86">
        <f>AW566/AW663*400</f>
        <v>17.318374039872271</v>
      </c>
      <c r="AX668" s="61">
        <f>IF(ISERROR((AW668/AO668-1)*100),"NA",IF(((AW668/AO668-1)*100)&gt;100,"NM",IF(((AW668/AO668-1)*100)&lt;-50,"NM",(AW668/AO668-1)*100)))</f>
        <v>19.316763699164841</v>
      </c>
      <c r="AY668" s="86">
        <f>AY566/AY663*400</f>
        <v>16.48775839442294</v>
      </c>
      <c r="AZ668" s="61">
        <f>IF(ISERROR((AY668/AQ668-1)*100),"NA",IF(((AY668/AQ668-1)*100)&gt;100,"NM",IF(((AY668/AQ668-1)*100)&lt;-50,"NM",(AY668/AQ668-1)*100)))</f>
        <v>1.4400758261521096</v>
      </c>
      <c r="BA668" s="86">
        <f>BA566/BA663*400</f>
        <v>14.603925492960951</v>
      </c>
      <c r="BB668" s="61">
        <f t="shared" si="3867"/>
        <v>-15.122273687530829</v>
      </c>
      <c r="BC668" s="86">
        <f>BC566/BC663*400</f>
        <v>12.163328998699612</v>
      </c>
      <c r="BD668" s="61">
        <f t="shared" si="3868"/>
        <v>-32.602558898800538</v>
      </c>
      <c r="BE668" s="86">
        <f>BE566/BE663*400</f>
        <v>12.587587888361391</v>
      </c>
      <c r="BF668" s="61">
        <f t="shared" si="3869"/>
        <v>-27.316572217571601</v>
      </c>
      <c r="BG668" s="86">
        <f>BG566/BG663*400</f>
        <v>12.555523682860894</v>
      </c>
      <c r="BH668" s="61">
        <f>IF(ISERROR((BG668/AY668-1)*100),"NA",IF(((BG668/AY668-1)*100)&gt;100,"NM",IF(((BG668/AY668-1)*100)&lt;-50,"NM",(BG668/AY668-1)*100)))</f>
        <v>-23.849419778568215</v>
      </c>
      <c r="BI668" s="86">
        <f>BI566/BI663*400</f>
        <v>11.892021677985868</v>
      </c>
      <c r="BJ668" s="61">
        <f>IF(ISERROR((BI668/BA668-1)*100),"NA",IF(((BI668/BA668-1)*100)&gt;100,"NM",IF(((BI668/BA668-1)*100)&lt;-50,"NM",(BI668/BA668-1)*100)))</f>
        <v>-18.569690842932694</v>
      </c>
      <c r="BK668" s="86">
        <f>BK566/BK663*400</f>
        <v>9.8367189454358908</v>
      </c>
      <c r="BL668" s="61">
        <f>IF(ISERROR((BK668/BC668-1)*100),"NA",IF(((BK668/BC668-1)*100)&gt;100,"NM",IF(((BK668/BC668-1)*100)&lt;-50,"NM",(BK668/BC668-1)*100)))</f>
        <v>-19.128069737425179</v>
      </c>
      <c r="BM668" s="86">
        <f>BM566/BM663*400</f>
        <v>6.8209792122538238</v>
      </c>
      <c r="BN668" s="61">
        <f>IF(ISERROR((BM668/BE668-1)*100),"NA",IF(((BM668/BE668-1)*100)&gt;100,"NM",IF(((BM668/BE668-1)*100)&lt;-50,"NM",(BM668/BE668-1)*100)))</f>
        <v>-45.811864252717008</v>
      </c>
      <c r="BO668" s="86">
        <f>BO566/BO663*400</f>
        <v>10.049061648235277</v>
      </c>
      <c r="BP668" s="61">
        <f>IF(ISERROR((BO668/BG668-1)*100),"NA",IF(((BO668/BG668-1)*100)&gt;100,"NM",IF(((BO668/BG668-1)*100)&lt;-50,"NM",(BO668/BG668-1)*100)))</f>
        <v>-19.963022633990967</v>
      </c>
      <c r="BQ668" s="86">
        <f>BQ566/BQ663*400</f>
        <v>4.3955269877608547</v>
      </c>
      <c r="BR668" s="61" t="str">
        <f>IF(ISERROR((BQ668/BI668-1)*100),"NA",IF(((BQ668/BI668-1)*100)&gt;100,"NM",IF(((BQ668/BI668-1)*100)&lt;-50,"NM",(BQ668/BI668-1)*100)))</f>
        <v>NM</v>
      </c>
      <c r="BS668" s="86">
        <f>BS566/BS663*400</f>
        <v>5.2245273341469067</v>
      </c>
      <c r="BT668" s="61">
        <f>IF(ISERROR((BS668/BK668-1)*100),"NA",IF(((BS668/BK668-1)*100)&gt;100,"NM",IF(((BS668/BK668-1)*100)&lt;-50,"NM",(BS668/BK668-1)*100)))</f>
        <v>-46.8875001600913</v>
      </c>
      <c r="BU668" s="86">
        <f>BU566/BU663*400</f>
        <v>-18.320831843264365</v>
      </c>
      <c r="BV668" s="61" t="str">
        <f>IF(ISERROR((BU668/BM668-1)*100),"NA",IF(((BU668/BM668-1)*100)&gt;100,"NM",IF(((BU668/BM668-1)*100)&lt;-50,"NM",(BU668/BM668-1)*100)))</f>
        <v>NM</v>
      </c>
      <c r="BW668" s="86">
        <f>BW566/BW663*400</f>
        <v>-21.971202884455721</v>
      </c>
      <c r="BX668" s="61" t="str">
        <f t="shared" si="3870"/>
        <v>NM</v>
      </c>
      <c r="BY668" s="86">
        <f>BY566/BY663*400</f>
        <v>-6.110027941043918</v>
      </c>
      <c r="BZ668" s="61" t="str">
        <f t="shared" si="3871"/>
        <v>NM</v>
      </c>
      <c r="CA668" s="86">
        <f>CA566/CA663*400</f>
        <v>5.0492914923805445</v>
      </c>
      <c r="CB668" s="61">
        <f t="shared" si="3872"/>
        <v>-3.3540994344319119</v>
      </c>
      <c r="CC668" s="86">
        <f>CC566/CC663*400</f>
        <v>3.0669784700664176</v>
      </c>
      <c r="CD668" s="61" t="str">
        <f t="shared" si="3873"/>
        <v>NM</v>
      </c>
      <c r="CE668" s="86">
        <f>CE566/CE663*400</f>
        <v>8.9193794035368423</v>
      </c>
      <c r="CF668" s="61" t="str">
        <f>IF(ISERROR((CE668/BW668-1)*100),"NA",IF(((CE668/BW668-1)*100)&gt;100,"NM",IF(((CE668/BW668-1)*100)&lt;-50,"NM",(CE668/BW668-1)*100)))</f>
        <v>NM</v>
      </c>
      <c r="CG668" s="86">
        <f>CG566/CG663*400</f>
        <v>3.0366120386238817</v>
      </c>
      <c r="CH668" s="61" t="str">
        <f>IF(ISERROR((CG668/BY668-1)*100),"NA",IF(((CG668/BY668-1)*100)&gt;100,"NM",IF(((CG668/BY668-1)*100)&lt;-50,"NM",(CG668/BY668-1)*100)))</f>
        <v>NM</v>
      </c>
      <c r="CI668" s="86">
        <f>CI566/CI663*400</f>
        <v>8.2730794334296824</v>
      </c>
      <c r="CJ668" s="61">
        <f>IF(ISERROR((CI668/CA668-1)*100),"NA",IF(((CI668/CA668-1)*100)&gt;100,"NM",IF(((CI668/CA668-1)*100)&lt;-50,"NM",(CI668/CA668-1)*100)))</f>
        <v>63.846342519814534</v>
      </c>
      <c r="CK668" s="86">
        <f>CK566/CK663*400</f>
        <v>6.5360514000158592</v>
      </c>
      <c r="CL668" s="61" t="str">
        <f>IF(ISERROR((CK668/CC668-1)*100),"NA",IF(((CK668/CC668-1)*100)&gt;100,"NM",IF(((CK668/CC668-1)*100)&lt;-50,"NM",(CK668/CC668-1)*100)))</f>
        <v>NM</v>
      </c>
      <c r="CM668" s="86">
        <f>CM566/CM663*400</f>
        <v>10.797043461799916</v>
      </c>
      <c r="CN668" s="61">
        <f>IF(ISERROR((CM668/CE668-1)*100),"NA",IF(((CM668/CE668-1)*100)&gt;100,"NM",IF(((CM668/CE668-1)*100)&lt;-50,"NM",(CM668/CE668-1)*100)))</f>
        <v>21.051510125452388</v>
      </c>
      <c r="CO668" s="86">
        <f>CO566/CO663*400</f>
        <v>10.758237219485974</v>
      </c>
      <c r="CP668" s="61" t="str">
        <f>IF(ISERROR((CO668/CG668-1)*100),"NA",IF(((CO668/CG668-1)*100)&gt;100,"NM",IF(((CO668/CG668-1)*100)&lt;-50,"NM",(CO668/CG668-1)*100)))</f>
        <v>NM</v>
      </c>
      <c r="CQ668" s="86">
        <f>CQ566/CQ663*400</f>
        <v>5.1876048379977018</v>
      </c>
      <c r="CR668" s="61">
        <f>IF(ISERROR((CQ668/CI668-1)*100),"NA",IF(((CQ668/CI668-1)*100)&gt;100,"NM",IF(((CQ668/CI668-1)*100)&lt;-50,"NM",(CQ668/CI668-1)*100)))</f>
        <v>-37.295358037591917</v>
      </c>
      <c r="CS668" s="86">
        <f>CS566/CS663*400</f>
        <v>-19.904341427520237</v>
      </c>
      <c r="CT668" s="61" t="str">
        <f>IF(ISERROR((CS668/CK668-1)*100),"NA",IF(((CS668/CK668-1)*100)&gt;100,"NM",IF(((CS668/CK668-1)*100)&lt;-50,"NM",(CS668/CK668-1)*100)))</f>
        <v>NM</v>
      </c>
      <c r="CU668" s="86">
        <f>CU566/CU663*400</f>
        <v>9.2929872364835795</v>
      </c>
      <c r="CV668" s="61">
        <f>IF(ISERROR((CU668/CM668-1)*100),"NA",IF(((CU668/CM668-1)*100)&gt;100,"NM",IF(((CU668/CM668-1)*100)&lt;-50,"NM",(CU668/CM668-1)*100)))</f>
        <v>-13.930259988650661</v>
      </c>
      <c r="CW668" s="86">
        <f>CW566/CW663*400</f>
        <v>11.986010019850648</v>
      </c>
      <c r="CX668" s="61">
        <f>IF(ISERROR((CW668/CO668-1)*100),"NA",IF(((CW668/CO668-1)*100)&gt;100,"NM",IF(((CW668/CO668-1)*100)&lt;-50,"NM",(CW668/CO668-1)*100)))</f>
        <v>11.412397545397646</v>
      </c>
      <c r="CY668" s="86">
        <f>CY566/CY663*400</f>
        <v>15.829865926953305</v>
      </c>
      <c r="CZ668" s="61" t="str">
        <f>IF(ISERROR((CY668/CQ668-1)*100),"NA",IF(((CY668/CQ668-1)*100)&gt;100,"NM",IF(((CY668/CQ668-1)*100)&lt;-50,"NM",(CY668/CQ668-1)*100)))</f>
        <v>NM</v>
      </c>
      <c r="DA668" s="86">
        <f>DA566/DA663*400</f>
        <v>11.565394172125593</v>
      </c>
      <c r="DB668" s="61" t="str">
        <f>IF(ISERROR((DA668/CS668-1)*100),"NA",IF(((DA668/CS668-1)*100)&gt;100,"NM",IF(((DA668/CS668-1)*100)&lt;-50,"NM",(DA668/CS668-1)*100)))</f>
        <v>NM</v>
      </c>
      <c r="DC668" s="86">
        <f>DC566/DC663*400</f>
        <v>8.5182215094003375</v>
      </c>
      <c r="DD668" s="61">
        <f>IF(ISERROR((DC668/CU668-1)*100),"NA",IF(((DC668/CU668-1)*100)&gt;100,"NM",IF(((DC668/CU668-1)*100)&lt;-50,"NM",(DC668/CU668-1)*100)))</f>
        <v>-8.3371009489991437</v>
      </c>
      <c r="DE668" s="86">
        <f>DE566/DE663*400</f>
        <v>11.169345959039859</v>
      </c>
      <c r="DF668" s="61">
        <f>IF(ISERROR((DE668/CW668-1)*100),"NA",IF(((DE668/CW668-1)*100)&gt;100,"NM",IF(((DE668/CW668-1)*100)&lt;-50,"NM",(DE668/CW668-1)*100)))</f>
        <v>-6.8134772076635102</v>
      </c>
      <c r="DG668" s="86">
        <f>DG566/DG663*400</f>
        <v>11.68971946407666</v>
      </c>
      <c r="DH668" s="61">
        <f>IF(ISERROR((DG668/CY668-1)*100),"NA",IF(((DG668/CY668-1)*100)&gt;100,"NM",IF(((DG668/CY668-1)*100)&lt;-50,"NM",(DG668/CY668-1)*100)))</f>
        <v>-26.154021025707308</v>
      </c>
      <c r="DI668" s="86">
        <f>DI566/DI663*400</f>
        <v>11.934208848654851</v>
      </c>
      <c r="DJ668" s="61">
        <f>IF(ISERROR((DI668/DA668-1)*100),"NA",IF(((DI668/DA668-1)*100)&gt;100,"NM",IF(((DI668/DA668-1)*100)&lt;-50,"NM",(DI668/DA668-1)*100)))</f>
        <v>3.1889503378809136</v>
      </c>
      <c r="DK668" s="86">
        <f>DK566/DK663*400</f>
        <v>10.968524014546672</v>
      </c>
      <c r="DL668" s="61">
        <f>IF(ISERROR((DK668/DC668-1)*100),"NA",IF(((DK668/DC668-1)*100)&gt;100,"NM",IF(((DK668/DC668-1)*100)&lt;-50,"NM",(DK668/DC668-1)*100)))</f>
        <v>28.765423656126888</v>
      </c>
      <c r="DM668" s="86">
        <f>DM566/DM663*400</f>
        <v>13.143915997529341</v>
      </c>
      <c r="DN668" s="130">
        <f t="shared" si="3944"/>
        <v>17.678475048857912</v>
      </c>
      <c r="DO668" s="86">
        <f>DO566/DO663*400</f>
        <v>14.236139133241869</v>
      </c>
      <c r="DP668" s="130">
        <f t="shared" si="3944"/>
        <v>21.783411287076127</v>
      </c>
      <c r="DQ668" s="86">
        <f>DQ566/DQ663*400</f>
        <v>11.090807976483674</v>
      </c>
      <c r="DR668" s="130">
        <f t="shared" si="3944"/>
        <v>-7.0670865816651052</v>
      </c>
      <c r="DS668" s="86">
        <f>DS566/DS663*400</f>
        <v>9.518521456333783</v>
      </c>
      <c r="DT668" s="130">
        <f t="shared" si="3944"/>
        <v>-13.219668902487403</v>
      </c>
      <c r="DU668" s="86">
        <f>DU566/DU663*400</f>
        <v>10.866732477788746</v>
      </c>
      <c r="DV668" s="130">
        <f t="shared" si="3944"/>
        <v>-17.325000556673032</v>
      </c>
      <c r="DW668" s="86">
        <f>DW566/DW663*400</f>
        <v>6.903855960459734</v>
      </c>
      <c r="DX668" s="86">
        <f t="shared" ref="DX668:DY668" si="3967">DX566/DX663*400</f>
        <v>13.812473979330637</v>
      </c>
      <c r="DY668" s="86">
        <f t="shared" si="3967"/>
        <v>8.8749509996079965</v>
      </c>
      <c r="DZ668" s="130">
        <f t="shared" si="3944"/>
        <v>-19.979220464136215</v>
      </c>
      <c r="EA668" s="86">
        <f t="shared" ref="EA668:EC668" si="3968">EA566/EA663*400</f>
        <v>6.3061296521432215</v>
      </c>
      <c r="EB668" s="130">
        <f t="shared" si="3947"/>
        <v>-33.748852896192005</v>
      </c>
      <c r="EC668" s="86">
        <f t="shared" si="3968"/>
        <v>10.215307245010214</v>
      </c>
      <c r="ED668" s="130">
        <f t="shared" si="3948"/>
        <v>-5.9946744259143596</v>
      </c>
      <c r="EE668" s="86">
        <f t="shared" ref="EE668:EG668" si="3969">EE566/EE663*400</f>
        <v>14.553387090491215</v>
      </c>
      <c r="EF668" s="130" t="str">
        <f t="shared" si="3950"/>
        <v>NM</v>
      </c>
      <c r="EG668" s="86">
        <f t="shared" si="3969"/>
        <v>5.878258179286874</v>
      </c>
      <c r="EH668" s="130">
        <f t="shared" si="3951"/>
        <v>-33.765739331445154</v>
      </c>
      <c r="EI668" s="86">
        <f t="shared" ref="EI668:EK668" si="3970">EI566/EI663*400</f>
        <v>13.365081803517937</v>
      </c>
      <c r="EJ668" s="130" t="str">
        <f t="shared" si="3953"/>
        <v>NM</v>
      </c>
      <c r="EK668" s="86">
        <f t="shared" si="3970"/>
        <v>12.449358221952975</v>
      </c>
      <c r="EL668" s="130">
        <f t="shared" si="3954"/>
        <v>21.869640563518146</v>
      </c>
      <c r="EM668" s="86">
        <f t="shared" ref="EM668" si="3971">EM566/EM663*400</f>
        <v>12.505609573672402</v>
      </c>
      <c r="EN668" s="130">
        <f t="shared" si="3956"/>
        <v>-14.070796743644475</v>
      </c>
      <c r="EO668" s="86">
        <f t="shared" ref="EO668" si="3972">EO566/EO663*400</f>
        <v>23.697680328166406</v>
      </c>
      <c r="EP668" s="130" t="str">
        <f t="shared" si="3958"/>
        <v>NM</v>
      </c>
      <c r="EQ668" s="86">
        <f t="shared" ref="EQ668:EW668" si="3973">EQ566/EQ663*400</f>
        <v>10.232693045647734</v>
      </c>
      <c r="ER668" s="130">
        <f t="shared" si="3960"/>
        <v>-23.437108757880555</v>
      </c>
      <c r="ES668" s="86">
        <f t="shared" si="3973"/>
        <v>10.778600513160599</v>
      </c>
      <c r="ET668" s="130">
        <f t="shared" si="3961"/>
        <v>-13.420432435193263</v>
      </c>
      <c r="EU668" s="86">
        <f t="shared" si="3973"/>
        <v>10.521849810555176</v>
      </c>
      <c r="EV668" s="130">
        <f t="shared" si="3962"/>
        <v>-15.862959349807005</v>
      </c>
      <c r="EW668" s="86">
        <f t="shared" si="3973"/>
        <v>10.718578748066571</v>
      </c>
      <c r="EX668" s="130" t="str">
        <f t="shared" si="3963"/>
        <v>NM</v>
      </c>
      <c r="EY668" s="356"/>
      <c r="EZ668" s="558"/>
      <c r="FA668" s="356"/>
      <c r="FB668" s="86">
        <f>FB566/FB663*100</f>
        <v>12.030275913680672</v>
      </c>
      <c r="FC668" s="71"/>
      <c r="FD668" s="412">
        <f>FD566/FD663*100</f>
        <v>9.5817426947842765</v>
      </c>
      <c r="FE668" s="70">
        <f>IF(ISERROR((FD668/FB668-1)*100),"NA",IF(((FD668/FB668-1)*100)&gt;100,"NM",IF(((FD668/FB668-1)*100)&lt;-50,"NM",(FD668/FB668-1)*100)))</f>
        <v>-20.353092784114413</v>
      </c>
      <c r="FF668" s="86">
        <f>FF566/FF663*100</f>
        <v>12.103353081671266</v>
      </c>
      <c r="FG668" s="70">
        <f>IF(ISERROR((FF668/FD668-1)*100),"NA",IF(((FF668/FD668-1)*100)&gt;100,"NM",IF(((FF668/FD668-1)*100)&lt;-50,"NM",(FF668/FD668-1)*100)))</f>
        <v>26.316824268925544</v>
      </c>
      <c r="FH668" s="86">
        <f>FH566/FH663*100</f>
        <v>10.859485383375455</v>
      </c>
      <c r="FI668" s="70">
        <f>IF(ISERROR((FH668/FF668-1)*100),"NA",IF(((FH668/FF668-1)*100)&gt;100,"NM",IF(((FH668/FF668-1)*100)&lt;-50,"NM",(FH668/FF668-1)*100)))</f>
        <v>-10.277050416545009</v>
      </c>
      <c r="FJ668" s="86">
        <f>FJ566/FJ663*100</f>
        <v>1.0183152448388524</v>
      </c>
      <c r="FK668" s="70" t="str">
        <f>IF(ISERROR((FJ668/FH668-1)*100),"NA",IF(((FJ668/FH668-1)*100)&gt;100,"NM",IF(((FJ668/FH668-1)*100)&lt;-50,"NM",(FJ668/FH668-1)*100)))</f>
        <v>NM</v>
      </c>
      <c r="FL668" s="86">
        <f>FL566/FL663*100</f>
        <v>10.733159969801191</v>
      </c>
      <c r="FM668" s="61" t="str">
        <f>IF(ISERROR((FL668/FJ668-1)*100),"NA",IF(((FL668/FJ668-1)*100)&gt;100,"NM",IF(((FL668/FJ668-1)*100)&lt;-50,"NM",(FL668/FJ668-1)*100)))</f>
        <v>NM</v>
      </c>
      <c r="FN668" s="86">
        <f>FN566/FN663*100</f>
        <v>13.747677822843412</v>
      </c>
      <c r="FO668" s="61">
        <f>IF(ISERROR((FN668/FL668-1)*100),"NA",IF(((FN668/FL668-1)*100)&gt;100,"NM",IF(((FN668/FL668-1)*100)&lt;-50,"NM",(FN668/FL668-1)*100)))</f>
        <v>28.086023701536789</v>
      </c>
      <c r="FP668" s="176">
        <f>FP566/FP663*100</f>
        <v>17.085995436394754</v>
      </c>
      <c r="FQ668" s="61">
        <f t="shared" si="3844"/>
        <v>57.337063711613112</v>
      </c>
      <c r="FR668" s="176">
        <f>FR566/FR663*100</f>
        <v>14.591724913268866</v>
      </c>
      <c r="FS668" s="61">
        <f>IF(ISERROR((FR668/FP668-1)*100),"NA",IF(((FR668/FP668-1)*100)&gt;100,"NM",IF(((FR668/FP668-1)*100)&lt;-50,"NM",(FR668/FP668-1)*100)))</f>
        <v>-14.598333075829228</v>
      </c>
      <c r="FT668" s="176">
        <f>FT566/FT663*100</f>
        <v>10.249188916186576</v>
      </c>
      <c r="FU668" s="61">
        <f>IF(ISERROR((FT668/FR668-1)*100),"NA",IF(((FT668/FR668-1)*100)&gt;100,"NM",IF(((FT668/FR668-1)*100)&lt;-50,"NM",(FT668/FR668-1)*100)))</f>
        <v>-29.760264964517258</v>
      </c>
      <c r="FV668" s="176">
        <f>FV566/FV663*100</f>
        <v>0.49987730170841083</v>
      </c>
      <c r="FW668" s="61" t="str">
        <f>IF(ISERROR((FV668/FT668-1)*100),"NA",IF(((FV668/FT668-1)*100)&gt;100,"NM",IF(((FV668/FT668-1)*100)&lt;-50,"NM",(FV668/FT668-1)*100)))</f>
        <v>NM</v>
      </c>
      <c r="FX668" s="88">
        <f>FX566/FX663*100</f>
        <v>-4.7302053320690023</v>
      </c>
      <c r="FY668" s="61" t="str">
        <f>IF(ISERROR((FX668/FV668-1)*100),"NA",IF(((FX668/FV668-1)*100)&gt;100,"NM",IF(((FX668/FV668-1)*100)&lt;-50,"NM",(FX668/FV668-1)*100)))</f>
        <v>NM</v>
      </c>
      <c r="FZ668" s="88">
        <f>FZ566/FZ663*100</f>
        <v>6.660175938929715</v>
      </c>
      <c r="GA668" s="61" t="str">
        <f>IF(ISERROR((FZ668/FX668-1)*100),"NA",IF(((FZ668/FX668-1)*100)&gt;100,"NM",IF(((FZ668/FX668-1)*100)&lt;-50,"NM",(FZ668/FX668-1)*100)))</f>
        <v>NM</v>
      </c>
      <c r="GB668" s="88">
        <f>GB566/GB663*100</f>
        <v>1.9787621170263412</v>
      </c>
      <c r="GC668" s="61" t="str">
        <f>IF(ISERROR((GB668/FZ668-1)*100),"NA",IF(((GB668/FZ668-1)*100)&gt;100,"NM",IF(((GB668/FZ668-1)*100)&lt;-50,"NM",(GB668/FZ668-1)*100)))</f>
        <v>NM</v>
      </c>
      <c r="GD668" s="88">
        <f>GD566/GD663*100</f>
        <v>12.128231261002503</v>
      </c>
      <c r="GE668" s="61" t="str">
        <f>IF(ISERROR((GD668/GB668-1)*100),"NA",IF(((GD668/GB668-1)*100)&gt;100,"NM",IF(((GD668/GB668-1)*100)&lt;-50,"NM",(GD668/GB668-1)*100)))</f>
        <v>NM</v>
      </c>
      <c r="GF668" s="88">
        <f>GF566/GF663*100</f>
        <v>10.791585339405769</v>
      </c>
      <c r="GG668" s="61">
        <f>IF(ISERROR((GF668/GD668-1)*100),"NA",IF(((GF668/GD668-1)*100)&gt;100,"NM",IF(((GF668/GD668-1)*100)&lt;-50,"NM",(GF668/GD668-1)*100)))</f>
        <v>-11.02094685392937</v>
      </c>
      <c r="GH668" s="88">
        <f>GH566/GH663*100</f>
        <v>12.366511779571207</v>
      </c>
      <c r="GI668" s="61">
        <f>IF(ISERROR((GH668/GF668-1)*100),"NA",IF(((GH668/GF668-1)*100)&gt;100,"NM",IF(((GH668/GF668-1)*100)&lt;-50,"NM",(GH668/GF668-1)*100)))</f>
        <v>14.594022941324013</v>
      </c>
      <c r="GJ668" s="88">
        <f>GJ566/GJ663*100</f>
        <v>9.0258105130626376</v>
      </c>
      <c r="GK668" s="61">
        <f>IF(ISERROR((GJ668/GH668-1)*100),"NA",IF(((GJ668/GH668-1)*100)&gt;100,"NM",IF(((GJ668/GH668-1)*100)&lt;-50,"NM",(GJ668/GH668-1)*100)))</f>
        <v>-27.014095211773647</v>
      </c>
      <c r="GL668" s="88">
        <f>GL566/GL663*100</f>
        <v>9.211960753776669</v>
      </c>
      <c r="GM668" s="61">
        <f>IF(ISERROR((GL668/GJ668-1)*100),"NA",IF(((GL668/GJ668-1)*100)&gt;100,"NM",IF(((GL668/GJ668-1)*100)&lt;-50,"NM",(GL668/GJ668-1)*100)))</f>
        <v>2.0624213243190193</v>
      </c>
      <c r="GN668" s="88">
        <f>GN566/GN663*100</f>
        <v>15.405125166641978</v>
      </c>
      <c r="GO668" s="61">
        <f>IF(ISERROR((GN668/GL668-1)*100),"NA",IF(((GN668/GL668-1)*100)&gt;100,"NM",IF(((GN668/GL668-1)*100)&lt;-50,"NM",(GN668/GL668-1)*100)))</f>
        <v>67.229600498745825</v>
      </c>
      <c r="GP668" s="88">
        <f>GP566/GP663*100</f>
        <v>10.585786131956079</v>
      </c>
      <c r="GQ668" s="61">
        <f>IF(ISERROR((GP668/GN668-1)*100),"NA",IF(((GP668/GN668-1)*100)&gt;100,"NM",IF(((GP668/GN668-1)*100)&lt;-50,"NM",(GP668/GN668-1)*100)))</f>
        <v>-31.283997906888949</v>
      </c>
      <c r="GR668" s="86">
        <f>GR566/GR663*100</f>
        <v>10.612709575984763</v>
      </c>
      <c r="GS668" s="61">
        <f>IF(ISERROR((GR668/GP668-1)*100),"NA",IF(((GR668/GP668-1)*100)&gt;100,"NM",IF(((GR668/GP668-1)*100)&lt;-50,"NM",(GR668/GP668-1)*100)))</f>
        <v>0.25433580173519488</v>
      </c>
      <c r="GT668" s="86">
        <f>GT566/GT663*100</f>
        <v>11.351816025711123</v>
      </c>
      <c r="GU668" s="61">
        <f>IF(ISERROR((GT668/GR668-1)*100),"NA",IF(((GT668/GR668-1)*100)&gt;100,"NM",IF(((GT668/GR668-1)*100)&lt;-50,"NM",(GT668/GR668-1)*100)))</f>
        <v>6.9643519822578215</v>
      </c>
      <c r="GV668" s="86">
        <f>GV566/GV663*100</f>
        <v>11.38921780340587</v>
      </c>
      <c r="GW668" s="61">
        <f>IF(ISERROR((GV668/GT668-1)*100),"NA",IF(((GV668/GT668-1)*100)&gt;100,"NM",IF(((GV668/GT668-1)*100)&lt;-50,"NM",(GV668/GT668-1)*100)))</f>
        <v>0.32947836372643202</v>
      </c>
      <c r="GX668" s="86">
        <f>GX566/GX663*100</f>
        <v>11.341215489888247</v>
      </c>
      <c r="GY668" s="61">
        <f>IF(ISERROR((GX668/GV668-1)*100),"NA",IF(((GX668/GV668-1)*100)&gt;100,"NM",IF(((GX668/GV668-1)*100)&lt;-50,"NM",(GX668/GV668-1)*100)))</f>
        <v>-0.42147155622282995</v>
      </c>
      <c r="GZ668" s="61">
        <f t="shared" si="3732"/>
        <v>-5.9413211784177573</v>
      </c>
      <c r="HA668" s="61"/>
      <c r="HB668" s="452"/>
      <c r="HC668"/>
      <c r="HD668"/>
      <c r="HE668"/>
      <c r="HF668"/>
      <c r="HG668"/>
      <c r="HH668"/>
    </row>
    <row r="669" spans="1:216" s="5" customFormat="1" ht="12.75" customHeight="1" x14ac:dyDescent="0.2">
      <c r="A669" s="7" t="s">
        <v>407</v>
      </c>
      <c r="B669" s="7" t="s">
        <v>118</v>
      </c>
      <c r="C669" s="86">
        <f>C566/C662*400</f>
        <v>14.14780292942743</v>
      </c>
      <c r="D669" s="70"/>
      <c r="E669" s="86">
        <f>E566/E662*400</f>
        <v>15.601157898437773</v>
      </c>
      <c r="F669" s="71"/>
      <c r="G669" s="86">
        <f>G566/G662*400</f>
        <v>16.361001107015284</v>
      </c>
      <c r="H669" s="71"/>
      <c r="I669" s="86">
        <f>I566/I662*400</f>
        <v>15.691215354956967</v>
      </c>
      <c r="J669" s="71"/>
      <c r="K669" s="86">
        <f>K566/K662*400</f>
        <v>12.166425269339893</v>
      </c>
      <c r="L669" s="61">
        <f>IF(ISERROR((K669/C669-1)*100),"NA",IF(((K669/C669-1)*100)&gt;100,"NM",IF(((K669/C669-1)*100)&lt;-50,"NM",(K669/C669-1)*100)))</f>
        <v>-14.004843508006971</v>
      </c>
      <c r="M669" s="86">
        <f>M566/M662*400</f>
        <v>11.230543318649046</v>
      </c>
      <c r="N669" s="61">
        <f>IF(ISERROR((M669/E669-1)*100),"NA",IF(((M669/E669-1)*100)&gt;100,"NM",IF(((M669/E669-1)*100)&lt;-50,"NM",(M669/E669-1)*100)))</f>
        <v>-28.01468075793515</v>
      </c>
      <c r="O669" s="86">
        <f>O566/O662*400</f>
        <v>8.3858241454559312</v>
      </c>
      <c r="P669" s="61">
        <f>IF(ISERROR((O669/G669-1)*100),"NA",IF(((O669/G669-1)*100)&gt;100,"NM",IF(((O669/G669-1)*100)&lt;-50,"NM",(O669/G669-1)*100)))</f>
        <v>-48.745042613191615</v>
      </c>
      <c r="Q669" s="86">
        <f>Q566/Q662*400</f>
        <v>11.952786493351264</v>
      </c>
      <c r="R669" s="61">
        <f>IF(ISERROR((Q669/I669-1)*100),"NA",IF(((Q669/I669-1)*100)&gt;100,"NM",IF(((Q669/I669-1)*100)&lt;-50,"NM",(Q669/I669-1)*100)))</f>
        <v>-23.82497962737289</v>
      </c>
      <c r="S669" s="86">
        <f>S566/S662*400</f>
        <v>6.5362222010117392</v>
      </c>
      <c r="T669" s="61">
        <f>IF(ISERROR((S669/K669-1)*100),"NA",IF(((S669/K669-1)*100)&gt;100,"NM",IF(((S669/K669-1)*100)&lt;-50,"NM",(S669/K669-1)*100)))</f>
        <v>-46.276559824984886</v>
      </c>
      <c r="U669" s="86">
        <f>U566/U662*400</f>
        <v>3.6709101273038192</v>
      </c>
      <c r="V669" s="61" t="str">
        <f>IF(ISERROR((U669/M669-1)*100),"NA",IF(((U669/M669-1)*100)&gt;100,"NM",IF(((U669/M669-1)*100)&lt;-50,"NM",(U669/M669-1)*100)))</f>
        <v>NM</v>
      </c>
      <c r="W669" s="86">
        <f>W566/W662*400</f>
        <v>-10.076369837621403</v>
      </c>
      <c r="X669" s="61" t="str">
        <f>IF(ISERROR((W669/O669-1)*100),"NA",IF(((W669/O669-1)*100)&gt;100,"NM",IF(((W669/O669-1)*100)&lt;-50,"NM",(W669/O669-1)*100)))</f>
        <v>NM</v>
      </c>
      <c r="Y669" s="86">
        <f>Y566/Y662*400</f>
        <v>3.7981139248722671</v>
      </c>
      <c r="Z669" s="61" t="str">
        <f>IF(ISERROR((Y669/Q669-1)*100),"NA",IF(((Y669/Q669-1)*100)&gt;100,"NM",IF(((Y669/Q669-1)*100)&lt;-50,"NM",(Y669/Q669-1)*100)))</f>
        <v>NM</v>
      </c>
      <c r="AA669" s="86">
        <f>AA566/AA662*400</f>
        <v>3.0821949525353087</v>
      </c>
      <c r="AB669" s="61" t="str">
        <f>IF(ISERROR((AA669/S669-1)*100),"NA",IF(((AA669/S669-1)*100)&gt;100,"NM",IF(((AA669/S669-1)*100)&lt;-50,"NM",(AA669/S669-1)*100)))</f>
        <v>NM</v>
      </c>
      <c r="AC669" s="86">
        <f>AC566/AC662*400</f>
        <v>10.126132843359166</v>
      </c>
      <c r="AD669" s="61" t="str">
        <f>IF(ISERROR((AC669/U669-1)*100),"NA",IF(((AC669/U669-1)*100)&gt;100,"NM",IF(((AC669/U669-1)*100)&lt;-50,"NM",(AC669/U669-1)*100)))</f>
        <v>NM</v>
      </c>
      <c r="AE669" s="86">
        <f>AE566/AE662*400</f>
        <v>9.3454829288827685</v>
      </c>
      <c r="AF669" s="61" t="str">
        <f>IF(ISERROR((AE669/W669-1)*100),"NA",IF(((AE669/W669-1)*100)&gt;100,"NM",IF(((AE669/W669-1)*100)&lt;-50,"NM",(AE669/W669-1)*100)))</f>
        <v>NM</v>
      </c>
      <c r="AG669" s="86">
        <f>AG566/AG662*400</f>
        <v>13.644499034918406</v>
      </c>
      <c r="AH669" s="61" t="str">
        <f>IF(ISERROR((AG669/Y669-1)*100),"NA",IF(((AG669/Y669-1)*100)&gt;100,"NM",IF(((AG669/Y669-1)*100)&lt;-50,"NM",(AG669/Y669-1)*100)))</f>
        <v>NM</v>
      </c>
      <c r="AI669" s="86">
        <f>AI566/AI662*400</f>
        <v>8.7192913484621624</v>
      </c>
      <c r="AJ669" s="61" t="str">
        <f>IF(ISERROR((AI669/AA669-1)*100),"NA",IF(((AI669/AA669-1)*100)&gt;100,"NM",IF(((AI669/AA669-1)*100)&lt;-50,"NM",(AI669/AA669-1)*100)))</f>
        <v>NM</v>
      </c>
      <c r="AK669" s="86">
        <f>AK566/AK662*400</f>
        <v>12.830978186308133</v>
      </c>
      <c r="AL669" s="61">
        <f>IF(ISERROR((AK669/AC669-1)*100),"NA",IF(((AK669/AC669-1)*100)&gt;100,"NM",IF(((AK669/AC669-1)*100)&lt;-50,"NM",(AK669/AC669-1)*100)))</f>
        <v>26.711533265365329</v>
      </c>
      <c r="AM669" s="86">
        <f>AM566/AM662*400</f>
        <v>13.911590380949896</v>
      </c>
      <c r="AN669" s="61">
        <f>IF(ISERROR((AM669/AE669-1)*100),"NA",IF(((AM669/AE669-1)*100)&gt;100,"NM",IF(((AM669/AE669-1)*100)&lt;-50,"NM",(AM669/AE669-1)*100)))</f>
        <v>48.858978041202136</v>
      </c>
      <c r="AO669" s="86">
        <f>AO566/AO662*400</f>
        <v>12.485674767832442</v>
      </c>
      <c r="AP669" s="61">
        <f>IF(ISERROR((AO669/AG669-1)*100),"NA",IF(((AO669/AG669-1)*100)&gt;100,"NM",IF(((AO669/AG669-1)*100)&lt;-50,"NM",(AO669/AG669-1)*100)))</f>
        <v>-8.4929777496436483</v>
      </c>
      <c r="AQ669" s="86">
        <f>AQ566/AQ662*400</f>
        <v>14.354757130580682</v>
      </c>
      <c r="AR669" s="61">
        <f>IF(ISERROR((AQ669/AI669-1)*100),"NA",IF(((AQ669/AI669-1)*100)&gt;100,"NM",IF(((AQ669/AI669-1)*100)&lt;-50,"NM",(AQ669/AI669-1)*100)))</f>
        <v>64.632153656758533</v>
      </c>
      <c r="AS669" s="86">
        <f>AS566/AS662*400</f>
        <v>15.189773020376581</v>
      </c>
      <c r="AT669" s="61">
        <f>IF(ISERROR((AS669/AK669-1)*100),"NA",IF(((AS669/AK669-1)*100)&gt;100,"NM",IF(((AS669/AK669-1)*100)&lt;-50,"NM",(AS669/AK669-1)*100)))</f>
        <v>18.383593205586646</v>
      </c>
      <c r="AU669" s="86">
        <f>AU566/AU662*400</f>
        <v>15.991018271807961</v>
      </c>
      <c r="AV669" s="61">
        <f>IF(ISERROR((AU669/AM669-1)*100),"NA",IF(((AU669/AM669-1)*100)&gt;100,"NM",IF(((AU669/AM669-1)*100)&lt;-50,"NM",(AU669/AM669-1)*100)))</f>
        <v>14.947449097592536</v>
      </c>
      <c r="AW669" s="86">
        <f>AW566/AW662*400</f>
        <v>15.839542813841881</v>
      </c>
      <c r="AX669" s="61">
        <f>IF(ISERROR((AW669/AO669-1)*100),"NA",IF(((AW669/AO669-1)*100)&gt;100,"NM",IF(((AW669/AO669-1)*100)&lt;-50,"NM",(AW669/AO669-1)*100)))</f>
        <v>26.861728407744522</v>
      </c>
      <c r="AY669" s="86">
        <f>AY566/AY662*400</f>
        <v>15.503749233647209</v>
      </c>
      <c r="AZ669" s="61">
        <f>IF(ISERROR((AY669/AQ669-1)*100),"NA",IF(((AY669/AQ669-1)*100)&gt;100,"NM",IF(((AY669/AQ669-1)*100)&lt;-50,"NM",(AY669/AQ669-1)*100)))</f>
        <v>8.0042601390919454</v>
      </c>
      <c r="BA669" s="86">
        <f>BA566/BA662*400</f>
        <v>14.476018711604578</v>
      </c>
      <c r="BB669" s="61">
        <f t="shared" si="3867"/>
        <v>-4.6989135901802204</v>
      </c>
      <c r="BC669" s="86">
        <f>BC566/BC662*400</f>
        <v>11.967246673490278</v>
      </c>
      <c r="BD669" s="61">
        <f t="shared" si="3868"/>
        <v>-25.162697771483135</v>
      </c>
      <c r="BE669" s="86">
        <f>BE566/BE662*400</f>
        <v>12.095593997739664</v>
      </c>
      <c r="BF669" s="61">
        <f t="shared" si="3869"/>
        <v>-23.636722726810333</v>
      </c>
      <c r="BG669" s="86">
        <f>BG566/BG662*400</f>
        <v>12.004454713186286</v>
      </c>
      <c r="BH669" s="61">
        <f>IF(ISERROR((BG669/AY669-1)*100),"NA",IF(((BG669/AY669-1)*100)&gt;100,"NM",IF(((BG669/AY669-1)*100)&lt;-50,"NM",(BG669/AY669-1)*100)))</f>
        <v>-22.570634159036416</v>
      </c>
      <c r="BI669" s="86">
        <f>BI566/BI662*400</f>
        <v>11.620628542938425</v>
      </c>
      <c r="BJ669" s="61">
        <f>IF(ISERROR((BI669/BA669-1)*100),"NA",IF(((BI669/BA669-1)*100)&gt;100,"NM",IF(((BI669/BA669-1)*100)&lt;-50,"NM",(BI669/BA669-1)*100)))</f>
        <v>-19.724968760762607</v>
      </c>
      <c r="BK669" s="86">
        <f>BK566/BK662*400</f>
        <v>9.7484725992285259</v>
      </c>
      <c r="BL669" s="61">
        <f>IF(ISERROR((BK669/BC669-1)*100),"NA",IF(((BK669/BC669-1)*100)&gt;100,"NM",IF(((BK669/BC669-1)*100)&lt;-50,"NM",(BK669/BC669-1)*100)))</f>
        <v>-18.540388903128047</v>
      </c>
      <c r="BM669" s="86">
        <f>BM566/BM662*400</f>
        <v>6.7394948757036079</v>
      </c>
      <c r="BN669" s="61">
        <f>IF(ISERROR((BM669/BE669-1)*100),"NA",IF(((BM669/BE669-1)*100)&gt;100,"NM",IF(((BM669/BE669-1)*100)&lt;-50,"NM",(BM669/BE669-1)*100)))</f>
        <v>-44.281406295854218</v>
      </c>
      <c r="BO669" s="86">
        <f>BO566/BO662*400</f>
        <v>10.152924616416797</v>
      </c>
      <c r="BP669" s="61">
        <f>IF(ISERROR((BO669/BG669-1)*100),"NA",IF(((BO669/BG669-1)*100)&gt;100,"NM",IF(((BO669/BG669-1)*100)&lt;-50,"NM",(BO669/BG669-1)*100)))</f>
        <v>-15.423691796143613</v>
      </c>
      <c r="BQ669" s="86">
        <f>BQ566/BQ662*400</f>
        <v>4.6256486286137903</v>
      </c>
      <c r="BR669" s="61" t="str">
        <f>IF(ISERROR((BQ669/BI669-1)*100),"NA",IF(((BQ669/BI669-1)*100)&gt;100,"NM",IF(((BQ669/BI669-1)*100)&lt;-50,"NM",(BQ669/BI669-1)*100)))</f>
        <v>NM</v>
      </c>
      <c r="BS669" s="86">
        <f>BS566/BS662*400</f>
        <v>5.9086499514946693</v>
      </c>
      <c r="BT669" s="61">
        <f>IF(ISERROR((BS669/BK669-1)*100),"NA",IF(((BS669/BK669-1)*100)&gt;100,"NM",IF(((BS669/BK669-1)*100)&lt;-50,"NM",(BS669/BK669-1)*100)))</f>
        <v>-39.38896692429266</v>
      </c>
      <c r="BU669" s="86">
        <f>BU566/BU662*400</f>
        <v>-23.157424943782939</v>
      </c>
      <c r="BV669" s="61" t="str">
        <f>IF(ISERROR((BU669/BM669-1)*100),"NA",IF(((BU669/BM669-1)*100)&gt;100,"NM",IF(((BU669/BM669-1)*100)&lt;-50,"NM",(BU669/BM669-1)*100)))</f>
        <v>NM</v>
      </c>
      <c r="BW669" s="86">
        <f>BW566/BW662*400</f>
        <v>-30.269478885482904</v>
      </c>
      <c r="BX669" s="61" t="str">
        <f t="shared" si="3870"/>
        <v>NM</v>
      </c>
      <c r="BY669" s="86">
        <f>BY566/BY662*400</f>
        <v>-7.8548080206859483</v>
      </c>
      <c r="BZ669" s="61" t="str">
        <f t="shared" si="3871"/>
        <v>NM</v>
      </c>
      <c r="CA669" s="86">
        <f>CA566/CA662*400</f>
        <v>5.5412988746322025</v>
      </c>
      <c r="CB669" s="61">
        <f t="shared" si="3872"/>
        <v>-6.2171744794179311</v>
      </c>
      <c r="CC669" s="86">
        <f>CC566/CC662*400</f>
        <v>3.1357926871897646</v>
      </c>
      <c r="CD669" s="61" t="str">
        <f t="shared" si="3873"/>
        <v>NM</v>
      </c>
      <c r="CE669" s="86">
        <f>CE566/CE662*400</f>
        <v>8.9029632937716272</v>
      </c>
      <c r="CF669" s="61" t="str">
        <f>IF(ISERROR((CE669/BW669-1)*100),"NA",IF(((CE669/BW669-1)*100)&gt;100,"NM",IF(((CE669/BW669-1)*100)&lt;-50,"NM",(CE669/BW669-1)*100)))</f>
        <v>NM</v>
      </c>
      <c r="CG669" s="86">
        <f>CG566/CG662*400</f>
        <v>2.8800665142382038</v>
      </c>
      <c r="CH669" s="61" t="str">
        <f>IF(ISERROR((CG669/BY669-1)*100),"NA",IF(((CG669/BY669-1)*100)&gt;100,"NM",IF(((CG669/BY669-1)*100)&lt;-50,"NM",(CG669/BY669-1)*100)))</f>
        <v>NM</v>
      </c>
      <c r="CI669" s="86">
        <f>CI566/CI662*400</f>
        <v>7.4520882644880491</v>
      </c>
      <c r="CJ669" s="61">
        <f>IF(ISERROR((CI669/CA669-1)*100),"NA",IF(((CI669/CA669-1)*100)&gt;100,"NM",IF(((CI669/CA669-1)*100)&lt;-50,"NM",(CI669/CA669-1)*100)))</f>
        <v>34.4826986070603</v>
      </c>
      <c r="CK669" s="86">
        <f>CK566/CK662*400</f>
        <v>5.9387387387387331</v>
      </c>
      <c r="CL669" s="61">
        <f>IF(ISERROR((CK669/CC669-1)*100),"NA",IF(((CK669/CC669-1)*100)&gt;100,"NM",IF(((CK669/CC669-1)*100)&lt;-50,"NM",(CK669/CC669-1)*100)))</f>
        <v>89.385566303520974</v>
      </c>
      <c r="CM669" s="86">
        <f>CM566/CM662*400</f>
        <v>10.093226405836509</v>
      </c>
      <c r="CN669" s="61">
        <f>IF(ISERROR((CM669/CE669-1)*100),"NA",IF(((CM669/CE669-1)*100)&gt;100,"NM",IF(((CM669/CE669-1)*100)&lt;-50,"NM",(CM669/CE669-1)*100)))</f>
        <v>13.369291468353817</v>
      </c>
      <c r="CO669" s="86">
        <f>CO566/CO662*400</f>
        <v>9.8408339359273231</v>
      </c>
      <c r="CP669" s="61" t="str">
        <f>IF(ISERROR((CO669/CG669-1)*100),"NA",IF(((CO669/CG669-1)*100)&gt;100,"NM",IF(((CO669/CG669-1)*100)&lt;-50,"NM",(CO669/CG669-1)*100)))</f>
        <v>NM</v>
      </c>
      <c r="CQ669" s="86">
        <f>CQ566/CQ662*400</f>
        <v>4.42753268281656</v>
      </c>
      <c r="CR669" s="61">
        <f>IF(ISERROR((CQ669/CI669-1)*100),"NA",IF(((CQ669/CI669-1)*100)&gt;100,"NM",IF(((CQ669/CI669-1)*100)&lt;-50,"NM",(CQ669/CI669-1)*100)))</f>
        <v>-40.586684890524083</v>
      </c>
      <c r="CS669" s="86">
        <f>CS566/CS662*400</f>
        <v>-15.978734401535849</v>
      </c>
      <c r="CT669" s="61" t="str">
        <f>IF(ISERROR((CS669/CK669-1)*100),"NA",IF(((CS669/CK669-1)*100)&gt;100,"NM",IF(((CS669/CK669-1)*100)&lt;-50,"NM",(CS669/CK669-1)*100)))</f>
        <v>NM</v>
      </c>
      <c r="CU669" s="86">
        <f>CU566/CU662*400</f>
        <v>7.4141876430205951</v>
      </c>
      <c r="CV669" s="61">
        <f>IF(ISERROR((CU669/CM669-1)*100),"NA",IF(((CU669/CM669-1)*100)&gt;100,"NM",IF(((CU669/CM669-1)*100)&lt;-50,"NM",(CU669/CM669-1)*100)))</f>
        <v>-26.542937363088704</v>
      </c>
      <c r="CW669" s="86">
        <f>CW566/CW662*400</f>
        <v>9.3376044773371625</v>
      </c>
      <c r="CX669" s="61">
        <f>IF(ISERROR((CW669/CO669-1)*100),"NA",IF(((CW669/CO669-1)*100)&gt;100,"NM",IF(((CW669/CO669-1)*100)&lt;-50,"NM",(CW669/CO669-1)*100)))</f>
        <v>-5.1136871312597805</v>
      </c>
      <c r="CY669" s="86">
        <f>CY566/CY662*400</f>
        <v>11.742515175417537</v>
      </c>
      <c r="CZ669" s="61" t="str">
        <f>IF(ISERROR((CY669/CQ669-1)*100),"NA",IF(((CY669/CQ669-1)*100)&gt;100,"NM",IF(((CY669/CQ669-1)*100)&lt;-50,"NM",(CY669/CQ669-1)*100)))</f>
        <v>NM</v>
      </c>
      <c r="DA669" s="86">
        <f>DA566/DA662*400</f>
        <v>8.5063964113640154</v>
      </c>
      <c r="DB669" s="61" t="str">
        <f>IF(ISERROR((DA669/CS669-1)*100),"NA",IF(((DA669/CS669-1)*100)&gt;100,"NM",IF(((DA669/CS669-1)*100)&lt;-50,"NM",(DA669/CS669-1)*100)))</f>
        <v>NM</v>
      </c>
      <c r="DC669" s="86">
        <f>DC566/DC662*400</f>
        <v>6.4081509535140926</v>
      </c>
      <c r="DD669" s="61">
        <f>IF(ISERROR((DC669/CU669-1)*100),"NA",IF(((DC669/CU669-1)*100)&gt;100,"NM",IF(((DC669/CU669-1)*100)&lt;-50,"NM",(DC669/CU669-1)*100)))</f>
        <v>-13.569075102294493</v>
      </c>
      <c r="DE669" s="86">
        <f>DE566/DE662*400</f>
        <v>8.9996096383831929</v>
      </c>
      <c r="DF669" s="61">
        <f>IF(ISERROR((DE669/CW669-1)*100),"NA",IF(((DE669/CW669-1)*100)&gt;100,"NM",IF(((DE669/CW669-1)*100)&lt;-50,"NM",(DE669/CW669-1)*100)))</f>
        <v>-3.6197168103907162</v>
      </c>
      <c r="DG669" s="86">
        <f>DG566/DG662*400</f>
        <v>10.09510971317307</v>
      </c>
      <c r="DH669" s="61">
        <f>IF(ISERROR((DG669/CY669-1)*100),"NA",IF(((DG669/CY669-1)*100)&gt;100,"NM",IF(((DG669/CY669-1)*100)&lt;-50,"NM",(DG669/CY669-1)*100)))</f>
        <v>-14.029408841584823</v>
      </c>
      <c r="DI669" s="86">
        <f>DI566/DI662*400</f>
        <v>10.461217494970569</v>
      </c>
      <c r="DJ669" s="61">
        <f>IF(ISERROR((DI669/DA669-1)*100),"NA",IF(((DI669/DA669-1)*100)&gt;100,"NM",IF(((DI669/DA669-1)*100)&lt;-50,"NM",(DI669/DA669-1)*100)))</f>
        <v>22.980601762163765</v>
      </c>
      <c r="DK669" s="86">
        <f>DK566/DK662*400</f>
        <v>9.3915533285612032</v>
      </c>
      <c r="DL669" s="61">
        <f>IF(ISERROR((DK669/DC669-1)*100),"NA",IF(((DK669/DC669-1)*100)&gt;100,"NM",IF(((DK669/DC669-1)*100)&lt;-50,"NM",(DK669/DC669-1)*100)))</f>
        <v>46.556368548263926</v>
      </c>
      <c r="DM669" s="86">
        <f>DM566/DM662*400</f>
        <v>10.662034872068944</v>
      </c>
      <c r="DN669" s="130">
        <f t="shared" si="3944"/>
        <v>18.472192689286572</v>
      </c>
      <c r="DO669" s="86">
        <f>DO566/DO662*400</f>
        <v>11.416367342976411</v>
      </c>
      <c r="DP669" s="130">
        <f t="shared" si="3944"/>
        <v>13.08809579433532</v>
      </c>
      <c r="DQ669" s="86">
        <f>DQ566/DQ662*400</f>
        <v>8.9510130802769936</v>
      </c>
      <c r="DR669" s="130">
        <f t="shared" si="3944"/>
        <v>-14.436220405699762</v>
      </c>
      <c r="DS669" s="86">
        <f>DS566/DS662*400</f>
        <v>7.508681913462441</v>
      </c>
      <c r="DT669" s="130">
        <f t="shared" si="3944"/>
        <v>-20.048562247659842</v>
      </c>
      <c r="DU669" s="86">
        <f>DU566/DU662*400</f>
        <v>8.8998124312787024</v>
      </c>
      <c r="DV669" s="130">
        <f t="shared" si="3944"/>
        <v>-16.528012353501953</v>
      </c>
      <c r="DW669" s="86">
        <f>DW566/DW662*400</f>
        <v>6.0481099656357387</v>
      </c>
      <c r="DX669" s="86">
        <f t="shared" ref="DX669:DY669" si="3974">DX566/DX662*400</f>
        <v>12.225505278851541</v>
      </c>
      <c r="DY669" s="86">
        <f t="shared" si="3974"/>
        <v>8.0805196659290459</v>
      </c>
      <c r="DZ669" s="130">
        <f t="shared" si="3944"/>
        <v>-9.72508258608209</v>
      </c>
      <c r="EA669" s="86">
        <f t="shared" ref="EA669:EC669" si="3975">EA566/EA662*400</f>
        <v>5.6870026525198938</v>
      </c>
      <c r="EB669" s="130">
        <f t="shared" si="3947"/>
        <v>-24.260972590627759</v>
      </c>
      <c r="EC669" s="86">
        <f t="shared" si="3975"/>
        <v>8.5028451828111713</v>
      </c>
      <c r="ED669" s="130">
        <f t="shared" si="3948"/>
        <v>-4.460400166102108</v>
      </c>
      <c r="EE669" s="86">
        <f t="shared" ref="EE669:EG669" si="3976">EE566/EE662*400</f>
        <v>11.58701113419967</v>
      </c>
      <c r="EF669" s="130">
        <f t="shared" si="3950"/>
        <v>91.580695457505911</v>
      </c>
      <c r="EG669" s="86">
        <f t="shared" si="3976"/>
        <v>4.93490471088601</v>
      </c>
      <c r="EH669" s="130">
        <f t="shared" si="3951"/>
        <v>-38.928374474556435</v>
      </c>
      <c r="EI669" s="86">
        <f t="shared" ref="EI669:EK669" si="3977">EI566/EI662*400</f>
        <v>11.8162371396557</v>
      </c>
      <c r="EJ669" s="130" t="str">
        <f t="shared" si="3953"/>
        <v>NM</v>
      </c>
      <c r="EK669" s="86">
        <f t="shared" si="3977"/>
        <v>10.617068681584811</v>
      </c>
      <c r="EL669" s="130">
        <f t="shared" si="3954"/>
        <v>24.864894671346292</v>
      </c>
      <c r="EM669" s="86">
        <f t="shared" ref="EM669" si="3978">EM566/EM662*400</f>
        <v>10.349736923553079</v>
      </c>
      <c r="EN669" s="130">
        <f t="shared" si="3956"/>
        <v>-10.678113590438443</v>
      </c>
      <c r="EO669" s="86">
        <f t="shared" ref="EO669" si="3979">EO566/EO662*400</f>
        <v>19.407777381377095</v>
      </c>
      <c r="EP669" s="130" t="str">
        <f t="shared" si="3958"/>
        <v>NM</v>
      </c>
      <c r="EQ669" s="86">
        <f t="shared" ref="EQ669:EW669" si="3980">EQ566/EQ662*400</f>
        <v>8.3405267039977993</v>
      </c>
      <c r="ER669" s="130">
        <f t="shared" si="3960"/>
        <v>-29.414697712804838</v>
      </c>
      <c r="ES669" s="86">
        <f t="shared" si="3980"/>
        <v>8.8196946749946008</v>
      </c>
      <c r="ET669" s="130">
        <f t="shared" si="3961"/>
        <v>-16.929098421560894</v>
      </c>
      <c r="EU669" s="86">
        <f t="shared" si="3980"/>
        <v>8.6387926637396273</v>
      </c>
      <c r="EV669" s="130">
        <f t="shared" si="3962"/>
        <v>-16.531282606032484</v>
      </c>
      <c r="EW669" s="86">
        <f t="shared" si="3980"/>
        <v>8.8254076214562982</v>
      </c>
      <c r="EX669" s="130" t="str">
        <f t="shared" si="3963"/>
        <v>NM</v>
      </c>
      <c r="EY669" s="356"/>
      <c r="EZ669" s="558"/>
      <c r="FA669" s="356"/>
      <c r="FB669" s="412">
        <f>FB566/FB662*100</f>
        <v>10.757959288798693</v>
      </c>
      <c r="FC669" s="71"/>
      <c r="FD669" s="412">
        <f>FD566/FD662*100</f>
        <v>9.4864550435148658</v>
      </c>
      <c r="FE669" s="70">
        <f>IF(ISERROR((FD669/FB669-1)*100),"NA",IF(((FD669/FB669-1)*100)&gt;100,"NM",IF(((FD669/FB669-1)*100)&lt;-50,"NM",(FD669/FB669-1)*100)))</f>
        <v>-11.819195547688411</v>
      </c>
      <c r="FF669" s="86">
        <f>FF566/FF662*100</f>
        <v>12.69906704274246</v>
      </c>
      <c r="FG669" s="70">
        <f>IF(ISERROR((FF669/FD669-1)*100),"NA",IF(((FF669/FD669-1)*100)&gt;100,"NM",IF(((FF669/FD669-1)*100)&lt;-50,"NM",(FF669/FD669-1)*100)))</f>
        <v>33.865252979022983</v>
      </c>
      <c r="FH669" s="86">
        <f>FH566/FH662*100</f>
        <v>10.639604597432223</v>
      </c>
      <c r="FI669" s="70">
        <f>IF(ISERROR((FH669/FF669-1)*100),"NA",IF(((FH669/FF669-1)*100)&gt;100,"NM",IF(((FH669/FF669-1)*100)&lt;-50,"NM",(FH669/FF669-1)*100)))</f>
        <v>-16.217431078822621</v>
      </c>
      <c r="FJ669" s="86">
        <f>FJ566/FJ662*100</f>
        <v>0.92758630401922737</v>
      </c>
      <c r="FK669" s="70" t="str">
        <f>IF(ISERROR((FJ669/FH669-1)*100),"NA",IF(((FJ669/FH669-1)*100)&gt;100,"NM",IF(((FJ669/FH669-1)*100)&lt;-50,"NM",(FJ669/FH669-1)*100)))</f>
        <v>NM</v>
      </c>
      <c r="FL669" s="86">
        <f>FL566/FL662*100</f>
        <v>9.1727827512971469</v>
      </c>
      <c r="FM669" s="61" t="str">
        <f>IF(ISERROR((FL669/FJ669-1)*100),"NA",IF(((FL669/FJ669-1)*100)&gt;100,"NM",IF(((FL669/FJ669-1)*100)&lt;-50,"NM",(FL669/FJ669-1)*100)))</f>
        <v>NM</v>
      </c>
      <c r="FN669" s="86">
        <f>FN566/FN662*100</f>
        <v>11.791243993593165</v>
      </c>
      <c r="FO669" s="61">
        <f>IF(ISERROR((FN669/FL669-1)*100),"NA",IF(((FN669/FL669-1)*100)&gt;100,"NM",IF(((FN669/FL669-1)*100)&lt;-50,"NM",(FN669/FL669-1)*100)))</f>
        <v>28.545985589004985</v>
      </c>
      <c r="FP669" s="176">
        <f>FP566/FP662*100</f>
        <v>15.26203821656051</v>
      </c>
      <c r="FQ669" s="61">
        <f t="shared" si="3844"/>
        <v>43.445539510405041</v>
      </c>
      <c r="FR669" s="176">
        <f>FR566/FR662*100</f>
        <v>13.827412915514326</v>
      </c>
      <c r="FS669" s="61">
        <f>IF(ISERROR((FR669/FP669-1)*100),"NA",IF(((FR669/FP669-1)*100)&gt;100,"NM",IF(((FR669/FP669-1)*100)&lt;-50,"NM",(FR669/FP669-1)*100)))</f>
        <v>-9.3999587780451481</v>
      </c>
      <c r="FT669" s="176">
        <f>FT566/FT662*100</f>
        <v>10.011120680284618</v>
      </c>
      <c r="FU669" s="61">
        <f>IF(ISERROR((FT669/FR669-1)*100),"NA",IF(((FT669/FR669-1)*100)&gt;100,"NM",IF(((FT669/FR669-1)*100)&lt;-50,"NM",(FT669/FR669-1)*100)))</f>
        <v>-27.59946678780263</v>
      </c>
      <c r="FV669" s="176">
        <f>FV566/FV662*100</f>
        <v>0.5688492627645364</v>
      </c>
      <c r="FW669" s="61" t="str">
        <f>IF(ISERROR((FV669/FT669-1)*100),"NA",IF(((FV669/FT669-1)*100)&gt;100,"NM",IF(((FV669/FT669-1)*100)&lt;-50,"NM",(FV669/FT669-1)*100)))</f>
        <v>NM</v>
      </c>
      <c r="FX669" s="88">
        <f>FX566/FX662*100</f>
        <v>-5.4984817411487876</v>
      </c>
      <c r="FY669" s="61" t="str">
        <f>IF(ISERROR((FX669/FV669-1)*100),"NA",IF(((FX669/FV669-1)*100)&gt;100,"NM",IF(((FX669/FV669-1)*100)&lt;-50,"NM",(FX669/FV669-1)*100)))</f>
        <v>NM</v>
      </c>
      <c r="FZ669" s="88">
        <f>FZ566/FZ662*100</f>
        <v>6.5235095299781793</v>
      </c>
      <c r="GA669" s="61" t="str">
        <f>IF(ISERROR((FZ669/FX669-1)*100),"NA",IF(((FZ669/FX669-1)*100)&gt;100,"NM",IF(((FZ669/FX669-1)*100)&lt;-50,"NM",(FZ669/FX669-1)*100)))</f>
        <v>NM</v>
      </c>
      <c r="GB669" s="88">
        <f>GB566/GB662*100</f>
        <v>1.717016529372255</v>
      </c>
      <c r="GC669" s="61" t="str">
        <f>IF(ISERROR((GB669/FZ669-1)*100),"NA",IF(((GB669/FZ669-1)*100)&gt;100,"NM",IF(((GB669/FZ669-1)*100)&lt;-50,"NM",(GB669/FZ669-1)*100)))</f>
        <v>NM</v>
      </c>
      <c r="GD669" s="88">
        <f>GD566/GD662*100</f>
        <v>9.3256866027855949</v>
      </c>
      <c r="GE669" s="61" t="str">
        <f>IF(ISERROR((GD669/GB669-1)*100),"NA",IF(((GD669/GB669-1)*100)&gt;100,"NM",IF(((GD669/GB669-1)*100)&lt;-50,"NM",(GD669/GB669-1)*100)))</f>
        <v>NM</v>
      </c>
      <c r="GF669" s="88">
        <f>GF566/GF662*100</f>
        <v>8.7525504819531417</v>
      </c>
      <c r="GG669" s="61">
        <f>IF(ISERROR((GF669/GD669-1)*100),"NA",IF(((GF669/GD669-1)*100)&gt;100,"NM",IF(((GF669/GD669-1)*100)&lt;-50,"NM",(GF669/GD669-1)*100)))</f>
        <v>-6.1457793430593766</v>
      </c>
      <c r="GH669" s="88">
        <f>GH566/GH662*100</f>
        <v>10.392902408111533</v>
      </c>
      <c r="GI669" s="61">
        <f>IF(ISERROR((GH669/GF669-1)*100),"NA",IF(((GH669/GF669-1)*100)&gt;100,"NM",IF(((GH669/GF669-1)*100)&lt;-50,"NM",(GH669/GF669-1)*100)))</f>
        <v>18.741416339621566</v>
      </c>
      <c r="GJ669" s="88">
        <f>GJ566/GJ662*100</f>
        <v>7.81414994720169</v>
      </c>
      <c r="GK669" s="61">
        <f>IF(ISERROR((GJ669/GH669-1)*100),"NA",IF(((GJ669/GH669-1)*100)&gt;100,"NM",IF(((GJ669/GH669-1)*100)&lt;-50,"NM",(GJ669/GH669-1)*100)))</f>
        <v>-24.812630386071543</v>
      </c>
      <c r="GL669" s="88">
        <f>GL566/GL662*100</f>
        <v>8.4214273002313575</v>
      </c>
      <c r="GM669" s="61">
        <f>IF(ISERROR((GL669/GJ669-1)*100),"NA",IF(((GL669/GJ669-1)*100)&gt;100,"NM",IF(((GL669/GJ669-1)*100)&lt;-50,"NM",(GL669/GJ669-1)*100)))</f>
        <v>7.7715088286364198</v>
      </c>
      <c r="GN669" s="88">
        <f>GN566/GN662*100</f>
        <v>13.081761006289309</v>
      </c>
      <c r="GO669" s="61">
        <f>IF(ISERROR((GN669/GL669-1)*100),"NA",IF(((GN669/GL669-1)*100)&gt;100,"NM",IF(((GN669/GL669-1)*100)&lt;-50,"NM",(GN669/GL669-1)*100)))</f>
        <v>55.339000622019505</v>
      </c>
      <c r="GP669" s="88">
        <f>GP566/GP662*100</f>
        <v>8.6720046173896765</v>
      </c>
      <c r="GQ669" s="61">
        <f>IF(ISERROR((GP669/GN669-1)*100),"NA",IF(((GP669/GN669-1)*100)&gt;100,"NM",IF(((GP669/GN669-1)*100)&lt;-50,"NM",(GP669/GN669-1)*100)))</f>
        <v>-33.709195472838537</v>
      </c>
      <c r="GR669" s="86">
        <f>GR566/GR662*100</f>
        <v>8.799337755226512</v>
      </c>
      <c r="GS669" s="61">
        <f>IF(ISERROR((GR669/GP669-1)*100),"NA",IF(((GR669/GP669-1)*100)&gt;100,"NM",IF(((GR669/GP669-1)*100)&lt;-50,"NM",(GR669/GP669-1)*100)))</f>
        <v>1.468324147123945</v>
      </c>
      <c r="GT669" s="86">
        <f>GT566/GT662*100</f>
        <v>9.5138048585182613</v>
      </c>
      <c r="GU669" s="61">
        <f>IF(ISERROR((GT669/GR669-1)*100),"NA",IF(((GT669/GR669-1)*100)&gt;100,"NM",IF(((GT669/GR669-1)*100)&lt;-50,"NM",(GT669/GR669-1)*100)))</f>
        <v>8.1195553934428677</v>
      </c>
      <c r="GV669" s="86">
        <f>GV566/GV662*100</f>
        <v>9.6426759233791106</v>
      </c>
      <c r="GW669" s="61">
        <f>IF(ISERROR((GV669/GT669-1)*100),"NA",IF(((GV669/GT669-1)*100)&gt;100,"NM",IF(((GV669/GT669-1)*100)&lt;-50,"NM",(GV669/GT669-1)*100)))</f>
        <v>1.354569142181461</v>
      </c>
      <c r="GX669" s="86">
        <f>GX566/GX662*100</f>
        <v>9.6931496830775377</v>
      </c>
      <c r="GY669" s="61">
        <f>IF(ISERROR((GX669/GV669-1)*100),"NA",IF(((GX669/GV669-1)*100)&gt;100,"NM",IF(((GX669/GV669-1)*100)&lt;-50,"NM",(GX669/GV669-1)*100)))</f>
        <v>0.52344141916094156</v>
      </c>
      <c r="GZ669" s="61">
        <f t="shared" si="3732"/>
        <v>-5.8197710826376703</v>
      </c>
      <c r="HA669" s="61"/>
      <c r="HB669" s="452"/>
      <c r="HC669"/>
      <c r="HD669"/>
      <c r="HE669"/>
      <c r="HF669"/>
      <c r="HG669"/>
      <c r="HH669"/>
    </row>
    <row r="670" spans="1:216" s="5" customFormat="1" ht="12.75" customHeight="1" x14ac:dyDescent="0.2">
      <c r="B670" s="7"/>
      <c r="C670" s="66"/>
      <c r="D670" s="67"/>
      <c r="E670" s="66"/>
      <c r="F670" s="66"/>
      <c r="G670" s="66"/>
      <c r="H670" s="66"/>
      <c r="I670" s="66"/>
      <c r="J670" s="66"/>
      <c r="K670" s="66"/>
      <c r="L670" s="61"/>
      <c r="M670" s="66"/>
      <c r="N670" s="61"/>
      <c r="O670" s="66"/>
      <c r="P670" s="61"/>
      <c r="Q670" s="66"/>
      <c r="R670" s="61"/>
      <c r="S670" s="66"/>
      <c r="T670" s="61"/>
      <c r="U670" s="66"/>
      <c r="V670" s="61"/>
      <c r="W670" s="66"/>
      <c r="X670" s="61"/>
      <c r="Y670" s="66"/>
      <c r="Z670" s="61"/>
      <c r="AA670" s="66"/>
      <c r="AB670" s="61"/>
      <c r="AC670" s="66"/>
      <c r="AD670" s="61"/>
      <c r="AE670" s="66"/>
      <c r="AF670" s="61"/>
      <c r="AG670" s="66"/>
      <c r="AH670" s="61"/>
      <c r="AI670" s="66"/>
      <c r="AJ670" s="61"/>
      <c r="AK670" s="66"/>
      <c r="AL670" s="61"/>
      <c r="AM670" s="66"/>
      <c r="AN670" s="61"/>
      <c r="AO670" s="66"/>
      <c r="AP670" s="61"/>
      <c r="AQ670" s="66"/>
      <c r="AR670" s="61"/>
      <c r="AS670" s="66"/>
      <c r="AT670" s="61"/>
      <c r="AU670" s="66"/>
      <c r="AV670" s="61"/>
      <c r="AW670" s="66"/>
      <c r="AX670" s="61"/>
      <c r="AY670" s="66"/>
      <c r="AZ670" s="61"/>
      <c r="BA670" s="66"/>
      <c r="BB670" s="61"/>
      <c r="BC670" s="66"/>
      <c r="BD670" s="61"/>
      <c r="BE670" s="66"/>
      <c r="BF670" s="61"/>
      <c r="BG670" s="66"/>
      <c r="BH670" s="61"/>
      <c r="BI670" s="66"/>
      <c r="BJ670" s="61"/>
      <c r="BK670" s="66"/>
      <c r="BL670" s="61"/>
      <c r="BM670" s="66"/>
      <c r="BN670" s="61"/>
      <c r="BO670" s="66"/>
      <c r="BP670" s="61"/>
      <c r="BQ670" s="66"/>
      <c r="BR670" s="61"/>
      <c r="BS670" s="66"/>
      <c r="BT670" s="61"/>
      <c r="BU670" s="66"/>
      <c r="BV670" s="61"/>
      <c r="BW670" s="66"/>
      <c r="BX670" s="61"/>
      <c r="BY670" s="66"/>
      <c r="BZ670" s="61"/>
      <c r="CA670" s="66"/>
      <c r="CB670" s="61"/>
      <c r="CC670" s="66"/>
      <c r="CD670" s="61"/>
      <c r="CE670" s="66"/>
      <c r="CF670" s="61"/>
      <c r="CG670" s="66"/>
      <c r="CH670" s="61"/>
      <c r="CI670" s="66"/>
      <c r="CJ670" s="61"/>
      <c r="CK670" s="66"/>
      <c r="CL670" s="61"/>
      <c r="CM670" s="66"/>
      <c r="CN670" s="61"/>
      <c r="CO670" s="66"/>
      <c r="CP670" s="61"/>
      <c r="CQ670" s="66"/>
      <c r="CR670" s="61"/>
      <c r="CS670" s="66"/>
      <c r="CT670" s="61"/>
      <c r="CU670" s="66"/>
      <c r="CV670" s="61"/>
      <c r="CW670" s="66"/>
      <c r="CX670" s="61"/>
      <c r="CY670" s="66"/>
      <c r="CZ670" s="61"/>
      <c r="DA670" s="66"/>
      <c r="DB670" s="61"/>
      <c r="DC670" s="66"/>
      <c r="DD670" s="61"/>
      <c r="DE670" s="66"/>
      <c r="DF670" s="61"/>
      <c r="DG670" s="66"/>
      <c r="DH670" s="61"/>
      <c r="DI670" s="66"/>
      <c r="DJ670" s="61"/>
      <c r="DK670" s="66"/>
      <c r="DL670" s="61"/>
      <c r="DM670" s="66"/>
      <c r="DN670" s="61"/>
      <c r="DO670" s="66"/>
      <c r="DP670" s="61"/>
      <c r="DQ670" s="66"/>
      <c r="DR670" s="61"/>
      <c r="DS670" s="66"/>
      <c r="DT670" s="61"/>
      <c r="DU670" s="66"/>
      <c r="DV670" s="61"/>
      <c r="DW670" s="66"/>
      <c r="DX670" s="66"/>
      <c r="DY670" s="66"/>
      <c r="DZ670" s="61"/>
      <c r="EA670" s="66"/>
      <c r="EB670" s="61"/>
      <c r="EC670" s="66"/>
      <c r="ED670" s="61"/>
      <c r="EE670" s="66"/>
      <c r="EF670" s="61"/>
      <c r="EG670" s="66"/>
      <c r="EH670" s="61"/>
      <c r="EI670" s="66"/>
      <c r="EJ670" s="61"/>
      <c r="EK670" s="66"/>
      <c r="EL670" s="61"/>
      <c r="EM670" s="66"/>
      <c r="EN670" s="61"/>
      <c r="EO670" s="66"/>
      <c r="EP670" s="61"/>
      <c r="EQ670" s="66"/>
      <c r="ER670" s="61"/>
      <c r="ES670" s="66"/>
      <c r="ET670" s="61"/>
      <c r="EU670" s="66"/>
      <c r="EV670" s="61"/>
      <c r="EW670" s="66"/>
      <c r="EX670" s="61"/>
      <c r="EY670" s="356"/>
      <c r="EZ670" s="558"/>
      <c r="FA670" s="356"/>
      <c r="FB670" s="59"/>
      <c r="FC670" s="66"/>
      <c r="FD670" s="66"/>
      <c r="FE670" s="67"/>
      <c r="FF670" s="66"/>
      <c r="FG670" s="67"/>
      <c r="FH670" s="66"/>
      <c r="FI670" s="67"/>
      <c r="FJ670" s="66"/>
      <c r="FK670" s="67"/>
      <c r="FL670" s="66"/>
      <c r="FM670" s="61"/>
      <c r="FN670" s="66"/>
      <c r="FO670" s="61"/>
      <c r="FP670" s="16"/>
      <c r="FQ670" s="61"/>
      <c r="FR670" s="16"/>
      <c r="FS670" s="61"/>
      <c r="FT670" s="16"/>
      <c r="FU670" s="61"/>
      <c r="FV670" s="16"/>
      <c r="FW670" s="61"/>
      <c r="FX670" s="16"/>
      <c r="FY670" s="61"/>
      <c r="FZ670" s="16"/>
      <c r="GA670" s="61"/>
      <c r="GB670" s="16"/>
      <c r="GC670" s="61"/>
      <c r="GD670" s="16"/>
      <c r="GE670" s="61"/>
      <c r="GF670" s="16"/>
      <c r="GG670" s="61"/>
      <c r="GH670" s="16"/>
      <c r="GI670" s="61"/>
      <c r="GJ670" s="16"/>
      <c r="GK670" s="61"/>
      <c r="GL670" s="16"/>
      <c r="GM670" s="61"/>
      <c r="GN670" s="16"/>
      <c r="GO670" s="61"/>
      <c r="GP670" s="16"/>
      <c r="GQ670" s="61"/>
      <c r="GR670" s="66"/>
      <c r="GS670" s="61"/>
      <c r="GT670" s="66"/>
      <c r="GU670" s="61"/>
      <c r="GV670" s="66"/>
      <c r="GW670" s="61"/>
      <c r="GX670" s="66"/>
      <c r="GY670" s="61"/>
      <c r="GZ670" s="61" t="str">
        <f t="shared" si="3732"/>
        <v/>
      </c>
      <c r="HA670" s="61"/>
      <c r="HB670" s="452"/>
      <c r="HC670"/>
      <c r="HD670"/>
      <c r="HE670"/>
      <c r="HF670"/>
      <c r="HG670"/>
      <c r="HH670"/>
    </row>
    <row r="671" spans="1:216" s="5" customFormat="1" ht="12.75" customHeight="1" x14ac:dyDescent="0.2">
      <c r="B671" s="105" t="s">
        <v>654</v>
      </c>
      <c r="C671" s="356"/>
      <c r="D671" s="107"/>
      <c r="E671" s="356"/>
      <c r="F671" s="64"/>
      <c r="G671" s="64"/>
      <c r="H671" s="64"/>
      <c r="I671" s="356"/>
      <c r="J671" s="64"/>
      <c r="K671" s="356"/>
      <c r="L671" s="61"/>
      <c r="M671" s="356"/>
      <c r="N671" s="61"/>
      <c r="O671" s="64"/>
      <c r="P671" s="61"/>
      <c r="Q671" s="64"/>
      <c r="R671" s="61"/>
      <c r="S671" s="64"/>
      <c r="T671" s="61"/>
      <c r="U671" s="356"/>
      <c r="V671" s="61"/>
      <c r="W671" s="64"/>
      <c r="X671" s="61"/>
      <c r="Y671" s="64"/>
      <c r="Z671" s="61"/>
      <c r="AA671" s="64"/>
      <c r="AB671" s="61"/>
      <c r="AC671" s="64"/>
      <c r="AD671" s="61"/>
      <c r="AE671" s="64"/>
      <c r="AF671" s="61"/>
      <c r="AG671" s="64"/>
      <c r="AH671" s="61"/>
      <c r="AI671" s="64"/>
      <c r="AJ671" s="61"/>
      <c r="AK671" s="64"/>
      <c r="AL671" s="61"/>
      <c r="AM671" s="64"/>
      <c r="AN671" s="61"/>
      <c r="AO671" s="64"/>
      <c r="AP671" s="61"/>
      <c r="AQ671" s="64"/>
      <c r="AR671" s="61"/>
      <c r="AS671" s="64"/>
      <c r="AT671" s="61"/>
      <c r="AU671" s="64"/>
      <c r="AV671" s="61"/>
      <c r="AW671" s="64"/>
      <c r="AX671" s="61"/>
      <c r="AY671" s="64"/>
      <c r="AZ671" s="61"/>
      <c r="BA671" s="64"/>
      <c r="BB671" s="61"/>
      <c r="BC671" s="64"/>
      <c r="BD671" s="61"/>
      <c r="BE671" s="64"/>
      <c r="BF671" s="61"/>
      <c r="BG671" s="64"/>
      <c r="BH671" s="61"/>
      <c r="BI671" s="64"/>
      <c r="BJ671" s="61"/>
      <c r="BK671" s="64"/>
      <c r="BL671" s="61"/>
      <c r="BM671" s="64"/>
      <c r="BN671" s="61"/>
      <c r="BO671" s="64"/>
      <c r="BP671" s="61"/>
      <c r="BQ671" s="64"/>
      <c r="BR671" s="61"/>
      <c r="BS671" s="64"/>
      <c r="BT671" s="61"/>
      <c r="BU671" s="64"/>
      <c r="BV671" s="61"/>
      <c r="BW671" s="356"/>
      <c r="BX671" s="61"/>
      <c r="BY671" s="356"/>
      <c r="BZ671" s="61"/>
      <c r="CA671" s="356"/>
      <c r="CB671" s="61"/>
      <c r="CC671" s="356"/>
      <c r="CD671" s="61"/>
      <c r="CE671" s="356"/>
      <c r="CF671" s="61"/>
      <c r="CG671" s="356"/>
      <c r="CH671" s="61"/>
      <c r="CI671" s="356"/>
      <c r="CJ671" s="61"/>
      <c r="CK671" s="356"/>
      <c r="CL671" s="61"/>
      <c r="CM671" s="356"/>
      <c r="CN671" s="61"/>
      <c r="CO671" s="356"/>
      <c r="CP671" s="61"/>
      <c r="CQ671" s="356"/>
      <c r="CR671" s="61"/>
      <c r="CS671" s="356"/>
      <c r="CT671" s="61"/>
      <c r="CU671" s="356"/>
      <c r="CV671" s="61"/>
      <c r="CW671" s="356"/>
      <c r="CX671" s="61"/>
      <c r="CY671" s="356"/>
      <c r="CZ671" s="61"/>
      <c r="DA671" s="356"/>
      <c r="DB671" s="61"/>
      <c r="DC671" s="356"/>
      <c r="DD671" s="61"/>
      <c r="DE671" s="356"/>
      <c r="DF671" s="61"/>
      <c r="DG671" s="356"/>
      <c r="DH671" s="61"/>
      <c r="DI671" s="356"/>
      <c r="DJ671" s="61"/>
      <c r="DK671" s="356"/>
      <c r="DL671" s="61"/>
      <c r="DM671" s="356"/>
      <c r="DN671" s="61"/>
      <c r="DO671" s="356"/>
      <c r="DP671" s="61"/>
      <c r="DQ671" s="356"/>
      <c r="DR671" s="61"/>
      <c r="DS671" s="356"/>
      <c r="DT671" s="61"/>
      <c r="DU671" s="356"/>
      <c r="DV671" s="61"/>
      <c r="DW671" s="356"/>
      <c r="DX671" s="356"/>
      <c r="DY671" s="356"/>
      <c r="DZ671" s="61"/>
      <c r="EA671" s="356"/>
      <c r="EB671" s="61"/>
      <c r="EC671" s="356"/>
      <c r="ED671" s="61"/>
      <c r="EE671" s="356"/>
      <c r="EF671" s="61"/>
      <c r="EG671" s="356"/>
      <c r="EH671" s="61"/>
      <c r="EI671" s="356"/>
      <c r="EJ671" s="61"/>
      <c r="EK671" s="356"/>
      <c r="EL671" s="61"/>
      <c r="EM671" s="356"/>
      <c r="EN671" s="61"/>
      <c r="EO671" s="356"/>
      <c r="EP671" s="61"/>
      <c r="EQ671" s="356"/>
      <c r="ER671" s="61"/>
      <c r="ES671" s="356"/>
      <c r="ET671" s="61"/>
      <c r="EU671" s="356"/>
      <c r="EV671" s="61"/>
      <c r="EW671" s="356"/>
      <c r="EX671" s="61"/>
      <c r="EY671" s="64"/>
      <c r="EZ671" s="558"/>
      <c r="FA671" s="64"/>
      <c r="FB671" s="356"/>
      <c r="FC671" s="64"/>
      <c r="FD671" s="64"/>
      <c r="FE671" s="107"/>
      <c r="FF671" s="356"/>
      <c r="FG671" s="107"/>
      <c r="FH671" s="356"/>
      <c r="FI671" s="107"/>
      <c r="FJ671" s="356"/>
      <c r="FK671" s="107"/>
      <c r="FL671" s="356"/>
      <c r="FM671" s="61"/>
      <c r="FN671" s="356"/>
      <c r="FO671" s="61"/>
      <c r="FP671" s="357"/>
      <c r="FQ671" s="61"/>
      <c r="FR671" s="357"/>
      <c r="FS671" s="61"/>
      <c r="FT671" s="357"/>
      <c r="FU671" s="61"/>
      <c r="FV671" s="357"/>
      <c r="FW671" s="61"/>
      <c r="FX671" s="411"/>
      <c r="FY671" s="61"/>
      <c r="FZ671" s="411"/>
      <c r="GA671" s="61"/>
      <c r="GB671" s="411"/>
      <c r="GC671" s="61"/>
      <c r="GD671" s="411"/>
      <c r="GE671" s="61"/>
      <c r="GF671" s="411"/>
      <c r="GG671" s="61"/>
      <c r="GH671" s="411"/>
      <c r="GI671" s="61"/>
      <c r="GJ671" s="411"/>
      <c r="GK671" s="61"/>
      <c r="GL671" s="411"/>
      <c r="GM671" s="61"/>
      <c r="GN671" s="411"/>
      <c r="GO671" s="61"/>
      <c r="GP671" s="411"/>
      <c r="GQ671" s="61"/>
      <c r="GR671" s="356"/>
      <c r="GS671" s="61"/>
      <c r="GT671" s="356"/>
      <c r="GU671" s="61"/>
      <c r="GV671" s="356"/>
      <c r="GW671" s="61"/>
      <c r="GX671" s="356"/>
      <c r="GY671" s="61"/>
      <c r="GZ671" s="61" t="str">
        <f t="shared" si="3732"/>
        <v/>
      </c>
      <c r="HA671" s="61"/>
      <c r="HB671" s="452"/>
      <c r="HC671"/>
      <c r="HD671"/>
      <c r="HE671"/>
      <c r="HF671"/>
      <c r="HG671"/>
      <c r="HH671"/>
    </row>
    <row r="672" spans="1:216" s="5" customFormat="1" ht="12.75" customHeight="1" x14ac:dyDescent="0.2">
      <c r="A672" s="5" t="s">
        <v>314</v>
      </c>
      <c r="B672" s="7" t="s">
        <v>560</v>
      </c>
      <c r="C672" s="91">
        <f>+C644+C647+C657</f>
        <v>5463.6</v>
      </c>
      <c r="D672" s="107"/>
      <c r="E672" s="91">
        <f>+E644+E647+E657</f>
        <v>5492.4000000000005</v>
      </c>
      <c r="F672" s="64"/>
      <c r="G672" s="91">
        <f>+G644+G647+G657</f>
        <v>5588.5</v>
      </c>
      <c r="H672" s="64"/>
      <c r="I672" s="91">
        <f>+I644+I647+I657</f>
        <v>5654.3</v>
      </c>
      <c r="J672" s="64"/>
      <c r="K672" s="91">
        <f>+K644+K647+K657</f>
        <v>5648.0000000000009</v>
      </c>
      <c r="L672" s="61">
        <f t="shared" ref="L672:L681" si="3981">IF(ISERROR((K672/C672-1)*100),"NA",IF(((K672/C672-1)*100)&gt;100,"NM",IF(((K672/C672-1)*100)&lt;-50,"NM",(K672/C672-1)*100)))</f>
        <v>3.3750640603265269</v>
      </c>
      <c r="M672" s="91">
        <f>+M644+M647+M657</f>
        <v>5725.0999999999995</v>
      </c>
      <c r="N672" s="61">
        <f t="shared" ref="N672:N681" si="3982">IF(ISERROR((M672/E672-1)*100),"NA",IF(((M672/E672-1)*100)&gt;100,"NM",IF(((M672/E672-1)*100)&lt;-50,"NM",(M672/E672-1)*100)))</f>
        <v>4.2367635277838156</v>
      </c>
      <c r="O672" s="91">
        <f>+O644+O647+O657</f>
        <v>5869.5</v>
      </c>
      <c r="P672" s="61">
        <f t="shared" ref="P672:P681" si="3983">IF(ISERROR((O672/G672-1)*100),"NA",IF(((O672/G672-1)*100)&gt;100,"NM",IF(((O672/G672-1)*100)&lt;-50,"NM",(O672/G672-1)*100)))</f>
        <v>5.028182875548004</v>
      </c>
      <c r="Q672" s="91">
        <f>+Q644+Q647+Q657</f>
        <v>6444.5560000000005</v>
      </c>
      <c r="R672" s="61">
        <f t="shared" ref="R672:R681" si="3984">IF(ISERROR((Q672/I672-1)*100),"NA",IF(((Q672/I672-1)*100)&gt;100,"NM",IF(((Q672/I672-1)*100)&lt;-50,"NM",(Q672/I672-1)*100)))</f>
        <v>13.976195108147781</v>
      </c>
      <c r="S672" s="91">
        <f>+S644+S647+S657</f>
        <v>6003.2</v>
      </c>
      <c r="T672" s="61">
        <f t="shared" ref="T672:T681" si="3985">IF(ISERROR((S672/K672-1)*100),"NA",IF(((S672/K672-1)*100)&gt;100,"NM",IF(((S672/K672-1)*100)&lt;-50,"NM",(S672/K672-1)*100)))</f>
        <v>6.2889518413597578</v>
      </c>
      <c r="U672" s="91">
        <f>+U644+U647+U657</f>
        <v>6519.4230000000007</v>
      </c>
      <c r="V672" s="61">
        <f t="shared" ref="V672:V681" si="3986">IF(ISERROR((U672/M672-1)*100),"NA",IF(((U672/M672-1)*100)&gt;100,"NM",IF(((U672/M672-1)*100)&lt;-50,"NM",(U672/M672-1)*100)))</f>
        <v>13.874395207070634</v>
      </c>
      <c r="W672" s="91">
        <f>+W644+W647+W657</f>
        <v>6127.9880000000003</v>
      </c>
      <c r="X672" s="61">
        <f t="shared" ref="X672:X681" si="3987">IF(ISERROR((W672/O672-1)*100),"NA",IF(((W672/O672-1)*100)&gt;100,"NM",IF(((W672/O672-1)*100)&lt;-50,"NM",(W672/O672-1)*100)))</f>
        <v>4.4039185620581067</v>
      </c>
      <c r="Y672" s="91">
        <f>+Y644+Y647+Y657</f>
        <v>6106.058</v>
      </c>
      <c r="Z672" s="61">
        <f t="shared" ref="Z672:Z681" si="3988">IF(ISERROR((Y672/Q672-1)*100),"NA",IF(((Y672/Q672-1)*100)&gt;100,"NM",IF(((Y672/Q672-1)*100)&lt;-50,"NM",(Y672/Q672-1)*100)))</f>
        <v>-5.2524642504464314</v>
      </c>
      <c r="AA672" s="91">
        <f>+AA644+AA647+AA657</f>
        <v>6087.3969999999999</v>
      </c>
      <c r="AB672" s="61">
        <f t="shared" ref="AB672:AB681" si="3989">IF(ISERROR((AA672/S672-1)*100),"NA",IF(((AA672/S672-1)*100)&gt;100,"NM",IF(((AA672/S672-1)*100)&lt;-50,"NM",(AA672/S672-1)*100)))</f>
        <v>1.4025353144989428</v>
      </c>
      <c r="AC672" s="91">
        <f>+AC644+AC647+AC657</f>
        <v>6216.6889999999994</v>
      </c>
      <c r="AD672" s="61">
        <f t="shared" ref="AD672:AD681" si="3990">IF(ISERROR((AC672/U672-1)*100),"NA",IF(((AC672/U672-1)*100)&gt;100,"NM",IF(((AC672/U672-1)*100)&lt;-50,"NM",(AC672/U672-1)*100)))</f>
        <v>-4.6435704509433018</v>
      </c>
      <c r="AE672" s="91">
        <f>+AE644+AE647+AE657</f>
        <v>6242.7000000000007</v>
      </c>
      <c r="AF672" s="61">
        <f t="shared" ref="AF672:AF681" si="3991">IF(ISERROR((AE672/W672-1)*100),"NA",IF(((AE672/W672-1)*100)&gt;100,"NM",IF(((AE672/W672-1)*100)&lt;-50,"NM",(AE672/W672-1)*100)))</f>
        <v>1.8719357805530912</v>
      </c>
      <c r="AG672" s="91">
        <f>+AG644+AG647+AG657</f>
        <v>6401.4000000000005</v>
      </c>
      <c r="AH672" s="61">
        <f t="shared" ref="AH672:AH681" si="3992">IF(ISERROR((AG672/Y672-1)*100),"NA",IF(((AG672/Y672-1)*100)&gt;100,"NM",IF(((AG672/Y672-1)*100)&lt;-50,"NM",(AG672/Y672-1)*100)))</f>
        <v>4.8368685656114074</v>
      </c>
      <c r="AI672" s="91">
        <f>+AI644+AI647+AI657</f>
        <v>6666.6</v>
      </c>
      <c r="AJ672" s="61">
        <f t="shared" ref="AJ672:AJ681" si="3993">IF(ISERROR((AI672/AA672-1)*100),"NA",IF(((AI672/AA672-1)*100)&gt;100,"NM",IF(((AI672/AA672-1)*100)&lt;-50,"NM",(AI672/AA672-1)*100)))</f>
        <v>9.5147893262095486</v>
      </c>
      <c r="AK672" s="91">
        <f>+AK644+AK647+AK657</f>
        <v>6674.9000000000005</v>
      </c>
      <c r="AL672" s="61">
        <f t="shared" ref="AL672:AL681" si="3994">IF(ISERROR((AK672/AC672-1)*100),"NA",IF(((AK672/AC672-1)*100)&gt;100,"NM",IF(((AK672/AC672-1)*100)&lt;-50,"NM",(AK672/AC672-1)*100)))</f>
        <v>7.3706598480316687</v>
      </c>
      <c r="AM672" s="91">
        <f>+AM644+AM647+AM657</f>
        <v>6766.3</v>
      </c>
      <c r="AN672" s="61">
        <f t="shared" ref="AN672:AN681" si="3995">IF(ISERROR((AM672/AE672-1)*100),"NA",IF(((AM672/AE672-1)*100)&gt;100,"NM",IF(((AM672/AE672-1)*100)&lt;-50,"NM",(AM672/AE672-1)*100)))</f>
        <v>8.3873964790875721</v>
      </c>
      <c r="AO672" s="91">
        <f>+AO644+AO647+AO657</f>
        <v>6727.2000000000007</v>
      </c>
      <c r="AP672" s="61">
        <f t="shared" ref="AP672:AP681" si="3996">IF(ISERROR((AO672/AG672-1)*100),"NA",IF(((AO672/AG672-1)*100)&gt;100,"NM",IF(((AO672/AG672-1)*100)&lt;-50,"NM",(AO672/AG672-1)*100)))</f>
        <v>5.0895116693223441</v>
      </c>
      <c r="AQ672" s="91">
        <f>+AQ644+AQ647+AQ657</f>
        <v>6835.4999999999991</v>
      </c>
      <c r="AR672" s="61">
        <f>IF(ISERROR((AQ672/AI672-1)*100),"NA",IF(((AQ672/AI672-1)*100)&gt;100,"NM",IF(((AQ672/AI672-1)*100)&lt;-50,"NM",(AQ672/AI672-1)*100)))</f>
        <v>2.5335253352533282</v>
      </c>
      <c r="AS672" s="91">
        <f>+AS644+AS647+AS657</f>
        <v>6839.7</v>
      </c>
      <c r="AT672" s="61">
        <f>IF(ISERROR((AS672/AK672-1)*100),"NA",IF(((AS672/AK672-1)*100)&gt;100,"NM",IF(((AS672/AK672-1)*100)&lt;-50,"NM",(AS672/AK672-1)*100)))</f>
        <v>2.4689508457055531</v>
      </c>
      <c r="AU672" s="91">
        <f>+AU644+AU647+AU657</f>
        <v>7041.9</v>
      </c>
      <c r="AV672" s="61">
        <f>IF(ISERROR((AU672/AM672-1)*100),"NA",IF(((AU672/AM672-1)*100)&gt;100,"NM",IF(((AU672/AM672-1)*100)&lt;-50,"NM",(AU672/AM672-1)*100)))</f>
        <v>4.0731271152623982</v>
      </c>
      <c r="AW672" s="91">
        <f>+AW644+AW647+AW657</f>
        <v>7213.5</v>
      </c>
      <c r="AX672" s="61">
        <f>IF(ISERROR((AW672/AO672-1)*100),"NA",IF(((AW672/AO672-1)*100)&gt;100,"NM",IF(((AW672/AO672-1)*100)&lt;-50,"NM",(AW672/AO672-1)*100)))</f>
        <v>7.2288619336425164</v>
      </c>
      <c r="AY672" s="91">
        <f>+AY644+AY647+AY657</f>
        <v>7413.6</v>
      </c>
      <c r="AZ672" s="61">
        <f>IF(ISERROR((AY672/AQ672-1)*100),"NA",IF(((AY672/AQ672-1)*100)&gt;100,"NM",IF(((AY672/AQ672-1)*100)&lt;-50,"NM",(AY672/AQ672-1)*100)))</f>
        <v>8.4573184112354927</v>
      </c>
      <c r="BA672" s="91">
        <f>+BA644+BA647+BA657</f>
        <v>14164.4</v>
      </c>
      <c r="BB672" s="61" t="str">
        <f t="shared" si="3867"/>
        <v>NM</v>
      </c>
      <c r="BC672" s="91">
        <f>+BC644+BC647+BC657</f>
        <v>14228.1</v>
      </c>
      <c r="BD672" s="61" t="str">
        <f t="shared" si="3868"/>
        <v>NM</v>
      </c>
      <c r="BE672" s="91">
        <f>+BE644+BE647+BE657</f>
        <v>14117</v>
      </c>
      <c r="BF672" s="61">
        <f t="shared" si="3869"/>
        <v>95.702502252720592</v>
      </c>
      <c r="BG672" s="91">
        <f>+BG644+BG647+BG657</f>
        <v>14142.1</v>
      </c>
      <c r="BH672" s="61">
        <f t="shared" ref="BH672:BH682" si="3997">IF(ISERROR((BG672/AY672-1)*100),"NA",IF(((BG672/AY672-1)*100)&gt;100,"NM",IF(((BG672/AY672-1)*100)&lt;-50,"NM",(BG672/AY672-1)*100)))</f>
        <v>90.758875580015101</v>
      </c>
      <c r="BI672" s="91">
        <f>+BI644+BI647+BI657</f>
        <v>14356.1</v>
      </c>
      <c r="BJ672" s="61">
        <f t="shared" ref="BJ672:BJ682" si="3998">IF(ISERROR((BI672/BA672-1)*100),"NA",IF(((BI672/BA672-1)*100)&gt;100,"NM",IF(((BI672/BA672-1)*100)&lt;-50,"NM",(BI672/BA672-1)*100)))</f>
        <v>1.3533930134703942</v>
      </c>
      <c r="BK672" s="91">
        <f>+BK644+BK647+BK657</f>
        <v>14603.1</v>
      </c>
      <c r="BL672" s="61">
        <f t="shared" ref="BL672:BL682" si="3999">IF(ISERROR((BK672/BC672-1)*100),"NA",IF(((BK672/BC672-1)*100)&gt;100,"NM",IF(((BK672/BC672-1)*100)&lt;-50,"NM",(BK672/BC672-1)*100)))</f>
        <v>2.6356294937482927</v>
      </c>
      <c r="BM672" s="91">
        <f>+BM644+BM647+BM657</f>
        <v>14679.699999999999</v>
      </c>
      <c r="BN672" s="61">
        <f t="shared" ref="BN672:BN682" si="4000">IF(ISERROR((BM672/BE672-1)*100),"NA",IF(((BM672/BE672-1)*100)&gt;100,"NM",IF(((BM672/BE672-1)*100)&lt;-50,"NM",(BM672/BE672-1)*100)))</f>
        <v>3.9859743571580397</v>
      </c>
      <c r="BO672" s="91">
        <f>+BO644+BO647+BO657</f>
        <v>14464.1</v>
      </c>
      <c r="BP672" s="61">
        <f t="shared" ref="BP672:BP682" si="4001">IF(ISERROR((BO672/BG672-1)*100),"NA",IF(((BO672/BG672-1)*100)&gt;100,"NM",IF(((BO672/BG672-1)*100)&lt;-50,"NM",(BO672/BG672-1)*100)))</f>
        <v>2.2768895708558112</v>
      </c>
      <c r="BQ672" s="91">
        <f>+BQ644+BQ647+BQ657</f>
        <v>15562.400000000001</v>
      </c>
      <c r="BR672" s="61">
        <f t="shared" ref="BR672:BR682" si="4002">IF(ISERROR((BQ672/BI672-1)*100),"NA",IF(((BQ672/BI672-1)*100)&gt;100,"NM",IF(((BQ672/BI672-1)*100)&lt;-50,"NM",(BQ672/BI672-1)*100)))</f>
        <v>8.4026998976045153</v>
      </c>
      <c r="BS672" s="91">
        <f>+BS644+BS647+BS657</f>
        <v>16034.4</v>
      </c>
      <c r="BT672" s="61">
        <f t="shared" ref="BT672:BT682" si="4003">IF(ISERROR((BS672/BK672-1)*100),"NA",IF(((BS672/BK672-1)*100)&gt;100,"NM",IF(((BS672/BK672-1)*100)&lt;-50,"NM",(BS672/BK672-1)*100)))</f>
        <v>9.8013435503420574</v>
      </c>
      <c r="BU672" s="91">
        <f>+BU644+BU647+BU657</f>
        <v>15511.3</v>
      </c>
      <c r="BV672" s="61">
        <f t="shared" ref="BV672:BV682" si="4004">IF(ISERROR((BU672/BM672-1)*100),"NA",IF(((BU672/BM672-1)*100)&gt;100,"NM",IF(((BU672/BM672-1)*100)&lt;-50,"NM",(BU672/BM672-1)*100)))</f>
        <v>5.6649659052977919</v>
      </c>
      <c r="BW672" s="91">
        <f>+BW644+BW647+BW657</f>
        <v>14643.1</v>
      </c>
      <c r="BX672" s="61">
        <f t="shared" si="3870"/>
        <v>1.2375467536867246</v>
      </c>
      <c r="BY672" s="91">
        <f>+BY644+BY647+BY657</f>
        <v>15557</v>
      </c>
      <c r="BZ672" s="61">
        <f t="shared" si="3871"/>
        <v>-3.4699018146311378E-2</v>
      </c>
      <c r="CA672" s="91">
        <f>+CA644+CA647+CA657</f>
        <v>15864.300000000001</v>
      </c>
      <c r="CB672" s="61">
        <f t="shared" si="3872"/>
        <v>-1.060844185002241</v>
      </c>
      <c r="CC672" s="91">
        <f>+CC644+CC647+CC657</f>
        <v>16205.3</v>
      </c>
      <c r="CD672" s="61">
        <f t="shared" si="3873"/>
        <v>4.4741575496573427</v>
      </c>
      <c r="CE672" s="91">
        <f>+CE644+CE647+CE657</f>
        <v>16313.400000000001</v>
      </c>
      <c r="CF672" s="61">
        <f t="shared" ref="CF672:CF682" si="4005">IF(ISERROR((CE672/BW672-1)*100),"NA",IF(((CE672/BW672-1)*100)&gt;100,"NM",IF(((CE672/BW672-1)*100)&lt;-50,"NM",(CE672/BW672-1)*100)))</f>
        <v>11.406737644351272</v>
      </c>
      <c r="CG672" s="91">
        <f>+CG644+CG647+CG657</f>
        <v>17563.7</v>
      </c>
      <c r="CH672" s="61">
        <f t="shared" ref="CH672:CH682" si="4006">IF(ISERROR((CG672/BY672-1)*100),"NA",IF(((CG672/BY672-1)*100)&gt;100,"NM",IF(((CG672/BY672-1)*100)&lt;-50,"NM",(CG672/BY672-1)*100)))</f>
        <v>12.89901651989458</v>
      </c>
      <c r="CI672" s="91">
        <f>+CI644+CI647+CI657</f>
        <v>17838.8</v>
      </c>
      <c r="CJ672" s="61">
        <f t="shared" ref="CJ672:CJ682" si="4007">IF(ISERROR((CI672/CA672-1)*100),"NA",IF(((CI672/CA672-1)*100)&gt;100,"NM",IF(((CI672/CA672-1)*100)&lt;-50,"NM",(CI672/CA672-1)*100)))</f>
        <v>12.44618419974406</v>
      </c>
      <c r="CK672" s="91">
        <f>+CK644+CK647+CK657</f>
        <v>17456.7</v>
      </c>
      <c r="CL672" s="61">
        <f t="shared" ref="CL672:CL682" si="4008">IF(ISERROR((CK672/CC672-1)*100),"NA",IF(((CK672/CC672-1)*100)&gt;100,"NM",IF(((CK672/CC672-1)*100)&lt;-50,"NM",(CK672/CC672-1)*100)))</f>
        <v>7.7221649707194695</v>
      </c>
      <c r="CM672" s="91">
        <f>+CM644+CM647+CM657</f>
        <v>16555.3</v>
      </c>
      <c r="CN672" s="61">
        <f t="shared" ref="CN672:CN682" si="4009">IF(ISERROR((CM672/CE672-1)*100),"NA",IF(((CM672/CE672-1)*100)&gt;100,"NM",IF(((CM672/CE672-1)*100)&lt;-50,"NM",(CM672/CE672-1)*100)))</f>
        <v>1.4828300660806315</v>
      </c>
      <c r="CO672" s="91">
        <f>+CO644+CO647+CO657</f>
        <v>17059.7</v>
      </c>
      <c r="CP672" s="61">
        <f t="shared" ref="CP672:CP682" si="4010">IF(ISERROR((CO672/CG672-1)*100),"NA",IF(((CO672/CG672-1)*100)&gt;100,"NM",IF(((CO672/CG672-1)*100)&lt;-50,"NM",(CO672/CG672-1)*100)))</f>
        <v>-2.8695548204535459</v>
      </c>
      <c r="CQ672" s="91">
        <f>+CQ644+CQ647+CQ657</f>
        <v>16671.400000000001</v>
      </c>
      <c r="CR672" s="61">
        <f t="shared" ref="CR672:CR682" si="4011">IF(ISERROR((CQ672/CI672-1)*100),"NA",IF(((CQ672/CI672-1)*100)&gt;100,"NM",IF(((CQ672/CI672-1)*100)&lt;-50,"NM",(CQ672/CI672-1)*100)))</f>
        <v>-6.5441621633742013</v>
      </c>
      <c r="CS672" s="91">
        <f>+CS644+CS647+CS657</f>
        <v>15812</v>
      </c>
      <c r="CT672" s="61">
        <f t="shared" ref="CT672:CT682" si="4012">IF(ISERROR((CS672/CK672-1)*100),"NA",IF(((CS672/CK672-1)*100)&gt;100,"NM",IF(((CS672/CK672-1)*100)&lt;-50,"NM",(CS672/CK672-1)*100)))</f>
        <v>-9.4215974382328866</v>
      </c>
      <c r="CU672" s="91">
        <f>+CU644+CU647+CU657</f>
        <v>16104</v>
      </c>
      <c r="CV672" s="61">
        <f t="shared" ref="CV672:CV682" si="4013">IF(ISERROR((CU672/CM672-1)*100),"NA",IF(((CU672/CM672-1)*100)&gt;100,"NM",IF(((CU672/CM672-1)*100)&lt;-50,"NM",(CU672/CM672-1)*100)))</f>
        <v>-2.7260152337922006</v>
      </c>
      <c r="CW672" s="91">
        <f>+CW644+CW647+CW657</f>
        <v>16379</v>
      </c>
      <c r="CX672" s="61">
        <f t="shared" ref="CX672:CX682" si="4014">IF(ISERROR((CW672/CO672-1)*100),"NA",IF(((CW672/CO672-1)*100)&gt;100,"NM",IF(((CW672/CO672-1)*100)&lt;-50,"NM",(CW672/CO672-1)*100)))</f>
        <v>-3.9901053359672201</v>
      </c>
      <c r="CY672" s="91">
        <f>+CY644+CY647+CY657</f>
        <v>16464</v>
      </c>
      <c r="CZ672" s="61">
        <f t="shared" ref="CZ672:CZ682" si="4015">IF(ISERROR((CY672/CQ672-1)*100),"NA",IF(((CY672/CQ672-1)*100)&gt;100,"NM",IF(((CY672/CQ672-1)*100)&lt;-50,"NM",(CY672/CQ672-1)*100)))</f>
        <v>-1.2440466907398418</v>
      </c>
      <c r="DA672" s="91">
        <f>+DA644+DA647+DA657</f>
        <v>16604</v>
      </c>
      <c r="DB672" s="61">
        <f t="shared" ref="DB672:DB682" si="4016">IF(ISERROR((DA672/CS672-1)*100),"NA",IF(((DA672/CS672-1)*100)&gt;100,"NM",IF(((DA672/CS672-1)*100)&lt;-50,"NM",(DA672/CS672-1)*100)))</f>
        <v>5.008854034910204</v>
      </c>
      <c r="DC672" s="91">
        <f>+DC644+DC647+DC657</f>
        <v>16170</v>
      </c>
      <c r="DD672" s="61">
        <f t="shared" ref="DD672:DD682" si="4017">IF(ISERROR((DC672/CU672-1)*100),"NA",IF(((DC672/CU672-1)*100)&gt;100,"NM",IF(((DC672/CU672-1)*100)&lt;-50,"NM",(DC672/CU672-1)*100)))</f>
        <v>0.4098360655737654</v>
      </c>
      <c r="DE672" s="91">
        <f>+DE644+DE647+DE657</f>
        <v>16474</v>
      </c>
      <c r="DF672" s="61">
        <f t="shared" ref="DF672:DF682" si="4018">IF(ISERROR((DE672/CW672-1)*100),"NA",IF(((DE672/CW672-1)*100)&gt;100,"NM",IF(((DE672/CW672-1)*100)&lt;-50,"NM",(DE672/CW672-1)*100)))</f>
        <v>0.58001098968190057</v>
      </c>
      <c r="DG672" s="91">
        <f>+DG644+DG647+DG657</f>
        <v>17004</v>
      </c>
      <c r="DH672" s="61">
        <f t="shared" ref="DH672:DH682" si="4019">IF(ISERROR((DG672/CY672-1)*100),"NA",IF(((DG672/CY672-1)*100)&gt;100,"NM",IF(((DG672/CY672-1)*100)&lt;-50,"NM",(DG672/CY672-1)*100)))</f>
        <v>3.2798833819241979</v>
      </c>
      <c r="DI672" s="91">
        <f>+DI644+DI647+DI657</f>
        <v>17210</v>
      </c>
      <c r="DJ672" s="61">
        <f t="shared" ref="DJ672:DJ682" si="4020">IF(ISERROR((DI672/DA672-1)*100),"NA",IF(((DI672/DA672-1)*100)&gt;100,"NM",IF(((DI672/DA672-1)*100)&lt;-50,"NM",(DI672/DA672-1)*100)))</f>
        <v>3.6497229583232871</v>
      </c>
      <c r="DK672" s="91">
        <f>+DK644+DK647+DK657</f>
        <v>17413</v>
      </c>
      <c r="DL672" s="61">
        <f t="shared" ref="DL672:DL682" si="4021">IF(ISERROR((DK672/DC672-1)*100),"NA",IF(((DK672/DC672-1)*100)&gt;100,"NM",IF(((DK672/DC672-1)*100)&lt;-50,"NM",(DK672/DC672-1)*100)))</f>
        <v>7.6870748299319835</v>
      </c>
      <c r="DM672" s="91">
        <f>+DM644+DM647+DM657</f>
        <v>17422</v>
      </c>
      <c r="DN672" s="130">
        <f t="shared" ref="DN672:DZ682" si="4022">IF(ISERROR((DM672/DE672-1)*100),"NA",IF(((DM672/DE672-1)*100)&gt;100,"NM",IF(((DM672/DE672-1)*100)&lt;-50,"NM",(DM672/DE672-1)*100)))</f>
        <v>5.7545222775282179</v>
      </c>
      <c r="DO672" s="91">
        <f>+DO644+DO647+DO657</f>
        <v>17716</v>
      </c>
      <c r="DP672" s="130">
        <f t="shared" si="4022"/>
        <v>4.1872500588096884</v>
      </c>
      <c r="DQ672" s="91">
        <f>+DQ644+DQ647+DQ657</f>
        <v>17914</v>
      </c>
      <c r="DR672" s="130">
        <f t="shared" si="4022"/>
        <v>4.0906449738524087</v>
      </c>
      <c r="DS672" s="91">
        <f>+DS644+DS647+DS657</f>
        <v>18165</v>
      </c>
      <c r="DT672" s="130">
        <f t="shared" si="4022"/>
        <v>4.3186125308677381</v>
      </c>
      <c r="DU672" s="91">
        <f>+DU644+DU647+DU657</f>
        <v>18254</v>
      </c>
      <c r="DV672" s="130">
        <f t="shared" si="4022"/>
        <v>4.7755711169785275</v>
      </c>
      <c r="DW672" s="91">
        <f>+DW644+DW647+DW657</f>
        <v>18312</v>
      </c>
      <c r="DX672" s="91">
        <f t="shared" ref="DX672:DY672" si="4023">+DX644+DX647+DX657</f>
        <v>18342</v>
      </c>
      <c r="DY672" s="91">
        <f t="shared" si="4023"/>
        <v>18325</v>
      </c>
      <c r="DZ672" s="130">
        <f t="shared" si="4022"/>
        <v>2.2942949648319777</v>
      </c>
      <c r="EA672" s="91">
        <f t="shared" ref="EA672:EC672" si="4024">+EA644+EA647+EA657</f>
        <v>18377</v>
      </c>
      <c r="EB672" s="130">
        <f t="shared" ref="EB672:EB682" si="4025">IF(ISERROR((EA672/DS672-1)*100),"NA",IF(((EA672/DS672-1)*100)&gt;100,"NM",IF(((EA672/DS672-1)*100)&lt;-50,"NM",(EA672/DS672-1)*100)))</f>
        <v>1.1670795485824392</v>
      </c>
      <c r="EC672" s="91">
        <f t="shared" si="4024"/>
        <v>18185</v>
      </c>
      <c r="ED672" s="130">
        <f t="shared" ref="ED672:ED682" si="4026">IF(ISERROR((EC672/DU672-1)*100),"NA",IF(((EC672/DU672-1)*100)&gt;100,"NM",IF(((EC672/DU672-1)*100)&lt;-50,"NM",(EC672/DU672-1)*100)))</f>
        <v>-0.37799934260983603</v>
      </c>
      <c r="EE672" s="91">
        <f t="shared" ref="EE672:EG672" si="4027">+EE644+EE647+EE657</f>
        <v>18403</v>
      </c>
      <c r="EF672" s="130">
        <f t="shared" ref="EF672:EF682" si="4028">IF(ISERROR((EE672/DW672-1)*100),"NA",IF(((EE672/DW672-1)*100)&gt;100,"NM",IF(((EE672/DW672-1)*100)&lt;-50,"NM",(EE672/DW672-1)*100)))</f>
        <v>0.49694189602447203</v>
      </c>
      <c r="EG672" s="91">
        <f t="shared" si="4027"/>
        <v>18257</v>
      </c>
      <c r="EH672" s="130">
        <f t="shared" ref="EH672:EH682" si="4029">IF(ISERROR((EG672/DY672-1)*100),"NA",IF(((EG672/DY672-1)*100)&gt;100,"NM",IF(((EG672/DY672-1)*100)&lt;-50,"NM",(EG672/DY672-1)*100)))</f>
        <v>-0.37107776261937619</v>
      </c>
      <c r="EI672" s="91">
        <f t="shared" ref="EI672:EK672" si="4030">+EI644+EI647+EI657</f>
        <v>18259</v>
      </c>
      <c r="EJ672" s="130">
        <f t="shared" ref="EJ672:EJ682" si="4031">IF(ISERROR((EI672/EA672-1)*100),"NA",IF(((EI672/EA672-1)*100)&gt;100,"NM",IF(((EI672/EA672-1)*100)&lt;-50,"NM",(EI672/EA672-1)*100)))</f>
        <v>-0.64210698155302559</v>
      </c>
      <c r="EK672" s="91">
        <f t="shared" si="4030"/>
        <v>18186</v>
      </c>
      <c r="EL672" s="130">
        <f t="shared" ref="EL672:EL682" si="4032">IF(ISERROR((EK672/EC672-1)*100),"NA",IF(((EK672/EC672-1)*100)&gt;100,"NM",IF(((EK672/EC672-1)*100)&lt;-50,"NM",(EK672/EC672-1)*100)))</f>
        <v>5.4990376683994313E-3</v>
      </c>
      <c r="EM672" s="91">
        <f t="shared" ref="EM672" si="4033">+EM644+EM647+EM657</f>
        <v>18355</v>
      </c>
      <c r="EN672" s="130">
        <f t="shared" ref="EN672:EN682" si="4034">IF(ISERROR((EM672/EE672-1)*100),"NA",IF(((EM672/EE672-1)*100)&gt;100,"NM",IF(((EM672/EE672-1)*100)&lt;-50,"NM",(EM672/EE672-1)*100)))</f>
        <v>-0.26082703906972204</v>
      </c>
      <c r="EO672" s="91">
        <f t="shared" ref="EO672" si="4035">+EO644+EO647+EO657</f>
        <v>18986</v>
      </c>
      <c r="EP672" s="130">
        <f t="shared" ref="EP672:EP682" si="4036">IF(ISERROR((EO672/EG672-1)*100),"NA",IF(((EO672/EG672-1)*100)&gt;100,"NM",IF(((EO672/EG672-1)*100)&lt;-50,"NM",(EO672/EG672-1)*100)))</f>
        <v>3.9929889905241822</v>
      </c>
      <c r="EQ672" s="91">
        <f t="shared" ref="EQ672:EW672" si="4037">+EQ644+EQ647+EQ657</f>
        <v>19802.193391741435</v>
      </c>
      <c r="ER672" s="130">
        <f t="shared" ref="ER672:ER682" si="4038">IF(ISERROR((EQ672/EI672-1)*100),"NA",IF(((EQ672/EI672-1)*100)&gt;100,"NM",IF(((EQ672/EI672-1)*100)&lt;-50,"NM",(EQ672/EI672-1)*100)))</f>
        <v>8.4516862464616658</v>
      </c>
      <c r="ES672" s="91">
        <f t="shared" si="4037"/>
        <v>20121.036990647703</v>
      </c>
      <c r="ET672" s="130">
        <f t="shared" ref="ET672:ET682" si="4039">IF(ISERROR((ES672/EK672-1)*100),"NA",IF(((ES672/EK672-1)*100)&gt;100,"NM",IF(((ES672/EK672-1)*100)&lt;-50,"NM",(ES672/EK672-1)*100)))</f>
        <v>10.640256189638752</v>
      </c>
      <c r="EU672" s="91">
        <f t="shared" si="4037"/>
        <v>20378.132417239329</v>
      </c>
      <c r="EV672" s="130">
        <f t="shared" ref="EV672:EV682" si="4040">IF(ISERROR((EU672/EM672-1)*100),"NA",IF(((EU672/EM672-1)*100)&gt;100,"NM",IF(((EU672/EM672-1)*100)&lt;-50,"NM",(EU672/EM672-1)*100)))</f>
        <v>11.022241445052195</v>
      </c>
      <c r="EW672" s="91">
        <f t="shared" si="4037"/>
        <v>20649.489781065618</v>
      </c>
      <c r="EX672" s="130">
        <f t="shared" ref="EX672:EX682" si="4041">IF(ISERROR((EW672/EO672-1)*100),"NA",IF(((EW672/EO672-1)*100)&gt;100,"NM",IF(((EW672/EO672-1)*100)&lt;-50,"NM",(EW672/EO672-1)*100)))</f>
        <v>8.7616653379628104</v>
      </c>
      <c r="EY672" s="64"/>
      <c r="EZ672" s="558"/>
      <c r="FA672" s="64"/>
      <c r="FB672" s="91">
        <f>+FB644+FB647+FB657</f>
        <v>5547.7715251205</v>
      </c>
      <c r="FC672" s="64"/>
      <c r="FD672" s="91">
        <f>+FD644+FD647+FD657</f>
        <v>5441.6</v>
      </c>
      <c r="FE672" s="70">
        <f>IF(ISERROR((FD672/FB672-1)*100),"NA",IF(((FD672/FB672-1)*100)&gt;100,"NM",IF(((FD672/FB672-1)*100)&lt;-50,"NM",(FD672/FB672-1)*100)))</f>
        <v>-1.9137688825098698</v>
      </c>
      <c r="FF672" s="91">
        <f>+FF644+FF647+FF657</f>
        <v>5654.3</v>
      </c>
      <c r="FG672" s="70">
        <f>IF(ISERROR((FF672/FD672-1)*100),"NA",IF(((FF672/FD672-1)*100)&gt;100,"NM",IF(((FF672/FD672-1)*100)&lt;-50,"NM",(FF672/FD672-1)*100)))</f>
        <v>3.9087768303440074</v>
      </c>
      <c r="FH672" s="91">
        <f>+FH644+FH647+FH657</f>
        <v>6444.5560000000005</v>
      </c>
      <c r="FI672" s="70">
        <f>IF(ISERROR((FH672/FF672-1)*100),"NA",IF(((FH672/FF672-1)*100)&gt;100,"NM",IF(((FH672/FF672-1)*100)&lt;-50,"NM",(FH672/FF672-1)*100)))</f>
        <v>13.976195108147781</v>
      </c>
      <c r="FJ672" s="91">
        <f>+FJ644+FJ647+FJ657</f>
        <v>6106.058</v>
      </c>
      <c r="FK672" s="70">
        <f>IF(ISERROR((FJ672/FH672-1)*100),"NA",IF(((FJ672/FH672-1)*100)&gt;100,"NM",IF(((FJ672/FH672-1)*100)&lt;-50,"NM",(FJ672/FH672-1)*100)))</f>
        <v>-5.2524642504464314</v>
      </c>
      <c r="FL672" s="91">
        <f>+FL644+FL647+FL657</f>
        <v>6401.4000000000005</v>
      </c>
      <c r="FM672" s="61">
        <f>IF(ISERROR((FL672/FJ672-1)*100),"NA",IF(((FL672/FJ672-1)*100)&gt;100,"NM",IF(((FL672/FJ672-1)*100)&lt;-50,"NM",(FL672/FJ672-1)*100)))</f>
        <v>4.8368685656114074</v>
      </c>
      <c r="FN672" s="91">
        <f>+FN644+FN647+FN657</f>
        <v>6727.2000000000007</v>
      </c>
      <c r="FO672" s="61">
        <f>IF(ISERROR((FN672/FL672-1)*100),"NA",IF(((FN672/FL672-1)*100)&gt;100,"NM",IF(((FN672/FL672-1)*100)&lt;-50,"NM",(FN672/FL672-1)*100)))</f>
        <v>5.0895116693223441</v>
      </c>
      <c r="FP672" s="75">
        <f>+FP644+FP647+FP657</f>
        <v>7213.5</v>
      </c>
      <c r="FQ672" s="61">
        <f t="shared" si="3844"/>
        <v>11.931683113623336</v>
      </c>
      <c r="FR672" s="75">
        <f>+FR644+FR647+FR657+FR661</f>
        <v>14117</v>
      </c>
      <c r="FS672" s="61">
        <f t="shared" ref="FS672:FS681" si="4042">IF(ISERROR((FR672/FP672-1)*100),"NA",IF(((FR672/FP672-1)*100)&gt;100,"NM",IF(((FR672/FP672-1)*100)&lt;-50,"NM",(FR672/FP672-1)*100)))</f>
        <v>95.702502252720592</v>
      </c>
      <c r="FT672" s="75">
        <f>+FT644+FT647+FT657+FT661</f>
        <v>14679.699999999999</v>
      </c>
      <c r="FU672" s="61">
        <f t="shared" ref="FU672:FU681" si="4043">IF(ISERROR((FT672/FR672-1)*100),"NA",IF(((FT672/FR672-1)*100)&gt;100,"NM",IF(((FT672/FR672-1)*100)&lt;-50,"NM",(FT672/FR672-1)*100)))</f>
        <v>3.9859743571580397</v>
      </c>
      <c r="FV672" s="75">
        <f>+FV644+FV647+FV657+FV661</f>
        <v>15511.3</v>
      </c>
      <c r="FW672" s="61">
        <f t="shared" ref="FW672:FW681" si="4044">IF(ISERROR((FV672/FT672-1)*100),"NA",IF(((FV672/FT672-1)*100)&gt;100,"NM",IF(((FV672/FT672-1)*100)&lt;-50,"NM",(FV672/FT672-1)*100)))</f>
        <v>5.6649659052977919</v>
      </c>
      <c r="FX672" s="73">
        <f>+FX644+FX647+FX657+FX661</f>
        <v>16205.3</v>
      </c>
      <c r="FY672" s="61">
        <f t="shared" ref="FY672:FY681" si="4045">IF(ISERROR((FX672/FV672-1)*100),"NA",IF(((FX672/FV672-1)*100)&gt;100,"NM",IF(((FX672/FV672-1)*100)&lt;-50,"NM",(FX672/FV672-1)*100)))</f>
        <v>4.4741575496573427</v>
      </c>
      <c r="FZ672" s="73">
        <f>+FZ644+FZ647+FZ657+FZ661</f>
        <v>17456.7</v>
      </c>
      <c r="GA672" s="61">
        <f t="shared" ref="GA672:GA681" si="4046">IF(ISERROR((FZ672/FX672-1)*100),"NA",IF(((FZ672/FX672-1)*100)&gt;100,"NM",IF(((FZ672/FX672-1)*100)&lt;-50,"NM",(FZ672/FX672-1)*100)))</f>
        <v>7.7221649707194695</v>
      </c>
      <c r="GB672" s="73">
        <f>+GB644+GB647+GB657+GB661</f>
        <v>15812</v>
      </c>
      <c r="GC672" s="61">
        <f t="shared" ref="GC672:GC681" si="4047">IF(ISERROR((GB672/FZ672-1)*100),"NA",IF(((GB672/FZ672-1)*100)&gt;100,"NM",IF(((GB672/FZ672-1)*100)&lt;-50,"NM",(GB672/FZ672-1)*100)))</f>
        <v>-9.4215974382328866</v>
      </c>
      <c r="GD672" s="73">
        <f>+GD644+GD647+GD657+GD661</f>
        <v>16604</v>
      </c>
      <c r="GE672" s="61">
        <f t="shared" ref="GE672:GW681" si="4048">IF(ISERROR((GD672/GB672-1)*100),"NA",IF(((GD672/GB672-1)*100)&gt;100,"NM",IF(((GD672/GB672-1)*100)&lt;-50,"NM",(GD672/GB672-1)*100)))</f>
        <v>5.008854034910204</v>
      </c>
      <c r="GF672" s="73">
        <f>+GF644+GF647+GF657+GF661</f>
        <v>17210</v>
      </c>
      <c r="GG672" s="61">
        <f t="shared" si="4048"/>
        <v>3.6497229583232871</v>
      </c>
      <c r="GH672" s="73">
        <f>+GH644+GH647+GH657+GH661</f>
        <v>17914</v>
      </c>
      <c r="GI672" s="61">
        <f t="shared" si="4048"/>
        <v>4.0906449738524087</v>
      </c>
      <c r="GJ672" s="73">
        <f>+GJ644+GJ647+GJ657+GJ661</f>
        <v>18325</v>
      </c>
      <c r="GK672" s="61">
        <f t="shared" si="4048"/>
        <v>2.2942949648319777</v>
      </c>
      <c r="GL672" s="73">
        <f>+GL644+GL647+GL657+GL661</f>
        <v>18257</v>
      </c>
      <c r="GM672" s="61">
        <f t="shared" si="4048"/>
        <v>-0.37107776261937619</v>
      </c>
      <c r="GN672" s="73">
        <f>+GN644+GN647+GN657+GN661</f>
        <v>18986</v>
      </c>
      <c r="GO672" s="61">
        <f t="shared" si="4048"/>
        <v>3.9929889905241822</v>
      </c>
      <c r="GP672" s="73">
        <f>+GP644+GP647+GP657+GP661</f>
        <v>20649.489781065618</v>
      </c>
      <c r="GQ672" s="61">
        <f t="shared" si="4048"/>
        <v>8.7616653379628104</v>
      </c>
      <c r="GR672" s="91">
        <f>+GR644+GR647+GR657+GR661</f>
        <v>21735.485642316882</v>
      </c>
      <c r="GS672" s="61">
        <f t="shared" si="4048"/>
        <v>5.2591898045202923</v>
      </c>
      <c r="GT672" s="91">
        <f>+GT644+GT647+GT657+GT661</f>
        <v>22940.384857617391</v>
      </c>
      <c r="GU672" s="61">
        <f t="shared" si="4048"/>
        <v>5.5434658103736378</v>
      </c>
      <c r="GV672" s="91">
        <f>+GV644+GV647+GV657+GV661</f>
        <v>24163.342473280984</v>
      </c>
      <c r="GW672" s="61">
        <f t="shared" si="4048"/>
        <v>5.331024842233667</v>
      </c>
      <c r="GX672" s="91">
        <f>+GX644+GX647+GX657+GX661</f>
        <v>25469.346023932005</v>
      </c>
      <c r="GY672" s="61">
        <f t="shared" ref="GY672:GY681" si="4049">IF(ISERROR((GX672/GV672-1)*100),"NA",IF(((GX672/GV672-1)*100)&gt;100,"NM",IF(((GX672/GV672-1)*100)&lt;-50,"NM",(GX672/GV672-1)*100)))</f>
        <v>5.4048960821341474</v>
      </c>
      <c r="GZ672" s="61">
        <f t="shared" si="3732"/>
        <v>6.0515116848324224</v>
      </c>
      <c r="HA672" s="61"/>
      <c r="HB672" s="452"/>
      <c r="HC672"/>
      <c r="HD672"/>
      <c r="HE672"/>
      <c r="HF672"/>
      <c r="HG672"/>
      <c r="HH672"/>
    </row>
    <row r="673" spans="1:216" s="5" customFormat="1" ht="12.75" customHeight="1" x14ac:dyDescent="0.2">
      <c r="A673" s="7" t="s">
        <v>408</v>
      </c>
      <c r="B673" s="7" t="s">
        <v>655</v>
      </c>
      <c r="C673" s="86">
        <f>(C644)/(C644+C647+C657)*100</f>
        <v>13.031700710154476</v>
      </c>
      <c r="D673" s="70"/>
      <c r="E673" s="86">
        <f>(E644)/(E644+E647+E657)*100</f>
        <v>12.965188260141286</v>
      </c>
      <c r="F673" s="71"/>
      <c r="G673" s="86">
        <f>(G644)/(G644+G647+G657)*100</f>
        <v>12.74402791446721</v>
      </c>
      <c r="H673" s="71"/>
      <c r="I673" s="86">
        <f>(I644)/(I644+I647+I657)*100</f>
        <v>12.59572360858108</v>
      </c>
      <c r="J673" s="61"/>
      <c r="K673" s="86">
        <f>(K644)/(K644+K647+K657)*100</f>
        <v>12.611543909348438</v>
      </c>
      <c r="L673" s="61">
        <f t="shared" si="3981"/>
        <v>-3.2241133383200449</v>
      </c>
      <c r="M673" s="86">
        <f>(M644)/(M644+M647+M657)*100</f>
        <v>12.443450769418876</v>
      </c>
      <c r="N673" s="61">
        <f t="shared" si="3982"/>
        <v>-4.0241412639288932</v>
      </c>
      <c r="O673" s="86">
        <f>(O644)/(O644+O647+O657)*100</f>
        <v>12.137320044296789</v>
      </c>
      <c r="P673" s="61">
        <f t="shared" si="3983"/>
        <v>-4.7607230166349268</v>
      </c>
      <c r="Q673" s="86">
        <f>(Q644)/(Q644+Q647+Q657)*100</f>
        <v>13.372527137633686</v>
      </c>
      <c r="R673" s="61">
        <f t="shared" si="3984"/>
        <v>6.167200497503722</v>
      </c>
      <c r="S673" s="86">
        <f>(S644)/(S644+S647+S657)*100</f>
        <v>14.355676972281451</v>
      </c>
      <c r="T673" s="61">
        <f t="shared" si="3985"/>
        <v>13.829655397228224</v>
      </c>
      <c r="U673" s="86">
        <f>(U644)/(U644+U647+U657)*100</f>
        <v>17.061325825920481</v>
      </c>
      <c r="V673" s="61">
        <f t="shared" si="3986"/>
        <v>37.110887824224228</v>
      </c>
      <c r="W673" s="86">
        <f>(W644)/(W644+W647+W657)*100</f>
        <v>18.24579290951614</v>
      </c>
      <c r="X673" s="61">
        <f t="shared" si="3987"/>
        <v>50.328020048294462</v>
      </c>
      <c r="Y673" s="86">
        <f>(Y644)/(Y644+Y647+Y657)*100</f>
        <v>18.329337847757095</v>
      </c>
      <c r="Z673" s="61">
        <f t="shared" si="3988"/>
        <v>37.067120216744122</v>
      </c>
      <c r="AA673" s="86">
        <f>(AA644)/(AA644+AA647+AA657)*100</f>
        <v>18.375670257747277</v>
      </c>
      <c r="AB673" s="61">
        <f t="shared" si="3989"/>
        <v>28.00281235937392</v>
      </c>
      <c r="AC673" s="86">
        <f>(AC644)/(AC644+AC647+AC657)*100</f>
        <v>18.039168438376123</v>
      </c>
      <c r="AD673" s="61">
        <f t="shared" si="3990"/>
        <v>5.7313401222902183</v>
      </c>
      <c r="AE673" s="86">
        <f>(AE644)/(AE644+AE647+AE657)*100</f>
        <v>17.916926970701777</v>
      </c>
      <c r="AF673" s="61">
        <f t="shared" si="3991"/>
        <v>-1.8024206481201621</v>
      </c>
      <c r="AG673" s="86">
        <f>(AG644)/(AG644+AG647+AG657)*100</f>
        <v>17.457118755272283</v>
      </c>
      <c r="AH673" s="61">
        <f t="shared" si="3992"/>
        <v>-4.7585957535915213</v>
      </c>
      <c r="AI673" s="86">
        <f>(AI644)/(AI644+AI647+AI657)*100</f>
        <v>19.76569765697657</v>
      </c>
      <c r="AJ673" s="61">
        <f t="shared" si="3993"/>
        <v>7.5644990344950758</v>
      </c>
      <c r="AK673" s="86">
        <f>(AK644)/(AK644+AK647+AK657)*100</f>
        <v>19.681193725748699</v>
      </c>
      <c r="AL673" s="61">
        <f t="shared" si="3994"/>
        <v>9.1025553255513092</v>
      </c>
      <c r="AM673" s="86">
        <f>(AM644)/(AM644+AM647+AM657)*100</f>
        <v>19.440462291060108</v>
      </c>
      <c r="AN673" s="61">
        <f t="shared" si="3995"/>
        <v>8.503329409388428</v>
      </c>
      <c r="AO673" s="86">
        <f>(AO644)/(AO644+AO647+AO657)*100</f>
        <v>15.588952312997979</v>
      </c>
      <c r="AP673" s="61">
        <f t="shared" si="3996"/>
        <v>-10.701459206778285</v>
      </c>
      <c r="AQ673" s="86">
        <f>(AQ644)/(AQ644+AQ647+AQ657)*100</f>
        <v>15.311242776680563</v>
      </c>
      <c r="AR673" s="61">
        <f>IF(ISERROR((AQ673/AI673-1)*100),"NA",IF(((AQ673/AI673-1)*100)&gt;100,"NM",IF(((AQ673/AI673-1)*100)&lt;-50,"NM",(AQ673/AI673-1)*100)))</f>
        <v>-22.536289675177478</v>
      </c>
      <c r="AS673" s="86">
        <f>(AS644)/(AS644+AS647+AS657)*100</f>
        <v>14.629296606576311</v>
      </c>
      <c r="AT673" s="61">
        <f>IF(ISERROR((AS673/AK673-1)*100),"NA",IF(((AS673/AK673-1)*100)&gt;100,"NM",IF(((AS673/AK673-1)*100)&lt;-50,"NM",(AS673/AK673-1)*100)))</f>
        <v>-25.668651960694056</v>
      </c>
      <c r="AU673" s="86">
        <f>(AU644)/(AU644+AU647+AU657)*100</f>
        <v>14.193612519348472</v>
      </c>
      <c r="AV673" s="61">
        <f>IF(ISERROR((AU673/AM673-1)*100),"NA",IF(((AU673/AM673-1)*100)&gt;100,"NM",IF(((AU673/AM673-1)*100)&lt;-50,"NM",(AU673/AM673-1)*100)))</f>
        <v>-26.989326144391391</v>
      </c>
      <c r="AW673" s="86">
        <f>(AW644)/(AW644+AW647+AW657)*100</f>
        <v>13.849033063006862</v>
      </c>
      <c r="AX673" s="61">
        <f>IF(ISERROR((AW673/AO673-1)*100),"NA",IF(((AW673/AO673-1)*100)&gt;100,"NM",IF(((AW673/AO673-1)*100)&lt;-50,"NM",(AW673/AO673-1)*100)))</f>
        <v>-11.16123274391173</v>
      </c>
      <c r="AY673" s="86">
        <f>(AY644)/(AY644+AY647+AY657)*100</f>
        <v>13.468490342074023</v>
      </c>
      <c r="AZ673" s="61">
        <f>IF(ISERROR((AY673/AQ673-1)*100),"NA",IF(((AY673/AQ673-1)*100)&gt;100,"NM",IF(((AY673/AQ673-1)*100)&lt;-50,"NM",(AY673/AQ673-1)*100)))</f>
        <v>-12.035289763761714</v>
      </c>
      <c r="BA673" s="86">
        <f>(BA644)/(BA644+BA647+BA657)*100</f>
        <v>16.443336816243541</v>
      </c>
      <c r="BB673" s="61">
        <f t="shared" si="3867"/>
        <v>12.400050791585993</v>
      </c>
      <c r="BC673" s="86">
        <f>(BC644)/(BC644+BC647+BC657)*100</f>
        <v>16.378855925949352</v>
      </c>
      <c r="BD673" s="61">
        <f t="shared" si="3868"/>
        <v>15.39596352670609</v>
      </c>
      <c r="BE673" s="86">
        <f>(BE644)/(BE644+BE647+BE657)*100</f>
        <v>15.80364100021251</v>
      </c>
      <c r="BF673" s="61">
        <f t="shared" si="3869"/>
        <v>14.113678033066002</v>
      </c>
      <c r="BG673" s="86">
        <f>(BG644)/(BG644+BG647+BG657)*100</f>
        <v>17.560334038084868</v>
      </c>
      <c r="BH673" s="61">
        <f t="shared" si="3997"/>
        <v>30.380863720326488</v>
      </c>
      <c r="BI673" s="86">
        <f>(BI644)/(BI644+BI647+BI657)*100</f>
        <v>16.595036256364889</v>
      </c>
      <c r="BJ673" s="61">
        <f t="shared" si="3998"/>
        <v>0.92255873498554575</v>
      </c>
      <c r="BK673" s="86">
        <f>(BK644)/(BK644+BK647+BK657)*100</f>
        <v>18.369387321870011</v>
      </c>
      <c r="BL673" s="61">
        <f t="shared" si="3999"/>
        <v>12.153055164048542</v>
      </c>
      <c r="BM673" s="86">
        <f>(BM644)/(BM644+BM647+BM657)*100</f>
        <v>19.705443571735117</v>
      </c>
      <c r="BN673" s="61">
        <f t="shared" si="4000"/>
        <v>24.68926351509846</v>
      </c>
      <c r="BO673" s="86">
        <f>(BO644)/(BO644+BO647+BO657)*100</f>
        <v>20.060010647050284</v>
      </c>
      <c r="BP673" s="61">
        <f t="shared" si="4001"/>
        <v>14.23478963181517</v>
      </c>
      <c r="BQ673" s="86">
        <f>(BQ644)/(BQ644+BQ647+BQ657)*100</f>
        <v>26.357117154166453</v>
      </c>
      <c r="BR673" s="61">
        <f t="shared" si="4002"/>
        <v>58.825306236118635</v>
      </c>
      <c r="BS673" s="86">
        <f>(BS644)/(BS644+BS647+BS657)*100</f>
        <v>28.497480417103226</v>
      </c>
      <c r="BT673" s="61">
        <f t="shared" si="4003"/>
        <v>55.135715295060649</v>
      </c>
      <c r="BU673" s="86">
        <f>(BU644)/(BU644+BU647+BU657)*100</f>
        <v>30.500344909839928</v>
      </c>
      <c r="BV673" s="61">
        <f t="shared" si="4004"/>
        <v>54.781316131288136</v>
      </c>
      <c r="BW673" s="86">
        <f>BW644/(BW644+BW647+BW657)*100</f>
        <v>29.671995683974018</v>
      </c>
      <c r="BX673" s="61">
        <f t="shared" si="3870"/>
        <v>47.916151222667104</v>
      </c>
      <c r="BY673" s="86">
        <f>BY644/(BY644+BY647+BY657)*100</f>
        <v>30.694221250883846</v>
      </c>
      <c r="BZ673" s="61">
        <f t="shared" si="3871"/>
        <v>16.455153541068501</v>
      </c>
      <c r="CA673" s="86">
        <f>CA644/(CA644+CA647+CA657)*100</f>
        <v>30.184754448667761</v>
      </c>
      <c r="CB673" s="61">
        <f t="shared" si="3872"/>
        <v>5.9207831951062273</v>
      </c>
      <c r="CC673" s="86">
        <f>CC644/(CC644+CC647+CC657)*100</f>
        <v>31.1651126483311</v>
      </c>
      <c r="CD673" s="61">
        <f t="shared" si="3873"/>
        <v>2.1795417083191992</v>
      </c>
      <c r="CE673" s="86">
        <f>CE644/(CE644+CE647+CE657)*100</f>
        <v>31.019284759768041</v>
      </c>
      <c r="CF673" s="61">
        <f t="shared" si="4005"/>
        <v>4.5406082224583866</v>
      </c>
      <c r="CG673" s="86">
        <f>CG644/(CG644+CG647+CG657)*100</f>
        <v>33.391028086337158</v>
      </c>
      <c r="CH673" s="61">
        <f t="shared" si="4006"/>
        <v>8.7860409078652104</v>
      </c>
      <c r="CI673" s="86">
        <f>CI644/(CI644+CI647+CI657)*100</f>
        <v>33.316142341413105</v>
      </c>
      <c r="CJ673" s="61">
        <f t="shared" si="4007"/>
        <v>10.374071116167549</v>
      </c>
      <c r="CK673" s="86">
        <f>CK644/(CK644+CK647+CK657)*100</f>
        <v>30.927953164114637</v>
      </c>
      <c r="CL673" s="61">
        <f t="shared" si="4008"/>
        <v>-0.76097746506673669</v>
      </c>
      <c r="CM673" s="86">
        <f>CM644/(CM644+CM647+CM657)*100</f>
        <v>32.434326167450905</v>
      </c>
      <c r="CN673" s="61">
        <f t="shared" si="4009"/>
        <v>4.561811849118369</v>
      </c>
      <c r="CO673" s="86">
        <f>CO644/(CO644+CO647+CO657)*100</f>
        <v>33.580309149633344</v>
      </c>
      <c r="CP673" s="61">
        <f t="shared" si="4010"/>
        <v>0.56686204092539771</v>
      </c>
      <c r="CQ673" s="86">
        <f>CQ644/(CQ644+CQ647+CQ657)*100</f>
        <v>32.081288913948441</v>
      </c>
      <c r="CR673" s="61">
        <f t="shared" si="4011"/>
        <v>-3.7064718202074021</v>
      </c>
      <c r="CS673" s="86">
        <f>CS644/(CS644+CS647+CS657)*100</f>
        <v>34.094358714900075</v>
      </c>
      <c r="CT673" s="61">
        <f t="shared" si="4012"/>
        <v>10.238005515539195</v>
      </c>
      <c r="CU673" s="86">
        <f>CU644/(CU644+CU647+CU657)*100</f>
        <v>34.811227024341775</v>
      </c>
      <c r="CV673" s="61">
        <f t="shared" si="4013"/>
        <v>7.3283497385439267</v>
      </c>
      <c r="CW673" s="86">
        <f>CW644/(CW644+CW647+CW657)*100</f>
        <v>34.916661578850963</v>
      </c>
      <c r="CX673" s="61">
        <f t="shared" si="4014"/>
        <v>3.9795715496925732</v>
      </c>
      <c r="CY673" s="86">
        <f>CY644/(CY644+CY647+CY657)*100</f>
        <v>33.369776482021379</v>
      </c>
      <c r="CZ673" s="61">
        <f t="shared" si="4015"/>
        <v>4.0163210759051715</v>
      </c>
      <c r="DA673" s="86">
        <f>DA644/(DA644+DA647+DA657)*100</f>
        <v>32.757166947723441</v>
      </c>
      <c r="DB673" s="61">
        <f t="shared" si="4016"/>
        <v>-3.9220323173060567</v>
      </c>
      <c r="DC673" s="86">
        <f>DC644/(DC644+DC647+DC657)*100</f>
        <v>30.235003092145952</v>
      </c>
      <c r="DD673" s="61">
        <f t="shared" si="4017"/>
        <v>-13.145827721027747</v>
      </c>
      <c r="DE673" s="86">
        <f>DE644/(DE644+DE647+DE657)*100</f>
        <v>30.654364453077577</v>
      </c>
      <c r="DF673" s="61">
        <f t="shared" si="4018"/>
        <v>-12.207057986193792</v>
      </c>
      <c r="DG673" s="86">
        <f>DG644/(DG644+DG647+DG657)*100</f>
        <v>31.551399670665724</v>
      </c>
      <c r="DH673" s="61">
        <f t="shared" si="4019"/>
        <v>-5.4491728835383118</v>
      </c>
      <c r="DI673" s="86">
        <f>DI644/(DI644+DI647+DI657)*100</f>
        <v>30.912260313771061</v>
      </c>
      <c r="DJ673" s="61">
        <f t="shared" si="4020"/>
        <v>-5.6320701875611885</v>
      </c>
      <c r="DK673" s="86">
        <f>DK644/(DK644+DK647+DK657)*100</f>
        <v>30.896456670303795</v>
      </c>
      <c r="DL673" s="61">
        <f t="shared" si="4021"/>
        <v>2.1877079891209572</v>
      </c>
      <c r="DM673" s="86">
        <f>DM644/(DM644+DM647+DM657)*100</f>
        <v>29.675123407186316</v>
      </c>
      <c r="DN673" s="130">
        <f t="shared" si="4022"/>
        <v>-3.1944588099034887</v>
      </c>
      <c r="DO673" s="86">
        <f>DO644/(DO644+DO647+DO657)*100</f>
        <v>29.27297358320163</v>
      </c>
      <c r="DP673" s="130">
        <f t="shared" si="4022"/>
        <v>-7.2213154130921664</v>
      </c>
      <c r="DQ673" s="86">
        <f>DQ644/(DQ644+DQ647+DQ657)*100</f>
        <v>29.418332030813886</v>
      </c>
      <c r="DR673" s="130">
        <f t="shared" si="4022"/>
        <v>-4.8328018326490589</v>
      </c>
      <c r="DS673" s="86">
        <f>DS644/(DS644+DS647+DS657)*100</f>
        <v>30.800990916597854</v>
      </c>
      <c r="DT673" s="130">
        <f t="shared" si="4022"/>
        <v>-0.30898609094452967</v>
      </c>
      <c r="DU673" s="86">
        <f>DU644/(DU644+DU647+DU657)*100</f>
        <v>30.124904130601511</v>
      </c>
      <c r="DV673" s="130">
        <f t="shared" si="4022"/>
        <v>1.5156827395240935</v>
      </c>
      <c r="DW673" s="86">
        <f>DW644/(DW644+DW647+DW657)*100</f>
        <v>30.439056356487548</v>
      </c>
      <c r="DX673" s="86">
        <f t="shared" ref="DX673:DY673" si="4050">DX644/(DX644+DX647+DX657)*100</f>
        <v>30.552829571475304</v>
      </c>
      <c r="DY673" s="86">
        <f t="shared" si="4050"/>
        <v>30.302864938608458</v>
      </c>
      <c r="DZ673" s="130">
        <f t="shared" si="4022"/>
        <v>3.0067405142755188</v>
      </c>
      <c r="EA673" s="86">
        <f t="shared" ref="EA673:EC673" si="4051">EA644/(EA644+EA647+EA657)*100</f>
        <v>30.744952930293302</v>
      </c>
      <c r="EB673" s="130">
        <f t="shared" si="4025"/>
        <v>-0.18193566062952859</v>
      </c>
      <c r="EC673" s="86">
        <f t="shared" si="4051"/>
        <v>30.024745669507837</v>
      </c>
      <c r="ED673" s="130">
        <f t="shared" si="4026"/>
        <v>-0.33247727746934519</v>
      </c>
      <c r="EE673" s="86">
        <f t="shared" ref="EE673:EG673" si="4052">EE644/(EE644+EE647+EE657)*100</f>
        <v>29.652774004238442</v>
      </c>
      <c r="EF673" s="130">
        <f t="shared" si="4028"/>
        <v>-2.5831364252575595</v>
      </c>
      <c r="EG673" s="86">
        <f t="shared" si="4052"/>
        <v>29.27644191269102</v>
      </c>
      <c r="EH673" s="130">
        <f t="shared" si="4029"/>
        <v>-3.387214469644706</v>
      </c>
      <c r="EI673" s="86">
        <f t="shared" ref="EI673:EK673" si="4053">EI644/(EI644+EI647+EI657)*100</f>
        <v>28.11216386439564</v>
      </c>
      <c r="EJ673" s="130">
        <f t="shared" si="4031"/>
        <v>-8.5633211794692627</v>
      </c>
      <c r="EK673" s="86">
        <f t="shared" si="4053"/>
        <v>26.949301660618058</v>
      </c>
      <c r="EL673" s="130">
        <f t="shared" si="4032"/>
        <v>-10.243031007630155</v>
      </c>
      <c r="EM673" s="86">
        <f t="shared" ref="EM673" si="4054">EM644/(EM644+EM647+EM657)*100</f>
        <v>26.695723236175429</v>
      </c>
      <c r="EN673" s="130">
        <f t="shared" si="4034"/>
        <v>-9.9722567866343486</v>
      </c>
      <c r="EO673" s="86">
        <f t="shared" ref="EO673" si="4055">EO644/(EO644+EO647+EO657)*100</f>
        <v>25.776888233435162</v>
      </c>
      <c r="EP673" s="130">
        <f t="shared" si="4036"/>
        <v>-11.95348017253025</v>
      </c>
      <c r="EQ673" s="86">
        <f t="shared" ref="EQ673:EW673" si="4056">EQ644/(EQ644+EQ647+EQ657)*100</f>
        <v>27.365655373611343</v>
      </c>
      <c r="ER673" s="130">
        <f t="shared" si="4038"/>
        <v>-2.6554643548082013</v>
      </c>
      <c r="ES673" s="86">
        <f t="shared" si="4056"/>
        <v>26.932011518684458</v>
      </c>
      <c r="ET673" s="130">
        <f t="shared" si="4039"/>
        <v>-6.4158033300232287E-2</v>
      </c>
      <c r="EU673" s="86">
        <f t="shared" si="4056"/>
        <v>26.714911300677034</v>
      </c>
      <c r="EV673" s="130">
        <f t="shared" si="4040"/>
        <v>7.18769232503913E-2</v>
      </c>
      <c r="EW673" s="86">
        <f t="shared" si="4056"/>
        <v>26.484915888889198</v>
      </c>
      <c r="EX673" s="130">
        <f t="shared" si="4041"/>
        <v>2.7467537937168718</v>
      </c>
      <c r="EY673" s="356"/>
      <c r="EZ673" s="558"/>
      <c r="FA673" s="356"/>
      <c r="FB673" s="86">
        <f>FB644/(FB644+FB647+FB657)*100</f>
        <v>12.837587070324256</v>
      </c>
      <c r="FC673" s="71"/>
      <c r="FD673" s="86">
        <f>FD644/(FD644+FD647+FD657)*100</f>
        <v>13.084386945016172</v>
      </c>
      <c r="FE673" s="70">
        <f>IF(ISERROR((FD673/FB673-1)*100),"NA",IF(((FD673/FB673-1)*100)&gt;100,"NM",IF(((FD673/FB673-1)*100)&lt;-50,"NM",(FD673/FB673-1)*100)))</f>
        <v>1.9224786818577977</v>
      </c>
      <c r="FF673" s="86">
        <f>FF644/(FF644+FF647+FF657)*100</f>
        <v>12.59572360858108</v>
      </c>
      <c r="FG673" s="70">
        <f>IF(ISERROR((FF673/FD673-1)*100),"NA",IF(((FF673/FD673-1)*100)&gt;100,"NM",IF(((FF673/FD673-1)*100)&lt;-50,"NM",(FF673/FD673-1)*100)))</f>
        <v>-3.7347056341926921</v>
      </c>
      <c r="FH673" s="86">
        <f>FH644/(FH644+FH647+FH657)*100</f>
        <v>13.372527137633686</v>
      </c>
      <c r="FI673" s="70">
        <f>IF(ISERROR((FH673/FF673-1)*100),"NA",IF(((FH673/FF673-1)*100)&gt;100,"NM",IF(((FH673/FF673-1)*100)&lt;-50,"NM",(FH673/FF673-1)*100)))</f>
        <v>6.167200497503722</v>
      </c>
      <c r="FJ673" s="86">
        <f>FJ644/(FJ644+FJ647+FJ657)*100</f>
        <v>18.329337847757095</v>
      </c>
      <c r="FK673" s="70">
        <f>IF(ISERROR((FJ673/FH673-1)*100),"NA",IF(((FJ673/FH673-1)*100)&gt;100,"NM",IF(((FJ673/FH673-1)*100)&lt;-50,"NM",(FJ673/FH673-1)*100)))</f>
        <v>37.067120216744122</v>
      </c>
      <c r="FL673" s="86">
        <f>FL644/(FL644+FL647+FL657)*100</f>
        <v>17.457118755272283</v>
      </c>
      <c r="FM673" s="61">
        <f>IF(ISERROR((FL673/FJ673-1)*100),"NA",IF(((FL673/FJ673-1)*100)&gt;100,"NM",IF(((FL673/FJ673-1)*100)&lt;-50,"NM",(FL673/FJ673-1)*100)))</f>
        <v>-4.7585957535915213</v>
      </c>
      <c r="FN673" s="86">
        <f>FN644/(FN644+FN647+FN657)*100</f>
        <v>15.588952312997979</v>
      </c>
      <c r="FO673" s="61">
        <f>IF(ISERROR((FN673/FL673-1)*100),"NA",IF(((FN673/FL673-1)*100)&gt;100,"NM",IF(((FN673/FL673-1)*100)&lt;-50,"NM",(FN673/FL673-1)*100)))</f>
        <v>-10.701459206778285</v>
      </c>
      <c r="FP673" s="176">
        <f>FP644/(FP644+FP647+FP657)*100</f>
        <v>13.849033063006862</v>
      </c>
      <c r="FQ673" s="61">
        <f t="shared" si="3844"/>
        <v>3.5633199354830003</v>
      </c>
      <c r="FR673" s="176">
        <f>(FR644+(0.25*FR661))/(FR644+FR647+FR657+FR661)*100</f>
        <v>15.80364100021251</v>
      </c>
      <c r="FS673" s="61">
        <f t="shared" si="4042"/>
        <v>14.113678033066002</v>
      </c>
      <c r="FT673" s="176">
        <f>(FT644+(0.25*FT661))/(FT644+FT647+FT657+FT661)*100</f>
        <v>19.705443571735117</v>
      </c>
      <c r="FU673" s="61">
        <f t="shared" si="4043"/>
        <v>24.68926351509846</v>
      </c>
      <c r="FV673" s="176">
        <f>(FV644+(0.25*FV661))/(FV644+FV647+FV657+FV661)*100</f>
        <v>30.500344909839928</v>
      </c>
      <c r="FW673" s="61">
        <f t="shared" si="4044"/>
        <v>54.781316131288136</v>
      </c>
      <c r="FX673" s="88">
        <f>(FX644+(0.25*FX661))/(FX644+FX647+FX657+FX661)*100</f>
        <v>31.1651126483311</v>
      </c>
      <c r="FY673" s="61">
        <f t="shared" si="4045"/>
        <v>2.1795417083191992</v>
      </c>
      <c r="FZ673" s="88">
        <f>(FZ644+(0.25*FZ661))/(FZ644+FZ647+FZ657+FZ661)*100</f>
        <v>30.927953164114637</v>
      </c>
      <c r="GA673" s="61">
        <f t="shared" si="4046"/>
        <v>-0.76097746506673669</v>
      </c>
      <c r="GB673" s="88">
        <f>(GB644+(0.25*GB661))/(GB644+GB647+GB657+GB661)*100</f>
        <v>34.094358714900075</v>
      </c>
      <c r="GC673" s="61">
        <f t="shared" si="4047"/>
        <v>10.238005515539195</v>
      </c>
      <c r="GD673" s="88">
        <f>(GD644+(0.25*GD661))/(GD644+GD647+GD657+GD661)*100</f>
        <v>32.757166947723441</v>
      </c>
      <c r="GE673" s="61">
        <f t="shared" si="4048"/>
        <v>-3.9220323173060567</v>
      </c>
      <c r="GF673" s="88">
        <f>(GF644+(0.25*GF661))/(GF644+GF647+GF657+GF661)*100</f>
        <v>30.912260313771061</v>
      </c>
      <c r="GG673" s="61">
        <f t="shared" si="4048"/>
        <v>-5.6320701875611885</v>
      </c>
      <c r="GH673" s="88">
        <f>(GH644+(0.25*GH661))/(GH644+GH647+GH657+GH661)*100</f>
        <v>29.418332030813886</v>
      </c>
      <c r="GI673" s="61">
        <f t="shared" si="4048"/>
        <v>-4.8328018326490589</v>
      </c>
      <c r="GJ673" s="88">
        <f>(GJ644+(0.25*GJ661))/(GJ644+GJ647+GJ657+GJ661)*100</f>
        <v>30.302864938608458</v>
      </c>
      <c r="GK673" s="61">
        <f t="shared" si="4048"/>
        <v>3.0067405142755188</v>
      </c>
      <c r="GL673" s="88">
        <f>(GL644+(0.25*GL661))/(GL644+GL647+GL657+GL661)*100</f>
        <v>29.27644191269102</v>
      </c>
      <c r="GM673" s="61">
        <f t="shared" si="4048"/>
        <v>-3.387214469644706</v>
      </c>
      <c r="GN673" s="88">
        <f>(GN644+(0.25*GN661))/(GN644+GN647+GN657+GN661)*100</f>
        <v>25.776888233435162</v>
      </c>
      <c r="GO673" s="61">
        <f t="shared" si="4048"/>
        <v>-11.95348017253025</v>
      </c>
      <c r="GP673" s="88">
        <f>(GP644+(0.25*GP661))/(GP644+GP647+GP657+GP661)*100</f>
        <v>26.484915888889198</v>
      </c>
      <c r="GQ673" s="61">
        <f t="shared" si="4048"/>
        <v>2.7467537937168718</v>
      </c>
      <c r="GR673" s="86">
        <f>(GR644+(0.25*GR661))/(GR644+GR647+GR657+GR661)*100</f>
        <v>25.621695745126104</v>
      </c>
      <c r="GS673" s="61">
        <f t="shared" si="4048"/>
        <v>-3.2592897307452962</v>
      </c>
      <c r="GT673" s="86">
        <f>(GT644+(0.25*GT661))/(GT644+GT647+GT657+GT661)*100</f>
        <v>24.711878354201193</v>
      </c>
      <c r="GU673" s="61">
        <f t="shared" si="4048"/>
        <v>-3.5509647760062157</v>
      </c>
      <c r="GV673" s="86">
        <f>(GV644+(0.25*GV661))/(GV644+GV647+GV657+GV661)*100</f>
        <v>23.875008212871077</v>
      </c>
      <c r="GW673" s="61">
        <f t="shared" si="4048"/>
        <v>-3.3865096344966594</v>
      </c>
      <c r="GX673" s="86">
        <f>(GX644+(0.25*GX661))/(GX644+GX647+GX657+GX661)*100</f>
        <v>23.043387115182522</v>
      </c>
      <c r="GY673" s="61">
        <f t="shared" si="4049"/>
        <v>-3.483228530326643</v>
      </c>
      <c r="GZ673" s="61">
        <f t="shared" ref="GZ673:GZ695" si="4057">IF(ISERROR((GX673/GN673)^0.2),"",IF(OR((GX673/GN673)^0.2&lt;0.5,(GX673/GN673)^0.2&gt;2),"NM",((GX673/GN673)^0.2-1)*100))</f>
        <v>-2.2170432079869462</v>
      </c>
      <c r="HA673" s="61"/>
      <c r="HB673" s="452"/>
      <c r="HC673"/>
      <c r="HD673"/>
      <c r="HE673"/>
      <c r="HF673"/>
      <c r="HG673"/>
      <c r="HH673"/>
    </row>
    <row r="674" spans="1:216" s="5" customFormat="1" ht="12.75" customHeight="1" x14ac:dyDescent="0.2">
      <c r="A674" s="7"/>
      <c r="B674" s="7" t="s">
        <v>153</v>
      </c>
      <c r="C674" s="86"/>
      <c r="D674" s="70"/>
      <c r="E674" s="86"/>
      <c r="F674" s="71"/>
      <c r="G674" s="86"/>
      <c r="H674" s="71"/>
      <c r="I674" s="86"/>
      <c r="J674" s="61"/>
      <c r="K674" s="86"/>
      <c r="L674" s="61"/>
      <c r="M674" s="86"/>
      <c r="N674" s="61"/>
      <c r="O674" s="86"/>
      <c r="P674" s="61"/>
      <c r="Q674" s="86"/>
      <c r="R674" s="61"/>
      <c r="S674" s="86"/>
      <c r="T674" s="61"/>
      <c r="U674" s="86"/>
      <c r="V674" s="61"/>
      <c r="W674" s="86"/>
      <c r="X674" s="61"/>
      <c r="Y674" s="86"/>
      <c r="Z674" s="61"/>
      <c r="AA674" s="86"/>
      <c r="AB674" s="61"/>
      <c r="AC674" s="86"/>
      <c r="AD674" s="61"/>
      <c r="AE674" s="86"/>
      <c r="AF674" s="61"/>
      <c r="AG674" s="86"/>
      <c r="AH674" s="61"/>
      <c r="AI674" s="86"/>
      <c r="AJ674" s="61"/>
      <c r="AK674" s="86"/>
      <c r="AL674" s="61"/>
      <c r="AM674" s="86"/>
      <c r="AN674" s="61"/>
      <c r="AO674" s="86"/>
      <c r="AP674" s="61"/>
      <c r="AQ674" s="86"/>
      <c r="AR674" s="61"/>
      <c r="AS674" s="86"/>
      <c r="AT674" s="61"/>
      <c r="AU674" s="86"/>
      <c r="AV674" s="61"/>
      <c r="AW674" s="86"/>
      <c r="AX674" s="61"/>
      <c r="AY674" s="86"/>
      <c r="AZ674" s="61"/>
      <c r="BA674" s="86"/>
      <c r="BB674" s="61"/>
      <c r="BC674" s="86"/>
      <c r="BD674" s="61"/>
      <c r="BE674" s="86"/>
      <c r="BF674" s="61"/>
      <c r="BG674" s="86">
        <f>BG661/(BG644+BG661+BG647+BG657)*100</f>
        <v>0</v>
      </c>
      <c r="BH674" s="61" t="str">
        <f t="shared" si="3997"/>
        <v>NA</v>
      </c>
      <c r="BI674" s="86">
        <f>BI661/(BI644+BI661+BI647+BI657)*100</f>
        <v>0</v>
      </c>
      <c r="BJ674" s="61" t="str">
        <f t="shared" si="3998"/>
        <v>NA</v>
      </c>
      <c r="BK674" s="86">
        <f>BK661/(BK644+BK661+BK647+BK657)*100</f>
        <v>0</v>
      </c>
      <c r="BL674" s="61" t="str">
        <f t="shared" si="3999"/>
        <v>NA</v>
      </c>
      <c r="BM674" s="86">
        <f>BM661/(BM644+BM661+BM647+BM657)*100</f>
        <v>0</v>
      </c>
      <c r="BN674" s="61" t="str">
        <f t="shared" si="4000"/>
        <v>NA</v>
      </c>
      <c r="BO674" s="86">
        <f>BO661/(BO644+BO661+BO647+BO657)*100</f>
        <v>0</v>
      </c>
      <c r="BP674" s="61" t="str">
        <f t="shared" si="4001"/>
        <v>NA</v>
      </c>
      <c r="BQ674" s="86">
        <f>BQ661/(BQ644+BQ661+BQ647+BQ657)*100</f>
        <v>0</v>
      </c>
      <c r="BR674" s="61" t="str">
        <f t="shared" si="4002"/>
        <v>NA</v>
      </c>
      <c r="BS674" s="86">
        <f>BS661/(BS644+BS661+BS647+BS657)*100</f>
        <v>0</v>
      </c>
      <c r="BT674" s="61" t="str">
        <f t="shared" si="4003"/>
        <v>NA</v>
      </c>
      <c r="BU674" s="86">
        <f>BU661/(BU644+BU661+BU647+BU657)*100</f>
        <v>0</v>
      </c>
      <c r="BV674" s="61" t="str">
        <f t="shared" si="4004"/>
        <v>NA</v>
      </c>
      <c r="BW674" s="86">
        <f>BW661/(BW644+BW661+BW647+BW657)*100</f>
        <v>0</v>
      </c>
      <c r="BX674" s="61" t="str">
        <f>IF(ISERROR((BW674/BO674-1)*100),"NA",IF(((BW674/BO674-1)*100)&gt;100,"NM",IF(((BW674/BO674-1)*100)&lt;-50,"NM",(BW674/BO674-1)*100)))</f>
        <v>NA</v>
      </c>
      <c r="BY674" s="86">
        <f>BY661/(BY644+BY661+BY647+BY657)*100</f>
        <v>0</v>
      </c>
      <c r="BZ674" s="61" t="str">
        <f>IF(ISERROR((BY674/BQ674-1)*100),"NA",IF(((BY674/BQ674-1)*100)&gt;100,"NM",IF(((BY674/BQ674-1)*100)&lt;-50,"NM",(BY674/BQ674-1)*100)))</f>
        <v>NA</v>
      </c>
      <c r="CA674" s="86">
        <f>CA661/(CA644+CA661+CA647+CA657)*100</f>
        <v>0</v>
      </c>
      <c r="CB674" s="61" t="str">
        <f>IF(ISERROR((CA674/BS674-1)*100),"NA",IF(((CA674/BS674-1)*100)&gt;100,"NM",IF(((CA674/BS674-1)*100)&lt;-50,"NM",(CA674/BS674-1)*100)))</f>
        <v>NA</v>
      </c>
      <c r="CC674" s="86">
        <f>CC661/(CC644+CC661+CC647+CC657)*100</f>
        <v>0</v>
      </c>
      <c r="CD674" s="61" t="str">
        <f>IF(ISERROR((CC674/BU674-1)*100),"NA",IF(((CC674/BU674-1)*100)&gt;100,"NM",IF(((CC674/BU674-1)*100)&lt;-50,"NM",(CC674/BU674-1)*100)))</f>
        <v>NA</v>
      </c>
      <c r="CE674" s="86">
        <f>CE661/(CE644+CE661+CE647+CE657)*100</f>
        <v>0</v>
      </c>
      <c r="CF674" s="61" t="str">
        <f t="shared" si="4005"/>
        <v>NA</v>
      </c>
      <c r="CG674" s="86">
        <f>CG661/(CG644+CG661+CG647+CG657)*100</f>
        <v>0</v>
      </c>
      <c r="CH674" s="61" t="str">
        <f t="shared" si="4006"/>
        <v>NA</v>
      </c>
      <c r="CI674" s="86">
        <f>CI661/(CI644+CI661+CI647+CI657)*100</f>
        <v>0</v>
      </c>
      <c r="CJ674" s="61" t="str">
        <f t="shared" si="4007"/>
        <v>NA</v>
      </c>
      <c r="CK674" s="86">
        <f>CK661/(CK644+CK661+CK647+CK657)*100</f>
        <v>0</v>
      </c>
      <c r="CL674" s="61" t="str">
        <f t="shared" si="4008"/>
        <v>NA</v>
      </c>
      <c r="CM674" s="86">
        <f>CM661/(CM644+CM661+CM647+CM657)*100</f>
        <v>0</v>
      </c>
      <c r="CN674" s="61" t="str">
        <f t="shared" si="4009"/>
        <v>NA</v>
      </c>
      <c r="CO674" s="86">
        <f>CO661/(CO644+CO661+CO647+CO657)*100</f>
        <v>0</v>
      </c>
      <c r="CP674" s="61" t="str">
        <f t="shared" si="4010"/>
        <v>NA</v>
      </c>
      <c r="CQ674" s="86">
        <f>CQ661/(CQ644+CQ661+CQ647+CQ657)*100</f>
        <v>0</v>
      </c>
      <c r="CR674" s="61" t="str">
        <f t="shared" si="4011"/>
        <v>NA</v>
      </c>
      <c r="CS674" s="86">
        <f>CS661/(CS644+CS661+CS647+CS657)*100</f>
        <v>0</v>
      </c>
      <c r="CT674" s="61" t="str">
        <f t="shared" si="4012"/>
        <v>NA</v>
      </c>
      <c r="CU674" s="86">
        <f>CU661/(CU644+CU661+CU647+CU657)*100</f>
        <v>0</v>
      </c>
      <c r="CV674" s="61" t="str">
        <f t="shared" si="4013"/>
        <v>NA</v>
      </c>
      <c r="CW674" s="86">
        <f>CW661/(CW644+CW661+CW647+CW657)*100</f>
        <v>0</v>
      </c>
      <c r="CX674" s="61" t="str">
        <f t="shared" si="4014"/>
        <v>NA</v>
      </c>
      <c r="CY674" s="86">
        <f>CY661/(CY644+CY661+CY647+CY657)*100</f>
        <v>0</v>
      </c>
      <c r="CZ674" s="61" t="str">
        <f t="shared" si="4015"/>
        <v>NA</v>
      </c>
      <c r="DA674" s="86">
        <f>DA661/(DA644+DA661+DA647+DA657)*100</f>
        <v>0</v>
      </c>
      <c r="DB674" s="61" t="str">
        <f t="shared" si="4016"/>
        <v>NA</v>
      </c>
      <c r="DC674" s="86">
        <f>DC661/(DC644+DC661+DC647+DC657)*100</f>
        <v>0</v>
      </c>
      <c r="DD674" s="61" t="str">
        <f t="shared" si="4017"/>
        <v>NA</v>
      </c>
      <c r="DE674" s="86">
        <f>DE661/(DE644+DE661+DE647+DE657)*100</f>
        <v>0</v>
      </c>
      <c r="DF674" s="61" t="str">
        <f t="shared" si="4018"/>
        <v>NA</v>
      </c>
      <c r="DG674" s="86">
        <f>DG661/(DG644+DG661+DG647+DG657)*100</f>
        <v>0</v>
      </c>
      <c r="DH674" s="61" t="str">
        <f t="shared" si="4019"/>
        <v>NA</v>
      </c>
      <c r="DI674" s="86">
        <f>DI661/(DI644+DI661+DI647+DI657)*100</f>
        <v>0</v>
      </c>
      <c r="DJ674" s="61" t="str">
        <f t="shared" si="4020"/>
        <v>NA</v>
      </c>
      <c r="DK674" s="86">
        <f>DK661/(DK644+DK661+DK647+DK657)*100</f>
        <v>0</v>
      </c>
      <c r="DL674" s="61" t="str">
        <f t="shared" si="4021"/>
        <v>NA</v>
      </c>
      <c r="DM674" s="86">
        <f>DM661/(DM644+DM661+DM647+DM657)*100</f>
        <v>0</v>
      </c>
      <c r="DN674" s="130" t="str">
        <f t="shared" si="4022"/>
        <v>NA</v>
      </c>
      <c r="DO674" s="86">
        <f>DO661/(DO644+DO661+DO647+DO657)*100</f>
        <v>0</v>
      </c>
      <c r="DP674" s="130" t="str">
        <f t="shared" si="4022"/>
        <v>NA</v>
      </c>
      <c r="DQ674" s="86">
        <f>DQ661/(DQ644+DQ661+DQ647+DQ657)*100</f>
        <v>0</v>
      </c>
      <c r="DR674" s="130" t="str">
        <f t="shared" si="4022"/>
        <v>NA</v>
      </c>
      <c r="DS674" s="86">
        <f>DS661/(DS644+DS661+DS647+DS657)*100</f>
        <v>0</v>
      </c>
      <c r="DT674" s="130" t="str">
        <f t="shared" si="4022"/>
        <v>NA</v>
      </c>
      <c r="DU674" s="86">
        <f>DU661/(DU644+DU661+DU647+DU657)*100</f>
        <v>0</v>
      </c>
      <c r="DV674" s="130" t="str">
        <f t="shared" si="4022"/>
        <v>NA</v>
      </c>
      <c r="DW674" s="86">
        <f>DW661/(DW644+DW661+DW647+DW657)*100</f>
        <v>0</v>
      </c>
      <c r="DX674" s="86">
        <f t="shared" ref="DX674:DY674" si="4058">DX661/(DX644+DX661+DX647+DX657)*100</f>
        <v>0</v>
      </c>
      <c r="DY674" s="86">
        <f t="shared" si="4058"/>
        <v>0</v>
      </c>
      <c r="DZ674" s="130" t="str">
        <f t="shared" si="4022"/>
        <v>NA</v>
      </c>
      <c r="EA674" s="86">
        <f t="shared" ref="EA674:EC674" si="4059">EA661/(EA644+EA661+EA647+EA657)*100</f>
        <v>0</v>
      </c>
      <c r="EB674" s="130" t="str">
        <f t="shared" si="4025"/>
        <v>NA</v>
      </c>
      <c r="EC674" s="86">
        <f t="shared" si="4059"/>
        <v>0</v>
      </c>
      <c r="ED674" s="130" t="str">
        <f t="shared" si="4026"/>
        <v>NA</v>
      </c>
      <c r="EE674" s="86">
        <f t="shared" ref="EE674:EG674" si="4060">EE661/(EE644+EE661+EE647+EE657)*100</f>
        <v>0</v>
      </c>
      <c r="EF674" s="130" t="str">
        <f t="shared" si="4028"/>
        <v>NA</v>
      </c>
      <c r="EG674" s="86">
        <f t="shared" si="4060"/>
        <v>0</v>
      </c>
      <c r="EH674" s="130" t="str">
        <f t="shared" si="4029"/>
        <v>NA</v>
      </c>
      <c r="EI674" s="86">
        <f t="shared" ref="EI674:EK674" si="4061">EI661/(EI644+EI661+EI647+EI657)*100</f>
        <v>0</v>
      </c>
      <c r="EJ674" s="130" t="str">
        <f t="shared" si="4031"/>
        <v>NA</v>
      </c>
      <c r="EK674" s="86">
        <f t="shared" si="4061"/>
        <v>0</v>
      </c>
      <c r="EL674" s="130" t="str">
        <f t="shared" si="4032"/>
        <v>NA</v>
      </c>
      <c r="EM674" s="86">
        <f t="shared" ref="EM674" si="4062">EM661/(EM644+EM661+EM647+EM657)*100</f>
        <v>0</v>
      </c>
      <c r="EN674" s="130" t="str">
        <f t="shared" si="4034"/>
        <v>NA</v>
      </c>
      <c r="EO674" s="86">
        <f t="shared" ref="EO674" si="4063">EO661/(EO644+EO661+EO647+EO657)*100</f>
        <v>0</v>
      </c>
      <c r="EP674" s="130" t="str">
        <f t="shared" si="4036"/>
        <v>NA</v>
      </c>
      <c r="EQ674" s="86">
        <f t="shared" ref="EQ674:EW674" si="4064">EQ661/(EQ644+EQ661+EQ647+EQ657)*100</f>
        <v>0</v>
      </c>
      <c r="ER674" s="130" t="str">
        <f t="shared" si="4038"/>
        <v>NA</v>
      </c>
      <c r="ES674" s="86">
        <f t="shared" si="4064"/>
        <v>0</v>
      </c>
      <c r="ET674" s="130" t="str">
        <f t="shared" si="4039"/>
        <v>NA</v>
      </c>
      <c r="EU674" s="86">
        <f t="shared" si="4064"/>
        <v>0</v>
      </c>
      <c r="EV674" s="130" t="str">
        <f t="shared" si="4040"/>
        <v>NA</v>
      </c>
      <c r="EW674" s="86">
        <f t="shared" si="4064"/>
        <v>0</v>
      </c>
      <c r="EX674" s="130" t="str">
        <f t="shared" si="4041"/>
        <v>NA</v>
      </c>
      <c r="EY674" s="356"/>
      <c r="EZ674" s="558"/>
      <c r="FA674" s="356"/>
      <c r="FB674" s="86"/>
      <c r="FC674" s="71"/>
      <c r="FD674" s="176">
        <f>FD661/(FD644+FD661+FD647+FD657)*100</f>
        <v>0</v>
      </c>
      <c r="FE674" s="61" t="str">
        <f>IF(ISERROR((FD674/FB674-1)*100),"NA",IF(((FD674/FB674-1)*100)&gt;100,"NM",IF(((FD674/FB674-1)*100)&lt;-50,"NM",(FD674/FB674-1)*100)))</f>
        <v>NA</v>
      </c>
      <c r="FF674" s="176">
        <f>FF661/(FF644+FF661+FF647+FF657)*100</f>
        <v>0</v>
      </c>
      <c r="FG674" s="61" t="str">
        <f>IF(ISERROR((FF674/FD674-1)*100),"NA",IF(((FF674/FD674-1)*100)&gt;100,"NM",IF(((FF674/FD674-1)*100)&lt;-50,"NM",(FF674/FD674-1)*100)))</f>
        <v>NA</v>
      </c>
      <c r="FH674" s="176">
        <f>FH661/(FH644+FH661+FH647+FH657)*100</f>
        <v>0</v>
      </c>
      <c r="FI674" s="61" t="str">
        <f>IF(ISERROR((FH674/FF674-1)*100),"NA",IF(((FH674/FF674-1)*100)&gt;100,"NM",IF(((FH674/FF674-1)*100)&lt;-50,"NM",(FH674/FF674-1)*100)))</f>
        <v>NA</v>
      </c>
      <c r="FJ674" s="176">
        <f>FJ661/(FJ644+FJ661+FJ647+FJ657)*100</f>
        <v>0</v>
      </c>
      <c r="FK674" s="61" t="str">
        <f>IF(ISERROR((FJ674/FH674-1)*100),"NA",IF(((FJ674/FH674-1)*100)&gt;100,"NM",IF(((FJ674/FH674-1)*100)&lt;-50,"NM",(FJ674/FH674-1)*100)))</f>
        <v>NA</v>
      </c>
      <c r="FL674" s="176">
        <f>FL661/(FL644+FL661+FL647+FL657)*100</f>
        <v>0</v>
      </c>
      <c r="FM674" s="61" t="str">
        <f>IF(ISERROR((FL674/FJ674-1)*100),"NA",IF(((FL674/FJ674-1)*100)&gt;100,"NM",IF(((FL674/FJ674-1)*100)&lt;-50,"NM",(FL674/FJ674-1)*100)))</f>
        <v>NA</v>
      </c>
      <c r="FN674" s="176">
        <f>FN661/(FN644+FN661+FN647+FN657)*100</f>
        <v>0</v>
      </c>
      <c r="FO674" s="61" t="str">
        <f>IF(ISERROR((FN674/FL674-1)*100),"NA",IF(((FN674/FL674-1)*100)&gt;100,"NM",IF(((FN674/FL674-1)*100)&lt;-50,"NM",(FN674/FL674-1)*100)))</f>
        <v>NA</v>
      </c>
      <c r="FP674" s="176">
        <f>FP661/(FP644+FP661+FP647+FP657)*100</f>
        <v>0</v>
      </c>
      <c r="FQ674" s="61" t="str">
        <f>IF(ISERROR((FP674/FN674-1)*100),"NA",IF(((FP674/FN674-1)*100)&gt;100,"NM",IF(((FP674/FN674-1)*100)&lt;-50,"NM",(FP674/FN674-1)*100)))</f>
        <v>NA</v>
      </c>
      <c r="FR674" s="176">
        <f>FR661/(FR644+FR661+FR647+FR657)*100</f>
        <v>0</v>
      </c>
      <c r="FS674" s="61" t="str">
        <f t="shared" si="4042"/>
        <v>NA</v>
      </c>
      <c r="FT674" s="176">
        <f>FT661/(FT644+FT661+FT647+FT657)*100</f>
        <v>0</v>
      </c>
      <c r="FU674" s="61" t="str">
        <f t="shared" si="4043"/>
        <v>NA</v>
      </c>
      <c r="FV674" s="176">
        <f>FV661/(FV644+FV661+FV647+FV657)*100</f>
        <v>0</v>
      </c>
      <c r="FW674" s="61" t="str">
        <f t="shared" si="4044"/>
        <v>NA</v>
      </c>
      <c r="FX674" s="88">
        <f>FX661/(FX644+FX661+FX647+FX657)*100</f>
        <v>0</v>
      </c>
      <c r="FY674" s="61" t="str">
        <f t="shared" si="4045"/>
        <v>NA</v>
      </c>
      <c r="FZ674" s="88">
        <f>FZ661/(FZ644+FZ661+FZ647+FZ657)*100</f>
        <v>0</v>
      </c>
      <c r="GA674" s="61" t="str">
        <f t="shared" si="4046"/>
        <v>NA</v>
      </c>
      <c r="GB674" s="88">
        <f>GB661/(GB644+GB661+GB647+GB657)*100</f>
        <v>0</v>
      </c>
      <c r="GC674" s="61" t="str">
        <f t="shared" si="4047"/>
        <v>NA</v>
      </c>
      <c r="GD674" s="88">
        <f>GD661/(GD644+GD661+GD647+GD657)*100</f>
        <v>0</v>
      </c>
      <c r="GE674" s="61" t="str">
        <f t="shared" si="4048"/>
        <v>NA</v>
      </c>
      <c r="GF674" s="88">
        <f>GF661/(GF644+GF661+GF647+GF657)*100</f>
        <v>0</v>
      </c>
      <c r="GG674" s="61" t="str">
        <f t="shared" si="4048"/>
        <v>NA</v>
      </c>
      <c r="GH674" s="88">
        <f>GH661/(GH644+GH661+GH647+GH657)*100</f>
        <v>0</v>
      </c>
      <c r="GI674" s="61" t="str">
        <f t="shared" si="4048"/>
        <v>NA</v>
      </c>
      <c r="GJ674" s="88">
        <f>GJ661/(GJ644+GJ661+GJ647+GJ657)*100</f>
        <v>0</v>
      </c>
      <c r="GK674" s="61" t="str">
        <f t="shared" si="4048"/>
        <v>NA</v>
      </c>
      <c r="GL674" s="88">
        <f>GL661/(GL644+GL661+GL647+GL657)*100</f>
        <v>0</v>
      </c>
      <c r="GM674" s="61" t="str">
        <f t="shared" si="4048"/>
        <v>NA</v>
      </c>
      <c r="GN674" s="88">
        <f>GN661/(GN644+GN661+GN647+GN657)*100</f>
        <v>0</v>
      </c>
      <c r="GO674" s="61" t="str">
        <f t="shared" si="4048"/>
        <v>NA</v>
      </c>
      <c r="GP674" s="88">
        <f>GP661/(GP644+GP661+GP647+GP657)*100</f>
        <v>0</v>
      </c>
      <c r="GQ674" s="61" t="str">
        <f t="shared" si="4048"/>
        <v>NA</v>
      </c>
      <c r="GR674" s="86">
        <f>GR661/(GR644+GR661+GR647+GR657)*100</f>
        <v>0</v>
      </c>
      <c r="GS674" s="61" t="str">
        <f t="shared" si="4048"/>
        <v>NA</v>
      </c>
      <c r="GT674" s="86">
        <f>GT661/(GT644+GT661+GT647+GT657)*100</f>
        <v>0</v>
      </c>
      <c r="GU674" s="61" t="str">
        <f t="shared" si="4048"/>
        <v>NA</v>
      </c>
      <c r="GV674" s="86">
        <f>GV661/(GV644+GV661+GV647+GV657)*100</f>
        <v>0</v>
      </c>
      <c r="GW674" s="61" t="str">
        <f t="shared" si="4048"/>
        <v>NA</v>
      </c>
      <c r="GX674" s="86">
        <f>GX661/(GX644+GX661+GX647+GX657)*100</f>
        <v>0</v>
      </c>
      <c r="GY674" s="61" t="str">
        <f t="shared" si="4049"/>
        <v>NA</v>
      </c>
      <c r="GZ674" s="61" t="str">
        <f t="shared" si="4057"/>
        <v/>
      </c>
      <c r="HA674" s="61"/>
      <c r="HB674" s="452"/>
      <c r="HC674"/>
      <c r="HD674"/>
      <c r="HE674"/>
      <c r="HF674"/>
      <c r="HG674"/>
      <c r="HH674"/>
    </row>
    <row r="675" spans="1:216" s="5" customFormat="1" ht="12.75" customHeight="1" x14ac:dyDescent="0.2">
      <c r="A675" s="7"/>
      <c r="B675" s="7" t="s">
        <v>213</v>
      </c>
      <c r="C675" s="86"/>
      <c r="D675" s="70"/>
      <c r="E675" s="86"/>
      <c r="F675" s="71"/>
      <c r="G675" s="86"/>
      <c r="H675" s="71"/>
      <c r="I675" s="86"/>
      <c r="J675" s="61"/>
      <c r="K675" s="86"/>
      <c r="L675" s="61"/>
      <c r="M675" s="86"/>
      <c r="N675" s="61"/>
      <c r="O675" s="86"/>
      <c r="P675" s="61"/>
      <c r="Q675" s="86"/>
      <c r="R675" s="61"/>
      <c r="S675" s="86"/>
      <c r="T675" s="61"/>
      <c r="U675" s="86"/>
      <c r="V675" s="61"/>
      <c r="W675" s="86"/>
      <c r="X675" s="61"/>
      <c r="Y675" s="86"/>
      <c r="Z675" s="61"/>
      <c r="AA675" s="86"/>
      <c r="AB675" s="61"/>
      <c r="AC675" s="86"/>
      <c r="AD675" s="61"/>
      <c r="AE675" s="86"/>
      <c r="AF675" s="61"/>
      <c r="AG675" s="86"/>
      <c r="AH675" s="61"/>
      <c r="AI675" s="86"/>
      <c r="AJ675" s="61"/>
      <c r="AK675" s="86"/>
      <c r="AL675" s="61"/>
      <c r="AM675" s="86"/>
      <c r="AN675" s="61"/>
      <c r="AO675" s="86"/>
      <c r="AP675" s="61"/>
      <c r="AQ675" s="86"/>
      <c r="AR675" s="61"/>
      <c r="AS675" s="86"/>
      <c r="AT675" s="61"/>
      <c r="AU675" s="86"/>
      <c r="AV675" s="61"/>
      <c r="AW675" s="86"/>
      <c r="AX675" s="61"/>
      <c r="AY675" s="86"/>
      <c r="AZ675" s="61"/>
      <c r="BA675" s="86"/>
      <c r="BB675" s="61"/>
      <c r="BC675" s="86"/>
      <c r="BD675" s="61"/>
      <c r="BE675" s="86"/>
      <c r="BF675" s="61"/>
      <c r="BG675" s="86">
        <f>BG657/(BG657+BG661+BG644+BG647)*100</f>
        <v>81.346476124479395</v>
      </c>
      <c r="BH675" s="61" t="str">
        <f t="shared" si="3997"/>
        <v>NA</v>
      </c>
      <c r="BI675" s="86">
        <f>BI657/(BI657+BI661+BI644+BI647)*100</f>
        <v>82.328069601075498</v>
      </c>
      <c r="BJ675" s="61" t="str">
        <f t="shared" si="3998"/>
        <v>NA</v>
      </c>
      <c r="BK675" s="86">
        <f>BK657/(BK657+BK661+BK644+BK647)*100</f>
        <v>80.571933356616057</v>
      </c>
      <c r="BL675" s="61" t="str">
        <f t="shared" si="3999"/>
        <v>NA</v>
      </c>
      <c r="BM675" s="86">
        <f>BM657/(BM657+BM661+BM644+BM647)*100</f>
        <v>79.241401391036604</v>
      </c>
      <c r="BN675" s="61" t="str">
        <f t="shared" si="4000"/>
        <v>NA</v>
      </c>
      <c r="BO675" s="86">
        <f>BO657/(BO657+BO661+BO644+BO647)*100</f>
        <v>78.871136123229235</v>
      </c>
      <c r="BP675" s="61">
        <f t="shared" si="4001"/>
        <v>-3.0429591042914983</v>
      </c>
      <c r="BQ675" s="86">
        <f>BQ657/(BQ657+BQ661+BQ644+BQ647)*100</f>
        <v>72.649462807793142</v>
      </c>
      <c r="BR675" s="61">
        <f t="shared" si="4002"/>
        <v>-11.756144459818497</v>
      </c>
      <c r="BS675" s="86">
        <f>BS657/(BS657+BS661+BS644+BS647)*100</f>
        <v>70.538342563488499</v>
      </c>
      <c r="BT675" s="61">
        <f t="shared" si="4003"/>
        <v>-12.452960199823304</v>
      </c>
      <c r="BU675" s="86">
        <f>BU657/(BU657+BU661+BU644+BU647)*100</f>
        <v>69.499655090160076</v>
      </c>
      <c r="BV675" s="61">
        <f t="shared" si="4004"/>
        <v>-12.293758224698015</v>
      </c>
      <c r="BW675" s="86">
        <f>BW657/(BW657+BW661+BW644+BW647)*100</f>
        <v>70.328004316025982</v>
      </c>
      <c r="BX675" s="61">
        <f>IF(ISERROR((BW675/BO675-1)*100),"NA",IF(((BW675/BO675-1)*100)&gt;100,"NM",IF(((BW675/BO675-1)*100)&lt;-50,"NM",(BW675/BO675-1)*100)))</f>
        <v>-10.83175953476232</v>
      </c>
      <c r="BY675" s="86">
        <f>BY657/(BY657+BY661+BY644+BY647)*100</f>
        <v>69.305778749116158</v>
      </c>
      <c r="BZ675" s="61">
        <f>IF(ISERROR((BY675/BQ675-1)*100),"NA",IF(((BY675/BQ675-1)*100)&gt;100,"NM",IF(((BY675/BQ675-1)*100)&lt;-50,"NM",(BY675/BQ675-1)*100)))</f>
        <v>-4.602489721807423</v>
      </c>
      <c r="CA675" s="86">
        <f>CA657/(CA657+CA661+CA644+CA647)*100</f>
        <v>69.815245551332239</v>
      </c>
      <c r="CB675" s="61">
        <f>IF(ISERROR((CA675/BS675-1)*100),"NA",IF(((CA675/BS675-1)*100)&gt;100,"NM",IF(((CA675/BS675-1)*100)&lt;-50,"NM",(CA675/BS675-1)*100)))</f>
        <v>-1.0251119970751121</v>
      </c>
      <c r="CC675" s="86">
        <f>CC657/(CC657+CC661+CC644+CC647)*100</f>
        <v>68.834887351668897</v>
      </c>
      <c r="CD675" s="61">
        <f>IF(ISERROR((CC675/BU675-1)*100),"NA",IF(((CC675/BU675-1)*100)&gt;100,"NM",IF(((CC675/BU675-1)*100)&lt;-50,"NM",(CC675/BU675-1)*100)))</f>
        <v>-0.9565050900307237</v>
      </c>
      <c r="CE675" s="86">
        <f>CE657/(CE657+CE661+CE644+CE647)*100</f>
        <v>68.980715240231945</v>
      </c>
      <c r="CF675" s="61">
        <f t="shared" si="4005"/>
        <v>-1.915722035478018</v>
      </c>
      <c r="CG675" s="86">
        <f>CG657/(CG657+CG661+CG644+CG647)*100</f>
        <v>66.608971913662842</v>
      </c>
      <c r="CH675" s="61">
        <f t="shared" si="4006"/>
        <v>-3.8911716802369933</v>
      </c>
      <c r="CI675" s="86">
        <f>CI657/(CI657+CI661+CI644+CI647)*100</f>
        <v>66.683857658586902</v>
      </c>
      <c r="CJ675" s="61">
        <f t="shared" si="4007"/>
        <v>-4.4852494151051303</v>
      </c>
      <c r="CK675" s="86">
        <f>CK657/(CK657+CK661+CK644+CK647)*100</f>
        <v>69.072046835885359</v>
      </c>
      <c r="CL675" s="61">
        <f t="shared" si="4008"/>
        <v>0.34453384517771912</v>
      </c>
      <c r="CM675" s="86">
        <f>CM657/(CM657+CM661+CM644+CM647)*100</f>
        <v>67.565673832549095</v>
      </c>
      <c r="CN675" s="61">
        <f t="shared" si="4009"/>
        <v>-2.0513579813645433</v>
      </c>
      <c r="CO675" s="86">
        <f>CO657/(CO657+CO661+CO644+CO647)*100</f>
        <v>66.419690850366649</v>
      </c>
      <c r="CP675" s="61">
        <f t="shared" si="4010"/>
        <v>-0.28416751956709119</v>
      </c>
      <c r="CQ675" s="86">
        <f>CQ657/(CQ657+CQ661+CQ644+CQ647)*100</f>
        <v>67.918711086051559</v>
      </c>
      <c r="CR675" s="61">
        <f t="shared" si="4011"/>
        <v>1.8518026263371734</v>
      </c>
      <c r="CS675" s="86">
        <f>CS657/(CS657+CS661+CS644+CS647)*100</f>
        <v>65.905641285099932</v>
      </c>
      <c r="CT675" s="61">
        <f t="shared" si="4012"/>
        <v>-4.5842069199263484</v>
      </c>
      <c r="CU675" s="86">
        <f>CU657/(CU657+CU661+CU644+CU647)*100</f>
        <v>65.188772975658225</v>
      </c>
      <c r="CV675" s="61">
        <f t="shared" si="4013"/>
        <v>-3.5179118656932906</v>
      </c>
      <c r="CW675" s="86">
        <f>CW657/(CW657+CW661+CW644+CW647)*100</f>
        <v>65.083338421149023</v>
      </c>
      <c r="CX675" s="61">
        <f t="shared" si="4014"/>
        <v>-2.0119823084214894</v>
      </c>
      <c r="CY675" s="86">
        <f>CY657/(CY657+CY661+CY644+CY647)*100</f>
        <v>66.630223517978621</v>
      </c>
      <c r="CZ675" s="61">
        <f t="shared" si="4015"/>
        <v>-1.8971025030796729</v>
      </c>
      <c r="DA675" s="86">
        <f>DA657/(DA657+DA661+DA644+DA647)*100</f>
        <v>67.242833052276566</v>
      </c>
      <c r="DB675" s="61">
        <f t="shared" si="4016"/>
        <v>2.0289488746374484</v>
      </c>
      <c r="DC675" s="86">
        <f>DC657/(DC657+DC661+DC644+DC647)*100</f>
        <v>69.764996907854055</v>
      </c>
      <c r="DD675" s="61">
        <f t="shared" si="4017"/>
        <v>7.0199571541323724</v>
      </c>
      <c r="DE675" s="86">
        <f>DE657/(DE657+DE661+DE644+DE647)*100</f>
        <v>69.345635546922423</v>
      </c>
      <c r="DF675" s="61">
        <f t="shared" si="4018"/>
        <v>6.5489835481278291</v>
      </c>
      <c r="DG675" s="86">
        <f>DG657/(DG657+DG661+DG644+DG647)*100</f>
        <v>68.448600329334269</v>
      </c>
      <c r="DH675" s="61">
        <f t="shared" si="4019"/>
        <v>2.7290570485104304</v>
      </c>
      <c r="DI675" s="86">
        <f>DI657/(DI657+DI661+DI644+DI647)*100</f>
        <v>69.087739686228929</v>
      </c>
      <c r="DJ675" s="61">
        <f t="shared" si="4020"/>
        <v>2.7436479847868345</v>
      </c>
      <c r="DK675" s="86">
        <f>DK657/(DK657+DK661+DK644+DK647)*100</f>
        <v>69.103543329696208</v>
      </c>
      <c r="DL675" s="61">
        <f t="shared" si="4021"/>
        <v>-0.9481166881315839</v>
      </c>
      <c r="DM675" s="86">
        <f>DM657/(DM657+DM661+DM644+DM647)*100</f>
        <v>70.324876592813681</v>
      </c>
      <c r="DN675" s="130">
        <f t="shared" si="4022"/>
        <v>1.4121163331593634</v>
      </c>
      <c r="DO675" s="86">
        <f>DO657/(DO657+DO661+DO644+DO647)*100</f>
        <v>70.727026416798381</v>
      </c>
      <c r="DP675" s="130">
        <f t="shared" si="4022"/>
        <v>3.3286671699664705</v>
      </c>
      <c r="DQ675" s="86">
        <f>DQ657/(DQ657+DQ661+DQ644+DQ647)*100</f>
        <v>70.581667969186114</v>
      </c>
      <c r="DR675" s="130">
        <f t="shared" si="4022"/>
        <v>2.1623638141037071</v>
      </c>
      <c r="DS675" s="86">
        <f>DS657/(DS657+DS661+DS644+DS647)*100</f>
        <v>69.199009083402146</v>
      </c>
      <c r="DT675" s="130">
        <f t="shared" si="4022"/>
        <v>0.13814885475620375</v>
      </c>
      <c r="DU675" s="86">
        <f>DU657/(DU657+DU661+DU644+DU647)*100</f>
        <v>69.875095869398478</v>
      </c>
      <c r="DV675" s="130">
        <f t="shared" si="4022"/>
        <v>-0.63957556018117145</v>
      </c>
      <c r="DW675" s="86">
        <f>DW657/(DW657+DW661+DW644+DW647)*100</f>
        <v>69.560943643512445</v>
      </c>
      <c r="DX675" s="86">
        <f t="shared" ref="DX675:DY675" si="4065">DX657/(DX657+DX661+DX644+DX647)*100</f>
        <v>69.4471704285247</v>
      </c>
      <c r="DY675" s="86">
        <f t="shared" si="4065"/>
        <v>69.697135061391549</v>
      </c>
      <c r="DZ675" s="130">
        <f t="shared" si="4022"/>
        <v>-1.2532048805941054</v>
      </c>
      <c r="EA675" s="86">
        <f t="shared" ref="EA675:EC675" si="4066">EA657/(EA657+EA661+EA644+EA647)*100</f>
        <v>69.255047069706706</v>
      </c>
      <c r="EB675" s="130">
        <f t="shared" si="4025"/>
        <v>8.0980908609573632E-2</v>
      </c>
      <c r="EC675" s="86">
        <f t="shared" si="4066"/>
        <v>69.975254330492163</v>
      </c>
      <c r="ED675" s="130">
        <f t="shared" si="4026"/>
        <v>0.14333928254051109</v>
      </c>
      <c r="EE675" s="86">
        <f t="shared" ref="EE675:EG675" si="4067">EE657/(EE657+EE661+EE644+EE647)*100</f>
        <v>70.347225995761562</v>
      </c>
      <c r="EF675" s="130">
        <f t="shared" si="4028"/>
        <v>1.1303503245710278</v>
      </c>
      <c r="EG675" s="86">
        <f t="shared" si="4067"/>
        <v>70.723558087308973</v>
      </c>
      <c r="EH675" s="130">
        <f t="shared" si="4029"/>
        <v>1.4726904126164175</v>
      </c>
      <c r="EI675" s="86">
        <f t="shared" ref="EI675:EK675" si="4068">EI657/(EI657+EI661+EI644+EI647)*100</f>
        <v>71.88783613560436</v>
      </c>
      <c r="EJ675" s="130">
        <f t="shared" si="4031"/>
        <v>3.8015844004086752</v>
      </c>
      <c r="EK675" s="86">
        <f t="shared" si="4068"/>
        <v>73.050698339381952</v>
      </c>
      <c r="EL675" s="130">
        <f t="shared" si="4032"/>
        <v>4.3950451317611661</v>
      </c>
      <c r="EM675" s="86">
        <f t="shared" ref="EM675" si="4069">EM657/(EM657+EM661+EM644+EM647)*100</f>
        <v>73.304276763824575</v>
      </c>
      <c r="EN675" s="130">
        <f t="shared" si="4034"/>
        <v>4.2035072829185616</v>
      </c>
      <c r="EO675" s="86">
        <f t="shared" ref="EO675" si="4070">EO657/(EO657+EO661+EO644+EO647)*100</f>
        <v>74.223111766564841</v>
      </c>
      <c r="EP675" s="130">
        <f t="shared" si="4036"/>
        <v>4.9482149567978917</v>
      </c>
      <c r="EQ675" s="86">
        <f t="shared" ref="EQ675:EW675" si="4071">EQ657/(EQ657+EQ661+EQ644+EQ647)*100</f>
        <v>72.634344626388653</v>
      </c>
      <c r="ER675" s="130">
        <f t="shared" si="4038"/>
        <v>1.0384350550990629</v>
      </c>
      <c r="ES675" s="86">
        <f t="shared" si="4071"/>
        <v>73.067988481315538</v>
      </c>
      <c r="ET675" s="130">
        <f t="shared" si="4039"/>
        <v>2.3668688084610423E-2</v>
      </c>
      <c r="EU675" s="86">
        <f t="shared" si="4071"/>
        <v>73.285088699322969</v>
      </c>
      <c r="EV675" s="130">
        <f t="shared" si="4040"/>
        <v>-2.6175914078552243E-2</v>
      </c>
      <c r="EW675" s="86">
        <f t="shared" si="4071"/>
        <v>73.515084111110795</v>
      </c>
      <c r="EX675" s="130">
        <f t="shared" si="4041"/>
        <v>-0.95391804331894647</v>
      </c>
      <c r="EY675" s="356"/>
      <c r="EZ675" s="558"/>
      <c r="FA675" s="356"/>
      <c r="FB675" s="86"/>
      <c r="FC675" s="71"/>
      <c r="FD675" s="176">
        <f>FD657/(FD657+FD661+FD644+FD647)*100</f>
        <v>86.915613054983837</v>
      </c>
      <c r="FE675" s="61" t="str">
        <f>IF(ISERROR((FD675/FB675-1)*100),"NA",IF(((FD675/FB675-1)*100)&gt;100,"NM",IF(((FD675/FB675-1)*100)&lt;-50,"NM",(FD675/FB675-1)*100)))</f>
        <v>NA</v>
      </c>
      <c r="FF675" s="176">
        <f>FF657/(FF657+FF661+FF644+FF647)*100</f>
        <v>87.404276391418918</v>
      </c>
      <c r="FG675" s="61">
        <f>IF(ISERROR((FF675/FD675-1)*100),"NA",IF(((FF675/FD675-1)*100)&gt;100,"NM",IF(((FF675/FD675-1)*100)&lt;-50,"NM",(FF675/FD675-1)*100)))</f>
        <v>0.56222733667650182</v>
      </c>
      <c r="FH675" s="176">
        <f>FH657/(FH657+FH661+FH644+FH647)*100</f>
        <v>79.262248632799526</v>
      </c>
      <c r="FI675" s="61">
        <f>IF(ISERROR((FH675/FF675-1)*100),"NA",IF(((FH675/FF675-1)*100)&gt;100,"NM",IF(((FH675/FF675-1)*100)&lt;-50,"NM",(FH675/FF675-1)*100)))</f>
        <v>-9.3153654429415926</v>
      </c>
      <c r="FJ675" s="176">
        <f>FJ657/(FJ657+FJ661+FJ644+FJ647)*100</f>
        <v>75.240032112371026</v>
      </c>
      <c r="FK675" s="61">
        <f>IF(ISERROR((FJ675/FH675-1)*100),"NA",IF(((FJ675/FH675-1)*100)&gt;100,"NM",IF(((FJ675/FH675-1)*100)&lt;-50,"NM",(FJ675/FH675-1)*100)))</f>
        <v>-5.0745677668852629</v>
      </c>
      <c r="FL675" s="176">
        <f>FL657/(FL657+FL661+FL644+FL647)*100</f>
        <v>77.211235042334494</v>
      </c>
      <c r="FM675" s="61">
        <f>IF(ISERROR((FL675/FJ675-1)*100),"NA",IF(((FL675/FJ675-1)*100)&gt;100,"NM",IF(((FL675/FJ675-1)*100)&lt;-50,"NM",(FL675/FJ675-1)*100)))</f>
        <v>2.619885816927181</v>
      </c>
      <c r="FN675" s="176">
        <f>FN657/(FN657+FN661+FN644+FN647)*100</f>
        <v>79.359911999048634</v>
      </c>
      <c r="FO675" s="61">
        <f>IF(ISERROR((FN675/FL675-1)*100),"NA",IF(((FN675/FL675-1)*100)&gt;100,"NM",IF(((FN675/FL675-1)*100)&lt;-50,"NM",(FN675/FL675-1)*100)))</f>
        <v>2.7828553131368006</v>
      </c>
      <c r="FP675" s="176">
        <f>FP657/(FP657+FP661+FP644+FP647)*100</f>
        <v>81.520759686698554</v>
      </c>
      <c r="FQ675" s="61">
        <f>IF(ISERROR((FP675/FN675-1)*100),"NA",IF(((FP675/FN675-1)*100)&gt;100,"NM",IF(((FP675/FN675-1)*100)&lt;-50,"NM",(FP675/FN675-1)*100)))</f>
        <v>2.7228453676660047</v>
      </c>
      <c r="FR675" s="176">
        <f>FR657/(FR657+FR661+FR644+FR647)*100</f>
        <v>83.101225472834173</v>
      </c>
      <c r="FS675" s="61">
        <f t="shared" si="4042"/>
        <v>1.93872799052619</v>
      </c>
      <c r="FT675" s="176">
        <f>FT657/(FT657+FT661+FT644+FT647)*100</f>
        <v>79.241401391036604</v>
      </c>
      <c r="FU675" s="61">
        <f t="shared" si="4043"/>
        <v>-4.6447258266478215</v>
      </c>
      <c r="FV675" s="176">
        <f>FV657/(FV657+FV661+FV644+FV647)*100</f>
        <v>69.499655090160076</v>
      </c>
      <c r="FW675" s="61">
        <f t="shared" si="4044"/>
        <v>-12.293758224698015</v>
      </c>
      <c r="FX675" s="88">
        <f>FX657/(FX657+FX661+FX644+FX647)*100</f>
        <v>68.834887351668897</v>
      </c>
      <c r="FY675" s="61">
        <f t="shared" si="4045"/>
        <v>-0.9565050900307237</v>
      </c>
      <c r="FZ675" s="88">
        <f>FZ657/(FZ657+FZ661+FZ644+FZ647)*100</f>
        <v>69.072046835885359</v>
      </c>
      <c r="GA675" s="61">
        <f t="shared" si="4046"/>
        <v>0.34453384517771912</v>
      </c>
      <c r="GB675" s="88">
        <f>GB657/(GB657+GB661+GB644+GB647)*100</f>
        <v>65.905641285099932</v>
      </c>
      <c r="GC675" s="61">
        <f t="shared" si="4047"/>
        <v>-4.5842069199263484</v>
      </c>
      <c r="GD675" s="88">
        <f>GD657/(GD657+GD661+GD644+GD647)*100</f>
        <v>67.242833052276566</v>
      </c>
      <c r="GE675" s="61">
        <f t="shared" si="4048"/>
        <v>2.0289488746374484</v>
      </c>
      <c r="GF675" s="88">
        <f>GF657/(GF657+GF661+GF644+GF647)*100</f>
        <v>69.087739686228929</v>
      </c>
      <c r="GG675" s="61">
        <f t="shared" si="4048"/>
        <v>2.7436479847868345</v>
      </c>
      <c r="GH675" s="88">
        <f>GH657/(GH657+GH661+GH644+GH647)*100</f>
        <v>70.581667969186114</v>
      </c>
      <c r="GI675" s="61">
        <f t="shared" si="4048"/>
        <v>2.1623638141037071</v>
      </c>
      <c r="GJ675" s="88">
        <f>GJ657/(GJ657+GJ661+GJ644+GJ647)*100</f>
        <v>69.697135061391549</v>
      </c>
      <c r="GK675" s="61">
        <f t="shared" si="4048"/>
        <v>-1.2532048805941054</v>
      </c>
      <c r="GL675" s="88">
        <f>GL657/(GL657+GL661+GL644+GL647)*100</f>
        <v>70.723558087308973</v>
      </c>
      <c r="GM675" s="61">
        <f t="shared" si="4048"/>
        <v>1.4726904126164175</v>
      </c>
      <c r="GN675" s="88">
        <f>GN657/(GN657+GN661+GN644+GN647)*100</f>
        <v>74.223111766564841</v>
      </c>
      <c r="GO675" s="61">
        <f t="shared" si="4048"/>
        <v>4.9482149567978917</v>
      </c>
      <c r="GP675" s="88">
        <f>GP657/(GP657+GP661+GP644+GP647)*100</f>
        <v>73.515084111110795</v>
      </c>
      <c r="GQ675" s="61">
        <f t="shared" si="4048"/>
        <v>-0.95391804331894647</v>
      </c>
      <c r="GR675" s="86">
        <f>GR657/(GR657+GR661+GR644+GR647)*100</f>
        <v>74.378304254873896</v>
      </c>
      <c r="GS675" s="61">
        <f t="shared" si="4048"/>
        <v>1.1742081971346519</v>
      </c>
      <c r="GT675" s="86">
        <f>GT657/(GT657+GT661+GT644+GT647)*100</f>
        <v>75.28812164579881</v>
      </c>
      <c r="GU675" s="61">
        <f t="shared" si="4048"/>
        <v>1.2232295425924411</v>
      </c>
      <c r="GV675" s="86">
        <f>GV657/(GV657+GV661+GV644+GV647)*100</f>
        <v>76.12499178712892</v>
      </c>
      <c r="GW675" s="61">
        <f t="shared" si="4048"/>
        <v>1.1115566745937056</v>
      </c>
      <c r="GX675" s="86">
        <f>GX657/(GX657+GX661+GX644+GX647)*100</f>
        <v>76.956612884817474</v>
      </c>
      <c r="GY675" s="61">
        <f t="shared" si="4049"/>
        <v>1.0924416254967095</v>
      </c>
      <c r="GZ675" s="61">
        <f t="shared" si="4057"/>
        <v>0.72594656890299092</v>
      </c>
      <c r="HA675" s="61"/>
      <c r="HB675" s="452"/>
      <c r="HC675"/>
      <c r="HD675"/>
      <c r="HE675"/>
      <c r="HF675"/>
      <c r="HG675"/>
      <c r="HH675"/>
    </row>
    <row r="676" spans="1:216" s="5" customFormat="1" ht="12.75" customHeight="1" x14ac:dyDescent="0.2">
      <c r="A676" s="7" t="s">
        <v>409</v>
      </c>
      <c r="B676" s="7" t="s">
        <v>209</v>
      </c>
      <c r="C676" s="86">
        <f>(C644+C647)/(C644+C647+C657)*100</f>
        <v>13.031700710154476</v>
      </c>
      <c r="D676" s="70"/>
      <c r="E676" s="86">
        <f>(E644+E647)/(E644+E647+E657)*100</f>
        <v>12.965188260141286</v>
      </c>
      <c r="F676" s="71"/>
      <c r="G676" s="86">
        <f>(G644+G647)/(G644+G647+G657)*100</f>
        <v>12.74402791446721</v>
      </c>
      <c r="H676" s="71"/>
      <c r="I676" s="86">
        <f>(I644+I647)/(I644+I647+I657)*100</f>
        <v>12.59572360858108</v>
      </c>
      <c r="J676" s="61"/>
      <c r="K676" s="86">
        <f>(K644+K647)/(K644+K647+K657)*100</f>
        <v>12.611543909348438</v>
      </c>
      <c r="L676" s="61">
        <f t="shared" si="3981"/>
        <v>-3.2241133383200449</v>
      </c>
      <c r="M676" s="86">
        <f>(M644+M647)/(M644+M647+M657)*100</f>
        <v>12.443450769418876</v>
      </c>
      <c r="N676" s="61">
        <f t="shared" si="3982"/>
        <v>-4.0241412639288932</v>
      </c>
      <c r="O676" s="86">
        <f>(O644+O647)/(O644+O647+O657)*100</f>
        <v>12.137320044296789</v>
      </c>
      <c r="P676" s="61">
        <f t="shared" si="3983"/>
        <v>-4.7607230166349268</v>
      </c>
      <c r="Q676" s="86">
        <f>(Q644+Q647)/(Q644+Q647+Q657)*100</f>
        <v>20.73775136720047</v>
      </c>
      <c r="R676" s="61">
        <f t="shared" si="3984"/>
        <v>64.641206901939924</v>
      </c>
      <c r="S676" s="86">
        <f>(S644+S647)/(S644+S647+S657)*100</f>
        <v>14.355676972281451</v>
      </c>
      <c r="T676" s="61">
        <f t="shared" si="3985"/>
        <v>13.829655397228224</v>
      </c>
      <c r="U676" s="86">
        <f>(U644+U647)/(U644+U647+U657)*100</f>
        <v>22.890415302090382</v>
      </c>
      <c r="V676" s="61">
        <f t="shared" si="3986"/>
        <v>83.95552589275357</v>
      </c>
      <c r="W676" s="86">
        <f>(W644+W647)/(W644+W647+W657)*100</f>
        <v>24.619630456195406</v>
      </c>
      <c r="X676" s="61" t="str">
        <f t="shared" si="3987"/>
        <v>NM</v>
      </c>
      <c r="Y676" s="86">
        <f>(Y644+Y647)/(Y644+Y647+Y657)*100</f>
        <v>24.759967887628978</v>
      </c>
      <c r="Z676" s="61">
        <f t="shared" si="3988"/>
        <v>19.395625153410712</v>
      </c>
      <c r="AA676" s="86">
        <f>(AA644+AA647)/(AA644+AA647+AA657)*100</f>
        <v>24.795442124113144</v>
      </c>
      <c r="AB676" s="61">
        <f t="shared" si="3989"/>
        <v>72.722207193636606</v>
      </c>
      <c r="AC676" s="86">
        <f>(AC644+AC647)/(AC644+AC647+AC657)*100</f>
        <v>24.42761733778222</v>
      </c>
      <c r="AD676" s="61">
        <f t="shared" si="3990"/>
        <v>6.7154833820400661</v>
      </c>
      <c r="AE676" s="86">
        <f>(AE644+AE647)/(AE644+AE647+AE657)*100</f>
        <v>23.260768577698748</v>
      </c>
      <c r="AF676" s="61">
        <f t="shared" si="3991"/>
        <v>-5.519424350883007</v>
      </c>
      <c r="AG676" s="86">
        <f>(AG644+AG647)/(AG644+AG647+AG657)*100</f>
        <v>22.788764957665506</v>
      </c>
      <c r="AH676" s="61">
        <f t="shared" si="3992"/>
        <v>-7.9612499455153145</v>
      </c>
      <c r="AI676" s="86">
        <f>(AI644+AI647)/(AI644+AI647+AI657)*100</f>
        <v>24.936249362493626</v>
      </c>
      <c r="AJ676" s="61">
        <f t="shared" si="3993"/>
        <v>0.5678754896794036</v>
      </c>
      <c r="AK676" s="86">
        <f>(AK644+AK647)/(AK644+AK647+AK657)*100</f>
        <v>24.738947399961049</v>
      </c>
      <c r="AL676" s="61">
        <f t="shared" si="3994"/>
        <v>1.2745003242591979</v>
      </c>
      <c r="AM676" s="86">
        <f>(AM644+AM647)/(AM644+AM647+AM657)*100</f>
        <v>24.481622156865644</v>
      </c>
      <c r="AN676" s="61">
        <f t="shared" si="3995"/>
        <v>5.2485521924558798</v>
      </c>
      <c r="AO676" s="86">
        <f>(AO644+AO647)/(AO644+AO647+AO657)*100</f>
        <v>20.640088000951359</v>
      </c>
      <c r="AP676" s="61">
        <f t="shared" si="3996"/>
        <v>-9.4286678576295238</v>
      </c>
      <c r="AQ676" s="86">
        <f>(AQ644+AQ647)/(AQ644+AQ647+AQ657)*100</f>
        <v>20.235535074244751</v>
      </c>
      <c r="AR676" s="61">
        <f t="shared" ref="AR676:AR681" si="4072">IF(ISERROR((AQ676/AI676-1)*100),"NA",IF(((AQ676/AI676-1)*100)&gt;100,"NM",IF(((AQ676/AI676-1)*100)&lt;-50,"NM",(AQ676/AI676-1)*100)))</f>
        <v>-18.850927498820948</v>
      </c>
      <c r="AS676" s="86">
        <f>(AS644+AS647)/(AS644+AS647+AS657)*100</f>
        <v>19.581268184277086</v>
      </c>
      <c r="AT676" s="61">
        <f t="shared" ref="AT676:AT681" si="4073">IF(ISERROR((AS676/AK676-1)*100),"NA",IF(((AS676/AK676-1)*100)&gt;100,"NM",IF(((AS676/AK676-1)*100)&lt;-50,"NM",(AS676/AK676-1)*100)))</f>
        <v>-20.848418213994357</v>
      </c>
      <c r="AU676" s="86">
        <f>(AU644+AU647)/(AU644+AU647+AU657)*100</f>
        <v>18.963631974325111</v>
      </c>
      <c r="AV676" s="61">
        <f t="shared" ref="AV676:AV681" si="4074">IF(ISERROR((AU676/AM676-1)*100),"NA",IF(((AU676/AM676-1)*100)&gt;100,"NM",IF(((AU676/AM676-1)*100)&lt;-50,"NM",(AU676/AM676-1)*100)))</f>
        <v>-22.539316010941146</v>
      </c>
      <c r="AW676" s="86">
        <f>(AW644+AW647)/(AW644+AW647+AW657)*100</f>
        <v>18.47924031330145</v>
      </c>
      <c r="AX676" s="61">
        <f t="shared" ref="AX676:AX681" si="4075">IF(ISERROR((AW676/AO676-1)*100),"NA",IF(((AW676/AO676-1)*100)&gt;100,"NM",IF(((AW676/AO676-1)*100)&lt;-50,"NM",(AW676/AO676-1)*100)))</f>
        <v>-10.469178656361876</v>
      </c>
      <c r="AY676" s="86">
        <f>(AY644+AY647)/(AY644+AY647+AY657)*100</f>
        <v>17.950793136937516</v>
      </c>
      <c r="AZ676" s="61">
        <f t="shared" ref="AZ676:AZ681" si="4076">IF(ISERROR((AY676/AQ676-1)*100),"NA",IF(((AY676/AQ676-1)*100)&gt;100,"NM",IF(((AY676/AQ676-1)*100)&lt;-50,"NM",(AY676/AQ676-1)*100)))</f>
        <v>-11.290741405771831</v>
      </c>
      <c r="BA676" s="86">
        <f>(BA644+BA647)/(BA644+BA647+BA657)*100</f>
        <v>18.776651323035214</v>
      </c>
      <c r="BB676" s="61">
        <f t="shared" si="3867"/>
        <v>-4.1091151689957695</v>
      </c>
      <c r="BC676" s="86">
        <f>(BC644+BC647)/(BC644+BC647+BC657)*100</f>
        <v>18.715780743739501</v>
      </c>
      <c r="BD676" s="61">
        <f t="shared" si="3868"/>
        <v>-1.3069818636070152</v>
      </c>
      <c r="BE676" s="86">
        <f>(BE644+BE647)/(BE644+BE647+BE657)*100</f>
        <v>16.898774527165827</v>
      </c>
      <c r="BF676" s="61">
        <f t="shared" si="3869"/>
        <v>-8.5526556251232613</v>
      </c>
      <c r="BG676" s="86">
        <f>(BG644+BG647)/(BG644+BG647+BG657)*100</f>
        <v>18.653523875520609</v>
      </c>
      <c r="BH676" s="61">
        <f t="shared" si="3997"/>
        <v>3.9147614995187929</v>
      </c>
      <c r="BI676" s="86">
        <f>(BI644+BI647)/(BI644+BI647+BI657)*100</f>
        <v>17.671930398924498</v>
      </c>
      <c r="BJ676" s="61">
        <f t="shared" si="3998"/>
        <v>-5.8834821241817608</v>
      </c>
      <c r="BK676" s="86">
        <f>(BK644+BK647)/(BK644+BK647+BK657)*100</f>
        <v>19.428066643383936</v>
      </c>
      <c r="BL676" s="61">
        <f t="shared" si="3999"/>
        <v>3.8058038261785887</v>
      </c>
      <c r="BM676" s="86">
        <f>(BM644+BM647)/(BM644+BM647+BM657)*100</f>
        <v>20.7585986089634</v>
      </c>
      <c r="BN676" s="61">
        <f t="shared" si="4000"/>
        <v>22.840852013219461</v>
      </c>
      <c r="BO676" s="86">
        <f>(BO644+BO647)/(BO644+BO647+BO657)*100</f>
        <v>21.128863876770762</v>
      </c>
      <c r="BP676" s="61">
        <f t="shared" si="4001"/>
        <v>13.270093188657995</v>
      </c>
      <c r="BQ676" s="86">
        <f>(BQ644+BQ647)/(BQ644+BQ647+BQ657)*100</f>
        <v>27.350537192206858</v>
      </c>
      <c r="BR676" s="61">
        <f t="shared" si="4002"/>
        <v>54.768248713063031</v>
      </c>
      <c r="BS676" s="86">
        <f>(BS644+BS647)/(BS644+BS647+BS657)*100</f>
        <v>29.461657436511501</v>
      </c>
      <c r="BT676" s="61">
        <f t="shared" si="4003"/>
        <v>51.644823838116793</v>
      </c>
      <c r="BU676" s="86">
        <f>(BU644+BU647)/(BU644+BU647+BU657)*100</f>
        <v>30.500344909839928</v>
      </c>
      <c r="BV676" s="61">
        <f t="shared" si="4004"/>
        <v>46.928728111107262</v>
      </c>
      <c r="BW676" s="86">
        <f>(BW644+BW647)/(BW644+BW647+BW657)*100</f>
        <v>29.671995683974018</v>
      </c>
      <c r="BX676" s="61">
        <f t="shared" si="3870"/>
        <v>40.433465126327221</v>
      </c>
      <c r="BY676" s="86">
        <f>(BY644+BY647)/(BY644+BY647+BY657)*100</f>
        <v>30.694221250883846</v>
      </c>
      <c r="BZ676" s="61">
        <f t="shared" si="3871"/>
        <v>12.225295741648988</v>
      </c>
      <c r="CA676" s="86">
        <f>(CA644+CA647)/(CA644+CA647+CA657)*100</f>
        <v>30.184754448667761</v>
      </c>
      <c r="CB676" s="61">
        <f t="shared" si="3872"/>
        <v>2.4543663699657658</v>
      </c>
      <c r="CC676" s="86">
        <f>(CC644+CC647)/(CC644+CC647+CC657)*100</f>
        <v>31.1651126483311</v>
      </c>
      <c r="CD676" s="61">
        <f t="shared" si="3873"/>
        <v>2.1795417083191992</v>
      </c>
      <c r="CE676" s="86">
        <f>(CE644+CE647)/(CE644+CE647+CE657)*100</f>
        <v>31.019284759768041</v>
      </c>
      <c r="CF676" s="61">
        <f t="shared" si="4005"/>
        <v>4.5406082224583866</v>
      </c>
      <c r="CG676" s="86">
        <f>(CG644+CG647)/(CG644+CG647+CG657)*100</f>
        <v>33.391028086337158</v>
      </c>
      <c r="CH676" s="61">
        <f t="shared" si="4006"/>
        <v>8.7860409078652104</v>
      </c>
      <c r="CI676" s="86">
        <f>(CI644+CI647)/(CI644+CI647+CI657)*100</f>
        <v>33.316142341413105</v>
      </c>
      <c r="CJ676" s="61">
        <f t="shared" si="4007"/>
        <v>10.374071116167549</v>
      </c>
      <c r="CK676" s="86">
        <f>(CK644+CK647)/(CK644+CK647+CK657)*100</f>
        <v>30.927953164114637</v>
      </c>
      <c r="CL676" s="61">
        <f t="shared" si="4008"/>
        <v>-0.76097746506673669</v>
      </c>
      <c r="CM676" s="86">
        <f>(CM644+CM647)/(CM644+CM647+CM657)*100</f>
        <v>32.434326167450905</v>
      </c>
      <c r="CN676" s="61">
        <f t="shared" si="4009"/>
        <v>4.561811849118369</v>
      </c>
      <c r="CO676" s="86">
        <f>(CO644+CO647)/(CO644+CO647+CO657)*100</f>
        <v>33.580309149633344</v>
      </c>
      <c r="CP676" s="61">
        <f t="shared" si="4010"/>
        <v>0.56686204092539771</v>
      </c>
      <c r="CQ676" s="86">
        <f>(CQ644+CQ647)/(CQ644+CQ647+CQ657)*100</f>
        <v>32.081288913948441</v>
      </c>
      <c r="CR676" s="61">
        <f t="shared" si="4011"/>
        <v>-3.7064718202074021</v>
      </c>
      <c r="CS676" s="86">
        <f>(CS644+CS647)/(CS644+CS647+CS657)*100</f>
        <v>34.094358714900075</v>
      </c>
      <c r="CT676" s="61">
        <f t="shared" si="4012"/>
        <v>10.238005515539195</v>
      </c>
      <c r="CU676" s="86">
        <f>(CU644+CU647)/(CU644+CU647+CU657)*100</f>
        <v>34.811227024341775</v>
      </c>
      <c r="CV676" s="61">
        <f t="shared" si="4013"/>
        <v>7.3283497385439267</v>
      </c>
      <c r="CW676" s="86">
        <f>(CW644+CW647)/(CW644+CW647+CW657)*100</f>
        <v>34.916661578850963</v>
      </c>
      <c r="CX676" s="61">
        <f t="shared" si="4014"/>
        <v>3.9795715496925732</v>
      </c>
      <c r="CY676" s="86">
        <f>(CY644+CY647)/(CY644+CY647+CY657)*100</f>
        <v>33.369776482021379</v>
      </c>
      <c r="CZ676" s="61">
        <f t="shared" si="4015"/>
        <v>4.0163210759051715</v>
      </c>
      <c r="DA676" s="86">
        <f>(DA644+DA647)/(DA644+DA647+DA657)*100</f>
        <v>32.757166947723441</v>
      </c>
      <c r="DB676" s="61">
        <f t="shared" si="4016"/>
        <v>-3.9220323173060567</v>
      </c>
      <c r="DC676" s="86">
        <f>(DC644+DC647+DC646)/(DC644+DC647+DC657+DC646)*100</f>
        <v>30.235003092145952</v>
      </c>
      <c r="DD676" s="61">
        <f t="shared" si="4017"/>
        <v>-13.145827721027747</v>
      </c>
      <c r="DE676" s="86">
        <f>(DE644+DE647+DE646)/(DE644+DE647+DE657+DE646)*100</f>
        <v>30.654364453077577</v>
      </c>
      <c r="DF676" s="61">
        <f t="shared" si="4018"/>
        <v>-12.207057986193792</v>
      </c>
      <c r="DG676" s="86">
        <f>(DG644+DG647+DG646)/(DG644+DG647+DG657+DG646)*100</f>
        <v>31.551399670665724</v>
      </c>
      <c r="DH676" s="61">
        <f t="shared" si="4019"/>
        <v>-5.4491728835383118</v>
      </c>
      <c r="DI676" s="86">
        <f>(DI644+DI647+DI646)/(DI644+DI647+DI657+DI646)*100</f>
        <v>30.912260313771061</v>
      </c>
      <c r="DJ676" s="61">
        <f t="shared" si="4020"/>
        <v>-5.6320701875611885</v>
      </c>
      <c r="DK676" s="86">
        <f>(DK644+DK647+DK646)/(DK644+DK647+DK657+DK646)*100</f>
        <v>30.896456670303795</v>
      </c>
      <c r="DL676" s="61">
        <f t="shared" si="4021"/>
        <v>2.1877079891209572</v>
      </c>
      <c r="DM676" s="86">
        <f>(DM644+DM647+DM646)/(DM644+DM647+DM657+DM646)*100</f>
        <v>29.675123407186316</v>
      </c>
      <c r="DN676" s="130">
        <f t="shared" si="4022"/>
        <v>-3.1944588099034887</v>
      </c>
      <c r="DO676" s="86">
        <f>(DO644+DO647+DO646)/(DO644+DO647+DO657+DO646)*100</f>
        <v>29.27297358320163</v>
      </c>
      <c r="DP676" s="130">
        <f t="shared" si="4022"/>
        <v>-7.2213154130921664</v>
      </c>
      <c r="DQ676" s="86">
        <f>(DQ644+DQ647+DQ646)/(DQ644+DQ647+DQ657+DQ646)*100</f>
        <v>29.418332030813886</v>
      </c>
      <c r="DR676" s="130">
        <f t="shared" si="4022"/>
        <v>-4.8328018326490589</v>
      </c>
      <c r="DS676" s="86">
        <f>(DS644+DS647+DS646)/(DS644+DS647+DS657+DS646)*100</f>
        <v>30.800990916597854</v>
      </c>
      <c r="DT676" s="130">
        <f t="shared" si="4022"/>
        <v>-0.30898609094452967</v>
      </c>
      <c r="DU676" s="86">
        <f>(DU644+DU647+DU646)/(DU644+DU647+DU657+DU646)*100</f>
        <v>30.124904130601511</v>
      </c>
      <c r="DV676" s="130">
        <f t="shared" si="4022"/>
        <v>1.5156827395240935</v>
      </c>
      <c r="DW676" s="86">
        <f>(DW644+DW647+DW646)/(DW644+DW647+DW657+DW646)*100</f>
        <v>30.439056356487548</v>
      </c>
      <c r="DX676" s="86">
        <f t="shared" ref="DX676:DY676" si="4077">(DX644+DX647+DX646)/(DX644+DX647+DX657+DX646)*100</f>
        <v>30.552829571475304</v>
      </c>
      <c r="DY676" s="86">
        <f t="shared" si="4077"/>
        <v>30.302864938608458</v>
      </c>
      <c r="DZ676" s="130">
        <f t="shared" si="4022"/>
        <v>3.0067405142755188</v>
      </c>
      <c r="EA676" s="86">
        <f t="shared" ref="EA676:EC676" si="4078">(EA644+EA647+EA646)/(EA644+EA647+EA657+EA646)*100</f>
        <v>30.744952930293302</v>
      </c>
      <c r="EB676" s="130">
        <f t="shared" si="4025"/>
        <v>-0.18193566062952859</v>
      </c>
      <c r="EC676" s="86">
        <f t="shared" si="4078"/>
        <v>30.024745669507837</v>
      </c>
      <c r="ED676" s="130">
        <f t="shared" si="4026"/>
        <v>-0.33247727746934519</v>
      </c>
      <c r="EE676" s="86">
        <f t="shared" ref="EE676:EG676" si="4079">(EE644+EE647+EE646)/(EE644+EE647+EE657+EE646)*100</f>
        <v>29.652774004238442</v>
      </c>
      <c r="EF676" s="130">
        <f t="shared" si="4028"/>
        <v>-2.5831364252575595</v>
      </c>
      <c r="EG676" s="86">
        <f t="shared" si="4079"/>
        <v>29.27644191269102</v>
      </c>
      <c r="EH676" s="130">
        <f t="shared" si="4029"/>
        <v>-3.387214469644706</v>
      </c>
      <c r="EI676" s="86">
        <f t="shared" ref="EI676:EK676" si="4080">(EI644+EI647+EI646)/(EI644+EI647+EI657+EI646)*100</f>
        <v>28.11216386439564</v>
      </c>
      <c r="EJ676" s="130">
        <f t="shared" si="4031"/>
        <v>-8.5633211794692627</v>
      </c>
      <c r="EK676" s="86">
        <f t="shared" si="4080"/>
        <v>26.949301660618058</v>
      </c>
      <c r="EL676" s="130">
        <f t="shared" si="4032"/>
        <v>-10.243031007630155</v>
      </c>
      <c r="EM676" s="86">
        <f t="shared" ref="EM676" si="4081">(EM644+EM647+EM646)/(EM644+EM647+EM657+EM646)*100</f>
        <v>26.695723236175429</v>
      </c>
      <c r="EN676" s="130">
        <f t="shared" si="4034"/>
        <v>-9.9722567866343486</v>
      </c>
      <c r="EO676" s="86">
        <f t="shared" ref="EO676" si="4082">(EO644+EO647+EO646)/(EO644+EO647+EO657+EO646)*100</f>
        <v>25.776888233435162</v>
      </c>
      <c r="EP676" s="130">
        <f t="shared" si="4036"/>
        <v>-11.95348017253025</v>
      </c>
      <c r="EQ676" s="86">
        <f t="shared" ref="EQ676:EW676" si="4083">(EQ644+EQ647+EQ646)/(EQ644+EQ647+EQ657+EQ646)*100</f>
        <v>27.365655373611343</v>
      </c>
      <c r="ER676" s="130">
        <f t="shared" si="4038"/>
        <v>-2.6554643548082013</v>
      </c>
      <c r="ES676" s="86">
        <f t="shared" si="4083"/>
        <v>26.932011518684458</v>
      </c>
      <c r="ET676" s="130">
        <f t="shared" si="4039"/>
        <v>-6.4158033300232287E-2</v>
      </c>
      <c r="EU676" s="86">
        <f t="shared" si="4083"/>
        <v>26.714911300677034</v>
      </c>
      <c r="EV676" s="130">
        <f t="shared" si="4040"/>
        <v>7.18769232503913E-2</v>
      </c>
      <c r="EW676" s="86">
        <f t="shared" si="4083"/>
        <v>26.484915888889198</v>
      </c>
      <c r="EX676" s="130">
        <f t="shared" si="4041"/>
        <v>2.7467537937168718</v>
      </c>
      <c r="EY676" s="356"/>
      <c r="EZ676" s="558"/>
      <c r="FA676" s="356"/>
      <c r="FB676" s="86">
        <f>(FB644+FB647)/(FB644+FB647+FB657)*100</f>
        <v>12.837587070324256</v>
      </c>
      <c r="FC676" s="71"/>
      <c r="FD676" s="86">
        <f>(FD644+FD647)/(FD644+FD647+FD657)*100</f>
        <v>13.084386945016172</v>
      </c>
      <c r="FE676" s="70">
        <f t="shared" ref="FE676:FE681" si="4084">IF(ISERROR((FD676/FB676-1)*100),"NA",IF(((FD676/FB676-1)*100)&gt;100,"NM",IF(((FD676/FB676-1)*100)&lt;-50,"NM",(FD676/FB676-1)*100)))</f>
        <v>1.9224786818577977</v>
      </c>
      <c r="FF676" s="86">
        <f>(FF644+FF647)/(FF644+FF647+FF657)*100</f>
        <v>12.59572360858108</v>
      </c>
      <c r="FG676" s="70">
        <f t="shared" ref="FG676:FG681" si="4085">IF(ISERROR((FF676/FD676-1)*100),"NA",IF(((FF676/FD676-1)*100)&gt;100,"NM",IF(((FF676/FD676-1)*100)&lt;-50,"NM",(FF676/FD676-1)*100)))</f>
        <v>-3.7347056341926921</v>
      </c>
      <c r="FH676" s="86">
        <f>(FH644+FH647)/(FH644+FH647+FH657)*100</f>
        <v>20.73775136720047</v>
      </c>
      <c r="FI676" s="70">
        <f t="shared" ref="FI676:FI681" si="4086">IF(ISERROR((FH676/FF676-1)*100),"NA",IF(((FH676/FF676-1)*100)&gt;100,"NM",IF(((FH676/FF676-1)*100)&lt;-50,"NM",(FH676/FF676-1)*100)))</f>
        <v>64.641206901939924</v>
      </c>
      <c r="FJ676" s="86">
        <f>(FJ644+FJ647)/(FJ644+FJ647+FJ657)*100</f>
        <v>24.759967887628978</v>
      </c>
      <c r="FK676" s="70">
        <f t="shared" ref="FK676:FK681" si="4087">IF(ISERROR((FJ676/FH676-1)*100),"NA",IF(((FJ676/FH676-1)*100)&gt;100,"NM",IF(((FJ676/FH676-1)*100)&lt;-50,"NM",(FJ676/FH676-1)*100)))</f>
        <v>19.395625153410712</v>
      </c>
      <c r="FL676" s="86">
        <f>(FL644+FL647)/(FL644+FL647+FL657)*100</f>
        <v>22.788764957665506</v>
      </c>
      <c r="FM676" s="61">
        <f t="shared" ref="FM676:FM681" si="4088">IF(ISERROR((FL676/FJ676-1)*100),"NA",IF(((FL676/FJ676-1)*100)&gt;100,"NM",IF(((FL676/FJ676-1)*100)&lt;-50,"NM",(FL676/FJ676-1)*100)))</f>
        <v>-7.9612499455153145</v>
      </c>
      <c r="FN676" s="86">
        <f>(FN644+FN647)/(FN644+FN647+FN657)*100</f>
        <v>20.640088000951359</v>
      </c>
      <c r="FO676" s="61">
        <f t="shared" ref="FO676:FO681" si="4089">IF(ISERROR((FN676/FL676-1)*100),"NA",IF(((FN676/FL676-1)*100)&gt;100,"NM",IF(((FN676/FL676-1)*100)&lt;-50,"NM",(FN676/FL676-1)*100)))</f>
        <v>-9.4286678576295238</v>
      </c>
      <c r="FP676" s="176">
        <f>(FP644+FP647)/(FP644+FP647+FP657)*100</f>
        <v>18.47924031330145</v>
      </c>
      <c r="FQ676" s="61">
        <f t="shared" si="3844"/>
        <v>-10.890819423513577</v>
      </c>
      <c r="FR676" s="176">
        <f>(FR644+FR647+FR661)/(FR644+FR661+FR647+FR657)*100</f>
        <v>16.898774527165827</v>
      </c>
      <c r="FS676" s="61">
        <f t="shared" si="4042"/>
        <v>-8.5526556251232613</v>
      </c>
      <c r="FT676" s="86">
        <f>(FT644+FT647+FT646)/(FT644+FT647+FT657+FT646)*100</f>
        <v>20.7585986089634</v>
      </c>
      <c r="FU676" s="61">
        <f t="shared" si="4043"/>
        <v>22.840852013219461</v>
      </c>
      <c r="FV676" s="86">
        <f>(FV644+FV647+FV646)/(FV644+FV647+FV657+FV646)*100</f>
        <v>30.500344909839928</v>
      </c>
      <c r="FW676" s="61">
        <f t="shared" si="4044"/>
        <v>46.928728111107262</v>
      </c>
      <c r="FX676" s="81">
        <f>(FX644+FX647+FX646)/(FX644+FX647+FX657+FX646)*100</f>
        <v>34.42768463871711</v>
      </c>
      <c r="FY676" s="61">
        <f t="shared" si="4045"/>
        <v>12.876378088466002</v>
      </c>
      <c r="FZ676" s="81">
        <f>(FZ644+FZ647+FZ646)/(FZ644+FZ647+FZ657+FZ646)*100</f>
        <v>30.927953164114637</v>
      </c>
      <c r="GA676" s="61">
        <f t="shared" si="4046"/>
        <v>-10.165456990002465</v>
      </c>
      <c r="GB676" s="81">
        <f>(GB644+GB647+GB646)/(GB644+GB647+GB657+GB646)*100</f>
        <v>34.094358714900075</v>
      </c>
      <c r="GC676" s="61">
        <f t="shared" si="4047"/>
        <v>10.238005515539195</v>
      </c>
      <c r="GD676" s="81">
        <f>(GD644+GD647+GD646)/(GD644+GD647+GD657+GD646)*100</f>
        <v>32.757166947723441</v>
      </c>
      <c r="GE676" s="61">
        <f t="shared" si="4048"/>
        <v>-3.9220323173060567</v>
      </c>
      <c r="GF676" s="81">
        <f>(GF644+GF647+GF646)/(GF644+GF647+GF657+GF646)*100</f>
        <v>30.912260313771061</v>
      </c>
      <c r="GG676" s="61">
        <f t="shared" si="4048"/>
        <v>-5.6320701875611885</v>
      </c>
      <c r="GH676" s="81">
        <f>(GH644+GH647+GH646)/(GH644+GH647+GH657+GH646)*100</f>
        <v>29.418332030813886</v>
      </c>
      <c r="GI676" s="61">
        <f t="shared" si="4048"/>
        <v>-4.8328018326490589</v>
      </c>
      <c r="GJ676" s="81">
        <f>(GJ644+GJ647+GJ646)/(GJ644+GJ647+GJ657+GJ646)*100</f>
        <v>30.302864938608458</v>
      </c>
      <c r="GK676" s="61">
        <f t="shared" si="4048"/>
        <v>3.0067405142755188</v>
      </c>
      <c r="GL676" s="81">
        <f>(GL644+GL647+GL646)/(GL644+GL647+GL657+GL646)*100</f>
        <v>29.27644191269102</v>
      </c>
      <c r="GM676" s="61">
        <f t="shared" si="4048"/>
        <v>-3.387214469644706</v>
      </c>
      <c r="GN676" s="81">
        <f>(GN644+GN647+GN646)/(GN644+GN647+GN657+GN646)*100</f>
        <v>25.776888233435162</v>
      </c>
      <c r="GO676" s="61">
        <f t="shared" si="4048"/>
        <v>-11.95348017253025</v>
      </c>
      <c r="GP676" s="81">
        <f>(GP644+GP647+GP646)/(GP644+GP647+GP657+GP646)*100</f>
        <v>26.484915888889198</v>
      </c>
      <c r="GQ676" s="61">
        <f t="shared" si="4048"/>
        <v>2.7467537937168718</v>
      </c>
      <c r="GR676" s="86">
        <f>(GR644+GR647+GR646)/(GR644+GR647+GR657+GR646)*100</f>
        <v>25.621695745126104</v>
      </c>
      <c r="GS676" s="61">
        <f t="shared" si="4048"/>
        <v>-3.2592897307452962</v>
      </c>
      <c r="GT676" s="86">
        <f>(GT644+GT647+GT646)/(GT644+GT647+GT657+GT646)*100</f>
        <v>24.711878354201193</v>
      </c>
      <c r="GU676" s="61">
        <f t="shared" si="4048"/>
        <v>-3.5509647760062157</v>
      </c>
      <c r="GV676" s="86">
        <f>(GV644+GV647+GV646)/(GV644+GV647+GV657+GV646)*100</f>
        <v>23.875008212871077</v>
      </c>
      <c r="GW676" s="61">
        <f t="shared" si="4048"/>
        <v>-3.3865096344966594</v>
      </c>
      <c r="GX676" s="86">
        <f>(GX644+GX647+GX646)/(GX644+GX647+GX657+GX646)*100</f>
        <v>23.043387115182522</v>
      </c>
      <c r="GY676" s="61">
        <f t="shared" si="4049"/>
        <v>-3.483228530326643</v>
      </c>
      <c r="GZ676" s="61">
        <f t="shared" si="4057"/>
        <v>-2.2170432079869462</v>
      </c>
      <c r="HA676" s="61"/>
      <c r="HB676" s="452"/>
      <c r="HC676"/>
      <c r="HD676"/>
      <c r="HE676"/>
      <c r="HF676"/>
      <c r="HG676"/>
      <c r="HH676"/>
    </row>
    <row r="677" spans="1:216" s="5" customFormat="1" ht="12.75" customHeight="1" x14ac:dyDescent="0.2">
      <c r="A677" s="7"/>
      <c r="B677" s="7" t="s">
        <v>365</v>
      </c>
      <c r="C677" s="86">
        <f>(C644+C647)/(C657)*100</f>
        <v>14.984426298509975</v>
      </c>
      <c r="D677" s="70"/>
      <c r="E677" s="86">
        <f>(E644+E647)/(E657)*100</f>
        <v>14.896554609543333</v>
      </c>
      <c r="F677" s="71"/>
      <c r="G677" s="86">
        <f>(G644+G647)/(G657)*100</f>
        <v>14.605336012960645</v>
      </c>
      <c r="H677" s="71"/>
      <c r="I677" s="86">
        <f>(I644+I647)/(I657)*100</f>
        <v>14.410877966856194</v>
      </c>
      <c r="J677" s="61"/>
      <c r="K677" s="86">
        <f>(K644+K647)/(K657)*100</f>
        <v>14.431590250623008</v>
      </c>
      <c r="L677" s="61">
        <f t="shared" si="3981"/>
        <v>-3.6894041645220699</v>
      </c>
      <c r="M677" s="86">
        <f>(M644+M647)/(M657)*100</f>
        <v>14.211901769505456</v>
      </c>
      <c r="N677" s="61">
        <f t="shared" si="3982"/>
        <v>-4.5960482674246128</v>
      </c>
      <c r="O677" s="86">
        <f>(O644+O647)/(O657)*100</f>
        <v>13.813965213007309</v>
      </c>
      <c r="P677" s="61">
        <f t="shared" si="3983"/>
        <v>-5.418367638040511</v>
      </c>
      <c r="Q677" s="86">
        <f>(Q644+Q647)/(Q657)*100</f>
        <v>26.163465867935237</v>
      </c>
      <c r="R677" s="61">
        <f t="shared" si="3984"/>
        <v>81.553587006350384</v>
      </c>
      <c r="S677" s="86">
        <f>(S644+S647)/(S657)*100</f>
        <v>16.761971447465669</v>
      </c>
      <c r="T677" s="61">
        <f t="shared" si="3985"/>
        <v>16.14777828619447</v>
      </c>
      <c r="U677" s="86">
        <f>(U644+U647)/(U657)*100</f>
        <v>29.685564241809388</v>
      </c>
      <c r="V677" s="61" t="str">
        <f t="shared" si="3986"/>
        <v>NM</v>
      </c>
      <c r="W677" s="86">
        <f>(W644+W647)/(W657)*100</f>
        <v>32.660532981187622</v>
      </c>
      <c r="X677" s="61" t="str">
        <f t="shared" si="3987"/>
        <v>NM</v>
      </c>
      <c r="Y677" s="86">
        <f>(Y644+Y647)/(Y657)*100</f>
        <v>32.907970919855472</v>
      </c>
      <c r="Z677" s="61">
        <f t="shared" si="3988"/>
        <v>25.778331838619263</v>
      </c>
      <c r="AA677" s="86">
        <f>(AA644+AA647)/(AA657)*100</f>
        <v>32.970664045434688</v>
      </c>
      <c r="AB677" s="61">
        <f t="shared" si="3989"/>
        <v>96.699201813875518</v>
      </c>
      <c r="AC677" s="86">
        <f>(AC644+AC647)/(AC657)*100</f>
        <v>32.323471190481264</v>
      </c>
      <c r="AD677" s="61">
        <f t="shared" si="3990"/>
        <v>8.8861607183353684</v>
      </c>
      <c r="AE677" s="86">
        <f>(AE644+AE647)/(AE657)*100</f>
        <v>30.311443243017571</v>
      </c>
      <c r="AF677" s="61">
        <f t="shared" si="3991"/>
        <v>-7.1924415303421974</v>
      </c>
      <c r="AG677" s="86">
        <f>(AG644+AG647)/(AG657)*100</f>
        <v>29.514830251284746</v>
      </c>
      <c r="AH677" s="61">
        <f t="shared" si="3992"/>
        <v>-10.310999352814632</v>
      </c>
      <c r="AI677" s="86">
        <f>(AI644+AI647)/(AI657)*100</f>
        <v>33.220095120099117</v>
      </c>
      <c r="AJ677" s="61">
        <f t="shared" si="3993"/>
        <v>0.75652426751462443</v>
      </c>
      <c r="AK677" s="86">
        <f>(AK644+AK647)/(AK657)*100</f>
        <v>32.87084958993551</v>
      </c>
      <c r="AL677" s="61">
        <f t="shared" si="3994"/>
        <v>1.6934394088696791</v>
      </c>
      <c r="AM677" s="86">
        <f>(AM644+AM647)/(AM657)*100</f>
        <v>32.418098555716462</v>
      </c>
      <c r="AN677" s="61">
        <f t="shared" si="3995"/>
        <v>6.9500330149544265</v>
      </c>
      <c r="AO677" s="86">
        <f>(AO644+AO647)/(AO657)*100</f>
        <v>26.008204244478989</v>
      </c>
      <c r="AP677" s="61">
        <f t="shared" si="3996"/>
        <v>-11.880895051575358</v>
      </c>
      <c r="AQ677" s="86">
        <f>(AQ644+AQ647)/(AQ657)*100</f>
        <v>25.36911028373347</v>
      </c>
      <c r="AR677" s="61">
        <f t="shared" si="4072"/>
        <v>-23.63324008550347</v>
      </c>
      <c r="AS677" s="86">
        <f>(AS644+AS647)/(AS657)*100</f>
        <v>24.349138244491311</v>
      </c>
      <c r="AT677" s="61">
        <f t="shared" si="4073"/>
        <v>-25.924828386709542</v>
      </c>
      <c r="AU677" s="86">
        <f>(AU644+AU647)/(AU657)*100</f>
        <v>23.401384386226233</v>
      </c>
      <c r="AV677" s="61">
        <f t="shared" si="4074"/>
        <v>-27.813827988687699</v>
      </c>
      <c r="AW677" s="86">
        <f>(AW644+AW647)/(AW657)*100</f>
        <v>22.668140464246235</v>
      </c>
      <c r="AX677" s="61">
        <f t="shared" si="4075"/>
        <v>-12.842346779638891</v>
      </c>
      <c r="AY677" s="86">
        <f>(AY644+AY647)/(AY657)*100</f>
        <v>21.878082462024068</v>
      </c>
      <c r="AZ677" s="61">
        <f t="shared" si="4076"/>
        <v>-13.760939121100469</v>
      </c>
      <c r="BA677" s="86">
        <f>(BA644+BA647)/(BA657)*100</f>
        <v>23.117307558584244</v>
      </c>
      <c r="BB677" s="61">
        <f t="shared" si="3867"/>
        <v>-5.0590319605489658</v>
      </c>
      <c r="BC677" s="86">
        <f>(BC644+BC647)/(BC657)*100</f>
        <v>23.025109812195204</v>
      </c>
      <c r="BD677" s="61">
        <f t="shared" si="3868"/>
        <v>-1.6079158729280119</v>
      </c>
      <c r="BE677" s="86">
        <f>(BE644+BE647)/(BE657)*100</f>
        <v>20.335168863051297</v>
      </c>
      <c r="BF677" s="61">
        <f t="shared" si="3869"/>
        <v>-10.291852588767314</v>
      </c>
      <c r="BG677" s="86">
        <f>(BG644+BG647)/(BG657)*100</f>
        <v>22.93095505080797</v>
      </c>
      <c r="BH677" s="61">
        <f t="shared" si="3997"/>
        <v>4.812453699319752</v>
      </c>
      <c r="BI677" s="86">
        <f>(BI644+BI647)/(BI657)*100</f>
        <v>21.465255391696491</v>
      </c>
      <c r="BJ677" s="61">
        <f t="shared" si="3998"/>
        <v>-7.1463865880621924</v>
      </c>
      <c r="BK677" s="86">
        <f>(BK644+BK647)/(BK657)*100</f>
        <v>24.112697603263641</v>
      </c>
      <c r="BL677" s="61">
        <f t="shared" si="3999"/>
        <v>4.7234857941585107</v>
      </c>
      <c r="BM677" s="86">
        <f>(BM644+BM647)/(BM657)*100</f>
        <v>26.196657611498914</v>
      </c>
      <c r="BN677" s="61">
        <f t="shared" si="4000"/>
        <v>28.824391810671692</v>
      </c>
      <c r="BO677" s="86">
        <f>(BO644+BO647)/(BO657)*100</f>
        <v>26.789095371669003</v>
      </c>
      <c r="BP677" s="61">
        <f t="shared" si="4001"/>
        <v>16.825031108876964</v>
      </c>
      <c r="BQ677" s="86">
        <f>(BQ644+BQ647)/(BQ657)*100</f>
        <v>37.64726693790908</v>
      </c>
      <c r="BR677" s="61">
        <f t="shared" si="4002"/>
        <v>75.38699750328783</v>
      </c>
      <c r="BS677" s="86">
        <f>(BS644+BS647)/(BS657)*100</f>
        <v>41.766869429905221</v>
      </c>
      <c r="BT677" s="61">
        <f t="shared" si="4003"/>
        <v>73.215249977887581</v>
      </c>
      <c r="BU677" s="86">
        <f>(BU644+BU647)/(BU657)*100</f>
        <v>43.885606151962378</v>
      </c>
      <c r="BV677" s="61">
        <f t="shared" si="4004"/>
        <v>67.523684902073057</v>
      </c>
      <c r="BW677" s="86">
        <f>(BW644+BW647)/(BW657)*100</f>
        <v>42.190868307082788</v>
      </c>
      <c r="BX677" s="61">
        <f t="shared" si="3870"/>
        <v>57.492695149766206</v>
      </c>
      <c r="BY677" s="86">
        <f>(BY644+BY647)/(BY657)*100</f>
        <v>44.288112484812515</v>
      </c>
      <c r="BZ677" s="61">
        <f t="shared" si="3871"/>
        <v>17.639648471311496</v>
      </c>
      <c r="CA677" s="86">
        <f>(CA644+CA647)/(CA657)*100</f>
        <v>43.235190552290149</v>
      </c>
      <c r="CB677" s="61">
        <f t="shared" si="3872"/>
        <v>3.5155163468718165</v>
      </c>
      <c r="CC677" s="86">
        <f>(CC644+CC647)/(CC657)*100</f>
        <v>45.275170552851215</v>
      </c>
      <c r="CD677" s="61">
        <f t="shared" si="3873"/>
        <v>3.1663329340312574</v>
      </c>
      <c r="CE677" s="86">
        <f>(CE644+CE647)/(CE657)*100</f>
        <v>44.96805324754957</v>
      </c>
      <c r="CF677" s="61">
        <f t="shared" si="4005"/>
        <v>6.5824313456961159</v>
      </c>
      <c r="CG677" s="86">
        <f>(CG644+CG647)/(CG657)*100</f>
        <v>50.129925634669625</v>
      </c>
      <c r="CH677" s="61">
        <f t="shared" si="4006"/>
        <v>13.190476681209695</v>
      </c>
      <c r="CI677" s="86">
        <f>(CI644+CI647)/(CI657)*100</f>
        <v>49.961330239752513</v>
      </c>
      <c r="CJ677" s="61">
        <f t="shared" si="4007"/>
        <v>15.557095045822766</v>
      </c>
      <c r="CK677" s="86">
        <f>(CK644+CK647)/(CK657)*100</f>
        <v>44.776366968824902</v>
      </c>
      <c r="CL677" s="61">
        <f t="shared" si="4008"/>
        <v>-1.1017155273750801</v>
      </c>
      <c r="CM677" s="86">
        <f>(CM644+CM647)/(CM657)*100</f>
        <v>48.004148153445911</v>
      </c>
      <c r="CN677" s="61">
        <f t="shared" si="4009"/>
        <v>6.7516707676505527</v>
      </c>
      <c r="CO677" s="86">
        <f>(CO644+CO647)/(CO657)*100</f>
        <v>50.557761892154261</v>
      </c>
      <c r="CP677" s="61">
        <f t="shared" si="4010"/>
        <v>0.85345480183347533</v>
      </c>
      <c r="CQ677" s="86">
        <f>(CQ644+CQ647)/(CQ657)*100</f>
        <v>47.234831758367932</v>
      </c>
      <c r="CR677" s="61">
        <f t="shared" si="4011"/>
        <v>-5.4572175486536594</v>
      </c>
      <c r="CS677" s="86">
        <f>(CS644+CS647)/(CS657)*100</f>
        <v>51.732079454946742</v>
      </c>
      <c r="CT677" s="61">
        <f t="shared" si="4012"/>
        <v>15.534338663439762</v>
      </c>
      <c r="CU677" s="86">
        <f>(CU644+CU647)/(CU657)*100</f>
        <v>53.400647742427132</v>
      </c>
      <c r="CV677" s="61">
        <f t="shared" si="4013"/>
        <v>11.24173596775686</v>
      </c>
      <c r="CW677" s="86">
        <f>(CW644+CW647)/(CW657)*100</f>
        <v>53.649155722326455</v>
      </c>
      <c r="CX677" s="61">
        <f t="shared" si="4014"/>
        <v>6.1145780874685585</v>
      </c>
      <c r="CY677" s="86">
        <f>(CY644+CY647)/(CY657)*100</f>
        <v>50.082041932543298</v>
      </c>
      <c r="CZ677" s="61">
        <f t="shared" si="4015"/>
        <v>6.0277766812855571</v>
      </c>
      <c r="DA677" s="86">
        <f>(DA644+DA647)/(DA657)*100</f>
        <v>48.714733542319749</v>
      </c>
      <c r="DB677" s="61">
        <f t="shared" si="4016"/>
        <v>-5.8326399101253701</v>
      </c>
      <c r="DC677" s="86">
        <f>(DC644+DC647+DC646)/(DC657)*100</f>
        <v>43.338356528676535</v>
      </c>
      <c r="DD677" s="61">
        <f t="shared" si="4017"/>
        <v>-18.843013407412379</v>
      </c>
      <c r="DE677" s="86">
        <f>(DE644+DE647+DE646)/(DE657)*100</f>
        <v>44.205182072829132</v>
      </c>
      <c r="DF677" s="61">
        <f t="shared" si="4018"/>
        <v>-17.603210194726604</v>
      </c>
      <c r="DG677" s="86">
        <f>(DG644+DG647+DG646)/(DG657)*100</f>
        <v>46.09502534582009</v>
      </c>
      <c r="DH677" s="61">
        <f t="shared" si="4019"/>
        <v>-7.9609705053428463</v>
      </c>
      <c r="DI677" s="86">
        <f>(DI644+DI647+DI646)/(DI657)*100</f>
        <v>44.743481917577796</v>
      </c>
      <c r="DJ677" s="61">
        <f t="shared" si="4020"/>
        <v>-8.1520544935179124</v>
      </c>
      <c r="DK677" s="86">
        <f>(DK644+DK647+DK646)/(DK657)*100</f>
        <v>44.710379788913819</v>
      </c>
      <c r="DL677" s="61">
        <f t="shared" si="4021"/>
        <v>3.1658405397293476</v>
      </c>
      <c r="DM677" s="86">
        <f>(DM644+DM647+DM646)/(DM657)*100</f>
        <v>42.197192295135487</v>
      </c>
      <c r="DN677" s="130">
        <f t="shared" si="4022"/>
        <v>-4.5424307367073702</v>
      </c>
      <c r="DO677" s="86">
        <f>(DO644+DO647+DO646)/(DO657)*100</f>
        <v>41.38866719872307</v>
      </c>
      <c r="DP677" s="130">
        <f t="shared" si="4022"/>
        <v>-10.210121616786994</v>
      </c>
      <c r="DQ677" s="86">
        <f>(DQ644+DQ647+DQ646)/(DQ657)*100</f>
        <v>41.679848149319838</v>
      </c>
      <c r="DR677" s="130">
        <f t="shared" si="4022"/>
        <v>-6.8471062978547215</v>
      </c>
      <c r="DS677" s="86">
        <f>(DS644+DS647+DS646)/(DS657)*100</f>
        <v>44.510739856801912</v>
      </c>
      <c r="DT677" s="130">
        <f t="shared" si="4022"/>
        <v>-0.44651808607855115</v>
      </c>
      <c r="DU677" s="86">
        <f>(DU644+DU647+DU646)/(DU657)*100</f>
        <v>43.112504900039198</v>
      </c>
      <c r="DV677" s="130">
        <f t="shared" si="4022"/>
        <v>2.169131534870461</v>
      </c>
      <c r="DW677" s="86">
        <f>(DW644+DW647+DW646)/(DW657)*100</f>
        <v>43.758831841733397</v>
      </c>
      <c r="DX677" s="86">
        <f t="shared" ref="DX677:DY677" si="4090">(DX644+DX647+DX646)/(DX657)*100</f>
        <v>43.994347621290622</v>
      </c>
      <c r="DY677" s="86">
        <f t="shared" si="4090"/>
        <v>43.477920450986538</v>
      </c>
      <c r="DZ677" s="130">
        <f t="shared" si="4022"/>
        <v>4.3140087632397961</v>
      </c>
      <c r="EA677" s="86">
        <f t="shared" ref="EA677:EC677" si="4091">(EA644+EA647+EA646)/(EA657)*100</f>
        <v>44.393808438752259</v>
      </c>
      <c r="EB677" s="130">
        <f t="shared" si="4025"/>
        <v>-0.26270382929117764</v>
      </c>
      <c r="EC677" s="86">
        <f t="shared" si="4091"/>
        <v>42.907662082514733</v>
      </c>
      <c r="ED677" s="130">
        <f t="shared" si="4026"/>
        <v>-0.47513550418704087</v>
      </c>
      <c r="EE677" s="86">
        <f t="shared" ref="EE677:EG677" si="4092">(EE644+EE647+EE646)/(EE657)*100</f>
        <v>42.15201606673876</v>
      </c>
      <c r="EF677" s="130">
        <f t="shared" si="4028"/>
        <v>-3.6719805062579214</v>
      </c>
      <c r="EG677" s="86">
        <f t="shared" si="4092"/>
        <v>41.3956009913259</v>
      </c>
      <c r="EH677" s="130">
        <f t="shared" si="4029"/>
        <v>-4.7893722562192824</v>
      </c>
      <c r="EI677" s="86">
        <f t="shared" ref="EI677:EK677" si="4093">(EI644+EI647+EI646)/(EI657)*100</f>
        <v>39.105591954898671</v>
      </c>
      <c r="EJ677" s="130">
        <f t="shared" si="4031"/>
        <v>-11.912058617699927</v>
      </c>
      <c r="EK677" s="86">
        <f t="shared" si="4093"/>
        <v>36.891230711328568</v>
      </c>
      <c r="EL677" s="130">
        <f t="shared" si="4032"/>
        <v>-14.0218112084879</v>
      </c>
      <c r="EM677" s="86">
        <f t="shared" ref="EM677" si="4094">(EM644+EM647+EM646)/(EM657)*100</f>
        <v>36.417688591601632</v>
      </c>
      <c r="EN677" s="130">
        <f t="shared" si="4034"/>
        <v>-13.603922208745701</v>
      </c>
      <c r="EO677" s="86">
        <f t="shared" ref="EO677" si="4095">(EO644+EO647+EO646)/(EO657)*100</f>
        <v>34.728924212319043</v>
      </c>
      <c r="EP677" s="130">
        <f t="shared" si="4036"/>
        <v>-16.104795242382885</v>
      </c>
      <c r="EQ677" s="86">
        <f t="shared" ref="EQ677:EW677" si="4096">(EQ644+EQ647+EQ646)/(EQ657)*100</f>
        <v>37.675916970646377</v>
      </c>
      <c r="ER677" s="130">
        <f t="shared" si="4038"/>
        <v>-3.6559349003108532</v>
      </c>
      <c r="ES677" s="86">
        <f t="shared" si="4096"/>
        <v>36.858838019841386</v>
      </c>
      <c r="ET677" s="130">
        <f t="shared" si="4039"/>
        <v>-8.780593887108834E-2</v>
      </c>
      <c r="EU677" s="86">
        <f t="shared" si="4096"/>
        <v>36.453406518049064</v>
      </c>
      <c r="EV677" s="130">
        <f t="shared" si="4040"/>
        <v>9.8078510275545483E-2</v>
      </c>
      <c r="EW677" s="86">
        <f t="shared" si="4096"/>
        <v>36.026505592865625</v>
      </c>
      <c r="EX677" s="130">
        <f t="shared" si="4041"/>
        <v>3.7363132028325419</v>
      </c>
      <c r="EY677" s="356"/>
      <c r="EZ677" s="558"/>
      <c r="FA677" s="356"/>
      <c r="FB677" s="86">
        <f>(FB644+FB647)/(FB657)*100</f>
        <v>14.728352094476616</v>
      </c>
      <c r="FC677" s="71"/>
      <c r="FD677" s="86">
        <f>(FD644+FD647)/(FD657)*100</f>
        <v>15.054127198917456</v>
      </c>
      <c r="FE677" s="70">
        <f t="shared" si="4084"/>
        <v>2.2118910679967518</v>
      </c>
      <c r="FF677" s="86">
        <f>(FF644+FF647)/(FF657)*100</f>
        <v>14.410877966856194</v>
      </c>
      <c r="FG677" s="70">
        <f t="shared" si="4085"/>
        <v>-4.272909505557509</v>
      </c>
      <c r="FH677" s="86">
        <f>(FH644+FH647)/(FH657)*100</f>
        <v>26.163465867935237</v>
      </c>
      <c r="FI677" s="70">
        <f t="shared" si="4086"/>
        <v>81.553587006350384</v>
      </c>
      <c r="FJ677" s="86">
        <f>(FJ644+FJ647)/(FJ657)*100</f>
        <v>32.907970919855472</v>
      </c>
      <c r="FK677" s="70">
        <f t="shared" si="4087"/>
        <v>25.778331838619263</v>
      </c>
      <c r="FL677" s="86">
        <f>(FL644+FL647)/(FL657)*100</f>
        <v>29.514830251284746</v>
      </c>
      <c r="FM677" s="61">
        <f t="shared" si="4088"/>
        <v>-10.310999352814632</v>
      </c>
      <c r="FN677" s="86">
        <f>(FN644+FN647)/(FN657)*100</f>
        <v>26.008204244478989</v>
      </c>
      <c r="FO677" s="61">
        <f t="shared" si="4089"/>
        <v>-11.880895051575358</v>
      </c>
      <c r="FP677" s="176">
        <f>(FP644+FP647)/(FP657)*100</f>
        <v>22.668140464246235</v>
      </c>
      <c r="FQ677" s="61">
        <f t="shared" si="3844"/>
        <v>-13.359565668143048</v>
      </c>
      <c r="FR677" s="176">
        <f>(FR644+FR647+FR661)/(FR657)*100</f>
        <v>20.335168863051297</v>
      </c>
      <c r="FS677" s="61">
        <f t="shared" si="4042"/>
        <v>-10.291852588767314</v>
      </c>
      <c r="FT677" s="86">
        <f>(FT644+FT647+FT646)/(FT657)*100</f>
        <v>26.196657611498914</v>
      </c>
      <c r="FU677" s="61">
        <f t="shared" si="4043"/>
        <v>28.824391810671692</v>
      </c>
      <c r="FV677" s="86">
        <f>(FV644+FV647+FV646)/(FV657)*100</f>
        <v>43.885606151962378</v>
      </c>
      <c r="FW677" s="61">
        <f t="shared" si="4044"/>
        <v>67.523684902073057</v>
      </c>
      <c r="FX677" s="81">
        <f>(FX644+FX647+FX646)/(FX657)*100</f>
        <v>52.503384163013564</v>
      </c>
      <c r="FY677" s="61">
        <f t="shared" si="4045"/>
        <v>19.636912342535418</v>
      </c>
      <c r="FZ677" s="81">
        <f>(FZ644+FZ647+FZ646)/(FZ657)*100</f>
        <v>44.776366968824902</v>
      </c>
      <c r="GA677" s="61">
        <f t="shared" si="4046"/>
        <v>-14.717179315904028</v>
      </c>
      <c r="GB677" s="81">
        <f>(GB644+GB647+GB646)/(GB657)*100</f>
        <v>51.732079454946742</v>
      </c>
      <c r="GC677" s="61">
        <f t="shared" si="4047"/>
        <v>15.534338663439762</v>
      </c>
      <c r="GD677" s="81">
        <f>(GD644+GD647+GD646)/(GD657)*100</f>
        <v>48.714733542319749</v>
      </c>
      <c r="GE677" s="61">
        <f t="shared" si="4048"/>
        <v>-5.8326399101253701</v>
      </c>
      <c r="GF677" s="81">
        <f>(GF644+GF647+GF646)/(GF657)*100</f>
        <v>44.743481917577796</v>
      </c>
      <c r="GG677" s="61">
        <f t="shared" si="4048"/>
        <v>-8.1520544935179124</v>
      </c>
      <c r="GH677" s="81">
        <f>(GH644+GH647+GH646)/(GH657)*100</f>
        <v>41.679848149319838</v>
      </c>
      <c r="GI677" s="61">
        <f t="shared" si="4048"/>
        <v>-6.8471062978547215</v>
      </c>
      <c r="GJ677" s="81">
        <f>(GJ644+GJ647+GJ646)/(GJ657)*100</f>
        <v>43.477920450986538</v>
      </c>
      <c r="GK677" s="61">
        <f t="shared" si="4048"/>
        <v>4.3140087632397961</v>
      </c>
      <c r="GL677" s="81">
        <f>(GL644+GL647+GL646)/(GL657)*100</f>
        <v>41.3956009913259</v>
      </c>
      <c r="GM677" s="61">
        <f t="shared" si="4048"/>
        <v>-4.7893722562192824</v>
      </c>
      <c r="GN677" s="81">
        <f>(GN644+GN647+GN646)/(GN657)*100</f>
        <v>34.728924212319043</v>
      </c>
      <c r="GO677" s="61">
        <f t="shared" si="4048"/>
        <v>-16.104795242382885</v>
      </c>
      <c r="GP677" s="81">
        <f>(GP644+GP647+GP646)/(GP657)*100</f>
        <v>36.026505592865625</v>
      </c>
      <c r="GQ677" s="61">
        <f t="shared" si="4048"/>
        <v>3.7363132028325419</v>
      </c>
      <c r="GR677" s="86">
        <f>(GR644+GR647+GR646)/(GR657)*100</f>
        <v>34.447808405698026</v>
      </c>
      <c r="GS677" s="61">
        <f t="shared" si="4048"/>
        <v>-4.3820436125790447</v>
      </c>
      <c r="GT677" s="86">
        <f>(GT644+GT647+GT646)/(GT657)*100</f>
        <v>32.823077284967908</v>
      </c>
      <c r="GU677" s="61">
        <f t="shared" si="4048"/>
        <v>-4.7165006887967103</v>
      </c>
      <c r="GV677" s="86">
        <f>(GV644+GV647+GV646)/(GV657)*100</f>
        <v>31.362904155883037</v>
      </c>
      <c r="GW677" s="61">
        <f t="shared" si="4048"/>
        <v>-4.4486174053935841</v>
      </c>
      <c r="GX677" s="86">
        <f>(GX644+GX647+GX646)/(GX657)*100</f>
        <v>29.943348922687164</v>
      </c>
      <c r="GY677" s="61">
        <f t="shared" si="4049"/>
        <v>-4.5262238029369239</v>
      </c>
      <c r="GZ677" s="61">
        <f t="shared" si="4057"/>
        <v>-2.9217792208850124</v>
      </c>
      <c r="HA677" s="61"/>
      <c r="HB677" s="452"/>
      <c r="HC677"/>
      <c r="HD677"/>
      <c r="HE677"/>
      <c r="HF677"/>
      <c r="HG677"/>
      <c r="HH677"/>
    </row>
    <row r="678" spans="1:216" s="5" customFormat="1" ht="12.75" customHeight="1" x14ac:dyDescent="0.2">
      <c r="A678" s="7"/>
      <c r="B678" s="7" t="s">
        <v>210</v>
      </c>
      <c r="C678" s="412">
        <f>C657/C635*100</f>
        <v>9.5270175438596496</v>
      </c>
      <c r="D678" s="70"/>
      <c r="E678" s="412">
        <f>E657/E635*100</f>
        <v>9.66107518189167</v>
      </c>
      <c r="F678" s="71"/>
      <c r="G678" s="412">
        <f>G657/G635*100</f>
        <v>9.9172461200856628</v>
      </c>
      <c r="H678" s="71"/>
      <c r="I678" s="412">
        <f>I657/I635*100</f>
        <v>10.031482221983158</v>
      </c>
      <c r="J678" s="61"/>
      <c r="K678" s="412">
        <f>K657/K635*100</f>
        <v>9.9859185135129671</v>
      </c>
      <c r="L678" s="61">
        <f t="shared" si="3981"/>
        <v>4.816837667619156</v>
      </c>
      <c r="M678" s="412">
        <f>M657/M635*100</f>
        <v>10.185350748148931</v>
      </c>
      <c r="N678" s="61">
        <f t="shared" si="3982"/>
        <v>5.4266792917618822</v>
      </c>
      <c r="O678" s="412">
        <f>O657/O635*100</f>
        <v>10.216469255105659</v>
      </c>
      <c r="P678" s="61">
        <f t="shared" si="3983"/>
        <v>3.017199849603136</v>
      </c>
      <c r="Q678" s="412">
        <f>Q657/Q635*100</f>
        <v>9.6355065615609679</v>
      </c>
      <c r="R678" s="61">
        <f t="shared" si="3984"/>
        <v>-3.947329533759647</v>
      </c>
      <c r="S678" s="412">
        <f>S657/S635*100</f>
        <v>9.7194784670090879</v>
      </c>
      <c r="T678" s="61">
        <f t="shared" si="3985"/>
        <v>-2.6681576275966234</v>
      </c>
      <c r="U678" s="412">
        <f>U657/U635*100</f>
        <v>9.2812740589211646</v>
      </c>
      <c r="V678" s="61">
        <f t="shared" si="3986"/>
        <v>-8.8762450266336899</v>
      </c>
      <c r="W678" s="412">
        <f>W657/W635*100</f>
        <v>8.3156164659755145</v>
      </c>
      <c r="X678" s="61">
        <f t="shared" si="3987"/>
        <v>-18.605770170357015</v>
      </c>
      <c r="Y678" s="412">
        <f>Y657/Y635*100</f>
        <v>8.1762897918286939</v>
      </c>
      <c r="Z678" s="61">
        <f t="shared" si="3988"/>
        <v>-15.144162482889524</v>
      </c>
      <c r="AA678" s="412">
        <f>AA657/AA635*100</f>
        <v>8.0588234258625207</v>
      </c>
      <c r="AB678" s="61">
        <f t="shared" si="3989"/>
        <v>-17.085845159113667</v>
      </c>
      <c r="AC678" s="412">
        <f>AC657/AC635*100</f>
        <v>8.0347583980079413</v>
      </c>
      <c r="AD678" s="61">
        <f t="shared" si="3990"/>
        <v>-13.430436952942593</v>
      </c>
      <c r="AE678" s="412">
        <f>AE657/AE635*100</f>
        <v>8.1527279287006476</v>
      </c>
      <c r="AF678" s="61">
        <f t="shared" si="3991"/>
        <v>-1.9588269605909314</v>
      </c>
      <c r="AG678" s="412">
        <f>AG657/AG635*100</f>
        <v>8.3334035848506272</v>
      </c>
      <c r="AH678" s="61">
        <f t="shared" si="3992"/>
        <v>1.9215780876425281</v>
      </c>
      <c r="AI678" s="412">
        <f>AI657/AI635*100</f>
        <v>8.3163959735893531</v>
      </c>
      <c r="AJ678" s="61">
        <f t="shared" si="3993"/>
        <v>3.1961557427877985</v>
      </c>
      <c r="AK678" s="412">
        <f>AK657/AK635*100</f>
        <v>8.4460203534362623</v>
      </c>
      <c r="AL678" s="61">
        <f t="shared" si="3994"/>
        <v>5.118535431386273</v>
      </c>
      <c r="AM678" s="412">
        <f>AM657/AM635*100</f>
        <v>8.5365079471150143</v>
      </c>
      <c r="AN678" s="61">
        <f t="shared" si="3995"/>
        <v>4.7073816490713183</v>
      </c>
      <c r="AO678" s="412">
        <f>AO657/AO635*100</f>
        <v>8.8715439913057637</v>
      </c>
      <c r="AP678" s="61">
        <f t="shared" si="3996"/>
        <v>6.4576304384612593</v>
      </c>
      <c r="AQ678" s="412">
        <f>AQ657/AQ635*100</f>
        <v>9.0308143849048594</v>
      </c>
      <c r="AR678" s="61">
        <f t="shared" si="4072"/>
        <v>8.5904809437201912</v>
      </c>
      <c r="AS678" s="412">
        <f>AS657/AS635*100</f>
        <v>9.0301651250833181</v>
      </c>
      <c r="AT678" s="61">
        <f t="shared" si="4073"/>
        <v>6.9162131655223558</v>
      </c>
      <c r="AU678" s="412">
        <f>AU657/AU635*100</f>
        <v>9.3886556280930815</v>
      </c>
      <c r="AV678" s="61">
        <f t="shared" si="4074"/>
        <v>9.9823919365770397</v>
      </c>
      <c r="AW678" s="412">
        <f>AW657/AW635*100</f>
        <v>9.7024024603728485</v>
      </c>
      <c r="AX678" s="61">
        <f t="shared" si="4075"/>
        <v>9.3654325547090522</v>
      </c>
      <c r="AY678" s="86">
        <f>AY657/AY635*100</f>
        <v>10.098883657300721</v>
      </c>
      <c r="AZ678" s="61">
        <f t="shared" si="4076"/>
        <v>11.826943029425507</v>
      </c>
      <c r="BA678" s="86">
        <f>BA657/BA635*100</f>
        <v>11.936297141671421</v>
      </c>
      <c r="BB678" s="61">
        <f t="shared" si="3867"/>
        <v>32.182490312559906</v>
      </c>
      <c r="BC678" s="86">
        <f>BC657/BC635*100</f>
        <v>11.936237956889924</v>
      </c>
      <c r="BD678" s="61">
        <f t="shared" si="3868"/>
        <v>27.134687112965072</v>
      </c>
      <c r="BE678" s="86">
        <f>BE657/BE635*100</f>
        <v>12.033389954292934</v>
      </c>
      <c r="BF678" s="61">
        <f t="shared" si="3869"/>
        <v>24.024848520152077</v>
      </c>
      <c r="BG678" s="86">
        <f>BG657/BG635*100</f>
        <v>11.780855866004172</v>
      </c>
      <c r="BH678" s="61">
        <f t="shared" si="3997"/>
        <v>16.655031048778479</v>
      </c>
      <c r="BI678" s="86">
        <f>BI657/BI635*100</f>
        <v>12.043617110167746</v>
      </c>
      <c r="BJ678" s="61">
        <f t="shared" si="3998"/>
        <v>0.8991060395242334</v>
      </c>
      <c r="BK678" s="86">
        <f>BK657/BK635*100</f>
        <v>11.870831311310182</v>
      </c>
      <c r="BL678" s="61">
        <f t="shared" si="3999"/>
        <v>-0.54796700447805602</v>
      </c>
      <c r="BM678" s="86">
        <f>BM657/BM635*100</f>
        <v>11.6048037766192</v>
      </c>
      <c r="BN678" s="61">
        <f t="shared" si="4000"/>
        <v>-3.5616412274650511</v>
      </c>
      <c r="BO678" s="86">
        <f>BO657/BO635*100</f>
        <v>11.298651649337707</v>
      </c>
      <c r="BP678" s="61">
        <f t="shared" si="4001"/>
        <v>-4.0931170209624117</v>
      </c>
      <c r="BQ678" s="86">
        <f>BQ657/BQ635*100</f>
        <v>11.329327084466916</v>
      </c>
      <c r="BR678" s="61">
        <f t="shared" si="4002"/>
        <v>-5.9308596343352278</v>
      </c>
      <c r="BS678" s="86">
        <f>BS657/BS635*100</f>
        <v>11.297949659475258</v>
      </c>
      <c r="BT678" s="61">
        <f t="shared" si="4003"/>
        <v>-4.825960683049213</v>
      </c>
      <c r="BU678" s="86">
        <f>BU657/BU635*100</f>
        <v>10.237050444083806</v>
      </c>
      <c r="BV678" s="61">
        <f t="shared" si="4004"/>
        <v>-11.786096162100367</v>
      </c>
      <c r="BW678" s="86">
        <f>BW657/BW635*100</f>
        <v>10.006461611710579</v>
      </c>
      <c r="BX678" s="61">
        <f t="shared" si="3870"/>
        <v>-11.436674726606622</v>
      </c>
      <c r="BY678" s="86">
        <f>BY657/BY635*100</f>
        <v>10.014684997060213</v>
      </c>
      <c r="BZ678" s="61">
        <f t="shared" si="3871"/>
        <v>-11.603885011044868</v>
      </c>
      <c r="CA678" s="86">
        <f>CA657/CA635*100</f>
        <v>9.9246224401468837</v>
      </c>
      <c r="CB678" s="61">
        <f t="shared" si="3872"/>
        <v>-12.1555437997248</v>
      </c>
      <c r="CC678" s="86">
        <f>CC657/CC635*100</f>
        <v>10.705833123789526</v>
      </c>
      <c r="CD678" s="61">
        <f t="shared" si="3873"/>
        <v>4.5792748826068319</v>
      </c>
      <c r="CE678" s="86">
        <f>CE657/CE635*100</f>
        <v>10.72847745256936</v>
      </c>
      <c r="CF678" s="61">
        <f t="shared" si="4005"/>
        <v>7.2154960352199149</v>
      </c>
      <c r="CG678" s="86">
        <f>CG657/CG635*100</f>
        <v>10.797684852322117</v>
      </c>
      <c r="CH678" s="61">
        <f t="shared" si="4006"/>
        <v>7.8185170626110745</v>
      </c>
      <c r="CI678" s="86">
        <f>CI657/CI635*100</f>
        <v>10.789395633848422</v>
      </c>
      <c r="CJ678" s="61">
        <f t="shared" si="4007"/>
        <v>8.7134115067528874</v>
      </c>
      <c r="CK678" s="86">
        <f>CK657/CK635*100</f>
        <v>11.118631501974718</v>
      </c>
      <c r="CL678" s="61">
        <f t="shared" si="4008"/>
        <v>3.8558267573581828</v>
      </c>
      <c r="CM678" s="86">
        <f>CM657/CM635*100</f>
        <v>10.392599185739479</v>
      </c>
      <c r="CN678" s="61">
        <f t="shared" si="4009"/>
        <v>-3.1307169942314639</v>
      </c>
      <c r="CO678" s="86">
        <f>CO657/CO635*100</f>
        <v>10.309409667789716</v>
      </c>
      <c r="CP678" s="61">
        <f t="shared" si="4010"/>
        <v>-4.5220358920495363</v>
      </c>
      <c r="CQ678" s="86">
        <f>CQ657/CQ635*100</f>
        <v>9.8065792334014379</v>
      </c>
      <c r="CR678" s="61">
        <f t="shared" si="4011"/>
        <v>-9.1090959475403679</v>
      </c>
      <c r="CS678" s="86">
        <f>CS657/CS635*100</f>
        <v>9.0354185633155595</v>
      </c>
      <c r="CT678" s="61">
        <f t="shared" si="4012"/>
        <v>-18.736235104915298</v>
      </c>
      <c r="CU678" s="86">
        <f>CU657/CU635*100</f>
        <v>9.183959127970045</v>
      </c>
      <c r="CV678" s="61">
        <f t="shared" si="4013"/>
        <v>-11.629814988226494</v>
      </c>
      <c r="CW678" s="86">
        <f>CW657/CW635*100</f>
        <v>8.9661205127342463</v>
      </c>
      <c r="CX678" s="61">
        <f t="shared" si="4014"/>
        <v>-13.029738834148629</v>
      </c>
      <c r="CY678" s="86">
        <f>CY657/CY635*100</f>
        <v>9.2980285128239899</v>
      </c>
      <c r="CZ678" s="61">
        <f t="shared" si="4015"/>
        <v>-5.1858115707188901</v>
      </c>
      <c r="DA678" s="86">
        <f>DA657/DA635*100</f>
        <v>9.3284205601229875</v>
      </c>
      <c r="DB678" s="61">
        <f t="shared" si="4016"/>
        <v>3.2428159775246712</v>
      </c>
      <c r="DC678" s="86">
        <f>DC657/DC635*100</f>
        <v>9.4485485032748713</v>
      </c>
      <c r="DD678" s="61">
        <f t="shared" si="4017"/>
        <v>2.8809946954033272</v>
      </c>
      <c r="DE678" s="86">
        <f>DE657/DE635*100</f>
        <v>9.6287243457372824</v>
      </c>
      <c r="DF678" s="61">
        <f t="shared" si="4018"/>
        <v>7.3900839506001015</v>
      </c>
      <c r="DG678" s="86">
        <f>DG657/DG635*100</f>
        <v>9.7973029848987352</v>
      </c>
      <c r="DH678" s="61">
        <f t="shared" si="4019"/>
        <v>5.3696810177140009</v>
      </c>
      <c r="DI678" s="86">
        <f>DI657/DI635*100</f>
        <v>10.055223388331205</v>
      </c>
      <c r="DJ678" s="61">
        <f t="shared" si="4020"/>
        <v>7.7912742411630154</v>
      </c>
      <c r="DK678" s="86">
        <f>DK657/DK635*100</f>
        <v>9.9836551146216195</v>
      </c>
      <c r="DL678" s="61">
        <f t="shared" si="4021"/>
        <v>5.6633737040274523</v>
      </c>
      <c r="DM678" s="86">
        <f>DM657/DM635*100</f>
        <v>10.061839414619724</v>
      </c>
      <c r="DN678" s="130">
        <f t="shared" si="4022"/>
        <v>4.4981562804234265</v>
      </c>
      <c r="DO678" s="86">
        <f>DO657/DO635*100</f>
        <v>10.221312210919592</v>
      </c>
      <c r="DP678" s="130">
        <f t="shared" si="4022"/>
        <v>4.3278157945550122</v>
      </c>
      <c r="DQ678" s="86">
        <f>DQ657/DQ635*100</f>
        <v>10.113905420106226</v>
      </c>
      <c r="DR678" s="130">
        <f t="shared" si="4022"/>
        <v>0.58359749464262922</v>
      </c>
      <c r="DS678" s="86">
        <f>DS657/DS635*100</f>
        <v>9.8998204328513371</v>
      </c>
      <c r="DT678" s="130">
        <f t="shared" si="4022"/>
        <v>-0.83971932932159765</v>
      </c>
      <c r="DU678" s="86">
        <f>DU657/DU635*100</f>
        <v>10.190874154089533</v>
      </c>
      <c r="DV678" s="130">
        <f t="shared" si="4022"/>
        <v>1.2824170030215631</v>
      </c>
      <c r="DW678" s="86">
        <f>DW657/DW635*100</f>
        <v>9.9855758677996924</v>
      </c>
      <c r="DX678" s="86">
        <f t="shared" ref="DX678:DY678" si="4097">DX657/DX635*100</f>
        <v>9.9832280514757752</v>
      </c>
      <c r="DY678" s="86">
        <f t="shared" si="4097"/>
        <v>10.021656570729103</v>
      </c>
      <c r="DZ678" s="130">
        <f t="shared" si="4022"/>
        <v>-0.91209918963385261</v>
      </c>
      <c r="EA678" s="86">
        <f t="shared" ref="EA678:EC678" si="4098">EA657/EA635*100</f>
        <v>9.7688841811162028</v>
      </c>
      <c r="EB678" s="130">
        <f t="shared" si="4025"/>
        <v>-1.3226123910352827</v>
      </c>
      <c r="EC678" s="86">
        <f t="shared" si="4098"/>
        <v>9.4399109792284879</v>
      </c>
      <c r="ED678" s="130">
        <f t="shared" si="4026"/>
        <v>-7.3689770230327962</v>
      </c>
      <c r="EE678" s="86">
        <f t="shared" ref="EE678:EG678" si="4099">EE657/EE635*100</f>
        <v>9.6156274371448731</v>
      </c>
      <c r="EF678" s="130">
        <f t="shared" si="4028"/>
        <v>-3.7048281997214105</v>
      </c>
      <c r="EG678" s="86">
        <f t="shared" si="4099"/>
        <v>9.8067808968282897</v>
      </c>
      <c r="EH678" s="130">
        <f t="shared" si="4029"/>
        <v>-2.1441133248211175</v>
      </c>
      <c r="EI678" s="86">
        <f t="shared" ref="EI678:EK678" si="4100">EI657/EI635*100</f>
        <v>9.8942433082321362</v>
      </c>
      <c r="EJ678" s="130">
        <f t="shared" si="4031"/>
        <v>1.2832491898947751</v>
      </c>
      <c r="EK678" s="86">
        <f t="shared" si="4100"/>
        <v>9.9800924013071413</v>
      </c>
      <c r="EL678" s="130">
        <f t="shared" si="4032"/>
        <v>5.7223147894854609</v>
      </c>
      <c r="EM678" s="86">
        <f t="shared" ref="EM678" si="4101">EM657/EM635*100</f>
        <v>10.017570767008651</v>
      </c>
      <c r="EN678" s="130">
        <f t="shared" si="4034"/>
        <v>4.1801050684543428</v>
      </c>
      <c r="EO678" s="86">
        <f t="shared" ref="EO678" si="4102">EO657/EO635*100</f>
        <v>10.491832571437081</v>
      </c>
      <c r="EP678" s="130">
        <f t="shared" si="4036"/>
        <v>6.9854897526093529</v>
      </c>
      <c r="EQ678" s="86">
        <f t="shared" ref="EQ678:EW678" si="4103">EQ657/EQ635*100</f>
        <v>10.60269099781233</v>
      </c>
      <c r="ER678" s="130">
        <f t="shared" si="4038"/>
        <v>7.1602008108164972</v>
      </c>
      <c r="ES678" s="86">
        <f t="shared" si="4103"/>
        <v>10.731113149755881</v>
      </c>
      <c r="ET678" s="130">
        <f t="shared" si="4039"/>
        <v>7.5251883274184417</v>
      </c>
      <c r="EU678" s="86">
        <f t="shared" si="4103"/>
        <v>10.793902387897827</v>
      </c>
      <c r="EV678" s="130">
        <f t="shared" si="4040"/>
        <v>7.7496993926502222</v>
      </c>
      <c r="EW678" s="86">
        <f t="shared" si="4103"/>
        <v>10.865271681046057</v>
      </c>
      <c r="EX678" s="130">
        <f t="shared" si="4041"/>
        <v>3.559331575931024</v>
      </c>
      <c r="EY678" s="413"/>
      <c r="EZ678" s="558"/>
      <c r="FA678" s="413"/>
      <c r="FB678" s="86">
        <f>FB657/FB635*100</f>
        <v>9.6953675999942668</v>
      </c>
      <c r="FC678" s="86"/>
      <c r="FD678" s="86">
        <f>FD657/FD635*100</f>
        <v>9.4597297448657134</v>
      </c>
      <c r="FE678" s="87">
        <f t="shared" si="4084"/>
        <v>-2.4304169253849928</v>
      </c>
      <c r="FF678" s="86">
        <f>FF657/FF635*100</f>
        <v>10.031482221983158</v>
      </c>
      <c r="FG678" s="87">
        <f t="shared" si="4085"/>
        <v>6.0440677750626337</v>
      </c>
      <c r="FH678" s="86">
        <f>FH657/FH635*100</f>
        <v>9.6355065615609679</v>
      </c>
      <c r="FI678" s="87">
        <f t="shared" si="4086"/>
        <v>-3.947329533759647</v>
      </c>
      <c r="FJ678" s="86">
        <f>FJ657/FJ635*100</f>
        <v>8.1762897918286939</v>
      </c>
      <c r="FK678" s="87">
        <f t="shared" si="4087"/>
        <v>-15.144162482889524</v>
      </c>
      <c r="FL678" s="86">
        <f>FL657/FL635*100</f>
        <v>8.3334035848506272</v>
      </c>
      <c r="FM678" s="87">
        <f t="shared" si="4088"/>
        <v>1.9215780876425281</v>
      </c>
      <c r="FN678" s="86">
        <f>FN657/FN635*100</f>
        <v>8.8715439913057637</v>
      </c>
      <c r="FO678" s="87">
        <f t="shared" si="4089"/>
        <v>6.4576304384612593</v>
      </c>
      <c r="FP678" s="176">
        <f>FP657/FP635*100</f>
        <v>9.7024024603728485</v>
      </c>
      <c r="FQ678" s="61">
        <f t="shared" si="3844"/>
        <v>0.6942644725991709</v>
      </c>
      <c r="FR678" s="176">
        <f>FR657/FR635*100</f>
        <v>12.033389954292934</v>
      </c>
      <c r="FS678" s="61">
        <f t="shared" si="4042"/>
        <v>24.024848520152077</v>
      </c>
      <c r="FT678" s="176">
        <f>FT657/FT635*100</f>
        <v>11.6048037766192</v>
      </c>
      <c r="FU678" s="61">
        <f t="shared" si="4043"/>
        <v>-3.5616412274650511</v>
      </c>
      <c r="FV678" s="176">
        <f>FV657/FV635*100</f>
        <v>10.237050444083806</v>
      </c>
      <c r="FW678" s="61">
        <f t="shared" si="4044"/>
        <v>-11.786096162100367</v>
      </c>
      <c r="FX678" s="88">
        <f>FX657/FX635*100</f>
        <v>10.705833123789526</v>
      </c>
      <c r="FY678" s="61">
        <f t="shared" si="4045"/>
        <v>4.5792748826068319</v>
      </c>
      <c r="FZ678" s="88">
        <f>FZ657/FZ635*100</f>
        <v>11.118631501974718</v>
      </c>
      <c r="GA678" s="61">
        <f t="shared" si="4046"/>
        <v>3.8558267573581828</v>
      </c>
      <c r="GB678" s="88">
        <f>GB657/GB635*100</f>
        <v>9.0354185633155595</v>
      </c>
      <c r="GC678" s="61">
        <f t="shared" si="4047"/>
        <v>-18.736235104915298</v>
      </c>
      <c r="GD678" s="88">
        <f>GD657/GD635*100</f>
        <v>9.3284205601229875</v>
      </c>
      <c r="GE678" s="61">
        <f t="shared" si="4048"/>
        <v>3.2428159775246712</v>
      </c>
      <c r="GF678" s="88">
        <f>GF657/GF635*100</f>
        <v>10.055223388331205</v>
      </c>
      <c r="GG678" s="61">
        <f t="shared" si="4048"/>
        <v>7.7912742411630154</v>
      </c>
      <c r="GH678" s="88">
        <f>GH657/GH635*100</f>
        <v>10.113905420106226</v>
      </c>
      <c r="GI678" s="61">
        <f t="shared" si="4048"/>
        <v>0.58359749464262922</v>
      </c>
      <c r="GJ678" s="88">
        <f>GJ657/GJ635*100</f>
        <v>10.021656570729103</v>
      </c>
      <c r="GK678" s="61">
        <f t="shared" si="4048"/>
        <v>-0.91209918963385261</v>
      </c>
      <c r="GL678" s="88">
        <f>GL657/GL635*100</f>
        <v>9.8067808968282897</v>
      </c>
      <c r="GM678" s="61">
        <f t="shared" si="4048"/>
        <v>-2.1441133248211175</v>
      </c>
      <c r="GN678" s="88">
        <f>GN657/GN635*100</f>
        <v>10.491832571437081</v>
      </c>
      <c r="GO678" s="61">
        <f t="shared" si="4048"/>
        <v>6.9854897526093529</v>
      </c>
      <c r="GP678" s="88">
        <f>GP657/GP635*100</f>
        <v>10.865271681046057</v>
      </c>
      <c r="GQ678" s="61">
        <f t="shared" si="4048"/>
        <v>3.559331575931024</v>
      </c>
      <c r="GR678" s="86">
        <f>GR657/GR635*100</f>
        <v>11.136221877840475</v>
      </c>
      <c r="GS678" s="61">
        <f t="shared" si="4048"/>
        <v>2.4937268459386708</v>
      </c>
      <c r="GT678" s="86">
        <f>GT657/GT635*100</f>
        <v>11.460591167672762</v>
      </c>
      <c r="GU678" s="61">
        <f t="shared" si="4048"/>
        <v>2.9127409043253394</v>
      </c>
      <c r="GV678" s="86">
        <f>GV657/GV635*100</f>
        <v>11.768864473522097</v>
      </c>
      <c r="GW678" s="61">
        <f t="shared" si="4048"/>
        <v>2.6898551858205222</v>
      </c>
      <c r="GX678" s="86">
        <f>GX657/GX635*100</f>
        <v>12.103816170593619</v>
      </c>
      <c r="GY678" s="61">
        <f t="shared" si="4049"/>
        <v>2.8460833908412031</v>
      </c>
      <c r="GZ678" s="61">
        <f t="shared" si="4057"/>
        <v>2.8997201222032531</v>
      </c>
      <c r="HA678" s="61"/>
      <c r="HB678" s="452"/>
      <c r="HC678"/>
      <c r="HD678"/>
      <c r="HE678"/>
      <c r="HF678"/>
      <c r="HG678"/>
      <c r="HH678"/>
    </row>
    <row r="679" spans="1:216" s="5" customFormat="1" ht="12.75" customHeight="1" x14ac:dyDescent="0.2">
      <c r="B679" s="7" t="s">
        <v>211</v>
      </c>
      <c r="C679" s="412">
        <f>C657/C634*100</f>
        <v>4.4497886359762733</v>
      </c>
      <c r="D679" s="70"/>
      <c r="E679" s="412">
        <f>E657/E634*100</f>
        <v>4.5786472191731749</v>
      </c>
      <c r="F679" s="71"/>
      <c r="G679" s="412">
        <f>G657/G634*100</f>
        <v>4.7077257561246872</v>
      </c>
      <c r="H679" s="71"/>
      <c r="I679" s="412">
        <f>I657/I634*100</f>
        <v>4.9497324874957185</v>
      </c>
      <c r="J679" s="61"/>
      <c r="K679" s="412">
        <f>K657/K634*100</f>
        <v>5.2545010901410372</v>
      </c>
      <c r="L679" s="61">
        <f t="shared" si="3981"/>
        <v>18.084284895213052</v>
      </c>
      <c r="M679" s="412">
        <f>M657/M634*100</f>
        <v>5.202324736650926</v>
      </c>
      <c r="N679" s="61">
        <f t="shared" si="3982"/>
        <v>13.621436368062811</v>
      </c>
      <c r="O679" s="412">
        <f>O657/O634*100</f>
        <v>5.7327800387069088</v>
      </c>
      <c r="P679" s="61">
        <f t="shared" si="3983"/>
        <v>21.773874173716258</v>
      </c>
      <c r="Q679" s="412">
        <f>Q657/Q634*100</f>
        <v>5.2205133131725452</v>
      </c>
      <c r="R679" s="61">
        <f t="shared" si="3984"/>
        <v>5.470615358726727</v>
      </c>
      <c r="S679" s="412">
        <f>S657/S634*100</f>
        <v>5.2562705363003071</v>
      </c>
      <c r="T679" s="61">
        <f t="shared" si="3985"/>
        <v>3.3674865204424975E-2</v>
      </c>
      <c r="U679" s="412">
        <f>U657/U634*100</f>
        <v>5.3060104387108353</v>
      </c>
      <c r="V679" s="61">
        <f t="shared" si="3986"/>
        <v>1.99306477985568</v>
      </c>
      <c r="W679" s="412">
        <f>W657/W634*100</f>
        <v>5.1543930005679623</v>
      </c>
      <c r="X679" s="61">
        <f t="shared" si="3987"/>
        <v>-10.089119663300528</v>
      </c>
      <c r="Y679" s="412">
        <f>Y657/Y634*100</f>
        <v>4.9738219895287958</v>
      </c>
      <c r="Z679" s="61">
        <f t="shared" si="3988"/>
        <v>-4.725422747630792</v>
      </c>
      <c r="AA679" s="412">
        <f>AA657/AA634*100</f>
        <v>4.9987715993776103</v>
      </c>
      <c r="AB679" s="61">
        <f t="shared" si="3989"/>
        <v>-4.8988904803203059</v>
      </c>
      <c r="AC679" s="412">
        <f>AC657/AC634*100</f>
        <v>4.7737641619671791</v>
      </c>
      <c r="AD679" s="61">
        <f t="shared" si="3990"/>
        <v>-10.031006966374767</v>
      </c>
      <c r="AE679" s="412">
        <f>AE657/AE634*100</f>
        <v>4.7884882766699892</v>
      </c>
      <c r="AF679" s="61">
        <f t="shared" si="3991"/>
        <v>-7.098890671659186</v>
      </c>
      <c r="AG679" s="412">
        <f>AG657/AG634*100</f>
        <v>4.6682956177940405</v>
      </c>
      <c r="AH679" s="61">
        <f t="shared" si="3992"/>
        <v>-6.1426881054040265</v>
      </c>
      <c r="AI679" s="412">
        <f>AI657/AI634*100</f>
        <v>4.6023842414186991</v>
      </c>
      <c r="AJ679" s="61">
        <f t="shared" si="3993"/>
        <v>-7.9296953277134037</v>
      </c>
      <c r="AK679" s="412">
        <f>AK657/AK634*100</f>
        <v>4.6163205069535191</v>
      </c>
      <c r="AL679" s="61">
        <f t="shared" si="3994"/>
        <v>-3.298102915682799</v>
      </c>
      <c r="AM679" s="412">
        <f>AM657/AM634*100</f>
        <v>4.6657979968242111</v>
      </c>
      <c r="AN679" s="61">
        <f t="shared" si="3995"/>
        <v>-2.5621923403997382</v>
      </c>
      <c r="AO679" s="412">
        <f>AO657/AO634*100</f>
        <v>4.6269621710070163</v>
      </c>
      <c r="AP679" s="61">
        <f t="shared" si="3996"/>
        <v>-0.88540765562219459</v>
      </c>
      <c r="AQ679" s="412">
        <f>AQ657/AQ634*100</f>
        <v>4.7099383560697161</v>
      </c>
      <c r="AR679" s="61">
        <f t="shared" si="4072"/>
        <v>2.3369216694923978</v>
      </c>
      <c r="AS679" s="412">
        <f>AS657/AS634*100</f>
        <v>4.6553828393061787</v>
      </c>
      <c r="AT679" s="61">
        <f t="shared" si="4073"/>
        <v>0.8461789490963767</v>
      </c>
      <c r="AU679" s="412">
        <f>AU657/AU634*100</f>
        <v>4.6931425756400689</v>
      </c>
      <c r="AV679" s="61">
        <f t="shared" si="4074"/>
        <v>0.58606435243166999</v>
      </c>
      <c r="AW679" s="412">
        <f>AW657/AW634*100</f>
        <v>4.7287739926678061</v>
      </c>
      <c r="AX679" s="61">
        <f t="shared" si="4075"/>
        <v>2.2004031564976323</v>
      </c>
      <c r="AY679" s="86">
        <f>AY657/AY634*100</f>
        <v>4.7441594926086008</v>
      </c>
      <c r="AZ679" s="61">
        <f t="shared" si="4076"/>
        <v>0.72657291777042943</v>
      </c>
      <c r="BA679" s="86">
        <f>BA657/BA634*100</f>
        <v>6.8693575352280867</v>
      </c>
      <c r="BB679" s="61">
        <f t="shared" si="3867"/>
        <v>47.55730672091989</v>
      </c>
      <c r="BC679" s="86">
        <f>BC657/BC634*100</f>
        <v>6.7534566705946792</v>
      </c>
      <c r="BD679" s="61">
        <f t="shared" si="3868"/>
        <v>43.900522128791629</v>
      </c>
      <c r="BE679" s="86">
        <f>BE657/BE634*100</f>
        <v>6.5897819452534794</v>
      </c>
      <c r="BF679" s="61">
        <f t="shared" si="3869"/>
        <v>39.354977748381636</v>
      </c>
      <c r="BG679" s="86">
        <f>BG657/BG634*100</f>
        <v>6.3629469967361425</v>
      </c>
      <c r="BH679" s="61">
        <f t="shared" si="3997"/>
        <v>34.121692296593565</v>
      </c>
      <c r="BI679" s="86">
        <f>BI657/BI634*100</f>
        <v>6.2990518725384126</v>
      </c>
      <c r="BJ679" s="61">
        <f t="shared" si="3998"/>
        <v>-8.3021688675393399</v>
      </c>
      <c r="BK679" s="86">
        <f>BK657/BK634*100</f>
        <v>6.1274867201333194</v>
      </c>
      <c r="BL679" s="61">
        <f t="shared" si="3999"/>
        <v>-9.2688823071436115</v>
      </c>
      <c r="BM679" s="86">
        <f>BM657/BM634*100</f>
        <v>6.0790870812867031</v>
      </c>
      <c r="BN679" s="61">
        <f t="shared" si="4000"/>
        <v>-7.7497991315876869</v>
      </c>
      <c r="BO679" s="86">
        <f>BO657/BO634*100</f>
        <v>6.1442046114926994</v>
      </c>
      <c r="BP679" s="61">
        <f t="shared" si="4001"/>
        <v>-3.4377527481471493</v>
      </c>
      <c r="BQ679" s="86">
        <f>BQ657/BQ634*100</f>
        <v>6.1083962083208396</v>
      </c>
      <c r="BR679" s="61">
        <f t="shared" si="4002"/>
        <v>-3.0267358973302461</v>
      </c>
      <c r="BS679" s="86">
        <f>BS657/BS634*100</f>
        <v>6.4600956128877494</v>
      </c>
      <c r="BT679" s="61">
        <f t="shared" si="4003"/>
        <v>5.4281454688684061</v>
      </c>
      <c r="BU679" s="86">
        <f>BU657/BU634*100</f>
        <v>6.4965321656774506</v>
      </c>
      <c r="BV679" s="61">
        <f t="shared" si="4004"/>
        <v>6.8669041717756008</v>
      </c>
      <c r="BW679" s="86">
        <f>BW657/BW634*100</f>
        <v>6.420244136606776</v>
      </c>
      <c r="BX679" s="61">
        <f t="shared" si="3870"/>
        <v>4.492681194206094</v>
      </c>
      <c r="BY679" s="86">
        <f>BY657/BY634*100</f>
        <v>6.3892059225442335</v>
      </c>
      <c r="BZ679" s="61">
        <f t="shared" si="3871"/>
        <v>4.5971103485539455</v>
      </c>
      <c r="CA679" s="86">
        <f>CA657/CA634*100</f>
        <v>6.0952885159364518</v>
      </c>
      <c r="CB679" s="61">
        <f t="shared" si="3872"/>
        <v>-5.6470851023244233</v>
      </c>
      <c r="CC679" s="86">
        <f>CC657/CC634*100</f>
        <v>6.2775648345167303</v>
      </c>
      <c r="CD679" s="61">
        <f t="shared" si="3873"/>
        <v>-3.3705263912579553</v>
      </c>
      <c r="CE679" s="86">
        <f>CE657/CE634*100</f>
        <v>6.2062373979148386</v>
      </c>
      <c r="CF679" s="61">
        <f t="shared" si="4005"/>
        <v>-3.3333115398481383</v>
      </c>
      <c r="CG679" s="86">
        <f>CG657/CG634*100</f>
        <v>6.5287731442468786</v>
      </c>
      <c r="CH679" s="61">
        <f t="shared" si="4006"/>
        <v>2.1844220298203876</v>
      </c>
      <c r="CI679" s="86">
        <f>CI657/CI634*100</f>
        <v>6.2996879706654294</v>
      </c>
      <c r="CJ679" s="61">
        <f t="shared" si="4007"/>
        <v>3.3534008143267346</v>
      </c>
      <c r="CK679" s="86">
        <f>CK657/CK634*100</f>
        <v>6.2450537612132013</v>
      </c>
      <c r="CL679" s="61">
        <f t="shared" si="4008"/>
        <v>-0.51789307096868908</v>
      </c>
      <c r="CM679" s="86">
        <f>CM657/CM634*100</f>
        <v>5.7108446160341915</v>
      </c>
      <c r="CN679" s="61">
        <f t="shared" si="4009"/>
        <v>-7.982175835669592</v>
      </c>
      <c r="CO679" s="86">
        <f>CO657/CO634*100</f>
        <v>5.7009915227247232</v>
      </c>
      <c r="CP679" s="61">
        <f t="shared" si="4010"/>
        <v>-12.678976635167549</v>
      </c>
      <c r="CQ679" s="86">
        <f>CQ657/CQ634*100</f>
        <v>5.8469083884520074</v>
      </c>
      <c r="CR679" s="61">
        <f t="shared" si="4011"/>
        <v>-7.1873334730512939</v>
      </c>
      <c r="CS679" s="86">
        <f>CS657/CS634*100</f>
        <v>5.2416353137637568</v>
      </c>
      <c r="CT679" s="61">
        <f t="shared" si="4012"/>
        <v>-16.067410879334275</v>
      </c>
      <c r="CU679" s="86">
        <f>CU657/CU634*100</f>
        <v>5.1111024557440254</v>
      </c>
      <c r="CV679" s="61">
        <f t="shared" si="4013"/>
        <v>-10.501811914235692</v>
      </c>
      <c r="CW679" s="86">
        <f>CW657/CW634*100</f>
        <v>5.1316365877023653</v>
      </c>
      <c r="CX679" s="61">
        <f t="shared" si="4014"/>
        <v>-9.9869458278064815</v>
      </c>
      <c r="CY679" s="86">
        <f>CY657/CY634*100</f>
        <v>5.1914740568270012</v>
      </c>
      <c r="CZ679" s="61">
        <f t="shared" si="4015"/>
        <v>-11.209929899355497</v>
      </c>
      <c r="DA679" s="86">
        <f>DA657/DA634*100</f>
        <v>5.1915503043322593</v>
      </c>
      <c r="DB679" s="61">
        <f t="shared" si="4016"/>
        <v>-0.95552258853227601</v>
      </c>
      <c r="DC679" s="86">
        <f>DC657/DC634*100</f>
        <v>5.1100742888204387</v>
      </c>
      <c r="DD679" s="61">
        <f t="shared" si="4017"/>
        <v>-2.0116343440368389E-2</v>
      </c>
      <c r="DE679" s="86">
        <f>DE657/DE634*100</f>
        <v>5.1592391206170856</v>
      </c>
      <c r="DF679" s="61">
        <f t="shared" si="4018"/>
        <v>0.53788947137971554</v>
      </c>
      <c r="DG679" s="86">
        <f>DG657/DG634*100</f>
        <v>5.1009317450717431</v>
      </c>
      <c r="DH679" s="61">
        <f t="shared" si="4019"/>
        <v>-1.7440578680382957</v>
      </c>
      <c r="DI679" s="86">
        <f>DI657/DI634*100</f>
        <v>5.0513633158015478</v>
      </c>
      <c r="DJ679" s="61">
        <f t="shared" si="4020"/>
        <v>-2.7002914411467405</v>
      </c>
      <c r="DK679" s="86">
        <f>DK657/DK634*100</f>
        <v>5.0243220108979312</v>
      </c>
      <c r="DL679" s="61">
        <f t="shared" si="4021"/>
        <v>-1.6781023733864697</v>
      </c>
      <c r="DM679" s="86">
        <f>DM657/DM634*100</f>
        <v>4.9819864512089005</v>
      </c>
      <c r="DN679" s="130">
        <f t="shared" si="4022"/>
        <v>-3.4356358614947125</v>
      </c>
      <c r="DO679" s="86">
        <f>DO657/DO634*100</f>
        <v>5.1033707499063228</v>
      </c>
      <c r="DP679" s="130">
        <f t="shared" si="4022"/>
        <v>4.7814888660990817E-2</v>
      </c>
      <c r="DQ679" s="86">
        <f>DQ657/DQ634*100</f>
        <v>5.0519216400765536</v>
      </c>
      <c r="DR679" s="130">
        <f t="shared" si="4022"/>
        <v>1.1052942346467809E-2</v>
      </c>
      <c r="DS679" s="86">
        <f>DS657/DS634*100</f>
        <v>4.9332810047095759</v>
      </c>
      <c r="DT679" s="130">
        <f t="shared" si="4022"/>
        <v>-1.8120057988099569</v>
      </c>
      <c r="DU679" s="86">
        <f>DU657/DU634*100</f>
        <v>5.0367240562312432</v>
      </c>
      <c r="DV679" s="130">
        <f t="shared" si="4022"/>
        <v>1.0987104352534027</v>
      </c>
      <c r="DW679" s="86">
        <f>DW657/DW634*100</f>
        <v>5.1396269352281116</v>
      </c>
      <c r="DX679" s="86">
        <f t="shared" ref="DX679:DY679" si="4104">DX657/DX634*100</f>
        <v>5.1390048775764621</v>
      </c>
      <c r="DY679" s="86">
        <f t="shared" si="4104"/>
        <v>5.0871693558987188</v>
      </c>
      <c r="DZ679" s="130">
        <f t="shared" si="4022"/>
        <v>0.69770907653332603</v>
      </c>
      <c r="EA679" s="86">
        <f t="shared" ref="EA679:EC679" si="4105">EA657/EA634*100</f>
        <v>5.0148352752505048</v>
      </c>
      <c r="EB679" s="130">
        <f t="shared" si="4025"/>
        <v>1.6531446407182626</v>
      </c>
      <c r="EC679" s="86">
        <f t="shared" si="4105"/>
        <v>4.8973763917593223</v>
      </c>
      <c r="ED679" s="130">
        <f t="shared" si="4026"/>
        <v>-2.7666328930512907</v>
      </c>
      <c r="EE679" s="86">
        <f t="shared" ref="EE679:EG679" si="4106">EE657/EE634*100</f>
        <v>4.9181697995653959</v>
      </c>
      <c r="EF679" s="130">
        <f t="shared" si="4028"/>
        <v>-4.308817321833236</v>
      </c>
      <c r="EG679" s="86">
        <f t="shared" si="4106"/>
        <v>4.9649889833539049</v>
      </c>
      <c r="EH679" s="130">
        <f t="shared" si="4029"/>
        <v>-2.4017358966660352</v>
      </c>
      <c r="EI679" s="86">
        <f t="shared" ref="EI679:EK679" si="4107">EI657/EI634*100</f>
        <v>4.9416273562707769</v>
      </c>
      <c r="EJ679" s="130">
        <f t="shared" si="4031"/>
        <v>-1.4598269925440555</v>
      </c>
      <c r="EK679" s="86">
        <f t="shared" si="4107"/>
        <v>4.939763516025879</v>
      </c>
      <c r="EL679" s="130">
        <f t="shared" si="4032"/>
        <v>0.86550677088819139</v>
      </c>
      <c r="EM679" s="86">
        <f t="shared" ref="EM679" si="4108">EM657/EM634*100</f>
        <v>4.9119105159787679</v>
      </c>
      <c r="EN679" s="130">
        <f t="shared" si="4034"/>
        <v>-0.12726855398894621</v>
      </c>
      <c r="EO679" s="86">
        <f t="shared" ref="EO679" si="4109">EO657/EO634*100</f>
        <v>5.0593645995268064</v>
      </c>
      <c r="EP679" s="130">
        <f t="shared" si="4036"/>
        <v>1.9008222674675501</v>
      </c>
      <c r="EQ679" s="86">
        <f t="shared" ref="EQ679:EW679" si="4110">EQ657/EQ634*100</f>
        <v>5.0867242973055911</v>
      </c>
      <c r="ER679" s="130">
        <f t="shared" si="4038"/>
        <v>2.9362177795679179</v>
      </c>
      <c r="ES679" s="86">
        <f t="shared" si="4110"/>
        <v>5.1217814058857067</v>
      </c>
      <c r="ET679" s="130">
        <f t="shared" si="4039"/>
        <v>3.6847490627701873</v>
      </c>
      <c r="EU679" s="86">
        <f t="shared" si="4110"/>
        <v>5.1248985164865193</v>
      </c>
      <c r="EV679" s="130">
        <f t="shared" si="4040"/>
        <v>4.3361539224887613</v>
      </c>
      <c r="EW679" s="86">
        <f t="shared" si="4110"/>
        <v>5.1316127901251143</v>
      </c>
      <c r="EX679" s="130">
        <f t="shared" si="4041"/>
        <v>1.4280091734259592</v>
      </c>
      <c r="EY679" s="413"/>
      <c r="EZ679" s="558"/>
      <c r="FA679" s="413"/>
      <c r="FB679" s="86">
        <f>FB657/FB634*100</f>
        <v>5.1837110342352073</v>
      </c>
      <c r="FC679" s="86"/>
      <c r="FD679" s="86">
        <f>FD657/FD634*100</f>
        <v>4.5669525518195009</v>
      </c>
      <c r="FE679" s="87">
        <f t="shared" si="4084"/>
        <v>-11.898010485970334</v>
      </c>
      <c r="FF679" s="86">
        <f>FF657/FF634*100</f>
        <v>4.9497324874957185</v>
      </c>
      <c r="FG679" s="87">
        <f t="shared" si="4085"/>
        <v>8.3815176823703865</v>
      </c>
      <c r="FH679" s="86">
        <f>FH657/FH634*100</f>
        <v>5.2205133131725452</v>
      </c>
      <c r="FI679" s="87">
        <f t="shared" si="4086"/>
        <v>5.470615358726727</v>
      </c>
      <c r="FJ679" s="86">
        <f>FJ657/FJ634*100</f>
        <v>4.9738219895287958</v>
      </c>
      <c r="FK679" s="87">
        <f t="shared" si="4087"/>
        <v>-4.725422747630792</v>
      </c>
      <c r="FL679" s="86">
        <f>FL657/FL634*100</f>
        <v>4.6682956177940405</v>
      </c>
      <c r="FM679" s="87">
        <f t="shared" si="4088"/>
        <v>-6.1426881054040265</v>
      </c>
      <c r="FN679" s="86">
        <f>FN657/FN634*100</f>
        <v>4.6269621710070163</v>
      </c>
      <c r="FO679" s="87">
        <f t="shared" si="4089"/>
        <v>-0.88540765562219459</v>
      </c>
      <c r="FP679" s="176">
        <f>FP657/FP634*100</f>
        <v>4.7287739926678061</v>
      </c>
      <c r="FQ679" s="61">
        <f t="shared" si="3844"/>
        <v>-9.4193672347117392</v>
      </c>
      <c r="FR679" s="176">
        <f>FR657/FR634*100</f>
        <v>6.5897819452534794</v>
      </c>
      <c r="FS679" s="61">
        <f t="shared" si="4042"/>
        <v>39.354977748381636</v>
      </c>
      <c r="FT679" s="176">
        <f>FT657/FT634*100</f>
        <v>6.0790870812867031</v>
      </c>
      <c r="FU679" s="61">
        <f t="shared" si="4043"/>
        <v>-7.7497991315876869</v>
      </c>
      <c r="FV679" s="176">
        <f>FV657/FV634*100</f>
        <v>6.4965321656774506</v>
      </c>
      <c r="FW679" s="61">
        <f t="shared" si="4044"/>
        <v>6.8669041717756008</v>
      </c>
      <c r="FX679" s="88">
        <f>FX657/FX634*100</f>
        <v>6.2775648345167303</v>
      </c>
      <c r="FY679" s="61">
        <f t="shared" si="4045"/>
        <v>-3.3705263912579553</v>
      </c>
      <c r="FZ679" s="88">
        <f>FZ657/FZ634*100</f>
        <v>6.2450537612132013</v>
      </c>
      <c r="GA679" s="61">
        <f t="shared" si="4046"/>
        <v>-0.51789307096868908</v>
      </c>
      <c r="GB679" s="88">
        <f>GB657/GB634*100</f>
        <v>5.2416353137637568</v>
      </c>
      <c r="GC679" s="61">
        <f t="shared" si="4047"/>
        <v>-16.067410879334275</v>
      </c>
      <c r="GD679" s="88">
        <f>GD657/GD634*100</f>
        <v>5.1915503043322593</v>
      </c>
      <c r="GE679" s="61">
        <f t="shared" si="4048"/>
        <v>-0.95552258853227601</v>
      </c>
      <c r="GF679" s="88">
        <f>GF657/GF634*100</f>
        <v>5.0513633158015478</v>
      </c>
      <c r="GG679" s="61">
        <f t="shared" si="4048"/>
        <v>-2.7002914411467405</v>
      </c>
      <c r="GH679" s="88">
        <f>GH657/GH634*100</f>
        <v>5.0519216400765536</v>
      </c>
      <c r="GI679" s="61">
        <f t="shared" si="4048"/>
        <v>1.1052942346467809E-2</v>
      </c>
      <c r="GJ679" s="88">
        <f>GJ657/GJ634*100</f>
        <v>5.0871693558987188</v>
      </c>
      <c r="GK679" s="61">
        <f t="shared" si="4048"/>
        <v>0.69770907653332603</v>
      </c>
      <c r="GL679" s="88">
        <f>GL657/GL634*100</f>
        <v>4.9649889833539049</v>
      </c>
      <c r="GM679" s="61">
        <f t="shared" si="4048"/>
        <v>-2.4017358966660352</v>
      </c>
      <c r="GN679" s="88">
        <f>GN657/GN634*100</f>
        <v>5.0593645995268064</v>
      </c>
      <c r="GO679" s="61">
        <f t="shared" si="4048"/>
        <v>1.9008222674675501</v>
      </c>
      <c r="GP679" s="88">
        <f>GP657/GP634*100</f>
        <v>5.1316127901251143</v>
      </c>
      <c r="GQ679" s="61">
        <f t="shared" si="4048"/>
        <v>1.4280091734259592</v>
      </c>
      <c r="GR679" s="86">
        <f>GR657/GR634*100</f>
        <v>5.1523994197173222</v>
      </c>
      <c r="GS679" s="61">
        <f t="shared" si="4048"/>
        <v>0.40507011035999518</v>
      </c>
      <c r="GT679" s="86">
        <f>GT657/GT634*100</f>
        <v>5.1899384851786881</v>
      </c>
      <c r="GU679" s="61">
        <f t="shared" si="4048"/>
        <v>0.72857444470844079</v>
      </c>
      <c r="GV679" s="86">
        <f>GV657/GV634*100</f>
        <v>5.2116461209099834</v>
      </c>
      <c r="GW679" s="61">
        <f t="shared" si="4048"/>
        <v>0.41826383478893447</v>
      </c>
      <c r="GX679" s="86">
        <f>GX657/GX634*100</f>
        <v>5.2362890599605381</v>
      </c>
      <c r="GY679" s="61">
        <f t="shared" si="4049"/>
        <v>0.47284367508537706</v>
      </c>
      <c r="GZ679" s="61">
        <f t="shared" si="4057"/>
        <v>0.68981132494130293</v>
      </c>
      <c r="HA679" s="61"/>
      <c r="HB679" s="452"/>
      <c r="HC679"/>
      <c r="HD679"/>
      <c r="HE679"/>
      <c r="HF679"/>
      <c r="HG679"/>
      <c r="HH679"/>
    </row>
    <row r="680" spans="1:216" s="5" customFormat="1" ht="12.75" customHeight="1" x14ac:dyDescent="0.2">
      <c r="A680" s="7"/>
      <c r="B680" s="7" t="s">
        <v>185</v>
      </c>
      <c r="C680" s="412">
        <f>C533/(AVERAGE(C632,A632))*100</f>
        <v>0.16014669926650368</v>
      </c>
      <c r="D680" s="70"/>
      <c r="E680" s="412">
        <f>E533/(AVERAGE(E632,C632))*100</f>
        <v>0.16471000192209245</v>
      </c>
      <c r="F680" s="71"/>
      <c r="G680" s="412">
        <f>G533/(AVERAGE(G632,E632))*100</f>
        <v>0.18417051079551131</v>
      </c>
      <c r="H680" s="71"/>
      <c r="I680" s="412">
        <f>I533/(AVERAGE(I632,G632))*100</f>
        <v>0.18216561324937505</v>
      </c>
      <c r="J680" s="71"/>
      <c r="K680" s="412">
        <f>K533/(AVERAGE(K632,I632))*100</f>
        <v>0.1725942231455658</v>
      </c>
      <c r="L680" s="61">
        <f t="shared" si="3981"/>
        <v>7.7725759794448956</v>
      </c>
      <c r="M680" s="412">
        <f>M533/(AVERAGE(M632,K632))*100</f>
        <v>0.16509721108512845</v>
      </c>
      <c r="N680" s="61">
        <f t="shared" si="3982"/>
        <v>0.23508539767922443</v>
      </c>
      <c r="O680" s="412">
        <f>O533/(AVERAGE(O632,M632))*100</f>
        <v>0.14359409592514244</v>
      </c>
      <c r="P680" s="61">
        <f t="shared" si="3983"/>
        <v>-22.031982587821442</v>
      </c>
      <c r="Q680" s="412">
        <f>Q533/(AVERAGE(Q632,O632))*100</f>
        <v>0.19824869693447594</v>
      </c>
      <c r="R680" s="61">
        <f t="shared" si="3984"/>
        <v>8.8288252641205212</v>
      </c>
      <c r="S680" s="412">
        <f>S533/(AVERAGE(S632,Q632))*100</f>
        <v>0.15631317359644858</v>
      </c>
      <c r="T680" s="61">
        <f t="shared" si="3985"/>
        <v>-9.433137014896376</v>
      </c>
      <c r="U680" s="412">
        <f>U533/(AVERAGE(U632,S632))*100</f>
        <v>0.1202598442012984</v>
      </c>
      <c r="V680" s="61">
        <f t="shared" si="3986"/>
        <v>-27.158161297292139</v>
      </c>
      <c r="W680" s="412">
        <f>W533/(AVERAGE(W632,U632))*100</f>
        <v>6.7383483176231121E-2</v>
      </c>
      <c r="X680" s="61" t="str">
        <f t="shared" si="3987"/>
        <v>NM</v>
      </c>
      <c r="Y680" s="412">
        <f>Y533/(AVERAGE(Y632,W632))*100</f>
        <v>0.10906687891669678</v>
      </c>
      <c r="Z680" s="61">
        <f t="shared" si="3988"/>
        <v>-44.984819268322887</v>
      </c>
      <c r="AA680" s="412">
        <f>AA533/(AVERAGE(AA632,Y632))*100</f>
        <v>0.11283823179149824</v>
      </c>
      <c r="AB680" s="61">
        <f t="shared" si="3989"/>
        <v>-27.812717766954798</v>
      </c>
      <c r="AC680" s="412">
        <f>AC533/(AVERAGE(AC632,AA632))*100</f>
        <v>0.15969806336148279</v>
      </c>
      <c r="AD680" s="61">
        <f t="shared" si="3990"/>
        <v>32.794171173355458</v>
      </c>
      <c r="AE680" s="412">
        <f>AE533/(AVERAGE(AE632,AC632))*100</f>
        <v>0.155809648719611</v>
      </c>
      <c r="AF680" s="61" t="str">
        <f t="shared" si="3991"/>
        <v>NM</v>
      </c>
      <c r="AG680" s="412">
        <f>AG533/(AVERAGE(AG632,AE632))*100</f>
        <v>0.17217060208647261</v>
      </c>
      <c r="AH680" s="61">
        <f t="shared" si="3992"/>
        <v>57.857824296937352</v>
      </c>
      <c r="AI680" s="412">
        <f>AI533/(AVERAGE(AI632,AG632))*100</f>
        <v>0.16194645979868413</v>
      </c>
      <c r="AJ680" s="61">
        <f t="shared" si="3993"/>
        <v>43.520912396011099</v>
      </c>
      <c r="AK680" s="412">
        <f>AK533/(AVERAGE(AK632,AI632))*100</f>
        <v>0.16547453827265934</v>
      </c>
      <c r="AL680" s="61">
        <f t="shared" si="3994"/>
        <v>3.6171227061791544</v>
      </c>
      <c r="AM680" s="412">
        <f>AM533/(AVERAGE(AM632,AK632))*100</f>
        <v>0.16231593800496144</v>
      </c>
      <c r="AN680" s="61">
        <f t="shared" si="3995"/>
        <v>4.1757935653002454</v>
      </c>
      <c r="AO680" s="412">
        <f>AO533/(AVERAGE(AO632,AM632))*100</f>
        <v>0.16758430407543984</v>
      </c>
      <c r="AP680" s="61">
        <f t="shared" si="3996"/>
        <v>-2.6638101716861651</v>
      </c>
      <c r="AQ680" s="412">
        <f>AQ533/(AVERAGE(AQ632,AO632))*100</f>
        <v>0.17933581715730437</v>
      </c>
      <c r="AR680" s="61">
        <f t="shared" si="4072"/>
        <v>10.737719972537207</v>
      </c>
      <c r="AS680" s="412">
        <f>AS533/(AVERAGE(AS632,AQ632))*100</f>
        <v>0.16558247194696618</v>
      </c>
      <c r="AT680" s="61">
        <f t="shared" si="4073"/>
        <v>6.5226756595615498E-2</v>
      </c>
      <c r="AU680" s="412">
        <f>AU533/(AVERAGE(AU632,AS632))*100</f>
        <v>0.17386343329406873</v>
      </c>
      <c r="AV680" s="61">
        <f t="shared" si="4074"/>
        <v>7.1142091349983838</v>
      </c>
      <c r="AW680" s="412">
        <f>AW533/(AVERAGE(AW632,AU632))*100</f>
        <v>0.20785751354694859</v>
      </c>
      <c r="AX680" s="61">
        <f t="shared" si="4075"/>
        <v>24.031611846763013</v>
      </c>
      <c r="AY680" s="86">
        <f>AY533/(AVERAGE(AY632,AW632))*100</f>
        <v>0.19496975505621877</v>
      </c>
      <c r="AZ680" s="61">
        <f t="shared" si="4076"/>
        <v>8.7176884945415534</v>
      </c>
      <c r="BA680" s="86">
        <f>BA533/(AVERAGE(BA632,AY632))*100</f>
        <v>0.19905898895393642</v>
      </c>
      <c r="BB680" s="61">
        <f t="shared" si="3867"/>
        <v>20.217427976128</v>
      </c>
      <c r="BC680" s="86">
        <f>BC533/(AVERAGE(BC632,BA632))*100</f>
        <v>0.19271816001222039</v>
      </c>
      <c r="BD680" s="61">
        <f t="shared" si="3868"/>
        <v>10.84456136688685</v>
      </c>
      <c r="BE680" s="86">
        <f>BE533/(AVERAGE(BE632,BC632))*100</f>
        <v>0.19214191753019449</v>
      </c>
      <c r="BF680" s="61">
        <f t="shared" si="3869"/>
        <v>-7.5607543593580129</v>
      </c>
      <c r="BG680" s="86">
        <f>BG533/(AVERAGE(BG632,BE632))*100</f>
        <v>0.18031232829961424</v>
      </c>
      <c r="BH680" s="61">
        <f t="shared" si="3997"/>
        <v>-7.5177951330851922</v>
      </c>
      <c r="BI680" s="86">
        <f>BI533/(AVERAGE(BI632,BG632))*100</f>
        <v>0.17600060708555573</v>
      </c>
      <c r="BJ680" s="61">
        <f t="shared" si="3998"/>
        <v>-11.583692848815053</v>
      </c>
      <c r="BK680" s="86">
        <f>BK533/(AVERAGE(BK632,BI632))*100</f>
        <v>0.17653570399074411</v>
      </c>
      <c r="BL680" s="61">
        <f t="shared" si="3999"/>
        <v>-8.3969544024549254</v>
      </c>
      <c r="BM680" s="86">
        <f>BM533/(AVERAGE(BM632,BK632))*100</f>
        <v>0.18584453700469686</v>
      </c>
      <c r="BN680" s="61">
        <f t="shared" si="4000"/>
        <v>-3.2774631410181554</v>
      </c>
      <c r="BO680" s="86">
        <f>BO533/(AVERAGE(BO632,BM632))*100</f>
        <v>0.1616300804992114</v>
      </c>
      <c r="BP680" s="61">
        <f t="shared" si="4001"/>
        <v>-10.361048507653713</v>
      </c>
      <c r="BQ680" s="86">
        <f>BQ533/(AVERAGE(BQ632,BO632))*100</f>
        <v>0.16697760790238036</v>
      </c>
      <c r="BR680" s="61">
        <f t="shared" si="4002"/>
        <v>-5.1266863976152095</v>
      </c>
      <c r="BS680" s="86">
        <f>BS533/(AVERAGE(BS632,BQ632))*100</f>
        <v>0.17619819668137693</v>
      </c>
      <c r="BT680" s="61">
        <f t="shared" si="4003"/>
        <v>-0.19118359727666734</v>
      </c>
      <c r="BU680" s="86">
        <f>BU533/(AVERAGE(BU632,BS632))*100</f>
        <v>0.12716757850992766</v>
      </c>
      <c r="BV680" s="61">
        <f t="shared" si="4004"/>
        <v>-31.573141422653851</v>
      </c>
      <c r="BW680" s="86">
        <f>BW533/(AVERAGE(BW632,BU632))*100</f>
        <v>0.12197301807103578</v>
      </c>
      <c r="BX680" s="61">
        <f t="shared" si="3870"/>
        <v>-24.535694287654032</v>
      </c>
      <c r="BY680" s="86">
        <f>BY533/(AVERAGE(BY632,BW632))*100</f>
        <v>0.12777709461514788</v>
      </c>
      <c r="BZ680" s="61">
        <f t="shared" si="3871"/>
        <v>-23.476509083870788</v>
      </c>
      <c r="CA680" s="86">
        <f>CA533/(AVERAGE(CA632,BY632))*100</f>
        <v>0.15006300683779117</v>
      </c>
      <c r="CB680" s="61">
        <f t="shared" si="3872"/>
        <v>-14.832836167356811</v>
      </c>
      <c r="CC680" s="86">
        <f>CC533/(AVERAGE(CC632,CA632))*100</f>
        <v>0.16699983979828514</v>
      </c>
      <c r="CD680" s="61">
        <f t="shared" si="3873"/>
        <v>31.322654528054784</v>
      </c>
      <c r="CE680" s="86">
        <f>CE533/(AVERAGE(CE632,CC632))*100</f>
        <v>0.15774755211392585</v>
      </c>
      <c r="CF680" s="61">
        <f t="shared" si="4005"/>
        <v>29.329875253275574</v>
      </c>
      <c r="CG680" s="86">
        <f>CG533/(AVERAGE(CG632,CE632))*100</f>
        <v>0.16071841740734716</v>
      </c>
      <c r="CH680" s="61">
        <f t="shared" si="4006"/>
        <v>25.780303497598943</v>
      </c>
      <c r="CI680" s="86">
        <f>CI533/(AVERAGE(CI632,CG632))*100</f>
        <v>0.15196190591313133</v>
      </c>
      <c r="CJ680" s="61">
        <f t="shared" si="4007"/>
        <v>1.2654011907096807</v>
      </c>
      <c r="CK680" s="86">
        <f>CK533/(AVERAGE(CK632,CI632))*100</f>
        <v>0.1548735199587003</v>
      </c>
      <c r="CL680" s="61">
        <f t="shared" si="4008"/>
        <v>-7.2612763307030264</v>
      </c>
      <c r="CM680" s="86">
        <f>CM533/(AVERAGE(CM632,CK632))*100</f>
        <v>0.14128282655779179</v>
      </c>
      <c r="CN680" s="61">
        <f t="shared" si="4009"/>
        <v>-10.437388939159698</v>
      </c>
      <c r="CO680" s="86">
        <f>CO533/(AVERAGE(CO632,CM632))*100</f>
        <v>0.14665170069844816</v>
      </c>
      <c r="CP680" s="61">
        <f t="shared" si="4010"/>
        <v>-8.7523987205812013</v>
      </c>
      <c r="CQ680" s="86">
        <f>CQ533/(AVERAGE(CQ632,CO632))*100</f>
        <v>0.15790915958918381</v>
      </c>
      <c r="CR680" s="61">
        <f t="shared" si="4011"/>
        <v>3.9136477265902414</v>
      </c>
      <c r="CS680" s="86">
        <f>CS533/(AVERAGE(CS632,CQ632))*100</f>
        <v>0.14076969349158863</v>
      </c>
      <c r="CT680" s="61">
        <f t="shared" si="4012"/>
        <v>-9.1066739303611755</v>
      </c>
      <c r="CU680" s="86">
        <f>CU533/(AVERAGE(CU632,CS632))*100</f>
        <v>0.14309819808600055</v>
      </c>
      <c r="CV680" s="61">
        <f t="shared" si="4013"/>
        <v>1.2849201650606767</v>
      </c>
      <c r="CW680" s="86">
        <f>CW533/(AVERAGE(CW632,CU632))*100</f>
        <v>0.14076845259682005</v>
      </c>
      <c r="CX680" s="61">
        <f t="shared" si="4014"/>
        <v>-4.0117148820016046</v>
      </c>
      <c r="CY680" s="86">
        <f>CY533/(AVERAGE(CY632,CW632))*100</f>
        <v>0.15378556291142326</v>
      </c>
      <c r="CZ680" s="61">
        <f t="shared" si="4015"/>
        <v>-2.6113726958515215</v>
      </c>
      <c r="DA680" s="86">
        <f>DA533/(AVERAGE(DA632,CY632))*100</f>
        <v>0.1390657269752974</v>
      </c>
      <c r="DB680" s="61">
        <f t="shared" si="4016"/>
        <v>-1.210464038122705</v>
      </c>
      <c r="DC680" s="86">
        <f>DC533/(AVERAGE(DC632,DA632))*100</f>
        <v>0.13469822431804335</v>
      </c>
      <c r="DD680" s="61">
        <f t="shared" si="4017"/>
        <v>-5.8700765490484414</v>
      </c>
      <c r="DE680" s="86">
        <f>DE533/(AVERAGE(DE632,DC632))*100</f>
        <v>0.14832619252918497</v>
      </c>
      <c r="DF680" s="61">
        <f t="shared" si="4018"/>
        <v>5.3689159701224343</v>
      </c>
      <c r="DG680" s="86">
        <f>DG533/(AVERAGE(DG632,DE632))*100</f>
        <v>0.14958797118556191</v>
      </c>
      <c r="DH680" s="61">
        <f t="shared" si="4019"/>
        <v>-2.7295096148128417</v>
      </c>
      <c r="DI680" s="86">
        <f>DI533/(AVERAGE(DI632,DG632))*100</f>
        <v>0.15293369232054388</v>
      </c>
      <c r="DJ680" s="61">
        <f t="shared" si="4020"/>
        <v>9.9722380538160174</v>
      </c>
      <c r="DK680" s="86">
        <f>DK533/(AVERAGE(DK632,DI632))*100</f>
        <v>0.1520169390303491</v>
      </c>
      <c r="DL680" s="61">
        <f t="shared" si="4021"/>
        <v>12.857418722472236</v>
      </c>
      <c r="DM680" s="86">
        <f>DM533/(AVERAGE(DM632,DK632))*100</f>
        <v>0.15639190834782538</v>
      </c>
      <c r="DN680" s="130">
        <f t="shared" si="4022"/>
        <v>5.4378230042231968</v>
      </c>
      <c r="DO680" s="86">
        <f>DO533/(AVERAGE(DO632,DM632))*100</f>
        <v>0.1623888852043226</v>
      </c>
      <c r="DP680" s="130">
        <f t="shared" si="4022"/>
        <v>8.5574487823498302</v>
      </c>
      <c r="DQ680" s="86">
        <f>DQ533/(AVERAGE(DQ632,DO632))*100</f>
        <v>0.15423764952981431</v>
      </c>
      <c r="DR680" s="130">
        <f t="shared" si="4022"/>
        <v>0.85262912932055901</v>
      </c>
      <c r="DS680" s="86">
        <f>DS533/(AVERAGE(DS632,DQ632))*100</f>
        <v>0.13754566946056307</v>
      </c>
      <c r="DT680" s="130">
        <f t="shared" si="4022"/>
        <v>-9.5195112216388882</v>
      </c>
      <c r="DU680" s="86">
        <f>DU533/(AVERAGE(DU632,DS632))*100</f>
        <v>0.1475750384026073</v>
      </c>
      <c r="DV680" s="130">
        <f t="shared" si="4022"/>
        <v>-5.6376765514036702</v>
      </c>
      <c r="DW680" s="86">
        <f>DW533/(AVERAGE(DW632,DU632))*100</f>
        <v>0.16703455217699717</v>
      </c>
      <c r="DX680" s="86">
        <f t="shared" ref="DX680:EM680" si="4111">DX533/(AVERAGE(DX632,DV632))*100</f>
        <v>0.33782912957691641</v>
      </c>
      <c r="DY680" s="86">
        <f t="shared" si="4111"/>
        <v>0.15237031570969864</v>
      </c>
      <c r="DZ680" s="130">
        <f t="shared" si="4022"/>
        <v>-1.2106861235295918</v>
      </c>
      <c r="EA680" s="86">
        <f t="shared" si="4111"/>
        <v>0.14262468825473873</v>
      </c>
      <c r="EB680" s="130">
        <f t="shared" si="4025"/>
        <v>3.6926053827030181</v>
      </c>
      <c r="EC680" s="86">
        <f t="shared" si="4111"/>
        <v>0.14380833779923122</v>
      </c>
      <c r="ED680" s="130">
        <f t="shared" si="4026"/>
        <v>-2.5523968308921896</v>
      </c>
      <c r="EE680" s="86">
        <f t="shared" si="4111"/>
        <v>0.15418223562353556</v>
      </c>
      <c r="EF680" s="130">
        <f t="shared" si="4028"/>
        <v>-7.6944059692767848</v>
      </c>
      <c r="EG680" s="86">
        <f t="shared" si="4111"/>
        <v>0.15485619954868315</v>
      </c>
      <c r="EH680" s="130">
        <f t="shared" si="4029"/>
        <v>1.6314751514466375</v>
      </c>
      <c r="EI680" s="86">
        <f t="shared" si="4111"/>
        <v>0.15044557215622903</v>
      </c>
      <c r="EJ680" s="130">
        <f t="shared" si="4031"/>
        <v>5.4835414521794412</v>
      </c>
      <c r="EK680" s="86">
        <f t="shared" si="4111"/>
        <v>0.15543878067736439</v>
      </c>
      <c r="EL680" s="130">
        <f t="shared" si="4032"/>
        <v>8.0874607523593323</v>
      </c>
      <c r="EM680" s="86">
        <f t="shared" si="4111"/>
        <v>0.15808590245716911</v>
      </c>
      <c r="EN680" s="130">
        <f t="shared" si="4034"/>
        <v>2.5318525301222694</v>
      </c>
      <c r="EO680" s="86">
        <f t="shared" ref="EO680" si="4112">EO533/(AVERAGE(EO632,EM632))*100</f>
        <v>0.15755136532580905</v>
      </c>
      <c r="EP680" s="130">
        <f t="shared" si="4036"/>
        <v>1.7404313065803922</v>
      </c>
      <c r="EQ680" s="86">
        <f t="shared" ref="EQ680" si="4113">EQ533/(AVERAGE(EQ632,EO632))*100</f>
        <v>0.15253668938103251</v>
      </c>
      <c r="ER680" s="130">
        <f t="shared" si="4038"/>
        <v>1.3899493317304001</v>
      </c>
      <c r="ES680" s="86">
        <f t="shared" ref="ES680" si="4114">ES533/(AVERAGE(ES632,EQ632))*100</f>
        <v>0.15980711588077415</v>
      </c>
      <c r="ET680" s="130">
        <f t="shared" si="4039"/>
        <v>2.8103251867864776</v>
      </c>
      <c r="EU680" s="86">
        <f t="shared" ref="EU680" si="4115">EU533/(AVERAGE(EU632,ES632))*100</f>
        <v>0.16383193511277458</v>
      </c>
      <c r="EV680" s="130">
        <f t="shared" si="4040"/>
        <v>3.6347533627562267</v>
      </c>
      <c r="EW680" s="86">
        <f t="shared" ref="EW680" si="4116">EW533/(AVERAGE(EW632,EU632))*100</f>
        <v>0.16595054189461134</v>
      </c>
      <c r="EX680" s="130">
        <f t="shared" si="4041"/>
        <v>5.3310719024447506</v>
      </c>
      <c r="EY680" s="89"/>
      <c r="EZ680" s="558"/>
      <c r="FA680" s="89"/>
      <c r="FB680" s="85">
        <v>0.61982115173877661</v>
      </c>
      <c r="FC680" s="86"/>
      <c r="FD680" s="86">
        <f>FD533/(AVERAGE(FD632,FB632))*100</f>
        <v>0.4826031320455792</v>
      </c>
      <c r="FE680" s="87">
        <f t="shared" si="4084"/>
        <v>-22.138324790669273</v>
      </c>
      <c r="FF680" s="86">
        <f>FF533/(AVERAGE(FF632,FD632))*100</f>
        <v>0.68054012372292183</v>
      </c>
      <c r="FG680" s="87">
        <f t="shared" si="4085"/>
        <v>41.014444070920078</v>
      </c>
      <c r="FH680" s="86">
        <f>FH533/(AVERAGE(FH632,FF632))*100</f>
        <v>0.65154052396106721</v>
      </c>
      <c r="FI680" s="87">
        <f t="shared" si="4086"/>
        <v>-4.2612623048897014</v>
      </c>
      <c r="FJ680" s="86">
        <f>FJ533/(AVERAGE(FJ632,FH632))*100</f>
        <v>0.45217884395174179</v>
      </c>
      <c r="FK680" s="87">
        <f t="shared" si="4087"/>
        <v>-30.598508101583299</v>
      </c>
      <c r="FL680" s="86">
        <f>FL533/(AVERAGE(FL632,FJ632))*100</f>
        <v>0.59319803588207687</v>
      </c>
      <c r="FM680" s="87">
        <f t="shared" si="4088"/>
        <v>31.186596590393599</v>
      </c>
      <c r="FN680" s="86">
        <f>FN533/(AVERAGE(FN632,FL632))*100</f>
        <v>0.65025685737889749</v>
      </c>
      <c r="FO680" s="87">
        <f t="shared" si="4089"/>
        <v>9.6188486888657554</v>
      </c>
      <c r="FP680" s="176">
        <f>FP533/(AVERAGE(FP632,FN632))*100</f>
        <v>0.72159446554634177</v>
      </c>
      <c r="FQ680" s="61">
        <f t="shared" si="3844"/>
        <v>10.752046727558673</v>
      </c>
      <c r="FR680" s="176">
        <f>FR533/(AVERAGE(FR632,FP632))*100</f>
        <v>0.794215853264164</v>
      </c>
      <c r="FS680" s="61">
        <f t="shared" si="4042"/>
        <v>10.064016727572644</v>
      </c>
      <c r="FT680" s="176">
        <f>FT533/(AVERAGE(FT632,FR632))*100</f>
        <v>0.72494639537989225</v>
      </c>
      <c r="FU680" s="61">
        <f t="shared" si="4043"/>
        <v>-8.721742030152102</v>
      </c>
      <c r="FV680" s="176">
        <f>FV533/(AVERAGE(FV632,FT632))*100</f>
        <v>0.64415526398097556</v>
      </c>
      <c r="FW680" s="61">
        <f t="shared" si="4044"/>
        <v>-11.144428321018118</v>
      </c>
      <c r="FX680" s="88">
        <f>FX533/(AVERAGE(FX632,FV632))*100</f>
        <v>0.56611712571692518</v>
      </c>
      <c r="FY680" s="61">
        <f t="shared" si="4045"/>
        <v>-12.114802537165193</v>
      </c>
      <c r="FZ680" s="88">
        <f>FZ533/(AVERAGE(FZ632,FX632))*100</f>
        <v>0.62118694058293822</v>
      </c>
      <c r="GA680" s="61">
        <f t="shared" si="4046"/>
        <v>9.7276362724892262</v>
      </c>
      <c r="GB680" s="88">
        <f>GB533/(AVERAGE(GB632,FZ632))*100</f>
        <v>0.58672242646175321</v>
      </c>
      <c r="GC680" s="61">
        <f t="shared" si="4047"/>
        <v>-5.548171068896357</v>
      </c>
      <c r="GD680" s="88">
        <f>GD533/(AVERAGE(GD632,GB632))*100</f>
        <v>0.57950328290037112</v>
      </c>
      <c r="GE680" s="61">
        <f t="shared" si="4048"/>
        <v>-1.2304188890336687</v>
      </c>
      <c r="GF680" s="88">
        <f>GF533/(AVERAGE(GF632,GD632))*100</f>
        <v>0.58203477734339015</v>
      </c>
      <c r="GG680" s="61">
        <f t="shared" si="4048"/>
        <v>0.4368386716204764</v>
      </c>
      <c r="GH680" s="88">
        <f>GH533/(AVERAGE(GH632,GF632))*100</f>
        <v>0.62775074338903813</v>
      </c>
      <c r="GI680" s="61">
        <f t="shared" si="4048"/>
        <v>7.8545076385833079</v>
      </c>
      <c r="GJ680" s="88">
        <f>GJ533/(AVERAGE(GJ632,GH632))*100</f>
        <v>0.60737999346903226</v>
      </c>
      <c r="GK680" s="61">
        <f t="shared" si="4048"/>
        <v>-3.2450379604539004</v>
      </c>
      <c r="GL680" s="88">
        <f>GL533/(AVERAGE(GL632,GJ632))*100</f>
        <v>0.60455470415843127</v>
      </c>
      <c r="GM680" s="61">
        <f t="shared" si="4048"/>
        <v>-0.46516008775073781</v>
      </c>
      <c r="GN680" s="88">
        <f>GN533/(AVERAGE(GN632,GL632))*100</f>
        <v>0.62220504609948657</v>
      </c>
      <c r="GO680" s="61">
        <f t="shared" si="4048"/>
        <v>2.919560764252993</v>
      </c>
      <c r="GP680" s="88">
        <f>GP533/(AVERAGE(GP632,GN632))*100</f>
        <v>0.64227727014195835</v>
      </c>
      <c r="GQ680" s="61">
        <f t="shared" si="4048"/>
        <v>3.2259822012536965</v>
      </c>
      <c r="GR680" s="86">
        <f>GR533/(AVERAGE(GR632,GP632))*100</f>
        <v>0.64841597923592575</v>
      </c>
      <c r="GS680" s="61">
        <f t="shared" si="4048"/>
        <v>0.95577243339322049</v>
      </c>
      <c r="GT680" s="86">
        <f>GT533/(AVERAGE(GT632,GR632))*100</f>
        <v>0.66988331728287887</v>
      </c>
      <c r="GU680" s="61">
        <f t="shared" si="4048"/>
        <v>3.3107355053540788</v>
      </c>
      <c r="GV680" s="86">
        <f>GV533/(AVERAGE(GV632,GT632))*100</f>
        <v>0.66363697470334837</v>
      </c>
      <c r="GW680" s="61">
        <f t="shared" si="4048"/>
        <v>-0.93245232690170043</v>
      </c>
      <c r="GX680" s="86">
        <f>GX533/(AVERAGE(GX632,GV632))*100</f>
        <v>0.65901361532914693</v>
      </c>
      <c r="GY680" s="61">
        <f t="shared" si="4049"/>
        <v>-0.6966699491492534</v>
      </c>
      <c r="GZ680" s="61">
        <f t="shared" si="4057"/>
        <v>1.1561220306354203</v>
      </c>
      <c r="HA680" s="61"/>
      <c r="HB680" s="452"/>
      <c r="HC680"/>
      <c r="HD680"/>
      <c r="HE680"/>
      <c r="HF680"/>
      <c r="HG680"/>
      <c r="HH680"/>
    </row>
    <row r="681" spans="1:216" s="5" customFormat="1" ht="12.75" customHeight="1" x14ac:dyDescent="0.2">
      <c r="A681" s="7" t="s">
        <v>410</v>
      </c>
      <c r="B681" s="7" t="s">
        <v>495</v>
      </c>
      <c r="C681" s="161">
        <f>C657/C610</f>
        <v>24.581479565442319</v>
      </c>
      <c r="D681" s="70"/>
      <c r="E681" s="161">
        <f>E657/E610</f>
        <v>25.014652014652015</v>
      </c>
      <c r="F681" s="71"/>
      <c r="G681" s="161">
        <f>G657/G610</f>
        <v>25.423879040667362</v>
      </c>
      <c r="H681" s="71"/>
      <c r="I681" s="161">
        <f>I657/I610</f>
        <v>25.847803347280337</v>
      </c>
      <c r="J681" s="61"/>
      <c r="K681" s="161">
        <f>K657/K610</f>
        <v>26.239766081871348</v>
      </c>
      <c r="L681" s="61">
        <f t="shared" si="3981"/>
        <v>6.7460809753710604</v>
      </c>
      <c r="M681" s="161">
        <f>M657/M610</f>
        <v>26.649122807017545</v>
      </c>
      <c r="N681" s="61">
        <f t="shared" si="3982"/>
        <v>6.5340536874475053</v>
      </c>
      <c r="O681" s="161">
        <f>O657/O610</f>
        <v>27.185556141275701</v>
      </c>
      <c r="P681" s="61">
        <f t="shared" si="3983"/>
        <v>6.9292223180829504</v>
      </c>
      <c r="Q681" s="161">
        <f>Q657/Q610</f>
        <v>27.272290443139347</v>
      </c>
      <c r="R681" s="61">
        <f t="shared" si="3984"/>
        <v>5.5110566910471892</v>
      </c>
      <c r="S681" s="161">
        <f>S657/S610</f>
        <v>27.362426822778069</v>
      </c>
      <c r="T681" s="61">
        <f t="shared" si="3985"/>
        <v>4.2784708423233564</v>
      </c>
      <c r="U681" s="161">
        <f>U657/U610</f>
        <v>27.247154471544718</v>
      </c>
      <c r="V681" s="61">
        <f t="shared" si="3986"/>
        <v>2.2440951203455572</v>
      </c>
      <c r="W681" s="161">
        <f>W657/W610</f>
        <v>26.024225352112676</v>
      </c>
      <c r="X681" s="61">
        <f t="shared" si="3987"/>
        <v>-4.2718669543779564</v>
      </c>
      <c r="Y681" s="161">
        <f>Y657/Y610</f>
        <v>25.868243243243242</v>
      </c>
      <c r="Z681" s="61">
        <f t="shared" si="3988"/>
        <v>-5.1482555263315248</v>
      </c>
      <c r="AA681" s="161">
        <f>AA657/AA610</f>
        <v>25.762521102982557</v>
      </c>
      <c r="AB681" s="61">
        <f t="shared" si="3989"/>
        <v>-5.847089990072285</v>
      </c>
      <c r="AC681" s="161">
        <f>AC657/AC610</f>
        <v>26.393820224719097</v>
      </c>
      <c r="AD681" s="61">
        <f t="shared" si="3990"/>
        <v>-3.1318288583741527</v>
      </c>
      <c r="AE681" s="161">
        <f>AE657/AE610</f>
        <v>26.868199663488504</v>
      </c>
      <c r="AF681" s="61">
        <f t="shared" si="3991"/>
        <v>3.2430333658608257</v>
      </c>
      <c r="AG681" s="161">
        <f>AG657/AG610</f>
        <v>27.689635854341738</v>
      </c>
      <c r="AH681" s="61">
        <f t="shared" si="3992"/>
        <v>7.0410371279241879</v>
      </c>
      <c r="AI681" s="161">
        <f>AI657/AI610</f>
        <v>27.989627785157296</v>
      </c>
      <c r="AJ681" s="61">
        <f t="shared" si="3993"/>
        <v>8.6447544216350138</v>
      </c>
      <c r="AK681" s="161">
        <f>AK657/AK610</f>
        <v>28.512274027131738</v>
      </c>
      <c r="AL681" s="61">
        <f t="shared" si="3994"/>
        <v>8.0263250426651176</v>
      </c>
      <c r="AM681" s="161">
        <f>AM657/AM610</f>
        <v>29.229255234252133</v>
      </c>
      <c r="AN681" s="61">
        <f t="shared" si="3995"/>
        <v>8.7875466176920334</v>
      </c>
      <c r="AO681" s="161">
        <f>AO657/AO610</f>
        <v>30.712486541750085</v>
      </c>
      <c r="AP681" s="61">
        <f t="shared" si="3996"/>
        <v>10.916903000493461</v>
      </c>
      <c r="AQ681" s="161">
        <f>AQ657/AQ610</f>
        <v>31.345203409202348</v>
      </c>
      <c r="AR681" s="61">
        <f t="shared" si="4072"/>
        <v>11.98863968396353</v>
      </c>
      <c r="AS681" s="161">
        <f>AS657/AS610</f>
        <v>31.864887500911557</v>
      </c>
      <c r="AT681" s="61">
        <f t="shared" si="4073"/>
        <v>11.758492046581548</v>
      </c>
      <c r="AU681" s="161">
        <f>AU657/AU610</f>
        <v>32.895955192555768</v>
      </c>
      <c r="AV681" s="61">
        <f t="shared" si="4074"/>
        <v>12.544623285532207</v>
      </c>
      <c r="AW681" s="161">
        <f>AW657/AW610</f>
        <v>33.792807867593197</v>
      </c>
      <c r="AX681" s="61">
        <f t="shared" si="4075"/>
        <v>10.029540661436753</v>
      </c>
      <c r="AY681" s="161">
        <f>AY657/AY610</f>
        <v>34.537103479738093</v>
      </c>
      <c r="AZ681" s="61">
        <f t="shared" si="4076"/>
        <v>10.183057448587697</v>
      </c>
      <c r="BA681" s="161">
        <f>BA657/BA610</f>
        <v>40.830537886404407</v>
      </c>
      <c r="BB681" s="61">
        <f t="shared" si="3867"/>
        <v>28.136457049272078</v>
      </c>
      <c r="BC681" s="161">
        <f>BC657/BC610</f>
        <v>41.665643657403514</v>
      </c>
      <c r="BD681" s="61">
        <f t="shared" si="3868"/>
        <v>26.658865545975363</v>
      </c>
      <c r="BE681" s="161">
        <f>BE657/BE610</f>
        <v>42.505072463768116</v>
      </c>
      <c r="BF681" s="61">
        <f t="shared" si="3869"/>
        <v>25.78141665620468</v>
      </c>
      <c r="BG681" s="161">
        <f>BG660/BG610</f>
        <v>42.466223698781846</v>
      </c>
      <c r="BH681" s="61">
        <f t="shared" si="3997"/>
        <v>22.958266386454596</v>
      </c>
      <c r="BI681" s="161">
        <f>BI660/BI610</f>
        <v>43.51025837420066</v>
      </c>
      <c r="BJ681" s="61">
        <f t="shared" si="3998"/>
        <v>6.5630300909862216</v>
      </c>
      <c r="BK681" s="161">
        <f>BK660/BK610</f>
        <v>43.67483296213809</v>
      </c>
      <c r="BL681" s="61">
        <f t="shared" si="3999"/>
        <v>4.8221727264198044</v>
      </c>
      <c r="BM681" s="161">
        <f>BM660/BM610</f>
        <v>43.99546142208775</v>
      </c>
      <c r="BN681" s="61">
        <f t="shared" si="4000"/>
        <v>3.5063790553234941</v>
      </c>
      <c r="BO681" s="161">
        <f>BO660/BO610</f>
        <v>43.978411719352358</v>
      </c>
      <c r="BP681" s="61">
        <f t="shared" si="4001"/>
        <v>3.5609194528259724</v>
      </c>
      <c r="BQ681" s="161">
        <f>BQ660/BQ610</f>
        <v>43.992217898832685</v>
      </c>
      <c r="BR681" s="61">
        <f t="shared" si="4002"/>
        <v>1.107691709129921</v>
      </c>
      <c r="BS681" s="161">
        <f>BS660/BS610</f>
        <v>44.181249999999999</v>
      </c>
      <c r="BT681" s="61">
        <f t="shared" si="4003"/>
        <v>1.1595168281488766</v>
      </c>
      <c r="BU681" s="161">
        <f>BU660/BU610</f>
        <v>42.094103865677461</v>
      </c>
      <c r="BV681" s="61">
        <f t="shared" si="4004"/>
        <v>-4.3217129561817007</v>
      </c>
      <c r="BW681" s="161">
        <f>BW660/BW610</f>
        <v>40.203786843646306</v>
      </c>
      <c r="BX681" s="61">
        <f t="shared" si="3870"/>
        <v>-8.5829040389038376</v>
      </c>
      <c r="BY681" s="161">
        <f>BY660/BY610</f>
        <v>35.666225603704923</v>
      </c>
      <c r="BZ681" s="61">
        <f t="shared" si="3871"/>
        <v>-18.926057136457054</v>
      </c>
      <c r="CA681" s="161">
        <f>CA660/CA610</f>
        <v>36.141912007939133</v>
      </c>
      <c r="CB681" s="61">
        <f t="shared" si="3872"/>
        <v>-18.196266497803627</v>
      </c>
      <c r="CC681" s="161">
        <f>CC660/CC610</f>
        <v>36.412698412698411</v>
      </c>
      <c r="CD681" s="61">
        <f t="shared" si="3873"/>
        <v>-13.496915081286554</v>
      </c>
      <c r="CE681" s="161">
        <f>CE660/CE610</f>
        <v>36.73463317911434</v>
      </c>
      <c r="CF681" s="61">
        <f t="shared" si="4005"/>
        <v>-8.6289226386151228</v>
      </c>
      <c r="CG681" s="161">
        <f>CG660/CG610</f>
        <v>36.928661616161612</v>
      </c>
      <c r="CH681" s="61">
        <f t="shared" si="4006"/>
        <v>3.5395839932262252</v>
      </c>
      <c r="CI681" s="161">
        <f>CI660/CI610</f>
        <v>37.537393499526665</v>
      </c>
      <c r="CJ681" s="61">
        <f t="shared" si="4007"/>
        <v>3.8611169527527744</v>
      </c>
      <c r="CK681" s="161">
        <f>CK660/CK610</f>
        <v>38.169357391579616</v>
      </c>
      <c r="CL681" s="61">
        <f t="shared" si="4008"/>
        <v>4.824303211399994</v>
      </c>
      <c r="CM681" s="161">
        <f>CM660/CM610</f>
        <v>35.668686224489797</v>
      </c>
      <c r="CN681" s="61">
        <f t="shared" si="4009"/>
        <v>-2.9017492822838165</v>
      </c>
      <c r="CO681" s="161">
        <f>CO660/CO610</f>
        <v>36.729335494327394</v>
      </c>
      <c r="CP681" s="61">
        <f t="shared" si="4010"/>
        <v>-0.53975994014087147</v>
      </c>
      <c r="CQ681" s="161">
        <f>CQ660/CQ610</f>
        <v>37.518223989396951</v>
      </c>
      <c r="CR681" s="61">
        <f t="shared" si="4011"/>
        <v>-5.1067770941415347E-2</v>
      </c>
      <c r="CS681" s="161">
        <f>CS660/CS610</f>
        <v>35.749571183533448</v>
      </c>
      <c r="CT681" s="61">
        <f t="shared" si="4012"/>
        <v>-6.3396042621875264</v>
      </c>
      <c r="CU681" s="161">
        <f>CU660/CU610</f>
        <v>36.757703081232492</v>
      </c>
      <c r="CV681" s="61">
        <f t="shared" si="4013"/>
        <v>3.0531454113243539</v>
      </c>
      <c r="CW681" s="161">
        <f>CW660/CW610</f>
        <v>38.166845685642677</v>
      </c>
      <c r="CX681" s="61">
        <f t="shared" si="4014"/>
        <v>3.9137930811116828</v>
      </c>
      <c r="CY681" s="161">
        <f>CY660/CY610</f>
        <v>39.861918604651166</v>
      </c>
      <c r="CZ681" s="61">
        <f t="shared" si="4015"/>
        <v>6.2468165228625194</v>
      </c>
      <c r="DA681" s="161">
        <f>DA657/DA610</f>
        <v>41.108247422680407</v>
      </c>
      <c r="DB681" s="61">
        <f t="shared" si="4016"/>
        <v>14.989483962300532</v>
      </c>
      <c r="DC681" s="161">
        <f>DC657/DC610</f>
        <v>41.999255398361875</v>
      </c>
      <c r="DD681" s="61">
        <f t="shared" si="4017"/>
        <v>14.259738443247771</v>
      </c>
      <c r="DE681" s="161">
        <f>DE657/DE610</f>
        <v>43.20726172465961</v>
      </c>
      <c r="DF681" s="61">
        <f t="shared" si="4018"/>
        <v>13.206268289844548</v>
      </c>
      <c r="DG681" s="161">
        <f>DG657/DG610</f>
        <v>44.372855508959205</v>
      </c>
      <c r="DH681" s="61">
        <f t="shared" si="4019"/>
        <v>11.316406892120078</v>
      </c>
      <c r="DI681" s="161">
        <f>DI657/DI610</f>
        <v>45.226321795359453</v>
      </c>
      <c r="DJ681" s="61">
        <f t="shared" si="4020"/>
        <v>10.017635464573482</v>
      </c>
      <c r="DK681" s="161">
        <f>DK657/DK610</f>
        <v>45.631399317406142</v>
      </c>
      <c r="DL681" s="61">
        <f t="shared" si="4021"/>
        <v>8.648115031072523</v>
      </c>
      <c r="DM681" s="780">
        <f>(DM657-1)/DM610</f>
        <v>46.974693251533743</v>
      </c>
      <c r="DN681" s="130">
        <f t="shared" si="4022"/>
        <v>8.7194406136687839</v>
      </c>
      <c r="DO681" s="161">
        <f>DO657/DO610</f>
        <v>48.229407236335639</v>
      </c>
      <c r="DP681" s="130">
        <f t="shared" si="4022"/>
        <v>8.6912408118467113</v>
      </c>
      <c r="DQ681" s="780">
        <f>(DQ657+3)/DQ610</f>
        <v>49.286827747466873</v>
      </c>
      <c r="DR681" s="130">
        <f t="shared" si="4022"/>
        <v>8.9781918823300231</v>
      </c>
      <c r="DS681" s="163">
        <f>DS657/DS610</f>
        <v>49.703440094899172</v>
      </c>
      <c r="DT681" s="130">
        <f t="shared" si="4022"/>
        <v>8.9237692431223472</v>
      </c>
      <c r="DU681" s="163">
        <f>DU657/DU610</f>
        <v>50.836986847349543</v>
      </c>
      <c r="DV681" s="130">
        <f t="shared" si="4022"/>
        <v>8.2220730535365263</v>
      </c>
      <c r="DW681" s="163">
        <f>DW657/DW610</f>
        <v>51.466666666666669</v>
      </c>
      <c r="DX681" s="163">
        <f t="shared" ref="DX681:DY681" si="4117">DX657/DX610</f>
        <v>51.466666666666669</v>
      </c>
      <c r="DY681" s="163">
        <f t="shared" si="4117"/>
        <v>52.387202625102539</v>
      </c>
      <c r="DZ681" s="130">
        <f t="shared" si="4022"/>
        <v>6.2904735795153988</v>
      </c>
      <c r="EA681" s="163">
        <f t="shared" ref="EA681" si="4118">EA657/EA610</f>
        <v>53.2510460251046</v>
      </c>
      <c r="EB681" s="130">
        <f t="shared" si="4025"/>
        <v>7.137546060055322</v>
      </c>
      <c r="EC681" s="163">
        <f>EC657/EC610</f>
        <v>54.66769772737036</v>
      </c>
      <c r="ED681" s="130">
        <f t="shared" si="4026"/>
        <v>7.5352831030750522</v>
      </c>
      <c r="EE681" s="163">
        <f>EE657/EE610</f>
        <v>56.656455142231948</v>
      </c>
      <c r="EF681" s="130">
        <f t="shared" si="4028"/>
        <v>10.083785898119068</v>
      </c>
      <c r="EG681" s="163">
        <f>EG657/EG610</f>
        <v>57.04692056198639</v>
      </c>
      <c r="EH681" s="130">
        <f t="shared" si="4029"/>
        <v>8.894763803729111</v>
      </c>
      <c r="EI681" s="163">
        <f>EI657/EI610</f>
        <v>58.368907861970833</v>
      </c>
      <c r="EJ681" s="130">
        <f t="shared" si="4031"/>
        <v>9.6108193526442278</v>
      </c>
      <c r="EK681" s="163">
        <f>EK657/EK610</f>
        <v>59.783097830978313</v>
      </c>
      <c r="EL681" s="130">
        <f t="shared" si="4032"/>
        <v>9.3572627278335929</v>
      </c>
      <c r="EM681" s="163">
        <f>EM657/EM610</f>
        <v>61.287236949986337</v>
      </c>
      <c r="EN681" s="130">
        <f t="shared" si="4034"/>
        <v>8.1734407776292031</v>
      </c>
      <c r="EO681" s="163">
        <f>EO657/EO610</f>
        <v>64.624415298541692</v>
      </c>
      <c r="EP681" s="130">
        <f t="shared" si="4036"/>
        <v>13.282916346591755</v>
      </c>
      <c r="EQ681" s="161">
        <f t="shared" ref="EQ681:EW681" si="4119">EQ660/EQ610</f>
        <v>65.959797265621546</v>
      </c>
      <c r="ER681" s="130">
        <f t="shared" si="4038"/>
        <v>13.005022162829283</v>
      </c>
      <c r="ES681" s="161">
        <f t="shared" si="4119"/>
        <v>67.421980146050174</v>
      </c>
      <c r="ET681" s="130">
        <f t="shared" si="4039"/>
        <v>12.777662236020081</v>
      </c>
      <c r="EU681" s="161">
        <f t="shared" si="4119"/>
        <v>68.797224944306492</v>
      </c>
      <c r="EV681" s="130">
        <f t="shared" si="4040"/>
        <v>12.253755215704555</v>
      </c>
      <c r="EW681" s="161">
        <f t="shared" si="4119"/>
        <v>70.244717864372078</v>
      </c>
      <c r="EX681" s="130">
        <f t="shared" si="4041"/>
        <v>8.6968718244746945</v>
      </c>
      <c r="EY681" s="376"/>
      <c r="EZ681" s="558"/>
      <c r="FA681" s="376"/>
      <c r="FB681" s="141">
        <v>23.86</v>
      </c>
      <c r="FC681" s="161"/>
      <c r="FD681" s="141">
        <v>24.14</v>
      </c>
      <c r="FE681" s="229">
        <f t="shared" si="4084"/>
        <v>1.1735121542330251</v>
      </c>
      <c r="FF681" s="161">
        <f>FF657/FF609</f>
        <v>25.318135245901644</v>
      </c>
      <c r="FG681" s="229">
        <f t="shared" si="4085"/>
        <v>4.8804276963614113</v>
      </c>
      <c r="FH681" s="161">
        <f>FH657/FH609</f>
        <v>26.729984301412877</v>
      </c>
      <c r="FI681" s="229">
        <f t="shared" si="4086"/>
        <v>5.5764338163087013</v>
      </c>
      <c r="FJ681" s="161">
        <f>FJ657/FJ609</f>
        <v>25.665921787709497</v>
      </c>
      <c r="FK681" s="229">
        <f t="shared" si="4087"/>
        <v>-3.9807824116347756</v>
      </c>
      <c r="FL681" s="161">
        <f>FL657/FL609</f>
        <v>27.352517985611513</v>
      </c>
      <c r="FM681" s="229">
        <f t="shared" si="4088"/>
        <v>6.5713447264912572</v>
      </c>
      <c r="FN681" s="161">
        <f>FN657/FN609</f>
        <v>30.316297558205569</v>
      </c>
      <c r="FO681" s="229">
        <f t="shared" si="4089"/>
        <v>10.835490809852022</v>
      </c>
      <c r="FP681" s="163">
        <f>FP657/FP609</f>
        <v>33.241944601469754</v>
      </c>
      <c r="FQ681" s="229">
        <f t="shared" si="3844"/>
        <v>24.362005703507549</v>
      </c>
      <c r="FR681" s="163">
        <f>FR657/FR609</f>
        <v>41.867951463240544</v>
      </c>
      <c r="FS681" s="61">
        <f t="shared" si="4042"/>
        <v>25.949164422196279</v>
      </c>
      <c r="FT681" s="163">
        <f>FT657/FT609</f>
        <v>43.697971450037564</v>
      </c>
      <c r="FU681" s="61">
        <f t="shared" si="4043"/>
        <v>4.3709327130651454</v>
      </c>
      <c r="FV681" s="161">
        <f>FV660/FV610</f>
        <v>42.094103865677461</v>
      </c>
      <c r="FW681" s="61">
        <f t="shared" si="4044"/>
        <v>-3.6703479157926044</v>
      </c>
      <c r="FX681" s="161">
        <f>FX660/FX610</f>
        <v>36.412698412698411</v>
      </c>
      <c r="FY681" s="61">
        <f t="shared" si="4045"/>
        <v>-13.496915081286554</v>
      </c>
      <c r="FZ681" s="142">
        <f>FZ657/FZ610</f>
        <v>38.169357391579616</v>
      </c>
      <c r="GA681" s="61">
        <f t="shared" si="4046"/>
        <v>4.824303211399994</v>
      </c>
      <c r="GB681" s="142">
        <f>GB657/GB610</f>
        <v>35.749571183533448</v>
      </c>
      <c r="GC681" s="61">
        <f t="shared" si="4047"/>
        <v>-6.3396042621875264</v>
      </c>
      <c r="GD681" s="142">
        <f>GD657/GD610</f>
        <v>41.108247422680407</v>
      </c>
      <c r="GE681" s="61">
        <f t="shared" si="4048"/>
        <v>14.989483962300532</v>
      </c>
      <c r="GF681" s="142">
        <f>GF657/GF610</f>
        <v>45.226321795359453</v>
      </c>
      <c r="GG681" s="61">
        <f t="shared" si="4048"/>
        <v>10.017635464573482</v>
      </c>
      <c r="GH681" s="801">
        <f>(GH657+3)/GH610</f>
        <v>49.286827747466873</v>
      </c>
      <c r="GI681" s="61">
        <f t="shared" si="4048"/>
        <v>8.9781918823300231</v>
      </c>
      <c r="GJ681" s="142">
        <f>GJ657/GJ610</f>
        <v>52.387202625102539</v>
      </c>
      <c r="GK681" s="61">
        <f t="shared" si="4048"/>
        <v>6.2904735795153988</v>
      </c>
      <c r="GL681" s="142">
        <f>GL657/GL610</f>
        <v>57.04692056198639</v>
      </c>
      <c r="GM681" s="61">
        <f t="shared" si="4048"/>
        <v>8.894763803729111</v>
      </c>
      <c r="GN681" s="142">
        <f>GN657/GN610</f>
        <v>64.624415298541692</v>
      </c>
      <c r="GO681" s="61">
        <f t="shared" si="4048"/>
        <v>13.282916346591755</v>
      </c>
      <c r="GP681" s="142">
        <f>GP657/GP610</f>
        <v>70.244717864372078</v>
      </c>
      <c r="GQ681" s="61">
        <f t="shared" si="4048"/>
        <v>8.6968718244746945</v>
      </c>
      <c r="GR681" s="163">
        <f>GR657/GR610</f>
        <v>76.285473500622118</v>
      </c>
      <c r="GS681" s="61">
        <f t="shared" si="4048"/>
        <v>8.5995870150884279</v>
      </c>
      <c r="GT681" s="163">
        <f>GT657/GT610</f>
        <v>83.475724773233097</v>
      </c>
      <c r="GU681" s="61">
        <f t="shared" si="4048"/>
        <v>9.425452766642838</v>
      </c>
      <c r="GV681" s="163">
        <f>GV657/GV610</f>
        <v>91.438527869345904</v>
      </c>
      <c r="GW681" s="61">
        <f t="shared" si="4048"/>
        <v>9.5390643420518284</v>
      </c>
      <c r="GX681" s="163">
        <f>GX657/GX610</f>
        <v>100.23449848190916</v>
      </c>
      <c r="GY681" s="61">
        <f t="shared" si="4049"/>
        <v>9.6195453027541955</v>
      </c>
      <c r="GZ681" s="61">
        <f t="shared" si="4057"/>
        <v>9.1752308730641996</v>
      </c>
      <c r="HA681" s="61"/>
      <c r="HB681" s="452"/>
      <c r="HC681"/>
      <c r="HD681"/>
      <c r="HE681"/>
      <c r="HF681"/>
      <c r="HG681"/>
      <c r="HH681"/>
    </row>
    <row r="682" spans="1:216" s="5" customFormat="1" ht="12.75" customHeight="1" x14ac:dyDescent="0.2">
      <c r="A682" s="7"/>
      <c r="B682" s="7" t="s">
        <v>182</v>
      </c>
      <c r="C682" s="161"/>
      <c r="D682" s="70"/>
      <c r="E682" s="161"/>
      <c r="F682" s="71"/>
      <c r="G682" s="161"/>
      <c r="H682" s="71"/>
      <c r="I682" s="161"/>
      <c r="J682" s="61"/>
      <c r="K682" s="161"/>
      <c r="L682" s="61"/>
      <c r="M682" s="161"/>
      <c r="N682" s="61"/>
      <c r="O682" s="161"/>
      <c r="P682" s="61"/>
      <c r="Q682" s="161"/>
      <c r="R682" s="61"/>
      <c r="S682" s="161"/>
      <c r="T682" s="61"/>
      <c r="U682" s="161"/>
      <c r="V682" s="61"/>
      <c r="W682" s="161"/>
      <c r="X682" s="61"/>
      <c r="Y682" s="161"/>
      <c r="Z682" s="61"/>
      <c r="AA682" s="161"/>
      <c r="AB682" s="61"/>
      <c r="AC682" s="161"/>
      <c r="AD682" s="61"/>
      <c r="AE682" s="161"/>
      <c r="AF682" s="61"/>
      <c r="AG682" s="161"/>
      <c r="AH682" s="61"/>
      <c r="AI682" s="161"/>
      <c r="AJ682" s="61"/>
      <c r="AK682" s="161"/>
      <c r="AL682" s="61"/>
      <c r="AM682" s="161"/>
      <c r="AN682" s="61"/>
      <c r="AO682" s="161"/>
      <c r="AP682" s="61"/>
      <c r="AQ682" s="161"/>
      <c r="AR682" s="61"/>
      <c r="AS682" s="161"/>
      <c r="AT682" s="61"/>
      <c r="AU682" s="161"/>
      <c r="AV682" s="61"/>
      <c r="AW682" s="161"/>
      <c r="AX682" s="61"/>
      <c r="AY682" s="161"/>
      <c r="AZ682" s="61"/>
      <c r="BA682" s="161"/>
      <c r="BB682" s="61"/>
      <c r="BC682" s="161"/>
      <c r="BD682" s="61"/>
      <c r="BE682" s="161"/>
      <c r="BF682" s="61"/>
      <c r="BG682" s="161">
        <f>BG660/BG609</f>
        <v>41.985766423357667</v>
      </c>
      <c r="BH682" s="61" t="str">
        <f t="shared" si="3997"/>
        <v>NA</v>
      </c>
      <c r="BI682" s="161">
        <f>BI660/BI609</f>
        <v>43.056830601092898</v>
      </c>
      <c r="BJ682" s="61" t="str">
        <f t="shared" si="3998"/>
        <v>NA</v>
      </c>
      <c r="BK682" s="161">
        <f>BK660/BK609</f>
        <v>43.305115936694882</v>
      </c>
      <c r="BL682" s="61" t="str">
        <f t="shared" si="3999"/>
        <v>NA</v>
      </c>
      <c r="BM682" s="161">
        <f>BM660/BM609</f>
        <v>43.697971450037564</v>
      </c>
      <c r="BN682" s="61" t="str">
        <f t="shared" si="4000"/>
        <v>NA</v>
      </c>
      <c r="BO682" s="161">
        <f>BO660/BO609</f>
        <v>43.794305120313602</v>
      </c>
      <c r="BP682" s="61">
        <f t="shared" si="4001"/>
        <v>4.307504306863863</v>
      </c>
      <c r="BQ682" s="161">
        <f>BQ660/BQ609</f>
        <v>43.855702094647015</v>
      </c>
      <c r="BR682" s="61">
        <f t="shared" si="4002"/>
        <v>1.8553885234967593</v>
      </c>
      <c r="BS682" s="161">
        <f>BS660/BS609</f>
        <v>44.026469443363176</v>
      </c>
      <c r="BT682" s="61">
        <f t="shared" si="4003"/>
        <v>1.6657466238464647</v>
      </c>
      <c r="BU682" s="161">
        <f>BU660/BU609</f>
        <v>41.832751261156382</v>
      </c>
      <c r="BV682" s="61">
        <f t="shared" si="4004"/>
        <v>-4.2684365589230939</v>
      </c>
      <c r="BW682" s="161">
        <f>BW660/BW609</f>
        <v>39.900038744672607</v>
      </c>
      <c r="BX682" s="61">
        <f t="shared" si="3870"/>
        <v>-8.8921752838468375</v>
      </c>
      <c r="BY682" s="161">
        <f>BY660/BY609</f>
        <v>35.44345825115056</v>
      </c>
      <c r="BZ682" s="61">
        <f t="shared" si="3871"/>
        <v>-19.181642162156255</v>
      </c>
      <c r="CA682" s="161">
        <f>CA660/CA609</f>
        <v>35.040731237973063</v>
      </c>
      <c r="CB682" s="61">
        <f t="shared" si="3872"/>
        <v>-20.409854160460462</v>
      </c>
      <c r="CC682" s="161">
        <f>CC660/CC609</f>
        <v>35.314945477870424</v>
      </c>
      <c r="CD682" s="61">
        <f t="shared" si="3873"/>
        <v>-15.580629021017888</v>
      </c>
      <c r="CE682" s="161">
        <f>CE660/CE609</f>
        <v>35.514057507987218</v>
      </c>
      <c r="CF682" s="61">
        <f t="shared" si="4005"/>
        <v>-10.992423503024785</v>
      </c>
      <c r="CG682" s="161">
        <f>CG660/CG609</f>
        <v>35.897514575023017</v>
      </c>
      <c r="CH682" s="61">
        <f t="shared" si="4006"/>
        <v>1.2810722945121089</v>
      </c>
      <c r="CI682" s="161">
        <f>CI660/CI609</f>
        <v>36.680851063829785</v>
      </c>
      <c r="CJ682" s="61">
        <f t="shared" si="4007"/>
        <v>4.6806095875058462</v>
      </c>
      <c r="CK682" s="161">
        <f>CK660/CK609</f>
        <v>37.215123456790124</v>
      </c>
      <c r="CL682" s="61">
        <f t="shared" si="4008"/>
        <v>5.3806623603890769</v>
      </c>
      <c r="CM682" s="161">
        <f>CM660/CM609</f>
        <v>34.813881107998753</v>
      </c>
      <c r="CN682" s="61">
        <f t="shared" si="4009"/>
        <v>-1.9715471819320873</v>
      </c>
      <c r="CO682" s="161">
        <f>CO660/CO609</f>
        <v>35.767045454545453</v>
      </c>
      <c r="CP682" s="61">
        <f t="shared" si="4010"/>
        <v>-0.36344889617606624</v>
      </c>
      <c r="CQ682" s="161">
        <f>CQ660/CQ609</f>
        <v>36.894753991528191</v>
      </c>
      <c r="CR682" s="61">
        <f t="shared" si="4011"/>
        <v>0.58314603258846631</v>
      </c>
      <c r="CS682" s="161">
        <f>CS660/CS609</f>
        <v>35.08754208754209</v>
      </c>
      <c r="CT682" s="61">
        <f t="shared" si="4012"/>
        <v>-5.7169805488307297</v>
      </c>
      <c r="CU682" s="161">
        <f>CU660/CU609</f>
        <v>35.829351535836174</v>
      </c>
      <c r="CV682" s="61">
        <f t="shared" si="4013"/>
        <v>2.9168549886387396</v>
      </c>
      <c r="CW682" s="161">
        <f>CW660/CW609</f>
        <v>37.168758716875871</v>
      </c>
      <c r="CX682" s="61">
        <f t="shared" si="4014"/>
        <v>3.9190076913447669</v>
      </c>
      <c r="CY682" s="161">
        <f>CY660/CY609</f>
        <v>38.845609065155813</v>
      </c>
      <c r="CZ682" s="61">
        <f t="shared" si="4015"/>
        <v>5.2876218501838546</v>
      </c>
      <c r="DA682" s="161">
        <f>DA660/DA609</f>
        <v>40.003582945180938</v>
      </c>
      <c r="DB682" s="61">
        <f t="shared" si="4016"/>
        <v>14.01078720582225</v>
      </c>
      <c r="DC682" s="161">
        <f>DC660/DC609</f>
        <v>40.696248196248199</v>
      </c>
      <c r="DD682" s="61">
        <f t="shared" si="4017"/>
        <v>13.58354659459633</v>
      </c>
      <c r="DE682" s="161">
        <f>DE660/DE609</f>
        <v>41.708652792990144</v>
      </c>
      <c r="DF682" s="61">
        <f t="shared" si="4018"/>
        <v>12.214274118476286</v>
      </c>
      <c r="DG682" s="161">
        <f>DG660/DG609</f>
        <v>42.711926605504587</v>
      </c>
      <c r="DH682" s="61">
        <f t="shared" si="4019"/>
        <v>9.9530362205514358</v>
      </c>
      <c r="DI682" s="161">
        <f>DI660/DI609</f>
        <v>43.681116825863334</v>
      </c>
      <c r="DJ682" s="61">
        <f t="shared" si="4020"/>
        <v>9.1930112503220585</v>
      </c>
      <c r="DK682" s="161">
        <f>DK660/DK609</f>
        <v>44.500739644970416</v>
      </c>
      <c r="DL682" s="61">
        <f t="shared" si="4021"/>
        <v>9.3485066003528026</v>
      </c>
      <c r="DM682" s="161">
        <f>DM660/DM609</f>
        <v>45.784753363228695</v>
      </c>
      <c r="DN682" s="130">
        <f t="shared" si="4022"/>
        <v>9.7727936466066154</v>
      </c>
      <c r="DO682" s="161">
        <f>DO660/DO609</f>
        <v>47.193973634651599</v>
      </c>
      <c r="DP682" s="130">
        <f t="shared" si="4022"/>
        <v>10.493666255198564</v>
      </c>
      <c r="DQ682" s="161">
        <f>DQ660/DQ609</f>
        <v>48.351816443594643</v>
      </c>
      <c r="DR682" s="130">
        <f t="shared" si="4022"/>
        <v>10.69272023504173</v>
      </c>
      <c r="DS682" s="161">
        <f>DS660/DS609</f>
        <v>48.87247278382582</v>
      </c>
      <c r="DT682" s="130">
        <f t="shared" si="4022"/>
        <v>9.8239561268719466</v>
      </c>
      <c r="DU682" s="161">
        <f>DU660/DU609</f>
        <v>50.196772924045653</v>
      </c>
      <c r="DV682" s="130">
        <f t="shared" si="4022"/>
        <v>9.6364384139292945</v>
      </c>
      <c r="DW682" s="161">
        <f>DW660/DW609</f>
        <v>50.708598726114651</v>
      </c>
      <c r="DX682" s="161">
        <f t="shared" ref="DX682:DY682" si="4120">DX660/DX609</f>
        <v>50.708598726114651</v>
      </c>
      <c r="DY682" s="161">
        <f t="shared" si="4120"/>
        <v>51.771382245642485</v>
      </c>
      <c r="DZ682" s="130">
        <f t="shared" si="4022"/>
        <v>7.0722592315367816</v>
      </c>
      <c r="EA682" s="161">
        <f t="shared" ref="EA682:EC682" si="4121">EA660/EA609</f>
        <v>52.547481420313794</v>
      </c>
      <c r="EB682" s="130">
        <f t="shared" si="4025"/>
        <v>7.519588077205297</v>
      </c>
      <c r="EC682" s="161">
        <f t="shared" si="4121"/>
        <v>53.851036817604736</v>
      </c>
      <c r="ED682" s="130">
        <f t="shared" si="4026"/>
        <v>7.2798781289953984</v>
      </c>
      <c r="EE682" s="161">
        <f t="shared" ref="EE682:EG682" si="4122">EE660/EE609</f>
        <v>55.970600951145698</v>
      </c>
      <c r="EF682" s="130">
        <f t="shared" si="4028"/>
        <v>10.376942682742962</v>
      </c>
      <c r="EG682" s="161">
        <f t="shared" si="4122"/>
        <v>56.114732724902218</v>
      </c>
      <c r="EH682" s="130">
        <f t="shared" si="4029"/>
        <v>8.3894813908031338</v>
      </c>
      <c r="EI682" s="161">
        <f t="shared" ref="EI682:EK682" si="4123">EI660/EI609</f>
        <v>57.343818261249453</v>
      </c>
      <c r="EJ682" s="130">
        <f t="shared" si="4031"/>
        <v>9.1276246002562686</v>
      </c>
      <c r="EK682" s="161">
        <f t="shared" si="4123"/>
        <v>58.783185840707965</v>
      </c>
      <c r="EL682" s="130">
        <f t="shared" si="4032"/>
        <v>9.1588747674600679</v>
      </c>
      <c r="EM682" s="161">
        <f t="shared" ref="EM682" si="4124">EM660/EM609</f>
        <v>60.417602155365969</v>
      </c>
      <c r="EN682" s="130">
        <f t="shared" si="4034"/>
        <v>7.9452446974829893</v>
      </c>
      <c r="EO682" s="161">
        <f t="shared" ref="EO682" si="4125">EO660/EO609</f>
        <v>63.6782647989155</v>
      </c>
      <c r="EP682" s="130">
        <f t="shared" si="4036"/>
        <v>13.47869214862496</v>
      </c>
      <c r="EQ682" s="161">
        <f t="shared" ref="EQ682:EW682" si="4126">EQ660/EQ609</f>
        <v>64.994095760241464</v>
      </c>
      <c r="ER682" s="130">
        <f t="shared" si="4038"/>
        <v>13.341067495956672</v>
      </c>
      <c r="ES682" s="161">
        <f t="shared" si="4126"/>
        <v>66.434871173283781</v>
      </c>
      <c r="ET682" s="130">
        <f t="shared" si="4039"/>
        <v>13.01679251157044</v>
      </c>
      <c r="EU682" s="161">
        <f t="shared" si="4126"/>
        <v>67.785476405924342</v>
      </c>
      <c r="EV682" s="130">
        <f t="shared" si="4040"/>
        <v>12.1949133823809</v>
      </c>
      <c r="EW682" s="161">
        <f t="shared" si="4126"/>
        <v>69.207132695458455</v>
      </c>
      <c r="EX682" s="130">
        <f t="shared" si="4041"/>
        <v>8.6825040129502984</v>
      </c>
      <c r="EY682" s="376"/>
      <c r="EZ682" s="558"/>
      <c r="FA682" s="376"/>
      <c r="FB682" s="141"/>
      <c r="FC682" s="161"/>
      <c r="FD682" s="141"/>
      <c r="FE682" s="229"/>
      <c r="FF682" s="161"/>
      <c r="FG682" s="229"/>
      <c r="FH682" s="161"/>
      <c r="FI682" s="229"/>
      <c r="FJ682" s="161"/>
      <c r="FK682" s="229"/>
      <c r="FL682" s="161"/>
      <c r="FM682" s="229"/>
      <c r="FN682" s="161"/>
      <c r="FO682" s="229"/>
      <c r="FP682" s="163"/>
      <c r="FQ682" s="229"/>
      <c r="FR682" s="163"/>
      <c r="FS682" s="61" t="str">
        <f>IF(ISERROR((FR682/FJ682-1)*100),"NA",IF(((FR682/FJ682-1)*100)&gt;100,"NM",IF(((FR682/FJ682-1)*100)&lt;-50,"NM",(FR682/FJ682-1)*100)))</f>
        <v>NA</v>
      </c>
      <c r="FT682" s="161">
        <f>FT660/FT609</f>
        <v>43.697971450037564</v>
      </c>
      <c r="FU682" s="61" t="str">
        <f>IF(ISERROR((FT682/FL682-1)*100),"NA",IF(((FT682/FL682-1)*100)&gt;100,"NM",IF(((FT682/FL682-1)*100)&lt;-50,"NM",(FT682/FL682-1)*100)))</f>
        <v>NA</v>
      </c>
      <c r="FV682" s="161">
        <f>FV660/FV609</f>
        <v>41.832751261156382</v>
      </c>
      <c r="FW682" s="61" t="str">
        <f>IF(ISERROR((FV682/FN682-1)*100),"NA",IF(((FV682/FN682-1)*100)&gt;100,"NM",IF(((FV682/FN682-1)*100)&lt;-50,"NM",(FV682/FN682-1)*100)))</f>
        <v>NA</v>
      </c>
      <c r="FX682" s="161">
        <f>FX660/FX609</f>
        <v>35.314945477870424</v>
      </c>
      <c r="FY682" s="61" t="str">
        <f>IF(ISERROR((FX682/FP682-1)*100),"NA",IF(((FX682/FP682-1)*100)&gt;100,"NM",IF(((FX682/FP682-1)*100)&lt;-50,"NM",(FX682/FP682-1)*100)))</f>
        <v>NA</v>
      </c>
      <c r="FZ682" s="161">
        <f>FZ660/FZ609</f>
        <v>37.215123456790124</v>
      </c>
      <c r="GA682" s="61" t="str">
        <f>IF(ISERROR((FZ682/FR682-1)*100),"NA",IF(((FZ682/FR682-1)*100)&gt;100,"NM",IF(((FZ682/FR682-1)*100)&lt;-50,"NM",(FZ682/FR682-1)*100)))</f>
        <v>NA</v>
      </c>
      <c r="GB682" s="161">
        <f>GB660/GB609</f>
        <v>35.08754208754209</v>
      </c>
      <c r="GC682" s="61">
        <f>IF(ISERROR((GB682/FT682-1)*100),"NA",IF(((GB682/FT682-1)*100)&gt;100,"NM",IF(((GB682/FT682-1)*100)&lt;-50,"NM",(GB682/FT682-1)*100)))</f>
        <v>-19.704414362438495</v>
      </c>
      <c r="GD682" s="161">
        <f>GD660/GD609</f>
        <v>40.003582945180938</v>
      </c>
      <c r="GE682" s="61">
        <f>IF(ISERROR((GD682/FV682-1)*100),"NA",IF(((GD682/FV682-1)*100)&gt;100,"NM",IF(((GD682/FV682-1)*100)&lt;-50,"NM",(GD682/FV682-1)*100)))</f>
        <v>-4.372574743067192</v>
      </c>
      <c r="GF682" s="161">
        <f>GF660/GF609</f>
        <v>43.681116825863334</v>
      </c>
      <c r="GG682" s="61">
        <f>IF(ISERROR((GF682/FX682-1)*100),"NA",IF(((GF682/FX682-1)*100)&gt;100,"NM",IF(((GF682/FX682-1)*100)&lt;-50,"NM",(GF682/FX682-1)*100)))</f>
        <v>23.690172063936622</v>
      </c>
      <c r="GH682" s="161">
        <f>GH660/GH609</f>
        <v>48.351816443594643</v>
      </c>
      <c r="GI682" s="61">
        <f>IF(ISERROR((GH682/FZ682-1)*100),"NA",IF(((GH682/FZ682-1)*100)&gt;100,"NM",IF(((GH682/FZ682-1)*100)&lt;-50,"NM",(GH682/FZ682-1)*100)))</f>
        <v>29.925180819929697</v>
      </c>
      <c r="GJ682" s="161">
        <f>GJ660/GJ609</f>
        <v>51.771382245642485</v>
      </c>
      <c r="GK682" s="61">
        <f>IF(ISERROR((GJ682/GB682-1)*100),"NA",IF(((GJ682/GB682-1)*100)&gt;100,"NM",IF(((GJ682/GB682-1)*100)&lt;-50,"NM",(GJ682/GB682-1)*100)))</f>
        <v>47.549184597983071</v>
      </c>
      <c r="GL682" s="161">
        <f>GL660/GL609</f>
        <v>56.114732724902218</v>
      </c>
      <c r="GM682" s="61">
        <f>IF(ISERROR((GL682/GD682-1)*100),"NA",IF(((GL682/GD682-1)*100)&gt;100,"NM",IF(((GL682/GD682-1)*100)&lt;-50,"NM",(GL682/GD682-1)*100)))</f>
        <v>40.274266937037261</v>
      </c>
      <c r="GN682" s="161">
        <f>GN660/GN609</f>
        <v>63.6782647989155</v>
      </c>
      <c r="GO682" s="61">
        <f>IF(ISERROR((GN682/GF682-1)*100),"NA",IF(((GN682/GF682-1)*100)&gt;100,"NM",IF(((GN682/GF682-1)*100)&lt;-50,"NM",(GN682/GF682-1)*100)))</f>
        <v>45.779845906348186</v>
      </c>
      <c r="GP682" s="161">
        <f>GP660/GP609</f>
        <v>69.207132695458455</v>
      </c>
      <c r="GQ682" s="61">
        <f>IF(ISERROR((GP682/GH682-1)*100),"NA",IF(((GP682/GH682-1)*100)&gt;100,"NM",IF(((GP682/GH682-1)*100)&lt;-50,"NM",(GP682/GH682-1)*100)))</f>
        <v>43.132435936905942</v>
      </c>
      <c r="GR682" s="161">
        <f>GR660/GR609</f>
        <v>75.136728805105292</v>
      </c>
      <c r="GS682" s="61">
        <f>IF(ISERROR((GR682/GJ682-1)*100),"NA",IF(((GR682/GJ682-1)*100)&gt;100,"NM",IF(((GR682/GJ682-1)*100)&lt;-50,"NM",(GR682/GJ682-1)*100)))</f>
        <v>45.131780427650135</v>
      </c>
      <c r="GT682" s="161">
        <f>GT660/GT609</f>
        <v>82.188690512151808</v>
      </c>
      <c r="GU682" s="61">
        <f>IF(ISERROR((GT682/GL682-1)*100),"NA",IF(((GT682/GL682-1)*100)&gt;100,"NM",IF(((GT682/GL682-1)*100)&lt;-50,"NM",(GT682/GL682-1)*100)))</f>
        <v>46.465440573467554</v>
      </c>
      <c r="GV682" s="161">
        <f>GV660/GV609</f>
        <v>89.989154954642117</v>
      </c>
      <c r="GW682" s="61">
        <f>IF(ISERROR((GV682/GN682-1)*100),"NA",IF(((GV682/GN682-1)*100)&gt;100,"NM",IF(((GV682/GN682-1)*100)&lt;-50,"NM",(GV682/GN682-1)*100)))</f>
        <v>41.318478508815645</v>
      </c>
      <c r="GX682" s="161">
        <f>GX660/GX609</f>
        <v>98.600773998298521</v>
      </c>
      <c r="GY682" s="61">
        <f>IF(ISERROR((GX682/GP682-1)*100),"NA",IF(((GX682/GP682-1)*100)&gt;100,"NM",IF(((GX682/GP682-1)*100)&lt;-50,"NM",(GX682/GP682-1)*100)))</f>
        <v>42.471982522646769</v>
      </c>
      <c r="GZ682" s="61">
        <f t="shared" si="4057"/>
        <v>9.1384598316623045</v>
      </c>
      <c r="HA682" s="61"/>
      <c r="HB682" s="452"/>
      <c r="HC682"/>
      <c r="HD682"/>
      <c r="HE682"/>
      <c r="HF682"/>
      <c r="HG682"/>
      <c r="HH682"/>
    </row>
    <row r="683" spans="1:216" s="5" customFormat="1" ht="12.75" customHeight="1" x14ac:dyDescent="0.2">
      <c r="B683" s="7"/>
      <c r="C683" s="66"/>
      <c r="D683" s="67"/>
      <c r="E683" s="66"/>
      <c r="F683" s="66"/>
      <c r="G683" s="66"/>
      <c r="H683" s="66"/>
      <c r="I683" s="66"/>
      <c r="J683" s="66"/>
      <c r="K683" s="66"/>
      <c r="L683" s="61"/>
      <c r="M683" s="66"/>
      <c r="N683" s="61"/>
      <c r="O683" s="66"/>
      <c r="P683" s="61"/>
      <c r="Q683" s="66"/>
      <c r="R683" s="61"/>
      <c r="S683" s="66"/>
      <c r="T683" s="61"/>
      <c r="U683" s="66"/>
      <c r="V683" s="61"/>
      <c r="W683" s="66"/>
      <c r="X683" s="61"/>
      <c r="Y683" s="66"/>
      <c r="Z683" s="61"/>
      <c r="AA683" s="66"/>
      <c r="AB683" s="61"/>
      <c r="AC683" s="66"/>
      <c r="AD683" s="61"/>
      <c r="AE683" s="66"/>
      <c r="AF683" s="61"/>
      <c r="AG683" s="66"/>
      <c r="AH683" s="61"/>
      <c r="AI683" s="66"/>
      <c r="AJ683" s="61"/>
      <c r="AK683" s="66"/>
      <c r="AL683" s="61"/>
      <c r="AM683" s="66"/>
      <c r="AN683" s="61"/>
      <c r="AO683" s="66"/>
      <c r="AP683" s="61"/>
      <c r="AQ683" s="66"/>
      <c r="AR683" s="61"/>
      <c r="AS683" s="66"/>
      <c r="AT683" s="61"/>
      <c r="AU683" s="66"/>
      <c r="AV683" s="61"/>
      <c r="AW683" s="66"/>
      <c r="AX683" s="61"/>
      <c r="AY683" s="66"/>
      <c r="AZ683" s="61"/>
      <c r="BA683" s="66"/>
      <c r="BB683" s="61"/>
      <c r="BC683" s="66"/>
      <c r="BD683" s="61"/>
      <c r="BE683" s="66"/>
      <c r="BF683" s="61"/>
      <c r="BG683" s="66"/>
      <c r="BH683" s="61"/>
      <c r="BI683" s="66"/>
      <c r="BJ683" s="61"/>
      <c r="BK683" s="66"/>
      <c r="BL683" s="61"/>
      <c r="BM683" s="66"/>
      <c r="BN683" s="61"/>
      <c r="BO683" s="66"/>
      <c r="BP683" s="61"/>
      <c r="BQ683" s="66"/>
      <c r="BR683" s="61"/>
      <c r="BS683" s="66"/>
      <c r="BT683" s="61"/>
      <c r="BU683" s="66"/>
      <c r="BV683" s="61"/>
      <c r="BW683" s="66"/>
      <c r="BX683" s="61"/>
      <c r="BY683" s="66"/>
      <c r="BZ683" s="61"/>
      <c r="CA683" s="66"/>
      <c r="CB683" s="61"/>
      <c r="CC683" s="66"/>
      <c r="CD683" s="61"/>
      <c r="CE683" s="66"/>
      <c r="CF683" s="61"/>
      <c r="CG683" s="66"/>
      <c r="CH683" s="61"/>
      <c r="CI683" s="66"/>
      <c r="CJ683" s="61"/>
      <c r="CK683" s="66"/>
      <c r="CL683" s="61"/>
      <c r="CM683" s="66"/>
      <c r="CN683" s="61"/>
      <c r="CO683" s="120"/>
      <c r="CP683" s="61"/>
      <c r="CQ683" s="120"/>
      <c r="CR683" s="61"/>
      <c r="CS683" s="120"/>
      <c r="CT683" s="61"/>
      <c r="CU683" s="120"/>
      <c r="CV683" s="61"/>
      <c r="CW683" s="120"/>
      <c r="CX683" s="61"/>
      <c r="CY683" s="120"/>
      <c r="CZ683" s="61"/>
      <c r="DA683" s="120"/>
      <c r="DB683" s="61"/>
      <c r="DC683" s="120"/>
      <c r="DD683" s="61"/>
      <c r="DE683" s="120"/>
      <c r="DF683" s="61"/>
      <c r="DG683" s="120"/>
      <c r="DH683" s="61"/>
      <c r="DI683" s="120"/>
      <c r="DJ683" s="61"/>
      <c r="DK683" s="120"/>
      <c r="DL683" s="61"/>
      <c r="DM683" s="120"/>
      <c r="DN683" s="61"/>
      <c r="DO683" s="120"/>
      <c r="DP683" s="61"/>
      <c r="DQ683" s="120"/>
      <c r="DR683" s="61"/>
      <c r="DS683" s="120"/>
      <c r="DT683" s="61"/>
      <c r="DU683" s="120"/>
      <c r="DV683" s="61"/>
      <c r="DW683" s="120"/>
      <c r="DX683" s="120"/>
      <c r="DY683" s="120"/>
      <c r="DZ683" s="61"/>
      <c r="EA683" s="120"/>
      <c r="EB683" s="61"/>
      <c r="EC683" s="120"/>
      <c r="ED683" s="61"/>
      <c r="EE683" s="120"/>
      <c r="EF683" s="61"/>
      <c r="EG683" s="120"/>
      <c r="EH683" s="61"/>
      <c r="EI683" s="120"/>
      <c r="EJ683" s="61"/>
      <c r="EK683" s="120"/>
      <c r="EL683" s="61"/>
      <c r="EM683" s="120"/>
      <c r="EN683" s="61"/>
      <c r="EO683" s="120"/>
      <c r="EP683" s="61"/>
      <c r="EQ683" s="120"/>
      <c r="ER683" s="61"/>
      <c r="ES683" s="120"/>
      <c r="ET683" s="61"/>
      <c r="EU683" s="120"/>
      <c r="EV683" s="61"/>
      <c r="EW683" s="120"/>
      <c r="EX683" s="61"/>
      <c r="EY683" s="66"/>
      <c r="EZ683" s="558"/>
      <c r="FA683" s="66"/>
      <c r="FB683" s="66"/>
      <c r="FC683" s="66"/>
      <c r="FD683" s="66"/>
      <c r="FE683" s="67"/>
      <c r="FF683" s="66"/>
      <c r="FG683" s="67"/>
      <c r="FH683" s="66"/>
      <c r="FI683" s="67"/>
      <c r="FJ683" s="66"/>
      <c r="FK683" s="67"/>
      <c r="FL683" s="66"/>
      <c r="FM683" s="61"/>
      <c r="FN683" s="66"/>
      <c r="FO683" s="61"/>
      <c r="FP683" s="16"/>
      <c r="FQ683" s="61"/>
      <c r="FR683" s="16"/>
      <c r="FS683" s="61"/>
      <c r="FT683" s="16"/>
      <c r="FU683" s="61"/>
      <c r="FV683" s="16"/>
      <c r="FW683" s="61"/>
      <c r="FX683" s="16"/>
      <c r="FY683" s="61"/>
      <c r="FZ683" s="121"/>
      <c r="GA683" s="61"/>
      <c r="GB683" s="121"/>
      <c r="GC683" s="61"/>
      <c r="GD683" s="121"/>
      <c r="GE683" s="61"/>
      <c r="GF683" s="121"/>
      <c r="GG683" s="61"/>
      <c r="GH683" s="121"/>
      <c r="GI683" s="61"/>
      <c r="GJ683" s="121"/>
      <c r="GK683" s="61"/>
      <c r="GL683" s="121"/>
      <c r="GM683" s="61"/>
      <c r="GN683" s="121"/>
      <c r="GO683" s="61"/>
      <c r="GP683" s="121"/>
      <c r="GQ683" s="61"/>
      <c r="GR683" s="66"/>
      <c r="GS683" s="61"/>
      <c r="GT683" s="66"/>
      <c r="GU683" s="61"/>
      <c r="GV683" s="66"/>
      <c r="GW683" s="61"/>
      <c r="GX683" s="66"/>
      <c r="GY683" s="61"/>
      <c r="GZ683" s="61" t="str">
        <f t="shared" si="4057"/>
        <v/>
      </c>
      <c r="HA683" s="61"/>
      <c r="HB683" s="452"/>
      <c r="HC683"/>
      <c r="HD683"/>
      <c r="HE683"/>
      <c r="HF683"/>
      <c r="HG683"/>
      <c r="HH683"/>
    </row>
    <row r="684" spans="1:216" s="5" customFormat="1" ht="12.75" customHeight="1" x14ac:dyDescent="0.2">
      <c r="B684" s="105" t="s">
        <v>496</v>
      </c>
      <c r="C684" s="356"/>
      <c r="D684" s="107"/>
      <c r="E684" s="356"/>
      <c r="F684" s="64"/>
      <c r="G684" s="64"/>
      <c r="H684" s="64"/>
      <c r="I684" s="356"/>
      <c r="J684" s="64"/>
      <c r="K684" s="356"/>
      <c r="L684" s="61"/>
      <c r="M684" s="356"/>
      <c r="N684" s="61"/>
      <c r="O684" s="64"/>
      <c r="P684" s="61"/>
      <c r="Q684" s="64"/>
      <c r="R684" s="61"/>
      <c r="S684" s="64"/>
      <c r="T684" s="61"/>
      <c r="U684" s="356"/>
      <c r="V684" s="61"/>
      <c r="W684" s="64"/>
      <c r="X684" s="61"/>
      <c r="Y684" s="64"/>
      <c r="Z684" s="61"/>
      <c r="AA684" s="64"/>
      <c r="AB684" s="61"/>
      <c r="AC684" s="64"/>
      <c r="AD684" s="61"/>
      <c r="AE684" s="64"/>
      <c r="AF684" s="61"/>
      <c r="AG684" s="64"/>
      <c r="AH684" s="61"/>
      <c r="AI684" s="64"/>
      <c r="AJ684" s="61"/>
      <c r="AK684" s="64"/>
      <c r="AL684" s="61"/>
      <c r="AM684" s="64"/>
      <c r="AN684" s="61"/>
      <c r="AO684" s="64"/>
      <c r="AP684" s="61"/>
      <c r="AQ684" s="64"/>
      <c r="AR684" s="61"/>
      <c r="AS684" s="64"/>
      <c r="AT684" s="61"/>
      <c r="AU684" s="64"/>
      <c r="AV684" s="61"/>
      <c r="AW684" s="64"/>
      <c r="AX684" s="61"/>
      <c r="AY684" s="64"/>
      <c r="AZ684" s="61"/>
      <c r="BA684" s="64"/>
      <c r="BB684" s="61"/>
      <c r="BC684" s="64"/>
      <c r="BD684" s="61"/>
      <c r="BE684" s="64"/>
      <c r="BF684" s="61"/>
      <c r="BG684" s="64"/>
      <c r="BH684" s="61"/>
      <c r="BI684" s="64"/>
      <c r="BJ684" s="61"/>
      <c r="BK684" s="64"/>
      <c r="BL684" s="61"/>
      <c r="BM684" s="64"/>
      <c r="BN684" s="61"/>
      <c r="BO684" s="64"/>
      <c r="BP684" s="61"/>
      <c r="BQ684" s="64"/>
      <c r="BR684" s="61"/>
      <c r="BS684" s="64"/>
      <c r="BT684" s="61"/>
      <c r="BU684" s="64"/>
      <c r="BV684" s="61"/>
      <c r="BW684" s="356"/>
      <c r="BX684" s="61"/>
      <c r="BY684" s="356"/>
      <c r="BZ684" s="61"/>
      <c r="CA684" s="356"/>
      <c r="CB684" s="61"/>
      <c r="CC684" s="356"/>
      <c r="CD684" s="61"/>
      <c r="CE684" s="356"/>
      <c r="CF684" s="61"/>
      <c r="CG684" s="356"/>
      <c r="CH684" s="61"/>
      <c r="CI684" s="356"/>
      <c r="CJ684" s="61"/>
      <c r="CK684" s="356"/>
      <c r="CL684" s="61"/>
      <c r="CM684" s="356"/>
      <c r="CN684" s="61"/>
      <c r="CO684" s="356"/>
      <c r="CP684" s="61"/>
      <c r="CQ684" s="356"/>
      <c r="CR684" s="61"/>
      <c r="CS684" s="356"/>
      <c r="CT684" s="61"/>
      <c r="CU684" s="356"/>
      <c r="CV684" s="61"/>
      <c r="CW684" s="356"/>
      <c r="CX684" s="61"/>
      <c r="CY684" s="356"/>
      <c r="CZ684" s="61"/>
      <c r="DA684" s="356"/>
      <c r="DB684" s="61"/>
      <c r="DC684" s="356"/>
      <c r="DD684" s="61"/>
      <c r="DE684" s="356"/>
      <c r="DF684" s="61"/>
      <c r="DG684" s="356"/>
      <c r="DH684" s="61"/>
      <c r="DI684" s="356"/>
      <c r="DJ684" s="61"/>
      <c r="DK684" s="356"/>
      <c r="DL684" s="61"/>
      <c r="DM684" s="356"/>
      <c r="DN684" s="61"/>
      <c r="DO684" s="356"/>
      <c r="DP684" s="61"/>
      <c r="DQ684" s="356"/>
      <c r="DR684" s="61"/>
      <c r="DS684" s="356"/>
      <c r="DT684" s="61"/>
      <c r="DU684" s="356"/>
      <c r="DV684" s="61"/>
      <c r="DW684" s="356"/>
      <c r="DX684" s="356"/>
      <c r="DY684" s="356"/>
      <c r="DZ684" s="61"/>
      <c r="EA684" s="356"/>
      <c r="EB684" s="61"/>
      <c r="EC684" s="356"/>
      <c r="ED684" s="61"/>
      <c r="EE684" s="356"/>
      <c r="EF684" s="61"/>
      <c r="EG684" s="356"/>
      <c r="EH684" s="61"/>
      <c r="EI684" s="356"/>
      <c r="EJ684" s="61"/>
      <c r="EK684" s="356"/>
      <c r="EL684" s="61"/>
      <c r="EM684" s="356"/>
      <c r="EN684" s="61"/>
      <c r="EO684" s="356"/>
      <c r="EP684" s="61"/>
      <c r="EQ684" s="356"/>
      <c r="ER684" s="61"/>
      <c r="ES684" s="356"/>
      <c r="ET684" s="61"/>
      <c r="EU684" s="356"/>
      <c r="EV684" s="61"/>
      <c r="EW684" s="356"/>
      <c r="EX684" s="61"/>
      <c r="EY684" s="64"/>
      <c r="EZ684" s="558"/>
      <c r="FA684" s="64"/>
      <c r="FB684" s="356"/>
      <c r="FC684" s="64"/>
      <c r="FD684" s="64"/>
      <c r="FE684" s="107"/>
      <c r="FF684" s="356"/>
      <c r="FG684" s="107"/>
      <c r="FH684" s="356"/>
      <c r="FI684" s="107"/>
      <c r="FJ684" s="356"/>
      <c r="FK684" s="107"/>
      <c r="FL684" s="356"/>
      <c r="FM684" s="61"/>
      <c r="FN684" s="356"/>
      <c r="FO684" s="61"/>
      <c r="FP684" s="357"/>
      <c r="FQ684" s="61"/>
      <c r="FR684" s="357"/>
      <c r="FS684" s="61"/>
      <c r="FT684" s="357"/>
      <c r="FU684" s="61"/>
      <c r="FV684" s="357"/>
      <c r="FW684" s="61"/>
      <c r="FX684" s="411"/>
      <c r="FY684" s="61"/>
      <c r="FZ684" s="411"/>
      <c r="GA684" s="61"/>
      <c r="GB684" s="411"/>
      <c r="GC684" s="61"/>
      <c r="GD684" s="411"/>
      <c r="GE684" s="61"/>
      <c r="GF684" s="411"/>
      <c r="GG684" s="61"/>
      <c r="GH684" s="411"/>
      <c r="GI684" s="61"/>
      <c r="GJ684" s="411"/>
      <c r="GK684" s="61"/>
      <c r="GL684" s="411"/>
      <c r="GM684" s="61"/>
      <c r="GN684" s="411"/>
      <c r="GO684" s="61"/>
      <c r="GP684" s="411"/>
      <c r="GQ684" s="61"/>
      <c r="GR684" s="356"/>
      <c r="GS684" s="61"/>
      <c r="GT684" s="356"/>
      <c r="GU684" s="61"/>
      <c r="GV684" s="356"/>
      <c r="GW684" s="61"/>
      <c r="GX684" s="356"/>
      <c r="GY684" s="61"/>
      <c r="GZ684" s="61" t="str">
        <f t="shared" si="4057"/>
        <v/>
      </c>
      <c r="HA684" s="61"/>
      <c r="HB684" s="452"/>
      <c r="HC684"/>
      <c r="HD684"/>
      <c r="HE684"/>
      <c r="HF684"/>
      <c r="HG684"/>
      <c r="HH684"/>
    </row>
    <row r="685" spans="1:216" s="5" customFormat="1" ht="12.75" customHeight="1" x14ac:dyDescent="0.2">
      <c r="B685" s="7" t="s">
        <v>8</v>
      </c>
      <c r="C685" s="414">
        <f>C643/C655*100</f>
        <v>11.004873520538409</v>
      </c>
      <c r="D685" s="70"/>
      <c r="E685" s="415">
        <f>E643/E655*100</f>
        <v>8.421526150058007</v>
      </c>
      <c r="F685" s="71"/>
      <c r="G685" s="415">
        <f>G643/G655*100</f>
        <v>7.2775745824703657</v>
      </c>
      <c r="H685" s="71"/>
      <c r="I685" s="415">
        <f>I643/I655*100</f>
        <v>6.3159807028521824</v>
      </c>
      <c r="J685" s="61"/>
      <c r="K685" s="415">
        <f>K643/K655*100</f>
        <v>8.101675737890405</v>
      </c>
      <c r="L685" s="61">
        <f t="shared" ref="L685:L693" si="4127">IF(ISERROR((K685/C685-1)*100),"NA",IF(((K685/C685-1)*100)&gt;100,"NM",IF(((K685/C685-1)*100)&lt;-50,"NM",(K685/C685-1)*100)))</f>
        <v>-26.381019075137591</v>
      </c>
      <c r="M685" s="415">
        <f>M643/M655*100</f>
        <v>6.9032600365501393</v>
      </c>
      <c r="N685" s="61">
        <f t="shared" ref="N685:N693" si="4128">IF(ISERROR((M685/E685-1)*100),"NA",IF(((M685/E685-1)*100)&gt;100,"NM",IF(((M685/E685-1)*100)&lt;-50,"NM",(M685/E685-1)*100)))</f>
        <v>-18.028396355420806</v>
      </c>
      <c r="O685" s="415">
        <f>O643/O655*100</f>
        <v>9.9722479185938955</v>
      </c>
      <c r="P685" s="61">
        <f t="shared" ref="P685:P693" si="4129">IF(ISERROR((O685/G685-1)*100),"NA",IF(((O685/G685-1)*100)&gt;100,"NM",IF(((O685/G685-1)*100)&lt;-50,"NM",(O685/G685-1)*100)))</f>
        <v>37.027079634666229</v>
      </c>
      <c r="Q685" s="415">
        <f>Q643/Q655*100</f>
        <v>6.6028130774161919</v>
      </c>
      <c r="R685" s="61">
        <f t="shared" ref="R685:R693" si="4130">IF(ISERROR((Q685/I685-1)*100),"NA",IF(((Q685/I685-1)*100)&gt;100,"NM",IF(((Q685/I685-1)*100)&lt;-50,"NM",(Q685/I685-1)*100)))</f>
        <v>4.5413750937282282</v>
      </c>
      <c r="S685" s="415">
        <f>S643/S655*100</f>
        <v>9.862367586793475</v>
      </c>
      <c r="T685" s="61">
        <f t="shared" ref="T685:T693" si="4131">IF(ISERROR((S685/K685-1)*100),"NA",IF(((S685/K685-1)*100)&gt;100,"NM",IF(((S685/K685-1)*100)&lt;-50,"NM",(S685/K685-1)*100)))</f>
        <v>21.732440372410377</v>
      </c>
      <c r="U685" s="415">
        <f>U643/U655*100</f>
        <v>3.9418622029591988</v>
      </c>
      <c r="V685" s="61">
        <f t="shared" ref="V685:V693" si="4132">IF(ISERROR((U685/M685-1)*100),"NA",IF(((U685/M685-1)*100)&gt;100,"NM",IF(((U685/M685-1)*100)&lt;-50,"NM",(U685/M685-1)*100)))</f>
        <v>-42.898540948935207</v>
      </c>
      <c r="W685" s="415">
        <f>W643/W655*100</f>
        <v>2.2071806945261918</v>
      </c>
      <c r="X685" s="61" t="str">
        <f t="shared" ref="X685:X693" si="4133">IF(ISERROR((W685/O685-1)*100),"NA",IF(((W685/O685-1)*100)&gt;100,"NM",IF(((W685/O685-1)*100)&lt;-50,"NM",(W685/O685-1)*100)))</f>
        <v>NM</v>
      </c>
      <c r="Y685" s="415">
        <f>Y643/Y655*100</f>
        <v>2.8611500701262274</v>
      </c>
      <c r="Z685" s="61" t="str">
        <f t="shared" ref="Z685:Z693" si="4134">IF(ISERROR((Y685/Q685-1)*100),"NA",IF(((Y685/Q685-1)*100)&gt;100,"NM",IF(((Y685/Q685-1)*100)&lt;-50,"NM",(Y685/Q685-1)*100)))</f>
        <v>NM</v>
      </c>
      <c r="AA685" s="415">
        <f>AA643/AA655*100</f>
        <v>2.3008256880733944</v>
      </c>
      <c r="AB685" s="61" t="str">
        <f t="shared" ref="AB685:AB693" si="4135">IF(ISERROR((AA685/S685-1)*100),"NA",IF(((AA685/S685-1)*100)&gt;100,"NM",IF(((AA685/S685-1)*100)&lt;-50,"NM",(AA685/S685-1)*100)))</f>
        <v>NM</v>
      </c>
      <c r="AC685" s="415">
        <f>AC643/AC655*100</f>
        <v>1.43399989683454</v>
      </c>
      <c r="AD685" s="61" t="str">
        <f t="shared" ref="AD685:AD693" si="4136">IF(ISERROR((AC685/U685-1)*100),"NA",IF(((AC685/U685-1)*100)&gt;100,"NM",IF(((AC685/U685-1)*100)&lt;-50,"NM",(AC685/U685-1)*100)))</f>
        <v>NM</v>
      </c>
      <c r="AE685" s="415">
        <f>AE643/AE655*100</f>
        <v>1.6271659745095233</v>
      </c>
      <c r="AF685" s="61">
        <f t="shared" ref="AF685:AF693" si="4137">IF(ISERROR((AE685/W685-1)*100),"NA",IF(((AE685/W685-1)*100)&gt;100,"NM",IF(((AE685/W685-1)*100)&lt;-50,"NM",(AE685/W685-1)*100)))</f>
        <v>-26.278533581555198</v>
      </c>
      <c r="AG685" s="415">
        <f>AG643/AG655*100</f>
        <v>0.75710647670176889</v>
      </c>
      <c r="AH685" s="61" t="str">
        <f t="shared" ref="AH685:AH693" si="4138">IF(ISERROR((AG685/Y685-1)*100),"NA",IF(((AG685/Y685-1)*100)&gt;100,"NM",IF(((AG685/Y685-1)*100)&lt;-50,"NM",(AG685/Y685-1)*100)))</f>
        <v>NM</v>
      </c>
      <c r="AI685" s="415">
        <f>AI643/AI655*100</f>
        <v>0.61853992024090498</v>
      </c>
      <c r="AJ685" s="61" t="str">
        <f t="shared" ref="AJ685:AJ693" si="4139">IF(ISERROR((AI685/AA685-1)*100),"NA",IF(((AI685/AA685-1)*100)&gt;100,"NM",IF(((AI685/AA685-1)*100)&lt;-50,"NM",(AI685/AA685-1)*100)))</f>
        <v>NM</v>
      </c>
      <c r="AK685" s="415">
        <f>AK643/AK655*100</f>
        <v>0.54358658428309992</v>
      </c>
      <c r="AL685" s="61" t="str">
        <f t="shared" ref="AL685:AL693" si="4140">IF(ISERROR((AK685/AC685-1)*100),"NA",IF(((AK685/AC685-1)*100)&gt;100,"NM",IF(((AK685/AC685-1)*100)&lt;-50,"NM",(AK685/AC685-1)*100)))</f>
        <v>NM</v>
      </c>
      <c r="AM685" s="415">
        <f>AM643/AM655*100</f>
        <v>0</v>
      </c>
      <c r="AN685" s="61" t="str">
        <f t="shared" ref="AN685:AN693" si="4141">IF(ISERROR((AM685/AE685-1)*100),"NA",IF(((AM685/AE685-1)*100)&gt;100,"NM",IF(((AM685/AE685-1)*100)&lt;-50,"NM",(AM685/AE685-1)*100)))</f>
        <v>NM</v>
      </c>
      <c r="AO685" s="415">
        <f>AO643/AO655*100</f>
        <v>3.4717274434872722</v>
      </c>
      <c r="AP685" s="61" t="str">
        <f t="shared" ref="AP685:AP693" si="4142">IF(ISERROR((AO685/AG685-1)*100),"NA",IF(((AO685/AG685-1)*100)&gt;100,"NM",IF(((AO685/AG685-1)*100)&lt;-50,"NM",(AO685/AG685-1)*100)))</f>
        <v>NM</v>
      </c>
      <c r="AQ685" s="415">
        <f>AQ643/AQ655*100</f>
        <v>3.2103791226066956</v>
      </c>
      <c r="AR685" s="61" t="str">
        <f t="shared" ref="AR685:AR693" si="4143">IF(ISERROR((AQ685/AI685-1)*100),"NA",IF(((AQ685/AI685-1)*100)&gt;100,"NM",IF(((AQ685/AI685-1)*100)&lt;-50,"NM",(AQ685/AI685-1)*100)))</f>
        <v>NM</v>
      </c>
      <c r="AS685" s="415">
        <f>AS643/AS655*100</f>
        <v>3.4965034965034967</v>
      </c>
      <c r="AT685" s="61" t="str">
        <f t="shared" ref="AT685:AT693" si="4144">IF(ISERROR((AS685/AK685-1)*100),"NA",IF(((AS685/AK685-1)*100)&gt;100,"NM",IF(((AS685/AK685-1)*100)&lt;-50,"NM",(AS685/AK685-1)*100)))</f>
        <v>NM</v>
      </c>
      <c r="AU685" s="415">
        <f>AU643/AU655*100</f>
        <v>2.627140220227866</v>
      </c>
      <c r="AV685" s="61" t="str">
        <f t="shared" ref="AV685:AV693" si="4145">IF(ISERROR((AU685/AM685-1)*100),"NA",IF(((AU685/AM685-1)*100)&gt;100,"NM",IF(((AU685/AM685-1)*100)&lt;-50,"NM",(AU685/AM685-1)*100)))</f>
        <v>NA</v>
      </c>
      <c r="AW685" s="415">
        <f>AW643/AW655*100</f>
        <v>1.8780151619572711</v>
      </c>
      <c r="AX685" s="61">
        <f t="shared" ref="AX685:AX693" si="4146">IF(ISERROR((AW685/AO685-1)*100),"NA",IF(((AW685/AO685-1)*100)&gt;100,"NM",IF(((AW685/AO685-1)*100)&lt;-50,"NM",(AW685/AO685-1)*100)))</f>
        <v>-45.905455064443444</v>
      </c>
      <c r="AY685" s="414">
        <f>AY643/AY655*100</f>
        <v>0.1672399103846518</v>
      </c>
      <c r="AZ685" s="61" t="str">
        <f t="shared" ref="AZ685:AZ693" si="4147">IF(ISERROR((AY685/AQ685-1)*100),"NA",IF(((AY685/AQ685-1)*100)&gt;100,"NM",IF(((AY685/AQ685-1)*100)&lt;-50,"NM",(AY685/AQ685-1)*100)))</f>
        <v>NM</v>
      </c>
      <c r="BA685" s="414">
        <f>BA643/BA655*100</f>
        <v>4.9189814814814818</v>
      </c>
      <c r="BB685" s="61">
        <f t="shared" si="3867"/>
        <v>40.682870370370374</v>
      </c>
      <c r="BC685" s="414">
        <f>BC643/BC655*100</f>
        <v>4.6432841769629336</v>
      </c>
      <c r="BD685" s="61">
        <f t="shared" si="3868"/>
        <v>76.742913880713857</v>
      </c>
      <c r="BE685" s="414">
        <f>BE643/BE655*100</f>
        <v>5.3897221539218094</v>
      </c>
      <c r="BF685" s="61" t="str">
        <f t="shared" si="3869"/>
        <v>NM</v>
      </c>
      <c r="BG685" s="414">
        <f>BG643/BG655*100</f>
        <v>4.1039876331842891</v>
      </c>
      <c r="BH685" s="61" t="str">
        <f t="shared" ref="BH685:BH693" si="4148">IF(ISERROR((BG685/AY685-1)*100),"NA",IF(((BG685/AY685-1)*100)&gt;100,"NM",IF(((BG685/AY685-1)*100)&lt;-50,"NM",(BG685/AY685-1)*100)))</f>
        <v>NM</v>
      </c>
      <c r="BI685" s="414">
        <f>BI643/BI655*100</f>
        <v>1.9517223315900198</v>
      </c>
      <c r="BJ685" s="61" t="str">
        <f t="shared" ref="BJ685:BJ693" si="4149">IF(ISERROR((BI685/BA685-1)*100),"NA",IF(((BI685/BA685-1)*100)&gt;100,"NM",IF(((BI685/BA685-1)*100)&lt;-50,"NM",(BI685/BA685-1)*100)))</f>
        <v>NM</v>
      </c>
      <c r="BK685" s="414">
        <f>BK643/BK655*100</f>
        <v>2.7342868368037854</v>
      </c>
      <c r="BL685" s="61">
        <f t="shared" ref="BL685:BL693" si="4150">IF(ISERROR((BK685/BC685-1)*100),"NA",IF(((BK685/BC685-1)*100)&gt;100,"NM",IF(((BK685/BC685-1)*100)&lt;-50,"NM",(BK685/BC685-1)*100)))</f>
        <v>-41.113084347290155</v>
      </c>
      <c r="BM685" s="414">
        <f>BM643/BM655*100</f>
        <v>4.6951802293828511</v>
      </c>
      <c r="BN685" s="61">
        <f t="shared" ref="BN685:BN693" si="4151">IF(ISERROR((BM685/BE685-1)*100),"NA",IF(((BM685/BE685-1)*100)&gt;100,"NM",IF(((BM685/BE685-1)*100)&lt;-50,"NM",(BM685/BE685-1)*100)))</f>
        <v>-12.886414265966895</v>
      </c>
      <c r="BO685" s="414">
        <f>BO643/BO655*100</f>
        <v>3.7036702957704559</v>
      </c>
      <c r="BP685" s="61">
        <f t="shared" ref="BP685:BP693" si="4152">IF(ISERROR((BO685/BG685-1)*100),"NA",IF(((BO685/BG685-1)*100)&gt;100,"NM",IF(((BO685/BG685-1)*100)&lt;-50,"NM",(BO685/BG685-1)*100)))</f>
        <v>-9.7543504804186387</v>
      </c>
      <c r="BQ685" s="414">
        <f>BQ643/BQ655*100</f>
        <v>8.5733065338121683</v>
      </c>
      <c r="BR685" s="61" t="str">
        <f t="shared" ref="BR685:BR693" si="4153">IF(ISERROR((BQ685/BI685-1)*100),"NA",IF(((BQ685/BI685-1)*100)&gt;100,"NM",IF(((BQ685/BI685-1)*100)&lt;-50,"NM",(BQ685/BI685-1)*100)))</f>
        <v>NM</v>
      </c>
      <c r="BS685" s="414">
        <f>BS643/BS655*100</f>
        <v>6.6862454079430744</v>
      </c>
      <c r="BT685" s="61" t="str">
        <f t="shared" ref="BT685:BT693" si="4154">IF(ISERROR((BS685/BK685-1)*100),"NA",IF(((BS685/BK685-1)*100)&gt;100,"NM",IF(((BS685/BK685-1)*100)&lt;-50,"NM",(BS685/BK685-1)*100)))</f>
        <v>NM</v>
      </c>
      <c r="BU685" s="414">
        <f>BU643/BU655*100</f>
        <v>10.213368769431352</v>
      </c>
      <c r="BV685" s="61" t="str">
        <f t="shared" ref="BV685:BV693" si="4155">IF(ISERROR((BU685/BM685-1)*100),"NA",IF(((BU685/BM685-1)*100)&gt;100,"NM",IF(((BU685/BM685-1)*100)&lt;-50,"NM",(BU685/BM685-1)*100)))</f>
        <v>NM</v>
      </c>
      <c r="BW685" s="414">
        <f>BW643/BW655*100</f>
        <v>19.605085278092609</v>
      </c>
      <c r="BX685" s="61" t="str">
        <f t="shared" si="3870"/>
        <v>NM</v>
      </c>
      <c r="BY685" s="414">
        <f>BY643/BY655*100</f>
        <v>5.0085404154498869</v>
      </c>
      <c r="BZ685" s="61">
        <f t="shared" si="3871"/>
        <v>-41.579828089701905</v>
      </c>
      <c r="CA685" s="414">
        <f>CA643/CA655*100</f>
        <v>3.686542553681476</v>
      </c>
      <c r="CB685" s="61">
        <f t="shared" si="3872"/>
        <v>-44.863786344097313</v>
      </c>
      <c r="CC685" s="414">
        <f>CC643/CC655*100</f>
        <v>3.2120071602331666</v>
      </c>
      <c r="CD685" s="61" t="str">
        <f t="shared" si="3873"/>
        <v>NM</v>
      </c>
      <c r="CE685" s="414">
        <f>CE643/CE655*100</f>
        <v>0.8757885991709432</v>
      </c>
      <c r="CF685" s="61" t="str">
        <f t="shared" ref="CF685:CF695" si="4156">IF(ISERROR((CE685/BW685-1)*100),"NA",IF(((CE685/BW685-1)*100)&gt;100,"NM",IF(((CE685/BW685-1)*100)&lt;-50,"NM",(CE685/BW685-1)*100)))</f>
        <v>NM</v>
      </c>
      <c r="CG685" s="414">
        <f>CG643/CG655*100</f>
        <v>0.78658531760162698</v>
      </c>
      <c r="CH685" s="61" t="str">
        <f t="shared" ref="CH685:CH695" si="4157">IF(ISERROR((CG685/BY685-1)*100),"NA",IF(((CG685/BY685-1)*100)&gt;100,"NM",IF(((CG685/BY685-1)*100)&lt;-50,"NM",(CG685/BY685-1)*100)))</f>
        <v>NM</v>
      </c>
      <c r="CI685" s="414">
        <f>CI643/CI655*100</f>
        <v>0.74499708639753348</v>
      </c>
      <c r="CJ685" s="61" t="str">
        <f t="shared" ref="CJ685:CJ695" si="4158">IF(ISERROR((CI685/CA685-1)*100),"NA",IF(((CI685/CA685-1)*100)&gt;100,"NM",IF(((CI685/CA685-1)*100)&lt;-50,"NM",(CI685/CA685-1)*100)))</f>
        <v>NM</v>
      </c>
      <c r="CK685" s="414">
        <f>CK643/CK655*100</f>
        <v>2.7441548096896615</v>
      </c>
      <c r="CL685" s="61">
        <f t="shared" ref="CL685:CL695" si="4159">IF(ISERROR((CK685/CC685-1)*100),"NA",IF(((CK685/CC685-1)*100)&gt;100,"NM",IF(((CK685/CC685-1)*100)&lt;-50,"NM",(CK685/CC685-1)*100)))</f>
        <v>-14.565731868092801</v>
      </c>
      <c r="CM685" s="414">
        <f>CM643/CM655*100</f>
        <v>2.9158097260001328</v>
      </c>
      <c r="CN685" s="61" t="str">
        <f t="shared" ref="CN685:CN695" si="4160">IF(ISERROR((CM685/CE685-1)*100),"NA",IF(((CM685/CE685-1)*100)&gt;100,"NM",IF(((CM685/CE685-1)*100)&lt;-50,"NM",(CM685/CE685-1)*100)))</f>
        <v>NM</v>
      </c>
      <c r="CO685" s="414">
        <f>CO643/CO655*100</f>
        <v>2.0011148272017838</v>
      </c>
      <c r="CP685" s="61" t="str">
        <f t="shared" ref="CP685:CP695" si="4161">IF(ISERROR((CO685/CG685-1)*100),"NA",IF(((CO685/CG685-1)*100)&gt;100,"NM",IF(((CO685/CG685-1)*100)&lt;-50,"NM",(CO685/CG685-1)*100)))</f>
        <v>NM</v>
      </c>
      <c r="CQ685" s="414">
        <f>CQ643/CQ655*100</f>
        <v>3.9315078286980767</v>
      </c>
      <c r="CR685" s="61" t="str">
        <f t="shared" ref="CR685:CR695" si="4162">IF(ISERROR((CQ685/CI685-1)*100),"NA",IF(((CQ685/CI685-1)*100)&gt;100,"NM",IF(((CQ685/CI685-1)*100)&lt;-50,"NM",(CQ685/CI685-1)*100)))</f>
        <v>NM</v>
      </c>
      <c r="CS685" s="414">
        <f>CS643/CS655*100</f>
        <v>2.2900763358778624</v>
      </c>
      <c r="CT685" s="61">
        <f t="shared" ref="CT685:CT695" si="4163">IF(ISERROR((CS685/CK685-1)*100),"NA",IF(((CS685/CK685-1)*100)&gt;100,"NM",IF(((CS685/CK685-1)*100)&lt;-50,"NM",(CS685/CK685-1)*100)))</f>
        <v>-16.547115789839538</v>
      </c>
      <c r="CU685" s="414">
        <f>CU643/CU655*100</f>
        <v>2.2865853658536586</v>
      </c>
      <c r="CV685" s="61">
        <f t="shared" ref="CV685:CV694" si="4164">IF(ISERROR((CU685/CM685-1)*100),"NA",IF(((CU685/CM685-1)*100)&gt;100,"NM",IF(((CU685/CM685-1)*100)&lt;-50,"NM",(CU685/CM685-1)*100)))</f>
        <v>-21.579746940814115</v>
      </c>
      <c r="CW685" s="414">
        <f>CW643/CW655*100</f>
        <v>2.1369043379158059</v>
      </c>
      <c r="CX685" s="61">
        <f t="shared" ref="CX685:CX695" si="4165">IF(ISERROR((CW685/CO685-1)*100),"NA",IF(((CW685/CO685-1)*100)&gt;100,"NM",IF(((CW685/CO685-1)*100)&lt;-50,"NM",(CW685/CO685-1)*100)))</f>
        <v>6.7856930980767505</v>
      </c>
      <c r="CY685" s="414">
        <f>CY643/CY655*100</f>
        <v>1.3227513227513228</v>
      </c>
      <c r="CZ685" s="61" t="str">
        <f t="shared" ref="CZ685:CZ695" si="4166">IF(ISERROR((CY685/CQ685-1)*100),"NA",IF(((CY685/CQ685-1)*100)&gt;100,"NM",IF(((CY685/CQ685-1)*100)&lt;-50,"NM",(CY685/CQ685-1)*100)))</f>
        <v>NM</v>
      </c>
      <c r="DA685" s="414">
        <f>DA643/DA655*100</f>
        <v>1.3357376611233553</v>
      </c>
      <c r="DB685" s="61">
        <f t="shared" ref="DB685:DB695" si="4167">IF(ISERROR((DA685/CS685-1)*100),"NA",IF(((DA685/CS685-1)*100)&gt;100,"NM",IF(((DA685/CS685-1)*100)&lt;-50,"NM",(DA685/CS685-1)*100)))</f>
        <v>-41.672788797613478</v>
      </c>
      <c r="DC685" s="414">
        <f>DC643/DC655*100</f>
        <v>4.7503700713228367</v>
      </c>
      <c r="DD685" s="61" t="str">
        <f t="shared" ref="DD685:DD695" si="4168">IF(ISERROR((DC685/CU685-1)*100),"NA",IF(((DC685/CU685-1)*100)&gt;100,"NM",IF(((DC685/CU685-1)*100)&lt;-50,"NM",(DC685/CU685-1)*100)))</f>
        <v>NM</v>
      </c>
      <c r="DE685" s="414">
        <f>DE643/DE655*100</f>
        <v>3.7996545768566494</v>
      </c>
      <c r="DF685" s="61">
        <f t="shared" ref="DF685:DF695" si="4169">IF(ISERROR((DE685/CW685-1)*100),"NA",IF(((DE685/CW685-1)*100)&gt;100,"NM",IF(((DE685/CW685-1)*100)&lt;-50,"NM",(DE685/CW685-1)*100)))</f>
        <v>77.811168681634996</v>
      </c>
      <c r="DG685" s="414">
        <f>DG643/DG655*100</f>
        <v>3.7568152961386216</v>
      </c>
      <c r="DH685" s="61" t="str">
        <f t="shared" ref="DH685:DH695" si="4170">IF(ISERROR((DG685/CY685-1)*100),"NA",IF(((DG685/CY685-1)*100)&gt;100,"NM",IF(((DG685/CY685-1)*100)&lt;-50,"NM",(DG685/CY685-1)*100)))</f>
        <v>NM</v>
      </c>
      <c r="DI685" s="414">
        <f>DI643/DI655*100</f>
        <v>3.7240764141827101</v>
      </c>
      <c r="DJ685" s="61" t="str">
        <f t="shared" ref="DJ685:DJ695" si="4171">IF(ISERROR((DI685/DA685-1)*100),"NA",IF(((DI685/DA685-1)*100)&gt;100,"NM",IF(((DI685/DA685-1)*100)&lt;-50,"NM",(DI685/DA685-1)*100)))</f>
        <v>NM</v>
      </c>
      <c r="DK685" s="414">
        <f>DK643/DK655*100</f>
        <v>0</v>
      </c>
      <c r="DL685" s="61" t="str">
        <f t="shared" ref="DL685:DL695" si="4172">IF(ISERROR((DK685/DC685-1)*100),"NA",IF(((DK685/DC685-1)*100)&gt;100,"NM",IF(((DK685/DC685-1)*100)&lt;-50,"NM",(DK685/DC685-1)*100)))</f>
        <v>NM</v>
      </c>
      <c r="DM685" s="414">
        <f>DM643/DM655*100</f>
        <v>1.6180182512458741</v>
      </c>
      <c r="DN685" s="130" t="str">
        <f t="shared" ref="DN685:DZ695" si="4173">IF(ISERROR((DM685/DE685-1)*100),"NA",IF(((DM685/DE685-1)*100)&gt;100,"NM",IF(((DM685/DE685-1)*100)&lt;-50,"NM",(DM685/DE685-1)*100)))</f>
        <v>NM</v>
      </c>
      <c r="DO685" s="414">
        <f>DO643/DO655*100</f>
        <v>1.6179135387004919</v>
      </c>
      <c r="DP685" s="130" t="str">
        <f t="shared" si="4173"/>
        <v>NM</v>
      </c>
      <c r="DQ685" s="414">
        <f>DQ643/DQ655*100</f>
        <v>1.588310038119441</v>
      </c>
      <c r="DR685" s="130" t="str">
        <f t="shared" si="4173"/>
        <v>NM</v>
      </c>
      <c r="DS685" s="414">
        <f>DS643/DS655*100</f>
        <v>1.5410220057942428</v>
      </c>
      <c r="DT685" s="130" t="str">
        <f t="shared" si="4173"/>
        <v>NA</v>
      </c>
      <c r="DU685" s="414">
        <f>DU643/DU655*100</f>
        <v>0</v>
      </c>
      <c r="DV685" s="130" t="str">
        <f t="shared" si="4173"/>
        <v>NM</v>
      </c>
      <c r="DW685" s="414">
        <f>DW643/DW655*100</f>
        <v>0</v>
      </c>
      <c r="DX685" s="414">
        <f t="shared" ref="DX685:DY685" si="4174">DX643/DX655*100</f>
        <v>0</v>
      </c>
      <c r="DY685" s="414">
        <f t="shared" si="4174"/>
        <v>0</v>
      </c>
      <c r="DZ685" s="130" t="str">
        <f t="shared" si="4173"/>
        <v>NM</v>
      </c>
      <c r="EA685" s="414">
        <f t="shared" ref="EA685:EC685" si="4175">EA643/EA655*100</f>
        <v>0</v>
      </c>
      <c r="EB685" s="130" t="str">
        <f t="shared" ref="EB685:EB695" si="4176">IF(ISERROR((EA685/DS685-1)*100),"NA",IF(((EA685/DS685-1)*100)&gt;100,"NM",IF(((EA685/DS685-1)*100)&lt;-50,"NM",(EA685/DS685-1)*100)))</f>
        <v>NM</v>
      </c>
      <c r="EC685" s="414">
        <f t="shared" si="4175"/>
        <v>1.5703517587939697</v>
      </c>
      <c r="ED685" s="130" t="str">
        <f t="shared" ref="ED685:ED695" si="4177">IF(ISERROR((EC685/DU685-1)*100),"NA",IF(((EC685/DU685-1)*100)&gt;100,"NM",IF(((EC685/DU685-1)*100)&lt;-50,"NM",(EC685/DU685-1)*100)))</f>
        <v>NA</v>
      </c>
      <c r="EE685" s="414">
        <f t="shared" ref="EE685:EG685" si="4178">EE643/EE655*100</f>
        <v>1.5315812044354591</v>
      </c>
      <c r="EF685" s="130" t="str">
        <f t="shared" ref="EF685:EF695" si="4179">IF(ISERROR((EE685/DW685-1)*100),"NA",IF(((EE685/DW685-1)*100)&gt;100,"NM",IF(((EE685/DW685-1)*100)&lt;-50,"NM",(EE685/DW685-1)*100)))</f>
        <v>NA</v>
      </c>
      <c r="EG685" s="414">
        <f t="shared" si="4178"/>
        <v>0</v>
      </c>
      <c r="EH685" s="130" t="str">
        <f t="shared" ref="EH685:EH695" si="4180">IF(ISERROR((EG685/DY685-1)*100),"NA",IF(((EG685/DY685-1)*100)&gt;100,"NM",IF(((EG685/DY685-1)*100)&lt;-50,"NM",(EG685/DY685-1)*100)))</f>
        <v>NA</v>
      </c>
      <c r="EI685" s="414">
        <f t="shared" ref="EI685:EK685" si="4181">EI643/EI655*100</f>
        <v>1.3357376611233553</v>
      </c>
      <c r="EJ685" s="130" t="str">
        <f t="shared" ref="EJ685:EJ695" si="4182">IF(ISERROR((EI685/EA685-1)*100),"NA",IF(((EI685/EA685-1)*100)&gt;100,"NM",IF(((EI685/EA685-1)*100)&lt;-50,"NM",(EI685/EA685-1)*100)))</f>
        <v>NA</v>
      </c>
      <c r="EK685" s="414">
        <f t="shared" si="4181"/>
        <v>2.8132033008252062</v>
      </c>
      <c r="EL685" s="130">
        <f t="shared" ref="EL685:EL695" si="4183">IF(ISERROR((EK685/EC685-1)*100),"NA",IF(((EK685/EC685-1)*100)&gt;100,"NM",IF(((EK685/EC685-1)*100)&lt;-50,"NM",(EK685/EC685-1)*100)))</f>
        <v>79.144786196549148</v>
      </c>
      <c r="EM685" s="414">
        <f t="shared" ref="EM685" si="4184">EM643/EM655*100</f>
        <v>2.758367046708349</v>
      </c>
      <c r="EN685" s="130">
        <f t="shared" ref="EN685:EN695" si="4185">IF(ISERROR((EM685/EE685-1)*100),"NA",IF(((EM685/EE685-1)*100)&gt;100,"NM",IF(((EM685/EE685-1)*100)&lt;-50,"NM",(EM685/EE685-1)*100)))</f>
        <v>80.099301213681542</v>
      </c>
      <c r="EO685" s="414">
        <f t="shared" ref="EO685" si="4186">EO643/EO655*100</f>
        <v>2.5978524419812956</v>
      </c>
      <c r="EP685" s="130" t="str">
        <f t="shared" ref="EP685:EP695" si="4187">IF(ISERROR((EO685/EG685-1)*100),"NA",IF(((EO685/EG685-1)*100)&gt;100,"NM",IF(((EO685/EG685-1)*100)&lt;-50,"NM",(EO685/EG685-1)*100)))</f>
        <v>NA</v>
      </c>
      <c r="EQ685" s="414">
        <f t="shared" ref="EQ685:EW685" si="4188">EQ643/EQ655*100</f>
        <v>2.5889683367345051</v>
      </c>
      <c r="ER685" s="130">
        <f t="shared" ref="ER685:ER695" si="4189">IF(ISERROR((EQ685/EI685-1)*100),"NA",IF(((EQ685/EI685-1)*100)&gt;100,"NM",IF(((EQ685/EI685-1)*100)&lt;-50,"NM",(EQ685/EI685-1)*100)))</f>
        <v>93.823114529628725</v>
      </c>
      <c r="ES685" s="414">
        <f t="shared" si="4188"/>
        <v>2.5763944176612621</v>
      </c>
      <c r="ET685" s="130">
        <f t="shared" ref="ET685:ET695" si="4190">IF(ISERROR((ES685/EK685-1)*100),"NA",IF(((ES685/EK685-1)*100)&gt;100,"NM",IF(((ES685/EK685-1)*100)&lt;-50,"NM",(ES685/EK685-1)*100)))</f>
        <v>-8.4177664335343358</v>
      </c>
      <c r="EU685" s="414">
        <f t="shared" si="4188"/>
        <v>2.5765062115261155</v>
      </c>
      <c r="EV685" s="130">
        <f t="shared" ref="EV685:EV695" si="4191">IF(ISERROR((EU685/EM685-1)*100),"NA",IF(((EU685/EM685-1)*100)&gt;100,"NM",IF(((EU685/EM685-1)*100)&lt;-50,"NM",(EU685/EM685-1)*100)))</f>
        <v>-6.5930614781399051</v>
      </c>
      <c r="EW685" s="414">
        <f t="shared" si="4188"/>
        <v>2.5746191743768176</v>
      </c>
      <c r="EX685" s="130">
        <f t="shared" ref="EX685:EX695" si="4192">IF(ISERROR((EW685/EO685-1)*100),"NA",IF(((EW685/EO685-1)*100)&gt;100,"NM",IF(((EW685/EO685-1)*100)&lt;-50,"NM",(EW685/EO685-1)*100)))</f>
        <v>-0.89432591432170305</v>
      </c>
      <c r="EY685" s="85"/>
      <c r="EZ685" s="558"/>
      <c r="FA685" s="85"/>
      <c r="FB685" s="414">
        <f>FB643/FB655*100</f>
        <v>5.8390096326954852</v>
      </c>
      <c r="FC685" s="86"/>
      <c r="FD685" s="414">
        <f>FD643/FD655*100</f>
        <v>10.792936044466336</v>
      </c>
      <c r="FE685" s="87">
        <f t="shared" ref="FE685:FK693" si="4193">IF(ISERROR((FD685/FB685-1)*100),"NA",IF(((FD685/FB685-1)*100)&gt;100,"NM",IF(((FD685/FB685-1)*100)&lt;-50,"NM",(FD685/FB685-1)*100)))</f>
        <v>84.841894831469048</v>
      </c>
      <c r="FF685" s="414">
        <f>FF643/FF655*100</f>
        <v>6.3159807028521824</v>
      </c>
      <c r="FG685" s="87">
        <f t="shared" si="4193"/>
        <v>-41.480421297498019</v>
      </c>
      <c r="FH685" s="414">
        <f>FH643/FH655*100</f>
        <v>6.6028130774161919</v>
      </c>
      <c r="FI685" s="87">
        <f t="shared" si="4193"/>
        <v>4.5413750937282282</v>
      </c>
      <c r="FJ685" s="414">
        <f>FJ643/FJ655*100</f>
        <v>2.8611500701262274</v>
      </c>
      <c r="FK685" s="87" t="str">
        <f t="shared" si="4193"/>
        <v>NM</v>
      </c>
      <c r="FL685" s="414">
        <f>FL643/FL655*100</f>
        <v>0.75710647670176889</v>
      </c>
      <c r="FM685" s="87" t="str">
        <f t="shared" ref="FM685:FM693" si="4194">IF(ISERROR((FL685/FJ685-1)*100),"NA",IF(((FL685/FJ685-1)*100)&gt;100,"NM",IF(((FL685/FJ685-1)*100)&lt;-50,"NM",(FL685/FJ685-1)*100)))</f>
        <v>NM</v>
      </c>
      <c r="FN685" s="414">
        <f>FN643/FN655*100</f>
        <v>3.4717274434872722</v>
      </c>
      <c r="FO685" s="87" t="str">
        <f t="shared" ref="FO685:FO693" si="4195">IF(ISERROR((FN685/FL685-1)*100),"NA",IF(((FN685/FL685-1)*100)&gt;100,"NM",IF(((FN685/FL685-1)*100)&lt;-50,"NM",(FN685/FL685-1)*100)))</f>
        <v>NM</v>
      </c>
      <c r="FP685" s="416">
        <f>FP643/FP655*100</f>
        <v>1.8780151619572711</v>
      </c>
      <c r="FQ685" s="61" t="str">
        <f t="shared" si="3844"/>
        <v>NM</v>
      </c>
      <c r="FR685" s="416">
        <f>FR643/FR655*100</f>
        <v>5.3897221539218094</v>
      </c>
      <c r="FS685" s="61" t="str">
        <f t="shared" ref="FS685:FS695" si="4196">IF(ISERROR((FR685/FP685-1)*100),"NA",IF(((FR685/FP685-1)*100)&gt;100,"NM",IF(((FR685/FP685-1)*100)&lt;-50,"NM",(FR685/FP685-1)*100)))</f>
        <v>NM</v>
      </c>
      <c r="FT685" s="416">
        <f>FT643/FT655*100</f>
        <v>4.6951802293828511</v>
      </c>
      <c r="FU685" s="61">
        <f t="shared" ref="FU685:FU695" si="4197">IF(ISERROR((FT685/FR685-1)*100),"NA",IF(((FT685/FR685-1)*100)&gt;100,"NM",IF(((FT685/FR685-1)*100)&lt;-50,"NM",(FT685/FR685-1)*100)))</f>
        <v>-12.886414265966895</v>
      </c>
      <c r="FV685" s="416">
        <f>FV643/FV655*100</f>
        <v>10.213368769431352</v>
      </c>
      <c r="FW685" s="61" t="str">
        <f t="shared" ref="FW685:FW695" si="4198">IF(ISERROR((FV685/FT685-1)*100),"NA",IF(((FV685/FT685-1)*100)&gt;100,"NM",IF(((FV685/FT685-1)*100)&lt;-50,"NM",(FV685/FT685-1)*100)))</f>
        <v>NM</v>
      </c>
      <c r="FX685" s="417">
        <f>FX643/FX655*100</f>
        <v>3.2120071602331666</v>
      </c>
      <c r="FY685" s="61" t="str">
        <f t="shared" ref="FY685:FY695" si="4199">IF(ISERROR((FX685/FV685-1)*100),"NA",IF(((FX685/FV685-1)*100)&gt;100,"NM",IF(((FX685/FV685-1)*100)&lt;-50,"NM",(FX685/FV685-1)*100)))</f>
        <v>NM</v>
      </c>
      <c r="FZ685" s="417">
        <f>FZ643/FZ655*100</f>
        <v>2.7441548096896615</v>
      </c>
      <c r="GA685" s="61">
        <f t="shared" ref="GA685:GA695" si="4200">IF(ISERROR((FZ685/FX685-1)*100),"NA",IF(((FZ685/FX685-1)*100)&gt;100,"NM",IF(((FZ685/FX685-1)*100)&lt;-50,"NM",(FZ685/FX685-1)*100)))</f>
        <v>-14.565731868092801</v>
      </c>
      <c r="GB685" s="417">
        <f>GB643/GB655*100</f>
        <v>2.2900763358778624</v>
      </c>
      <c r="GC685" s="61">
        <f t="shared" ref="GC685:GC695" si="4201">IF(ISERROR((GB685/FZ685-1)*100),"NA",IF(((GB685/FZ685-1)*100)&gt;100,"NM",IF(((GB685/FZ685-1)*100)&lt;-50,"NM",(GB685/FZ685-1)*100)))</f>
        <v>-16.547115789839538</v>
      </c>
      <c r="GD685" s="417">
        <f>GD643/GD655*100</f>
        <v>1.3357376611233553</v>
      </c>
      <c r="GE685" s="61">
        <f t="shared" ref="GE685:GW695" si="4202">IF(ISERROR((GD685/GB685-1)*100),"NA",IF(((GD685/GB685-1)*100)&gt;100,"NM",IF(((GD685/GB685-1)*100)&lt;-50,"NM",(GD685/GB685-1)*100)))</f>
        <v>-41.672788797613478</v>
      </c>
      <c r="GF685" s="417">
        <f>GF643/GF655*100</f>
        <v>3.7240764141827101</v>
      </c>
      <c r="GG685" s="61" t="str">
        <f t="shared" si="4202"/>
        <v>NM</v>
      </c>
      <c r="GH685" s="417">
        <f>GH643/GH655*100</f>
        <v>1.588310038119441</v>
      </c>
      <c r="GI685" s="61" t="str">
        <f t="shared" si="4202"/>
        <v>NM</v>
      </c>
      <c r="GJ685" s="417">
        <f>GJ643/GJ655*100</f>
        <v>0</v>
      </c>
      <c r="GK685" s="61" t="str">
        <f t="shared" si="4202"/>
        <v>NM</v>
      </c>
      <c r="GL685" s="417">
        <f>GL643/GL655*100</f>
        <v>0</v>
      </c>
      <c r="GM685" s="61" t="str">
        <f t="shared" si="4202"/>
        <v>NA</v>
      </c>
      <c r="GN685" s="417">
        <f>GN643/GN655*100</f>
        <v>2.5978524419812956</v>
      </c>
      <c r="GO685" s="61" t="str">
        <f t="shared" si="4202"/>
        <v>NA</v>
      </c>
      <c r="GP685" s="417">
        <f>GP643/GP655*100</f>
        <v>2.5746191743768176</v>
      </c>
      <c r="GQ685" s="61">
        <f t="shared" si="4202"/>
        <v>-0.89432591432170305</v>
      </c>
      <c r="GR685" s="414">
        <f>GR643/GR655*100</f>
        <v>2.5726309868801325</v>
      </c>
      <c r="GS685" s="61">
        <f t="shared" si="4202"/>
        <v>-7.7222585634106888E-2</v>
      </c>
      <c r="GT685" s="414">
        <f>GT643/GT655*100</f>
        <v>2.5559248979480778</v>
      </c>
      <c r="GU685" s="61">
        <f t="shared" si="4202"/>
        <v>-0.6493775833865123</v>
      </c>
      <c r="GV685" s="414">
        <f>GV643/GV655*100</f>
        <v>2.5388055182641684</v>
      </c>
      <c r="GW685" s="61">
        <f t="shared" si="4202"/>
        <v>-0.66979196836546295</v>
      </c>
      <c r="GX685" s="414">
        <f>GX643/GX655*100</f>
        <v>2.5141975482907797</v>
      </c>
      <c r="GY685" s="61">
        <f t="shared" ref="GY685:GY695" si="4203">IF(ISERROR((GX685/GV685-1)*100),"NA",IF(((GX685/GV685-1)*100)&gt;100,"NM",IF(((GX685/GV685-1)*100)&lt;-50,"NM",(GX685/GV685-1)*100)))</f>
        <v>-0.96927353420177553</v>
      </c>
      <c r="GZ685" s="61">
        <f t="shared" si="4057"/>
        <v>-0.65249064460533024</v>
      </c>
      <c r="HA685" s="61"/>
      <c r="HB685" s="452"/>
      <c r="HC685"/>
      <c r="HD685"/>
      <c r="HE685"/>
      <c r="HF685"/>
      <c r="HG685"/>
      <c r="HH685"/>
    </row>
    <row r="686" spans="1:216" s="5" customFormat="1" ht="12.75" customHeight="1" x14ac:dyDescent="0.2">
      <c r="B686" s="7" t="s">
        <v>9</v>
      </c>
      <c r="C686" s="414">
        <f>C644/C655*100</f>
        <v>16.523555349268975</v>
      </c>
      <c r="D686" s="70"/>
      <c r="E686" s="414">
        <f>E644/E655*100</f>
        <v>16.859625446883069</v>
      </c>
      <c r="F686" s="71"/>
      <c r="G686" s="414">
        <f>G644/G655*100</f>
        <v>15.692063631956991</v>
      </c>
      <c r="H686" s="71"/>
      <c r="I686" s="414">
        <f>I644/I655*100</f>
        <v>14.375971417613695</v>
      </c>
      <c r="J686" s="61"/>
      <c r="K686" s="414">
        <f>K644/K655*100</f>
        <v>13.895554124968298</v>
      </c>
      <c r="L686" s="61">
        <f t="shared" si="4127"/>
        <v>-15.904574825156759</v>
      </c>
      <c r="M686" s="414">
        <f>M644/M655*100</f>
        <v>13.999096071842636</v>
      </c>
      <c r="N686" s="61">
        <f t="shared" si="4128"/>
        <v>-16.966743324474475</v>
      </c>
      <c r="O686" s="414">
        <f>O644/O655*100</f>
        <v>13.180388529139686</v>
      </c>
      <c r="P686" s="61">
        <f t="shared" si="4129"/>
        <v>-16.006021653533587</v>
      </c>
      <c r="Q686" s="414">
        <f>Q644/Q655*100</f>
        <v>16.248727327576454</v>
      </c>
      <c r="R686" s="61">
        <f t="shared" si="4130"/>
        <v>13.026986876644919</v>
      </c>
      <c r="S686" s="414">
        <f>S644/S655*100</f>
        <v>16.658934508621357</v>
      </c>
      <c r="T686" s="61">
        <f t="shared" si="4131"/>
        <v>19.886795149015789</v>
      </c>
      <c r="U686" s="414">
        <f>U644/U655*100</f>
        <v>20.779778807353157</v>
      </c>
      <c r="V686" s="61">
        <f t="shared" si="4132"/>
        <v>48.436575481105407</v>
      </c>
      <c r="W686" s="414">
        <f>W644/W655*100</f>
        <v>20.56540612124779</v>
      </c>
      <c r="X686" s="61">
        <f t="shared" si="4133"/>
        <v>56.030348238832552</v>
      </c>
      <c r="Y686" s="414">
        <f>Y644/Y655*100</f>
        <v>20.929406264609632</v>
      </c>
      <c r="Z686" s="61">
        <f t="shared" si="4134"/>
        <v>28.8064341450877</v>
      </c>
      <c r="AA686" s="414">
        <f>AA644/AA655*100</f>
        <v>20.524770642201833</v>
      </c>
      <c r="AB686" s="61">
        <f t="shared" si="4135"/>
        <v>23.205782648222929</v>
      </c>
      <c r="AC686" s="414">
        <f>AC644/AC655*100</f>
        <v>19.282295087604673</v>
      </c>
      <c r="AD686" s="61">
        <f t="shared" si="4136"/>
        <v>-7.2064468714103107</v>
      </c>
      <c r="AE686" s="414">
        <f>AE644/AE655*100</f>
        <v>20.021838751253043</v>
      </c>
      <c r="AF686" s="61">
        <f t="shared" si="4137"/>
        <v>-2.6431151750178405</v>
      </c>
      <c r="AG686" s="414">
        <f>AG644/AG655*100</f>
        <v>19.22878381168697</v>
      </c>
      <c r="AH686" s="61">
        <f t="shared" si="4138"/>
        <v>-8.1255169469298885</v>
      </c>
      <c r="AI686" s="414">
        <f>AI644/AI655*100</f>
        <v>21.448685602669489</v>
      </c>
      <c r="AJ686" s="61">
        <f t="shared" si="4139"/>
        <v>4.5014630203367823</v>
      </c>
      <c r="AK686" s="414">
        <f>AK644/AK655*100</f>
        <v>23.803656525756946</v>
      </c>
      <c r="AL686" s="61">
        <f t="shared" si="4140"/>
        <v>23.448253527967001</v>
      </c>
      <c r="AM686" s="414">
        <f>AM644/AM655*100</f>
        <v>22.03054867019495</v>
      </c>
      <c r="AN686" s="61">
        <f t="shared" si="4141"/>
        <v>10.032594627784587</v>
      </c>
      <c r="AO686" s="414">
        <f>AO644/AO655*100</f>
        <v>16.981345942094695</v>
      </c>
      <c r="AP686" s="61">
        <f t="shared" si="4142"/>
        <v>-11.687883599930615</v>
      </c>
      <c r="AQ686" s="414">
        <f>AQ644/AQ655*100</f>
        <v>17.319498916083337</v>
      </c>
      <c r="AR686" s="61">
        <f t="shared" si="4143"/>
        <v>-19.251467260409825</v>
      </c>
      <c r="AS686" s="414">
        <f>AS644/AS655*100</f>
        <v>15.724051229669209</v>
      </c>
      <c r="AT686" s="61">
        <f t="shared" si="4144"/>
        <v>-33.942706606210407</v>
      </c>
      <c r="AU686" s="414">
        <f>AU644/AU655*100</f>
        <v>15.904461842021513</v>
      </c>
      <c r="AV686" s="61">
        <f t="shared" si="4145"/>
        <v>-27.807236759660903</v>
      </c>
      <c r="AW686" s="414">
        <f>AW644/AW655*100</f>
        <v>15.64751581981079</v>
      </c>
      <c r="AX686" s="61">
        <f t="shared" si="4146"/>
        <v>-7.8546784620735055</v>
      </c>
      <c r="AY686" s="414">
        <f>AY644/AY655*100</f>
        <v>15.753684011233474</v>
      </c>
      <c r="AZ686" s="61">
        <f t="shared" si="4147"/>
        <v>-9.0407633179029556</v>
      </c>
      <c r="BA686" s="414">
        <f>BA644/BA655*100</f>
        <v>20.422102974186306</v>
      </c>
      <c r="BB686" s="61">
        <f t="shared" si="3867"/>
        <v>29.878125400993948</v>
      </c>
      <c r="BC686" s="414">
        <f>BC644/BC655*100</f>
        <v>19.350338780390594</v>
      </c>
      <c r="BD686" s="61">
        <f t="shared" si="3868"/>
        <v>21.666102082527907</v>
      </c>
      <c r="BE686" s="414">
        <f>BE644/BE655*100</f>
        <v>18.285386443734119</v>
      </c>
      <c r="BF686" s="61">
        <f t="shared" si="3869"/>
        <v>16.858079290666762</v>
      </c>
      <c r="BG686" s="414">
        <f>BG644/BG655*100</f>
        <v>20.639617027642494</v>
      </c>
      <c r="BH686" s="61">
        <f t="shared" si="4148"/>
        <v>31.014542458291071</v>
      </c>
      <c r="BI686" s="414">
        <f>BI644/BI655*100</f>
        <v>20.128931960086856</v>
      </c>
      <c r="BJ686" s="61">
        <f t="shared" si="4149"/>
        <v>-1.435557417715605</v>
      </c>
      <c r="BK686" s="414">
        <f>BK644/BK655*100</f>
        <v>22.423492631385365</v>
      </c>
      <c r="BL686" s="61">
        <f t="shared" si="4150"/>
        <v>15.881653990001809</v>
      </c>
      <c r="BM686" s="414">
        <f>BM644/BM655*100</f>
        <v>24.685110595303112</v>
      </c>
      <c r="BN686" s="61">
        <f t="shared" si="4151"/>
        <v>34.999118948136832</v>
      </c>
      <c r="BO686" s="414">
        <f>BO644/BO655*100</f>
        <v>26.171941946366239</v>
      </c>
      <c r="BP686" s="61">
        <f t="shared" si="4152"/>
        <v>26.80439715191585</v>
      </c>
      <c r="BQ686" s="414">
        <f>BQ644/BQ655*100</f>
        <v>39.073320822656385</v>
      </c>
      <c r="BR686" s="61">
        <f t="shared" si="4153"/>
        <v>94.115221314940484</v>
      </c>
      <c r="BS686" s="414">
        <f>BS644/BS655*100</f>
        <v>48.098441069041378</v>
      </c>
      <c r="BT686" s="61" t="str">
        <f t="shared" si="4154"/>
        <v>NM</v>
      </c>
      <c r="BU686" s="414">
        <f>BU644/BU655*100</f>
        <v>59.309497542874333</v>
      </c>
      <c r="BV686" s="61" t="str">
        <f t="shared" si="4155"/>
        <v>NM</v>
      </c>
      <c r="BW686" s="414">
        <f>BW644/BW655*100</f>
        <v>59.33143067826466</v>
      </c>
      <c r="BX686" s="61" t="str">
        <f t="shared" si="3870"/>
        <v>NM</v>
      </c>
      <c r="BY686" s="414">
        <f>BY644/BY655*100</f>
        <v>52.621081051297594</v>
      </c>
      <c r="BZ686" s="61">
        <f t="shared" si="3871"/>
        <v>34.672661405287151</v>
      </c>
      <c r="CA686" s="414">
        <f>CA644/CA655*100</f>
        <v>44.111388487154215</v>
      </c>
      <c r="CB686" s="61">
        <f t="shared" si="3872"/>
        <v>-8.2893592666840821</v>
      </c>
      <c r="CC686" s="414">
        <f>CC644/CC655*100</f>
        <v>46.361591774911645</v>
      </c>
      <c r="CD686" s="61">
        <f t="shared" si="3873"/>
        <v>-21.831083223395641</v>
      </c>
      <c r="CE686" s="414">
        <f>CE644/CE655*100</f>
        <v>43.792026169809525</v>
      </c>
      <c r="CF686" s="61">
        <f t="shared" si="4156"/>
        <v>-26.190847466194345</v>
      </c>
      <c r="CG686" s="414">
        <f>CG644/CG655*100</f>
        <v>46.409325071813498</v>
      </c>
      <c r="CH686" s="61">
        <f t="shared" si="4157"/>
        <v>-11.804690924970874</v>
      </c>
      <c r="CI686" s="414">
        <f>CI644/CI655*100</f>
        <v>43.838283998790303</v>
      </c>
      <c r="CJ686" s="61">
        <f t="shared" si="4158"/>
        <v>-0.61912466991023152</v>
      </c>
      <c r="CK686" s="414">
        <f>CK644/CK655*100</f>
        <v>42.161900448248389</v>
      </c>
      <c r="CL686" s="61">
        <f t="shared" si="4159"/>
        <v>-9.0585572364577427</v>
      </c>
      <c r="CM686" s="414">
        <f>CM644/CM655*100</f>
        <v>44.52995422278245</v>
      </c>
      <c r="CN686" s="61">
        <f t="shared" si="4160"/>
        <v>1.685074013500798</v>
      </c>
      <c r="CO686" s="414">
        <f>CO644/CO655*100</f>
        <v>45.617932791845831</v>
      </c>
      <c r="CP686" s="61">
        <f t="shared" si="4161"/>
        <v>-1.7052441050221523</v>
      </c>
      <c r="CQ686" s="414">
        <f>CQ644/CQ655*100</f>
        <v>38.23836419532423</v>
      </c>
      <c r="CR686" s="61">
        <f t="shared" si="4162"/>
        <v>-12.774039703790862</v>
      </c>
      <c r="CS686" s="414">
        <f>CS644/CS655*100</f>
        <v>41.152671755725187</v>
      </c>
      <c r="CT686" s="61">
        <f t="shared" si="4163"/>
        <v>-2.3936982958393416</v>
      </c>
      <c r="CU686" s="414">
        <f>CU644/CU655*100</f>
        <v>42.728658536585371</v>
      </c>
      <c r="CV686" s="61">
        <f t="shared" si="4164"/>
        <v>-4.0451325801621802</v>
      </c>
      <c r="CW686" s="414">
        <f>CW644/CW655*100</f>
        <v>40.73651969513498</v>
      </c>
      <c r="CX686" s="61">
        <f t="shared" si="4165"/>
        <v>-10.700645114684814</v>
      </c>
      <c r="CY686" s="414">
        <f>CY644/CY655*100</f>
        <v>36.335978835978835</v>
      </c>
      <c r="CZ686" s="61">
        <f t="shared" si="4166"/>
        <v>-4.9750699314120244</v>
      </c>
      <c r="DA686" s="414">
        <f>DA644/DA655*100</f>
        <v>36.325385694249654</v>
      </c>
      <c r="DB686" s="61">
        <f t="shared" si="4167"/>
        <v>-11.730188722932567</v>
      </c>
      <c r="DC686" s="414">
        <f>DC644/DC655*100</f>
        <v>32.895976315435341</v>
      </c>
      <c r="DD686" s="61">
        <f t="shared" si="4168"/>
        <v>-23.011914152959044</v>
      </c>
      <c r="DE686" s="414">
        <f>DE644/DE655*100</f>
        <v>37.921453780881578</v>
      </c>
      <c r="DF686" s="61">
        <f t="shared" si="4169"/>
        <v>-6.9104232156327221</v>
      </c>
      <c r="DG686" s="414">
        <f>DG644/DG655*100</f>
        <v>40.070206886249906</v>
      </c>
      <c r="DH686" s="61">
        <f t="shared" si="4170"/>
        <v>10.276943596668842</v>
      </c>
      <c r="DI686" s="414">
        <f>DI644/DI655*100</f>
        <v>39.545082881141752</v>
      </c>
      <c r="DJ686" s="61">
        <f t="shared" si="4171"/>
        <v>8.8634907114056638</v>
      </c>
      <c r="DK686" s="414">
        <f>DK644/DK655*100</f>
        <v>37.136743287084975</v>
      </c>
      <c r="DL686" s="61">
        <f t="shared" si="4172"/>
        <v>12.891445844274262</v>
      </c>
      <c r="DM686" s="414">
        <f>DM644/DM655*100</f>
        <v>33.460617435764675</v>
      </c>
      <c r="DN686" s="130">
        <f t="shared" si="4173"/>
        <v>-11.763357942162733</v>
      </c>
      <c r="DO686" s="414">
        <f>DO644/DO655*100</f>
        <v>33.561998446803003</v>
      </c>
      <c r="DP686" s="130">
        <f t="shared" si="4173"/>
        <v>-16.242013568640189</v>
      </c>
      <c r="DQ686" s="414">
        <f>DQ644/DQ655*100</f>
        <v>33.481575603557815</v>
      </c>
      <c r="DR686" s="130">
        <f t="shared" si="4173"/>
        <v>-15.333151016040736</v>
      </c>
      <c r="DS686" s="414">
        <f>DS644/DS655*100</f>
        <v>34.488072489675154</v>
      </c>
      <c r="DT686" s="130">
        <f t="shared" si="4173"/>
        <v>-7.1322107513152595</v>
      </c>
      <c r="DU686" s="414">
        <f>DU644/DU655*100</f>
        <v>37.410708211442959</v>
      </c>
      <c r="DV686" s="130">
        <f t="shared" si="4173"/>
        <v>11.805193921664436</v>
      </c>
      <c r="DW686" s="414">
        <f>DW644/DW655*100</f>
        <v>38.705645441288802</v>
      </c>
      <c r="DX686" s="414">
        <f t="shared" ref="DX686:DY686" si="4204">DX644/DX655*100</f>
        <v>38.913964308034167</v>
      </c>
      <c r="DY686" s="414">
        <f t="shared" si="4204"/>
        <v>40.779907468605423</v>
      </c>
      <c r="DZ686" s="130">
        <f t="shared" si="4173"/>
        <v>21.798053805664019</v>
      </c>
      <c r="EA686" s="414">
        <f t="shared" ref="EA686:EC686" si="4205">EA644/EA655*100</f>
        <v>38.545504161550006</v>
      </c>
      <c r="EB686" s="130">
        <f t="shared" si="4176"/>
        <v>11.764738876286994</v>
      </c>
      <c r="EC686" s="414">
        <f t="shared" si="4205"/>
        <v>34.2964824120603</v>
      </c>
      <c r="ED686" s="130">
        <f t="shared" si="4177"/>
        <v>-8.324423536120328</v>
      </c>
      <c r="EE686" s="414">
        <f t="shared" ref="EE686:EG686" si="4206">EE644/EE655*100</f>
        <v>33.431354530417202</v>
      </c>
      <c r="EF686" s="130">
        <f t="shared" si="4179"/>
        <v>-13.626670866067791</v>
      </c>
      <c r="EG686" s="414">
        <f t="shared" si="4206"/>
        <v>36.918082608095041</v>
      </c>
      <c r="EH686" s="130">
        <f t="shared" si="4180"/>
        <v>-9.4699206060813719</v>
      </c>
      <c r="EI686" s="414">
        <f t="shared" ref="EI686:EK686" si="4207">EI644/EI655*100</f>
        <v>34.281707072730917</v>
      </c>
      <c r="EJ686" s="130">
        <f t="shared" si="4182"/>
        <v>-11.061723491665521</v>
      </c>
      <c r="EK686" s="414">
        <f t="shared" si="4207"/>
        <v>30.638909727431855</v>
      </c>
      <c r="EL686" s="130">
        <f t="shared" si="4183"/>
        <v>-10.664570904630921</v>
      </c>
      <c r="EM686" s="414">
        <f t="shared" ref="EM686" si="4208">EM644/EM655*100</f>
        <v>30.035552286379797</v>
      </c>
      <c r="EN686" s="130">
        <f t="shared" si="4185"/>
        <v>-10.157537113692971</v>
      </c>
      <c r="EO686" s="414">
        <f t="shared" ref="EO686" si="4209">EO644/EO655*100</f>
        <v>28.253088557903244</v>
      </c>
      <c r="EP686" s="130">
        <f t="shared" si="4187"/>
        <v>-23.470866952044311</v>
      </c>
      <c r="EQ686" s="414">
        <f t="shared" ref="EQ686:EW686" si="4210">EQ644/EQ655*100</f>
        <v>30.766709247290091</v>
      </c>
      <c r="ER686" s="130">
        <f t="shared" si="4189"/>
        <v>-10.253275363398695</v>
      </c>
      <c r="ES686" s="414">
        <f t="shared" si="4210"/>
        <v>30.219656600230259</v>
      </c>
      <c r="ET686" s="130">
        <f t="shared" si="4190"/>
        <v>-1.3683682968203881</v>
      </c>
      <c r="EU686" s="414">
        <f t="shared" si="4210"/>
        <v>29.971153452026005</v>
      </c>
      <c r="EV686" s="130">
        <f t="shared" si="4191"/>
        <v>-0.21440869054035749</v>
      </c>
      <c r="EW686" s="414">
        <f t="shared" si="4210"/>
        <v>29.705890853727457</v>
      </c>
      <c r="EX686" s="130">
        <f t="shared" si="4192"/>
        <v>5.1421008108432753</v>
      </c>
      <c r="EY686" s="64"/>
      <c r="EZ686" s="558"/>
      <c r="FA686" s="64"/>
      <c r="FB686" s="414">
        <f>FB644/FB655*100</f>
        <v>13.218508138606881</v>
      </c>
      <c r="FC686" s="71"/>
      <c r="FD686" s="414">
        <f>FD644/FD655*100</f>
        <v>16.698327821947046</v>
      </c>
      <c r="FE686" s="70">
        <f t="shared" si="4193"/>
        <v>26.325358708043357</v>
      </c>
      <c r="FF686" s="414">
        <f>FF644/FF655*100</f>
        <v>14.375971417613695</v>
      </c>
      <c r="FG686" s="70">
        <f t="shared" si="4193"/>
        <v>-13.907718360164289</v>
      </c>
      <c r="FH686" s="414">
        <f>FH644/FH655*100</f>
        <v>16.248727327576454</v>
      </c>
      <c r="FI686" s="70">
        <f t="shared" si="4193"/>
        <v>13.026986876644919</v>
      </c>
      <c r="FJ686" s="414">
        <f>FJ644/FJ655*100</f>
        <v>20.929406264609632</v>
      </c>
      <c r="FK686" s="70">
        <f t="shared" si="4193"/>
        <v>28.8064341450877</v>
      </c>
      <c r="FL686" s="414">
        <f>FL644/FL655*100</f>
        <v>19.22878381168697</v>
      </c>
      <c r="FM686" s="61">
        <f t="shared" si="4194"/>
        <v>-8.1255169469298885</v>
      </c>
      <c r="FN686" s="414">
        <f>FN644/FN655*100</f>
        <v>16.981345942094695</v>
      </c>
      <c r="FO686" s="61">
        <f t="shared" si="4195"/>
        <v>-11.687883599930615</v>
      </c>
      <c r="FP686" s="416">
        <f>FP644/FP655*100</f>
        <v>15.64751581981079</v>
      </c>
      <c r="FQ686" s="61">
        <f t="shared" si="3844"/>
        <v>-3.7000529065763788</v>
      </c>
      <c r="FR686" s="416">
        <f>FR644/FR655*100</f>
        <v>18.285386443734119</v>
      </c>
      <c r="FS686" s="61">
        <f t="shared" si="4196"/>
        <v>16.858079290666762</v>
      </c>
      <c r="FT686" s="416">
        <f>FT644/FT655*100</f>
        <v>24.685110595303112</v>
      </c>
      <c r="FU686" s="61">
        <f t="shared" si="4197"/>
        <v>34.999118948136832</v>
      </c>
      <c r="FV686" s="416">
        <f>FV644/FV655*100</f>
        <v>59.309497542874333</v>
      </c>
      <c r="FW686" s="61" t="str">
        <f t="shared" si="4198"/>
        <v>NM</v>
      </c>
      <c r="FX686" s="417">
        <f>FX644/FX655*100</f>
        <v>46.361591774911645</v>
      </c>
      <c r="FY686" s="61">
        <f t="shared" si="4199"/>
        <v>-21.831083223395641</v>
      </c>
      <c r="FZ686" s="417">
        <f>FZ644/FZ655*100</f>
        <v>42.161900448248389</v>
      </c>
      <c r="GA686" s="61">
        <f t="shared" si="4200"/>
        <v>-9.0585572364577427</v>
      </c>
      <c r="GB686" s="417">
        <f>GB644/GB655*100</f>
        <v>41.152671755725187</v>
      </c>
      <c r="GC686" s="61">
        <f t="shared" si="4201"/>
        <v>-2.3936982958393416</v>
      </c>
      <c r="GD686" s="417">
        <f>GD644/GD655*100</f>
        <v>36.325385694249654</v>
      </c>
      <c r="GE686" s="61">
        <f t="shared" si="4202"/>
        <v>-11.730188722932567</v>
      </c>
      <c r="GF686" s="417">
        <f>GF644/GF655*100</f>
        <v>39.545082881141752</v>
      </c>
      <c r="GG686" s="61">
        <f t="shared" si="4202"/>
        <v>8.8634907114056638</v>
      </c>
      <c r="GH686" s="417">
        <f>GH644/GH655*100</f>
        <v>33.481575603557815</v>
      </c>
      <c r="GI686" s="61">
        <f t="shared" si="4202"/>
        <v>-15.333151016040736</v>
      </c>
      <c r="GJ686" s="417">
        <f>GJ644/GJ655*100</f>
        <v>40.779907468605423</v>
      </c>
      <c r="GK686" s="61">
        <f t="shared" si="4202"/>
        <v>21.798053805664019</v>
      </c>
      <c r="GL686" s="417">
        <f>GL644/GL655*100</f>
        <v>36.918082608095041</v>
      </c>
      <c r="GM686" s="61">
        <f t="shared" si="4202"/>
        <v>-9.4699206060813719</v>
      </c>
      <c r="GN686" s="417">
        <f>GN644/GN655*100</f>
        <v>28.253088557903244</v>
      </c>
      <c r="GO686" s="61">
        <f t="shared" si="4202"/>
        <v>-23.470866952044311</v>
      </c>
      <c r="GP686" s="417">
        <f>GP644/GP655*100</f>
        <v>29.705890853727457</v>
      </c>
      <c r="GQ686" s="61">
        <f t="shared" si="4202"/>
        <v>5.1421008108432753</v>
      </c>
      <c r="GR686" s="414">
        <f>GR644/GR655*100</f>
        <v>28.711386705281477</v>
      </c>
      <c r="GS686" s="61">
        <f t="shared" si="4202"/>
        <v>-3.3478347892104687</v>
      </c>
      <c r="GT686" s="414">
        <f>GT644/GT655*100</f>
        <v>27.651790546693995</v>
      </c>
      <c r="GU686" s="61">
        <f t="shared" si="4202"/>
        <v>-3.6905084713047653</v>
      </c>
      <c r="GV686" s="414">
        <f>GV644/GV655*100</f>
        <v>26.678267823071018</v>
      </c>
      <c r="GW686" s="61">
        <f t="shared" si="4202"/>
        <v>-3.5206498544065212</v>
      </c>
      <c r="GX686" s="414">
        <f>GX644/GX655*100</f>
        <v>25.707012911007993</v>
      </c>
      <c r="GY686" s="61">
        <f t="shared" si="4203"/>
        <v>-3.6406220917502563</v>
      </c>
      <c r="GZ686" s="61">
        <f t="shared" si="4057"/>
        <v>-1.8710533543309316</v>
      </c>
      <c r="HA686" s="61"/>
      <c r="HB686" s="452"/>
      <c r="HC686"/>
      <c r="HD686"/>
      <c r="HE686"/>
      <c r="HF686"/>
      <c r="HG686"/>
      <c r="HH686"/>
    </row>
    <row r="687" spans="1:216" s="5" customFormat="1" ht="12.75" customHeight="1" x14ac:dyDescent="0.2">
      <c r="A687" s="7" t="s">
        <v>411</v>
      </c>
      <c r="B687" s="7" t="s">
        <v>655</v>
      </c>
      <c r="C687" s="86">
        <f>C644/(C644+C647+C655)*100</f>
        <v>14.180442142999402</v>
      </c>
      <c r="D687" s="70"/>
      <c r="E687" s="86">
        <f>E644/(E644+E647+E655)*100</f>
        <v>14.427245836541189</v>
      </c>
      <c r="F687" s="71"/>
      <c r="G687" s="86">
        <f>G644/(G644+G647+G655)*100</f>
        <v>13.563647444198978</v>
      </c>
      <c r="H687" s="71"/>
      <c r="I687" s="86">
        <f>I644/(I644+I647+I655)*100</f>
        <v>12.569048585496709</v>
      </c>
      <c r="J687" s="61"/>
      <c r="K687" s="86">
        <f>K644/(K644+K647+K655)*100</f>
        <v>12.20026034530008</v>
      </c>
      <c r="L687" s="61">
        <f t="shared" si="4127"/>
        <v>-13.964175289674575</v>
      </c>
      <c r="M687" s="86">
        <f>M644/(M644+M647+M655)*100</f>
        <v>12.280006205505664</v>
      </c>
      <c r="N687" s="61">
        <f t="shared" si="4128"/>
        <v>-14.883226191356759</v>
      </c>
      <c r="O687" s="86">
        <f>O644/(O644+O647+O655)*100</f>
        <v>11.645470297838951</v>
      </c>
      <c r="P687" s="61">
        <f t="shared" si="4129"/>
        <v>-14.142045156005656</v>
      </c>
      <c r="Q687" s="86">
        <f>Q644/(Q644+Q647+Q655)*100</f>
        <v>12.978415290012915</v>
      </c>
      <c r="R687" s="61">
        <f t="shared" si="4130"/>
        <v>3.2569426534683643</v>
      </c>
      <c r="S687" s="86">
        <f>S644/(S644+S647+S655)*100</f>
        <v>14.280033140016569</v>
      </c>
      <c r="T687" s="61">
        <f t="shared" si="4131"/>
        <v>17.046954211249108</v>
      </c>
      <c r="U687" s="86">
        <f>U644/(U644+U647+U655)*100</f>
        <v>16.249525392019983</v>
      </c>
      <c r="V687" s="61">
        <f t="shared" si="4132"/>
        <v>32.325058473786505</v>
      </c>
      <c r="W687" s="86">
        <f>W644/(W644+W647+W655)*100</f>
        <v>16.098220888150692</v>
      </c>
      <c r="X687" s="61">
        <f t="shared" si="4133"/>
        <v>38.235901826464122</v>
      </c>
      <c r="Y687" s="86">
        <f>Y644/(Y644+Y647+Y655)*100</f>
        <v>16.316395790976358</v>
      </c>
      <c r="Z687" s="61">
        <f t="shared" si="4134"/>
        <v>25.719476734051415</v>
      </c>
      <c r="AA687" s="86">
        <f>AA644/(AA644+AA647+AA655)*100</f>
        <v>16.073231631993405</v>
      </c>
      <c r="AB687" s="61">
        <f t="shared" si="4135"/>
        <v>12.55738326651219</v>
      </c>
      <c r="AC687" s="86">
        <f>AC644/(AC644+AC647+AC655)*100</f>
        <v>15.289940444385424</v>
      </c>
      <c r="AD687" s="61">
        <f t="shared" si="4136"/>
        <v>-5.9053106135998457</v>
      </c>
      <c r="AE687" s="86">
        <f>AE644/(AE644+AE647+AE655)*100</f>
        <v>15.891169993606594</v>
      </c>
      <c r="AF687" s="61">
        <f t="shared" si="4137"/>
        <v>-1.2861725279002756</v>
      </c>
      <c r="AG687" s="86">
        <f>AG644/(AG644+AG647+AG655)*100</f>
        <v>15.37054357394366</v>
      </c>
      <c r="AH687" s="61">
        <f t="shared" si="4138"/>
        <v>-5.7969433271273907</v>
      </c>
      <c r="AI687" s="86">
        <f>AI644/(AI644+AI647+AI655)*100</f>
        <v>16.880820917511112</v>
      </c>
      <c r="AJ687" s="61">
        <f t="shared" si="4139"/>
        <v>5.0244363050814256</v>
      </c>
      <c r="AK687" s="86">
        <f>AK644/(AK644+AK647+AK655)*100</f>
        <v>18.321664667652229</v>
      </c>
      <c r="AL687" s="61">
        <f t="shared" si="4140"/>
        <v>19.828227809612397</v>
      </c>
      <c r="AM687" s="86">
        <f>AM644/(AM644+AM647+AM655)*100</f>
        <v>17.245945485296239</v>
      </c>
      <c r="AN687" s="61">
        <f t="shared" si="4141"/>
        <v>8.525335090082752</v>
      </c>
      <c r="AO687" s="86">
        <f>AO644/(AO644+AO647+AO655)*100</f>
        <v>13.864174191245487</v>
      </c>
      <c r="AP687" s="61">
        <f t="shared" si="4142"/>
        <v>-9.8003650648490375</v>
      </c>
      <c r="AQ687" s="86">
        <f>AQ644/(AQ644+AQ647+AQ655)*100</f>
        <v>14.09353496451704</v>
      </c>
      <c r="AR687" s="61">
        <f t="shared" si="4143"/>
        <v>-16.511554542366568</v>
      </c>
      <c r="AS687" s="86">
        <f>AS644/(AS644+AS647+AS655)*100</f>
        <v>12.990081528794725</v>
      </c>
      <c r="AT687" s="61">
        <f t="shared" si="4144"/>
        <v>-29.099883856463471</v>
      </c>
      <c r="AU687" s="86">
        <f>AU644/(AU644+AU647+AU655)*100</f>
        <v>13.117142182209507</v>
      </c>
      <c r="AV687" s="61">
        <f t="shared" si="4145"/>
        <v>-23.94071874230913</v>
      </c>
      <c r="AW687" s="86">
        <f>AW644/(AW644+AW647+AW655)*100</f>
        <v>12.944774146733357</v>
      </c>
      <c r="AX687" s="61">
        <f t="shared" si="4146"/>
        <v>-6.6314807635112105</v>
      </c>
      <c r="AY687" s="86">
        <f>AY644/(AY644+AY647+AY655)*100</f>
        <v>13.019950449863085</v>
      </c>
      <c r="AZ687" s="61">
        <f t="shared" si="4147"/>
        <v>-7.6175673268409465</v>
      </c>
      <c r="BA687" s="86">
        <f>BA644/(BA644+BA647+BA655)*100</f>
        <v>16.560251414919939</v>
      </c>
      <c r="BB687" s="61">
        <f t="shared" si="3867"/>
        <v>27.483814310259149</v>
      </c>
      <c r="BC687" s="86">
        <f>BC644/(BC644+BC647+BC655)*100</f>
        <v>15.846485472015015</v>
      </c>
      <c r="BD687" s="61">
        <f t="shared" si="3868"/>
        <v>20.807453726523264</v>
      </c>
      <c r="BE687" s="86">
        <f>BE644/(BE644+BE647+BE655)*100</f>
        <v>15.294859665720592</v>
      </c>
      <c r="BF687" s="61">
        <f t="shared" si="3869"/>
        <v>18.154704688921019</v>
      </c>
      <c r="BG687" s="86">
        <f>BG644/(BG644+BG647+BG655)*100</f>
        <v>16.928194571307824</v>
      </c>
      <c r="BH687" s="61">
        <f t="shared" si="4148"/>
        <v>30.017350192648664</v>
      </c>
      <c r="BI687" s="86">
        <f>BI644/(BI644+BI647+BI655)*100</f>
        <v>16.575869530429216</v>
      </c>
      <c r="BJ687" s="61">
        <f t="shared" si="4149"/>
        <v>9.4310859889512599E-2</v>
      </c>
      <c r="BK687" s="86">
        <f>BK644/(BK644+BK647+BK655)*100</f>
        <v>18.125</v>
      </c>
      <c r="BL687" s="61">
        <f t="shared" si="4150"/>
        <v>14.37867426192927</v>
      </c>
      <c r="BM687" s="86">
        <f>BM644/(BM644+BM647+BM655)*100</f>
        <v>19.590672978592277</v>
      </c>
      <c r="BN687" s="61">
        <f t="shared" si="4151"/>
        <v>28.086647453847657</v>
      </c>
      <c r="BO687" s="86">
        <f>BO644/(BO644+BO647+BO655)*100</f>
        <v>20.516319719425276</v>
      </c>
      <c r="BP687" s="61">
        <f t="shared" si="4152"/>
        <v>21.19614784082815</v>
      </c>
      <c r="BQ687" s="86">
        <f>BQ644/(BQ644+BQ647+BQ655)*100</f>
        <v>27.801085799879356</v>
      </c>
      <c r="BR687" s="61">
        <f t="shared" si="4153"/>
        <v>67.720225770620402</v>
      </c>
      <c r="BS687" s="86">
        <f>BS644/(BS644+BS647+BS655)*100</f>
        <v>32.124352331606218</v>
      </c>
      <c r="BT687" s="61">
        <f t="shared" si="4154"/>
        <v>77.237805967482572</v>
      </c>
      <c r="BU687" s="86">
        <f>BU644/(BU644+BU647+BU655)*100</f>
        <v>37.229103385322404</v>
      </c>
      <c r="BV687" s="61">
        <f t="shared" si="4155"/>
        <v>90.034836608239715</v>
      </c>
      <c r="BW687" s="86">
        <f>BW644/(BW644+BW647+BW655)*100</f>
        <v>37.237744257799108</v>
      </c>
      <c r="BX687" s="61">
        <f t="shared" si="3870"/>
        <v>81.503041320523195</v>
      </c>
      <c r="BY687" s="86">
        <f>BY644/(BY644+BY647+BY655)*100</f>
        <v>34.478252079482438</v>
      </c>
      <c r="BZ687" s="61">
        <f t="shared" si="3871"/>
        <v>24.017645669192021</v>
      </c>
      <c r="CA687" s="86">
        <f>CA644/(CA644+CA647+CA655)*100</f>
        <v>30.609231477279263</v>
      </c>
      <c r="CB687" s="61">
        <f t="shared" si="3872"/>
        <v>-4.7164245949210093</v>
      </c>
      <c r="CC687" s="86">
        <f>CC644/(CC644+CC647+CC655)*100</f>
        <v>31.676064200101607</v>
      </c>
      <c r="CD687" s="61">
        <f t="shared" si="3873"/>
        <v>-14.915855285975233</v>
      </c>
      <c r="CE687" s="86">
        <f>CE644/(CE644+CE647+CE655)*100</f>
        <v>30.455114470738337</v>
      </c>
      <c r="CF687" s="61">
        <f t="shared" si="4156"/>
        <v>-18.214394889508402</v>
      </c>
      <c r="CG687" s="86">
        <f>CG644/(CG644+CG647+CG655)*100</f>
        <v>31.69833960306136</v>
      </c>
      <c r="CH687" s="61">
        <f t="shared" si="4157"/>
        <v>-8.0627999064818212</v>
      </c>
      <c r="CI687" s="86">
        <f>CI644/(CI644+CI647+CI655)*100</f>
        <v>30.477479833643585</v>
      </c>
      <c r="CJ687" s="61">
        <f t="shared" si="4158"/>
        <v>-0.43043107349322041</v>
      </c>
      <c r="CK687" s="86">
        <f>CK644/(CK644+CK647+CK655)*100</f>
        <v>29.657665179846624</v>
      </c>
      <c r="CL687" s="61">
        <f t="shared" si="4159"/>
        <v>-6.3720006611443498</v>
      </c>
      <c r="CM687" s="86">
        <f>CM644/(CM644+CM647+CM655)*100</f>
        <v>30.81019049804911</v>
      </c>
      <c r="CN687" s="61">
        <f t="shared" si="4160"/>
        <v>1.1658994999080852</v>
      </c>
      <c r="CO687" s="86">
        <f>CO644/(CO644+CO647+CO655)*100</f>
        <v>31.327139396391914</v>
      </c>
      <c r="CP687" s="61">
        <f t="shared" si="4161"/>
        <v>-1.1710399071931055</v>
      </c>
      <c r="CQ687" s="86">
        <f>CQ644/(CQ644+CQ647+CQ655)*100</f>
        <v>27.661181046164028</v>
      </c>
      <c r="CR687" s="61">
        <f t="shared" si="4162"/>
        <v>-9.2405894544164031</v>
      </c>
      <c r="CS687" s="86">
        <f>CS644/(CS644+CS647+CS655)*100</f>
        <v>29.15472391974474</v>
      </c>
      <c r="CT687" s="61">
        <f t="shared" si="4163"/>
        <v>-1.6958221662157325</v>
      </c>
      <c r="CU687" s="86">
        <f>CU644/(CU644+CU647+CU655)*100</f>
        <v>29.936986008757877</v>
      </c>
      <c r="CV687" s="61">
        <f t="shared" si="4164"/>
        <v>-2.8341418056033185</v>
      </c>
      <c r="CW687" s="86">
        <f>CW644/(CW644+CW647+CW655)*100</f>
        <v>28.945237372203664</v>
      </c>
      <c r="CX687" s="61">
        <f t="shared" si="4165"/>
        <v>-7.6033179858821853</v>
      </c>
      <c r="CY687" s="86">
        <f>CY644/(CY644+CY647+CY655)*100</f>
        <v>26.651790045600077</v>
      </c>
      <c r="CZ687" s="61">
        <f t="shared" si="4166"/>
        <v>-3.6491247386702952</v>
      </c>
      <c r="DA687" s="86">
        <f>DA644/(DA644+DA647+DA655)*100</f>
        <v>26.646090534979422</v>
      </c>
      <c r="DB687" s="61">
        <f t="shared" si="4167"/>
        <v>-8.6045520158960276</v>
      </c>
      <c r="DC687" s="86">
        <f>DC644/(DC644+DC647+DC655)*100</f>
        <v>24.753177054326365</v>
      </c>
      <c r="DD687" s="61">
        <f t="shared" si="4168"/>
        <v>-17.315734299087492</v>
      </c>
      <c r="DE687" s="86">
        <f>DE644/(DE644+DE647+DE655)*100</f>
        <v>27.494963793760547</v>
      </c>
      <c r="DF687" s="61">
        <f t="shared" si="4169"/>
        <v>-5.0104048544988844</v>
      </c>
      <c r="DG687" s="86">
        <f>DG644/(DG644+DG647+DG655)*100</f>
        <v>28.607230457502396</v>
      </c>
      <c r="DH687" s="61">
        <f t="shared" si="4170"/>
        <v>7.336994657982232</v>
      </c>
      <c r="DI687" s="86">
        <f>DI644/(DI644+DI647+DI655)*100</f>
        <v>28.338571352474297</v>
      </c>
      <c r="DJ687" s="61">
        <f t="shared" si="4171"/>
        <v>6.3517040718340523</v>
      </c>
      <c r="DK687" s="86">
        <f>DK644/(DK644+DK647+DK655)*100</f>
        <v>27.080082548950525</v>
      </c>
      <c r="DL687" s="61">
        <f t="shared" si="4172"/>
        <v>9.4004316678915512</v>
      </c>
      <c r="DM687" s="86">
        <f>DM644/(DM644+DM647+DM655)*100</f>
        <v>25.07152902381068</v>
      </c>
      <c r="DN687" s="130">
        <f t="shared" si="4173"/>
        <v>-8.8141042415186615</v>
      </c>
      <c r="DO687" s="86">
        <f>DO644/(DO644+DO647+DO655)*100</f>
        <v>25.128403915108056</v>
      </c>
      <c r="DP687" s="130">
        <f t="shared" si="4173"/>
        <v>-12.160654795165604</v>
      </c>
      <c r="DQ687" s="86">
        <f>DQ644/(DQ644+DQ647+DQ655)*100</f>
        <v>25.083293669681105</v>
      </c>
      <c r="DR687" s="130">
        <f t="shared" si="4173"/>
        <v>-11.487091717871545</v>
      </c>
      <c r="DS687" s="86">
        <f>DS644/(DS644+DS647+DS655)*100</f>
        <v>25.643963699697498</v>
      </c>
      <c r="DT687" s="130">
        <f t="shared" si="4173"/>
        <v>-5.3032292152620624</v>
      </c>
      <c r="DU687" s="86">
        <f>DU644/(DU644+DU647+DU655)*100</f>
        <v>27.225467868105753</v>
      </c>
      <c r="DV687" s="130">
        <f t="shared" si="4173"/>
        <v>8.5911746437540959</v>
      </c>
      <c r="DW687" s="86">
        <f>DW644/(DW644+DW647+DW655)*100</f>
        <v>27.904881101376724</v>
      </c>
      <c r="DX687" s="86">
        <f t="shared" ref="DX687:DY687" si="4211">DX644/(DX644+DX647+DX655)*100</f>
        <v>28.012996750812295</v>
      </c>
      <c r="DY687" s="86">
        <f t="shared" si="4211"/>
        <v>28.96713615023474</v>
      </c>
      <c r="DZ687" s="130">
        <f t="shared" si="4173"/>
        <v>15.483781881675874</v>
      </c>
      <c r="EA687" s="86">
        <f t="shared" ref="EA687:EC687" si="4212">EA644/(EA644+EA647+EA655)*100</f>
        <v>27.821548158361235</v>
      </c>
      <c r="EB687" s="130">
        <f t="shared" si="4176"/>
        <v>8.4916063841153679</v>
      </c>
      <c r="EC687" s="86">
        <f t="shared" si="4212"/>
        <v>25.537885874649202</v>
      </c>
      <c r="ED687" s="130">
        <f t="shared" si="4177"/>
        <v>-6.1985417537434806</v>
      </c>
      <c r="EE687" s="86">
        <f t="shared" ref="EE687:EG687" si="4213">EE644/(EE644+EE647+EE655)*100</f>
        <v>25.055096418732781</v>
      </c>
      <c r="EF687" s="130">
        <f t="shared" si="4179"/>
        <v>-10.212495341911154</v>
      </c>
      <c r="EG687" s="86">
        <f t="shared" si="4213"/>
        <v>26.963628108762549</v>
      </c>
      <c r="EH687" s="130">
        <f t="shared" si="4180"/>
        <v>-6.9164864316625057</v>
      </c>
      <c r="EI687" s="86">
        <f t="shared" ref="EI687:EK687" si="4214">EI644/(EI644+EI647+EI655)*100</f>
        <v>25.529692629065952</v>
      </c>
      <c r="EJ687" s="130">
        <f t="shared" si="4182"/>
        <v>-8.2376994847661251</v>
      </c>
      <c r="EK687" s="86">
        <f t="shared" si="4214"/>
        <v>23.453127243144952</v>
      </c>
      <c r="EL687" s="130">
        <f t="shared" si="4183"/>
        <v>-8.1633955204323918</v>
      </c>
      <c r="EM687" s="86">
        <f t="shared" ref="EM687" si="4215">EM644/(EM644+EM647+EM655)*100</f>
        <v>23.097954181201093</v>
      </c>
      <c r="EN687" s="130">
        <f t="shared" si="4185"/>
        <v>-7.8113538452336702</v>
      </c>
      <c r="EO687" s="86">
        <f t="shared" ref="EO687" si="4216">EO644/(EO644+EO647+EO655)*100</f>
        <v>22.029168167086784</v>
      </c>
      <c r="EP687" s="130">
        <f t="shared" si="4187"/>
        <v>-18.300430200905272</v>
      </c>
      <c r="EQ687" s="86">
        <f t="shared" ref="EQ687:EW687" si="4217">EQ644/(EQ644+EQ647+EQ655)*100</f>
        <v>23.527937213062263</v>
      </c>
      <c r="ER687" s="130">
        <f t="shared" si="4189"/>
        <v>-7.8408911736158498</v>
      </c>
      <c r="ES687" s="86">
        <f t="shared" si="4217"/>
        <v>23.206678153823994</v>
      </c>
      <c r="ET687" s="130">
        <f t="shared" si="4190"/>
        <v>-1.0508154702183359</v>
      </c>
      <c r="EU687" s="86">
        <f t="shared" si="4217"/>
        <v>23.059850325240621</v>
      </c>
      <c r="EV687" s="130">
        <f t="shared" si="4191"/>
        <v>-0.16496636741744064</v>
      </c>
      <c r="EW687" s="86">
        <f t="shared" si="4217"/>
        <v>22.902499383954371</v>
      </c>
      <c r="EX687" s="130">
        <f t="shared" si="4192"/>
        <v>3.9644312043175978</v>
      </c>
      <c r="EY687" s="64"/>
      <c r="EZ687" s="558"/>
      <c r="FA687" s="64"/>
      <c r="FB687" s="86">
        <f>FB644/(FB644+FB647+FB655)*100</f>
        <v>11.675218439041984</v>
      </c>
      <c r="FC687" s="71"/>
      <c r="FD687" s="86">
        <f>FD644/(FD644+FD647+FD655)*100</f>
        <v>14.30896923169678</v>
      </c>
      <c r="FE687" s="70">
        <f t="shared" si="4193"/>
        <v>22.55847123037562</v>
      </c>
      <c r="FF687" s="86">
        <f>FF644/(FF644+FF647+FF655)*100</f>
        <v>12.569048585496709</v>
      </c>
      <c r="FG687" s="70">
        <f t="shared" si="4193"/>
        <v>-12.159650482341199</v>
      </c>
      <c r="FH687" s="86">
        <f>FH644/(FH644+FH647+FH655)*100</f>
        <v>12.978415290012915</v>
      </c>
      <c r="FI687" s="70">
        <f t="shared" si="4193"/>
        <v>3.2569426534683643</v>
      </c>
      <c r="FJ687" s="86">
        <f>FJ644/(FJ644+FJ647+FJ655)*100</f>
        <v>16.316395790976358</v>
      </c>
      <c r="FK687" s="70">
        <f t="shared" si="4193"/>
        <v>25.719476734051415</v>
      </c>
      <c r="FL687" s="86">
        <f>FL644/(FL644+FL647+FL655)*100</f>
        <v>15.37054357394366</v>
      </c>
      <c r="FM687" s="61">
        <f t="shared" si="4194"/>
        <v>-5.7969433271273907</v>
      </c>
      <c r="FN687" s="86">
        <f>FN644/(FN644+FN647+FN655)*100</f>
        <v>13.864174191245487</v>
      </c>
      <c r="FO687" s="61">
        <f t="shared" si="4195"/>
        <v>-9.8003650648490375</v>
      </c>
      <c r="FP687" s="176">
        <f>FP644/(FP644+FP647+FP655)*100</f>
        <v>12.944774146733357</v>
      </c>
      <c r="FQ687" s="61">
        <f t="shared" si="3844"/>
        <v>-0.2592084050927701</v>
      </c>
      <c r="FR687" s="176">
        <f>FR644/(FR644+FR647+FR655)*100</f>
        <v>15.294859665720592</v>
      </c>
      <c r="FS687" s="61">
        <f t="shared" si="4196"/>
        <v>18.154704688921019</v>
      </c>
      <c r="FT687" s="176">
        <f>FT644/(FT644+FT647+FT655)*100</f>
        <v>19.590672978592277</v>
      </c>
      <c r="FU687" s="61">
        <f t="shared" si="4197"/>
        <v>28.086647453847657</v>
      </c>
      <c r="FV687" s="176">
        <f>FV644/(FV644+FV647+FV655)*100</f>
        <v>37.229103385322404</v>
      </c>
      <c r="FW687" s="61">
        <f t="shared" si="4198"/>
        <v>90.034836608239715</v>
      </c>
      <c r="FX687" s="88">
        <f>FX644/(FX644+FX647+FX655)*100</f>
        <v>31.676064200101607</v>
      </c>
      <c r="FY687" s="61">
        <f t="shared" si="4199"/>
        <v>-14.915855285975233</v>
      </c>
      <c r="FZ687" s="88">
        <f>FZ644/(FZ644+FZ647+FZ655)*100</f>
        <v>29.657665179846624</v>
      </c>
      <c r="GA687" s="61">
        <f t="shared" si="4200"/>
        <v>-6.3720006611443498</v>
      </c>
      <c r="GB687" s="88">
        <f>GB644/(GB644+GB647+GB655)*100</f>
        <v>29.15472391974474</v>
      </c>
      <c r="GC687" s="61">
        <f t="shared" si="4201"/>
        <v>-1.6958221662157325</v>
      </c>
      <c r="GD687" s="88">
        <f>GD644/(GD644+GD647+GD655)*100</f>
        <v>26.646090534979422</v>
      </c>
      <c r="GE687" s="61">
        <f t="shared" si="4202"/>
        <v>-8.6045520158960276</v>
      </c>
      <c r="GF687" s="88">
        <f>GF644/(GF644+GF647+GF655)*100</f>
        <v>28.338571352474297</v>
      </c>
      <c r="GG687" s="61">
        <f t="shared" si="4202"/>
        <v>6.3517040718340523</v>
      </c>
      <c r="GH687" s="88">
        <f>GH644/(GH644+GH647+GH655)*100</f>
        <v>25.083293669681105</v>
      </c>
      <c r="GI687" s="61">
        <f t="shared" si="4202"/>
        <v>-11.487091717871545</v>
      </c>
      <c r="GJ687" s="88">
        <f>GJ644/(GJ644+GJ647+GJ655)*100</f>
        <v>28.96713615023474</v>
      </c>
      <c r="GK687" s="61">
        <f t="shared" si="4202"/>
        <v>15.483781881675874</v>
      </c>
      <c r="GL687" s="88">
        <f>GL644/(GL644+GL647+GL655)*100</f>
        <v>26.963628108762549</v>
      </c>
      <c r="GM687" s="61">
        <f t="shared" si="4202"/>
        <v>-6.9164864316625057</v>
      </c>
      <c r="GN687" s="88">
        <f>GN644/(GN644+GN647+GN655)*100</f>
        <v>22.029168167086784</v>
      </c>
      <c r="GO687" s="61">
        <f t="shared" si="4202"/>
        <v>-18.300430200905272</v>
      </c>
      <c r="GP687" s="88">
        <f>GP644/(GP644+GP647+GP655)*100</f>
        <v>22.902499383954371</v>
      </c>
      <c r="GQ687" s="61">
        <f t="shared" si="4202"/>
        <v>3.9644312043175978</v>
      </c>
      <c r="GR687" s="86">
        <f>GR644/(GR644+GR647+GR655)*100</f>
        <v>22.306796189698229</v>
      </c>
      <c r="GS687" s="61">
        <f t="shared" si="4202"/>
        <v>-2.6010401060134747</v>
      </c>
      <c r="GT687" s="86">
        <f>GT644/(GT644+GT647+GT655)*100</f>
        <v>21.661890074764909</v>
      </c>
      <c r="GU687" s="61">
        <f t="shared" si="4202"/>
        <v>-2.8910745830508455</v>
      </c>
      <c r="GV687" s="86">
        <f>GV644/(GV644+GV647+GV655)*100</f>
        <v>21.05986155441596</v>
      </c>
      <c r="GW687" s="61">
        <f t="shared" si="4202"/>
        <v>-2.7792058692527655</v>
      </c>
      <c r="GX687" s="86">
        <f>GX644/(GX644+GX647+GX655)*100</f>
        <v>20.449943337056943</v>
      </c>
      <c r="GY687" s="61">
        <f t="shared" si="4203"/>
        <v>-2.8961169368709627</v>
      </c>
      <c r="GZ687" s="61">
        <f t="shared" si="4057"/>
        <v>-1.476733527947649</v>
      </c>
      <c r="HA687" s="61"/>
      <c r="HB687" s="452"/>
      <c r="HC687"/>
      <c r="HD687"/>
      <c r="HE687"/>
      <c r="HF687"/>
      <c r="HG687"/>
      <c r="HH687"/>
    </row>
    <row r="688" spans="1:216" s="5" customFormat="1" ht="12.75" customHeight="1" x14ac:dyDescent="0.2">
      <c r="A688" s="7" t="s">
        <v>376</v>
      </c>
      <c r="B688" s="7" t="s">
        <v>209</v>
      </c>
      <c r="C688" s="86">
        <f>(C644+C647)/(C644+C647+C655)*100</f>
        <v>14.180442142999402</v>
      </c>
      <c r="D688" s="70"/>
      <c r="E688" s="86">
        <f>(E644+E647)/(E644+E647+E655)*100</f>
        <v>14.427245836541189</v>
      </c>
      <c r="F688" s="71"/>
      <c r="G688" s="86">
        <f>(G644+G647)/(G644+G647+G655)*100</f>
        <v>13.563647444198978</v>
      </c>
      <c r="H688" s="71"/>
      <c r="I688" s="86">
        <f>(I644+I647)/(I644+I647+I655)*100</f>
        <v>12.569048585496709</v>
      </c>
      <c r="J688" s="61"/>
      <c r="K688" s="86">
        <f>(K644+K647)/(K644+K647+K655)*100</f>
        <v>12.20026034530008</v>
      </c>
      <c r="L688" s="61">
        <f t="shared" si="4127"/>
        <v>-13.964175289674575</v>
      </c>
      <c r="M688" s="86">
        <f>(M644+M647)/(M644+M647+M655)*100</f>
        <v>12.280006205505664</v>
      </c>
      <c r="N688" s="61">
        <f t="shared" si="4128"/>
        <v>-14.883226191356759</v>
      </c>
      <c r="O688" s="86">
        <f>(O644+O647)/(O644+O647+O655)*100</f>
        <v>11.645470297838951</v>
      </c>
      <c r="P688" s="61">
        <f t="shared" si="4129"/>
        <v>-14.142045156005656</v>
      </c>
      <c r="Q688" s="86">
        <f>(Q644+Q647)/(Q644+Q647+Q655)*100</f>
        <v>20.126573433313414</v>
      </c>
      <c r="R688" s="61">
        <f t="shared" si="4130"/>
        <v>60.128058193181388</v>
      </c>
      <c r="S688" s="86">
        <f>(S644+S647)/(S644+S647+S655)*100</f>
        <v>14.280033140016569</v>
      </c>
      <c r="T688" s="61">
        <f t="shared" si="4131"/>
        <v>17.046954211249108</v>
      </c>
      <c r="U688" s="86">
        <f>(U644+U647)/(U644+U647+U655)*100</f>
        <v>21.801259086213641</v>
      </c>
      <c r="V688" s="61">
        <f t="shared" si="4132"/>
        <v>77.534593398162798</v>
      </c>
      <c r="W688" s="86">
        <f>(W644+W647)/(W644+W647+W655)*100</f>
        <v>21.721843015206417</v>
      </c>
      <c r="X688" s="61">
        <f t="shared" si="4133"/>
        <v>86.526112382402772</v>
      </c>
      <c r="Y688" s="86">
        <f>(Y644+Y647)/(Y644+Y647+Y655)*100</f>
        <v>22.040809066970994</v>
      </c>
      <c r="Z688" s="61">
        <f t="shared" si="4134"/>
        <v>9.5109862590377467</v>
      </c>
      <c r="AA688" s="86">
        <f>(AA644+AA647)/(AA644+AA647+AA655)*100</f>
        <v>21.688617562699754</v>
      </c>
      <c r="AB688" s="61">
        <f t="shared" si="4135"/>
        <v>51.880722894979158</v>
      </c>
      <c r="AC688" s="86">
        <f>(AC644+AC647)/(AC644+AC647+AC655)*100</f>
        <v>20.704768934822862</v>
      </c>
      <c r="AD688" s="61">
        <f t="shared" si="4136"/>
        <v>-5.0294808527098329</v>
      </c>
      <c r="AE688" s="86">
        <f>(AE644+AE647)/(AE644+AE647+AE655)*100</f>
        <v>20.630816225047948</v>
      </c>
      <c r="AF688" s="61">
        <f t="shared" si="4137"/>
        <v>-5.0227174065970992</v>
      </c>
      <c r="AG688" s="86">
        <f>(AG644+AG647)/(AG644+AG647+AG655)*100</f>
        <v>20.064920774647884</v>
      </c>
      <c r="AH688" s="61">
        <f t="shared" si="4138"/>
        <v>-8.9646813160051071</v>
      </c>
      <c r="AI688" s="86">
        <f>(AI644+AI647)/(AI644+AI647+AI655)*100</f>
        <v>21.296711461842968</v>
      </c>
      <c r="AJ688" s="61">
        <f t="shared" si="4139"/>
        <v>-1.8069667175596771</v>
      </c>
      <c r="AK688" s="86">
        <f>(AK644+AK647)/(AK644+AK647+AK655)*100</f>
        <v>23.030041003040363</v>
      </c>
      <c r="AL688" s="61">
        <f t="shared" si="4140"/>
        <v>11.230611051672646</v>
      </c>
      <c r="AM688" s="86">
        <f>(AM644+AM647)/(AM644+AM647+AM655)*100</f>
        <v>21.718039148846906</v>
      </c>
      <c r="AN688" s="61">
        <f t="shared" si="4141"/>
        <v>5.2698977681695292</v>
      </c>
      <c r="AO688" s="86">
        <f>(AO644+AO647)/(AO644+AO647+AO655)*100</f>
        <v>18.356446900490475</v>
      </c>
      <c r="AP688" s="61">
        <f t="shared" si="4142"/>
        <v>-8.5147302266753719</v>
      </c>
      <c r="AQ688" s="86">
        <f>(AQ644+AQ647)/(AQ644+AQ647+AQ655)*100</f>
        <v>18.626196792394392</v>
      </c>
      <c r="AR688" s="61">
        <f t="shared" si="4143"/>
        <v>-12.539563557656786</v>
      </c>
      <c r="AS688" s="86">
        <f>(AS644+AS647)/(AS644+AS647+AS655)*100</f>
        <v>17.387183881186061</v>
      </c>
      <c r="AT688" s="61">
        <f t="shared" si="4144"/>
        <v>-24.502158381347861</v>
      </c>
      <c r="AU688" s="86">
        <f>(AU644+AU647)/(AU644+AU647+AU655)*100</f>
        <v>17.525394367306234</v>
      </c>
      <c r="AV688" s="61">
        <f t="shared" si="4145"/>
        <v>-19.304895588436565</v>
      </c>
      <c r="AW688" s="86">
        <f>(AW644+AW647)/(AW644+AW647+AW655)*100</f>
        <v>17.272656594189755</v>
      </c>
      <c r="AX688" s="61">
        <f t="shared" si="4146"/>
        <v>-5.9041399034132418</v>
      </c>
      <c r="AY688" s="86">
        <f>(AY644+AY647)/(AY644+AY647+AY655)*100</f>
        <v>17.352979527969747</v>
      </c>
      <c r="AZ688" s="61">
        <f t="shared" si="4147"/>
        <v>-6.8356266102832963</v>
      </c>
      <c r="BA688" s="86">
        <f>(BA644+BA647)/(BA644+BA647+BA655)*100</f>
        <v>18.910156138903901</v>
      </c>
      <c r="BB688" s="61">
        <f t="shared" si="3867"/>
        <v>8.759165763271092</v>
      </c>
      <c r="BC688" s="86">
        <f>(BC644+BC647)/(BC644+BC647+BC655)*100</f>
        <v>18.107452009710258</v>
      </c>
      <c r="BD688" s="61">
        <f t="shared" si="3868"/>
        <v>3.3212242201513975</v>
      </c>
      <c r="BE688" s="86">
        <f>(BE644+BE647)/(BE644+BE647+BE655)*100</f>
        <v>16.35473653901526</v>
      </c>
      <c r="BF688" s="61">
        <f t="shared" si="3869"/>
        <v>-5.3142957492900544</v>
      </c>
      <c r="BG688" s="86">
        <f>(BG644+BG647)/(BG644+BG647+BG655)*100</f>
        <v>17.982031601477825</v>
      </c>
      <c r="BH688" s="61">
        <f t="shared" si="4148"/>
        <v>3.6250378356878832</v>
      </c>
      <c r="BI688" s="86">
        <f>(BI644+BI647)/(BI644+BI647+BI655)*100</f>
        <v>17.651519895357172</v>
      </c>
      <c r="BJ688" s="61">
        <f t="shared" si="4149"/>
        <v>-6.655874411091367</v>
      </c>
      <c r="BK688" s="86">
        <f>(BK644+BK647)/(BK644+BK647+BK655)*100</f>
        <v>19.169594594594592</v>
      </c>
      <c r="BL688" s="61">
        <f t="shared" si="4150"/>
        <v>5.8657760590211883</v>
      </c>
      <c r="BM688" s="86">
        <f>(BM644+BM647)/(BM644+BM647+BM655)*100</f>
        <v>20.637694115416132</v>
      </c>
      <c r="BN688" s="61">
        <f t="shared" si="4151"/>
        <v>26.187872645845477</v>
      </c>
      <c r="BO688" s="86">
        <f>(BO644+BO647)/(BO644+BO647+BO655)*100</f>
        <v>21.609486367236112</v>
      </c>
      <c r="BP688" s="61">
        <f t="shared" si="4152"/>
        <v>20.172663724271132</v>
      </c>
      <c r="BQ688" s="86">
        <f>(BQ644+BQ647)/(BQ644+BQ647+BQ655)*100</f>
        <v>28.848930127896651</v>
      </c>
      <c r="BR688" s="61">
        <f t="shared" si="4153"/>
        <v>63.435955084438376</v>
      </c>
      <c r="BS688" s="86">
        <f>(BS644+BS647)/(BS644+BS647+BS655)*100</f>
        <v>33.211240078458395</v>
      </c>
      <c r="BT688" s="61">
        <f t="shared" si="4154"/>
        <v>73.249569335301643</v>
      </c>
      <c r="BU688" s="86">
        <f>(BU644+BU647)/(BU644+BU647+BU655)*100</f>
        <v>37.229103385322404</v>
      </c>
      <c r="BV688" s="61">
        <f t="shared" si="4155"/>
        <v>80.393716357646142</v>
      </c>
      <c r="BW688" s="86">
        <f>(BW644+BW647)/(BW644+BW647+BW655)*100</f>
        <v>37.237744257799108</v>
      </c>
      <c r="BX688" s="61">
        <f t="shared" si="3870"/>
        <v>72.321283463073229</v>
      </c>
      <c r="BY688" s="86">
        <f>(BY644+BY647)/(BY644+BY647+BY655)*100</f>
        <v>34.478252079482438</v>
      </c>
      <c r="BZ688" s="61">
        <f t="shared" si="3871"/>
        <v>19.513104737781184</v>
      </c>
      <c r="CA688" s="86">
        <f>(CA644+CA647)/(CA644+CA647+CA655)*100</f>
        <v>30.609231477279263</v>
      </c>
      <c r="CB688" s="61">
        <f t="shared" si="3872"/>
        <v>-7.8347228077968012</v>
      </c>
      <c r="CC688" s="86">
        <f>(CC644+CC647)/(CC644+CC647+CC655)*100</f>
        <v>31.676064200101607</v>
      </c>
      <c r="CD688" s="61">
        <f t="shared" si="3873"/>
        <v>-14.915855285975233</v>
      </c>
      <c r="CE688" s="86">
        <f>(CE644+CE647)/(CE644+CE647+CE655)*100</f>
        <v>30.455114470738337</v>
      </c>
      <c r="CF688" s="61">
        <f t="shared" si="4156"/>
        <v>-18.214394889508402</v>
      </c>
      <c r="CG688" s="86">
        <f>(CG644+CG647)/(CG644+CG647+CG655)*100</f>
        <v>31.69833960306136</v>
      </c>
      <c r="CH688" s="61">
        <f t="shared" si="4157"/>
        <v>-8.0627999064818212</v>
      </c>
      <c r="CI688" s="86">
        <f>(CI644+CI647)/(CI644+CI647+CI655)*100</f>
        <v>30.477479833643585</v>
      </c>
      <c r="CJ688" s="61">
        <f t="shared" si="4158"/>
        <v>-0.43043107349322041</v>
      </c>
      <c r="CK688" s="86">
        <f>(CK644+CK647)/(CK644+CK647+CK655)*100</f>
        <v>29.657665179846624</v>
      </c>
      <c r="CL688" s="61">
        <f t="shared" si="4159"/>
        <v>-6.3720006611443498</v>
      </c>
      <c r="CM688" s="86">
        <f>(CM644+CM647)/(CM644+CM647+CM655)*100</f>
        <v>30.81019049804911</v>
      </c>
      <c r="CN688" s="61">
        <f t="shared" si="4160"/>
        <v>1.1658994999080852</v>
      </c>
      <c r="CO688" s="86">
        <f>(CO644+CO647)/(CO644+CO647+CO655)*100</f>
        <v>31.327139396391914</v>
      </c>
      <c r="CP688" s="61">
        <f t="shared" si="4161"/>
        <v>-1.1710399071931055</v>
      </c>
      <c r="CQ688" s="86">
        <f>(CQ644+CQ647)/(CQ644+CQ647+CQ655)*100</f>
        <v>27.661181046164028</v>
      </c>
      <c r="CR688" s="61">
        <f t="shared" si="4162"/>
        <v>-9.2405894544164031</v>
      </c>
      <c r="CS688" s="86">
        <f>(CS644+CS647)/(CS644+CS647+CS655)*100</f>
        <v>29.15472391974474</v>
      </c>
      <c r="CT688" s="61">
        <f t="shared" si="4163"/>
        <v>-1.6958221662157325</v>
      </c>
      <c r="CU688" s="86">
        <f>(CU644+CU647)/(CU644+CU647+CU655)*100</f>
        <v>29.936986008757877</v>
      </c>
      <c r="CV688" s="61">
        <f t="shared" si="4164"/>
        <v>-2.8341418056033185</v>
      </c>
      <c r="CW688" s="86">
        <f>(CW644+CW647)/(CW644+CW647+CW655)*100</f>
        <v>28.945237372203664</v>
      </c>
      <c r="CX688" s="61">
        <f t="shared" si="4165"/>
        <v>-7.6033179858821853</v>
      </c>
      <c r="CY688" s="86">
        <f>(CY644+CY647)/(CY644+CY647+CY655)*100</f>
        <v>26.651790045600077</v>
      </c>
      <c r="CZ688" s="61">
        <f t="shared" si="4166"/>
        <v>-3.6491247386702952</v>
      </c>
      <c r="DA688" s="86">
        <f>(DA644+DA647)/(DA644+DA647+DA655)*100</f>
        <v>26.646090534979422</v>
      </c>
      <c r="DB688" s="61">
        <f t="shared" si="4167"/>
        <v>-8.6045520158960276</v>
      </c>
      <c r="DC688" s="86">
        <f>(DC644+DC647+DC646)/(DC644+DC647+DC655+DC646)*100</f>
        <v>24.753177054326365</v>
      </c>
      <c r="DD688" s="61">
        <f t="shared" si="4168"/>
        <v>-17.315734299087492</v>
      </c>
      <c r="DE688" s="86">
        <f>(DE644+DE647+DE646)/(DE644+DE647+DE655+DE646)*100</f>
        <v>27.494963793760547</v>
      </c>
      <c r="DF688" s="61">
        <f t="shared" si="4169"/>
        <v>-5.0104048544988844</v>
      </c>
      <c r="DG688" s="86">
        <f>(DG644+DG647+DG646)/(DG644+DG647+DG655+DG646)*100</f>
        <v>28.607230457502396</v>
      </c>
      <c r="DH688" s="61">
        <f t="shared" si="4170"/>
        <v>7.336994657982232</v>
      </c>
      <c r="DI688" s="86">
        <f>(DI644+DI647+DI646)/(DI644+DI647+DI655+DI646)*100</f>
        <v>28.338571352474297</v>
      </c>
      <c r="DJ688" s="61">
        <f t="shared" si="4171"/>
        <v>6.3517040718340523</v>
      </c>
      <c r="DK688" s="86">
        <f>(DK644+DK647+DK646)/(DK644+DK647+DK655+DK646)*100</f>
        <v>27.080082548950525</v>
      </c>
      <c r="DL688" s="61">
        <f t="shared" si="4172"/>
        <v>9.4004316678915512</v>
      </c>
      <c r="DM688" s="86">
        <f>(DM644+DM647+DM646)/(DM644+DM647+DM655+DM646)*100</f>
        <v>25.07152902381068</v>
      </c>
      <c r="DN688" s="130">
        <f t="shared" si="4173"/>
        <v>-8.8141042415186615</v>
      </c>
      <c r="DO688" s="86">
        <f>(DO644+DO647+DO646)/(DO644+DO647+DO655+DO646)*100</f>
        <v>25.128403915108056</v>
      </c>
      <c r="DP688" s="130">
        <f t="shared" si="4173"/>
        <v>-12.160654795165604</v>
      </c>
      <c r="DQ688" s="86">
        <f>(DQ644+DQ647+DQ646)/(DQ644+DQ647+DQ655+DQ646)*100</f>
        <v>25.083293669681105</v>
      </c>
      <c r="DR688" s="130">
        <f t="shared" si="4173"/>
        <v>-11.487091717871545</v>
      </c>
      <c r="DS688" s="86">
        <f>(DS644+DS647+DS646)/(DS644+DS647+DS655+DS646)*100</f>
        <v>25.643963699697498</v>
      </c>
      <c r="DT688" s="130">
        <f t="shared" si="4173"/>
        <v>-5.3032292152620624</v>
      </c>
      <c r="DU688" s="86">
        <f>(DU644+DU647+DU646)/(DU644+DU647+DU655+DU646)*100</f>
        <v>27.225467868105753</v>
      </c>
      <c r="DV688" s="130">
        <f t="shared" si="4173"/>
        <v>8.5911746437540959</v>
      </c>
      <c r="DW688" s="86">
        <f>(DW644+DW647+DW646)/(DW644+DW647+DW655+DW646)*100</f>
        <v>27.904881101376724</v>
      </c>
      <c r="DX688" s="86">
        <f t="shared" ref="DX688:DY688" si="4218">(DX644+DX647+DX646)/(DX644+DX647+DX655+DX646)*100</f>
        <v>28.012996750812295</v>
      </c>
      <c r="DY688" s="86">
        <f t="shared" si="4218"/>
        <v>28.96713615023474</v>
      </c>
      <c r="DZ688" s="130">
        <f t="shared" si="4173"/>
        <v>15.483781881675874</v>
      </c>
      <c r="EA688" s="86">
        <f t="shared" ref="EA688:EC688" si="4219">(EA644+EA647+EA646)/(EA644+EA647+EA655+EA646)*100</f>
        <v>27.821548158361235</v>
      </c>
      <c r="EB688" s="130">
        <f t="shared" si="4176"/>
        <v>8.4916063841153679</v>
      </c>
      <c r="EC688" s="86">
        <f t="shared" si="4219"/>
        <v>25.537885874649202</v>
      </c>
      <c r="ED688" s="130">
        <f t="shared" si="4177"/>
        <v>-6.1985417537434806</v>
      </c>
      <c r="EE688" s="86">
        <f t="shared" ref="EE688:EG688" si="4220">(EE644+EE647+EE646)/(EE644+EE647+EE655+EE646)*100</f>
        <v>25.055096418732781</v>
      </c>
      <c r="EF688" s="130">
        <f t="shared" si="4179"/>
        <v>-10.212495341911154</v>
      </c>
      <c r="EG688" s="86">
        <f t="shared" si="4220"/>
        <v>26.963628108762549</v>
      </c>
      <c r="EH688" s="130">
        <f t="shared" si="4180"/>
        <v>-6.9164864316625057</v>
      </c>
      <c r="EI688" s="86">
        <f t="shared" ref="EI688:EK688" si="4221">(EI644+EI647+EI646)/(EI644+EI647+EI655+EI646)*100</f>
        <v>25.529692629065952</v>
      </c>
      <c r="EJ688" s="130">
        <f t="shared" si="4182"/>
        <v>-8.2376994847661251</v>
      </c>
      <c r="EK688" s="86">
        <f t="shared" si="4221"/>
        <v>23.453127243144952</v>
      </c>
      <c r="EL688" s="130">
        <f t="shared" si="4183"/>
        <v>-8.1633955204323918</v>
      </c>
      <c r="EM688" s="86">
        <f t="shared" ref="EM688" si="4222">(EM644+EM647+EM646)/(EM644+EM647+EM655+EM646)*100</f>
        <v>23.097954181201093</v>
      </c>
      <c r="EN688" s="130">
        <f t="shared" si="4185"/>
        <v>-7.8113538452336702</v>
      </c>
      <c r="EO688" s="86">
        <f t="shared" ref="EO688" si="4223">(EO644+EO647+EO646)/(EO644+EO647+EO655+EO646)*100</f>
        <v>22.029168167086784</v>
      </c>
      <c r="EP688" s="130">
        <f t="shared" si="4187"/>
        <v>-18.300430200905272</v>
      </c>
      <c r="EQ688" s="86">
        <f t="shared" ref="EQ688:EW688" si="4224">(EQ644+EQ647+EQ646)/(EQ644+EQ647+EQ655+EQ646)*100</f>
        <v>23.527937213062263</v>
      </c>
      <c r="ER688" s="130">
        <f t="shared" si="4189"/>
        <v>-7.8408911736158498</v>
      </c>
      <c r="ES688" s="86">
        <f t="shared" si="4224"/>
        <v>23.206678153823994</v>
      </c>
      <c r="ET688" s="130">
        <f t="shared" si="4190"/>
        <v>-1.0508154702183359</v>
      </c>
      <c r="EU688" s="86">
        <f t="shared" si="4224"/>
        <v>23.059850325240621</v>
      </c>
      <c r="EV688" s="130">
        <f t="shared" si="4191"/>
        <v>-0.16496636741744064</v>
      </c>
      <c r="EW688" s="86">
        <f t="shared" si="4224"/>
        <v>22.902499383954371</v>
      </c>
      <c r="EX688" s="130">
        <f t="shared" si="4192"/>
        <v>3.9644312043175978</v>
      </c>
      <c r="EY688" s="356"/>
      <c r="EZ688" s="558"/>
      <c r="FA688" s="356"/>
      <c r="FB688" s="86">
        <f>(FB644+FB647)/(FB644+FB647+FB655)*100</f>
        <v>11.675218439041984</v>
      </c>
      <c r="FC688" s="71"/>
      <c r="FD688" s="86">
        <f>(FD644+FD647)/(FD644+FD647+FD655)*100</f>
        <v>14.30896923169678</v>
      </c>
      <c r="FE688" s="70">
        <f t="shared" si="4193"/>
        <v>22.55847123037562</v>
      </c>
      <c r="FF688" s="86">
        <f>(FF644+FF647)/(FF644+FF647+FF655)*100</f>
        <v>12.569048585496709</v>
      </c>
      <c r="FG688" s="70">
        <f t="shared" si="4193"/>
        <v>-12.159650482341199</v>
      </c>
      <c r="FH688" s="86">
        <f>(FH644+FH647)/(FH644+FH647+FH655)*100</f>
        <v>20.126573433313414</v>
      </c>
      <c r="FI688" s="70">
        <f t="shared" si="4193"/>
        <v>60.128058193181388</v>
      </c>
      <c r="FJ688" s="86">
        <f>(FJ644+FJ647)/(FJ644+FJ647+FJ655)*100</f>
        <v>22.040809066970994</v>
      </c>
      <c r="FK688" s="70">
        <f t="shared" si="4193"/>
        <v>9.5109862590377467</v>
      </c>
      <c r="FL688" s="86">
        <f>(FL644+FL647)/(FL644+FL647+FL655)*100</f>
        <v>20.064920774647884</v>
      </c>
      <c r="FM688" s="61">
        <f t="shared" si="4194"/>
        <v>-8.9646813160051071</v>
      </c>
      <c r="FN688" s="86">
        <f>(FN644+FN647)/(FN644+FN647+FN655)*100</f>
        <v>18.356446900490475</v>
      </c>
      <c r="FO688" s="61">
        <f t="shared" si="4195"/>
        <v>-8.5147302266753719</v>
      </c>
      <c r="FP688" s="176">
        <f>(FP644+FP647)/(FP644+FP647+FP655)*100</f>
        <v>17.272656594189755</v>
      </c>
      <c r="FQ688" s="61">
        <f t="shared" si="3844"/>
        <v>-14.179844614781123</v>
      </c>
      <c r="FR688" s="176">
        <f>(FR644+FR647)/(FR644+FR647+FR655)*100</f>
        <v>16.35473653901526</v>
      </c>
      <c r="FS688" s="61">
        <f t="shared" si="4196"/>
        <v>-5.3142957492900544</v>
      </c>
      <c r="FT688" s="86">
        <f>(FT644+FT647+FT646)/(FT644+FT647+FT655+FT646)*100</f>
        <v>20.637694115416132</v>
      </c>
      <c r="FU688" s="61">
        <f t="shared" si="4197"/>
        <v>26.187872645845477</v>
      </c>
      <c r="FV688" s="86">
        <f>(FV644+FV647+FV646)/(FV644+FV647+FV655+FV646)*100</f>
        <v>37.229103385322404</v>
      </c>
      <c r="FW688" s="61">
        <f t="shared" si="4198"/>
        <v>80.393716357646142</v>
      </c>
      <c r="FX688" s="81">
        <f>(FX644+FX647+FX646)/(FX644+FX647+FX655+FX646)*100</f>
        <v>34.964955642320689</v>
      </c>
      <c r="FY688" s="61">
        <f t="shared" si="4199"/>
        <v>-6.0816606824174997</v>
      </c>
      <c r="FZ688" s="81">
        <f>(FZ644+FZ647+FZ646)/(FZ644+FZ647+FZ655+FZ646)*100</f>
        <v>29.657665179846624</v>
      </c>
      <c r="GA688" s="61">
        <f t="shared" si="4200"/>
        <v>-15.178885157944421</v>
      </c>
      <c r="GB688" s="81">
        <f>(GB644+GB647+GB646)/(GB644+GB647+GB655+GB646)*100</f>
        <v>29.15472391974474</v>
      </c>
      <c r="GC688" s="61">
        <f t="shared" si="4201"/>
        <v>-1.6958221662157325</v>
      </c>
      <c r="GD688" s="81">
        <f>(GD644+GD647+GD646)/(GD644+GD647+GD655+GD646)*100</f>
        <v>26.646090534979422</v>
      </c>
      <c r="GE688" s="61">
        <f t="shared" si="4202"/>
        <v>-8.6045520158960276</v>
      </c>
      <c r="GF688" s="81">
        <f>(GF644+GF647+GF646)/(GF644+GF647+GF655+GF646)*100</f>
        <v>28.338571352474297</v>
      </c>
      <c r="GG688" s="61">
        <f t="shared" si="4202"/>
        <v>6.3517040718340523</v>
      </c>
      <c r="GH688" s="81">
        <f>(GH644+GH647+GH646)/(GH644+GH647+GH655+GH646)*100</f>
        <v>25.083293669681105</v>
      </c>
      <c r="GI688" s="61">
        <f t="shared" si="4202"/>
        <v>-11.487091717871545</v>
      </c>
      <c r="GJ688" s="81">
        <f>(GJ644+GJ647+GJ646)/(GJ644+GJ647+GJ655+GJ646)*100</f>
        <v>28.96713615023474</v>
      </c>
      <c r="GK688" s="61">
        <f t="shared" si="4202"/>
        <v>15.483781881675874</v>
      </c>
      <c r="GL688" s="81">
        <f>(GL644+GL647+GL646)/(GL644+GL647+GL655+GL646)*100</f>
        <v>26.963628108762549</v>
      </c>
      <c r="GM688" s="61">
        <f t="shared" si="4202"/>
        <v>-6.9164864316625057</v>
      </c>
      <c r="GN688" s="81">
        <f>(GN644+GN647+GN646)/(GN644+GN647+GN655+GN646)*100</f>
        <v>22.029168167086784</v>
      </c>
      <c r="GO688" s="61">
        <f t="shared" si="4202"/>
        <v>-18.300430200905272</v>
      </c>
      <c r="GP688" s="81">
        <f>(GP644+GP647+GP646)/(GP644+GP647+GP655+GP646)*100</f>
        <v>22.902499383954371</v>
      </c>
      <c r="GQ688" s="61">
        <f t="shared" si="4202"/>
        <v>3.9644312043175978</v>
      </c>
      <c r="GR688" s="86">
        <f>(GR644+GR647+GR646)/(GR644+GR647+GR655+GR646)*100</f>
        <v>22.306796189698229</v>
      </c>
      <c r="GS688" s="61">
        <f t="shared" si="4202"/>
        <v>-2.6010401060134747</v>
      </c>
      <c r="GT688" s="86">
        <f>(GT644+GT647+GT646)/(GT644+GT647+GT655+GT646)*100</f>
        <v>21.661890074764909</v>
      </c>
      <c r="GU688" s="61">
        <f t="shared" si="4202"/>
        <v>-2.8910745830508455</v>
      </c>
      <c r="GV688" s="86">
        <f>(GV644+GV647+GV646)/(GV644+GV647+GV655+GV646)*100</f>
        <v>21.05986155441596</v>
      </c>
      <c r="GW688" s="61">
        <f t="shared" si="4202"/>
        <v>-2.7792058692527655</v>
      </c>
      <c r="GX688" s="86">
        <f>(GX644+GX647+GX646)/(GX644+GX647+GX655+GX646)*100</f>
        <v>20.449943337056943</v>
      </c>
      <c r="GY688" s="61">
        <f t="shared" si="4203"/>
        <v>-2.8961169368709627</v>
      </c>
      <c r="GZ688" s="61">
        <f t="shared" si="4057"/>
        <v>-1.476733527947649</v>
      </c>
      <c r="HA688" s="61"/>
      <c r="HB688" s="452"/>
      <c r="HC688"/>
      <c r="HD688"/>
      <c r="HE688"/>
      <c r="HF688"/>
      <c r="HG688"/>
      <c r="HH688"/>
    </row>
    <row r="689" spans="1:216" s="5" customFormat="1" ht="12.75" customHeight="1" x14ac:dyDescent="0.2">
      <c r="A689" s="7"/>
      <c r="B689" s="7" t="s">
        <v>365</v>
      </c>
      <c r="C689" s="86">
        <f>(C644+C647)/(C655)*100</f>
        <v>16.523555349268975</v>
      </c>
      <c r="D689" s="70"/>
      <c r="E689" s="86">
        <f>(E644+E647)/(E655)*100</f>
        <v>16.859625446883069</v>
      </c>
      <c r="F689" s="71"/>
      <c r="G689" s="86">
        <f>(G644+G647)/(G655)*100</f>
        <v>15.692063631956991</v>
      </c>
      <c r="H689" s="71"/>
      <c r="I689" s="86">
        <f>(I644+I647)/(I655)*100</f>
        <v>14.375971417613695</v>
      </c>
      <c r="J689" s="61"/>
      <c r="K689" s="86">
        <f>(K644+K647)/(K655)*100</f>
        <v>13.895554124968298</v>
      </c>
      <c r="L689" s="61">
        <f t="shared" si="4127"/>
        <v>-15.904574825156759</v>
      </c>
      <c r="M689" s="86">
        <f>(M644+M647)/(M655)*100</f>
        <v>13.999096071842636</v>
      </c>
      <c r="N689" s="61">
        <f t="shared" si="4128"/>
        <v>-16.966743324474475</v>
      </c>
      <c r="O689" s="86">
        <f>(O644+O647)/(O655)*100</f>
        <v>13.180388529139686</v>
      </c>
      <c r="P689" s="61">
        <f t="shared" si="4129"/>
        <v>-16.006021653533587</v>
      </c>
      <c r="Q689" s="86">
        <f>(Q644+Q647)/(Q655)*100</f>
        <v>25.198084392322485</v>
      </c>
      <c r="R689" s="61">
        <f t="shared" si="4130"/>
        <v>75.279177040164029</v>
      </c>
      <c r="S689" s="86">
        <f>(S644+S647)/(S655)*100</f>
        <v>16.658934508621357</v>
      </c>
      <c r="T689" s="61">
        <f t="shared" si="4131"/>
        <v>19.886795149015789</v>
      </c>
      <c r="U689" s="86">
        <f>(U644+U647)/(U655)*100</f>
        <v>27.879296816619338</v>
      </c>
      <c r="V689" s="61">
        <f t="shared" si="4132"/>
        <v>99.150692827195613</v>
      </c>
      <c r="W689" s="86">
        <f>(W644+W647)/(W655)*100</f>
        <v>27.749558563861093</v>
      </c>
      <c r="X689" s="61" t="str">
        <f t="shared" si="4133"/>
        <v>NM</v>
      </c>
      <c r="Y689" s="86">
        <f>(Y644+Y647)/(Y655)*100</f>
        <v>28.272239364188877</v>
      </c>
      <c r="Z689" s="61">
        <f t="shared" si="4134"/>
        <v>12.199955060087998</v>
      </c>
      <c r="AA689" s="86">
        <f>(AA644+AA647)/(AA655)*100</f>
        <v>27.695357798165137</v>
      </c>
      <c r="AB689" s="61">
        <f t="shared" si="4135"/>
        <v>66.249274729018197</v>
      </c>
      <c r="AC689" s="86">
        <f>(AC644+AC647)/(AC655)*100</f>
        <v>26.110988840936056</v>
      </c>
      <c r="AD689" s="61">
        <f t="shared" si="4136"/>
        <v>-6.3427280369179222</v>
      </c>
      <c r="AE689" s="86">
        <f>(AE644+AE647)/(AE655)*100</f>
        <v>25.993484175855645</v>
      </c>
      <c r="AF689" s="61">
        <f t="shared" si="4137"/>
        <v>-6.3282966608788733</v>
      </c>
      <c r="AG689" s="86">
        <f>(AG644+AG647)/(AG655)*100</f>
        <v>25.101521095739553</v>
      </c>
      <c r="AH689" s="61">
        <f t="shared" si="4138"/>
        <v>-11.214952687707946</v>
      </c>
      <c r="AI689" s="86">
        <f>(AI644+AI647)/(AI655)*100</f>
        <v>27.059493773907384</v>
      </c>
      <c r="AJ689" s="61">
        <f t="shared" si="4139"/>
        <v>-2.2959227639943292</v>
      </c>
      <c r="AK689" s="86">
        <f>(AK644+AK647)/(AK655)*100</f>
        <v>29.920817554222769</v>
      </c>
      <c r="AL689" s="61">
        <f t="shared" si="4140"/>
        <v>14.590901694668013</v>
      </c>
      <c r="AM689" s="86">
        <f>(AM644+AM647)/(AM655)*100</f>
        <v>27.743350974743752</v>
      </c>
      <c r="AN689" s="61">
        <f t="shared" si="4141"/>
        <v>6.7319440020029653</v>
      </c>
      <c r="AO689" s="86">
        <f>(AO644+AO647)/(AO655)*100</f>
        <v>22.483645313815661</v>
      </c>
      <c r="AP689" s="61">
        <f t="shared" si="4142"/>
        <v>-10.429151970269324</v>
      </c>
      <c r="AQ689" s="86">
        <f>(AQ644+AQ647)/(AQ655)*100</f>
        <v>22.889672177265879</v>
      </c>
      <c r="AR689" s="61">
        <f t="shared" si="4143"/>
        <v>-15.409828548464322</v>
      </c>
      <c r="AS689" s="86">
        <f>(AS644+AS647)/(AS655)*100</f>
        <v>21.046593855582618</v>
      </c>
      <c r="AT689" s="61">
        <f t="shared" si="4144"/>
        <v>-29.659028141721745</v>
      </c>
      <c r="AU689" s="86">
        <f>(AU644+AU647)/(AU655)*100</f>
        <v>21.249443065368215</v>
      </c>
      <c r="AV689" s="61">
        <f t="shared" si="4145"/>
        <v>-23.407078385330195</v>
      </c>
      <c r="AW689" s="86">
        <f>(AW644+AW647)/(AW655)*100</f>
        <v>20.879017605413196</v>
      </c>
      <c r="AX689" s="61">
        <f t="shared" si="4146"/>
        <v>-7.1368663132951093</v>
      </c>
      <c r="AY689" s="86">
        <f>(AY644+AY647)/(AY655)*100</f>
        <v>20.996497428291942</v>
      </c>
      <c r="AZ689" s="61">
        <f t="shared" si="4147"/>
        <v>-8.2708687757190642</v>
      </c>
      <c r="BA689" s="86">
        <f>(BA644+BA647)/(BA655)*100</f>
        <v>23.320005611672279</v>
      </c>
      <c r="BB689" s="61">
        <f t="shared" si="3867"/>
        <v>10.801803710801593</v>
      </c>
      <c r="BC689" s="86">
        <f>(BC644+BC647)/(BC655)*100</f>
        <v>22.111232894911652</v>
      </c>
      <c r="BD689" s="61">
        <f t="shared" si="3868"/>
        <v>4.0555878424313185</v>
      </c>
      <c r="BE689" s="86">
        <f>(BE644+BE647)/(BE655)*100</f>
        <v>19.552495697074011</v>
      </c>
      <c r="BF689" s="61">
        <f t="shared" si="3869"/>
        <v>-6.3533731969997671</v>
      </c>
      <c r="BG689" s="86">
        <f>(BG644+BG647)/(BG655)*100</f>
        <v>21.92450258473097</v>
      </c>
      <c r="BH689" s="61">
        <f t="shared" si="4148"/>
        <v>4.4198093496707669</v>
      </c>
      <c r="BI689" s="86">
        <f>(BI644+BI647)/(BI655)*100</f>
        <v>21.435149589800346</v>
      </c>
      <c r="BJ689" s="61">
        <f t="shared" si="4149"/>
        <v>-8.082571047618071</v>
      </c>
      <c r="BK689" s="86">
        <f>(BK644+BK647)/(BK655)*100</f>
        <v>23.715821414539953</v>
      </c>
      <c r="BL689" s="61">
        <f t="shared" si="4150"/>
        <v>7.2568930337555182</v>
      </c>
      <c r="BM689" s="86">
        <f>(BM644+BM647)/(BM655)*100</f>
        <v>26.004403331512833</v>
      </c>
      <c r="BN689" s="61">
        <f t="shared" si="4151"/>
        <v>32.997872672614051</v>
      </c>
      <c r="BO689" s="86">
        <f>(BO644+BO647)/(BO655)*100</f>
        <v>27.566455896015807</v>
      </c>
      <c r="BP689" s="61">
        <f t="shared" si="4152"/>
        <v>25.733552172873921</v>
      </c>
      <c r="BQ689" s="86">
        <f>(BQ644+BQ647)/(BQ655)*100</f>
        <v>40.546024367242353</v>
      </c>
      <c r="BR689" s="61">
        <f t="shared" si="4153"/>
        <v>89.156712890567746</v>
      </c>
      <c r="BS689" s="86">
        <f>(BS644+BS647)/(BS655)*100</f>
        <v>49.725792360080419</v>
      </c>
      <c r="BT689" s="61" t="str">
        <f t="shared" si="4154"/>
        <v>NM</v>
      </c>
      <c r="BU689" s="86">
        <f>(BU644+BU647)/(BU655)*100</f>
        <v>59.309497542874333</v>
      </c>
      <c r="BV689" s="61" t="str">
        <f t="shared" si="4155"/>
        <v>NM</v>
      </c>
      <c r="BW689" s="86">
        <f>(BW644+BW647)/(BW655)*100</f>
        <v>59.33143067826466</v>
      </c>
      <c r="BX689" s="61" t="str">
        <f t="shared" si="3870"/>
        <v>NM</v>
      </c>
      <c r="BY689" s="86">
        <f>(BY644+BY647)/(BY655)*100</f>
        <v>52.621081051297594</v>
      </c>
      <c r="BZ689" s="61">
        <f t="shared" si="3871"/>
        <v>29.781111397473616</v>
      </c>
      <c r="CA689" s="86">
        <f>(CA644+CA647)/(CA655)*100</f>
        <v>44.111388487154215</v>
      </c>
      <c r="CB689" s="61">
        <f t="shared" si="3872"/>
        <v>-11.290727822435699</v>
      </c>
      <c r="CC689" s="86">
        <f>(CC644+CC647)/(CC655)*100</f>
        <v>46.361591774911645</v>
      </c>
      <c r="CD689" s="61">
        <f t="shared" si="3873"/>
        <v>-21.831083223395641</v>
      </c>
      <c r="CE689" s="86">
        <f>(CE644+CE647)/(CE655)*100</f>
        <v>43.792026169809525</v>
      </c>
      <c r="CF689" s="61">
        <f t="shared" si="4156"/>
        <v>-26.190847466194345</v>
      </c>
      <c r="CG689" s="86">
        <f>(CG644+CG647)/(CG655)*100</f>
        <v>46.409325071813498</v>
      </c>
      <c r="CH689" s="61">
        <f t="shared" si="4157"/>
        <v>-11.804690924970874</v>
      </c>
      <c r="CI689" s="86">
        <f>(CI644+CI647)/(CI655)*100</f>
        <v>43.838283998790303</v>
      </c>
      <c r="CJ689" s="61">
        <f t="shared" si="4158"/>
        <v>-0.61912466991023152</v>
      </c>
      <c r="CK689" s="86">
        <f>(CK644+CK647)/(CK655)*100</f>
        <v>42.161900448248389</v>
      </c>
      <c r="CL689" s="61">
        <f t="shared" si="4159"/>
        <v>-9.0585572364577427</v>
      </c>
      <c r="CM689" s="86">
        <f>(CM644+CM647)/(CM655)*100</f>
        <v>44.52995422278245</v>
      </c>
      <c r="CN689" s="61">
        <f t="shared" si="4160"/>
        <v>1.685074013500798</v>
      </c>
      <c r="CO689" s="86">
        <f>(CO644+CO647)/(CO655)*100</f>
        <v>45.617932791845831</v>
      </c>
      <c r="CP689" s="61">
        <f t="shared" si="4161"/>
        <v>-1.7052441050221523</v>
      </c>
      <c r="CQ689" s="86">
        <f>(CQ644+CQ647)/(CQ655)*100</f>
        <v>38.23836419532423</v>
      </c>
      <c r="CR689" s="61">
        <f t="shared" si="4162"/>
        <v>-12.774039703790862</v>
      </c>
      <c r="CS689" s="86">
        <f>(CS644+CS647)/(CS655)*100</f>
        <v>41.152671755725187</v>
      </c>
      <c r="CT689" s="61">
        <f t="shared" si="4163"/>
        <v>-2.3936982958393416</v>
      </c>
      <c r="CU689" s="86">
        <f>(CU644+CU647)/(CU655)*100</f>
        <v>42.728658536585371</v>
      </c>
      <c r="CV689" s="61">
        <f t="shared" si="4164"/>
        <v>-4.0451325801621802</v>
      </c>
      <c r="CW689" s="86">
        <f>(CW644+CW647)/(CW655)*100</f>
        <v>40.73651969513498</v>
      </c>
      <c r="CX689" s="61">
        <f t="shared" si="4165"/>
        <v>-10.700645114684814</v>
      </c>
      <c r="CY689" s="86">
        <f>(CY644+CY647)/(CY655)*100</f>
        <v>36.335978835978835</v>
      </c>
      <c r="CZ689" s="61">
        <f t="shared" si="4166"/>
        <v>-4.9750699314120244</v>
      </c>
      <c r="DA689" s="86">
        <f>(DA644+DA647)/(DA655)*100</f>
        <v>36.325385694249654</v>
      </c>
      <c r="DB689" s="61">
        <f t="shared" si="4167"/>
        <v>-11.730188722932567</v>
      </c>
      <c r="DC689" s="86">
        <f>(DC644+DC647+DC646)/(DC655)*100</f>
        <v>32.895976315435341</v>
      </c>
      <c r="DD689" s="61">
        <f t="shared" si="4168"/>
        <v>-23.011914152959044</v>
      </c>
      <c r="DE689" s="86">
        <f>(DE644+DE647+DE646)/(DE655)*100</f>
        <v>37.921453780881578</v>
      </c>
      <c r="DF689" s="61">
        <f t="shared" si="4169"/>
        <v>-6.9104232156327221</v>
      </c>
      <c r="DG689" s="86">
        <f>(DG644+DG647+DG646)/(DG655)*100</f>
        <v>40.070206886249906</v>
      </c>
      <c r="DH689" s="61">
        <f t="shared" si="4170"/>
        <v>10.276943596668842</v>
      </c>
      <c r="DI689" s="86">
        <f>(DI644+DI647+DI646)/(DI655)*100</f>
        <v>39.545082881141752</v>
      </c>
      <c r="DJ689" s="61">
        <f t="shared" si="4171"/>
        <v>8.8634907114056638</v>
      </c>
      <c r="DK689" s="86">
        <f>(DK644+DK647+DK646)/(DK655)*100</f>
        <v>37.136743287084975</v>
      </c>
      <c r="DL689" s="61">
        <f t="shared" si="4172"/>
        <v>12.891445844274262</v>
      </c>
      <c r="DM689" s="86">
        <f>(DM644+DM647+DM646)/(DM655)*100</f>
        <v>33.460617435764675</v>
      </c>
      <c r="DN689" s="130">
        <f t="shared" si="4173"/>
        <v>-11.763357942162733</v>
      </c>
      <c r="DO689" s="86">
        <f>(DO644+DO647+DO646)/(DO655)*100</f>
        <v>33.561998446803003</v>
      </c>
      <c r="DP689" s="130">
        <f t="shared" si="4173"/>
        <v>-16.242013568640189</v>
      </c>
      <c r="DQ689" s="86">
        <f>(DQ644+DQ647+DQ646)/(DQ655)*100</f>
        <v>33.481575603557815</v>
      </c>
      <c r="DR689" s="130">
        <f t="shared" si="4173"/>
        <v>-15.333151016040736</v>
      </c>
      <c r="DS689" s="86">
        <f>(DS644+DS647+DS646)/(DS655)*100</f>
        <v>34.488072489675154</v>
      </c>
      <c r="DT689" s="130">
        <f t="shared" si="4173"/>
        <v>-7.1322107513152595</v>
      </c>
      <c r="DU689" s="86">
        <f>(DU644+DU647+DU646)/(DU655)*100</f>
        <v>37.410708211442959</v>
      </c>
      <c r="DV689" s="130">
        <f t="shared" si="4173"/>
        <v>11.805193921664436</v>
      </c>
      <c r="DW689" s="86">
        <f>(DW644+DW647+DW646)/(DW655)*100</f>
        <v>38.705645441288802</v>
      </c>
      <c r="DX689" s="86">
        <f t="shared" ref="DX689:DY689" si="4225">(DX644+DX647+DX646)/(DX655)*100</f>
        <v>38.913964308034167</v>
      </c>
      <c r="DY689" s="86">
        <f t="shared" si="4225"/>
        <v>40.779907468605423</v>
      </c>
      <c r="DZ689" s="130">
        <f t="shared" si="4173"/>
        <v>21.798053805664019</v>
      </c>
      <c r="EA689" s="86">
        <f t="shared" ref="EA689:EC689" si="4226">(EA644+EA647+EA646)/(EA655)*100</f>
        <v>38.545504161550006</v>
      </c>
      <c r="EB689" s="130">
        <f t="shared" si="4176"/>
        <v>11.764738876286994</v>
      </c>
      <c r="EC689" s="86">
        <f t="shared" si="4226"/>
        <v>34.2964824120603</v>
      </c>
      <c r="ED689" s="130">
        <f t="shared" si="4177"/>
        <v>-8.324423536120328</v>
      </c>
      <c r="EE689" s="86">
        <f t="shared" ref="EE689:EG689" si="4227">(EE644+EE647+EE646)/(EE655)*100</f>
        <v>33.431354530417202</v>
      </c>
      <c r="EF689" s="130">
        <f t="shared" si="4179"/>
        <v>-13.626670866067791</v>
      </c>
      <c r="EG689" s="86">
        <f t="shared" si="4227"/>
        <v>36.918082608095041</v>
      </c>
      <c r="EH689" s="130">
        <f t="shared" si="4180"/>
        <v>-9.4699206060813719</v>
      </c>
      <c r="EI689" s="86">
        <f t="shared" ref="EI689:EK689" si="4228">(EI644+EI647+EI646)/(EI655)*100</f>
        <v>34.281707072730917</v>
      </c>
      <c r="EJ689" s="130">
        <f t="shared" si="4182"/>
        <v>-11.061723491665521</v>
      </c>
      <c r="EK689" s="86">
        <f t="shared" si="4228"/>
        <v>30.638909727431855</v>
      </c>
      <c r="EL689" s="130">
        <f t="shared" si="4183"/>
        <v>-10.664570904630921</v>
      </c>
      <c r="EM689" s="86">
        <f t="shared" ref="EM689" si="4229">(EM644+EM647+EM646)/(EM655)*100</f>
        <v>30.035552286379797</v>
      </c>
      <c r="EN689" s="130">
        <f t="shared" si="4185"/>
        <v>-10.157537113692971</v>
      </c>
      <c r="EO689" s="86">
        <f t="shared" ref="EO689" si="4230">(EO644+EO647+EO646)/(EO655)*100</f>
        <v>28.253088557903244</v>
      </c>
      <c r="EP689" s="130">
        <f t="shared" si="4187"/>
        <v>-23.470866952044311</v>
      </c>
      <c r="EQ689" s="86">
        <f t="shared" ref="EQ689:EW689" si="4231">(EQ644+EQ647+EQ646)/(EQ655)*100</f>
        <v>30.766709247290091</v>
      </c>
      <c r="ER689" s="130">
        <f t="shared" si="4189"/>
        <v>-10.253275363398695</v>
      </c>
      <c r="ES689" s="86">
        <f t="shared" si="4231"/>
        <v>30.219656600230259</v>
      </c>
      <c r="ET689" s="130">
        <f t="shared" si="4190"/>
        <v>-1.3683682968203881</v>
      </c>
      <c r="EU689" s="86">
        <f t="shared" si="4231"/>
        <v>29.971153452026005</v>
      </c>
      <c r="EV689" s="130">
        <f t="shared" si="4191"/>
        <v>-0.21440869054035749</v>
      </c>
      <c r="EW689" s="86">
        <f t="shared" si="4231"/>
        <v>29.705890853727457</v>
      </c>
      <c r="EX689" s="130">
        <f t="shared" si="4192"/>
        <v>5.1421008108432753</v>
      </c>
      <c r="EY689" s="64"/>
      <c r="EZ689" s="558"/>
      <c r="FA689" s="64"/>
      <c r="FB689" s="86">
        <f>(FB644+FB647)/(FB655)*100</f>
        <v>13.218508138606881</v>
      </c>
      <c r="FC689" s="71"/>
      <c r="FD689" s="86">
        <f>(FD644+FD647)/(FD655)*100</f>
        <v>16.698327821947046</v>
      </c>
      <c r="FE689" s="70">
        <f t="shared" si="4193"/>
        <v>26.325358708043357</v>
      </c>
      <c r="FF689" s="86">
        <f>(FF644+FF647)/(FF655)*100</f>
        <v>14.375971417613695</v>
      </c>
      <c r="FG689" s="70">
        <f t="shared" si="4193"/>
        <v>-13.907718360164289</v>
      </c>
      <c r="FH689" s="86">
        <f>(FH644+FH647)/(FH655)*100</f>
        <v>25.198084392322485</v>
      </c>
      <c r="FI689" s="70">
        <f t="shared" si="4193"/>
        <v>75.279177040164029</v>
      </c>
      <c r="FJ689" s="86">
        <f>(FJ644+FJ647)/(FJ655)*100</f>
        <v>28.272239364188877</v>
      </c>
      <c r="FK689" s="70">
        <f t="shared" si="4193"/>
        <v>12.199955060087998</v>
      </c>
      <c r="FL689" s="86">
        <f>(FL644+FL647)/(FL655)*100</f>
        <v>25.101521095739553</v>
      </c>
      <c r="FM689" s="61">
        <f t="shared" si="4194"/>
        <v>-11.214952687707946</v>
      </c>
      <c r="FN689" s="86">
        <f>(FN644+FN647)/(FN655)*100</f>
        <v>22.483645313815661</v>
      </c>
      <c r="FO689" s="61">
        <f t="shared" si="4195"/>
        <v>-10.429151970269324</v>
      </c>
      <c r="FP689" s="176">
        <f>(FP644+FP647)/(FP655)*100</f>
        <v>20.879017605413196</v>
      </c>
      <c r="FQ689" s="61">
        <f t="shared" si="3844"/>
        <v>-17.140456868321507</v>
      </c>
      <c r="FR689" s="176">
        <f>(FR644+FR647)/(FR655)*100</f>
        <v>19.552495697074011</v>
      </c>
      <c r="FS689" s="61">
        <f t="shared" si="4196"/>
        <v>-6.3533731969997671</v>
      </c>
      <c r="FT689" s="86">
        <f>(FT644+FT647+FT646)/(FT655)*100</f>
        <v>26.004403331512833</v>
      </c>
      <c r="FU689" s="61">
        <f t="shared" si="4197"/>
        <v>32.997872672614051</v>
      </c>
      <c r="FV689" s="86">
        <f>(FV644+FV647+FV646)/(FV655)*100</f>
        <v>59.309497542874333</v>
      </c>
      <c r="FW689" s="61" t="str">
        <f t="shared" si="4198"/>
        <v>NM</v>
      </c>
      <c r="FX689" s="81">
        <f>(FX644+FX647+FX646)/(FX655)*100</f>
        <v>53.763253316197734</v>
      </c>
      <c r="FY689" s="61">
        <f t="shared" si="4199"/>
        <v>-9.3513593209372026</v>
      </c>
      <c r="FZ689" s="81">
        <f>(FZ644+FZ647+FZ646)/(FZ655)*100</f>
        <v>42.161900448248389</v>
      </c>
      <c r="GA689" s="61">
        <f t="shared" si="4200"/>
        <v>-21.578591607390884</v>
      </c>
      <c r="GB689" s="81">
        <f>(GB644+GB647+GB646)/(GB655)*100</f>
        <v>41.152671755725187</v>
      </c>
      <c r="GC689" s="61">
        <f t="shared" si="4201"/>
        <v>-2.3936982958393416</v>
      </c>
      <c r="GD689" s="81">
        <f>(GD644+GD647+GD646)/(GD655)*100</f>
        <v>36.325385694249654</v>
      </c>
      <c r="GE689" s="61">
        <f t="shared" si="4202"/>
        <v>-11.730188722932567</v>
      </c>
      <c r="GF689" s="81">
        <f>(GF644+GF647+GF646)/(GF655)*100</f>
        <v>39.545082881141752</v>
      </c>
      <c r="GG689" s="61">
        <f t="shared" si="4202"/>
        <v>8.8634907114056638</v>
      </c>
      <c r="GH689" s="81">
        <f>(GH644+GH647+GH646)/(GH655)*100</f>
        <v>33.481575603557815</v>
      </c>
      <c r="GI689" s="61">
        <f t="shared" si="4202"/>
        <v>-15.333151016040736</v>
      </c>
      <c r="GJ689" s="81">
        <f>(GJ644+GJ647+GJ646)/(GJ655)*100</f>
        <v>40.779907468605423</v>
      </c>
      <c r="GK689" s="61">
        <f t="shared" si="4202"/>
        <v>21.798053805664019</v>
      </c>
      <c r="GL689" s="81">
        <f>(GL644+GL647+GL646)/(GL655)*100</f>
        <v>36.918082608095041</v>
      </c>
      <c r="GM689" s="61">
        <f t="shared" si="4202"/>
        <v>-9.4699206060813719</v>
      </c>
      <c r="GN689" s="81">
        <f>(GN644+GN647+GN646)/(GN655)*100</f>
        <v>28.253088557903244</v>
      </c>
      <c r="GO689" s="61">
        <f t="shared" si="4202"/>
        <v>-23.470866952044311</v>
      </c>
      <c r="GP689" s="81">
        <f>(GP644+GP647+GP646)/(GP655)*100</f>
        <v>29.705890853727457</v>
      </c>
      <c r="GQ689" s="61">
        <f t="shared" si="4202"/>
        <v>5.1421008108432753</v>
      </c>
      <c r="GR689" s="86">
        <f>(GR644+GR647+GR646)/(GR655)*100</f>
        <v>28.711386705281477</v>
      </c>
      <c r="GS689" s="61">
        <f t="shared" si="4202"/>
        <v>-3.3478347892104687</v>
      </c>
      <c r="GT689" s="86">
        <f>(GT644+GT647+GT646)/(GT655)*100</f>
        <v>27.651790546693995</v>
      </c>
      <c r="GU689" s="61">
        <f t="shared" si="4202"/>
        <v>-3.6905084713047653</v>
      </c>
      <c r="GV689" s="86">
        <f>(GV644+GV647+GV646)/(GV655)*100</f>
        <v>26.678267823071018</v>
      </c>
      <c r="GW689" s="61">
        <f t="shared" si="4202"/>
        <v>-3.5206498544065212</v>
      </c>
      <c r="GX689" s="86">
        <f>(GX644+GX647+GX646)/(GX655)*100</f>
        <v>25.707012911007993</v>
      </c>
      <c r="GY689" s="61">
        <f t="shared" si="4203"/>
        <v>-3.6406220917502563</v>
      </c>
      <c r="GZ689" s="61">
        <f t="shared" si="4057"/>
        <v>-1.8710533543309316</v>
      </c>
      <c r="HA689" s="61"/>
      <c r="HB689" s="452"/>
      <c r="HC689"/>
      <c r="HD689"/>
      <c r="HE689"/>
      <c r="HF689"/>
      <c r="HG689"/>
      <c r="HH689"/>
    </row>
    <row r="690" spans="1:216" s="5" customFormat="1" ht="12.75" customHeight="1" x14ac:dyDescent="0.2">
      <c r="A690" s="7"/>
      <c r="B690" s="7" t="s">
        <v>210</v>
      </c>
      <c r="C690" s="412">
        <f>C655/C636*100</f>
        <v>8.7169548717035799</v>
      </c>
      <c r="D690" s="70"/>
      <c r="E690" s="412">
        <f>E655/E636*100</f>
        <v>8.6332920442978196</v>
      </c>
      <c r="F690" s="71"/>
      <c r="G690" s="412">
        <f>G655/G636*100</f>
        <v>9.2942771368072705</v>
      </c>
      <c r="H690" s="71"/>
      <c r="I690" s="412">
        <f>I655/I636*100</f>
        <v>10.053391073889106</v>
      </c>
      <c r="J690" s="61"/>
      <c r="K690" s="412">
        <f>K655/K636*100</f>
        <v>10.331338049458855</v>
      </c>
      <c r="L690" s="61">
        <f t="shared" si="4127"/>
        <v>18.520035970310957</v>
      </c>
      <c r="M690" s="412">
        <f>M655/M636*100</f>
        <v>10.324197115092005</v>
      </c>
      <c r="N690" s="61">
        <f t="shared" si="4128"/>
        <v>19.585866690459142</v>
      </c>
      <c r="O690" s="412">
        <f>O655/O636*100</f>
        <v>10.65524324707942</v>
      </c>
      <c r="P690" s="61">
        <f t="shared" si="4129"/>
        <v>14.643054970702796</v>
      </c>
      <c r="Q690" s="412">
        <f>Q655/Q636*100</f>
        <v>9.9678625796387852</v>
      </c>
      <c r="R690" s="61">
        <f t="shared" si="4130"/>
        <v>-0.85074273567709024</v>
      </c>
      <c r="S690" s="412">
        <f>S655/S636*100</f>
        <v>9.7737187250258355</v>
      </c>
      <c r="T690" s="61">
        <f t="shared" si="4131"/>
        <v>-5.3973582295298801</v>
      </c>
      <c r="U690" s="412">
        <f>U655/U636*100</f>
        <v>9.823525957246888</v>
      </c>
      <c r="V690" s="61">
        <f t="shared" si="4132"/>
        <v>-4.8494924328133067</v>
      </c>
      <c r="W690" s="412">
        <f>W655/W636*100</f>
        <v>9.6453256503782345</v>
      </c>
      <c r="X690" s="61">
        <f t="shared" si="4133"/>
        <v>-9.4781280284521152</v>
      </c>
      <c r="Y690" s="412">
        <f>Y655/Y636*100</f>
        <v>9.3910358852598943</v>
      </c>
      <c r="Z690" s="61">
        <f t="shared" si="4134"/>
        <v>-5.7868644332754631</v>
      </c>
      <c r="AA690" s="412">
        <f>AA655/AA636*100</f>
        <v>9.4487970554427658</v>
      </c>
      <c r="AB690" s="61">
        <f t="shared" si="4135"/>
        <v>-3.3244426069997335</v>
      </c>
      <c r="AC690" s="412">
        <f>AC655/AC636*100</f>
        <v>9.7598590367511324</v>
      </c>
      <c r="AD690" s="61">
        <f t="shared" si="4136"/>
        <v>-0.64810660421564803</v>
      </c>
      <c r="AE690" s="412">
        <f>AE655/AE636*100</f>
        <v>9.3800005037233554</v>
      </c>
      <c r="AF690" s="61">
        <f t="shared" si="4137"/>
        <v>-2.7508158487575263</v>
      </c>
      <c r="AG690" s="412">
        <f>AG655/AG636*100</f>
        <v>9.6570770542226043</v>
      </c>
      <c r="AH690" s="61">
        <f t="shared" si="4138"/>
        <v>2.8329267634924715</v>
      </c>
      <c r="AI690" s="412">
        <f>AI655/AI636*100</f>
        <v>10.020061325678498</v>
      </c>
      <c r="AJ690" s="61">
        <f t="shared" si="4139"/>
        <v>6.0458941692124402</v>
      </c>
      <c r="AK690" s="412">
        <f>AK655/AK636*100</f>
        <v>9.2021235798059831</v>
      </c>
      <c r="AL690" s="61">
        <f t="shared" si="4140"/>
        <v>-5.7145851681358772</v>
      </c>
      <c r="AM690" s="412">
        <f>AM655/AM636*100</f>
        <v>9.8334628914741948</v>
      </c>
      <c r="AN690" s="61">
        <f t="shared" si="4141"/>
        <v>4.8343535543611038</v>
      </c>
      <c r="AO690" s="412">
        <f>AO655/AO636*100</f>
        <v>10.121495311785521</v>
      </c>
      <c r="AP690" s="61">
        <f t="shared" si="4142"/>
        <v>4.8090975660160851</v>
      </c>
      <c r="AQ690" s="412">
        <f>AQ655/AQ636*100</f>
        <v>9.9120807020421537</v>
      </c>
      <c r="AR690" s="61">
        <f t="shared" si="4143"/>
        <v>-1.0776443389584944</v>
      </c>
      <c r="AS690" s="412">
        <f>AS655/AS636*100</f>
        <v>10.301176051607055</v>
      </c>
      <c r="AT690" s="61">
        <f t="shared" si="4144"/>
        <v>11.943465682344634</v>
      </c>
      <c r="AU690" s="412">
        <f>AU655/AU636*100</f>
        <v>10.242068361943783</v>
      </c>
      <c r="AV690" s="61">
        <f t="shared" si="4145"/>
        <v>4.1552551220166434</v>
      </c>
      <c r="AW690" s="412">
        <f>AW655/AW636*100</f>
        <v>10.44694547441935</v>
      </c>
      <c r="AX690" s="61">
        <f t="shared" si="4146"/>
        <v>3.2154355913683208</v>
      </c>
      <c r="AY690" s="86">
        <f>AY655/AY636*100</f>
        <v>10.478476651490052</v>
      </c>
      <c r="AZ690" s="61">
        <f t="shared" si="4147"/>
        <v>5.7141983249914929</v>
      </c>
      <c r="BA690" s="86">
        <f>BA655/BA636*100</f>
        <v>11.844835644181336</v>
      </c>
      <c r="BB690" s="61">
        <f t="shared" si="3867"/>
        <v>14.985275320418001</v>
      </c>
      <c r="BC690" s="86">
        <f>BC655/BC636*100</f>
        <v>12.368554834932912</v>
      </c>
      <c r="BD690" s="61">
        <f t="shared" si="3868"/>
        <v>20.762275722455303</v>
      </c>
      <c r="BE690" s="86">
        <f>BE655/BE636*100</f>
        <v>12.455083707635769</v>
      </c>
      <c r="BF690" s="61">
        <f t="shared" si="3869"/>
        <v>19.222252457750422</v>
      </c>
      <c r="BG690" s="86">
        <f>BG655/BG636*100</f>
        <v>12.255382775728799</v>
      </c>
      <c r="BH690" s="61">
        <f t="shared" si="4148"/>
        <v>16.957676037633473</v>
      </c>
      <c r="BI690" s="86">
        <f>BI655/BI636*100</f>
        <v>12.058492711334617</v>
      </c>
      <c r="BJ690" s="61">
        <f t="shared" si="4149"/>
        <v>1.8037993398265506</v>
      </c>
      <c r="BK690" s="86">
        <f>BK655/BK636*100</f>
        <v>12.045556609454074</v>
      </c>
      <c r="BL690" s="61">
        <f t="shared" si="4150"/>
        <v>-2.6114467679488551</v>
      </c>
      <c r="BM690" s="86">
        <f>BM655/BM636*100</f>
        <v>11.680578287505059</v>
      </c>
      <c r="BN690" s="61">
        <f t="shared" si="4151"/>
        <v>-6.2183879154171233</v>
      </c>
      <c r="BO690" s="86">
        <f>BO655/BO636*100</f>
        <v>11.015131237077243</v>
      </c>
      <c r="BP690" s="61">
        <f t="shared" si="4152"/>
        <v>-10.120055500084547</v>
      </c>
      <c r="BQ690" s="86">
        <f>BQ655/BQ636*100</f>
        <v>10.605258532031867</v>
      </c>
      <c r="BR690" s="61">
        <f t="shared" si="4153"/>
        <v>-12.051540885675994</v>
      </c>
      <c r="BS690" s="86">
        <f>BS655/BS636*100</f>
        <v>9.664404541611944</v>
      </c>
      <c r="BT690" s="61">
        <f t="shared" si="4154"/>
        <v>-19.767887404831587</v>
      </c>
      <c r="BU690" s="86">
        <f>BU655/BU636*100</f>
        <v>7.7820009521653981</v>
      </c>
      <c r="BV690" s="61">
        <f t="shared" si="4155"/>
        <v>-33.37657810581215</v>
      </c>
      <c r="BW690" s="86">
        <f>BW655/BW636*100</f>
        <v>7.3274671704335796</v>
      </c>
      <c r="BX690" s="61">
        <f t="shared" si="3870"/>
        <v>-33.4781673252415</v>
      </c>
      <c r="BY690" s="86">
        <f>BY655/BY636*100</f>
        <v>8.5646061715752655</v>
      </c>
      <c r="BZ690" s="61">
        <f t="shared" si="3871"/>
        <v>-19.241891692626488</v>
      </c>
      <c r="CA690" s="86">
        <f>CA655/CA636*100</f>
        <v>9.7467008804236386</v>
      </c>
      <c r="CB690" s="61">
        <f t="shared" si="3872"/>
        <v>0.85154070752473388</v>
      </c>
      <c r="CC690" s="86">
        <f>CC655/CC636*100</f>
        <v>10.481251419180783</v>
      </c>
      <c r="CD690" s="61">
        <f t="shared" si="3873"/>
        <v>34.685815172822608</v>
      </c>
      <c r="CE690" s="86">
        <f>CE655/CE636*100</f>
        <v>10.984939948018962</v>
      </c>
      <c r="CF690" s="61">
        <f t="shared" si="4156"/>
        <v>49.914557001951906</v>
      </c>
      <c r="CG690" s="86">
        <f>CG655/CG636*100</f>
        <v>11.563230885792406</v>
      </c>
      <c r="CH690" s="61">
        <f t="shared" si="4157"/>
        <v>35.011822542047021</v>
      </c>
      <c r="CI690" s="86">
        <f>CI655/CI636*100</f>
        <v>12.113833633265484</v>
      </c>
      <c r="CJ690" s="61">
        <f t="shared" si="4158"/>
        <v>24.286502498463449</v>
      </c>
      <c r="CK690" s="86">
        <f>CK655/CK636*100</f>
        <v>11.727244087565571</v>
      </c>
      <c r="CL690" s="61">
        <f t="shared" si="4159"/>
        <v>11.887823491235139</v>
      </c>
      <c r="CM690" s="86">
        <f>CM655/CM636*100</f>
        <v>11.113312768826249</v>
      </c>
      <c r="CN690" s="61">
        <f t="shared" si="4160"/>
        <v>1.168625603915463</v>
      </c>
      <c r="CO690" s="86">
        <f>CO655/CO636*100</f>
        <v>11.299638371981073</v>
      </c>
      <c r="CP690" s="61">
        <f t="shared" si="4161"/>
        <v>-2.2795749424601164</v>
      </c>
      <c r="CQ690" s="86">
        <f>CQ655/CQ636*100</f>
        <v>11.84061601340249</v>
      </c>
      <c r="CR690" s="61">
        <f t="shared" si="4162"/>
        <v>-2.2554182939471645</v>
      </c>
      <c r="CS690" s="86">
        <f>CS655/CS636*100</f>
        <v>11.100377921263579</v>
      </c>
      <c r="CT690" s="61">
        <f t="shared" si="4163"/>
        <v>-5.3453834645316167</v>
      </c>
      <c r="CU690" s="86">
        <f>CU655/CU636*100</f>
        <v>11.220388266484221</v>
      </c>
      <c r="CV690" s="61">
        <f t="shared" si="4164"/>
        <v>0.96348856443893016</v>
      </c>
      <c r="CW690" s="86">
        <f>CW655/CW636*100</f>
        <v>11.481872234626362</v>
      </c>
      <c r="CX690" s="61">
        <f t="shared" si="4165"/>
        <v>1.6127406616583517</v>
      </c>
      <c r="CY690" s="86">
        <f>CY655/CY636*100</f>
        <v>12.380047817115909</v>
      </c>
      <c r="CZ690" s="61">
        <f t="shared" si="4166"/>
        <v>4.5557748271106036</v>
      </c>
      <c r="DA690" s="86">
        <f>DA655/DA636*100</f>
        <v>12.124279328885146</v>
      </c>
      <c r="DB690" s="61">
        <f t="shared" si="4167"/>
        <v>9.2240229556527886</v>
      </c>
      <c r="DC690" s="86">
        <f>DC655/DC636*100</f>
        <v>12.0853832079691</v>
      </c>
      <c r="DD690" s="61">
        <f t="shared" si="4168"/>
        <v>7.7091355569989917</v>
      </c>
      <c r="DE690" s="86">
        <f>DE655/DE636*100</f>
        <v>11.047968275564553</v>
      </c>
      <c r="DF690" s="61">
        <f t="shared" si="4169"/>
        <v>-3.7790349012355895</v>
      </c>
      <c r="DG690" s="86">
        <f>DG655/DG636*100</f>
        <v>11.106779042373162</v>
      </c>
      <c r="DH690" s="61">
        <f t="shared" si="4170"/>
        <v>-10.284845370164097</v>
      </c>
      <c r="DI690" s="86">
        <f>DI655/DI636*100</f>
        <v>11.228611968950839</v>
      </c>
      <c r="DJ690" s="61">
        <f t="shared" si="4171"/>
        <v>-7.3873863809822531</v>
      </c>
      <c r="DK690" s="86">
        <f>DK655/DK636*100</f>
        <v>11.779868434961498</v>
      </c>
      <c r="DL690" s="61">
        <f t="shared" si="4172"/>
        <v>-2.5279692646083873</v>
      </c>
      <c r="DM690" s="86">
        <f>DM655/DM636*100</f>
        <v>12.364163052350239</v>
      </c>
      <c r="DN690" s="130">
        <f t="shared" si="4173"/>
        <v>11.913455433220177</v>
      </c>
      <c r="DO690" s="86">
        <f>DO655/DO636*100</f>
        <v>12.311467703511301</v>
      </c>
      <c r="DP690" s="130">
        <f t="shared" si="4173"/>
        <v>10.846426822233202</v>
      </c>
      <c r="DQ690" s="86">
        <f>DQ655/DQ636*100</f>
        <v>12.286124640939178</v>
      </c>
      <c r="DR690" s="130">
        <f t="shared" si="4173"/>
        <v>9.4180177827193123</v>
      </c>
      <c r="DS690" s="86">
        <f>DS655/DS636*100</f>
        <v>12.419521531100479</v>
      </c>
      <c r="DT690" s="130">
        <f t="shared" si="4173"/>
        <v>5.4300529727526747</v>
      </c>
      <c r="DU690" s="86">
        <f>DU655/DU636*100</f>
        <v>11.564454584792101</v>
      </c>
      <c r="DV690" s="130">
        <f t="shared" si="4173"/>
        <v>-6.4679547185858777</v>
      </c>
      <c r="DW690" s="86">
        <f>DW655/DW636*100</f>
        <v>11.143955984430498</v>
      </c>
      <c r="DX690" s="86">
        <f t="shared" ref="DX690:DY690" si="4232">DX655/DX636*100</f>
        <v>11.141369519639168</v>
      </c>
      <c r="DY690" s="86">
        <f t="shared" si="4232"/>
        <v>10.61431611439796</v>
      </c>
      <c r="DZ690" s="130">
        <f t="shared" si="4173"/>
        <v>-13.607289323522775</v>
      </c>
      <c r="EA690" s="86">
        <f t="shared" ref="EA690:EC690" si="4233">EA655/EA636*100</f>
        <v>11.086739479018545</v>
      </c>
      <c r="EB690" s="130">
        <f t="shared" si="4176"/>
        <v>-10.731347811946158</v>
      </c>
      <c r="EC690" s="86">
        <f t="shared" si="4233"/>
        <v>11.536649878618791</v>
      </c>
      <c r="ED690" s="130">
        <f t="shared" si="4177"/>
        <v>-0.2404324905203481</v>
      </c>
      <c r="EE690" s="86">
        <f t="shared" ref="EE690:EG690" si="4234">EE655/EE636*100</f>
        <v>11.827232414572645</v>
      </c>
      <c r="EF690" s="130">
        <f t="shared" si="4179"/>
        <v>6.1313633246288024</v>
      </c>
      <c r="EG690" s="86">
        <f t="shared" si="4234"/>
        <v>10.866921864444945</v>
      </c>
      <c r="EH690" s="130">
        <f t="shared" si="4180"/>
        <v>2.3798589313195118</v>
      </c>
      <c r="EI690" s="86">
        <f t="shared" ref="EI690:EK690" si="4235">EI655/EI636*100</f>
        <v>11.131514385547543</v>
      </c>
      <c r="EJ690" s="130">
        <f t="shared" si="4182"/>
        <v>0.40386000423058288</v>
      </c>
      <c r="EK690" s="86">
        <f t="shared" si="4235"/>
        <v>11.776832123452063</v>
      </c>
      <c r="EL690" s="130">
        <f t="shared" si="4183"/>
        <v>2.0819063364175605</v>
      </c>
      <c r="EM690" s="86">
        <f t="shared" ref="EM690" si="4236">EM655/EM636*100</f>
        <v>11.893011015287264</v>
      </c>
      <c r="EN690" s="130">
        <f t="shared" si="4185"/>
        <v>0.55616223989622959</v>
      </c>
      <c r="EO690" s="86">
        <f t="shared" ref="EO690" si="4237">EO655/EO636*100</f>
        <v>12.59378816960391</v>
      </c>
      <c r="EP690" s="130">
        <f t="shared" si="4187"/>
        <v>15.891034523851966</v>
      </c>
      <c r="EQ690" s="86">
        <f t="shared" ref="EQ690:EW690" si="4238">EQ655/EQ636*100</f>
        <v>12.681757087538942</v>
      </c>
      <c r="ER690" s="130">
        <f t="shared" si="4189"/>
        <v>13.926610956045081</v>
      </c>
      <c r="ES690" s="86">
        <f t="shared" si="4238"/>
        <v>12.787239591335217</v>
      </c>
      <c r="ET690" s="130">
        <f t="shared" si="4190"/>
        <v>8.5796202008437952</v>
      </c>
      <c r="EU690" s="86">
        <f t="shared" si="4238"/>
        <v>12.82894410963816</v>
      </c>
      <c r="EV690" s="130">
        <f t="shared" si="4191"/>
        <v>7.8696058815370451</v>
      </c>
      <c r="EW690" s="86">
        <f t="shared" si="4238"/>
        <v>12.879359433844794</v>
      </c>
      <c r="EX690" s="130">
        <f t="shared" si="4192"/>
        <v>2.267556515918967</v>
      </c>
      <c r="EY690" s="85"/>
      <c r="EZ690" s="558"/>
      <c r="FA690" s="85"/>
      <c r="FB690" s="86">
        <f>FB655/FB636*100</f>
        <v>10.684469157640487</v>
      </c>
      <c r="FC690" s="86"/>
      <c r="FD690" s="86">
        <f>FD655/FD636*100</f>
        <v>8.608461282214348</v>
      </c>
      <c r="FE690" s="87">
        <f t="shared" si="4193"/>
        <v>-19.430145239752804</v>
      </c>
      <c r="FF690" s="86">
        <f>FF655/FF636*100</f>
        <v>10.053391073889106</v>
      </c>
      <c r="FG690" s="87">
        <f t="shared" si="4193"/>
        <v>16.784994952118538</v>
      </c>
      <c r="FH690" s="86">
        <f>FH655/FH636*100</f>
        <v>9.9678625796387852</v>
      </c>
      <c r="FI690" s="87">
        <f t="shared" si="4193"/>
        <v>-0.85074273567709024</v>
      </c>
      <c r="FJ690" s="86">
        <f>FJ655/FJ636*100</f>
        <v>9.3910358852598943</v>
      </c>
      <c r="FK690" s="87">
        <f t="shared" si="4193"/>
        <v>-5.7868644332754631</v>
      </c>
      <c r="FL690" s="86">
        <f>FL655/FL636*100</f>
        <v>9.6570770542226043</v>
      </c>
      <c r="FM690" s="87">
        <f t="shared" si="4194"/>
        <v>2.8329267634924715</v>
      </c>
      <c r="FN690" s="86">
        <f>FN655/FN636*100</f>
        <v>10.121495311785521</v>
      </c>
      <c r="FO690" s="87">
        <f t="shared" si="4195"/>
        <v>4.8090975660160851</v>
      </c>
      <c r="FP690" s="176">
        <f>FP655/FP636*100</f>
        <v>10.44694547441935</v>
      </c>
      <c r="FQ690" s="61">
        <f t="shared" si="3844"/>
        <v>4.8062750760547335</v>
      </c>
      <c r="FR690" s="176">
        <f>FR655/FR636*100</f>
        <v>12.455083707635769</v>
      </c>
      <c r="FS690" s="61">
        <f t="shared" si="4196"/>
        <v>19.222252457750422</v>
      </c>
      <c r="FT690" s="176">
        <f>FT655/FT636*100</f>
        <v>11.680578287505059</v>
      </c>
      <c r="FU690" s="61">
        <f t="shared" si="4197"/>
        <v>-6.2183879154171233</v>
      </c>
      <c r="FV690" s="176">
        <f>FV655/FV636*100</f>
        <v>7.7820009521653981</v>
      </c>
      <c r="FW690" s="61">
        <f t="shared" si="4198"/>
        <v>-33.37657810581215</v>
      </c>
      <c r="FX690" s="88">
        <f>FX655/FX636*100</f>
        <v>10.481251419180783</v>
      </c>
      <c r="FY690" s="61">
        <f t="shared" si="4199"/>
        <v>34.685815172822608</v>
      </c>
      <c r="FZ690" s="88">
        <f>FZ655/FZ636*100</f>
        <v>11.727244087565571</v>
      </c>
      <c r="GA690" s="61">
        <f t="shared" si="4200"/>
        <v>11.887823491235139</v>
      </c>
      <c r="GB690" s="88">
        <f>GB655/GB636*100</f>
        <v>11.100377921263579</v>
      </c>
      <c r="GC690" s="61">
        <f t="shared" si="4201"/>
        <v>-5.3453834645316167</v>
      </c>
      <c r="GD690" s="88">
        <f>GD655/GD636*100</f>
        <v>12.124279328885146</v>
      </c>
      <c r="GE690" s="61">
        <f t="shared" si="4202"/>
        <v>9.2240229556527886</v>
      </c>
      <c r="GF690" s="88">
        <f>GF655/GF636*100</f>
        <v>11.228611968950839</v>
      </c>
      <c r="GG690" s="61">
        <f t="shared" si="4202"/>
        <v>-7.3873863809822531</v>
      </c>
      <c r="GH690" s="88">
        <f>GH655/GH636*100</f>
        <v>12.286124640939178</v>
      </c>
      <c r="GI690" s="61">
        <f t="shared" si="4202"/>
        <v>9.4180177827193123</v>
      </c>
      <c r="GJ690" s="88">
        <f>GJ655/GJ636*100</f>
        <v>10.61431611439796</v>
      </c>
      <c r="GK690" s="61">
        <f t="shared" si="4202"/>
        <v>-13.607289323522775</v>
      </c>
      <c r="GL690" s="88">
        <f>GL655/GL636*100</f>
        <v>10.866921864444945</v>
      </c>
      <c r="GM690" s="61">
        <f t="shared" si="4202"/>
        <v>2.3798589313195118</v>
      </c>
      <c r="GN690" s="88">
        <f>GN655/GN636*100</f>
        <v>12.59378816960391</v>
      </c>
      <c r="GO690" s="61">
        <f t="shared" si="4202"/>
        <v>15.891034523851966</v>
      </c>
      <c r="GP690" s="88">
        <f>GP655/GP636*100</f>
        <v>12.879359433844794</v>
      </c>
      <c r="GQ690" s="61">
        <f t="shared" si="4202"/>
        <v>2.267556515918967</v>
      </c>
      <c r="GR690" s="86">
        <f>GR655/GR636*100</f>
        <v>13.070382535576258</v>
      </c>
      <c r="GS690" s="61">
        <f t="shared" si="4202"/>
        <v>1.4831723791284723</v>
      </c>
      <c r="GT690" s="86">
        <f>GT655/GT636*100</f>
        <v>13.31843466350184</v>
      </c>
      <c r="GU690" s="61">
        <f t="shared" si="4202"/>
        <v>1.8978184245978191</v>
      </c>
      <c r="GV690" s="86">
        <f>GV655/GV636*100</f>
        <v>13.555315477783786</v>
      </c>
      <c r="GW690" s="61">
        <f t="shared" si="4202"/>
        <v>1.7785935079225101</v>
      </c>
      <c r="GX690" s="86">
        <f>GX655/GX636*100</f>
        <v>13.822728949632932</v>
      </c>
      <c r="GY690" s="61">
        <f t="shared" si="4203"/>
        <v>1.9727572721373932</v>
      </c>
      <c r="GZ690" s="61">
        <f t="shared" si="4057"/>
        <v>1.879658744238033</v>
      </c>
      <c r="HA690" s="61"/>
      <c r="HB690" s="452"/>
      <c r="HC690"/>
      <c r="HD690"/>
      <c r="HE690"/>
      <c r="HF690"/>
      <c r="HG690"/>
      <c r="HH690"/>
    </row>
    <row r="691" spans="1:216" s="5" customFormat="1" ht="12.75" customHeight="1" x14ac:dyDescent="0.2">
      <c r="B691" s="7" t="s">
        <v>211</v>
      </c>
      <c r="C691" s="412">
        <f>C655/C632*100</f>
        <v>4.0520970472070719</v>
      </c>
      <c r="D691" s="70"/>
      <c r="E691" s="412">
        <f>E655/E632*100</f>
        <v>4.0672100270011047</v>
      </c>
      <c r="F691" s="71"/>
      <c r="G691" s="412">
        <f>G655/G632*100</f>
        <v>4.3960322772175573</v>
      </c>
      <c r="H691" s="71"/>
      <c r="I691" s="412">
        <f>I655/I632*100</f>
        <v>4.9611547620716667</v>
      </c>
      <c r="J691" s="61"/>
      <c r="K691" s="412">
        <f>K655/K632*100</f>
        <v>5.4461599265643335</v>
      </c>
      <c r="L691" s="61">
        <f t="shared" si="4127"/>
        <v>34.403491898549831</v>
      </c>
      <c r="M691" s="412">
        <f>M655/M632*100</f>
        <v>5.2772339242900639</v>
      </c>
      <c r="N691" s="61">
        <f t="shared" si="4128"/>
        <v>29.750710911311163</v>
      </c>
      <c r="O691" s="412">
        <f>O655/O632*100</f>
        <v>5.9918408975012749</v>
      </c>
      <c r="P691" s="61">
        <f t="shared" si="4129"/>
        <v>36.301112449833404</v>
      </c>
      <c r="Q691" s="412">
        <f>Q655/Q632*100</f>
        <v>5.4097002929344864</v>
      </c>
      <c r="R691" s="61">
        <f t="shared" si="4130"/>
        <v>9.0411517554739085</v>
      </c>
      <c r="S691" s="412">
        <f>S655/S632*100</f>
        <v>5.2870621709127779</v>
      </c>
      <c r="T691" s="61">
        <f t="shared" si="4131"/>
        <v>-2.9212832123334476</v>
      </c>
      <c r="U691" s="412">
        <f>U655/U632*100</f>
        <v>5.6304249956873527</v>
      </c>
      <c r="V691" s="61">
        <f t="shared" si="4132"/>
        <v>6.6927310114418104</v>
      </c>
      <c r="W691" s="412">
        <f>W655/W632*100</f>
        <v>6.0117519311956942</v>
      </c>
      <c r="X691" s="61">
        <f t="shared" si="4133"/>
        <v>0.33230244318942503</v>
      </c>
      <c r="Y691" s="412">
        <f>Y655/Y632*100</f>
        <v>5.742534704883651</v>
      </c>
      <c r="Z691" s="61">
        <f t="shared" si="4134"/>
        <v>6.1525480881791772</v>
      </c>
      <c r="AA691" s="412">
        <f>AA655/AA632*100</f>
        <v>5.8947914920312154</v>
      </c>
      <c r="AB691" s="61">
        <f t="shared" si="4135"/>
        <v>11.49465055398653</v>
      </c>
      <c r="AC691" s="412">
        <f>AC655/AC632*100</f>
        <v>5.8431994277263364</v>
      </c>
      <c r="AD691" s="61">
        <f t="shared" si="4136"/>
        <v>3.7790119254223153</v>
      </c>
      <c r="AE691" s="412">
        <f>AE655/AE632*100</f>
        <v>5.5398706266071267</v>
      </c>
      <c r="AF691" s="61">
        <f t="shared" si="4137"/>
        <v>-7.8493143095263012</v>
      </c>
      <c r="AG691" s="412">
        <f>AG655/AG632*100</f>
        <v>5.4443818861603699</v>
      </c>
      <c r="AH691" s="61">
        <f t="shared" si="4138"/>
        <v>-5.1920072589151545</v>
      </c>
      <c r="AI691" s="412">
        <f>AI655/AI632*100</f>
        <v>5.5916133536118631</v>
      </c>
      <c r="AJ691" s="61">
        <f t="shared" si="4139"/>
        <v>-5.1431528804572473</v>
      </c>
      <c r="AK691" s="412">
        <f>AK655/AK632*100</f>
        <v>5.0484870272846445</v>
      </c>
      <c r="AL691" s="61">
        <f t="shared" si="4140"/>
        <v>-13.600637977042741</v>
      </c>
      <c r="AM691" s="412">
        <f>AM655/AM632*100</f>
        <v>5.4094554033400044</v>
      </c>
      <c r="AN691" s="61">
        <f t="shared" si="4141"/>
        <v>-2.3541203767603935</v>
      </c>
      <c r="AO691" s="412">
        <f>AO655/AO632*100</f>
        <v>5.3137473724243742</v>
      </c>
      <c r="AP691" s="61">
        <f t="shared" si="4142"/>
        <v>-2.3994370062112802</v>
      </c>
      <c r="AQ691" s="412">
        <f>AQ655/AQ632*100</f>
        <v>5.1936276237148933</v>
      </c>
      <c r="AR691" s="61">
        <f t="shared" si="4143"/>
        <v>-7.1175473826332052</v>
      </c>
      <c r="AS691" s="412">
        <f>AS655/AS632*100</f>
        <v>5.3468274874069968</v>
      </c>
      <c r="AT691" s="61">
        <f t="shared" si="4144"/>
        <v>5.9095023619941012</v>
      </c>
      <c r="AU691" s="412">
        <f>AU655/AU632*100</f>
        <v>5.1439712794118364</v>
      </c>
      <c r="AV691" s="61">
        <f t="shared" si="4145"/>
        <v>-4.9077791410249478</v>
      </c>
      <c r="AW691" s="412">
        <f>AW655/AW632*100</f>
        <v>5.1132632172456098</v>
      </c>
      <c r="AX691" s="61">
        <f t="shared" si="4146"/>
        <v>-3.7729335086416516</v>
      </c>
      <c r="AY691" s="86">
        <f>AY655/AY632*100</f>
        <v>4.9335263715050752</v>
      </c>
      <c r="AZ691" s="61">
        <f t="shared" si="4147"/>
        <v>-5.0080843497935064</v>
      </c>
      <c r="BA691" s="86">
        <f>BA655/BA632*100</f>
        <v>6.813717289998805</v>
      </c>
      <c r="BB691" s="61">
        <f t="shared" si="3867"/>
        <v>27.434769609580066</v>
      </c>
      <c r="BC691" s="86">
        <f>BC655/BC632*100</f>
        <v>7.0130078857905538</v>
      </c>
      <c r="BD691" s="61">
        <f t="shared" si="3868"/>
        <v>36.334507034658699</v>
      </c>
      <c r="BE691" s="86">
        <f>BE655/BE632*100</f>
        <v>6.8355353718366523</v>
      </c>
      <c r="BF691" s="61">
        <f t="shared" si="3869"/>
        <v>33.682446637644212</v>
      </c>
      <c r="BG691" s="86">
        <f>BG655/BG632*100</f>
        <v>6.6356581281048985</v>
      </c>
      <c r="BH691" s="61">
        <f t="shared" si="4148"/>
        <v>34.501320727318884</v>
      </c>
      <c r="BI691" s="86">
        <f>BI655/BI632*100</f>
        <v>6.3073409162609462</v>
      </c>
      <c r="BJ691" s="61">
        <f t="shared" si="4149"/>
        <v>-7.4317197527569823</v>
      </c>
      <c r="BK691" s="86">
        <f>BK655/BK632*100</f>
        <v>6.2236463078948834</v>
      </c>
      <c r="BL691" s="61">
        <f t="shared" si="4150"/>
        <v>-11.255677888157523</v>
      </c>
      <c r="BM691" s="86">
        <f>BM655/BM632*100</f>
        <v>6.1212795220989031</v>
      </c>
      <c r="BN691" s="61">
        <f t="shared" si="4151"/>
        <v>-10.449157394175469</v>
      </c>
      <c r="BO691" s="86">
        <f>BO655/BO632*100</f>
        <v>5.9813044782497027</v>
      </c>
      <c r="BP691" s="61">
        <f t="shared" si="4152"/>
        <v>-9.8611718268565305</v>
      </c>
      <c r="BQ691" s="86">
        <f>BQ655/BQ632*100</f>
        <v>5.6965659003739937</v>
      </c>
      <c r="BR691" s="61">
        <f t="shared" si="4153"/>
        <v>-9.6835580000490307</v>
      </c>
      <c r="BS691" s="86">
        <f>BS655/BS632*100</f>
        <v>5.4828081147014469</v>
      </c>
      <c r="BT691" s="61">
        <f t="shared" si="4154"/>
        <v>-11.903603716259726</v>
      </c>
      <c r="BU691" s="86">
        <f>BU655/BU632*100</f>
        <v>4.8896686073810907</v>
      </c>
      <c r="BV691" s="61">
        <f t="shared" si="4155"/>
        <v>-20.120154785800569</v>
      </c>
      <c r="BW691" s="86">
        <f>BW655/BW632*100</f>
        <v>4.6517463025696379</v>
      </c>
      <c r="BX691" s="61">
        <f t="shared" si="3870"/>
        <v>-22.228565365880371</v>
      </c>
      <c r="BY691" s="86">
        <f>BY655/BY632*100</f>
        <v>5.4323880357557632</v>
      </c>
      <c r="BZ691" s="61">
        <f t="shared" si="3871"/>
        <v>-4.6374933466649892</v>
      </c>
      <c r="CA691" s="86">
        <f>CA655/CA632*100</f>
        <v>5.9814578498334887</v>
      </c>
      <c r="CB691" s="61">
        <f t="shared" si="3872"/>
        <v>9.0947872823595066</v>
      </c>
      <c r="CC691" s="86">
        <f>CC655/CC632*100</f>
        <v>6.1394901633458883</v>
      </c>
      <c r="CD691" s="61">
        <f t="shared" si="3873"/>
        <v>25.56045524390256</v>
      </c>
      <c r="CE691" s="86">
        <f>CE655/CE632*100</f>
        <v>6.3623009182838599</v>
      </c>
      <c r="CF691" s="61">
        <f t="shared" si="4156"/>
        <v>36.772310965654057</v>
      </c>
      <c r="CG691" s="86">
        <f>CG655/CG632*100</f>
        <v>7.015460560830471</v>
      </c>
      <c r="CH691" s="61">
        <f t="shared" si="4157"/>
        <v>29.141374192251867</v>
      </c>
      <c r="CI691" s="86">
        <f>CI655/CI632*100</f>
        <v>7.1169652564256687</v>
      </c>
      <c r="CJ691" s="61">
        <f t="shared" si="4158"/>
        <v>18.983790157842371</v>
      </c>
      <c r="CK691" s="86">
        <f>CK655/CK632*100</f>
        <v>6.6067255965085794</v>
      </c>
      <c r="CL691" s="61">
        <f t="shared" si="4159"/>
        <v>7.6103295343999289</v>
      </c>
      <c r="CM691" s="86">
        <f>CM655/CM632*100</f>
        <v>6.1290919404453792</v>
      </c>
      <c r="CN691" s="61">
        <f t="shared" si="4160"/>
        <v>-3.665481731118525</v>
      </c>
      <c r="CO691" s="86">
        <f>CO655/CO632*100</f>
        <v>6.2795683009312349</v>
      </c>
      <c r="CP691" s="61">
        <f t="shared" si="4161"/>
        <v>-10.489578745662897</v>
      </c>
      <c r="CQ691" s="86">
        <f>CQ655/CQ632*100</f>
        <v>7.1245235503527624</v>
      </c>
      <c r="CR691" s="61">
        <f t="shared" si="4162"/>
        <v>0.10620107945966684</v>
      </c>
      <c r="CS691" s="86">
        <f>CS655/CS632*100</f>
        <v>6.5015310857556905</v>
      </c>
      <c r="CT691" s="61">
        <f t="shared" si="4163"/>
        <v>-1.592233689991307</v>
      </c>
      <c r="CU691" s="86">
        <f>CU655/CU632*100</f>
        <v>6.3071464969377651</v>
      </c>
      <c r="CV691" s="61">
        <f t="shared" si="4164"/>
        <v>2.905072369977324</v>
      </c>
      <c r="CW691" s="86">
        <f>CW655/CW632*100</f>
        <v>6.6500876320401687</v>
      </c>
      <c r="CX691" s="61">
        <f t="shared" si="4165"/>
        <v>5.900394953168786</v>
      </c>
      <c r="CY691" s="86">
        <f>CY655/CY632*100</f>
        <v>7.01760900036202</v>
      </c>
      <c r="CZ691" s="61">
        <f t="shared" si="4166"/>
        <v>-1.5006554366073899</v>
      </c>
      <c r="DA691" s="86">
        <f>DA655/DA632*100</f>
        <v>6.8410784533213933</v>
      </c>
      <c r="DB691" s="61">
        <f t="shared" si="4167"/>
        <v>5.2225754685634396</v>
      </c>
      <c r="DC691" s="86">
        <f>DC655/DC632*100</f>
        <v>6.6247364503144768</v>
      </c>
      <c r="DD691" s="61">
        <f t="shared" si="4168"/>
        <v>5.0353983934082969</v>
      </c>
      <c r="DE691" s="86">
        <f>DE655/DE632*100</f>
        <v>5.9631651300146427</v>
      </c>
      <c r="DF691" s="61">
        <f t="shared" si="4169"/>
        <v>-10.329525564684715</v>
      </c>
      <c r="DG691" s="86">
        <f>DG655/DG632*100</f>
        <v>5.8232285450844623</v>
      </c>
      <c r="DH691" s="61">
        <f t="shared" si="4170"/>
        <v>-17.019763500872486</v>
      </c>
      <c r="DI691" s="86">
        <f>DI655/DI632*100</f>
        <v>5.6776889151490852</v>
      </c>
      <c r="DJ691" s="61">
        <f t="shared" si="4171"/>
        <v>-17.005937676500025</v>
      </c>
      <c r="DK691" s="86">
        <f>DK655/DK632*100</f>
        <v>5.9876254913225511</v>
      </c>
      <c r="DL691" s="61">
        <f t="shared" si="4172"/>
        <v>-9.6171517730593177</v>
      </c>
      <c r="DM691" s="86">
        <f>DM655/DM632*100</f>
        <v>6.2021073758153538</v>
      </c>
      <c r="DN691" s="130">
        <f t="shared" si="4173"/>
        <v>4.0069701339986885</v>
      </c>
      <c r="DO691" s="86">
        <f>DO655/DO632*100</f>
        <v>6.2194601643817977</v>
      </c>
      <c r="DP691" s="130">
        <f t="shared" si="4173"/>
        <v>6.8043288397431123</v>
      </c>
      <c r="DQ691" s="86">
        <f>DQ655/DQ632*100</f>
        <v>6.2120871270873046</v>
      </c>
      <c r="DR691" s="130">
        <f t="shared" si="4173"/>
        <v>9.412248890782827</v>
      </c>
      <c r="DS691" s="86">
        <f>DS655/DS632*100</f>
        <v>6.2769633163476533</v>
      </c>
      <c r="DT691" s="130">
        <f t="shared" si="4173"/>
        <v>4.8322632309655944</v>
      </c>
      <c r="DU691" s="86">
        <f>DU655/DU632*100</f>
        <v>5.7601573766380341</v>
      </c>
      <c r="DV691" s="130">
        <f t="shared" si="4173"/>
        <v>-7.1258037373017729</v>
      </c>
      <c r="DW691" s="86">
        <f>DW655/DW632*100</f>
        <v>5.7718976200591579</v>
      </c>
      <c r="DX691" s="86">
        <f t="shared" ref="DX691:DY691" si="4239">DX655/DX632*100</f>
        <v>5.7712036933138835</v>
      </c>
      <c r="DY691" s="86">
        <f t="shared" si="4239"/>
        <v>5.4055448814646621</v>
      </c>
      <c r="DZ691" s="130">
        <f t="shared" si="4173"/>
        <v>-12.983434216590107</v>
      </c>
      <c r="EA691" s="86">
        <f t="shared" ref="EA691:EC691" si="4240">EA655/EA632*100</f>
        <v>5.7320955114618446</v>
      </c>
      <c r="EB691" s="130">
        <f t="shared" si="4176"/>
        <v>-8.6804363419929693</v>
      </c>
      <c r="EC691" s="86">
        <f t="shared" si="4240"/>
        <v>6.052587557218243</v>
      </c>
      <c r="ED691" s="130">
        <f t="shared" si="4177"/>
        <v>5.0767741479814887</v>
      </c>
      <c r="EE691" s="86">
        <f t="shared" ref="EE691:EG691" si="4241">EE655/EE632*100</f>
        <v>6.1225408375686881</v>
      </c>
      <c r="EF691" s="130">
        <f t="shared" si="4179"/>
        <v>6.0750075727423747</v>
      </c>
      <c r="EG691" s="86">
        <f t="shared" si="4241"/>
        <v>5.5338325172860605</v>
      </c>
      <c r="EH691" s="130">
        <f t="shared" si="4180"/>
        <v>2.3732600252990288</v>
      </c>
      <c r="EI691" s="86">
        <f t="shared" ref="EI691:EK691" si="4242">EI655/EI632*100</f>
        <v>5.5980528511821976</v>
      </c>
      <c r="EJ691" s="130">
        <f t="shared" si="4182"/>
        <v>-2.3384582481505545</v>
      </c>
      <c r="EK691" s="86">
        <f t="shared" si="4242"/>
        <v>5.8884377381272293</v>
      </c>
      <c r="EL691" s="130">
        <f t="shared" si="4183"/>
        <v>-2.712060214564771</v>
      </c>
      <c r="EM691" s="86">
        <f t="shared" ref="EM691" si="4243">EM655/EM632*100</f>
        <v>5.8941055331755692</v>
      </c>
      <c r="EN691" s="130">
        <f t="shared" si="4185"/>
        <v>-3.7310539929992892</v>
      </c>
      <c r="EO691" s="86">
        <f t="shared" ref="EO691" si="4244">EO655/EO632*100</f>
        <v>6.147719892249869</v>
      </c>
      <c r="EP691" s="130">
        <f t="shared" si="4187"/>
        <v>11.093349374889927</v>
      </c>
      <c r="EQ691" s="86">
        <f t="shared" ref="EQ691:EW691" si="4245">EQ655/EQ632*100</f>
        <v>6.158686517868321</v>
      </c>
      <c r="ER691" s="130">
        <f t="shared" si="4189"/>
        <v>10.014797673225416</v>
      </c>
      <c r="ES691" s="86">
        <f t="shared" si="4245"/>
        <v>6.1775117322527464</v>
      </c>
      <c r="ET691" s="130">
        <f t="shared" si="4190"/>
        <v>4.909179768579075</v>
      </c>
      <c r="EU691" s="86">
        <f t="shared" si="4245"/>
        <v>6.1649927446713066</v>
      </c>
      <c r="EV691" s="130">
        <f t="shared" si="4191"/>
        <v>4.5959002595223453</v>
      </c>
      <c r="EW691" s="86">
        <f t="shared" si="4245"/>
        <v>6.1562636483764424</v>
      </c>
      <c r="EX691" s="130">
        <f t="shared" si="4192"/>
        <v>0.13897438849392874</v>
      </c>
      <c r="EY691" s="85"/>
      <c r="EZ691" s="558"/>
      <c r="FA691" s="85"/>
      <c r="FB691" s="86">
        <f>FB655/FB632*100</f>
        <v>5.7418078078526102</v>
      </c>
      <c r="FC691" s="86"/>
      <c r="FD691" s="86">
        <f>FD655/FD632*100</f>
        <v>4.1358659963509634</v>
      </c>
      <c r="FE691" s="87">
        <f t="shared" si="4193"/>
        <v>-27.969271442790699</v>
      </c>
      <c r="FF691" s="86">
        <f>FF655/FF632*100</f>
        <v>4.9611547620716667</v>
      </c>
      <c r="FG691" s="87">
        <f t="shared" si="4193"/>
        <v>19.954436784190975</v>
      </c>
      <c r="FH691" s="86">
        <f>FH655/FH632*100</f>
        <v>5.4097002929344864</v>
      </c>
      <c r="FI691" s="87">
        <f t="shared" si="4193"/>
        <v>9.0411517554739085</v>
      </c>
      <c r="FJ691" s="86">
        <f>FJ655/FJ632*100</f>
        <v>5.742534704883651</v>
      </c>
      <c r="FK691" s="87">
        <f t="shared" si="4193"/>
        <v>6.1525480881791772</v>
      </c>
      <c r="FL691" s="86">
        <f>FL655/FL632*100</f>
        <v>5.4443818861603699</v>
      </c>
      <c r="FM691" s="87">
        <f t="shared" si="4194"/>
        <v>-5.1920072589151545</v>
      </c>
      <c r="FN691" s="86">
        <f>FN655/FN632*100</f>
        <v>5.3137473724243742</v>
      </c>
      <c r="FO691" s="87">
        <f t="shared" si="4195"/>
        <v>-2.3994370062112802</v>
      </c>
      <c r="FP691" s="176">
        <f>FP655/FP632*100</f>
        <v>5.1132632172456098</v>
      </c>
      <c r="FQ691" s="61">
        <f t="shared" si="3844"/>
        <v>-5.479731956242528</v>
      </c>
      <c r="FR691" s="176">
        <f>FR655/FR632*100</f>
        <v>6.8355353718366523</v>
      </c>
      <c r="FS691" s="61">
        <f t="shared" si="4196"/>
        <v>33.682446637644212</v>
      </c>
      <c r="FT691" s="176">
        <f>FT655/FT632*100</f>
        <v>6.1212795220989031</v>
      </c>
      <c r="FU691" s="61">
        <f t="shared" si="4197"/>
        <v>-10.449157394175469</v>
      </c>
      <c r="FV691" s="176">
        <f>FV655/FV632*100</f>
        <v>4.8896686073810907</v>
      </c>
      <c r="FW691" s="61">
        <f t="shared" si="4198"/>
        <v>-20.120154785800569</v>
      </c>
      <c r="FX691" s="88">
        <f>FX655/FX632*100</f>
        <v>6.1394901633458883</v>
      </c>
      <c r="FY691" s="61">
        <f t="shared" si="4199"/>
        <v>25.56045524390256</v>
      </c>
      <c r="FZ691" s="88">
        <f>FZ655/FZ632*100</f>
        <v>6.6067255965085794</v>
      </c>
      <c r="GA691" s="61">
        <f t="shared" si="4200"/>
        <v>7.6103295343999289</v>
      </c>
      <c r="GB691" s="88">
        <f>GB655/GB632*100</f>
        <v>6.5015310857556905</v>
      </c>
      <c r="GC691" s="61">
        <f t="shared" si="4201"/>
        <v>-1.592233689991307</v>
      </c>
      <c r="GD691" s="88">
        <f>GD655/GD632*100</f>
        <v>6.8410784533213933</v>
      </c>
      <c r="GE691" s="61">
        <f t="shared" si="4202"/>
        <v>5.2225754685634396</v>
      </c>
      <c r="GF691" s="88">
        <f>GF655/GF632*100</f>
        <v>5.6776889151490852</v>
      </c>
      <c r="GG691" s="61">
        <f t="shared" si="4202"/>
        <v>-17.005937676500025</v>
      </c>
      <c r="GH691" s="88">
        <f>GH655/GH632*100</f>
        <v>6.2120871270873046</v>
      </c>
      <c r="GI691" s="61">
        <f t="shared" si="4202"/>
        <v>9.412248890782827</v>
      </c>
      <c r="GJ691" s="88">
        <f>GJ655/GJ632*100</f>
        <v>5.4055448814646621</v>
      </c>
      <c r="GK691" s="61">
        <f t="shared" si="4202"/>
        <v>-12.983434216590107</v>
      </c>
      <c r="GL691" s="88">
        <f>GL655/GL632*100</f>
        <v>5.5338325172860605</v>
      </c>
      <c r="GM691" s="61">
        <f t="shared" si="4202"/>
        <v>2.3732600252990288</v>
      </c>
      <c r="GN691" s="88">
        <f>GN655/GN632*100</f>
        <v>6.147719892249869</v>
      </c>
      <c r="GO691" s="61">
        <f t="shared" si="4202"/>
        <v>11.093349374889927</v>
      </c>
      <c r="GP691" s="88">
        <f>GP655/GP632*100</f>
        <v>6.1562636483764424</v>
      </c>
      <c r="GQ691" s="61">
        <f t="shared" si="4202"/>
        <v>0.13897438849392874</v>
      </c>
      <c r="GR691" s="86">
        <f>GR655/GR632*100</f>
        <v>6.1188393695430205</v>
      </c>
      <c r="GS691" s="61">
        <f t="shared" si="4202"/>
        <v>-0.60790571962088258</v>
      </c>
      <c r="GT691" s="86">
        <f>GT655/GT632*100</f>
        <v>6.101313437393677</v>
      </c>
      <c r="GU691" s="61">
        <f t="shared" si="4202"/>
        <v>-0.28642575970502238</v>
      </c>
      <c r="GV691" s="86">
        <f>GV655/GV632*100</f>
        <v>6.0712369553779464</v>
      </c>
      <c r="GW691" s="61">
        <f t="shared" si="4202"/>
        <v>-0.49295094120879179</v>
      </c>
      <c r="GX691" s="86">
        <f>GX655/GX632*100</f>
        <v>6.0470129838161393</v>
      </c>
      <c r="GY691" s="61">
        <f t="shared" si="4203"/>
        <v>-0.39899565343680665</v>
      </c>
      <c r="GZ691" s="61">
        <f t="shared" si="4057"/>
        <v>-0.32979169673548192</v>
      </c>
      <c r="HA691" s="61"/>
      <c r="HB691" s="452"/>
      <c r="HC691"/>
      <c r="HD691"/>
      <c r="HE691"/>
      <c r="HF691"/>
      <c r="HG691"/>
      <c r="HH691"/>
    </row>
    <row r="692" spans="1:216" s="5" customFormat="1" ht="12.75" customHeight="1" x14ac:dyDescent="0.2">
      <c r="A692" s="8"/>
      <c r="B692" s="7" t="s">
        <v>185</v>
      </c>
      <c r="C692" s="412">
        <f>(C533*4)/(AVERAGE(C632,A632))*100</f>
        <v>0.64058679706601473</v>
      </c>
      <c r="D692" s="70"/>
      <c r="E692" s="412">
        <f>(E533*4)/(AVERAGE(E632,C632))*100</f>
        <v>0.65884000768836981</v>
      </c>
      <c r="F692" s="71"/>
      <c r="G692" s="412">
        <f>(G533*4)/(AVERAGE(G632,E632))*100</f>
        <v>0.73668204318204522</v>
      </c>
      <c r="H692" s="71"/>
      <c r="I692" s="412">
        <f>(I533*4)/(AVERAGE(I632,G632))*100</f>
        <v>0.72866245299750021</v>
      </c>
      <c r="J692" s="71"/>
      <c r="K692" s="412">
        <f>(K533*4)/(AVERAGE(K632,I632))*100</f>
        <v>0.6903768925822632</v>
      </c>
      <c r="L692" s="61">
        <f t="shared" si="4127"/>
        <v>7.7725759794448956</v>
      </c>
      <c r="M692" s="412">
        <f>(M533*4)/(AVERAGE(M632,K632))*100</f>
        <v>0.66038884434051381</v>
      </c>
      <c r="N692" s="61">
        <f t="shared" si="4128"/>
        <v>0.23508539767922443</v>
      </c>
      <c r="O692" s="412">
        <f>(O533*4)/(AVERAGE(O632,M632))*100</f>
        <v>0.57437638370056976</v>
      </c>
      <c r="P692" s="61">
        <f t="shared" si="4129"/>
        <v>-22.031982587821442</v>
      </c>
      <c r="Q692" s="412">
        <f>(Q533*4)/(AVERAGE(Q632,O632))*100</f>
        <v>0.79299478773790377</v>
      </c>
      <c r="R692" s="61">
        <f t="shared" si="4130"/>
        <v>8.8288252641205212</v>
      </c>
      <c r="S692" s="412">
        <f>(S533*4)/(AVERAGE(S632,Q632))*100</f>
        <v>0.62525269438579434</v>
      </c>
      <c r="T692" s="61">
        <f t="shared" si="4131"/>
        <v>-9.433137014896376</v>
      </c>
      <c r="U692" s="412">
        <f>(U533*4)/(AVERAGE(U632,S632))*100</f>
        <v>0.4810393768051936</v>
      </c>
      <c r="V692" s="61">
        <f t="shared" si="4132"/>
        <v>-27.158161297292139</v>
      </c>
      <c r="W692" s="412">
        <f>(W533*4)/(AVERAGE(W632,U632))*100</f>
        <v>0.26953393270492448</v>
      </c>
      <c r="X692" s="61" t="str">
        <f t="shared" si="4133"/>
        <v>NM</v>
      </c>
      <c r="Y692" s="412">
        <f>(Y533*4)/(AVERAGE(Y632,W632))*100</f>
        <v>0.43626751566678712</v>
      </c>
      <c r="Z692" s="61">
        <f t="shared" si="4134"/>
        <v>-44.984819268322887</v>
      </c>
      <c r="AA692" s="412">
        <f>(AA533*4)/(AVERAGE(AA632,Y632))*100</f>
        <v>0.45135292716599296</v>
      </c>
      <c r="AB692" s="61">
        <f t="shared" si="4135"/>
        <v>-27.812717766954798</v>
      </c>
      <c r="AC692" s="412">
        <f>(AC533*4)/(AVERAGE(AC632,AA632))*100</f>
        <v>0.63879225344593116</v>
      </c>
      <c r="AD692" s="61">
        <f t="shared" si="4136"/>
        <v>32.794171173355458</v>
      </c>
      <c r="AE692" s="412">
        <f>(AE533*4)/(AVERAGE(AE632,AC632))*100</f>
        <v>0.62323859487844402</v>
      </c>
      <c r="AF692" s="61" t="str">
        <f t="shared" si="4137"/>
        <v>NM</v>
      </c>
      <c r="AG692" s="412">
        <f>(AG533*4)/(AVERAGE(AG632,AE632))*100</f>
        <v>0.68868240834589045</v>
      </c>
      <c r="AH692" s="61">
        <f t="shared" si="4138"/>
        <v>57.857824296937352</v>
      </c>
      <c r="AI692" s="412">
        <f>(AI533*4)/(AVERAGE(AI632,AG632))*100</f>
        <v>0.64778583919473653</v>
      </c>
      <c r="AJ692" s="61">
        <f t="shared" si="4139"/>
        <v>43.520912396011099</v>
      </c>
      <c r="AK692" s="412">
        <f>(AK533*4)/(AVERAGE(AK632,AI632))*100</f>
        <v>0.66189815309063738</v>
      </c>
      <c r="AL692" s="61">
        <f t="shared" si="4140"/>
        <v>3.6171227061791544</v>
      </c>
      <c r="AM692" s="412">
        <f>(AM533*4)/(AVERAGE(AM632,AK632))*100</f>
        <v>0.64926375201984576</v>
      </c>
      <c r="AN692" s="61">
        <f t="shared" si="4141"/>
        <v>4.1757935653002454</v>
      </c>
      <c r="AO692" s="412">
        <f>(AO533*4)/(AVERAGE(AO632,AM632))*100</f>
        <v>0.67033721630175935</v>
      </c>
      <c r="AP692" s="61">
        <f t="shared" si="4142"/>
        <v>-2.6638101716861651</v>
      </c>
      <c r="AQ692" s="412">
        <f>(AQ533*4)/(AVERAGE(AQ632,AO632))*100</f>
        <v>0.71734326862921749</v>
      </c>
      <c r="AR692" s="61">
        <f t="shared" si="4143"/>
        <v>10.737719972537207</v>
      </c>
      <c r="AS692" s="412">
        <f>(AS533*4)/(AVERAGE(AS632,AQ632))*100</f>
        <v>0.66232988778786472</v>
      </c>
      <c r="AT692" s="61">
        <f t="shared" si="4144"/>
        <v>6.5226756595615498E-2</v>
      </c>
      <c r="AU692" s="412">
        <f>(AU533*4)/(AVERAGE(AU632,AS632))*100</f>
        <v>0.6954537331762749</v>
      </c>
      <c r="AV692" s="61">
        <f t="shared" si="4145"/>
        <v>7.1142091349983838</v>
      </c>
      <c r="AW692" s="412">
        <f>(AW533*4)/(AVERAGE(AW632,AU632))*100</f>
        <v>0.83143005418779437</v>
      </c>
      <c r="AX692" s="61">
        <f t="shared" si="4146"/>
        <v>24.031611846763013</v>
      </c>
      <c r="AY692" s="86">
        <f>(AY533*4)/(AVERAGE(AY632,AW632))*100</f>
        <v>0.7798790202248751</v>
      </c>
      <c r="AZ692" s="61">
        <f t="shared" si="4147"/>
        <v>8.7176884945415534</v>
      </c>
      <c r="BA692" s="86">
        <f>(BA533*4)/(AVERAGE(BA632,AY632))*100</f>
        <v>0.79623595581574569</v>
      </c>
      <c r="BB692" s="61">
        <f t="shared" si="3867"/>
        <v>20.217427976128</v>
      </c>
      <c r="BC692" s="86">
        <f>(BC533*4)/(AVERAGE(BC632,BA632))*100</f>
        <v>0.77087264004888156</v>
      </c>
      <c r="BD692" s="61">
        <f t="shared" si="3868"/>
        <v>10.84456136688685</v>
      </c>
      <c r="BE692" s="86">
        <f>(BE533*4)/(AVERAGE(BE632,BC632))*100</f>
        <v>0.76856767012077798</v>
      </c>
      <c r="BF692" s="61">
        <f t="shared" si="3869"/>
        <v>-7.5607543593580129</v>
      </c>
      <c r="BG692" s="86">
        <f>(BG533*4)/(AVERAGE(BG632,BE632))*100</f>
        <v>0.72124931319845698</v>
      </c>
      <c r="BH692" s="61">
        <f t="shared" si="4148"/>
        <v>-7.5177951330851922</v>
      </c>
      <c r="BI692" s="86">
        <f>(BI533*4)/(AVERAGE(BI632,BG632))*100</f>
        <v>0.70400242834222293</v>
      </c>
      <c r="BJ692" s="61">
        <f t="shared" si="4149"/>
        <v>-11.583692848815053</v>
      </c>
      <c r="BK692" s="86">
        <f>(BK533*4)/(AVERAGE(BK632,BI632))*100</f>
        <v>0.70614281596297646</v>
      </c>
      <c r="BL692" s="61">
        <f t="shared" si="4150"/>
        <v>-8.3969544024549254</v>
      </c>
      <c r="BM692" s="86">
        <f>(BM533*4)/(AVERAGE(BM632,BK632))*100</f>
        <v>0.74337814801878743</v>
      </c>
      <c r="BN692" s="61">
        <f t="shared" si="4151"/>
        <v>-3.2774631410181554</v>
      </c>
      <c r="BO692" s="86">
        <f>(BO533*4)/(AVERAGE(BO632,BM632))*100</f>
        <v>0.64652032199684561</v>
      </c>
      <c r="BP692" s="61">
        <f t="shared" si="4152"/>
        <v>-10.361048507653713</v>
      </c>
      <c r="BQ692" s="86">
        <f>(BQ533*4)/(AVERAGE(BQ632,BO632))*100</f>
        <v>0.66791043160952146</v>
      </c>
      <c r="BR692" s="61">
        <f t="shared" si="4153"/>
        <v>-5.1266863976152095</v>
      </c>
      <c r="BS692" s="86">
        <f>(BS533*4)/(AVERAGE(BS632,BQ632))*100</f>
        <v>0.70479278672550771</v>
      </c>
      <c r="BT692" s="61">
        <f t="shared" si="4154"/>
        <v>-0.19118359727666734</v>
      </c>
      <c r="BU692" s="86">
        <f>(BU533*4)/(AVERAGE(BU632,BS632))*100</f>
        <v>0.50867031403971064</v>
      </c>
      <c r="BV692" s="61">
        <f t="shared" si="4155"/>
        <v>-31.573141422653851</v>
      </c>
      <c r="BW692" s="86">
        <f>(BW533*4)/(AVERAGE(BW632,BU632))*100</f>
        <v>0.48789207228414311</v>
      </c>
      <c r="BX692" s="61">
        <f t="shared" si="3870"/>
        <v>-24.535694287654032</v>
      </c>
      <c r="BY692" s="86">
        <f>(BY533*4)/(AVERAGE(BY632,BW632))*100</f>
        <v>0.51110837846059154</v>
      </c>
      <c r="BZ692" s="61">
        <f t="shared" si="3871"/>
        <v>-23.476509083870788</v>
      </c>
      <c r="CA692" s="86">
        <f>(CA533*4)/(AVERAGE(CA632,BY632))*100</f>
        <v>0.60025202735116467</v>
      </c>
      <c r="CB692" s="61">
        <f t="shared" si="3872"/>
        <v>-14.832836167356811</v>
      </c>
      <c r="CC692" s="86">
        <f>(CC533*4)/(AVERAGE(CC632,CA632))*100</f>
        <v>0.66799935919314057</v>
      </c>
      <c r="CD692" s="61">
        <f t="shared" si="3873"/>
        <v>31.322654528054784</v>
      </c>
      <c r="CE692" s="86">
        <f>(CE533*4)/(AVERAGE(CE632,CC632))*100</f>
        <v>0.63099020845570342</v>
      </c>
      <c r="CF692" s="61">
        <f t="shared" si="4156"/>
        <v>29.329875253275574</v>
      </c>
      <c r="CG692" s="86">
        <f>(CG533*4)/(AVERAGE(CG632,CE632))*100</f>
        <v>0.64287366962938863</v>
      </c>
      <c r="CH692" s="61">
        <f t="shared" si="4157"/>
        <v>25.780303497598943</v>
      </c>
      <c r="CI692" s="86">
        <f>(CI533*4)/(AVERAGE(CI632,CG632))*100</f>
        <v>0.60784762365252532</v>
      </c>
      <c r="CJ692" s="61">
        <f t="shared" si="4158"/>
        <v>1.2654011907096807</v>
      </c>
      <c r="CK692" s="86">
        <f>(CK533*4)/(AVERAGE(CK632,CI632))*100</f>
        <v>0.6194940798348012</v>
      </c>
      <c r="CL692" s="61">
        <f t="shared" si="4159"/>
        <v>-7.2612763307030264</v>
      </c>
      <c r="CM692" s="86">
        <f>(CM533*4)/(AVERAGE(CM632,CK632))*100</f>
        <v>0.56513130623116714</v>
      </c>
      <c r="CN692" s="61">
        <f t="shared" si="4160"/>
        <v>-10.437388939159698</v>
      </c>
      <c r="CO692" s="86">
        <f>(CO533*4)/(AVERAGE(CO632,CM632))*100</f>
        <v>0.58660680279379263</v>
      </c>
      <c r="CP692" s="61">
        <f t="shared" si="4161"/>
        <v>-8.7523987205812013</v>
      </c>
      <c r="CQ692" s="86">
        <f>(CQ533*4)/(AVERAGE(CQ632,CO632))*100</f>
        <v>0.63163663835673522</v>
      </c>
      <c r="CR692" s="61">
        <f t="shared" si="4162"/>
        <v>3.9136477265902414</v>
      </c>
      <c r="CS692" s="86">
        <f>(CS533*4)/(AVERAGE(CS632,CQ632))*100</f>
        <v>0.56307877396635453</v>
      </c>
      <c r="CT692" s="61">
        <f t="shared" si="4163"/>
        <v>-9.1066739303611755</v>
      </c>
      <c r="CU692" s="86">
        <f>(CU533*4)/(AVERAGE(CU632,CS632))*100</f>
        <v>0.5723927923440022</v>
      </c>
      <c r="CV692" s="61">
        <f t="shared" si="4164"/>
        <v>1.2849201650606767</v>
      </c>
      <c r="CW692" s="86">
        <f>(CW533*4)/(AVERAGE(CW632,CU632))*100</f>
        <v>0.56307381038728022</v>
      </c>
      <c r="CX692" s="61">
        <f t="shared" si="4165"/>
        <v>-4.0117148820016046</v>
      </c>
      <c r="CY692" s="86">
        <f>(CY533*4)/(AVERAGE(CY632,CW632))*100</f>
        <v>0.61514225164569303</v>
      </c>
      <c r="CZ692" s="61">
        <f t="shared" si="4166"/>
        <v>-2.6113726958515215</v>
      </c>
      <c r="DA692" s="86">
        <f>(DA533*4)/(AVERAGE(DA632,CY632))*100</f>
        <v>0.5562629079011896</v>
      </c>
      <c r="DB692" s="61">
        <f t="shared" si="4167"/>
        <v>-1.210464038122705</v>
      </c>
      <c r="DC692" s="86">
        <f>(DC533*4)/(AVERAGE(DC632,DA632))*100</f>
        <v>0.53879289727217339</v>
      </c>
      <c r="DD692" s="61">
        <f t="shared" si="4168"/>
        <v>-5.8700765490484414</v>
      </c>
      <c r="DE692" s="86">
        <f>(DE533*4)/(AVERAGE(DE632,DC632))*100</f>
        <v>0.59330477011673988</v>
      </c>
      <c r="DF692" s="61">
        <f t="shared" si="4169"/>
        <v>5.3689159701224343</v>
      </c>
      <c r="DG692" s="86">
        <f>(DG533*4)/(AVERAGE(DG632,DE632))*100</f>
        <v>0.59835188474224765</v>
      </c>
      <c r="DH692" s="61">
        <f t="shared" si="4170"/>
        <v>-2.7295096148128417</v>
      </c>
      <c r="DI692" s="86">
        <f>(DI533*4)/(AVERAGE(DI632,DG632))*100</f>
        <v>0.61173476928217552</v>
      </c>
      <c r="DJ692" s="61">
        <f t="shared" si="4171"/>
        <v>9.9722380538160174</v>
      </c>
      <c r="DK692" s="86">
        <f>(DK533*4)/(AVERAGE(DK632,DI632))*100</f>
        <v>0.60806775612139641</v>
      </c>
      <c r="DL692" s="61">
        <f t="shared" si="4172"/>
        <v>12.857418722472236</v>
      </c>
      <c r="DM692" s="86">
        <f>(DM533*4)/(AVERAGE(DM632,DK632))*100</f>
        <v>0.6255676333913015</v>
      </c>
      <c r="DN692" s="130">
        <f t="shared" si="4173"/>
        <v>5.4378230042231968</v>
      </c>
      <c r="DO692" s="86">
        <f>(DO533*4)/(AVERAGE(DO632,DM632))*100</f>
        <v>0.64955554081729039</v>
      </c>
      <c r="DP692" s="130">
        <f t="shared" si="4173"/>
        <v>8.5574487823498302</v>
      </c>
      <c r="DQ692" s="86">
        <f>(DQ533*4)/(AVERAGE(DQ632,DO632))*100</f>
        <v>0.61695059811925723</v>
      </c>
      <c r="DR692" s="130">
        <f t="shared" si="4173"/>
        <v>0.85262912932055901</v>
      </c>
      <c r="DS692" s="86">
        <f>(DS533*4)/(AVERAGE(DS632,DQ632))*100</f>
        <v>0.55018267784225228</v>
      </c>
      <c r="DT692" s="130">
        <f t="shared" si="4173"/>
        <v>-9.5195112216388882</v>
      </c>
      <c r="DU692" s="86">
        <f>(DU533*4)/(AVERAGE(DU632,DS632))*100</f>
        <v>0.5903001536104292</v>
      </c>
      <c r="DV692" s="130">
        <f t="shared" si="4173"/>
        <v>-5.6376765514036702</v>
      </c>
      <c r="DW692" s="86">
        <f>(DW533*4)/(AVERAGE(DW632,DU632))*100</f>
        <v>0.66813820870798868</v>
      </c>
      <c r="DX692" s="86">
        <f t="shared" ref="DX692:EM692" si="4246">(DX533*4)/(AVERAGE(DX632,DV632))*100</f>
        <v>1.3513165183076656</v>
      </c>
      <c r="DY692" s="86">
        <f t="shared" si="4246"/>
        <v>0.60948126283879456</v>
      </c>
      <c r="DZ692" s="130">
        <f t="shared" si="4173"/>
        <v>-1.2106861235295918</v>
      </c>
      <c r="EA692" s="86">
        <f t="shared" si="4246"/>
        <v>0.57049875301895492</v>
      </c>
      <c r="EB692" s="130">
        <f t="shared" si="4176"/>
        <v>3.6926053827030181</v>
      </c>
      <c r="EC692" s="86">
        <f t="shared" si="4246"/>
        <v>0.57523335119692487</v>
      </c>
      <c r="ED692" s="130">
        <f t="shared" si="4177"/>
        <v>-2.5523968308921896</v>
      </c>
      <c r="EE692" s="86">
        <f t="shared" si="4246"/>
        <v>0.61672894249414223</v>
      </c>
      <c r="EF692" s="130">
        <f t="shared" si="4179"/>
        <v>-7.6944059692767848</v>
      </c>
      <c r="EG692" s="86">
        <f t="shared" si="4246"/>
        <v>0.61942479819473262</v>
      </c>
      <c r="EH692" s="130">
        <f t="shared" si="4180"/>
        <v>1.6314751514466375</v>
      </c>
      <c r="EI692" s="86">
        <f t="shared" si="4246"/>
        <v>0.60178228862491612</v>
      </c>
      <c r="EJ692" s="130">
        <f t="shared" si="4182"/>
        <v>5.4835414521794412</v>
      </c>
      <c r="EK692" s="86">
        <f t="shared" si="4246"/>
        <v>0.62175512270945754</v>
      </c>
      <c r="EL692" s="130">
        <f t="shared" si="4183"/>
        <v>8.0874607523593323</v>
      </c>
      <c r="EM692" s="86">
        <f t="shared" si="4246"/>
        <v>0.63234360982867643</v>
      </c>
      <c r="EN692" s="130">
        <f t="shared" si="4185"/>
        <v>2.5318525301222694</v>
      </c>
      <c r="EO692" s="86">
        <f t="shared" ref="EO692" si="4247">(EO533*4)/(AVERAGE(EO632,EM632))*100</f>
        <v>0.63020546130323618</v>
      </c>
      <c r="EP692" s="130">
        <f t="shared" si="4187"/>
        <v>1.7404313065803922</v>
      </c>
      <c r="EQ692" s="86">
        <f t="shared" ref="EQ692" si="4248">(EQ533*4)/(AVERAGE(EQ632,EO632))*100</f>
        <v>0.61014675752413006</v>
      </c>
      <c r="ER692" s="130">
        <f t="shared" si="4189"/>
        <v>1.3899493317304001</v>
      </c>
      <c r="ES692" s="86">
        <f t="shared" ref="ES692" si="4249">(ES533*4)/(AVERAGE(ES632,EQ632))*100</f>
        <v>0.63922846352309659</v>
      </c>
      <c r="ET692" s="130">
        <f t="shared" si="4190"/>
        <v>2.8103251867864776</v>
      </c>
      <c r="EU692" s="86">
        <f t="shared" ref="EU692" si="4250">(EU533*4)/(AVERAGE(EU632,ES632))*100</f>
        <v>0.65532774045109832</v>
      </c>
      <c r="EV692" s="130">
        <f t="shared" si="4191"/>
        <v>3.6347533627562267</v>
      </c>
      <c r="EW692" s="86">
        <f t="shared" ref="EW692" si="4251">(EW533*4)/(AVERAGE(EW632,EU632))*100</f>
        <v>0.66380216757844535</v>
      </c>
      <c r="EX692" s="130">
        <f t="shared" si="4192"/>
        <v>5.3310719024447506</v>
      </c>
      <c r="EY692" s="89"/>
      <c r="EZ692" s="558"/>
      <c r="FA692" s="89"/>
      <c r="FB692" s="85">
        <v>0.61982115173877661</v>
      </c>
      <c r="FC692" s="86"/>
      <c r="FD692" s="86">
        <f>(FD533)/(AVERAGE(FD632,FB632))*100</f>
        <v>0.4826031320455792</v>
      </c>
      <c r="FE692" s="87">
        <f t="shared" si="4193"/>
        <v>-22.138324790669273</v>
      </c>
      <c r="FF692" s="86">
        <f>(FF533)/(AVERAGE(FF632,FD632))*100</f>
        <v>0.68054012372292183</v>
      </c>
      <c r="FG692" s="87">
        <f t="shared" si="4193"/>
        <v>41.014444070920078</v>
      </c>
      <c r="FH692" s="86">
        <f>(FH533)/(AVERAGE(FH632,FF632))*100</f>
        <v>0.65154052396106721</v>
      </c>
      <c r="FI692" s="87">
        <f t="shared" si="4193"/>
        <v>-4.2612623048897014</v>
      </c>
      <c r="FJ692" s="86">
        <f>(FJ533)/(AVERAGE(FJ632,FH632))*100</f>
        <v>0.45217884395174179</v>
      </c>
      <c r="FK692" s="87">
        <f t="shared" si="4193"/>
        <v>-30.598508101583299</v>
      </c>
      <c r="FL692" s="86">
        <f>(FL533)/(AVERAGE(FL632,FJ632))*100</f>
        <v>0.59319803588207687</v>
      </c>
      <c r="FM692" s="87">
        <f t="shared" si="4194"/>
        <v>31.186596590393599</v>
      </c>
      <c r="FN692" s="86">
        <f>(FN533)/(AVERAGE(FN632,FL632))*100</f>
        <v>0.65025685737889749</v>
      </c>
      <c r="FO692" s="87">
        <f t="shared" si="4195"/>
        <v>9.6188486888657554</v>
      </c>
      <c r="FP692" s="176">
        <f>(FP533)/(AVERAGE(FP632,FN632))*100</f>
        <v>0.72159446554634177</v>
      </c>
      <c r="FQ692" s="61">
        <f t="shared" si="3844"/>
        <v>10.752046727558673</v>
      </c>
      <c r="FR692" s="176">
        <f>(FR533)/(AVERAGE(FR632,FP632))*100</f>
        <v>0.794215853264164</v>
      </c>
      <c r="FS692" s="61">
        <f t="shared" si="4196"/>
        <v>10.064016727572644</v>
      </c>
      <c r="FT692" s="176">
        <f>(FT533)/(AVERAGE(FT632,FR632))*100</f>
        <v>0.72494639537989225</v>
      </c>
      <c r="FU692" s="61">
        <f t="shared" si="4197"/>
        <v>-8.721742030152102</v>
      </c>
      <c r="FV692" s="176">
        <f>(FV533)/(AVERAGE(FV632,FT632))*100</f>
        <v>0.64415526398097556</v>
      </c>
      <c r="FW692" s="61">
        <f t="shared" si="4198"/>
        <v>-11.144428321018118</v>
      </c>
      <c r="FX692" s="88">
        <f>(FX533)/(AVERAGE(FX632,FV632))*100</f>
        <v>0.56611712571692518</v>
      </c>
      <c r="FY692" s="61">
        <f t="shared" si="4199"/>
        <v>-12.114802537165193</v>
      </c>
      <c r="FZ692" s="88">
        <f>(FZ533)/(AVERAGE(FZ632,FX632))*100</f>
        <v>0.62118694058293822</v>
      </c>
      <c r="GA692" s="61">
        <f t="shared" si="4200"/>
        <v>9.7276362724892262</v>
      </c>
      <c r="GB692" s="88">
        <f>(GB533)/(AVERAGE(GB632,FZ632))*100</f>
        <v>0.58672242646175321</v>
      </c>
      <c r="GC692" s="61">
        <f t="shared" si="4201"/>
        <v>-5.548171068896357</v>
      </c>
      <c r="GD692" s="88">
        <f>(GD533)/(AVERAGE(GD632,GB632))*100</f>
        <v>0.57950328290037112</v>
      </c>
      <c r="GE692" s="61">
        <f t="shared" si="4202"/>
        <v>-1.2304188890336687</v>
      </c>
      <c r="GF692" s="88">
        <f>(GF533)/(AVERAGE(GF632,GD632))*100</f>
        <v>0.58203477734339015</v>
      </c>
      <c r="GG692" s="61">
        <f t="shared" si="4202"/>
        <v>0.4368386716204764</v>
      </c>
      <c r="GH692" s="88">
        <f>(GH533)/(AVERAGE(GH632,GF632))*100</f>
        <v>0.62775074338903813</v>
      </c>
      <c r="GI692" s="61">
        <f t="shared" si="4202"/>
        <v>7.8545076385833079</v>
      </c>
      <c r="GJ692" s="88">
        <f>(GJ533)/(AVERAGE(GJ632,GH632))*100</f>
        <v>0.60737999346903226</v>
      </c>
      <c r="GK692" s="61">
        <f t="shared" si="4202"/>
        <v>-3.2450379604539004</v>
      </c>
      <c r="GL692" s="88">
        <f>(GL533)/(AVERAGE(GL632,GJ632))*100</f>
        <v>0.60455470415843127</v>
      </c>
      <c r="GM692" s="61">
        <f t="shared" si="4202"/>
        <v>-0.46516008775073781</v>
      </c>
      <c r="GN692" s="88">
        <f>(GN533)/(AVERAGE(GN632,GL632))*100</f>
        <v>0.62220504609948657</v>
      </c>
      <c r="GO692" s="61">
        <f t="shared" si="4202"/>
        <v>2.919560764252993</v>
      </c>
      <c r="GP692" s="88">
        <f>(GP533)/(AVERAGE(GP632,GN632))*100</f>
        <v>0.64227727014195835</v>
      </c>
      <c r="GQ692" s="61">
        <f t="shared" si="4202"/>
        <v>3.2259822012536965</v>
      </c>
      <c r="GR692" s="86">
        <f>(GR533)/(AVERAGE(GR632,GP632))*100</f>
        <v>0.64841597923592575</v>
      </c>
      <c r="GS692" s="61">
        <f t="shared" si="4202"/>
        <v>0.95577243339322049</v>
      </c>
      <c r="GT692" s="86">
        <f>(GT533)/(AVERAGE(GT632,GR632))*100</f>
        <v>0.66988331728287887</v>
      </c>
      <c r="GU692" s="61">
        <f t="shared" si="4202"/>
        <v>3.3107355053540788</v>
      </c>
      <c r="GV692" s="86">
        <f>(GV533)/(AVERAGE(GV632,GT632))*100</f>
        <v>0.66363697470334837</v>
      </c>
      <c r="GW692" s="61">
        <f t="shared" si="4202"/>
        <v>-0.93245232690170043</v>
      </c>
      <c r="GX692" s="86">
        <f>(GX533)/(AVERAGE(GX632,GV632))*100</f>
        <v>0.65901361532914693</v>
      </c>
      <c r="GY692" s="61">
        <f t="shared" si="4203"/>
        <v>-0.6966699491492534</v>
      </c>
      <c r="GZ692" s="61">
        <f t="shared" si="4057"/>
        <v>1.1561220306354203</v>
      </c>
      <c r="HA692" s="61"/>
      <c r="HB692" s="452"/>
      <c r="HC692"/>
      <c r="HD692"/>
      <c r="HE692"/>
      <c r="HF692"/>
      <c r="HG692"/>
      <c r="HH692"/>
    </row>
    <row r="693" spans="1:216" s="5" customFormat="1" ht="12.75" customHeight="1" x14ac:dyDescent="0.2">
      <c r="A693" s="7" t="s">
        <v>377</v>
      </c>
      <c r="B693" s="7" t="s">
        <v>495</v>
      </c>
      <c r="C693" s="161">
        <f>C655/C610</f>
        <v>22.291774443869631</v>
      </c>
      <c r="D693" s="70"/>
      <c r="E693" s="161">
        <f>E655/E610</f>
        <v>22.102040816326529</v>
      </c>
      <c r="F693" s="71"/>
      <c r="G693" s="161">
        <f>G655/G610</f>
        <v>23.663190823774766</v>
      </c>
      <c r="H693" s="71"/>
      <c r="I693" s="161">
        <f>I655/I610</f>
        <v>25.91056485355649</v>
      </c>
      <c r="J693" s="61"/>
      <c r="K693" s="161">
        <f>K655/K610</f>
        <v>27.251993620414677</v>
      </c>
      <c r="L693" s="61">
        <f t="shared" si="4127"/>
        <v>22.251342929360817</v>
      </c>
      <c r="M693" s="161">
        <f>M655/M610</f>
        <v>27.054226475279105</v>
      </c>
      <c r="N693" s="61">
        <f t="shared" si="4128"/>
        <v>22.406010829979351</v>
      </c>
      <c r="O693" s="161">
        <f>O655/O610</f>
        <v>28.492356352134951</v>
      </c>
      <c r="P693" s="61">
        <f t="shared" si="4129"/>
        <v>20.407922009859504</v>
      </c>
      <c r="Q693" s="161">
        <f>Q655/Q610</f>
        <v>28.317138280832889</v>
      </c>
      <c r="R693" s="61">
        <f t="shared" si="4130"/>
        <v>9.2880006317039854</v>
      </c>
      <c r="S693" s="161">
        <f>S655/S610</f>
        <v>27.531665779670035</v>
      </c>
      <c r="T693" s="61">
        <f t="shared" si="4131"/>
        <v>1.0262447700187805</v>
      </c>
      <c r="U693" s="161">
        <f>U655/U610</f>
        <v>29.012466124661248</v>
      </c>
      <c r="V693" s="61">
        <f t="shared" si="4132"/>
        <v>7.238202323660925</v>
      </c>
      <c r="W693" s="161">
        <f>W655/W610</f>
        <v>30.62985915492958</v>
      </c>
      <c r="X693" s="61">
        <f t="shared" si="4133"/>
        <v>7.5020218629073376</v>
      </c>
      <c r="Y693" s="161">
        <f>Y655/Y610</f>
        <v>30.109797297297298</v>
      </c>
      <c r="Z693" s="61">
        <f t="shared" si="4134"/>
        <v>6.3306503598134167</v>
      </c>
      <c r="AA693" s="161">
        <f>AA655/AA610</f>
        <v>30.669667979741138</v>
      </c>
      <c r="AB693" s="61">
        <f t="shared" si="4135"/>
        <v>11.397792727777013</v>
      </c>
      <c r="AC693" s="161">
        <f>AC655/AC610</f>
        <v>32.673595505617975</v>
      </c>
      <c r="AD693" s="61">
        <f t="shared" si="4136"/>
        <v>12.619159519999169</v>
      </c>
      <c r="AE693" s="161">
        <f>AE655/AE610</f>
        <v>31.331463825014016</v>
      </c>
      <c r="AF693" s="61">
        <f t="shared" si="4137"/>
        <v>2.2905905852705244</v>
      </c>
      <c r="AG693" s="161">
        <f>AG655/AG610</f>
        <v>32.557983193277316</v>
      </c>
      <c r="AH693" s="61">
        <f t="shared" si="4138"/>
        <v>8.1308614329322246</v>
      </c>
      <c r="AI693" s="161">
        <f>AI655/AI610</f>
        <v>34.361991586689953</v>
      </c>
      <c r="AJ693" s="61">
        <f t="shared" si="4139"/>
        <v>12.039007430363391</v>
      </c>
      <c r="AK693" s="161">
        <f>AK655/AK610</f>
        <v>31.323431230260635</v>
      </c>
      <c r="AL693" s="61">
        <f t="shared" si="4140"/>
        <v>-4.1322794582714035</v>
      </c>
      <c r="AM693" s="161">
        <f>AM655/AM610</f>
        <v>34.154377304918519</v>
      </c>
      <c r="AN693" s="61">
        <f t="shared" si="4141"/>
        <v>9.0098359134142427</v>
      </c>
      <c r="AO693" s="161">
        <f>AO655/AO610</f>
        <v>35.527006928134533</v>
      </c>
      <c r="AP693" s="61">
        <f t="shared" si="4142"/>
        <v>9.1191881181088341</v>
      </c>
      <c r="AQ693" s="161">
        <f>AQ655/AQ610</f>
        <v>34.74055530353592</v>
      </c>
      <c r="AR693" s="61">
        <f t="shared" si="4143"/>
        <v>1.1016931771574034</v>
      </c>
      <c r="AS693" s="161">
        <f>AS655/AS610</f>
        <v>36.864993748100268</v>
      </c>
      <c r="AT693" s="61">
        <f t="shared" si="4144"/>
        <v>17.691428748987413</v>
      </c>
      <c r="AU693" s="161">
        <f>AU655/AU610</f>
        <v>36.227344398860502</v>
      </c>
      <c r="AV693" s="61">
        <f t="shared" si="4145"/>
        <v>6.0694038583553933</v>
      </c>
      <c r="AW693" s="161">
        <f>AW655/AW610</f>
        <v>36.688513315170816</v>
      </c>
      <c r="AX693" s="61">
        <f t="shared" si="4146"/>
        <v>3.2693617826737409</v>
      </c>
      <c r="AY693" s="161">
        <f>AY655/AY610</f>
        <v>35.987221226289861</v>
      </c>
      <c r="AZ693" s="61">
        <f t="shared" si="4147"/>
        <v>3.5885031539120371</v>
      </c>
      <c r="BA693" s="161">
        <f>BA655/BA610</f>
        <v>40.475637863054111</v>
      </c>
      <c r="BB693" s="61">
        <f t="shared" si="3867"/>
        <v>9.7942349851609656</v>
      </c>
      <c r="BC693" s="161">
        <f>BC655/BC610</f>
        <v>43.387721759661915</v>
      </c>
      <c r="BD693" s="61">
        <f t="shared" si="3868"/>
        <v>19.765117978193935</v>
      </c>
      <c r="BE693" s="161">
        <f>BE655/BE610</f>
        <v>44.206521739130437</v>
      </c>
      <c r="BF693" s="61">
        <f t="shared" si="3869"/>
        <v>20.491450169639069</v>
      </c>
      <c r="BG693" s="161">
        <f>BG659/BG610</f>
        <v>44.415651531930607</v>
      </c>
      <c r="BH693" s="61">
        <f t="shared" si="4148"/>
        <v>23.420619926840857</v>
      </c>
      <c r="BI693" s="161">
        <f>BI659/BI610</f>
        <v>43.571368804691282</v>
      </c>
      <c r="BJ693" s="61">
        <f t="shared" si="4149"/>
        <v>7.6483808658218466</v>
      </c>
      <c r="BK693" s="161">
        <f>BK659/BK610</f>
        <v>44.405716406829995</v>
      </c>
      <c r="BL693" s="61">
        <f t="shared" si="4150"/>
        <v>2.3462735674554924</v>
      </c>
      <c r="BM693" s="161">
        <f>BM659/BM610</f>
        <v>44.32072617246596</v>
      </c>
      <c r="BN693" s="61">
        <f t="shared" si="4151"/>
        <v>0.25834295222197934</v>
      </c>
      <c r="BO693" s="161">
        <f>BO659/BO610</f>
        <v>42.738242097147264</v>
      </c>
      <c r="BP693" s="61">
        <f t="shared" si="4152"/>
        <v>-3.7766178743937728</v>
      </c>
      <c r="BQ693" s="161">
        <f>BQ659/BQ610</f>
        <v>40.847081712062263</v>
      </c>
      <c r="BR693" s="61">
        <f t="shared" si="4153"/>
        <v>-6.2524707562909949</v>
      </c>
      <c r="BS693" s="161">
        <f>BS659/BS610</f>
        <v>37.109765625000001</v>
      </c>
      <c r="BT693" s="61">
        <f t="shared" si="4154"/>
        <v>-16.430206226124099</v>
      </c>
      <c r="BU693" s="161">
        <f>BU659/BU610</f>
        <v>31.147208121827408</v>
      </c>
      <c r="BV693" s="61">
        <f t="shared" si="4155"/>
        <v>-29.723154804314866</v>
      </c>
      <c r="BW693" s="161">
        <f>BW659/BW610</f>
        <v>28.589107944563736</v>
      </c>
      <c r="BX693" s="61">
        <f t="shared" si="3870"/>
        <v>-33.106495396842647</v>
      </c>
      <c r="BY693" s="161">
        <f>BY659/BY610</f>
        <v>30.018193847171684</v>
      </c>
      <c r="BZ693" s="61">
        <f t="shared" si="3871"/>
        <v>-26.510799330109247</v>
      </c>
      <c r="CA693" s="161">
        <f>CA659/CA610</f>
        <v>35.414158121071786</v>
      </c>
      <c r="CB693" s="61">
        <f t="shared" si="3872"/>
        <v>-4.5691679140811514</v>
      </c>
      <c r="CC693" s="161">
        <f>CC659/CC610</f>
        <v>35.548280423280424</v>
      </c>
      <c r="CD693" s="61">
        <f t="shared" si="3873"/>
        <v>14.12990944240946</v>
      </c>
      <c r="CE693" s="161">
        <f>CE659/CE610</f>
        <v>37.733311302048911</v>
      </c>
      <c r="CF693" s="61">
        <f t="shared" si="4156"/>
        <v>31.9849201843458</v>
      </c>
      <c r="CG693" s="161">
        <f>CG659/CG610</f>
        <v>39.88920454545454</v>
      </c>
      <c r="CH693" s="61">
        <f t="shared" si="4157"/>
        <v>32.88342645975986</v>
      </c>
      <c r="CI693" s="161">
        <f>CI659/CI610</f>
        <v>42.780372357210474</v>
      </c>
      <c r="CJ693" s="61">
        <f t="shared" si="4158"/>
        <v>20.800195817038826</v>
      </c>
      <c r="CK693" s="161">
        <f>CK659/CK610</f>
        <v>40.536245647356765</v>
      </c>
      <c r="CL693" s="61">
        <f t="shared" si="4159"/>
        <v>14.031523226112919</v>
      </c>
      <c r="CM693" s="161">
        <f>CM659/CM610</f>
        <v>38.452806122448983</v>
      </c>
      <c r="CN693" s="61">
        <f t="shared" si="4160"/>
        <v>1.9067895065997043</v>
      </c>
      <c r="CO693" s="161">
        <f>CO659/CO610</f>
        <v>40.703403565640194</v>
      </c>
      <c r="CP693" s="61">
        <f t="shared" si="4161"/>
        <v>2.04115130763729</v>
      </c>
      <c r="CQ693" s="161">
        <f>CQ659/CQ610</f>
        <v>46.341948310139166</v>
      </c>
      <c r="CR693" s="61">
        <f t="shared" si="4162"/>
        <v>8.3252570201820539</v>
      </c>
      <c r="CS693" s="161">
        <f>CS659/CS610</f>
        <v>44.939965694682677</v>
      </c>
      <c r="CT693" s="61">
        <f t="shared" si="4163"/>
        <v>10.863660353837101</v>
      </c>
      <c r="CU693" s="161">
        <f>CU659/CU610</f>
        <v>45.938375350140049</v>
      </c>
      <c r="CV693" s="61">
        <f t="shared" si="4164"/>
        <v>19.466899772812528</v>
      </c>
      <c r="CW693" s="161">
        <f>CW659/CW610</f>
        <v>50.264948084496957</v>
      </c>
      <c r="CX693" s="61">
        <f t="shared" si="4165"/>
        <v>23.490773943356793</v>
      </c>
      <c r="CY693" s="161">
        <f>CY659/CY610</f>
        <v>54.941860465116278</v>
      </c>
      <c r="CZ693" s="61">
        <f t="shared" si="4166"/>
        <v>18.557510999371463</v>
      </c>
      <c r="DA693" s="161">
        <f>DA659/DA610</f>
        <v>55.136229749631809</v>
      </c>
      <c r="DB693" s="61">
        <f t="shared" si="4167"/>
        <v>22.6886333741807</v>
      </c>
      <c r="DC693" s="161">
        <f>DC659/DC610</f>
        <v>55.331347728965</v>
      </c>
      <c r="DD693" s="61">
        <f t="shared" si="4168"/>
        <v>20.446897190490908</v>
      </c>
      <c r="DE693" s="161">
        <f>DE659/DE610</f>
        <v>50.36686838124055</v>
      </c>
      <c r="DF693" s="61">
        <f t="shared" si="4169"/>
        <v>0.2027661434609751</v>
      </c>
      <c r="DG693" s="161">
        <f>DG659/DG610</f>
        <v>51.04460541364849</v>
      </c>
      <c r="DH693" s="61">
        <f t="shared" si="4170"/>
        <v>-7.0934166016133222</v>
      </c>
      <c r="DI693" s="161">
        <f>DI659/DI610</f>
        <v>51.171548117154813</v>
      </c>
      <c r="DJ693" s="61">
        <f t="shared" si="4171"/>
        <v>-7.1907013781686295</v>
      </c>
      <c r="DK693" s="161">
        <f>DK659/DK610</f>
        <v>54.937428896473264</v>
      </c>
      <c r="DL693" s="61">
        <f t="shared" si="4172"/>
        <v>-0.71192705158982239</v>
      </c>
      <c r="DM693" s="161">
        <f>DM659/DM610</f>
        <v>59.244631901840485</v>
      </c>
      <c r="DN693" s="130">
        <f t="shared" si="4173"/>
        <v>17.626197152861934</v>
      </c>
      <c r="DO693" s="161">
        <f>DO659/DO610</f>
        <v>59.476520400307926</v>
      </c>
      <c r="DP693" s="130">
        <f t="shared" si="4173"/>
        <v>16.518719105241388</v>
      </c>
      <c r="DQ693" s="780">
        <f>(DQ659+2)/DQ610</f>
        <v>61.34840218238503</v>
      </c>
      <c r="DR693" s="130">
        <f t="shared" si="4173"/>
        <v>19.887719718642849</v>
      </c>
      <c r="DS693" s="780">
        <f>(DS659-1)/DS610</f>
        <v>64.143930407275604</v>
      </c>
      <c r="DT693" s="130">
        <f t="shared" si="4173"/>
        <v>16.758158682947322</v>
      </c>
      <c r="DU693" s="161">
        <f>(DU659-1)/DU610</f>
        <v>58.58110801115982</v>
      </c>
      <c r="DV693" s="130">
        <f t="shared" si="4173"/>
        <v>-1.1199730159181742</v>
      </c>
      <c r="DW693" s="161">
        <f>(DW659-1)/DW610</f>
        <v>58.18181818181818</v>
      </c>
      <c r="DX693" s="161">
        <f t="shared" ref="DX693:DY693" si="4252">(DX659-1)/DX610</f>
        <v>58.18181818181818</v>
      </c>
      <c r="DY693" s="161">
        <f t="shared" si="4252"/>
        <v>55.849056603773583</v>
      </c>
      <c r="DZ693" s="130">
        <f t="shared" si="4173"/>
        <v>-8.9641219379475103</v>
      </c>
      <c r="EA693" s="161">
        <f t="shared" ref="EA693:EC693" si="4253">(EA659-1)/EA610</f>
        <v>61.32635983263598</v>
      </c>
      <c r="EB693" s="130">
        <f t="shared" si="4176"/>
        <v>-4.3925755044159853</v>
      </c>
      <c r="EC693" s="161">
        <f t="shared" si="4253"/>
        <v>68.389397259096967</v>
      </c>
      <c r="ED693" s="130">
        <f t="shared" si="4177"/>
        <v>16.743092749404198</v>
      </c>
      <c r="EE693" s="161">
        <f t="shared" ref="EE693:EG693" si="4254">(EE659-1)/EE610</f>
        <v>71.431072210065651</v>
      </c>
      <c r="EF693" s="130">
        <f t="shared" si="4179"/>
        <v>22.772155361050352</v>
      </c>
      <c r="EG693" s="161">
        <f t="shared" si="4254"/>
        <v>63.961297163559244</v>
      </c>
      <c r="EH693" s="130">
        <f t="shared" si="4180"/>
        <v>14.525295596913512</v>
      </c>
      <c r="EI693" s="161">
        <f>(EI659-1)/EI610</f>
        <v>66.577730345072922</v>
      </c>
      <c r="EJ693" s="130">
        <f t="shared" si="4182"/>
        <v>8.5629907380257109</v>
      </c>
      <c r="EK693" s="161">
        <f>(EK659-1)/EK610</f>
        <v>71.978219782197826</v>
      </c>
      <c r="EL693" s="130">
        <f t="shared" si="4183"/>
        <v>5.2476299937319393</v>
      </c>
      <c r="EM693" s="161">
        <f>(EM659-1)/EM610</f>
        <v>74.305365764780902</v>
      </c>
      <c r="EN693" s="130">
        <f t="shared" si="4185"/>
        <v>4.0238700971231056</v>
      </c>
      <c r="EO693" s="161">
        <f>(EO659-1)/EO610</f>
        <v>79.432266348711366</v>
      </c>
      <c r="EP693" s="130">
        <f t="shared" si="4187"/>
        <v>24.188016615095197</v>
      </c>
      <c r="EQ693" s="161">
        <f t="shared" ref="EQ693:EW693" si="4255">EQ659/EQ610</f>
        <v>80.772234209581924</v>
      </c>
      <c r="ER693" s="130">
        <f t="shared" si="4189"/>
        <v>21.320197896411862</v>
      </c>
      <c r="ES693" s="161">
        <f t="shared" si="4255"/>
        <v>82.234417090010552</v>
      </c>
      <c r="ET693" s="130">
        <f t="shared" si="4190"/>
        <v>14.249028857406332</v>
      </c>
      <c r="EU693" s="161">
        <f t="shared" si="4255"/>
        <v>83.676899930554399</v>
      </c>
      <c r="EV693" s="130">
        <f t="shared" si="4191"/>
        <v>12.612190343614982</v>
      </c>
      <c r="EW693" s="161">
        <f t="shared" si="4255"/>
        <v>85.190904843458796</v>
      </c>
      <c r="EX693" s="130">
        <f t="shared" si="4192"/>
        <v>7.2497471864477969</v>
      </c>
      <c r="EY693" s="90"/>
      <c r="EZ693" s="558"/>
      <c r="FA693" s="90"/>
      <c r="FB693" s="138">
        <f>53.18/2</f>
        <v>26.59</v>
      </c>
      <c r="FC693" s="219"/>
      <c r="FD693" s="138">
        <v>21.76</v>
      </c>
      <c r="FE693" s="143">
        <f t="shared" si="4193"/>
        <v>-18.164723580293341</v>
      </c>
      <c r="FF693" s="219">
        <f>FF655/FF609</f>
        <v>25.379610655737707</v>
      </c>
      <c r="FG693" s="143">
        <f t="shared" si="4193"/>
        <v>16.634240145853418</v>
      </c>
      <c r="FH693" s="219">
        <f>FH655/FH609</f>
        <v>27.754055468341186</v>
      </c>
      <c r="FI693" s="143">
        <f t="shared" si="4193"/>
        <v>9.3557180400112738</v>
      </c>
      <c r="FJ693" s="219">
        <f>FJ655/FJ609</f>
        <v>29.874301675977655</v>
      </c>
      <c r="FK693" s="143">
        <f t="shared" si="4193"/>
        <v>7.6394104279823738</v>
      </c>
      <c r="FL693" s="219">
        <f>FL655/FL609</f>
        <v>32.161593801881573</v>
      </c>
      <c r="FM693" s="143">
        <f t="shared" si="4194"/>
        <v>7.6563869198092771</v>
      </c>
      <c r="FN693" s="219">
        <f>FN655/FN609</f>
        <v>35.068710959682001</v>
      </c>
      <c r="FO693" s="143">
        <f t="shared" si="4195"/>
        <v>9.0390954369629295</v>
      </c>
      <c r="FP693" s="161">
        <f>FP655/FP610</f>
        <v>36.688513315170816</v>
      </c>
      <c r="FQ693" s="61">
        <f t="shared" si="3844"/>
        <v>32.191539924754743</v>
      </c>
      <c r="FR693" s="161">
        <f>FR655/FR610</f>
        <v>44.206521739130437</v>
      </c>
      <c r="FS693" s="61">
        <f t="shared" si="4196"/>
        <v>20.491450169639069</v>
      </c>
      <c r="FT693" s="161">
        <f>FT655/FT610</f>
        <v>44.32072617246596</v>
      </c>
      <c r="FU693" s="61">
        <f t="shared" si="4197"/>
        <v>0.25834295222197934</v>
      </c>
      <c r="FV693" s="161">
        <f>FV659/FV610</f>
        <v>31.147208121827408</v>
      </c>
      <c r="FW693" s="61">
        <f t="shared" si="4198"/>
        <v>-29.723154804314866</v>
      </c>
      <c r="FX693" s="161">
        <f>FX659/FX610</f>
        <v>35.548280423280424</v>
      </c>
      <c r="FY693" s="61">
        <f t="shared" si="4199"/>
        <v>14.12990944240946</v>
      </c>
      <c r="FZ693" s="161">
        <f>FZ659/FZ610</f>
        <v>40.536245647356765</v>
      </c>
      <c r="GA693" s="61">
        <f t="shared" si="4200"/>
        <v>14.031523226112919</v>
      </c>
      <c r="GB693" s="161">
        <f>GB659/GB610</f>
        <v>44.939965694682677</v>
      </c>
      <c r="GC693" s="61">
        <f t="shared" si="4201"/>
        <v>10.863660353837101</v>
      </c>
      <c r="GD693" s="161">
        <f>GD659/GD610</f>
        <v>55.136229749631809</v>
      </c>
      <c r="GE693" s="61">
        <f t="shared" si="4202"/>
        <v>22.6886333741807</v>
      </c>
      <c r="GF693" s="161">
        <f>GF659/GF610</f>
        <v>51.171548117154813</v>
      </c>
      <c r="GG693" s="61">
        <f t="shared" si="4202"/>
        <v>-7.1907013781686295</v>
      </c>
      <c r="GH693" s="780">
        <f>(GH659+2)/GH610</f>
        <v>61.34840218238503</v>
      </c>
      <c r="GI693" s="61">
        <f t="shared" si="4202"/>
        <v>19.887719718642849</v>
      </c>
      <c r="GJ693" s="161">
        <f>GJ659/GJ610</f>
        <v>55.853158326497123</v>
      </c>
      <c r="GK693" s="61">
        <f t="shared" si="4202"/>
        <v>-8.9574359892061857</v>
      </c>
      <c r="GL693" s="161">
        <f>GL659/GL610</f>
        <v>63.965715295573034</v>
      </c>
      <c r="GM693" s="61">
        <f t="shared" si="4202"/>
        <v>14.524795395907365</v>
      </c>
      <c r="GN693" s="161">
        <f>GN659/GN610</f>
        <v>79.436852242502056</v>
      </c>
      <c r="GO693" s="61">
        <f t="shared" si="4202"/>
        <v>24.186608209475867</v>
      </c>
      <c r="GP693" s="161">
        <f>GP659/GP610</f>
        <v>85.190904843458796</v>
      </c>
      <c r="GQ693" s="61">
        <f t="shared" si="4202"/>
        <v>7.2435556527226996</v>
      </c>
      <c r="GR693" s="161">
        <f>GR659/GR610</f>
        <v>91.527009902450544</v>
      </c>
      <c r="GS693" s="61">
        <f t="shared" si="4202"/>
        <v>7.4375369889949638</v>
      </c>
      <c r="GT693" s="161">
        <f>GT659/GT610</f>
        <v>99.086898587047244</v>
      </c>
      <c r="GU693" s="61">
        <f t="shared" si="4202"/>
        <v>8.2597352329700549</v>
      </c>
      <c r="GV693" s="161">
        <f>GV659/GV610</f>
        <v>107.49490202063714</v>
      </c>
      <c r="GW693" s="61">
        <f t="shared" si="4202"/>
        <v>8.4854845125700518</v>
      </c>
      <c r="GX693" s="161">
        <f>GX659/GX610</f>
        <v>116.75244309886943</v>
      </c>
      <c r="GY693" s="61">
        <f t="shared" si="4203"/>
        <v>8.6120745302461046</v>
      </c>
      <c r="GZ693" s="61">
        <f t="shared" si="4057"/>
        <v>8.0062257732789419</v>
      </c>
      <c r="HA693" s="61"/>
      <c r="HB693" s="452"/>
      <c r="HC693"/>
      <c r="HD693"/>
      <c r="HE693"/>
      <c r="HF693"/>
      <c r="HG693"/>
      <c r="HH693"/>
    </row>
    <row r="694" spans="1:216" s="5" customFormat="1" ht="12.75" customHeight="1" x14ac:dyDescent="0.2">
      <c r="A694" s="418"/>
      <c r="B694" s="7" t="s">
        <v>42</v>
      </c>
      <c r="C694" s="64"/>
      <c r="D694" s="107"/>
      <c r="E694" s="64"/>
      <c r="F694" s="64"/>
      <c r="G694" s="64"/>
      <c r="H694" s="64"/>
      <c r="I694" s="64"/>
      <c r="J694" s="64"/>
      <c r="K694" s="64"/>
      <c r="L694" s="107"/>
      <c r="M694" s="64"/>
      <c r="N694" s="107"/>
      <c r="O694" s="64"/>
      <c r="P694" s="107"/>
      <c r="Q694" s="64"/>
      <c r="R694" s="107"/>
      <c r="S694" s="64"/>
      <c r="T694" s="107"/>
      <c r="U694" s="64"/>
      <c r="V694" s="107"/>
      <c r="W694" s="64"/>
      <c r="X694" s="107"/>
      <c r="Y694" s="64"/>
      <c r="Z694" s="107"/>
      <c r="AA694" s="64"/>
      <c r="AB694" s="107"/>
      <c r="AC694" s="64"/>
      <c r="AD694" s="107"/>
      <c r="AE694" s="64"/>
      <c r="AF694" s="107"/>
      <c r="AG694" s="64"/>
      <c r="AH694" s="107"/>
      <c r="AI694" s="64"/>
      <c r="AJ694" s="107"/>
      <c r="AK694" s="64"/>
      <c r="AL694" s="107"/>
      <c r="AM694" s="64"/>
      <c r="AN694" s="107"/>
      <c r="AO694" s="64"/>
      <c r="AP694" s="107"/>
      <c r="AQ694" s="64"/>
      <c r="AR694" s="61"/>
      <c r="AS694" s="64"/>
      <c r="AT694" s="107"/>
      <c r="AU694" s="64"/>
      <c r="AV694" s="107"/>
      <c r="AW694" s="64"/>
      <c r="AX694" s="61"/>
      <c r="AY694" s="64"/>
      <c r="AZ694" s="61"/>
      <c r="BA694" s="64"/>
      <c r="BB694" s="61"/>
      <c r="BC694" s="64"/>
      <c r="BD694" s="61"/>
      <c r="BE694" s="64"/>
      <c r="BF694" s="61"/>
      <c r="BG694" s="165">
        <f>(BG660-BG630)/BG610</f>
        <v>27.239940937615359</v>
      </c>
      <c r="BH694" s="61"/>
      <c r="BI694" s="165">
        <f>(BI660-BI630)/BI610</f>
        <v>28.199518590435353</v>
      </c>
      <c r="BJ694" s="61"/>
      <c r="BK694" s="165">
        <f>(BK660-BK630)/BK610</f>
        <v>28.235708982925019</v>
      </c>
      <c r="BL694" s="61"/>
      <c r="BM694" s="165">
        <f>(BM660-BM630)/BM610</f>
        <v>28.32337367624811</v>
      </c>
      <c r="BN694" s="61"/>
      <c r="BO694" s="165">
        <f>(BO660-BO630)/BO610</f>
        <v>28.063222821896687</v>
      </c>
      <c r="BP694" s="61"/>
      <c r="BQ694" s="165">
        <f>(BQ660-BQ630)/BQ610</f>
        <v>28.252918287937742</v>
      </c>
      <c r="BR694" s="61"/>
      <c r="BS694" s="165">
        <f>(BS660-BS630)/BS610</f>
        <v>28.394921874999998</v>
      </c>
      <c r="BT694" s="61"/>
      <c r="BU694" s="165">
        <f>(BU659-BU630)/BU610</f>
        <v>15.746583365872706</v>
      </c>
      <c r="BV694" s="61"/>
      <c r="BW694" s="165">
        <f>(BW659-BW630)/BW610</f>
        <v>15.533866874878004</v>
      </c>
      <c r="BX694" s="61">
        <f t="shared" si="3870"/>
        <v>-44.646889013910737</v>
      </c>
      <c r="BY694" s="165">
        <f>(BY659-BY630)/BY610</f>
        <v>18.956003969566655</v>
      </c>
      <c r="BZ694" s="61">
        <f t="shared" si="3871"/>
        <v>-32.906031949061685</v>
      </c>
      <c r="CA694" s="165">
        <f>(CA659-CA630)/CA610</f>
        <v>25.171352960635133</v>
      </c>
      <c r="CB694" s="61">
        <f t="shared" si="3872"/>
        <v>-11.352624700133518</v>
      </c>
      <c r="CC694" s="165">
        <f>(CC659-CC630)/CC610</f>
        <v>25.583002645502646</v>
      </c>
      <c r="CD694" s="61">
        <f t="shared" si="3873"/>
        <v>62.467006658398283</v>
      </c>
      <c r="CE694" s="165">
        <f>(CE659-CE630)/CE610</f>
        <v>27.774619960343689</v>
      </c>
      <c r="CF694" s="61">
        <f t="shared" si="4156"/>
        <v>78.800424801257464</v>
      </c>
      <c r="CG694" s="165">
        <f>(CG659-CG630)/CG610</f>
        <v>30.376893939393938</v>
      </c>
      <c r="CH694" s="61">
        <f t="shared" si="4157"/>
        <v>60.24945968656268</v>
      </c>
      <c r="CI694" s="165">
        <f>(CI659-CI630)/CI610</f>
        <v>33.25244556642474</v>
      </c>
      <c r="CJ694" s="61">
        <f t="shared" si="4158"/>
        <v>32.104323587323378</v>
      </c>
      <c r="CK694" s="165">
        <f>(CK659-CK630)/CK610</f>
        <v>30.978157644824318</v>
      </c>
      <c r="CL694" s="61">
        <f t="shared" si="4159"/>
        <v>21.088826335520515</v>
      </c>
      <c r="CM694" s="165">
        <f>(CM659-CM630)/CM610</f>
        <v>28.824617346938776</v>
      </c>
      <c r="CN694" s="61">
        <f t="shared" si="4160"/>
        <v>3.7804203553253313</v>
      </c>
      <c r="CO694" s="165">
        <f>(CO659-CO630)/CO610</f>
        <v>30.916045380875204</v>
      </c>
      <c r="CP694" s="61">
        <f t="shared" si="4161"/>
        <v>1.7748735027252938</v>
      </c>
      <c r="CQ694" s="165">
        <f>(CQ659-CQ630)/CQ610</f>
        <v>36.337309476474488</v>
      </c>
      <c r="CR694" s="61">
        <f t="shared" si="4162"/>
        <v>9.2771038565793837</v>
      </c>
      <c r="CS694" s="165">
        <f>(CS659-CS630)/CS610</f>
        <v>37.142367066895368</v>
      </c>
      <c r="CT694" s="61">
        <f t="shared" si="4163"/>
        <v>19.898566895894575</v>
      </c>
      <c r="CU694" s="165">
        <f>(CU659-CU630)/CU610</f>
        <v>37.979691876750699</v>
      </c>
      <c r="CV694" s="61">
        <f t="shared" si="4164"/>
        <v>31.76130465018716</v>
      </c>
      <c r="CW694" s="165">
        <f>(CW659-CW630)/CW610</f>
        <v>42.126745435016112</v>
      </c>
      <c r="CX694" s="61">
        <f t="shared" si="4165"/>
        <v>36.261753131841033</v>
      </c>
      <c r="CY694" s="165">
        <f>(CY659-CY630)/CY610</f>
        <v>46.682412790697676</v>
      </c>
      <c r="CZ694" s="61">
        <f t="shared" si="4166"/>
        <v>28.469645835833866</v>
      </c>
      <c r="DA694" s="165">
        <f>(DA659-DA630)/DA610</f>
        <v>46.767304860088359</v>
      </c>
      <c r="DB694" s="61">
        <f t="shared" si="4167"/>
        <v>25.913635972252315</v>
      </c>
      <c r="DC694" s="165">
        <f>(DC659-DC630)/DC610</f>
        <v>46.868950111690239</v>
      </c>
      <c r="DD694" s="61">
        <f t="shared" si="4168"/>
        <v>23.405293186122723</v>
      </c>
      <c r="DE694" s="165">
        <f>(DE659-DE630)/DE610</f>
        <v>41.770045385779127</v>
      </c>
      <c r="DF694" s="61">
        <f t="shared" si="4169"/>
        <v>-0.84673061152379381</v>
      </c>
      <c r="DG694" s="165">
        <f>(DG659-DG630)/DG610</f>
        <v>42.378955394586349</v>
      </c>
      <c r="DH694" s="61">
        <f t="shared" si="4170"/>
        <v>-9.2185839138307575</v>
      </c>
      <c r="DI694" s="165">
        <f>(DI659-DI630)/DI610</f>
        <v>42.525675161658427</v>
      </c>
      <c r="DJ694" s="61">
        <f t="shared" si="4171"/>
        <v>-9.0696475050666798</v>
      </c>
      <c r="DK694" s="165">
        <f>(DK659-DK630)/DK610</f>
        <v>46.317785362153963</v>
      </c>
      <c r="DL694" s="61">
        <f t="shared" si="4172"/>
        <v>-1.175969908058172</v>
      </c>
      <c r="DM694" s="165">
        <f>(DM659-DM630)/DM610</f>
        <v>50.529141104294474</v>
      </c>
      <c r="DN694" s="130">
        <f t="shared" si="4173"/>
        <v>20.969801774497078</v>
      </c>
      <c r="DO694" s="165">
        <f>(DO659-DO630)/DO610</f>
        <v>50.727482678983833</v>
      </c>
      <c r="DP694" s="130">
        <f t="shared" si="4173"/>
        <v>19.699700492060646</v>
      </c>
      <c r="DQ694" s="165">
        <f>(DQ659-DQ630)/DQ610</f>
        <v>52.482462977396722</v>
      </c>
      <c r="DR694" s="130">
        <f t="shared" si="4173"/>
        <v>23.41359138423611</v>
      </c>
      <c r="DS694" s="165">
        <f>(DS659-DS630)/DS610</f>
        <v>55.160142348754448</v>
      </c>
      <c r="DT694" s="130">
        <f t="shared" si="4173"/>
        <v>19.09062991130299</v>
      </c>
      <c r="DU694" s="165">
        <f>(DU659-DU630)/DU610</f>
        <v>49.525707453168593</v>
      </c>
      <c r="DV694" s="130">
        <f t="shared" si="4173"/>
        <v>-1.9858513902992092</v>
      </c>
      <c r="DW694" s="165">
        <f>(DW659-DW630)/DW610</f>
        <v>49.002020202020205</v>
      </c>
      <c r="DX694" s="165">
        <f t="shared" ref="DX694:DY694" si="4256">(DX659-DX630)/DX610</f>
        <v>49.002020202020205</v>
      </c>
      <c r="DY694" s="165">
        <f t="shared" si="4256"/>
        <v>46.529942575881869</v>
      </c>
      <c r="DZ694" s="130">
        <f t="shared" si="4173"/>
        <v>-11.341922737274157</v>
      </c>
      <c r="EA694" s="165">
        <f t="shared" ref="EA694:EC694" si="4257">(EA659-EA630)/EA610</f>
        <v>51.820083682008367</v>
      </c>
      <c r="EB694" s="130">
        <f t="shared" si="4176"/>
        <v>-6.0552031313267696</v>
      </c>
      <c r="EC694" s="165">
        <f t="shared" si="4257"/>
        <v>58.628689264080421</v>
      </c>
      <c r="ED694" s="130">
        <f t="shared" si="4177"/>
        <v>18.380316564926581</v>
      </c>
      <c r="EE694" s="165">
        <f t="shared" ref="EE694:EG694" si="4258">(EE659-EE630)/EE610</f>
        <v>61.48796498905908</v>
      </c>
      <c r="EF694" s="130">
        <f t="shared" si="4179"/>
        <v>25.480469449143484</v>
      </c>
      <c r="EG694" s="165">
        <f t="shared" si="4258"/>
        <v>53.923301228240696</v>
      </c>
      <c r="EH694" s="130">
        <f t="shared" si="4180"/>
        <v>15.889464381568065</v>
      </c>
      <c r="EI694" s="165">
        <f t="shared" ref="EI694:EK694" si="4259">(EI659-EI630)/EI610</f>
        <v>56.474564212024191</v>
      </c>
      <c r="EJ694" s="130">
        <f t="shared" si="4182"/>
        <v>8.9820011842856928</v>
      </c>
      <c r="EK694" s="165">
        <f t="shared" si="4259"/>
        <v>61.754117541175411</v>
      </c>
      <c r="EL694" s="130">
        <f t="shared" si="4183"/>
        <v>5.3308854697691865</v>
      </c>
      <c r="EM694" s="165">
        <f t="shared" ref="EM694" si="4260">(EM659-EM630)/EM610</f>
        <v>63.956454404664299</v>
      </c>
      <c r="EN694" s="130">
        <f t="shared" si="4185"/>
        <v>4.0145895477992299</v>
      </c>
      <c r="EO694" s="165">
        <f t="shared" ref="EO694" si="4261">(EO659-EO630)/EO610</f>
        <v>73.163349536824725</v>
      </c>
      <c r="EP694" s="130">
        <f t="shared" si="4187"/>
        <v>35.680397658049245</v>
      </c>
      <c r="EQ694" s="165">
        <f t="shared" ref="EQ694:EW694" si="4262">(EQ659-EQ630)/EQ610</f>
        <v>74.498731503904594</v>
      </c>
      <c r="ER694" s="130">
        <f t="shared" si="4189"/>
        <v>31.915549138567446</v>
      </c>
      <c r="ES694" s="165">
        <f t="shared" si="4262"/>
        <v>75.960914384333222</v>
      </c>
      <c r="ET694" s="130">
        <f t="shared" si="4190"/>
        <v>23.005424429691246</v>
      </c>
      <c r="EU694" s="165">
        <f t="shared" si="4262"/>
        <v>77.374919936378816</v>
      </c>
      <c r="EV694" s="130">
        <f t="shared" si="4191"/>
        <v>20.98062761080126</v>
      </c>
      <c r="EW694" s="165">
        <f t="shared" si="4262"/>
        <v>78.860755064080891</v>
      </c>
      <c r="EX694" s="130">
        <f t="shared" si="4192"/>
        <v>7.7872398725929548</v>
      </c>
      <c r="EY694" s="64"/>
      <c r="EZ694" s="558"/>
      <c r="FA694" s="64"/>
      <c r="FB694" s="64"/>
      <c r="FC694" s="64"/>
      <c r="FD694" s="64"/>
      <c r="FE694" s="107"/>
      <c r="FF694" s="64"/>
      <c r="FG694" s="107"/>
      <c r="FH694" s="64"/>
      <c r="FI694" s="107"/>
      <c r="FJ694" s="64"/>
      <c r="FK694" s="70"/>
      <c r="FL694" s="64"/>
      <c r="FM694" s="107"/>
      <c r="FN694" s="64"/>
      <c r="FO694" s="107"/>
      <c r="FP694" s="65"/>
      <c r="FQ694" s="61"/>
      <c r="FR694" s="65"/>
      <c r="FS694" s="61" t="str">
        <f t="shared" si="4196"/>
        <v>NA</v>
      </c>
      <c r="FT694" s="165">
        <f>(FT660-FT630)/FT610</f>
        <v>28.32337367624811</v>
      </c>
      <c r="FU694" s="61" t="str">
        <f t="shared" si="4197"/>
        <v>NA</v>
      </c>
      <c r="FV694" s="165">
        <f>(FV659-FV630)/FV610</f>
        <v>15.746583365872706</v>
      </c>
      <c r="FW694" s="61">
        <f t="shared" si="4198"/>
        <v>-44.404280556882455</v>
      </c>
      <c r="FX694" s="165">
        <f>(FX659-FX630)/FX610</f>
        <v>25.583002645502646</v>
      </c>
      <c r="FY694" s="61">
        <f t="shared" si="4199"/>
        <v>62.467006658398283</v>
      </c>
      <c r="FZ694" s="165">
        <f>(FZ659-FZ630)/FZ610</f>
        <v>30.978157644824318</v>
      </c>
      <c r="GA694" s="61">
        <f t="shared" si="4200"/>
        <v>21.088826335520515</v>
      </c>
      <c r="GB694" s="165">
        <f>(GB659-GB630)/GB610</f>
        <v>37.142367066895368</v>
      </c>
      <c r="GC694" s="61">
        <f t="shared" si="4201"/>
        <v>19.898566895894575</v>
      </c>
      <c r="GD694" s="165">
        <f>(GD659-GD630)/GD610</f>
        <v>46.767304860088359</v>
      </c>
      <c r="GE694" s="61">
        <f t="shared" si="4202"/>
        <v>25.913635972252315</v>
      </c>
      <c r="GF694" s="165">
        <f>(GF659-GF630)/GF610</f>
        <v>42.525675161658427</v>
      </c>
      <c r="GG694" s="61">
        <f t="shared" si="4202"/>
        <v>-9.0696475050666798</v>
      </c>
      <c r="GH694" s="165">
        <f>(GH659-GH630)/GH610</f>
        <v>52.482462977396722</v>
      </c>
      <c r="GI694" s="61">
        <f t="shared" si="4202"/>
        <v>23.41359138423611</v>
      </c>
      <c r="GJ694" s="165">
        <f>(GJ659-GJ630)/GJ610</f>
        <v>46.529942575881869</v>
      </c>
      <c r="GK694" s="61">
        <f t="shared" si="4202"/>
        <v>-11.341922737274157</v>
      </c>
      <c r="GL694" s="165">
        <f>(GL659-GL630)/GL610</f>
        <v>53.923301228240696</v>
      </c>
      <c r="GM694" s="61">
        <f t="shared" si="4202"/>
        <v>15.889464381568065</v>
      </c>
      <c r="GN694" s="165">
        <f>(GN659-GN630)/GN610</f>
        <v>73.163349536824725</v>
      </c>
      <c r="GO694" s="61">
        <f t="shared" si="4202"/>
        <v>35.680397658049245</v>
      </c>
      <c r="GP694" s="165">
        <f>(GP659-GP630)/GP610</f>
        <v>78.860755064080891</v>
      </c>
      <c r="GQ694" s="61">
        <f t="shared" si="4202"/>
        <v>7.7872398725929548</v>
      </c>
      <c r="GR694" s="165">
        <f>(GR659-GR630)/GR610</f>
        <v>85.329980513660075</v>
      </c>
      <c r="GS694" s="61">
        <f t="shared" si="4202"/>
        <v>8.2033521544682131</v>
      </c>
      <c r="GT694" s="165">
        <f>(GT659-GT630)/GT610</f>
        <v>92.993471759691943</v>
      </c>
      <c r="GU694" s="61">
        <f t="shared" si="4202"/>
        <v>8.9810066753795326</v>
      </c>
      <c r="GV694" s="165">
        <f>(GV659-GV630)/GV610</f>
        <v>101.47839048322297</v>
      </c>
      <c r="GW694" s="61">
        <f t="shared" si="4202"/>
        <v>9.1242090041086179</v>
      </c>
      <c r="GX694" s="165">
        <f>(GX659-GX630)/GX610</f>
        <v>110.81055439542607</v>
      </c>
      <c r="GY694" s="61">
        <f t="shared" si="4203"/>
        <v>9.1962080476098542</v>
      </c>
      <c r="GZ694" s="61">
        <f t="shared" si="4057"/>
        <v>8.6569498302120138</v>
      </c>
      <c r="HA694" s="61"/>
      <c r="HB694" s="452"/>
      <c r="HC694"/>
      <c r="HD694"/>
      <c r="HE694"/>
      <c r="HF694"/>
      <c r="HG694"/>
      <c r="HH694"/>
    </row>
    <row r="695" spans="1:216" s="5" customFormat="1" ht="12.75" customHeight="1" x14ac:dyDescent="0.2">
      <c r="A695" s="418"/>
      <c r="B695" s="7" t="s">
        <v>182</v>
      </c>
      <c r="C695" s="64"/>
      <c r="D695" s="107"/>
      <c r="E695" s="64"/>
      <c r="F695" s="64"/>
      <c r="G695" s="64"/>
      <c r="H695" s="64"/>
      <c r="I695" s="64"/>
      <c r="J695" s="64"/>
      <c r="K695" s="64"/>
      <c r="L695" s="107"/>
      <c r="M695" s="64"/>
      <c r="N695" s="107"/>
      <c r="O695" s="64"/>
      <c r="P695" s="107"/>
      <c r="Q695" s="64"/>
      <c r="R695" s="107"/>
      <c r="S695" s="64"/>
      <c r="T695" s="107"/>
      <c r="U695" s="64"/>
      <c r="V695" s="107"/>
      <c r="W695" s="64"/>
      <c r="X695" s="107"/>
      <c r="Y695" s="64"/>
      <c r="Z695" s="107"/>
      <c r="AA695" s="64"/>
      <c r="AB695" s="107"/>
      <c r="AC695" s="64"/>
      <c r="AD695" s="107"/>
      <c r="AE695" s="64"/>
      <c r="AF695" s="107"/>
      <c r="AG695" s="64"/>
      <c r="AH695" s="107"/>
      <c r="AI695" s="64"/>
      <c r="AJ695" s="107"/>
      <c r="AK695" s="64"/>
      <c r="AL695" s="107"/>
      <c r="AM695" s="64"/>
      <c r="AN695" s="107"/>
      <c r="AO695" s="64"/>
      <c r="AP695" s="107"/>
      <c r="AQ695" s="64"/>
      <c r="AR695" s="61"/>
      <c r="AS695" s="64"/>
      <c r="AT695" s="107"/>
      <c r="AU695" s="64"/>
      <c r="AV695" s="107"/>
      <c r="AW695" s="64"/>
      <c r="AX695" s="61"/>
      <c r="AY695" s="64"/>
      <c r="AZ695" s="61"/>
      <c r="BA695" s="64"/>
      <c r="BB695" s="61"/>
      <c r="BC695" s="64"/>
      <c r="BD695" s="61"/>
      <c r="BE695" s="64"/>
      <c r="BF695" s="61"/>
      <c r="BG695" s="165">
        <f>BG655/BG609</f>
        <v>43.91313868613139</v>
      </c>
      <c r="BH695" s="61"/>
      <c r="BI695" s="165">
        <f>BI655/BI609</f>
        <v>43.117304189435337</v>
      </c>
      <c r="BJ695" s="61"/>
      <c r="BK695" s="165">
        <f>BK655/BK609</f>
        <v>44.029812292970185</v>
      </c>
      <c r="BL695" s="61"/>
      <c r="BM695" s="165">
        <f>BM655/BM609</f>
        <v>44.021036814425244</v>
      </c>
      <c r="BN695" s="61"/>
      <c r="BO695" s="165">
        <f>BO655/BO609</f>
        <v>42.559327213826492</v>
      </c>
      <c r="BP695" s="61"/>
      <c r="BQ695" s="165">
        <f>BQ655/BQ609</f>
        <v>40.720325833979828</v>
      </c>
      <c r="BR695" s="61"/>
      <c r="BS695" s="165">
        <f>BS655/BS609</f>
        <v>36.979758660957579</v>
      </c>
      <c r="BT695" s="61"/>
      <c r="BU695" s="165">
        <f>BU655/BU609</f>
        <v>30.953822273961972</v>
      </c>
      <c r="BV695" s="61"/>
      <c r="BW695" s="165">
        <f>BW655/BW609</f>
        <v>28.373111197210381</v>
      </c>
      <c r="BX695" s="61">
        <f t="shared" si="3870"/>
        <v>-33.332801398249913</v>
      </c>
      <c r="BY695" s="165">
        <f>BY655/BY609</f>
        <v>29.830703484549641</v>
      </c>
      <c r="BZ695" s="61">
        <f t="shared" si="3871"/>
        <v>-26.742473510227029</v>
      </c>
      <c r="CA695" s="165">
        <f>CA659/CA609</f>
        <v>34.335150737652341</v>
      </c>
      <c r="CB695" s="61">
        <f t="shared" si="3872"/>
        <v>-7.151501305219055</v>
      </c>
      <c r="CC695" s="165">
        <f>CC659/CC609</f>
        <v>34.476587556125715</v>
      </c>
      <c r="CD695" s="61">
        <f t="shared" si="3873"/>
        <v>11.380711729184601</v>
      </c>
      <c r="CE695" s="165">
        <f>CE659/CE609</f>
        <v>36.479552715654954</v>
      </c>
      <c r="CF695" s="61">
        <f t="shared" si="4156"/>
        <v>28.570858733467297</v>
      </c>
      <c r="CG695" s="165">
        <f>CG659/CG609</f>
        <v>38.775391224301934</v>
      </c>
      <c r="CH695" s="61">
        <f t="shared" si="4157"/>
        <v>29.984836745083989</v>
      </c>
      <c r="CI695" s="165">
        <f>CI659/CI609</f>
        <v>41.80419364785692</v>
      </c>
      <c r="CJ695" s="61">
        <f t="shared" si="4158"/>
        <v>21.753342419475487</v>
      </c>
      <c r="CK695" s="165">
        <f>CK659/CK609</f>
        <v>39.522839506172843</v>
      </c>
      <c r="CL695" s="61">
        <f t="shared" si="4159"/>
        <v>14.636750060695958</v>
      </c>
      <c r="CM695" s="165">
        <f>CM659/CM609</f>
        <v>37.531279178338004</v>
      </c>
      <c r="CN695" s="61">
        <f t="shared" si="4160"/>
        <v>2.8830574510627427</v>
      </c>
      <c r="CO695" s="165">
        <f>CO659/CO609</f>
        <v>39.636994949494948</v>
      </c>
      <c r="CP695" s="61">
        <f t="shared" si="4161"/>
        <v>2.222037477865646</v>
      </c>
      <c r="CQ695" s="165">
        <f>CQ659/CQ609</f>
        <v>45.571847507331384</v>
      </c>
      <c r="CR695" s="61">
        <f t="shared" si="4162"/>
        <v>9.0126217747716666</v>
      </c>
      <c r="CS695" s="165">
        <f>CS659/CS609</f>
        <v>44.107744107744111</v>
      </c>
      <c r="CT695" s="61">
        <f t="shared" si="4163"/>
        <v>11.600645750301354</v>
      </c>
      <c r="CU695" s="165">
        <f>CU659/CU609</f>
        <v>44.778156996587029</v>
      </c>
      <c r="CV695" s="61">
        <f>IF(ISERROR((CU695/CM695-1)*100),"NA",IF(((CU695/CM695-1)*100)&gt;100,"NM",IF(((CU695/CM695-1)*100)&lt;-50,"NM",(CU695/CM695-1)*100)))</f>
        <v>19.308901739836571</v>
      </c>
      <c r="CW695" s="165">
        <f>CW659/CW609</f>
        <v>48.950488145048816</v>
      </c>
      <c r="CX695" s="61">
        <f t="shared" si="4165"/>
        <v>23.496970967201293</v>
      </c>
      <c r="CY695" s="165">
        <f>CY659/CY609</f>
        <v>53.541076487252127</v>
      </c>
      <c r="CZ695" s="61">
        <f t="shared" si="4166"/>
        <v>17.487175560829947</v>
      </c>
      <c r="DA695" s="165">
        <f>DA659/DA609</f>
        <v>53.654604084557505</v>
      </c>
      <c r="DB695" s="61">
        <f t="shared" si="4167"/>
        <v>21.64440773369143</v>
      </c>
      <c r="DC695" s="165">
        <f>DC659/DC609</f>
        <v>53.614718614718619</v>
      </c>
      <c r="DD695" s="61">
        <f t="shared" si="4168"/>
        <v>19.734089589272543</v>
      </c>
      <c r="DE695" s="165">
        <f>DE659/DE609</f>
        <v>48.619934282584886</v>
      </c>
      <c r="DF695" s="61">
        <f t="shared" si="4169"/>
        <v>-0.67528205537897845</v>
      </c>
      <c r="DG695" s="165">
        <f>DG659/DG609</f>
        <v>49.133944954128438</v>
      </c>
      <c r="DH695" s="61">
        <f t="shared" si="4170"/>
        <v>-8.231309159749534</v>
      </c>
      <c r="DI695" s="165">
        <f>DI659/DI609</f>
        <v>49.423218221895667</v>
      </c>
      <c r="DJ695" s="61">
        <f t="shared" si="4171"/>
        <v>-7.8863425326805903</v>
      </c>
      <c r="DK695" s="165">
        <f>DK659/DK609</f>
        <v>53.576183431952664</v>
      </c>
      <c r="DL695" s="61">
        <f t="shared" si="4172"/>
        <v>-7.1874260952242697E-2</v>
      </c>
      <c r="DM695" s="165">
        <f>DM659/DM609</f>
        <v>57.739162929745888</v>
      </c>
      <c r="DN695" s="130">
        <f t="shared" si="4173"/>
        <v>18.756151734305003</v>
      </c>
      <c r="DO695" s="165">
        <f>DO659/DO609</f>
        <v>58.199623352165723</v>
      </c>
      <c r="DP695" s="130">
        <f t="shared" si="4173"/>
        <v>18.45094752009231</v>
      </c>
      <c r="DQ695" s="165">
        <f>DQ659/DQ609</f>
        <v>60.191204588910132</v>
      </c>
      <c r="DR695" s="130">
        <f t="shared" si="4173"/>
        <v>21.787303122733491</v>
      </c>
      <c r="DS695" s="165">
        <f>DS659/DS609</f>
        <v>63.075427682737171</v>
      </c>
      <c r="DT695" s="130">
        <f t="shared" si="4173"/>
        <v>17.730348901857738</v>
      </c>
      <c r="DU695" s="165">
        <f>DU659/DU609</f>
        <v>57.847304210940578</v>
      </c>
      <c r="DV695" s="130">
        <f t="shared" si="4173"/>
        <v>0.18729277618081408</v>
      </c>
      <c r="DW695" s="165">
        <f>DW659/DW609</f>
        <v>57.328821656050955</v>
      </c>
      <c r="DX695" s="165">
        <f t="shared" ref="DX695:DY695" si="4263">DX659/DX609</f>
        <v>57.328821656050955</v>
      </c>
      <c r="DY695" s="165">
        <f t="shared" si="4263"/>
        <v>55.196595054722337</v>
      </c>
      <c r="DZ695" s="130">
        <f t="shared" si="4173"/>
        <v>-8.2979059287808692</v>
      </c>
      <c r="EA695" s="165">
        <f t="shared" ref="EA695:EC695" si="4264">EA659/EA609</f>
        <v>60.520231213872833</v>
      </c>
      <c r="EB695" s="130">
        <f t="shared" si="4176"/>
        <v>-4.0510172704919416</v>
      </c>
      <c r="EC695" s="165">
        <f t="shared" si="4264"/>
        <v>67.371984765129071</v>
      </c>
      <c r="ED695" s="130">
        <f t="shared" si="4177"/>
        <v>16.465210754604364</v>
      </c>
      <c r="EE695" s="165">
        <f t="shared" ref="EE695:EG695" si="4265">EE659/EE609</f>
        <v>70.570687418936444</v>
      </c>
      <c r="EF695" s="130">
        <f t="shared" si="4179"/>
        <v>23.098095129760665</v>
      </c>
      <c r="EG695" s="165">
        <f t="shared" si="4265"/>
        <v>62.920469361147326</v>
      </c>
      <c r="EH695" s="130">
        <f t="shared" si="4180"/>
        <v>13.993389082727802</v>
      </c>
      <c r="EI695" s="165">
        <f t="shared" ref="EI695:EK695" si="4266">EI659/EI609</f>
        <v>65.412844036697251</v>
      </c>
      <c r="EJ695" s="130">
        <f t="shared" si="4182"/>
        <v>8.0842599651253622</v>
      </c>
      <c r="EK695" s="165">
        <f t="shared" si="4266"/>
        <v>70.778761061946909</v>
      </c>
      <c r="EL695" s="130">
        <f t="shared" si="4183"/>
        <v>5.0566660737314972</v>
      </c>
      <c r="EM695" s="165">
        <f t="shared" ref="EM695" si="4267">EM659/EM609</f>
        <v>73.255500673551865</v>
      </c>
      <c r="EN695" s="130">
        <f t="shared" si="4185"/>
        <v>3.8044312062276875</v>
      </c>
      <c r="EO695" s="165">
        <f t="shared" ref="EO695" si="4268">EO659/EO609</f>
        <v>78.273836421147763</v>
      </c>
      <c r="EP695" s="130">
        <f t="shared" si="4187"/>
        <v>24.401227797389847</v>
      </c>
      <c r="EQ695" s="165">
        <f t="shared" ref="EQ695:EW695" si="4269">EQ659/EQ609</f>
        <v>79.589667382473721</v>
      </c>
      <c r="ER695" s="130">
        <f t="shared" si="4189"/>
        <v>21.672843544034158</v>
      </c>
      <c r="ES695" s="165">
        <f t="shared" si="4269"/>
        <v>81.030442795516052</v>
      </c>
      <c r="ET695" s="130">
        <f t="shared" si="4190"/>
        <v>14.484121479036173</v>
      </c>
      <c r="EU695" s="165">
        <f t="shared" si="4269"/>
        <v>82.446327312696297</v>
      </c>
      <c r="EV695" s="130">
        <f t="shared" si="4191"/>
        <v>12.546261447452899</v>
      </c>
      <c r="EW695" s="165">
        <f t="shared" si="4269"/>
        <v>83.932549452771994</v>
      </c>
      <c r="EX695" s="130">
        <f t="shared" si="4192"/>
        <v>7.2293799439928641</v>
      </c>
      <c r="EY695" s="64"/>
      <c r="EZ695" s="558"/>
      <c r="FA695" s="64"/>
      <c r="FB695" s="64"/>
      <c r="FC695" s="64"/>
      <c r="FD695" s="64"/>
      <c r="FE695" s="107"/>
      <c r="FF695" s="64"/>
      <c r="FG695" s="107"/>
      <c r="FH695" s="64"/>
      <c r="FI695" s="107"/>
      <c r="FJ695" s="64"/>
      <c r="FK695" s="70"/>
      <c r="FL695" s="64"/>
      <c r="FM695" s="107"/>
      <c r="FN695" s="64"/>
      <c r="FO695" s="107"/>
      <c r="FP695" s="65"/>
      <c r="FQ695" s="61"/>
      <c r="FR695" s="65"/>
      <c r="FS695" s="61" t="str">
        <f t="shared" si="4196"/>
        <v>NA</v>
      </c>
      <c r="FT695" s="165">
        <f>FT659/FT609</f>
        <v>44.021036814425244</v>
      </c>
      <c r="FU695" s="61" t="str">
        <f t="shared" si="4197"/>
        <v>NA</v>
      </c>
      <c r="FV695" s="165">
        <f>FV659/FV609</f>
        <v>30.953822273961972</v>
      </c>
      <c r="FW695" s="61">
        <f t="shared" si="4198"/>
        <v>-29.684022653871889</v>
      </c>
      <c r="FX695" s="165">
        <f>FX659/FX609</f>
        <v>34.476587556125715</v>
      </c>
      <c r="FY695" s="61">
        <f t="shared" si="4199"/>
        <v>11.380711729184601</v>
      </c>
      <c r="FZ695" s="165">
        <f>FZ659/FZ609</f>
        <v>39.522839506172843</v>
      </c>
      <c r="GA695" s="61">
        <f t="shared" si="4200"/>
        <v>14.636750060695958</v>
      </c>
      <c r="GB695" s="165">
        <f>GB659/GB609</f>
        <v>44.107744107744111</v>
      </c>
      <c r="GC695" s="61">
        <f t="shared" si="4201"/>
        <v>11.600645750301354</v>
      </c>
      <c r="GD695" s="165">
        <f>GD659/GD609</f>
        <v>53.654604084557505</v>
      </c>
      <c r="GE695" s="61">
        <f t="shared" si="4202"/>
        <v>21.64440773369143</v>
      </c>
      <c r="GF695" s="165">
        <f>GF659/GF609</f>
        <v>49.423218221895667</v>
      </c>
      <c r="GG695" s="61">
        <f t="shared" si="4202"/>
        <v>-7.8863425326805903</v>
      </c>
      <c r="GH695" s="165">
        <f>GH659/GH609</f>
        <v>60.191204588910132</v>
      </c>
      <c r="GI695" s="61">
        <f t="shared" si="4202"/>
        <v>21.787303122733491</v>
      </c>
      <c r="GJ695" s="165">
        <f>GJ659/GJ609</f>
        <v>55.196595054722337</v>
      </c>
      <c r="GK695" s="61">
        <f t="shared" si="4202"/>
        <v>-8.2979059287808692</v>
      </c>
      <c r="GL695" s="165">
        <f>GL659/GL609</f>
        <v>62.920469361147326</v>
      </c>
      <c r="GM695" s="61">
        <f t="shared" si="4202"/>
        <v>13.993389082727802</v>
      </c>
      <c r="GN695" s="165">
        <f>GN659/GN609</f>
        <v>78.273836421147763</v>
      </c>
      <c r="GO695" s="61">
        <f t="shared" si="4202"/>
        <v>24.401227797389847</v>
      </c>
      <c r="GP695" s="165">
        <f>GP659/GP609</f>
        <v>83.932549452771994</v>
      </c>
      <c r="GQ695" s="61">
        <f t="shared" si="4202"/>
        <v>7.2293799439928641</v>
      </c>
      <c r="GR695" s="165">
        <f>GR659/GR609</f>
        <v>90.148750552443389</v>
      </c>
      <c r="GS695" s="61">
        <f t="shared" si="4202"/>
        <v>7.4061864439959546</v>
      </c>
      <c r="GT695" s="165">
        <f>GT659/GT609</f>
        <v>97.559170212693445</v>
      </c>
      <c r="GU695" s="61">
        <f t="shared" si="4202"/>
        <v>8.2202133860292292</v>
      </c>
      <c r="GV695" s="165">
        <f>GV659/GV609</f>
        <v>105.79102288907383</v>
      </c>
      <c r="GW695" s="61">
        <f t="shared" si="4202"/>
        <v>8.4378051375731502</v>
      </c>
      <c r="GX695" s="165">
        <f>GX659/GX609</f>
        <v>114.84949224162136</v>
      </c>
      <c r="GY695" s="61">
        <f t="shared" si="4203"/>
        <v>8.5626068310594725</v>
      </c>
      <c r="GZ695" s="61">
        <f t="shared" si="4057"/>
        <v>7.9698484616139043</v>
      </c>
      <c r="HA695" s="61"/>
      <c r="HB695" s="452"/>
      <c r="HC695"/>
      <c r="HD695"/>
      <c r="HE695"/>
      <c r="HF695"/>
      <c r="HG695"/>
      <c r="HH695"/>
    </row>
    <row r="696" spans="1:216" s="5" customFormat="1" ht="12.75" customHeight="1" x14ac:dyDescent="0.2">
      <c r="A696" s="418"/>
      <c r="B696" s="7"/>
      <c r="C696" s="64"/>
      <c r="D696" s="107"/>
      <c r="E696" s="64"/>
      <c r="F696" s="64"/>
      <c r="G696" s="64"/>
      <c r="H696" s="64"/>
      <c r="I696" s="64"/>
      <c r="J696" s="64"/>
      <c r="K696" s="64"/>
      <c r="L696" s="107"/>
      <c r="M696" s="64"/>
      <c r="N696" s="107"/>
      <c r="O696" s="64"/>
      <c r="P696" s="107"/>
      <c r="Q696" s="64"/>
      <c r="R696" s="107"/>
      <c r="S696" s="64"/>
      <c r="T696" s="107"/>
      <c r="U696" s="64"/>
      <c r="V696" s="107"/>
      <c r="W696" s="64"/>
      <c r="X696" s="107"/>
      <c r="Y696" s="64"/>
      <c r="Z696" s="107"/>
      <c r="AA696" s="64"/>
      <c r="AB696" s="107"/>
      <c r="AC696" s="64"/>
      <c r="AD696" s="107"/>
      <c r="AE696" s="64"/>
      <c r="AF696" s="107"/>
      <c r="AG696" s="64"/>
      <c r="AH696" s="107"/>
      <c r="AI696" s="64"/>
      <c r="AJ696" s="107"/>
      <c r="AK696" s="64"/>
      <c r="AL696" s="107"/>
      <c r="AM696" s="64"/>
      <c r="AN696" s="107"/>
      <c r="AO696" s="64"/>
      <c r="AP696" s="107"/>
      <c r="AQ696" s="64"/>
      <c r="AR696" s="61"/>
      <c r="AS696" s="64"/>
      <c r="AT696" s="107"/>
      <c r="AU696" s="64"/>
      <c r="AV696" s="107"/>
      <c r="AW696" s="64"/>
      <c r="AX696" s="61"/>
      <c r="AY696" s="64"/>
      <c r="AZ696" s="61"/>
      <c r="BA696" s="64"/>
      <c r="BB696" s="61"/>
      <c r="BC696" s="64"/>
      <c r="BD696" s="61"/>
      <c r="BE696" s="64"/>
      <c r="BF696" s="61"/>
      <c r="BG696" s="165"/>
      <c r="BH696" s="61"/>
      <c r="BI696" s="165"/>
      <c r="BJ696" s="61"/>
      <c r="BK696" s="165"/>
      <c r="BL696" s="61"/>
      <c r="BM696" s="165"/>
      <c r="BN696" s="61"/>
      <c r="BO696" s="165"/>
      <c r="BP696" s="61"/>
      <c r="BQ696" s="165"/>
      <c r="BR696" s="61"/>
      <c r="BS696" s="165"/>
      <c r="BT696" s="61"/>
      <c r="BU696" s="165"/>
      <c r="BV696" s="61"/>
      <c r="BW696" s="165"/>
      <c r="BX696" s="61"/>
      <c r="BY696" s="165"/>
      <c r="BZ696" s="61"/>
      <c r="CA696" s="165"/>
      <c r="CB696" s="61"/>
      <c r="CC696" s="165"/>
      <c r="CD696" s="61"/>
      <c r="CE696" s="165"/>
      <c r="CF696" s="61"/>
      <c r="CG696" s="165"/>
      <c r="CH696" s="61"/>
      <c r="CI696" s="165"/>
      <c r="CJ696" s="61"/>
      <c r="CK696" s="165"/>
      <c r="CL696" s="61"/>
      <c r="CM696" s="165"/>
      <c r="CN696" s="61"/>
      <c r="CO696" s="165"/>
      <c r="CP696" s="61"/>
      <c r="CQ696" s="165"/>
      <c r="CR696" s="61"/>
      <c r="CS696" s="165"/>
      <c r="CT696" s="61"/>
      <c r="CU696" s="165"/>
      <c r="CV696" s="61"/>
      <c r="CW696" s="165"/>
      <c r="CX696" s="61"/>
      <c r="CY696" s="165"/>
      <c r="CZ696" s="61"/>
      <c r="DA696" s="165"/>
      <c r="DB696" s="61"/>
      <c r="DC696" s="165"/>
      <c r="DD696" s="61"/>
      <c r="DE696" s="165"/>
      <c r="DF696" s="61"/>
      <c r="DG696" s="165"/>
      <c r="DH696" s="61"/>
      <c r="DI696" s="165"/>
      <c r="DJ696" s="61"/>
      <c r="DK696" s="165"/>
      <c r="DL696" s="61"/>
      <c r="DM696" s="165"/>
      <c r="DN696" s="61"/>
      <c r="DO696" s="165"/>
      <c r="DP696" s="61"/>
      <c r="DQ696" s="165"/>
      <c r="DR696" s="61"/>
      <c r="DS696" s="165"/>
      <c r="DT696" s="61"/>
      <c r="DU696" s="165"/>
      <c r="DV696" s="61"/>
      <c r="DW696" s="165"/>
      <c r="DX696" s="165"/>
      <c r="DY696" s="165"/>
      <c r="DZ696" s="61"/>
      <c r="EA696" s="165"/>
      <c r="EB696" s="61"/>
      <c r="EC696" s="165"/>
      <c r="ED696" s="61"/>
      <c r="EE696" s="165"/>
      <c r="EF696" s="61"/>
      <c r="EG696" s="165"/>
      <c r="EH696" s="61"/>
      <c r="EI696" s="165"/>
      <c r="EJ696" s="61"/>
      <c r="EK696" s="165"/>
      <c r="EL696" s="61"/>
      <c r="EM696" s="165"/>
      <c r="EN696" s="61"/>
      <c r="EO696" s="165"/>
      <c r="EP696" s="61"/>
      <c r="EQ696" s="165"/>
      <c r="ER696" s="61"/>
      <c r="ES696" s="165"/>
      <c r="ET696" s="61"/>
      <c r="EU696" s="165"/>
      <c r="EV696" s="61"/>
      <c r="EW696" s="165"/>
      <c r="EX696" s="61"/>
      <c r="EY696" s="64"/>
      <c r="EZ696" s="558"/>
      <c r="FA696" s="64"/>
      <c r="FB696" s="64"/>
      <c r="FC696" s="64"/>
      <c r="FD696" s="64"/>
      <c r="FE696" s="107"/>
      <c r="FF696" s="64"/>
      <c r="FG696" s="107"/>
      <c r="FH696" s="64"/>
      <c r="FI696" s="107"/>
      <c r="FJ696" s="64"/>
      <c r="FK696" s="70"/>
      <c r="FL696" s="64"/>
      <c r="FM696" s="107"/>
      <c r="FN696" s="64"/>
      <c r="FO696" s="107"/>
      <c r="FP696" s="65"/>
      <c r="FQ696" s="61"/>
      <c r="FR696" s="65"/>
      <c r="FS696" s="61"/>
      <c r="FT696" s="165"/>
      <c r="FU696" s="61"/>
      <c r="FV696" s="165"/>
      <c r="FW696" s="61"/>
      <c r="FX696" s="165"/>
      <c r="FY696" s="61"/>
      <c r="FZ696" s="165"/>
      <c r="GA696" s="61"/>
      <c r="GB696" s="165"/>
      <c r="GC696" s="61"/>
      <c r="GD696" s="165"/>
      <c r="GE696" s="61"/>
      <c r="GF696" s="165"/>
      <c r="GG696" s="61"/>
      <c r="GH696" s="165"/>
      <c r="GI696" s="61"/>
      <c r="GJ696" s="165"/>
      <c r="GK696" s="61"/>
      <c r="GL696" s="165"/>
      <c r="GM696" s="61"/>
      <c r="GN696" s="165"/>
      <c r="GO696" s="61"/>
      <c r="GP696" s="165"/>
      <c r="GQ696" s="61"/>
      <c r="GR696" s="165"/>
      <c r="GS696" s="61"/>
      <c r="GT696" s="165"/>
      <c r="GU696" s="61"/>
      <c r="GV696" s="165"/>
      <c r="GW696" s="61"/>
      <c r="GX696" s="165"/>
      <c r="GY696" s="61"/>
      <c r="GZ696" s="61"/>
      <c r="HA696" s="61"/>
      <c r="HB696" s="452"/>
      <c r="HC696"/>
      <c r="HD696"/>
      <c r="HE696"/>
      <c r="HF696"/>
      <c r="HG696"/>
      <c r="HH696"/>
    </row>
    <row r="697" spans="1:216" s="623" customFormat="1" ht="12.75" customHeight="1" x14ac:dyDescent="0.2">
      <c r="B697" s="624" t="s">
        <v>58</v>
      </c>
      <c r="C697" s="625"/>
      <c r="D697" s="626"/>
      <c r="E697" s="625"/>
      <c r="F697" s="625"/>
      <c r="G697" s="625"/>
      <c r="H697" s="625"/>
      <c r="I697" s="625"/>
      <c r="J697" s="625"/>
      <c r="K697" s="625"/>
      <c r="L697" s="627"/>
      <c r="M697" s="625"/>
      <c r="N697" s="627"/>
      <c r="O697" s="625"/>
      <c r="P697" s="627"/>
      <c r="Q697" s="625"/>
      <c r="R697" s="627"/>
      <c r="S697" s="625"/>
      <c r="T697" s="627"/>
      <c r="U697" s="625"/>
      <c r="V697" s="627"/>
      <c r="W697" s="625"/>
      <c r="X697" s="627"/>
      <c r="Y697" s="625"/>
      <c r="Z697" s="627"/>
      <c r="AA697" s="625"/>
      <c r="AB697" s="627"/>
      <c r="AC697" s="625"/>
      <c r="AD697" s="627"/>
      <c r="AE697" s="625"/>
      <c r="AF697" s="627"/>
      <c r="AG697" s="625"/>
      <c r="AH697" s="627"/>
      <c r="AI697" s="625"/>
      <c r="AJ697" s="627"/>
      <c r="AK697" s="625"/>
      <c r="AL697" s="627"/>
      <c r="AM697" s="625"/>
      <c r="AN697" s="627"/>
      <c r="AO697" s="625"/>
      <c r="AP697" s="627"/>
      <c r="AQ697" s="625"/>
      <c r="AR697" s="627"/>
      <c r="AS697" s="625"/>
      <c r="AT697" s="627"/>
      <c r="AU697" s="625"/>
      <c r="AV697" s="627"/>
      <c r="AW697" s="625"/>
      <c r="AX697" s="627"/>
      <c r="AY697" s="625"/>
      <c r="AZ697" s="627"/>
      <c r="BA697" s="625"/>
      <c r="BB697" s="627"/>
      <c r="BC697" s="625"/>
      <c r="BD697" s="627"/>
      <c r="BE697" s="625"/>
      <c r="BF697" s="627"/>
      <c r="BG697" s="625"/>
      <c r="BH697" s="627"/>
      <c r="BI697" s="625"/>
      <c r="BJ697" s="627"/>
      <c r="BK697" s="625"/>
      <c r="BL697" s="627"/>
      <c r="BM697" s="625"/>
      <c r="BN697" s="627"/>
      <c r="BO697" s="625"/>
      <c r="BP697" s="627"/>
      <c r="BQ697" s="625"/>
      <c r="BR697" s="627"/>
      <c r="BS697" s="625"/>
      <c r="BT697" s="627"/>
      <c r="BU697" s="625"/>
      <c r="BV697" s="627"/>
      <c r="BW697" s="625"/>
      <c r="BX697" s="627"/>
      <c r="BY697" s="625"/>
      <c r="BZ697" s="627"/>
      <c r="CA697" s="625"/>
      <c r="CB697" s="627"/>
      <c r="CC697" s="625"/>
      <c r="CD697" s="627"/>
      <c r="CE697" s="625"/>
      <c r="CF697" s="627"/>
      <c r="CG697" s="625"/>
      <c r="CH697" s="627"/>
      <c r="CI697" s="625"/>
      <c r="CJ697" s="627"/>
      <c r="CK697" s="625"/>
      <c r="CL697" s="627"/>
      <c r="CM697" s="625"/>
      <c r="CN697" s="627"/>
      <c r="CO697" s="625"/>
      <c r="CP697" s="627"/>
      <c r="CQ697" s="625"/>
      <c r="CR697" s="627"/>
      <c r="CS697" s="625"/>
      <c r="CT697" s="627"/>
      <c r="CU697" s="625"/>
      <c r="CV697" s="627"/>
      <c r="CW697" s="625"/>
      <c r="CX697" s="627"/>
      <c r="CY697" s="625"/>
      <c r="CZ697" s="627"/>
      <c r="DA697" s="625"/>
      <c r="DB697" s="627"/>
      <c r="DC697" s="625"/>
      <c r="DD697" s="627"/>
      <c r="DE697" s="625"/>
      <c r="DF697" s="627"/>
      <c r="DG697" s="625"/>
      <c r="DH697" s="627"/>
      <c r="DI697" s="625"/>
      <c r="DJ697" s="627"/>
      <c r="DK697" s="625"/>
      <c r="DL697" s="627"/>
      <c r="DM697" s="625"/>
      <c r="DN697" s="627"/>
      <c r="DO697" s="625"/>
      <c r="DP697" s="627"/>
      <c r="DQ697" s="625"/>
      <c r="DR697" s="627"/>
      <c r="DS697" s="625"/>
      <c r="DT697" s="627"/>
      <c r="DU697" s="625"/>
      <c r="DV697" s="627"/>
      <c r="DW697" s="625"/>
      <c r="DX697" s="625"/>
      <c r="DY697" s="625"/>
      <c r="DZ697" s="627"/>
      <c r="EA697" s="625"/>
      <c r="EB697" s="627"/>
      <c r="EC697" s="625"/>
      <c r="ED697" s="627"/>
      <c r="EE697" s="625"/>
      <c r="EF697" s="627"/>
      <c r="EG697" s="625"/>
      <c r="EH697" s="627"/>
      <c r="EI697" s="625"/>
      <c r="EJ697" s="627"/>
      <c r="EK697" s="625"/>
      <c r="EL697" s="627"/>
      <c r="EM697" s="625"/>
      <c r="EN697" s="627"/>
      <c r="EO697" s="625"/>
      <c r="EP697" s="627"/>
      <c r="EQ697" s="625"/>
      <c r="ER697" s="627"/>
      <c r="ES697" s="625"/>
      <c r="ET697" s="627"/>
      <c r="EU697" s="625"/>
      <c r="EV697" s="627"/>
      <c r="EW697" s="625"/>
      <c r="EX697" s="627"/>
      <c r="EY697" s="628"/>
      <c r="EZ697" s="558"/>
      <c r="FA697" s="628"/>
      <c r="FB697" s="625"/>
      <c r="FC697" s="625"/>
      <c r="FD697" s="625"/>
      <c r="FE697" s="626"/>
      <c r="FF697" s="625"/>
      <c r="FG697" s="626"/>
      <c r="FH697" s="625"/>
      <c r="FI697" s="626"/>
      <c r="FJ697" s="625"/>
      <c r="FK697" s="626"/>
      <c r="FL697" s="625"/>
      <c r="FM697" s="627"/>
      <c r="FN697" s="625"/>
      <c r="FO697" s="627"/>
      <c r="FP697" s="625"/>
      <c r="FQ697" s="627"/>
      <c r="FR697" s="625"/>
      <c r="FS697" s="627"/>
      <c r="FT697" s="625"/>
      <c r="FU697" s="627"/>
      <c r="FV697" s="625"/>
      <c r="FW697" s="627"/>
      <c r="FX697" s="625"/>
      <c r="FY697" s="627"/>
      <c r="FZ697" s="625"/>
      <c r="GA697" s="627"/>
      <c r="GB697" s="625"/>
      <c r="GC697" s="627"/>
      <c r="GD697" s="625"/>
      <c r="GE697" s="627"/>
      <c r="GF697" s="625"/>
      <c r="GG697" s="627"/>
      <c r="GH697" s="625"/>
      <c r="GI697" s="627"/>
      <c r="GJ697" s="625"/>
      <c r="GK697" s="627"/>
      <c r="GL697" s="625"/>
      <c r="GM697" s="627"/>
      <c r="GN697" s="625"/>
      <c r="GO697" s="627"/>
      <c r="GP697" s="625"/>
      <c r="GQ697" s="627"/>
      <c r="GR697" s="625"/>
      <c r="GS697" s="627"/>
      <c r="GT697" s="625"/>
      <c r="GU697" s="627"/>
      <c r="GV697" s="625"/>
      <c r="GW697" s="627"/>
      <c r="GX697" s="625"/>
      <c r="GY697" s="627"/>
      <c r="GZ697" s="627"/>
      <c r="HA697" s="627"/>
      <c r="HB697" s="629"/>
      <c r="HC697"/>
      <c r="HD697"/>
      <c r="HE697"/>
      <c r="HF697"/>
      <c r="HG697"/>
      <c r="HH697"/>
    </row>
    <row r="698" spans="1:216" s="5" customFormat="1" ht="12.75" customHeight="1" x14ac:dyDescent="0.2">
      <c r="A698" s="8"/>
      <c r="B698" s="7"/>
      <c r="C698" s="12"/>
      <c r="D698" s="13"/>
      <c r="E698" s="12"/>
      <c r="F698" s="13"/>
      <c r="G698" s="12"/>
      <c r="H698" s="13"/>
      <c r="I698" s="12"/>
      <c r="J698" s="13"/>
      <c r="K698" s="12"/>
      <c r="L698" s="13"/>
      <c r="M698" s="12"/>
      <c r="N698" s="13"/>
      <c r="O698" s="12"/>
      <c r="P698" s="13"/>
      <c r="Q698" s="12"/>
      <c r="R698" s="13"/>
      <c r="S698" s="12"/>
      <c r="T698" s="13"/>
      <c r="U698" s="12"/>
      <c r="V698" s="13"/>
      <c r="W698" s="12"/>
      <c r="X698" s="13"/>
      <c r="Y698" s="12"/>
      <c r="Z698" s="13"/>
      <c r="AA698" s="12"/>
      <c r="AB698" s="13"/>
      <c r="AC698" s="12"/>
      <c r="AD698" s="13"/>
      <c r="AE698" s="12"/>
      <c r="AF698" s="13"/>
      <c r="AG698" s="12"/>
      <c r="AH698" s="13"/>
      <c r="AI698" s="12"/>
      <c r="AJ698" s="13"/>
      <c r="AK698" s="12"/>
      <c r="AL698" s="13"/>
      <c r="AM698" s="12"/>
      <c r="AN698" s="13"/>
      <c r="AO698" s="12"/>
      <c r="AP698" s="13"/>
      <c r="AQ698" s="12"/>
      <c r="AR698" s="61"/>
      <c r="AS698" s="12"/>
      <c r="AT698" s="13"/>
      <c r="AU698" s="12"/>
      <c r="AV698" s="13"/>
      <c r="AW698" s="12"/>
      <c r="AX698" s="61"/>
      <c r="AY698" s="12"/>
      <c r="AZ698" s="61"/>
      <c r="BA698" s="12"/>
      <c r="BB698" s="61"/>
      <c r="BC698" s="12"/>
      <c r="BD698" s="61"/>
      <c r="BE698" s="12"/>
      <c r="BF698" s="61"/>
      <c r="BG698" s="12"/>
      <c r="BH698" s="61"/>
      <c r="BI698" s="12"/>
      <c r="BJ698" s="61"/>
      <c r="BK698" s="12"/>
      <c r="BL698" s="61"/>
      <c r="BM698" s="12"/>
      <c r="BN698" s="61"/>
      <c r="BO698" s="12"/>
      <c r="BP698" s="61"/>
      <c r="BQ698" s="12"/>
      <c r="BR698" s="61"/>
      <c r="BS698" s="12"/>
      <c r="BT698" s="61"/>
      <c r="BU698" s="12"/>
      <c r="BV698" s="61"/>
      <c r="BW698" s="12"/>
      <c r="BX698" s="61"/>
      <c r="BY698" s="12"/>
      <c r="BZ698" s="61"/>
      <c r="CA698" s="12"/>
      <c r="CB698" s="61"/>
      <c r="CC698" s="12"/>
      <c r="CD698" s="61"/>
      <c r="CE698" s="12"/>
      <c r="CF698" s="61"/>
      <c r="CG698" s="12"/>
      <c r="CH698" s="61"/>
      <c r="CI698" s="12"/>
      <c r="CJ698" s="61"/>
      <c r="CK698" s="12"/>
      <c r="CL698" s="61"/>
      <c r="CM698" s="12"/>
      <c r="CN698" s="61"/>
      <c r="CO698" s="12"/>
      <c r="CP698" s="61"/>
      <c r="CQ698" s="12"/>
      <c r="CR698" s="61"/>
      <c r="CS698" s="12"/>
      <c r="CT698" s="61"/>
      <c r="CU698" s="12"/>
      <c r="CV698" s="61"/>
      <c r="CW698" s="12"/>
      <c r="CX698" s="61"/>
      <c r="CY698" s="12"/>
      <c r="CZ698" s="61"/>
      <c r="DA698" s="12"/>
      <c r="DB698" s="61"/>
      <c r="DC698" s="12"/>
      <c r="DD698" s="61"/>
      <c r="DE698" s="12"/>
      <c r="DF698" s="61"/>
      <c r="DG698" s="12"/>
      <c r="DH698" s="61"/>
      <c r="DI698" s="12"/>
      <c r="DJ698" s="61"/>
      <c r="DK698" s="12"/>
      <c r="DL698" s="61"/>
      <c r="DM698" s="12"/>
      <c r="DN698" s="61"/>
      <c r="DO698" s="12"/>
      <c r="DP698" s="61"/>
      <c r="DQ698" s="12"/>
      <c r="DR698" s="61"/>
      <c r="DS698" s="12"/>
      <c r="DT698" s="61"/>
      <c r="DU698" s="12"/>
      <c r="DV698" s="61"/>
      <c r="DW698" s="12"/>
      <c r="DX698" s="12"/>
      <c r="DY698" s="12"/>
      <c r="DZ698" s="61"/>
      <c r="EA698" s="12"/>
      <c r="EB698" s="61"/>
      <c r="EC698" s="12"/>
      <c r="ED698" s="61"/>
      <c r="EE698" s="12"/>
      <c r="EF698" s="61"/>
      <c r="EG698" s="12"/>
      <c r="EH698" s="61"/>
      <c r="EI698" s="12"/>
      <c r="EJ698" s="61"/>
      <c r="EK698" s="12"/>
      <c r="EL698" s="61"/>
      <c r="EM698" s="12"/>
      <c r="EN698" s="61"/>
      <c r="EO698" s="12"/>
      <c r="EP698" s="61"/>
      <c r="EQ698" s="14"/>
      <c r="ER698" s="61"/>
      <c r="ES698" s="14"/>
      <c r="ET698" s="61"/>
      <c r="EU698" s="14"/>
      <c r="EV698" s="61"/>
      <c r="EW698" s="14"/>
      <c r="EX698" s="61"/>
      <c r="EY698" s="421"/>
      <c r="EZ698" s="558"/>
      <c r="FA698" s="421"/>
      <c r="FB698" s="14"/>
      <c r="FC698" s="421"/>
      <c r="FD698" s="14"/>
      <c r="FE698" s="421"/>
      <c r="FF698" s="366"/>
      <c r="FG698" s="421"/>
      <c r="FH698" s="366"/>
      <c r="FI698" s="421"/>
      <c r="FJ698" s="366"/>
      <c r="FK698" s="421"/>
      <c r="FL698" s="14"/>
      <c r="FM698" s="421"/>
      <c r="FN698" s="14"/>
      <c r="FO698" s="421"/>
      <c r="FP698" s="14"/>
      <c r="FQ698" s="223"/>
      <c r="FR698" s="14"/>
      <c r="FS698" s="223"/>
      <c r="FT698" s="14"/>
      <c r="FU698" s="223"/>
      <c r="FV698" s="14"/>
      <c r="FW698" s="223"/>
      <c r="FX698" s="14"/>
      <c r="FY698" s="223"/>
      <c r="FZ698" s="14"/>
      <c r="GA698" s="223"/>
      <c r="GB698" s="14"/>
      <c r="GC698" s="223"/>
      <c r="GD698" s="14"/>
      <c r="GE698" s="223"/>
      <c r="GF698" s="14"/>
      <c r="GG698" s="223"/>
      <c r="GH698" s="14"/>
      <c r="GI698" s="223"/>
      <c r="GJ698" s="14"/>
      <c r="GK698" s="223"/>
      <c r="GL698" s="14"/>
      <c r="GM698" s="223"/>
      <c r="GN698" s="14"/>
      <c r="GO698" s="223"/>
      <c r="GP698" s="14"/>
      <c r="GQ698" s="223"/>
      <c r="GR698" s="14"/>
      <c r="GS698" s="223"/>
      <c r="GT698" s="14"/>
      <c r="GU698" s="223"/>
      <c r="GV698" s="14"/>
      <c r="GW698" s="223"/>
      <c r="GX698" s="14"/>
      <c r="GY698" s="223"/>
      <c r="GZ698" s="61"/>
      <c r="HA698" s="61"/>
      <c r="HB698" s="452"/>
      <c r="HC698"/>
      <c r="HD698"/>
      <c r="HE698"/>
      <c r="HF698"/>
      <c r="HG698"/>
      <c r="HH698"/>
    </row>
    <row r="699" spans="1:216" s="5" customFormat="1" ht="12.75" customHeight="1" x14ac:dyDescent="0.2">
      <c r="A699" s="8"/>
      <c r="B699" s="105" t="s">
        <v>280</v>
      </c>
      <c r="C699" s="12"/>
      <c r="D699" s="13"/>
      <c r="E699" s="12"/>
      <c r="F699" s="13"/>
      <c r="G699" s="12"/>
      <c r="H699" s="13"/>
      <c r="I699" s="12"/>
      <c r="J699" s="13"/>
      <c r="K699" s="12"/>
      <c r="L699" s="13"/>
      <c r="M699" s="12"/>
      <c r="N699" s="13"/>
      <c r="O699" s="12"/>
      <c r="P699" s="13"/>
      <c r="Q699" s="12"/>
      <c r="R699" s="13"/>
      <c r="S699" s="12"/>
      <c r="T699" s="13"/>
      <c r="U699" s="12"/>
      <c r="V699" s="13"/>
      <c r="W699" s="12"/>
      <c r="X699" s="13"/>
      <c r="Y699" s="12"/>
      <c r="Z699" s="13"/>
      <c r="AA699" s="12"/>
      <c r="AB699" s="13"/>
      <c r="AC699" s="12"/>
      <c r="AD699" s="13"/>
      <c r="AE699" s="12"/>
      <c r="AF699" s="13"/>
      <c r="AG699" s="12"/>
      <c r="AH699" s="13"/>
      <c r="AI699" s="12"/>
      <c r="AJ699" s="13"/>
      <c r="AK699" s="12"/>
      <c r="AL699" s="13"/>
      <c r="AM699" s="12"/>
      <c r="AN699" s="13"/>
      <c r="AO699" s="12"/>
      <c r="AP699" s="13"/>
      <c r="AQ699" s="12"/>
      <c r="AR699" s="61"/>
      <c r="AS699" s="12"/>
      <c r="AT699" s="13"/>
      <c r="AU699" s="12"/>
      <c r="AV699" s="13"/>
      <c r="AW699" s="12"/>
      <c r="AX699" s="61"/>
      <c r="AY699" s="12"/>
      <c r="AZ699" s="61"/>
      <c r="BA699" s="12"/>
      <c r="BB699" s="61"/>
      <c r="BC699" s="12"/>
      <c r="BD699" s="61"/>
      <c r="BE699" s="12"/>
      <c r="BF699" s="61"/>
      <c r="BG699" s="12"/>
      <c r="BH699" s="61"/>
      <c r="BI699" s="12"/>
      <c r="BJ699" s="61"/>
      <c r="BK699" s="12"/>
      <c r="BL699" s="61"/>
      <c r="BM699" s="12"/>
      <c r="BN699" s="61"/>
      <c r="BO699" s="12"/>
      <c r="BP699" s="61"/>
      <c r="BQ699" s="12"/>
      <c r="BR699" s="61"/>
      <c r="BS699" s="12"/>
      <c r="BT699" s="61"/>
      <c r="BU699" s="12"/>
      <c r="BV699" s="61"/>
      <c r="BW699" s="12"/>
      <c r="BX699" s="61"/>
      <c r="BY699" s="12"/>
      <c r="BZ699" s="61"/>
      <c r="CA699" s="12"/>
      <c r="CB699" s="61"/>
      <c r="CC699" s="12"/>
      <c r="CD699" s="61"/>
      <c r="CE699" s="12"/>
      <c r="CF699" s="61"/>
      <c r="CG699" s="12"/>
      <c r="CH699" s="61"/>
      <c r="CI699" s="12"/>
      <c r="CJ699" s="61"/>
      <c r="CK699" s="12"/>
      <c r="CL699" s="61"/>
      <c r="CM699" s="12"/>
      <c r="CN699" s="61"/>
      <c r="CO699" s="12"/>
      <c r="CP699" s="61"/>
      <c r="CQ699" s="12"/>
      <c r="CR699" s="61"/>
      <c r="CS699" s="12"/>
      <c r="CT699" s="61"/>
      <c r="CU699" s="12"/>
      <c r="CV699" s="61"/>
      <c r="CW699" s="12"/>
      <c r="CX699" s="61"/>
      <c r="CY699" s="12"/>
      <c r="CZ699" s="61"/>
      <c r="DA699" s="12"/>
      <c r="DB699" s="61"/>
      <c r="DC699" s="12"/>
      <c r="DD699" s="61"/>
      <c r="DE699" s="12"/>
      <c r="DF699" s="61"/>
      <c r="DG699" s="12"/>
      <c r="DH699" s="61"/>
      <c r="DI699" s="12"/>
      <c r="DJ699" s="61"/>
      <c r="DK699" s="12"/>
      <c r="DL699" s="61"/>
      <c r="DM699" s="12"/>
      <c r="DN699" s="61"/>
      <c r="DO699" s="12"/>
      <c r="DP699" s="61"/>
      <c r="DQ699" s="12"/>
      <c r="DR699" s="61"/>
      <c r="DS699" s="12"/>
      <c r="DT699" s="61"/>
      <c r="DU699" s="12"/>
      <c r="DV699" s="61"/>
      <c r="DW699" s="12"/>
      <c r="DX699" s="12"/>
      <c r="DY699" s="12"/>
      <c r="DZ699" s="61"/>
      <c r="EA699" s="12"/>
      <c r="EB699" s="61"/>
      <c r="EC699" s="12"/>
      <c r="ED699" s="61"/>
      <c r="EE699" s="12"/>
      <c r="EF699" s="61"/>
      <c r="EG699" s="12"/>
      <c r="EH699" s="61"/>
      <c r="EI699" s="12"/>
      <c r="EJ699" s="61"/>
      <c r="EK699" s="12"/>
      <c r="EL699" s="61"/>
      <c r="EM699" s="12"/>
      <c r="EN699" s="61"/>
      <c r="EO699" s="12"/>
      <c r="EP699" s="61"/>
      <c r="EQ699" s="12"/>
      <c r="ER699" s="61"/>
      <c r="ES699" s="12"/>
      <c r="ET699" s="61"/>
      <c r="EU699" s="12"/>
      <c r="EV699" s="61"/>
      <c r="EW699" s="12"/>
      <c r="EX699" s="61"/>
      <c r="EY699" s="56"/>
      <c r="EZ699" s="558"/>
      <c r="FA699" s="56"/>
      <c r="FB699" s="12"/>
      <c r="FC699" s="13"/>
      <c r="FD699" s="12"/>
      <c r="FE699" s="13"/>
      <c r="FF699" s="19"/>
      <c r="FG699" s="13"/>
      <c r="FH699" s="19"/>
      <c r="FI699" s="13"/>
      <c r="FJ699" s="19"/>
      <c r="FK699" s="13"/>
      <c r="FL699" s="57"/>
      <c r="FM699" s="13"/>
      <c r="FN699" s="57"/>
      <c r="FO699" s="13"/>
      <c r="FP699" s="12"/>
      <c r="FQ699" s="61"/>
      <c r="FR699" s="12"/>
      <c r="FS699" s="61"/>
      <c r="FT699" s="12"/>
      <c r="FU699" s="61"/>
      <c r="FV699" s="12"/>
      <c r="FW699" s="61"/>
      <c r="FX699" s="12"/>
      <c r="FY699" s="61"/>
      <c r="FZ699" s="12"/>
      <c r="GA699" s="61"/>
      <c r="GB699" s="12"/>
      <c r="GC699" s="61"/>
      <c r="GD699" s="12"/>
      <c r="GE699" s="61"/>
      <c r="GF699" s="12"/>
      <c r="GG699" s="61"/>
      <c r="GH699" s="12"/>
      <c r="GI699" s="61"/>
      <c r="GJ699" s="12"/>
      <c r="GK699" s="61"/>
      <c r="GL699" s="12"/>
      <c r="GM699" s="61"/>
      <c r="GN699" s="12"/>
      <c r="GO699" s="61"/>
      <c r="GP699" s="12"/>
      <c r="GQ699" s="61"/>
      <c r="GR699" s="57"/>
      <c r="GS699" s="61"/>
      <c r="GT699" s="57"/>
      <c r="GU699" s="61"/>
      <c r="GV699" s="57"/>
      <c r="GW699" s="61"/>
      <c r="GX699" s="57"/>
      <c r="GY699" s="61"/>
      <c r="GZ699" s="61"/>
      <c r="HA699" s="61"/>
      <c r="HB699" s="452"/>
      <c r="HC699"/>
      <c r="HD699"/>
      <c r="HE699"/>
      <c r="HF699"/>
      <c r="HG699"/>
      <c r="HH699"/>
    </row>
    <row r="700" spans="1:216" s="5" customFormat="1" ht="12.75" customHeight="1" x14ac:dyDescent="0.2">
      <c r="A700" s="8"/>
      <c r="B700" s="7" t="s">
        <v>60</v>
      </c>
      <c r="C700" s="12"/>
      <c r="D700" s="13"/>
      <c r="E700" s="12"/>
      <c r="F700" s="13"/>
      <c r="G700" s="12"/>
      <c r="H700" s="13"/>
      <c r="I700" s="12"/>
      <c r="J700" s="13"/>
      <c r="K700" s="12"/>
      <c r="L700" s="13"/>
      <c r="M700" s="12"/>
      <c r="N700" s="13"/>
      <c r="O700" s="12"/>
      <c r="P700" s="13"/>
      <c r="Q700" s="12"/>
      <c r="R700" s="13"/>
      <c r="S700" s="12"/>
      <c r="T700" s="13"/>
      <c r="U700" s="12"/>
      <c r="V700" s="13"/>
      <c r="W700" s="12"/>
      <c r="X700" s="13"/>
      <c r="Y700" s="12"/>
      <c r="Z700" s="13"/>
      <c r="AA700" s="12"/>
      <c r="AB700" s="13"/>
      <c r="AC700" s="12"/>
      <c r="AD700" s="13"/>
      <c r="AE700" s="12"/>
      <c r="AF700" s="13"/>
      <c r="AG700" s="12"/>
      <c r="AH700" s="13"/>
      <c r="AI700" s="12"/>
      <c r="AJ700" s="13"/>
      <c r="AK700" s="12"/>
      <c r="AL700" s="13"/>
      <c r="AM700" s="12"/>
      <c r="AN700" s="13"/>
      <c r="AO700" s="12"/>
      <c r="AP700" s="13"/>
      <c r="AQ700" s="12"/>
      <c r="AR700" s="61"/>
      <c r="AS700" s="12"/>
      <c r="AT700" s="13"/>
      <c r="AU700" s="12"/>
      <c r="AV700" s="13"/>
      <c r="AW700" s="12"/>
      <c r="AX700" s="61"/>
      <c r="AY700" s="12"/>
      <c r="AZ700" s="61"/>
      <c r="BA700" s="12"/>
      <c r="BB700" s="61"/>
      <c r="BC700" s="12"/>
      <c r="BD700" s="61"/>
      <c r="BE700" s="12"/>
      <c r="BF700" s="61"/>
      <c r="BG700" s="12"/>
      <c r="BH700" s="61"/>
      <c r="BI700" s="12"/>
      <c r="BJ700" s="61"/>
      <c r="BK700" s="12"/>
      <c r="BL700" s="61"/>
      <c r="BM700" s="12"/>
      <c r="BN700" s="61"/>
      <c r="BO700" s="12"/>
      <c r="BP700" s="61"/>
      <c r="BQ700" s="12"/>
      <c r="BR700" s="61"/>
      <c r="BS700" s="12"/>
      <c r="BT700" s="61"/>
      <c r="BU700" s="12"/>
      <c r="BV700" s="61"/>
      <c r="BW700" s="12"/>
      <c r="BX700" s="61"/>
      <c r="BY700" s="12"/>
      <c r="BZ700" s="61"/>
      <c r="CA700" s="12"/>
      <c r="CB700" s="61"/>
      <c r="CC700" s="12"/>
      <c r="CD700" s="61"/>
      <c r="CE700" s="12"/>
      <c r="CF700" s="61"/>
      <c r="CG700" s="12"/>
      <c r="CH700" s="61"/>
      <c r="CI700" s="12"/>
      <c r="CJ700" s="61"/>
      <c r="CK700" s="12"/>
      <c r="CL700" s="61"/>
      <c r="CM700" s="12"/>
      <c r="CN700" s="61"/>
      <c r="CO700" s="12"/>
      <c r="CP700" s="61"/>
      <c r="CQ700" s="12"/>
      <c r="CR700" s="61"/>
      <c r="CS700" s="12"/>
      <c r="CT700" s="61"/>
      <c r="CU700" s="12"/>
      <c r="CV700" s="61"/>
      <c r="CW700" s="12"/>
      <c r="CX700" s="61"/>
      <c r="CY700" s="12"/>
      <c r="CZ700" s="61"/>
      <c r="DA700" s="12"/>
      <c r="DB700" s="61"/>
      <c r="DC700" s="12"/>
      <c r="DD700" s="61"/>
      <c r="DE700" s="12"/>
      <c r="DF700" s="61"/>
      <c r="DG700" s="12"/>
      <c r="DH700" s="61"/>
      <c r="DI700" s="12"/>
      <c r="DJ700" s="61"/>
      <c r="DK700" s="12"/>
      <c r="DL700" s="61"/>
      <c r="DM700" s="12"/>
      <c r="DN700" s="61"/>
      <c r="DO700" s="12"/>
      <c r="DP700" s="61"/>
      <c r="DQ700" s="12"/>
      <c r="DR700" s="61"/>
      <c r="DS700" s="12"/>
      <c r="DT700" s="61"/>
      <c r="DU700" s="12"/>
      <c r="DV700" s="61"/>
      <c r="DW700" s="12"/>
      <c r="DX700" s="12"/>
      <c r="DY700" s="12"/>
      <c r="DZ700" s="61"/>
      <c r="EA700" s="12"/>
      <c r="EB700" s="61"/>
      <c r="EC700" s="12"/>
      <c r="ED700" s="61"/>
      <c r="EE700" s="12"/>
      <c r="EF700" s="61"/>
      <c r="EG700" s="12"/>
      <c r="EH700" s="61"/>
      <c r="EI700" s="12"/>
      <c r="EJ700" s="61"/>
      <c r="EK700" s="12"/>
      <c r="EL700" s="61"/>
      <c r="EM700" s="12"/>
      <c r="EN700" s="61"/>
      <c r="EO700" s="12"/>
      <c r="EP700" s="61"/>
      <c r="EQ700" s="12"/>
      <c r="ER700" s="61"/>
      <c r="ES700" s="12"/>
      <c r="ET700" s="61"/>
      <c r="EU700" s="12"/>
      <c r="EV700" s="61"/>
      <c r="EW700" s="12"/>
      <c r="EX700" s="61"/>
      <c r="EY700" s="56"/>
      <c r="EZ700" s="558"/>
      <c r="FA700" s="56"/>
      <c r="FB700" s="12"/>
      <c r="FC700" s="13"/>
      <c r="FD700" s="12"/>
      <c r="FE700" s="13"/>
      <c r="FF700" s="19"/>
      <c r="FG700" s="13"/>
      <c r="FH700" s="19"/>
      <c r="FI700" s="13"/>
      <c r="FJ700" s="19"/>
      <c r="FK700" s="13"/>
      <c r="FL700" s="57"/>
      <c r="FM700" s="13"/>
      <c r="FN700" s="57"/>
      <c r="FO700" s="13"/>
      <c r="FP700" s="12"/>
      <c r="FQ700" s="61"/>
      <c r="FR700" s="12"/>
      <c r="FS700" s="61"/>
      <c r="FT700" s="12"/>
      <c r="FU700" s="61"/>
      <c r="FV700" s="12"/>
      <c r="FW700" s="61"/>
      <c r="FX700" s="12"/>
      <c r="FY700" s="61"/>
      <c r="FZ700" s="12"/>
      <c r="GA700" s="61"/>
      <c r="GB700" s="12"/>
      <c r="GC700" s="61"/>
      <c r="GD700" s="12"/>
      <c r="GE700" s="61"/>
      <c r="GF700" s="12"/>
      <c r="GG700" s="61"/>
      <c r="GH700" s="12"/>
      <c r="GI700" s="61"/>
      <c r="GJ700" s="12"/>
      <c r="GK700" s="61"/>
      <c r="GL700" s="12"/>
      <c r="GM700" s="61"/>
      <c r="GN700" s="12"/>
      <c r="GO700" s="61"/>
      <c r="GP700" s="12"/>
      <c r="GQ700" s="61"/>
      <c r="GR700" s="57"/>
      <c r="GS700" s="61"/>
      <c r="GT700" s="57"/>
      <c r="GU700" s="61"/>
      <c r="GV700" s="57"/>
      <c r="GW700" s="61"/>
      <c r="GX700" s="57"/>
      <c r="GY700" s="61"/>
      <c r="GZ700" s="61"/>
      <c r="HA700" s="61"/>
      <c r="HB700" s="452"/>
      <c r="HC700"/>
      <c r="HD700"/>
      <c r="HE700"/>
      <c r="HF700"/>
      <c r="HG700"/>
      <c r="HH700"/>
    </row>
    <row r="701" spans="1:216" s="5" customFormat="1" ht="12.75" customHeight="1" x14ac:dyDescent="0.2">
      <c r="A701" s="8" t="s">
        <v>612</v>
      </c>
      <c r="B701" s="7" t="s">
        <v>61</v>
      </c>
      <c r="C701" s="359"/>
      <c r="D701" s="13"/>
      <c r="E701" s="359"/>
      <c r="F701" s="13"/>
      <c r="G701" s="359"/>
      <c r="H701" s="13"/>
      <c r="I701" s="359"/>
      <c r="J701" s="13"/>
      <c r="K701" s="359"/>
      <c r="L701" s="70"/>
      <c r="M701" s="359"/>
      <c r="N701" s="70"/>
      <c r="O701" s="359"/>
      <c r="P701" s="70"/>
      <c r="Q701" s="359"/>
      <c r="R701" s="70"/>
      <c r="S701" s="359"/>
      <c r="T701" s="70"/>
      <c r="U701" s="359"/>
      <c r="V701" s="70"/>
      <c r="W701" s="359"/>
      <c r="X701" s="70"/>
      <c r="Y701" s="359"/>
      <c r="Z701" s="70"/>
      <c r="AA701" s="359"/>
      <c r="AB701" s="70"/>
      <c r="AC701" s="359"/>
      <c r="AD701" s="70"/>
      <c r="AE701" s="359"/>
      <c r="AF701" s="70"/>
      <c r="AG701" s="359"/>
      <c r="AH701" s="70"/>
      <c r="AI701" s="359"/>
      <c r="AJ701" s="61"/>
      <c r="AK701" s="359"/>
      <c r="AL701" s="61"/>
      <c r="AM701" s="359"/>
      <c r="AN701" s="61"/>
      <c r="AO701" s="359"/>
      <c r="AP701" s="61"/>
      <c r="AQ701" s="359">
        <v>45.2</v>
      </c>
      <c r="AR701" s="61" t="str">
        <f t="shared" ref="AR701:AR706" si="4270">IF(ISERROR((AQ701/AI701-1)*100),"NA",IF(((AQ701/AI701-1)*100)&gt;100,"NM",IF(((AQ701/AI701-1)*100)&lt;-50,"NM",(AQ701/AI701-1)*100)))</f>
        <v>NA</v>
      </c>
      <c r="AS701" s="359">
        <v>54.8</v>
      </c>
      <c r="AT701" s="61" t="str">
        <f t="shared" ref="AT701:AT706" si="4271">IF(ISERROR((AS701/AK701-1)*100),"NA",IF(((AS701/AK701-1)*100)&gt;100,"NM",IF(((AS701/AK701-1)*100)&lt;-50,"NM",(AS701/AK701-1)*100)))</f>
        <v>NA</v>
      </c>
      <c r="AU701" s="359">
        <v>54.9</v>
      </c>
      <c r="AV701" s="61" t="str">
        <f t="shared" ref="AV701:AV706" si="4272">IF(ISERROR((AU701/AM701-1)*100),"NA",IF(((AU701/AM701-1)*100)&gt;100,"NM",IF(((AU701/AM701-1)*100)&lt;-50,"NM",(AU701/AM701-1)*100)))</f>
        <v>NA</v>
      </c>
      <c r="AW701" s="359">
        <v>68.599999999999994</v>
      </c>
      <c r="AX701" s="61" t="str">
        <f t="shared" ref="AX701:AX706" si="4273">IF(ISERROR((AW701/AO701-1)*100),"NA",IF(((AW701/AO701-1)*100)&gt;100,"NM",IF(((AW701/AO701-1)*100)&lt;-50,"NM",(AW701/AO701-1)*100)))</f>
        <v>NA</v>
      </c>
      <c r="AY701" s="359">
        <v>48.7</v>
      </c>
      <c r="AZ701" s="61">
        <f t="shared" ref="AZ701:AZ706" si="4274">IF(ISERROR((AY701/AQ701-1)*100),"NA",IF(((AY701/AQ701-1)*100)&gt;100,"NM",IF(((AY701/AQ701-1)*100)&lt;-50,"NM",(AY701/AQ701-1)*100)))</f>
        <v>7.7433628318584136</v>
      </c>
      <c r="BA701" s="359">
        <v>105</v>
      </c>
      <c r="BB701" s="61">
        <f t="shared" ref="BB701:CV706" si="4275">IF(ISERROR((BA701/AS701-1)*100),"NA",IF(((BA701/AS701-1)*100)&gt;100,"NM",IF(((BA701/AS701-1)*100)&lt;-50,"NM",(BA701/AS701-1)*100)))</f>
        <v>91.605839416058402</v>
      </c>
      <c r="BC701" s="359">
        <v>128.19999999999999</v>
      </c>
      <c r="BD701" s="61" t="str">
        <f t="shared" si="4275"/>
        <v>NM</v>
      </c>
      <c r="BE701" s="359">
        <v>185.4</v>
      </c>
      <c r="BF701" s="61" t="str">
        <f t="shared" si="4275"/>
        <v>NM</v>
      </c>
      <c r="BG701" s="359">
        <v>173.6</v>
      </c>
      <c r="BH701" s="61" t="str">
        <f t="shared" si="4275"/>
        <v>NM</v>
      </c>
      <c r="BI701" s="359">
        <v>154.80000000000001</v>
      </c>
      <c r="BJ701" s="61">
        <f t="shared" si="4275"/>
        <v>47.428571428571445</v>
      </c>
      <c r="BK701" s="359">
        <v>154.80000000000001</v>
      </c>
      <c r="BL701" s="61">
        <f t="shared" si="4275"/>
        <v>20.748829953198154</v>
      </c>
      <c r="BM701" s="359">
        <v>153.30000000000001</v>
      </c>
      <c r="BN701" s="61">
        <f t="shared" si="4275"/>
        <v>-17.313915857605178</v>
      </c>
      <c r="BO701" s="359">
        <v>124.8</v>
      </c>
      <c r="BP701" s="61">
        <f t="shared" si="4275"/>
        <v>-28.110599078341014</v>
      </c>
      <c r="BQ701" s="359">
        <v>136.1</v>
      </c>
      <c r="BR701" s="61">
        <f t="shared" si="4275"/>
        <v>-12.080103359173133</v>
      </c>
      <c r="BS701" s="359">
        <v>158.4</v>
      </c>
      <c r="BT701" s="61">
        <f t="shared" si="4275"/>
        <v>2.3255813953488413</v>
      </c>
      <c r="BU701" s="359">
        <v>155.5</v>
      </c>
      <c r="BV701" s="61">
        <f t="shared" si="4275"/>
        <v>1.4350945857795061</v>
      </c>
      <c r="BW701" s="359">
        <v>113.7</v>
      </c>
      <c r="BX701" s="61">
        <f t="shared" si="4275"/>
        <v>-8.8942307692307594</v>
      </c>
      <c r="BY701" s="359">
        <v>99.2</v>
      </c>
      <c r="BZ701" s="61">
        <f t="shared" si="4275"/>
        <v>-27.11241734019103</v>
      </c>
      <c r="CA701" s="359">
        <v>109.4</v>
      </c>
      <c r="CB701" s="61">
        <f t="shared" si="4275"/>
        <v>-30.934343434343436</v>
      </c>
      <c r="CC701" s="359">
        <v>141</v>
      </c>
      <c r="CD701" s="61">
        <f t="shared" si="4275"/>
        <v>-9.3247588424437247</v>
      </c>
      <c r="CE701" s="359">
        <v>108.6</v>
      </c>
      <c r="CF701" s="61">
        <f t="shared" si="4275"/>
        <v>-4.4854881266490843</v>
      </c>
      <c r="CG701" s="359">
        <v>101.2</v>
      </c>
      <c r="CH701" s="61">
        <f t="shared" si="4275"/>
        <v>2.0161290322580738</v>
      </c>
      <c r="CI701" s="359">
        <v>103.8</v>
      </c>
      <c r="CJ701" s="61">
        <f t="shared" si="4275"/>
        <v>-5.1188299817184753</v>
      </c>
      <c r="CK701" s="359">
        <v>147.6</v>
      </c>
      <c r="CL701" s="61">
        <f t="shared" si="4275"/>
        <v>4.6808510638297829</v>
      </c>
      <c r="CM701" s="359">
        <v>119.2</v>
      </c>
      <c r="CN701" s="61">
        <f t="shared" si="4275"/>
        <v>9.7605893186003776</v>
      </c>
      <c r="CO701" s="359">
        <v>122</v>
      </c>
      <c r="CP701" s="61">
        <f t="shared" si="4275"/>
        <v>20.553359683794458</v>
      </c>
      <c r="CQ701" s="359">
        <v>122.2</v>
      </c>
      <c r="CR701" s="61">
        <f t="shared" si="4275"/>
        <v>17.726396917148367</v>
      </c>
      <c r="CS701" s="359">
        <v>140.30000000000001</v>
      </c>
      <c r="CT701" s="61">
        <f t="shared" si="4275"/>
        <v>-4.9457994579945712</v>
      </c>
      <c r="CU701" s="359">
        <v>87.8</v>
      </c>
      <c r="CV701" s="61">
        <f t="shared" si="4275"/>
        <v>-26.34228187919464</v>
      </c>
      <c r="CW701" s="359">
        <v>92</v>
      </c>
      <c r="CX701" s="61"/>
      <c r="CY701" s="359">
        <v>78</v>
      </c>
      <c r="CZ701" s="61"/>
      <c r="DA701" s="359">
        <v>99</v>
      </c>
      <c r="DB701" s="61"/>
      <c r="DC701" s="359">
        <v>86</v>
      </c>
      <c r="DD701" s="61"/>
      <c r="DE701" s="359">
        <v>92</v>
      </c>
      <c r="DF701" s="61"/>
      <c r="DG701" s="359">
        <v>93</v>
      </c>
      <c r="DH701" s="61"/>
      <c r="DI701" s="359">
        <v>94</v>
      </c>
      <c r="DJ701" s="61"/>
      <c r="DK701" s="359">
        <v>73</v>
      </c>
      <c r="DL701" s="61"/>
      <c r="DM701" s="359">
        <v>79</v>
      </c>
      <c r="DN701" s="130">
        <f t="shared" ref="DN701:DZ706" si="4276">IF(ISERROR((DM701/DE701-1)*100),"NA",IF(((DM701/DE701-1)*100)&gt;100,"NM",IF(((DM701/DE701-1)*100)&lt;-50,"NM",(DM701/DE701-1)*100)))</f>
        <v>-14.130434782608692</v>
      </c>
      <c r="DO701" s="359">
        <v>88</v>
      </c>
      <c r="DP701" s="130">
        <f t="shared" si="4276"/>
        <v>-5.3763440860215006</v>
      </c>
      <c r="DQ701" s="359">
        <v>97</v>
      </c>
      <c r="DR701" s="130">
        <f t="shared" si="4276"/>
        <v>3.1914893617021267</v>
      </c>
      <c r="DS701" s="359">
        <v>75</v>
      </c>
      <c r="DT701" s="130">
        <f t="shared" si="4276"/>
        <v>2.7397260273972712</v>
      </c>
      <c r="DU701" s="359">
        <v>91</v>
      </c>
      <c r="DV701" s="130">
        <f t="shared" si="4276"/>
        <v>15.189873417721511</v>
      </c>
      <c r="DW701" s="359">
        <v>96</v>
      </c>
      <c r="DX701" s="359">
        <v>96</v>
      </c>
      <c r="DY701" s="359">
        <v>106</v>
      </c>
      <c r="DZ701" s="130">
        <f t="shared" si="4276"/>
        <v>9.2783505154639059</v>
      </c>
      <c r="EA701" s="359">
        <f>18+42+18</f>
        <v>78</v>
      </c>
      <c r="EB701" s="130">
        <f t="shared" ref="EB701:EB706" si="4277">IF(ISERROR((EA701/DS701-1)*100),"NA",IF(((EA701/DS701-1)*100)&gt;100,"NM",IF(((EA701/DS701-1)*100)&lt;-50,"NM",(EA701/DS701-1)*100)))</f>
        <v>4.0000000000000036</v>
      </c>
      <c r="EC701" s="359">
        <f>24+51+18</f>
        <v>93</v>
      </c>
      <c r="ED701" s="130">
        <f t="shared" ref="ED701:ED706" si="4278">IF(ISERROR((EC701/DU701-1)*100),"NA",IF(((EC701/DU701-1)*100)&gt;100,"NM",IF(((EC701/DU701-1)*100)&lt;-50,"NM",(EC701/DU701-1)*100)))</f>
        <v>2.19780219780219</v>
      </c>
      <c r="EE701" s="359">
        <f>23+56+23</f>
        <v>102</v>
      </c>
      <c r="EF701" s="130">
        <f t="shared" ref="EF701:EF706" si="4279">IF(ISERROR((EE701/DW701-1)*100),"NA",IF(((EE701/DW701-1)*100)&gt;100,"NM",IF(((EE701/DW701-1)*100)&lt;-50,"NM",(EE701/DW701-1)*100)))</f>
        <v>6.25</v>
      </c>
      <c r="EG701" s="359">
        <f>29+64+31</f>
        <v>124</v>
      </c>
      <c r="EH701" s="130">
        <f t="shared" ref="EH701:EH706" si="4280">IF(ISERROR((EG701/DY701-1)*100),"NA",IF(((EG701/DY701-1)*100)&gt;100,"NM",IF(((EG701/DY701-1)*100)&lt;-50,"NM",(EG701/DY701-1)*100)))</f>
        <v>16.981132075471695</v>
      </c>
      <c r="EI701" s="359">
        <f>17+60+18</f>
        <v>95</v>
      </c>
      <c r="EJ701" s="130">
        <f t="shared" ref="EJ701:EJ706" si="4281">IF(ISERROR((EI701/EA701-1)*100),"NA",IF(((EI701/EA701-1)*100)&gt;100,"NM",IF(((EI701/EA701-1)*100)&lt;-50,"NM",(EI701/EA701-1)*100)))</f>
        <v>21.794871794871785</v>
      </c>
      <c r="EK701" s="359">
        <f>14+80+16</f>
        <v>110</v>
      </c>
      <c r="EL701" s="130">
        <f t="shared" ref="EL701:EL706" si="4282">IF(ISERROR((EK701/EC701-1)*100),"NA",IF(((EK701/EC701-1)*100)&gt;100,"NM",IF(((EK701/EC701-1)*100)&lt;-50,"NM",(EK701/EC701-1)*100)))</f>
        <v>18.279569892473123</v>
      </c>
      <c r="EM701" s="359">
        <f>10+65+19</f>
        <v>94</v>
      </c>
      <c r="EN701" s="130">
        <f t="shared" ref="EN701:EN706" si="4283">IF(ISERROR((EM701/EE701-1)*100),"NA",IF(((EM701/EE701-1)*100)&gt;100,"NM",IF(((EM701/EE701-1)*100)&lt;-50,"NM",(EM701/EE701-1)*100)))</f>
        <v>-7.8431372549019667</v>
      </c>
      <c r="EO701" s="359">
        <f>11+64+17</f>
        <v>92</v>
      </c>
      <c r="EP701" s="130">
        <f t="shared" ref="EP701:EP706" si="4284">IF(ISERROR((EO701/EG701-1)*100),"NA",IF(((EO701/EG701-1)*100)&gt;100,"NM",IF(((EO701/EG701-1)*100)&lt;-50,"NM",(EO701/EG701-1)*100)))</f>
        <v>-25.806451612903224</v>
      </c>
      <c r="EQ701" s="12"/>
      <c r="ER701" s="130" t="str">
        <f t="shared" ref="ER701:ER706" si="4285">IF(ISERROR((EQ701/EI701-1)*100),"NA",IF(((EQ701/EI701-1)*100)&gt;100,"NM",IF(((EQ701/EI701-1)*100)&lt;-50,"NM",(EQ701/EI701-1)*100)))</f>
        <v>NM</v>
      </c>
      <c r="ES701" s="12"/>
      <c r="ET701" s="130" t="str">
        <f t="shared" ref="ET701:ET706" si="4286">IF(ISERROR((ES701/EK701-1)*100),"NA",IF(((ES701/EK701-1)*100)&gt;100,"NM",IF(((ES701/EK701-1)*100)&lt;-50,"NM",(ES701/EK701-1)*100)))</f>
        <v>NM</v>
      </c>
      <c r="EU701" s="12"/>
      <c r="EV701" s="130" t="str">
        <f t="shared" ref="EV701:EV706" si="4287">IF(ISERROR((EU701/EM701-1)*100),"NA",IF(((EU701/EM701-1)*100)&gt;100,"NM",IF(((EU701/EM701-1)*100)&lt;-50,"NM",(EU701/EM701-1)*100)))</f>
        <v>NM</v>
      </c>
      <c r="EW701" s="12"/>
      <c r="EX701" s="130" t="str">
        <f t="shared" ref="EX701:EX706" si="4288">IF(ISERROR((EW701/EO701-1)*100),"NA",IF(((EW701/EO701-1)*100)&gt;100,"NM",IF(((EW701/EO701-1)*100)&lt;-50,"NM",(EW701/EO701-1)*100)))</f>
        <v>NM</v>
      </c>
      <c r="EY701" s="56"/>
      <c r="EZ701" s="558"/>
      <c r="FA701" s="56"/>
      <c r="FB701" s="12"/>
      <c r="FC701" s="13"/>
      <c r="FD701" s="12"/>
      <c r="FE701" s="13"/>
      <c r="FF701" s="19"/>
      <c r="FG701" s="13"/>
      <c r="FH701" s="19"/>
      <c r="FI701" s="13"/>
      <c r="FJ701" s="19"/>
      <c r="FK701" s="13"/>
      <c r="FL701" s="57"/>
      <c r="FM701" s="13"/>
      <c r="FN701" s="57"/>
      <c r="FO701" s="13"/>
      <c r="FP701" s="12"/>
      <c r="FQ701" s="61"/>
      <c r="FR701" s="12"/>
      <c r="FS701" s="61"/>
      <c r="FT701" s="12"/>
      <c r="FU701" s="61"/>
      <c r="FV701" s="12"/>
      <c r="FW701" s="61"/>
      <c r="FX701" s="12"/>
      <c r="FY701" s="61"/>
      <c r="FZ701" s="12"/>
      <c r="GA701" s="61"/>
      <c r="GB701" s="12"/>
      <c r="GC701" s="61"/>
      <c r="GD701" s="12"/>
      <c r="GE701" s="61"/>
      <c r="GF701" s="12"/>
      <c r="GG701" s="61"/>
      <c r="GH701" s="12"/>
      <c r="GI701" s="61"/>
      <c r="GJ701" s="12"/>
      <c r="GK701" s="61"/>
      <c r="GL701" s="12"/>
      <c r="GM701" s="61"/>
      <c r="GN701" s="12"/>
      <c r="GO701" s="61"/>
      <c r="GP701" s="12"/>
      <c r="GQ701" s="61"/>
      <c r="GR701" s="57"/>
      <c r="GS701" s="61"/>
      <c r="GT701" s="57"/>
      <c r="GU701" s="61"/>
      <c r="GV701" s="57"/>
      <c r="GW701" s="61"/>
      <c r="GX701" s="57"/>
      <c r="GY701" s="61"/>
      <c r="GZ701" s="61"/>
      <c r="HA701" s="61"/>
      <c r="HB701" s="452"/>
      <c r="HC701"/>
      <c r="HD701"/>
      <c r="HE701"/>
      <c r="HF701"/>
      <c r="HG701"/>
      <c r="HH701"/>
    </row>
    <row r="702" spans="1:216" s="5" customFormat="1" ht="12.75" customHeight="1" x14ac:dyDescent="0.2">
      <c r="A702" s="8" t="s">
        <v>613</v>
      </c>
      <c r="B702" s="7" t="s">
        <v>622</v>
      </c>
      <c r="C702" s="359"/>
      <c r="D702" s="13"/>
      <c r="E702" s="359"/>
      <c r="F702" s="13"/>
      <c r="G702" s="359"/>
      <c r="H702" s="13"/>
      <c r="I702" s="359"/>
      <c r="J702" s="13"/>
      <c r="K702" s="359"/>
      <c r="L702" s="70"/>
      <c r="M702" s="359"/>
      <c r="N702" s="70"/>
      <c r="O702" s="359"/>
      <c r="P702" s="70"/>
      <c r="Q702" s="359"/>
      <c r="R702" s="70"/>
      <c r="S702" s="359"/>
      <c r="T702" s="70"/>
      <c r="U702" s="359"/>
      <c r="V702" s="70"/>
      <c r="W702" s="359"/>
      <c r="X702" s="70"/>
      <c r="Y702" s="359"/>
      <c r="Z702" s="70"/>
      <c r="AA702" s="359"/>
      <c r="AB702" s="70"/>
      <c r="AC702" s="359"/>
      <c r="AD702" s="70"/>
      <c r="AE702" s="359"/>
      <c r="AF702" s="70"/>
      <c r="AG702" s="359"/>
      <c r="AH702" s="70"/>
      <c r="AI702" s="359"/>
      <c r="AJ702" s="61"/>
      <c r="AK702" s="359"/>
      <c r="AL702" s="61"/>
      <c r="AM702" s="359"/>
      <c r="AN702" s="61"/>
      <c r="AO702" s="359"/>
      <c r="AP702" s="61"/>
      <c r="AQ702" s="359">
        <v>9.6</v>
      </c>
      <c r="AR702" s="61" t="str">
        <f t="shared" si="4270"/>
        <v>NA</v>
      </c>
      <c r="AS702" s="359">
        <v>10.199999999999999</v>
      </c>
      <c r="AT702" s="61" t="str">
        <f t="shared" si="4271"/>
        <v>NA</v>
      </c>
      <c r="AU702" s="359">
        <v>9.1</v>
      </c>
      <c r="AV702" s="61" t="str">
        <f t="shared" si="4272"/>
        <v>NA</v>
      </c>
      <c r="AW702" s="359">
        <v>13.4</v>
      </c>
      <c r="AX702" s="61" t="str">
        <f t="shared" si="4273"/>
        <v>NA</v>
      </c>
      <c r="AY702" s="359">
        <v>10</v>
      </c>
      <c r="AZ702" s="61">
        <f t="shared" si="4274"/>
        <v>4.1666666666666741</v>
      </c>
      <c r="BA702" s="359">
        <v>15.7</v>
      </c>
      <c r="BB702" s="61">
        <f t="shared" si="4275"/>
        <v>53.921568627450988</v>
      </c>
      <c r="BC702" s="359">
        <v>13</v>
      </c>
      <c r="BD702" s="61">
        <f t="shared" si="4275"/>
        <v>42.857142857142861</v>
      </c>
      <c r="BE702" s="359">
        <v>22.1</v>
      </c>
      <c r="BF702" s="61">
        <f t="shared" si="4275"/>
        <v>64.925373134328353</v>
      </c>
      <c r="BG702" s="359">
        <v>20.6</v>
      </c>
      <c r="BH702" s="61" t="str">
        <f t="shared" si="4275"/>
        <v>NM</v>
      </c>
      <c r="BI702" s="359">
        <v>17.3</v>
      </c>
      <c r="BJ702" s="61">
        <f t="shared" si="4275"/>
        <v>10.19108280254779</v>
      </c>
      <c r="BK702" s="359">
        <v>17.7</v>
      </c>
      <c r="BL702" s="61">
        <f t="shared" si="4275"/>
        <v>36.15384615384616</v>
      </c>
      <c r="BM702" s="359">
        <v>21.9</v>
      </c>
      <c r="BN702" s="61">
        <f t="shared" si="4275"/>
        <v>-0.90497737556561875</v>
      </c>
      <c r="BO702" s="359">
        <v>15.5</v>
      </c>
      <c r="BP702" s="61">
        <f t="shared" si="4275"/>
        <v>-24.757281553398059</v>
      </c>
      <c r="BQ702" s="359">
        <v>11.4</v>
      </c>
      <c r="BR702" s="61">
        <f t="shared" si="4275"/>
        <v>-34.104046242774565</v>
      </c>
      <c r="BS702" s="359">
        <v>12.3</v>
      </c>
      <c r="BT702" s="61">
        <f t="shared" si="4275"/>
        <v>-30.508474576271183</v>
      </c>
      <c r="BU702" s="359">
        <v>14.6</v>
      </c>
      <c r="BV702" s="61">
        <f t="shared" si="4275"/>
        <v>-33.333333333333329</v>
      </c>
      <c r="BW702" s="359">
        <v>9</v>
      </c>
      <c r="BX702" s="61">
        <f t="shared" si="4275"/>
        <v>-41.935483870967737</v>
      </c>
      <c r="BY702" s="359">
        <v>7.1</v>
      </c>
      <c r="BZ702" s="61">
        <f t="shared" si="4275"/>
        <v>-37.719298245614041</v>
      </c>
      <c r="CA702" s="359">
        <v>6.7</v>
      </c>
      <c r="CB702" s="61">
        <f t="shared" si="4275"/>
        <v>-45.528455284552848</v>
      </c>
      <c r="CC702" s="359">
        <v>13.3</v>
      </c>
      <c r="CD702" s="61">
        <f t="shared" si="4275"/>
        <v>-8.904109589041088</v>
      </c>
      <c r="CE702" s="359">
        <v>7.7</v>
      </c>
      <c r="CF702" s="61">
        <f t="shared" si="4275"/>
        <v>-14.444444444444438</v>
      </c>
      <c r="CG702" s="359">
        <v>9.6999999999999993</v>
      </c>
      <c r="CH702" s="61">
        <f t="shared" si="4275"/>
        <v>36.619718309859152</v>
      </c>
      <c r="CI702" s="359">
        <v>10.8</v>
      </c>
      <c r="CJ702" s="61">
        <f t="shared" si="4275"/>
        <v>61.194029850746269</v>
      </c>
      <c r="CK702" s="359">
        <v>14.8</v>
      </c>
      <c r="CL702" s="61">
        <f t="shared" si="4275"/>
        <v>11.278195488721799</v>
      </c>
      <c r="CM702" s="359">
        <v>10</v>
      </c>
      <c r="CN702" s="61">
        <f t="shared" si="4275"/>
        <v>29.870129870129869</v>
      </c>
      <c r="CO702" s="359">
        <v>11</v>
      </c>
      <c r="CP702" s="61">
        <f t="shared" si="4275"/>
        <v>13.402061855670123</v>
      </c>
      <c r="CQ702" s="359">
        <v>12.8</v>
      </c>
      <c r="CR702" s="61">
        <f t="shared" si="4275"/>
        <v>18.518518518518512</v>
      </c>
      <c r="CS702" s="359">
        <v>16.2</v>
      </c>
      <c r="CT702" s="61">
        <f t="shared" si="4275"/>
        <v>9.4594594594594525</v>
      </c>
      <c r="CU702" s="359">
        <v>9.6</v>
      </c>
      <c r="CV702" s="61">
        <f t="shared" si="4275"/>
        <v>-4.0000000000000036</v>
      </c>
      <c r="CW702" s="359">
        <v>12</v>
      </c>
      <c r="CX702" s="61"/>
      <c r="CY702" s="359">
        <v>9</v>
      </c>
      <c r="CZ702" s="61"/>
      <c r="DA702" s="359">
        <v>30</v>
      </c>
      <c r="DB702" s="61"/>
      <c r="DC702" s="359">
        <v>23</v>
      </c>
      <c r="DD702" s="61"/>
      <c r="DE702" s="359">
        <v>32</v>
      </c>
      <c r="DF702" s="61"/>
      <c r="DG702" s="359">
        <v>36</v>
      </c>
      <c r="DH702" s="61"/>
      <c r="DI702" s="359">
        <v>51</v>
      </c>
      <c r="DJ702" s="61"/>
      <c r="DK702" s="359">
        <v>46</v>
      </c>
      <c r="DL702" s="61"/>
      <c r="DM702" s="359">
        <v>56</v>
      </c>
      <c r="DN702" s="130">
        <f t="shared" si="4276"/>
        <v>75</v>
      </c>
      <c r="DO702" s="359">
        <v>44</v>
      </c>
      <c r="DP702" s="130">
        <f t="shared" si="4276"/>
        <v>22.222222222222232</v>
      </c>
      <c r="DQ702" s="359">
        <v>52</v>
      </c>
      <c r="DR702" s="130">
        <f t="shared" si="4276"/>
        <v>1.9607843137254832</v>
      </c>
      <c r="DS702" s="359">
        <v>45</v>
      </c>
      <c r="DT702" s="130">
        <f t="shared" si="4276"/>
        <v>-2.1739130434782594</v>
      </c>
      <c r="DU702" s="359">
        <v>43</v>
      </c>
      <c r="DV702" s="130">
        <f t="shared" si="4276"/>
        <v>-23.214285714285708</v>
      </c>
      <c r="DW702" s="359">
        <v>47</v>
      </c>
      <c r="DX702" s="359">
        <v>47</v>
      </c>
      <c r="DY702" s="359">
        <v>58</v>
      </c>
      <c r="DZ702" s="130">
        <f t="shared" si="4276"/>
        <v>11.538461538461542</v>
      </c>
      <c r="EA702" s="359">
        <v>29</v>
      </c>
      <c r="EB702" s="130">
        <f t="shared" si="4277"/>
        <v>-35.55555555555555</v>
      </c>
      <c r="EC702" s="359">
        <v>41</v>
      </c>
      <c r="ED702" s="130">
        <f t="shared" si="4278"/>
        <v>-4.651162790697672</v>
      </c>
      <c r="EE702" s="359">
        <v>52</v>
      </c>
      <c r="EF702" s="130">
        <f t="shared" si="4279"/>
        <v>10.638297872340431</v>
      </c>
      <c r="EG702" s="359">
        <v>58</v>
      </c>
      <c r="EH702" s="130">
        <f t="shared" si="4280"/>
        <v>0</v>
      </c>
      <c r="EI702" s="359">
        <v>36</v>
      </c>
      <c r="EJ702" s="130">
        <f t="shared" si="4281"/>
        <v>24.137931034482762</v>
      </c>
      <c r="EK702" s="359">
        <v>50</v>
      </c>
      <c r="EL702" s="130">
        <f t="shared" si="4282"/>
        <v>21.95121951219512</v>
      </c>
      <c r="EM702" s="359">
        <v>45</v>
      </c>
      <c r="EN702" s="130">
        <f t="shared" si="4283"/>
        <v>-13.461538461538458</v>
      </c>
      <c r="EO702" s="359">
        <v>63</v>
      </c>
      <c r="EP702" s="130">
        <f t="shared" si="4284"/>
        <v>8.6206896551724199</v>
      </c>
      <c r="EQ702" s="12"/>
      <c r="ER702" s="130" t="str">
        <f t="shared" si="4285"/>
        <v>NM</v>
      </c>
      <c r="ES702" s="12"/>
      <c r="ET702" s="130" t="str">
        <f t="shared" si="4286"/>
        <v>NM</v>
      </c>
      <c r="EU702" s="12"/>
      <c r="EV702" s="130" t="str">
        <f t="shared" si="4287"/>
        <v>NM</v>
      </c>
      <c r="EW702" s="12"/>
      <c r="EX702" s="130" t="str">
        <f t="shared" si="4288"/>
        <v>NM</v>
      </c>
      <c r="EY702" s="56"/>
      <c r="EZ702" s="558"/>
      <c r="FA702" s="56"/>
      <c r="FB702" s="12"/>
      <c r="FC702" s="13"/>
      <c r="FD702" s="12"/>
      <c r="FE702" s="13"/>
      <c r="FF702" s="19"/>
      <c r="FG702" s="13"/>
      <c r="FH702" s="19"/>
      <c r="FI702" s="13"/>
      <c r="FJ702" s="19"/>
      <c r="FK702" s="13"/>
      <c r="FL702" s="57"/>
      <c r="FM702" s="13"/>
      <c r="FN702" s="57"/>
      <c r="FO702" s="13"/>
      <c r="FP702" s="12"/>
      <c r="FQ702" s="61"/>
      <c r="FR702" s="12"/>
      <c r="FS702" s="61"/>
      <c r="FT702" s="12"/>
      <c r="FU702" s="61"/>
      <c r="FV702" s="12"/>
      <c r="FW702" s="61"/>
      <c r="FX702" s="12"/>
      <c r="FY702" s="61"/>
      <c r="FZ702" s="12"/>
      <c r="GA702" s="61"/>
      <c r="GB702" s="12"/>
      <c r="GC702" s="61"/>
      <c r="GD702" s="12"/>
      <c r="GE702" s="61"/>
      <c r="GF702" s="12"/>
      <c r="GG702" s="61"/>
      <c r="GH702" s="12"/>
      <c r="GI702" s="61"/>
      <c r="GJ702" s="12"/>
      <c r="GK702" s="61"/>
      <c r="GL702" s="12"/>
      <c r="GM702" s="61"/>
      <c r="GN702" s="12"/>
      <c r="GO702" s="61"/>
      <c r="GP702" s="12"/>
      <c r="GQ702" s="61"/>
      <c r="GR702" s="57"/>
      <c r="GS702" s="61"/>
      <c r="GT702" s="57"/>
      <c r="GU702" s="61"/>
      <c r="GV702" s="57"/>
      <c r="GW702" s="61"/>
      <c r="GX702" s="57"/>
      <c r="GY702" s="61"/>
      <c r="GZ702" s="61"/>
      <c r="HA702" s="61"/>
      <c r="HB702" s="452"/>
      <c r="HC702"/>
      <c r="HD702"/>
      <c r="HE702"/>
      <c r="HF702"/>
      <c r="HG702"/>
      <c r="HH702"/>
    </row>
    <row r="703" spans="1:216" s="5" customFormat="1" ht="12.75" customHeight="1" x14ac:dyDescent="0.2">
      <c r="A703" s="8" t="s">
        <v>598</v>
      </c>
      <c r="B703" s="7" t="s">
        <v>468</v>
      </c>
      <c r="C703" s="359"/>
      <c r="D703" s="13"/>
      <c r="E703" s="359"/>
      <c r="F703" s="13"/>
      <c r="G703" s="359"/>
      <c r="H703" s="13"/>
      <c r="I703" s="359"/>
      <c r="J703" s="13"/>
      <c r="K703" s="359"/>
      <c r="L703" s="70"/>
      <c r="M703" s="359"/>
      <c r="N703" s="70"/>
      <c r="O703" s="359"/>
      <c r="P703" s="70"/>
      <c r="Q703" s="359"/>
      <c r="R703" s="70"/>
      <c r="S703" s="359"/>
      <c r="T703" s="70"/>
      <c r="U703" s="359"/>
      <c r="V703" s="70"/>
      <c r="W703" s="359"/>
      <c r="X703" s="70"/>
      <c r="Y703" s="359"/>
      <c r="Z703" s="70"/>
      <c r="AA703" s="359"/>
      <c r="AB703" s="70"/>
      <c r="AC703" s="359"/>
      <c r="AD703" s="70"/>
      <c r="AE703" s="359"/>
      <c r="AF703" s="70"/>
      <c r="AG703" s="359"/>
      <c r="AH703" s="70"/>
      <c r="AI703" s="359"/>
      <c r="AJ703" s="61"/>
      <c r="AK703" s="359"/>
      <c r="AL703" s="61"/>
      <c r="AM703" s="359"/>
      <c r="AN703" s="61"/>
      <c r="AO703" s="359"/>
      <c r="AP703" s="61"/>
      <c r="AQ703" s="360">
        <v>0.8</v>
      </c>
      <c r="AR703" s="61" t="str">
        <f t="shared" si="4270"/>
        <v>NA</v>
      </c>
      <c r="AS703" s="360">
        <v>0.2</v>
      </c>
      <c r="AT703" s="61" t="str">
        <f t="shared" si="4271"/>
        <v>NA</v>
      </c>
      <c r="AU703" s="360">
        <v>0.4</v>
      </c>
      <c r="AV703" s="61" t="str">
        <f t="shared" si="4272"/>
        <v>NA</v>
      </c>
      <c r="AW703" s="360">
        <v>0.4</v>
      </c>
      <c r="AX703" s="61" t="str">
        <f t="shared" si="4273"/>
        <v>NA</v>
      </c>
      <c r="AY703" s="359">
        <v>0.7</v>
      </c>
      <c r="AZ703" s="61">
        <f t="shared" si="4274"/>
        <v>-12.500000000000011</v>
      </c>
      <c r="BA703" s="359">
        <v>0.4</v>
      </c>
      <c r="BB703" s="61">
        <f t="shared" si="4275"/>
        <v>100</v>
      </c>
      <c r="BC703" s="359">
        <v>0.7</v>
      </c>
      <c r="BD703" s="61">
        <f t="shared" si="4275"/>
        <v>74.999999999999972</v>
      </c>
      <c r="BE703" s="359">
        <v>0.6</v>
      </c>
      <c r="BF703" s="61">
        <f t="shared" si="4275"/>
        <v>49.999999999999979</v>
      </c>
      <c r="BG703" s="359">
        <v>0.1</v>
      </c>
      <c r="BH703" s="61" t="str">
        <f t="shared" si="4275"/>
        <v>NM</v>
      </c>
      <c r="BI703" s="359">
        <v>0.1</v>
      </c>
      <c r="BJ703" s="61" t="str">
        <f t="shared" si="4275"/>
        <v>NM</v>
      </c>
      <c r="BK703" s="359">
        <v>0.3</v>
      </c>
      <c r="BL703" s="61" t="str">
        <f t="shared" si="4275"/>
        <v>NM</v>
      </c>
      <c r="BM703" s="359">
        <v>0.3</v>
      </c>
      <c r="BN703" s="61">
        <f t="shared" si="4275"/>
        <v>-50</v>
      </c>
      <c r="BO703" s="359">
        <v>0</v>
      </c>
      <c r="BP703" s="61" t="str">
        <f t="shared" si="4275"/>
        <v>NM</v>
      </c>
      <c r="BQ703" s="359">
        <v>0</v>
      </c>
      <c r="BR703" s="61" t="str">
        <f t="shared" si="4275"/>
        <v>NM</v>
      </c>
      <c r="BS703" s="359">
        <v>0</v>
      </c>
      <c r="BT703" s="61" t="str">
        <f t="shared" si="4275"/>
        <v>NM</v>
      </c>
      <c r="BU703" s="359">
        <v>10.6</v>
      </c>
      <c r="BV703" s="61" t="str">
        <f t="shared" si="4275"/>
        <v>NM</v>
      </c>
      <c r="BW703" s="359">
        <v>10.8</v>
      </c>
      <c r="BX703" s="61" t="str">
        <f t="shared" si="4275"/>
        <v>NA</v>
      </c>
      <c r="BY703" s="359">
        <v>12.7</v>
      </c>
      <c r="BZ703" s="61" t="str">
        <f t="shared" si="4275"/>
        <v>NA</v>
      </c>
      <c r="CA703" s="359">
        <v>15.7</v>
      </c>
      <c r="CB703" s="61" t="str">
        <f t="shared" si="4275"/>
        <v>NA</v>
      </c>
      <c r="CC703" s="359">
        <v>19.8</v>
      </c>
      <c r="CD703" s="61">
        <f t="shared" si="4275"/>
        <v>86.79245283018868</v>
      </c>
      <c r="CE703" s="359">
        <v>19.5</v>
      </c>
      <c r="CF703" s="61">
        <f t="shared" si="4275"/>
        <v>80.555555555555543</v>
      </c>
      <c r="CG703" s="359">
        <f>18.6</f>
        <v>18.600000000000001</v>
      </c>
      <c r="CH703" s="61">
        <f t="shared" si="4275"/>
        <v>46.456692913385858</v>
      </c>
      <c r="CI703" s="359">
        <v>16</v>
      </c>
      <c r="CJ703" s="61">
        <f t="shared" si="4275"/>
        <v>1.9108280254777066</v>
      </c>
      <c r="CK703" s="359">
        <v>15.4</v>
      </c>
      <c r="CL703" s="61">
        <f t="shared" si="4275"/>
        <v>-22.222222222222221</v>
      </c>
      <c r="CM703" s="359">
        <v>12.8</v>
      </c>
      <c r="CN703" s="61">
        <f t="shared" si="4275"/>
        <v>-34.358974358974358</v>
      </c>
      <c r="CO703" s="359">
        <v>14</v>
      </c>
      <c r="CP703" s="61">
        <f t="shared" si="4275"/>
        <v>-24.731182795698924</v>
      </c>
      <c r="CQ703" s="359">
        <v>12.4</v>
      </c>
      <c r="CR703" s="61">
        <f t="shared" si="4275"/>
        <v>-22.499999999999996</v>
      </c>
      <c r="CS703" s="359">
        <v>15.2</v>
      </c>
      <c r="CT703" s="61">
        <f t="shared" si="4275"/>
        <v>-1.2987012987013102</v>
      </c>
      <c r="CU703" s="359">
        <v>13.1</v>
      </c>
      <c r="CV703" s="61">
        <f t="shared" si="4275"/>
        <v>2.34375</v>
      </c>
      <c r="CW703" s="359">
        <v>13</v>
      </c>
      <c r="CX703" s="61"/>
      <c r="CY703" s="359">
        <v>16</v>
      </c>
      <c r="CZ703" s="61"/>
      <c r="DA703" s="359">
        <v>19</v>
      </c>
      <c r="DB703" s="61"/>
      <c r="DC703" s="359">
        <v>16</v>
      </c>
      <c r="DD703" s="61"/>
      <c r="DE703" s="359">
        <v>23</v>
      </c>
      <c r="DF703" s="61"/>
      <c r="DG703" s="359">
        <v>24</v>
      </c>
      <c r="DH703" s="61"/>
      <c r="DI703" s="359">
        <v>26</v>
      </c>
      <c r="DJ703" s="61"/>
      <c r="DK703" s="359">
        <v>23</v>
      </c>
      <c r="DL703" s="61"/>
      <c r="DM703" s="359">
        <v>23</v>
      </c>
      <c r="DN703" s="130">
        <f t="shared" si="4276"/>
        <v>0</v>
      </c>
      <c r="DO703" s="359">
        <v>23</v>
      </c>
      <c r="DP703" s="130">
        <f t="shared" si="4276"/>
        <v>-4.1666666666666625</v>
      </c>
      <c r="DQ703" s="359">
        <v>21</v>
      </c>
      <c r="DR703" s="130">
        <f t="shared" si="4276"/>
        <v>-19.23076923076923</v>
      </c>
      <c r="DS703" s="359">
        <v>19</v>
      </c>
      <c r="DT703" s="130">
        <f t="shared" si="4276"/>
        <v>-17.391304347826086</v>
      </c>
      <c r="DU703" s="359">
        <v>21</v>
      </c>
      <c r="DV703" s="130">
        <f t="shared" si="4276"/>
        <v>-8.6956521739130483</v>
      </c>
      <c r="DW703" s="359">
        <v>20</v>
      </c>
      <c r="DX703" s="359">
        <v>20</v>
      </c>
      <c r="DY703" s="359">
        <v>25</v>
      </c>
      <c r="DZ703" s="130">
        <f t="shared" si="4276"/>
        <v>19.047619047619047</v>
      </c>
      <c r="EA703" s="359">
        <v>25</v>
      </c>
      <c r="EB703" s="130">
        <f t="shared" si="4277"/>
        <v>31.578947368421062</v>
      </c>
      <c r="EC703" s="359">
        <v>30</v>
      </c>
      <c r="ED703" s="130">
        <f t="shared" si="4278"/>
        <v>42.857142857142861</v>
      </c>
      <c r="EE703" s="359">
        <v>31</v>
      </c>
      <c r="EF703" s="130">
        <f t="shared" si="4279"/>
        <v>55.000000000000007</v>
      </c>
      <c r="EG703" s="359">
        <v>29</v>
      </c>
      <c r="EH703" s="130">
        <f t="shared" si="4280"/>
        <v>15.999999999999993</v>
      </c>
      <c r="EI703" s="359">
        <v>27</v>
      </c>
      <c r="EJ703" s="130">
        <f t="shared" si="4281"/>
        <v>8.0000000000000071</v>
      </c>
      <c r="EK703" s="359">
        <v>28</v>
      </c>
      <c r="EL703" s="130">
        <f t="shared" si="4282"/>
        <v>-6.6666666666666652</v>
      </c>
      <c r="EM703" s="359">
        <v>29</v>
      </c>
      <c r="EN703" s="130">
        <f t="shared" si="4283"/>
        <v>-6.4516129032258114</v>
      </c>
      <c r="EO703" s="359">
        <v>30</v>
      </c>
      <c r="EP703" s="130">
        <f t="shared" si="4284"/>
        <v>3.4482758620689724</v>
      </c>
      <c r="EQ703" s="12"/>
      <c r="ER703" s="130" t="str">
        <f t="shared" si="4285"/>
        <v>NM</v>
      </c>
      <c r="ES703" s="12"/>
      <c r="ET703" s="130" t="str">
        <f t="shared" si="4286"/>
        <v>NM</v>
      </c>
      <c r="EU703" s="12"/>
      <c r="EV703" s="130" t="str">
        <f t="shared" si="4287"/>
        <v>NM</v>
      </c>
      <c r="EW703" s="12"/>
      <c r="EX703" s="130" t="str">
        <f t="shared" si="4288"/>
        <v>NM</v>
      </c>
      <c r="EY703" s="56"/>
      <c r="EZ703" s="558"/>
      <c r="FA703" s="56"/>
      <c r="FB703" s="12"/>
      <c r="FC703" s="13"/>
      <c r="FD703" s="12"/>
      <c r="FE703" s="13"/>
      <c r="FF703" s="19"/>
      <c r="FG703" s="13"/>
      <c r="FH703" s="19"/>
      <c r="FI703" s="13"/>
      <c r="FJ703" s="19"/>
      <c r="FK703" s="13"/>
      <c r="FL703" s="57"/>
      <c r="FM703" s="13"/>
      <c r="FN703" s="57"/>
      <c r="FO703" s="13"/>
      <c r="FP703" s="12"/>
      <c r="FQ703" s="61"/>
      <c r="FR703" s="12"/>
      <c r="FS703" s="61"/>
      <c r="FT703" s="12"/>
      <c r="FU703" s="61"/>
      <c r="FV703" s="12"/>
      <c r="FW703" s="61"/>
      <c r="FX703" s="12"/>
      <c r="FY703" s="61"/>
      <c r="FZ703" s="12"/>
      <c r="GA703" s="61"/>
      <c r="GB703" s="12"/>
      <c r="GC703" s="61"/>
      <c r="GD703" s="12"/>
      <c r="GE703" s="61"/>
      <c r="GF703" s="12"/>
      <c r="GG703" s="61"/>
      <c r="GH703" s="12"/>
      <c r="GI703" s="61"/>
      <c r="GJ703" s="12"/>
      <c r="GK703" s="61"/>
      <c r="GL703" s="12"/>
      <c r="GM703" s="61"/>
      <c r="GN703" s="12"/>
      <c r="GO703" s="61"/>
      <c r="GP703" s="12"/>
      <c r="GQ703" s="61"/>
      <c r="GR703" s="57"/>
      <c r="GS703" s="61"/>
      <c r="GT703" s="57"/>
      <c r="GU703" s="61"/>
      <c r="GV703" s="57"/>
      <c r="GW703" s="61"/>
      <c r="GX703" s="57"/>
      <c r="GY703" s="61"/>
      <c r="GZ703" s="61"/>
      <c r="HA703" s="61"/>
      <c r="HB703" s="452"/>
      <c r="HC703"/>
      <c r="HD703"/>
      <c r="HE703"/>
      <c r="HF703"/>
      <c r="HG703"/>
      <c r="HH703"/>
    </row>
    <row r="704" spans="1:216" s="5" customFormat="1" ht="12.75" customHeight="1" x14ac:dyDescent="0.2">
      <c r="A704" s="8"/>
      <c r="B704" s="7" t="s">
        <v>484</v>
      </c>
      <c r="C704" s="12"/>
      <c r="D704" s="13"/>
      <c r="E704" s="12"/>
      <c r="F704" s="13"/>
      <c r="G704" s="12"/>
      <c r="H704" s="13"/>
      <c r="I704" s="12"/>
      <c r="J704" s="13"/>
      <c r="K704" s="12"/>
      <c r="L704" s="70"/>
      <c r="M704" s="12"/>
      <c r="N704" s="70"/>
      <c r="O704" s="12"/>
      <c r="P704" s="70"/>
      <c r="Q704" s="12"/>
      <c r="R704" s="70"/>
      <c r="S704" s="12"/>
      <c r="T704" s="70"/>
      <c r="U704" s="12"/>
      <c r="V704" s="70"/>
      <c r="W704" s="12"/>
      <c r="X704" s="70"/>
      <c r="Y704" s="12"/>
      <c r="Z704" s="70"/>
      <c r="AA704" s="12"/>
      <c r="AB704" s="70"/>
      <c r="AC704" s="12"/>
      <c r="AD704" s="70"/>
      <c r="AE704" s="12"/>
      <c r="AF704" s="70"/>
      <c r="AG704" s="12"/>
      <c r="AH704" s="70"/>
      <c r="AI704" s="12"/>
      <c r="AJ704" s="61"/>
      <c r="AK704" s="12"/>
      <c r="AL704" s="61"/>
      <c r="AM704" s="12"/>
      <c r="AN704" s="61"/>
      <c r="AO704" s="12"/>
      <c r="AP704" s="61"/>
      <c r="AQ704" s="12">
        <f>SUM(AQ701:AQ703)</f>
        <v>55.6</v>
      </c>
      <c r="AR704" s="61" t="str">
        <f t="shared" si="4270"/>
        <v>NA</v>
      </c>
      <c r="AS704" s="12">
        <f>SUM(AS701:AS703)</f>
        <v>65.2</v>
      </c>
      <c r="AT704" s="61" t="str">
        <f t="shared" si="4271"/>
        <v>NA</v>
      </c>
      <c r="AU704" s="12">
        <f>SUM(AU701:AU703)</f>
        <v>64.400000000000006</v>
      </c>
      <c r="AV704" s="61" t="str">
        <f t="shared" si="4272"/>
        <v>NA</v>
      </c>
      <c r="AW704" s="12">
        <f>SUM(AW701:AW703)</f>
        <v>82.4</v>
      </c>
      <c r="AX704" s="61" t="str">
        <f t="shared" si="4273"/>
        <v>NA</v>
      </c>
      <c r="AY704" s="12">
        <f>SUM(AY701:AY703)</f>
        <v>59.400000000000006</v>
      </c>
      <c r="AZ704" s="61">
        <f t="shared" si="4274"/>
        <v>6.8345323741007213</v>
      </c>
      <c r="BA704" s="12">
        <f>SUM(BA701:BA703)</f>
        <v>121.10000000000001</v>
      </c>
      <c r="BB704" s="61">
        <f t="shared" si="4275"/>
        <v>85.736196319018404</v>
      </c>
      <c r="BC704" s="12">
        <f>SUM(BC701:BC703)</f>
        <v>141.89999999999998</v>
      </c>
      <c r="BD704" s="61" t="str">
        <f t="shared" si="4275"/>
        <v>NM</v>
      </c>
      <c r="BE704" s="12">
        <f>SUM(BE701:BE703)</f>
        <v>208.1</v>
      </c>
      <c r="BF704" s="61" t="str">
        <f t="shared" si="4275"/>
        <v>NM</v>
      </c>
      <c r="BG704" s="12">
        <f>SUM(BG701:BG703)</f>
        <v>194.29999999999998</v>
      </c>
      <c r="BH704" s="61" t="str">
        <f t="shared" si="4275"/>
        <v>NM</v>
      </c>
      <c r="BI704" s="12">
        <f>SUM(BI701:BI703)</f>
        <v>172.20000000000002</v>
      </c>
      <c r="BJ704" s="61">
        <f t="shared" si="4275"/>
        <v>42.196531791907518</v>
      </c>
      <c r="BK704" s="12">
        <f>SUM(BK701:BK703)</f>
        <v>172.8</v>
      </c>
      <c r="BL704" s="61">
        <f t="shared" si="4275"/>
        <v>21.775898520084592</v>
      </c>
      <c r="BM704" s="12">
        <f>SUM(BM701:BM703)</f>
        <v>175.50000000000003</v>
      </c>
      <c r="BN704" s="61">
        <f t="shared" si="4275"/>
        <v>-15.665545410860149</v>
      </c>
      <c r="BO704" s="12">
        <f>SUM(BO701:BO703)</f>
        <v>140.30000000000001</v>
      </c>
      <c r="BP704" s="61">
        <f t="shared" si="4275"/>
        <v>-27.792074112197618</v>
      </c>
      <c r="BQ704" s="12">
        <f>SUM(BQ701:BQ703)</f>
        <v>147.5</v>
      </c>
      <c r="BR704" s="61">
        <f t="shared" si="4275"/>
        <v>-14.343786295005811</v>
      </c>
      <c r="BS704" s="12">
        <f>SUM(BS701:BS703)</f>
        <v>170.70000000000002</v>
      </c>
      <c r="BT704" s="61">
        <f t="shared" si="4275"/>
        <v>-1.215277777777779</v>
      </c>
      <c r="BU704" s="12">
        <f>SUM(BU701:BU703)</f>
        <v>180.7</v>
      </c>
      <c r="BV704" s="61">
        <f t="shared" si="4275"/>
        <v>2.962962962962945</v>
      </c>
      <c r="BW704" s="12">
        <f>SUM(BW701:BW703)</f>
        <v>133.5</v>
      </c>
      <c r="BX704" s="61">
        <f t="shared" si="4275"/>
        <v>-4.8467569493941598</v>
      </c>
      <c r="BY704" s="12">
        <f>SUM(BY701:BY703)</f>
        <v>119</v>
      </c>
      <c r="BZ704" s="61">
        <f t="shared" si="4275"/>
        <v>-19.322033898305079</v>
      </c>
      <c r="CA704" s="12">
        <f>SUM(CA701:CA703)</f>
        <v>131.80000000000001</v>
      </c>
      <c r="CB704" s="61">
        <f t="shared" si="4275"/>
        <v>-22.788517867603986</v>
      </c>
      <c r="CC704" s="12">
        <f>SUM(CC701:CC703)</f>
        <v>174.10000000000002</v>
      </c>
      <c r="CD704" s="61">
        <f t="shared" si="4275"/>
        <v>-3.6524626452683839</v>
      </c>
      <c r="CE704" s="12">
        <f>SUM(CE701:CE703)</f>
        <v>135.80000000000001</v>
      </c>
      <c r="CF704" s="61">
        <f t="shared" si="4275"/>
        <v>1.7228464419475786</v>
      </c>
      <c r="CG704" s="12">
        <f>SUM(CG701:CG703)</f>
        <v>129.5</v>
      </c>
      <c r="CH704" s="61">
        <f t="shared" si="4275"/>
        <v>8.8235294117646959</v>
      </c>
      <c r="CI704" s="12">
        <f>SUM(CI701:CI703)</f>
        <v>130.6</v>
      </c>
      <c r="CJ704" s="61">
        <f t="shared" si="4275"/>
        <v>-0.91047040971169446</v>
      </c>
      <c r="CK704" s="12">
        <f>SUM(CK701:CK703)</f>
        <v>177.8</v>
      </c>
      <c r="CL704" s="61">
        <f t="shared" si="4275"/>
        <v>2.125215393452029</v>
      </c>
      <c r="CM704" s="12">
        <f>SUM(CM701:CM703)</f>
        <v>142</v>
      </c>
      <c r="CN704" s="61">
        <f t="shared" si="4275"/>
        <v>4.5655375552282607</v>
      </c>
      <c r="CO704" s="12">
        <f>SUM(CO701:CO703)</f>
        <v>147</v>
      </c>
      <c r="CP704" s="61">
        <f t="shared" si="4275"/>
        <v>13.513513513513509</v>
      </c>
      <c r="CQ704" s="12">
        <f>SUM(CQ701:CQ703)</f>
        <v>147.4</v>
      </c>
      <c r="CR704" s="61">
        <f t="shared" si="4275"/>
        <v>12.863705972434936</v>
      </c>
      <c r="CS704" s="12">
        <f>SUM(CS701:CS703)</f>
        <v>171.7</v>
      </c>
      <c r="CT704" s="61">
        <f t="shared" si="4275"/>
        <v>-3.4308211473565886</v>
      </c>
      <c r="CU704" s="12">
        <f>SUM(CU701:CU703)</f>
        <v>110.49999999999999</v>
      </c>
      <c r="CV704" s="61">
        <f t="shared" si="4275"/>
        <v>-22.18309859154931</v>
      </c>
      <c r="CW704" s="12">
        <f>SUM(CW701:CW703)</f>
        <v>117</v>
      </c>
      <c r="CX704" s="61"/>
      <c r="CY704" s="12">
        <f>SUM(CY701:CY703)</f>
        <v>103</v>
      </c>
      <c r="CZ704" s="61"/>
      <c r="DA704" s="12">
        <f>SUM(DA701:DA703)</f>
        <v>148</v>
      </c>
      <c r="DB704" s="61"/>
      <c r="DC704" s="12">
        <f>SUM(DC701:DC703)</f>
        <v>125</v>
      </c>
      <c r="DD704" s="61"/>
      <c r="DE704" s="12">
        <f>SUM(DE701:DE703)</f>
        <v>147</v>
      </c>
      <c r="DF704" s="61"/>
      <c r="DG704" s="12">
        <f>SUM(DG701:DG703)</f>
        <v>153</v>
      </c>
      <c r="DH704" s="61"/>
      <c r="DI704" s="12">
        <f>SUM(DI701:DI703)</f>
        <v>171</v>
      </c>
      <c r="DJ704" s="61"/>
      <c r="DK704" s="12">
        <f>SUM(DK701:DK703)</f>
        <v>142</v>
      </c>
      <c r="DL704" s="61"/>
      <c r="DM704" s="12">
        <f>SUM(DM701:DM703)</f>
        <v>158</v>
      </c>
      <c r="DN704" s="130">
        <f t="shared" si="4276"/>
        <v>7.4829931972789199</v>
      </c>
      <c r="DO704" s="12">
        <f>SUM(DO701:DO703)</f>
        <v>155</v>
      </c>
      <c r="DP704" s="130">
        <f t="shared" si="4276"/>
        <v>1.3071895424836555</v>
      </c>
      <c r="DQ704" s="12">
        <f>SUM(DQ701:DQ703)</f>
        <v>170</v>
      </c>
      <c r="DR704" s="130">
        <f t="shared" si="4276"/>
        <v>-0.58479532163743242</v>
      </c>
      <c r="DS704" s="12">
        <f>SUM(DS701:DS703)</f>
        <v>139</v>
      </c>
      <c r="DT704" s="130">
        <f t="shared" si="4276"/>
        <v>-2.1126760563380254</v>
      </c>
      <c r="DU704" s="12">
        <f>SUM(DU701:DU703)</f>
        <v>155</v>
      </c>
      <c r="DV704" s="130">
        <f t="shared" si="4276"/>
        <v>-1.8987341772151889</v>
      </c>
      <c r="DW704" s="12">
        <f>SUM(DW701:DW703)</f>
        <v>163</v>
      </c>
      <c r="DX704" s="12">
        <f t="shared" ref="DX704:DY704" si="4289">SUM(DX701:DX703)</f>
        <v>163</v>
      </c>
      <c r="DY704" s="12">
        <f t="shared" si="4289"/>
        <v>189</v>
      </c>
      <c r="DZ704" s="130">
        <f t="shared" si="4276"/>
        <v>11.176470588235299</v>
      </c>
      <c r="EA704" s="12">
        <f t="shared" ref="EA704:EC704" si="4290">SUM(EA701:EA703)</f>
        <v>132</v>
      </c>
      <c r="EB704" s="130">
        <f t="shared" si="4277"/>
        <v>-5.0359712230215852</v>
      </c>
      <c r="EC704" s="12">
        <f t="shared" si="4290"/>
        <v>164</v>
      </c>
      <c r="ED704" s="130">
        <f t="shared" si="4278"/>
        <v>5.8064516129032295</v>
      </c>
      <c r="EE704" s="12">
        <f t="shared" ref="EE704:EG704" si="4291">SUM(EE701:EE703)</f>
        <v>185</v>
      </c>
      <c r="EF704" s="130">
        <f t="shared" si="4279"/>
        <v>13.496932515337434</v>
      </c>
      <c r="EG704" s="12">
        <f t="shared" si="4291"/>
        <v>211</v>
      </c>
      <c r="EH704" s="130">
        <f t="shared" si="4280"/>
        <v>11.64021164021165</v>
      </c>
      <c r="EI704" s="12">
        <f t="shared" ref="EI704:EK704" si="4292">SUM(EI701:EI703)</f>
        <v>158</v>
      </c>
      <c r="EJ704" s="130">
        <f t="shared" si="4281"/>
        <v>19.696969696969703</v>
      </c>
      <c r="EK704" s="12">
        <f t="shared" si="4292"/>
        <v>188</v>
      </c>
      <c r="EL704" s="130">
        <f t="shared" si="4282"/>
        <v>14.634146341463406</v>
      </c>
      <c r="EM704" s="12">
        <f t="shared" ref="EM704" si="4293">SUM(EM701:EM703)</f>
        <v>168</v>
      </c>
      <c r="EN704" s="130">
        <f t="shared" si="4283"/>
        <v>-9.1891891891891841</v>
      </c>
      <c r="EO704" s="12">
        <f t="shared" ref="EO704" si="4294">SUM(EO701:EO703)</f>
        <v>185</v>
      </c>
      <c r="EP704" s="130">
        <f t="shared" si="4284"/>
        <v>-12.322274881516593</v>
      </c>
      <c r="EQ704" s="12"/>
      <c r="ER704" s="130" t="str">
        <f t="shared" si="4285"/>
        <v>NM</v>
      </c>
      <c r="ES704" s="12"/>
      <c r="ET704" s="130" t="str">
        <f t="shared" si="4286"/>
        <v>NM</v>
      </c>
      <c r="EU704" s="12"/>
      <c r="EV704" s="130" t="str">
        <f t="shared" si="4287"/>
        <v>NM</v>
      </c>
      <c r="EW704" s="12"/>
      <c r="EX704" s="130" t="str">
        <f t="shared" si="4288"/>
        <v>NM</v>
      </c>
      <c r="EY704" s="56"/>
      <c r="EZ704" s="558"/>
      <c r="FA704" s="56"/>
      <c r="FB704" s="12"/>
      <c r="FC704" s="13"/>
      <c r="FD704" s="12"/>
      <c r="FE704" s="13"/>
      <c r="FF704" s="19"/>
      <c r="FG704" s="13"/>
      <c r="FH704" s="19"/>
      <c r="FI704" s="13"/>
      <c r="FJ704" s="19"/>
      <c r="FK704" s="13"/>
      <c r="FL704" s="57"/>
      <c r="FM704" s="13"/>
      <c r="FN704" s="57"/>
      <c r="FO704" s="13"/>
      <c r="FP704" s="12"/>
      <c r="FQ704" s="61"/>
      <c r="FR704" s="12"/>
      <c r="FS704" s="61"/>
      <c r="FT704" s="12"/>
      <c r="FU704" s="61"/>
      <c r="FV704" s="12"/>
      <c r="FW704" s="61"/>
      <c r="FX704" s="12"/>
      <c r="FY704" s="61"/>
      <c r="FZ704" s="12"/>
      <c r="GA704" s="61"/>
      <c r="GB704" s="12"/>
      <c r="GC704" s="61"/>
      <c r="GD704" s="12"/>
      <c r="GE704" s="61"/>
      <c r="GF704" s="12"/>
      <c r="GG704" s="61"/>
      <c r="GH704" s="12"/>
      <c r="GI704" s="61"/>
      <c r="GJ704" s="12"/>
      <c r="GK704" s="61"/>
      <c r="GL704" s="12"/>
      <c r="GM704" s="61"/>
      <c r="GN704" s="12"/>
      <c r="GO704" s="61"/>
      <c r="GP704" s="12"/>
      <c r="GQ704" s="61"/>
      <c r="GR704" s="57"/>
      <c r="GS704" s="61"/>
      <c r="GT704" s="57"/>
      <c r="GU704" s="61"/>
      <c r="GV704" s="57"/>
      <c r="GW704" s="61"/>
      <c r="GX704" s="57"/>
      <c r="GY704" s="61"/>
      <c r="GZ704" s="61"/>
      <c r="HA704" s="61"/>
      <c r="HB704" s="452"/>
      <c r="HC704"/>
      <c r="HD704"/>
      <c r="HE704"/>
      <c r="HF704"/>
      <c r="HG704"/>
      <c r="HH704"/>
    </row>
    <row r="705" spans="1:216" s="5" customFormat="1" ht="12.75" customHeight="1" x14ac:dyDescent="0.2">
      <c r="A705" s="8" t="s">
        <v>599</v>
      </c>
      <c r="B705" s="7" t="s">
        <v>485</v>
      </c>
      <c r="C705" s="359"/>
      <c r="D705" s="13"/>
      <c r="E705" s="359"/>
      <c r="F705" s="13"/>
      <c r="G705" s="359"/>
      <c r="H705" s="13"/>
      <c r="I705" s="359"/>
      <c r="J705" s="13"/>
      <c r="K705" s="359"/>
      <c r="L705" s="70"/>
      <c r="M705" s="359"/>
      <c r="N705" s="70"/>
      <c r="O705" s="359"/>
      <c r="P705" s="70"/>
      <c r="Q705" s="359"/>
      <c r="R705" s="70"/>
      <c r="S705" s="359"/>
      <c r="T705" s="70"/>
      <c r="U705" s="359"/>
      <c r="V705" s="70"/>
      <c r="W705" s="359"/>
      <c r="X705" s="70"/>
      <c r="Y705" s="359"/>
      <c r="Z705" s="70"/>
      <c r="AA705" s="359"/>
      <c r="AB705" s="70"/>
      <c r="AC705" s="359"/>
      <c r="AD705" s="70"/>
      <c r="AE705" s="359"/>
      <c r="AF705" s="70"/>
      <c r="AG705" s="359"/>
      <c r="AH705" s="70"/>
      <c r="AI705" s="359"/>
      <c r="AJ705" s="61"/>
      <c r="AK705" s="359"/>
      <c r="AL705" s="61"/>
      <c r="AM705" s="359"/>
      <c r="AN705" s="61"/>
      <c r="AO705" s="359"/>
      <c r="AP705" s="61"/>
      <c r="AQ705" s="359">
        <v>19</v>
      </c>
      <c r="AR705" s="61" t="str">
        <f t="shared" si="4270"/>
        <v>NA</v>
      </c>
      <c r="AS705" s="359">
        <v>7.8</v>
      </c>
      <c r="AT705" s="61" t="str">
        <f t="shared" si="4271"/>
        <v>NA</v>
      </c>
      <c r="AU705" s="359">
        <v>17.100000000000001</v>
      </c>
      <c r="AV705" s="61" t="str">
        <f t="shared" si="4272"/>
        <v>NA</v>
      </c>
      <c r="AW705" s="359">
        <v>10.1</v>
      </c>
      <c r="AX705" s="61" t="str">
        <f t="shared" si="4273"/>
        <v>NA</v>
      </c>
      <c r="AY705" s="359">
        <v>16.100000000000001</v>
      </c>
      <c r="AZ705" s="61">
        <f t="shared" si="4274"/>
        <v>-15.263157894736834</v>
      </c>
      <c r="BA705" s="359">
        <v>17.2</v>
      </c>
      <c r="BB705" s="61" t="str">
        <f t="shared" si="4275"/>
        <v>NM</v>
      </c>
      <c r="BC705" s="359">
        <v>16.3</v>
      </c>
      <c r="BD705" s="61">
        <f t="shared" si="4275"/>
        <v>-4.6783625730994149</v>
      </c>
      <c r="BE705" s="359">
        <v>16.3</v>
      </c>
      <c r="BF705" s="61">
        <f t="shared" si="4275"/>
        <v>61.386138613861398</v>
      </c>
      <c r="BG705" s="359">
        <v>16.3</v>
      </c>
      <c r="BH705" s="61">
        <f t="shared" si="4275"/>
        <v>1.2422360248447228</v>
      </c>
      <c r="BI705" s="359">
        <v>16.3</v>
      </c>
      <c r="BJ705" s="61">
        <f t="shared" si="4275"/>
        <v>-5.2325581395348708</v>
      </c>
      <c r="BK705" s="359">
        <v>18</v>
      </c>
      <c r="BL705" s="61">
        <f t="shared" si="4275"/>
        <v>10.42944785276072</v>
      </c>
      <c r="BM705" s="359">
        <v>39.4</v>
      </c>
      <c r="BN705" s="61" t="str">
        <f t="shared" si="4275"/>
        <v>NM</v>
      </c>
      <c r="BO705" s="359">
        <v>28.2</v>
      </c>
      <c r="BP705" s="61">
        <f t="shared" si="4275"/>
        <v>73.006134969325132</v>
      </c>
      <c r="BQ705" s="359">
        <v>12.9</v>
      </c>
      <c r="BR705" s="61">
        <f t="shared" si="4275"/>
        <v>-20.858895705521473</v>
      </c>
      <c r="BS705" s="359">
        <v>12.7</v>
      </c>
      <c r="BT705" s="61">
        <f t="shared" si="4275"/>
        <v>-29.44444444444445</v>
      </c>
      <c r="BU705" s="359">
        <v>30.7</v>
      </c>
      <c r="BV705" s="61">
        <f t="shared" si="4275"/>
        <v>-22.08121827411167</v>
      </c>
      <c r="BW705" s="359">
        <v>11.7</v>
      </c>
      <c r="BX705" s="61" t="str">
        <f t="shared" si="4275"/>
        <v>NM</v>
      </c>
      <c r="BY705" s="359">
        <v>4.7</v>
      </c>
      <c r="BZ705" s="61" t="str">
        <f t="shared" si="4275"/>
        <v>NM</v>
      </c>
      <c r="CA705" s="359">
        <v>14.4</v>
      </c>
      <c r="CB705" s="61">
        <f t="shared" si="4275"/>
        <v>13.385826771653541</v>
      </c>
      <c r="CC705" s="359">
        <v>20.7</v>
      </c>
      <c r="CD705" s="61">
        <f t="shared" si="4275"/>
        <v>-32.573289902280131</v>
      </c>
      <c r="CE705" s="359">
        <v>6.8</v>
      </c>
      <c r="CF705" s="61">
        <f t="shared" si="4275"/>
        <v>-41.880341880341874</v>
      </c>
      <c r="CG705" s="359">
        <v>10.3</v>
      </c>
      <c r="CH705" s="61" t="str">
        <f t="shared" si="4275"/>
        <v>NM</v>
      </c>
      <c r="CI705" s="359">
        <v>17.8</v>
      </c>
      <c r="CJ705" s="61">
        <f t="shared" si="4275"/>
        <v>23.611111111111114</v>
      </c>
      <c r="CK705" s="359">
        <v>28</v>
      </c>
      <c r="CL705" s="61">
        <f t="shared" si="4275"/>
        <v>35.265700483091791</v>
      </c>
      <c r="CM705" s="359">
        <v>17</v>
      </c>
      <c r="CN705" s="61" t="str">
        <f t="shared" si="4275"/>
        <v>NM</v>
      </c>
      <c r="CO705" s="359">
        <v>10</v>
      </c>
      <c r="CP705" s="61">
        <f t="shared" si="4275"/>
        <v>-2.9126213592233108</v>
      </c>
      <c r="CQ705" s="359">
        <v>7.5</v>
      </c>
      <c r="CR705" s="61" t="str">
        <f t="shared" si="4275"/>
        <v>NM</v>
      </c>
      <c r="CS705" s="359">
        <v>57.1</v>
      </c>
      <c r="CT705" s="61" t="str">
        <f t="shared" si="4275"/>
        <v>NM</v>
      </c>
      <c r="CU705" s="359">
        <v>11.2</v>
      </c>
      <c r="CV705" s="61">
        <f t="shared" si="4275"/>
        <v>-34.117647058823529</v>
      </c>
      <c r="CW705" s="359">
        <v>11</v>
      </c>
      <c r="CX705" s="61"/>
      <c r="CY705" s="359">
        <v>9</v>
      </c>
      <c r="CZ705" s="61"/>
      <c r="DA705" s="359">
        <v>78</v>
      </c>
      <c r="DB705" s="61"/>
      <c r="DC705" s="359">
        <v>26</v>
      </c>
      <c r="DD705" s="61"/>
      <c r="DE705" s="359">
        <v>39</v>
      </c>
      <c r="DF705" s="61"/>
      <c r="DG705" s="359">
        <v>15</v>
      </c>
      <c r="DH705" s="61"/>
      <c r="DI705" s="359">
        <v>16</v>
      </c>
      <c r="DJ705" s="61"/>
      <c r="DK705" s="359">
        <v>3</v>
      </c>
      <c r="DL705" s="61"/>
      <c r="DM705" s="359">
        <v>14</v>
      </c>
      <c r="DN705" s="130" t="str">
        <f t="shared" si="4276"/>
        <v>NM</v>
      </c>
      <c r="DO705" s="359">
        <v>5</v>
      </c>
      <c r="DP705" s="130" t="str">
        <f t="shared" si="4276"/>
        <v>NM</v>
      </c>
      <c r="DQ705" s="359">
        <v>22</v>
      </c>
      <c r="DR705" s="130">
        <f t="shared" si="4276"/>
        <v>37.5</v>
      </c>
      <c r="DS705" s="359">
        <v>14</v>
      </c>
      <c r="DT705" s="130" t="str">
        <f t="shared" si="4276"/>
        <v>NM</v>
      </c>
      <c r="DU705" s="359">
        <v>46</v>
      </c>
      <c r="DV705" s="130" t="str">
        <f t="shared" si="4276"/>
        <v>NM</v>
      </c>
      <c r="DW705" s="359">
        <v>10</v>
      </c>
      <c r="DX705" s="359">
        <v>10</v>
      </c>
      <c r="DY705" s="359">
        <v>9</v>
      </c>
      <c r="DZ705" s="130" t="str">
        <f t="shared" si="4276"/>
        <v>NM</v>
      </c>
      <c r="EA705" s="359">
        <v>7</v>
      </c>
      <c r="EB705" s="130">
        <f t="shared" si="4277"/>
        <v>-50</v>
      </c>
      <c r="EC705" s="359">
        <v>9</v>
      </c>
      <c r="ED705" s="130" t="str">
        <f t="shared" si="4278"/>
        <v>NM</v>
      </c>
      <c r="EE705" s="359">
        <v>8</v>
      </c>
      <c r="EF705" s="130">
        <f t="shared" si="4279"/>
        <v>-19.999999999999996</v>
      </c>
      <c r="EG705" s="359">
        <v>20</v>
      </c>
      <c r="EH705" s="130" t="str">
        <f t="shared" si="4280"/>
        <v>NM</v>
      </c>
      <c r="EI705" s="359">
        <v>23</v>
      </c>
      <c r="EJ705" s="130" t="str">
        <f t="shared" si="4281"/>
        <v>NM</v>
      </c>
      <c r="EK705" s="359">
        <v>9</v>
      </c>
      <c r="EL705" s="130">
        <f t="shared" si="4282"/>
        <v>0</v>
      </c>
      <c r="EM705" s="359">
        <v>10</v>
      </c>
      <c r="EN705" s="130">
        <f t="shared" si="4283"/>
        <v>25</v>
      </c>
      <c r="EO705" s="359">
        <v>57</v>
      </c>
      <c r="EP705" s="130" t="str">
        <f t="shared" si="4284"/>
        <v>NM</v>
      </c>
      <c r="EQ705" s="12"/>
      <c r="ER705" s="130" t="str">
        <f t="shared" si="4285"/>
        <v>NM</v>
      </c>
      <c r="ES705" s="12"/>
      <c r="ET705" s="130" t="str">
        <f t="shared" si="4286"/>
        <v>NM</v>
      </c>
      <c r="EU705" s="12"/>
      <c r="EV705" s="130" t="str">
        <f t="shared" si="4287"/>
        <v>NM</v>
      </c>
      <c r="EW705" s="12"/>
      <c r="EX705" s="130" t="str">
        <f t="shared" si="4288"/>
        <v>NM</v>
      </c>
      <c r="EY705" s="56"/>
      <c r="EZ705" s="558"/>
      <c r="FA705" s="56"/>
      <c r="FB705" s="12"/>
      <c r="FC705" s="13"/>
      <c r="FD705" s="12"/>
      <c r="FE705" s="13"/>
      <c r="FF705" s="19"/>
      <c r="FG705" s="13"/>
      <c r="FH705" s="19"/>
      <c r="FI705" s="13"/>
      <c r="FJ705" s="19"/>
      <c r="FK705" s="13"/>
      <c r="FL705" s="57"/>
      <c r="FM705" s="13"/>
      <c r="FN705" s="57"/>
      <c r="FO705" s="13"/>
      <c r="FP705" s="12"/>
      <c r="FQ705" s="61"/>
      <c r="FR705" s="12"/>
      <c r="FS705" s="61"/>
      <c r="FT705" s="12"/>
      <c r="FU705" s="61"/>
      <c r="FV705" s="12"/>
      <c r="FW705" s="61"/>
      <c r="FX705" s="12"/>
      <c r="FY705" s="61"/>
      <c r="FZ705" s="12"/>
      <c r="GA705" s="61"/>
      <c r="GB705" s="12"/>
      <c r="GC705" s="61"/>
      <c r="GD705" s="12"/>
      <c r="GE705" s="61"/>
      <c r="GF705" s="12"/>
      <c r="GG705" s="61"/>
      <c r="GH705" s="12"/>
      <c r="GI705" s="61"/>
      <c r="GJ705" s="12"/>
      <c r="GK705" s="61"/>
      <c r="GL705" s="12"/>
      <c r="GM705" s="61"/>
      <c r="GN705" s="12"/>
      <c r="GO705" s="61"/>
      <c r="GP705" s="12"/>
      <c r="GQ705" s="61"/>
      <c r="GR705" s="57"/>
      <c r="GS705" s="61"/>
      <c r="GT705" s="57"/>
      <c r="GU705" s="61"/>
      <c r="GV705" s="57"/>
      <c r="GW705" s="61"/>
      <c r="GX705" s="57"/>
      <c r="GY705" s="61"/>
      <c r="GZ705" s="61"/>
      <c r="HA705" s="61"/>
      <c r="HB705" s="452"/>
      <c r="HC705"/>
      <c r="HD705"/>
      <c r="HE705"/>
      <c r="HF705"/>
      <c r="HG705"/>
      <c r="HH705"/>
    </row>
    <row r="706" spans="1:216" s="5" customFormat="1" ht="12.75" customHeight="1" x14ac:dyDescent="0.2">
      <c r="A706" s="8"/>
      <c r="B706" s="7" t="s">
        <v>486</v>
      </c>
      <c r="C706" s="12"/>
      <c r="D706" s="13"/>
      <c r="E706" s="12"/>
      <c r="F706" s="13"/>
      <c r="G706" s="12"/>
      <c r="H706" s="13"/>
      <c r="I706" s="12"/>
      <c r="J706" s="13"/>
      <c r="K706" s="12"/>
      <c r="L706" s="70"/>
      <c r="M706" s="12"/>
      <c r="N706" s="70"/>
      <c r="O706" s="12"/>
      <c r="P706" s="70"/>
      <c r="Q706" s="12"/>
      <c r="R706" s="70"/>
      <c r="S706" s="12"/>
      <c r="T706" s="70"/>
      <c r="U706" s="12"/>
      <c r="V706" s="70"/>
      <c r="W706" s="12"/>
      <c r="X706" s="70"/>
      <c r="Y706" s="12"/>
      <c r="Z706" s="70"/>
      <c r="AA706" s="12"/>
      <c r="AB706" s="70"/>
      <c r="AC706" s="12"/>
      <c r="AD706" s="70"/>
      <c r="AE706" s="12"/>
      <c r="AF706" s="70"/>
      <c r="AG706" s="12"/>
      <c r="AH706" s="70"/>
      <c r="AI706" s="12"/>
      <c r="AJ706" s="61"/>
      <c r="AK706" s="12"/>
      <c r="AL706" s="61"/>
      <c r="AM706" s="12"/>
      <c r="AN706" s="61"/>
      <c r="AO706" s="12"/>
      <c r="AP706" s="61"/>
      <c r="AQ706" s="12">
        <f>+AQ705+AQ704</f>
        <v>74.599999999999994</v>
      </c>
      <c r="AR706" s="61" t="str">
        <f t="shared" si="4270"/>
        <v>NA</v>
      </c>
      <c r="AS706" s="12">
        <f>+AS705+AS704</f>
        <v>73</v>
      </c>
      <c r="AT706" s="61" t="str">
        <f t="shared" si="4271"/>
        <v>NA</v>
      </c>
      <c r="AU706" s="12">
        <f>+AU705+AU704</f>
        <v>81.5</v>
      </c>
      <c r="AV706" s="61" t="str">
        <f t="shared" si="4272"/>
        <v>NA</v>
      </c>
      <c r="AW706" s="12">
        <f>+AW705+AW704</f>
        <v>92.5</v>
      </c>
      <c r="AX706" s="61" t="str">
        <f t="shared" si="4273"/>
        <v>NA</v>
      </c>
      <c r="AY706" s="12">
        <f>+AY705+AY704</f>
        <v>75.5</v>
      </c>
      <c r="AZ706" s="61">
        <f t="shared" si="4274"/>
        <v>1.2064343163538993</v>
      </c>
      <c r="BA706" s="12">
        <f>+BA705+BA704</f>
        <v>138.30000000000001</v>
      </c>
      <c r="BB706" s="61">
        <f t="shared" si="4275"/>
        <v>89.452054794520564</v>
      </c>
      <c r="BC706" s="12">
        <f>+BC705+BC704</f>
        <v>158.19999999999999</v>
      </c>
      <c r="BD706" s="61">
        <f t="shared" si="4275"/>
        <v>94.110429447852752</v>
      </c>
      <c r="BE706" s="12">
        <f>+BE705+BE704</f>
        <v>224.4</v>
      </c>
      <c r="BF706" s="61" t="str">
        <f t="shared" si="4275"/>
        <v>NM</v>
      </c>
      <c r="BG706" s="12">
        <f>+BG705+BG704</f>
        <v>210.6</v>
      </c>
      <c r="BH706" s="61" t="str">
        <f t="shared" si="4275"/>
        <v>NM</v>
      </c>
      <c r="BI706" s="12">
        <f>+BI705+BI704</f>
        <v>188.50000000000003</v>
      </c>
      <c r="BJ706" s="61">
        <f t="shared" si="4275"/>
        <v>36.297903109182947</v>
      </c>
      <c r="BK706" s="12">
        <f>+BK705+BK704</f>
        <v>190.8</v>
      </c>
      <c r="BL706" s="61">
        <f t="shared" si="4275"/>
        <v>20.606826801517087</v>
      </c>
      <c r="BM706" s="12">
        <f>+BM705+BM704</f>
        <v>214.90000000000003</v>
      </c>
      <c r="BN706" s="61">
        <f t="shared" si="4275"/>
        <v>-4.2335115864527539</v>
      </c>
      <c r="BO706" s="12">
        <f>+BO705+BO704</f>
        <v>168.5</v>
      </c>
      <c r="BP706" s="61">
        <f t="shared" si="4275"/>
        <v>-19.990503323836649</v>
      </c>
      <c r="BQ706" s="12">
        <f>+BQ705+BQ704</f>
        <v>160.4</v>
      </c>
      <c r="BR706" s="61">
        <f t="shared" si="4275"/>
        <v>-14.907161803713542</v>
      </c>
      <c r="BS706" s="12">
        <f>+BS705+BS704</f>
        <v>183.4</v>
      </c>
      <c r="BT706" s="61">
        <f t="shared" si="4275"/>
        <v>-3.8784067085953944</v>
      </c>
      <c r="BU706" s="12">
        <f>+BU705+BU704</f>
        <v>211.39999999999998</v>
      </c>
      <c r="BV706" s="61">
        <f t="shared" si="4275"/>
        <v>-1.6286644951140294</v>
      </c>
      <c r="BW706" s="12">
        <f>+BW705+BW704</f>
        <v>145.19999999999999</v>
      </c>
      <c r="BX706" s="61">
        <f t="shared" si="4275"/>
        <v>-13.827893175074191</v>
      </c>
      <c r="BY706" s="12">
        <f>+BY705+BY704</f>
        <v>123.7</v>
      </c>
      <c r="BZ706" s="61">
        <f t="shared" si="4275"/>
        <v>-22.88029925187033</v>
      </c>
      <c r="CA706" s="12">
        <f>+CA705+CA704</f>
        <v>146.20000000000002</v>
      </c>
      <c r="CB706" s="61">
        <f t="shared" si="4275"/>
        <v>-20.283533260632492</v>
      </c>
      <c r="CC706" s="12">
        <f>+CC705+CC704</f>
        <v>194.8</v>
      </c>
      <c r="CD706" s="61">
        <f t="shared" si="4275"/>
        <v>-7.8524124881740658</v>
      </c>
      <c r="CE706" s="12">
        <f>+CE705+CE704</f>
        <v>142.60000000000002</v>
      </c>
      <c r="CF706" s="61">
        <f t="shared" si="4275"/>
        <v>-1.7906336088154062</v>
      </c>
      <c r="CG706" s="12">
        <f>+CG705+CG704</f>
        <v>139.80000000000001</v>
      </c>
      <c r="CH706" s="61">
        <f t="shared" si="4275"/>
        <v>13.015359741309629</v>
      </c>
      <c r="CI706" s="12">
        <f>+CI705+CI704</f>
        <v>148.4</v>
      </c>
      <c r="CJ706" s="61">
        <f t="shared" si="4275"/>
        <v>1.5047879616963078</v>
      </c>
      <c r="CK706" s="12">
        <f>+CK705+CK704</f>
        <v>205.8</v>
      </c>
      <c r="CL706" s="61">
        <f t="shared" si="4275"/>
        <v>5.6468172484599677</v>
      </c>
      <c r="CM706" s="12">
        <f>+CM705+CM704</f>
        <v>159</v>
      </c>
      <c r="CN706" s="61">
        <f t="shared" si="4275"/>
        <v>11.500701262272074</v>
      </c>
      <c r="CO706" s="12">
        <f>+CO705+CO704</f>
        <v>157</v>
      </c>
      <c r="CP706" s="61">
        <f t="shared" si="4275"/>
        <v>12.303290414878386</v>
      </c>
      <c r="CQ706" s="12">
        <f>+CQ705+CQ704</f>
        <v>154.9</v>
      </c>
      <c r="CR706" s="61">
        <f t="shared" si="4275"/>
        <v>4.3800539083557855</v>
      </c>
      <c r="CS706" s="12">
        <f>+CS705+CS704</f>
        <v>228.79999999999998</v>
      </c>
      <c r="CT706" s="61">
        <f t="shared" si="4275"/>
        <v>11.175898931000949</v>
      </c>
      <c r="CU706" s="12">
        <f>+CU705+CU704</f>
        <v>121.69999999999999</v>
      </c>
      <c r="CV706" s="61">
        <f t="shared" si="4275"/>
        <v>-23.459119496855351</v>
      </c>
      <c r="CW706" s="12">
        <f>+CW705+CW704</f>
        <v>128</v>
      </c>
      <c r="CX706" s="61"/>
      <c r="CY706" s="12">
        <f>+CY705+CY704</f>
        <v>112</v>
      </c>
      <c r="CZ706" s="61"/>
      <c r="DA706" s="12">
        <f>+DA705+DA704</f>
        <v>226</v>
      </c>
      <c r="DB706" s="61"/>
      <c r="DC706" s="12">
        <f>+DC705+DC704</f>
        <v>151</v>
      </c>
      <c r="DD706" s="61"/>
      <c r="DE706" s="12">
        <f>+DE705+DE704</f>
        <v>186</v>
      </c>
      <c r="DF706" s="61"/>
      <c r="DG706" s="12">
        <f>+DG705+DG704</f>
        <v>168</v>
      </c>
      <c r="DH706" s="61"/>
      <c r="DI706" s="12">
        <f>+DI705+DI704</f>
        <v>187</v>
      </c>
      <c r="DJ706" s="61"/>
      <c r="DK706" s="12">
        <f>+DK705+DK704</f>
        <v>145</v>
      </c>
      <c r="DL706" s="61"/>
      <c r="DM706" s="12">
        <f>+DM705+DM704</f>
        <v>172</v>
      </c>
      <c r="DN706" s="130">
        <f t="shared" si="4276"/>
        <v>-7.5268817204301115</v>
      </c>
      <c r="DO706" s="12">
        <f>+DO705+DO704</f>
        <v>160</v>
      </c>
      <c r="DP706" s="130">
        <f t="shared" si="4276"/>
        <v>-4.7619047619047672</v>
      </c>
      <c r="DQ706" s="12">
        <f>+DQ705+DQ704</f>
        <v>192</v>
      </c>
      <c r="DR706" s="130">
        <f t="shared" si="4276"/>
        <v>2.673796791443861</v>
      </c>
      <c r="DS706" s="12">
        <f>+DS705+DS704</f>
        <v>153</v>
      </c>
      <c r="DT706" s="130">
        <f t="shared" si="4276"/>
        <v>5.5172413793103559</v>
      </c>
      <c r="DU706" s="12">
        <f>+DU705+DU704</f>
        <v>201</v>
      </c>
      <c r="DV706" s="130">
        <f t="shared" si="4276"/>
        <v>16.860465116279077</v>
      </c>
      <c r="DW706" s="12">
        <f>+DW705+DW704</f>
        <v>173</v>
      </c>
      <c r="DX706" s="12">
        <f t="shared" ref="DX706:DY706" si="4295">+DX705+DX704</f>
        <v>173</v>
      </c>
      <c r="DY706" s="12">
        <f t="shared" si="4295"/>
        <v>198</v>
      </c>
      <c r="DZ706" s="130">
        <f t="shared" si="4276"/>
        <v>3.125</v>
      </c>
      <c r="EA706" s="12">
        <f t="shared" ref="EA706:EC706" si="4296">+EA705+EA704</f>
        <v>139</v>
      </c>
      <c r="EB706" s="130">
        <f t="shared" si="4277"/>
        <v>-9.1503267973856222</v>
      </c>
      <c r="EC706" s="12">
        <f t="shared" si="4296"/>
        <v>173</v>
      </c>
      <c r="ED706" s="130">
        <f t="shared" si="4278"/>
        <v>-13.93034825870647</v>
      </c>
      <c r="EE706" s="12">
        <f t="shared" ref="EE706:EG706" si="4297">+EE705+EE704</f>
        <v>193</v>
      </c>
      <c r="EF706" s="130">
        <f t="shared" si="4279"/>
        <v>11.560693641618492</v>
      </c>
      <c r="EG706" s="12">
        <f t="shared" si="4297"/>
        <v>231</v>
      </c>
      <c r="EH706" s="130">
        <f t="shared" si="4280"/>
        <v>16.666666666666675</v>
      </c>
      <c r="EI706" s="12">
        <f t="shared" ref="EI706:EK706" si="4298">+EI705+EI704</f>
        <v>181</v>
      </c>
      <c r="EJ706" s="130">
        <f t="shared" si="4281"/>
        <v>30.215827338129486</v>
      </c>
      <c r="EK706" s="12">
        <f t="shared" si="4298"/>
        <v>197</v>
      </c>
      <c r="EL706" s="130">
        <f t="shared" si="4282"/>
        <v>13.87283236994219</v>
      </c>
      <c r="EM706" s="12">
        <f t="shared" ref="EM706" si="4299">+EM705+EM704</f>
        <v>178</v>
      </c>
      <c r="EN706" s="130">
        <f t="shared" si="4283"/>
        <v>-7.7720207253886064</v>
      </c>
      <c r="EO706" s="12">
        <f t="shared" ref="EO706" si="4300">+EO705+EO704</f>
        <v>242</v>
      </c>
      <c r="EP706" s="130">
        <f t="shared" si="4284"/>
        <v>4.7619047619047672</v>
      </c>
      <c r="EQ706" s="12"/>
      <c r="ER706" s="130" t="str">
        <f t="shared" si="4285"/>
        <v>NM</v>
      </c>
      <c r="ES706" s="12"/>
      <c r="ET706" s="130" t="str">
        <f t="shared" si="4286"/>
        <v>NM</v>
      </c>
      <c r="EU706" s="12"/>
      <c r="EV706" s="130" t="str">
        <f t="shared" si="4287"/>
        <v>NM</v>
      </c>
      <c r="EW706" s="12"/>
      <c r="EX706" s="130" t="str">
        <f t="shared" si="4288"/>
        <v>NM</v>
      </c>
      <c r="EY706" s="56"/>
      <c r="EZ706" s="558"/>
      <c r="FA706" s="56"/>
      <c r="FB706" s="12"/>
      <c r="FC706" s="13"/>
      <c r="FD706" s="12"/>
      <c r="FE706" s="13"/>
      <c r="FF706" s="19"/>
      <c r="FG706" s="13"/>
      <c r="FH706" s="19"/>
      <c r="FI706" s="13"/>
      <c r="FJ706" s="19"/>
      <c r="FK706" s="13"/>
      <c r="FL706" s="57"/>
      <c r="FM706" s="13"/>
      <c r="FN706" s="57"/>
      <c r="FO706" s="13"/>
      <c r="FP706" s="12"/>
      <c r="FQ706" s="61"/>
      <c r="FR706" s="12"/>
      <c r="FS706" s="61"/>
      <c r="FT706" s="12"/>
      <c r="FU706" s="61"/>
      <c r="FV706" s="12"/>
      <c r="FW706" s="61"/>
      <c r="FX706" s="12"/>
      <c r="FY706" s="61"/>
      <c r="FZ706" s="12"/>
      <c r="GA706" s="61"/>
      <c r="GB706" s="12"/>
      <c r="GC706" s="61"/>
      <c r="GD706" s="12"/>
      <c r="GE706" s="61"/>
      <c r="GF706" s="12"/>
      <c r="GG706" s="61"/>
      <c r="GH706" s="12"/>
      <c r="GI706" s="61"/>
      <c r="GJ706" s="12"/>
      <c r="GK706" s="61"/>
      <c r="GL706" s="12"/>
      <c r="GM706" s="61"/>
      <c r="GN706" s="12"/>
      <c r="GO706" s="61"/>
      <c r="GP706" s="12"/>
      <c r="GQ706" s="61"/>
      <c r="GR706" s="57"/>
      <c r="GS706" s="61"/>
      <c r="GT706" s="57"/>
      <c r="GU706" s="61"/>
      <c r="GV706" s="57"/>
      <c r="GW706" s="61"/>
      <c r="GX706" s="57"/>
      <c r="GY706" s="61"/>
      <c r="GZ706" s="61"/>
      <c r="HA706" s="61"/>
      <c r="HB706" s="452"/>
      <c r="HC706"/>
      <c r="HD706"/>
      <c r="HE706"/>
      <c r="HF706"/>
      <c r="HG706"/>
      <c r="HH706"/>
    </row>
    <row r="707" spans="1:216" s="5" customFormat="1" ht="12.75" customHeight="1" x14ac:dyDescent="0.2">
      <c r="A707" s="8"/>
      <c r="B707" s="7"/>
      <c r="C707" s="12"/>
      <c r="D707" s="13"/>
      <c r="E707" s="12"/>
      <c r="F707" s="13"/>
      <c r="G707" s="12"/>
      <c r="H707" s="13"/>
      <c r="I707" s="12"/>
      <c r="J707" s="13"/>
      <c r="K707" s="12"/>
      <c r="L707" s="70"/>
      <c r="M707" s="12"/>
      <c r="N707" s="70"/>
      <c r="O707" s="12"/>
      <c r="P707" s="70"/>
      <c r="Q707" s="12"/>
      <c r="R707" s="70"/>
      <c r="S707" s="12"/>
      <c r="T707" s="70"/>
      <c r="U707" s="12"/>
      <c r="V707" s="70"/>
      <c r="W707" s="12"/>
      <c r="X707" s="70"/>
      <c r="Y707" s="12"/>
      <c r="Z707" s="70"/>
      <c r="AA707" s="12"/>
      <c r="AB707" s="70"/>
      <c r="AC707" s="12"/>
      <c r="AD707" s="70"/>
      <c r="AE707" s="12"/>
      <c r="AF707" s="70"/>
      <c r="AG707" s="12"/>
      <c r="AH707" s="70"/>
      <c r="AI707" s="12"/>
      <c r="AJ707" s="61"/>
      <c r="AK707" s="12"/>
      <c r="AL707" s="61"/>
      <c r="AM707" s="12"/>
      <c r="AN707" s="61"/>
      <c r="AO707" s="12"/>
      <c r="AP707" s="61"/>
      <c r="AQ707" s="12"/>
      <c r="AR707" s="61"/>
      <c r="AS707" s="12"/>
      <c r="AT707" s="13"/>
      <c r="AU707" s="12"/>
      <c r="AV707" s="13"/>
      <c r="AW707" s="12"/>
      <c r="AX707" s="61"/>
      <c r="AY707" s="12"/>
      <c r="AZ707" s="61"/>
      <c r="BA707" s="12"/>
      <c r="BB707" s="61"/>
      <c r="BC707" s="12"/>
      <c r="BD707" s="61"/>
      <c r="BE707" s="12"/>
      <c r="BF707" s="61"/>
      <c r="BG707" s="12"/>
      <c r="BH707" s="61"/>
      <c r="BI707" s="12"/>
      <c r="BJ707" s="61"/>
      <c r="BK707" s="12"/>
      <c r="BL707" s="61"/>
      <c r="BM707" s="12"/>
      <c r="BN707" s="61"/>
      <c r="BO707" s="12"/>
      <c r="BP707" s="61"/>
      <c r="BQ707" s="12"/>
      <c r="BR707" s="61"/>
      <c r="BS707" s="12"/>
      <c r="BT707" s="61"/>
      <c r="BU707" s="12"/>
      <c r="BV707" s="61"/>
      <c r="BW707" s="12"/>
      <c r="BX707" s="61"/>
      <c r="BY707" s="12"/>
      <c r="BZ707" s="61"/>
      <c r="CA707" s="12"/>
      <c r="CB707" s="61"/>
      <c r="CC707" s="12"/>
      <c r="CD707" s="61"/>
      <c r="CE707" s="12"/>
      <c r="CF707" s="61"/>
      <c r="CG707" s="12"/>
      <c r="CH707" s="61"/>
      <c r="CI707" s="12"/>
      <c r="CJ707" s="61"/>
      <c r="CK707" s="12"/>
      <c r="CL707" s="61"/>
      <c r="CM707" s="12"/>
      <c r="CN707" s="61"/>
      <c r="CO707" s="12"/>
      <c r="CP707" s="61"/>
      <c r="CQ707" s="12"/>
      <c r="CR707" s="61"/>
      <c r="CS707" s="12"/>
      <c r="CT707" s="61"/>
      <c r="CU707" s="12"/>
      <c r="CV707" s="61"/>
      <c r="CW707" s="12"/>
      <c r="CX707" s="61"/>
      <c r="CY707" s="12"/>
      <c r="CZ707" s="61"/>
      <c r="DA707" s="12"/>
      <c r="DB707" s="61"/>
      <c r="DC707" s="12"/>
      <c r="DD707" s="61"/>
      <c r="DE707" s="12"/>
      <c r="DF707" s="61"/>
      <c r="DG707" s="12"/>
      <c r="DH707" s="61"/>
      <c r="DI707" s="12"/>
      <c r="DJ707" s="61"/>
      <c r="DK707" s="12"/>
      <c r="DL707" s="61"/>
      <c r="DM707" s="12"/>
      <c r="DN707" s="61"/>
      <c r="DO707" s="12"/>
      <c r="DP707" s="61"/>
      <c r="DQ707" s="12"/>
      <c r="DR707" s="61"/>
      <c r="DS707" s="12"/>
      <c r="DT707" s="61"/>
      <c r="DU707" s="12"/>
      <c r="DV707" s="61"/>
      <c r="DW707" s="12"/>
      <c r="DX707" s="61"/>
      <c r="DY707" s="12"/>
      <c r="DZ707" s="61"/>
      <c r="EA707" s="12"/>
      <c r="EB707" s="61"/>
      <c r="EC707" s="12"/>
      <c r="ED707" s="61"/>
      <c r="EE707" s="12"/>
      <c r="EF707" s="61"/>
      <c r="EG707" s="12"/>
      <c r="EH707" s="61"/>
      <c r="EI707" s="12"/>
      <c r="EJ707" s="61"/>
      <c r="EK707" s="12"/>
      <c r="EL707" s="61"/>
      <c r="EM707" s="12"/>
      <c r="EN707" s="61"/>
      <c r="EO707" s="12"/>
      <c r="EP707" s="61"/>
      <c r="EQ707" s="12"/>
      <c r="ER707" s="61"/>
      <c r="ES707" s="12"/>
      <c r="ET707" s="61"/>
      <c r="EU707" s="12"/>
      <c r="EV707" s="61"/>
      <c r="EW707" s="12"/>
      <c r="EX707" s="61"/>
      <c r="EY707" s="56"/>
      <c r="EZ707" s="558"/>
      <c r="FA707" s="56"/>
      <c r="FB707" s="12"/>
      <c r="FC707" s="13"/>
      <c r="FD707" s="12"/>
      <c r="FE707" s="13"/>
      <c r="FF707" s="19"/>
      <c r="FG707" s="13"/>
      <c r="FH707" s="19"/>
      <c r="FI707" s="13"/>
      <c r="FJ707" s="19"/>
      <c r="FK707" s="13"/>
      <c r="FL707" s="57"/>
      <c r="FM707" s="13"/>
      <c r="FN707" s="57"/>
      <c r="FO707" s="13"/>
      <c r="FP707" s="12"/>
      <c r="FQ707" s="61"/>
      <c r="FR707" s="12"/>
      <c r="FS707" s="61"/>
      <c r="FT707" s="12"/>
      <c r="FU707" s="61"/>
      <c r="FV707" s="12"/>
      <c r="FW707" s="61"/>
      <c r="FX707" s="12"/>
      <c r="FY707" s="61"/>
      <c r="FZ707" s="12"/>
      <c r="GA707" s="61"/>
      <c r="GB707" s="12"/>
      <c r="GC707" s="61"/>
      <c r="GD707" s="12"/>
      <c r="GE707" s="61"/>
      <c r="GF707" s="12"/>
      <c r="GG707" s="61"/>
      <c r="GH707" s="12"/>
      <c r="GI707" s="61"/>
      <c r="GJ707" s="12"/>
      <c r="GK707" s="61"/>
      <c r="GL707" s="12"/>
      <c r="GM707" s="61"/>
      <c r="GN707" s="12"/>
      <c r="GO707" s="61"/>
      <c r="GP707" s="12"/>
      <c r="GQ707" s="61"/>
      <c r="GR707" s="57"/>
      <c r="GS707" s="61"/>
      <c r="GT707" s="57"/>
      <c r="GU707" s="61"/>
      <c r="GV707" s="57"/>
      <c r="GW707" s="61"/>
      <c r="GX707" s="57"/>
      <c r="GY707" s="61"/>
      <c r="GZ707" s="61"/>
      <c r="HA707" s="61"/>
      <c r="HB707" s="452"/>
      <c r="HC707"/>
      <c r="HD707"/>
      <c r="HE707"/>
      <c r="HF707"/>
      <c r="HG707"/>
      <c r="HH707"/>
    </row>
    <row r="708" spans="1:216" s="5" customFormat="1" ht="12.75" customHeight="1" x14ac:dyDescent="0.2">
      <c r="A708" s="8"/>
      <c r="B708" s="105" t="s">
        <v>430</v>
      </c>
      <c r="C708" s="12"/>
      <c r="D708" s="13"/>
      <c r="E708" s="12"/>
      <c r="F708" s="13"/>
      <c r="G708" s="12"/>
      <c r="H708" s="13"/>
      <c r="I708" s="12"/>
      <c r="J708" s="13"/>
      <c r="K708" s="12"/>
      <c r="L708" s="13"/>
      <c r="M708" s="12"/>
      <c r="N708" s="13"/>
      <c r="O708" s="12"/>
      <c r="P708" s="13"/>
      <c r="Q708" s="12"/>
      <c r="R708" s="13"/>
      <c r="S708" s="12"/>
      <c r="T708" s="13"/>
      <c r="U708" s="12"/>
      <c r="V708" s="13"/>
      <c r="W708" s="12"/>
      <c r="X708" s="13"/>
      <c r="Y708" s="12"/>
      <c r="Z708" s="13"/>
      <c r="AA708" s="12"/>
      <c r="AB708" s="13"/>
      <c r="AC708" s="12"/>
      <c r="AD708" s="13"/>
      <c r="AE708" s="12"/>
      <c r="AF708" s="13"/>
      <c r="AG708" s="12"/>
      <c r="AH708" s="13"/>
      <c r="AI708" s="12"/>
      <c r="AJ708" s="13"/>
      <c r="AK708" s="12"/>
      <c r="AL708" s="13"/>
      <c r="AM708" s="12"/>
      <c r="AN708" s="13"/>
      <c r="AO708" s="12"/>
      <c r="AP708" s="13"/>
      <c r="AQ708" s="12"/>
      <c r="AR708" s="61"/>
      <c r="AS708" s="12"/>
      <c r="AT708" s="13"/>
      <c r="AU708" s="12"/>
      <c r="AV708" s="13"/>
      <c r="AW708" s="12"/>
      <c r="AX708" s="61"/>
      <c r="AY708" s="12"/>
      <c r="AZ708" s="61"/>
      <c r="BA708" s="12"/>
      <c r="BB708" s="61"/>
      <c r="BC708" s="12"/>
      <c r="BD708" s="61"/>
      <c r="BE708" s="12"/>
      <c r="BF708" s="61"/>
      <c r="BG708" s="12"/>
      <c r="BH708" s="61"/>
      <c r="BI708" s="12"/>
      <c r="BJ708" s="61"/>
      <c r="BK708" s="12"/>
      <c r="BL708" s="61"/>
      <c r="BM708" s="12"/>
      <c r="BN708" s="61"/>
      <c r="BO708" s="12"/>
      <c r="BP708" s="61"/>
      <c r="BQ708" s="12"/>
      <c r="BR708" s="61"/>
      <c r="BS708" s="12"/>
      <c r="BT708" s="61"/>
      <c r="BU708" s="12"/>
      <c r="BV708" s="61"/>
      <c r="BW708" s="12"/>
      <c r="BX708" s="61"/>
      <c r="BY708" s="12"/>
      <c r="BZ708" s="61"/>
      <c r="CA708" s="12"/>
      <c r="CB708" s="61"/>
      <c r="CC708" s="12"/>
      <c r="CD708" s="61"/>
      <c r="CE708" s="12"/>
      <c r="CF708" s="61"/>
      <c r="CG708" s="12"/>
      <c r="CH708" s="61"/>
      <c r="CI708" s="12"/>
      <c r="CJ708" s="61"/>
      <c r="CK708" s="12"/>
      <c r="CL708" s="61"/>
      <c r="CM708" s="12"/>
      <c r="CN708" s="61"/>
      <c r="CO708" s="12"/>
      <c r="CP708" s="61"/>
      <c r="CQ708" s="12"/>
      <c r="CR708" s="61"/>
      <c r="CS708" s="12"/>
      <c r="CT708" s="61"/>
      <c r="CU708" s="12"/>
      <c r="CV708" s="61"/>
      <c r="CW708" s="12"/>
      <c r="CX708" s="61"/>
      <c r="CY708" s="12"/>
      <c r="CZ708" s="61"/>
      <c r="DA708" s="12"/>
      <c r="DB708" s="61"/>
      <c r="DC708" s="12"/>
      <c r="DD708" s="61"/>
      <c r="DE708" s="12"/>
      <c r="DF708" s="61"/>
      <c r="DG708" s="12"/>
      <c r="DH708" s="61"/>
      <c r="DI708" s="12"/>
      <c r="DJ708" s="61"/>
      <c r="DK708" s="12"/>
      <c r="DL708" s="61"/>
      <c r="DM708" s="12"/>
      <c r="DN708" s="61"/>
      <c r="DO708" s="12"/>
      <c r="DP708" s="61"/>
      <c r="DQ708" s="12"/>
      <c r="DR708" s="61"/>
      <c r="DS708" s="12"/>
      <c r="DT708" s="61"/>
      <c r="DU708" s="12"/>
      <c r="DV708" s="61"/>
      <c r="DW708" s="12"/>
      <c r="DX708" s="61"/>
      <c r="DY708" s="12"/>
      <c r="DZ708" s="61"/>
      <c r="EA708" s="12"/>
      <c r="EB708" s="61"/>
      <c r="EC708" s="12"/>
      <c r="ED708" s="61"/>
      <c r="EE708" s="12"/>
      <c r="EF708" s="61"/>
      <c r="EG708" s="12"/>
      <c r="EH708" s="61"/>
      <c r="EI708" s="12"/>
      <c r="EJ708" s="61"/>
      <c r="EK708" s="12"/>
      <c r="EL708" s="61"/>
      <c r="EM708" s="12"/>
      <c r="EN708" s="61"/>
      <c r="EO708" s="12"/>
      <c r="EP708" s="61"/>
      <c r="EQ708" s="12"/>
      <c r="ER708" s="61"/>
      <c r="ES708" s="12"/>
      <c r="ET708" s="61"/>
      <c r="EU708" s="12"/>
      <c r="EV708" s="61"/>
      <c r="EW708" s="12"/>
      <c r="EX708" s="61"/>
      <c r="EY708" s="56"/>
      <c r="EZ708" s="558"/>
      <c r="FA708" s="56"/>
      <c r="FB708" s="12"/>
      <c r="FC708" s="13"/>
      <c r="FD708" s="12"/>
      <c r="FE708" s="13"/>
      <c r="FF708" s="19"/>
      <c r="FG708" s="13"/>
      <c r="FH708" s="19"/>
      <c r="FI708" s="13"/>
      <c r="FJ708" s="19"/>
      <c r="FK708" s="13"/>
      <c r="FL708" s="57"/>
      <c r="FM708" s="13"/>
      <c r="FN708" s="57"/>
      <c r="FO708" s="13"/>
      <c r="FP708" s="12"/>
      <c r="FQ708" s="61"/>
      <c r="FR708" s="12"/>
      <c r="FS708" s="61"/>
      <c r="FT708" s="12"/>
      <c r="FU708" s="61"/>
      <c r="FV708" s="12"/>
      <c r="FW708" s="61"/>
      <c r="FX708" s="12"/>
      <c r="FY708" s="61"/>
      <c r="FZ708" s="12"/>
      <c r="GA708" s="61"/>
      <c r="GB708" s="12"/>
      <c r="GC708" s="61"/>
      <c r="GD708" s="12"/>
      <c r="GE708" s="61"/>
      <c r="GF708" s="12"/>
      <c r="GG708" s="61"/>
      <c r="GH708" s="12"/>
      <c r="GI708" s="61"/>
      <c r="GJ708" s="12"/>
      <c r="GK708" s="61"/>
      <c r="GL708" s="12"/>
      <c r="GM708" s="61"/>
      <c r="GN708" s="12"/>
      <c r="GO708" s="61"/>
      <c r="GP708" s="12"/>
      <c r="GQ708" s="61"/>
      <c r="GR708" s="57"/>
      <c r="GS708" s="61"/>
      <c r="GT708" s="57"/>
      <c r="GU708" s="61"/>
      <c r="GV708" s="57"/>
      <c r="GW708" s="61"/>
      <c r="GX708" s="57"/>
      <c r="GY708" s="61"/>
      <c r="GZ708" s="61"/>
      <c r="HA708" s="61"/>
      <c r="HB708" s="452"/>
      <c r="HC708"/>
      <c r="HD708"/>
      <c r="HE708"/>
      <c r="HF708"/>
      <c r="HG708"/>
      <c r="HH708"/>
    </row>
    <row r="709" spans="1:216" s="5" customFormat="1" ht="12.75" customHeight="1" x14ac:dyDescent="0.2">
      <c r="A709" s="8"/>
      <c r="B709" s="7" t="s">
        <v>60</v>
      </c>
      <c r="C709" s="12"/>
      <c r="D709" s="13"/>
      <c r="E709" s="12"/>
      <c r="F709" s="13"/>
      <c r="G709" s="12"/>
      <c r="H709" s="13"/>
      <c r="I709" s="12"/>
      <c r="J709" s="13"/>
      <c r="K709" s="12"/>
      <c r="L709" s="13"/>
      <c r="M709" s="12"/>
      <c r="N709" s="13"/>
      <c r="O709" s="12"/>
      <c r="P709" s="13"/>
      <c r="Q709" s="12"/>
      <c r="R709" s="13"/>
      <c r="S709" s="12"/>
      <c r="T709" s="13"/>
      <c r="U709" s="12"/>
      <c r="V709" s="13"/>
      <c r="W709" s="12"/>
      <c r="X709" s="13"/>
      <c r="Y709" s="12"/>
      <c r="Z709" s="13"/>
      <c r="AA709" s="12"/>
      <c r="AB709" s="13"/>
      <c r="AC709" s="12"/>
      <c r="AD709" s="13"/>
      <c r="AE709" s="12"/>
      <c r="AF709" s="13"/>
      <c r="AG709" s="12"/>
      <c r="AH709" s="13"/>
      <c r="AI709" s="12"/>
      <c r="AJ709" s="13"/>
      <c r="AK709" s="12"/>
      <c r="AL709" s="13"/>
      <c r="AM709" s="12"/>
      <c r="AN709" s="13"/>
      <c r="AO709" s="12"/>
      <c r="AP709" s="13"/>
      <c r="AQ709" s="12"/>
      <c r="AR709" s="61"/>
      <c r="AS709" s="12"/>
      <c r="AT709" s="13"/>
      <c r="AU709" s="12"/>
      <c r="AV709" s="13"/>
      <c r="AW709" s="12"/>
      <c r="AX709" s="61"/>
      <c r="AY709" s="12"/>
      <c r="AZ709" s="61"/>
      <c r="BA709" s="12"/>
      <c r="BB709" s="61"/>
      <c r="BC709" s="12"/>
      <c r="BD709" s="61"/>
      <c r="BE709" s="12"/>
      <c r="BF709" s="61"/>
      <c r="BG709" s="12"/>
      <c r="BH709" s="61"/>
      <c r="BI709" s="12"/>
      <c r="BJ709" s="61"/>
      <c r="BK709" s="12"/>
      <c r="BL709" s="61"/>
      <c r="BM709" s="12"/>
      <c r="BN709" s="61"/>
      <c r="BO709" s="12"/>
      <c r="BP709" s="61"/>
      <c r="BQ709" s="12"/>
      <c r="BR709" s="61"/>
      <c r="BS709" s="12"/>
      <c r="BT709" s="61"/>
      <c r="BU709" s="12"/>
      <c r="BV709" s="61"/>
      <c r="BW709" s="12"/>
      <c r="BX709" s="61"/>
      <c r="BY709" s="12"/>
      <c r="BZ709" s="61"/>
      <c r="CA709" s="12"/>
      <c r="CB709" s="61"/>
      <c r="CC709" s="12"/>
      <c r="CD709" s="61"/>
      <c r="CE709" s="12"/>
      <c r="CF709" s="61"/>
      <c r="CG709" s="12"/>
      <c r="CH709" s="61"/>
      <c r="CI709" s="12"/>
      <c r="CJ709" s="61"/>
      <c r="CK709" s="12"/>
      <c r="CL709" s="61"/>
      <c r="CM709" s="12"/>
      <c r="CN709" s="61"/>
      <c r="CO709" s="12"/>
      <c r="CP709" s="61"/>
      <c r="CQ709" s="12"/>
      <c r="CR709" s="61"/>
      <c r="CS709" s="12"/>
      <c r="CT709" s="61"/>
      <c r="CU709" s="12"/>
      <c r="CV709" s="61"/>
      <c r="CW709" s="12"/>
      <c r="CX709" s="61"/>
      <c r="CY709" s="12"/>
      <c r="CZ709" s="61"/>
      <c r="DA709" s="12"/>
      <c r="DB709" s="61"/>
      <c r="DC709" s="12"/>
      <c r="DD709" s="61"/>
      <c r="DE709" s="12"/>
      <c r="DF709" s="61"/>
      <c r="DG709" s="12"/>
      <c r="DH709" s="61"/>
      <c r="DI709" s="12"/>
      <c r="DJ709" s="61"/>
      <c r="DK709" s="12"/>
      <c r="DL709" s="61"/>
      <c r="DM709" s="12"/>
      <c r="DN709" s="61"/>
      <c r="DO709" s="12"/>
      <c r="DP709" s="61"/>
      <c r="DQ709" s="12"/>
      <c r="DR709" s="61"/>
      <c r="DS709" s="12"/>
      <c r="DT709" s="61"/>
      <c r="DU709" s="12"/>
      <c r="DV709" s="61"/>
      <c r="DW709" s="12"/>
      <c r="DX709" s="61"/>
      <c r="DY709" s="12"/>
      <c r="DZ709" s="61"/>
      <c r="EA709" s="12"/>
      <c r="EB709" s="61"/>
      <c r="EC709" s="12"/>
      <c r="ED709" s="61"/>
      <c r="EE709" s="12"/>
      <c r="EF709" s="61"/>
      <c r="EG709" s="12"/>
      <c r="EH709" s="61"/>
      <c r="EI709" s="12"/>
      <c r="EJ709" s="61"/>
      <c r="EK709" s="12"/>
      <c r="EL709" s="61"/>
      <c r="EM709" s="12"/>
      <c r="EN709" s="61"/>
      <c r="EO709" s="12"/>
      <c r="EP709" s="61"/>
      <c r="EQ709" s="12"/>
      <c r="ER709" s="61"/>
      <c r="ES709" s="12"/>
      <c r="ET709" s="61"/>
      <c r="EU709" s="12"/>
      <c r="EV709" s="61"/>
      <c r="EW709" s="12"/>
      <c r="EX709" s="61"/>
      <c r="EY709" s="56"/>
      <c r="EZ709" s="558"/>
      <c r="FA709" s="56"/>
      <c r="FB709" s="12"/>
      <c r="FC709" s="13"/>
      <c r="FD709" s="12"/>
      <c r="FE709" s="13"/>
      <c r="FF709" s="19"/>
      <c r="FG709" s="13"/>
      <c r="FH709" s="19"/>
      <c r="FI709" s="13"/>
      <c r="FJ709" s="19"/>
      <c r="FK709" s="13"/>
      <c r="FL709" s="57"/>
      <c r="FM709" s="13"/>
      <c r="FN709" s="57"/>
      <c r="FO709" s="13"/>
      <c r="FP709" s="12"/>
      <c r="FQ709" s="61"/>
      <c r="FR709" s="12"/>
      <c r="FS709" s="61"/>
      <c r="FT709" s="12"/>
      <c r="FU709" s="61"/>
      <c r="FV709" s="12"/>
      <c r="FW709" s="61"/>
      <c r="FX709" s="12"/>
      <c r="FY709" s="61"/>
      <c r="FZ709" s="12"/>
      <c r="GA709" s="61"/>
      <c r="GB709" s="12"/>
      <c r="GC709" s="61"/>
      <c r="GD709" s="12"/>
      <c r="GE709" s="61"/>
      <c r="GF709" s="12"/>
      <c r="GG709" s="61"/>
      <c r="GH709" s="12"/>
      <c r="GI709" s="61"/>
      <c r="GJ709" s="12"/>
      <c r="GK709" s="61"/>
      <c r="GL709" s="12"/>
      <c r="GM709" s="61"/>
      <c r="GN709" s="12"/>
      <c r="GO709" s="61"/>
      <c r="GP709" s="12"/>
      <c r="GQ709" s="61"/>
      <c r="GR709" s="57"/>
      <c r="GS709" s="61"/>
      <c r="GT709" s="57"/>
      <c r="GU709" s="61"/>
      <c r="GV709" s="57"/>
      <c r="GW709" s="61"/>
      <c r="GX709" s="57"/>
      <c r="GY709" s="61"/>
      <c r="GZ709" s="61"/>
      <c r="HA709" s="61"/>
      <c r="HB709" s="452"/>
      <c r="HC709"/>
      <c r="HD709"/>
      <c r="HE709"/>
      <c r="HF709"/>
      <c r="HG709"/>
      <c r="HH709"/>
    </row>
    <row r="710" spans="1:216" s="5" customFormat="1" ht="12.75" customHeight="1" x14ac:dyDescent="0.2">
      <c r="A710" s="8"/>
      <c r="B710" s="7" t="s">
        <v>61</v>
      </c>
      <c r="C710" s="359">
        <v>72.3</v>
      </c>
      <c r="D710" s="13"/>
      <c r="E710" s="359">
        <v>63.7</v>
      </c>
      <c r="F710" s="13"/>
      <c r="G710" s="359">
        <v>72.400000000000006</v>
      </c>
      <c r="H710" s="13"/>
      <c r="I710" s="359">
        <v>80.900000000000006</v>
      </c>
      <c r="J710" s="13"/>
      <c r="K710" s="359">
        <v>57.7</v>
      </c>
      <c r="L710" s="70">
        <f t="shared" ref="L710:L715" si="4301">IF(ISERROR((K710/C710-1)*100),"NA",IF(((K710/C710-1)*100)&gt;100,"NM",IF(((K710/C710-1)*100)&lt;-50,"NM",(K710/C710-1)*100)))</f>
        <v>-20.193637621023509</v>
      </c>
      <c r="M710" s="359">
        <v>70</v>
      </c>
      <c r="N710" s="70">
        <f t="shared" ref="N710:N715" si="4302">IF(ISERROR((M710/E710-1)*100),"NA",IF(((M710/E710-1)*100)&gt;100,"NM",IF(((M710/E710-1)*100)&lt;-50,"NM",(M710/E710-1)*100)))</f>
        <v>9.8901098901098763</v>
      </c>
      <c r="O710" s="359">
        <v>67.400000000000006</v>
      </c>
      <c r="P710" s="70">
        <f t="shared" ref="P710:P715" si="4303">IF(ISERROR((O710/G710-1)*100),"NA",IF(((O710/G710-1)*100)&gt;100,"NM",IF(((O710/G710-1)*100)&lt;-50,"NM",(O710/G710-1)*100)))</f>
        <v>-6.9060773480662974</v>
      </c>
      <c r="Q710" s="359">
        <v>97.5</v>
      </c>
      <c r="R710" s="70">
        <f t="shared" ref="R710:R715" si="4304">IF(ISERROR((Q710/I710-1)*100),"NA",IF(((Q710/I710-1)*100)&gt;100,"NM",IF(((Q710/I710-1)*100)&lt;-50,"NM",(Q710/I710-1)*100)))</f>
        <v>20.519159456118665</v>
      </c>
      <c r="S710" s="359">
        <v>86.4</v>
      </c>
      <c r="T710" s="70">
        <f t="shared" ref="T710:T715" si="4305">IF(ISERROR((S710/K710-1)*100),"NA",IF(((S710/K710-1)*100)&gt;100,"NM",IF(((S710/K710-1)*100)&lt;-50,"NM",(S710/K710-1)*100)))</f>
        <v>49.740034662045062</v>
      </c>
      <c r="U710" s="359">
        <v>98.9</v>
      </c>
      <c r="V710" s="70">
        <f t="shared" ref="V710:V715" si="4306">IF(ISERROR((U710/M710-1)*100),"NA",IF(((U710/M710-1)*100)&gt;100,"NM",IF(((U710/M710-1)*100)&lt;-50,"NM",(U710/M710-1)*100)))</f>
        <v>41.285714285714306</v>
      </c>
      <c r="W710" s="359">
        <v>132.9</v>
      </c>
      <c r="X710" s="70">
        <f t="shared" ref="X710:X715" si="4307">IF(ISERROR((W710/O710-1)*100),"NA",IF(((W710/O710-1)*100)&gt;100,"NM",IF(((W710/O710-1)*100)&lt;-50,"NM",(W710/O710-1)*100)))</f>
        <v>97.181008902077153</v>
      </c>
      <c r="Y710" s="359">
        <v>177.1</v>
      </c>
      <c r="Z710" s="70">
        <f t="shared" ref="Z710:Z715" si="4308">IF(ISERROR((Y710/Q710-1)*100),"NA",IF(((Y710/Q710-1)*100)&gt;100,"NM",IF(((Y710/Q710-1)*100)&lt;-50,"NM",(Y710/Q710-1)*100)))</f>
        <v>81.641025641025649</v>
      </c>
      <c r="AA710" s="359">
        <v>130.80000000000001</v>
      </c>
      <c r="AB710" s="70">
        <f t="shared" ref="AB710:AB715" si="4309">IF(ISERROR((AA710/S710-1)*100),"NA",IF(((AA710/S710-1)*100)&gt;100,"NM",IF(((AA710/S710-1)*100)&lt;-50,"NM",(AA710/S710-1)*100)))</f>
        <v>51.388888888888886</v>
      </c>
      <c r="AC710" s="359">
        <v>142.69999999999999</v>
      </c>
      <c r="AD710" s="70">
        <f t="shared" ref="AD710:AD715" si="4310">IF(ISERROR((AC710/U710-1)*100),"NA",IF(((AC710/U710-1)*100)&gt;100,"NM",IF(((AC710/U710-1)*100)&lt;-50,"NM",(AC710/U710-1)*100)))</f>
        <v>44.287158746208277</v>
      </c>
      <c r="AE710" s="359">
        <v>172.3</v>
      </c>
      <c r="AF710" s="70">
        <f t="shared" ref="AF710:AH715" si="4311">IF(ISERROR((AE710/W710-1)*100),"NA",IF(((AE710/W710-1)*100)&gt;100,"NM",IF(((AE710/W710-1)*100)&lt;-50,"NM",(AE710/W710-1)*100)))</f>
        <v>29.646350639578635</v>
      </c>
      <c r="AG710" s="359">
        <v>195.9</v>
      </c>
      <c r="AH710" s="70">
        <f t="shared" si="4311"/>
        <v>10.615471485036698</v>
      </c>
      <c r="AI710" s="359">
        <v>151.9</v>
      </c>
      <c r="AJ710" s="61">
        <f t="shared" ref="AJ710:AJ715" si="4312">IF(ISERROR((AI710/AA710-1)*100),"NA",IF(((AI710/AA710-1)*100)&gt;100,"NM",IF(((AI710/AA710-1)*100)&lt;-50,"NM",(AI710/AA710-1)*100)))</f>
        <v>16.131498470948014</v>
      </c>
      <c r="AK710" s="359">
        <v>161.80000000000001</v>
      </c>
      <c r="AL710" s="61">
        <f t="shared" ref="AL710:AL715" si="4313">IF(ISERROR((AK710/AC710-1)*100),"NA",IF(((AK710/AC710-1)*100)&gt;100,"NM",IF(((AK710/AC710-1)*100)&lt;-50,"NM",(AK710/AC710-1)*100)))</f>
        <v>13.384723195515091</v>
      </c>
      <c r="AM710" s="359">
        <v>150.80000000000001</v>
      </c>
      <c r="AN710" s="61">
        <f t="shared" ref="AN710:AN715" si="4314">IF(ISERROR((AM710/AE710-1)*100),"NA",IF(((AM710/AE710-1)*100)&gt;100,"NM",IF(((AM710/AE710-1)*100)&lt;-50,"NM",(AM710/AE710-1)*100)))</f>
        <v>-12.478235635519441</v>
      </c>
      <c r="AO710" s="359">
        <v>181.1</v>
      </c>
      <c r="AP710" s="61">
        <f t="shared" ref="AP710:AP715" si="4315">IF(ISERROR((AO710/AG710-1)*100),"NA",IF(((AO710/AG710-1)*100)&gt;100,"NM",IF(((AO710/AG710-1)*100)&lt;-50,"NM",(AO710/AG710-1)*100)))</f>
        <v>-7.5548749361919354</v>
      </c>
      <c r="AQ710" s="359">
        <v>136.4</v>
      </c>
      <c r="AR710" s="61">
        <f t="shared" ref="AR710:AR715" si="4316">IF(ISERROR((AQ710/AI710-1)*100),"NA",IF(((AQ710/AI710-1)*100)&gt;100,"NM",IF(((AQ710/AI710-1)*100)&lt;-50,"NM",(AQ710/AI710-1)*100)))</f>
        <v>-10.204081632653061</v>
      </c>
      <c r="AS710" s="359">
        <v>157.4</v>
      </c>
      <c r="AT710" s="61">
        <f t="shared" ref="AT710:AT715" si="4317">IF(ISERROR((AS710/AK710-1)*100),"NA",IF(((AS710/AK710-1)*100)&gt;100,"NM",IF(((AS710/AK710-1)*100)&lt;-50,"NM",(AS710/AK710-1)*100)))</f>
        <v>-2.7194066749072987</v>
      </c>
      <c r="AU710" s="359">
        <v>163.1</v>
      </c>
      <c r="AV710" s="61">
        <f t="shared" ref="AV710:AV715" si="4318">IF(ISERROR((AU710/AM710-1)*100),"NA",IF(((AU710/AM710-1)*100)&gt;100,"NM",IF(((AU710/AM710-1)*100)&lt;-50,"NM",(AU710/AM710-1)*100)))</f>
        <v>8.1564986737400424</v>
      </c>
      <c r="AW710" s="359">
        <v>206.5</v>
      </c>
      <c r="AX710" s="61">
        <f>IF(ISERROR((AW710/AO710-1)*100),"NA",IF(((AW710/AO710-1)*100)&gt;100,"NM",IF(((AW710/AO710-1)*100)&lt;-50,"NM",(AW710/AO710-1)*100)))</f>
        <v>14.025400331308679</v>
      </c>
      <c r="AY710" s="359">
        <v>159.69999999999999</v>
      </c>
      <c r="AZ710" s="61">
        <f>IF(ISERROR((AY710/AQ710-1)*100),"NA",IF(((AY710/AQ710-1)*100)&gt;100,"NM",IF(((AY710/AQ710-1)*100)&lt;-50,"NM",(AY710/AQ710-1)*100)))</f>
        <v>17.082111436950132</v>
      </c>
      <c r="BA710" s="359">
        <v>311.2</v>
      </c>
      <c r="BB710" s="61">
        <f>IF(ISERROR((BA710/AS710-1)*100),"NA",IF(((BA710/AS710-1)*100)&gt;100,"NM",IF(((BA710/AS710-1)*100)&lt;-50,"NM",(BA710/AS710-1)*100)))</f>
        <v>97.712833545107983</v>
      </c>
      <c r="BC710" s="359">
        <v>323.89999999999998</v>
      </c>
      <c r="BD710" s="61">
        <f>IF(ISERROR((BC710/AU710-1)*100),"NA",IF(((BC710/AU710-1)*100)&gt;100,"NM",IF(((BC710/AU710-1)*100)&lt;-50,"NM",(BC710/AU710-1)*100)))</f>
        <v>98.589822194972413</v>
      </c>
      <c r="BE710" s="359">
        <v>403.2</v>
      </c>
      <c r="BF710" s="61">
        <f>IF(ISERROR((BE710/AW710-1)*100),"NA",IF(((BE710/AW710-1)*100)&gt;100,"NM",IF(((BE710/AW710-1)*100)&lt;-50,"NM",(BE710/AW710-1)*100)))</f>
        <v>95.254237288135585</v>
      </c>
      <c r="BG710" s="359">
        <v>417.1</v>
      </c>
      <c r="BH710" s="61" t="str">
        <f>IF(ISERROR((BG710/AY710-1)*100),"NA",IF(((BG710/AY710-1)*100)&gt;100,"NM",IF(((BG710/AY710-1)*100)&lt;-50,"NM",(BG710/AY710-1)*100)))</f>
        <v>NM</v>
      </c>
      <c r="BI710" s="359">
        <v>381.6</v>
      </c>
      <c r="BJ710" s="61">
        <f>IF(ISERROR((BI710/BA710-1)*100),"NA",IF(((BI710/BA710-1)*100)&gt;100,"NM",IF(((BI710/BA710-1)*100)&lt;-50,"NM",(BI710/BA710-1)*100)))</f>
        <v>22.622107969151671</v>
      </c>
      <c r="BK710" s="359">
        <v>376.2</v>
      </c>
      <c r="BL710" s="61">
        <f t="shared" ref="BL710:BL715" si="4319">IF(ISERROR((BK710/BC710-1)*100),"NA",IF(((BK710/BC710-1)*100)&gt;100,"NM",IF(((BK710/BC710-1)*100)&lt;-50,"NM",(BK710/BC710-1)*100)))</f>
        <v>16.146958937943822</v>
      </c>
      <c r="BM710" s="359">
        <v>385</v>
      </c>
      <c r="BN710" s="61">
        <f t="shared" ref="BN710:BN715" si="4320">IF(ISERROR((BM710/BE710-1)*100),"NA",IF(((BM710/BE710-1)*100)&gt;100,"NM",IF(((BM710/BE710-1)*100)&lt;-50,"NM",(BM710/BE710-1)*100)))</f>
        <v>-4.513888888888884</v>
      </c>
      <c r="BO710" s="359">
        <v>318.89999999999998</v>
      </c>
      <c r="BP710" s="61">
        <f t="shared" ref="BP710:BP715" si="4321">IF(ISERROR((BO710/BG710-1)*100),"NA",IF(((BO710/BG710-1)*100)&gt;100,"NM",IF(((BO710/BG710-1)*100)&lt;-50,"NM",(BO710/BG710-1)*100)))</f>
        <v>-23.543514744665561</v>
      </c>
      <c r="BQ710" s="359">
        <v>336.8</v>
      </c>
      <c r="BR710" s="61">
        <f t="shared" ref="BR710:BR715" si="4322">IF(ISERROR((BQ710/BI710-1)*100),"NA",IF(((BQ710/BI710-1)*100)&gt;100,"NM",IF(((BQ710/BI710-1)*100)&lt;-50,"NM",(BQ710/BI710-1)*100)))</f>
        <v>-11.74004192872118</v>
      </c>
      <c r="BS710" s="359">
        <v>362</v>
      </c>
      <c r="BT710" s="61">
        <f t="shared" ref="BT710:BT715" si="4323">IF(ISERROR((BS710/BK710-1)*100),"NA",IF(((BS710/BK710-1)*100)&gt;100,"NM",IF(((BS710/BK710-1)*100)&lt;-50,"NM",(BS710/BK710-1)*100)))</f>
        <v>-3.7745879851142972</v>
      </c>
      <c r="BU710" s="359">
        <v>372.5</v>
      </c>
      <c r="BV710" s="61">
        <f t="shared" ref="BV710:BV715" si="4324">IF(ISERROR((BU710/BM710-1)*100),"NA",IF(((BU710/BM710-1)*100)&gt;100,"NM",IF(((BU710/BM710-1)*100)&lt;-50,"NM",(BU710/BM710-1)*100)))</f>
        <v>-3.2467532467532423</v>
      </c>
      <c r="BW710" s="359">
        <v>303.60000000000002</v>
      </c>
      <c r="BX710" s="61">
        <f t="shared" ref="BX710:BX715" si="4325">IF(ISERROR((BW710/BO710-1)*100),"NA",IF(((BW710/BO710-1)*100)&gt;100,"NM",IF(((BW710/BO710-1)*100)&lt;-50,"NM",(BW710/BO710-1)*100)))</f>
        <v>-4.797742238946368</v>
      </c>
      <c r="BY710" s="359">
        <v>311.10000000000002</v>
      </c>
      <c r="BZ710" s="61">
        <f t="shared" ref="BZ710:BZ715" si="4326">IF(ISERROR((BY710/BQ710-1)*100),"NA",IF(((BY710/BQ710-1)*100)&gt;100,"NM",IF(((BY710/BQ710-1)*100)&lt;-50,"NM",(BY710/BQ710-1)*100)))</f>
        <v>-7.6306413301662657</v>
      </c>
      <c r="CA710" s="359">
        <v>360.4</v>
      </c>
      <c r="CB710" s="61">
        <f t="shared" ref="CB710:CB715" si="4327">IF(ISERROR((CA710/BS710-1)*100),"NA",IF(((CA710/BS710-1)*100)&gt;100,"NM",IF(((CA710/BS710-1)*100)&lt;-50,"NM",(CA710/BS710-1)*100)))</f>
        <v>-0.44198895027625085</v>
      </c>
      <c r="CC710" s="359">
        <v>483.9</v>
      </c>
      <c r="CD710" s="61">
        <f t="shared" ref="CD710:CD715" si="4328">IF(ISERROR((CC710/BU710-1)*100),"NA",IF(((CC710/BU710-1)*100)&gt;100,"NM",IF(((CC710/BU710-1)*100)&lt;-50,"NM",(CC710/BU710-1)*100)))</f>
        <v>29.90604026845638</v>
      </c>
      <c r="CE710" s="359">
        <v>384.9</v>
      </c>
      <c r="CF710" s="61">
        <f t="shared" ref="CF710:CF715" si="4329">IF(ISERROR((CE710/BW710-1)*100),"NA",IF(((CE710/BW710-1)*100)&gt;100,"NM",IF(((CE710/BW710-1)*100)&lt;-50,"NM",(CE710/BW710-1)*100)))</f>
        <v>26.778656126482204</v>
      </c>
      <c r="CG710" s="359">
        <v>385</v>
      </c>
      <c r="CH710" s="61">
        <f t="shared" ref="CH710:CH715" si="4330">IF(ISERROR((CG710/BY710-1)*100),"NA",IF(((CG710/BY710-1)*100)&gt;100,"NM",IF(((CG710/BY710-1)*100)&lt;-50,"NM",(CG710/BY710-1)*100)))</f>
        <v>23.754419800707161</v>
      </c>
      <c r="CI710" s="359">
        <v>413.3</v>
      </c>
      <c r="CJ710" s="61">
        <f t="shared" ref="CJ710:CJ715" si="4331">IF(ISERROR((CI710/CA710-1)*100),"NA",IF(((CI710/CA710-1)*100)&gt;100,"NM",IF(((CI710/CA710-1)*100)&lt;-50,"NM",(CI710/CA710-1)*100)))</f>
        <v>14.678135405105452</v>
      </c>
      <c r="CK710" s="359">
        <v>599.1</v>
      </c>
      <c r="CL710" s="61">
        <f t="shared" ref="CL710:CL715" si="4332">IF(ISERROR((CK710/CC710-1)*100),"NA",IF(((CK710/CC710-1)*100)&gt;100,"NM",IF(((CK710/CC710-1)*100)&lt;-50,"NM",(CK710/CC710-1)*100)))</f>
        <v>23.806571605703674</v>
      </c>
      <c r="CM710" s="359">
        <v>527.6</v>
      </c>
      <c r="CN710" s="61">
        <f t="shared" ref="CN710:CN715" si="4333">IF(ISERROR((CM710/CE710-1)*100),"NA",IF(((CM710/CE710-1)*100)&gt;100,"NM",IF(((CM710/CE710-1)*100)&lt;-50,"NM",(CM710/CE710-1)*100)))</f>
        <v>37.074564822031711</v>
      </c>
      <c r="CO710" s="359">
        <v>552.1</v>
      </c>
      <c r="CP710" s="61">
        <f t="shared" ref="CP710:CP715" si="4334">IF(ISERROR((CO710/CG710-1)*100),"NA",IF(((CO710/CG710-1)*100)&gt;100,"NM",IF(((CO710/CG710-1)*100)&lt;-50,"NM",(CO710/CG710-1)*100)))</f>
        <v>43.402597402597401</v>
      </c>
      <c r="CQ710" s="359">
        <v>599</v>
      </c>
      <c r="CR710" s="61">
        <f t="shared" ref="CR710:CR715" si="4335">IF(ISERROR((CQ710/CI710-1)*100),"NA",IF(((CQ710/CI710-1)*100)&gt;100,"NM",IF(((CQ710/CI710-1)*100)&lt;-50,"NM",(CQ710/CI710-1)*100)))</f>
        <v>44.93104282603435</v>
      </c>
      <c r="CS710" s="359">
        <v>678</v>
      </c>
      <c r="CT710" s="61">
        <f t="shared" ref="CT710:CT715" si="4336">IF(ISERROR((CS710/CK710-1)*100),"NA",IF(((CS710/CK710-1)*100)&gt;100,"NM",IF(((CS710/CK710-1)*100)&lt;-50,"NM",(CS710/CK710-1)*100)))</f>
        <v>13.169754631947917</v>
      </c>
      <c r="CU710" s="359">
        <v>394.3</v>
      </c>
      <c r="CV710" s="61">
        <f t="shared" ref="CV710:CV715" si="4337">IF(ISERROR((CU710/CM710-1)*100),"NA",IF(((CU710/CM710-1)*100)&gt;100,"NM",IF(((CU710/CM710-1)*100)&lt;-50,"NM",(CU710/CM710-1)*100)))</f>
        <v>-25.265352539802876</v>
      </c>
      <c r="CW710" s="359"/>
      <c r="CX710" s="61"/>
      <c r="CY710" s="359"/>
      <c r="CZ710" s="61"/>
      <c r="DA710" s="359"/>
      <c r="DB710" s="61"/>
      <c r="DC710" s="359"/>
      <c r="DD710" s="61"/>
      <c r="DE710" s="359"/>
      <c r="DF710" s="61"/>
      <c r="DG710" s="359"/>
      <c r="DH710" s="61"/>
      <c r="DI710" s="359"/>
      <c r="DJ710" s="61"/>
      <c r="DK710" s="359"/>
      <c r="DL710" s="61"/>
      <c r="DM710" s="359"/>
      <c r="DN710" s="61"/>
      <c r="DO710" s="359"/>
      <c r="DP710" s="61"/>
      <c r="DQ710" s="359"/>
      <c r="DR710" s="61"/>
      <c r="DS710" s="359"/>
      <c r="DT710" s="61"/>
      <c r="DU710" s="359"/>
      <c r="DV710" s="61"/>
      <c r="DW710" s="359"/>
      <c r="DX710" s="61"/>
      <c r="DY710" s="12"/>
      <c r="DZ710" s="61"/>
      <c r="EA710" s="12"/>
      <c r="EB710" s="61"/>
      <c r="EC710" s="12"/>
      <c r="ED710" s="61"/>
      <c r="EE710" s="12"/>
      <c r="EF710" s="61"/>
      <c r="EG710" s="12"/>
      <c r="EH710" s="61"/>
      <c r="EI710" s="12"/>
      <c r="EJ710" s="61"/>
      <c r="EK710" s="12"/>
      <c r="EL710" s="61"/>
      <c r="EM710" s="12"/>
      <c r="EN710" s="61"/>
      <c r="EO710" s="12"/>
      <c r="EP710" s="61"/>
      <c r="EQ710" s="12"/>
      <c r="ER710" s="61"/>
      <c r="ES710" s="12"/>
      <c r="ET710" s="61"/>
      <c r="EU710" s="12"/>
      <c r="EV710" s="61"/>
      <c r="EW710" s="12"/>
      <c r="EX710" s="61"/>
      <c r="EY710" s="56"/>
      <c r="EZ710" s="558"/>
      <c r="FA710" s="56"/>
      <c r="FB710" s="12"/>
      <c r="FC710" s="13"/>
      <c r="FD710" s="12"/>
      <c r="FE710" s="13"/>
      <c r="FF710" s="19"/>
      <c r="FG710" s="13"/>
      <c r="FH710" s="19"/>
      <c r="FI710" s="13"/>
      <c r="FJ710" s="19"/>
      <c r="FK710" s="13"/>
      <c r="FL710" s="57"/>
      <c r="FM710" s="13"/>
      <c r="FN710" s="57"/>
      <c r="FO710" s="13"/>
      <c r="FP710" s="12"/>
      <c r="FQ710" s="61"/>
      <c r="FR710" s="12"/>
      <c r="FS710" s="61"/>
      <c r="FT710" s="12"/>
      <c r="FU710" s="61"/>
      <c r="FV710" s="12"/>
      <c r="FW710" s="61"/>
      <c r="FX710" s="12"/>
      <c r="FY710" s="61"/>
      <c r="FZ710" s="12"/>
      <c r="GA710" s="61"/>
      <c r="GB710" s="12"/>
      <c r="GC710" s="61"/>
      <c r="GD710" s="12"/>
      <c r="GE710" s="61"/>
      <c r="GF710" s="12"/>
      <c r="GG710" s="61"/>
      <c r="GH710" s="12"/>
      <c r="GI710" s="61"/>
      <c r="GJ710" s="12"/>
      <c r="GK710" s="61"/>
      <c r="GL710" s="12"/>
      <c r="GM710" s="61"/>
      <c r="GN710" s="12"/>
      <c r="GO710" s="61"/>
      <c r="GP710" s="12"/>
      <c r="GQ710" s="61"/>
      <c r="GR710" s="57"/>
      <c r="GS710" s="61"/>
      <c r="GT710" s="57"/>
      <c r="GU710" s="61"/>
      <c r="GV710" s="57"/>
      <c r="GW710" s="61"/>
      <c r="GX710" s="57"/>
      <c r="GY710" s="61"/>
      <c r="GZ710" s="61"/>
      <c r="HA710" s="61"/>
      <c r="HB710" s="452"/>
      <c r="HC710"/>
      <c r="HD710"/>
      <c r="HE710"/>
      <c r="HF710"/>
      <c r="HG710"/>
      <c r="HH710"/>
    </row>
    <row r="711" spans="1:216" s="5" customFormat="1" ht="12.75" customHeight="1" x14ac:dyDescent="0.2">
      <c r="A711" s="8"/>
      <c r="B711" s="7" t="s">
        <v>622</v>
      </c>
      <c r="C711" s="359">
        <v>44</v>
      </c>
      <c r="D711" s="13"/>
      <c r="E711" s="359">
        <v>44.5</v>
      </c>
      <c r="F711" s="13"/>
      <c r="G711" s="359">
        <v>55.1</v>
      </c>
      <c r="H711" s="13"/>
      <c r="I711" s="359">
        <v>75.099999999999994</v>
      </c>
      <c r="J711" s="13"/>
      <c r="K711" s="359">
        <v>56</v>
      </c>
      <c r="L711" s="70">
        <f t="shared" si="4301"/>
        <v>27.27272727272727</v>
      </c>
      <c r="M711" s="359">
        <v>52.2</v>
      </c>
      <c r="N711" s="70">
        <f t="shared" si="4302"/>
        <v>17.303370786516869</v>
      </c>
      <c r="O711" s="359">
        <v>50.1</v>
      </c>
      <c r="P711" s="70">
        <f t="shared" si="4303"/>
        <v>-9.0744101633393868</v>
      </c>
      <c r="Q711" s="359">
        <v>70.2</v>
      </c>
      <c r="R711" s="70">
        <f t="shared" si="4304"/>
        <v>-6.5246338215712241</v>
      </c>
      <c r="S711" s="359">
        <v>39</v>
      </c>
      <c r="T711" s="70">
        <f t="shared" si="4305"/>
        <v>-30.357142857142861</v>
      </c>
      <c r="U711" s="359">
        <v>42.4</v>
      </c>
      <c r="V711" s="70">
        <f t="shared" si="4306"/>
        <v>-18.773946360153261</v>
      </c>
      <c r="W711" s="359">
        <v>26.1</v>
      </c>
      <c r="X711" s="70">
        <f t="shared" si="4307"/>
        <v>-47.904191616766468</v>
      </c>
      <c r="Y711" s="359">
        <v>27</v>
      </c>
      <c r="Z711" s="70" t="str">
        <f t="shared" si="4308"/>
        <v>NM</v>
      </c>
      <c r="AA711" s="359">
        <v>24.4</v>
      </c>
      <c r="AB711" s="70">
        <f t="shared" si="4309"/>
        <v>-37.435897435897438</v>
      </c>
      <c r="AC711" s="359">
        <v>14.1</v>
      </c>
      <c r="AD711" s="70" t="str">
        <f t="shared" si="4310"/>
        <v>NM</v>
      </c>
      <c r="AE711" s="359">
        <v>16.600000000000001</v>
      </c>
      <c r="AF711" s="70">
        <f t="shared" si="4311"/>
        <v>-36.398467432950184</v>
      </c>
      <c r="AG711" s="359">
        <v>24.4</v>
      </c>
      <c r="AH711" s="70">
        <f t="shared" si="4311"/>
        <v>-9.6296296296296333</v>
      </c>
      <c r="AI711" s="359">
        <v>22.5</v>
      </c>
      <c r="AJ711" s="61">
        <f t="shared" si="4312"/>
        <v>-7.7868852459016313</v>
      </c>
      <c r="AK711" s="359">
        <v>17.7</v>
      </c>
      <c r="AL711" s="61">
        <f t="shared" si="4313"/>
        <v>25.531914893617014</v>
      </c>
      <c r="AM711" s="359">
        <v>17.2</v>
      </c>
      <c r="AN711" s="61">
        <f t="shared" si="4314"/>
        <v>3.6144578313252795</v>
      </c>
      <c r="AO711" s="359">
        <v>27.5</v>
      </c>
      <c r="AP711" s="61">
        <f t="shared" si="4315"/>
        <v>12.704918032786882</v>
      </c>
      <c r="AQ711" s="359">
        <v>25.9</v>
      </c>
      <c r="AR711" s="61">
        <f t="shared" si="4316"/>
        <v>15.111111111111097</v>
      </c>
      <c r="AS711" s="359">
        <v>23.8</v>
      </c>
      <c r="AT711" s="61">
        <f t="shared" si="4317"/>
        <v>34.463276836158194</v>
      </c>
      <c r="AU711" s="359">
        <v>23.4</v>
      </c>
      <c r="AV711" s="61">
        <f t="shared" si="4318"/>
        <v>36.046511627906973</v>
      </c>
      <c r="AW711" s="359">
        <v>33.4</v>
      </c>
      <c r="AX711" s="61">
        <f>IF(ISERROR((AW711/AO711-1)*100),"NA",IF(((AW711/AO711-1)*100)&gt;100,"NM",IF(((AW711/AO711-1)*100)&lt;-50,"NM",(AW711/AO711-1)*100)))</f>
        <v>21.45454545454546</v>
      </c>
      <c r="AY711" s="359">
        <v>27.1</v>
      </c>
      <c r="AZ711" s="61">
        <f>IF(ISERROR((AY711/AQ711-1)*100),"NA",IF(((AY711/AQ711-1)*100)&gt;100,"NM",IF(((AY711/AQ711-1)*100)&lt;-50,"NM",(AY711/AQ711-1)*100)))</f>
        <v>4.6332046332046462</v>
      </c>
      <c r="BA711" s="359">
        <v>40.5</v>
      </c>
      <c r="BB711" s="61">
        <f>IF(ISERROR((BA711/AS711-1)*100),"NA",IF(((BA711/AS711-1)*100)&gt;100,"NM",IF(((BA711/AS711-1)*100)&lt;-50,"NM",(BA711/AS711-1)*100)))</f>
        <v>70.168067226890756</v>
      </c>
      <c r="BC711" s="359">
        <v>34.4</v>
      </c>
      <c r="BD711" s="61">
        <f>IF(ISERROR((BC711/AU711-1)*100),"NA",IF(((BC711/AU711-1)*100)&gt;100,"NM",IF(((BC711/AU711-1)*100)&lt;-50,"NM",(BC711/AU711-1)*100)))</f>
        <v>47.008547008547019</v>
      </c>
      <c r="BE711" s="359">
        <v>53.4</v>
      </c>
      <c r="BF711" s="61">
        <f>IF(ISERROR((BE711/AW711-1)*100),"NA",IF(((BE711/AW711-1)*100)&gt;100,"NM",IF(((BE711/AW711-1)*100)&lt;-50,"NM",(BE711/AW711-1)*100)))</f>
        <v>59.880239520958092</v>
      </c>
      <c r="BG711" s="359">
        <v>52.5</v>
      </c>
      <c r="BH711" s="61">
        <f>IF(ISERROR((BG711/AY711-1)*100),"NA",IF(((BG711/AY711-1)*100)&gt;100,"NM",IF(((BG711/AY711-1)*100)&lt;-50,"NM",(BG711/AY711-1)*100)))</f>
        <v>93.726937269372684</v>
      </c>
      <c r="BI711" s="359">
        <v>47.8</v>
      </c>
      <c r="BJ711" s="61">
        <f>IF(ISERROR((BI711/BA711-1)*100),"NA",IF(((BI711/BA711-1)*100)&gt;100,"NM",IF(((BI711/BA711-1)*100)&lt;-50,"NM",(BI711/BA711-1)*100)))</f>
        <v>18.02469135802469</v>
      </c>
      <c r="BK711" s="359">
        <v>46.4</v>
      </c>
      <c r="BL711" s="61">
        <f t="shared" si="4319"/>
        <v>34.883720930232556</v>
      </c>
      <c r="BM711" s="359">
        <v>48.9</v>
      </c>
      <c r="BN711" s="61">
        <f t="shared" si="4320"/>
        <v>-8.4269662921348303</v>
      </c>
      <c r="BO711" s="359">
        <v>37</v>
      </c>
      <c r="BP711" s="61">
        <f t="shared" si="4321"/>
        <v>-29.523809523809518</v>
      </c>
      <c r="BQ711" s="359">
        <v>28.8</v>
      </c>
      <c r="BR711" s="61">
        <f t="shared" si="4322"/>
        <v>-39.748953974895393</v>
      </c>
      <c r="BS711" s="359">
        <v>31.1</v>
      </c>
      <c r="BT711" s="61">
        <f t="shared" si="4323"/>
        <v>-32.974137931034477</v>
      </c>
      <c r="BU711" s="359">
        <v>34.200000000000003</v>
      </c>
      <c r="BV711" s="61">
        <f t="shared" si="4324"/>
        <v>-30.061349693251525</v>
      </c>
      <c r="BW711" s="359">
        <v>25.2</v>
      </c>
      <c r="BX711" s="61">
        <f t="shared" si="4325"/>
        <v>-31.891891891891898</v>
      </c>
      <c r="BY711" s="359">
        <v>20.100000000000001</v>
      </c>
      <c r="BZ711" s="61">
        <f t="shared" si="4326"/>
        <v>-30.208333333333325</v>
      </c>
      <c r="CA711" s="359">
        <v>10.199999999999999</v>
      </c>
      <c r="CB711" s="61" t="str">
        <f t="shared" si="4327"/>
        <v>NM</v>
      </c>
      <c r="CC711" s="359">
        <v>38.6</v>
      </c>
      <c r="CD711" s="61">
        <f t="shared" si="4328"/>
        <v>12.865497076023381</v>
      </c>
      <c r="CE711" s="359">
        <v>17.100000000000001</v>
      </c>
      <c r="CF711" s="61">
        <f t="shared" si="4329"/>
        <v>-32.142857142857139</v>
      </c>
      <c r="CG711" s="359">
        <v>23.3</v>
      </c>
      <c r="CH711" s="61">
        <f t="shared" si="4330"/>
        <v>15.920398009950244</v>
      </c>
      <c r="CI711" s="359">
        <v>30.3</v>
      </c>
      <c r="CJ711" s="61" t="str">
        <f t="shared" si="4331"/>
        <v>NM</v>
      </c>
      <c r="CK711" s="359">
        <v>37.5</v>
      </c>
      <c r="CL711" s="61">
        <f t="shared" si="4332"/>
        <v>-2.8497409326424861</v>
      </c>
      <c r="CM711" s="359">
        <v>24.2</v>
      </c>
      <c r="CN711" s="61">
        <f t="shared" si="4333"/>
        <v>41.520467836257289</v>
      </c>
      <c r="CO711" s="359">
        <v>32</v>
      </c>
      <c r="CP711" s="61">
        <f t="shared" si="4334"/>
        <v>37.339055793991413</v>
      </c>
      <c r="CQ711" s="359">
        <v>33</v>
      </c>
      <c r="CR711" s="61">
        <f t="shared" si="4335"/>
        <v>8.9108910891089188</v>
      </c>
      <c r="CS711" s="359">
        <v>37.9</v>
      </c>
      <c r="CT711" s="61">
        <f t="shared" si="4336"/>
        <v>1.0666666666666602</v>
      </c>
      <c r="CU711" s="359">
        <v>26.4</v>
      </c>
      <c r="CV711" s="61">
        <f t="shared" si="4337"/>
        <v>9.0909090909090828</v>
      </c>
      <c r="CW711" s="359"/>
      <c r="CX711" s="61"/>
      <c r="CY711" s="359"/>
      <c r="CZ711" s="61"/>
      <c r="DA711" s="359"/>
      <c r="DB711" s="61"/>
      <c r="DC711" s="359"/>
      <c r="DD711" s="61"/>
      <c r="DE711" s="359"/>
      <c r="DF711" s="61"/>
      <c r="DG711" s="359"/>
      <c r="DH711" s="61"/>
      <c r="DI711" s="359"/>
      <c r="DJ711" s="61"/>
      <c r="DK711" s="359"/>
      <c r="DL711" s="61"/>
      <c r="DM711" s="359"/>
      <c r="DN711" s="61"/>
      <c r="DO711" s="359"/>
      <c r="DP711" s="61"/>
      <c r="DQ711" s="359"/>
      <c r="DR711" s="61"/>
      <c r="DS711" s="359"/>
      <c r="DT711" s="61"/>
      <c r="DU711" s="359"/>
      <c r="DV711" s="61"/>
      <c r="DW711" s="359"/>
      <c r="DX711" s="61"/>
      <c r="DY711" s="12"/>
      <c r="DZ711" s="61"/>
      <c r="EA711" s="12"/>
      <c r="EB711" s="61"/>
      <c r="EC711" s="12"/>
      <c r="ED711" s="61"/>
      <c r="EE711" s="12"/>
      <c r="EF711" s="61"/>
      <c r="EG711" s="12"/>
      <c r="EH711" s="61"/>
      <c r="EI711" s="12"/>
      <c r="EJ711" s="61"/>
      <c r="EK711" s="12"/>
      <c r="EL711" s="61"/>
      <c r="EM711" s="12"/>
      <c r="EN711" s="61"/>
      <c r="EO711" s="12"/>
      <c r="EP711" s="61"/>
      <c r="EQ711" s="12"/>
      <c r="ER711" s="61"/>
      <c r="ES711" s="12"/>
      <c r="ET711" s="61"/>
      <c r="EU711" s="12"/>
      <c r="EV711" s="61"/>
      <c r="EW711" s="12"/>
      <c r="EX711" s="61"/>
      <c r="EY711" s="56"/>
      <c r="EZ711" s="558"/>
      <c r="FA711" s="56"/>
      <c r="FB711" s="12"/>
      <c r="FC711" s="13"/>
      <c r="FD711" s="12"/>
      <c r="FE711" s="13"/>
      <c r="FF711" s="19"/>
      <c r="FG711" s="13"/>
      <c r="FH711" s="19"/>
      <c r="FI711" s="13"/>
      <c r="FJ711" s="19"/>
      <c r="FK711" s="13"/>
      <c r="FL711" s="57"/>
      <c r="FM711" s="13"/>
      <c r="FN711" s="57"/>
      <c r="FO711" s="13"/>
      <c r="FP711" s="12"/>
      <c r="FQ711" s="61"/>
      <c r="FR711" s="12"/>
      <c r="FS711" s="61"/>
      <c r="FT711" s="12"/>
      <c r="FU711" s="61"/>
      <c r="FV711" s="12"/>
      <c r="FW711" s="61"/>
      <c r="FX711" s="12"/>
      <c r="FY711" s="61"/>
      <c r="FZ711" s="12"/>
      <c r="GA711" s="61"/>
      <c r="GB711" s="12"/>
      <c r="GC711" s="61"/>
      <c r="GD711" s="12"/>
      <c r="GE711" s="61"/>
      <c r="GF711" s="12"/>
      <c r="GG711" s="61"/>
      <c r="GH711" s="12"/>
      <c r="GI711" s="61"/>
      <c r="GJ711" s="12"/>
      <c r="GK711" s="61"/>
      <c r="GL711" s="12"/>
      <c r="GM711" s="61"/>
      <c r="GN711" s="12"/>
      <c r="GO711" s="61"/>
      <c r="GP711" s="12"/>
      <c r="GQ711" s="61"/>
      <c r="GR711" s="57"/>
      <c r="GS711" s="61"/>
      <c r="GT711" s="57"/>
      <c r="GU711" s="61"/>
      <c r="GV711" s="57"/>
      <c r="GW711" s="61"/>
      <c r="GX711" s="57"/>
      <c r="GY711" s="61"/>
      <c r="GZ711" s="61"/>
      <c r="HA711" s="61"/>
      <c r="HB711" s="452"/>
      <c r="HC711"/>
      <c r="HD711"/>
      <c r="HE711"/>
      <c r="HF711"/>
      <c r="HG711"/>
      <c r="HH711"/>
    </row>
    <row r="712" spans="1:216" s="5" customFormat="1" ht="12.75" customHeight="1" x14ac:dyDescent="0.2">
      <c r="A712" s="8"/>
      <c r="B712" s="7" t="s">
        <v>469</v>
      </c>
      <c r="C712" s="359">
        <v>3.9</v>
      </c>
      <c r="D712" s="13"/>
      <c r="E712" s="359">
        <v>4.5</v>
      </c>
      <c r="F712" s="13"/>
      <c r="G712" s="359">
        <v>6</v>
      </c>
      <c r="H712" s="13"/>
      <c r="I712" s="359">
        <v>8</v>
      </c>
      <c r="J712" s="13"/>
      <c r="K712" s="359">
        <v>4.0999999999999996</v>
      </c>
      <c r="L712" s="70">
        <f t="shared" si="4301"/>
        <v>5.1282051282051322</v>
      </c>
      <c r="M712" s="359">
        <v>5.0999999999999996</v>
      </c>
      <c r="N712" s="70">
        <f t="shared" si="4302"/>
        <v>13.33333333333333</v>
      </c>
      <c r="O712" s="359">
        <v>6.7</v>
      </c>
      <c r="P712" s="70">
        <f t="shared" si="4303"/>
        <v>11.66666666666667</v>
      </c>
      <c r="Q712" s="359">
        <v>10.4</v>
      </c>
      <c r="R712" s="70">
        <f t="shared" si="4304"/>
        <v>30.000000000000004</v>
      </c>
      <c r="S712" s="359">
        <v>5.2</v>
      </c>
      <c r="T712" s="70">
        <f t="shared" si="4305"/>
        <v>26.829268292682951</v>
      </c>
      <c r="U712" s="359">
        <v>6.4</v>
      </c>
      <c r="V712" s="70">
        <f t="shared" si="4306"/>
        <v>25.490196078431392</v>
      </c>
      <c r="W712" s="359">
        <v>7.7</v>
      </c>
      <c r="X712" s="70">
        <f t="shared" si="4307"/>
        <v>14.925373134328357</v>
      </c>
      <c r="Y712" s="359">
        <v>11</v>
      </c>
      <c r="Z712" s="70">
        <f t="shared" si="4308"/>
        <v>5.7692307692307709</v>
      </c>
      <c r="AA712" s="359">
        <v>6.5</v>
      </c>
      <c r="AB712" s="70">
        <f t="shared" si="4309"/>
        <v>25</v>
      </c>
      <c r="AC712" s="359">
        <v>7.1</v>
      </c>
      <c r="AD712" s="70">
        <f t="shared" si="4310"/>
        <v>10.937499999999979</v>
      </c>
      <c r="AE712" s="359">
        <v>8.5</v>
      </c>
      <c r="AF712" s="70">
        <f t="shared" si="4311"/>
        <v>10.389610389610393</v>
      </c>
      <c r="AG712" s="359">
        <v>12.3</v>
      </c>
      <c r="AH712" s="70">
        <f t="shared" si="4311"/>
        <v>11.818181818181817</v>
      </c>
      <c r="AI712" s="359">
        <v>10.8</v>
      </c>
      <c r="AJ712" s="61">
        <f t="shared" si="4312"/>
        <v>66.15384615384616</v>
      </c>
      <c r="AK712" s="359">
        <v>7.6</v>
      </c>
      <c r="AL712" s="61">
        <f t="shared" si="4313"/>
        <v>7.0422535211267512</v>
      </c>
      <c r="AM712" s="359">
        <v>9.6999999999999993</v>
      </c>
      <c r="AN712" s="61">
        <f t="shared" si="4314"/>
        <v>14.117647058823524</v>
      </c>
      <c r="AO712" s="359">
        <v>13.1</v>
      </c>
      <c r="AP712" s="61">
        <f t="shared" si="4315"/>
        <v>6.5040650406503975</v>
      </c>
      <c r="AQ712" s="359">
        <v>7.8</v>
      </c>
      <c r="AR712" s="61">
        <f t="shared" si="4316"/>
        <v>-27.777777777777779</v>
      </c>
      <c r="AS712" s="359">
        <v>8.3000000000000007</v>
      </c>
      <c r="AT712" s="61">
        <f t="shared" si="4317"/>
        <v>9.2105263157894903</v>
      </c>
      <c r="AU712" s="359">
        <v>10.199999999999999</v>
      </c>
      <c r="AV712" s="61">
        <f t="shared" si="4318"/>
        <v>5.1546391752577359</v>
      </c>
      <c r="AW712" s="359">
        <v>14.4</v>
      </c>
      <c r="AX712" s="61">
        <f>IF(ISERROR((AW712/AO712-1)*100),"NA",IF(((AW712/AO712-1)*100)&gt;100,"NM",IF(((AW712/AO712-1)*100)&lt;-50,"NM",(AW712/AO712-1)*100)))</f>
        <v>9.92366412213741</v>
      </c>
      <c r="AY712" s="359">
        <v>8.3000000000000007</v>
      </c>
      <c r="AZ712" s="61">
        <f>IF(ISERROR((AY712/AQ712-1)*100),"NA",IF(((AY712/AQ712-1)*100)&gt;100,"NM",IF(((AY712/AQ712-1)*100)&lt;-50,"NM",(AY712/AQ712-1)*100)))</f>
        <v>6.4102564102564319</v>
      </c>
      <c r="BA712" s="359">
        <v>9.5</v>
      </c>
      <c r="BB712" s="61">
        <f>IF(ISERROR((BA712/AS712-1)*100),"NA",IF(((BA712/AS712-1)*100)&gt;100,"NM",IF(((BA712/AS712-1)*100)&lt;-50,"NM",(BA712/AS712-1)*100)))</f>
        <v>14.457831325301186</v>
      </c>
      <c r="BC712" s="359">
        <v>12</v>
      </c>
      <c r="BD712" s="61">
        <f>IF(ISERROR((BC712/AU712-1)*100),"NA",IF(((BC712/AU712-1)*100)&gt;100,"NM",IF(((BC712/AU712-1)*100)&lt;-50,"NM",(BC712/AU712-1)*100)))</f>
        <v>17.647058823529417</v>
      </c>
      <c r="BE712" s="359">
        <v>16.5</v>
      </c>
      <c r="BF712" s="61">
        <f>IF(ISERROR((BE712/AW712-1)*100),"NA",IF(((BE712/AW712-1)*100)&gt;100,"NM",IF(((BE712/AW712-1)*100)&lt;-50,"NM",(BE712/AW712-1)*100)))</f>
        <v>14.583333333333325</v>
      </c>
      <c r="BG712" s="359">
        <v>8.4</v>
      </c>
      <c r="BH712" s="61">
        <f>IF(ISERROR((BG712/AY712-1)*100),"NA",IF(((BG712/AY712-1)*100)&gt;100,"NM",IF(((BG712/AY712-1)*100)&lt;-50,"NM",(BG712/AY712-1)*100)))</f>
        <v>1.2048192771084265</v>
      </c>
      <c r="BI712" s="359">
        <v>10.1</v>
      </c>
      <c r="BJ712" s="61">
        <f>IF(ISERROR((BI712/BA712-1)*100),"NA",IF(((BI712/BA712-1)*100)&gt;100,"NM",IF(((BI712/BA712-1)*100)&lt;-50,"NM",(BI712/BA712-1)*100)))</f>
        <v>6.315789473684208</v>
      </c>
      <c r="BK712" s="359">
        <v>11.8</v>
      </c>
      <c r="BL712" s="61">
        <f t="shared" si="4319"/>
        <v>-1.6666666666666607</v>
      </c>
      <c r="BM712" s="359">
        <v>17.8</v>
      </c>
      <c r="BN712" s="61">
        <f t="shared" si="4320"/>
        <v>7.8787878787878851</v>
      </c>
      <c r="BO712" s="359">
        <v>14</v>
      </c>
      <c r="BP712" s="61">
        <f t="shared" si="4321"/>
        <v>66.666666666666657</v>
      </c>
      <c r="BQ712" s="359">
        <v>16.2</v>
      </c>
      <c r="BR712" s="61">
        <f t="shared" si="4322"/>
        <v>60.396039603960403</v>
      </c>
      <c r="BS712" s="359">
        <v>20.2</v>
      </c>
      <c r="BT712" s="61">
        <f t="shared" si="4323"/>
        <v>71.18644067796609</v>
      </c>
      <c r="BU712" s="359">
        <v>29.5</v>
      </c>
      <c r="BV712" s="61">
        <f t="shared" si="4324"/>
        <v>65.730337078651672</v>
      </c>
      <c r="BW712" s="359">
        <v>18.8</v>
      </c>
      <c r="BX712" s="61">
        <f t="shared" si="4325"/>
        <v>34.285714285714299</v>
      </c>
      <c r="BY712" s="359">
        <v>23</v>
      </c>
      <c r="BZ712" s="61">
        <f t="shared" si="4326"/>
        <v>41.975308641975317</v>
      </c>
      <c r="CA712" s="359">
        <v>28.2</v>
      </c>
      <c r="CB712" s="61">
        <f t="shared" si="4327"/>
        <v>39.603960396039597</v>
      </c>
      <c r="CC712" s="359">
        <v>37.299999999999997</v>
      </c>
      <c r="CD712" s="61">
        <f t="shared" si="4328"/>
        <v>26.440677966101678</v>
      </c>
      <c r="CE712" s="359">
        <v>19.100000000000001</v>
      </c>
      <c r="CF712" s="61">
        <f t="shared" si="4329"/>
        <v>1.5957446808510634</v>
      </c>
      <c r="CG712" s="359">
        <v>18.600000000000001</v>
      </c>
      <c r="CH712" s="61">
        <f t="shared" si="4330"/>
        <v>-19.130434782608685</v>
      </c>
      <c r="CI712" s="359">
        <v>16</v>
      </c>
      <c r="CJ712" s="61">
        <f t="shared" si="4331"/>
        <v>-43.262411347517727</v>
      </c>
      <c r="CK712" s="359">
        <v>15.4</v>
      </c>
      <c r="CL712" s="61" t="str">
        <f t="shared" si="4332"/>
        <v>NM</v>
      </c>
      <c r="CM712" s="359">
        <v>12.8</v>
      </c>
      <c r="CN712" s="61">
        <f t="shared" si="4333"/>
        <v>-32.984293193717271</v>
      </c>
      <c r="CO712" s="359">
        <v>14.1</v>
      </c>
      <c r="CP712" s="61">
        <f t="shared" si="4334"/>
        <v>-24.193548387096786</v>
      </c>
      <c r="CQ712" s="359">
        <v>12.4</v>
      </c>
      <c r="CR712" s="61">
        <f t="shared" si="4335"/>
        <v>-22.499999999999996</v>
      </c>
      <c r="CS712" s="359">
        <v>15.2</v>
      </c>
      <c r="CT712" s="61">
        <f t="shared" si="4336"/>
        <v>-1.2987012987013102</v>
      </c>
      <c r="CU712" s="359">
        <v>13.1</v>
      </c>
      <c r="CV712" s="61">
        <f t="shared" si="4337"/>
        <v>2.34375</v>
      </c>
      <c r="CW712" s="359"/>
      <c r="CX712" s="61"/>
      <c r="CY712" s="359"/>
      <c r="CZ712" s="61"/>
      <c r="DA712" s="359"/>
      <c r="DB712" s="61"/>
      <c r="DC712" s="359"/>
      <c r="DD712" s="61"/>
      <c r="DE712" s="359"/>
      <c r="DF712" s="61"/>
      <c r="DG712" s="359"/>
      <c r="DH712" s="61"/>
      <c r="DI712" s="359"/>
      <c r="DJ712" s="61"/>
      <c r="DK712" s="359"/>
      <c r="DL712" s="61"/>
      <c r="DM712" s="359"/>
      <c r="DN712" s="61"/>
      <c r="DO712" s="359"/>
      <c r="DP712" s="61"/>
      <c r="DQ712" s="359"/>
      <c r="DR712" s="61"/>
      <c r="DS712" s="359"/>
      <c r="DT712" s="61"/>
      <c r="DU712" s="359"/>
      <c r="DV712" s="61"/>
      <c r="DW712" s="359"/>
      <c r="DX712" s="61"/>
      <c r="DY712" s="12"/>
      <c r="DZ712" s="61"/>
      <c r="EA712" s="12"/>
      <c r="EB712" s="61"/>
      <c r="EC712" s="12"/>
      <c r="ED712" s="61"/>
      <c r="EE712" s="12"/>
      <c r="EF712" s="61"/>
      <c r="EG712" s="12"/>
      <c r="EH712" s="61"/>
      <c r="EI712" s="12"/>
      <c r="EJ712" s="61"/>
      <c r="EK712" s="12"/>
      <c r="EL712" s="61"/>
      <c r="EM712" s="12"/>
      <c r="EN712" s="61"/>
      <c r="EO712" s="12"/>
      <c r="EP712" s="61"/>
      <c r="EQ712" s="12"/>
      <c r="ER712" s="61"/>
      <c r="ES712" s="12"/>
      <c r="ET712" s="61"/>
      <c r="EU712" s="12"/>
      <c r="EV712" s="61"/>
      <c r="EW712" s="12"/>
      <c r="EX712" s="61"/>
      <c r="EY712" s="56"/>
      <c r="EZ712" s="558"/>
      <c r="FA712" s="56"/>
      <c r="FB712" s="12"/>
      <c r="FC712" s="13"/>
      <c r="FD712" s="12"/>
      <c r="FE712" s="13"/>
      <c r="FF712" s="19"/>
      <c r="FG712" s="13"/>
      <c r="FH712" s="19"/>
      <c r="FI712" s="13"/>
      <c r="FJ712" s="19"/>
      <c r="FK712" s="13"/>
      <c r="FL712" s="57"/>
      <c r="FM712" s="13"/>
      <c r="FN712" s="57"/>
      <c r="FO712" s="13"/>
      <c r="FP712" s="12"/>
      <c r="FQ712" s="61"/>
      <c r="FR712" s="12"/>
      <c r="FS712" s="61"/>
      <c r="FT712" s="12"/>
      <c r="FU712" s="61"/>
      <c r="FV712" s="12"/>
      <c r="FW712" s="61"/>
      <c r="FX712" s="12"/>
      <c r="FY712" s="61"/>
      <c r="FZ712" s="12"/>
      <c r="GA712" s="61"/>
      <c r="GB712" s="12"/>
      <c r="GC712" s="61"/>
      <c r="GD712" s="12"/>
      <c r="GE712" s="61"/>
      <c r="GF712" s="12"/>
      <c r="GG712" s="61"/>
      <c r="GH712" s="12"/>
      <c r="GI712" s="61"/>
      <c r="GJ712" s="12"/>
      <c r="GK712" s="61"/>
      <c r="GL712" s="12"/>
      <c r="GM712" s="61"/>
      <c r="GN712" s="12"/>
      <c r="GO712" s="61"/>
      <c r="GP712" s="12"/>
      <c r="GQ712" s="61"/>
      <c r="GR712" s="57"/>
      <c r="GS712" s="61"/>
      <c r="GT712" s="57"/>
      <c r="GU712" s="61"/>
      <c r="GV712" s="57"/>
      <c r="GW712" s="61"/>
      <c r="GX712" s="57"/>
      <c r="GY712" s="61"/>
      <c r="GZ712" s="61"/>
      <c r="HA712" s="61"/>
      <c r="HB712" s="452"/>
      <c r="HC712"/>
      <c r="HD712"/>
      <c r="HE712"/>
      <c r="HF712"/>
      <c r="HG712"/>
      <c r="HH712"/>
    </row>
    <row r="713" spans="1:216" s="5" customFormat="1" ht="12.75" customHeight="1" x14ac:dyDescent="0.2">
      <c r="A713" s="8"/>
      <c r="B713" s="7" t="s">
        <v>484</v>
      </c>
      <c r="C713" s="12">
        <f>SUM(C710:C712)</f>
        <v>120.2</v>
      </c>
      <c r="D713" s="13"/>
      <c r="E713" s="12">
        <f>SUM(E710:E712)</f>
        <v>112.7</v>
      </c>
      <c r="F713" s="13"/>
      <c r="G713" s="12">
        <f>SUM(G710:G712)</f>
        <v>133.5</v>
      </c>
      <c r="H713" s="13"/>
      <c r="I713" s="12">
        <f>SUM(I710:I712)</f>
        <v>164</v>
      </c>
      <c r="J713" s="13"/>
      <c r="K713" s="12">
        <f>SUM(K710:K712)</f>
        <v>117.8</v>
      </c>
      <c r="L713" s="70">
        <f t="shared" si="4301"/>
        <v>-1.9966722129783787</v>
      </c>
      <c r="M713" s="12">
        <f>SUM(M710:M712)</f>
        <v>127.3</v>
      </c>
      <c r="N713" s="70">
        <f t="shared" si="4302"/>
        <v>12.954747116237787</v>
      </c>
      <c r="O713" s="12">
        <f>SUM(O710:O712)</f>
        <v>124.2</v>
      </c>
      <c r="P713" s="70">
        <f t="shared" si="4303"/>
        <v>-6.9662921348314537</v>
      </c>
      <c r="Q713" s="12">
        <f>SUM(Q710:Q712)</f>
        <v>178.1</v>
      </c>
      <c r="R713" s="70">
        <f t="shared" si="4304"/>
        <v>8.5975609756097526</v>
      </c>
      <c r="S713" s="12">
        <f>SUM(S710:S712)</f>
        <v>130.6</v>
      </c>
      <c r="T713" s="70">
        <f t="shared" si="4305"/>
        <v>10.865874363327666</v>
      </c>
      <c r="U713" s="12">
        <f>SUM(U710:U712)</f>
        <v>147.70000000000002</v>
      </c>
      <c r="V713" s="70">
        <f t="shared" si="4306"/>
        <v>16.025137470542038</v>
      </c>
      <c r="W713" s="12">
        <f>SUM(W710:W712)</f>
        <v>166.7</v>
      </c>
      <c r="X713" s="70">
        <f t="shared" si="4307"/>
        <v>34.219001610305952</v>
      </c>
      <c r="Y713" s="12">
        <f>SUM(Y710:Y712)</f>
        <v>215.1</v>
      </c>
      <c r="Z713" s="70">
        <f t="shared" si="4308"/>
        <v>20.774845592363846</v>
      </c>
      <c r="AA713" s="12">
        <f>SUM(AA710:AA712)</f>
        <v>161.70000000000002</v>
      </c>
      <c r="AB713" s="70">
        <f t="shared" si="4309"/>
        <v>23.813169984686077</v>
      </c>
      <c r="AC713" s="12">
        <f>SUM(AC710:AC712)</f>
        <v>163.89999999999998</v>
      </c>
      <c r="AD713" s="70">
        <f t="shared" si="4310"/>
        <v>10.96817874069056</v>
      </c>
      <c r="AE713" s="12">
        <f>SUM(AE710:AE712)</f>
        <v>197.4</v>
      </c>
      <c r="AF713" s="70">
        <f t="shared" si="4311"/>
        <v>18.416316736652671</v>
      </c>
      <c r="AG713" s="12">
        <f>SUM(AG710:AG712)</f>
        <v>232.60000000000002</v>
      </c>
      <c r="AH713" s="70">
        <f t="shared" si="4311"/>
        <v>8.1357508135750933</v>
      </c>
      <c r="AI713" s="12">
        <f>SUM(AI710:AI712)</f>
        <v>185.20000000000002</v>
      </c>
      <c r="AJ713" s="61">
        <f t="shared" si="4312"/>
        <v>14.533085961657388</v>
      </c>
      <c r="AK713" s="12">
        <f>SUM(AK710:AK712)</f>
        <v>187.1</v>
      </c>
      <c r="AL713" s="61">
        <f t="shared" si="4313"/>
        <v>14.154972544234301</v>
      </c>
      <c r="AM713" s="12">
        <f>SUM(AM710:AM712)</f>
        <v>177.7</v>
      </c>
      <c r="AN713" s="61">
        <f t="shared" si="4314"/>
        <v>-9.9797365754812688</v>
      </c>
      <c r="AO713" s="12">
        <f>SUM(AO710:AO712)</f>
        <v>221.7</v>
      </c>
      <c r="AP713" s="61">
        <f t="shared" si="4315"/>
        <v>-4.6861564918314835</v>
      </c>
      <c r="AQ713" s="12">
        <f>SUM(AQ710:AQ712)</f>
        <v>170.10000000000002</v>
      </c>
      <c r="AR713" s="61">
        <f t="shared" si="4316"/>
        <v>-8.1533477321814267</v>
      </c>
      <c r="AS713" s="12">
        <f>SUM(AS710:AS712)</f>
        <v>189.50000000000003</v>
      </c>
      <c r="AT713" s="61">
        <f t="shared" si="4317"/>
        <v>1.2827365045430472</v>
      </c>
      <c r="AU713" s="12">
        <f>SUM(AU710:AU712)</f>
        <v>196.7</v>
      </c>
      <c r="AV713" s="61">
        <f t="shared" si="4318"/>
        <v>10.692177827799654</v>
      </c>
      <c r="AW713" s="12">
        <f>SUM(AW710:AW712)</f>
        <v>254.3</v>
      </c>
      <c r="AX713" s="61">
        <f>IF(ISERROR((AW713/AO713-1)*100),"NA",IF(((AW713/AO713-1)*100)&gt;100,"NM",IF(((AW713/AO713-1)*100)&lt;-50,"NM",(AW713/AO713-1)*100)))</f>
        <v>14.704555705908895</v>
      </c>
      <c r="AY713" s="12">
        <f>SUM(AY710:AY712)</f>
        <v>195.1</v>
      </c>
      <c r="AZ713" s="61">
        <f>IF(ISERROR((AY713/AQ713-1)*100),"NA",IF(((AY713/AQ713-1)*100)&gt;100,"NM",IF(((AY713/AQ713-1)*100)&lt;-50,"NM",(AY713/AQ713-1)*100)))</f>
        <v>14.697236919459122</v>
      </c>
      <c r="BA713" s="12">
        <f>SUM(BA710:BA712)</f>
        <v>361.2</v>
      </c>
      <c r="BB713" s="61">
        <f>IF(ISERROR((BA713/AS713-1)*100),"NA",IF(((BA713/AS713-1)*100)&gt;100,"NM",IF(((BA713/AS713-1)*100)&lt;-50,"NM",(BA713/AS713-1)*100)))</f>
        <v>90.606860158311321</v>
      </c>
      <c r="BC713" s="12">
        <f>SUM(BC710:BC712)</f>
        <v>370.29999999999995</v>
      </c>
      <c r="BD713" s="61">
        <f>IF(ISERROR((BC713/AU713-1)*100),"NA",IF(((BC713/AU713-1)*100)&gt;100,"NM",IF(((BC713/AU713-1)*100)&lt;-50,"NM",(BC713/AU713-1)*100)))</f>
        <v>88.2562277580071</v>
      </c>
      <c r="BE713" s="12">
        <f>SUM(BE710:BE712)</f>
        <v>473.09999999999997</v>
      </c>
      <c r="BF713" s="61">
        <f>IF(ISERROR((BE713/AW713-1)*100),"NA",IF(((BE713/AW713-1)*100)&gt;100,"NM",IF(((BE713/AW713-1)*100)&lt;-50,"NM",(BE713/AW713-1)*100)))</f>
        <v>86.040110106173785</v>
      </c>
      <c r="BG713" s="12">
        <f>SUM(BG710:BG712)</f>
        <v>478</v>
      </c>
      <c r="BH713" s="61" t="str">
        <f>IF(ISERROR((BG713/AY713-1)*100),"NA",IF(((BG713/AY713-1)*100)&gt;100,"NM",IF(((BG713/AY713-1)*100)&lt;-50,"NM",(BG713/AY713-1)*100)))</f>
        <v>NM</v>
      </c>
      <c r="BI713" s="12">
        <f>SUM(BI710:BI712)</f>
        <v>439.50000000000006</v>
      </c>
      <c r="BJ713" s="61">
        <f>IF(ISERROR((BI713/BA713-1)*100),"NA",IF(((BI713/BA713-1)*100)&gt;100,"NM",IF(((BI713/BA713-1)*100)&lt;-50,"NM",(BI713/BA713-1)*100)))</f>
        <v>21.677740863787399</v>
      </c>
      <c r="BK713" s="12">
        <f>SUM(BK710:BK712)</f>
        <v>434.4</v>
      </c>
      <c r="BL713" s="61">
        <f t="shared" si="4319"/>
        <v>17.310288954901431</v>
      </c>
      <c r="BM713" s="12">
        <f>SUM(BM710:BM712)</f>
        <v>451.7</v>
      </c>
      <c r="BN713" s="61">
        <f t="shared" si="4320"/>
        <v>-4.5233565842316636</v>
      </c>
      <c r="BO713" s="12">
        <f>SUM(BO710:BO712)</f>
        <v>369.9</v>
      </c>
      <c r="BP713" s="61">
        <f t="shared" si="4321"/>
        <v>-22.615062761506277</v>
      </c>
      <c r="BQ713" s="12">
        <f>SUM(BQ710:BQ712)</f>
        <v>381.8</v>
      </c>
      <c r="BR713" s="61">
        <f t="shared" si="4322"/>
        <v>-13.128555176336754</v>
      </c>
      <c r="BS713" s="12">
        <f>SUM(BS710:BS712)</f>
        <v>413.3</v>
      </c>
      <c r="BT713" s="61">
        <f t="shared" si="4323"/>
        <v>-4.8572744014732887</v>
      </c>
      <c r="BU713" s="12">
        <f>SUM(BU710:BU712)</f>
        <v>436.2</v>
      </c>
      <c r="BV713" s="61">
        <f t="shared" si="4324"/>
        <v>-3.431481071507636</v>
      </c>
      <c r="BW713" s="12">
        <f>SUM(BW710:BW712)</f>
        <v>347.6</v>
      </c>
      <c r="BX713" s="61">
        <f t="shared" si="4325"/>
        <v>-6.0286563936198796</v>
      </c>
      <c r="BY713" s="12">
        <f>SUM(BY710:BY712)</f>
        <v>354.20000000000005</v>
      </c>
      <c r="BZ713" s="61">
        <f t="shared" si="4326"/>
        <v>-7.2289156626505928</v>
      </c>
      <c r="CA713" s="12">
        <f>SUM(CA710:CA712)</f>
        <v>398.79999999999995</v>
      </c>
      <c r="CB713" s="61">
        <f t="shared" si="4327"/>
        <v>-3.5083474473748044</v>
      </c>
      <c r="CC713" s="12">
        <f>SUM(CC710:CC712)</f>
        <v>559.79999999999995</v>
      </c>
      <c r="CD713" s="61">
        <f t="shared" si="4328"/>
        <v>28.335625859697377</v>
      </c>
      <c r="CE713" s="12">
        <f>SUM(CE710:CE712)</f>
        <v>421.1</v>
      </c>
      <c r="CF713" s="61">
        <f t="shared" si="4329"/>
        <v>21.144994246260062</v>
      </c>
      <c r="CG713" s="12">
        <f>SUM(CG710:CG712)</f>
        <v>426.90000000000003</v>
      </c>
      <c r="CH713" s="61">
        <f t="shared" si="4330"/>
        <v>20.525127046866174</v>
      </c>
      <c r="CI713" s="12">
        <f>SUM(CI710:CI712)</f>
        <v>459.6</v>
      </c>
      <c r="CJ713" s="61">
        <f t="shared" si="4331"/>
        <v>15.245737211634914</v>
      </c>
      <c r="CK713" s="12">
        <f>SUM(CK710:CK712)</f>
        <v>652</v>
      </c>
      <c r="CL713" s="61">
        <f t="shared" si="4332"/>
        <v>16.470167917113265</v>
      </c>
      <c r="CM713" s="12">
        <f>SUM(CM710:CM712)</f>
        <v>564.6</v>
      </c>
      <c r="CN713" s="61">
        <f t="shared" si="4333"/>
        <v>34.077416290667294</v>
      </c>
      <c r="CO713" s="12">
        <f>SUM(CO710:CO712)</f>
        <v>598.20000000000005</v>
      </c>
      <c r="CP713" s="61">
        <f t="shared" si="4334"/>
        <v>40.126493323963452</v>
      </c>
      <c r="CQ713" s="12">
        <f>SUM(CQ710:CQ712)</f>
        <v>644.4</v>
      </c>
      <c r="CR713" s="61">
        <f t="shared" si="4335"/>
        <v>40.208877284595282</v>
      </c>
      <c r="CS713" s="12">
        <f>SUM(CS710:CS712)</f>
        <v>731.1</v>
      </c>
      <c r="CT713" s="61">
        <f t="shared" si="4336"/>
        <v>12.1319018404908</v>
      </c>
      <c r="CU713" s="12">
        <f>SUM(CU710:CU712)</f>
        <v>433.8</v>
      </c>
      <c r="CV713" s="61">
        <f t="shared" si="4337"/>
        <v>-23.166843783209355</v>
      </c>
      <c r="CW713" s="12"/>
      <c r="CX713" s="61"/>
      <c r="CY713" s="12"/>
      <c r="CZ713" s="61"/>
      <c r="DA713" s="12"/>
      <c r="DB713" s="61"/>
      <c r="DC713" s="12"/>
      <c r="DD713" s="61"/>
      <c r="DE713" s="12"/>
      <c r="DF713" s="61"/>
      <c r="DG713" s="12"/>
      <c r="DH713" s="61"/>
      <c r="DI713" s="12"/>
      <c r="DJ713" s="61"/>
      <c r="DK713" s="12"/>
      <c r="DL713" s="61"/>
      <c r="DM713" s="12"/>
      <c r="DN713" s="61"/>
      <c r="DO713" s="12"/>
      <c r="DP713" s="61"/>
      <c r="DQ713" s="12"/>
      <c r="DR713" s="61"/>
      <c r="DS713" s="12"/>
      <c r="DT713" s="61"/>
      <c r="DU713" s="12"/>
      <c r="DV713" s="61"/>
      <c r="DW713" s="12"/>
      <c r="DX713" s="61"/>
      <c r="DY713" s="12"/>
      <c r="DZ713" s="61"/>
      <c r="EA713" s="12"/>
      <c r="EB713" s="61"/>
      <c r="EC713" s="12"/>
      <c r="ED713" s="61"/>
      <c r="EE713" s="12"/>
      <c r="EF713" s="61"/>
      <c r="EG713" s="12"/>
      <c r="EH713" s="61"/>
      <c r="EI713" s="12"/>
      <c r="EJ713" s="61"/>
      <c r="EK713" s="12"/>
      <c r="EL713" s="61"/>
      <c r="EM713" s="12"/>
      <c r="EN713" s="61"/>
      <c r="EO713" s="12"/>
      <c r="EP713" s="61"/>
      <c r="EQ713" s="12"/>
      <c r="ER713" s="61"/>
      <c r="ES713" s="12"/>
      <c r="ET713" s="61"/>
      <c r="EU713" s="12"/>
      <c r="EV713" s="61"/>
      <c r="EW713" s="12"/>
      <c r="EX713" s="61"/>
      <c r="EY713" s="56"/>
      <c r="EZ713" s="558"/>
      <c r="FA713" s="56"/>
      <c r="FB713" s="12"/>
      <c r="FC713" s="13"/>
      <c r="FD713" s="12"/>
      <c r="FE713" s="13"/>
      <c r="FF713" s="19"/>
      <c r="FG713" s="13"/>
      <c r="FH713" s="19"/>
      <c r="FI713" s="13"/>
      <c r="FJ713" s="19"/>
      <c r="FK713" s="13"/>
      <c r="FL713" s="57"/>
      <c r="FM713" s="13"/>
      <c r="FN713" s="57"/>
      <c r="FO713" s="13"/>
      <c r="FP713" s="12"/>
      <c r="FQ713" s="61"/>
      <c r="FR713" s="12"/>
      <c r="FS713" s="61"/>
      <c r="FT713" s="12"/>
      <c r="FU713" s="61"/>
      <c r="FV713" s="12"/>
      <c r="FW713" s="61"/>
      <c r="FX713" s="12"/>
      <c r="FY713" s="61"/>
      <c r="FZ713" s="12"/>
      <c r="GA713" s="61"/>
      <c r="GB713" s="12"/>
      <c r="GC713" s="61"/>
      <c r="GD713" s="12"/>
      <c r="GE713" s="61"/>
      <c r="GF713" s="12"/>
      <c r="GG713" s="61"/>
      <c r="GH713" s="12"/>
      <c r="GI713" s="61"/>
      <c r="GJ713" s="12"/>
      <c r="GK713" s="61"/>
      <c r="GL713" s="12"/>
      <c r="GM713" s="61"/>
      <c r="GN713" s="12"/>
      <c r="GO713" s="61"/>
      <c r="GP713" s="12"/>
      <c r="GQ713" s="61"/>
      <c r="GR713" s="57"/>
      <c r="GS713" s="61"/>
      <c r="GT713" s="57"/>
      <c r="GU713" s="61"/>
      <c r="GV713" s="57"/>
      <c r="GW713" s="61"/>
      <c r="GX713" s="57"/>
      <c r="GY713" s="61"/>
      <c r="GZ713" s="61"/>
      <c r="HA713" s="61"/>
      <c r="HB713" s="452"/>
      <c r="HC713"/>
      <c r="HD713"/>
      <c r="HE713"/>
      <c r="HF713"/>
      <c r="HG713"/>
      <c r="HH713"/>
    </row>
    <row r="714" spans="1:216" s="5" customFormat="1" ht="12.75" customHeight="1" x14ac:dyDescent="0.2">
      <c r="A714" s="8"/>
      <c r="B714" s="7" t="s">
        <v>485</v>
      </c>
      <c r="C714" s="359">
        <v>12.7</v>
      </c>
      <c r="D714" s="13"/>
      <c r="E714" s="359">
        <v>19.5</v>
      </c>
      <c r="F714" s="13"/>
      <c r="G714" s="359">
        <v>5.8</v>
      </c>
      <c r="H714" s="13"/>
      <c r="I714" s="359">
        <v>49</v>
      </c>
      <c r="J714" s="13"/>
      <c r="K714" s="359">
        <v>7.1</v>
      </c>
      <c r="L714" s="70">
        <f t="shared" si="4301"/>
        <v>-44.094488188976378</v>
      </c>
      <c r="M714" s="359">
        <v>21</v>
      </c>
      <c r="N714" s="70">
        <f t="shared" si="4302"/>
        <v>7.6923076923076872</v>
      </c>
      <c r="O714" s="359">
        <v>5.0999999999999996</v>
      </c>
      <c r="P714" s="70">
        <f t="shared" si="4303"/>
        <v>-12.068965517241381</v>
      </c>
      <c r="Q714" s="359">
        <v>14.2</v>
      </c>
      <c r="R714" s="70" t="str">
        <f t="shared" si="4304"/>
        <v>NM</v>
      </c>
      <c r="S714" s="359">
        <v>6.9</v>
      </c>
      <c r="T714" s="70">
        <f t="shared" si="4305"/>
        <v>-2.8169014084506894</v>
      </c>
      <c r="U714" s="359">
        <v>46.6</v>
      </c>
      <c r="V714" s="70" t="str">
        <f t="shared" si="4306"/>
        <v>NM</v>
      </c>
      <c r="W714" s="359">
        <v>7.8</v>
      </c>
      <c r="X714" s="70">
        <f t="shared" si="4307"/>
        <v>52.941176470588246</v>
      </c>
      <c r="Y714" s="359">
        <v>26.8</v>
      </c>
      <c r="Z714" s="70">
        <f t="shared" si="4308"/>
        <v>88.732394366197198</v>
      </c>
      <c r="AA714" s="359">
        <v>10.6</v>
      </c>
      <c r="AB714" s="70">
        <f t="shared" si="4309"/>
        <v>53.623188405797094</v>
      </c>
      <c r="AC714" s="359">
        <v>61.8</v>
      </c>
      <c r="AD714" s="70">
        <f t="shared" si="4310"/>
        <v>32.618025751072956</v>
      </c>
      <c r="AE714" s="359">
        <v>23.7</v>
      </c>
      <c r="AF714" s="70" t="str">
        <f t="shared" si="4311"/>
        <v>NM</v>
      </c>
      <c r="AG714" s="359">
        <v>29.6</v>
      </c>
      <c r="AH714" s="70">
        <f t="shared" si="4311"/>
        <v>10.447761194029859</v>
      </c>
      <c r="AI714" s="359">
        <v>14.2</v>
      </c>
      <c r="AJ714" s="61">
        <f t="shared" si="4312"/>
        <v>33.96226415094339</v>
      </c>
      <c r="AK714" s="359">
        <v>9.9</v>
      </c>
      <c r="AL714" s="61" t="str">
        <f t="shared" si="4313"/>
        <v>NM</v>
      </c>
      <c r="AM714" s="359">
        <v>29.2</v>
      </c>
      <c r="AN714" s="61">
        <f t="shared" si="4314"/>
        <v>23.206751054852326</v>
      </c>
      <c r="AO714" s="359">
        <v>20.399999999999999</v>
      </c>
      <c r="AP714" s="61">
        <f t="shared" si="4315"/>
        <v>-31.081081081081084</v>
      </c>
      <c r="AQ714" s="359">
        <v>24.8</v>
      </c>
      <c r="AR714" s="61">
        <f t="shared" si="4316"/>
        <v>74.647887323943678</v>
      </c>
      <c r="AS714" s="359">
        <v>10.199999999999999</v>
      </c>
      <c r="AT714" s="61">
        <f t="shared" si="4317"/>
        <v>3.0303030303030276</v>
      </c>
      <c r="AU714" s="359">
        <v>22.3</v>
      </c>
      <c r="AV714" s="61">
        <f t="shared" si="4318"/>
        <v>-23.630136986301366</v>
      </c>
      <c r="AW714" s="359"/>
      <c r="AX714" s="61"/>
      <c r="AY714" s="359"/>
      <c r="AZ714" s="61"/>
      <c r="BA714" s="359"/>
      <c r="BB714" s="61"/>
      <c r="BC714" s="359"/>
      <c r="BD714" s="61"/>
      <c r="BE714" s="359"/>
      <c r="BF714" s="61"/>
      <c r="BG714" s="359"/>
      <c r="BH714" s="61"/>
      <c r="BI714" s="359"/>
      <c r="BJ714" s="61"/>
      <c r="BK714" s="359">
        <v>31.6</v>
      </c>
      <c r="BL714" s="61" t="str">
        <f t="shared" si="4319"/>
        <v>NA</v>
      </c>
      <c r="BM714" s="359">
        <v>72.8</v>
      </c>
      <c r="BN714" s="61" t="str">
        <f t="shared" si="4320"/>
        <v>NA</v>
      </c>
      <c r="BO714" s="359">
        <v>57.9</v>
      </c>
      <c r="BP714" s="61" t="str">
        <f t="shared" si="4321"/>
        <v>NA</v>
      </c>
      <c r="BQ714" s="359">
        <v>26</v>
      </c>
      <c r="BR714" s="61" t="str">
        <f t="shared" si="4322"/>
        <v>NA</v>
      </c>
      <c r="BS714" s="359">
        <v>30.3</v>
      </c>
      <c r="BT714" s="61">
        <f t="shared" si="4323"/>
        <v>-4.1139240506329111</v>
      </c>
      <c r="BU714" s="359">
        <v>82.2</v>
      </c>
      <c r="BV714" s="61">
        <f t="shared" si="4324"/>
        <v>12.912087912087911</v>
      </c>
      <c r="BW714" s="359">
        <v>52</v>
      </c>
      <c r="BX714" s="61">
        <f t="shared" si="4325"/>
        <v>-10.189982728842828</v>
      </c>
      <c r="BY714" s="359">
        <v>16.100000000000001</v>
      </c>
      <c r="BZ714" s="61">
        <f t="shared" si="4326"/>
        <v>-38.076923076923073</v>
      </c>
      <c r="CA714" s="359">
        <v>33.799999999999997</v>
      </c>
      <c r="CB714" s="61">
        <f t="shared" si="4327"/>
        <v>11.551155115511547</v>
      </c>
      <c r="CC714" s="359">
        <v>46.9</v>
      </c>
      <c r="CD714" s="61">
        <f t="shared" si="4328"/>
        <v>-42.944038929440396</v>
      </c>
      <c r="CE714" s="359">
        <v>11.9</v>
      </c>
      <c r="CF714" s="61" t="str">
        <f t="shared" si="4329"/>
        <v>NM</v>
      </c>
      <c r="CG714" s="359">
        <v>23.7</v>
      </c>
      <c r="CH714" s="61">
        <f t="shared" si="4330"/>
        <v>47.204968944099356</v>
      </c>
      <c r="CI714" s="359">
        <v>59.9</v>
      </c>
      <c r="CJ714" s="61">
        <f t="shared" si="4331"/>
        <v>77.218934911242613</v>
      </c>
      <c r="CK714" s="359">
        <v>164</v>
      </c>
      <c r="CL714" s="61" t="str">
        <f t="shared" si="4332"/>
        <v>NM</v>
      </c>
      <c r="CM714" s="359">
        <v>40.299999999999997</v>
      </c>
      <c r="CN714" s="61" t="str">
        <f t="shared" si="4333"/>
        <v>NM</v>
      </c>
      <c r="CO714" s="359">
        <v>21.5</v>
      </c>
      <c r="CP714" s="61">
        <f t="shared" si="4334"/>
        <v>-9.2827004219409268</v>
      </c>
      <c r="CQ714" s="359">
        <v>27.5</v>
      </c>
      <c r="CR714" s="61" t="str">
        <f t="shared" si="4335"/>
        <v>NM</v>
      </c>
      <c r="CS714" s="359">
        <v>62.9</v>
      </c>
      <c r="CT714" s="61" t="str">
        <f t="shared" si="4336"/>
        <v>NM</v>
      </c>
      <c r="CU714" s="359">
        <v>13.2</v>
      </c>
      <c r="CV714" s="61" t="str">
        <f t="shared" si="4337"/>
        <v>NM</v>
      </c>
      <c r="CW714" s="359"/>
      <c r="CX714" s="61"/>
      <c r="CY714" s="359"/>
      <c r="CZ714" s="61"/>
      <c r="DA714" s="359"/>
      <c r="DB714" s="61"/>
      <c r="DC714" s="359"/>
      <c r="DD714" s="61"/>
      <c r="DE714" s="359"/>
      <c r="DF714" s="61"/>
      <c r="DG714" s="359"/>
      <c r="DH714" s="61"/>
      <c r="DI714" s="359"/>
      <c r="DJ714" s="61"/>
      <c r="DK714" s="359"/>
      <c r="DL714" s="61"/>
      <c r="DM714" s="359"/>
      <c r="DN714" s="61"/>
      <c r="DO714" s="359"/>
      <c r="DP714" s="61"/>
      <c r="DQ714" s="359"/>
      <c r="DR714" s="61"/>
      <c r="DS714" s="359"/>
      <c r="DT714" s="61"/>
      <c r="DU714" s="359"/>
      <c r="DV714" s="61"/>
      <c r="DW714" s="359"/>
      <c r="DX714" s="61"/>
      <c r="DY714" s="12"/>
      <c r="DZ714" s="61"/>
      <c r="EA714" s="12"/>
      <c r="EB714" s="61"/>
      <c r="EC714" s="12"/>
      <c r="ED714" s="61"/>
      <c r="EE714" s="12"/>
      <c r="EF714" s="61"/>
      <c r="EG714" s="12"/>
      <c r="EH714" s="61"/>
      <c r="EI714" s="12"/>
      <c r="EJ714" s="61"/>
      <c r="EK714" s="12"/>
      <c r="EL714" s="61"/>
      <c r="EM714" s="12"/>
      <c r="EN714" s="61"/>
      <c r="EO714" s="12"/>
      <c r="EP714" s="61"/>
      <c r="EQ714" s="12"/>
      <c r="ER714" s="61"/>
      <c r="ES714" s="12"/>
      <c r="ET714" s="61"/>
      <c r="EU714" s="12"/>
      <c r="EV714" s="61"/>
      <c r="EW714" s="12"/>
      <c r="EX714" s="61"/>
      <c r="EY714" s="56"/>
      <c r="EZ714" s="558"/>
      <c r="FA714" s="56"/>
      <c r="FB714" s="12"/>
      <c r="FC714" s="13"/>
      <c r="FD714" s="12"/>
      <c r="FE714" s="13"/>
      <c r="FF714" s="19"/>
      <c r="FG714" s="13"/>
      <c r="FH714" s="19"/>
      <c r="FI714" s="13"/>
      <c r="FJ714" s="19"/>
      <c r="FK714" s="13"/>
      <c r="FL714" s="57"/>
      <c r="FM714" s="13"/>
      <c r="FN714" s="57"/>
      <c r="FO714" s="13"/>
      <c r="FP714" s="12"/>
      <c r="FQ714" s="61"/>
      <c r="FR714" s="12"/>
      <c r="FS714" s="61"/>
      <c r="FT714" s="12"/>
      <c r="FU714" s="61"/>
      <c r="FV714" s="12"/>
      <c r="FW714" s="61"/>
      <c r="FX714" s="12"/>
      <c r="FY714" s="61"/>
      <c r="FZ714" s="12"/>
      <c r="GA714" s="61"/>
      <c r="GB714" s="12"/>
      <c r="GC714" s="61"/>
      <c r="GD714" s="12"/>
      <c r="GE714" s="61"/>
      <c r="GF714" s="12"/>
      <c r="GG714" s="61"/>
      <c r="GH714" s="12"/>
      <c r="GI714" s="61"/>
      <c r="GJ714" s="12"/>
      <c r="GK714" s="61"/>
      <c r="GL714" s="12"/>
      <c r="GM714" s="61"/>
      <c r="GN714" s="12"/>
      <c r="GO714" s="61"/>
      <c r="GP714" s="12"/>
      <c r="GQ714" s="61"/>
      <c r="GR714" s="57"/>
      <c r="GS714" s="61"/>
      <c r="GT714" s="57"/>
      <c r="GU714" s="61"/>
      <c r="GV714" s="57"/>
      <c r="GW714" s="61"/>
      <c r="GX714" s="57"/>
      <c r="GY714" s="61"/>
      <c r="GZ714" s="61"/>
      <c r="HA714" s="61"/>
      <c r="HB714" s="452"/>
      <c r="HC714"/>
      <c r="HD714"/>
      <c r="HE714"/>
      <c r="HF714"/>
      <c r="HG714"/>
      <c r="HH714"/>
    </row>
    <row r="715" spans="1:216" s="5" customFormat="1" ht="12.75" customHeight="1" x14ac:dyDescent="0.2">
      <c r="A715" s="8"/>
      <c r="B715" s="7" t="s">
        <v>486</v>
      </c>
      <c r="C715" s="12">
        <f>+C714+C713</f>
        <v>132.9</v>
      </c>
      <c r="D715" s="13"/>
      <c r="E715" s="12">
        <f>+E714+E713</f>
        <v>132.19999999999999</v>
      </c>
      <c r="F715" s="13"/>
      <c r="G715" s="12">
        <f>+G714+G713</f>
        <v>139.30000000000001</v>
      </c>
      <c r="H715" s="13"/>
      <c r="I715" s="12">
        <f>+I714+I713</f>
        <v>213</v>
      </c>
      <c r="J715" s="13"/>
      <c r="K715" s="12">
        <f>+K714+K713</f>
        <v>124.89999999999999</v>
      </c>
      <c r="L715" s="70">
        <f t="shared" si="4301"/>
        <v>-6.019563581640341</v>
      </c>
      <c r="M715" s="12">
        <f>+M714+M713</f>
        <v>148.30000000000001</v>
      </c>
      <c r="N715" s="70">
        <f t="shared" si="4302"/>
        <v>12.178517397882004</v>
      </c>
      <c r="O715" s="12">
        <f>+O714+O713</f>
        <v>129.30000000000001</v>
      </c>
      <c r="P715" s="70">
        <f t="shared" si="4303"/>
        <v>-7.1787508973438658</v>
      </c>
      <c r="Q715" s="12">
        <f>+Q714+Q713</f>
        <v>192.29999999999998</v>
      </c>
      <c r="R715" s="70">
        <f t="shared" si="4304"/>
        <v>-9.7183098591549388</v>
      </c>
      <c r="S715" s="12">
        <f>+S714+S713</f>
        <v>137.5</v>
      </c>
      <c r="T715" s="70">
        <f t="shared" si="4305"/>
        <v>10.088070456365106</v>
      </c>
      <c r="U715" s="12">
        <f>+U714+U713</f>
        <v>194.3</v>
      </c>
      <c r="V715" s="70">
        <f t="shared" si="4306"/>
        <v>31.018206338503028</v>
      </c>
      <c r="W715" s="12">
        <f>+W714+W713</f>
        <v>174.5</v>
      </c>
      <c r="X715" s="70">
        <f t="shared" si="4307"/>
        <v>34.957463263727753</v>
      </c>
      <c r="Y715" s="12">
        <f>+Y714+Y713</f>
        <v>241.9</v>
      </c>
      <c r="Z715" s="70">
        <f t="shared" si="4308"/>
        <v>25.793031721268854</v>
      </c>
      <c r="AA715" s="12">
        <f>+AA714+AA713</f>
        <v>172.3</v>
      </c>
      <c r="AB715" s="70">
        <f t="shared" si="4309"/>
        <v>25.309090909090926</v>
      </c>
      <c r="AC715" s="12">
        <f>+AC714+AC713</f>
        <v>225.7</v>
      </c>
      <c r="AD715" s="70">
        <f t="shared" si="4310"/>
        <v>16.16057642820379</v>
      </c>
      <c r="AE715" s="12">
        <f>+AE714+AE713</f>
        <v>221.1</v>
      </c>
      <c r="AF715" s="70">
        <f t="shared" si="4311"/>
        <v>26.704871060171918</v>
      </c>
      <c r="AG715" s="12">
        <f>+AG714+AG713</f>
        <v>262.20000000000005</v>
      </c>
      <c r="AH715" s="70">
        <f t="shared" si="4311"/>
        <v>8.3918974782968281</v>
      </c>
      <c r="AI715" s="12">
        <f>+AI714+AI713</f>
        <v>199.4</v>
      </c>
      <c r="AJ715" s="61">
        <f t="shared" si="4312"/>
        <v>15.728380731282643</v>
      </c>
      <c r="AK715" s="12">
        <f>+AK714+AK713</f>
        <v>197</v>
      </c>
      <c r="AL715" s="61">
        <f t="shared" si="4313"/>
        <v>-12.715994683207798</v>
      </c>
      <c r="AM715" s="12">
        <f>+AM714+AM713</f>
        <v>206.89999999999998</v>
      </c>
      <c r="AN715" s="61">
        <f t="shared" si="4314"/>
        <v>-6.4224332881049335</v>
      </c>
      <c r="AO715" s="12">
        <f>+AO714+AO713</f>
        <v>242.1</v>
      </c>
      <c r="AP715" s="61">
        <f t="shared" si="4315"/>
        <v>-7.6659038901601972</v>
      </c>
      <c r="AQ715" s="12">
        <f>+AQ714+AQ713</f>
        <v>194.90000000000003</v>
      </c>
      <c r="AR715" s="61">
        <f t="shared" si="4316"/>
        <v>-2.2567703109327875</v>
      </c>
      <c r="AS715" s="12">
        <f>+AS714+AS713</f>
        <v>199.70000000000002</v>
      </c>
      <c r="AT715" s="61">
        <f t="shared" si="4317"/>
        <v>1.3705583756345341</v>
      </c>
      <c r="AU715" s="12">
        <f>+AU714+AU713</f>
        <v>219</v>
      </c>
      <c r="AV715" s="61">
        <f t="shared" si="4318"/>
        <v>5.8482358627356401</v>
      </c>
      <c r="AW715" s="12">
        <f>+AW714+AW713</f>
        <v>254.3</v>
      </c>
      <c r="AX715" s="61">
        <f>IF(ISERROR((AW715/AO715-1)*100),"NA",IF(((AW715/AO715-1)*100)&gt;100,"NM",IF(((AW715/AO715-1)*100)&lt;-50,"NM",(AW715/AO715-1)*100)))</f>
        <v>5.0392399834779056</v>
      </c>
      <c r="AY715" s="12">
        <f>+AY714+AY713</f>
        <v>195.1</v>
      </c>
      <c r="AZ715" s="61">
        <f>IF(ISERROR((AY715/AQ715-1)*100),"NA",IF(((AY715/AQ715-1)*100)&gt;100,"NM",IF(((AY715/AQ715-1)*100)&lt;-50,"NM",(AY715/AQ715-1)*100)))</f>
        <v>0.10261672652640552</v>
      </c>
      <c r="BA715" s="12">
        <f>+BA714+BA713</f>
        <v>361.2</v>
      </c>
      <c r="BB715" s="61">
        <f>IF(ISERROR((BA715/AS715-1)*100),"NA",IF(((BA715/AS715-1)*100)&gt;100,"NM",IF(((BA715/AS715-1)*100)&lt;-50,"NM",(BA715/AS715-1)*100)))</f>
        <v>80.871306960440648</v>
      </c>
      <c r="BC715" s="12">
        <f>+BC714+BC713</f>
        <v>370.29999999999995</v>
      </c>
      <c r="BD715" s="61">
        <f>IF(ISERROR((BC715/AU715-1)*100),"NA",IF(((BC715/AU715-1)*100)&gt;100,"NM",IF(((BC715/AU715-1)*100)&lt;-50,"NM",(BC715/AU715-1)*100)))</f>
        <v>69.086757990867568</v>
      </c>
      <c r="BE715" s="12">
        <f>+BE714+BE713</f>
        <v>473.09999999999997</v>
      </c>
      <c r="BF715" s="61">
        <f>IF(ISERROR((BE715/AW715-1)*100),"NA",IF(((BE715/AW715-1)*100)&gt;100,"NM",IF(((BE715/AW715-1)*100)&lt;-50,"NM",(BE715/AW715-1)*100)))</f>
        <v>86.040110106173785</v>
      </c>
      <c r="BG715" s="12">
        <f>+BG714+BG713</f>
        <v>478</v>
      </c>
      <c r="BH715" s="61" t="str">
        <f>IF(ISERROR((BG715/AY715-1)*100),"NA",IF(((BG715/AY715-1)*100)&gt;100,"NM",IF(((BG715/AY715-1)*100)&lt;-50,"NM",(BG715/AY715-1)*100)))</f>
        <v>NM</v>
      </c>
      <c r="BI715" s="12">
        <f>+BI714+BI713</f>
        <v>439.50000000000006</v>
      </c>
      <c r="BJ715" s="61">
        <f>IF(ISERROR((BI715/BA715-1)*100),"NA",IF(((BI715/BA715-1)*100)&gt;100,"NM",IF(((BI715/BA715-1)*100)&lt;-50,"NM",(BI715/BA715-1)*100)))</f>
        <v>21.677740863787399</v>
      </c>
      <c r="BK715" s="12">
        <f>+BK714+BK713</f>
        <v>466</v>
      </c>
      <c r="BL715" s="61">
        <f t="shared" si="4319"/>
        <v>25.843910342965181</v>
      </c>
      <c r="BM715" s="12">
        <f>+BM714+BM713</f>
        <v>524.5</v>
      </c>
      <c r="BN715" s="61">
        <f t="shared" si="4320"/>
        <v>10.864510674276051</v>
      </c>
      <c r="BO715" s="12">
        <f>+BO714+BO713</f>
        <v>427.79999999999995</v>
      </c>
      <c r="BP715" s="61">
        <f t="shared" si="4321"/>
        <v>-10.50209205020921</v>
      </c>
      <c r="BQ715" s="12">
        <f>+BQ714+BQ713</f>
        <v>407.8</v>
      </c>
      <c r="BR715" s="61">
        <f t="shared" si="4322"/>
        <v>-7.2127417519909027</v>
      </c>
      <c r="BS715" s="12">
        <f>+BS714+BS713</f>
        <v>443.6</v>
      </c>
      <c r="BT715" s="61">
        <f t="shared" si="4323"/>
        <v>-4.8068669527896901</v>
      </c>
      <c r="BU715" s="12">
        <f>+BU714+BU713</f>
        <v>518.4</v>
      </c>
      <c r="BV715" s="61">
        <f t="shared" si="4324"/>
        <v>-1.163012392755014</v>
      </c>
      <c r="BW715" s="12">
        <f>+BW714+BW713</f>
        <v>399.6</v>
      </c>
      <c r="BX715" s="61">
        <f t="shared" si="4325"/>
        <v>-6.5918653576437443</v>
      </c>
      <c r="BY715" s="12">
        <f>+BY714+BY713</f>
        <v>370.30000000000007</v>
      </c>
      <c r="BZ715" s="61">
        <f t="shared" si="4326"/>
        <v>-9.1956841589014076</v>
      </c>
      <c r="CA715" s="12">
        <f>+CA714+CA713</f>
        <v>432.59999999999997</v>
      </c>
      <c r="CB715" s="61">
        <f t="shared" si="4327"/>
        <v>-2.4797114517583485</v>
      </c>
      <c r="CC715" s="12">
        <f>+CC714+CC713</f>
        <v>606.69999999999993</v>
      </c>
      <c r="CD715" s="61">
        <f t="shared" si="4328"/>
        <v>17.033179012345666</v>
      </c>
      <c r="CE715" s="12">
        <f>+CE714+CE713</f>
        <v>433</v>
      </c>
      <c r="CF715" s="61">
        <f t="shared" si="4329"/>
        <v>8.3583583583583412</v>
      </c>
      <c r="CG715" s="12">
        <f>+CG714+CG713</f>
        <v>450.6</v>
      </c>
      <c r="CH715" s="61">
        <f t="shared" si="4330"/>
        <v>21.685120172832818</v>
      </c>
      <c r="CI715" s="12">
        <f>+CI714+CI713</f>
        <v>519.5</v>
      </c>
      <c r="CJ715" s="61">
        <f t="shared" si="4331"/>
        <v>20.087840961627368</v>
      </c>
      <c r="CK715" s="12">
        <f>+CK714+CK713</f>
        <v>816</v>
      </c>
      <c r="CL715" s="61">
        <f t="shared" si="4332"/>
        <v>34.49810449975277</v>
      </c>
      <c r="CM715" s="12">
        <f>+CM714+CM713</f>
        <v>604.9</v>
      </c>
      <c r="CN715" s="61">
        <f t="shared" si="4333"/>
        <v>39.699769053117784</v>
      </c>
      <c r="CO715" s="12">
        <f>+CO714+CO713</f>
        <v>619.70000000000005</v>
      </c>
      <c r="CP715" s="61">
        <f t="shared" si="4334"/>
        <v>37.527740790057692</v>
      </c>
      <c r="CQ715" s="12">
        <f>+CQ714+CQ713</f>
        <v>671.9</v>
      </c>
      <c r="CR715" s="61">
        <f t="shared" si="4335"/>
        <v>29.335899903753603</v>
      </c>
      <c r="CS715" s="12">
        <f>+CS714+CS713</f>
        <v>794</v>
      </c>
      <c r="CT715" s="61">
        <f t="shared" si="4336"/>
        <v>-2.6960784313725505</v>
      </c>
      <c r="CU715" s="12">
        <f>+CU714+CU713</f>
        <v>447</v>
      </c>
      <c r="CV715" s="61">
        <f t="shared" si="4337"/>
        <v>-26.103488179864442</v>
      </c>
      <c r="CW715" s="12"/>
      <c r="CX715" s="61"/>
      <c r="CY715" s="12"/>
      <c r="CZ715" s="61"/>
      <c r="DA715" s="12"/>
      <c r="DB715" s="61"/>
      <c r="DC715" s="12"/>
      <c r="DD715" s="61"/>
      <c r="DE715" s="12"/>
      <c r="DF715" s="61"/>
      <c r="DG715" s="12"/>
      <c r="DH715" s="61"/>
      <c r="DI715" s="12"/>
      <c r="DJ715" s="61"/>
      <c r="DK715" s="12"/>
      <c r="DL715" s="61"/>
      <c r="DM715" s="12"/>
      <c r="DN715" s="61"/>
      <c r="DO715" s="12"/>
      <c r="DP715" s="61"/>
      <c r="DQ715" s="12"/>
      <c r="DR715" s="61"/>
      <c r="DS715" s="12"/>
      <c r="DT715" s="61"/>
      <c r="DU715" s="12"/>
      <c r="DV715" s="61"/>
      <c r="DW715" s="12"/>
      <c r="DX715" s="61"/>
      <c r="DY715" s="12"/>
      <c r="DZ715" s="61"/>
      <c r="EA715" s="12"/>
      <c r="EB715" s="61"/>
      <c r="EC715" s="12"/>
      <c r="ED715" s="61"/>
      <c r="EE715" s="12"/>
      <c r="EF715" s="61"/>
      <c r="EG715" s="12"/>
      <c r="EH715" s="61"/>
      <c r="EI715" s="12"/>
      <c r="EJ715" s="61"/>
      <c r="EK715" s="12"/>
      <c r="EL715" s="61"/>
      <c r="EM715" s="12"/>
      <c r="EN715" s="61"/>
      <c r="EO715" s="12"/>
      <c r="EP715" s="61"/>
      <c r="EQ715" s="12"/>
      <c r="ER715" s="61"/>
      <c r="ES715" s="12"/>
      <c r="ET715" s="61"/>
      <c r="EU715" s="12"/>
      <c r="EV715" s="61"/>
      <c r="EW715" s="12"/>
      <c r="EX715" s="61"/>
      <c r="EY715" s="56"/>
      <c r="EZ715" s="558"/>
      <c r="FA715" s="56"/>
      <c r="FB715" s="12"/>
      <c r="FC715" s="13"/>
      <c r="FD715" s="12"/>
      <c r="FE715" s="13"/>
      <c r="FF715" s="19"/>
      <c r="FG715" s="13"/>
      <c r="FH715" s="19"/>
      <c r="FI715" s="13"/>
      <c r="FJ715" s="19"/>
      <c r="FK715" s="13"/>
      <c r="FL715" s="57"/>
      <c r="FM715" s="13"/>
      <c r="FN715" s="57"/>
      <c r="FO715" s="13"/>
      <c r="FP715" s="12"/>
      <c r="FQ715" s="61"/>
      <c r="FR715" s="12"/>
      <c r="FS715" s="61"/>
      <c r="FT715" s="12"/>
      <c r="FU715" s="61"/>
      <c r="FV715" s="12"/>
      <c r="FW715" s="61"/>
      <c r="FX715" s="12"/>
      <c r="FY715" s="61"/>
      <c r="FZ715" s="12"/>
      <c r="GA715" s="61"/>
      <c r="GB715" s="12"/>
      <c r="GC715" s="61"/>
      <c r="GD715" s="12"/>
      <c r="GE715" s="61"/>
      <c r="GF715" s="12"/>
      <c r="GG715" s="61"/>
      <c r="GH715" s="12"/>
      <c r="GI715" s="61"/>
      <c r="GJ715" s="12"/>
      <c r="GK715" s="61"/>
      <c r="GL715" s="12"/>
      <c r="GM715" s="61"/>
      <c r="GN715" s="12"/>
      <c r="GO715" s="61"/>
      <c r="GP715" s="12"/>
      <c r="GQ715" s="61"/>
      <c r="GR715" s="57"/>
      <c r="GS715" s="61"/>
      <c r="GT715" s="57"/>
      <c r="GU715" s="61"/>
      <c r="GV715" s="57"/>
      <c r="GW715" s="61"/>
      <c r="GX715" s="57"/>
      <c r="GY715" s="61"/>
      <c r="GZ715" s="61"/>
      <c r="HA715" s="61"/>
      <c r="HB715" s="452"/>
      <c r="HC715"/>
      <c r="HD715"/>
      <c r="HE715"/>
      <c r="HF715"/>
      <c r="HG715"/>
      <c r="HH715"/>
    </row>
    <row r="716" spans="1:216" s="5" customFormat="1" ht="12.75" customHeight="1" x14ac:dyDescent="0.2">
      <c r="A716" s="8"/>
      <c r="B716" s="7"/>
      <c r="C716" s="12"/>
      <c r="D716" s="13"/>
      <c r="E716" s="12"/>
      <c r="F716" s="13"/>
      <c r="G716" s="12"/>
      <c r="H716" s="13"/>
      <c r="I716" s="12"/>
      <c r="J716" s="13"/>
      <c r="K716" s="12"/>
      <c r="L716" s="13"/>
      <c r="M716" s="12"/>
      <c r="N716" s="13"/>
      <c r="O716" s="12"/>
      <c r="P716" s="13"/>
      <c r="Q716" s="12"/>
      <c r="R716" s="13"/>
      <c r="S716" s="12"/>
      <c r="T716" s="13"/>
      <c r="U716" s="12"/>
      <c r="V716" s="13"/>
      <c r="W716" s="12"/>
      <c r="X716" s="13"/>
      <c r="Y716" s="12"/>
      <c r="Z716" s="13"/>
      <c r="AA716" s="12"/>
      <c r="AB716" s="13"/>
      <c r="AC716" s="12"/>
      <c r="AD716" s="13"/>
      <c r="AE716" s="12"/>
      <c r="AF716" s="13"/>
      <c r="AG716" s="12"/>
      <c r="AH716" s="13"/>
      <c r="AI716" s="12"/>
      <c r="AJ716" s="13"/>
      <c r="AK716" s="12"/>
      <c r="AL716" s="13"/>
      <c r="AM716" s="12"/>
      <c r="AN716" s="13"/>
      <c r="AO716" s="12"/>
      <c r="AP716" s="13"/>
      <c r="AQ716" s="12"/>
      <c r="AR716" s="61"/>
      <c r="AS716" s="12"/>
      <c r="AT716" s="13"/>
      <c r="AU716" s="12"/>
      <c r="AV716" s="13"/>
      <c r="AW716" s="12"/>
      <c r="AX716" s="61"/>
      <c r="AY716" s="12"/>
      <c r="AZ716" s="61"/>
      <c r="BA716" s="12"/>
      <c r="BB716" s="61"/>
      <c r="BC716" s="12"/>
      <c r="BD716" s="61"/>
      <c r="BE716" s="12"/>
      <c r="BF716" s="61"/>
      <c r="BG716" s="12"/>
      <c r="BH716" s="61"/>
      <c r="BI716" s="12"/>
      <c r="BJ716" s="61"/>
      <c r="BK716" s="12"/>
      <c r="BL716" s="61"/>
      <c r="BM716" s="12"/>
      <c r="BN716" s="61"/>
      <c r="BO716" s="12"/>
      <c r="BP716" s="61"/>
      <c r="BQ716" s="12"/>
      <c r="BR716" s="61"/>
      <c r="BS716" s="12"/>
      <c r="BT716" s="61"/>
      <c r="BU716" s="12"/>
      <c r="BV716" s="61"/>
      <c r="BW716" s="12"/>
      <c r="BX716" s="61"/>
      <c r="BY716" s="12"/>
      <c r="BZ716" s="61"/>
      <c r="CA716" s="12"/>
      <c r="CB716" s="61"/>
      <c r="CC716" s="12"/>
      <c r="CD716" s="61"/>
      <c r="CE716" s="12"/>
      <c r="CF716" s="61"/>
      <c r="CG716" s="12"/>
      <c r="CH716" s="61"/>
      <c r="CI716" s="12"/>
      <c r="CJ716" s="61"/>
      <c r="CK716" s="12"/>
      <c r="CL716" s="61"/>
      <c r="CM716" s="12"/>
      <c r="CN716" s="61"/>
      <c r="CO716" s="12"/>
      <c r="CP716" s="61"/>
      <c r="CQ716" s="12"/>
      <c r="CR716" s="61"/>
      <c r="CS716" s="12"/>
      <c r="CT716" s="61"/>
      <c r="CU716" s="12"/>
      <c r="CV716" s="61"/>
      <c r="CW716" s="12"/>
      <c r="CX716" s="61"/>
      <c r="CY716" s="12"/>
      <c r="CZ716" s="61"/>
      <c r="DA716" s="12"/>
      <c r="DB716" s="61"/>
      <c r="DC716" s="12"/>
      <c r="DD716" s="61"/>
      <c r="DE716" s="12"/>
      <c r="DF716" s="61"/>
      <c r="DG716" s="12"/>
      <c r="DH716" s="61"/>
      <c r="DI716" s="12"/>
      <c r="DJ716" s="61"/>
      <c r="DK716" s="12"/>
      <c r="DL716" s="61"/>
      <c r="DM716" s="12"/>
      <c r="DN716" s="61"/>
      <c r="DO716" s="12"/>
      <c r="DP716" s="61"/>
      <c r="DQ716" s="12"/>
      <c r="DR716" s="61"/>
      <c r="DS716" s="12"/>
      <c r="DT716" s="61"/>
      <c r="DU716" s="12"/>
      <c r="DV716" s="61"/>
      <c r="DW716" s="12"/>
      <c r="DX716" s="61"/>
      <c r="DY716" s="12"/>
      <c r="DZ716" s="61"/>
      <c r="EA716" s="12"/>
      <c r="EB716" s="61"/>
      <c r="EC716" s="12"/>
      <c r="ED716" s="61"/>
      <c r="EE716" s="12"/>
      <c r="EF716" s="61"/>
      <c r="EG716" s="12"/>
      <c r="EH716" s="61"/>
      <c r="EI716" s="12"/>
      <c r="EJ716" s="61"/>
      <c r="EK716" s="12"/>
      <c r="EL716" s="61"/>
      <c r="EM716" s="12"/>
      <c r="EN716" s="61"/>
      <c r="EO716" s="12"/>
      <c r="EP716" s="61"/>
      <c r="EQ716" s="12"/>
      <c r="ER716" s="61"/>
      <c r="ES716" s="12"/>
      <c r="ET716" s="61"/>
      <c r="EU716" s="12"/>
      <c r="EV716" s="61"/>
      <c r="EW716" s="12"/>
      <c r="EX716" s="61"/>
      <c r="EY716" s="56"/>
      <c r="EZ716" s="558"/>
      <c r="FA716" s="56"/>
      <c r="FB716" s="12"/>
      <c r="FC716" s="13"/>
      <c r="FD716" s="12"/>
      <c r="FE716" s="13"/>
      <c r="FF716" s="19"/>
      <c r="FG716" s="13"/>
      <c r="FH716" s="19"/>
      <c r="FI716" s="13"/>
      <c r="FJ716" s="19"/>
      <c r="FK716" s="13"/>
      <c r="FL716" s="57"/>
      <c r="FM716" s="13"/>
      <c r="FN716" s="57"/>
      <c r="FO716" s="13"/>
      <c r="FP716" s="12"/>
      <c r="FQ716" s="61"/>
      <c r="FR716" s="12"/>
      <c r="FS716" s="61"/>
      <c r="FT716" s="12"/>
      <c r="FU716" s="61"/>
      <c r="FV716" s="12"/>
      <c r="FW716" s="61"/>
      <c r="FX716" s="57"/>
      <c r="FY716" s="61"/>
      <c r="FZ716" s="57"/>
      <c r="GA716" s="61"/>
      <c r="GB716" s="57"/>
      <c r="GC716" s="61"/>
      <c r="GD716" s="57"/>
      <c r="GE716" s="61"/>
      <c r="GF716" s="57"/>
      <c r="GG716" s="61"/>
      <c r="GH716" s="57"/>
      <c r="GI716" s="61"/>
      <c r="GJ716" s="57"/>
      <c r="GK716" s="61"/>
      <c r="GL716" s="57"/>
      <c r="GM716" s="61"/>
      <c r="GN716" s="57"/>
      <c r="GO716" s="61"/>
      <c r="GP716" s="57"/>
      <c r="GQ716" s="61"/>
      <c r="GR716" s="61"/>
      <c r="GS716" s="61"/>
      <c r="GT716" s="61"/>
      <c r="GU716" s="61"/>
      <c r="GV716" s="61"/>
      <c r="GW716" s="61"/>
      <c r="GX716" s="61"/>
      <c r="GY716" s="61"/>
      <c r="GZ716" s="13"/>
      <c r="HA716" s="13"/>
      <c r="HB716" s="452"/>
      <c r="HC716"/>
      <c r="HD716"/>
      <c r="HE716"/>
      <c r="HF716"/>
      <c r="HG716"/>
      <c r="HH716"/>
    </row>
    <row r="717" spans="1:216" s="5" customFormat="1" ht="12.75" hidden="1" customHeight="1" outlineLevel="1" x14ac:dyDescent="0.2">
      <c r="A717" s="11"/>
      <c r="B717" s="7" t="s">
        <v>424</v>
      </c>
      <c r="C717" s="448"/>
      <c r="D717" s="448"/>
      <c r="E717" s="448"/>
      <c r="F717" s="448"/>
      <c r="G717" s="448"/>
      <c r="H717" s="448"/>
      <c r="I717" s="448"/>
      <c r="J717" s="448"/>
      <c r="K717" s="448"/>
      <c r="L717" s="500"/>
      <c r="M717" s="448"/>
      <c r="N717" s="500"/>
      <c r="O717" s="448"/>
      <c r="P717" s="500"/>
      <c r="Q717" s="448"/>
      <c r="R717" s="500"/>
      <c r="S717" s="448"/>
      <c r="T717" s="500"/>
      <c r="U717" s="448"/>
      <c r="V717" s="500"/>
      <c r="W717" s="448"/>
      <c r="X717" s="500"/>
      <c r="Y717" s="448"/>
      <c r="Z717" s="500"/>
      <c r="AA717" s="448"/>
      <c r="AB717" s="500"/>
      <c r="AC717" s="448"/>
      <c r="AD717" s="500"/>
      <c r="AE717" s="448"/>
      <c r="AF717" s="500"/>
      <c r="AG717" s="448"/>
      <c r="AH717" s="500"/>
      <c r="AI717" s="448"/>
      <c r="AJ717" s="500"/>
      <c r="AK717" s="448"/>
      <c r="AL717" s="500"/>
      <c r="AM717" s="448"/>
      <c r="AN717" s="500"/>
      <c r="AO717" s="448"/>
      <c r="AP717" s="500"/>
      <c r="AQ717" s="448"/>
      <c r="AR717" s="13"/>
      <c r="AS717" s="448"/>
      <c r="AT717" s="500"/>
      <c r="AU717" s="448"/>
      <c r="AV717" s="500"/>
      <c r="AW717" s="448"/>
      <c r="AX717" s="13"/>
      <c r="AY717" s="448">
        <f>AY510/100</f>
        <v>0.21714321942560083</v>
      </c>
      <c r="AZ717" s="13"/>
      <c r="BA717" s="448">
        <f>BA510/100</f>
        <v>0.18802088563108751</v>
      </c>
      <c r="BB717" s="13"/>
      <c r="BC717" s="448">
        <f>BC510/100</f>
        <v>0.11150846868325633</v>
      </c>
      <c r="BD717" s="13"/>
      <c r="BE717" s="448">
        <f>BE510/100</f>
        <v>0.14270085144841363</v>
      </c>
      <c r="BF717" s="13"/>
      <c r="BG717" s="448">
        <f>BG510/100</f>
        <v>0.20941066853016532</v>
      </c>
      <c r="BH717" s="13"/>
      <c r="BI717" s="448">
        <f>BI510/100</f>
        <v>0.18710874101553432</v>
      </c>
      <c r="BJ717" s="13"/>
      <c r="BK717" s="448">
        <f>BK510/100</f>
        <v>0.16904226056514132</v>
      </c>
      <c r="BL717" s="13"/>
      <c r="BM717" s="448">
        <f>BM510/100</f>
        <v>0.15640738668158927</v>
      </c>
      <c r="BN717" s="13"/>
      <c r="BO717" s="448">
        <v>0.33</v>
      </c>
      <c r="BP717" s="13"/>
      <c r="BQ717" s="448">
        <v>0.33</v>
      </c>
      <c r="BR717" s="13"/>
      <c r="BS717" s="448">
        <v>0.33</v>
      </c>
      <c r="BT717" s="13"/>
      <c r="BU717" s="448">
        <v>0.33</v>
      </c>
      <c r="BV717" s="13"/>
      <c r="BW717" s="448">
        <v>0.33</v>
      </c>
      <c r="BX717" s="13"/>
      <c r="BY717" s="448">
        <v>0.33</v>
      </c>
      <c r="BZ717" s="13"/>
      <c r="CA717" s="448">
        <v>0.33</v>
      </c>
      <c r="CB717" s="13"/>
      <c r="CC717" s="448">
        <v>0.33</v>
      </c>
      <c r="CD717" s="13"/>
      <c r="CE717" s="448">
        <v>0.33</v>
      </c>
      <c r="CF717" s="13"/>
      <c r="CG717" s="448">
        <v>0.33</v>
      </c>
      <c r="CH717" s="13"/>
      <c r="CI717" s="448">
        <v>0.33</v>
      </c>
      <c r="CJ717" s="13"/>
      <c r="CK717" s="448">
        <v>0.33</v>
      </c>
      <c r="CL717" s="13"/>
      <c r="CM717" s="448">
        <v>0.33</v>
      </c>
      <c r="CN717" s="13"/>
      <c r="CO717" s="448">
        <v>0.33</v>
      </c>
      <c r="CP717" s="13"/>
      <c r="CQ717" s="448">
        <v>0.33</v>
      </c>
      <c r="CR717" s="13"/>
      <c r="CS717" s="448">
        <v>0.33</v>
      </c>
      <c r="CT717" s="13"/>
      <c r="CU717" s="448">
        <v>0.33</v>
      </c>
      <c r="CV717" s="13"/>
      <c r="CW717" s="448">
        <v>0.33</v>
      </c>
      <c r="CX717" s="13"/>
      <c r="CY717" s="448">
        <v>0.33</v>
      </c>
      <c r="CZ717" s="13"/>
      <c r="DA717" s="448">
        <v>0.33</v>
      </c>
      <c r="DB717" s="13"/>
      <c r="DC717" s="448">
        <v>0.33</v>
      </c>
      <c r="DD717" s="13"/>
      <c r="DE717" s="448">
        <v>0.33</v>
      </c>
      <c r="DF717" s="13"/>
      <c r="DG717" s="448">
        <v>0.33</v>
      </c>
      <c r="DH717" s="13"/>
      <c r="DI717" s="448">
        <v>0.33</v>
      </c>
      <c r="DJ717" s="13"/>
      <c r="DK717" s="448">
        <v>0.33</v>
      </c>
      <c r="DL717" s="13"/>
      <c r="DM717" s="448">
        <v>0.33</v>
      </c>
      <c r="DN717" s="13"/>
      <c r="DO717" s="448">
        <v>0.33</v>
      </c>
      <c r="DP717" s="13"/>
      <c r="DQ717" s="448">
        <v>0.33</v>
      </c>
      <c r="DR717" s="13"/>
      <c r="DS717" s="448">
        <v>0.33</v>
      </c>
      <c r="DT717" s="13"/>
      <c r="DU717" s="448">
        <v>0.33</v>
      </c>
      <c r="DV717" s="13"/>
      <c r="DW717" s="448">
        <v>0.33</v>
      </c>
      <c r="DX717" s="13"/>
      <c r="DY717" s="448">
        <v>0.33</v>
      </c>
      <c r="DZ717" s="13"/>
      <c r="EA717" s="448">
        <v>0.33</v>
      </c>
      <c r="EB717" s="13"/>
      <c r="EC717" s="448">
        <v>0.33</v>
      </c>
      <c r="ED717" s="13"/>
      <c r="EE717" s="448">
        <v>0.33</v>
      </c>
      <c r="EF717" s="13"/>
      <c r="EG717" s="448">
        <v>0.33</v>
      </c>
      <c r="EH717" s="13"/>
      <c r="EI717" s="448">
        <v>0.33</v>
      </c>
      <c r="EJ717" s="13"/>
      <c r="EK717" s="448">
        <v>0.33</v>
      </c>
      <c r="EL717" s="13"/>
      <c r="EM717" s="448">
        <v>0.33</v>
      </c>
      <c r="EN717" s="13"/>
      <c r="EO717" s="448">
        <v>0.33</v>
      </c>
      <c r="EP717" s="13"/>
      <c r="EQ717" s="448">
        <v>0.33</v>
      </c>
      <c r="ER717" s="13"/>
      <c r="ES717" s="448">
        <v>0.33</v>
      </c>
      <c r="ET717" s="13"/>
      <c r="EU717" s="448">
        <v>0.33</v>
      </c>
      <c r="EV717" s="13"/>
      <c r="EW717" s="448">
        <v>0.33</v>
      </c>
      <c r="EX717" s="13"/>
      <c r="EY717" s="448"/>
      <c r="EZ717" s="558"/>
      <c r="FA717" s="448"/>
      <c r="FB717" s="448"/>
      <c r="FC717" s="448"/>
      <c r="FD717" s="448"/>
      <c r="FE717" s="500"/>
      <c r="FF717" s="448"/>
      <c r="FG717" s="500"/>
      <c r="FH717" s="448"/>
      <c r="FI717" s="500"/>
      <c r="FJ717" s="448"/>
      <c r="FK717" s="500"/>
      <c r="FL717" s="448"/>
      <c r="FM717" s="500"/>
      <c r="FN717" s="448"/>
      <c r="FO717" s="500"/>
      <c r="FP717" s="448"/>
      <c r="FQ717" s="13"/>
      <c r="FR717" s="448"/>
      <c r="FS717" s="13"/>
      <c r="FT717" s="448">
        <f>FT510/100</f>
        <v>0.24377886461807535</v>
      </c>
      <c r="FU717" s="13"/>
      <c r="FV717" s="448">
        <v>0.05</v>
      </c>
      <c r="FW717" s="13"/>
      <c r="FX717" s="448">
        <v>0.03</v>
      </c>
      <c r="FY717" s="13"/>
      <c r="FZ717" s="448">
        <v>0.03</v>
      </c>
      <c r="GA717" s="13"/>
      <c r="GB717" s="448">
        <v>0.03</v>
      </c>
      <c r="GC717" s="13"/>
      <c r="GD717" s="448">
        <v>0.03</v>
      </c>
      <c r="GE717" s="13"/>
      <c r="GF717" s="448">
        <v>0.03</v>
      </c>
      <c r="GG717" s="13"/>
      <c r="GH717" s="448">
        <v>0.03</v>
      </c>
      <c r="GI717" s="13"/>
      <c r="GJ717" s="448">
        <v>0.03</v>
      </c>
      <c r="GK717" s="13"/>
      <c r="GL717" s="448">
        <v>0.03</v>
      </c>
      <c r="GM717" s="13"/>
      <c r="GN717" s="448">
        <v>0.03</v>
      </c>
      <c r="GO717" s="13"/>
      <c r="GP717" s="448">
        <v>0.03</v>
      </c>
      <c r="GQ717" s="13"/>
      <c r="GR717" s="448">
        <f>GR510/100</f>
        <v>0.16397406109146342</v>
      </c>
      <c r="GS717" s="13"/>
      <c r="GT717" s="448">
        <f>GT510/100</f>
        <v>0.16712557454318119</v>
      </c>
      <c r="GU717" s="13"/>
      <c r="GV717" s="448">
        <f>GV510/100</f>
        <v>0.16696943048877952</v>
      </c>
      <c r="GW717" s="13"/>
      <c r="GX717" s="448">
        <f>GX510/100</f>
        <v>0.16677237223330693</v>
      </c>
      <c r="GY717" s="13"/>
      <c r="GZ717" s="500"/>
      <c r="HA717" s="500"/>
      <c r="HB717" s="458"/>
      <c r="HC717"/>
      <c r="HD717"/>
      <c r="HE717"/>
      <c r="HF717"/>
      <c r="HG717"/>
      <c r="HH717"/>
    </row>
    <row r="718" spans="1:216" s="5" customFormat="1" ht="12.75" hidden="1" customHeight="1" outlineLevel="1" x14ac:dyDescent="0.2">
      <c r="A718" s="11"/>
      <c r="B718" s="7" t="s">
        <v>59</v>
      </c>
      <c r="C718" s="449"/>
      <c r="D718" s="449"/>
      <c r="E718" s="449"/>
      <c r="F718" s="449"/>
      <c r="G718" s="449"/>
      <c r="H718" s="449"/>
      <c r="I718" s="449"/>
      <c r="J718" s="449"/>
      <c r="K718" s="449"/>
      <c r="L718" s="501"/>
      <c r="M718" s="449"/>
      <c r="N718" s="501"/>
      <c r="O718" s="449"/>
      <c r="P718" s="501"/>
      <c r="Q718" s="449"/>
      <c r="R718" s="501"/>
      <c r="S718" s="449"/>
      <c r="T718" s="501"/>
      <c r="U718" s="449"/>
      <c r="V718" s="501"/>
      <c r="W718" s="449"/>
      <c r="X718" s="501"/>
      <c r="Y718" s="449"/>
      <c r="Z718" s="501"/>
      <c r="AA718" s="449"/>
      <c r="AB718" s="501"/>
      <c r="AC718" s="449"/>
      <c r="AD718" s="501"/>
      <c r="AE718" s="449"/>
      <c r="AF718" s="501"/>
      <c r="AG718" s="449"/>
      <c r="AH718" s="501"/>
      <c r="AI718" s="449"/>
      <c r="AJ718" s="501"/>
      <c r="AK718" s="449"/>
      <c r="AL718" s="501"/>
      <c r="AM718" s="449"/>
      <c r="AN718" s="501"/>
      <c r="AO718" s="449"/>
      <c r="AP718" s="501"/>
      <c r="AQ718" s="449"/>
      <c r="AR718" s="13"/>
      <c r="AS718" s="449"/>
      <c r="AT718" s="501"/>
      <c r="AU718" s="449"/>
      <c r="AV718" s="501"/>
      <c r="AW718" s="449"/>
      <c r="AX718" s="13"/>
      <c r="AY718" s="449">
        <v>0</v>
      </c>
      <c r="AZ718" s="13"/>
      <c r="BA718" s="449">
        <v>0</v>
      </c>
      <c r="BB718" s="13"/>
      <c r="BC718" s="449">
        <v>0</v>
      </c>
      <c r="BD718" s="13"/>
      <c r="BE718" s="449">
        <v>0</v>
      </c>
      <c r="BF718" s="13"/>
      <c r="BG718" s="449">
        <v>0</v>
      </c>
      <c r="BH718" s="13"/>
      <c r="BI718" s="449">
        <v>0</v>
      </c>
      <c r="BJ718" s="13"/>
      <c r="BK718" s="449">
        <v>0</v>
      </c>
      <c r="BL718" s="13"/>
      <c r="BM718" s="449">
        <v>0</v>
      </c>
      <c r="BN718" s="13"/>
      <c r="BO718" s="449">
        <v>0</v>
      </c>
      <c r="BP718" s="13"/>
      <c r="BQ718" s="449">
        <v>0</v>
      </c>
      <c r="BR718" s="13"/>
      <c r="BS718" s="449">
        <v>0</v>
      </c>
      <c r="BT718" s="13"/>
      <c r="BU718" s="449">
        <v>0</v>
      </c>
      <c r="BV718" s="13"/>
      <c r="BW718" s="449">
        <v>0</v>
      </c>
      <c r="BX718" s="13"/>
      <c r="BY718" s="449">
        <v>0</v>
      </c>
      <c r="BZ718" s="13"/>
      <c r="CA718" s="449">
        <v>0</v>
      </c>
      <c r="CB718" s="13"/>
      <c r="CC718" s="449">
        <v>0</v>
      </c>
      <c r="CD718" s="13"/>
      <c r="CE718" s="449">
        <v>0</v>
      </c>
      <c r="CF718" s="13"/>
      <c r="CG718" s="449">
        <v>0</v>
      </c>
      <c r="CH718" s="13"/>
      <c r="CI718" s="449">
        <v>0</v>
      </c>
      <c r="CJ718" s="13"/>
      <c r="CK718" s="449">
        <v>0</v>
      </c>
      <c r="CL718" s="13"/>
      <c r="CM718" s="449">
        <v>0</v>
      </c>
      <c r="CN718" s="13"/>
      <c r="CO718" s="449">
        <v>0</v>
      </c>
      <c r="CP718" s="13"/>
      <c r="CQ718" s="449">
        <v>0</v>
      </c>
      <c r="CR718" s="13"/>
      <c r="CS718" s="449">
        <v>0</v>
      </c>
      <c r="CT718" s="13"/>
      <c r="CU718" s="449">
        <v>0</v>
      </c>
      <c r="CV718" s="13"/>
      <c r="CW718" s="449">
        <v>0</v>
      </c>
      <c r="CX718" s="13"/>
      <c r="CY718" s="449">
        <v>0</v>
      </c>
      <c r="CZ718" s="13"/>
      <c r="DA718" s="449">
        <v>0</v>
      </c>
      <c r="DB718" s="13"/>
      <c r="DC718" s="449">
        <v>0</v>
      </c>
      <c r="DD718" s="13"/>
      <c r="DE718" s="449">
        <v>0</v>
      </c>
      <c r="DF718" s="13"/>
      <c r="DG718" s="449">
        <v>0</v>
      </c>
      <c r="DH718" s="13"/>
      <c r="DI718" s="449">
        <v>0</v>
      </c>
      <c r="DJ718" s="13"/>
      <c r="DK718" s="449">
        <v>0</v>
      </c>
      <c r="DL718" s="13"/>
      <c r="DM718" s="449">
        <v>0</v>
      </c>
      <c r="DN718" s="13"/>
      <c r="DO718" s="449">
        <v>0</v>
      </c>
      <c r="DP718" s="13"/>
      <c r="DQ718" s="449">
        <v>0</v>
      </c>
      <c r="DR718" s="13"/>
      <c r="DS718" s="449">
        <v>0</v>
      </c>
      <c r="DT718" s="13"/>
      <c r="DU718" s="449">
        <v>0</v>
      </c>
      <c r="DV718" s="13"/>
      <c r="DW718" s="449">
        <v>0</v>
      </c>
      <c r="DX718" s="13"/>
      <c r="DY718" s="449">
        <v>0</v>
      </c>
      <c r="DZ718" s="13"/>
      <c r="EA718" s="449">
        <v>0</v>
      </c>
      <c r="EB718" s="13"/>
      <c r="EC718" s="449">
        <v>0</v>
      </c>
      <c r="ED718" s="13"/>
      <c r="EE718" s="449">
        <v>0</v>
      </c>
      <c r="EF718" s="13"/>
      <c r="EG718" s="449">
        <v>0</v>
      </c>
      <c r="EH718" s="13"/>
      <c r="EI718" s="449">
        <v>0</v>
      </c>
      <c r="EJ718" s="13"/>
      <c r="EK718" s="449">
        <v>0</v>
      </c>
      <c r="EL718" s="13"/>
      <c r="EM718" s="449">
        <v>0</v>
      </c>
      <c r="EN718" s="13"/>
      <c r="EO718" s="449">
        <v>0</v>
      </c>
      <c r="EP718" s="13"/>
      <c r="EQ718" s="449">
        <v>0</v>
      </c>
      <c r="ER718" s="13"/>
      <c r="ES718" s="449">
        <v>0</v>
      </c>
      <c r="ET718" s="13"/>
      <c r="EU718" s="449">
        <v>0</v>
      </c>
      <c r="EV718" s="13"/>
      <c r="EW718" s="449">
        <v>0</v>
      </c>
      <c r="EX718" s="13"/>
      <c r="EY718" s="449"/>
      <c r="EZ718" s="558"/>
      <c r="FA718" s="449"/>
      <c r="FB718" s="449"/>
      <c r="FC718" s="449"/>
      <c r="FD718" s="449"/>
      <c r="FE718" s="501"/>
      <c r="FF718" s="449"/>
      <c r="FG718" s="501"/>
      <c r="FH718" s="449"/>
      <c r="FI718" s="501"/>
      <c r="FJ718" s="449"/>
      <c r="FK718" s="501"/>
      <c r="FL718" s="449"/>
      <c r="FM718" s="501"/>
      <c r="FN718" s="449"/>
      <c r="FO718" s="501"/>
      <c r="FP718" s="449"/>
      <c r="FQ718" s="13"/>
      <c r="FR718" s="449"/>
      <c r="FS718" s="13"/>
      <c r="FT718" s="449">
        <v>0</v>
      </c>
      <c r="FU718" s="13"/>
      <c r="FV718" s="449">
        <v>0</v>
      </c>
      <c r="FW718" s="13"/>
      <c r="FX718" s="449">
        <v>0</v>
      </c>
      <c r="FY718" s="13"/>
      <c r="FZ718" s="449">
        <v>0</v>
      </c>
      <c r="GA718" s="13"/>
      <c r="GB718" s="449">
        <v>0</v>
      </c>
      <c r="GC718" s="13"/>
      <c r="GD718" s="449">
        <v>0</v>
      </c>
      <c r="GE718" s="13"/>
      <c r="GF718" s="449">
        <v>0</v>
      </c>
      <c r="GG718" s="13"/>
      <c r="GH718" s="449">
        <v>0</v>
      </c>
      <c r="GI718" s="13"/>
      <c r="GJ718" s="449">
        <v>0</v>
      </c>
      <c r="GK718" s="13"/>
      <c r="GL718" s="449">
        <v>0</v>
      </c>
      <c r="GM718" s="13"/>
      <c r="GN718" s="449">
        <v>0</v>
      </c>
      <c r="GO718" s="13"/>
      <c r="GP718" s="449">
        <v>0</v>
      </c>
      <c r="GQ718" s="13"/>
      <c r="GR718" s="449">
        <v>0</v>
      </c>
      <c r="GS718" s="13"/>
      <c r="GT718" s="449">
        <v>0</v>
      </c>
      <c r="GU718" s="13"/>
      <c r="GV718" s="449">
        <v>0</v>
      </c>
      <c r="GW718" s="13"/>
      <c r="GX718" s="449">
        <v>0</v>
      </c>
      <c r="GY718" s="13"/>
      <c r="GZ718" s="500"/>
      <c r="HA718" s="500"/>
      <c r="HB718" s="458"/>
      <c r="HC718"/>
      <c r="HD718"/>
      <c r="HE718"/>
      <c r="HF718"/>
      <c r="HG718"/>
      <c r="HH718"/>
    </row>
    <row r="719" spans="1:216" s="5" customFormat="1" ht="12.75" hidden="1" customHeight="1" outlineLevel="1" x14ac:dyDescent="0.2">
      <c r="A719" s="11"/>
      <c r="B719" s="7" t="s">
        <v>158</v>
      </c>
      <c r="C719" s="12"/>
      <c r="D719" s="13"/>
      <c r="E719" s="12"/>
      <c r="F719" s="13"/>
      <c r="G719" s="12"/>
      <c r="H719" s="13"/>
      <c r="I719" s="12"/>
      <c r="J719" s="13"/>
      <c r="K719" s="12"/>
      <c r="L719" s="13"/>
      <c r="M719" s="12"/>
      <c r="N719" s="13"/>
      <c r="O719" s="12"/>
      <c r="P719" s="13"/>
      <c r="Q719" s="12"/>
      <c r="R719" s="13"/>
      <c r="S719" s="12"/>
      <c r="T719" s="13"/>
      <c r="U719" s="12"/>
      <c r="V719" s="13"/>
      <c r="W719" s="12"/>
      <c r="X719" s="13"/>
      <c r="Y719" s="12"/>
      <c r="Z719" s="13"/>
      <c r="AA719" s="12"/>
      <c r="AB719" s="13"/>
      <c r="AC719" s="12"/>
      <c r="AD719" s="13"/>
      <c r="AE719" s="12"/>
      <c r="AF719" s="13"/>
      <c r="AG719" s="12"/>
      <c r="AH719" s="13"/>
      <c r="AI719" s="12"/>
      <c r="AJ719" s="13"/>
      <c r="AK719" s="12"/>
      <c r="AL719" s="13"/>
      <c r="AM719" s="12"/>
      <c r="AN719" s="13"/>
      <c r="AO719" s="12"/>
      <c r="AP719" s="13"/>
      <c r="AQ719" s="12"/>
      <c r="AR719" s="13"/>
      <c r="AS719" s="12"/>
      <c r="AT719" s="13"/>
      <c r="AU719" s="12"/>
      <c r="AV719" s="13"/>
      <c r="AW719" s="12"/>
      <c r="AX719" s="13"/>
      <c r="AY719" s="12" t="s">
        <v>157</v>
      </c>
      <c r="AZ719" s="13"/>
      <c r="BA719" s="12" t="s">
        <v>157</v>
      </c>
      <c r="BB719" s="13"/>
      <c r="BC719" s="12" t="s">
        <v>157</v>
      </c>
      <c r="BD719" s="13"/>
      <c r="BE719" s="12" t="s">
        <v>157</v>
      </c>
      <c r="BF719" s="13"/>
      <c r="BG719" s="12" t="s">
        <v>157</v>
      </c>
      <c r="BH719" s="13"/>
      <c r="BI719" s="12" t="s">
        <v>157</v>
      </c>
      <c r="BJ719" s="13"/>
      <c r="BK719" s="12" t="s">
        <v>157</v>
      </c>
      <c r="BL719" s="13"/>
      <c r="BM719" s="12" t="s">
        <v>157</v>
      </c>
      <c r="BN719" s="13"/>
      <c r="BO719" s="12" t="s">
        <v>157</v>
      </c>
      <c r="BP719" s="13"/>
      <c r="BQ719" s="12" t="s">
        <v>157</v>
      </c>
      <c r="BR719" s="13"/>
      <c r="BS719" s="12" t="s">
        <v>157</v>
      </c>
      <c r="BT719" s="13"/>
      <c r="BU719" s="12" t="s">
        <v>157</v>
      </c>
      <c r="BV719" s="13"/>
      <c r="BW719" s="12" t="s">
        <v>157</v>
      </c>
      <c r="BX719" s="13"/>
      <c r="BY719" s="12" t="s">
        <v>157</v>
      </c>
      <c r="BZ719" s="13"/>
      <c r="CA719" s="12" t="s">
        <v>157</v>
      </c>
      <c r="CB719" s="13"/>
      <c r="CC719" s="12" t="s">
        <v>157</v>
      </c>
      <c r="CD719" s="13"/>
      <c r="CE719" s="12" t="s">
        <v>157</v>
      </c>
      <c r="CF719" s="13"/>
      <c r="CG719" s="12" t="s">
        <v>157</v>
      </c>
      <c r="CH719" s="13"/>
      <c r="CI719" s="12" t="s">
        <v>157</v>
      </c>
      <c r="CJ719" s="13"/>
      <c r="CK719" s="12" t="s">
        <v>157</v>
      </c>
      <c r="CL719" s="13"/>
      <c r="CM719" s="12" t="s">
        <v>157</v>
      </c>
      <c r="CN719" s="13"/>
      <c r="CO719" s="12" t="s">
        <v>157</v>
      </c>
      <c r="CP719" s="13"/>
      <c r="CQ719" s="12" t="s">
        <v>157</v>
      </c>
      <c r="CR719" s="13"/>
      <c r="CS719" s="12" t="s">
        <v>157</v>
      </c>
      <c r="CT719" s="13"/>
      <c r="CU719" s="12" t="s">
        <v>157</v>
      </c>
      <c r="CV719" s="13"/>
      <c r="CW719" s="12" t="s">
        <v>157</v>
      </c>
      <c r="CX719" s="13"/>
      <c r="CY719" s="12" t="s">
        <v>157</v>
      </c>
      <c r="CZ719" s="13"/>
      <c r="DA719" s="12" t="s">
        <v>157</v>
      </c>
      <c r="DB719" s="13"/>
      <c r="DC719" s="12" t="s">
        <v>157</v>
      </c>
      <c r="DD719" s="13"/>
      <c r="DE719" s="12" t="s">
        <v>157</v>
      </c>
      <c r="DF719" s="13"/>
      <c r="DG719" s="12" t="s">
        <v>157</v>
      </c>
      <c r="DH719" s="13"/>
      <c r="DI719" s="12" t="s">
        <v>157</v>
      </c>
      <c r="DJ719" s="13"/>
      <c r="DK719" s="12" t="s">
        <v>157</v>
      </c>
      <c r="DL719" s="13"/>
      <c r="DM719" s="12" t="s">
        <v>157</v>
      </c>
      <c r="DN719" s="13"/>
      <c r="DO719" s="12" t="s">
        <v>157</v>
      </c>
      <c r="DP719" s="13"/>
      <c r="DQ719" s="12" t="s">
        <v>157</v>
      </c>
      <c r="DR719" s="13"/>
      <c r="DS719" s="12" t="s">
        <v>157</v>
      </c>
      <c r="DT719" s="13"/>
      <c r="DU719" s="12" t="s">
        <v>157</v>
      </c>
      <c r="DV719" s="13"/>
      <c r="DW719" s="12" t="s">
        <v>157</v>
      </c>
      <c r="DX719" s="13"/>
      <c r="DY719" s="12" t="s">
        <v>157</v>
      </c>
      <c r="DZ719" s="13"/>
      <c r="EA719" s="12" t="s">
        <v>157</v>
      </c>
      <c r="EB719" s="13"/>
      <c r="EC719" s="12" t="s">
        <v>157</v>
      </c>
      <c r="ED719" s="13"/>
      <c r="EE719" s="12" t="s">
        <v>157</v>
      </c>
      <c r="EF719" s="13"/>
      <c r="EG719" s="12" t="s">
        <v>157</v>
      </c>
      <c r="EH719" s="13"/>
      <c r="EI719" s="12" t="s">
        <v>157</v>
      </c>
      <c r="EJ719" s="13"/>
      <c r="EK719" s="12" t="s">
        <v>157</v>
      </c>
      <c r="EL719" s="13"/>
      <c r="EM719" s="12" t="s">
        <v>157</v>
      </c>
      <c r="EN719" s="13"/>
      <c r="EO719" s="12" t="s">
        <v>157</v>
      </c>
      <c r="EP719" s="13"/>
      <c r="EQ719" s="12" t="s">
        <v>157</v>
      </c>
      <c r="ER719" s="13"/>
      <c r="ES719" s="12" t="s">
        <v>157</v>
      </c>
      <c r="ET719" s="13"/>
      <c r="EU719" s="12" t="s">
        <v>157</v>
      </c>
      <c r="EV719" s="13"/>
      <c r="EW719" s="12" t="s">
        <v>157</v>
      </c>
      <c r="EX719" s="13"/>
      <c r="EY719" s="56"/>
      <c r="EZ719" s="558"/>
      <c r="FA719" s="56"/>
      <c r="FB719" s="12"/>
      <c r="FC719" s="13"/>
      <c r="FD719" s="12"/>
      <c r="FE719" s="13"/>
      <c r="FF719" s="12"/>
      <c r="FG719" s="13"/>
      <c r="FH719" s="12"/>
      <c r="FI719" s="13"/>
      <c r="FJ719" s="12"/>
      <c r="FK719" s="13"/>
      <c r="FL719" s="12"/>
      <c r="FM719" s="13"/>
      <c r="FN719" s="12"/>
      <c r="FO719" s="13"/>
      <c r="FP719" s="12"/>
      <c r="FQ719" s="13"/>
      <c r="FR719" s="12"/>
      <c r="FS719" s="13"/>
      <c r="FT719" s="12" t="s">
        <v>157</v>
      </c>
      <c r="FU719" s="13"/>
      <c r="FV719" s="12" t="s">
        <v>157</v>
      </c>
      <c r="FW719" s="13"/>
      <c r="FX719" s="12" t="s">
        <v>157</v>
      </c>
      <c r="FY719" s="13"/>
      <c r="FZ719" s="12" t="s">
        <v>157</v>
      </c>
      <c r="GA719" s="13"/>
      <c r="GB719" s="12" t="s">
        <v>157</v>
      </c>
      <c r="GC719" s="13"/>
      <c r="GD719" s="12" t="s">
        <v>157</v>
      </c>
      <c r="GE719" s="13"/>
      <c r="GF719" s="12" t="s">
        <v>157</v>
      </c>
      <c r="GG719" s="13"/>
      <c r="GH719" s="12" t="s">
        <v>157</v>
      </c>
      <c r="GI719" s="13"/>
      <c r="GJ719" s="12" t="s">
        <v>157</v>
      </c>
      <c r="GK719" s="13"/>
      <c r="GL719" s="12" t="s">
        <v>157</v>
      </c>
      <c r="GM719" s="13"/>
      <c r="GN719" s="12" t="s">
        <v>157</v>
      </c>
      <c r="GO719" s="13"/>
      <c r="GP719" s="12" t="s">
        <v>157</v>
      </c>
      <c r="GQ719" s="13"/>
      <c r="GR719" s="12" t="s">
        <v>157</v>
      </c>
      <c r="GS719" s="13"/>
      <c r="GT719" s="12" t="s">
        <v>157</v>
      </c>
      <c r="GU719" s="13"/>
      <c r="GV719" s="12" t="s">
        <v>157</v>
      </c>
      <c r="GW719" s="13"/>
      <c r="GX719" s="12" t="s">
        <v>157</v>
      </c>
      <c r="GY719" s="13"/>
      <c r="GZ719" s="13"/>
      <c r="HA719" s="13"/>
      <c r="HB719" s="452"/>
      <c r="HC719"/>
      <c r="HD719"/>
      <c r="HE719"/>
      <c r="HF719"/>
      <c r="HG719"/>
      <c r="HH719"/>
    </row>
    <row r="720" spans="1:216" s="5" customFormat="1" ht="12.75" hidden="1" customHeight="1" outlineLevel="1" x14ac:dyDescent="0.2">
      <c r="A720" s="11"/>
      <c r="B720" s="7" t="str">
        <f>B609</f>
        <v>Outstanding Shares (EOP)-Diluted</v>
      </c>
      <c r="C720" s="12"/>
      <c r="D720" s="12"/>
      <c r="E720" s="12"/>
      <c r="F720" s="12"/>
      <c r="G720" s="12"/>
      <c r="H720" s="12"/>
      <c r="I720" s="12"/>
      <c r="J720" s="12"/>
      <c r="K720" s="12"/>
      <c r="L720" s="502"/>
      <c r="M720" s="12"/>
      <c r="N720" s="502"/>
      <c r="O720" s="12"/>
      <c r="P720" s="502"/>
      <c r="Q720" s="12"/>
      <c r="R720" s="502"/>
      <c r="S720" s="12"/>
      <c r="T720" s="502"/>
      <c r="U720" s="12"/>
      <c r="V720" s="502"/>
      <c r="W720" s="12"/>
      <c r="X720" s="502"/>
      <c r="Y720" s="12"/>
      <c r="Z720" s="502"/>
      <c r="AA720" s="12"/>
      <c r="AB720" s="502"/>
      <c r="AC720" s="12"/>
      <c r="AD720" s="502"/>
      <c r="AE720" s="12"/>
      <c r="AF720" s="502"/>
      <c r="AG720" s="12"/>
      <c r="AH720" s="502"/>
      <c r="AI720" s="12"/>
      <c r="AJ720" s="502"/>
      <c r="AK720" s="12"/>
      <c r="AL720" s="502"/>
      <c r="AM720" s="12"/>
      <c r="AN720" s="502"/>
      <c r="AO720" s="12"/>
      <c r="AP720" s="502"/>
      <c r="AQ720" s="12"/>
      <c r="AR720" s="13"/>
      <c r="AS720" s="12"/>
      <c r="AT720" s="502"/>
      <c r="AU720" s="12"/>
      <c r="AV720" s="502"/>
      <c r="AW720" s="12"/>
      <c r="AX720" s="13"/>
      <c r="AY720" s="12">
        <f>AY609</f>
        <v>178.5</v>
      </c>
      <c r="AZ720" s="13"/>
      <c r="BA720" s="12">
        <f>BA609</f>
        <v>285</v>
      </c>
      <c r="BB720" s="13"/>
      <c r="BC720" s="12">
        <f>BC609</f>
        <v>281.3</v>
      </c>
      <c r="BD720" s="13"/>
      <c r="BE720" s="12">
        <f>BE609</f>
        <v>280.2</v>
      </c>
      <c r="BF720" s="13"/>
      <c r="BG720" s="12">
        <f t="shared" ref="BG720:BM720" si="4338">BG609</f>
        <v>274</v>
      </c>
      <c r="BH720" s="13"/>
      <c r="BI720" s="12">
        <f t="shared" si="4338"/>
        <v>274.5</v>
      </c>
      <c r="BJ720" s="13"/>
      <c r="BK720" s="12">
        <f t="shared" si="4338"/>
        <v>271.7</v>
      </c>
      <c r="BL720" s="13"/>
      <c r="BM720" s="12">
        <f t="shared" si="4338"/>
        <v>266.2</v>
      </c>
      <c r="BN720" s="13"/>
      <c r="BO720" s="12">
        <f t="shared" ref="BO720:BU720" si="4339">BO609</f>
        <v>260.49049000000002</v>
      </c>
      <c r="BP720" s="13"/>
      <c r="BQ720" s="12">
        <f t="shared" si="4339"/>
        <v>257.8</v>
      </c>
      <c r="BR720" s="13"/>
      <c r="BS720" s="12">
        <f t="shared" si="4339"/>
        <v>256.89999999999998</v>
      </c>
      <c r="BT720" s="13"/>
      <c r="BU720" s="12">
        <f t="shared" si="4339"/>
        <v>257.7</v>
      </c>
      <c r="BV720" s="13"/>
      <c r="BW720" s="12">
        <f t="shared" ref="BW720:CE720" si="4340">BW609</f>
        <v>258.10000000000002</v>
      </c>
      <c r="BX720" s="13"/>
      <c r="BY720" s="12">
        <f t="shared" si="4340"/>
        <v>304.2</v>
      </c>
      <c r="BZ720" s="13"/>
      <c r="CA720" s="12">
        <f t="shared" si="4340"/>
        <v>311.8</v>
      </c>
      <c r="CB720" s="13"/>
      <c r="CC720" s="12">
        <f t="shared" si="4340"/>
        <v>311.8</v>
      </c>
      <c r="CD720" s="13"/>
      <c r="CE720" s="12">
        <f t="shared" si="4340"/>
        <v>313</v>
      </c>
      <c r="CF720" s="13"/>
      <c r="CG720" s="12">
        <f>CG609</f>
        <v>325.89999999999998</v>
      </c>
      <c r="CH720" s="13"/>
      <c r="CI720" s="12">
        <f>CI609</f>
        <v>324.3</v>
      </c>
      <c r="CJ720" s="13"/>
      <c r="CK720" s="12">
        <f>CK609</f>
        <v>324</v>
      </c>
      <c r="CL720" s="13"/>
      <c r="CM720" s="12">
        <f>CM609</f>
        <v>321.3</v>
      </c>
      <c r="CN720" s="13"/>
      <c r="CO720" s="12">
        <f>CO609</f>
        <v>316.8</v>
      </c>
      <c r="CP720" s="13"/>
      <c r="CQ720" s="12">
        <f>CQ609</f>
        <v>306.89999999999998</v>
      </c>
      <c r="CR720" s="13"/>
      <c r="CS720" s="12">
        <f>CS609</f>
        <v>297</v>
      </c>
      <c r="CT720" s="13"/>
      <c r="CU720" s="12">
        <f>CU609</f>
        <v>293</v>
      </c>
      <c r="CV720" s="13"/>
      <c r="CW720" s="12">
        <f>CW609</f>
        <v>286.8</v>
      </c>
      <c r="CX720" s="13"/>
      <c r="CY720" s="12">
        <f>CY609</f>
        <v>282.39999999999998</v>
      </c>
      <c r="CZ720" s="13"/>
      <c r="DA720" s="12">
        <f>DA609</f>
        <v>279.10000000000002</v>
      </c>
      <c r="DB720" s="13"/>
      <c r="DC720" s="12">
        <f>DC609</f>
        <v>277.2</v>
      </c>
      <c r="DD720" s="13"/>
      <c r="DE720" s="12">
        <f>DE609</f>
        <v>273.89999999999998</v>
      </c>
      <c r="DF720" s="13"/>
      <c r="DG720" s="12">
        <f>DG609</f>
        <v>272.5</v>
      </c>
      <c r="DH720" s="13"/>
      <c r="DI720" s="12">
        <f>DI609</f>
        <v>272.2</v>
      </c>
      <c r="DJ720" s="13"/>
      <c r="DK720" s="12">
        <f>DK609</f>
        <v>270.39999999999998</v>
      </c>
      <c r="DL720" s="13"/>
      <c r="DM720" s="12">
        <f>DM609</f>
        <v>267.60000000000002</v>
      </c>
      <c r="DN720" s="13"/>
      <c r="DO720" s="12">
        <f>DO609</f>
        <v>265.5</v>
      </c>
      <c r="DP720" s="13"/>
      <c r="DQ720" s="12">
        <f>DQ609</f>
        <v>261.5</v>
      </c>
      <c r="DR720" s="13"/>
      <c r="DS720" s="12">
        <f>DS609</f>
        <v>257.2</v>
      </c>
      <c r="DT720" s="13"/>
      <c r="DU720" s="12">
        <f>DU609</f>
        <v>254.1</v>
      </c>
      <c r="DV720" s="13"/>
      <c r="DW720" s="12">
        <f>DW609</f>
        <v>251.2</v>
      </c>
      <c r="DX720" s="13"/>
      <c r="DY720" s="12">
        <f>DY609</f>
        <v>246.7</v>
      </c>
      <c r="DZ720" s="13"/>
      <c r="EA720" s="12">
        <f>EA609</f>
        <v>242.2</v>
      </c>
      <c r="EB720" s="13"/>
      <c r="EC720" s="12">
        <f>EC609</f>
        <v>236.3</v>
      </c>
      <c r="ED720" s="13"/>
      <c r="EE720" s="12">
        <f>EE609</f>
        <v>231.3</v>
      </c>
      <c r="EF720" s="13"/>
      <c r="EG720" s="12">
        <f>EG609</f>
        <v>230.1</v>
      </c>
      <c r="EH720" s="13"/>
      <c r="EI720" s="12">
        <f>EI609</f>
        <v>228.9</v>
      </c>
      <c r="EJ720" s="13"/>
      <c r="EK720" s="12">
        <f t="shared" ref="EK720:EM720" si="4341">EK609</f>
        <v>226</v>
      </c>
      <c r="EL720" s="13"/>
      <c r="EM720" s="12">
        <f t="shared" si="4341"/>
        <v>222.7</v>
      </c>
      <c r="EN720" s="13"/>
      <c r="EO720" s="12">
        <f t="shared" ref="EO720" si="4342">EO609</f>
        <v>221.3</v>
      </c>
      <c r="EP720" s="13"/>
      <c r="EQ720" s="12">
        <f t="shared" ref="EQ720:EW720" si="4343">EQ609</f>
        <v>221.3</v>
      </c>
      <c r="ER720" s="13"/>
      <c r="ES720" s="12">
        <f t="shared" si="4343"/>
        <v>221.3</v>
      </c>
      <c r="ET720" s="13"/>
      <c r="EU720" s="12">
        <f t="shared" si="4343"/>
        <v>220.31463388718043</v>
      </c>
      <c r="EV720" s="13"/>
      <c r="EW720" s="12">
        <f t="shared" si="4343"/>
        <v>219.34863055035657</v>
      </c>
      <c r="EX720" s="13"/>
      <c r="EY720" s="12"/>
      <c r="EZ720" s="558"/>
      <c r="FA720" s="12"/>
      <c r="FB720" s="12"/>
      <c r="FC720" s="12"/>
      <c r="FD720" s="12"/>
      <c r="FE720" s="502"/>
      <c r="FF720" s="12"/>
      <c r="FG720" s="502"/>
      <c r="FH720" s="12"/>
      <c r="FI720" s="502"/>
      <c r="FJ720" s="12"/>
      <c r="FK720" s="502"/>
      <c r="FL720" s="12"/>
      <c r="FM720" s="502"/>
      <c r="FN720" s="12"/>
      <c r="FO720" s="502"/>
      <c r="FP720" s="12"/>
      <c r="FQ720" s="13"/>
      <c r="FR720" s="12"/>
      <c r="FS720" s="13"/>
      <c r="FT720" s="12">
        <f>FT609</f>
        <v>266.2</v>
      </c>
      <c r="FU720" s="13"/>
      <c r="FV720" s="12">
        <f>FV609</f>
        <v>257.7</v>
      </c>
      <c r="FW720" s="13"/>
      <c r="FX720" s="12">
        <f>FX609</f>
        <v>311.8</v>
      </c>
      <c r="FY720" s="13"/>
      <c r="FZ720" s="12">
        <f>FZ609</f>
        <v>324</v>
      </c>
      <c r="GA720" s="13"/>
      <c r="GB720" s="12">
        <f>GB609</f>
        <v>297</v>
      </c>
      <c r="GC720" s="13"/>
      <c r="GD720" s="12">
        <f>GD609</f>
        <v>279.10000000000002</v>
      </c>
      <c r="GE720" s="13"/>
      <c r="GF720" s="12">
        <f>GF609</f>
        <v>272.2</v>
      </c>
      <c r="GG720" s="13"/>
      <c r="GH720" s="12">
        <f>GH609</f>
        <v>261.5</v>
      </c>
      <c r="GI720" s="13"/>
      <c r="GJ720" s="12">
        <f>GJ609</f>
        <v>246.7</v>
      </c>
      <c r="GK720" s="13"/>
      <c r="GL720" s="12">
        <f>GL609</f>
        <v>230.1</v>
      </c>
      <c r="GM720" s="13"/>
      <c r="GN720" s="12">
        <f>GN609</f>
        <v>221.3</v>
      </c>
      <c r="GO720" s="13"/>
      <c r="GP720" s="12">
        <f>GP609</f>
        <v>219.34863055035657</v>
      </c>
      <c r="GQ720" s="13"/>
      <c r="GR720" s="12">
        <f>GR609</f>
        <v>215.16089267408222</v>
      </c>
      <c r="GS720" s="13"/>
      <c r="GT720" s="12">
        <f>GT609</f>
        <v>210.14308355556258</v>
      </c>
      <c r="GU720" s="13"/>
      <c r="GV720" s="12">
        <f>GV609</f>
        <v>204.40621408826894</v>
      </c>
      <c r="GW720" s="13"/>
      <c r="GX720" s="12">
        <f>GX609</f>
        <v>198.78491039299786</v>
      </c>
      <c r="GY720" s="13"/>
      <c r="GZ720" s="13"/>
      <c r="HA720" s="13"/>
      <c r="HB720" s="452"/>
      <c r="HC720"/>
      <c r="HD720"/>
      <c r="HE720"/>
      <c r="HF720"/>
      <c r="HG720"/>
      <c r="HH720"/>
    </row>
    <row r="721" spans="1:216" s="5" customFormat="1" ht="12.75" hidden="1" customHeight="1" outlineLevel="1" x14ac:dyDescent="0.2">
      <c r="A721" s="11"/>
      <c r="B721" s="7" t="s">
        <v>583</v>
      </c>
      <c r="C721" s="12"/>
      <c r="D721" s="13"/>
      <c r="E721" s="12"/>
      <c r="F721" s="13"/>
      <c r="G721" s="12"/>
      <c r="H721" s="13"/>
      <c r="I721" s="12"/>
      <c r="J721" s="13"/>
      <c r="K721" s="12"/>
      <c r="L721" s="13"/>
      <c r="M721" s="12"/>
      <c r="N721" s="13"/>
      <c r="O721" s="12"/>
      <c r="P721" s="13"/>
      <c r="Q721" s="12"/>
      <c r="R721" s="13"/>
      <c r="S721" s="12"/>
      <c r="T721" s="13"/>
      <c r="U721" s="12"/>
      <c r="V721" s="13"/>
      <c r="W721" s="12"/>
      <c r="X721" s="13"/>
      <c r="Y721" s="12"/>
      <c r="Z721" s="13"/>
      <c r="AA721" s="12"/>
      <c r="AB721" s="13"/>
      <c r="AC721" s="12"/>
      <c r="AD721" s="13"/>
      <c r="AE721" s="12"/>
      <c r="AF721" s="13"/>
      <c r="AG721" s="12"/>
      <c r="AH721" s="13"/>
      <c r="AI721" s="12"/>
      <c r="AJ721" s="13"/>
      <c r="AK721" s="12"/>
      <c r="AL721" s="13"/>
      <c r="AM721" s="12"/>
      <c r="AN721" s="13"/>
      <c r="AO721" s="12"/>
      <c r="AP721" s="13"/>
      <c r="AQ721" s="12"/>
      <c r="AR721" s="13"/>
      <c r="AS721" s="12"/>
      <c r="AT721" s="13"/>
      <c r="AU721" s="12"/>
      <c r="AV721" s="13"/>
      <c r="AW721" s="12"/>
      <c r="AX721" s="13"/>
      <c r="AY721" s="12">
        <f>AY538/AY614</f>
        <v>177.9</v>
      </c>
      <c r="AZ721" s="13"/>
      <c r="BA721" s="12">
        <f>BA538/BA614</f>
        <v>282.60000000000002</v>
      </c>
      <c r="BB721" s="13"/>
      <c r="BC721" s="12">
        <f>BC538/BC614</f>
        <v>282.39999999999998</v>
      </c>
      <c r="BD721" s="13"/>
      <c r="BE721" s="12">
        <f>BE538/BE614</f>
        <v>280.39999999999998</v>
      </c>
      <c r="BF721" s="13"/>
      <c r="BG721" s="12">
        <f>BG538/BG614</f>
        <v>279.5</v>
      </c>
      <c r="BH721" s="13"/>
      <c r="BI721" s="12">
        <f>BI538/BI614</f>
        <v>274.39999999999998</v>
      </c>
      <c r="BJ721" s="13"/>
      <c r="BK721" s="12">
        <f>BK538/BK614</f>
        <v>272.5</v>
      </c>
      <c r="BL721" s="13"/>
      <c r="BM721" s="12">
        <f>BM538/BM614</f>
        <v>269.39999999999998</v>
      </c>
      <c r="BN721" s="13"/>
      <c r="BO721" s="12">
        <f>BO538/BO614</f>
        <v>262.8</v>
      </c>
      <c r="BP721" s="13"/>
      <c r="BQ721" s="12">
        <f>BQ538/BQ614</f>
        <v>259.60000000000002</v>
      </c>
      <c r="BR721" s="13"/>
      <c r="BS721" s="12">
        <f>BS538/BS614</f>
        <v>257.64499999999998</v>
      </c>
      <c r="BT721" s="13"/>
      <c r="BU721" s="12">
        <f>BU538/BU614</f>
        <v>257.60000000000002</v>
      </c>
      <c r="BV721" s="13"/>
      <c r="BW721" s="12">
        <f>BW538/BW614</f>
        <v>257.8</v>
      </c>
      <c r="BX721" s="13"/>
      <c r="BY721" s="12">
        <f>BY538/BY614</f>
        <v>262.39999999999998</v>
      </c>
      <c r="BZ721" s="13"/>
      <c r="CA721" s="12">
        <f>CA538/CA614</f>
        <v>329.4938466880136</v>
      </c>
      <c r="CB721" s="13"/>
      <c r="CC721" s="12">
        <f>CC538/CC614</f>
        <v>331.92659498207883</v>
      </c>
      <c r="CD721" s="13"/>
      <c r="CE721" s="12">
        <f>CE538/CE614</f>
        <v>334.35413498836306</v>
      </c>
      <c r="CF721" s="13"/>
      <c r="CG721" s="12">
        <f>CG538/CG614</f>
        <v>335.73502202643175</v>
      </c>
      <c r="CH721" s="13"/>
      <c r="CI721" s="12">
        <f>CI538/CI614</f>
        <v>327.2918866080156</v>
      </c>
      <c r="CJ721" s="13"/>
      <c r="CK721" s="12">
        <f>CK538/CK614</f>
        <v>323.39999999999998</v>
      </c>
      <c r="CL721" s="13"/>
      <c r="CM721" s="12">
        <f>CM538/CM614</f>
        <v>322.89999999999998</v>
      </c>
      <c r="CN721" s="13"/>
      <c r="CO721" s="12">
        <f>CO538/CO614</f>
        <v>320.09999999999997</v>
      </c>
      <c r="CP721" s="13"/>
      <c r="CQ721" s="12">
        <f>CQ538/CQ614</f>
        <v>312</v>
      </c>
      <c r="CR721" s="13"/>
      <c r="CS721" s="12">
        <f>CS538/CS614</f>
        <v>303.39999999999998</v>
      </c>
      <c r="CT721" s="13"/>
      <c r="CU721" s="12">
        <f>CU538/CU614</f>
        <v>295.89999999999998</v>
      </c>
      <c r="CV721" s="13"/>
      <c r="CW721" s="12">
        <f>CW538/CW614</f>
        <v>290</v>
      </c>
      <c r="CX721" s="13"/>
      <c r="CY721" s="12">
        <f>CY538/CY614</f>
        <v>284.7</v>
      </c>
      <c r="CZ721" s="13"/>
      <c r="DA721" s="12">
        <f>DA538/DA614</f>
        <v>281.10000000000002</v>
      </c>
      <c r="DB721" s="13"/>
      <c r="DC721" s="12">
        <f>DC538/DC614</f>
        <v>278.60000000000002</v>
      </c>
      <c r="DD721" s="13"/>
      <c r="DE721" s="12">
        <f>DE538/DE614</f>
        <v>275.7</v>
      </c>
      <c r="DF721" s="13"/>
      <c r="DG721" s="12">
        <f>DG538/DG614</f>
        <v>273.7</v>
      </c>
      <c r="DH721" s="13"/>
      <c r="DI721" s="12">
        <f>DI538/DI614</f>
        <v>272.8</v>
      </c>
      <c r="DJ721" s="13"/>
      <c r="DK721" s="12">
        <f>DK538/DK614</f>
        <v>272.10000000000002</v>
      </c>
      <c r="DL721" s="13"/>
      <c r="DM721" s="12">
        <f>DM538/DM614</f>
        <v>268.89999999999998</v>
      </c>
      <c r="DN721" s="13"/>
      <c r="DO721" s="12">
        <f>DO538/DO614</f>
        <v>266.8</v>
      </c>
      <c r="DP721" s="13"/>
      <c r="DQ721" s="12">
        <f>DQ538/DQ614</f>
        <v>263</v>
      </c>
      <c r="DR721" s="13"/>
      <c r="DS721" s="12">
        <f>DS538/DS614</f>
        <v>260.60000000000002</v>
      </c>
      <c r="DT721" s="13"/>
      <c r="DU721" s="12">
        <f>DU538/DU614</f>
        <v>254.9</v>
      </c>
      <c r="DV721" s="13"/>
      <c r="DW721" s="12">
        <f>DW538/DW614</f>
        <v>253.2</v>
      </c>
      <c r="DX721" s="13"/>
      <c r="DY721" s="12">
        <f>DY538/DY614</f>
        <v>248.85993485342021</v>
      </c>
      <c r="DZ721" s="13"/>
      <c r="EA721" s="12">
        <f>EA538/EA614</f>
        <v>245.01197126895454</v>
      </c>
      <c r="EB721" s="13"/>
      <c r="EC721" s="12">
        <f>EC538/EC614</f>
        <v>239.87138263665597</v>
      </c>
      <c r="ED721" s="13"/>
      <c r="EE721" s="12">
        <f>EE538/EE614</f>
        <v>233.58050847457628</v>
      </c>
      <c r="EF721" s="13"/>
      <c r="EG721" s="12">
        <f>EG538/EG614</f>
        <v>230.94297007340487</v>
      </c>
      <c r="EH721" s="13"/>
      <c r="EI721" s="12">
        <f>EI538/EI614</f>
        <v>230.08849557522123</v>
      </c>
      <c r="EJ721" s="13"/>
      <c r="EK721" s="12">
        <f t="shared" ref="EK721:EM721" si="4344">EK538/EK614</f>
        <v>227.10027100271003</v>
      </c>
      <c r="EL721" s="13"/>
      <c r="EM721" s="12">
        <f t="shared" si="4344"/>
        <v>223.86587771203156</v>
      </c>
      <c r="EN721" s="13"/>
      <c r="EO721" s="12">
        <f t="shared" ref="EO721" si="4345">EO538/EO614</f>
        <v>221.88603126575893</v>
      </c>
      <c r="EP721" s="13"/>
      <c r="EQ721" s="12">
        <f t="shared" ref="EQ721:EW721" si="4346">EQ538/EQ614</f>
        <v>221.3</v>
      </c>
      <c r="ER721" s="13"/>
      <c r="ES721" s="12">
        <f t="shared" si="4346"/>
        <v>221.3</v>
      </c>
      <c r="ET721" s="13"/>
      <c r="EU721" s="12">
        <f t="shared" si="4346"/>
        <v>220.80731694359022</v>
      </c>
      <c r="EV721" s="13"/>
      <c r="EW721" s="12">
        <f t="shared" si="4346"/>
        <v>219.83163221876848</v>
      </c>
      <c r="EX721" s="13"/>
      <c r="EY721" s="56"/>
      <c r="EZ721" s="558"/>
      <c r="FA721" s="56"/>
      <c r="FB721" s="12"/>
      <c r="FC721" s="13"/>
      <c r="FD721" s="12"/>
      <c r="FE721" s="13"/>
      <c r="FF721" s="12"/>
      <c r="FG721" s="13"/>
      <c r="FH721" s="12"/>
      <c r="FI721" s="13"/>
      <c r="FJ721" s="12"/>
      <c r="FK721" s="13"/>
      <c r="FL721" s="12"/>
      <c r="FM721" s="13"/>
      <c r="FN721" s="12"/>
      <c r="FO721" s="13"/>
      <c r="FP721" s="12"/>
      <c r="FQ721" s="13"/>
      <c r="FR721" s="12"/>
      <c r="FS721" s="13"/>
      <c r="FT721" s="12">
        <f>FT538/FT614</f>
        <v>273.95</v>
      </c>
      <c r="FU721" s="13"/>
      <c r="FV721" s="12">
        <f>FV538/FV614</f>
        <v>259.41125</v>
      </c>
      <c r="FW721" s="13"/>
      <c r="FX721" s="12">
        <f>FX538/FX614</f>
        <v>296.28856109882133</v>
      </c>
      <c r="FY721" s="13"/>
      <c r="FZ721" s="12">
        <f>FZ538/FZ614</f>
        <v>330.96441873250706</v>
      </c>
      <c r="GA721" s="13"/>
      <c r="GB721" s="12">
        <f>GB538/GB614</f>
        <v>315</v>
      </c>
      <c r="GC721" s="13"/>
      <c r="GD721" s="12">
        <f>GD538/GD614</f>
        <v>287.60000000000002</v>
      </c>
      <c r="GE721" s="13"/>
      <c r="GF721" s="12">
        <f>GF538/GF614</f>
        <v>275.2</v>
      </c>
      <c r="GG721" s="13"/>
      <c r="GH721" s="12">
        <f>GH538/GH614</f>
        <v>268</v>
      </c>
      <c r="GI721" s="13"/>
      <c r="GJ721" s="12">
        <f>GJ538/GJ614</f>
        <v>254.4</v>
      </c>
      <c r="GK721" s="13"/>
      <c r="GL721" s="12">
        <f>GL538/GL614</f>
        <v>237.375</v>
      </c>
      <c r="GM721" s="13"/>
      <c r="GN721" s="12">
        <f>GN538/GN614</f>
        <v>225.76249999999999</v>
      </c>
      <c r="GO721" s="13"/>
      <c r="GP721" s="12">
        <f>GP538/GP614</f>
        <v>220.80973729058968</v>
      </c>
      <c r="GQ721" s="13"/>
      <c r="GR721" s="12">
        <f>GR538/GR614</f>
        <v>217.02037471840566</v>
      </c>
      <c r="GS721" s="13"/>
      <c r="GT721" s="12">
        <f>GT538/GT614</f>
        <v>212.37609765889641</v>
      </c>
      <c r="GU721" s="13"/>
      <c r="GV721" s="12">
        <f>GV538/GV614</f>
        <v>206.96280534855109</v>
      </c>
      <c r="GW721" s="13"/>
      <c r="GX721" s="12">
        <f>GX538/GX614</f>
        <v>201.47313616672798</v>
      </c>
      <c r="GY721" s="13"/>
      <c r="GZ721" s="13"/>
      <c r="HA721" s="13"/>
      <c r="HB721" s="452"/>
      <c r="HC721"/>
      <c r="HD721"/>
      <c r="HE721"/>
      <c r="HF721"/>
      <c r="HG721"/>
      <c r="HH721"/>
    </row>
    <row r="722" spans="1:216" s="5" customFormat="1" ht="12.75" hidden="1" customHeight="1" outlineLevel="1" x14ac:dyDescent="0.2">
      <c r="A722" s="11"/>
      <c r="B722" s="7" t="str">
        <f>B610</f>
        <v>Outstanding Shares (EOP)-Assuming Pref Conversion</v>
      </c>
      <c r="C722" s="12"/>
      <c r="D722" s="13"/>
      <c r="E722" s="12"/>
      <c r="F722" s="13"/>
      <c r="G722" s="12"/>
      <c r="H722" s="13"/>
      <c r="I722" s="12"/>
      <c r="J722" s="13"/>
      <c r="K722" s="12"/>
      <c r="L722" s="13"/>
      <c r="M722" s="12"/>
      <c r="N722" s="13"/>
      <c r="O722" s="12"/>
      <c r="P722" s="13"/>
      <c r="Q722" s="12"/>
      <c r="R722" s="13"/>
      <c r="S722" s="12"/>
      <c r="T722" s="13"/>
      <c r="U722" s="12"/>
      <c r="V722" s="13"/>
      <c r="W722" s="12"/>
      <c r="X722" s="13"/>
      <c r="Y722" s="12"/>
      <c r="Z722" s="13"/>
      <c r="AA722" s="12"/>
      <c r="AB722" s="13"/>
      <c r="AC722" s="12"/>
      <c r="AD722" s="13"/>
      <c r="AE722" s="12"/>
      <c r="AF722" s="13"/>
      <c r="AG722" s="12"/>
      <c r="AH722" s="13"/>
      <c r="AI722" s="12"/>
      <c r="AJ722" s="13"/>
      <c r="AK722" s="12"/>
      <c r="AL722" s="13"/>
      <c r="AM722" s="12"/>
      <c r="AN722" s="13"/>
      <c r="AO722" s="12"/>
      <c r="AP722" s="13"/>
      <c r="AQ722" s="12"/>
      <c r="AR722" s="13"/>
      <c r="AS722" s="12"/>
      <c r="AT722" s="13"/>
      <c r="AU722" s="12"/>
      <c r="AV722" s="13"/>
      <c r="AW722" s="12"/>
      <c r="AX722" s="13"/>
      <c r="AY722" s="12">
        <f>AVERAGE(AW610,AY610)</f>
        <v>175.0699735</v>
      </c>
      <c r="AZ722" s="13"/>
      <c r="BA722" s="12">
        <f>AVERAGE(AY610,BA610)</f>
        <v>228.9465615</v>
      </c>
      <c r="BB722" s="13"/>
      <c r="BC722" s="12">
        <f>AVERAGE(BA610,BC610)</f>
        <v>279.67055449999998</v>
      </c>
      <c r="BD722" s="13"/>
      <c r="BE722" s="12">
        <f>AVERAGE(BC610,BE610)</f>
        <v>276.78580750000003</v>
      </c>
      <c r="BF722" s="13"/>
      <c r="BG722" s="12">
        <f>AVERAGE(BE610,BG610)</f>
        <v>273.45</v>
      </c>
      <c r="BH722" s="13"/>
      <c r="BI722" s="12">
        <f>AVERAGE(BG610,BI610)</f>
        <v>271.26969450000001</v>
      </c>
      <c r="BJ722" s="13"/>
      <c r="BK722" s="12">
        <f>AVERAGE(BI610,BK610)</f>
        <v>270.51969450000001</v>
      </c>
      <c r="BL722" s="13"/>
      <c r="BM722" s="12">
        <f>AVERAGE(BK610,BM610)</f>
        <v>266.89999999999998</v>
      </c>
      <c r="BN722" s="13"/>
      <c r="BO722" s="12">
        <f>AVERAGE(BM610,BO610)</f>
        <v>261.89999999999998</v>
      </c>
      <c r="BP722" s="13"/>
      <c r="BQ722" s="12">
        <f>AVERAGE(BO610,BQ610)</f>
        <v>258.2</v>
      </c>
      <c r="BR722" s="13"/>
      <c r="BS722" s="12">
        <f>AVERAGE(BQ610,BS610)</f>
        <v>256.5</v>
      </c>
      <c r="BT722" s="13"/>
      <c r="BU722" s="12">
        <f>AVERAGE(BS610,BU610)</f>
        <v>256.05</v>
      </c>
      <c r="BV722" s="13"/>
      <c r="BW722" s="12">
        <f>AVERAGE(BU610,BW610)</f>
        <v>256.125</v>
      </c>
      <c r="BX722" s="13"/>
      <c r="BY722" s="12">
        <f>AVERAGE(BW610,BY610)</f>
        <v>279.22500000000002</v>
      </c>
      <c r="BZ722" s="13"/>
      <c r="CA722" s="12">
        <f>AVERAGE(BY610,CA610)</f>
        <v>302.3</v>
      </c>
      <c r="CB722" s="13"/>
      <c r="CC722" s="12">
        <f>AVERAGE(CA610,CC610)</f>
        <v>302.35000000000002</v>
      </c>
      <c r="CD722" s="13"/>
      <c r="CE722" s="12">
        <f>AVERAGE(CC610,CE610)</f>
        <v>302.5</v>
      </c>
      <c r="CF722" s="13"/>
      <c r="CG722" s="12">
        <f>AVERAGE(CE610,CG610)</f>
        <v>309.70000000000005</v>
      </c>
      <c r="CH722" s="13"/>
      <c r="CI722" s="12">
        <f>AVERAGE(CG610,CI610)</f>
        <v>316.85000000000002</v>
      </c>
      <c r="CJ722" s="13"/>
      <c r="CK722" s="12">
        <f>AVERAGE(CI610,CK610)</f>
        <v>316.39999999999998</v>
      </c>
      <c r="CL722" s="13"/>
      <c r="CM722" s="12">
        <f>AVERAGE(CK610,CM610)</f>
        <v>314.75</v>
      </c>
      <c r="CN722" s="13"/>
      <c r="CO722" s="12">
        <f>AVERAGE(CM610,CO610)</f>
        <v>311.05</v>
      </c>
      <c r="CP722" s="13"/>
      <c r="CQ722" s="12">
        <f>AVERAGE(CO610,CQ610)</f>
        <v>305.14999999999998</v>
      </c>
      <c r="CR722" s="13"/>
      <c r="CS722" s="12">
        <f>AVERAGE(CQ610,CS610)</f>
        <v>296.64999999999998</v>
      </c>
      <c r="CT722" s="13"/>
      <c r="CU722" s="12">
        <f>AVERAGE(CS610,CU610)</f>
        <v>288.55</v>
      </c>
      <c r="CV722" s="13"/>
      <c r="CW722" s="12">
        <f>AVERAGE(CU610,CW610)</f>
        <v>282.45000000000005</v>
      </c>
      <c r="CX722" s="13"/>
      <c r="CY722" s="12">
        <f>AVERAGE(CW610,CY610)</f>
        <v>277.25</v>
      </c>
      <c r="CZ722" s="13"/>
      <c r="DA722" s="12">
        <f>AVERAGE(CY610,DA610)</f>
        <v>273.39999999999998</v>
      </c>
      <c r="DB722" s="13"/>
      <c r="DC722" s="12">
        <f>AVERAGE(DA610,DC610)</f>
        <v>270.10000000000002</v>
      </c>
      <c r="DD722" s="13"/>
      <c r="DE722" s="12">
        <f>AVERAGE(DC610,DE610)</f>
        <v>266.5</v>
      </c>
      <c r="DF722" s="13"/>
      <c r="DG722" s="12">
        <f>AVERAGE(DE610,DG610)</f>
        <v>263.35000000000002</v>
      </c>
      <c r="DH722" s="13"/>
      <c r="DI722" s="12">
        <f>AVERAGE(DG610,DI610)</f>
        <v>262.60000000000002</v>
      </c>
      <c r="DJ722" s="13"/>
      <c r="DK722" s="12">
        <f>AVERAGE(DI610,DK610)</f>
        <v>263.29999999999995</v>
      </c>
      <c r="DL722" s="13"/>
      <c r="DM722" s="12">
        <f>AVERAGE(DK610,DM610)</f>
        <v>262.25</v>
      </c>
      <c r="DN722" s="13"/>
      <c r="DO722" s="12">
        <f>AVERAGE(DM610,DO610)</f>
        <v>260.3</v>
      </c>
      <c r="DP722" s="13"/>
      <c r="DQ722" s="12">
        <f>AVERAGE(DO610,DQ610)</f>
        <v>258.20000000000005</v>
      </c>
      <c r="DR722" s="13"/>
      <c r="DS722" s="12">
        <f>AVERAGE(DQ610,DS610)</f>
        <v>254.75</v>
      </c>
      <c r="DT722" s="13"/>
      <c r="DU722" s="12">
        <f>AVERAGE(DS610,DU610)</f>
        <v>251.9</v>
      </c>
      <c r="DV722" s="13"/>
      <c r="DW722" s="12">
        <f>AVERAGE(DU610,DW610)</f>
        <v>249.2</v>
      </c>
      <c r="DX722" s="13"/>
      <c r="DY722" s="12">
        <f>AVERAGE(DW610,DY610)</f>
        <v>245.65</v>
      </c>
      <c r="DZ722" s="13"/>
      <c r="EA722" s="12">
        <f>AVERAGE(DY610,EA610)</f>
        <v>241.4</v>
      </c>
      <c r="EB722" s="13"/>
      <c r="EC722" s="12">
        <f>AVERAGE(EA610,EC610)</f>
        <v>235.88499999999999</v>
      </c>
      <c r="ED722" s="13"/>
      <c r="EE722" s="12">
        <f>AVERAGE(EC610,EE610)</f>
        <v>230.63499999999999</v>
      </c>
      <c r="EF722" s="13"/>
      <c r="EG722" s="12">
        <f>AVERAGE(EE610,EG610)</f>
        <v>227.42000000000002</v>
      </c>
      <c r="EH722" s="13"/>
      <c r="EI722" s="12">
        <f>AVERAGE(EG610,EI610)</f>
        <v>225.61</v>
      </c>
      <c r="EJ722" s="13"/>
      <c r="EK722" s="12">
        <f t="shared" ref="EK722:EM722" si="4347">AVERAGE(EI610,EK610)</f>
        <v>223.55</v>
      </c>
      <c r="EL722" s="13"/>
      <c r="EM722" s="12">
        <f t="shared" si="4347"/>
        <v>220.88</v>
      </c>
      <c r="EN722" s="13"/>
      <c r="EO722" s="12">
        <f t="shared" ref="EO722" si="4348">AVERAGE(EM610,EO610)</f>
        <v>218.8</v>
      </c>
      <c r="EP722" s="13"/>
      <c r="EQ722" s="12">
        <f t="shared" ref="EQ722" si="4349">AVERAGE(EO610,EQ610)</f>
        <v>218.06</v>
      </c>
      <c r="ER722" s="13"/>
      <c r="ES722" s="12">
        <f t="shared" ref="ES722" si="4350">AVERAGE(EQ610,ES610)</f>
        <v>218.06</v>
      </c>
      <c r="ET722" s="13"/>
      <c r="EU722" s="12">
        <f t="shared" ref="EU722" si="4351">AVERAGE(ES610,EU610)</f>
        <v>217.56731694359021</v>
      </c>
      <c r="EV722" s="13"/>
      <c r="EW722" s="12">
        <f t="shared" ref="EW722" si="4352">AVERAGE(EU610,EW610)</f>
        <v>216.5916322187685</v>
      </c>
      <c r="EX722" s="13"/>
      <c r="EY722" s="56"/>
      <c r="EZ722" s="558"/>
      <c r="FA722" s="56"/>
      <c r="FB722" s="12"/>
      <c r="FC722" s="13"/>
      <c r="FD722" s="12"/>
      <c r="FE722" s="13"/>
      <c r="FF722" s="12"/>
      <c r="FG722" s="13"/>
      <c r="FH722" s="12"/>
      <c r="FI722" s="13"/>
      <c r="FJ722" s="12"/>
      <c r="FK722" s="13"/>
      <c r="FL722" s="12"/>
      <c r="FM722" s="13"/>
      <c r="FN722" s="12"/>
      <c r="FO722" s="13"/>
      <c r="FP722" s="12"/>
      <c r="FQ722" s="13"/>
      <c r="FR722" s="12"/>
      <c r="FS722" s="13"/>
      <c r="FT722" s="12">
        <f>AVERAGE(FR610,FT610)</f>
        <v>270.2</v>
      </c>
      <c r="FU722" s="13"/>
      <c r="FV722" s="12">
        <f>AVERAGE(FT610,FV610)</f>
        <v>260.25</v>
      </c>
      <c r="FW722" s="13"/>
      <c r="FX722" s="12">
        <f>AVERAGE(FV610,FX610)</f>
        <v>279.25</v>
      </c>
      <c r="FY722" s="13"/>
      <c r="FZ722" s="12">
        <f>AVERAGE(FX610,FZ610)</f>
        <v>309.14999999999998</v>
      </c>
      <c r="GA722" s="13"/>
      <c r="GB722" s="12">
        <f>AVERAGE(FZ610,GB610)</f>
        <v>303.7</v>
      </c>
      <c r="GC722" s="13"/>
      <c r="GD722" s="12">
        <f>AVERAGE(GB610,GD610)</f>
        <v>281.55</v>
      </c>
      <c r="GE722" s="13"/>
      <c r="GF722" s="12">
        <f>AVERAGE(GD610,GF610)</f>
        <v>267.25</v>
      </c>
      <c r="GG722" s="13"/>
      <c r="GH722" s="12">
        <f>AVERAGE(GF610,GH610)</f>
        <v>259.75</v>
      </c>
      <c r="GI722" s="13"/>
      <c r="GJ722" s="12">
        <f>AVERAGE(GH610,GJ610)</f>
        <v>250.20000000000002</v>
      </c>
      <c r="GK722" s="13"/>
      <c r="GL722" s="12">
        <f>AVERAGE(GJ610,GL610)</f>
        <v>235.07</v>
      </c>
      <c r="GM722" s="13"/>
      <c r="GN722" s="12">
        <f>AVERAGE(GL610,GN610)</f>
        <v>222.2</v>
      </c>
      <c r="GO722" s="13"/>
      <c r="GP722" s="12">
        <f>AVERAGE(GN610,GP610)</f>
        <v>217.08431527517828</v>
      </c>
      <c r="GQ722" s="13"/>
      <c r="GR722" s="12">
        <f>AVERAGE(GP610,GR610)</f>
        <v>214.01476161221939</v>
      </c>
      <c r="GS722" s="13"/>
      <c r="GT722" s="12">
        <f>AVERAGE(GR610,GT610)</f>
        <v>209.41198811482241</v>
      </c>
      <c r="GU722" s="13"/>
      <c r="GV722" s="12">
        <f>AVERAGE(GT610,GV610)</f>
        <v>204.03464882191577</v>
      </c>
      <c r="GW722" s="13"/>
      <c r="GX722" s="12">
        <f>AVERAGE(GV610,GX610)</f>
        <v>198.35556224063339</v>
      </c>
      <c r="GY722" s="13"/>
      <c r="GZ722" s="13"/>
      <c r="HA722" s="13"/>
      <c r="HB722" s="452"/>
      <c r="HC722"/>
      <c r="HD722"/>
      <c r="HE722"/>
      <c r="HF722"/>
      <c r="HG722"/>
      <c r="HH722"/>
    </row>
    <row r="723" spans="1:216" s="5" customFormat="1" ht="12.75" hidden="1" customHeight="1" outlineLevel="1" x14ac:dyDescent="0.2">
      <c r="A723" s="11"/>
      <c r="B723" s="7"/>
      <c r="C723" s="12"/>
      <c r="D723" s="13"/>
      <c r="E723" s="12"/>
      <c r="F723" s="13"/>
      <c r="G723" s="12"/>
      <c r="H723" s="13"/>
      <c r="I723" s="12"/>
      <c r="J723" s="13"/>
      <c r="K723" s="12"/>
      <c r="L723" s="13"/>
      <c r="M723" s="12"/>
      <c r="N723" s="13"/>
      <c r="O723" s="12"/>
      <c r="P723" s="13"/>
      <c r="Q723" s="12"/>
      <c r="R723" s="13"/>
      <c r="S723" s="12"/>
      <c r="T723" s="13"/>
      <c r="U723" s="12"/>
      <c r="V723" s="13"/>
      <c r="W723" s="12"/>
      <c r="X723" s="13"/>
      <c r="Y723" s="12"/>
      <c r="Z723" s="13"/>
      <c r="AA723" s="12"/>
      <c r="AB723" s="13"/>
      <c r="AC723" s="12"/>
      <c r="AD723" s="13"/>
      <c r="AE723" s="12"/>
      <c r="AF723" s="13"/>
      <c r="AG723" s="12"/>
      <c r="AH723" s="13"/>
      <c r="AI723" s="12"/>
      <c r="AJ723" s="13"/>
      <c r="AK723" s="12"/>
      <c r="AL723" s="13"/>
      <c r="AM723" s="12"/>
      <c r="AN723" s="13"/>
      <c r="AO723" s="12"/>
      <c r="AP723" s="13"/>
      <c r="AQ723" s="12"/>
      <c r="AR723" s="13"/>
      <c r="AS723" s="12"/>
      <c r="AT723" s="13"/>
      <c r="AU723" s="12"/>
      <c r="AV723" s="13"/>
      <c r="AW723" s="12"/>
      <c r="AX723" s="13"/>
      <c r="AY723" s="12"/>
      <c r="AZ723" s="13"/>
      <c r="BA723" s="12"/>
      <c r="BB723" s="13"/>
      <c r="BC723" s="12"/>
      <c r="BD723" s="13"/>
      <c r="BE723" s="12"/>
      <c r="BF723" s="13"/>
      <c r="BG723" s="12"/>
      <c r="BH723" s="13"/>
      <c r="BI723" s="12"/>
      <c r="BJ723" s="13"/>
      <c r="BK723" s="12"/>
      <c r="BL723" s="13"/>
      <c r="BM723" s="12"/>
      <c r="BN723" s="13"/>
      <c r="BO723" s="12"/>
      <c r="BP723" s="13"/>
      <c r="BQ723" s="12"/>
      <c r="BR723" s="13"/>
      <c r="BS723" s="12"/>
      <c r="BT723" s="13"/>
      <c r="BU723" s="12"/>
      <c r="BV723" s="13"/>
      <c r="BW723" s="12"/>
      <c r="BX723" s="13"/>
      <c r="BY723" s="12"/>
      <c r="BZ723" s="13"/>
      <c r="CA723" s="12"/>
      <c r="CB723" s="13"/>
      <c r="CC723" s="12"/>
      <c r="CD723" s="13"/>
      <c r="CE723" s="12"/>
      <c r="CF723" s="13"/>
      <c r="CG723" s="12"/>
      <c r="CH723" s="13"/>
      <c r="CI723" s="12"/>
      <c r="CJ723" s="13"/>
      <c r="CK723" s="12"/>
      <c r="CL723" s="13"/>
      <c r="CM723" s="12"/>
      <c r="CN723" s="13"/>
      <c r="CO723" s="12"/>
      <c r="CP723" s="13"/>
      <c r="CQ723" s="12"/>
      <c r="CR723" s="13"/>
      <c r="CS723" s="12"/>
      <c r="CT723" s="13"/>
      <c r="CU723" s="12"/>
      <c r="CV723" s="13"/>
      <c r="CW723" s="12"/>
      <c r="CX723" s="13"/>
      <c r="CY723" s="12"/>
      <c r="CZ723" s="13"/>
      <c r="DA723" s="12"/>
      <c r="DB723" s="13"/>
      <c r="DC723" s="12"/>
      <c r="DD723" s="13"/>
      <c r="DE723" s="12"/>
      <c r="DF723" s="13"/>
      <c r="DG723" s="12"/>
      <c r="DH723" s="13"/>
      <c r="DI723" s="12"/>
      <c r="DJ723" s="13"/>
      <c r="DK723" s="12"/>
      <c r="DL723" s="13"/>
      <c r="DM723" s="12"/>
      <c r="DN723" s="13"/>
      <c r="DO723" s="12"/>
      <c r="DP723" s="13"/>
      <c r="DQ723" s="12"/>
      <c r="DR723" s="13"/>
      <c r="DS723" s="12"/>
      <c r="DT723" s="13"/>
      <c r="DU723" s="12"/>
      <c r="DV723" s="13"/>
      <c r="DW723" s="12"/>
      <c r="DX723" s="13"/>
      <c r="DY723" s="12"/>
      <c r="DZ723" s="13"/>
      <c r="EA723" s="12"/>
      <c r="EB723" s="13"/>
      <c r="EC723" s="12"/>
      <c r="ED723" s="13"/>
      <c r="EE723" s="12"/>
      <c r="EF723" s="13"/>
      <c r="EG723" s="12"/>
      <c r="EH723" s="13"/>
      <c r="EI723" s="12"/>
      <c r="EJ723" s="13"/>
      <c r="EK723" s="12"/>
      <c r="EL723" s="13"/>
      <c r="EM723" s="12"/>
      <c r="EN723" s="13"/>
      <c r="EO723" s="12"/>
      <c r="EP723" s="13"/>
      <c r="EQ723" s="12"/>
      <c r="ER723" s="13"/>
      <c r="ES723" s="12"/>
      <c r="ET723" s="13"/>
      <c r="EU723" s="12"/>
      <c r="EV723" s="13"/>
      <c r="EW723" s="12"/>
      <c r="EX723" s="13"/>
      <c r="EY723" s="56"/>
      <c r="EZ723" s="558"/>
      <c r="FA723" s="56"/>
      <c r="FB723" s="12"/>
      <c r="FC723" s="13"/>
      <c r="FD723" s="12"/>
      <c r="FE723" s="13"/>
      <c r="FF723" s="12"/>
      <c r="FG723" s="13"/>
      <c r="FH723" s="12"/>
      <c r="FI723" s="13"/>
      <c r="FJ723" s="12"/>
      <c r="FK723" s="13"/>
      <c r="FL723" s="57"/>
      <c r="FM723" s="13"/>
      <c r="FN723" s="57"/>
      <c r="FO723" s="13"/>
      <c r="FP723" s="57"/>
      <c r="FQ723" s="13"/>
      <c r="FR723" s="57"/>
      <c r="FS723" s="13"/>
      <c r="FT723" s="57"/>
      <c r="FU723" s="13"/>
      <c r="FV723" s="57"/>
      <c r="FW723" s="13"/>
      <c r="FX723" s="57"/>
      <c r="FY723" s="13"/>
      <c r="FZ723" s="57"/>
      <c r="GA723" s="13"/>
      <c r="GB723" s="57"/>
      <c r="GC723" s="13"/>
      <c r="GD723" s="57"/>
      <c r="GE723" s="13"/>
      <c r="GF723" s="57"/>
      <c r="GG723" s="13"/>
      <c r="GH723" s="57"/>
      <c r="GI723" s="13"/>
      <c r="GJ723" s="57"/>
      <c r="GK723" s="13"/>
      <c r="GL723" s="57"/>
      <c r="GM723" s="13"/>
      <c r="GN723" s="57"/>
      <c r="GO723" s="13"/>
      <c r="GP723" s="57"/>
      <c r="GQ723" s="13"/>
      <c r="GR723" s="57"/>
      <c r="GS723" s="13"/>
      <c r="GT723" s="57"/>
      <c r="GU723" s="13"/>
      <c r="GV723" s="57"/>
      <c r="GW723" s="13"/>
      <c r="GX723" s="57"/>
      <c r="GY723" s="13"/>
      <c r="GZ723" s="13"/>
      <c r="HA723" s="13"/>
      <c r="HB723" s="452"/>
      <c r="HC723"/>
      <c r="HD723"/>
      <c r="HE723"/>
      <c r="HF723"/>
      <c r="HG723"/>
      <c r="HH723"/>
    </row>
    <row r="724" spans="1:216" s="5" customFormat="1" ht="12.75" hidden="1" customHeight="1" outlineLevel="1" x14ac:dyDescent="0.2">
      <c r="A724" s="7"/>
      <c r="B724" s="63" t="s">
        <v>74</v>
      </c>
      <c r="C724" s="12"/>
      <c r="D724" s="13"/>
      <c r="E724" s="12"/>
      <c r="F724" s="13"/>
      <c r="G724" s="12"/>
      <c r="H724" s="13"/>
      <c r="I724" s="12"/>
      <c r="J724" s="13"/>
      <c r="K724" s="12"/>
      <c r="L724" s="13"/>
      <c r="M724" s="12"/>
      <c r="N724" s="13"/>
      <c r="O724" s="12"/>
      <c r="P724" s="13"/>
      <c r="Q724" s="12"/>
      <c r="R724" s="13"/>
      <c r="S724" s="12"/>
      <c r="T724" s="13"/>
      <c r="U724" s="12"/>
      <c r="V724" s="13"/>
      <c r="W724" s="12"/>
      <c r="X724" s="13"/>
      <c r="Y724" s="12"/>
      <c r="Z724" s="13"/>
      <c r="AA724" s="12"/>
      <c r="AB724" s="13"/>
      <c r="AC724" s="12"/>
      <c r="AD724" s="13"/>
      <c r="AE724" s="12"/>
      <c r="AF724" s="13"/>
      <c r="AG724" s="12"/>
      <c r="AH724" s="13"/>
      <c r="AI724" s="12"/>
      <c r="AJ724" s="13"/>
      <c r="AK724" s="12"/>
      <c r="AL724" s="13"/>
      <c r="AM724" s="12"/>
      <c r="AN724" s="13"/>
      <c r="AO724" s="12"/>
      <c r="AP724" s="13"/>
      <c r="AQ724" s="11"/>
      <c r="AR724" s="13"/>
      <c r="AS724" s="12"/>
      <c r="AT724" s="13"/>
      <c r="AU724" s="12"/>
      <c r="AV724" s="13"/>
      <c r="AW724" s="12"/>
      <c r="AX724" s="13"/>
      <c r="AY724" s="12"/>
      <c r="AZ724" s="13"/>
      <c r="BA724" s="12"/>
      <c r="BB724" s="13"/>
      <c r="BC724" s="12"/>
      <c r="BD724" s="13"/>
      <c r="BE724" s="12"/>
      <c r="BF724" s="13"/>
      <c r="BG724" s="12"/>
      <c r="BH724" s="13"/>
      <c r="BI724" s="12"/>
      <c r="BJ724" s="13"/>
      <c r="BK724" s="12"/>
      <c r="BL724" s="13"/>
      <c r="BM724" s="12"/>
      <c r="BN724" s="13"/>
      <c r="BO724" s="12"/>
      <c r="BP724" s="13"/>
      <c r="BQ724" s="12"/>
      <c r="BR724" s="13"/>
      <c r="BS724" s="12"/>
      <c r="BT724" s="13"/>
      <c r="BU724" s="12"/>
      <c r="BV724" s="13"/>
      <c r="BW724" s="12"/>
      <c r="BX724" s="13"/>
      <c r="BY724" s="12"/>
      <c r="BZ724" s="13"/>
      <c r="CA724" s="12"/>
      <c r="CB724" s="13"/>
      <c r="CC724" s="12"/>
      <c r="CD724" s="13"/>
      <c r="CE724" s="12"/>
      <c r="CF724" s="13"/>
      <c r="CG724" s="12"/>
      <c r="CH724" s="13"/>
      <c r="CI724" s="12"/>
      <c r="CJ724" s="13"/>
      <c r="CK724" s="12"/>
      <c r="CL724" s="13"/>
      <c r="CM724" s="12"/>
      <c r="CN724" s="13"/>
      <c r="CO724" s="12"/>
      <c r="CP724" s="13"/>
      <c r="CQ724" s="12"/>
      <c r="CR724" s="13"/>
      <c r="CS724" s="12"/>
      <c r="CT724" s="13"/>
      <c r="CU724" s="12"/>
      <c r="CV724" s="13"/>
      <c r="CW724" s="12"/>
      <c r="CX724" s="13"/>
      <c r="CY724" s="12"/>
      <c r="CZ724" s="13"/>
      <c r="DA724" s="12"/>
      <c r="DB724" s="13"/>
      <c r="DC724" s="12"/>
      <c r="DD724" s="13"/>
      <c r="DE724" s="12"/>
      <c r="DF724" s="13"/>
      <c r="DG724" s="12"/>
      <c r="DH724" s="13"/>
      <c r="DI724" s="12"/>
      <c r="DJ724" s="13"/>
      <c r="DK724" s="12"/>
      <c r="DL724" s="13"/>
      <c r="DM724" s="12"/>
      <c r="DN724" s="13"/>
      <c r="DO724" s="12"/>
      <c r="DP724" s="13"/>
      <c r="DQ724" s="12"/>
      <c r="DR724" s="13"/>
      <c r="DS724" s="12"/>
      <c r="DT724" s="13"/>
      <c r="DU724" s="12"/>
      <c r="DV724" s="13"/>
      <c r="DW724" s="12"/>
      <c r="DX724" s="13"/>
      <c r="DY724" s="12"/>
      <c r="DZ724" s="13"/>
      <c r="EA724" s="12"/>
      <c r="EB724" s="13"/>
      <c r="EC724" s="12"/>
      <c r="ED724" s="13"/>
      <c r="EE724" s="12"/>
      <c r="EF724" s="13"/>
      <c r="EG724" s="12"/>
      <c r="EH724" s="13"/>
      <c r="EI724" s="12"/>
      <c r="EJ724" s="13"/>
      <c r="EK724" s="12"/>
      <c r="EL724" s="13"/>
      <c r="EM724" s="12"/>
      <c r="EN724" s="13"/>
      <c r="EO724" s="12"/>
      <c r="EP724" s="13"/>
      <c r="EQ724" s="12"/>
      <c r="ER724" s="13"/>
      <c r="ES724" s="12"/>
      <c r="ET724" s="13"/>
      <c r="EU724" s="12"/>
      <c r="EV724" s="13"/>
      <c r="EW724" s="12"/>
      <c r="EX724" s="13"/>
      <c r="EY724" s="56"/>
      <c r="EZ724" s="558"/>
      <c r="FA724" s="56"/>
      <c r="FB724" s="12"/>
      <c r="FC724" s="13"/>
      <c r="FD724" s="12"/>
      <c r="FE724" s="13"/>
      <c r="FF724" s="12"/>
      <c r="FG724" s="13"/>
      <c r="FH724" s="12"/>
      <c r="FI724" s="13"/>
      <c r="FJ724" s="12"/>
      <c r="FK724" s="13"/>
      <c r="FL724" s="57"/>
      <c r="FM724" s="13"/>
      <c r="FN724" s="57"/>
      <c r="FO724" s="13"/>
      <c r="FP724" s="57"/>
      <c r="FQ724" s="13"/>
      <c r="FR724" s="57"/>
      <c r="FS724" s="13"/>
      <c r="FT724" s="57"/>
      <c r="FU724" s="13"/>
      <c r="FV724" s="57"/>
      <c r="FW724" s="13"/>
      <c r="FX724" s="57"/>
      <c r="FY724" s="13"/>
      <c r="FZ724" s="57"/>
      <c r="GA724" s="13"/>
      <c r="GB724" s="57"/>
      <c r="GC724" s="13"/>
      <c r="GD724" s="57"/>
      <c r="GE724" s="13"/>
      <c r="GF724" s="57"/>
      <c r="GG724" s="13"/>
      <c r="GH724" s="57"/>
      <c r="GI724" s="13"/>
      <c r="GJ724" s="57"/>
      <c r="GK724" s="13"/>
      <c r="GL724" s="57"/>
      <c r="GM724" s="13"/>
      <c r="GN724" s="57"/>
      <c r="GO724" s="13"/>
      <c r="GP724" s="57"/>
      <c r="GQ724" s="13"/>
      <c r="GR724" s="57"/>
      <c r="GS724" s="13"/>
      <c r="GT724" s="57"/>
      <c r="GU724" s="13"/>
      <c r="GV724" s="57"/>
      <c r="GW724" s="13"/>
      <c r="GX724" s="57"/>
      <c r="GY724" s="13"/>
      <c r="GZ724" s="13"/>
      <c r="HA724" s="13"/>
      <c r="HB724" s="452"/>
      <c r="HC724"/>
      <c r="HD724"/>
      <c r="HE724"/>
      <c r="HF724"/>
      <c r="HG724"/>
      <c r="HH724"/>
    </row>
    <row r="725" spans="1:216" s="5" customFormat="1" ht="12.75" hidden="1" customHeight="1" outlineLevel="1" x14ac:dyDescent="0.2">
      <c r="A725" s="11" t="s">
        <v>203</v>
      </c>
      <c r="B725" s="2" t="s">
        <v>544</v>
      </c>
      <c r="C725" s="12"/>
      <c r="D725" s="13"/>
      <c r="E725" s="12"/>
      <c r="F725" s="13"/>
      <c r="G725" s="12"/>
      <c r="H725" s="13"/>
      <c r="I725" s="12"/>
      <c r="J725" s="13"/>
      <c r="K725" s="12"/>
      <c r="L725" s="13"/>
      <c r="M725" s="12"/>
      <c r="N725" s="13"/>
      <c r="O725" s="12"/>
      <c r="P725" s="13"/>
      <c r="Q725" s="12"/>
      <c r="R725" s="13"/>
      <c r="S725" s="12"/>
      <c r="T725" s="13"/>
      <c r="U725" s="12"/>
      <c r="V725" s="13"/>
      <c r="W725" s="12"/>
      <c r="X725" s="13"/>
      <c r="Y725" s="12"/>
      <c r="Z725" s="13"/>
      <c r="AA725" s="12"/>
      <c r="AB725" s="13"/>
      <c r="AC725" s="12"/>
      <c r="AD725" s="13"/>
      <c r="AE725" s="12"/>
      <c r="AF725" s="13"/>
      <c r="AG725" s="12"/>
      <c r="AH725" s="13"/>
      <c r="AI725" s="12"/>
      <c r="AJ725" s="13"/>
      <c r="AK725" s="12"/>
      <c r="AL725" s="13"/>
      <c r="AM725" s="12"/>
      <c r="AN725" s="13"/>
      <c r="AO725" s="12"/>
      <c r="AP725" s="13"/>
      <c r="AQ725" s="12"/>
      <c r="AR725" s="13"/>
      <c r="AS725" s="12"/>
      <c r="AT725" s="13"/>
      <c r="AU725" s="12"/>
      <c r="AV725" s="13"/>
      <c r="AW725" s="12"/>
      <c r="AX725" s="13"/>
      <c r="AY725" s="12"/>
      <c r="AZ725" s="13"/>
      <c r="BA725" s="12"/>
      <c r="BB725" s="13"/>
      <c r="BC725" s="12"/>
      <c r="BD725" s="13"/>
      <c r="BE725" s="12"/>
      <c r="BF725" s="13"/>
      <c r="BG725" s="12">
        <f>BG276</f>
        <v>235.57692307692318</v>
      </c>
      <c r="BH725" s="13"/>
      <c r="BI725" s="12">
        <f>BI276</f>
        <v>244.88461538461539</v>
      </c>
      <c r="BJ725" s="13"/>
      <c r="BK725" s="12">
        <f>BK276</f>
        <v>244.98461538461541</v>
      </c>
      <c r="BL725" s="13"/>
      <c r="BM725" s="12">
        <f>BM276</f>
        <v>264.553846153846</v>
      </c>
      <c r="BN725" s="13"/>
      <c r="BO725" s="12">
        <f>BO276</f>
        <v>252.34615384615395</v>
      </c>
      <c r="BP725" s="13"/>
      <c r="BQ725" s="12">
        <f>BQ276</f>
        <v>247.20000000000005</v>
      </c>
      <c r="BR725" s="13"/>
      <c r="BS725" s="12">
        <f>BS276</f>
        <v>248.05384615384625</v>
      </c>
      <c r="BT725" s="13"/>
      <c r="BU725" s="12">
        <f>BU276</f>
        <v>198.96153846153845</v>
      </c>
      <c r="BV725" s="13"/>
      <c r="BW725" s="12">
        <f>BW276</f>
        <v>193.70000000000005</v>
      </c>
      <c r="BX725" s="13"/>
      <c r="BY725" s="12">
        <f>BY276</f>
        <v>196.70000000000005</v>
      </c>
      <c r="BZ725" s="13"/>
      <c r="CA725" s="12">
        <f>CA276</f>
        <v>200.83076923076914</v>
      </c>
      <c r="CB725" s="13"/>
      <c r="CC725" s="12">
        <f>CC276</f>
        <v>232.10000000000014</v>
      </c>
      <c r="CD725" s="13"/>
      <c r="CE725" s="12">
        <f>CE276</f>
        <v>223.73846153846159</v>
      </c>
      <c r="CF725" s="13"/>
      <c r="CG725" s="12">
        <f>CG276</f>
        <v>221.70000000000005</v>
      </c>
      <c r="CH725" s="13"/>
      <c r="CI725" s="12">
        <f>CI276</f>
        <v>221.3384615384615</v>
      </c>
      <c r="CJ725" s="13"/>
      <c r="CK725" s="12">
        <f>CK276</f>
        <v>230.6153846153845</v>
      </c>
      <c r="CL725" s="13"/>
      <c r="CM725" s="550">
        <f>CM276</f>
        <v>188.46153846153845</v>
      </c>
      <c r="CN725" s="13"/>
      <c r="CO725" s="550">
        <f>CO276</f>
        <v>199.96153846153845</v>
      </c>
      <c r="CP725" s="13"/>
      <c r="CQ725" s="550">
        <f>CQ276</f>
        <v>236.12307692307687</v>
      </c>
      <c r="CR725" s="13"/>
      <c r="CS725" s="550">
        <f>CS276</f>
        <v>197.84615384615384</v>
      </c>
      <c r="CT725" s="13"/>
      <c r="CU725" s="550">
        <f>CU276</f>
        <v>207</v>
      </c>
      <c r="CV725" s="13"/>
      <c r="CW725" s="550">
        <f>CW276</f>
        <v>191.76923076923077</v>
      </c>
      <c r="CX725" s="13"/>
      <c r="CY725" s="550">
        <f>CY276</f>
        <v>189.84615384615384</v>
      </c>
      <c r="CZ725" s="13"/>
      <c r="DA725" s="550">
        <f>DA276</f>
        <v>199.15384615384616</v>
      </c>
      <c r="DB725" s="13"/>
      <c r="DC725" s="550">
        <f>DC276</f>
        <v>178.5353846153846</v>
      </c>
      <c r="DD725" s="13"/>
      <c r="DE725" s="550">
        <f>DE276</f>
        <v>193.30769230769232</v>
      </c>
      <c r="DF725" s="13"/>
      <c r="DG725" s="550">
        <f>DG276</f>
        <v>186.92307692307693</v>
      </c>
      <c r="DH725" s="13"/>
      <c r="DI725" s="550">
        <f>DI276</f>
        <v>217.07692307692307</v>
      </c>
      <c r="DJ725" s="13"/>
      <c r="DK725" s="550">
        <f>DK276</f>
        <v>178</v>
      </c>
      <c r="DL725" s="13"/>
      <c r="DM725" s="550">
        <f>DM276</f>
        <v>215.30769230769232</v>
      </c>
      <c r="DN725" s="13"/>
      <c r="DO725" s="550">
        <f>DO276</f>
        <v>226</v>
      </c>
      <c r="DP725" s="13"/>
      <c r="DQ725" s="550">
        <f>DQ276</f>
        <v>198.46153846153845</v>
      </c>
      <c r="DR725" s="13"/>
      <c r="DS725" s="550">
        <f>DS276</f>
        <v>156</v>
      </c>
      <c r="DT725" s="13"/>
      <c r="DU725" s="550">
        <f>DU276</f>
        <v>152</v>
      </c>
      <c r="DV725" s="13"/>
      <c r="DW725" s="550">
        <f>DW276</f>
        <v>226</v>
      </c>
      <c r="DX725" s="13"/>
      <c r="DY725" s="550">
        <f>DY276</f>
        <v>175</v>
      </c>
      <c r="DZ725" s="13"/>
      <c r="EA725" s="550">
        <f>EA276</f>
        <v>175.30769230769232</v>
      </c>
      <c r="EB725" s="13"/>
      <c r="EC725" s="550">
        <f>EC276</f>
        <v>175</v>
      </c>
      <c r="ED725" s="13"/>
      <c r="EE725" s="550">
        <f>EE276</f>
        <v>200.61538461538461</v>
      </c>
      <c r="EF725" s="13"/>
      <c r="EG725" s="550">
        <f>EG276</f>
        <v>228</v>
      </c>
      <c r="EH725" s="13"/>
      <c r="EI725" s="550">
        <f>EI276</f>
        <v>185.46153846153845</v>
      </c>
      <c r="EJ725" s="13"/>
      <c r="EK725" s="550">
        <f t="shared" ref="EK725:EM725" si="4353">EK276</f>
        <v>194</v>
      </c>
      <c r="EL725" s="13"/>
      <c r="EM725" s="550">
        <f t="shared" si="4353"/>
        <v>199.61538461538461</v>
      </c>
      <c r="EN725" s="13"/>
      <c r="EO725" s="550">
        <f t="shared" ref="EO725" si="4354">EO276</f>
        <v>223</v>
      </c>
      <c r="EP725" s="13"/>
      <c r="EQ725" s="550">
        <f t="shared" ref="EQ725:EW725" si="4355">EQ276</f>
        <v>179.57095514803746</v>
      </c>
      <c r="ER725" s="13"/>
      <c r="ES725" s="550">
        <f t="shared" si="4355"/>
        <v>200.01551996690796</v>
      </c>
      <c r="ET725" s="13"/>
      <c r="EU725" s="550">
        <f t="shared" si="4355"/>
        <v>199.90495128604789</v>
      </c>
      <c r="EV725" s="13"/>
      <c r="EW725" s="550">
        <f t="shared" si="4355"/>
        <v>209.89046835143449</v>
      </c>
      <c r="EX725" s="13"/>
      <c r="EY725" s="56"/>
      <c r="EZ725" s="558"/>
      <c r="FA725" s="56"/>
      <c r="FB725" s="12"/>
      <c r="FC725" s="13"/>
      <c r="FD725" s="12"/>
      <c r="FE725" s="13"/>
      <c r="FF725" s="12"/>
      <c r="FG725" s="13"/>
      <c r="FH725" s="12"/>
      <c r="FI725" s="13"/>
      <c r="FJ725" s="12"/>
      <c r="FK725" s="13"/>
      <c r="FL725" s="57"/>
      <c r="FM725" s="13"/>
      <c r="FN725" s="12">
        <f>FN276</f>
        <v>381</v>
      </c>
      <c r="FO725" s="13"/>
      <c r="FP725" s="12">
        <f>FP276</f>
        <v>383.12307692307672</v>
      </c>
      <c r="FQ725" s="13"/>
      <c r="FR725" s="12">
        <f>FR276</f>
        <v>750.95384615384592</v>
      </c>
      <c r="FS725" s="13"/>
      <c r="FT725" s="12">
        <f>FT276</f>
        <v>990</v>
      </c>
      <c r="FU725" s="13"/>
      <c r="FV725" s="12">
        <f>FV276</f>
        <v>946.56153846153836</v>
      </c>
      <c r="FW725" s="13"/>
      <c r="FX725" s="12">
        <f>FX276</f>
        <v>823.33076923076919</v>
      </c>
      <c r="FY725" s="13"/>
      <c r="FZ725" s="12">
        <f>FZ276</f>
        <v>897.39230769230653</v>
      </c>
      <c r="GA725" s="13"/>
      <c r="GB725" s="550">
        <f>GB276</f>
        <v>822.39230769230755</v>
      </c>
      <c r="GC725" s="13"/>
      <c r="GD725" s="550">
        <f>GD276</f>
        <v>787.76923076923072</v>
      </c>
      <c r="GE725" s="13"/>
      <c r="GF725" s="550">
        <f>GF276</f>
        <v>775.84307692307698</v>
      </c>
      <c r="GG725" s="13"/>
      <c r="GH725" s="550">
        <f>GH276</f>
        <v>817.76923076923072</v>
      </c>
      <c r="GI725" s="13"/>
      <c r="GJ725" s="550">
        <f>GJ276</f>
        <v>709</v>
      </c>
      <c r="GK725" s="13"/>
      <c r="GL725" s="550">
        <f>GL276</f>
        <v>778.92307692307691</v>
      </c>
      <c r="GM725" s="13"/>
      <c r="GN725" s="550">
        <f>GN276</f>
        <v>802.07692307692309</v>
      </c>
      <c r="GO725" s="13"/>
      <c r="GP725" s="550">
        <f>GP276</f>
        <v>789.38189475242689</v>
      </c>
      <c r="GQ725" s="13"/>
      <c r="GR725" s="550">
        <f>GR276</f>
        <v>798.64408249213284</v>
      </c>
      <c r="GS725" s="13"/>
      <c r="GT725" s="550">
        <f>GT276</f>
        <v>819.37998574689209</v>
      </c>
      <c r="GU725" s="13"/>
      <c r="GV725" s="550">
        <f>GV276</f>
        <v>846.29441379536001</v>
      </c>
      <c r="GW725" s="13"/>
      <c r="GX725" s="550">
        <f>GX276</f>
        <v>874.03237430628997</v>
      </c>
      <c r="GY725" s="13"/>
      <c r="GZ725" s="13"/>
      <c r="HA725" s="13"/>
      <c r="HB725" s="452"/>
      <c r="HC725"/>
      <c r="HD725"/>
      <c r="HE725"/>
      <c r="HF725"/>
      <c r="HG725"/>
      <c r="HH725"/>
    </row>
    <row r="726" spans="1:216" s="5" customFormat="1" ht="12.75" hidden="1" customHeight="1" outlineLevel="1" x14ac:dyDescent="0.2">
      <c r="A726" s="11" t="s">
        <v>204</v>
      </c>
      <c r="B726" s="2" t="s">
        <v>545</v>
      </c>
      <c r="C726" s="12"/>
      <c r="D726" s="13"/>
      <c r="E726" s="12"/>
      <c r="F726" s="13"/>
      <c r="G726" s="12"/>
      <c r="H726" s="13"/>
      <c r="I726" s="12"/>
      <c r="J726" s="13"/>
      <c r="K726" s="12"/>
      <c r="L726" s="13"/>
      <c r="M726" s="12"/>
      <c r="N726" s="13"/>
      <c r="O726" s="12"/>
      <c r="P726" s="13"/>
      <c r="Q726" s="12"/>
      <c r="R726" s="13"/>
      <c r="S726" s="12"/>
      <c r="T726" s="13"/>
      <c r="U726" s="12"/>
      <c r="V726" s="13"/>
      <c r="W726" s="12"/>
      <c r="X726" s="13"/>
      <c r="Y726" s="12"/>
      <c r="Z726" s="13"/>
      <c r="AA726" s="12"/>
      <c r="AB726" s="13"/>
      <c r="AC726" s="12"/>
      <c r="AD726" s="13"/>
      <c r="AE726" s="12"/>
      <c r="AF726" s="13"/>
      <c r="AG726" s="12"/>
      <c r="AH726" s="13"/>
      <c r="AI726" s="12"/>
      <c r="AJ726" s="13"/>
      <c r="AK726" s="12"/>
      <c r="AL726" s="13"/>
      <c r="AM726" s="12"/>
      <c r="AN726" s="13"/>
      <c r="AO726" s="12"/>
      <c r="AP726" s="13"/>
      <c r="AQ726" s="447"/>
      <c r="AR726" s="13"/>
      <c r="AS726" s="447"/>
      <c r="AT726" s="13"/>
      <c r="AU726" s="447"/>
      <c r="AV726" s="13"/>
      <c r="AW726" s="447"/>
      <c r="AX726" s="13"/>
      <c r="AY726" s="447"/>
      <c r="AZ726" s="13"/>
      <c r="BA726" s="447"/>
      <c r="BB726" s="13"/>
      <c r="BC726" s="447"/>
      <c r="BD726" s="13"/>
      <c r="BE726" s="447"/>
      <c r="BF726" s="13"/>
      <c r="BG726" s="447">
        <f>BG119</f>
        <v>147.74615384615382</v>
      </c>
      <c r="BH726" s="13"/>
      <c r="BI726" s="447">
        <f>BI119</f>
        <v>152.69230769230768</v>
      </c>
      <c r="BJ726" s="13"/>
      <c r="BK726" s="447">
        <f>BK119</f>
        <v>194.61538461538461</v>
      </c>
      <c r="BL726" s="13"/>
      <c r="BM726" s="447">
        <f>BM119</f>
        <v>210.4846153846153</v>
      </c>
      <c r="BN726" s="13"/>
      <c r="BO726" s="447">
        <f>BO119</f>
        <v>141.01538461538465</v>
      </c>
      <c r="BP726" s="13"/>
      <c r="BQ726" s="447">
        <f>BQ119</f>
        <v>152.30000000000007</v>
      </c>
      <c r="BR726" s="13"/>
      <c r="BS726" s="447">
        <f>BS119</f>
        <v>118.60000000000002</v>
      </c>
      <c r="BT726" s="13"/>
      <c r="BU726" s="447">
        <f>BU119</f>
        <v>71.099999999999909</v>
      </c>
      <c r="BV726" s="13"/>
      <c r="BW726" s="447">
        <f>BW119</f>
        <v>62.600000000000023</v>
      </c>
      <c r="BX726" s="13"/>
      <c r="BY726" s="447">
        <f>BY119</f>
        <v>76.600000000000023</v>
      </c>
      <c r="BZ726" s="13"/>
      <c r="CA726" s="447">
        <f>CA119</f>
        <v>88.92307692307692</v>
      </c>
      <c r="CB726" s="13"/>
      <c r="CC726" s="447">
        <f>CC119</f>
        <v>114.43846153846152</v>
      </c>
      <c r="CD726" s="13"/>
      <c r="CE726" s="447">
        <f>CE119</f>
        <v>117.79230769230766</v>
      </c>
      <c r="CF726" s="13"/>
      <c r="CG726" s="447">
        <f>CG119</f>
        <v>121.92307692307692</v>
      </c>
      <c r="CH726" s="13"/>
      <c r="CI726" s="447">
        <f>CI119</f>
        <v>117.8384615384615</v>
      </c>
      <c r="CJ726" s="13"/>
      <c r="CK726" s="447">
        <f>CK119</f>
        <v>151.82307692307691</v>
      </c>
      <c r="CL726" s="13"/>
      <c r="CM726" s="550">
        <f>CM119</f>
        <v>156.20769230769241</v>
      </c>
      <c r="CN726" s="13"/>
      <c r="CO726" s="550">
        <f>CO119</f>
        <v>157.16153846153838</v>
      </c>
      <c r="CP726" s="13"/>
      <c r="CQ726" s="550">
        <f>CQ119</f>
        <v>113.84615384615384</v>
      </c>
      <c r="CR726" s="13"/>
      <c r="CS726" s="550">
        <f>CS119</f>
        <v>155</v>
      </c>
      <c r="CT726" s="13"/>
      <c r="CU726" s="550">
        <f>CU119</f>
        <v>162</v>
      </c>
      <c r="CV726" s="13"/>
      <c r="CW726" s="550">
        <f>CW119</f>
        <v>177.53846153846155</v>
      </c>
      <c r="CX726" s="13"/>
      <c r="CY726" s="550">
        <f>CY119</f>
        <v>186.84615384615384</v>
      </c>
      <c r="CZ726" s="13"/>
      <c r="DA726" s="550">
        <f>DA119</f>
        <v>173.69230769230768</v>
      </c>
      <c r="DB726" s="13"/>
      <c r="DC726" s="550">
        <f>DC119</f>
        <v>194</v>
      </c>
      <c r="DD726" s="13"/>
      <c r="DE726" s="550">
        <f>DE119</f>
        <v>229.15384615384616</v>
      </c>
      <c r="DF726" s="13"/>
      <c r="DG726" s="550">
        <f>DG119</f>
        <v>232.84615384615384</v>
      </c>
      <c r="DH726" s="13"/>
      <c r="DI726" s="550">
        <f>DI119</f>
        <v>256.61538461538464</v>
      </c>
      <c r="DJ726" s="13"/>
      <c r="DK726" s="550">
        <f>DK119</f>
        <v>266</v>
      </c>
      <c r="DL726" s="13"/>
      <c r="DM726" s="550">
        <f>DM119</f>
        <v>286</v>
      </c>
      <c r="DN726" s="13"/>
      <c r="DO726" s="550">
        <f>DO119</f>
        <v>296.53846153846155</v>
      </c>
      <c r="DP726" s="13"/>
      <c r="DQ726" s="550">
        <f>DQ119</f>
        <v>297</v>
      </c>
      <c r="DR726" s="13"/>
      <c r="DS726" s="550">
        <f>DS119</f>
        <v>293</v>
      </c>
      <c r="DT726" s="13"/>
      <c r="DU726" s="550">
        <f>DU119</f>
        <v>328</v>
      </c>
      <c r="DV726" s="13"/>
      <c r="DW726" s="550">
        <f>DW119</f>
        <v>320.30769230769232</v>
      </c>
      <c r="DX726" s="13"/>
      <c r="DY726" s="550">
        <f>DY119</f>
        <v>309</v>
      </c>
      <c r="DZ726" s="13"/>
      <c r="EA726" s="550">
        <f>EA119</f>
        <v>278.15384615384613</v>
      </c>
      <c r="EB726" s="13"/>
      <c r="EC726" s="550">
        <f>EC119</f>
        <v>296</v>
      </c>
      <c r="ED726" s="13"/>
      <c r="EE726" s="550">
        <f>EE119</f>
        <v>313.61538461538464</v>
      </c>
      <c r="EF726" s="13"/>
      <c r="EG726" s="550">
        <f>EG119</f>
        <v>306</v>
      </c>
      <c r="EH726" s="13"/>
      <c r="EI726" s="550">
        <f>EI119</f>
        <v>216.92307692307693</v>
      </c>
      <c r="EJ726" s="13"/>
      <c r="EK726" s="550">
        <f t="shared" ref="EK726:EM726" si="4356">EK119</f>
        <v>310</v>
      </c>
      <c r="EL726" s="13"/>
      <c r="EM726" s="550">
        <f t="shared" si="4356"/>
        <v>326.92307692307691</v>
      </c>
      <c r="EN726" s="13"/>
      <c r="EO726" s="550">
        <f t="shared" ref="EO726" si="4357">EO119</f>
        <v>333</v>
      </c>
      <c r="EP726" s="13"/>
      <c r="EQ726" s="550">
        <f t="shared" ref="EQ726:EW726" si="4358">EQ119</f>
        <v>329.9493323058141</v>
      </c>
      <c r="ER726" s="13"/>
      <c r="ES726" s="550">
        <f t="shared" si="4358"/>
        <v>329.21500372772516</v>
      </c>
      <c r="ET726" s="13"/>
      <c r="EU726" s="550">
        <f t="shared" si="4358"/>
        <v>333.60108321364203</v>
      </c>
      <c r="EV726" s="13"/>
      <c r="EW726" s="550">
        <f t="shared" si="4358"/>
        <v>338.64063631417412</v>
      </c>
      <c r="EX726" s="13"/>
      <c r="EY726" s="56"/>
      <c r="EZ726" s="558"/>
      <c r="FA726" s="56"/>
      <c r="FB726" s="12"/>
      <c r="FC726" s="13"/>
      <c r="FD726" s="12"/>
      <c r="FE726" s="13"/>
      <c r="FF726" s="12"/>
      <c r="FG726" s="13"/>
      <c r="FH726" s="12"/>
      <c r="FI726" s="13"/>
      <c r="FJ726" s="12"/>
      <c r="FK726" s="13"/>
      <c r="FL726" s="57"/>
      <c r="FM726" s="13"/>
      <c r="FN726" s="447">
        <f>FN119</f>
        <v>262</v>
      </c>
      <c r="FO726" s="13"/>
      <c r="FP726" s="447">
        <f>FP119</f>
        <v>290.63076923076932</v>
      </c>
      <c r="FQ726" s="13"/>
      <c r="FR726" s="447">
        <f>FR119</f>
        <v>426.27692307692291</v>
      </c>
      <c r="FS726" s="13"/>
      <c r="FT726" s="447">
        <f>FT119</f>
        <v>705.53846153846109</v>
      </c>
      <c r="FU726" s="13"/>
      <c r="FV726" s="447">
        <f>FV119</f>
        <v>483.01538461538513</v>
      </c>
      <c r="FW726" s="13"/>
      <c r="FX726" s="447">
        <f>FX119</f>
        <v>342.56153846153882</v>
      </c>
      <c r="FY726" s="13"/>
      <c r="FZ726" s="447">
        <f>FZ119</f>
        <v>509.37692307692328</v>
      </c>
      <c r="GA726" s="13"/>
      <c r="GB726" s="550">
        <f>GB119</f>
        <v>582.21538461538501</v>
      </c>
      <c r="GC726" s="13"/>
      <c r="GD726" s="550">
        <f>GD119</f>
        <v>700.07692307692309</v>
      </c>
      <c r="GE726" s="13"/>
      <c r="GF726" s="550">
        <f>GF119</f>
        <v>912.61538461538464</v>
      </c>
      <c r="GG726" s="13"/>
      <c r="GH726" s="550">
        <f>GH119</f>
        <v>1145.5384615384614</v>
      </c>
      <c r="GI726" s="13"/>
      <c r="GJ726" s="550">
        <f>GJ119</f>
        <v>1250.3076923076924</v>
      </c>
      <c r="GK726" s="13"/>
      <c r="GL726" s="550">
        <f>GL119</f>
        <v>1193.7692307692307</v>
      </c>
      <c r="GM726" s="13"/>
      <c r="GN726" s="550">
        <f>GN119</f>
        <v>1186.8461538461538</v>
      </c>
      <c r="GO726" s="13"/>
      <c r="GP726" s="550">
        <f>GP119</f>
        <v>1331.4060555613546</v>
      </c>
      <c r="GQ726" s="13"/>
      <c r="GR726" s="550">
        <f>GR119</f>
        <v>1389.8463225892756</v>
      </c>
      <c r="GS726" s="13"/>
      <c r="GT726" s="550">
        <f>GT119</f>
        <v>1471.3636280729934</v>
      </c>
      <c r="GU726" s="13"/>
      <c r="GV726" s="550">
        <f>GV119</f>
        <v>1563.1537331065001</v>
      </c>
      <c r="GW726" s="13"/>
      <c r="GX726" s="550">
        <f>GX119</f>
        <v>1666.4328021309575</v>
      </c>
      <c r="GY726" s="13"/>
      <c r="GZ726" s="13"/>
      <c r="HA726" s="13"/>
      <c r="HB726" s="452"/>
      <c r="HC726"/>
      <c r="HD726"/>
      <c r="HE726"/>
      <c r="HF726"/>
      <c r="HG726"/>
      <c r="HH726"/>
    </row>
    <row r="727" spans="1:216" s="5" customFormat="1" ht="12.75" hidden="1" customHeight="1" outlineLevel="1" x14ac:dyDescent="0.2">
      <c r="A727" s="11" t="s">
        <v>205</v>
      </c>
      <c r="B727" s="2" t="s">
        <v>546</v>
      </c>
      <c r="C727" s="12"/>
      <c r="D727" s="13"/>
      <c r="E727" s="12"/>
      <c r="F727" s="13"/>
      <c r="G727" s="12"/>
      <c r="H727" s="13"/>
      <c r="I727" s="12"/>
      <c r="J727" s="13"/>
      <c r="K727" s="12"/>
      <c r="L727" s="13"/>
      <c r="M727" s="12"/>
      <c r="N727" s="13"/>
      <c r="O727" s="12"/>
      <c r="P727" s="13"/>
      <c r="Q727" s="12"/>
      <c r="R727" s="13"/>
      <c r="S727" s="12"/>
      <c r="T727" s="13"/>
      <c r="U727" s="12"/>
      <c r="V727" s="13"/>
      <c r="W727" s="12"/>
      <c r="X727" s="13"/>
      <c r="Y727" s="12"/>
      <c r="Z727" s="13"/>
      <c r="AA727" s="12"/>
      <c r="AB727" s="13"/>
      <c r="AC727" s="12"/>
      <c r="AD727" s="13"/>
      <c r="AE727" s="12"/>
      <c r="AF727" s="13"/>
      <c r="AG727" s="12"/>
      <c r="AH727" s="13"/>
      <c r="AI727" s="12"/>
      <c r="AJ727" s="13"/>
      <c r="AK727" s="12"/>
      <c r="AL727" s="13"/>
      <c r="AM727" s="12"/>
      <c r="AN727" s="13"/>
      <c r="AO727" s="12"/>
      <c r="AP727" s="13"/>
      <c r="AQ727" s="447"/>
      <c r="AR727" s="13"/>
      <c r="AS727" s="447"/>
      <c r="AT727" s="13"/>
      <c r="AU727" s="447"/>
      <c r="AV727" s="13"/>
      <c r="AW727" s="447"/>
      <c r="AX727" s="13"/>
      <c r="AY727" s="447"/>
      <c r="AZ727" s="13"/>
      <c r="BA727" s="447"/>
      <c r="BB727" s="13"/>
      <c r="BC727" s="447"/>
      <c r="BD727" s="13"/>
      <c r="BE727" s="447"/>
      <c r="BF727" s="13"/>
      <c r="BG727" s="447">
        <f>BG180</f>
        <v>70.800000000000011</v>
      </c>
      <c r="BH727" s="13"/>
      <c r="BI727" s="447">
        <f>BI180</f>
        <v>69.876923076923092</v>
      </c>
      <c r="BJ727" s="13"/>
      <c r="BK727" s="447">
        <f>BK180</f>
        <v>58.715384615384608</v>
      </c>
      <c r="BL727" s="13"/>
      <c r="BM727" s="447">
        <f>BM180</f>
        <v>61.200000000000017</v>
      </c>
      <c r="BN727" s="13"/>
      <c r="BO727" s="447">
        <f>BO180</f>
        <v>58.57692307692308</v>
      </c>
      <c r="BP727" s="13"/>
      <c r="BQ727" s="447">
        <f>BQ180</f>
        <v>57</v>
      </c>
      <c r="BR727" s="13"/>
      <c r="BS727" s="447">
        <f>BS180</f>
        <v>57</v>
      </c>
      <c r="BT727" s="13"/>
      <c r="BU727" s="447">
        <f>BU180</f>
        <v>22.699999999999989</v>
      </c>
      <c r="BV727" s="13"/>
      <c r="BW727" s="447">
        <f>BW180</f>
        <v>36.399999999999977</v>
      </c>
      <c r="BX727" s="13"/>
      <c r="BY727" s="447">
        <f>BY180</f>
        <v>38.300000000000011</v>
      </c>
      <c r="BZ727" s="13"/>
      <c r="CA727" s="447">
        <f>CA180</f>
        <v>51.707692307692312</v>
      </c>
      <c r="CB727" s="13"/>
      <c r="CC727" s="447">
        <f>CC180</f>
        <v>54.01538461538459</v>
      </c>
      <c r="CD727" s="13"/>
      <c r="CE727" s="447">
        <f>CE180</f>
        <v>50.199999999999989</v>
      </c>
      <c r="CF727" s="13"/>
      <c r="CG727" s="447">
        <f>CG180</f>
        <v>50.100000000000023</v>
      </c>
      <c r="CH727" s="13"/>
      <c r="CI727" s="447">
        <f>CI180</f>
        <v>51.976923076923086</v>
      </c>
      <c r="CJ727" s="13"/>
      <c r="CK727" s="447">
        <f>CK180</f>
        <v>49.615384615384613</v>
      </c>
      <c r="CL727" s="13"/>
      <c r="CM727" s="550">
        <f>CM180</f>
        <v>55.153846153846153</v>
      </c>
      <c r="CN727" s="13"/>
      <c r="CO727" s="550">
        <f>CO180</f>
        <v>55.123076923076908</v>
      </c>
      <c r="CP727" s="13"/>
      <c r="CQ727" s="550">
        <f>CQ180</f>
        <v>48.884615384615387</v>
      </c>
      <c r="CR727" s="13"/>
      <c r="CS727" s="550">
        <f>CS180</f>
        <v>45</v>
      </c>
      <c r="CT727" s="13"/>
      <c r="CU727" s="550">
        <f>CU180</f>
        <v>47</v>
      </c>
      <c r="CV727" s="13"/>
      <c r="CW727" s="550">
        <f>CW180</f>
        <v>43.846153846153847</v>
      </c>
      <c r="CX727" s="13"/>
      <c r="CY727" s="550">
        <f>CY180</f>
        <v>43.615384615384613</v>
      </c>
      <c r="CZ727" s="13"/>
      <c r="DA727" s="550">
        <f>DA180</f>
        <v>38.153846153846153</v>
      </c>
      <c r="DB727" s="13"/>
      <c r="DC727" s="550">
        <f>DC180</f>
        <v>44.92307692307692</v>
      </c>
      <c r="DD727" s="13"/>
      <c r="DE727" s="550">
        <f>DE180</f>
        <v>46.307692307692307</v>
      </c>
      <c r="DF727" s="13"/>
      <c r="DG727" s="550">
        <f>DG180</f>
        <v>44</v>
      </c>
      <c r="DH727" s="13"/>
      <c r="DI727" s="550">
        <f>DI180</f>
        <v>44</v>
      </c>
      <c r="DJ727" s="13"/>
      <c r="DK727" s="550">
        <f>DK180</f>
        <v>53</v>
      </c>
      <c r="DL727" s="13"/>
      <c r="DM727" s="550">
        <f>DM180</f>
        <v>54</v>
      </c>
      <c r="DN727" s="13"/>
      <c r="DO727" s="550">
        <f>DO180</f>
        <v>55</v>
      </c>
      <c r="DP727" s="13"/>
      <c r="DQ727" s="550">
        <f>DQ180</f>
        <v>49</v>
      </c>
      <c r="DR727" s="13"/>
      <c r="DS727" s="550">
        <f>DS180</f>
        <v>48</v>
      </c>
      <c r="DT727" s="13"/>
      <c r="DU727" s="550">
        <f>DU180</f>
        <v>39</v>
      </c>
      <c r="DV727" s="13"/>
      <c r="DW727" s="550">
        <f>DW180</f>
        <v>53.92307692307692</v>
      </c>
      <c r="DX727" s="13"/>
      <c r="DY727" s="550">
        <f>DY180</f>
        <v>45</v>
      </c>
      <c r="DZ727" s="13"/>
      <c r="EA727" s="550">
        <f>EA180</f>
        <v>47.153846153846153</v>
      </c>
      <c r="EB727" s="13"/>
      <c r="EC727" s="550">
        <f>EC180</f>
        <v>41</v>
      </c>
      <c r="ED727" s="13"/>
      <c r="EE727" s="550">
        <f>EE180</f>
        <v>43.307692307692307</v>
      </c>
      <c r="EF727" s="13"/>
      <c r="EG727" s="550">
        <f>EG180</f>
        <v>46</v>
      </c>
      <c r="EH727" s="13"/>
      <c r="EI727" s="550">
        <f>EI180</f>
        <v>44.92307692307692</v>
      </c>
      <c r="EJ727" s="13"/>
      <c r="EK727" s="550">
        <f t="shared" ref="EK727:EM727" si="4359">EK180</f>
        <v>50</v>
      </c>
      <c r="EL727" s="13"/>
      <c r="EM727" s="550">
        <f t="shared" si="4359"/>
        <v>49.53846153846154</v>
      </c>
      <c r="EN727" s="13"/>
      <c r="EO727" s="550">
        <f t="shared" ref="EO727" si="4360">EO180</f>
        <v>57</v>
      </c>
      <c r="EP727" s="13"/>
      <c r="EQ727" s="550">
        <f t="shared" ref="EQ727:EW727" si="4361">EQ180</f>
        <v>53.343347813168691</v>
      </c>
      <c r="ER727" s="13"/>
      <c r="ES727" s="550">
        <f t="shared" si="4361"/>
        <v>53.273135512410107</v>
      </c>
      <c r="ET727" s="13"/>
      <c r="EU727" s="550">
        <f t="shared" si="4361"/>
        <v>53.82278974362157</v>
      </c>
      <c r="EV727" s="13"/>
      <c r="EW727" s="550">
        <f t="shared" si="4361"/>
        <v>54.201124398471563</v>
      </c>
      <c r="EX727" s="13"/>
      <c r="EY727" s="56"/>
      <c r="EZ727" s="558"/>
      <c r="FA727" s="56"/>
      <c r="FB727" s="12"/>
      <c r="FC727" s="13"/>
      <c r="FD727" s="12"/>
      <c r="FE727" s="13"/>
      <c r="FF727" s="12"/>
      <c r="FG727" s="13"/>
      <c r="FH727" s="12"/>
      <c r="FI727" s="13"/>
      <c r="FJ727" s="12"/>
      <c r="FK727" s="13"/>
      <c r="FL727" s="57"/>
      <c r="FM727" s="13"/>
      <c r="FN727" s="447">
        <f>FN180</f>
        <v>246</v>
      </c>
      <c r="FO727" s="13"/>
      <c r="FP727" s="447">
        <f>FP180</f>
        <v>208.43076923076927</v>
      </c>
      <c r="FQ727" s="13"/>
      <c r="FR727" s="447">
        <f>FR180</f>
        <v>275.48461538461538</v>
      </c>
      <c r="FS727" s="13"/>
      <c r="FT727" s="447">
        <f>FT180</f>
        <v>260.59230769230766</v>
      </c>
      <c r="FU727" s="13"/>
      <c r="FV727" s="447">
        <f>FV180</f>
        <v>195.27692307692311</v>
      </c>
      <c r="FW727" s="13"/>
      <c r="FX727" s="447">
        <f>FX180</f>
        <v>180.42307692307705</v>
      </c>
      <c r="FY727" s="13"/>
      <c r="FZ727" s="447">
        <f>FZ180</f>
        <v>201.89230769230772</v>
      </c>
      <c r="GA727" s="13"/>
      <c r="GB727" s="550">
        <f>GB180</f>
        <v>204.1615384615385</v>
      </c>
      <c r="GC727" s="13"/>
      <c r="GD727" s="550">
        <f>GD180</f>
        <v>172.61538461538461</v>
      </c>
      <c r="GE727" s="13"/>
      <c r="GF727" s="550">
        <f>GF180</f>
        <v>179.23076923076923</v>
      </c>
      <c r="GG727" s="13"/>
      <c r="GH727" s="550">
        <f>GH180</f>
        <v>211</v>
      </c>
      <c r="GI727" s="13"/>
      <c r="GJ727" s="550">
        <f>GJ180</f>
        <v>185.92307692307693</v>
      </c>
      <c r="GK727" s="13"/>
      <c r="GL727" s="550">
        <f>GL180</f>
        <v>177.46153846153845</v>
      </c>
      <c r="GM727" s="13"/>
      <c r="GN727" s="550">
        <f>GN180</f>
        <v>201.46153846153845</v>
      </c>
      <c r="GO727" s="13"/>
      <c r="GP727" s="550">
        <f>GP180</f>
        <v>214.64039746767185</v>
      </c>
      <c r="GQ727" s="13"/>
      <c r="GR727" s="550">
        <f>GR180</f>
        <v>221.05770276650378</v>
      </c>
      <c r="GS727" s="13"/>
      <c r="GT727" s="550">
        <f>GT180</f>
        <v>227.69522599924835</v>
      </c>
      <c r="GU727" s="13"/>
      <c r="GV727" s="550">
        <f>GV180</f>
        <v>235.1652800503291</v>
      </c>
      <c r="GW727" s="13"/>
      <c r="GX727" s="550">
        <f>GX180</f>
        <v>243.44836146993339</v>
      </c>
      <c r="GY727" s="13"/>
      <c r="GZ727" s="13"/>
      <c r="HA727" s="13"/>
      <c r="HB727" s="452"/>
      <c r="HC727"/>
      <c r="HD727"/>
      <c r="HE727"/>
      <c r="HF727"/>
      <c r="HG727"/>
      <c r="HH727"/>
    </row>
    <row r="728" spans="1:216" s="5" customFormat="1" ht="12.75" hidden="1" customHeight="1" outlineLevel="1" x14ac:dyDescent="0.2">
      <c r="A728" s="11" t="s">
        <v>214</v>
      </c>
      <c r="B728" s="2" t="s">
        <v>547</v>
      </c>
      <c r="C728" s="12"/>
      <c r="D728" s="13"/>
      <c r="E728" s="12"/>
      <c r="F728" s="13"/>
      <c r="G728" s="12"/>
      <c r="H728" s="13"/>
      <c r="I728" s="12"/>
      <c r="J728" s="13"/>
      <c r="K728" s="12"/>
      <c r="L728" s="13"/>
      <c r="M728" s="12"/>
      <c r="N728" s="13"/>
      <c r="O728" s="12"/>
      <c r="P728" s="13"/>
      <c r="Q728" s="12"/>
      <c r="R728" s="13"/>
      <c r="S728" s="12"/>
      <c r="T728" s="13"/>
      <c r="U728" s="12"/>
      <c r="V728" s="13"/>
      <c r="W728" s="12"/>
      <c r="X728" s="13"/>
      <c r="Y728" s="12"/>
      <c r="Z728" s="13"/>
      <c r="AA728" s="12"/>
      <c r="AB728" s="13"/>
      <c r="AC728" s="12"/>
      <c r="AD728" s="13"/>
      <c r="AE728" s="12"/>
      <c r="AF728" s="13"/>
      <c r="AG728" s="12"/>
      <c r="AH728" s="13"/>
      <c r="AI728" s="12"/>
      <c r="AJ728" s="13"/>
      <c r="AK728" s="12"/>
      <c r="AL728" s="13"/>
      <c r="AM728" s="12"/>
      <c r="AN728" s="13"/>
      <c r="AO728" s="12"/>
      <c r="AP728" s="13"/>
      <c r="AQ728" s="12"/>
      <c r="AR728" s="13"/>
      <c r="AS728" s="12"/>
      <c r="AT728" s="13"/>
      <c r="AU728" s="12"/>
      <c r="AV728" s="13"/>
      <c r="AW728" s="12"/>
      <c r="AX728" s="13"/>
      <c r="AY728" s="12"/>
      <c r="AZ728" s="13"/>
      <c r="BA728" s="12"/>
      <c r="BB728" s="13"/>
      <c r="BC728" s="12"/>
      <c r="BD728" s="13"/>
      <c r="BE728" s="12"/>
      <c r="BF728" s="13"/>
      <c r="BG728" s="12">
        <f>BG312</f>
        <v>35.400000000000034</v>
      </c>
      <c r="BH728" s="13"/>
      <c r="BI728" s="12">
        <f>BI312</f>
        <v>44.600000000000023</v>
      </c>
      <c r="BJ728" s="13"/>
      <c r="BK728" s="12">
        <f>BK312</f>
        <v>38.792307692307716</v>
      </c>
      <c r="BL728" s="13"/>
      <c r="BM728" s="12">
        <f>BM312</f>
        <v>38.784615384615364</v>
      </c>
      <c r="BN728" s="13"/>
      <c r="BO728" s="12">
        <f>BO312</f>
        <v>40.299999999999955</v>
      </c>
      <c r="BP728" s="13"/>
      <c r="BQ728" s="12">
        <f>BQ312</f>
        <v>49.699999999999989</v>
      </c>
      <c r="BR728" s="13"/>
      <c r="BS728" s="12">
        <f>BS312</f>
        <v>42</v>
      </c>
      <c r="BT728" s="13"/>
      <c r="BU728" s="12">
        <f>BU312</f>
        <v>33.01538461538459</v>
      </c>
      <c r="BV728" s="13"/>
      <c r="BW728" s="12">
        <f>BW312</f>
        <v>39.500000000000057</v>
      </c>
      <c r="BX728" s="13"/>
      <c r="BY728" s="12">
        <f>BY312</f>
        <v>51.700000000000045</v>
      </c>
      <c r="BZ728" s="13"/>
      <c r="CA728" s="12">
        <f>CA312</f>
        <v>53.20999999999998</v>
      </c>
      <c r="CB728" s="13"/>
      <c r="CC728" s="12">
        <f>CC312</f>
        <v>51.015384615384534</v>
      </c>
      <c r="CD728" s="13"/>
      <c r="CE728" s="12">
        <f>CE312</f>
        <v>48.284615384615421</v>
      </c>
      <c r="CF728" s="13"/>
      <c r="CG728" s="12">
        <f>CG312</f>
        <v>57.676923076923103</v>
      </c>
      <c r="CH728" s="13"/>
      <c r="CI728" s="12">
        <f>CI312</f>
        <v>19.315384615384659</v>
      </c>
      <c r="CJ728" s="13"/>
      <c r="CK728" s="12">
        <f>CK312</f>
        <v>27.699999999999989</v>
      </c>
      <c r="CL728" s="13"/>
      <c r="CM728" s="550">
        <f>CM312</f>
        <v>29.507692307692409</v>
      </c>
      <c r="CN728" s="13"/>
      <c r="CO728" s="550">
        <f>CO312</f>
        <v>34.784615384615307</v>
      </c>
      <c r="CP728" s="13"/>
      <c r="CQ728" s="550">
        <f>CQ312</f>
        <v>41.299999999999955</v>
      </c>
      <c r="CR728" s="13"/>
      <c r="CS728" s="550">
        <f>CS312</f>
        <v>31</v>
      </c>
      <c r="CT728" s="13"/>
      <c r="CU728" s="550">
        <f>CU312</f>
        <v>25</v>
      </c>
      <c r="CV728" s="13"/>
      <c r="CW728" s="550">
        <f>CW312</f>
        <v>37.384615384615387</v>
      </c>
      <c r="CX728" s="13"/>
      <c r="CY728" s="550">
        <f>CY312</f>
        <v>24</v>
      </c>
      <c r="CZ728" s="13"/>
      <c r="DA728" s="550">
        <f>DA312</f>
        <v>20</v>
      </c>
      <c r="DB728" s="13"/>
      <c r="DC728" s="550">
        <f>DC312</f>
        <v>22</v>
      </c>
      <c r="DD728" s="13"/>
      <c r="DE728" s="550">
        <f>DE312</f>
        <v>34</v>
      </c>
      <c r="DF728" s="13"/>
      <c r="DG728" s="550">
        <f>DG312</f>
        <v>31.384615384615387</v>
      </c>
      <c r="DH728" s="13"/>
      <c r="DI728" s="550">
        <f>DI312</f>
        <v>4.6923076923076934</v>
      </c>
      <c r="DJ728" s="13"/>
      <c r="DK728" s="550">
        <f>DK312</f>
        <v>30</v>
      </c>
      <c r="DL728" s="13"/>
      <c r="DM728" s="550">
        <f>DM312</f>
        <v>3</v>
      </c>
      <c r="DN728" s="13"/>
      <c r="DO728" s="550">
        <f>DO312</f>
        <v>12</v>
      </c>
      <c r="DP728" s="13"/>
      <c r="DQ728" s="550">
        <f>DQ312</f>
        <v>-10</v>
      </c>
      <c r="DR728" s="13"/>
      <c r="DS728" s="550">
        <f>DS312</f>
        <v>-10</v>
      </c>
      <c r="DT728" s="13"/>
      <c r="DU728" s="550">
        <f>DU312</f>
        <v>30</v>
      </c>
      <c r="DV728" s="13"/>
      <c r="DW728" s="550">
        <f>DW312</f>
        <v>26</v>
      </c>
      <c r="DX728" s="13"/>
      <c r="DY728" s="550">
        <f>DY312</f>
        <v>20</v>
      </c>
      <c r="DZ728" s="13"/>
      <c r="EA728" s="550">
        <f>EA312</f>
        <v>8</v>
      </c>
      <c r="EB728" s="13"/>
      <c r="EC728" s="550">
        <f>EC312</f>
        <v>23</v>
      </c>
      <c r="ED728" s="13"/>
      <c r="EE728" s="550">
        <f>EE312</f>
        <v>36.307692307692307</v>
      </c>
      <c r="EF728" s="13"/>
      <c r="EG728" s="550">
        <f>EG312</f>
        <v>25</v>
      </c>
      <c r="EH728" s="13"/>
      <c r="EI728" s="550">
        <f>EI312</f>
        <v>11</v>
      </c>
      <c r="EJ728" s="13"/>
      <c r="EK728" s="550">
        <f t="shared" ref="EK728:EM728" si="4362">EK312</f>
        <v>53</v>
      </c>
      <c r="EL728" s="13"/>
      <c r="EM728" s="550">
        <f t="shared" si="4362"/>
        <v>58.384615384615387</v>
      </c>
      <c r="EN728" s="13"/>
      <c r="EO728" s="550">
        <f t="shared" ref="EO728" si="4363">EO312</f>
        <v>31</v>
      </c>
      <c r="EP728" s="13"/>
      <c r="EQ728" s="550">
        <f t="shared" ref="EQ728:EW728" si="4364">EQ312</f>
        <v>22.480199999999968</v>
      </c>
      <c r="ER728" s="13"/>
      <c r="ES728" s="550">
        <f t="shared" si="4364"/>
        <v>37.058386625000026</v>
      </c>
      <c r="ET728" s="13"/>
      <c r="EU728" s="550">
        <f t="shared" si="4364"/>
        <v>55.185560643124973</v>
      </c>
      <c r="EV728" s="13"/>
      <c r="EW728" s="550">
        <f t="shared" si="4364"/>
        <v>55.981815764496901</v>
      </c>
      <c r="EX728" s="13"/>
      <c r="EY728" s="56"/>
      <c r="EZ728" s="558"/>
      <c r="FA728" s="56"/>
      <c r="FB728" s="12"/>
      <c r="FC728" s="13"/>
      <c r="FD728" s="12"/>
      <c r="FE728" s="13"/>
      <c r="FF728" s="12"/>
      <c r="FG728" s="13"/>
      <c r="FH728" s="12"/>
      <c r="FI728" s="13"/>
      <c r="FJ728" s="12"/>
      <c r="FK728" s="13"/>
      <c r="FL728" s="57"/>
      <c r="FM728" s="13"/>
      <c r="FN728" s="12">
        <f>FN312</f>
        <v>109.62499999999977</v>
      </c>
      <c r="FO728" s="13"/>
      <c r="FP728" s="12">
        <f>FP312</f>
        <v>133.41800000000012</v>
      </c>
      <c r="FQ728" s="13"/>
      <c r="FR728" s="12">
        <f>FR312</f>
        <v>113.73846153846159</v>
      </c>
      <c r="FS728" s="13"/>
      <c r="FT728" s="12">
        <f>FT312</f>
        <v>157.57692307692284</v>
      </c>
      <c r="FU728" s="13"/>
      <c r="FV728" s="12">
        <f>FV312</f>
        <v>165.0153846153847</v>
      </c>
      <c r="FW728" s="13"/>
      <c r="FX728" s="12">
        <f>FX312</f>
        <v>195.42538461538456</v>
      </c>
      <c r="FY728" s="13"/>
      <c r="FZ728" s="12">
        <f>FZ312</f>
        <v>152.97692307692316</v>
      </c>
      <c r="GA728" s="13"/>
      <c r="GB728" s="550">
        <f>GB312</f>
        <v>136.59230769230777</v>
      </c>
      <c r="GC728" s="13"/>
      <c r="GD728" s="550">
        <f>GD312</f>
        <v>106.38461538461539</v>
      </c>
      <c r="GE728" s="13"/>
      <c r="GF728" s="550">
        <f>GF312</f>
        <v>92.07692307692308</v>
      </c>
      <c r="GG728" s="13"/>
      <c r="GH728" s="550">
        <f>GH312</f>
        <v>35</v>
      </c>
      <c r="GI728" s="13"/>
      <c r="GJ728" s="550">
        <f>GJ312</f>
        <v>66</v>
      </c>
      <c r="GK728" s="13"/>
      <c r="GL728" s="550">
        <f>GL312</f>
        <v>92.307692307692307</v>
      </c>
      <c r="GM728" s="13"/>
      <c r="GN728" s="550">
        <f>GN312</f>
        <v>153.38461538461539</v>
      </c>
      <c r="GO728" s="13"/>
      <c r="GP728" s="550">
        <f>GP312</f>
        <v>170.70596303262209</v>
      </c>
      <c r="GQ728" s="13"/>
      <c r="GR728" s="550">
        <f>GR312</f>
        <v>230.35807974329009</v>
      </c>
      <c r="GS728" s="13"/>
      <c r="GT728" s="550">
        <f>GT312</f>
        <v>265.39357741403137</v>
      </c>
      <c r="GU728" s="13"/>
      <c r="GV728" s="550">
        <f>GV312</f>
        <v>267.01113617796636</v>
      </c>
      <c r="GW728" s="13"/>
      <c r="GX728" s="550">
        <f>GX312</f>
        <v>268.64259455325828</v>
      </c>
      <c r="GY728" s="13"/>
      <c r="GZ728" s="13"/>
      <c r="HA728" s="13"/>
      <c r="HB728" s="452"/>
      <c r="HC728"/>
      <c r="HD728"/>
      <c r="HE728"/>
      <c r="HF728"/>
      <c r="HG728"/>
      <c r="HH728"/>
    </row>
    <row r="729" spans="1:216" s="5" customFormat="1" ht="12.75" hidden="1" customHeight="1" outlineLevel="1" x14ac:dyDescent="0.2">
      <c r="A729" s="11" t="s">
        <v>215</v>
      </c>
      <c r="B729" s="2" t="s">
        <v>548</v>
      </c>
      <c r="C729" s="12"/>
      <c r="D729" s="13"/>
      <c r="E729" s="12"/>
      <c r="F729" s="13"/>
      <c r="G729" s="12"/>
      <c r="H729" s="13"/>
      <c r="I729" s="12"/>
      <c r="J729" s="13"/>
      <c r="K729" s="12"/>
      <c r="L729" s="13"/>
      <c r="M729" s="12"/>
      <c r="N729" s="13"/>
      <c r="O729" s="12"/>
      <c r="P729" s="13"/>
      <c r="Q729" s="12"/>
      <c r="R729" s="13"/>
      <c r="S729" s="12"/>
      <c r="T729" s="13"/>
      <c r="U729" s="12"/>
      <c r="V729" s="13"/>
      <c r="W729" s="12"/>
      <c r="X729" s="13"/>
      <c r="Y729" s="12"/>
      <c r="Z729" s="13"/>
      <c r="AA729" s="12"/>
      <c r="AB729" s="13"/>
      <c r="AC729" s="12"/>
      <c r="AD729" s="13"/>
      <c r="AE729" s="12"/>
      <c r="AF729" s="13"/>
      <c r="AG729" s="12"/>
      <c r="AH729" s="13"/>
      <c r="AI729" s="12"/>
      <c r="AJ729" s="13"/>
      <c r="AK729" s="12"/>
      <c r="AL729" s="13"/>
      <c r="AM729" s="12"/>
      <c r="AN729" s="13"/>
      <c r="AO729" s="12"/>
      <c r="AP729" s="13"/>
      <c r="AQ729" s="12"/>
      <c r="AR729" s="13"/>
      <c r="AS729" s="12"/>
      <c r="AT729" s="13"/>
      <c r="AU729" s="12"/>
      <c r="AV729" s="13"/>
      <c r="AW729" s="12"/>
      <c r="AX729" s="13"/>
      <c r="AY729" s="12"/>
      <c r="AZ729" s="13"/>
      <c r="BA729" s="12"/>
      <c r="BB729" s="13"/>
      <c r="BC729" s="12"/>
      <c r="BD729" s="13"/>
      <c r="BE729" s="12"/>
      <c r="BF729" s="13"/>
      <c r="BG729" s="12"/>
      <c r="BH729" s="13"/>
      <c r="BI729" s="12"/>
      <c r="BJ729" s="13"/>
      <c r="BK729" s="12"/>
      <c r="BL729" s="13"/>
      <c r="BM729" s="12"/>
      <c r="BN729" s="13"/>
      <c r="BO729" s="12"/>
      <c r="BP729" s="13"/>
      <c r="BQ729" s="12"/>
      <c r="BR729" s="13"/>
      <c r="BS729" s="12"/>
      <c r="BT729" s="13"/>
      <c r="BU729" s="12"/>
      <c r="BV729" s="13"/>
      <c r="BW729" s="12"/>
      <c r="BX729" s="13"/>
      <c r="BY729" s="12"/>
      <c r="BZ729" s="13"/>
      <c r="CA729" s="12"/>
      <c r="CB729" s="13"/>
      <c r="CC729" s="12"/>
      <c r="CD729" s="13"/>
      <c r="CE729" s="12"/>
      <c r="CF729" s="13"/>
      <c r="CG729" s="12"/>
      <c r="CH729" s="13"/>
      <c r="CI729" s="12"/>
      <c r="CJ729" s="13"/>
      <c r="CK729" s="12"/>
      <c r="CL729" s="13"/>
      <c r="CM729" s="550"/>
      <c r="CN729" s="13"/>
      <c r="CO729" s="550"/>
      <c r="CP729" s="13"/>
      <c r="CQ729" s="550"/>
      <c r="CR729" s="13"/>
      <c r="CS729" s="550"/>
      <c r="CT729" s="13"/>
      <c r="CU729" s="550"/>
      <c r="CV729" s="13"/>
      <c r="CW729" s="550"/>
      <c r="CX729" s="13"/>
      <c r="CY729" s="550"/>
      <c r="CZ729" s="13"/>
      <c r="DA729" s="550"/>
      <c r="DB729" s="13"/>
      <c r="DC729" s="550"/>
      <c r="DD729" s="13"/>
      <c r="DE729" s="550"/>
      <c r="DF729" s="13"/>
      <c r="DG729" s="550"/>
      <c r="DH729" s="13"/>
      <c r="DI729" s="550"/>
      <c r="DJ729" s="13"/>
      <c r="DK729" s="550"/>
      <c r="DL729" s="13"/>
      <c r="DM729" s="550"/>
      <c r="DN729" s="13"/>
      <c r="DO729" s="550"/>
      <c r="DP729" s="13"/>
      <c r="DQ729" s="550"/>
      <c r="DR729" s="13"/>
      <c r="DS729" s="550"/>
      <c r="DT729" s="13"/>
      <c r="DU729" s="550"/>
      <c r="DV729" s="13"/>
      <c r="DW729" s="550"/>
      <c r="DX729" s="13"/>
      <c r="DY729" s="550"/>
      <c r="DZ729" s="13"/>
      <c r="EA729" s="550"/>
      <c r="EB729" s="13"/>
      <c r="EC729" s="550"/>
      <c r="ED729" s="13"/>
      <c r="EE729" s="550"/>
      <c r="EF729" s="13"/>
      <c r="EG729" s="550"/>
      <c r="EH729" s="13"/>
      <c r="EI729" s="550"/>
      <c r="EJ729" s="13"/>
      <c r="EK729" s="550"/>
      <c r="EL729" s="13"/>
      <c r="EM729" s="550"/>
      <c r="EN729" s="13"/>
      <c r="EO729" s="550"/>
      <c r="EP729" s="13"/>
      <c r="EQ729" s="550"/>
      <c r="ER729" s="13"/>
      <c r="ES729" s="550"/>
      <c r="ET729" s="13"/>
      <c r="EU729" s="550"/>
      <c r="EV729" s="13"/>
      <c r="EW729" s="550"/>
      <c r="EX729" s="13"/>
      <c r="EY729" s="56"/>
      <c r="EZ729" s="558"/>
      <c r="FA729" s="56"/>
      <c r="FB729" s="12"/>
      <c r="FC729" s="13"/>
      <c r="FD729" s="12"/>
      <c r="FE729" s="13"/>
      <c r="FF729" s="12"/>
      <c r="FG729" s="13"/>
      <c r="FH729" s="12"/>
      <c r="FI729" s="13"/>
      <c r="FJ729" s="12"/>
      <c r="FK729" s="13"/>
      <c r="FL729" s="57"/>
      <c r="FM729" s="13"/>
      <c r="FN729" s="57"/>
      <c r="FO729" s="13"/>
      <c r="FP729" s="12"/>
      <c r="FQ729" s="13"/>
      <c r="FR729" s="12"/>
      <c r="FS729" s="13"/>
      <c r="FT729" s="12"/>
      <c r="FU729" s="13"/>
      <c r="FV729" s="12"/>
      <c r="FW729" s="13"/>
      <c r="FX729" s="12"/>
      <c r="FY729" s="13"/>
      <c r="FZ729" s="12"/>
      <c r="GA729" s="13"/>
      <c r="GB729" s="550"/>
      <c r="GC729" s="13"/>
      <c r="GD729" s="550"/>
      <c r="GE729" s="13"/>
      <c r="GF729" s="550"/>
      <c r="GG729" s="13"/>
      <c r="GH729" s="550"/>
      <c r="GI729" s="13"/>
      <c r="GJ729" s="550"/>
      <c r="GK729" s="13"/>
      <c r="GL729" s="550"/>
      <c r="GM729" s="13"/>
      <c r="GN729" s="550"/>
      <c r="GO729" s="13"/>
      <c r="GP729" s="550"/>
      <c r="GQ729" s="13"/>
      <c r="GR729" s="550"/>
      <c r="GS729" s="13"/>
      <c r="GT729" s="550"/>
      <c r="GU729" s="13"/>
      <c r="GV729" s="550"/>
      <c r="GW729" s="13"/>
      <c r="GX729" s="550"/>
      <c r="GY729" s="13"/>
      <c r="GZ729" s="13"/>
      <c r="HA729" s="13"/>
      <c r="HB729" s="452"/>
      <c r="HC729"/>
      <c r="HD729"/>
      <c r="HE729"/>
      <c r="HF729"/>
      <c r="HG729"/>
      <c r="HH729"/>
    </row>
    <row r="730" spans="1:216" s="5" customFormat="1" ht="12.75" hidden="1" customHeight="1" outlineLevel="1" x14ac:dyDescent="0.2">
      <c r="A730" s="11" t="s">
        <v>216</v>
      </c>
      <c r="B730" s="2" t="s">
        <v>549</v>
      </c>
      <c r="C730" s="12"/>
      <c r="D730" s="13"/>
      <c r="E730" s="12"/>
      <c r="F730" s="13"/>
      <c r="G730" s="12"/>
      <c r="H730" s="13"/>
      <c r="I730" s="12"/>
      <c r="J730" s="13"/>
      <c r="K730" s="12"/>
      <c r="L730" s="13"/>
      <c r="M730" s="12"/>
      <c r="N730" s="13"/>
      <c r="O730" s="12"/>
      <c r="P730" s="13"/>
      <c r="Q730" s="12"/>
      <c r="R730" s="13"/>
      <c r="S730" s="12"/>
      <c r="T730" s="13"/>
      <c r="U730" s="12"/>
      <c r="V730" s="13"/>
      <c r="W730" s="12"/>
      <c r="X730" s="13"/>
      <c r="Y730" s="12"/>
      <c r="Z730" s="13"/>
      <c r="AA730" s="12"/>
      <c r="AB730" s="13"/>
      <c r="AC730" s="12"/>
      <c r="AD730" s="13"/>
      <c r="AE730" s="12"/>
      <c r="AF730" s="13"/>
      <c r="AG730" s="12"/>
      <c r="AH730" s="13"/>
      <c r="AI730" s="12"/>
      <c r="AJ730" s="13"/>
      <c r="AK730" s="12"/>
      <c r="AL730" s="13"/>
      <c r="AM730" s="12"/>
      <c r="AN730" s="13"/>
      <c r="AO730" s="12"/>
      <c r="AP730" s="13"/>
      <c r="AQ730" s="12"/>
      <c r="AR730" s="13"/>
      <c r="AS730" s="12"/>
      <c r="AT730" s="13"/>
      <c r="AU730" s="12"/>
      <c r="AV730" s="13"/>
      <c r="AW730" s="12"/>
      <c r="AX730" s="13"/>
      <c r="AY730" s="12"/>
      <c r="AZ730" s="13"/>
      <c r="BA730" s="12"/>
      <c r="BB730" s="13"/>
      <c r="BC730" s="12"/>
      <c r="BD730" s="13"/>
      <c r="BE730" s="12"/>
      <c r="BF730" s="13"/>
      <c r="BG730" s="12"/>
      <c r="BH730" s="13"/>
      <c r="BI730" s="12"/>
      <c r="BJ730" s="13"/>
      <c r="BK730" s="12"/>
      <c r="BL730" s="13"/>
      <c r="BM730" s="12"/>
      <c r="BN730" s="13"/>
      <c r="BO730" s="12"/>
      <c r="BP730" s="13"/>
      <c r="BQ730" s="12"/>
      <c r="BR730" s="13"/>
      <c r="BS730" s="12"/>
      <c r="BT730" s="13"/>
      <c r="BU730" s="12"/>
      <c r="BV730" s="13"/>
      <c r="BW730" s="12"/>
      <c r="BX730" s="13"/>
      <c r="BY730" s="12"/>
      <c r="BZ730" s="13"/>
      <c r="CA730" s="12"/>
      <c r="CB730" s="13"/>
      <c r="CC730" s="12"/>
      <c r="CD730" s="13"/>
      <c r="CE730" s="12"/>
      <c r="CF730" s="13"/>
      <c r="CG730" s="12"/>
      <c r="CH730" s="13"/>
      <c r="CI730" s="12"/>
      <c r="CJ730" s="13"/>
      <c r="CK730" s="12"/>
      <c r="CL730" s="13"/>
      <c r="CM730" s="550"/>
      <c r="CN730" s="13"/>
      <c r="CO730" s="550"/>
      <c r="CP730" s="13"/>
      <c r="CQ730" s="550"/>
      <c r="CR730" s="13"/>
      <c r="CS730" s="550"/>
      <c r="CT730" s="13"/>
      <c r="CU730" s="550"/>
      <c r="CV730" s="13"/>
      <c r="CW730" s="550"/>
      <c r="CX730" s="13"/>
      <c r="CY730" s="550"/>
      <c r="CZ730" s="13"/>
      <c r="DA730" s="550"/>
      <c r="DB730" s="13"/>
      <c r="DC730" s="550"/>
      <c r="DD730" s="13"/>
      <c r="DE730" s="550"/>
      <c r="DF730" s="13"/>
      <c r="DG730" s="550"/>
      <c r="DH730" s="13"/>
      <c r="DI730" s="550"/>
      <c r="DJ730" s="13"/>
      <c r="DK730" s="550"/>
      <c r="DL730" s="13"/>
      <c r="DM730" s="550"/>
      <c r="DN730" s="13"/>
      <c r="DO730" s="550"/>
      <c r="DP730" s="13"/>
      <c r="DQ730" s="550"/>
      <c r="DR730" s="13"/>
      <c r="DS730" s="550"/>
      <c r="DT730" s="13"/>
      <c r="DU730" s="550"/>
      <c r="DV730" s="13"/>
      <c r="DW730" s="550"/>
      <c r="DX730" s="13"/>
      <c r="DY730" s="550"/>
      <c r="DZ730" s="13"/>
      <c r="EA730" s="550"/>
      <c r="EB730" s="13"/>
      <c r="EC730" s="550"/>
      <c r="ED730" s="13"/>
      <c r="EE730" s="550"/>
      <c r="EF730" s="13"/>
      <c r="EG730" s="550"/>
      <c r="EH730" s="13"/>
      <c r="EI730" s="550"/>
      <c r="EJ730" s="13"/>
      <c r="EK730" s="550"/>
      <c r="EL730" s="13"/>
      <c r="EM730" s="550"/>
      <c r="EN730" s="13"/>
      <c r="EO730" s="550"/>
      <c r="EP730" s="13"/>
      <c r="EQ730" s="550"/>
      <c r="ER730" s="13"/>
      <c r="ES730" s="550"/>
      <c r="ET730" s="13"/>
      <c r="EU730" s="550"/>
      <c r="EV730" s="13"/>
      <c r="EW730" s="550"/>
      <c r="EX730" s="13"/>
      <c r="EY730" s="56"/>
      <c r="EZ730" s="558"/>
      <c r="FA730" s="56"/>
      <c r="FB730" s="12"/>
      <c r="FC730" s="13"/>
      <c r="FD730" s="12"/>
      <c r="FE730" s="13"/>
      <c r="FF730" s="12"/>
      <c r="FG730" s="13"/>
      <c r="FH730" s="12"/>
      <c r="FI730" s="13"/>
      <c r="FJ730" s="12"/>
      <c r="FK730" s="13"/>
      <c r="FL730" s="57"/>
      <c r="FM730" s="13"/>
      <c r="FN730" s="57"/>
      <c r="FO730" s="13"/>
      <c r="FP730" s="12"/>
      <c r="FQ730" s="13"/>
      <c r="FR730" s="12"/>
      <c r="FS730" s="13"/>
      <c r="FT730" s="12"/>
      <c r="FU730" s="13"/>
      <c r="FV730" s="12"/>
      <c r="FW730" s="13"/>
      <c r="FX730" s="12"/>
      <c r="FY730" s="13"/>
      <c r="FZ730" s="12"/>
      <c r="GA730" s="13"/>
      <c r="GB730" s="550"/>
      <c r="GC730" s="13"/>
      <c r="GD730" s="550"/>
      <c r="GE730" s="13"/>
      <c r="GF730" s="550"/>
      <c r="GG730" s="13"/>
      <c r="GH730" s="550"/>
      <c r="GI730" s="13"/>
      <c r="GJ730" s="550"/>
      <c r="GK730" s="13"/>
      <c r="GL730" s="550"/>
      <c r="GM730" s="13"/>
      <c r="GN730" s="550"/>
      <c r="GO730" s="13"/>
      <c r="GP730" s="550"/>
      <c r="GQ730" s="13"/>
      <c r="GR730" s="550"/>
      <c r="GS730" s="13"/>
      <c r="GT730" s="550"/>
      <c r="GU730" s="13"/>
      <c r="GV730" s="550"/>
      <c r="GW730" s="13"/>
      <c r="GX730" s="550"/>
      <c r="GY730" s="13"/>
      <c r="GZ730" s="13"/>
      <c r="HA730" s="13"/>
      <c r="HB730" s="452"/>
      <c r="HC730"/>
      <c r="HD730"/>
      <c r="HE730"/>
      <c r="HF730"/>
      <c r="HG730"/>
      <c r="HH730"/>
    </row>
    <row r="731" spans="1:216" s="5" customFormat="1" ht="12.75" hidden="1" customHeight="1" outlineLevel="1" x14ac:dyDescent="0.2">
      <c r="A731" s="11" t="s">
        <v>217</v>
      </c>
      <c r="B731" s="2" t="s">
        <v>202</v>
      </c>
      <c r="C731" s="12"/>
      <c r="D731" s="13"/>
      <c r="E731" s="12"/>
      <c r="F731" s="13"/>
      <c r="G731" s="12"/>
      <c r="H731" s="13"/>
      <c r="I731" s="12"/>
      <c r="J731" s="13"/>
      <c r="K731" s="12"/>
      <c r="L731" s="13"/>
      <c r="M731" s="12"/>
      <c r="N731" s="13"/>
      <c r="O731" s="12"/>
      <c r="P731" s="13"/>
      <c r="Q731" s="12"/>
      <c r="R731" s="13"/>
      <c r="S731" s="12"/>
      <c r="T731" s="13"/>
      <c r="U731" s="12"/>
      <c r="V731" s="13"/>
      <c r="W731" s="12"/>
      <c r="X731" s="13"/>
      <c r="Y731" s="12"/>
      <c r="Z731" s="13"/>
      <c r="AA731" s="12"/>
      <c r="AB731" s="13"/>
      <c r="AC731" s="12"/>
      <c r="AD731" s="13"/>
      <c r="AE731" s="12"/>
      <c r="AF731" s="13"/>
      <c r="AG731" s="12"/>
      <c r="AH731" s="13"/>
      <c r="AI731" s="12"/>
      <c r="AJ731" s="13"/>
      <c r="AK731" s="12"/>
      <c r="AL731" s="13"/>
      <c r="AM731" s="12"/>
      <c r="AN731" s="13"/>
      <c r="AO731" s="12"/>
      <c r="AP731" s="13"/>
      <c r="AQ731" s="12"/>
      <c r="AR731" s="13"/>
      <c r="AS731" s="12"/>
      <c r="AT731" s="13"/>
      <c r="AU731" s="12"/>
      <c r="AV731" s="13"/>
      <c r="AW731" s="12"/>
      <c r="AX731" s="13"/>
      <c r="AY731" s="12"/>
      <c r="AZ731" s="13"/>
      <c r="BA731" s="12"/>
      <c r="BB731" s="13"/>
      <c r="BC731" s="12"/>
      <c r="BD731" s="13"/>
      <c r="BE731" s="12"/>
      <c r="BF731" s="13"/>
      <c r="BG731" s="12">
        <f>BG488+BG462+BG349</f>
        <v>-30.300000000000011</v>
      </c>
      <c r="BH731" s="13"/>
      <c r="BI731" s="12">
        <f>BI488+BI462+BI349</f>
        <v>-56.200000000000031</v>
      </c>
      <c r="BJ731" s="13"/>
      <c r="BK731" s="12">
        <f>BK488</f>
        <v>-69.89230769230771</v>
      </c>
      <c r="BL731" s="13"/>
      <c r="BM731" s="12">
        <f>BM488</f>
        <v>-62.407692307692272</v>
      </c>
      <c r="BN731" s="13"/>
      <c r="BO731" s="12">
        <f>BO488</f>
        <v>-57.346153846153847</v>
      </c>
      <c r="BP731" s="13"/>
      <c r="BQ731" s="12">
        <f>BQ488</f>
        <v>-68.300000000000011</v>
      </c>
      <c r="BR731" s="13"/>
      <c r="BS731" s="12">
        <f>BS488</f>
        <v>-58.5</v>
      </c>
      <c r="BT731" s="13"/>
      <c r="BU731" s="12">
        <f>BU488</f>
        <v>-58.861538461538473</v>
      </c>
      <c r="BV731" s="13"/>
      <c r="BW731" s="12">
        <f>BW488</f>
        <v>-116.35384615384616</v>
      </c>
      <c r="BX731" s="13"/>
      <c r="BY731" s="12">
        <f>BY488</f>
        <v>-86.299999999999983</v>
      </c>
      <c r="BZ731" s="13"/>
      <c r="CA731" s="12">
        <f>CA488</f>
        <v>-54</v>
      </c>
      <c r="CB731" s="13"/>
      <c r="CC731" s="12">
        <f>CC488</f>
        <v>-50.623076923076908</v>
      </c>
      <c r="CD731" s="13"/>
      <c r="CE731" s="12">
        <f>CE488</f>
        <v>-48.846153846153847</v>
      </c>
      <c r="CF731" s="13"/>
      <c r="CG731" s="12">
        <f>CG488</f>
        <v>-62.5</v>
      </c>
      <c r="CH731" s="13"/>
      <c r="CI731" s="12">
        <f>CI488</f>
        <v>-55.346153846153847</v>
      </c>
      <c r="CJ731" s="13"/>
      <c r="CK731" s="12">
        <f>CK488</f>
        <v>-50.623076923076944</v>
      </c>
      <c r="CL731" s="13"/>
      <c r="CM731" s="550">
        <f>CM488</f>
        <v>-57.900000000000006</v>
      </c>
      <c r="CN731" s="13"/>
      <c r="CO731" s="550">
        <f>CO488</f>
        <v>-56.538461538461533</v>
      </c>
      <c r="CP731" s="13"/>
      <c r="CQ731" s="550">
        <f>CQ488</f>
        <v>-42.53846153846154</v>
      </c>
      <c r="CR731" s="13"/>
      <c r="CS731" s="550">
        <f>CS488</f>
        <v>-55.230769230769234</v>
      </c>
      <c r="CT731" s="13"/>
      <c r="CU731" s="550">
        <f>CU488</f>
        <v>-57</v>
      </c>
      <c r="CV731" s="13"/>
      <c r="CW731" s="550">
        <f>CW488</f>
        <v>-43.307692307692307</v>
      </c>
      <c r="CX731" s="13"/>
      <c r="CY731" s="550">
        <f>CY488</f>
        <v>-133.61538461538461</v>
      </c>
      <c r="CZ731" s="13"/>
      <c r="DA731" s="550">
        <f>DA488</f>
        <v>-59.307692307692307</v>
      </c>
      <c r="DB731" s="13"/>
      <c r="DC731" s="550">
        <f>DC488</f>
        <v>-43.692307692307693</v>
      </c>
      <c r="DD731" s="13"/>
      <c r="DE731" s="550">
        <f>DE488</f>
        <v>-61</v>
      </c>
      <c r="DF731" s="13"/>
      <c r="DG731" s="550">
        <f>DG488</f>
        <v>-51.230769230769226</v>
      </c>
      <c r="DH731" s="13"/>
      <c r="DI731" s="550">
        <f>DI488</f>
        <v>-47.846153846153847</v>
      </c>
      <c r="DJ731" s="13"/>
      <c r="DK731" s="550">
        <f>DK488</f>
        <v>-46</v>
      </c>
      <c r="DL731" s="13"/>
      <c r="DM731" s="550">
        <f>DM488</f>
        <v>-43.230769230769226</v>
      </c>
      <c r="DN731" s="13"/>
      <c r="DO731" s="550">
        <f>DO488</f>
        <v>-45</v>
      </c>
      <c r="DP731" s="13"/>
      <c r="DQ731" s="550">
        <f>DQ488</f>
        <v>-40</v>
      </c>
      <c r="DR731" s="13"/>
      <c r="DS731" s="550">
        <f>DS488</f>
        <v>-44</v>
      </c>
      <c r="DT731" s="13"/>
      <c r="DU731" s="550">
        <f>DU488</f>
        <v>-46.692307692307693</v>
      </c>
      <c r="DV731" s="13"/>
      <c r="DW731" s="550">
        <f>DW488</f>
        <v>-47.61538461538462</v>
      </c>
      <c r="DX731" s="13"/>
      <c r="DY731" s="550">
        <f>DY488</f>
        <v>-45</v>
      </c>
      <c r="DZ731" s="13"/>
      <c r="EA731" s="550">
        <f>EA488</f>
        <v>-27</v>
      </c>
      <c r="EB731" s="13"/>
      <c r="EC731" s="550">
        <f>EC488</f>
        <v>-46</v>
      </c>
      <c r="ED731" s="13"/>
      <c r="EE731" s="550">
        <f>EE488</f>
        <v>-73.15384615384616</v>
      </c>
      <c r="EF731" s="13"/>
      <c r="EG731" s="550">
        <f>EG488</f>
        <v>-72</v>
      </c>
      <c r="EH731" s="13"/>
      <c r="EI731" s="550">
        <f>EI488</f>
        <v>-41</v>
      </c>
      <c r="EJ731" s="13"/>
      <c r="EK731" s="550">
        <f t="shared" ref="EK731:EM731" si="4365">EK488</f>
        <v>-63</v>
      </c>
      <c r="EL731" s="13"/>
      <c r="EM731" s="550">
        <f t="shared" si="4365"/>
        <v>-100</v>
      </c>
      <c r="EN731" s="13"/>
      <c r="EO731" s="550">
        <f t="shared" ref="EO731" si="4366">EO488</f>
        <v>-63</v>
      </c>
      <c r="EP731" s="13"/>
      <c r="EQ731" s="550">
        <f t="shared" ref="EQ731:EW731" si="4367">EQ488</f>
        <v>-72.035000000000011</v>
      </c>
      <c r="ER731" s="13"/>
      <c r="ES731" s="550">
        <f t="shared" si="4367"/>
        <v>-71.693300000000022</v>
      </c>
      <c r="ET731" s="13"/>
      <c r="EU731" s="550">
        <f t="shared" si="4367"/>
        <v>-71.349891500000027</v>
      </c>
      <c r="EV731" s="13"/>
      <c r="EW731" s="550">
        <f t="shared" si="4367"/>
        <v>-71.004765957500041</v>
      </c>
      <c r="EX731" s="13"/>
      <c r="EY731" s="56"/>
      <c r="EZ731" s="558"/>
      <c r="FA731" s="56"/>
      <c r="FB731" s="12"/>
      <c r="FC731" s="13"/>
      <c r="FD731" s="12"/>
      <c r="FE731" s="13"/>
      <c r="FF731" s="12"/>
      <c r="FG731" s="13"/>
      <c r="FH731" s="12"/>
      <c r="FI731" s="13"/>
      <c r="FJ731" s="12"/>
      <c r="FK731" s="13"/>
      <c r="FL731" s="57"/>
      <c r="FM731" s="13"/>
      <c r="FN731" s="12">
        <f>FN488</f>
        <v>0</v>
      </c>
      <c r="FO731" s="13"/>
      <c r="FP731" s="12">
        <f>FP488</f>
        <v>-62.57692307692308</v>
      </c>
      <c r="FQ731" s="13"/>
      <c r="FR731" s="12">
        <f>FR488</f>
        <v>-165.29999999999993</v>
      </c>
      <c r="FS731" s="13"/>
      <c r="FT731" s="12">
        <f>FT488</f>
        <v>-253.39999999999986</v>
      </c>
      <c r="FU731" s="13"/>
      <c r="FV731" s="12">
        <f>FV488</f>
        <v>-243.00769230769237</v>
      </c>
      <c r="FW731" s="13"/>
      <c r="FX731" s="12">
        <f>FX488</f>
        <v>-307.27692307692303</v>
      </c>
      <c r="FY731" s="13"/>
      <c r="FZ731" s="12">
        <f>FZ488</f>
        <v>-217.3153846153846</v>
      </c>
      <c r="GA731" s="13"/>
      <c r="GB731" s="550">
        <f>GB488</f>
        <v>-212.20769230769241</v>
      </c>
      <c r="GC731" s="13"/>
      <c r="GD731" s="550">
        <f>GD488</f>
        <v>-293.23076923076923</v>
      </c>
      <c r="GE731" s="13"/>
      <c r="GF731" s="550">
        <f>GF488</f>
        <v>-203.76923076923077</v>
      </c>
      <c r="GG731" s="13"/>
      <c r="GH731" s="550">
        <f>GH488</f>
        <v>-174.23076923076923</v>
      </c>
      <c r="GI731" s="13"/>
      <c r="GJ731" s="550">
        <f>GJ488</f>
        <v>-183.30769230769232</v>
      </c>
      <c r="GK731" s="13"/>
      <c r="GL731" s="550">
        <f>GL488</f>
        <v>-218.15384615384616</v>
      </c>
      <c r="GM731" s="13"/>
      <c r="GN731" s="550">
        <f>GN488</f>
        <v>-267</v>
      </c>
      <c r="GO731" s="13"/>
      <c r="GP731" s="550">
        <f>GP488</f>
        <v>-286.08295745750013</v>
      </c>
      <c r="GQ731" s="13"/>
      <c r="GR731" s="550">
        <f>GR488</f>
        <v>-250.88878703207507</v>
      </c>
      <c r="GS731" s="13"/>
      <c r="GT731" s="550">
        <f>GT488</f>
        <v>-157.7348506430373</v>
      </c>
      <c r="GU731" s="13"/>
      <c r="GV731" s="550">
        <f>GV488</f>
        <v>-154.43438416232846</v>
      </c>
      <c r="GW731" s="13"/>
      <c r="GX731" s="550">
        <f>GX488</f>
        <v>-150.98195344719835</v>
      </c>
      <c r="GY731" s="13"/>
      <c r="GZ731" s="13"/>
      <c r="HA731" s="13"/>
      <c r="HB731" s="452"/>
      <c r="HC731"/>
      <c r="HD731"/>
      <c r="HE731"/>
      <c r="HF731"/>
      <c r="HG731"/>
      <c r="HH731"/>
    </row>
    <row r="732" spans="1:216" s="5" customFormat="1" ht="12.75" hidden="1" customHeight="1" outlineLevel="1" x14ac:dyDescent="0.2">
      <c r="A732" s="11"/>
      <c r="B732" s="2" t="s">
        <v>476</v>
      </c>
      <c r="C732" s="12"/>
      <c r="D732" s="13"/>
      <c r="E732" s="12"/>
      <c r="F732" s="13"/>
      <c r="G732" s="12"/>
      <c r="H732" s="13"/>
      <c r="I732" s="12"/>
      <c r="J732" s="13"/>
      <c r="K732" s="12"/>
      <c r="L732" s="13"/>
      <c r="M732" s="12"/>
      <c r="N732" s="13"/>
      <c r="O732" s="12"/>
      <c r="P732" s="13"/>
      <c r="Q732" s="12"/>
      <c r="R732" s="13"/>
      <c r="S732" s="12"/>
      <c r="T732" s="13"/>
      <c r="U732" s="12"/>
      <c r="V732" s="13"/>
      <c r="W732" s="12"/>
      <c r="X732" s="13"/>
      <c r="Y732" s="12"/>
      <c r="Z732" s="13"/>
      <c r="AA732" s="12"/>
      <c r="AB732" s="13"/>
      <c r="AC732" s="12"/>
      <c r="AD732" s="13"/>
      <c r="AE732" s="12"/>
      <c r="AF732" s="13"/>
      <c r="AG732" s="12"/>
      <c r="AH732" s="13"/>
      <c r="AI732" s="12"/>
      <c r="AJ732" s="13"/>
      <c r="AK732" s="12"/>
      <c r="AL732" s="13"/>
      <c r="AM732" s="12"/>
      <c r="AN732" s="13"/>
      <c r="AO732" s="12"/>
      <c r="AP732" s="13"/>
      <c r="AQ732" s="12"/>
      <c r="AR732" s="13"/>
      <c r="AS732" s="12"/>
      <c r="AT732" s="13"/>
      <c r="AU732" s="12"/>
      <c r="AV732" s="13"/>
      <c r="AW732" s="12"/>
      <c r="AX732" s="13"/>
      <c r="AY732" s="12"/>
      <c r="AZ732" s="13"/>
      <c r="BA732" s="12"/>
      <c r="BB732" s="13"/>
      <c r="BC732" s="12"/>
      <c r="BD732" s="13"/>
      <c r="BE732" s="12"/>
      <c r="BF732" s="13"/>
      <c r="BG732" s="12">
        <f>BG119+BG180+BG276+BG312+BG488</f>
        <v>441.12307692307706</v>
      </c>
      <c r="BH732" s="502"/>
      <c r="BI732" s="12">
        <f>BI119+BI180+BI276+BI312+BI488</f>
        <v>439.35384615384612</v>
      </c>
      <c r="BJ732" s="502"/>
      <c r="BK732" s="12">
        <f>BK119+BK180+BK276+BK312+BK488</f>
        <v>467.21538461538461</v>
      </c>
      <c r="BL732" s="502"/>
      <c r="BM732" s="12">
        <f>BM119+BM180+BM276+BM312+BM488</f>
        <v>512.6153846153843</v>
      </c>
      <c r="BN732" s="502"/>
      <c r="BO732" s="12">
        <f>BO119+BO180+BO276+BO312+BO488</f>
        <v>434.89230769230772</v>
      </c>
      <c r="BP732" s="502"/>
      <c r="BQ732" s="12">
        <f>BQ119+BQ180+BQ276+BQ312+BQ488</f>
        <v>437.90000000000009</v>
      </c>
      <c r="BR732" s="502"/>
      <c r="BS732" s="12">
        <f>BS119+BS180+BS276+BS312+BS488</f>
        <v>407.1538461538463</v>
      </c>
      <c r="BT732" s="502"/>
      <c r="BU732" s="12">
        <f>BU119+BU180+BU276+BU312+BU488</f>
        <v>266.91538461538443</v>
      </c>
      <c r="BV732" s="502"/>
      <c r="BW732" s="12">
        <f>BW119+BW180+BW276+BW312+BW488</f>
        <v>215.84615384615392</v>
      </c>
      <c r="BX732" s="502"/>
      <c r="BY732" s="12">
        <f>BY119+BY180+BY276+BY312+BY488</f>
        <v>277.00000000000011</v>
      </c>
      <c r="BZ732" s="502"/>
      <c r="CA732" s="12">
        <f>CA119+CA180+CA276+CA312+CA488</f>
        <v>340.67153846153832</v>
      </c>
      <c r="CB732" s="502"/>
      <c r="CC732" s="12">
        <f>CC119+CC180+CC276+CC312+CC488</f>
        <v>400.94615384615389</v>
      </c>
      <c r="CD732" s="502"/>
      <c r="CE732" s="12">
        <f>CE119+CE180+CE276+CE312+CE488</f>
        <v>391.16923076923075</v>
      </c>
      <c r="CF732" s="502"/>
      <c r="CG732" s="12">
        <f>CG119+CG180+CG276+CG312+CG488</f>
        <v>388.90000000000009</v>
      </c>
      <c r="CH732" s="502"/>
      <c r="CI732" s="12">
        <f>CI119+CI180+CI276+CI312+CI488</f>
        <v>355.12307692307689</v>
      </c>
      <c r="CJ732" s="502"/>
      <c r="CK732" s="12">
        <f>CK119+CK180+CK276+CK312+CK488</f>
        <v>409.13076923076909</v>
      </c>
      <c r="CL732" s="502"/>
      <c r="CM732" s="550">
        <f>CM725+CM726+CM727+CM728+CM731</f>
        <v>371.43076923076944</v>
      </c>
      <c r="CN732" s="502"/>
      <c r="CO732" s="550">
        <f>CO725+CO726+CO727+CO728+CO731</f>
        <v>390.49230769230746</v>
      </c>
      <c r="CP732" s="502"/>
      <c r="CQ732" s="550">
        <f>CQ725+CQ726+CQ727+CQ728+CQ731</f>
        <v>397.61538461538453</v>
      </c>
      <c r="CR732" s="502"/>
      <c r="CS732" s="550">
        <f>CS725+CS726+CS727+CS728+CS731</f>
        <v>373.61538461538458</v>
      </c>
      <c r="CT732" s="502"/>
      <c r="CU732" s="550">
        <f>CU725+CU726+CU727+CU728+CU731</f>
        <v>384</v>
      </c>
      <c r="CV732" s="502"/>
      <c r="CW732" s="550">
        <f>CW725+CW726+CW727+CW728+CW731</f>
        <v>407.23076923076923</v>
      </c>
      <c r="CX732" s="502"/>
      <c r="CY732" s="550">
        <f>CY725+CY726+CY727+CY728+CY731</f>
        <v>310.69230769230762</v>
      </c>
      <c r="CZ732" s="502"/>
      <c r="DA732" s="550">
        <f>DA725+DA726+DA727+DA728+DA731</f>
        <v>371.69230769230762</v>
      </c>
      <c r="DB732" s="502"/>
      <c r="DC732" s="550">
        <f>DC725+DC726+DC727+DC728+DC731</f>
        <v>395.76615384615383</v>
      </c>
      <c r="DD732" s="502"/>
      <c r="DE732" s="550">
        <f>DE725+DE726+DE727+DE728+DE731</f>
        <v>441.76923076923077</v>
      </c>
      <c r="DF732" s="502"/>
      <c r="DG732" s="550">
        <f>DG725+DG726+DG727+DG728+DG731</f>
        <v>443.92307692307696</v>
      </c>
      <c r="DH732" s="502"/>
      <c r="DI732" s="550">
        <f>DI725+DI726+DI727+DI728+DI731</f>
        <v>474.5384615384616</v>
      </c>
      <c r="DJ732" s="502"/>
      <c r="DK732" s="550">
        <f>DK725+DK726+DK727+DK728+DK731</f>
        <v>481</v>
      </c>
      <c r="DL732" s="502"/>
      <c r="DM732" s="550">
        <f>DM725+DM726+DM727+DM728+DM731</f>
        <v>515.07692307692309</v>
      </c>
      <c r="DN732" s="502"/>
      <c r="DO732" s="550">
        <f>DO725+DO726+DO727+DO728+DO731</f>
        <v>544.53846153846155</v>
      </c>
      <c r="DP732" s="502"/>
      <c r="DQ732" s="550">
        <f>DQ725+DQ726+DQ727+DQ728+DQ731</f>
        <v>494.46153846153845</v>
      </c>
      <c r="DR732" s="502"/>
      <c r="DS732" s="550">
        <f>DS725+DS726+DS727+DS728+DS731</f>
        <v>443</v>
      </c>
      <c r="DT732" s="502"/>
      <c r="DU732" s="550">
        <f>DU725+DU726+DU727+DU728+DU731</f>
        <v>502.30769230769232</v>
      </c>
      <c r="DV732" s="502"/>
      <c r="DW732" s="550">
        <f>DW725+DW726+DW727+DW728+DW731</f>
        <v>578.61538461538464</v>
      </c>
      <c r="DX732" s="502"/>
      <c r="DY732" s="550">
        <f>DY725+DY726+DY727+DY728+DY731</f>
        <v>504</v>
      </c>
      <c r="DZ732" s="502"/>
      <c r="EA732" s="550">
        <f>EA725+EA726+EA727+EA728+EA731</f>
        <v>481.61538461538458</v>
      </c>
      <c r="EB732" s="502"/>
      <c r="EC732" s="550">
        <f>EC725+EC726+EC727+EC728+EC731</f>
        <v>489</v>
      </c>
      <c r="ED732" s="502"/>
      <c r="EE732" s="550">
        <f>EE725+EE726+EE727+EE728+EE731</f>
        <v>520.69230769230762</v>
      </c>
      <c r="EF732" s="502"/>
      <c r="EG732" s="550">
        <f>EG725+EG726+EG727+EG728+EG731</f>
        <v>533</v>
      </c>
      <c r="EH732" s="502"/>
      <c r="EI732" s="550">
        <f>EI725+EI726+EI727+EI728+EI731</f>
        <v>417.30769230769226</v>
      </c>
      <c r="EJ732" s="502"/>
      <c r="EK732" s="550">
        <f t="shared" ref="EK732:EM732" si="4368">EK725+EK726+EK727+EK728+EK731</f>
        <v>544</v>
      </c>
      <c r="EL732" s="502"/>
      <c r="EM732" s="550">
        <f t="shared" si="4368"/>
        <v>534.46153846153845</v>
      </c>
      <c r="EN732" s="502"/>
      <c r="EO732" s="550">
        <f t="shared" ref="EO732" si="4369">EO725+EO726+EO727+EO728+EO731</f>
        <v>581</v>
      </c>
      <c r="EP732" s="502"/>
      <c r="EQ732" s="550">
        <f t="shared" ref="EQ732:EW732" si="4370">EQ725+EQ726+EQ727+EQ728+EQ731</f>
        <v>513.3088352670203</v>
      </c>
      <c r="ER732" s="502"/>
      <c r="ES732" s="550">
        <f t="shared" si="4370"/>
        <v>547.86874583204326</v>
      </c>
      <c r="ET732" s="502"/>
      <c r="EU732" s="550">
        <f t="shared" si="4370"/>
        <v>571.16449338643645</v>
      </c>
      <c r="EV732" s="502"/>
      <c r="EW732" s="550">
        <f t="shared" si="4370"/>
        <v>587.70927887107712</v>
      </c>
      <c r="EX732" s="502"/>
      <c r="EY732" s="12"/>
      <c r="EZ732" s="558"/>
      <c r="FA732" s="12"/>
      <c r="FB732" s="12"/>
      <c r="FC732" s="12"/>
      <c r="FD732" s="12"/>
      <c r="FE732" s="502"/>
      <c r="FF732" s="12"/>
      <c r="FG732" s="502"/>
      <c r="FH732" s="12"/>
      <c r="FI732" s="502"/>
      <c r="FJ732" s="12"/>
      <c r="FK732" s="502"/>
      <c r="FL732" s="12"/>
      <c r="FM732" s="502"/>
      <c r="FN732" s="12">
        <f>FN119+FN180+FN276+FN312+FN488</f>
        <v>998.62499999999977</v>
      </c>
      <c r="FO732" s="502"/>
      <c r="FP732" s="12">
        <f>FP119+FP180+FP276+FP312+FP488</f>
        <v>953.02569230769234</v>
      </c>
      <c r="FQ732" s="502"/>
      <c r="FR732" s="12">
        <f>FR119+FR180+FR276+FR312+FR488</f>
        <v>1401.153846153846</v>
      </c>
      <c r="FS732" s="502"/>
      <c r="FT732" s="12">
        <f>FT119+FT180+FT276+FT312+FT488</f>
        <v>1860.3076923076917</v>
      </c>
      <c r="FU732" s="502"/>
      <c r="FV732" s="12">
        <f>FV119+FV180+FV276+FV312+FV488</f>
        <v>1546.8615384615387</v>
      </c>
      <c r="FW732" s="502"/>
      <c r="FX732" s="12">
        <f>FX119+FX180+FX276+FX312+FX488</f>
        <v>1234.4638461538466</v>
      </c>
      <c r="FY732" s="502"/>
      <c r="FZ732" s="550">
        <f>FZ725+FZ726+FZ727+FZ728+FZ731</f>
        <v>1544.3230769230761</v>
      </c>
      <c r="GA732" s="502"/>
      <c r="GB732" s="550">
        <f>GB725+GB726+GB727+GB728+GB731</f>
        <v>1533.1538461538462</v>
      </c>
      <c r="GC732" s="502"/>
      <c r="GD732" s="550">
        <f>GD725+GD726+GD727+GD728+GD731</f>
        <v>1473.6153846153845</v>
      </c>
      <c r="GE732" s="502"/>
      <c r="GF732" s="550">
        <f>GF725+GF726+GF727+GF728+GF731</f>
        <v>1755.9969230769232</v>
      </c>
      <c r="GG732" s="502"/>
      <c r="GH732" s="550">
        <f>GH725+GH726+GH727+GH728+GH731</f>
        <v>2035.0769230769231</v>
      </c>
      <c r="GI732" s="502"/>
      <c r="GJ732" s="550">
        <f>GJ725+GJ726+GJ727+GJ728+GJ731</f>
        <v>2027.9230769230771</v>
      </c>
      <c r="GK732" s="502"/>
      <c r="GL732" s="550">
        <f>GL725+GL726+GL727+GL728+GL731</f>
        <v>2024.3076923076924</v>
      </c>
      <c r="GM732" s="502"/>
      <c r="GN732" s="550">
        <f>GN725+GN726+GN727+GN728+GN731</f>
        <v>2076.7692307692305</v>
      </c>
      <c r="GO732" s="502"/>
      <c r="GP732" s="550">
        <f>GP725+GP726+GP727+GP728+GP731</f>
        <v>2220.0513533565754</v>
      </c>
      <c r="GQ732" s="502"/>
      <c r="GR732" s="550">
        <f>GR725+GR726+GR727+GR728+GR731</f>
        <v>2389.0174005591275</v>
      </c>
      <c r="GS732" s="502"/>
      <c r="GT732" s="550">
        <f>GT725+GT726+GT727+GT728+GT731</f>
        <v>2626.0975665901283</v>
      </c>
      <c r="GU732" s="502"/>
      <c r="GV732" s="550">
        <f>GV725+GV726+GV727+GV728+GV731</f>
        <v>2757.1901789678268</v>
      </c>
      <c r="GW732" s="502"/>
      <c r="GX732" s="550">
        <f>GX725+GX726+GX727+GX728+GX731</f>
        <v>2901.5741790132406</v>
      </c>
      <c r="GY732" s="502"/>
      <c r="GZ732" s="13"/>
      <c r="HA732" s="13"/>
      <c r="HB732" s="452"/>
      <c r="HC732"/>
      <c r="HD732"/>
      <c r="HE732"/>
      <c r="HF732"/>
      <c r="HG732"/>
      <c r="HH732"/>
    </row>
    <row r="733" spans="1:216" s="5" customFormat="1" ht="12.75" hidden="1" customHeight="1" outlineLevel="1" x14ac:dyDescent="0.2">
      <c r="A733" s="11"/>
      <c r="B733" s="2"/>
      <c r="C733" s="12"/>
      <c r="D733" s="13"/>
      <c r="E733" s="12"/>
      <c r="F733" s="13"/>
      <c r="G733" s="12"/>
      <c r="H733" s="13"/>
      <c r="I733" s="12"/>
      <c r="J733" s="13"/>
      <c r="K733" s="12"/>
      <c r="L733" s="13"/>
      <c r="M733" s="12"/>
      <c r="N733" s="13"/>
      <c r="O733" s="12"/>
      <c r="P733" s="13"/>
      <c r="Q733" s="12"/>
      <c r="R733" s="13"/>
      <c r="S733" s="12"/>
      <c r="T733" s="13"/>
      <c r="U733" s="12"/>
      <c r="V733" s="13"/>
      <c r="W733" s="12"/>
      <c r="X733" s="13"/>
      <c r="Y733" s="12"/>
      <c r="Z733" s="13"/>
      <c r="AA733" s="12"/>
      <c r="AB733" s="13"/>
      <c r="AC733" s="12"/>
      <c r="AD733" s="13"/>
      <c r="AE733" s="12"/>
      <c r="AF733" s="13"/>
      <c r="AG733" s="12"/>
      <c r="AH733" s="13"/>
      <c r="AI733" s="12"/>
      <c r="AJ733" s="13"/>
      <c r="AK733" s="12"/>
      <c r="AL733" s="13"/>
      <c r="AM733" s="12"/>
      <c r="AN733" s="13"/>
      <c r="AO733" s="12"/>
      <c r="AP733" s="13"/>
      <c r="AQ733" s="12"/>
      <c r="AR733" s="13"/>
      <c r="AS733" s="12"/>
      <c r="AT733" s="13"/>
      <c r="AU733" s="12"/>
      <c r="AV733" s="13"/>
      <c r="AW733" s="12"/>
      <c r="AX733" s="13"/>
      <c r="AY733" s="12"/>
      <c r="AZ733" s="13"/>
      <c r="BA733" s="12"/>
      <c r="BB733" s="13"/>
      <c r="BC733" s="12"/>
      <c r="BD733" s="13"/>
      <c r="BE733" s="12"/>
      <c r="BF733" s="13"/>
      <c r="BG733" s="12"/>
      <c r="BH733" s="13"/>
      <c r="BI733" s="12"/>
      <c r="BJ733" s="13"/>
      <c r="BK733" s="12"/>
      <c r="BL733" s="13"/>
      <c r="BM733" s="12"/>
      <c r="BN733" s="13"/>
      <c r="BO733" s="12"/>
      <c r="BP733" s="13"/>
      <c r="BQ733" s="12"/>
      <c r="BR733" s="13"/>
      <c r="BS733" s="12"/>
      <c r="BT733" s="13"/>
      <c r="BU733" s="12"/>
      <c r="BV733" s="13"/>
      <c r="BW733" s="12"/>
      <c r="BX733" s="13"/>
      <c r="BY733" s="12"/>
      <c r="BZ733" s="13"/>
      <c r="CA733" s="12"/>
      <c r="CB733" s="13"/>
      <c r="CC733" s="12"/>
      <c r="CD733" s="13"/>
      <c r="CE733" s="12"/>
      <c r="CF733" s="13"/>
      <c r="CG733" s="12"/>
      <c r="CH733" s="13"/>
      <c r="CI733" s="12"/>
      <c r="CJ733" s="13"/>
      <c r="CK733" s="12"/>
      <c r="CL733" s="13"/>
      <c r="CM733" s="12"/>
      <c r="CN733" s="13"/>
      <c r="CO733" s="12"/>
      <c r="CP733" s="13"/>
      <c r="CQ733" s="12"/>
      <c r="CR733" s="13"/>
      <c r="CS733" s="12"/>
      <c r="CT733" s="13"/>
      <c r="CU733" s="12"/>
      <c r="CV733" s="13"/>
      <c r="CW733" s="12"/>
      <c r="CX733" s="13"/>
      <c r="CY733" s="12"/>
      <c r="CZ733" s="13"/>
      <c r="DA733" s="12"/>
      <c r="DB733" s="13"/>
      <c r="DC733" s="12"/>
      <c r="DD733" s="13"/>
      <c r="DE733" s="12"/>
      <c r="DF733" s="13"/>
      <c r="DG733" s="12"/>
      <c r="DH733" s="13"/>
      <c r="DI733" s="12"/>
      <c r="DJ733" s="13"/>
      <c r="DK733" s="12"/>
      <c r="DL733" s="13"/>
      <c r="DM733" s="12"/>
      <c r="DN733" s="13"/>
      <c r="DO733" s="12"/>
      <c r="DP733" s="13"/>
      <c r="DQ733" s="12"/>
      <c r="DR733" s="13"/>
      <c r="DS733" s="12"/>
      <c r="DT733" s="13"/>
      <c r="DU733" s="12"/>
      <c r="DV733" s="13"/>
      <c r="DW733" s="12"/>
      <c r="DX733" s="13"/>
      <c r="DY733" s="12"/>
      <c r="DZ733" s="13"/>
      <c r="EA733" s="12"/>
      <c r="EB733" s="13"/>
      <c r="EC733" s="12"/>
      <c r="ED733" s="13"/>
      <c r="EE733" s="12"/>
      <c r="EF733" s="13"/>
      <c r="EG733" s="12"/>
      <c r="EH733" s="13"/>
      <c r="EI733" s="12"/>
      <c r="EJ733" s="13"/>
      <c r="EK733" s="12"/>
      <c r="EL733" s="13"/>
      <c r="EM733" s="12"/>
      <c r="EN733" s="13"/>
      <c r="EO733" s="12"/>
      <c r="EP733" s="13"/>
      <c r="EQ733" s="12"/>
      <c r="ER733" s="13"/>
      <c r="ES733" s="12"/>
      <c r="ET733" s="13"/>
      <c r="EU733" s="12"/>
      <c r="EV733" s="13"/>
      <c r="EW733" s="12"/>
      <c r="EX733" s="13"/>
      <c r="EY733" s="56"/>
      <c r="EZ733" s="558"/>
      <c r="FA733" s="56"/>
      <c r="FB733" s="12"/>
      <c r="FC733" s="13"/>
      <c r="FD733" s="12"/>
      <c r="FE733" s="13"/>
      <c r="FF733" s="12"/>
      <c r="FG733" s="13"/>
      <c r="FH733" s="12"/>
      <c r="FI733" s="13"/>
      <c r="FJ733" s="12"/>
      <c r="FK733" s="13"/>
      <c r="FL733" s="57"/>
      <c r="FM733" s="13"/>
      <c r="FN733" s="57"/>
      <c r="FO733" s="13"/>
      <c r="FP733" s="12"/>
      <c r="FQ733" s="13"/>
      <c r="FR733" s="12"/>
      <c r="FS733" s="13"/>
      <c r="FT733" s="12"/>
      <c r="FU733" s="13"/>
      <c r="FV733" s="12"/>
      <c r="FW733" s="13"/>
      <c r="FX733" s="12"/>
      <c r="FY733" s="13"/>
      <c r="FZ733" s="12"/>
      <c r="GA733" s="13"/>
      <c r="GB733" s="12"/>
      <c r="GC733" s="13"/>
      <c r="GD733" s="12"/>
      <c r="GE733" s="13"/>
      <c r="GF733" s="12"/>
      <c r="GG733" s="13"/>
      <c r="GH733" s="12"/>
      <c r="GI733" s="13"/>
      <c r="GJ733" s="12"/>
      <c r="GK733" s="13"/>
      <c r="GL733" s="12"/>
      <c r="GM733" s="13"/>
      <c r="GN733" s="12"/>
      <c r="GO733" s="13"/>
      <c r="GP733" s="12"/>
      <c r="GQ733" s="13"/>
      <c r="GR733" s="12"/>
      <c r="GS733" s="13"/>
      <c r="GT733" s="12"/>
      <c r="GU733" s="13"/>
      <c r="GV733" s="12"/>
      <c r="GW733" s="13"/>
      <c r="GX733" s="12"/>
      <c r="GY733" s="13"/>
      <c r="GZ733" s="13"/>
      <c r="HA733" s="13"/>
      <c r="HB733" s="452"/>
      <c r="HC733"/>
      <c r="HD733"/>
      <c r="HE733"/>
      <c r="HF733"/>
      <c r="HG733"/>
      <c r="HH733"/>
    </row>
    <row r="734" spans="1:216" s="5" customFormat="1" ht="12.75" hidden="1" customHeight="1" outlineLevel="1" x14ac:dyDescent="0.2">
      <c r="A734" s="11" t="s">
        <v>218</v>
      </c>
      <c r="B734" s="2" t="s">
        <v>550</v>
      </c>
      <c r="C734" s="12"/>
      <c r="D734" s="13"/>
      <c r="E734" s="12"/>
      <c r="F734" s="13"/>
      <c r="G734" s="12"/>
      <c r="H734" s="13"/>
      <c r="I734" s="12"/>
      <c r="J734" s="13"/>
      <c r="K734" s="12"/>
      <c r="L734" s="13"/>
      <c r="M734" s="12"/>
      <c r="N734" s="13"/>
      <c r="O734" s="12"/>
      <c r="P734" s="13"/>
      <c r="Q734" s="12"/>
      <c r="R734" s="13"/>
      <c r="S734" s="12"/>
      <c r="T734" s="13"/>
      <c r="U734" s="12"/>
      <c r="V734" s="13"/>
      <c r="W734" s="12"/>
      <c r="X734" s="13"/>
      <c r="Y734" s="12"/>
      <c r="Z734" s="13"/>
      <c r="AA734" s="12"/>
      <c r="AB734" s="13"/>
      <c r="AC734" s="12"/>
      <c r="AD734" s="13"/>
      <c r="AE734" s="12"/>
      <c r="AF734" s="13"/>
      <c r="AG734" s="12"/>
      <c r="AH734" s="13"/>
      <c r="AI734" s="12"/>
      <c r="AJ734" s="13"/>
      <c r="AK734" s="12"/>
      <c r="AL734" s="13"/>
      <c r="AM734" s="12"/>
      <c r="AN734" s="13"/>
      <c r="AO734" s="12"/>
      <c r="AP734" s="13"/>
      <c r="AQ734" s="12"/>
      <c r="AR734" s="13"/>
      <c r="AS734" s="12"/>
      <c r="AT734" s="13"/>
      <c r="AU734" s="12"/>
      <c r="AV734" s="13"/>
      <c r="AW734" s="12"/>
      <c r="AX734" s="13"/>
      <c r="AY734" s="12"/>
      <c r="AZ734" s="13"/>
      <c r="BA734" s="12"/>
      <c r="BB734" s="13"/>
      <c r="BC734" s="12"/>
      <c r="BD734" s="13"/>
      <c r="BE734" s="12"/>
      <c r="BF734" s="13"/>
      <c r="BG734" s="12">
        <f>BG704</f>
        <v>194.29999999999998</v>
      </c>
      <c r="BH734" s="13"/>
      <c r="BI734" s="12">
        <f>BI704</f>
        <v>172.20000000000002</v>
      </c>
      <c r="BJ734" s="13"/>
      <c r="BK734" s="12">
        <f>BK704</f>
        <v>172.8</v>
      </c>
      <c r="BL734" s="13"/>
      <c r="BM734" s="12">
        <f>BM704</f>
        <v>175.50000000000003</v>
      </c>
      <c r="BN734" s="13"/>
      <c r="BO734" s="12">
        <f>BO704</f>
        <v>140.30000000000001</v>
      </c>
      <c r="BP734" s="13"/>
      <c r="BQ734" s="12">
        <f>BQ704</f>
        <v>147.5</v>
      </c>
      <c r="BR734" s="13"/>
      <c r="BS734" s="12">
        <f>BS704</f>
        <v>170.70000000000002</v>
      </c>
      <c r="BT734" s="13"/>
      <c r="BU734" s="12">
        <f>BU704</f>
        <v>180.7</v>
      </c>
      <c r="BV734" s="13"/>
      <c r="BW734" s="12">
        <f>BW704</f>
        <v>133.5</v>
      </c>
      <c r="BX734" s="13"/>
      <c r="BY734" s="12">
        <f>BY704</f>
        <v>119</v>
      </c>
      <c r="BZ734" s="13"/>
      <c r="CA734" s="12">
        <f>CA704</f>
        <v>131.80000000000001</v>
      </c>
      <c r="CB734" s="13"/>
      <c r="CC734" s="12">
        <f>CC704</f>
        <v>174.10000000000002</v>
      </c>
      <c r="CD734" s="13"/>
      <c r="CE734" s="12">
        <f>CE704</f>
        <v>135.80000000000001</v>
      </c>
      <c r="CF734" s="13"/>
      <c r="CG734" s="12">
        <f>CG704</f>
        <v>129.5</v>
      </c>
      <c r="CH734" s="13"/>
      <c r="CI734" s="12">
        <f>CI704</f>
        <v>130.6</v>
      </c>
      <c r="CJ734" s="13"/>
      <c r="CK734" s="12">
        <f>CK704</f>
        <v>177.8</v>
      </c>
      <c r="CL734" s="13"/>
      <c r="CM734" s="12">
        <f>CM704</f>
        <v>142</v>
      </c>
      <c r="CN734" s="13"/>
      <c r="CO734" s="12">
        <f>CO704</f>
        <v>147</v>
      </c>
      <c r="CP734" s="13"/>
      <c r="CQ734" s="12">
        <f>CQ704</f>
        <v>147.4</v>
      </c>
      <c r="CR734" s="13"/>
      <c r="CS734" s="12">
        <f>CS704</f>
        <v>171.7</v>
      </c>
      <c r="CT734" s="13"/>
      <c r="CU734" s="12">
        <f>CU704</f>
        <v>110.49999999999999</v>
      </c>
      <c r="CV734" s="13"/>
      <c r="CW734" s="12">
        <f>CW704</f>
        <v>117</v>
      </c>
      <c r="CX734" s="13"/>
      <c r="CY734" s="12">
        <f>CY704</f>
        <v>103</v>
      </c>
      <c r="CZ734" s="13"/>
      <c r="DA734" s="12">
        <f>DA704</f>
        <v>148</v>
      </c>
      <c r="DB734" s="13"/>
      <c r="DC734" s="12">
        <f>DC704</f>
        <v>125</v>
      </c>
      <c r="DD734" s="13"/>
      <c r="DE734" s="12">
        <f>DE704</f>
        <v>147</v>
      </c>
      <c r="DF734" s="13"/>
      <c r="DG734" s="12">
        <f>DG704</f>
        <v>153</v>
      </c>
      <c r="DH734" s="13"/>
      <c r="DI734" s="12">
        <f>DI704</f>
        <v>171</v>
      </c>
      <c r="DJ734" s="13"/>
      <c r="DK734" s="12">
        <f>DK704</f>
        <v>142</v>
      </c>
      <c r="DL734" s="13"/>
      <c r="DM734" s="12">
        <f>DM704</f>
        <v>158</v>
      </c>
      <c r="DN734" s="13"/>
      <c r="DO734" s="12">
        <f>DO704</f>
        <v>155</v>
      </c>
      <c r="DP734" s="13"/>
      <c r="DQ734" s="12">
        <f>DQ704</f>
        <v>170</v>
      </c>
      <c r="DR734" s="13"/>
      <c r="DS734" s="12">
        <f>DS704</f>
        <v>139</v>
      </c>
      <c r="DT734" s="13"/>
      <c r="DU734" s="12">
        <f>DU704</f>
        <v>155</v>
      </c>
      <c r="DV734" s="13"/>
      <c r="DW734" s="12">
        <f>DW704</f>
        <v>163</v>
      </c>
      <c r="DX734" s="13"/>
      <c r="DY734" s="12">
        <f>DY704</f>
        <v>189</v>
      </c>
      <c r="DZ734" s="13"/>
      <c r="EA734" s="12">
        <f>EA704</f>
        <v>132</v>
      </c>
      <c r="EB734" s="13"/>
      <c r="EC734" s="12">
        <f>EC704</f>
        <v>164</v>
      </c>
      <c r="ED734" s="13"/>
      <c r="EE734" s="12">
        <f>EE704</f>
        <v>185</v>
      </c>
      <c r="EF734" s="13"/>
      <c r="EG734" s="12">
        <f>EG704</f>
        <v>211</v>
      </c>
      <c r="EH734" s="13"/>
      <c r="EI734" s="12">
        <f>EI704</f>
        <v>158</v>
      </c>
      <c r="EJ734" s="13"/>
      <c r="EK734" s="12">
        <f t="shared" ref="EK734:EM734" si="4371">EK704</f>
        <v>188</v>
      </c>
      <c r="EL734" s="13"/>
      <c r="EM734" s="12">
        <f t="shared" si="4371"/>
        <v>168</v>
      </c>
      <c r="EN734" s="13"/>
      <c r="EO734" s="12">
        <f t="shared" ref="EO734" si="4372">EO704</f>
        <v>185</v>
      </c>
      <c r="EP734" s="13"/>
      <c r="EQ734" s="12">
        <f t="shared" ref="EQ734:EW734" si="4373">EQ704</f>
        <v>0</v>
      </c>
      <c r="ER734" s="13"/>
      <c r="ES734" s="12">
        <f t="shared" si="4373"/>
        <v>0</v>
      </c>
      <c r="ET734" s="13"/>
      <c r="EU734" s="12">
        <f t="shared" si="4373"/>
        <v>0</v>
      </c>
      <c r="EV734" s="13"/>
      <c r="EW734" s="12">
        <f t="shared" si="4373"/>
        <v>0</v>
      </c>
      <c r="EX734" s="13"/>
      <c r="EY734" s="56"/>
      <c r="EZ734" s="558"/>
      <c r="FA734" s="56"/>
      <c r="FB734" s="12"/>
      <c r="FC734" s="13"/>
      <c r="FD734" s="12"/>
      <c r="FE734" s="13"/>
      <c r="FF734" s="12"/>
      <c r="FG734" s="13"/>
      <c r="FH734" s="12"/>
      <c r="FI734" s="13"/>
      <c r="FJ734" s="12"/>
      <c r="FK734" s="13"/>
      <c r="FL734" s="57"/>
      <c r="FM734" s="13"/>
      <c r="FN734" s="57"/>
      <c r="FO734" s="13"/>
      <c r="FP734" s="12"/>
      <c r="FQ734" s="13"/>
      <c r="FR734" s="12"/>
      <c r="FS734" s="13"/>
      <c r="FT734" s="12">
        <f>FT704</f>
        <v>0</v>
      </c>
      <c r="FU734" s="13"/>
      <c r="FV734" s="12">
        <f>FV704</f>
        <v>0</v>
      </c>
      <c r="FW734" s="13"/>
      <c r="FX734" s="12">
        <f>FX704</f>
        <v>0</v>
      </c>
      <c r="FY734" s="13"/>
      <c r="FZ734" s="12">
        <f>FZ704</f>
        <v>0</v>
      </c>
      <c r="GA734" s="13"/>
      <c r="GB734" s="12">
        <f>GB704</f>
        <v>0</v>
      </c>
      <c r="GC734" s="13"/>
      <c r="GD734" s="12">
        <f>GD704</f>
        <v>0</v>
      </c>
      <c r="GE734" s="13"/>
      <c r="GF734" s="12">
        <f>GF704</f>
        <v>0</v>
      </c>
      <c r="GG734" s="13"/>
      <c r="GH734" s="12">
        <f>GH704</f>
        <v>0</v>
      </c>
      <c r="GI734" s="13"/>
      <c r="GJ734" s="12">
        <f>GJ704</f>
        <v>0</v>
      </c>
      <c r="GK734" s="13"/>
      <c r="GL734" s="12">
        <f>GL704</f>
        <v>0</v>
      </c>
      <c r="GM734" s="13"/>
      <c r="GN734" s="12">
        <f>GN704</f>
        <v>0</v>
      </c>
      <c r="GO734" s="13"/>
      <c r="GP734" s="12">
        <f>GP704</f>
        <v>0</v>
      </c>
      <c r="GQ734" s="13"/>
      <c r="GR734" s="12">
        <f>GR704</f>
        <v>0</v>
      </c>
      <c r="GS734" s="13"/>
      <c r="GT734" s="12">
        <f>GT704</f>
        <v>0</v>
      </c>
      <c r="GU734" s="13"/>
      <c r="GV734" s="12">
        <f>GV704</f>
        <v>0</v>
      </c>
      <c r="GW734" s="13"/>
      <c r="GX734" s="12">
        <f>GX704</f>
        <v>0</v>
      </c>
      <c r="GY734" s="13"/>
      <c r="GZ734" s="13"/>
      <c r="HA734" s="819"/>
      <c r="HB734" s="819"/>
      <c r="HC734"/>
      <c r="HD734"/>
      <c r="HE734"/>
      <c r="HF734"/>
      <c r="HG734"/>
      <c r="HH734"/>
    </row>
    <row r="735" spans="1:216" s="5" customFormat="1" ht="12.75" hidden="1" customHeight="1" outlineLevel="1" x14ac:dyDescent="0.2">
      <c r="A735" s="8" t="s">
        <v>480</v>
      </c>
      <c r="B735" s="2" t="s">
        <v>26</v>
      </c>
      <c r="C735" s="12"/>
      <c r="D735" s="13"/>
      <c r="E735" s="12"/>
      <c r="F735" s="13"/>
      <c r="G735" s="12"/>
      <c r="H735" s="13"/>
      <c r="I735" s="12"/>
      <c r="J735" s="13"/>
      <c r="K735" s="12"/>
      <c r="L735" s="13"/>
      <c r="M735" s="12"/>
      <c r="N735" s="13"/>
      <c r="O735" s="12"/>
      <c r="P735" s="13"/>
      <c r="Q735" s="12"/>
      <c r="R735" s="13"/>
      <c r="S735" s="12"/>
      <c r="T735" s="13"/>
      <c r="U735" s="12"/>
      <c r="V735" s="13"/>
      <c r="W735" s="12"/>
      <c r="X735" s="13"/>
      <c r="Y735" s="12"/>
      <c r="Z735" s="13"/>
      <c r="AA735" s="12"/>
      <c r="AB735" s="13"/>
      <c r="AC735" s="12"/>
      <c r="AD735" s="13"/>
      <c r="AE735" s="12"/>
      <c r="AF735" s="13"/>
      <c r="AG735" s="12"/>
      <c r="AH735" s="13"/>
      <c r="AI735" s="12"/>
      <c r="AJ735" s="13"/>
      <c r="AK735" s="12"/>
      <c r="AL735" s="13"/>
      <c r="AM735" s="12"/>
      <c r="AN735" s="13"/>
      <c r="AO735" s="12"/>
      <c r="AP735" s="13"/>
      <c r="AQ735" s="12"/>
      <c r="AR735" s="13"/>
      <c r="AS735" s="12"/>
      <c r="AT735" s="13"/>
      <c r="AU735" s="12"/>
      <c r="AV735" s="13"/>
      <c r="AW735" s="12"/>
      <c r="AX735" s="13"/>
      <c r="AY735" s="12"/>
      <c r="AZ735" s="13"/>
      <c r="BA735" s="12"/>
      <c r="BB735" s="13"/>
      <c r="BC735" s="12"/>
      <c r="BD735" s="13"/>
      <c r="BE735" s="12"/>
      <c r="BF735" s="13"/>
      <c r="BG735" s="12">
        <f>BG60</f>
        <v>-451</v>
      </c>
      <c r="BH735" s="13"/>
      <c r="BI735" s="12">
        <f>BI60</f>
        <v>-418</v>
      </c>
      <c r="BJ735" s="13"/>
      <c r="BK735" s="12">
        <f>BK60</f>
        <v>-225</v>
      </c>
      <c r="BL735" s="13"/>
      <c r="BM735" s="12">
        <f>BM60</f>
        <v>-113</v>
      </c>
      <c r="BN735" s="13"/>
      <c r="BO735" s="12">
        <f>BO60</f>
        <v>-157</v>
      </c>
      <c r="BP735" s="13"/>
      <c r="BQ735" s="12">
        <f>BQ60</f>
        <v>-15</v>
      </c>
      <c r="BR735" s="13"/>
      <c r="BS735" s="12">
        <f>BS60</f>
        <v>-284</v>
      </c>
      <c r="BT735" s="13"/>
      <c r="BU735" s="12">
        <f>BU60</f>
        <v>-215</v>
      </c>
      <c r="BV735" s="13"/>
      <c r="BW735" s="12">
        <f>BW60</f>
        <v>-9</v>
      </c>
      <c r="BX735" s="13"/>
      <c r="BY735" s="12">
        <f>BY60</f>
        <v>384</v>
      </c>
      <c r="BZ735" s="13"/>
      <c r="CA735" s="12">
        <f>CA60</f>
        <v>862</v>
      </c>
      <c r="CB735" s="13"/>
      <c r="CC735" s="12">
        <f>CC60</f>
        <v>-19</v>
      </c>
      <c r="CD735" s="13"/>
      <c r="CE735" s="12">
        <f>CE60</f>
        <v>23</v>
      </c>
      <c r="CF735" s="13"/>
      <c r="CG735" s="12">
        <f>CG60</f>
        <v>283</v>
      </c>
      <c r="CH735" s="13"/>
      <c r="CI735" s="12">
        <f>CI60</f>
        <v>572</v>
      </c>
      <c r="CJ735" s="13"/>
      <c r="CK735" s="12">
        <f>CK60</f>
        <v>-108</v>
      </c>
      <c r="CL735" s="13"/>
      <c r="CM735" s="12">
        <f>CM60</f>
        <v>31</v>
      </c>
      <c r="CN735" s="13"/>
      <c r="CO735" s="12">
        <f>CO60</f>
        <v>134</v>
      </c>
      <c r="CP735" s="13"/>
      <c r="CQ735" s="12">
        <f>CQ60</f>
        <v>46</v>
      </c>
      <c r="CR735" s="13"/>
      <c r="CS735" s="12">
        <f>CS60</f>
        <v>-128</v>
      </c>
      <c r="CT735" s="13"/>
      <c r="CU735" s="12">
        <f>CU60</f>
        <v>-170</v>
      </c>
      <c r="CV735" s="13"/>
      <c r="CW735" s="12">
        <f>CW60</f>
        <v>-32</v>
      </c>
      <c r="CX735" s="13"/>
      <c r="CY735" s="12">
        <f>CY60</f>
        <v>-110</v>
      </c>
      <c r="CZ735" s="13"/>
      <c r="DA735" s="12">
        <f>DA60</f>
        <v>-51</v>
      </c>
      <c r="DB735" s="13"/>
      <c r="DC735" s="12">
        <f>DC60</f>
        <v>-155</v>
      </c>
      <c r="DD735" s="13"/>
      <c r="DE735" s="12">
        <f>DE60</f>
        <v>-198</v>
      </c>
      <c r="DF735" s="13"/>
      <c r="DG735" s="12">
        <f>DG60</f>
        <v>-229</v>
      </c>
      <c r="DH735" s="13"/>
      <c r="DI735" s="12">
        <f>DI60</f>
        <v>-161</v>
      </c>
      <c r="DJ735" s="13"/>
      <c r="DK735" s="12">
        <f>DK60</f>
        <v>8</v>
      </c>
      <c r="DL735" s="13"/>
      <c r="DM735" s="12">
        <f>DM60</f>
        <v>-67</v>
      </c>
      <c r="DN735" s="13"/>
      <c r="DO735" s="12">
        <f>DO60</f>
        <v>-248</v>
      </c>
      <c r="DP735" s="13"/>
      <c r="DQ735" s="12">
        <f>DQ60</f>
        <v>-275</v>
      </c>
      <c r="DR735" s="13"/>
      <c r="DS735" s="12">
        <f>DS60</f>
        <v>-161</v>
      </c>
      <c r="DT735" s="13"/>
      <c r="DU735" s="12">
        <f>DU60</f>
        <v>-178</v>
      </c>
      <c r="DV735" s="13"/>
      <c r="DW735" s="12">
        <f>DW60</f>
        <v>41</v>
      </c>
      <c r="DX735" s="13"/>
      <c r="DY735" s="12">
        <f>DY60</f>
        <v>204</v>
      </c>
      <c r="DZ735" s="13"/>
      <c r="EA735" s="12">
        <f>EA60</f>
        <v>256</v>
      </c>
      <c r="EB735" s="13"/>
      <c r="EC735" s="12">
        <f>EC60</f>
        <v>3</v>
      </c>
      <c r="ED735" s="13"/>
      <c r="EE735" s="12">
        <f>EE60</f>
        <v>-129</v>
      </c>
      <c r="EF735" s="13"/>
      <c r="EG735" s="12">
        <f>EG60</f>
        <v>-58</v>
      </c>
      <c r="EH735" s="13"/>
      <c r="EI735" s="12">
        <f>EI60</f>
        <v>82</v>
      </c>
      <c r="EJ735" s="13"/>
      <c r="EK735" s="12">
        <f t="shared" ref="EK735:EM735" si="4374">EK60</f>
        <v>-177</v>
      </c>
      <c r="EL735" s="13"/>
      <c r="EM735" s="12">
        <f t="shared" si="4374"/>
        <v>-191</v>
      </c>
      <c r="EN735" s="13"/>
      <c r="EO735" s="12">
        <f t="shared" ref="EO735" si="4375">EO60</f>
        <v>74</v>
      </c>
      <c r="EP735" s="13"/>
      <c r="EQ735" s="12">
        <f t="shared" ref="EQ735:EW735" si="4376">EQ60</f>
        <v>96.079011566903205</v>
      </c>
      <c r="ER735" s="13"/>
      <c r="ES735" s="12">
        <f t="shared" si="4376"/>
        <v>137.64666473334114</v>
      </c>
      <c r="ET735" s="13"/>
      <c r="EU735" s="12">
        <f t="shared" si="4376"/>
        <v>177.96543602527493</v>
      </c>
      <c r="EV735" s="13"/>
      <c r="EW735" s="12">
        <f t="shared" si="4376"/>
        <v>217.02913566145901</v>
      </c>
      <c r="EX735" s="13"/>
      <c r="EY735" s="56"/>
      <c r="EZ735" s="558"/>
      <c r="FA735" s="56"/>
      <c r="FB735" s="12"/>
      <c r="FC735" s="13"/>
      <c r="FD735" s="12"/>
      <c r="FE735" s="13"/>
      <c r="FF735" s="12"/>
      <c r="FG735" s="13"/>
      <c r="FH735" s="12"/>
      <c r="FI735" s="13"/>
      <c r="FJ735" s="12"/>
      <c r="FK735" s="13"/>
      <c r="FL735" s="57"/>
      <c r="FM735" s="13"/>
      <c r="FN735" s="57"/>
      <c r="FO735" s="13"/>
      <c r="FP735" s="12"/>
      <c r="FQ735" s="13"/>
      <c r="FR735" s="12"/>
      <c r="FS735" s="13"/>
      <c r="FT735" s="12">
        <f>FT60</f>
        <v>-1207</v>
      </c>
      <c r="FU735" s="13"/>
      <c r="FV735" s="12">
        <f>FV60</f>
        <v>-671</v>
      </c>
      <c r="FW735" s="13"/>
      <c r="FX735" s="12">
        <f>FX60</f>
        <v>1218</v>
      </c>
      <c r="FY735" s="13"/>
      <c r="FZ735" s="12">
        <f>FZ60</f>
        <v>770</v>
      </c>
      <c r="GA735" s="13"/>
      <c r="GB735" s="12">
        <f>GB60</f>
        <v>83</v>
      </c>
      <c r="GC735" s="13"/>
      <c r="GD735" s="12">
        <f>GD60</f>
        <v>-363</v>
      </c>
      <c r="GE735" s="13"/>
      <c r="GF735" s="12">
        <f>GF60</f>
        <v>-743</v>
      </c>
      <c r="GG735" s="13"/>
      <c r="GH735" s="12">
        <f>GH60</f>
        <v>-582</v>
      </c>
      <c r="GI735" s="13"/>
      <c r="GJ735" s="12">
        <f>GJ60</f>
        <v>-94</v>
      </c>
      <c r="GK735" s="13"/>
      <c r="GL735" s="12">
        <f>GL60</f>
        <v>72</v>
      </c>
      <c r="GM735" s="13"/>
      <c r="GN735" s="12">
        <f>GN60</f>
        <v>-212</v>
      </c>
      <c r="GO735" s="13"/>
      <c r="GP735" s="12">
        <f>GP60</f>
        <v>628.72024798697794</v>
      </c>
      <c r="GQ735" s="13"/>
      <c r="GR735" s="12">
        <f>GR60</f>
        <v>639.50519770055962</v>
      </c>
      <c r="GS735" s="13"/>
      <c r="GT735" s="12">
        <f>GT60</f>
        <v>529.88865743866836</v>
      </c>
      <c r="GU735" s="13"/>
      <c r="GV735" s="12">
        <f>GV60</f>
        <v>425.91150289928055</v>
      </c>
      <c r="GW735" s="13"/>
      <c r="GX735" s="12">
        <f>GX60</f>
        <v>327.18802326155674</v>
      </c>
      <c r="GY735" s="13"/>
      <c r="GZ735" s="13"/>
      <c r="HA735" s="13"/>
      <c r="HB735" s="452"/>
      <c r="HC735"/>
      <c r="HD735"/>
      <c r="HE735"/>
      <c r="HF735"/>
      <c r="HG735"/>
      <c r="HH735"/>
    </row>
    <row r="736" spans="1:216" s="5" customFormat="1" ht="12.75" hidden="1" customHeight="1" outlineLevel="1" x14ac:dyDescent="0.2">
      <c r="A736" s="8" t="s">
        <v>481</v>
      </c>
      <c r="B736" s="2" t="s">
        <v>200</v>
      </c>
      <c r="C736" s="12"/>
      <c r="D736" s="13"/>
      <c r="E736" s="12"/>
      <c r="F736" s="13"/>
      <c r="G736" s="12"/>
      <c r="H736" s="13"/>
      <c r="I736" s="12"/>
      <c r="J736" s="13"/>
      <c r="K736" s="12"/>
      <c r="L736" s="13"/>
      <c r="M736" s="12"/>
      <c r="N736" s="13"/>
      <c r="O736" s="12"/>
      <c r="P736" s="13"/>
      <c r="Q736" s="12"/>
      <c r="R736" s="13"/>
      <c r="S736" s="12"/>
      <c r="T736" s="13"/>
      <c r="U736" s="12"/>
      <c r="V736" s="13"/>
      <c r="W736" s="12"/>
      <c r="X736" s="13"/>
      <c r="Y736" s="12"/>
      <c r="Z736" s="13"/>
      <c r="AA736" s="12"/>
      <c r="AB736" s="13"/>
      <c r="AC736" s="12"/>
      <c r="AD736" s="13"/>
      <c r="AE736" s="12"/>
      <c r="AF736" s="13"/>
      <c r="AG736" s="12"/>
      <c r="AH736" s="13"/>
      <c r="AI736" s="12"/>
      <c r="AJ736" s="13"/>
      <c r="AK736" s="12"/>
      <c r="AL736" s="13"/>
      <c r="AM736" s="12"/>
      <c r="AN736" s="13"/>
      <c r="AO736" s="12"/>
      <c r="AP736" s="13"/>
      <c r="AQ736" s="12"/>
      <c r="AR736" s="13"/>
      <c r="AS736" s="12"/>
      <c r="AT736" s="13"/>
      <c r="AU736" s="12"/>
      <c r="AV736" s="13"/>
      <c r="AW736" s="12"/>
      <c r="AX736" s="13"/>
      <c r="AY736" s="12"/>
      <c r="AZ736" s="13"/>
      <c r="BA736" s="12"/>
      <c r="BB736" s="13"/>
      <c r="BC736" s="12"/>
      <c r="BD736" s="13"/>
      <c r="BE736" s="12"/>
      <c r="BF736" s="13"/>
      <c r="BG736" s="12">
        <f>BG39</f>
        <v>1205</v>
      </c>
      <c r="BH736" s="13"/>
      <c r="BI736" s="12">
        <f>BI39</f>
        <v>1555</v>
      </c>
      <c r="BJ736" s="13"/>
      <c r="BK736" s="12">
        <f>BK39</f>
        <v>1516</v>
      </c>
      <c r="BL736" s="13"/>
      <c r="BM736" s="12">
        <f>BM39</f>
        <v>1920</v>
      </c>
      <c r="BN736" s="13"/>
      <c r="BO736" s="12">
        <f>BO39</f>
        <v>1338</v>
      </c>
      <c r="BP736" s="13"/>
      <c r="BQ736" s="12">
        <f>BQ39</f>
        <v>1605</v>
      </c>
      <c r="BR736" s="13"/>
      <c r="BS736" s="12">
        <f>BS39</f>
        <v>1228</v>
      </c>
      <c r="BT736" s="13"/>
      <c r="BU736" s="12">
        <f>BU39</f>
        <v>590</v>
      </c>
      <c r="BV736" s="13"/>
      <c r="BW736" s="12">
        <f>BW39</f>
        <v>438</v>
      </c>
      <c r="BX736" s="13"/>
      <c r="BY736" s="12">
        <f>BY39</f>
        <v>651</v>
      </c>
      <c r="BZ736" s="13"/>
      <c r="CA736" s="12">
        <f>CA39</f>
        <v>747</v>
      </c>
      <c r="CB736" s="13"/>
      <c r="CC736" s="12">
        <f>CC39</f>
        <v>838</v>
      </c>
      <c r="CD736" s="13"/>
      <c r="CE736" s="12">
        <f>CE39</f>
        <v>552</v>
      </c>
      <c r="CF736" s="13"/>
      <c r="CG736" s="12">
        <f>CG39</f>
        <v>870</v>
      </c>
      <c r="CH736" s="13"/>
      <c r="CI736" s="12">
        <f>CI39</f>
        <v>713</v>
      </c>
      <c r="CJ736" s="13"/>
      <c r="CK736" s="12">
        <f>CK39</f>
        <v>650</v>
      </c>
      <c r="CL736" s="13"/>
      <c r="CM736" s="12">
        <f>CM39</f>
        <v>452</v>
      </c>
      <c r="CN736" s="13"/>
      <c r="CO736" s="12">
        <f>CO39</f>
        <v>566</v>
      </c>
      <c r="CP736" s="13"/>
      <c r="CQ736" s="12">
        <f>CQ39</f>
        <v>617</v>
      </c>
      <c r="CR736" s="13"/>
      <c r="CS736" s="12">
        <f>CS39</f>
        <v>473</v>
      </c>
      <c r="CT736" s="13"/>
      <c r="CU736" s="12">
        <f>CU39</f>
        <v>463</v>
      </c>
      <c r="CV736" s="13"/>
      <c r="CW736" s="12">
        <f>CW39</f>
        <v>733</v>
      </c>
      <c r="CX736" s="13"/>
      <c r="CY736" s="12">
        <f>CY39</f>
        <v>506</v>
      </c>
      <c r="CZ736" s="13"/>
      <c r="DA736" s="12">
        <f>DA39</f>
        <v>1111</v>
      </c>
      <c r="DB736" s="13"/>
      <c r="DC736" s="12">
        <f>DC39</f>
        <v>1040</v>
      </c>
      <c r="DD736" s="13"/>
      <c r="DE736" s="12">
        <f>DE39</f>
        <v>1901</v>
      </c>
      <c r="DF736" s="13"/>
      <c r="DG736" s="12">
        <f>DG39</f>
        <v>1464</v>
      </c>
      <c r="DH736" s="13"/>
      <c r="DI736" s="12">
        <f>DI39</f>
        <v>1351</v>
      </c>
      <c r="DJ736" s="13"/>
      <c r="DK736" s="12">
        <f>DK39</f>
        <v>687</v>
      </c>
      <c r="DL736" s="13"/>
      <c r="DM736" s="12">
        <f>DM39</f>
        <v>898</v>
      </c>
      <c r="DN736" s="13"/>
      <c r="DO736" s="12">
        <f>DO39</f>
        <v>813</v>
      </c>
      <c r="DP736" s="13"/>
      <c r="DQ736" s="12">
        <f>DQ39</f>
        <v>830</v>
      </c>
      <c r="DR736" s="13"/>
      <c r="DS736" s="12">
        <f>DS39</f>
        <v>357</v>
      </c>
      <c r="DT736" s="13"/>
      <c r="DU736" s="12">
        <f>DU39</f>
        <v>575</v>
      </c>
      <c r="DV736" s="13"/>
      <c r="DW736" s="12">
        <f>DW39</f>
        <v>495</v>
      </c>
      <c r="DX736" s="13"/>
      <c r="DY736" s="12">
        <f>DY39</f>
        <v>231</v>
      </c>
      <c r="DZ736" s="13"/>
      <c r="EA736" s="12">
        <f>EA39</f>
        <v>-291</v>
      </c>
      <c r="EB736" s="13"/>
      <c r="EC736" s="12">
        <f>EC39</f>
        <v>-455</v>
      </c>
      <c r="ED736" s="13"/>
      <c r="EE736" s="12">
        <f>EE39</f>
        <v>-739</v>
      </c>
      <c r="EF736" s="13"/>
      <c r="EG736" s="12">
        <f>EG39</f>
        <v>-874</v>
      </c>
      <c r="EH736" s="13"/>
      <c r="EI736" s="12">
        <f>EI39</f>
        <v>-1026</v>
      </c>
      <c r="EJ736" s="13"/>
      <c r="EK736" s="12">
        <f t="shared" ref="EK736:EM736" si="4377">EK39</f>
        <v>-898</v>
      </c>
      <c r="EL736" s="13"/>
      <c r="EM736" s="12">
        <f t="shared" si="4377"/>
        <v>-834</v>
      </c>
      <c r="EN736" s="13"/>
      <c r="EO736" s="12">
        <f t="shared" ref="EO736" si="4378">EO39</f>
        <v>-488</v>
      </c>
      <c r="EP736" s="13"/>
      <c r="EQ736" s="12">
        <f t="shared" ref="EQ736:EW736" si="4379">EQ39</f>
        <v>-589.23526787433275</v>
      </c>
      <c r="ER736" s="13"/>
      <c r="ES736" s="12">
        <f t="shared" si="4379"/>
        <v>-378.96051455851557</v>
      </c>
      <c r="ET736" s="13"/>
      <c r="EU736" s="12">
        <f t="shared" si="4379"/>
        <v>-177.41988856028729</v>
      </c>
      <c r="EV736" s="13"/>
      <c r="EW736" s="12">
        <f t="shared" si="4379"/>
        <v>27.718298371898072</v>
      </c>
      <c r="EX736" s="13"/>
      <c r="EY736" s="56"/>
      <c r="EZ736" s="558"/>
      <c r="FA736" s="56"/>
      <c r="FB736" s="12"/>
      <c r="FC736" s="13"/>
      <c r="FD736" s="12"/>
      <c r="FE736" s="13"/>
      <c r="FF736" s="12"/>
      <c r="FG736" s="13"/>
      <c r="FH736" s="12"/>
      <c r="FI736" s="13"/>
      <c r="FJ736" s="12"/>
      <c r="FK736" s="13"/>
      <c r="FL736" s="57"/>
      <c r="FM736" s="13"/>
      <c r="FN736" s="57"/>
      <c r="FO736" s="13"/>
      <c r="FP736" s="12"/>
      <c r="FQ736" s="13"/>
      <c r="FR736" s="12"/>
      <c r="FS736" s="13"/>
      <c r="FT736" s="12">
        <f>FT39</f>
        <v>6196</v>
      </c>
      <c r="FU736" s="13"/>
      <c r="FV736" s="12">
        <f>FV39</f>
        <v>4761</v>
      </c>
      <c r="FW736" s="13"/>
      <c r="FX736" s="12">
        <f>FX39</f>
        <v>2674</v>
      </c>
      <c r="FY736" s="13"/>
      <c r="FZ736" s="12">
        <f>FZ39</f>
        <v>2785</v>
      </c>
      <c r="GA736" s="13"/>
      <c r="GB736" s="12">
        <f>GB39</f>
        <v>2108</v>
      </c>
      <c r="GC736" s="13"/>
      <c r="GD736" s="12">
        <f>GD39</f>
        <v>2813</v>
      </c>
      <c r="GE736" s="13"/>
      <c r="GF736" s="12">
        <f>GF39</f>
        <v>5756</v>
      </c>
      <c r="GG736" s="13"/>
      <c r="GH736" s="12">
        <f>GH39</f>
        <v>3228</v>
      </c>
      <c r="GI736" s="13"/>
      <c r="GJ736" s="12">
        <f>GJ39</f>
        <v>1658</v>
      </c>
      <c r="GK736" s="13"/>
      <c r="GL736" s="12">
        <f>GL39</f>
        <v>-2359</v>
      </c>
      <c r="GM736" s="13"/>
      <c r="GN736" s="12">
        <f>GN39</f>
        <v>-3246</v>
      </c>
      <c r="GO736" s="13"/>
      <c r="GP736" s="12">
        <f>GP39</f>
        <v>-1117.8973726212353</v>
      </c>
      <c r="GQ736" s="13"/>
      <c r="GR736" s="12">
        <f>GR39</f>
        <v>879.42388973218476</v>
      </c>
      <c r="GS736" s="13"/>
      <c r="GT736" s="12">
        <f>GT39</f>
        <v>1559.8877654375538</v>
      </c>
      <c r="GU736" s="13"/>
      <c r="GV736" s="12">
        <f>GV39</f>
        <v>2323.9367793219935</v>
      </c>
      <c r="GW736" s="13"/>
      <c r="GX736" s="12">
        <f>GX39</f>
        <v>3189.4877036188427</v>
      </c>
      <c r="GY736" s="13"/>
      <c r="GZ736" s="13"/>
      <c r="HA736" s="13"/>
      <c r="HB736" s="452"/>
      <c r="HC736"/>
      <c r="HD736"/>
      <c r="HE736"/>
      <c r="HF736"/>
      <c r="HG736"/>
      <c r="HH736"/>
    </row>
    <row r="737" spans="1:216" s="5" customFormat="1" ht="12.75" hidden="1" customHeight="1" outlineLevel="1" x14ac:dyDescent="0.2">
      <c r="A737" s="8"/>
      <c r="B737" s="2" t="s">
        <v>501</v>
      </c>
      <c r="C737" s="12"/>
      <c r="D737" s="12"/>
      <c r="E737" s="12"/>
      <c r="F737" s="12"/>
      <c r="G737" s="12"/>
      <c r="H737" s="12"/>
      <c r="I737" s="12"/>
      <c r="J737" s="12"/>
      <c r="K737" s="12"/>
      <c r="L737" s="502"/>
      <c r="M737" s="12"/>
      <c r="N737" s="502"/>
      <c r="O737" s="12"/>
      <c r="P737" s="502"/>
      <c r="Q737" s="12"/>
      <c r="R737" s="502"/>
      <c r="S737" s="12"/>
      <c r="T737" s="502"/>
      <c r="U737" s="12"/>
      <c r="V737" s="502"/>
      <c r="W737" s="12"/>
      <c r="X737" s="502"/>
      <c r="Y737" s="12"/>
      <c r="Z737" s="502"/>
      <c r="AA737" s="12"/>
      <c r="AB737" s="502"/>
      <c r="AC737" s="12"/>
      <c r="AD737" s="502"/>
      <c r="AE737" s="12"/>
      <c r="AF737" s="502"/>
      <c r="AG737" s="12"/>
      <c r="AH737" s="502"/>
      <c r="AI737" s="12"/>
      <c r="AJ737" s="502"/>
      <c r="AK737" s="12"/>
      <c r="AL737" s="502"/>
      <c r="AM737" s="12"/>
      <c r="AN737" s="502"/>
      <c r="AO737" s="12"/>
      <c r="AP737" s="502"/>
      <c r="AQ737" s="12"/>
      <c r="AR737" s="13"/>
      <c r="AS737" s="12"/>
      <c r="AT737" s="502"/>
      <c r="AU737" s="12"/>
      <c r="AV737" s="502"/>
      <c r="AW737" s="12"/>
      <c r="AX737" s="502"/>
      <c r="AY737" s="12"/>
      <c r="AZ737" s="502"/>
      <c r="BA737" s="12"/>
      <c r="BB737" s="502"/>
      <c r="BC737" s="12"/>
      <c r="BD737" s="502"/>
      <c r="BE737" s="12"/>
      <c r="BF737" s="502"/>
      <c r="BG737" s="12">
        <f>BG367</f>
        <v>93</v>
      </c>
      <c r="BH737" s="502"/>
      <c r="BI737" s="12">
        <f>BI367</f>
        <v>93</v>
      </c>
      <c r="BJ737" s="502"/>
      <c r="BK737" s="12">
        <f>BK367</f>
        <v>93</v>
      </c>
      <c r="BL737" s="502"/>
      <c r="BM737" s="12">
        <f>BM367</f>
        <v>-1070</v>
      </c>
      <c r="BN737" s="502"/>
      <c r="BO737" s="12">
        <f>BO367</f>
        <v>-1162</v>
      </c>
      <c r="BP737" s="502"/>
      <c r="BQ737" s="12">
        <f>BQ367</f>
        <v>-1469</v>
      </c>
      <c r="BR737" s="502"/>
      <c r="BS737" s="12">
        <f>BS367</f>
        <v>-3272</v>
      </c>
      <c r="BT737" s="502"/>
      <c r="BU737" s="12">
        <f>BU367</f>
        <v>-3300</v>
      </c>
      <c r="BV737" s="502"/>
      <c r="BW737" s="12">
        <f>BW367</f>
        <v>211</v>
      </c>
      <c r="BX737" s="502"/>
      <c r="BY737" s="12">
        <f t="shared" ref="BY737:CE737" si="4380">BY367</f>
        <v>74</v>
      </c>
      <c r="BZ737" s="502"/>
      <c r="CA737" s="12">
        <f t="shared" si="4380"/>
        <v>0</v>
      </c>
      <c r="CB737" s="502"/>
      <c r="CC737" s="12">
        <f t="shared" si="4380"/>
        <v>0</v>
      </c>
      <c r="CD737" s="502"/>
      <c r="CE737" s="12">
        <f t="shared" si="4380"/>
        <v>0</v>
      </c>
      <c r="CF737" s="502"/>
      <c r="CG737" s="12">
        <f>CG367</f>
        <v>0</v>
      </c>
      <c r="CH737" s="502"/>
      <c r="CI737" s="12">
        <f>CI367</f>
        <v>0</v>
      </c>
      <c r="CJ737" s="502"/>
      <c r="CK737" s="12">
        <f>CK367</f>
        <v>0</v>
      </c>
      <c r="CL737" s="502"/>
      <c r="CM737" s="12">
        <f>CM367</f>
        <v>0</v>
      </c>
      <c r="CN737" s="502"/>
      <c r="CO737" s="12">
        <f>CO367</f>
        <v>0</v>
      </c>
      <c r="CP737" s="502"/>
      <c r="CQ737" s="12">
        <f>CQ367</f>
        <v>0</v>
      </c>
      <c r="CR737" s="502"/>
      <c r="CS737" s="12">
        <f>CS367</f>
        <v>0</v>
      </c>
      <c r="CT737" s="502"/>
      <c r="CU737" s="12">
        <f>CU367</f>
        <v>0</v>
      </c>
      <c r="CV737" s="502"/>
      <c r="CW737" s="12">
        <f>CW367</f>
        <v>0</v>
      </c>
      <c r="CX737" s="502"/>
      <c r="CY737" s="12">
        <f>CY367</f>
        <v>0</v>
      </c>
      <c r="CZ737" s="502"/>
      <c r="DA737" s="12">
        <f>DA367</f>
        <v>0</v>
      </c>
      <c r="DB737" s="502"/>
      <c r="DC737" s="12">
        <f>DC367</f>
        <v>0</v>
      </c>
      <c r="DD737" s="502"/>
      <c r="DE737" s="12">
        <f>DE367</f>
        <v>0</v>
      </c>
      <c r="DF737" s="502"/>
      <c r="DG737" s="12">
        <f>DG367</f>
        <v>0</v>
      </c>
      <c r="DH737" s="502"/>
      <c r="DI737" s="12">
        <f>DI367</f>
        <v>0</v>
      </c>
      <c r="DJ737" s="502"/>
      <c r="DK737" s="12">
        <f>DK367</f>
        <v>0</v>
      </c>
      <c r="DL737" s="502"/>
      <c r="DM737" s="12">
        <f>DM367</f>
        <v>0</v>
      </c>
      <c r="DN737" s="502"/>
      <c r="DO737" s="12">
        <f>DO367</f>
        <v>0</v>
      </c>
      <c r="DP737" s="502"/>
      <c r="DQ737" s="12">
        <f>DQ367</f>
        <v>0</v>
      </c>
      <c r="DR737" s="502"/>
      <c r="DS737" s="12">
        <f>DS367</f>
        <v>0</v>
      </c>
      <c r="DT737" s="502"/>
      <c r="DU737" s="12">
        <f>DU367</f>
        <v>0</v>
      </c>
      <c r="DV737" s="502"/>
      <c r="DW737" s="12">
        <f>DW367</f>
        <v>0</v>
      </c>
      <c r="DX737" s="502"/>
      <c r="DY737" s="12">
        <f>DY367</f>
        <v>0</v>
      </c>
      <c r="DZ737" s="502"/>
      <c r="EA737" s="12">
        <f>EA367</f>
        <v>0</v>
      </c>
      <c r="EB737" s="502"/>
      <c r="EC737" s="12">
        <f>EC367</f>
        <v>0</v>
      </c>
      <c r="ED737" s="502"/>
      <c r="EE737" s="12">
        <f>EE367</f>
        <v>0</v>
      </c>
      <c r="EF737" s="502"/>
      <c r="EG737" s="12">
        <f>EG367</f>
        <v>0</v>
      </c>
      <c r="EH737" s="502"/>
      <c r="EI737" s="12">
        <f>EI367</f>
        <v>0</v>
      </c>
      <c r="EJ737" s="502"/>
      <c r="EK737" s="12">
        <f t="shared" ref="EK737:EM737" si="4381">EK367</f>
        <v>0</v>
      </c>
      <c r="EL737" s="502"/>
      <c r="EM737" s="12">
        <f t="shared" si="4381"/>
        <v>0</v>
      </c>
      <c r="EN737" s="502"/>
      <c r="EO737" s="12">
        <f t="shared" ref="EO737" si="4382">EO367</f>
        <v>0</v>
      </c>
      <c r="EP737" s="502"/>
      <c r="EQ737" s="12">
        <f t="shared" ref="EQ737:EW737" si="4383">EQ367</f>
        <v>0</v>
      </c>
      <c r="ER737" s="502"/>
      <c r="ES737" s="12">
        <f t="shared" si="4383"/>
        <v>0</v>
      </c>
      <c r="ET737" s="502"/>
      <c r="EU737" s="12">
        <f t="shared" si="4383"/>
        <v>0</v>
      </c>
      <c r="EV737" s="502"/>
      <c r="EW737" s="12">
        <f t="shared" si="4383"/>
        <v>0</v>
      </c>
      <c r="EX737" s="502"/>
      <c r="EY737" s="12"/>
      <c r="EZ737" s="558"/>
      <c r="FA737" s="12"/>
      <c r="FB737" s="12"/>
      <c r="FC737" s="12"/>
      <c r="FD737" s="12"/>
      <c r="FE737" s="502"/>
      <c r="FF737" s="12"/>
      <c r="FG737" s="502"/>
      <c r="FH737" s="12"/>
      <c r="FI737" s="502"/>
      <c r="FJ737" s="12"/>
      <c r="FK737" s="502"/>
      <c r="FL737" s="12"/>
      <c r="FM737" s="502"/>
      <c r="FN737" s="12"/>
      <c r="FO737" s="502"/>
      <c r="FP737" s="12"/>
      <c r="FQ737" s="502"/>
      <c r="FR737" s="12"/>
      <c r="FS737" s="502"/>
      <c r="FT737" s="12">
        <f>FT367</f>
        <v>-791</v>
      </c>
      <c r="FU737" s="502"/>
      <c r="FV737" s="12">
        <f>FV367</f>
        <v>-9203</v>
      </c>
      <c r="FW737" s="502"/>
      <c r="FX737" s="12">
        <f>FX367</f>
        <v>285</v>
      </c>
      <c r="FY737" s="502"/>
      <c r="FZ737" s="12">
        <f>FZ367</f>
        <v>0</v>
      </c>
      <c r="GA737" s="502"/>
      <c r="GB737" s="12">
        <f>GB367</f>
        <v>0</v>
      </c>
      <c r="GC737" s="502"/>
      <c r="GD737" s="12">
        <f>GD367</f>
        <v>0</v>
      </c>
      <c r="GE737" s="502"/>
      <c r="GF737" s="12">
        <f>GF367</f>
        <v>0</v>
      </c>
      <c r="GG737" s="502"/>
      <c r="GH737" s="12">
        <f>GH367</f>
        <v>0</v>
      </c>
      <c r="GI737" s="502"/>
      <c r="GJ737" s="12">
        <f>GJ367</f>
        <v>0</v>
      </c>
      <c r="GK737" s="502"/>
      <c r="GL737" s="12">
        <f>GL367</f>
        <v>0</v>
      </c>
      <c r="GM737" s="502"/>
      <c r="GN737" s="12">
        <f>GN367</f>
        <v>0</v>
      </c>
      <c r="GO737" s="502"/>
      <c r="GP737" s="12">
        <f>GP367</f>
        <v>0</v>
      </c>
      <c r="GQ737" s="502"/>
      <c r="GR737" s="12">
        <f>GR367</f>
        <v>0</v>
      </c>
      <c r="GS737" s="502"/>
      <c r="GT737" s="12">
        <f>GT367</f>
        <v>0</v>
      </c>
      <c r="GU737" s="502"/>
      <c r="GV737" s="12">
        <f>GV367</f>
        <v>0</v>
      </c>
      <c r="GW737" s="502"/>
      <c r="GX737" s="12">
        <f>GX367</f>
        <v>0</v>
      </c>
      <c r="GY737" s="502"/>
      <c r="GZ737" s="13"/>
      <c r="HA737" s="13"/>
      <c r="HB737" s="452"/>
      <c r="HC737"/>
      <c r="HD737"/>
      <c r="HE737"/>
      <c r="HF737"/>
      <c r="HG737"/>
      <c r="HH737"/>
    </row>
    <row r="738" spans="1:216" s="5" customFormat="1" ht="12.75" hidden="1" customHeight="1" outlineLevel="1" x14ac:dyDescent="0.2">
      <c r="A738" s="8"/>
      <c r="B738" s="2" t="s">
        <v>311</v>
      </c>
      <c r="C738" s="12"/>
      <c r="D738" s="12"/>
      <c r="E738" s="12"/>
      <c r="F738" s="12"/>
      <c r="G738" s="12"/>
      <c r="H738" s="12"/>
      <c r="I738" s="12"/>
      <c r="J738" s="12"/>
      <c r="K738" s="12"/>
      <c r="L738" s="502"/>
      <c r="M738" s="12"/>
      <c r="N738" s="502"/>
      <c r="O738" s="12"/>
      <c r="P738" s="502"/>
      <c r="Q738" s="12"/>
      <c r="R738" s="502"/>
      <c r="S738" s="12"/>
      <c r="T738" s="502"/>
      <c r="U738" s="12"/>
      <c r="V738" s="502"/>
      <c r="W738" s="12"/>
      <c r="X738" s="502"/>
      <c r="Y738" s="12"/>
      <c r="Z738" s="502"/>
      <c r="AA738" s="12"/>
      <c r="AB738" s="502"/>
      <c r="AC738" s="12"/>
      <c r="AD738" s="502"/>
      <c r="AE738" s="12"/>
      <c r="AF738" s="502"/>
      <c r="AG738" s="12"/>
      <c r="AH738" s="502"/>
      <c r="AI738" s="12"/>
      <c r="AJ738" s="502"/>
      <c r="AK738" s="12"/>
      <c r="AL738" s="502"/>
      <c r="AM738" s="12"/>
      <c r="AN738" s="502"/>
      <c r="AO738" s="12"/>
      <c r="AP738" s="502"/>
      <c r="AQ738" s="12"/>
      <c r="AR738" s="502"/>
      <c r="AS738" s="12"/>
      <c r="AT738" s="502"/>
      <c r="AU738" s="12"/>
      <c r="AV738" s="502"/>
      <c r="AW738" s="12"/>
      <c r="AX738" s="502"/>
      <c r="AY738" s="12"/>
      <c r="AZ738" s="502"/>
      <c r="BA738" s="12"/>
      <c r="BB738" s="502"/>
      <c r="BC738" s="12"/>
      <c r="BD738" s="502"/>
      <c r="BE738" s="12"/>
      <c r="BF738" s="502"/>
      <c r="BG738" s="12">
        <f>BG358</f>
        <v>5745</v>
      </c>
      <c r="BH738" s="502"/>
      <c r="BI738" s="12">
        <f>BI358</f>
        <v>5745</v>
      </c>
      <c r="BJ738" s="502"/>
      <c r="BK738" s="12">
        <f>BK358</f>
        <v>5745</v>
      </c>
      <c r="BL738" s="502"/>
      <c r="BM738" s="12">
        <f>BM358</f>
        <v>5822</v>
      </c>
      <c r="BN738" s="502"/>
      <c r="BO738" s="12">
        <f>BO358</f>
        <v>4723</v>
      </c>
      <c r="BP738" s="502"/>
      <c r="BQ738" s="12">
        <f>BQ358</f>
        <v>3506</v>
      </c>
      <c r="BR738" s="502"/>
      <c r="BS738" s="12">
        <f>BS358</f>
        <v>3988</v>
      </c>
      <c r="BT738" s="502"/>
      <c r="BU738" s="12">
        <f>BU358</f>
        <v>3780</v>
      </c>
      <c r="BV738" s="502"/>
      <c r="BW738" s="12">
        <f>BW358</f>
        <v>5130</v>
      </c>
      <c r="BX738" s="502"/>
      <c r="BY738" s="12">
        <f>BY358</f>
        <v>3867</v>
      </c>
      <c r="BZ738" s="502"/>
      <c r="CA738" s="12">
        <f>CA358</f>
        <v>0</v>
      </c>
      <c r="CB738" s="502"/>
      <c r="CC738" s="12">
        <f>CC358</f>
        <v>0</v>
      </c>
      <c r="CD738" s="502"/>
      <c r="CE738" s="12">
        <f>CE358</f>
        <v>0</v>
      </c>
      <c r="CF738" s="502"/>
      <c r="CG738" s="12">
        <f>CG358</f>
        <v>0</v>
      </c>
      <c r="CH738" s="502"/>
      <c r="CI738" s="12">
        <f>CI358</f>
        <v>0</v>
      </c>
      <c r="CJ738" s="502"/>
      <c r="CK738" s="12">
        <f>CK358</f>
        <v>0</v>
      </c>
      <c r="CL738" s="502"/>
      <c r="CM738" s="12">
        <f>CM358</f>
        <v>0</v>
      </c>
      <c r="CN738" s="502"/>
      <c r="CO738" s="12">
        <f>CO358</f>
        <v>0</v>
      </c>
      <c r="CP738" s="502"/>
      <c r="CQ738" s="12">
        <f>CQ358</f>
        <v>0</v>
      </c>
      <c r="CR738" s="502"/>
      <c r="CS738" s="12">
        <f>CS358</f>
        <v>0</v>
      </c>
      <c r="CT738" s="502"/>
      <c r="CU738" s="12">
        <f>CU358</f>
        <v>0</v>
      </c>
      <c r="CV738" s="502"/>
      <c r="CW738" s="12">
        <f>CW358</f>
        <v>0</v>
      </c>
      <c r="CX738" s="502"/>
      <c r="CY738" s="12">
        <f>CY358</f>
        <v>0</v>
      </c>
      <c r="CZ738" s="502"/>
      <c r="DA738" s="12">
        <f>DA358</f>
        <v>0</v>
      </c>
      <c r="DB738" s="502"/>
      <c r="DC738" s="12">
        <f>DC358</f>
        <v>0</v>
      </c>
      <c r="DD738" s="502"/>
      <c r="DE738" s="12">
        <f>DE358</f>
        <v>0</v>
      </c>
      <c r="DF738" s="502"/>
      <c r="DG738" s="12">
        <f>DG358</f>
        <v>0</v>
      </c>
      <c r="DH738" s="502"/>
      <c r="DI738" s="12">
        <f>DI358</f>
        <v>0</v>
      </c>
      <c r="DJ738" s="502"/>
      <c r="DK738" s="12">
        <f>DK358</f>
        <v>0</v>
      </c>
      <c r="DL738" s="502"/>
      <c r="DM738" s="12">
        <f>DM358</f>
        <v>0</v>
      </c>
      <c r="DN738" s="502"/>
      <c r="DO738" s="12">
        <f>DO358</f>
        <v>0</v>
      </c>
      <c r="DP738" s="502"/>
      <c r="DQ738" s="12">
        <f>DQ358</f>
        <v>0</v>
      </c>
      <c r="DR738" s="502"/>
      <c r="DS738" s="12">
        <f>DS358</f>
        <v>0</v>
      </c>
      <c r="DT738" s="502"/>
      <c r="DU738" s="12">
        <f>DU358</f>
        <v>0</v>
      </c>
      <c r="DV738" s="502"/>
      <c r="DW738" s="12">
        <f>DW358</f>
        <v>0</v>
      </c>
      <c r="DX738" s="502"/>
      <c r="DY738" s="12">
        <f>DY358</f>
        <v>0</v>
      </c>
      <c r="DZ738" s="502"/>
      <c r="EA738" s="12">
        <f>EA358</f>
        <v>0</v>
      </c>
      <c r="EB738" s="502"/>
      <c r="EC738" s="12">
        <f>EC358</f>
        <v>0</v>
      </c>
      <c r="ED738" s="502"/>
      <c r="EE738" s="12">
        <f>EE358</f>
        <v>0</v>
      </c>
      <c r="EF738" s="502"/>
      <c r="EG738" s="12">
        <f>EG358</f>
        <v>0</v>
      </c>
      <c r="EH738" s="502"/>
      <c r="EI738" s="12">
        <f>EI358</f>
        <v>0</v>
      </c>
      <c r="EJ738" s="502"/>
      <c r="EK738" s="12">
        <f t="shared" ref="EK738:EM738" si="4384">EK358</f>
        <v>0</v>
      </c>
      <c r="EL738" s="502"/>
      <c r="EM738" s="12">
        <f t="shared" si="4384"/>
        <v>0</v>
      </c>
      <c r="EN738" s="502"/>
      <c r="EO738" s="12">
        <f t="shared" ref="EO738:EO739" si="4385">EO358</f>
        <v>0</v>
      </c>
      <c r="EP738" s="502"/>
      <c r="EQ738" s="12">
        <f t="shared" ref="EQ738:EW738" si="4386">EQ358</f>
        <v>0</v>
      </c>
      <c r="ER738" s="502"/>
      <c r="ES738" s="12">
        <f t="shared" si="4386"/>
        <v>0</v>
      </c>
      <c r="ET738" s="502"/>
      <c r="EU738" s="12">
        <f t="shared" si="4386"/>
        <v>0</v>
      </c>
      <c r="EV738" s="502"/>
      <c r="EW738" s="12">
        <f t="shared" si="4386"/>
        <v>0</v>
      </c>
      <c r="EX738" s="502"/>
      <c r="EY738" s="12"/>
      <c r="EZ738" s="558"/>
      <c r="FA738" s="12"/>
      <c r="FB738" s="12"/>
      <c r="FC738" s="12"/>
      <c r="FD738" s="12"/>
      <c r="FE738" s="502"/>
      <c r="FF738" s="12"/>
      <c r="FG738" s="502"/>
      <c r="FH738" s="12"/>
      <c r="FI738" s="502"/>
      <c r="FJ738" s="12"/>
      <c r="FK738" s="502"/>
      <c r="FL738" s="12"/>
      <c r="FM738" s="502"/>
      <c r="FN738" s="12"/>
      <c r="FO738" s="502"/>
      <c r="FP738" s="12"/>
      <c r="FQ738" s="502"/>
      <c r="FR738" s="12"/>
      <c r="FS738" s="502"/>
      <c r="FT738" s="12">
        <f>FT358</f>
        <v>23057</v>
      </c>
      <c r="FU738" s="502"/>
      <c r="FV738" s="12">
        <f>FV358</f>
        <v>15997</v>
      </c>
      <c r="FW738" s="502"/>
      <c r="FX738" s="12">
        <f>FX358</f>
        <v>8997</v>
      </c>
      <c r="FY738" s="502"/>
      <c r="FZ738" s="12">
        <f>FZ358</f>
        <v>0</v>
      </c>
      <c r="GA738" s="502"/>
      <c r="GB738" s="12">
        <f>GB358</f>
        <v>0</v>
      </c>
      <c r="GC738" s="502"/>
      <c r="GD738" s="12">
        <f>GD358</f>
        <v>0</v>
      </c>
      <c r="GE738" s="502"/>
      <c r="GF738" s="12">
        <f>GF358</f>
        <v>0</v>
      </c>
      <c r="GG738" s="502"/>
      <c r="GH738" s="12">
        <f>GH358</f>
        <v>0</v>
      </c>
      <c r="GI738" s="502"/>
      <c r="GJ738" s="12">
        <f>GJ358</f>
        <v>0</v>
      </c>
      <c r="GK738" s="502"/>
      <c r="GL738" s="12">
        <f>GL358</f>
        <v>0</v>
      </c>
      <c r="GM738" s="502"/>
      <c r="GN738" s="12">
        <f>GN358</f>
        <v>0</v>
      </c>
      <c r="GO738" s="502"/>
      <c r="GP738" s="12">
        <f>GP358</f>
        <v>0</v>
      </c>
      <c r="GQ738" s="502"/>
      <c r="GR738" s="12">
        <f>GR358</f>
        <v>0</v>
      </c>
      <c r="GS738" s="502"/>
      <c r="GT738" s="12">
        <f>GT358</f>
        <v>0</v>
      </c>
      <c r="GU738" s="502"/>
      <c r="GV738" s="12">
        <f>GV358</f>
        <v>0</v>
      </c>
      <c r="GW738" s="502"/>
      <c r="GX738" s="12">
        <f>GX358</f>
        <v>0</v>
      </c>
      <c r="GY738" s="502"/>
      <c r="GZ738" s="13"/>
      <c r="HA738" s="13"/>
      <c r="HB738" s="452"/>
      <c r="HC738"/>
      <c r="HD738"/>
      <c r="HE738"/>
      <c r="HF738"/>
      <c r="HG738"/>
      <c r="HH738"/>
    </row>
    <row r="739" spans="1:216" s="5" customFormat="1" ht="12.75" hidden="1" customHeight="1" outlineLevel="1" x14ac:dyDescent="0.2">
      <c r="A739" s="8"/>
      <c r="B739" s="2" t="s">
        <v>312</v>
      </c>
      <c r="C739" s="12"/>
      <c r="D739" s="12"/>
      <c r="E739" s="12"/>
      <c r="F739" s="12"/>
      <c r="G739" s="12"/>
      <c r="H739" s="12"/>
      <c r="I739" s="12"/>
      <c r="J739" s="12"/>
      <c r="K739" s="12"/>
      <c r="L739" s="502"/>
      <c r="M739" s="12"/>
      <c r="N739" s="502"/>
      <c r="O739" s="12"/>
      <c r="P739" s="502"/>
      <c r="Q739" s="12"/>
      <c r="R739" s="502"/>
      <c r="S739" s="12"/>
      <c r="T739" s="502"/>
      <c r="U739" s="12"/>
      <c r="V739" s="502"/>
      <c r="W739" s="12"/>
      <c r="X739" s="502"/>
      <c r="Y739" s="12"/>
      <c r="Z739" s="502"/>
      <c r="AA739" s="12"/>
      <c r="AB739" s="502"/>
      <c r="AC739" s="12"/>
      <c r="AD739" s="502"/>
      <c r="AE739" s="12"/>
      <c r="AF739" s="502"/>
      <c r="AG739" s="12"/>
      <c r="AH739" s="502"/>
      <c r="AI739" s="12"/>
      <c r="AJ739" s="502"/>
      <c r="AK739" s="12"/>
      <c r="AL739" s="502"/>
      <c r="AM739" s="12"/>
      <c r="AN739" s="502"/>
      <c r="AO739" s="12"/>
      <c r="AP739" s="502"/>
      <c r="AQ739" s="12"/>
      <c r="AR739" s="13"/>
      <c r="AS739" s="12"/>
      <c r="AT739" s="502"/>
      <c r="AU739" s="12"/>
      <c r="AV739" s="502"/>
      <c r="AW739" s="12"/>
      <c r="AX739" s="502"/>
      <c r="AY739" s="12"/>
      <c r="AZ739" s="502"/>
      <c r="BA739" s="12"/>
      <c r="BB739" s="502"/>
      <c r="BC739" s="12"/>
      <c r="BD739" s="502"/>
      <c r="BE739" s="12"/>
      <c r="BF739" s="502"/>
      <c r="BG739" s="12">
        <f>BG359</f>
        <v>-5652</v>
      </c>
      <c r="BH739" s="502"/>
      <c r="BI739" s="12">
        <f>BI359</f>
        <v>-5652</v>
      </c>
      <c r="BJ739" s="502"/>
      <c r="BK739" s="12">
        <f>BK359</f>
        <v>-5652</v>
      </c>
      <c r="BL739" s="502"/>
      <c r="BM739" s="12">
        <f>BM359</f>
        <v>-6892</v>
      </c>
      <c r="BN739" s="502"/>
      <c r="BO739" s="12">
        <f>BO359</f>
        <v>-5885</v>
      </c>
      <c r="BP739" s="502"/>
      <c r="BQ739" s="12">
        <f>BQ359</f>
        <v>-4975</v>
      </c>
      <c r="BR739" s="502"/>
      <c r="BS739" s="12">
        <f>BS359</f>
        <v>-7260</v>
      </c>
      <c r="BT739" s="502"/>
      <c r="BU739" s="12">
        <f>BU359</f>
        <v>-7080</v>
      </c>
      <c r="BV739" s="502"/>
      <c r="BW739" s="12">
        <f>BW359</f>
        <v>-4919</v>
      </c>
      <c r="BX739" s="502"/>
      <c r="BY739" s="12">
        <f>BY359</f>
        <v>-3793</v>
      </c>
      <c r="BZ739" s="502"/>
      <c r="CA739" s="12">
        <f>CA359</f>
        <v>0</v>
      </c>
      <c r="CB739" s="502"/>
      <c r="CC739" s="12">
        <f>CC359</f>
        <v>0</v>
      </c>
      <c r="CD739" s="502"/>
      <c r="CE739" s="12">
        <f>CE359</f>
        <v>0</v>
      </c>
      <c r="CF739" s="502"/>
      <c r="CG739" s="12">
        <f>CG359</f>
        <v>0</v>
      </c>
      <c r="CH739" s="502"/>
      <c r="CI739" s="12">
        <f>CI359</f>
        <v>0</v>
      </c>
      <c r="CJ739" s="502"/>
      <c r="CK739" s="12">
        <f>CK359</f>
        <v>0</v>
      </c>
      <c r="CL739" s="502"/>
      <c r="CM739" s="12">
        <f>CM359</f>
        <v>0</v>
      </c>
      <c r="CN739" s="502"/>
      <c r="CO739" s="12">
        <f>CO359</f>
        <v>0</v>
      </c>
      <c r="CP739" s="502"/>
      <c r="CQ739" s="12">
        <f>CQ359</f>
        <v>0</v>
      </c>
      <c r="CR739" s="502"/>
      <c r="CS739" s="12">
        <f>CS359</f>
        <v>0</v>
      </c>
      <c r="CT739" s="502"/>
      <c r="CU739" s="12">
        <f>CU359</f>
        <v>0</v>
      </c>
      <c r="CV739" s="502"/>
      <c r="CW739" s="12">
        <f>CW359</f>
        <v>0</v>
      </c>
      <c r="CX739" s="502"/>
      <c r="CY739" s="12">
        <f>CY359</f>
        <v>0</v>
      </c>
      <c r="CZ739" s="502"/>
      <c r="DA739" s="12">
        <f>DA359</f>
        <v>0</v>
      </c>
      <c r="DB739" s="502"/>
      <c r="DC739" s="12">
        <f>DC359</f>
        <v>0</v>
      </c>
      <c r="DD739" s="502"/>
      <c r="DE739" s="12">
        <f>DE359</f>
        <v>0</v>
      </c>
      <c r="DF739" s="502"/>
      <c r="DG739" s="12">
        <f>DG359</f>
        <v>0</v>
      </c>
      <c r="DH739" s="502"/>
      <c r="DI739" s="12">
        <f>DI359</f>
        <v>0</v>
      </c>
      <c r="DJ739" s="502"/>
      <c r="DK739" s="12">
        <f>DK359</f>
        <v>0</v>
      </c>
      <c r="DL739" s="502"/>
      <c r="DM739" s="12">
        <f>DM359</f>
        <v>0</v>
      </c>
      <c r="DN739" s="502"/>
      <c r="DO739" s="12">
        <f>DO359</f>
        <v>0</v>
      </c>
      <c r="DP739" s="502"/>
      <c r="DQ739" s="12">
        <f>DQ359</f>
        <v>0</v>
      </c>
      <c r="DR739" s="502"/>
      <c r="DS739" s="12">
        <f>DS359</f>
        <v>0</v>
      </c>
      <c r="DT739" s="502"/>
      <c r="DU739" s="12">
        <f>DU359</f>
        <v>0</v>
      </c>
      <c r="DV739" s="502"/>
      <c r="DW739" s="12">
        <f>DW359</f>
        <v>0</v>
      </c>
      <c r="DX739" s="502"/>
      <c r="DY739" s="12">
        <f>DY359</f>
        <v>0</v>
      </c>
      <c r="DZ739" s="502"/>
      <c r="EA739" s="12">
        <f>EA359</f>
        <v>0</v>
      </c>
      <c r="EB739" s="502"/>
      <c r="EC739" s="12">
        <f>EC359</f>
        <v>0</v>
      </c>
      <c r="ED739" s="502"/>
      <c r="EE739" s="12">
        <f>EE359</f>
        <v>0</v>
      </c>
      <c r="EF739" s="502"/>
      <c r="EG739" s="12">
        <f>EG359</f>
        <v>0</v>
      </c>
      <c r="EH739" s="502"/>
      <c r="EI739" s="12">
        <f>EI359</f>
        <v>0</v>
      </c>
      <c r="EJ739" s="502"/>
      <c r="EK739" s="12">
        <f t="shared" ref="EK739:EM739" si="4387">EK359</f>
        <v>0</v>
      </c>
      <c r="EL739" s="502"/>
      <c r="EM739" s="12">
        <f t="shared" si="4387"/>
        <v>0</v>
      </c>
      <c r="EN739" s="502"/>
      <c r="EO739" s="12">
        <f t="shared" si="4385"/>
        <v>0</v>
      </c>
      <c r="EP739" s="502"/>
      <c r="EQ739" s="12">
        <f t="shared" ref="EQ739:EW739" si="4388">EQ359</f>
        <v>0</v>
      </c>
      <c r="ER739" s="502"/>
      <c r="ES739" s="12">
        <f t="shared" si="4388"/>
        <v>0</v>
      </c>
      <c r="ET739" s="502"/>
      <c r="EU739" s="12">
        <f t="shared" si="4388"/>
        <v>0</v>
      </c>
      <c r="EV739" s="502"/>
      <c r="EW739" s="12">
        <f t="shared" si="4388"/>
        <v>0</v>
      </c>
      <c r="EX739" s="502"/>
      <c r="EY739" s="12"/>
      <c r="EZ739" s="558"/>
      <c r="FA739" s="12"/>
      <c r="FB739" s="12"/>
      <c r="FC739" s="12"/>
      <c r="FD739" s="12"/>
      <c r="FE739" s="502"/>
      <c r="FF739" s="12"/>
      <c r="FG739" s="502"/>
      <c r="FH739" s="12"/>
      <c r="FI739" s="502"/>
      <c r="FJ739" s="12"/>
      <c r="FK739" s="502"/>
      <c r="FL739" s="12"/>
      <c r="FM739" s="502"/>
      <c r="FN739" s="12"/>
      <c r="FO739" s="502"/>
      <c r="FP739" s="12"/>
      <c r="FQ739" s="502"/>
      <c r="FR739" s="12"/>
      <c r="FS739" s="502"/>
      <c r="FT739" s="12">
        <f>FT359</f>
        <v>-23848</v>
      </c>
      <c r="FU739" s="502"/>
      <c r="FV739" s="12">
        <f>FV359</f>
        <v>-25200</v>
      </c>
      <c r="FW739" s="502"/>
      <c r="FX739" s="12">
        <f>FX359</f>
        <v>-8712</v>
      </c>
      <c r="FY739" s="502"/>
      <c r="FZ739" s="12">
        <f>FZ359</f>
        <v>0</v>
      </c>
      <c r="GA739" s="502"/>
      <c r="GB739" s="12">
        <f>GB359</f>
        <v>0</v>
      </c>
      <c r="GC739" s="502"/>
      <c r="GD739" s="12">
        <f>GD359</f>
        <v>0</v>
      </c>
      <c r="GE739" s="502"/>
      <c r="GF739" s="12">
        <f>GF359</f>
        <v>0</v>
      </c>
      <c r="GG739" s="502"/>
      <c r="GH739" s="12">
        <f>GH359</f>
        <v>0</v>
      </c>
      <c r="GI739" s="502"/>
      <c r="GJ739" s="12">
        <f>GJ359</f>
        <v>0</v>
      </c>
      <c r="GK739" s="502"/>
      <c r="GL739" s="12">
        <f>GL359</f>
        <v>0</v>
      </c>
      <c r="GM739" s="502"/>
      <c r="GN739" s="12">
        <f>GN359</f>
        <v>0</v>
      </c>
      <c r="GO739" s="502"/>
      <c r="GP739" s="12">
        <f>GP359</f>
        <v>0</v>
      </c>
      <c r="GQ739" s="502"/>
      <c r="GR739" s="12">
        <f>GR359</f>
        <v>0</v>
      </c>
      <c r="GS739" s="502"/>
      <c r="GT739" s="12">
        <f>GT359</f>
        <v>0</v>
      </c>
      <c r="GU739" s="502"/>
      <c r="GV739" s="12">
        <f>GV359</f>
        <v>0</v>
      </c>
      <c r="GW739" s="502"/>
      <c r="GX739" s="12">
        <f>GX359</f>
        <v>0</v>
      </c>
      <c r="GY739" s="502"/>
      <c r="GZ739" s="13"/>
      <c r="HA739" s="13"/>
      <c r="HB739" s="452"/>
      <c r="HC739"/>
      <c r="HD739"/>
      <c r="HE739"/>
      <c r="HF739"/>
      <c r="HG739"/>
      <c r="HH739"/>
    </row>
    <row r="740" spans="1:216" s="5" customFormat="1" ht="12.75" hidden="1" customHeight="1" outlineLevel="1" x14ac:dyDescent="0.2">
      <c r="A740" s="8" t="s">
        <v>606</v>
      </c>
      <c r="B740" s="2" t="s">
        <v>426</v>
      </c>
      <c r="C740" s="12"/>
      <c r="D740" s="13"/>
      <c r="E740" s="12"/>
      <c r="F740" s="13"/>
      <c r="G740" s="12"/>
      <c r="H740" s="13"/>
      <c r="I740" s="12"/>
      <c r="J740" s="13"/>
      <c r="K740" s="12"/>
      <c r="L740" s="13"/>
      <c r="M740" s="12"/>
      <c r="N740" s="13"/>
      <c r="O740" s="12"/>
      <c r="P740" s="13"/>
      <c r="Q740" s="12"/>
      <c r="R740" s="13"/>
      <c r="S740" s="12"/>
      <c r="T740" s="13"/>
      <c r="U740" s="12"/>
      <c r="V740" s="13"/>
      <c r="W740" s="12"/>
      <c r="X740" s="13"/>
      <c r="Y740" s="12"/>
      <c r="Z740" s="13"/>
      <c r="AA740" s="12"/>
      <c r="AB740" s="13"/>
      <c r="AC740" s="12"/>
      <c r="AD740" s="13"/>
      <c r="AE740" s="12"/>
      <c r="AF740" s="13"/>
      <c r="AG740" s="12"/>
      <c r="AH740" s="13"/>
      <c r="AI740" s="12"/>
      <c r="AJ740" s="13"/>
      <c r="AK740" s="12"/>
      <c r="AL740" s="13"/>
      <c r="AM740" s="12"/>
      <c r="AN740" s="13"/>
      <c r="AO740" s="12"/>
      <c r="AP740" s="13"/>
      <c r="AQ740" s="12"/>
      <c r="AR740" s="13"/>
      <c r="AS740" s="12"/>
      <c r="AT740" s="13"/>
      <c r="AU740" s="12"/>
      <c r="AV740" s="13"/>
      <c r="AW740" s="12"/>
      <c r="AX740" s="13"/>
      <c r="AY740" s="12"/>
      <c r="AZ740" s="13"/>
      <c r="BA740" s="12"/>
      <c r="BB740" s="13"/>
      <c r="BC740" s="12"/>
      <c r="BD740" s="13"/>
      <c r="BE740" s="12"/>
      <c r="BF740" s="13"/>
      <c r="BG740" s="12">
        <f>BG300</f>
        <v>68.442964196502913</v>
      </c>
      <c r="BH740" s="13"/>
      <c r="BI740" s="12">
        <f>BI300</f>
        <v>67.953964194373398</v>
      </c>
      <c r="BJ740" s="13"/>
      <c r="BK740" s="12">
        <f>BK300</f>
        <v>63.945578231292522</v>
      </c>
      <c r="BL740" s="13"/>
      <c r="BM740" s="12">
        <f>BM300</f>
        <v>66.237519705727806</v>
      </c>
      <c r="BN740" s="13"/>
      <c r="BO740" s="12">
        <f>BO300</f>
        <v>67.468069120961687</v>
      </c>
      <c r="BP740" s="13"/>
      <c r="BQ740" s="12">
        <f>BQ300</f>
        <v>67.286420334196279</v>
      </c>
      <c r="BR740" s="13"/>
      <c r="BS740" s="12">
        <f>BS300</f>
        <v>66.782522343594835</v>
      </c>
      <c r="BT740" s="13"/>
      <c r="BU740" s="12">
        <f>BU300</f>
        <v>68.775757575757595</v>
      </c>
      <c r="BV740" s="13"/>
      <c r="BW740" s="12">
        <f>BW300</f>
        <v>66.919791172282856</v>
      </c>
      <c r="BX740" s="13"/>
      <c r="BY740" s="12">
        <f>BY300</f>
        <v>66.087152856175209</v>
      </c>
      <c r="BZ740" s="13"/>
      <c r="CA740" s="12">
        <f>CA300</f>
        <v>63.095439087335095</v>
      </c>
      <c r="CB740" s="13"/>
      <c r="CC740" s="12">
        <f>CC300</f>
        <v>64.829335793357941</v>
      </c>
      <c r="CD740" s="13"/>
      <c r="CE740" s="12">
        <f>CE300</f>
        <v>69.788858939802338</v>
      </c>
      <c r="CF740" s="13"/>
      <c r="CG740" s="12">
        <f>CG300</f>
        <v>71.091257179323549</v>
      </c>
      <c r="CH740" s="13"/>
      <c r="CI740" s="12">
        <f>CI300</f>
        <v>73.178294573643413</v>
      </c>
      <c r="CJ740" s="13"/>
      <c r="CK740" s="12">
        <f>CK300</f>
        <v>69.7393926340728</v>
      </c>
      <c r="CL740" s="13"/>
      <c r="CM740" s="12">
        <f>CM300</f>
        <v>68.549905838041411</v>
      </c>
      <c r="CN740" s="13"/>
      <c r="CO740" s="12">
        <f>CO300</f>
        <v>69.097083499800249</v>
      </c>
      <c r="CP740" s="13"/>
      <c r="CQ740" s="12">
        <f>CQ300</f>
        <v>66.770963704630788</v>
      </c>
      <c r="CR740" s="13"/>
      <c r="CS740" s="12">
        <f>CS300</f>
        <v>67.151767151767146</v>
      </c>
      <c r="CT740" s="13"/>
      <c r="CU740" s="12">
        <f>CU300</f>
        <v>69.444444444444443</v>
      </c>
      <c r="CV740" s="13"/>
      <c r="CW740" s="12">
        <f>CW300</f>
        <v>68.148148148148152</v>
      </c>
      <c r="CX740" s="13"/>
      <c r="CY740" s="12">
        <f>CY300</f>
        <v>69.632495164410059</v>
      </c>
      <c r="CZ740" s="13"/>
      <c r="DA740" s="12">
        <f>DA300</f>
        <v>69.114877589453855</v>
      </c>
      <c r="DB740" s="13"/>
      <c r="DC740" s="12">
        <f>DC300</f>
        <v>69.818181818181827</v>
      </c>
      <c r="DD740" s="13"/>
      <c r="DE740" s="12">
        <f>DE300</f>
        <v>69.043478260869563</v>
      </c>
      <c r="DF740" s="13"/>
      <c r="DG740" s="12">
        <f>DG300</f>
        <v>68.092691622103388</v>
      </c>
      <c r="DH740" s="13"/>
      <c r="DI740" s="12">
        <f>DI300</f>
        <v>68.869565217391298</v>
      </c>
      <c r="DJ740" s="13"/>
      <c r="DK740" s="12">
        <f>DK300</f>
        <v>69.344262295081975</v>
      </c>
      <c r="DL740" s="13"/>
      <c r="DM740" s="12">
        <f>DM300</f>
        <v>74.557165861513681</v>
      </c>
      <c r="DN740" s="13"/>
      <c r="DO740" s="12">
        <f>DO300</f>
        <v>71.57190635451505</v>
      </c>
      <c r="DP740" s="13"/>
      <c r="DQ740" s="12">
        <f>DQ300</f>
        <v>74.675324675324674</v>
      </c>
      <c r="DR740" s="13"/>
      <c r="DS740" s="12">
        <f>DS300</f>
        <v>72.727272727272734</v>
      </c>
      <c r="DT740" s="13"/>
      <c r="DU740" s="12">
        <f>DU300</f>
        <v>68.233387358184757</v>
      </c>
      <c r="DV740" s="13"/>
      <c r="DW740" s="12">
        <f>DW300</f>
        <v>67.719298245614041</v>
      </c>
      <c r="DX740" s="13"/>
      <c r="DY740" s="12">
        <f>DY300</f>
        <v>68.495575221238937</v>
      </c>
      <c r="DZ740" s="13"/>
      <c r="EA740" s="12">
        <f>EA300</f>
        <v>63.670411985018724</v>
      </c>
      <c r="EB740" s="13"/>
      <c r="EC740" s="12">
        <f>EC300</f>
        <v>65.714285714285708</v>
      </c>
      <c r="ED740" s="13"/>
      <c r="EE740" s="12">
        <f>EE300</f>
        <v>54.49438202247191</v>
      </c>
      <c r="EF740" s="13"/>
      <c r="EG740" s="12">
        <f>EG300</f>
        <v>64.245810055865931</v>
      </c>
      <c r="EH740" s="13"/>
      <c r="EI740" s="12">
        <f>EI300</f>
        <v>64.879852125693162</v>
      </c>
      <c r="EJ740" s="13"/>
      <c r="EK740" s="12">
        <f t="shared" ref="EK740:EM740" si="4389">EK300</f>
        <v>60.258780036968574</v>
      </c>
      <c r="EL740" s="13"/>
      <c r="EM740" s="12">
        <f t="shared" si="4389"/>
        <v>59.219858156028373</v>
      </c>
      <c r="EN740" s="13"/>
      <c r="EO740" s="12">
        <f t="shared" ref="EO740" si="4390">EO300</f>
        <v>61.552346570397113</v>
      </c>
      <c r="EP740" s="13"/>
      <c r="EQ740" s="12">
        <f t="shared" ref="EQ740:EW740" si="4391">EQ300</f>
        <v>63</v>
      </c>
      <c r="ER740" s="13"/>
      <c r="ES740" s="12">
        <f t="shared" si="4391"/>
        <v>61</v>
      </c>
      <c r="ET740" s="13"/>
      <c r="EU740" s="12">
        <f t="shared" si="4391"/>
        <v>62</v>
      </c>
      <c r="EV740" s="13"/>
      <c r="EW740" s="12">
        <f t="shared" si="4391"/>
        <v>62</v>
      </c>
      <c r="EX740" s="13"/>
      <c r="EY740" s="12"/>
      <c r="EZ740" s="558"/>
      <c r="FA740" s="12"/>
      <c r="FB740" s="12"/>
      <c r="FC740" s="13"/>
      <c r="FD740" s="12"/>
      <c r="FE740" s="13"/>
      <c r="FF740" s="12"/>
      <c r="FG740" s="13"/>
      <c r="FH740" s="12"/>
      <c r="FI740" s="13"/>
      <c r="FJ740" s="12"/>
      <c r="FK740" s="13"/>
      <c r="FL740" s="57"/>
      <c r="FM740" s="13"/>
      <c r="FN740" s="57"/>
      <c r="FO740" s="13"/>
      <c r="FP740" s="12"/>
      <c r="FQ740" s="13"/>
      <c r="FR740" s="12"/>
      <c r="FS740" s="13"/>
      <c r="FT740" s="12">
        <f>FT300</f>
        <v>66.653327997865816</v>
      </c>
      <c r="FU740" s="13"/>
      <c r="FV740" s="12">
        <f>FV300</f>
        <v>67.581579749923762</v>
      </c>
      <c r="FW740" s="13"/>
      <c r="FX740" s="12">
        <f>FX300</f>
        <v>65.249254018954645</v>
      </c>
      <c r="FY740" s="13"/>
      <c r="FZ740" s="12">
        <f>FZ300</f>
        <v>70.946425645786675</v>
      </c>
      <c r="GA740" s="13"/>
      <c r="GB740" s="12">
        <f>GB300</f>
        <v>67.904481922739691</v>
      </c>
      <c r="GC740" s="13"/>
      <c r="GD740" s="12">
        <f>GD300</f>
        <v>69.072657743785854</v>
      </c>
      <c r="GE740" s="13"/>
      <c r="GF740" s="12">
        <f>GF300</f>
        <v>68.951791242812916</v>
      </c>
      <c r="GG740" s="13"/>
      <c r="GH740" s="12">
        <f>GH300</f>
        <v>72.556237218813905</v>
      </c>
      <c r="GI740" s="13"/>
      <c r="GJ740" s="12">
        <f>GJ300</f>
        <v>69.325413661434027</v>
      </c>
      <c r="GK740" s="13"/>
      <c r="GL740" s="12">
        <f>GL300</f>
        <v>62.018779342723008</v>
      </c>
      <c r="GM740" s="13"/>
      <c r="GN740" s="12">
        <f>GN300</f>
        <v>61.454545454545453</v>
      </c>
      <c r="GO740" s="13"/>
      <c r="GP740" s="12">
        <f>GP300</f>
        <v>61.997423691730091</v>
      </c>
      <c r="GQ740" s="13"/>
      <c r="GR740" s="12">
        <f>GR300</f>
        <v>62.6</v>
      </c>
      <c r="GS740" s="13"/>
      <c r="GT740" s="12">
        <f>GT300</f>
        <v>62.5</v>
      </c>
      <c r="GU740" s="13"/>
      <c r="GV740" s="12">
        <f>GV300</f>
        <v>62.5</v>
      </c>
      <c r="GW740" s="13"/>
      <c r="GX740" s="12">
        <f>GX300</f>
        <v>62.5</v>
      </c>
      <c r="GY740" s="13"/>
      <c r="GZ740" s="13"/>
      <c r="HA740" s="13"/>
      <c r="HB740" s="452"/>
      <c r="HC740"/>
      <c r="HD740"/>
      <c r="HE740"/>
      <c r="HF740"/>
      <c r="HG740"/>
      <c r="HH740"/>
    </row>
    <row r="741" spans="1:216" s="5" customFormat="1" ht="12.75" hidden="1" customHeight="1" outlineLevel="1" x14ac:dyDescent="0.2">
      <c r="A741" s="8" t="s">
        <v>482</v>
      </c>
      <c r="B741" s="2" t="s">
        <v>201</v>
      </c>
      <c r="C741" s="12"/>
      <c r="D741" s="13"/>
      <c r="E741" s="12"/>
      <c r="F741" s="13"/>
      <c r="G741" s="12"/>
      <c r="H741" s="13"/>
      <c r="I741" s="12"/>
      <c r="J741" s="13"/>
      <c r="K741" s="12"/>
      <c r="L741" s="13"/>
      <c r="M741" s="12"/>
      <c r="N741" s="13"/>
      <c r="O741" s="12"/>
      <c r="P741" s="13"/>
      <c r="Q741" s="12"/>
      <c r="R741" s="13"/>
      <c r="S741" s="12"/>
      <c r="T741" s="13"/>
      <c r="U741" s="12"/>
      <c r="V741" s="13"/>
      <c r="W741" s="12"/>
      <c r="X741" s="13"/>
      <c r="Y741" s="12"/>
      <c r="Z741" s="13"/>
      <c r="AA741" s="12"/>
      <c r="AB741" s="13"/>
      <c r="AC741" s="12"/>
      <c r="AD741" s="13"/>
      <c r="AE741" s="12"/>
      <c r="AF741" s="13"/>
      <c r="AG741" s="12"/>
      <c r="AH741" s="502"/>
      <c r="AI741" s="12"/>
      <c r="AJ741" s="13"/>
      <c r="AK741" s="12"/>
      <c r="AL741" s="13"/>
      <c r="AM741" s="12"/>
      <c r="AN741" s="13"/>
      <c r="AO741" s="12"/>
      <c r="AP741" s="13"/>
      <c r="AQ741" s="12"/>
      <c r="AR741" s="13"/>
      <c r="AS741" s="12"/>
      <c r="AT741" s="13"/>
      <c r="AU741" s="12"/>
      <c r="AV741" s="13"/>
      <c r="AW741" s="12"/>
      <c r="AX741" s="13"/>
      <c r="AY741" s="12"/>
      <c r="AZ741" s="13"/>
      <c r="BA741" s="12"/>
      <c r="BB741" s="13"/>
      <c r="BC741" s="12"/>
      <c r="BD741" s="13"/>
      <c r="BE741" s="12"/>
      <c r="BF741" s="13"/>
      <c r="BG741" s="12">
        <f>BG536</f>
        <v>324.40000000000009</v>
      </c>
      <c r="BH741" s="13"/>
      <c r="BI741" s="12">
        <f>BI536</f>
        <v>324.70000000000005</v>
      </c>
      <c r="BJ741" s="13"/>
      <c r="BK741" s="12">
        <f>BK536</f>
        <v>335.3</v>
      </c>
      <c r="BL741" s="13"/>
      <c r="BM741" s="12">
        <f>BM536</f>
        <v>356.49999999999983</v>
      </c>
      <c r="BN741" s="13"/>
      <c r="BO741" s="12">
        <f>BO536</f>
        <v>304.50000000000011</v>
      </c>
      <c r="BP741" s="13"/>
      <c r="BQ741" s="12">
        <f>BQ536</f>
        <v>308.60000000000008</v>
      </c>
      <c r="BR741" s="13"/>
      <c r="BS741" s="12">
        <f>BS536</f>
        <v>315.00000000000011</v>
      </c>
      <c r="BT741" s="13"/>
      <c r="BU741" s="12">
        <f>BU536</f>
        <v>213.89999999999986</v>
      </c>
      <c r="BV741" s="13"/>
      <c r="BW741" s="12">
        <f>BW536</f>
        <v>195.50000000000006</v>
      </c>
      <c r="BX741" s="13"/>
      <c r="BY741" s="12">
        <f>BY536</f>
        <v>207.30000000000015</v>
      </c>
      <c r="BZ741" s="13"/>
      <c r="CA741" s="12">
        <f>CA536</f>
        <v>261.50999999999988</v>
      </c>
      <c r="CB741" s="13"/>
      <c r="CC741" s="12">
        <f>CC536</f>
        <v>299.7</v>
      </c>
      <c r="CD741" s="13"/>
      <c r="CE741" s="12">
        <f>CE536</f>
        <v>283.20000000000005</v>
      </c>
      <c r="CF741" s="13"/>
      <c r="CG741" s="12">
        <f>CG536</f>
        <v>290.70000000000005</v>
      </c>
      <c r="CH741" s="13"/>
      <c r="CI741" s="12">
        <f>CI536</f>
        <v>281.59999999999997</v>
      </c>
      <c r="CJ741" s="13"/>
      <c r="CK741" s="12">
        <f>CK536</f>
        <v>297.5999999999998</v>
      </c>
      <c r="CL741" s="13"/>
      <c r="CM741" s="12">
        <f>CM536</f>
        <v>275.9000000000002</v>
      </c>
      <c r="CN741" s="13"/>
      <c r="CO741" s="12">
        <f>CO536</f>
        <v>290.89999999999981</v>
      </c>
      <c r="CP741" s="13"/>
      <c r="CQ741" s="12">
        <f>CQ536</f>
        <v>312.89999999999992</v>
      </c>
      <c r="CR741" s="13"/>
      <c r="CS741" s="12">
        <f>CS536</f>
        <v>280</v>
      </c>
      <c r="CT741" s="13"/>
      <c r="CU741" s="12">
        <f>CU536</f>
        <v>293</v>
      </c>
      <c r="CV741" s="13"/>
      <c r="CW741" s="12">
        <f>CW536</f>
        <v>295</v>
      </c>
      <c r="CX741" s="13"/>
      <c r="CY741" s="12">
        <f>CY536</f>
        <v>328</v>
      </c>
      <c r="CZ741" s="13"/>
      <c r="DA741" s="12">
        <f>DA536</f>
        <v>302</v>
      </c>
      <c r="DB741" s="13"/>
      <c r="DC741" s="12">
        <f>DC536</f>
        <v>298.49799999999999</v>
      </c>
      <c r="DD741" s="13"/>
      <c r="DE741" s="12">
        <f>DE536</f>
        <v>332</v>
      </c>
      <c r="DF741" s="13"/>
      <c r="DG741" s="12">
        <f>DG536</f>
        <v>339</v>
      </c>
      <c r="DH741" s="13"/>
      <c r="DI741" s="12">
        <f>DI536</f>
        <v>357</v>
      </c>
      <c r="DJ741" s="13"/>
      <c r="DK741" s="12">
        <f>DK536</f>
        <v>364</v>
      </c>
      <c r="DL741" s="13"/>
      <c r="DM741" s="12">
        <f>DM536</f>
        <v>384</v>
      </c>
      <c r="DN741" s="13"/>
      <c r="DO741" s="12">
        <f>DO536</f>
        <v>404</v>
      </c>
      <c r="DP741" s="13"/>
      <c r="DQ741" s="12">
        <f>DQ536</f>
        <v>387</v>
      </c>
      <c r="DR741" s="13"/>
      <c r="DS741" s="12">
        <f>DS536</f>
        <v>352</v>
      </c>
      <c r="DT741" s="13"/>
      <c r="DU741" s="12">
        <f>DU536</f>
        <v>379</v>
      </c>
      <c r="DV741" s="13"/>
      <c r="DW741" s="12">
        <f>DW536</f>
        <v>421.5</v>
      </c>
      <c r="DX741" s="13"/>
      <c r="DY741" s="12">
        <f>DY536</f>
        <v>382</v>
      </c>
      <c r="DZ741" s="13"/>
      <c r="EA741" s="12">
        <f>EA536</f>
        <v>362</v>
      </c>
      <c r="EB741" s="13"/>
      <c r="EC741" s="12">
        <f>EC536</f>
        <v>373</v>
      </c>
      <c r="ED741" s="13"/>
      <c r="EE741" s="12">
        <f>EE536</f>
        <v>408.3</v>
      </c>
      <c r="EF741" s="13"/>
      <c r="EG741" s="12">
        <f>EG536</f>
        <v>409</v>
      </c>
      <c r="EH741" s="13"/>
      <c r="EI741" s="12">
        <f>EI536</f>
        <v>398</v>
      </c>
      <c r="EJ741" s="13"/>
      <c r="EK741" s="12">
        <f t="shared" ref="EK741:EM741" si="4392">EK536</f>
        <v>419</v>
      </c>
      <c r="EL741" s="13"/>
      <c r="EM741" s="12">
        <f t="shared" si="4392"/>
        <v>433.5</v>
      </c>
      <c r="EN741" s="13"/>
      <c r="EO741" s="12">
        <f t="shared" ref="EO741" si="4393">EO536</f>
        <v>440</v>
      </c>
      <c r="EP741" s="13"/>
      <c r="EQ741" s="12">
        <f t="shared" ref="EQ741:EW741" si="4394">EQ536</f>
        <v>433.01539174143363</v>
      </c>
      <c r="ER741" s="13"/>
      <c r="ES741" s="12">
        <f t="shared" si="4394"/>
        <v>460.45921990626726</v>
      </c>
      <c r="ET741" s="13"/>
      <c r="EU741" s="12">
        <f t="shared" si="4394"/>
        <v>479.13694888564487</v>
      </c>
      <c r="EV741" s="13"/>
      <c r="EW741" s="12">
        <f t="shared" si="4394"/>
        <v>492.61294385852671</v>
      </c>
      <c r="EX741" s="13"/>
      <c r="EY741" s="56"/>
      <c r="EZ741" s="558"/>
      <c r="FA741" s="56"/>
      <c r="FB741" s="12"/>
      <c r="FC741" s="13"/>
      <c r="FD741" s="12"/>
      <c r="FE741" s="13"/>
      <c r="FF741" s="12">
        <f>FF536</f>
        <v>690.59</v>
      </c>
      <c r="FG741" s="13"/>
      <c r="FH741" s="12">
        <f>FH536</f>
        <v>644.70000000000005</v>
      </c>
      <c r="FI741" s="13"/>
      <c r="FJ741" s="12">
        <f>FJ536</f>
        <v>432.2</v>
      </c>
      <c r="FK741" s="13"/>
      <c r="FL741" s="12">
        <f>FL536</f>
        <v>592.79999999999995</v>
      </c>
      <c r="FM741" s="13"/>
      <c r="FN741" s="12">
        <f>FN536</f>
        <v>724.92</v>
      </c>
      <c r="FO741" s="13"/>
      <c r="FP741" s="12">
        <f>FP536</f>
        <v>869.80600000000004</v>
      </c>
      <c r="FQ741" s="13"/>
      <c r="FR741" s="12">
        <f>FR536</f>
        <v>1204.6399999999999</v>
      </c>
      <c r="FS741" s="13"/>
      <c r="FT741" s="12">
        <f>FT536</f>
        <v>1340.8999999999994</v>
      </c>
      <c r="FU741" s="13"/>
      <c r="FV741" s="12">
        <f>FV536</f>
        <v>1142.0000000000005</v>
      </c>
      <c r="FW741" s="13"/>
      <c r="FX741" s="12">
        <f>FX536</f>
        <v>964.01000000000022</v>
      </c>
      <c r="FY741" s="13"/>
      <c r="FZ741" s="12">
        <f>FZ536</f>
        <v>1153.0999999999995</v>
      </c>
      <c r="GA741" s="13"/>
      <c r="GB741" s="12">
        <f>GB536</f>
        <v>1159.7000000000003</v>
      </c>
      <c r="GC741" s="13"/>
      <c r="GD741" s="12">
        <f>GD536</f>
        <v>1218</v>
      </c>
      <c r="GE741" s="13"/>
      <c r="GF741" s="12">
        <f>GF536</f>
        <v>1326.498</v>
      </c>
      <c r="GG741" s="13"/>
      <c r="GH741" s="12">
        <f>GH536</f>
        <v>1539</v>
      </c>
      <c r="GI741" s="13"/>
      <c r="GJ741" s="12">
        <f>GJ536</f>
        <v>1534.5</v>
      </c>
      <c r="GK741" s="13"/>
      <c r="GL741" s="12">
        <f>GL536</f>
        <v>1552.3</v>
      </c>
      <c r="GM741" s="13"/>
      <c r="GN741" s="12">
        <f>GN536</f>
        <v>1690.5</v>
      </c>
      <c r="GO741" s="13"/>
      <c r="GP741" s="12">
        <f>GP536</f>
        <v>1865.2245043918708</v>
      </c>
      <c r="GQ741" s="13"/>
      <c r="GR741" s="12">
        <f>GR536</f>
        <v>1997.2805153712757</v>
      </c>
      <c r="GS741" s="13"/>
      <c r="GT741" s="12">
        <f>GT536</f>
        <v>2187.2095019673025</v>
      </c>
      <c r="GU741" s="13"/>
      <c r="GV741" s="12">
        <f>GV536</f>
        <v>2296.8237050363132</v>
      </c>
      <c r="GW741" s="13"/>
      <c r="GX741" s="12">
        <f>GX536</f>
        <v>2417.6717699682927</v>
      </c>
      <c r="GY741" s="13"/>
      <c r="GZ741" s="13"/>
      <c r="HA741" s="13"/>
      <c r="HB741" s="452"/>
      <c r="HC741"/>
      <c r="HD741"/>
      <c r="HE741"/>
      <c r="HF741"/>
      <c r="HG741"/>
      <c r="HH741"/>
    </row>
    <row r="742" spans="1:216" s="5" customFormat="1" ht="12.75" hidden="1" customHeight="1" outlineLevel="1" x14ac:dyDescent="0.2">
      <c r="A742" s="8" t="s">
        <v>483</v>
      </c>
      <c r="B742" s="2" t="s">
        <v>385</v>
      </c>
      <c r="C742" s="12"/>
      <c r="D742" s="13"/>
      <c r="E742" s="12"/>
      <c r="F742" s="13"/>
      <c r="G742" s="12"/>
      <c r="H742" s="13"/>
      <c r="I742" s="12"/>
      <c r="J742" s="13"/>
      <c r="K742" s="12"/>
      <c r="L742" s="13"/>
      <c r="M742" s="12"/>
      <c r="N742" s="13"/>
      <c r="O742" s="12"/>
      <c r="P742" s="13"/>
      <c r="Q742" s="12"/>
      <c r="R742" s="13"/>
      <c r="S742" s="12"/>
      <c r="T742" s="13"/>
      <c r="U742" s="12"/>
      <c r="V742" s="13"/>
      <c r="W742" s="12"/>
      <c r="X742" s="13"/>
      <c r="Y742" s="12"/>
      <c r="Z742" s="13"/>
      <c r="AA742" s="12"/>
      <c r="AB742" s="13"/>
      <c r="AC742" s="12"/>
      <c r="AD742" s="13"/>
      <c r="AE742" s="12"/>
      <c r="AF742" s="13"/>
      <c r="AG742" s="12"/>
      <c r="AH742" s="13"/>
      <c r="AI742" s="12"/>
      <c r="AJ742" s="13"/>
      <c r="AK742" s="12"/>
      <c r="AL742" s="13"/>
      <c r="AM742" s="12"/>
      <c r="AN742" s="13"/>
      <c r="AO742" s="12"/>
      <c r="AP742" s="13"/>
      <c r="AQ742" s="14"/>
      <c r="AR742" s="13"/>
      <c r="AS742" s="14"/>
      <c r="AT742" s="13"/>
      <c r="AU742" s="14"/>
      <c r="AV742" s="13"/>
      <c r="AW742" s="14"/>
      <c r="AX742" s="13"/>
      <c r="AY742" s="14"/>
      <c r="AZ742" s="13"/>
      <c r="BA742" s="14"/>
      <c r="BB742" s="13"/>
      <c r="BC742" s="14"/>
      <c r="BD742" s="13"/>
      <c r="BE742" s="14"/>
      <c r="BF742" s="13"/>
      <c r="BG742" s="14">
        <f>BG618</f>
        <v>1.1606440071556354</v>
      </c>
      <c r="BH742" s="13"/>
      <c r="BI742" s="14">
        <f>BI618</f>
        <v>1.1833090379008748</v>
      </c>
      <c r="BJ742" s="13"/>
      <c r="BK742" s="14">
        <f>BK618</f>
        <v>1.2304587155963302</v>
      </c>
      <c r="BL742" s="13"/>
      <c r="BM742" s="14">
        <f>BM618</f>
        <v>1.3233110616184107</v>
      </c>
      <c r="BN742" s="13"/>
      <c r="BO742" s="14">
        <f>BO618</f>
        <v>1.1586757990867584</v>
      </c>
      <c r="BP742" s="13"/>
      <c r="BQ742" s="14">
        <f>BQ618</f>
        <v>1.1887519260400619</v>
      </c>
      <c r="BR742" s="13"/>
      <c r="BS742" s="14">
        <f>BS618</f>
        <v>1.2226125094606926</v>
      </c>
      <c r="BT742" s="13"/>
      <c r="BU742" s="14">
        <f>BU618</f>
        <v>0.83035714285714224</v>
      </c>
      <c r="BV742" s="13"/>
      <c r="BW742" s="14">
        <f>BW618</f>
        <v>0.75833979829325082</v>
      </c>
      <c r="BX742" s="13"/>
      <c r="BY742" s="14">
        <f>BY618</f>
        <v>0.79001524390243971</v>
      </c>
      <c r="BZ742" s="13"/>
      <c r="CA742" s="14">
        <f>CA618</f>
        <v>0.79099999999999959</v>
      </c>
      <c r="CB742" s="13"/>
      <c r="CC742" s="14">
        <f>CC618</f>
        <v>0.90340179717586644</v>
      </c>
      <c r="CD742" s="13"/>
      <c r="CE742" s="14">
        <f>CE618</f>
        <v>0.84850038451679077</v>
      </c>
      <c r="CF742" s="13"/>
      <c r="CG742" s="14">
        <f>CG618</f>
        <v>0.86586141131595684</v>
      </c>
      <c r="CH742" s="13"/>
      <c r="CI742" s="14">
        <f>CI618</f>
        <v>0.86152901443045737</v>
      </c>
      <c r="CJ742" s="13"/>
      <c r="CK742" s="14">
        <f>CK618</f>
        <v>0.92022263450834818</v>
      </c>
      <c r="CL742" s="13"/>
      <c r="CM742" s="14">
        <f>CM618</f>
        <v>0.85444410034066343</v>
      </c>
      <c r="CN742" s="13"/>
      <c r="CO742" s="14">
        <f>CO618</f>
        <v>0.9087785067166505</v>
      </c>
      <c r="CP742" s="13"/>
      <c r="CQ742" s="14">
        <f>CQ618</f>
        <v>1.0028846153846152</v>
      </c>
      <c r="CR742" s="13"/>
      <c r="CS742" s="14">
        <f>CS618</f>
        <v>0.92287409360580097</v>
      </c>
      <c r="CT742" s="13"/>
      <c r="CU742" s="14">
        <f>CU618</f>
        <v>0.9901993916863806</v>
      </c>
      <c r="CV742" s="13"/>
      <c r="CW742" s="14">
        <f>CW618</f>
        <v>1.0172413793103448</v>
      </c>
      <c r="CX742" s="13"/>
      <c r="CY742" s="14">
        <f>CY618</f>
        <v>1.152089919213207</v>
      </c>
      <c r="CZ742" s="13"/>
      <c r="DA742" s="14">
        <f>DA618</f>
        <v>1.0743507648523656</v>
      </c>
      <c r="DB742" s="13"/>
      <c r="DC742" s="14">
        <f>DC618</f>
        <v>1.0714213926776739</v>
      </c>
      <c r="DD742" s="13"/>
      <c r="DE742" s="14">
        <f>DE618</f>
        <v>1.2042074718897353</v>
      </c>
      <c r="DF742" s="13"/>
      <c r="DG742" s="14">
        <f>DG618</f>
        <v>1.2385823894775303</v>
      </c>
      <c r="DH742" s="13"/>
      <c r="DI742" s="14">
        <f>DI618</f>
        <v>1.3086510263929618</v>
      </c>
      <c r="DJ742" s="13"/>
      <c r="DK742" s="14">
        <f>DK618</f>
        <v>1.3377434766629914</v>
      </c>
      <c r="DL742" s="13"/>
      <c r="DM742" s="14">
        <f>DM618</f>
        <v>1.4298995909259948</v>
      </c>
      <c r="DN742" s="13"/>
      <c r="DO742" s="14">
        <f>DO618</f>
        <v>1.5142428785607196</v>
      </c>
      <c r="DP742" s="13"/>
      <c r="DQ742" s="14">
        <f>DQ618</f>
        <v>1.4714828897338403</v>
      </c>
      <c r="DR742" s="13"/>
      <c r="DS742" s="14">
        <f>DS618</f>
        <v>1.3507290867229469</v>
      </c>
      <c r="DT742" s="13"/>
      <c r="DU742" s="14">
        <f>DU618</f>
        <v>1.4868575912122401</v>
      </c>
      <c r="DV742" s="13"/>
      <c r="DW742" s="14">
        <f>DW618</f>
        <v>1.6646919431279621</v>
      </c>
      <c r="DX742" s="13"/>
      <c r="DY742" s="14">
        <f>DY618</f>
        <v>1.5349999999999999</v>
      </c>
      <c r="DZ742" s="13"/>
      <c r="EA742" s="14">
        <f>EA618</f>
        <v>1.4770000000000001</v>
      </c>
      <c r="EB742" s="13"/>
      <c r="EC742" s="14">
        <f>EC618</f>
        <v>1.5549999999999999</v>
      </c>
      <c r="ED742" s="13"/>
      <c r="EE742" s="14">
        <f>EE618</f>
        <v>1.748</v>
      </c>
      <c r="EF742" s="13"/>
      <c r="EG742" s="14">
        <f>EG618</f>
        <v>1.7709999999999999</v>
      </c>
      <c r="EH742" s="13"/>
      <c r="EI742" s="14">
        <f>EI618</f>
        <v>1.73</v>
      </c>
      <c r="EJ742" s="13"/>
      <c r="EK742" s="14">
        <f t="shared" ref="EK742:EM742" si="4395">EK618</f>
        <v>1.845</v>
      </c>
      <c r="EL742" s="13"/>
      <c r="EM742" s="14">
        <f t="shared" si="4395"/>
        <v>1.9359999999999999</v>
      </c>
      <c r="EN742" s="13"/>
      <c r="EO742" s="14">
        <f t="shared" ref="EO742" si="4396">EO618</f>
        <v>1.9830000000000001</v>
      </c>
      <c r="EP742" s="13"/>
      <c r="EQ742" s="14">
        <f t="shared" ref="EQ742:EW742" si="4397">EQ618</f>
        <v>1.9566895243625559</v>
      </c>
      <c r="ER742" s="13"/>
      <c r="ES742" s="14">
        <f t="shared" si="4397"/>
        <v>2.0807014003898203</v>
      </c>
      <c r="ET742" s="13"/>
      <c r="EU742" s="14">
        <f t="shared" si="4397"/>
        <v>2.1699323895505249</v>
      </c>
      <c r="EV742" s="13"/>
      <c r="EW742" s="14">
        <f t="shared" si="4397"/>
        <v>2.2408646967070514</v>
      </c>
      <c r="EX742" s="13"/>
      <c r="EY742" s="56"/>
      <c r="EZ742" s="558"/>
      <c r="FA742" s="56"/>
      <c r="FB742" s="12"/>
      <c r="FC742" s="13"/>
      <c r="FD742" s="12"/>
      <c r="FE742" s="13"/>
      <c r="FF742" s="12"/>
      <c r="FG742" s="13"/>
      <c r="FH742" s="12"/>
      <c r="FI742" s="13"/>
      <c r="FJ742" s="12"/>
      <c r="FK742" s="13"/>
      <c r="FL742" s="57"/>
      <c r="FM742" s="13"/>
      <c r="FN742" s="57"/>
      <c r="FO742" s="13"/>
      <c r="FP742" s="14"/>
      <c r="FQ742" s="13"/>
      <c r="FR742" s="14"/>
      <c r="FS742" s="13"/>
      <c r="FT742" s="14">
        <f>FT618</f>
        <v>4.894688811826974</v>
      </c>
      <c r="FU742" s="13"/>
      <c r="FV742" s="14">
        <f>FV618</f>
        <v>4.4022763083713619</v>
      </c>
      <c r="FW742" s="13"/>
      <c r="FX742" s="14">
        <f>FX618</f>
        <v>3.2562970747941851</v>
      </c>
      <c r="FY742" s="13"/>
      <c r="FZ742" s="14">
        <f>FZ618</f>
        <v>3.4971546818416943</v>
      </c>
      <c r="GA742" s="13"/>
      <c r="GB742" s="14">
        <f>GB618</f>
        <v>3.6815873015873026</v>
      </c>
      <c r="GC742" s="13"/>
      <c r="GD742" s="14">
        <f>GD618</f>
        <v>4.2350486787204451</v>
      </c>
      <c r="GE742" s="13"/>
      <c r="GF742" s="14">
        <f>GF618</f>
        <v>4.8201235465116286</v>
      </c>
      <c r="GG742" s="13"/>
      <c r="GH742" s="14">
        <f>GH618</f>
        <v>5.7425373134328357</v>
      </c>
      <c r="GI742" s="13"/>
      <c r="GJ742" s="14">
        <f>GJ618</f>
        <v>6.0318396226415096</v>
      </c>
      <c r="GK742" s="13"/>
      <c r="GL742" s="14">
        <f>GL618</f>
        <v>6.5394418114797261</v>
      </c>
      <c r="GM742" s="13"/>
      <c r="GN742" s="14">
        <f>GN618</f>
        <v>7.4879574774375728</v>
      </c>
      <c r="GO742" s="13"/>
      <c r="GP742" s="14">
        <f>GP618</f>
        <v>8.4472022261282849</v>
      </c>
      <c r="GQ742" s="13"/>
      <c r="GR742" s="14">
        <f>GR618</f>
        <v>9.2031935617236069</v>
      </c>
      <c r="GS742" s="13"/>
      <c r="GT742" s="14">
        <f>GT618</f>
        <v>10.298755491214671</v>
      </c>
      <c r="GU742" s="13"/>
      <c r="GV742" s="14">
        <f>GV618</f>
        <v>11.097760784447122</v>
      </c>
      <c r="GW742" s="13"/>
      <c r="GX742" s="14">
        <f>GX618</f>
        <v>11.999970894221658</v>
      </c>
      <c r="GY742" s="13"/>
      <c r="GZ742" s="13"/>
      <c r="HA742" s="13"/>
      <c r="HB742" s="452"/>
      <c r="HC742"/>
      <c r="HD742"/>
      <c r="HE742"/>
      <c r="HF742"/>
      <c r="HG742"/>
      <c r="HH742"/>
    </row>
    <row r="743" spans="1:216" s="5" customFormat="1" ht="12.75" hidden="1" customHeight="1" outlineLevel="1" x14ac:dyDescent="0.2">
      <c r="A743" s="8"/>
      <c r="B743" s="2" t="s">
        <v>462</v>
      </c>
      <c r="C743" s="12"/>
      <c r="D743" s="13"/>
      <c r="E743" s="12"/>
      <c r="F743" s="13"/>
      <c r="G743" s="12"/>
      <c r="H743" s="13"/>
      <c r="I743" s="12"/>
      <c r="J743" s="13"/>
      <c r="K743" s="12"/>
      <c r="L743" s="13"/>
      <c r="M743" s="12"/>
      <c r="N743" s="13"/>
      <c r="O743" s="12"/>
      <c r="P743" s="13"/>
      <c r="Q743" s="12"/>
      <c r="R743" s="13"/>
      <c r="S743" s="12"/>
      <c r="T743" s="13"/>
      <c r="U743" s="12"/>
      <c r="V743" s="13"/>
      <c r="W743" s="12"/>
      <c r="X743" s="13"/>
      <c r="Y743" s="12"/>
      <c r="Z743" s="13"/>
      <c r="AA743" s="12"/>
      <c r="AB743" s="13"/>
      <c r="AC743" s="12"/>
      <c r="AD743" s="13"/>
      <c r="AE743" s="12"/>
      <c r="AF743" s="13"/>
      <c r="AG743" s="12"/>
      <c r="AH743" s="13"/>
      <c r="AI743" s="12"/>
      <c r="AJ743" s="13"/>
      <c r="AK743" s="12"/>
      <c r="AL743" s="13"/>
      <c r="AM743" s="12"/>
      <c r="AN743" s="13"/>
      <c r="AO743" s="12"/>
      <c r="AP743" s="13"/>
      <c r="AQ743" s="12"/>
      <c r="AR743" s="13"/>
      <c r="AS743" s="12"/>
      <c r="AT743" s="13"/>
      <c r="AU743" s="12"/>
      <c r="AV743" s="13"/>
      <c r="AW743" s="12"/>
      <c r="AX743" s="13"/>
      <c r="AY743" s="12"/>
      <c r="AZ743" s="13"/>
      <c r="BA743" s="12"/>
      <c r="BB743" s="13"/>
      <c r="BC743" s="12"/>
      <c r="BD743" s="13"/>
      <c r="BE743" s="12"/>
      <c r="BF743" s="13"/>
      <c r="BG743" s="12">
        <f>BG137</f>
        <v>221</v>
      </c>
      <c r="BH743" s="502"/>
      <c r="BI743" s="12">
        <f>BI137</f>
        <v>73</v>
      </c>
      <c r="BJ743" s="502"/>
      <c r="BK743" s="12">
        <f>BK137</f>
        <v>133</v>
      </c>
      <c r="BL743" s="502"/>
      <c r="BM743" s="12">
        <f>BM137</f>
        <v>-91</v>
      </c>
      <c r="BN743" s="502"/>
      <c r="BO743" s="12">
        <f>BO137</f>
        <v>280</v>
      </c>
      <c r="BP743" s="502"/>
      <c r="BQ743" s="12">
        <f>BQ137</f>
        <v>237</v>
      </c>
      <c r="BR743" s="502"/>
      <c r="BS743" s="12">
        <f>BS137</f>
        <v>93</v>
      </c>
      <c r="BT743" s="502"/>
      <c r="BU743" s="12">
        <f>BU137</f>
        <v>171</v>
      </c>
      <c r="BV743" s="502"/>
      <c r="BW743" s="12">
        <f>BW137</f>
        <v>657</v>
      </c>
      <c r="BX743" s="502"/>
      <c r="BY743" s="12">
        <f>BY137</f>
        <v>256</v>
      </c>
      <c r="BZ743" s="502"/>
      <c r="CA743" s="12">
        <f>CA137</f>
        <v>144</v>
      </c>
      <c r="CB743" s="502"/>
      <c r="CC743" s="12">
        <f>CC137</f>
        <v>-62</v>
      </c>
      <c r="CD743" s="502"/>
      <c r="CE743" s="12">
        <f>CE137</f>
        <v>109</v>
      </c>
      <c r="CF743" s="502"/>
      <c r="CG743" s="12">
        <f>CG137</f>
        <v>182</v>
      </c>
      <c r="CH743" s="502"/>
      <c r="CI743" s="12">
        <f>CI137</f>
        <v>-278</v>
      </c>
      <c r="CJ743" s="502"/>
      <c r="CK743" s="12">
        <f>CK137</f>
        <v>-304</v>
      </c>
      <c r="CL743" s="502"/>
      <c r="CM743" s="12">
        <f>CM137</f>
        <v>134</v>
      </c>
      <c r="CN743" s="502"/>
      <c r="CO743" s="12">
        <f>CO137</f>
        <v>-178</v>
      </c>
      <c r="CP743" s="502"/>
      <c r="CQ743" s="12">
        <f>CQ137</f>
        <v>329</v>
      </c>
      <c r="CR743" s="502"/>
      <c r="CS743" s="12">
        <f>CS137</f>
        <v>219</v>
      </c>
      <c r="CT743" s="502"/>
      <c r="CU743" s="12">
        <f>CU137</f>
        <v>212</v>
      </c>
      <c r="CV743" s="502"/>
      <c r="CW743" s="12">
        <f>CW137</f>
        <v>194</v>
      </c>
      <c r="CX743" s="502"/>
      <c r="CY743" s="12">
        <f>CY137</f>
        <v>232</v>
      </c>
      <c r="CZ743" s="502"/>
      <c r="DA743" s="12">
        <f>DA137</f>
        <v>348</v>
      </c>
      <c r="DB743" s="502"/>
      <c r="DC743" s="12">
        <f>DC137</f>
        <v>344</v>
      </c>
      <c r="DD743" s="502"/>
      <c r="DE743" s="12">
        <f>DE137</f>
        <v>337</v>
      </c>
      <c r="DF743" s="502"/>
      <c r="DG743" s="12">
        <f>DG137</f>
        <v>219</v>
      </c>
      <c r="DH743" s="502"/>
      <c r="DI743" s="12">
        <f>DI137</f>
        <v>-107</v>
      </c>
      <c r="DJ743" s="502"/>
      <c r="DK743" s="12">
        <f>DK137</f>
        <v>-361</v>
      </c>
      <c r="DL743" s="502"/>
      <c r="DM743" s="12">
        <f>DM137</f>
        <v>366</v>
      </c>
      <c r="DN743" s="502"/>
      <c r="DO743" s="12">
        <f>DO137</f>
        <v>50</v>
      </c>
      <c r="DP743" s="502"/>
      <c r="DQ743" s="12">
        <f>DQ137</f>
        <v>-936</v>
      </c>
      <c r="DR743" s="502"/>
      <c r="DS743" s="12">
        <f>DS137</f>
        <v>115</v>
      </c>
      <c r="DT743" s="502"/>
      <c r="DU743" s="12">
        <f>DU137</f>
        <v>306</v>
      </c>
      <c r="DV743" s="502"/>
      <c r="DW743" s="12">
        <f>DW137</f>
        <v>251</v>
      </c>
      <c r="DX743" s="502"/>
      <c r="DY743" s="12">
        <f>DY137</f>
        <v>-221</v>
      </c>
      <c r="DZ743" s="502"/>
      <c r="EA743" s="12">
        <f>EA137</f>
        <v>78</v>
      </c>
      <c r="EB743" s="502"/>
      <c r="EC743" s="12">
        <f>EC137</f>
        <v>4</v>
      </c>
      <c r="ED743" s="502"/>
      <c r="EE743" s="12">
        <f>EE137</f>
        <v>97</v>
      </c>
      <c r="EF743" s="502"/>
      <c r="EG743" s="12">
        <f>EG137</f>
        <v>386</v>
      </c>
      <c r="EH743" s="502"/>
      <c r="EI743" s="12">
        <f>EI137</f>
        <v>116</v>
      </c>
      <c r="EJ743" s="502"/>
      <c r="EK743" s="12">
        <f t="shared" ref="EK743:EM743" si="4398">EK137</f>
        <v>395</v>
      </c>
      <c r="EL743" s="502"/>
      <c r="EM743" s="12">
        <f t="shared" si="4398"/>
        <v>415</v>
      </c>
      <c r="EN743" s="502"/>
      <c r="EO743" s="12">
        <f t="shared" ref="EO743" si="4399">EO137</f>
        <v>412</v>
      </c>
      <c r="EP743" s="502"/>
      <c r="EQ743" s="12">
        <f t="shared" ref="EQ743:EW743" si="4400">EQ137</f>
        <v>287.3894650374782</v>
      </c>
      <c r="ER743" s="502"/>
      <c r="ES743" s="12">
        <f t="shared" si="4400"/>
        <v>748.39859901483032</v>
      </c>
      <c r="ET743" s="502"/>
      <c r="EU743" s="12">
        <f t="shared" si="4400"/>
        <v>863.63141369795403</v>
      </c>
      <c r="EV743" s="502"/>
      <c r="EW743" s="12">
        <f t="shared" si="4400"/>
        <v>322.90226798723234</v>
      </c>
      <c r="EX743" s="502"/>
      <c r="EY743" s="12"/>
      <c r="EZ743" s="558"/>
      <c r="FA743" s="12"/>
      <c r="FB743" s="12"/>
      <c r="FC743" s="12"/>
      <c r="FD743" s="12"/>
      <c r="FE743" s="502"/>
      <c r="FF743" s="12"/>
      <c r="FG743" s="502"/>
      <c r="FH743" s="12"/>
      <c r="FI743" s="502"/>
      <c r="FJ743" s="12"/>
      <c r="FK743" s="502"/>
      <c r="FL743" s="12"/>
      <c r="FM743" s="502"/>
      <c r="FN743" s="12"/>
      <c r="FO743" s="502"/>
      <c r="FP743" s="12"/>
      <c r="FQ743" s="502"/>
      <c r="FR743" s="12"/>
      <c r="FS743" s="502"/>
      <c r="FT743" s="12">
        <f>FT137</f>
        <v>336</v>
      </c>
      <c r="FU743" s="502"/>
      <c r="FV743" s="12">
        <f>FV137</f>
        <v>781</v>
      </c>
      <c r="FW743" s="502"/>
      <c r="FX743" s="12">
        <f>FX137</f>
        <v>995</v>
      </c>
      <c r="FY743" s="502"/>
      <c r="FZ743" s="12">
        <f>FZ137</f>
        <v>-291</v>
      </c>
      <c r="GA743" s="502"/>
      <c r="GB743" s="12">
        <f>GB137</f>
        <v>504</v>
      </c>
      <c r="GC743" s="502"/>
      <c r="GD743" s="12">
        <f>GD137</f>
        <v>986</v>
      </c>
      <c r="GE743" s="502"/>
      <c r="GF743" s="12">
        <f>GF137</f>
        <v>793</v>
      </c>
      <c r="GG743" s="502"/>
      <c r="GH743" s="12">
        <f>GH137</f>
        <v>-881</v>
      </c>
      <c r="GI743" s="502"/>
      <c r="GJ743" s="12">
        <f>GJ137</f>
        <v>451</v>
      </c>
      <c r="GK743" s="502"/>
      <c r="GL743" s="12">
        <f>GL137</f>
        <v>565</v>
      </c>
      <c r="GM743" s="502"/>
      <c r="GN743" s="12">
        <f>GN137</f>
        <v>1338</v>
      </c>
      <c r="GO743" s="502"/>
      <c r="GP743" s="12">
        <f>GP137</f>
        <v>2222.3217457374958</v>
      </c>
      <c r="GQ743" s="502"/>
      <c r="GR743" s="12">
        <f>GR137</f>
        <v>2295.5973720356724</v>
      </c>
      <c r="GS743" s="502"/>
      <c r="GT743" s="12">
        <f>GT137</f>
        <v>2585.0745321716549</v>
      </c>
      <c r="GU743" s="502"/>
      <c r="GV743" s="12">
        <f>GV137</f>
        <v>2867.6949910776475</v>
      </c>
      <c r="GW743" s="502"/>
      <c r="GX743" s="12">
        <f>GX137</f>
        <v>3145.7203774096997</v>
      </c>
      <c r="GY743" s="502"/>
      <c r="GZ743" s="13"/>
      <c r="HA743" s="13"/>
      <c r="HB743" s="452"/>
      <c r="HC743"/>
      <c r="HD743"/>
      <c r="HE743"/>
      <c r="HF743"/>
      <c r="HG743"/>
      <c r="HH743"/>
    </row>
    <row r="744" spans="1:216" s="5" customFormat="1" ht="12.75" hidden="1" customHeight="1" outlineLevel="1" x14ac:dyDescent="0.2">
      <c r="A744" s="8"/>
      <c r="B744" s="7"/>
      <c r="C744" s="12"/>
      <c r="D744" s="13"/>
      <c r="E744" s="12"/>
      <c r="F744" s="13"/>
      <c r="G744" s="12"/>
      <c r="H744" s="13"/>
      <c r="I744" s="12"/>
      <c r="J744" s="13"/>
      <c r="K744" s="12"/>
      <c r="L744" s="13"/>
      <c r="M744" s="12"/>
      <c r="N744" s="13"/>
      <c r="O744" s="12"/>
      <c r="P744" s="13"/>
      <c r="Q744" s="12"/>
      <c r="R744" s="13"/>
      <c r="S744" s="12"/>
      <c r="T744" s="13"/>
      <c r="U744" s="12"/>
      <c r="V744" s="13"/>
      <c r="W744" s="12"/>
      <c r="X744" s="13"/>
      <c r="Y744" s="12"/>
      <c r="Z744" s="13"/>
      <c r="AA744" s="12"/>
      <c r="AB744" s="13"/>
      <c r="AC744" s="12"/>
      <c r="AD744" s="13"/>
      <c r="AE744" s="12"/>
      <c r="AF744" s="13"/>
      <c r="AG744" s="12"/>
      <c r="AH744" s="13"/>
      <c r="AI744" s="12"/>
      <c r="AJ744" s="13"/>
      <c r="AK744" s="12"/>
      <c r="AL744" s="13"/>
      <c r="AM744" s="12"/>
      <c r="AN744" s="13"/>
      <c r="AO744" s="12"/>
      <c r="AP744" s="13"/>
      <c r="AQ744" s="12"/>
      <c r="AR744" s="13"/>
      <c r="AS744" s="12"/>
      <c r="AT744" s="13"/>
      <c r="AU744" s="12"/>
      <c r="AV744" s="13"/>
      <c r="AW744" s="12"/>
      <c r="AX744" s="61"/>
      <c r="AY744" s="12"/>
      <c r="AZ744" s="61"/>
      <c r="BA744" s="12"/>
      <c r="BB744" s="61"/>
      <c r="BC744" s="12"/>
      <c r="BD744" s="61"/>
      <c r="BE744" s="12"/>
      <c r="BF744" s="61"/>
      <c r="BG744" s="12"/>
      <c r="BH744" s="61"/>
      <c r="BI744" s="12"/>
      <c r="BJ744" s="61"/>
      <c r="BK744" s="12"/>
      <c r="BL744" s="61"/>
      <c r="BM744" s="12"/>
      <c r="BN744" s="61"/>
      <c r="BO744" s="12"/>
      <c r="BP744" s="61"/>
      <c r="BQ744" s="12"/>
      <c r="BR744" s="61"/>
      <c r="BS744" s="12"/>
      <c r="BT744" s="61"/>
      <c r="BU744" s="12"/>
      <c r="BV744" s="61"/>
      <c r="BW744" s="12"/>
      <c r="BX744" s="61"/>
      <c r="BY744" s="12"/>
      <c r="BZ744" s="61"/>
      <c r="CA744" s="12"/>
      <c r="CB744" s="61"/>
      <c r="CC744" s="12"/>
      <c r="CD744" s="61"/>
      <c r="CE744" s="12"/>
      <c r="CF744" s="61"/>
      <c r="CG744" s="12"/>
      <c r="CH744" s="61"/>
      <c r="CI744" s="12"/>
      <c r="CJ744" s="61"/>
      <c r="CK744" s="12"/>
      <c r="CL744" s="61"/>
      <c r="CM744" s="12"/>
      <c r="CN744" s="61"/>
      <c r="CO744" s="12"/>
      <c r="CP744" s="61"/>
      <c r="CQ744" s="12"/>
      <c r="CR744" s="61"/>
      <c r="CS744" s="12"/>
      <c r="CT744" s="61"/>
      <c r="CU744" s="12"/>
      <c r="CV744" s="61"/>
      <c r="CW744" s="12"/>
      <c r="CX744" s="61"/>
      <c r="CY744" s="12"/>
      <c r="CZ744" s="61"/>
      <c r="DA744" s="12"/>
      <c r="DB744" s="61"/>
      <c r="DC744" s="12"/>
      <c r="DD744" s="61"/>
      <c r="DE744" s="12"/>
      <c r="DF744" s="61"/>
      <c r="DG744" s="12"/>
      <c r="DH744" s="61"/>
      <c r="DI744" s="12"/>
      <c r="DJ744" s="61"/>
      <c r="DK744" s="12"/>
      <c r="DL744" s="61"/>
      <c r="DM744" s="12"/>
      <c r="DN744" s="61"/>
      <c r="DO744" s="12"/>
      <c r="DP744" s="61"/>
      <c r="DQ744" s="12"/>
      <c r="DR744" s="61"/>
      <c r="DS744" s="12"/>
      <c r="DT744" s="61"/>
      <c r="DU744" s="12"/>
      <c r="DV744" s="61"/>
      <c r="DW744" s="12"/>
      <c r="DX744" s="61"/>
      <c r="DY744" s="12"/>
      <c r="DZ744" s="61"/>
      <c r="EA744" s="12"/>
      <c r="EB744" s="61"/>
      <c r="EC744" s="12"/>
      <c r="ED744" s="61"/>
      <c r="EE744" s="12"/>
      <c r="EF744" s="61"/>
      <c r="EG744" s="12"/>
      <c r="EH744" s="61"/>
      <c r="EI744" s="12"/>
      <c r="EJ744" s="61"/>
      <c r="EK744" s="12"/>
      <c r="EL744" s="61"/>
      <c r="EM744" s="12"/>
      <c r="EN744" s="61"/>
      <c r="EO744" s="12"/>
      <c r="EP744" s="61"/>
      <c r="EQ744" s="12"/>
      <c r="ER744" s="61"/>
      <c r="ES744" s="12"/>
      <c r="ET744" s="61"/>
      <c r="EU744" s="12"/>
      <c r="EV744" s="61"/>
      <c r="EW744" s="12"/>
      <c r="EX744" s="61"/>
      <c r="EY744" s="56"/>
      <c r="EZ744" s="558"/>
      <c r="FA744" s="56"/>
      <c r="FB744" s="12"/>
      <c r="FC744" s="13"/>
      <c r="FD744" s="12"/>
      <c r="FE744" s="13"/>
      <c r="FF744" s="19"/>
      <c r="FG744" s="13"/>
      <c r="FH744" s="19"/>
      <c r="FI744" s="13"/>
      <c r="FJ744" s="19"/>
      <c r="FK744" s="13"/>
      <c r="FL744" s="57"/>
      <c r="FM744" s="13"/>
      <c r="FN744" s="57"/>
      <c r="FO744" s="13"/>
      <c r="FP744" s="57"/>
      <c r="FQ744" s="61"/>
      <c r="FR744" s="57"/>
      <c r="FS744" s="61"/>
      <c r="FT744" s="57"/>
      <c r="FU744" s="61"/>
      <c r="FV744" s="57"/>
      <c r="FW744" s="61"/>
      <c r="FX744" s="57"/>
      <c r="FY744" s="61"/>
      <c r="FZ744" s="57"/>
      <c r="GA744" s="61"/>
      <c r="GB744" s="57"/>
      <c r="GC744" s="61"/>
      <c r="GD744" s="57"/>
      <c r="GE744" s="61"/>
      <c r="GF744" s="57"/>
      <c r="GG744" s="61"/>
      <c r="GH744" s="57"/>
      <c r="GI744" s="61"/>
      <c r="GJ744" s="57"/>
      <c r="GK744" s="61"/>
      <c r="GL744" s="57"/>
      <c r="GM744" s="61"/>
      <c r="GN744" s="57"/>
      <c r="GO744" s="61"/>
      <c r="GP744" s="57"/>
      <c r="GQ744" s="61"/>
      <c r="GR744" s="61"/>
      <c r="GS744" s="61"/>
      <c r="GT744" s="61"/>
      <c r="GU744" s="61"/>
      <c r="GV744" s="61"/>
      <c r="GW744" s="61"/>
      <c r="GX744" s="61"/>
      <c r="GY744" s="61"/>
      <c r="GZ744" s="13"/>
      <c r="HA744" s="13"/>
      <c r="HB744" s="452"/>
      <c r="HC744"/>
      <c r="HD744"/>
      <c r="HE744"/>
      <c r="HF744"/>
      <c r="HG744"/>
      <c r="HH744"/>
    </row>
    <row r="745" spans="1:216" s="5" customFormat="1" ht="12.75" hidden="1" customHeight="1" outlineLevel="1" x14ac:dyDescent="0.2">
      <c r="A745" s="8"/>
      <c r="B745" s="7" t="s">
        <v>316</v>
      </c>
      <c r="C745" s="12"/>
      <c r="D745" s="13"/>
      <c r="E745" s="12"/>
      <c r="F745" s="13"/>
      <c r="G745" s="12"/>
      <c r="H745" s="13"/>
      <c r="I745" s="12"/>
      <c r="J745" s="13"/>
      <c r="K745" s="12"/>
      <c r="L745" s="13"/>
      <c r="M745" s="12"/>
      <c r="N745" s="13"/>
      <c r="O745" s="12"/>
      <c r="P745" s="13"/>
      <c r="Q745" s="12"/>
      <c r="R745" s="13"/>
      <c r="S745" s="12"/>
      <c r="T745" s="13"/>
      <c r="U745" s="12"/>
      <c r="V745" s="13"/>
      <c r="W745" s="12"/>
      <c r="X745" s="13"/>
      <c r="Y745" s="12"/>
      <c r="Z745" s="13"/>
      <c r="AA745" s="12"/>
      <c r="AB745" s="13"/>
      <c r="AC745" s="12"/>
      <c r="AD745" s="13"/>
      <c r="AE745" s="12"/>
      <c r="AF745" s="13"/>
      <c r="AG745" s="12"/>
      <c r="AH745" s="13"/>
      <c r="AI745" s="12"/>
      <c r="AJ745" s="13"/>
      <c r="AK745" s="12"/>
      <c r="AL745" s="13"/>
      <c r="AM745" s="12"/>
      <c r="AN745" s="13"/>
      <c r="AO745" s="12"/>
      <c r="AP745" s="13"/>
      <c r="AQ745" s="12"/>
      <c r="AR745" s="13"/>
      <c r="AS745" s="12"/>
      <c r="AT745" s="13"/>
      <c r="AU745" s="12"/>
      <c r="AV745" s="13"/>
      <c r="AW745" s="12"/>
      <c r="AX745" s="61"/>
      <c r="AY745" s="12"/>
      <c r="AZ745" s="61"/>
      <c r="BA745" s="12"/>
      <c r="BB745" s="61"/>
      <c r="BC745" s="12"/>
      <c r="BD745" s="61"/>
      <c r="BE745" s="12"/>
      <c r="BF745" s="61"/>
      <c r="BG745" s="12">
        <f>BG493+BG494+BG495</f>
        <v>1259.8999999999999</v>
      </c>
      <c r="BH745" s="502"/>
      <c r="BI745" s="12">
        <f>BI493+BI494+BI495</f>
        <v>1273.5000000000002</v>
      </c>
      <c r="BJ745" s="502"/>
      <c r="BK745" s="12">
        <f>BK493+BK494+BK495</f>
        <v>1384.1</v>
      </c>
      <c r="BL745" s="502"/>
      <c r="BM745" s="12">
        <f>BM493+BM494+BM495</f>
        <v>1412.1</v>
      </c>
      <c r="BN745" s="502"/>
      <c r="BO745" s="12">
        <f>BO493+BO494+BO495</f>
        <v>1384.6999999999998</v>
      </c>
      <c r="BP745" s="502"/>
      <c r="BQ745" s="12">
        <f>BQ493+BQ494+BQ495</f>
        <v>1417.5</v>
      </c>
      <c r="BR745" s="502"/>
      <c r="BS745" s="12">
        <f>BS493+BS494+BS495</f>
        <v>1434</v>
      </c>
      <c r="BT745" s="502"/>
      <c r="BU745" s="12">
        <f>BU493+BU494+BU495</f>
        <v>1377.2</v>
      </c>
      <c r="BV745" s="502"/>
      <c r="BW745" s="12">
        <f>BW493+BW494+BW495</f>
        <v>1312.5</v>
      </c>
      <c r="BX745" s="502"/>
      <c r="BY745" s="12">
        <f>BY493+BY494+BY495</f>
        <v>1338.6</v>
      </c>
      <c r="BZ745" s="502"/>
      <c r="CA745" s="12">
        <f>CA493+CA494+CA495</f>
        <v>1370.71</v>
      </c>
      <c r="CB745" s="502"/>
      <c r="CC745" s="12">
        <f>CC493+CC494+CC495</f>
        <v>1414.7</v>
      </c>
      <c r="CD745" s="502"/>
      <c r="CE745" s="12">
        <f>CE493+CE494+CE495</f>
        <v>1441.1</v>
      </c>
      <c r="CF745" s="502"/>
      <c r="CG745" s="12">
        <f>CG493+CG494+CG495</f>
        <v>1472.0000000000002</v>
      </c>
      <c r="CH745" s="502"/>
      <c r="CI745" s="12">
        <f>CI493+CI494+CI495</f>
        <v>1430.8</v>
      </c>
      <c r="CJ745" s="502"/>
      <c r="CK745" s="12">
        <f>CK493+CK494+CK495</f>
        <v>1576.1</v>
      </c>
      <c r="CL745" s="502"/>
      <c r="CM745" s="12">
        <f>CM493+CM494+CM495</f>
        <v>1526.9</v>
      </c>
      <c r="CN745" s="502"/>
      <c r="CO745" s="12">
        <f>CO493+CO494+CO495</f>
        <v>1637.9999999999998</v>
      </c>
      <c r="CP745" s="502"/>
      <c r="CQ745" s="12">
        <f>CQ493+CQ494+CQ495</f>
        <v>1561.8999999999999</v>
      </c>
      <c r="CR745" s="502"/>
      <c r="CS745" s="12">
        <f>CS493+CS494+CS495</f>
        <v>1565</v>
      </c>
      <c r="CT745" s="502"/>
      <c r="CU745" s="12">
        <f>CU493+CU494+CU495</f>
        <v>1637</v>
      </c>
      <c r="CV745" s="502"/>
      <c r="CW745" s="12">
        <f>CW493+CW494+CW495</f>
        <v>1656</v>
      </c>
      <c r="CX745" s="502"/>
      <c r="CY745" s="12">
        <f>CY493+CY494+CY495</f>
        <v>1745</v>
      </c>
      <c r="CZ745" s="502"/>
      <c r="DA745" s="12">
        <f>DA493+DA494+DA495</f>
        <v>1742</v>
      </c>
      <c r="DB745" s="502"/>
      <c r="DC745" s="12">
        <f>DC493+DC494+DC495</f>
        <v>1763</v>
      </c>
      <c r="DD745" s="502"/>
      <c r="DE745" s="12">
        <f>DE493+DE494+DE495</f>
        <v>1814</v>
      </c>
      <c r="DF745" s="502"/>
      <c r="DG745" s="12">
        <f>DG493+DG494+DG495</f>
        <v>1874</v>
      </c>
      <c r="DH745" s="502"/>
      <c r="DI745" s="12">
        <f>DI493+DI494+DI495</f>
        <v>1956</v>
      </c>
      <c r="DJ745" s="502"/>
      <c r="DK745" s="12">
        <f>DK493+DK494+DK495</f>
        <v>2010</v>
      </c>
      <c r="DL745" s="502"/>
      <c r="DM745" s="12">
        <f>DM493+DM494+DM495</f>
        <v>2060</v>
      </c>
      <c r="DN745" s="502"/>
      <c r="DO745" s="12">
        <f>DO493+DO494+DO495</f>
        <v>2133</v>
      </c>
      <c r="DP745" s="502"/>
      <c r="DQ745" s="12">
        <f>DQ493+DQ494+DQ495</f>
        <v>2577</v>
      </c>
      <c r="DR745" s="502"/>
      <c r="DS745" s="12">
        <f>DS493+DS494+DS495</f>
        <v>2193</v>
      </c>
      <c r="DT745" s="502"/>
      <c r="DU745" s="12">
        <f>DU493+DU494+DU495</f>
        <v>2213</v>
      </c>
      <c r="DV745" s="502"/>
      <c r="DW745" s="12">
        <f>DW493+DW494+DW495</f>
        <v>2471</v>
      </c>
      <c r="DX745" s="502"/>
      <c r="DY745" s="12">
        <f>DY493+DY494+DY495</f>
        <v>2148</v>
      </c>
      <c r="DZ745" s="502"/>
      <c r="EA745" s="12">
        <f>EA493+EA494+EA495</f>
        <v>2225</v>
      </c>
      <c r="EB745" s="502"/>
      <c r="EC745" s="12">
        <f>EC493+EC494+EC495</f>
        <v>2191</v>
      </c>
      <c r="ED745" s="502"/>
      <c r="EE745" s="12">
        <f>EE493+EE494+EE495</f>
        <v>2266</v>
      </c>
      <c r="EF745" s="502"/>
      <c r="EG745" s="12">
        <f>EG493+EG494+EG495</f>
        <v>2273</v>
      </c>
      <c r="EH745" s="502"/>
      <c r="EI745" s="12">
        <f>EI493+EI494+EI495</f>
        <v>2333</v>
      </c>
      <c r="EJ745" s="502"/>
      <c r="EK745" s="12">
        <f t="shared" ref="EK745:EM745" si="4401">EK493+EK494+EK495</f>
        <v>2364</v>
      </c>
      <c r="EL745" s="502"/>
      <c r="EM745" s="12">
        <f t="shared" si="4401"/>
        <v>2363</v>
      </c>
      <c r="EN745" s="502"/>
      <c r="EO745" s="12">
        <f t="shared" ref="EO745" si="4402">EO493+EO494+EO495</f>
        <v>2516</v>
      </c>
      <c r="EP745" s="502"/>
      <c r="EQ745" s="12">
        <f t="shared" ref="EQ745:EW745" si="4403">EQ493+EQ494+EQ495</f>
        <v>2452.0474648393797</v>
      </c>
      <c r="ER745" s="502"/>
      <c r="ES745" s="12">
        <f t="shared" si="4403"/>
        <v>2467.7595365205384</v>
      </c>
      <c r="ET745" s="502"/>
      <c r="EU745" s="12">
        <f t="shared" si="4403"/>
        <v>2906.236171744466</v>
      </c>
      <c r="EV745" s="502"/>
      <c r="EW745" s="12">
        <f t="shared" si="4403"/>
        <v>2948.5347680234413</v>
      </c>
      <c r="EX745" s="502"/>
      <c r="EY745" s="12"/>
      <c r="EZ745" s="558"/>
      <c r="FA745" s="12"/>
      <c r="FB745" s="12">
        <f>FB493+FB494+FB495</f>
        <v>0</v>
      </c>
      <c r="FC745" s="12"/>
      <c r="FD745" s="12">
        <f>FD493+FD494+FD495</f>
        <v>0</v>
      </c>
      <c r="FE745" s="502"/>
      <c r="FF745" s="12">
        <f>FF493+FF494+FF495</f>
        <v>0</v>
      </c>
      <c r="FG745" s="502"/>
      <c r="FH745" s="12">
        <f>FH493+FH494+FH495</f>
        <v>2236.2000000000003</v>
      </c>
      <c r="FI745" s="502"/>
      <c r="FJ745" s="12">
        <f>FJ493+FJ494+FJ495</f>
        <v>2235.1999999999998</v>
      </c>
      <c r="FK745" s="502"/>
      <c r="FL745" s="12">
        <f>FL493+FL494+FL495</f>
        <v>2289.1999999999998</v>
      </c>
      <c r="FM745" s="502"/>
      <c r="FN745" s="12">
        <f>FN493+FN494+FN495</f>
        <v>2529.8000000000002</v>
      </c>
      <c r="FO745" s="502"/>
      <c r="FP745" s="12">
        <f>FP493+FP494+FP495</f>
        <v>3301.9780000000001</v>
      </c>
      <c r="FQ745" s="502"/>
      <c r="FR745" s="12">
        <f>FR493+FR494+FR495</f>
        <v>4143.7</v>
      </c>
      <c r="FS745" s="502"/>
      <c r="FT745" s="12">
        <f>FT493+FT494+FT495</f>
        <v>5329.6</v>
      </c>
      <c r="FU745" s="502"/>
      <c r="FV745" s="12">
        <f>FV493+FV494+FV495</f>
        <v>5613.4</v>
      </c>
      <c r="FW745" s="502"/>
      <c r="FX745" s="12">
        <f>FX493+FX494+FX495</f>
        <v>5436.5100000000011</v>
      </c>
      <c r="FY745" s="502"/>
      <c r="FZ745" s="12">
        <f>FZ493+FZ494+FZ495</f>
        <v>5920</v>
      </c>
      <c r="GA745" s="502"/>
      <c r="GB745" s="12">
        <f>GB493+GB494+GB495</f>
        <v>6291.7999999999993</v>
      </c>
      <c r="GC745" s="502"/>
      <c r="GD745" s="12">
        <f>GD493+GD494+GD495</f>
        <v>6780</v>
      </c>
      <c r="GE745" s="502"/>
      <c r="GF745" s="12">
        <f>GF493+GF494+GF495</f>
        <v>7407</v>
      </c>
      <c r="GG745" s="502"/>
      <c r="GH745" s="12">
        <f>GH493+GH494+GH495</f>
        <v>8780</v>
      </c>
      <c r="GI745" s="502"/>
      <c r="GJ745" s="12">
        <f>GJ493+GJ494+GJ495</f>
        <v>9025</v>
      </c>
      <c r="GK745" s="502"/>
      <c r="GL745" s="12">
        <f>GL493+GL494+GL495</f>
        <v>8955</v>
      </c>
      <c r="GM745" s="502"/>
      <c r="GN745" s="12">
        <f>GN493+GN494+GN495</f>
        <v>9576</v>
      </c>
      <c r="GO745" s="502"/>
      <c r="GP745" s="12">
        <f>GP493+GP494+GP495</f>
        <v>10774.577941127825</v>
      </c>
      <c r="GQ745" s="502"/>
      <c r="GR745" s="12">
        <f>GR493+GR494+GR495</f>
        <v>12000.509469757777</v>
      </c>
      <c r="GS745" s="502"/>
      <c r="GT745" s="12">
        <f>GT493+GT494+GT495</f>
        <v>12358.970222723367</v>
      </c>
      <c r="GU745" s="502"/>
      <c r="GV745" s="12">
        <f>GV493+GV494+GV495</f>
        <v>12772.413480043344</v>
      </c>
      <c r="GW745" s="502"/>
      <c r="GX745" s="12">
        <f>GX493+GX494+GX495</f>
        <v>13226.055722793246</v>
      </c>
      <c r="GY745" s="502"/>
      <c r="GZ745" s="13"/>
      <c r="HA745" s="13"/>
      <c r="HB745" s="452"/>
      <c r="HC745"/>
      <c r="HD745"/>
      <c r="HE745"/>
      <c r="HF745"/>
      <c r="HG745"/>
      <c r="HH745"/>
    </row>
    <row r="746" spans="1:216" s="5" customFormat="1" ht="12.75" hidden="1" customHeight="1" outlineLevel="1" x14ac:dyDescent="0.2">
      <c r="A746" s="8"/>
      <c r="B746" s="423"/>
      <c r="C746" s="12"/>
      <c r="D746" s="13"/>
      <c r="E746" s="12"/>
      <c r="F746" s="13"/>
      <c r="G746" s="12"/>
      <c r="H746" s="13"/>
      <c r="I746" s="12"/>
      <c r="J746" s="13"/>
      <c r="K746" s="12"/>
      <c r="L746" s="13"/>
      <c r="M746" s="12"/>
      <c r="N746" s="13"/>
      <c r="O746" s="12"/>
      <c r="P746" s="13"/>
      <c r="Q746" s="12"/>
      <c r="R746" s="13"/>
      <c r="S746" s="12"/>
      <c r="T746" s="13"/>
      <c r="U746" s="12"/>
      <c r="V746" s="13"/>
      <c r="W746" s="12"/>
      <c r="X746" s="13"/>
      <c r="Y746" s="12"/>
      <c r="Z746" s="13"/>
      <c r="AA746" s="12"/>
      <c r="AB746" s="13"/>
      <c r="AC746" s="12"/>
      <c r="AD746" s="13"/>
      <c r="AE746" s="12"/>
      <c r="AF746" s="13"/>
      <c r="AG746" s="12"/>
      <c r="AH746" s="13"/>
      <c r="AI746" s="12"/>
      <c r="AJ746" s="13"/>
      <c r="AK746" s="12"/>
      <c r="AL746" s="13"/>
      <c r="AM746" s="12"/>
      <c r="AN746" s="13"/>
      <c r="AO746" s="12"/>
      <c r="AP746" s="13"/>
      <c r="AQ746" s="12"/>
      <c r="AR746" s="13"/>
      <c r="AS746" s="12"/>
      <c r="AT746" s="13"/>
      <c r="AU746" s="12"/>
      <c r="AV746" s="13"/>
      <c r="AW746" s="12"/>
      <c r="AX746" s="13"/>
      <c r="AY746" s="12"/>
      <c r="AZ746" s="13"/>
      <c r="BA746" s="12"/>
      <c r="BB746" s="13"/>
      <c r="BC746" s="12"/>
      <c r="BD746" s="13"/>
      <c r="BE746" s="12"/>
      <c r="BF746" s="13"/>
      <c r="BG746" s="12"/>
      <c r="BH746" s="13"/>
      <c r="BI746" s="12"/>
      <c r="BJ746" s="13"/>
      <c r="BK746" s="12"/>
      <c r="BL746" s="13"/>
      <c r="BM746" s="12"/>
      <c r="BN746" s="13"/>
      <c r="BO746" s="12"/>
      <c r="BP746" s="13"/>
      <c r="BQ746" s="12"/>
      <c r="BR746" s="13"/>
      <c r="BS746" s="12"/>
      <c r="BT746" s="13"/>
      <c r="BU746" s="12"/>
      <c r="BV746" s="13"/>
      <c r="BW746" s="12"/>
      <c r="BX746" s="13"/>
      <c r="BY746" s="12"/>
      <c r="BZ746" s="13"/>
      <c r="CA746" s="12"/>
      <c r="CB746" s="13"/>
      <c r="CC746" s="12"/>
      <c r="CD746" s="13"/>
      <c r="CE746" s="12"/>
      <c r="CF746" s="13"/>
      <c r="CG746" s="12"/>
      <c r="CH746" s="13"/>
      <c r="CI746" s="12"/>
      <c r="CJ746" s="13"/>
      <c r="CK746" s="12"/>
      <c r="CL746" s="13"/>
      <c r="CM746" s="12"/>
      <c r="CN746" s="13"/>
      <c r="CO746" s="12"/>
      <c r="CP746" s="13"/>
      <c r="CQ746" s="12"/>
      <c r="CR746" s="13"/>
      <c r="CS746" s="12"/>
      <c r="CT746" s="13"/>
      <c r="CU746" s="12"/>
      <c r="CV746" s="13"/>
      <c r="CW746" s="12"/>
      <c r="CX746" s="13"/>
      <c r="CY746" s="12"/>
      <c r="CZ746" s="13"/>
      <c r="DA746" s="12"/>
      <c r="DB746" s="13"/>
      <c r="DC746" s="12"/>
      <c r="DD746" s="13"/>
      <c r="DE746" s="12"/>
      <c r="DF746" s="13"/>
      <c r="DG746" s="12"/>
      <c r="DH746" s="13"/>
      <c r="DI746" s="12"/>
      <c r="DJ746" s="13"/>
      <c r="DK746" s="12"/>
      <c r="DL746" s="13"/>
      <c r="DM746" s="12"/>
      <c r="DN746" s="13"/>
      <c r="DO746" s="12"/>
      <c r="DP746" s="13"/>
      <c r="DQ746" s="12"/>
      <c r="DR746" s="13"/>
      <c r="DS746" s="12"/>
      <c r="DT746" s="13"/>
      <c r="DU746" s="12"/>
      <c r="DV746" s="13"/>
      <c r="DW746" s="12"/>
      <c r="DX746" s="13"/>
      <c r="DY746" s="12"/>
      <c r="DZ746" s="13"/>
      <c r="EA746" s="12"/>
      <c r="EB746" s="13"/>
      <c r="EC746" s="12"/>
      <c r="ED746" s="13"/>
      <c r="EE746" s="12"/>
      <c r="EF746" s="13"/>
      <c r="EG746" s="12"/>
      <c r="EH746" s="13"/>
      <c r="EI746" s="12"/>
      <c r="EJ746" s="13"/>
      <c r="EK746" s="12"/>
      <c r="EL746" s="13"/>
      <c r="EM746" s="12"/>
      <c r="EN746" s="13"/>
      <c r="EO746" s="12"/>
      <c r="EP746" s="13"/>
      <c r="EQ746" s="12"/>
      <c r="ER746" s="13"/>
      <c r="ES746" s="12"/>
      <c r="ET746" s="13"/>
      <c r="EU746" s="12"/>
      <c r="EV746" s="13"/>
      <c r="EW746" s="12"/>
      <c r="EX746" s="13"/>
      <c r="EY746" s="56"/>
      <c r="EZ746" s="558"/>
      <c r="FA746" s="56"/>
      <c r="FB746" s="12"/>
      <c r="FC746" s="13"/>
      <c r="FD746" s="12"/>
      <c r="FE746" s="13"/>
      <c r="FF746" s="19"/>
      <c r="FG746" s="13"/>
      <c r="FH746" s="19"/>
      <c r="FI746" s="13"/>
      <c r="FJ746" s="19"/>
      <c r="FK746" s="13"/>
      <c r="FL746" s="57"/>
      <c r="FM746" s="13"/>
      <c r="FN746" s="57"/>
      <c r="FO746" s="13"/>
      <c r="FP746" s="57"/>
      <c r="FQ746" s="13"/>
      <c r="FR746" s="57"/>
      <c r="FS746" s="13"/>
      <c r="FT746" s="57"/>
      <c r="FU746" s="13"/>
      <c r="FV746" s="57"/>
      <c r="FW746" s="13"/>
      <c r="FX746" s="57"/>
      <c r="FY746" s="13"/>
      <c r="FZ746" s="57"/>
      <c r="GA746" s="13"/>
      <c r="GB746" s="57"/>
      <c r="GC746" s="13"/>
      <c r="GD746" s="57"/>
      <c r="GE746" s="13"/>
      <c r="GF746" s="57"/>
      <c r="GG746" s="13"/>
      <c r="GH746" s="57"/>
      <c r="GI746" s="13"/>
      <c r="GJ746" s="57"/>
      <c r="GK746" s="13"/>
      <c r="GL746" s="57"/>
      <c r="GM746" s="13"/>
      <c r="GN746" s="57"/>
      <c r="GO746" s="13"/>
      <c r="GP746" s="57"/>
      <c r="GQ746" s="13"/>
      <c r="GR746" s="13"/>
      <c r="GS746" s="13"/>
      <c r="GT746" s="13"/>
      <c r="GU746" s="13"/>
      <c r="GV746" s="13"/>
      <c r="GW746" s="13"/>
      <c r="GX746" s="13"/>
      <c r="GY746" s="13"/>
      <c r="GZ746" s="13"/>
      <c r="HA746" s="13"/>
      <c r="HB746" s="452"/>
      <c r="HC746"/>
      <c r="HD746"/>
      <c r="HE746"/>
      <c r="HF746"/>
      <c r="HG746"/>
      <c r="HH746"/>
    </row>
    <row r="747" spans="1:216" s="5" customFormat="1" ht="12.75" hidden="1" customHeight="1" outlineLevel="1" x14ac:dyDescent="0.2">
      <c r="A747" s="8"/>
      <c r="B747" s="7" t="s">
        <v>337</v>
      </c>
      <c r="C747" s="12"/>
      <c r="D747" s="13"/>
      <c r="E747" s="12"/>
      <c r="F747" s="13"/>
      <c r="G747" s="12"/>
      <c r="H747" s="13"/>
      <c r="I747" s="12"/>
      <c r="J747" s="13"/>
      <c r="K747" s="12"/>
      <c r="L747" s="13"/>
      <c r="M747" s="12"/>
      <c r="N747" s="13"/>
      <c r="O747" s="12"/>
      <c r="P747" s="13"/>
      <c r="Q747" s="12"/>
      <c r="R747" s="13"/>
      <c r="S747" s="12"/>
      <c r="T747" s="13"/>
      <c r="U747" s="12"/>
      <c r="V747" s="13"/>
      <c r="W747" s="12"/>
      <c r="X747" s="13"/>
      <c r="Y747" s="12"/>
      <c r="Z747" s="13"/>
      <c r="AA747" s="12"/>
      <c r="AB747" s="13"/>
      <c r="AC747" s="12"/>
      <c r="AD747" s="13"/>
      <c r="AE747" s="12"/>
      <c r="AF747" s="13"/>
      <c r="AG747" s="12"/>
      <c r="AH747" s="13"/>
      <c r="AI747" s="12"/>
      <c r="AJ747" s="13"/>
      <c r="AK747" s="12"/>
      <c r="AL747" s="13"/>
      <c r="AM747" s="12"/>
      <c r="AN747" s="13"/>
      <c r="AO747" s="12"/>
      <c r="AP747" s="13"/>
      <c r="AQ747" s="12"/>
      <c r="AR747" s="13"/>
      <c r="AS747" s="12"/>
      <c r="AT747" s="13"/>
      <c r="AU747" s="12"/>
      <c r="AV747" s="13"/>
      <c r="AW747" s="12"/>
      <c r="AX747" s="13"/>
      <c r="AY747" s="12"/>
      <c r="AZ747" s="13"/>
      <c r="BA747" s="12"/>
      <c r="BB747" s="13"/>
      <c r="BC747" s="12"/>
      <c r="BD747" s="13"/>
      <c r="BE747" s="12"/>
      <c r="BF747" s="13"/>
      <c r="BG747" s="12">
        <f>((BG541-BG537)*400)/BG663</f>
        <v>11.279456889282953</v>
      </c>
      <c r="BH747" s="502"/>
      <c r="BI747" s="12">
        <f>((BI541-BI537)*400)/BI663</f>
        <v>11.137408245866776</v>
      </c>
      <c r="BJ747" s="502"/>
      <c r="BK747" s="12">
        <f>((BK541-BK537)*400)/BK663</f>
        <v>11.37328228415398</v>
      </c>
      <c r="BL747" s="502"/>
      <c r="BM747" s="12">
        <f>((BM541-BM537)*400)/BM663</f>
        <v>12.188867614879644</v>
      </c>
      <c r="BN747" s="502"/>
      <c r="BO747" s="12">
        <f>((BO541-BO537)*400)/BO663</f>
        <v>10.57273311227236</v>
      </c>
      <c r="BP747" s="502"/>
      <c r="BQ747" s="12">
        <f>((BQ541-BQ537)*400)/BQ663</f>
        <v>10.869067535440699</v>
      </c>
      <c r="BR747" s="502"/>
      <c r="BS747" s="12">
        <f>((BS541-BS537)*400)/BS663</f>
        <v>11.142356873773018</v>
      </c>
      <c r="BT747" s="502"/>
      <c r="BU747" s="12">
        <f>((BU541-BU537)*400)/BU663</f>
        <v>7.7462461578854409</v>
      </c>
      <c r="BV747" s="502"/>
      <c r="BW747" s="12">
        <f>((BW541-BW537)*400)/BW663</f>
        <v>7.4198828189861734</v>
      </c>
      <c r="BX747" s="502"/>
      <c r="BY747" s="12">
        <f>((BY541-BY537)*400)/BY663</f>
        <v>7.86713535514538</v>
      </c>
      <c r="BZ747" s="502"/>
      <c r="CA747" s="12">
        <f>((CA541-CA537)*400)/CA663</f>
        <v>9.036835025521011</v>
      </c>
      <c r="CB747" s="502"/>
      <c r="CC747" s="12">
        <f>((CC541-CC537)*400)/CC663</f>
        <v>10.26580783975858</v>
      </c>
      <c r="CD747" s="502"/>
      <c r="CE747" s="12">
        <f>((CE541-CE537)*400)/CE663</f>
        <v>9.5737805677201298</v>
      </c>
      <c r="CF747" s="502"/>
      <c r="CG747" s="12">
        <f>((CG541-CG537)*400)/CG663</f>
        <v>9.5516526480501778</v>
      </c>
      <c r="CH747" s="502"/>
      <c r="CI747" s="12">
        <f>((CI541-CI537)*400)/CI663</f>
        <v>9.5140413484441346</v>
      </c>
      <c r="CJ747" s="502"/>
      <c r="CK747" s="12">
        <f>((CK541-CK537)*400)/CK663</f>
        <v>9.9393402996664264</v>
      </c>
      <c r="CL747" s="502"/>
      <c r="CM747" s="12">
        <f>((CM541-CM537)*400)/CM663</f>
        <v>9.4960289802696742</v>
      </c>
      <c r="CN747" s="502"/>
      <c r="CO747" s="12">
        <f>((CO541-CO537)*400)/CO663</f>
        <v>10.335439917927577</v>
      </c>
      <c r="CP747" s="502"/>
      <c r="CQ747" s="12">
        <f>((CQ541-CQ537)*400)/CQ663</f>
        <v>11.049704246490684</v>
      </c>
      <c r="CR747" s="502"/>
      <c r="CS747" s="12">
        <f>((CS541-CS537)*400)/CS663</f>
        <v>10.301692420897719</v>
      </c>
      <c r="CT747" s="502"/>
      <c r="CU747" s="12">
        <f>((CU541-CU537)*400)/CU663</f>
        <v>11.205124527941106</v>
      </c>
      <c r="CV747" s="502"/>
      <c r="CW747" s="12">
        <f>((CW541-CW537)*400)/CW663</f>
        <v>11.154173362321581</v>
      </c>
      <c r="CX747" s="502"/>
      <c r="CY747" s="12">
        <f>((CY541-CY537)*400)/CY663</f>
        <v>12.131299121590384</v>
      </c>
      <c r="CZ747" s="502"/>
      <c r="DA747" s="12">
        <f>((DA541-DA537)*400)/DA663</f>
        <v>10.914840749943528</v>
      </c>
      <c r="DB747" s="502"/>
      <c r="DC747" s="12">
        <f>((DC541-DC537)*400)/DC663</f>
        <v>10.638795331016661</v>
      </c>
      <c r="DD747" s="502"/>
      <c r="DE747" s="12">
        <f>((DE541-DE537)*400)/DE663</f>
        <v>11.697863906628497</v>
      </c>
      <c r="DF747" s="502"/>
      <c r="DG747" s="12">
        <f>((DG541-DG537)*400)/DG663</f>
        <v>11.759094653774444</v>
      </c>
      <c r="DH747" s="502"/>
      <c r="DI747" s="12">
        <f>((DI541-DI537)*400)/DI663</f>
        <v>12.138212418717327</v>
      </c>
      <c r="DJ747" s="502"/>
      <c r="DK747" s="12">
        <f>((DK541-DK537)*400)/DK663</f>
        <v>12.172386406387158</v>
      </c>
      <c r="DL747" s="502"/>
      <c r="DM747" s="12">
        <f>((DM541-DM537)*400)/DM663</f>
        <v>12.649783817171093</v>
      </c>
      <c r="DN747" s="502"/>
      <c r="DO747" s="12">
        <f>((DO541-DO537)*400)/DO663</f>
        <v>13.041723831813412</v>
      </c>
      <c r="DP747" s="502"/>
      <c r="DQ747" s="12">
        <f>((DQ541-DQ537)*400)/DQ663</f>
        <v>12.298403114324303</v>
      </c>
      <c r="DR747" s="502"/>
      <c r="DS747" s="12">
        <f>((DS541-DS537)*400)/DS663</f>
        <v>11.168398508764971</v>
      </c>
      <c r="DT747" s="502"/>
      <c r="DU747" s="12">
        <f>((DU541-DU537)*400)/DU663</f>
        <v>11.972359328726554</v>
      </c>
      <c r="DV747" s="502"/>
      <c r="DW747" s="12">
        <f>((DW541-DW537)*400)/DW663</f>
        <v>13.227160396971717</v>
      </c>
      <c r="DX747" s="502"/>
      <c r="DY747" s="12">
        <f>((DY541-DY537)*400)/DY663</f>
        <v>11.979615836926696</v>
      </c>
      <c r="DZ747" s="502"/>
      <c r="EA747" s="12">
        <f>((EA541-EA537)*400)/EA663</f>
        <v>11.357308129730578</v>
      </c>
      <c r="EB747" s="502"/>
      <c r="EC747" s="12">
        <f>((EC541-EC537)*400)/EC663</f>
        <v>11.724029545811725</v>
      </c>
      <c r="ED747" s="502"/>
      <c r="EE747" s="12">
        <f>((EE541-EE537)*400)/EE663</f>
        <v>12.724085543999065</v>
      </c>
      <c r="EF747" s="502"/>
      <c r="EG747" s="12">
        <f>((EG541-EG537)*400)/EG663</f>
        <v>12.653724185938588</v>
      </c>
      <c r="EH747" s="502"/>
      <c r="EI747" s="12">
        <f>((EI541-EI537)*400)/EI663</f>
        <v>12.228281742069283</v>
      </c>
      <c r="EJ747" s="502"/>
      <c r="EK747" s="12">
        <f t="shared" ref="EK747:EM747" si="4404">((EK541-EK537)*400)/EK663</f>
        <v>12.69168149634622</v>
      </c>
      <c r="EL747" s="502"/>
      <c r="EM747" s="12">
        <f t="shared" si="4404"/>
        <v>12.969334330590875</v>
      </c>
      <c r="EN747" s="502"/>
      <c r="EO747" s="12">
        <f t="shared" ref="EO747" si="4405">((EO541-EO537)*400)/EO663</f>
        <v>12.778160961266199</v>
      </c>
      <c r="EP747" s="502"/>
      <c r="EQ747" s="12">
        <f t="shared" ref="EQ747:EW747" si="4406">((EQ541-EQ537)*400)/EQ663</f>
        <v>12.165406872833239</v>
      </c>
      <c r="ER747" s="502"/>
      <c r="ES747" s="12">
        <f t="shared" si="4406"/>
        <v>12.665100846100128</v>
      </c>
      <c r="ET747" s="502"/>
      <c r="EU747" s="12">
        <f t="shared" si="4406"/>
        <v>12.93384289423404</v>
      </c>
      <c r="EV747" s="502"/>
      <c r="EW747" s="12">
        <f t="shared" si="4406"/>
        <v>13.086345646036476</v>
      </c>
      <c r="EX747" s="502"/>
      <c r="EY747" s="12"/>
      <c r="EZ747" s="558"/>
      <c r="FA747" s="12"/>
      <c r="FB747" s="12">
        <f>((FB541-FB537)*100)/FB663</f>
        <v>11.333444556244723</v>
      </c>
      <c r="FC747" s="12"/>
      <c r="FD747" s="12">
        <f>((FD541-FD537)*100)/FD663</f>
        <v>9.8897570125140923</v>
      </c>
      <c r="FE747" s="502"/>
      <c r="FF747" s="12">
        <f>((FF541-FF537)*100)/FF663</f>
        <v>14.280633187547172</v>
      </c>
      <c r="FG747" s="502"/>
      <c r="FH747" s="12">
        <f>((FH541-FH537)*100)/FH663</f>
        <v>12.829595430936699</v>
      </c>
      <c r="FI747" s="502"/>
      <c r="FJ747" s="12">
        <f>((FJ541-FJ537)*100)/FJ663</f>
        <v>8.9092277088937681</v>
      </c>
      <c r="FK747" s="502"/>
      <c r="FL747" s="12">
        <f>((FL541-FL537)*100)/FL663</f>
        <v>12.431842966194111</v>
      </c>
      <c r="FM747" s="502"/>
      <c r="FN747" s="12">
        <f>((FN541-FN537)*100)/FN663</f>
        <v>14.101718654255784</v>
      </c>
      <c r="FO747" s="502"/>
      <c r="FP747" s="12">
        <f>((FP541-FP537)*100)/FP663</f>
        <v>15.505668853394182</v>
      </c>
      <c r="FQ747" s="502"/>
      <c r="FR747" s="12">
        <f>((FR541-FR537)*100)/FR663</f>
        <v>13.679841470823701</v>
      </c>
      <c r="FS747" s="502"/>
      <c r="FT747" s="12">
        <f>((FT541-FT537)*100)/FT663</f>
        <v>11.478441007027962</v>
      </c>
      <c r="FU747" s="502"/>
      <c r="FV747" s="12">
        <f>((FV541-FV537)*100)/FV663</f>
        <v>10.190650836356179</v>
      </c>
      <c r="FW747" s="502"/>
      <c r="FX747" s="12">
        <f>((FX541-FX537)*100)/FX663</f>
        <v>8.4750537948138192</v>
      </c>
      <c r="FY747" s="502"/>
      <c r="FZ747" s="364">
        <f>((FZ541-FZ537)*100)/FZ663</f>
        <v>9.6102978554750393</v>
      </c>
      <c r="GA747" s="502"/>
      <c r="GB747" s="12">
        <f>((GB541-GB537)*100)/GB663</f>
        <v>10.318212352137804</v>
      </c>
      <c r="GC747" s="502"/>
      <c r="GD747" s="12">
        <f>((GD541-GD537)*100)/GD663</f>
        <v>11.285092189382008</v>
      </c>
      <c r="GE747" s="502"/>
      <c r="GF747" s="12">
        <f>((GF541-GF537)*100)/GF663</f>
        <v>11.507247885491218</v>
      </c>
      <c r="GG747" s="502"/>
      <c r="GH747" s="12">
        <f>((GH541-GH537)*100)/GH663</f>
        <v>12.545854732208364</v>
      </c>
      <c r="GI747" s="502"/>
      <c r="GJ747" s="12">
        <f>((GJ541-GJ537)*100)/GJ663</f>
        <v>12.075070821529746</v>
      </c>
      <c r="GK747" s="502"/>
      <c r="GL747" s="12">
        <f>((GL541-GL537)*100)/GL663</f>
        <v>12.087681046565956</v>
      </c>
      <c r="GM747" s="502"/>
      <c r="GN747" s="12">
        <f>((GN541-GN537)*100)/GN663</f>
        <v>12.520367352984742</v>
      </c>
      <c r="GO747" s="502"/>
      <c r="GP747" s="12">
        <f>((GP541-GP537)*100)/GP663</f>
        <v>12.743873297708742</v>
      </c>
      <c r="GQ747" s="502"/>
      <c r="GR747" s="12">
        <f>((GR541-GR537)*100)/GR663</f>
        <v>12.743050890207758</v>
      </c>
      <c r="GS747" s="502"/>
      <c r="GT747" s="12">
        <f>((GT541-GT537)*100)/GT663</f>
        <v>13.082229635237098</v>
      </c>
      <c r="GU747" s="502"/>
      <c r="GV747" s="12">
        <f>((GV541-GV537)*100)/GV663</f>
        <v>12.8797244689666</v>
      </c>
      <c r="GW747" s="502"/>
      <c r="GX747" s="12">
        <f>((GX541-GX537)*100)/GX663</f>
        <v>12.726367108632225</v>
      </c>
      <c r="GY747" s="502"/>
      <c r="GZ747" s="13"/>
      <c r="HA747" s="13"/>
      <c r="HB747" s="452"/>
      <c r="HC747"/>
      <c r="HD747"/>
      <c r="HE747"/>
      <c r="HF747"/>
      <c r="HG747"/>
      <c r="HH747"/>
    </row>
    <row r="748" spans="1:216" s="5" customFormat="1" ht="12.75" hidden="1" customHeight="1" outlineLevel="1" x14ac:dyDescent="0.2">
      <c r="A748" s="8"/>
      <c r="B748" s="7"/>
      <c r="C748" s="12"/>
      <c r="D748" s="13"/>
      <c r="E748" s="12"/>
      <c r="F748" s="13"/>
      <c r="G748" s="12"/>
      <c r="H748" s="13"/>
      <c r="I748" s="12"/>
      <c r="J748" s="13"/>
      <c r="K748" s="12"/>
      <c r="L748" s="13"/>
      <c r="M748" s="12"/>
      <c r="N748" s="13"/>
      <c r="O748" s="12"/>
      <c r="P748" s="13"/>
      <c r="Q748" s="12"/>
      <c r="R748" s="13"/>
      <c r="S748" s="12"/>
      <c r="T748" s="13"/>
      <c r="U748" s="12"/>
      <c r="V748" s="13"/>
      <c r="W748" s="12"/>
      <c r="X748" s="13"/>
      <c r="Y748" s="12"/>
      <c r="Z748" s="13"/>
      <c r="AA748" s="12"/>
      <c r="AB748" s="13"/>
      <c r="AC748" s="12"/>
      <c r="AD748" s="13"/>
      <c r="AE748" s="12"/>
      <c r="AF748" s="13"/>
      <c r="AG748" s="12"/>
      <c r="AH748" s="13"/>
      <c r="AI748" s="12"/>
      <c r="AJ748" s="13"/>
      <c r="AK748" s="12"/>
      <c r="AL748" s="13"/>
      <c r="AM748" s="12"/>
      <c r="AN748" s="13"/>
      <c r="AO748" s="12"/>
      <c r="AP748" s="13"/>
      <c r="AQ748" s="12"/>
      <c r="AR748" s="13"/>
      <c r="AS748" s="12"/>
      <c r="AT748" s="13"/>
      <c r="AU748" s="12"/>
      <c r="AV748" s="13"/>
      <c r="AW748" s="12"/>
      <c r="AX748" s="13"/>
      <c r="AY748" s="12"/>
      <c r="AZ748" s="13"/>
      <c r="BA748" s="12"/>
      <c r="BB748" s="13"/>
      <c r="BC748" s="12"/>
      <c r="BD748" s="13"/>
      <c r="BE748" s="12"/>
      <c r="BF748" s="13"/>
      <c r="BG748" s="12"/>
      <c r="BH748" s="502"/>
      <c r="BI748" s="12"/>
      <c r="BJ748" s="502"/>
      <c r="BK748" s="12"/>
      <c r="BL748" s="502"/>
      <c r="BM748" s="12"/>
      <c r="BN748" s="502"/>
      <c r="BO748" s="12"/>
      <c r="BP748" s="502"/>
      <c r="BQ748" s="12"/>
      <c r="BR748" s="502"/>
      <c r="BS748" s="12"/>
      <c r="BT748" s="502"/>
      <c r="BU748" s="12"/>
      <c r="BV748" s="502"/>
      <c r="BW748" s="12"/>
      <c r="BX748" s="502"/>
      <c r="BY748" s="12"/>
      <c r="BZ748" s="502"/>
      <c r="CA748" s="12"/>
      <c r="CB748" s="502"/>
      <c r="CC748" s="12"/>
      <c r="CD748" s="502"/>
      <c r="CE748" s="12"/>
      <c r="CF748" s="502"/>
      <c r="CG748" s="12"/>
      <c r="CH748" s="502"/>
      <c r="CI748" s="12"/>
      <c r="CJ748" s="502"/>
      <c r="CK748" s="12"/>
      <c r="CL748" s="502"/>
      <c r="CM748" s="12"/>
      <c r="CN748" s="502"/>
      <c r="CO748" s="12"/>
      <c r="CP748" s="502"/>
      <c r="CQ748" s="12"/>
      <c r="CR748" s="502"/>
      <c r="CS748" s="12"/>
      <c r="CT748" s="502"/>
      <c r="CU748" s="12"/>
      <c r="CV748" s="502"/>
      <c r="CW748" s="12"/>
      <c r="CX748" s="502"/>
      <c r="CY748" s="12"/>
      <c r="CZ748" s="502"/>
      <c r="DA748" s="12"/>
      <c r="DB748" s="502"/>
      <c r="DC748" s="12"/>
      <c r="DD748" s="502"/>
      <c r="DE748" s="12"/>
      <c r="DF748" s="502"/>
      <c r="DG748" s="12"/>
      <c r="DH748" s="502"/>
      <c r="DI748" s="12"/>
      <c r="DJ748" s="502"/>
      <c r="DK748" s="12"/>
      <c r="DL748" s="502"/>
      <c r="DM748" s="12"/>
      <c r="DN748" s="502"/>
      <c r="DO748" s="12"/>
      <c r="DP748" s="502"/>
      <c r="DQ748" s="12"/>
      <c r="DR748" s="502"/>
      <c r="DS748" s="12"/>
      <c r="DT748" s="502"/>
      <c r="DU748" s="12"/>
      <c r="DV748" s="502"/>
      <c r="DW748" s="12"/>
      <c r="DX748" s="502"/>
      <c r="DY748" s="12"/>
      <c r="DZ748" s="502"/>
      <c r="EA748" s="12"/>
      <c r="EB748" s="502"/>
      <c r="EC748" s="12"/>
      <c r="ED748" s="502"/>
      <c r="EE748" s="12"/>
      <c r="EF748" s="502"/>
      <c r="EG748" s="12"/>
      <c r="EH748" s="502"/>
      <c r="EI748" s="12"/>
      <c r="EJ748" s="502"/>
      <c r="EK748" s="12"/>
      <c r="EL748" s="502"/>
      <c r="EM748" s="12"/>
      <c r="EN748" s="502"/>
      <c r="EO748" s="12"/>
      <c r="EP748" s="502"/>
      <c r="EQ748" s="12"/>
      <c r="ER748" s="502"/>
      <c r="ES748" s="12"/>
      <c r="ET748" s="502"/>
      <c r="EU748" s="12"/>
      <c r="EV748" s="502"/>
      <c r="EW748" s="12"/>
      <c r="EX748" s="502"/>
      <c r="EY748" s="12"/>
      <c r="EZ748" s="558"/>
      <c r="FA748" s="12"/>
      <c r="FB748" s="12"/>
      <c r="FC748" s="12"/>
      <c r="FD748" s="12"/>
      <c r="FE748" s="502"/>
      <c r="FF748" s="12"/>
      <c r="FG748" s="502"/>
      <c r="FH748" s="12"/>
      <c r="FI748" s="502"/>
      <c r="FJ748" s="12"/>
      <c r="FK748" s="502"/>
      <c r="FL748" s="12"/>
      <c r="FM748" s="502"/>
      <c r="FN748" s="12"/>
      <c r="FO748" s="502"/>
      <c r="FP748" s="12"/>
      <c r="FQ748" s="502"/>
      <c r="FR748" s="12"/>
      <c r="FS748" s="502"/>
      <c r="FT748" s="12"/>
      <c r="FU748" s="502"/>
      <c r="FV748" s="12"/>
      <c r="FW748" s="502"/>
      <c r="FX748" s="12"/>
      <c r="FY748" s="502"/>
      <c r="FZ748" s="364"/>
      <c r="GA748" s="502"/>
      <c r="GB748" s="12"/>
      <c r="GC748" s="502"/>
      <c r="GD748" s="12"/>
      <c r="GE748" s="502"/>
      <c r="GF748" s="12"/>
      <c r="GG748" s="502"/>
      <c r="GH748" s="12"/>
      <c r="GI748" s="502"/>
      <c r="GJ748" s="12"/>
      <c r="GK748" s="502"/>
      <c r="GL748" s="12"/>
      <c r="GM748" s="502"/>
      <c r="GN748" s="12"/>
      <c r="GO748" s="502"/>
      <c r="GP748" s="12"/>
      <c r="GQ748" s="502"/>
      <c r="GR748" s="12"/>
      <c r="GS748" s="502"/>
      <c r="GT748" s="12"/>
      <c r="GU748" s="502"/>
      <c r="GV748" s="12"/>
      <c r="GW748" s="502"/>
      <c r="GX748" s="12"/>
      <c r="GY748" s="502"/>
      <c r="GZ748" s="13"/>
      <c r="HA748" s="13"/>
      <c r="HB748" s="452"/>
      <c r="HC748"/>
      <c r="HD748"/>
      <c r="HE748"/>
      <c r="HF748"/>
      <c r="HG748"/>
      <c r="HH748"/>
    </row>
    <row r="749" spans="1:216" s="5" customFormat="1" ht="12.75" hidden="1" customHeight="1" outlineLevel="1" x14ac:dyDescent="0.2">
      <c r="A749" s="8"/>
      <c r="B749" s="7" t="s">
        <v>498</v>
      </c>
      <c r="C749" s="12"/>
      <c r="D749" s="13"/>
      <c r="E749" s="12"/>
      <c r="F749" s="13"/>
      <c r="G749" s="12"/>
      <c r="H749" s="13"/>
      <c r="I749" s="12"/>
      <c r="J749" s="13"/>
      <c r="K749" s="12"/>
      <c r="L749" s="13"/>
      <c r="M749" s="12"/>
      <c r="N749" s="13"/>
      <c r="O749" s="12"/>
      <c r="P749" s="13"/>
      <c r="Q749" s="12"/>
      <c r="R749" s="13"/>
      <c r="S749" s="12"/>
      <c r="T749" s="13"/>
      <c r="U749" s="12"/>
      <c r="V749" s="13"/>
      <c r="W749" s="12"/>
      <c r="X749" s="13"/>
      <c r="Y749" s="12"/>
      <c r="Z749" s="13"/>
      <c r="AA749" s="12"/>
      <c r="AB749" s="13"/>
      <c r="AC749" s="12"/>
      <c r="AD749" s="13"/>
      <c r="AE749" s="12"/>
      <c r="AF749" s="13"/>
      <c r="AG749" s="12"/>
      <c r="AH749" s="13"/>
      <c r="AI749" s="12"/>
      <c r="AJ749" s="13"/>
      <c r="AK749" s="12"/>
      <c r="AL749" s="13"/>
      <c r="AM749" s="12"/>
      <c r="AN749" s="13"/>
      <c r="AO749" s="12"/>
      <c r="AP749" s="13"/>
      <c r="AQ749" s="12">
        <f>AQ496</f>
        <v>624.89999999999986</v>
      </c>
      <c r="AR749" s="13"/>
      <c r="AS749" s="12">
        <f>AS496</f>
        <v>684.4</v>
      </c>
      <c r="AT749" s="13"/>
      <c r="AU749" s="12">
        <f>AU496</f>
        <v>651.70000000000005</v>
      </c>
      <c r="AV749" s="13"/>
      <c r="AW749" s="12">
        <f>AW496</f>
        <v>638</v>
      </c>
      <c r="AX749" s="13"/>
      <c r="AY749" s="12">
        <f>AY496</f>
        <v>651.80000000000007</v>
      </c>
      <c r="AZ749" s="13"/>
      <c r="BA749" s="12">
        <f>BA496</f>
        <v>1019.6999999999998</v>
      </c>
      <c r="BB749" s="13"/>
      <c r="BC749" s="12">
        <f>BC496</f>
        <v>1054</v>
      </c>
      <c r="BD749" s="13"/>
      <c r="BE749" s="12">
        <f>BE496</f>
        <v>1071.8</v>
      </c>
      <c r="BF749" s="13"/>
      <c r="BG749" s="12">
        <f>BG496</f>
        <v>1017.6999999999999</v>
      </c>
      <c r="BH749" s="13"/>
      <c r="BI749" s="12">
        <f>BI496</f>
        <v>1074.3</v>
      </c>
      <c r="BJ749" s="13"/>
      <c r="BK749" s="12">
        <f>BK496</f>
        <v>1042.4000000000001</v>
      </c>
      <c r="BL749" s="13"/>
      <c r="BM749" s="12">
        <f>BM496</f>
        <v>1080.1999999999998</v>
      </c>
      <c r="BN749" s="13"/>
      <c r="BO749" s="12">
        <f>BO496</f>
        <v>1046</v>
      </c>
      <c r="BP749" s="13"/>
      <c r="BQ749" s="12">
        <f>BQ496</f>
        <v>1061.5</v>
      </c>
      <c r="BR749" s="13"/>
      <c r="BS749" s="12">
        <f>BS496</f>
        <v>1095</v>
      </c>
      <c r="BT749" s="13"/>
      <c r="BU749" s="12">
        <f>BU496</f>
        <v>981.5</v>
      </c>
      <c r="BV749" s="13"/>
      <c r="BW749" s="12">
        <f>BW496</f>
        <v>1030.7</v>
      </c>
      <c r="BX749" s="13"/>
      <c r="BY749" s="12">
        <f>BY496</f>
        <v>997.90000000000009</v>
      </c>
      <c r="BZ749" s="13"/>
      <c r="CA749" s="12">
        <f>CA496</f>
        <v>1091.3999999999999</v>
      </c>
      <c r="CB749" s="13"/>
      <c r="CC749" s="12">
        <f>CC496</f>
        <v>1143.8000000000002</v>
      </c>
      <c r="CD749" s="13"/>
      <c r="CE749" s="12">
        <f>CE496</f>
        <v>1126.4000000000001</v>
      </c>
      <c r="CF749" s="13"/>
      <c r="CG749" s="12">
        <f>CG496</f>
        <v>1144.5999999999999</v>
      </c>
      <c r="CH749" s="13"/>
      <c r="CI749" s="12">
        <f>CI496</f>
        <v>1155.0999999999999</v>
      </c>
      <c r="CJ749" s="13"/>
      <c r="CK749" s="12">
        <f>CK496</f>
        <v>1204.4000000000001</v>
      </c>
      <c r="CL749" s="13"/>
      <c r="CM749" s="12">
        <f>CM496</f>
        <v>1211.1999999999998</v>
      </c>
      <c r="CN749" s="13"/>
      <c r="CO749" s="12">
        <f>CO496</f>
        <v>1200.1000000000001</v>
      </c>
      <c r="CP749" s="13"/>
      <c r="CQ749" s="12">
        <f>CQ496</f>
        <v>1174.6000000000001</v>
      </c>
      <c r="CR749" s="13"/>
      <c r="CS749" s="12">
        <f>CS496</f>
        <v>1150</v>
      </c>
      <c r="CT749" s="13"/>
      <c r="CU749" s="12">
        <f>CU496</f>
        <v>1183</v>
      </c>
      <c r="CV749" s="13"/>
      <c r="CW749" s="12">
        <f>CW496</f>
        <v>1224</v>
      </c>
      <c r="CX749" s="13"/>
      <c r="CY749" s="12">
        <f>CY496</f>
        <v>1169</v>
      </c>
      <c r="CZ749" s="13"/>
      <c r="DA749" s="12">
        <f>DA496</f>
        <v>1214</v>
      </c>
      <c r="DB749" s="13"/>
      <c r="DC749" s="12">
        <f>DC496</f>
        <v>1167</v>
      </c>
      <c r="DD749" s="13"/>
      <c r="DE749" s="12">
        <f>DE496</f>
        <v>1235</v>
      </c>
      <c r="DF749" s="13"/>
      <c r="DG749" s="12">
        <f>DG496</f>
        <v>1199</v>
      </c>
      <c r="DH749" s="13"/>
      <c r="DI749" s="12">
        <f>DI496</f>
        <v>1231</v>
      </c>
      <c r="DJ749" s="13"/>
      <c r="DK749" s="12">
        <f>DK496</f>
        <v>1223</v>
      </c>
      <c r="DL749" s="13"/>
      <c r="DM749" s="12">
        <f>DM496</f>
        <v>1226</v>
      </c>
      <c r="DN749" s="13"/>
      <c r="DO749" s="12">
        <f>DO496</f>
        <v>1230</v>
      </c>
      <c r="DP749" s="13"/>
      <c r="DQ749" s="12">
        <f>DQ496</f>
        <v>1257</v>
      </c>
      <c r="DR749" s="13"/>
      <c r="DS749" s="12">
        <f>DS496</f>
        <v>1201</v>
      </c>
      <c r="DT749" s="13"/>
      <c r="DU749" s="12">
        <f>DU496</f>
        <v>1204</v>
      </c>
      <c r="DV749" s="13"/>
      <c r="DW749" s="12">
        <f>DW496</f>
        <v>1264</v>
      </c>
      <c r="DX749" s="13"/>
      <c r="DY749" s="12">
        <f>DY496</f>
        <v>1206</v>
      </c>
      <c r="DZ749" s="13"/>
      <c r="EA749" s="12">
        <f>EA496</f>
        <v>1175</v>
      </c>
      <c r="EB749" s="13"/>
      <c r="EC749" s="12">
        <f>EC496</f>
        <v>1204</v>
      </c>
      <c r="ED749" s="13"/>
      <c r="EE749" s="12">
        <f>EE496</f>
        <v>1264</v>
      </c>
      <c r="EF749" s="13"/>
      <c r="EG749" s="12">
        <f>EG496</f>
        <v>1246</v>
      </c>
      <c r="EH749" s="13"/>
      <c r="EI749" s="12">
        <f>EI496</f>
        <v>1245</v>
      </c>
      <c r="EJ749" s="13"/>
      <c r="EK749" s="12">
        <f t="shared" ref="EK749:EM749" si="4407">EK496</f>
        <v>1265</v>
      </c>
      <c r="EL749" s="13"/>
      <c r="EM749" s="12">
        <f t="shared" si="4407"/>
        <v>1244</v>
      </c>
      <c r="EN749" s="13"/>
      <c r="EO749" s="12">
        <f t="shared" ref="EO749" si="4408">EO496</f>
        <v>1259</v>
      </c>
      <c r="EP749" s="13"/>
      <c r="EQ749" s="12">
        <f t="shared" ref="EQ749:EW749" si="4409">EQ496</f>
        <v>1270.6837783688802</v>
      </c>
      <c r="ER749" s="13"/>
      <c r="ES749" s="12">
        <f t="shared" si="4409"/>
        <v>1273.5596009529966</v>
      </c>
      <c r="ET749" s="13"/>
      <c r="EU749" s="12">
        <f t="shared" si="4409"/>
        <v>1300.2644271562999</v>
      </c>
      <c r="EV749" s="13"/>
      <c r="EW749" s="12">
        <f t="shared" si="4409"/>
        <v>1308.9040144392734</v>
      </c>
      <c r="EX749" s="13"/>
      <c r="EY749" s="12"/>
      <c r="EZ749" s="558"/>
      <c r="FA749" s="12"/>
      <c r="FB749" s="12"/>
      <c r="FC749" s="12"/>
      <c r="FD749" s="12"/>
      <c r="FE749" s="502"/>
      <c r="FF749" s="12"/>
      <c r="FG749" s="502"/>
      <c r="FH749" s="12"/>
      <c r="FI749" s="502"/>
      <c r="FJ749" s="12"/>
      <c r="FK749" s="502"/>
      <c r="FL749" s="12"/>
      <c r="FM749" s="502"/>
      <c r="FN749" s="12"/>
      <c r="FO749" s="502"/>
      <c r="FP749" s="12">
        <f>FP496</f>
        <v>2430.6339999999996</v>
      </c>
      <c r="FQ749" s="13"/>
      <c r="FR749" s="12">
        <f>FR496</f>
        <v>3489.4</v>
      </c>
      <c r="FS749" s="13"/>
      <c r="FT749" s="12">
        <f>FT496</f>
        <v>4214.5999999999995</v>
      </c>
      <c r="FU749" s="13"/>
      <c r="FV749" s="12">
        <f>FV496</f>
        <v>4184</v>
      </c>
      <c r="FW749" s="13"/>
      <c r="FX749" s="12">
        <f>FX496</f>
        <v>4263.7999999999993</v>
      </c>
      <c r="FY749" s="13"/>
      <c r="FZ749" s="12">
        <f>FZ496</f>
        <v>4630.4999999999991</v>
      </c>
      <c r="GA749" s="13"/>
      <c r="GB749" s="12">
        <f>GB496</f>
        <v>4735.8999999999987</v>
      </c>
      <c r="GC749" s="13"/>
      <c r="GD749" s="12">
        <f>GD496</f>
        <v>4790</v>
      </c>
      <c r="GE749" s="13"/>
      <c r="GF749" s="12">
        <f>GF496</f>
        <v>4832</v>
      </c>
      <c r="GG749" s="13"/>
      <c r="GH749" s="12">
        <f>GH496</f>
        <v>4936</v>
      </c>
      <c r="GI749" s="13"/>
      <c r="GJ749" s="12">
        <f>GJ496</f>
        <v>4875</v>
      </c>
      <c r="GK749" s="13"/>
      <c r="GL749" s="12">
        <f>GL496</f>
        <v>4889</v>
      </c>
      <c r="GM749" s="13"/>
      <c r="GN749" s="12">
        <f>GN496</f>
        <v>5013</v>
      </c>
      <c r="GO749" s="13"/>
      <c r="GP749" s="12">
        <f>GP496</f>
        <v>5153.4118209174503</v>
      </c>
      <c r="GQ749" s="13"/>
      <c r="GR749" s="12">
        <f>GR496</f>
        <v>5339.1130078862661</v>
      </c>
      <c r="GS749" s="13"/>
      <c r="GT749" s="12">
        <f>GT496</f>
        <v>5514.8520265210036</v>
      </c>
      <c r="GU749" s="13"/>
      <c r="GV749" s="12">
        <f>GV496</f>
        <v>5706.9719341758682</v>
      </c>
      <c r="GW749" s="13"/>
      <c r="GX749" s="12">
        <f>GX496</f>
        <v>5916.8024401932462</v>
      </c>
      <c r="GY749" s="13"/>
      <c r="GZ749" s="13"/>
      <c r="HA749" s="13"/>
      <c r="HB749" s="452"/>
      <c r="HC749"/>
      <c r="HD749"/>
      <c r="HE749"/>
      <c r="HF749"/>
      <c r="HG749"/>
      <c r="HH749"/>
    </row>
    <row r="750" spans="1:216" s="5" customFormat="1" ht="12.75" hidden="1" customHeight="1" outlineLevel="1" x14ac:dyDescent="0.2">
      <c r="A750" s="8"/>
      <c r="B750" s="7" t="s">
        <v>162</v>
      </c>
      <c r="C750" s="12"/>
      <c r="D750" s="13"/>
      <c r="E750" s="12"/>
      <c r="F750" s="13"/>
      <c r="G750" s="12"/>
      <c r="H750" s="13"/>
      <c r="I750" s="12"/>
      <c r="J750" s="13"/>
      <c r="K750" s="12"/>
      <c r="L750" s="13"/>
      <c r="M750" s="12"/>
      <c r="N750" s="13"/>
      <c r="O750" s="12"/>
      <c r="P750" s="13"/>
      <c r="Q750" s="12"/>
      <c r="R750" s="13"/>
      <c r="S750" s="12"/>
      <c r="T750" s="13"/>
      <c r="U750" s="12"/>
      <c r="V750" s="13"/>
      <c r="W750" s="12"/>
      <c r="X750" s="13"/>
      <c r="Y750" s="12"/>
      <c r="Z750" s="13"/>
      <c r="AA750" s="12"/>
      <c r="AB750" s="13"/>
      <c r="AC750" s="12"/>
      <c r="AD750" s="13"/>
      <c r="AE750" s="12"/>
      <c r="AF750" s="13"/>
      <c r="AG750" s="12"/>
      <c r="AH750" s="13"/>
      <c r="AI750" s="12"/>
      <c r="AJ750" s="13"/>
      <c r="AK750" s="12"/>
      <c r="AL750" s="13"/>
      <c r="AM750" s="12"/>
      <c r="AN750" s="13"/>
      <c r="AO750" s="12"/>
      <c r="AP750" s="13"/>
      <c r="AQ750" s="12">
        <f>AQ501</f>
        <v>347.90000000000003</v>
      </c>
      <c r="AR750" s="13"/>
      <c r="AS750" s="12">
        <f>AS501</f>
        <v>346.90000000000003</v>
      </c>
      <c r="AT750" s="13"/>
      <c r="AU750" s="12">
        <f>AU501</f>
        <v>349.29999999999995</v>
      </c>
      <c r="AV750" s="13"/>
      <c r="AW750" s="12">
        <f>AW501</f>
        <v>349</v>
      </c>
      <c r="AX750" s="13"/>
      <c r="AY750" s="12">
        <f>AY501</f>
        <v>347.3</v>
      </c>
      <c r="AZ750" s="13"/>
      <c r="BA750" s="12">
        <f>BA501</f>
        <v>552.90000000000009</v>
      </c>
      <c r="BB750" s="13"/>
      <c r="BC750" s="12">
        <f>BC501</f>
        <v>598.29999999999995</v>
      </c>
      <c r="BD750" s="13"/>
      <c r="BE750" s="12">
        <f>BE501</f>
        <v>609.4</v>
      </c>
      <c r="BF750" s="13"/>
      <c r="BG750" s="12">
        <f>BG501</f>
        <v>555.29999999999995</v>
      </c>
      <c r="BH750" s="13"/>
      <c r="BI750" s="12">
        <f>BI501</f>
        <v>561.80000000000007</v>
      </c>
      <c r="BJ750" s="13"/>
      <c r="BK750" s="12">
        <f>BK501</f>
        <v>562.79999999999995</v>
      </c>
      <c r="BL750" s="13"/>
      <c r="BM750" s="12">
        <f>BM501</f>
        <v>570.9</v>
      </c>
      <c r="BN750" s="13"/>
      <c r="BO750" s="12">
        <f>BO501</f>
        <v>565.6</v>
      </c>
      <c r="BP750" s="13"/>
      <c r="BQ750" s="12">
        <f>BQ501</f>
        <v>570.6</v>
      </c>
      <c r="BR750" s="13"/>
      <c r="BS750" s="12">
        <f>BS501</f>
        <v>581.5</v>
      </c>
      <c r="BT750" s="13"/>
      <c r="BU750" s="12">
        <f>BU501</f>
        <v>616.79999999999995</v>
      </c>
      <c r="BV750" s="13"/>
      <c r="BW750" s="12">
        <f>BW501</f>
        <v>577.9</v>
      </c>
      <c r="BX750" s="13"/>
      <c r="BY750" s="12">
        <f>BY501</f>
        <v>573.20000000000005</v>
      </c>
      <c r="BZ750" s="13"/>
      <c r="CA750" s="12">
        <f>CA501</f>
        <v>579.69999999999993</v>
      </c>
      <c r="CB750" s="13"/>
      <c r="CC750" s="12">
        <f>CC501</f>
        <v>581.29999999999995</v>
      </c>
      <c r="CD750" s="13"/>
      <c r="CE750" s="12">
        <f>CE501</f>
        <v>583.5</v>
      </c>
      <c r="CF750" s="13"/>
      <c r="CG750" s="12">
        <f>CG501</f>
        <v>585.70000000000005</v>
      </c>
      <c r="CH750" s="13"/>
      <c r="CI750" s="12">
        <f>CI501</f>
        <v>593.20000000000005</v>
      </c>
      <c r="CJ750" s="13"/>
      <c r="CK750" s="12">
        <f>CK501</f>
        <v>601.19999999999993</v>
      </c>
      <c r="CL750" s="13"/>
      <c r="CM750" s="12">
        <f>CM501</f>
        <v>584.4</v>
      </c>
      <c r="CN750" s="13"/>
      <c r="CO750" s="12">
        <f>CO501</f>
        <v>594.1</v>
      </c>
      <c r="CP750" s="13"/>
      <c r="CQ750" s="12">
        <f>CQ501</f>
        <v>598.59999999999991</v>
      </c>
      <c r="CR750" s="13"/>
      <c r="CS750" s="12">
        <f>CS501</f>
        <v>599</v>
      </c>
      <c r="CT750" s="13"/>
      <c r="CU750" s="12">
        <f>CU501</f>
        <v>594</v>
      </c>
      <c r="CV750" s="13"/>
      <c r="CW750" s="12">
        <f>CW501</f>
        <v>587</v>
      </c>
      <c r="CX750" s="13"/>
      <c r="CY750" s="12">
        <f>CY501</f>
        <v>580</v>
      </c>
      <c r="CZ750" s="13"/>
      <c r="DA750" s="12">
        <f>DA501</f>
        <v>584</v>
      </c>
      <c r="DB750" s="13"/>
      <c r="DC750" s="12">
        <f>DC501</f>
        <v>590</v>
      </c>
      <c r="DD750" s="13"/>
      <c r="DE750" s="12">
        <f>DE501</f>
        <v>599</v>
      </c>
      <c r="DF750" s="13"/>
      <c r="DG750" s="12">
        <f>DG501</f>
        <v>600</v>
      </c>
      <c r="DH750" s="13"/>
      <c r="DI750" s="12">
        <f>DI501</f>
        <v>611</v>
      </c>
      <c r="DJ750" s="13"/>
      <c r="DK750" s="12">
        <f>DK501</f>
        <v>606</v>
      </c>
      <c r="DL750" s="13"/>
      <c r="DM750" s="12">
        <f>DM501</f>
        <v>609</v>
      </c>
      <c r="DN750" s="13"/>
      <c r="DO750" s="12">
        <f>DO501</f>
        <v>607</v>
      </c>
      <c r="DP750" s="13"/>
      <c r="DQ750" s="12">
        <f>DQ501</f>
        <v>610</v>
      </c>
      <c r="DR750" s="13"/>
      <c r="DS750" s="12">
        <f>DS501</f>
        <v>604</v>
      </c>
      <c r="DT750" s="13"/>
      <c r="DU750" s="12">
        <f>DU501</f>
        <v>607</v>
      </c>
      <c r="DV750" s="13"/>
      <c r="DW750" s="12">
        <f>DW501</f>
        <v>602</v>
      </c>
      <c r="DX750" s="13"/>
      <c r="DY750" s="12">
        <f>DY501</f>
        <v>613</v>
      </c>
      <c r="DZ750" s="13"/>
      <c r="EA750" s="12">
        <f>EA501</f>
        <v>613</v>
      </c>
      <c r="EB750" s="13"/>
      <c r="EC750" s="12">
        <f>EC501</f>
        <v>620</v>
      </c>
      <c r="ED750" s="13"/>
      <c r="EE750" s="12">
        <f>EE501</f>
        <v>625</v>
      </c>
      <c r="EF750" s="13"/>
      <c r="EG750" s="12">
        <f>EG501</f>
        <v>631</v>
      </c>
      <c r="EH750" s="13"/>
      <c r="EI750" s="12">
        <f>EI501</f>
        <v>628</v>
      </c>
      <c r="EJ750" s="13"/>
      <c r="EK750" s="12">
        <f t="shared" ref="EK750:EM750" si="4410">EK501</f>
        <v>628</v>
      </c>
      <c r="EL750" s="13"/>
      <c r="EM750" s="12">
        <f t="shared" si="4410"/>
        <v>631</v>
      </c>
      <c r="EN750" s="13"/>
      <c r="EO750" s="12">
        <f t="shared" ref="EO750" si="4411">EO501</f>
        <v>635</v>
      </c>
      <c r="EP750" s="13"/>
      <c r="EQ750" s="12">
        <f t="shared" ref="EQ750:EW750" si="4412">EQ501</f>
        <v>641.5885407834545</v>
      </c>
      <c r="ER750" s="13"/>
      <c r="ES750" s="12">
        <f t="shared" si="4412"/>
        <v>647.37532257673797</v>
      </c>
      <c r="ET750" s="13"/>
      <c r="EU750" s="12">
        <f t="shared" si="4412"/>
        <v>655.20791044555403</v>
      </c>
      <c r="EV750" s="13"/>
      <c r="EW750" s="12">
        <f t="shared" si="4412"/>
        <v>662.98411852016875</v>
      </c>
      <c r="EX750" s="13"/>
      <c r="EY750" s="12"/>
      <c r="EZ750" s="558"/>
      <c r="FA750" s="12"/>
      <c r="FB750" s="12"/>
      <c r="FC750" s="12"/>
      <c r="FD750" s="12"/>
      <c r="FE750" s="502"/>
      <c r="FF750" s="12"/>
      <c r="FG750" s="502"/>
      <c r="FH750" s="12"/>
      <c r="FI750" s="502"/>
      <c r="FJ750" s="12"/>
      <c r="FK750" s="502"/>
      <c r="FL750" s="12"/>
      <c r="FM750" s="502"/>
      <c r="FN750" s="12"/>
      <c r="FO750" s="502"/>
      <c r="FP750" s="12">
        <f>FP501</f>
        <v>1393.1</v>
      </c>
      <c r="FQ750" s="13"/>
      <c r="FR750" s="12">
        <f>FR501</f>
        <v>2107.9</v>
      </c>
      <c r="FS750" s="13"/>
      <c r="FT750" s="12">
        <f>FT501</f>
        <v>2250.8000000000002</v>
      </c>
      <c r="FU750" s="13"/>
      <c r="FV750" s="12">
        <f>FV501</f>
        <v>2334.5</v>
      </c>
      <c r="FW750" s="13"/>
      <c r="FX750" s="12">
        <f>FX501</f>
        <v>2312.1</v>
      </c>
      <c r="FY750" s="13"/>
      <c r="FZ750" s="12">
        <f>FZ501</f>
        <v>2363.6</v>
      </c>
      <c r="GA750" s="13"/>
      <c r="GB750" s="12">
        <f>GB501</f>
        <v>2376.1</v>
      </c>
      <c r="GC750" s="13"/>
      <c r="GD750" s="12">
        <f>GD501</f>
        <v>2345</v>
      </c>
      <c r="GE750" s="13"/>
      <c r="GF750" s="12">
        <f>GF501</f>
        <v>2400</v>
      </c>
      <c r="GG750" s="13"/>
      <c r="GH750" s="12">
        <f>GH501</f>
        <v>2432</v>
      </c>
      <c r="GI750" s="13"/>
      <c r="GJ750" s="12">
        <f>GJ501</f>
        <v>2426</v>
      </c>
      <c r="GK750" s="13"/>
      <c r="GL750" s="12">
        <f>GL501</f>
        <v>2489</v>
      </c>
      <c r="GM750" s="13"/>
      <c r="GN750" s="12">
        <f>GN501</f>
        <v>2522</v>
      </c>
      <c r="GO750" s="13"/>
      <c r="GP750" s="12">
        <f>GP501</f>
        <v>2607.1558923259154</v>
      </c>
      <c r="GQ750" s="13"/>
      <c r="GR750" s="12">
        <f>GR501</f>
        <v>2711.1186561152372</v>
      </c>
      <c r="GS750" s="13"/>
      <c r="GT750" s="12">
        <f>GT501</f>
        <v>2818.8546779577018</v>
      </c>
      <c r="GU750" s="13"/>
      <c r="GV750" s="12">
        <f>GV501</f>
        <v>2921.5850613901334</v>
      </c>
      <c r="GW750" s="13"/>
      <c r="GX750" s="12">
        <f>GX501</f>
        <v>3027.0655719185766</v>
      </c>
      <c r="GY750" s="13"/>
      <c r="GZ750" s="13"/>
      <c r="HA750" s="13"/>
      <c r="HB750" s="452"/>
      <c r="HC750"/>
      <c r="HD750"/>
      <c r="HE750"/>
      <c r="HF750"/>
      <c r="HG750"/>
      <c r="HH750"/>
    </row>
    <row r="751" spans="1:216" s="5" customFormat="1" ht="12.75" hidden="1" customHeight="1" outlineLevel="1" x14ac:dyDescent="0.2">
      <c r="A751" s="8"/>
      <c r="B751" s="7" t="s">
        <v>684</v>
      </c>
      <c r="C751" s="12"/>
      <c r="D751" s="13"/>
      <c r="E751" s="12"/>
      <c r="F751" s="13"/>
      <c r="G751" s="12"/>
      <c r="H751" s="13"/>
      <c r="I751" s="12"/>
      <c r="J751" s="13"/>
      <c r="K751" s="12"/>
      <c r="L751" s="13"/>
      <c r="M751" s="12"/>
      <c r="N751" s="13"/>
      <c r="O751" s="12"/>
      <c r="P751" s="13"/>
      <c r="Q751" s="12"/>
      <c r="R751" s="13"/>
      <c r="S751" s="12"/>
      <c r="T751" s="13"/>
      <c r="U751" s="12"/>
      <c r="V751" s="13"/>
      <c r="W751" s="12"/>
      <c r="X751" s="13"/>
      <c r="Y751" s="12"/>
      <c r="Z751" s="13"/>
      <c r="AA751" s="12"/>
      <c r="AB751" s="13"/>
      <c r="AC751" s="12"/>
      <c r="AD751" s="13"/>
      <c r="AE751" s="12"/>
      <c r="AF751" s="13"/>
      <c r="AG751" s="12"/>
      <c r="AH751" s="13"/>
      <c r="AI751" s="12"/>
      <c r="AJ751" s="13"/>
      <c r="AK751" s="12"/>
      <c r="AL751" s="13"/>
      <c r="AM751" s="12"/>
      <c r="AN751" s="13"/>
      <c r="AO751" s="12"/>
      <c r="AP751" s="13"/>
      <c r="AQ751" s="12">
        <f>AQ749-AQ750</f>
        <v>276.99999999999983</v>
      </c>
      <c r="AR751" s="13"/>
      <c r="AS751" s="12">
        <f>AS749-AS750</f>
        <v>337.49999999999994</v>
      </c>
      <c r="AT751" s="13"/>
      <c r="AU751" s="12">
        <f>AU749-AU750</f>
        <v>302.40000000000009</v>
      </c>
      <c r="AV751" s="13"/>
      <c r="AW751" s="12">
        <f>AW749-AW750</f>
        <v>289</v>
      </c>
      <c r="AX751" s="13"/>
      <c r="AY751" s="12">
        <f>AY749-AY750</f>
        <v>304.50000000000006</v>
      </c>
      <c r="AZ751" s="13"/>
      <c r="BA751" s="12">
        <f>BA749-BA750</f>
        <v>466.79999999999973</v>
      </c>
      <c r="BB751" s="13"/>
      <c r="BC751" s="12">
        <f>BC749-BC750</f>
        <v>455.70000000000005</v>
      </c>
      <c r="BD751" s="13"/>
      <c r="BE751" s="12">
        <f>BE749-BE750</f>
        <v>462.4</v>
      </c>
      <c r="BF751" s="13"/>
      <c r="BG751" s="12">
        <f>BG749-BG750</f>
        <v>462.4</v>
      </c>
      <c r="BH751" s="13"/>
      <c r="BI751" s="12">
        <f>BI749-BI750</f>
        <v>512.49999999999989</v>
      </c>
      <c r="BJ751" s="13"/>
      <c r="BK751" s="12">
        <f>BK749-BK750</f>
        <v>479.60000000000014</v>
      </c>
      <c r="BL751" s="13"/>
      <c r="BM751" s="12">
        <f>BM749-BM750</f>
        <v>509.29999999999984</v>
      </c>
      <c r="BN751" s="13"/>
      <c r="BO751" s="12">
        <f>BO749-BO750</f>
        <v>480.4</v>
      </c>
      <c r="BP751" s="13"/>
      <c r="BQ751" s="12">
        <f>BQ749-BQ750</f>
        <v>490.9</v>
      </c>
      <c r="BR751" s="13"/>
      <c r="BS751" s="12">
        <f>BS749-BS750</f>
        <v>513.5</v>
      </c>
      <c r="BT751" s="13"/>
      <c r="BU751" s="12">
        <f>BU749-BU750</f>
        <v>364.70000000000005</v>
      </c>
      <c r="BV751" s="13"/>
      <c r="BW751" s="12">
        <f>BW749-BW750</f>
        <v>452.80000000000007</v>
      </c>
      <c r="BX751" s="13"/>
      <c r="BY751" s="12">
        <f>BY749-BY750</f>
        <v>424.70000000000005</v>
      </c>
      <c r="BZ751" s="13"/>
      <c r="CA751" s="12">
        <f>CA749-CA750</f>
        <v>511.69999999999993</v>
      </c>
      <c r="CB751" s="13"/>
      <c r="CC751" s="12">
        <f>CC749-CC750</f>
        <v>562.50000000000023</v>
      </c>
      <c r="CD751" s="13"/>
      <c r="CE751" s="12">
        <f>CE749-CE750</f>
        <v>542.90000000000009</v>
      </c>
      <c r="CF751" s="13"/>
      <c r="CG751" s="12">
        <f>CG749-CG750</f>
        <v>558.89999999999986</v>
      </c>
      <c r="CH751" s="13"/>
      <c r="CI751" s="12">
        <f>CI749-CI750</f>
        <v>561.89999999999986</v>
      </c>
      <c r="CJ751" s="13"/>
      <c r="CK751" s="12">
        <f>CK749-CK750</f>
        <v>603.20000000000016</v>
      </c>
      <c r="CL751" s="13"/>
      <c r="CM751" s="12">
        <f>CM749-CM750</f>
        <v>626.79999999999984</v>
      </c>
      <c r="CN751" s="13"/>
      <c r="CO751" s="12">
        <f>CO749-CO750</f>
        <v>606.00000000000011</v>
      </c>
      <c r="CP751" s="13"/>
      <c r="CQ751" s="12">
        <f>CQ749-CQ750</f>
        <v>576.00000000000023</v>
      </c>
      <c r="CR751" s="13"/>
      <c r="CS751" s="12">
        <f>CS749-CS750</f>
        <v>551</v>
      </c>
      <c r="CT751" s="13"/>
      <c r="CU751" s="12">
        <f>CU749-CU750</f>
        <v>589</v>
      </c>
      <c r="CV751" s="13"/>
      <c r="CW751" s="12">
        <f>CW749-CW750</f>
        <v>637</v>
      </c>
      <c r="CX751" s="13"/>
      <c r="CY751" s="12">
        <f>CY749-CY750</f>
        <v>589</v>
      </c>
      <c r="CZ751" s="13"/>
      <c r="DA751" s="12">
        <f>DA749-DA750</f>
        <v>630</v>
      </c>
      <c r="DB751" s="13"/>
      <c r="DC751" s="12">
        <f>DC749-DC750</f>
        <v>577</v>
      </c>
      <c r="DD751" s="13"/>
      <c r="DE751" s="12">
        <f>DE749-DE750</f>
        <v>636</v>
      </c>
      <c r="DF751" s="13"/>
      <c r="DG751" s="12">
        <f>DG749-DG750</f>
        <v>599</v>
      </c>
      <c r="DH751" s="13"/>
      <c r="DI751" s="12">
        <f>DI749-DI750</f>
        <v>620</v>
      </c>
      <c r="DJ751" s="13"/>
      <c r="DK751" s="12">
        <f>DK749-DK750</f>
        <v>617</v>
      </c>
      <c r="DL751" s="13"/>
      <c r="DM751" s="12">
        <f>DM749-DM750</f>
        <v>617</v>
      </c>
      <c r="DN751" s="13"/>
      <c r="DO751" s="12">
        <f>DO749-DO750</f>
        <v>623</v>
      </c>
      <c r="DP751" s="13"/>
      <c r="DQ751" s="12">
        <f>DQ749-DQ750</f>
        <v>647</v>
      </c>
      <c r="DR751" s="13"/>
      <c r="DS751" s="12">
        <f>DS749-DS750</f>
        <v>597</v>
      </c>
      <c r="DT751" s="13"/>
      <c r="DU751" s="12">
        <f>DU749-DU750</f>
        <v>597</v>
      </c>
      <c r="DV751" s="13"/>
      <c r="DW751" s="12">
        <f>DW749-DW750</f>
        <v>662</v>
      </c>
      <c r="DX751" s="13"/>
      <c r="DY751" s="12">
        <f>DY749-DY750</f>
        <v>593</v>
      </c>
      <c r="DZ751" s="13"/>
      <c r="EA751" s="12">
        <f>EA749-EA750</f>
        <v>562</v>
      </c>
      <c r="EB751" s="13"/>
      <c r="EC751" s="12">
        <f>EC749-EC750</f>
        <v>584</v>
      </c>
      <c r="ED751" s="13"/>
      <c r="EE751" s="12">
        <f>EE749-EE750</f>
        <v>639</v>
      </c>
      <c r="EF751" s="13"/>
      <c r="EG751" s="12">
        <f>EG749-EG750</f>
        <v>615</v>
      </c>
      <c r="EH751" s="13"/>
      <c r="EI751" s="12">
        <f>EI749-EI750</f>
        <v>617</v>
      </c>
      <c r="EJ751" s="13"/>
      <c r="EK751" s="12">
        <f t="shared" ref="EK751:EM751" si="4413">EK749-EK750</f>
        <v>637</v>
      </c>
      <c r="EL751" s="13"/>
      <c r="EM751" s="12">
        <f t="shared" si="4413"/>
        <v>613</v>
      </c>
      <c r="EN751" s="13"/>
      <c r="EO751" s="12">
        <f t="shared" ref="EO751" si="4414">EO749-EO750</f>
        <v>624</v>
      </c>
      <c r="EP751" s="13"/>
      <c r="EQ751" s="12">
        <f t="shared" ref="EQ751:EW751" si="4415">EQ749-EQ750</f>
        <v>629.09523758542571</v>
      </c>
      <c r="ER751" s="13"/>
      <c r="ES751" s="12">
        <f t="shared" si="4415"/>
        <v>626.18427837625859</v>
      </c>
      <c r="ET751" s="13"/>
      <c r="EU751" s="12">
        <f t="shared" si="4415"/>
        <v>645.05651671074588</v>
      </c>
      <c r="EV751" s="13"/>
      <c r="EW751" s="12">
        <f t="shared" si="4415"/>
        <v>645.91989591910465</v>
      </c>
      <c r="EX751" s="13"/>
      <c r="EY751" s="12"/>
      <c r="EZ751" s="558"/>
      <c r="FA751" s="12"/>
      <c r="FB751" s="12"/>
      <c r="FC751" s="12"/>
      <c r="FD751" s="12"/>
      <c r="FE751" s="502"/>
      <c r="FF751" s="12"/>
      <c r="FG751" s="502"/>
      <c r="FH751" s="12"/>
      <c r="FI751" s="502"/>
      <c r="FJ751" s="12"/>
      <c r="FK751" s="502"/>
      <c r="FL751" s="12"/>
      <c r="FM751" s="502"/>
      <c r="FN751" s="12"/>
      <c r="FO751" s="502"/>
      <c r="FP751" s="12">
        <f>FP749-FP750</f>
        <v>1037.5339999999997</v>
      </c>
      <c r="FQ751" s="13"/>
      <c r="FR751" s="12">
        <f>FR749-FR750</f>
        <v>1381.5</v>
      </c>
      <c r="FS751" s="13"/>
      <c r="FT751" s="12">
        <f>FT749-FT750</f>
        <v>1963.7999999999993</v>
      </c>
      <c r="FU751" s="13"/>
      <c r="FV751" s="12">
        <f>FV749-FV750</f>
        <v>1849.5</v>
      </c>
      <c r="FW751" s="13"/>
      <c r="FX751" s="12">
        <f>FX749-FX750</f>
        <v>1951.6999999999994</v>
      </c>
      <c r="FY751" s="13"/>
      <c r="FZ751" s="12">
        <f>FZ749-FZ750</f>
        <v>2266.8999999999992</v>
      </c>
      <c r="GA751" s="13"/>
      <c r="GB751" s="12">
        <f>GB749-GB750</f>
        <v>2359.7999999999988</v>
      </c>
      <c r="GC751" s="13"/>
      <c r="GD751" s="12">
        <f>GD749-GD750</f>
        <v>2445</v>
      </c>
      <c r="GE751" s="13"/>
      <c r="GF751" s="12">
        <f>GF749-GF750</f>
        <v>2432</v>
      </c>
      <c r="GG751" s="13"/>
      <c r="GH751" s="12">
        <f>GH749-GH750</f>
        <v>2504</v>
      </c>
      <c r="GI751" s="13"/>
      <c r="GJ751" s="12">
        <f>GJ749-GJ750</f>
        <v>2449</v>
      </c>
      <c r="GK751" s="13"/>
      <c r="GL751" s="12">
        <f>GL749-GL750</f>
        <v>2400</v>
      </c>
      <c r="GM751" s="13"/>
      <c r="GN751" s="12">
        <f>GN749-GN750</f>
        <v>2491</v>
      </c>
      <c r="GO751" s="13"/>
      <c r="GP751" s="12">
        <f>GP749-GP750</f>
        <v>2546.2559285915349</v>
      </c>
      <c r="GQ751" s="13"/>
      <c r="GR751" s="12">
        <f>GR749-GR750</f>
        <v>2627.994351771029</v>
      </c>
      <c r="GS751" s="13"/>
      <c r="GT751" s="12">
        <f>GT749-GT750</f>
        <v>2695.9973485633018</v>
      </c>
      <c r="GU751" s="13"/>
      <c r="GV751" s="12">
        <f>GV749-GV750</f>
        <v>2785.3868727857348</v>
      </c>
      <c r="GW751" s="13"/>
      <c r="GX751" s="12">
        <f>GX749-GX750</f>
        <v>2889.7368682746696</v>
      </c>
      <c r="GY751" s="13"/>
      <c r="GZ751" s="13"/>
      <c r="HA751" s="13"/>
      <c r="HB751" s="452"/>
      <c r="HC751"/>
      <c r="HD751"/>
      <c r="HE751"/>
      <c r="HF751"/>
      <c r="HG751"/>
      <c r="HH751"/>
    </row>
    <row r="752" spans="1:216" s="5" customFormat="1" ht="12.75" hidden="1" customHeight="1" outlineLevel="1" x14ac:dyDescent="0.2">
      <c r="A752" s="8"/>
      <c r="B752" s="7"/>
      <c r="C752" s="12"/>
      <c r="D752" s="13"/>
      <c r="E752" s="12"/>
      <c r="F752" s="13"/>
      <c r="G752" s="12"/>
      <c r="H752" s="13"/>
      <c r="I752" s="12"/>
      <c r="J752" s="13"/>
      <c r="K752" s="12"/>
      <c r="L752" s="13"/>
      <c r="M752" s="12"/>
      <c r="N752" s="13"/>
      <c r="O752" s="12"/>
      <c r="P752" s="13"/>
      <c r="Q752" s="12"/>
      <c r="R752" s="13"/>
      <c r="S752" s="12"/>
      <c r="T752" s="13"/>
      <c r="U752" s="12"/>
      <c r="V752" s="13"/>
      <c r="W752" s="12"/>
      <c r="X752" s="13"/>
      <c r="Y752" s="12"/>
      <c r="Z752" s="13"/>
      <c r="AA752" s="12"/>
      <c r="AB752" s="13"/>
      <c r="AC752" s="12"/>
      <c r="AD752" s="13"/>
      <c r="AE752" s="12"/>
      <c r="AF752" s="13"/>
      <c r="AG752" s="12"/>
      <c r="AH752" s="13"/>
      <c r="AI752" s="12"/>
      <c r="AJ752" s="13"/>
      <c r="AK752" s="12"/>
      <c r="AL752" s="13"/>
      <c r="AM752" s="12"/>
      <c r="AN752" s="13"/>
      <c r="AO752" s="12"/>
      <c r="AP752" s="13"/>
      <c r="AQ752" s="12"/>
      <c r="AR752" s="13"/>
      <c r="AS752" s="12"/>
      <c r="AT752" s="13"/>
      <c r="AU752" s="12"/>
      <c r="AV752" s="13"/>
      <c r="AW752" s="12"/>
      <c r="AX752" s="13"/>
      <c r="AY752" s="12"/>
      <c r="AZ752" s="13"/>
      <c r="BA752" s="12"/>
      <c r="BB752" s="13"/>
      <c r="BC752" s="12"/>
      <c r="BD752" s="13"/>
      <c r="BE752" s="12"/>
      <c r="BF752" s="13"/>
      <c r="BG752" s="12"/>
      <c r="BH752" s="13"/>
      <c r="BI752" s="12"/>
      <c r="BJ752" s="13"/>
      <c r="BK752" s="12"/>
      <c r="BL752" s="13"/>
      <c r="BM752" s="12"/>
      <c r="BN752" s="13"/>
      <c r="BO752" s="12"/>
      <c r="BP752" s="13"/>
      <c r="BQ752" s="12"/>
      <c r="BR752" s="13"/>
      <c r="BS752" s="12"/>
      <c r="BT752" s="13"/>
      <c r="BU752" s="12"/>
      <c r="BV752" s="13"/>
      <c r="BW752" s="12"/>
      <c r="BX752" s="13"/>
      <c r="BY752" s="12"/>
      <c r="BZ752" s="13"/>
      <c r="CA752" s="12"/>
      <c r="CB752" s="13"/>
      <c r="CC752" s="12"/>
      <c r="CD752" s="13"/>
      <c r="CE752" s="12"/>
      <c r="CF752" s="13"/>
      <c r="CG752" s="12"/>
      <c r="CH752" s="13"/>
      <c r="CI752" s="12"/>
      <c r="CJ752" s="13"/>
      <c r="CK752" s="12"/>
      <c r="CL752" s="13"/>
      <c r="CM752" s="12"/>
      <c r="CN752" s="13"/>
      <c r="CO752" s="12"/>
      <c r="CP752" s="13"/>
      <c r="CQ752" s="12"/>
      <c r="CR752" s="13"/>
      <c r="CS752" s="12"/>
      <c r="CT752" s="13"/>
      <c r="CU752" s="12"/>
      <c r="CV752" s="13"/>
      <c r="CW752" s="12"/>
      <c r="CX752" s="13"/>
      <c r="CY752" s="12"/>
      <c r="CZ752" s="13"/>
      <c r="DA752" s="12"/>
      <c r="DB752" s="13"/>
      <c r="DC752" s="12"/>
      <c r="DD752" s="13"/>
      <c r="DE752" s="12"/>
      <c r="DF752" s="13"/>
      <c r="DG752" s="12"/>
      <c r="DH752" s="13"/>
      <c r="DI752" s="12"/>
      <c r="DJ752" s="13"/>
      <c r="DK752" s="12"/>
      <c r="DL752" s="13"/>
      <c r="DM752" s="12"/>
      <c r="DN752" s="13"/>
      <c r="DO752" s="12"/>
      <c r="DP752" s="13"/>
      <c r="DQ752" s="12"/>
      <c r="DR752" s="13"/>
      <c r="DS752" s="12"/>
      <c r="DT752" s="13"/>
      <c r="DU752" s="12"/>
      <c r="DV752" s="13"/>
      <c r="DW752" s="12"/>
      <c r="DX752" s="13"/>
      <c r="DY752" s="12"/>
      <c r="DZ752" s="13"/>
      <c r="EA752" s="12"/>
      <c r="EB752" s="13"/>
      <c r="EC752" s="12"/>
      <c r="ED752" s="13"/>
      <c r="EE752" s="12"/>
      <c r="EF752" s="13"/>
      <c r="EG752" s="12"/>
      <c r="EH752" s="13"/>
      <c r="EI752" s="12"/>
      <c r="EJ752" s="13"/>
      <c r="EK752" s="12"/>
      <c r="EL752" s="13"/>
      <c r="EM752" s="12"/>
      <c r="EN752" s="13"/>
      <c r="EO752" s="12"/>
      <c r="EP752" s="13"/>
      <c r="EQ752" s="12"/>
      <c r="ER752" s="13"/>
      <c r="ES752" s="12"/>
      <c r="ET752" s="13"/>
      <c r="EU752" s="12"/>
      <c r="EV752" s="13"/>
      <c r="EW752" s="12"/>
      <c r="EX752" s="13"/>
      <c r="EY752" s="12"/>
      <c r="EZ752" s="558"/>
      <c r="FA752" s="12"/>
      <c r="FB752" s="12"/>
      <c r="FC752" s="12"/>
      <c r="FD752" s="12"/>
      <c r="FE752" s="502"/>
      <c r="FF752" s="12"/>
      <c r="FG752" s="502"/>
      <c r="FH752" s="12"/>
      <c r="FI752" s="502"/>
      <c r="FJ752" s="12"/>
      <c r="FK752" s="502"/>
      <c r="FL752" s="12"/>
      <c r="FM752" s="502"/>
      <c r="FN752" s="12"/>
      <c r="FO752" s="502"/>
      <c r="FP752" s="12"/>
      <c r="FQ752" s="13"/>
      <c r="FR752" s="12"/>
      <c r="FS752" s="13"/>
      <c r="FT752" s="12"/>
      <c r="FU752" s="13"/>
      <c r="FV752" s="12"/>
      <c r="FW752" s="13"/>
      <c r="FX752" s="12"/>
      <c r="FY752" s="13"/>
      <c r="FZ752" s="12"/>
      <c r="GA752" s="13"/>
      <c r="GB752" s="12"/>
      <c r="GC752" s="13"/>
      <c r="GD752" s="12"/>
      <c r="GE752" s="13"/>
      <c r="GF752" s="12"/>
      <c r="GG752" s="13"/>
      <c r="GH752" s="12"/>
      <c r="GI752" s="13"/>
      <c r="GJ752" s="12"/>
      <c r="GK752" s="13"/>
      <c r="GL752" s="12"/>
      <c r="GM752" s="13"/>
      <c r="GN752" s="12"/>
      <c r="GO752" s="13"/>
      <c r="GP752" s="12"/>
      <c r="GQ752" s="13"/>
      <c r="GR752" s="12"/>
      <c r="GS752" s="13"/>
      <c r="GT752" s="12"/>
      <c r="GU752" s="13"/>
      <c r="GV752" s="12"/>
      <c r="GW752" s="13"/>
      <c r="GX752" s="12"/>
      <c r="GY752" s="13"/>
      <c r="GZ752" s="13"/>
      <c r="HA752" s="13"/>
      <c r="HB752" s="452"/>
      <c r="HC752"/>
      <c r="HD752"/>
      <c r="HE752"/>
      <c r="HF752"/>
      <c r="HG752"/>
      <c r="HH752"/>
    </row>
    <row r="753" spans="1:216" s="5" customFormat="1" ht="12.75" hidden="1" customHeight="1" outlineLevel="1" x14ac:dyDescent="0.2">
      <c r="A753" s="8"/>
      <c r="B753" s="7" t="s">
        <v>685</v>
      </c>
      <c r="C753" s="12"/>
      <c r="D753" s="13"/>
      <c r="E753" s="12"/>
      <c r="F753" s="13"/>
      <c r="G753" s="12"/>
      <c r="H753" s="13"/>
      <c r="I753" s="12"/>
      <c r="J753" s="13"/>
      <c r="K753" s="12"/>
      <c r="L753" s="13"/>
      <c r="M753" s="12"/>
      <c r="N753" s="13"/>
      <c r="O753" s="12"/>
      <c r="P753" s="13"/>
      <c r="Q753" s="12"/>
      <c r="R753" s="13"/>
      <c r="S753" s="12"/>
      <c r="T753" s="13"/>
      <c r="U753" s="12"/>
      <c r="V753" s="13"/>
      <c r="W753" s="12"/>
      <c r="X753" s="13"/>
      <c r="Y753" s="12"/>
      <c r="Z753" s="13"/>
      <c r="AA753" s="12"/>
      <c r="AB753" s="13"/>
      <c r="AC753" s="12"/>
      <c r="AD753" s="13"/>
      <c r="AE753" s="12"/>
      <c r="AF753" s="13"/>
      <c r="AG753" s="12"/>
      <c r="AH753" s="13"/>
      <c r="AI753" s="12"/>
      <c r="AJ753" s="13"/>
      <c r="AK753" s="12"/>
      <c r="AL753" s="13"/>
      <c r="AM753" s="12"/>
      <c r="AN753" s="13"/>
      <c r="AO753" s="12"/>
      <c r="AP753" s="13"/>
      <c r="AQ753" s="12">
        <f>AQ497</f>
        <v>1305.4699999999998</v>
      </c>
      <c r="AR753" s="13"/>
      <c r="AS753" s="12">
        <f>AS497</f>
        <v>1383.2</v>
      </c>
      <c r="AT753" s="13"/>
      <c r="AU753" s="12">
        <f>AU497</f>
        <v>1390.8000000000002</v>
      </c>
      <c r="AV753" s="13"/>
      <c r="AW753" s="12">
        <f>AW497</f>
        <v>1395.5</v>
      </c>
      <c r="AX753" s="13"/>
      <c r="AY753" s="12">
        <f>AY497</f>
        <v>1422.5</v>
      </c>
      <c r="AZ753" s="13"/>
      <c r="BA753" s="12">
        <f>BA497</f>
        <v>2087.6999999999998</v>
      </c>
      <c r="BB753" s="13"/>
      <c r="BC753" s="12">
        <f>BC497</f>
        <v>2105.4000000000005</v>
      </c>
      <c r="BD753" s="13"/>
      <c r="BE753" s="12">
        <f>BE497</f>
        <v>2229.1</v>
      </c>
      <c r="BF753" s="13"/>
      <c r="BG753" s="12">
        <f>BG497</f>
        <v>2277.6</v>
      </c>
      <c r="BH753" s="13"/>
      <c r="BI753" s="12">
        <f>BI497</f>
        <v>2347.8000000000002</v>
      </c>
      <c r="BJ753" s="13"/>
      <c r="BK753" s="12">
        <f>BK497</f>
        <v>2426.5</v>
      </c>
      <c r="BL753" s="13"/>
      <c r="BM753" s="12">
        <f>BM497</f>
        <v>2492.2999999999997</v>
      </c>
      <c r="BN753" s="13"/>
      <c r="BO753" s="12">
        <f>BO497</f>
        <v>2430.6999999999998</v>
      </c>
      <c r="BP753" s="13"/>
      <c r="BQ753" s="12">
        <f>BQ497</f>
        <v>2479</v>
      </c>
      <c r="BR753" s="13"/>
      <c r="BS753" s="12">
        <f>BS497</f>
        <v>2529</v>
      </c>
      <c r="BT753" s="13"/>
      <c r="BU753" s="12">
        <f>BU497</f>
        <v>2358.6999999999998</v>
      </c>
      <c r="BV753" s="13"/>
      <c r="BW753" s="12">
        <f>BW497</f>
        <v>2343.1999999999998</v>
      </c>
      <c r="BX753" s="13"/>
      <c r="BY753" s="12">
        <f>BY497</f>
        <v>2336.5</v>
      </c>
      <c r="BZ753" s="13"/>
      <c r="CA753" s="12">
        <f>CA497</f>
        <v>2462.1099999999997</v>
      </c>
      <c r="CB753" s="13"/>
      <c r="CC753" s="12">
        <f>CC497</f>
        <v>2558.5</v>
      </c>
      <c r="CD753" s="13"/>
      <c r="CE753" s="12">
        <f>CE497</f>
        <v>2567.5</v>
      </c>
      <c r="CF753" s="13"/>
      <c r="CG753" s="12">
        <f>CG497</f>
        <v>2616.6000000000004</v>
      </c>
      <c r="CH753" s="13"/>
      <c r="CI753" s="12">
        <f>CI497</f>
        <v>2585.8999999999996</v>
      </c>
      <c r="CJ753" s="13"/>
      <c r="CK753" s="12">
        <f>CK497</f>
        <v>2780.5</v>
      </c>
      <c r="CL753" s="13"/>
      <c r="CM753" s="12">
        <f>CM497</f>
        <v>2738.1</v>
      </c>
      <c r="CN753" s="13"/>
      <c r="CO753" s="12">
        <f>CO497</f>
        <v>2838.1</v>
      </c>
      <c r="CP753" s="13"/>
      <c r="CQ753" s="12">
        <f>CQ497</f>
        <v>2736.5</v>
      </c>
      <c r="CR753" s="13"/>
      <c r="CS753" s="12">
        <f>CS497</f>
        <v>2715</v>
      </c>
      <c r="CT753" s="13"/>
      <c r="CU753" s="12">
        <f>CU497</f>
        <v>2820</v>
      </c>
      <c r="CV753" s="13"/>
      <c r="CW753" s="12">
        <f>CW497</f>
        <v>2880</v>
      </c>
      <c r="CX753" s="13"/>
      <c r="CY753" s="12">
        <f>CY497</f>
        <v>2914</v>
      </c>
      <c r="CZ753" s="13"/>
      <c r="DA753" s="12">
        <f>DA497</f>
        <v>2956</v>
      </c>
      <c r="DB753" s="13"/>
      <c r="DC753" s="12">
        <f>DC497</f>
        <v>2930</v>
      </c>
      <c r="DD753" s="13"/>
      <c r="DE753" s="12">
        <f>DE497</f>
        <v>3049</v>
      </c>
      <c r="DF753" s="13"/>
      <c r="DG753" s="12">
        <f>DG497</f>
        <v>3073</v>
      </c>
      <c r="DH753" s="13"/>
      <c r="DI753" s="12">
        <f>DI497</f>
        <v>3187</v>
      </c>
      <c r="DJ753" s="13"/>
      <c r="DK753" s="12">
        <f>DK497</f>
        <v>3233</v>
      </c>
      <c r="DL753" s="13"/>
      <c r="DM753" s="12">
        <f>DM497</f>
        <v>3286</v>
      </c>
      <c r="DN753" s="13"/>
      <c r="DO753" s="12">
        <f>DO497</f>
        <v>3363</v>
      </c>
      <c r="DP753" s="13"/>
      <c r="DQ753" s="12">
        <f>DQ497</f>
        <v>3834</v>
      </c>
      <c r="DR753" s="13"/>
      <c r="DS753" s="12">
        <f>DS497</f>
        <v>3394</v>
      </c>
      <c r="DT753" s="13"/>
      <c r="DU753" s="12">
        <f>DU497</f>
        <v>3417</v>
      </c>
      <c r="DV753" s="13"/>
      <c r="DW753" s="12">
        <f>DW497</f>
        <v>3735</v>
      </c>
      <c r="DX753" s="13"/>
      <c r="DY753" s="12">
        <f>DY497</f>
        <v>3354</v>
      </c>
      <c r="DZ753" s="13"/>
      <c r="EA753" s="12">
        <f>EA497</f>
        <v>3400</v>
      </c>
      <c r="EB753" s="13"/>
      <c r="EC753" s="12">
        <f>EC497</f>
        <v>3395</v>
      </c>
      <c r="ED753" s="13"/>
      <c r="EE753" s="12">
        <f>EE497</f>
        <v>3530</v>
      </c>
      <c r="EF753" s="13"/>
      <c r="EG753" s="12">
        <f>EG497</f>
        <v>3519</v>
      </c>
      <c r="EH753" s="13"/>
      <c r="EI753" s="12">
        <f>EI497</f>
        <v>3578</v>
      </c>
      <c r="EJ753" s="13"/>
      <c r="EK753" s="12">
        <f t="shared" ref="EK753:EM753" si="4416">EK497</f>
        <v>3629</v>
      </c>
      <c r="EL753" s="13"/>
      <c r="EM753" s="12">
        <f t="shared" si="4416"/>
        <v>3607</v>
      </c>
      <c r="EN753" s="13"/>
      <c r="EO753" s="12">
        <f t="shared" ref="EO753" si="4417">EO497</f>
        <v>3775</v>
      </c>
      <c r="EP753" s="13"/>
      <c r="EQ753" s="12">
        <f t="shared" ref="EQ753:EW753" si="4418">EQ497</f>
        <v>3722.7312432082599</v>
      </c>
      <c r="ER753" s="13"/>
      <c r="ES753" s="12">
        <f t="shared" si="4418"/>
        <v>3741.3191374735352</v>
      </c>
      <c r="ET753" s="13"/>
      <c r="EU753" s="12">
        <f t="shared" si="4418"/>
        <v>4206.5005989007659</v>
      </c>
      <c r="EV753" s="13"/>
      <c r="EW753" s="12">
        <f t="shared" si="4418"/>
        <v>4257.4387824627147</v>
      </c>
      <c r="EX753" s="13"/>
      <c r="EY753" s="12"/>
      <c r="EZ753" s="558"/>
      <c r="FA753" s="12"/>
      <c r="FB753" s="12"/>
      <c r="FC753" s="12"/>
      <c r="FD753" s="12"/>
      <c r="FE753" s="502"/>
      <c r="FF753" s="12"/>
      <c r="FG753" s="502"/>
      <c r="FH753" s="12"/>
      <c r="FI753" s="502"/>
      <c r="FJ753" s="12"/>
      <c r="FK753" s="502"/>
      <c r="FL753" s="12"/>
      <c r="FM753" s="502"/>
      <c r="FN753" s="12"/>
      <c r="FO753" s="502"/>
      <c r="FP753" s="12">
        <f>FP497</f>
        <v>5732.6119999999992</v>
      </c>
      <c r="FQ753" s="13"/>
      <c r="FR753" s="12">
        <f>FR497</f>
        <v>7633.1</v>
      </c>
      <c r="FS753" s="13"/>
      <c r="FT753" s="12">
        <f>FT497</f>
        <v>9544.2000000000007</v>
      </c>
      <c r="FU753" s="13"/>
      <c r="FV753" s="12">
        <f>FV497</f>
        <v>9797.4</v>
      </c>
      <c r="FW753" s="13"/>
      <c r="FX753" s="12">
        <f>FX497</f>
        <v>9700.3100000000013</v>
      </c>
      <c r="FY753" s="13"/>
      <c r="FZ753" s="12">
        <f>FZ497</f>
        <v>10550.5</v>
      </c>
      <c r="GA753" s="13"/>
      <c r="GB753" s="12">
        <f>GB497</f>
        <v>11027.699999999997</v>
      </c>
      <c r="GC753" s="13"/>
      <c r="GD753" s="12">
        <f>GD497</f>
        <v>11570</v>
      </c>
      <c r="GE753" s="13"/>
      <c r="GF753" s="12">
        <f>GF497</f>
        <v>12239</v>
      </c>
      <c r="GG753" s="13"/>
      <c r="GH753" s="12">
        <f>GH497</f>
        <v>13716</v>
      </c>
      <c r="GI753" s="13"/>
      <c r="GJ753" s="12">
        <f>GJ497</f>
        <v>13900</v>
      </c>
      <c r="GK753" s="13"/>
      <c r="GL753" s="12">
        <f>GL497</f>
        <v>13844</v>
      </c>
      <c r="GM753" s="13"/>
      <c r="GN753" s="12">
        <f>GN497</f>
        <v>14589</v>
      </c>
      <c r="GO753" s="13"/>
      <c r="GP753" s="12">
        <f>GP497</f>
        <v>15927.989762045276</v>
      </c>
      <c r="GQ753" s="13"/>
      <c r="GR753" s="12">
        <f>GR497</f>
        <v>17339.622477644043</v>
      </c>
      <c r="GS753" s="13"/>
      <c r="GT753" s="12">
        <f>GT497</f>
        <v>17873.822249244371</v>
      </c>
      <c r="GU753" s="13"/>
      <c r="GV753" s="12">
        <f>GV497</f>
        <v>18479.385414219214</v>
      </c>
      <c r="GW753" s="13"/>
      <c r="GX753" s="12">
        <f>GX497</f>
        <v>19142.858162986493</v>
      </c>
      <c r="GY753" s="13"/>
      <c r="GZ753" s="13"/>
      <c r="HA753" s="13"/>
      <c r="HB753" s="452"/>
      <c r="HC753"/>
      <c r="HD753"/>
      <c r="HE753"/>
      <c r="HF753"/>
      <c r="HG753"/>
      <c r="HH753"/>
    </row>
    <row r="754" spans="1:216" s="5" customFormat="1" ht="12.75" hidden="1" customHeight="1" outlineLevel="1" x14ac:dyDescent="0.2">
      <c r="A754" s="8"/>
      <c r="B754" s="7" t="s">
        <v>686</v>
      </c>
      <c r="C754" s="12"/>
      <c r="D754" s="13"/>
      <c r="E754" s="12"/>
      <c r="F754" s="13"/>
      <c r="G754" s="12"/>
      <c r="H754" s="13"/>
      <c r="I754" s="12"/>
      <c r="J754" s="13"/>
      <c r="K754" s="12"/>
      <c r="L754" s="13"/>
      <c r="M754" s="12"/>
      <c r="N754" s="13"/>
      <c r="O754" s="12"/>
      <c r="P754" s="13"/>
      <c r="Q754" s="12"/>
      <c r="R754" s="13"/>
      <c r="S754" s="12"/>
      <c r="T754" s="13"/>
      <c r="U754" s="12"/>
      <c r="V754" s="13"/>
      <c r="W754" s="12"/>
      <c r="X754" s="13"/>
      <c r="Y754" s="12"/>
      <c r="Z754" s="13"/>
      <c r="AA754" s="12"/>
      <c r="AB754" s="13"/>
      <c r="AC754" s="12"/>
      <c r="AD754" s="13"/>
      <c r="AE754" s="12"/>
      <c r="AF754" s="13"/>
      <c r="AG754" s="12"/>
      <c r="AH754" s="13"/>
      <c r="AI754" s="12"/>
      <c r="AJ754" s="13"/>
      <c r="AK754" s="12"/>
      <c r="AL754" s="13"/>
      <c r="AM754" s="12"/>
      <c r="AN754" s="13"/>
      <c r="AO754" s="12"/>
      <c r="AP754" s="13"/>
      <c r="AQ754" s="12">
        <f>AQ753-AQ750</f>
        <v>957.56999999999971</v>
      </c>
      <c r="AR754" s="13"/>
      <c r="AS754" s="12">
        <f>AS753-AS750</f>
        <v>1036.3</v>
      </c>
      <c r="AT754" s="13"/>
      <c r="AU754" s="12">
        <f>AU753-AU750</f>
        <v>1041.5000000000002</v>
      </c>
      <c r="AV754" s="13"/>
      <c r="AW754" s="12">
        <f>AW753-AW750</f>
        <v>1046.5</v>
      </c>
      <c r="AX754" s="13"/>
      <c r="AY754" s="12">
        <f>AY753-AY750</f>
        <v>1075.2</v>
      </c>
      <c r="AZ754" s="13"/>
      <c r="BA754" s="12">
        <f>BA753-BA750</f>
        <v>1534.7999999999997</v>
      </c>
      <c r="BB754" s="13"/>
      <c r="BC754" s="12">
        <f>BC753-BC750</f>
        <v>1507.1000000000006</v>
      </c>
      <c r="BD754" s="13"/>
      <c r="BE754" s="12">
        <f>BE753-BE750</f>
        <v>1619.6999999999998</v>
      </c>
      <c r="BF754" s="13"/>
      <c r="BG754" s="12">
        <f>BG753-BG750</f>
        <v>1722.3</v>
      </c>
      <c r="BH754" s="13"/>
      <c r="BI754" s="12">
        <f>BI753-BI750</f>
        <v>1786</v>
      </c>
      <c r="BJ754" s="13"/>
      <c r="BK754" s="12">
        <f>BK753-BK750</f>
        <v>1863.7</v>
      </c>
      <c r="BL754" s="13"/>
      <c r="BM754" s="12">
        <f>BM753-BM750</f>
        <v>1921.3999999999996</v>
      </c>
      <c r="BN754" s="13"/>
      <c r="BO754" s="12">
        <f>BO753-BO750</f>
        <v>1865.1</v>
      </c>
      <c r="BP754" s="13"/>
      <c r="BQ754" s="12">
        <f>BQ753-BQ750</f>
        <v>1908.4</v>
      </c>
      <c r="BR754" s="13"/>
      <c r="BS754" s="12">
        <f>BS753-BS750</f>
        <v>1947.5</v>
      </c>
      <c r="BT754" s="13"/>
      <c r="BU754" s="12">
        <f>BU753-BU750</f>
        <v>1741.8999999999999</v>
      </c>
      <c r="BV754" s="13"/>
      <c r="BW754" s="12">
        <f>BW753-BW750</f>
        <v>1765.2999999999997</v>
      </c>
      <c r="BX754" s="13"/>
      <c r="BY754" s="12">
        <f>BY753-BY750</f>
        <v>1763.3</v>
      </c>
      <c r="BZ754" s="13"/>
      <c r="CA754" s="12">
        <f>CA753-CA750</f>
        <v>1882.4099999999999</v>
      </c>
      <c r="CB754" s="13"/>
      <c r="CC754" s="12">
        <f>CC753-CC750</f>
        <v>1977.2</v>
      </c>
      <c r="CD754" s="13"/>
      <c r="CE754" s="12">
        <f>CE753-CE750</f>
        <v>1984</v>
      </c>
      <c r="CF754" s="13"/>
      <c r="CG754" s="12">
        <f>CG753-CG750</f>
        <v>2030.9000000000003</v>
      </c>
      <c r="CH754" s="13"/>
      <c r="CI754" s="12">
        <f>CI753-CI750</f>
        <v>1992.6999999999996</v>
      </c>
      <c r="CJ754" s="13"/>
      <c r="CK754" s="12">
        <f>CK753-CK750</f>
        <v>2179.3000000000002</v>
      </c>
      <c r="CL754" s="13"/>
      <c r="CM754" s="12">
        <f>CM753-CM750</f>
        <v>2153.6999999999998</v>
      </c>
      <c r="CN754" s="13"/>
      <c r="CO754" s="12">
        <f>CO753-CO750</f>
        <v>2244</v>
      </c>
      <c r="CP754" s="13"/>
      <c r="CQ754" s="12">
        <f>CQ753-CQ750</f>
        <v>2137.9</v>
      </c>
      <c r="CR754" s="13"/>
      <c r="CS754" s="12">
        <f>CS753-CS750</f>
        <v>2116</v>
      </c>
      <c r="CT754" s="13"/>
      <c r="CU754" s="12">
        <f>CU753-CU750</f>
        <v>2226</v>
      </c>
      <c r="CV754" s="13"/>
      <c r="CW754" s="12">
        <f>CW753-CW750</f>
        <v>2293</v>
      </c>
      <c r="CX754" s="13"/>
      <c r="CY754" s="12">
        <f>CY753-CY750</f>
        <v>2334</v>
      </c>
      <c r="CZ754" s="13"/>
      <c r="DA754" s="12">
        <f>DA753-DA750</f>
        <v>2372</v>
      </c>
      <c r="DB754" s="13"/>
      <c r="DC754" s="12">
        <f>DC753-DC750</f>
        <v>2340</v>
      </c>
      <c r="DD754" s="13"/>
      <c r="DE754" s="12">
        <f>DE753-DE750</f>
        <v>2450</v>
      </c>
      <c r="DF754" s="13"/>
      <c r="DG754" s="12">
        <f>DG753-DG750</f>
        <v>2473</v>
      </c>
      <c r="DH754" s="13"/>
      <c r="DI754" s="12">
        <f>DI753-DI750</f>
        <v>2576</v>
      </c>
      <c r="DJ754" s="13"/>
      <c r="DK754" s="12">
        <f>DK753-DK750</f>
        <v>2627</v>
      </c>
      <c r="DL754" s="13"/>
      <c r="DM754" s="12">
        <f>DM753-DM750</f>
        <v>2677</v>
      </c>
      <c r="DN754" s="13"/>
      <c r="DO754" s="12">
        <f>DO753-DO750</f>
        <v>2756</v>
      </c>
      <c r="DP754" s="13"/>
      <c r="DQ754" s="12">
        <f>DQ753-DQ750</f>
        <v>3224</v>
      </c>
      <c r="DR754" s="13"/>
      <c r="DS754" s="12">
        <f>DS753-DS750</f>
        <v>2790</v>
      </c>
      <c r="DT754" s="13"/>
      <c r="DU754" s="12">
        <f>DU753-DU750</f>
        <v>2810</v>
      </c>
      <c r="DV754" s="13"/>
      <c r="DW754" s="12">
        <f>DW753-DW750</f>
        <v>3133</v>
      </c>
      <c r="DX754" s="13"/>
      <c r="DY754" s="12">
        <f>DY753-DY750</f>
        <v>2741</v>
      </c>
      <c r="DZ754" s="13"/>
      <c r="EA754" s="12">
        <f>EA753-EA750</f>
        <v>2787</v>
      </c>
      <c r="EB754" s="13"/>
      <c r="EC754" s="12">
        <f>EC753-EC750</f>
        <v>2775</v>
      </c>
      <c r="ED754" s="13"/>
      <c r="EE754" s="12">
        <f>EE753-EE750</f>
        <v>2905</v>
      </c>
      <c r="EF754" s="13"/>
      <c r="EG754" s="12">
        <f>EG753-EG750</f>
        <v>2888</v>
      </c>
      <c r="EH754" s="13"/>
      <c r="EI754" s="12">
        <f>EI753-EI750</f>
        <v>2950</v>
      </c>
      <c r="EJ754" s="13"/>
      <c r="EK754" s="12">
        <f t="shared" ref="EK754:EM754" si="4419">EK753-EK750</f>
        <v>3001</v>
      </c>
      <c r="EL754" s="13"/>
      <c r="EM754" s="12">
        <f t="shared" si="4419"/>
        <v>2976</v>
      </c>
      <c r="EN754" s="13"/>
      <c r="EO754" s="12">
        <f t="shared" ref="EO754" si="4420">EO753-EO750</f>
        <v>3140</v>
      </c>
      <c r="EP754" s="13"/>
      <c r="EQ754" s="12">
        <f t="shared" ref="EQ754:EW754" si="4421">EQ753-EQ750</f>
        <v>3081.1427024248055</v>
      </c>
      <c r="ER754" s="13"/>
      <c r="ES754" s="12">
        <f t="shared" si="4421"/>
        <v>3093.9438148967974</v>
      </c>
      <c r="ET754" s="13"/>
      <c r="EU754" s="12">
        <f t="shared" si="4421"/>
        <v>3551.2926884552116</v>
      </c>
      <c r="EV754" s="13"/>
      <c r="EW754" s="12">
        <f t="shared" si="4421"/>
        <v>3594.4546639425462</v>
      </c>
      <c r="EX754" s="13"/>
      <c r="EY754" s="56"/>
      <c r="EZ754" s="558"/>
      <c r="FA754" s="56"/>
      <c r="FB754" s="12"/>
      <c r="FC754" s="13"/>
      <c r="FD754" s="12"/>
      <c r="FE754" s="13"/>
      <c r="FF754" s="19"/>
      <c r="FG754" s="13"/>
      <c r="FH754" s="19"/>
      <c r="FI754" s="13"/>
      <c r="FJ754" s="19"/>
      <c r="FK754" s="13"/>
      <c r="FL754" s="57"/>
      <c r="FM754" s="13"/>
      <c r="FN754" s="57"/>
      <c r="FO754" s="13"/>
      <c r="FP754" s="12">
        <f>FP753-FP750</f>
        <v>4339.5119999999988</v>
      </c>
      <c r="FQ754" s="13"/>
      <c r="FR754" s="12">
        <f>FR753-FR750</f>
        <v>5525.2000000000007</v>
      </c>
      <c r="FS754" s="13"/>
      <c r="FT754" s="12">
        <f>FT753-FT750</f>
        <v>7293.4000000000005</v>
      </c>
      <c r="FU754" s="13"/>
      <c r="FV754" s="12">
        <f>FV753-FV750</f>
        <v>7462.9</v>
      </c>
      <c r="FW754" s="13"/>
      <c r="FX754" s="12">
        <f>FX753-FX750</f>
        <v>7388.2100000000009</v>
      </c>
      <c r="FY754" s="13"/>
      <c r="FZ754" s="12">
        <f>FZ753-FZ750</f>
        <v>8186.9</v>
      </c>
      <c r="GA754" s="13"/>
      <c r="GB754" s="12">
        <f>GB753-GB750</f>
        <v>8651.5999999999967</v>
      </c>
      <c r="GC754" s="13"/>
      <c r="GD754" s="12">
        <f>GD753-GD750</f>
        <v>9225</v>
      </c>
      <c r="GE754" s="13"/>
      <c r="GF754" s="12">
        <f>GF753-GF750</f>
        <v>9839</v>
      </c>
      <c r="GG754" s="13"/>
      <c r="GH754" s="12">
        <f>GH753-GH750</f>
        <v>11284</v>
      </c>
      <c r="GI754" s="13"/>
      <c r="GJ754" s="12">
        <f>GJ753-GJ750</f>
        <v>11474</v>
      </c>
      <c r="GK754" s="13"/>
      <c r="GL754" s="12">
        <f>GL753-GL750</f>
        <v>11355</v>
      </c>
      <c r="GM754" s="13"/>
      <c r="GN754" s="12">
        <f>GN753-GN750</f>
        <v>12067</v>
      </c>
      <c r="GO754" s="13"/>
      <c r="GP754" s="12">
        <f>GP753-GP750</f>
        <v>13320.833869719361</v>
      </c>
      <c r="GQ754" s="13"/>
      <c r="GR754" s="12">
        <f>GR753-GR750</f>
        <v>14628.503821528806</v>
      </c>
      <c r="GS754" s="13"/>
      <c r="GT754" s="12">
        <f>GT753-GT750</f>
        <v>15054.96757128667</v>
      </c>
      <c r="GU754" s="13"/>
      <c r="GV754" s="12">
        <f>GV753-GV750</f>
        <v>15557.800352829081</v>
      </c>
      <c r="GW754" s="13"/>
      <c r="GX754" s="12">
        <f>GX753-GX750</f>
        <v>16115.792591067917</v>
      </c>
      <c r="GY754" s="13"/>
      <c r="GZ754" s="13"/>
      <c r="HA754" s="13"/>
      <c r="HB754" s="452"/>
      <c r="HC754"/>
      <c r="HD754"/>
      <c r="HE754"/>
      <c r="HF754"/>
      <c r="HG754"/>
      <c r="HH754"/>
    </row>
    <row r="755" spans="1:216" ht="12.75" customHeight="1" collapsed="1" x14ac:dyDescent="0.2"/>
    <row r="756" spans="1:216" s="623" customFormat="1" ht="12.75" customHeight="1" x14ac:dyDescent="0.2">
      <c r="B756" s="624" t="s">
        <v>272</v>
      </c>
      <c r="C756" s="625"/>
      <c r="D756" s="626"/>
      <c r="E756" s="625"/>
      <c r="F756" s="625"/>
      <c r="G756" s="625"/>
      <c r="H756" s="625"/>
      <c r="I756" s="625"/>
      <c r="J756" s="625"/>
      <c r="K756" s="625"/>
      <c r="L756" s="627"/>
      <c r="M756" s="625"/>
      <c r="N756" s="627"/>
      <c r="O756" s="625"/>
      <c r="P756" s="627"/>
      <c r="Q756" s="625"/>
      <c r="R756" s="627"/>
      <c r="S756" s="625"/>
      <c r="T756" s="627"/>
      <c r="U756" s="625"/>
      <c r="V756" s="627"/>
      <c r="W756" s="625"/>
      <c r="X756" s="627"/>
      <c r="Y756" s="625"/>
      <c r="Z756" s="627"/>
      <c r="AA756" s="625"/>
      <c r="AB756" s="627"/>
      <c r="AC756" s="625"/>
      <c r="AD756" s="627"/>
      <c r="AE756" s="625"/>
      <c r="AF756" s="627"/>
      <c r="AG756" s="625"/>
      <c r="AH756" s="627"/>
      <c r="AI756" s="625"/>
      <c r="AJ756" s="627"/>
      <c r="AK756" s="625"/>
      <c r="AL756" s="627"/>
      <c r="AM756" s="625"/>
      <c r="AN756" s="627"/>
      <c r="AO756" s="625"/>
      <c r="AP756" s="627"/>
      <c r="AQ756" s="625"/>
      <c r="AR756" s="627"/>
      <c r="AS756" s="625"/>
      <c r="AT756" s="627"/>
      <c r="AU756" s="625"/>
      <c r="AV756" s="627"/>
      <c r="AW756" s="625"/>
      <c r="AX756" s="627"/>
      <c r="AY756" s="625"/>
      <c r="AZ756" s="627"/>
      <c r="BA756" s="625"/>
      <c r="BB756" s="627"/>
      <c r="BC756" s="625"/>
      <c r="BD756" s="627"/>
      <c r="BE756" s="625"/>
      <c r="BF756" s="627"/>
      <c r="BG756" s="625"/>
      <c r="BH756" s="627"/>
      <c r="BI756" s="625"/>
      <c r="BJ756" s="627"/>
      <c r="BK756" s="625"/>
      <c r="BL756" s="627"/>
      <c r="BM756" s="625"/>
      <c r="BN756" s="627"/>
      <c r="BO756" s="625"/>
      <c r="BP756" s="627"/>
      <c r="BQ756" s="625"/>
      <c r="BR756" s="627"/>
      <c r="BS756" s="625"/>
      <c r="BT756" s="627"/>
      <c r="BU756" s="625"/>
      <c r="BV756" s="627"/>
      <c r="BW756" s="625"/>
      <c r="BX756" s="627"/>
      <c r="BY756" s="625"/>
      <c r="BZ756" s="627"/>
      <c r="CA756" s="625"/>
      <c r="CB756" s="627"/>
      <c r="CC756" s="625"/>
      <c r="CD756" s="627"/>
      <c r="CE756" s="625"/>
      <c r="CF756" s="627"/>
      <c r="CG756" s="625"/>
      <c r="CH756" s="627"/>
      <c r="CI756" s="625"/>
      <c r="CJ756" s="627"/>
      <c r="CK756" s="625"/>
      <c r="CL756" s="627"/>
      <c r="CM756" s="625"/>
      <c r="CN756" s="627"/>
      <c r="CO756" s="625"/>
      <c r="CP756" s="627"/>
      <c r="CQ756" s="625"/>
      <c r="CR756" s="627"/>
      <c r="CS756" s="625"/>
      <c r="CT756" s="627"/>
      <c r="CU756" s="625"/>
      <c r="CV756" s="627"/>
      <c r="CW756" s="625"/>
      <c r="CX756" s="627"/>
      <c r="CY756" s="625"/>
      <c r="CZ756" s="627"/>
      <c r="DA756" s="625"/>
      <c r="DB756" s="627"/>
      <c r="DC756" s="625"/>
      <c r="DD756" s="627"/>
      <c r="DE756" s="625"/>
      <c r="DF756" s="627"/>
      <c r="DG756" s="625"/>
      <c r="DH756" s="627"/>
      <c r="DI756" s="625"/>
      <c r="DJ756" s="627"/>
      <c r="DK756" s="625"/>
      <c r="DL756" s="627"/>
      <c r="DM756" s="625"/>
      <c r="DN756" s="627"/>
      <c r="DO756" s="625"/>
      <c r="DP756" s="627"/>
      <c r="DQ756" s="625"/>
      <c r="DR756" s="627"/>
      <c r="DS756" s="625"/>
      <c r="DT756" s="627"/>
      <c r="DU756" s="625"/>
      <c r="DV756" s="627"/>
      <c r="DW756" s="625"/>
      <c r="DX756" s="627"/>
      <c r="DY756" s="625"/>
      <c r="DZ756" s="627"/>
      <c r="EA756" s="625"/>
      <c r="EB756" s="627"/>
      <c r="EC756" s="625"/>
      <c r="ED756" s="627"/>
      <c r="EE756" s="625"/>
      <c r="EF756" s="627"/>
      <c r="EG756" s="625"/>
      <c r="EH756" s="627"/>
      <c r="EI756" s="625"/>
      <c r="EJ756" s="627"/>
      <c r="EK756" s="625"/>
      <c r="EL756" s="627"/>
      <c r="EM756" s="625"/>
      <c r="EN756" s="627"/>
      <c r="EO756" s="625"/>
      <c r="EP756" s="627"/>
      <c r="EQ756" s="625"/>
      <c r="ER756" s="627"/>
      <c r="ES756" s="625"/>
      <c r="ET756" s="627"/>
      <c r="EU756" s="625"/>
      <c r="EV756" s="627"/>
      <c r="EW756" s="625"/>
      <c r="EX756" s="627"/>
      <c r="EY756" s="628"/>
      <c r="EZ756" s="558"/>
      <c r="FA756" s="628"/>
      <c r="FB756" s="625"/>
      <c r="FC756" s="625"/>
      <c r="FD756" s="625"/>
      <c r="FE756" s="626"/>
      <c r="FF756" s="625"/>
      <c r="FG756" s="626"/>
      <c r="FH756" s="625"/>
      <c r="FI756" s="626"/>
      <c r="FJ756" s="625"/>
      <c r="FK756" s="626"/>
      <c r="FL756" s="625"/>
      <c r="FM756" s="627"/>
      <c r="FN756" s="625"/>
      <c r="FO756" s="627"/>
      <c r="FP756" s="625"/>
      <c r="FQ756" s="627"/>
      <c r="FR756" s="625"/>
      <c r="FS756" s="627"/>
      <c r="FT756" s="625"/>
      <c r="FU756" s="627"/>
      <c r="FV756" s="625"/>
      <c r="FW756" s="627"/>
      <c r="FX756" s="625"/>
      <c r="FY756" s="627"/>
      <c r="FZ756" s="625"/>
      <c r="GA756" s="627"/>
      <c r="GB756" s="625"/>
      <c r="GC756" s="627"/>
      <c r="GD756" s="625"/>
      <c r="GE756" s="627"/>
      <c r="GF756" s="625"/>
      <c r="GG756" s="627"/>
      <c r="GH756" s="625"/>
      <c r="GI756" s="627"/>
      <c r="GJ756" s="625"/>
      <c r="GK756" s="627"/>
      <c r="GL756" s="625"/>
      <c r="GM756" s="627"/>
      <c r="GN756" s="625"/>
      <c r="GO756" s="627"/>
      <c r="GP756" s="625"/>
      <c r="GQ756" s="627"/>
      <c r="GR756" s="625"/>
      <c r="GS756" s="627"/>
      <c r="GT756" s="625"/>
      <c r="GU756" s="627"/>
      <c r="GV756" s="625"/>
      <c r="GW756" s="627"/>
      <c r="GX756" s="625"/>
      <c r="GY756" s="627"/>
      <c r="GZ756" s="627"/>
      <c r="HA756" s="627"/>
      <c r="HB756" s="629"/>
      <c r="HC756"/>
      <c r="HD756"/>
      <c r="HE756"/>
      <c r="HF756"/>
      <c r="HG756"/>
      <c r="HH756"/>
    </row>
    <row r="757" spans="1:216" s="24" customFormat="1" ht="12.75" hidden="1" customHeight="1" outlineLevel="1" x14ac:dyDescent="0.2">
      <c r="A757" s="25"/>
      <c r="B757" s="25"/>
      <c r="C757" s="26"/>
      <c r="D757" s="26"/>
      <c r="E757" s="27"/>
      <c r="F757" s="27"/>
      <c r="G757" s="27"/>
      <c r="H757" s="27"/>
      <c r="I757" s="27"/>
      <c r="J757" s="27"/>
      <c r="K757" s="27"/>
      <c r="L757" s="498"/>
      <c r="M757" s="27"/>
      <c r="N757" s="26"/>
      <c r="O757" s="27"/>
      <c r="P757" s="26"/>
      <c r="Q757" s="27"/>
      <c r="R757" s="26"/>
      <c r="S757" s="27"/>
      <c r="T757" s="26"/>
      <c r="U757" s="27"/>
      <c r="V757" s="26"/>
      <c r="W757" s="27"/>
      <c r="X757" s="26"/>
      <c r="Y757" s="27"/>
      <c r="Z757" s="26"/>
      <c r="AA757" s="28"/>
      <c r="AB757" s="26"/>
      <c r="AC757" s="27"/>
      <c r="AD757" s="26"/>
      <c r="AE757" s="28"/>
      <c r="AF757" s="26"/>
      <c r="AG757" s="28"/>
      <c r="AH757" s="26"/>
      <c r="AI757" s="28"/>
      <c r="AJ757" s="26"/>
      <c r="AK757" s="28"/>
      <c r="AL757" s="26"/>
      <c r="AM757" s="28"/>
      <c r="AN757" s="26"/>
      <c r="AO757" s="28"/>
      <c r="AP757" s="26"/>
      <c r="AQ757" s="28"/>
      <c r="AR757" s="26"/>
      <c r="AS757" s="28"/>
      <c r="AT757" s="26"/>
      <c r="AU757" s="28"/>
      <c r="AV757" s="26"/>
      <c r="AW757" s="28"/>
      <c r="AX757" s="26"/>
      <c r="AY757" s="28"/>
      <c r="AZ757" s="26"/>
      <c r="BA757" s="28"/>
      <c r="BB757" s="26"/>
      <c r="BC757" s="28"/>
      <c r="BD757" s="26"/>
      <c r="BE757" s="28"/>
      <c r="BF757" s="26"/>
      <c r="BG757" s="28"/>
      <c r="BH757" s="26"/>
      <c r="BI757" s="28"/>
      <c r="BJ757" s="26"/>
      <c r="BK757" s="27"/>
      <c r="BL757" s="26"/>
      <c r="BM757" s="27"/>
      <c r="BN757" s="26"/>
      <c r="BO757" s="27"/>
      <c r="BP757" s="26"/>
      <c r="BQ757" s="27"/>
      <c r="BR757" s="26"/>
      <c r="BS757" s="27"/>
      <c r="BT757" s="26"/>
      <c r="BU757" s="27"/>
      <c r="BV757" s="26"/>
      <c r="BW757" s="27"/>
      <c r="BX757" s="26"/>
      <c r="BY757" s="27"/>
      <c r="BZ757" s="26"/>
      <c r="CA757" s="27"/>
      <c r="CB757" s="26"/>
      <c r="CC757" s="27"/>
      <c r="CD757" s="26"/>
      <c r="CE757" s="27"/>
      <c r="CF757" s="26"/>
      <c r="CG757" s="27"/>
      <c r="CH757" s="26"/>
      <c r="CI757" s="27"/>
      <c r="CJ757" s="26"/>
      <c r="CK757" s="27"/>
      <c r="CL757" s="26"/>
      <c r="CM757" s="27"/>
      <c r="CN757" s="26"/>
      <c r="CO757" s="27"/>
      <c r="CP757" s="26"/>
      <c r="CQ757" s="27"/>
      <c r="CR757" s="26"/>
      <c r="CS757" s="27"/>
      <c r="CT757" s="26"/>
      <c r="CU757" s="27"/>
      <c r="CV757" s="26"/>
      <c r="CW757" s="27"/>
      <c r="CX757" s="26"/>
      <c r="CY757" s="27"/>
      <c r="CZ757" s="26"/>
      <c r="DA757" s="27"/>
      <c r="DB757" s="26"/>
      <c r="DC757" s="27"/>
      <c r="DD757" s="26"/>
      <c r="DE757" s="27"/>
      <c r="DF757" s="26"/>
      <c r="DG757" s="27"/>
      <c r="DH757" s="26"/>
      <c r="DI757" s="27"/>
      <c r="DJ757" s="26"/>
      <c r="DK757" s="27"/>
      <c r="DL757" s="26"/>
      <c r="DM757" s="27"/>
      <c r="DN757" s="26"/>
      <c r="DO757" s="27"/>
      <c r="DP757" s="26"/>
      <c r="DQ757" s="27"/>
      <c r="DR757" s="26"/>
      <c r="DS757" s="27"/>
      <c r="DT757" s="26"/>
      <c r="DU757" s="27"/>
      <c r="DV757" s="26"/>
      <c r="DW757" s="27"/>
      <c r="DX757" s="26"/>
      <c r="DY757" s="27"/>
      <c r="DZ757" s="26"/>
      <c r="EA757" s="27"/>
      <c r="EB757" s="26"/>
      <c r="EC757" s="27"/>
      <c r="ED757" s="26"/>
      <c r="EE757" s="27"/>
      <c r="EF757" s="26"/>
      <c r="EG757" s="27"/>
      <c r="EH757" s="26"/>
      <c r="EI757" s="27"/>
      <c r="EJ757" s="26"/>
      <c r="EK757" s="27"/>
      <c r="EL757" s="26"/>
      <c r="EM757" s="27"/>
      <c r="EN757" s="26"/>
      <c r="EO757" s="27"/>
      <c r="EP757" s="26"/>
      <c r="EQ757" s="27"/>
      <c r="ER757" s="26"/>
      <c r="ES757" s="27"/>
      <c r="ET757" s="26"/>
      <c r="EU757" s="27"/>
      <c r="EV757" s="26"/>
      <c r="EW757" s="27"/>
      <c r="EX757" s="26"/>
      <c r="EY757" s="27"/>
      <c r="EZ757" s="558"/>
      <c r="FA757" s="27"/>
      <c r="FB757" s="27"/>
      <c r="FC757" s="26"/>
      <c r="FD757" s="27"/>
      <c r="FE757" s="26"/>
      <c r="FF757" s="27"/>
      <c r="FG757" s="26"/>
      <c r="FH757" s="27"/>
      <c r="FI757" s="26"/>
      <c r="FJ757" s="27"/>
      <c r="FK757" s="26"/>
      <c r="FL757" s="28"/>
      <c r="FM757" s="26"/>
      <c r="FN757" s="28"/>
      <c r="FO757" s="26"/>
      <c r="FP757" s="28"/>
      <c r="FQ757" s="26"/>
      <c r="FR757" s="28"/>
      <c r="FS757" s="30"/>
      <c r="FT757" s="28"/>
      <c r="FU757" s="30"/>
      <c r="FV757" s="28"/>
      <c r="FW757" s="30"/>
      <c r="FX757" s="28"/>
      <c r="FY757" s="30"/>
      <c r="FZ757" s="28"/>
      <c r="GA757" s="30"/>
      <c r="GB757" s="28"/>
      <c r="GC757" s="30"/>
      <c r="GD757" s="28"/>
      <c r="GE757" s="30"/>
      <c r="GF757" s="28"/>
      <c r="GG757" s="30"/>
      <c r="GH757" s="28"/>
      <c r="GI757" s="30"/>
      <c r="GJ757" s="28"/>
      <c r="GK757" s="30"/>
      <c r="GL757" s="28"/>
      <c r="GM757" s="30"/>
      <c r="GN757" s="28"/>
      <c r="GO757" s="30"/>
      <c r="GP757" s="28"/>
      <c r="GQ757" s="30"/>
      <c r="GR757" s="28"/>
      <c r="GS757" s="30"/>
      <c r="GT757" s="28"/>
      <c r="GU757" s="30"/>
      <c r="GV757" s="28"/>
      <c r="GW757" s="30"/>
      <c r="GX757" s="28"/>
      <c r="GY757" s="30"/>
      <c r="GZ757" s="517"/>
      <c r="HA757" s="517"/>
      <c r="HB757" s="456"/>
      <c r="HC757"/>
      <c r="HD757"/>
      <c r="HE757"/>
      <c r="HF757"/>
      <c r="HG757"/>
      <c r="HH757"/>
    </row>
    <row r="758" spans="1:216" s="6" customFormat="1" ht="12.75" hidden="1" customHeight="1" outlineLevel="1" x14ac:dyDescent="0.2">
      <c r="B758" s="29" t="s">
        <v>197</v>
      </c>
      <c r="C758" s="27"/>
      <c r="D758" s="30"/>
      <c r="E758" s="27"/>
      <c r="F758" s="28"/>
      <c r="G758" s="27"/>
      <c r="H758" s="28"/>
      <c r="I758" s="27"/>
      <c r="J758" s="28"/>
      <c r="K758" s="28"/>
      <c r="L758" s="30"/>
      <c r="M758" s="27"/>
      <c r="N758" s="30"/>
      <c r="O758" s="27"/>
      <c r="P758" s="30"/>
      <c r="Q758" s="27"/>
      <c r="R758" s="30"/>
      <c r="S758" s="28"/>
      <c r="T758" s="30"/>
      <c r="U758" s="27"/>
      <c r="V758" s="30"/>
      <c r="W758" s="27"/>
      <c r="X758" s="30"/>
      <c r="Y758" s="27"/>
      <c r="Z758" s="30"/>
      <c r="AA758" s="28"/>
      <c r="AB758" s="30"/>
      <c r="AC758" s="28"/>
      <c r="AD758" s="30"/>
      <c r="AE758" s="28"/>
      <c r="AF758" s="30"/>
      <c r="AG758" s="28"/>
      <c r="AH758" s="30"/>
      <c r="AI758" s="28"/>
      <c r="AJ758" s="30"/>
      <c r="AK758" s="28"/>
      <c r="AL758" s="30"/>
      <c r="AM758" s="28"/>
      <c r="AN758" s="30"/>
      <c r="AO758" s="28"/>
      <c r="AP758" s="30"/>
      <c r="AQ758" s="28"/>
      <c r="AR758" s="30"/>
      <c r="AS758" s="28"/>
      <c r="AT758" s="30"/>
      <c r="AU758" s="28"/>
      <c r="AV758" s="30"/>
      <c r="AW758" s="28"/>
      <c r="AX758" s="30"/>
      <c r="AY758" s="28"/>
      <c r="AZ758" s="30"/>
      <c r="BA758" s="28"/>
      <c r="BB758" s="30"/>
      <c r="BC758" s="28"/>
      <c r="BD758" s="30"/>
      <c r="BE758" s="28"/>
      <c r="BF758" s="30"/>
      <c r="BG758" s="28"/>
      <c r="BH758" s="30"/>
      <c r="BI758" s="28"/>
      <c r="BJ758" s="30"/>
      <c r="BK758" s="28"/>
      <c r="BL758" s="30"/>
      <c r="BM758" s="28"/>
      <c r="BN758" s="30"/>
      <c r="BO758" s="28"/>
      <c r="BP758" s="30"/>
      <c r="BQ758" s="28"/>
      <c r="BR758" s="30"/>
      <c r="BS758" s="28"/>
      <c r="BT758" s="30"/>
      <c r="BU758" s="28"/>
      <c r="BV758" s="30"/>
      <c r="BW758" s="28"/>
      <c r="BX758" s="30"/>
      <c r="BY758" s="28"/>
      <c r="BZ758" s="30"/>
      <c r="CA758" s="28"/>
      <c r="CB758" s="30"/>
      <c r="CC758" s="28"/>
      <c r="CD758" s="30"/>
      <c r="CE758" s="28"/>
      <c r="CF758" s="30"/>
      <c r="CG758" s="28"/>
      <c r="CH758" s="30"/>
      <c r="CI758" s="28"/>
      <c r="CJ758" s="30"/>
      <c r="CK758" s="28"/>
      <c r="CL758" s="30"/>
      <c r="CM758" s="28"/>
      <c r="CN758" s="30"/>
      <c r="CO758" s="28"/>
      <c r="CP758" s="30"/>
      <c r="CQ758" s="28"/>
      <c r="CR758" s="30"/>
      <c r="CS758" s="28"/>
      <c r="CT758" s="30"/>
      <c r="CU758" s="28"/>
      <c r="CV758" s="30"/>
      <c r="CW758" s="28"/>
      <c r="CX758" s="30"/>
      <c r="CY758" s="28"/>
      <c r="CZ758" s="30"/>
      <c r="DA758" s="28"/>
      <c r="DB758" s="30"/>
      <c r="DC758" s="28"/>
      <c r="DD758" s="30"/>
      <c r="DE758" s="28"/>
      <c r="DF758" s="30"/>
      <c r="DG758" s="28"/>
      <c r="DH758" s="30"/>
      <c r="DI758" s="28"/>
      <c r="DJ758" s="30"/>
      <c r="DK758" s="28"/>
      <c r="DL758" s="30"/>
      <c r="DM758" s="28"/>
      <c r="DN758" s="30"/>
      <c r="DO758" s="28"/>
      <c r="DP758" s="30"/>
      <c r="DQ758" s="28"/>
      <c r="DR758" s="30"/>
      <c r="DS758" s="28"/>
      <c r="DT758" s="30"/>
      <c r="DU758" s="28"/>
      <c r="DV758" s="30"/>
      <c r="DW758" s="28"/>
      <c r="DX758" s="30"/>
      <c r="DY758" s="28"/>
      <c r="DZ758" s="30"/>
      <c r="EA758" s="28"/>
      <c r="EB758" s="30"/>
      <c r="EC758" s="28"/>
      <c r="ED758" s="30"/>
      <c r="EE758" s="28"/>
      <c r="EF758" s="30"/>
      <c r="EG758" s="28"/>
      <c r="EH758" s="30"/>
      <c r="EI758" s="28"/>
      <c r="EJ758" s="30"/>
      <c r="EK758" s="28"/>
      <c r="EL758" s="30"/>
      <c r="EM758" s="28"/>
      <c r="EN758" s="30"/>
      <c r="EO758" s="28"/>
      <c r="EP758" s="30"/>
      <c r="EQ758" s="28"/>
      <c r="ER758" s="30"/>
      <c r="ES758" s="28"/>
      <c r="ET758" s="30"/>
      <c r="EU758" s="28"/>
      <c r="EV758" s="30"/>
      <c r="EW758" s="28"/>
      <c r="EX758" s="30"/>
      <c r="EY758" s="28"/>
      <c r="EZ758" s="558"/>
      <c r="FA758" s="28"/>
      <c r="FB758" s="31"/>
      <c r="FC758" s="28"/>
      <c r="FD758" s="31"/>
      <c r="FE758" s="30"/>
      <c r="FF758" s="32"/>
      <c r="FG758" s="30"/>
      <c r="FH758" s="33"/>
      <c r="FI758" s="30"/>
      <c r="FJ758" s="33"/>
      <c r="FK758" s="30"/>
      <c r="FL758" s="33"/>
      <c r="FM758" s="30"/>
      <c r="FN758" s="34"/>
      <c r="FO758" s="30"/>
      <c r="FP758" s="34"/>
      <c r="FQ758" s="30"/>
      <c r="FR758" s="28"/>
      <c r="FS758" s="30"/>
      <c r="FT758" s="28"/>
      <c r="FU758" s="30"/>
      <c r="FV758" s="28"/>
      <c r="FW758" s="30"/>
      <c r="FX758" s="28"/>
      <c r="FY758" s="30"/>
      <c r="FZ758" s="28"/>
      <c r="GA758" s="30"/>
      <c r="GB758" s="28"/>
      <c r="GC758" s="30"/>
      <c r="GD758" s="28"/>
      <c r="GE758" s="30"/>
      <c r="GF758" s="28"/>
      <c r="GG758" s="30"/>
      <c r="GH758" s="28"/>
      <c r="GI758" s="30"/>
      <c r="GJ758" s="28"/>
      <c r="GK758" s="30"/>
      <c r="GL758" s="28"/>
      <c r="GM758" s="30"/>
      <c r="GN758" s="28"/>
      <c r="GO758" s="30"/>
      <c r="GP758" s="28"/>
      <c r="GQ758" s="30"/>
      <c r="GR758" s="28"/>
      <c r="GS758" s="30"/>
      <c r="GT758" s="28"/>
      <c r="GU758" s="30"/>
      <c r="GV758" s="28"/>
      <c r="GW758" s="30"/>
      <c r="GX758" s="28"/>
      <c r="GY758" s="30"/>
      <c r="GZ758" s="30"/>
      <c r="HA758" s="30"/>
      <c r="HB758" s="455"/>
      <c r="HC758"/>
      <c r="HD758"/>
      <c r="HE758"/>
      <c r="HF758"/>
      <c r="HG758"/>
      <c r="HH758"/>
    </row>
    <row r="759" spans="1:216" s="6" customFormat="1" ht="12.75" hidden="1" customHeight="1" outlineLevel="1" x14ac:dyDescent="0.2">
      <c r="B759" s="25" t="s">
        <v>273</v>
      </c>
      <c r="C759" s="27"/>
      <c r="D759" s="30"/>
      <c r="E759" s="27"/>
      <c r="F759" s="28"/>
      <c r="G759" s="27"/>
      <c r="H759" s="28"/>
      <c r="I759" s="27"/>
      <c r="J759" s="28"/>
      <c r="K759" s="28"/>
      <c r="L759" s="30"/>
      <c r="M759" s="27"/>
      <c r="N759" s="30"/>
      <c r="O759" s="27"/>
      <c r="P759" s="30"/>
      <c r="Q759" s="27"/>
      <c r="R759" s="30"/>
      <c r="S759" s="28"/>
      <c r="T759" s="30"/>
      <c r="U759" s="27"/>
      <c r="V759" s="30"/>
      <c r="W759" s="27"/>
      <c r="X759" s="30"/>
      <c r="Y759" s="27"/>
      <c r="Z759" s="30"/>
      <c r="AA759" s="28"/>
      <c r="AB759" s="30"/>
      <c r="AC759" s="28"/>
      <c r="AD759" s="30"/>
      <c r="AE759" s="28"/>
      <c r="AF759" s="30"/>
      <c r="AG759" s="28"/>
      <c r="AH759" s="30"/>
      <c r="AI759" s="28"/>
      <c r="AJ759" s="30"/>
      <c r="AK759" s="28"/>
      <c r="AL759" s="30"/>
      <c r="AM759" s="28"/>
      <c r="AN759" s="30"/>
      <c r="AO759" s="28"/>
      <c r="AP759" s="30"/>
      <c r="AQ759" s="28"/>
      <c r="AR759" s="30"/>
      <c r="AS759" s="28"/>
      <c r="AT759" s="30"/>
      <c r="AU759" s="28"/>
      <c r="AV759" s="30"/>
      <c r="AW759" s="28"/>
      <c r="AX759" s="30"/>
      <c r="AY759" s="28"/>
      <c r="AZ759" s="30"/>
      <c r="BA759" s="28"/>
      <c r="BB759" s="30"/>
      <c r="BC759" s="28"/>
      <c r="BD759" s="30"/>
      <c r="BE759" s="28"/>
      <c r="BF759" s="30"/>
      <c r="BG759" s="28"/>
      <c r="BH759" s="30"/>
      <c r="BI759" s="28"/>
      <c r="BJ759" s="30"/>
      <c r="BK759" s="28"/>
      <c r="BL759" s="30"/>
      <c r="BM759" s="28"/>
      <c r="BN759" s="30"/>
      <c r="BO759" s="28"/>
      <c r="BP759" s="30"/>
      <c r="BQ759" s="28"/>
      <c r="BR759" s="30"/>
      <c r="BS759" s="28"/>
      <c r="BT759" s="30"/>
      <c r="BU759" s="28"/>
      <c r="BV759" s="30"/>
      <c r="BW759" s="28"/>
      <c r="BX759" s="30"/>
      <c r="BY759" s="28"/>
      <c r="BZ759" s="30"/>
      <c r="CA759" s="28"/>
      <c r="CB759" s="30"/>
      <c r="CC759" s="28"/>
      <c r="CD759" s="30"/>
      <c r="CE759" s="28"/>
      <c r="CF759" s="30"/>
      <c r="CG759" s="28"/>
      <c r="CH759" s="30"/>
      <c r="CI759" s="28"/>
      <c r="CJ759" s="30"/>
      <c r="CK759" s="28"/>
      <c r="CL759" s="30"/>
      <c r="CM759" s="28"/>
      <c r="CN759" s="30"/>
      <c r="CO759" s="28"/>
      <c r="CP759" s="30"/>
      <c r="CQ759" s="28"/>
      <c r="CR759" s="30"/>
      <c r="CS759" s="28"/>
      <c r="CT759" s="30"/>
      <c r="CU759" s="28"/>
      <c r="CV759" s="30"/>
      <c r="CW759" s="28"/>
      <c r="CX759" s="30"/>
      <c r="CY759" s="28"/>
      <c r="CZ759" s="30"/>
      <c r="DA759" s="28"/>
      <c r="DB759" s="30"/>
      <c r="DC759" s="28"/>
      <c r="DD759" s="30"/>
      <c r="DE759" s="28"/>
      <c r="DF759" s="30"/>
      <c r="DG759" s="28"/>
      <c r="DH759" s="30"/>
      <c r="DI759" s="28"/>
      <c r="DJ759" s="30"/>
      <c r="DK759" s="28"/>
      <c r="DL759" s="30"/>
      <c r="DM759" s="28"/>
      <c r="DN759" s="30"/>
      <c r="DO759" s="28"/>
      <c r="DP759" s="30"/>
      <c r="DQ759" s="28"/>
      <c r="DR759" s="30"/>
      <c r="DS759" s="28"/>
      <c r="DT759" s="30"/>
      <c r="DU759" s="28"/>
      <c r="DV759" s="30"/>
      <c r="DW759" s="28"/>
      <c r="DX759" s="30"/>
      <c r="DY759" s="39">
        <f>DY21</f>
        <v>0</v>
      </c>
      <c r="DZ759" s="30"/>
      <c r="EA759" s="39">
        <f>EA21</f>
        <v>0</v>
      </c>
      <c r="EB759" s="30"/>
      <c r="EC759" s="39">
        <f>EC21</f>
        <v>0</v>
      </c>
      <c r="ED759" s="30"/>
      <c r="EE759" s="39">
        <f>EE21</f>
        <v>0</v>
      </c>
      <c r="EF759" s="30"/>
      <c r="EG759" s="39">
        <f>EG21</f>
        <v>0</v>
      </c>
      <c r="EH759" s="30"/>
      <c r="EI759" s="39">
        <f>EI21</f>
        <v>0</v>
      </c>
      <c r="EJ759" s="30"/>
      <c r="EK759" s="39">
        <f t="shared" ref="EK759" si="4422">EK21</f>
        <v>0</v>
      </c>
      <c r="EL759" s="30"/>
      <c r="EM759" s="39">
        <f t="shared" ref="EM759" si="4423">EM21</f>
        <v>0</v>
      </c>
      <c r="EN759" s="30"/>
      <c r="EO759" s="39">
        <f t="shared" ref="EO759" si="4424">EO21</f>
        <v>0</v>
      </c>
      <c r="EP759" s="30"/>
      <c r="EQ759" s="39">
        <f t="shared" ref="EQ759:EW759" si="4425">EQ21</f>
        <v>-1.2</v>
      </c>
      <c r="ER759" s="30"/>
      <c r="ES759" s="39">
        <f t="shared" si="4425"/>
        <v>2</v>
      </c>
      <c r="ET759" s="30"/>
      <c r="EU759" s="39">
        <f t="shared" si="4425"/>
        <v>2</v>
      </c>
      <c r="EV759" s="30"/>
      <c r="EW759" s="39">
        <f t="shared" si="4425"/>
        <v>2</v>
      </c>
      <c r="EX759" s="30"/>
      <c r="EY759" s="35"/>
      <c r="EZ759" s="558"/>
      <c r="FA759" s="35"/>
      <c r="FB759" s="36"/>
      <c r="FC759" s="35"/>
      <c r="FD759" s="36"/>
      <c r="FE759" s="38"/>
      <c r="FF759" s="37"/>
      <c r="FG759" s="38"/>
      <c r="FH759" s="35"/>
      <c r="FI759" s="38"/>
      <c r="FJ759" s="35"/>
      <c r="FK759" s="38"/>
      <c r="FL759" s="35"/>
      <c r="FM759" s="38"/>
      <c r="FN759" s="35"/>
      <c r="FO759" s="38"/>
      <c r="FP759" s="35"/>
      <c r="FQ759" s="38"/>
      <c r="FR759" s="35"/>
      <c r="FS759" s="38"/>
      <c r="FT759" s="35"/>
      <c r="FU759" s="38"/>
      <c r="FV759" s="35"/>
      <c r="FW759" s="38"/>
      <c r="FX759" s="35"/>
      <c r="FY759" s="38"/>
      <c r="FZ759" s="35"/>
      <c r="GA759" s="38"/>
      <c r="GB759" s="35"/>
      <c r="GC759" s="38"/>
      <c r="GD759" s="35"/>
      <c r="GE759" s="38"/>
      <c r="GF759" s="35"/>
      <c r="GG759" s="38"/>
      <c r="GH759" s="35"/>
      <c r="GI759" s="38"/>
      <c r="GJ759" s="35"/>
      <c r="GK759" s="38"/>
      <c r="GL759" s="35"/>
      <c r="GM759" s="38"/>
      <c r="GN759" s="35"/>
      <c r="GO759" s="38"/>
      <c r="GP759" s="35"/>
      <c r="GQ759" s="38"/>
      <c r="GR759" s="39">
        <f>GR21</f>
        <v>8</v>
      </c>
      <c r="GS759" s="38"/>
      <c r="GT759" s="39">
        <f>GT21</f>
        <v>8</v>
      </c>
      <c r="GU759" s="38"/>
      <c r="GV759" s="39">
        <f>GV21</f>
        <v>8</v>
      </c>
      <c r="GW759" s="38"/>
      <c r="GX759" s="39">
        <f>GX21</f>
        <v>8</v>
      </c>
      <c r="GY759" s="38"/>
      <c r="GZ759" s="30"/>
      <c r="HA759" s="30"/>
      <c r="HB759" s="455"/>
      <c r="HC759"/>
      <c r="HD759"/>
      <c r="HE759"/>
      <c r="HF759"/>
      <c r="HG759"/>
      <c r="HH759"/>
    </row>
    <row r="760" spans="1:216" s="6" customFormat="1" ht="12.75" hidden="1" customHeight="1" outlineLevel="1" x14ac:dyDescent="0.2">
      <c r="B760" s="25" t="s">
        <v>534</v>
      </c>
      <c r="C760" s="27"/>
      <c r="D760" s="30"/>
      <c r="E760" s="27"/>
      <c r="F760" s="28"/>
      <c r="G760" s="27"/>
      <c r="H760" s="28"/>
      <c r="I760" s="27"/>
      <c r="J760" s="28"/>
      <c r="K760" s="28"/>
      <c r="L760" s="30"/>
      <c r="M760" s="27"/>
      <c r="N760" s="30"/>
      <c r="O760" s="27"/>
      <c r="P760" s="30"/>
      <c r="Q760" s="27"/>
      <c r="R760" s="30"/>
      <c r="S760" s="28"/>
      <c r="T760" s="30"/>
      <c r="U760" s="27"/>
      <c r="V760" s="30"/>
      <c r="W760" s="27"/>
      <c r="X760" s="30"/>
      <c r="Y760" s="27"/>
      <c r="Z760" s="30"/>
      <c r="AA760" s="28"/>
      <c r="AB760" s="30"/>
      <c r="AC760" s="28"/>
      <c r="AD760" s="30"/>
      <c r="AE760" s="28"/>
      <c r="AF760" s="30"/>
      <c r="AG760" s="28"/>
      <c r="AH760" s="30"/>
      <c r="AI760" s="28"/>
      <c r="AJ760" s="30"/>
      <c r="AK760" s="28"/>
      <c r="AL760" s="30"/>
      <c r="AM760" s="28"/>
      <c r="AN760" s="30"/>
      <c r="AO760" s="28"/>
      <c r="AP760" s="30"/>
      <c r="AQ760" s="28"/>
      <c r="AR760" s="30"/>
      <c r="AS760" s="28"/>
      <c r="AT760" s="30"/>
      <c r="AU760" s="28"/>
      <c r="AV760" s="30"/>
      <c r="AW760" s="28"/>
      <c r="AX760" s="30"/>
      <c r="AY760" s="28"/>
      <c r="AZ760" s="30"/>
      <c r="BA760" s="28"/>
      <c r="BB760" s="30"/>
      <c r="BC760" s="28"/>
      <c r="BD760" s="30"/>
      <c r="BE760" s="28"/>
      <c r="BF760" s="30"/>
      <c r="BG760" s="28"/>
      <c r="BH760" s="30"/>
      <c r="BI760" s="28"/>
      <c r="BJ760" s="30"/>
      <c r="BK760" s="28"/>
      <c r="BL760" s="30"/>
      <c r="BM760" s="28"/>
      <c r="BN760" s="30"/>
      <c r="BO760" s="28"/>
      <c r="BP760" s="30"/>
      <c r="BQ760" s="28"/>
      <c r="BR760" s="30"/>
      <c r="BS760" s="28"/>
      <c r="BT760" s="30"/>
      <c r="BU760" s="28"/>
      <c r="BV760" s="30"/>
      <c r="BW760" s="28"/>
      <c r="BX760" s="30"/>
      <c r="BY760" s="28"/>
      <c r="BZ760" s="30"/>
      <c r="CA760" s="28"/>
      <c r="CB760" s="30"/>
      <c r="CC760" s="28"/>
      <c r="CD760" s="30"/>
      <c r="CE760" s="28"/>
      <c r="CF760" s="30"/>
      <c r="CG760" s="28"/>
      <c r="CH760" s="30"/>
      <c r="CI760" s="28"/>
      <c r="CJ760" s="30"/>
      <c r="CK760" s="28"/>
      <c r="CL760" s="30"/>
      <c r="CM760" s="28"/>
      <c r="CN760" s="30"/>
      <c r="CO760" s="28"/>
      <c r="CP760" s="30"/>
      <c r="CQ760" s="28"/>
      <c r="CR760" s="30"/>
      <c r="CS760" s="28"/>
      <c r="CT760" s="30"/>
      <c r="CU760" s="28"/>
      <c r="CV760" s="30"/>
      <c r="CW760" s="28"/>
      <c r="CX760" s="30"/>
      <c r="CY760" s="28"/>
      <c r="CZ760" s="30"/>
      <c r="DA760" s="28"/>
      <c r="DB760" s="30"/>
      <c r="DC760" s="28"/>
      <c r="DD760" s="30"/>
      <c r="DE760" s="28"/>
      <c r="DF760" s="30"/>
      <c r="DG760" s="28"/>
      <c r="DH760" s="30"/>
      <c r="DI760" s="28"/>
      <c r="DJ760" s="30"/>
      <c r="DK760" s="28"/>
      <c r="DL760" s="30"/>
      <c r="DM760" s="28"/>
      <c r="DN760" s="30"/>
      <c r="DO760" s="28"/>
      <c r="DP760" s="30"/>
      <c r="DQ760" s="28"/>
      <c r="DR760" s="30"/>
      <c r="DS760" s="28"/>
      <c r="DT760" s="30"/>
      <c r="DU760" s="28"/>
      <c r="DV760" s="30"/>
      <c r="DW760" s="28"/>
      <c r="DX760" s="30"/>
      <c r="DY760" s="40">
        <v>2</v>
      </c>
      <c r="DZ760" s="30"/>
      <c r="EA760" s="40">
        <v>2</v>
      </c>
      <c r="EB760" s="30"/>
      <c r="EC760" s="40">
        <v>2</v>
      </c>
      <c r="ED760" s="30"/>
      <c r="EE760" s="40">
        <v>2</v>
      </c>
      <c r="EF760" s="30"/>
      <c r="EG760" s="40">
        <v>2</v>
      </c>
      <c r="EH760" s="30"/>
      <c r="EI760" s="40">
        <v>2</v>
      </c>
      <c r="EJ760" s="30"/>
      <c r="EK760" s="40">
        <v>2</v>
      </c>
      <c r="EL760" s="30"/>
      <c r="EM760" s="40">
        <v>2</v>
      </c>
      <c r="EN760" s="30"/>
      <c r="EO760" s="40">
        <v>2</v>
      </c>
      <c r="EP760" s="30"/>
      <c r="EQ760" s="40">
        <v>2</v>
      </c>
      <c r="ER760" s="30"/>
      <c r="ES760" s="40">
        <v>2</v>
      </c>
      <c r="ET760" s="30"/>
      <c r="EU760" s="40">
        <v>2</v>
      </c>
      <c r="EV760" s="30"/>
      <c r="EW760" s="40">
        <v>2</v>
      </c>
      <c r="EX760" s="30"/>
      <c r="EY760" s="35"/>
      <c r="EZ760" s="558"/>
      <c r="FA760" s="35"/>
      <c r="FB760" s="36"/>
      <c r="FC760" s="35"/>
      <c r="FD760" s="36"/>
      <c r="FE760" s="38"/>
      <c r="FF760" s="37"/>
      <c r="FG760" s="38"/>
      <c r="FH760" s="35"/>
      <c r="FI760" s="38"/>
      <c r="FJ760" s="35"/>
      <c r="FK760" s="38"/>
      <c r="FL760" s="35"/>
      <c r="FM760" s="38"/>
      <c r="FN760" s="35"/>
      <c r="FO760" s="38"/>
      <c r="FP760" s="35"/>
      <c r="FQ760" s="38"/>
      <c r="FR760" s="35"/>
      <c r="FS760" s="515"/>
      <c r="FT760" s="35"/>
      <c r="FU760" s="515"/>
      <c r="FV760" s="35"/>
      <c r="FW760" s="515"/>
      <c r="FX760" s="35"/>
      <c r="FY760" s="515"/>
      <c r="FZ760" s="35"/>
      <c r="GA760" s="515"/>
      <c r="GB760" s="35"/>
      <c r="GC760" s="515"/>
      <c r="GD760" s="35"/>
      <c r="GE760" s="515"/>
      <c r="GF760" s="35"/>
      <c r="GG760" s="515"/>
      <c r="GH760" s="35"/>
      <c r="GI760" s="515"/>
      <c r="GJ760" s="35"/>
      <c r="GK760" s="515"/>
      <c r="GL760" s="35"/>
      <c r="GM760" s="515"/>
      <c r="GN760" s="35"/>
      <c r="GO760" s="515"/>
      <c r="GP760" s="35"/>
      <c r="GQ760" s="515"/>
      <c r="GR760" s="40">
        <v>4</v>
      </c>
      <c r="GS760" s="515"/>
      <c r="GT760" s="40">
        <v>4</v>
      </c>
      <c r="GU760" s="515"/>
      <c r="GV760" s="40">
        <v>4</v>
      </c>
      <c r="GW760" s="515"/>
      <c r="GX760" s="40">
        <v>4</v>
      </c>
      <c r="GY760" s="515"/>
      <c r="GZ760" s="30"/>
      <c r="HA760" s="30"/>
      <c r="HB760" s="455"/>
      <c r="HC760"/>
      <c r="HD760"/>
      <c r="HE760"/>
      <c r="HF760"/>
      <c r="HG760"/>
      <c r="HH760"/>
    </row>
    <row r="761" spans="1:216" s="6" customFormat="1" ht="12.75" hidden="1" customHeight="1" outlineLevel="1" x14ac:dyDescent="0.2">
      <c r="B761" s="25" t="s">
        <v>111</v>
      </c>
      <c r="C761" s="27"/>
      <c r="D761" s="30"/>
      <c r="E761" s="27"/>
      <c r="F761" s="28"/>
      <c r="G761" s="27"/>
      <c r="H761" s="28"/>
      <c r="I761" s="27"/>
      <c r="J761" s="28"/>
      <c r="K761" s="28"/>
      <c r="L761" s="30"/>
      <c r="M761" s="27"/>
      <c r="N761" s="30"/>
      <c r="O761" s="27"/>
      <c r="P761" s="30"/>
      <c r="Q761" s="27"/>
      <c r="R761" s="30"/>
      <c r="S761" s="28"/>
      <c r="T761" s="30"/>
      <c r="U761" s="27"/>
      <c r="V761" s="30"/>
      <c r="W761" s="27"/>
      <c r="X761" s="30"/>
      <c r="Y761" s="27"/>
      <c r="Z761" s="30"/>
      <c r="AA761" s="28"/>
      <c r="AB761" s="30"/>
      <c r="AC761" s="28"/>
      <c r="AD761" s="30"/>
      <c r="AE761" s="28"/>
      <c r="AF761" s="30"/>
      <c r="AG761" s="28"/>
      <c r="AH761" s="30"/>
      <c r="AI761" s="28"/>
      <c r="AJ761" s="30"/>
      <c r="AK761" s="28"/>
      <c r="AL761" s="30"/>
      <c r="AM761" s="28"/>
      <c r="AN761" s="30"/>
      <c r="AO761" s="28"/>
      <c r="AP761" s="30"/>
      <c r="AQ761" s="28"/>
      <c r="AR761" s="30"/>
      <c r="AS761" s="28"/>
      <c r="AT761" s="30"/>
      <c r="AU761" s="28"/>
      <c r="AV761" s="30"/>
      <c r="AW761" s="28"/>
      <c r="AX761" s="30"/>
      <c r="AY761" s="28"/>
      <c r="AZ761" s="30"/>
      <c r="BA761" s="28"/>
      <c r="BB761" s="30"/>
      <c r="BC761" s="28"/>
      <c r="BD761" s="30"/>
      <c r="BE761" s="28"/>
      <c r="BF761" s="30"/>
      <c r="BG761" s="28"/>
      <c r="BH761" s="30"/>
      <c r="BI761" s="28"/>
      <c r="BJ761" s="30"/>
      <c r="BK761" s="28"/>
      <c r="BL761" s="30"/>
      <c r="BM761" s="28"/>
      <c r="BN761" s="30"/>
      <c r="BO761" s="28"/>
      <c r="BP761" s="30"/>
      <c r="BQ761" s="28"/>
      <c r="BR761" s="30"/>
      <c r="BS761" s="28"/>
      <c r="BT761" s="30"/>
      <c r="BU761" s="28"/>
      <c r="BV761" s="30"/>
      <c r="BW761" s="28"/>
      <c r="BX761" s="30"/>
      <c r="BY761" s="28"/>
      <c r="BZ761" s="30"/>
      <c r="CA761" s="28"/>
      <c r="CB761" s="30"/>
      <c r="CC761" s="28"/>
      <c r="CD761" s="30"/>
      <c r="CE761" s="28"/>
      <c r="CF761" s="30"/>
      <c r="CG761" s="28"/>
      <c r="CH761" s="30"/>
      <c r="CI761" s="28"/>
      <c r="CJ761" s="30"/>
      <c r="CK761" s="28"/>
      <c r="CL761" s="30"/>
      <c r="CM761" s="28"/>
      <c r="CN761" s="30"/>
      <c r="CO761" s="28"/>
      <c r="CP761" s="30"/>
      <c r="CQ761" s="28"/>
      <c r="CR761" s="30"/>
      <c r="CS761" s="28"/>
      <c r="CT761" s="30"/>
      <c r="CU761" s="28"/>
      <c r="CV761" s="30"/>
      <c r="CW761" s="28"/>
      <c r="CX761" s="30"/>
      <c r="CY761" s="28"/>
      <c r="CZ761" s="30"/>
      <c r="DA761" s="28"/>
      <c r="DB761" s="30"/>
      <c r="DC761" s="28"/>
      <c r="DD761" s="30"/>
      <c r="DE761" s="28"/>
      <c r="DF761" s="30"/>
      <c r="DG761" s="28"/>
      <c r="DH761" s="30"/>
      <c r="DI761" s="28"/>
      <c r="DJ761" s="30"/>
      <c r="DK761" s="28"/>
      <c r="DL761" s="30"/>
      <c r="DM761" s="28"/>
      <c r="DN761" s="30"/>
      <c r="DO761" s="28"/>
      <c r="DP761" s="30"/>
      <c r="DQ761" s="28"/>
      <c r="DR761" s="30"/>
      <c r="DS761" s="28"/>
      <c r="DT761" s="30"/>
      <c r="DU761" s="28"/>
      <c r="DV761" s="30"/>
      <c r="DW761" s="28"/>
      <c r="DX761" s="30"/>
      <c r="DY761" s="41">
        <v>-2</v>
      </c>
      <c r="DZ761" s="30"/>
      <c r="EA761" s="41">
        <v>-2</v>
      </c>
      <c r="EB761" s="30"/>
      <c r="EC761" s="41">
        <v>-2</v>
      </c>
      <c r="ED761" s="30"/>
      <c r="EE761" s="41">
        <v>-2</v>
      </c>
      <c r="EF761" s="30"/>
      <c r="EG761" s="41">
        <v>-2</v>
      </c>
      <c r="EH761" s="30"/>
      <c r="EI761" s="41">
        <v>-2</v>
      </c>
      <c r="EJ761" s="30"/>
      <c r="EK761" s="41">
        <v>-2</v>
      </c>
      <c r="EL761" s="30"/>
      <c r="EM761" s="41">
        <v>-2</v>
      </c>
      <c r="EN761" s="30"/>
      <c r="EO761" s="41">
        <v>-2</v>
      </c>
      <c r="EP761" s="30"/>
      <c r="EQ761" s="41">
        <v>-2</v>
      </c>
      <c r="ER761" s="30"/>
      <c r="ES761" s="41">
        <v>-2</v>
      </c>
      <c r="ET761" s="30"/>
      <c r="EU761" s="41">
        <v>-2</v>
      </c>
      <c r="EV761" s="30"/>
      <c r="EW761" s="41">
        <v>-2</v>
      </c>
      <c r="EX761" s="30"/>
      <c r="EY761" s="35"/>
      <c r="EZ761" s="558"/>
      <c r="FA761" s="35"/>
      <c r="FB761" s="36"/>
      <c r="FC761" s="35"/>
      <c r="FD761" s="36"/>
      <c r="FE761" s="38"/>
      <c r="FF761" s="37"/>
      <c r="FG761" s="38"/>
      <c r="FH761" s="35"/>
      <c r="FI761" s="38"/>
      <c r="FJ761" s="35"/>
      <c r="FK761" s="38"/>
      <c r="FL761" s="35"/>
      <c r="FM761" s="38"/>
      <c r="FN761" s="35"/>
      <c r="FO761" s="38"/>
      <c r="FP761" s="35"/>
      <c r="FQ761" s="38"/>
      <c r="FR761" s="35"/>
      <c r="FS761" s="515"/>
      <c r="FT761" s="35"/>
      <c r="FU761" s="515"/>
      <c r="FV761" s="35"/>
      <c r="FW761" s="515"/>
      <c r="FX761" s="35"/>
      <c r="FY761" s="515"/>
      <c r="FZ761" s="35"/>
      <c r="GA761" s="515"/>
      <c r="GB761" s="35"/>
      <c r="GC761" s="515"/>
      <c r="GD761" s="35"/>
      <c r="GE761" s="515"/>
      <c r="GF761" s="35"/>
      <c r="GG761" s="515"/>
      <c r="GH761" s="35"/>
      <c r="GI761" s="515"/>
      <c r="GJ761" s="35"/>
      <c r="GK761" s="515"/>
      <c r="GL761" s="35"/>
      <c r="GM761" s="515"/>
      <c r="GN761" s="35"/>
      <c r="GO761" s="515"/>
      <c r="GP761" s="35"/>
      <c r="GQ761" s="515"/>
      <c r="GR761" s="41">
        <v>-4</v>
      </c>
      <c r="GS761" s="515"/>
      <c r="GT761" s="41">
        <v>-4</v>
      </c>
      <c r="GU761" s="515"/>
      <c r="GV761" s="41">
        <v>-4</v>
      </c>
      <c r="GW761" s="515"/>
      <c r="GX761" s="41">
        <v>-4</v>
      </c>
      <c r="GY761" s="515"/>
      <c r="GZ761" s="30"/>
      <c r="HA761" s="30"/>
      <c r="HB761" s="455"/>
      <c r="HC761"/>
      <c r="HD761"/>
      <c r="HE761"/>
      <c r="HF761"/>
      <c r="HG761"/>
      <c r="HH761"/>
    </row>
    <row r="762" spans="1:216" s="6" customFormat="1" ht="12.75" hidden="1" customHeight="1" outlineLevel="1" x14ac:dyDescent="0.2">
      <c r="B762" s="25"/>
      <c r="C762" s="27"/>
      <c r="D762" s="30"/>
      <c r="E762" s="27"/>
      <c r="F762" s="28"/>
      <c r="G762" s="27"/>
      <c r="H762" s="28"/>
      <c r="I762" s="27"/>
      <c r="J762" s="28"/>
      <c r="K762" s="28"/>
      <c r="L762" s="30"/>
      <c r="M762" s="27"/>
      <c r="N762" s="30"/>
      <c r="O762" s="27"/>
      <c r="P762" s="30"/>
      <c r="Q762" s="27"/>
      <c r="R762" s="30"/>
      <c r="S762" s="28"/>
      <c r="T762" s="30"/>
      <c r="U762" s="27"/>
      <c r="V762" s="30"/>
      <c r="W762" s="27"/>
      <c r="X762" s="30"/>
      <c r="Y762" s="27"/>
      <c r="Z762" s="30"/>
      <c r="AA762" s="28"/>
      <c r="AB762" s="30"/>
      <c r="AC762" s="28"/>
      <c r="AD762" s="30"/>
      <c r="AE762" s="28"/>
      <c r="AF762" s="30"/>
      <c r="AG762" s="28"/>
      <c r="AH762" s="30"/>
      <c r="AI762" s="28"/>
      <c r="AJ762" s="30"/>
      <c r="AK762" s="28"/>
      <c r="AL762" s="30"/>
      <c r="AM762" s="28"/>
      <c r="AN762" s="30"/>
      <c r="AO762" s="28"/>
      <c r="AP762" s="30"/>
      <c r="AQ762" s="28"/>
      <c r="AR762" s="30"/>
      <c r="AS762" s="28"/>
      <c r="AT762" s="30"/>
      <c r="AU762" s="28"/>
      <c r="AV762" s="30"/>
      <c r="AW762" s="28"/>
      <c r="AX762" s="30"/>
      <c r="AY762" s="28"/>
      <c r="AZ762" s="30"/>
      <c r="BA762" s="28"/>
      <c r="BB762" s="30"/>
      <c r="BC762" s="28"/>
      <c r="BD762" s="30"/>
      <c r="BE762" s="28"/>
      <c r="BF762" s="30"/>
      <c r="BG762" s="28"/>
      <c r="BH762" s="30"/>
      <c r="BI762" s="28"/>
      <c r="BJ762" s="30"/>
      <c r="BK762" s="28"/>
      <c r="BL762" s="30"/>
      <c r="BM762" s="28"/>
      <c r="BN762" s="30"/>
      <c r="BO762" s="28"/>
      <c r="BP762" s="30"/>
      <c r="BQ762" s="28"/>
      <c r="BR762" s="30"/>
      <c r="BS762" s="28"/>
      <c r="BT762" s="30"/>
      <c r="BU762" s="28"/>
      <c r="BV762" s="30"/>
      <c r="BW762" s="28"/>
      <c r="BX762" s="30"/>
      <c r="BY762" s="28"/>
      <c r="BZ762" s="30"/>
      <c r="CA762" s="28"/>
      <c r="CB762" s="30"/>
      <c r="CC762" s="28"/>
      <c r="CD762" s="30"/>
      <c r="CE762" s="28"/>
      <c r="CF762" s="30"/>
      <c r="CG762" s="28"/>
      <c r="CH762" s="30"/>
      <c r="CI762" s="28"/>
      <c r="CJ762" s="30"/>
      <c r="CK762" s="28"/>
      <c r="CL762" s="30"/>
      <c r="CM762" s="28"/>
      <c r="CN762" s="30"/>
      <c r="CO762" s="28"/>
      <c r="CP762" s="30"/>
      <c r="CQ762" s="28"/>
      <c r="CR762" s="30"/>
      <c r="CS762" s="28"/>
      <c r="CT762" s="30"/>
      <c r="CU762" s="28"/>
      <c r="CV762" s="30"/>
      <c r="CW762" s="28"/>
      <c r="CX762" s="30"/>
      <c r="CY762" s="28"/>
      <c r="CZ762" s="30"/>
      <c r="DA762" s="28"/>
      <c r="DB762" s="30"/>
      <c r="DC762" s="28"/>
      <c r="DD762" s="30"/>
      <c r="DE762" s="28"/>
      <c r="DF762" s="30"/>
      <c r="DG762" s="28"/>
      <c r="DH762" s="30"/>
      <c r="DI762" s="28"/>
      <c r="DJ762" s="30"/>
      <c r="DK762" s="28"/>
      <c r="DL762" s="30"/>
      <c r="DM762" s="28"/>
      <c r="DN762" s="30"/>
      <c r="DO762" s="28"/>
      <c r="DP762" s="30"/>
      <c r="DQ762" s="28"/>
      <c r="DR762" s="30"/>
      <c r="DS762" s="28"/>
      <c r="DT762" s="30"/>
      <c r="DU762" s="28"/>
      <c r="DV762" s="30"/>
      <c r="DW762" s="28"/>
      <c r="DX762" s="30"/>
      <c r="DY762" s="28"/>
      <c r="DZ762" s="30"/>
      <c r="EA762" s="28"/>
      <c r="EB762" s="30"/>
      <c r="EC762" s="28"/>
      <c r="ED762" s="30"/>
      <c r="EE762" s="28"/>
      <c r="EF762" s="30"/>
      <c r="EG762" s="28"/>
      <c r="EH762" s="30"/>
      <c r="EI762" s="28"/>
      <c r="EJ762" s="30"/>
      <c r="EK762" s="28"/>
      <c r="EL762" s="30"/>
      <c r="EM762" s="28"/>
      <c r="EN762" s="30"/>
      <c r="EO762" s="28"/>
      <c r="EP762" s="30"/>
      <c r="EQ762" s="28"/>
      <c r="ER762" s="30"/>
      <c r="ES762" s="28"/>
      <c r="ET762" s="30"/>
      <c r="EU762" s="28"/>
      <c r="EV762" s="30"/>
      <c r="EW762" s="28"/>
      <c r="EX762" s="30"/>
      <c r="EY762" s="28"/>
      <c r="EZ762" s="558"/>
      <c r="FA762" s="28"/>
      <c r="FB762" s="31"/>
      <c r="FC762" s="28"/>
      <c r="FD762" s="31"/>
      <c r="FE762" s="30"/>
      <c r="FF762" s="32"/>
      <c r="FG762" s="30"/>
      <c r="FH762" s="33"/>
      <c r="FI762" s="30"/>
      <c r="FJ762" s="33"/>
      <c r="FK762" s="30"/>
      <c r="FL762" s="33"/>
      <c r="FM762" s="30"/>
      <c r="FN762" s="34"/>
      <c r="FO762" s="30"/>
      <c r="FP762" s="34"/>
      <c r="FQ762" s="30"/>
      <c r="FR762" s="28"/>
      <c r="FS762" s="30"/>
      <c r="FT762" s="28"/>
      <c r="FU762" s="30"/>
      <c r="FV762" s="28"/>
      <c r="FW762" s="30"/>
      <c r="FX762" s="28"/>
      <c r="FY762" s="30"/>
      <c r="FZ762" s="28"/>
      <c r="GA762" s="30"/>
      <c r="GB762" s="28"/>
      <c r="GC762" s="30"/>
      <c r="GD762" s="28"/>
      <c r="GE762" s="30"/>
      <c r="GF762" s="28"/>
      <c r="GG762" s="30"/>
      <c r="GH762" s="28"/>
      <c r="GI762" s="30"/>
      <c r="GJ762" s="28"/>
      <c r="GK762" s="30"/>
      <c r="GL762" s="28"/>
      <c r="GM762" s="30"/>
      <c r="GN762" s="28"/>
      <c r="GO762" s="30"/>
      <c r="GP762" s="28"/>
      <c r="GQ762" s="30"/>
      <c r="GR762" s="28"/>
      <c r="GS762" s="30"/>
      <c r="GT762" s="28"/>
      <c r="GU762" s="30"/>
      <c r="GV762" s="28"/>
      <c r="GW762" s="30"/>
      <c r="GX762" s="28"/>
      <c r="GY762" s="30"/>
      <c r="GZ762" s="30"/>
      <c r="HA762" s="30"/>
      <c r="HB762" s="455"/>
      <c r="HC762"/>
      <c r="HD762"/>
      <c r="HE762"/>
      <c r="HF762"/>
      <c r="HG762"/>
      <c r="HH762"/>
    </row>
    <row r="763" spans="1:216" s="6" customFormat="1" ht="12.75" hidden="1" customHeight="1" outlineLevel="1" x14ac:dyDescent="0.2">
      <c r="B763" s="29" t="s">
        <v>40</v>
      </c>
      <c r="C763" s="27"/>
      <c r="D763" s="30"/>
      <c r="E763" s="27"/>
      <c r="F763" s="28"/>
      <c r="G763" s="27"/>
      <c r="H763" s="28"/>
      <c r="I763" s="27"/>
      <c r="J763" s="28"/>
      <c r="K763" s="28"/>
      <c r="L763" s="30"/>
      <c r="M763" s="27"/>
      <c r="N763" s="30"/>
      <c r="O763" s="27"/>
      <c r="P763" s="30"/>
      <c r="Q763" s="27"/>
      <c r="R763" s="30"/>
      <c r="S763" s="28"/>
      <c r="T763" s="30"/>
      <c r="U763" s="27"/>
      <c r="V763" s="30"/>
      <c r="W763" s="27"/>
      <c r="X763" s="30"/>
      <c r="Y763" s="27"/>
      <c r="Z763" s="30"/>
      <c r="AA763" s="28"/>
      <c r="AB763" s="30"/>
      <c r="AC763" s="28"/>
      <c r="AD763" s="30"/>
      <c r="AE763" s="28"/>
      <c r="AF763" s="30"/>
      <c r="AG763" s="28"/>
      <c r="AH763" s="30"/>
      <c r="AI763" s="28"/>
      <c r="AJ763" s="30"/>
      <c r="AK763" s="28"/>
      <c r="AL763" s="30"/>
      <c r="AM763" s="28"/>
      <c r="AN763" s="30"/>
      <c r="AO763" s="28"/>
      <c r="AP763" s="30"/>
      <c r="AQ763" s="28"/>
      <c r="AR763" s="30"/>
      <c r="AS763" s="28"/>
      <c r="AT763" s="30"/>
      <c r="AU763" s="28"/>
      <c r="AV763" s="30"/>
      <c r="AW763" s="28"/>
      <c r="AX763" s="30"/>
      <c r="AY763" s="28"/>
      <c r="AZ763" s="30"/>
      <c r="BA763" s="28"/>
      <c r="BB763" s="30"/>
      <c r="BC763" s="28"/>
      <c r="BD763" s="30"/>
      <c r="BE763" s="28"/>
      <c r="BF763" s="30"/>
      <c r="BG763" s="28"/>
      <c r="BH763" s="30"/>
      <c r="BI763" s="28"/>
      <c r="BJ763" s="30"/>
      <c r="BK763" s="28"/>
      <c r="BL763" s="30"/>
      <c r="BM763" s="28"/>
      <c r="BN763" s="30"/>
      <c r="BO763" s="28"/>
      <c r="BP763" s="30"/>
      <c r="BQ763" s="28"/>
      <c r="BR763" s="30"/>
      <c r="BS763" s="28"/>
      <c r="BT763" s="30"/>
      <c r="BU763" s="28"/>
      <c r="BV763" s="30"/>
      <c r="BW763" s="28"/>
      <c r="BX763" s="30"/>
      <c r="BY763" s="28"/>
      <c r="BZ763" s="30"/>
      <c r="CA763" s="28"/>
      <c r="CB763" s="30"/>
      <c r="CC763" s="28"/>
      <c r="CD763" s="30"/>
      <c r="CE763" s="28"/>
      <c r="CF763" s="30"/>
      <c r="CG763" s="28"/>
      <c r="CH763" s="30"/>
      <c r="CI763" s="28"/>
      <c r="CJ763" s="30"/>
      <c r="CK763" s="28"/>
      <c r="CL763" s="30"/>
      <c r="CM763" s="28"/>
      <c r="CN763" s="30"/>
      <c r="CO763" s="28"/>
      <c r="CP763" s="30"/>
      <c r="CQ763" s="28"/>
      <c r="CR763" s="30"/>
      <c r="CS763" s="28"/>
      <c r="CT763" s="30"/>
      <c r="CU763" s="28"/>
      <c r="CV763" s="30"/>
      <c r="CW763" s="28"/>
      <c r="CX763" s="30"/>
      <c r="CY763" s="28"/>
      <c r="CZ763" s="30"/>
      <c r="DA763" s="28"/>
      <c r="DB763" s="30"/>
      <c r="DC763" s="28"/>
      <c r="DD763" s="30"/>
      <c r="DE763" s="28"/>
      <c r="DF763" s="30"/>
      <c r="DG763" s="28"/>
      <c r="DH763" s="30"/>
      <c r="DI763" s="28"/>
      <c r="DJ763" s="30"/>
      <c r="DK763" s="28"/>
      <c r="DL763" s="30"/>
      <c r="DM763" s="28"/>
      <c r="DN763" s="30"/>
      <c r="DO763" s="28"/>
      <c r="DP763" s="30"/>
      <c r="DQ763" s="28"/>
      <c r="DR763" s="30"/>
      <c r="DS763" s="28"/>
      <c r="DT763" s="30"/>
      <c r="DU763" s="28"/>
      <c r="DV763" s="30"/>
      <c r="DW763" s="28"/>
      <c r="DX763" s="30"/>
      <c r="DY763" s="28"/>
      <c r="DZ763" s="30"/>
      <c r="EA763" s="28"/>
      <c r="EB763" s="30"/>
      <c r="EC763" s="28"/>
      <c r="ED763" s="30"/>
      <c r="EE763" s="28"/>
      <c r="EF763" s="30"/>
      <c r="EG763" s="28"/>
      <c r="EH763" s="30"/>
      <c r="EI763" s="28"/>
      <c r="EJ763" s="30"/>
      <c r="EK763" s="28"/>
      <c r="EL763" s="30"/>
      <c r="EM763" s="28"/>
      <c r="EN763" s="30"/>
      <c r="EO763" s="28"/>
      <c r="EP763" s="30"/>
      <c r="EQ763" s="28"/>
      <c r="ER763" s="30"/>
      <c r="ES763" s="28"/>
      <c r="ET763" s="30"/>
      <c r="EU763" s="28"/>
      <c r="EV763" s="30"/>
      <c r="EW763" s="28"/>
      <c r="EX763" s="30"/>
      <c r="EY763" s="28"/>
      <c r="EZ763" s="558"/>
      <c r="FA763" s="28"/>
      <c r="FB763" s="31"/>
      <c r="FC763" s="28"/>
      <c r="FD763" s="31"/>
      <c r="FE763" s="30"/>
      <c r="FF763" s="32"/>
      <c r="FG763" s="30"/>
      <c r="FH763" s="33"/>
      <c r="FI763" s="30"/>
      <c r="FJ763" s="33"/>
      <c r="FK763" s="30"/>
      <c r="FL763" s="33"/>
      <c r="FM763" s="30"/>
      <c r="FN763" s="34"/>
      <c r="FO763" s="30"/>
      <c r="FP763" s="34"/>
      <c r="FQ763" s="30"/>
      <c r="FR763" s="28"/>
      <c r="FS763" s="30"/>
      <c r="FT763" s="28"/>
      <c r="FU763" s="30"/>
      <c r="FV763" s="28"/>
      <c r="FW763" s="30"/>
      <c r="FX763" s="28"/>
      <c r="FY763" s="30"/>
      <c r="FZ763" s="28"/>
      <c r="GA763" s="30"/>
      <c r="GB763" s="28"/>
      <c r="GC763" s="30"/>
      <c r="GD763" s="28"/>
      <c r="GE763" s="30"/>
      <c r="GF763" s="28"/>
      <c r="GG763" s="30"/>
      <c r="GH763" s="28"/>
      <c r="GI763" s="30"/>
      <c r="GJ763" s="28"/>
      <c r="GK763" s="30"/>
      <c r="GL763" s="28"/>
      <c r="GM763" s="30"/>
      <c r="GN763" s="28"/>
      <c r="GO763" s="30"/>
      <c r="GP763" s="28"/>
      <c r="GQ763" s="30"/>
      <c r="GR763" s="28"/>
      <c r="GS763" s="30"/>
      <c r="GT763" s="28"/>
      <c r="GU763" s="30"/>
      <c r="GV763" s="28"/>
      <c r="GW763" s="30"/>
      <c r="GX763" s="28"/>
      <c r="GY763" s="30"/>
      <c r="GZ763" s="30"/>
      <c r="HA763" s="30"/>
      <c r="HB763" s="455"/>
      <c r="HC763"/>
      <c r="HD763"/>
      <c r="HE763"/>
      <c r="HF763"/>
      <c r="HG763"/>
      <c r="HH763"/>
    </row>
    <row r="764" spans="1:216" s="6" customFormat="1" ht="12.75" hidden="1" customHeight="1" outlineLevel="1" x14ac:dyDescent="0.2">
      <c r="B764" s="25" t="s">
        <v>273</v>
      </c>
      <c r="C764" s="27"/>
      <c r="D764" s="30"/>
      <c r="E764" s="27"/>
      <c r="F764" s="28"/>
      <c r="G764" s="27"/>
      <c r="H764" s="28"/>
      <c r="I764" s="27"/>
      <c r="J764" s="28"/>
      <c r="K764" s="28"/>
      <c r="L764" s="30"/>
      <c r="M764" s="27"/>
      <c r="N764" s="30"/>
      <c r="O764" s="27"/>
      <c r="P764" s="30"/>
      <c r="Q764" s="27"/>
      <c r="R764" s="30"/>
      <c r="S764" s="28"/>
      <c r="T764" s="30"/>
      <c r="U764" s="27"/>
      <c r="V764" s="30"/>
      <c r="W764" s="27"/>
      <c r="X764" s="30"/>
      <c r="Y764" s="27"/>
      <c r="Z764" s="30"/>
      <c r="AA764" s="28"/>
      <c r="AB764" s="30"/>
      <c r="AC764" s="28"/>
      <c r="AD764" s="30"/>
      <c r="AE764" s="28"/>
      <c r="AF764" s="30"/>
      <c r="AG764" s="28"/>
      <c r="AH764" s="30"/>
      <c r="AI764" s="28"/>
      <c r="AJ764" s="30"/>
      <c r="AK764" s="28"/>
      <c r="AL764" s="30"/>
      <c r="AM764" s="28"/>
      <c r="AN764" s="30"/>
      <c r="AO764" s="28"/>
      <c r="AP764" s="30"/>
      <c r="AQ764" s="28"/>
      <c r="AR764" s="30"/>
      <c r="AS764" s="28"/>
      <c r="AT764" s="30"/>
      <c r="AU764" s="28"/>
      <c r="AV764" s="30"/>
      <c r="AW764" s="28"/>
      <c r="AX764" s="30"/>
      <c r="AY764" s="28"/>
      <c r="AZ764" s="30"/>
      <c r="BA764" s="28"/>
      <c r="BB764" s="30"/>
      <c r="BC764" s="28"/>
      <c r="BD764" s="30"/>
      <c r="BE764" s="28"/>
      <c r="BF764" s="30"/>
      <c r="BG764" s="28"/>
      <c r="BH764" s="30"/>
      <c r="BI764" s="28"/>
      <c r="BJ764" s="30"/>
      <c r="BK764" s="28"/>
      <c r="BL764" s="30"/>
      <c r="BM764" s="28"/>
      <c r="BN764" s="30"/>
      <c r="BO764" s="28"/>
      <c r="BP764" s="30"/>
      <c r="BQ764" s="28"/>
      <c r="BR764" s="30"/>
      <c r="BS764" s="28"/>
      <c r="BT764" s="30"/>
      <c r="BU764" s="28"/>
      <c r="BV764" s="30"/>
      <c r="BW764" s="28"/>
      <c r="BX764" s="30"/>
      <c r="BY764" s="28"/>
      <c r="BZ764" s="30"/>
      <c r="CA764" s="28"/>
      <c r="CB764" s="30"/>
      <c r="CC764" s="28"/>
      <c r="CD764" s="30"/>
      <c r="CE764" s="28"/>
      <c r="CF764" s="30"/>
      <c r="CG764" s="28"/>
      <c r="CH764" s="30"/>
      <c r="CI764" s="28"/>
      <c r="CJ764" s="30"/>
      <c r="CK764" s="28"/>
      <c r="CL764" s="30"/>
      <c r="CM764" s="28"/>
      <c r="CN764" s="30"/>
      <c r="CO764" s="28"/>
      <c r="CP764" s="30"/>
      <c r="CQ764" s="28"/>
      <c r="CR764" s="30"/>
      <c r="CS764" s="28"/>
      <c r="CT764" s="30"/>
      <c r="CU764" s="28"/>
      <c r="CV764" s="30"/>
      <c r="CW764" s="28"/>
      <c r="CX764" s="30"/>
      <c r="CY764" s="28"/>
      <c r="CZ764" s="30"/>
      <c r="DA764" s="28"/>
      <c r="DB764" s="30"/>
      <c r="DC764" s="28"/>
      <c r="DD764" s="30"/>
      <c r="DE764" s="28"/>
      <c r="DF764" s="30"/>
      <c r="DG764" s="28"/>
      <c r="DH764" s="30"/>
      <c r="DI764" s="28"/>
      <c r="DJ764" s="30"/>
      <c r="DK764" s="28"/>
      <c r="DL764" s="30"/>
      <c r="DM764" s="28"/>
      <c r="DN764" s="30"/>
      <c r="DO764" s="28"/>
      <c r="DP764" s="30"/>
      <c r="DQ764" s="28"/>
      <c r="DR764" s="30"/>
      <c r="DS764" s="28"/>
      <c r="DT764" s="30"/>
      <c r="DU764" s="28"/>
      <c r="DV764" s="30"/>
      <c r="DW764" s="28"/>
      <c r="DX764" s="30"/>
      <c r="DY764" s="39">
        <f>DY601</f>
        <v>200</v>
      </c>
      <c r="DZ764" s="30"/>
      <c r="EA764" s="39">
        <f>EA601</f>
        <v>200</v>
      </c>
      <c r="EB764" s="30"/>
      <c r="EC764" s="39">
        <f>EC601</f>
        <v>275</v>
      </c>
      <c r="ED764" s="30"/>
      <c r="EE764" s="39">
        <f>EE601</f>
        <v>200</v>
      </c>
      <c r="EF764" s="30"/>
      <c r="EG764" s="39">
        <f>EG601</f>
        <v>204</v>
      </c>
      <c r="EH764" s="30"/>
      <c r="EI764" s="39">
        <f>EI601</f>
        <v>200</v>
      </c>
      <c r="EJ764" s="30"/>
      <c r="EK764" s="39">
        <f t="shared" ref="EK764" si="4426">EK601</f>
        <v>200</v>
      </c>
      <c r="EL764" s="30"/>
      <c r="EM764" s="39">
        <f t="shared" ref="EM764" si="4427">EM601</f>
        <v>200</v>
      </c>
      <c r="EN764" s="30"/>
      <c r="EO764" s="39">
        <f t="shared" ref="EO764" si="4428">EO601</f>
        <v>125</v>
      </c>
      <c r="EP764" s="30"/>
      <c r="EQ764" s="39">
        <f t="shared" ref="EQ764:EW764" si="4429">EQ601</f>
        <v>0</v>
      </c>
      <c r="ER764" s="30"/>
      <c r="ES764" s="39">
        <f t="shared" si="4429"/>
        <v>0</v>
      </c>
      <c r="ET764" s="30"/>
      <c r="EU764" s="39">
        <f t="shared" si="4429"/>
        <v>100</v>
      </c>
      <c r="EV764" s="30"/>
      <c r="EW764" s="39">
        <f t="shared" si="4429"/>
        <v>100</v>
      </c>
      <c r="EX764" s="30"/>
      <c r="EY764" s="28"/>
      <c r="EZ764" s="558"/>
      <c r="FA764" s="28"/>
      <c r="FB764" s="31"/>
      <c r="FC764" s="28"/>
      <c r="FD764" s="31"/>
      <c r="FE764" s="30"/>
      <c r="FF764" s="32"/>
      <c r="FG764" s="30"/>
      <c r="FH764" s="33"/>
      <c r="FI764" s="30"/>
      <c r="FJ764" s="33"/>
      <c r="FK764" s="30"/>
      <c r="FL764" s="33"/>
      <c r="FM764" s="30"/>
      <c r="FN764" s="34"/>
      <c r="FO764" s="30"/>
      <c r="FP764" s="34"/>
      <c r="FQ764" s="30"/>
      <c r="FR764" s="28"/>
      <c r="FS764" s="30"/>
      <c r="FT764" s="28"/>
      <c r="FU764" s="30"/>
      <c r="FV764" s="28"/>
      <c r="FW764" s="30"/>
      <c r="FX764" s="28"/>
      <c r="FY764" s="30"/>
      <c r="FZ764" s="28"/>
      <c r="GA764" s="30"/>
      <c r="GB764" s="28"/>
      <c r="GC764" s="30"/>
      <c r="GD764" s="28"/>
      <c r="GE764" s="30"/>
      <c r="GF764" s="28"/>
      <c r="GG764" s="30"/>
      <c r="GH764" s="28"/>
      <c r="GI764" s="30"/>
      <c r="GJ764" s="28"/>
      <c r="GK764" s="30"/>
      <c r="GL764" s="28"/>
      <c r="GM764" s="30"/>
      <c r="GN764" s="28"/>
      <c r="GO764" s="30"/>
      <c r="GP764" s="28"/>
      <c r="GQ764" s="30"/>
      <c r="GR764" s="42">
        <f>GR601</f>
        <v>400</v>
      </c>
      <c r="GS764" s="30"/>
      <c r="GT764" s="42">
        <f>GT601</f>
        <v>500</v>
      </c>
      <c r="GU764" s="30"/>
      <c r="GV764" s="42">
        <f>GV601</f>
        <v>600</v>
      </c>
      <c r="GW764" s="30"/>
      <c r="GX764" s="42">
        <f>GX601</f>
        <v>625</v>
      </c>
      <c r="GY764" s="30"/>
      <c r="GZ764" s="30"/>
      <c r="HA764" s="30"/>
      <c r="HB764" s="455"/>
      <c r="HC764"/>
      <c r="HD764"/>
      <c r="HE764"/>
      <c r="HF764"/>
      <c r="HG764"/>
      <c r="HH764"/>
    </row>
    <row r="765" spans="1:216" s="6" customFormat="1" ht="12.75" hidden="1" customHeight="1" outlineLevel="1" x14ac:dyDescent="0.2">
      <c r="B765" s="25" t="s">
        <v>274</v>
      </c>
      <c r="C765" s="27"/>
      <c r="D765" s="30"/>
      <c r="E765" s="27"/>
      <c r="F765" s="28"/>
      <c r="G765" s="27"/>
      <c r="H765" s="28"/>
      <c r="I765" s="27"/>
      <c r="J765" s="28"/>
      <c r="K765" s="28"/>
      <c r="L765" s="30"/>
      <c r="M765" s="27"/>
      <c r="N765" s="30"/>
      <c r="O765" s="27"/>
      <c r="P765" s="30"/>
      <c r="Q765" s="27"/>
      <c r="R765" s="30"/>
      <c r="S765" s="28"/>
      <c r="T765" s="30"/>
      <c r="U765" s="27"/>
      <c r="V765" s="30"/>
      <c r="W765" s="27"/>
      <c r="X765" s="30"/>
      <c r="Y765" s="27"/>
      <c r="Z765" s="30"/>
      <c r="AA765" s="28"/>
      <c r="AB765" s="30"/>
      <c r="AC765" s="28"/>
      <c r="AD765" s="30"/>
      <c r="AE765" s="28"/>
      <c r="AF765" s="30"/>
      <c r="AG765" s="28"/>
      <c r="AH765" s="30"/>
      <c r="AI765" s="28"/>
      <c r="AJ765" s="30"/>
      <c r="AK765" s="28"/>
      <c r="AL765" s="30"/>
      <c r="AM765" s="28"/>
      <c r="AN765" s="30"/>
      <c r="AO765" s="28"/>
      <c r="AP765" s="30"/>
      <c r="AQ765" s="28"/>
      <c r="AR765" s="30"/>
      <c r="AS765" s="28"/>
      <c r="AT765" s="30"/>
      <c r="AU765" s="28"/>
      <c r="AV765" s="30"/>
      <c r="AW765" s="28"/>
      <c r="AX765" s="30"/>
      <c r="AY765" s="28"/>
      <c r="AZ765" s="30"/>
      <c r="BA765" s="28"/>
      <c r="BB765" s="30"/>
      <c r="BC765" s="28"/>
      <c r="BD765" s="30"/>
      <c r="BE765" s="28"/>
      <c r="BF765" s="30"/>
      <c r="BG765" s="28"/>
      <c r="BH765" s="30"/>
      <c r="BI765" s="28"/>
      <c r="BJ765" s="30"/>
      <c r="BK765" s="28"/>
      <c r="BL765" s="30"/>
      <c r="BM765" s="28"/>
      <c r="BN765" s="30"/>
      <c r="BO765" s="28"/>
      <c r="BP765" s="30"/>
      <c r="BQ765" s="28"/>
      <c r="BR765" s="30"/>
      <c r="BS765" s="28"/>
      <c r="BT765" s="30"/>
      <c r="BU765" s="28"/>
      <c r="BV765" s="30"/>
      <c r="BW765" s="28"/>
      <c r="BX765" s="30"/>
      <c r="BY765" s="28"/>
      <c r="BZ765" s="30"/>
      <c r="CA765" s="28"/>
      <c r="CB765" s="30"/>
      <c r="CC765" s="28"/>
      <c r="CD765" s="30"/>
      <c r="CE765" s="28"/>
      <c r="CF765" s="30"/>
      <c r="CG765" s="28"/>
      <c r="CH765" s="30"/>
      <c r="CI765" s="28"/>
      <c r="CJ765" s="30"/>
      <c r="CK765" s="28"/>
      <c r="CL765" s="30"/>
      <c r="CM765" s="28"/>
      <c r="CN765" s="30"/>
      <c r="CO765" s="28"/>
      <c r="CP765" s="30"/>
      <c r="CQ765" s="28"/>
      <c r="CR765" s="30"/>
      <c r="CS765" s="28"/>
      <c r="CT765" s="30"/>
      <c r="CU765" s="28"/>
      <c r="CV765" s="30"/>
      <c r="CW765" s="28"/>
      <c r="CX765" s="30"/>
      <c r="CY765" s="28"/>
      <c r="CZ765" s="30"/>
      <c r="DA765" s="28"/>
      <c r="DB765" s="30"/>
      <c r="DC765" s="28"/>
      <c r="DD765" s="30"/>
      <c r="DE765" s="28"/>
      <c r="DF765" s="30"/>
      <c r="DG765" s="28"/>
      <c r="DH765" s="30"/>
      <c r="DI765" s="28"/>
      <c r="DJ765" s="30"/>
      <c r="DK765" s="28"/>
      <c r="DL765" s="30"/>
      <c r="DM765" s="28"/>
      <c r="DN765" s="30"/>
      <c r="DO765" s="28"/>
      <c r="DP765" s="30"/>
      <c r="DQ765" s="28"/>
      <c r="DR765" s="30"/>
      <c r="DS765" s="28"/>
      <c r="DT765" s="30"/>
      <c r="DU765" s="28"/>
      <c r="DV765" s="30"/>
      <c r="DW765" s="28"/>
      <c r="DX765" s="30"/>
      <c r="DY765" s="40">
        <v>0</v>
      </c>
      <c r="DZ765" s="30"/>
      <c r="EA765" s="40">
        <v>0</v>
      </c>
      <c r="EB765" s="30"/>
      <c r="EC765" s="40">
        <v>0</v>
      </c>
      <c r="ED765" s="30"/>
      <c r="EE765" s="40">
        <v>0</v>
      </c>
      <c r="EF765" s="30"/>
      <c r="EG765" s="40">
        <v>0</v>
      </c>
      <c r="EH765" s="30"/>
      <c r="EI765" s="40">
        <v>0</v>
      </c>
      <c r="EJ765" s="30"/>
      <c r="EK765" s="40">
        <v>0</v>
      </c>
      <c r="EL765" s="30"/>
      <c r="EM765" s="40">
        <v>0</v>
      </c>
      <c r="EN765" s="30"/>
      <c r="EO765" s="40">
        <v>0</v>
      </c>
      <c r="EP765" s="30"/>
      <c r="EQ765" s="40">
        <v>0</v>
      </c>
      <c r="ER765" s="30"/>
      <c r="ES765" s="40">
        <v>0</v>
      </c>
      <c r="ET765" s="30"/>
      <c r="EU765" s="40">
        <v>0</v>
      </c>
      <c r="EV765" s="30"/>
      <c r="EW765" s="40">
        <v>0</v>
      </c>
      <c r="EX765" s="30"/>
      <c r="EY765" s="28"/>
      <c r="EZ765" s="558"/>
      <c r="FA765" s="28"/>
      <c r="FB765" s="31"/>
      <c r="FC765" s="28"/>
      <c r="FD765" s="31"/>
      <c r="FE765" s="30"/>
      <c r="FF765" s="32"/>
      <c r="FG765" s="30"/>
      <c r="FH765" s="33"/>
      <c r="FI765" s="30"/>
      <c r="FJ765" s="33"/>
      <c r="FK765" s="30"/>
      <c r="FL765" s="33"/>
      <c r="FM765" s="30"/>
      <c r="FN765" s="34"/>
      <c r="FO765" s="30"/>
      <c r="FP765" s="34"/>
      <c r="FQ765" s="30"/>
      <c r="FR765" s="28"/>
      <c r="FS765" s="516"/>
      <c r="FT765" s="28"/>
      <c r="FU765" s="516"/>
      <c r="FV765" s="28"/>
      <c r="FW765" s="516"/>
      <c r="FX765" s="28"/>
      <c r="FY765" s="516"/>
      <c r="FZ765" s="28"/>
      <c r="GA765" s="516"/>
      <c r="GB765" s="28"/>
      <c r="GC765" s="516"/>
      <c r="GD765" s="28"/>
      <c r="GE765" s="516"/>
      <c r="GF765" s="28"/>
      <c r="GG765" s="516"/>
      <c r="GH765" s="28"/>
      <c r="GI765" s="516"/>
      <c r="GJ765" s="28"/>
      <c r="GK765" s="516"/>
      <c r="GL765" s="28"/>
      <c r="GM765" s="516"/>
      <c r="GN765" s="28"/>
      <c r="GO765" s="516"/>
      <c r="GP765" s="28"/>
      <c r="GQ765" s="516"/>
      <c r="GR765" s="43">
        <v>250</v>
      </c>
      <c r="GS765" s="516"/>
      <c r="GT765" s="43">
        <v>250</v>
      </c>
      <c r="GU765" s="516"/>
      <c r="GV765" s="43">
        <v>250</v>
      </c>
      <c r="GW765" s="516"/>
      <c r="GX765" s="43">
        <v>250</v>
      </c>
      <c r="GY765" s="516"/>
      <c r="GZ765" s="30"/>
      <c r="HA765" s="30"/>
      <c r="HB765" s="455"/>
      <c r="HC765"/>
      <c r="HD765"/>
      <c r="HE765"/>
      <c r="HF765"/>
      <c r="HG765"/>
      <c r="HH765"/>
    </row>
    <row r="766" spans="1:216" s="6" customFormat="1" ht="12.75" hidden="1" customHeight="1" outlineLevel="1" x14ac:dyDescent="0.2">
      <c r="B766" s="25" t="s">
        <v>591</v>
      </c>
      <c r="C766" s="27"/>
      <c r="D766" s="30"/>
      <c r="E766" s="27"/>
      <c r="F766" s="28"/>
      <c r="G766" s="27"/>
      <c r="H766" s="28"/>
      <c r="I766" s="27"/>
      <c r="J766" s="28"/>
      <c r="K766" s="28"/>
      <c r="L766" s="30"/>
      <c r="M766" s="27"/>
      <c r="N766" s="30"/>
      <c r="O766" s="27"/>
      <c r="P766" s="30"/>
      <c r="Q766" s="27"/>
      <c r="R766" s="30"/>
      <c r="S766" s="28"/>
      <c r="T766" s="30"/>
      <c r="U766" s="27"/>
      <c r="V766" s="30"/>
      <c r="W766" s="27"/>
      <c r="X766" s="30"/>
      <c r="Y766" s="27"/>
      <c r="Z766" s="30"/>
      <c r="AA766" s="28"/>
      <c r="AB766" s="30"/>
      <c r="AC766" s="28"/>
      <c r="AD766" s="30"/>
      <c r="AE766" s="28"/>
      <c r="AF766" s="30"/>
      <c r="AG766" s="28"/>
      <c r="AH766" s="30"/>
      <c r="AI766" s="28"/>
      <c r="AJ766" s="30"/>
      <c r="AK766" s="28"/>
      <c r="AL766" s="30"/>
      <c r="AM766" s="28"/>
      <c r="AN766" s="30"/>
      <c r="AO766" s="28"/>
      <c r="AP766" s="30"/>
      <c r="AQ766" s="28"/>
      <c r="AR766" s="30"/>
      <c r="AS766" s="28"/>
      <c r="AT766" s="30"/>
      <c r="AU766" s="28"/>
      <c r="AV766" s="30"/>
      <c r="AW766" s="28"/>
      <c r="AX766" s="30"/>
      <c r="AY766" s="28"/>
      <c r="AZ766" s="30"/>
      <c r="BA766" s="28"/>
      <c r="BB766" s="30"/>
      <c r="BC766" s="28"/>
      <c r="BD766" s="30"/>
      <c r="BE766" s="28"/>
      <c r="BF766" s="30"/>
      <c r="BG766" s="28"/>
      <c r="BH766" s="30"/>
      <c r="BI766" s="28"/>
      <c r="BJ766" s="30"/>
      <c r="BK766" s="28"/>
      <c r="BL766" s="30"/>
      <c r="BM766" s="28"/>
      <c r="BN766" s="30"/>
      <c r="BO766" s="28"/>
      <c r="BP766" s="30"/>
      <c r="BQ766" s="28"/>
      <c r="BR766" s="30"/>
      <c r="BS766" s="28"/>
      <c r="BT766" s="30"/>
      <c r="BU766" s="28"/>
      <c r="BV766" s="30"/>
      <c r="BW766" s="28"/>
      <c r="BX766" s="30"/>
      <c r="BY766" s="28"/>
      <c r="BZ766" s="30"/>
      <c r="CA766" s="28"/>
      <c r="CB766" s="30"/>
      <c r="CC766" s="28"/>
      <c r="CD766" s="30"/>
      <c r="CE766" s="28"/>
      <c r="CF766" s="30"/>
      <c r="CG766" s="28"/>
      <c r="CH766" s="30"/>
      <c r="CI766" s="28"/>
      <c r="CJ766" s="30"/>
      <c r="CK766" s="28"/>
      <c r="CL766" s="30"/>
      <c r="CM766" s="28"/>
      <c r="CN766" s="30"/>
      <c r="CO766" s="28"/>
      <c r="CP766" s="30"/>
      <c r="CQ766" s="28"/>
      <c r="CR766" s="30"/>
      <c r="CS766" s="28"/>
      <c r="CT766" s="30"/>
      <c r="CU766" s="28"/>
      <c r="CV766" s="30"/>
      <c r="CW766" s="28"/>
      <c r="CX766" s="30"/>
      <c r="CY766" s="28"/>
      <c r="CZ766" s="30"/>
      <c r="DA766" s="28"/>
      <c r="DB766" s="30"/>
      <c r="DC766" s="28"/>
      <c r="DD766" s="30"/>
      <c r="DE766" s="28"/>
      <c r="DF766" s="30"/>
      <c r="DG766" s="28"/>
      <c r="DH766" s="30"/>
      <c r="DI766" s="28"/>
      <c r="DJ766" s="30"/>
      <c r="DK766" s="28"/>
      <c r="DL766" s="30"/>
      <c r="DM766" s="28"/>
      <c r="DN766" s="30"/>
      <c r="DO766" s="28"/>
      <c r="DP766" s="30"/>
      <c r="DQ766" s="28"/>
      <c r="DR766" s="30"/>
      <c r="DS766" s="28"/>
      <c r="DT766" s="30"/>
      <c r="DU766" s="28"/>
      <c r="DV766" s="30"/>
      <c r="DW766" s="28"/>
      <c r="DX766" s="30"/>
      <c r="DY766" s="41">
        <v>-50</v>
      </c>
      <c r="DZ766" s="30"/>
      <c r="EA766" s="41">
        <v>-50</v>
      </c>
      <c r="EB766" s="30"/>
      <c r="EC766" s="41">
        <v>-50</v>
      </c>
      <c r="ED766" s="30"/>
      <c r="EE766" s="41">
        <v>-50</v>
      </c>
      <c r="EF766" s="30"/>
      <c r="EG766" s="41">
        <v>-50</v>
      </c>
      <c r="EH766" s="30"/>
      <c r="EI766" s="41">
        <v>-50</v>
      </c>
      <c r="EJ766" s="30"/>
      <c r="EK766" s="41">
        <v>-50</v>
      </c>
      <c r="EL766" s="30"/>
      <c r="EM766" s="41">
        <v>-50</v>
      </c>
      <c r="EN766" s="30"/>
      <c r="EO766" s="41">
        <v>-50</v>
      </c>
      <c r="EP766" s="30"/>
      <c r="EQ766" s="41">
        <v>-50</v>
      </c>
      <c r="ER766" s="30"/>
      <c r="ES766" s="41">
        <v>-50</v>
      </c>
      <c r="ET766" s="30"/>
      <c r="EU766" s="41">
        <v>-50</v>
      </c>
      <c r="EV766" s="30"/>
      <c r="EW766" s="41">
        <v>-50</v>
      </c>
      <c r="EX766" s="30"/>
      <c r="EY766" s="28"/>
      <c r="EZ766" s="558"/>
      <c r="FA766" s="28"/>
      <c r="FB766" s="31"/>
      <c r="FC766" s="28"/>
      <c r="FD766" s="31"/>
      <c r="FE766" s="30"/>
      <c r="FF766" s="32"/>
      <c r="FG766" s="30"/>
      <c r="FH766" s="33"/>
      <c r="FI766" s="30"/>
      <c r="FJ766" s="33"/>
      <c r="FK766" s="30"/>
      <c r="FL766" s="33"/>
      <c r="FM766" s="30"/>
      <c r="FN766" s="34"/>
      <c r="FO766" s="30"/>
      <c r="FP766" s="34"/>
      <c r="FQ766" s="30"/>
      <c r="FR766" s="28"/>
      <c r="FS766" s="516"/>
      <c r="FT766" s="28"/>
      <c r="FU766" s="516"/>
      <c r="FV766" s="28"/>
      <c r="FW766" s="516"/>
      <c r="FX766" s="28"/>
      <c r="FY766" s="516"/>
      <c r="FZ766" s="28"/>
      <c r="GA766" s="516"/>
      <c r="GB766" s="28"/>
      <c r="GC766" s="516"/>
      <c r="GD766" s="28"/>
      <c r="GE766" s="516"/>
      <c r="GF766" s="28"/>
      <c r="GG766" s="516"/>
      <c r="GH766" s="28"/>
      <c r="GI766" s="516"/>
      <c r="GJ766" s="28"/>
      <c r="GK766" s="516"/>
      <c r="GL766" s="28"/>
      <c r="GM766" s="516"/>
      <c r="GN766" s="28"/>
      <c r="GO766" s="516"/>
      <c r="GP766" s="28"/>
      <c r="GQ766" s="516"/>
      <c r="GR766" s="44">
        <v>-250</v>
      </c>
      <c r="GS766" s="516"/>
      <c r="GT766" s="44">
        <v>-250</v>
      </c>
      <c r="GU766" s="516"/>
      <c r="GV766" s="44">
        <v>-250</v>
      </c>
      <c r="GW766" s="516"/>
      <c r="GX766" s="44">
        <v>-250</v>
      </c>
      <c r="GY766" s="516"/>
      <c r="GZ766" s="30"/>
      <c r="HA766" s="30"/>
      <c r="HB766" s="455"/>
      <c r="HC766"/>
      <c r="HD766"/>
      <c r="HE766"/>
      <c r="HF766"/>
      <c r="HG766"/>
      <c r="HH766"/>
    </row>
    <row r="767" spans="1:216" s="6" customFormat="1" ht="12.75" hidden="1" customHeight="1" outlineLevel="1" x14ac:dyDescent="0.2">
      <c r="B767" s="25"/>
      <c r="C767" s="27"/>
      <c r="D767" s="30"/>
      <c r="E767" s="27"/>
      <c r="F767" s="28"/>
      <c r="G767" s="27"/>
      <c r="H767" s="28"/>
      <c r="I767" s="27"/>
      <c r="J767" s="28"/>
      <c r="K767" s="28"/>
      <c r="L767" s="30"/>
      <c r="M767" s="27"/>
      <c r="N767" s="30"/>
      <c r="O767" s="27"/>
      <c r="P767" s="30"/>
      <c r="Q767" s="27"/>
      <c r="R767" s="30"/>
      <c r="S767" s="28"/>
      <c r="T767" s="30"/>
      <c r="U767" s="27"/>
      <c r="V767" s="30"/>
      <c r="W767" s="27"/>
      <c r="X767" s="30"/>
      <c r="Y767" s="27"/>
      <c r="Z767" s="30"/>
      <c r="AA767" s="28"/>
      <c r="AB767" s="30"/>
      <c r="AC767" s="28"/>
      <c r="AD767" s="30"/>
      <c r="AE767" s="28"/>
      <c r="AF767" s="30"/>
      <c r="AG767" s="28"/>
      <c r="AH767" s="30"/>
      <c r="AI767" s="28"/>
      <c r="AJ767" s="30"/>
      <c r="AK767" s="28"/>
      <c r="AL767" s="30"/>
      <c r="AM767" s="28"/>
      <c r="AN767" s="30"/>
      <c r="AO767" s="28"/>
      <c r="AP767" s="30"/>
      <c r="AQ767" s="28"/>
      <c r="AR767" s="30"/>
      <c r="AS767" s="28"/>
      <c r="AT767" s="30"/>
      <c r="AU767" s="28"/>
      <c r="AV767" s="30"/>
      <c r="AW767" s="28"/>
      <c r="AX767" s="30"/>
      <c r="AY767" s="28"/>
      <c r="AZ767" s="30"/>
      <c r="BA767" s="28"/>
      <c r="BB767" s="30"/>
      <c r="BC767" s="28"/>
      <c r="BD767" s="30"/>
      <c r="BE767" s="28"/>
      <c r="BF767" s="30"/>
      <c r="BG767" s="28"/>
      <c r="BH767" s="30"/>
      <c r="BI767" s="28"/>
      <c r="BJ767" s="30"/>
      <c r="BK767" s="28"/>
      <c r="BL767" s="30"/>
      <c r="BM767" s="28"/>
      <c r="BN767" s="30"/>
      <c r="BO767" s="28"/>
      <c r="BP767" s="30"/>
      <c r="BQ767" s="28"/>
      <c r="BR767" s="30"/>
      <c r="BS767" s="28"/>
      <c r="BT767" s="30"/>
      <c r="BU767" s="28"/>
      <c r="BV767" s="30"/>
      <c r="BW767" s="28"/>
      <c r="BX767" s="30"/>
      <c r="BY767" s="28"/>
      <c r="BZ767" s="30"/>
      <c r="CA767" s="28"/>
      <c r="CB767" s="30"/>
      <c r="CC767" s="28"/>
      <c r="CD767" s="30"/>
      <c r="CE767" s="28"/>
      <c r="CF767" s="30"/>
      <c r="CG767" s="28"/>
      <c r="CH767" s="30"/>
      <c r="CI767" s="28"/>
      <c r="CJ767" s="30"/>
      <c r="CK767" s="28"/>
      <c r="CL767" s="30"/>
      <c r="CM767" s="28"/>
      <c r="CN767" s="30"/>
      <c r="CO767" s="28"/>
      <c r="CP767" s="30"/>
      <c r="CQ767" s="28"/>
      <c r="CR767" s="30"/>
      <c r="CS767" s="28"/>
      <c r="CT767" s="30"/>
      <c r="CU767" s="28"/>
      <c r="CV767" s="30"/>
      <c r="CW767" s="28"/>
      <c r="CX767" s="30"/>
      <c r="CY767" s="28"/>
      <c r="CZ767" s="30"/>
      <c r="DA767" s="28"/>
      <c r="DB767" s="30"/>
      <c r="DC767" s="28"/>
      <c r="DD767" s="30"/>
      <c r="DE767" s="28"/>
      <c r="DF767" s="30"/>
      <c r="DG767" s="28"/>
      <c r="DH767" s="30"/>
      <c r="DI767" s="28"/>
      <c r="DJ767" s="30"/>
      <c r="DK767" s="28"/>
      <c r="DL767" s="30"/>
      <c r="DM767" s="28"/>
      <c r="DN767" s="30"/>
      <c r="DO767" s="28"/>
      <c r="DP767" s="30"/>
      <c r="DQ767" s="28"/>
      <c r="DR767" s="30"/>
      <c r="DS767" s="28"/>
      <c r="DT767" s="30"/>
      <c r="DU767" s="28"/>
      <c r="DV767" s="30"/>
      <c r="DW767" s="28"/>
      <c r="DX767" s="30"/>
      <c r="DY767" s="28"/>
      <c r="DZ767" s="30"/>
      <c r="EA767" s="28"/>
      <c r="EB767" s="30"/>
      <c r="EC767" s="28"/>
      <c r="ED767" s="30"/>
      <c r="EE767" s="28"/>
      <c r="EF767" s="30"/>
      <c r="EG767" s="28"/>
      <c r="EH767" s="30"/>
      <c r="EI767" s="28"/>
      <c r="EJ767" s="30"/>
      <c r="EK767" s="28"/>
      <c r="EL767" s="30"/>
      <c r="EM767" s="28"/>
      <c r="EN767" s="30"/>
      <c r="EO767" s="28"/>
      <c r="EP767" s="30"/>
      <c r="EQ767" s="28"/>
      <c r="ER767" s="30"/>
      <c r="ES767" s="28"/>
      <c r="ET767" s="30"/>
      <c r="EU767" s="28"/>
      <c r="EV767" s="30"/>
      <c r="EW767" s="28"/>
      <c r="EX767" s="30"/>
      <c r="EY767" s="28"/>
      <c r="EZ767" s="558"/>
      <c r="FA767" s="28"/>
      <c r="FB767" s="31"/>
      <c r="FC767" s="28"/>
      <c r="FD767" s="31"/>
      <c r="FE767" s="30"/>
      <c r="FF767" s="32"/>
      <c r="FG767" s="30"/>
      <c r="FH767" s="33"/>
      <c r="FI767" s="30"/>
      <c r="FJ767" s="33"/>
      <c r="FK767" s="30"/>
      <c r="FL767" s="33"/>
      <c r="FM767" s="30"/>
      <c r="FN767" s="34"/>
      <c r="FO767" s="30"/>
      <c r="FP767" s="34"/>
      <c r="FQ767" s="30"/>
      <c r="FR767" s="28"/>
      <c r="FS767" s="30"/>
      <c r="FT767" s="28"/>
      <c r="FU767" s="30"/>
      <c r="FV767" s="28"/>
      <c r="FW767" s="30"/>
      <c r="FX767" s="28"/>
      <c r="FY767" s="30"/>
      <c r="FZ767" s="28"/>
      <c r="GA767" s="30"/>
      <c r="GB767" s="28"/>
      <c r="GC767" s="30"/>
      <c r="GD767" s="28"/>
      <c r="GE767" s="30"/>
      <c r="GF767" s="28"/>
      <c r="GG767" s="30"/>
      <c r="GH767" s="28"/>
      <c r="GI767" s="30"/>
      <c r="GJ767" s="28"/>
      <c r="GK767" s="30"/>
      <c r="GL767" s="28"/>
      <c r="GM767" s="30"/>
      <c r="GN767" s="28"/>
      <c r="GO767" s="30"/>
      <c r="GP767" s="28"/>
      <c r="GQ767" s="30"/>
      <c r="GR767" s="28"/>
      <c r="GS767" s="30"/>
      <c r="GT767" s="28"/>
      <c r="GU767" s="30"/>
      <c r="GV767" s="28"/>
      <c r="GW767" s="30"/>
      <c r="GX767" s="28"/>
      <c r="GY767" s="30"/>
      <c r="GZ767" s="30"/>
      <c r="HA767" s="30"/>
      <c r="HB767" s="455"/>
      <c r="HC767"/>
      <c r="HD767"/>
      <c r="HE767"/>
      <c r="HF767"/>
      <c r="HG767"/>
      <c r="HH767"/>
    </row>
    <row r="768" spans="1:216" s="6" customFormat="1" ht="12.75" hidden="1" customHeight="1" outlineLevel="1" x14ac:dyDescent="0.2">
      <c r="B768" s="29" t="s">
        <v>592</v>
      </c>
      <c r="C768" s="27"/>
      <c r="D768" s="30"/>
      <c r="E768" s="27"/>
      <c r="F768" s="28"/>
      <c r="G768" s="27"/>
      <c r="H768" s="28"/>
      <c r="I768" s="27"/>
      <c r="J768" s="28"/>
      <c r="K768" s="28"/>
      <c r="L768" s="30"/>
      <c r="M768" s="27"/>
      <c r="N768" s="30"/>
      <c r="O768" s="27"/>
      <c r="P768" s="30"/>
      <c r="Q768" s="27"/>
      <c r="R768" s="30"/>
      <c r="S768" s="28"/>
      <c r="T768" s="30"/>
      <c r="U768" s="27"/>
      <c r="V768" s="30"/>
      <c r="W768" s="27"/>
      <c r="X768" s="30"/>
      <c r="Y768" s="27"/>
      <c r="Z768" s="30"/>
      <c r="AA768" s="28"/>
      <c r="AB768" s="30"/>
      <c r="AC768" s="28"/>
      <c r="AD768" s="30"/>
      <c r="AE768" s="28"/>
      <c r="AF768" s="30"/>
      <c r="AG768" s="28"/>
      <c r="AH768" s="30"/>
      <c r="AI768" s="28"/>
      <c r="AJ768" s="30"/>
      <c r="AK768" s="28"/>
      <c r="AL768" s="30"/>
      <c r="AM768" s="28"/>
      <c r="AN768" s="30"/>
      <c r="AO768" s="28"/>
      <c r="AP768" s="30"/>
      <c r="AQ768" s="28"/>
      <c r="AR768" s="30"/>
      <c r="AS768" s="28"/>
      <c r="AT768" s="30"/>
      <c r="AU768" s="28"/>
      <c r="AV768" s="30"/>
      <c r="AW768" s="28"/>
      <c r="AX768" s="30"/>
      <c r="AY768" s="28"/>
      <c r="AZ768" s="30"/>
      <c r="BA768" s="28"/>
      <c r="BB768" s="30"/>
      <c r="BC768" s="28"/>
      <c r="BD768" s="30"/>
      <c r="BE768" s="28"/>
      <c r="BF768" s="30"/>
      <c r="BG768" s="28"/>
      <c r="BH768" s="30"/>
      <c r="BI768" s="28"/>
      <c r="BJ768" s="30"/>
      <c r="BK768" s="28"/>
      <c r="BL768" s="30"/>
      <c r="BM768" s="28"/>
      <c r="BN768" s="30"/>
      <c r="BO768" s="28"/>
      <c r="BP768" s="30"/>
      <c r="BQ768" s="28"/>
      <c r="BR768" s="30"/>
      <c r="BS768" s="28"/>
      <c r="BT768" s="30"/>
      <c r="BU768" s="28"/>
      <c r="BV768" s="30"/>
      <c r="BW768" s="28"/>
      <c r="BX768" s="30"/>
      <c r="BY768" s="28"/>
      <c r="BZ768" s="30"/>
      <c r="CA768" s="28"/>
      <c r="CB768" s="30"/>
      <c r="CC768" s="28"/>
      <c r="CD768" s="30"/>
      <c r="CE768" s="28"/>
      <c r="CF768" s="30"/>
      <c r="CG768" s="28"/>
      <c r="CH768" s="30"/>
      <c r="CI768" s="28"/>
      <c r="CJ768" s="30"/>
      <c r="CK768" s="28"/>
      <c r="CL768" s="30"/>
      <c r="CM768" s="28"/>
      <c r="CN768" s="30"/>
      <c r="CO768" s="28"/>
      <c r="CP768" s="30"/>
      <c r="CQ768" s="28"/>
      <c r="CR768" s="30"/>
      <c r="CS768" s="28"/>
      <c r="CT768" s="30"/>
      <c r="CU768" s="28"/>
      <c r="CV768" s="30"/>
      <c r="CW768" s="28"/>
      <c r="CX768" s="30"/>
      <c r="CY768" s="28"/>
      <c r="CZ768" s="30"/>
      <c r="DA768" s="28"/>
      <c r="DB768" s="30"/>
      <c r="DC768" s="28"/>
      <c r="DD768" s="30"/>
      <c r="DE768" s="28"/>
      <c r="DF768" s="30"/>
      <c r="DG768" s="28"/>
      <c r="DH768" s="30"/>
      <c r="DI768" s="28"/>
      <c r="DJ768" s="30"/>
      <c r="DK768" s="28"/>
      <c r="DL768" s="30"/>
      <c r="DM768" s="28"/>
      <c r="DN768" s="30"/>
      <c r="DO768" s="28"/>
      <c r="DP768" s="30"/>
      <c r="DQ768" s="28"/>
      <c r="DR768" s="30"/>
      <c r="DS768" s="28"/>
      <c r="DT768" s="30"/>
      <c r="DU768" s="28"/>
      <c r="DV768" s="30"/>
      <c r="DW768" s="28"/>
      <c r="DX768" s="30"/>
      <c r="DY768" s="28"/>
      <c r="DZ768" s="30"/>
      <c r="EA768" s="28"/>
      <c r="EB768" s="30"/>
      <c r="EC768" s="28"/>
      <c r="ED768" s="30"/>
      <c r="EE768" s="28"/>
      <c r="EF768" s="30"/>
      <c r="EG768" s="28"/>
      <c r="EH768" s="30"/>
      <c r="EI768" s="28"/>
      <c r="EJ768" s="30"/>
      <c r="EK768" s="28"/>
      <c r="EL768" s="30"/>
      <c r="EM768" s="28"/>
      <c r="EN768" s="30"/>
      <c r="EO768" s="28"/>
      <c r="EP768" s="30"/>
      <c r="EQ768" s="28"/>
      <c r="ER768" s="30"/>
      <c r="ES768" s="28"/>
      <c r="ET768" s="30"/>
      <c r="EU768" s="28"/>
      <c r="EV768" s="30"/>
      <c r="EW768" s="28"/>
      <c r="EX768" s="30"/>
      <c r="EY768" s="28"/>
      <c r="EZ768" s="558"/>
      <c r="FA768" s="28"/>
      <c r="FB768" s="31"/>
      <c r="FC768" s="28"/>
      <c r="FD768" s="31"/>
      <c r="FE768" s="30"/>
      <c r="FF768" s="32"/>
      <c r="FG768" s="30"/>
      <c r="FH768" s="33"/>
      <c r="FI768" s="30"/>
      <c r="FJ768" s="33"/>
      <c r="FK768" s="30"/>
      <c r="FL768" s="33"/>
      <c r="FM768" s="30"/>
      <c r="FN768" s="34"/>
      <c r="FO768" s="30"/>
      <c r="FP768" s="34"/>
      <c r="FQ768" s="30"/>
      <c r="FR768" s="28"/>
      <c r="FS768" s="30"/>
      <c r="FT768" s="28"/>
      <c r="FU768" s="30"/>
      <c r="FV768" s="28"/>
      <c r="FW768" s="30"/>
      <c r="FX768" s="28"/>
      <c r="FY768" s="30"/>
      <c r="FZ768" s="28"/>
      <c r="GA768" s="30"/>
      <c r="GB768" s="28"/>
      <c r="GC768" s="30"/>
      <c r="GD768" s="28"/>
      <c r="GE768" s="30"/>
      <c r="GF768" s="28"/>
      <c r="GG768" s="30"/>
      <c r="GH768" s="28"/>
      <c r="GI768" s="30"/>
      <c r="GJ768" s="28"/>
      <c r="GK768" s="30"/>
      <c r="GL768" s="28"/>
      <c r="GM768" s="30"/>
      <c r="GN768" s="28"/>
      <c r="GO768" s="30"/>
      <c r="GP768" s="28"/>
      <c r="GQ768" s="30"/>
      <c r="GR768" s="28"/>
      <c r="GS768" s="30"/>
      <c r="GT768" s="28"/>
      <c r="GU768" s="30"/>
      <c r="GV768" s="28"/>
      <c r="GW768" s="30"/>
      <c r="GX768" s="28"/>
      <c r="GY768" s="30"/>
      <c r="GZ768" s="30"/>
      <c r="HA768" s="30"/>
      <c r="HB768" s="455"/>
      <c r="HC768"/>
      <c r="HD768"/>
      <c r="HE768"/>
      <c r="HF768"/>
      <c r="HG768"/>
      <c r="HH768"/>
    </row>
    <row r="769" spans="2:216" s="6" customFormat="1" ht="12.75" hidden="1" customHeight="1" outlineLevel="1" x14ac:dyDescent="0.2">
      <c r="B769" s="29" t="s">
        <v>615</v>
      </c>
      <c r="C769" s="27"/>
      <c r="D769" s="30"/>
      <c r="E769" s="27"/>
      <c r="F769" s="28"/>
      <c r="G769" s="27"/>
      <c r="H769" s="28"/>
      <c r="I769" s="27"/>
      <c r="J769" s="28"/>
      <c r="K769" s="28"/>
      <c r="L769" s="30"/>
      <c r="M769" s="27"/>
      <c r="N769" s="30"/>
      <c r="O769" s="27"/>
      <c r="P769" s="30"/>
      <c r="Q769" s="27"/>
      <c r="R769" s="30"/>
      <c r="S769" s="28"/>
      <c r="T769" s="30"/>
      <c r="U769" s="27"/>
      <c r="V769" s="30"/>
      <c r="W769" s="27"/>
      <c r="X769" s="30"/>
      <c r="Y769" s="27"/>
      <c r="Z769" s="30"/>
      <c r="AA769" s="28"/>
      <c r="AB769" s="30"/>
      <c r="AC769" s="28"/>
      <c r="AD769" s="30"/>
      <c r="AE769" s="28"/>
      <c r="AF769" s="30"/>
      <c r="AG769" s="28"/>
      <c r="AH769" s="30"/>
      <c r="AI769" s="28"/>
      <c r="AJ769" s="30"/>
      <c r="AK769" s="28"/>
      <c r="AL769" s="30"/>
      <c r="AM769" s="28"/>
      <c r="AN769" s="30"/>
      <c r="AO769" s="28"/>
      <c r="AP769" s="30"/>
      <c r="AQ769" s="28"/>
      <c r="AR769" s="30"/>
      <c r="AS769" s="28"/>
      <c r="AT769" s="30"/>
      <c r="AU769" s="28"/>
      <c r="AV769" s="30"/>
      <c r="AW769" s="28"/>
      <c r="AX769" s="30"/>
      <c r="AY769" s="28"/>
      <c r="AZ769" s="30"/>
      <c r="BA769" s="28"/>
      <c r="BB769" s="30"/>
      <c r="BC769" s="28"/>
      <c r="BD769" s="30"/>
      <c r="BE769" s="28"/>
      <c r="BF769" s="30"/>
      <c r="BG769" s="28"/>
      <c r="BH769" s="504"/>
      <c r="BI769" s="28"/>
      <c r="BJ769" s="504"/>
      <c r="BK769" s="28"/>
      <c r="BL769" s="504"/>
      <c r="BM769" s="28"/>
      <c r="BN769" s="504"/>
      <c r="BO769" s="28"/>
      <c r="BP769" s="504"/>
      <c r="BQ769" s="28"/>
      <c r="BR769" s="504"/>
      <c r="BS769" s="28"/>
      <c r="BT769" s="504"/>
      <c r="BU769" s="28"/>
      <c r="BV769" s="504"/>
      <c r="BW769" s="28"/>
      <c r="BX769" s="504"/>
      <c r="BY769" s="28"/>
      <c r="BZ769" s="504"/>
      <c r="CA769" s="28"/>
      <c r="CB769" s="504"/>
      <c r="CC769" s="28"/>
      <c r="CD769" s="504"/>
      <c r="CE769" s="28"/>
      <c r="CF769" s="504"/>
      <c r="CG769" s="28"/>
      <c r="CH769" s="504"/>
      <c r="CI769" s="28"/>
      <c r="CJ769" s="504"/>
      <c r="CK769" s="28"/>
      <c r="CL769" s="504"/>
      <c r="CM769" s="28"/>
      <c r="CN769" s="504"/>
      <c r="CO769" s="28"/>
      <c r="CP769" s="504"/>
      <c r="CQ769" s="28"/>
      <c r="CR769" s="504"/>
      <c r="CS769" s="28"/>
      <c r="CT769" s="504"/>
      <c r="CU769" s="28"/>
      <c r="CV769" s="504"/>
      <c r="CW769" s="28"/>
      <c r="CX769" s="504"/>
      <c r="CY769" s="28"/>
      <c r="CZ769" s="504"/>
      <c r="DA769" s="28"/>
      <c r="DB769" s="504"/>
      <c r="DC769" s="28"/>
      <c r="DD769" s="504"/>
      <c r="DE769" s="28"/>
      <c r="DF769" s="504"/>
      <c r="DG769" s="28"/>
      <c r="DH769" s="504"/>
      <c r="DI769" s="28"/>
      <c r="DJ769" s="504"/>
      <c r="DK769" s="28"/>
      <c r="DL769" s="504"/>
      <c r="DM769" s="28"/>
      <c r="DN769" s="504"/>
      <c r="DO769" s="28"/>
      <c r="DP769" s="504"/>
      <c r="DQ769" s="28"/>
      <c r="DR769" s="504"/>
      <c r="DS769" s="28"/>
      <c r="DT769" s="504"/>
      <c r="DU769" s="28"/>
      <c r="DV769" s="504"/>
      <c r="DW769" s="28"/>
      <c r="DX769" s="504"/>
      <c r="DZ769" s="504"/>
      <c r="EB769" s="504"/>
      <c r="ED769" s="504"/>
      <c r="EF769" s="504"/>
      <c r="EH769" s="504"/>
      <c r="EJ769" s="504"/>
      <c r="EL769" s="504"/>
      <c r="EN769" s="504"/>
      <c r="EP769" s="504"/>
      <c r="ER769" s="504"/>
      <c r="ET769" s="504"/>
      <c r="EV769" s="504"/>
      <c r="EX769" s="504"/>
      <c r="EY769" s="28"/>
      <c r="EZ769" s="558"/>
      <c r="FA769" s="28"/>
      <c r="FB769" s="31"/>
      <c r="FC769" s="28"/>
      <c r="FD769" s="31"/>
      <c r="FE769" s="30"/>
      <c r="FF769" s="32"/>
      <c r="FG769" s="30"/>
      <c r="FH769" s="33"/>
      <c r="FI769" s="30"/>
      <c r="FJ769" s="33"/>
      <c r="FK769" s="30"/>
      <c r="FL769" s="33"/>
      <c r="FM769" s="30"/>
      <c r="FN769" s="34"/>
      <c r="FO769" s="30"/>
      <c r="FP769" s="34"/>
      <c r="FQ769" s="30"/>
      <c r="FR769" s="28"/>
      <c r="FS769" s="504"/>
      <c r="FT769" s="28"/>
      <c r="FU769" s="504"/>
      <c r="FV769" s="28"/>
      <c r="FW769" s="504"/>
      <c r="FX769" s="28"/>
      <c r="FY769" s="504"/>
      <c r="FZ769" s="28"/>
      <c r="GA769" s="504"/>
      <c r="GB769" s="28"/>
      <c r="GC769" s="504"/>
      <c r="GD769" s="28"/>
      <c r="GE769" s="504"/>
      <c r="GF769" s="28"/>
      <c r="GG769" s="504"/>
      <c r="GH769" s="28"/>
      <c r="GI769" s="504"/>
      <c r="GJ769" s="28"/>
      <c r="GK769" s="504"/>
      <c r="GL769" s="28"/>
      <c r="GM769" s="504"/>
      <c r="GN769" s="28"/>
      <c r="GO769" s="504"/>
      <c r="GP769" s="28"/>
      <c r="GQ769" s="504"/>
      <c r="GS769" s="504"/>
      <c r="GU769" s="504"/>
      <c r="GW769" s="504"/>
      <c r="GY769" s="504"/>
      <c r="GZ769" s="30"/>
      <c r="HA769" s="30"/>
      <c r="HB769" s="455"/>
      <c r="HC769"/>
      <c r="HD769"/>
      <c r="HE769"/>
      <c r="HF769"/>
      <c r="HG769"/>
      <c r="HH769"/>
    </row>
    <row r="770" spans="2:216" s="6" customFormat="1" ht="12.75" hidden="1" customHeight="1" outlineLevel="1" x14ac:dyDescent="0.2">
      <c r="B770" s="25" t="s">
        <v>273</v>
      </c>
      <c r="C770" s="27"/>
      <c r="D770" s="30"/>
      <c r="E770" s="27"/>
      <c r="F770" s="28"/>
      <c r="G770" s="27"/>
      <c r="H770" s="28"/>
      <c r="I770" s="27"/>
      <c r="J770" s="28"/>
      <c r="K770" s="28"/>
      <c r="L770" s="30"/>
      <c r="M770" s="27"/>
      <c r="N770" s="30"/>
      <c r="O770" s="27"/>
      <c r="P770" s="30"/>
      <c r="Q770" s="27"/>
      <c r="R770" s="30"/>
      <c r="S770" s="28"/>
      <c r="T770" s="30"/>
      <c r="U770" s="27"/>
      <c r="V770" s="30"/>
      <c r="W770" s="27"/>
      <c r="X770" s="30"/>
      <c r="Y770" s="27"/>
      <c r="Z770" s="30"/>
      <c r="AA770" s="28"/>
      <c r="AB770" s="30"/>
      <c r="AC770" s="28"/>
      <c r="AD770" s="30"/>
      <c r="AE770" s="28"/>
      <c r="AF770" s="30"/>
      <c r="AG770" s="28"/>
      <c r="AH770" s="30"/>
      <c r="AI770" s="28"/>
      <c r="AJ770" s="30"/>
      <c r="AK770" s="28"/>
      <c r="AL770" s="30"/>
      <c r="AM770" s="28"/>
      <c r="AN770" s="30"/>
      <c r="AO770" s="28"/>
      <c r="AP770" s="30"/>
      <c r="AQ770" s="28"/>
      <c r="AR770" s="30"/>
      <c r="AS770" s="28"/>
      <c r="AT770" s="30"/>
      <c r="AU770" s="28"/>
      <c r="AV770" s="30"/>
      <c r="AW770" s="28"/>
      <c r="AX770" s="30"/>
      <c r="AY770" s="28"/>
      <c r="AZ770" s="30"/>
      <c r="BA770" s="28"/>
      <c r="BB770" s="30"/>
      <c r="BC770" s="28"/>
      <c r="BD770" s="30"/>
      <c r="BE770" s="28"/>
      <c r="BF770" s="30"/>
      <c r="BG770" s="28"/>
      <c r="BH770" s="30"/>
      <c r="BI770" s="28"/>
      <c r="BJ770" s="30"/>
      <c r="BK770" s="28"/>
      <c r="BL770" s="30"/>
      <c r="BM770" s="28"/>
      <c r="BN770" s="30"/>
      <c r="BO770" s="28"/>
      <c r="BP770" s="30"/>
      <c r="BQ770" s="28"/>
      <c r="BR770" s="30"/>
      <c r="BS770" s="28"/>
      <c r="BT770" s="30"/>
      <c r="BU770" s="28"/>
      <c r="BV770" s="30"/>
      <c r="BW770" s="28"/>
      <c r="BX770" s="30"/>
      <c r="BY770" s="28"/>
      <c r="BZ770" s="30"/>
      <c r="CA770" s="28"/>
      <c r="CB770" s="30"/>
      <c r="CC770" s="28"/>
      <c r="CD770" s="30"/>
      <c r="CE770" s="28"/>
      <c r="CF770" s="30"/>
      <c r="CG770" s="28"/>
      <c r="CH770" s="30"/>
      <c r="CI770" s="28"/>
      <c r="CJ770" s="30"/>
      <c r="CK770" s="28"/>
      <c r="CL770" s="30"/>
      <c r="CM770" s="28"/>
      <c r="CN770" s="30"/>
      <c r="CO770" s="28"/>
      <c r="CP770" s="30"/>
      <c r="CQ770" s="28"/>
      <c r="CR770" s="30"/>
      <c r="CS770" s="28"/>
      <c r="CT770" s="30"/>
      <c r="CU770" s="28"/>
      <c r="CV770" s="30"/>
      <c r="CW770" s="28"/>
      <c r="CX770" s="30"/>
      <c r="CY770" s="28"/>
      <c r="CZ770" s="30"/>
      <c r="DA770" s="28"/>
      <c r="DB770" s="30"/>
      <c r="DC770" s="28"/>
      <c r="DD770" s="30"/>
      <c r="DE770" s="28"/>
      <c r="DF770" s="30"/>
      <c r="DG770" s="28"/>
      <c r="DH770" s="30"/>
      <c r="DI770" s="28"/>
      <c r="DJ770" s="30"/>
      <c r="DK770" s="28"/>
      <c r="DL770" s="30"/>
      <c r="DM770" s="28"/>
      <c r="DN770" s="30"/>
      <c r="DO770" s="28"/>
      <c r="DP770" s="30"/>
      <c r="DQ770" s="28"/>
      <c r="DR770" s="30"/>
      <c r="DS770" s="28"/>
      <c r="DT770" s="30"/>
      <c r="DU770" s="28"/>
      <c r="DV770" s="30"/>
      <c r="DW770" s="28"/>
      <c r="DX770" s="30"/>
      <c r="DY770" s="39">
        <f>DY263</f>
        <v>101.70682730923694</v>
      </c>
      <c r="DZ770" s="30"/>
      <c r="EA770" s="39">
        <f>EA263</f>
        <v>96.283185840707958</v>
      </c>
      <c r="EB770" s="30"/>
      <c r="EC770" s="39">
        <f>EC263</f>
        <v>88.898233809924307</v>
      </c>
      <c r="ED770" s="30"/>
      <c r="EE770" s="39">
        <f>EE263</f>
        <v>67.993754879000775</v>
      </c>
      <c r="EF770" s="30"/>
      <c r="EG770" s="39">
        <f>EG263</f>
        <v>84.265175718849832</v>
      </c>
      <c r="EH770" s="30"/>
      <c r="EI770" s="39">
        <f>EI263</f>
        <v>91.169451073985684</v>
      </c>
      <c r="EJ770" s="30"/>
      <c r="EK770" s="39">
        <f t="shared" ref="EK770" si="4430">EK263</f>
        <v>88.51454823889739</v>
      </c>
      <c r="EL770" s="30"/>
      <c r="EM770" s="39">
        <f t="shared" ref="EM770" si="4431">EM263</f>
        <v>91.613924050632917</v>
      </c>
      <c r="EN770" s="30"/>
      <c r="EO770" s="39">
        <f t="shared" ref="EO770" si="4432">EO263</f>
        <v>85.327313769751683</v>
      </c>
      <c r="EP770" s="30"/>
      <c r="EQ770" s="39">
        <f t="shared" ref="EQ770:EW770" si="4433">EQ263</f>
        <v>90.830176968424297</v>
      </c>
      <c r="ER770" s="30"/>
      <c r="ES770" s="39">
        <f t="shared" si="4433"/>
        <v>89.415823523305605</v>
      </c>
      <c r="ET770" s="30"/>
      <c r="EU770" s="39">
        <f t="shared" si="4433"/>
        <v>89.519874770304654</v>
      </c>
      <c r="EV770" s="30"/>
      <c r="EW770" s="39">
        <f t="shared" si="4433"/>
        <v>88.830299698938148</v>
      </c>
      <c r="EX770" s="30"/>
      <c r="EY770" s="28"/>
      <c r="EZ770" s="558"/>
      <c r="FA770" s="28"/>
      <c r="FB770" s="31"/>
      <c r="FC770" s="28"/>
      <c r="FD770" s="31"/>
      <c r="FE770" s="30"/>
      <c r="FF770" s="32"/>
      <c r="FG770" s="30"/>
      <c r="FH770" s="33"/>
      <c r="FI770" s="30"/>
      <c r="FJ770" s="33"/>
      <c r="FK770" s="30"/>
      <c r="FL770" s="33"/>
      <c r="FM770" s="30"/>
      <c r="FN770" s="34"/>
      <c r="FO770" s="30"/>
      <c r="FP770" s="34"/>
      <c r="FQ770" s="30"/>
      <c r="FR770" s="28"/>
      <c r="FS770" s="38"/>
      <c r="FT770" s="28"/>
      <c r="FU770" s="38"/>
      <c r="FV770" s="28"/>
      <c r="FW770" s="38"/>
      <c r="FX770" s="28"/>
      <c r="FY770" s="38"/>
      <c r="FZ770" s="28"/>
      <c r="GA770" s="38"/>
      <c r="GB770" s="28"/>
      <c r="GC770" s="38"/>
      <c r="GD770" s="28"/>
      <c r="GE770" s="38"/>
      <c r="GF770" s="28"/>
      <c r="GG770" s="38"/>
      <c r="GH770" s="28"/>
      <c r="GI770" s="38"/>
      <c r="GJ770" s="28"/>
      <c r="GK770" s="38"/>
      <c r="GL770" s="28"/>
      <c r="GM770" s="38"/>
      <c r="GN770" s="28"/>
      <c r="GO770" s="38"/>
      <c r="GP770" s="28"/>
      <c r="GQ770" s="38"/>
      <c r="GR770" s="39">
        <f>GR263</f>
        <v>89.66169195518934</v>
      </c>
      <c r="GS770" s="38"/>
      <c r="GT770" s="39">
        <f>GT263</f>
        <v>89.885452240033715</v>
      </c>
      <c r="GU770" s="38"/>
      <c r="GV770" s="39">
        <f>GV263</f>
        <v>89.840258623641802</v>
      </c>
      <c r="GW770" s="38"/>
      <c r="GX770" s="39">
        <f>GX263</f>
        <v>89.790156709312413</v>
      </c>
      <c r="GY770" s="38"/>
      <c r="GZ770" s="30"/>
      <c r="HA770" s="30"/>
      <c r="HB770" s="455"/>
      <c r="HC770"/>
      <c r="HD770"/>
      <c r="HE770"/>
      <c r="HF770"/>
      <c r="HG770"/>
      <c r="HH770"/>
    </row>
    <row r="771" spans="2:216" s="6" customFormat="1" ht="12.75" hidden="1" customHeight="1" outlineLevel="1" x14ac:dyDescent="0.2">
      <c r="B771" s="25" t="s">
        <v>534</v>
      </c>
      <c r="C771" s="27"/>
      <c r="D771" s="30"/>
      <c r="E771" s="27"/>
      <c r="F771" s="28"/>
      <c r="G771" s="27"/>
      <c r="H771" s="28"/>
      <c r="I771" s="27"/>
      <c r="J771" s="28"/>
      <c r="K771" s="28"/>
      <c r="L771" s="30"/>
      <c r="M771" s="27"/>
      <c r="N771" s="30"/>
      <c r="O771" s="27"/>
      <c r="P771" s="30"/>
      <c r="Q771" s="27"/>
      <c r="R771" s="30"/>
      <c r="S771" s="28"/>
      <c r="T771" s="30"/>
      <c r="U771" s="27"/>
      <c r="V771" s="30"/>
      <c r="W771" s="27"/>
      <c r="X771" s="30"/>
      <c r="Y771" s="27"/>
      <c r="Z771" s="30"/>
      <c r="AA771" s="28"/>
      <c r="AB771" s="30"/>
      <c r="AC771" s="28"/>
      <c r="AD771" s="30"/>
      <c r="AE771" s="28"/>
      <c r="AF771" s="30"/>
      <c r="AG771" s="28"/>
      <c r="AH771" s="30"/>
      <c r="AI771" s="28"/>
      <c r="AJ771" s="30"/>
      <c r="AK771" s="28"/>
      <c r="AL771" s="30"/>
      <c r="AM771" s="28"/>
      <c r="AN771" s="30"/>
      <c r="AO771" s="28"/>
      <c r="AP771" s="30"/>
      <c r="AQ771" s="28"/>
      <c r="AR771" s="30"/>
      <c r="AS771" s="28"/>
      <c r="AT771" s="30"/>
      <c r="AU771" s="28"/>
      <c r="AV771" s="30"/>
      <c r="AW771" s="28"/>
      <c r="AX771" s="30"/>
      <c r="AY771" s="28"/>
      <c r="AZ771" s="30"/>
      <c r="BA771" s="28"/>
      <c r="BB771" s="30"/>
      <c r="BC771" s="28"/>
      <c r="BD771" s="30"/>
      <c r="BE771" s="28"/>
      <c r="BF771" s="30"/>
      <c r="BG771" s="28"/>
      <c r="BH771" s="30"/>
      <c r="BI771" s="28"/>
      <c r="BJ771" s="30"/>
      <c r="BK771" s="28"/>
      <c r="BL771" s="30"/>
      <c r="BM771" s="28"/>
      <c r="BN771" s="30"/>
      <c r="BO771" s="28"/>
      <c r="BP771" s="30"/>
      <c r="BQ771" s="28"/>
      <c r="BR771" s="30"/>
      <c r="BS771" s="28"/>
      <c r="BT771" s="30"/>
      <c r="BU771" s="28"/>
      <c r="BV771" s="30"/>
      <c r="BW771" s="28"/>
      <c r="BX771" s="30"/>
      <c r="BY771" s="28"/>
      <c r="BZ771" s="30"/>
      <c r="CA771" s="28"/>
      <c r="CB771" s="30"/>
      <c r="CC771" s="28"/>
      <c r="CD771" s="30"/>
      <c r="CE771" s="28"/>
      <c r="CF771" s="30"/>
      <c r="CG771" s="28"/>
      <c r="CH771" s="30"/>
      <c r="CI771" s="28"/>
      <c r="CJ771" s="30"/>
      <c r="CK771" s="28"/>
      <c r="CL771" s="30"/>
      <c r="CM771" s="28"/>
      <c r="CN771" s="30"/>
      <c r="CO771" s="28"/>
      <c r="CP771" s="30"/>
      <c r="CQ771" s="28"/>
      <c r="CR771" s="30"/>
      <c r="CS771" s="28"/>
      <c r="CT771" s="30"/>
      <c r="CU771" s="28"/>
      <c r="CV771" s="30"/>
      <c r="CW771" s="28"/>
      <c r="CX771" s="30"/>
      <c r="CY771" s="28"/>
      <c r="CZ771" s="30"/>
      <c r="DA771" s="28"/>
      <c r="DB771" s="30"/>
      <c r="DC771" s="28"/>
      <c r="DD771" s="30"/>
      <c r="DE771" s="28"/>
      <c r="DF771" s="30"/>
      <c r="DG771" s="28"/>
      <c r="DH771" s="30"/>
      <c r="DI771" s="28"/>
      <c r="DJ771" s="30"/>
      <c r="DK771" s="28"/>
      <c r="DL771" s="30"/>
      <c r="DM771" s="28"/>
      <c r="DN771" s="30"/>
      <c r="DO771" s="28"/>
      <c r="DP771" s="30"/>
      <c r="DQ771" s="28"/>
      <c r="DR771" s="30"/>
      <c r="DS771" s="28"/>
      <c r="DT771" s="30"/>
      <c r="DU771" s="28"/>
      <c r="DV771" s="30"/>
      <c r="DW771" s="28"/>
      <c r="DX771" s="30"/>
      <c r="DY771" s="40">
        <v>-1.5</v>
      </c>
      <c r="DZ771" s="30"/>
      <c r="EA771" s="40">
        <v>-1.5</v>
      </c>
      <c r="EB771" s="30"/>
      <c r="EC771" s="40">
        <v>-1.5</v>
      </c>
      <c r="ED771" s="30"/>
      <c r="EE771" s="40">
        <v>-1.5</v>
      </c>
      <c r="EF771" s="30"/>
      <c r="EG771" s="40">
        <v>-1.5</v>
      </c>
      <c r="EH771" s="30"/>
      <c r="EI771" s="40">
        <v>-1.5</v>
      </c>
      <c r="EJ771" s="30"/>
      <c r="EK771" s="40">
        <v>-1.5</v>
      </c>
      <c r="EL771" s="30"/>
      <c r="EM771" s="40">
        <v>-1.5</v>
      </c>
      <c r="EN771" s="30"/>
      <c r="EO771" s="40">
        <v>-1.5</v>
      </c>
      <c r="EP771" s="30"/>
      <c r="EQ771" s="40">
        <v>-1.5</v>
      </c>
      <c r="ER771" s="30"/>
      <c r="ES771" s="40">
        <v>-1.5</v>
      </c>
      <c r="ET771" s="30"/>
      <c r="EU771" s="40">
        <v>-1.5</v>
      </c>
      <c r="EV771" s="30"/>
      <c r="EW771" s="40">
        <v>-1.5</v>
      </c>
      <c r="EX771" s="30"/>
      <c r="EY771" s="35"/>
      <c r="EZ771" s="558"/>
      <c r="FA771" s="35"/>
      <c r="FB771" s="36"/>
      <c r="FC771" s="35"/>
      <c r="FD771" s="36"/>
      <c r="FE771" s="38"/>
      <c r="FF771" s="37"/>
      <c r="FG771" s="38"/>
      <c r="FH771" s="35"/>
      <c r="FI771" s="38"/>
      <c r="FJ771" s="35"/>
      <c r="FK771" s="38"/>
      <c r="FL771" s="35"/>
      <c r="FM771" s="38"/>
      <c r="FN771" s="35"/>
      <c r="FO771" s="38"/>
      <c r="FP771" s="35"/>
      <c r="FQ771" s="38"/>
      <c r="FR771" s="35"/>
      <c r="FS771" s="515"/>
      <c r="FT771" s="35"/>
      <c r="FU771" s="515"/>
      <c r="FV771" s="35"/>
      <c r="FW771" s="515"/>
      <c r="FX771" s="35"/>
      <c r="FY771" s="515"/>
      <c r="FZ771" s="35"/>
      <c r="GA771" s="515"/>
      <c r="GB771" s="35"/>
      <c r="GC771" s="515"/>
      <c r="GD771" s="35"/>
      <c r="GE771" s="515"/>
      <c r="GF771" s="35"/>
      <c r="GG771" s="515"/>
      <c r="GH771" s="35"/>
      <c r="GI771" s="515"/>
      <c r="GJ771" s="35"/>
      <c r="GK771" s="515"/>
      <c r="GL771" s="35"/>
      <c r="GM771" s="515"/>
      <c r="GN771" s="35"/>
      <c r="GO771" s="515"/>
      <c r="GP771" s="35"/>
      <c r="GQ771" s="515"/>
      <c r="GR771" s="40">
        <v>-1.5</v>
      </c>
      <c r="GS771" s="515"/>
      <c r="GT771" s="40">
        <v>-1.5</v>
      </c>
      <c r="GU771" s="515"/>
      <c r="GV771" s="40">
        <v>-1.5</v>
      </c>
      <c r="GW771" s="515"/>
      <c r="GX771" s="40">
        <v>-1.5</v>
      </c>
      <c r="GY771" s="515"/>
      <c r="GZ771" s="30"/>
      <c r="HA771" s="30"/>
      <c r="HB771" s="455"/>
      <c r="HC771"/>
      <c r="HD771"/>
      <c r="HE771"/>
      <c r="HF771"/>
      <c r="HG771"/>
      <c r="HH771"/>
    </row>
    <row r="772" spans="2:216" s="6" customFormat="1" ht="12.75" hidden="1" customHeight="1" outlineLevel="1" x14ac:dyDescent="0.2">
      <c r="B772" s="25" t="s">
        <v>111</v>
      </c>
      <c r="C772" s="27"/>
      <c r="D772" s="30"/>
      <c r="E772" s="27"/>
      <c r="F772" s="28"/>
      <c r="G772" s="27"/>
      <c r="H772" s="28"/>
      <c r="I772" s="27"/>
      <c r="J772" s="28"/>
      <c r="K772" s="28"/>
      <c r="L772" s="30"/>
      <c r="M772" s="27"/>
      <c r="N772" s="30"/>
      <c r="O772" s="27"/>
      <c r="P772" s="30"/>
      <c r="Q772" s="27"/>
      <c r="R772" s="30"/>
      <c r="S772" s="28"/>
      <c r="T772" s="30"/>
      <c r="U772" s="27"/>
      <c r="V772" s="30"/>
      <c r="W772" s="27"/>
      <c r="X772" s="30"/>
      <c r="Y772" s="27"/>
      <c r="Z772" s="30"/>
      <c r="AA772" s="28"/>
      <c r="AB772" s="30"/>
      <c r="AC772" s="28"/>
      <c r="AD772" s="30"/>
      <c r="AE772" s="28"/>
      <c r="AF772" s="30"/>
      <c r="AG772" s="28"/>
      <c r="AH772" s="30"/>
      <c r="AI772" s="28"/>
      <c r="AJ772" s="30"/>
      <c r="AK772" s="28"/>
      <c r="AL772" s="30"/>
      <c r="AM772" s="28"/>
      <c r="AN772" s="30"/>
      <c r="AO772" s="28"/>
      <c r="AP772" s="30"/>
      <c r="AQ772" s="28"/>
      <c r="AR772" s="30"/>
      <c r="AS772" s="28"/>
      <c r="AT772" s="30"/>
      <c r="AU772" s="28"/>
      <c r="AV772" s="30"/>
      <c r="AW772" s="28"/>
      <c r="AX772" s="30"/>
      <c r="AY772" s="28"/>
      <c r="AZ772" s="30"/>
      <c r="BA772" s="28"/>
      <c r="BB772" s="30"/>
      <c r="BC772" s="28"/>
      <c r="BD772" s="30"/>
      <c r="BE772" s="28"/>
      <c r="BF772" s="30"/>
      <c r="BG772" s="28"/>
      <c r="BH772" s="30"/>
      <c r="BI772" s="28"/>
      <c r="BJ772" s="30"/>
      <c r="BK772" s="28"/>
      <c r="BL772" s="30"/>
      <c r="BM772" s="28"/>
      <c r="BN772" s="30"/>
      <c r="BO772" s="28"/>
      <c r="BP772" s="30"/>
      <c r="BQ772" s="28"/>
      <c r="BR772" s="30"/>
      <c r="BS772" s="28"/>
      <c r="BT772" s="30"/>
      <c r="BU772" s="28"/>
      <c r="BV772" s="30"/>
      <c r="BW772" s="28"/>
      <c r="BX772" s="30"/>
      <c r="BY772" s="28"/>
      <c r="BZ772" s="30"/>
      <c r="CA772" s="28"/>
      <c r="CB772" s="30"/>
      <c r="CC772" s="28"/>
      <c r="CD772" s="30"/>
      <c r="CE772" s="28"/>
      <c r="CF772" s="30"/>
      <c r="CG772" s="28"/>
      <c r="CH772" s="30"/>
      <c r="CI772" s="28"/>
      <c r="CJ772" s="30"/>
      <c r="CK772" s="28"/>
      <c r="CL772" s="30"/>
      <c r="CM772" s="28"/>
      <c r="CN772" s="30"/>
      <c r="CO772" s="28"/>
      <c r="CP772" s="30"/>
      <c r="CQ772" s="28"/>
      <c r="CR772" s="30"/>
      <c r="CS772" s="28"/>
      <c r="CT772" s="30"/>
      <c r="CU772" s="28"/>
      <c r="CV772" s="30"/>
      <c r="CW772" s="28"/>
      <c r="CX772" s="30"/>
      <c r="CY772" s="28"/>
      <c r="CZ772" s="30"/>
      <c r="DA772" s="28"/>
      <c r="DB772" s="30"/>
      <c r="DC772" s="28"/>
      <c r="DD772" s="30"/>
      <c r="DE772" s="28"/>
      <c r="DF772" s="30"/>
      <c r="DG772" s="28"/>
      <c r="DH772" s="30"/>
      <c r="DI772" s="28"/>
      <c r="DJ772" s="30"/>
      <c r="DK772" s="28"/>
      <c r="DL772" s="30"/>
      <c r="DM772" s="28"/>
      <c r="DN772" s="30"/>
      <c r="DO772" s="28"/>
      <c r="DP772" s="30"/>
      <c r="DQ772" s="28"/>
      <c r="DR772" s="30"/>
      <c r="DS772" s="28"/>
      <c r="DT772" s="30"/>
      <c r="DU772" s="28"/>
      <c r="DV772" s="30"/>
      <c r="DW772" s="28"/>
      <c r="DX772" s="30"/>
      <c r="DY772" s="41">
        <v>1.5</v>
      </c>
      <c r="DZ772" s="30"/>
      <c r="EA772" s="41">
        <v>1.5</v>
      </c>
      <c r="EB772" s="30"/>
      <c r="EC772" s="41">
        <v>1.5</v>
      </c>
      <c r="ED772" s="30"/>
      <c r="EE772" s="41">
        <v>1.5</v>
      </c>
      <c r="EF772" s="30"/>
      <c r="EG772" s="41">
        <v>1.5</v>
      </c>
      <c r="EH772" s="30"/>
      <c r="EI772" s="41">
        <v>1.5</v>
      </c>
      <c r="EJ772" s="30"/>
      <c r="EK772" s="41">
        <v>1.5</v>
      </c>
      <c r="EL772" s="30"/>
      <c r="EM772" s="41">
        <v>1.5</v>
      </c>
      <c r="EN772" s="30"/>
      <c r="EO772" s="41">
        <v>1.5</v>
      </c>
      <c r="EP772" s="30"/>
      <c r="EQ772" s="41">
        <v>1.5</v>
      </c>
      <c r="ER772" s="30"/>
      <c r="ES772" s="41">
        <v>1.5</v>
      </c>
      <c r="ET772" s="30"/>
      <c r="EU772" s="41">
        <v>1.5</v>
      </c>
      <c r="EV772" s="30"/>
      <c r="EW772" s="41">
        <v>1.5</v>
      </c>
      <c r="EX772" s="30"/>
      <c r="EY772" s="35"/>
      <c r="EZ772" s="558"/>
      <c r="FA772" s="35"/>
      <c r="FB772" s="36"/>
      <c r="FC772" s="35"/>
      <c r="FD772" s="36"/>
      <c r="FE772" s="38"/>
      <c r="FF772" s="37"/>
      <c r="FG772" s="38"/>
      <c r="FH772" s="35"/>
      <c r="FI772" s="38"/>
      <c r="FJ772" s="35"/>
      <c r="FK772" s="38"/>
      <c r="FL772" s="35"/>
      <c r="FM772" s="38"/>
      <c r="FN772" s="35"/>
      <c r="FO772" s="38"/>
      <c r="FP772" s="35"/>
      <c r="FQ772" s="38"/>
      <c r="FR772" s="35"/>
      <c r="FS772" s="515"/>
      <c r="FT772" s="35"/>
      <c r="FU772" s="515"/>
      <c r="FV772" s="35"/>
      <c r="FW772" s="515"/>
      <c r="FX772" s="35"/>
      <c r="FY772" s="515"/>
      <c r="FZ772" s="35"/>
      <c r="GA772" s="515"/>
      <c r="GB772" s="35"/>
      <c r="GC772" s="515"/>
      <c r="GD772" s="35"/>
      <c r="GE772" s="515"/>
      <c r="GF772" s="35"/>
      <c r="GG772" s="515"/>
      <c r="GH772" s="35"/>
      <c r="GI772" s="515"/>
      <c r="GJ772" s="35"/>
      <c r="GK772" s="515"/>
      <c r="GL772" s="35"/>
      <c r="GM772" s="515"/>
      <c r="GN772" s="35"/>
      <c r="GO772" s="515"/>
      <c r="GP772" s="35"/>
      <c r="GQ772" s="515"/>
      <c r="GR772" s="41">
        <v>1.5</v>
      </c>
      <c r="GS772" s="515"/>
      <c r="GT772" s="41">
        <v>1.5</v>
      </c>
      <c r="GU772" s="515"/>
      <c r="GV772" s="41">
        <v>1.5</v>
      </c>
      <c r="GW772" s="515"/>
      <c r="GX772" s="41">
        <v>1.5</v>
      </c>
      <c r="GY772" s="515"/>
      <c r="GZ772" s="30"/>
      <c r="HA772" s="30"/>
      <c r="HB772" s="455"/>
      <c r="HC772"/>
      <c r="HD772"/>
      <c r="HE772"/>
      <c r="HF772"/>
      <c r="HG772"/>
      <c r="HH772"/>
    </row>
    <row r="773" spans="2:216" s="6" customFormat="1" ht="12.75" hidden="1" customHeight="1" outlineLevel="1" x14ac:dyDescent="0.2">
      <c r="B773" s="29" t="s">
        <v>38</v>
      </c>
      <c r="C773" s="27"/>
      <c r="D773" s="30"/>
      <c r="E773" s="27"/>
      <c r="F773" s="28"/>
      <c r="G773" s="27"/>
      <c r="H773" s="28"/>
      <c r="I773" s="27"/>
      <c r="J773" s="28"/>
      <c r="K773" s="28"/>
      <c r="L773" s="30"/>
      <c r="M773" s="27"/>
      <c r="N773" s="30"/>
      <c r="O773" s="27"/>
      <c r="P773" s="30"/>
      <c r="Q773" s="27"/>
      <c r="R773" s="30"/>
      <c r="S773" s="28"/>
      <c r="T773" s="30"/>
      <c r="U773" s="27"/>
      <c r="V773" s="30"/>
      <c r="W773" s="27"/>
      <c r="X773" s="30"/>
      <c r="Y773" s="27"/>
      <c r="Z773" s="30"/>
      <c r="AA773" s="28"/>
      <c r="AB773" s="30"/>
      <c r="AC773" s="28"/>
      <c r="AD773" s="30"/>
      <c r="AE773" s="28"/>
      <c r="AF773" s="30"/>
      <c r="AG773" s="28"/>
      <c r="AH773" s="30"/>
      <c r="AI773" s="28"/>
      <c r="AJ773" s="30"/>
      <c r="AK773" s="28"/>
      <c r="AL773" s="30"/>
      <c r="AM773" s="28"/>
      <c r="AN773" s="30"/>
      <c r="AO773" s="28"/>
      <c r="AP773" s="30"/>
      <c r="AQ773" s="28"/>
      <c r="AR773" s="30"/>
      <c r="AS773" s="28"/>
      <c r="AT773" s="30"/>
      <c r="AU773" s="28"/>
      <c r="AV773" s="30"/>
      <c r="AW773" s="28"/>
      <c r="AX773" s="30"/>
      <c r="AY773" s="28"/>
      <c r="AZ773" s="30"/>
      <c r="BA773" s="28"/>
      <c r="BB773" s="30"/>
      <c r="BC773" s="28"/>
      <c r="BD773" s="30"/>
      <c r="BE773" s="28"/>
      <c r="BF773" s="30"/>
      <c r="BG773" s="28"/>
      <c r="BH773" s="504"/>
      <c r="BI773" s="28"/>
      <c r="BJ773" s="504"/>
      <c r="BK773" s="28"/>
      <c r="BL773" s="504"/>
      <c r="BM773" s="28"/>
      <c r="BN773" s="504"/>
      <c r="BO773" s="28"/>
      <c r="BP773" s="504"/>
      <c r="BQ773" s="28"/>
      <c r="BR773" s="504"/>
      <c r="BS773" s="28"/>
      <c r="BT773" s="504"/>
      <c r="BU773" s="28"/>
      <c r="BV773" s="504"/>
      <c r="BW773" s="28"/>
      <c r="BX773" s="504"/>
      <c r="BY773" s="28"/>
      <c r="BZ773" s="504"/>
      <c r="CA773" s="28"/>
      <c r="CB773" s="504"/>
      <c r="CC773" s="28"/>
      <c r="CD773" s="504"/>
      <c r="CE773" s="28"/>
      <c r="CF773" s="504"/>
      <c r="CG773" s="28"/>
      <c r="CH773" s="504"/>
      <c r="CI773" s="28"/>
      <c r="CJ773" s="504"/>
      <c r="CK773" s="28"/>
      <c r="CL773" s="504"/>
      <c r="CM773" s="28"/>
      <c r="CN773" s="504"/>
      <c r="CO773" s="28"/>
      <c r="CP773" s="504"/>
      <c r="CQ773" s="28"/>
      <c r="CR773" s="504"/>
      <c r="CS773" s="28"/>
      <c r="CT773" s="504"/>
      <c r="CU773" s="28"/>
      <c r="CV773" s="504"/>
      <c r="CW773" s="28"/>
      <c r="CX773" s="504"/>
      <c r="CY773" s="28"/>
      <c r="CZ773" s="504"/>
      <c r="DA773" s="28"/>
      <c r="DB773" s="504"/>
      <c r="DC773" s="28"/>
      <c r="DD773" s="504"/>
      <c r="DE773" s="28"/>
      <c r="DF773" s="504"/>
      <c r="DG773" s="28"/>
      <c r="DH773" s="504"/>
      <c r="DI773" s="28"/>
      <c r="DJ773" s="504"/>
      <c r="DK773" s="28"/>
      <c r="DL773" s="504"/>
      <c r="DM773" s="28"/>
      <c r="DN773" s="504"/>
      <c r="DO773" s="28"/>
      <c r="DP773" s="504"/>
      <c r="DQ773" s="28"/>
      <c r="DR773" s="504"/>
      <c r="DS773" s="28"/>
      <c r="DT773" s="504"/>
      <c r="DU773" s="28"/>
      <c r="DV773" s="504"/>
      <c r="DW773" s="28"/>
      <c r="DX773" s="504"/>
      <c r="DZ773" s="504"/>
      <c r="EB773" s="504"/>
      <c r="ED773" s="504"/>
      <c r="EF773" s="504"/>
      <c r="EH773" s="504"/>
      <c r="EJ773" s="504"/>
      <c r="EL773" s="504"/>
      <c r="EN773" s="504"/>
      <c r="EP773" s="504"/>
      <c r="ER773" s="504"/>
      <c r="ET773" s="504"/>
      <c r="EV773" s="504"/>
      <c r="EX773" s="504"/>
      <c r="EY773" s="28"/>
      <c r="EZ773" s="558"/>
      <c r="FA773" s="28"/>
      <c r="FB773" s="31"/>
      <c r="FC773" s="28"/>
      <c r="FD773" s="31"/>
      <c r="FE773" s="30"/>
      <c r="FF773" s="32"/>
      <c r="FG773" s="30"/>
      <c r="FH773" s="33"/>
      <c r="FI773" s="30"/>
      <c r="FJ773" s="33"/>
      <c r="FK773" s="30"/>
      <c r="FL773" s="33"/>
      <c r="FM773" s="30"/>
      <c r="FN773" s="34"/>
      <c r="FO773" s="30"/>
      <c r="FP773" s="34"/>
      <c r="FQ773" s="30"/>
      <c r="FR773" s="28"/>
      <c r="FS773" s="504"/>
      <c r="FT773" s="28"/>
      <c r="FU773" s="504"/>
      <c r="FV773" s="28"/>
      <c r="FW773" s="504"/>
      <c r="FX773" s="28"/>
      <c r="FY773" s="504"/>
      <c r="FZ773" s="28"/>
      <c r="GA773" s="504"/>
      <c r="GB773" s="28"/>
      <c r="GC773" s="504"/>
      <c r="GD773" s="28"/>
      <c r="GE773" s="504"/>
      <c r="GF773" s="28"/>
      <c r="GG773" s="504"/>
      <c r="GH773" s="28"/>
      <c r="GI773" s="504"/>
      <c r="GJ773" s="28"/>
      <c r="GK773" s="504"/>
      <c r="GL773" s="28"/>
      <c r="GM773" s="504"/>
      <c r="GN773" s="28"/>
      <c r="GO773" s="504"/>
      <c r="GP773" s="28"/>
      <c r="GQ773" s="504"/>
      <c r="GS773" s="504"/>
      <c r="GU773" s="504"/>
      <c r="GW773" s="504"/>
      <c r="GY773" s="504"/>
      <c r="GZ773" s="30"/>
      <c r="HA773" s="30"/>
      <c r="HB773" s="455"/>
      <c r="HC773"/>
      <c r="HD773"/>
      <c r="HE773"/>
      <c r="HF773"/>
      <c r="HG773"/>
      <c r="HH773"/>
    </row>
    <row r="774" spans="2:216" s="6" customFormat="1" ht="12.75" hidden="1" customHeight="1" outlineLevel="1" x14ac:dyDescent="0.2">
      <c r="B774" s="25" t="s">
        <v>273</v>
      </c>
      <c r="C774" s="27"/>
      <c r="D774" s="30"/>
      <c r="E774" s="27"/>
      <c r="F774" s="28"/>
      <c r="G774" s="27"/>
      <c r="H774" s="28"/>
      <c r="I774" s="27"/>
      <c r="J774" s="28"/>
      <c r="K774" s="28"/>
      <c r="L774" s="30"/>
      <c r="M774" s="27"/>
      <c r="N774" s="30"/>
      <c r="O774" s="27"/>
      <c r="P774" s="30"/>
      <c r="Q774" s="27"/>
      <c r="R774" s="30"/>
      <c r="S774" s="28"/>
      <c r="T774" s="30"/>
      <c r="U774" s="27"/>
      <c r="V774" s="30"/>
      <c r="W774" s="27"/>
      <c r="X774" s="30"/>
      <c r="Y774" s="27"/>
      <c r="Z774" s="30"/>
      <c r="AA774" s="28"/>
      <c r="AB774" s="30"/>
      <c r="AC774" s="28"/>
      <c r="AD774" s="30"/>
      <c r="AE774" s="28"/>
      <c r="AF774" s="30"/>
      <c r="AG774" s="28"/>
      <c r="AH774" s="30"/>
      <c r="AI774" s="28"/>
      <c r="AJ774" s="30"/>
      <c r="AK774" s="28"/>
      <c r="AL774" s="30"/>
      <c r="AM774" s="28"/>
      <c r="AN774" s="30"/>
      <c r="AO774" s="28"/>
      <c r="AP774" s="30"/>
      <c r="AQ774" s="28"/>
      <c r="AR774" s="30"/>
      <c r="AS774" s="28"/>
      <c r="AT774" s="30"/>
      <c r="AU774" s="28"/>
      <c r="AV774" s="30"/>
      <c r="AW774" s="28"/>
      <c r="AX774" s="30"/>
      <c r="AY774" s="28"/>
      <c r="AZ774" s="30"/>
      <c r="BA774" s="28"/>
      <c r="BB774" s="30"/>
      <c r="BC774" s="28"/>
      <c r="BD774" s="30"/>
      <c r="BE774" s="28"/>
      <c r="BF774" s="30"/>
      <c r="BG774" s="28"/>
      <c r="BH774" s="30"/>
      <c r="BI774" s="28"/>
      <c r="BJ774" s="30"/>
      <c r="BK774" s="28"/>
      <c r="BL774" s="30"/>
      <c r="BM774" s="28"/>
      <c r="BN774" s="30"/>
      <c r="BO774" s="28"/>
      <c r="BP774" s="30"/>
      <c r="BQ774" s="28"/>
      <c r="BR774" s="30"/>
      <c r="BS774" s="28"/>
      <c r="BT774" s="30"/>
      <c r="BU774" s="28"/>
      <c r="BV774" s="30"/>
      <c r="BW774" s="28"/>
      <c r="BX774" s="30"/>
      <c r="BY774" s="28"/>
      <c r="BZ774" s="30"/>
      <c r="CA774" s="28"/>
      <c r="CB774" s="30"/>
      <c r="CC774" s="28"/>
      <c r="CD774" s="30"/>
      <c r="CE774" s="28"/>
      <c r="CF774" s="30"/>
      <c r="CG774" s="28"/>
      <c r="CH774" s="30"/>
      <c r="CI774" s="28"/>
      <c r="CJ774" s="30"/>
      <c r="CK774" s="28"/>
      <c r="CL774" s="30"/>
      <c r="CM774" s="28"/>
      <c r="CN774" s="30"/>
      <c r="CO774" s="28"/>
      <c r="CP774" s="30"/>
      <c r="CQ774" s="28"/>
      <c r="CR774" s="30"/>
      <c r="CS774" s="28"/>
      <c r="CT774" s="30"/>
      <c r="CU774" s="28"/>
      <c r="CV774" s="30"/>
      <c r="CW774" s="28"/>
      <c r="CX774" s="30"/>
      <c r="CY774" s="28"/>
      <c r="CZ774" s="30"/>
      <c r="DA774" s="28"/>
      <c r="DB774" s="30"/>
      <c r="DC774" s="28"/>
      <c r="DD774" s="30"/>
      <c r="DE774" s="28"/>
      <c r="DF774" s="30"/>
      <c r="DG774" s="28"/>
      <c r="DH774" s="30"/>
      <c r="DI774" s="28"/>
      <c r="DJ774" s="30"/>
      <c r="DK774" s="28"/>
      <c r="DL774" s="30"/>
      <c r="DM774" s="28"/>
      <c r="DN774" s="30"/>
      <c r="DO774" s="28"/>
      <c r="DP774" s="30"/>
      <c r="DQ774" s="28"/>
      <c r="DR774" s="30"/>
      <c r="DS774" s="28"/>
      <c r="DT774" s="30"/>
      <c r="DU774" s="28"/>
      <c r="DV774" s="30"/>
      <c r="DW774" s="28"/>
      <c r="DX774" s="30"/>
      <c r="DY774" s="39">
        <f>DY265</f>
        <v>38.152610441767074</v>
      </c>
      <c r="DZ774" s="30"/>
      <c r="EA774" s="39">
        <f>EA265</f>
        <v>29.380530973451329</v>
      </c>
      <c r="EB774" s="30"/>
      <c r="EC774" s="39">
        <f>EC265</f>
        <v>30.866274179983179</v>
      </c>
      <c r="ED774" s="30"/>
      <c r="EE774" s="39">
        <f>EE265</f>
        <v>30.523028883684621</v>
      </c>
      <c r="EF774" s="30"/>
      <c r="EG774" s="39">
        <f>EG265</f>
        <v>34.265175718849839</v>
      </c>
      <c r="EH774" s="30"/>
      <c r="EI774" s="39">
        <f>EI265</f>
        <v>29.832935560859188</v>
      </c>
      <c r="EJ774" s="30"/>
      <c r="EK774" s="39">
        <f t="shared" ref="EK774" si="4434">EK265</f>
        <v>30.551301684532927</v>
      </c>
      <c r="EL774" s="30"/>
      <c r="EM774" s="39">
        <f t="shared" ref="EM774" si="4435">EM265</f>
        <v>30.14240506329114</v>
      </c>
      <c r="EN774" s="30"/>
      <c r="EO774" s="39">
        <f t="shared" ref="EO774" si="4436">EO265</f>
        <v>29.270127915726107</v>
      </c>
      <c r="EP774" s="30"/>
      <c r="EQ774" s="39">
        <f t="shared" ref="EQ774:EW774" si="4437">EQ265</f>
        <v>29.070127915726108</v>
      </c>
      <c r="ER774" s="30"/>
      <c r="ES774" s="39">
        <f t="shared" si="4437"/>
        <v>29.070127915726108</v>
      </c>
      <c r="ET774" s="30"/>
      <c r="EU774" s="39">
        <f t="shared" si="4437"/>
        <v>29.070127915726108</v>
      </c>
      <c r="EV774" s="30"/>
      <c r="EW774" s="39">
        <f t="shared" si="4437"/>
        <v>29.070127915726108</v>
      </c>
      <c r="EX774" s="30"/>
      <c r="EY774" s="28"/>
      <c r="EZ774" s="558"/>
      <c r="FA774" s="28"/>
      <c r="FB774" s="31"/>
      <c r="FC774" s="28"/>
      <c r="FD774" s="31"/>
      <c r="FE774" s="30"/>
      <c r="FF774" s="32"/>
      <c r="FG774" s="30"/>
      <c r="FH774" s="33"/>
      <c r="FI774" s="30"/>
      <c r="FJ774" s="33"/>
      <c r="FK774" s="30"/>
      <c r="FL774" s="33"/>
      <c r="FM774" s="30"/>
      <c r="FN774" s="34"/>
      <c r="FO774" s="30"/>
      <c r="FP774" s="34"/>
      <c r="FQ774" s="30"/>
      <c r="FR774" s="28"/>
      <c r="FS774" s="38"/>
      <c r="FT774" s="28"/>
      <c r="FU774" s="38"/>
      <c r="FV774" s="28"/>
      <c r="FW774" s="38"/>
      <c r="FX774" s="28"/>
      <c r="FY774" s="38"/>
      <c r="FZ774" s="28"/>
      <c r="GA774" s="38"/>
      <c r="GB774" s="28"/>
      <c r="GC774" s="38"/>
      <c r="GD774" s="28"/>
      <c r="GE774" s="38"/>
      <c r="GF774" s="28"/>
      <c r="GG774" s="38"/>
      <c r="GH774" s="28"/>
      <c r="GI774" s="38"/>
      <c r="GJ774" s="28"/>
      <c r="GK774" s="38"/>
      <c r="GL774" s="28"/>
      <c r="GM774" s="38"/>
      <c r="GN774" s="28"/>
      <c r="GO774" s="38"/>
      <c r="GP774" s="28"/>
      <c r="GQ774" s="38"/>
      <c r="GR774" s="39">
        <f>GR265</f>
        <v>29.270127915726118</v>
      </c>
      <c r="GS774" s="38"/>
      <c r="GT774" s="39">
        <f>GT265</f>
        <v>29.270127915726118</v>
      </c>
      <c r="GU774" s="38"/>
      <c r="GV774" s="39">
        <f>GV265</f>
        <v>29.270127915726118</v>
      </c>
      <c r="GW774" s="38"/>
      <c r="GX774" s="39">
        <f>GX265</f>
        <v>29.270127915726118</v>
      </c>
      <c r="GY774" s="38"/>
      <c r="GZ774" s="30"/>
      <c r="HA774" s="30"/>
      <c r="HB774" s="455"/>
      <c r="HC774"/>
      <c r="HD774"/>
      <c r="HE774"/>
      <c r="HF774"/>
      <c r="HG774"/>
      <c r="HH774"/>
    </row>
    <row r="775" spans="2:216" s="6" customFormat="1" ht="12.75" hidden="1" customHeight="1" outlineLevel="1" x14ac:dyDescent="0.2">
      <c r="B775" s="25" t="s">
        <v>534</v>
      </c>
      <c r="C775" s="27"/>
      <c r="D775" s="30"/>
      <c r="E775" s="27"/>
      <c r="F775" s="28"/>
      <c r="G775" s="27"/>
      <c r="H775" s="28"/>
      <c r="I775" s="27"/>
      <c r="J775" s="28"/>
      <c r="K775" s="28"/>
      <c r="L775" s="30"/>
      <c r="M775" s="27"/>
      <c r="N775" s="30"/>
      <c r="O775" s="27"/>
      <c r="P775" s="30"/>
      <c r="Q775" s="27"/>
      <c r="R775" s="30"/>
      <c r="S775" s="28"/>
      <c r="T775" s="30"/>
      <c r="U775" s="27"/>
      <c r="V775" s="30"/>
      <c r="W775" s="27"/>
      <c r="X775" s="30"/>
      <c r="Y775" s="27"/>
      <c r="Z775" s="30"/>
      <c r="AA775" s="28"/>
      <c r="AB775" s="30"/>
      <c r="AC775" s="28"/>
      <c r="AD775" s="30"/>
      <c r="AE775" s="28"/>
      <c r="AF775" s="30"/>
      <c r="AG775" s="28"/>
      <c r="AH775" s="30"/>
      <c r="AI775" s="28"/>
      <c r="AJ775" s="30"/>
      <c r="AK775" s="28"/>
      <c r="AL775" s="30"/>
      <c r="AM775" s="28"/>
      <c r="AN775" s="30"/>
      <c r="AO775" s="28"/>
      <c r="AP775" s="30"/>
      <c r="AQ775" s="28"/>
      <c r="AR775" s="30"/>
      <c r="AS775" s="28"/>
      <c r="AT775" s="30"/>
      <c r="AU775" s="28"/>
      <c r="AV775" s="30"/>
      <c r="AW775" s="28"/>
      <c r="AX775" s="30"/>
      <c r="AY775" s="28"/>
      <c r="AZ775" s="30"/>
      <c r="BA775" s="28"/>
      <c r="BB775" s="30"/>
      <c r="BC775" s="28"/>
      <c r="BD775" s="30"/>
      <c r="BE775" s="28"/>
      <c r="BF775" s="30"/>
      <c r="BG775" s="28"/>
      <c r="BH775" s="30"/>
      <c r="BI775" s="28"/>
      <c r="BJ775" s="30"/>
      <c r="BK775" s="28"/>
      <c r="BL775" s="30"/>
      <c r="BM775" s="28"/>
      <c r="BN775" s="30"/>
      <c r="BO775" s="28"/>
      <c r="BP775" s="30"/>
      <c r="BQ775" s="28"/>
      <c r="BR775" s="30"/>
      <c r="BS775" s="28"/>
      <c r="BT775" s="30"/>
      <c r="BU775" s="28"/>
      <c r="BV775" s="30"/>
      <c r="BW775" s="28"/>
      <c r="BX775" s="30"/>
      <c r="BY775" s="28"/>
      <c r="BZ775" s="30"/>
      <c r="CA775" s="28"/>
      <c r="CB775" s="30"/>
      <c r="CC775" s="28"/>
      <c r="CD775" s="30"/>
      <c r="CE775" s="28"/>
      <c r="CF775" s="30"/>
      <c r="CG775" s="28"/>
      <c r="CH775" s="30"/>
      <c r="CI775" s="28"/>
      <c r="CJ775" s="30"/>
      <c r="CK775" s="28"/>
      <c r="CL775" s="30"/>
      <c r="CM775" s="28"/>
      <c r="CN775" s="30"/>
      <c r="CO775" s="28"/>
      <c r="CP775" s="30"/>
      <c r="CQ775" s="28"/>
      <c r="CR775" s="30"/>
      <c r="CS775" s="28"/>
      <c r="CT775" s="30"/>
      <c r="CU775" s="28"/>
      <c r="CV775" s="30"/>
      <c r="CW775" s="28"/>
      <c r="CX775" s="30"/>
      <c r="CY775" s="28"/>
      <c r="CZ775" s="30"/>
      <c r="DA775" s="28"/>
      <c r="DB775" s="30"/>
      <c r="DC775" s="28"/>
      <c r="DD775" s="30"/>
      <c r="DE775" s="28"/>
      <c r="DF775" s="30"/>
      <c r="DG775" s="28"/>
      <c r="DH775" s="30"/>
      <c r="DI775" s="28"/>
      <c r="DJ775" s="30"/>
      <c r="DK775" s="28"/>
      <c r="DL775" s="30"/>
      <c r="DM775" s="28"/>
      <c r="DN775" s="30"/>
      <c r="DO775" s="28"/>
      <c r="DP775" s="30"/>
      <c r="DQ775" s="28"/>
      <c r="DR775" s="30"/>
      <c r="DS775" s="28"/>
      <c r="DT775" s="30"/>
      <c r="DU775" s="28"/>
      <c r="DV775" s="30"/>
      <c r="DW775" s="28"/>
      <c r="DX775" s="30"/>
      <c r="DY775" s="40">
        <v>-2</v>
      </c>
      <c r="DZ775" s="30"/>
      <c r="EA775" s="40">
        <v>-2</v>
      </c>
      <c r="EB775" s="30"/>
      <c r="EC775" s="40">
        <v>-2</v>
      </c>
      <c r="ED775" s="30"/>
      <c r="EE775" s="40">
        <v>-2</v>
      </c>
      <c r="EF775" s="30"/>
      <c r="EG775" s="40">
        <v>-2</v>
      </c>
      <c r="EH775" s="30"/>
      <c r="EI775" s="40">
        <v>-2</v>
      </c>
      <c r="EJ775" s="30"/>
      <c r="EK775" s="40">
        <v>-2</v>
      </c>
      <c r="EL775" s="30"/>
      <c r="EM775" s="40">
        <v>-2</v>
      </c>
      <c r="EN775" s="30"/>
      <c r="EO775" s="40">
        <v>-2</v>
      </c>
      <c r="EP775" s="30"/>
      <c r="EQ775" s="40">
        <v>-2</v>
      </c>
      <c r="ER775" s="30"/>
      <c r="ES775" s="40">
        <v>-2</v>
      </c>
      <c r="ET775" s="30"/>
      <c r="EU775" s="40">
        <v>-2</v>
      </c>
      <c r="EV775" s="30"/>
      <c r="EW775" s="40">
        <v>-2</v>
      </c>
      <c r="EX775" s="30"/>
      <c r="EY775" s="35"/>
      <c r="EZ775" s="558"/>
      <c r="FA775" s="35"/>
      <c r="FB775" s="36"/>
      <c r="FC775" s="35"/>
      <c r="FD775" s="36"/>
      <c r="FE775" s="38"/>
      <c r="FF775" s="37"/>
      <c r="FG775" s="38"/>
      <c r="FH775" s="35"/>
      <c r="FI775" s="38"/>
      <c r="FJ775" s="35"/>
      <c r="FK775" s="38"/>
      <c r="FL775" s="35"/>
      <c r="FM775" s="38"/>
      <c r="FN775" s="35"/>
      <c r="FO775" s="38"/>
      <c r="FP775" s="35"/>
      <c r="FQ775" s="38"/>
      <c r="FR775" s="35"/>
      <c r="FS775" s="515"/>
      <c r="FT775" s="35"/>
      <c r="FU775" s="515"/>
      <c r="FV775" s="35"/>
      <c r="FW775" s="515"/>
      <c r="FX775" s="35"/>
      <c r="FY775" s="515"/>
      <c r="FZ775" s="35"/>
      <c r="GA775" s="515"/>
      <c r="GB775" s="35"/>
      <c r="GC775" s="515"/>
      <c r="GD775" s="35"/>
      <c r="GE775" s="515"/>
      <c r="GF775" s="35"/>
      <c r="GG775" s="515"/>
      <c r="GH775" s="35"/>
      <c r="GI775" s="515"/>
      <c r="GJ775" s="35"/>
      <c r="GK775" s="515"/>
      <c r="GL775" s="35"/>
      <c r="GM775" s="515"/>
      <c r="GN775" s="35"/>
      <c r="GO775" s="515"/>
      <c r="GP775" s="35"/>
      <c r="GQ775" s="515"/>
      <c r="GR775" s="40">
        <v>-2</v>
      </c>
      <c r="GS775" s="515"/>
      <c r="GT775" s="40">
        <v>-2</v>
      </c>
      <c r="GU775" s="515"/>
      <c r="GV775" s="40">
        <v>-2</v>
      </c>
      <c r="GW775" s="515"/>
      <c r="GX775" s="40">
        <v>-2</v>
      </c>
      <c r="GY775" s="515"/>
      <c r="GZ775" s="30"/>
      <c r="HA775" s="30"/>
      <c r="HB775" s="455"/>
      <c r="HC775"/>
      <c r="HD775"/>
      <c r="HE775"/>
      <c r="HF775"/>
      <c r="HG775"/>
      <c r="HH775"/>
    </row>
    <row r="776" spans="2:216" s="6" customFormat="1" ht="12.75" hidden="1" customHeight="1" outlineLevel="1" x14ac:dyDescent="0.2">
      <c r="B776" s="25" t="s">
        <v>111</v>
      </c>
      <c r="C776" s="27"/>
      <c r="D776" s="30"/>
      <c r="E776" s="27"/>
      <c r="F776" s="28"/>
      <c r="G776" s="27"/>
      <c r="H776" s="28"/>
      <c r="I776" s="27"/>
      <c r="J776" s="28"/>
      <c r="K776" s="28"/>
      <c r="L776" s="30"/>
      <c r="M776" s="27"/>
      <c r="N776" s="30"/>
      <c r="O776" s="27"/>
      <c r="P776" s="30"/>
      <c r="Q776" s="27"/>
      <c r="R776" s="30"/>
      <c r="S776" s="28"/>
      <c r="T776" s="30"/>
      <c r="U776" s="27"/>
      <c r="V776" s="30"/>
      <c r="W776" s="27"/>
      <c r="X776" s="30"/>
      <c r="Y776" s="27"/>
      <c r="Z776" s="30"/>
      <c r="AA776" s="28"/>
      <c r="AB776" s="30"/>
      <c r="AC776" s="28"/>
      <c r="AD776" s="30"/>
      <c r="AE776" s="28"/>
      <c r="AF776" s="30"/>
      <c r="AG776" s="28"/>
      <c r="AH776" s="30"/>
      <c r="AI776" s="28"/>
      <c r="AJ776" s="30"/>
      <c r="AK776" s="28"/>
      <c r="AL776" s="30"/>
      <c r="AM776" s="28"/>
      <c r="AN776" s="30"/>
      <c r="AO776" s="28"/>
      <c r="AP776" s="30"/>
      <c r="AQ776" s="28"/>
      <c r="AR776" s="30"/>
      <c r="AS776" s="28"/>
      <c r="AT776" s="30"/>
      <c r="AU776" s="28"/>
      <c r="AV776" s="30"/>
      <c r="AW776" s="28"/>
      <c r="AX776" s="30"/>
      <c r="AY776" s="28"/>
      <c r="AZ776" s="30"/>
      <c r="BA776" s="28"/>
      <c r="BB776" s="30"/>
      <c r="BC776" s="28"/>
      <c r="BD776" s="30"/>
      <c r="BE776" s="28"/>
      <c r="BF776" s="30"/>
      <c r="BG776" s="28"/>
      <c r="BH776" s="30"/>
      <c r="BI776" s="28"/>
      <c r="BJ776" s="30"/>
      <c r="BK776" s="28"/>
      <c r="BL776" s="30"/>
      <c r="BM776" s="28"/>
      <c r="BN776" s="30"/>
      <c r="BO776" s="28"/>
      <c r="BP776" s="30"/>
      <c r="BQ776" s="28"/>
      <c r="BR776" s="30"/>
      <c r="BS776" s="28"/>
      <c r="BT776" s="30"/>
      <c r="BU776" s="28"/>
      <c r="BV776" s="30"/>
      <c r="BW776" s="28"/>
      <c r="BX776" s="30"/>
      <c r="BY776" s="28"/>
      <c r="BZ776" s="30"/>
      <c r="CA776" s="28"/>
      <c r="CB776" s="30"/>
      <c r="CC776" s="28"/>
      <c r="CD776" s="30"/>
      <c r="CE776" s="28"/>
      <c r="CF776" s="30"/>
      <c r="CG776" s="28"/>
      <c r="CH776" s="30"/>
      <c r="CI776" s="28"/>
      <c r="CJ776" s="30"/>
      <c r="CK776" s="28"/>
      <c r="CL776" s="30"/>
      <c r="CM776" s="28"/>
      <c r="CN776" s="30"/>
      <c r="CO776" s="28"/>
      <c r="CP776" s="30"/>
      <c r="CQ776" s="28"/>
      <c r="CR776" s="30"/>
      <c r="CS776" s="28"/>
      <c r="CT776" s="30"/>
      <c r="CU776" s="28"/>
      <c r="CV776" s="30"/>
      <c r="CW776" s="28"/>
      <c r="CX776" s="30"/>
      <c r="CY776" s="28"/>
      <c r="CZ776" s="30"/>
      <c r="DA776" s="28"/>
      <c r="DB776" s="30"/>
      <c r="DC776" s="28"/>
      <c r="DD776" s="30"/>
      <c r="DE776" s="28"/>
      <c r="DF776" s="30"/>
      <c r="DG776" s="28"/>
      <c r="DH776" s="30"/>
      <c r="DI776" s="28"/>
      <c r="DJ776" s="30"/>
      <c r="DK776" s="28"/>
      <c r="DL776" s="30"/>
      <c r="DM776" s="28"/>
      <c r="DN776" s="30"/>
      <c r="DO776" s="28"/>
      <c r="DP776" s="30"/>
      <c r="DQ776" s="28"/>
      <c r="DR776" s="30"/>
      <c r="DS776" s="28"/>
      <c r="DT776" s="30"/>
      <c r="DU776" s="28"/>
      <c r="DV776" s="30"/>
      <c r="DW776" s="28"/>
      <c r="DX776" s="30"/>
      <c r="DY776" s="41">
        <v>2</v>
      </c>
      <c r="DZ776" s="30"/>
      <c r="EA776" s="41">
        <v>2</v>
      </c>
      <c r="EB776" s="30"/>
      <c r="EC776" s="41">
        <v>2</v>
      </c>
      <c r="ED776" s="30"/>
      <c r="EE776" s="41">
        <v>2</v>
      </c>
      <c r="EF776" s="30"/>
      <c r="EG776" s="41">
        <v>2</v>
      </c>
      <c r="EH776" s="30"/>
      <c r="EI776" s="41">
        <v>2</v>
      </c>
      <c r="EJ776" s="30"/>
      <c r="EK776" s="41">
        <v>2</v>
      </c>
      <c r="EL776" s="30"/>
      <c r="EM776" s="41">
        <v>2</v>
      </c>
      <c r="EN776" s="30"/>
      <c r="EO776" s="41">
        <v>2</v>
      </c>
      <c r="EP776" s="30"/>
      <c r="EQ776" s="41">
        <v>2</v>
      </c>
      <c r="ER776" s="30"/>
      <c r="ES776" s="41">
        <v>2</v>
      </c>
      <c r="ET776" s="30"/>
      <c r="EU776" s="41">
        <v>2</v>
      </c>
      <c r="EV776" s="30"/>
      <c r="EW776" s="41">
        <v>2</v>
      </c>
      <c r="EX776" s="30"/>
      <c r="EY776" s="35"/>
      <c r="EZ776" s="558"/>
      <c r="FA776" s="35"/>
      <c r="FB776" s="36"/>
      <c r="FC776" s="35"/>
      <c r="FD776" s="36"/>
      <c r="FE776" s="38"/>
      <c r="FF776" s="37"/>
      <c r="FG776" s="38"/>
      <c r="FH776" s="35"/>
      <c r="FI776" s="38"/>
      <c r="FJ776" s="35"/>
      <c r="FK776" s="38"/>
      <c r="FL776" s="35"/>
      <c r="FM776" s="38"/>
      <c r="FN776" s="35"/>
      <c r="FO776" s="38"/>
      <c r="FP776" s="35"/>
      <c r="FQ776" s="38"/>
      <c r="FR776" s="35"/>
      <c r="FS776" s="515"/>
      <c r="FT776" s="35"/>
      <c r="FU776" s="515"/>
      <c r="FV776" s="35"/>
      <c r="FW776" s="515"/>
      <c r="FX776" s="35"/>
      <c r="FY776" s="515"/>
      <c r="FZ776" s="35"/>
      <c r="GA776" s="515"/>
      <c r="GB776" s="35"/>
      <c r="GC776" s="515"/>
      <c r="GD776" s="35"/>
      <c r="GE776" s="515"/>
      <c r="GF776" s="35"/>
      <c r="GG776" s="515"/>
      <c r="GH776" s="35"/>
      <c r="GI776" s="515"/>
      <c r="GJ776" s="35"/>
      <c r="GK776" s="515"/>
      <c r="GL776" s="35"/>
      <c r="GM776" s="515"/>
      <c r="GN776" s="35"/>
      <c r="GO776" s="515"/>
      <c r="GP776" s="35"/>
      <c r="GQ776" s="515"/>
      <c r="GR776" s="41">
        <v>2</v>
      </c>
      <c r="GS776" s="515"/>
      <c r="GT776" s="41">
        <v>2</v>
      </c>
      <c r="GU776" s="515"/>
      <c r="GV776" s="41">
        <v>2</v>
      </c>
      <c r="GW776" s="515"/>
      <c r="GX776" s="41">
        <v>2</v>
      </c>
      <c r="GY776" s="515"/>
      <c r="GZ776" s="30"/>
      <c r="HA776" s="30"/>
      <c r="HB776" s="455"/>
      <c r="HC776"/>
      <c r="HD776"/>
      <c r="HE776"/>
      <c r="HF776"/>
      <c r="HG776"/>
      <c r="HH776"/>
    </row>
    <row r="777" spans="2:216" s="6" customFormat="1" ht="12.75" hidden="1" customHeight="1" outlineLevel="1" x14ac:dyDescent="0.2">
      <c r="B777" s="25"/>
      <c r="C777" s="27"/>
      <c r="D777" s="30"/>
      <c r="E777" s="27"/>
      <c r="F777" s="28"/>
      <c r="G777" s="27"/>
      <c r="H777" s="28"/>
      <c r="I777" s="27"/>
      <c r="J777" s="28"/>
      <c r="K777" s="28"/>
      <c r="L777" s="30"/>
      <c r="M777" s="27"/>
      <c r="N777" s="30"/>
      <c r="O777" s="27"/>
      <c r="P777" s="30"/>
      <c r="Q777" s="27"/>
      <c r="R777" s="30"/>
      <c r="S777" s="28"/>
      <c r="T777" s="30"/>
      <c r="U777" s="27"/>
      <c r="V777" s="30"/>
      <c r="W777" s="27"/>
      <c r="X777" s="30"/>
      <c r="Y777" s="27"/>
      <c r="Z777" s="30"/>
      <c r="AA777" s="28"/>
      <c r="AB777" s="30"/>
      <c r="AC777" s="28"/>
      <c r="AD777" s="30"/>
      <c r="AE777" s="28"/>
      <c r="AF777" s="30"/>
      <c r="AG777" s="28"/>
      <c r="AH777" s="30"/>
      <c r="AI777" s="28"/>
      <c r="AJ777" s="30"/>
      <c r="AK777" s="28"/>
      <c r="AL777" s="30"/>
      <c r="AM777" s="28"/>
      <c r="AN777" s="30"/>
      <c r="AO777" s="28"/>
      <c r="AP777" s="30"/>
      <c r="AQ777" s="28"/>
      <c r="AR777" s="30"/>
      <c r="AS777" s="28"/>
      <c r="AT777" s="30"/>
      <c r="AU777" s="28"/>
      <c r="AV777" s="30"/>
      <c r="AW777" s="28"/>
      <c r="AX777" s="30"/>
      <c r="AY777" s="28"/>
      <c r="AZ777" s="30"/>
      <c r="BA777" s="28"/>
      <c r="BB777" s="30"/>
      <c r="BC777" s="28"/>
      <c r="BD777" s="30"/>
      <c r="BE777" s="28"/>
      <c r="BF777" s="30"/>
      <c r="BG777" s="28"/>
      <c r="BH777" s="30"/>
      <c r="BI777" s="28"/>
      <c r="BJ777" s="30"/>
      <c r="BK777" s="28"/>
      <c r="BL777" s="30"/>
      <c r="BM777" s="28"/>
      <c r="BN777" s="30"/>
      <c r="BO777" s="28"/>
      <c r="BP777" s="30"/>
      <c r="BQ777" s="28"/>
      <c r="BR777" s="30"/>
      <c r="BS777" s="28"/>
      <c r="BT777" s="30"/>
      <c r="BU777" s="28"/>
      <c r="BV777" s="30"/>
      <c r="BW777" s="28"/>
      <c r="BX777" s="30"/>
      <c r="BY777" s="28"/>
      <c r="BZ777" s="30"/>
      <c r="CA777" s="28"/>
      <c r="CB777" s="30"/>
      <c r="CC777" s="28"/>
      <c r="CD777" s="30"/>
      <c r="CE777" s="28"/>
      <c r="CF777" s="30"/>
      <c r="CG777" s="28"/>
      <c r="CH777" s="30"/>
      <c r="CI777" s="28"/>
      <c r="CJ777" s="30"/>
      <c r="CK777" s="28"/>
      <c r="CL777" s="30"/>
      <c r="CM777" s="28"/>
      <c r="CN777" s="30"/>
      <c r="CO777" s="28"/>
      <c r="CP777" s="30"/>
      <c r="CQ777" s="28"/>
      <c r="CR777" s="30"/>
      <c r="CS777" s="28"/>
      <c r="CT777" s="30"/>
      <c r="CU777" s="28"/>
      <c r="CV777" s="30"/>
      <c r="CW777" s="28"/>
      <c r="CX777" s="30"/>
      <c r="CY777" s="28"/>
      <c r="CZ777" s="30"/>
      <c r="DA777" s="28"/>
      <c r="DB777" s="30"/>
      <c r="DC777" s="28"/>
      <c r="DD777" s="30"/>
      <c r="DE777" s="28"/>
      <c r="DF777" s="30"/>
      <c r="DG777" s="28"/>
      <c r="DH777" s="30"/>
      <c r="DI777" s="28"/>
      <c r="DJ777" s="30"/>
      <c r="DK777" s="28"/>
      <c r="DL777" s="30"/>
      <c r="DM777" s="28"/>
      <c r="DN777" s="30"/>
      <c r="DO777" s="28"/>
      <c r="DP777" s="30"/>
      <c r="DQ777" s="28"/>
      <c r="DR777" s="30"/>
      <c r="DS777" s="28"/>
      <c r="DT777" s="30"/>
      <c r="DU777" s="28"/>
      <c r="DV777" s="30"/>
      <c r="DW777" s="28"/>
      <c r="DX777" s="30"/>
      <c r="DY777" s="28"/>
      <c r="DZ777" s="30"/>
      <c r="EA777" s="28"/>
      <c r="EB777" s="30"/>
      <c r="EC777" s="28"/>
      <c r="ED777" s="30"/>
      <c r="EE777" s="28"/>
      <c r="EF777" s="30"/>
      <c r="EG777" s="28"/>
      <c r="EH777" s="30"/>
      <c r="EI777" s="28"/>
      <c r="EJ777" s="30"/>
      <c r="EK777" s="28"/>
      <c r="EL777" s="30"/>
      <c r="EM777" s="28"/>
      <c r="EN777" s="30"/>
      <c r="EO777" s="28"/>
      <c r="EP777" s="30"/>
      <c r="EQ777" s="28"/>
      <c r="ER777" s="30"/>
      <c r="ES777" s="28"/>
      <c r="ET777" s="30"/>
      <c r="EU777" s="28"/>
      <c r="EV777" s="30"/>
      <c r="EW777" s="28"/>
      <c r="EX777" s="30"/>
      <c r="EY777" s="28"/>
      <c r="EZ777" s="558"/>
      <c r="FA777" s="28"/>
      <c r="FB777" s="31"/>
      <c r="FC777" s="28"/>
      <c r="FD777" s="31"/>
      <c r="FE777" s="30"/>
      <c r="FF777" s="32"/>
      <c r="FG777" s="30"/>
      <c r="FH777" s="33"/>
      <c r="FI777" s="30"/>
      <c r="FJ777" s="33"/>
      <c r="FK777" s="30"/>
      <c r="FL777" s="33"/>
      <c r="FM777" s="30"/>
      <c r="FN777" s="34"/>
      <c r="FO777" s="30"/>
      <c r="FP777" s="34"/>
      <c r="FQ777" s="30"/>
      <c r="FR777" s="28"/>
      <c r="FS777" s="30"/>
      <c r="FT777" s="28"/>
      <c r="FU777" s="30"/>
      <c r="FV777" s="28"/>
      <c r="FW777" s="30"/>
      <c r="FX777" s="28"/>
      <c r="FY777" s="30"/>
      <c r="FZ777" s="28"/>
      <c r="GA777" s="30"/>
      <c r="GB777" s="28"/>
      <c r="GC777" s="30"/>
      <c r="GD777" s="28"/>
      <c r="GE777" s="30"/>
      <c r="GF777" s="28"/>
      <c r="GG777" s="30"/>
      <c r="GH777" s="28"/>
      <c r="GI777" s="30"/>
      <c r="GJ777" s="28"/>
      <c r="GK777" s="30"/>
      <c r="GL777" s="28"/>
      <c r="GM777" s="30"/>
      <c r="GN777" s="28"/>
      <c r="GO777" s="30"/>
      <c r="GP777" s="28"/>
      <c r="GQ777" s="30"/>
      <c r="GR777" s="28"/>
      <c r="GS777" s="30"/>
      <c r="GT777" s="28"/>
      <c r="GU777" s="30"/>
      <c r="GV777" s="28"/>
      <c r="GW777" s="30"/>
      <c r="GX777" s="28"/>
      <c r="GY777" s="30"/>
      <c r="GZ777" s="30"/>
      <c r="HA777" s="30"/>
      <c r="HB777" s="455"/>
      <c r="HC777"/>
      <c r="HD777"/>
      <c r="HE777"/>
      <c r="HF777"/>
      <c r="HG777"/>
      <c r="HH777"/>
    </row>
    <row r="778" spans="2:216" s="6" customFormat="1" ht="12.75" hidden="1" customHeight="1" outlineLevel="1" x14ac:dyDescent="0.2">
      <c r="B778" s="29" t="s">
        <v>593</v>
      </c>
      <c r="C778" s="27"/>
      <c r="D778" s="30"/>
      <c r="E778" s="27"/>
      <c r="F778" s="28"/>
      <c r="G778" s="27"/>
      <c r="H778" s="28"/>
      <c r="I778" s="27"/>
      <c r="J778" s="28"/>
      <c r="K778" s="28"/>
      <c r="L778" s="30"/>
      <c r="M778" s="27"/>
      <c r="N778" s="30"/>
      <c r="O778" s="27"/>
      <c r="P778" s="30"/>
      <c r="Q778" s="27"/>
      <c r="R778" s="30"/>
      <c r="S778" s="28"/>
      <c r="T778" s="30"/>
      <c r="U778" s="27"/>
      <c r="V778" s="30"/>
      <c r="W778" s="27"/>
      <c r="X778" s="30"/>
      <c r="Y778" s="27"/>
      <c r="Z778" s="30"/>
      <c r="AA778" s="28"/>
      <c r="AB778" s="30"/>
      <c r="AC778" s="28"/>
      <c r="AD778" s="30"/>
      <c r="AE778" s="28"/>
      <c r="AF778" s="30"/>
      <c r="AG778" s="28"/>
      <c r="AH778" s="30"/>
      <c r="AI778" s="28"/>
      <c r="AJ778" s="30"/>
      <c r="AK778" s="28"/>
      <c r="AL778" s="30"/>
      <c r="AM778" s="28"/>
      <c r="AN778" s="30"/>
      <c r="AO778" s="28"/>
      <c r="AP778" s="30"/>
      <c r="AQ778" s="28"/>
      <c r="AR778" s="30"/>
      <c r="AS778" s="28"/>
      <c r="AT778" s="30"/>
      <c r="AU778" s="28"/>
      <c r="AV778" s="30"/>
      <c r="AW778" s="28"/>
      <c r="AX778" s="30"/>
      <c r="AY778" s="28"/>
      <c r="AZ778" s="30"/>
      <c r="BA778" s="28"/>
      <c r="BB778" s="30"/>
      <c r="BC778" s="28"/>
      <c r="BD778" s="30"/>
      <c r="BE778" s="28"/>
      <c r="BF778" s="30"/>
      <c r="BG778" s="28"/>
      <c r="BH778" s="30"/>
      <c r="BI778" s="28"/>
      <c r="BJ778" s="30"/>
      <c r="BK778" s="28"/>
      <c r="BL778" s="30"/>
      <c r="BM778" s="28"/>
      <c r="BN778" s="30"/>
      <c r="BO778" s="28"/>
      <c r="BP778" s="30"/>
      <c r="BQ778" s="28"/>
      <c r="BR778" s="30"/>
      <c r="BS778" s="28"/>
      <c r="BT778" s="30"/>
      <c r="BU778" s="28"/>
      <c r="BV778" s="30"/>
      <c r="BW778" s="28"/>
      <c r="BX778" s="30"/>
      <c r="BY778" s="28"/>
      <c r="BZ778" s="30"/>
      <c r="CA778" s="28"/>
      <c r="CB778" s="30"/>
      <c r="CC778" s="28"/>
      <c r="CD778" s="30"/>
      <c r="CE778" s="28"/>
      <c r="CF778" s="30"/>
      <c r="CG778" s="28"/>
      <c r="CH778" s="30"/>
      <c r="CI778" s="28"/>
      <c r="CJ778" s="30"/>
      <c r="CK778" s="28"/>
      <c r="CL778" s="30"/>
      <c r="CM778" s="28"/>
      <c r="CN778" s="30"/>
      <c r="CO778" s="28"/>
      <c r="CP778" s="30"/>
      <c r="CQ778" s="28"/>
      <c r="CR778" s="30"/>
      <c r="CS778" s="28"/>
      <c r="CT778" s="30"/>
      <c r="CU778" s="28"/>
      <c r="CV778" s="30"/>
      <c r="CW778" s="28"/>
      <c r="CX778" s="30"/>
      <c r="CY778" s="28"/>
      <c r="CZ778" s="30"/>
      <c r="DA778" s="28"/>
      <c r="DB778" s="30"/>
      <c r="DC778" s="28"/>
      <c r="DD778" s="30"/>
      <c r="DE778" s="28"/>
      <c r="DF778" s="30"/>
      <c r="DG778" s="28"/>
      <c r="DH778" s="30"/>
      <c r="DI778" s="28"/>
      <c r="DJ778" s="30"/>
      <c r="DK778" s="28"/>
      <c r="DL778" s="30"/>
      <c r="DM778" s="28"/>
      <c r="DN778" s="30"/>
      <c r="DO778" s="28"/>
      <c r="DP778" s="30"/>
      <c r="DQ778" s="28"/>
      <c r="DR778" s="30"/>
      <c r="DS778" s="28"/>
      <c r="DT778" s="30"/>
      <c r="DU778" s="28"/>
      <c r="DV778" s="30"/>
      <c r="DW778" s="28"/>
      <c r="DX778" s="30"/>
      <c r="DY778" s="28"/>
      <c r="DZ778" s="30"/>
      <c r="EA778" s="28"/>
      <c r="EB778" s="30"/>
      <c r="EC778" s="28"/>
      <c r="ED778" s="30"/>
      <c r="EE778" s="28"/>
      <c r="EF778" s="30"/>
      <c r="EG778" s="28"/>
      <c r="EH778" s="30"/>
      <c r="EI778" s="28"/>
      <c r="EJ778" s="30"/>
      <c r="EK778" s="28"/>
      <c r="EL778" s="30"/>
      <c r="EM778" s="28"/>
      <c r="EN778" s="30"/>
      <c r="EO778" s="28"/>
      <c r="EP778" s="30"/>
      <c r="EQ778" s="28"/>
      <c r="ER778" s="30"/>
      <c r="ES778" s="28"/>
      <c r="ET778" s="30"/>
      <c r="EU778" s="28"/>
      <c r="EV778" s="30"/>
      <c r="EW778" s="28"/>
      <c r="EX778" s="30"/>
      <c r="EY778" s="28"/>
      <c r="EZ778" s="558"/>
      <c r="FA778" s="28"/>
      <c r="FB778" s="31"/>
      <c r="FC778" s="28"/>
      <c r="FD778" s="31"/>
      <c r="FE778" s="30"/>
      <c r="FF778" s="32"/>
      <c r="FG778" s="30"/>
      <c r="FH778" s="33"/>
      <c r="FI778" s="30"/>
      <c r="FJ778" s="33"/>
      <c r="FK778" s="30"/>
      <c r="FL778" s="33"/>
      <c r="FM778" s="30"/>
      <c r="FN778" s="34"/>
      <c r="FO778" s="30"/>
      <c r="FP778" s="34"/>
      <c r="FQ778" s="30"/>
      <c r="FR778" s="28"/>
      <c r="FS778" s="30"/>
      <c r="FT778" s="28"/>
      <c r="FU778" s="30"/>
      <c r="FV778" s="28"/>
      <c r="FW778" s="30"/>
      <c r="FX778" s="28"/>
      <c r="FY778" s="30"/>
      <c r="FZ778" s="28"/>
      <c r="GA778" s="30"/>
      <c r="GB778" s="28"/>
      <c r="GC778" s="30"/>
      <c r="GD778" s="28"/>
      <c r="GE778" s="30"/>
      <c r="GF778" s="28"/>
      <c r="GG778" s="30"/>
      <c r="GH778" s="28"/>
      <c r="GI778" s="30"/>
      <c r="GJ778" s="28"/>
      <c r="GK778" s="30"/>
      <c r="GL778" s="28"/>
      <c r="GM778" s="30"/>
      <c r="GN778" s="28"/>
      <c r="GO778" s="30"/>
      <c r="GP778" s="28"/>
      <c r="GQ778" s="30"/>
      <c r="GR778" s="28"/>
      <c r="GS778" s="30"/>
      <c r="GT778" s="28"/>
      <c r="GU778" s="30"/>
      <c r="GV778" s="28"/>
      <c r="GW778" s="30"/>
      <c r="GX778" s="28"/>
      <c r="GY778" s="30"/>
      <c r="GZ778" s="30"/>
      <c r="HA778" s="30"/>
      <c r="HB778" s="455"/>
      <c r="HC778"/>
      <c r="HD778"/>
      <c r="HE778"/>
      <c r="HF778"/>
      <c r="HG778"/>
      <c r="HH778"/>
    </row>
    <row r="779" spans="2:216" s="6" customFormat="1" ht="12.75" hidden="1" customHeight="1" outlineLevel="1" x14ac:dyDescent="0.2">
      <c r="B779" s="29" t="s">
        <v>533</v>
      </c>
      <c r="C779" s="27"/>
      <c r="D779" s="30"/>
      <c r="E779" s="27"/>
      <c r="F779" s="28"/>
      <c r="G779" s="27"/>
      <c r="H779" s="28"/>
      <c r="I779" s="27"/>
      <c r="J779" s="28"/>
      <c r="K779" s="28"/>
      <c r="L779" s="30"/>
      <c r="M779" s="27"/>
      <c r="N779" s="30"/>
      <c r="O779" s="27"/>
      <c r="P779" s="30"/>
      <c r="Q779" s="27"/>
      <c r="R779" s="30"/>
      <c r="S779" s="28"/>
      <c r="T779" s="30"/>
      <c r="U779" s="27"/>
      <c r="V779" s="30"/>
      <c r="W779" s="27"/>
      <c r="X779" s="30"/>
      <c r="Y779" s="27"/>
      <c r="Z779" s="30"/>
      <c r="AA779" s="28"/>
      <c r="AB779" s="30"/>
      <c r="AC779" s="28"/>
      <c r="AD779" s="30"/>
      <c r="AE779" s="28"/>
      <c r="AF779" s="30"/>
      <c r="AG779" s="28"/>
      <c r="AH779" s="30"/>
      <c r="AI779" s="28"/>
      <c r="AJ779" s="30"/>
      <c r="AK779" s="28"/>
      <c r="AL779" s="30"/>
      <c r="AM779" s="28"/>
      <c r="AN779" s="30"/>
      <c r="AO779" s="28"/>
      <c r="AP779" s="30"/>
      <c r="AQ779" s="28"/>
      <c r="AR779" s="30"/>
      <c r="AS779" s="28"/>
      <c r="AT779" s="30"/>
      <c r="AU779" s="28"/>
      <c r="AV779" s="30"/>
      <c r="AW779" s="28"/>
      <c r="AX779" s="30"/>
      <c r="AY779" s="28"/>
      <c r="AZ779" s="30"/>
      <c r="BA779" s="28"/>
      <c r="BB779" s="30"/>
      <c r="BC779" s="28"/>
      <c r="BD779" s="30"/>
      <c r="BE779" s="28"/>
      <c r="BF779" s="30"/>
      <c r="BG779" s="28"/>
      <c r="BH779" s="30"/>
      <c r="BI779" s="28"/>
      <c r="BJ779" s="30"/>
      <c r="BK779" s="28"/>
      <c r="BL779" s="30"/>
      <c r="BM779" s="28"/>
      <c r="BN779" s="30"/>
      <c r="BO779" s="28"/>
      <c r="BP779" s="30"/>
      <c r="BQ779" s="28"/>
      <c r="BR779" s="30"/>
      <c r="BS779" s="28"/>
      <c r="BT779" s="30"/>
      <c r="BU779" s="28"/>
      <c r="BV779" s="30"/>
      <c r="BW779" s="28"/>
      <c r="BX779" s="30"/>
      <c r="BY779" s="28"/>
      <c r="BZ779" s="30"/>
      <c r="CA779" s="28"/>
      <c r="CB779" s="30"/>
      <c r="CC779" s="28"/>
      <c r="CD779" s="30"/>
      <c r="CE779" s="28"/>
      <c r="CF779" s="30"/>
      <c r="CG779" s="28"/>
      <c r="CH779" s="30"/>
      <c r="CI779" s="28"/>
      <c r="CJ779" s="30"/>
      <c r="CK779" s="28"/>
      <c r="CL779" s="30"/>
      <c r="CM779" s="28"/>
      <c r="CN779" s="30"/>
      <c r="CO779" s="28"/>
      <c r="CP779" s="30"/>
      <c r="CQ779" s="28"/>
      <c r="CR779" s="30"/>
      <c r="CS779" s="28"/>
      <c r="CT779" s="30"/>
      <c r="CU779" s="28"/>
      <c r="CV779" s="30"/>
      <c r="CW779" s="28"/>
      <c r="CX779" s="30"/>
      <c r="CY779" s="28"/>
      <c r="CZ779" s="30"/>
      <c r="DA779" s="28"/>
      <c r="DB779" s="30"/>
      <c r="DC779" s="28"/>
      <c r="DD779" s="30"/>
      <c r="DE779" s="28"/>
      <c r="DF779" s="30"/>
      <c r="DG779" s="28"/>
      <c r="DH779" s="30"/>
      <c r="DI779" s="28"/>
      <c r="DJ779" s="30"/>
      <c r="DK779" s="28"/>
      <c r="DL779" s="30"/>
      <c r="DM779" s="28"/>
      <c r="DN779" s="30"/>
      <c r="DO779" s="28"/>
      <c r="DP779" s="30"/>
      <c r="DQ779" s="28"/>
      <c r="DR779" s="30"/>
      <c r="DS779" s="28"/>
      <c r="DT779" s="30"/>
      <c r="DU779" s="28"/>
      <c r="DV779" s="30"/>
      <c r="DW779" s="28"/>
      <c r="DX779" s="30"/>
      <c r="DY779" s="28"/>
      <c r="DZ779" s="30"/>
      <c r="EA779" s="28"/>
      <c r="EB779" s="30"/>
      <c r="EC779" s="28"/>
      <c r="ED779" s="30"/>
      <c r="EE779" s="28"/>
      <c r="EF779" s="30"/>
      <c r="EG779" s="28"/>
      <c r="EH779" s="30"/>
      <c r="EI779" s="28"/>
      <c r="EJ779" s="30"/>
      <c r="EK779" s="28"/>
      <c r="EL779" s="30"/>
      <c r="EM779" s="28"/>
      <c r="EN779" s="30"/>
      <c r="EO779" s="28"/>
      <c r="EP779" s="30"/>
      <c r="EQ779" s="28"/>
      <c r="ER779" s="30"/>
      <c r="ES779" s="28"/>
      <c r="ET779" s="30"/>
      <c r="EU779" s="28"/>
      <c r="EV779" s="30"/>
      <c r="EW779" s="28"/>
      <c r="EX779" s="30"/>
      <c r="EY779" s="28"/>
      <c r="EZ779" s="558"/>
      <c r="FA779" s="28"/>
      <c r="FB779" s="31"/>
      <c r="FC779" s="28"/>
      <c r="FD779" s="31"/>
      <c r="FE779" s="30"/>
      <c r="FF779" s="32"/>
      <c r="FG779" s="30"/>
      <c r="FH779" s="33"/>
      <c r="FI779" s="30"/>
      <c r="FJ779" s="33"/>
      <c r="FK779" s="30"/>
      <c r="FL779" s="33"/>
      <c r="FM779" s="30"/>
      <c r="FN779" s="34"/>
      <c r="FO779" s="30"/>
      <c r="FP779" s="34"/>
      <c r="FQ779" s="30"/>
      <c r="FR779" s="28"/>
      <c r="FS779" s="30"/>
      <c r="FT779" s="28"/>
      <c r="FU779" s="30"/>
      <c r="FV779" s="28"/>
      <c r="FW779" s="30"/>
      <c r="FX779" s="28"/>
      <c r="FY779" s="30"/>
      <c r="FZ779" s="28"/>
      <c r="GA779" s="30"/>
      <c r="GB779" s="28"/>
      <c r="GC779" s="30"/>
      <c r="GD779" s="28"/>
      <c r="GE779" s="30"/>
      <c r="GF779" s="28"/>
      <c r="GG779" s="30"/>
      <c r="GH779" s="28"/>
      <c r="GI779" s="30"/>
      <c r="GJ779" s="28"/>
      <c r="GK779" s="30"/>
      <c r="GL779" s="28"/>
      <c r="GM779" s="30"/>
      <c r="GN779" s="28"/>
      <c r="GO779" s="30"/>
      <c r="GP779" s="28"/>
      <c r="GQ779" s="30"/>
      <c r="GR779" s="28"/>
      <c r="GS779" s="30"/>
      <c r="GT779" s="28"/>
      <c r="GU779" s="30"/>
      <c r="GV779" s="28"/>
      <c r="GW779" s="30"/>
      <c r="GX779" s="28"/>
      <c r="GY779" s="30"/>
      <c r="GZ779" s="30"/>
      <c r="HA779" s="30"/>
      <c r="HB779" s="455"/>
      <c r="HC779"/>
      <c r="HD779"/>
      <c r="HE779"/>
      <c r="HF779"/>
      <c r="HG779"/>
      <c r="HH779"/>
    </row>
    <row r="780" spans="2:216" s="6" customFormat="1" ht="12.75" hidden="1" customHeight="1" outlineLevel="1" x14ac:dyDescent="0.2">
      <c r="B780" s="25" t="s">
        <v>273</v>
      </c>
      <c r="C780" s="27"/>
      <c r="D780" s="30"/>
      <c r="E780" s="27"/>
      <c r="F780" s="28"/>
      <c r="G780" s="27"/>
      <c r="H780" s="28"/>
      <c r="I780" s="27"/>
      <c r="J780" s="28"/>
      <c r="K780" s="28"/>
      <c r="L780" s="30"/>
      <c r="M780" s="27"/>
      <c r="N780" s="30"/>
      <c r="O780" s="27"/>
      <c r="P780" s="30"/>
      <c r="Q780" s="27"/>
      <c r="R780" s="30"/>
      <c r="S780" s="28"/>
      <c r="T780" s="30"/>
      <c r="U780" s="27"/>
      <c r="V780" s="30"/>
      <c r="W780" s="27"/>
      <c r="X780" s="30"/>
      <c r="Y780" s="27"/>
      <c r="Z780" s="30"/>
      <c r="AA780" s="28"/>
      <c r="AB780" s="30"/>
      <c r="AC780" s="28"/>
      <c r="AD780" s="30"/>
      <c r="AE780" s="28"/>
      <c r="AF780" s="30"/>
      <c r="AG780" s="28"/>
      <c r="AH780" s="30"/>
      <c r="AI780" s="28"/>
      <c r="AJ780" s="30"/>
      <c r="AK780" s="28"/>
      <c r="AL780" s="30"/>
      <c r="AM780" s="28"/>
      <c r="AN780" s="30"/>
      <c r="AO780" s="28"/>
      <c r="AP780" s="30"/>
      <c r="AQ780" s="28"/>
      <c r="AR780" s="30"/>
      <c r="AS780" s="28"/>
      <c r="AT780" s="30"/>
      <c r="AU780" s="28"/>
      <c r="AV780" s="30"/>
      <c r="AW780" s="28"/>
      <c r="AX780" s="30"/>
      <c r="AY780" s="28"/>
      <c r="AZ780" s="30"/>
      <c r="BA780" s="28"/>
      <c r="BB780" s="30"/>
      <c r="BC780" s="28"/>
      <c r="BD780" s="30"/>
      <c r="BE780" s="28"/>
      <c r="BF780" s="30"/>
      <c r="BG780" s="28"/>
      <c r="BH780" s="30"/>
      <c r="BI780" s="28"/>
      <c r="BJ780" s="30"/>
      <c r="BK780" s="28"/>
      <c r="BL780" s="30"/>
      <c r="BM780" s="28"/>
      <c r="BN780" s="30"/>
      <c r="BO780" s="28"/>
      <c r="BP780" s="30"/>
      <c r="BQ780" s="28"/>
      <c r="BR780" s="30"/>
      <c r="BS780" s="28"/>
      <c r="BT780" s="30"/>
      <c r="BU780" s="28"/>
      <c r="BV780" s="30"/>
      <c r="BW780" s="28"/>
      <c r="BX780" s="30"/>
      <c r="BY780" s="28"/>
      <c r="BZ780" s="30"/>
      <c r="CA780" s="28"/>
      <c r="CB780" s="30"/>
      <c r="CC780" s="28"/>
      <c r="CD780" s="30"/>
      <c r="CE780" s="28"/>
      <c r="CF780" s="30"/>
      <c r="CG780" s="28"/>
      <c r="CH780" s="30"/>
      <c r="CI780" s="28"/>
      <c r="CJ780" s="30"/>
      <c r="CK780" s="28"/>
      <c r="CL780" s="30"/>
      <c r="CM780" s="28"/>
      <c r="CN780" s="30"/>
      <c r="CO780" s="28"/>
      <c r="CP780" s="30"/>
      <c r="CQ780" s="28"/>
      <c r="CR780" s="30"/>
      <c r="CS780" s="28"/>
      <c r="CT780" s="30"/>
      <c r="CU780" s="28"/>
      <c r="CV780" s="30"/>
      <c r="CW780" s="28"/>
      <c r="CX780" s="30"/>
      <c r="CY780" s="28"/>
      <c r="CZ780" s="30"/>
      <c r="DA780" s="28"/>
      <c r="DB780" s="30"/>
      <c r="DC780" s="28"/>
      <c r="DD780" s="30"/>
      <c r="DE780" s="28"/>
      <c r="DF780" s="30"/>
      <c r="DG780" s="28"/>
      <c r="DH780" s="30"/>
      <c r="DI780" s="28"/>
      <c r="DJ780" s="30"/>
      <c r="DK780" s="28"/>
      <c r="DL780" s="30"/>
      <c r="DM780" s="28"/>
      <c r="DN780" s="30"/>
      <c r="DO780" s="28"/>
      <c r="DP780" s="30"/>
      <c r="DQ780" s="28"/>
      <c r="DR780" s="30"/>
      <c r="DS780" s="28"/>
      <c r="DT780" s="30"/>
      <c r="DU780" s="28"/>
      <c r="DV780" s="30"/>
      <c r="DW780" s="28"/>
      <c r="DX780" s="30"/>
      <c r="DY780" s="39"/>
      <c r="DZ780" s="30"/>
      <c r="EA780" s="39"/>
      <c r="EB780" s="30"/>
      <c r="EC780" s="39"/>
      <c r="ED780" s="30"/>
      <c r="EE780" s="39"/>
      <c r="EF780" s="30"/>
      <c r="EG780" s="39"/>
      <c r="EH780" s="30"/>
      <c r="EI780" s="39"/>
      <c r="EJ780" s="30"/>
      <c r="EK780" s="39"/>
      <c r="EL780" s="30"/>
      <c r="EM780" s="39"/>
      <c r="EN780" s="30"/>
      <c r="EO780" s="39"/>
      <c r="EP780" s="30"/>
      <c r="EQ780" s="39"/>
      <c r="ER780" s="30"/>
      <c r="ES780" s="39"/>
      <c r="ET780" s="30"/>
      <c r="EU780" s="39"/>
      <c r="EV780" s="30"/>
      <c r="EW780" s="39"/>
      <c r="EX780" s="30"/>
      <c r="EY780" s="28"/>
      <c r="EZ780" s="558"/>
      <c r="FA780" s="28"/>
      <c r="FB780" s="31"/>
      <c r="FC780" s="28"/>
      <c r="FD780" s="31"/>
      <c r="FE780" s="30"/>
      <c r="FF780" s="32"/>
      <c r="FG780" s="30"/>
      <c r="FH780" s="33"/>
      <c r="FI780" s="30"/>
      <c r="FJ780" s="33"/>
      <c r="FK780" s="30"/>
      <c r="FL780" s="33"/>
      <c r="FM780" s="30"/>
      <c r="FN780" s="34"/>
      <c r="FO780" s="30"/>
      <c r="FP780" s="34"/>
      <c r="FQ780" s="30"/>
      <c r="FR780" s="28"/>
      <c r="FS780" s="30"/>
      <c r="FT780" s="28"/>
      <c r="FU780" s="30"/>
      <c r="FV780" s="28"/>
      <c r="FW780" s="30"/>
      <c r="FX780" s="28"/>
      <c r="FY780" s="30"/>
      <c r="FZ780" s="28"/>
      <c r="GA780" s="30"/>
      <c r="GB780" s="28"/>
      <c r="GC780" s="30"/>
      <c r="GD780" s="28"/>
      <c r="GE780" s="30"/>
      <c r="GF780" s="28"/>
      <c r="GG780" s="30"/>
      <c r="GH780" s="28"/>
      <c r="GI780" s="30"/>
      <c r="GJ780" s="28"/>
      <c r="GK780" s="30"/>
      <c r="GL780" s="28"/>
      <c r="GM780" s="30"/>
      <c r="GN780" s="28"/>
      <c r="GO780" s="30"/>
      <c r="GP780" s="28"/>
      <c r="GQ780" s="30"/>
      <c r="GR780" s="42"/>
      <c r="GS780" s="30"/>
      <c r="GT780" s="42"/>
      <c r="GU780" s="30"/>
      <c r="GV780" s="42"/>
      <c r="GW780" s="30"/>
      <c r="GX780" s="42"/>
      <c r="GY780" s="30"/>
      <c r="GZ780" s="30"/>
      <c r="HA780" s="30"/>
      <c r="HB780" s="455"/>
      <c r="HC780"/>
      <c r="HD780"/>
      <c r="HE780"/>
      <c r="HF780"/>
      <c r="HG780"/>
      <c r="HH780"/>
    </row>
    <row r="781" spans="2:216" s="6" customFormat="1" ht="12.75" hidden="1" customHeight="1" outlineLevel="1" x14ac:dyDescent="0.2">
      <c r="B781" s="25" t="s">
        <v>274</v>
      </c>
      <c r="C781" s="27"/>
      <c r="D781" s="30"/>
      <c r="E781" s="27"/>
      <c r="F781" s="28"/>
      <c r="G781" s="27"/>
      <c r="H781" s="28"/>
      <c r="I781" s="27"/>
      <c r="J781" s="28"/>
      <c r="K781" s="28"/>
      <c r="L781" s="30"/>
      <c r="M781" s="27"/>
      <c r="N781" s="30"/>
      <c r="O781" s="27"/>
      <c r="P781" s="30"/>
      <c r="Q781" s="27"/>
      <c r="R781" s="30"/>
      <c r="S781" s="28"/>
      <c r="T781" s="30"/>
      <c r="U781" s="27"/>
      <c r="V781" s="30"/>
      <c r="W781" s="27"/>
      <c r="X781" s="30"/>
      <c r="Y781" s="27"/>
      <c r="Z781" s="30"/>
      <c r="AA781" s="28"/>
      <c r="AB781" s="30"/>
      <c r="AC781" s="28"/>
      <c r="AD781" s="30"/>
      <c r="AE781" s="28"/>
      <c r="AF781" s="30"/>
      <c r="AG781" s="28"/>
      <c r="AH781" s="30"/>
      <c r="AI781" s="28"/>
      <c r="AJ781" s="30"/>
      <c r="AK781" s="28"/>
      <c r="AL781" s="30"/>
      <c r="AM781" s="28"/>
      <c r="AN781" s="30"/>
      <c r="AO781" s="28"/>
      <c r="AP781" s="30"/>
      <c r="AQ781" s="28"/>
      <c r="AR781" s="30"/>
      <c r="AS781" s="28"/>
      <c r="AT781" s="30"/>
      <c r="AU781" s="28"/>
      <c r="AV781" s="30"/>
      <c r="AW781" s="28"/>
      <c r="AX781" s="30"/>
      <c r="AY781" s="28"/>
      <c r="AZ781" s="30"/>
      <c r="BA781" s="28"/>
      <c r="BB781" s="30"/>
      <c r="BC781" s="28"/>
      <c r="BD781" s="30"/>
      <c r="BE781" s="28"/>
      <c r="BF781" s="30"/>
      <c r="BG781" s="28"/>
      <c r="BH781" s="30"/>
      <c r="BI781" s="28"/>
      <c r="BJ781" s="30"/>
      <c r="BK781" s="28"/>
      <c r="BL781" s="30"/>
      <c r="BM781" s="28"/>
      <c r="BN781" s="30"/>
      <c r="BO781" s="28"/>
      <c r="BP781" s="30"/>
      <c r="BQ781" s="28"/>
      <c r="BR781" s="30"/>
      <c r="BS781" s="28"/>
      <c r="BT781" s="30"/>
      <c r="BU781" s="28"/>
      <c r="BV781" s="30"/>
      <c r="BW781" s="28"/>
      <c r="BX781" s="30"/>
      <c r="BY781" s="28"/>
      <c r="BZ781" s="30"/>
      <c r="CA781" s="28"/>
      <c r="CB781" s="30"/>
      <c r="CC781" s="28"/>
      <c r="CD781" s="30"/>
      <c r="CE781" s="28"/>
      <c r="CF781" s="30"/>
      <c r="CG781" s="28"/>
      <c r="CH781" s="30"/>
      <c r="CI781" s="28"/>
      <c r="CJ781" s="30"/>
      <c r="CK781" s="28"/>
      <c r="CL781" s="30"/>
      <c r="CM781" s="28"/>
      <c r="CN781" s="30"/>
      <c r="CO781" s="28"/>
      <c r="CP781" s="30"/>
      <c r="CQ781" s="28"/>
      <c r="CR781" s="30"/>
      <c r="CS781" s="28"/>
      <c r="CT781" s="30"/>
      <c r="CU781" s="28"/>
      <c r="CV781" s="30"/>
      <c r="CW781" s="28"/>
      <c r="CX781" s="30"/>
      <c r="CY781" s="28"/>
      <c r="CZ781" s="30"/>
      <c r="DA781" s="28"/>
      <c r="DB781" s="30"/>
      <c r="DC781" s="28"/>
      <c r="DD781" s="30"/>
      <c r="DE781" s="28"/>
      <c r="DF781" s="30"/>
      <c r="DG781" s="28"/>
      <c r="DH781" s="30"/>
      <c r="DI781" s="28"/>
      <c r="DJ781" s="30"/>
      <c r="DK781" s="28"/>
      <c r="DL781" s="30"/>
      <c r="DM781" s="28"/>
      <c r="DN781" s="30"/>
      <c r="DO781" s="28"/>
      <c r="DP781" s="30"/>
      <c r="DQ781" s="28"/>
      <c r="DR781" s="30"/>
      <c r="DS781" s="28"/>
      <c r="DT781" s="30"/>
      <c r="DU781" s="28"/>
      <c r="DV781" s="30"/>
      <c r="DW781" s="28"/>
      <c r="DX781" s="30"/>
      <c r="DY781" s="40">
        <v>100</v>
      </c>
      <c r="DZ781" s="30"/>
      <c r="EA781" s="40">
        <v>100</v>
      </c>
      <c r="EB781" s="30"/>
      <c r="EC781" s="40">
        <v>100</v>
      </c>
      <c r="ED781" s="30"/>
      <c r="EE781" s="40">
        <v>100</v>
      </c>
      <c r="EF781" s="30"/>
      <c r="EG781" s="40">
        <v>100</v>
      </c>
      <c r="EH781" s="30"/>
      <c r="EI781" s="40">
        <v>100</v>
      </c>
      <c r="EJ781" s="30"/>
      <c r="EK781" s="40">
        <v>100</v>
      </c>
      <c r="EL781" s="30"/>
      <c r="EM781" s="40">
        <v>100</v>
      </c>
      <c r="EN781" s="30"/>
      <c r="EO781" s="40">
        <v>100</v>
      </c>
      <c r="EP781" s="30"/>
      <c r="EQ781" s="40">
        <v>100</v>
      </c>
      <c r="ER781" s="30"/>
      <c r="ES781" s="40">
        <v>100</v>
      </c>
      <c r="ET781" s="30"/>
      <c r="EU781" s="40">
        <v>100</v>
      </c>
      <c r="EV781" s="30"/>
      <c r="EW781" s="40">
        <v>100</v>
      </c>
      <c r="EX781" s="30"/>
      <c r="EY781" s="28"/>
      <c r="EZ781" s="558"/>
      <c r="FA781" s="28"/>
      <c r="FB781" s="31"/>
      <c r="FC781" s="28"/>
      <c r="FD781" s="31"/>
      <c r="FE781" s="30"/>
      <c r="FF781" s="32"/>
      <c r="FG781" s="30"/>
      <c r="FH781" s="33"/>
      <c r="FI781" s="30"/>
      <c r="FJ781" s="33"/>
      <c r="FK781" s="30"/>
      <c r="FL781" s="33"/>
      <c r="FM781" s="30"/>
      <c r="FN781" s="34"/>
      <c r="FO781" s="30"/>
      <c r="FP781" s="34"/>
      <c r="FQ781" s="30"/>
      <c r="FR781" s="28"/>
      <c r="FS781" s="516"/>
      <c r="FT781" s="28"/>
      <c r="FU781" s="516"/>
      <c r="FV781" s="28"/>
      <c r="FW781" s="516"/>
      <c r="FX781" s="28"/>
      <c r="FY781" s="516"/>
      <c r="FZ781" s="28"/>
      <c r="GA781" s="516"/>
      <c r="GB781" s="28"/>
      <c r="GC781" s="516"/>
      <c r="GD781" s="28"/>
      <c r="GE781" s="516"/>
      <c r="GF781" s="28"/>
      <c r="GG781" s="516"/>
      <c r="GH781" s="28"/>
      <c r="GI781" s="516"/>
      <c r="GJ781" s="28"/>
      <c r="GK781" s="516"/>
      <c r="GL781" s="28"/>
      <c r="GM781" s="516"/>
      <c r="GN781" s="28"/>
      <c r="GO781" s="516"/>
      <c r="GP781" s="28"/>
      <c r="GQ781" s="516"/>
      <c r="GR781" s="43">
        <v>1000</v>
      </c>
      <c r="GS781" s="516"/>
      <c r="GT781" s="43">
        <v>1000</v>
      </c>
      <c r="GU781" s="516"/>
      <c r="GV781" s="43">
        <v>1000</v>
      </c>
      <c r="GW781" s="516"/>
      <c r="GX781" s="43">
        <v>1000</v>
      </c>
      <c r="GY781" s="516"/>
      <c r="GZ781" s="30"/>
      <c r="HA781" s="30"/>
      <c r="HB781" s="455"/>
      <c r="HC781"/>
      <c r="HD781"/>
      <c r="HE781"/>
      <c r="HF781"/>
      <c r="HG781"/>
      <c r="HH781"/>
    </row>
    <row r="782" spans="2:216" s="6" customFormat="1" ht="12.75" hidden="1" customHeight="1" outlineLevel="1" x14ac:dyDescent="0.2">
      <c r="B782" s="25" t="s">
        <v>591</v>
      </c>
      <c r="C782" s="27"/>
      <c r="D782" s="30"/>
      <c r="E782" s="27"/>
      <c r="F782" s="28"/>
      <c r="G782" s="27"/>
      <c r="H782" s="28"/>
      <c r="I782" s="27"/>
      <c r="J782" s="28"/>
      <c r="K782" s="28"/>
      <c r="L782" s="30"/>
      <c r="M782" s="27"/>
      <c r="N782" s="30"/>
      <c r="O782" s="27"/>
      <c r="P782" s="30"/>
      <c r="Q782" s="27"/>
      <c r="R782" s="30"/>
      <c r="S782" s="28"/>
      <c r="T782" s="30"/>
      <c r="U782" s="27"/>
      <c r="V782" s="30"/>
      <c r="W782" s="27"/>
      <c r="X782" s="30"/>
      <c r="Y782" s="27"/>
      <c r="Z782" s="30"/>
      <c r="AA782" s="28"/>
      <c r="AB782" s="30"/>
      <c r="AC782" s="28"/>
      <c r="AD782" s="30"/>
      <c r="AE782" s="28"/>
      <c r="AF782" s="30"/>
      <c r="AG782" s="28"/>
      <c r="AH782" s="30"/>
      <c r="AI782" s="28"/>
      <c r="AJ782" s="30"/>
      <c r="AK782" s="28"/>
      <c r="AL782" s="30"/>
      <c r="AM782" s="28"/>
      <c r="AN782" s="30"/>
      <c r="AO782" s="28"/>
      <c r="AP782" s="30"/>
      <c r="AQ782" s="28"/>
      <c r="AR782" s="30"/>
      <c r="AS782" s="28"/>
      <c r="AT782" s="30"/>
      <c r="AU782" s="28"/>
      <c r="AV782" s="30"/>
      <c r="AW782" s="28"/>
      <c r="AX782" s="30"/>
      <c r="AY782" s="28"/>
      <c r="AZ782" s="30"/>
      <c r="BA782" s="28"/>
      <c r="BB782" s="30"/>
      <c r="BC782" s="28"/>
      <c r="BD782" s="30"/>
      <c r="BE782" s="28"/>
      <c r="BF782" s="30"/>
      <c r="BG782" s="28"/>
      <c r="BH782" s="30"/>
      <c r="BI782" s="28"/>
      <c r="BJ782" s="30"/>
      <c r="BK782" s="28"/>
      <c r="BL782" s="30"/>
      <c r="BM782" s="28"/>
      <c r="BN782" s="30"/>
      <c r="BO782" s="28"/>
      <c r="BP782" s="30"/>
      <c r="BQ782" s="28"/>
      <c r="BR782" s="30"/>
      <c r="BS782" s="28"/>
      <c r="BT782" s="30"/>
      <c r="BU782" s="28"/>
      <c r="BV782" s="30"/>
      <c r="BW782" s="28"/>
      <c r="BX782" s="30"/>
      <c r="BY782" s="28"/>
      <c r="BZ782" s="30"/>
      <c r="CA782" s="28"/>
      <c r="CB782" s="30"/>
      <c r="CC782" s="28"/>
      <c r="CD782" s="30"/>
      <c r="CE782" s="28"/>
      <c r="CF782" s="30"/>
      <c r="CG782" s="28"/>
      <c r="CH782" s="30"/>
      <c r="CI782" s="28"/>
      <c r="CJ782" s="30"/>
      <c r="CK782" s="28"/>
      <c r="CL782" s="30"/>
      <c r="CM782" s="28"/>
      <c r="CN782" s="30"/>
      <c r="CO782" s="28"/>
      <c r="CP782" s="30"/>
      <c r="CQ782" s="28"/>
      <c r="CR782" s="30"/>
      <c r="CS782" s="28"/>
      <c r="CT782" s="30"/>
      <c r="CU782" s="28"/>
      <c r="CV782" s="30"/>
      <c r="CW782" s="28"/>
      <c r="CX782" s="30"/>
      <c r="CY782" s="28"/>
      <c r="CZ782" s="30"/>
      <c r="DA782" s="28"/>
      <c r="DB782" s="30"/>
      <c r="DC782" s="28"/>
      <c r="DD782" s="30"/>
      <c r="DE782" s="28"/>
      <c r="DF782" s="30"/>
      <c r="DG782" s="28"/>
      <c r="DH782" s="30"/>
      <c r="DI782" s="28"/>
      <c r="DJ782" s="30"/>
      <c r="DK782" s="28"/>
      <c r="DL782" s="30"/>
      <c r="DM782" s="28"/>
      <c r="DN782" s="30"/>
      <c r="DO782" s="28"/>
      <c r="DP782" s="30"/>
      <c r="DQ782" s="28"/>
      <c r="DR782" s="30"/>
      <c r="DS782" s="28"/>
      <c r="DT782" s="30"/>
      <c r="DU782" s="28"/>
      <c r="DV782" s="30"/>
      <c r="DW782" s="28"/>
      <c r="DX782" s="30"/>
      <c r="DY782" s="41">
        <v>-500</v>
      </c>
      <c r="DZ782" s="30"/>
      <c r="EA782" s="41">
        <v>-500</v>
      </c>
      <c r="EB782" s="30"/>
      <c r="EC782" s="41">
        <v>-500</v>
      </c>
      <c r="ED782" s="30"/>
      <c r="EE782" s="41">
        <v>-500</v>
      </c>
      <c r="EF782" s="30"/>
      <c r="EG782" s="41">
        <v>-500</v>
      </c>
      <c r="EH782" s="30"/>
      <c r="EI782" s="41">
        <v>-500</v>
      </c>
      <c r="EJ782" s="30"/>
      <c r="EK782" s="41">
        <v>-500</v>
      </c>
      <c r="EL782" s="30"/>
      <c r="EM782" s="41">
        <v>-500</v>
      </c>
      <c r="EN782" s="30"/>
      <c r="EO782" s="41">
        <v>-500</v>
      </c>
      <c r="EP782" s="30"/>
      <c r="EQ782" s="41">
        <v>-500</v>
      </c>
      <c r="ER782" s="30"/>
      <c r="ES782" s="41">
        <v>-500</v>
      </c>
      <c r="ET782" s="30"/>
      <c r="EU782" s="41">
        <v>-500</v>
      </c>
      <c r="EV782" s="30"/>
      <c r="EW782" s="41">
        <v>-500</v>
      </c>
      <c r="EX782" s="30"/>
      <c r="EY782" s="28"/>
      <c r="EZ782" s="558"/>
      <c r="FA782" s="28"/>
      <c r="FB782" s="31"/>
      <c r="FC782" s="28"/>
      <c r="FD782" s="31"/>
      <c r="FE782" s="30"/>
      <c r="FF782" s="32"/>
      <c r="FG782" s="30"/>
      <c r="FH782" s="33"/>
      <c r="FI782" s="30"/>
      <c r="FJ782" s="33"/>
      <c r="FK782" s="30"/>
      <c r="FL782" s="33"/>
      <c r="FM782" s="30"/>
      <c r="FN782" s="34"/>
      <c r="FO782" s="30"/>
      <c r="FP782" s="34"/>
      <c r="FQ782" s="30"/>
      <c r="FR782" s="28"/>
      <c r="FS782" s="516"/>
      <c r="FT782" s="28"/>
      <c r="FU782" s="516"/>
      <c r="FV782" s="28"/>
      <c r="FW782" s="516"/>
      <c r="FX782" s="28"/>
      <c r="FY782" s="516"/>
      <c r="FZ782" s="28"/>
      <c r="GA782" s="516"/>
      <c r="GB782" s="28"/>
      <c r="GC782" s="516"/>
      <c r="GD782" s="28"/>
      <c r="GE782" s="516"/>
      <c r="GF782" s="28"/>
      <c r="GG782" s="516"/>
      <c r="GH782" s="28"/>
      <c r="GI782" s="516"/>
      <c r="GJ782" s="28"/>
      <c r="GK782" s="516"/>
      <c r="GL782" s="28"/>
      <c r="GM782" s="516"/>
      <c r="GN782" s="28"/>
      <c r="GO782" s="516"/>
      <c r="GP782" s="28"/>
      <c r="GQ782" s="516"/>
      <c r="GR782" s="44">
        <v>-1000</v>
      </c>
      <c r="GS782" s="516"/>
      <c r="GT782" s="44">
        <v>-1000</v>
      </c>
      <c r="GU782" s="516"/>
      <c r="GV782" s="44">
        <v>-1000</v>
      </c>
      <c r="GW782" s="516"/>
      <c r="GX782" s="44">
        <v>-1000</v>
      </c>
      <c r="GY782" s="516"/>
      <c r="GZ782" s="30"/>
      <c r="HA782" s="30"/>
      <c r="HB782" s="455"/>
      <c r="HC782"/>
      <c r="HD782"/>
      <c r="HE782"/>
      <c r="HF782"/>
      <c r="HG782"/>
      <c r="HH782"/>
    </row>
    <row r="783" spans="2:216" s="6" customFormat="1" ht="12.75" hidden="1" customHeight="1" outlineLevel="1" x14ac:dyDescent="0.2">
      <c r="B783" s="25"/>
      <c r="C783" s="27"/>
      <c r="D783" s="30"/>
      <c r="E783" s="27"/>
      <c r="F783" s="28"/>
      <c r="G783" s="27"/>
      <c r="H783" s="28"/>
      <c r="I783" s="27"/>
      <c r="J783" s="28"/>
      <c r="K783" s="28"/>
      <c r="L783" s="30"/>
      <c r="M783" s="27"/>
      <c r="N783" s="30"/>
      <c r="O783" s="27"/>
      <c r="P783" s="30"/>
      <c r="Q783" s="27"/>
      <c r="R783" s="30"/>
      <c r="S783" s="28"/>
      <c r="T783" s="30"/>
      <c r="U783" s="27"/>
      <c r="V783" s="30"/>
      <c r="W783" s="27"/>
      <c r="X783" s="30"/>
      <c r="Y783" s="27"/>
      <c r="Z783" s="30"/>
      <c r="AA783" s="28"/>
      <c r="AB783" s="30"/>
      <c r="AC783" s="28"/>
      <c r="AD783" s="30"/>
      <c r="AE783" s="28"/>
      <c r="AF783" s="30"/>
      <c r="AG783" s="28"/>
      <c r="AH783" s="30"/>
      <c r="AI783" s="28"/>
      <c r="AJ783" s="30"/>
      <c r="AK783" s="28"/>
      <c r="AL783" s="30"/>
      <c r="AM783" s="28"/>
      <c r="AN783" s="30"/>
      <c r="AO783" s="28"/>
      <c r="AP783" s="30"/>
      <c r="AQ783" s="28"/>
      <c r="AR783" s="30"/>
      <c r="AS783" s="28"/>
      <c r="AT783" s="30"/>
      <c r="AU783" s="28"/>
      <c r="AV783" s="30"/>
      <c r="AW783" s="28"/>
      <c r="AX783" s="30"/>
      <c r="AY783" s="28"/>
      <c r="AZ783" s="30"/>
      <c r="BA783" s="28"/>
      <c r="BB783" s="30"/>
      <c r="BC783" s="28"/>
      <c r="BD783" s="30"/>
      <c r="BE783" s="28"/>
      <c r="BF783" s="30"/>
      <c r="BG783" s="28"/>
      <c r="BH783" s="30"/>
      <c r="BI783" s="28"/>
      <c r="BJ783" s="30"/>
      <c r="BK783" s="28"/>
      <c r="BL783" s="30"/>
      <c r="BM783" s="28"/>
      <c r="BN783" s="30"/>
      <c r="BO783" s="28"/>
      <c r="BP783" s="30"/>
      <c r="BQ783" s="28"/>
      <c r="BR783" s="30"/>
      <c r="BS783" s="28"/>
      <c r="BT783" s="30"/>
      <c r="BU783" s="28"/>
      <c r="BV783" s="30"/>
      <c r="BW783" s="28"/>
      <c r="BX783" s="30"/>
      <c r="BY783" s="28"/>
      <c r="BZ783" s="30"/>
      <c r="CA783" s="28"/>
      <c r="CB783" s="30"/>
      <c r="CC783" s="28"/>
      <c r="CD783" s="30"/>
      <c r="CE783" s="28"/>
      <c r="CF783" s="30"/>
      <c r="CG783" s="28"/>
      <c r="CH783" s="30"/>
      <c r="CI783" s="28"/>
      <c r="CJ783" s="30"/>
      <c r="CK783" s="28"/>
      <c r="CL783" s="30"/>
      <c r="CM783" s="28"/>
      <c r="CN783" s="30"/>
      <c r="CO783" s="28"/>
      <c r="CP783" s="30"/>
      <c r="CQ783" s="28"/>
      <c r="CR783" s="30"/>
      <c r="CS783" s="28"/>
      <c r="CT783" s="30"/>
      <c r="CU783" s="28"/>
      <c r="CV783" s="30"/>
      <c r="CW783" s="28"/>
      <c r="CX783" s="30"/>
      <c r="CY783" s="28"/>
      <c r="CZ783" s="30"/>
      <c r="DA783" s="28"/>
      <c r="DB783" s="30"/>
      <c r="DC783" s="28"/>
      <c r="DD783" s="30"/>
      <c r="DE783" s="28"/>
      <c r="DF783" s="30"/>
      <c r="DG783" s="28"/>
      <c r="DH783" s="30"/>
      <c r="DI783" s="28"/>
      <c r="DJ783" s="30"/>
      <c r="DK783" s="28"/>
      <c r="DL783" s="30"/>
      <c r="DM783" s="28"/>
      <c r="DN783" s="30"/>
      <c r="DO783" s="28"/>
      <c r="DP783" s="30"/>
      <c r="DQ783" s="28"/>
      <c r="DR783" s="30"/>
      <c r="DS783" s="28"/>
      <c r="DT783" s="30"/>
      <c r="DU783" s="28"/>
      <c r="DV783" s="30"/>
      <c r="DW783" s="28"/>
      <c r="DX783" s="30"/>
      <c r="DY783" s="28"/>
      <c r="DZ783" s="30"/>
      <c r="EA783" s="28"/>
      <c r="EB783" s="30"/>
      <c r="EC783" s="28"/>
      <c r="ED783" s="30"/>
      <c r="EE783" s="28"/>
      <c r="EF783" s="30"/>
      <c r="EG783" s="28"/>
      <c r="EH783" s="30"/>
      <c r="EI783" s="28"/>
      <c r="EJ783" s="30"/>
      <c r="EK783" s="28"/>
      <c r="EL783" s="30"/>
      <c r="EM783" s="28"/>
      <c r="EN783" s="30"/>
      <c r="EO783" s="28"/>
      <c r="EP783" s="30"/>
      <c r="EQ783" s="28"/>
      <c r="ER783" s="30"/>
      <c r="ES783" s="28"/>
      <c r="ET783" s="30"/>
      <c r="EU783" s="28"/>
      <c r="EV783" s="30"/>
      <c r="EW783" s="28"/>
      <c r="EX783" s="30"/>
      <c r="EY783" s="28"/>
      <c r="EZ783" s="558"/>
      <c r="FA783" s="28"/>
      <c r="FB783" s="31"/>
      <c r="FC783" s="28"/>
      <c r="FD783" s="31"/>
      <c r="FE783" s="30"/>
      <c r="FF783" s="32"/>
      <c r="FG783" s="30"/>
      <c r="FH783" s="33"/>
      <c r="FI783" s="30"/>
      <c r="FJ783" s="33"/>
      <c r="FK783" s="30"/>
      <c r="FL783" s="33"/>
      <c r="FM783" s="30"/>
      <c r="FN783" s="34"/>
      <c r="FO783" s="30"/>
      <c r="FP783" s="34"/>
      <c r="FQ783" s="30"/>
      <c r="FR783" s="28"/>
      <c r="FS783" s="30"/>
      <c r="FT783" s="28"/>
      <c r="FU783" s="30"/>
      <c r="FV783" s="28"/>
      <c r="FW783" s="30"/>
      <c r="FX783" s="28"/>
      <c r="FY783" s="30"/>
      <c r="FZ783" s="28"/>
      <c r="GA783" s="30"/>
      <c r="GB783" s="28"/>
      <c r="GC783" s="30"/>
      <c r="GD783" s="28"/>
      <c r="GE783" s="30"/>
      <c r="GF783" s="28"/>
      <c r="GG783" s="30"/>
      <c r="GH783" s="28"/>
      <c r="GI783" s="30"/>
      <c r="GJ783" s="28"/>
      <c r="GK783" s="30"/>
      <c r="GL783" s="28"/>
      <c r="GM783" s="30"/>
      <c r="GN783" s="28"/>
      <c r="GO783" s="30"/>
      <c r="GP783" s="28"/>
      <c r="GQ783" s="30"/>
      <c r="GR783" s="28"/>
      <c r="GS783" s="30"/>
      <c r="GT783" s="28"/>
      <c r="GU783" s="30"/>
      <c r="GV783" s="28"/>
      <c r="GW783" s="30"/>
      <c r="GX783" s="28"/>
      <c r="GY783" s="30"/>
      <c r="GZ783" s="30"/>
      <c r="HA783" s="30"/>
      <c r="HB783" s="455"/>
      <c r="HC783"/>
      <c r="HD783"/>
      <c r="HE783"/>
      <c r="HF783"/>
      <c r="HG783"/>
      <c r="HH783"/>
    </row>
    <row r="784" spans="2:216" s="6" customFormat="1" ht="12.75" hidden="1" customHeight="1" outlineLevel="1" x14ac:dyDescent="0.2">
      <c r="B784" s="29" t="s">
        <v>594</v>
      </c>
      <c r="C784" s="27"/>
      <c r="D784" s="30"/>
      <c r="E784" s="27"/>
      <c r="F784" s="28"/>
      <c r="G784" s="27"/>
      <c r="H784" s="28"/>
      <c r="I784" s="27"/>
      <c r="J784" s="28"/>
      <c r="K784" s="28"/>
      <c r="L784" s="30"/>
      <c r="M784" s="27"/>
      <c r="N784" s="30"/>
      <c r="O784" s="27"/>
      <c r="P784" s="30"/>
      <c r="Q784" s="27"/>
      <c r="R784" s="30"/>
      <c r="S784" s="28"/>
      <c r="T784" s="30"/>
      <c r="U784" s="27"/>
      <c r="V784" s="30"/>
      <c r="W784" s="27"/>
      <c r="X784" s="30"/>
      <c r="Y784" s="27"/>
      <c r="Z784" s="30"/>
      <c r="AA784" s="28"/>
      <c r="AB784" s="30"/>
      <c r="AC784" s="28"/>
      <c r="AD784" s="30"/>
      <c r="AE784" s="28"/>
      <c r="AF784" s="30"/>
      <c r="AG784" s="28"/>
      <c r="AH784" s="30"/>
      <c r="AI784" s="28"/>
      <c r="AJ784" s="30"/>
      <c r="AK784" s="28"/>
      <c r="AL784" s="30"/>
      <c r="AM784" s="28"/>
      <c r="AN784" s="30"/>
      <c r="AO784" s="28"/>
      <c r="AP784" s="30"/>
      <c r="AQ784" s="28"/>
      <c r="AR784" s="30"/>
      <c r="AS784" s="28"/>
      <c r="AT784" s="30"/>
      <c r="AU784" s="28"/>
      <c r="AV784" s="30"/>
      <c r="AW784" s="28"/>
      <c r="AX784" s="30"/>
      <c r="AY784" s="28"/>
      <c r="AZ784" s="30"/>
      <c r="BA784" s="28"/>
      <c r="BB784" s="30"/>
      <c r="BC784" s="28"/>
      <c r="BD784" s="30"/>
      <c r="BE784" s="28"/>
      <c r="BF784" s="30"/>
      <c r="BG784" s="28"/>
      <c r="BH784" s="30"/>
      <c r="BI784" s="28"/>
      <c r="BJ784" s="30"/>
      <c r="BK784" s="28"/>
      <c r="BL784" s="30"/>
      <c r="BM784" s="28"/>
      <c r="BN784" s="30"/>
      <c r="BO784" s="28"/>
      <c r="BP784" s="30"/>
      <c r="BQ784" s="28"/>
      <c r="BR784" s="30"/>
      <c r="BS784" s="28"/>
      <c r="BT784" s="30"/>
      <c r="BU784" s="28"/>
      <c r="BV784" s="30"/>
      <c r="BW784" s="28"/>
      <c r="BX784" s="30"/>
      <c r="BY784" s="28"/>
      <c r="BZ784" s="30"/>
      <c r="CA784" s="28"/>
      <c r="CB784" s="30"/>
      <c r="CC784" s="28"/>
      <c r="CD784" s="30"/>
      <c r="CE784" s="28"/>
      <c r="CF784" s="30"/>
      <c r="CG784" s="28"/>
      <c r="CH784" s="30"/>
      <c r="CI784" s="28"/>
      <c r="CJ784" s="30"/>
      <c r="CK784" s="28"/>
      <c r="CL784" s="30"/>
      <c r="CM784" s="28"/>
      <c r="CN784" s="30"/>
      <c r="CO784" s="28"/>
      <c r="CP784" s="30"/>
      <c r="CQ784" s="28"/>
      <c r="CR784" s="30"/>
      <c r="CS784" s="28"/>
      <c r="CT784" s="30"/>
      <c r="CU784" s="28"/>
      <c r="CV784" s="30"/>
      <c r="CW784" s="28"/>
      <c r="CX784" s="30"/>
      <c r="CY784" s="28"/>
      <c r="CZ784" s="30"/>
      <c r="DA784" s="28"/>
      <c r="DB784" s="30"/>
      <c r="DC784" s="28"/>
      <c r="DD784" s="30"/>
      <c r="DE784" s="28"/>
      <c r="DF784" s="30"/>
      <c r="DG784" s="28"/>
      <c r="DH784" s="30"/>
      <c r="DI784" s="28"/>
      <c r="DJ784" s="30"/>
      <c r="DK784" s="28"/>
      <c r="DL784" s="30"/>
      <c r="DM784" s="28"/>
      <c r="DN784" s="30"/>
      <c r="DO784" s="28"/>
      <c r="DP784" s="30"/>
      <c r="DQ784" s="28"/>
      <c r="DR784" s="30"/>
      <c r="DS784" s="28"/>
      <c r="DT784" s="30"/>
      <c r="DU784" s="28"/>
      <c r="DV784" s="30"/>
      <c r="DW784" s="28"/>
      <c r="DX784" s="30"/>
      <c r="DY784" s="28"/>
      <c r="DZ784" s="30"/>
      <c r="EA784" s="28"/>
      <c r="EB784" s="30"/>
      <c r="EC784" s="28"/>
      <c r="ED784" s="30"/>
      <c r="EE784" s="28"/>
      <c r="EF784" s="30"/>
      <c r="EG784" s="28"/>
      <c r="EH784" s="30"/>
      <c r="EI784" s="28"/>
      <c r="EJ784" s="30"/>
      <c r="EK784" s="28"/>
      <c r="EL784" s="30"/>
      <c r="EM784" s="28"/>
      <c r="EN784" s="30"/>
      <c r="EO784" s="28"/>
      <c r="EP784" s="30"/>
      <c r="EQ784" s="28"/>
      <c r="ER784" s="30"/>
      <c r="ES784" s="28"/>
      <c r="ET784" s="30"/>
      <c r="EU784" s="28"/>
      <c r="EV784" s="30"/>
      <c r="EW784" s="28"/>
      <c r="EX784" s="30"/>
      <c r="EY784" s="28"/>
      <c r="EZ784" s="558"/>
      <c r="FA784" s="28"/>
      <c r="FB784" s="31"/>
      <c r="FC784" s="28"/>
      <c r="FD784" s="31"/>
      <c r="FE784" s="30"/>
      <c r="FF784" s="32"/>
      <c r="FG784" s="30"/>
      <c r="FH784" s="33"/>
      <c r="FI784" s="30"/>
      <c r="FJ784" s="33"/>
      <c r="FK784" s="30"/>
      <c r="FL784" s="33"/>
      <c r="FM784" s="30"/>
      <c r="FN784" s="34"/>
      <c r="FO784" s="30"/>
      <c r="FP784" s="34"/>
      <c r="FQ784" s="30"/>
      <c r="FR784" s="28"/>
      <c r="FS784" s="30"/>
      <c r="FT784" s="28"/>
      <c r="FU784" s="30"/>
      <c r="FV784" s="28"/>
      <c r="FW784" s="30"/>
      <c r="FX784" s="28"/>
      <c r="FY784" s="30"/>
      <c r="FZ784" s="28"/>
      <c r="GA784" s="30"/>
      <c r="GB784" s="28"/>
      <c r="GC784" s="30"/>
      <c r="GD784" s="28"/>
      <c r="GE784" s="30"/>
      <c r="GF784" s="28"/>
      <c r="GG784" s="30"/>
      <c r="GH784" s="28"/>
      <c r="GI784" s="30"/>
      <c r="GJ784" s="28"/>
      <c r="GK784" s="30"/>
      <c r="GL784" s="28"/>
      <c r="GM784" s="30"/>
      <c r="GN784" s="28"/>
      <c r="GO784" s="30"/>
      <c r="GP784" s="28"/>
      <c r="GQ784" s="30"/>
      <c r="GR784" s="28"/>
      <c r="GS784" s="30"/>
      <c r="GT784" s="28"/>
      <c r="GU784" s="30"/>
      <c r="GV784" s="28"/>
      <c r="GW784" s="30"/>
      <c r="GX784" s="28"/>
      <c r="GY784" s="30"/>
      <c r="GZ784" s="30"/>
      <c r="HA784" s="30"/>
      <c r="HB784" s="455"/>
      <c r="HC784"/>
      <c r="HD784"/>
      <c r="HE784"/>
      <c r="HF784"/>
      <c r="HG784"/>
      <c r="HH784"/>
    </row>
    <row r="785" spans="1:216" s="6" customFormat="1" ht="12.75" hidden="1" customHeight="1" outlineLevel="1" x14ac:dyDescent="0.2">
      <c r="B785" s="25" t="s">
        <v>273</v>
      </c>
      <c r="C785" s="27"/>
      <c r="D785" s="30"/>
      <c r="E785" s="27"/>
      <c r="F785" s="28"/>
      <c r="G785" s="27"/>
      <c r="H785" s="28"/>
      <c r="I785" s="27"/>
      <c r="J785" s="28"/>
      <c r="K785" s="28"/>
      <c r="L785" s="30"/>
      <c r="M785" s="27"/>
      <c r="N785" s="30"/>
      <c r="O785" s="27"/>
      <c r="P785" s="30"/>
      <c r="Q785" s="27"/>
      <c r="R785" s="30"/>
      <c r="S785" s="28"/>
      <c r="T785" s="30"/>
      <c r="U785" s="27"/>
      <c r="V785" s="30"/>
      <c r="W785" s="27"/>
      <c r="X785" s="30"/>
      <c r="Y785" s="27"/>
      <c r="Z785" s="30"/>
      <c r="AA785" s="28"/>
      <c r="AB785" s="30"/>
      <c r="AC785" s="28"/>
      <c r="AD785" s="30"/>
      <c r="AE785" s="28"/>
      <c r="AF785" s="30"/>
      <c r="AG785" s="28"/>
      <c r="AH785" s="30"/>
      <c r="AI785" s="28"/>
      <c r="AJ785" s="30"/>
      <c r="AK785" s="28"/>
      <c r="AL785" s="30"/>
      <c r="AM785" s="28"/>
      <c r="AN785" s="30"/>
      <c r="AO785" s="28"/>
      <c r="AP785" s="30"/>
      <c r="AQ785" s="28"/>
      <c r="AR785" s="30"/>
      <c r="AS785" s="28"/>
      <c r="AT785" s="30"/>
      <c r="AU785" s="28"/>
      <c r="AV785" s="30"/>
      <c r="AW785" s="28"/>
      <c r="AX785" s="30"/>
      <c r="AY785" s="28"/>
      <c r="AZ785" s="30"/>
      <c r="BA785" s="28"/>
      <c r="BB785" s="30"/>
      <c r="BC785" s="28"/>
      <c r="BD785" s="30"/>
      <c r="BE785" s="28"/>
      <c r="BF785" s="30"/>
      <c r="BG785" s="28"/>
      <c r="BH785" s="30"/>
      <c r="BI785" s="28"/>
      <c r="BJ785" s="30"/>
      <c r="BK785" s="28"/>
      <c r="BL785" s="30"/>
      <c r="BM785" s="28"/>
      <c r="BN785" s="30"/>
      <c r="BO785" s="28"/>
      <c r="BP785" s="30"/>
      <c r="BQ785" s="28"/>
      <c r="BR785" s="30"/>
      <c r="BS785" s="28"/>
      <c r="BT785" s="30"/>
      <c r="BU785" s="28"/>
      <c r="BV785" s="30"/>
      <c r="BW785" s="28"/>
      <c r="BX785" s="30"/>
      <c r="BY785" s="28"/>
      <c r="BZ785" s="30"/>
      <c r="CA785" s="28"/>
      <c r="CB785" s="30"/>
      <c r="CC785" s="28"/>
      <c r="CD785" s="30"/>
      <c r="CE785" s="28"/>
      <c r="CF785" s="30"/>
      <c r="CG785" s="28"/>
      <c r="CH785" s="30"/>
      <c r="CI785" s="28"/>
      <c r="CJ785" s="30"/>
      <c r="CK785" s="28"/>
      <c r="CL785" s="30"/>
      <c r="CM785" s="28"/>
      <c r="CN785" s="30"/>
      <c r="CO785" s="28"/>
      <c r="CP785" s="30"/>
      <c r="CQ785" s="28"/>
      <c r="CR785" s="30"/>
      <c r="CS785" s="28"/>
      <c r="CT785" s="30"/>
      <c r="CU785" s="28"/>
      <c r="CV785" s="30"/>
      <c r="CW785" s="28"/>
      <c r="CX785" s="30"/>
      <c r="CY785" s="28"/>
      <c r="CZ785" s="30"/>
      <c r="DA785" s="28"/>
      <c r="DB785" s="30"/>
      <c r="DC785" s="28"/>
      <c r="DD785" s="30"/>
      <c r="DE785" s="28"/>
      <c r="DF785" s="30"/>
      <c r="DG785" s="28"/>
      <c r="DH785" s="30"/>
      <c r="DI785" s="28"/>
      <c r="DJ785" s="30"/>
      <c r="DK785" s="28"/>
      <c r="DL785" s="30"/>
      <c r="DM785" s="28"/>
      <c r="DN785" s="30"/>
      <c r="DO785" s="28"/>
      <c r="DP785" s="30"/>
      <c r="DQ785" s="28"/>
      <c r="DR785" s="30"/>
      <c r="DS785" s="28"/>
      <c r="DT785" s="30"/>
      <c r="DU785" s="28"/>
      <c r="DV785" s="30"/>
      <c r="DW785" s="28"/>
      <c r="DX785" s="30"/>
      <c r="DY785" s="39"/>
      <c r="DZ785" s="30"/>
      <c r="EA785" s="39"/>
      <c r="EB785" s="30"/>
      <c r="EC785" s="39"/>
      <c r="ED785" s="30"/>
      <c r="EE785" s="39"/>
      <c r="EF785" s="30"/>
      <c r="EG785" s="39"/>
      <c r="EH785" s="30"/>
      <c r="EI785" s="39"/>
      <c r="EJ785" s="30"/>
      <c r="EK785" s="39"/>
      <c r="EL785" s="30"/>
      <c r="EM785" s="39"/>
      <c r="EN785" s="30"/>
      <c r="EO785" s="39"/>
      <c r="EP785" s="30"/>
      <c r="EQ785" s="39"/>
      <c r="ER785" s="30"/>
      <c r="ES785" s="39"/>
      <c r="ET785" s="30"/>
      <c r="EU785" s="39"/>
      <c r="EV785" s="30"/>
      <c r="EW785" s="39"/>
      <c r="EX785" s="30"/>
      <c r="EY785" s="28"/>
      <c r="EZ785" s="558"/>
      <c r="FA785" s="28"/>
      <c r="FB785" s="31"/>
      <c r="FC785" s="28"/>
      <c r="FD785" s="31"/>
      <c r="FE785" s="30"/>
      <c r="FF785" s="32"/>
      <c r="FG785" s="30"/>
      <c r="FH785" s="33"/>
      <c r="FI785" s="30"/>
      <c r="FJ785" s="33"/>
      <c r="FK785" s="30"/>
      <c r="FL785" s="33"/>
      <c r="FM785" s="30"/>
      <c r="FN785" s="34"/>
      <c r="FO785" s="30"/>
      <c r="FP785" s="34"/>
      <c r="FQ785" s="30"/>
      <c r="FR785" s="28"/>
      <c r="FS785" s="47"/>
      <c r="FT785" s="28"/>
      <c r="FU785" s="47"/>
      <c r="FV785" s="28"/>
      <c r="FW785" s="47"/>
      <c r="FX785" s="28"/>
      <c r="FY785" s="47"/>
      <c r="FZ785" s="28"/>
      <c r="GA785" s="47"/>
      <c r="GB785" s="28"/>
      <c r="GC785" s="47"/>
      <c r="GD785" s="28"/>
      <c r="GE785" s="47"/>
      <c r="GF785" s="28"/>
      <c r="GG785" s="47"/>
      <c r="GH785" s="28"/>
      <c r="GI785" s="47"/>
      <c r="GJ785" s="28"/>
      <c r="GK785" s="47"/>
      <c r="GL785" s="28"/>
      <c r="GM785" s="47"/>
      <c r="GN785" s="28"/>
      <c r="GO785" s="47"/>
      <c r="GP785" s="28"/>
      <c r="GQ785" s="47"/>
      <c r="GR785" s="45"/>
      <c r="GS785" s="47"/>
      <c r="GT785" s="45"/>
      <c r="GU785" s="47"/>
      <c r="GV785" s="45"/>
      <c r="GW785" s="47"/>
      <c r="GX785" s="45"/>
      <c r="GY785" s="47"/>
      <c r="GZ785" s="47"/>
      <c r="HA785" s="47"/>
      <c r="HB785" s="457"/>
      <c r="HC785"/>
      <c r="HD785"/>
      <c r="HE785"/>
      <c r="HF785"/>
      <c r="HG785"/>
      <c r="HH785"/>
    </row>
    <row r="786" spans="1:216" s="6" customFormat="1" ht="12.75" hidden="1" customHeight="1" outlineLevel="1" x14ac:dyDescent="0.2">
      <c r="B786" s="25" t="s">
        <v>534</v>
      </c>
      <c r="C786" s="27"/>
      <c r="D786" s="30"/>
      <c r="E786" s="27"/>
      <c r="F786" s="28"/>
      <c r="G786" s="27"/>
      <c r="H786" s="28"/>
      <c r="I786" s="27"/>
      <c r="J786" s="28"/>
      <c r="K786" s="28"/>
      <c r="L786" s="30"/>
      <c r="M786" s="27"/>
      <c r="N786" s="30"/>
      <c r="O786" s="27"/>
      <c r="P786" s="30"/>
      <c r="Q786" s="27"/>
      <c r="R786" s="30"/>
      <c r="S786" s="28"/>
      <c r="T786" s="30"/>
      <c r="U786" s="27"/>
      <c r="V786" s="30"/>
      <c r="W786" s="27"/>
      <c r="X786" s="30"/>
      <c r="Y786" s="27"/>
      <c r="Z786" s="30"/>
      <c r="AA786" s="28"/>
      <c r="AB786" s="30"/>
      <c r="AC786" s="28"/>
      <c r="AD786" s="30"/>
      <c r="AE786" s="28"/>
      <c r="AF786" s="30"/>
      <c r="AG786" s="28"/>
      <c r="AH786" s="30"/>
      <c r="AI786" s="28"/>
      <c r="AJ786" s="30"/>
      <c r="AK786" s="28"/>
      <c r="AL786" s="30"/>
      <c r="AM786" s="28"/>
      <c r="AN786" s="30"/>
      <c r="AO786" s="28"/>
      <c r="AP786" s="30"/>
      <c r="AQ786" s="28"/>
      <c r="AR786" s="30"/>
      <c r="AS786" s="28"/>
      <c r="AT786" s="30"/>
      <c r="AU786" s="28"/>
      <c r="AV786" s="30"/>
      <c r="AW786" s="28"/>
      <c r="AX786" s="30"/>
      <c r="AY786" s="28"/>
      <c r="AZ786" s="30"/>
      <c r="BA786" s="28"/>
      <c r="BB786" s="30"/>
      <c r="BC786" s="28"/>
      <c r="BD786" s="30"/>
      <c r="BE786" s="28"/>
      <c r="BF786" s="30"/>
      <c r="BG786" s="28"/>
      <c r="BH786" s="30"/>
      <c r="BI786" s="28"/>
      <c r="BJ786" s="30"/>
      <c r="BK786" s="28"/>
      <c r="BL786" s="30"/>
      <c r="BM786" s="28"/>
      <c r="BN786" s="30"/>
      <c r="BO786" s="28"/>
      <c r="BP786" s="30"/>
      <c r="BQ786" s="28"/>
      <c r="BR786" s="30"/>
      <c r="BS786" s="28"/>
      <c r="BT786" s="30"/>
      <c r="BU786" s="28"/>
      <c r="BV786" s="30"/>
      <c r="BW786" s="28"/>
      <c r="BX786" s="30"/>
      <c r="BY786" s="28"/>
      <c r="BZ786" s="30"/>
      <c r="CA786" s="28"/>
      <c r="CB786" s="30"/>
      <c r="CC786" s="28"/>
      <c r="CD786" s="30"/>
      <c r="CE786" s="28"/>
      <c r="CF786" s="30"/>
      <c r="CG786" s="28"/>
      <c r="CH786" s="30"/>
      <c r="CI786" s="28"/>
      <c r="CJ786" s="30"/>
      <c r="CK786" s="28"/>
      <c r="CL786" s="30"/>
      <c r="CM786" s="28"/>
      <c r="CN786" s="30"/>
      <c r="CO786" s="28"/>
      <c r="CP786" s="30"/>
      <c r="CQ786" s="28"/>
      <c r="CR786" s="30"/>
      <c r="CS786" s="28"/>
      <c r="CT786" s="30"/>
      <c r="CU786" s="28"/>
      <c r="CV786" s="30"/>
      <c r="CW786" s="28"/>
      <c r="CX786" s="30"/>
      <c r="CY786" s="28"/>
      <c r="CZ786" s="30"/>
      <c r="DA786" s="28"/>
      <c r="DB786" s="30"/>
      <c r="DC786" s="28"/>
      <c r="DD786" s="30"/>
      <c r="DE786" s="28"/>
      <c r="DF786" s="30"/>
      <c r="DG786" s="28"/>
      <c r="DH786" s="30"/>
      <c r="DI786" s="28"/>
      <c r="DJ786" s="30"/>
      <c r="DK786" s="28"/>
      <c r="DL786" s="30"/>
      <c r="DM786" s="28"/>
      <c r="DN786" s="30"/>
      <c r="DO786" s="28"/>
      <c r="DP786" s="30"/>
      <c r="DQ786" s="28"/>
      <c r="DR786" s="30"/>
      <c r="DS786" s="28"/>
      <c r="DT786" s="30"/>
      <c r="DU786" s="28"/>
      <c r="DV786" s="30"/>
      <c r="DW786" s="28"/>
      <c r="DX786" s="30"/>
      <c r="DY786" s="40">
        <v>0.1</v>
      </c>
      <c r="DZ786" s="30"/>
      <c r="EA786" s="40">
        <v>0.1</v>
      </c>
      <c r="EB786" s="30"/>
      <c r="EC786" s="40">
        <v>0.1</v>
      </c>
      <c r="ED786" s="30"/>
      <c r="EE786" s="40">
        <v>0.1</v>
      </c>
      <c r="EF786" s="30"/>
      <c r="EG786" s="40">
        <v>0.1</v>
      </c>
      <c r="EH786" s="30"/>
      <c r="EI786" s="40">
        <v>0.1</v>
      </c>
      <c r="EJ786" s="30"/>
      <c r="EK786" s="40">
        <v>0.1</v>
      </c>
      <c r="EL786" s="30"/>
      <c r="EM786" s="40">
        <v>0.1</v>
      </c>
      <c r="EN786" s="30"/>
      <c r="EO786" s="40">
        <v>0.1</v>
      </c>
      <c r="EP786" s="30"/>
      <c r="EQ786" s="40">
        <v>0.1</v>
      </c>
      <c r="ER786" s="30"/>
      <c r="ES786" s="40">
        <v>0.1</v>
      </c>
      <c r="ET786" s="30"/>
      <c r="EU786" s="40">
        <v>0.1</v>
      </c>
      <c r="EV786" s="30"/>
      <c r="EW786" s="40">
        <v>0.1</v>
      </c>
      <c r="EX786" s="30"/>
      <c r="EY786" s="28"/>
      <c r="EZ786" s="558"/>
      <c r="FA786" s="28"/>
      <c r="FB786" s="31"/>
      <c r="FC786" s="28"/>
      <c r="FD786" s="31"/>
      <c r="FE786" s="30"/>
      <c r="FF786" s="32"/>
      <c r="FG786" s="30"/>
      <c r="FH786" s="33"/>
      <c r="FI786" s="30"/>
      <c r="FJ786" s="33"/>
      <c r="FK786" s="30"/>
      <c r="FL786" s="33"/>
      <c r="FM786" s="30"/>
      <c r="FN786" s="34"/>
      <c r="FO786" s="30"/>
      <c r="FP786" s="34"/>
      <c r="FQ786" s="30"/>
      <c r="FR786" s="28"/>
      <c r="FS786" s="436"/>
      <c r="FT786" s="28"/>
      <c r="FU786" s="436"/>
      <c r="FV786" s="28"/>
      <c r="FW786" s="436"/>
      <c r="FX786" s="28"/>
      <c r="FY786" s="436"/>
      <c r="FZ786" s="28"/>
      <c r="GA786" s="436"/>
      <c r="GB786" s="28"/>
      <c r="GC786" s="436"/>
      <c r="GD786" s="28"/>
      <c r="GE786" s="436"/>
      <c r="GF786" s="28"/>
      <c r="GG786" s="436"/>
      <c r="GH786" s="28"/>
      <c r="GI786" s="436"/>
      <c r="GJ786" s="28"/>
      <c r="GK786" s="436"/>
      <c r="GL786" s="28"/>
      <c r="GM786" s="436"/>
      <c r="GN786" s="28"/>
      <c r="GO786" s="436"/>
      <c r="GP786" s="28"/>
      <c r="GQ786" s="436"/>
      <c r="GR786" s="48">
        <v>0.2</v>
      </c>
      <c r="GS786" s="436"/>
      <c r="GT786" s="48">
        <v>0.2</v>
      </c>
      <c r="GU786" s="436"/>
      <c r="GV786" s="48">
        <v>0.2</v>
      </c>
      <c r="GW786" s="436"/>
      <c r="GX786" s="48">
        <v>0.2</v>
      </c>
      <c r="GY786" s="436"/>
      <c r="GZ786" s="47"/>
      <c r="HA786" s="47"/>
      <c r="HB786" s="457"/>
      <c r="HC786"/>
      <c r="HD786"/>
      <c r="HE786"/>
      <c r="HF786"/>
      <c r="HG786"/>
      <c r="HH786"/>
    </row>
    <row r="787" spans="1:216" s="6" customFormat="1" ht="12.75" hidden="1" customHeight="1" outlineLevel="1" x14ac:dyDescent="0.2">
      <c r="B787" s="25" t="s">
        <v>111</v>
      </c>
      <c r="C787" s="27"/>
      <c r="D787" s="30"/>
      <c r="E787" s="27"/>
      <c r="F787" s="28"/>
      <c r="G787" s="27"/>
      <c r="H787" s="28"/>
      <c r="I787" s="27"/>
      <c r="J787" s="28"/>
      <c r="K787" s="28"/>
      <c r="L787" s="30"/>
      <c r="M787" s="27"/>
      <c r="N787" s="30"/>
      <c r="O787" s="27"/>
      <c r="P787" s="30"/>
      <c r="Q787" s="27"/>
      <c r="R787" s="30"/>
      <c r="S787" s="28"/>
      <c r="T787" s="30"/>
      <c r="U787" s="27"/>
      <c r="V787" s="30"/>
      <c r="W787" s="27"/>
      <c r="X787" s="30"/>
      <c r="Y787" s="27"/>
      <c r="Z787" s="30"/>
      <c r="AA787" s="28"/>
      <c r="AB787" s="30"/>
      <c r="AC787" s="28"/>
      <c r="AD787" s="30"/>
      <c r="AE787" s="28"/>
      <c r="AF787" s="30"/>
      <c r="AG787" s="28"/>
      <c r="AH787" s="30"/>
      <c r="AI787" s="28"/>
      <c r="AJ787" s="30"/>
      <c r="AK787" s="28"/>
      <c r="AL787" s="30"/>
      <c r="AM787" s="28"/>
      <c r="AN787" s="30"/>
      <c r="AO787" s="28"/>
      <c r="AP787" s="30"/>
      <c r="AQ787" s="28"/>
      <c r="AR787" s="30"/>
      <c r="AS787" s="28"/>
      <c r="AT787" s="30"/>
      <c r="AU787" s="28"/>
      <c r="AV787" s="30"/>
      <c r="AW787" s="28"/>
      <c r="AX787" s="30"/>
      <c r="AY787" s="28"/>
      <c r="AZ787" s="30"/>
      <c r="BA787" s="28"/>
      <c r="BB787" s="30"/>
      <c r="BC787" s="28"/>
      <c r="BD787" s="30"/>
      <c r="BE787" s="28"/>
      <c r="BF787" s="30"/>
      <c r="BG787" s="28"/>
      <c r="BH787" s="30"/>
      <c r="BI787" s="28"/>
      <c r="BJ787" s="30"/>
      <c r="BK787" s="28"/>
      <c r="BL787" s="30"/>
      <c r="BM787" s="28"/>
      <c r="BN787" s="30"/>
      <c r="BO787" s="28"/>
      <c r="BP787" s="30"/>
      <c r="BQ787" s="28"/>
      <c r="BR787" s="30"/>
      <c r="BS787" s="28"/>
      <c r="BT787" s="30"/>
      <c r="BU787" s="28"/>
      <c r="BV787" s="30"/>
      <c r="BW787" s="28"/>
      <c r="BX787" s="30"/>
      <c r="BY787" s="28"/>
      <c r="BZ787" s="30"/>
      <c r="CA787" s="28"/>
      <c r="CB787" s="30"/>
      <c r="CC787" s="28"/>
      <c r="CD787" s="30"/>
      <c r="CE787" s="28"/>
      <c r="CF787" s="30"/>
      <c r="CG787" s="28"/>
      <c r="CH787" s="30"/>
      <c r="CI787" s="28"/>
      <c r="CJ787" s="30"/>
      <c r="CK787" s="28"/>
      <c r="CL787" s="30"/>
      <c r="CM787" s="28"/>
      <c r="CN787" s="30"/>
      <c r="CO787" s="28"/>
      <c r="CP787" s="30"/>
      <c r="CQ787" s="28"/>
      <c r="CR787" s="30"/>
      <c r="CS787" s="28"/>
      <c r="CT787" s="30"/>
      <c r="CU787" s="28"/>
      <c r="CV787" s="30"/>
      <c r="CW787" s="28"/>
      <c r="CX787" s="30"/>
      <c r="CY787" s="28"/>
      <c r="CZ787" s="30"/>
      <c r="DA787" s="28"/>
      <c r="DB787" s="30"/>
      <c r="DC787" s="28"/>
      <c r="DD787" s="30"/>
      <c r="DE787" s="28"/>
      <c r="DF787" s="30"/>
      <c r="DG787" s="28"/>
      <c r="DH787" s="30"/>
      <c r="DI787" s="28"/>
      <c r="DJ787" s="30"/>
      <c r="DK787" s="28"/>
      <c r="DL787" s="30"/>
      <c r="DM787" s="28"/>
      <c r="DN787" s="30"/>
      <c r="DO787" s="28"/>
      <c r="DP787" s="30"/>
      <c r="DQ787" s="28"/>
      <c r="DR787" s="30"/>
      <c r="DS787" s="28"/>
      <c r="DT787" s="30"/>
      <c r="DU787" s="28"/>
      <c r="DV787" s="30"/>
      <c r="DW787" s="28"/>
      <c r="DX787" s="30"/>
      <c r="DY787" s="41">
        <v>-0.2</v>
      </c>
      <c r="DZ787" s="30"/>
      <c r="EA787" s="41">
        <v>-0.2</v>
      </c>
      <c r="EB787" s="30"/>
      <c r="EC787" s="41">
        <v>-0.2</v>
      </c>
      <c r="ED787" s="30"/>
      <c r="EE787" s="41">
        <v>-0.2</v>
      </c>
      <c r="EF787" s="30"/>
      <c r="EG787" s="41">
        <v>-0.2</v>
      </c>
      <c r="EH787" s="30"/>
      <c r="EI787" s="41">
        <v>-0.2</v>
      </c>
      <c r="EJ787" s="30"/>
      <c r="EK787" s="41">
        <v>-0.2</v>
      </c>
      <c r="EL787" s="30"/>
      <c r="EM787" s="41">
        <v>-0.2</v>
      </c>
      <c r="EN787" s="30"/>
      <c r="EO787" s="41">
        <v>-0.2</v>
      </c>
      <c r="EP787" s="30"/>
      <c r="EQ787" s="41">
        <v>-0.2</v>
      </c>
      <c r="ER787" s="30"/>
      <c r="ES787" s="41">
        <v>-0.2</v>
      </c>
      <c r="ET787" s="30"/>
      <c r="EU787" s="41">
        <v>-0.2</v>
      </c>
      <c r="EV787" s="30"/>
      <c r="EW787" s="41">
        <v>-0.2</v>
      </c>
      <c r="EX787" s="30"/>
      <c r="EY787" s="28"/>
      <c r="EZ787" s="558"/>
      <c r="FA787" s="28"/>
      <c r="FB787" s="31"/>
      <c r="FC787" s="28"/>
      <c r="FD787" s="31"/>
      <c r="FE787" s="30"/>
      <c r="FF787" s="32"/>
      <c r="FG787" s="30"/>
      <c r="FH787" s="33"/>
      <c r="FI787" s="30"/>
      <c r="FJ787" s="33"/>
      <c r="FK787" s="30"/>
      <c r="FL787" s="33"/>
      <c r="FM787" s="30"/>
      <c r="FN787" s="34"/>
      <c r="FO787" s="30"/>
      <c r="FP787" s="34"/>
      <c r="FQ787" s="30"/>
      <c r="FR787" s="28"/>
      <c r="FS787" s="436"/>
      <c r="FT787" s="28"/>
      <c r="FU787" s="436"/>
      <c r="FV787" s="28"/>
      <c r="FW787" s="436"/>
      <c r="FX787" s="28"/>
      <c r="FY787" s="436"/>
      <c r="FZ787" s="28"/>
      <c r="GA787" s="436"/>
      <c r="GB787" s="28"/>
      <c r="GC787" s="436"/>
      <c r="GD787" s="28"/>
      <c r="GE787" s="436"/>
      <c r="GF787" s="28"/>
      <c r="GG787" s="436"/>
      <c r="GH787" s="28"/>
      <c r="GI787" s="436"/>
      <c r="GJ787" s="28"/>
      <c r="GK787" s="436"/>
      <c r="GL787" s="28"/>
      <c r="GM787" s="436"/>
      <c r="GN787" s="28"/>
      <c r="GO787" s="436"/>
      <c r="GP787" s="28"/>
      <c r="GQ787" s="436"/>
      <c r="GR787" s="49">
        <v>-0.2</v>
      </c>
      <c r="GS787" s="436"/>
      <c r="GT787" s="49">
        <v>-0.2</v>
      </c>
      <c r="GU787" s="436"/>
      <c r="GV787" s="49">
        <v>-0.2</v>
      </c>
      <c r="GW787" s="436"/>
      <c r="GX787" s="49">
        <v>-0.2</v>
      </c>
      <c r="GY787" s="436"/>
      <c r="GZ787" s="47"/>
      <c r="HA787" s="47"/>
      <c r="HB787" s="457"/>
      <c r="HC787"/>
      <c r="HD787"/>
      <c r="HE787"/>
      <c r="HF787"/>
      <c r="HG787"/>
      <c r="HH787"/>
    </row>
    <row r="788" spans="1:216" s="6" customFormat="1" ht="12.75" hidden="1" customHeight="1" outlineLevel="1" x14ac:dyDescent="0.2">
      <c r="B788" s="25"/>
      <c r="C788" s="27"/>
      <c r="D788" s="30"/>
      <c r="E788" s="27"/>
      <c r="F788" s="28"/>
      <c r="G788" s="27"/>
      <c r="H788" s="28"/>
      <c r="I788" s="27"/>
      <c r="J788" s="28"/>
      <c r="K788" s="28"/>
      <c r="L788" s="30"/>
      <c r="M788" s="27"/>
      <c r="N788" s="30"/>
      <c r="O788" s="27"/>
      <c r="P788" s="30"/>
      <c r="Q788" s="27"/>
      <c r="R788" s="30"/>
      <c r="S788" s="28"/>
      <c r="T788" s="30"/>
      <c r="U788" s="27"/>
      <c r="V788" s="30"/>
      <c r="W788" s="27"/>
      <c r="X788" s="30"/>
      <c r="Y788" s="27"/>
      <c r="Z788" s="30"/>
      <c r="AA788" s="28"/>
      <c r="AB788" s="30"/>
      <c r="AC788" s="28"/>
      <c r="AD788" s="30"/>
      <c r="AE788" s="28"/>
      <c r="AF788" s="30"/>
      <c r="AG788" s="28"/>
      <c r="AH788" s="30"/>
      <c r="AI788" s="28"/>
      <c r="AJ788" s="30"/>
      <c r="AK788" s="28"/>
      <c r="AL788" s="30"/>
      <c r="AM788" s="28"/>
      <c r="AN788" s="30"/>
      <c r="AO788" s="28"/>
      <c r="AP788" s="30"/>
      <c r="AQ788" s="28"/>
      <c r="AR788" s="30"/>
      <c r="AS788" s="28"/>
      <c r="AT788" s="30"/>
      <c r="AU788" s="28"/>
      <c r="AV788" s="30"/>
      <c r="AW788" s="28"/>
      <c r="AX788" s="30"/>
      <c r="AY788" s="28"/>
      <c r="AZ788" s="30"/>
      <c r="BA788" s="28"/>
      <c r="BB788" s="30"/>
      <c r="BC788" s="28"/>
      <c r="BD788" s="30"/>
      <c r="BE788" s="28"/>
      <c r="BF788" s="30"/>
      <c r="BG788" s="28"/>
      <c r="BH788" s="30"/>
      <c r="BI788" s="28"/>
      <c r="BJ788" s="30"/>
      <c r="BK788" s="28"/>
      <c r="BL788" s="30"/>
      <c r="BM788" s="28"/>
      <c r="BN788" s="30"/>
      <c r="BO788" s="28"/>
      <c r="BP788" s="30"/>
      <c r="BQ788" s="28"/>
      <c r="BR788" s="30"/>
      <c r="BS788" s="28"/>
      <c r="BT788" s="30"/>
      <c r="BU788" s="28"/>
      <c r="BV788" s="30"/>
      <c r="BW788" s="28"/>
      <c r="BX788" s="30"/>
      <c r="BY788" s="28"/>
      <c r="BZ788" s="30"/>
      <c r="CA788" s="28"/>
      <c r="CB788" s="30"/>
      <c r="CC788" s="28"/>
      <c r="CD788" s="30"/>
      <c r="CE788" s="28"/>
      <c r="CF788" s="30"/>
      <c r="CG788" s="28"/>
      <c r="CH788" s="30"/>
      <c r="CI788" s="28"/>
      <c r="CJ788" s="30"/>
      <c r="CK788" s="28"/>
      <c r="CL788" s="30"/>
      <c r="CM788" s="28"/>
      <c r="CN788" s="30"/>
      <c r="CO788" s="28"/>
      <c r="CP788" s="30"/>
      <c r="CQ788" s="28"/>
      <c r="CR788" s="30"/>
      <c r="CS788" s="28"/>
      <c r="CT788" s="30"/>
      <c r="CU788" s="28"/>
      <c r="CV788" s="30"/>
      <c r="CW788" s="28"/>
      <c r="CX788" s="30"/>
      <c r="CY788" s="28"/>
      <c r="CZ788" s="30"/>
      <c r="DA788" s="28"/>
      <c r="DB788" s="30"/>
      <c r="DC788" s="28"/>
      <c r="DD788" s="30"/>
      <c r="DE788" s="28"/>
      <c r="DF788" s="30"/>
      <c r="DG788" s="28"/>
      <c r="DH788" s="30"/>
      <c r="DI788" s="28"/>
      <c r="DJ788" s="30"/>
      <c r="DK788" s="28"/>
      <c r="DL788" s="30"/>
      <c r="DM788" s="28"/>
      <c r="DN788" s="30"/>
      <c r="DO788" s="28"/>
      <c r="DP788" s="30"/>
      <c r="DQ788" s="28"/>
      <c r="DR788" s="30"/>
      <c r="DS788" s="28"/>
      <c r="DT788" s="30"/>
      <c r="DU788" s="28"/>
      <c r="DV788" s="30"/>
      <c r="DW788" s="28"/>
      <c r="DX788" s="30"/>
      <c r="DY788" s="28"/>
      <c r="DZ788" s="30"/>
      <c r="EA788" s="28"/>
      <c r="EB788" s="30"/>
      <c r="EC788" s="28"/>
      <c r="ED788" s="30"/>
      <c r="EE788" s="28"/>
      <c r="EF788" s="30"/>
      <c r="EG788" s="28"/>
      <c r="EH788" s="30"/>
      <c r="EI788" s="28"/>
      <c r="EJ788" s="30"/>
      <c r="EK788" s="28"/>
      <c r="EL788" s="30"/>
      <c r="EM788" s="28"/>
      <c r="EN788" s="30"/>
      <c r="EO788" s="28"/>
      <c r="EP788" s="30"/>
      <c r="EQ788" s="28"/>
      <c r="ER788" s="30"/>
      <c r="ES788" s="28"/>
      <c r="ET788" s="30"/>
      <c r="EU788" s="28"/>
      <c r="EV788" s="30"/>
      <c r="EW788" s="28"/>
      <c r="EX788" s="30"/>
      <c r="EY788" s="28"/>
      <c r="EZ788" s="558"/>
      <c r="FA788" s="28"/>
      <c r="FB788" s="31"/>
      <c r="FC788" s="28"/>
      <c r="FD788" s="31"/>
      <c r="FE788" s="30"/>
      <c r="FF788" s="32"/>
      <c r="FG788" s="30"/>
      <c r="FH788" s="33"/>
      <c r="FI788" s="30"/>
      <c r="FJ788" s="33"/>
      <c r="FK788" s="30"/>
      <c r="FL788" s="33"/>
      <c r="FM788" s="30"/>
      <c r="FN788" s="34"/>
      <c r="FO788" s="30"/>
      <c r="FP788" s="34"/>
      <c r="FQ788" s="30"/>
      <c r="FR788" s="28"/>
      <c r="FS788" s="30"/>
      <c r="FT788" s="28"/>
      <c r="FU788" s="30"/>
      <c r="FV788" s="28"/>
      <c r="FW788" s="30"/>
      <c r="FX788" s="28"/>
      <c r="FY788" s="30"/>
      <c r="FZ788" s="28"/>
      <c r="GA788" s="30"/>
      <c r="GB788" s="28"/>
      <c r="GC788" s="30"/>
      <c r="GD788" s="28"/>
      <c r="GE788" s="30"/>
      <c r="GF788" s="28"/>
      <c r="GG788" s="30"/>
      <c r="GH788" s="28"/>
      <c r="GI788" s="30"/>
      <c r="GJ788" s="28"/>
      <c r="GK788" s="30"/>
      <c r="GL788" s="28"/>
      <c r="GM788" s="30"/>
      <c r="GN788" s="28"/>
      <c r="GO788" s="30"/>
      <c r="GP788" s="28"/>
      <c r="GQ788" s="30"/>
      <c r="GR788" s="28"/>
      <c r="GS788" s="30"/>
      <c r="GT788" s="28"/>
      <c r="GU788" s="30"/>
      <c r="GV788" s="28"/>
      <c r="GW788" s="30"/>
      <c r="GX788" s="28"/>
      <c r="GY788" s="30"/>
      <c r="GZ788" s="30"/>
      <c r="HA788" s="30"/>
      <c r="HB788" s="455"/>
      <c r="HC788"/>
      <c r="HD788"/>
      <c r="HE788"/>
      <c r="HF788"/>
      <c r="HG788"/>
      <c r="HH788"/>
    </row>
    <row r="789" spans="1:216" s="6" customFormat="1" ht="12.75" hidden="1" customHeight="1" outlineLevel="1" x14ac:dyDescent="0.2">
      <c r="B789" s="29" t="s">
        <v>32</v>
      </c>
      <c r="C789" s="27"/>
      <c r="D789" s="30"/>
      <c r="E789" s="27"/>
      <c r="F789" s="28"/>
      <c r="G789" s="27"/>
      <c r="H789" s="28"/>
      <c r="I789" s="27"/>
      <c r="J789" s="28"/>
      <c r="K789" s="28"/>
      <c r="L789" s="30"/>
      <c r="M789" s="27"/>
      <c r="N789" s="30"/>
      <c r="O789" s="27"/>
      <c r="P789" s="30"/>
      <c r="Q789" s="27"/>
      <c r="R789" s="30"/>
      <c r="S789" s="28"/>
      <c r="T789" s="30"/>
      <c r="U789" s="27"/>
      <c r="V789" s="30"/>
      <c r="W789" s="27"/>
      <c r="X789" s="30"/>
      <c r="Y789" s="27"/>
      <c r="Z789" s="30"/>
      <c r="AA789" s="28"/>
      <c r="AB789" s="30"/>
      <c r="AC789" s="28"/>
      <c r="AD789" s="30"/>
      <c r="AE789" s="28"/>
      <c r="AF789" s="30"/>
      <c r="AG789" s="28"/>
      <c r="AH789" s="30"/>
      <c r="AI789" s="28"/>
      <c r="AJ789" s="30"/>
      <c r="AK789" s="28"/>
      <c r="AL789" s="30"/>
      <c r="AM789" s="28"/>
      <c r="AN789" s="30"/>
      <c r="AO789" s="28"/>
      <c r="AP789" s="30"/>
      <c r="AQ789" s="28"/>
      <c r="AR789" s="30"/>
      <c r="AS789" s="28"/>
      <c r="AT789" s="30"/>
      <c r="AU789" s="28"/>
      <c r="AV789" s="30"/>
      <c r="AW789" s="28"/>
      <c r="AX789" s="30"/>
      <c r="AY789" s="28"/>
      <c r="AZ789" s="30"/>
      <c r="BA789" s="28"/>
      <c r="BB789" s="30"/>
      <c r="BC789" s="28"/>
      <c r="BD789" s="30"/>
      <c r="BE789" s="28"/>
      <c r="BF789" s="30"/>
      <c r="BG789" s="28"/>
      <c r="BH789" s="30"/>
      <c r="BI789" s="28"/>
      <c r="BJ789" s="30"/>
      <c r="BK789" s="28"/>
      <c r="BL789" s="30"/>
      <c r="BM789" s="28"/>
      <c r="BN789" s="30"/>
      <c r="BO789" s="28"/>
      <c r="BP789" s="30"/>
      <c r="BQ789" s="28"/>
      <c r="BR789" s="30"/>
      <c r="BS789" s="28"/>
      <c r="BT789" s="30"/>
      <c r="BU789" s="28"/>
      <c r="BV789" s="30"/>
      <c r="BW789" s="28"/>
      <c r="BX789" s="30"/>
      <c r="BY789" s="28"/>
      <c r="BZ789" s="30"/>
      <c r="CA789" s="28"/>
      <c r="CB789" s="30"/>
      <c r="CC789" s="28"/>
      <c r="CD789" s="30"/>
      <c r="CE789" s="28"/>
      <c r="CF789" s="30"/>
      <c r="CG789" s="28"/>
      <c r="CH789" s="30"/>
      <c r="CI789" s="28"/>
      <c r="CJ789" s="30"/>
      <c r="CK789" s="28"/>
      <c r="CL789" s="30"/>
      <c r="CM789" s="28"/>
      <c r="CN789" s="30"/>
      <c r="CO789" s="28"/>
      <c r="CP789" s="30"/>
      <c r="CQ789" s="28"/>
      <c r="CR789" s="30"/>
      <c r="CS789" s="28"/>
      <c r="CT789" s="30"/>
      <c r="CU789" s="28"/>
      <c r="CV789" s="30"/>
      <c r="CW789" s="28"/>
      <c r="CX789" s="30"/>
      <c r="CY789" s="28"/>
      <c r="CZ789" s="30"/>
      <c r="DA789" s="28"/>
      <c r="DB789" s="30"/>
      <c r="DC789" s="28"/>
      <c r="DD789" s="30"/>
      <c r="DE789" s="28"/>
      <c r="DF789" s="30"/>
      <c r="DG789" s="28"/>
      <c r="DH789" s="30"/>
      <c r="DI789" s="28"/>
      <c r="DJ789" s="30"/>
      <c r="DK789" s="28"/>
      <c r="DL789" s="30"/>
      <c r="DM789" s="28"/>
      <c r="DN789" s="30"/>
      <c r="DO789" s="28"/>
      <c r="DP789" s="30"/>
      <c r="DQ789" s="28"/>
      <c r="DR789" s="30"/>
      <c r="DS789" s="28"/>
      <c r="DT789" s="30"/>
      <c r="DU789" s="28"/>
      <c r="DV789" s="30"/>
      <c r="DW789" s="28"/>
      <c r="DX789" s="30"/>
      <c r="DY789" s="28"/>
      <c r="DZ789" s="30"/>
      <c r="EA789" s="28"/>
      <c r="EB789" s="30"/>
      <c r="EC789" s="28"/>
      <c r="ED789" s="30"/>
      <c r="EE789" s="28"/>
      <c r="EF789" s="30"/>
      <c r="EG789" s="28"/>
      <c r="EH789" s="30"/>
      <c r="EI789" s="28"/>
      <c r="EJ789" s="30"/>
      <c r="EK789" s="28"/>
      <c r="EL789" s="30"/>
      <c r="EM789" s="28"/>
      <c r="EN789" s="30"/>
      <c r="EO789" s="28"/>
      <c r="EP789" s="30"/>
      <c r="EQ789" s="28"/>
      <c r="ER789" s="30"/>
      <c r="ES789" s="28"/>
      <c r="ET789" s="30"/>
      <c r="EU789" s="28"/>
      <c r="EV789" s="30"/>
      <c r="EW789" s="28"/>
      <c r="EX789" s="30"/>
      <c r="EY789" s="28"/>
      <c r="EZ789" s="558"/>
      <c r="FA789" s="28"/>
      <c r="FB789" s="31"/>
      <c r="FC789" s="28"/>
      <c r="FD789" s="31"/>
      <c r="FE789" s="30"/>
      <c r="FF789" s="32"/>
      <c r="FG789" s="30"/>
      <c r="FH789" s="33"/>
      <c r="FI789" s="30"/>
      <c r="FJ789" s="33"/>
      <c r="FK789" s="30"/>
      <c r="FL789" s="33"/>
      <c r="FM789" s="30"/>
      <c r="FN789" s="34"/>
      <c r="FO789" s="30"/>
      <c r="FP789" s="34"/>
      <c r="FQ789" s="30"/>
      <c r="FR789" s="28"/>
      <c r="FS789" s="30"/>
      <c r="FT789" s="28"/>
      <c r="FU789" s="30"/>
      <c r="FV789" s="28"/>
      <c r="FW789" s="30"/>
      <c r="FX789" s="28"/>
      <c r="FY789" s="30"/>
      <c r="FZ789" s="28"/>
      <c r="GA789" s="30"/>
      <c r="GB789" s="28"/>
      <c r="GC789" s="30"/>
      <c r="GD789" s="28"/>
      <c r="GE789" s="30"/>
      <c r="GF789" s="28"/>
      <c r="GG789" s="30"/>
      <c r="GH789" s="28"/>
      <c r="GI789" s="30"/>
      <c r="GJ789" s="28"/>
      <c r="GK789" s="30"/>
      <c r="GL789" s="28"/>
      <c r="GM789" s="30"/>
      <c r="GN789" s="28"/>
      <c r="GO789" s="30"/>
      <c r="GP789" s="28"/>
      <c r="GQ789" s="30"/>
      <c r="GR789" s="28"/>
      <c r="GS789" s="30"/>
      <c r="GT789" s="28"/>
      <c r="GU789" s="30"/>
      <c r="GV789" s="28"/>
      <c r="GW789" s="30"/>
      <c r="GX789" s="28"/>
      <c r="GY789" s="30"/>
      <c r="GZ789" s="30"/>
      <c r="HA789" s="30"/>
      <c r="HB789" s="455"/>
      <c r="HC789"/>
      <c r="HD789"/>
      <c r="HE789"/>
      <c r="HF789"/>
      <c r="HG789"/>
      <c r="HH789"/>
    </row>
    <row r="790" spans="1:216" s="6" customFormat="1" ht="12.75" hidden="1" customHeight="1" outlineLevel="1" x14ac:dyDescent="0.2">
      <c r="B790" s="29" t="s">
        <v>615</v>
      </c>
      <c r="C790" s="27"/>
      <c r="D790" s="30"/>
      <c r="E790" s="27"/>
      <c r="F790" s="28"/>
      <c r="G790" s="27"/>
      <c r="H790" s="28"/>
      <c r="I790" s="27"/>
      <c r="J790" s="28"/>
      <c r="K790" s="28"/>
      <c r="L790" s="30"/>
      <c r="M790" s="27"/>
      <c r="N790" s="30"/>
      <c r="O790" s="27"/>
      <c r="P790" s="30"/>
      <c r="Q790" s="27"/>
      <c r="R790" s="30"/>
      <c r="S790" s="28"/>
      <c r="T790" s="30"/>
      <c r="U790" s="27"/>
      <c r="V790" s="30"/>
      <c r="W790" s="27"/>
      <c r="X790" s="30"/>
      <c r="Y790" s="27"/>
      <c r="Z790" s="30"/>
      <c r="AA790" s="28"/>
      <c r="AB790" s="30"/>
      <c r="AC790" s="28"/>
      <c r="AD790" s="30"/>
      <c r="AE790" s="28"/>
      <c r="AF790" s="30"/>
      <c r="AG790" s="28"/>
      <c r="AH790" s="30"/>
      <c r="AI790" s="28"/>
      <c r="AJ790" s="30"/>
      <c r="AK790" s="28"/>
      <c r="AL790" s="30"/>
      <c r="AM790" s="28"/>
      <c r="AN790" s="30"/>
      <c r="AO790" s="28"/>
      <c r="AP790" s="30"/>
      <c r="AQ790" s="28"/>
      <c r="AR790" s="30"/>
      <c r="AS790" s="28"/>
      <c r="AT790" s="30"/>
      <c r="AU790" s="28"/>
      <c r="AV790" s="30"/>
      <c r="AW790" s="28"/>
      <c r="AX790" s="30"/>
      <c r="AY790" s="28"/>
      <c r="AZ790" s="30"/>
      <c r="BA790" s="28"/>
      <c r="BB790" s="30"/>
      <c r="BC790" s="28"/>
      <c r="BD790" s="30"/>
      <c r="BE790" s="28"/>
      <c r="BF790" s="30"/>
      <c r="BG790" s="28"/>
      <c r="BH790" s="30"/>
      <c r="BI790" s="28"/>
      <c r="BJ790" s="30"/>
      <c r="BK790" s="28"/>
      <c r="BL790" s="30"/>
      <c r="BM790" s="28"/>
      <c r="BN790" s="30"/>
      <c r="BO790" s="28"/>
      <c r="BP790" s="30"/>
      <c r="BQ790" s="28"/>
      <c r="BR790" s="30"/>
      <c r="BS790" s="28"/>
      <c r="BT790" s="30"/>
      <c r="BU790" s="28"/>
      <c r="BV790" s="30"/>
      <c r="BW790" s="28"/>
      <c r="BX790" s="30"/>
      <c r="BY790" s="28"/>
      <c r="BZ790" s="30"/>
      <c r="CA790" s="28"/>
      <c r="CB790" s="30"/>
      <c r="CC790" s="28"/>
      <c r="CD790" s="30"/>
      <c r="CE790" s="28"/>
      <c r="CF790" s="30"/>
      <c r="CG790" s="28"/>
      <c r="CH790" s="30"/>
      <c r="CI790" s="28"/>
      <c r="CJ790" s="30"/>
      <c r="CK790" s="28"/>
      <c r="CL790" s="30"/>
      <c r="CM790" s="28"/>
      <c r="CN790" s="30"/>
      <c r="CO790" s="28"/>
      <c r="CP790" s="30"/>
      <c r="CQ790" s="28"/>
      <c r="CR790" s="30"/>
      <c r="CS790" s="28"/>
      <c r="CT790" s="30"/>
      <c r="CU790" s="28"/>
      <c r="CV790" s="30"/>
      <c r="CW790" s="28"/>
      <c r="CX790" s="30"/>
      <c r="CY790" s="28"/>
      <c r="CZ790" s="30"/>
      <c r="DA790" s="28"/>
      <c r="DB790" s="30"/>
      <c r="DC790" s="28"/>
      <c r="DD790" s="30"/>
      <c r="DE790" s="28"/>
      <c r="DF790" s="30"/>
      <c r="DG790" s="28"/>
      <c r="DH790" s="30"/>
      <c r="DI790" s="28"/>
      <c r="DJ790" s="30"/>
      <c r="DK790" s="28"/>
      <c r="DL790" s="30"/>
      <c r="DM790" s="28"/>
      <c r="DN790" s="30"/>
      <c r="DO790" s="28"/>
      <c r="DP790" s="30"/>
      <c r="DQ790" s="28"/>
      <c r="DR790" s="30"/>
      <c r="DS790" s="28"/>
      <c r="DT790" s="30"/>
      <c r="DU790" s="28"/>
      <c r="DV790" s="30"/>
      <c r="DW790" s="28"/>
      <c r="DX790" s="30"/>
      <c r="DY790" s="28"/>
      <c r="DZ790" s="30"/>
      <c r="EA790" s="28"/>
      <c r="EB790" s="30"/>
      <c r="EC790" s="28"/>
      <c r="ED790" s="30"/>
      <c r="EE790" s="28"/>
      <c r="EF790" s="30"/>
      <c r="EG790" s="28"/>
      <c r="EH790" s="30"/>
      <c r="EI790" s="28"/>
      <c r="EJ790" s="30"/>
      <c r="EK790" s="28"/>
      <c r="EL790" s="30"/>
      <c r="EM790" s="28"/>
      <c r="EN790" s="30"/>
      <c r="EO790" s="28"/>
      <c r="EP790" s="30"/>
      <c r="EQ790" s="28"/>
      <c r="ER790" s="30"/>
      <c r="ES790" s="28"/>
      <c r="ET790" s="30"/>
      <c r="EU790" s="28"/>
      <c r="EV790" s="30"/>
      <c r="EW790" s="28"/>
      <c r="EX790" s="30"/>
      <c r="EY790" s="28"/>
      <c r="EZ790" s="558"/>
      <c r="FA790" s="28"/>
      <c r="FB790" s="31"/>
      <c r="FC790" s="28"/>
      <c r="FD790" s="31"/>
      <c r="FE790" s="30"/>
      <c r="FF790" s="32"/>
      <c r="FG790" s="30"/>
      <c r="FH790" s="33"/>
      <c r="FI790" s="30"/>
      <c r="FJ790" s="33"/>
      <c r="FK790" s="30"/>
      <c r="FL790" s="33"/>
      <c r="FM790" s="30"/>
      <c r="FN790" s="34"/>
      <c r="FO790" s="30"/>
      <c r="FP790" s="34"/>
      <c r="FQ790" s="30"/>
      <c r="FR790" s="28"/>
      <c r="FS790" s="30"/>
      <c r="FT790" s="28"/>
      <c r="FU790" s="30"/>
      <c r="FV790" s="28"/>
      <c r="FW790" s="30"/>
      <c r="FX790" s="28"/>
      <c r="FY790" s="30"/>
      <c r="FZ790" s="28"/>
      <c r="GA790" s="30"/>
      <c r="GB790" s="28"/>
      <c r="GC790" s="30"/>
      <c r="GD790" s="28"/>
      <c r="GE790" s="30"/>
      <c r="GF790" s="28"/>
      <c r="GG790" s="30"/>
      <c r="GH790" s="28"/>
      <c r="GI790" s="30"/>
      <c r="GJ790" s="28"/>
      <c r="GK790" s="30"/>
      <c r="GL790" s="28"/>
      <c r="GM790" s="30"/>
      <c r="GN790" s="28"/>
      <c r="GO790" s="30"/>
      <c r="GP790" s="28"/>
      <c r="GQ790" s="30"/>
      <c r="GR790" s="28"/>
      <c r="GS790" s="30"/>
      <c r="GT790" s="28"/>
      <c r="GU790" s="30"/>
      <c r="GV790" s="28"/>
      <c r="GW790" s="30"/>
      <c r="GX790" s="28"/>
      <c r="GY790" s="30"/>
      <c r="GZ790" s="30"/>
      <c r="HA790" s="30"/>
      <c r="HB790" s="455"/>
      <c r="HC790"/>
      <c r="HD790"/>
      <c r="HE790"/>
      <c r="HF790"/>
      <c r="HG790"/>
      <c r="HH790"/>
    </row>
    <row r="791" spans="1:216" s="6" customFormat="1" ht="12.75" hidden="1" customHeight="1" outlineLevel="1" x14ac:dyDescent="0.2">
      <c r="B791" s="25" t="s">
        <v>273</v>
      </c>
      <c r="C791" s="27"/>
      <c r="D791" s="30"/>
      <c r="E791" s="27"/>
      <c r="F791" s="28"/>
      <c r="G791" s="27"/>
      <c r="H791" s="28"/>
      <c r="I791" s="27"/>
      <c r="J791" s="28"/>
      <c r="K791" s="28"/>
      <c r="L791" s="30"/>
      <c r="M791" s="27"/>
      <c r="N791" s="30"/>
      <c r="O791" s="27"/>
      <c r="P791" s="30"/>
      <c r="Q791" s="27"/>
      <c r="R791" s="30"/>
      <c r="S791" s="28"/>
      <c r="T791" s="30"/>
      <c r="U791" s="27"/>
      <c r="V791" s="30"/>
      <c r="W791" s="27"/>
      <c r="X791" s="30"/>
      <c r="Y791" s="27"/>
      <c r="Z791" s="30"/>
      <c r="AA791" s="28"/>
      <c r="AB791" s="30"/>
      <c r="AC791" s="28"/>
      <c r="AD791" s="30"/>
      <c r="AE791" s="28"/>
      <c r="AF791" s="30"/>
      <c r="AG791" s="28"/>
      <c r="AH791" s="30"/>
      <c r="AI791" s="28"/>
      <c r="AJ791" s="30"/>
      <c r="AK791" s="28"/>
      <c r="AL791" s="30"/>
      <c r="AM791" s="28"/>
      <c r="AN791" s="30"/>
      <c r="AO791" s="28"/>
      <c r="AP791" s="30"/>
      <c r="AQ791" s="28"/>
      <c r="AR791" s="30"/>
      <c r="AS791" s="28"/>
      <c r="AT791" s="30"/>
      <c r="AU791" s="28"/>
      <c r="AV791" s="30"/>
      <c r="AW791" s="28"/>
      <c r="AX791" s="30"/>
      <c r="AY791" s="28"/>
      <c r="AZ791" s="30"/>
      <c r="BA791" s="28"/>
      <c r="BB791" s="30"/>
      <c r="BC791" s="28"/>
      <c r="BD791" s="30"/>
      <c r="BE791" s="28"/>
      <c r="BF791" s="30"/>
      <c r="BG791" s="28"/>
      <c r="BH791" s="30"/>
      <c r="BI791" s="28"/>
      <c r="BJ791" s="30"/>
      <c r="BK791" s="28"/>
      <c r="BL791" s="30"/>
      <c r="BM791" s="28"/>
      <c r="BN791" s="30"/>
      <c r="BO791" s="28"/>
      <c r="BP791" s="30"/>
      <c r="BQ791" s="28"/>
      <c r="BR791" s="30"/>
      <c r="BS791" s="28"/>
      <c r="BT791" s="30"/>
      <c r="BU791" s="28"/>
      <c r="BV791" s="30"/>
      <c r="BW791" s="28"/>
      <c r="BX791" s="30"/>
      <c r="BY791" s="28"/>
      <c r="BZ791" s="30"/>
      <c r="CA791" s="28"/>
      <c r="CB791" s="30"/>
      <c r="CC791" s="28"/>
      <c r="CD791" s="30"/>
      <c r="CE791" s="28"/>
      <c r="CF791" s="30"/>
      <c r="CG791" s="28"/>
      <c r="CH791" s="30"/>
      <c r="CI791" s="28"/>
      <c r="CJ791" s="30"/>
      <c r="CK791" s="28"/>
      <c r="CL791" s="30"/>
      <c r="CM791" s="28"/>
      <c r="CN791" s="30"/>
      <c r="CO791" s="28"/>
      <c r="CP791" s="30"/>
      <c r="CQ791" s="28"/>
      <c r="CR791" s="30"/>
      <c r="CS791" s="28"/>
      <c r="CT791" s="30"/>
      <c r="CU791" s="28"/>
      <c r="CV791" s="30"/>
      <c r="CW791" s="28"/>
      <c r="CX791" s="30"/>
      <c r="CY791" s="28"/>
      <c r="CZ791" s="30"/>
      <c r="DA791" s="28"/>
      <c r="DB791" s="30"/>
      <c r="DC791" s="28"/>
      <c r="DD791" s="30"/>
      <c r="DE791" s="28"/>
      <c r="DF791" s="30"/>
      <c r="DG791" s="28"/>
      <c r="DH791" s="30"/>
      <c r="DI791" s="28"/>
      <c r="DJ791" s="30"/>
      <c r="DK791" s="28"/>
      <c r="DL791" s="30"/>
      <c r="DM791" s="28"/>
      <c r="DN791" s="30"/>
      <c r="DO791" s="28"/>
      <c r="DP791" s="30"/>
      <c r="DQ791" s="28"/>
      <c r="DR791" s="30"/>
      <c r="DS791" s="28"/>
      <c r="DT791" s="30"/>
      <c r="DU791" s="28"/>
      <c r="DV791" s="30"/>
      <c r="DW791" s="28"/>
      <c r="DX791" s="30"/>
      <c r="DY791" s="39">
        <f>DW300</f>
        <v>67.719298245614041</v>
      </c>
      <c r="DZ791" s="30"/>
      <c r="EA791" s="39">
        <f>DY300</f>
        <v>68.495575221238937</v>
      </c>
      <c r="EB791" s="30"/>
      <c r="EC791" s="39">
        <f>EA300</f>
        <v>63.670411985018724</v>
      </c>
      <c r="ED791" s="30"/>
      <c r="EE791" s="39">
        <f>EC300</f>
        <v>65.714285714285708</v>
      </c>
      <c r="EF791" s="30"/>
      <c r="EG791" s="39">
        <f>EE300</f>
        <v>54.49438202247191</v>
      </c>
      <c r="EH791" s="30"/>
      <c r="EI791" s="39">
        <f>EG300</f>
        <v>64.245810055865931</v>
      </c>
      <c r="EJ791" s="30"/>
      <c r="EK791" s="39">
        <f t="shared" ref="EK791" si="4438">EI300</f>
        <v>64.879852125693162</v>
      </c>
      <c r="EL791" s="30"/>
      <c r="EM791" s="39">
        <f t="shared" ref="EM791" si="4439">EK300</f>
        <v>60.258780036968574</v>
      </c>
      <c r="EN791" s="30"/>
      <c r="EO791" s="39">
        <f t="shared" ref="EO791" si="4440">EM300</f>
        <v>59.219858156028373</v>
      </c>
      <c r="EP791" s="30"/>
      <c r="EQ791" s="39">
        <f t="shared" ref="EQ791" si="4441">EO300</f>
        <v>61.552346570397113</v>
      </c>
      <c r="ER791" s="30"/>
      <c r="ES791" s="39">
        <f t="shared" ref="ES791" si="4442">EQ300</f>
        <v>63</v>
      </c>
      <c r="ET791" s="30"/>
      <c r="EU791" s="39">
        <f t="shared" ref="EU791" si="4443">ES300</f>
        <v>61</v>
      </c>
      <c r="EV791" s="30"/>
      <c r="EW791" s="39">
        <f t="shared" ref="EW791" si="4444">EU300</f>
        <v>62</v>
      </c>
      <c r="EX791" s="30"/>
      <c r="EY791" s="28"/>
      <c r="EZ791" s="558"/>
      <c r="FA791" s="28"/>
      <c r="FB791" s="31"/>
      <c r="FC791" s="28"/>
      <c r="FD791" s="31"/>
      <c r="FE791" s="30"/>
      <c r="FF791" s="32"/>
      <c r="FG791" s="30"/>
      <c r="FH791" s="33"/>
      <c r="FI791" s="30"/>
      <c r="FJ791" s="33"/>
      <c r="FK791" s="30"/>
      <c r="FL791" s="33"/>
      <c r="FM791" s="30"/>
      <c r="FN791" s="34"/>
      <c r="FO791" s="30"/>
      <c r="FP791" s="34"/>
      <c r="FQ791" s="30"/>
      <c r="FR791" s="28"/>
      <c r="FS791" s="38"/>
      <c r="FT791" s="28"/>
      <c r="FU791" s="38"/>
      <c r="FV791" s="28"/>
      <c r="FW791" s="38"/>
      <c r="FX791" s="28"/>
      <c r="FY791" s="38"/>
      <c r="FZ791" s="28"/>
      <c r="GA791" s="38"/>
      <c r="GB791" s="28"/>
      <c r="GC791" s="38"/>
      <c r="GD791" s="28"/>
      <c r="GE791" s="38"/>
      <c r="GF791" s="28"/>
      <c r="GG791" s="38"/>
      <c r="GH791" s="28"/>
      <c r="GI791" s="38"/>
      <c r="GJ791" s="28"/>
      <c r="GK791" s="38"/>
      <c r="GL791" s="28"/>
      <c r="GM791" s="38"/>
      <c r="GN791" s="28"/>
      <c r="GO791" s="38"/>
      <c r="GP791" s="28"/>
      <c r="GQ791" s="38"/>
      <c r="GR791" s="39">
        <f>GP300</f>
        <v>61.997423691730091</v>
      </c>
      <c r="GS791" s="38"/>
      <c r="GT791" s="39">
        <f>GR300</f>
        <v>62.6</v>
      </c>
      <c r="GU791" s="38"/>
      <c r="GV791" s="39">
        <f>GT300</f>
        <v>62.5</v>
      </c>
      <c r="GW791" s="38"/>
      <c r="GX791" s="39">
        <f>GV300</f>
        <v>62.5</v>
      </c>
      <c r="GY791" s="38"/>
      <c r="GZ791" s="47"/>
      <c r="HA791" s="47"/>
      <c r="HB791" s="457"/>
      <c r="HC791"/>
      <c r="HD791"/>
      <c r="HE791"/>
      <c r="HF791"/>
      <c r="HG791"/>
      <c r="HH791"/>
    </row>
    <row r="792" spans="1:216" s="6" customFormat="1" ht="12.75" hidden="1" customHeight="1" outlineLevel="1" x14ac:dyDescent="0.2">
      <c r="B792" s="25" t="s">
        <v>534</v>
      </c>
      <c r="C792" s="27"/>
      <c r="D792" s="30"/>
      <c r="E792" s="27"/>
      <c r="F792" s="28"/>
      <c r="G792" s="27"/>
      <c r="H792" s="28"/>
      <c r="I792" s="27"/>
      <c r="J792" s="28"/>
      <c r="K792" s="28"/>
      <c r="L792" s="30"/>
      <c r="M792" s="27"/>
      <c r="N792" s="30"/>
      <c r="O792" s="27"/>
      <c r="P792" s="30"/>
      <c r="Q792" s="27"/>
      <c r="R792" s="30"/>
      <c r="S792" s="28"/>
      <c r="T792" s="30"/>
      <c r="U792" s="27"/>
      <c r="V792" s="30"/>
      <c r="W792" s="27"/>
      <c r="X792" s="30"/>
      <c r="Y792" s="27"/>
      <c r="Z792" s="30"/>
      <c r="AA792" s="28"/>
      <c r="AB792" s="30"/>
      <c r="AC792" s="28"/>
      <c r="AD792" s="30"/>
      <c r="AE792" s="28"/>
      <c r="AF792" s="30"/>
      <c r="AG792" s="28"/>
      <c r="AH792" s="30"/>
      <c r="AI792" s="28"/>
      <c r="AJ792" s="30"/>
      <c r="AK792" s="28"/>
      <c r="AL792" s="30"/>
      <c r="AM792" s="28"/>
      <c r="AN792" s="30"/>
      <c r="AO792" s="28"/>
      <c r="AP792" s="30"/>
      <c r="AQ792" s="28"/>
      <c r="AR792" s="30"/>
      <c r="AS792" s="28"/>
      <c r="AT792" s="30"/>
      <c r="AU792" s="28"/>
      <c r="AV792" s="30"/>
      <c r="AW792" s="28"/>
      <c r="AX792" s="30"/>
      <c r="AY792" s="28"/>
      <c r="AZ792" s="30"/>
      <c r="BA792" s="28"/>
      <c r="BB792" s="30"/>
      <c r="BC792" s="28"/>
      <c r="BD792" s="30"/>
      <c r="BE792" s="28"/>
      <c r="BF792" s="30"/>
      <c r="BG792" s="28"/>
      <c r="BH792" s="30"/>
      <c r="BI792" s="28"/>
      <c r="BJ792" s="30"/>
      <c r="BK792" s="28"/>
      <c r="BL792" s="30"/>
      <c r="BM792" s="28"/>
      <c r="BN792" s="30"/>
      <c r="BO792" s="28"/>
      <c r="BP792" s="30"/>
      <c r="BQ792" s="28"/>
      <c r="BR792" s="30"/>
      <c r="BS792" s="28"/>
      <c r="BT792" s="30"/>
      <c r="BU792" s="28"/>
      <c r="BV792" s="30"/>
      <c r="BW792" s="28"/>
      <c r="BX792" s="30"/>
      <c r="BY792" s="28"/>
      <c r="BZ792" s="30"/>
      <c r="CA792" s="28"/>
      <c r="CB792" s="30"/>
      <c r="CC792" s="28"/>
      <c r="CD792" s="30"/>
      <c r="CE792" s="28"/>
      <c r="CF792" s="30"/>
      <c r="CG792" s="28"/>
      <c r="CH792" s="30"/>
      <c r="CI792" s="28"/>
      <c r="CJ792" s="30"/>
      <c r="CK792" s="28"/>
      <c r="CL792" s="30"/>
      <c r="CM792" s="28"/>
      <c r="CN792" s="30"/>
      <c r="CO792" s="28"/>
      <c r="CP792" s="30"/>
      <c r="CQ792" s="28"/>
      <c r="CR792" s="30"/>
      <c r="CS792" s="28"/>
      <c r="CT792" s="30"/>
      <c r="CU792" s="28"/>
      <c r="CV792" s="30"/>
      <c r="CW792" s="28"/>
      <c r="CX792" s="30"/>
      <c r="CY792" s="28"/>
      <c r="CZ792" s="30"/>
      <c r="DA792" s="28"/>
      <c r="DB792" s="30"/>
      <c r="DC792" s="28"/>
      <c r="DD792" s="30"/>
      <c r="DE792" s="28"/>
      <c r="DF792" s="30"/>
      <c r="DG792" s="28"/>
      <c r="DH792" s="30"/>
      <c r="DI792" s="28"/>
      <c r="DJ792" s="30"/>
      <c r="DK792" s="28"/>
      <c r="DL792" s="30"/>
      <c r="DM792" s="28"/>
      <c r="DN792" s="30"/>
      <c r="DO792" s="28"/>
      <c r="DP792" s="30"/>
      <c r="DQ792" s="28"/>
      <c r="DR792" s="30"/>
      <c r="DS792" s="28"/>
      <c r="DT792" s="30"/>
      <c r="DU792" s="28"/>
      <c r="DV792" s="30"/>
      <c r="DW792" s="28"/>
      <c r="DX792" s="30"/>
      <c r="DY792" s="40">
        <v>-2</v>
      </c>
      <c r="DZ792" s="30"/>
      <c r="EA792" s="40">
        <v>-2</v>
      </c>
      <c r="EB792" s="30"/>
      <c r="EC792" s="40">
        <v>-2</v>
      </c>
      <c r="ED792" s="30"/>
      <c r="EE792" s="40">
        <v>-2</v>
      </c>
      <c r="EF792" s="30"/>
      <c r="EG792" s="40">
        <v>-2</v>
      </c>
      <c r="EH792" s="30"/>
      <c r="EI792" s="40">
        <v>-2</v>
      </c>
      <c r="EJ792" s="30"/>
      <c r="EK792" s="40">
        <v>-2</v>
      </c>
      <c r="EL792" s="30"/>
      <c r="EM792" s="40">
        <v>-2</v>
      </c>
      <c r="EN792" s="30"/>
      <c r="EO792" s="40">
        <v>-2</v>
      </c>
      <c r="EP792" s="30"/>
      <c r="EQ792" s="40">
        <v>-2</v>
      </c>
      <c r="ER792" s="30"/>
      <c r="ES792" s="40">
        <v>-2</v>
      </c>
      <c r="ET792" s="30"/>
      <c r="EU792" s="40">
        <v>-2</v>
      </c>
      <c r="EV792" s="30"/>
      <c r="EW792" s="40">
        <v>-2</v>
      </c>
      <c r="EX792" s="30"/>
      <c r="EY792" s="35"/>
      <c r="EZ792" s="558"/>
      <c r="FA792" s="35"/>
      <c r="FB792" s="36"/>
      <c r="FC792" s="35"/>
      <c r="FD792" s="36"/>
      <c r="FE792" s="38"/>
      <c r="FF792" s="37"/>
      <c r="FG792" s="38"/>
      <c r="FH792" s="35"/>
      <c r="FI792" s="38"/>
      <c r="FJ792" s="35"/>
      <c r="FK792" s="38"/>
      <c r="FL792" s="35"/>
      <c r="FM792" s="38"/>
      <c r="FN792" s="35"/>
      <c r="FO792" s="38"/>
      <c r="FP792" s="35"/>
      <c r="FQ792" s="38"/>
      <c r="FR792" s="35"/>
      <c r="FS792" s="515"/>
      <c r="FT792" s="35"/>
      <c r="FU792" s="515"/>
      <c r="FV792" s="35"/>
      <c r="FW792" s="515"/>
      <c r="FX792" s="35"/>
      <c r="FY792" s="515"/>
      <c r="FZ792" s="35"/>
      <c r="GA792" s="515"/>
      <c r="GB792" s="35"/>
      <c r="GC792" s="515"/>
      <c r="GD792" s="35"/>
      <c r="GE792" s="515"/>
      <c r="GF792" s="35"/>
      <c r="GG792" s="515"/>
      <c r="GH792" s="35"/>
      <c r="GI792" s="515"/>
      <c r="GJ792" s="35"/>
      <c r="GK792" s="515"/>
      <c r="GL792" s="35"/>
      <c r="GM792" s="515"/>
      <c r="GN792" s="35"/>
      <c r="GO792" s="515"/>
      <c r="GP792" s="35"/>
      <c r="GQ792" s="515"/>
      <c r="GR792" s="40">
        <v>-2</v>
      </c>
      <c r="GS792" s="515"/>
      <c r="GT792" s="40">
        <v>-2</v>
      </c>
      <c r="GU792" s="515"/>
      <c r="GV792" s="40">
        <v>-2</v>
      </c>
      <c r="GW792" s="515"/>
      <c r="GX792" s="40">
        <v>-2</v>
      </c>
      <c r="GY792" s="515"/>
      <c r="GZ792" s="47"/>
      <c r="HA792" s="47"/>
      <c r="HB792" s="457"/>
      <c r="HC792"/>
      <c r="HD792"/>
      <c r="HE792"/>
      <c r="HF792"/>
      <c r="HG792"/>
      <c r="HH792"/>
    </row>
    <row r="793" spans="1:216" s="6" customFormat="1" ht="12.75" hidden="1" customHeight="1" outlineLevel="1" x14ac:dyDescent="0.2">
      <c r="B793" s="25" t="s">
        <v>111</v>
      </c>
      <c r="C793" s="27"/>
      <c r="D793" s="30"/>
      <c r="E793" s="27"/>
      <c r="F793" s="28"/>
      <c r="G793" s="27"/>
      <c r="H793" s="28"/>
      <c r="I793" s="27"/>
      <c r="J793" s="28"/>
      <c r="K793" s="28"/>
      <c r="L793" s="30"/>
      <c r="M793" s="27"/>
      <c r="N793" s="30"/>
      <c r="O793" s="27"/>
      <c r="P793" s="30"/>
      <c r="Q793" s="27"/>
      <c r="R793" s="30"/>
      <c r="S793" s="28"/>
      <c r="T793" s="30"/>
      <c r="U793" s="27"/>
      <c r="V793" s="30"/>
      <c r="W793" s="27"/>
      <c r="X793" s="30"/>
      <c r="Y793" s="27"/>
      <c r="Z793" s="30"/>
      <c r="AA793" s="28"/>
      <c r="AB793" s="30"/>
      <c r="AC793" s="28"/>
      <c r="AD793" s="30"/>
      <c r="AE793" s="28"/>
      <c r="AF793" s="30"/>
      <c r="AG793" s="28"/>
      <c r="AH793" s="30"/>
      <c r="AI793" s="28"/>
      <c r="AJ793" s="30"/>
      <c r="AK793" s="28"/>
      <c r="AL793" s="30"/>
      <c r="AM793" s="28"/>
      <c r="AN793" s="30"/>
      <c r="AO793" s="28"/>
      <c r="AP793" s="30"/>
      <c r="AQ793" s="28"/>
      <c r="AR793" s="30"/>
      <c r="AS793" s="28"/>
      <c r="AT793" s="30"/>
      <c r="AU793" s="28"/>
      <c r="AV793" s="30"/>
      <c r="AW793" s="28"/>
      <c r="AX793" s="30"/>
      <c r="AY793" s="28"/>
      <c r="AZ793" s="30"/>
      <c r="BA793" s="28"/>
      <c r="BB793" s="30"/>
      <c r="BC793" s="28"/>
      <c r="BD793" s="30"/>
      <c r="BE793" s="28"/>
      <c r="BF793" s="30"/>
      <c r="BG793" s="28"/>
      <c r="BH793" s="30"/>
      <c r="BI793" s="28"/>
      <c r="BJ793" s="30"/>
      <c r="BK793" s="28"/>
      <c r="BL793" s="30"/>
      <c r="BM793" s="28"/>
      <c r="BN793" s="30"/>
      <c r="BO793" s="28"/>
      <c r="BP793" s="30"/>
      <c r="BQ793" s="28"/>
      <c r="BR793" s="30"/>
      <c r="BS793" s="28"/>
      <c r="BT793" s="30"/>
      <c r="BU793" s="28"/>
      <c r="BV793" s="30"/>
      <c r="BW793" s="28"/>
      <c r="BX793" s="30"/>
      <c r="BY793" s="28"/>
      <c r="BZ793" s="30"/>
      <c r="CA793" s="28"/>
      <c r="CB793" s="30"/>
      <c r="CC793" s="28"/>
      <c r="CD793" s="30"/>
      <c r="CE793" s="28"/>
      <c r="CF793" s="30"/>
      <c r="CG793" s="28"/>
      <c r="CH793" s="30"/>
      <c r="CI793" s="28"/>
      <c r="CJ793" s="30"/>
      <c r="CK793" s="28"/>
      <c r="CL793" s="30"/>
      <c r="CM793" s="28"/>
      <c r="CN793" s="30"/>
      <c r="CO793" s="28"/>
      <c r="CP793" s="30"/>
      <c r="CQ793" s="28"/>
      <c r="CR793" s="30"/>
      <c r="CS793" s="28"/>
      <c r="CT793" s="30"/>
      <c r="CU793" s="28"/>
      <c r="CV793" s="30"/>
      <c r="CW793" s="28"/>
      <c r="CX793" s="30"/>
      <c r="CY793" s="28"/>
      <c r="CZ793" s="30"/>
      <c r="DA793" s="28"/>
      <c r="DB793" s="30"/>
      <c r="DC793" s="28"/>
      <c r="DD793" s="30"/>
      <c r="DE793" s="28"/>
      <c r="DF793" s="30"/>
      <c r="DG793" s="28"/>
      <c r="DH793" s="30"/>
      <c r="DI793" s="28"/>
      <c r="DJ793" s="30"/>
      <c r="DK793" s="28"/>
      <c r="DL793" s="30"/>
      <c r="DM793" s="28"/>
      <c r="DN793" s="30"/>
      <c r="DO793" s="28"/>
      <c r="DP793" s="30"/>
      <c r="DQ793" s="28"/>
      <c r="DR793" s="30"/>
      <c r="DS793" s="28"/>
      <c r="DT793" s="30"/>
      <c r="DU793" s="28"/>
      <c r="DV793" s="30"/>
      <c r="DW793" s="28"/>
      <c r="DX793" s="30"/>
      <c r="DY793" s="41">
        <v>2</v>
      </c>
      <c r="DZ793" s="30"/>
      <c r="EA793" s="41">
        <v>2</v>
      </c>
      <c r="EB793" s="30"/>
      <c r="EC793" s="41">
        <v>2</v>
      </c>
      <c r="ED793" s="30"/>
      <c r="EE793" s="41">
        <v>2</v>
      </c>
      <c r="EF793" s="30"/>
      <c r="EG793" s="41">
        <v>2</v>
      </c>
      <c r="EH793" s="30"/>
      <c r="EI793" s="41">
        <v>2</v>
      </c>
      <c r="EJ793" s="30"/>
      <c r="EK793" s="41">
        <v>2</v>
      </c>
      <c r="EL793" s="30"/>
      <c r="EM793" s="41">
        <v>2</v>
      </c>
      <c r="EN793" s="30"/>
      <c r="EO793" s="41">
        <v>2</v>
      </c>
      <c r="EP793" s="30"/>
      <c r="EQ793" s="41">
        <v>2</v>
      </c>
      <c r="ER793" s="30"/>
      <c r="ES793" s="41">
        <v>2</v>
      </c>
      <c r="ET793" s="30"/>
      <c r="EU793" s="41">
        <v>2</v>
      </c>
      <c r="EV793" s="30"/>
      <c r="EW793" s="41">
        <v>2</v>
      </c>
      <c r="EX793" s="30"/>
      <c r="EY793" s="35"/>
      <c r="EZ793" s="558"/>
      <c r="FA793" s="35"/>
      <c r="FB793" s="36"/>
      <c r="FC793" s="35"/>
      <c r="FD793" s="36"/>
      <c r="FE793" s="38"/>
      <c r="FF793" s="37"/>
      <c r="FG793" s="38"/>
      <c r="FH793" s="35"/>
      <c r="FI793" s="38"/>
      <c r="FJ793" s="35"/>
      <c r="FK793" s="38"/>
      <c r="FL793" s="35"/>
      <c r="FM793" s="38"/>
      <c r="FN793" s="35"/>
      <c r="FO793" s="38"/>
      <c r="FP793" s="35"/>
      <c r="FQ793" s="38"/>
      <c r="FR793" s="35"/>
      <c r="FS793" s="515"/>
      <c r="FT793" s="35"/>
      <c r="FU793" s="515"/>
      <c r="FV793" s="35"/>
      <c r="FW793" s="515"/>
      <c r="FX793" s="35"/>
      <c r="FY793" s="515"/>
      <c r="FZ793" s="35"/>
      <c r="GA793" s="515"/>
      <c r="GB793" s="35"/>
      <c r="GC793" s="515"/>
      <c r="GD793" s="35"/>
      <c r="GE793" s="515"/>
      <c r="GF793" s="35"/>
      <c r="GG793" s="515"/>
      <c r="GH793" s="35"/>
      <c r="GI793" s="515"/>
      <c r="GJ793" s="35"/>
      <c r="GK793" s="515"/>
      <c r="GL793" s="35"/>
      <c r="GM793" s="515"/>
      <c r="GN793" s="35"/>
      <c r="GO793" s="515"/>
      <c r="GP793" s="35"/>
      <c r="GQ793" s="515"/>
      <c r="GR793" s="41">
        <v>2</v>
      </c>
      <c r="GS793" s="515"/>
      <c r="GT793" s="41">
        <v>2</v>
      </c>
      <c r="GU793" s="515"/>
      <c r="GV793" s="41">
        <v>2</v>
      </c>
      <c r="GW793" s="515"/>
      <c r="GX793" s="41">
        <v>2</v>
      </c>
      <c r="GY793" s="515"/>
      <c r="GZ793" s="47"/>
      <c r="HA793" s="47"/>
      <c r="HB793" s="457"/>
      <c r="HC793"/>
      <c r="HD793"/>
      <c r="HE793"/>
      <c r="HF793"/>
      <c r="HG793"/>
      <c r="HH793"/>
    </row>
    <row r="794" spans="1:216" s="6" customFormat="1" ht="12.75" hidden="1" customHeight="1" outlineLevel="1" x14ac:dyDescent="0.2">
      <c r="B794" s="25"/>
      <c r="C794" s="27"/>
      <c r="D794" s="30"/>
      <c r="E794" s="27"/>
      <c r="F794" s="28"/>
      <c r="G794" s="27"/>
      <c r="H794" s="28"/>
      <c r="I794" s="27"/>
      <c r="J794" s="28"/>
      <c r="K794" s="28"/>
      <c r="L794" s="30"/>
      <c r="M794" s="27"/>
      <c r="N794" s="30"/>
      <c r="O794" s="27"/>
      <c r="P794" s="30"/>
      <c r="Q794" s="27"/>
      <c r="R794" s="30"/>
      <c r="S794" s="28"/>
      <c r="T794" s="30"/>
      <c r="U794" s="27"/>
      <c r="V794" s="30"/>
      <c r="W794" s="27"/>
      <c r="X794" s="30"/>
      <c r="Y794" s="27"/>
      <c r="Z794" s="30"/>
      <c r="AA794" s="28"/>
      <c r="AB794" s="30"/>
      <c r="AC794" s="28"/>
      <c r="AD794" s="30"/>
      <c r="AE794" s="28"/>
      <c r="AF794" s="30"/>
      <c r="AG794" s="28"/>
      <c r="AH794" s="30"/>
      <c r="AI794" s="28"/>
      <c r="AJ794" s="30"/>
      <c r="AK794" s="28"/>
      <c r="AL794" s="30"/>
      <c r="AM794" s="28"/>
      <c r="AN794" s="30"/>
      <c r="AO794" s="28"/>
      <c r="AP794" s="30"/>
      <c r="AQ794" s="28"/>
      <c r="AR794" s="30"/>
      <c r="AS794" s="28"/>
      <c r="AT794" s="30"/>
      <c r="AU794" s="28"/>
      <c r="AV794" s="30"/>
      <c r="AW794" s="28"/>
      <c r="AX794" s="30"/>
      <c r="AY794" s="28"/>
      <c r="AZ794" s="30"/>
      <c r="BA794" s="28"/>
      <c r="BB794" s="30"/>
      <c r="BC794" s="28"/>
      <c r="BD794" s="30"/>
      <c r="BE794" s="28"/>
      <c r="BF794" s="30"/>
      <c r="BG794" s="28"/>
      <c r="BH794" s="30"/>
      <c r="BI794" s="28"/>
      <c r="BJ794" s="30"/>
      <c r="BK794" s="28"/>
      <c r="BL794" s="30"/>
      <c r="BM794" s="28"/>
      <c r="BN794" s="30"/>
      <c r="BO794" s="28"/>
      <c r="BP794" s="30"/>
      <c r="BQ794" s="28"/>
      <c r="BR794" s="30"/>
      <c r="BS794" s="28"/>
      <c r="BT794" s="30"/>
      <c r="BU794" s="28"/>
      <c r="BV794" s="30"/>
      <c r="BW794" s="28"/>
      <c r="BX794" s="30"/>
      <c r="BY794" s="28"/>
      <c r="BZ794" s="30"/>
      <c r="CA794" s="28"/>
      <c r="CB794" s="30"/>
      <c r="CC794" s="28"/>
      <c r="CD794" s="30"/>
      <c r="CE794" s="28"/>
      <c r="CF794" s="30"/>
      <c r="CG794" s="28"/>
      <c r="CH794" s="30"/>
      <c r="CI794" s="28"/>
      <c r="CJ794" s="30"/>
      <c r="CK794" s="28"/>
      <c r="CL794" s="30"/>
      <c r="CM794" s="28"/>
      <c r="CN794" s="30"/>
      <c r="CO794" s="28"/>
      <c r="CP794" s="30"/>
      <c r="CQ794" s="28"/>
      <c r="CR794" s="30"/>
      <c r="CS794" s="28"/>
      <c r="CT794" s="30"/>
      <c r="CU794" s="28"/>
      <c r="CV794" s="30"/>
      <c r="CW794" s="28"/>
      <c r="CX794" s="30"/>
      <c r="CY794" s="28"/>
      <c r="CZ794" s="30"/>
      <c r="DA794" s="28"/>
      <c r="DB794" s="30"/>
      <c r="DC794" s="28"/>
      <c r="DD794" s="30"/>
      <c r="DE794" s="28"/>
      <c r="DF794" s="30"/>
      <c r="DG794" s="28"/>
      <c r="DH794" s="30"/>
      <c r="DI794" s="28"/>
      <c r="DJ794" s="30"/>
      <c r="DK794" s="28"/>
      <c r="DL794" s="30"/>
      <c r="DM794" s="28"/>
      <c r="DN794" s="30"/>
      <c r="DO794" s="28"/>
      <c r="DP794" s="30"/>
      <c r="DQ794" s="28"/>
      <c r="DR794" s="30"/>
      <c r="DS794" s="28"/>
      <c r="DT794" s="30"/>
      <c r="DU794" s="28"/>
      <c r="DV794" s="30"/>
      <c r="DW794" s="28"/>
      <c r="DX794" s="30"/>
      <c r="DY794" s="28"/>
      <c r="DZ794" s="30"/>
      <c r="EA794" s="28"/>
      <c r="EB794" s="30"/>
      <c r="EC794" s="28"/>
      <c r="ED794" s="30"/>
      <c r="EE794" s="28"/>
      <c r="EF794" s="30"/>
      <c r="EG794" s="28"/>
      <c r="EH794" s="30"/>
      <c r="EI794" s="28"/>
      <c r="EJ794" s="30"/>
      <c r="EK794" s="28"/>
      <c r="EL794" s="30"/>
      <c r="EM794" s="28"/>
      <c r="EN794" s="30"/>
      <c r="EO794" s="28"/>
      <c r="EP794" s="30"/>
      <c r="EQ794" s="28"/>
      <c r="ER794" s="30"/>
      <c r="ES794" s="28"/>
      <c r="ET794" s="30"/>
      <c r="EU794" s="28"/>
      <c r="EV794" s="30"/>
      <c r="EW794" s="28"/>
      <c r="EX794" s="30"/>
      <c r="EY794" s="28"/>
      <c r="EZ794" s="558"/>
      <c r="FA794" s="28"/>
      <c r="FB794" s="31"/>
      <c r="FC794" s="28"/>
      <c r="FD794" s="31"/>
      <c r="FE794" s="30"/>
      <c r="FF794" s="32"/>
      <c r="FG794" s="30"/>
      <c r="FH794" s="33"/>
      <c r="FI794" s="30"/>
      <c r="FJ794" s="33"/>
      <c r="FK794" s="30"/>
      <c r="FL794" s="33"/>
      <c r="FM794" s="30"/>
      <c r="FN794" s="34"/>
      <c r="FO794" s="30"/>
      <c r="FP794" s="34"/>
      <c r="FQ794" s="30"/>
      <c r="FR794" s="28"/>
      <c r="FS794" s="30"/>
      <c r="FT794" s="28"/>
      <c r="FU794" s="30"/>
      <c r="FV794" s="28"/>
      <c r="FW794" s="30"/>
      <c r="FX794" s="28"/>
      <c r="FY794" s="30"/>
      <c r="FZ794" s="28"/>
      <c r="GA794" s="30"/>
      <c r="GB794" s="28"/>
      <c r="GC794" s="30"/>
      <c r="GD794" s="28"/>
      <c r="GE794" s="30"/>
      <c r="GF794" s="28"/>
      <c r="GG794" s="30"/>
      <c r="GH794" s="28"/>
      <c r="GI794" s="30"/>
      <c r="GJ794" s="28"/>
      <c r="GK794" s="30"/>
      <c r="GL794" s="28"/>
      <c r="GM794" s="30"/>
      <c r="GN794" s="28"/>
      <c r="GO794" s="30"/>
      <c r="GP794" s="28"/>
      <c r="GQ794" s="30"/>
      <c r="GR794" s="28"/>
      <c r="GS794" s="30"/>
      <c r="GT794" s="28"/>
      <c r="GU794" s="30"/>
      <c r="GV794" s="28"/>
      <c r="GW794" s="30"/>
      <c r="GX794" s="28"/>
      <c r="GY794" s="30"/>
      <c r="GZ794" s="30"/>
      <c r="HA794" s="30"/>
      <c r="HB794" s="455"/>
      <c r="HC794"/>
      <c r="HD794"/>
      <c r="HE794"/>
      <c r="HF794"/>
      <c r="HG794"/>
      <c r="HH794"/>
    </row>
    <row r="795" spans="1:216" s="5" customFormat="1" ht="12.75" hidden="1" customHeight="1" outlineLevel="1" x14ac:dyDescent="0.2">
      <c r="A795" s="6"/>
      <c r="B795" s="25"/>
      <c r="C795" s="27"/>
      <c r="D795" s="30"/>
      <c r="E795" s="27"/>
      <c r="F795" s="28"/>
      <c r="G795" s="27"/>
      <c r="H795" s="28"/>
      <c r="I795" s="27"/>
      <c r="J795" s="28"/>
      <c r="K795" s="28"/>
      <c r="L795" s="30"/>
      <c r="M795" s="27"/>
      <c r="N795" s="30"/>
      <c r="O795" s="27"/>
      <c r="P795" s="30"/>
      <c r="Q795" s="27"/>
      <c r="R795" s="30"/>
      <c r="S795" s="28"/>
      <c r="T795" s="30"/>
      <c r="U795" s="27"/>
      <c r="V795" s="30"/>
      <c r="W795" s="27"/>
      <c r="X795" s="30"/>
      <c r="Y795" s="27"/>
      <c r="Z795" s="30"/>
      <c r="AA795" s="28"/>
      <c r="AB795" s="30"/>
      <c r="AC795" s="28"/>
      <c r="AD795" s="30"/>
      <c r="AE795" s="28"/>
      <c r="AF795" s="30"/>
      <c r="AG795" s="28"/>
      <c r="AH795" s="30"/>
      <c r="AI795" s="28"/>
      <c r="AJ795" s="30"/>
      <c r="AK795" s="28"/>
      <c r="AL795" s="30"/>
      <c r="AM795" s="28"/>
      <c r="AN795" s="30"/>
      <c r="AO795" s="28"/>
      <c r="AP795" s="30"/>
      <c r="AQ795" s="28"/>
      <c r="AR795" s="30"/>
      <c r="AS795" s="28"/>
      <c r="AT795" s="30"/>
      <c r="AU795" s="28"/>
      <c r="AV795" s="30"/>
      <c r="AW795" s="28"/>
      <c r="AX795" s="30"/>
      <c r="AY795" s="28"/>
      <c r="AZ795" s="30"/>
      <c r="BA795" s="28"/>
      <c r="BB795" s="30"/>
      <c r="BC795" s="28"/>
      <c r="BD795" s="30"/>
      <c r="BE795" s="28"/>
      <c r="BF795" s="30"/>
      <c r="BG795" s="28"/>
      <c r="BH795" s="30"/>
      <c r="BI795" s="28"/>
      <c r="BJ795" s="30"/>
      <c r="BK795" s="28"/>
      <c r="BL795" s="30"/>
      <c r="BM795" s="28"/>
      <c r="BN795" s="30"/>
      <c r="BO795" s="28"/>
      <c r="BP795" s="30"/>
      <c r="BQ795" s="28"/>
      <c r="BR795" s="30"/>
      <c r="BS795" s="28"/>
      <c r="BT795" s="30"/>
      <c r="BU795" s="28"/>
      <c r="BV795" s="30"/>
      <c r="BW795" s="28"/>
      <c r="BX795" s="30"/>
      <c r="BY795" s="28"/>
      <c r="BZ795" s="30"/>
      <c r="CA795" s="28"/>
      <c r="CB795" s="30"/>
      <c r="CC795" s="28"/>
      <c r="CD795" s="30"/>
      <c r="CE795" s="28"/>
      <c r="CF795" s="30"/>
      <c r="CG795" s="28"/>
      <c r="CH795" s="30"/>
      <c r="CI795" s="28"/>
      <c r="CJ795" s="30"/>
      <c r="CK795" s="28"/>
      <c r="CL795" s="30"/>
      <c r="CM795" s="28"/>
      <c r="CN795" s="30"/>
      <c r="CO795" s="28"/>
      <c r="CP795" s="30"/>
      <c r="CQ795" s="28"/>
      <c r="CR795" s="30"/>
      <c r="CS795" s="28"/>
      <c r="CT795" s="30"/>
      <c r="CU795" s="28"/>
      <c r="CV795" s="30"/>
      <c r="CW795" s="28"/>
      <c r="CX795" s="30"/>
      <c r="CY795" s="28"/>
      <c r="CZ795" s="30"/>
      <c r="DA795" s="28"/>
      <c r="DB795" s="30"/>
      <c r="DC795" s="28"/>
      <c r="DD795" s="30"/>
      <c r="DE795" s="28"/>
      <c r="DF795" s="30"/>
      <c r="DG795" s="28"/>
      <c r="DH795" s="30"/>
      <c r="DI795" s="28"/>
      <c r="DJ795" s="30"/>
      <c r="DK795" s="28"/>
      <c r="DL795" s="30"/>
      <c r="DM795" s="28"/>
      <c r="DN795" s="30"/>
      <c r="DO795" s="28"/>
      <c r="DP795" s="30"/>
      <c r="DQ795" s="28"/>
      <c r="DR795" s="30"/>
      <c r="DS795" s="28"/>
      <c r="DT795" s="30"/>
      <c r="DU795" s="28"/>
      <c r="DV795" s="30"/>
      <c r="DW795" s="28"/>
      <c r="DX795" s="30"/>
      <c r="DY795" s="28"/>
      <c r="DZ795" s="30"/>
      <c r="EA795" s="28"/>
      <c r="EB795" s="30"/>
      <c r="EC795" s="28"/>
      <c r="ED795" s="30"/>
      <c r="EE795" s="28"/>
      <c r="EF795" s="30"/>
      <c r="EG795" s="28"/>
      <c r="EH795" s="30"/>
      <c r="EI795" s="28"/>
      <c r="EJ795" s="30"/>
      <c r="EK795" s="28"/>
      <c r="EL795" s="30"/>
      <c r="EM795" s="28"/>
      <c r="EN795" s="30"/>
      <c r="EO795" s="28"/>
      <c r="EP795" s="30"/>
      <c r="EQ795" s="28"/>
      <c r="ER795" s="30"/>
      <c r="ES795" s="28"/>
      <c r="ET795" s="30"/>
      <c r="EU795" s="28"/>
      <c r="EV795" s="30"/>
      <c r="EW795" s="28"/>
      <c r="EX795" s="30"/>
      <c r="EY795" s="28"/>
      <c r="EZ795" s="558"/>
      <c r="FA795" s="28"/>
      <c r="FB795" s="31"/>
      <c r="FC795" s="28"/>
      <c r="FD795" s="31"/>
      <c r="FE795" s="30"/>
      <c r="FF795" s="32"/>
      <c r="FG795" s="30"/>
      <c r="FH795" s="33"/>
      <c r="FI795" s="30"/>
      <c r="FJ795" s="33"/>
      <c r="FK795" s="30"/>
      <c r="FL795" s="33"/>
      <c r="FM795" s="30"/>
      <c r="FN795" s="34"/>
      <c r="FO795" s="30"/>
      <c r="FP795" s="34"/>
      <c r="FQ795" s="30"/>
      <c r="FR795" s="28"/>
      <c r="FS795" s="30"/>
      <c r="FT795" s="28"/>
      <c r="FU795" s="30"/>
      <c r="FV795" s="28"/>
      <c r="FW795" s="30"/>
      <c r="FX795" s="28"/>
      <c r="FY795" s="30"/>
      <c r="FZ795" s="28"/>
      <c r="GA795" s="30"/>
      <c r="GB795" s="28"/>
      <c r="GC795" s="30"/>
      <c r="GD795" s="28"/>
      <c r="GE795" s="30"/>
      <c r="GF795" s="28"/>
      <c r="GG795" s="30"/>
      <c r="GH795" s="28"/>
      <c r="GI795" s="30"/>
      <c r="GJ795" s="28"/>
      <c r="GK795" s="30"/>
      <c r="GL795" s="28"/>
      <c r="GM795" s="30"/>
      <c r="GN795" s="28"/>
      <c r="GO795" s="30"/>
      <c r="GP795" s="28"/>
      <c r="GQ795" s="30"/>
      <c r="GR795" s="28"/>
      <c r="GS795" s="30"/>
      <c r="GT795" s="28"/>
      <c r="GU795" s="30"/>
      <c r="GV795" s="28"/>
      <c r="GW795" s="30"/>
      <c r="GX795" s="28"/>
      <c r="GY795" s="30"/>
      <c r="GZ795" s="30"/>
      <c r="HA795" s="30"/>
      <c r="HB795" s="455"/>
      <c r="HC795"/>
      <c r="HD795"/>
      <c r="HE795"/>
      <c r="HF795"/>
      <c r="HG795"/>
      <c r="HH795"/>
    </row>
    <row r="796" spans="1:216" s="5" customFormat="1" ht="12.75" hidden="1" customHeight="1" outlineLevel="1" x14ac:dyDescent="0.2">
      <c r="A796" s="6"/>
      <c r="B796" s="29" t="s">
        <v>551</v>
      </c>
      <c r="C796" s="27"/>
      <c r="D796" s="30"/>
      <c r="E796" s="27"/>
      <c r="F796" s="28"/>
      <c r="G796" s="27"/>
      <c r="H796" s="28"/>
      <c r="I796" s="27"/>
      <c r="J796" s="28"/>
      <c r="K796" s="28"/>
      <c r="L796" s="30"/>
      <c r="M796" s="27"/>
      <c r="N796" s="30"/>
      <c r="O796" s="27"/>
      <c r="P796" s="30"/>
      <c r="Q796" s="27"/>
      <c r="R796" s="30"/>
      <c r="S796" s="28"/>
      <c r="T796" s="30"/>
      <c r="U796" s="27"/>
      <c r="V796" s="30"/>
      <c r="W796" s="27"/>
      <c r="X796" s="30"/>
      <c r="Y796" s="27"/>
      <c r="Z796" s="30"/>
      <c r="AA796" s="28"/>
      <c r="AB796" s="30"/>
      <c r="AC796" s="28"/>
      <c r="AD796" s="30"/>
      <c r="AE796" s="28"/>
      <c r="AF796" s="30"/>
      <c r="AG796" s="28"/>
      <c r="AH796" s="30"/>
      <c r="AI796" s="28"/>
      <c r="AJ796" s="30"/>
      <c r="AK796" s="28"/>
      <c r="AL796" s="30"/>
      <c r="AM796" s="28"/>
      <c r="AN796" s="30"/>
      <c r="AO796" s="28"/>
      <c r="AP796" s="30"/>
      <c r="AQ796" s="28"/>
      <c r="AR796" s="30"/>
      <c r="AS796" s="28"/>
      <c r="AT796" s="30"/>
      <c r="AU796" s="28"/>
      <c r="AV796" s="30"/>
      <c r="AW796" s="28"/>
      <c r="AX796" s="30"/>
      <c r="AY796" s="28"/>
      <c r="AZ796" s="30"/>
      <c r="BA796" s="28"/>
      <c r="BB796" s="30"/>
      <c r="BC796" s="28"/>
      <c r="BD796" s="30"/>
      <c r="BE796" s="28"/>
      <c r="BF796" s="30"/>
      <c r="BG796" s="28"/>
      <c r="BH796" s="30"/>
      <c r="BI796" s="28"/>
      <c r="BJ796" s="30"/>
      <c r="BK796" s="28"/>
      <c r="BL796" s="30"/>
      <c r="BM796" s="28"/>
      <c r="BN796" s="30"/>
      <c r="BO796" s="28"/>
      <c r="BP796" s="30"/>
      <c r="BQ796" s="28"/>
      <c r="BR796" s="30"/>
      <c r="BS796" s="28"/>
      <c r="BT796" s="30"/>
      <c r="BU796" s="28"/>
      <c r="BV796" s="30"/>
      <c r="BW796" s="28"/>
      <c r="BX796" s="30"/>
      <c r="BY796" s="28"/>
      <c r="BZ796" s="30"/>
      <c r="CA796" s="28"/>
      <c r="CB796" s="30"/>
      <c r="CC796" s="28"/>
      <c r="CD796" s="30"/>
      <c r="CE796" s="28"/>
      <c r="CF796" s="30"/>
      <c r="CG796" s="28"/>
      <c r="CH796" s="30"/>
      <c r="CI796" s="28"/>
      <c r="CJ796" s="30"/>
      <c r="CK796" s="28"/>
      <c r="CL796" s="30"/>
      <c r="CM796" s="28"/>
      <c r="CN796" s="30"/>
      <c r="CO796" s="28"/>
      <c r="CP796" s="30"/>
      <c r="CQ796" s="28"/>
      <c r="CR796" s="30"/>
      <c r="CS796" s="28"/>
      <c r="CT796" s="30"/>
      <c r="CU796" s="28"/>
      <c r="CV796" s="30"/>
      <c r="CW796" s="28"/>
      <c r="CX796" s="30"/>
      <c r="CY796" s="28"/>
      <c r="CZ796" s="30"/>
      <c r="DA796" s="28"/>
      <c r="DB796" s="30"/>
      <c r="DC796" s="28"/>
      <c r="DD796" s="30"/>
      <c r="DE796" s="28"/>
      <c r="DF796" s="30"/>
      <c r="DG796" s="28"/>
      <c r="DH796" s="30"/>
      <c r="DI796" s="28"/>
      <c r="DJ796" s="30"/>
      <c r="DK796" s="28"/>
      <c r="DL796" s="30"/>
      <c r="DM796" s="28"/>
      <c r="DN796" s="30"/>
      <c r="DO796" s="28"/>
      <c r="DP796" s="30"/>
      <c r="DQ796" s="28"/>
      <c r="DR796" s="30"/>
      <c r="DS796" s="28"/>
      <c r="DT796" s="30"/>
      <c r="DU796" s="28"/>
      <c r="DV796" s="30"/>
      <c r="DW796" s="28"/>
      <c r="DX796" s="30"/>
      <c r="DY796" s="28"/>
      <c r="DZ796" s="30"/>
      <c r="EA796" s="28"/>
      <c r="EB796" s="30"/>
      <c r="EC796" s="28"/>
      <c r="ED796" s="30"/>
      <c r="EE796" s="28"/>
      <c r="EF796" s="30"/>
      <c r="EG796" s="28"/>
      <c r="EH796" s="30"/>
      <c r="EI796" s="28"/>
      <c r="EJ796" s="30"/>
      <c r="EK796" s="28"/>
      <c r="EL796" s="30"/>
      <c r="EM796" s="28"/>
      <c r="EN796" s="30"/>
      <c r="EO796" s="28"/>
      <c r="EP796" s="30"/>
      <c r="EQ796" s="28"/>
      <c r="ER796" s="30"/>
      <c r="ES796" s="28"/>
      <c r="ET796" s="30"/>
      <c r="EU796" s="28"/>
      <c r="EV796" s="30"/>
      <c r="EW796" s="28"/>
      <c r="EX796" s="30"/>
      <c r="EY796" s="28"/>
      <c r="EZ796" s="558"/>
      <c r="FA796" s="28"/>
      <c r="FB796" s="31"/>
      <c r="FC796" s="28"/>
      <c r="FD796" s="31"/>
      <c r="FE796" s="30"/>
      <c r="FF796" s="32"/>
      <c r="FG796" s="30"/>
      <c r="FH796" s="33"/>
      <c r="FI796" s="30"/>
      <c r="FJ796" s="33"/>
      <c r="FK796" s="30"/>
      <c r="FL796" s="33"/>
      <c r="FM796" s="30"/>
      <c r="FN796" s="34"/>
      <c r="FO796" s="30"/>
      <c r="FP796" s="34"/>
      <c r="FQ796" s="30"/>
      <c r="FR796" s="28"/>
      <c r="FS796" s="30"/>
      <c r="FT796" s="28"/>
      <c r="FU796" s="30"/>
      <c r="FV796" s="28"/>
      <c r="FW796" s="30"/>
      <c r="FX796" s="28"/>
      <c r="FY796" s="30"/>
      <c r="FZ796" s="28"/>
      <c r="GA796" s="30"/>
      <c r="GB796" s="28"/>
      <c r="GC796" s="30"/>
      <c r="GD796" s="28"/>
      <c r="GE796" s="30"/>
      <c r="GF796" s="28"/>
      <c r="GG796" s="30"/>
      <c r="GH796" s="28"/>
      <c r="GI796" s="30"/>
      <c r="GJ796" s="28"/>
      <c r="GK796" s="30"/>
      <c r="GL796" s="28"/>
      <c r="GM796" s="30"/>
      <c r="GN796" s="28"/>
      <c r="GO796" s="30"/>
      <c r="GP796" s="28"/>
      <c r="GQ796" s="30"/>
      <c r="GR796" s="28"/>
      <c r="GS796" s="30"/>
      <c r="GT796" s="28"/>
      <c r="GU796" s="30"/>
      <c r="GV796" s="28"/>
      <c r="GW796" s="30"/>
      <c r="GX796" s="28"/>
      <c r="GY796" s="30"/>
      <c r="GZ796" s="30"/>
      <c r="HA796" s="30"/>
      <c r="HB796" s="455"/>
      <c r="HC796"/>
      <c r="HD796"/>
      <c r="HE796"/>
      <c r="HF796"/>
      <c r="HG796"/>
      <c r="HH796"/>
    </row>
    <row r="797" spans="1:216" s="5" customFormat="1" ht="12.75" hidden="1" customHeight="1" outlineLevel="1" x14ac:dyDescent="0.2">
      <c r="A797" s="6"/>
      <c r="B797" s="25" t="s">
        <v>27</v>
      </c>
      <c r="C797" s="27"/>
      <c r="D797" s="30"/>
      <c r="E797" s="27"/>
      <c r="F797" s="28"/>
      <c r="G797" s="27"/>
      <c r="H797" s="28"/>
      <c r="I797" s="27"/>
      <c r="J797" s="28"/>
      <c r="K797" s="28"/>
      <c r="L797" s="30"/>
      <c r="M797" s="27"/>
      <c r="N797" s="30"/>
      <c r="O797" s="27"/>
      <c r="P797" s="30"/>
      <c r="Q797" s="27"/>
      <c r="R797" s="30"/>
      <c r="S797" s="28"/>
      <c r="T797" s="30"/>
      <c r="U797" s="27"/>
      <c r="V797" s="30"/>
      <c r="W797" s="27"/>
      <c r="X797" s="30"/>
      <c r="Y797" s="27"/>
      <c r="Z797" s="30"/>
      <c r="AA797" s="28"/>
      <c r="AB797" s="30"/>
      <c r="AC797" s="28"/>
      <c r="AD797" s="30"/>
      <c r="AE797" s="28"/>
      <c r="AF797" s="30"/>
      <c r="AG797" s="28"/>
      <c r="AH797" s="30"/>
      <c r="AI797" s="28"/>
      <c r="AJ797" s="30"/>
      <c r="AK797" s="28"/>
      <c r="AL797" s="30"/>
      <c r="AM797" s="28"/>
      <c r="AN797" s="30"/>
      <c r="AO797" s="28"/>
      <c r="AP797" s="30"/>
      <c r="AQ797" s="28"/>
      <c r="AR797" s="30"/>
      <c r="AS797" s="28"/>
      <c r="AT797" s="30"/>
      <c r="AU797" s="28"/>
      <c r="AV797" s="30"/>
      <c r="AW797" s="28"/>
      <c r="AX797" s="30"/>
      <c r="AY797" s="28"/>
      <c r="AZ797" s="30"/>
      <c r="BA797" s="28"/>
      <c r="BB797" s="30"/>
      <c r="BC797" s="28"/>
      <c r="BD797" s="30"/>
      <c r="BE797" s="28"/>
      <c r="BF797" s="30"/>
      <c r="BG797" s="28"/>
      <c r="BH797" s="47"/>
      <c r="BI797" s="28"/>
      <c r="BJ797" s="47"/>
      <c r="BK797" s="28"/>
      <c r="BL797" s="47"/>
      <c r="BM797" s="28"/>
      <c r="BN797" s="47"/>
      <c r="BO797" s="28"/>
      <c r="BP797" s="47"/>
      <c r="BQ797" s="28"/>
      <c r="BR797" s="47"/>
      <c r="BS797" s="28"/>
      <c r="BT797" s="47"/>
      <c r="BU797" s="28"/>
      <c r="BV797" s="47"/>
      <c r="BW797" s="28"/>
      <c r="BX797" s="427"/>
      <c r="BY797" s="28"/>
      <c r="BZ797" s="427"/>
      <c r="CA797" s="28"/>
      <c r="CB797" s="427"/>
      <c r="CC797" s="28"/>
      <c r="CD797" s="427"/>
      <c r="CE797" s="28"/>
      <c r="CF797" s="427"/>
      <c r="CG797" s="28"/>
      <c r="CH797" s="427"/>
      <c r="CI797" s="28"/>
      <c r="CJ797" s="427"/>
      <c r="CK797" s="28"/>
      <c r="CL797" s="436"/>
      <c r="CM797" s="28"/>
      <c r="CN797" s="436"/>
      <c r="CO797" s="28"/>
      <c r="CP797" s="436"/>
      <c r="CQ797" s="28"/>
      <c r="CR797" s="436"/>
      <c r="CS797" s="28"/>
      <c r="CT797" s="427"/>
      <c r="CU797" s="28"/>
      <c r="CV797" s="427"/>
      <c r="CW797" s="28"/>
      <c r="CX797" s="427"/>
      <c r="CY797" s="28"/>
      <c r="CZ797" s="427"/>
      <c r="DA797" s="28"/>
      <c r="DB797" s="427"/>
      <c r="DC797" s="28"/>
      <c r="DD797" s="427"/>
      <c r="DE797" s="28"/>
      <c r="DF797" s="427"/>
      <c r="DG797" s="28"/>
      <c r="DH797" s="427"/>
      <c r="DI797" s="28"/>
      <c r="DJ797" s="427"/>
      <c r="DK797" s="28"/>
      <c r="DL797" s="427"/>
      <c r="DM797" s="28"/>
      <c r="DN797" s="427"/>
      <c r="DO797" s="28"/>
      <c r="DP797" s="427"/>
      <c r="DQ797" s="28"/>
      <c r="DR797" s="427"/>
      <c r="DS797" s="28"/>
      <c r="DT797" s="427"/>
      <c r="DU797" s="28"/>
      <c r="DV797" s="427"/>
      <c r="DW797" s="28"/>
      <c r="DX797" s="427"/>
      <c r="DY797" s="435">
        <v>1.05</v>
      </c>
      <c r="DZ797" s="427"/>
      <c r="EA797" s="435">
        <v>1.05</v>
      </c>
      <c r="EB797" s="427"/>
      <c r="EC797" s="435">
        <v>1.05</v>
      </c>
      <c r="ED797" s="427"/>
      <c r="EE797" s="435">
        <v>1.05</v>
      </c>
      <c r="EF797" s="427"/>
      <c r="EG797" s="435">
        <v>1.05</v>
      </c>
      <c r="EH797" s="427"/>
      <c r="EI797" s="435">
        <v>1.05</v>
      </c>
      <c r="EJ797" s="427"/>
      <c r="EK797" s="435">
        <v>1.05</v>
      </c>
      <c r="EL797" s="427"/>
      <c r="EM797" s="435">
        <v>1.05</v>
      </c>
      <c r="EN797" s="427"/>
      <c r="EO797" s="435">
        <v>1.05</v>
      </c>
      <c r="EP797" s="427"/>
      <c r="EQ797" s="435">
        <v>1.05</v>
      </c>
      <c r="ER797" s="427"/>
      <c r="ES797" s="435">
        <v>1.05</v>
      </c>
      <c r="ET797" s="427"/>
      <c r="EU797" s="435">
        <v>1.05</v>
      </c>
      <c r="EV797" s="427"/>
      <c r="EW797" s="435">
        <v>1.05</v>
      </c>
      <c r="EX797" s="427"/>
      <c r="EY797" s="28"/>
      <c r="EZ797" s="558"/>
      <c r="FA797" s="28"/>
      <c r="FB797" s="31"/>
      <c r="FC797" s="28"/>
      <c r="FD797" s="31"/>
      <c r="FE797" s="30"/>
      <c r="FF797" s="32"/>
      <c r="FG797" s="30"/>
      <c r="FH797" s="33"/>
      <c r="FI797" s="30"/>
      <c r="FJ797" s="33"/>
      <c r="FK797" s="30"/>
      <c r="FL797" s="33"/>
      <c r="FM797" s="30"/>
      <c r="FN797" s="34"/>
      <c r="FO797" s="30"/>
      <c r="FP797" s="34"/>
      <c r="FQ797" s="30"/>
      <c r="FR797" s="28"/>
      <c r="FS797" s="47"/>
      <c r="FT797" s="46"/>
      <c r="FU797" s="47"/>
      <c r="FV797" s="46"/>
      <c r="FW797" s="47"/>
      <c r="FX797" s="46"/>
      <c r="FY797" s="47"/>
      <c r="FZ797" s="46"/>
      <c r="GA797" s="47"/>
      <c r="GB797" s="46"/>
      <c r="GC797" s="47"/>
      <c r="GD797" s="46"/>
      <c r="GE797" s="47"/>
      <c r="GF797" s="46"/>
      <c r="GG797" s="47"/>
      <c r="GH797" s="46"/>
      <c r="GI797" s="47"/>
      <c r="GJ797" s="46"/>
      <c r="GK797" s="47"/>
      <c r="GL797" s="46"/>
      <c r="GM797" s="47"/>
      <c r="GN797" s="46"/>
      <c r="GO797" s="47"/>
      <c r="GP797" s="46"/>
      <c r="GQ797" s="47"/>
      <c r="GR797" s="433">
        <v>7.35</v>
      </c>
      <c r="GS797" s="47"/>
      <c r="GT797" s="433">
        <v>7.35</v>
      </c>
      <c r="GU797" s="47"/>
      <c r="GV797" s="433">
        <v>7.35</v>
      </c>
      <c r="GW797" s="47"/>
      <c r="GX797" s="433">
        <v>7.35</v>
      </c>
      <c r="GY797" s="47"/>
      <c r="GZ797" s="30"/>
      <c r="HA797" s="30"/>
      <c r="HB797" s="455"/>
      <c r="HC797"/>
      <c r="HD797"/>
      <c r="HE797"/>
      <c r="HF797"/>
      <c r="HG797"/>
      <c r="HH797"/>
    </row>
    <row r="798" spans="1:216" s="5" customFormat="1" ht="12.75" hidden="1" customHeight="1" outlineLevel="1" x14ac:dyDescent="0.2">
      <c r="A798" s="6"/>
      <c r="B798" s="25" t="s">
        <v>28</v>
      </c>
      <c r="C798" s="27"/>
      <c r="D798" s="30"/>
      <c r="E798" s="27"/>
      <c r="F798" s="28"/>
      <c r="G798" s="27"/>
      <c r="H798" s="28"/>
      <c r="I798" s="27"/>
      <c r="J798" s="28"/>
      <c r="K798" s="28"/>
      <c r="L798" s="30"/>
      <c r="M798" s="27"/>
      <c r="N798" s="30"/>
      <c r="O798" s="27"/>
      <c r="P798" s="30"/>
      <c r="Q798" s="27"/>
      <c r="R798" s="30"/>
      <c r="S798" s="28"/>
      <c r="T798" s="30"/>
      <c r="U798" s="27"/>
      <c r="V798" s="30"/>
      <c r="W798" s="27"/>
      <c r="X798" s="30"/>
      <c r="Y798" s="27"/>
      <c r="Z798" s="30"/>
      <c r="AA798" s="28"/>
      <c r="AB798" s="30"/>
      <c r="AC798" s="28"/>
      <c r="AD798" s="30"/>
      <c r="AE798" s="28"/>
      <c r="AF798" s="30"/>
      <c r="AG798" s="28"/>
      <c r="AH798" s="30"/>
      <c r="AI798" s="28"/>
      <c r="AJ798" s="30"/>
      <c r="AK798" s="28"/>
      <c r="AL798" s="30"/>
      <c r="AM798" s="28"/>
      <c r="AN798" s="30"/>
      <c r="AO798" s="28"/>
      <c r="AP798" s="30"/>
      <c r="AQ798" s="28"/>
      <c r="AR798" s="30"/>
      <c r="AS798" s="28"/>
      <c r="AT798" s="30"/>
      <c r="AU798" s="28"/>
      <c r="AV798" s="30"/>
      <c r="AW798" s="28"/>
      <c r="AX798" s="30"/>
      <c r="AY798" s="28"/>
      <c r="AZ798" s="30"/>
      <c r="BA798" s="28"/>
      <c r="BB798" s="30"/>
      <c r="BC798" s="28"/>
      <c r="BD798" s="30"/>
      <c r="BE798" s="28"/>
      <c r="BF798" s="30"/>
      <c r="BG798" s="28"/>
      <c r="BH798" s="47"/>
      <c r="BI798" s="28"/>
      <c r="BJ798" s="47"/>
      <c r="BK798" s="28"/>
      <c r="BL798" s="47"/>
      <c r="BM798" s="28"/>
      <c r="BN798" s="47"/>
      <c r="BO798" s="28"/>
      <c r="BP798" s="47"/>
      <c r="BQ798" s="28"/>
      <c r="BR798" s="47"/>
      <c r="BS798" s="28"/>
      <c r="BT798" s="47"/>
      <c r="BU798" s="28"/>
      <c r="BV798" s="47"/>
      <c r="BW798" s="28"/>
      <c r="BX798" s="427"/>
      <c r="BY798" s="28"/>
      <c r="BZ798" s="427"/>
      <c r="CA798" s="28"/>
      <c r="CB798" s="427"/>
      <c r="CC798" s="28"/>
      <c r="CD798" s="427"/>
      <c r="CE798" s="28"/>
      <c r="CF798" s="427"/>
      <c r="CG798" s="28"/>
      <c r="CH798" s="427"/>
      <c r="CI798" s="28"/>
      <c r="CJ798" s="427"/>
      <c r="CK798" s="28"/>
      <c r="CL798" s="436"/>
      <c r="CM798" s="28"/>
      <c r="CN798" s="436"/>
      <c r="CO798" s="28"/>
      <c r="CP798" s="436"/>
      <c r="CQ798" s="28"/>
      <c r="CR798" s="436"/>
      <c r="CS798" s="28"/>
      <c r="CT798" s="427"/>
      <c r="CU798" s="28"/>
      <c r="CV798" s="427"/>
      <c r="CW798" s="28"/>
      <c r="CX798" s="427"/>
      <c r="CY798" s="28"/>
      <c r="CZ798" s="427"/>
      <c r="DA798" s="28"/>
      <c r="DB798" s="427"/>
      <c r="DC798" s="28"/>
      <c r="DD798" s="427"/>
      <c r="DE798" s="28"/>
      <c r="DF798" s="427"/>
      <c r="DG798" s="28"/>
      <c r="DH798" s="427"/>
      <c r="DI798" s="28"/>
      <c r="DJ798" s="427"/>
      <c r="DK798" s="28"/>
      <c r="DL798" s="427"/>
      <c r="DM798" s="28"/>
      <c r="DN798" s="427"/>
      <c r="DO798" s="28"/>
      <c r="DP798" s="427"/>
      <c r="DQ798" s="28"/>
      <c r="DR798" s="427"/>
      <c r="DS798" s="28"/>
      <c r="DT798" s="427"/>
      <c r="DU798" s="28"/>
      <c r="DV798" s="427"/>
      <c r="DW798" s="28"/>
      <c r="DX798" s="427"/>
      <c r="DY798" s="48">
        <v>0.83</v>
      </c>
      <c r="DZ798" s="427"/>
      <c r="EA798" s="48">
        <v>0.83</v>
      </c>
      <c r="EB798" s="427"/>
      <c r="EC798" s="48">
        <v>0.83</v>
      </c>
      <c r="ED798" s="427"/>
      <c r="EE798" s="48">
        <v>0.83</v>
      </c>
      <c r="EF798" s="427"/>
      <c r="EG798" s="48">
        <v>0.83</v>
      </c>
      <c r="EH798" s="427"/>
      <c r="EI798" s="48">
        <v>0.83</v>
      </c>
      <c r="EJ798" s="427"/>
      <c r="EK798" s="48">
        <v>0.83</v>
      </c>
      <c r="EL798" s="427"/>
      <c r="EM798" s="48">
        <v>0.83</v>
      </c>
      <c r="EN798" s="427"/>
      <c r="EO798" s="48">
        <v>0.83</v>
      </c>
      <c r="EP798" s="427"/>
      <c r="EQ798" s="48">
        <v>0.83</v>
      </c>
      <c r="ER798" s="427"/>
      <c r="ES798" s="48">
        <v>0.83</v>
      </c>
      <c r="ET798" s="427"/>
      <c r="EU798" s="48">
        <v>0.83</v>
      </c>
      <c r="EV798" s="427"/>
      <c r="EW798" s="48">
        <v>0.83</v>
      </c>
      <c r="EX798" s="427"/>
      <c r="EY798" s="28"/>
      <c r="EZ798" s="558"/>
      <c r="FA798" s="28"/>
      <c r="FB798" s="31"/>
      <c r="FC798" s="28"/>
      <c r="FD798" s="31"/>
      <c r="FE798" s="30"/>
      <c r="FF798" s="32"/>
      <c r="FG798" s="30"/>
      <c r="FH798" s="33"/>
      <c r="FI798" s="30"/>
      <c r="FJ798" s="33"/>
      <c r="FK798" s="30"/>
      <c r="FL798" s="33"/>
      <c r="FM798" s="30"/>
      <c r="FN798" s="34"/>
      <c r="FO798" s="30"/>
      <c r="FP798" s="34"/>
      <c r="FQ798" s="30"/>
      <c r="FR798" s="28"/>
      <c r="FS798" s="47"/>
      <c r="FT798" s="46"/>
      <c r="FU798" s="47"/>
      <c r="FV798" s="46"/>
      <c r="FW798" s="47"/>
      <c r="FX798" s="46"/>
      <c r="FY798" s="47"/>
      <c r="FZ798" s="46"/>
      <c r="GA798" s="47"/>
      <c r="GB798" s="46"/>
      <c r="GC798" s="47"/>
      <c r="GD798" s="46"/>
      <c r="GE798" s="47"/>
      <c r="GF798" s="46"/>
      <c r="GG798" s="47"/>
      <c r="GH798" s="46"/>
      <c r="GI798" s="47"/>
      <c r="GJ798" s="46"/>
      <c r="GK798" s="47"/>
      <c r="GL798" s="46"/>
      <c r="GM798" s="47"/>
      <c r="GN798" s="46"/>
      <c r="GO798" s="47"/>
      <c r="GP798" s="46"/>
      <c r="GQ798" s="47"/>
      <c r="GR798" s="434">
        <v>4.25</v>
      </c>
      <c r="GS798" s="47"/>
      <c r="GT798" s="434">
        <v>4.25</v>
      </c>
      <c r="GU798" s="47"/>
      <c r="GV798" s="434">
        <v>4.25</v>
      </c>
      <c r="GW798" s="47"/>
      <c r="GX798" s="434">
        <v>4.25</v>
      </c>
      <c r="GY798" s="47"/>
      <c r="GZ798" s="30"/>
      <c r="HA798" s="30"/>
      <c r="HB798" s="455"/>
      <c r="HC798"/>
      <c r="HD798"/>
      <c r="HE798"/>
      <c r="HF798"/>
      <c r="HG798"/>
      <c r="HH798"/>
    </row>
    <row r="799" spans="1:216" s="5" customFormat="1" ht="12.75" hidden="1" customHeight="1" outlineLevel="1" x14ac:dyDescent="0.2">
      <c r="A799" s="6"/>
      <c r="B799" s="25" t="s">
        <v>29</v>
      </c>
      <c r="C799" s="50"/>
      <c r="D799" s="50"/>
      <c r="E799" s="50"/>
      <c r="F799" s="28"/>
      <c r="G799" s="50"/>
      <c r="H799" s="28"/>
      <c r="I799" s="50"/>
      <c r="J799" s="28"/>
      <c r="K799" s="50"/>
      <c r="L799" s="30"/>
      <c r="M799" s="50"/>
      <c r="N799" s="30"/>
      <c r="O799" s="50"/>
      <c r="P799" s="30"/>
      <c r="Q799" s="50"/>
      <c r="R799" s="30"/>
      <c r="S799" s="50"/>
      <c r="T799" s="30"/>
      <c r="U799" s="50"/>
      <c r="V799" s="30"/>
      <c r="W799" s="50"/>
      <c r="X799" s="30"/>
      <c r="Y799" s="50"/>
      <c r="Z799" s="30"/>
      <c r="AA799" s="50"/>
      <c r="AB799" s="30"/>
      <c r="AC799" s="50"/>
      <c r="AD799" s="30"/>
      <c r="AE799" s="50"/>
      <c r="AF799" s="30"/>
      <c r="AG799" s="50"/>
      <c r="AH799" s="30"/>
      <c r="AI799" s="50"/>
      <c r="AJ799" s="30"/>
      <c r="AK799" s="50"/>
      <c r="AL799" s="30"/>
      <c r="AM799" s="50"/>
      <c r="AN799" s="30"/>
      <c r="AO799" s="50"/>
      <c r="AP799" s="30"/>
      <c r="AQ799" s="50"/>
      <c r="AR799" s="30"/>
      <c r="AS799" s="50"/>
      <c r="AT799" s="30"/>
      <c r="AU799" s="50"/>
      <c r="AV799" s="30"/>
      <c r="AW799" s="50"/>
      <c r="AX799" s="30"/>
      <c r="AY799" s="50">
        <f>AY614</f>
        <v>1.3881956155143336</v>
      </c>
      <c r="AZ799" s="30"/>
      <c r="BA799" s="50">
        <f>BA614</f>
        <v>1.1445859872611464</v>
      </c>
      <c r="BB799" s="30"/>
      <c r="BC799" s="50">
        <f>BC614</f>
        <v>1.2668555240793204</v>
      </c>
      <c r="BD799" s="30"/>
      <c r="BE799" s="50">
        <f>BE614</f>
        <v>1.2855206847360912</v>
      </c>
      <c r="BF799" s="30"/>
      <c r="BG799" s="50">
        <f>BG614</f>
        <v>1.2143112701252239</v>
      </c>
      <c r="BH799" s="505"/>
      <c r="BI799" s="50">
        <f>BI614</f>
        <v>1.2776967930029157</v>
      </c>
      <c r="BJ799" s="505"/>
      <c r="BK799" s="50">
        <f>BK614</f>
        <v>1.2194495412844037</v>
      </c>
      <c r="BL799" s="505"/>
      <c r="BM799" s="50">
        <f>BM614</f>
        <v>1.1191536748329616</v>
      </c>
      <c r="BN799" s="505"/>
      <c r="BO799" s="50">
        <f>BO614</f>
        <v>1.1396499238964997</v>
      </c>
      <c r="BP799" s="505"/>
      <c r="BQ799" s="50">
        <f>BQ614</f>
        <v>1.1887519260400619</v>
      </c>
      <c r="BR799" s="505"/>
      <c r="BS799" s="50">
        <f>BS614</f>
        <v>1.1566302470453536</v>
      </c>
      <c r="BT799" s="505"/>
      <c r="BU799" s="50">
        <f>BU614</f>
        <v>-0.49340062111801292</v>
      </c>
      <c r="BV799" s="505"/>
      <c r="BW799" s="50">
        <f>BW614</f>
        <v>0.63266097750193961</v>
      </c>
      <c r="BX799" s="506"/>
      <c r="BY799" s="50">
        <f>BY614</f>
        <v>0.79001524390243971</v>
      </c>
      <c r="BZ799" s="506"/>
      <c r="CA799" s="50">
        <f>CA614</f>
        <v>0.83616129032258024</v>
      </c>
      <c r="CB799" s="506"/>
      <c r="CC799" s="50">
        <f>CC614</f>
        <v>0.89537869062901154</v>
      </c>
      <c r="CD799" s="506"/>
      <c r="CE799" s="50">
        <f>CE614</f>
        <v>0.82607023840041038</v>
      </c>
      <c r="CF799" s="506"/>
      <c r="CG799" s="50">
        <f>CG614</f>
        <v>0.86586141131595684</v>
      </c>
      <c r="CH799" s="506"/>
      <c r="CI799" s="50">
        <f>CI614</f>
        <v>0.62818544673011967</v>
      </c>
      <c r="CJ799" s="506"/>
      <c r="CK799" s="50">
        <f>CK614</f>
        <v>0.82127396413110643</v>
      </c>
      <c r="CL799" s="506"/>
      <c r="CM799" s="50">
        <f>CM614</f>
        <v>0.99690306596469569</v>
      </c>
      <c r="CN799" s="506"/>
      <c r="CO799" s="50">
        <f>CO614</f>
        <v>1.0149953139643857</v>
      </c>
      <c r="CP799" s="506"/>
      <c r="CQ799" s="50">
        <f>CQ614</f>
        <v>1.0349358974358971</v>
      </c>
      <c r="CR799" s="506"/>
      <c r="CS799" s="50">
        <f>CS614</f>
        <v>0.91298615688859597</v>
      </c>
      <c r="CT799" s="506"/>
      <c r="CU799" s="50">
        <f>CU614</f>
        <v>0.9901993916863806</v>
      </c>
      <c r="CV799" s="506"/>
      <c r="CW799" s="50">
        <f>CW614</f>
        <v>1.0862068965517242</v>
      </c>
      <c r="CX799" s="506"/>
      <c r="CY799" s="50">
        <f>CY614</f>
        <v>1.2715138742536003</v>
      </c>
      <c r="CZ799" s="506"/>
      <c r="DA799" s="50">
        <f>DA614</f>
        <v>1.1028103877623621</v>
      </c>
      <c r="DB799" s="506"/>
      <c r="DC799" s="50">
        <f>DC614</f>
        <v>1.0229720028715004</v>
      </c>
      <c r="DD799" s="506"/>
      <c r="DE799" s="50">
        <f>DE614</f>
        <v>1.2731229597388467</v>
      </c>
      <c r="DF799" s="506"/>
      <c r="DG799" s="50">
        <f>DG614</f>
        <v>1.3408841797588602</v>
      </c>
      <c r="DH799" s="506"/>
      <c r="DI799" s="50">
        <f>DI614</f>
        <v>1.4002932551319647</v>
      </c>
      <c r="DJ799" s="506"/>
      <c r="DK799" s="50">
        <f>DK614</f>
        <v>1.3377434766629914</v>
      </c>
      <c r="DL799" s="506"/>
      <c r="DM799" s="50">
        <f>DM614</f>
        <v>1.4689475641502419</v>
      </c>
      <c r="DN799" s="506"/>
      <c r="DO799" s="50">
        <f>DO614</f>
        <v>1.5592203898050974</v>
      </c>
      <c r="DP799" s="506"/>
      <c r="DQ799" s="50">
        <f>DQ614</f>
        <v>1.6730038022813689</v>
      </c>
      <c r="DR799" s="506"/>
      <c r="DS799" s="50">
        <f>DS614</f>
        <v>1.3507290867229469</v>
      </c>
      <c r="DT799" s="506"/>
      <c r="DU799" s="50">
        <f>DU614</f>
        <v>1.4554727344056493</v>
      </c>
      <c r="DV799" s="506"/>
      <c r="DW799" s="50">
        <f>DW614</f>
        <v>1.113744075829384</v>
      </c>
      <c r="DX799" s="506"/>
      <c r="DY799" s="437">
        <f>DY614</f>
        <v>1.5349999999999999</v>
      </c>
      <c r="DZ799" s="506"/>
      <c r="EA799" s="437">
        <f>EA614</f>
        <v>1.2529999999999999</v>
      </c>
      <c r="EB799" s="506"/>
      <c r="EC799" s="437">
        <f>EC614</f>
        <v>1.5549999999999999</v>
      </c>
      <c r="ED799" s="506"/>
      <c r="EE799" s="437">
        <f>EE614</f>
        <v>1.8879999999999999</v>
      </c>
      <c r="EF799" s="506"/>
      <c r="EG799" s="437">
        <f>EG614</f>
        <v>1.7709999999999999</v>
      </c>
      <c r="EH799" s="506"/>
      <c r="EI799" s="437">
        <f>EI614</f>
        <v>1.921</v>
      </c>
      <c r="EJ799" s="506"/>
      <c r="EK799" s="437">
        <f t="shared" ref="EK799" si="4445">EK614</f>
        <v>1.845</v>
      </c>
      <c r="EL799" s="506"/>
      <c r="EM799" s="437">
        <f t="shared" ref="EM799" si="4446">EM614</f>
        <v>2.028</v>
      </c>
      <c r="EN799" s="506"/>
      <c r="EO799" s="437">
        <f t="shared" ref="EO799" si="4447">EO614</f>
        <v>1.9830000000000001</v>
      </c>
      <c r="EP799" s="506"/>
      <c r="EQ799" s="437">
        <f t="shared" ref="EQ799:EW799" si="4448">EQ614</f>
        <v>1.9566895243625559</v>
      </c>
      <c r="ER799" s="506"/>
      <c r="ES799" s="437">
        <f t="shared" si="4448"/>
        <v>2.0807014003898203</v>
      </c>
      <c r="ET799" s="506"/>
      <c r="EU799" s="437">
        <f t="shared" si="4448"/>
        <v>2.1699323895505249</v>
      </c>
      <c r="EV799" s="506"/>
      <c r="EW799" s="437">
        <f t="shared" si="4448"/>
        <v>2.2408646967070514</v>
      </c>
      <c r="EX799" s="506"/>
      <c r="EY799" s="28"/>
      <c r="EZ799" s="558"/>
      <c r="FA799" s="28"/>
      <c r="FB799" s="50"/>
      <c r="FC799" s="28"/>
      <c r="FD799" s="50"/>
      <c r="FE799" s="30"/>
      <c r="FF799" s="50"/>
      <c r="FG799" s="30"/>
      <c r="FH799" s="50"/>
      <c r="FI799" s="30"/>
      <c r="FJ799" s="50"/>
      <c r="FK799" s="30"/>
      <c r="FL799" s="50"/>
      <c r="FM799" s="30"/>
      <c r="FN799" s="50"/>
      <c r="FO799" s="30"/>
      <c r="FP799" s="50"/>
      <c r="FQ799" s="30"/>
      <c r="FR799" s="50">
        <f>FR614</f>
        <v>5.0371933939216262</v>
      </c>
      <c r="FS799" s="30"/>
      <c r="FT799" s="50">
        <f>FT614</f>
        <v>4.8322686621646271</v>
      </c>
      <c r="FU799" s="30"/>
      <c r="FV799" s="50">
        <f>FV614</f>
        <v>3.002953804046665</v>
      </c>
      <c r="FW799" s="30"/>
      <c r="FX799" s="50">
        <f>FX614</f>
        <v>3.1830793483972677</v>
      </c>
      <c r="FY799" s="30"/>
      <c r="FZ799" s="50">
        <f>FZ614</f>
        <v>3.1365909482826169</v>
      </c>
      <c r="GA799" s="30"/>
      <c r="GB799" s="50">
        <f>GB614</f>
        <v>3.9577777777777787</v>
      </c>
      <c r="GC799" s="30"/>
      <c r="GD799" s="50">
        <f>GD614</f>
        <v>4.4506258692628649</v>
      </c>
      <c r="GE799" s="30"/>
      <c r="GF799" s="50">
        <f>GF614</f>
        <v>5.0327034883720936</v>
      </c>
      <c r="GG799" s="30"/>
      <c r="GH799" s="50">
        <f>GH614</f>
        <v>6.0261194029850742</v>
      </c>
      <c r="GI799" s="30"/>
      <c r="GJ799" s="50">
        <f>GJ614</f>
        <v>5.4520440251572326</v>
      </c>
      <c r="GK799" s="30"/>
      <c r="GL799" s="50">
        <f>GL614</f>
        <v>6.4454976303317535</v>
      </c>
      <c r="GM799" s="30"/>
      <c r="GN799" s="50">
        <f>GN614</f>
        <v>7.7736559437461938</v>
      </c>
      <c r="GO799" s="30"/>
      <c r="GP799" s="50">
        <f>GP614</f>
        <v>8.4472022261282849</v>
      </c>
      <c r="GQ799" s="30"/>
      <c r="GR799" s="51">
        <f>GR614</f>
        <v>9.2031935617236069</v>
      </c>
      <c r="GS799" s="30"/>
      <c r="GT799" s="51">
        <f>GT614</f>
        <v>10.298755491214671</v>
      </c>
      <c r="GU799" s="30"/>
      <c r="GV799" s="51">
        <f>GV614</f>
        <v>11.097760784447122</v>
      </c>
      <c r="GW799" s="30"/>
      <c r="GX799" s="51">
        <f>GX614</f>
        <v>11.999970894221658</v>
      </c>
      <c r="GY799" s="30"/>
      <c r="GZ799" s="30"/>
      <c r="HA799" s="30"/>
      <c r="HB799" s="455"/>
      <c r="HC799"/>
      <c r="HD799"/>
      <c r="HE799"/>
      <c r="HF799"/>
      <c r="HG799"/>
      <c r="HH799"/>
    </row>
    <row r="800" spans="1:216" s="5" customFormat="1" ht="12.75" hidden="1" customHeight="1" outlineLevel="1" x14ac:dyDescent="0.2">
      <c r="A800" s="6"/>
      <c r="B800" s="52"/>
      <c r="C800" s="53"/>
      <c r="D800" s="54"/>
      <c r="E800" s="53"/>
      <c r="F800" s="53"/>
      <c r="G800" s="53"/>
      <c r="H800" s="53"/>
      <c r="I800" s="53"/>
      <c r="J800" s="53"/>
      <c r="K800" s="53"/>
      <c r="L800" s="54"/>
      <c r="M800" s="53"/>
      <c r="N800" s="54"/>
      <c r="O800" s="53"/>
      <c r="P800" s="54"/>
      <c r="Q800" s="53"/>
      <c r="R800" s="54"/>
      <c r="S800" s="53"/>
      <c r="T800" s="54"/>
      <c r="U800" s="53"/>
      <c r="V800" s="54"/>
      <c r="W800" s="53"/>
      <c r="X800" s="54"/>
      <c r="Y800" s="53"/>
      <c r="Z800" s="54"/>
      <c r="AA800" s="53"/>
      <c r="AB800" s="54"/>
      <c r="AC800" s="53"/>
      <c r="AD800" s="54"/>
      <c r="AE800" s="53"/>
      <c r="AF800" s="54"/>
      <c r="AG800" s="53"/>
      <c r="AH800" s="54"/>
      <c r="AI800" s="53"/>
      <c r="AJ800" s="54"/>
      <c r="AK800" s="53"/>
      <c r="AL800" s="54"/>
      <c r="AM800" s="53"/>
      <c r="AN800" s="54"/>
      <c r="AO800" s="53"/>
      <c r="AP800" s="54"/>
      <c r="AQ800" s="53"/>
      <c r="AR800" s="54"/>
      <c r="AS800" s="53"/>
      <c r="AT800" s="54"/>
      <c r="AU800" s="53"/>
      <c r="AV800" s="54"/>
      <c r="AW800" s="53"/>
      <c r="AX800" s="54"/>
      <c r="AY800" s="53"/>
      <c r="AZ800" s="54"/>
      <c r="BA800" s="53"/>
      <c r="BB800" s="54"/>
      <c r="BC800" s="53"/>
      <c r="BD800" s="54"/>
      <c r="BE800" s="53"/>
      <c r="BF800" s="54"/>
      <c r="BG800" s="53"/>
      <c r="BH800" s="54"/>
      <c r="BI800" s="53"/>
      <c r="BJ800" s="54"/>
      <c r="BK800" s="53"/>
      <c r="BL800" s="54"/>
      <c r="BM800" s="53"/>
      <c r="BN800" s="54"/>
      <c r="BO800" s="53"/>
      <c r="BP800" s="54"/>
      <c r="BQ800" s="53"/>
      <c r="BR800" s="54"/>
      <c r="BS800" s="53"/>
      <c r="BT800" s="54"/>
      <c r="BU800" s="53"/>
      <c r="BV800" s="54"/>
      <c r="BW800" s="53"/>
      <c r="BX800" s="54"/>
      <c r="BY800" s="53"/>
      <c r="BZ800" s="54"/>
      <c r="CA800" s="53"/>
      <c r="CB800" s="54"/>
      <c r="CC800" s="53"/>
      <c r="CD800" s="54"/>
      <c r="CE800" s="53"/>
      <c r="CF800" s="54"/>
      <c r="CG800" s="53"/>
      <c r="CH800" s="54"/>
      <c r="CI800" s="53"/>
      <c r="CJ800" s="54"/>
      <c r="CK800" s="53"/>
      <c r="CL800" s="54"/>
      <c r="CM800" s="53"/>
      <c r="CN800" s="54"/>
      <c r="CO800" s="53"/>
      <c r="CP800" s="54"/>
      <c r="CQ800" s="53"/>
      <c r="CR800" s="54"/>
      <c r="CS800" s="53"/>
      <c r="CT800" s="54"/>
      <c r="CU800" s="53"/>
      <c r="CV800" s="54"/>
      <c r="CW800" s="53"/>
      <c r="CX800" s="54"/>
      <c r="CY800" s="53"/>
      <c r="CZ800" s="54"/>
      <c r="DA800" s="53"/>
      <c r="DB800" s="54"/>
      <c r="DC800" s="53"/>
      <c r="DD800" s="54"/>
      <c r="DE800" s="53"/>
      <c r="DF800" s="54"/>
      <c r="DG800" s="53"/>
      <c r="DH800" s="54"/>
      <c r="DI800" s="53"/>
      <c r="DJ800" s="54"/>
      <c r="DK800" s="53"/>
      <c r="DL800" s="54"/>
      <c r="DM800" s="53"/>
      <c r="DN800" s="54"/>
      <c r="DO800" s="53"/>
      <c r="DP800" s="54"/>
      <c r="DQ800" s="53"/>
      <c r="DR800" s="54"/>
      <c r="DS800" s="53"/>
      <c r="DT800" s="54"/>
      <c r="DU800" s="53"/>
      <c r="DV800" s="54"/>
      <c r="DW800" s="53"/>
      <c r="DX800" s="54"/>
      <c r="DY800" s="53"/>
      <c r="DZ800" s="54"/>
      <c r="EA800" s="53"/>
      <c r="EB800" s="54"/>
      <c r="EC800" s="53"/>
      <c r="ED800" s="54"/>
      <c r="EE800" s="53"/>
      <c r="EF800" s="54"/>
      <c r="EG800" s="53"/>
      <c r="EH800" s="54"/>
      <c r="EI800" s="53"/>
      <c r="EJ800" s="54"/>
      <c r="EK800" s="53"/>
      <c r="EL800" s="54"/>
      <c r="EM800" s="53"/>
      <c r="EN800" s="54"/>
      <c r="EO800" s="53"/>
      <c r="EP800" s="54"/>
      <c r="EQ800" s="53"/>
      <c r="ER800" s="54"/>
      <c r="ES800" s="53"/>
      <c r="ET800" s="54"/>
      <c r="EU800" s="53"/>
      <c r="EV800" s="54"/>
      <c r="EW800" s="53"/>
      <c r="EX800" s="54"/>
      <c r="EY800" s="53"/>
      <c r="EZ800" s="558"/>
      <c r="FA800" s="53"/>
      <c r="FB800" s="53"/>
      <c r="FC800" s="53"/>
      <c r="FD800" s="53"/>
      <c r="FE800" s="54"/>
      <c r="FF800" s="55"/>
      <c r="FG800" s="54"/>
      <c r="FH800" s="55"/>
      <c r="FI800" s="54"/>
      <c r="FJ800" s="55"/>
      <c r="FK800" s="54"/>
      <c r="FL800" s="53"/>
      <c r="FM800" s="54"/>
      <c r="FN800" s="53"/>
      <c r="FO800" s="54"/>
      <c r="FP800" s="53"/>
      <c r="FQ800" s="54"/>
      <c r="FR800" s="53"/>
      <c r="FS800" s="30"/>
      <c r="FT800" s="53"/>
      <c r="FU800" s="30"/>
      <c r="FV800" s="53"/>
      <c r="FW800" s="30"/>
      <c r="FX800" s="53"/>
      <c r="FY800" s="30"/>
      <c r="FZ800" s="53"/>
      <c r="GA800" s="30"/>
      <c r="GB800" s="53"/>
      <c r="GC800" s="30"/>
      <c r="GD800" s="53"/>
      <c r="GE800" s="30"/>
      <c r="GF800" s="53"/>
      <c r="GG800" s="30"/>
      <c r="GH800" s="53"/>
      <c r="GI800" s="30"/>
      <c r="GJ800" s="53"/>
      <c r="GK800" s="30"/>
      <c r="GL800" s="53"/>
      <c r="GM800" s="30"/>
      <c r="GN800" s="53"/>
      <c r="GO800" s="30"/>
      <c r="GP800" s="53"/>
      <c r="GQ800" s="30"/>
      <c r="GR800" s="53"/>
      <c r="GS800" s="30"/>
      <c r="GT800" s="53"/>
      <c r="GU800" s="30"/>
      <c r="GV800" s="53"/>
      <c r="GW800" s="30"/>
      <c r="GX800" s="53"/>
      <c r="GY800" s="30"/>
      <c r="GZ800" s="30"/>
      <c r="HA800" s="30"/>
      <c r="HB800" s="455"/>
      <c r="HC800"/>
      <c r="HD800"/>
      <c r="HE800"/>
      <c r="HF800"/>
      <c r="HG800"/>
      <c r="HH800"/>
    </row>
    <row r="801" ht="12.75" customHeight="1" collapsed="1" x14ac:dyDescent="0.2"/>
  </sheetData>
  <mergeCells count="1">
    <mergeCell ref="B4:B5"/>
  </mergeCells>
  <phoneticPr fontId="5" type="noConversion"/>
  <conditionalFormatting sqref="EA117">
    <cfRule type="expression" dxfId="23" priority="45" stopIfTrue="1">
      <formula>IF($R$4=TRUE,TRUE,FALSE)</formula>
    </cfRule>
  </conditionalFormatting>
  <conditionalFormatting sqref="EA178">
    <cfRule type="expression" dxfId="22" priority="44" stopIfTrue="1">
      <formula>IF($R$4=TRUE,TRUE,FALSE)</formula>
    </cfRule>
  </conditionalFormatting>
  <conditionalFormatting sqref="EA274">
    <cfRule type="expression" dxfId="21" priority="43" stopIfTrue="1">
      <formula>IF($R$4=TRUE,TRUE,FALSE)</formula>
    </cfRule>
  </conditionalFormatting>
  <conditionalFormatting sqref="EC117">
    <cfRule type="expression" dxfId="20" priority="42" stopIfTrue="1">
      <formula>IF($R$4=TRUE,TRUE,FALSE)</formula>
    </cfRule>
  </conditionalFormatting>
  <conditionalFormatting sqref="EC178">
    <cfRule type="expression" dxfId="19" priority="41" stopIfTrue="1">
      <formula>IF($R$4=TRUE,TRUE,FALSE)</formula>
    </cfRule>
  </conditionalFormatting>
  <conditionalFormatting sqref="EC274">
    <cfRule type="expression" dxfId="18" priority="40" stopIfTrue="1">
      <formula>IF($R$4=TRUE,TRUE,FALSE)</formula>
    </cfRule>
  </conditionalFormatting>
  <conditionalFormatting sqref="EE117">
    <cfRule type="expression" dxfId="17" priority="31" stopIfTrue="1">
      <formula>IF($R$4=TRUE,TRUE,FALSE)</formula>
    </cfRule>
  </conditionalFormatting>
  <conditionalFormatting sqref="EE178">
    <cfRule type="expression" dxfId="16" priority="29" stopIfTrue="1">
      <formula>IF($R$4=TRUE,TRUE,FALSE)</formula>
    </cfRule>
  </conditionalFormatting>
  <conditionalFormatting sqref="EE274">
    <cfRule type="expression" dxfId="15" priority="27" stopIfTrue="1">
      <formula>IF($R$4=TRUE,TRUE,FALSE)</formula>
    </cfRule>
  </conditionalFormatting>
  <conditionalFormatting sqref="EG117">
    <cfRule type="expression" dxfId="14" priority="24" stopIfTrue="1">
      <formula>IF($R$4=TRUE,TRUE,FALSE)</formula>
    </cfRule>
  </conditionalFormatting>
  <conditionalFormatting sqref="EG178">
    <cfRule type="expression" dxfId="13" priority="23" stopIfTrue="1">
      <formula>IF($R$4=TRUE,TRUE,FALSE)</formula>
    </cfRule>
  </conditionalFormatting>
  <conditionalFormatting sqref="EG274">
    <cfRule type="expression" dxfId="12" priority="22" stopIfTrue="1">
      <formula>IF($R$4=TRUE,TRUE,FALSE)</formula>
    </cfRule>
  </conditionalFormatting>
  <conditionalFormatting sqref="EI117">
    <cfRule type="expression" dxfId="11" priority="17" stopIfTrue="1">
      <formula>IF($R$4=TRUE,TRUE,FALSE)</formula>
    </cfRule>
  </conditionalFormatting>
  <conditionalFormatting sqref="EI178">
    <cfRule type="expression" dxfId="10" priority="15" stopIfTrue="1">
      <formula>IF($R$4=TRUE,TRUE,FALSE)</formula>
    </cfRule>
  </conditionalFormatting>
  <conditionalFormatting sqref="EI274">
    <cfRule type="expression" dxfId="9" priority="13" stopIfTrue="1">
      <formula>IF($R$4=TRUE,TRUE,FALSE)</formula>
    </cfRule>
  </conditionalFormatting>
  <conditionalFormatting sqref="EK117">
    <cfRule type="expression" dxfId="8" priority="12" stopIfTrue="1">
      <formula>IF($R$4=TRUE,TRUE,FALSE)</formula>
    </cfRule>
  </conditionalFormatting>
  <conditionalFormatting sqref="EK178">
    <cfRule type="expression" dxfId="7" priority="11" stopIfTrue="1">
      <formula>IF($R$4=TRUE,TRUE,FALSE)</formula>
    </cfRule>
  </conditionalFormatting>
  <conditionalFormatting sqref="EK274">
    <cfRule type="expression" dxfId="6" priority="10" stopIfTrue="1">
      <formula>IF($R$4=TRUE,TRUE,FALSE)</formula>
    </cfRule>
  </conditionalFormatting>
  <conditionalFormatting sqref="EM117">
    <cfRule type="expression" dxfId="5" priority="9" stopIfTrue="1">
      <formula>IF($R$4=TRUE,TRUE,FALSE)</formula>
    </cfRule>
  </conditionalFormatting>
  <conditionalFormatting sqref="EM178">
    <cfRule type="expression" dxfId="4" priority="8" stopIfTrue="1">
      <formula>IF($R$4=TRUE,TRUE,FALSE)</formula>
    </cfRule>
  </conditionalFormatting>
  <conditionalFormatting sqref="EM274">
    <cfRule type="expression" dxfId="3" priority="7" stopIfTrue="1">
      <formula>IF($R$4=TRUE,TRUE,FALSE)</formula>
    </cfRule>
  </conditionalFormatting>
  <conditionalFormatting sqref="EO117">
    <cfRule type="expression" dxfId="2" priority="3" stopIfTrue="1">
      <formula>IF($R$4=TRUE,TRUE,FALSE)</formula>
    </cfRule>
  </conditionalFormatting>
  <conditionalFormatting sqref="EO178">
    <cfRule type="expression" dxfId="1" priority="2" stopIfTrue="1">
      <formula>IF($R$4=TRUE,TRUE,FALSE)</formula>
    </cfRule>
  </conditionalFormatting>
  <conditionalFormatting sqref="EO274">
    <cfRule type="expression" dxfId="0" priority="1" stopIfTrue="1">
      <formula>IF($R$4=TRUE,TRUE,FALSE)</formula>
    </cfRule>
  </conditionalFormatting>
  <dataValidations disablePrompts="1" count="1">
    <dataValidation type="list" allowBlank="1" showInputMessage="1" showErrorMessage="1" promptTitle="Scenario Analysis" prompt="1= Base Case_x000a_2= Bull Case_x000a_3= Bear Case_x000a_" sqref="B6">
      <formula1>"1,2,3"</formula1>
    </dataValidation>
  </dataValidations>
  <printOptions horizontalCentered="1"/>
  <pageMargins left="0.75" right="0.75" top="1" bottom="1" header="0.5" footer="0.5"/>
  <pageSetup scale="48" fitToHeight="0" orientation="landscape" horizontalDpi="300" r:id="rId1"/>
  <headerFooter alignWithMargins="0"/>
  <rowBreaks count="9" manualBreakCount="9">
    <brk id="2" max="16383" man="1"/>
    <brk id="23" max="16383" man="1"/>
    <brk id="80" max="16383" man="1"/>
    <brk id="234" max="16383" man="1"/>
    <brk id="353" max="16383" man="1"/>
    <brk id="404" max="16383" man="1"/>
    <brk id="467" max="16383" man="1"/>
    <brk id="584" max="16383" man="1"/>
    <brk id="623" max="16383" man="1"/>
  </rowBreaks>
  <ignoredErrors>
    <ignoredError sqref="GF6:GJ6" numberStoredAsText="1" formula="1"/>
    <ignoredError sqref="DC7:DT21 DV4 DU7:DU22 DV22 DV28:DV801 DX4 DZ28:DZ34 DX707:DZ801 DW28:DW32 DV21:DW21 DZ92:EC95 DZ115:DZ264 DX21:DX22 DW519:DW631 DZ601:DZ706 DW34:DW100 DW102:DW250 DZ4 DZ37:EA90 EB4 DC253:DT631 DU252:DU631 DW252:DW517 DC251:DR252 DT251:DT252 DC632:DR632 DT632 DC633:DU643 DW633:DW643 DC644:DR644 DT644 DC645:DU801 DW645:DW801 DT22 EB21:EB22 EA248:ED250 EA135:EB139 EA601:EB652 EA24:EB34 EB37:EB45 DV7:EB20 EA115:EA116 EA142:EA177 EA118:EA134 EA179:EA247 DZ35:EB36 ED92:ED110 EC601:EC642 EC704 EC706:EC801 DZ265:ED600 ED601:ED801 DZ91:ED91 EB115:ED134 DZ111:ED114 EA140:ED141 ED4 EJ4 EY4:GK4 EJ6 GK6 EC7:EI22 EB46:ED90 EB142:ED247 EF4 EC644:EC652 EE265:EE652 EA252:EE264 EE140:EE250 EC137:EE139 EE102:EE134 EE98:EE100 EE44:EE95 EE655:EE801 GG5:GM5 EF44:EF134 EH4 EA655:EB801 EB653:EB654 EC655:EC680 EH44:EH134 EH284:EH801 EG283:EH283 EG252:EG282 EG479:EG801 EG137:EG250 EG98:EG134 EG44:EG95 EG284:EG477 EE24:EH43 DZ98:EC110 DZ96:DZ97 EB96:EB97 EB251 ED251 EL599 EJ21 EN93 EL172:EL266 EP92:EP94 EJ297:EJ299 EN300 GZ4:HB6 EJ22 EN109 EN267 EL267 EL300 EL171 EN171 EL131:EL153 EL301:EL477 EJ7:EN20 EP154:EP155 EI297:EI701 EI704 EI706:EI801 EL115 EL109:EL110 EL272 EL41:EL42 EN41:EN42 EP41:EP42 EL62 EL92:EL93 EN155 EL155 EL154 EN130 EL130 EP130 EL63:EL91 EN536 EL21 EF137:EF801 EH137:EH282 EC135:EH136 DC24:DU250 DV24:DZ27 DC22:DR23 EC24:ED45 EI24:EI295 EL51:EL56 EL111:EL114 EJ29:EJ295 EI296:EJ296 EL536 EL600:EL706 EJ755:EN801 EJ300:EK706 EC682:EC701 EL273:EL299 EL94 EL43:EL44 EL268:EL271 EL29:EL40 EL95:EL108 EL116:EL129 EL156:EL170 EL537:EL598 EK31:EK299 EL4 EN115 EN272 EL50 EN50 EP50 EN62 EN599 EY5:GE6 EL6 EJ5:EN5 GR5 GR6 GM4 GM6 GO5 GU5:GW5 GT6:GW6 GU4:GW4 HA10:HB10 HA7:HB7 HA8:HB8 HA9:HB9 HA12 HA11 HA15 HA13 HA14 HA19:HB27 HA16 HA17 HA18:HB18 HA38:HB38 HA28:HB28 HA29:HB29 HA30:HB30 HA31:HB31 HA32:HB32 HA33:HB33 HA34:HB34 HA35:HB35 HA36:HB36 HA37:HB37 HA40:HB40 HA39:HB39 HA46:HB46 HA41:HB41 HA42:HB42 HA43:HB43 HA44:HB44 HA45:HB45 HA48:HB48 HA47:HB47 HA49:HB49 GZ48 GZ46 GZ40 GZ38 GZ19:GZ27 GZ15 GZ12 GZ10 GT46:GT48 GT49 GR37:GR40 GR34:GR35 GR29:GR32 GN46:GO49 GN7:GO36 GN37:GO40 GX7:GX40 GU46:GW49 EY7:GM40 GT7:GW40 GR7:GR27 GR46:GR48 EQ28:EX40 EQ654:ER654 EQ268:ER269 EQ692:ER799 EQ683:ER683 EQ684:ER691 EQ600:ER600 EQ247:ER247 ER246 EQ193:ER193 EQ192:ER192 EQ191:ER191 EQ190:ER190 EQ681:ER682 EQ196:ER244 EQ194:ER195 EQ177:ER189 EQ166:ER170 EQ165:ER165 EQ156:ER164 EQ154:ER154 EQ116:ER128 EQ54:ER56 EQ51:ER53 EQ49:EX49 EQ46:EX48 GS46:GS48 ER601 ER599 ER115 EQ485:ER587 ER484 EQ91:ER91 EQ65:ER89 EQ94:ER102 EQ93:ER93 ER50 EQ309:ER475 EQ303:ER307 EQ111:ER111 EQ301:ER301 EQ288:ER294 ER302 EQ63:ER64 ER62 EQ273:ER287 ER272 ER258 EQ248:ER257 EQ155:ER155 EQ602:ER643 EQ7:EX20 GS7:GS27 EQ662:ER680 EQ657:ER661 GY43:GZ44 GY42:GZ42 EQ112:ER114 GY28:GZ37 GY7:GZ9 EQ655:ER656 EQ104:ER108 GP28:GS28 EQ129:ER129 GP49:GS49 GP46:GQ48 GP7:GQ20 EQ266:ER266 EQ259:ER264 GY41:GZ41 GY47:GZ47 GY49:GZ49 GY45:GZ45 GP37:GQ40 GP33:GS33 GP29:GQ32 GS29:GS32 GP36:GS36 GP34:GQ35 GS34:GS35 GS37:GS40 GY11:GZ11 GY10 GY13:GZ14 GY12 GY16:GZ18 GY15 GY19:GY27 GY39:GZ39 GY38 GY40 GY46 GY48 ER4 ER109 ER92 EL46:EL49 EL45 EN45 EN110 EP110 EP109 ER110 ER308 ER300 ER267 EQ265:ER265 EQ594:ER598 EN21 EL58:EL61 EL57 EN57 EQ58:ER61 ER57 EL479:EL535 EL478 EN478 EP478 EQ27:EX27 ER26:EX26 EN6 EN172:EN257 EJ28:EL28 EN28 EN131:EN153 EN301 EN154 EN63:EN82 EN51:EN56 EN111:EN114 EN600:EN706 EJ707:EL754 EN707:EN754 EN273:EN299 EN94 EN43:EN44 EN268:EN271 EN29:EN40 EN95:EN108 EN116:EN129 EN156:EN170 EN537:EN587 EN46:EN49 EN58:EN61 EN479:EN483 EM28 EM30 EM715:EM754 EM706:EM714 EM704 EM657:EM680 EM655 EM645:EM652 EM640:EM642 EM633:EM637 EM631 EM613:EM617 EM599:EM608 EM550:EM597 EM546:EM548 EM487:EM545 EM484:EM485 EM479:EM482 EM474:EM475 EM311:EM471 EM308:EM309 EM295:EM296 EM297:EM306 EM294 EM288:EM292 EM275:EM284 EM272:EM273 EM261:EM270 EM259 EM257 EM253:EM255 EM240:EM250 EM216:EM235 EM213:EM214 EM197:EM208 EM194:EM195 EM179:EM189 EM176:EM177 EM168:EM174 EM166 EM161:EM164 EM150:EM158 EM148 EM134:EM144 EM118:EM129 EM115:EM116 EM106:EM113 EM104 EM102 EM98:EM100 EM87:EM95 EM83 EM58:EM81 EM55:EM56 EM51 EM33:EM49 EM31:EM32 EM50 EM52:EM54 EM57 EM82 EM84:EM86 EM96:EM97 EM101 EM103 EM105 EM114 EM117 EM130:EM133 EM145:EM147 EM149 EM159:EM160 EM165 EM167 EM175 EM178 EM190:EM193 EM196 EM209:EM212 EM215 EM236:EM239 EM251:EM252 EM256 EM258 EM260 EM271 EM274 EM285:EM287 EM293 EM307 EM310 EM472:EM473 EM476:EM478 EM483 EM549 EM598 EM609:EM610 EM627:EM630 EM632 EM638:EM639 EM643:EM644 EM653:EM654 EM656 EM701:EM703 EM705 EM618:EM626 EM611:EM612 EM694:EM700 EM682:EM692 EM681 EM693 EN4 EN485:EN535 EN484 EP484 EN92 EN84:EN91 EN83 EP83 EP57 EQ57 EP300 EP267 EP45 GX46:GX49 EP272 EN259:EN266 EN258 EP258 EN303:EN477 EN302 EP302 EP599 EQ478:ER483 ER476:ER477 EN589:EN598 EN588 EP588 EQ589:ER592 ER588 EY46:GM49 GX42:GX45 GS41 GS42 ET41 EV41 EX41 ET42 EV42 EX42 ER42 GS45 GP43:GS44 GP45:GQ45 EQ43:EX44 GP41:GQ41 GP42:GQ42 ER41 ER45:EX45 GN41:GO42 GU41 GT42:GT44 EY41:GM45 GW41 GU42:GW45 GN43:GO44 GN45:GO45 GT45 GR45 EQ42 GX41 GR41 GR42 GV41 ES42 EW42 EU42 GT41 EY50:GM153 ES588:EX588 ES589:EX592 ES477:EX477 ES478:EX483 EX50 EV50 ET50 GX50:GX89 GX154 GV154 GT154 GU154 GW154 GX155:GX245 EX109 EX110 GS600 ET57:EX57 ES57 ES58:EX61 GX602:GX799 ES594:EX598 ES265:EX265 EY267 ET267 EV267 EX267 EZ267:GM267 ES301:ET301 ET302 ET300 EX302 EX301 EX300 ES308:EU308 GS62 GX92 GV92 GW92 GU92 GX90 GV90 GT90 GT91:GW91 GU90 GW90 GX91 GX93:GX108 GT93:GW108 GP92:GQ92 GS91:GS92 GR90:GS90 GP90:GQ90 ES92:EX92 GZ682 GZ582 GY583:GZ584 GY696:GY799 GY638:GY640 GY641:GZ653 GY623:GY624 GY625:GZ637 GY603 GY585 GY586:GZ599 GY569 GY570:GZ581 GY565 GY566:GZ568 GY545 GY546:GZ564 GY529:GY530 GY531:GZ544 GY525 GY526:GZ528 GY515:GY516 GY517:GZ524 GY513 GY514:GZ514 GY490 GY491:GZ512 GY436:GY468 GY469:GZ489 GY357:GY404 GY405:GZ435 GY304 GY305:GZ356 GY268 GY251:GY254 GY255:GZ257 GY233 GY234:GZ245 GY222 GY223:GZ232 GY203 GY204:GZ221 GY157 GY158:GZ164 GY151 GY152:GZ153 GY143 GY144:GZ150 GY138 GY139:GZ142 GY136 GY137:GZ137 GY128 GY125 GY126:GZ127 GY94:GY95 GY80 GY81:GZ89 GY77 GY78:GZ79 GY66 GY61 GY59 GY60:GZ60 GS792:GS799 GP792:GQ799 GS723:GS790 GP723:GQ790 GP791:GS791 GS693:GS721 GP693:GQ721 GP722:GS722 GS681:GS682 GS684:GS691 GS683 GS664:GS679 GP664:GQ679 GP680:GS680 GS648:GS653 GP648:GQ653 GS645:GS646 GP645:GQ646 GP647:GS647 GS633:GS642 GP633:GQ642 GP643:GS644 GS631 GP631:GQ631 GP632:GS632 GS612:GS626 GP612:GQ626 GP627:GS630 GS604:GS608 GP605:GQ608 GP609:GS611 GS594:GS598 GS589:GS592 GP589:GQ592 GP593:GS593 GS555:GS587 GP555:GQ587 GP588:GS588 GS504:GS547 GP504:GQ553 GP554:GS554 GS478:GS483 GP478:GQ483 GS473:GS475 GP473:GQ475 GP477:GQ477 GS309:GS470 GP309:GQ470 GP472:GQ472 GS273:GS284 GS268:GS271 GS266 GP266:GQ266 GS237:GS243 GP237:GQ243 GP244:GS245 GS233:GS235 GP233:GQ235 GP236:GS236 GS226:GS231 GP226:GQ231 GP232:GS232 GS224 GP224:GQ224 GP225:GS225 GS220:GS222 GP220:GQ222 GP223:GS223 GS216:GS218 GP216:GQ218 GP219:GS219 GS212:GS214 GP212:GQ214 GP215:GS215 GS210 GP210:GQ210 GP211:GS211 GS206:GS207 GP206:GQ207 GP208:GS209 GS197:GS204 GP197:GQ204 GP205:GS205 GS172:GS175 GP172:GQ175 GP176:GS176 GS166:GS170 GP166:GQ170 GS149:GS152 GP149:GQ152 GP153:GS153 GS143:GS147 GP143:GQ147 GP148:GS148 GP139:GS139 GS141 GP141:GQ141 GP142:GS142 GP129:GS129 GS131:GS138 GP131:GQ138 GP140:GS140 GS94:GS102 GS58:GS61 GP58:GQ61 GS55:GS56 GP55:GQ56 GP57:GS57 GP259:GQ264 GP265:GR265 GP273:GQ284 GP94:GQ102 GP503:GS503 GP301:GQ301 GP654:GS654 GP258:GS258 GP154:GS154 GY191:GZ191 GY154:GZ154 GY600:GZ600 GY258:GZ258 GY129:GZ135 GY115:GZ115 GY116:GZ124 GY54:GZ58 GY62:GZ62 GY50:GZ50 GY51:GZ53 GS191 GY63:GZ63 GY155:GZ155 GY165:GZ165 GY156:GZ156 GY166:GZ176 GY190:GZ190 GY246:GZ246 GY192:GZ192 GY110:GZ110 GY111:GZ111 GS259:GS264 ES259:EX264 GY267:GZ267 GY259:GZ266 ES266:EX266 GY654:GZ654 GY662:GZ680 GY692:GZ695 GY655:GZ656 GY657:GZ661 GY602:GZ602 GY604:GZ622 GY681:GZ681 GY684:GZ691 GY683:GZ683 EZ654 GS63 GS65 GY64:GZ64 GP64:GS64 GY65:GZ65 GP104:GQ108 GP112:GQ114 GP63:GQ63 GP111:GQ111 GP103:GS103 GP91:GQ91 GP51:GQ53 GP54:GS54 GP116:GQ128 GP130:GS130 ES129:EX153 GY109:GZ109 GP109:GQ109 GY196:GZ202 GY193:GZ193 GY194:GZ195 GY601:GZ601 GS104:GS108 ES104:EX108 GP657:GQ661 GP662:GS663 GN683 GP692:GS692 GP655:GS656 ES655:EX656 GY177:GZ188 GY189:GZ189 GY67:GZ76 GY92:GZ93 GY96:GZ108 GY90:GZ91 GY247:GZ247 GY248:GZ250 GY112:GZ114 ES112:EX114 GS657:GS661 ES657:EX661 ES662:EX680 GS602 GP602:GQ602 GS485:GS502 GP485:GQ502 GS296:GS299 GP296:GQ299 GP300:GQ300 GS288:GS294 GP288:GQ294 GS66:GS89 GP66:GQ89 GS177:GS188 GP177:GQ188 GP303:GQ307 GP308:GT308 GP594:GQ598 GP603:GS603 ES602:EX643 GP248:GQ257 GP155:GS155 ES155:EX155 GP156:GQ164 GP165:GS165 GP189:GS189 GP194:GQ195 GP196:GS196 GP191:GQ191 GP193:GS193 GP247:GQ247 GP267:GR267 GP287:GQ287 GP268:GQ271 GS248:GS257 ES248:EX257 ES258:EX258 GP272:GS272 ES272:EX272 ES273:EX284 GP62:GQ62 ES62:EX62 ES63:EX64 GP302:GQ302 GP295:GS295 ES288:EX294 GP110:GQ110 EX111 GS304:GS307 ES303:EX307 ES309:EX475 GP50:GS50 GP93:GS93 ES93:EX93 ES94:EX103 GP65:GQ65 ES65:EX89 ES91:EX91 GP484:GQ484 ES484:EX484 ES485:EX547 GP115:GQ115 ES115:EX115 GP600:GQ600 GP599:GS599 ES599:EX599 GP601:GQ601 ET601 GS51:GS53 ES51:EX53 ES54:EX56 GS119:GS128 ES116:EX128 ES154:EX154 GS156:GS164 ES156:EX164 ES165:EX165 GP171:GT171 ES166:EX176 ES177:EX189 GP190:GT190 GP192:GT192 GS194:GS195 ES194:EX195 ES196:EX245 GP246:GQ246 GP681:GQ682 ES681:EX682 GV190 ES190:EX190 ES191:EX191 GV192 ES192:EX192 ES193:EX193 ES246:EX246 ES247:EX247 ES600:EX600 GP684:GQ691 ES684:EX691 GP683:GQ683 ES683:EX683 ES692:EX799 GY269:GZ301 ES268:EX271 ES654:EX654 GT268:GW284 GO683 GN684:GO691 GU600 GU192 GU190 GN681:GO682 GN246:GO246 GR194:GR195 GN192:GO192 GN190:GO190 GN166:GO176 GR156:GR164 GR119:GR128 GR51:GR53 GN599:GO601 GN115:GO115 GN484:GO484 GN65:GO89 GN92:GO93 GN50:GO50 GR304:GR307 GN109:GO110 GN288:GO300 GN302:GO302 GN62:GO62 GN272:GO272 GR248:GR257 EY268:GM300 EY155:GM257 EY302:GM653 GR177:GR188 GR66:GR89 GR288:GR294 GR296:GR299 GR485:GR502 GR602 GR657:GR661 GT248:GW257 GT66:GW89 GT177:GT189 EY655:GM799 GR104:GR108 GU601 GT193:GW245 GT64:GV65 GR65 GR63 EY654 GT602:GW799 GT259:GV267 GR259:GR264 GW192 GW190 GU155:GW189 GW63:GW65 GR191 GU50:GW62 GU119:GW153 GW258:GW267 GW600:GW601 GN191:GO191 EY154:GO154 EY258:GO258 FA654:GO654 GN63:GO63 GN64:GO64 EY301:GO301 GN692:GO799 GN655:GO680 GN603:GO653 GN485:GO593 GN177:GO189 GN104:GO108 GN94:GO102 GN602:GO602 GN273:GO279 GN267:GO271 GN247:GO257 GN111:GO114 GN155:GO165 GN594:GO598 EY259:GO266 GN303:GO483 GN285:GO287 GN51:GO61 GN103:GO103 GN90:GO91 GN116:GO153 GN193:GO245 GT50 GR55:GR56 GT54 GR58:GR62 GT57 GT62 GR94:GR102 GR131:GR138 GT129 GT130 GR141 GT139 GT140 GR143:GR147 GT142 GR149:GR152 GT148 GT153 GT155 GR166:GR170 GT165 GR172:GR175 GT176 GR197:GR204 GR206:GR207 GR210 GR212:GR214 GR216:GR218 GR220:GR222 GR224 GR226:GR231 GR233:GR235 GR237:GR243 GT258:GV258 GR266 GR268:GR271 GR273:GR284 GR309:GR470 GR478:GR483 GR504:GR547 GR555:GR587 GR589:GR592 GR594:GR598 GR604:GR608 GR613:GR626 GR631 GR633:GR642 GR645:GR646 GR648:GR653 GR664:GR679 GR681:GR691 GR693:GR721 GR723:GR790 GR792:GR799 GT156:GT164 GT119:GT128 GT51:GT53 GT63:GV63 GT191:GW191 GT55:GT56 GT58:GT61 GT131:GT138 GT141 GT143:GT147 GT149:GT152 GT166:GT170 GT172:GT175 GZ59 GZ61 GZ66 GZ77 GZ80 GZ94:GZ95 GZ125 GZ128 GZ136 GZ138 GZ143 GZ151 GZ157 GZ203 GZ222 GZ233 GZ251:GZ254 GZ268 GZ304 GZ357:GZ404 GZ436:GZ468 GZ490 GZ513 GZ515:GZ516 GZ525 GZ529:GZ530 GZ545 GZ565 GZ569 GZ585 GZ603 GZ623:GZ624 GZ638:GZ640 GZ696:GZ799 HA696:HB799 HA695:HB695 HA694:HB694 HA693:HB693 HA692:HB692 HA691:HB691 HA690:HB690 HA689:HB689 HA688:HB688 HA687:HB687 HA686:HB686 HA685:HB685 HA684:HB684 HA683:HB683 HA682:HB682 HA681:HB681 HA680:HB680 HA679:HB679 HA678:HB678 HA677:HB677 HA676:HB676 HA675:HB675 HA674:HB674 HA673:HB673 HA672:HB672 HA671:HB671 HA670:HB670 HA669:HB669 HA668:HB668 HA667:HB667 HA666:HB666 HA665:HB665 HA664:HB664 HA663:HB663 HA662:HB662 HA661:HB661 HA660:HB660 HA659:HB659 HA658:HB658 HA657:HB657 HA656:HB656 HA655:HB655 HA654:HB654 HA653:HB653 HA652:HB652 HA651:HB651 HA650:HB650 HA649:HB649 HA648:HB648 HA647:HB647 HA646:HB646 HA645:HB645 HA644:HB644 HA643:HB643 HA642:HB642 HA641:HB641 GZ800:HB801 HA637:HB637 HA636:HB636 HA635:HB635 HA634:HB634 HA633:HB633 HA632:HB632 HA631:HB631 HA630:HB630 HA629:HB629 HA628:HB628 HA627:HB627 HA626:HB626 HA625:HB625 HA638:HB640 HA622:HB622 HA621:HB621 HA620:HB620 HA619:HB619 HA618:HB618 HA617:HB617 HA616:HB616 HA615:HB615 HA614:HB614 HA613:HB613 HA612:HB612 HA611:HB611 HA610:HB610 HA609:HB609 HA608:HB608 HA607:HB607 HA606:HB606 HA605:HB605 HA604:HB604 HA623:HB624 HA602:HB602 HA601:HB601 HA600:HB600 HA599:HB599 HA598:HB598 HA597:HB597 HA596:HB596 HA595:HB595 HA594:HB594 HA593:HB593 HA592:HB592 HA591:HB591 HA590:HB590 HA589:HB589 HA588:HB588 HA587:HB587 HA586:HB586 HA603:HB603 HA584:HB584 HA583:HB583 HA582:HB582 HA581:HB581 HA580:HB580 HA579:HB579 HA578:HB578 HA577:HB577 HA576:HB576 HA575:HB575 HA574:HB574 HA573:HB573 HA572:HB572 HA571:HB571 HA570:HB570 HA585:HB585 HA568:HB568 HA567:HB567 HA566:HB566 HA569:HB569 HA564:HB564 HA563:HB563 HA562:HB562 HA561:HB561 HA560:HB560 HA559:HB559 HA558:HB558 HA557:HB557 HA556:HB556 HA555:HB555 HA554:HB554 HA553:HB553 HA552:HB552 HA551:HB551 HA550:HB550 HA549:HB549 HA548:HB548 HA547:HB547 HA546:HB546 HA565:HB565 HA544:HB544 HA543:HB543 HA542:HB542 HA541:HB541 HA540:HB540 HA539:HB539 HA538:HB538 HA537:HB537 HA536:HB536 HA535:HB535 HA534:HB534 HA533:HB533 HA532:HB532 HA531:HB531 HA545:HB545 HA528:HB528 HA527:HB527 HA526:HB526 HA529:HB530 HA524:HB524 HA523:HB523 HA522:HB522 HA521:HB521 HA520:HB520 HA519:HB519 HA518:HB518 HA517:HB517 HA525:HB525 HA514:HB514 HA515:HB516 HA512:HB512 HA511:HB511 HA510:HB510 HA509:HB509 HA508:HB508 HA507:HB507 HA506:HB506 HA505:HB505 HA504:HB504 HA503:HB503 HA502:HB502 HA501:HB501 HA500:HB500 HA499:HB499 HA498:HB498 HA497:HB497 HA496:HB496 HA495:HB495 HA494:HB494 HA493:HB493 HA492:HB492 HA491:HB491 HA513:HB513 HA489:HB489 HA488:HB488 HA487:HB487 HA486:HB486 HA485:HB485 HA484:HB484 HA483:HB483 HA482:HB482 HA481:HB481 HA480:HB480 HA479:HB479 HA478:HB478 HA477:HB477 HA476:HB476 HA475:HB475 HA474:HB474 HA473:HB473 HA472:HB472 HA471:HB471 HA470:HB470 HA469:HB469 HA490:HB490 HA435:HB435 HA434:HB434 HA433:HB433 HA432:HB432 HA431:HB431 HA430:HB430 HA429:HB429 HA428:HB428 HA427:HB427 HA426:HB426 HA425:HB425 HA424:HB424 HA423:HB423 HA422:HB422 HA421:HB421 HA420:HB420 HA419:HB419 HA418:HB418 HA417:HB417 HA416:HB416 HA415:HB415 HA414:HB414 HA413:HB413 HA412:HB412 HA411:HB411 HA410:HB410 HA409:HB409 HA408:HB408 HA407:HB407 HA406:HB406 HA405:HB405 HA436:HB468 HA356:HB356 HA355:HB355 HA354:HB354 HA353:HB353 HA352:HB352 HA351:HB351 HA350:HB350 HA349:HB349 HA348:HB348 HA347:HB347 HA346:HB346 HA345:HB345 HA344:HB344 HA343:HB343 HA342:HB342 HA341:HB341 HA340:HB340 HA339:HB339 HA338:HB338 HA337:HB337 HA336:HB336 HA335:HB335 HA334:HB334 HA333:HB333 HA332:HB332 HA331:HB331 HA330:HB330 HA329:HB329 HA328:HB328 HA327:HB327 HA326:HB326 HA325:HB325 HA324:HB324 HA323:HB323 HA322:HB322 HA321:HB321 HA320:HB320 HA319:HB319 HA318:HB318 HA317:HB317 HA316:HB316 HA315:HB315 HA314:HB314 HA313:HB313 HA312:HB312 HA311:HB311 HA310:HB310 HA309:HB309 HA308:HB308 HA307:HB307 HA306:HB306 HA305:HB305 HA357:HB404 HA303:HB303 HA302:HB302 HA301:HB301 HA300:HB300 HA299:HB299 HA298:HB298 HA297:HB297 HA296:HB296 HA295:HB295 HA294:HB294 HA293:HB293 HA292:HB292 HA291:HB291 HA290:HB290 HA289:HB289 HA288:HB288 HA287:HB287 HA286:HB286 HA285:HB285 HA284:HB284 HA283:HB283 HA282:HB282 HA281:HB281 HA280:HB280 HA279:HB279 HA278:HB278 HA277:HB277 HA276:HB276 HA275:HB275 HA274:HB274 HA273:HB273 HA272:HB272 HA271:HB271 HA270:HB270 HA269:HB269 HA304:HB304 HA267:HB267 HA266:HB266 HA265:HB265 HA264:HB264 HA263:HB263 HA262:HB262 HA261:HB261 HA260:HB260 HA259:HB259 HA258:HB258 HA257:HB257 HA256:HB256 HA255:HB255 HA268:HB268 HA250:HB250 HA249:HB249 HA248:HB248 HA247:HB247 HA246:HB246 HA245:HB245 HA244:HB244 HA243:HB243 HA242:HB242 HA241:HB241 HA240:HB240 HA239:HB239 HA238:HB238 HA237:HB237 HA236:HB236 HA235:HB235 HA234:HB234 HA251:HB254 HA232:HB232 HA231:HB231 HA230:HB230 HA229:HB229 HA228:HB228 HA227:HB227 HA226:HB226 HA225:HB225 HA224:HB224 HA223:HB223 HA233:HB233 HA221:HB221 HA220:HB220 HA219:HB219 HA218:HB218 HA217:HB217 HA216:HB216 HA215:HB215 HA214:HB214 HA213:HB213 HA212:HB212 HA211:HB211 HA210:HB210 HA209:HB209 HA208:HB208 HA207:HB207 HA206:HB206 HA205:HB205 HA204:HB204 HA222:HB222 HA202:HB202 HA201:HB201 HA200:HB200 HA199:HB199 HA198:HB198 HA197:HB197 HA196:HB196 HA195:HB195 HA194:HB194 HA193:HB193 HA192:HB192 HA191:HB191 HA190:HB190 HA189:HB189 HA188:HB188 HA187:HB187 HA186:HB186 HA185:HB185 HA184:HB184 HA183:HB183 HA182:HB182 HA181:HB181 HA180:HB180 HA179:HB179 HA178:HB178 HA177:HB177 HA176:HB176 HA175:HB175 HA174:HB174 HA173:HB173 HA172:HB172 HA171:HB171 HA170:HB170 HA169:HB169 HA168:HB168 HA167:HB167 HA166:HB166 HA165:HB165 HA164:HB164 HA163:HB163 HA162:HB162 HA161:HB161 HA160:HB160 HA159:HB159 HA158:HB158 HA203:HB203 HA156:HB156 HA155:HB155 HA154:HB154 HA153:HB153 HA152:HB152 HA157:HB157 HA150:HB150 HA149:HB149 HA148:HB148 HA147:HB147 HA146:HB146 HA145:HB145 HA144:HB144 HA151:HB151 HA142:HB142 HA141:HB141 HA140:HB140 HA139:HB139 HA143:HB143 HA137:HB137 HA138:HB138 HA135:HB135 HA134:HB134 HA133:HB133 HA132:HB132 HA131:HB131 HA130:HB130 HA129:HB129 HA136:HB136 HA127:HB127 HA126:HB126 HA128:HB128 HA124:HB124 HA123:HB123 HA122:HB122 HA121:HB121 HA120:HB120 HA119:HB119 HA118:HB118 HA117:HB117 HA116:HB116 HA115:HB115 HA114:HB114 HA113:HB113 HA112:HB112 HA111:HB111 HA110:HB110 HA109:HB109 HA108:HB108 HA107:HB107 HA106:HB106 HA105:HB105 HA104:HB104 HA103:HB103 HA102:HB102 HA101:HB101 HA100:HB100 HA99:HB99 HA98:HB98 HA97:HB97 HA96:HB96 HA125:HB125 HA93:HB93 HA92:HB92 HA91:HB91 HA90:HB90 HA89:HB89 HA88:HB88 HA87:HB87 HA86:HB86 HA85:HB85 HA84:HB84 HA83:HB83 HA82:HB82 HA81:HB81 HA94:HB95 HA79:HB79 HA78:HB78 HA80:HB80 HA76:HB76 HA75:HB75 HA74:HB74 HA73:HB73 HA72:HB72 HA71:HB71 HA70:HB70 HA69:HB69 HA68:HB68 HA67:HB67 HA77:HB77 HA65:HB65 HA64:HB64 HA63:HB63 HA62:HB62 HA66:HB66 HA60:HB60 HA61:HB61 HA58:HB58 HA57:HB57 HA56:HB56 HA55:HB55 HA54:HB54 HA53:HB53 HA52:HB52 HA51:HB51 HA50:HB50 HA59:HB59 GR800:GR801 GN800:GO801 GX800:GX801 GT800:GW801 EY800:GM801 ES800:EX801 GP800:GQ801 GY800:GY801 GS800:GS801 ES50 GY682 GY582 EU50 EW50 EP21 EQ173:ER175 ER172 ER176 GS265 GT304:GW307 GX303:GX599 GU300 GT301:GU301 GU302 GR301 GS301 GS300 GP285:GQ285 GT288:GW297 GX288:GX299 GP286:GQ286 GX112:GX153 EV601:EX601 ET476:EX476 GP476:GQ476 GS476 ES645:EX653 GQ604 ER593 ET593:EX593 ES287:ET287 ES285:ET285 EV285:EX285 EV308:EX308 ES286:ET286 EV286:EX286 EV287:EX287 EU285:EU287 GR286:GR287 GS287 GS286 GS285 GT286:GW286 GU285 GW285 GX286 GX287 GT287:GW287 GR285 GX285 GV285 GT285 GT299:GW299 GU298:GW298 GU303:GW303 GS302 GT303 GR303 GS303 GT309:GW547 GU308:GW308 GX300 GV301:GW301 GW300 GX301 GV300 ES549:EX587 ES548:ET548 EX548 EV548 EU548 EW548 GR550:GR553 GT550:GW599 GU548:GW548 GS550:GS553 GU549:GW549 GT549 GR549 GS548:GS549 GR548 GT548 GX601 GY303:GZ303 GW302 GY302:GZ302 GV302 GX302 EP4 EP22:EP27 EP171 EP7:EP20 EP536 EP755:EP801 EP115 EP62:EQ62 EP5 EP6 EP172:EP257 EP28 EP131:EP153 EP301 EP63:EP82 EP51:EP56 EP111:EP114 EP600:EP706 EP707:EP754 EP273:EP299 EP43:EP44 EP268:EP271 EP29:EP40 EP95:EP108 EP116:EP129 EP156:EP170 EP537:EP587 EP46:EP49 EP58:EP61 EP479:EP483 EP485:EP535 EP84:EP91 EP259:EP266 EP303:EP477 EP589:EP598 EO7:EO20 GO4 GO6 ER90 EQ103:ER103 EQ270:ER271 ER245 GX248:GX284 GS267 EO547:EO706 GS484 GP471:GQ471 GS471 GS477 GS472 GR473:GR476 GR472 GR471 GR477 GW112:GW118 GT116:GT118 GT115 GR112:GR114 GU112:GV118 GT112:GT114 GR116:GR118 GS116:GS118 GR115:GS115 GS112:GS114 EQ131:ER152 ER130 ER153 ER171 EQ296:ER299 ER295 ES296:EX299 ET295 EV295 EX295 GN280:GO284 EQ645:ER653 ET644:EX644 ER644 EQ644 ES644 EQ476 ES476 GS601 EJ24:EN27 EJ23 EL23 EO24:EO546 EN23 EL22 EN22 EQ22:EX25 ER21:EX21 EV300 EV302:EW302 EU302 EU301:EW301 EU300 EW300 EV109 ET109 ES111:EW111 ET110 EV110 ES110 EW110 EU110 ES109 EU109 EW109 ES90:ET90 EX90 EV90 EU90 EW90 GP24:GQ27 GQ21 GQ22 GQ23 GR92 GT92 GT247 GS247 GU247 GW247 GS246 GW246 GU246 GR247 GR246 GV246 GX246 GT246 GX247 GV247 GX110 GV109 GS111 GU109 GT111:GV111 GT110:GV110 GR111 GS110 GS109 GX111 GW109:GW111 GR110 GR109 GX109 GT109 ET4 EV4 HI4:HI6 HI10 HI7 HI8 HI9 HI19:HI27 HI18 HI38 HI28 HI29 HI30 HI31 HI32 HI33 HI34 HI35 HI36 HI37 HI40 HI39 HI46 HI41 HI42 HI43 HI44 HI45 HI48 HI47 HI49 HI696:HI799 HI695 HI694 HI693 HI692 HI691 HI690 HI689 HI688 HI687 HI686 HI685 HI684 HI683 HI682 HI681 HI680 HI679 HI678 HI677 HI676 HI675 HI674 HI673 HI672 HI671 HI670 HI669 HI668 HI667 HI666 HI665 HI664 HI663 HI662 HI661 HI660 HI659 HI658 HI657 HI656 HI655 HI654 HI653 HI652 HI651 HI650 HI649 HI648 HI647 HI646 HI645 HI644 HI643 HI642 HI641 HI800:HI801 HI637 HI636 HI635 HI634 HI633 HI632 HI631 HI630 HI629 HI628 HI627 HI626 HI625 HI638:HI640 HI622 HI621 HI620 HI619 HI618 HI617 HI616 HI615 HI614 HI613 HI612 HI611 HI610 HI609 HI608 HI607 HI606 HI605 HI604 HI623:HI624 HI602 HI601 HI600 HI599 HI598 HI597 HI596 HI595 HI594 HI593 HI592 HI591 HI590 HI589 HI588 HI587 HI586 HI603 HI584 HI583 HI582 HI581 HI580 HI579 HI578 HI577 HI576 HI575 HI574 HI573 HI572 HI571 HI570 HI585 HI568 HI567 HI566 HI569 HI564 HI563 HI562 HI561 HI560 HI559 HI558 HI557 HI556 HI555 HI554 HI553 HI552 HI551 HI550 HI549 HI548 HI547 HI546 HI565 HI544 HI543 HI542 HI541 HI540 HI539 HI538 HI537 HI536 HI535 HI534 HI533 HI532 HI531 HI545 HI528 HI527 HI526 HI529:HI530 HI524 HI523 HI522 HI521 HI520 HI519 HI518 HI517 HI525 HI514 HI515:HI516 HI512 HI511 HI510 HI509 HI508 HI507 HI506 HI505 HI504 HI503 HI502 HI501 HI500 HI499 HI498 HI497 HI496 HI495 HI494 HI493 HI492 HI491 HI513 HI489 HI488 HI487 HI486 HI485 HI484 HI483 HI482 HI481 HI480 HI479 HI478 HI477 HI476 HI475 HI474 HI473 HI472 HI471 HI470 HI469 HI490 HI435 HI434 HI433 HI432 HI431 HI430 HI429 HI428 HI427 HI426 HI425 HI424 HI423 HI422 HI421 HI420 HI419 HI418 HI417 HI416 HI415 HI414 HI413 HI412 HI411 HI410 HI409 HI408 HI407 HI406 HI405 HI436:HI468 HI356 HI355 HI354 HI353 HI352 HI351 HI350 HI349 HI348 HI347 HI346 HI345 HI344 HI343 HI342 HI341 HI340 HI339 HI338 HI337 HI336 HI335 HI334 HI333 HI332 HI331 HI330 HI329 HI328 HI327 HI326 HI325 HI324 HI323 HI322 HI321 HI320 HI319 HI318 HI317 HI316 HI315 HI314 HI313 HI312 HI311 HI310 HI309 HI308 HI307 HI306 HI305 HI357:HI404 HI303 HI302 HI301 HI300 HI299 HI298 HI297 HI296 HI295 HI294 HI293 HI292 HI291 HI290 HI289 HI288 HI287 HI286 HI285 HI284 HI283 HI282 HI281 HI280 HI279 HI278 HI277 HI276 HI275 HI274 HI273 HI272 HI271 HI270 HI269 HI304 HI267 HI266 HI265 HI264 HI263 HI262 HI261 HI260 HI259 HI258 HI257 HI256 HI255 HI268 HI250 HI249 HI248 HI247 HI246 HI245 HI244 HI243 HI242 HI241 HI240 HI239 HI238 HI237 HI236 HI235 HI234 HI251:HI254 HI232 HI231 HI230 HI229 HI228 HI227 HI226 HI225 HI224 HI223 HI233 HI221 HI220 HI219 HI218 HI217 HI216 HI215 HI214 HI213 HI212 HI211 HI210 HI209 HI208 HI207 HI206 HI205 HI204 HI222 HI202 HI201 HI200 HI199 HI198 HI197 HI196 HI195 HI194 HI193 HI192 HI191 HI190 HI189 HI188 HI187 HI186 HI185 HI184 HI183 HI182 HI181 HI180 HI179 HI178 HI177 HI176 HI175 HI174 HI173 HI172 HI171 HI170 HI169 HI168 HI167 HI166 HI165 HI164 HI163 HI162 HI161 HI160 HI159 HI158 HI203 HI156 HI155 HI154 HI153 HI152 HI157 HI150 HI149 HI148 HI147 HI146 HI145 HI144 HI151 HI142 HI141 HI140 HI139 HI143 HI137 HI138 HI135 HI134 HI133 HI132 HI131 HI130 HI129 HI136 HI127 HI126 HI128 HI124 HI123 HI122 HI121 HI120 HI119 HI118 HI117 HI116 HI115 HI114 HI113 HI112 HI111 HI110 HI109 HI108 HI107 HI106 HI105 HI104 HI103 HI102 HI101 HI100 HI99 HI98 HI97 HI96 HI125 HI93 HI92 HI91 HI90 HI89 HI88 HI87 HI86 HI85 HI84 HI83 HI82 HI81 HI94:HI95 HI79 HI78 HI80 HI76 HI75 HI74 HI73 HI72 HI71 HI70 HI69 HI68 HI67 HI77 HI65 HI64 HI63 HI62 HI66 HI60 HI61 HI58 HI57 HI56 HI55 HI54 HI53 HI52 HI51 HI50 HI59" formula="1"/>
    <ignoredError sqref="GL6 GN6" numberStoredAsText="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H565"/>
  <sheetViews>
    <sheetView showGridLines="0" zoomScaleNormal="100" zoomScaleSheetLayoutView="90" workbookViewId="0">
      <pane xSplit="1" ySplit="5" topLeftCell="CL6" activePane="bottomRight" state="frozen"/>
      <selection activeCell="G49" sqref="G49"/>
      <selection pane="topRight" activeCell="G49" sqref="G49"/>
      <selection pane="bottomLeft" activeCell="G49" sqref="G49"/>
      <selection pane="bottomRight" activeCell="CL6" sqref="CL6"/>
    </sheetView>
  </sheetViews>
  <sheetFormatPr defaultRowHeight="12.75" customHeight="1" outlineLevelRow="2" outlineLevelCol="1" x14ac:dyDescent="0.2"/>
  <cols>
    <col min="1" max="1" width="30.140625" style="5" customWidth="1"/>
    <col min="2" max="2" width="7.42578125" style="5" hidden="1" customWidth="1" outlineLevel="1"/>
    <col min="3" max="3" width="7.42578125" style="497" hidden="1" customWidth="1" outlineLevel="1"/>
    <col min="4" max="4" width="7.42578125" style="5" hidden="1" customWidth="1" outlineLevel="1"/>
    <col min="5" max="5" width="7.42578125" style="497" hidden="1" customWidth="1" outlineLevel="1"/>
    <col min="6" max="6" width="7.42578125" style="5" hidden="1" customWidth="1" outlineLevel="1"/>
    <col min="7" max="7" width="7.42578125" style="497" hidden="1" customWidth="1" outlineLevel="1"/>
    <col min="8" max="8" width="7.42578125" style="5" hidden="1" customWidth="1" outlineLevel="1"/>
    <col min="9" max="9" width="7.42578125" style="497" hidden="1" customWidth="1" outlineLevel="1"/>
    <col min="10" max="10" width="7.42578125" style="5" hidden="1" customWidth="1" outlineLevel="1"/>
    <col min="11" max="11" width="7.42578125" style="497" hidden="1" customWidth="1" outlineLevel="1"/>
    <col min="12" max="12" width="7.42578125" style="5" hidden="1" customWidth="1" outlineLevel="1"/>
    <col min="13" max="13" width="7.42578125" style="497" hidden="1" customWidth="1" outlineLevel="1"/>
    <col min="14" max="14" width="7.42578125" style="5" hidden="1" customWidth="1" outlineLevel="1"/>
    <col min="15" max="15" width="7.42578125" style="497" hidden="1" customWidth="1" outlineLevel="1"/>
    <col min="16" max="16" width="7.42578125" style="5" hidden="1" customWidth="1" outlineLevel="1"/>
    <col min="17" max="17" width="7.42578125" style="497" hidden="1" customWidth="1" outlineLevel="1"/>
    <col min="18" max="18" width="7.42578125" style="5" hidden="1" customWidth="1" outlineLevel="1"/>
    <col min="19" max="19" width="7.42578125" style="497" hidden="1" customWidth="1" outlineLevel="1"/>
    <col min="20" max="20" width="7.42578125" style="5" hidden="1" customWidth="1" outlineLevel="1"/>
    <col min="21" max="21" width="7.42578125" style="497" hidden="1" customWidth="1" outlineLevel="1"/>
    <col min="22" max="22" width="7.42578125" style="5" hidden="1" customWidth="1" outlineLevel="1"/>
    <col min="23" max="23" width="7.42578125" style="497" hidden="1" customWidth="1" outlineLevel="1"/>
    <col min="24" max="24" width="7.42578125" style="5" hidden="1" customWidth="1" outlineLevel="1"/>
    <col min="25" max="25" width="7.42578125" style="497" hidden="1" customWidth="1" outlineLevel="1"/>
    <col min="26" max="26" width="7.42578125" style="5" hidden="1" customWidth="1" outlineLevel="1"/>
    <col min="27" max="27" width="7.42578125" style="497" hidden="1" customWidth="1" outlineLevel="1"/>
    <col min="28" max="28" width="7.42578125" style="5" hidden="1" customWidth="1" outlineLevel="1"/>
    <col min="29" max="29" width="7.42578125" style="497" hidden="1" customWidth="1" outlineLevel="1"/>
    <col min="30" max="30" width="7.42578125" style="5" hidden="1" customWidth="1" outlineLevel="1"/>
    <col min="31" max="31" width="7.42578125" style="497" hidden="1" customWidth="1" outlineLevel="1"/>
    <col min="32" max="32" width="7.42578125" style="5" hidden="1" customWidth="1" outlineLevel="1"/>
    <col min="33" max="33" width="7.42578125" style="497" hidden="1" customWidth="1" outlineLevel="1"/>
    <col min="34" max="34" width="7.42578125" style="5" hidden="1" customWidth="1" outlineLevel="1" collapsed="1"/>
    <col min="35" max="35" width="7.42578125" style="497" hidden="1" customWidth="1" outlineLevel="1"/>
    <col min="36" max="36" width="7.42578125" style="5" hidden="1" customWidth="1" outlineLevel="1"/>
    <col min="37" max="37" width="7.42578125" style="497" hidden="1" customWidth="1" outlineLevel="1"/>
    <col min="38" max="38" width="7.42578125" style="5" hidden="1" customWidth="1" outlineLevel="1"/>
    <col min="39" max="39" width="7.42578125" style="497" hidden="1" customWidth="1" outlineLevel="1"/>
    <col min="40" max="40" width="7.42578125" style="5" hidden="1" customWidth="1" outlineLevel="1"/>
    <col min="41" max="41" width="7.42578125" style="497" hidden="1" customWidth="1" outlineLevel="1"/>
    <col min="42" max="42" width="7.42578125" style="5" hidden="1" customWidth="1" outlineLevel="1"/>
    <col min="43" max="43" width="7.42578125" style="497" hidden="1" customWidth="1" outlineLevel="1"/>
    <col min="44" max="44" width="7.42578125" style="5" hidden="1" customWidth="1" outlineLevel="1"/>
    <col min="45" max="45" width="7.42578125" style="497" hidden="1" customWidth="1" outlineLevel="1"/>
    <col min="46" max="46" width="7.42578125" style="5" hidden="1" customWidth="1" outlineLevel="1"/>
    <col min="47" max="47" width="7.42578125" style="497" hidden="1" customWidth="1" outlineLevel="1"/>
    <col min="48" max="48" width="7.42578125" style="5" hidden="1" customWidth="1" outlineLevel="1"/>
    <col min="49" max="49" width="7.42578125" style="497" hidden="1" customWidth="1" outlineLevel="1"/>
    <col min="50" max="50" width="7.42578125" style="5" hidden="1" customWidth="1" outlineLevel="1" collapsed="1"/>
    <col min="51" max="51" width="7.42578125" style="497" hidden="1" customWidth="1" outlineLevel="1"/>
    <col min="52" max="52" width="7.42578125" style="5" hidden="1" customWidth="1" outlineLevel="1" collapsed="1"/>
    <col min="53" max="53" width="7.42578125" style="497" hidden="1" customWidth="1" outlineLevel="1"/>
    <col min="54" max="54" width="7.42578125" style="5" hidden="1" customWidth="1" outlineLevel="1" collapsed="1"/>
    <col min="55" max="55" width="7.42578125" style="497" hidden="1" customWidth="1" outlineLevel="1"/>
    <col min="56" max="56" width="7.42578125" style="5" hidden="1" customWidth="1" outlineLevel="1" collapsed="1"/>
    <col min="57" max="57" width="2.140625" style="497" hidden="1" customWidth="1" outlineLevel="1"/>
    <col min="58" max="58" width="7.42578125" style="5" hidden="1" customWidth="1" outlineLevel="1" collapsed="1"/>
    <col min="59" max="59" width="7.42578125" style="497" hidden="1" customWidth="1" outlineLevel="1"/>
    <col min="60" max="60" width="7.42578125" style="5" hidden="1" customWidth="1" outlineLevel="1" collapsed="1"/>
    <col min="61" max="61" width="7.42578125" style="497" hidden="1" customWidth="1" outlineLevel="1"/>
    <col min="62" max="62" width="7.42578125" style="5" hidden="1" customWidth="1" outlineLevel="1" collapsed="1"/>
    <col min="63" max="63" width="7.42578125" style="497" hidden="1" customWidth="1" outlineLevel="1"/>
    <col min="64" max="64" width="7.42578125" style="5" hidden="1" customWidth="1" outlineLevel="1" collapsed="1"/>
    <col min="65" max="65" width="7.42578125" style="497" hidden="1" customWidth="1" outlineLevel="1"/>
    <col min="66" max="66" width="7.42578125" style="5" hidden="1" customWidth="1" outlineLevel="1"/>
    <col min="67" max="67" width="7.42578125" style="497" hidden="1" customWidth="1" outlineLevel="1"/>
    <col min="68" max="68" width="7.42578125" style="5" hidden="1" customWidth="1" outlineLevel="1"/>
    <col min="69" max="69" width="7.42578125" style="497" hidden="1" customWidth="1" outlineLevel="1"/>
    <col min="70" max="70" width="7.42578125" style="5" hidden="1" customWidth="1" outlineLevel="1"/>
    <col min="71" max="71" width="7.42578125" style="497" hidden="1" customWidth="1" outlineLevel="1"/>
    <col min="72" max="72" width="7.42578125" style="5" hidden="1" customWidth="1" outlineLevel="1"/>
    <col min="73" max="73" width="7.42578125" style="497" hidden="1" customWidth="1" outlineLevel="1"/>
    <col min="74" max="74" width="7.42578125" style="5" hidden="1" customWidth="1" outlineLevel="1"/>
    <col min="75" max="75" width="7.42578125" style="497" hidden="1" customWidth="1" outlineLevel="1"/>
    <col min="76" max="76" width="7.42578125" style="5" hidden="1" customWidth="1" outlineLevel="1"/>
    <col min="77" max="77" width="7.42578125" style="497" hidden="1" customWidth="1" outlineLevel="1"/>
    <col min="78" max="78" width="7.42578125" style="5" hidden="1" customWidth="1" outlineLevel="1"/>
    <col min="79" max="79" width="7.42578125" style="497" hidden="1" customWidth="1" outlineLevel="1"/>
    <col min="80" max="80" width="7.42578125" style="5" hidden="1" customWidth="1" outlineLevel="1"/>
    <col min="81" max="81" width="7.42578125" style="497" hidden="1" customWidth="1" outlineLevel="1"/>
    <col min="82" max="82" width="7.42578125" style="5" hidden="1" customWidth="1" outlineLevel="1" collapsed="1"/>
    <col min="83" max="83" width="7.42578125" style="497" hidden="1" customWidth="1" outlineLevel="1"/>
    <col min="84" max="84" width="7.42578125" style="5" hidden="1" customWidth="1" outlineLevel="1" collapsed="1"/>
    <col min="85" max="85" width="7.42578125" style="497" hidden="1" customWidth="1" outlineLevel="1"/>
    <col min="86" max="86" width="7.42578125" style="5" hidden="1" customWidth="1" outlineLevel="1" collapsed="1"/>
    <col min="87" max="87" width="7.42578125" style="497" hidden="1" customWidth="1" outlineLevel="1"/>
    <col min="88" max="88" width="7.42578125" style="5" hidden="1" customWidth="1" outlineLevel="1" collapsed="1"/>
    <col min="89" max="89" width="7.42578125" style="497" hidden="1" customWidth="1" outlineLevel="1"/>
    <col min="90" max="90" width="7.42578125" style="5" customWidth="1" collapsed="1"/>
    <col min="91" max="91" width="7.42578125" style="497" hidden="1" customWidth="1" outlineLevel="1"/>
    <col min="92" max="92" width="7.42578125" style="5" customWidth="1" collapsed="1"/>
    <col min="93" max="93" width="7.42578125" style="497" hidden="1" customWidth="1" outlineLevel="1"/>
    <col min="94" max="94" width="7.42578125" style="5" customWidth="1" collapsed="1"/>
    <col min="95" max="95" width="7.42578125" style="497" hidden="1" customWidth="1" outlineLevel="1"/>
    <col min="96" max="96" width="7.42578125" style="5" customWidth="1" collapsed="1"/>
    <col min="97" max="97" width="7.42578125" style="497" hidden="1" customWidth="1" outlineLevel="1"/>
    <col min="98" max="98" width="7.42578125" style="5" customWidth="1" collapsed="1"/>
    <col min="99" max="99" width="7.42578125" style="497" customWidth="1" outlineLevel="1"/>
    <col min="100" max="100" width="7.42578125" style="5" customWidth="1"/>
    <col min="101" max="101" width="7.42578125" style="497" hidden="1" customWidth="1" outlineLevel="1"/>
    <col min="102" max="102" width="7.42578125" style="5" customWidth="1" collapsed="1"/>
    <col min="103" max="103" width="7.42578125" style="497" hidden="1" customWidth="1" outlineLevel="1"/>
    <col min="104" max="104" width="7.42578125" style="5" customWidth="1" collapsed="1"/>
    <col min="105" max="105" width="7.42578125" style="497" hidden="1" customWidth="1" outlineLevel="1"/>
    <col min="106" max="106" width="0.85546875" style="5" customWidth="1" collapsed="1"/>
    <col min="107" max="107" width="7.42578125" style="5" hidden="1" customWidth="1" outlineLevel="1"/>
    <col min="108" max="108" width="7.42578125" style="497" hidden="1" customWidth="1" outlineLevel="1"/>
    <col min="109" max="109" width="7.42578125" style="5" hidden="1" customWidth="1" outlineLevel="1"/>
    <col min="110" max="110" width="7.42578125" style="497" hidden="1" customWidth="1" outlineLevel="1"/>
    <col min="111" max="111" width="7.42578125" style="5" hidden="1" customWidth="1" outlineLevel="1"/>
    <col min="112" max="112" width="7.42578125" style="497" hidden="1" customWidth="1" outlineLevel="1"/>
    <col min="113" max="113" width="7.42578125" style="5" hidden="1" customWidth="1" outlineLevel="1"/>
    <col min="114" max="114" width="7.42578125" style="497" hidden="1" customWidth="1" outlineLevel="1"/>
    <col min="115" max="115" width="7.42578125" style="5" hidden="1" customWidth="1" outlineLevel="1"/>
    <col min="116" max="116" width="7.42578125" style="497" hidden="1" customWidth="1" outlineLevel="1"/>
    <col min="117" max="117" width="7.42578125" style="5" hidden="1" customWidth="1" outlineLevel="1" collapsed="1"/>
    <col min="118" max="118" width="7.42578125" style="497" hidden="1" customWidth="1" outlineLevel="1"/>
    <col min="119" max="119" width="7.42578125" style="5" hidden="1" customWidth="1" outlineLevel="1" collapsed="1"/>
    <col min="120" max="120" width="7.42578125" style="497" hidden="1" customWidth="1" outlineLevel="1"/>
    <col min="121" max="121" width="7.42578125" style="5" hidden="1" customWidth="1" outlineLevel="1" collapsed="1"/>
    <col min="122" max="122" width="7.42578125" style="497" hidden="1" customWidth="1" outlineLevel="1"/>
    <col min="123" max="123" width="7.42578125" style="5" hidden="1" customWidth="1" outlineLevel="1"/>
    <col min="124" max="124" width="7.42578125" style="497" hidden="1" customWidth="1" outlineLevel="1"/>
    <col min="125" max="125" width="7.42578125" style="5" hidden="1" customWidth="1" outlineLevel="1"/>
    <col min="126" max="126" width="7.42578125" style="497" hidden="1" customWidth="1" outlineLevel="1"/>
    <col min="127" max="127" width="7.42578125" style="5" customWidth="1" collapsed="1"/>
    <col min="128" max="128" width="7.42578125" style="497" hidden="1" customWidth="1" outlineLevel="1"/>
    <col min="129" max="129" width="7.42578125" style="5" customWidth="1" collapsed="1"/>
    <col min="130" max="130" width="7.42578125" style="497" hidden="1" customWidth="1" outlineLevel="1"/>
    <col min="131" max="131" width="7.42578125" style="5" customWidth="1" collapsed="1"/>
    <col min="132" max="132" width="7.42578125" style="497" customWidth="1" outlineLevel="1"/>
    <col min="133" max="133" width="7.42578125" style="5" customWidth="1"/>
    <col min="134" max="134" width="7.42578125" style="497" customWidth="1" outlineLevel="1"/>
    <col min="135" max="135" width="7.42578125" style="5" customWidth="1"/>
    <col min="136" max="136" width="7.42578125" style="497" hidden="1" customWidth="1" outlineLevel="1"/>
    <col min="137" max="137" width="7.42578125" style="5" customWidth="1" collapsed="1"/>
    <col min="138" max="138" width="7.42578125" style="497" hidden="1" customWidth="1" outlineLevel="1"/>
    <col min="139" max="139" width="7.42578125" style="5" customWidth="1" collapsed="1"/>
    <col min="140" max="140" width="7.42578125" style="497" hidden="1" customWidth="1" outlineLevel="1"/>
    <col min="141" max="141" width="7.42578125" style="5" customWidth="1" collapsed="1"/>
    <col min="142" max="142" width="7.42578125" style="497" hidden="1" customWidth="1" outlineLevel="1"/>
    <col min="143" max="143" width="7.42578125" style="5" customWidth="1" collapsed="1"/>
    <col min="144" max="16384" width="9.140625" style="5"/>
  </cols>
  <sheetData>
    <row r="1" spans="1:152" ht="21.95" customHeight="1" x14ac:dyDescent="0.3">
      <c r="A1" s="769" t="str">
        <f>INPUT!B4</f>
        <v>Lincoln National</v>
      </c>
      <c r="B1" s="683"/>
      <c r="C1" s="684"/>
      <c r="D1" s="683"/>
      <c r="E1" s="684"/>
      <c r="F1" s="683"/>
      <c r="G1" s="684"/>
      <c r="H1" s="683"/>
      <c r="I1" s="684"/>
      <c r="J1" s="683"/>
      <c r="K1" s="684"/>
      <c r="L1" s="683"/>
      <c r="M1" s="684"/>
      <c r="N1" s="683"/>
      <c r="O1" s="684"/>
      <c r="P1" s="683"/>
      <c r="Q1" s="684"/>
      <c r="R1" s="683"/>
      <c r="S1" s="684"/>
      <c r="T1" s="683"/>
      <c r="U1" s="684"/>
      <c r="V1" s="683"/>
      <c r="W1" s="684"/>
      <c r="X1" s="683"/>
      <c r="Y1" s="684"/>
      <c r="Z1" s="683"/>
      <c r="AA1" s="684"/>
      <c r="AB1" s="683"/>
      <c r="AC1" s="684"/>
      <c r="AD1" s="683"/>
      <c r="AE1" s="684"/>
      <c r="AF1" s="683"/>
      <c r="AG1" s="684"/>
      <c r="AH1" s="683"/>
      <c r="AI1" s="684"/>
      <c r="AJ1" s="683"/>
      <c r="AK1" s="684"/>
      <c r="AL1" s="683"/>
      <c r="AM1" s="684"/>
      <c r="AN1" s="683"/>
      <c r="AO1" s="684"/>
      <c r="AP1" s="683"/>
      <c r="AQ1" s="684"/>
      <c r="AR1" s="683"/>
      <c r="AS1" s="684"/>
      <c r="AT1" s="683"/>
      <c r="AU1" s="684"/>
      <c r="AV1" s="683"/>
      <c r="AW1" s="684"/>
      <c r="AX1" s="683"/>
      <c r="AY1" s="684"/>
      <c r="AZ1" s="683"/>
      <c r="BA1" s="684"/>
      <c r="BB1" s="683"/>
      <c r="BC1" s="684"/>
      <c r="BD1" s="683"/>
      <c r="BE1" s="684"/>
      <c r="BF1" s="683"/>
      <c r="BG1" s="684"/>
      <c r="BH1" s="683"/>
      <c r="BI1" s="684"/>
      <c r="BJ1" s="683"/>
      <c r="BK1" s="684"/>
      <c r="BL1" s="683"/>
      <c r="BM1" s="684"/>
      <c r="BN1" s="683"/>
      <c r="BO1" s="684"/>
      <c r="BP1" s="683"/>
      <c r="BQ1" s="684"/>
      <c r="BR1" s="683"/>
      <c r="BS1" s="684"/>
      <c r="BT1" s="683"/>
      <c r="BU1" s="684"/>
      <c r="BV1" s="683"/>
      <c r="BW1" s="684"/>
      <c r="BX1" s="683"/>
      <c r="BY1" s="684"/>
      <c r="BZ1" s="683"/>
      <c r="CA1" s="684"/>
      <c r="CB1" s="683"/>
      <c r="CC1" s="684"/>
      <c r="CD1" s="683"/>
      <c r="CE1" s="684"/>
      <c r="CF1" s="683"/>
      <c r="CG1" s="684"/>
      <c r="CH1" s="683"/>
      <c r="CI1" s="684"/>
      <c r="CJ1" s="683"/>
      <c r="CK1" s="684"/>
      <c r="CL1" s="683"/>
      <c r="CM1" s="684"/>
      <c r="CN1" s="683"/>
      <c r="CO1" s="684"/>
      <c r="CP1" s="683"/>
      <c r="CQ1" s="684"/>
      <c r="CR1" s="683"/>
      <c r="CS1" s="684"/>
      <c r="CT1" s="683"/>
      <c r="CU1" s="684"/>
      <c r="CV1" s="683"/>
      <c r="CW1" s="684"/>
      <c r="CX1" s="683"/>
      <c r="CY1" s="684"/>
      <c r="CZ1" s="683"/>
      <c r="DA1" s="684"/>
      <c r="DB1" s="684"/>
      <c r="DC1" s="683"/>
      <c r="DD1" s="684"/>
      <c r="DE1" s="683"/>
      <c r="DF1" s="684"/>
      <c r="DG1" s="683"/>
      <c r="DH1" s="684"/>
      <c r="DI1" s="683"/>
      <c r="DJ1" s="684"/>
      <c r="DK1" s="683"/>
      <c r="DL1" s="684"/>
      <c r="DM1" s="683"/>
      <c r="DN1" s="684"/>
      <c r="DO1" s="683"/>
      <c r="DP1" s="684"/>
      <c r="DQ1" s="683"/>
      <c r="DR1" s="684"/>
      <c r="DS1" s="683"/>
      <c r="DT1" s="684"/>
      <c r="DU1" s="683"/>
      <c r="DV1" s="684"/>
      <c r="DW1" s="683"/>
      <c r="DX1" s="684"/>
      <c r="DY1" s="683"/>
      <c r="DZ1" s="684"/>
      <c r="EA1" s="683"/>
      <c r="EB1" s="684"/>
      <c r="EC1" s="683"/>
      <c r="ED1" s="684"/>
      <c r="EE1" s="683"/>
      <c r="EF1" s="684"/>
      <c r="EG1" s="683"/>
      <c r="EH1" s="684"/>
      <c r="EI1" s="683"/>
      <c r="EJ1" s="684"/>
      <c r="EK1" s="683"/>
      <c r="EL1" s="684"/>
      <c r="EM1" s="684"/>
    </row>
    <row r="2" spans="1:152" ht="12.75" customHeight="1" x14ac:dyDescent="0.2">
      <c r="A2" s="685" t="s">
        <v>556</v>
      </c>
      <c r="B2" s="4"/>
      <c r="C2" s="686"/>
      <c r="D2" s="4"/>
      <c r="E2" s="686"/>
      <c r="F2" s="4"/>
      <c r="G2" s="686"/>
      <c r="H2" s="4"/>
      <c r="I2" s="686"/>
      <c r="J2" s="4"/>
      <c r="K2" s="686"/>
      <c r="L2" s="4"/>
      <c r="M2" s="686"/>
      <c r="N2" s="4"/>
      <c r="O2" s="686"/>
      <c r="P2" s="4"/>
      <c r="Q2" s="686"/>
      <c r="R2" s="4"/>
      <c r="S2" s="686"/>
      <c r="T2" s="4"/>
      <c r="U2" s="686"/>
      <c r="V2" s="4"/>
      <c r="W2" s="686"/>
      <c r="X2" s="4"/>
      <c r="Y2" s="686"/>
      <c r="Z2" s="4"/>
      <c r="AA2" s="686"/>
      <c r="AB2" s="4"/>
      <c r="AC2" s="686"/>
      <c r="AD2" s="4"/>
      <c r="AE2" s="686"/>
      <c r="AF2" s="4"/>
      <c r="AG2" s="686"/>
      <c r="AH2" s="4"/>
      <c r="AI2" s="686"/>
      <c r="AJ2" s="4"/>
      <c r="AK2" s="686"/>
      <c r="AL2" s="4"/>
      <c r="AM2" s="686"/>
      <c r="AN2" s="4"/>
      <c r="AO2" s="686"/>
      <c r="AP2" s="4"/>
      <c r="AQ2" s="686"/>
      <c r="AR2" s="4"/>
      <c r="AS2" s="686"/>
      <c r="AT2" s="4"/>
      <c r="AU2" s="686"/>
      <c r="AV2" s="4"/>
      <c r="AW2" s="686"/>
      <c r="AX2" s="4"/>
      <c r="AY2" s="686"/>
      <c r="AZ2" s="4"/>
      <c r="BA2" s="686"/>
      <c r="BB2" s="4"/>
      <c r="BC2" s="686"/>
      <c r="BD2" s="4"/>
      <c r="BE2" s="686"/>
      <c r="BF2" s="4"/>
      <c r="BG2" s="686"/>
      <c r="BH2" s="4"/>
      <c r="BI2" s="686"/>
      <c r="BJ2" s="4"/>
      <c r="BK2" s="686"/>
      <c r="BL2" s="4"/>
      <c r="BM2" s="686"/>
      <c r="BN2" s="4"/>
      <c r="BO2" s="686"/>
      <c r="BP2" s="4"/>
      <c r="BQ2" s="686"/>
      <c r="BR2" s="4"/>
      <c r="BS2" s="686"/>
      <c r="BT2" s="4"/>
      <c r="BU2" s="686"/>
      <c r="BV2" s="4"/>
      <c r="BW2" s="686"/>
      <c r="BX2" s="4"/>
      <c r="BY2" s="686"/>
      <c r="BZ2" s="4"/>
      <c r="CA2" s="686"/>
      <c r="CB2" s="4"/>
      <c r="CC2" s="686"/>
      <c r="CD2" s="4"/>
      <c r="CE2" s="686"/>
      <c r="CF2" s="4"/>
      <c r="CG2" s="686"/>
      <c r="CH2" s="4"/>
      <c r="CI2" s="686"/>
      <c r="CJ2" s="4"/>
      <c r="CK2" s="686"/>
      <c r="CL2" s="4"/>
      <c r="CM2" s="686"/>
      <c r="CN2" s="4"/>
      <c r="CO2" s="686"/>
      <c r="CP2" s="4"/>
      <c r="CQ2" s="686"/>
      <c r="CR2" s="4"/>
      <c r="CS2" s="686"/>
      <c r="CT2" s="4"/>
      <c r="CU2" s="686"/>
      <c r="CV2" s="4"/>
      <c r="CW2" s="686"/>
      <c r="CX2" s="4"/>
      <c r="CY2" s="686"/>
      <c r="CZ2" s="4"/>
      <c r="DA2" s="686"/>
      <c r="DB2" s="686"/>
      <c r="DC2" s="4"/>
      <c r="DD2" s="686"/>
      <c r="DE2" s="4"/>
      <c r="DF2" s="686"/>
      <c r="DG2" s="4"/>
      <c r="DH2" s="686"/>
      <c r="DI2" s="4"/>
      <c r="DJ2" s="686"/>
      <c r="DK2" s="4"/>
      <c r="DL2" s="686"/>
      <c r="DM2" s="4"/>
      <c r="DN2" s="686"/>
      <c r="DO2" s="4"/>
      <c r="DP2" s="686"/>
      <c r="DQ2" s="4"/>
      <c r="DR2" s="686"/>
      <c r="DS2" s="4"/>
      <c r="DT2" s="686"/>
      <c r="DU2" s="4"/>
      <c r="DV2" s="686"/>
      <c r="DW2" s="4"/>
      <c r="DX2" s="686"/>
      <c r="DY2" s="4"/>
      <c r="DZ2" s="686"/>
      <c r="EA2" s="4"/>
      <c r="EB2" s="686"/>
      <c r="EC2" s="4"/>
      <c r="ED2" s="686"/>
      <c r="EE2" s="4"/>
      <c r="EF2" s="686"/>
      <c r="EG2" s="4"/>
      <c r="EH2" s="686"/>
      <c r="EI2" s="4"/>
      <c r="EJ2" s="686"/>
      <c r="EK2" s="4"/>
      <c r="EL2" s="686"/>
      <c r="EM2" s="686"/>
    </row>
    <row r="3" spans="1:152" ht="12.75" customHeight="1" x14ac:dyDescent="0.2">
      <c r="A3" s="847" t="s">
        <v>391</v>
      </c>
      <c r="B3" s="848"/>
      <c r="C3" s="849" t="str">
        <f>INPUT!AZ$4</f>
        <v>1Q06/</v>
      </c>
      <c r="D3" s="848"/>
      <c r="E3" s="849" t="str">
        <f>INPUT!BB$4</f>
        <v>2Q06/</v>
      </c>
      <c r="F3" s="848"/>
      <c r="G3" s="849" t="str">
        <f>INPUT!BD$4</f>
        <v>3Q06/</v>
      </c>
      <c r="H3" s="848"/>
      <c r="I3" s="849" t="str">
        <f>INPUT!BF$4</f>
        <v>4Q06/</v>
      </c>
      <c r="J3" s="848"/>
      <c r="K3" s="849" t="str">
        <f>INPUT!BH$4</f>
        <v>1Q07/</v>
      </c>
      <c r="L3" s="848"/>
      <c r="M3" s="849" t="str">
        <f>INPUT!BJ$4</f>
        <v>2Q07/</v>
      </c>
      <c r="N3" s="848"/>
      <c r="O3" s="849" t="str">
        <f>INPUT!BL$4</f>
        <v>3Q07/</v>
      </c>
      <c r="P3" s="848"/>
      <c r="Q3" s="849" t="str">
        <f>INPUT!BN$4</f>
        <v>4Q07/</v>
      </c>
      <c r="R3" s="848"/>
      <c r="S3" s="849" t="str">
        <f>INPUT!BP$4</f>
        <v>1Q08/</v>
      </c>
      <c r="T3" s="848"/>
      <c r="U3" s="849" t="str">
        <f>INPUT!BR$4</f>
        <v>2Q08/</v>
      </c>
      <c r="V3" s="848"/>
      <c r="W3" s="849" t="str">
        <f>INPUT!BT$4</f>
        <v>3Q08/</v>
      </c>
      <c r="X3" s="848"/>
      <c r="Y3" s="849" t="str">
        <f>INPUT!BV$4</f>
        <v>4Q08/</v>
      </c>
      <c r="Z3" s="848"/>
      <c r="AA3" s="849" t="str">
        <f>INPUT!BX$4</f>
        <v>1Q09/</v>
      </c>
      <c r="AB3" s="848"/>
      <c r="AC3" s="849" t="str">
        <f>INPUT!BZ$4</f>
        <v>2Q09/</v>
      </c>
      <c r="AD3" s="848"/>
      <c r="AE3" s="849" t="str">
        <f>INPUT!CB$4</f>
        <v>3Q09/</v>
      </c>
      <c r="AF3" s="848"/>
      <c r="AG3" s="849" t="str">
        <f>INPUT!CD$4</f>
        <v>4Q09/</v>
      </c>
      <c r="AH3" s="848"/>
      <c r="AI3" s="849" t="str">
        <f>INPUT!CF$4</f>
        <v>1Q10/</v>
      </c>
      <c r="AJ3" s="848"/>
      <c r="AK3" s="849" t="str">
        <f>INPUT!CH$4</f>
        <v>2Q10/</v>
      </c>
      <c r="AL3" s="848"/>
      <c r="AM3" s="849" t="str">
        <f>INPUT!CJ$4</f>
        <v>3Q10/</v>
      </c>
      <c r="AN3" s="848"/>
      <c r="AO3" s="849" t="str">
        <f>INPUT!CL$4</f>
        <v>4Q10/</v>
      </c>
      <c r="AP3" s="848"/>
      <c r="AQ3" s="849" t="str">
        <f>INPUT!CN$4</f>
        <v>1Q11/</v>
      </c>
      <c r="AR3" s="848"/>
      <c r="AS3" s="849" t="str">
        <f>INPUT!CP$4</f>
        <v>2Q11/</v>
      </c>
      <c r="AT3" s="848"/>
      <c r="AU3" s="849" t="str">
        <f>INPUT!CR$4</f>
        <v>3Q11/</v>
      </c>
      <c r="AV3" s="848"/>
      <c r="AW3" s="849" t="str">
        <f>INPUT!CT$4</f>
        <v>4Q11/</v>
      </c>
      <c r="AX3" s="848"/>
      <c r="AY3" s="849" t="str">
        <f>INPUT!CV$4</f>
        <v>1Q12/</v>
      </c>
      <c r="AZ3" s="848"/>
      <c r="BA3" s="849" t="str">
        <f>INPUT!CX$4</f>
        <v>2Q12/</v>
      </c>
      <c r="BB3" s="848"/>
      <c r="BC3" s="849" t="str">
        <f>INPUT!CZ$4</f>
        <v>3Q12/</v>
      </c>
      <c r="BD3" s="848"/>
      <c r="BE3" s="849" t="str">
        <f>INPUT!DB$4</f>
        <v>4Q12/</v>
      </c>
      <c r="BF3" s="848"/>
      <c r="BG3" s="849" t="str">
        <f>INPUT!DD$4</f>
        <v>1Q13/</v>
      </c>
      <c r="BH3" s="848"/>
      <c r="BI3" s="849" t="str">
        <f>INPUT!DF$4</f>
        <v>2Q13/</v>
      </c>
      <c r="BJ3" s="848"/>
      <c r="BK3" s="849" t="str">
        <f>INPUT!DH$4</f>
        <v>3Q13/</v>
      </c>
      <c r="BL3" s="848"/>
      <c r="BM3" s="849" t="str">
        <f>INPUT!DJ$4</f>
        <v>4Q13/</v>
      </c>
      <c r="BN3" s="848"/>
      <c r="BO3" s="849" t="str">
        <f>INPUT!DL$4</f>
        <v>1Q14/</v>
      </c>
      <c r="BP3" s="848"/>
      <c r="BQ3" s="849" t="str">
        <f>INPUT!DN$4</f>
        <v>2Q14/</v>
      </c>
      <c r="BR3" s="848"/>
      <c r="BS3" s="849" t="str">
        <f>INPUT!DP$4</f>
        <v>3Q14/</v>
      </c>
      <c r="BT3" s="848"/>
      <c r="BU3" s="849" t="str">
        <f>INPUT!DR$4</f>
        <v>4Q14/</v>
      </c>
      <c r="BV3" s="848"/>
      <c r="BW3" s="849" t="str">
        <f>INPUT!DT$4</f>
        <v>1Q15/</v>
      </c>
      <c r="BX3" s="848"/>
      <c r="BY3" s="849" t="str">
        <f>INPUT!DV$4</f>
        <v>2Q15/</v>
      </c>
      <c r="BZ3" s="848"/>
      <c r="CA3" s="849" t="str">
        <f>INPUT!DX$4</f>
        <v>3Q15/</v>
      </c>
      <c r="CB3" s="848"/>
      <c r="CC3" s="849" t="str">
        <f>INPUT!DZ$4</f>
        <v>4Q15/</v>
      </c>
      <c r="CD3" s="848"/>
      <c r="CE3" s="849" t="str">
        <f>INPUT!EB$4</f>
        <v>1Q16/</v>
      </c>
      <c r="CF3" s="848"/>
      <c r="CG3" s="849" t="str">
        <f>INPUT!ED$4</f>
        <v>2Q16/</v>
      </c>
      <c r="CH3" s="848"/>
      <c r="CI3" s="849" t="str">
        <f>INPUT!EF$4</f>
        <v>3Q16/</v>
      </c>
      <c r="CJ3" s="848"/>
      <c r="CK3" s="849" t="str">
        <f>INPUT!EH$4</f>
        <v>4Q16/</v>
      </c>
      <c r="CL3" s="848"/>
      <c r="CM3" s="849" t="str">
        <f>INPUT!EJ$4</f>
        <v>1Q17/</v>
      </c>
      <c r="CN3" s="848"/>
      <c r="CO3" s="849" t="str">
        <f>INPUT!EL$4</f>
        <v>2Q17/</v>
      </c>
      <c r="CP3" s="848"/>
      <c r="CQ3" s="849" t="str">
        <f>INPUT!EN$4</f>
        <v>3Q17/</v>
      </c>
      <c r="CR3" s="848"/>
      <c r="CS3" s="849" t="str">
        <f>INPUT!EP$4</f>
        <v>4Q17/</v>
      </c>
      <c r="CT3" s="848"/>
      <c r="CU3" s="849" t="str">
        <f>INPUT!ER$4</f>
        <v>1Q18E/</v>
      </c>
      <c r="CV3" s="848"/>
      <c r="CW3" s="849" t="str">
        <f>INPUT!ET$4</f>
        <v>2Q18E/</v>
      </c>
      <c r="CX3" s="848"/>
      <c r="CY3" s="849" t="str">
        <f>INPUT!EV$4</f>
        <v>3Q18E/</v>
      </c>
      <c r="CZ3" s="848"/>
      <c r="DA3" s="849" t="str">
        <f>INPUT!EX$4</f>
        <v>4Q18E/</v>
      </c>
      <c r="DB3" s="848"/>
      <c r="DC3" s="848"/>
      <c r="DD3" s="849" t="str">
        <f>INPUT!FQ$4</f>
        <v>2005/</v>
      </c>
      <c r="DE3" s="848"/>
      <c r="DF3" s="849" t="str">
        <f>INPUT!FS$4</f>
        <v>2006/</v>
      </c>
      <c r="DG3" s="848"/>
      <c r="DH3" s="849" t="str">
        <f>INPUT!FU$4</f>
        <v>2007/</v>
      </c>
      <c r="DI3" s="848"/>
      <c r="DJ3" s="849" t="str">
        <f>INPUT!FW$4</f>
        <v>2008/</v>
      </c>
      <c r="DK3" s="848"/>
      <c r="DL3" s="849" t="str">
        <f>INPUT!FY$4</f>
        <v>2009/</v>
      </c>
      <c r="DM3" s="848"/>
      <c r="DN3" s="849" t="str">
        <f>INPUT!GA$4</f>
        <v>2010/</v>
      </c>
      <c r="DO3" s="848"/>
      <c r="DP3" s="849" t="str">
        <f>INPUT!GC$4</f>
        <v>2011/</v>
      </c>
      <c r="DQ3" s="848"/>
      <c r="DR3" s="849" t="str">
        <f>INPUT!GE$4</f>
        <v>2012/</v>
      </c>
      <c r="DS3" s="848"/>
      <c r="DT3" s="849" t="str">
        <f>INPUT!GG$4</f>
        <v>2013/</v>
      </c>
      <c r="DU3" s="848"/>
      <c r="DV3" s="849" t="str">
        <f>INPUT!GI$4</f>
        <v>2014/</v>
      </c>
      <c r="DW3" s="848"/>
      <c r="DX3" s="849" t="str">
        <f>INPUT!GK$4</f>
        <v>2015/</v>
      </c>
      <c r="DY3" s="848"/>
      <c r="DZ3" s="849" t="str">
        <f>INPUT!GM$4</f>
        <v>2016/</v>
      </c>
      <c r="EA3" s="848"/>
      <c r="EB3" s="849" t="str">
        <f>INPUT!GO$4</f>
        <v>2017/</v>
      </c>
      <c r="EC3" s="848"/>
      <c r="ED3" s="849" t="str">
        <f>INPUT!GQ$4</f>
        <v>2018E/</v>
      </c>
      <c r="EE3" s="848"/>
      <c r="EF3" s="849" t="str">
        <f>INPUT!GS$4</f>
        <v>2019E/</v>
      </c>
      <c r="EG3" s="848"/>
      <c r="EH3" s="849" t="str">
        <f>INPUT!GU$4</f>
        <v>2020E/</v>
      </c>
      <c r="EI3" s="848"/>
      <c r="EJ3" s="849" t="str">
        <f>INPUT!GW$4</f>
        <v>2021E/</v>
      </c>
      <c r="EK3" s="848"/>
      <c r="EL3" s="849" t="str">
        <f>INPUT!GY$4</f>
        <v>2022E/</v>
      </c>
      <c r="EM3" s="850" t="str">
        <f>INPUT!GZ$4</f>
        <v>5-Yr</v>
      </c>
      <c r="EN3" s="638"/>
      <c r="EO3" s="638"/>
      <c r="EP3" s="638"/>
      <c r="EQ3" s="638"/>
      <c r="ER3" s="638"/>
      <c r="ES3" s="638"/>
      <c r="ET3" s="638"/>
      <c r="EU3" s="638"/>
      <c r="EV3" s="638"/>
    </row>
    <row r="4" spans="1:152" ht="12.75" customHeight="1" x14ac:dyDescent="0.2">
      <c r="A4" s="851"/>
      <c r="B4" s="640"/>
      <c r="C4" s="641" t="str">
        <f>INPUT!AZ$5</f>
        <v>1Q05</v>
      </c>
      <c r="D4" s="640"/>
      <c r="E4" s="641" t="str">
        <f>INPUT!BB$5</f>
        <v>2Q05</v>
      </c>
      <c r="F4" s="640"/>
      <c r="G4" s="641" t="str">
        <f>INPUT!BD$5</f>
        <v>3Q05</v>
      </c>
      <c r="H4" s="640"/>
      <c r="I4" s="641" t="str">
        <f>INPUT!BF$5</f>
        <v>4Q05</v>
      </c>
      <c r="J4" s="640"/>
      <c r="K4" s="641" t="str">
        <f>INPUT!BH$5</f>
        <v>1Q06</v>
      </c>
      <c r="L4" s="640"/>
      <c r="M4" s="641" t="str">
        <f>INPUT!BJ$5</f>
        <v>2Q06</v>
      </c>
      <c r="N4" s="640"/>
      <c r="O4" s="641" t="str">
        <f>INPUT!BL$5</f>
        <v>3Q06</v>
      </c>
      <c r="P4" s="640"/>
      <c r="Q4" s="641" t="str">
        <f>INPUT!BN$5</f>
        <v>4Q06</v>
      </c>
      <c r="R4" s="640"/>
      <c r="S4" s="641" t="str">
        <f>INPUT!BP$5</f>
        <v>1Q07</v>
      </c>
      <c r="T4" s="640"/>
      <c r="U4" s="641" t="str">
        <f>INPUT!BR$5</f>
        <v>2Q07</v>
      </c>
      <c r="V4" s="640"/>
      <c r="W4" s="641" t="str">
        <f>INPUT!BT$5</f>
        <v>3Q07</v>
      </c>
      <c r="X4" s="640"/>
      <c r="Y4" s="641" t="str">
        <f>INPUT!BV$5</f>
        <v>4Q07</v>
      </c>
      <c r="Z4" s="640"/>
      <c r="AA4" s="641" t="str">
        <f>INPUT!BX$5</f>
        <v>1Q08</v>
      </c>
      <c r="AB4" s="640"/>
      <c r="AC4" s="641" t="str">
        <f>INPUT!BZ$5</f>
        <v>2Q08</v>
      </c>
      <c r="AD4" s="640"/>
      <c r="AE4" s="641" t="str">
        <f>INPUT!CB$5</f>
        <v>3Q08</v>
      </c>
      <c r="AF4" s="640"/>
      <c r="AG4" s="641" t="str">
        <f>INPUT!CD$5</f>
        <v>4Q08</v>
      </c>
      <c r="AH4" s="640"/>
      <c r="AI4" s="641" t="str">
        <f>INPUT!CF$5</f>
        <v>1Q09</v>
      </c>
      <c r="AJ4" s="640"/>
      <c r="AK4" s="641" t="str">
        <f>INPUT!CH$5</f>
        <v>2Q09</v>
      </c>
      <c r="AL4" s="640"/>
      <c r="AM4" s="641" t="str">
        <f>INPUT!CJ$5</f>
        <v>3Q09</v>
      </c>
      <c r="AN4" s="640"/>
      <c r="AO4" s="641" t="str">
        <f>INPUT!CL$5</f>
        <v>4Q09</v>
      </c>
      <c r="AP4" s="640"/>
      <c r="AQ4" s="641" t="str">
        <f>INPUT!CN$5</f>
        <v>1Q10</v>
      </c>
      <c r="AR4" s="640"/>
      <c r="AS4" s="641" t="str">
        <f>INPUT!CP$5</f>
        <v>2Q10</v>
      </c>
      <c r="AT4" s="640"/>
      <c r="AU4" s="641" t="str">
        <f>INPUT!CR$5</f>
        <v>3Q10</v>
      </c>
      <c r="AV4" s="640"/>
      <c r="AW4" s="641" t="str">
        <f>INPUT!CT$5</f>
        <v>4Q10</v>
      </c>
      <c r="AX4" s="640"/>
      <c r="AY4" s="641" t="str">
        <f>INPUT!CV$5</f>
        <v>1Q11</v>
      </c>
      <c r="AZ4" s="640"/>
      <c r="BA4" s="641" t="str">
        <f>INPUT!CX$5</f>
        <v>2Q11</v>
      </c>
      <c r="BB4" s="640"/>
      <c r="BC4" s="641" t="str">
        <f>INPUT!CZ$5</f>
        <v>3Q11</v>
      </c>
      <c r="BD4" s="640"/>
      <c r="BE4" s="641" t="str">
        <f>INPUT!DB$5</f>
        <v>4Q11</v>
      </c>
      <c r="BF4" s="640"/>
      <c r="BG4" s="641" t="str">
        <f>INPUT!DD$5</f>
        <v>1Q12</v>
      </c>
      <c r="BH4" s="640"/>
      <c r="BI4" s="641" t="str">
        <f>INPUT!DF$5</f>
        <v>2Q12</v>
      </c>
      <c r="BJ4" s="640"/>
      <c r="BK4" s="641" t="str">
        <f>INPUT!DH$5</f>
        <v>3Q12</v>
      </c>
      <c r="BL4" s="640"/>
      <c r="BM4" s="641" t="str">
        <f>INPUT!DJ$5</f>
        <v>4Q12</v>
      </c>
      <c r="BN4" s="640"/>
      <c r="BO4" s="641" t="str">
        <f>INPUT!DL$5</f>
        <v>1Q13</v>
      </c>
      <c r="BP4" s="640"/>
      <c r="BQ4" s="641" t="str">
        <f>INPUT!DN$5</f>
        <v>2Q13</v>
      </c>
      <c r="BR4" s="640"/>
      <c r="BS4" s="641" t="str">
        <f>INPUT!DP$5</f>
        <v>3Q13</v>
      </c>
      <c r="BT4" s="640"/>
      <c r="BU4" s="641" t="str">
        <f>INPUT!DR$5</f>
        <v>4Q13</v>
      </c>
      <c r="BV4" s="640"/>
      <c r="BW4" s="641" t="str">
        <f>INPUT!DT$5</f>
        <v>1Q14</v>
      </c>
      <c r="BX4" s="640"/>
      <c r="BY4" s="641" t="str">
        <f>INPUT!DV$5</f>
        <v>2Q14</v>
      </c>
      <c r="BZ4" s="640"/>
      <c r="CA4" s="641" t="str">
        <f>INPUT!DX$5</f>
        <v>3Q14</v>
      </c>
      <c r="CB4" s="640"/>
      <c r="CC4" s="641" t="str">
        <f>INPUT!DZ$5</f>
        <v>4Q14</v>
      </c>
      <c r="CD4" s="640"/>
      <c r="CE4" s="641" t="str">
        <f>INPUT!EB$5</f>
        <v>1Q15</v>
      </c>
      <c r="CF4" s="640"/>
      <c r="CG4" s="641" t="str">
        <f>INPUT!ED$5</f>
        <v>2Q15</v>
      </c>
      <c r="CH4" s="640"/>
      <c r="CI4" s="641" t="str">
        <f>INPUT!EF$5</f>
        <v>3Q15</v>
      </c>
      <c r="CJ4" s="640"/>
      <c r="CK4" s="641" t="str">
        <f>INPUT!EH$5</f>
        <v>4Q15</v>
      </c>
      <c r="CL4" s="640"/>
      <c r="CM4" s="641" t="str">
        <f>INPUT!EJ$5</f>
        <v>1Q16</v>
      </c>
      <c r="CN4" s="640"/>
      <c r="CO4" s="641" t="str">
        <f>INPUT!EL$5</f>
        <v>2Q16</v>
      </c>
      <c r="CP4" s="640"/>
      <c r="CQ4" s="641" t="str">
        <f>INPUT!EN$5</f>
        <v>3Q16</v>
      </c>
      <c r="CR4" s="640"/>
      <c r="CS4" s="641" t="str">
        <f>INPUT!EP$5</f>
        <v>4Q16</v>
      </c>
      <c r="CT4" s="640"/>
      <c r="CU4" s="641" t="str">
        <f>INPUT!ER$5</f>
        <v>1Q17</v>
      </c>
      <c r="CV4" s="640"/>
      <c r="CW4" s="641" t="str">
        <f>INPUT!ET$5</f>
        <v>2Q17</v>
      </c>
      <c r="CX4" s="640"/>
      <c r="CY4" s="641" t="str">
        <f>INPUT!EV$5</f>
        <v>3Q17</v>
      </c>
      <c r="CZ4" s="640"/>
      <c r="DA4" s="641" t="str">
        <f>INPUT!EX$5</f>
        <v>4Q17</v>
      </c>
      <c r="DB4" s="640"/>
      <c r="DC4" s="640"/>
      <c r="DD4" s="641">
        <f>INPUT!FQ$5</f>
        <v>2004</v>
      </c>
      <c r="DE4" s="640"/>
      <c r="DF4" s="641">
        <f>INPUT!FS$5</f>
        <v>2005</v>
      </c>
      <c r="DG4" s="640"/>
      <c r="DH4" s="641">
        <f>INPUT!FU$5</f>
        <v>2006</v>
      </c>
      <c r="DI4" s="640"/>
      <c r="DJ4" s="641">
        <f>INPUT!FW$5</f>
        <v>2007</v>
      </c>
      <c r="DK4" s="640"/>
      <c r="DL4" s="641">
        <f>INPUT!FY$5</f>
        <v>2008</v>
      </c>
      <c r="DM4" s="640"/>
      <c r="DN4" s="641" t="str">
        <f>INPUT!GA$5</f>
        <v>2009</v>
      </c>
      <c r="DO4" s="640"/>
      <c r="DP4" s="641" t="str">
        <f>INPUT!GC$5</f>
        <v>2010</v>
      </c>
      <c r="DQ4" s="640"/>
      <c r="DR4" s="641" t="str">
        <f>INPUT!GE$5</f>
        <v>2011</v>
      </c>
      <c r="DS4" s="640"/>
      <c r="DT4" s="641" t="str">
        <f>INPUT!GG$5</f>
        <v>2012</v>
      </c>
      <c r="DU4" s="640"/>
      <c r="DV4" s="641" t="str">
        <f>INPUT!GI$5</f>
        <v>2013</v>
      </c>
      <c r="DW4" s="640"/>
      <c r="DX4" s="641" t="str">
        <f>INPUT!GK$5</f>
        <v>2014</v>
      </c>
      <c r="DY4" s="640"/>
      <c r="DZ4" s="641" t="str">
        <f>INPUT!GM$5</f>
        <v>2015</v>
      </c>
      <c r="EA4" s="640"/>
      <c r="EB4" s="641" t="str">
        <f>INPUT!GO$5</f>
        <v>2016</v>
      </c>
      <c r="EC4" s="640"/>
      <c r="ED4" s="641" t="str">
        <f>INPUT!GQ$5</f>
        <v>2017</v>
      </c>
      <c r="EE4" s="640"/>
      <c r="EF4" s="641" t="str">
        <f>INPUT!GS$5</f>
        <v>2018E</v>
      </c>
      <c r="EG4" s="640"/>
      <c r="EH4" s="641" t="str">
        <f>INPUT!GU$5</f>
        <v>2019E</v>
      </c>
      <c r="EI4" s="640"/>
      <c r="EJ4" s="641" t="str">
        <f>INPUT!GW$5</f>
        <v>2020E</v>
      </c>
      <c r="EK4" s="640"/>
      <c r="EL4" s="641" t="str">
        <f>INPUT!GY$5</f>
        <v>2021E</v>
      </c>
      <c r="EM4" s="852" t="str">
        <f>INPUT!GZ$5</f>
        <v>CAGR</v>
      </c>
      <c r="EN4" s="638"/>
      <c r="EO4" s="638"/>
      <c r="EP4" s="638"/>
      <c r="EQ4" s="638"/>
      <c r="ER4" s="638"/>
      <c r="ES4" s="638"/>
      <c r="ET4" s="638"/>
      <c r="EU4" s="638"/>
      <c r="EV4" s="638"/>
    </row>
    <row r="5" spans="1:152" ht="12.75" customHeight="1" x14ac:dyDescent="0.2">
      <c r="A5" s="853"/>
      <c r="B5" s="642" t="str">
        <f>INPUT!AY$6</f>
        <v>1Q06</v>
      </c>
      <c r="C5" s="643" t="str">
        <f>INPUT!AZ$6</f>
        <v>% Chg</v>
      </c>
      <c r="D5" s="642" t="str">
        <f>INPUT!BA$6</f>
        <v>2Q06</v>
      </c>
      <c r="E5" s="643" t="str">
        <f>INPUT!BB$6</f>
        <v>% Chg</v>
      </c>
      <c r="F5" s="642" t="str">
        <f>INPUT!BC$6</f>
        <v>3Q06</v>
      </c>
      <c r="G5" s="643" t="str">
        <f>INPUT!BD$6</f>
        <v>% Chg</v>
      </c>
      <c r="H5" s="642" t="str">
        <f>INPUT!BE$6</f>
        <v>4Q06</v>
      </c>
      <c r="I5" s="643" t="str">
        <f>INPUT!BF$6</f>
        <v>% Chg</v>
      </c>
      <c r="J5" s="642" t="str">
        <f>INPUT!BG$6</f>
        <v>1Q07</v>
      </c>
      <c r="K5" s="643" t="str">
        <f>INPUT!BH$6</f>
        <v>% Chg</v>
      </c>
      <c r="L5" s="642" t="str">
        <f>INPUT!BI$6</f>
        <v>2Q07</v>
      </c>
      <c r="M5" s="643" t="str">
        <f>INPUT!BJ$6</f>
        <v>% Chg</v>
      </c>
      <c r="N5" s="642" t="str">
        <f>INPUT!BK$6</f>
        <v>3Q07</v>
      </c>
      <c r="O5" s="643" t="str">
        <f>INPUT!BL$6</f>
        <v>% Chg</v>
      </c>
      <c r="P5" s="642" t="str">
        <f>INPUT!BM$6</f>
        <v>4Q07</v>
      </c>
      <c r="Q5" s="643" t="str">
        <f>INPUT!BN$6</f>
        <v>% Chg</v>
      </c>
      <c r="R5" s="642" t="str">
        <f>INPUT!BO$6</f>
        <v>1Q08</v>
      </c>
      <c r="S5" s="643" t="str">
        <f>INPUT!BP$6</f>
        <v>% Chg</v>
      </c>
      <c r="T5" s="642" t="str">
        <f>INPUT!BQ$6</f>
        <v>2Q08</v>
      </c>
      <c r="U5" s="643" t="str">
        <f>INPUT!BR$6</f>
        <v>% Chg</v>
      </c>
      <c r="V5" s="642" t="str">
        <f>INPUT!BS$6</f>
        <v>3Q08</v>
      </c>
      <c r="W5" s="643" t="str">
        <f>INPUT!BT$6</f>
        <v>% Chg</v>
      </c>
      <c r="X5" s="642" t="str">
        <f>INPUT!BU$6</f>
        <v>4Q08</v>
      </c>
      <c r="Y5" s="643" t="str">
        <f>INPUT!BV$6</f>
        <v>% Chg</v>
      </c>
      <c r="Z5" s="642" t="str">
        <f>INPUT!BW$6</f>
        <v>1Q09</v>
      </c>
      <c r="AA5" s="643" t="str">
        <f>INPUT!BX$6</f>
        <v>% Chg</v>
      </c>
      <c r="AB5" s="642" t="str">
        <f>INPUT!BY$6</f>
        <v>2Q09</v>
      </c>
      <c r="AC5" s="643" t="str">
        <f>INPUT!BZ$6</f>
        <v>% Chg</v>
      </c>
      <c r="AD5" s="642" t="str">
        <f>INPUT!CA$6</f>
        <v>3Q09</v>
      </c>
      <c r="AE5" s="643" t="str">
        <f>INPUT!CB$6</f>
        <v>% Chg</v>
      </c>
      <c r="AF5" s="642" t="str">
        <f>INPUT!CC$6</f>
        <v>4Q09</v>
      </c>
      <c r="AG5" s="643" t="str">
        <f>INPUT!CD$6</f>
        <v>% Chg</v>
      </c>
      <c r="AH5" s="642" t="str">
        <f>INPUT!CE$6</f>
        <v>1Q10</v>
      </c>
      <c r="AI5" s="643" t="str">
        <f>INPUT!CF$6</f>
        <v>% Chg</v>
      </c>
      <c r="AJ5" s="642" t="str">
        <f>INPUT!CG$6</f>
        <v>2Q10</v>
      </c>
      <c r="AK5" s="643" t="str">
        <f>INPUT!CH$6</f>
        <v>% Chg</v>
      </c>
      <c r="AL5" s="642" t="str">
        <f>INPUT!CI$6</f>
        <v>3Q10</v>
      </c>
      <c r="AM5" s="643" t="str">
        <f>INPUT!CJ$6</f>
        <v>% Chg</v>
      </c>
      <c r="AN5" s="642" t="str">
        <f>INPUT!CK$6</f>
        <v>4Q10</v>
      </c>
      <c r="AO5" s="643" t="str">
        <f>INPUT!CL$6</f>
        <v>% Chg</v>
      </c>
      <c r="AP5" s="642" t="str">
        <f>INPUT!CM$6</f>
        <v>1Q11</v>
      </c>
      <c r="AQ5" s="643" t="str">
        <f>INPUT!CN$6</f>
        <v>% Chg</v>
      </c>
      <c r="AR5" s="642" t="str">
        <f>INPUT!CO$6</f>
        <v>2Q11</v>
      </c>
      <c r="AS5" s="643" t="str">
        <f>INPUT!CP$6</f>
        <v>% Chg</v>
      </c>
      <c r="AT5" s="642" t="str">
        <f>INPUT!CQ$6</f>
        <v>3Q11</v>
      </c>
      <c r="AU5" s="643" t="str">
        <f>INPUT!CR$6</f>
        <v>% Chg</v>
      </c>
      <c r="AV5" s="642" t="str">
        <f>INPUT!CS$6</f>
        <v>4Q11</v>
      </c>
      <c r="AW5" s="643" t="str">
        <f>INPUT!CT$6</f>
        <v>% Chg</v>
      </c>
      <c r="AX5" s="642" t="str">
        <f>INPUT!CU$6</f>
        <v>1Q12</v>
      </c>
      <c r="AY5" s="643" t="str">
        <f>INPUT!CV$6</f>
        <v>% Chg</v>
      </c>
      <c r="AZ5" s="642" t="str">
        <f>INPUT!CW$6</f>
        <v>2Q12</v>
      </c>
      <c r="BA5" s="643" t="str">
        <f>INPUT!CX$6</f>
        <v>% Chg</v>
      </c>
      <c r="BB5" s="642" t="str">
        <f>INPUT!CY$6</f>
        <v>3Q12</v>
      </c>
      <c r="BC5" s="643" t="str">
        <f>INPUT!CZ$6</f>
        <v>% Chg</v>
      </c>
      <c r="BD5" s="642" t="str">
        <f>INPUT!DA$6</f>
        <v>4Q12</v>
      </c>
      <c r="BE5" s="643" t="str">
        <f>INPUT!DB$6</f>
        <v>% Chg</v>
      </c>
      <c r="BF5" s="642" t="str">
        <f>INPUT!DC$6</f>
        <v>1Q13</v>
      </c>
      <c r="BG5" s="643" t="str">
        <f>INPUT!DD$6</f>
        <v>% Chg</v>
      </c>
      <c r="BH5" s="642" t="str">
        <f>INPUT!DE$6</f>
        <v>2Q13</v>
      </c>
      <c r="BI5" s="643" t="str">
        <f>INPUT!DF$6</f>
        <v>% Chg</v>
      </c>
      <c r="BJ5" s="642" t="str">
        <f>INPUT!DG$6</f>
        <v>3Q13</v>
      </c>
      <c r="BK5" s="643" t="str">
        <f>INPUT!DH$6</f>
        <v>% Chg</v>
      </c>
      <c r="BL5" s="642" t="str">
        <f>INPUT!DI$6</f>
        <v>4Q13</v>
      </c>
      <c r="BM5" s="643" t="str">
        <f>INPUT!DJ$6</f>
        <v>% Chg</v>
      </c>
      <c r="BN5" s="642" t="str">
        <f>INPUT!DK$6</f>
        <v>1Q14</v>
      </c>
      <c r="BO5" s="643" t="str">
        <f>INPUT!DL$6</f>
        <v>% Chg</v>
      </c>
      <c r="BP5" s="642" t="str">
        <f>INPUT!DM$6</f>
        <v>2Q14</v>
      </c>
      <c r="BQ5" s="643" t="str">
        <f>INPUT!DN$6</f>
        <v>% Chg</v>
      </c>
      <c r="BR5" s="642" t="str">
        <f>INPUT!DO$6</f>
        <v>3Q14</v>
      </c>
      <c r="BS5" s="643" t="str">
        <f>INPUT!DP$6</f>
        <v>% Chg</v>
      </c>
      <c r="BT5" s="642" t="str">
        <f>INPUT!DQ$6</f>
        <v>4Q14</v>
      </c>
      <c r="BU5" s="643" t="str">
        <f>INPUT!DR$6</f>
        <v>% Chg</v>
      </c>
      <c r="BV5" s="642" t="str">
        <f>INPUT!DS$6</f>
        <v>1Q15</v>
      </c>
      <c r="BW5" s="643" t="str">
        <f>INPUT!DT$6</f>
        <v>% Chg</v>
      </c>
      <c r="BX5" s="642" t="str">
        <f>INPUT!DU$6</f>
        <v>2Q15</v>
      </c>
      <c r="BY5" s="643" t="str">
        <f>INPUT!DV$6</f>
        <v>% Chg</v>
      </c>
      <c r="BZ5" s="642" t="str">
        <f>INPUT!DW$6</f>
        <v>3Q15</v>
      </c>
      <c r="CA5" s="643" t="str">
        <f>INPUT!DX$6</f>
        <v>% Chg</v>
      </c>
      <c r="CB5" s="642" t="str">
        <f>INPUT!DY$6</f>
        <v>4Q15</v>
      </c>
      <c r="CC5" s="643" t="str">
        <f>INPUT!DZ$6</f>
        <v>% Chg</v>
      </c>
      <c r="CD5" s="642" t="str">
        <f>INPUT!EA$6</f>
        <v>1Q16</v>
      </c>
      <c r="CE5" s="643" t="str">
        <f>INPUT!EB$6</f>
        <v>% Chg</v>
      </c>
      <c r="CF5" s="642" t="str">
        <f>INPUT!EC$6</f>
        <v>2Q16</v>
      </c>
      <c r="CG5" s="643" t="str">
        <f>INPUT!ED$6</f>
        <v>% Chg</v>
      </c>
      <c r="CH5" s="642" t="str">
        <f>INPUT!EE$6</f>
        <v>3Q16</v>
      </c>
      <c r="CI5" s="643" t="str">
        <f>INPUT!EF$6</f>
        <v>% Chg</v>
      </c>
      <c r="CJ5" s="642" t="str">
        <f>INPUT!EG$6</f>
        <v>4Q16</v>
      </c>
      <c r="CK5" s="643" t="str">
        <f>INPUT!EH$6</f>
        <v>% Chg</v>
      </c>
      <c r="CL5" s="642" t="str">
        <f>INPUT!EI$6</f>
        <v>1Q17</v>
      </c>
      <c r="CM5" s="643" t="str">
        <f>INPUT!EJ$6</f>
        <v>% Chg</v>
      </c>
      <c r="CN5" s="642" t="str">
        <f>INPUT!EK$6</f>
        <v>2Q17</v>
      </c>
      <c r="CO5" s="643" t="str">
        <f>INPUT!EL$6</f>
        <v>% Chg</v>
      </c>
      <c r="CP5" s="642" t="str">
        <f>INPUT!EM$6</f>
        <v>3Q17</v>
      </c>
      <c r="CQ5" s="643" t="str">
        <f>INPUT!EN$6</f>
        <v>% Chg</v>
      </c>
      <c r="CR5" s="642" t="str">
        <f>INPUT!EO$6</f>
        <v>4Q17</v>
      </c>
      <c r="CS5" s="643" t="str">
        <f>INPUT!EP$6</f>
        <v>% Chg</v>
      </c>
      <c r="CT5" s="642" t="str">
        <f>INPUT!EQ$6</f>
        <v>1Q18E</v>
      </c>
      <c r="CU5" s="643" t="str">
        <f>INPUT!ER$6</f>
        <v>% Chg</v>
      </c>
      <c r="CV5" s="642" t="str">
        <f>INPUT!ES$6</f>
        <v>2Q18E</v>
      </c>
      <c r="CW5" s="643" t="str">
        <f>INPUT!ET$6</f>
        <v>% Chg</v>
      </c>
      <c r="CX5" s="642" t="str">
        <f>INPUT!EU$6</f>
        <v>3Q18E</v>
      </c>
      <c r="CY5" s="643" t="str">
        <f>INPUT!EV$6</f>
        <v>% Chg</v>
      </c>
      <c r="CZ5" s="642" t="str">
        <f>INPUT!EW$6</f>
        <v>4Q18E</v>
      </c>
      <c r="DA5" s="643" t="str">
        <f>INPUT!EX$6</f>
        <v>% Chg</v>
      </c>
      <c r="DB5" s="642"/>
      <c r="DC5" s="644">
        <f>INPUT!FP6</f>
        <v>2005</v>
      </c>
      <c r="DD5" s="643" t="str">
        <f>INPUT!FQ$6</f>
        <v>% Chg</v>
      </c>
      <c r="DE5" s="645">
        <f>INPUT!FR6</f>
        <v>2006</v>
      </c>
      <c r="DF5" s="643" t="str">
        <f>INPUT!FS$6</f>
        <v>% Chg</v>
      </c>
      <c r="DG5" s="646">
        <f>INPUT!FT6</f>
        <v>2007</v>
      </c>
      <c r="DH5" s="643" t="str">
        <f>INPUT!FU$6</f>
        <v>% Chg</v>
      </c>
      <c r="DI5" s="646">
        <f>INPUT!FV6</f>
        <v>2008</v>
      </c>
      <c r="DJ5" s="643" t="str">
        <f>INPUT!FW$6</f>
        <v>% Chg</v>
      </c>
      <c r="DK5" s="642" t="str">
        <f>INPUT!FX6</f>
        <v>2009</v>
      </c>
      <c r="DL5" s="643" t="str">
        <f>INPUT!FY$6</f>
        <v>% Chg</v>
      </c>
      <c r="DM5" s="642" t="str">
        <f>INPUT!FZ6</f>
        <v>2010</v>
      </c>
      <c r="DN5" s="643" t="str">
        <f>INPUT!GA$6</f>
        <v>% Chg</v>
      </c>
      <c r="DO5" s="642" t="str">
        <f>INPUT!GB6</f>
        <v>2011</v>
      </c>
      <c r="DP5" s="643" t="str">
        <f>INPUT!GC$6</f>
        <v>% Chg</v>
      </c>
      <c r="DQ5" s="642" t="str">
        <f>INPUT!GD6</f>
        <v>2012</v>
      </c>
      <c r="DR5" s="643" t="str">
        <f>INPUT!GE$6</f>
        <v>% Chg</v>
      </c>
      <c r="DS5" s="642" t="str">
        <f>INPUT!GF6</f>
        <v>2013</v>
      </c>
      <c r="DT5" s="643" t="str">
        <f>INPUT!GG$6</f>
        <v>% Chg</v>
      </c>
      <c r="DU5" s="642" t="str">
        <f>INPUT!GH6</f>
        <v>2014</v>
      </c>
      <c r="DV5" s="643" t="str">
        <f>INPUT!GI$6</f>
        <v>% Chg</v>
      </c>
      <c r="DW5" s="642" t="str">
        <f>INPUT!GJ6</f>
        <v>2015</v>
      </c>
      <c r="DX5" s="643" t="str">
        <f>INPUT!GK$6</f>
        <v>% Chg</v>
      </c>
      <c r="DY5" s="642" t="str">
        <f>INPUT!GL6</f>
        <v>2016</v>
      </c>
      <c r="DZ5" s="643" t="str">
        <f>INPUT!GM$6</f>
        <v>% Chg</v>
      </c>
      <c r="EA5" s="642" t="str">
        <f>INPUT!GN6</f>
        <v>2017</v>
      </c>
      <c r="EB5" s="643" t="str">
        <f>INPUT!GO$6</f>
        <v>% Chg</v>
      </c>
      <c r="EC5" s="642" t="str">
        <f>INPUT!GP6</f>
        <v>2018E</v>
      </c>
      <c r="ED5" s="643" t="str">
        <f>INPUT!GQ$6</f>
        <v>% Chg</v>
      </c>
      <c r="EE5" s="642" t="str">
        <f>INPUT!GR6</f>
        <v>2019E</v>
      </c>
      <c r="EF5" s="643" t="str">
        <f>INPUT!GS$6</f>
        <v>% Chg</v>
      </c>
      <c r="EG5" s="642" t="str">
        <f>INPUT!GT6</f>
        <v>2020E</v>
      </c>
      <c r="EH5" s="643" t="str">
        <f>INPUT!GU$6</f>
        <v>% Chg</v>
      </c>
      <c r="EI5" s="642" t="str">
        <f>INPUT!GV6</f>
        <v>2021E</v>
      </c>
      <c r="EJ5" s="643" t="str">
        <f>INPUT!GW$6</f>
        <v>% Chg</v>
      </c>
      <c r="EK5" s="642" t="str">
        <f>INPUT!GX6</f>
        <v>2022E</v>
      </c>
      <c r="EL5" s="643" t="str">
        <f>INPUT!GY$6</f>
        <v>% Chg</v>
      </c>
      <c r="EM5" s="854" t="str">
        <f>INPUT!GZ$6</f>
        <v>(%)</v>
      </c>
      <c r="EN5" s="638"/>
      <c r="EO5" s="638"/>
      <c r="EP5" s="638"/>
      <c r="EQ5" s="638"/>
      <c r="ER5" s="638"/>
      <c r="ES5" s="638"/>
      <c r="ET5" s="638"/>
      <c r="EU5" s="638"/>
      <c r="EV5" s="638"/>
    </row>
    <row r="6" spans="1:152" ht="3" customHeight="1" x14ac:dyDescent="0.2">
      <c r="A6" s="851"/>
      <c r="B6" s="640"/>
      <c r="C6" s="641"/>
      <c r="D6" s="640"/>
      <c r="E6" s="641"/>
      <c r="F6" s="640"/>
      <c r="G6" s="641"/>
      <c r="H6" s="640"/>
      <c r="I6" s="641"/>
      <c r="J6" s="640"/>
      <c r="K6" s="641"/>
      <c r="L6" s="640"/>
      <c r="M6" s="641"/>
      <c r="N6" s="640"/>
      <c r="O6" s="641"/>
      <c r="P6" s="640"/>
      <c r="Q6" s="641"/>
      <c r="R6" s="640"/>
      <c r="S6" s="641"/>
      <c r="T6" s="640"/>
      <c r="U6" s="641"/>
      <c r="V6" s="640"/>
      <c r="W6" s="641"/>
      <c r="X6" s="640"/>
      <c r="Y6" s="641"/>
      <c r="Z6" s="640"/>
      <c r="AA6" s="641"/>
      <c r="AB6" s="640"/>
      <c r="AC6" s="641"/>
      <c r="AD6" s="640"/>
      <c r="AE6" s="641"/>
      <c r="AF6" s="640"/>
      <c r="AG6" s="641"/>
      <c r="AH6" s="640"/>
      <c r="AI6" s="641"/>
      <c r="AJ6" s="640"/>
      <c r="AK6" s="641"/>
      <c r="AL6" s="640"/>
      <c r="AM6" s="641"/>
      <c r="AN6" s="640"/>
      <c r="AO6" s="641"/>
      <c r="AP6" s="640"/>
      <c r="AQ6" s="641"/>
      <c r="AR6" s="640"/>
      <c r="AS6" s="641"/>
      <c r="AT6" s="640"/>
      <c r="AU6" s="641"/>
      <c r="AV6" s="640"/>
      <c r="AW6" s="641"/>
      <c r="AX6" s="640"/>
      <c r="AY6" s="641"/>
      <c r="AZ6" s="640"/>
      <c r="BA6" s="641"/>
      <c r="BB6" s="640"/>
      <c r="BC6" s="641"/>
      <c r="BD6" s="640"/>
      <c r="BE6" s="641"/>
      <c r="BF6" s="640"/>
      <c r="BG6" s="641"/>
      <c r="BH6" s="640"/>
      <c r="BI6" s="641"/>
      <c r="BJ6" s="640"/>
      <c r="BK6" s="641"/>
      <c r="BL6" s="640"/>
      <c r="BM6" s="641"/>
      <c r="BN6" s="640"/>
      <c r="BO6" s="641"/>
      <c r="BP6" s="640"/>
      <c r="BQ6" s="641"/>
      <c r="BR6" s="640"/>
      <c r="BS6" s="641"/>
      <c r="BT6" s="640"/>
      <c r="BU6" s="641"/>
      <c r="BV6" s="640"/>
      <c r="BW6" s="641"/>
      <c r="BX6" s="640"/>
      <c r="BY6" s="641"/>
      <c r="BZ6" s="640"/>
      <c r="CA6" s="641"/>
      <c r="CB6" s="640"/>
      <c r="CC6" s="641"/>
      <c r="CD6" s="640"/>
      <c r="CE6" s="641"/>
      <c r="CF6" s="640"/>
      <c r="CG6" s="641"/>
      <c r="CH6" s="640"/>
      <c r="CI6" s="641"/>
      <c r="CJ6" s="640"/>
      <c r="CK6" s="641"/>
      <c r="CL6" s="640"/>
      <c r="CM6" s="641"/>
      <c r="CN6" s="640"/>
      <c r="CO6" s="641"/>
      <c r="CP6" s="640"/>
      <c r="CQ6" s="641"/>
      <c r="CR6" s="640"/>
      <c r="CS6" s="641"/>
      <c r="CT6" s="640"/>
      <c r="CU6" s="641"/>
      <c r="CV6" s="640"/>
      <c r="CW6" s="641"/>
      <c r="CX6" s="640"/>
      <c r="CY6" s="641"/>
      <c r="CZ6" s="640"/>
      <c r="DA6" s="641"/>
      <c r="DB6" s="640"/>
      <c r="DC6" s="647"/>
      <c r="DD6" s="641"/>
      <c r="DE6" s="648"/>
      <c r="DF6" s="641"/>
      <c r="DG6" s="649"/>
      <c r="DH6" s="641"/>
      <c r="DI6" s="649"/>
      <c r="DJ6" s="641"/>
      <c r="DK6" s="640"/>
      <c r="DL6" s="641"/>
      <c r="DM6" s="640"/>
      <c r="DN6" s="641"/>
      <c r="DO6" s="640"/>
      <c r="DP6" s="641"/>
      <c r="DQ6" s="640"/>
      <c r="DR6" s="641"/>
      <c r="DS6" s="640"/>
      <c r="DT6" s="641"/>
      <c r="DU6" s="640"/>
      <c r="DV6" s="641"/>
      <c r="DW6" s="640"/>
      <c r="DX6" s="641"/>
      <c r="DY6" s="640"/>
      <c r="DZ6" s="641"/>
      <c r="EA6" s="640"/>
      <c r="EB6" s="641"/>
      <c r="EC6" s="640"/>
      <c r="ED6" s="641"/>
      <c r="EE6" s="640"/>
      <c r="EF6" s="641"/>
      <c r="EG6" s="640"/>
      <c r="EH6" s="641"/>
      <c r="EI6" s="640"/>
      <c r="EJ6" s="641"/>
      <c r="EK6" s="640"/>
      <c r="EL6" s="641"/>
      <c r="EM6" s="852"/>
      <c r="EN6" s="638"/>
      <c r="EO6" s="638"/>
      <c r="EP6" s="638"/>
      <c r="EQ6" s="638"/>
      <c r="ER6" s="638"/>
      <c r="ES6" s="638"/>
      <c r="ET6" s="638"/>
      <c r="EU6" s="638"/>
      <c r="EV6" s="638"/>
    </row>
    <row r="7" spans="1:152" ht="12.75" customHeight="1" x14ac:dyDescent="0.2">
      <c r="A7" s="855" t="s">
        <v>224</v>
      </c>
      <c r="B7" s="640"/>
      <c r="C7" s="641"/>
      <c r="D7" s="640"/>
      <c r="E7" s="641"/>
      <c r="F7" s="640"/>
      <c r="G7" s="641"/>
      <c r="H7" s="640"/>
      <c r="I7" s="641"/>
      <c r="J7" s="640"/>
      <c r="K7" s="641"/>
      <c r="L7" s="640"/>
      <c r="M7" s="641"/>
      <c r="N7" s="640"/>
      <c r="O7" s="641"/>
      <c r="P7" s="640"/>
      <c r="Q7" s="641"/>
      <c r="R7" s="640"/>
      <c r="S7" s="641"/>
      <c r="T7" s="640"/>
      <c r="U7" s="641"/>
      <c r="V7" s="640"/>
      <c r="W7" s="641"/>
      <c r="X7" s="640"/>
      <c r="Y7" s="641"/>
      <c r="Z7" s="640"/>
      <c r="AA7" s="641"/>
      <c r="AB7" s="640"/>
      <c r="AC7" s="641"/>
      <c r="AD7" s="640"/>
      <c r="AE7" s="641"/>
      <c r="AF7" s="640"/>
      <c r="AG7" s="641"/>
      <c r="AH7" s="640"/>
      <c r="AI7" s="641"/>
      <c r="AJ7" s="640"/>
      <c r="AK7" s="641"/>
      <c r="AL7" s="640"/>
      <c r="AM7" s="641"/>
      <c r="AN7" s="640"/>
      <c r="AO7" s="641"/>
      <c r="AP7" s="640"/>
      <c r="AQ7" s="641"/>
      <c r="AR7" s="640"/>
      <c r="AS7" s="641"/>
      <c r="AT7" s="640"/>
      <c r="AU7" s="641"/>
      <c r="AV7" s="640"/>
      <c r="AW7" s="641"/>
      <c r="AX7" s="640"/>
      <c r="AY7" s="641"/>
      <c r="AZ7" s="640"/>
      <c r="BA7" s="641"/>
      <c r="BB7" s="640"/>
      <c r="BC7" s="641"/>
      <c r="BD7" s="640"/>
      <c r="BE7" s="641"/>
      <c r="BF7" s="640"/>
      <c r="BG7" s="641"/>
      <c r="BH7" s="640"/>
      <c r="BI7" s="641"/>
      <c r="BJ7" s="640"/>
      <c r="BK7" s="641"/>
      <c r="BL7" s="640"/>
      <c r="BM7" s="641"/>
      <c r="BN7" s="640"/>
      <c r="BO7" s="641"/>
      <c r="BP7" s="640"/>
      <c r="BQ7" s="641"/>
      <c r="BR7" s="640"/>
      <c r="BS7" s="641"/>
      <c r="BT7" s="640"/>
      <c r="BU7" s="641"/>
      <c r="BV7" s="640"/>
      <c r="BW7" s="641"/>
      <c r="BX7" s="640"/>
      <c r="BY7" s="641"/>
      <c r="BZ7" s="640"/>
      <c r="CA7" s="641"/>
      <c r="CB7" s="640"/>
      <c r="CC7" s="641"/>
      <c r="CD7" s="640"/>
      <c r="CE7" s="641"/>
      <c r="CF7" s="640"/>
      <c r="CG7" s="641"/>
      <c r="CH7" s="640"/>
      <c r="CI7" s="641"/>
      <c r="CJ7" s="640"/>
      <c r="CK7" s="641"/>
      <c r="CL7" s="640"/>
      <c r="CM7" s="641"/>
      <c r="CN7" s="640"/>
      <c r="CO7" s="641"/>
      <c r="CP7" s="640"/>
      <c r="CQ7" s="641"/>
      <c r="CR7" s="640"/>
      <c r="CS7" s="641"/>
      <c r="CT7" s="640"/>
      <c r="CU7" s="641"/>
      <c r="CV7" s="640"/>
      <c r="CW7" s="641"/>
      <c r="CX7" s="640"/>
      <c r="CY7" s="641"/>
      <c r="CZ7" s="640"/>
      <c r="DA7" s="641"/>
      <c r="DB7" s="640"/>
      <c r="DC7" s="640"/>
      <c r="DD7" s="641"/>
      <c r="DE7" s="640"/>
      <c r="DF7" s="641"/>
      <c r="DG7" s="640"/>
      <c r="DH7" s="641"/>
      <c r="DI7" s="640"/>
      <c r="DJ7" s="641"/>
      <c r="DK7" s="640"/>
      <c r="DL7" s="641"/>
      <c r="DM7" s="640"/>
      <c r="DN7" s="641"/>
      <c r="DO7" s="640"/>
      <c r="DP7" s="641"/>
      <c r="DQ7" s="640"/>
      <c r="DR7" s="641"/>
      <c r="DS7" s="640"/>
      <c r="DT7" s="641"/>
      <c r="DU7" s="640"/>
      <c r="DV7" s="641"/>
      <c r="DW7" s="640"/>
      <c r="DX7" s="641"/>
      <c r="DY7" s="640"/>
      <c r="DZ7" s="641"/>
      <c r="EA7" s="640"/>
      <c r="EB7" s="641"/>
      <c r="EC7" s="640"/>
      <c r="ED7" s="641"/>
      <c r="EE7" s="640"/>
      <c r="EF7" s="641"/>
      <c r="EG7" s="640"/>
      <c r="EH7" s="641"/>
      <c r="EI7" s="640"/>
      <c r="EJ7" s="641"/>
      <c r="EK7" s="640"/>
      <c r="EL7" s="641"/>
      <c r="EM7" s="852"/>
      <c r="EN7" s="638"/>
      <c r="EO7" s="638"/>
      <c r="EP7" s="638"/>
      <c r="EQ7" s="638"/>
      <c r="ER7" s="638"/>
      <c r="ES7" s="638"/>
      <c r="ET7" s="638"/>
      <c r="EU7" s="638"/>
      <c r="EV7" s="638"/>
    </row>
    <row r="8" spans="1:152" ht="12.75" customHeight="1" x14ac:dyDescent="0.2">
      <c r="A8" s="851" t="str">
        <f>INPUT!B518</f>
        <v>Annuities</v>
      </c>
      <c r="B8" s="640">
        <f>INPUT!AY518</f>
        <v>66.399999999999991</v>
      </c>
      <c r="C8" s="641">
        <f>INPUT!AZ518</f>
        <v>33.601609657947584</v>
      </c>
      <c r="D8" s="640">
        <f>INPUT!BA518</f>
        <v>79.100000000000023</v>
      </c>
      <c r="E8" s="641" t="str">
        <f>INPUT!BB518</f>
        <v>NM</v>
      </c>
      <c r="F8" s="640">
        <f>INPUT!BC518</f>
        <v>100.40000000000003</v>
      </c>
      <c r="G8" s="641">
        <f>INPUT!BD518</f>
        <v>27.088607594936832</v>
      </c>
      <c r="H8" s="640">
        <f>INPUT!BE518</f>
        <v>112.69999999999996</v>
      </c>
      <c r="I8" s="641">
        <f>INPUT!BF518</f>
        <v>58.95627644569803</v>
      </c>
      <c r="J8" s="650">
        <f>INPUT!BG518</f>
        <v>112.69999999999997</v>
      </c>
      <c r="K8" s="641">
        <f>INPUT!BH518</f>
        <v>69.728915662650579</v>
      </c>
      <c r="L8" s="650">
        <f>INPUT!BI518</f>
        <v>115.5</v>
      </c>
      <c r="M8" s="641">
        <f>INPUT!BJ518</f>
        <v>46.017699115044209</v>
      </c>
      <c r="N8" s="650">
        <f>INPUT!BK518</f>
        <v>141.9</v>
      </c>
      <c r="O8" s="641">
        <f>INPUT!BL518</f>
        <v>41.334661354581634</v>
      </c>
      <c r="P8" s="650">
        <f>INPUT!BM518</f>
        <v>154.89999999999992</v>
      </c>
      <c r="Q8" s="641">
        <f>INPUT!BN518</f>
        <v>37.444543034605118</v>
      </c>
      <c r="R8" s="650">
        <f>INPUT!BO518</f>
        <v>107.90000000000003</v>
      </c>
      <c r="S8" s="641">
        <f>INPUT!BP518</f>
        <v>-4.2590949423247038</v>
      </c>
      <c r="T8" s="650">
        <f>INPUT!BQ518</f>
        <v>116.20000000000007</v>
      </c>
      <c r="U8" s="641">
        <f>INPUT!BR518</f>
        <v>0.60606060606067658</v>
      </c>
      <c r="V8" s="650">
        <f>INPUT!BS518</f>
        <v>117.90000000000003</v>
      </c>
      <c r="W8" s="641">
        <f>INPUT!BT518</f>
        <v>-16.913319238900616</v>
      </c>
      <c r="X8" s="650">
        <f>INPUT!BU518</f>
        <v>75.299999999999898</v>
      </c>
      <c r="Y8" s="641" t="str">
        <f>INPUT!BV518</f>
        <v>NM</v>
      </c>
      <c r="Z8" s="650">
        <f>INPUT!BW518</f>
        <v>73.90000000000002</v>
      </c>
      <c r="AA8" s="641">
        <f>INPUT!BX518</f>
        <v>-31.510658016682115</v>
      </c>
      <c r="AB8" s="650">
        <f>INPUT!BY518</f>
        <v>65.40000000000002</v>
      </c>
      <c r="AC8" s="641">
        <f>INPUT!BZ518</f>
        <v>-43.717728055077473</v>
      </c>
      <c r="AD8" s="650">
        <f>INPUT!CA518</f>
        <v>79.5</v>
      </c>
      <c r="AE8" s="641">
        <f>INPUT!CB518</f>
        <v>-32.5699745547074</v>
      </c>
      <c r="AF8" s="650">
        <f>INPUT!CC518</f>
        <v>101.19999999999997</v>
      </c>
      <c r="AG8" s="641">
        <f>INPUT!CD518</f>
        <v>34.395750332005463</v>
      </c>
      <c r="AH8" s="650">
        <f>INPUT!CE518</f>
        <v>97.69999999999996</v>
      </c>
      <c r="AI8" s="641">
        <f>INPUT!CF518</f>
        <v>32.205683355886251</v>
      </c>
      <c r="AJ8" s="650">
        <f>INPUT!CG518</f>
        <v>101.4</v>
      </c>
      <c r="AK8" s="641">
        <f>INPUT!CH518</f>
        <v>55.045871559632985</v>
      </c>
      <c r="AL8" s="650">
        <f>INPUT!CI518</f>
        <v>114.09999999999995</v>
      </c>
      <c r="AM8" s="641">
        <f>INPUT!CJ518</f>
        <v>43.522012578616298</v>
      </c>
      <c r="AN8" s="650">
        <f>INPUT!CK518</f>
        <v>121.19999999999997</v>
      </c>
      <c r="AO8" s="641">
        <f>INPUT!CL518</f>
        <v>19.762845849802368</v>
      </c>
      <c r="AP8" s="650">
        <f>INPUT!CM518</f>
        <v>126.00000000000009</v>
      </c>
      <c r="AQ8" s="641">
        <f>INPUT!CN518</f>
        <v>28.966223132036983</v>
      </c>
      <c r="AR8" s="650">
        <f>INPUT!CO518</f>
        <v>130.79999999999993</v>
      </c>
      <c r="AS8" s="641">
        <f>INPUT!CP518</f>
        <v>28.994082840236612</v>
      </c>
      <c r="AT8" s="650">
        <f>INPUT!CQ518</f>
        <v>123.30000000000001</v>
      </c>
      <c r="AU8" s="641">
        <f>INPUT!CR518</f>
        <v>8.063102541630208</v>
      </c>
      <c r="AV8" s="650">
        <f>INPUT!CS518</f>
        <v>131</v>
      </c>
      <c r="AW8" s="641">
        <f>INPUT!CT518</f>
        <v>8.0858085808580995</v>
      </c>
      <c r="AX8" s="650">
        <f>INPUT!CU518</f>
        <v>137</v>
      </c>
      <c r="AY8" s="641">
        <f>INPUT!CV518</f>
        <v>8.7301587301586547</v>
      </c>
      <c r="AZ8" s="650">
        <f>INPUT!CW518</f>
        <v>146</v>
      </c>
      <c r="BA8" s="641">
        <f>INPUT!CX518</f>
        <v>11.620795107033711</v>
      </c>
      <c r="BB8" s="650">
        <f>INPUT!CY518</f>
        <v>148</v>
      </c>
      <c r="BC8" s="641">
        <f>INPUT!CZ518</f>
        <v>20.032441200324392</v>
      </c>
      <c r="BD8" s="650">
        <f>INPUT!DA518</f>
        <v>154</v>
      </c>
      <c r="BE8" s="641">
        <f>INPUT!DB518</f>
        <v>17.557251908396942</v>
      </c>
      <c r="BF8" s="650">
        <f>INPUT!DC518</f>
        <v>159</v>
      </c>
      <c r="BG8" s="641">
        <f>INPUT!DD518</f>
        <v>16.058394160583944</v>
      </c>
      <c r="BH8" s="650">
        <f>INPUT!DE518</f>
        <v>186</v>
      </c>
      <c r="BI8" s="641">
        <f>INPUT!DF518</f>
        <v>27.397260273972602</v>
      </c>
      <c r="BJ8" s="650">
        <f>INPUT!DG518</f>
        <v>194</v>
      </c>
      <c r="BK8" s="641">
        <f>INPUT!DH518</f>
        <v>31.081081081081074</v>
      </c>
      <c r="BL8" s="650">
        <f>INPUT!DI518</f>
        <v>202</v>
      </c>
      <c r="BM8" s="641">
        <f>INPUT!DJ518</f>
        <v>31.168831168831179</v>
      </c>
      <c r="BN8" s="650">
        <f>INPUT!DK518</f>
        <v>216</v>
      </c>
      <c r="BO8" s="641">
        <f>INPUT!DL518</f>
        <v>35.849056603773576</v>
      </c>
      <c r="BP8" s="650">
        <f>INPUT!DM518</f>
        <v>227</v>
      </c>
      <c r="BQ8" s="641">
        <f>INPUT!DN518</f>
        <v>22.043010752688176</v>
      </c>
      <c r="BR8" s="650">
        <f>INPUT!DO518</f>
        <v>233</v>
      </c>
      <c r="BS8" s="641">
        <f>INPUT!DP518</f>
        <v>20.103092783505151</v>
      </c>
      <c r="BT8" s="650">
        <f>INPUT!DQ518</f>
        <v>237</v>
      </c>
      <c r="BU8" s="641">
        <f>INPUT!DR518</f>
        <v>17.326732673267319</v>
      </c>
      <c r="BV8" s="650">
        <f>INPUT!DS518</f>
        <v>239</v>
      </c>
      <c r="BW8" s="641">
        <f>INPUT!DT518</f>
        <v>10.64814814814814</v>
      </c>
      <c r="BX8" s="650">
        <f>INPUT!DU518</f>
        <v>255</v>
      </c>
      <c r="BY8" s="641">
        <f>INPUT!DV518</f>
        <v>12.334801762114544</v>
      </c>
      <c r="BZ8" s="650">
        <f>INPUT!DW518</f>
        <v>254</v>
      </c>
      <c r="CA8" s="641">
        <f>INPUT!DX518</f>
        <v>254</v>
      </c>
      <c r="CB8" s="650">
        <f>INPUT!DY518</f>
        <v>243</v>
      </c>
      <c r="CC8" s="641">
        <f>INPUT!DZ518</f>
        <v>2.5316455696202445</v>
      </c>
      <c r="CD8" s="650">
        <f>INPUT!EA518</f>
        <v>222</v>
      </c>
      <c r="CE8" s="641">
        <f>INPUT!EB518</f>
        <v>-7.1129707112970735</v>
      </c>
      <c r="CF8" s="650">
        <f>INPUT!EC518</f>
        <v>235</v>
      </c>
      <c r="CG8" s="641">
        <f>INPUT!ED518</f>
        <v>-7.8431372549019667</v>
      </c>
      <c r="CH8" s="650">
        <f>INPUT!EE518</f>
        <v>246.9</v>
      </c>
      <c r="CI8" s="641">
        <f>INPUT!EF518</f>
        <v>-2.7952755905511828</v>
      </c>
      <c r="CJ8" s="650">
        <f>INPUT!EG518</f>
        <v>242</v>
      </c>
      <c r="CK8" s="641">
        <f>INPUT!EH518</f>
        <v>-0.41152263374485409</v>
      </c>
      <c r="CL8" s="650">
        <f>INPUT!EI518</f>
        <v>240</v>
      </c>
      <c r="CM8" s="641">
        <f>INPUT!EJ518</f>
        <v>8.1081081081081141</v>
      </c>
      <c r="CN8" s="650">
        <f>INPUT!EK518</f>
        <v>251</v>
      </c>
      <c r="CO8" s="641">
        <f>INPUT!EL518</f>
        <v>6.8085106382978822</v>
      </c>
      <c r="CP8" s="650">
        <f>INPUT!EM518</f>
        <v>262</v>
      </c>
      <c r="CQ8" s="641">
        <f>INPUT!EN518</f>
        <v>6.1158363710003938</v>
      </c>
      <c r="CR8" s="650">
        <f>INPUT!EO518</f>
        <v>265</v>
      </c>
      <c r="CS8" s="641">
        <f>INPUT!EP518</f>
        <v>9.5041322314049594</v>
      </c>
      <c r="CT8" s="650">
        <f>INPUT!EQ518</f>
        <v>280.45693245994198</v>
      </c>
      <c r="CU8" s="641">
        <f>INPUT!ER518</f>
        <v>16.857055191642488</v>
      </c>
      <c r="CV8" s="650">
        <f>INPUT!ES518</f>
        <v>279.8327531685664</v>
      </c>
      <c r="CW8" s="641">
        <f>INPUT!ET518</f>
        <v>11.48715265679936</v>
      </c>
      <c r="CX8" s="650">
        <f>INPUT!EU518</f>
        <v>283.56092073159573</v>
      </c>
      <c r="CY8" s="641">
        <f>INPUT!EV518</f>
        <v>8.2293590578609752</v>
      </c>
      <c r="CZ8" s="650">
        <f>INPUT!EW518</f>
        <v>287.84454086704801</v>
      </c>
      <c r="DA8" s="641">
        <f>INPUT!EX518</f>
        <v>8.6205814592634091</v>
      </c>
      <c r="DB8" s="640"/>
      <c r="DC8" s="640">
        <f>INPUT!FP518</f>
        <v>232.10000000000002</v>
      </c>
      <c r="DD8" s="641" t="str">
        <f>INPUT!FQ518</f>
        <v>NA</v>
      </c>
      <c r="DE8" s="650">
        <f>INPUT!FR518</f>
        <v>358.6</v>
      </c>
      <c r="DF8" s="641">
        <f>INPUT!FS518</f>
        <v>54.502369668246445</v>
      </c>
      <c r="DG8" s="650">
        <f>INPUT!FT518</f>
        <v>524.99999999999955</v>
      </c>
      <c r="DH8" s="641">
        <f>INPUT!FU518</f>
        <v>46.40267707752357</v>
      </c>
      <c r="DI8" s="650">
        <f>INPUT!FV518</f>
        <v>417.30000000000052</v>
      </c>
      <c r="DJ8" s="641">
        <f>INPUT!FW518</f>
        <v>-20.514285714285542</v>
      </c>
      <c r="DK8" s="650">
        <f>INPUT!FX518</f>
        <v>320.00000000000034</v>
      </c>
      <c r="DL8" s="641">
        <f>INPUT!FY518</f>
        <v>-23.316558830577538</v>
      </c>
      <c r="DM8" s="650">
        <f>INPUT!FZ518</f>
        <v>434.4000000000002</v>
      </c>
      <c r="DN8" s="641">
        <f>INPUT!GA518</f>
        <v>35.749999999999929</v>
      </c>
      <c r="DO8" s="650">
        <f>INPUT!GB518</f>
        <v>511.10000000000036</v>
      </c>
      <c r="DP8" s="641">
        <f>INPUT!GC518</f>
        <v>17.656537753222867</v>
      </c>
      <c r="DQ8" s="650">
        <f>INPUT!GD518</f>
        <v>585</v>
      </c>
      <c r="DR8" s="641">
        <f>INPUT!GE518</f>
        <v>14.45900997847771</v>
      </c>
      <c r="DS8" s="650">
        <f>INPUT!GF518</f>
        <v>741</v>
      </c>
      <c r="DT8" s="641">
        <f>INPUT!GG518</f>
        <v>26.666666666666661</v>
      </c>
      <c r="DU8" s="650">
        <f>INPUT!GH518</f>
        <v>913</v>
      </c>
      <c r="DV8" s="641">
        <f>INPUT!GI518</f>
        <v>23.211875843454788</v>
      </c>
      <c r="DW8" s="650">
        <f>INPUT!GJ518</f>
        <v>991</v>
      </c>
      <c r="DX8" s="641">
        <f>INPUT!GK518</f>
        <v>8.5432639649507092</v>
      </c>
      <c r="DY8" s="650">
        <f>INPUT!GL518</f>
        <v>945.9</v>
      </c>
      <c r="DZ8" s="641">
        <f>INPUT!GM518</f>
        <v>-4.5509586276488374</v>
      </c>
      <c r="EA8" s="650">
        <f>INPUT!GN518</f>
        <v>1018</v>
      </c>
      <c r="EB8" s="641">
        <f>INPUT!GO518</f>
        <v>7.6223702294111462</v>
      </c>
      <c r="EC8" s="650">
        <f>INPUT!GP518</f>
        <v>1131.6951472271512</v>
      </c>
      <c r="ED8" s="641">
        <f>INPUT!GQ518</f>
        <v>11.168482045889117</v>
      </c>
      <c r="EE8" s="650">
        <f>INPUT!GR518</f>
        <v>1181.3693742008841</v>
      </c>
      <c r="EF8" s="641">
        <f>INPUT!GS518</f>
        <v>4.3893646708164535</v>
      </c>
      <c r="EG8" s="650">
        <f>INPUT!GT518</f>
        <v>1250.6590838620441</v>
      </c>
      <c r="EH8" s="641">
        <f>INPUT!GU518</f>
        <v>5.8652028039942961</v>
      </c>
      <c r="EI8" s="650">
        <f>INPUT!GV518</f>
        <v>1328.680673140525</v>
      </c>
      <c r="EJ8" s="641">
        <f>INPUT!GW518</f>
        <v>6.238437819325604</v>
      </c>
      <c r="EK8" s="650">
        <f>INPUT!GX518</f>
        <v>1416.4678818113136</v>
      </c>
      <c r="EL8" s="641">
        <f>INPUT!GY518</f>
        <v>6.6070960800002521</v>
      </c>
      <c r="EM8" s="852">
        <f>INPUT!GZ518</f>
        <v>6.8296463446636979</v>
      </c>
      <c r="EN8" s="638"/>
      <c r="EO8" s="638"/>
      <c r="EP8" s="638"/>
      <c r="EQ8" s="638"/>
      <c r="ER8" s="638"/>
      <c r="ES8" s="638"/>
      <c r="ET8" s="638"/>
      <c r="EU8" s="638"/>
      <c r="EV8" s="638"/>
    </row>
    <row r="9" spans="1:152" ht="12.75" customHeight="1" x14ac:dyDescent="0.2">
      <c r="A9" s="851" t="str">
        <f>INPUT!B519</f>
        <v>Defined Contribution</v>
      </c>
      <c r="B9" s="640">
        <f>INPUT!AY519</f>
        <v>52.499999999999986</v>
      </c>
      <c r="C9" s="641">
        <f>INPUT!AZ519</f>
        <v>25.298329355608516</v>
      </c>
      <c r="D9" s="640">
        <f>INPUT!BA519</f>
        <v>52.3</v>
      </c>
      <c r="E9" s="641">
        <f>INPUT!BB519</f>
        <v>15.452538631346592</v>
      </c>
      <c r="F9" s="640">
        <f>INPUT!BC519</f>
        <v>48.5</v>
      </c>
      <c r="G9" s="641" t="str">
        <f>INPUT!BD519</f>
        <v>NM</v>
      </c>
      <c r="H9" s="640">
        <f>INPUT!BE519</f>
        <v>47.59999999999998</v>
      </c>
      <c r="I9" s="641">
        <f>INPUT!BF519</f>
        <v>5.3097345132743445</v>
      </c>
      <c r="J9" s="650">
        <f>INPUT!BG519</f>
        <v>49.70000000000001</v>
      </c>
      <c r="K9" s="641">
        <f>INPUT!BH519</f>
        <v>-5.3333333333332895</v>
      </c>
      <c r="L9" s="650">
        <f>INPUT!BI519</f>
        <v>49.300000000000011</v>
      </c>
      <c r="M9" s="641">
        <f>INPUT!BJ519</f>
        <v>-5.7361376673039866</v>
      </c>
      <c r="N9" s="650">
        <f>INPUT!BK519</f>
        <v>44.199999999999996</v>
      </c>
      <c r="O9" s="641">
        <f>INPUT!BL519</f>
        <v>-8.8659793814433119</v>
      </c>
      <c r="P9" s="650">
        <f>INPUT!BM519</f>
        <v>43.100000000000016</v>
      </c>
      <c r="Q9" s="641">
        <f>INPUT!BN519</f>
        <v>-9.4537815126049747</v>
      </c>
      <c r="R9" s="650">
        <f>INPUT!BO519</f>
        <v>42.4</v>
      </c>
      <c r="S9" s="641">
        <f>INPUT!BP519</f>
        <v>-14.688128772635833</v>
      </c>
      <c r="T9" s="650">
        <f>INPUT!BQ519</f>
        <v>41.3</v>
      </c>
      <c r="U9" s="641">
        <f>INPUT!BR519</f>
        <v>-16.227180527383389</v>
      </c>
      <c r="V9" s="650">
        <f>INPUT!BS519</f>
        <v>42.1</v>
      </c>
      <c r="W9" s="641">
        <f>INPUT!BT519</f>
        <v>-4.7511312217194401</v>
      </c>
      <c r="X9" s="650">
        <f>INPUT!BU519</f>
        <v>24.899999999999988</v>
      </c>
      <c r="Y9" s="641">
        <f>INPUT!BV519</f>
        <v>-42.227378190255273</v>
      </c>
      <c r="Z9" s="650">
        <f>INPUT!BW519</f>
        <v>29.799999999999976</v>
      </c>
      <c r="AA9" s="641">
        <f>INPUT!BX519</f>
        <v>-29.716981132075524</v>
      </c>
      <c r="AB9" s="650">
        <f>INPUT!BY519</f>
        <v>27.70000000000001</v>
      </c>
      <c r="AC9" s="641">
        <f>INPUT!BZ519</f>
        <v>-32.929782082324422</v>
      </c>
      <c r="AD9" s="650">
        <f>INPUT!CA519</f>
        <v>37.600000000000009</v>
      </c>
      <c r="AE9" s="641">
        <f>INPUT!CB519</f>
        <v>-10.688836104513044</v>
      </c>
      <c r="AF9" s="650">
        <f>INPUT!CC519</f>
        <v>36.299999999999976</v>
      </c>
      <c r="AG9" s="641">
        <f>INPUT!CD519</f>
        <v>45.783132530120454</v>
      </c>
      <c r="AH9" s="650">
        <f>INPUT!CE519</f>
        <v>35.899999999999991</v>
      </c>
      <c r="AI9" s="641">
        <f>INPUT!CF519</f>
        <v>20.469798657718187</v>
      </c>
      <c r="AJ9" s="650">
        <f>INPUT!CG519</f>
        <v>36.000000000000021</v>
      </c>
      <c r="AK9" s="641">
        <f>INPUT!CH519</f>
        <v>29.963898916967537</v>
      </c>
      <c r="AL9" s="650">
        <f>INPUT!CI519</f>
        <v>38.800000000000004</v>
      </c>
      <c r="AM9" s="641">
        <f>INPUT!CJ519</f>
        <v>3.1914893617021045</v>
      </c>
      <c r="AN9" s="650">
        <f>INPUT!CK519</f>
        <v>35.6</v>
      </c>
      <c r="AO9" s="641">
        <f>INPUT!CL519</f>
        <v>-1.9283746556473136</v>
      </c>
      <c r="AP9" s="650">
        <f>INPUT!CM519</f>
        <v>38.700000000000003</v>
      </c>
      <c r="AQ9" s="641">
        <f>INPUT!CN519</f>
        <v>7.7994428969359708</v>
      </c>
      <c r="AR9" s="650">
        <f>INPUT!CO519</f>
        <v>39.399999999999991</v>
      </c>
      <c r="AS9" s="641">
        <f>INPUT!CP519</f>
        <v>9.4444444444443665</v>
      </c>
      <c r="AT9" s="650">
        <f>INPUT!CQ519</f>
        <v>36.200000000000003</v>
      </c>
      <c r="AU9" s="641">
        <f>INPUT!CR519</f>
        <v>-6.7010309278350499</v>
      </c>
      <c r="AV9" s="650">
        <f>INPUT!CS519</f>
        <v>33</v>
      </c>
      <c r="AW9" s="641">
        <f>INPUT!CT519</f>
        <v>-7.3033707865168607</v>
      </c>
      <c r="AX9" s="650">
        <f>INPUT!CU519</f>
        <v>35</v>
      </c>
      <c r="AY9" s="641">
        <f>INPUT!CV519</f>
        <v>-9.5607235142118885</v>
      </c>
      <c r="AZ9" s="650">
        <f>INPUT!CW519</f>
        <v>34</v>
      </c>
      <c r="BA9" s="641">
        <f>INPUT!CX519</f>
        <v>-13.705583756345163</v>
      </c>
      <c r="BB9" s="650">
        <f>INPUT!CY519</f>
        <v>32</v>
      </c>
      <c r="BC9" s="641">
        <f>INPUT!CZ519</f>
        <v>-11.602209944751385</v>
      </c>
      <c r="BD9" s="650">
        <f>INPUT!DA519</f>
        <v>32</v>
      </c>
      <c r="BE9" s="641">
        <f>INPUT!DB519</f>
        <v>-3.0303030303030276</v>
      </c>
      <c r="BF9" s="650">
        <f>INPUT!DC519</f>
        <v>33</v>
      </c>
      <c r="BG9" s="641">
        <f>INPUT!DD519</f>
        <v>-5.7142857142857162</v>
      </c>
      <c r="BH9" s="650">
        <f>INPUT!DE519</f>
        <v>34</v>
      </c>
      <c r="BI9" s="641">
        <f>INPUT!DF519</f>
        <v>0</v>
      </c>
      <c r="BJ9" s="650">
        <f>INPUT!DG519</f>
        <v>33</v>
      </c>
      <c r="BK9" s="641">
        <f>INPUT!DH519</f>
        <v>3.125</v>
      </c>
      <c r="BL9" s="650">
        <f>INPUT!DI519</f>
        <v>34</v>
      </c>
      <c r="BM9" s="641">
        <f>INPUT!DJ519</f>
        <v>6.25</v>
      </c>
      <c r="BN9" s="650">
        <f>INPUT!DK519</f>
        <v>39</v>
      </c>
      <c r="BO9" s="641">
        <f>INPUT!DL519</f>
        <v>18.181818181818187</v>
      </c>
      <c r="BP9" s="650">
        <f>INPUT!DM519</f>
        <v>39</v>
      </c>
      <c r="BQ9" s="641">
        <f>INPUT!DN519</f>
        <v>14.705882352941169</v>
      </c>
      <c r="BR9" s="650">
        <f>INPUT!DO519</f>
        <v>40</v>
      </c>
      <c r="BS9" s="641">
        <f>INPUT!DP519</f>
        <v>21.212121212121215</v>
      </c>
      <c r="BT9" s="650">
        <f>INPUT!DQ519</f>
        <v>42</v>
      </c>
      <c r="BU9" s="641">
        <f>INPUT!DR519</f>
        <v>23.529411764705888</v>
      </c>
      <c r="BV9" s="650">
        <f>INPUT!DS519</f>
        <v>35</v>
      </c>
      <c r="BW9" s="641">
        <f>INPUT!DT519</f>
        <v>-10.256410256410254</v>
      </c>
      <c r="BX9" s="650">
        <f>INPUT!DU519</f>
        <v>30</v>
      </c>
      <c r="BY9" s="641">
        <f>INPUT!DV519</f>
        <v>-23.076923076923073</v>
      </c>
      <c r="BZ9" s="650">
        <f>INPUT!DW519</f>
        <v>40</v>
      </c>
      <c r="CA9" s="641">
        <f>INPUT!DX519</f>
        <v>40</v>
      </c>
      <c r="CB9" s="650">
        <f>INPUT!DY519</f>
        <v>33</v>
      </c>
      <c r="CC9" s="641">
        <f>INPUT!DZ519</f>
        <v>-21.428571428571431</v>
      </c>
      <c r="CD9" s="650">
        <f>INPUT!EA519</f>
        <v>35</v>
      </c>
      <c r="CE9" s="641">
        <f>INPUT!EB519</f>
        <v>0</v>
      </c>
      <c r="CF9" s="650">
        <f>INPUT!EC519</f>
        <v>31</v>
      </c>
      <c r="CG9" s="641">
        <f>INPUT!ED519</f>
        <v>3.3333333333333437</v>
      </c>
      <c r="CH9" s="650">
        <f>INPUT!EE519</f>
        <v>30.9</v>
      </c>
      <c r="CI9" s="641">
        <f>INPUT!EF519</f>
        <v>-22.750000000000004</v>
      </c>
      <c r="CJ9" s="650">
        <f>INPUT!EG519</f>
        <v>34</v>
      </c>
      <c r="CK9" s="641">
        <f>INPUT!EH519</f>
        <v>3.0303030303030276</v>
      </c>
      <c r="CL9" s="650">
        <f>INPUT!EI519</f>
        <v>35</v>
      </c>
      <c r="CM9" s="641">
        <f>INPUT!EJ519</f>
        <v>0</v>
      </c>
      <c r="CN9" s="650">
        <f>INPUT!EK519</f>
        <v>37</v>
      </c>
      <c r="CO9" s="641">
        <f>INPUT!EL519</f>
        <v>19.354838709677423</v>
      </c>
      <c r="CP9" s="650">
        <f>INPUT!EM519</f>
        <v>36</v>
      </c>
      <c r="CQ9" s="641">
        <f>INPUT!EN519</f>
        <v>16.504854368932055</v>
      </c>
      <c r="CR9" s="650">
        <f>INPUT!EO519</f>
        <v>41</v>
      </c>
      <c r="CS9" s="641">
        <f>INPUT!EP519</f>
        <v>20.588235294117641</v>
      </c>
      <c r="CT9" s="650">
        <f>INPUT!EQ519</f>
        <v>44.808412163061703</v>
      </c>
      <c r="CU9" s="641">
        <f>INPUT!ER519</f>
        <v>28.024034751604866</v>
      </c>
      <c r="CV9" s="650">
        <f>INPUT!ES519</f>
        <v>44.749433830424493</v>
      </c>
      <c r="CW9" s="641">
        <f>INPUT!ET519</f>
        <v>20.944415757904046</v>
      </c>
      <c r="CX9" s="650">
        <f>INPUT!EU519</f>
        <v>45.211143384642121</v>
      </c>
      <c r="CY9" s="641">
        <f>INPUT!EV519</f>
        <v>25.586509401783665</v>
      </c>
      <c r="CZ9" s="650">
        <f>INPUT!EW519</f>
        <v>45.528944494716114</v>
      </c>
      <c r="DA9" s="641">
        <f>INPUT!EX519</f>
        <v>11.046206084673461</v>
      </c>
      <c r="DB9" s="640"/>
      <c r="DC9" s="640">
        <f>INPUT!FP519</f>
        <v>152.79999999999995</v>
      </c>
      <c r="DD9" s="641" t="str">
        <f>INPUT!FQ519</f>
        <v>NA</v>
      </c>
      <c r="DE9" s="650">
        <f>INPUT!FR519</f>
        <v>200.89999999999998</v>
      </c>
      <c r="DF9" s="641">
        <f>INPUT!FS519</f>
        <v>31.479057591623061</v>
      </c>
      <c r="DG9" s="650">
        <f>INPUT!FT519</f>
        <v>186.29999999999998</v>
      </c>
      <c r="DH9" s="641">
        <f>INPUT!FU519</f>
        <v>-7.2672971627675391</v>
      </c>
      <c r="DI9" s="650">
        <f>INPUT!FV519</f>
        <v>150.70000000000005</v>
      </c>
      <c r="DJ9" s="641">
        <f>INPUT!FW519</f>
        <v>-19.108964036500232</v>
      </c>
      <c r="DK9" s="650">
        <f>INPUT!FX519</f>
        <v>131.40000000000012</v>
      </c>
      <c r="DL9" s="641">
        <f>INPUT!FY519</f>
        <v>-12.80690112806896</v>
      </c>
      <c r="DM9" s="650">
        <f>INPUT!FZ519</f>
        <v>146.30000000000004</v>
      </c>
      <c r="DN9" s="641">
        <f>INPUT!GA519</f>
        <v>11.339421613394141</v>
      </c>
      <c r="DO9" s="650">
        <f>INPUT!GB519</f>
        <v>147.30000000000004</v>
      </c>
      <c r="DP9" s="641">
        <f>INPUT!GC519</f>
        <v>0.68352699931646388</v>
      </c>
      <c r="DQ9" s="650">
        <f>INPUT!GD519</f>
        <v>133</v>
      </c>
      <c r="DR9" s="641">
        <f>INPUT!GE519</f>
        <v>-9.708078750848637</v>
      </c>
      <c r="DS9" s="650">
        <f>INPUT!GF519</f>
        <v>134</v>
      </c>
      <c r="DT9" s="641">
        <f>INPUT!GG519</f>
        <v>0.75187969924812581</v>
      </c>
      <c r="DU9" s="650">
        <f>INPUT!GH519</f>
        <v>160</v>
      </c>
      <c r="DV9" s="641">
        <f>INPUT!GI519</f>
        <v>19.402985074626855</v>
      </c>
      <c r="DW9" s="650">
        <f>INPUT!GJ519</f>
        <v>138</v>
      </c>
      <c r="DX9" s="641">
        <f>INPUT!GK519</f>
        <v>-13.749999999999996</v>
      </c>
      <c r="DY9" s="650">
        <f>INPUT!GL519</f>
        <v>130.9</v>
      </c>
      <c r="DZ9" s="641">
        <f>INPUT!GM519</f>
        <v>-5.1449275362318803</v>
      </c>
      <c r="EA9" s="650">
        <f>INPUT!GN519</f>
        <v>149</v>
      </c>
      <c r="EB9" s="641">
        <f>INPUT!GO519</f>
        <v>13.827349121466771</v>
      </c>
      <c r="EC9" s="650">
        <f>INPUT!GP519</f>
        <v>180.29793387284434</v>
      </c>
      <c r="ED9" s="641">
        <f>INPUT!GQ519</f>
        <v>21.005324746875399</v>
      </c>
      <c r="EE9" s="650">
        <f>INPUT!GR519</f>
        <v>185.68847032386316</v>
      </c>
      <c r="EF9" s="641">
        <f>INPUT!GS519</f>
        <v>2.9897938014201042</v>
      </c>
      <c r="EG9" s="650">
        <f>INPUT!GT519</f>
        <v>191.26398983936861</v>
      </c>
      <c r="EH9" s="641">
        <f>INPUT!GU519</f>
        <v>3.0026201981097955</v>
      </c>
      <c r="EI9" s="650">
        <f>INPUT!GV519</f>
        <v>197.53883524227643</v>
      </c>
      <c r="EJ9" s="641">
        <f>INPUT!GW519</f>
        <v>3.2807249332076127</v>
      </c>
      <c r="EK9" s="650">
        <f>INPUT!GX519</f>
        <v>204.49662363474403</v>
      </c>
      <c r="EL9" s="641">
        <f>INPUT!GY519</f>
        <v>3.5222382393487628</v>
      </c>
      <c r="EM9" s="852">
        <f>INPUT!GZ519</f>
        <v>6.5368801614275496</v>
      </c>
      <c r="EN9" s="638"/>
      <c r="EO9" s="638"/>
      <c r="EP9" s="638"/>
      <c r="EQ9" s="638"/>
      <c r="ER9" s="638"/>
      <c r="ES9" s="638"/>
      <c r="ET9" s="638"/>
      <c r="EU9" s="638"/>
      <c r="EV9" s="638"/>
    </row>
    <row r="10" spans="1:152" ht="12.75" customHeight="1" x14ac:dyDescent="0.2">
      <c r="A10" s="855" t="str">
        <f>INPUT!B520</f>
        <v>Total Retirement Solutions</v>
      </c>
      <c r="B10" s="640">
        <f>INPUT!AY520</f>
        <v>118.89999999999998</v>
      </c>
      <c r="C10" s="641">
        <f>INPUT!AZ520</f>
        <v>29.80349344978157</v>
      </c>
      <c r="D10" s="640">
        <f>INPUT!BA520</f>
        <v>131.40000000000003</v>
      </c>
      <c r="E10" s="641">
        <f>INPUT!BB520</f>
        <v>68.894601542416538</v>
      </c>
      <c r="F10" s="640">
        <f>INPUT!BC520</f>
        <v>148.90000000000003</v>
      </c>
      <c r="G10" s="641">
        <f>INPUT!BD520</f>
        <v>49.798792756539356</v>
      </c>
      <c r="H10" s="640">
        <f>INPUT!BE520</f>
        <v>160.29999999999995</v>
      </c>
      <c r="I10" s="641">
        <f>INPUT!BF520</f>
        <v>38.070628768303138</v>
      </c>
      <c r="J10" s="650">
        <f>INPUT!BG520</f>
        <v>162.39999999999998</v>
      </c>
      <c r="K10" s="641">
        <f>INPUT!BH520</f>
        <v>36.585365853658544</v>
      </c>
      <c r="L10" s="650">
        <f>INPUT!BI520</f>
        <v>164.8</v>
      </c>
      <c r="M10" s="641">
        <f>INPUT!BJ520</f>
        <v>25.418569254185662</v>
      </c>
      <c r="N10" s="650">
        <f>INPUT!BK520</f>
        <v>186.1</v>
      </c>
      <c r="O10" s="641">
        <f>INPUT!BL520</f>
        <v>24.983210208193384</v>
      </c>
      <c r="P10" s="650">
        <f>INPUT!BM520</f>
        <v>197.99999999999994</v>
      </c>
      <c r="Q10" s="641">
        <f>INPUT!BN520</f>
        <v>23.518402994385525</v>
      </c>
      <c r="R10" s="650">
        <f>INPUT!BO520</f>
        <v>150.30000000000004</v>
      </c>
      <c r="S10" s="641">
        <f>INPUT!BP520</f>
        <v>-7.4507389162561166</v>
      </c>
      <c r="T10" s="650">
        <f>INPUT!BQ520</f>
        <v>157.50000000000006</v>
      </c>
      <c r="U10" s="641">
        <f>INPUT!BR520</f>
        <v>-4.4296116504854099</v>
      </c>
      <c r="V10" s="650">
        <f>INPUT!BS520</f>
        <v>160.00000000000003</v>
      </c>
      <c r="W10" s="641">
        <f>INPUT!BT520</f>
        <v>-14.024717893605565</v>
      </c>
      <c r="X10" s="650">
        <f>INPUT!BU520</f>
        <v>100.19999999999989</v>
      </c>
      <c r="Y10" s="641">
        <f>INPUT!BV520</f>
        <v>-49.393939393939434</v>
      </c>
      <c r="Z10" s="650">
        <f>INPUT!BW520</f>
        <v>103.69999999999999</v>
      </c>
      <c r="AA10" s="641">
        <f>INPUT!BX520</f>
        <v>-31.004657351962774</v>
      </c>
      <c r="AB10" s="650">
        <f>INPUT!BY520</f>
        <v>93.100000000000023</v>
      </c>
      <c r="AC10" s="641">
        <f>INPUT!BZ520</f>
        <v>-40.8888888888889</v>
      </c>
      <c r="AD10" s="650">
        <f>INPUT!CA520</f>
        <v>117.10000000000001</v>
      </c>
      <c r="AE10" s="641">
        <f>INPUT!CB520</f>
        <v>-26.812500000000007</v>
      </c>
      <c r="AF10" s="650">
        <f>INPUT!CC520</f>
        <v>137.49999999999994</v>
      </c>
      <c r="AG10" s="641">
        <f>INPUT!CD520</f>
        <v>37.22554890219569</v>
      </c>
      <c r="AH10" s="650">
        <f>INPUT!CE520</f>
        <v>133.59999999999997</v>
      </c>
      <c r="AI10" s="641">
        <f>INPUT!CF520</f>
        <v>28.8331726133076</v>
      </c>
      <c r="AJ10" s="650">
        <f>INPUT!CG520</f>
        <v>137.40000000000003</v>
      </c>
      <c r="AK10" s="641">
        <f>INPUT!CH520</f>
        <v>47.583243823845336</v>
      </c>
      <c r="AL10" s="650">
        <f>INPUT!CI520</f>
        <v>152.89999999999995</v>
      </c>
      <c r="AM10" s="641">
        <f>INPUT!CJ520</f>
        <v>30.572160546541372</v>
      </c>
      <c r="AN10" s="650">
        <f>INPUT!CK520</f>
        <v>156.79999999999998</v>
      </c>
      <c r="AO10" s="641">
        <f>INPUT!CL520</f>
        <v>14.036363636363669</v>
      </c>
      <c r="AP10" s="650">
        <f>INPUT!CM520</f>
        <v>164.7000000000001</v>
      </c>
      <c r="AQ10" s="641">
        <f>INPUT!CN520</f>
        <v>23.27844311377256</v>
      </c>
      <c r="AR10" s="650">
        <f>INPUT!CO520</f>
        <v>170.19999999999993</v>
      </c>
      <c r="AS10" s="641">
        <f>INPUT!CP520</f>
        <v>23.871906841339086</v>
      </c>
      <c r="AT10" s="650">
        <f>INPUT!CQ520</f>
        <v>159.5</v>
      </c>
      <c r="AU10" s="641">
        <f>INPUT!CR520</f>
        <v>4.3165467625899678</v>
      </c>
      <c r="AV10" s="650">
        <f>INPUT!CS520</f>
        <v>164</v>
      </c>
      <c r="AW10" s="641">
        <f>INPUT!CT520</f>
        <v>4.5918367346938993</v>
      </c>
      <c r="AX10" s="651">
        <f>INPUT!CU520</f>
        <v>172</v>
      </c>
      <c r="AY10" s="641">
        <f>INPUT!CV520</f>
        <v>4.4323011536125723</v>
      </c>
      <c r="AZ10" s="651">
        <f>INPUT!CW520</f>
        <v>180</v>
      </c>
      <c r="BA10" s="641">
        <f>INPUT!CX520</f>
        <v>5.7579318448884198</v>
      </c>
      <c r="BB10" s="651">
        <f>INPUT!CY520</f>
        <v>180</v>
      </c>
      <c r="BC10" s="641">
        <f>INPUT!CZ520</f>
        <v>12.852664576802496</v>
      </c>
      <c r="BD10" s="651">
        <f>INPUT!DA520</f>
        <v>186</v>
      </c>
      <c r="BE10" s="641">
        <f>INPUT!DB520</f>
        <v>13.414634146341452</v>
      </c>
      <c r="BF10" s="651">
        <f>INPUT!DC520</f>
        <v>192</v>
      </c>
      <c r="BG10" s="641">
        <f>INPUT!DD520</f>
        <v>11.627906976744185</v>
      </c>
      <c r="BH10" s="651">
        <f>INPUT!DE520</f>
        <v>220</v>
      </c>
      <c r="BI10" s="641">
        <f>INPUT!DF520</f>
        <v>22.222222222222232</v>
      </c>
      <c r="BJ10" s="651">
        <f>INPUT!DG520</f>
        <v>227</v>
      </c>
      <c r="BK10" s="641">
        <f>INPUT!DH520</f>
        <v>26.111111111111107</v>
      </c>
      <c r="BL10" s="651">
        <f>INPUT!DI520</f>
        <v>236</v>
      </c>
      <c r="BM10" s="641">
        <f>INPUT!DJ520</f>
        <v>26.881720430107524</v>
      </c>
      <c r="BN10" s="651">
        <f>INPUT!DK520</f>
        <v>255</v>
      </c>
      <c r="BO10" s="641">
        <f>INPUT!DL520</f>
        <v>32.8125</v>
      </c>
      <c r="BP10" s="651">
        <f>INPUT!DM520</f>
        <v>266</v>
      </c>
      <c r="BQ10" s="641">
        <f>INPUT!DN520</f>
        <v>20.909090909090899</v>
      </c>
      <c r="BR10" s="651">
        <f>INPUT!DO520</f>
        <v>273</v>
      </c>
      <c r="BS10" s="641">
        <f>INPUT!DP520</f>
        <v>20.264317180616743</v>
      </c>
      <c r="BT10" s="651">
        <f>INPUT!DQ520</f>
        <v>279</v>
      </c>
      <c r="BU10" s="641">
        <f>INPUT!DR520</f>
        <v>18.220338983050844</v>
      </c>
      <c r="BV10" s="651">
        <f>INPUT!DS520</f>
        <v>274</v>
      </c>
      <c r="BW10" s="641">
        <f>INPUT!DT520</f>
        <v>7.4509803921568585</v>
      </c>
      <c r="BX10" s="651">
        <f>INPUT!DU520</f>
        <v>285</v>
      </c>
      <c r="BY10" s="641">
        <f>INPUT!DV520</f>
        <v>7.1428571428571397</v>
      </c>
      <c r="BZ10" s="651">
        <f>INPUT!DW520</f>
        <v>294</v>
      </c>
      <c r="CA10" s="641">
        <f>INPUT!DX520</f>
        <v>294</v>
      </c>
      <c r="CB10" s="651">
        <f>INPUT!DY520</f>
        <v>276</v>
      </c>
      <c r="CC10" s="641">
        <f>INPUT!DZ520</f>
        <v>-1.0752688172043001</v>
      </c>
      <c r="CD10" s="651">
        <f>INPUT!EA520</f>
        <v>257</v>
      </c>
      <c r="CE10" s="641">
        <f>INPUT!EB520</f>
        <v>-6.204379562043794</v>
      </c>
      <c r="CF10" s="651">
        <f>INPUT!EC520</f>
        <v>266</v>
      </c>
      <c r="CG10" s="641">
        <f>INPUT!ED520</f>
        <v>-6.6666666666666652</v>
      </c>
      <c r="CH10" s="651">
        <f>INPUT!EE520</f>
        <v>277.8</v>
      </c>
      <c r="CI10" s="641">
        <f>INPUT!EF520</f>
        <v>-5.5102040816326525</v>
      </c>
      <c r="CJ10" s="651">
        <f>INPUT!EG520</f>
        <v>276</v>
      </c>
      <c r="CK10" s="641">
        <f>INPUT!EH520</f>
        <v>0</v>
      </c>
      <c r="CL10" s="651">
        <f>INPUT!EI520</f>
        <v>275</v>
      </c>
      <c r="CM10" s="641">
        <f>INPUT!EJ520</f>
        <v>7.0038910505836549</v>
      </c>
      <c r="CN10" s="651">
        <f>INPUT!EK520</f>
        <v>288</v>
      </c>
      <c r="CO10" s="641">
        <f>INPUT!EL520</f>
        <v>8.2706766917293173</v>
      </c>
      <c r="CP10" s="651">
        <f>INPUT!EM520</f>
        <v>298</v>
      </c>
      <c r="CQ10" s="641">
        <f>INPUT!EN520</f>
        <v>7.2714182865370791</v>
      </c>
      <c r="CR10" s="651">
        <f>INPUT!EO520</f>
        <v>306</v>
      </c>
      <c r="CS10" s="641">
        <f>INPUT!EP520</f>
        <v>10.869565217391308</v>
      </c>
      <c r="CT10" s="651">
        <f>INPUT!EQ520</f>
        <v>325.26534462300367</v>
      </c>
      <c r="CU10" s="641">
        <f>INPUT!ER520</f>
        <v>18.278307135637696</v>
      </c>
      <c r="CV10" s="651">
        <f>INPUT!ES520</f>
        <v>324.58218699899089</v>
      </c>
      <c r="CW10" s="641">
        <f>INPUT!ET520</f>
        <v>12.702148263538504</v>
      </c>
      <c r="CX10" s="651">
        <f>INPUT!EU520</f>
        <v>328.77206411623786</v>
      </c>
      <c r="CY10" s="641">
        <f>INPUT!EV520</f>
        <v>10.326196012160359</v>
      </c>
      <c r="CZ10" s="651">
        <f>INPUT!EW520</f>
        <v>333.3734853617641</v>
      </c>
      <c r="DA10" s="641">
        <f>INPUT!EX520</f>
        <v>8.9455834515568924</v>
      </c>
      <c r="DB10" s="640"/>
      <c r="DC10" s="640">
        <f>INPUT!FP520</f>
        <v>384.9</v>
      </c>
      <c r="DD10" s="641" t="str">
        <f>INPUT!FQ520</f>
        <v>NA</v>
      </c>
      <c r="DE10" s="650">
        <f>INPUT!FR520</f>
        <v>559.5</v>
      </c>
      <c r="DF10" s="641">
        <f>INPUT!FS520</f>
        <v>45.362431800467661</v>
      </c>
      <c r="DG10" s="650">
        <f>INPUT!FT520</f>
        <v>711.2999999999995</v>
      </c>
      <c r="DH10" s="641">
        <f>INPUT!FU520</f>
        <v>27.131367292225118</v>
      </c>
      <c r="DI10" s="650">
        <f>INPUT!FV520</f>
        <v>568.00000000000057</v>
      </c>
      <c r="DJ10" s="641">
        <f>INPUT!FW520</f>
        <v>-20.146211162659778</v>
      </c>
      <c r="DK10" s="650">
        <f>INPUT!FX520</f>
        <v>451.40000000000043</v>
      </c>
      <c r="DL10" s="641">
        <f>INPUT!FY520</f>
        <v>-20.528169014084508</v>
      </c>
      <c r="DM10" s="650">
        <f>INPUT!FZ520</f>
        <v>580.70000000000027</v>
      </c>
      <c r="DN10" s="641">
        <f>INPUT!GA520</f>
        <v>28.644217988480225</v>
      </c>
      <c r="DO10" s="651">
        <f>INPUT!GB520</f>
        <v>658.40000000000043</v>
      </c>
      <c r="DP10" s="641">
        <f>INPUT!GC520</f>
        <v>13.380402961942494</v>
      </c>
      <c r="DQ10" s="651">
        <f>INPUT!GD520</f>
        <v>718</v>
      </c>
      <c r="DR10" s="641">
        <f>INPUT!GE520</f>
        <v>9.0522478736329681</v>
      </c>
      <c r="DS10" s="651">
        <f>INPUT!GF520</f>
        <v>875</v>
      </c>
      <c r="DT10" s="641">
        <f>INPUT!GG520</f>
        <v>21.866295264623957</v>
      </c>
      <c r="DU10" s="651">
        <f>INPUT!GH520</f>
        <v>1073</v>
      </c>
      <c r="DV10" s="641">
        <f>INPUT!GI520</f>
        <v>22.628571428571419</v>
      </c>
      <c r="DW10" s="651">
        <f>INPUT!GJ520</f>
        <v>1129</v>
      </c>
      <c r="DX10" s="641">
        <f>INPUT!GK520</f>
        <v>5.2190121155638369</v>
      </c>
      <c r="DY10" s="651">
        <f>INPUT!GL520</f>
        <v>1076.8</v>
      </c>
      <c r="DZ10" s="641">
        <f>INPUT!GM520</f>
        <v>-4.6235606731620971</v>
      </c>
      <c r="EA10" s="651">
        <f>INPUT!GN520</f>
        <v>1167</v>
      </c>
      <c r="EB10" s="641">
        <f>INPUT!GO520</f>
        <v>8.3766716196136848</v>
      </c>
      <c r="EC10" s="651">
        <f>INPUT!GP520</f>
        <v>1311.9930810999956</v>
      </c>
      <c r="ED10" s="641">
        <f>INPUT!GQ520</f>
        <v>12.42442854327297</v>
      </c>
      <c r="EE10" s="651">
        <f>INPUT!GR520</f>
        <v>1367.0578445247472</v>
      </c>
      <c r="EF10" s="641">
        <f>INPUT!GS520</f>
        <v>4.1970315406377301</v>
      </c>
      <c r="EG10" s="651">
        <f>INPUT!GT520</f>
        <v>1441.9230737014127</v>
      </c>
      <c r="EH10" s="641">
        <f>INPUT!GU520</f>
        <v>5.4763761077492701</v>
      </c>
      <c r="EI10" s="651">
        <f>INPUT!GV520</f>
        <v>1526.2195083828015</v>
      </c>
      <c r="EJ10" s="641">
        <f>INPUT!GW520</f>
        <v>5.8461117807762086</v>
      </c>
      <c r="EK10" s="651">
        <f>INPUT!GX520</f>
        <v>1620.9645054460577</v>
      </c>
      <c r="EL10" s="641">
        <f>INPUT!GY520</f>
        <v>6.2078224359515044</v>
      </c>
      <c r="EM10" s="852">
        <f>INPUT!GZ520</f>
        <v>6.7924450177295537</v>
      </c>
      <c r="EN10" s="638"/>
      <c r="EO10" s="638"/>
      <c r="EP10" s="638"/>
      <c r="EQ10" s="638"/>
      <c r="ER10" s="638"/>
      <c r="ES10" s="638"/>
      <c r="ET10" s="638"/>
      <c r="EU10" s="638"/>
      <c r="EV10" s="638"/>
    </row>
    <row r="11" spans="1:152" ht="12.75" customHeight="1" x14ac:dyDescent="0.2">
      <c r="A11" s="851" t="str">
        <f>INPUT!B523</f>
        <v xml:space="preserve">Life </v>
      </c>
      <c r="B11" s="640">
        <f>INPUT!AY523</f>
        <v>69</v>
      </c>
      <c r="C11" s="641">
        <f>INPUT!AZ523</f>
        <v>10.932475884244353</v>
      </c>
      <c r="D11" s="640">
        <f>INPUT!BA523</f>
        <v>144.1</v>
      </c>
      <c r="E11" s="641" t="str">
        <f>INPUT!BB523</f>
        <v>NM</v>
      </c>
      <c r="F11" s="640">
        <f>INPUT!BC523</f>
        <v>139.7999999999999</v>
      </c>
      <c r="G11" s="641" t="str">
        <f>INPUT!BD523</f>
        <v>NM</v>
      </c>
      <c r="H11" s="640">
        <f>INPUT!BE523</f>
        <v>147.30000000000001</v>
      </c>
      <c r="I11" s="641">
        <f>INPUT!BF523</f>
        <v>99.593495934959407</v>
      </c>
      <c r="J11" s="650">
        <f>INPUT!BG523</f>
        <v>155.60000000000011</v>
      </c>
      <c r="K11" s="641" t="str">
        <f>INPUT!BH523</f>
        <v>NM</v>
      </c>
      <c r="L11" s="650">
        <f>INPUT!BI523</f>
        <v>160.5</v>
      </c>
      <c r="M11" s="641">
        <f>INPUT!BJ523</f>
        <v>11.38098542678696</v>
      </c>
      <c r="N11" s="650">
        <f>INPUT!BK523</f>
        <v>165.8</v>
      </c>
      <c r="O11" s="641">
        <f>INPUT!BL523</f>
        <v>18.597997138769774</v>
      </c>
      <c r="P11" s="650">
        <f>INPUT!BM523</f>
        <v>174.59999999999985</v>
      </c>
      <c r="Q11" s="641">
        <f>INPUT!BN523</f>
        <v>18.533604887983589</v>
      </c>
      <c r="R11" s="650">
        <f>INPUT!BO523</f>
        <v>166.40000000000012</v>
      </c>
      <c r="S11" s="641">
        <f>INPUT!BP523</f>
        <v>6.9408740359897303</v>
      </c>
      <c r="T11" s="650">
        <f>INPUT!BQ523</f>
        <v>163.50000000000006</v>
      </c>
      <c r="U11" s="641">
        <f>INPUT!BR523</f>
        <v>1.8691588785047175</v>
      </c>
      <c r="V11" s="650">
        <f>INPUT!BS523</f>
        <v>167.40000000000009</v>
      </c>
      <c r="W11" s="641">
        <f>INPUT!BT523</f>
        <v>0.96501809408930939</v>
      </c>
      <c r="X11" s="650">
        <f>INPUT!BU523</f>
        <v>133.5</v>
      </c>
      <c r="Y11" s="641">
        <f>INPUT!BV523</f>
        <v>-23.53951890034358</v>
      </c>
      <c r="Z11" s="650">
        <f>INPUT!BW523</f>
        <v>142.20000000000005</v>
      </c>
      <c r="AA11" s="641">
        <f>INPUT!BX523</f>
        <v>-14.543269230769262</v>
      </c>
      <c r="AB11" s="650">
        <f>INPUT!BY523</f>
        <v>132.90000000000003</v>
      </c>
      <c r="AC11" s="641">
        <f>INPUT!BZ523</f>
        <v>-18.71559633027524</v>
      </c>
      <c r="AD11" s="650">
        <f>INPUT!CA523</f>
        <v>142.49999999999991</v>
      </c>
      <c r="AE11" s="641">
        <f>INPUT!CB523</f>
        <v>-14.874551971326266</v>
      </c>
      <c r="AF11" s="650">
        <f>INPUT!CC523</f>
        <v>157.60000000000014</v>
      </c>
      <c r="AG11" s="641">
        <f>INPUT!CD523</f>
        <v>18.052434456928946</v>
      </c>
      <c r="AH11" s="650">
        <f>INPUT!CE523</f>
        <v>150.90000000000003</v>
      </c>
      <c r="AI11" s="641">
        <f>INPUT!CF523</f>
        <v>6.1181434599155926</v>
      </c>
      <c r="AJ11" s="650">
        <f>INPUT!CG523</f>
        <v>151.70000000000005</v>
      </c>
      <c r="AK11" s="641">
        <f>INPUT!CH523</f>
        <v>14.14597441685479</v>
      </c>
      <c r="AL11" s="650">
        <f>INPUT!CI523</f>
        <v>151.89999999999995</v>
      </c>
      <c r="AM11" s="641">
        <f>INPUT!CJ523</f>
        <v>6.5964912280702004</v>
      </c>
      <c r="AN11" s="650">
        <f>INPUT!CK523</f>
        <v>155.49999999999989</v>
      </c>
      <c r="AO11" s="641">
        <f>INPUT!CL523</f>
        <v>-1.3324873096448253</v>
      </c>
      <c r="AP11" s="650">
        <f>INPUT!CM523</f>
        <v>128</v>
      </c>
      <c r="AQ11" s="641">
        <f>INPUT!CN523</f>
        <v>-15.175612988734278</v>
      </c>
      <c r="AR11" s="650">
        <f>INPUT!CO523</f>
        <v>135.4</v>
      </c>
      <c r="AS11" s="641">
        <f>INPUT!CP523</f>
        <v>-10.74489123269613</v>
      </c>
      <c r="AT11" s="650">
        <f>INPUT!CQ523</f>
        <v>164.79999999999993</v>
      </c>
      <c r="AU11" s="641">
        <f>INPUT!CR523</f>
        <v>8.4924292297564143</v>
      </c>
      <c r="AV11" s="650">
        <f>INPUT!CS523</f>
        <v>131</v>
      </c>
      <c r="AW11" s="641">
        <f>INPUT!CT523</f>
        <v>-15.755627009646245</v>
      </c>
      <c r="AX11" s="650">
        <f>INPUT!CU523</f>
        <v>139</v>
      </c>
      <c r="AY11" s="641">
        <f>INPUT!CV523</f>
        <v>8.59375</v>
      </c>
      <c r="AZ11" s="650">
        <f>INPUT!CW523</f>
        <v>129</v>
      </c>
      <c r="BA11" s="641">
        <f>INPUT!CX523</f>
        <v>-4.7267355982274832</v>
      </c>
      <c r="BB11" s="650">
        <f>INPUT!CY523</f>
        <v>135</v>
      </c>
      <c r="BC11" s="641">
        <f>INPUT!CZ523</f>
        <v>-18.082524271844626</v>
      </c>
      <c r="BD11" s="650">
        <f>INPUT!DA523</f>
        <v>138</v>
      </c>
      <c r="BE11" s="641">
        <f>INPUT!DB523</f>
        <v>5.3435114503816772</v>
      </c>
      <c r="BF11" s="650">
        <f>INPUT!DC523</f>
        <v>119.498</v>
      </c>
      <c r="BG11" s="641">
        <f>INPUT!DD523</f>
        <v>-14.030215827338122</v>
      </c>
      <c r="BH11" s="650">
        <f>INPUT!DE523</f>
        <v>130</v>
      </c>
      <c r="BI11" s="641">
        <f>INPUT!DF523</f>
        <v>0.77519379844961378</v>
      </c>
      <c r="BJ11" s="650">
        <f>INPUT!DG523</f>
        <v>125</v>
      </c>
      <c r="BK11" s="641">
        <f>INPUT!DH523</f>
        <v>-7.4074074074074066</v>
      </c>
      <c r="BL11" s="650">
        <f>INPUT!DI523</f>
        <v>146</v>
      </c>
      <c r="BM11" s="641">
        <f>INPUT!DJ523</f>
        <v>5.7971014492753659</v>
      </c>
      <c r="BN11" s="650">
        <f>INPUT!DK523</f>
        <v>120</v>
      </c>
      <c r="BO11" s="641">
        <f>INPUT!DL523</f>
        <v>0.42009071281527977</v>
      </c>
      <c r="BP11" s="650">
        <f>INPUT!DM523</f>
        <v>143</v>
      </c>
      <c r="BQ11" s="641">
        <f>INPUT!DN523</f>
        <v>10.000000000000009</v>
      </c>
      <c r="BR11" s="650">
        <f>INPUT!DO523</f>
        <v>150</v>
      </c>
      <c r="BS11" s="641">
        <f>INPUT!DP523</f>
        <v>19.999999999999996</v>
      </c>
      <c r="BT11" s="650">
        <f>INPUT!DQ523</f>
        <v>141</v>
      </c>
      <c r="BU11" s="641">
        <f>INPUT!DR523</f>
        <v>-3.4246575342465779</v>
      </c>
      <c r="BV11" s="650">
        <f>INPUT!DS523</f>
        <v>111</v>
      </c>
      <c r="BW11" s="641">
        <f>INPUT!DT523</f>
        <v>-7.4999999999999956</v>
      </c>
      <c r="BX11" s="650">
        <f>INPUT!DU523</f>
        <v>105</v>
      </c>
      <c r="BY11" s="641">
        <f>INPUT!DV523</f>
        <v>-26.573426573426573</v>
      </c>
      <c r="BZ11" s="650">
        <f>INPUT!DW523</f>
        <v>153</v>
      </c>
      <c r="CA11" s="641">
        <f>INPUT!DX523</f>
        <v>153</v>
      </c>
      <c r="CB11" s="650">
        <f>INPUT!DY523</f>
        <v>119</v>
      </c>
      <c r="CC11" s="641">
        <f>INPUT!DZ523</f>
        <v>-15.602836879432624</v>
      </c>
      <c r="CD11" s="650">
        <f>INPUT!EA523</f>
        <v>122</v>
      </c>
      <c r="CE11" s="641">
        <f>INPUT!EB523</f>
        <v>9.9099099099099206</v>
      </c>
      <c r="CF11" s="650">
        <f>INPUT!EC523</f>
        <v>120</v>
      </c>
      <c r="CG11" s="641">
        <f>INPUT!ED523</f>
        <v>14.285714285714279</v>
      </c>
      <c r="CH11" s="650">
        <f>INPUT!EE523</f>
        <v>137.5</v>
      </c>
      <c r="CI11" s="641">
        <f>INPUT!EF523</f>
        <v>-10.130718954248364</v>
      </c>
      <c r="CJ11" s="650">
        <f>INPUT!EG523</f>
        <v>154</v>
      </c>
      <c r="CK11" s="641">
        <f>INPUT!EH523</f>
        <v>29.411764705882359</v>
      </c>
      <c r="CL11" s="650">
        <f>INPUT!EI523</f>
        <v>129</v>
      </c>
      <c r="CM11" s="641">
        <f>INPUT!EJ523</f>
        <v>5.7377049180327822</v>
      </c>
      <c r="CN11" s="650">
        <f>INPUT!EK523</f>
        <v>133</v>
      </c>
      <c r="CO11" s="641">
        <f>INPUT!EL523</f>
        <v>10.833333333333339</v>
      </c>
      <c r="CP11" s="650">
        <f>INPUT!EM523</f>
        <v>137</v>
      </c>
      <c r="CQ11" s="641">
        <f>INPUT!EN523</f>
        <v>-0.36363636363636598</v>
      </c>
      <c r="CR11" s="650">
        <f>INPUT!EO523</f>
        <v>152</v>
      </c>
      <c r="CS11" s="641">
        <f>INPUT!EP523</f>
        <v>-1.2987012987012991</v>
      </c>
      <c r="CT11" s="650">
        <f>INPUT!EQ523</f>
        <v>143.65676411842998</v>
      </c>
      <c r="CU11" s="641">
        <f>INPUT!ER523</f>
        <v>11.361832649945725</v>
      </c>
      <c r="CV11" s="650">
        <f>INPUT!ES523</f>
        <v>160.01241597352637</v>
      </c>
      <c r="CW11" s="641">
        <f>INPUT!ET523</f>
        <v>20.310087198140138</v>
      </c>
      <c r="CX11" s="650">
        <f>INPUT!EU523</f>
        <v>159.92396102883831</v>
      </c>
      <c r="CY11" s="641">
        <f>INPUT!EV523</f>
        <v>16.732818269225035</v>
      </c>
      <c r="CZ11" s="650">
        <f>INPUT!EW523</f>
        <v>167.91237468114758</v>
      </c>
      <c r="DA11" s="641">
        <f>INPUT!EX523</f>
        <v>10.468667553386556</v>
      </c>
      <c r="DB11" s="640"/>
      <c r="DC11" s="640">
        <f>INPUT!FP523</f>
        <v>257.5</v>
      </c>
      <c r="DD11" s="641" t="str">
        <f>INPUT!FQ523</f>
        <v>NA</v>
      </c>
      <c r="DE11" s="650">
        <f>INPUT!FR523</f>
        <v>500.19999999999987</v>
      </c>
      <c r="DF11" s="641">
        <f>INPUT!FS523</f>
        <v>94.252427184465986</v>
      </c>
      <c r="DG11" s="650">
        <f>INPUT!FT523</f>
        <v>656.5</v>
      </c>
      <c r="DH11" s="641">
        <f>INPUT!FU523</f>
        <v>31.247500999600184</v>
      </c>
      <c r="DI11" s="650">
        <f>INPUT!FV523</f>
        <v>630.79999999999995</v>
      </c>
      <c r="DJ11" s="641">
        <f>INPUT!FW523</f>
        <v>-3.9146991622239224</v>
      </c>
      <c r="DK11" s="650">
        <f>INPUT!FX523</f>
        <v>575.19999999999993</v>
      </c>
      <c r="DL11" s="641">
        <f>INPUT!FY523</f>
        <v>-8.8142041851616995</v>
      </c>
      <c r="DM11" s="650">
        <f>INPUT!FZ523</f>
        <v>609.99999999999886</v>
      </c>
      <c r="DN11" s="641">
        <f>INPUT!GA523</f>
        <v>6.0500695410290239</v>
      </c>
      <c r="DO11" s="650">
        <f>INPUT!GB523</f>
        <v>559.19999999999982</v>
      </c>
      <c r="DP11" s="641">
        <f>INPUT!GC523</f>
        <v>-8.3278688524588755</v>
      </c>
      <c r="DQ11" s="650">
        <f>INPUT!GD523</f>
        <v>541</v>
      </c>
      <c r="DR11" s="641">
        <f>INPUT!GE523</f>
        <v>-3.2546494992846564</v>
      </c>
      <c r="DS11" s="650">
        <f>INPUT!GF523</f>
        <v>520.49800000000005</v>
      </c>
      <c r="DT11" s="641">
        <f>INPUT!GG523</f>
        <v>-3.7896487985212501</v>
      </c>
      <c r="DU11" s="650">
        <f>INPUT!GH523</f>
        <v>554</v>
      </c>
      <c r="DV11" s="641">
        <f>INPUT!GI523</f>
        <v>6.4365280942481951</v>
      </c>
      <c r="DW11" s="650">
        <f>INPUT!GJ523</f>
        <v>488</v>
      </c>
      <c r="DX11" s="641">
        <f>INPUT!GK523</f>
        <v>-11.913357400722024</v>
      </c>
      <c r="DY11" s="650">
        <f>INPUT!GL523</f>
        <v>533.5</v>
      </c>
      <c r="DZ11" s="641">
        <f>INPUT!GM523</f>
        <v>9.323770491803284</v>
      </c>
      <c r="EA11" s="650">
        <f>INPUT!GN523</f>
        <v>551</v>
      </c>
      <c r="EB11" s="641">
        <f>INPUT!GO523</f>
        <v>3.2802249297094743</v>
      </c>
      <c r="EC11" s="650">
        <f>INPUT!GP523</f>
        <v>631.50551580194133</v>
      </c>
      <c r="ED11" s="641">
        <f>INPUT!GQ523</f>
        <v>14.610801415960317</v>
      </c>
      <c r="EE11" s="650">
        <f>INPUT!GR523</f>
        <v>638.91526599370604</v>
      </c>
      <c r="EF11" s="641">
        <f>INPUT!GS523</f>
        <v>1.1733468681354609</v>
      </c>
      <c r="EG11" s="650">
        <f>INPUT!GT523</f>
        <v>655.5039885975134</v>
      </c>
      <c r="EH11" s="641">
        <f>INPUT!GU523</f>
        <v>2.5963885176552903</v>
      </c>
      <c r="EI11" s="650">
        <f>INPUT!GV523</f>
        <v>677.03553103628781</v>
      </c>
      <c r="EJ11" s="641">
        <f>INPUT!GW523</f>
        <v>3.2847309571437222</v>
      </c>
      <c r="EK11" s="650">
        <f>INPUT!GX523</f>
        <v>699.2258994450317</v>
      </c>
      <c r="EL11" s="641">
        <f>INPUT!GY523</f>
        <v>3.2775781168794316</v>
      </c>
      <c r="EM11" s="852">
        <f>INPUT!GZ523</f>
        <v>4.8801214239673874</v>
      </c>
      <c r="EN11" s="638"/>
      <c r="EO11" s="638"/>
      <c r="EP11" s="638"/>
      <c r="EQ11" s="638"/>
      <c r="ER11" s="638"/>
      <c r="ES11" s="638"/>
      <c r="ET11" s="638"/>
      <c r="EU11" s="638"/>
      <c r="EV11" s="638"/>
    </row>
    <row r="12" spans="1:152" ht="12.75" customHeight="1" x14ac:dyDescent="0.2">
      <c r="A12" s="851" t="str">
        <f>INPUT!B524</f>
        <v>Group Protection</v>
      </c>
      <c r="B12" s="640">
        <f>INPUT!AY524</f>
        <v>29.5</v>
      </c>
      <c r="C12" s="641">
        <f>INPUT!AZ524</f>
        <v>-12.62624766756505</v>
      </c>
      <c r="D12" s="640">
        <f>INPUT!BA524</f>
        <v>25.900000000000013</v>
      </c>
      <c r="E12" s="641">
        <f>INPUT!BB524</f>
        <v>21.374010028586298</v>
      </c>
      <c r="F12" s="640">
        <f>INPUT!BC524</f>
        <v>23.800000000000068</v>
      </c>
      <c r="G12" s="641">
        <f>INPUT!BD524</f>
        <v>59.133458143889392</v>
      </c>
      <c r="H12" s="640">
        <f>INPUT!BE524</f>
        <v>24.199999999999967</v>
      </c>
      <c r="I12" s="641">
        <f>INPUT!BF524</f>
        <v>45.22323571771463</v>
      </c>
      <c r="J12" s="650">
        <f>INPUT!BG524</f>
        <v>23.000000000000036</v>
      </c>
      <c r="K12" s="641">
        <f>INPUT!BH524</f>
        <v>-22.03389830508462</v>
      </c>
      <c r="L12" s="650">
        <f>INPUT!BI524</f>
        <v>28.900000000000023</v>
      </c>
      <c r="M12" s="641">
        <f>INPUT!BJ524</f>
        <v>11.583011583011626</v>
      </c>
      <c r="N12" s="650">
        <f>INPUT!BK524</f>
        <v>25.200000000000024</v>
      </c>
      <c r="O12" s="641">
        <f>INPUT!BL524</f>
        <v>5.8823529411762721</v>
      </c>
      <c r="P12" s="650">
        <f>INPUT!BM524</f>
        <v>25.199999999999978</v>
      </c>
      <c r="Q12" s="641">
        <f>INPUT!BN524</f>
        <v>4.1322314049587305</v>
      </c>
      <c r="R12" s="650">
        <f>INPUT!BO524</f>
        <v>26.099999999999955</v>
      </c>
      <c r="S12" s="641">
        <f>INPUT!BP524</f>
        <v>13.478260869564851</v>
      </c>
      <c r="T12" s="650">
        <f>INPUT!BQ524</f>
        <v>32.29999999999999</v>
      </c>
      <c r="U12" s="641">
        <f>INPUT!BR524</f>
        <v>11.764705882352811</v>
      </c>
      <c r="V12" s="650">
        <f>INPUT!BS524</f>
        <v>27.5</v>
      </c>
      <c r="W12" s="641">
        <f>INPUT!BT524</f>
        <v>9.1269841269840271</v>
      </c>
      <c r="X12" s="650">
        <f>INPUT!BU524</f>
        <v>21.399999999999977</v>
      </c>
      <c r="Y12" s="641">
        <f>INPUT!BV524</f>
        <v>-15.079365079365093</v>
      </c>
      <c r="Z12" s="650">
        <f>INPUT!BW524</f>
        <v>25.700000000000056</v>
      </c>
      <c r="AA12" s="641">
        <f>INPUT!BX524</f>
        <v>-1.5325670498080424</v>
      </c>
      <c r="AB12" s="650">
        <f>INPUT!BY524</f>
        <v>33.600000000000044</v>
      </c>
      <c r="AC12" s="641">
        <f>INPUT!BZ524</f>
        <v>4.0247678018577426</v>
      </c>
      <c r="AD12" s="650">
        <f>INPUT!CA524</f>
        <v>34.509999999999977</v>
      </c>
      <c r="AE12" s="641">
        <f>INPUT!CB524</f>
        <v>25.490909090909007</v>
      </c>
      <c r="AF12" s="650">
        <f>INPUT!CC524</f>
        <v>33.099999999999923</v>
      </c>
      <c r="AG12" s="641">
        <f>INPUT!CD524</f>
        <v>54.672897196261495</v>
      </c>
      <c r="AH12" s="650">
        <f>INPUT!CE524</f>
        <v>31.300000000000033</v>
      </c>
      <c r="AI12" s="641">
        <f>INPUT!CF524</f>
        <v>21.789883268482345</v>
      </c>
      <c r="AJ12" s="650">
        <f>INPUT!CG524</f>
        <v>37.700000000000024</v>
      </c>
      <c r="AK12" s="641">
        <f>INPUT!CH524</f>
        <v>12.202380952380887</v>
      </c>
      <c r="AL12" s="650">
        <f>INPUT!CI524</f>
        <v>12.500000000000046</v>
      </c>
      <c r="AM12" s="641" t="str">
        <f>INPUT!CJ524</f>
        <v>NM</v>
      </c>
      <c r="AN12" s="650">
        <f>INPUT!CK524</f>
        <v>17.999999999999989</v>
      </c>
      <c r="AO12" s="641">
        <f>INPUT!CL524</f>
        <v>-45.619335347431935</v>
      </c>
      <c r="AP12" s="650">
        <f>INPUT!CM524</f>
        <v>19.100000000000101</v>
      </c>
      <c r="AQ12" s="641">
        <f>INPUT!CN524</f>
        <v>-38.977635782747342</v>
      </c>
      <c r="AR12" s="650">
        <f>INPUT!CO524</f>
        <v>22.59999999999992</v>
      </c>
      <c r="AS12" s="641">
        <f>INPUT!CP524</f>
        <v>-40.053050397878231</v>
      </c>
      <c r="AT12" s="650">
        <f>INPUT!CQ524</f>
        <v>26.799999999999955</v>
      </c>
      <c r="AU12" s="641" t="str">
        <f>INPUT!CR524</f>
        <v>NM</v>
      </c>
      <c r="AV12" s="650">
        <f>INPUT!CS524</f>
        <v>20</v>
      </c>
      <c r="AW12" s="641">
        <f>INPUT!CT524</f>
        <v>11.111111111111182</v>
      </c>
      <c r="AX12" s="650">
        <f>INPUT!CU524</f>
        <v>16</v>
      </c>
      <c r="AY12" s="641">
        <f>INPUT!CV524</f>
        <v>-16.230366492147041</v>
      </c>
      <c r="AZ12" s="650">
        <f>INPUT!CW524</f>
        <v>24</v>
      </c>
      <c r="BA12" s="641">
        <f>INPUT!CX524</f>
        <v>6.1946902654871128</v>
      </c>
      <c r="BB12" s="650">
        <f>INPUT!CY524</f>
        <v>16</v>
      </c>
      <c r="BC12" s="641">
        <f>INPUT!CZ524</f>
        <v>-40.298507462686459</v>
      </c>
      <c r="BD12" s="650">
        <f>INPUT!DA524</f>
        <v>13</v>
      </c>
      <c r="BE12" s="641">
        <f>INPUT!DB524</f>
        <v>-35</v>
      </c>
      <c r="BF12" s="650">
        <f>INPUT!DC524</f>
        <v>14</v>
      </c>
      <c r="BG12" s="641">
        <f>INPUT!DD524</f>
        <v>-12.5</v>
      </c>
      <c r="BH12" s="650">
        <f>INPUT!DE524</f>
        <v>22</v>
      </c>
      <c r="BI12" s="641">
        <f>INPUT!DF524</f>
        <v>-8.3333333333333375</v>
      </c>
      <c r="BJ12" s="650">
        <f>INPUT!DG524</f>
        <v>20</v>
      </c>
      <c r="BK12" s="641">
        <f>INPUT!DH524</f>
        <v>25</v>
      </c>
      <c r="BL12" s="650">
        <f>INPUT!DI524</f>
        <v>3</v>
      </c>
      <c r="BM12" s="641" t="str">
        <f>INPUT!DJ524</f>
        <v>NM</v>
      </c>
      <c r="BN12" s="650">
        <f>INPUT!DK524</f>
        <v>20</v>
      </c>
      <c r="BO12" s="641">
        <f>INPUT!DL524</f>
        <v>42.857142857142861</v>
      </c>
      <c r="BP12" s="650">
        <f>INPUT!DM524</f>
        <v>2</v>
      </c>
      <c r="BQ12" s="641" t="str">
        <f>INPUT!DN524</f>
        <v>NM</v>
      </c>
      <c r="BR12" s="650">
        <f>INPUT!DO524</f>
        <v>8</v>
      </c>
      <c r="BS12" s="641" t="str">
        <f>INPUT!DP524</f>
        <v>NM</v>
      </c>
      <c r="BT12" s="650">
        <f>INPUT!DQ524</f>
        <v>-7</v>
      </c>
      <c r="BU12" s="641" t="str">
        <f>INPUT!DR524</f>
        <v>NM</v>
      </c>
      <c r="BV12" s="650">
        <f>INPUT!DS524</f>
        <v>-6</v>
      </c>
      <c r="BW12" s="641" t="str">
        <f>INPUT!DT524</f>
        <v>NM</v>
      </c>
      <c r="BX12" s="650">
        <f>INPUT!DU524</f>
        <v>19</v>
      </c>
      <c r="BY12" s="641" t="str">
        <f>INPUT!DV524</f>
        <v>NM</v>
      </c>
      <c r="BZ12" s="650">
        <f>INPUT!DW524</f>
        <v>17</v>
      </c>
      <c r="CA12" s="641">
        <f>INPUT!DX524</f>
        <v>17</v>
      </c>
      <c r="CB12" s="650">
        <f>INPUT!DY524</f>
        <v>13</v>
      </c>
      <c r="CC12" s="641" t="str">
        <f>INPUT!DZ524</f>
        <v>NM</v>
      </c>
      <c r="CD12" s="650">
        <f>INPUT!EA524</f>
        <v>5</v>
      </c>
      <c r="CE12" s="641" t="str">
        <f>INPUT!EB524</f>
        <v>NM</v>
      </c>
      <c r="CF12" s="650">
        <f>INPUT!EC524</f>
        <v>15</v>
      </c>
      <c r="CG12" s="641">
        <f>INPUT!ED524</f>
        <v>-21.052631578947366</v>
      </c>
      <c r="CH12" s="650">
        <f>INPUT!EE524</f>
        <v>23</v>
      </c>
      <c r="CI12" s="641">
        <f>INPUT!EF524</f>
        <v>35.294117647058833</v>
      </c>
      <c r="CJ12" s="650">
        <f>INPUT!EG524</f>
        <v>16</v>
      </c>
      <c r="CK12" s="641">
        <f>INPUT!EH524</f>
        <v>23.076923076923084</v>
      </c>
      <c r="CL12" s="650">
        <f>INPUT!EI524</f>
        <v>7</v>
      </c>
      <c r="CM12" s="641">
        <f>INPUT!EJ524</f>
        <v>39.999999999999993</v>
      </c>
      <c r="CN12" s="650">
        <f>INPUT!EK524</f>
        <v>35</v>
      </c>
      <c r="CO12" s="641" t="str">
        <f>INPUT!EL524</f>
        <v>NM</v>
      </c>
      <c r="CP12" s="650">
        <f>INPUT!EM524</f>
        <v>38</v>
      </c>
      <c r="CQ12" s="641">
        <f>INPUT!EN524</f>
        <v>65.217391304347828</v>
      </c>
      <c r="CR12" s="650">
        <f>INPUT!EO524</f>
        <v>20</v>
      </c>
      <c r="CS12" s="641">
        <f>INPUT!EP524</f>
        <v>25</v>
      </c>
      <c r="CT12" s="650">
        <f>INPUT!EQ524</f>
        <v>17.759357999999974</v>
      </c>
      <c r="CU12" s="641" t="str">
        <f>INPUT!ER524</f>
        <v>NM</v>
      </c>
      <c r="CV12" s="650">
        <f>INPUT!ES524</f>
        <v>29.276125433750021</v>
      </c>
      <c r="CW12" s="641">
        <f>INPUT!ET524</f>
        <v>-16.353927332142792</v>
      </c>
      <c r="CX12" s="650">
        <f>INPUT!EU524</f>
        <v>43.596592908068729</v>
      </c>
      <c r="CY12" s="641">
        <f>INPUT!EV524</f>
        <v>14.727876073865076</v>
      </c>
      <c r="CZ12" s="650">
        <f>INPUT!EW524</f>
        <v>44.225634453952551</v>
      </c>
      <c r="DA12" s="641" t="str">
        <f>INPUT!EX524</f>
        <v>NM</v>
      </c>
      <c r="DB12" s="640"/>
      <c r="DC12" s="640">
        <f>INPUT!FP524</f>
        <v>86.721999999999952</v>
      </c>
      <c r="DD12" s="641" t="str">
        <f>INPUT!FQ524</f>
        <v>NA</v>
      </c>
      <c r="DE12" s="650">
        <f>INPUT!FR524</f>
        <v>103.40000000000003</v>
      </c>
      <c r="DF12" s="641">
        <f>INPUT!FS524</f>
        <v>19.231567537649141</v>
      </c>
      <c r="DG12" s="650">
        <f>INPUT!FT524</f>
        <v>102.29999999999977</v>
      </c>
      <c r="DH12" s="641">
        <f>INPUT!FU524</f>
        <v>-1.0638297872342939</v>
      </c>
      <c r="DI12" s="650">
        <f>INPUT!FV524</f>
        <v>107.3000000000001</v>
      </c>
      <c r="DJ12" s="641">
        <f>INPUT!FW524</f>
        <v>4.8875855327471518</v>
      </c>
      <c r="DK12" s="650">
        <f>INPUT!FX524</f>
        <v>126.90999999999994</v>
      </c>
      <c r="DL12" s="641">
        <f>INPUT!FY524</f>
        <v>18.275862068965367</v>
      </c>
      <c r="DM12" s="650">
        <f>INPUT!FZ524</f>
        <v>99.500000000000085</v>
      </c>
      <c r="DN12" s="641">
        <f>INPUT!GA524</f>
        <v>-21.597982822472517</v>
      </c>
      <c r="DO12" s="650">
        <f>INPUT!GB524</f>
        <v>88.500000000000085</v>
      </c>
      <c r="DP12" s="641">
        <f>INPUT!GC524</f>
        <v>-11.05527638190954</v>
      </c>
      <c r="DQ12" s="650">
        <f>INPUT!GD524</f>
        <v>69</v>
      </c>
      <c r="DR12" s="641">
        <f>INPUT!GE524</f>
        <v>-22.033898305084819</v>
      </c>
      <c r="DS12" s="650">
        <f>INPUT!GF524</f>
        <v>59</v>
      </c>
      <c r="DT12" s="641">
        <f>INPUT!GG524</f>
        <v>-14.492753623188403</v>
      </c>
      <c r="DU12" s="650">
        <f>INPUT!GH524</f>
        <v>23</v>
      </c>
      <c r="DV12" s="641" t="str">
        <f>INPUT!GI524</f>
        <v>NM</v>
      </c>
      <c r="DW12" s="650">
        <f>INPUT!GJ524</f>
        <v>43</v>
      </c>
      <c r="DX12" s="641">
        <f>INPUT!GK524</f>
        <v>86.956521739130437</v>
      </c>
      <c r="DY12" s="650">
        <f>INPUT!GL524</f>
        <v>59</v>
      </c>
      <c r="DZ12" s="641">
        <f>INPUT!GM524</f>
        <v>37.209302325581397</v>
      </c>
      <c r="EA12" s="650">
        <f>INPUT!GN524</f>
        <v>100</v>
      </c>
      <c r="EB12" s="641">
        <f>INPUT!GO524</f>
        <v>69.491525423728802</v>
      </c>
      <c r="EC12" s="650">
        <f>INPUT!GP524</f>
        <v>134.85771079577151</v>
      </c>
      <c r="ED12" s="641">
        <f>INPUT!GQ524</f>
        <v>34.85771079577151</v>
      </c>
      <c r="EE12" s="650">
        <f>INPUT!GR524</f>
        <v>181.98288299719923</v>
      </c>
      <c r="EF12" s="641">
        <f>INPUT!GS524</f>
        <v>34.94436611992775</v>
      </c>
      <c r="EG12" s="650">
        <f>INPUT!GT524</f>
        <v>209.66092615708487</v>
      </c>
      <c r="EH12" s="641">
        <f>INPUT!GU524</f>
        <v>15.209146434014698</v>
      </c>
      <c r="EI12" s="650">
        <f>INPUT!GV524</f>
        <v>210.9387975805935</v>
      </c>
      <c r="EJ12" s="641">
        <f>INPUT!GW524</f>
        <v>0.60949431395300735</v>
      </c>
      <c r="EK12" s="650">
        <f>INPUT!GX524</f>
        <v>212.22764969707413</v>
      </c>
      <c r="EL12" s="641">
        <f>INPUT!GY524</f>
        <v>0.61100761512977719</v>
      </c>
      <c r="EM12" s="852">
        <f>INPUT!GZ524</f>
        <v>16.241282494816399</v>
      </c>
      <c r="EN12" s="638"/>
      <c r="EO12" s="638"/>
      <c r="EP12" s="638"/>
      <c r="EQ12" s="638"/>
      <c r="ER12" s="638"/>
      <c r="ES12" s="638"/>
      <c r="ET12" s="638"/>
      <c r="EU12" s="638"/>
      <c r="EV12" s="638"/>
    </row>
    <row r="13" spans="1:152" ht="12.75" hidden="1" customHeight="1" outlineLevel="1" x14ac:dyDescent="0.2">
      <c r="A13" s="851" t="str">
        <f>INPUT!B525</f>
        <v>Executive Benefits and Other</v>
      </c>
      <c r="B13" s="640">
        <f>INPUT!AY525</f>
        <v>7.5000000000000071</v>
      </c>
      <c r="C13" s="641" t="str">
        <f>INPUT!AZ525</f>
        <v>NM</v>
      </c>
      <c r="D13" s="640">
        <f>INPUT!BA525</f>
        <v>16.099999999999991</v>
      </c>
      <c r="E13" s="641" t="str">
        <f>INPUT!BB525</f>
        <v>NM</v>
      </c>
      <c r="F13" s="640">
        <f>INPUT!BC525</f>
        <v>12.800000000000008</v>
      </c>
      <c r="G13" s="641" t="str">
        <f>INPUT!BD525</f>
        <v>NM</v>
      </c>
      <c r="H13" s="640">
        <f>INPUT!BE525</f>
        <v>12.699999999999983</v>
      </c>
      <c r="I13" s="641">
        <f>INPUT!BF525</f>
        <v>33.684210526315695</v>
      </c>
      <c r="J13" s="650">
        <f>INPUT!BG525</f>
        <v>11.499999999999995</v>
      </c>
      <c r="K13" s="641">
        <f>INPUT!BH525</f>
        <v>53.333333333333123</v>
      </c>
      <c r="L13" s="650">
        <f>INPUT!BI525</f>
        <v>10.499999999999986</v>
      </c>
      <c r="M13" s="641">
        <f>INPUT!BJ525</f>
        <v>-34.782608695652229</v>
      </c>
      <c r="N13" s="650">
        <f>INPUT!BK525</f>
        <v>0</v>
      </c>
      <c r="O13" s="641">
        <f>INPUT!BL525</f>
        <v>0</v>
      </c>
      <c r="P13" s="650">
        <f>INPUT!BM525</f>
        <v>0</v>
      </c>
      <c r="Q13" s="641">
        <f>INPUT!BN525</f>
        <v>0</v>
      </c>
      <c r="R13" s="650">
        <f>INPUT!BO525</f>
        <v>0</v>
      </c>
      <c r="S13" s="641">
        <f>INPUT!BP525</f>
        <v>0</v>
      </c>
      <c r="T13" s="650">
        <f>INPUT!BQ525</f>
        <v>0</v>
      </c>
      <c r="U13" s="641">
        <f>INPUT!BR525</f>
        <v>0</v>
      </c>
      <c r="V13" s="650">
        <f>INPUT!BS525</f>
        <v>0</v>
      </c>
      <c r="W13" s="641">
        <f>INPUT!BT525</f>
        <v>0</v>
      </c>
      <c r="X13" s="650">
        <f>INPUT!BU525</f>
        <v>0</v>
      </c>
      <c r="Y13" s="641">
        <f>INPUT!BV525</f>
        <v>0</v>
      </c>
      <c r="Z13" s="650">
        <f>INPUT!BW525</f>
        <v>0</v>
      </c>
      <c r="AA13" s="641">
        <f>INPUT!BX525</f>
        <v>0</v>
      </c>
      <c r="AB13" s="650">
        <f>INPUT!BY525</f>
        <v>0</v>
      </c>
      <c r="AC13" s="641">
        <f>INPUT!BZ525</f>
        <v>0</v>
      </c>
      <c r="AD13" s="650">
        <f>INPUT!CA525</f>
        <v>0</v>
      </c>
      <c r="AE13" s="641">
        <f>INPUT!CB525</f>
        <v>0</v>
      </c>
      <c r="AF13" s="650">
        <f>INPUT!CC525</f>
        <v>0</v>
      </c>
      <c r="AG13" s="641">
        <f>INPUT!CD525</f>
        <v>0</v>
      </c>
      <c r="AH13" s="650">
        <f>INPUT!CE525</f>
        <v>0</v>
      </c>
      <c r="AI13" s="641">
        <f>INPUT!CF525</f>
        <v>0</v>
      </c>
      <c r="AJ13" s="650">
        <f>INPUT!CG525</f>
        <v>0</v>
      </c>
      <c r="AK13" s="641">
        <f>INPUT!CH525</f>
        <v>0</v>
      </c>
      <c r="AL13" s="650">
        <f>INPUT!CI525</f>
        <v>0</v>
      </c>
      <c r="AM13" s="641">
        <f>INPUT!CJ525</f>
        <v>0</v>
      </c>
      <c r="AN13" s="650">
        <f>INPUT!CK525</f>
        <v>0</v>
      </c>
      <c r="AO13" s="641">
        <f>INPUT!CL525</f>
        <v>0</v>
      </c>
      <c r="AP13" s="650">
        <f>INPUT!CM525</f>
        <v>0</v>
      </c>
      <c r="AQ13" s="641">
        <f>INPUT!CN525</f>
        <v>0</v>
      </c>
      <c r="AR13" s="650">
        <f>INPUT!CO525</f>
        <v>0</v>
      </c>
      <c r="AS13" s="641">
        <f>INPUT!CP525</f>
        <v>0</v>
      </c>
      <c r="AT13" s="650">
        <f>INPUT!CQ525</f>
        <v>0</v>
      </c>
      <c r="AU13" s="641">
        <f>INPUT!CR525</f>
        <v>0</v>
      </c>
      <c r="AV13" s="650">
        <f>INPUT!CS525</f>
        <v>0</v>
      </c>
      <c r="AW13" s="641">
        <f>INPUT!CT525</f>
        <v>0</v>
      </c>
      <c r="AX13" s="650">
        <f>INPUT!CU525</f>
        <v>0</v>
      </c>
      <c r="AY13" s="641">
        <f>INPUT!CV525</f>
        <v>0</v>
      </c>
      <c r="AZ13" s="650">
        <f>INPUT!CW525</f>
        <v>0</v>
      </c>
      <c r="BA13" s="641">
        <f>INPUT!CX525</f>
        <v>0</v>
      </c>
      <c r="BB13" s="650">
        <f>INPUT!CY525</f>
        <v>0</v>
      </c>
      <c r="BC13" s="641">
        <f>INPUT!CZ525</f>
        <v>0</v>
      </c>
      <c r="BD13" s="650">
        <f>INPUT!DA525</f>
        <v>0</v>
      </c>
      <c r="BE13" s="641">
        <f>INPUT!DB525</f>
        <v>0</v>
      </c>
      <c r="BF13" s="650">
        <f>INPUT!DC525</f>
        <v>0</v>
      </c>
      <c r="BG13" s="641">
        <f>INPUT!DD525</f>
        <v>0</v>
      </c>
      <c r="BH13" s="650">
        <f>INPUT!DE525</f>
        <v>0</v>
      </c>
      <c r="BI13" s="641">
        <f>INPUT!DF525</f>
        <v>0</v>
      </c>
      <c r="BJ13" s="650">
        <f>INPUT!DG525</f>
        <v>0</v>
      </c>
      <c r="BK13" s="641">
        <f>INPUT!DH525</f>
        <v>0</v>
      </c>
      <c r="BL13" s="650">
        <f>INPUT!DI525</f>
        <v>0</v>
      </c>
      <c r="BM13" s="641">
        <f>INPUT!DJ525</f>
        <v>0</v>
      </c>
      <c r="BN13" s="650">
        <f>INPUT!DK525</f>
        <v>0</v>
      </c>
      <c r="BO13" s="641">
        <f>INPUT!DL525</f>
        <v>0</v>
      </c>
      <c r="BP13" s="650">
        <f>INPUT!DM525</f>
        <v>0</v>
      </c>
      <c r="BQ13" s="641" t="str">
        <f>INPUT!DN525</f>
        <v>NA</v>
      </c>
      <c r="BR13" s="650">
        <f>INPUT!DO525</f>
        <v>0</v>
      </c>
      <c r="BS13" s="641" t="str">
        <f>INPUT!DP525</f>
        <v>NA</v>
      </c>
      <c r="BT13" s="650">
        <f>INPUT!DQ525</f>
        <v>0</v>
      </c>
      <c r="BU13" s="641" t="str">
        <f>INPUT!DR525</f>
        <v>NA</v>
      </c>
      <c r="BV13" s="650">
        <f>INPUT!DS525</f>
        <v>0</v>
      </c>
      <c r="BW13" s="641" t="str">
        <f>INPUT!DT525</f>
        <v>NA</v>
      </c>
      <c r="BX13" s="650">
        <f>INPUT!DU525</f>
        <v>0</v>
      </c>
      <c r="BY13" s="641" t="str">
        <f>INPUT!DV525</f>
        <v>NA</v>
      </c>
      <c r="BZ13" s="650">
        <f>INPUT!DW525</f>
        <v>0</v>
      </c>
      <c r="CA13" s="641">
        <f>INPUT!DX525</f>
        <v>0</v>
      </c>
      <c r="CB13" s="650">
        <f>INPUT!DY525</f>
        <v>0</v>
      </c>
      <c r="CC13" s="641" t="str">
        <f>INPUT!DZ525</f>
        <v>NA</v>
      </c>
      <c r="CD13" s="650">
        <f>INPUT!EA525</f>
        <v>0</v>
      </c>
      <c r="CE13" s="641" t="str">
        <f>INPUT!EB525</f>
        <v>NA</v>
      </c>
      <c r="CF13" s="650">
        <f>INPUT!EC525</f>
        <v>0</v>
      </c>
      <c r="CG13" s="641" t="str">
        <f>INPUT!ED525</f>
        <v>NA</v>
      </c>
      <c r="CH13" s="650">
        <f>INPUT!EE525</f>
        <v>0</v>
      </c>
      <c r="CI13" s="641" t="str">
        <f>INPUT!EF525</f>
        <v>NA</v>
      </c>
      <c r="CJ13" s="650">
        <f>INPUT!EG525</f>
        <v>0</v>
      </c>
      <c r="CK13" s="641" t="str">
        <f>INPUT!EH525</f>
        <v>NA</v>
      </c>
      <c r="CL13" s="650">
        <f>INPUT!EI525</f>
        <v>0</v>
      </c>
      <c r="CM13" s="641" t="str">
        <f>INPUT!EJ525</f>
        <v>NA</v>
      </c>
      <c r="CN13" s="650">
        <f>INPUT!EK525</f>
        <v>0</v>
      </c>
      <c r="CO13" s="641" t="str">
        <f>INPUT!EL525</f>
        <v>NA</v>
      </c>
      <c r="CP13" s="650">
        <f>INPUT!EM525</f>
        <v>0</v>
      </c>
      <c r="CQ13" s="641" t="str">
        <f>INPUT!EN525</f>
        <v>NA</v>
      </c>
      <c r="CR13" s="650">
        <f>INPUT!EO525</f>
        <v>0</v>
      </c>
      <c r="CS13" s="641" t="str">
        <f>INPUT!EP525</f>
        <v>NA</v>
      </c>
      <c r="CT13" s="650">
        <f>INPUT!EQ525</f>
        <v>0</v>
      </c>
      <c r="CU13" s="641" t="str">
        <f>INPUT!ER525</f>
        <v>NA</v>
      </c>
      <c r="CV13" s="650">
        <f>INPUT!ES525</f>
        <v>0</v>
      </c>
      <c r="CW13" s="641" t="str">
        <f>INPUT!ET525</f>
        <v>NA</v>
      </c>
      <c r="CX13" s="650">
        <f>INPUT!EU525</f>
        <v>0</v>
      </c>
      <c r="CY13" s="641" t="str">
        <f>INPUT!EV525</f>
        <v>NA</v>
      </c>
      <c r="CZ13" s="650">
        <f>INPUT!EW525</f>
        <v>0</v>
      </c>
      <c r="DA13" s="641" t="str">
        <f>INPUT!EX525</f>
        <v>NA</v>
      </c>
      <c r="DB13" s="640"/>
      <c r="DC13" s="640">
        <f>INPUT!FP525</f>
        <v>19.5</v>
      </c>
      <c r="DD13" s="641" t="str">
        <f>INPUT!FQ525</f>
        <v>NA</v>
      </c>
      <c r="DE13" s="650">
        <f>INPUT!FR525</f>
        <v>49.099999999999987</v>
      </c>
      <c r="DF13" s="641" t="str">
        <f>INPUT!FS525</f>
        <v>NM</v>
      </c>
      <c r="DG13" s="650">
        <f>INPUT!FT525</f>
        <v>21.999999999999964</v>
      </c>
      <c r="DH13" s="641" t="str">
        <f>INPUT!FU525</f>
        <v>NM</v>
      </c>
      <c r="DI13" s="650">
        <f>INPUT!FV525</f>
        <v>0</v>
      </c>
      <c r="DJ13" s="641">
        <f>INPUT!FW525</f>
        <v>0</v>
      </c>
      <c r="DK13" s="650">
        <f>INPUT!FX525</f>
        <v>0</v>
      </c>
      <c r="DL13" s="641">
        <f>INPUT!FY525</f>
        <v>0</v>
      </c>
      <c r="DM13" s="650">
        <f>INPUT!FZ525</f>
        <v>0</v>
      </c>
      <c r="DN13" s="641">
        <f>INPUT!GA525</f>
        <v>0</v>
      </c>
      <c r="DO13" s="650">
        <f>INPUT!GB525</f>
        <v>0</v>
      </c>
      <c r="DP13" s="641">
        <f>INPUT!GC525</f>
        <v>0</v>
      </c>
      <c r="DQ13" s="650">
        <f>INPUT!GD525</f>
        <v>0</v>
      </c>
      <c r="DR13" s="641">
        <f>INPUT!GE525</f>
        <v>0</v>
      </c>
      <c r="DS13" s="650">
        <f>INPUT!GF525</f>
        <v>0</v>
      </c>
      <c r="DT13" s="641">
        <f>INPUT!GG525</f>
        <v>0</v>
      </c>
      <c r="DU13" s="650">
        <f>INPUT!GH525</f>
        <v>0</v>
      </c>
      <c r="DV13" s="641">
        <f>INPUT!GI525</f>
        <v>0</v>
      </c>
      <c r="DW13" s="650">
        <f>INPUT!GJ525</f>
        <v>0</v>
      </c>
      <c r="DX13" s="641">
        <f>INPUT!GK525</f>
        <v>0</v>
      </c>
      <c r="DY13" s="650">
        <f>INPUT!GL525</f>
        <v>0</v>
      </c>
      <c r="DZ13" s="641">
        <f>INPUT!GM525</f>
        <v>0</v>
      </c>
      <c r="EA13" s="650">
        <f>INPUT!GN525</f>
        <v>0</v>
      </c>
      <c r="EB13" s="641">
        <f>INPUT!GO525</f>
        <v>0</v>
      </c>
      <c r="EC13" s="650">
        <f>INPUT!GP525</f>
        <v>0</v>
      </c>
      <c r="ED13" s="641">
        <f>INPUT!GQ525</f>
        <v>0</v>
      </c>
      <c r="EE13" s="650">
        <f>INPUT!GR525</f>
        <v>0</v>
      </c>
      <c r="EF13" s="641">
        <f>INPUT!GS525</f>
        <v>0</v>
      </c>
      <c r="EG13" s="650">
        <f>INPUT!GT525</f>
        <v>0</v>
      </c>
      <c r="EH13" s="641">
        <f>INPUT!GU525</f>
        <v>0</v>
      </c>
      <c r="EI13" s="650">
        <f>INPUT!GV525</f>
        <v>0</v>
      </c>
      <c r="EJ13" s="641">
        <f>INPUT!GW525</f>
        <v>0</v>
      </c>
      <c r="EK13" s="650">
        <f>INPUT!GX525</f>
        <v>0</v>
      </c>
      <c r="EL13" s="641">
        <f>INPUT!GY525</f>
        <v>0</v>
      </c>
      <c r="EM13" s="852">
        <f>INPUT!GZ525</f>
        <v>0</v>
      </c>
      <c r="EN13" s="638"/>
      <c r="EO13" s="638"/>
      <c r="EP13" s="638"/>
      <c r="EQ13" s="638"/>
      <c r="ER13" s="638"/>
      <c r="ES13" s="638"/>
      <c r="ET13" s="638"/>
      <c r="EU13" s="638"/>
      <c r="EV13" s="638"/>
    </row>
    <row r="14" spans="1:152" ht="12.75" customHeight="1" collapsed="1" x14ac:dyDescent="0.2">
      <c r="A14" s="855" t="str">
        <f>INPUT!B526</f>
        <v>Total Insurance Solutions</v>
      </c>
      <c r="B14" s="640">
        <f>INPUT!AY526</f>
        <v>106</v>
      </c>
      <c r="C14" s="641">
        <f>INPUT!AZ526</f>
        <v>6.7870203399051032</v>
      </c>
      <c r="D14" s="640">
        <f>INPUT!BA526</f>
        <v>186.1</v>
      </c>
      <c r="E14" s="641" t="str">
        <f>INPUT!BB526</f>
        <v>NM</v>
      </c>
      <c r="F14" s="640">
        <f>INPUT!BC526</f>
        <v>176.39999999999998</v>
      </c>
      <c r="G14" s="641" t="str">
        <f>INPUT!BD526</f>
        <v>NM</v>
      </c>
      <c r="H14" s="640">
        <f>INPUT!BE526</f>
        <v>184.19999999999996</v>
      </c>
      <c r="I14" s="641">
        <f>INPUT!BF526</f>
        <v>84.266335880917126</v>
      </c>
      <c r="J14" s="650">
        <f>INPUT!BG526</f>
        <v>190.10000000000014</v>
      </c>
      <c r="K14" s="641">
        <f>INPUT!BH526</f>
        <v>79.33962264150955</v>
      </c>
      <c r="L14" s="650">
        <f>INPUT!BI526</f>
        <v>199.90000000000003</v>
      </c>
      <c r="M14" s="641">
        <f>INPUT!BJ526</f>
        <v>7.4153680816765322</v>
      </c>
      <c r="N14" s="650">
        <f>INPUT!BK526</f>
        <v>191.00000000000003</v>
      </c>
      <c r="O14" s="641">
        <f>INPUT!BL526</f>
        <v>8.2766439909297329</v>
      </c>
      <c r="P14" s="650">
        <f>INPUT!BM526</f>
        <v>199.79999999999984</v>
      </c>
      <c r="Q14" s="641">
        <f>INPUT!BN526</f>
        <v>8.4690553745927701</v>
      </c>
      <c r="R14" s="650">
        <f>INPUT!BO526</f>
        <v>192.50000000000009</v>
      </c>
      <c r="S14" s="641">
        <f>INPUT!BP526</f>
        <v>1.262493424513389</v>
      </c>
      <c r="T14" s="650">
        <f>INPUT!BQ526</f>
        <v>195.80000000000004</v>
      </c>
      <c r="U14" s="641">
        <f>INPUT!BR526</f>
        <v>-2.051025512756377</v>
      </c>
      <c r="V14" s="650">
        <f>INPUT!BS526</f>
        <v>194.90000000000009</v>
      </c>
      <c r="W14" s="641">
        <f>INPUT!BT526</f>
        <v>2.0418848167539583</v>
      </c>
      <c r="X14" s="650">
        <f>INPUT!BU526</f>
        <v>154.89999999999998</v>
      </c>
      <c r="Y14" s="641">
        <f>INPUT!BV526</f>
        <v>-22.472472472472425</v>
      </c>
      <c r="Z14" s="650">
        <f>INPUT!BW526</f>
        <v>167.90000000000009</v>
      </c>
      <c r="AA14" s="641">
        <f>INPUT!BX526</f>
        <v>-12.779220779220768</v>
      </c>
      <c r="AB14" s="650">
        <f>INPUT!BY526</f>
        <v>166.50000000000009</v>
      </c>
      <c r="AC14" s="641">
        <f>INPUT!BZ526</f>
        <v>-14.964249233912131</v>
      </c>
      <c r="AD14" s="650">
        <f>INPUT!CA526</f>
        <v>177.00999999999988</v>
      </c>
      <c r="AE14" s="641">
        <f>INPUT!CB526</f>
        <v>-9.1790661877887203</v>
      </c>
      <c r="AF14" s="650">
        <f>INPUT!CC526</f>
        <v>190.70000000000005</v>
      </c>
      <c r="AG14" s="641">
        <f>INPUT!CD526</f>
        <v>23.111684958037483</v>
      </c>
      <c r="AH14" s="650">
        <f>INPUT!CE526</f>
        <v>182.20000000000007</v>
      </c>
      <c r="AI14" s="641">
        <f>INPUT!CF526</f>
        <v>8.51697438951755</v>
      </c>
      <c r="AJ14" s="650">
        <f>INPUT!CG526</f>
        <v>189.40000000000006</v>
      </c>
      <c r="AK14" s="641">
        <f>INPUT!CH526</f>
        <v>13.753753753753738</v>
      </c>
      <c r="AL14" s="650">
        <f>INPUT!CI526</f>
        <v>164.4</v>
      </c>
      <c r="AM14" s="641">
        <f>INPUT!CJ526</f>
        <v>-7.1238913055758912</v>
      </c>
      <c r="AN14" s="650">
        <f>INPUT!CK526</f>
        <v>173.49999999999989</v>
      </c>
      <c r="AO14" s="641">
        <f>INPUT!CL526</f>
        <v>-9.0194022024122518</v>
      </c>
      <c r="AP14" s="650">
        <f>INPUT!CM526</f>
        <v>147.10000000000011</v>
      </c>
      <c r="AQ14" s="641">
        <f>INPUT!CN526</f>
        <v>-19.26454445664103</v>
      </c>
      <c r="AR14" s="650">
        <f>INPUT!CO526</f>
        <v>157.99999999999991</v>
      </c>
      <c r="AS14" s="641">
        <f>INPUT!CP526</f>
        <v>-16.578669482576636</v>
      </c>
      <c r="AT14" s="650">
        <f>INPUT!CQ526</f>
        <v>191.59999999999988</v>
      </c>
      <c r="AU14" s="641">
        <f>INPUT!CR526</f>
        <v>16.545012165450036</v>
      </c>
      <c r="AV14" s="650">
        <f>INPUT!CS526</f>
        <v>151</v>
      </c>
      <c r="AW14" s="641">
        <f>INPUT!CT526</f>
        <v>-12.968299711815501</v>
      </c>
      <c r="AX14" s="651">
        <f>INPUT!CU526</f>
        <v>155</v>
      </c>
      <c r="AY14" s="641">
        <f>INPUT!CV526</f>
        <v>5.3704962610468199</v>
      </c>
      <c r="AZ14" s="651">
        <f>INPUT!CW526</f>
        <v>153</v>
      </c>
      <c r="BA14" s="641">
        <f>INPUT!CX526</f>
        <v>-3.1645569620252667</v>
      </c>
      <c r="BB14" s="651">
        <f>INPUT!CY526</f>
        <v>151</v>
      </c>
      <c r="BC14" s="641">
        <f>INPUT!CZ526</f>
        <v>-21.189979123173231</v>
      </c>
      <c r="BD14" s="651">
        <f>INPUT!DA526</f>
        <v>151</v>
      </c>
      <c r="BE14" s="641">
        <f>INPUT!DB526</f>
        <v>0</v>
      </c>
      <c r="BF14" s="651">
        <f>INPUT!DC526</f>
        <v>133.49799999999999</v>
      </c>
      <c r="BG14" s="641">
        <f>INPUT!DD526</f>
        <v>-13.87225806451613</v>
      </c>
      <c r="BH14" s="651">
        <f>INPUT!DE526</f>
        <v>152</v>
      </c>
      <c r="BI14" s="641">
        <f>INPUT!DF526</f>
        <v>-0.65359477124182774</v>
      </c>
      <c r="BJ14" s="651">
        <f>INPUT!DG526</f>
        <v>145</v>
      </c>
      <c r="BK14" s="641">
        <f>INPUT!DH526</f>
        <v>-3.9735099337748325</v>
      </c>
      <c r="BL14" s="651">
        <f>INPUT!DI526</f>
        <v>149</v>
      </c>
      <c r="BM14" s="641">
        <f>INPUT!DJ526</f>
        <v>-1.3245033112582738</v>
      </c>
      <c r="BN14" s="651">
        <f>INPUT!DK526</f>
        <v>140</v>
      </c>
      <c r="BO14" s="641">
        <f>INPUT!DL526</f>
        <v>4.8704849510854187</v>
      </c>
      <c r="BP14" s="651">
        <f>INPUT!DM526</f>
        <v>145</v>
      </c>
      <c r="BQ14" s="641">
        <f>INPUT!DN526</f>
        <v>-4.6052631578947345</v>
      </c>
      <c r="BR14" s="651">
        <f>INPUT!DO526</f>
        <v>158</v>
      </c>
      <c r="BS14" s="641">
        <f>INPUT!DP526</f>
        <v>8.9655172413793061</v>
      </c>
      <c r="BT14" s="651">
        <f>INPUT!DQ526</f>
        <v>134</v>
      </c>
      <c r="BU14" s="641">
        <f>INPUT!DR526</f>
        <v>-10.067114093959727</v>
      </c>
      <c r="BV14" s="651">
        <f>INPUT!DS526</f>
        <v>105</v>
      </c>
      <c r="BW14" s="641">
        <f>INPUT!DT526</f>
        <v>-25</v>
      </c>
      <c r="BX14" s="651">
        <f>INPUT!DU526</f>
        <v>124</v>
      </c>
      <c r="BY14" s="641">
        <f>INPUT!DV526</f>
        <v>-14.482758620689651</v>
      </c>
      <c r="BZ14" s="651">
        <f>INPUT!DW526</f>
        <v>170</v>
      </c>
      <c r="CA14" s="641">
        <f>INPUT!DX526</f>
        <v>170</v>
      </c>
      <c r="CB14" s="651">
        <f>INPUT!DY526</f>
        <v>132</v>
      </c>
      <c r="CC14" s="641">
        <f>INPUT!DZ526</f>
        <v>-1.4925373134328401</v>
      </c>
      <c r="CD14" s="651">
        <f>INPUT!EA526</f>
        <v>127</v>
      </c>
      <c r="CE14" s="641">
        <f>INPUT!EB526</f>
        <v>20.952380952380945</v>
      </c>
      <c r="CF14" s="651">
        <f>INPUT!EC526</f>
        <v>135</v>
      </c>
      <c r="CG14" s="641">
        <f>INPUT!ED526</f>
        <v>8.8709677419354769</v>
      </c>
      <c r="CH14" s="651">
        <f>INPUT!EE526</f>
        <v>160.5</v>
      </c>
      <c r="CI14" s="641">
        <f>INPUT!EF526</f>
        <v>-5.5882352941176494</v>
      </c>
      <c r="CJ14" s="651">
        <f>INPUT!EG526</f>
        <v>170</v>
      </c>
      <c r="CK14" s="641">
        <f>INPUT!EH526</f>
        <v>28.787878787878785</v>
      </c>
      <c r="CL14" s="651">
        <f>INPUT!EI526</f>
        <v>136</v>
      </c>
      <c r="CM14" s="641">
        <f>INPUT!EJ526</f>
        <v>7.0866141732283561</v>
      </c>
      <c r="CN14" s="651">
        <f>INPUT!EK526</f>
        <v>168</v>
      </c>
      <c r="CO14" s="641">
        <f>INPUT!EL526</f>
        <v>24.444444444444446</v>
      </c>
      <c r="CP14" s="651">
        <f>INPUT!EM526</f>
        <v>175</v>
      </c>
      <c r="CQ14" s="641">
        <f>INPUT!EN526</f>
        <v>9.0342679127725756</v>
      </c>
      <c r="CR14" s="651">
        <f>INPUT!EO526</f>
        <v>172</v>
      </c>
      <c r="CS14" s="641">
        <f>INPUT!EP526</f>
        <v>1.1764705882352899</v>
      </c>
      <c r="CT14" s="651">
        <f>INPUT!EQ526</f>
        <v>161.41612211842994</v>
      </c>
      <c r="CU14" s="641">
        <f>INPUT!ER526</f>
        <v>18.688325087080848</v>
      </c>
      <c r="CV14" s="651">
        <f>INPUT!ES526</f>
        <v>189.2885414072764</v>
      </c>
      <c r="CW14" s="641">
        <f>INPUT!ET526</f>
        <v>12.671750837664518</v>
      </c>
      <c r="CX14" s="651">
        <f>INPUT!EU526</f>
        <v>203.52055393690705</v>
      </c>
      <c r="CY14" s="641">
        <f>INPUT!EV526</f>
        <v>16.29745939251832</v>
      </c>
      <c r="CZ14" s="651">
        <f>INPUT!EW526</f>
        <v>212.13800913510013</v>
      </c>
      <c r="DA14" s="641">
        <f>INPUT!EX526</f>
        <v>23.336051822732639</v>
      </c>
      <c r="DB14" s="640"/>
      <c r="DC14" s="640">
        <f>INPUT!FP526</f>
        <v>363.72199999999998</v>
      </c>
      <c r="DD14" s="641" t="str">
        <f>INPUT!FQ526</f>
        <v>NA</v>
      </c>
      <c r="DE14" s="650">
        <f>INPUT!FR526</f>
        <v>652.69999999999993</v>
      </c>
      <c r="DF14" s="641">
        <f>INPUT!FS526</f>
        <v>79.450239468605147</v>
      </c>
      <c r="DG14" s="650">
        <f>INPUT!FT526</f>
        <v>780.79999999999973</v>
      </c>
      <c r="DH14" s="641">
        <f>INPUT!FU526</f>
        <v>19.626168224299036</v>
      </c>
      <c r="DI14" s="650">
        <f>INPUT!FV526</f>
        <v>738.1</v>
      </c>
      <c r="DJ14" s="641">
        <f>INPUT!FW526</f>
        <v>-5.4687499999999662</v>
      </c>
      <c r="DK14" s="650">
        <f>INPUT!FX526</f>
        <v>702.1099999999999</v>
      </c>
      <c r="DL14" s="641">
        <f>INPUT!FY526</f>
        <v>-4.8760330578512594</v>
      </c>
      <c r="DM14" s="650">
        <f>INPUT!FZ526</f>
        <v>709.49999999999898</v>
      </c>
      <c r="DN14" s="641">
        <f>INPUT!GA526</f>
        <v>1.0525416245316332</v>
      </c>
      <c r="DO14" s="651">
        <f>INPUT!GB526</f>
        <v>647.69999999999993</v>
      </c>
      <c r="DP14" s="641">
        <f>INPUT!GC526</f>
        <v>-8.7103594080337068</v>
      </c>
      <c r="DQ14" s="651">
        <f>INPUT!GD526</f>
        <v>610</v>
      </c>
      <c r="DR14" s="641">
        <f>INPUT!GE526</f>
        <v>-5.8205959549173851</v>
      </c>
      <c r="DS14" s="651">
        <f>INPUT!GF526</f>
        <v>579.49800000000005</v>
      </c>
      <c r="DT14" s="641">
        <f>INPUT!GG526</f>
        <v>-5.00032786885245</v>
      </c>
      <c r="DU14" s="651">
        <f>INPUT!GH526</f>
        <v>577</v>
      </c>
      <c r="DV14" s="641">
        <f>INPUT!GI526</f>
        <v>-0.43106274741242512</v>
      </c>
      <c r="DW14" s="651">
        <f>INPUT!GJ526</f>
        <v>531</v>
      </c>
      <c r="DX14" s="641">
        <f>INPUT!GK526</f>
        <v>-7.9722703639514725</v>
      </c>
      <c r="DY14" s="651">
        <f>INPUT!GL526</f>
        <v>592.5</v>
      </c>
      <c r="DZ14" s="641">
        <f>INPUT!GM526</f>
        <v>11.581920903954801</v>
      </c>
      <c r="EA14" s="651">
        <f>INPUT!GN526</f>
        <v>651</v>
      </c>
      <c r="EB14" s="641">
        <f>INPUT!GO526</f>
        <v>9.8734177215189955</v>
      </c>
      <c r="EC14" s="651">
        <f>INPUT!GP526</f>
        <v>766.36322659771281</v>
      </c>
      <c r="ED14" s="641">
        <f>INPUT!GQ526</f>
        <v>17.720925744656334</v>
      </c>
      <c r="EE14" s="651">
        <f>INPUT!GR526</f>
        <v>820.89814899090527</v>
      </c>
      <c r="EF14" s="641">
        <f>INPUT!GS526</f>
        <v>7.1160672251070256</v>
      </c>
      <c r="EG14" s="651">
        <f>INPUT!GT526</f>
        <v>865.16491475459827</v>
      </c>
      <c r="EH14" s="641">
        <f>INPUT!GU526</f>
        <v>5.3924796660959951</v>
      </c>
      <c r="EI14" s="651">
        <f>INPUT!GV526</f>
        <v>887.97432861688128</v>
      </c>
      <c r="EJ14" s="641">
        <f>INPUT!GW526</f>
        <v>2.6364238162331022</v>
      </c>
      <c r="EK14" s="651">
        <f>INPUT!GX526</f>
        <v>911.45354914210589</v>
      </c>
      <c r="EL14" s="641">
        <f>INPUT!GY526</f>
        <v>2.6441328052575708</v>
      </c>
      <c r="EM14" s="852">
        <f>INPUT!GZ526</f>
        <v>6.9622944382506269</v>
      </c>
      <c r="EN14" s="638"/>
      <c r="EO14" s="638"/>
      <c r="EP14" s="638"/>
      <c r="EQ14" s="638"/>
      <c r="ER14" s="638"/>
      <c r="ES14" s="638"/>
      <c r="ET14" s="638"/>
      <c r="EU14" s="638"/>
      <c r="EV14" s="638"/>
    </row>
    <row r="15" spans="1:152" ht="12.75" hidden="1" customHeight="1" outlineLevel="1" x14ac:dyDescent="0.2">
      <c r="A15" s="851" t="str">
        <f>INPUT!B529</f>
        <v>UK Life</v>
      </c>
      <c r="B15" s="640">
        <f>INPUT!AY529</f>
        <v>10.66</v>
      </c>
      <c r="C15" s="641">
        <f>INPUT!AZ529</f>
        <v>6.2811565304087047</v>
      </c>
      <c r="D15" s="640">
        <f>INPUT!BA529</f>
        <v>9.659999999999993</v>
      </c>
      <c r="E15" s="641">
        <f>INPUT!BB529</f>
        <v>-5.8479532163744015</v>
      </c>
      <c r="F15" s="640">
        <f>INPUT!BC529</f>
        <v>11.259999999999998</v>
      </c>
      <c r="G15" s="641">
        <f>INPUT!BD529</f>
        <v>17.782426778242531</v>
      </c>
      <c r="H15" s="640">
        <f>INPUT!BE529</f>
        <v>9.8599999999999977</v>
      </c>
      <c r="I15" s="641">
        <f>INPUT!BF529</f>
        <v>-26.745913818722165</v>
      </c>
      <c r="J15" s="650">
        <f>INPUT!BG529</f>
        <v>0</v>
      </c>
      <c r="K15" s="641">
        <f>INPUT!BH529</f>
        <v>0</v>
      </c>
      <c r="L15" s="650">
        <f>INPUT!BI529</f>
        <v>0</v>
      </c>
      <c r="M15" s="641">
        <f>INPUT!BJ529</f>
        <v>0</v>
      </c>
      <c r="N15" s="650">
        <f>INPUT!BK529</f>
        <v>0</v>
      </c>
      <c r="O15" s="641">
        <f>INPUT!BL529</f>
        <v>0</v>
      </c>
      <c r="P15" s="650">
        <f>INPUT!BM529</f>
        <v>0</v>
      </c>
      <c r="Q15" s="641">
        <f>INPUT!BN529</f>
        <v>0</v>
      </c>
      <c r="R15" s="650">
        <f>INPUT!BO529</f>
        <v>0</v>
      </c>
      <c r="S15" s="641">
        <f>INPUT!BP529</f>
        <v>0</v>
      </c>
      <c r="T15" s="650">
        <f>INPUT!BQ529</f>
        <v>0</v>
      </c>
      <c r="U15" s="641">
        <f>INPUT!BR529</f>
        <v>0</v>
      </c>
      <c r="V15" s="650">
        <f>INPUT!BS529</f>
        <v>0</v>
      </c>
      <c r="W15" s="641">
        <f>INPUT!BT529</f>
        <v>0</v>
      </c>
      <c r="X15" s="650">
        <f>INPUT!BU529</f>
        <v>0</v>
      </c>
      <c r="Y15" s="641">
        <f>INPUT!BV529</f>
        <v>0</v>
      </c>
      <c r="Z15" s="650">
        <f>INPUT!BW529</f>
        <v>0</v>
      </c>
      <c r="AA15" s="641">
        <f>INPUT!BX529</f>
        <v>0</v>
      </c>
      <c r="AB15" s="650">
        <f>INPUT!BY529</f>
        <v>0</v>
      </c>
      <c r="AC15" s="641">
        <f>INPUT!BZ529</f>
        <v>0</v>
      </c>
      <c r="AD15" s="650">
        <f>INPUT!CA529</f>
        <v>0</v>
      </c>
      <c r="AE15" s="641">
        <f>INPUT!CB529</f>
        <v>0</v>
      </c>
      <c r="AF15" s="650">
        <f>INPUT!CC529</f>
        <v>0</v>
      </c>
      <c r="AG15" s="641">
        <f>INPUT!CD529</f>
        <v>0</v>
      </c>
      <c r="AH15" s="650">
        <f>INPUT!CE529</f>
        <v>0</v>
      </c>
      <c r="AI15" s="641">
        <f>INPUT!CF529</f>
        <v>0</v>
      </c>
      <c r="AJ15" s="650">
        <f>INPUT!CG529</f>
        <v>0</v>
      </c>
      <c r="AK15" s="641">
        <f>INPUT!CH529</f>
        <v>0</v>
      </c>
      <c r="AL15" s="650">
        <f>INPUT!CI529</f>
        <v>0</v>
      </c>
      <c r="AM15" s="641">
        <f>INPUT!CJ529</f>
        <v>0</v>
      </c>
      <c r="AN15" s="650">
        <f>INPUT!CK529</f>
        <v>0</v>
      </c>
      <c r="AO15" s="641">
        <f>INPUT!CL529</f>
        <v>0</v>
      </c>
      <c r="AP15" s="650">
        <f>INPUT!CM529</f>
        <v>0</v>
      </c>
      <c r="AQ15" s="641">
        <f>INPUT!CN529</f>
        <v>0</v>
      </c>
      <c r="AR15" s="650">
        <f>INPUT!CO529</f>
        <v>0</v>
      </c>
      <c r="AS15" s="641">
        <f>INPUT!CP529</f>
        <v>0</v>
      </c>
      <c r="AT15" s="650">
        <f>INPUT!CQ529</f>
        <v>0</v>
      </c>
      <c r="AU15" s="641">
        <f>INPUT!CR529</f>
        <v>0</v>
      </c>
      <c r="AV15" s="650">
        <f>INPUT!CS529</f>
        <v>0</v>
      </c>
      <c r="AW15" s="641">
        <f>INPUT!CT529</f>
        <v>0</v>
      </c>
      <c r="AX15" s="650">
        <f>INPUT!CU529</f>
        <v>0</v>
      </c>
      <c r="AY15" s="641">
        <f>INPUT!CV529</f>
        <v>0</v>
      </c>
      <c r="AZ15" s="650">
        <f>INPUT!CW529</f>
        <v>0</v>
      </c>
      <c r="BA15" s="641">
        <f>INPUT!CX529</f>
        <v>0</v>
      </c>
      <c r="BB15" s="650">
        <f>INPUT!CY529</f>
        <v>0</v>
      </c>
      <c r="BC15" s="641">
        <f>INPUT!CZ529</f>
        <v>0</v>
      </c>
      <c r="BD15" s="650">
        <f>INPUT!DA529</f>
        <v>0</v>
      </c>
      <c r="BE15" s="641">
        <f>INPUT!DB529</f>
        <v>0</v>
      </c>
      <c r="BF15" s="650">
        <f>INPUT!DC529</f>
        <v>0</v>
      </c>
      <c r="BG15" s="641">
        <f>INPUT!DD529</f>
        <v>0</v>
      </c>
      <c r="BH15" s="650">
        <f>INPUT!DE529</f>
        <v>0</v>
      </c>
      <c r="BI15" s="641">
        <f>INPUT!DF529</f>
        <v>0</v>
      </c>
      <c r="BJ15" s="650">
        <f>INPUT!DG529</f>
        <v>0</v>
      </c>
      <c r="BK15" s="641">
        <f>INPUT!DH529</f>
        <v>0</v>
      </c>
      <c r="BL15" s="650">
        <f>INPUT!DI529</f>
        <v>0</v>
      </c>
      <c r="BM15" s="641">
        <f>INPUT!DJ529</f>
        <v>0</v>
      </c>
      <c r="BN15" s="650">
        <f>INPUT!DK529</f>
        <v>0</v>
      </c>
      <c r="BO15" s="641">
        <f>INPUT!DL529</f>
        <v>0</v>
      </c>
      <c r="BP15" s="650">
        <f>INPUT!DM529</f>
        <v>0</v>
      </c>
      <c r="BQ15" s="641">
        <f>INPUT!DN529</f>
        <v>0</v>
      </c>
      <c r="BR15" s="650">
        <f>INPUT!DO529</f>
        <v>0</v>
      </c>
      <c r="BS15" s="641">
        <f>INPUT!DP529</f>
        <v>0</v>
      </c>
      <c r="BT15" s="650">
        <f>INPUT!DQ529</f>
        <v>0</v>
      </c>
      <c r="BU15" s="641">
        <f>INPUT!DR529</f>
        <v>0</v>
      </c>
      <c r="BV15" s="650">
        <f>INPUT!DS529</f>
        <v>0</v>
      </c>
      <c r="BW15" s="641">
        <f>INPUT!DT529</f>
        <v>0</v>
      </c>
      <c r="BX15" s="650">
        <f>INPUT!DU529</f>
        <v>0</v>
      </c>
      <c r="BY15" s="641">
        <f>INPUT!DV529</f>
        <v>0</v>
      </c>
      <c r="BZ15" s="650">
        <f>INPUT!DW529</f>
        <v>0</v>
      </c>
      <c r="CA15" s="641">
        <f>INPUT!DX529</f>
        <v>0</v>
      </c>
      <c r="CB15" s="650">
        <f>INPUT!DY529</f>
        <v>0</v>
      </c>
      <c r="CC15" s="641">
        <f>INPUT!DZ529</f>
        <v>0</v>
      </c>
      <c r="CD15" s="650">
        <f>INPUT!EA529</f>
        <v>0</v>
      </c>
      <c r="CE15" s="641">
        <f>INPUT!EB529</f>
        <v>0</v>
      </c>
      <c r="CF15" s="650">
        <f>INPUT!EC529</f>
        <v>0</v>
      </c>
      <c r="CG15" s="641">
        <f>INPUT!ED529</f>
        <v>0</v>
      </c>
      <c r="CH15" s="650">
        <f>INPUT!EE529</f>
        <v>0</v>
      </c>
      <c r="CI15" s="641">
        <f>INPUT!EF529</f>
        <v>0</v>
      </c>
      <c r="CJ15" s="650">
        <f>INPUT!EG529</f>
        <v>0</v>
      </c>
      <c r="CK15" s="641">
        <f>INPUT!EH529</f>
        <v>0</v>
      </c>
      <c r="CL15" s="650">
        <f>INPUT!EI529</f>
        <v>0</v>
      </c>
      <c r="CM15" s="641">
        <f>INPUT!EJ529</f>
        <v>0</v>
      </c>
      <c r="CN15" s="650">
        <f>INPUT!EK529</f>
        <v>0</v>
      </c>
      <c r="CO15" s="641">
        <f>INPUT!EL529</f>
        <v>0</v>
      </c>
      <c r="CP15" s="650">
        <f>INPUT!EM529</f>
        <v>0</v>
      </c>
      <c r="CQ15" s="641">
        <f>INPUT!EN529</f>
        <v>0</v>
      </c>
      <c r="CR15" s="650">
        <f>INPUT!EO529</f>
        <v>0</v>
      </c>
      <c r="CS15" s="641">
        <f>INPUT!EP529</f>
        <v>0</v>
      </c>
      <c r="CT15" s="650">
        <f>INPUT!EQ529</f>
        <v>0</v>
      </c>
      <c r="CU15" s="641">
        <f>INPUT!ER529</f>
        <v>0</v>
      </c>
      <c r="CV15" s="650">
        <f>INPUT!ES529</f>
        <v>0</v>
      </c>
      <c r="CW15" s="641">
        <f>INPUT!ET529</f>
        <v>0</v>
      </c>
      <c r="CX15" s="650">
        <f>INPUT!EU529</f>
        <v>0</v>
      </c>
      <c r="CY15" s="641">
        <f>INPUT!EV529</f>
        <v>0</v>
      </c>
      <c r="CZ15" s="650">
        <f>INPUT!EW529</f>
        <v>0</v>
      </c>
      <c r="DA15" s="641">
        <f>INPUT!EX529</f>
        <v>0</v>
      </c>
      <c r="DB15" s="640"/>
      <c r="DC15" s="640">
        <f>INPUT!FP529</f>
        <v>43.310000000000024</v>
      </c>
      <c r="DD15" s="641" t="str">
        <f>INPUT!FQ529</f>
        <v>NA</v>
      </c>
      <c r="DE15" s="650">
        <f>INPUT!FR529</f>
        <v>41.439999999999991</v>
      </c>
      <c r="DF15" s="641" t="str">
        <f>INPUT!FS529</f>
        <v>NA</v>
      </c>
      <c r="DG15" s="650">
        <f>INPUT!FT529</f>
        <v>0</v>
      </c>
      <c r="DH15" s="641">
        <f>INPUT!FU529</f>
        <v>0</v>
      </c>
      <c r="DI15" s="650">
        <f>INPUT!FV529</f>
        <v>0</v>
      </c>
      <c r="DJ15" s="641">
        <f>INPUT!FW529</f>
        <v>0</v>
      </c>
      <c r="DK15" s="650">
        <f>INPUT!FX529</f>
        <v>0</v>
      </c>
      <c r="DL15" s="641">
        <f>INPUT!FY529</f>
        <v>0</v>
      </c>
      <c r="DM15" s="650">
        <f>INPUT!FZ529</f>
        <v>0</v>
      </c>
      <c r="DN15" s="641">
        <f>INPUT!GA529</f>
        <v>0</v>
      </c>
      <c r="DO15" s="650">
        <f>INPUT!GB529</f>
        <v>0</v>
      </c>
      <c r="DP15" s="641">
        <f>INPUT!GC529</f>
        <v>0</v>
      </c>
      <c r="DQ15" s="650">
        <f>INPUT!GD529</f>
        <v>0</v>
      </c>
      <c r="DR15" s="641">
        <f>INPUT!GE529</f>
        <v>0</v>
      </c>
      <c r="DS15" s="650">
        <f>INPUT!GF529</f>
        <v>0</v>
      </c>
      <c r="DT15" s="641">
        <f>INPUT!GG529</f>
        <v>0</v>
      </c>
      <c r="DU15" s="650">
        <f>INPUT!GH529</f>
        <v>0</v>
      </c>
      <c r="DV15" s="641">
        <f>INPUT!GI529</f>
        <v>0</v>
      </c>
      <c r="DW15" s="650">
        <f>INPUT!GJ529</f>
        <v>0</v>
      </c>
      <c r="DX15" s="641">
        <f>INPUT!GK529</f>
        <v>0</v>
      </c>
      <c r="DY15" s="650">
        <f>INPUT!GL529</f>
        <v>0</v>
      </c>
      <c r="DZ15" s="641">
        <f>INPUT!GM529</f>
        <v>0</v>
      </c>
      <c r="EA15" s="650">
        <f>INPUT!GN529</f>
        <v>0</v>
      </c>
      <c r="EB15" s="641">
        <f>INPUT!GO529</f>
        <v>0</v>
      </c>
      <c r="EC15" s="650">
        <f>INPUT!GP529</f>
        <v>0</v>
      </c>
      <c r="ED15" s="641">
        <f>INPUT!GQ529</f>
        <v>0</v>
      </c>
      <c r="EE15" s="650">
        <f>INPUT!GR529</f>
        <v>0</v>
      </c>
      <c r="EF15" s="641">
        <f>INPUT!GS529</f>
        <v>0</v>
      </c>
      <c r="EG15" s="650">
        <f>INPUT!GT529</f>
        <v>0</v>
      </c>
      <c r="EH15" s="641">
        <f>INPUT!GU529</f>
        <v>0</v>
      </c>
      <c r="EI15" s="650">
        <f>INPUT!GV529</f>
        <v>0</v>
      </c>
      <c r="EJ15" s="641">
        <f>INPUT!GW529</f>
        <v>0</v>
      </c>
      <c r="EK15" s="650">
        <f>INPUT!GX529</f>
        <v>0</v>
      </c>
      <c r="EL15" s="641">
        <f>INPUT!GY529</f>
        <v>0</v>
      </c>
      <c r="EM15" s="852">
        <f>INPUT!GZ529</f>
        <v>0</v>
      </c>
      <c r="EN15" s="638"/>
      <c r="EO15" s="638"/>
      <c r="EP15" s="638"/>
      <c r="EQ15" s="638"/>
      <c r="ER15" s="638"/>
      <c r="ES15" s="638"/>
      <c r="ET15" s="638"/>
      <c r="EU15" s="638"/>
      <c r="EV15" s="638"/>
    </row>
    <row r="16" spans="1:152" ht="12.75" hidden="1" customHeight="1" outlineLevel="1" x14ac:dyDescent="0.2">
      <c r="A16" s="851" t="str">
        <f>INPUT!B530</f>
        <v>Lincoln Financial Media</v>
      </c>
      <c r="B16" s="640">
        <f>INPUT!AY530</f>
        <v>11.2</v>
      </c>
      <c r="C16" s="641">
        <f>INPUT!AZ530</f>
        <v>1.3666395148882238</v>
      </c>
      <c r="D16" s="640">
        <f>INPUT!BA530</f>
        <v>-3.7</v>
      </c>
      <c r="E16" s="641" t="str">
        <f>INPUT!BB530</f>
        <v>NM</v>
      </c>
      <c r="F16" s="640">
        <f>INPUT!BC530</f>
        <v>14.600000000000001</v>
      </c>
      <c r="G16" s="641">
        <f>INPUT!BD530</f>
        <v>5.0359712230215958</v>
      </c>
      <c r="H16" s="640">
        <f>INPUT!BE530</f>
        <v>17.5</v>
      </c>
      <c r="I16" s="641">
        <f>INPUT!BF530</f>
        <v>-1.1913500084693274</v>
      </c>
      <c r="J16" s="650">
        <f>INPUT!BG530</f>
        <v>0</v>
      </c>
      <c r="K16" s="641">
        <f>INPUT!BH530</f>
        <v>0</v>
      </c>
      <c r="L16" s="650">
        <f>INPUT!BI530</f>
        <v>0</v>
      </c>
      <c r="M16" s="641">
        <f>INPUT!BJ530</f>
        <v>0</v>
      </c>
      <c r="N16" s="650">
        <f>INPUT!BK530</f>
        <v>0</v>
      </c>
      <c r="O16" s="641">
        <f>INPUT!BL530</f>
        <v>0</v>
      </c>
      <c r="P16" s="650">
        <f>INPUT!BM530</f>
        <v>0</v>
      </c>
      <c r="Q16" s="641">
        <f>INPUT!BN530</f>
        <v>0</v>
      </c>
      <c r="R16" s="650">
        <f>INPUT!BO530</f>
        <v>0</v>
      </c>
      <c r="S16" s="641">
        <f>INPUT!BP530</f>
        <v>0</v>
      </c>
      <c r="T16" s="650">
        <f>INPUT!BQ530</f>
        <v>0</v>
      </c>
      <c r="U16" s="641">
        <f>INPUT!BR530</f>
        <v>0</v>
      </c>
      <c r="V16" s="650">
        <f>INPUT!BS530</f>
        <v>0</v>
      </c>
      <c r="W16" s="641">
        <f>INPUT!BT530</f>
        <v>0</v>
      </c>
      <c r="X16" s="650">
        <f>INPUT!BU530</f>
        <v>0</v>
      </c>
      <c r="Y16" s="641">
        <f>INPUT!BV530</f>
        <v>0</v>
      </c>
      <c r="Z16" s="650">
        <f>INPUT!BW530</f>
        <v>0</v>
      </c>
      <c r="AA16" s="641">
        <f>INPUT!BX530</f>
        <v>0</v>
      </c>
      <c r="AB16" s="650">
        <f>INPUT!BY530</f>
        <v>0</v>
      </c>
      <c r="AC16" s="641">
        <f>INPUT!BZ530</f>
        <v>0</v>
      </c>
      <c r="AD16" s="650">
        <f>INPUT!CA530</f>
        <v>0</v>
      </c>
      <c r="AE16" s="641">
        <f>INPUT!CB530</f>
        <v>0</v>
      </c>
      <c r="AF16" s="650">
        <f>INPUT!CC530</f>
        <v>0</v>
      </c>
      <c r="AG16" s="641">
        <f>INPUT!CD530</f>
        <v>0</v>
      </c>
      <c r="AH16" s="650">
        <f>INPUT!CE530</f>
        <v>0</v>
      </c>
      <c r="AI16" s="641">
        <f>INPUT!CF530</f>
        <v>0</v>
      </c>
      <c r="AJ16" s="650">
        <f>INPUT!CG530</f>
        <v>0</v>
      </c>
      <c r="AK16" s="641">
        <f>INPUT!CH530</f>
        <v>0</v>
      </c>
      <c r="AL16" s="650">
        <f>INPUT!CI530</f>
        <v>0</v>
      </c>
      <c r="AM16" s="641">
        <f>INPUT!CJ530</f>
        <v>0</v>
      </c>
      <c r="AN16" s="650">
        <f>INPUT!CK530</f>
        <v>0</v>
      </c>
      <c r="AO16" s="641">
        <f>INPUT!CL530</f>
        <v>0</v>
      </c>
      <c r="AP16" s="650">
        <f>INPUT!CM530</f>
        <v>0</v>
      </c>
      <c r="AQ16" s="641">
        <f>INPUT!CN530</f>
        <v>0</v>
      </c>
      <c r="AR16" s="650">
        <f>INPUT!CO530</f>
        <v>0</v>
      </c>
      <c r="AS16" s="641">
        <f>INPUT!CP530</f>
        <v>0</v>
      </c>
      <c r="AT16" s="650">
        <f>INPUT!CQ530</f>
        <v>0</v>
      </c>
      <c r="AU16" s="641">
        <f>INPUT!CR530</f>
        <v>0</v>
      </c>
      <c r="AV16" s="650">
        <f>INPUT!CS530</f>
        <v>0</v>
      </c>
      <c r="AW16" s="641">
        <f>INPUT!CT530</f>
        <v>0</v>
      </c>
      <c r="AX16" s="650">
        <f>INPUT!CU530</f>
        <v>0</v>
      </c>
      <c r="AY16" s="641">
        <f>INPUT!CV530</f>
        <v>0</v>
      </c>
      <c r="AZ16" s="650">
        <f>INPUT!CW530</f>
        <v>0</v>
      </c>
      <c r="BA16" s="641">
        <f>INPUT!CX530</f>
        <v>0</v>
      </c>
      <c r="BB16" s="650">
        <f>INPUT!CY530</f>
        <v>0</v>
      </c>
      <c r="BC16" s="641">
        <f>INPUT!CZ530</f>
        <v>0</v>
      </c>
      <c r="BD16" s="650">
        <f>INPUT!DA530</f>
        <v>0</v>
      </c>
      <c r="BE16" s="641">
        <f>INPUT!DB530</f>
        <v>0</v>
      </c>
      <c r="BF16" s="650">
        <f>INPUT!DC530</f>
        <v>0</v>
      </c>
      <c r="BG16" s="641">
        <f>INPUT!DD530</f>
        <v>0</v>
      </c>
      <c r="BH16" s="650">
        <f>INPUT!DE530</f>
        <v>0</v>
      </c>
      <c r="BI16" s="641">
        <f>INPUT!DF530</f>
        <v>0</v>
      </c>
      <c r="BJ16" s="650">
        <f>INPUT!DG530</f>
        <v>0</v>
      </c>
      <c r="BK16" s="641">
        <f>INPUT!DH530</f>
        <v>0</v>
      </c>
      <c r="BL16" s="650">
        <f>INPUT!DI530</f>
        <v>0</v>
      </c>
      <c r="BM16" s="641">
        <f>INPUT!DJ530</f>
        <v>0</v>
      </c>
      <c r="BN16" s="650">
        <f>INPUT!DK530</f>
        <v>0</v>
      </c>
      <c r="BO16" s="641">
        <f>INPUT!DL530</f>
        <v>0</v>
      </c>
      <c r="BP16" s="650">
        <f>INPUT!DM530</f>
        <v>0</v>
      </c>
      <c r="BQ16" s="641">
        <f>INPUT!DN530</f>
        <v>0</v>
      </c>
      <c r="BR16" s="650">
        <f>INPUT!DO530</f>
        <v>0</v>
      </c>
      <c r="BS16" s="641">
        <f>INPUT!DP530</f>
        <v>0</v>
      </c>
      <c r="BT16" s="650">
        <f>INPUT!DQ530</f>
        <v>0</v>
      </c>
      <c r="BU16" s="641">
        <f>INPUT!DR530</f>
        <v>0</v>
      </c>
      <c r="BV16" s="650">
        <f>INPUT!DS530</f>
        <v>0</v>
      </c>
      <c r="BW16" s="641">
        <f>INPUT!DT530</f>
        <v>0</v>
      </c>
      <c r="BX16" s="650">
        <f>INPUT!DU530</f>
        <v>0</v>
      </c>
      <c r="BY16" s="641">
        <f>INPUT!DV530</f>
        <v>0</v>
      </c>
      <c r="BZ16" s="650">
        <f>INPUT!DW530</f>
        <v>0</v>
      </c>
      <c r="CA16" s="641">
        <f>INPUT!DX530</f>
        <v>0</v>
      </c>
      <c r="CB16" s="650">
        <f>INPUT!DY530</f>
        <v>0</v>
      </c>
      <c r="CC16" s="641">
        <f>INPUT!DZ530</f>
        <v>0</v>
      </c>
      <c r="CD16" s="650">
        <f>INPUT!EA530</f>
        <v>0</v>
      </c>
      <c r="CE16" s="641">
        <f>INPUT!EB530</f>
        <v>0</v>
      </c>
      <c r="CF16" s="650">
        <f>INPUT!EC530</f>
        <v>0</v>
      </c>
      <c r="CG16" s="641">
        <f>INPUT!ED530</f>
        <v>0</v>
      </c>
      <c r="CH16" s="650">
        <f>INPUT!EE530</f>
        <v>0</v>
      </c>
      <c r="CI16" s="641">
        <f>INPUT!EF530</f>
        <v>0</v>
      </c>
      <c r="CJ16" s="650">
        <f>INPUT!EG530</f>
        <v>0</v>
      </c>
      <c r="CK16" s="641">
        <f>INPUT!EH530</f>
        <v>0</v>
      </c>
      <c r="CL16" s="650">
        <f>INPUT!EI530</f>
        <v>0</v>
      </c>
      <c r="CM16" s="641">
        <f>INPUT!EJ530</f>
        <v>0</v>
      </c>
      <c r="CN16" s="650">
        <f>INPUT!EK530</f>
        <v>0</v>
      </c>
      <c r="CO16" s="641">
        <f>INPUT!EL530</f>
        <v>0</v>
      </c>
      <c r="CP16" s="650">
        <f>INPUT!EM530</f>
        <v>0</v>
      </c>
      <c r="CQ16" s="641">
        <f>INPUT!EN530</f>
        <v>0</v>
      </c>
      <c r="CR16" s="650">
        <f>INPUT!EO530</f>
        <v>0</v>
      </c>
      <c r="CS16" s="641">
        <f>INPUT!EP530</f>
        <v>0</v>
      </c>
      <c r="CT16" s="650">
        <f>INPUT!EQ530</f>
        <v>0</v>
      </c>
      <c r="CU16" s="641">
        <f>INPUT!ER530</f>
        <v>0</v>
      </c>
      <c r="CV16" s="650">
        <f>INPUT!ES530</f>
        <v>0</v>
      </c>
      <c r="CW16" s="641">
        <f>INPUT!ET530</f>
        <v>0</v>
      </c>
      <c r="CX16" s="650">
        <f>INPUT!EU530</f>
        <v>0</v>
      </c>
      <c r="CY16" s="641">
        <f>INPUT!EV530</f>
        <v>0</v>
      </c>
      <c r="CZ16" s="650">
        <f>INPUT!EW530</f>
        <v>0</v>
      </c>
      <c r="DA16" s="641">
        <f>INPUT!EX530</f>
        <v>0</v>
      </c>
      <c r="DB16" s="640"/>
      <c r="DC16" s="640">
        <f>INPUT!FP530</f>
        <v>57.623999999999995</v>
      </c>
      <c r="DD16" s="641" t="str">
        <f>INPUT!FQ530</f>
        <v>NA</v>
      </c>
      <c r="DE16" s="650">
        <f>INPUT!FR530</f>
        <v>39.6</v>
      </c>
      <c r="DF16" s="641" t="str">
        <f>INPUT!FS530</f>
        <v>NA</v>
      </c>
      <c r="DG16" s="650">
        <f>INPUT!FT530</f>
        <v>0</v>
      </c>
      <c r="DH16" s="641">
        <f>INPUT!FU530</f>
        <v>0</v>
      </c>
      <c r="DI16" s="650">
        <f>INPUT!FV530</f>
        <v>0</v>
      </c>
      <c r="DJ16" s="641">
        <f>INPUT!FW530</f>
        <v>0</v>
      </c>
      <c r="DK16" s="650">
        <f>INPUT!FX530</f>
        <v>0</v>
      </c>
      <c r="DL16" s="641">
        <f>INPUT!FY530</f>
        <v>0</v>
      </c>
      <c r="DM16" s="650">
        <f>INPUT!FZ530</f>
        <v>0</v>
      </c>
      <c r="DN16" s="641">
        <f>INPUT!GA530</f>
        <v>0</v>
      </c>
      <c r="DO16" s="650">
        <f>INPUT!GB530</f>
        <v>0</v>
      </c>
      <c r="DP16" s="641">
        <f>INPUT!GC530</f>
        <v>0</v>
      </c>
      <c r="DQ16" s="650">
        <f>INPUT!GD530</f>
        <v>0</v>
      </c>
      <c r="DR16" s="641">
        <f>INPUT!GE530</f>
        <v>0</v>
      </c>
      <c r="DS16" s="650">
        <f>INPUT!GF530</f>
        <v>0</v>
      </c>
      <c r="DT16" s="641">
        <f>INPUT!GG530</f>
        <v>0</v>
      </c>
      <c r="DU16" s="650">
        <f>INPUT!GH530</f>
        <v>0</v>
      </c>
      <c r="DV16" s="641">
        <f>INPUT!GI530</f>
        <v>0</v>
      </c>
      <c r="DW16" s="650">
        <f>INPUT!GJ530</f>
        <v>0</v>
      </c>
      <c r="DX16" s="641">
        <f>INPUT!GK530</f>
        <v>0</v>
      </c>
      <c r="DY16" s="650">
        <f>INPUT!GL530</f>
        <v>0</v>
      </c>
      <c r="DZ16" s="641">
        <f>INPUT!GM530</f>
        <v>0</v>
      </c>
      <c r="EA16" s="650">
        <f>INPUT!GN530</f>
        <v>0</v>
      </c>
      <c r="EB16" s="641">
        <f>INPUT!GO530</f>
        <v>0</v>
      </c>
      <c r="EC16" s="650">
        <f>INPUT!GP530</f>
        <v>0</v>
      </c>
      <c r="ED16" s="641">
        <f>INPUT!GQ530</f>
        <v>0</v>
      </c>
      <c r="EE16" s="650">
        <f>INPUT!GR530</f>
        <v>0</v>
      </c>
      <c r="EF16" s="641">
        <f>INPUT!GS530</f>
        <v>0</v>
      </c>
      <c r="EG16" s="650">
        <f>INPUT!GT530</f>
        <v>0</v>
      </c>
      <c r="EH16" s="641">
        <f>INPUT!GU530</f>
        <v>0</v>
      </c>
      <c r="EI16" s="650">
        <f>INPUT!GV530</f>
        <v>0</v>
      </c>
      <c r="EJ16" s="641">
        <f>INPUT!GW530</f>
        <v>0</v>
      </c>
      <c r="EK16" s="650">
        <f>INPUT!GX530</f>
        <v>0</v>
      </c>
      <c r="EL16" s="641">
        <f>INPUT!GY530</f>
        <v>0</v>
      </c>
      <c r="EM16" s="852">
        <f>INPUT!GZ530</f>
        <v>0</v>
      </c>
      <c r="EN16" s="638"/>
      <c r="EO16" s="638"/>
      <c r="EP16" s="638"/>
      <c r="EQ16" s="638"/>
      <c r="ER16" s="638"/>
      <c r="ES16" s="638"/>
      <c r="ET16" s="638"/>
      <c r="EU16" s="638"/>
      <c r="EV16" s="638"/>
    </row>
    <row r="17" spans="1:162" ht="12.75" customHeight="1" collapsed="1" x14ac:dyDescent="0.2">
      <c r="A17" s="851" t="str">
        <f>INPUT!B531</f>
        <v>Corporate/Other</v>
      </c>
      <c r="B17" s="640">
        <f>INPUT!AY531</f>
        <v>0.20000000000000018</v>
      </c>
      <c r="C17" s="641" t="str">
        <f>INPUT!AZ531</f>
        <v>NM</v>
      </c>
      <c r="D17" s="640">
        <f>INPUT!BA531</f>
        <v>-29</v>
      </c>
      <c r="E17" s="641" t="str">
        <f>INPUT!BB531</f>
        <v>NM</v>
      </c>
      <c r="F17" s="640">
        <f>INPUT!BC531</f>
        <v>-24.4</v>
      </c>
      <c r="G17" s="641" t="str">
        <f>INPUT!BD531</f>
        <v>NM</v>
      </c>
      <c r="H17" s="640">
        <f>INPUT!BE531</f>
        <v>-35.4</v>
      </c>
      <c r="I17" s="641" t="str">
        <f>INPUT!BF531</f>
        <v>NM</v>
      </c>
      <c r="J17" s="650">
        <f>INPUT!BG531</f>
        <v>-28.100000000000005</v>
      </c>
      <c r="K17" s="641" t="str">
        <f>INPUT!BH531</f>
        <v>NM</v>
      </c>
      <c r="L17" s="650">
        <f>INPUT!BI531</f>
        <v>-40.000000000000014</v>
      </c>
      <c r="M17" s="641">
        <f>INPUT!BJ531</f>
        <v>37.931034482758676</v>
      </c>
      <c r="N17" s="650">
        <f>INPUT!BK531</f>
        <v>-41.800000000000018</v>
      </c>
      <c r="O17" s="641">
        <f>INPUT!BL531</f>
        <v>71.311475409836163</v>
      </c>
      <c r="P17" s="650">
        <f>INPUT!BM531</f>
        <v>-41.299999999999969</v>
      </c>
      <c r="Q17" s="641">
        <f>INPUT!BN531</f>
        <v>16.666666666666586</v>
      </c>
      <c r="R17" s="650">
        <f>INPUT!BO531</f>
        <v>-38.299999999999997</v>
      </c>
      <c r="S17" s="641">
        <f>INPUT!BP531</f>
        <v>36.298932384341612</v>
      </c>
      <c r="T17" s="650">
        <f>INPUT!BQ531</f>
        <v>-44.70000000000001</v>
      </c>
      <c r="U17" s="641">
        <f>INPUT!BR531</f>
        <v>11.749999999999993</v>
      </c>
      <c r="V17" s="650">
        <f>INPUT!BS531</f>
        <v>-39.9</v>
      </c>
      <c r="W17" s="641">
        <f>INPUT!BT531</f>
        <v>-4.5454545454545858</v>
      </c>
      <c r="X17" s="650">
        <f>INPUT!BU531</f>
        <v>-41.2</v>
      </c>
      <c r="Y17" s="641">
        <f>INPUT!BV531</f>
        <v>-0.24213075060524059</v>
      </c>
      <c r="Z17" s="650">
        <f>INPUT!BW531</f>
        <v>-76.100000000000009</v>
      </c>
      <c r="AA17" s="641">
        <f>INPUT!BX531</f>
        <v>98.694516971279398</v>
      </c>
      <c r="AB17" s="650">
        <f>INPUT!BY531</f>
        <v>-52.299999999999983</v>
      </c>
      <c r="AC17" s="641">
        <f>INPUT!BZ531</f>
        <v>17.002237136465268</v>
      </c>
      <c r="AD17" s="650">
        <f>INPUT!CA531</f>
        <v>-32.6</v>
      </c>
      <c r="AE17" s="641">
        <f>INPUT!CB531</f>
        <v>-18.295739348370923</v>
      </c>
      <c r="AF17" s="650">
        <f>INPUT!CC531</f>
        <v>-28.499999999999986</v>
      </c>
      <c r="AG17" s="641">
        <f>INPUT!CD531</f>
        <v>-30.825242718446646</v>
      </c>
      <c r="AH17" s="650">
        <f>INPUT!CE531</f>
        <v>-32.6</v>
      </c>
      <c r="AI17" s="641" t="str">
        <f>INPUT!CF531</f>
        <v>NM</v>
      </c>
      <c r="AJ17" s="650">
        <f>INPUT!CG531</f>
        <v>-36.1</v>
      </c>
      <c r="AK17" s="641">
        <f>INPUT!CH531</f>
        <v>-30.975143403441663</v>
      </c>
      <c r="AL17" s="650">
        <f>INPUT!CI531</f>
        <v>-35.700000000000003</v>
      </c>
      <c r="AM17" s="641">
        <f>INPUT!CJ531</f>
        <v>9.5092024539877418</v>
      </c>
      <c r="AN17" s="650">
        <f>INPUT!CK531</f>
        <v>-32.700000000000017</v>
      </c>
      <c r="AO17" s="641">
        <f>INPUT!CL531</f>
        <v>14.736842105263271</v>
      </c>
      <c r="AP17" s="650">
        <f>INPUT!CM531</f>
        <v>-35.900000000000006</v>
      </c>
      <c r="AQ17" s="641">
        <f>INPUT!CN531</f>
        <v>10.122699386503076</v>
      </c>
      <c r="AR17" s="650">
        <f>INPUT!CO531</f>
        <v>-36</v>
      </c>
      <c r="AS17" s="641">
        <f>INPUT!CP531</f>
        <v>-0.27700831024931594</v>
      </c>
      <c r="AT17" s="650">
        <f>INPUT!CQ531</f>
        <v>-31.9</v>
      </c>
      <c r="AU17" s="641">
        <f>INPUT!CR531</f>
        <v>-10.644257703081239</v>
      </c>
      <c r="AV17" s="650">
        <f>INPUT!CS531</f>
        <v>-35</v>
      </c>
      <c r="AW17" s="641">
        <f>INPUT!CT531</f>
        <v>7.0336391437308299</v>
      </c>
      <c r="AX17" s="650">
        <f>INPUT!CU531</f>
        <v>-34</v>
      </c>
      <c r="AY17" s="641">
        <f>INPUT!CV531</f>
        <v>-5.2924791086351171</v>
      </c>
      <c r="AZ17" s="650">
        <f>INPUT!CW531</f>
        <v>-34</v>
      </c>
      <c r="BA17" s="641">
        <f>INPUT!CX531</f>
        <v>-5.555555555555558</v>
      </c>
      <c r="BB17" s="650">
        <f>INPUT!CY531</f>
        <v>-3</v>
      </c>
      <c r="BC17" s="641" t="str">
        <f>INPUT!CZ531</f>
        <v>NM</v>
      </c>
      <c r="BD17" s="650">
        <f>INPUT!DA531</f>
        <v>-35</v>
      </c>
      <c r="BE17" s="641">
        <f>INPUT!DB531</f>
        <v>0</v>
      </c>
      <c r="BF17" s="650">
        <f>INPUT!DC531</f>
        <v>-27</v>
      </c>
      <c r="BG17" s="641">
        <f>INPUT!DD531</f>
        <v>-20.588235294117652</v>
      </c>
      <c r="BH17" s="650">
        <f>INPUT!DE531</f>
        <v>-40</v>
      </c>
      <c r="BI17" s="641">
        <f>INPUT!DF531</f>
        <v>17.647058823529417</v>
      </c>
      <c r="BJ17" s="650">
        <f>INPUT!DG531</f>
        <v>-33</v>
      </c>
      <c r="BK17" s="641" t="str">
        <f>INPUT!DH531</f>
        <v>NM</v>
      </c>
      <c r="BL17" s="650">
        <f>INPUT!DI531</f>
        <v>-28</v>
      </c>
      <c r="BM17" s="641">
        <f>INPUT!DJ531</f>
        <v>-19.999999999999996</v>
      </c>
      <c r="BN17" s="650">
        <f>INPUT!DK531</f>
        <v>-30</v>
      </c>
      <c r="BO17" s="641">
        <f>INPUT!DL531</f>
        <v>11.111111111111116</v>
      </c>
      <c r="BP17" s="650">
        <f>INPUT!DM531</f>
        <v>-28</v>
      </c>
      <c r="BQ17" s="641">
        <f>INPUT!DN531</f>
        <v>-30.000000000000004</v>
      </c>
      <c r="BR17" s="650">
        <f>INPUT!DO531</f>
        <v>-29</v>
      </c>
      <c r="BS17" s="641">
        <f>INPUT!DP531</f>
        <v>-12.121212121212121</v>
      </c>
      <c r="BT17" s="650">
        <f>INPUT!DQ531</f>
        <v>-26</v>
      </c>
      <c r="BU17" s="641">
        <f>INPUT!DR531</f>
        <v>-7.1428571428571397</v>
      </c>
      <c r="BV17" s="650">
        <f>INPUT!DS531</f>
        <v>-27</v>
      </c>
      <c r="BW17" s="641">
        <f>INPUT!DT531</f>
        <v>-9.9999999999999982</v>
      </c>
      <c r="BX17" s="650">
        <f>INPUT!DU531</f>
        <v>-30</v>
      </c>
      <c r="BY17" s="641">
        <f>INPUT!DV531</f>
        <v>7.1428571428571397</v>
      </c>
      <c r="BZ17" s="650">
        <f>INPUT!DW531</f>
        <v>-35.5</v>
      </c>
      <c r="CA17" s="641">
        <f>INPUT!DX531</f>
        <v>-35.5</v>
      </c>
      <c r="CB17" s="650">
        <f>INPUT!DY531</f>
        <v>-26</v>
      </c>
      <c r="CC17" s="641">
        <f>INPUT!DZ531</f>
        <v>0</v>
      </c>
      <c r="CD17" s="650">
        <f>INPUT!EA531</f>
        <v>-15</v>
      </c>
      <c r="CE17" s="641">
        <f>INPUT!EB531</f>
        <v>-44.444444444444443</v>
      </c>
      <c r="CF17" s="650">
        <f>INPUT!EC531</f>
        <v>-28</v>
      </c>
      <c r="CG17" s="641">
        <f>INPUT!ED531</f>
        <v>-6.6666666666666652</v>
      </c>
      <c r="CH17" s="650">
        <f>INPUT!EE531</f>
        <v>-30</v>
      </c>
      <c r="CI17" s="641">
        <f>INPUT!EF531</f>
        <v>-15.492957746478876</v>
      </c>
      <c r="CJ17" s="650">
        <f>INPUT!EG531</f>
        <v>-37</v>
      </c>
      <c r="CK17" s="641">
        <f>INPUT!EH531</f>
        <v>42.307692307692314</v>
      </c>
      <c r="CL17" s="650">
        <f>INPUT!EI531</f>
        <v>-13</v>
      </c>
      <c r="CM17" s="641">
        <f>INPUT!EJ531</f>
        <v>-13.33333333333333</v>
      </c>
      <c r="CN17" s="650">
        <f>INPUT!EK531</f>
        <v>-37</v>
      </c>
      <c r="CO17" s="641">
        <f>INPUT!EL531</f>
        <v>32.142857142857139</v>
      </c>
      <c r="CP17" s="650">
        <f>INPUT!EM531</f>
        <v>-39.5</v>
      </c>
      <c r="CQ17" s="641">
        <f>INPUT!EN531</f>
        <v>31.666666666666664</v>
      </c>
      <c r="CR17" s="650">
        <f>INPUT!EO531</f>
        <v>-38</v>
      </c>
      <c r="CS17" s="641">
        <f>INPUT!EP531</f>
        <v>2.7027027027026973</v>
      </c>
      <c r="CT17" s="650">
        <f>INPUT!EQ531</f>
        <v>-53.666075000000006</v>
      </c>
      <c r="CU17" s="641" t="str">
        <f>INPUT!ER531</f>
        <v>NM</v>
      </c>
      <c r="CV17" s="650">
        <f>INPUT!ES531</f>
        <v>-53.411508500000011</v>
      </c>
      <c r="CW17" s="641">
        <f>INPUT!ET531</f>
        <v>44.355428378378406</v>
      </c>
      <c r="CX17" s="650">
        <f>INPUT!EU531</f>
        <v>-53.155669167500022</v>
      </c>
      <c r="CY17" s="641">
        <f>INPUT!EV531</f>
        <v>34.571314348101325</v>
      </c>
      <c r="CZ17" s="650">
        <f>INPUT!EW531</f>
        <v>-52.898550638337525</v>
      </c>
      <c r="DA17" s="641">
        <f>INPUT!EX531</f>
        <v>39.206712206151373</v>
      </c>
      <c r="DB17" s="640"/>
      <c r="DC17" s="640">
        <f>INPUT!FP531</f>
        <v>20.249999999999996</v>
      </c>
      <c r="DD17" s="641" t="str">
        <f>INPUT!FQ531</f>
        <v>NA</v>
      </c>
      <c r="DE17" s="650">
        <f>INPUT!FR531</f>
        <v>-88.6</v>
      </c>
      <c r="DF17" s="641" t="str">
        <f>INPUT!FS531</f>
        <v>NM</v>
      </c>
      <c r="DG17" s="650">
        <f>INPUT!FT531</f>
        <v>-151.19999999999985</v>
      </c>
      <c r="DH17" s="641">
        <f>INPUT!FU531</f>
        <v>70.654627539503224</v>
      </c>
      <c r="DI17" s="650">
        <f>INPUT!FV531</f>
        <v>-164.10000000000005</v>
      </c>
      <c r="DJ17" s="641">
        <f>INPUT!FW531</f>
        <v>8.5317460317461791</v>
      </c>
      <c r="DK17" s="650">
        <f>INPUT!FX531</f>
        <v>-189.5</v>
      </c>
      <c r="DL17" s="641">
        <f>INPUT!FY531</f>
        <v>15.478366849481983</v>
      </c>
      <c r="DM17" s="650">
        <f>INPUT!FZ531</f>
        <v>-137.1</v>
      </c>
      <c r="DN17" s="641">
        <f>INPUT!GA531</f>
        <v>-27.651715039577841</v>
      </c>
      <c r="DO17" s="650">
        <f>INPUT!GB531</f>
        <v>-138.8000000000001</v>
      </c>
      <c r="DP17" s="641">
        <f>INPUT!GC531</f>
        <v>1.2399708242159857</v>
      </c>
      <c r="DQ17" s="650">
        <f>INPUT!GD531</f>
        <v>-106</v>
      </c>
      <c r="DR17" s="641">
        <f>INPUT!GE531</f>
        <v>-23.631123919308404</v>
      </c>
      <c r="DS17" s="650">
        <f>INPUT!GF531</f>
        <v>-128</v>
      </c>
      <c r="DT17" s="641">
        <f>INPUT!GG531</f>
        <v>20.75471698113207</v>
      </c>
      <c r="DU17" s="650">
        <f>INPUT!GH531</f>
        <v>-113</v>
      </c>
      <c r="DV17" s="641">
        <f>INPUT!GI531</f>
        <v>-11.71875</v>
      </c>
      <c r="DW17" s="650">
        <f>INPUT!GJ531</f>
        <v>-118.5</v>
      </c>
      <c r="DX17" s="641">
        <f>INPUT!GK531</f>
        <v>4.8672566371681381</v>
      </c>
      <c r="DY17" s="650">
        <f>INPUT!GL531</f>
        <v>-110</v>
      </c>
      <c r="DZ17" s="641">
        <f>INPUT!GM531</f>
        <v>-7.1729957805907185</v>
      </c>
      <c r="EA17" s="650">
        <f>INPUT!GN531</f>
        <v>-127.5</v>
      </c>
      <c r="EB17" s="641">
        <f>INPUT!GO531</f>
        <v>15.909090909090917</v>
      </c>
      <c r="EC17" s="650">
        <f>INPUT!GP531</f>
        <v>-213.13180330583759</v>
      </c>
      <c r="ED17" s="641">
        <f>INPUT!GQ531</f>
        <v>67.162198671245179</v>
      </c>
      <c r="EE17" s="650">
        <f>INPUT!GR531</f>
        <v>-190.67547814437705</v>
      </c>
      <c r="EF17" s="641">
        <f>INPUT!GS531</f>
        <v>-10.53635581980058</v>
      </c>
      <c r="EG17" s="650">
        <f>INPUT!GT531</f>
        <v>-119.87848648870835</v>
      </c>
      <c r="EH17" s="641">
        <f>INPUT!GU531</f>
        <v>-37.129573422158735</v>
      </c>
      <c r="EI17" s="650">
        <f>INPUT!GV531</f>
        <v>-117.37013196336963</v>
      </c>
      <c r="EJ17" s="641">
        <f>INPUT!GW531</f>
        <v>-2.0924142427965919</v>
      </c>
      <c r="EK17" s="650">
        <f>INPUT!GX531</f>
        <v>-114.74628461987075</v>
      </c>
      <c r="EL17" s="641">
        <f>INPUT!GY531</f>
        <v>-2.2355324132359078</v>
      </c>
      <c r="EM17" s="852">
        <f>INPUT!GZ531</f>
        <v>-2.0857978302178504</v>
      </c>
      <c r="EN17" s="638"/>
      <c r="EO17" s="638"/>
      <c r="EP17" s="638"/>
      <c r="EQ17" s="638"/>
      <c r="ER17" s="638"/>
      <c r="ES17" s="638"/>
      <c r="ET17" s="638"/>
      <c r="EU17" s="638"/>
      <c r="EV17" s="638"/>
    </row>
    <row r="18" spans="1:162" ht="12.75" hidden="1" customHeight="1" x14ac:dyDescent="0.2">
      <c r="A18" s="851" t="str">
        <f>INPUT!B532</f>
        <v>Adjs in deferred compensation plans</v>
      </c>
      <c r="B18" s="640">
        <f>INPUT!AY532</f>
        <v>0</v>
      </c>
      <c r="C18" s="641">
        <f>INPUT!AZ532</f>
        <v>0</v>
      </c>
      <c r="D18" s="640">
        <f>INPUT!BA532</f>
        <v>0</v>
      </c>
      <c r="E18" s="641">
        <f>INPUT!BB532</f>
        <v>0</v>
      </c>
      <c r="F18" s="640">
        <f>INPUT!BC532</f>
        <v>0</v>
      </c>
      <c r="G18" s="641">
        <f>INPUT!BD532</f>
        <v>0</v>
      </c>
      <c r="H18" s="640">
        <f>INPUT!BE532</f>
        <v>0</v>
      </c>
      <c r="I18" s="641">
        <f>INPUT!BF532</f>
        <v>0</v>
      </c>
      <c r="J18" s="650">
        <f>INPUT!BG532</f>
        <v>0</v>
      </c>
      <c r="K18" s="641">
        <f>INPUT!BH532</f>
        <v>0</v>
      </c>
      <c r="L18" s="650">
        <f>INPUT!BI532</f>
        <v>0</v>
      </c>
      <c r="M18" s="641">
        <f>INPUT!BJ532</f>
        <v>0</v>
      </c>
      <c r="N18" s="650">
        <f>INPUT!BK532</f>
        <v>0</v>
      </c>
      <c r="O18" s="641">
        <f>INPUT!BL532</f>
        <v>0</v>
      </c>
      <c r="P18" s="650">
        <f>INPUT!BM532</f>
        <v>0</v>
      </c>
      <c r="Q18" s="641">
        <f>INPUT!BN532</f>
        <v>0</v>
      </c>
      <c r="R18" s="650">
        <f>INPUT!BO532</f>
        <v>0</v>
      </c>
      <c r="S18" s="641">
        <f>INPUT!BP532</f>
        <v>0</v>
      </c>
      <c r="T18" s="650">
        <f>INPUT!BQ532</f>
        <v>0</v>
      </c>
      <c r="U18" s="641">
        <f>INPUT!BR532</f>
        <v>0</v>
      </c>
      <c r="V18" s="650">
        <f>INPUT!BS532</f>
        <v>0</v>
      </c>
      <c r="W18" s="641">
        <f>INPUT!BT532</f>
        <v>0</v>
      </c>
      <c r="X18" s="650">
        <f>INPUT!BU532</f>
        <v>0</v>
      </c>
      <c r="Y18" s="641">
        <f>INPUT!BV532</f>
        <v>0</v>
      </c>
      <c r="Z18" s="650">
        <f>INPUT!BW532</f>
        <v>0</v>
      </c>
      <c r="AA18" s="641">
        <f>INPUT!BX532</f>
        <v>0</v>
      </c>
      <c r="AB18" s="650">
        <f>INPUT!BY532</f>
        <v>0</v>
      </c>
      <c r="AC18" s="641">
        <f>INPUT!BZ532</f>
        <v>0</v>
      </c>
      <c r="AD18" s="650">
        <f>INPUT!CA532</f>
        <v>0</v>
      </c>
      <c r="AE18" s="641">
        <f>INPUT!CB532</f>
        <v>0</v>
      </c>
      <c r="AF18" s="650">
        <f>INPUT!CC532</f>
        <v>0</v>
      </c>
      <c r="AG18" s="641">
        <f>INPUT!CD532</f>
        <v>0</v>
      </c>
      <c r="AH18" s="650">
        <f>INPUT!CE532</f>
        <v>0</v>
      </c>
      <c r="AI18" s="641">
        <f>INPUT!CF532</f>
        <v>0</v>
      </c>
      <c r="AJ18" s="650">
        <f>INPUT!CG532</f>
        <v>0</v>
      </c>
      <c r="AK18" s="641">
        <f>INPUT!CH532</f>
        <v>0</v>
      </c>
      <c r="AL18" s="650">
        <f>INPUT!CI532</f>
        <v>0</v>
      </c>
      <c r="AM18" s="641">
        <f>INPUT!CJ532</f>
        <v>0</v>
      </c>
      <c r="AN18" s="650">
        <f>INPUT!CK532</f>
        <v>0</v>
      </c>
      <c r="AO18" s="641">
        <f>INPUT!CL532</f>
        <v>0</v>
      </c>
      <c r="AP18" s="650">
        <f>INPUT!CM532</f>
        <v>0</v>
      </c>
      <c r="AQ18" s="641">
        <f>INPUT!CN532</f>
        <v>0</v>
      </c>
      <c r="AR18" s="650">
        <f>INPUT!CO532</f>
        <v>-1.3</v>
      </c>
      <c r="AS18" s="641" t="str">
        <f>INPUT!CP532</f>
        <v>NA</v>
      </c>
      <c r="AT18" s="650">
        <f>INPUT!CQ532</f>
        <v>-6.3</v>
      </c>
      <c r="AU18" s="641" t="str">
        <f>INPUT!CR532</f>
        <v>NA</v>
      </c>
      <c r="AV18" s="650">
        <f>INPUT!CS532</f>
        <v>0</v>
      </c>
      <c r="AW18" s="641" t="str">
        <f>INPUT!CT532</f>
        <v>NA</v>
      </c>
      <c r="AX18" s="650">
        <f>INPUT!CU532</f>
        <v>0</v>
      </c>
      <c r="AY18" s="641" t="str">
        <f>INPUT!CV532</f>
        <v>NA</v>
      </c>
      <c r="AZ18" s="650">
        <f>INPUT!CW532</f>
        <v>-4</v>
      </c>
      <c r="BA18" s="641" t="str">
        <f>INPUT!CX532</f>
        <v>NM</v>
      </c>
      <c r="BB18" s="650">
        <f>INPUT!CY532</f>
        <v>0</v>
      </c>
      <c r="BC18" s="641" t="str">
        <f>INPUT!CZ532</f>
        <v>NM</v>
      </c>
      <c r="BD18" s="650">
        <f>INPUT!DA532</f>
        <v>0</v>
      </c>
      <c r="BE18" s="641" t="str">
        <f>INPUT!DB532</f>
        <v>NA</v>
      </c>
      <c r="BF18" s="650">
        <f>INPUT!DC532</f>
        <v>0</v>
      </c>
      <c r="BG18" s="641" t="str">
        <f>INPUT!DD532</f>
        <v>NA</v>
      </c>
      <c r="BH18" s="650">
        <f>INPUT!DE532</f>
        <v>0</v>
      </c>
      <c r="BI18" s="641" t="str">
        <f>INPUT!DF532</f>
        <v>NM</v>
      </c>
      <c r="BJ18" s="650">
        <f>INPUT!DG532</f>
        <v>0</v>
      </c>
      <c r="BK18" s="641" t="str">
        <f>INPUT!DH532</f>
        <v>NA</v>
      </c>
      <c r="BL18" s="650">
        <f>INPUT!DI532</f>
        <v>0</v>
      </c>
      <c r="BM18" s="641" t="str">
        <f>INPUT!DJ532</f>
        <v>NA</v>
      </c>
      <c r="BN18" s="650">
        <f>INPUT!DK532</f>
        <v>-1</v>
      </c>
      <c r="BO18" s="641" t="str">
        <f>INPUT!DL532</f>
        <v>NA</v>
      </c>
      <c r="BP18" s="650">
        <f>INPUT!DM532</f>
        <v>1</v>
      </c>
      <c r="BQ18" s="641" t="str">
        <f>INPUT!DN532</f>
        <v>NA</v>
      </c>
      <c r="BR18" s="650">
        <f>INPUT!DO532</f>
        <v>2</v>
      </c>
      <c r="BS18" s="641" t="str">
        <f>INPUT!DP532</f>
        <v>NA</v>
      </c>
      <c r="BT18" s="650">
        <f>INPUT!DQ532</f>
        <v>0</v>
      </c>
      <c r="BU18" s="641" t="str">
        <f>INPUT!DR532</f>
        <v>NA</v>
      </c>
      <c r="BV18" s="650">
        <f>INPUT!DS532</f>
        <v>0</v>
      </c>
      <c r="BW18" s="641" t="str">
        <f>INPUT!DT532</f>
        <v>NM</v>
      </c>
      <c r="BX18" s="650">
        <f>INPUT!DU532</f>
        <v>0</v>
      </c>
      <c r="BY18" s="641" t="str">
        <f>INPUT!DV532</f>
        <v>NM</v>
      </c>
      <c r="BZ18" s="650">
        <f>INPUT!DW532</f>
        <v>-7</v>
      </c>
      <c r="CA18" s="641">
        <f>INPUT!DX532</f>
        <v>-7</v>
      </c>
      <c r="CB18" s="650">
        <f>INPUT!DY532</f>
        <v>0</v>
      </c>
      <c r="CC18" s="641" t="str">
        <f>INPUT!DZ532</f>
        <v>NA</v>
      </c>
      <c r="CD18" s="650">
        <f>INPUT!EA532</f>
        <v>-7</v>
      </c>
      <c r="CE18" s="641" t="str">
        <f>INPUT!EB532</f>
        <v>NA</v>
      </c>
      <c r="CF18" s="650">
        <f>INPUT!EC532</f>
        <v>0</v>
      </c>
      <c r="CG18" s="641" t="str">
        <f>INPUT!ED532</f>
        <v>NA</v>
      </c>
      <c r="CH18" s="650">
        <f>INPUT!EE532</f>
        <v>0</v>
      </c>
      <c r="CI18" s="641" t="str">
        <f>INPUT!EF532</f>
        <v>NM</v>
      </c>
      <c r="CJ18" s="650">
        <f>INPUT!EG532</f>
        <v>0</v>
      </c>
      <c r="CK18" s="641" t="str">
        <f>INPUT!EH532</f>
        <v>NA</v>
      </c>
      <c r="CL18" s="650">
        <f>INPUT!EI532</f>
        <v>0</v>
      </c>
      <c r="CM18" s="641" t="str">
        <f>INPUT!EJ532</f>
        <v>NM</v>
      </c>
      <c r="CN18" s="650">
        <f>INPUT!EK532</f>
        <v>0</v>
      </c>
      <c r="CO18" s="641" t="str">
        <f>INPUT!EL532</f>
        <v>NA</v>
      </c>
      <c r="CP18" s="650">
        <f>INPUT!EM532</f>
        <v>0</v>
      </c>
      <c r="CQ18" s="641" t="str">
        <f>INPUT!EN532</f>
        <v>NA</v>
      </c>
      <c r="CR18" s="650">
        <f>INPUT!EO532</f>
        <v>0</v>
      </c>
      <c r="CS18" s="641" t="str">
        <f>INPUT!EP532</f>
        <v>NA</v>
      </c>
      <c r="CT18" s="650">
        <f>INPUT!EQ532</f>
        <v>0</v>
      </c>
      <c r="CU18" s="641" t="str">
        <f>INPUT!ER532</f>
        <v>NA</v>
      </c>
      <c r="CV18" s="650">
        <f>INPUT!ES532</f>
        <v>0</v>
      </c>
      <c r="CW18" s="641" t="str">
        <f>INPUT!ET532</f>
        <v>NA</v>
      </c>
      <c r="CX18" s="650">
        <f>INPUT!EU532</f>
        <v>0</v>
      </c>
      <c r="CY18" s="641" t="str">
        <f>INPUT!EV532</f>
        <v>NA</v>
      </c>
      <c r="CZ18" s="650">
        <f>INPUT!EW532</f>
        <v>0</v>
      </c>
      <c r="DA18" s="641" t="str">
        <f>INPUT!EX532</f>
        <v>NA</v>
      </c>
      <c r="DB18" s="640"/>
      <c r="DC18" s="640">
        <f>INPUT!FP532</f>
        <v>0</v>
      </c>
      <c r="DD18" s="641">
        <f>INPUT!FQ532</f>
        <v>0</v>
      </c>
      <c r="DE18" s="650">
        <f>INPUT!FR532</f>
        <v>0</v>
      </c>
      <c r="DF18" s="641">
        <f>INPUT!FS532</f>
        <v>0</v>
      </c>
      <c r="DG18" s="650">
        <f>INPUT!FT532</f>
        <v>0</v>
      </c>
      <c r="DH18" s="641">
        <f>INPUT!FU532</f>
        <v>0</v>
      </c>
      <c r="DI18" s="650">
        <f>INPUT!FV532</f>
        <v>0</v>
      </c>
      <c r="DJ18" s="641">
        <f>INPUT!FW532</f>
        <v>0</v>
      </c>
      <c r="DK18" s="650">
        <f>INPUT!FX532</f>
        <v>0</v>
      </c>
      <c r="DL18" s="641">
        <f>INPUT!FY532</f>
        <v>0</v>
      </c>
      <c r="DM18" s="650">
        <f>INPUT!FZ532</f>
        <v>0</v>
      </c>
      <c r="DN18" s="641">
        <f>INPUT!GA532</f>
        <v>0</v>
      </c>
      <c r="DO18" s="650">
        <f>INPUT!GB532</f>
        <v>-7.6</v>
      </c>
      <c r="DP18" s="641" t="str">
        <f>INPUT!GC532</f>
        <v>NA</v>
      </c>
      <c r="DQ18" s="650">
        <f>INPUT!GD532</f>
        <v>-4</v>
      </c>
      <c r="DR18" s="641">
        <f>INPUT!GE532</f>
        <v>-47.368421052631582</v>
      </c>
      <c r="DS18" s="650">
        <f>INPUT!GF532</f>
        <v>0</v>
      </c>
      <c r="DT18" s="641" t="str">
        <f>INPUT!GG532</f>
        <v>NM</v>
      </c>
      <c r="DU18" s="650">
        <f>INPUT!GH532</f>
        <v>2</v>
      </c>
      <c r="DV18" s="641" t="str">
        <f>INPUT!GI532</f>
        <v>NA</v>
      </c>
      <c r="DW18" s="650">
        <f>INPUT!GJ532</f>
        <v>-7</v>
      </c>
      <c r="DX18" s="641" t="str">
        <f>INPUT!GK532</f>
        <v>NM</v>
      </c>
      <c r="DY18" s="650">
        <f>INPUT!GL532</f>
        <v>-7</v>
      </c>
      <c r="DZ18" s="641">
        <f>INPUT!GM532</f>
        <v>0</v>
      </c>
      <c r="EA18" s="650">
        <f>INPUT!GN532</f>
        <v>0</v>
      </c>
      <c r="EB18" s="641" t="str">
        <f>INPUT!GO532</f>
        <v>NM</v>
      </c>
      <c r="EC18" s="650">
        <f>INPUT!GP532</f>
        <v>0</v>
      </c>
      <c r="ED18" s="641" t="str">
        <f>INPUT!GQ532</f>
        <v>NA</v>
      </c>
      <c r="EE18" s="650">
        <f>INPUT!GR532</f>
        <v>0</v>
      </c>
      <c r="EF18" s="641" t="str">
        <f>INPUT!GS532</f>
        <v>NA</v>
      </c>
      <c r="EG18" s="650">
        <f>INPUT!GT532</f>
        <v>0</v>
      </c>
      <c r="EH18" s="641" t="str">
        <f>INPUT!GU532</f>
        <v>NA</v>
      </c>
      <c r="EI18" s="650">
        <f>INPUT!GV532</f>
        <v>0</v>
      </c>
      <c r="EJ18" s="641" t="str">
        <f>INPUT!GW532</f>
        <v>NA</v>
      </c>
      <c r="EK18" s="650">
        <f>INPUT!GX532</f>
        <v>0</v>
      </c>
      <c r="EL18" s="641" t="str">
        <f>INPUT!GY532</f>
        <v>NA</v>
      </c>
      <c r="EM18" s="852" t="str">
        <f>INPUT!GZ532</f>
        <v/>
      </c>
      <c r="EN18" s="638"/>
      <c r="EO18" s="638"/>
      <c r="EP18" s="638"/>
      <c r="EQ18" s="638"/>
      <c r="ER18" s="638"/>
      <c r="ES18" s="638"/>
      <c r="ET18" s="638"/>
      <c r="EU18" s="638"/>
      <c r="EV18" s="638"/>
    </row>
    <row r="19" spans="1:162" ht="12.75" customHeight="1" x14ac:dyDescent="0.2">
      <c r="A19" s="855" t="str">
        <f>INPUT!B536</f>
        <v>Core AT Operating Earnings</v>
      </c>
      <c r="B19" s="652">
        <f>INPUT!AY536</f>
        <v>246.95999999999995</v>
      </c>
      <c r="C19" s="641">
        <f>INPUT!AZ536</f>
        <v>18.422188336162449</v>
      </c>
      <c r="D19" s="652">
        <f>INPUT!BA536</f>
        <v>294.45999999999998</v>
      </c>
      <c r="E19" s="641">
        <f>INPUT!BB536</f>
        <v>51.111293575486336</v>
      </c>
      <c r="F19" s="652">
        <f>INPUT!BC536</f>
        <v>326.76000000000005</v>
      </c>
      <c r="G19" s="641">
        <f>INPUT!BD536</f>
        <v>55.847872330277767</v>
      </c>
      <c r="H19" s="652">
        <f>INPUT!BE536</f>
        <v>336.45999999999992</v>
      </c>
      <c r="I19" s="641">
        <f>INPUT!BF536</f>
        <v>31.053420842502931</v>
      </c>
      <c r="J19" s="651">
        <f>INPUT!BG536</f>
        <v>324.40000000000009</v>
      </c>
      <c r="K19" s="641">
        <f>INPUT!BH536</f>
        <v>31.357304826692634</v>
      </c>
      <c r="L19" s="651">
        <f>INPUT!BI536</f>
        <v>324.70000000000005</v>
      </c>
      <c r="M19" s="641">
        <f>INPUT!BJ536</f>
        <v>10.269646131902487</v>
      </c>
      <c r="N19" s="651">
        <f>INPUT!BK536</f>
        <v>335.3</v>
      </c>
      <c r="O19" s="641">
        <f>INPUT!BL536</f>
        <v>2.61353898886032</v>
      </c>
      <c r="P19" s="651">
        <f>INPUT!BM536</f>
        <v>356.49999999999983</v>
      </c>
      <c r="Q19" s="641">
        <f>INPUT!BN536</f>
        <v>5.9561314866551474</v>
      </c>
      <c r="R19" s="651">
        <f>INPUT!BO536</f>
        <v>304.50000000000011</v>
      </c>
      <c r="S19" s="641">
        <f>INPUT!BP536</f>
        <v>-6.1344019728729826</v>
      </c>
      <c r="T19" s="651">
        <f>INPUT!BQ536</f>
        <v>308.60000000000008</v>
      </c>
      <c r="U19" s="641">
        <f>INPUT!BR536</f>
        <v>-4.9584231598398425</v>
      </c>
      <c r="V19" s="651">
        <f>INPUT!BS536</f>
        <v>315.00000000000011</v>
      </c>
      <c r="W19" s="641">
        <f>INPUT!BT536</f>
        <v>-6.0542797494780531</v>
      </c>
      <c r="X19" s="651">
        <f>INPUT!BU536</f>
        <v>213.89999999999986</v>
      </c>
      <c r="Y19" s="641">
        <f>INPUT!BV536</f>
        <v>-40.000000000000014</v>
      </c>
      <c r="Z19" s="651">
        <f>INPUT!BW536</f>
        <v>195.50000000000006</v>
      </c>
      <c r="AA19" s="641">
        <f>INPUT!BX536</f>
        <v>-35.79638752052545</v>
      </c>
      <c r="AB19" s="651">
        <f>INPUT!BY536</f>
        <v>207.30000000000015</v>
      </c>
      <c r="AC19" s="641">
        <f>INPUT!BZ536</f>
        <v>-32.825664290343461</v>
      </c>
      <c r="AD19" s="651">
        <f>INPUT!CA536</f>
        <v>261.50999999999988</v>
      </c>
      <c r="AE19" s="641">
        <f>INPUT!CB536</f>
        <v>-16.980952380952452</v>
      </c>
      <c r="AF19" s="651">
        <f>INPUT!CC536</f>
        <v>299.7</v>
      </c>
      <c r="AG19" s="641">
        <f>INPUT!CD536</f>
        <v>40.112201963534446</v>
      </c>
      <c r="AH19" s="651">
        <f>INPUT!CE536</f>
        <v>283.20000000000005</v>
      </c>
      <c r="AI19" s="641">
        <f>INPUT!CF536</f>
        <v>44.859335038363149</v>
      </c>
      <c r="AJ19" s="651">
        <f>INPUT!CG536</f>
        <v>290.70000000000005</v>
      </c>
      <c r="AK19" s="641">
        <f>INPUT!CH536</f>
        <v>40.231548480463019</v>
      </c>
      <c r="AL19" s="651">
        <f>INPUT!CI536</f>
        <v>281.59999999999997</v>
      </c>
      <c r="AM19" s="641">
        <f>INPUT!CJ536</f>
        <v>7.6823066039539922</v>
      </c>
      <c r="AN19" s="651">
        <f>INPUT!CK536</f>
        <v>297.5999999999998</v>
      </c>
      <c r="AO19" s="641">
        <f>INPUT!CL536</f>
        <v>-0.70070070070076262</v>
      </c>
      <c r="AP19" s="651">
        <f>INPUT!CM536</f>
        <v>275.9000000000002</v>
      </c>
      <c r="AQ19" s="641">
        <f>INPUT!CN536</f>
        <v>-2.5776836158191485</v>
      </c>
      <c r="AR19" s="651">
        <f>INPUT!CO536</f>
        <v>290.89999999999981</v>
      </c>
      <c r="AS19" s="641">
        <f>INPUT!CP536</f>
        <v>6.8799449604317608E-2</v>
      </c>
      <c r="AT19" s="651">
        <f>INPUT!CQ536</f>
        <v>312.89999999999992</v>
      </c>
      <c r="AU19" s="641">
        <f>INPUT!CR536</f>
        <v>11.115056818181813</v>
      </c>
      <c r="AV19" s="651">
        <f>INPUT!CS536</f>
        <v>280</v>
      </c>
      <c r="AW19" s="641">
        <f>INPUT!CT536</f>
        <v>-5.9139784946235956</v>
      </c>
      <c r="AX19" s="651">
        <f>INPUT!CU536</f>
        <v>293</v>
      </c>
      <c r="AY19" s="641">
        <f>INPUT!CV536</f>
        <v>6.19789778905393</v>
      </c>
      <c r="AZ19" s="651">
        <f>INPUT!CW536</f>
        <v>295</v>
      </c>
      <c r="BA19" s="641">
        <f>INPUT!CX536</f>
        <v>1.4094190443451948</v>
      </c>
      <c r="BB19" s="651">
        <f>INPUT!CY536</f>
        <v>328</v>
      </c>
      <c r="BC19" s="641">
        <f>INPUT!CZ536</f>
        <v>4.8258229466283442</v>
      </c>
      <c r="BD19" s="651">
        <f>INPUT!DA536</f>
        <v>302</v>
      </c>
      <c r="BE19" s="641">
        <f>INPUT!DB536</f>
        <v>7.8571428571428514</v>
      </c>
      <c r="BF19" s="651">
        <f>INPUT!DC536</f>
        <v>298.49799999999999</v>
      </c>
      <c r="BG19" s="641">
        <f>INPUT!DD536</f>
        <v>1.8764505119453823</v>
      </c>
      <c r="BH19" s="651">
        <f>INPUT!DE536</f>
        <v>332</v>
      </c>
      <c r="BI19" s="641">
        <f>INPUT!DF536</f>
        <v>12.542372881355934</v>
      </c>
      <c r="BJ19" s="651">
        <f>INPUT!DG536</f>
        <v>339</v>
      </c>
      <c r="BK19" s="641">
        <f>INPUT!DH536</f>
        <v>3.3536585365853577</v>
      </c>
      <c r="BL19" s="651">
        <f>INPUT!DI536</f>
        <v>357</v>
      </c>
      <c r="BM19" s="641">
        <f>INPUT!DJ536</f>
        <v>18.211920529801318</v>
      </c>
      <c r="BN19" s="651">
        <f>INPUT!DK536</f>
        <v>364</v>
      </c>
      <c r="BO19" s="641">
        <f>INPUT!DL536</f>
        <v>21.94386562054018</v>
      </c>
      <c r="BP19" s="651">
        <f>INPUT!DM536</f>
        <v>384</v>
      </c>
      <c r="BQ19" s="641">
        <f>INPUT!DN536</f>
        <v>15.662650602409634</v>
      </c>
      <c r="BR19" s="651">
        <f>INPUT!DO536</f>
        <v>404</v>
      </c>
      <c r="BS19" s="641">
        <f>INPUT!DP536</f>
        <v>19.174041297935098</v>
      </c>
      <c r="BT19" s="651">
        <f>INPUT!DQ536</f>
        <v>387</v>
      </c>
      <c r="BU19" s="641">
        <f>INPUT!DR536</f>
        <v>8.4033613445378066</v>
      </c>
      <c r="BV19" s="651">
        <f>INPUT!DS536</f>
        <v>352</v>
      </c>
      <c r="BW19" s="641">
        <f>INPUT!DT536</f>
        <v>-3.2967032967032961</v>
      </c>
      <c r="BX19" s="651">
        <f>INPUT!DU536</f>
        <v>379</v>
      </c>
      <c r="BY19" s="641">
        <f>INPUT!DV536</f>
        <v>-1.302083333333337</v>
      </c>
      <c r="BZ19" s="651">
        <f>INPUT!DW536</f>
        <v>421.5</v>
      </c>
      <c r="CA19" s="641">
        <f>INPUT!DX536</f>
        <v>421.5</v>
      </c>
      <c r="CB19" s="651">
        <f>INPUT!DY536</f>
        <v>382</v>
      </c>
      <c r="CC19" s="641">
        <f>INPUT!DZ536</f>
        <v>-1.2919896640826822</v>
      </c>
      <c r="CD19" s="651">
        <f>INPUT!EA536</f>
        <v>362</v>
      </c>
      <c r="CE19" s="641">
        <f>INPUT!EB536</f>
        <v>2.8409090909090828</v>
      </c>
      <c r="CF19" s="651">
        <f>INPUT!EC536</f>
        <v>373</v>
      </c>
      <c r="CG19" s="641">
        <f>INPUT!ED536</f>
        <v>-1.5831134564643801</v>
      </c>
      <c r="CH19" s="651">
        <f>INPUT!EE536</f>
        <v>408.3</v>
      </c>
      <c r="CI19" s="641">
        <f>INPUT!EF536</f>
        <v>-3.1316725978647653</v>
      </c>
      <c r="CJ19" s="651">
        <f>INPUT!EG536</f>
        <v>409</v>
      </c>
      <c r="CK19" s="641">
        <f>INPUT!EH536</f>
        <v>7.0680628272251411</v>
      </c>
      <c r="CL19" s="651">
        <f>INPUT!EI536</f>
        <v>398</v>
      </c>
      <c r="CM19" s="641">
        <f>INPUT!EJ536</f>
        <v>9.9447513812154664</v>
      </c>
      <c r="CN19" s="651">
        <f>INPUT!EK536</f>
        <v>419</v>
      </c>
      <c r="CO19" s="641">
        <f>INPUT!EL536</f>
        <v>12.332439678284191</v>
      </c>
      <c r="CP19" s="651">
        <f>INPUT!EM536</f>
        <v>433.5</v>
      </c>
      <c r="CQ19" s="641">
        <f>INPUT!EN536</f>
        <v>6.1719324026451083</v>
      </c>
      <c r="CR19" s="651">
        <f>INPUT!EO536</f>
        <v>440</v>
      </c>
      <c r="CS19" s="641">
        <f>INPUT!EP536</f>
        <v>7.5794621026894937</v>
      </c>
      <c r="CT19" s="651">
        <f>INPUT!EQ536</f>
        <v>433.01539174143363</v>
      </c>
      <c r="CU19" s="641">
        <f>INPUT!ER536</f>
        <v>8.7978371209632265</v>
      </c>
      <c r="CV19" s="651">
        <f>INPUT!ES536</f>
        <v>460.45921990626726</v>
      </c>
      <c r="CW19" s="641">
        <f>INPUT!ET536</f>
        <v>9.894801886937298</v>
      </c>
      <c r="CX19" s="651">
        <f>INPUT!EU536</f>
        <v>479.13694888564487</v>
      </c>
      <c r="CY19" s="641">
        <f>INPUT!EV536</f>
        <v>10.527554529560534</v>
      </c>
      <c r="CZ19" s="651">
        <f>INPUT!EW536</f>
        <v>492.61294385852671</v>
      </c>
      <c r="DA19" s="641">
        <f>INPUT!EX536</f>
        <v>11.95748724057426</v>
      </c>
      <c r="DB19" s="640"/>
      <c r="DC19" s="652">
        <f>INPUT!FP536</f>
        <v>869.80600000000004</v>
      </c>
      <c r="DD19" s="641">
        <f>INPUT!FQ536</f>
        <v>34.916395222584143</v>
      </c>
      <c r="DE19" s="651">
        <f>INPUT!FR536</f>
        <v>1204.6399999999999</v>
      </c>
      <c r="DF19" s="641">
        <f>INPUT!FS536</f>
        <v>38.495250665090808</v>
      </c>
      <c r="DG19" s="651">
        <f>INPUT!FT536</f>
        <v>1340.8999999999994</v>
      </c>
      <c r="DH19" s="641">
        <f>INPUT!FU536</f>
        <v>11.311263115951608</v>
      </c>
      <c r="DI19" s="651">
        <f>INPUT!FV536</f>
        <v>1142.0000000000005</v>
      </c>
      <c r="DJ19" s="641">
        <f>INPUT!FW536</f>
        <v>-14.833320903870462</v>
      </c>
      <c r="DK19" s="651">
        <f>INPUT!FX536</f>
        <v>964.01000000000022</v>
      </c>
      <c r="DL19" s="641">
        <f>INPUT!FY536</f>
        <v>-15.585814360770589</v>
      </c>
      <c r="DM19" s="651">
        <f>INPUT!FZ536</f>
        <v>1153.0999999999995</v>
      </c>
      <c r="DN19" s="641">
        <f>INPUT!GA536</f>
        <v>19.614941753716163</v>
      </c>
      <c r="DO19" s="651">
        <f>INPUT!GB536</f>
        <v>1159.7000000000003</v>
      </c>
      <c r="DP19" s="641">
        <f>INPUT!GC536</f>
        <v>0.57237013268587322</v>
      </c>
      <c r="DQ19" s="651">
        <f>INPUT!GD536</f>
        <v>1218</v>
      </c>
      <c r="DR19" s="641">
        <f>INPUT!GE536</f>
        <v>5.0271621971199165</v>
      </c>
      <c r="DS19" s="651">
        <f>INPUT!GF536</f>
        <v>1326.498</v>
      </c>
      <c r="DT19" s="641">
        <f>INPUT!GG536</f>
        <v>8.9078817733990299</v>
      </c>
      <c r="DU19" s="651">
        <f>INPUT!GH536</f>
        <v>1539</v>
      </c>
      <c r="DV19" s="641">
        <f>INPUT!GI536</f>
        <v>16.019775378477764</v>
      </c>
      <c r="DW19" s="651">
        <f>INPUT!GJ536</f>
        <v>1534.5</v>
      </c>
      <c r="DX19" s="641">
        <f>INPUT!GK536</f>
        <v>-0.29239766081871066</v>
      </c>
      <c r="DY19" s="651">
        <f>INPUT!GL536</f>
        <v>1552.3</v>
      </c>
      <c r="DZ19" s="641">
        <f>INPUT!GM536</f>
        <v>1.1599869664385754</v>
      </c>
      <c r="EA19" s="651">
        <f>INPUT!GN536</f>
        <v>1690.5</v>
      </c>
      <c r="EB19" s="641">
        <f>INPUT!GO536</f>
        <v>8.9029182503382209</v>
      </c>
      <c r="EC19" s="651">
        <f>INPUT!GP536</f>
        <v>1865.2245043918708</v>
      </c>
      <c r="ED19" s="641">
        <f>INPUT!GQ536</f>
        <v>10.335670179939127</v>
      </c>
      <c r="EE19" s="651">
        <f>INPUT!GR536</f>
        <v>1997.2805153712757</v>
      </c>
      <c r="EF19" s="641">
        <f>INPUT!GS536</f>
        <v>7.0798989970625392</v>
      </c>
      <c r="EG19" s="651">
        <f>INPUT!GT536</f>
        <v>2187.2095019673025</v>
      </c>
      <c r="EH19" s="641">
        <f>INPUT!GU536</f>
        <v>9.5093796356753089</v>
      </c>
      <c r="EI19" s="651">
        <f>INPUT!GV536</f>
        <v>2296.8237050363132</v>
      </c>
      <c r="EJ19" s="641">
        <f>INPUT!GW536</f>
        <v>5.0116005334842173</v>
      </c>
      <c r="EK19" s="651">
        <f>INPUT!GX536</f>
        <v>2417.6717699682927</v>
      </c>
      <c r="EL19" s="641">
        <f>INPUT!GY536</f>
        <v>5.2615298539018251</v>
      </c>
      <c r="EM19" s="852">
        <f>INPUT!GZ536</f>
        <v>7.4178443801586669</v>
      </c>
      <c r="EN19" s="638"/>
      <c r="EO19" s="638"/>
      <c r="EP19" s="638"/>
      <c r="EQ19" s="638"/>
      <c r="ER19" s="638"/>
      <c r="ES19" s="638"/>
      <c r="ET19" s="638"/>
      <c r="EU19" s="638"/>
      <c r="EV19" s="638"/>
    </row>
    <row r="20" spans="1:162" ht="3" customHeight="1" x14ac:dyDescent="0.2">
      <c r="A20" s="851"/>
      <c r="B20" s="640"/>
      <c r="C20" s="641"/>
      <c r="D20" s="640"/>
      <c r="E20" s="641"/>
      <c r="F20" s="640"/>
      <c r="G20" s="641"/>
      <c r="H20" s="640"/>
      <c r="I20" s="641"/>
      <c r="J20" s="650"/>
      <c r="K20" s="641"/>
      <c r="L20" s="650"/>
      <c r="M20" s="641"/>
      <c r="N20" s="650"/>
      <c r="O20" s="641"/>
      <c r="P20" s="650"/>
      <c r="Q20" s="641"/>
      <c r="R20" s="650"/>
      <c r="S20" s="641"/>
      <c r="T20" s="650"/>
      <c r="U20" s="641"/>
      <c r="V20" s="650"/>
      <c r="W20" s="641"/>
      <c r="X20" s="650"/>
      <c r="Y20" s="641"/>
      <c r="Z20" s="650"/>
      <c r="AA20" s="641"/>
      <c r="AB20" s="650"/>
      <c r="AC20" s="641"/>
      <c r="AD20" s="650"/>
      <c r="AE20" s="641"/>
      <c r="AF20" s="650"/>
      <c r="AG20" s="641"/>
      <c r="AH20" s="650"/>
      <c r="AI20" s="641"/>
      <c r="AJ20" s="650"/>
      <c r="AK20" s="641"/>
      <c r="AL20" s="650"/>
      <c r="AM20" s="641"/>
      <c r="AN20" s="650"/>
      <c r="AO20" s="641"/>
      <c r="AP20" s="650"/>
      <c r="AQ20" s="641"/>
      <c r="AR20" s="650"/>
      <c r="AS20" s="641"/>
      <c r="AT20" s="650"/>
      <c r="AU20" s="641"/>
      <c r="AV20" s="650"/>
      <c r="AW20" s="641"/>
      <c r="AX20" s="650"/>
      <c r="AY20" s="641"/>
      <c r="AZ20" s="650"/>
      <c r="BA20" s="641"/>
      <c r="BB20" s="650"/>
      <c r="BC20" s="641"/>
      <c r="BD20" s="650"/>
      <c r="BE20" s="641"/>
      <c r="BF20" s="650"/>
      <c r="BG20" s="641"/>
      <c r="BH20" s="650"/>
      <c r="BI20" s="641"/>
      <c r="BJ20" s="650"/>
      <c r="BK20" s="641"/>
      <c r="BL20" s="650"/>
      <c r="BM20" s="641"/>
      <c r="BN20" s="650"/>
      <c r="BO20" s="641"/>
      <c r="BP20" s="650"/>
      <c r="BQ20" s="641"/>
      <c r="BR20" s="650"/>
      <c r="BS20" s="641"/>
      <c r="BT20" s="650"/>
      <c r="BU20" s="641"/>
      <c r="BV20" s="650"/>
      <c r="BW20" s="641"/>
      <c r="BX20" s="650"/>
      <c r="BY20" s="641"/>
      <c r="BZ20" s="650"/>
      <c r="CA20" s="641"/>
      <c r="CB20" s="650"/>
      <c r="CC20" s="641"/>
      <c r="CD20" s="650"/>
      <c r="CE20" s="641"/>
      <c r="CF20" s="650"/>
      <c r="CG20" s="641"/>
      <c r="CH20" s="650"/>
      <c r="CI20" s="641"/>
      <c r="CJ20" s="650"/>
      <c r="CK20" s="641"/>
      <c r="CL20" s="650"/>
      <c r="CM20" s="641"/>
      <c r="CN20" s="650"/>
      <c r="CO20" s="641"/>
      <c r="CP20" s="650"/>
      <c r="CQ20" s="641"/>
      <c r="CR20" s="650"/>
      <c r="CS20" s="641"/>
      <c r="CT20" s="650"/>
      <c r="CU20" s="641"/>
      <c r="CV20" s="650"/>
      <c r="CW20" s="641"/>
      <c r="CX20" s="650"/>
      <c r="CY20" s="641"/>
      <c r="CZ20" s="650"/>
      <c r="DA20" s="641"/>
      <c r="DB20" s="640"/>
      <c r="DC20" s="640"/>
      <c r="DD20" s="641"/>
      <c r="DE20" s="650"/>
      <c r="DF20" s="641"/>
      <c r="DG20" s="650"/>
      <c r="DH20" s="641"/>
      <c r="DI20" s="650"/>
      <c r="DJ20" s="641"/>
      <c r="DK20" s="650"/>
      <c r="DL20" s="641"/>
      <c r="DM20" s="650"/>
      <c r="DN20" s="641"/>
      <c r="DO20" s="650"/>
      <c r="DP20" s="641"/>
      <c r="DQ20" s="650"/>
      <c r="DR20" s="641"/>
      <c r="DS20" s="650"/>
      <c r="DT20" s="641"/>
      <c r="DU20" s="650"/>
      <c r="DV20" s="641"/>
      <c r="DW20" s="650"/>
      <c r="DX20" s="641"/>
      <c r="DY20" s="650"/>
      <c r="DZ20" s="641"/>
      <c r="EA20" s="650"/>
      <c r="EB20" s="641"/>
      <c r="EC20" s="650"/>
      <c r="ED20" s="641"/>
      <c r="EE20" s="650"/>
      <c r="EF20" s="641"/>
      <c r="EG20" s="650"/>
      <c r="EH20" s="641"/>
      <c r="EI20" s="650"/>
      <c r="EJ20" s="641"/>
      <c r="EK20" s="650"/>
      <c r="EL20" s="641"/>
      <c r="EM20" s="852"/>
      <c r="EN20" s="638"/>
      <c r="EO20" s="638"/>
      <c r="EP20" s="638"/>
      <c r="EQ20" s="638"/>
      <c r="ER20" s="638"/>
      <c r="ES20" s="638"/>
      <c r="ET20" s="638"/>
      <c r="EU20" s="638"/>
      <c r="EV20" s="638"/>
    </row>
    <row r="21" spans="1:162" ht="12.75" customHeight="1" x14ac:dyDescent="0.2">
      <c r="A21" s="851" t="str">
        <f>INPUT!B537</f>
        <v>Abnormal Income</v>
      </c>
      <c r="B21" s="640">
        <f>INPUT!AY537</f>
        <v>0</v>
      </c>
      <c r="C21" s="641" t="str">
        <f>INPUT!AZ537</f>
        <v>NM</v>
      </c>
      <c r="D21" s="640">
        <f>INPUT!BA537</f>
        <v>29</v>
      </c>
      <c r="E21" s="641">
        <f>INPUT!BB537</f>
        <v>-37.634408602150536</v>
      </c>
      <c r="F21" s="640">
        <f>INPUT!BC537</f>
        <v>31</v>
      </c>
      <c r="G21" s="641">
        <f>INPUT!BD537</f>
        <v>-23.551171393341551</v>
      </c>
      <c r="H21" s="640">
        <f>INPUT!BE537</f>
        <v>24</v>
      </c>
      <c r="I21" s="641" t="str">
        <f>INPUT!BF537</f>
        <v>NA</v>
      </c>
      <c r="J21" s="650">
        <f>INPUT!BG537</f>
        <v>15</v>
      </c>
      <c r="K21" s="641" t="str">
        <f>INPUT!BH537</f>
        <v>NA</v>
      </c>
      <c r="L21" s="650">
        <f>INPUT!BI537</f>
        <v>25.9</v>
      </c>
      <c r="M21" s="641">
        <f>INPUT!BJ537</f>
        <v>-10.689655172413804</v>
      </c>
      <c r="N21" s="650">
        <f>INPUT!BK537</f>
        <v>-3</v>
      </c>
      <c r="O21" s="641" t="str">
        <f>INPUT!BL537</f>
        <v>NM</v>
      </c>
      <c r="P21" s="650">
        <f>INPUT!BM537</f>
        <v>-55</v>
      </c>
      <c r="Q21" s="641" t="str">
        <f>INPUT!BN537</f>
        <v>NM</v>
      </c>
      <c r="R21" s="650">
        <f>INPUT!BO537</f>
        <v>-5</v>
      </c>
      <c r="S21" s="641" t="str">
        <f>INPUT!BP537</f>
        <v>NM</v>
      </c>
      <c r="T21" s="650">
        <f>INPUT!BQ537</f>
        <v>0</v>
      </c>
      <c r="U21" s="641" t="str">
        <f>INPUT!BR537</f>
        <v>NM</v>
      </c>
      <c r="V21" s="650">
        <f>INPUT!BS537</f>
        <v>-17</v>
      </c>
      <c r="W21" s="641" t="str">
        <f>INPUT!BT537</f>
        <v>NM</v>
      </c>
      <c r="X21" s="650">
        <f>INPUT!BU537</f>
        <v>-341</v>
      </c>
      <c r="Y21" s="641" t="str">
        <f>INPUT!BV537</f>
        <v>NM</v>
      </c>
      <c r="Z21" s="650">
        <f>INPUT!BW537</f>
        <v>-32.400000000000006</v>
      </c>
      <c r="AA21" s="641" t="str">
        <f>INPUT!BX537</f>
        <v>NM</v>
      </c>
      <c r="AB21" s="650">
        <f>INPUT!BY537</f>
        <v>0</v>
      </c>
      <c r="AC21" s="641" t="str">
        <f>INPUT!BZ537</f>
        <v>NA</v>
      </c>
      <c r="AD21" s="650">
        <f>INPUT!CA537</f>
        <v>14</v>
      </c>
      <c r="AE21" s="641" t="str">
        <f>INPUT!CB537</f>
        <v>NM</v>
      </c>
      <c r="AF21" s="650">
        <f>INPUT!CC537</f>
        <v>-2.5</v>
      </c>
      <c r="AG21" s="641" t="str">
        <f>INPUT!CD537</f>
        <v>NM</v>
      </c>
      <c r="AH21" s="650">
        <f>INPUT!CE537</f>
        <v>-7</v>
      </c>
      <c r="AI21" s="641" t="str">
        <f>INPUT!CF537</f>
        <v>NM</v>
      </c>
      <c r="AJ21" s="650">
        <f>INPUT!CG537</f>
        <v>0</v>
      </c>
      <c r="AK21" s="641" t="str">
        <f>INPUT!CH537</f>
        <v>NA</v>
      </c>
      <c r="AL21" s="650">
        <f>INPUT!CI537</f>
        <v>-76</v>
      </c>
      <c r="AM21" s="641" t="str">
        <f>INPUT!CJ537</f>
        <v>NM</v>
      </c>
      <c r="AN21" s="650">
        <f>INPUT!CK537</f>
        <v>-32</v>
      </c>
      <c r="AO21" s="641" t="str">
        <f>INPUT!CL537</f>
        <v>NM</v>
      </c>
      <c r="AP21" s="650">
        <f>INPUT!CM537</f>
        <v>46</v>
      </c>
      <c r="AQ21" s="641" t="str">
        <f>INPUT!CN537</f>
        <v>NM</v>
      </c>
      <c r="AR21" s="650">
        <f>INPUT!CO537</f>
        <v>34</v>
      </c>
      <c r="AS21" s="641" t="str">
        <f>INPUT!CP537</f>
        <v>NA</v>
      </c>
      <c r="AT21" s="650">
        <f>INPUT!CQ537</f>
        <v>10</v>
      </c>
      <c r="AU21" s="641" t="str">
        <f>INPUT!CR537</f>
        <v>NM</v>
      </c>
      <c r="AV21" s="650">
        <f>INPUT!CS537</f>
        <v>-3</v>
      </c>
      <c r="AW21" s="641" t="str">
        <f>INPUT!CT537</f>
        <v>NM</v>
      </c>
      <c r="AX21" s="650">
        <f>INPUT!CU537</f>
        <v>0</v>
      </c>
      <c r="AY21" s="641" t="str">
        <f>INPUT!CV537</f>
        <v>NM</v>
      </c>
      <c r="AZ21" s="650">
        <f>INPUT!CW537</f>
        <v>20</v>
      </c>
      <c r="BA21" s="641">
        <f>INPUT!CX537</f>
        <v>-41.17647058823529</v>
      </c>
      <c r="BB21" s="650">
        <f>INPUT!CY537</f>
        <v>34</v>
      </c>
      <c r="BC21" s="641" t="str">
        <f>INPUT!CZ537</f>
        <v>NM</v>
      </c>
      <c r="BD21" s="650">
        <f>INPUT!DA537</f>
        <v>8</v>
      </c>
      <c r="BE21" s="641" t="str">
        <f>INPUT!DB537</f>
        <v>NM</v>
      </c>
      <c r="BF21" s="650">
        <f>INPUT!DC537</f>
        <v>-13.497999999999999</v>
      </c>
      <c r="BG21" s="641" t="str">
        <f>INPUT!DD537</f>
        <v>NA</v>
      </c>
      <c r="BH21" s="650">
        <f>INPUT!DE537</f>
        <v>19</v>
      </c>
      <c r="BI21" s="641">
        <f>INPUT!DF537</f>
        <v>-5.0000000000000044</v>
      </c>
      <c r="BJ21" s="650">
        <f>INPUT!DG537</f>
        <v>28</v>
      </c>
      <c r="BK21" s="641">
        <f>INPUT!DH537</f>
        <v>-17.647058823529417</v>
      </c>
      <c r="BL21" s="650">
        <f>INPUT!DI537</f>
        <v>25</v>
      </c>
      <c r="BM21" s="641" t="str">
        <f>INPUT!DJ537</f>
        <v>NM</v>
      </c>
      <c r="BN21" s="650">
        <f>INPUT!DK537</f>
        <v>0</v>
      </c>
      <c r="BO21" s="641" t="str">
        <f>INPUT!DL537</f>
        <v>NM</v>
      </c>
      <c r="BP21" s="650">
        <f>INPUT!DM537</f>
        <v>11</v>
      </c>
      <c r="BQ21" s="641">
        <f>INPUT!DN537</f>
        <v>-42.105263157894733</v>
      </c>
      <c r="BR21" s="650">
        <f>INPUT!DO537</f>
        <v>12</v>
      </c>
      <c r="BS21" s="641" t="str">
        <f>INPUT!DP537</f>
        <v>NM</v>
      </c>
      <c r="BT21" s="650">
        <f>INPUT!DQ537</f>
        <v>53</v>
      </c>
      <c r="BU21" s="641" t="str">
        <f>INPUT!DR537</f>
        <v>NM</v>
      </c>
      <c r="BV21" s="650">
        <f>INPUT!DS537</f>
        <v>0</v>
      </c>
      <c r="BW21" s="641" t="str">
        <f>INPUT!DT537</f>
        <v>NA</v>
      </c>
      <c r="BX21" s="650">
        <f>INPUT!DU537</f>
        <v>-8</v>
      </c>
      <c r="BY21" s="641" t="str">
        <f>INPUT!DV537</f>
        <v>NM</v>
      </c>
      <c r="BZ21" s="650">
        <f>INPUT!DW537</f>
        <v>-139.5</v>
      </c>
      <c r="CA21" s="641">
        <f>INPUT!DX537</f>
        <v>-139.5</v>
      </c>
      <c r="CB21" s="650">
        <f>INPUT!DY537</f>
        <v>0</v>
      </c>
      <c r="CC21" s="641" t="str">
        <f>INPUT!DZ537</f>
        <v>NM</v>
      </c>
      <c r="CD21" s="650">
        <f>INPUT!EA537</f>
        <v>-55</v>
      </c>
      <c r="CE21" s="641" t="str">
        <f>INPUT!EB537</f>
        <v>NA</v>
      </c>
      <c r="CF21" s="650">
        <f>INPUT!EC537</f>
        <v>0</v>
      </c>
      <c r="CG21" s="641" t="str">
        <f>INPUT!ED537</f>
        <v>NM</v>
      </c>
      <c r="CH21" s="650">
        <f>INPUT!EE537</f>
        <v>32.700000000000003</v>
      </c>
      <c r="CI21" s="641" t="str">
        <f>INPUT!EF537</f>
        <v>NM</v>
      </c>
      <c r="CJ21" s="650">
        <f>INPUT!EG537</f>
        <v>0</v>
      </c>
      <c r="CK21" s="641" t="str">
        <f>INPUT!EH537</f>
        <v>NA</v>
      </c>
      <c r="CL21" s="650">
        <f>INPUT!EI537</f>
        <v>44</v>
      </c>
      <c r="CM21" s="641" t="str">
        <f>INPUT!EJ537</f>
        <v>NM</v>
      </c>
      <c r="CN21" s="650">
        <f>INPUT!EK537</f>
        <v>0</v>
      </c>
      <c r="CO21" s="641" t="str">
        <f>INPUT!EL537</f>
        <v>NA</v>
      </c>
      <c r="CP21" s="650">
        <f>INPUT!EM537</f>
        <v>20.5</v>
      </c>
      <c r="CQ21" s="641">
        <f>INPUT!EN537</f>
        <v>-37.308868501529055</v>
      </c>
      <c r="CR21" s="650">
        <f>INPUT!EO537</f>
        <v>0</v>
      </c>
      <c r="CS21" s="641" t="str">
        <f>INPUT!EP537</f>
        <v>NA</v>
      </c>
      <c r="CT21" s="650">
        <f>INPUT!EQ537</f>
        <v>0</v>
      </c>
      <c r="CU21" s="641" t="str">
        <f>INPUT!ER537</f>
        <v>NM</v>
      </c>
      <c r="CV21" s="650">
        <f>INPUT!ES537</f>
        <v>0</v>
      </c>
      <c r="CW21" s="641" t="str">
        <f>INPUT!ET537</f>
        <v>NA</v>
      </c>
      <c r="CX21" s="650">
        <f>INPUT!EU537</f>
        <v>0</v>
      </c>
      <c r="CY21" s="641" t="str">
        <f>INPUT!EV537</f>
        <v>NM</v>
      </c>
      <c r="CZ21" s="650">
        <f>INPUT!EW537</f>
        <v>0</v>
      </c>
      <c r="DA21" s="641" t="str">
        <f>INPUT!EX537</f>
        <v>NA</v>
      </c>
      <c r="DB21" s="640"/>
      <c r="DC21" s="640">
        <f>INPUT!FP537</f>
        <v>90.15</v>
      </c>
      <c r="DD21" s="641" t="str">
        <f>INPUT!FQ537</f>
        <v>NA</v>
      </c>
      <c r="DE21" s="650">
        <f>INPUT!FR537</f>
        <v>84</v>
      </c>
      <c r="DF21" s="641">
        <f>INPUT!FS537</f>
        <v>-6.8219633943427667</v>
      </c>
      <c r="DG21" s="650">
        <f>INPUT!FT537</f>
        <v>-17.100000000000001</v>
      </c>
      <c r="DH21" s="641" t="str">
        <f>INPUT!FU537</f>
        <v>NM</v>
      </c>
      <c r="DI21" s="650">
        <f>INPUT!FV537</f>
        <v>-363</v>
      </c>
      <c r="DJ21" s="641" t="str">
        <f>INPUT!FW537</f>
        <v>NM</v>
      </c>
      <c r="DK21" s="650">
        <f>INPUT!FX537</f>
        <v>-20.900000000000006</v>
      </c>
      <c r="DL21" s="641" t="str">
        <f>INPUT!FY537</f>
        <v>NM</v>
      </c>
      <c r="DM21" s="650">
        <f>INPUT!FZ537</f>
        <v>-115</v>
      </c>
      <c r="DN21" s="641" t="str">
        <f>INPUT!GA537</f>
        <v>NM</v>
      </c>
      <c r="DO21" s="650">
        <f>INPUT!GB537</f>
        <v>87</v>
      </c>
      <c r="DP21" s="641" t="str">
        <f>INPUT!GC537</f>
        <v>NM</v>
      </c>
      <c r="DQ21" s="650">
        <f>INPUT!GD537</f>
        <v>62</v>
      </c>
      <c r="DR21" s="641">
        <f>INPUT!GE537</f>
        <v>-28.735632183908045</v>
      </c>
      <c r="DS21" s="650">
        <f>INPUT!GF537</f>
        <v>58.502000000000002</v>
      </c>
      <c r="DT21" s="641">
        <f>INPUT!GG537</f>
        <v>-5.641935483870963</v>
      </c>
      <c r="DU21" s="650">
        <f>INPUT!GH537</f>
        <v>76</v>
      </c>
      <c r="DV21" s="641">
        <f>INPUT!GI537</f>
        <v>29.910088543981406</v>
      </c>
      <c r="DW21" s="650">
        <f>INPUT!GJ537</f>
        <v>-147.5</v>
      </c>
      <c r="DX21" s="641" t="str">
        <f>INPUT!GK537</f>
        <v>NM</v>
      </c>
      <c r="DY21" s="650">
        <f>INPUT!GL537</f>
        <v>-22.299999999999997</v>
      </c>
      <c r="DZ21" s="641" t="str">
        <f>INPUT!GM537</f>
        <v>NM</v>
      </c>
      <c r="EA21" s="650">
        <f>INPUT!GN537</f>
        <v>64.5</v>
      </c>
      <c r="EB21" s="641" t="str">
        <f>INPUT!GO537</f>
        <v>NM</v>
      </c>
      <c r="EC21" s="650">
        <f>INPUT!GP537</f>
        <v>0</v>
      </c>
      <c r="ED21" s="641" t="str">
        <f>INPUT!GQ537</f>
        <v>NM</v>
      </c>
      <c r="EE21" s="650">
        <f>INPUT!GR537</f>
        <v>0</v>
      </c>
      <c r="EF21" s="641" t="str">
        <f>INPUT!GS537</f>
        <v>NA</v>
      </c>
      <c r="EG21" s="650">
        <f>INPUT!GT537</f>
        <v>0</v>
      </c>
      <c r="EH21" s="641" t="str">
        <f>INPUT!GU537</f>
        <v>NA</v>
      </c>
      <c r="EI21" s="650">
        <f>INPUT!GV537</f>
        <v>0</v>
      </c>
      <c r="EJ21" s="641" t="str">
        <f>INPUT!GW537</f>
        <v>NA</v>
      </c>
      <c r="EK21" s="650">
        <f>INPUT!GX537</f>
        <v>0</v>
      </c>
      <c r="EL21" s="641" t="str">
        <f>INPUT!GY537</f>
        <v>NA</v>
      </c>
      <c r="EM21" s="852" t="str">
        <f>INPUT!GZ537</f>
        <v>NM</v>
      </c>
      <c r="EN21" s="638"/>
      <c r="EO21" s="638"/>
      <c r="EP21" s="638"/>
      <c r="EQ21" s="638"/>
      <c r="ER21" s="638"/>
      <c r="ES21" s="638"/>
      <c r="ET21" s="638"/>
      <c r="EU21" s="638"/>
      <c r="EV21" s="638"/>
    </row>
    <row r="22" spans="1:162" ht="12.75" customHeight="1" x14ac:dyDescent="0.2">
      <c r="A22" s="855" t="str">
        <f>INPUT!B538</f>
        <v>Reported Operating AT Earnings</v>
      </c>
      <c r="B22" s="652">
        <f>INPUT!AY538</f>
        <v>246.95999999999995</v>
      </c>
      <c r="C22" s="641">
        <f>INPUT!AZ538</f>
        <v>16.687613989661742</v>
      </c>
      <c r="D22" s="652">
        <f>INPUT!BA538</f>
        <v>323.45999999999998</v>
      </c>
      <c r="E22" s="641">
        <f>INPUT!BB538</f>
        <v>34.013912654383624</v>
      </c>
      <c r="F22" s="652">
        <f>INPUT!BC538</f>
        <v>357.76000000000005</v>
      </c>
      <c r="G22" s="641">
        <f>INPUT!BD538</f>
        <v>42.980464878345195</v>
      </c>
      <c r="H22" s="652">
        <f>INPUT!BE538</f>
        <v>360.45999999999992</v>
      </c>
      <c r="I22" s="641">
        <f>INPUT!BF538</f>
        <v>40.401581397160456</v>
      </c>
      <c r="J22" s="651">
        <f>INPUT!BG538</f>
        <v>339.40000000000009</v>
      </c>
      <c r="K22" s="641">
        <f>INPUT!BH538</f>
        <v>37.431162941367077</v>
      </c>
      <c r="L22" s="651">
        <f>INPUT!BI538</f>
        <v>350.6</v>
      </c>
      <c r="M22" s="641">
        <f>INPUT!BJ538</f>
        <v>8.3905274222469739</v>
      </c>
      <c r="N22" s="651">
        <f>INPUT!BK538</f>
        <v>332.3</v>
      </c>
      <c r="O22" s="641">
        <f>INPUT!BL538</f>
        <v>-7.1165026833631568</v>
      </c>
      <c r="P22" s="651">
        <f>INPUT!BM538</f>
        <v>301.49999999999983</v>
      </c>
      <c r="Q22" s="641">
        <f>INPUT!BN538</f>
        <v>-16.356877323420104</v>
      </c>
      <c r="R22" s="651">
        <f>INPUT!BO538</f>
        <v>299.50000000000011</v>
      </c>
      <c r="S22" s="641">
        <f>INPUT!BP538</f>
        <v>-11.756040070713015</v>
      </c>
      <c r="T22" s="651">
        <f>INPUT!BQ538</f>
        <v>308.60000000000008</v>
      </c>
      <c r="U22" s="641">
        <f>INPUT!BR538</f>
        <v>-11.979463776383326</v>
      </c>
      <c r="V22" s="651">
        <f>INPUT!BS538</f>
        <v>298.00000000000011</v>
      </c>
      <c r="W22" s="641">
        <f>INPUT!BT538</f>
        <v>-10.321998194402616</v>
      </c>
      <c r="X22" s="651">
        <f>INPUT!BU538</f>
        <v>-127.10000000000014</v>
      </c>
      <c r="Y22" s="641" t="str">
        <f>INPUT!BV538</f>
        <v>NM</v>
      </c>
      <c r="Z22" s="651">
        <f>INPUT!BW538</f>
        <v>163.10000000000005</v>
      </c>
      <c r="AA22" s="641">
        <f>INPUT!BX538</f>
        <v>-45.542570951585979</v>
      </c>
      <c r="AB22" s="651">
        <f>INPUT!BY538</f>
        <v>207.30000000000015</v>
      </c>
      <c r="AC22" s="641">
        <f>INPUT!BZ538</f>
        <v>-32.825664290343461</v>
      </c>
      <c r="AD22" s="651">
        <f>INPUT!CA538</f>
        <v>275.50999999999988</v>
      </c>
      <c r="AE22" s="641">
        <f>INPUT!CB538</f>
        <v>-7.5469798657718856</v>
      </c>
      <c r="AF22" s="651">
        <f>INPUT!CC538</f>
        <v>297.2</v>
      </c>
      <c r="AG22" s="641" t="str">
        <f>INPUT!CD538</f>
        <v>NM</v>
      </c>
      <c r="AH22" s="651">
        <f>INPUT!CE538</f>
        <v>276.20000000000005</v>
      </c>
      <c r="AI22" s="641">
        <f>INPUT!CF538</f>
        <v>69.343960760269738</v>
      </c>
      <c r="AJ22" s="651">
        <f>INPUT!CG538</f>
        <v>290.70000000000005</v>
      </c>
      <c r="AK22" s="641">
        <f>INPUT!CH538</f>
        <v>40.231548480463019</v>
      </c>
      <c r="AL22" s="651">
        <f>INPUT!CI538</f>
        <v>205.59999999999997</v>
      </c>
      <c r="AM22" s="641">
        <f>INPUT!CJ538</f>
        <v>-25.374759536858893</v>
      </c>
      <c r="AN22" s="651">
        <f>INPUT!CK538</f>
        <v>265.5999999999998</v>
      </c>
      <c r="AO22" s="641">
        <f>INPUT!CL538</f>
        <v>-10.632570659488627</v>
      </c>
      <c r="AP22" s="651">
        <f>INPUT!CM538</f>
        <v>321.9000000000002</v>
      </c>
      <c r="AQ22" s="641">
        <f>INPUT!CN538</f>
        <v>16.545981173063051</v>
      </c>
      <c r="AR22" s="651">
        <f>INPUT!CO538</f>
        <v>324.89999999999981</v>
      </c>
      <c r="AS22" s="641">
        <f>INPUT!CP538</f>
        <v>11.764705882352855</v>
      </c>
      <c r="AT22" s="651">
        <f>INPUT!CQ538</f>
        <v>322.89999999999992</v>
      </c>
      <c r="AU22" s="641">
        <f>INPUT!CR538</f>
        <v>57.052529182879375</v>
      </c>
      <c r="AV22" s="651">
        <f>INPUT!CS538</f>
        <v>277</v>
      </c>
      <c r="AW22" s="641">
        <f>INPUT!CT538</f>
        <v>4.2921686746988819</v>
      </c>
      <c r="AX22" s="651">
        <f>INPUT!CU538</f>
        <v>293</v>
      </c>
      <c r="AY22" s="641">
        <f>INPUT!CV538</f>
        <v>-8.9779434607021429</v>
      </c>
      <c r="AZ22" s="651">
        <f>INPUT!CW538</f>
        <v>315</v>
      </c>
      <c r="BA22" s="641">
        <f>INPUT!CX538</f>
        <v>-3.0470914127423199</v>
      </c>
      <c r="BB22" s="651">
        <f>INPUT!CY538</f>
        <v>362</v>
      </c>
      <c r="BC22" s="641">
        <f>INPUT!CZ538</f>
        <v>12.109012078042758</v>
      </c>
      <c r="BD22" s="651">
        <f>INPUT!DA538</f>
        <v>310</v>
      </c>
      <c r="BE22" s="641">
        <f>INPUT!DB538</f>
        <v>11.913357400722013</v>
      </c>
      <c r="BF22" s="651">
        <f>INPUT!DC538</f>
        <v>285</v>
      </c>
      <c r="BG22" s="641">
        <f>INPUT!DD538</f>
        <v>-2.7303754266211566</v>
      </c>
      <c r="BH22" s="651">
        <f>INPUT!DE538</f>
        <v>351</v>
      </c>
      <c r="BI22" s="641">
        <f>INPUT!DF538</f>
        <v>11.428571428571432</v>
      </c>
      <c r="BJ22" s="651">
        <f>INPUT!DG538</f>
        <v>367</v>
      </c>
      <c r="BK22" s="641">
        <f>INPUT!DH538</f>
        <v>1.3812154696132506</v>
      </c>
      <c r="BL22" s="651">
        <f>INPUT!DI538</f>
        <v>382</v>
      </c>
      <c r="BM22" s="641">
        <f>INPUT!DJ538</f>
        <v>23.225806451612897</v>
      </c>
      <c r="BN22" s="651">
        <f>INPUT!DK538</f>
        <v>364</v>
      </c>
      <c r="BO22" s="641">
        <f>INPUT!DL538</f>
        <v>27.719298245614034</v>
      </c>
      <c r="BP22" s="651">
        <f>INPUT!DM538</f>
        <v>395</v>
      </c>
      <c r="BQ22" s="641">
        <f>INPUT!DN538</f>
        <v>12.535612535612529</v>
      </c>
      <c r="BR22" s="651">
        <f>INPUT!DO538</f>
        <v>416</v>
      </c>
      <c r="BS22" s="641">
        <f>INPUT!DP538</f>
        <v>13.351498637602187</v>
      </c>
      <c r="BT22" s="651">
        <f>INPUT!DQ538</f>
        <v>440</v>
      </c>
      <c r="BU22" s="641">
        <f>INPUT!DR538</f>
        <v>15.18324607329844</v>
      </c>
      <c r="BV22" s="651">
        <f>INPUT!DS538</f>
        <v>352</v>
      </c>
      <c r="BW22" s="641">
        <f>INPUT!DT538</f>
        <v>-3.2967032967032961</v>
      </c>
      <c r="BX22" s="651">
        <f>INPUT!DU538</f>
        <v>371</v>
      </c>
      <c r="BY22" s="641">
        <f>INPUT!DV538</f>
        <v>-6.0759493670886062</v>
      </c>
      <c r="BZ22" s="651">
        <f>INPUT!DW538</f>
        <v>282</v>
      </c>
      <c r="CA22" s="641">
        <f>INPUT!DX538</f>
        <v>282</v>
      </c>
      <c r="CB22" s="651">
        <f>INPUT!DY538</f>
        <v>382</v>
      </c>
      <c r="CC22" s="641">
        <f>INPUT!DZ538</f>
        <v>-13.181818181818183</v>
      </c>
      <c r="CD22" s="651">
        <f>INPUT!EA538</f>
        <v>307</v>
      </c>
      <c r="CE22" s="641">
        <f>INPUT!EB538</f>
        <v>-12.784090909090907</v>
      </c>
      <c r="CF22" s="651">
        <f>INPUT!EC538</f>
        <v>373</v>
      </c>
      <c r="CG22" s="641">
        <f>INPUT!ED538</f>
        <v>0.53908355795149188</v>
      </c>
      <c r="CH22" s="651">
        <f>INPUT!EE538</f>
        <v>441</v>
      </c>
      <c r="CI22" s="641">
        <f>INPUT!EF538</f>
        <v>56.38297872340425</v>
      </c>
      <c r="CJ22" s="651">
        <f>INPUT!EG538</f>
        <v>409</v>
      </c>
      <c r="CK22" s="641">
        <f>INPUT!EH538</f>
        <v>7.0680628272251411</v>
      </c>
      <c r="CL22" s="651">
        <f>INPUT!EI538</f>
        <v>442</v>
      </c>
      <c r="CM22" s="641">
        <f>INPUT!EJ538</f>
        <v>43.973941368078172</v>
      </c>
      <c r="CN22" s="651">
        <f>INPUT!EK538</f>
        <v>419</v>
      </c>
      <c r="CO22" s="641">
        <f>INPUT!EL538</f>
        <v>12.332439678284191</v>
      </c>
      <c r="CP22" s="651">
        <f>INPUT!EM538</f>
        <v>454</v>
      </c>
      <c r="CQ22" s="641">
        <f>INPUT!EN538</f>
        <v>2.947845804988658</v>
      </c>
      <c r="CR22" s="651">
        <f>INPUT!EO538</f>
        <v>440</v>
      </c>
      <c r="CS22" s="641">
        <f>INPUT!EP538</f>
        <v>7.5794621026894937</v>
      </c>
      <c r="CT22" s="651">
        <f>INPUT!EQ538</f>
        <v>433.01539174143363</v>
      </c>
      <c r="CU22" s="641">
        <f>INPUT!ER538</f>
        <v>-2.0327168005806251</v>
      </c>
      <c r="CV22" s="651">
        <f>INPUT!ES538</f>
        <v>460.45921990626726</v>
      </c>
      <c r="CW22" s="641">
        <f>INPUT!ET538</f>
        <v>9.894801886937298</v>
      </c>
      <c r="CX22" s="651">
        <f>INPUT!EU538</f>
        <v>479.13694888564487</v>
      </c>
      <c r="CY22" s="641">
        <f>INPUT!EV538</f>
        <v>5.5367728823006335</v>
      </c>
      <c r="CZ22" s="651">
        <f>INPUT!EW538</f>
        <v>492.61294385852671</v>
      </c>
      <c r="DA22" s="641">
        <f>INPUT!EX538</f>
        <v>11.95748724057426</v>
      </c>
      <c r="DB22" s="640"/>
      <c r="DC22" s="652">
        <f>INPUT!FP538</f>
        <v>959.95600000000002</v>
      </c>
      <c r="DD22" s="641">
        <f>INPUT!FQ538</f>
        <v>48.899643244920114</v>
      </c>
      <c r="DE22" s="651">
        <f>INPUT!FR538</f>
        <v>1288.6399999999999</v>
      </c>
      <c r="DF22" s="641">
        <f>INPUT!FS538</f>
        <v>34.239485976440577</v>
      </c>
      <c r="DG22" s="651">
        <f>INPUT!FT538</f>
        <v>1323.7999999999995</v>
      </c>
      <c r="DH22" s="641">
        <f>INPUT!FU538</f>
        <v>2.7284579091134464</v>
      </c>
      <c r="DI22" s="651">
        <f>INPUT!FV538</f>
        <v>779.00000000000045</v>
      </c>
      <c r="DJ22" s="641">
        <f>INPUT!FW538</f>
        <v>-41.154252908294254</v>
      </c>
      <c r="DK22" s="651">
        <f>INPUT!FX538</f>
        <v>943.11000000000024</v>
      </c>
      <c r="DL22" s="641">
        <f>INPUT!FY538</f>
        <v>21.06675224646979</v>
      </c>
      <c r="DM22" s="651">
        <f>INPUT!FZ538</f>
        <v>1038.0999999999995</v>
      </c>
      <c r="DN22" s="641">
        <f>INPUT!GA538</f>
        <v>10.07199584353884</v>
      </c>
      <c r="DO22" s="651">
        <f>INPUT!GB538</f>
        <v>1246.7000000000003</v>
      </c>
      <c r="DP22" s="641">
        <f>INPUT!GC538</f>
        <v>20.094403236682503</v>
      </c>
      <c r="DQ22" s="651">
        <f>INPUT!GD538</f>
        <v>1280</v>
      </c>
      <c r="DR22" s="641">
        <f>INPUT!GE538</f>
        <v>2.6710515761610321</v>
      </c>
      <c r="DS22" s="651">
        <f>INPUT!GF538</f>
        <v>1385</v>
      </c>
      <c r="DT22" s="641">
        <f>INPUT!GG538</f>
        <v>8.203125</v>
      </c>
      <c r="DU22" s="651">
        <f>INPUT!GH538</f>
        <v>1615</v>
      </c>
      <c r="DV22" s="641">
        <f>INPUT!GI538</f>
        <v>16.606498194945839</v>
      </c>
      <c r="DW22" s="651">
        <f>INPUT!GJ538</f>
        <v>1387</v>
      </c>
      <c r="DX22" s="641">
        <f>INPUT!GK538</f>
        <v>-14.117647058823534</v>
      </c>
      <c r="DY22" s="651">
        <f>INPUT!GL538</f>
        <v>1530</v>
      </c>
      <c r="DZ22" s="641">
        <f>INPUT!GM538</f>
        <v>10.31002162941601</v>
      </c>
      <c r="EA22" s="651">
        <f>INPUT!GN538</f>
        <v>1755</v>
      </c>
      <c r="EB22" s="641">
        <f>INPUT!GO538</f>
        <v>14.705882352941169</v>
      </c>
      <c r="EC22" s="651">
        <f>INPUT!GP538</f>
        <v>1865.2245043918708</v>
      </c>
      <c r="ED22" s="641">
        <f>INPUT!GQ538</f>
        <v>6.2805985408473486</v>
      </c>
      <c r="EE22" s="651">
        <f>INPUT!GR538</f>
        <v>1997.2805153712757</v>
      </c>
      <c r="EF22" s="641">
        <f>INPUT!GS538</f>
        <v>7.0798989970625392</v>
      </c>
      <c r="EG22" s="651">
        <f>INPUT!GT538</f>
        <v>2187.2095019673025</v>
      </c>
      <c r="EH22" s="641">
        <f>INPUT!GU538</f>
        <v>9.5093796356753089</v>
      </c>
      <c r="EI22" s="651">
        <f>INPUT!GV538</f>
        <v>2296.8237050363132</v>
      </c>
      <c r="EJ22" s="641">
        <f>INPUT!GW538</f>
        <v>5.0116005334842173</v>
      </c>
      <c r="EK22" s="651">
        <f>INPUT!GX538</f>
        <v>2417.6717699682927</v>
      </c>
      <c r="EL22" s="641">
        <f>INPUT!GY538</f>
        <v>5.2615298539018251</v>
      </c>
      <c r="EM22" s="852">
        <f>INPUT!GZ538</f>
        <v>6.6164072778214678</v>
      </c>
      <c r="EN22" s="638"/>
      <c r="EO22" s="638"/>
      <c r="EP22" s="638"/>
      <c r="EQ22" s="638"/>
      <c r="ER22" s="638"/>
      <c r="ES22" s="638"/>
      <c r="ET22" s="638"/>
      <c r="EU22" s="638"/>
      <c r="EV22" s="638"/>
    </row>
    <row r="23" spans="1:162" s="561" customFormat="1" ht="12.75" hidden="1" customHeight="1" outlineLevel="1" x14ac:dyDescent="0.2">
      <c r="A23" s="856" t="s">
        <v>50</v>
      </c>
      <c r="B23" s="653">
        <f>(B8+B9+B11+B12+B13+B15+B16+B17+B21)-B22</f>
        <v>0</v>
      </c>
      <c r="C23" s="654"/>
      <c r="D23" s="653">
        <f>(D8+D9+D11+D12+D13+D15+D16+D17+D21)-D22</f>
        <v>0</v>
      </c>
      <c r="E23" s="654"/>
      <c r="F23" s="653">
        <f>(F8+F9+F11+F12+F13+F15+F16+F17+F21)-F22</f>
        <v>0</v>
      </c>
      <c r="G23" s="654"/>
      <c r="H23" s="653">
        <f>(H8+H9+H11+H12+H13+H15+H16+H17+H21)-H22</f>
        <v>0</v>
      </c>
      <c r="I23" s="654"/>
      <c r="J23" s="653">
        <f>(J8+J9+J11+J12+J13+J15+J16+J17+J21)-J22</f>
        <v>0</v>
      </c>
      <c r="K23" s="654"/>
      <c r="L23" s="653">
        <f>(L8+L9+L11+L12+L13+L15+L16+L17+L21)-L22</f>
        <v>0</v>
      </c>
      <c r="M23" s="654"/>
      <c r="N23" s="653">
        <f>(N8+N9+N11+N12+N13+N15+N16+N17+N21)-N22</f>
        <v>0</v>
      </c>
      <c r="O23" s="654"/>
      <c r="P23" s="653">
        <f>(P8+P9+P11+P12+P13+P15+P16+P17+P21)-P22</f>
        <v>0</v>
      </c>
      <c r="Q23" s="654"/>
      <c r="R23" s="653">
        <f>(R8+R9+R11+R12+R13+R15+R16+R17+R21)-R22</f>
        <v>0</v>
      </c>
      <c r="S23" s="654"/>
      <c r="T23" s="653">
        <f>(T8+T9+T11+T12+T13+T15+T16+T17+T21)-T22</f>
        <v>0</v>
      </c>
      <c r="U23" s="654"/>
      <c r="V23" s="653">
        <f>(V8+V9+V11+V12+V13+V15+V16+V17+V21)-V22</f>
        <v>0</v>
      </c>
      <c r="W23" s="654"/>
      <c r="X23" s="653">
        <f>(X8+X9+X11+X12+X13+X15+X16+X17+X21)-X22</f>
        <v>0</v>
      </c>
      <c r="Y23" s="654"/>
      <c r="Z23" s="653">
        <f>(Z8+Z9+Z11+Z12+Z13+Z15+Z16+Z17+Z21)-Z22</f>
        <v>0</v>
      </c>
      <c r="AA23" s="654"/>
      <c r="AB23" s="653">
        <f>(AB8+AB9+AB11+AB12+AB13+AB15+AB16+AB17+AB21)-AB22</f>
        <v>0</v>
      </c>
      <c r="AC23" s="654"/>
      <c r="AD23" s="653">
        <f>(AD8+AD9+AD11+AD12+AD13+AD15+AD16+AD17+AD21)-AD22</f>
        <v>0</v>
      </c>
      <c r="AE23" s="654"/>
      <c r="AF23" s="653">
        <f>(AF8+AF9+AF11+AF12+AF13+AF15+AF16+AF17+AF21)-AF22</f>
        <v>0</v>
      </c>
      <c r="AG23" s="654"/>
      <c r="AH23" s="653">
        <f>(AH8+AH9+AH11+AH12+AH13+AH15+AH16+AH17+AH21)-AH22</f>
        <v>0</v>
      </c>
      <c r="AI23" s="654"/>
      <c r="AJ23" s="653">
        <f>(AJ8+AJ9+AJ11+AJ12+AJ13+AJ15+AJ16+AJ17+AJ21)-AJ22</f>
        <v>0</v>
      </c>
      <c r="AK23" s="654"/>
      <c r="AL23" s="653">
        <f>(AL8+AL9+AL11+AL12+AL13+AL15+AL16+AL17+AL21)-AL22</f>
        <v>0</v>
      </c>
      <c r="AM23" s="654"/>
      <c r="AN23" s="653">
        <f>(AN8+AN9+AN11+AN12+AN13+AN15+AN16+AN17+AN21)-AN22</f>
        <v>0</v>
      </c>
      <c r="AO23" s="654"/>
      <c r="AP23" s="653">
        <f>(AP8+AP9+AP11+AP12+AP13+AP15+AP16+AP17+AP18+AP21)-AP22</f>
        <v>0</v>
      </c>
      <c r="AQ23" s="654"/>
      <c r="AR23" s="653">
        <f>(AR8+AR9+AR11+AR12+AR13+AR15+AR16+AR17+AR18+AR21)-AR22</f>
        <v>0</v>
      </c>
      <c r="AS23" s="654"/>
      <c r="AT23" s="653">
        <f>(AT8+AT9+AT11+AT12+AT13+AT15+AT16+AT17+AT18+AT21)-AT22</f>
        <v>0</v>
      </c>
      <c r="AU23" s="654"/>
      <c r="AV23" s="653">
        <f>(AV8+AV9+AV11+AV12+AV13+AV15+AV16+AV17+AV18+AV21)-AV22</f>
        <v>0</v>
      </c>
      <c r="AW23" s="654"/>
      <c r="AX23" s="653">
        <f>(AX8+AX9+AX11+AX12+AX13+AX15+AX16+AX17+AX18+AX21)-AX22</f>
        <v>0</v>
      </c>
      <c r="AY23" s="654"/>
      <c r="AZ23" s="653">
        <f>(AZ8+AZ9+AZ11+AZ12+AZ13+AZ15+AZ16+AZ17+AZ18+AZ21)-AZ22</f>
        <v>0</v>
      </c>
      <c r="BA23" s="654"/>
      <c r="BB23" s="653">
        <f>(BB8+BB9+BB11+BB12+BB13+BB15+BB16+BB17+BB18+BB21)-BB22</f>
        <v>0</v>
      </c>
      <c r="BC23" s="654"/>
      <c r="BD23" s="653">
        <f>(BD8+BD9+BD11+BD12+BD13+BD15+BD16+BD17+BD18+BD21)-BD22</f>
        <v>0</v>
      </c>
      <c r="BE23" s="654"/>
      <c r="BF23" s="653">
        <f>(BF8+BF9+BF11+BF12+BF13+BF15+BF16+BF17+BF18+BF21)-BF22</f>
        <v>0</v>
      </c>
      <c r="BG23" s="654"/>
      <c r="BH23" s="653">
        <f>(BH8+BH9+BH11+BH12+BH13+BH15+BH16+BH17+BH18+BH21)-BH22</f>
        <v>0</v>
      </c>
      <c r="BI23" s="654"/>
      <c r="BJ23" s="653">
        <f>(BJ8+BJ9+BJ11+BJ12+BJ13+BJ15+BJ16+BJ17+BJ18+BJ21)-BJ22</f>
        <v>0</v>
      </c>
      <c r="BK23" s="654"/>
      <c r="BL23" s="653">
        <f>(BL8+BL9+BL11+BL12+BL13+BL15+BL16+BL17+BL18+BL21)-BL22</f>
        <v>0</v>
      </c>
      <c r="BM23" s="654"/>
      <c r="BN23" s="653">
        <f>(BN8+BN9+BN11+BN12+BN13+BN15+BN16+BN17+BN18+BN21)-BN22</f>
        <v>0</v>
      </c>
      <c r="BO23" s="654"/>
      <c r="BP23" s="653">
        <f>(BP8+BP9+BP11+BP12+BP13+BP15+BP16+BP17+BP18+BP21)-BP22</f>
        <v>0</v>
      </c>
      <c r="BQ23" s="654"/>
      <c r="BR23" s="653">
        <f>(BR8+BR9+BR11+BR12+BR13+BR15+BR16+BR17+BR18+BR21)-BR22</f>
        <v>0</v>
      </c>
      <c r="BS23" s="654"/>
      <c r="BT23" s="653">
        <f>(BT8+BT9+BT11+BT12+BT13+BT15+BT16+BT17+BT18+BT21)-BT22</f>
        <v>0</v>
      </c>
      <c r="BU23" s="654"/>
      <c r="BV23" s="653">
        <f>(BV8+BV9+BV11+BV12+BV13+BV15+BV16+BV17+BV18+BV21)-BV22</f>
        <v>0</v>
      </c>
      <c r="BW23" s="654"/>
      <c r="BX23" s="653">
        <f>(BX8+BX9+BX11+BX12+BX13+BX15+BX16+BX17+BX18+BX21)-BX22</f>
        <v>0</v>
      </c>
      <c r="BY23" s="654"/>
      <c r="BZ23" s="653">
        <f>(BZ8+BZ9+BZ11+BZ12+BZ13+BZ15+BZ16+BZ17+BZ18+BZ21)-BZ22</f>
        <v>0</v>
      </c>
      <c r="CA23" s="654"/>
      <c r="CB23" s="653">
        <f>(CB8+CB9+CB11+CB12+CB13+CB15+CB16+CB17+CB18+CB21)-CB22</f>
        <v>0</v>
      </c>
      <c r="CC23" s="654"/>
      <c r="CD23" s="653">
        <f>(CD8+CD9+CD11+CD12+CD13+CD15+CD16+CD17+CD18+CD21)-CD22</f>
        <v>0</v>
      </c>
      <c r="CE23" s="654"/>
      <c r="CF23" s="653">
        <f>(CF8+CF9+CF11+CF12+CF13+CF15+CF16+CF17+CF18+CF21)-CF22</f>
        <v>0</v>
      </c>
      <c r="CG23" s="654"/>
      <c r="CH23" s="653">
        <f>(CH8+CH9+CH11+CH12+CH13+CH15+CH16+CH17+CH18+CH21)-CH22</f>
        <v>0</v>
      </c>
      <c r="CI23" s="654"/>
      <c r="CJ23" s="653">
        <f>(CJ8+CJ9+CJ11+CJ12+CJ13+CJ15+CJ16+CJ17+CJ18+CJ21)-CJ22</f>
        <v>0</v>
      </c>
      <c r="CK23" s="654"/>
      <c r="CL23" s="653">
        <f>(CL8+CL9+CL11+CL12+CL13+CL15+CL16+CL17+CL18+CL21)-CL22</f>
        <v>0</v>
      </c>
      <c r="CM23" s="654"/>
      <c r="CN23" s="653">
        <f t="shared" ref="CN23" si="0">(CN8+CN9+CN11+CN12+CN13+CN15+CN16+CN17+CN18+CN21)-CN22</f>
        <v>0</v>
      </c>
      <c r="CO23" s="654"/>
      <c r="CP23" s="653">
        <f t="shared" ref="CP23" si="1">(CP8+CP9+CP11+CP12+CP13+CP15+CP16+CP17+CP18+CP21)-CP22</f>
        <v>0</v>
      </c>
      <c r="CQ23" s="654"/>
      <c r="CR23" s="653">
        <f t="shared" ref="CR23" si="2">(CR8+CR9+CR11+CR12+CR13+CR15+CR16+CR17+CR18+CR21)-CR22</f>
        <v>0</v>
      </c>
      <c r="CS23" s="654"/>
      <c r="CT23" s="653">
        <f>(CT8+CT9+CT11+CT12+CT13+CT15+CT16+CT17+CT18+CT21)-CT22</f>
        <v>0</v>
      </c>
      <c r="CU23" s="654"/>
      <c r="CV23" s="653">
        <f t="shared" ref="CV23" si="3">(CV8+CV9+CV11+CV12+CV13+CV15+CV16+CV17+CV18+CV21)-CV22</f>
        <v>0</v>
      </c>
      <c r="CW23" s="654"/>
      <c r="CX23" s="653">
        <f t="shared" ref="CX23" si="4">(CX8+CX9+CX11+CX12+CX13+CX15+CX16+CX17+CX18+CX21)-CX22</f>
        <v>0</v>
      </c>
      <c r="CY23" s="654"/>
      <c r="CZ23" s="653">
        <f t="shared" ref="CZ23" si="5">(CZ8+CZ9+CZ11+CZ12+CZ13+CZ15+CZ16+CZ17+CZ18+CZ21)-CZ22</f>
        <v>0</v>
      </c>
      <c r="DA23" s="654"/>
      <c r="DB23" s="655"/>
      <c r="DC23" s="653">
        <f>(DC8+DC9+DC11+DC12+DC13+DC15+DC16+DC17+DC21)-DC22</f>
        <v>0</v>
      </c>
      <c r="DD23" s="654"/>
      <c r="DE23" s="653">
        <f>(DE8+DE9+DE11+DE12+DE13+DE15+DE16+DE17+DE21)-DE22</f>
        <v>0</v>
      </c>
      <c r="DF23" s="654"/>
      <c r="DG23" s="653">
        <f>(DG8+DG9+DG11+DG12+DG13+DG15+DG16+DG17+DG21)-DG22</f>
        <v>0</v>
      </c>
      <c r="DH23" s="654"/>
      <c r="DI23" s="653">
        <f>(DI8+DI9+DI11+DI12+DI13+DI15+DI16+DI17+DI21)-DI22</f>
        <v>0</v>
      </c>
      <c r="DJ23" s="654"/>
      <c r="DK23" s="653">
        <f>(DK8+DK9+DK11+DK12+DK13+DK15+DK16+DK17+DK21)-DK22</f>
        <v>0</v>
      </c>
      <c r="DL23" s="654"/>
      <c r="DM23" s="653">
        <f>(DM8+DM9+DM11+DM12+DM13+DM15+DM16+DM17+DM21)-DM22</f>
        <v>0</v>
      </c>
      <c r="DN23" s="654"/>
      <c r="DO23" s="653">
        <f>(DO8+DO9+DO11+DO12+DO13+DO15+DO16+DO17+DO18+DO21)-DO22</f>
        <v>0</v>
      </c>
      <c r="DP23" s="654"/>
      <c r="DQ23" s="653">
        <f>(DQ8+DQ9+DQ11+DQ12+DQ13+DQ15+DQ16+DQ17+DQ18+DQ21)-DQ22</f>
        <v>0</v>
      </c>
      <c r="DR23" s="654"/>
      <c r="DS23" s="653">
        <f>(DS8+DS9+DS11+DS12+DS13+DS15+DS16+DS17+DS18+DS21)-DS22</f>
        <v>0</v>
      </c>
      <c r="DT23" s="654"/>
      <c r="DU23" s="653">
        <f>(DU8+DU9+DU11+DU12+DU13+DU15+DU16+DU17+DU18+DU21)-DU22</f>
        <v>0</v>
      </c>
      <c r="DV23" s="654"/>
      <c r="DW23" s="653">
        <f>(DW8+DW9+DW11+DW12+DW13+DW15+DW16+DW17+DW18+DW21)-DW22</f>
        <v>0</v>
      </c>
      <c r="DX23" s="654"/>
      <c r="DY23" s="653">
        <f>(DY8+DY9+DY11+DY12+DY13+DY15+DY16+DY17+DY18+DY21)-DY22</f>
        <v>0</v>
      </c>
      <c r="DZ23" s="654"/>
      <c r="EA23" s="653">
        <f>(EA8+EA9+EA11+EA12+EA13+EA15+EA16+EA17+EA18+EA21)-EA22</f>
        <v>0</v>
      </c>
      <c r="EB23" s="654"/>
      <c r="EC23" s="653">
        <f>(EC8+EC9+EC11+EC12+EC13+EC15+EC16+EC17+EC18+EC21)-EC22</f>
        <v>0</v>
      </c>
      <c r="ED23" s="654"/>
      <c r="EE23" s="653">
        <f>(EE8+EE9+EE11+EE12+EE13+EE15+EE16+EE17+EE18+EE21)-EE22</f>
        <v>0</v>
      </c>
      <c r="EF23" s="654"/>
      <c r="EG23" s="653">
        <f>(EG8+EG9+EG11+EG12+EG13+EG15+EG16+EG17+EG18+EG21)-EG22</f>
        <v>0</v>
      </c>
      <c r="EH23" s="654"/>
      <c r="EI23" s="653">
        <f>(EI8+EI9+EI11+EI12+EI13+EI15+EI16+EI17+EI18+EI21)-EI22</f>
        <v>0</v>
      </c>
      <c r="EJ23" s="654"/>
      <c r="EK23" s="653">
        <f>(EK8+EK9+EK11+EK12+EK13+EK15+EK16+EK17+EK18+EK21)-EK22</f>
        <v>0</v>
      </c>
      <c r="EL23" s="654"/>
      <c r="EM23" s="857"/>
      <c r="EN23" s="639"/>
      <c r="EO23" s="639"/>
      <c r="EP23" s="639"/>
      <c r="EQ23" s="639"/>
      <c r="ER23" s="639"/>
      <c r="ES23" s="639"/>
      <c r="ET23" s="639"/>
      <c r="EU23" s="639"/>
      <c r="EV23" s="639"/>
    </row>
    <row r="24" spans="1:162" ht="3" customHeight="1" collapsed="1" x14ac:dyDescent="0.2">
      <c r="A24" s="851"/>
      <c r="B24" s="656"/>
      <c r="C24" s="648"/>
      <c r="D24" s="656"/>
      <c r="E24" s="648"/>
      <c r="F24" s="656"/>
      <c r="G24" s="648"/>
      <c r="H24" s="656"/>
      <c r="I24" s="648"/>
      <c r="J24" s="656"/>
      <c r="K24" s="648"/>
      <c r="L24" s="656"/>
      <c r="M24" s="648"/>
      <c r="N24" s="656"/>
      <c r="O24" s="648"/>
      <c r="P24" s="656"/>
      <c r="Q24" s="648"/>
      <c r="R24" s="656"/>
      <c r="S24" s="648"/>
      <c r="T24" s="656"/>
      <c r="U24" s="648"/>
      <c r="V24" s="656"/>
      <c r="W24" s="648"/>
      <c r="X24" s="656"/>
      <c r="Y24" s="648"/>
      <c r="Z24" s="656"/>
      <c r="AA24" s="648"/>
      <c r="AB24" s="656"/>
      <c r="AC24" s="648"/>
      <c r="AD24" s="656"/>
      <c r="AE24" s="648"/>
      <c r="AF24" s="656"/>
      <c r="AG24" s="648"/>
      <c r="AH24" s="656"/>
      <c r="AI24" s="648"/>
      <c r="AJ24" s="656"/>
      <c r="AK24" s="648"/>
      <c r="AL24" s="656"/>
      <c r="AM24" s="648"/>
      <c r="AN24" s="656"/>
      <c r="AO24" s="648"/>
      <c r="AP24" s="656"/>
      <c r="AQ24" s="648"/>
      <c r="AR24" s="656"/>
      <c r="AS24" s="648"/>
      <c r="AT24" s="656"/>
      <c r="AU24" s="648"/>
      <c r="AV24" s="656"/>
      <c r="AW24" s="648"/>
      <c r="AX24" s="656"/>
      <c r="AY24" s="648"/>
      <c r="AZ24" s="656"/>
      <c r="BA24" s="648"/>
      <c r="BB24" s="656"/>
      <c r="BC24" s="648"/>
      <c r="BD24" s="656"/>
      <c r="BE24" s="648"/>
      <c r="BF24" s="656"/>
      <c r="BG24" s="648"/>
      <c r="BH24" s="656"/>
      <c r="BI24" s="648"/>
      <c r="BJ24" s="656"/>
      <c r="BK24" s="648"/>
      <c r="BL24" s="656"/>
      <c r="BM24" s="648"/>
      <c r="BN24" s="656"/>
      <c r="BO24" s="648"/>
      <c r="BP24" s="656"/>
      <c r="BQ24" s="648"/>
      <c r="BR24" s="656"/>
      <c r="BS24" s="648"/>
      <c r="BT24" s="656"/>
      <c r="BU24" s="648"/>
      <c r="BV24" s="656"/>
      <c r="BW24" s="648"/>
      <c r="BX24" s="656"/>
      <c r="BY24" s="648"/>
      <c r="BZ24" s="656"/>
      <c r="CA24" s="648"/>
      <c r="CB24" s="656"/>
      <c r="CC24" s="648"/>
      <c r="CD24" s="656"/>
      <c r="CE24" s="648"/>
      <c r="CF24" s="656"/>
      <c r="CG24" s="648"/>
      <c r="CH24" s="656"/>
      <c r="CI24" s="648"/>
      <c r="CJ24" s="656"/>
      <c r="CK24" s="648"/>
      <c r="CL24" s="656"/>
      <c r="CM24" s="648"/>
      <c r="CN24" s="656"/>
      <c r="CO24" s="648"/>
      <c r="CP24" s="656"/>
      <c r="CQ24" s="648"/>
      <c r="CR24" s="656"/>
      <c r="CS24" s="648"/>
      <c r="CT24" s="656"/>
      <c r="CU24" s="648"/>
      <c r="CV24" s="656"/>
      <c r="CW24" s="648"/>
      <c r="CX24" s="656"/>
      <c r="CY24" s="648"/>
      <c r="CZ24" s="656"/>
      <c r="DA24" s="648"/>
      <c r="DB24" s="640"/>
      <c r="DC24" s="656"/>
      <c r="DD24" s="648"/>
      <c r="DE24" s="656"/>
      <c r="DF24" s="648"/>
      <c r="DG24" s="656"/>
      <c r="DH24" s="648"/>
      <c r="DI24" s="656"/>
      <c r="DJ24" s="648"/>
      <c r="DK24" s="656"/>
      <c r="DL24" s="648"/>
      <c r="DM24" s="656"/>
      <c r="DN24" s="648"/>
      <c r="DO24" s="656"/>
      <c r="DP24" s="648"/>
      <c r="DQ24" s="656"/>
      <c r="DR24" s="648"/>
      <c r="DS24" s="656"/>
      <c r="DT24" s="648"/>
      <c r="DU24" s="656"/>
      <c r="DV24" s="648"/>
      <c r="DW24" s="656"/>
      <c r="DX24" s="648"/>
      <c r="DY24" s="656"/>
      <c r="DZ24" s="648"/>
      <c r="EA24" s="656"/>
      <c r="EB24" s="648"/>
      <c r="EC24" s="656"/>
      <c r="ED24" s="648"/>
      <c r="EE24" s="656"/>
      <c r="EF24" s="648"/>
      <c r="EG24" s="656"/>
      <c r="EH24" s="648"/>
      <c r="EI24" s="656"/>
      <c r="EJ24" s="648"/>
      <c r="EK24" s="656"/>
      <c r="EL24" s="648"/>
      <c r="EM24" s="858"/>
      <c r="EN24" s="638"/>
      <c r="EO24" s="638"/>
      <c r="EP24" s="638"/>
      <c r="EQ24" s="638"/>
      <c r="ER24" s="638"/>
      <c r="ES24" s="638"/>
      <c r="ET24" s="638"/>
      <c r="EU24" s="638"/>
      <c r="EV24" s="638"/>
    </row>
    <row r="25" spans="1:162" ht="12.75" hidden="1" customHeight="1" outlineLevel="1" x14ac:dyDescent="0.2">
      <c r="A25" s="851" t="str">
        <f>INPUT!B539</f>
        <v>TARP/Other</v>
      </c>
      <c r="B25" s="640">
        <f>INPUT!AY539</f>
        <v>0</v>
      </c>
      <c r="C25" s="641">
        <f>INPUT!AZ539</f>
        <v>0</v>
      </c>
      <c r="D25" s="640">
        <f>INPUT!BA539</f>
        <v>0</v>
      </c>
      <c r="E25" s="641">
        <f>INPUT!BB539</f>
        <v>0</v>
      </c>
      <c r="F25" s="640">
        <f>INPUT!BC539</f>
        <v>0</v>
      </c>
      <c r="G25" s="641">
        <f>INPUT!BD539</f>
        <v>0</v>
      </c>
      <c r="H25" s="640">
        <f>INPUT!BE539</f>
        <v>0</v>
      </c>
      <c r="I25" s="641">
        <f>INPUT!BF539</f>
        <v>0</v>
      </c>
      <c r="J25" s="650">
        <f>INPUT!BG539</f>
        <v>0</v>
      </c>
      <c r="K25" s="641">
        <f>INPUT!BH539</f>
        <v>0</v>
      </c>
      <c r="L25" s="650">
        <f>INPUT!BI539</f>
        <v>0</v>
      </c>
      <c r="M25" s="641">
        <f>INPUT!BJ539</f>
        <v>0</v>
      </c>
      <c r="N25" s="650">
        <f>INPUT!BK539</f>
        <v>0</v>
      </c>
      <c r="O25" s="641">
        <f>INPUT!BL539</f>
        <v>0</v>
      </c>
      <c r="P25" s="650">
        <f>INPUT!BM539</f>
        <v>0</v>
      </c>
      <c r="Q25" s="641">
        <f>INPUT!BN539</f>
        <v>0</v>
      </c>
      <c r="R25" s="650">
        <f>INPUT!BO539</f>
        <v>0</v>
      </c>
      <c r="S25" s="641">
        <f>INPUT!BP539</f>
        <v>0</v>
      </c>
      <c r="T25" s="650">
        <f>INPUT!BQ539</f>
        <v>0</v>
      </c>
      <c r="U25" s="641">
        <f>INPUT!BR539</f>
        <v>0</v>
      </c>
      <c r="V25" s="650">
        <f>INPUT!BS539</f>
        <v>0</v>
      </c>
      <c r="W25" s="641">
        <f>INPUT!BT539</f>
        <v>0</v>
      </c>
      <c r="X25" s="650">
        <f>INPUT!BU539</f>
        <v>0</v>
      </c>
      <c r="Y25" s="641">
        <f>INPUT!BV539</f>
        <v>0</v>
      </c>
      <c r="Z25" s="650">
        <f>INPUT!BW539</f>
        <v>0</v>
      </c>
      <c r="AA25" s="641">
        <f>INPUT!BX539</f>
        <v>0</v>
      </c>
      <c r="AB25" s="650">
        <f>INPUT!BY539</f>
        <v>0</v>
      </c>
      <c r="AC25" s="641">
        <f>INPUT!BZ539</f>
        <v>0</v>
      </c>
      <c r="AD25" s="650">
        <f>INPUT!CA539</f>
        <v>16.3</v>
      </c>
      <c r="AE25" s="641" t="str">
        <f>INPUT!CB539</f>
        <v>NA</v>
      </c>
      <c r="AF25" s="650">
        <f>INPUT!CC539</f>
        <v>18.2</v>
      </c>
      <c r="AG25" s="641" t="str">
        <f>INPUT!CD539</f>
        <v>NA</v>
      </c>
      <c r="AH25" s="650">
        <f>INPUT!CE539</f>
        <v>18.399999999999999</v>
      </c>
      <c r="AI25" s="641" t="str">
        <f>INPUT!CF539</f>
        <v>NA</v>
      </c>
      <c r="AJ25" s="650">
        <f>INPUT!CG539</f>
        <v>18.3</v>
      </c>
      <c r="AK25" s="641" t="str">
        <f>INPUT!CH539</f>
        <v>NA</v>
      </c>
      <c r="AL25" s="650">
        <f>INPUT!CI539</f>
        <v>1</v>
      </c>
      <c r="AM25" s="641" t="str">
        <f>INPUT!CJ539</f>
        <v>NM</v>
      </c>
      <c r="AN25" s="650">
        <f>INPUT!CK539</f>
        <v>0</v>
      </c>
      <c r="AO25" s="641" t="str">
        <f>INPUT!CL539</f>
        <v>NM</v>
      </c>
      <c r="AP25" s="650">
        <f>INPUT!CM539</f>
        <v>0</v>
      </c>
      <c r="AQ25" s="641" t="str">
        <f>INPUT!CN539</f>
        <v>NM</v>
      </c>
      <c r="AR25" s="650">
        <f>INPUT!CO539</f>
        <v>0</v>
      </c>
      <c r="AS25" s="641" t="str">
        <f>INPUT!CP539</f>
        <v>NM</v>
      </c>
      <c r="AT25" s="650">
        <f>INPUT!CQ539</f>
        <v>0</v>
      </c>
      <c r="AU25" s="641" t="str">
        <f>INPUT!CR539</f>
        <v>NM</v>
      </c>
      <c r="AV25" s="650">
        <f>INPUT!CS539</f>
        <v>0</v>
      </c>
      <c r="AW25" s="641" t="str">
        <f>INPUT!CT539</f>
        <v>NA</v>
      </c>
      <c r="AX25" s="650">
        <f>INPUT!CU539</f>
        <v>0</v>
      </c>
      <c r="AY25" s="641" t="str">
        <f>INPUT!CV539</f>
        <v>NA</v>
      </c>
      <c r="AZ25" s="650">
        <f>INPUT!CW539</f>
        <v>0</v>
      </c>
      <c r="BA25" s="641" t="str">
        <f>INPUT!CX539</f>
        <v>NA</v>
      </c>
      <c r="BB25" s="650">
        <f>INPUT!CY539</f>
        <v>0</v>
      </c>
      <c r="BC25" s="641" t="str">
        <f>INPUT!CZ539</f>
        <v>NA</v>
      </c>
      <c r="BD25" s="650">
        <f>INPUT!DA539</f>
        <v>0</v>
      </c>
      <c r="BE25" s="641" t="str">
        <f>INPUT!DB539</f>
        <v>NA</v>
      </c>
      <c r="BF25" s="650">
        <f>INPUT!DC539</f>
        <v>0</v>
      </c>
      <c r="BG25" s="641" t="str">
        <f>INPUT!DD539</f>
        <v>NA</v>
      </c>
      <c r="BH25" s="650">
        <f>INPUT!DE539</f>
        <v>0</v>
      </c>
      <c r="BI25" s="641" t="str">
        <f>INPUT!DF539</f>
        <v>NA</v>
      </c>
      <c r="BJ25" s="650">
        <f>INPUT!DG539</f>
        <v>0</v>
      </c>
      <c r="BK25" s="641" t="str">
        <f>INPUT!DH539</f>
        <v>NA</v>
      </c>
      <c r="BL25" s="650">
        <f>INPUT!DI539</f>
        <v>0</v>
      </c>
      <c r="BM25" s="641" t="str">
        <f>INPUT!DJ539</f>
        <v>NA</v>
      </c>
      <c r="BN25" s="650">
        <f>INPUT!DK539</f>
        <v>0</v>
      </c>
      <c r="BO25" s="641" t="str">
        <f>INPUT!DL539</f>
        <v>NA</v>
      </c>
      <c r="BP25" s="650">
        <f>INPUT!DM539</f>
        <v>0</v>
      </c>
      <c r="BQ25" s="641" t="str">
        <f>INPUT!DN539</f>
        <v>NA</v>
      </c>
      <c r="BR25" s="650">
        <f>INPUT!DO539</f>
        <v>0</v>
      </c>
      <c r="BS25" s="641" t="str">
        <f>INPUT!DP539</f>
        <v>NA</v>
      </c>
      <c r="BT25" s="650">
        <f>INPUT!DQ539</f>
        <v>0</v>
      </c>
      <c r="BU25" s="641" t="str">
        <f>INPUT!DR539</f>
        <v>NA</v>
      </c>
      <c r="BV25" s="650">
        <f>INPUT!DS539</f>
        <v>0</v>
      </c>
      <c r="BW25" s="641" t="str">
        <f>INPUT!DT539</f>
        <v>NA</v>
      </c>
      <c r="BX25" s="650">
        <f>INPUT!DU539</f>
        <v>0</v>
      </c>
      <c r="BY25" s="641" t="str">
        <f>INPUT!DV539</f>
        <v>NA</v>
      </c>
      <c r="BZ25" s="650">
        <f>INPUT!DW539</f>
        <v>0</v>
      </c>
      <c r="CA25" s="641">
        <f>INPUT!DX539</f>
        <v>0</v>
      </c>
      <c r="CB25" s="650">
        <f>INPUT!DY539</f>
        <v>0</v>
      </c>
      <c r="CC25" s="641" t="str">
        <f>INPUT!DZ539</f>
        <v>NA</v>
      </c>
      <c r="CD25" s="650">
        <f>INPUT!EA539</f>
        <v>0</v>
      </c>
      <c r="CE25" s="641" t="str">
        <f>INPUT!EB539</f>
        <v>NA</v>
      </c>
      <c r="CF25" s="650">
        <f>INPUT!EC539</f>
        <v>0</v>
      </c>
      <c r="CG25" s="641" t="str">
        <f>INPUT!ED539</f>
        <v>NA</v>
      </c>
      <c r="CH25" s="650">
        <f>INPUT!EE539</f>
        <v>0</v>
      </c>
      <c r="CI25" s="641" t="str">
        <f>INPUT!EF539</f>
        <v>NA</v>
      </c>
      <c r="CJ25" s="650">
        <f>INPUT!EG539</f>
        <v>0</v>
      </c>
      <c r="CK25" s="641" t="str">
        <f>INPUT!EH539</f>
        <v>NA</v>
      </c>
      <c r="CL25" s="650">
        <f>INPUT!EI539</f>
        <v>0</v>
      </c>
      <c r="CM25" s="641" t="str">
        <f>INPUT!EJ539</f>
        <v>NA</v>
      </c>
      <c r="CN25" s="650">
        <f>INPUT!EK539</f>
        <v>0</v>
      </c>
      <c r="CO25" s="641" t="str">
        <f>INPUT!EL539</f>
        <v>NA</v>
      </c>
      <c r="CP25" s="650">
        <f>INPUT!EM539</f>
        <v>0</v>
      </c>
      <c r="CQ25" s="641" t="str">
        <f>INPUT!EN539</f>
        <v>NA</v>
      </c>
      <c r="CR25" s="650">
        <f>INPUT!EO539</f>
        <v>0</v>
      </c>
      <c r="CS25" s="641" t="str">
        <f>INPUT!EP539</f>
        <v>NA</v>
      </c>
      <c r="CT25" s="650">
        <f>INPUT!EQ539</f>
        <v>0</v>
      </c>
      <c r="CU25" s="641" t="str">
        <f>INPUT!ER539</f>
        <v>NA</v>
      </c>
      <c r="CV25" s="650">
        <f>INPUT!ES539</f>
        <v>0</v>
      </c>
      <c r="CW25" s="641" t="str">
        <f>INPUT!ET539</f>
        <v>NA</v>
      </c>
      <c r="CX25" s="650">
        <f>INPUT!EU539</f>
        <v>0</v>
      </c>
      <c r="CY25" s="641" t="str">
        <f>INPUT!EV539</f>
        <v>NA</v>
      </c>
      <c r="CZ25" s="650">
        <f>INPUT!EW539</f>
        <v>0</v>
      </c>
      <c r="DA25" s="641" t="str">
        <f>INPUT!EX539</f>
        <v>NA</v>
      </c>
      <c r="DB25" s="640"/>
      <c r="DC25" s="640">
        <f>INPUT!FP539</f>
        <v>0</v>
      </c>
      <c r="DD25" s="641">
        <f>INPUT!FQ539</f>
        <v>0</v>
      </c>
      <c r="DE25" s="650">
        <f>INPUT!FR539</f>
        <v>0</v>
      </c>
      <c r="DF25" s="641">
        <f>INPUT!FS539</f>
        <v>0</v>
      </c>
      <c r="DG25" s="650">
        <f>INPUT!FT539</f>
        <v>0</v>
      </c>
      <c r="DH25" s="641">
        <f>INPUT!FU539</f>
        <v>0</v>
      </c>
      <c r="DI25" s="650">
        <f>INPUT!FV539</f>
        <v>0</v>
      </c>
      <c r="DJ25" s="641">
        <f>INPUT!FW539</f>
        <v>0</v>
      </c>
      <c r="DK25" s="650">
        <f>INPUT!FX539</f>
        <v>34.5</v>
      </c>
      <c r="DL25" s="641" t="str">
        <f>INPUT!FY539</f>
        <v>NA</v>
      </c>
      <c r="DM25" s="650">
        <f>INPUT!FZ539</f>
        <v>37.700000000000003</v>
      </c>
      <c r="DN25" s="641">
        <f>INPUT!GA539</f>
        <v>9.2753623188405854</v>
      </c>
      <c r="DO25" s="650">
        <f>INPUT!GB539</f>
        <v>0</v>
      </c>
      <c r="DP25" s="641" t="str">
        <f>INPUT!GC539</f>
        <v>NM</v>
      </c>
      <c r="DQ25" s="650">
        <f>INPUT!GD539</f>
        <v>0</v>
      </c>
      <c r="DR25" s="641" t="str">
        <f>INPUT!GE539</f>
        <v>NA</v>
      </c>
      <c r="DS25" s="650">
        <f>INPUT!GF539</f>
        <v>0</v>
      </c>
      <c r="DT25" s="641" t="str">
        <f>INPUT!GG539</f>
        <v>NA</v>
      </c>
      <c r="DU25" s="650">
        <f>INPUT!GH539</f>
        <v>0</v>
      </c>
      <c r="DV25" s="641" t="str">
        <f>INPUT!GI539</f>
        <v>NA</v>
      </c>
      <c r="DW25" s="650">
        <f>INPUT!GJ539</f>
        <v>0</v>
      </c>
      <c r="DX25" s="641" t="str">
        <f>INPUT!GK539</f>
        <v>NA</v>
      </c>
      <c r="DY25" s="650">
        <f>INPUT!GL539</f>
        <v>0</v>
      </c>
      <c r="DZ25" s="641" t="str">
        <f>INPUT!GM539</f>
        <v>NA</v>
      </c>
      <c r="EA25" s="650">
        <f>INPUT!GN539</f>
        <v>0</v>
      </c>
      <c r="EB25" s="641" t="str">
        <f>INPUT!GO539</f>
        <v>NA</v>
      </c>
      <c r="EC25" s="650">
        <f>INPUT!GP539</f>
        <v>0</v>
      </c>
      <c r="ED25" s="641" t="str">
        <f>INPUT!GQ539</f>
        <v>NA</v>
      </c>
      <c r="EE25" s="650">
        <f>INPUT!GR539</f>
        <v>0</v>
      </c>
      <c r="EF25" s="641" t="str">
        <f>INPUT!GS539</f>
        <v>NA</v>
      </c>
      <c r="EG25" s="650">
        <f>INPUT!GT539</f>
        <v>0</v>
      </c>
      <c r="EH25" s="641" t="str">
        <f>INPUT!GU539</f>
        <v>NA</v>
      </c>
      <c r="EI25" s="650">
        <f>INPUT!GV539</f>
        <v>0</v>
      </c>
      <c r="EJ25" s="641" t="str">
        <f>INPUT!GW539</f>
        <v>NA</v>
      </c>
      <c r="EK25" s="650">
        <f>INPUT!GX539</f>
        <v>0</v>
      </c>
      <c r="EL25" s="641" t="str">
        <f>INPUT!GY539</f>
        <v>NA</v>
      </c>
      <c r="EM25" s="852" t="str">
        <f>INPUT!GZ539</f>
        <v/>
      </c>
      <c r="EN25" s="638"/>
      <c r="EO25" s="638"/>
      <c r="EP25" s="638"/>
      <c r="EQ25" s="638"/>
      <c r="ER25" s="638"/>
      <c r="ES25" s="638"/>
      <c r="ET25" s="638"/>
      <c r="EU25" s="638"/>
      <c r="EV25" s="638"/>
    </row>
    <row r="26" spans="1:162" ht="12.75" customHeight="1" collapsed="1" x14ac:dyDescent="0.2">
      <c r="A26" s="855" t="str">
        <f>INPUT!B541</f>
        <v>Operating Earnings After TARP/Other</v>
      </c>
      <c r="B26" s="652">
        <f>INPUT!AY541</f>
        <v>246.95999999999995</v>
      </c>
      <c r="C26" s="641">
        <f>INPUT!AZ541</f>
        <v>16.687613989661742</v>
      </c>
      <c r="D26" s="652">
        <f>INPUT!BA541</f>
        <v>323.45999999999998</v>
      </c>
      <c r="E26" s="641">
        <f>INPUT!BB541</f>
        <v>34.013912654383624</v>
      </c>
      <c r="F26" s="652">
        <f>INPUT!BC541</f>
        <v>357.76000000000005</v>
      </c>
      <c r="G26" s="641">
        <f>INPUT!BD541</f>
        <v>42.980464878345195</v>
      </c>
      <c r="H26" s="652">
        <f>INPUT!BE541</f>
        <v>360.45999999999992</v>
      </c>
      <c r="I26" s="641">
        <f>INPUT!BF541</f>
        <v>40.401581397160456</v>
      </c>
      <c r="J26" s="651">
        <f>INPUT!BG541</f>
        <v>339.40000000000009</v>
      </c>
      <c r="K26" s="641">
        <f>INPUT!BH541</f>
        <v>37.431162941367077</v>
      </c>
      <c r="L26" s="651">
        <f>INPUT!BI541</f>
        <v>350.6</v>
      </c>
      <c r="M26" s="641">
        <f>INPUT!BJ541</f>
        <v>8.3905274222469739</v>
      </c>
      <c r="N26" s="651">
        <f>INPUT!BK541</f>
        <v>332.3</v>
      </c>
      <c r="O26" s="641">
        <f>INPUT!BL541</f>
        <v>-7.1165026833631568</v>
      </c>
      <c r="P26" s="651">
        <f>INPUT!BM541</f>
        <v>301.49999999999983</v>
      </c>
      <c r="Q26" s="641">
        <f>INPUT!BN541</f>
        <v>-16.356877323420104</v>
      </c>
      <c r="R26" s="651">
        <f>INPUT!BO541</f>
        <v>299.50000000000011</v>
      </c>
      <c r="S26" s="641">
        <f>INPUT!BP541</f>
        <v>-11.756040070713015</v>
      </c>
      <c r="T26" s="651">
        <f>INPUT!BQ541</f>
        <v>308.60000000000008</v>
      </c>
      <c r="U26" s="641">
        <f>INPUT!BR541</f>
        <v>-11.979463776383326</v>
      </c>
      <c r="V26" s="651">
        <f>INPUT!BS541</f>
        <v>298.00000000000011</v>
      </c>
      <c r="W26" s="641">
        <f>INPUT!BT541</f>
        <v>-10.321998194402616</v>
      </c>
      <c r="X26" s="651">
        <f>INPUT!BU541</f>
        <v>-127.10000000000014</v>
      </c>
      <c r="Y26" s="641" t="str">
        <f>INPUT!BV541</f>
        <v>NM</v>
      </c>
      <c r="Z26" s="651">
        <f>INPUT!BW541</f>
        <v>163.10000000000005</v>
      </c>
      <c r="AA26" s="641">
        <f>INPUT!BX541</f>
        <v>-45.542570951585979</v>
      </c>
      <c r="AB26" s="651">
        <f>INPUT!BY541</f>
        <v>207.30000000000015</v>
      </c>
      <c r="AC26" s="641">
        <f>INPUT!BZ541</f>
        <v>-32.825664290343461</v>
      </c>
      <c r="AD26" s="651">
        <f>INPUT!CA541</f>
        <v>259.20999999999987</v>
      </c>
      <c r="AE26" s="641">
        <f>INPUT!CB541</f>
        <v>-13.016778523490014</v>
      </c>
      <c r="AF26" s="651">
        <f>INPUT!CC541</f>
        <v>279</v>
      </c>
      <c r="AG26" s="641" t="str">
        <f>INPUT!CD541</f>
        <v>NM</v>
      </c>
      <c r="AH26" s="651">
        <f>INPUT!CE541</f>
        <v>257.80000000000007</v>
      </c>
      <c r="AI26" s="641">
        <f>INPUT!CF541</f>
        <v>58.062538320049043</v>
      </c>
      <c r="AJ26" s="651">
        <f>INPUT!CG541</f>
        <v>272.40000000000003</v>
      </c>
      <c r="AK26" s="641">
        <f>INPUT!CH541</f>
        <v>31.403762662807445</v>
      </c>
      <c r="AL26" s="651">
        <f>INPUT!CI541</f>
        <v>204.59999999999997</v>
      </c>
      <c r="AM26" s="641">
        <f>INPUT!CJ541</f>
        <v>-21.067860036264008</v>
      </c>
      <c r="AN26" s="651">
        <f>INPUT!CK541</f>
        <v>265.5999999999998</v>
      </c>
      <c r="AO26" s="641">
        <f>INPUT!CL541</f>
        <v>-4.8028673835126217</v>
      </c>
      <c r="AP26" s="651">
        <f>INPUT!CM541</f>
        <v>321.9000000000002</v>
      </c>
      <c r="AQ26" s="641">
        <f>INPUT!CN541</f>
        <v>24.864235841737823</v>
      </c>
      <c r="AR26" s="651">
        <f>INPUT!CO541</f>
        <v>324.89999999999981</v>
      </c>
      <c r="AS26" s="641">
        <f>INPUT!CP541</f>
        <v>19.273127753303875</v>
      </c>
      <c r="AT26" s="651">
        <f>INPUT!CQ541</f>
        <v>322.89999999999992</v>
      </c>
      <c r="AU26" s="641">
        <f>INPUT!CR541</f>
        <v>57.82013685239491</v>
      </c>
      <c r="AV26" s="651">
        <f>INPUT!CS541</f>
        <v>277</v>
      </c>
      <c r="AW26" s="641">
        <f>INPUT!CT541</f>
        <v>4.2921686746988819</v>
      </c>
      <c r="AX26" s="651">
        <f>INPUT!CU541</f>
        <v>293</v>
      </c>
      <c r="AY26" s="641">
        <f>INPUT!CV541</f>
        <v>-8.9779434607021429</v>
      </c>
      <c r="AZ26" s="651">
        <f>INPUT!CW541</f>
        <v>315</v>
      </c>
      <c r="BA26" s="641">
        <f>INPUT!CX541</f>
        <v>-3.0470914127423199</v>
      </c>
      <c r="BB26" s="651">
        <f>INPUT!CY541</f>
        <v>362</v>
      </c>
      <c r="BC26" s="641">
        <f>INPUT!CZ541</f>
        <v>12.109012078042758</v>
      </c>
      <c r="BD26" s="651">
        <f>INPUT!DA541</f>
        <v>310</v>
      </c>
      <c r="BE26" s="641">
        <f>INPUT!DB541</f>
        <v>11.913357400722013</v>
      </c>
      <c r="BF26" s="651">
        <f>INPUT!DC541</f>
        <v>285</v>
      </c>
      <c r="BG26" s="641">
        <f>INPUT!DD541</f>
        <v>-2.7303754266211566</v>
      </c>
      <c r="BH26" s="651">
        <f>INPUT!DE541</f>
        <v>351</v>
      </c>
      <c r="BI26" s="641">
        <f>INPUT!DF541</f>
        <v>11.428571428571432</v>
      </c>
      <c r="BJ26" s="651">
        <f>INPUT!DG541</f>
        <v>367</v>
      </c>
      <c r="BK26" s="641">
        <f>INPUT!DH541</f>
        <v>1.3812154696132506</v>
      </c>
      <c r="BL26" s="651">
        <f>INPUT!DI541</f>
        <v>382</v>
      </c>
      <c r="BM26" s="641">
        <f>INPUT!DJ541</f>
        <v>23.225806451612897</v>
      </c>
      <c r="BN26" s="651">
        <f>INPUT!DK541</f>
        <v>364</v>
      </c>
      <c r="BO26" s="641">
        <f>INPUT!DL541</f>
        <v>27.719298245614034</v>
      </c>
      <c r="BP26" s="651">
        <f>INPUT!DM541</f>
        <v>395</v>
      </c>
      <c r="BQ26" s="641">
        <f>INPUT!DN541</f>
        <v>12.535612535612529</v>
      </c>
      <c r="BR26" s="651">
        <f>INPUT!DO541</f>
        <v>416</v>
      </c>
      <c r="BS26" s="641">
        <f>INPUT!DP541</f>
        <v>13.351498637602187</v>
      </c>
      <c r="BT26" s="651">
        <f>INPUT!DQ541</f>
        <v>440</v>
      </c>
      <c r="BU26" s="641">
        <f>INPUT!DR541</f>
        <v>15.18324607329844</v>
      </c>
      <c r="BV26" s="651">
        <f>INPUT!DS541</f>
        <v>352</v>
      </c>
      <c r="BW26" s="641">
        <f>INPUT!DT541</f>
        <v>-3.2967032967032961</v>
      </c>
      <c r="BX26" s="651">
        <f>INPUT!DU541</f>
        <v>371</v>
      </c>
      <c r="BY26" s="641">
        <f>INPUT!DV541</f>
        <v>-6.0759493670886062</v>
      </c>
      <c r="BZ26" s="651">
        <f>INPUT!DW541</f>
        <v>282</v>
      </c>
      <c r="CA26" s="641">
        <f>INPUT!DX541</f>
        <v>282</v>
      </c>
      <c r="CB26" s="651">
        <f>INPUT!DY541</f>
        <v>382</v>
      </c>
      <c r="CC26" s="641">
        <f>INPUT!DZ541</f>
        <v>-13.181818181818183</v>
      </c>
      <c r="CD26" s="651">
        <f>INPUT!EA541</f>
        <v>307</v>
      </c>
      <c r="CE26" s="641">
        <f>INPUT!EB541</f>
        <v>-12.784090909090907</v>
      </c>
      <c r="CF26" s="651">
        <f>INPUT!EC541</f>
        <v>373</v>
      </c>
      <c r="CG26" s="641">
        <f>INPUT!ED541</f>
        <v>0.53908355795149188</v>
      </c>
      <c r="CH26" s="651">
        <f>INPUT!EE541</f>
        <v>441</v>
      </c>
      <c r="CI26" s="641">
        <f>INPUT!EF541</f>
        <v>56.38297872340425</v>
      </c>
      <c r="CJ26" s="651">
        <f>INPUT!EG541</f>
        <v>409</v>
      </c>
      <c r="CK26" s="641">
        <f>INPUT!EH541</f>
        <v>7.0680628272251411</v>
      </c>
      <c r="CL26" s="651">
        <f>INPUT!EI541</f>
        <v>442</v>
      </c>
      <c r="CM26" s="641">
        <f>INPUT!EJ541</f>
        <v>43.973941368078172</v>
      </c>
      <c r="CN26" s="651">
        <f>INPUT!EK541</f>
        <v>419</v>
      </c>
      <c r="CO26" s="641">
        <f>INPUT!EL541</f>
        <v>12.332439678284191</v>
      </c>
      <c r="CP26" s="651">
        <f>INPUT!EM541</f>
        <v>454</v>
      </c>
      <c r="CQ26" s="641">
        <f>INPUT!EN541</f>
        <v>2.947845804988658</v>
      </c>
      <c r="CR26" s="651">
        <f>INPUT!EO541</f>
        <v>440</v>
      </c>
      <c r="CS26" s="641">
        <f>INPUT!EP541</f>
        <v>7.5794621026894937</v>
      </c>
      <c r="CT26" s="651">
        <f>INPUT!EQ541</f>
        <v>433.01539174143363</v>
      </c>
      <c r="CU26" s="641">
        <f>INPUT!ER541</f>
        <v>-2.0327168005806251</v>
      </c>
      <c r="CV26" s="651">
        <f>INPUT!ES541</f>
        <v>460.45921990626726</v>
      </c>
      <c r="CW26" s="641">
        <f>INPUT!ET541</f>
        <v>9.894801886937298</v>
      </c>
      <c r="CX26" s="651">
        <f>INPUT!EU541</f>
        <v>479.13694888564487</v>
      </c>
      <c r="CY26" s="641">
        <f>INPUT!EV541</f>
        <v>5.5367728823006335</v>
      </c>
      <c r="CZ26" s="651">
        <f>INPUT!EW541</f>
        <v>492.61294385852671</v>
      </c>
      <c r="DA26" s="641">
        <f>INPUT!EX541</f>
        <v>11.95748724057426</v>
      </c>
      <c r="DB26" s="640"/>
      <c r="DC26" s="652">
        <f>INPUT!FP541</f>
        <v>959.95600000000002</v>
      </c>
      <c r="DD26" s="641">
        <f>INPUT!FQ541</f>
        <v>32.42233625779398</v>
      </c>
      <c r="DE26" s="651">
        <f>INPUT!FR541</f>
        <v>1288.6399999999999</v>
      </c>
      <c r="DF26" s="641">
        <f>INPUT!FS541</f>
        <v>34.239485976440577</v>
      </c>
      <c r="DG26" s="651">
        <f>INPUT!FT541</f>
        <v>1323.7999999999995</v>
      </c>
      <c r="DH26" s="641">
        <f>INPUT!FU541</f>
        <v>2.7284579091134464</v>
      </c>
      <c r="DI26" s="651">
        <f>INPUT!FV541</f>
        <v>779.00000000000045</v>
      </c>
      <c r="DJ26" s="641">
        <f>INPUT!FW541</f>
        <v>-41.154252908294254</v>
      </c>
      <c r="DK26" s="651">
        <f>INPUT!FX541</f>
        <v>908.61000000000024</v>
      </c>
      <c r="DL26" s="641">
        <f>INPUT!FY541</f>
        <v>16.637997432605879</v>
      </c>
      <c r="DM26" s="651">
        <f>INPUT!FZ541</f>
        <v>1000.3999999999994</v>
      </c>
      <c r="DN26" s="641">
        <f>INPUT!GA541</f>
        <v>10.102244087121992</v>
      </c>
      <c r="DO26" s="651">
        <f>INPUT!GB541</f>
        <v>1246.7000000000003</v>
      </c>
      <c r="DP26" s="641">
        <f>INPUT!GC541</f>
        <v>24.620151939224421</v>
      </c>
      <c r="DQ26" s="651">
        <f>INPUT!GD541</f>
        <v>1280</v>
      </c>
      <c r="DR26" s="641">
        <f>INPUT!GE541</f>
        <v>2.6710515761610321</v>
      </c>
      <c r="DS26" s="651">
        <f>INPUT!GF541</f>
        <v>1385</v>
      </c>
      <c r="DT26" s="641">
        <f>INPUT!GG541</f>
        <v>8.203125</v>
      </c>
      <c r="DU26" s="651">
        <f>INPUT!GH541</f>
        <v>1615</v>
      </c>
      <c r="DV26" s="641">
        <f>INPUT!GI541</f>
        <v>16.606498194945839</v>
      </c>
      <c r="DW26" s="651">
        <f>INPUT!GJ541</f>
        <v>1387</v>
      </c>
      <c r="DX26" s="641">
        <f>INPUT!GK541</f>
        <v>-14.117647058823534</v>
      </c>
      <c r="DY26" s="651">
        <f>INPUT!GL541</f>
        <v>1530</v>
      </c>
      <c r="DZ26" s="641">
        <f>INPUT!GM541</f>
        <v>10.31002162941601</v>
      </c>
      <c r="EA26" s="651">
        <f>INPUT!GN541</f>
        <v>1755</v>
      </c>
      <c r="EB26" s="641">
        <f>INPUT!GO541</f>
        <v>14.705882352941169</v>
      </c>
      <c r="EC26" s="651">
        <f>INPUT!GP541</f>
        <v>1865.2245043918708</v>
      </c>
      <c r="ED26" s="641">
        <f>INPUT!GQ541</f>
        <v>6.2805985408473486</v>
      </c>
      <c r="EE26" s="651">
        <f>INPUT!GR541</f>
        <v>1997.2805153712757</v>
      </c>
      <c r="EF26" s="641">
        <f>INPUT!GS541</f>
        <v>7.0798989970625392</v>
      </c>
      <c r="EG26" s="651">
        <f>INPUT!GT541</f>
        <v>2187.2095019673025</v>
      </c>
      <c r="EH26" s="641">
        <f>INPUT!GU541</f>
        <v>9.5093796356753089</v>
      </c>
      <c r="EI26" s="651">
        <f>INPUT!GV541</f>
        <v>2296.8237050363132</v>
      </c>
      <c r="EJ26" s="641">
        <f>INPUT!GW541</f>
        <v>5.0116005334842173</v>
      </c>
      <c r="EK26" s="651">
        <f>INPUT!GX541</f>
        <v>2417.6717699682927</v>
      </c>
      <c r="EL26" s="641">
        <f>INPUT!GY541</f>
        <v>5.2615298539018251</v>
      </c>
      <c r="EM26" s="852">
        <f>INPUT!GZ541</f>
        <v>6.6164072778214678</v>
      </c>
      <c r="EN26" s="638"/>
      <c r="EO26" s="638"/>
      <c r="EP26" s="638"/>
      <c r="EQ26" s="638"/>
      <c r="ER26" s="638"/>
      <c r="ES26" s="638"/>
      <c r="ET26" s="638"/>
      <c r="EU26" s="638"/>
      <c r="EV26" s="638"/>
    </row>
    <row r="27" spans="1:162" ht="3" customHeight="1" x14ac:dyDescent="0.2">
      <c r="A27" s="851"/>
      <c r="B27" s="640"/>
      <c r="C27" s="641"/>
      <c r="D27" s="640"/>
      <c r="E27" s="641"/>
      <c r="F27" s="640"/>
      <c r="G27" s="641"/>
      <c r="H27" s="640"/>
      <c r="I27" s="641"/>
      <c r="J27" s="640"/>
      <c r="K27" s="641"/>
      <c r="L27" s="640"/>
      <c r="M27" s="641"/>
      <c r="N27" s="640"/>
      <c r="O27" s="641"/>
      <c r="P27" s="640"/>
      <c r="Q27" s="641"/>
      <c r="R27" s="640"/>
      <c r="S27" s="641"/>
      <c r="T27" s="640"/>
      <c r="U27" s="641"/>
      <c r="V27" s="640"/>
      <c r="W27" s="641"/>
      <c r="X27" s="640"/>
      <c r="Y27" s="641"/>
      <c r="Z27" s="640"/>
      <c r="AA27" s="641"/>
      <c r="AB27" s="640"/>
      <c r="AC27" s="641"/>
      <c r="AD27" s="640"/>
      <c r="AE27" s="641"/>
      <c r="AF27" s="640"/>
      <c r="AG27" s="641"/>
      <c r="AH27" s="640"/>
      <c r="AI27" s="641"/>
      <c r="AJ27" s="640"/>
      <c r="AK27" s="641"/>
      <c r="AL27" s="640"/>
      <c r="AM27" s="641"/>
      <c r="AN27" s="640"/>
      <c r="AO27" s="641"/>
      <c r="AP27" s="640"/>
      <c r="AQ27" s="641"/>
      <c r="AR27" s="640"/>
      <c r="AS27" s="641"/>
      <c r="AT27" s="640"/>
      <c r="AU27" s="641"/>
      <c r="AV27" s="640"/>
      <c r="AW27" s="641"/>
      <c r="AX27" s="640"/>
      <c r="AY27" s="641"/>
      <c r="AZ27" s="640"/>
      <c r="BA27" s="641"/>
      <c r="BB27" s="640"/>
      <c r="BC27" s="641"/>
      <c r="BD27" s="640"/>
      <c r="BE27" s="641"/>
      <c r="BF27" s="640"/>
      <c r="BG27" s="641"/>
      <c r="BH27" s="640"/>
      <c r="BI27" s="641"/>
      <c r="BJ27" s="640"/>
      <c r="BK27" s="641"/>
      <c r="BL27" s="640"/>
      <c r="BM27" s="641"/>
      <c r="BN27" s="640"/>
      <c r="BO27" s="641"/>
      <c r="BP27" s="640"/>
      <c r="BQ27" s="641"/>
      <c r="BR27" s="640"/>
      <c r="BS27" s="641"/>
      <c r="BT27" s="640"/>
      <c r="BU27" s="641"/>
      <c r="BV27" s="640"/>
      <c r="BW27" s="641"/>
      <c r="BX27" s="640"/>
      <c r="BY27" s="641"/>
      <c r="BZ27" s="640"/>
      <c r="CA27" s="641"/>
      <c r="CB27" s="640"/>
      <c r="CC27" s="641"/>
      <c r="CD27" s="640"/>
      <c r="CE27" s="641"/>
      <c r="CF27" s="640"/>
      <c r="CG27" s="641"/>
      <c r="CH27" s="640"/>
      <c r="CI27" s="641"/>
      <c r="CJ27" s="640"/>
      <c r="CK27" s="641"/>
      <c r="CL27" s="640"/>
      <c r="CM27" s="641"/>
      <c r="CN27" s="640"/>
      <c r="CO27" s="641"/>
      <c r="CP27" s="640"/>
      <c r="CQ27" s="641"/>
      <c r="CR27" s="640"/>
      <c r="CS27" s="641"/>
      <c r="CT27" s="640"/>
      <c r="CU27" s="641"/>
      <c r="CV27" s="640"/>
      <c r="CW27" s="641"/>
      <c r="CX27" s="640"/>
      <c r="CY27" s="641"/>
      <c r="CZ27" s="640"/>
      <c r="DA27" s="641"/>
      <c r="DB27" s="640"/>
      <c r="DC27" s="640"/>
      <c r="DD27" s="641"/>
      <c r="DE27" s="640"/>
      <c r="DF27" s="641"/>
      <c r="DG27" s="640"/>
      <c r="DH27" s="641"/>
      <c r="DI27" s="640"/>
      <c r="DJ27" s="641"/>
      <c r="DK27" s="640"/>
      <c r="DL27" s="641"/>
      <c r="DM27" s="640"/>
      <c r="DN27" s="641"/>
      <c r="DO27" s="640"/>
      <c r="DP27" s="641"/>
      <c r="DQ27" s="640"/>
      <c r="DR27" s="641"/>
      <c r="DS27" s="640"/>
      <c r="DT27" s="641"/>
      <c r="DU27" s="640"/>
      <c r="DV27" s="641"/>
      <c r="DW27" s="640"/>
      <c r="DX27" s="641"/>
      <c r="DY27" s="640"/>
      <c r="DZ27" s="641"/>
      <c r="EA27" s="640"/>
      <c r="EB27" s="641"/>
      <c r="EC27" s="640"/>
      <c r="ED27" s="641"/>
      <c r="EE27" s="640"/>
      <c r="EF27" s="641"/>
      <c r="EG27" s="640"/>
      <c r="EH27" s="641"/>
      <c r="EI27" s="640"/>
      <c r="EJ27" s="641"/>
      <c r="EK27" s="640"/>
      <c r="EL27" s="641"/>
      <c r="EM27" s="852"/>
      <c r="EN27" s="638"/>
      <c r="EO27" s="638"/>
      <c r="EP27" s="638"/>
      <c r="EQ27" s="638"/>
      <c r="ER27" s="638"/>
      <c r="ES27" s="638"/>
      <c r="ET27" s="638"/>
      <c r="EU27" s="638"/>
      <c r="EV27" s="638"/>
    </row>
    <row r="28" spans="1:162" ht="12.75" customHeight="1" x14ac:dyDescent="0.2">
      <c r="A28" s="851" t="str">
        <f>INPUT!B611</f>
        <v>Average Shares (FD)</v>
      </c>
      <c r="B28" s="650">
        <f>INPUT!AY611</f>
        <v>177.9</v>
      </c>
      <c r="C28" s="641">
        <f>INPUT!AZ611</f>
        <v>0.7361268403170973</v>
      </c>
      <c r="D28" s="650">
        <f>INPUT!BA611</f>
        <v>282.60000000000002</v>
      </c>
      <c r="E28" s="641">
        <f>INPUT!BB611</f>
        <v>61.117445838084386</v>
      </c>
      <c r="F28" s="650">
        <f>INPUT!BC611</f>
        <v>282.39999999999998</v>
      </c>
      <c r="G28" s="641">
        <f>INPUT!BD611</f>
        <v>60.637087599544913</v>
      </c>
      <c r="H28" s="650">
        <f>INPUT!BE611</f>
        <v>280.39999999999998</v>
      </c>
      <c r="I28" s="641">
        <f>INPUT!BF611</f>
        <v>58.776896942242352</v>
      </c>
      <c r="J28" s="650">
        <f>INPUT!BG611</f>
        <v>279.5</v>
      </c>
      <c r="K28" s="641">
        <f>INPUT!BH611</f>
        <v>57.110736368746487</v>
      </c>
      <c r="L28" s="650">
        <f>INPUT!BI611</f>
        <v>274.39999999999998</v>
      </c>
      <c r="M28" s="641">
        <f>INPUT!BJ611</f>
        <v>-2.9016277423920878</v>
      </c>
      <c r="N28" s="650">
        <f>INPUT!BK611</f>
        <v>272.5</v>
      </c>
      <c r="O28" s="641">
        <f>INPUT!BL611</f>
        <v>-3.5056657223795917</v>
      </c>
      <c r="P28" s="650">
        <f>INPUT!BM611</f>
        <v>269.39999999999998</v>
      </c>
      <c r="Q28" s="641">
        <f>INPUT!BN611</f>
        <v>-3.9229671897289542</v>
      </c>
      <c r="R28" s="650">
        <f>INPUT!BO611</f>
        <v>262.8</v>
      </c>
      <c r="S28" s="641">
        <f>INPUT!BP611</f>
        <v>-5.9749552772808574</v>
      </c>
      <c r="T28" s="650">
        <f>INPUT!BQ611</f>
        <v>259.60000000000002</v>
      </c>
      <c r="U28" s="641">
        <f>INPUT!BR611</f>
        <v>-5.393586005830886</v>
      </c>
      <c r="V28" s="650">
        <f>INPUT!BS611</f>
        <v>257.64499999999998</v>
      </c>
      <c r="W28" s="641">
        <f>INPUT!BT611</f>
        <v>-5.4513761467890003</v>
      </c>
      <c r="X28" s="650">
        <f>INPUT!BU611</f>
        <v>257.60000000000002</v>
      </c>
      <c r="Y28" s="641">
        <f>INPUT!BV611</f>
        <v>-4.3801039346696218</v>
      </c>
      <c r="Z28" s="650">
        <f>INPUT!BW611</f>
        <v>257.8</v>
      </c>
      <c r="AA28" s="641">
        <f>INPUT!BX611</f>
        <v>-1.9025875190258779</v>
      </c>
      <c r="AB28" s="650">
        <f>INPUT!BY611</f>
        <v>262.39999999999998</v>
      </c>
      <c r="AC28" s="641">
        <f>INPUT!BZ611</f>
        <v>1.0785824345146189</v>
      </c>
      <c r="AD28" s="650">
        <f>INPUT!CA611</f>
        <v>310</v>
      </c>
      <c r="AE28" s="641">
        <f>INPUT!CB611</f>
        <v>20.320596169147475</v>
      </c>
      <c r="AF28" s="650">
        <f>INPUT!CC611</f>
        <v>311.60000000000002</v>
      </c>
      <c r="AG28" s="641">
        <f>INPUT!CD611</f>
        <v>20.962732919254655</v>
      </c>
      <c r="AH28" s="650">
        <f>INPUT!CE611</f>
        <v>312.08</v>
      </c>
      <c r="AI28" s="641">
        <f>INPUT!CF611</f>
        <v>21.05508145849495</v>
      </c>
      <c r="AJ28" s="650">
        <f>INPUT!CG611</f>
        <v>314.60000000000002</v>
      </c>
      <c r="AK28" s="641">
        <f>INPUT!CH611</f>
        <v>19.893292682926855</v>
      </c>
      <c r="AL28" s="650">
        <f>INPUT!CI611</f>
        <v>325.7</v>
      </c>
      <c r="AM28" s="641">
        <f>INPUT!CJ611</f>
        <v>5.0645161290322482</v>
      </c>
      <c r="AN28" s="650">
        <f>INPUT!CK611</f>
        <v>323.39999999999998</v>
      </c>
      <c r="AO28" s="641">
        <f>INPUT!CL611</f>
        <v>3.7869062901155104</v>
      </c>
      <c r="AP28" s="650">
        <f>INPUT!CM611</f>
        <v>322.89999999999998</v>
      </c>
      <c r="AQ28" s="641">
        <f>INPUT!CN611</f>
        <v>3.4670597282747906</v>
      </c>
      <c r="AR28" s="650">
        <f>INPUT!CO611</f>
        <v>320.09999999999997</v>
      </c>
      <c r="AS28" s="641">
        <f>INPUT!CP611</f>
        <v>1.7482517482517279</v>
      </c>
      <c r="AT28" s="650">
        <f>INPUT!CQ611</f>
        <v>312</v>
      </c>
      <c r="AU28" s="641">
        <f>INPUT!CR611</f>
        <v>-4.2063248388087171</v>
      </c>
      <c r="AV28" s="650">
        <f>INPUT!CS611</f>
        <v>303.39999999999998</v>
      </c>
      <c r="AW28" s="641">
        <f>INPUT!CT611</f>
        <v>-6.1842918985776096</v>
      </c>
      <c r="AX28" s="650">
        <f>INPUT!CU611</f>
        <v>295.89999999999998</v>
      </c>
      <c r="AY28" s="641">
        <f>INPUT!CV611</f>
        <v>-8.3617218953236261</v>
      </c>
      <c r="AZ28" s="650">
        <f>INPUT!CW611</f>
        <v>290</v>
      </c>
      <c r="BA28" s="641">
        <f>INPUT!CX611</f>
        <v>-9.4033114651671301</v>
      </c>
      <c r="BB28" s="650">
        <f>INPUT!CY611</f>
        <v>284.7</v>
      </c>
      <c r="BC28" s="641">
        <f>INPUT!CZ611</f>
        <v>-8.7500000000000018</v>
      </c>
      <c r="BD28" s="650">
        <f>INPUT!DA611</f>
        <v>281.10000000000002</v>
      </c>
      <c r="BE28" s="641">
        <f>INPUT!DB611</f>
        <v>-7.3500329597890435</v>
      </c>
      <c r="BF28" s="650">
        <f>INPUT!DC611</f>
        <v>278.60000000000002</v>
      </c>
      <c r="BG28" s="641">
        <f>INPUT!DD611</f>
        <v>-5.8465697870902167</v>
      </c>
      <c r="BH28" s="650">
        <f>INPUT!DE611</f>
        <v>275.7</v>
      </c>
      <c r="BI28" s="641">
        <f>INPUT!DF611</f>
        <v>-4.9310344827586228</v>
      </c>
      <c r="BJ28" s="650">
        <f>INPUT!DG611</f>
        <v>273.7</v>
      </c>
      <c r="BK28" s="641">
        <f>INPUT!DH611</f>
        <v>-3.863716192483313</v>
      </c>
      <c r="BL28" s="650">
        <f>INPUT!DI611</f>
        <v>272.8</v>
      </c>
      <c r="BM28" s="641">
        <f>INPUT!DJ611</f>
        <v>-2.9526858769121311</v>
      </c>
      <c r="BN28" s="650">
        <f>INPUT!DK611</f>
        <v>272.10000000000002</v>
      </c>
      <c r="BO28" s="641">
        <f>INPUT!DL611</f>
        <v>-2.3330940416367518</v>
      </c>
      <c r="BP28" s="650">
        <f>INPUT!DM611</f>
        <v>268.89999999999998</v>
      </c>
      <c r="BQ28" s="641">
        <f>INPUT!DN611</f>
        <v>-2.4664490388103033</v>
      </c>
      <c r="BR28" s="650">
        <f>INPUT!DO611</f>
        <v>266.8</v>
      </c>
      <c r="BS28" s="641">
        <f>INPUT!DP611</f>
        <v>-2.5210084033613356</v>
      </c>
      <c r="BT28" s="650">
        <f>INPUT!DQ611</f>
        <v>263</v>
      </c>
      <c r="BU28" s="641">
        <f>INPUT!DR611</f>
        <v>-3.5923753665689229</v>
      </c>
      <c r="BV28" s="650">
        <f>INPUT!DS611</f>
        <v>260.60000000000002</v>
      </c>
      <c r="BW28" s="641">
        <f>INPUT!DT611</f>
        <v>-4.2263873575891235</v>
      </c>
      <c r="BX28" s="650">
        <f>INPUT!DU611</f>
        <v>254.9</v>
      </c>
      <c r="BY28" s="641">
        <f>INPUT!DV611</f>
        <v>-5.2063964298995842</v>
      </c>
      <c r="BZ28" s="650">
        <f>INPUT!DW611</f>
        <v>253.2</v>
      </c>
      <c r="CA28" s="641">
        <f>INPUT!DX611</f>
        <v>253.2</v>
      </c>
      <c r="CB28" s="650">
        <f>INPUT!DY611</f>
        <v>248.9</v>
      </c>
      <c r="CC28" s="641">
        <f>INPUT!DZ611</f>
        <v>-5.3612167300380209</v>
      </c>
      <c r="CD28" s="650">
        <f>INPUT!EA611</f>
        <v>245.1</v>
      </c>
      <c r="CE28" s="641">
        <f>INPUT!EB611</f>
        <v>-5.9478127398311713</v>
      </c>
      <c r="CF28" s="650">
        <f>INPUT!EC611</f>
        <v>239.9</v>
      </c>
      <c r="CG28" s="641">
        <f>INPUT!ED611</f>
        <v>-5.8846606512357731</v>
      </c>
      <c r="CH28" s="650">
        <f>INPUT!EE611</f>
        <v>233.6</v>
      </c>
      <c r="CI28" s="641">
        <f>INPUT!EF611</f>
        <v>-7.7409162717219537</v>
      </c>
      <c r="CJ28" s="650">
        <f>INPUT!EG611</f>
        <v>230.9</v>
      </c>
      <c r="CK28" s="641">
        <f>INPUT!EH611</f>
        <v>-7.2318200080353501</v>
      </c>
      <c r="CL28" s="650">
        <f>INPUT!EI611</f>
        <v>230.1</v>
      </c>
      <c r="CM28" s="641">
        <f>INPUT!EJ611</f>
        <v>-6.1199510403916797</v>
      </c>
      <c r="CN28" s="650">
        <f>INPUT!EK611</f>
        <v>227.15</v>
      </c>
      <c r="CO28" s="641">
        <f>INPUT!EL611</f>
        <v>-5.3147144643601489</v>
      </c>
      <c r="CP28" s="650">
        <f>INPUT!EM611</f>
        <v>223.9</v>
      </c>
      <c r="CQ28" s="641">
        <f>INPUT!EN611</f>
        <v>-4.1523972602739656</v>
      </c>
      <c r="CR28" s="650">
        <f>INPUT!EO611</f>
        <v>221.9</v>
      </c>
      <c r="CS28" s="641">
        <f>INPUT!EP611</f>
        <v>-3.8977912516240831</v>
      </c>
      <c r="CT28" s="650">
        <f>INPUT!EQ611</f>
        <v>221.3</v>
      </c>
      <c r="CU28" s="641">
        <f>INPUT!ER611</f>
        <v>-3.8244241634072029</v>
      </c>
      <c r="CV28" s="650">
        <f>INPUT!ES611</f>
        <v>221.3</v>
      </c>
      <c r="CW28" s="641">
        <f>INPUT!ET611</f>
        <v>-2.5753907109839269</v>
      </c>
      <c r="CX28" s="650">
        <f>INPUT!EU611</f>
        <v>220.80731694359022</v>
      </c>
      <c r="CY28" s="641">
        <f>INPUT!EV611</f>
        <v>-1.3812787210405464</v>
      </c>
      <c r="CZ28" s="650">
        <f>INPUT!EW611</f>
        <v>219.8316322187685</v>
      </c>
      <c r="DA28" s="641">
        <f>INPUT!EX611</f>
        <v>-0.93211707130756993</v>
      </c>
      <c r="DB28" s="640"/>
      <c r="DC28" s="650">
        <f>INPUT!FP611</f>
        <v>176.1</v>
      </c>
      <c r="DD28" s="641">
        <f>INPUT!FQ611</f>
        <v>-8.909866804603638</v>
      </c>
      <c r="DE28" s="650">
        <f>INPUT!FR611</f>
        <v>255.82499999999999</v>
      </c>
      <c r="DF28" s="641">
        <f>INPUT!FS611</f>
        <v>45.272572402044297</v>
      </c>
      <c r="DG28" s="650">
        <f>INPUT!FT611</f>
        <v>273.95</v>
      </c>
      <c r="DH28" s="641">
        <f>INPUT!FU611</f>
        <v>7.084921332942451</v>
      </c>
      <c r="DI28" s="650">
        <f>INPUT!FV611</f>
        <v>259.41125</v>
      </c>
      <c r="DJ28" s="641">
        <f>INPUT!FW611</f>
        <v>-5.3070815842306995</v>
      </c>
      <c r="DK28" s="650">
        <f>INPUT!FX611</f>
        <v>285.45000000000005</v>
      </c>
      <c r="DL28" s="641">
        <f>INPUT!FY611</f>
        <v>10.037633294623905</v>
      </c>
      <c r="DM28" s="650">
        <f>INPUT!FZ611</f>
        <v>318.94500000000005</v>
      </c>
      <c r="DN28" s="641">
        <f>INPUT!GA611</f>
        <v>11.734104046242777</v>
      </c>
      <c r="DO28" s="650">
        <f>INPUT!GB611</f>
        <v>315</v>
      </c>
      <c r="DP28" s="641">
        <f>INPUT!GC611</f>
        <v>-1.2368903729483294</v>
      </c>
      <c r="DQ28" s="650">
        <f>INPUT!GD611</f>
        <v>287.60000000000002</v>
      </c>
      <c r="DR28" s="641">
        <f>INPUT!GE611</f>
        <v>-8.6984126984126942</v>
      </c>
      <c r="DS28" s="650">
        <f>INPUT!GF611</f>
        <v>275.2</v>
      </c>
      <c r="DT28" s="641">
        <f>INPUT!GG611</f>
        <v>-4.3115438108484172</v>
      </c>
      <c r="DU28" s="650">
        <f>INPUT!GH611</f>
        <v>268</v>
      </c>
      <c r="DV28" s="641">
        <f>INPUT!GI611</f>
        <v>-2.6162790697674354</v>
      </c>
      <c r="DW28" s="650">
        <f>INPUT!GJ611</f>
        <v>254.4</v>
      </c>
      <c r="DX28" s="641">
        <f>INPUT!GK611</f>
        <v>-5.0746268656716387</v>
      </c>
      <c r="DY28" s="650">
        <f>INPUT!GL611</f>
        <v>237.375</v>
      </c>
      <c r="DZ28" s="641">
        <f>INPUT!GM611</f>
        <v>-6.6922169811320824</v>
      </c>
      <c r="EA28" s="650">
        <f>INPUT!GN611</f>
        <v>225.76249999999999</v>
      </c>
      <c r="EB28" s="641">
        <f>INPUT!GO611</f>
        <v>-4.8920484465508229</v>
      </c>
      <c r="EC28" s="650">
        <f>INPUT!GP611</f>
        <v>220.80973729058968</v>
      </c>
      <c r="ED28" s="641">
        <f>INPUT!GQ611</f>
        <v>-2.1937933489442729</v>
      </c>
      <c r="EE28" s="650">
        <f>INPUT!GR611</f>
        <v>217.02037471840566</v>
      </c>
      <c r="EF28" s="641">
        <f>INPUT!GS611</f>
        <v>-1.7161211360879225</v>
      </c>
      <c r="EG28" s="650">
        <f>INPUT!GT611</f>
        <v>212.37609765889641</v>
      </c>
      <c r="EH28" s="641">
        <f>INPUT!GU611</f>
        <v>-2.1400189109135104</v>
      </c>
      <c r="EI28" s="650">
        <f>INPUT!GV611</f>
        <v>206.96280534855109</v>
      </c>
      <c r="EJ28" s="641">
        <f>INPUT!GW611</f>
        <v>-2.5489178725940143</v>
      </c>
      <c r="EK28" s="650">
        <f>INPUT!GX611</f>
        <v>201.47313616672798</v>
      </c>
      <c r="EL28" s="641">
        <f>INPUT!GY611</f>
        <v>-2.6524907084525706</v>
      </c>
      <c r="EM28" s="852">
        <f>INPUT!GZ611</f>
        <v>-2.2508322968391226</v>
      </c>
      <c r="EN28" s="638"/>
      <c r="EO28" s="638"/>
      <c r="EP28" s="638"/>
      <c r="EQ28" s="638"/>
      <c r="ER28" s="638"/>
      <c r="ES28" s="638"/>
      <c r="ET28" s="638"/>
      <c r="EU28" s="638"/>
      <c r="EV28" s="638"/>
    </row>
    <row r="29" spans="1:162" s="563" customFormat="1" ht="12.75" customHeight="1" x14ac:dyDescent="0.2">
      <c r="A29" s="859" t="str">
        <f>INPUT!B618</f>
        <v>Core Operating EPS</v>
      </c>
      <c r="B29" s="657">
        <f>INPUT!AY618</f>
        <v>1.3881956155143336</v>
      </c>
      <c r="C29" s="658">
        <f>INPUT!AZ618</f>
        <v>17.556821023981371</v>
      </c>
      <c r="D29" s="657">
        <f>INPUT!BA618</f>
        <v>1.0419674451521583</v>
      </c>
      <c r="E29" s="658">
        <f>INPUT!BB618</f>
        <v>-6.2104710079961105</v>
      </c>
      <c r="F29" s="657">
        <f>INPUT!BC618</f>
        <v>1.1570821529745046</v>
      </c>
      <c r="G29" s="658">
        <f>INPUT!BD618</f>
        <v>-2.9813882589842966</v>
      </c>
      <c r="H29" s="657">
        <f>INPUT!BE618</f>
        <v>1.199928673323823</v>
      </c>
      <c r="I29" s="658">
        <f>INPUT!BF618</f>
        <v>-17.460648641989941</v>
      </c>
      <c r="J29" s="657">
        <f>INPUT!BG618</f>
        <v>1.1606440071556354</v>
      </c>
      <c r="K29" s="658">
        <f>INPUT!BH618</f>
        <v>-16.391897929629252</v>
      </c>
      <c r="L29" s="657">
        <f>INPUT!BI618</f>
        <v>1.1833090379008748</v>
      </c>
      <c r="M29" s="658">
        <f>INPUT!BJ618</f>
        <v>13.564876081908327</v>
      </c>
      <c r="N29" s="657">
        <f>INPUT!BK618</f>
        <v>1.2304587155963302</v>
      </c>
      <c r="O29" s="658">
        <f>INPUT!BL618</f>
        <v>6.3415171025840378</v>
      </c>
      <c r="P29" s="657">
        <f>INPUT!BM618</f>
        <v>1.3233110616184107</v>
      </c>
      <c r="Q29" s="658">
        <f>INPUT!BN618</f>
        <v>10.28247687029733</v>
      </c>
      <c r="R29" s="657">
        <f>INPUT!BO618</f>
        <v>1.1586757990867584</v>
      </c>
      <c r="S29" s="658">
        <f>INPUT!BP618</f>
        <v>-0.16957896277778328</v>
      </c>
      <c r="T29" s="657">
        <f>INPUT!BQ618</f>
        <v>1.1887519260400619</v>
      </c>
      <c r="U29" s="658">
        <f>INPUT!BR618</f>
        <v>0.45997182180255169</v>
      </c>
      <c r="V29" s="657">
        <f>INPUT!BS618</f>
        <v>1.2226125094606926</v>
      </c>
      <c r="W29" s="658">
        <f>INPUT!BT618</f>
        <v>-0.63766512733709479</v>
      </c>
      <c r="X29" s="657">
        <f>INPUT!BU618</f>
        <v>0.83035714285714224</v>
      </c>
      <c r="Y29" s="658">
        <f>INPUT!BV618</f>
        <v>-37.251552795031074</v>
      </c>
      <c r="Z29" s="657">
        <f>INPUT!BW618</f>
        <v>0.75833979829325082</v>
      </c>
      <c r="AA29" s="658">
        <f>INPUT!BX618</f>
        <v>-34.551166176858381</v>
      </c>
      <c r="AB29" s="657">
        <f>INPUT!BY618</f>
        <v>0.79001524390243971</v>
      </c>
      <c r="AC29" s="658">
        <f>INPUT!BZ618</f>
        <v>-33.542463604318442</v>
      </c>
      <c r="AD29" s="657">
        <f>INPUT!CA618</f>
        <v>0.79099999999999959</v>
      </c>
      <c r="AE29" s="658">
        <f>INPUT!CB618</f>
        <v>-35.302477777777838</v>
      </c>
      <c r="AF29" s="657">
        <f>INPUT!CC618</f>
        <v>0.90340179717586644</v>
      </c>
      <c r="AG29" s="658">
        <f>INPUT!CD618</f>
        <v>8.7967755738678655</v>
      </c>
      <c r="AH29" s="657">
        <f>INPUT!CE618</f>
        <v>0.84850038451679077</v>
      </c>
      <c r="AI29" s="658">
        <f>INPUT!CF618</f>
        <v>11.889206715308752</v>
      </c>
      <c r="AJ29" s="657">
        <f>INPUT!CG618</f>
        <v>0.86586141131595684</v>
      </c>
      <c r="AK29" s="658">
        <f>INPUT!CH618</f>
        <v>9.6005954314070774</v>
      </c>
      <c r="AL29" s="657">
        <f>INPUT!CI618</f>
        <v>0.86152901443045737</v>
      </c>
      <c r="AM29" s="658">
        <f>INPUT!CJ618</f>
        <v>8.9164367168720347</v>
      </c>
      <c r="AN29" s="657">
        <f>INPUT!CK618</f>
        <v>0.92022263450834818</v>
      </c>
      <c r="AO29" s="658">
        <f>INPUT!CL618</f>
        <v>1.8619441963770189</v>
      </c>
      <c r="AP29" s="657">
        <f>INPUT!CM618</f>
        <v>0.85444410034066343</v>
      </c>
      <c r="AQ29" s="658">
        <f>INPUT!CN618</f>
        <v>0.70049653863828443</v>
      </c>
      <c r="AR29" s="657">
        <f>INPUT!CO618</f>
        <v>0.9087785067166505</v>
      </c>
      <c r="AS29" s="658">
        <f>INPUT!CP618</f>
        <v>4.9565779049406178</v>
      </c>
      <c r="AT29" s="657">
        <f>INPUT!CQ618</f>
        <v>1.0028846153846152</v>
      </c>
      <c r="AU29" s="658">
        <f>INPUT!CR618</f>
        <v>16.407526454301212</v>
      </c>
      <c r="AV29" s="657">
        <f>INPUT!CS618</f>
        <v>0.92287409360580097</v>
      </c>
      <c r="AW29" s="658">
        <f>INPUT!CT618</f>
        <v>0.2881323495014243</v>
      </c>
      <c r="AX29" s="657">
        <f>INPUT!CU618</f>
        <v>0.9901993916863806</v>
      </c>
      <c r="AY29" s="658">
        <f>INPUT!CV618</f>
        <v>15.88814192661545</v>
      </c>
      <c r="AZ29" s="657">
        <f>INPUT!CW618</f>
        <v>1.0172413793103448</v>
      </c>
      <c r="BA29" s="658">
        <f>INPUT!CX618</f>
        <v>11.935017365844459</v>
      </c>
      <c r="BB29" s="657">
        <f>INPUT!CY618</f>
        <v>1.152089919213207</v>
      </c>
      <c r="BC29" s="658">
        <f>INPUT!CZ618</f>
        <v>14.877614188085865</v>
      </c>
      <c r="BD29" s="657">
        <f>INPUT!DA618</f>
        <v>1.0743507648523656</v>
      </c>
      <c r="BE29" s="658">
        <f>INPUT!DB618</f>
        <v>16.41357930578846</v>
      </c>
      <c r="BF29" s="657">
        <f>INPUT!DC618</f>
        <v>1.0714213926776739</v>
      </c>
      <c r="BG29" s="658">
        <f>INPUT!DD618</f>
        <v>8.202590475537086</v>
      </c>
      <c r="BH29" s="657">
        <f>INPUT!DE618</f>
        <v>1.2042074718897353</v>
      </c>
      <c r="BI29" s="658">
        <f>INPUT!DF618</f>
        <v>18.379717575601106</v>
      </c>
      <c r="BJ29" s="657">
        <f>INPUT!DG618</f>
        <v>1.2385823894775303</v>
      </c>
      <c r="BK29" s="658">
        <f>INPUT!DH618</f>
        <v>7.5074409403209863</v>
      </c>
      <c r="BL29" s="657">
        <f>INPUT!DI618</f>
        <v>1.3086510263929618</v>
      </c>
      <c r="BM29" s="658">
        <f>INPUT!DJ618</f>
        <v>21.808544211609803</v>
      </c>
      <c r="BN29" s="657">
        <f>INPUT!DK618</f>
        <v>1.3377434766629914</v>
      </c>
      <c r="BO29" s="658">
        <f>INPUT!DL618</f>
        <v>24.85689438398564</v>
      </c>
      <c r="BP29" s="657">
        <f>INPUT!DM618</f>
        <v>1.4298995909259948</v>
      </c>
      <c r="BQ29" s="658">
        <f>INPUT!DN618</f>
        <v>18.741963017559261</v>
      </c>
      <c r="BR29" s="657">
        <f>INPUT!DO618</f>
        <v>1.5142428785607196</v>
      </c>
      <c r="BS29" s="658">
        <f>INPUT!DP618</f>
        <v>22.256128572881686</v>
      </c>
      <c r="BT29" s="657">
        <f>INPUT!DQ618</f>
        <v>1.4714828897338403</v>
      </c>
      <c r="BU29" s="658">
        <f>INPUT!DR618</f>
        <v>12.442726139885618</v>
      </c>
      <c r="BV29" s="657">
        <f>INPUT!DS618</f>
        <v>1.3507290867229469</v>
      </c>
      <c r="BW29" s="658">
        <f>INPUT!DT618</f>
        <v>0.97071002673458917</v>
      </c>
      <c r="BX29" s="657">
        <f>INPUT!DU618</f>
        <v>1.4868575912122401</v>
      </c>
      <c r="BY29" s="658">
        <f>INPUT!DV618</f>
        <v>3.9833566390042652</v>
      </c>
      <c r="BZ29" s="657">
        <f>INPUT!DW618</f>
        <v>1.6646919431279621</v>
      </c>
      <c r="CA29" s="658">
        <f>INPUT!DX618</f>
        <v>1.6646919431279621</v>
      </c>
      <c r="CB29" s="657">
        <f>INPUT!DY618</f>
        <v>1.5349999999999999</v>
      </c>
      <c r="CC29" s="658">
        <f>INPUT!DZ618</f>
        <v>4.3165374677002433</v>
      </c>
      <c r="CD29" s="657">
        <f>INPUT!EA618</f>
        <v>1.4770000000000001</v>
      </c>
      <c r="CE29" s="658">
        <f>INPUT!EB618</f>
        <v>9.3483522727273005</v>
      </c>
      <c r="CF29" s="657">
        <f>INPUT!EC618</f>
        <v>1.5549999999999999</v>
      </c>
      <c r="CG29" s="658">
        <f>INPUT!ED618</f>
        <v>4.5829815303429999</v>
      </c>
      <c r="CH29" s="657">
        <f>INPUT!EE618</f>
        <v>1.748</v>
      </c>
      <c r="CI29" s="658">
        <f>INPUT!EF618</f>
        <v>5.0044128113879038</v>
      </c>
      <c r="CJ29" s="657">
        <f>INPUT!EG618</f>
        <v>1.7709999999999999</v>
      </c>
      <c r="CK29" s="658">
        <f>INPUT!EH618</f>
        <v>15.374592833876211</v>
      </c>
      <c r="CL29" s="657">
        <f>INPUT!EI618</f>
        <v>1.73</v>
      </c>
      <c r="CM29" s="658">
        <f>INPUT!EJ618</f>
        <v>17.129316181448885</v>
      </c>
      <c r="CN29" s="657">
        <f>INPUT!EK618</f>
        <v>1.845</v>
      </c>
      <c r="CO29" s="658">
        <f>INPUT!EL618</f>
        <v>18.649517684887474</v>
      </c>
      <c r="CP29" s="657">
        <f>INPUT!EM618</f>
        <v>1.9359999999999999</v>
      </c>
      <c r="CQ29" s="658">
        <f>INPUT!EN618</f>
        <v>10.755148741418763</v>
      </c>
      <c r="CR29" s="657">
        <f>INPUT!EO618</f>
        <v>1.9830000000000001</v>
      </c>
      <c r="CS29" s="658">
        <f>INPUT!EP618</f>
        <v>11.970638057594595</v>
      </c>
      <c r="CT29" s="657">
        <f>INPUT!EQ618</f>
        <v>1.9566895243625559</v>
      </c>
      <c r="CU29" s="658">
        <f>INPUT!ER618</f>
        <v>13.103440714598612</v>
      </c>
      <c r="CV29" s="657">
        <f>INPUT!ES618</f>
        <v>2.0807014003898203</v>
      </c>
      <c r="CW29" s="658">
        <f>INPUT!ET618</f>
        <v>12.775143652564779</v>
      </c>
      <c r="CX29" s="657">
        <f>INPUT!EU618</f>
        <v>2.1699323895505249</v>
      </c>
      <c r="CY29" s="658">
        <f>INPUT!EV618</f>
        <v>12.083284584221321</v>
      </c>
      <c r="CZ29" s="657">
        <f>INPUT!EW618</f>
        <v>2.2408646967070514</v>
      </c>
      <c r="DA29" s="658">
        <f>INPUT!EX618</f>
        <v>13.003766853608223</v>
      </c>
      <c r="DB29" s="659"/>
      <c r="DC29" s="657">
        <f>INPUT!FP618</f>
        <v>4.939273140261216</v>
      </c>
      <c r="DD29" s="658">
        <f>INPUT!FQ618</f>
        <v>47.916920007669226</v>
      </c>
      <c r="DE29" s="657">
        <f>INPUT!FR618</f>
        <v>4.7088439362845698</v>
      </c>
      <c r="DF29" s="658">
        <f>INPUT!FS618</f>
        <v>-4.6652452179322008</v>
      </c>
      <c r="DG29" s="657">
        <f>INPUT!FT618</f>
        <v>4.894688811826974</v>
      </c>
      <c r="DH29" s="658">
        <f>INPUT!FU618</f>
        <v>3.946719790612585</v>
      </c>
      <c r="DI29" s="657">
        <f>INPUT!FV618</f>
        <v>4.4022763083713619</v>
      </c>
      <c r="DJ29" s="658">
        <f>INPUT!FW618</f>
        <v>-10.060139109677458</v>
      </c>
      <c r="DK29" s="657">
        <f>INPUT!FX618</f>
        <v>3.2562970747941851</v>
      </c>
      <c r="DL29" s="658">
        <f>INPUT!FY618</f>
        <v>-26.031515363948976</v>
      </c>
      <c r="DM29" s="657">
        <f>INPUT!FZ618</f>
        <v>3.4971546818416943</v>
      </c>
      <c r="DN29" s="658">
        <f>INPUT!GA618</f>
        <v>7.3966717874698995</v>
      </c>
      <c r="DO29" s="657">
        <f>INPUT!GB618</f>
        <v>3.6815873015873026</v>
      </c>
      <c r="DP29" s="658">
        <f>INPUT!GC618</f>
        <v>5.2737907391754657</v>
      </c>
      <c r="DQ29" s="657">
        <f>INPUT!GD618</f>
        <v>4.2350486787204451</v>
      </c>
      <c r="DR29" s="658">
        <f>INPUT!GE618</f>
        <v>15.033227023966521</v>
      </c>
      <c r="DS29" s="657">
        <f>INPUT!GF618</f>
        <v>4.8201235465116286</v>
      </c>
      <c r="DT29" s="658">
        <f>INPUT!GG618</f>
        <v>13.815068306793465</v>
      </c>
      <c r="DU29" s="657">
        <f>INPUT!GH618</f>
        <v>5.7425373134328357</v>
      </c>
      <c r="DV29" s="658">
        <f>INPUT!GI618</f>
        <v>19.136724567750285</v>
      </c>
      <c r="DW29" s="657">
        <f>INPUT!GJ618</f>
        <v>6.0318396226415096</v>
      </c>
      <c r="DX29" s="658">
        <f>INPUT!GK618</f>
        <v>5.037882967376528</v>
      </c>
      <c r="DY29" s="657">
        <f>INPUT!GL618</f>
        <v>6.5394418114797261</v>
      </c>
      <c r="DZ29" s="658">
        <f>INPUT!GM618</f>
        <v>8.4153793965749291</v>
      </c>
      <c r="EA29" s="657">
        <f>INPUT!GN618</f>
        <v>7.4879574774375728</v>
      </c>
      <c r="EB29" s="658">
        <f>INPUT!GO618</f>
        <v>14.504535605665382</v>
      </c>
      <c r="EC29" s="657">
        <f>INPUT!GP618</f>
        <v>8.4472022261282849</v>
      </c>
      <c r="ED29" s="658">
        <f>INPUT!GQ618</f>
        <v>12.810499412971721</v>
      </c>
      <c r="EE29" s="657">
        <f>INPUT!GR618</f>
        <v>9.2031935617236069</v>
      </c>
      <c r="EF29" s="658">
        <f>INPUT!GS618</f>
        <v>8.9496062170376867</v>
      </c>
      <c r="EG29" s="657">
        <f>INPUT!GT618</f>
        <v>10.298755491214671</v>
      </c>
      <c r="EH29" s="658">
        <f>INPUT!GU618</f>
        <v>11.904149599195035</v>
      </c>
      <c r="EI29" s="657">
        <f>INPUT!GV618</f>
        <v>11.097760784447122</v>
      </c>
      <c r="EJ29" s="658">
        <f>INPUT!GW618</f>
        <v>7.7582703455193247</v>
      </c>
      <c r="EK29" s="657">
        <f>INPUT!GX618</f>
        <v>11.999970894221658</v>
      </c>
      <c r="EL29" s="658">
        <f>INPUT!GY618</f>
        <v>8.1296590122841081</v>
      </c>
      <c r="EM29" s="860">
        <f>INPUT!GZ618</f>
        <v>9.8913135571231603</v>
      </c>
    </row>
    <row r="30" spans="1:162" s="561" customFormat="1" ht="12.75" hidden="1" customHeight="1" outlineLevel="1" x14ac:dyDescent="0.2">
      <c r="A30" s="861" t="s">
        <v>50</v>
      </c>
      <c r="B30" s="661"/>
      <c r="C30" s="662"/>
      <c r="D30" s="661"/>
      <c r="E30" s="662"/>
      <c r="F30" s="661"/>
      <c r="G30" s="662"/>
      <c r="H30" s="661"/>
      <c r="I30" s="662"/>
      <c r="J30" s="661"/>
      <c r="K30" s="662"/>
      <c r="L30" s="661"/>
      <c r="M30" s="662"/>
      <c r="N30" s="661"/>
      <c r="O30" s="662"/>
      <c r="P30" s="661"/>
      <c r="Q30" s="662"/>
      <c r="R30" s="661"/>
      <c r="S30" s="662"/>
      <c r="T30" s="661"/>
      <c r="U30" s="662"/>
      <c r="V30" s="661"/>
      <c r="W30" s="662"/>
      <c r="X30" s="661"/>
      <c r="Y30" s="662"/>
      <c r="Z30" s="661"/>
      <c r="AA30" s="662"/>
      <c r="AB30" s="661"/>
      <c r="AC30" s="662"/>
      <c r="AD30" s="661"/>
      <c r="AE30" s="662"/>
      <c r="AF30" s="661"/>
      <c r="AG30" s="662"/>
      <c r="AH30" s="661"/>
      <c r="AI30" s="662"/>
      <c r="AJ30" s="661"/>
      <c r="AK30" s="662"/>
      <c r="AL30" s="661"/>
      <c r="AM30" s="662"/>
      <c r="AN30" s="661"/>
      <c r="AO30" s="662"/>
      <c r="AP30" s="663">
        <f>(AP19/AP71)-AP29</f>
        <v>0</v>
      </c>
      <c r="AQ30" s="662"/>
      <c r="AR30" s="663">
        <f>(AR19/AR71)-AR29</f>
        <v>0</v>
      </c>
      <c r="AS30" s="662"/>
      <c r="AT30" s="663">
        <f>(AT19/AT71)-AT29</f>
        <v>0</v>
      </c>
      <c r="AU30" s="662"/>
      <c r="AV30" s="663">
        <f>(AV19/AV71)-AV29</f>
        <v>0</v>
      </c>
      <c r="AW30" s="662"/>
      <c r="AX30" s="663">
        <f>(AX19/AX71)-AX29</f>
        <v>0</v>
      </c>
      <c r="AY30" s="662"/>
      <c r="AZ30" s="663">
        <f>(AZ19/AZ71)-AZ29</f>
        <v>0</v>
      </c>
      <c r="BA30" s="662"/>
      <c r="BB30" s="663">
        <f>(BB19/BB71)-BB29</f>
        <v>0</v>
      </c>
      <c r="BC30" s="662"/>
      <c r="BD30" s="663">
        <f>(BD19/BD71)-BD29</f>
        <v>0</v>
      </c>
      <c r="BE30" s="662"/>
      <c r="BF30" s="663">
        <f>(BF19/BF71)-BF29</f>
        <v>0</v>
      </c>
      <c r="BG30" s="662"/>
      <c r="BH30" s="663">
        <f>(BH19/BH71)-BH29</f>
        <v>0</v>
      </c>
      <c r="BI30" s="662"/>
      <c r="BJ30" s="663">
        <f>(BJ19/BJ71)-BJ29</f>
        <v>0</v>
      </c>
      <c r="BK30" s="662"/>
      <c r="BL30" s="663">
        <f>(BL19/BL71)-BL29</f>
        <v>0</v>
      </c>
      <c r="BM30" s="662"/>
      <c r="BN30" s="663">
        <f>(BN19/BN71)-BN29</f>
        <v>0</v>
      </c>
      <c r="BO30" s="662"/>
      <c r="BP30" s="663">
        <f>(BP19/BP71)-BP29</f>
        <v>-1.8594272963925462E-3</v>
      </c>
      <c r="BQ30" s="662"/>
      <c r="BR30" s="663">
        <f>(BR19/BR71)-BR29</f>
        <v>0</v>
      </c>
      <c r="BS30" s="662"/>
      <c r="BT30" s="663">
        <f>(BT19/BT71)-BT29</f>
        <v>0</v>
      </c>
      <c r="BU30" s="662"/>
      <c r="BV30" s="663">
        <f>(BV19/BV71)-BV29</f>
        <v>0</v>
      </c>
      <c r="BW30" s="662"/>
      <c r="BX30" s="663">
        <f>(BX19/BX71)-BX29</f>
        <v>0</v>
      </c>
      <c r="BY30" s="662"/>
      <c r="BZ30" s="663">
        <f>(BZ19/BZ71)-BZ29</f>
        <v>0</v>
      </c>
      <c r="CA30" s="662"/>
      <c r="CB30" s="663">
        <f>(CB19/CB71)-CB29</f>
        <v>-2.4708718360777482E-4</v>
      </c>
      <c r="CC30" s="662"/>
      <c r="CD30" s="663">
        <f>(CD19/CD71)-CD29</f>
        <v>-5.1815585475400994E-5</v>
      </c>
      <c r="CE30" s="662"/>
      <c r="CF30" s="663">
        <f>(CF19/CF71)-CF29</f>
        <v>-1.8549395581479722E-4</v>
      </c>
      <c r="CG30" s="662"/>
      <c r="CH30" s="663">
        <f>(CH19/CH71)-CH29</f>
        <v>-1.4041095890404698E-4</v>
      </c>
      <c r="CI30" s="662"/>
      <c r="CJ30" s="663">
        <f>(CJ19/CJ71)-CJ29</f>
        <v>3.2957990472071153E-4</v>
      </c>
      <c r="CK30" s="662"/>
      <c r="CL30" s="663">
        <f>(CL19/CL71)-CL29</f>
        <v>-3.1725336810084492E-4</v>
      </c>
      <c r="CM30" s="662"/>
      <c r="CN30" s="663">
        <f t="shared" ref="CN30" si="6">(CN19/CN71)-CN29</f>
        <v>-4.039181157824423E-4</v>
      </c>
      <c r="CO30" s="662"/>
      <c r="CP30" s="663">
        <f t="shared" ref="CP30" si="7">(CP19/CP71)-CP29</f>
        <v>1.3220187583740106E-4</v>
      </c>
      <c r="CQ30" s="662"/>
      <c r="CR30" s="663">
        <f t="shared" ref="CR30" si="8">(CR19/CR71)-CR29</f>
        <v>-1.2483100495730426E-4</v>
      </c>
      <c r="CS30" s="662"/>
      <c r="CT30" s="663">
        <f>(CT19/CT71)-CT29</f>
        <v>0</v>
      </c>
      <c r="CU30" s="662"/>
      <c r="CV30" s="663">
        <f t="shared" ref="CV30" si="9">(CV19/CV71)-CV29</f>
        <v>0</v>
      </c>
      <c r="CW30" s="662"/>
      <c r="CX30" s="663">
        <f t="shared" ref="CX30" si="10">(CX19/CX71)-CX29</f>
        <v>0</v>
      </c>
      <c r="CY30" s="662"/>
      <c r="CZ30" s="663">
        <f t="shared" ref="CZ30" si="11">(CZ19/CZ71)-CZ29</f>
        <v>0</v>
      </c>
      <c r="DA30" s="662"/>
      <c r="DB30" s="664"/>
      <c r="DC30" s="664"/>
      <c r="DD30" s="662"/>
      <c r="DE30" s="661"/>
      <c r="DF30" s="662"/>
      <c r="DG30" s="661"/>
      <c r="DH30" s="662"/>
      <c r="DI30" s="661"/>
      <c r="DJ30" s="662"/>
      <c r="DK30" s="661"/>
      <c r="DL30" s="662"/>
      <c r="DM30" s="661"/>
      <c r="DN30" s="662"/>
      <c r="DO30" s="663">
        <f>(DO19/DO71)-DO29</f>
        <v>0</v>
      </c>
      <c r="DP30" s="662"/>
      <c r="DQ30" s="663">
        <f>(DQ19/DQ71)-DQ29</f>
        <v>0</v>
      </c>
      <c r="DR30" s="662"/>
      <c r="DS30" s="663">
        <f>(DS19/DS71)-DS29</f>
        <v>0</v>
      </c>
      <c r="DT30" s="662"/>
      <c r="DU30" s="663">
        <f>(DU19/DU71)-DU29</f>
        <v>0</v>
      </c>
      <c r="DV30" s="662"/>
      <c r="DW30" s="663">
        <f>(DW19/DW71)-DW29</f>
        <v>0</v>
      </c>
      <c r="DX30" s="662"/>
      <c r="DY30" s="663">
        <f>(DY19/DY71)-DY29</f>
        <v>0</v>
      </c>
      <c r="DZ30" s="662"/>
      <c r="EA30" s="663">
        <f>(EA19/EA71)-EA29</f>
        <v>0</v>
      </c>
      <c r="EB30" s="662"/>
      <c r="EC30" s="663">
        <f>(EC19/EC71)-EC29</f>
        <v>0</v>
      </c>
      <c r="ED30" s="662"/>
      <c r="EE30" s="663">
        <f>(EE19/EE71)-EE29</f>
        <v>0</v>
      </c>
      <c r="EF30" s="662"/>
      <c r="EG30" s="663">
        <f>(EG19/EG71)-EG29</f>
        <v>0</v>
      </c>
      <c r="EH30" s="662"/>
      <c r="EI30" s="663">
        <f>(EI19/EI71)-EI29</f>
        <v>0</v>
      </c>
      <c r="EJ30" s="662"/>
      <c r="EK30" s="663">
        <f>(EK19/EK71)-EK29</f>
        <v>0</v>
      </c>
      <c r="EL30" s="662"/>
      <c r="EM30" s="862"/>
    </row>
    <row r="31" spans="1:162" ht="3" customHeight="1" collapsed="1" x14ac:dyDescent="0.2">
      <c r="A31" s="855"/>
      <c r="B31" s="665"/>
      <c r="C31" s="641"/>
      <c r="D31" s="665"/>
      <c r="E31" s="641"/>
      <c r="F31" s="665"/>
      <c r="G31" s="641"/>
      <c r="H31" s="665"/>
      <c r="I31" s="641"/>
      <c r="J31" s="665"/>
      <c r="K31" s="641"/>
      <c r="L31" s="665"/>
      <c r="M31" s="666"/>
      <c r="N31" s="665"/>
      <c r="O31" s="666"/>
      <c r="P31" s="665"/>
      <c r="Q31" s="666"/>
      <c r="R31" s="665"/>
      <c r="S31" s="666"/>
      <c r="T31" s="665"/>
      <c r="U31" s="666"/>
      <c r="V31" s="665"/>
      <c r="W31" s="666"/>
      <c r="X31" s="665"/>
      <c r="Y31" s="666"/>
      <c r="Z31" s="665"/>
      <c r="AA31" s="666"/>
      <c r="AB31" s="665"/>
      <c r="AC31" s="666"/>
      <c r="AD31" s="665"/>
      <c r="AE31" s="666"/>
      <c r="AF31" s="665"/>
      <c r="AG31" s="666"/>
      <c r="AH31" s="665"/>
      <c r="AI31" s="666"/>
      <c r="AJ31" s="665"/>
      <c r="AK31" s="666"/>
      <c r="AL31" s="665"/>
      <c r="AM31" s="666"/>
      <c r="AN31" s="665"/>
      <c r="AO31" s="666"/>
      <c r="AP31" s="665"/>
      <c r="AQ31" s="666"/>
      <c r="AR31" s="665"/>
      <c r="AS31" s="666"/>
      <c r="AT31" s="665"/>
      <c r="AU31" s="666"/>
      <c r="AV31" s="665"/>
      <c r="AW31" s="666"/>
      <c r="AX31" s="665"/>
      <c r="AY31" s="666"/>
      <c r="AZ31" s="665"/>
      <c r="BA31" s="666"/>
      <c r="BB31" s="665"/>
      <c r="BC31" s="666"/>
      <c r="BD31" s="665"/>
      <c r="BE31" s="666"/>
      <c r="BF31" s="665"/>
      <c r="BG31" s="666"/>
      <c r="BH31" s="665"/>
      <c r="BI31" s="666"/>
      <c r="BJ31" s="665"/>
      <c r="BK31" s="666"/>
      <c r="BL31" s="665"/>
      <c r="BM31" s="666"/>
      <c r="BN31" s="665"/>
      <c r="BO31" s="666"/>
      <c r="BP31" s="665"/>
      <c r="BQ31" s="666"/>
      <c r="BR31" s="665"/>
      <c r="BS31" s="666"/>
      <c r="BT31" s="665"/>
      <c r="BU31" s="666"/>
      <c r="BV31" s="665"/>
      <c r="BW31" s="666"/>
      <c r="BX31" s="665"/>
      <c r="BY31" s="666"/>
      <c r="BZ31" s="665"/>
      <c r="CA31" s="666"/>
      <c r="CB31" s="665"/>
      <c r="CC31" s="666"/>
      <c r="CD31" s="665"/>
      <c r="CE31" s="666"/>
      <c r="CF31" s="665"/>
      <c r="CG31" s="666"/>
      <c r="CH31" s="665"/>
      <c r="CI31" s="666"/>
      <c r="CJ31" s="665"/>
      <c r="CK31" s="666"/>
      <c r="CL31" s="665"/>
      <c r="CM31" s="666"/>
      <c r="CN31" s="665"/>
      <c r="CO31" s="666"/>
      <c r="CP31" s="665"/>
      <c r="CQ31" s="666"/>
      <c r="CR31" s="665"/>
      <c r="CS31" s="666"/>
      <c r="CT31" s="665"/>
      <c r="CU31" s="666"/>
      <c r="CV31" s="665"/>
      <c r="CW31" s="666"/>
      <c r="CX31" s="665"/>
      <c r="CY31" s="666"/>
      <c r="CZ31" s="665"/>
      <c r="DA31" s="666"/>
      <c r="DB31" s="667"/>
      <c r="DC31" s="667"/>
      <c r="DD31" s="666"/>
      <c r="DE31" s="665"/>
      <c r="DF31" s="666"/>
      <c r="DG31" s="665"/>
      <c r="DH31" s="666"/>
      <c r="DI31" s="665"/>
      <c r="DJ31" s="666"/>
      <c r="DK31" s="665"/>
      <c r="DL31" s="666"/>
      <c r="DM31" s="665"/>
      <c r="DN31" s="666"/>
      <c r="DO31" s="665"/>
      <c r="DP31" s="666"/>
      <c r="DQ31" s="665"/>
      <c r="DR31" s="666"/>
      <c r="DS31" s="665"/>
      <c r="DT31" s="666"/>
      <c r="DU31" s="665"/>
      <c r="DV31" s="666"/>
      <c r="DW31" s="665"/>
      <c r="DX31" s="666"/>
      <c r="DY31" s="665"/>
      <c r="DZ31" s="666"/>
      <c r="EA31" s="665"/>
      <c r="EB31" s="666"/>
      <c r="EC31" s="665"/>
      <c r="ED31" s="666"/>
      <c r="EE31" s="665"/>
      <c r="EF31" s="666"/>
      <c r="EG31" s="665"/>
      <c r="EH31" s="666"/>
      <c r="EI31" s="665"/>
      <c r="EJ31" s="666"/>
      <c r="EK31" s="665"/>
      <c r="EL31" s="666"/>
      <c r="EM31" s="863"/>
      <c r="EN31" s="638"/>
      <c r="EO31" s="638"/>
      <c r="EP31" s="638"/>
      <c r="EQ31" s="638"/>
      <c r="ER31" s="638"/>
      <c r="ES31" s="638"/>
      <c r="ET31" s="638"/>
      <c r="EU31" s="638"/>
      <c r="EV31" s="638"/>
      <c r="EW31" s="638"/>
      <c r="EX31" s="638"/>
      <c r="EY31" s="638"/>
      <c r="EZ31" s="638"/>
      <c r="FA31" s="638"/>
      <c r="FB31" s="638"/>
      <c r="FC31" s="638"/>
      <c r="FD31" s="638"/>
      <c r="FE31" s="638"/>
      <c r="FF31" s="638"/>
    </row>
    <row r="32" spans="1:162" ht="12.75" customHeight="1" x14ac:dyDescent="0.2">
      <c r="A32" s="851" t="s">
        <v>659</v>
      </c>
      <c r="B32" s="668"/>
      <c r="C32" s="641"/>
      <c r="D32" s="668"/>
      <c r="E32" s="641"/>
      <c r="F32" s="668"/>
      <c r="G32" s="641"/>
      <c r="H32" s="668"/>
      <c r="I32" s="641"/>
      <c r="J32" s="668"/>
      <c r="K32" s="641"/>
      <c r="L32" s="668"/>
      <c r="M32" s="666"/>
      <c r="N32" s="668"/>
      <c r="O32" s="666"/>
      <c r="P32" s="668"/>
      <c r="Q32" s="666"/>
      <c r="R32" s="668"/>
      <c r="S32" s="666"/>
      <c r="T32" s="668"/>
      <c r="U32" s="666"/>
      <c r="V32" s="668"/>
      <c r="W32" s="666"/>
      <c r="X32" s="668"/>
      <c r="Y32" s="666"/>
      <c r="Z32" s="668"/>
      <c r="AA32" s="666"/>
      <c r="AB32" s="668"/>
      <c r="AC32" s="666"/>
      <c r="AD32" s="668"/>
      <c r="AE32" s="666"/>
      <c r="AF32" s="668"/>
      <c r="AG32" s="666"/>
      <c r="AH32" s="668"/>
      <c r="AI32" s="666"/>
      <c r="AJ32" s="668"/>
      <c r="AK32" s="666"/>
      <c r="AL32" s="668"/>
      <c r="AM32" s="666"/>
      <c r="AN32" s="668"/>
      <c r="AO32" s="666"/>
      <c r="AP32" s="668"/>
      <c r="AQ32" s="666"/>
      <c r="AR32" s="668"/>
      <c r="AS32" s="666"/>
      <c r="AT32" s="668"/>
      <c r="AU32" s="666"/>
      <c r="AV32" s="668"/>
      <c r="AW32" s="666"/>
      <c r="AX32" s="668"/>
      <c r="AY32" s="666"/>
      <c r="AZ32" s="668"/>
      <c r="BA32" s="666"/>
      <c r="BB32" s="668"/>
      <c r="BC32" s="666"/>
      <c r="BD32" s="668"/>
      <c r="BE32" s="666"/>
      <c r="BF32" s="669">
        <f>BF34-BF29</f>
        <v>-4.8449389806173526E-2</v>
      </c>
      <c r="BG32" s="666"/>
      <c r="BH32" s="669">
        <f>BH34-BH29</f>
        <v>6.891548784911139E-2</v>
      </c>
      <c r="BI32" s="666"/>
      <c r="BJ32" s="669">
        <f>BJ34-BJ29</f>
        <v>0.10230179028132991</v>
      </c>
      <c r="BK32" s="666"/>
      <c r="BL32" s="669">
        <f>BL34-BL29</f>
        <v>9.1642228739002851E-2</v>
      </c>
      <c r="BM32" s="666"/>
      <c r="BN32" s="669">
        <f>BN34-BN29</f>
        <v>0</v>
      </c>
      <c r="BO32" s="666"/>
      <c r="BP32" s="669">
        <f>BP34-BP29</f>
        <v>3.9047973224247023E-2</v>
      </c>
      <c r="BQ32" s="666"/>
      <c r="BR32" s="669">
        <f>BR34-BR29</f>
        <v>4.4977511244377766E-2</v>
      </c>
      <c r="BS32" s="666"/>
      <c r="BT32" s="669">
        <f>BT34-BT29</f>
        <v>0.20152091254752857</v>
      </c>
      <c r="BU32" s="666"/>
      <c r="BV32" s="669">
        <f>BV34-BV29</f>
        <v>0</v>
      </c>
      <c r="BW32" s="666"/>
      <c r="BX32" s="669">
        <f>BX34-BX29</f>
        <v>-3.1384856806590866E-2</v>
      </c>
      <c r="BY32" s="666"/>
      <c r="BZ32" s="669">
        <f>BZ34-BZ29</f>
        <v>-0.55094786729857814</v>
      </c>
      <c r="CA32" s="666"/>
      <c r="CB32" s="669">
        <f>CB34-CB29</f>
        <v>0</v>
      </c>
      <c r="CC32" s="666"/>
      <c r="CD32" s="669">
        <f>CD34-CD29</f>
        <v>-0.2240000000000002</v>
      </c>
      <c r="CE32" s="666"/>
      <c r="CF32" s="669">
        <f>CF34-CF29</f>
        <v>0</v>
      </c>
      <c r="CG32" s="666"/>
      <c r="CH32" s="669">
        <f>CH34-CH29</f>
        <v>0.1399999999999999</v>
      </c>
      <c r="CI32" s="666"/>
      <c r="CJ32" s="669">
        <f>CJ34-CJ29</f>
        <v>0</v>
      </c>
      <c r="CK32" s="666"/>
      <c r="CL32" s="669">
        <f>CL34-CL29</f>
        <v>0.19100000000000006</v>
      </c>
      <c r="CM32" s="666"/>
      <c r="CN32" s="669">
        <f t="shared" ref="CN32" si="12">CN34-CN29</f>
        <v>0</v>
      </c>
      <c r="CO32" s="666"/>
      <c r="CP32" s="669">
        <f t="shared" ref="CP32" si="13">CP34-CP29</f>
        <v>9.2000000000000082E-2</v>
      </c>
      <c r="CQ32" s="666"/>
      <c r="CR32" s="669">
        <f t="shared" ref="CR32" si="14">CR34-CR29</f>
        <v>0</v>
      </c>
      <c r="CS32" s="666"/>
      <c r="CT32" s="669">
        <f>CT34-CT29</f>
        <v>0</v>
      </c>
      <c r="CU32" s="666"/>
      <c r="CV32" s="669">
        <f t="shared" ref="CV32" si="15">CV34-CV29</f>
        <v>0</v>
      </c>
      <c r="CW32" s="666"/>
      <c r="CX32" s="669">
        <f t="shared" ref="CX32" si="16">CX34-CX29</f>
        <v>0</v>
      </c>
      <c r="CY32" s="666"/>
      <c r="CZ32" s="669">
        <f t="shared" ref="CZ32" si="17">CZ34-CZ29</f>
        <v>0</v>
      </c>
      <c r="DA32" s="666"/>
      <c r="DB32" s="667"/>
      <c r="DC32" s="667"/>
      <c r="DD32" s="666"/>
      <c r="DE32" s="668"/>
      <c r="DF32" s="666"/>
      <c r="DG32" s="668"/>
      <c r="DH32" s="666"/>
      <c r="DI32" s="668"/>
      <c r="DJ32" s="666"/>
      <c r="DK32" s="668"/>
      <c r="DL32" s="666"/>
      <c r="DM32" s="668"/>
      <c r="DN32" s="666"/>
      <c r="DO32" s="669">
        <f>DO34-DO29</f>
        <v>0.2761904761904761</v>
      </c>
      <c r="DP32" s="666"/>
      <c r="DQ32" s="669">
        <f>DQ34-DQ29</f>
        <v>0.21557719054241975</v>
      </c>
      <c r="DR32" s="666"/>
      <c r="DS32" s="669">
        <f>DS34-DS29</f>
        <v>0.21257994186046503</v>
      </c>
      <c r="DT32" s="666"/>
      <c r="DU32" s="669">
        <f>DU34-DU29</f>
        <v>0.28358208955223851</v>
      </c>
      <c r="DV32" s="666"/>
      <c r="DW32" s="669">
        <f>DW34-DW29</f>
        <v>-0.579795597484277</v>
      </c>
      <c r="DX32" s="666"/>
      <c r="DY32" s="669">
        <f>DY34-DY29</f>
        <v>-9.394418114797265E-2</v>
      </c>
      <c r="DZ32" s="666"/>
      <c r="EA32" s="669">
        <f>EA34-EA29</f>
        <v>0.28569846630862106</v>
      </c>
      <c r="EB32" s="666"/>
      <c r="EC32" s="669">
        <f>EC34-EC29</f>
        <v>0</v>
      </c>
      <c r="ED32" s="666"/>
      <c r="EE32" s="669">
        <f>EE34-EE29</f>
        <v>0</v>
      </c>
      <c r="EF32" s="666"/>
      <c r="EG32" s="669">
        <f>EG34-EG29</f>
        <v>0</v>
      </c>
      <c r="EH32" s="666"/>
      <c r="EI32" s="669">
        <f>EI34-EI29</f>
        <v>0</v>
      </c>
      <c r="EJ32" s="666"/>
      <c r="EK32" s="669">
        <f>EK34-EK29</f>
        <v>0</v>
      </c>
      <c r="EL32" s="666"/>
      <c r="EM32" s="863"/>
      <c r="EN32" s="638"/>
      <c r="EO32" s="638"/>
      <c r="EP32" s="638"/>
      <c r="EQ32" s="638"/>
      <c r="ER32" s="638"/>
      <c r="ES32" s="638"/>
      <c r="ET32" s="638"/>
      <c r="EU32" s="638"/>
      <c r="EV32" s="638"/>
      <c r="EW32" s="638"/>
      <c r="EX32" s="638"/>
      <c r="EY32" s="638"/>
      <c r="EZ32" s="638"/>
      <c r="FA32" s="638"/>
      <c r="FB32" s="638"/>
      <c r="FC32" s="638"/>
      <c r="FD32" s="638"/>
      <c r="FE32" s="638"/>
      <c r="FF32" s="638"/>
    </row>
    <row r="33" spans="1:164" ht="3" customHeight="1" x14ac:dyDescent="0.2">
      <c r="A33" s="855"/>
      <c r="B33" s="665"/>
      <c r="C33" s="641"/>
      <c r="D33" s="665"/>
      <c r="E33" s="641"/>
      <c r="F33" s="665"/>
      <c r="G33" s="641"/>
      <c r="H33" s="665"/>
      <c r="I33" s="641"/>
      <c r="J33" s="665"/>
      <c r="K33" s="641"/>
      <c r="L33" s="665"/>
      <c r="M33" s="666"/>
      <c r="N33" s="665"/>
      <c r="O33" s="666"/>
      <c r="P33" s="665"/>
      <c r="Q33" s="666"/>
      <c r="R33" s="665"/>
      <c r="S33" s="666"/>
      <c r="T33" s="665"/>
      <c r="U33" s="666"/>
      <c r="V33" s="665"/>
      <c r="W33" s="666"/>
      <c r="X33" s="665"/>
      <c r="Y33" s="666"/>
      <c r="Z33" s="665"/>
      <c r="AA33" s="666"/>
      <c r="AB33" s="665"/>
      <c r="AC33" s="666"/>
      <c r="AD33" s="665"/>
      <c r="AE33" s="666"/>
      <c r="AF33" s="665"/>
      <c r="AG33" s="666"/>
      <c r="AH33" s="665"/>
      <c r="AI33" s="666"/>
      <c r="AJ33" s="665"/>
      <c r="AK33" s="666"/>
      <c r="AL33" s="665"/>
      <c r="AM33" s="666"/>
      <c r="AN33" s="665"/>
      <c r="AO33" s="666"/>
      <c r="AP33" s="665"/>
      <c r="AQ33" s="666"/>
      <c r="AR33" s="665"/>
      <c r="AS33" s="666"/>
      <c r="AT33" s="665"/>
      <c r="AU33" s="666"/>
      <c r="AV33" s="665"/>
      <c r="AW33" s="666"/>
      <c r="AX33" s="665"/>
      <c r="AY33" s="666"/>
      <c r="AZ33" s="665"/>
      <c r="BA33" s="666"/>
      <c r="BB33" s="665"/>
      <c r="BC33" s="666"/>
      <c r="BD33" s="665"/>
      <c r="BE33" s="666"/>
      <c r="BF33" s="665"/>
      <c r="BG33" s="666"/>
      <c r="BH33" s="665"/>
      <c r="BI33" s="666"/>
      <c r="BJ33" s="665"/>
      <c r="BK33" s="666"/>
      <c r="BL33" s="665"/>
      <c r="BM33" s="666"/>
      <c r="BN33" s="665"/>
      <c r="BO33" s="666"/>
      <c r="BP33" s="665"/>
      <c r="BQ33" s="666"/>
      <c r="BR33" s="665"/>
      <c r="BS33" s="666"/>
      <c r="BT33" s="665"/>
      <c r="BU33" s="666"/>
      <c r="BV33" s="665"/>
      <c r="BW33" s="666"/>
      <c r="BX33" s="665"/>
      <c r="BY33" s="666"/>
      <c r="BZ33" s="665"/>
      <c r="CA33" s="666"/>
      <c r="CB33" s="665"/>
      <c r="CC33" s="666"/>
      <c r="CD33" s="665"/>
      <c r="CE33" s="666"/>
      <c r="CF33" s="665"/>
      <c r="CG33" s="666"/>
      <c r="CH33" s="665"/>
      <c r="CI33" s="666"/>
      <c r="CJ33" s="665"/>
      <c r="CK33" s="666"/>
      <c r="CL33" s="665"/>
      <c r="CM33" s="666"/>
      <c r="CN33" s="665"/>
      <c r="CO33" s="666"/>
      <c r="CP33" s="665"/>
      <c r="CQ33" s="666"/>
      <c r="CR33" s="665"/>
      <c r="CS33" s="666"/>
      <c r="CT33" s="665"/>
      <c r="CU33" s="666"/>
      <c r="CV33" s="665"/>
      <c r="CW33" s="666"/>
      <c r="CX33" s="665"/>
      <c r="CY33" s="666"/>
      <c r="CZ33" s="665"/>
      <c r="DA33" s="666"/>
      <c r="DB33" s="667"/>
      <c r="DC33" s="667"/>
      <c r="DD33" s="666"/>
      <c r="DE33" s="665"/>
      <c r="DF33" s="666"/>
      <c r="DG33" s="665"/>
      <c r="DH33" s="666"/>
      <c r="DI33" s="665"/>
      <c r="DJ33" s="666"/>
      <c r="DK33" s="665"/>
      <c r="DL33" s="666"/>
      <c r="DM33" s="665"/>
      <c r="DN33" s="666"/>
      <c r="DO33" s="665"/>
      <c r="DP33" s="666"/>
      <c r="DQ33" s="665"/>
      <c r="DR33" s="666"/>
      <c r="DS33" s="665"/>
      <c r="DT33" s="666"/>
      <c r="DU33" s="665"/>
      <c r="DV33" s="666"/>
      <c r="DW33" s="665"/>
      <c r="DX33" s="666"/>
      <c r="DY33" s="665"/>
      <c r="DZ33" s="666"/>
      <c r="EA33" s="665"/>
      <c r="EB33" s="666"/>
      <c r="EC33" s="665"/>
      <c r="ED33" s="666"/>
      <c r="EE33" s="665"/>
      <c r="EF33" s="666"/>
      <c r="EG33" s="665"/>
      <c r="EH33" s="666"/>
      <c r="EI33" s="665"/>
      <c r="EJ33" s="666"/>
      <c r="EK33" s="665"/>
      <c r="EL33" s="666"/>
      <c r="EM33" s="863"/>
      <c r="EN33" s="638"/>
      <c r="EO33" s="638"/>
      <c r="EP33" s="638"/>
      <c r="EQ33" s="638"/>
      <c r="ER33" s="638"/>
      <c r="ES33" s="638"/>
      <c r="ET33" s="638"/>
      <c r="EU33" s="638"/>
      <c r="EV33" s="638"/>
      <c r="EW33" s="638"/>
      <c r="EX33" s="638"/>
      <c r="EY33" s="638"/>
      <c r="EZ33" s="638"/>
      <c r="FA33" s="638"/>
      <c r="FB33" s="638"/>
      <c r="FC33" s="638"/>
      <c r="FD33" s="638"/>
      <c r="FE33" s="638"/>
      <c r="FF33" s="638"/>
    </row>
    <row r="34" spans="1:164" s="562" customFormat="1" ht="12.75" customHeight="1" x14ac:dyDescent="0.2">
      <c r="A34" s="864" t="s">
        <v>69</v>
      </c>
      <c r="B34" s="671">
        <f>INPUT!AY614</f>
        <v>1.3881956155143336</v>
      </c>
      <c r="C34" s="672">
        <f>INPUT!AZ614</f>
        <v>15.834922038079036</v>
      </c>
      <c r="D34" s="671">
        <f>INPUT!BA614</f>
        <v>1.1445859872611464</v>
      </c>
      <c r="E34" s="672">
        <f>INPUT!BB614</f>
        <v>-16.82222123291265</v>
      </c>
      <c r="F34" s="671">
        <f>INPUT!BC614</f>
        <v>1.2668555240793204</v>
      </c>
      <c r="G34" s="672">
        <f>INPUT!BD614</f>
        <v>-10.991622784656197</v>
      </c>
      <c r="H34" s="671">
        <f>INPUT!BE614</f>
        <v>1.2855206847360912</v>
      </c>
      <c r="I34" s="672">
        <f>INPUT!BF614</f>
        <v>-11.573041102929604</v>
      </c>
      <c r="J34" s="671">
        <f>INPUT!BG614</f>
        <v>1.2143112701252239</v>
      </c>
      <c r="K34" s="672">
        <f>INPUT!BH614</f>
        <v>-12.525925269162064</v>
      </c>
      <c r="L34" s="671">
        <f>INPUT!BI614</f>
        <v>1.2776967930029157</v>
      </c>
      <c r="M34" s="672">
        <f>INPUT!BJ614</f>
        <v>11.629602950171281</v>
      </c>
      <c r="N34" s="671">
        <f>INPUT!BK614</f>
        <v>1.2194495412844037</v>
      </c>
      <c r="O34" s="672">
        <f>INPUT!BL614</f>
        <v>-3.7420196615844392</v>
      </c>
      <c r="P34" s="671">
        <f>INPUT!BM614</f>
        <v>1.1191536748329616</v>
      </c>
      <c r="Q34" s="672">
        <f>INPUT!BN614</f>
        <v>-12.941605053775051</v>
      </c>
      <c r="R34" s="671">
        <f>INPUT!BO614</f>
        <v>1.1396499238964997</v>
      </c>
      <c r="S34" s="672">
        <f>INPUT!BP614</f>
        <v>-6.1484520538975911</v>
      </c>
      <c r="T34" s="671">
        <f>INPUT!BQ614</f>
        <v>1.1887519260400619</v>
      </c>
      <c r="U34" s="672">
        <f>INPUT!BR614</f>
        <v>-6.9613438375947245</v>
      </c>
      <c r="V34" s="671">
        <f>INPUT!BS614</f>
        <v>1.1566302470453536</v>
      </c>
      <c r="W34" s="672">
        <f>INPUT!BT614</f>
        <v>-5.1514467890885314</v>
      </c>
      <c r="X34" s="671">
        <f>INPUT!BU614</f>
        <v>-0.49340062111801292</v>
      </c>
      <c r="Y34" s="672" t="str">
        <f>INPUT!BV614</f>
        <v>NM</v>
      </c>
      <c r="Z34" s="671">
        <f>INPUT!BW614</f>
        <v>0.63266097750193961</v>
      </c>
      <c r="AA34" s="672">
        <f>INPUT!BX614</f>
        <v>-44.486375663602786</v>
      </c>
      <c r="AB34" s="671">
        <f>INPUT!BY614</f>
        <v>0.79001524390243971</v>
      </c>
      <c r="AC34" s="672">
        <f>INPUT!BZ614</f>
        <v>-33.542463604318442</v>
      </c>
      <c r="AD34" s="671">
        <f>INPUT!CA614</f>
        <v>0.83616129032258024</v>
      </c>
      <c r="AE34" s="672">
        <f>INPUT!CB614</f>
        <v>-27.707122266724461</v>
      </c>
      <c r="AF34" s="671">
        <f>INPUT!CC614</f>
        <v>0.89537869062901154</v>
      </c>
      <c r="AG34" s="672" t="str">
        <f>INPUT!CD614</f>
        <v>NM</v>
      </c>
      <c r="AH34" s="671">
        <f>INPUT!CE614</f>
        <v>0.82607023840041038</v>
      </c>
      <c r="AI34" s="672">
        <f>INPUT!CF614</f>
        <v>30.570758712216882</v>
      </c>
      <c r="AJ34" s="671">
        <f>INPUT!CG614</f>
        <v>0.86586141131595684</v>
      </c>
      <c r="AK34" s="672">
        <f>INPUT!CH614</f>
        <v>9.6005954314070774</v>
      </c>
      <c r="AL34" s="671">
        <f>INPUT!CI614</f>
        <v>0.62818544673011967</v>
      </c>
      <c r="AM34" s="672">
        <f>INPUT!CJ614</f>
        <v>-24.872694538660856</v>
      </c>
      <c r="AN34" s="671">
        <f>INPUT!CK614</f>
        <v>0.82127396413110643</v>
      </c>
      <c r="AO34" s="672">
        <f>INPUT!CL614</f>
        <v>-8.2763558339595811</v>
      </c>
      <c r="AP34" s="671">
        <f>INPUT!CM614</f>
        <v>0.99690306596469569</v>
      </c>
      <c r="AQ34" s="672">
        <f>INPUT!CN614</f>
        <v>20.680181856579583</v>
      </c>
      <c r="AR34" s="671">
        <f>INPUT!CO614</f>
        <v>1.0149953139643857</v>
      </c>
      <c r="AS34" s="672">
        <f>INPUT!CP614</f>
        <v>17.223761297061579</v>
      </c>
      <c r="AT34" s="671">
        <f>INPUT!CQ614</f>
        <v>1.0349358974358971</v>
      </c>
      <c r="AU34" s="672">
        <f>INPUT!CR614</f>
        <v>64.750059528285291</v>
      </c>
      <c r="AV34" s="671">
        <f>INPUT!CS614</f>
        <v>0.91298615688859597</v>
      </c>
      <c r="AW34" s="672">
        <f>INPUT!CT614</f>
        <v>11.167064434402164</v>
      </c>
      <c r="AX34" s="671">
        <f>INPUT!CU614</f>
        <v>0.9901993916863806</v>
      </c>
      <c r="AY34" s="672">
        <f>INPUT!CV614</f>
        <v>-0.67244996100277454</v>
      </c>
      <c r="AZ34" s="671">
        <f>INPUT!CW614</f>
        <v>1.0862068965517242</v>
      </c>
      <c r="BA34" s="672">
        <f>INPUT!CX614</f>
        <v>7.0159518578661428</v>
      </c>
      <c r="BB34" s="671">
        <f>INPUT!CY614</f>
        <v>1.2715138742536003</v>
      </c>
      <c r="BC34" s="672">
        <f>INPUT!CZ614</f>
        <v>22.859191318403038</v>
      </c>
      <c r="BD34" s="671">
        <f>INPUT!DA614</f>
        <v>1.1028103877623621</v>
      </c>
      <c r="BE34" s="672">
        <f>INPUT!DB614</f>
        <v>20.79157821194968</v>
      </c>
      <c r="BF34" s="671">
        <f>INPUT!DC614</f>
        <v>1.0229720028715004</v>
      </c>
      <c r="BG34" s="672">
        <f>INPUT!DD614</f>
        <v>3.3096981739511699</v>
      </c>
      <c r="BH34" s="671">
        <f>INPUT!DE614</f>
        <v>1.2731229597388467</v>
      </c>
      <c r="BI34" s="672">
        <f>INPUT!DF614</f>
        <v>17.208145499766836</v>
      </c>
      <c r="BJ34" s="671">
        <f>INPUT!DG614</f>
        <v>1.3408841797588602</v>
      </c>
      <c r="BK34" s="672">
        <f>INPUT!DH614</f>
        <v>5.4557254081070372</v>
      </c>
      <c r="BL34" s="671">
        <f>INPUT!DI614</f>
        <v>1.4002932551319647</v>
      </c>
      <c r="BM34" s="672">
        <f>INPUT!DJ614</f>
        <v>26.974978715353327</v>
      </c>
      <c r="BN34" s="671">
        <f>INPUT!DK614</f>
        <v>1.3377434766629914</v>
      </c>
      <c r="BO34" s="672">
        <f>INPUT!DL614</f>
        <v>30.770292139757682</v>
      </c>
      <c r="BP34" s="671">
        <f>INPUT!DM614</f>
        <v>1.4689475641502419</v>
      </c>
      <c r="BQ34" s="672">
        <f>INPUT!DN614</f>
        <v>15.381436876416421</v>
      </c>
      <c r="BR34" s="671">
        <f>INPUT!DO614</f>
        <v>1.5592203898050974</v>
      </c>
      <c r="BS34" s="672">
        <f>INPUT!DP614</f>
        <v>16.283002912712561</v>
      </c>
      <c r="BT34" s="671">
        <f>INPUT!DQ614</f>
        <v>1.6730038022813689</v>
      </c>
      <c r="BU34" s="672">
        <f>INPUT!DR614</f>
        <v>19.475245356638094</v>
      </c>
      <c r="BV34" s="671">
        <f>INPUT!DS614</f>
        <v>1.3507290867229469</v>
      </c>
      <c r="BW34" s="672">
        <f>INPUT!DT614</f>
        <v>0.97071002673458917</v>
      </c>
      <c r="BX34" s="671">
        <f>INPUT!DU614</f>
        <v>1.4554727344056493</v>
      </c>
      <c r="BY34" s="672">
        <f>INPUT!DV614</f>
        <v>-0.91731182742302853</v>
      </c>
      <c r="BZ34" s="671">
        <f>INPUT!DW614</f>
        <v>1.113744075829384</v>
      </c>
      <c r="CA34" s="672">
        <f>INPUT!DX614</f>
        <v>1.113744075829384</v>
      </c>
      <c r="CB34" s="671">
        <f>INPUT!DY614</f>
        <v>1.5349999999999999</v>
      </c>
      <c r="CC34" s="672">
        <f>INPUT!DZ614</f>
        <v>-8.2488636363636463</v>
      </c>
      <c r="CD34" s="671">
        <f>INPUT!EA614</f>
        <v>1.2529999999999999</v>
      </c>
      <c r="CE34" s="672">
        <f>INPUT!EB614</f>
        <v>-7.2352840909090883</v>
      </c>
      <c r="CF34" s="671">
        <f>INPUT!EC614</f>
        <v>1.5549999999999999</v>
      </c>
      <c r="CG34" s="672">
        <f>INPUT!ED614</f>
        <v>6.8381401617250592</v>
      </c>
      <c r="CH34" s="671">
        <f>INPUT!EE614</f>
        <v>1.8879999999999999</v>
      </c>
      <c r="CI34" s="672">
        <f>INPUT!EF614</f>
        <v>69.518297872340412</v>
      </c>
      <c r="CJ34" s="671">
        <f>INPUT!EG614</f>
        <v>1.7709999999999999</v>
      </c>
      <c r="CK34" s="672">
        <f>INPUT!EH614</f>
        <v>15.374592833876211</v>
      </c>
      <c r="CL34" s="671">
        <f>INPUT!EI614</f>
        <v>1.921</v>
      </c>
      <c r="CM34" s="672">
        <f>INPUT!EJ614</f>
        <v>53.31205107741421</v>
      </c>
      <c r="CN34" s="671">
        <f>INPUT!EK614</f>
        <v>1.845</v>
      </c>
      <c r="CO34" s="672">
        <f>INPUT!EL614</f>
        <v>18.649517684887474</v>
      </c>
      <c r="CP34" s="671">
        <f>INPUT!EM614</f>
        <v>2.028</v>
      </c>
      <c r="CQ34" s="672">
        <f>INPUT!EN614</f>
        <v>7.4152542372881491</v>
      </c>
      <c r="CR34" s="671">
        <f>INPUT!EO614</f>
        <v>1.9830000000000001</v>
      </c>
      <c r="CS34" s="672">
        <f>INPUT!EP614</f>
        <v>11.970638057594595</v>
      </c>
      <c r="CT34" s="671">
        <f>INPUT!EQ614</f>
        <v>1.9566895243625559</v>
      </c>
      <c r="CU34" s="672">
        <f>INPUT!ER614</f>
        <v>1.8578617575510714</v>
      </c>
      <c r="CV34" s="671">
        <f>INPUT!ES614</f>
        <v>2.0807014003898203</v>
      </c>
      <c r="CW34" s="672">
        <f>INPUT!ET614</f>
        <v>12.775143652564779</v>
      </c>
      <c r="CX34" s="671">
        <f>INPUT!EU614</f>
        <v>2.1699323895505249</v>
      </c>
      <c r="CY34" s="672">
        <f>INPUT!EV614</f>
        <v>6.9986385379943172</v>
      </c>
      <c r="CZ34" s="671">
        <f>INPUT!EW614</f>
        <v>2.2408646967070514</v>
      </c>
      <c r="DA34" s="672">
        <f>INPUT!EX614</f>
        <v>13.003766853608223</v>
      </c>
      <c r="DB34" s="673"/>
      <c r="DC34" s="671">
        <f>INPUT!FP614</f>
        <v>5.4511981828506535</v>
      </c>
      <c r="DD34" s="672">
        <f>INPUT!FQ614</f>
        <v>63.247591834135555</v>
      </c>
      <c r="DE34" s="671">
        <f>INPUT!FR614</f>
        <v>5.0371933939216262</v>
      </c>
      <c r="DF34" s="672">
        <f>INPUT!FS614</f>
        <v>-7.5947484395536557</v>
      </c>
      <c r="DG34" s="671">
        <f>INPUT!FT614</f>
        <v>4.8322686621646271</v>
      </c>
      <c r="DH34" s="672">
        <f>INPUT!FU614</f>
        <v>-4.0682323613836502</v>
      </c>
      <c r="DI34" s="671">
        <f>INPUT!FV614</f>
        <v>3.002953804046665</v>
      </c>
      <c r="DJ34" s="672">
        <f>INPUT!FW614</f>
        <v>-37.856232465736205</v>
      </c>
      <c r="DK34" s="671">
        <f>INPUT!FX614</f>
        <v>3.1830793483972677</v>
      </c>
      <c r="DL34" s="672">
        <f>INPUT!FY614</f>
        <v>5.9982788981925772</v>
      </c>
      <c r="DM34" s="671">
        <f>INPUT!FZ614</f>
        <v>3.1365909482826169</v>
      </c>
      <c r="DN34" s="672">
        <f>INPUT!GA614</f>
        <v>-1.4604851160263554</v>
      </c>
      <c r="DO34" s="671">
        <f>INPUT!GB614</f>
        <v>3.9577777777777787</v>
      </c>
      <c r="DP34" s="672">
        <f>INPUT!GC614</f>
        <v>26.180870984939485</v>
      </c>
      <c r="DQ34" s="671">
        <f>INPUT!GD614</f>
        <v>4.4506258692628649</v>
      </c>
      <c r="DR34" s="672">
        <f>INPUT!GE614</f>
        <v>12.452646893222274</v>
      </c>
      <c r="DS34" s="671">
        <f>INPUT!GF614</f>
        <v>5.0327034883720936</v>
      </c>
      <c r="DT34" s="672">
        <f>INPUT!GG614</f>
        <v>13.078556504360495</v>
      </c>
      <c r="DU34" s="671">
        <f>INPUT!GH614</f>
        <v>6.0261194029850742</v>
      </c>
      <c r="DV34" s="672">
        <f>INPUT!GI614</f>
        <v>19.739210086750347</v>
      </c>
      <c r="DW34" s="671">
        <f>INPUT!GJ614</f>
        <v>5.4520440251572326</v>
      </c>
      <c r="DX34" s="672">
        <f>INPUT!GK614</f>
        <v>-9.526452090270066</v>
      </c>
      <c r="DY34" s="671">
        <f>INPUT!GL614</f>
        <v>6.4454976303317535</v>
      </c>
      <c r="DZ34" s="672">
        <f>INPUT!GM614</f>
        <v>18.221672469819627</v>
      </c>
      <c r="EA34" s="671">
        <f>INPUT!GN614</f>
        <v>7.7736559437461938</v>
      </c>
      <c r="EB34" s="672">
        <f>INPUT!GO614</f>
        <v>20.605985597826979</v>
      </c>
      <c r="EC34" s="671">
        <f>INPUT!GP614</f>
        <v>8.4472022261282849</v>
      </c>
      <c r="ED34" s="672">
        <f>INPUT!GQ614</f>
        <v>8.6644725114693344</v>
      </c>
      <c r="EE34" s="671">
        <f>INPUT!GR614</f>
        <v>9.2031935617236069</v>
      </c>
      <c r="EF34" s="672">
        <f>INPUT!GS614</f>
        <v>8.9496062170376867</v>
      </c>
      <c r="EG34" s="671">
        <f>INPUT!GT614</f>
        <v>10.298755491214671</v>
      </c>
      <c r="EH34" s="672">
        <f>INPUT!GU614</f>
        <v>11.904149599195035</v>
      </c>
      <c r="EI34" s="671">
        <f>INPUT!GV614</f>
        <v>11.097760784447122</v>
      </c>
      <c r="EJ34" s="672">
        <f>INPUT!GW614</f>
        <v>7.7582703455193247</v>
      </c>
      <c r="EK34" s="671">
        <f>INPUT!GX614</f>
        <v>11.999970894221658</v>
      </c>
      <c r="EL34" s="672">
        <f>INPUT!GY614</f>
        <v>8.1296590122841081</v>
      </c>
      <c r="EM34" s="865">
        <f>INPUT!GZ614</f>
        <v>9.0714220724498862</v>
      </c>
    </row>
    <row r="35" spans="1:164" s="561" customFormat="1" ht="12.75" hidden="1" customHeight="1" outlineLevel="1" x14ac:dyDescent="0.2">
      <c r="A35" s="861" t="s">
        <v>50</v>
      </c>
      <c r="B35" s="661"/>
      <c r="C35" s="662"/>
      <c r="D35" s="661"/>
      <c r="E35" s="662"/>
      <c r="F35" s="661"/>
      <c r="G35" s="662"/>
      <c r="H35" s="661"/>
      <c r="I35" s="662"/>
      <c r="J35" s="661"/>
      <c r="K35" s="662"/>
      <c r="L35" s="661"/>
      <c r="M35" s="662"/>
      <c r="N35" s="661"/>
      <c r="O35" s="662"/>
      <c r="P35" s="661"/>
      <c r="Q35" s="662"/>
      <c r="R35" s="661"/>
      <c r="S35" s="662"/>
      <c r="T35" s="661"/>
      <c r="U35" s="662"/>
      <c r="V35" s="661"/>
      <c r="W35" s="662"/>
      <c r="X35" s="661"/>
      <c r="Y35" s="662"/>
      <c r="Z35" s="661"/>
      <c r="AA35" s="662"/>
      <c r="AB35" s="661"/>
      <c r="AC35" s="662"/>
      <c r="AD35" s="661"/>
      <c r="AE35" s="662"/>
      <c r="AF35" s="661"/>
      <c r="AG35" s="662"/>
      <c r="AH35" s="661"/>
      <c r="AI35" s="662"/>
      <c r="AJ35" s="661"/>
      <c r="AK35" s="662"/>
      <c r="AL35" s="661"/>
      <c r="AM35" s="662"/>
      <c r="AN35" s="661"/>
      <c r="AO35" s="662"/>
      <c r="AP35" s="663">
        <f>(AP26/AP71)-AP34</f>
        <v>0</v>
      </c>
      <c r="AQ35" s="662"/>
      <c r="AR35" s="663">
        <f>(AR26/AR71)-AR34</f>
        <v>0</v>
      </c>
      <c r="AS35" s="662"/>
      <c r="AT35" s="663">
        <f>(AT26/AT71)-AT34</f>
        <v>0</v>
      </c>
      <c r="AU35" s="662"/>
      <c r="AV35" s="663">
        <f>(AV26/AV71)-AV34</f>
        <v>0</v>
      </c>
      <c r="AW35" s="662"/>
      <c r="AX35" s="663">
        <f>(AX26/AX71)-AX34</f>
        <v>0</v>
      </c>
      <c r="AY35" s="662"/>
      <c r="AZ35" s="663">
        <f>(AZ26/AZ71)-AZ34</f>
        <v>0</v>
      </c>
      <c r="BA35" s="662"/>
      <c r="BB35" s="663">
        <f>(BB26/BB71)-BB34</f>
        <v>0</v>
      </c>
      <c r="BC35" s="662"/>
      <c r="BD35" s="663">
        <f>(BD26/BD71)-BD34</f>
        <v>0</v>
      </c>
      <c r="BE35" s="662"/>
      <c r="BF35" s="663">
        <f>(BF26/BF71)-BF34</f>
        <v>0</v>
      </c>
      <c r="BG35" s="662"/>
      <c r="BH35" s="663">
        <f>(BH26/BH71)-BH34</f>
        <v>0</v>
      </c>
      <c r="BI35" s="662"/>
      <c r="BJ35" s="663">
        <f>(BJ26/BJ71)-BJ34</f>
        <v>0</v>
      </c>
      <c r="BK35" s="662"/>
      <c r="BL35" s="663">
        <f>(BL26/BL71)-BL34</f>
        <v>0</v>
      </c>
      <c r="BM35" s="662"/>
      <c r="BN35" s="663">
        <f>(BN26/BN71)-BN34</f>
        <v>0</v>
      </c>
      <c r="BO35" s="662"/>
      <c r="BP35" s="663">
        <f>(BP26/BP71)-BP34</f>
        <v>0</v>
      </c>
      <c r="BQ35" s="662"/>
      <c r="BR35" s="663">
        <f>(BR26/BR71)-BR34</f>
        <v>0</v>
      </c>
      <c r="BS35" s="662"/>
      <c r="BT35" s="663">
        <f>(BT26/BT71)-BT34</f>
        <v>0</v>
      </c>
      <c r="BU35" s="662"/>
      <c r="BV35" s="663">
        <f>(BV26/BV71)-BV34</f>
        <v>0</v>
      </c>
      <c r="BW35" s="662"/>
      <c r="BX35" s="663">
        <f>(BX26/BX71)-BX34</f>
        <v>0</v>
      </c>
      <c r="BY35" s="662"/>
      <c r="BZ35" s="663">
        <f>(BZ26/BZ71)-BZ34</f>
        <v>0</v>
      </c>
      <c r="CA35" s="662"/>
      <c r="CB35" s="663">
        <f>(CB26/CB71)-CB34</f>
        <v>-2.4708718360777482E-4</v>
      </c>
      <c r="CC35" s="662"/>
      <c r="CD35" s="663">
        <f>(CD26/CD71)-CD34</f>
        <v>-4.5002039983677022E-4</v>
      </c>
      <c r="CE35" s="662"/>
      <c r="CF35" s="663">
        <f>(CF26/CF71)-CF34</f>
        <v>-1.8549395581479722E-4</v>
      </c>
      <c r="CG35" s="662"/>
      <c r="CH35" s="663">
        <f>(CH26/CH71)-CH34</f>
        <v>-1.5753424657516391E-4</v>
      </c>
      <c r="CI35" s="662"/>
      <c r="CJ35" s="663">
        <f>(CJ26/CJ71)-CJ34</f>
        <v>3.2957990472071153E-4</v>
      </c>
      <c r="CK35" s="662"/>
      <c r="CL35" s="663">
        <f>(CL26/CL71)-CL34</f>
        <v>-9.6045197740091126E-5</v>
      </c>
      <c r="CM35" s="662"/>
      <c r="CN35" s="663">
        <f t="shared" ref="CN35" si="18">(CN26/CN71)-CN34</f>
        <v>-4.039181157824423E-4</v>
      </c>
      <c r="CO35" s="662"/>
      <c r="CP35" s="663">
        <f t="shared" ref="CP35" si="19">(CP26/CP71)-CP34</f>
        <v>-3.0906654756579499E-4</v>
      </c>
      <c r="CQ35" s="662"/>
      <c r="CR35" s="663">
        <f t="shared" ref="CR35" si="20">(CR26/CR71)-CR34</f>
        <v>-1.2483100495730426E-4</v>
      </c>
      <c r="CS35" s="662"/>
      <c r="CT35" s="663">
        <f>(CT26/CT71)-CT34</f>
        <v>0</v>
      </c>
      <c r="CU35" s="662"/>
      <c r="CV35" s="663">
        <f t="shared" ref="CV35" si="21">(CV26/CV71)-CV34</f>
        <v>0</v>
      </c>
      <c r="CW35" s="662"/>
      <c r="CX35" s="663">
        <f t="shared" ref="CX35" si="22">(CX26/CX71)-CX34</f>
        <v>0</v>
      </c>
      <c r="CY35" s="662"/>
      <c r="CZ35" s="663">
        <f t="shared" ref="CZ35" si="23">(CZ26/CZ71)-CZ34</f>
        <v>0</v>
      </c>
      <c r="DA35" s="662"/>
      <c r="DB35" s="664"/>
      <c r="DC35" s="664"/>
      <c r="DD35" s="662"/>
      <c r="DE35" s="661"/>
      <c r="DF35" s="662"/>
      <c r="DG35" s="661"/>
      <c r="DH35" s="662"/>
      <c r="DI35" s="661"/>
      <c r="DJ35" s="662"/>
      <c r="DK35" s="661"/>
      <c r="DL35" s="662"/>
      <c r="DM35" s="661"/>
      <c r="DN35" s="662"/>
      <c r="DO35" s="663">
        <f>(DO26/DO71)-DO34</f>
        <v>0</v>
      </c>
      <c r="DP35" s="662"/>
      <c r="DQ35" s="663">
        <f>(DQ26/DQ71)-DQ34</f>
        <v>0</v>
      </c>
      <c r="DR35" s="662"/>
      <c r="DS35" s="663">
        <f>(DS26/DS71)-DS34</f>
        <v>0</v>
      </c>
      <c r="DT35" s="662"/>
      <c r="DU35" s="663">
        <f>(DU26/DU71)-DU34</f>
        <v>0</v>
      </c>
      <c r="DV35" s="662"/>
      <c r="DW35" s="663">
        <f>(DW26/DW71)-DW34</f>
        <v>0</v>
      </c>
      <c r="DX35" s="662"/>
      <c r="DY35" s="663">
        <f>(DY26/DY71)-DY34</f>
        <v>0</v>
      </c>
      <c r="DZ35" s="662"/>
      <c r="EA35" s="663">
        <f>(EA26/EA71)-EA34</f>
        <v>0</v>
      </c>
      <c r="EB35" s="662"/>
      <c r="EC35" s="663">
        <f>(EC26/EC71)-EC34</f>
        <v>0</v>
      </c>
      <c r="ED35" s="662"/>
      <c r="EE35" s="663">
        <f>(EE26/EE71)-EE34</f>
        <v>0</v>
      </c>
      <c r="EF35" s="662"/>
      <c r="EG35" s="663">
        <f>(EG26/EG71)-EG34</f>
        <v>0</v>
      </c>
      <c r="EH35" s="662"/>
      <c r="EI35" s="663">
        <f>(EI26/EI71)-EI34</f>
        <v>0</v>
      </c>
      <c r="EJ35" s="662"/>
      <c r="EK35" s="663">
        <f>(EK26/EK71)-EK34</f>
        <v>0</v>
      </c>
      <c r="EL35" s="662"/>
      <c r="EM35" s="862"/>
    </row>
    <row r="36" spans="1:164" s="7" customFormat="1" ht="3" customHeight="1" collapsed="1" x14ac:dyDescent="0.2">
      <c r="A36" s="855"/>
      <c r="B36" s="665"/>
      <c r="C36" s="641"/>
      <c r="D36" s="665"/>
      <c r="E36" s="641"/>
      <c r="F36" s="665"/>
      <c r="G36" s="641"/>
      <c r="H36" s="665"/>
      <c r="I36" s="641"/>
      <c r="J36" s="665"/>
      <c r="K36" s="641"/>
      <c r="L36" s="665"/>
      <c r="M36" s="641"/>
      <c r="N36" s="665"/>
      <c r="O36" s="641"/>
      <c r="P36" s="665"/>
      <c r="Q36" s="641"/>
      <c r="R36" s="665"/>
      <c r="S36" s="641"/>
      <c r="T36" s="665"/>
      <c r="U36" s="641"/>
      <c r="V36" s="665"/>
      <c r="W36" s="641"/>
      <c r="X36" s="665"/>
      <c r="Y36" s="641"/>
      <c r="Z36" s="665"/>
      <c r="AA36" s="641"/>
      <c r="AB36" s="665"/>
      <c r="AC36" s="641"/>
      <c r="AD36" s="665"/>
      <c r="AE36" s="641"/>
      <c r="AF36" s="665"/>
      <c r="AG36" s="641"/>
      <c r="AH36" s="665"/>
      <c r="AI36" s="641"/>
      <c r="AJ36" s="665"/>
      <c r="AK36" s="641"/>
      <c r="AL36" s="665"/>
      <c r="AM36" s="641"/>
      <c r="AN36" s="665"/>
      <c r="AO36" s="641"/>
      <c r="AP36" s="665"/>
      <c r="AQ36" s="641"/>
      <c r="AR36" s="665"/>
      <c r="AS36" s="641"/>
      <c r="AT36" s="665"/>
      <c r="AU36" s="641"/>
      <c r="AV36" s="665"/>
      <c r="AW36" s="641"/>
      <c r="AX36" s="665"/>
      <c r="AY36" s="641"/>
      <c r="AZ36" s="665"/>
      <c r="BA36" s="641"/>
      <c r="BB36" s="665"/>
      <c r="BC36" s="641"/>
      <c r="BD36" s="665"/>
      <c r="BE36" s="641"/>
      <c r="BF36" s="665"/>
      <c r="BG36" s="641"/>
      <c r="BH36" s="665"/>
      <c r="BI36" s="641"/>
      <c r="BJ36" s="665"/>
      <c r="BK36" s="641"/>
      <c r="BL36" s="665"/>
      <c r="BM36" s="641"/>
      <c r="BN36" s="665"/>
      <c r="BO36" s="641"/>
      <c r="BP36" s="665"/>
      <c r="BQ36" s="641"/>
      <c r="BR36" s="665"/>
      <c r="BS36" s="641"/>
      <c r="BT36" s="665"/>
      <c r="BU36" s="641"/>
      <c r="BV36" s="665"/>
      <c r="BW36" s="641"/>
      <c r="BX36" s="665"/>
      <c r="BY36" s="641"/>
      <c r="BZ36" s="665"/>
      <c r="CA36" s="641"/>
      <c r="CB36" s="665"/>
      <c r="CC36" s="641"/>
      <c r="CD36" s="665"/>
      <c r="CE36" s="641"/>
      <c r="CF36" s="665"/>
      <c r="CG36" s="641"/>
      <c r="CH36" s="665"/>
      <c r="CI36" s="641"/>
      <c r="CJ36" s="665"/>
      <c r="CK36" s="641"/>
      <c r="CL36" s="665"/>
      <c r="CM36" s="641"/>
      <c r="CN36" s="665"/>
      <c r="CO36" s="641"/>
      <c r="CP36" s="665"/>
      <c r="CQ36" s="641"/>
      <c r="CR36" s="665"/>
      <c r="CS36" s="641"/>
      <c r="CT36" s="665"/>
      <c r="CU36" s="641"/>
      <c r="CV36" s="665"/>
      <c r="CW36" s="641"/>
      <c r="CX36" s="665"/>
      <c r="CY36" s="641"/>
      <c r="CZ36" s="665"/>
      <c r="DA36" s="641"/>
      <c r="DB36" s="652"/>
      <c r="DC36" s="665"/>
      <c r="DD36" s="641"/>
      <c r="DE36" s="665"/>
      <c r="DF36" s="641"/>
      <c r="DG36" s="665"/>
      <c r="DH36" s="641"/>
      <c r="DI36" s="665"/>
      <c r="DJ36" s="641"/>
      <c r="DK36" s="665"/>
      <c r="DL36" s="641"/>
      <c r="DM36" s="665"/>
      <c r="DN36" s="641"/>
      <c r="DO36" s="665"/>
      <c r="DP36" s="641"/>
      <c r="DQ36" s="665"/>
      <c r="DR36" s="641"/>
      <c r="DS36" s="665"/>
      <c r="DT36" s="641"/>
      <c r="DU36" s="665"/>
      <c r="DV36" s="641"/>
      <c r="DW36" s="665"/>
      <c r="DX36" s="641"/>
      <c r="DY36" s="665"/>
      <c r="DZ36" s="641"/>
      <c r="EA36" s="665"/>
      <c r="EB36" s="641"/>
      <c r="EC36" s="665"/>
      <c r="ED36" s="641"/>
      <c r="EE36" s="665"/>
      <c r="EF36" s="641"/>
      <c r="EG36" s="665"/>
      <c r="EH36" s="641"/>
      <c r="EI36" s="665"/>
      <c r="EJ36" s="641"/>
      <c r="EK36" s="665"/>
      <c r="EL36" s="641"/>
      <c r="EM36" s="852"/>
      <c r="EN36" s="638"/>
      <c r="EO36" s="638"/>
      <c r="EP36" s="638"/>
      <c r="EQ36" s="638"/>
      <c r="ER36" s="638"/>
      <c r="ES36" s="638"/>
      <c r="ET36" s="638"/>
      <c r="EU36" s="638"/>
      <c r="EV36" s="638"/>
      <c r="EW36" s="638"/>
      <c r="EX36" s="638"/>
      <c r="EY36" s="638"/>
      <c r="EZ36" s="638"/>
      <c r="FA36" s="638"/>
      <c r="FB36" s="638"/>
      <c r="FC36" s="638"/>
      <c r="FD36" s="638"/>
      <c r="FE36" s="638"/>
      <c r="FF36" s="638"/>
      <c r="FG36" s="638"/>
      <c r="FH36" s="638"/>
    </row>
    <row r="37" spans="1:164" s="321" customFormat="1" ht="12.75" hidden="1" customHeight="1" outlineLevel="1" x14ac:dyDescent="0.2">
      <c r="A37" s="855" t="s">
        <v>505</v>
      </c>
      <c r="B37" s="665">
        <f>INPUT!AY622</f>
        <v>1.3881956155143336</v>
      </c>
      <c r="C37" s="641" t="str">
        <f>INPUT!AZ622</f>
        <v>NA</v>
      </c>
      <c r="D37" s="665">
        <f>INPUT!BA622</f>
        <v>1.1445859872611464</v>
      </c>
      <c r="E37" s="641" t="str">
        <f>INPUT!BB622</f>
        <v>NA</v>
      </c>
      <c r="F37" s="665">
        <f>INPUT!BC622</f>
        <v>1.2668555240793204</v>
      </c>
      <c r="G37" s="641" t="str">
        <f>INPUT!BD622</f>
        <v>NA</v>
      </c>
      <c r="H37" s="665">
        <f>INPUT!BE622</f>
        <v>1.2855206847360912</v>
      </c>
      <c r="I37" s="641" t="str">
        <f>INPUT!BF622</f>
        <v>NA</v>
      </c>
      <c r="J37" s="665">
        <f>INPUT!BG622</f>
        <v>1.2143112701252239</v>
      </c>
      <c r="K37" s="641">
        <f>INPUT!BH622</f>
        <v>-12.525925269162064</v>
      </c>
      <c r="L37" s="665">
        <f>INPUT!BI622</f>
        <v>1.2776967930029157</v>
      </c>
      <c r="M37" s="641">
        <f>INPUT!BJ622</f>
        <v>11.629602950171281</v>
      </c>
      <c r="N37" s="665">
        <f>INPUT!BK622</f>
        <v>1.2194495412844037</v>
      </c>
      <c r="O37" s="641">
        <f>INPUT!BL622</f>
        <v>-3.7420196615844392</v>
      </c>
      <c r="P37" s="665">
        <f>INPUT!BM622</f>
        <v>1.1191536748329616</v>
      </c>
      <c r="Q37" s="641">
        <f>INPUT!BN622</f>
        <v>-12.941605053775051</v>
      </c>
      <c r="R37" s="665">
        <f>INPUT!BO622</f>
        <v>1.1396499238964997</v>
      </c>
      <c r="S37" s="641">
        <f>INPUT!BP622</f>
        <v>-6.1484520538975911</v>
      </c>
      <c r="T37" s="665">
        <f>INPUT!BQ622</f>
        <v>1.1887519260400619</v>
      </c>
      <c r="U37" s="641">
        <f>INPUT!BR622</f>
        <v>-6.9613438375947245</v>
      </c>
      <c r="V37" s="665">
        <f>INPUT!BS622</f>
        <v>1.1566302470453536</v>
      </c>
      <c r="W37" s="641">
        <f>INPUT!BT622</f>
        <v>-5.1514467890885314</v>
      </c>
      <c r="X37" s="665">
        <f>INPUT!BU622</f>
        <v>-0.49340062111801292</v>
      </c>
      <c r="Y37" s="641" t="str">
        <f>INPUT!BV622</f>
        <v>NM</v>
      </c>
      <c r="Z37" s="665">
        <f>INPUT!BW622</f>
        <v>0.63266097750193961</v>
      </c>
      <c r="AA37" s="641">
        <f>INPUT!BX622</f>
        <v>-44.486375663602786</v>
      </c>
      <c r="AB37" s="665">
        <f>INPUT!BY622</f>
        <v>0.79001524390243971</v>
      </c>
      <c r="AC37" s="641">
        <f>INPUT!BZ622</f>
        <v>-33.542463604318442</v>
      </c>
      <c r="AD37" s="665">
        <f>INPUT!CA622</f>
        <v>0.83616129032258024</v>
      </c>
      <c r="AE37" s="641">
        <f>INPUT!CB622</f>
        <v>-27.707122266724461</v>
      </c>
      <c r="AF37" s="665">
        <f>INPUT!CC622</f>
        <v>0.89537869062901154</v>
      </c>
      <c r="AG37" s="641" t="str">
        <f>INPUT!CD622</f>
        <v>NM</v>
      </c>
      <c r="AH37" s="665">
        <f>INPUT!CE622</f>
        <v>0.82607023840041038</v>
      </c>
      <c r="AI37" s="641">
        <f>INPUT!CF622</f>
        <v>30.570758712216882</v>
      </c>
      <c r="AJ37" s="665">
        <f>INPUT!CG622</f>
        <v>0.86586141131595684</v>
      </c>
      <c r="AK37" s="641">
        <f>INPUT!CH622</f>
        <v>9.6005954314070774</v>
      </c>
      <c r="AL37" s="665">
        <f>INPUT!CI622</f>
        <v>0.62818544673011967</v>
      </c>
      <c r="AM37" s="641">
        <f>INPUT!CJ622</f>
        <v>-24.872694538660856</v>
      </c>
      <c r="AN37" s="665">
        <f>INPUT!CK622</f>
        <v>0.82127396413110643</v>
      </c>
      <c r="AO37" s="641">
        <f>INPUT!CL622</f>
        <v>-8.2763558339595811</v>
      </c>
      <c r="AP37" s="665">
        <f>INPUT!CM622</f>
        <v>0.99690306596469569</v>
      </c>
      <c r="AQ37" s="641">
        <f>INPUT!CN622</f>
        <v>20.680181856579583</v>
      </c>
      <c r="AR37" s="665">
        <f>INPUT!CO622</f>
        <v>1.0149953139643857</v>
      </c>
      <c r="AS37" s="641">
        <f>INPUT!CP622</f>
        <v>17.223761297061579</v>
      </c>
      <c r="AT37" s="665">
        <f>INPUT!CQ622</f>
        <v>1.0349358974358971</v>
      </c>
      <c r="AU37" s="641">
        <f>INPUT!CR622</f>
        <v>64.750059528285291</v>
      </c>
      <c r="AV37" s="665">
        <f>INPUT!CS622</f>
        <v>0.91298615688859597</v>
      </c>
      <c r="AW37" s="641">
        <f>INPUT!CT622</f>
        <v>11.167064434402164</v>
      </c>
      <c r="AX37" s="665">
        <f>INPUT!CU622</f>
        <v>0.9901993916863806</v>
      </c>
      <c r="AY37" s="641">
        <f>INPUT!CV622</f>
        <v>-0.67244996100277454</v>
      </c>
      <c r="AZ37" s="665">
        <f>INPUT!CW622</f>
        <v>1.0862068965517242</v>
      </c>
      <c r="BA37" s="641">
        <f>INPUT!CX622</f>
        <v>7.0159518578661428</v>
      </c>
      <c r="BB37" s="665">
        <f>INPUT!CY622</f>
        <v>1.2715138742536003</v>
      </c>
      <c r="BC37" s="641">
        <f>INPUT!CZ622</f>
        <v>22.859191318403038</v>
      </c>
      <c r="BD37" s="665">
        <f>INPUT!DA622</f>
        <v>1.1028103877623621</v>
      </c>
      <c r="BE37" s="641">
        <f>INPUT!DB622</f>
        <v>20.79157821194968</v>
      </c>
      <c r="BF37" s="665">
        <f>INPUT!DC622</f>
        <v>1.0229720028715004</v>
      </c>
      <c r="BG37" s="641">
        <f>INPUT!DD622</f>
        <v>3.3096981739511699</v>
      </c>
      <c r="BH37" s="665">
        <f>INPUT!DE622</f>
        <v>1.2731229597388467</v>
      </c>
      <c r="BI37" s="641">
        <f>INPUT!DF622</f>
        <v>17.208145499766836</v>
      </c>
      <c r="BJ37" s="665">
        <f>INPUT!DG622</f>
        <v>1.3408841797588602</v>
      </c>
      <c r="BK37" s="641">
        <f>INPUT!DH622</f>
        <v>5.4557254081070372</v>
      </c>
      <c r="BL37" s="665">
        <f>INPUT!DI622</f>
        <v>1.4002932551319647</v>
      </c>
      <c r="BM37" s="641">
        <f>INPUT!DJ622</f>
        <v>26.974978715353327</v>
      </c>
      <c r="BN37" s="665">
        <f>INPUT!DK622</f>
        <v>1.3377434766629914</v>
      </c>
      <c r="BO37" s="641">
        <f>INPUT!DL622</f>
        <v>30.770292139757682</v>
      </c>
      <c r="BP37" s="665">
        <f>INPUT!DM622</f>
        <v>1.4689475641502419</v>
      </c>
      <c r="BQ37" s="641">
        <f>INPUT!DN622</f>
        <v>15.381436876416421</v>
      </c>
      <c r="BR37" s="665">
        <f>INPUT!DO622</f>
        <v>1.5592203898050974</v>
      </c>
      <c r="BS37" s="641">
        <f>INPUT!DP622</f>
        <v>16.283002912712561</v>
      </c>
      <c r="BT37" s="665">
        <f>INPUT!DQ622</f>
        <v>1.6730038022813689</v>
      </c>
      <c r="BU37" s="641">
        <f>INPUT!DR622</f>
        <v>19.475245356638094</v>
      </c>
      <c r="BV37" s="665">
        <f>INPUT!DS622</f>
        <v>1.3507290867229469</v>
      </c>
      <c r="BW37" s="641">
        <f>INPUT!DT622</f>
        <v>0.97071002673458917</v>
      </c>
      <c r="BX37" s="665">
        <f>INPUT!DU622</f>
        <v>1.4554727344056493</v>
      </c>
      <c r="BY37" s="641">
        <f>INPUT!DV622</f>
        <v>-0.91731182742302853</v>
      </c>
      <c r="BZ37" s="665">
        <f>INPUT!DW622</f>
        <v>1.113744075829384</v>
      </c>
      <c r="CA37" s="641">
        <f>INPUT!DX622</f>
        <v>1.113744075829384</v>
      </c>
      <c r="CB37" s="665">
        <f>INPUT!DY622</f>
        <v>1.5349999999999999</v>
      </c>
      <c r="CC37" s="641">
        <f>INPUT!DZ622</f>
        <v>-8.2488636363636463</v>
      </c>
      <c r="CD37" s="665">
        <f>INPUT!EA622</f>
        <v>1.2529999999999999</v>
      </c>
      <c r="CE37" s="641">
        <f>INPUT!EB622</f>
        <v>-7.2352840909090883</v>
      </c>
      <c r="CF37" s="665">
        <f>INPUT!EC622</f>
        <v>1.5549999999999999</v>
      </c>
      <c r="CG37" s="641">
        <f>INPUT!ED622</f>
        <v>6.8381401617250592</v>
      </c>
      <c r="CH37" s="665">
        <f>INPUT!EE622</f>
        <v>1.8879999999999999</v>
      </c>
      <c r="CI37" s="641">
        <f>INPUT!EF622</f>
        <v>69.518297872340412</v>
      </c>
      <c r="CJ37" s="665">
        <f>INPUT!EG622</f>
        <v>1.7709999999999999</v>
      </c>
      <c r="CK37" s="641">
        <f>INPUT!EH622</f>
        <v>15.374592833876211</v>
      </c>
      <c r="CL37" s="665">
        <f>INPUT!EI622</f>
        <v>1.921</v>
      </c>
      <c r="CM37" s="641">
        <f>INPUT!EJ622</f>
        <v>53.31205107741421</v>
      </c>
      <c r="CN37" s="665">
        <f>INPUT!EK622</f>
        <v>1.845</v>
      </c>
      <c r="CO37" s="641">
        <f>INPUT!EL622</f>
        <v>18.649517684887474</v>
      </c>
      <c r="CP37" s="665">
        <f>INPUT!EM622</f>
        <v>2.028</v>
      </c>
      <c r="CQ37" s="641">
        <f>INPUT!EN622</f>
        <v>7.4152542372881491</v>
      </c>
      <c r="CR37" s="665">
        <f>INPUT!EO622</f>
        <v>1.9830000000000001</v>
      </c>
      <c r="CS37" s="641">
        <f>INPUT!EP622</f>
        <v>11.970638057594595</v>
      </c>
      <c r="CT37" s="665">
        <f>INPUT!EQ622</f>
        <v>1.9566895243625559</v>
      </c>
      <c r="CU37" s="641">
        <f>INPUT!ER622</f>
        <v>1.8578617575510714</v>
      </c>
      <c r="CV37" s="665">
        <f>INPUT!ES622</f>
        <v>2.0807014003898203</v>
      </c>
      <c r="CW37" s="641">
        <f>INPUT!ET622</f>
        <v>12.775143652564779</v>
      </c>
      <c r="CX37" s="665">
        <f>INPUT!EU622</f>
        <v>2.1699323895505249</v>
      </c>
      <c r="CY37" s="641">
        <f>INPUT!EV622</f>
        <v>6.9986385379943172</v>
      </c>
      <c r="CZ37" s="665">
        <f>INPUT!EW622</f>
        <v>2.2408646967070514</v>
      </c>
      <c r="DA37" s="641">
        <f>INPUT!EX622</f>
        <v>13.003766853608223</v>
      </c>
      <c r="DB37" s="652"/>
      <c r="DC37" s="665"/>
      <c r="DD37" s="641"/>
      <c r="DE37" s="665">
        <f>INPUT!FR622</f>
        <v>5.0371933939216262</v>
      </c>
      <c r="DF37" s="641" t="str">
        <f>INPUT!FS622</f>
        <v>NA</v>
      </c>
      <c r="DG37" s="665">
        <f>INPUT!FT622</f>
        <v>4.8322686621646289</v>
      </c>
      <c r="DH37" s="641">
        <f>INPUT!FU622</f>
        <v>-4.0682323613836164</v>
      </c>
      <c r="DI37" s="665">
        <f>INPUT!FV622</f>
        <v>3.0029538040466637</v>
      </c>
      <c r="DJ37" s="641">
        <f>INPUT!FW622</f>
        <v>-37.856232465736248</v>
      </c>
      <c r="DK37" s="665">
        <f>INPUT!FX622</f>
        <v>3.1830793483972672</v>
      </c>
      <c r="DL37" s="641">
        <f>INPUT!FY622</f>
        <v>5.9982788981926216</v>
      </c>
      <c r="DM37" s="665">
        <f>INPUT!FZ622</f>
        <v>3.1365909482826182</v>
      </c>
      <c r="DN37" s="641">
        <f>INPUT!GA622</f>
        <v>-1.4604851160262999</v>
      </c>
      <c r="DO37" s="665">
        <f>INPUT!GB622</f>
        <v>3.9577777777777774</v>
      </c>
      <c r="DP37" s="641">
        <f>INPUT!GC622</f>
        <v>26.180870984939396</v>
      </c>
      <c r="DQ37" s="665">
        <f>INPUT!GD622</f>
        <v>4.4506258692628649</v>
      </c>
      <c r="DR37" s="641">
        <f>INPUT!GE622</f>
        <v>12.452646893222319</v>
      </c>
      <c r="DS37" s="665">
        <f>INPUT!GF622</f>
        <v>5.0327034883720936</v>
      </c>
      <c r="DT37" s="641">
        <f>INPUT!GG622</f>
        <v>13.078556504360495</v>
      </c>
      <c r="DU37" s="665">
        <f>INPUT!GH622</f>
        <v>6.0261194029850742</v>
      </c>
      <c r="DV37" s="641">
        <f>INPUT!GI622</f>
        <v>19.739210086750347</v>
      </c>
      <c r="DW37" s="665">
        <f>INPUT!GJ622</f>
        <v>5.4522857704402519</v>
      </c>
      <c r="DX37" s="641">
        <f>INPUT!GK622</f>
        <v>-9.5224404657592849</v>
      </c>
      <c r="DY37" s="665">
        <f>INPUT!GL622</f>
        <v>6.4459842022116902</v>
      </c>
      <c r="DZ37" s="641">
        <f>INPUT!GM622</f>
        <v>18.225354899018818</v>
      </c>
      <c r="EA37" s="665">
        <f>INPUT!GN622</f>
        <v>7.7745894468744821</v>
      </c>
      <c r="EB37" s="641">
        <f>INPUT!GO622</f>
        <v>20.611363648811487</v>
      </c>
      <c r="EC37" s="665">
        <f>INPUT!GP622</f>
        <v>8.447202226128292</v>
      </c>
      <c r="ED37" s="641">
        <f>INPUT!GQ622</f>
        <v>8.6514250540163484</v>
      </c>
      <c r="EE37" s="665">
        <f>INPUT!GR622</f>
        <v>9.2031935617236069</v>
      </c>
      <c r="EF37" s="641">
        <f>INPUT!GS622</f>
        <v>8.9496062170375765</v>
      </c>
      <c r="EG37" s="665">
        <f>INPUT!GT622</f>
        <v>10.298755491214671</v>
      </c>
      <c r="EH37" s="641">
        <f>INPUT!GU622</f>
        <v>11.904149599195035</v>
      </c>
      <c r="EI37" s="665">
        <f>INPUT!GV622</f>
        <v>11.097760784447122</v>
      </c>
      <c r="EJ37" s="641">
        <f>INPUT!GW622</f>
        <v>7.7582703455193247</v>
      </c>
      <c r="EK37" s="665">
        <f>INPUT!GX622</f>
        <v>11.999970894221658</v>
      </c>
      <c r="EL37" s="641">
        <f>INPUT!GY622</f>
        <v>8.1296590122841081</v>
      </c>
      <c r="EM37" s="852">
        <f>INPUT!GZ622</f>
        <v>9.0688026825787702</v>
      </c>
      <c r="EN37" s="638"/>
      <c r="EO37" s="638"/>
      <c r="EP37" s="638"/>
      <c r="EQ37" s="638"/>
      <c r="ER37" s="638"/>
      <c r="ES37" s="638"/>
      <c r="ET37" s="638"/>
      <c r="EU37" s="638"/>
      <c r="EV37" s="638"/>
      <c r="EW37" s="638"/>
      <c r="EX37" s="638"/>
      <c r="EY37" s="638"/>
      <c r="EZ37" s="638"/>
      <c r="FA37" s="638"/>
      <c r="FB37" s="638"/>
      <c r="FC37" s="638"/>
      <c r="FD37" s="638"/>
      <c r="FE37" s="638"/>
      <c r="FF37" s="638"/>
      <c r="FG37" s="638"/>
      <c r="FH37" s="638"/>
    </row>
    <row r="38" spans="1:164" s="7" customFormat="1" ht="3" hidden="1" customHeight="1" outlineLevel="1" x14ac:dyDescent="0.2">
      <c r="A38" s="855"/>
      <c r="B38" s="665"/>
      <c r="C38" s="641"/>
      <c r="D38" s="665"/>
      <c r="E38" s="641"/>
      <c r="F38" s="665"/>
      <c r="G38" s="641"/>
      <c r="H38" s="665"/>
      <c r="I38" s="641"/>
      <c r="J38" s="665"/>
      <c r="K38" s="641"/>
      <c r="L38" s="665"/>
      <c r="M38" s="641"/>
      <c r="N38" s="665"/>
      <c r="O38" s="641"/>
      <c r="P38" s="665"/>
      <c r="Q38" s="641"/>
      <c r="R38" s="665"/>
      <c r="S38" s="641"/>
      <c r="T38" s="665"/>
      <c r="U38" s="641"/>
      <c r="V38" s="665"/>
      <c r="W38" s="641"/>
      <c r="X38" s="665"/>
      <c r="Y38" s="641"/>
      <c r="Z38" s="665"/>
      <c r="AA38" s="641"/>
      <c r="AB38" s="665"/>
      <c r="AC38" s="641"/>
      <c r="AD38" s="665"/>
      <c r="AE38" s="641"/>
      <c r="AF38" s="665"/>
      <c r="AG38" s="641"/>
      <c r="AH38" s="665"/>
      <c r="AI38" s="641"/>
      <c r="AJ38" s="665"/>
      <c r="AK38" s="641"/>
      <c r="AL38" s="665"/>
      <c r="AM38" s="641"/>
      <c r="AN38" s="665"/>
      <c r="AO38" s="641"/>
      <c r="AP38" s="665"/>
      <c r="AQ38" s="641"/>
      <c r="AR38" s="665"/>
      <c r="AS38" s="641"/>
      <c r="AT38" s="665"/>
      <c r="AU38" s="641"/>
      <c r="AV38" s="665"/>
      <c r="AW38" s="641"/>
      <c r="AX38" s="665"/>
      <c r="AY38" s="641"/>
      <c r="AZ38" s="665"/>
      <c r="BA38" s="641"/>
      <c r="BB38" s="665"/>
      <c r="BC38" s="641"/>
      <c r="BD38" s="665"/>
      <c r="BE38" s="641"/>
      <c r="BF38" s="665"/>
      <c r="BG38" s="641"/>
      <c r="BH38" s="665"/>
      <c r="BI38" s="641"/>
      <c r="BJ38" s="665"/>
      <c r="BK38" s="641"/>
      <c r="BL38" s="665"/>
      <c r="BM38" s="641"/>
      <c r="BN38" s="665"/>
      <c r="BO38" s="641"/>
      <c r="BP38" s="665"/>
      <c r="BQ38" s="641"/>
      <c r="BR38" s="665"/>
      <c r="BS38" s="641"/>
      <c r="BT38" s="665"/>
      <c r="BU38" s="641"/>
      <c r="BV38" s="665"/>
      <c r="BW38" s="641"/>
      <c r="BX38" s="665"/>
      <c r="BY38" s="641"/>
      <c r="BZ38" s="665"/>
      <c r="CA38" s="641"/>
      <c r="CB38" s="665"/>
      <c r="CC38" s="641"/>
      <c r="CD38" s="665"/>
      <c r="CE38" s="641"/>
      <c r="CF38" s="665"/>
      <c r="CG38" s="641"/>
      <c r="CH38" s="665"/>
      <c r="CI38" s="641"/>
      <c r="CJ38" s="665"/>
      <c r="CK38" s="641"/>
      <c r="CL38" s="665"/>
      <c r="CM38" s="641"/>
      <c r="CN38" s="665"/>
      <c r="CO38" s="641"/>
      <c r="CP38" s="665"/>
      <c r="CQ38" s="641"/>
      <c r="CR38" s="665"/>
      <c r="CS38" s="641"/>
      <c r="CT38" s="665"/>
      <c r="CU38" s="641"/>
      <c r="CV38" s="665"/>
      <c r="CW38" s="641"/>
      <c r="CX38" s="665"/>
      <c r="CY38" s="641"/>
      <c r="CZ38" s="665"/>
      <c r="DA38" s="641"/>
      <c r="DB38" s="652"/>
      <c r="DC38" s="665"/>
      <c r="DD38" s="641"/>
      <c r="DE38" s="665"/>
      <c r="DF38" s="641"/>
      <c r="DG38" s="665"/>
      <c r="DH38" s="641"/>
      <c r="DI38" s="665"/>
      <c r="DJ38" s="641"/>
      <c r="DK38" s="665"/>
      <c r="DL38" s="641"/>
      <c r="DM38" s="665"/>
      <c r="DN38" s="641"/>
      <c r="DO38" s="665"/>
      <c r="DP38" s="641"/>
      <c r="DQ38" s="665"/>
      <c r="DR38" s="641"/>
      <c r="DS38" s="665"/>
      <c r="DT38" s="641"/>
      <c r="DU38" s="665"/>
      <c r="DV38" s="641"/>
      <c r="DW38" s="665"/>
      <c r="DX38" s="641"/>
      <c r="DY38" s="665"/>
      <c r="DZ38" s="641"/>
      <c r="EA38" s="665"/>
      <c r="EB38" s="641"/>
      <c r="EC38" s="665"/>
      <c r="ED38" s="641"/>
      <c r="EE38" s="665"/>
      <c r="EF38" s="641"/>
      <c r="EG38" s="665"/>
      <c r="EH38" s="641"/>
      <c r="EI38" s="665"/>
      <c r="EJ38" s="641"/>
      <c r="EK38" s="665"/>
      <c r="EL38" s="641"/>
      <c r="EM38" s="852"/>
      <c r="EN38" s="638"/>
      <c r="EO38" s="638"/>
      <c r="EP38" s="638"/>
      <c r="EQ38" s="638"/>
      <c r="ER38" s="638"/>
      <c r="ES38" s="638"/>
      <c r="ET38" s="638"/>
      <c r="EU38" s="638"/>
      <c r="EV38" s="638"/>
      <c r="EW38" s="638"/>
      <c r="EX38" s="638"/>
      <c r="EY38" s="638"/>
      <c r="EZ38" s="638"/>
      <c r="FA38" s="638"/>
      <c r="FB38" s="638"/>
      <c r="FC38" s="638"/>
      <c r="FD38" s="638"/>
      <c r="FE38" s="638"/>
      <c r="FF38" s="638"/>
      <c r="FG38" s="638"/>
      <c r="FH38" s="638"/>
    </row>
    <row r="39" spans="1:164" ht="12.75" hidden="1" customHeight="1" outlineLevel="1" x14ac:dyDescent="0.2">
      <c r="A39" s="851" t="s">
        <v>12</v>
      </c>
      <c r="B39" s="674">
        <f>INPUT!AY546</f>
        <v>-4.4000000000000004</v>
      </c>
      <c r="C39" s="641">
        <f>INPUT!AZ546</f>
        <v>-6.3829787234042534</v>
      </c>
      <c r="D39" s="674">
        <f>INPUT!BA546</f>
        <v>-3.8</v>
      </c>
      <c r="E39" s="641">
        <f>INPUT!BB546</f>
        <v>40.740740740740719</v>
      </c>
      <c r="F39" s="674">
        <f>INPUT!BC546</f>
        <v>-5</v>
      </c>
      <c r="G39" s="641" t="str">
        <f>INPUT!BD546</f>
        <v>NM</v>
      </c>
      <c r="H39" s="674">
        <f>INPUT!BE546</f>
        <v>9.4</v>
      </c>
      <c r="I39" s="641" t="str">
        <f>INPUT!BF546</f>
        <v>NM</v>
      </c>
      <c r="J39" s="674">
        <f>INPUT!BG546</f>
        <v>21.5</v>
      </c>
      <c r="K39" s="641" t="str">
        <f>INPUT!BH546</f>
        <v>NM</v>
      </c>
      <c r="L39" s="674">
        <f>INPUT!BI546</f>
        <v>4</v>
      </c>
      <c r="M39" s="641" t="str">
        <f>INPUT!BJ546</f>
        <v>NM</v>
      </c>
      <c r="N39" s="674">
        <f>INPUT!BK546</f>
        <v>-42.7</v>
      </c>
      <c r="O39" s="641" t="str">
        <f>INPUT!BL546</f>
        <v>NM</v>
      </c>
      <c r="P39" s="674">
        <f>INPUT!BM546</f>
        <v>-102.4</v>
      </c>
      <c r="Q39" s="641" t="str">
        <f>INPUT!BN546</f>
        <v>NM</v>
      </c>
      <c r="R39" s="674">
        <f>INPUT!BO546</f>
        <v>-29.481999999999999</v>
      </c>
      <c r="S39" s="641" t="str">
        <f>INPUT!BP546</f>
        <v>NM</v>
      </c>
      <c r="T39" s="674">
        <f>INPUT!BQ546</f>
        <v>-73.2</v>
      </c>
      <c r="U39" s="641" t="str">
        <f>INPUT!BR546</f>
        <v>NM</v>
      </c>
      <c r="V39" s="674">
        <f>INPUT!BS546</f>
        <v>-168.7</v>
      </c>
      <c r="W39" s="641" t="str">
        <f>INPUT!BT546</f>
        <v>NM</v>
      </c>
      <c r="X39" s="674">
        <f>INPUT!BU546</f>
        <v>-218.7</v>
      </c>
      <c r="Y39" s="641" t="str">
        <f>INPUT!BV546</f>
        <v>NM</v>
      </c>
      <c r="Z39" s="674">
        <f>INPUT!BW546</f>
        <v>-188.4</v>
      </c>
      <c r="AA39" s="641" t="str">
        <f>INPUT!BX546</f>
        <v>NM</v>
      </c>
      <c r="AB39" s="674">
        <f>INPUT!BY546</f>
        <v>-214.5</v>
      </c>
      <c r="AC39" s="641" t="str">
        <f>INPUT!BZ546</f>
        <v>NM</v>
      </c>
      <c r="AD39" s="674">
        <f>INPUT!CA546</f>
        <v>-196</v>
      </c>
      <c r="AE39" s="641">
        <f>INPUT!CB546</f>
        <v>16.182572614107894</v>
      </c>
      <c r="AF39" s="674">
        <f>INPUT!CC546</f>
        <v>-90.7</v>
      </c>
      <c r="AG39" s="641" t="str">
        <f>INPUT!CD546</f>
        <v>NM</v>
      </c>
      <c r="AH39" s="674">
        <f>INPUT!CE546</f>
        <v>-26.5</v>
      </c>
      <c r="AI39" s="641" t="str">
        <f>INPUT!CF546</f>
        <v>NM</v>
      </c>
      <c r="AJ39" s="674">
        <f>INPUT!CG546</f>
        <v>-7.3</v>
      </c>
      <c r="AK39" s="641" t="str">
        <f>INPUT!CH546</f>
        <v>NM</v>
      </c>
      <c r="AL39" s="674">
        <f>INPUT!CI546</f>
        <v>16.5</v>
      </c>
      <c r="AM39" s="641" t="str">
        <f>INPUT!CJ546</f>
        <v>NM</v>
      </c>
      <c r="AN39" s="674">
        <f>INPUT!CK546</f>
        <v>-77.8</v>
      </c>
      <c r="AO39" s="641">
        <f>INPUT!CL546</f>
        <v>-14.22271223814775</v>
      </c>
      <c r="AP39" s="674">
        <f>INPUT!CM546</f>
        <v>-13.5</v>
      </c>
      <c r="AQ39" s="641">
        <f>INPUT!CN546</f>
        <v>-49.056603773584904</v>
      </c>
      <c r="AR39" s="674">
        <f>INPUT!CO546</f>
        <v>-21.2</v>
      </c>
      <c r="AS39" s="641" t="str">
        <f>INPUT!CP546</f>
        <v>NM</v>
      </c>
      <c r="AT39" s="674">
        <f>INPUT!CQ546</f>
        <v>-121</v>
      </c>
      <c r="AU39" s="641" t="str">
        <f>INPUT!CR546</f>
        <v>NM</v>
      </c>
      <c r="AV39" s="674">
        <f>INPUT!CS546</f>
        <v>-97</v>
      </c>
      <c r="AW39" s="641">
        <f>INPUT!CT546</f>
        <v>24.678663239074549</v>
      </c>
      <c r="AX39" s="674">
        <f>INPUT!CU546</f>
        <v>-73</v>
      </c>
      <c r="AY39" s="641" t="str">
        <f>INPUT!CV546</f>
        <v>NM</v>
      </c>
      <c r="AZ39" s="674">
        <f>INPUT!CW546</f>
        <v>12</v>
      </c>
      <c r="BA39" s="641" t="str">
        <f>INPUT!CX546</f>
        <v>NM</v>
      </c>
      <c r="BB39" s="674">
        <f>INPUT!CY546</f>
        <v>25</v>
      </c>
      <c r="BC39" s="641" t="str">
        <f>INPUT!CZ546</f>
        <v>NM</v>
      </c>
      <c r="BD39" s="674">
        <f>INPUT!DA546</f>
        <v>11</v>
      </c>
      <c r="BE39" s="641" t="str">
        <f>INPUT!DB546</f>
        <v>NM</v>
      </c>
      <c r="BF39" s="674">
        <f>INPUT!DC546</f>
        <v>-60</v>
      </c>
      <c r="BG39" s="641">
        <f>INPUT!DD546</f>
        <v>-17.808219178082197</v>
      </c>
      <c r="BH39" s="674">
        <f>INPUT!DE546</f>
        <v>-33</v>
      </c>
      <c r="BI39" s="641" t="str">
        <f>INPUT!DF546</f>
        <v>NM</v>
      </c>
      <c r="BJ39" s="674">
        <f>INPUT!DG546</f>
        <v>-43</v>
      </c>
      <c r="BK39" s="641" t="str">
        <f>INPUT!DH546</f>
        <v>NM</v>
      </c>
      <c r="BL39" s="674">
        <f>INPUT!DI546</f>
        <v>-43</v>
      </c>
      <c r="BM39" s="641" t="str">
        <f>INPUT!DJ546</f>
        <v>NM</v>
      </c>
      <c r="BN39" s="674">
        <f>INPUT!DK546</f>
        <v>-38</v>
      </c>
      <c r="BO39" s="641">
        <f>INPUT!DL546</f>
        <v>-36.666666666666671</v>
      </c>
      <c r="BP39" s="674">
        <f>INPUT!DM546</f>
        <v>-3</v>
      </c>
      <c r="BQ39" s="641" t="str">
        <f>INPUT!DN546</f>
        <v>NM</v>
      </c>
      <c r="BR39" s="674">
        <f>INPUT!DO546</f>
        <v>31</v>
      </c>
      <c r="BS39" s="641" t="str">
        <f>INPUT!DP546</f>
        <v>NM</v>
      </c>
      <c r="BT39" s="674">
        <f>INPUT!DQ546</f>
        <v>-96</v>
      </c>
      <c r="BU39" s="641" t="str">
        <f>INPUT!DR546</f>
        <v>NM</v>
      </c>
      <c r="BV39" s="674">
        <f>INPUT!DS546</f>
        <v>-60</v>
      </c>
      <c r="BW39" s="641">
        <f>INPUT!DT546</f>
        <v>57.894736842105267</v>
      </c>
      <c r="BX39" s="674">
        <f>INPUT!DU546</f>
        <v>-23</v>
      </c>
      <c r="BY39" s="641" t="str">
        <f>INPUT!DV546</f>
        <v>NM</v>
      </c>
      <c r="BZ39" s="674">
        <f>INPUT!DW546</f>
        <v>-11</v>
      </c>
      <c r="CA39" s="641">
        <f>INPUT!DX546</f>
        <v>-11</v>
      </c>
      <c r="CB39" s="674">
        <f>INPUT!DY546</f>
        <v>-118</v>
      </c>
      <c r="CC39" s="641">
        <f>INPUT!DZ546</f>
        <v>22.916666666666675</v>
      </c>
      <c r="CD39" s="674">
        <f>INPUT!EA546</f>
        <v>-102</v>
      </c>
      <c r="CE39" s="641">
        <f>INPUT!EB546</f>
        <v>70</v>
      </c>
      <c r="CF39" s="674">
        <f>INPUT!EC546</f>
        <v>-57</v>
      </c>
      <c r="CG39" s="641" t="str">
        <f>INPUT!ED546</f>
        <v>NM</v>
      </c>
      <c r="CH39" s="674">
        <f>INPUT!EE546</f>
        <v>-4</v>
      </c>
      <c r="CI39" s="641" t="str">
        <f>INPUT!EF546</f>
        <v>NM</v>
      </c>
      <c r="CJ39" s="674">
        <f>INPUT!EG546</f>
        <v>-172</v>
      </c>
      <c r="CK39" s="641">
        <f>INPUT!EH546</f>
        <v>45.762711864406768</v>
      </c>
      <c r="CL39" s="674">
        <f>INPUT!EI546</f>
        <v>-52</v>
      </c>
      <c r="CM39" s="641">
        <f>INPUT!EJ546</f>
        <v>-49.019607843137258</v>
      </c>
      <c r="CN39" s="674">
        <f>INPUT!EK546</f>
        <v>-34</v>
      </c>
      <c r="CO39" s="641">
        <f>INPUT!EL546</f>
        <v>-40.350877192982459</v>
      </c>
      <c r="CP39" s="674">
        <f>INPUT!EM546</f>
        <v>-66</v>
      </c>
      <c r="CQ39" s="641" t="str">
        <f>INPUT!EN546</f>
        <v>NM</v>
      </c>
      <c r="CR39" s="674">
        <f>INPUT!EO546</f>
        <v>-69</v>
      </c>
      <c r="CS39" s="641" t="str">
        <f>INPUT!EP546</f>
        <v>NM</v>
      </c>
      <c r="CT39" s="674">
        <f>INPUT!EQ546</f>
        <v>-68.792999999999992</v>
      </c>
      <c r="CU39" s="641">
        <f>INPUT!ER546</f>
        <v>32.294230769230751</v>
      </c>
      <c r="CV39" s="674">
        <f>INPUT!ES546</f>
        <v>-68.586620999999994</v>
      </c>
      <c r="CW39" s="641" t="str">
        <f>INPUT!ET546</f>
        <v>NM</v>
      </c>
      <c r="CX39" s="674">
        <f>INPUT!EU546</f>
        <v>-68.380861136999997</v>
      </c>
      <c r="CY39" s="641">
        <f>INPUT!EV546</f>
        <v>3.6073653590908972</v>
      </c>
      <c r="CZ39" s="674">
        <f>INPUT!EW546</f>
        <v>-68.175718553588993</v>
      </c>
      <c r="DA39" s="641">
        <f>INPUT!EX546</f>
        <v>-1.1946107919000082</v>
      </c>
      <c r="DB39" s="675"/>
      <c r="DC39" s="674">
        <f>INPUT!FP546</f>
        <v>-14.6</v>
      </c>
      <c r="DD39" s="641" t="str">
        <f>INPUT!FQ546</f>
        <v>NM</v>
      </c>
      <c r="DE39" s="674">
        <f>INPUT!FR546</f>
        <v>-3.7999999999999989</v>
      </c>
      <c r="DF39" s="641" t="str">
        <f>INPUT!FS546</f>
        <v>NM</v>
      </c>
      <c r="DG39" s="674">
        <f>INPUT!FT546</f>
        <v>-119.60000000000001</v>
      </c>
      <c r="DH39" s="641" t="str">
        <f>INPUT!FU546</f>
        <v>NM</v>
      </c>
      <c r="DI39" s="674">
        <f>INPUT!FV546</f>
        <v>-490.08199999999999</v>
      </c>
      <c r="DJ39" s="641" t="str">
        <f>INPUT!FW546</f>
        <v>NM</v>
      </c>
      <c r="DK39" s="674">
        <f>INPUT!FX546</f>
        <v>-689.6</v>
      </c>
      <c r="DL39" s="641">
        <f>INPUT!FY546</f>
        <v>40.711146297966458</v>
      </c>
      <c r="DM39" s="674">
        <f>INPUT!FZ546</f>
        <v>-95.1</v>
      </c>
      <c r="DN39" s="641" t="str">
        <f>INPUT!GA546</f>
        <v>NM</v>
      </c>
      <c r="DO39" s="674">
        <f>INPUT!GB546</f>
        <v>-252.7</v>
      </c>
      <c r="DP39" s="641" t="str">
        <f>INPUT!GC546</f>
        <v>NM</v>
      </c>
      <c r="DQ39" s="674">
        <f>INPUT!GD546</f>
        <v>-25</v>
      </c>
      <c r="DR39" s="641" t="str">
        <f>INPUT!GE546</f>
        <v>NM</v>
      </c>
      <c r="DS39" s="674">
        <f>INPUT!GF546</f>
        <v>-179</v>
      </c>
      <c r="DT39" s="641" t="str">
        <f>INPUT!GG546</f>
        <v>NM</v>
      </c>
      <c r="DU39" s="674">
        <f>INPUT!GH546</f>
        <v>-106</v>
      </c>
      <c r="DV39" s="641">
        <f>INPUT!GI546</f>
        <v>-40.782122905027926</v>
      </c>
      <c r="DW39" s="674">
        <f>INPUT!GJ546</f>
        <v>-212</v>
      </c>
      <c r="DX39" s="641">
        <f>INPUT!GK546</f>
        <v>100</v>
      </c>
      <c r="DY39" s="674">
        <f>INPUT!GL546</f>
        <v>-335</v>
      </c>
      <c r="DZ39" s="641">
        <f>INPUT!GM546</f>
        <v>58.018867924528308</v>
      </c>
      <c r="EA39" s="674">
        <f>INPUT!GN546</f>
        <v>-221</v>
      </c>
      <c r="EB39" s="641">
        <f>INPUT!GO546</f>
        <v>-34.02985074626865</v>
      </c>
      <c r="EC39" s="674">
        <f>INPUT!GP546</f>
        <v>-273.93620069058898</v>
      </c>
      <c r="ED39" s="641">
        <f>INPUT!GQ546</f>
        <v>23.953031986691855</v>
      </c>
      <c r="EE39" s="674">
        <f>INPUT!GR546</f>
        <v>-271.1968386836831</v>
      </c>
      <c r="EF39" s="641">
        <f>INPUT!GS546</f>
        <v>-1.0000000000000009</v>
      </c>
      <c r="EG39" s="674">
        <f>INPUT!GT546</f>
        <v>-268.48487029684628</v>
      </c>
      <c r="EH39" s="641">
        <f>INPUT!GU546</f>
        <v>-0.99999999999998979</v>
      </c>
      <c r="EI39" s="674">
        <f>INPUT!GV546</f>
        <v>-265.80002159387777</v>
      </c>
      <c r="EJ39" s="641">
        <f>INPUT!GW546</f>
        <v>-1.000000000000012</v>
      </c>
      <c r="EK39" s="674">
        <f>INPUT!GX546</f>
        <v>-263.14202137793905</v>
      </c>
      <c r="EL39" s="641">
        <f>INPUT!GY546</f>
        <v>-0.99999999999997868</v>
      </c>
      <c r="EM39" s="852">
        <f>INPUT!GZ546</f>
        <v>3.5522611607423649</v>
      </c>
      <c r="EN39" s="638"/>
      <c r="EO39" s="638"/>
      <c r="EP39" s="638"/>
      <c r="EQ39" s="638"/>
      <c r="ER39" s="638"/>
      <c r="ES39" s="638"/>
      <c r="ET39" s="638"/>
      <c r="EU39" s="638"/>
      <c r="EV39" s="638"/>
      <c r="EW39" s="638"/>
      <c r="EX39" s="638"/>
      <c r="EY39" s="638"/>
      <c r="EZ39" s="638"/>
      <c r="FA39" s="638"/>
      <c r="FB39" s="638"/>
      <c r="FC39" s="638"/>
      <c r="FD39" s="638"/>
      <c r="FE39" s="638"/>
      <c r="FF39" s="638"/>
      <c r="FG39" s="638"/>
      <c r="FH39" s="638"/>
    </row>
    <row r="40" spans="1:164" ht="12.75" hidden="1" customHeight="1" outlineLevel="1" x14ac:dyDescent="0.2">
      <c r="A40" s="866" t="str">
        <f>INPUT!B547</f>
        <v>Gains / (Losses) on Derivatives</v>
      </c>
      <c r="B40" s="674">
        <f>INPUT!AY547</f>
        <v>3.8</v>
      </c>
      <c r="C40" s="641">
        <f>INPUT!AZ547</f>
        <v>35.714285714285722</v>
      </c>
      <c r="D40" s="674">
        <f>INPUT!BA547</f>
        <v>1.2</v>
      </c>
      <c r="E40" s="641" t="str">
        <f>INPUT!BB547</f>
        <v>NM</v>
      </c>
      <c r="F40" s="674">
        <f>INPUT!BC547</f>
        <v>-2.2000000000000002</v>
      </c>
      <c r="G40" s="641" t="str">
        <f>INPUT!BD547</f>
        <v>NM</v>
      </c>
      <c r="H40" s="674">
        <f>INPUT!BE547</f>
        <v>0.1</v>
      </c>
      <c r="I40" s="641" t="str">
        <f>INPUT!BF547</f>
        <v>NA</v>
      </c>
      <c r="J40" s="674">
        <f>INPUT!BG547</f>
        <v>0</v>
      </c>
      <c r="K40" s="641" t="str">
        <f>INPUT!BH547</f>
        <v>NM</v>
      </c>
      <c r="L40" s="674">
        <f>INPUT!BI547</f>
        <v>0</v>
      </c>
      <c r="M40" s="641" t="str">
        <f>INPUT!BJ547</f>
        <v>NM</v>
      </c>
      <c r="N40" s="674">
        <f>INPUT!BK547</f>
        <v>0</v>
      </c>
      <c r="O40" s="641" t="str">
        <f>INPUT!BL547</f>
        <v>NM</v>
      </c>
      <c r="P40" s="674">
        <f>INPUT!BM547</f>
        <v>0</v>
      </c>
      <c r="Q40" s="641" t="str">
        <f>INPUT!BN547</f>
        <v>NM</v>
      </c>
      <c r="R40" s="674">
        <f>INPUT!BO547</f>
        <v>0</v>
      </c>
      <c r="S40" s="641" t="str">
        <f>INPUT!BP547</f>
        <v>NA</v>
      </c>
      <c r="T40" s="674">
        <f>INPUT!BQ547</f>
        <v>0</v>
      </c>
      <c r="U40" s="641" t="str">
        <f>INPUT!BR547</f>
        <v>NA</v>
      </c>
      <c r="V40" s="674">
        <f>INPUT!BS547</f>
        <v>0</v>
      </c>
      <c r="W40" s="641" t="str">
        <f>INPUT!BT547</f>
        <v>NA</v>
      </c>
      <c r="X40" s="674">
        <f>INPUT!BU547</f>
        <v>0</v>
      </c>
      <c r="Y40" s="641" t="str">
        <f>INPUT!BV547</f>
        <v>NA</v>
      </c>
      <c r="Z40" s="674">
        <f>INPUT!BW547</f>
        <v>0</v>
      </c>
      <c r="AA40" s="641" t="str">
        <f>INPUT!BX547</f>
        <v>NA</v>
      </c>
      <c r="AB40" s="674">
        <f>INPUT!BY547</f>
        <v>0</v>
      </c>
      <c r="AC40" s="641" t="str">
        <f>INPUT!BZ547</f>
        <v>NA</v>
      </c>
      <c r="AD40" s="674">
        <f>INPUT!CA547</f>
        <v>0</v>
      </c>
      <c r="AE40" s="641" t="str">
        <f>INPUT!CB547</f>
        <v>NA</v>
      </c>
      <c r="AF40" s="674">
        <f>INPUT!CC547</f>
        <v>0</v>
      </c>
      <c r="AG40" s="641" t="str">
        <f>INPUT!CD547</f>
        <v>NA</v>
      </c>
      <c r="AH40" s="674">
        <f>INPUT!CE547</f>
        <v>0</v>
      </c>
      <c r="AI40" s="641" t="str">
        <f>INPUT!CF547</f>
        <v>NA</v>
      </c>
      <c r="AJ40" s="674">
        <f>INPUT!CG547</f>
        <v>0</v>
      </c>
      <c r="AK40" s="641" t="str">
        <f>INPUT!CH547</f>
        <v>NA</v>
      </c>
      <c r="AL40" s="674">
        <f>INPUT!CI547</f>
        <v>0</v>
      </c>
      <c r="AM40" s="641" t="str">
        <f>INPUT!CJ547</f>
        <v>NA</v>
      </c>
      <c r="AN40" s="674">
        <f>INPUT!CK547</f>
        <v>0</v>
      </c>
      <c r="AO40" s="641" t="str">
        <f>INPUT!CL547</f>
        <v>NA</v>
      </c>
      <c r="AP40" s="674">
        <f>INPUT!CM547</f>
        <v>0</v>
      </c>
      <c r="AQ40" s="641" t="str">
        <f>INPUT!CN547</f>
        <v>NA</v>
      </c>
      <c r="AR40" s="674">
        <f>INPUT!CO547</f>
        <v>0</v>
      </c>
      <c r="AS40" s="641" t="str">
        <f>INPUT!CP547</f>
        <v>NA</v>
      </c>
      <c r="AT40" s="674">
        <f>INPUT!CQ547</f>
        <v>0</v>
      </c>
      <c r="AU40" s="641" t="str">
        <f>INPUT!CR547</f>
        <v>NA</v>
      </c>
      <c r="AV40" s="674">
        <f>INPUT!CS547</f>
        <v>0</v>
      </c>
      <c r="AW40" s="641" t="str">
        <f>INPUT!CT547</f>
        <v>NA</v>
      </c>
      <c r="AX40" s="674">
        <f>INPUT!CU547</f>
        <v>0</v>
      </c>
      <c r="AY40" s="641" t="str">
        <f>INPUT!CV547</f>
        <v>NA</v>
      </c>
      <c r="AZ40" s="674">
        <f>INPUT!CW547</f>
        <v>0</v>
      </c>
      <c r="BA40" s="641" t="str">
        <f>INPUT!CX547</f>
        <v>NA</v>
      </c>
      <c r="BB40" s="674">
        <f>INPUT!CY547</f>
        <v>0</v>
      </c>
      <c r="BC40" s="641" t="str">
        <f>INPUT!CZ547</f>
        <v>NA</v>
      </c>
      <c r="BD40" s="674">
        <f>INPUT!DA547</f>
        <v>0</v>
      </c>
      <c r="BE40" s="641" t="str">
        <f>INPUT!DB547</f>
        <v>NA</v>
      </c>
      <c r="BF40" s="674">
        <f>INPUT!DC547</f>
        <v>0</v>
      </c>
      <c r="BG40" s="641" t="str">
        <f>INPUT!DD547</f>
        <v>NA</v>
      </c>
      <c r="BH40" s="674">
        <f>INPUT!DE547</f>
        <v>0</v>
      </c>
      <c r="BI40" s="641" t="str">
        <f>INPUT!DF547</f>
        <v>NA</v>
      </c>
      <c r="BJ40" s="674">
        <f>INPUT!DG547</f>
        <v>0</v>
      </c>
      <c r="BK40" s="641" t="str">
        <f>INPUT!DH547</f>
        <v>NA</v>
      </c>
      <c r="BL40" s="674">
        <f>INPUT!DI547</f>
        <v>0</v>
      </c>
      <c r="BM40" s="641" t="str">
        <f>INPUT!DJ547</f>
        <v>NA</v>
      </c>
      <c r="BN40" s="674">
        <f>INPUT!DK547</f>
        <v>0</v>
      </c>
      <c r="BO40" s="641" t="str">
        <f>INPUT!DL547</f>
        <v>NA</v>
      </c>
      <c r="BP40" s="674">
        <f>INPUT!DM547</f>
        <v>0</v>
      </c>
      <c r="BQ40" s="641" t="str">
        <f>INPUT!DN547</f>
        <v>NA</v>
      </c>
      <c r="BR40" s="674">
        <f>INPUT!DO547</f>
        <v>0</v>
      </c>
      <c r="BS40" s="641" t="str">
        <f>INPUT!DP547</f>
        <v>NA</v>
      </c>
      <c r="BT40" s="674">
        <f>INPUT!DQ547</f>
        <v>0</v>
      </c>
      <c r="BU40" s="641" t="str">
        <f>INPUT!DR547</f>
        <v>NA</v>
      </c>
      <c r="BV40" s="674">
        <f>INPUT!DS547</f>
        <v>0</v>
      </c>
      <c r="BW40" s="641" t="str">
        <f>INPUT!DT547</f>
        <v>NA</v>
      </c>
      <c r="BX40" s="674">
        <f>INPUT!DU547</f>
        <v>0</v>
      </c>
      <c r="BY40" s="641" t="str">
        <f>INPUT!DV547</f>
        <v>NA</v>
      </c>
      <c r="BZ40" s="674">
        <f>INPUT!DW547</f>
        <v>0</v>
      </c>
      <c r="CA40" s="641">
        <f>INPUT!DX547</f>
        <v>0</v>
      </c>
      <c r="CB40" s="674">
        <f>INPUT!DY547</f>
        <v>0</v>
      </c>
      <c r="CC40" s="641" t="str">
        <f>INPUT!DZ547</f>
        <v>NA</v>
      </c>
      <c r="CD40" s="674">
        <f>INPUT!EA547</f>
        <v>0</v>
      </c>
      <c r="CE40" s="641" t="str">
        <f>INPUT!EB547</f>
        <v>NA</v>
      </c>
      <c r="CF40" s="674">
        <f>INPUT!EC547</f>
        <v>0</v>
      </c>
      <c r="CG40" s="641" t="str">
        <f>INPUT!ED547</f>
        <v>NA</v>
      </c>
      <c r="CH40" s="674">
        <f>INPUT!EE547</f>
        <v>0</v>
      </c>
      <c r="CI40" s="641" t="str">
        <f>INPUT!EF547</f>
        <v>NA</v>
      </c>
      <c r="CJ40" s="674">
        <f>INPUT!EG547</f>
        <v>0</v>
      </c>
      <c r="CK40" s="641" t="str">
        <f>INPUT!EH547</f>
        <v>NA</v>
      </c>
      <c r="CL40" s="674">
        <f>INPUT!EI547</f>
        <v>0</v>
      </c>
      <c r="CM40" s="641" t="str">
        <f>INPUT!EJ547</f>
        <v>NA</v>
      </c>
      <c r="CN40" s="674">
        <f>INPUT!EK547</f>
        <v>0</v>
      </c>
      <c r="CO40" s="641" t="str">
        <f>INPUT!EL547</f>
        <v>NA</v>
      </c>
      <c r="CP40" s="674">
        <f>INPUT!EM547</f>
        <v>0</v>
      </c>
      <c r="CQ40" s="641" t="str">
        <f>INPUT!EN547</f>
        <v>NA</v>
      </c>
      <c r="CR40" s="674">
        <f>INPUT!EO547</f>
        <v>0</v>
      </c>
      <c r="CS40" s="641" t="str">
        <f>INPUT!EP547</f>
        <v>NA</v>
      </c>
      <c r="CT40" s="674">
        <f>INPUT!EQ547</f>
        <v>0</v>
      </c>
      <c r="CU40" s="641" t="str">
        <f>INPUT!ER547</f>
        <v>NA</v>
      </c>
      <c r="CV40" s="674">
        <f>INPUT!ES547</f>
        <v>0</v>
      </c>
      <c r="CW40" s="641" t="str">
        <f>INPUT!ET547</f>
        <v>NA</v>
      </c>
      <c r="CX40" s="674">
        <f>INPUT!EU547</f>
        <v>0</v>
      </c>
      <c r="CY40" s="641" t="str">
        <f>INPUT!EV547</f>
        <v>NA</v>
      </c>
      <c r="CZ40" s="674">
        <f>INPUT!EW547</f>
        <v>0</v>
      </c>
      <c r="DA40" s="641" t="str">
        <f>INPUT!EX547</f>
        <v>NA</v>
      </c>
      <c r="DB40" s="675"/>
      <c r="DC40" s="674">
        <f>INPUT!FP547</f>
        <v>3</v>
      </c>
      <c r="DD40" s="641" t="str">
        <f>INPUT!FQ547</f>
        <v>NM</v>
      </c>
      <c r="DE40" s="674">
        <f>INPUT!FR547</f>
        <v>2.9</v>
      </c>
      <c r="DF40" s="641">
        <f>INPUT!FS547</f>
        <v>-3.3333333333333326</v>
      </c>
      <c r="DG40" s="674">
        <f>INPUT!FT547</f>
        <v>0</v>
      </c>
      <c r="DH40" s="641" t="str">
        <f>INPUT!FU547</f>
        <v>NM</v>
      </c>
      <c r="DI40" s="674">
        <f>INPUT!FV547</f>
        <v>0</v>
      </c>
      <c r="DJ40" s="641" t="str">
        <f>INPUT!FW547</f>
        <v>NA</v>
      </c>
      <c r="DK40" s="674">
        <f>INPUT!FX547</f>
        <v>0</v>
      </c>
      <c r="DL40" s="641" t="str">
        <f>INPUT!FY547</f>
        <v>NA</v>
      </c>
      <c r="DM40" s="674">
        <f>INPUT!FZ547</f>
        <v>0</v>
      </c>
      <c r="DN40" s="641" t="str">
        <f>INPUT!GA547</f>
        <v>NA</v>
      </c>
      <c r="DO40" s="674">
        <f>INPUT!GB547</f>
        <v>0</v>
      </c>
      <c r="DP40" s="641" t="str">
        <f>INPUT!GC547</f>
        <v>NA</v>
      </c>
      <c r="DQ40" s="674">
        <f>INPUT!GD547</f>
        <v>0</v>
      </c>
      <c r="DR40" s="641" t="str">
        <f>INPUT!GE547</f>
        <v>NA</v>
      </c>
      <c r="DS40" s="674">
        <f>INPUT!GF547</f>
        <v>0</v>
      </c>
      <c r="DT40" s="641" t="str">
        <f>INPUT!GG547</f>
        <v>NA</v>
      </c>
      <c r="DU40" s="674">
        <f>INPUT!GH547</f>
        <v>0</v>
      </c>
      <c r="DV40" s="641" t="str">
        <f>INPUT!GI547</f>
        <v>NA</v>
      </c>
      <c r="DW40" s="674">
        <f>INPUT!GJ547</f>
        <v>0</v>
      </c>
      <c r="DX40" s="641" t="str">
        <f>INPUT!GK547</f>
        <v>NA</v>
      </c>
      <c r="DY40" s="674">
        <f>INPUT!GL547</f>
        <v>0</v>
      </c>
      <c r="DZ40" s="641" t="str">
        <f>INPUT!GM547</f>
        <v>NA</v>
      </c>
      <c r="EA40" s="674">
        <f>INPUT!GN547</f>
        <v>0</v>
      </c>
      <c r="EB40" s="641" t="str">
        <f>INPUT!GO547</f>
        <v>NA</v>
      </c>
      <c r="EC40" s="674">
        <f>INPUT!GP547</f>
        <v>0</v>
      </c>
      <c r="ED40" s="641" t="str">
        <f>INPUT!GQ547</f>
        <v>NA</v>
      </c>
      <c r="EE40" s="674">
        <f>INPUT!GR547</f>
        <v>0</v>
      </c>
      <c r="EF40" s="641" t="str">
        <f>INPUT!GS547</f>
        <v>NA</v>
      </c>
      <c r="EG40" s="674">
        <f>INPUT!GT547</f>
        <v>0</v>
      </c>
      <c r="EH40" s="641" t="str">
        <f>INPUT!GU547</f>
        <v>NA</v>
      </c>
      <c r="EI40" s="674">
        <f>INPUT!GV547</f>
        <v>0</v>
      </c>
      <c r="EJ40" s="641" t="str">
        <f>INPUT!GW547</f>
        <v>NA</v>
      </c>
      <c r="EK40" s="674">
        <f>INPUT!GX547</f>
        <v>0</v>
      </c>
      <c r="EL40" s="641" t="str">
        <f>INPUT!GY547</f>
        <v>NA</v>
      </c>
      <c r="EM40" s="852" t="str">
        <f>INPUT!GZ547</f>
        <v/>
      </c>
      <c r="EN40" s="638"/>
      <c r="EO40" s="638"/>
      <c r="EP40" s="638"/>
      <c r="EQ40" s="638"/>
      <c r="ER40" s="638"/>
      <c r="ES40" s="638"/>
      <c r="ET40" s="638"/>
      <c r="EU40" s="638"/>
      <c r="EV40" s="638"/>
      <c r="EW40" s="638"/>
      <c r="EX40" s="638"/>
      <c r="EY40" s="638"/>
      <c r="EZ40" s="638"/>
      <c r="FA40" s="638"/>
      <c r="FB40" s="638"/>
      <c r="FC40" s="638"/>
      <c r="FD40" s="638"/>
      <c r="FE40" s="638"/>
      <c r="FF40" s="638"/>
      <c r="FG40" s="638"/>
      <c r="FH40" s="638"/>
    </row>
    <row r="41" spans="1:164" ht="12.75" hidden="1" customHeight="1" outlineLevel="1" x14ac:dyDescent="0.2">
      <c r="A41" s="866" t="str">
        <f>INPUT!B549</f>
        <v>Special Charges/Gains</v>
      </c>
      <c r="B41" s="674">
        <f>INPUT!AY549</f>
        <v>0.2</v>
      </c>
      <c r="C41" s="641" t="str">
        <f>INPUT!AZ549</f>
        <v>NM</v>
      </c>
      <c r="D41" s="674">
        <f>INPUT!BA549</f>
        <v>0.2</v>
      </c>
      <c r="E41" s="641">
        <f>INPUT!BB549</f>
        <v>0</v>
      </c>
      <c r="F41" s="674">
        <f>INPUT!BC549</f>
        <v>0.2</v>
      </c>
      <c r="G41" s="641">
        <f>INPUT!BD549</f>
        <v>0</v>
      </c>
      <c r="H41" s="674">
        <f>INPUT!BE549</f>
        <v>-3.4</v>
      </c>
      <c r="I41" s="641" t="str">
        <f>INPUT!BF549</f>
        <v>NM</v>
      </c>
      <c r="J41" s="674">
        <f>INPUT!BG549</f>
        <v>0.2</v>
      </c>
      <c r="K41" s="641">
        <f>INPUT!BH549</f>
        <v>0</v>
      </c>
      <c r="L41" s="674">
        <f>INPUT!BI549</f>
        <v>-7.9</v>
      </c>
      <c r="M41" s="641" t="str">
        <f>INPUT!BJ549</f>
        <v>NM</v>
      </c>
      <c r="N41" s="674">
        <f>INPUT!BK549</f>
        <v>0.4</v>
      </c>
      <c r="O41" s="641">
        <f>INPUT!BL549</f>
        <v>100</v>
      </c>
      <c r="P41" s="674">
        <f>INPUT!BM549</f>
        <v>0.4</v>
      </c>
      <c r="Q41" s="641" t="str">
        <f>INPUT!BN549</f>
        <v>NM</v>
      </c>
      <c r="R41" s="674">
        <f>INPUT!BO549</f>
        <v>0.4</v>
      </c>
      <c r="S41" s="641">
        <f>INPUT!BP549</f>
        <v>100</v>
      </c>
      <c r="T41" s="674">
        <f>INPUT!BQ549</f>
        <v>-138.6</v>
      </c>
      <c r="U41" s="641" t="str">
        <f>INPUT!BR549</f>
        <v>NM</v>
      </c>
      <c r="V41" s="674">
        <f>INPUT!BS549</f>
        <v>0.4</v>
      </c>
      <c r="W41" s="641">
        <f>INPUT!BT549</f>
        <v>0</v>
      </c>
      <c r="X41" s="674">
        <f>INPUT!BU549</f>
        <v>-157.69999999999999</v>
      </c>
      <c r="Y41" s="641" t="str">
        <f>INPUT!BV549</f>
        <v>NM</v>
      </c>
      <c r="Z41" s="674">
        <f>INPUT!BW549</f>
        <v>-561.29999999999995</v>
      </c>
      <c r="AA41" s="641" t="str">
        <f>INPUT!BX549</f>
        <v>NM</v>
      </c>
      <c r="AB41" s="674">
        <f>INPUT!BY549</f>
        <v>0</v>
      </c>
      <c r="AC41" s="641" t="str">
        <f>INPUT!BZ549</f>
        <v>NM</v>
      </c>
      <c r="AD41" s="674">
        <f>INPUT!CA549</f>
        <v>1.7999999999999998</v>
      </c>
      <c r="AE41" s="641" t="str">
        <f>INPUT!CB549</f>
        <v>NM</v>
      </c>
      <c r="AF41" s="674">
        <f>INPUT!CC549</f>
        <v>-108.3</v>
      </c>
      <c r="AG41" s="641">
        <f>INPUT!CD549</f>
        <v>-31.325301204819279</v>
      </c>
      <c r="AH41" s="674">
        <f>INPUT!CE549</f>
        <v>-12.499999999999998</v>
      </c>
      <c r="AI41" s="641" t="str">
        <f>INPUT!CF549</f>
        <v>NM</v>
      </c>
      <c r="AJ41" s="674">
        <f>INPUT!CG549</f>
        <v>-181.20000000000002</v>
      </c>
      <c r="AK41" s="641" t="str">
        <f>INPUT!CH549</f>
        <v>NA</v>
      </c>
      <c r="AL41" s="674">
        <f>INPUT!CI549</f>
        <v>24.6</v>
      </c>
      <c r="AM41" s="641" t="str">
        <f>INPUT!CJ549</f>
        <v>NM</v>
      </c>
      <c r="AN41" s="674">
        <f>INPUT!CK549</f>
        <v>7.8999999999999995</v>
      </c>
      <c r="AO41" s="641" t="str">
        <f>INPUT!CL549</f>
        <v>NM</v>
      </c>
      <c r="AP41" s="674">
        <f>INPUT!CM549</f>
        <v>5.3000000000000007</v>
      </c>
      <c r="AQ41" s="641" t="str">
        <f>INPUT!CN549</f>
        <v>NM</v>
      </c>
      <c r="AR41" s="674">
        <f>INPUT!CO549</f>
        <v>-0.9</v>
      </c>
      <c r="AS41" s="641" t="str">
        <f>INPUT!CP549</f>
        <v>NM</v>
      </c>
      <c r="AT41" s="674">
        <f>INPUT!CQ549</f>
        <v>-46.6</v>
      </c>
      <c r="AU41" s="641" t="str">
        <f>INPUT!CR549</f>
        <v>NM</v>
      </c>
      <c r="AV41" s="674">
        <f>INPUT!CS549</f>
        <v>-721</v>
      </c>
      <c r="AW41" s="641" t="str">
        <f>INPUT!CT549</f>
        <v>NM</v>
      </c>
      <c r="AX41" s="674">
        <f>INPUT!CU549</f>
        <v>24</v>
      </c>
      <c r="AY41" s="641" t="str">
        <f>INPUT!CV549</f>
        <v>NM</v>
      </c>
      <c r="AZ41" s="674">
        <f>INPUT!CW549</f>
        <v>-10</v>
      </c>
      <c r="BA41" s="641" t="str">
        <f>INPUT!CX549</f>
        <v>NM</v>
      </c>
      <c r="BB41" s="674">
        <f>INPUT!CY549</f>
        <v>13</v>
      </c>
      <c r="BC41" s="641" t="str">
        <f>INPUT!CZ549</f>
        <v>NM</v>
      </c>
      <c r="BD41" s="674">
        <f>INPUT!DA549</f>
        <v>-1</v>
      </c>
      <c r="BE41" s="641" t="str">
        <f>INPUT!DB549</f>
        <v>NM</v>
      </c>
      <c r="BF41" s="674">
        <f>INPUT!DC549</f>
        <v>14</v>
      </c>
      <c r="BG41" s="641">
        <f>INPUT!DD549</f>
        <v>-41.666666666666664</v>
      </c>
      <c r="BH41" s="674">
        <f>INPUT!DE549</f>
        <v>-1</v>
      </c>
      <c r="BI41" s="641" t="str">
        <f>INPUT!DF549</f>
        <v>NM</v>
      </c>
      <c r="BJ41" s="674">
        <f>INPUT!DG549</f>
        <v>13</v>
      </c>
      <c r="BK41" s="641">
        <f>INPUT!DH549</f>
        <v>0</v>
      </c>
      <c r="BL41" s="674">
        <f>INPUT!DI549</f>
        <v>12</v>
      </c>
      <c r="BM41" s="641" t="str">
        <f>INPUT!DJ549</f>
        <v>NM</v>
      </c>
      <c r="BN41" s="674">
        <f>INPUT!DK549</f>
        <v>2</v>
      </c>
      <c r="BO41" s="641" t="str">
        <f>INPUT!DL549</f>
        <v>NM</v>
      </c>
      <c r="BP41" s="674">
        <f>INPUT!DM549</f>
        <v>7</v>
      </c>
      <c r="BQ41" s="641" t="str">
        <f>INPUT!DN549</f>
        <v>NM</v>
      </c>
      <c r="BR41" s="674">
        <f>INPUT!DO549</f>
        <v>-6</v>
      </c>
      <c r="BS41" s="641" t="str">
        <f>INPUT!DP549</f>
        <v>NM</v>
      </c>
      <c r="BT41" s="674">
        <f>INPUT!DQ549</f>
        <v>4</v>
      </c>
      <c r="BU41" s="641" t="str">
        <f>INPUT!DR549</f>
        <v>NM</v>
      </c>
      <c r="BV41" s="674">
        <f>INPUT!DS549</f>
        <v>8</v>
      </c>
      <c r="BW41" s="641" t="str">
        <f>INPUT!DT549</f>
        <v>NM</v>
      </c>
      <c r="BX41" s="674">
        <f>INPUT!DU549</f>
        <v>-4</v>
      </c>
      <c r="BY41" s="641" t="str">
        <f>INPUT!DV549</f>
        <v>NM</v>
      </c>
      <c r="BZ41" s="674">
        <f>INPUT!DW549</f>
        <v>-51</v>
      </c>
      <c r="CA41" s="641">
        <f>INPUT!DX549</f>
        <v>-51</v>
      </c>
      <c r="CB41" s="674">
        <f>INPUT!DY549</f>
        <v>19</v>
      </c>
      <c r="CC41" s="641" t="str">
        <f>INPUT!DZ549</f>
        <v>NM</v>
      </c>
      <c r="CD41" s="674">
        <f>INPUT!EA549</f>
        <v>-4</v>
      </c>
      <c r="CE41" s="641" t="str">
        <f>INPUT!EB549</f>
        <v>NM</v>
      </c>
      <c r="CF41" s="674">
        <f>INPUT!EC549</f>
        <v>9</v>
      </c>
      <c r="CG41" s="641" t="str">
        <f>INPUT!ED549</f>
        <v>NM</v>
      </c>
      <c r="CH41" s="674">
        <f>INPUT!EE549</f>
        <v>30</v>
      </c>
      <c r="CI41" s="641" t="str">
        <f>INPUT!EF549</f>
        <v>NM</v>
      </c>
      <c r="CJ41" s="674">
        <f>INPUT!EG549</f>
        <v>-47</v>
      </c>
      <c r="CK41" s="641" t="str">
        <f>INPUT!EH549</f>
        <v>NM</v>
      </c>
      <c r="CL41" s="674">
        <f>INPUT!EI549</f>
        <v>45</v>
      </c>
      <c r="CM41" s="641" t="str">
        <f>INPUT!EJ549</f>
        <v>NM</v>
      </c>
      <c r="CN41" s="674">
        <f>INPUT!EK549</f>
        <v>26</v>
      </c>
      <c r="CO41" s="641" t="str">
        <f>INPUT!EL549</f>
        <v>NM</v>
      </c>
      <c r="CP41" s="674">
        <f>INPUT!EM549</f>
        <v>30</v>
      </c>
      <c r="CQ41" s="641">
        <f>INPUT!EN549</f>
        <v>0</v>
      </c>
      <c r="CR41" s="674">
        <f>INPUT!EO549</f>
        <v>445</v>
      </c>
      <c r="CS41" s="641" t="str">
        <f>INPUT!EP549</f>
        <v>NM</v>
      </c>
      <c r="CT41" s="674">
        <f>INPUT!EQ549</f>
        <v>0</v>
      </c>
      <c r="CU41" s="641" t="str">
        <f>INPUT!ER549</f>
        <v>NM</v>
      </c>
      <c r="CV41" s="674">
        <f>INPUT!ES549</f>
        <v>0</v>
      </c>
      <c r="CW41" s="641" t="str">
        <f>INPUT!ET549</f>
        <v>NM</v>
      </c>
      <c r="CX41" s="674">
        <f>INPUT!EU549</f>
        <v>0</v>
      </c>
      <c r="CY41" s="641" t="str">
        <f>INPUT!EV549</f>
        <v>NM</v>
      </c>
      <c r="CZ41" s="674">
        <f>INPUT!EW549</f>
        <v>0</v>
      </c>
      <c r="DA41" s="641" t="str">
        <f>INPUT!EX549</f>
        <v>NM</v>
      </c>
      <c r="DB41" s="675"/>
      <c r="DC41" s="674">
        <f>INPUT!FP549</f>
        <v>10.099999999999998</v>
      </c>
      <c r="DD41" s="641" t="str">
        <f>INPUT!FQ549</f>
        <v>NA</v>
      </c>
      <c r="DE41" s="674">
        <f>INPUT!FR549</f>
        <v>-2.8</v>
      </c>
      <c r="DF41" s="641" t="str">
        <f>INPUT!FS549</f>
        <v>NM</v>
      </c>
      <c r="DG41" s="674">
        <f>INPUT!FT549</f>
        <v>-6.8999999999999995</v>
      </c>
      <c r="DH41" s="641" t="str">
        <f>INPUT!FU549</f>
        <v>NM</v>
      </c>
      <c r="DI41" s="674">
        <f>INPUT!FV549</f>
        <v>-295.5</v>
      </c>
      <c r="DJ41" s="641" t="str">
        <f>INPUT!FW549</f>
        <v>NM</v>
      </c>
      <c r="DK41" s="674">
        <f>INPUT!FX549</f>
        <v>-667.8</v>
      </c>
      <c r="DL41" s="641" t="str">
        <f>INPUT!FY549</f>
        <v>NM</v>
      </c>
      <c r="DM41" s="674">
        <f>INPUT!FZ549</f>
        <v>-161.20000000000002</v>
      </c>
      <c r="DN41" s="641" t="str">
        <f>INPUT!GA549</f>
        <v>NM</v>
      </c>
      <c r="DO41" s="674">
        <f>INPUT!GB549</f>
        <v>-763.2</v>
      </c>
      <c r="DP41" s="641" t="str">
        <f>INPUT!GC549</f>
        <v>NM</v>
      </c>
      <c r="DQ41" s="674">
        <f>INPUT!GD549</f>
        <v>27</v>
      </c>
      <c r="DR41" s="641" t="str">
        <f>INPUT!GE549</f>
        <v>NM</v>
      </c>
      <c r="DS41" s="674">
        <f>INPUT!GF549</f>
        <v>38</v>
      </c>
      <c r="DT41" s="641">
        <f>INPUT!GG549</f>
        <v>40.740740740740748</v>
      </c>
      <c r="DU41" s="674">
        <f>INPUT!GH549</f>
        <v>7</v>
      </c>
      <c r="DV41" s="641" t="str">
        <f>INPUT!GI549</f>
        <v>NM</v>
      </c>
      <c r="DW41" s="674">
        <f>INPUT!GJ549</f>
        <v>-28</v>
      </c>
      <c r="DX41" s="641" t="str">
        <f>INPUT!GK549</f>
        <v>NM</v>
      </c>
      <c r="DY41" s="674">
        <f>INPUT!GL549</f>
        <v>-12</v>
      </c>
      <c r="DZ41" s="641" t="str">
        <f>INPUT!GM549</f>
        <v>NM</v>
      </c>
      <c r="EA41" s="674">
        <f>INPUT!GN549</f>
        <v>546</v>
      </c>
      <c r="EB41" s="641" t="str">
        <f>INPUT!GO549</f>
        <v>NM</v>
      </c>
      <c r="EC41" s="674">
        <f>INPUT!GP549</f>
        <v>0</v>
      </c>
      <c r="ED41" s="641" t="str">
        <f>INPUT!GQ549</f>
        <v>NM</v>
      </c>
      <c r="EE41" s="674">
        <f>INPUT!GR549</f>
        <v>0</v>
      </c>
      <c r="EF41" s="641" t="str">
        <f>INPUT!GS549</f>
        <v>NA</v>
      </c>
      <c r="EG41" s="674">
        <f>INPUT!GT549</f>
        <v>0</v>
      </c>
      <c r="EH41" s="641" t="str">
        <f>INPUT!GU549</f>
        <v>NA</v>
      </c>
      <c r="EI41" s="674">
        <f>INPUT!GV549</f>
        <v>0</v>
      </c>
      <c r="EJ41" s="641" t="str">
        <f>INPUT!GW549</f>
        <v>NA</v>
      </c>
      <c r="EK41" s="674">
        <f>INPUT!GX549</f>
        <v>0</v>
      </c>
      <c r="EL41" s="641" t="str">
        <f>INPUT!GY549</f>
        <v>NA</v>
      </c>
      <c r="EM41" s="852" t="str">
        <f>INPUT!GZ549</f>
        <v>NM</v>
      </c>
      <c r="EN41" s="638"/>
      <c r="EO41" s="638"/>
      <c r="EP41" s="638"/>
      <c r="EQ41" s="638"/>
      <c r="ER41" s="638"/>
      <c r="ES41" s="638"/>
      <c r="ET41" s="638"/>
      <c r="EU41" s="638"/>
      <c r="EV41" s="638"/>
      <c r="EW41" s="638"/>
      <c r="EX41" s="638"/>
      <c r="EY41" s="638"/>
      <c r="EZ41" s="638"/>
      <c r="FA41" s="638"/>
      <c r="FB41" s="638"/>
      <c r="FC41" s="638"/>
      <c r="FD41" s="638"/>
      <c r="FE41" s="638"/>
      <c r="FF41" s="638"/>
      <c r="FG41" s="638"/>
      <c r="FH41" s="638"/>
    </row>
    <row r="42" spans="1:164" ht="12.75" hidden="1" customHeight="1" outlineLevel="1" x14ac:dyDescent="0.2">
      <c r="A42" s="866" t="str">
        <f>INPUT!B551</f>
        <v>Discountinued Operations</v>
      </c>
      <c r="B42" s="674">
        <f>INPUT!AY551</f>
        <v>0</v>
      </c>
      <c r="C42" s="641">
        <f>INPUT!AZ551</f>
        <v>0</v>
      </c>
      <c r="D42" s="674">
        <f>INPUT!BA551</f>
        <v>0</v>
      </c>
      <c r="E42" s="641">
        <f>INPUT!BB551</f>
        <v>0</v>
      </c>
      <c r="F42" s="674">
        <f>INPUT!BC551</f>
        <v>0</v>
      </c>
      <c r="G42" s="641">
        <f>INPUT!BD551</f>
        <v>0</v>
      </c>
      <c r="H42" s="674">
        <f>INPUT!BE551</f>
        <v>0</v>
      </c>
      <c r="I42" s="641">
        <f>INPUT!BF551</f>
        <v>0</v>
      </c>
      <c r="J42" s="674">
        <f>INPUT!BG551</f>
        <v>0</v>
      </c>
      <c r="K42" s="641">
        <f>INPUT!BH551</f>
        <v>0</v>
      </c>
      <c r="L42" s="674">
        <f>INPUT!BI551</f>
        <v>0</v>
      </c>
      <c r="M42" s="641">
        <f>INPUT!BJ551</f>
        <v>0</v>
      </c>
      <c r="N42" s="674">
        <f>INPUT!BK551</f>
        <v>0</v>
      </c>
      <c r="O42" s="641">
        <f>INPUT!BL551</f>
        <v>0</v>
      </c>
      <c r="P42" s="674">
        <f>INPUT!BM551</f>
        <v>0</v>
      </c>
      <c r="Q42" s="641">
        <f>INPUT!BN551</f>
        <v>0</v>
      </c>
      <c r="R42" s="674">
        <f>INPUT!BO551</f>
        <v>19</v>
      </c>
      <c r="S42" s="641" t="str">
        <f>INPUT!BP551</f>
        <v>NA</v>
      </c>
      <c r="T42" s="674">
        <f>INPUT!BQ551</f>
        <v>28</v>
      </c>
      <c r="U42" s="641" t="str">
        <f>INPUT!BR551</f>
        <v>NA</v>
      </c>
      <c r="V42" s="674">
        <f>INPUT!BS551</f>
        <v>18</v>
      </c>
      <c r="W42" s="641" t="str">
        <f>INPUT!BT551</f>
        <v>NA</v>
      </c>
      <c r="X42" s="674">
        <f>INPUT!BU551</f>
        <v>-2.4</v>
      </c>
      <c r="Y42" s="641" t="str">
        <f>INPUT!BV551</f>
        <v>NA</v>
      </c>
      <c r="Z42" s="674">
        <f>INPUT!BW551</f>
        <v>7.7</v>
      </c>
      <c r="AA42" s="641" t="str">
        <f>INPUT!BX551</f>
        <v>NM</v>
      </c>
      <c r="AB42" s="674">
        <f>INPUT!BY551</f>
        <v>-153.80000000000001</v>
      </c>
      <c r="AC42" s="641" t="str">
        <f>INPUT!BZ551</f>
        <v>NM</v>
      </c>
      <c r="AD42" s="674">
        <f>INPUT!CA551</f>
        <v>72</v>
      </c>
      <c r="AE42" s="641" t="str">
        <f>INPUT!CB551</f>
        <v>NM</v>
      </c>
      <c r="AF42" s="674">
        <f>INPUT!CC551</f>
        <v>4.0999999999999996</v>
      </c>
      <c r="AG42" s="641" t="str">
        <f>INPUT!CD551</f>
        <v>NM</v>
      </c>
      <c r="AH42" s="674">
        <f>INPUT!CE551</f>
        <v>27.9</v>
      </c>
      <c r="AI42" s="641" t="str">
        <f>INPUT!CF551</f>
        <v>NM</v>
      </c>
      <c r="AJ42" s="674">
        <f>INPUT!CG551</f>
        <v>2.7</v>
      </c>
      <c r="AK42" s="641" t="str">
        <f>INPUT!CH551</f>
        <v>NM</v>
      </c>
      <c r="AL42" s="674">
        <f>INPUT!CI551</f>
        <v>-1.7</v>
      </c>
      <c r="AM42" s="641" t="str">
        <f>INPUT!CJ551</f>
        <v>NM</v>
      </c>
      <c r="AN42" s="674">
        <f>INPUT!CK551</f>
        <v>0</v>
      </c>
      <c r="AO42" s="641" t="str">
        <f>INPUT!CL551</f>
        <v>NM</v>
      </c>
      <c r="AP42" s="674">
        <f>INPUT!CM551</f>
        <v>0</v>
      </c>
      <c r="AQ42" s="641" t="str">
        <f>INPUT!CN551</f>
        <v>NM</v>
      </c>
      <c r="AR42" s="674">
        <f>INPUT!CO551</f>
        <v>0</v>
      </c>
      <c r="AS42" s="641" t="str">
        <f>INPUT!CP551</f>
        <v>NM</v>
      </c>
      <c r="AT42" s="674">
        <f>INPUT!CQ551</f>
        <v>-8.4</v>
      </c>
      <c r="AU42" s="641" t="str">
        <f>INPUT!CR551</f>
        <v>NM</v>
      </c>
      <c r="AV42" s="674">
        <f>INPUT!CS551</f>
        <v>0</v>
      </c>
      <c r="AW42" s="641" t="str">
        <f>INPUT!CT551</f>
        <v>NA</v>
      </c>
      <c r="AX42" s="674">
        <f>INPUT!CU551</f>
        <v>-1</v>
      </c>
      <c r="AY42" s="641" t="str">
        <f>INPUT!CV551</f>
        <v>NA</v>
      </c>
      <c r="AZ42" s="674">
        <f>INPUT!CW551</f>
        <v>0</v>
      </c>
      <c r="BA42" s="641" t="str">
        <f>INPUT!CX551</f>
        <v>NA</v>
      </c>
      <c r="BB42" s="674">
        <f>INPUT!CY551</f>
        <v>28</v>
      </c>
      <c r="BC42" s="641" t="str">
        <f>INPUT!CZ551</f>
        <v>NM</v>
      </c>
      <c r="BD42" s="674">
        <f>INPUT!DA551</f>
        <v>0</v>
      </c>
      <c r="BE42" s="641" t="str">
        <f>INPUT!DB551</f>
        <v>NA</v>
      </c>
      <c r="BF42" s="674">
        <f>INPUT!DC551</f>
        <v>0</v>
      </c>
      <c r="BG42" s="641" t="str">
        <f>INPUT!DD551</f>
        <v>NM</v>
      </c>
      <c r="BH42" s="674">
        <f>INPUT!DE551</f>
        <v>0</v>
      </c>
      <c r="BI42" s="641" t="str">
        <f>INPUT!DF551</f>
        <v>NA</v>
      </c>
      <c r="BJ42" s="674">
        <f>INPUT!DG551</f>
        <v>0</v>
      </c>
      <c r="BK42" s="641" t="str">
        <f>INPUT!DH551</f>
        <v>NM</v>
      </c>
      <c r="BL42" s="674">
        <f>INPUT!DI551</f>
        <v>0</v>
      </c>
      <c r="BM42" s="641" t="str">
        <f>INPUT!DJ551</f>
        <v>NA</v>
      </c>
      <c r="BN42" s="674">
        <f>INPUT!DK551</f>
        <v>0</v>
      </c>
      <c r="BO42" s="641" t="str">
        <f>INPUT!DL551</f>
        <v>NA</v>
      </c>
      <c r="BP42" s="674">
        <f>INPUT!DM551</f>
        <v>0</v>
      </c>
      <c r="BQ42" s="641" t="str">
        <f>INPUT!DN551</f>
        <v>NA</v>
      </c>
      <c r="BR42" s="674">
        <f>INPUT!DO551</f>
        <v>0</v>
      </c>
      <c r="BS42" s="641" t="str">
        <f>INPUT!DP551</f>
        <v>NA</v>
      </c>
      <c r="BT42" s="674">
        <f>INPUT!DQ551</f>
        <v>1</v>
      </c>
      <c r="BU42" s="641" t="str">
        <f>INPUT!DR551</f>
        <v>NA</v>
      </c>
      <c r="BV42" s="674">
        <f>INPUT!DS551</f>
        <v>0</v>
      </c>
      <c r="BW42" s="641" t="str">
        <f>INPUT!DT551</f>
        <v>NA</v>
      </c>
      <c r="BX42" s="674">
        <f>INPUT!DU551</f>
        <v>0</v>
      </c>
      <c r="BY42" s="641" t="str">
        <f>INPUT!DV551</f>
        <v>NA</v>
      </c>
      <c r="BZ42" s="674">
        <f>INPUT!DW551</f>
        <v>0</v>
      </c>
      <c r="CA42" s="641">
        <f>INPUT!DX551</f>
        <v>0</v>
      </c>
      <c r="CB42" s="674">
        <f>INPUT!DY551</f>
        <v>0</v>
      </c>
      <c r="CC42" s="641" t="str">
        <f>INPUT!DZ551</f>
        <v>NM</v>
      </c>
      <c r="CD42" s="674">
        <f>INPUT!EA551</f>
        <v>0</v>
      </c>
      <c r="CE42" s="641" t="str">
        <f>INPUT!EB551</f>
        <v>NA</v>
      </c>
      <c r="CF42" s="674">
        <f>INPUT!EC551</f>
        <v>0</v>
      </c>
      <c r="CG42" s="641" t="str">
        <f>INPUT!ED551</f>
        <v>NA</v>
      </c>
      <c r="CH42" s="674">
        <f>INPUT!EE551</f>
        <v>0</v>
      </c>
      <c r="CI42" s="641" t="str">
        <f>INPUT!EF551</f>
        <v>NA</v>
      </c>
      <c r="CJ42" s="674">
        <f>INPUT!EG551</f>
        <v>0</v>
      </c>
      <c r="CK42" s="641" t="str">
        <f>INPUT!EH551</f>
        <v>NA</v>
      </c>
      <c r="CL42" s="674">
        <f>INPUT!EI551</f>
        <v>0</v>
      </c>
      <c r="CM42" s="641" t="str">
        <f>INPUT!EJ551</f>
        <v>NA</v>
      </c>
      <c r="CN42" s="674">
        <f>INPUT!EK551</f>
        <v>0</v>
      </c>
      <c r="CO42" s="641" t="str">
        <f>INPUT!EL551</f>
        <v>NA</v>
      </c>
      <c r="CP42" s="674">
        <f>INPUT!EM551</f>
        <v>0</v>
      </c>
      <c r="CQ42" s="641" t="str">
        <f>INPUT!EN551</f>
        <v>NA</v>
      </c>
      <c r="CR42" s="674">
        <f>INPUT!EO551</f>
        <v>0</v>
      </c>
      <c r="CS42" s="641" t="str">
        <f>INPUT!EP551</f>
        <v>NA</v>
      </c>
      <c r="CT42" s="674">
        <f>INPUT!EQ551</f>
        <v>0</v>
      </c>
      <c r="CU42" s="641" t="str">
        <f>INPUT!ER551</f>
        <v>NA</v>
      </c>
      <c r="CV42" s="674">
        <f>INPUT!ES551</f>
        <v>0</v>
      </c>
      <c r="CW42" s="641" t="str">
        <f>INPUT!ET551</f>
        <v>NA</v>
      </c>
      <c r="CX42" s="674">
        <f>INPUT!EU551</f>
        <v>0</v>
      </c>
      <c r="CY42" s="641" t="str">
        <f>INPUT!EV551</f>
        <v>NA</v>
      </c>
      <c r="CZ42" s="674">
        <f>INPUT!EW551</f>
        <v>0</v>
      </c>
      <c r="DA42" s="641" t="str">
        <f>INPUT!EX551</f>
        <v>NA</v>
      </c>
      <c r="DB42" s="675"/>
      <c r="DC42" s="674">
        <f>INPUT!FP551</f>
        <v>0</v>
      </c>
      <c r="DD42" s="641">
        <f>INPUT!FQ551</f>
        <v>0</v>
      </c>
      <c r="DE42" s="674">
        <f>INPUT!FR551</f>
        <v>0</v>
      </c>
      <c r="DF42" s="641">
        <f>INPUT!FS551</f>
        <v>0</v>
      </c>
      <c r="DG42" s="674">
        <f>INPUT!FT551</f>
        <v>0</v>
      </c>
      <c r="DH42" s="641">
        <f>INPUT!FU551</f>
        <v>0</v>
      </c>
      <c r="DI42" s="674">
        <f>INPUT!FV551</f>
        <v>62.6</v>
      </c>
      <c r="DJ42" s="641" t="str">
        <f>INPUT!FW551</f>
        <v>NA</v>
      </c>
      <c r="DK42" s="674">
        <f>INPUT!FX551</f>
        <v>-70.000000000000028</v>
      </c>
      <c r="DL42" s="641" t="str">
        <f>INPUT!FY551</f>
        <v>NM</v>
      </c>
      <c r="DM42" s="674">
        <f>INPUT!FZ551</f>
        <v>28.9</v>
      </c>
      <c r="DN42" s="641" t="str">
        <f>INPUT!GA551</f>
        <v>NM</v>
      </c>
      <c r="DO42" s="674">
        <f>INPUT!GB551</f>
        <v>-8.4</v>
      </c>
      <c r="DP42" s="641" t="str">
        <f>INPUT!GC551</f>
        <v>NM</v>
      </c>
      <c r="DQ42" s="674">
        <f>INPUT!GD551</f>
        <v>27</v>
      </c>
      <c r="DR42" s="641" t="str">
        <f>INPUT!GE551</f>
        <v>NM</v>
      </c>
      <c r="DS42" s="674">
        <f>INPUT!GF551</f>
        <v>0</v>
      </c>
      <c r="DT42" s="641" t="str">
        <f>INPUT!GG551</f>
        <v>NM</v>
      </c>
      <c r="DU42" s="674">
        <f>INPUT!GH551</f>
        <v>1</v>
      </c>
      <c r="DV42" s="641" t="str">
        <f>INPUT!GI551</f>
        <v>NA</v>
      </c>
      <c r="DW42" s="674">
        <f>INPUT!GJ551</f>
        <v>0</v>
      </c>
      <c r="DX42" s="641" t="str">
        <f>INPUT!GK551</f>
        <v>NM</v>
      </c>
      <c r="DY42" s="674">
        <f>INPUT!GL551</f>
        <v>0</v>
      </c>
      <c r="DZ42" s="641" t="str">
        <f>INPUT!GM551</f>
        <v>NA</v>
      </c>
      <c r="EA42" s="674">
        <f>INPUT!GN551</f>
        <v>0</v>
      </c>
      <c r="EB42" s="641" t="str">
        <f>INPUT!GO551</f>
        <v>NA</v>
      </c>
      <c r="EC42" s="674">
        <f>INPUT!GP551</f>
        <v>0</v>
      </c>
      <c r="ED42" s="641" t="str">
        <f>INPUT!GQ551</f>
        <v>NA</v>
      </c>
      <c r="EE42" s="674">
        <f>INPUT!GR551</f>
        <v>0</v>
      </c>
      <c r="EF42" s="641" t="str">
        <f>INPUT!GS551</f>
        <v>NA</v>
      </c>
      <c r="EG42" s="674">
        <f>INPUT!GT551</f>
        <v>0</v>
      </c>
      <c r="EH42" s="641" t="str">
        <f>INPUT!GU551</f>
        <v>NA</v>
      </c>
      <c r="EI42" s="674">
        <f>INPUT!GV551</f>
        <v>0</v>
      </c>
      <c r="EJ42" s="641" t="str">
        <f>INPUT!GW551</f>
        <v>NA</v>
      </c>
      <c r="EK42" s="674">
        <f>INPUT!GX551</f>
        <v>0</v>
      </c>
      <c r="EL42" s="641" t="str">
        <f>INPUT!GY551</f>
        <v>NA</v>
      </c>
      <c r="EM42" s="852" t="str">
        <f>INPUT!GZ551</f>
        <v/>
      </c>
      <c r="EN42" s="638"/>
      <c r="EO42" s="638"/>
      <c r="EP42" s="638"/>
      <c r="EQ42" s="638"/>
      <c r="ER42" s="638"/>
      <c r="ES42" s="638"/>
      <c r="ET42" s="638"/>
      <c r="EU42" s="638"/>
      <c r="EV42" s="638"/>
      <c r="EW42" s="638"/>
      <c r="EX42" s="638"/>
      <c r="EY42" s="638"/>
      <c r="EZ42" s="638"/>
      <c r="FA42" s="638"/>
      <c r="FB42" s="638"/>
      <c r="FC42" s="638"/>
      <c r="FD42" s="638"/>
      <c r="FE42" s="638"/>
      <c r="FF42" s="638"/>
      <c r="FG42" s="638"/>
      <c r="FH42" s="638"/>
    </row>
    <row r="43" spans="1:164" ht="12.75" customHeight="1" collapsed="1" x14ac:dyDescent="0.2">
      <c r="A43" s="867" t="str">
        <f>INPUT!B552</f>
        <v>Total Non-Operating Items</v>
      </c>
      <c r="B43" s="674">
        <f>INPUT!AY552</f>
        <v>-0.40000000000000052</v>
      </c>
      <c r="C43" s="641" t="str">
        <f>INPUT!AZ552</f>
        <v>NM</v>
      </c>
      <c r="D43" s="674">
        <f>INPUT!BA552</f>
        <v>-2.3999999999999995</v>
      </c>
      <c r="E43" s="641" t="str">
        <f>INPUT!BB552</f>
        <v>NM</v>
      </c>
      <c r="F43" s="674">
        <f>INPUT!BC552</f>
        <v>-7</v>
      </c>
      <c r="G43" s="641" t="str">
        <f>INPUT!BD552</f>
        <v>NM</v>
      </c>
      <c r="H43" s="674">
        <f>INPUT!BE552</f>
        <v>6.1</v>
      </c>
      <c r="I43" s="641" t="str">
        <f>INPUT!BF552</f>
        <v>NM</v>
      </c>
      <c r="J43" s="674">
        <f>INPUT!BG552</f>
        <v>21.7</v>
      </c>
      <c r="K43" s="641" t="str">
        <f>INPUT!BH552</f>
        <v>NM</v>
      </c>
      <c r="L43" s="674">
        <f>INPUT!BI552</f>
        <v>-3.9000000000000004</v>
      </c>
      <c r="M43" s="641">
        <f>INPUT!BJ552</f>
        <v>62.500000000000043</v>
      </c>
      <c r="N43" s="674">
        <f>INPUT!BK552</f>
        <v>-42.300000000000004</v>
      </c>
      <c r="O43" s="641" t="str">
        <f>INPUT!BL552</f>
        <v>NM</v>
      </c>
      <c r="P43" s="674">
        <f>INPUT!BM552</f>
        <v>-102</v>
      </c>
      <c r="Q43" s="641" t="str">
        <f>INPUT!BN552</f>
        <v>NM</v>
      </c>
      <c r="R43" s="674">
        <f>INPUT!BO552</f>
        <v>-10.082000000000001</v>
      </c>
      <c r="S43" s="641" t="str">
        <f>INPUT!BP552</f>
        <v>NM</v>
      </c>
      <c r="T43" s="674">
        <f>INPUT!BQ552</f>
        <v>-183.8</v>
      </c>
      <c r="U43" s="641" t="str">
        <f>INPUT!BR552</f>
        <v>NM</v>
      </c>
      <c r="V43" s="674">
        <f>INPUT!BS552</f>
        <v>-150.29999999999998</v>
      </c>
      <c r="W43" s="641" t="str">
        <f>INPUT!BT552</f>
        <v>NM</v>
      </c>
      <c r="X43" s="674">
        <f>INPUT!BU552</f>
        <v>-378.79999999999995</v>
      </c>
      <c r="Y43" s="641" t="str">
        <f>INPUT!BV552</f>
        <v>NM</v>
      </c>
      <c r="Z43" s="674">
        <f>INPUT!BW552</f>
        <v>-741.99999999999989</v>
      </c>
      <c r="AA43" s="641" t="str">
        <f>INPUT!BX552</f>
        <v>NM</v>
      </c>
      <c r="AB43" s="674">
        <f>INPUT!BY552</f>
        <v>-368.3</v>
      </c>
      <c r="AC43" s="641" t="str">
        <f>INPUT!BZ552</f>
        <v>NM</v>
      </c>
      <c r="AD43" s="674">
        <f>INPUT!CA552</f>
        <v>-122.19999999999999</v>
      </c>
      <c r="AE43" s="641">
        <f>INPUT!CB552</f>
        <v>-18.695941450432464</v>
      </c>
      <c r="AF43" s="674">
        <f>INPUT!CC552</f>
        <v>-194.9</v>
      </c>
      <c r="AG43" s="641">
        <f>INPUT!CD552</f>
        <v>-48.548046462513192</v>
      </c>
      <c r="AH43" s="674">
        <f>INPUT!CE552</f>
        <v>-11.100000000000001</v>
      </c>
      <c r="AI43" s="641" t="str">
        <f>INPUT!CF552</f>
        <v>NM</v>
      </c>
      <c r="AJ43" s="674">
        <f>INPUT!CG552</f>
        <v>-185.80000000000004</v>
      </c>
      <c r="AK43" s="641">
        <f>INPUT!CH552</f>
        <v>-49.551995655715444</v>
      </c>
      <c r="AL43" s="674">
        <f>INPUT!CI552</f>
        <v>39.4</v>
      </c>
      <c r="AM43" s="641" t="str">
        <f>INPUT!CJ552</f>
        <v>NM</v>
      </c>
      <c r="AN43" s="674">
        <f>INPUT!CK552</f>
        <v>-69.899999999999991</v>
      </c>
      <c r="AO43" s="641" t="str">
        <f>INPUT!CL552</f>
        <v>NM</v>
      </c>
      <c r="AP43" s="674">
        <f>INPUT!CM552</f>
        <v>-8.1999999999999993</v>
      </c>
      <c r="AQ43" s="641">
        <f>INPUT!CN552</f>
        <v>-26.126126126126138</v>
      </c>
      <c r="AR43" s="674">
        <f>INPUT!CO552</f>
        <v>-22.099999999999998</v>
      </c>
      <c r="AS43" s="641" t="str">
        <f>INPUT!CP552</f>
        <v>NM</v>
      </c>
      <c r="AT43" s="674">
        <f>INPUT!CQ552</f>
        <v>-176</v>
      </c>
      <c r="AU43" s="641" t="str">
        <f>INPUT!CR552</f>
        <v>NM</v>
      </c>
      <c r="AV43" s="674">
        <f>INPUT!CS552</f>
        <v>-818</v>
      </c>
      <c r="AW43" s="641" t="str">
        <f>INPUT!CT552</f>
        <v>NM</v>
      </c>
      <c r="AX43" s="674">
        <f>INPUT!CU552</f>
        <v>-50</v>
      </c>
      <c r="AY43" s="641" t="str">
        <f>INPUT!CV552</f>
        <v>NM</v>
      </c>
      <c r="AZ43" s="674">
        <f>INPUT!CW552</f>
        <v>2</v>
      </c>
      <c r="BA43" s="641" t="str">
        <f>INPUT!CX552</f>
        <v>NM</v>
      </c>
      <c r="BB43" s="674">
        <f>INPUT!CY552</f>
        <v>66</v>
      </c>
      <c r="BC43" s="641" t="str">
        <f>INPUT!CZ552</f>
        <v>NM</v>
      </c>
      <c r="BD43" s="674">
        <f>INPUT!DA552</f>
        <v>10</v>
      </c>
      <c r="BE43" s="641" t="str">
        <f>INPUT!DB552</f>
        <v>NM</v>
      </c>
      <c r="BF43" s="674">
        <f>INPUT!DC552</f>
        <v>-46</v>
      </c>
      <c r="BG43" s="641">
        <f>INPUT!DD552</f>
        <v>-7.9999999999999964</v>
      </c>
      <c r="BH43" s="674">
        <f>INPUT!DE552</f>
        <v>-34</v>
      </c>
      <c r="BI43" s="641" t="str">
        <f>INPUT!DF552</f>
        <v>NM</v>
      </c>
      <c r="BJ43" s="674">
        <f>INPUT!DG552</f>
        <v>-30</v>
      </c>
      <c r="BK43" s="641" t="str">
        <f>INPUT!DH552</f>
        <v>NM</v>
      </c>
      <c r="BL43" s="674">
        <f>INPUT!DI552</f>
        <v>-31</v>
      </c>
      <c r="BM43" s="641" t="str">
        <f>INPUT!DJ552</f>
        <v>NM</v>
      </c>
      <c r="BN43" s="674">
        <f>INPUT!DK552</f>
        <v>-36</v>
      </c>
      <c r="BO43" s="641">
        <f>INPUT!DL552</f>
        <v>-21.739130434782606</v>
      </c>
      <c r="BP43" s="674">
        <f>INPUT!DM552</f>
        <v>4</v>
      </c>
      <c r="BQ43" s="641" t="str">
        <f>INPUT!DN552</f>
        <v>NM</v>
      </c>
      <c r="BR43" s="674">
        <f>INPUT!DO552</f>
        <v>25</v>
      </c>
      <c r="BS43" s="641" t="str">
        <f>INPUT!DP552</f>
        <v>NM</v>
      </c>
      <c r="BT43" s="674">
        <f>INPUT!DQ552</f>
        <v>-91</v>
      </c>
      <c r="BU43" s="641" t="str">
        <f>INPUT!DR552</f>
        <v>NM</v>
      </c>
      <c r="BV43" s="674">
        <f>INPUT!DS552</f>
        <v>-52</v>
      </c>
      <c r="BW43" s="641">
        <f>INPUT!DT552</f>
        <v>44.444444444444443</v>
      </c>
      <c r="BX43" s="674">
        <f>INPUT!DU552</f>
        <v>-27</v>
      </c>
      <c r="BY43" s="641" t="str">
        <f>INPUT!DV552</f>
        <v>NM</v>
      </c>
      <c r="BZ43" s="674">
        <f>INPUT!DW552</f>
        <v>-62</v>
      </c>
      <c r="CA43" s="641">
        <f>INPUT!DX552</f>
        <v>-62</v>
      </c>
      <c r="CB43" s="674">
        <f>INPUT!DY552</f>
        <v>-99</v>
      </c>
      <c r="CC43" s="641">
        <f>INPUT!DZ552</f>
        <v>8.7912087912087813</v>
      </c>
      <c r="CD43" s="674">
        <f>INPUT!EA552</f>
        <v>-106</v>
      </c>
      <c r="CE43" s="641" t="str">
        <f>INPUT!EB552</f>
        <v>NM</v>
      </c>
      <c r="CF43" s="674">
        <f>INPUT!EC552</f>
        <v>-48</v>
      </c>
      <c r="CG43" s="641">
        <f>INPUT!ED552</f>
        <v>77.777777777777771</v>
      </c>
      <c r="CH43" s="674">
        <f>INPUT!EE552</f>
        <v>26</v>
      </c>
      <c r="CI43" s="641" t="str">
        <f>INPUT!EF552</f>
        <v>NM</v>
      </c>
      <c r="CJ43" s="674">
        <f>INPUT!EG552</f>
        <v>-219</v>
      </c>
      <c r="CK43" s="641" t="str">
        <f>INPUT!EH552</f>
        <v>NM</v>
      </c>
      <c r="CL43" s="674">
        <f>INPUT!EI552</f>
        <v>-7</v>
      </c>
      <c r="CM43" s="641" t="str">
        <f>INPUT!EJ552</f>
        <v>NM</v>
      </c>
      <c r="CN43" s="674">
        <f>INPUT!EK552</f>
        <v>-8</v>
      </c>
      <c r="CO43" s="641" t="str">
        <f>INPUT!EL552</f>
        <v>NM</v>
      </c>
      <c r="CP43" s="674">
        <f>INPUT!EM552</f>
        <v>-36</v>
      </c>
      <c r="CQ43" s="641" t="str">
        <f>INPUT!EN552</f>
        <v>NM</v>
      </c>
      <c r="CR43" s="674">
        <f>INPUT!EO552</f>
        <v>376</v>
      </c>
      <c r="CS43" s="641" t="str">
        <f>INPUT!EP552</f>
        <v>NM</v>
      </c>
      <c r="CT43" s="674">
        <f>INPUT!EQ552</f>
        <v>-68.792999999999992</v>
      </c>
      <c r="CU43" s="641" t="str">
        <f>INPUT!ER552</f>
        <v>NM</v>
      </c>
      <c r="CV43" s="674">
        <f>INPUT!ES552</f>
        <v>-68.586620999999994</v>
      </c>
      <c r="CW43" s="641" t="str">
        <f>INPUT!ET552</f>
        <v>NM</v>
      </c>
      <c r="CX43" s="674">
        <f>INPUT!EU552</f>
        <v>-89.352794548198233</v>
      </c>
      <c r="CY43" s="641" t="str">
        <f>INPUT!EV552</f>
        <v>NM</v>
      </c>
      <c r="CZ43" s="674">
        <f>INPUT!EW552</f>
        <v>-89.130506982520231</v>
      </c>
      <c r="DA43" s="641" t="str">
        <f>INPUT!EX552</f>
        <v>NM</v>
      </c>
      <c r="DB43" s="675"/>
      <c r="DC43" s="674">
        <f>INPUT!FP552</f>
        <v>-1.5000000000000018</v>
      </c>
      <c r="DD43" s="641" t="str">
        <f>INPUT!FQ552</f>
        <v>NM</v>
      </c>
      <c r="DE43" s="674">
        <f>INPUT!FR552</f>
        <v>-3.6999999999999988</v>
      </c>
      <c r="DF43" s="641" t="str">
        <f>INPUT!FS552</f>
        <v>NM</v>
      </c>
      <c r="DG43" s="674">
        <f>INPUT!FT552</f>
        <v>-126.50000000000001</v>
      </c>
      <c r="DH43" s="641" t="str">
        <f>INPUT!FU552</f>
        <v>NM</v>
      </c>
      <c r="DI43" s="674">
        <f>INPUT!FV552</f>
        <v>-722.98199999999997</v>
      </c>
      <c r="DJ43" s="641" t="str">
        <f>INPUT!FW552</f>
        <v>NM</v>
      </c>
      <c r="DK43" s="674">
        <f>INPUT!FX552</f>
        <v>-1427.4</v>
      </c>
      <c r="DL43" s="641">
        <f>INPUT!FY552</f>
        <v>97.432301219117505</v>
      </c>
      <c r="DM43" s="674">
        <f>INPUT!FZ552</f>
        <v>-227.4</v>
      </c>
      <c r="DN43" s="641" t="str">
        <f>INPUT!GA552</f>
        <v>NM</v>
      </c>
      <c r="DO43" s="674">
        <f>INPUT!GB552</f>
        <v>-1024.3000000000002</v>
      </c>
      <c r="DP43" s="641" t="str">
        <f>INPUT!GC552</f>
        <v>NM</v>
      </c>
      <c r="DQ43" s="674">
        <f>INPUT!GD552</f>
        <v>29</v>
      </c>
      <c r="DR43" s="641" t="str">
        <f>INPUT!GE552</f>
        <v>NM</v>
      </c>
      <c r="DS43" s="674">
        <f>INPUT!GF552</f>
        <v>-141</v>
      </c>
      <c r="DT43" s="641" t="str">
        <f>INPUT!GG552</f>
        <v>NM</v>
      </c>
      <c r="DU43" s="674">
        <f>INPUT!GH552</f>
        <v>-98</v>
      </c>
      <c r="DV43" s="641">
        <f>INPUT!GI552</f>
        <v>-30.49645390070922</v>
      </c>
      <c r="DW43" s="674">
        <f>INPUT!GJ552</f>
        <v>-240</v>
      </c>
      <c r="DX43" s="641" t="str">
        <f>INPUT!GK552</f>
        <v>NM</v>
      </c>
      <c r="DY43" s="674">
        <f>INPUT!GL552</f>
        <v>-347</v>
      </c>
      <c r="DZ43" s="641">
        <f>INPUT!GM552</f>
        <v>44.583333333333329</v>
      </c>
      <c r="EA43" s="674">
        <f>INPUT!GN552</f>
        <v>325</v>
      </c>
      <c r="EB43" s="641" t="str">
        <f>INPUT!GO552</f>
        <v>NM</v>
      </c>
      <c r="EC43" s="674">
        <f>INPUT!GP552</f>
        <v>-315.86292253071844</v>
      </c>
      <c r="ED43" s="641" t="str">
        <f>INPUT!GQ552</f>
        <v>NM</v>
      </c>
      <c r="EE43" s="674">
        <f>INPUT!GR552</f>
        <v>-333.89878410182337</v>
      </c>
      <c r="EF43" s="641">
        <f>INPUT!GS552</f>
        <v>5.7100280800925329</v>
      </c>
      <c r="EG43" s="674">
        <f>INPUT!GT552</f>
        <v>-289.30673093326675</v>
      </c>
      <c r="EH43" s="641">
        <f>INPUT!GU552</f>
        <v>-13.354961231292817</v>
      </c>
      <c r="EI43" s="674">
        <f>INPUT!GV552</f>
        <v>-265.80002159387777</v>
      </c>
      <c r="EJ43" s="641">
        <f>INPUT!GW552</f>
        <v>-8.1251857720555982</v>
      </c>
      <c r="EK43" s="674">
        <f>INPUT!GX552</f>
        <v>-263.14202137793905</v>
      </c>
      <c r="EL43" s="641">
        <f>INPUT!GY552</f>
        <v>-0.99999999999997868</v>
      </c>
      <c r="EM43" s="852" t="str">
        <f>INPUT!GZ552</f>
        <v>NM</v>
      </c>
      <c r="EN43" s="638"/>
      <c r="EO43" s="638"/>
      <c r="EP43" s="638"/>
      <c r="EQ43" s="638"/>
      <c r="ER43" s="638"/>
      <c r="ES43" s="638"/>
      <c r="ET43" s="638"/>
      <c r="EU43" s="638"/>
      <c r="EV43" s="638"/>
      <c r="EW43" s="638"/>
      <c r="EX43" s="638"/>
      <c r="EY43" s="638"/>
      <c r="EZ43" s="638"/>
      <c r="FA43" s="638"/>
      <c r="FB43" s="638"/>
      <c r="FC43" s="638"/>
      <c r="FD43" s="638"/>
      <c r="FE43" s="638"/>
      <c r="FF43" s="638"/>
      <c r="FG43" s="638"/>
      <c r="FH43" s="638"/>
    </row>
    <row r="44" spans="1:164" ht="12.75" customHeight="1" x14ac:dyDescent="0.2">
      <c r="A44" s="855" t="str">
        <f>INPUT!B566</f>
        <v xml:space="preserve">Net Income </v>
      </c>
      <c r="B44" s="652">
        <f>INPUT!AY566</f>
        <v>246.55999999999995</v>
      </c>
      <c r="C44" s="641">
        <f>INPUT!AZ566</f>
        <v>12.460203793068803</v>
      </c>
      <c r="D44" s="652">
        <f>INPUT!BA566</f>
        <v>321.06</v>
      </c>
      <c r="E44" s="641">
        <f>INPUT!BB566</f>
        <v>36.294749175379827</v>
      </c>
      <c r="F44" s="652">
        <f>INPUT!BC566</f>
        <v>350.76000000000005</v>
      </c>
      <c r="G44" s="641">
        <f>INPUT!BD566</f>
        <v>38.741218910195641</v>
      </c>
      <c r="H44" s="652">
        <f>INPUT!BE566</f>
        <v>366.55999999999995</v>
      </c>
      <c r="I44" s="641">
        <f>INPUT!BF566</f>
        <v>46.135906073713763</v>
      </c>
      <c r="J44" s="651">
        <f>INPUT!BG566</f>
        <v>361.10000000000008</v>
      </c>
      <c r="K44" s="641">
        <f>INPUT!BH566</f>
        <v>46.455223880597089</v>
      </c>
      <c r="L44" s="651">
        <f>INPUT!BI566</f>
        <v>346.70000000000005</v>
      </c>
      <c r="M44" s="641">
        <f>INPUT!BJ566</f>
        <v>7.9860462218900086</v>
      </c>
      <c r="N44" s="651">
        <f>INPUT!BK566</f>
        <v>290</v>
      </c>
      <c r="O44" s="641">
        <f>INPUT!BL566</f>
        <v>-17.322385676816065</v>
      </c>
      <c r="P44" s="651">
        <f>INPUT!BM566</f>
        <v>199.49999999999983</v>
      </c>
      <c r="Q44" s="641">
        <f>INPUT!BN566</f>
        <v>-45.575076385857741</v>
      </c>
      <c r="R44" s="651">
        <f>INPUT!BO566</f>
        <v>289.41800000000012</v>
      </c>
      <c r="S44" s="641">
        <f>INPUT!BP566</f>
        <v>-19.851010800332304</v>
      </c>
      <c r="T44" s="651">
        <f>INPUT!BQ566</f>
        <v>124.80000000000007</v>
      </c>
      <c r="U44" s="641" t="str">
        <f>INPUT!BR566</f>
        <v>NM</v>
      </c>
      <c r="V44" s="651">
        <f>INPUT!BS566</f>
        <v>147.70000000000013</v>
      </c>
      <c r="W44" s="641">
        <f>INPUT!BT566</f>
        <v>-49.068965517241338</v>
      </c>
      <c r="X44" s="651">
        <f>INPUT!BU566</f>
        <v>-505.90000000000009</v>
      </c>
      <c r="Y44" s="641" t="str">
        <f>INPUT!BV566</f>
        <v>NM</v>
      </c>
      <c r="Z44" s="651">
        <f>INPUT!BW566</f>
        <v>-578.89999999999986</v>
      </c>
      <c r="AA44" s="641" t="str">
        <f>INPUT!BX566</f>
        <v>NM</v>
      </c>
      <c r="AB44" s="651">
        <f>INPUT!BY566</f>
        <v>-160.99999999999986</v>
      </c>
      <c r="AC44" s="641" t="str">
        <f>INPUT!BZ566</f>
        <v>NM</v>
      </c>
      <c r="AD44" s="651">
        <f>INPUT!CA566</f>
        <v>137.00999999999988</v>
      </c>
      <c r="AE44" s="641">
        <f>INPUT!CB566</f>
        <v>-7.2376438727151271</v>
      </c>
      <c r="AF44" s="651">
        <f>INPUT!CC566</f>
        <v>84.1</v>
      </c>
      <c r="AG44" s="641" t="str">
        <f>INPUT!CD566</f>
        <v>NM</v>
      </c>
      <c r="AH44" s="651">
        <f>INPUT!CE566</f>
        <v>246.70000000000007</v>
      </c>
      <c r="AI44" s="641" t="str">
        <f>INPUT!CF566</f>
        <v>NM</v>
      </c>
      <c r="AJ44" s="651">
        <f>INPUT!CG566</f>
        <v>86.6</v>
      </c>
      <c r="AK44" s="641" t="str">
        <f>INPUT!CH566</f>
        <v>NM</v>
      </c>
      <c r="AL44" s="651">
        <f>INPUT!CI566</f>
        <v>243.99999999999997</v>
      </c>
      <c r="AM44" s="641">
        <f>INPUT!CJ566</f>
        <v>78.089190570031519</v>
      </c>
      <c r="AN44" s="651">
        <f>INPUT!CK566</f>
        <v>195.69999999999982</v>
      </c>
      <c r="AO44" s="641" t="str">
        <f>INPUT!CL566</f>
        <v>NM</v>
      </c>
      <c r="AP44" s="651">
        <f>INPUT!CM566</f>
        <v>313.70000000000022</v>
      </c>
      <c r="AQ44" s="641">
        <f>INPUT!CN566</f>
        <v>27.15849209566279</v>
      </c>
      <c r="AR44" s="651">
        <f>INPUT!CO566</f>
        <v>302.79999999999978</v>
      </c>
      <c r="AS44" s="641" t="str">
        <f>INPUT!CP566</f>
        <v>NM</v>
      </c>
      <c r="AT44" s="651">
        <f>INPUT!CQ566</f>
        <v>146.89999999999992</v>
      </c>
      <c r="AU44" s="641">
        <f>INPUT!CR566</f>
        <v>-39.795081967213143</v>
      </c>
      <c r="AV44" s="651">
        <f>INPUT!CS566</f>
        <v>-541</v>
      </c>
      <c r="AW44" s="641">
        <f>INPUT!CT553</f>
        <v>4.2921686746988819</v>
      </c>
      <c r="AX44" s="651">
        <f>INPUT!CU566</f>
        <v>243</v>
      </c>
      <c r="AY44" s="641">
        <f>INPUT!CV566</f>
        <v>-22.537456168313732</v>
      </c>
      <c r="AZ44" s="651">
        <f>INPUT!CW566</f>
        <v>317</v>
      </c>
      <c r="BA44" s="641">
        <f>INPUT!CX566</f>
        <v>4.6895640686922757</v>
      </c>
      <c r="BB44" s="651">
        <f>INPUT!CY566</f>
        <v>428</v>
      </c>
      <c r="BC44" s="641" t="str">
        <f>INPUT!CZ566</f>
        <v>NM</v>
      </c>
      <c r="BD44" s="651">
        <f>INPUT!DA566</f>
        <v>320</v>
      </c>
      <c r="BE44" s="641" t="str">
        <f>INPUT!DB566</f>
        <v>NM</v>
      </c>
      <c r="BF44" s="651">
        <f>INPUT!DC566</f>
        <v>239</v>
      </c>
      <c r="BG44" s="641">
        <f>INPUT!DD566</f>
        <v>-1.6460905349794275</v>
      </c>
      <c r="BH44" s="651">
        <f>INPUT!DE566</f>
        <v>317</v>
      </c>
      <c r="BI44" s="641">
        <f>INPUT!DF566</f>
        <v>0</v>
      </c>
      <c r="BJ44" s="651">
        <f>INPUT!DG566</f>
        <v>337</v>
      </c>
      <c r="BK44" s="641">
        <f>INPUT!DH566</f>
        <v>-21.261682242990652</v>
      </c>
      <c r="BL44" s="651">
        <f>INPUT!DI566</f>
        <v>351</v>
      </c>
      <c r="BM44" s="641">
        <f>INPUT!DJ566</f>
        <v>9.6875000000000036</v>
      </c>
      <c r="BN44" s="651">
        <f>INPUT!DK566</f>
        <v>328</v>
      </c>
      <c r="BO44" s="641">
        <f>INPUT!DL566</f>
        <v>37.238493723849373</v>
      </c>
      <c r="BP44" s="651">
        <f>INPUT!DM566</f>
        <v>399</v>
      </c>
      <c r="BQ44" s="641">
        <f>INPUT!DN566</f>
        <v>25.867507886435327</v>
      </c>
      <c r="BR44" s="651">
        <f>INPUT!DO566</f>
        <v>441</v>
      </c>
      <c r="BS44" s="641">
        <f>INPUT!DP566</f>
        <v>30.86053412462908</v>
      </c>
      <c r="BT44" s="651">
        <f>INPUT!DQ566</f>
        <v>349</v>
      </c>
      <c r="BU44" s="641">
        <f>INPUT!DR566</f>
        <v>-0.56980056980057148</v>
      </c>
      <c r="BV44" s="651">
        <f>INPUT!DS566</f>
        <v>300</v>
      </c>
      <c r="BW44" s="641">
        <f>INPUT!DT566</f>
        <v>-8.5365853658536555</v>
      </c>
      <c r="BX44" s="651">
        <f>INPUT!DU566</f>
        <v>344</v>
      </c>
      <c r="BY44" s="641">
        <f>INPUT!DV566</f>
        <v>-13.78446115288221</v>
      </c>
      <c r="BZ44" s="651">
        <f>INPUT!DW566</f>
        <v>220</v>
      </c>
      <c r="CA44" s="641">
        <f>INPUT!DX566</f>
        <v>220</v>
      </c>
      <c r="CB44" s="651">
        <f>INPUT!DY566</f>
        <v>283</v>
      </c>
      <c r="CC44" s="641">
        <f>INPUT!DZ566</f>
        <v>-18.911174785100282</v>
      </c>
      <c r="CD44" s="651">
        <f>INPUT!EA566</f>
        <v>201</v>
      </c>
      <c r="CE44" s="641">
        <f>INPUT!EB566</f>
        <v>-32.999999999999993</v>
      </c>
      <c r="CF44" s="651">
        <f>INPUT!EC566</f>
        <v>325</v>
      </c>
      <c r="CG44" s="641">
        <f>INPUT!ED566</f>
        <v>-5.5232558139534866</v>
      </c>
      <c r="CH44" s="651">
        <f>INPUT!EE566</f>
        <v>467</v>
      </c>
      <c r="CI44" s="641" t="str">
        <f>INPUT!EF566</f>
        <v>NM</v>
      </c>
      <c r="CJ44" s="651">
        <f>INPUT!EG566</f>
        <v>190</v>
      </c>
      <c r="CK44" s="641">
        <f>INPUT!EH566</f>
        <v>-32.862190812720847</v>
      </c>
      <c r="CL44" s="651">
        <f>INPUT!EI566</f>
        <v>435</v>
      </c>
      <c r="CM44" s="641" t="str">
        <f>INPUT!EJ566</f>
        <v>NM</v>
      </c>
      <c r="CN44" s="651">
        <f>INPUT!EK566</f>
        <v>411</v>
      </c>
      <c r="CO44" s="641">
        <f>INPUT!EL566</f>
        <v>26.461538461538471</v>
      </c>
      <c r="CP44" s="651">
        <f>INPUT!EM566</f>
        <v>418</v>
      </c>
      <c r="CQ44" s="641">
        <f>INPUT!EN566</f>
        <v>-10.492505353319059</v>
      </c>
      <c r="CR44" s="651">
        <f>INPUT!EO566</f>
        <v>816</v>
      </c>
      <c r="CS44" s="641" t="str">
        <f>INPUT!EP566</f>
        <v>NM</v>
      </c>
      <c r="CT44" s="651">
        <f>INPUT!EQ566</f>
        <v>364.22239174143363</v>
      </c>
      <c r="CU44" s="641">
        <f>INPUT!ER566</f>
        <v>-16.270714542199173</v>
      </c>
      <c r="CV44" s="651">
        <f>INPUT!ES566</f>
        <v>391.87259890626729</v>
      </c>
      <c r="CW44" s="641">
        <f>INPUT!ET566</f>
        <v>-4.6538688792536975</v>
      </c>
      <c r="CX44" s="651">
        <f>INPUT!EU566</f>
        <v>389.78415433744664</v>
      </c>
      <c r="CY44" s="641">
        <f>INPUT!EV566</f>
        <v>-6.750202311615638</v>
      </c>
      <c r="CZ44" s="651">
        <f>INPUT!EW566</f>
        <v>403.48243687600649</v>
      </c>
      <c r="DA44" s="641" t="str">
        <f>INPUT!EX566</f>
        <v>NM</v>
      </c>
      <c r="DB44" s="640"/>
      <c r="DC44" s="652">
        <f>INPUT!FP566</f>
        <v>958.45600000000002</v>
      </c>
      <c r="DD44" s="641">
        <f>INPUT!FQ566</f>
        <v>75.637896280007325</v>
      </c>
      <c r="DE44" s="651">
        <f>INPUT!FR566</f>
        <v>1284.9399999999998</v>
      </c>
      <c r="DF44" s="641">
        <f>INPUT!FS566</f>
        <v>34.063535519627372</v>
      </c>
      <c r="DG44" s="651">
        <f>INPUT!FT566</f>
        <v>1197.2999999999995</v>
      </c>
      <c r="DH44" s="641">
        <f>INPUT!FU566</f>
        <v>-6.8205519323859765</v>
      </c>
      <c r="DI44" s="651">
        <f>INPUT!FV566</f>
        <v>56.018000000000484</v>
      </c>
      <c r="DJ44" s="641" t="str">
        <f>INPUT!FW566</f>
        <v>NM</v>
      </c>
      <c r="DK44" s="651">
        <f>INPUT!FX566</f>
        <v>-518.78999999999985</v>
      </c>
      <c r="DL44" s="641" t="str">
        <f>INPUT!FY566</f>
        <v>NM</v>
      </c>
      <c r="DM44" s="651">
        <f>INPUT!FZ566</f>
        <v>772.99999999999943</v>
      </c>
      <c r="DN44" s="641" t="str">
        <f>INPUT!GA566</f>
        <v>NM</v>
      </c>
      <c r="DO44" s="651">
        <f>INPUT!GB566</f>
        <v>222.40000000000009</v>
      </c>
      <c r="DP44" s="641" t="str">
        <f>INPUT!GC566</f>
        <v>NM</v>
      </c>
      <c r="DQ44" s="651">
        <f>INPUT!GD566</f>
        <v>1309</v>
      </c>
      <c r="DR44" s="641" t="str">
        <f>INPUT!GE566</f>
        <v>NM</v>
      </c>
      <c r="DS44" s="651">
        <f>INPUT!GF566</f>
        <v>1244</v>
      </c>
      <c r="DT44" s="641">
        <f>INPUT!GG566</f>
        <v>-4.9656226126814307</v>
      </c>
      <c r="DU44" s="651">
        <f>INPUT!GH566</f>
        <v>1517</v>
      </c>
      <c r="DV44" s="641">
        <f>INPUT!GI566</f>
        <v>21.945337620578776</v>
      </c>
      <c r="DW44" s="651">
        <f>INPUT!GJ566</f>
        <v>1147</v>
      </c>
      <c r="DX44" s="641">
        <f>INPUT!GK566</f>
        <v>-24.390243902439025</v>
      </c>
      <c r="DY44" s="651">
        <f>INPUT!GL566</f>
        <v>1183</v>
      </c>
      <c r="DZ44" s="641">
        <f>INPUT!GM566</f>
        <v>3.1386224934611962</v>
      </c>
      <c r="EA44" s="651">
        <f>INPUT!GN566</f>
        <v>2080</v>
      </c>
      <c r="EB44" s="641">
        <f>INPUT!GO566</f>
        <v>75.824175824175825</v>
      </c>
      <c r="EC44" s="651">
        <f>INPUT!GP566</f>
        <v>1549.3615818611524</v>
      </c>
      <c r="ED44" s="641">
        <f>INPUT!GQ566</f>
        <v>-25.511462410521514</v>
      </c>
      <c r="EE44" s="651">
        <f>INPUT!GR566</f>
        <v>1663.3817312694523</v>
      </c>
      <c r="EF44" s="641">
        <f>INPUT!GS566</f>
        <v>7.359169786005304</v>
      </c>
      <c r="EG44" s="651">
        <f>INPUT!GT566</f>
        <v>1897.9027710340356</v>
      </c>
      <c r="EH44" s="641">
        <f>INPUT!GU566</f>
        <v>14.099051069029267</v>
      </c>
      <c r="EI44" s="651">
        <f>INPUT!GV566</f>
        <v>2031.0236834424354</v>
      </c>
      <c r="EJ44" s="641">
        <f>INPUT!GW566</f>
        <v>7.0141060142860479</v>
      </c>
      <c r="EK44" s="651">
        <f>INPUT!GX566</f>
        <v>2154.5297485903538</v>
      </c>
      <c r="EL44" s="641">
        <f>INPUT!GY566</f>
        <v>6.0809761183377553</v>
      </c>
      <c r="EM44" s="852">
        <f>INPUT!GZ566</f>
        <v>0.7065763927251556</v>
      </c>
      <c r="EN44" s="638"/>
      <c r="EO44" s="638"/>
      <c r="EP44" s="638"/>
      <c r="EQ44" s="638"/>
      <c r="ER44" s="638"/>
      <c r="ES44" s="638"/>
      <c r="ET44" s="638"/>
      <c r="EU44" s="638"/>
      <c r="EV44" s="638"/>
      <c r="EW44" s="638"/>
      <c r="EX44" s="638"/>
      <c r="EY44" s="638"/>
      <c r="EZ44" s="638"/>
      <c r="FA44" s="638"/>
      <c r="FB44" s="638"/>
      <c r="FC44" s="638"/>
      <c r="FD44" s="638"/>
      <c r="FE44" s="638"/>
      <c r="FF44" s="638"/>
      <c r="FG44" s="638"/>
      <c r="FH44" s="638"/>
    </row>
    <row r="45" spans="1:164" s="561" customFormat="1" ht="12.75" hidden="1" customHeight="1" outlineLevel="1" x14ac:dyDescent="0.2">
      <c r="A45" s="856" t="s">
        <v>50</v>
      </c>
      <c r="B45" s="653"/>
      <c r="C45" s="654"/>
      <c r="D45" s="653"/>
      <c r="E45" s="654"/>
      <c r="F45" s="653"/>
      <c r="G45" s="654"/>
      <c r="H45" s="653"/>
      <c r="I45" s="654"/>
      <c r="J45" s="653"/>
      <c r="K45" s="654"/>
      <c r="L45" s="653"/>
      <c r="M45" s="654"/>
      <c r="N45" s="653"/>
      <c r="O45" s="654"/>
      <c r="P45" s="653"/>
      <c r="Q45" s="654"/>
      <c r="R45" s="653"/>
      <c r="S45" s="654"/>
      <c r="T45" s="653"/>
      <c r="U45" s="654"/>
      <c r="V45" s="653"/>
      <c r="W45" s="654"/>
      <c r="X45" s="653"/>
      <c r="Y45" s="654"/>
      <c r="Z45" s="653"/>
      <c r="AA45" s="654"/>
      <c r="AB45" s="653"/>
      <c r="AC45" s="654"/>
      <c r="AD45" s="653"/>
      <c r="AE45" s="654"/>
      <c r="AF45" s="653"/>
      <c r="AG45" s="654"/>
      <c r="AH45" s="653"/>
      <c r="AI45" s="654"/>
      <c r="AJ45" s="653"/>
      <c r="AK45" s="654"/>
      <c r="AL45" s="653"/>
      <c r="AM45" s="654"/>
      <c r="AN45" s="653"/>
      <c r="AO45" s="654"/>
      <c r="AP45" s="653">
        <f>(AP26+AP39+AP40+AP41+AP42)-AP44</f>
        <v>0</v>
      </c>
      <c r="AQ45" s="654"/>
      <c r="AR45" s="653">
        <f>(AR26+AR39+AR40+AR41+AR42)-AR44</f>
        <v>0</v>
      </c>
      <c r="AS45" s="654"/>
      <c r="AT45" s="653">
        <f>(AT26+AT39+AT40+AT41+AT42)-AT44</f>
        <v>0</v>
      </c>
      <c r="AU45" s="654"/>
      <c r="AV45" s="653">
        <f>(AV26+AV39+AV40+AV41+AV42)-AV44</f>
        <v>0</v>
      </c>
      <c r="AW45" s="654"/>
      <c r="AX45" s="653">
        <f>(AX26+AX39+AX40+AX41+AX42)-AX44</f>
        <v>0</v>
      </c>
      <c r="AY45" s="654"/>
      <c r="AZ45" s="653">
        <f>(AZ26+AZ39+AZ40+AZ41+AZ42)-AZ44</f>
        <v>0</v>
      </c>
      <c r="BA45" s="654"/>
      <c r="BB45" s="653">
        <f>(BB26+BB39+BB40+BB41+BB42)-BB44</f>
        <v>0</v>
      </c>
      <c r="BC45" s="654"/>
      <c r="BD45" s="653">
        <f>(BD26+BD39+BD40+BD41+BD42)-BD44</f>
        <v>0</v>
      </c>
      <c r="BE45" s="654"/>
      <c r="BF45" s="653">
        <f>(BF26+BF39+BF40+BF41+BF42)-BF44</f>
        <v>0</v>
      </c>
      <c r="BG45" s="654"/>
      <c r="BH45" s="653">
        <f>(BH26+BH39+BH40+BH41+BH42)-BH44</f>
        <v>0</v>
      </c>
      <c r="BI45" s="654"/>
      <c r="BJ45" s="653">
        <f>(BJ26+BJ39+BJ40+BJ41+BJ42)-BJ44</f>
        <v>0</v>
      </c>
      <c r="BK45" s="654"/>
      <c r="BL45" s="653">
        <f>(BL26+BL39+BL40+BL41+BL42)-BL44</f>
        <v>0</v>
      </c>
      <c r="BM45" s="654"/>
      <c r="BN45" s="653">
        <f>(BN26+BN39+BN40+BN41+BN42)-BN44</f>
        <v>0</v>
      </c>
      <c r="BO45" s="654"/>
      <c r="BP45" s="653">
        <f>(BP26+BP39+BP40+BP41+BP42)-BP44</f>
        <v>0</v>
      </c>
      <c r="BQ45" s="654"/>
      <c r="BR45" s="653">
        <f>(BR26+BR39+BR40+BR41+BR42)-BR44</f>
        <v>0</v>
      </c>
      <c r="BS45" s="654"/>
      <c r="BT45" s="653">
        <f>(BT26+BT39+BT40+BT41+BT42)-BT44</f>
        <v>0</v>
      </c>
      <c r="BU45" s="654"/>
      <c r="BV45" s="653">
        <f>(BV26+BV39+BV40+BV41+BV42)-BV44</f>
        <v>0</v>
      </c>
      <c r="BW45" s="654"/>
      <c r="BX45" s="653">
        <f>(BX26+BX39+BX40+BX41+BX42)-BX44</f>
        <v>0</v>
      </c>
      <c r="BY45" s="654"/>
      <c r="BZ45" s="653">
        <f>(BZ26+BZ39+BZ40+BZ41+BZ42)-BZ44</f>
        <v>0</v>
      </c>
      <c r="CA45" s="654"/>
      <c r="CB45" s="653">
        <f>(CB26+CB39+CB40+CB41+CB42)-CB44</f>
        <v>0</v>
      </c>
      <c r="CC45" s="654"/>
      <c r="CD45" s="653">
        <f>(CD26+CD39+CD40+CD41+CD42)-CD44</f>
        <v>0</v>
      </c>
      <c r="CE45" s="654"/>
      <c r="CF45" s="653">
        <f>(CF26+CF39+CF40+CF41+CF42)-CF44</f>
        <v>0</v>
      </c>
      <c r="CG45" s="654"/>
      <c r="CH45" s="653">
        <f>(CH26+CH39+CH40+CH41+CH42)-CH44</f>
        <v>0</v>
      </c>
      <c r="CI45" s="654"/>
      <c r="CJ45" s="653">
        <f>(CJ26+CJ39+CJ40+CJ41+CJ42)-CJ44</f>
        <v>0</v>
      </c>
      <c r="CK45" s="654"/>
      <c r="CL45" s="653">
        <f>(CL26+CL39+CL40+CL41+CL42)-CL44</f>
        <v>0</v>
      </c>
      <c r="CM45" s="654"/>
      <c r="CN45" s="653">
        <f t="shared" ref="CN45" si="24">(CN26+CN39+CN40+CN41+CN42)-CN44</f>
        <v>0</v>
      </c>
      <c r="CO45" s="654"/>
      <c r="CP45" s="653">
        <f t="shared" ref="CP45" si="25">(CP26+CP39+CP40+CP41+CP42)-CP44</f>
        <v>0</v>
      </c>
      <c r="CQ45" s="654"/>
      <c r="CR45" s="653">
        <f t="shared" ref="CR45" si="26">(CR26+CR39+CR40+CR41+CR42)-CR44</f>
        <v>0</v>
      </c>
      <c r="CS45" s="654"/>
      <c r="CT45" s="653">
        <f>(CT26+CT39+CT40+CT41+CT42)-CT44</f>
        <v>0</v>
      </c>
      <c r="CU45" s="654"/>
      <c r="CV45" s="653">
        <f t="shared" ref="CV45" si="27">(CV26+CV39+CV40+CV41+CV42)-CV44</f>
        <v>0</v>
      </c>
      <c r="CW45" s="654"/>
      <c r="CX45" s="653">
        <f t="shared" ref="CX45" si="28">(CX26+CX39+CX40+CX41+CX42)-CX44</f>
        <v>20.971933411198222</v>
      </c>
      <c r="CY45" s="654"/>
      <c r="CZ45" s="653">
        <f t="shared" ref="CZ45" si="29">(CZ26+CZ39+CZ40+CZ41+CZ42)-CZ44</f>
        <v>20.954788428931238</v>
      </c>
      <c r="DA45" s="654"/>
      <c r="DB45" s="655"/>
      <c r="DC45" s="653"/>
      <c r="DD45" s="654"/>
      <c r="DE45" s="653"/>
      <c r="DF45" s="654"/>
      <c r="DG45" s="653"/>
      <c r="DH45" s="654"/>
      <c r="DI45" s="653"/>
      <c r="DJ45" s="654"/>
      <c r="DK45" s="653"/>
      <c r="DL45" s="654"/>
      <c r="DM45" s="653"/>
      <c r="DN45" s="654"/>
      <c r="DO45" s="653">
        <f>(DO26+DO39+DO40+DO41+DO42)-DO44</f>
        <v>0</v>
      </c>
      <c r="DP45" s="654"/>
      <c r="DQ45" s="653">
        <f>(DQ26+DQ39+DQ40+DQ41+DQ42)-DQ44</f>
        <v>0</v>
      </c>
      <c r="DR45" s="654"/>
      <c r="DS45" s="653">
        <f>(DS26+DS39+DS40+DS41+DS42)-DS44</f>
        <v>0</v>
      </c>
      <c r="DT45" s="654"/>
      <c r="DU45" s="653">
        <f>(DU26+DU39+DU40+DU41+DU42)-DU44</f>
        <v>0</v>
      </c>
      <c r="DV45" s="654"/>
      <c r="DW45" s="653">
        <f>(DW26+DW39+DW40+DW41+DW42)-DW44</f>
        <v>0</v>
      </c>
      <c r="DX45" s="654"/>
      <c r="DY45" s="653">
        <f>(DY26+DY39+DY40+DY41+DY42)-DY44</f>
        <v>0</v>
      </c>
      <c r="DZ45" s="654"/>
      <c r="EA45" s="653">
        <f>(EA26+EA39+EA40+EA41+EA42)-EA44</f>
        <v>0</v>
      </c>
      <c r="EB45" s="654"/>
      <c r="EC45" s="653">
        <f>(EC26+EC39+EC40+EC41+EC42)-EC44</f>
        <v>41.926721840129403</v>
      </c>
      <c r="ED45" s="654"/>
      <c r="EE45" s="653">
        <f>(EE26+EE39+EE40+EE41+EE42)-EE44</f>
        <v>62.701945418140212</v>
      </c>
      <c r="EF45" s="654"/>
      <c r="EG45" s="653">
        <f>(EG26+EG39+EG40+EG41+EG42)-EG44</f>
        <v>20.821860636420524</v>
      </c>
      <c r="EH45" s="654"/>
      <c r="EI45" s="653">
        <f>(EI26+EI39+EI40+EI41+EI42)-EI44</f>
        <v>0</v>
      </c>
      <c r="EJ45" s="654"/>
      <c r="EK45" s="653">
        <f>(EK26+EK39+EK40+EK41+EK42)-EK44</f>
        <v>0</v>
      </c>
      <c r="EL45" s="654"/>
      <c r="EM45" s="857"/>
      <c r="EN45" s="639"/>
      <c r="EO45" s="639"/>
      <c r="EP45" s="639"/>
      <c r="EQ45" s="639"/>
      <c r="ER45" s="639"/>
      <c r="ES45" s="639"/>
      <c r="ET45" s="639"/>
      <c r="EU45" s="639"/>
      <c r="EV45" s="639"/>
      <c r="EW45" s="639"/>
      <c r="EX45" s="639"/>
      <c r="EY45" s="639"/>
      <c r="EZ45" s="639"/>
      <c r="FA45" s="639"/>
      <c r="FB45" s="639"/>
      <c r="FC45" s="639"/>
      <c r="FD45" s="639"/>
      <c r="FE45" s="639"/>
      <c r="FF45" s="639"/>
      <c r="FG45" s="639"/>
      <c r="FH45" s="639"/>
    </row>
    <row r="46" spans="1:164" ht="3" customHeight="1" collapsed="1" x14ac:dyDescent="0.2">
      <c r="A46" s="851"/>
      <c r="B46" s="656"/>
      <c r="C46" s="648"/>
      <c r="D46" s="656"/>
      <c r="E46" s="648"/>
      <c r="F46" s="656"/>
      <c r="G46" s="648"/>
      <c r="H46" s="656"/>
      <c r="I46" s="648"/>
      <c r="J46" s="656"/>
      <c r="K46" s="648"/>
      <c r="L46" s="656"/>
      <c r="M46" s="648"/>
      <c r="N46" s="656"/>
      <c r="O46" s="648"/>
      <c r="P46" s="656"/>
      <c r="Q46" s="648"/>
      <c r="R46" s="656"/>
      <c r="S46" s="648"/>
      <c r="T46" s="656"/>
      <c r="U46" s="648"/>
      <c r="V46" s="656"/>
      <c r="W46" s="648"/>
      <c r="X46" s="656"/>
      <c r="Y46" s="648"/>
      <c r="Z46" s="656"/>
      <c r="AA46" s="648"/>
      <c r="AB46" s="656"/>
      <c r="AC46" s="648"/>
      <c r="AD46" s="656"/>
      <c r="AE46" s="648"/>
      <c r="AF46" s="656"/>
      <c r="AG46" s="648"/>
      <c r="AH46" s="656"/>
      <c r="AI46" s="648"/>
      <c r="AJ46" s="656"/>
      <c r="AK46" s="648"/>
      <c r="AL46" s="656"/>
      <c r="AM46" s="648"/>
      <c r="AN46" s="656"/>
      <c r="AO46" s="648"/>
      <c r="AP46" s="656"/>
      <c r="AQ46" s="648"/>
      <c r="AR46" s="656"/>
      <c r="AS46" s="648"/>
      <c r="AT46" s="656"/>
      <c r="AU46" s="648"/>
      <c r="AV46" s="656"/>
      <c r="AW46" s="648"/>
      <c r="AX46" s="656"/>
      <c r="AY46" s="648"/>
      <c r="AZ46" s="656"/>
      <c r="BA46" s="648"/>
      <c r="BB46" s="656"/>
      <c r="BC46" s="648"/>
      <c r="BD46" s="656"/>
      <c r="BE46" s="648"/>
      <c r="BF46" s="656"/>
      <c r="BG46" s="648"/>
      <c r="BH46" s="656"/>
      <c r="BI46" s="648"/>
      <c r="BJ46" s="656"/>
      <c r="BK46" s="648"/>
      <c r="BL46" s="656"/>
      <c r="BM46" s="648"/>
      <c r="BN46" s="656"/>
      <c r="BO46" s="648"/>
      <c r="BP46" s="656"/>
      <c r="BQ46" s="648"/>
      <c r="BR46" s="656"/>
      <c r="BS46" s="648"/>
      <c r="BT46" s="656"/>
      <c r="BU46" s="648"/>
      <c r="BV46" s="656"/>
      <c r="BW46" s="648"/>
      <c r="BX46" s="656"/>
      <c r="BY46" s="648"/>
      <c r="BZ46" s="656"/>
      <c r="CA46" s="648"/>
      <c r="CB46" s="656"/>
      <c r="CC46" s="648"/>
      <c r="CD46" s="656"/>
      <c r="CE46" s="648"/>
      <c r="CF46" s="656"/>
      <c r="CG46" s="648"/>
      <c r="CH46" s="656"/>
      <c r="CI46" s="648"/>
      <c r="CJ46" s="656"/>
      <c r="CK46" s="648"/>
      <c r="CL46" s="656"/>
      <c r="CM46" s="648"/>
      <c r="CN46" s="656"/>
      <c r="CO46" s="648"/>
      <c r="CP46" s="656"/>
      <c r="CQ46" s="648"/>
      <c r="CR46" s="656"/>
      <c r="CS46" s="648"/>
      <c r="CT46" s="656"/>
      <c r="CU46" s="648"/>
      <c r="CV46" s="656"/>
      <c r="CW46" s="648"/>
      <c r="CX46" s="656"/>
      <c r="CY46" s="648"/>
      <c r="CZ46" s="656"/>
      <c r="DA46" s="648"/>
      <c r="DB46" s="640"/>
      <c r="DC46" s="656"/>
      <c r="DD46" s="648"/>
      <c r="DE46" s="656"/>
      <c r="DF46" s="648"/>
      <c r="DG46" s="656"/>
      <c r="DH46" s="648"/>
      <c r="DI46" s="656"/>
      <c r="DJ46" s="648"/>
      <c r="DK46" s="656"/>
      <c r="DL46" s="648"/>
      <c r="DM46" s="656"/>
      <c r="DN46" s="648"/>
      <c r="DO46" s="656"/>
      <c r="DP46" s="648"/>
      <c r="DQ46" s="656"/>
      <c r="DR46" s="648"/>
      <c r="DS46" s="656"/>
      <c r="DT46" s="648"/>
      <c r="DU46" s="656"/>
      <c r="DV46" s="648"/>
      <c r="DW46" s="656"/>
      <c r="DX46" s="648"/>
      <c r="DY46" s="656"/>
      <c r="DZ46" s="648"/>
      <c r="EA46" s="656"/>
      <c r="EB46" s="648"/>
      <c r="EC46" s="656"/>
      <c r="ED46" s="648"/>
      <c r="EE46" s="656"/>
      <c r="EF46" s="648"/>
      <c r="EG46" s="656"/>
      <c r="EH46" s="648"/>
      <c r="EI46" s="656"/>
      <c r="EJ46" s="648"/>
      <c r="EK46" s="656"/>
      <c r="EL46" s="648"/>
      <c r="EM46" s="858"/>
      <c r="EN46" s="638"/>
      <c r="EO46" s="638"/>
      <c r="EP46" s="638"/>
      <c r="EQ46" s="638"/>
      <c r="ER46" s="638"/>
      <c r="ES46" s="638"/>
      <c r="ET46" s="638"/>
      <c r="EU46" s="638"/>
      <c r="EV46" s="638"/>
      <c r="EW46" s="638"/>
      <c r="EX46" s="638"/>
      <c r="EY46" s="638"/>
      <c r="EZ46" s="638"/>
      <c r="FA46" s="638"/>
      <c r="FB46" s="638"/>
      <c r="FC46" s="638"/>
      <c r="FD46" s="638"/>
      <c r="FE46" s="638"/>
      <c r="FF46" s="638"/>
      <c r="FG46" s="638"/>
      <c r="FH46" s="638"/>
    </row>
    <row r="47" spans="1:164" s="559" customFormat="1" ht="12.75" customHeight="1" x14ac:dyDescent="0.2">
      <c r="A47" s="868" t="s">
        <v>14</v>
      </c>
      <c r="B47" s="677">
        <f>INPUT!AY617</f>
        <v>1.39</v>
      </c>
      <c r="C47" s="678">
        <f>INPUT!AZ617</f>
        <v>12.096774193548377</v>
      </c>
      <c r="D47" s="677">
        <f>INPUT!BA617</f>
        <v>1.1399999999999999</v>
      </c>
      <c r="E47" s="678">
        <f>INPUT!BB617</f>
        <v>-14.925373134328368</v>
      </c>
      <c r="F47" s="677">
        <f>INPUT!BC617</f>
        <v>1.24</v>
      </c>
      <c r="G47" s="678">
        <f>INPUT!BD617</f>
        <v>-13.888888888888884</v>
      </c>
      <c r="H47" s="677">
        <f>INPUT!BE617</f>
        <v>1.31</v>
      </c>
      <c r="I47" s="678">
        <f>INPUT!BF617</f>
        <v>-7.7464788732394263</v>
      </c>
      <c r="J47" s="677">
        <f>INPUT!BG617</f>
        <v>1.29</v>
      </c>
      <c r="K47" s="678">
        <f>INPUT!BH617</f>
        <v>-7.1942446043165358</v>
      </c>
      <c r="L47" s="677">
        <f>INPUT!BI617</f>
        <v>1.26</v>
      </c>
      <c r="M47" s="678">
        <f>INPUT!BJ617</f>
        <v>10.526315789473696</v>
      </c>
      <c r="N47" s="677">
        <f>INPUT!BK617</f>
        <v>1.06</v>
      </c>
      <c r="O47" s="678">
        <f>INPUT!BL617</f>
        <v>-14.516129032258062</v>
      </c>
      <c r="P47" s="677">
        <f>INPUT!BM617</f>
        <v>0.74</v>
      </c>
      <c r="Q47" s="678">
        <f>INPUT!BN617</f>
        <v>-43.511450381679396</v>
      </c>
      <c r="R47" s="677">
        <f>INPUT!BO617</f>
        <v>1.1000000000000001</v>
      </c>
      <c r="S47" s="678">
        <f>INPUT!BP617</f>
        <v>-14.728682170542628</v>
      </c>
      <c r="T47" s="677">
        <f>INPUT!BQ617</f>
        <v>0.48</v>
      </c>
      <c r="U47" s="678" t="str">
        <f>INPUT!BR617</f>
        <v>NM</v>
      </c>
      <c r="V47" s="677">
        <f>INPUT!BS617</f>
        <v>0.57695312500000051</v>
      </c>
      <c r="W47" s="678">
        <f>INPUT!BT617</f>
        <v>-45.570459905660329</v>
      </c>
      <c r="X47" s="677">
        <f>INPUT!BU617</f>
        <v>-1.96</v>
      </c>
      <c r="Y47" s="678" t="str">
        <f>INPUT!BV617</f>
        <v>NM</v>
      </c>
      <c r="Z47" s="677">
        <f>INPUT!BW617</f>
        <v>-2.25</v>
      </c>
      <c r="AA47" s="678" t="str">
        <f>INPUT!BX617</f>
        <v>NM</v>
      </c>
      <c r="AB47" s="677">
        <f>INPUT!BY617</f>
        <v>-0.61</v>
      </c>
      <c r="AC47" s="678" t="str">
        <f>INPUT!BZ617</f>
        <v>NM</v>
      </c>
      <c r="AD47" s="677">
        <f>INPUT!CA617</f>
        <v>0.44</v>
      </c>
      <c r="AE47" s="678">
        <f>INPUT!CB617</f>
        <v>-23.737305348679826</v>
      </c>
      <c r="AF47" s="677">
        <f>INPUT!CC617</f>
        <v>0.27</v>
      </c>
      <c r="AG47" s="678" t="str">
        <f>INPUT!CD617</f>
        <v>NM</v>
      </c>
      <c r="AH47" s="677">
        <f>INPUT!CE617</f>
        <v>0.79</v>
      </c>
      <c r="AI47" s="678" t="str">
        <f>INPUT!CF617</f>
        <v>NM</v>
      </c>
      <c r="AJ47" s="677">
        <f>INPUT!CG617</f>
        <v>0.28000000000000003</v>
      </c>
      <c r="AK47" s="678" t="str">
        <f>INPUT!CH617</f>
        <v>NM</v>
      </c>
      <c r="AL47" s="677">
        <f>INPUT!CI617</f>
        <v>0.75</v>
      </c>
      <c r="AM47" s="678">
        <f>INPUT!CJ617</f>
        <v>70.454545454545453</v>
      </c>
      <c r="AN47" s="677">
        <f>INPUT!CK617</f>
        <v>0.61</v>
      </c>
      <c r="AO47" s="678" t="str">
        <f>INPUT!CL617</f>
        <v>NM</v>
      </c>
      <c r="AP47" s="677">
        <f>INPUT!CM617</f>
        <v>0.97</v>
      </c>
      <c r="AQ47" s="678">
        <f>INPUT!CN617</f>
        <v>22.784810126582265</v>
      </c>
      <c r="AR47" s="677">
        <f>INPUT!CO617</f>
        <v>0.94595438925335773</v>
      </c>
      <c r="AS47" s="678" t="str">
        <f>INPUT!CP617</f>
        <v>NM</v>
      </c>
      <c r="AT47" s="677">
        <f>INPUT!CQ617</f>
        <v>0.4708333333333331</v>
      </c>
      <c r="AU47" s="678">
        <f>INPUT!CR617</f>
        <v>-37.222222222222257</v>
      </c>
      <c r="AV47" s="677">
        <f>INPUT!CS617</f>
        <v>-1.816045652903659</v>
      </c>
      <c r="AW47" s="678">
        <f>INPUT!CT554</f>
        <v>11.572342555683424</v>
      </c>
      <c r="AX47" s="677">
        <f>INPUT!CU617</f>
        <v>0.82122338627914837</v>
      </c>
      <c r="AY47" s="678">
        <f>INPUT!CV617</f>
        <v>-15.337795228953777</v>
      </c>
      <c r="AZ47" s="677">
        <f>INPUT!CW617</f>
        <v>1.0931034482758621</v>
      </c>
      <c r="BA47" s="678">
        <f>INPUT!CX617</f>
        <v>15.555618822028961</v>
      </c>
      <c r="BB47" s="677">
        <f>INPUT!CY617</f>
        <v>1.5033368458025993</v>
      </c>
      <c r="BC47" s="678" t="str">
        <f>INPUT!CZ617</f>
        <v>NM</v>
      </c>
      <c r="BD47" s="677">
        <f>INPUT!DA617</f>
        <v>1.1383849163998576</v>
      </c>
      <c r="BE47" s="678" t="str">
        <f>INPUT!DB617</f>
        <v>NM</v>
      </c>
      <c r="BF47" s="677">
        <f>INPUT!DC617</f>
        <v>0.85786073223259141</v>
      </c>
      <c r="BG47" s="678">
        <f>INPUT!DD617</f>
        <v>4.4613130319439476</v>
      </c>
      <c r="BH47" s="677">
        <f>INPUT!DE617</f>
        <v>1.1498005077983315</v>
      </c>
      <c r="BI47" s="678">
        <f>INPUT!DF617</f>
        <v>5.1867972433804699</v>
      </c>
      <c r="BJ47" s="677">
        <f>INPUT!DG617</f>
        <v>1.2312751187431494</v>
      </c>
      <c r="BK47" s="678">
        <f>INPUT!DH617</f>
        <v>-18.097190115379757</v>
      </c>
      <c r="BL47" s="677">
        <f>INPUT!DI617</f>
        <v>1.2866568914956011</v>
      </c>
      <c r="BM47" s="678">
        <f>INPUT!DJ617</f>
        <v>13.024766312316727</v>
      </c>
      <c r="BN47" s="677">
        <f>INPUT!DK617</f>
        <v>1.2054391767732451</v>
      </c>
      <c r="BO47" s="678">
        <f>INPUT!DL617</f>
        <v>40.516884790387508</v>
      </c>
      <c r="BP47" s="677">
        <f>INPUT!DM617</f>
        <v>1.4838229825213836</v>
      </c>
      <c r="BQ47" s="678">
        <f>INPUT!DN617</f>
        <v>29.050472012979633</v>
      </c>
      <c r="BR47" s="677">
        <f>INPUT!DO617</f>
        <v>1.6529235382308844</v>
      </c>
      <c r="BS47" s="678">
        <f>INPUT!DP617</f>
        <v>34.244858283024662</v>
      </c>
      <c r="BT47" s="677">
        <f>INPUT!DQ617</f>
        <v>1.3269961977186311</v>
      </c>
      <c r="BU47" s="678">
        <f>INPUT!DR617</f>
        <v>3.1352030591574209</v>
      </c>
      <c r="BV47" s="677">
        <f>INPUT!DS617</f>
        <v>1.1511895625479662</v>
      </c>
      <c r="BW47" s="678">
        <f>INPUT!DT617</f>
        <v>-4.5004024483836558</v>
      </c>
      <c r="BX47" s="677">
        <f>INPUT!DU617</f>
        <v>1.3495488426834052</v>
      </c>
      <c r="BY47" s="678">
        <f>INPUT!DV617</f>
        <v>-9.0492020557474628</v>
      </c>
      <c r="BZ47" s="677">
        <f>INPUT!DW617</f>
        <v>0.86887835703001581</v>
      </c>
      <c r="CA47" s="678">
        <f>INPUT!DX617</f>
        <v>0.86887835703001581</v>
      </c>
      <c r="CB47" s="677">
        <f>INPUT!DY617</f>
        <v>1.1370028123744476</v>
      </c>
      <c r="CC47" s="678">
        <f>INPUT!DZ617</f>
        <v>-14.317553107598934</v>
      </c>
      <c r="CD47" s="677">
        <f>INPUT!EA617</f>
        <v>0.82007343941248467</v>
      </c>
      <c r="CE47" s="678">
        <f>INPUT!EB617</f>
        <v>-28.762953896368828</v>
      </c>
      <c r="CF47" s="677">
        <f>INPUT!EC617</f>
        <v>1.3547311379741558</v>
      </c>
      <c r="CG47" s="678">
        <f>INPUT!ED617</f>
        <v>0.38400205511985863</v>
      </c>
      <c r="CH47" s="677">
        <f>INPUT!EE617</f>
        <v>1.9991438356164384</v>
      </c>
      <c r="CI47" s="678" t="str">
        <f>INPUT!EF617</f>
        <v>NM</v>
      </c>
      <c r="CJ47" s="677">
        <f>INPUT!EG617</f>
        <v>0.82286704200952787</v>
      </c>
      <c r="CK47" s="678">
        <f>INPUT!EH617</f>
        <v>-27.628407506653186</v>
      </c>
      <c r="CL47" s="677">
        <f>INPUT!EI617</f>
        <v>1.8904823989569752</v>
      </c>
      <c r="CM47" s="678" t="str">
        <f>INPUT!EJ617</f>
        <v>NM</v>
      </c>
      <c r="CN47" s="677">
        <f>INPUT!EK617</f>
        <v>1.8093770636143518</v>
      </c>
      <c r="CO47" s="678">
        <f>INPUT!EL617</f>
        <v>33.559863864948625</v>
      </c>
      <c r="CP47" s="677">
        <f>INPUT!EM617</f>
        <v>1.866904868244752</v>
      </c>
      <c r="CQ47" s="678">
        <f>INPUT!EN617</f>
        <v>-6.6147800381211823</v>
      </c>
      <c r="CR47" s="677">
        <f>INPUT!EO617</f>
        <v>3.6773321315908065</v>
      </c>
      <c r="CS47" s="678" t="str">
        <f>INPUT!EP617</f>
        <v>NM</v>
      </c>
      <c r="CT47" s="677">
        <f>INPUT!EQ617</f>
        <v>1.65</v>
      </c>
      <c r="CU47" s="678">
        <f>INPUT!ER617</f>
        <v>-12.720689655172423</v>
      </c>
      <c r="CV47" s="677">
        <f>INPUT!ES617</f>
        <v>1.77</v>
      </c>
      <c r="CW47" s="678">
        <f>INPUT!ET617</f>
        <v>-2.1762773722627804</v>
      </c>
      <c r="CX47" s="677">
        <f>INPUT!EU617</f>
        <v>1.77</v>
      </c>
      <c r="CY47" s="678">
        <f>INPUT!EV617</f>
        <v>-5.1906698564593174</v>
      </c>
      <c r="CZ47" s="677">
        <f>INPUT!EW617</f>
        <v>1.84</v>
      </c>
      <c r="DA47" s="678">
        <f>INPUT!EX617</f>
        <v>-49.963725490196076</v>
      </c>
      <c r="DB47" s="679"/>
      <c r="DC47" s="677">
        <f>INPUT!FP617</f>
        <v>5.4399999999999995</v>
      </c>
      <c r="DD47" s="678">
        <f>INPUT!FQ617</f>
        <v>85.66552901023887</v>
      </c>
      <c r="DE47" s="677">
        <f>INPUT!FR617</f>
        <v>5.08</v>
      </c>
      <c r="DF47" s="678">
        <f>INPUT!FS617</f>
        <v>-6.6176470588235166</v>
      </c>
      <c r="DG47" s="677">
        <f>INPUT!FT617</f>
        <v>4.3499999999999996</v>
      </c>
      <c r="DH47" s="678">
        <f>INPUT!FU617</f>
        <v>-14.370078740157489</v>
      </c>
      <c r="DI47" s="677">
        <f>INPUT!FV617</f>
        <v>0.22</v>
      </c>
      <c r="DJ47" s="678" t="str">
        <f>INPUT!FW617</f>
        <v>NM</v>
      </c>
      <c r="DK47" s="677">
        <f>INPUT!FX617</f>
        <v>-1.82</v>
      </c>
      <c r="DL47" s="678" t="str">
        <f>INPUT!FY617</f>
        <v>NM</v>
      </c>
      <c r="DM47" s="677">
        <f>INPUT!FZ617</f>
        <v>2.42</v>
      </c>
      <c r="DN47" s="678" t="str">
        <f>INPUT!GA617</f>
        <v>NM</v>
      </c>
      <c r="DO47" s="677">
        <f>INPUT!GB617</f>
        <v>0.71</v>
      </c>
      <c r="DP47" s="678" t="str">
        <f>INPUT!GC617</f>
        <v>NM</v>
      </c>
      <c r="DQ47" s="677">
        <f>INPUT!GD617</f>
        <v>4.55</v>
      </c>
      <c r="DR47" s="678" t="str">
        <f>INPUT!GE617</f>
        <v>NM</v>
      </c>
      <c r="DS47" s="677">
        <f>INPUT!GF617</f>
        <v>4.5199999999999996</v>
      </c>
      <c r="DT47" s="678">
        <f>INPUT!GG617</f>
        <v>-0.6593406593406681</v>
      </c>
      <c r="DU47" s="677">
        <f>INPUT!GH617</f>
        <v>5.66</v>
      </c>
      <c r="DV47" s="678">
        <f>INPUT!GI617</f>
        <v>25.221238938053105</v>
      </c>
      <c r="DW47" s="677">
        <f>INPUT!GJ617</f>
        <v>4.51</v>
      </c>
      <c r="DX47" s="678">
        <f>INPUT!GK617</f>
        <v>-20.318021201413437</v>
      </c>
      <c r="DY47" s="677">
        <f>INPUT!GL617</f>
        <v>4.9800000000000004</v>
      </c>
      <c r="DZ47" s="678">
        <f>INPUT!GM617</f>
        <v>10.421286031042154</v>
      </c>
      <c r="EA47" s="677">
        <f>INPUT!GN617</f>
        <v>9.2100000000000009</v>
      </c>
      <c r="EB47" s="678">
        <f>INPUT!GO617</f>
        <v>84.939759036144565</v>
      </c>
      <c r="EC47" s="677">
        <f>INPUT!GP617</f>
        <v>7.02</v>
      </c>
      <c r="ED47" s="678">
        <f>INPUT!GQ617</f>
        <v>-23.778501628664507</v>
      </c>
      <c r="EE47" s="677">
        <f>INPUT!GR617</f>
        <v>7.6646339470557541</v>
      </c>
      <c r="EF47" s="678">
        <f>INPUT!GS617</f>
        <v>9.1828197586289804</v>
      </c>
      <c r="EG47" s="677">
        <f>INPUT!GT617</f>
        <v>8.9365177717989432</v>
      </c>
      <c r="EH47" s="678">
        <f>INPUT!GU617</f>
        <v>16.594188757465233</v>
      </c>
      <c r="EI47" s="677">
        <f>INPUT!GV617</f>
        <v>9.8134719425644583</v>
      </c>
      <c r="EJ47" s="678">
        <f>INPUT!GW617</f>
        <v>9.8131531001138796</v>
      </c>
      <c r="EK47" s="677">
        <f>INPUT!GX617</f>
        <v>10.693881028423485</v>
      </c>
      <c r="EL47" s="678">
        <f>INPUT!GY617</f>
        <v>8.9714332604384772</v>
      </c>
      <c r="EM47" s="869">
        <f>INPUT!GZ617</f>
        <v>3.0327149025566325</v>
      </c>
    </row>
    <row r="48" spans="1:164" s="561" customFormat="1" ht="12.75" hidden="1" customHeight="1" outlineLevel="1" x14ac:dyDescent="0.2">
      <c r="A48" s="861" t="s">
        <v>50</v>
      </c>
      <c r="B48" s="661"/>
      <c r="C48" s="662"/>
      <c r="D48" s="661"/>
      <c r="E48" s="662"/>
      <c r="F48" s="661"/>
      <c r="G48" s="662"/>
      <c r="H48" s="661"/>
      <c r="I48" s="662"/>
      <c r="J48" s="661"/>
      <c r="K48" s="662"/>
      <c r="L48" s="661"/>
      <c r="M48" s="662"/>
      <c r="N48" s="661"/>
      <c r="O48" s="662"/>
      <c r="P48" s="661"/>
      <c r="Q48" s="662"/>
      <c r="R48" s="661"/>
      <c r="S48" s="662"/>
      <c r="T48" s="661"/>
      <c r="U48" s="662"/>
      <c r="V48" s="661"/>
      <c r="W48" s="662"/>
      <c r="X48" s="661"/>
      <c r="Y48" s="662"/>
      <c r="Z48" s="661"/>
      <c r="AA48" s="662"/>
      <c r="AB48" s="661"/>
      <c r="AC48" s="662"/>
      <c r="AD48" s="661"/>
      <c r="AE48" s="662"/>
      <c r="AF48" s="661"/>
      <c r="AG48" s="662"/>
      <c r="AH48" s="661"/>
      <c r="AI48" s="662"/>
      <c r="AJ48" s="661"/>
      <c r="AK48" s="662"/>
      <c r="AL48" s="661"/>
      <c r="AM48" s="662"/>
      <c r="AN48" s="661"/>
      <c r="AO48" s="662"/>
      <c r="AP48" s="663">
        <f>(AP44/AP71)-AP47</f>
        <v>1.5082068751943734E-3</v>
      </c>
      <c r="AQ48" s="662"/>
      <c r="AR48" s="663">
        <f>(AR44/AR71)-AR47</f>
        <v>0</v>
      </c>
      <c r="AS48" s="662"/>
      <c r="AT48" s="663">
        <f>(AT44/AT71)-AT47</f>
        <v>0</v>
      </c>
      <c r="AU48" s="662"/>
      <c r="AV48" s="663">
        <f>(AV44/AV71)-AV47</f>
        <v>3.292106490102209E-2</v>
      </c>
      <c r="AW48" s="662"/>
      <c r="AX48" s="663">
        <f>(AX44/AX71)-AX47</f>
        <v>0</v>
      </c>
      <c r="AY48" s="662"/>
      <c r="AZ48" s="663">
        <f>(AZ44/AZ71)-AZ47</f>
        <v>0</v>
      </c>
      <c r="BA48" s="662"/>
      <c r="BB48" s="663">
        <f>(BB44/BB71)-BB47</f>
        <v>0</v>
      </c>
      <c r="BC48" s="662"/>
      <c r="BD48" s="663">
        <f>(BD44/BD71)-BD47</f>
        <v>0</v>
      </c>
      <c r="BE48" s="662"/>
      <c r="BF48" s="663">
        <f>(BF44/BF71)-BF47</f>
        <v>0</v>
      </c>
      <c r="BG48" s="662"/>
      <c r="BH48" s="663">
        <f>(BH44/BH71)-BH47</f>
        <v>0</v>
      </c>
      <c r="BI48" s="662"/>
      <c r="BJ48" s="663">
        <f>(BJ44/BJ71)-BJ47</f>
        <v>0</v>
      </c>
      <c r="BK48" s="662"/>
      <c r="BL48" s="663">
        <f>(BL44/BL71)-BL47</f>
        <v>0</v>
      </c>
      <c r="BM48" s="662"/>
      <c r="BN48" s="663">
        <f>(BN44/BN71)-BN47</f>
        <v>0</v>
      </c>
      <c r="BO48" s="662"/>
      <c r="BP48" s="663">
        <f>(BP44/BP71)-BP47</f>
        <v>0</v>
      </c>
      <c r="BQ48" s="662"/>
      <c r="BR48" s="663">
        <f>(BR44/BR71)-BR47</f>
        <v>0</v>
      </c>
      <c r="BS48" s="662"/>
      <c r="BT48" s="663">
        <f>(BT44/BT71)-BT47</f>
        <v>0</v>
      </c>
      <c r="BU48" s="662"/>
      <c r="BV48" s="663">
        <f>(BV44/BV71)-BV47</f>
        <v>0</v>
      </c>
      <c r="BW48" s="662"/>
      <c r="BX48" s="663">
        <f>(BX44/BX71)-BX47</f>
        <v>0</v>
      </c>
      <c r="BY48" s="662"/>
      <c r="BZ48" s="663">
        <f>(BZ44/BZ71)-BZ47</f>
        <v>0</v>
      </c>
      <c r="CA48" s="662"/>
      <c r="CB48" s="663">
        <f>(CB44/CB71)-CB47</f>
        <v>0</v>
      </c>
      <c r="CC48" s="662"/>
      <c r="CD48" s="663">
        <f>(CD44/CD71)-CD47</f>
        <v>0</v>
      </c>
      <c r="CE48" s="662"/>
      <c r="CF48" s="663">
        <f>(CF44/CF71)-CF47</f>
        <v>0</v>
      </c>
      <c r="CG48" s="662"/>
      <c r="CH48" s="663">
        <f>(CH44/CH71)-CH47</f>
        <v>0</v>
      </c>
      <c r="CI48" s="662"/>
      <c r="CJ48" s="663">
        <f>(CJ44/CJ71)-CJ47</f>
        <v>0</v>
      </c>
      <c r="CK48" s="662"/>
      <c r="CL48" s="663">
        <f>(CL44/CL71)-CL47</f>
        <v>0</v>
      </c>
      <c r="CM48" s="662"/>
      <c r="CN48" s="663">
        <f t="shared" ref="CN48" si="30">(CN44/CN71)-CN47</f>
        <v>0</v>
      </c>
      <c r="CO48" s="662"/>
      <c r="CP48" s="663">
        <f t="shared" ref="CP48" si="31">(CP44/CP71)-CP47</f>
        <v>0</v>
      </c>
      <c r="CQ48" s="662"/>
      <c r="CR48" s="663">
        <f t="shared" ref="CR48" si="32">(CR44/CR71)-CR47</f>
        <v>0</v>
      </c>
      <c r="CS48" s="662"/>
      <c r="CT48" s="663">
        <f>(CT44/CT71)-CT47</f>
        <v>-4.169038674046055E-3</v>
      </c>
      <c r="CU48" s="662"/>
      <c r="CV48" s="663">
        <f t="shared" ref="CV48" si="33">(CV44/CV71)-CV47</f>
        <v>7.754130423283101E-4</v>
      </c>
      <c r="CW48" s="662"/>
      <c r="CX48" s="663">
        <f t="shared" ref="CX48" si="34">(CX44/CX71)-CX47</f>
        <v>-4.7317120970904458E-3</v>
      </c>
      <c r="CY48" s="662"/>
      <c r="CZ48" s="663">
        <f t="shared" ref="CZ48" si="35">(CZ44/CZ71)-CZ47</f>
        <v>-4.5842647682508009E-3</v>
      </c>
      <c r="DA48" s="662"/>
      <c r="DB48" s="664"/>
      <c r="DC48" s="664"/>
      <c r="DD48" s="662"/>
      <c r="DE48" s="661"/>
      <c r="DF48" s="662"/>
      <c r="DG48" s="661"/>
      <c r="DH48" s="662"/>
      <c r="DI48" s="661"/>
      <c r="DJ48" s="662"/>
      <c r="DK48" s="661"/>
      <c r="DL48" s="662"/>
      <c r="DM48" s="661"/>
      <c r="DN48" s="662"/>
      <c r="DO48" s="663">
        <f>(DO44/DO71)-DO47</f>
        <v>-3.9682539682536211E-3</v>
      </c>
      <c r="DP48" s="662"/>
      <c r="DQ48" s="663">
        <f>(DQ44/DQ71)-DQ47</f>
        <v>1.4603616133515018E-3</v>
      </c>
      <c r="DR48" s="662"/>
      <c r="DS48" s="663">
        <f>(DS44/DS71)-DS47</f>
        <v>3.4883720930256601E-4</v>
      </c>
      <c r="DT48" s="662"/>
      <c r="DU48" s="663">
        <f>(DU44/DU71)-DU47</f>
        <v>4.4776119402989423E-4</v>
      </c>
      <c r="DV48" s="662"/>
      <c r="DW48" s="663">
        <f>(DW44/DW71)-DW47</f>
        <v>-1.3522012578617293E-3</v>
      </c>
      <c r="DX48" s="662"/>
      <c r="DY48" s="663">
        <f>(DY44/DY71)-DY47</f>
        <v>3.6756187467084089E-3</v>
      </c>
      <c r="DZ48" s="662"/>
      <c r="EA48" s="663">
        <f>(EA44/EA71)-EA47</f>
        <v>3.2218592547472724E-3</v>
      </c>
      <c r="EB48" s="662"/>
      <c r="EC48" s="663">
        <f>(EC44/EC71)-EC47</f>
        <v>-3.273288251032902E-3</v>
      </c>
      <c r="ED48" s="662"/>
      <c r="EE48" s="663">
        <f>(EE44/EE71)-EE47</f>
        <v>0</v>
      </c>
      <c r="EF48" s="662"/>
      <c r="EG48" s="663">
        <f>(EG44/EG71)-EG47</f>
        <v>0</v>
      </c>
      <c r="EH48" s="662"/>
      <c r="EI48" s="663">
        <f>(EI44/EI71)-EI47</f>
        <v>0</v>
      </c>
      <c r="EJ48" s="662"/>
      <c r="EK48" s="663">
        <f>(EK44/EK71)-EK47</f>
        <v>0</v>
      </c>
      <c r="EL48" s="662"/>
      <c r="EM48" s="862"/>
    </row>
    <row r="49" spans="1:162" ht="3" customHeight="1" collapsed="1" x14ac:dyDescent="0.2">
      <c r="A49" s="870"/>
      <c r="B49" s="640"/>
      <c r="C49" s="641"/>
      <c r="D49" s="640"/>
      <c r="E49" s="641"/>
      <c r="F49" s="640"/>
      <c r="G49" s="641"/>
      <c r="H49" s="640"/>
      <c r="I49" s="641"/>
      <c r="J49" s="640"/>
      <c r="K49" s="641"/>
      <c r="L49" s="640"/>
      <c r="M49" s="641"/>
      <c r="N49" s="640"/>
      <c r="O49" s="641"/>
      <c r="P49" s="640"/>
      <c r="Q49" s="641"/>
      <c r="R49" s="640"/>
      <c r="S49" s="641"/>
      <c r="T49" s="640"/>
      <c r="U49" s="641"/>
      <c r="V49" s="640"/>
      <c r="W49" s="641"/>
      <c r="X49" s="640"/>
      <c r="Y49" s="641"/>
      <c r="Z49" s="640"/>
      <c r="AA49" s="641"/>
      <c r="AB49" s="640"/>
      <c r="AC49" s="641"/>
      <c r="AD49" s="640"/>
      <c r="AE49" s="641"/>
      <c r="AF49" s="640"/>
      <c r="AG49" s="641"/>
      <c r="AH49" s="640"/>
      <c r="AI49" s="641"/>
      <c r="AJ49" s="640"/>
      <c r="AK49" s="641"/>
      <c r="AL49" s="640"/>
      <c r="AM49" s="641"/>
      <c r="AN49" s="640"/>
      <c r="AO49" s="641"/>
      <c r="AP49" s="640"/>
      <c r="AQ49" s="641"/>
      <c r="AR49" s="640"/>
      <c r="AS49" s="641"/>
      <c r="AT49" s="640"/>
      <c r="AU49" s="641"/>
      <c r="AV49" s="640"/>
      <c r="AW49" s="641"/>
      <c r="AX49" s="640"/>
      <c r="AY49" s="641"/>
      <c r="AZ49" s="640"/>
      <c r="BA49" s="641"/>
      <c r="BB49" s="640"/>
      <c r="BC49" s="641"/>
      <c r="BD49" s="640"/>
      <c r="BE49" s="641"/>
      <c r="BF49" s="640"/>
      <c r="BG49" s="641"/>
      <c r="BH49" s="640"/>
      <c r="BI49" s="641"/>
      <c r="BJ49" s="640"/>
      <c r="BK49" s="641"/>
      <c r="BL49" s="640"/>
      <c r="BM49" s="641"/>
      <c r="BN49" s="640"/>
      <c r="BO49" s="641"/>
      <c r="BP49" s="640"/>
      <c r="BQ49" s="641"/>
      <c r="BR49" s="640"/>
      <c r="BS49" s="641"/>
      <c r="BT49" s="640"/>
      <c r="BU49" s="641"/>
      <c r="BV49" s="640"/>
      <c r="BW49" s="641"/>
      <c r="BX49" s="640"/>
      <c r="BY49" s="641"/>
      <c r="BZ49" s="640"/>
      <c r="CA49" s="641"/>
      <c r="CB49" s="640"/>
      <c r="CC49" s="641"/>
      <c r="CD49" s="640"/>
      <c r="CE49" s="641"/>
      <c r="CF49" s="640"/>
      <c r="CG49" s="641"/>
      <c r="CH49" s="640"/>
      <c r="CI49" s="641"/>
      <c r="CJ49" s="640"/>
      <c r="CK49" s="641"/>
      <c r="CL49" s="640"/>
      <c r="CM49" s="641"/>
      <c r="CN49" s="640"/>
      <c r="CO49" s="641"/>
      <c r="CP49" s="640"/>
      <c r="CQ49" s="641"/>
      <c r="CR49" s="640"/>
      <c r="CS49" s="641"/>
      <c r="CT49" s="640"/>
      <c r="CU49" s="641"/>
      <c r="CV49" s="640"/>
      <c r="CW49" s="641"/>
      <c r="CX49" s="640"/>
      <c r="CY49" s="641"/>
      <c r="CZ49" s="640"/>
      <c r="DA49" s="641"/>
      <c r="DB49" s="640"/>
      <c r="DC49" s="640"/>
      <c r="DD49" s="641"/>
      <c r="DE49" s="640"/>
      <c r="DF49" s="641"/>
      <c r="DG49" s="640"/>
      <c r="DH49" s="641"/>
      <c r="DI49" s="640"/>
      <c r="DJ49" s="641"/>
      <c r="DK49" s="640"/>
      <c r="DL49" s="641"/>
      <c r="DM49" s="640"/>
      <c r="DN49" s="641"/>
      <c r="DO49" s="640"/>
      <c r="DP49" s="641"/>
      <c r="DQ49" s="640"/>
      <c r="DR49" s="641"/>
      <c r="DS49" s="640"/>
      <c r="DT49" s="641"/>
      <c r="DU49" s="640"/>
      <c r="DV49" s="641"/>
      <c r="DW49" s="640"/>
      <c r="DX49" s="641"/>
      <c r="DY49" s="640"/>
      <c r="DZ49" s="641"/>
      <c r="EA49" s="640"/>
      <c r="EB49" s="641"/>
      <c r="EC49" s="640"/>
      <c r="ED49" s="641"/>
      <c r="EE49" s="640"/>
      <c r="EF49" s="641"/>
      <c r="EG49" s="640"/>
      <c r="EH49" s="641"/>
      <c r="EI49" s="640"/>
      <c r="EJ49" s="641"/>
      <c r="EK49" s="640"/>
      <c r="EL49" s="641"/>
      <c r="EM49" s="852"/>
      <c r="EN49" s="638"/>
      <c r="EO49" s="638"/>
      <c r="EP49" s="638"/>
      <c r="EQ49" s="638"/>
      <c r="ER49" s="638"/>
      <c r="ES49" s="638"/>
      <c r="ET49" s="638"/>
      <c r="EU49" s="638"/>
      <c r="EV49" s="638"/>
      <c r="EW49" s="638"/>
      <c r="EX49" s="638"/>
      <c r="EY49" s="638"/>
      <c r="EZ49" s="638"/>
      <c r="FA49" s="638"/>
      <c r="FB49" s="638"/>
      <c r="FC49" s="638"/>
      <c r="FD49" s="638"/>
      <c r="FE49" s="638"/>
      <c r="FF49" s="638"/>
    </row>
    <row r="50" spans="1:162" ht="12.75" customHeight="1" x14ac:dyDescent="0.2">
      <c r="A50" s="855" t="s">
        <v>636</v>
      </c>
      <c r="B50" s="680"/>
      <c r="C50" s="641"/>
      <c r="D50" s="680"/>
      <c r="E50" s="641"/>
      <c r="F50" s="680"/>
      <c r="G50" s="641"/>
      <c r="H50" s="680"/>
      <c r="I50" s="641"/>
      <c r="J50" s="680"/>
      <c r="K50" s="641"/>
      <c r="L50" s="680"/>
      <c r="M50" s="641"/>
      <c r="N50" s="680"/>
      <c r="O50" s="641"/>
      <c r="P50" s="680"/>
      <c r="Q50" s="641"/>
      <c r="R50" s="680"/>
      <c r="S50" s="641"/>
      <c r="T50" s="680"/>
      <c r="U50" s="641"/>
      <c r="V50" s="680"/>
      <c r="W50" s="641"/>
      <c r="X50" s="680"/>
      <c r="Y50" s="641"/>
      <c r="Z50" s="680"/>
      <c r="AA50" s="641"/>
      <c r="AB50" s="680"/>
      <c r="AC50" s="641"/>
      <c r="AD50" s="680"/>
      <c r="AE50" s="641"/>
      <c r="AF50" s="680"/>
      <c r="AG50" s="641"/>
      <c r="AH50" s="680"/>
      <c r="AI50" s="641"/>
      <c r="AJ50" s="680"/>
      <c r="AK50" s="641"/>
      <c r="AL50" s="680"/>
      <c r="AM50" s="641"/>
      <c r="AN50" s="680"/>
      <c r="AO50" s="641"/>
      <c r="AP50" s="680"/>
      <c r="AQ50" s="641"/>
      <c r="AR50" s="680"/>
      <c r="AS50" s="641"/>
      <c r="AT50" s="680"/>
      <c r="AU50" s="641"/>
      <c r="AV50" s="680"/>
      <c r="AW50" s="641"/>
      <c r="AX50" s="680"/>
      <c r="AY50" s="641"/>
      <c r="AZ50" s="680"/>
      <c r="BA50" s="641"/>
      <c r="BB50" s="680"/>
      <c r="BC50" s="641"/>
      <c r="BD50" s="680"/>
      <c r="BE50" s="641"/>
      <c r="BF50" s="680"/>
      <c r="BG50" s="641"/>
      <c r="BH50" s="680"/>
      <c r="BI50" s="641"/>
      <c r="BJ50" s="680"/>
      <c r="BK50" s="641"/>
      <c r="BL50" s="680"/>
      <c r="BM50" s="641"/>
      <c r="BN50" s="680"/>
      <c r="BO50" s="641"/>
      <c r="BP50" s="680"/>
      <c r="BQ50" s="641"/>
      <c r="BR50" s="680"/>
      <c r="BS50" s="641"/>
      <c r="BT50" s="680"/>
      <c r="BU50" s="641"/>
      <c r="BV50" s="680"/>
      <c r="BW50" s="641"/>
      <c r="BX50" s="680"/>
      <c r="BY50" s="641"/>
      <c r="BZ50" s="680"/>
      <c r="CA50" s="641"/>
      <c r="CB50" s="680"/>
      <c r="CC50" s="641"/>
      <c r="CD50" s="680"/>
      <c r="CE50" s="641"/>
      <c r="CF50" s="680"/>
      <c r="CG50" s="641"/>
      <c r="CH50" s="680"/>
      <c r="CI50" s="641"/>
      <c r="CJ50" s="680"/>
      <c r="CK50" s="641"/>
      <c r="CL50" s="680"/>
      <c r="CM50" s="641"/>
      <c r="CN50" s="680"/>
      <c r="CO50" s="641"/>
      <c r="CP50" s="680"/>
      <c r="CQ50" s="641"/>
      <c r="CR50" s="680"/>
      <c r="CS50" s="641"/>
      <c r="CT50" s="680"/>
      <c r="CU50" s="641"/>
      <c r="CV50" s="680"/>
      <c r="CW50" s="641"/>
      <c r="CX50" s="680"/>
      <c r="CY50" s="641"/>
      <c r="CZ50" s="680"/>
      <c r="DA50" s="641"/>
      <c r="DB50" s="640"/>
      <c r="DC50" s="680"/>
      <c r="DD50" s="641"/>
      <c r="DE50" s="680"/>
      <c r="DF50" s="641"/>
      <c r="DG50" s="680"/>
      <c r="DH50" s="641"/>
      <c r="DI50" s="680"/>
      <c r="DJ50" s="641"/>
      <c r="DK50" s="680"/>
      <c r="DL50" s="641"/>
      <c r="DM50" s="680"/>
      <c r="DN50" s="641"/>
      <c r="DO50" s="680"/>
      <c r="DP50" s="641"/>
      <c r="DQ50" s="680"/>
      <c r="DR50" s="641"/>
      <c r="DS50" s="680"/>
      <c r="DT50" s="641"/>
      <c r="DU50" s="680"/>
      <c r="DV50" s="641"/>
      <c r="DW50" s="680"/>
      <c r="DX50" s="641"/>
      <c r="DY50" s="680"/>
      <c r="DZ50" s="641"/>
      <c r="EA50" s="680"/>
      <c r="EB50" s="641"/>
      <c r="EC50" s="680"/>
      <c r="ED50" s="641"/>
      <c r="EE50" s="680"/>
      <c r="EF50" s="641"/>
      <c r="EG50" s="680"/>
      <c r="EH50" s="641"/>
      <c r="EI50" s="680"/>
      <c r="EJ50" s="641"/>
      <c r="EK50" s="680"/>
      <c r="EL50" s="641"/>
      <c r="EM50" s="852"/>
      <c r="EN50" s="638"/>
      <c r="EO50" s="638"/>
      <c r="EP50" s="638"/>
      <c r="EQ50" s="638"/>
      <c r="ER50" s="638"/>
      <c r="ES50" s="638"/>
      <c r="ET50" s="638"/>
      <c r="EU50" s="638"/>
      <c r="EV50" s="638"/>
      <c r="EW50" s="638"/>
      <c r="EX50" s="638"/>
      <c r="EY50" s="638"/>
      <c r="EZ50" s="638"/>
      <c r="FA50" s="638"/>
      <c r="FB50" s="638"/>
      <c r="FC50" s="638"/>
      <c r="FD50" s="638"/>
      <c r="FE50" s="638"/>
      <c r="FF50" s="638"/>
    </row>
    <row r="51" spans="1:162" ht="12.75" customHeight="1" x14ac:dyDescent="0.2">
      <c r="A51" s="851" t="str">
        <f>INPUT!B666</f>
        <v>Operating ROE (Excl FAS 115)</v>
      </c>
      <c r="B51" s="681">
        <f>INPUT!AY666</f>
        <v>16.514506866834399</v>
      </c>
      <c r="C51" s="641">
        <f>INPUT!AZ666</f>
        <v>5.2532363614086197</v>
      </c>
      <c r="D51" s="681">
        <f>INPUT!BA666</f>
        <v>14.713093315745185</v>
      </c>
      <c r="E51" s="641">
        <f>INPUT!BB666</f>
        <v>-16.542667497005414</v>
      </c>
      <c r="F51" s="681">
        <f>INPUT!BC666</f>
        <v>12.406068487212831</v>
      </c>
      <c r="G51" s="641">
        <f>INPUT!BD666</f>
        <v>-30.543226187900885</v>
      </c>
      <c r="H51" s="681">
        <f>INPUT!BE666</f>
        <v>12.378115261454459</v>
      </c>
      <c r="I51" s="641">
        <f>INPUT!BF666</f>
        <v>-30.168645911897084</v>
      </c>
      <c r="J51" s="681">
        <f>INPUT!BG666</f>
        <v>11.801010074669033</v>
      </c>
      <c r="K51" s="641">
        <f>INPUT!BH666</f>
        <v>-28.541553375906993</v>
      </c>
      <c r="L51" s="681">
        <f>INPUT!BI666</f>
        <v>12.025794059134252</v>
      </c>
      <c r="M51" s="641">
        <f>INPUT!BJ666</f>
        <v>-18.264678942361666</v>
      </c>
      <c r="N51" s="681">
        <f>INPUT!BK666</f>
        <v>11.271523122649471</v>
      </c>
      <c r="O51" s="641">
        <f>INPUT!BL666</f>
        <v>-9.1450838412891038</v>
      </c>
      <c r="P51" s="681">
        <f>INPUT!BM666</f>
        <v>10.308397155361043</v>
      </c>
      <c r="Q51" s="641">
        <f>INPUT!BN666</f>
        <v>-16.720785534600203</v>
      </c>
      <c r="R51" s="681">
        <f>INPUT!BO666</f>
        <v>10.399125015190712</v>
      </c>
      <c r="S51" s="641">
        <f>INPUT!BP666</f>
        <v>-11.879364991709307</v>
      </c>
      <c r="T51" s="681">
        <f>INPUT!BQ666</f>
        <v>10.869067535440701</v>
      </c>
      <c r="U51" s="641">
        <f>INPUT!BR666</f>
        <v>-9.6187122281123258</v>
      </c>
      <c r="V51" s="681">
        <f>INPUT!BS666</f>
        <v>10.541023328204316</v>
      </c>
      <c r="W51" s="641">
        <f>INPUT!BT666</f>
        <v>-6.4809324036895983</v>
      </c>
      <c r="X51" s="681">
        <f>INPUT!BU666</f>
        <v>-4.6028419199029509</v>
      </c>
      <c r="Y51" s="641" t="str">
        <f>INPUT!BV666</f>
        <v>NM</v>
      </c>
      <c r="Z51" s="681">
        <f>INPUT!BW666</f>
        <v>6.1901937993690277</v>
      </c>
      <c r="AA51" s="641">
        <f>INPUT!BX666</f>
        <v>-40.473897656518318</v>
      </c>
      <c r="AB51" s="681">
        <f>INPUT!BY666</f>
        <v>7.86713535514538</v>
      </c>
      <c r="AC51" s="641">
        <f>INPUT!BZ666</f>
        <v>-27.619040644534955</v>
      </c>
      <c r="AD51" s="681">
        <f>INPUT!CA666</f>
        <v>10.153494628609332</v>
      </c>
      <c r="AE51" s="641">
        <f>INPUT!CB666</f>
        <v>-3.6763859402348942</v>
      </c>
      <c r="AF51" s="681">
        <f>INPUT!CC666</f>
        <v>10.838359111816162</v>
      </c>
      <c r="AG51" s="641" t="str">
        <f>INPUT!CD666</f>
        <v>NM</v>
      </c>
      <c r="AH51" s="681">
        <f>INPUT!CE666</f>
        <v>9.9859448368742427</v>
      </c>
      <c r="AI51" s="641">
        <f>INPUT!CF666</f>
        <v>61.318775478275334</v>
      </c>
      <c r="AJ51" s="681">
        <f>INPUT!CG666</f>
        <v>10.193338563833287</v>
      </c>
      <c r="AK51" s="641">
        <f>INPUT!CH666</f>
        <v>29.568618101460387</v>
      </c>
      <c r="AL51" s="681">
        <f>INPUT!CI666</f>
        <v>6.9710866045620605</v>
      </c>
      <c r="AM51" s="641">
        <f>INPUT!CJ666</f>
        <v>-31.342982297742626</v>
      </c>
      <c r="AN51" s="681">
        <f>INPUT!CK666</f>
        <v>8.8705940308850906</v>
      </c>
      <c r="AO51" s="641">
        <f>INPUT!CL666</f>
        <v>-18.155562669867443</v>
      </c>
      <c r="AP51" s="681">
        <f>INPUT!CM666</f>
        <v>11.079274116523406</v>
      </c>
      <c r="AQ51" s="641">
        <f>INPUT!CN666</f>
        <v>10.948681346725643</v>
      </c>
      <c r="AR51" s="681">
        <f>INPUT!CO666</f>
        <v>11.54343220809443</v>
      </c>
      <c r="AS51" s="641">
        <f>INPUT!CP666</f>
        <v>13.244862179417582</v>
      </c>
      <c r="AT51" s="681">
        <f>INPUT!CQ666</f>
        <v>11.402842765074597</v>
      </c>
      <c r="AU51" s="641">
        <f>INPUT!CR666</f>
        <v>63.573391235912638</v>
      </c>
      <c r="AV51" s="681">
        <f>INPUT!CS666</f>
        <v>10.191317144959529</v>
      </c>
      <c r="AW51" s="641">
        <f>INPUT!CT666</f>
        <v>14.888778693693183</v>
      </c>
      <c r="AX51" s="681">
        <f>INPUT!CU666</f>
        <v>11.205124527941106</v>
      </c>
      <c r="AY51" s="641">
        <f>INPUT!CV666</f>
        <v>1.1359084547787113</v>
      </c>
      <c r="AZ51" s="681">
        <f>INPUT!CW666</f>
        <v>11.910388505529824</v>
      </c>
      <c r="BA51" s="641">
        <f>INPUT!CX666</f>
        <v>3.178918460473823</v>
      </c>
      <c r="BB51" s="681">
        <f>INPUT!CY666</f>
        <v>13.388811835413778</v>
      </c>
      <c r="BC51" s="641">
        <f>INPUT!CZ666</f>
        <v>17.416438262412438</v>
      </c>
      <c r="BD51" s="681">
        <f>INPUT!DA666</f>
        <v>11.203975604246668</v>
      </c>
      <c r="BE51" s="641">
        <f>INPUT!DB666</f>
        <v>9.9364826438355536</v>
      </c>
      <c r="BF51" s="681">
        <f>INPUT!DC666</f>
        <v>10.157711841753542</v>
      </c>
      <c r="BG51" s="641">
        <f>INPUT!DD666</f>
        <v>-9.3476220061252668</v>
      </c>
      <c r="BH51" s="681">
        <f>INPUT!DE666</f>
        <v>12.367319973574102</v>
      </c>
      <c r="BI51" s="641">
        <f>INPUT!DF666</f>
        <v>3.8364111114606469</v>
      </c>
      <c r="BJ51" s="681">
        <f>INPUT!DG666</f>
        <v>12.730347309543424</v>
      </c>
      <c r="BK51" s="641">
        <f>INPUT!DH666</f>
        <v>-4.9180206127678705</v>
      </c>
      <c r="BL51" s="681">
        <f>INPUT!DI666</f>
        <v>12.988227293977644</v>
      </c>
      <c r="BM51" s="641">
        <f>INPUT!DJ666</f>
        <v>15.925165787175466</v>
      </c>
      <c r="BN51" s="681">
        <f>INPUT!DK666</f>
        <v>12.172386406387158</v>
      </c>
      <c r="BO51" s="641">
        <f>INPUT!DL666</f>
        <v>19.833940911300928</v>
      </c>
      <c r="BP51" s="681">
        <f>INPUT!DM666</f>
        <v>13.012147416100472</v>
      </c>
      <c r="BQ51" s="641">
        <f>INPUT!DN666</f>
        <v>5.2139626362397662</v>
      </c>
      <c r="BR51" s="681">
        <f>INPUT!DO666</f>
        <v>13.429101767411829</v>
      </c>
      <c r="BS51" s="641">
        <f>INPUT!DP666</f>
        <v>5.4888876232353612</v>
      </c>
      <c r="BT51" s="681">
        <f>INPUT!DQ666</f>
        <v>13.982680543417811</v>
      </c>
      <c r="BU51" s="641">
        <f>INPUT!DR666</f>
        <v>7.6565741184809077</v>
      </c>
      <c r="BV51" s="681">
        <f>INPUT!DS666</f>
        <v>11.168398508764971</v>
      </c>
      <c r="BW51" s="641">
        <f>INPUT!DT666</f>
        <v>-8.2480777729449066</v>
      </c>
      <c r="BX51" s="681">
        <f>INPUT!DU666</f>
        <v>11.71964461994077</v>
      </c>
      <c r="BY51" s="641">
        <f>INPUT!DV666</f>
        <v>-9.9330475964361948</v>
      </c>
      <c r="BZ51" s="681">
        <f>INPUT!DW666</f>
        <v>8.8494880947711128</v>
      </c>
      <c r="CA51" s="641">
        <f>INPUT!DX666</f>
        <v>17.705080282596544</v>
      </c>
      <c r="CB51" s="681">
        <f>INPUT!DY666</f>
        <v>11.979615836926696</v>
      </c>
      <c r="CC51" s="641">
        <f>INPUT!DZ666</f>
        <v>-14.325326966252083</v>
      </c>
      <c r="CD51" s="681">
        <f>INPUT!EA666</f>
        <v>9.6317502647162634</v>
      </c>
      <c r="CE51" s="641">
        <f>INPUT!EB666</f>
        <v>-13.758895179490105</v>
      </c>
      <c r="CF51" s="681">
        <f>INPUT!EC666</f>
        <v>11.724029545811725</v>
      </c>
      <c r="CG51" s="641">
        <f>INPUT!ED666</f>
        <v>3.7415177790411924E-2</v>
      </c>
      <c r="CH51" s="681">
        <f>INPUT!EE666</f>
        <v>13.743134276031318</v>
      </c>
      <c r="CI51" s="641">
        <f>INPUT!EF666</f>
        <v>55.298635682121656</v>
      </c>
      <c r="CJ51" s="681">
        <f>INPUT!EG666</f>
        <v>12.653724185938589</v>
      </c>
      <c r="CK51" s="641">
        <f>INPUT!EH666</f>
        <v>5.6271282667844869</v>
      </c>
      <c r="CL51" s="681">
        <f>INPUT!EI666</f>
        <v>13.580152085413626</v>
      </c>
      <c r="CM51" s="641">
        <f>INPUT!EJ666</f>
        <v>40.993606688095305</v>
      </c>
      <c r="CN51" s="681">
        <f>INPUT!EK666</f>
        <v>12.691681496346218</v>
      </c>
      <c r="CO51" s="641">
        <f>INPUT!EL666</f>
        <v>8.2535782322399331</v>
      </c>
      <c r="CP51" s="681">
        <f>INPUT!EM666</f>
        <v>13.582647718773371</v>
      </c>
      <c r="CQ51" s="641">
        <f>INPUT!EN666</f>
        <v>-1.1677580531090581</v>
      </c>
      <c r="CR51" s="681">
        <f>INPUT!EO666</f>
        <v>12.778160961266199</v>
      </c>
      <c r="CS51" s="641">
        <f>INPUT!EP666</f>
        <v>0.98340040844171472</v>
      </c>
      <c r="CT51" s="681">
        <f>INPUT!EQ666</f>
        <v>12.165406872833239</v>
      </c>
      <c r="CU51" s="641">
        <f>INPUT!ER666</f>
        <v>-10.417742037660672</v>
      </c>
      <c r="CV51" s="681">
        <f>INPUT!ES666</f>
        <v>12.665100846100128</v>
      </c>
      <c r="CW51" s="641">
        <f>INPUT!ET666</f>
        <v>-0.20943363772359946</v>
      </c>
      <c r="CX51" s="681">
        <f>INPUT!EU666</f>
        <v>12.93384289423404</v>
      </c>
      <c r="CY51" s="641">
        <f>INPUT!EV666</f>
        <v>-4.77671833925708</v>
      </c>
      <c r="CZ51" s="681">
        <f>INPUT!EW666</f>
        <v>13.086345646036476</v>
      </c>
      <c r="DA51" s="641">
        <f>INPUT!EX666</f>
        <v>2.4118078157292056</v>
      </c>
      <c r="DB51" s="640"/>
      <c r="DC51" s="681">
        <f>INPUT!FP666</f>
        <v>17.112735310895609</v>
      </c>
      <c r="DD51" s="641">
        <f>INPUT!FQ666</f>
        <v>33.38483978715918</v>
      </c>
      <c r="DE51" s="681">
        <f>INPUT!FR666</f>
        <v>14.633741958562105</v>
      </c>
      <c r="DF51" s="641">
        <f>INPUT!FS666</f>
        <v>-14.486248441855686</v>
      </c>
      <c r="DG51" s="681">
        <f>INPUT!FT666</f>
        <v>11.332060709302421</v>
      </c>
      <c r="DH51" s="641">
        <f>INPUT!FU666</f>
        <v>-22.562111991648802</v>
      </c>
      <c r="DI51" s="681">
        <f>INPUT!FV666</f>
        <v>6.9514159382849954</v>
      </c>
      <c r="DJ51" s="641">
        <f>INPUT!FW666</f>
        <v>-38.657088797815753</v>
      </c>
      <c r="DK51" s="681">
        <f>INPUT!FX666</f>
        <v>8.5990553995404682</v>
      </c>
      <c r="DL51" s="641">
        <f>INPUT!FY666</f>
        <v>23.702213705571573</v>
      </c>
      <c r="DM51" s="681">
        <f>INPUT!FZ666</f>
        <v>8.9442802615820671</v>
      </c>
      <c r="DN51" s="641">
        <f>INPUT!GA666</f>
        <v>4.0146835437302464</v>
      </c>
      <c r="DO51" s="681">
        <f>INPUT!GB666</f>
        <v>11.092278468060877</v>
      </c>
      <c r="DP51" s="641">
        <f>INPUT!GC666</f>
        <v>24.015327602210789</v>
      </c>
      <c r="DQ51" s="681">
        <f>INPUT!GD666</f>
        <v>11.859538589826739</v>
      </c>
      <c r="DR51" s="641">
        <f>INPUT!GE666</f>
        <v>6.9170650914968546</v>
      </c>
      <c r="DS51" s="681">
        <f>INPUT!GF666</f>
        <v>12.014747343309477</v>
      </c>
      <c r="DT51" s="641">
        <f>INPUT!GG666</f>
        <v>1.3087250596399924</v>
      </c>
      <c r="DU51" s="681">
        <f>INPUT!GH666</f>
        <v>13.165403114045816</v>
      </c>
      <c r="DV51" s="641">
        <f>INPUT!GI666</f>
        <v>9.5770284456051726</v>
      </c>
      <c r="DW51" s="681">
        <f>INPUT!GJ666</f>
        <v>10.914384639597104</v>
      </c>
      <c r="DX51" s="641">
        <f>INPUT!GK666</f>
        <v>-17.097983669388451</v>
      </c>
      <c r="DY51" s="681">
        <f>INPUT!GL666</f>
        <v>11.914032082230182</v>
      </c>
      <c r="DZ51" s="641">
        <f>INPUT!GM666</f>
        <v>9.1589904116663021</v>
      </c>
      <c r="EA51" s="681">
        <f>INPUT!GN666</f>
        <v>12.99807435935417</v>
      </c>
      <c r="EB51" s="641">
        <f>INPUT!GO666</f>
        <v>9.0988698842001661</v>
      </c>
      <c r="EC51" s="681">
        <f>INPUT!GP666</f>
        <v>12.743873297708742</v>
      </c>
      <c r="ED51" s="641">
        <f>INPUT!GQ666</f>
        <v>-1.9556824697074537</v>
      </c>
      <c r="EE51" s="681">
        <f>INPUT!GR666</f>
        <v>12.74305089020776</v>
      </c>
      <c r="EF51" s="641">
        <f>INPUT!GS666</f>
        <v>-6.4533559128387985E-3</v>
      </c>
      <c r="EG51" s="681">
        <f>INPUT!GT666</f>
        <v>13.0822296352371</v>
      </c>
      <c r="EH51" s="641">
        <f>INPUT!GU666</f>
        <v>2.6616761398165378</v>
      </c>
      <c r="EI51" s="681">
        <f>INPUT!GV666</f>
        <v>12.879724468966602</v>
      </c>
      <c r="EJ51" s="641">
        <f>INPUT!GW666</f>
        <v>-1.5479407709298121</v>
      </c>
      <c r="EK51" s="681">
        <f>INPUT!GX666</f>
        <v>12.726367108632225</v>
      </c>
      <c r="EL51" s="641">
        <f>INPUT!GY666</f>
        <v>-1.1906882069091518</v>
      </c>
      <c r="EM51" s="852">
        <f>INPUT!GZ666</f>
        <v>-0.42161328026210088</v>
      </c>
      <c r="EN51" s="638"/>
      <c r="EO51" s="638"/>
      <c r="EP51" s="638"/>
      <c r="EQ51" s="638"/>
      <c r="ER51" s="638"/>
      <c r="ES51" s="638"/>
      <c r="ET51" s="638"/>
      <c r="EU51" s="638"/>
      <c r="EV51" s="638"/>
      <c r="EW51" s="638"/>
      <c r="EX51" s="638"/>
      <c r="EY51" s="638"/>
      <c r="EZ51" s="638"/>
      <c r="FA51" s="638"/>
      <c r="FB51" s="638"/>
      <c r="FC51" s="638"/>
      <c r="FD51" s="638"/>
      <c r="FE51" s="638"/>
      <c r="FF51" s="638"/>
    </row>
    <row r="52" spans="1:162" ht="12.75" customHeight="1" x14ac:dyDescent="0.2">
      <c r="A52" s="851" t="str">
        <f>INPUT!B667</f>
        <v>Op ROE incl TARP (Ex-FAS115)</v>
      </c>
      <c r="B52" s="681">
        <f>INPUT!AY667</f>
        <v>0</v>
      </c>
      <c r="C52" s="641">
        <f>INPUT!AZ667</f>
        <v>0</v>
      </c>
      <c r="D52" s="681">
        <f>INPUT!BA667</f>
        <v>0</v>
      </c>
      <c r="E52" s="641">
        <f>INPUT!BB667</f>
        <v>0</v>
      </c>
      <c r="F52" s="681">
        <f>INPUT!BC667</f>
        <v>0</v>
      </c>
      <c r="G52" s="641">
        <f>INPUT!BD667</f>
        <v>0</v>
      </c>
      <c r="H52" s="681">
        <f>INPUT!BE667</f>
        <v>0</v>
      </c>
      <c r="I52" s="641">
        <f>INPUT!BF667</f>
        <v>0</v>
      </c>
      <c r="J52" s="681">
        <f>INPUT!BG667</f>
        <v>11.801010074669033</v>
      </c>
      <c r="K52" s="641">
        <f>INPUT!BH667</f>
        <v>0</v>
      </c>
      <c r="L52" s="681">
        <f>INPUT!BI667</f>
        <v>12.025794059134252</v>
      </c>
      <c r="M52" s="641">
        <f>INPUT!BJ667</f>
        <v>0</v>
      </c>
      <c r="N52" s="681">
        <f>INPUT!BK667</f>
        <v>11.271523122649471</v>
      </c>
      <c r="O52" s="641">
        <f>INPUT!BL667</f>
        <v>0</v>
      </c>
      <c r="P52" s="681">
        <f>INPUT!BM667</f>
        <v>10.308397155361043</v>
      </c>
      <c r="Q52" s="641">
        <f>INPUT!BN667</f>
        <v>0</v>
      </c>
      <c r="R52" s="681">
        <f>INPUT!BO667</f>
        <v>10.399125015190712</v>
      </c>
      <c r="S52" s="641">
        <f>INPUT!BP667</f>
        <v>0</v>
      </c>
      <c r="T52" s="681">
        <f>INPUT!BQ667</f>
        <v>10.869067535440701</v>
      </c>
      <c r="U52" s="641">
        <f>INPUT!BR667</f>
        <v>0</v>
      </c>
      <c r="V52" s="681">
        <f>INPUT!BS667</f>
        <v>10.541023328204316</v>
      </c>
      <c r="W52" s="641">
        <f>INPUT!BT667</f>
        <v>0</v>
      </c>
      <c r="X52" s="681">
        <f>INPUT!BU667</f>
        <v>-4.6028419199029509</v>
      </c>
      <c r="Y52" s="641">
        <f>INPUT!BV667</f>
        <v>0</v>
      </c>
      <c r="Z52" s="681">
        <f>INPUT!BW667</f>
        <v>6.1901937993690277</v>
      </c>
      <c r="AA52" s="641">
        <f>INPUT!BX667</f>
        <v>-40.473897656518318</v>
      </c>
      <c r="AB52" s="681">
        <f>INPUT!BY667</f>
        <v>7.86713535514538</v>
      </c>
      <c r="AC52" s="641">
        <f>INPUT!BZ667</f>
        <v>-27.619040644534955</v>
      </c>
      <c r="AD52" s="681">
        <f>INPUT!CA667</f>
        <v>9.5527833569809601</v>
      </c>
      <c r="AE52" s="641">
        <f>INPUT!CB667</f>
        <v>-9.375180572640895</v>
      </c>
      <c r="AF52" s="681">
        <f>INPUT!CC667</f>
        <v>10.174637255036034</v>
      </c>
      <c r="AG52" s="641" t="str">
        <f>INPUT!CD667</f>
        <v>NM</v>
      </c>
      <c r="AH52" s="681">
        <f>INPUT!CE667</f>
        <v>9.3206972445553227</v>
      </c>
      <c r="AI52" s="641">
        <f>INPUT!CF667</f>
        <v>50.571977980808768</v>
      </c>
      <c r="AJ52" s="681">
        <f>INPUT!CG667</f>
        <v>9.5516526480501778</v>
      </c>
      <c r="AK52" s="641">
        <f>INPUT!CH667</f>
        <v>21.412079707044374</v>
      </c>
      <c r="AL52" s="681">
        <f>INPUT!CI667</f>
        <v>6.9371805413102994</v>
      </c>
      <c r="AM52" s="641">
        <f>INPUT!CJ667</f>
        <v>-27.380531075890424</v>
      </c>
      <c r="AN52" s="681">
        <f>INPUT!CK667</f>
        <v>8.8705940308850906</v>
      </c>
      <c r="AO52" s="641">
        <f>INPUT!CL667</f>
        <v>-12.816606542955567</v>
      </c>
      <c r="AP52" s="681">
        <f>INPUT!CM667</f>
        <v>11.079274116523406</v>
      </c>
      <c r="AQ52" s="641">
        <f>INPUT!CN667</f>
        <v>18.867439053396517</v>
      </c>
      <c r="AR52" s="681">
        <f>INPUT!CO667</f>
        <v>11.54343220809443</v>
      </c>
      <c r="AS52" s="641">
        <f>INPUT!CP667</f>
        <v>20.852721863277178</v>
      </c>
      <c r="AT52" s="681">
        <f>INPUT!CQ667</f>
        <v>11.402842765074597</v>
      </c>
      <c r="AU52" s="641">
        <f>INPUT!CR667</f>
        <v>64.372870176459628</v>
      </c>
      <c r="AV52" s="681">
        <f>INPUT!CS667</f>
        <v>10.191317144959529</v>
      </c>
      <c r="AW52" s="641">
        <f>INPUT!CT667</f>
        <v>14.888778693693183</v>
      </c>
      <c r="AX52" s="681">
        <f>INPUT!CU667</f>
        <v>11.205124527941106</v>
      </c>
      <c r="AY52" s="641">
        <f>INPUT!CV667</f>
        <v>1.1359084547787113</v>
      </c>
      <c r="AZ52" s="681">
        <f>INPUT!CW667</f>
        <v>11.910388505529824</v>
      </c>
      <c r="BA52" s="641">
        <f>INPUT!CX667</f>
        <v>3.178918460473823</v>
      </c>
      <c r="BB52" s="681">
        <f>INPUT!CY667</f>
        <v>13.388811835413778</v>
      </c>
      <c r="BC52" s="641">
        <f>INPUT!CZ667</f>
        <v>17.416438262412438</v>
      </c>
      <c r="BD52" s="681">
        <f>INPUT!DA667</f>
        <v>11.203975604246668</v>
      </c>
      <c r="BE52" s="641">
        <f>INPUT!DB667</f>
        <v>9.9364826438355536</v>
      </c>
      <c r="BF52" s="681">
        <f>INPUT!DC667</f>
        <v>10.157711841753542</v>
      </c>
      <c r="BG52" s="641">
        <f>INPUT!DD667</f>
        <v>-9.3476220061252668</v>
      </c>
      <c r="BH52" s="681">
        <f>INPUT!DE667</f>
        <v>12.367319973574102</v>
      </c>
      <c r="BI52" s="641">
        <f>INPUT!DF667</f>
        <v>3.8364111114606469</v>
      </c>
      <c r="BJ52" s="681">
        <f>INPUT!DG667</f>
        <v>12.730347309543424</v>
      </c>
      <c r="BK52" s="641">
        <f>INPUT!DH667</f>
        <v>-4.9180206127678705</v>
      </c>
      <c r="BL52" s="681">
        <f>INPUT!DI667</f>
        <v>12.988227293977644</v>
      </c>
      <c r="BM52" s="641">
        <f>INPUT!DJ667</f>
        <v>15.925165787175466</v>
      </c>
      <c r="BN52" s="681">
        <f>INPUT!DK667</f>
        <v>12.172386406387158</v>
      </c>
      <c r="BO52" s="641">
        <f>INPUT!DL667</f>
        <v>19.833940911300928</v>
      </c>
      <c r="BP52" s="681">
        <f>INPUT!DM667</f>
        <v>13.012147416100472</v>
      </c>
      <c r="BQ52" s="641">
        <f>INPUT!DN667</f>
        <v>5.2139626362397662</v>
      </c>
      <c r="BR52" s="681">
        <f>INPUT!DO667</f>
        <v>13.429101767411829</v>
      </c>
      <c r="BS52" s="641">
        <f>INPUT!DP667</f>
        <v>5.4888876232353612</v>
      </c>
      <c r="BT52" s="681">
        <f>INPUT!DQ667</f>
        <v>13.982680543417811</v>
      </c>
      <c r="BU52" s="641">
        <f>INPUT!DR667</f>
        <v>7.6565741184809077</v>
      </c>
      <c r="BV52" s="681">
        <f>INPUT!DS667</f>
        <v>11.168398508764971</v>
      </c>
      <c r="BW52" s="641">
        <f>INPUT!DT667</f>
        <v>-8.2480777729449066</v>
      </c>
      <c r="BX52" s="681">
        <f>INPUT!DU667</f>
        <v>11.71964461994077</v>
      </c>
      <c r="BY52" s="641">
        <f>INPUT!DV667</f>
        <v>-9.9330475964361948</v>
      </c>
      <c r="BZ52" s="681">
        <f>INPUT!DW667</f>
        <v>8.8494880947711128</v>
      </c>
      <c r="CA52" s="641">
        <f>INPUT!DX667</f>
        <v>17.705080282596544</v>
      </c>
      <c r="CB52" s="681">
        <f>INPUT!DY667</f>
        <v>11.979615836926696</v>
      </c>
      <c r="CC52" s="641">
        <f>INPUT!DZ667</f>
        <v>-14.325326966252083</v>
      </c>
      <c r="CD52" s="681">
        <f>INPUT!EA667</f>
        <v>9.6317502647162634</v>
      </c>
      <c r="CE52" s="641">
        <f>INPUT!EB667</f>
        <v>-13.758895179490105</v>
      </c>
      <c r="CF52" s="681">
        <f>INPUT!EC667</f>
        <v>11.724029545811725</v>
      </c>
      <c r="CG52" s="641">
        <f>INPUT!ED667</f>
        <v>3.7415177790411924E-2</v>
      </c>
      <c r="CH52" s="681">
        <f>INPUT!EE667</f>
        <v>13.743134276031318</v>
      </c>
      <c r="CI52" s="641">
        <f>INPUT!EF667</f>
        <v>55.298635682121656</v>
      </c>
      <c r="CJ52" s="681">
        <f>INPUT!EG667</f>
        <v>12.653724185938589</v>
      </c>
      <c r="CK52" s="641">
        <f>INPUT!EH667</f>
        <v>5.6271282667844869</v>
      </c>
      <c r="CL52" s="681">
        <f>INPUT!EI667</f>
        <v>13.580152085413626</v>
      </c>
      <c r="CM52" s="641">
        <f>INPUT!EJ667</f>
        <v>40.993606688095305</v>
      </c>
      <c r="CN52" s="681">
        <f>INPUT!EK667</f>
        <v>12.691681496346218</v>
      </c>
      <c r="CO52" s="641">
        <f>INPUT!EL667</f>
        <v>8.2535782322399331</v>
      </c>
      <c r="CP52" s="681">
        <f>INPUT!EM667</f>
        <v>13.582647718773371</v>
      </c>
      <c r="CQ52" s="641">
        <f>INPUT!EN667</f>
        <v>-1.1677580531090581</v>
      </c>
      <c r="CR52" s="681">
        <f>INPUT!EO667</f>
        <v>12.778160961266199</v>
      </c>
      <c r="CS52" s="641">
        <f>INPUT!EP667</f>
        <v>0.98340040844171472</v>
      </c>
      <c r="CT52" s="681">
        <f>INPUT!EQ667</f>
        <v>12.165406872833239</v>
      </c>
      <c r="CU52" s="641">
        <f>INPUT!ER667</f>
        <v>-10.417742037660672</v>
      </c>
      <c r="CV52" s="681">
        <f>INPUT!ES667</f>
        <v>12.665100846100128</v>
      </c>
      <c r="CW52" s="641">
        <f>INPUT!ET667</f>
        <v>-0.20943363772359946</v>
      </c>
      <c r="CX52" s="681">
        <f>INPUT!EU667</f>
        <v>12.93384289423404</v>
      </c>
      <c r="CY52" s="641">
        <f>INPUT!EV667</f>
        <v>-4.77671833925708</v>
      </c>
      <c r="CZ52" s="681">
        <f>INPUT!EW667</f>
        <v>13.086345646036476</v>
      </c>
      <c r="DA52" s="641">
        <f>INPUT!EX667</f>
        <v>2.4118078157292056</v>
      </c>
      <c r="DB52" s="640"/>
      <c r="DC52" s="681">
        <f>INPUT!FP667</f>
        <v>0</v>
      </c>
      <c r="DD52" s="641">
        <f>INPUT!FQ667</f>
        <v>0</v>
      </c>
      <c r="DE52" s="681">
        <f>INPUT!FR667</f>
        <v>0</v>
      </c>
      <c r="DF52" s="641" t="str">
        <f>INPUT!FS667</f>
        <v>NA</v>
      </c>
      <c r="DG52" s="681">
        <f>INPUT!FT667</f>
        <v>0</v>
      </c>
      <c r="DH52" s="641" t="str">
        <f>INPUT!FU667</f>
        <v>NA</v>
      </c>
      <c r="DI52" s="681">
        <f>INPUT!FV667</f>
        <v>6.9514159382849954</v>
      </c>
      <c r="DJ52" s="641" t="str">
        <f>INPUT!FW667</f>
        <v>NA</v>
      </c>
      <c r="DK52" s="681">
        <f>INPUT!FX667</f>
        <v>8.2844925051971288</v>
      </c>
      <c r="DL52" s="641">
        <f>INPUT!FY667</f>
        <v>19.177050815938102</v>
      </c>
      <c r="DM52" s="681">
        <f>INPUT!FZ667</f>
        <v>8.6194566743923513</v>
      </c>
      <c r="DN52" s="641">
        <f>INPUT!GA667</f>
        <v>4.0432672126275548</v>
      </c>
      <c r="DO52" s="681">
        <f>INPUT!GB667</f>
        <v>11.092278468060877</v>
      </c>
      <c r="DP52" s="641">
        <f>INPUT!GC667</f>
        <v>28.688836049435263</v>
      </c>
      <c r="DQ52" s="681">
        <f>INPUT!GD667</f>
        <v>11.859538589826739</v>
      </c>
      <c r="DR52" s="641">
        <f>INPUT!GE667</f>
        <v>6.9170650914968546</v>
      </c>
      <c r="DS52" s="681">
        <f>INPUT!GF667</f>
        <v>12.014747343309477</v>
      </c>
      <c r="DT52" s="641">
        <f>INPUT!GG667</f>
        <v>1.3087250596399924</v>
      </c>
      <c r="DU52" s="681">
        <f>INPUT!GH667</f>
        <v>13.165403114045816</v>
      </c>
      <c r="DV52" s="641">
        <f>INPUT!GI667</f>
        <v>9.5770284456051726</v>
      </c>
      <c r="DW52" s="681">
        <f>INPUT!GJ667</f>
        <v>10.914384639597104</v>
      </c>
      <c r="DX52" s="641">
        <f>INPUT!GK667</f>
        <v>-17.097983669388451</v>
      </c>
      <c r="DY52" s="681">
        <f>INPUT!GL667</f>
        <v>11.914032082230182</v>
      </c>
      <c r="DZ52" s="641">
        <f>INPUT!GM667</f>
        <v>9.1589904116663021</v>
      </c>
      <c r="EA52" s="681">
        <f>INPUT!GN667</f>
        <v>12.99807435935417</v>
      </c>
      <c r="EB52" s="641">
        <f>INPUT!GO667</f>
        <v>9.0988698842001661</v>
      </c>
      <c r="EC52" s="681">
        <f>INPUT!GP667</f>
        <v>12.743873297708742</v>
      </c>
      <c r="ED52" s="641">
        <f>INPUT!GQ667</f>
        <v>-1.9556824697074537</v>
      </c>
      <c r="EE52" s="681">
        <f>INPUT!GR667</f>
        <v>12.74305089020776</v>
      </c>
      <c r="EF52" s="641">
        <f>INPUT!GS667</f>
        <v>-6.4533559128387985E-3</v>
      </c>
      <c r="EG52" s="681">
        <f>INPUT!GT667</f>
        <v>13.0822296352371</v>
      </c>
      <c r="EH52" s="641">
        <f>INPUT!GU667</f>
        <v>2.6616761398165378</v>
      </c>
      <c r="EI52" s="681">
        <f>INPUT!GV667</f>
        <v>12.879724468966602</v>
      </c>
      <c r="EJ52" s="641">
        <f>INPUT!GW667</f>
        <v>-1.5479407709298121</v>
      </c>
      <c r="EK52" s="681">
        <f>INPUT!GX667</f>
        <v>12.726367108632225</v>
      </c>
      <c r="EL52" s="641">
        <f>INPUT!GY667</f>
        <v>-1.1906882069091518</v>
      </c>
      <c r="EM52" s="852">
        <f>INPUT!GZ667</f>
        <v>-0.42161328026210088</v>
      </c>
      <c r="EN52" s="638"/>
      <c r="EO52" s="638"/>
      <c r="EP52" s="638"/>
      <c r="EQ52" s="638"/>
      <c r="ER52" s="638"/>
      <c r="ES52" s="638"/>
      <c r="ET52" s="638"/>
      <c r="EU52" s="638"/>
      <c r="EV52" s="638"/>
      <c r="EW52" s="638"/>
      <c r="EX52" s="638"/>
      <c r="EY52" s="638"/>
      <c r="EZ52" s="638"/>
      <c r="FA52" s="638"/>
      <c r="FB52" s="638"/>
      <c r="FC52" s="638"/>
      <c r="FD52" s="638"/>
      <c r="FE52" s="638"/>
      <c r="FF52" s="638"/>
    </row>
    <row r="53" spans="1:162" ht="12.75" customHeight="1" x14ac:dyDescent="0.2">
      <c r="A53" s="851" t="str">
        <f>INPUT!B668</f>
        <v>Reported ROE (Ex-FAS115)</v>
      </c>
      <c r="B53" s="681">
        <f>INPUT!AY668</f>
        <v>16.48775839442294</v>
      </c>
      <c r="C53" s="641">
        <f>INPUT!AZ668</f>
        <v>1.4400758261521096</v>
      </c>
      <c r="D53" s="681">
        <f>INPUT!BA668</f>
        <v>14.603925492960951</v>
      </c>
      <c r="E53" s="641">
        <f>INPUT!BB668</f>
        <v>-15.122273687530829</v>
      </c>
      <c r="F53" s="681">
        <f>INPUT!BC668</f>
        <v>12.163328998699612</v>
      </c>
      <c r="G53" s="641">
        <f>INPUT!BD668</f>
        <v>-32.602558898800538</v>
      </c>
      <c r="H53" s="681">
        <f>INPUT!BE668</f>
        <v>12.587587888361391</v>
      </c>
      <c r="I53" s="641">
        <f>INPUT!BF668</f>
        <v>-27.316572217571601</v>
      </c>
      <c r="J53" s="681">
        <f>INPUT!BG668</f>
        <v>12.555523682860894</v>
      </c>
      <c r="K53" s="641">
        <f>INPUT!BH668</f>
        <v>-23.849419778568215</v>
      </c>
      <c r="L53" s="681">
        <f>INPUT!BI668</f>
        <v>11.892021677985868</v>
      </c>
      <c r="M53" s="641">
        <f>INPUT!BJ668</f>
        <v>-18.569690842932694</v>
      </c>
      <c r="N53" s="681">
        <f>INPUT!BK668</f>
        <v>9.8367189454358908</v>
      </c>
      <c r="O53" s="641">
        <f>INPUT!BL668</f>
        <v>-19.128069737425179</v>
      </c>
      <c r="P53" s="681">
        <f>INPUT!BM668</f>
        <v>6.8209792122538238</v>
      </c>
      <c r="Q53" s="641">
        <f>INPUT!BN668</f>
        <v>-45.811864252717008</v>
      </c>
      <c r="R53" s="681">
        <f>INPUT!BO668</f>
        <v>10.049061648235277</v>
      </c>
      <c r="S53" s="641">
        <f>INPUT!BP668</f>
        <v>-19.963022633990967</v>
      </c>
      <c r="T53" s="681">
        <f>INPUT!BQ668</f>
        <v>4.3955269877608547</v>
      </c>
      <c r="U53" s="641" t="str">
        <f>INPUT!BR668</f>
        <v>NM</v>
      </c>
      <c r="V53" s="681">
        <f>INPUT!BS668</f>
        <v>5.2245273341469067</v>
      </c>
      <c r="W53" s="641">
        <f>INPUT!BT668</f>
        <v>-46.8875001600913</v>
      </c>
      <c r="X53" s="681">
        <f>INPUT!BU668</f>
        <v>-18.320831843264365</v>
      </c>
      <c r="Y53" s="641" t="str">
        <f>INPUT!BV668</f>
        <v>NM</v>
      </c>
      <c r="Z53" s="681">
        <f>INPUT!BW668</f>
        <v>-21.971202884455721</v>
      </c>
      <c r="AA53" s="641" t="str">
        <f>INPUT!BX668</f>
        <v>NM</v>
      </c>
      <c r="AB53" s="681">
        <f>INPUT!BY668</f>
        <v>-6.110027941043918</v>
      </c>
      <c r="AC53" s="641" t="str">
        <f>INPUT!BZ668</f>
        <v>NM</v>
      </c>
      <c r="AD53" s="681">
        <f>INPUT!CA668</f>
        <v>5.0492914923805445</v>
      </c>
      <c r="AE53" s="641">
        <f>INPUT!CB668</f>
        <v>-3.3540994344319119</v>
      </c>
      <c r="AF53" s="681">
        <f>INPUT!CC668</f>
        <v>3.0669784700664176</v>
      </c>
      <c r="AG53" s="641" t="str">
        <f>INPUT!CD668</f>
        <v>NM</v>
      </c>
      <c r="AH53" s="681">
        <f>INPUT!CE668</f>
        <v>8.9193794035368423</v>
      </c>
      <c r="AI53" s="641" t="str">
        <f>INPUT!CF668</f>
        <v>NM</v>
      </c>
      <c r="AJ53" s="681">
        <f>INPUT!CG668</f>
        <v>3.0366120386238817</v>
      </c>
      <c r="AK53" s="641" t="str">
        <f>INPUT!CH668</f>
        <v>NM</v>
      </c>
      <c r="AL53" s="681">
        <f>INPUT!CI668</f>
        <v>8.2730794334296824</v>
      </c>
      <c r="AM53" s="641">
        <f>INPUT!CJ668</f>
        <v>63.846342519814534</v>
      </c>
      <c r="AN53" s="681">
        <f>INPUT!CK668</f>
        <v>6.5360514000158592</v>
      </c>
      <c r="AO53" s="641" t="str">
        <f>INPUT!CL668</f>
        <v>NM</v>
      </c>
      <c r="AP53" s="681">
        <f>INPUT!CM668</f>
        <v>10.797043461799916</v>
      </c>
      <c r="AQ53" s="641">
        <f>INPUT!CN668</f>
        <v>21.051510125452388</v>
      </c>
      <c r="AR53" s="681">
        <f>INPUT!CO668</f>
        <v>10.758237219485974</v>
      </c>
      <c r="AS53" s="641" t="str">
        <f>INPUT!CP668</f>
        <v>NM</v>
      </c>
      <c r="AT53" s="681">
        <f>INPUT!CQ668</f>
        <v>5.1876048379977018</v>
      </c>
      <c r="AU53" s="641">
        <f>INPUT!CR668</f>
        <v>-37.295358037591917</v>
      </c>
      <c r="AV53" s="681">
        <f>INPUT!CS668</f>
        <v>-19.904341427520237</v>
      </c>
      <c r="AW53" s="641" t="str">
        <f>INPUT!CT668</f>
        <v>NM</v>
      </c>
      <c r="AX53" s="681">
        <f>INPUT!CU668</f>
        <v>9.2929872364835795</v>
      </c>
      <c r="AY53" s="641">
        <f>INPUT!CV668</f>
        <v>-13.930259988650661</v>
      </c>
      <c r="AZ53" s="681">
        <f>INPUT!CW668</f>
        <v>11.986010019850648</v>
      </c>
      <c r="BA53" s="641">
        <f>INPUT!CX668</f>
        <v>11.412397545397646</v>
      </c>
      <c r="BB53" s="681">
        <f>INPUT!CY668</f>
        <v>15.829865926953305</v>
      </c>
      <c r="BC53" s="641" t="str">
        <f>INPUT!CZ668</f>
        <v>NM</v>
      </c>
      <c r="BD53" s="681">
        <f>INPUT!DA668</f>
        <v>11.565394172125593</v>
      </c>
      <c r="BE53" s="641" t="str">
        <f>INPUT!DB668</f>
        <v>NM</v>
      </c>
      <c r="BF53" s="681">
        <f>INPUT!DC668</f>
        <v>8.5182215094003375</v>
      </c>
      <c r="BG53" s="641">
        <f>INPUT!DD668</f>
        <v>-8.3371009489991437</v>
      </c>
      <c r="BH53" s="681">
        <f>INPUT!DE668</f>
        <v>11.169345959039859</v>
      </c>
      <c r="BI53" s="641">
        <f>INPUT!DF668</f>
        <v>-6.8134772076635102</v>
      </c>
      <c r="BJ53" s="681">
        <f>INPUT!DG668</f>
        <v>11.68971946407666</v>
      </c>
      <c r="BK53" s="641">
        <f>INPUT!DH668</f>
        <v>-26.154021025707308</v>
      </c>
      <c r="BL53" s="681">
        <f>INPUT!DI668</f>
        <v>11.934208848654851</v>
      </c>
      <c r="BM53" s="641">
        <f>INPUT!DJ668</f>
        <v>3.1889503378809136</v>
      </c>
      <c r="BN53" s="681">
        <f>INPUT!DK668</f>
        <v>10.968524014546672</v>
      </c>
      <c r="BO53" s="641">
        <f>INPUT!DL668</f>
        <v>28.765423656126888</v>
      </c>
      <c r="BP53" s="681">
        <f>INPUT!DM668</f>
        <v>13.143915997529341</v>
      </c>
      <c r="BQ53" s="641">
        <f>INPUT!DN668</f>
        <v>17.678475048857912</v>
      </c>
      <c r="BR53" s="681">
        <f>INPUT!DO668</f>
        <v>14.236139133241869</v>
      </c>
      <c r="BS53" s="641">
        <f>INPUT!DP668</f>
        <v>21.783411287076127</v>
      </c>
      <c r="BT53" s="681">
        <f>INPUT!DQ668</f>
        <v>11.090807976483674</v>
      </c>
      <c r="BU53" s="641">
        <f>INPUT!DR668</f>
        <v>-7.0670865816651052</v>
      </c>
      <c r="BV53" s="681">
        <f>INPUT!DS668</f>
        <v>9.518521456333783</v>
      </c>
      <c r="BW53" s="641">
        <f>INPUT!DT668</f>
        <v>-13.219668902487403</v>
      </c>
      <c r="BX53" s="681">
        <f>INPUT!DU668</f>
        <v>10.866732477788746</v>
      </c>
      <c r="BY53" s="641">
        <f>INPUT!DV668</f>
        <v>-17.325000556673032</v>
      </c>
      <c r="BZ53" s="681">
        <f>INPUT!DW668</f>
        <v>6.903855960459734</v>
      </c>
      <c r="CA53" s="641">
        <f>INPUT!DX668</f>
        <v>13.812473979330637</v>
      </c>
      <c r="CB53" s="681">
        <f>INPUT!DY668</f>
        <v>8.8749509996079965</v>
      </c>
      <c r="CC53" s="641">
        <f>INPUT!DZ668</f>
        <v>-19.979220464136215</v>
      </c>
      <c r="CD53" s="681">
        <f>INPUT!EA668</f>
        <v>6.3061296521432215</v>
      </c>
      <c r="CE53" s="641">
        <f>INPUT!EB668</f>
        <v>-33.748852896192005</v>
      </c>
      <c r="CF53" s="681">
        <f>INPUT!EC668</f>
        <v>10.215307245010214</v>
      </c>
      <c r="CG53" s="641">
        <f>INPUT!ED668</f>
        <v>-5.9946744259143596</v>
      </c>
      <c r="CH53" s="681">
        <f>INPUT!EE668</f>
        <v>14.553387090491215</v>
      </c>
      <c r="CI53" s="641" t="str">
        <f>INPUT!EF668</f>
        <v>NM</v>
      </c>
      <c r="CJ53" s="681">
        <f>INPUT!EG668</f>
        <v>5.878258179286874</v>
      </c>
      <c r="CK53" s="641">
        <f>INPUT!EH668</f>
        <v>-33.765739331445154</v>
      </c>
      <c r="CL53" s="681">
        <f>INPUT!EI668</f>
        <v>13.365081803517937</v>
      </c>
      <c r="CM53" s="641" t="str">
        <f>INPUT!EJ668</f>
        <v>NM</v>
      </c>
      <c r="CN53" s="681">
        <f>INPUT!EK668</f>
        <v>12.449358221952975</v>
      </c>
      <c r="CO53" s="641">
        <f>INPUT!EL668</f>
        <v>21.869640563518146</v>
      </c>
      <c r="CP53" s="681">
        <f>INPUT!EM668</f>
        <v>12.505609573672402</v>
      </c>
      <c r="CQ53" s="641">
        <f>INPUT!EN668</f>
        <v>-14.070796743644475</v>
      </c>
      <c r="CR53" s="681">
        <f>INPUT!EO668</f>
        <v>23.697680328166406</v>
      </c>
      <c r="CS53" s="641" t="str">
        <f>INPUT!EP668</f>
        <v>NM</v>
      </c>
      <c r="CT53" s="681">
        <f>INPUT!EQ668</f>
        <v>10.232693045647734</v>
      </c>
      <c r="CU53" s="641">
        <f>INPUT!ER668</f>
        <v>-23.437108757880555</v>
      </c>
      <c r="CV53" s="681">
        <f>INPUT!ES668</f>
        <v>10.778600513160599</v>
      </c>
      <c r="CW53" s="641">
        <f>INPUT!ET668</f>
        <v>-13.420432435193263</v>
      </c>
      <c r="CX53" s="681">
        <f>INPUT!EU668</f>
        <v>10.521849810555176</v>
      </c>
      <c r="CY53" s="641">
        <f>INPUT!EV668</f>
        <v>-15.862959349807005</v>
      </c>
      <c r="CZ53" s="681">
        <f>INPUT!EW668</f>
        <v>10.718578748066571</v>
      </c>
      <c r="DA53" s="641" t="str">
        <f>INPUT!EX668</f>
        <v>NM</v>
      </c>
      <c r="DB53" s="640"/>
      <c r="DC53" s="681">
        <f>INPUT!FP668</f>
        <v>17.085995436394754</v>
      </c>
      <c r="DD53" s="641">
        <f>INPUT!FQ668</f>
        <v>57.337063711613112</v>
      </c>
      <c r="DE53" s="681">
        <f>INPUT!FR668</f>
        <v>14.591724913268866</v>
      </c>
      <c r="DF53" s="641">
        <f>INPUT!FS668</f>
        <v>-14.598333075829228</v>
      </c>
      <c r="DG53" s="681">
        <f>INPUT!FT668</f>
        <v>10.249188916186576</v>
      </c>
      <c r="DH53" s="641">
        <f>INPUT!FU668</f>
        <v>-29.760264964517258</v>
      </c>
      <c r="DI53" s="681">
        <f>INPUT!FV668</f>
        <v>0.49987730170841083</v>
      </c>
      <c r="DJ53" s="641" t="str">
        <f>INPUT!FW668</f>
        <v>NM</v>
      </c>
      <c r="DK53" s="681">
        <f>INPUT!FX668</f>
        <v>-4.7302053320690023</v>
      </c>
      <c r="DL53" s="641" t="str">
        <f>INPUT!FY668</f>
        <v>NM</v>
      </c>
      <c r="DM53" s="681">
        <f>INPUT!FZ668</f>
        <v>6.660175938929715</v>
      </c>
      <c r="DN53" s="641" t="str">
        <f>INPUT!GA668</f>
        <v>NM</v>
      </c>
      <c r="DO53" s="681">
        <f>INPUT!GB668</f>
        <v>1.9787621170263412</v>
      </c>
      <c r="DP53" s="641" t="str">
        <f>INPUT!GC668</f>
        <v>NM</v>
      </c>
      <c r="DQ53" s="681">
        <f>INPUT!GD668</f>
        <v>12.128231261002503</v>
      </c>
      <c r="DR53" s="641" t="str">
        <f>INPUT!GE668</f>
        <v>NM</v>
      </c>
      <c r="DS53" s="681">
        <f>INPUT!GF668</f>
        <v>10.791585339405769</v>
      </c>
      <c r="DT53" s="641">
        <f>INPUT!GG668</f>
        <v>-11.02094685392937</v>
      </c>
      <c r="DU53" s="681">
        <f>INPUT!GH668</f>
        <v>12.366511779571207</v>
      </c>
      <c r="DV53" s="641">
        <f>INPUT!GI668</f>
        <v>14.594022941324013</v>
      </c>
      <c r="DW53" s="681">
        <f>INPUT!GJ668</f>
        <v>9.0258105130626376</v>
      </c>
      <c r="DX53" s="641">
        <f>INPUT!GK668</f>
        <v>-27.014095211773647</v>
      </c>
      <c r="DY53" s="681">
        <f>INPUT!GL668</f>
        <v>9.211960753776669</v>
      </c>
      <c r="DZ53" s="641">
        <f>INPUT!GM668</f>
        <v>2.0624213243190193</v>
      </c>
      <c r="EA53" s="681">
        <f>INPUT!GN668</f>
        <v>15.405125166641978</v>
      </c>
      <c r="EB53" s="641">
        <f>INPUT!GO668</f>
        <v>67.229600498745825</v>
      </c>
      <c r="EC53" s="681">
        <f>INPUT!GP668</f>
        <v>10.585786131956079</v>
      </c>
      <c r="ED53" s="641">
        <f>INPUT!GQ668</f>
        <v>-31.283997906888949</v>
      </c>
      <c r="EE53" s="681">
        <f>INPUT!GR668</f>
        <v>10.612709575984763</v>
      </c>
      <c r="EF53" s="641">
        <f>INPUT!GS668</f>
        <v>0.25433580173519488</v>
      </c>
      <c r="EG53" s="681">
        <f>INPUT!GT668</f>
        <v>11.351816025711123</v>
      </c>
      <c r="EH53" s="641">
        <f>INPUT!GU668</f>
        <v>6.9643519822578215</v>
      </c>
      <c r="EI53" s="681">
        <f>INPUT!GV668</f>
        <v>11.38921780340587</v>
      </c>
      <c r="EJ53" s="641">
        <f>INPUT!GW668</f>
        <v>0.32947836372643202</v>
      </c>
      <c r="EK53" s="681">
        <f>INPUT!GX668</f>
        <v>11.341215489888247</v>
      </c>
      <c r="EL53" s="641">
        <f>INPUT!GY668</f>
        <v>-0.42147155622282995</v>
      </c>
      <c r="EM53" s="852">
        <f>INPUT!GZ668</f>
        <v>-5.9413211784177573</v>
      </c>
      <c r="EN53" s="638"/>
      <c r="EO53" s="638"/>
      <c r="EP53" s="638"/>
      <c r="EQ53" s="638"/>
      <c r="ER53" s="638"/>
      <c r="ES53" s="638"/>
      <c r="ET53" s="638"/>
      <c r="EU53" s="638"/>
      <c r="EV53" s="638"/>
      <c r="EW53" s="638"/>
      <c r="EX53" s="638"/>
      <c r="EY53" s="638"/>
      <c r="EZ53" s="638"/>
      <c r="FA53" s="638"/>
      <c r="FB53" s="638"/>
      <c r="FC53" s="638"/>
      <c r="FD53" s="638"/>
      <c r="FE53" s="638"/>
      <c r="FF53" s="638"/>
    </row>
    <row r="54" spans="1:162" ht="12.75" customHeight="1" x14ac:dyDescent="0.2">
      <c r="A54" s="851" t="str">
        <f>INPUT!B669</f>
        <v>Reported ROE (Incl-FAS115)</v>
      </c>
      <c r="B54" s="681">
        <f>INPUT!AY669</f>
        <v>15.503749233647209</v>
      </c>
      <c r="C54" s="641">
        <f>INPUT!AZ669</f>
        <v>8.0042601390919454</v>
      </c>
      <c r="D54" s="681">
        <f>INPUT!BA669</f>
        <v>14.476018711604578</v>
      </c>
      <c r="E54" s="641">
        <f>INPUT!BB669</f>
        <v>-4.6989135901802204</v>
      </c>
      <c r="F54" s="681">
        <f>INPUT!BC669</f>
        <v>11.967246673490278</v>
      </c>
      <c r="G54" s="641">
        <f>INPUT!BD669</f>
        <v>-25.162697771483135</v>
      </c>
      <c r="H54" s="681">
        <f>INPUT!BE669</f>
        <v>12.095593997739664</v>
      </c>
      <c r="I54" s="641">
        <f>INPUT!BF669</f>
        <v>-23.636722726810333</v>
      </c>
      <c r="J54" s="681">
        <f>INPUT!BG669</f>
        <v>12.004454713186286</v>
      </c>
      <c r="K54" s="641">
        <f>INPUT!BH669</f>
        <v>-22.570634159036416</v>
      </c>
      <c r="L54" s="681">
        <f>INPUT!BI669</f>
        <v>11.620628542938425</v>
      </c>
      <c r="M54" s="641">
        <f>INPUT!BJ669</f>
        <v>-19.724968760762607</v>
      </c>
      <c r="N54" s="681">
        <f>INPUT!BK669</f>
        <v>9.7484725992285259</v>
      </c>
      <c r="O54" s="641">
        <f>INPUT!BL669</f>
        <v>-18.540388903128047</v>
      </c>
      <c r="P54" s="681">
        <f>INPUT!BM669</f>
        <v>6.7394948757036079</v>
      </c>
      <c r="Q54" s="641">
        <f>INPUT!BN669</f>
        <v>-44.281406295854218</v>
      </c>
      <c r="R54" s="681">
        <f>INPUT!BO669</f>
        <v>10.152924616416797</v>
      </c>
      <c r="S54" s="641">
        <f>INPUT!BP669</f>
        <v>-15.423691796143613</v>
      </c>
      <c r="T54" s="681">
        <f>INPUT!BQ669</f>
        <v>4.6256486286137903</v>
      </c>
      <c r="U54" s="641" t="str">
        <f>INPUT!BR669</f>
        <v>NM</v>
      </c>
      <c r="V54" s="681">
        <f>INPUT!BS669</f>
        <v>5.9086499514946693</v>
      </c>
      <c r="W54" s="641">
        <f>INPUT!BT669</f>
        <v>-39.38896692429266</v>
      </c>
      <c r="X54" s="681">
        <f>INPUT!BU669</f>
        <v>-23.157424943782939</v>
      </c>
      <c r="Y54" s="641" t="str">
        <f>INPUT!BV669</f>
        <v>NM</v>
      </c>
      <c r="Z54" s="681">
        <f>INPUT!BW669</f>
        <v>-30.269478885482904</v>
      </c>
      <c r="AA54" s="641" t="str">
        <f>INPUT!BX669</f>
        <v>NM</v>
      </c>
      <c r="AB54" s="681">
        <f>INPUT!BY669</f>
        <v>-7.8548080206859483</v>
      </c>
      <c r="AC54" s="641" t="str">
        <f>INPUT!BZ669</f>
        <v>NM</v>
      </c>
      <c r="AD54" s="681">
        <f>INPUT!CA669</f>
        <v>5.5412988746322025</v>
      </c>
      <c r="AE54" s="641">
        <f>INPUT!CB669</f>
        <v>-6.2171744794179311</v>
      </c>
      <c r="AF54" s="681">
        <f>INPUT!CC669</f>
        <v>3.1357926871897646</v>
      </c>
      <c r="AG54" s="641" t="str">
        <f>INPUT!CD669</f>
        <v>NM</v>
      </c>
      <c r="AH54" s="681">
        <f>INPUT!CE669</f>
        <v>8.9029632937716272</v>
      </c>
      <c r="AI54" s="641" t="str">
        <f>INPUT!CF669</f>
        <v>NM</v>
      </c>
      <c r="AJ54" s="681">
        <f>INPUT!CG669</f>
        <v>2.8800665142382038</v>
      </c>
      <c r="AK54" s="641" t="str">
        <f>INPUT!CH669</f>
        <v>NM</v>
      </c>
      <c r="AL54" s="681">
        <f>INPUT!CI669</f>
        <v>7.4520882644880491</v>
      </c>
      <c r="AM54" s="641">
        <f>INPUT!CJ669</f>
        <v>34.4826986070603</v>
      </c>
      <c r="AN54" s="681">
        <f>INPUT!CK669</f>
        <v>5.9387387387387331</v>
      </c>
      <c r="AO54" s="641">
        <f>INPUT!CL669</f>
        <v>89.385566303520974</v>
      </c>
      <c r="AP54" s="681">
        <f>INPUT!CM669</f>
        <v>10.093226405836509</v>
      </c>
      <c r="AQ54" s="641">
        <f>INPUT!CN669</f>
        <v>13.369291468353817</v>
      </c>
      <c r="AR54" s="681">
        <f>INPUT!CO669</f>
        <v>9.8408339359273231</v>
      </c>
      <c r="AS54" s="641" t="str">
        <f>INPUT!CP669</f>
        <v>NM</v>
      </c>
      <c r="AT54" s="681">
        <f>INPUT!CQ669</f>
        <v>4.42753268281656</v>
      </c>
      <c r="AU54" s="641">
        <f>INPUT!CR669</f>
        <v>-40.586684890524083</v>
      </c>
      <c r="AV54" s="681">
        <f>INPUT!CS669</f>
        <v>-15.978734401535849</v>
      </c>
      <c r="AW54" s="641" t="str">
        <f>INPUT!CT669</f>
        <v>NM</v>
      </c>
      <c r="AX54" s="681">
        <f>INPUT!CU669</f>
        <v>7.4141876430205951</v>
      </c>
      <c r="AY54" s="641">
        <f>INPUT!CV669</f>
        <v>-26.542937363088704</v>
      </c>
      <c r="AZ54" s="681">
        <f>INPUT!CW669</f>
        <v>9.3376044773371625</v>
      </c>
      <c r="BA54" s="641">
        <f>INPUT!CX669</f>
        <v>-5.1136871312597805</v>
      </c>
      <c r="BB54" s="681">
        <f>INPUT!CY669</f>
        <v>11.742515175417537</v>
      </c>
      <c r="BC54" s="641" t="str">
        <f>INPUT!CZ669</f>
        <v>NM</v>
      </c>
      <c r="BD54" s="681">
        <f>INPUT!DA669</f>
        <v>8.5063964113640154</v>
      </c>
      <c r="BE54" s="641" t="str">
        <f>INPUT!DB669</f>
        <v>NM</v>
      </c>
      <c r="BF54" s="681">
        <f>INPUT!DC669</f>
        <v>6.4081509535140926</v>
      </c>
      <c r="BG54" s="641">
        <f>INPUT!DD669</f>
        <v>-13.569075102294493</v>
      </c>
      <c r="BH54" s="681">
        <f>INPUT!DE669</f>
        <v>8.9996096383831929</v>
      </c>
      <c r="BI54" s="641">
        <f>INPUT!DF669</f>
        <v>-3.6197168103907162</v>
      </c>
      <c r="BJ54" s="681">
        <f>INPUT!DG669</f>
        <v>10.09510971317307</v>
      </c>
      <c r="BK54" s="641">
        <f>INPUT!DH669</f>
        <v>-14.029408841584823</v>
      </c>
      <c r="BL54" s="681">
        <f>INPUT!DI669</f>
        <v>10.461217494970569</v>
      </c>
      <c r="BM54" s="641">
        <f>INPUT!DJ669</f>
        <v>22.980601762163765</v>
      </c>
      <c r="BN54" s="681">
        <f>INPUT!DK669</f>
        <v>9.3915533285612032</v>
      </c>
      <c r="BO54" s="641">
        <f>INPUT!DL669</f>
        <v>46.556368548263926</v>
      </c>
      <c r="BP54" s="681">
        <f>INPUT!DM669</f>
        <v>10.662034872068944</v>
      </c>
      <c r="BQ54" s="641">
        <f>INPUT!DN669</f>
        <v>18.472192689286572</v>
      </c>
      <c r="BR54" s="681">
        <f>INPUT!DO669</f>
        <v>11.416367342976411</v>
      </c>
      <c r="BS54" s="641">
        <f>INPUT!DP669</f>
        <v>13.08809579433532</v>
      </c>
      <c r="BT54" s="681">
        <f>INPUT!DQ669</f>
        <v>8.9510130802769936</v>
      </c>
      <c r="BU54" s="641">
        <f>INPUT!DR669</f>
        <v>-14.436220405699762</v>
      </c>
      <c r="BV54" s="681">
        <f>INPUT!DS669</f>
        <v>7.508681913462441</v>
      </c>
      <c r="BW54" s="641">
        <f>INPUT!DT669</f>
        <v>-20.048562247659842</v>
      </c>
      <c r="BX54" s="681">
        <f>INPUT!DU669</f>
        <v>8.8998124312787024</v>
      </c>
      <c r="BY54" s="641">
        <f>INPUT!DV669</f>
        <v>-16.528012353501953</v>
      </c>
      <c r="BZ54" s="681">
        <f>INPUT!DW669</f>
        <v>6.0481099656357387</v>
      </c>
      <c r="CA54" s="641">
        <f>INPUT!DX669</f>
        <v>12.225505278851541</v>
      </c>
      <c r="CB54" s="681">
        <f>INPUT!DY669</f>
        <v>8.0805196659290459</v>
      </c>
      <c r="CC54" s="641">
        <f>INPUT!DZ669</f>
        <v>-9.72508258608209</v>
      </c>
      <c r="CD54" s="681">
        <f>INPUT!EA669</f>
        <v>5.6870026525198938</v>
      </c>
      <c r="CE54" s="641">
        <f>INPUT!EB669</f>
        <v>-24.260972590627759</v>
      </c>
      <c r="CF54" s="681">
        <f>INPUT!EC669</f>
        <v>8.5028451828111713</v>
      </c>
      <c r="CG54" s="641">
        <f>INPUT!ED669</f>
        <v>-4.460400166102108</v>
      </c>
      <c r="CH54" s="681">
        <f>INPUT!EE669</f>
        <v>11.58701113419967</v>
      </c>
      <c r="CI54" s="641">
        <f>INPUT!EF669</f>
        <v>91.580695457505911</v>
      </c>
      <c r="CJ54" s="681">
        <f>INPUT!EG669</f>
        <v>4.93490471088601</v>
      </c>
      <c r="CK54" s="641">
        <f>INPUT!EH669</f>
        <v>-38.928374474556435</v>
      </c>
      <c r="CL54" s="681">
        <f>INPUT!EI669</f>
        <v>11.8162371396557</v>
      </c>
      <c r="CM54" s="641" t="str">
        <f>INPUT!EJ669</f>
        <v>NM</v>
      </c>
      <c r="CN54" s="681">
        <f>INPUT!EK669</f>
        <v>10.617068681584811</v>
      </c>
      <c r="CO54" s="641">
        <f>INPUT!EL669</f>
        <v>24.864894671346292</v>
      </c>
      <c r="CP54" s="681">
        <f>INPUT!EM669</f>
        <v>10.349736923553079</v>
      </c>
      <c r="CQ54" s="641">
        <f>INPUT!EN669</f>
        <v>-10.678113590438443</v>
      </c>
      <c r="CR54" s="681">
        <f>INPUT!EO669</f>
        <v>19.407777381377095</v>
      </c>
      <c r="CS54" s="641" t="str">
        <f>INPUT!EP669</f>
        <v>NM</v>
      </c>
      <c r="CT54" s="681">
        <f>INPUT!EQ669</f>
        <v>8.3405267039977993</v>
      </c>
      <c r="CU54" s="641">
        <f>INPUT!ER669</f>
        <v>-29.414697712804838</v>
      </c>
      <c r="CV54" s="681">
        <f>INPUT!ES669</f>
        <v>8.8196946749946008</v>
      </c>
      <c r="CW54" s="641">
        <f>INPUT!ET669</f>
        <v>-16.929098421560894</v>
      </c>
      <c r="CX54" s="681">
        <f>INPUT!EU669</f>
        <v>8.6387926637396273</v>
      </c>
      <c r="CY54" s="641">
        <f>INPUT!EV669</f>
        <v>-16.531282606032484</v>
      </c>
      <c r="CZ54" s="681">
        <f>INPUT!EW669</f>
        <v>8.8254076214562982</v>
      </c>
      <c r="DA54" s="641" t="str">
        <f>INPUT!EX669</f>
        <v>NM</v>
      </c>
      <c r="DB54" s="640"/>
      <c r="DC54" s="681">
        <f>INPUT!FP669</f>
        <v>15.26203821656051</v>
      </c>
      <c r="DD54" s="641">
        <f>INPUT!FQ669</f>
        <v>43.445539510405041</v>
      </c>
      <c r="DE54" s="681">
        <f>INPUT!FR669</f>
        <v>13.827412915514326</v>
      </c>
      <c r="DF54" s="641">
        <f>INPUT!FS669</f>
        <v>-9.3999587780451481</v>
      </c>
      <c r="DG54" s="681">
        <f>INPUT!FT669</f>
        <v>10.011120680284618</v>
      </c>
      <c r="DH54" s="641">
        <f>INPUT!FU669</f>
        <v>-27.59946678780263</v>
      </c>
      <c r="DI54" s="681">
        <f>INPUT!FV669</f>
        <v>0.5688492627645364</v>
      </c>
      <c r="DJ54" s="641" t="str">
        <f>INPUT!FW669</f>
        <v>NM</v>
      </c>
      <c r="DK54" s="681">
        <f>INPUT!FX669</f>
        <v>-5.4984817411487876</v>
      </c>
      <c r="DL54" s="641" t="str">
        <f>INPUT!FY669</f>
        <v>NM</v>
      </c>
      <c r="DM54" s="681">
        <f>INPUT!FZ669</f>
        <v>6.5235095299781793</v>
      </c>
      <c r="DN54" s="641" t="str">
        <f>INPUT!GA669</f>
        <v>NM</v>
      </c>
      <c r="DO54" s="681">
        <f>INPUT!GB669</f>
        <v>1.717016529372255</v>
      </c>
      <c r="DP54" s="641" t="str">
        <f>INPUT!GC669</f>
        <v>NM</v>
      </c>
      <c r="DQ54" s="681">
        <f>INPUT!GD669</f>
        <v>9.3256866027855949</v>
      </c>
      <c r="DR54" s="641" t="str">
        <f>INPUT!GE669</f>
        <v>NM</v>
      </c>
      <c r="DS54" s="681">
        <f>INPUT!GF669</f>
        <v>8.7525504819531417</v>
      </c>
      <c r="DT54" s="641">
        <f>INPUT!GG669</f>
        <v>-6.1457793430593766</v>
      </c>
      <c r="DU54" s="681">
        <f>INPUT!GH669</f>
        <v>10.392902408111533</v>
      </c>
      <c r="DV54" s="641">
        <f>INPUT!GI669</f>
        <v>18.741416339621566</v>
      </c>
      <c r="DW54" s="681">
        <f>INPUT!GJ669</f>
        <v>7.81414994720169</v>
      </c>
      <c r="DX54" s="641">
        <f>INPUT!GK669</f>
        <v>-24.812630386071543</v>
      </c>
      <c r="DY54" s="681">
        <f>INPUT!GL669</f>
        <v>8.4214273002313575</v>
      </c>
      <c r="DZ54" s="641">
        <f>INPUT!GM669</f>
        <v>7.7715088286364198</v>
      </c>
      <c r="EA54" s="681">
        <f>INPUT!GN669</f>
        <v>13.081761006289309</v>
      </c>
      <c r="EB54" s="641">
        <f>INPUT!GO669</f>
        <v>55.339000622019505</v>
      </c>
      <c r="EC54" s="681">
        <f>INPUT!GP669</f>
        <v>8.6720046173896765</v>
      </c>
      <c r="ED54" s="641">
        <f>INPUT!GQ669</f>
        <v>-33.709195472838537</v>
      </c>
      <c r="EE54" s="681">
        <f>INPUT!GR669</f>
        <v>8.799337755226512</v>
      </c>
      <c r="EF54" s="641">
        <f>INPUT!GS669</f>
        <v>1.468324147123945</v>
      </c>
      <c r="EG54" s="681">
        <f>INPUT!GT669</f>
        <v>9.5138048585182613</v>
      </c>
      <c r="EH54" s="641">
        <f>INPUT!GU669</f>
        <v>8.1195553934428677</v>
      </c>
      <c r="EI54" s="681">
        <f>INPUT!GV669</f>
        <v>9.6426759233791106</v>
      </c>
      <c r="EJ54" s="641">
        <f>INPUT!GW669</f>
        <v>1.354569142181461</v>
      </c>
      <c r="EK54" s="681">
        <f>INPUT!GX669</f>
        <v>9.6931496830775377</v>
      </c>
      <c r="EL54" s="641">
        <f>INPUT!GY669</f>
        <v>0.52344141916094156</v>
      </c>
      <c r="EM54" s="852">
        <f>INPUT!GZ669</f>
        <v>-5.8197710826376703</v>
      </c>
      <c r="EN54" s="638"/>
      <c r="EO54" s="638"/>
      <c r="EP54" s="638"/>
      <c r="EQ54" s="638"/>
      <c r="ER54" s="638"/>
      <c r="ES54" s="638"/>
      <c r="ET54" s="638"/>
      <c r="EU54" s="638"/>
      <c r="EV54" s="638"/>
      <c r="EW54" s="638"/>
      <c r="EX54" s="638"/>
      <c r="EY54" s="638"/>
      <c r="EZ54" s="638"/>
      <c r="FA54" s="638"/>
      <c r="FB54" s="638"/>
      <c r="FC54" s="638"/>
      <c r="FD54" s="638"/>
      <c r="FE54" s="638"/>
      <c r="FF54" s="638"/>
    </row>
    <row r="55" spans="1:162" ht="3" customHeight="1" x14ac:dyDescent="0.2">
      <c r="A55" s="851"/>
      <c r="B55" s="640"/>
      <c r="C55" s="641"/>
      <c r="D55" s="640"/>
      <c r="E55" s="641"/>
      <c r="F55" s="640"/>
      <c r="G55" s="641"/>
      <c r="H55" s="640"/>
      <c r="I55" s="641"/>
      <c r="J55" s="640"/>
      <c r="K55" s="641"/>
      <c r="L55" s="640"/>
      <c r="M55" s="641"/>
      <c r="N55" s="640"/>
      <c r="O55" s="641"/>
      <c r="P55" s="640"/>
      <c r="Q55" s="641"/>
      <c r="R55" s="640"/>
      <c r="S55" s="641"/>
      <c r="T55" s="640"/>
      <c r="U55" s="641"/>
      <c r="V55" s="640"/>
      <c r="W55" s="641"/>
      <c r="X55" s="640"/>
      <c r="Y55" s="641"/>
      <c r="Z55" s="640"/>
      <c r="AA55" s="641"/>
      <c r="AB55" s="640"/>
      <c r="AC55" s="641"/>
      <c r="AD55" s="640"/>
      <c r="AE55" s="641"/>
      <c r="AF55" s="640"/>
      <c r="AG55" s="641"/>
      <c r="AH55" s="640"/>
      <c r="AI55" s="641"/>
      <c r="AJ55" s="640"/>
      <c r="AK55" s="641"/>
      <c r="AL55" s="640"/>
      <c r="AM55" s="641"/>
      <c r="AN55" s="640"/>
      <c r="AO55" s="641"/>
      <c r="AP55" s="640"/>
      <c r="AQ55" s="641"/>
      <c r="AR55" s="640"/>
      <c r="AS55" s="641"/>
      <c r="AT55" s="640"/>
      <c r="AU55" s="641"/>
      <c r="AV55" s="640"/>
      <c r="AW55" s="641"/>
      <c r="AX55" s="640"/>
      <c r="AY55" s="641"/>
      <c r="AZ55" s="640"/>
      <c r="BA55" s="641"/>
      <c r="BB55" s="640"/>
      <c r="BC55" s="641"/>
      <c r="BD55" s="640"/>
      <c r="BE55" s="641"/>
      <c r="BF55" s="640"/>
      <c r="BG55" s="641"/>
      <c r="BH55" s="640"/>
      <c r="BI55" s="641"/>
      <c r="BJ55" s="640"/>
      <c r="BK55" s="641"/>
      <c r="BL55" s="640"/>
      <c r="BM55" s="641"/>
      <c r="BN55" s="640"/>
      <c r="BO55" s="641"/>
      <c r="BP55" s="640"/>
      <c r="BQ55" s="641"/>
      <c r="BR55" s="640"/>
      <c r="BS55" s="641"/>
      <c r="BT55" s="640"/>
      <c r="BU55" s="641"/>
      <c r="BV55" s="640"/>
      <c r="BW55" s="641"/>
      <c r="BX55" s="640"/>
      <c r="BY55" s="641"/>
      <c r="BZ55" s="640"/>
      <c r="CA55" s="641"/>
      <c r="CB55" s="640"/>
      <c r="CC55" s="641"/>
      <c r="CD55" s="640"/>
      <c r="CE55" s="641"/>
      <c r="CF55" s="640"/>
      <c r="CG55" s="641"/>
      <c r="CH55" s="640"/>
      <c r="CI55" s="641"/>
      <c r="CJ55" s="640"/>
      <c r="CK55" s="641"/>
      <c r="CL55" s="640"/>
      <c r="CM55" s="641"/>
      <c r="CN55" s="640"/>
      <c r="CO55" s="641"/>
      <c r="CP55" s="640"/>
      <c r="CQ55" s="641"/>
      <c r="CR55" s="640"/>
      <c r="CS55" s="641"/>
      <c r="CT55" s="640"/>
      <c r="CU55" s="641"/>
      <c r="CV55" s="640"/>
      <c r="CW55" s="641"/>
      <c r="CX55" s="640"/>
      <c r="CY55" s="641"/>
      <c r="CZ55" s="640"/>
      <c r="DA55" s="641"/>
      <c r="DB55" s="640"/>
      <c r="DC55" s="640"/>
      <c r="DD55" s="641"/>
      <c r="DE55" s="640"/>
      <c r="DF55" s="641"/>
      <c r="DG55" s="640"/>
      <c r="DH55" s="641"/>
      <c r="DI55" s="640"/>
      <c r="DJ55" s="641"/>
      <c r="DK55" s="640"/>
      <c r="DL55" s="641"/>
      <c r="DM55" s="640"/>
      <c r="DN55" s="641"/>
      <c r="DO55" s="640"/>
      <c r="DP55" s="641"/>
      <c r="DQ55" s="640"/>
      <c r="DR55" s="641"/>
      <c r="DS55" s="640"/>
      <c r="DT55" s="641"/>
      <c r="DU55" s="640"/>
      <c r="DV55" s="641"/>
      <c r="DW55" s="640"/>
      <c r="DX55" s="641"/>
      <c r="DY55" s="640"/>
      <c r="DZ55" s="641"/>
      <c r="EA55" s="640"/>
      <c r="EB55" s="641"/>
      <c r="EC55" s="640"/>
      <c r="ED55" s="641"/>
      <c r="EE55" s="640"/>
      <c r="EF55" s="641"/>
      <c r="EG55" s="640"/>
      <c r="EH55" s="641"/>
      <c r="EI55" s="640"/>
      <c r="EJ55" s="641"/>
      <c r="EK55" s="640"/>
      <c r="EL55" s="641"/>
      <c r="EM55" s="852"/>
      <c r="EN55" s="638"/>
      <c r="EO55" s="638"/>
      <c r="EP55" s="638"/>
      <c r="EQ55" s="638"/>
      <c r="ER55" s="638"/>
      <c r="ES55" s="638"/>
      <c r="ET55" s="638"/>
      <c r="EU55" s="638"/>
      <c r="EV55" s="638"/>
      <c r="EW55" s="638"/>
      <c r="EX55" s="638"/>
      <c r="EY55" s="638"/>
      <c r="EZ55" s="638"/>
      <c r="FA55" s="638"/>
      <c r="FB55" s="638"/>
      <c r="FC55" s="638"/>
      <c r="FD55" s="638"/>
      <c r="FE55" s="638"/>
      <c r="FF55" s="638"/>
    </row>
    <row r="56" spans="1:162" ht="12.75" customHeight="1" x14ac:dyDescent="0.2">
      <c r="A56" s="855" t="s">
        <v>299</v>
      </c>
      <c r="B56" s="640"/>
      <c r="C56" s="641"/>
      <c r="D56" s="640"/>
      <c r="E56" s="641"/>
      <c r="F56" s="640"/>
      <c r="G56" s="641"/>
      <c r="H56" s="640"/>
      <c r="I56" s="641"/>
      <c r="J56" s="640"/>
      <c r="K56" s="641"/>
      <c r="L56" s="640"/>
      <c r="M56" s="641"/>
      <c r="N56" s="640"/>
      <c r="O56" s="641"/>
      <c r="P56" s="640"/>
      <c r="Q56" s="641"/>
      <c r="R56" s="640"/>
      <c r="S56" s="641"/>
      <c r="T56" s="640"/>
      <c r="U56" s="641"/>
      <c r="V56" s="640"/>
      <c r="W56" s="641"/>
      <c r="X56" s="640"/>
      <c r="Y56" s="641"/>
      <c r="Z56" s="640"/>
      <c r="AA56" s="641"/>
      <c r="AB56" s="640"/>
      <c r="AC56" s="641"/>
      <c r="AD56" s="640"/>
      <c r="AE56" s="641"/>
      <c r="AF56" s="640"/>
      <c r="AG56" s="641"/>
      <c r="AH56" s="640"/>
      <c r="AI56" s="641"/>
      <c r="AJ56" s="640"/>
      <c r="AK56" s="641"/>
      <c r="AL56" s="640"/>
      <c r="AM56" s="641"/>
      <c r="AN56" s="640"/>
      <c r="AO56" s="641"/>
      <c r="AP56" s="640"/>
      <c r="AQ56" s="641"/>
      <c r="AR56" s="640"/>
      <c r="AS56" s="641"/>
      <c r="AT56" s="640"/>
      <c r="AU56" s="641"/>
      <c r="AV56" s="640"/>
      <c r="AW56" s="641"/>
      <c r="AX56" s="640"/>
      <c r="AY56" s="641"/>
      <c r="AZ56" s="640"/>
      <c r="BA56" s="641"/>
      <c r="BB56" s="640"/>
      <c r="BC56" s="641"/>
      <c r="BD56" s="640"/>
      <c r="BE56" s="641"/>
      <c r="BF56" s="640"/>
      <c r="BG56" s="641"/>
      <c r="BH56" s="640"/>
      <c r="BI56" s="641"/>
      <c r="BJ56" s="640"/>
      <c r="BK56" s="641"/>
      <c r="BL56" s="640"/>
      <c r="BM56" s="641"/>
      <c r="BN56" s="640"/>
      <c r="BO56" s="641"/>
      <c r="BP56" s="640"/>
      <c r="BQ56" s="641"/>
      <c r="BR56" s="640"/>
      <c r="BS56" s="641"/>
      <c r="BT56" s="640"/>
      <c r="BU56" s="641"/>
      <c r="BV56" s="640"/>
      <c r="BW56" s="641"/>
      <c r="BX56" s="640"/>
      <c r="BY56" s="641"/>
      <c r="BZ56" s="640"/>
      <c r="CA56" s="641"/>
      <c r="CB56" s="640"/>
      <c r="CC56" s="641"/>
      <c r="CD56" s="640"/>
      <c r="CE56" s="641"/>
      <c r="CF56" s="640"/>
      <c r="CG56" s="641"/>
      <c r="CH56" s="640"/>
      <c r="CI56" s="641"/>
      <c r="CJ56" s="640"/>
      <c r="CK56" s="641"/>
      <c r="CL56" s="640"/>
      <c r="CM56" s="641"/>
      <c r="CN56" s="640"/>
      <c r="CO56" s="641"/>
      <c r="CP56" s="640"/>
      <c r="CQ56" s="641"/>
      <c r="CR56" s="640"/>
      <c r="CS56" s="641"/>
      <c r="CT56" s="640"/>
      <c r="CU56" s="641"/>
      <c r="CV56" s="640"/>
      <c r="CW56" s="641"/>
      <c r="CX56" s="640"/>
      <c r="CY56" s="641"/>
      <c r="CZ56" s="640"/>
      <c r="DA56" s="641"/>
      <c r="DB56" s="640"/>
      <c r="DC56" s="640"/>
      <c r="DD56" s="641"/>
      <c r="DE56" s="640"/>
      <c r="DF56" s="641"/>
      <c r="DG56" s="640"/>
      <c r="DH56" s="641"/>
      <c r="DI56" s="640"/>
      <c r="DJ56" s="641"/>
      <c r="DK56" s="640"/>
      <c r="DL56" s="641"/>
      <c r="DM56" s="640"/>
      <c r="DN56" s="641"/>
      <c r="DO56" s="640"/>
      <c r="DP56" s="641"/>
      <c r="DQ56" s="640"/>
      <c r="DR56" s="641"/>
      <c r="DS56" s="640"/>
      <c r="DT56" s="641"/>
      <c r="DU56" s="640"/>
      <c r="DV56" s="641"/>
      <c r="DW56" s="640"/>
      <c r="DX56" s="641"/>
      <c r="DY56" s="640"/>
      <c r="DZ56" s="641"/>
      <c r="EA56" s="640"/>
      <c r="EB56" s="641"/>
      <c r="EC56" s="640"/>
      <c r="ED56" s="641"/>
      <c r="EE56" s="640"/>
      <c r="EF56" s="641"/>
      <c r="EG56" s="640"/>
      <c r="EH56" s="641"/>
      <c r="EI56" s="640"/>
      <c r="EJ56" s="641"/>
      <c r="EK56" s="640"/>
      <c r="EL56" s="641"/>
      <c r="EM56" s="852"/>
      <c r="EN56" s="638"/>
      <c r="EO56" s="638"/>
      <c r="EP56" s="638"/>
      <c r="EQ56" s="638"/>
      <c r="ER56" s="638"/>
      <c r="ES56" s="638"/>
      <c r="ET56" s="638"/>
      <c r="EU56" s="638"/>
      <c r="EV56" s="638"/>
      <c r="EW56" s="638"/>
      <c r="EX56" s="638"/>
      <c r="EY56" s="638"/>
      <c r="EZ56" s="638"/>
      <c r="FA56" s="638"/>
      <c r="FB56" s="638"/>
      <c r="FC56" s="638"/>
      <c r="FD56" s="638"/>
      <c r="FE56" s="638"/>
      <c r="FF56" s="638"/>
    </row>
    <row r="57" spans="1:162" ht="12.75" customHeight="1" x14ac:dyDescent="0.2">
      <c r="A57" s="851" t="s">
        <v>362</v>
      </c>
      <c r="B57" s="682">
        <f>INPUT!AY588</f>
        <v>0.38</v>
      </c>
      <c r="C57" s="641">
        <f>INPUT!AZ588</f>
        <v>4.1095890410958846</v>
      </c>
      <c r="D57" s="682">
        <f>INPUT!BA588</f>
        <v>0.38</v>
      </c>
      <c r="E57" s="641">
        <f>INPUT!BB588</f>
        <v>4.1095890410958846</v>
      </c>
      <c r="F57" s="682">
        <f>INPUT!BC588</f>
        <v>0.38</v>
      </c>
      <c r="G57" s="641">
        <f>INPUT!BD588</f>
        <v>4.1095890410958846</v>
      </c>
      <c r="H57" s="682">
        <f>INPUT!BE588</f>
        <v>0.38</v>
      </c>
      <c r="I57" s="641">
        <f>INPUT!BF588</f>
        <v>4.1095890410958846</v>
      </c>
      <c r="J57" s="682">
        <f>INPUT!BG588</f>
        <v>0.39500000000000002</v>
      </c>
      <c r="K57" s="641">
        <f>INPUT!BH588</f>
        <v>3.9473684210526327</v>
      </c>
      <c r="L57" s="682">
        <f>INPUT!BI588</f>
        <v>0.39500000000000002</v>
      </c>
      <c r="M57" s="641">
        <f>INPUT!BJ588</f>
        <v>3.9473684210526327</v>
      </c>
      <c r="N57" s="682">
        <f>INPUT!BK588</f>
        <v>0.39500000000000002</v>
      </c>
      <c r="O57" s="641">
        <f>INPUT!BL588</f>
        <v>3.9473684210526327</v>
      </c>
      <c r="P57" s="682">
        <f>INPUT!BM588</f>
        <v>0.41499999999999998</v>
      </c>
      <c r="Q57" s="641">
        <f>INPUT!BN588</f>
        <v>9.210526315789469</v>
      </c>
      <c r="R57" s="682">
        <f>INPUT!BO588</f>
        <v>0.41499999999999998</v>
      </c>
      <c r="S57" s="641">
        <f>INPUT!BP588</f>
        <v>5.0632911392404889</v>
      </c>
      <c r="T57" s="682">
        <f>INPUT!BQ588</f>
        <v>0.41499999999999998</v>
      </c>
      <c r="U57" s="641">
        <f>INPUT!BR588</f>
        <v>5.0632911392404889</v>
      </c>
      <c r="V57" s="682">
        <f>INPUT!BS588</f>
        <v>0.41499999999999998</v>
      </c>
      <c r="W57" s="641">
        <f>INPUT!BT588</f>
        <v>5.0632911392404889</v>
      </c>
      <c r="X57" s="682">
        <f>INPUT!BU588</f>
        <v>0.21</v>
      </c>
      <c r="Y57" s="641">
        <f>INPUT!BV588</f>
        <v>-49.397590361445786</v>
      </c>
      <c r="Z57" s="682">
        <f>INPUT!BW588</f>
        <v>0.01</v>
      </c>
      <c r="AA57" s="641" t="str">
        <f>INPUT!BX588</f>
        <v>NM</v>
      </c>
      <c r="AB57" s="682">
        <f>INPUT!BY588</f>
        <v>0.01</v>
      </c>
      <c r="AC57" s="641" t="str">
        <f>INPUT!BZ588</f>
        <v>NM</v>
      </c>
      <c r="AD57" s="682">
        <f>INPUT!CA588</f>
        <v>0.01</v>
      </c>
      <c r="AE57" s="641" t="str">
        <f>INPUT!CB588</f>
        <v>NM</v>
      </c>
      <c r="AF57" s="682">
        <f>INPUT!CC588</f>
        <v>0.01</v>
      </c>
      <c r="AG57" s="641" t="str">
        <f>INPUT!CD588</f>
        <v>NM</v>
      </c>
      <c r="AH57" s="682">
        <f>INPUT!CE588</f>
        <v>0.01</v>
      </c>
      <c r="AI57" s="641">
        <f>INPUT!CF588</f>
        <v>0</v>
      </c>
      <c r="AJ57" s="682">
        <f>INPUT!CG588</f>
        <v>0.01</v>
      </c>
      <c r="AK57" s="641">
        <f>INPUT!CH588</f>
        <v>0</v>
      </c>
      <c r="AL57" s="682">
        <f>INPUT!CI588</f>
        <v>0.01</v>
      </c>
      <c r="AM57" s="641">
        <f>INPUT!CJ588</f>
        <v>0</v>
      </c>
      <c r="AN57" s="682">
        <f>INPUT!CK588</f>
        <v>0.01</v>
      </c>
      <c r="AO57" s="641">
        <f>INPUT!CL588</f>
        <v>0</v>
      </c>
      <c r="AP57" s="682">
        <f>INPUT!CM588</f>
        <v>0.05</v>
      </c>
      <c r="AQ57" s="641" t="str">
        <f>INPUT!CN588</f>
        <v>NM</v>
      </c>
      <c r="AR57" s="682">
        <f>INPUT!CO588</f>
        <v>0.05</v>
      </c>
      <c r="AS57" s="641" t="str">
        <f>INPUT!CP588</f>
        <v>NM</v>
      </c>
      <c r="AT57" s="682">
        <f>INPUT!CQ588</f>
        <v>0.05</v>
      </c>
      <c r="AU57" s="641" t="str">
        <f>INPUT!CR588</f>
        <v>NM</v>
      </c>
      <c r="AV57" s="682">
        <f>INPUT!CS588</f>
        <v>0.08</v>
      </c>
      <c r="AW57" s="641" t="str">
        <f>INPUT!CT588</f>
        <v>NM</v>
      </c>
      <c r="AX57" s="682">
        <f>INPUT!CU588</f>
        <v>0.08</v>
      </c>
      <c r="AY57" s="641">
        <f>INPUT!CV588</f>
        <v>59.999999999999986</v>
      </c>
      <c r="AZ57" s="682">
        <f>INPUT!CW588</f>
        <v>0.08</v>
      </c>
      <c r="BA57" s="641">
        <f>INPUT!CX588</f>
        <v>59.999999999999986</v>
      </c>
      <c r="BB57" s="682">
        <f>INPUT!CY588</f>
        <v>0.08</v>
      </c>
      <c r="BC57" s="641">
        <f>INPUT!CZ588</f>
        <v>59.999999999999986</v>
      </c>
      <c r="BD57" s="682">
        <f>INPUT!DA588</f>
        <v>0.12</v>
      </c>
      <c r="BE57" s="641">
        <f>INPUT!DB588</f>
        <v>50</v>
      </c>
      <c r="BF57" s="682">
        <f>INPUT!DC588</f>
        <v>0.12</v>
      </c>
      <c r="BG57" s="641">
        <f>INPUT!DD588</f>
        <v>50</v>
      </c>
      <c r="BH57" s="682">
        <f>INPUT!DE588</f>
        <v>0.12</v>
      </c>
      <c r="BI57" s="641">
        <f>INPUT!DF588</f>
        <v>50</v>
      </c>
      <c r="BJ57" s="682">
        <f>INPUT!DG588</f>
        <v>0.12</v>
      </c>
      <c r="BK57" s="641">
        <f>INPUT!DH588</f>
        <v>50</v>
      </c>
      <c r="BL57" s="682">
        <f>INPUT!DI588</f>
        <v>0.16</v>
      </c>
      <c r="BM57" s="641">
        <f>INPUT!DJ588</f>
        <v>33.33333333333335</v>
      </c>
      <c r="BN57" s="682">
        <f>INPUT!DK588</f>
        <v>0.16</v>
      </c>
      <c r="BO57" s="641">
        <f>INPUT!DL588</f>
        <v>33.33333333333335</v>
      </c>
      <c r="BP57" s="682">
        <f>INPUT!DM588</f>
        <v>0.16</v>
      </c>
      <c r="BQ57" s="641">
        <f>INPUT!DN588</f>
        <v>33.33333333333335</v>
      </c>
      <c r="BR57" s="682">
        <f>INPUT!DO588</f>
        <v>0.16</v>
      </c>
      <c r="BS57" s="641">
        <f>INPUT!DP588</f>
        <v>33.33333333333335</v>
      </c>
      <c r="BT57" s="682">
        <f>INPUT!DQ588</f>
        <v>0.2</v>
      </c>
      <c r="BU57" s="641">
        <f>INPUT!DR588</f>
        <v>25</v>
      </c>
      <c r="BV57" s="682">
        <f>INPUT!DS588</f>
        <v>0.2</v>
      </c>
      <c r="BW57" s="641">
        <f>INPUT!DT588</f>
        <v>25</v>
      </c>
      <c r="BX57" s="682">
        <f>INPUT!DU588</f>
        <v>0.2</v>
      </c>
      <c r="BY57" s="641">
        <f>INPUT!DV588</f>
        <v>25</v>
      </c>
      <c r="BZ57" s="682">
        <f>INPUT!DW588</f>
        <v>0.2</v>
      </c>
      <c r="CA57" s="641">
        <f>INPUT!DX588</f>
        <v>0.2</v>
      </c>
      <c r="CB57" s="682">
        <f>INPUT!DY588</f>
        <v>0.2</v>
      </c>
      <c r="CC57" s="641">
        <f>INPUT!DZ588</f>
        <v>0</v>
      </c>
      <c r="CD57" s="682">
        <f>INPUT!EA588</f>
        <v>0.25</v>
      </c>
      <c r="CE57" s="641">
        <f>INPUT!EB588</f>
        <v>25</v>
      </c>
      <c r="CF57" s="682">
        <f>INPUT!EC588</f>
        <v>0.25</v>
      </c>
      <c r="CG57" s="641">
        <f>INPUT!ED588</f>
        <v>25</v>
      </c>
      <c r="CH57" s="682">
        <f>INPUT!EE588</f>
        <v>0.25</v>
      </c>
      <c r="CI57" s="641">
        <f>INPUT!EF588</f>
        <v>25</v>
      </c>
      <c r="CJ57" s="682">
        <f>INPUT!EG588</f>
        <v>0.25</v>
      </c>
      <c r="CK57" s="641">
        <f>INPUT!EH588</f>
        <v>25</v>
      </c>
      <c r="CL57" s="682">
        <f>INPUT!EI588</f>
        <v>0.28999999999999998</v>
      </c>
      <c r="CM57" s="641">
        <f>INPUT!EJ588</f>
        <v>15.999999999999993</v>
      </c>
      <c r="CN57" s="682">
        <f>INPUT!EK588</f>
        <v>0.28999999999999998</v>
      </c>
      <c r="CO57" s="641">
        <f>INPUT!EL588</f>
        <v>15.999999999999993</v>
      </c>
      <c r="CP57" s="682">
        <f>INPUT!EM588</f>
        <v>0.28999999999999998</v>
      </c>
      <c r="CQ57" s="641">
        <f>INPUT!EN588</f>
        <v>15.999999999999993</v>
      </c>
      <c r="CR57" s="682">
        <f>INPUT!EO588</f>
        <v>0.28999999999999998</v>
      </c>
      <c r="CS57" s="641">
        <f>INPUT!EP588</f>
        <v>15.999999999999993</v>
      </c>
      <c r="CT57" s="682">
        <f>INPUT!EQ588</f>
        <v>0.33</v>
      </c>
      <c r="CU57" s="641">
        <f>INPUT!ER588</f>
        <v>13.793103448275868</v>
      </c>
      <c r="CV57" s="682">
        <f>INPUT!ES588</f>
        <v>0.33</v>
      </c>
      <c r="CW57" s="641">
        <f>INPUT!ET588</f>
        <v>13.793103448275868</v>
      </c>
      <c r="CX57" s="682">
        <f>INPUT!EU588</f>
        <v>0.33</v>
      </c>
      <c r="CY57" s="641">
        <f>INPUT!EV588</f>
        <v>13.793103448275868</v>
      </c>
      <c r="CZ57" s="682">
        <f>INPUT!EW588</f>
        <v>0.33</v>
      </c>
      <c r="DA57" s="641">
        <f>INPUT!EX588</f>
        <v>13.793103448275868</v>
      </c>
      <c r="DB57" s="640"/>
      <c r="DC57" s="682">
        <f>INPUT!FP588</f>
        <v>1.46</v>
      </c>
      <c r="DD57" s="641">
        <f>INPUT!FQ588</f>
        <v>18.218623481781361</v>
      </c>
      <c r="DE57" s="682">
        <f>INPUT!FR588</f>
        <v>1.52</v>
      </c>
      <c r="DF57" s="641">
        <f>INPUT!FS588</f>
        <v>4.1095890410958846</v>
      </c>
      <c r="DG57" s="682">
        <f>INPUT!FT588</f>
        <v>1.6</v>
      </c>
      <c r="DH57" s="641">
        <f>INPUT!FU588</f>
        <v>5.2631578947368363</v>
      </c>
      <c r="DI57" s="682">
        <f>INPUT!FV588</f>
        <v>1.4549999999999998</v>
      </c>
      <c r="DJ57" s="641">
        <f>INPUT!FW588</f>
        <v>-9.0625000000000178</v>
      </c>
      <c r="DK57" s="682">
        <f>INPUT!FX588</f>
        <v>0.04</v>
      </c>
      <c r="DL57" s="641" t="str">
        <f>INPUT!FY588</f>
        <v>NM</v>
      </c>
      <c r="DM57" s="682">
        <f>INPUT!FZ588</f>
        <v>0.04</v>
      </c>
      <c r="DN57" s="641">
        <f>INPUT!GA588</f>
        <v>0</v>
      </c>
      <c r="DO57" s="682">
        <f>INPUT!GB588</f>
        <v>0.23000000000000004</v>
      </c>
      <c r="DP57" s="641" t="str">
        <f>INPUT!GC588</f>
        <v>NM</v>
      </c>
      <c r="DQ57" s="682">
        <f>INPUT!GD588</f>
        <v>0.36</v>
      </c>
      <c r="DR57" s="641">
        <f>INPUT!GE588</f>
        <v>56.521739130434746</v>
      </c>
      <c r="DS57" s="682">
        <f>INPUT!GF588</f>
        <v>0.52</v>
      </c>
      <c r="DT57" s="641">
        <f>INPUT!GG588</f>
        <v>44.444444444444464</v>
      </c>
      <c r="DU57" s="682">
        <f>INPUT!GH588</f>
        <v>0.67999999999999994</v>
      </c>
      <c r="DV57" s="641">
        <f>INPUT!GI588</f>
        <v>30.769230769230749</v>
      </c>
      <c r="DW57" s="682">
        <f>INPUT!GJ588</f>
        <v>0.8</v>
      </c>
      <c r="DX57" s="641">
        <f>INPUT!GK588</f>
        <v>17.647058823529438</v>
      </c>
      <c r="DY57" s="682">
        <f>INPUT!GL588</f>
        <v>1</v>
      </c>
      <c r="DZ57" s="641">
        <f>INPUT!GM588</f>
        <v>25</v>
      </c>
      <c r="EA57" s="682">
        <f>INPUT!GN588</f>
        <v>1.1599999999999999</v>
      </c>
      <c r="EB57" s="641">
        <f>INPUT!GO588</f>
        <v>15.999999999999993</v>
      </c>
      <c r="EC57" s="682">
        <f>INPUT!GP588</f>
        <v>1.32</v>
      </c>
      <c r="ED57" s="641">
        <f>INPUT!GQ588</f>
        <v>13.793103448275868</v>
      </c>
      <c r="EE57" s="682">
        <f>INPUT!GR588</f>
        <v>1.4256000000000002</v>
      </c>
      <c r="EF57" s="641">
        <f>INPUT!GS588</f>
        <v>8.0000000000000071</v>
      </c>
      <c r="EG57" s="682">
        <f>INPUT!GT588</f>
        <v>1.5396480000000003</v>
      </c>
      <c r="EH57" s="641">
        <f>INPUT!GU588</f>
        <v>8.0000000000000071</v>
      </c>
      <c r="EI57" s="682">
        <f>INPUT!GV588</f>
        <v>1.6628198400000005</v>
      </c>
      <c r="EJ57" s="641">
        <f>INPUT!GW588</f>
        <v>8.0000000000000071</v>
      </c>
      <c r="EK57" s="682">
        <f>INPUT!GX588</f>
        <v>1.7958454272000006</v>
      </c>
      <c r="EL57" s="641">
        <f>INPUT!GY588</f>
        <v>8.0000000000000071</v>
      </c>
      <c r="EM57" s="852">
        <f>INPUT!GZ588</f>
        <v>9.1345325978362091</v>
      </c>
      <c r="EN57" s="638"/>
      <c r="EO57" s="638"/>
      <c r="EP57" s="638"/>
      <c r="EQ57" s="638"/>
      <c r="ER57" s="638"/>
      <c r="ES57" s="638"/>
      <c r="ET57" s="638"/>
      <c r="EU57" s="638"/>
      <c r="EV57" s="638"/>
      <c r="EW57" s="638"/>
      <c r="EX57" s="638"/>
      <c r="EY57" s="638"/>
      <c r="EZ57" s="638"/>
      <c r="FA57" s="638"/>
      <c r="FB57" s="638"/>
      <c r="FC57" s="638"/>
      <c r="FD57" s="638"/>
      <c r="FE57" s="638"/>
      <c r="FF57" s="638"/>
    </row>
    <row r="58" spans="1:162" ht="12.75" customHeight="1" x14ac:dyDescent="0.2">
      <c r="A58" s="871" t="s">
        <v>154</v>
      </c>
      <c r="B58" s="872">
        <f>INPUT!AY589</f>
        <v>27.373663751214778</v>
      </c>
      <c r="C58" s="873">
        <f>INPUT!AZ589</f>
        <v>-10.122450803850501</v>
      </c>
      <c r="D58" s="872">
        <f>INPUT!BA589</f>
        <v>33.199777406789096</v>
      </c>
      <c r="E58" s="873">
        <f>INPUT!BB589</f>
        <v>25.16514697106944</v>
      </c>
      <c r="F58" s="872">
        <f>INPUT!BC589</f>
        <v>29.995527728085857</v>
      </c>
      <c r="G58" s="873">
        <f>INPUT!BD589</f>
        <v>16.966056789482575</v>
      </c>
      <c r="H58" s="872">
        <f>INPUT!BE589</f>
        <v>29.560006658159022</v>
      </c>
      <c r="I58" s="873">
        <f>INPUT!BF589</f>
        <v>17.735123247063346</v>
      </c>
      <c r="J58" s="872">
        <f>INPUT!BG589</f>
        <v>32.528727165586325</v>
      </c>
      <c r="K58" s="873">
        <f>INPUT!BH589</f>
        <v>18.8322011303393</v>
      </c>
      <c r="L58" s="872">
        <f>INPUT!BI589</f>
        <v>30.915002852253277</v>
      </c>
      <c r="M58" s="873">
        <f>INPUT!BJ589</f>
        <v>-6.8818972083487528</v>
      </c>
      <c r="N58" s="872">
        <f>INPUT!BK589</f>
        <v>32.391664158892567</v>
      </c>
      <c r="O58" s="873">
        <f>INPUT!BL589</f>
        <v>7.9883122995136446</v>
      </c>
      <c r="P58" s="872">
        <f>INPUT!BM589</f>
        <v>37.081592039801016</v>
      </c>
      <c r="Q58" s="873">
        <f>INPUT!BN589</f>
        <v>25.445141026603668</v>
      </c>
      <c r="R58" s="872">
        <f>INPUT!BO589</f>
        <v>36.414691151919854</v>
      </c>
      <c r="S58" s="873">
        <f>INPUT!BP589</f>
        <v>11.946252820014047</v>
      </c>
      <c r="T58" s="872">
        <f>INPUT!BQ589</f>
        <v>34.910563836681781</v>
      </c>
      <c r="U58" s="873">
        <f>INPUT!BR589</f>
        <v>12.924342926713607</v>
      </c>
      <c r="V58" s="872">
        <f>INPUT!BS589</f>
        <v>35.880092281879179</v>
      </c>
      <c r="W58" s="873">
        <f>INPUT!BT589</f>
        <v>10.76952423893578</v>
      </c>
      <c r="X58" s="872">
        <f>INPUT!BU589</f>
        <v>-42.561762391817417</v>
      </c>
      <c r="Y58" s="873" t="str">
        <f>INPUT!BV589</f>
        <v>NM</v>
      </c>
      <c r="Z58" s="872">
        <f>INPUT!BW589</f>
        <v>1.5806253832004902</v>
      </c>
      <c r="AA58" s="873" t="str">
        <f>INPUT!BX589</f>
        <v>NM</v>
      </c>
      <c r="AB58" s="872">
        <f>INPUT!BY589</f>
        <v>1.2657983598649289</v>
      </c>
      <c r="AC58" s="873" t="str">
        <f>INPUT!BZ589</f>
        <v>NM</v>
      </c>
      <c r="AD58" s="872">
        <f>INPUT!CA589</f>
        <v>1.1959415146020607</v>
      </c>
      <c r="AE58" s="873" t="str">
        <f>INPUT!CB589</f>
        <v>NM</v>
      </c>
      <c r="AF58" s="872">
        <f>INPUT!CC589</f>
        <v>1.1168458781362007</v>
      </c>
      <c r="AG58" s="873" t="str">
        <f>INPUT!CD589</f>
        <v>NM</v>
      </c>
      <c r="AH58" s="872">
        <f>INPUT!CE589</f>
        <v>1.2105508145849493</v>
      </c>
      <c r="AI58" s="873">
        <f>INPUT!CF589</f>
        <v>-23.413173832891676</v>
      </c>
      <c r="AJ58" s="872">
        <f>INPUT!CG589</f>
        <v>1.1549192364170338</v>
      </c>
      <c r="AK58" s="873">
        <f>INPUT!CH589</f>
        <v>-8.7596197754377663</v>
      </c>
      <c r="AL58" s="872">
        <f>INPUT!CI589</f>
        <v>1.5918866080156406</v>
      </c>
      <c r="AM58" s="873">
        <f>INPUT!CJ589</f>
        <v>33.107396020559364</v>
      </c>
      <c r="AN58" s="872">
        <f>INPUT!CK589</f>
        <v>1.2176204819277119</v>
      </c>
      <c r="AO58" s="873">
        <f>INPUT!CL589</f>
        <v>9.0231432791500588</v>
      </c>
      <c r="AP58" s="872">
        <f>INPUT!CM589</f>
        <v>5.0155327741534608</v>
      </c>
      <c r="AQ58" s="873" t="str">
        <f>INPUT!CN589</f>
        <v>NM</v>
      </c>
      <c r="AR58" s="872">
        <f>INPUT!CO589</f>
        <v>4.9261311172668538</v>
      </c>
      <c r="AS58" s="873" t="str">
        <f>INPUT!CP589</f>
        <v>NM</v>
      </c>
      <c r="AT58" s="872">
        <f>INPUT!CQ589</f>
        <v>4.8312170950758766</v>
      </c>
      <c r="AU58" s="873" t="str">
        <f>INPUT!CR589</f>
        <v>NM</v>
      </c>
      <c r="AV58" s="872">
        <f>INPUT!CS589</f>
        <v>8.7624548736462096</v>
      </c>
      <c r="AW58" s="873" t="str">
        <f>INPUT!CT589</f>
        <v>NM</v>
      </c>
      <c r="AX58" s="872">
        <f>INPUT!CU589</f>
        <v>8.0791808873720132</v>
      </c>
      <c r="AY58" s="873">
        <f>INPUT!CV589</f>
        <v>61.083203942090591</v>
      </c>
      <c r="AZ58" s="872">
        <f>INPUT!CW589</f>
        <v>7.3650793650793647</v>
      </c>
      <c r="BA58" s="873">
        <f>INPUT!CX589</f>
        <v>49.510420850626957</v>
      </c>
      <c r="BB58" s="872">
        <f>INPUT!CY589</f>
        <v>6.2917127071823202</v>
      </c>
      <c r="BC58" s="873">
        <f>INPUT!CZ589</f>
        <v>30.230386740331451</v>
      </c>
      <c r="BD58" s="872">
        <f>INPUT!DA589</f>
        <v>10.881290322580647</v>
      </c>
      <c r="BE58" s="873">
        <f>INPUT!DB589</f>
        <v>24.18084292002467</v>
      </c>
      <c r="BF58" s="872">
        <f>INPUT!DC589</f>
        <v>11.730526315789474</v>
      </c>
      <c r="BG58" s="873">
        <f>INPUT!DD589</f>
        <v>45.194500275697713</v>
      </c>
      <c r="BH58" s="872">
        <f>INPUT!DE589</f>
        <v>9.4256410256410241</v>
      </c>
      <c r="BI58" s="873">
        <f>INPUT!DF589</f>
        <v>27.977453580901845</v>
      </c>
      <c r="BJ58" s="872">
        <f>INPUT!DG589</f>
        <v>8.9493188010899178</v>
      </c>
      <c r="BK58" s="873">
        <f>INPUT!DH589</f>
        <v>42.239787758805349</v>
      </c>
      <c r="BL58" s="872">
        <f>INPUT!DI589</f>
        <v>11.426178010471205</v>
      </c>
      <c r="BM58" s="873">
        <f>INPUT!DJ589</f>
        <v>5.0075650197460186</v>
      </c>
      <c r="BN58" s="872">
        <f>INPUT!DK589</f>
        <v>11.960439560439562</v>
      </c>
      <c r="BO58" s="873">
        <f>INPUT!DL589</f>
        <v>1.959956769719895</v>
      </c>
      <c r="BP58" s="872">
        <f>INPUT!DM589</f>
        <v>10.892151898734175</v>
      </c>
      <c r="BQ58" s="873">
        <f>INPUT!DN589</f>
        <v>15.558738860346267</v>
      </c>
      <c r="BR58" s="872">
        <f>INPUT!DO589</f>
        <v>10.261538461538462</v>
      </c>
      <c r="BS58" s="873">
        <f>INPUT!DP589</f>
        <v>14.662788192199972</v>
      </c>
      <c r="BT58" s="872">
        <f>INPUT!DQ589</f>
        <v>11.954545454545455</v>
      </c>
      <c r="BU58" s="873">
        <f>INPUT!DR589</f>
        <v>4.6241835510530516</v>
      </c>
      <c r="BV58" s="872">
        <f>INPUT!DS589</f>
        <v>14.806818181818185</v>
      </c>
      <c r="BW58" s="873">
        <f>INPUT!DT589</f>
        <v>23.798277705389069</v>
      </c>
      <c r="BX58" s="872">
        <f>INPUT!DU589</f>
        <v>13.741239892183287</v>
      </c>
      <c r="BY58" s="873">
        <f>INPUT!DV589</f>
        <v>26.157255425167335</v>
      </c>
      <c r="BZ58" s="872">
        <f>INPUT!DW589</f>
        <v>17.957446808510639</v>
      </c>
      <c r="CA58" s="873">
        <f>INPUT!DX589</f>
        <v>17.957446808510639</v>
      </c>
      <c r="CB58" s="872">
        <f>INPUT!DY589</f>
        <v>13.029315960912053</v>
      </c>
      <c r="CC58" s="873">
        <f>INPUT!DZ589</f>
        <v>8.9904757186559436</v>
      </c>
      <c r="CD58" s="872">
        <f>INPUT!EA589</f>
        <v>19.952114924181966</v>
      </c>
      <c r="CE58" s="873">
        <f>INPUT!EB589</f>
        <v>34.749509848657922</v>
      </c>
      <c r="CF58" s="872">
        <f>INPUT!EC589</f>
        <v>16.077170418006432</v>
      </c>
      <c r="CG58" s="873">
        <f>INPUT!ED589</f>
        <v>16.999415949007201</v>
      </c>
      <c r="CH58" s="872">
        <f>INPUT!EE589</f>
        <v>13.241525423728815</v>
      </c>
      <c r="CI58" s="873">
        <f>INPUT!EF589</f>
        <v>-26.261647521889309</v>
      </c>
      <c r="CJ58" s="872">
        <f>INPUT!EG589</f>
        <v>14.11631846414455</v>
      </c>
      <c r="CK58" s="873">
        <f>INPUT!EH589</f>
        <v>8.3427442123094266</v>
      </c>
      <c r="CL58" s="872">
        <f>INPUT!EI589</f>
        <v>15.096304008328994</v>
      </c>
      <c r="CM58" s="873">
        <f>INPUT!EJ589</f>
        <v>-24.337324310255092</v>
      </c>
      <c r="CN58" s="872">
        <f>INPUT!EK589</f>
        <v>15.718157181571815</v>
      </c>
      <c r="CO58" s="873">
        <f>INPUT!EL589</f>
        <v>-2.2330623306233144</v>
      </c>
      <c r="CP58" s="872">
        <f>INPUT!EM589</f>
        <v>14.299802761341221</v>
      </c>
      <c r="CQ58" s="873">
        <f>INPUT!EN589</f>
        <v>7.9921104536488929</v>
      </c>
      <c r="CR58" s="872">
        <f>INPUT!EO589</f>
        <v>14.624306606152293</v>
      </c>
      <c r="CS58" s="873">
        <f>INPUT!EP589</f>
        <v>3.5985879979828495</v>
      </c>
      <c r="CT58" s="872">
        <f>INPUT!EQ589</f>
        <v>16.865220357711394</v>
      </c>
      <c r="CU58" s="873">
        <f>INPUT!ER589</f>
        <v>11.717545886771008</v>
      </c>
      <c r="CV58" s="872">
        <f>INPUT!ES589</f>
        <v>15.860036425129257</v>
      </c>
      <c r="CW58" s="873">
        <f>INPUT!ET589</f>
        <v>0.90264553228787126</v>
      </c>
      <c r="CX58" s="872">
        <f>INPUT!EU589</f>
        <v>15.207847101095878</v>
      </c>
      <c r="CY58" s="873">
        <f>INPUT!EV589</f>
        <v>6.3500480035256768</v>
      </c>
      <c r="CZ58" s="872">
        <f>INPUT!EW589</f>
        <v>14.726458071517424</v>
      </c>
      <c r="DA58" s="873">
        <f>INPUT!EX589</f>
        <v>0.69850467523810966</v>
      </c>
      <c r="DB58" s="874"/>
      <c r="DC58" s="875">
        <f>INPUT!FP589</f>
        <v>26.783102558867277</v>
      </c>
      <c r="DD58" s="873">
        <f>INPUT!FQ589</f>
        <v>-27.583235897350932</v>
      </c>
      <c r="DE58" s="875">
        <f>INPUT!FR589</f>
        <v>30.175533896200648</v>
      </c>
      <c r="DF58" s="873">
        <f>INPUT!FS589</f>
        <v>12.666312014737869</v>
      </c>
      <c r="DG58" s="875">
        <f>INPUT!FT589</f>
        <v>33.110741803897881</v>
      </c>
      <c r="DH58" s="873">
        <f>INPUT!FU589</f>
        <v>9.7271117647625083</v>
      </c>
      <c r="DI58" s="875">
        <f>INPUT!FV589</f>
        <v>48.452293806161713</v>
      </c>
      <c r="DJ58" s="873">
        <f>INPUT!FW589</f>
        <v>46.334063105942811</v>
      </c>
      <c r="DK58" s="872">
        <f>INPUT!FX589</f>
        <v>1.2566447650807275</v>
      </c>
      <c r="DL58" s="873" t="str">
        <f>INPUT!FY589</f>
        <v>NM</v>
      </c>
      <c r="DM58" s="872">
        <f>INPUT!FZ589</f>
        <v>1.2752698920431838</v>
      </c>
      <c r="DN58" s="873">
        <f>INPUT!GA589</f>
        <v>1.482131424886779</v>
      </c>
      <c r="DO58" s="872">
        <f>INPUT!GB589</f>
        <v>5.811341942728804</v>
      </c>
      <c r="DP58" s="873" t="str">
        <f>INPUT!GC589</f>
        <v>NM</v>
      </c>
      <c r="DQ58" s="872">
        <f>INPUT!GD589</f>
        <v>8.088750000000001</v>
      </c>
      <c r="DR58" s="873">
        <f>INPUT!GE589</f>
        <v>39.18902173913046</v>
      </c>
      <c r="DS58" s="872">
        <f>INPUT!GF589</f>
        <v>10.332418772563177</v>
      </c>
      <c r="DT58" s="873">
        <f>INPUT!GG589</f>
        <v>27.738139670074791</v>
      </c>
      <c r="DU58" s="872">
        <f>INPUT!GH589</f>
        <v>11.284210526315789</v>
      </c>
      <c r="DV58" s="873">
        <f>INPUT!GI589</f>
        <v>9.2117032294510857</v>
      </c>
      <c r="DW58" s="872">
        <f>INPUT!GJ589</f>
        <v>14.673395818312907</v>
      </c>
      <c r="DX58" s="873">
        <f>INPUT!GK589</f>
        <v>30.034757718258032</v>
      </c>
      <c r="DY58" s="872">
        <f>INPUT!GL589</f>
        <v>15.514705882352942</v>
      </c>
      <c r="DZ58" s="873">
        <f>INPUT!GM589</f>
        <v>5.7335743849426635</v>
      </c>
      <c r="EA58" s="872">
        <f>INPUT!GN589</f>
        <v>14.922193732193731</v>
      </c>
      <c r="EB58" s="873">
        <f>INPUT!GO589</f>
        <v>-3.8190356597939679</v>
      </c>
      <c r="EC58" s="872">
        <f>INPUT!GP589</f>
        <v>15.62647566216741</v>
      </c>
      <c r="ED58" s="873">
        <f>INPUT!GQ589</f>
        <v>4.7196943198387187</v>
      </c>
      <c r="EE58" s="872">
        <f>INPUT!GR589</f>
        <v>15.490275092432249</v>
      </c>
      <c r="EF58" s="873">
        <f>INPUT!GS589</f>
        <v>-0.87160133020210973</v>
      </c>
      <c r="EG58" s="872">
        <f>INPUT!GT589</f>
        <v>14.949845166373679</v>
      </c>
      <c r="EH58" s="873">
        <f>INPUT!GU589</f>
        <v>-3.4888336251858831</v>
      </c>
      <c r="EI58" s="872">
        <f>INPUT!GV589</f>
        <v>14.983381533420214</v>
      </c>
      <c r="EJ58" s="873">
        <f>INPUT!GW589</f>
        <v>0.22432584868483652</v>
      </c>
      <c r="EK58" s="872">
        <f>INPUT!GX589</f>
        <v>14.965414858337311</v>
      </c>
      <c r="EL58" s="873">
        <f>INPUT!GY589</f>
        <v>-0.11991068266418159</v>
      </c>
      <c r="EM58" s="876">
        <f>INPUT!GZ589</f>
        <v>5.7861650822155219E-2</v>
      </c>
      <c r="EN58" s="638"/>
      <c r="EO58" s="638"/>
      <c r="EP58" s="638"/>
      <c r="EQ58" s="638"/>
      <c r="ER58" s="638"/>
      <c r="ES58" s="638"/>
      <c r="ET58" s="638"/>
      <c r="EU58" s="638"/>
      <c r="EV58" s="638"/>
      <c r="EW58" s="638"/>
      <c r="EX58" s="638"/>
      <c r="EY58" s="638"/>
      <c r="EZ58" s="638"/>
      <c r="FA58" s="638"/>
      <c r="FB58" s="638"/>
      <c r="FC58" s="638"/>
      <c r="FD58" s="638"/>
      <c r="FE58" s="638"/>
      <c r="FF58" s="638"/>
    </row>
    <row r="59" spans="1:162" ht="12.75" customHeight="1" x14ac:dyDescent="0.2">
      <c r="A59" s="411"/>
      <c r="B59" s="16"/>
      <c r="C59" s="687"/>
      <c r="D59" s="16"/>
      <c r="E59" s="687"/>
      <c r="F59" s="16"/>
      <c r="G59" s="687"/>
      <c r="H59" s="16"/>
      <c r="I59" s="687"/>
      <c r="J59" s="16"/>
      <c r="K59" s="687"/>
      <c r="L59" s="16"/>
      <c r="M59" s="687"/>
      <c r="N59" s="16"/>
      <c r="O59" s="687"/>
      <c r="P59" s="16"/>
      <c r="Q59" s="687"/>
      <c r="R59" s="16"/>
      <c r="S59" s="687"/>
      <c r="T59" s="16"/>
      <c r="U59" s="687"/>
      <c r="V59" s="16"/>
      <c r="W59" s="687"/>
      <c r="X59" s="16"/>
      <c r="Y59" s="687"/>
      <c r="Z59" s="16"/>
      <c r="AA59" s="687"/>
      <c r="AB59" s="16"/>
      <c r="AC59" s="687"/>
      <c r="AD59" s="16"/>
      <c r="AE59" s="687"/>
      <c r="AF59" s="16"/>
      <c r="AG59" s="687"/>
      <c r="AH59" s="16"/>
      <c r="AI59" s="687"/>
      <c r="AJ59" s="16"/>
      <c r="AK59" s="687"/>
      <c r="AL59" s="16"/>
      <c r="AM59" s="687"/>
      <c r="AN59" s="16"/>
      <c r="AO59" s="687"/>
      <c r="AP59" s="16"/>
      <c r="AQ59" s="687"/>
      <c r="AR59" s="16"/>
      <c r="AS59" s="687"/>
      <c r="AT59" s="16"/>
      <c r="AU59" s="687"/>
      <c r="AV59" s="16"/>
      <c r="AW59" s="687"/>
      <c r="AX59" s="16"/>
      <c r="AY59" s="687"/>
      <c r="AZ59" s="16"/>
      <c r="BA59" s="687"/>
      <c r="BB59" s="16"/>
      <c r="BC59" s="687"/>
      <c r="BD59" s="16"/>
      <c r="BE59" s="687"/>
      <c r="BF59" s="16"/>
      <c r="BG59" s="687"/>
      <c r="BH59" s="16"/>
      <c r="BI59" s="687"/>
      <c r="BJ59" s="16"/>
      <c r="BK59" s="687"/>
      <c r="BL59" s="16"/>
      <c r="BM59" s="687"/>
      <c r="BN59" s="16"/>
      <c r="BO59" s="687"/>
      <c r="BP59" s="16"/>
      <c r="BQ59" s="687"/>
      <c r="BR59" s="16"/>
      <c r="BS59" s="687"/>
      <c r="BT59" s="16"/>
      <c r="BU59" s="687"/>
      <c r="BV59" s="16"/>
      <c r="BW59" s="687"/>
      <c r="BX59" s="16"/>
      <c r="BY59" s="687"/>
      <c r="BZ59" s="16"/>
      <c r="CA59" s="687"/>
      <c r="CB59" s="16"/>
      <c r="CC59" s="687"/>
      <c r="CD59" s="16"/>
      <c r="CE59" s="687"/>
      <c r="CF59" s="16"/>
      <c r="CG59" s="687"/>
      <c r="CH59" s="16"/>
      <c r="CI59" s="687"/>
      <c r="CJ59" s="16"/>
      <c r="CK59" s="687"/>
      <c r="CL59" s="16"/>
      <c r="CM59" s="687"/>
      <c r="CN59" s="16"/>
      <c r="CO59" s="687"/>
      <c r="CP59" s="16"/>
      <c r="CQ59" s="687"/>
      <c r="CR59" s="16"/>
      <c r="CS59" s="687"/>
      <c r="CT59" s="16"/>
      <c r="CU59" s="687"/>
      <c r="CV59" s="16"/>
      <c r="CW59" s="687"/>
      <c r="CX59" s="16"/>
      <c r="CY59" s="687"/>
      <c r="CZ59" s="16"/>
      <c r="DA59" s="687"/>
      <c r="DB59" s="16"/>
      <c r="DC59" s="16"/>
      <c r="DD59" s="687"/>
      <c r="DE59" s="16"/>
      <c r="DF59" s="687"/>
      <c r="DG59" s="16"/>
      <c r="DH59" s="687"/>
      <c r="DI59" s="16"/>
      <c r="DJ59" s="687"/>
      <c r="DK59" s="16"/>
      <c r="DL59" s="687"/>
      <c r="DM59" s="16"/>
      <c r="DN59" s="687"/>
      <c r="DO59" s="16"/>
      <c r="DP59" s="687"/>
      <c r="DQ59" s="16"/>
      <c r="DR59" s="687"/>
      <c r="DS59" s="16"/>
      <c r="DT59" s="687"/>
      <c r="DU59" s="16"/>
      <c r="DV59" s="687"/>
      <c r="DW59" s="16"/>
      <c r="DX59" s="687"/>
      <c r="DY59" s="16"/>
      <c r="DZ59" s="687"/>
      <c r="EA59" s="16"/>
      <c r="EB59" s="687"/>
      <c r="EC59" s="16"/>
      <c r="ED59" s="687"/>
      <c r="EE59" s="16"/>
      <c r="EF59" s="687"/>
      <c r="EG59" s="16"/>
      <c r="EH59" s="687"/>
      <c r="EI59" s="16"/>
      <c r="EJ59" s="687"/>
      <c r="EK59" s="16"/>
      <c r="EL59" s="687"/>
      <c r="EM59" s="687"/>
    </row>
    <row r="60" spans="1:162" ht="12.75" customHeight="1" x14ac:dyDescent="0.2">
      <c r="A60" s="688" t="s">
        <v>610</v>
      </c>
      <c r="B60" s="16"/>
      <c r="C60" s="687"/>
      <c r="D60" s="16"/>
      <c r="E60" s="687"/>
      <c r="F60" s="16"/>
      <c r="G60" s="687"/>
      <c r="H60" s="16"/>
      <c r="I60" s="687"/>
      <c r="J60" s="16"/>
      <c r="K60" s="687"/>
      <c r="L60" s="16"/>
      <c r="M60" s="687"/>
      <c r="N60" s="16"/>
      <c r="O60" s="687"/>
      <c r="P60" s="16"/>
      <c r="Q60" s="687"/>
      <c r="R60" s="16"/>
      <c r="S60" s="687"/>
      <c r="T60" s="16"/>
      <c r="U60" s="687"/>
      <c r="V60" s="16"/>
      <c r="W60" s="687"/>
      <c r="X60" s="16"/>
      <c r="Y60" s="687"/>
      <c r="Z60" s="16"/>
      <c r="AA60" s="687"/>
      <c r="AB60" s="16"/>
      <c r="AC60" s="687"/>
      <c r="AD60" s="16"/>
      <c r="AE60" s="687"/>
      <c r="AF60" s="16"/>
      <c r="AG60" s="687"/>
      <c r="AH60" s="16"/>
      <c r="AI60" s="687"/>
      <c r="AJ60" s="16"/>
      <c r="AK60" s="687"/>
      <c r="AL60" s="16"/>
      <c r="AM60" s="687"/>
      <c r="AN60" s="16"/>
      <c r="AO60" s="687"/>
      <c r="AP60" s="16"/>
      <c r="AQ60" s="687"/>
      <c r="AR60" s="16"/>
      <c r="AS60" s="687"/>
      <c r="AT60" s="16"/>
      <c r="AU60" s="687"/>
      <c r="AV60" s="16"/>
      <c r="AW60" s="687"/>
      <c r="AX60" s="16"/>
      <c r="AY60" s="687"/>
      <c r="AZ60" s="16"/>
      <c r="BA60" s="687"/>
      <c r="BB60" s="16"/>
      <c r="BC60" s="687"/>
      <c r="BD60" s="16"/>
      <c r="BE60" s="687"/>
      <c r="BF60" s="16"/>
      <c r="BG60" s="687"/>
      <c r="BH60" s="16"/>
      <c r="BI60" s="687"/>
      <c r="BJ60" s="16"/>
      <c r="BK60" s="687"/>
      <c r="BL60" s="16"/>
      <c r="BM60" s="687"/>
      <c r="BN60" s="16"/>
      <c r="BO60" s="687"/>
      <c r="BP60" s="16"/>
      <c r="BQ60" s="687"/>
      <c r="BR60" s="16"/>
      <c r="BS60" s="687"/>
      <c r="BT60" s="16"/>
      <c r="BU60" s="687"/>
      <c r="BV60" s="16"/>
      <c r="BW60" s="687"/>
      <c r="BX60" s="16"/>
      <c r="BY60" s="687"/>
      <c r="BZ60" s="16"/>
      <c r="CA60" s="687"/>
      <c r="CB60" s="16"/>
      <c r="CC60" s="687"/>
      <c r="CD60" s="16"/>
      <c r="CE60" s="687"/>
      <c r="CF60" s="16"/>
      <c r="CG60" s="687"/>
      <c r="CH60" s="16"/>
      <c r="CI60" s="687"/>
      <c r="CJ60" s="16"/>
      <c r="CK60" s="687"/>
      <c r="CL60" s="16"/>
      <c r="CM60" s="687"/>
      <c r="CN60" s="16"/>
      <c r="CO60" s="687"/>
      <c r="CP60" s="16"/>
      <c r="CQ60" s="687"/>
      <c r="CR60" s="16"/>
      <c r="CS60" s="687"/>
      <c r="CT60" s="16"/>
      <c r="CU60" s="687"/>
      <c r="CV60" s="16"/>
      <c r="CW60" s="687"/>
      <c r="CX60" s="16"/>
      <c r="CY60" s="687"/>
      <c r="CZ60" s="16"/>
      <c r="DA60" s="687"/>
      <c r="DB60" s="16"/>
      <c r="DC60" s="16"/>
      <c r="DD60" s="687"/>
      <c r="DE60" s="16"/>
      <c r="DF60" s="687"/>
      <c r="DG60" s="16"/>
      <c r="DH60" s="687"/>
      <c r="DI60" s="16"/>
      <c r="DJ60" s="687"/>
      <c r="DK60" s="16"/>
      <c r="DL60" s="687"/>
      <c r="DM60" s="16"/>
      <c r="DN60" s="687"/>
      <c r="DO60" s="16"/>
      <c r="DP60" s="687"/>
      <c r="DQ60" s="16"/>
      <c r="DR60" s="687"/>
      <c r="DS60" s="16"/>
      <c r="DT60" s="687"/>
      <c r="DU60" s="16"/>
      <c r="DV60" s="687"/>
      <c r="DW60" s="16"/>
      <c r="DX60" s="687"/>
      <c r="DY60" s="16"/>
      <c r="DZ60" s="687"/>
      <c r="EA60" s="16"/>
      <c r="EB60" s="687"/>
      <c r="EC60" s="16"/>
      <c r="ED60" s="687"/>
      <c r="EE60" s="16"/>
      <c r="EF60" s="687"/>
      <c r="EG60" s="16"/>
      <c r="EH60" s="687"/>
      <c r="EI60" s="16"/>
      <c r="EJ60" s="687"/>
      <c r="EK60" s="16"/>
      <c r="EL60" s="687"/>
      <c r="EM60" s="687"/>
    </row>
    <row r="61" spans="1:162" ht="12.75" customHeight="1" x14ac:dyDescent="0.2">
      <c r="A61" s="689" t="s">
        <v>174</v>
      </c>
      <c r="B61" s="16"/>
      <c r="C61" s="687"/>
      <c r="D61" s="16"/>
      <c r="E61" s="687"/>
      <c r="F61" s="16"/>
      <c r="G61" s="687"/>
      <c r="H61" s="16"/>
      <c r="I61" s="687"/>
      <c r="J61" s="16"/>
      <c r="K61" s="687"/>
      <c r="L61" s="16"/>
      <c r="M61" s="687"/>
      <c r="N61" s="16"/>
      <c r="O61" s="687"/>
      <c r="P61" s="16"/>
      <c r="Q61" s="687"/>
      <c r="R61" s="16"/>
      <c r="S61" s="687"/>
      <c r="T61" s="16"/>
      <c r="U61" s="687"/>
      <c r="V61" s="16"/>
      <c r="W61" s="687"/>
      <c r="X61" s="16"/>
      <c r="Y61" s="687"/>
      <c r="Z61" s="16"/>
      <c r="AA61" s="687"/>
      <c r="AB61" s="16"/>
      <c r="AC61" s="687"/>
      <c r="AD61" s="16"/>
      <c r="AE61" s="687"/>
      <c r="AF61" s="16"/>
      <c r="AG61" s="687"/>
      <c r="AH61" s="16"/>
      <c r="AI61" s="687"/>
      <c r="AJ61" s="16"/>
      <c r="AK61" s="687"/>
      <c r="AL61" s="16"/>
      <c r="AM61" s="687"/>
      <c r="AN61" s="16"/>
      <c r="AO61" s="687"/>
      <c r="AP61" s="16"/>
      <c r="AQ61" s="687"/>
      <c r="AR61" s="16"/>
      <c r="AS61" s="687"/>
      <c r="AT61" s="16"/>
      <c r="AU61" s="687"/>
      <c r="AV61" s="16"/>
      <c r="AW61" s="687"/>
      <c r="AX61" s="16"/>
      <c r="AY61" s="687"/>
      <c r="AZ61" s="16"/>
      <c r="BA61" s="687"/>
      <c r="BB61" s="16"/>
      <c r="BC61" s="687"/>
      <c r="BD61" s="16"/>
      <c r="BE61" s="687"/>
      <c r="BF61" s="16"/>
      <c r="BG61" s="687"/>
      <c r="BH61" s="16"/>
      <c r="BI61" s="687"/>
      <c r="BJ61" s="16"/>
      <c r="BK61" s="687"/>
      <c r="BL61" s="16"/>
      <c r="BM61" s="687"/>
      <c r="BN61" s="16"/>
      <c r="BO61" s="687"/>
      <c r="BP61" s="16"/>
      <c r="BQ61" s="687"/>
      <c r="BR61" s="16"/>
      <c r="BS61" s="687"/>
      <c r="BT61" s="16"/>
      <c r="BU61" s="687"/>
      <c r="BV61" s="16"/>
      <c r="BW61" s="687"/>
      <c r="BX61" s="16"/>
      <c r="BY61" s="687"/>
      <c r="BZ61" s="16"/>
      <c r="CA61" s="687"/>
      <c r="CB61" s="16"/>
      <c r="CC61" s="687"/>
      <c r="CD61" s="16"/>
      <c r="CE61" s="687"/>
      <c r="CF61" s="16"/>
      <c r="CG61" s="687"/>
      <c r="CH61" s="16"/>
      <c r="CI61" s="687"/>
      <c r="CJ61" s="16"/>
      <c r="CK61" s="687"/>
      <c r="CL61" s="16"/>
      <c r="CM61" s="687"/>
      <c r="CN61" s="16"/>
      <c r="CO61" s="687"/>
      <c r="CP61" s="16"/>
      <c r="CQ61" s="687"/>
      <c r="CR61" s="16"/>
      <c r="CS61" s="687"/>
      <c r="CT61" s="16"/>
      <c r="CU61" s="687"/>
      <c r="CV61" s="16"/>
      <c r="CW61" s="687"/>
      <c r="CX61" s="16"/>
      <c r="CY61" s="687"/>
      <c r="CZ61" s="16"/>
      <c r="DA61" s="687"/>
      <c r="DB61" s="16"/>
      <c r="DC61" s="16"/>
      <c r="DD61" s="687"/>
      <c r="DE61" s="16"/>
      <c r="DF61" s="687"/>
      <c r="DG61" s="16"/>
      <c r="DH61" s="687"/>
      <c r="DI61" s="16"/>
      <c r="DJ61" s="687"/>
      <c r="DK61" s="16"/>
      <c r="DL61" s="687"/>
      <c r="DM61" s="16"/>
      <c r="DN61" s="687"/>
      <c r="DO61" s="16"/>
      <c r="DP61" s="687"/>
      <c r="DQ61" s="16"/>
      <c r="DR61" s="687"/>
      <c r="DS61" s="16"/>
      <c r="DT61" s="687"/>
      <c r="DU61" s="16"/>
      <c r="DV61" s="687"/>
      <c r="DW61" s="16"/>
      <c r="DX61" s="687"/>
      <c r="DY61" s="16"/>
      <c r="DZ61" s="687"/>
      <c r="EA61" s="16"/>
      <c r="EB61" s="687"/>
      <c r="EC61" s="16"/>
      <c r="ED61" s="687"/>
      <c r="EE61" s="16"/>
      <c r="EF61" s="687"/>
      <c r="EG61" s="16"/>
      <c r="EH61" s="687"/>
      <c r="EI61" s="16"/>
      <c r="EJ61" s="687"/>
      <c r="EK61" s="16"/>
      <c r="EL61" s="687"/>
      <c r="EM61" s="687"/>
    </row>
    <row r="62" spans="1:162" ht="12.75" customHeight="1" x14ac:dyDescent="0.2">
      <c r="A62" s="690"/>
      <c r="B62" s="16"/>
      <c r="C62" s="687"/>
      <c r="D62" s="16"/>
      <c r="E62" s="687"/>
      <c r="F62" s="16"/>
      <c r="G62" s="687"/>
      <c r="H62" s="16"/>
      <c r="I62" s="687"/>
      <c r="J62" s="16"/>
      <c r="K62" s="687"/>
      <c r="L62" s="16"/>
      <c r="M62" s="687"/>
      <c r="N62" s="16"/>
      <c r="O62" s="687"/>
      <c r="P62" s="16"/>
      <c r="Q62" s="687"/>
      <c r="R62" s="16"/>
      <c r="S62" s="687"/>
      <c r="T62" s="16"/>
      <c r="U62" s="687"/>
      <c r="V62" s="16"/>
      <c r="W62" s="687"/>
      <c r="X62" s="16"/>
      <c r="Y62" s="687"/>
      <c r="Z62" s="16"/>
      <c r="AA62" s="687"/>
      <c r="AB62" s="16"/>
      <c r="AC62" s="687"/>
      <c r="AD62" s="16"/>
      <c r="AE62" s="687"/>
      <c r="AF62" s="16"/>
      <c r="AG62" s="687"/>
      <c r="AH62" s="16"/>
      <c r="AI62" s="687"/>
      <c r="AJ62" s="16"/>
      <c r="AK62" s="687"/>
      <c r="AL62" s="16"/>
      <c r="AM62" s="687"/>
      <c r="AN62" s="16"/>
      <c r="AO62" s="687"/>
      <c r="AP62" s="16"/>
      <c r="AQ62" s="687"/>
      <c r="AR62" s="16"/>
      <c r="AS62" s="687"/>
      <c r="AT62" s="16"/>
      <c r="AU62" s="687"/>
      <c r="AV62" s="16"/>
      <c r="AW62" s="687"/>
      <c r="AX62" s="16"/>
      <c r="AY62" s="687"/>
      <c r="AZ62" s="16"/>
      <c r="BA62" s="687"/>
      <c r="BB62" s="16"/>
      <c r="BC62" s="687"/>
      <c r="BD62" s="16"/>
      <c r="BE62" s="687"/>
      <c r="BF62" s="16"/>
      <c r="BG62" s="687"/>
      <c r="BH62" s="16"/>
      <c r="BI62" s="687"/>
      <c r="BJ62" s="16"/>
      <c r="BK62" s="687"/>
      <c r="BL62" s="16"/>
      <c r="BM62" s="687"/>
      <c r="BN62" s="16"/>
      <c r="BO62" s="687"/>
      <c r="BP62" s="16"/>
      <c r="BQ62" s="687"/>
      <c r="BR62" s="16"/>
      <c r="BS62" s="687"/>
      <c r="BT62" s="16"/>
      <c r="BU62" s="687"/>
      <c r="BV62" s="16"/>
      <c r="BW62" s="687"/>
      <c r="BX62" s="16"/>
      <c r="BY62" s="687"/>
      <c r="BZ62" s="16"/>
      <c r="CA62" s="687"/>
      <c r="CB62" s="16"/>
      <c r="CC62" s="687"/>
      <c r="CD62" s="16"/>
      <c r="CE62" s="687"/>
      <c r="CF62" s="16"/>
      <c r="CG62" s="687"/>
      <c r="CH62" s="16"/>
      <c r="CI62" s="687"/>
      <c r="CJ62" s="16"/>
      <c r="CK62" s="687"/>
      <c r="CL62" s="16"/>
      <c r="CM62" s="687"/>
      <c r="CN62" s="16"/>
      <c r="CO62" s="687"/>
      <c r="CP62" s="16"/>
      <c r="CQ62" s="687"/>
      <c r="CR62" s="16"/>
      <c r="CS62" s="687"/>
      <c r="CT62" s="16"/>
      <c r="CU62" s="687"/>
      <c r="CV62" s="16"/>
      <c r="CW62" s="687"/>
      <c r="CX62" s="16"/>
      <c r="CY62" s="687"/>
      <c r="CZ62" s="16"/>
      <c r="DA62" s="687"/>
      <c r="DB62" s="16"/>
      <c r="DC62" s="16"/>
      <c r="DD62" s="687"/>
      <c r="DE62" s="16"/>
      <c r="DF62" s="687"/>
      <c r="DG62" s="16"/>
      <c r="DH62" s="687"/>
      <c r="DI62" s="16"/>
      <c r="DJ62" s="687"/>
      <c r="DK62" s="16"/>
      <c r="DL62" s="687"/>
      <c r="DM62" s="16"/>
      <c r="DN62" s="687"/>
      <c r="DO62" s="16"/>
      <c r="DP62" s="687"/>
      <c r="DQ62" s="16"/>
      <c r="DR62" s="687"/>
      <c r="DS62" s="16"/>
      <c r="DT62" s="687"/>
      <c r="DU62" s="16"/>
      <c r="DV62" s="687"/>
      <c r="DW62" s="16"/>
      <c r="DX62" s="687"/>
      <c r="DY62" s="16"/>
      <c r="DZ62" s="687"/>
      <c r="EA62" s="16"/>
      <c r="EB62" s="687"/>
      <c r="EC62" s="16"/>
      <c r="ED62" s="687"/>
      <c r="EE62" s="16"/>
      <c r="EF62" s="687"/>
      <c r="EG62" s="16"/>
      <c r="EH62" s="687"/>
      <c r="EI62" s="16"/>
      <c r="EJ62" s="687"/>
      <c r="EK62" s="16"/>
      <c r="EL62" s="687"/>
      <c r="EM62" s="687"/>
    </row>
    <row r="63" spans="1:162" ht="21.95" customHeight="1" x14ac:dyDescent="0.3">
      <c r="A63" s="769" t="str">
        <f>$A$1</f>
        <v>Lincoln National</v>
      </c>
      <c r="B63" s="683"/>
      <c r="C63" s="684"/>
      <c r="D63" s="683"/>
      <c r="E63" s="684"/>
      <c r="F63" s="683"/>
      <c r="G63" s="684"/>
      <c r="H63" s="683"/>
      <c r="I63" s="684"/>
      <c r="J63" s="683"/>
      <c r="K63" s="684"/>
      <c r="L63" s="683"/>
      <c r="M63" s="684"/>
      <c r="N63" s="683"/>
      <c r="O63" s="684"/>
      <c r="P63" s="683"/>
      <c r="Q63" s="684"/>
      <c r="R63" s="683"/>
      <c r="S63" s="684"/>
      <c r="T63" s="683"/>
      <c r="U63" s="684"/>
      <c r="V63" s="683"/>
      <c r="W63" s="684"/>
      <c r="X63" s="683"/>
      <c r="Y63" s="684"/>
      <c r="Z63" s="683"/>
      <c r="AA63" s="684"/>
      <c r="AB63" s="683"/>
      <c r="AC63" s="684"/>
      <c r="AD63" s="683"/>
      <c r="AE63" s="684"/>
      <c r="AF63" s="683"/>
      <c r="AG63" s="684"/>
      <c r="AH63" s="683"/>
      <c r="AI63" s="684"/>
      <c r="AJ63" s="683"/>
      <c r="AK63" s="684"/>
      <c r="AL63" s="683"/>
      <c r="AM63" s="684"/>
      <c r="AN63" s="683"/>
      <c r="AO63" s="684"/>
      <c r="AP63" s="683"/>
      <c r="AQ63" s="684"/>
      <c r="AR63" s="683"/>
      <c r="AS63" s="684"/>
      <c r="AT63" s="683"/>
      <c r="AU63" s="684"/>
      <c r="AV63" s="683"/>
      <c r="AW63" s="684"/>
      <c r="AX63" s="683"/>
      <c r="AY63" s="684"/>
      <c r="AZ63" s="683"/>
      <c r="BA63" s="684"/>
      <c r="BB63" s="683"/>
      <c r="BC63" s="684"/>
      <c r="BD63" s="683"/>
      <c r="BE63" s="684"/>
      <c r="BF63" s="683"/>
      <c r="BG63" s="684"/>
      <c r="BH63" s="683"/>
      <c r="BI63" s="684"/>
      <c r="BJ63" s="683"/>
      <c r="BK63" s="684"/>
      <c r="BL63" s="683"/>
      <c r="BM63" s="684"/>
      <c r="BN63" s="683"/>
      <c r="BO63" s="684"/>
      <c r="BP63" s="683"/>
      <c r="BQ63" s="684"/>
      <c r="BR63" s="683"/>
      <c r="BS63" s="684"/>
      <c r="BT63" s="683"/>
      <c r="BU63" s="684"/>
      <c r="BV63" s="683"/>
      <c r="BW63" s="684"/>
      <c r="BX63" s="683"/>
      <c r="BY63" s="684"/>
      <c r="BZ63" s="683"/>
      <c r="CA63" s="684"/>
      <c r="CB63" s="683"/>
      <c r="CC63" s="684"/>
      <c r="CD63" s="683"/>
      <c r="CE63" s="684"/>
      <c r="CF63" s="683"/>
      <c r="CG63" s="684"/>
      <c r="CH63" s="683"/>
      <c r="CI63" s="684"/>
      <c r="CJ63" s="683"/>
      <c r="CK63" s="684"/>
      <c r="CL63" s="683"/>
      <c r="CM63" s="684"/>
      <c r="CN63" s="683"/>
      <c r="CO63" s="684"/>
      <c r="CP63" s="683"/>
      <c r="CQ63" s="684"/>
      <c r="CR63" s="683"/>
      <c r="CS63" s="684"/>
      <c r="CT63" s="683"/>
      <c r="CU63" s="684"/>
      <c r="CV63" s="683"/>
      <c r="CW63" s="684"/>
      <c r="CX63" s="683"/>
      <c r="CY63" s="684"/>
      <c r="CZ63" s="683"/>
      <c r="DA63" s="684"/>
      <c r="DB63" s="684"/>
      <c r="DC63" s="683"/>
      <c r="DD63" s="684"/>
      <c r="DE63" s="683"/>
      <c r="DF63" s="684"/>
      <c r="DG63" s="683"/>
      <c r="DH63" s="684"/>
      <c r="DI63" s="683"/>
      <c r="DJ63" s="684"/>
      <c r="DK63" s="683"/>
      <c r="DL63" s="684"/>
      <c r="DM63" s="683"/>
      <c r="DN63" s="684"/>
      <c r="DO63" s="683"/>
      <c r="DP63" s="684"/>
      <c r="DQ63" s="683"/>
      <c r="DR63" s="684"/>
      <c r="DS63" s="683"/>
      <c r="DT63" s="684"/>
      <c r="DU63" s="683"/>
      <c r="DV63" s="684"/>
      <c r="DW63" s="683"/>
      <c r="DX63" s="684"/>
      <c r="DY63" s="683"/>
      <c r="DZ63" s="684"/>
      <c r="EA63" s="683"/>
      <c r="EB63" s="684"/>
      <c r="EC63" s="683"/>
      <c r="ED63" s="684"/>
      <c r="EE63" s="683"/>
      <c r="EF63" s="684"/>
      <c r="EG63" s="683"/>
      <c r="EH63" s="684"/>
      <c r="EI63" s="683"/>
      <c r="EJ63" s="684"/>
      <c r="EK63" s="683"/>
      <c r="EL63" s="684"/>
      <c r="EM63" s="684"/>
    </row>
    <row r="64" spans="1:162" ht="12.75" customHeight="1" x14ac:dyDescent="0.2">
      <c r="A64" s="685" t="s">
        <v>555</v>
      </c>
      <c r="B64" s="4"/>
      <c r="C64" s="686"/>
      <c r="D64" s="4"/>
      <c r="E64" s="686"/>
      <c r="F64" s="4"/>
      <c r="G64" s="686"/>
      <c r="H64" s="4"/>
      <c r="I64" s="686"/>
      <c r="J64" s="4"/>
      <c r="K64" s="686"/>
      <c r="L64" s="4"/>
      <c r="M64" s="686"/>
      <c r="N64" s="4"/>
      <c r="O64" s="686"/>
      <c r="P64" s="4"/>
      <c r="Q64" s="686"/>
      <c r="R64" s="4"/>
      <c r="S64" s="686"/>
      <c r="T64" s="4"/>
      <c r="U64" s="686"/>
      <c r="V64" s="4"/>
      <c r="W64" s="686"/>
      <c r="X64" s="4"/>
      <c r="Y64" s="686"/>
      <c r="Z64" s="4"/>
      <c r="AA64" s="686"/>
      <c r="AB64" s="4"/>
      <c r="AC64" s="686"/>
      <c r="AD64" s="4"/>
      <c r="AE64" s="686"/>
      <c r="AF64" s="4"/>
      <c r="AG64" s="686"/>
      <c r="AH64" s="4"/>
      <c r="AI64" s="686"/>
      <c r="AJ64" s="4"/>
      <c r="AK64" s="686"/>
      <c r="AL64" s="4"/>
      <c r="AM64" s="686"/>
      <c r="AN64" s="4"/>
      <c r="AO64" s="686"/>
      <c r="AP64" s="4"/>
      <c r="AQ64" s="686"/>
      <c r="AR64" s="4"/>
      <c r="AS64" s="686"/>
      <c r="AT64" s="4"/>
      <c r="AU64" s="686"/>
      <c r="AV64" s="4"/>
      <c r="AW64" s="686"/>
      <c r="AX64" s="4"/>
      <c r="AY64" s="686"/>
      <c r="AZ64" s="4"/>
      <c r="BA64" s="686"/>
      <c r="BB64" s="4"/>
      <c r="BC64" s="686"/>
      <c r="BD64" s="4"/>
      <c r="BE64" s="686"/>
      <c r="BF64" s="4"/>
      <c r="BG64" s="686"/>
      <c r="BH64" s="4"/>
      <c r="BI64" s="686"/>
      <c r="BJ64" s="4"/>
      <c r="BK64" s="686"/>
      <c r="BL64" s="4"/>
      <c r="BM64" s="686"/>
      <c r="BN64" s="4"/>
      <c r="BO64" s="686"/>
      <c r="BP64" s="4"/>
      <c r="BQ64" s="686"/>
      <c r="BR64" s="4"/>
      <c r="BS64" s="686"/>
      <c r="BT64" s="4"/>
      <c r="BU64" s="686"/>
      <c r="BV64" s="4"/>
      <c r="BW64" s="686"/>
      <c r="BX64" s="4"/>
      <c r="BY64" s="686"/>
      <c r="BZ64" s="4"/>
      <c r="CA64" s="686"/>
      <c r="CB64" s="4"/>
      <c r="CC64" s="686"/>
      <c r="CD64" s="4"/>
      <c r="CE64" s="686"/>
      <c r="CF64" s="4"/>
      <c r="CG64" s="686"/>
      <c r="CH64" s="4"/>
      <c r="CI64" s="686"/>
      <c r="CJ64" s="4"/>
      <c r="CK64" s="686"/>
      <c r="CL64" s="4"/>
      <c r="CM64" s="686"/>
      <c r="CN64" s="4"/>
      <c r="CO64" s="686"/>
      <c r="CP64" s="4"/>
      <c r="CQ64" s="686"/>
      <c r="CR64" s="4"/>
      <c r="CS64" s="686"/>
      <c r="CT64" s="4"/>
      <c r="CU64" s="686"/>
      <c r="CV64" s="4"/>
      <c r="CW64" s="686"/>
      <c r="CX64" s="4"/>
      <c r="CY64" s="686"/>
      <c r="CZ64" s="4"/>
      <c r="DA64" s="686"/>
      <c r="DB64" s="686"/>
      <c r="DC64" s="4"/>
      <c r="DD64" s="686"/>
      <c r="DE64" s="4"/>
      <c r="DF64" s="686"/>
      <c r="DG64" s="4"/>
      <c r="DH64" s="686"/>
      <c r="DI64" s="4"/>
      <c r="DJ64" s="686"/>
      <c r="DK64" s="4"/>
      <c r="DL64" s="686"/>
      <c r="DM64" s="4"/>
      <c r="DN64" s="686"/>
      <c r="DO64" s="4"/>
      <c r="DP64" s="686"/>
      <c r="DQ64" s="4"/>
      <c r="DR64" s="686"/>
      <c r="DS64" s="4"/>
      <c r="DT64" s="686"/>
      <c r="DU64" s="4"/>
      <c r="DV64" s="686"/>
      <c r="DW64" s="4"/>
      <c r="DX64" s="686"/>
      <c r="DY64" s="4"/>
      <c r="DZ64" s="686"/>
      <c r="EA64" s="4"/>
      <c r="EB64" s="686"/>
      <c r="EC64" s="4"/>
      <c r="ED64" s="686"/>
      <c r="EE64" s="4"/>
      <c r="EF64" s="686"/>
      <c r="EG64" s="4"/>
      <c r="EH64" s="686"/>
      <c r="EI64" s="4"/>
      <c r="EJ64" s="686"/>
      <c r="EK64" s="4"/>
      <c r="EL64" s="686"/>
      <c r="EM64" s="686"/>
    </row>
    <row r="65" spans="1:152" ht="12.75" customHeight="1" x14ac:dyDescent="0.2">
      <c r="A65" s="847" t="str">
        <f>A$3</f>
        <v>($Millions Except Per Share Data)</v>
      </c>
      <c r="B65" s="848"/>
      <c r="C65" s="849" t="str">
        <f>C$3</f>
        <v>1Q06/</v>
      </c>
      <c r="D65" s="848"/>
      <c r="E65" s="849" t="str">
        <f>E$3</f>
        <v>2Q06/</v>
      </c>
      <c r="F65" s="848"/>
      <c r="G65" s="849" t="str">
        <f>G$3</f>
        <v>3Q06/</v>
      </c>
      <c r="H65" s="848"/>
      <c r="I65" s="849" t="str">
        <f>I$3</f>
        <v>4Q06/</v>
      </c>
      <c r="J65" s="848"/>
      <c r="K65" s="849" t="str">
        <f>K$3</f>
        <v>1Q07/</v>
      </c>
      <c r="L65" s="848"/>
      <c r="M65" s="849" t="str">
        <f>M$3</f>
        <v>2Q07/</v>
      </c>
      <c r="N65" s="848"/>
      <c r="O65" s="849" t="str">
        <f>O$3</f>
        <v>3Q07/</v>
      </c>
      <c r="P65" s="848"/>
      <c r="Q65" s="849" t="str">
        <f>Q$3</f>
        <v>4Q07/</v>
      </c>
      <c r="R65" s="848"/>
      <c r="S65" s="849" t="str">
        <f>S$3</f>
        <v>1Q08/</v>
      </c>
      <c r="T65" s="848"/>
      <c r="U65" s="849" t="str">
        <f>U$3</f>
        <v>2Q08/</v>
      </c>
      <c r="V65" s="848"/>
      <c r="W65" s="849" t="str">
        <f>W$3</f>
        <v>3Q08/</v>
      </c>
      <c r="X65" s="848"/>
      <c r="Y65" s="849" t="str">
        <f>Y$3</f>
        <v>4Q08/</v>
      </c>
      <c r="Z65" s="848"/>
      <c r="AA65" s="849" t="str">
        <f>AA$3</f>
        <v>1Q09/</v>
      </c>
      <c r="AB65" s="848"/>
      <c r="AC65" s="849" t="str">
        <f>AC$3</f>
        <v>2Q09/</v>
      </c>
      <c r="AD65" s="848"/>
      <c r="AE65" s="849" t="str">
        <f>AE$3</f>
        <v>3Q09/</v>
      </c>
      <c r="AF65" s="848"/>
      <c r="AG65" s="849" t="str">
        <f>AG$3</f>
        <v>4Q09/</v>
      </c>
      <c r="AH65" s="848"/>
      <c r="AI65" s="849" t="str">
        <f>AI$3</f>
        <v>1Q10/</v>
      </c>
      <c r="AJ65" s="848"/>
      <c r="AK65" s="849" t="str">
        <f>AK$3</f>
        <v>2Q10/</v>
      </c>
      <c r="AL65" s="848"/>
      <c r="AM65" s="849" t="str">
        <f>AM$3</f>
        <v>3Q10/</v>
      </c>
      <c r="AN65" s="848"/>
      <c r="AO65" s="849" t="str">
        <f>AO$3</f>
        <v>4Q10/</v>
      </c>
      <c r="AP65" s="848"/>
      <c r="AQ65" s="849" t="str">
        <f>AQ$3</f>
        <v>1Q11/</v>
      </c>
      <c r="AR65" s="848"/>
      <c r="AS65" s="849" t="str">
        <f>AS$3</f>
        <v>2Q11/</v>
      </c>
      <c r="AT65" s="848"/>
      <c r="AU65" s="849" t="str">
        <f>AU$3</f>
        <v>3Q11/</v>
      </c>
      <c r="AV65" s="848"/>
      <c r="AW65" s="849" t="str">
        <f>AW$3</f>
        <v>4Q11/</v>
      </c>
      <c r="AX65" s="848"/>
      <c r="AY65" s="849" t="str">
        <f>AY$3</f>
        <v>1Q12/</v>
      </c>
      <c r="AZ65" s="848"/>
      <c r="BA65" s="849" t="str">
        <f>BA$3</f>
        <v>2Q12/</v>
      </c>
      <c r="BB65" s="848"/>
      <c r="BC65" s="849" t="str">
        <f>BC$3</f>
        <v>3Q12/</v>
      </c>
      <c r="BD65" s="848"/>
      <c r="BE65" s="849" t="str">
        <f>BE$3</f>
        <v>4Q12/</v>
      </c>
      <c r="BF65" s="848"/>
      <c r="BG65" s="849" t="str">
        <f>BG$3</f>
        <v>1Q13/</v>
      </c>
      <c r="BH65" s="848"/>
      <c r="BI65" s="849" t="str">
        <f>BI$3</f>
        <v>2Q13/</v>
      </c>
      <c r="BJ65" s="848"/>
      <c r="BK65" s="849" t="str">
        <f>BK$3</f>
        <v>3Q13/</v>
      </c>
      <c r="BL65" s="848"/>
      <c r="BM65" s="849" t="str">
        <f>BM$3</f>
        <v>4Q13/</v>
      </c>
      <c r="BN65" s="848"/>
      <c r="BO65" s="849" t="str">
        <f>BO$3</f>
        <v>1Q14/</v>
      </c>
      <c r="BP65" s="848"/>
      <c r="BQ65" s="849" t="str">
        <f>BQ$3</f>
        <v>2Q14/</v>
      </c>
      <c r="BR65" s="848"/>
      <c r="BS65" s="849" t="str">
        <f>BS$3</f>
        <v>3Q14/</v>
      </c>
      <c r="BT65" s="848"/>
      <c r="BU65" s="849" t="str">
        <f>BU$3</f>
        <v>4Q14/</v>
      </c>
      <c r="BV65" s="848"/>
      <c r="BW65" s="849" t="str">
        <f>BW$3</f>
        <v>1Q15/</v>
      </c>
      <c r="BX65" s="848"/>
      <c r="BY65" s="849" t="str">
        <f>BY$3</f>
        <v>2Q15/</v>
      </c>
      <c r="BZ65" s="848"/>
      <c r="CA65" s="849" t="str">
        <f>CA$3</f>
        <v>3Q15/</v>
      </c>
      <c r="CB65" s="848"/>
      <c r="CC65" s="849" t="str">
        <f>CC$3</f>
        <v>4Q15/</v>
      </c>
      <c r="CD65" s="848"/>
      <c r="CE65" s="849" t="str">
        <f>CE$3</f>
        <v>1Q16/</v>
      </c>
      <c r="CF65" s="848"/>
      <c r="CG65" s="849" t="str">
        <f>CG$3</f>
        <v>2Q16/</v>
      </c>
      <c r="CH65" s="848"/>
      <c r="CI65" s="849" t="str">
        <f>CI$3</f>
        <v>3Q16/</v>
      </c>
      <c r="CJ65" s="848"/>
      <c r="CK65" s="849" t="str">
        <f>CK$3</f>
        <v>4Q16/</v>
      </c>
      <c r="CL65" s="848"/>
      <c r="CM65" s="849" t="str">
        <f>CM$3</f>
        <v>1Q17/</v>
      </c>
      <c r="CN65" s="848"/>
      <c r="CO65" s="849" t="str">
        <f t="shared" ref="CO65" si="36">CO$3</f>
        <v>2Q17/</v>
      </c>
      <c r="CP65" s="848"/>
      <c r="CQ65" s="849" t="str">
        <f t="shared" ref="CQ65" si="37">CQ$3</f>
        <v>3Q17/</v>
      </c>
      <c r="CR65" s="848"/>
      <c r="CS65" s="849" t="str">
        <f t="shared" ref="CS65" si="38">CS$3</f>
        <v>4Q17/</v>
      </c>
      <c r="CT65" s="848"/>
      <c r="CU65" s="849" t="str">
        <f>CU$3</f>
        <v>1Q18E/</v>
      </c>
      <c r="CV65" s="848"/>
      <c r="CW65" s="849" t="str">
        <f t="shared" ref="CW65" si="39">CW$3</f>
        <v>2Q18E/</v>
      </c>
      <c r="CX65" s="848"/>
      <c r="CY65" s="849" t="str">
        <f t="shared" ref="CY65" si="40">CY$3</f>
        <v>3Q18E/</v>
      </c>
      <c r="CZ65" s="848"/>
      <c r="DA65" s="849" t="str">
        <f t="shared" ref="DA65" si="41">DA$3</f>
        <v>4Q18E/</v>
      </c>
      <c r="DB65" s="848"/>
      <c r="DC65" s="848"/>
      <c r="DD65" s="849" t="str">
        <f>DD$3</f>
        <v>2005/</v>
      </c>
      <c r="DE65" s="848"/>
      <c r="DF65" s="849" t="str">
        <f>DF$3</f>
        <v>2006/</v>
      </c>
      <c r="DG65" s="848"/>
      <c r="DH65" s="849" t="str">
        <f>DH$3</f>
        <v>2007/</v>
      </c>
      <c r="DI65" s="848"/>
      <c r="DJ65" s="849" t="str">
        <f>DJ$3</f>
        <v>2008/</v>
      </c>
      <c r="DK65" s="848"/>
      <c r="DL65" s="849" t="str">
        <f>DL$3</f>
        <v>2009/</v>
      </c>
      <c r="DM65" s="848"/>
      <c r="DN65" s="849" t="str">
        <f>DN$3</f>
        <v>2010/</v>
      </c>
      <c r="DO65" s="848"/>
      <c r="DP65" s="849" t="str">
        <f>DP$3</f>
        <v>2011/</v>
      </c>
      <c r="DQ65" s="848"/>
      <c r="DR65" s="849" t="str">
        <f>DR$3</f>
        <v>2012/</v>
      </c>
      <c r="DS65" s="848"/>
      <c r="DT65" s="849" t="str">
        <f>DT$3</f>
        <v>2013/</v>
      </c>
      <c r="DU65" s="848"/>
      <c r="DV65" s="849" t="str">
        <f>DV$3</f>
        <v>2014/</v>
      </c>
      <c r="DW65" s="848"/>
      <c r="DX65" s="849" t="str">
        <f>DX$3</f>
        <v>2015/</v>
      </c>
      <c r="DY65" s="848"/>
      <c r="DZ65" s="849" t="str">
        <f>DZ$3</f>
        <v>2016/</v>
      </c>
      <c r="EA65" s="848"/>
      <c r="EB65" s="849" t="str">
        <f>EB$3</f>
        <v>2017/</v>
      </c>
      <c r="EC65" s="848"/>
      <c r="ED65" s="849" t="str">
        <f>ED$3</f>
        <v>2018E/</v>
      </c>
      <c r="EE65" s="848"/>
      <c r="EF65" s="849" t="str">
        <f>EF$3</f>
        <v>2019E/</v>
      </c>
      <c r="EG65" s="848"/>
      <c r="EH65" s="849" t="str">
        <f>EH$3</f>
        <v>2020E/</v>
      </c>
      <c r="EI65" s="848"/>
      <c r="EJ65" s="849" t="str">
        <f>EJ$3</f>
        <v>2021E/</v>
      </c>
      <c r="EK65" s="848"/>
      <c r="EL65" s="849" t="str">
        <f>EL$3</f>
        <v>2022E/</v>
      </c>
      <c r="EM65" s="850" t="str">
        <f>EM$3</f>
        <v>5-Yr</v>
      </c>
      <c r="EN65" s="638"/>
      <c r="EO65" s="638"/>
      <c r="EP65" s="638"/>
      <c r="EQ65" s="638"/>
      <c r="ER65" s="638"/>
      <c r="ES65" s="638"/>
      <c r="ET65" s="638"/>
      <c r="EU65" s="638"/>
      <c r="EV65" s="638"/>
    </row>
    <row r="66" spans="1:152" ht="12.75" customHeight="1" x14ac:dyDescent="0.2">
      <c r="A66" s="851"/>
      <c r="B66" s="640"/>
      <c r="C66" s="641" t="str">
        <f>C$4</f>
        <v>1Q05</v>
      </c>
      <c r="D66" s="640"/>
      <c r="E66" s="641" t="str">
        <f>E$4</f>
        <v>2Q05</v>
      </c>
      <c r="F66" s="640"/>
      <c r="G66" s="641" t="str">
        <f>G$4</f>
        <v>3Q05</v>
      </c>
      <c r="H66" s="640"/>
      <c r="I66" s="641" t="str">
        <f>I$4</f>
        <v>4Q05</v>
      </c>
      <c r="J66" s="640"/>
      <c r="K66" s="641" t="str">
        <f>K$4</f>
        <v>1Q06</v>
      </c>
      <c r="L66" s="640"/>
      <c r="M66" s="641" t="str">
        <f>M$4</f>
        <v>2Q06</v>
      </c>
      <c r="N66" s="640"/>
      <c r="O66" s="641" t="str">
        <f>O$4</f>
        <v>3Q06</v>
      </c>
      <c r="P66" s="640"/>
      <c r="Q66" s="641" t="str">
        <f>Q$4</f>
        <v>4Q06</v>
      </c>
      <c r="R66" s="640"/>
      <c r="S66" s="641" t="str">
        <f>S$4</f>
        <v>1Q07</v>
      </c>
      <c r="T66" s="640"/>
      <c r="U66" s="641" t="str">
        <f>U$4</f>
        <v>2Q07</v>
      </c>
      <c r="V66" s="640"/>
      <c r="W66" s="641" t="str">
        <f>W$4</f>
        <v>3Q07</v>
      </c>
      <c r="X66" s="640"/>
      <c r="Y66" s="641" t="str">
        <f>Y$4</f>
        <v>4Q07</v>
      </c>
      <c r="Z66" s="640"/>
      <c r="AA66" s="641" t="str">
        <f>AA$4</f>
        <v>1Q08</v>
      </c>
      <c r="AB66" s="640"/>
      <c r="AC66" s="641" t="str">
        <f>AC$4</f>
        <v>2Q08</v>
      </c>
      <c r="AD66" s="640"/>
      <c r="AE66" s="641" t="str">
        <f>AE$4</f>
        <v>3Q08</v>
      </c>
      <c r="AF66" s="640"/>
      <c r="AG66" s="641" t="str">
        <f>AG$4</f>
        <v>4Q08</v>
      </c>
      <c r="AH66" s="640"/>
      <c r="AI66" s="641" t="str">
        <f>AI$4</f>
        <v>1Q09</v>
      </c>
      <c r="AJ66" s="640"/>
      <c r="AK66" s="641" t="str">
        <f>AK$4</f>
        <v>2Q09</v>
      </c>
      <c r="AL66" s="640"/>
      <c r="AM66" s="641" t="str">
        <f>AM$4</f>
        <v>3Q09</v>
      </c>
      <c r="AN66" s="640"/>
      <c r="AO66" s="641" t="str">
        <f>AO$4</f>
        <v>4Q09</v>
      </c>
      <c r="AP66" s="640"/>
      <c r="AQ66" s="641" t="str">
        <f>AQ$4</f>
        <v>1Q10</v>
      </c>
      <c r="AR66" s="640"/>
      <c r="AS66" s="641" t="str">
        <f>AS$4</f>
        <v>2Q10</v>
      </c>
      <c r="AT66" s="640"/>
      <c r="AU66" s="641" t="str">
        <f>AU$4</f>
        <v>3Q10</v>
      </c>
      <c r="AV66" s="640"/>
      <c r="AW66" s="641" t="str">
        <f>AW$4</f>
        <v>4Q10</v>
      </c>
      <c r="AX66" s="640"/>
      <c r="AY66" s="641" t="str">
        <f>AY$4</f>
        <v>1Q11</v>
      </c>
      <c r="AZ66" s="640"/>
      <c r="BA66" s="641" t="str">
        <f>BA$4</f>
        <v>2Q11</v>
      </c>
      <c r="BB66" s="640"/>
      <c r="BC66" s="641" t="str">
        <f>BC$4</f>
        <v>3Q11</v>
      </c>
      <c r="BD66" s="640"/>
      <c r="BE66" s="641" t="str">
        <f>BE$4</f>
        <v>4Q11</v>
      </c>
      <c r="BF66" s="640"/>
      <c r="BG66" s="641" t="str">
        <f>BG$4</f>
        <v>1Q12</v>
      </c>
      <c r="BH66" s="640"/>
      <c r="BI66" s="641" t="str">
        <f>BI$4</f>
        <v>2Q12</v>
      </c>
      <c r="BJ66" s="640"/>
      <c r="BK66" s="641" t="str">
        <f>BK$4</f>
        <v>3Q12</v>
      </c>
      <c r="BL66" s="640"/>
      <c r="BM66" s="641" t="str">
        <f>BM$4</f>
        <v>4Q12</v>
      </c>
      <c r="BN66" s="640"/>
      <c r="BO66" s="641" t="str">
        <f>BO$4</f>
        <v>1Q13</v>
      </c>
      <c r="BP66" s="640"/>
      <c r="BQ66" s="641" t="str">
        <f>BQ$4</f>
        <v>2Q13</v>
      </c>
      <c r="BR66" s="640"/>
      <c r="BS66" s="641" t="str">
        <f>BS$4</f>
        <v>3Q13</v>
      </c>
      <c r="BT66" s="640"/>
      <c r="BU66" s="641" t="str">
        <f>BU$4</f>
        <v>4Q13</v>
      </c>
      <c r="BV66" s="640"/>
      <c r="BW66" s="641" t="str">
        <f>BW$4</f>
        <v>1Q14</v>
      </c>
      <c r="BX66" s="640"/>
      <c r="BY66" s="641" t="str">
        <f>BY$4</f>
        <v>2Q14</v>
      </c>
      <c r="BZ66" s="640"/>
      <c r="CA66" s="641" t="str">
        <f>CA$4</f>
        <v>3Q14</v>
      </c>
      <c r="CB66" s="640"/>
      <c r="CC66" s="641" t="str">
        <f>CC$4</f>
        <v>4Q14</v>
      </c>
      <c r="CD66" s="640"/>
      <c r="CE66" s="641" t="str">
        <f>CE$4</f>
        <v>1Q15</v>
      </c>
      <c r="CF66" s="640"/>
      <c r="CG66" s="641" t="str">
        <f>CG$4</f>
        <v>2Q15</v>
      </c>
      <c r="CH66" s="640"/>
      <c r="CI66" s="641" t="str">
        <f>CI$4</f>
        <v>3Q15</v>
      </c>
      <c r="CJ66" s="640"/>
      <c r="CK66" s="641" t="str">
        <f>CK$4</f>
        <v>4Q15</v>
      </c>
      <c r="CL66" s="640"/>
      <c r="CM66" s="641" t="str">
        <f>CM$4</f>
        <v>1Q16</v>
      </c>
      <c r="CN66" s="640"/>
      <c r="CO66" s="641" t="str">
        <f t="shared" ref="CO66" si="42">CO$4</f>
        <v>2Q16</v>
      </c>
      <c r="CP66" s="640"/>
      <c r="CQ66" s="641" t="str">
        <f t="shared" ref="CQ66" si="43">CQ$4</f>
        <v>3Q16</v>
      </c>
      <c r="CR66" s="640"/>
      <c r="CS66" s="641" t="str">
        <f t="shared" ref="CS66" si="44">CS$4</f>
        <v>4Q16</v>
      </c>
      <c r="CT66" s="640"/>
      <c r="CU66" s="641" t="str">
        <f>CU$4</f>
        <v>1Q17</v>
      </c>
      <c r="CV66" s="640"/>
      <c r="CW66" s="641" t="str">
        <f t="shared" ref="CW66" si="45">CW$4</f>
        <v>2Q17</v>
      </c>
      <c r="CX66" s="640"/>
      <c r="CY66" s="641" t="str">
        <f t="shared" ref="CY66" si="46">CY$4</f>
        <v>3Q17</v>
      </c>
      <c r="CZ66" s="640"/>
      <c r="DA66" s="641" t="str">
        <f t="shared" ref="DA66" si="47">DA$4</f>
        <v>4Q17</v>
      </c>
      <c r="DB66" s="640"/>
      <c r="DC66" s="640"/>
      <c r="DD66" s="641">
        <f>DD$4</f>
        <v>2004</v>
      </c>
      <c r="DE66" s="640"/>
      <c r="DF66" s="641">
        <f>DF$4</f>
        <v>2005</v>
      </c>
      <c r="DG66" s="640"/>
      <c r="DH66" s="641">
        <f>DH$4</f>
        <v>2006</v>
      </c>
      <c r="DI66" s="640"/>
      <c r="DJ66" s="641">
        <f>DJ$4</f>
        <v>2007</v>
      </c>
      <c r="DK66" s="640"/>
      <c r="DL66" s="641">
        <f>DL$4</f>
        <v>2008</v>
      </c>
      <c r="DM66" s="640"/>
      <c r="DN66" s="641" t="str">
        <f>DN$4</f>
        <v>2009</v>
      </c>
      <c r="DO66" s="640"/>
      <c r="DP66" s="641" t="str">
        <f>DP$4</f>
        <v>2010</v>
      </c>
      <c r="DQ66" s="640"/>
      <c r="DR66" s="641" t="str">
        <f>DR$4</f>
        <v>2011</v>
      </c>
      <c r="DS66" s="640"/>
      <c r="DT66" s="641" t="str">
        <f>DT$4</f>
        <v>2012</v>
      </c>
      <c r="DU66" s="640"/>
      <c r="DV66" s="641" t="str">
        <f>DV$4</f>
        <v>2013</v>
      </c>
      <c r="DW66" s="640"/>
      <c r="DX66" s="641" t="str">
        <f>DX$4</f>
        <v>2014</v>
      </c>
      <c r="DY66" s="640"/>
      <c r="DZ66" s="641" t="str">
        <f>DZ$4</f>
        <v>2015</v>
      </c>
      <c r="EA66" s="640"/>
      <c r="EB66" s="641" t="str">
        <f>EB$4</f>
        <v>2016</v>
      </c>
      <c r="EC66" s="640"/>
      <c r="ED66" s="641" t="str">
        <f>ED$4</f>
        <v>2017</v>
      </c>
      <c r="EE66" s="640"/>
      <c r="EF66" s="641" t="str">
        <f>EF$4</f>
        <v>2018E</v>
      </c>
      <c r="EG66" s="640"/>
      <c r="EH66" s="641" t="str">
        <f>EH$4</f>
        <v>2019E</v>
      </c>
      <c r="EI66" s="640"/>
      <c r="EJ66" s="641" t="str">
        <f>EJ$4</f>
        <v>2020E</v>
      </c>
      <c r="EK66" s="640"/>
      <c r="EL66" s="641" t="str">
        <f>EL$4</f>
        <v>2021E</v>
      </c>
      <c r="EM66" s="852" t="str">
        <f>EM$4</f>
        <v>CAGR</v>
      </c>
    </row>
    <row r="67" spans="1:152" ht="12.75" customHeight="1" x14ac:dyDescent="0.2">
      <c r="A67" s="853"/>
      <c r="B67" s="642" t="str">
        <f t="shared" ref="B67:BN67" si="48">B$5</f>
        <v>1Q06</v>
      </c>
      <c r="C67" s="643" t="str">
        <f t="shared" si="48"/>
        <v>% Chg</v>
      </c>
      <c r="D67" s="642" t="str">
        <f t="shared" si="48"/>
        <v>2Q06</v>
      </c>
      <c r="E67" s="643" t="str">
        <f t="shared" si="48"/>
        <v>% Chg</v>
      </c>
      <c r="F67" s="642" t="str">
        <f t="shared" si="48"/>
        <v>3Q06</v>
      </c>
      <c r="G67" s="643" t="str">
        <f t="shared" si="48"/>
        <v>% Chg</v>
      </c>
      <c r="H67" s="642" t="str">
        <f t="shared" si="48"/>
        <v>4Q06</v>
      </c>
      <c r="I67" s="643" t="str">
        <f t="shared" si="48"/>
        <v>% Chg</v>
      </c>
      <c r="J67" s="642" t="str">
        <f t="shared" si="48"/>
        <v>1Q07</v>
      </c>
      <c r="K67" s="643" t="str">
        <f t="shared" si="48"/>
        <v>% Chg</v>
      </c>
      <c r="L67" s="642" t="str">
        <f t="shared" si="48"/>
        <v>2Q07</v>
      </c>
      <c r="M67" s="643" t="str">
        <f t="shared" si="48"/>
        <v>% Chg</v>
      </c>
      <c r="N67" s="642" t="str">
        <f t="shared" si="48"/>
        <v>3Q07</v>
      </c>
      <c r="O67" s="643" t="str">
        <f t="shared" si="48"/>
        <v>% Chg</v>
      </c>
      <c r="P67" s="642" t="str">
        <f t="shared" si="48"/>
        <v>4Q07</v>
      </c>
      <c r="Q67" s="643" t="str">
        <f t="shared" si="48"/>
        <v>% Chg</v>
      </c>
      <c r="R67" s="642" t="str">
        <f t="shared" si="48"/>
        <v>1Q08</v>
      </c>
      <c r="S67" s="643" t="str">
        <f t="shared" si="48"/>
        <v>% Chg</v>
      </c>
      <c r="T67" s="642" t="str">
        <f t="shared" si="48"/>
        <v>2Q08</v>
      </c>
      <c r="U67" s="643" t="str">
        <f t="shared" si="48"/>
        <v>% Chg</v>
      </c>
      <c r="V67" s="642" t="str">
        <f t="shared" si="48"/>
        <v>3Q08</v>
      </c>
      <c r="W67" s="643" t="str">
        <f t="shared" si="48"/>
        <v>% Chg</v>
      </c>
      <c r="X67" s="642" t="str">
        <f t="shared" si="48"/>
        <v>4Q08</v>
      </c>
      <c r="Y67" s="643" t="str">
        <f t="shared" si="48"/>
        <v>% Chg</v>
      </c>
      <c r="Z67" s="642" t="str">
        <f t="shared" si="48"/>
        <v>1Q09</v>
      </c>
      <c r="AA67" s="643" t="str">
        <f t="shared" si="48"/>
        <v>% Chg</v>
      </c>
      <c r="AB67" s="642" t="str">
        <f t="shared" si="48"/>
        <v>2Q09</v>
      </c>
      <c r="AC67" s="643" t="str">
        <f t="shared" si="48"/>
        <v>% Chg</v>
      </c>
      <c r="AD67" s="642" t="str">
        <f t="shared" si="48"/>
        <v>3Q09</v>
      </c>
      <c r="AE67" s="643" t="str">
        <f t="shared" si="48"/>
        <v>% Chg</v>
      </c>
      <c r="AF67" s="642" t="str">
        <f t="shared" si="48"/>
        <v>4Q09</v>
      </c>
      <c r="AG67" s="643" t="str">
        <f t="shared" si="48"/>
        <v>% Chg</v>
      </c>
      <c r="AH67" s="642" t="str">
        <f t="shared" si="48"/>
        <v>1Q10</v>
      </c>
      <c r="AI67" s="643" t="str">
        <f t="shared" si="48"/>
        <v>% Chg</v>
      </c>
      <c r="AJ67" s="642" t="str">
        <f t="shared" si="48"/>
        <v>2Q10</v>
      </c>
      <c r="AK67" s="643" t="str">
        <f t="shared" si="48"/>
        <v>% Chg</v>
      </c>
      <c r="AL67" s="642" t="str">
        <f t="shared" si="48"/>
        <v>3Q10</v>
      </c>
      <c r="AM67" s="643" t="str">
        <f t="shared" si="48"/>
        <v>% Chg</v>
      </c>
      <c r="AN67" s="642" t="str">
        <f t="shared" si="48"/>
        <v>4Q10</v>
      </c>
      <c r="AO67" s="643" t="str">
        <f t="shared" si="48"/>
        <v>% Chg</v>
      </c>
      <c r="AP67" s="642" t="str">
        <f t="shared" si="48"/>
        <v>1Q11</v>
      </c>
      <c r="AQ67" s="643" t="str">
        <f t="shared" si="48"/>
        <v>% Chg</v>
      </c>
      <c r="AR67" s="642" t="str">
        <f t="shared" si="48"/>
        <v>2Q11</v>
      </c>
      <c r="AS67" s="643" t="str">
        <f t="shared" si="48"/>
        <v>% Chg</v>
      </c>
      <c r="AT67" s="642" t="str">
        <f t="shared" si="48"/>
        <v>3Q11</v>
      </c>
      <c r="AU67" s="643" t="str">
        <f t="shared" si="48"/>
        <v>% Chg</v>
      </c>
      <c r="AV67" s="642" t="str">
        <f t="shared" si="48"/>
        <v>4Q11</v>
      </c>
      <c r="AW67" s="643" t="str">
        <f t="shared" si="48"/>
        <v>% Chg</v>
      </c>
      <c r="AX67" s="642" t="str">
        <f t="shared" si="48"/>
        <v>1Q12</v>
      </c>
      <c r="AY67" s="643" t="str">
        <f t="shared" si="48"/>
        <v>% Chg</v>
      </c>
      <c r="AZ67" s="642" t="str">
        <f t="shared" si="48"/>
        <v>2Q12</v>
      </c>
      <c r="BA67" s="643" t="str">
        <f t="shared" si="48"/>
        <v>% Chg</v>
      </c>
      <c r="BB67" s="642" t="str">
        <f t="shared" si="48"/>
        <v>3Q12</v>
      </c>
      <c r="BC67" s="643" t="str">
        <f t="shared" si="48"/>
        <v>% Chg</v>
      </c>
      <c r="BD67" s="642" t="str">
        <f t="shared" si="48"/>
        <v>4Q12</v>
      </c>
      <c r="BE67" s="643" t="str">
        <f t="shared" si="48"/>
        <v>% Chg</v>
      </c>
      <c r="BF67" s="642" t="str">
        <f t="shared" si="48"/>
        <v>1Q13</v>
      </c>
      <c r="BG67" s="643" t="str">
        <f t="shared" si="48"/>
        <v>% Chg</v>
      </c>
      <c r="BH67" s="642" t="str">
        <f t="shared" si="48"/>
        <v>2Q13</v>
      </c>
      <c r="BI67" s="643" t="str">
        <f t="shared" si="48"/>
        <v>% Chg</v>
      </c>
      <c r="BJ67" s="642" t="str">
        <f t="shared" si="48"/>
        <v>3Q13</v>
      </c>
      <c r="BK67" s="643" t="str">
        <f t="shared" si="48"/>
        <v>% Chg</v>
      </c>
      <c r="BL67" s="642" t="str">
        <f t="shared" si="48"/>
        <v>4Q13</v>
      </c>
      <c r="BM67" s="643" t="str">
        <f t="shared" si="48"/>
        <v>% Chg</v>
      </c>
      <c r="BN67" s="642" t="str">
        <f t="shared" si="48"/>
        <v>1Q14</v>
      </c>
      <c r="BO67" s="643" t="str">
        <f t="shared" ref="BO67:DA67" si="49">BO$5</f>
        <v>% Chg</v>
      </c>
      <c r="BP67" s="642" t="str">
        <f t="shared" si="49"/>
        <v>2Q14</v>
      </c>
      <c r="BQ67" s="643" t="str">
        <f t="shared" si="49"/>
        <v>% Chg</v>
      </c>
      <c r="BR67" s="642" t="str">
        <f t="shared" si="49"/>
        <v>3Q14</v>
      </c>
      <c r="BS67" s="643" t="str">
        <f t="shared" si="49"/>
        <v>% Chg</v>
      </c>
      <c r="BT67" s="642" t="str">
        <f t="shared" si="49"/>
        <v>4Q14</v>
      </c>
      <c r="BU67" s="643" t="str">
        <f t="shared" si="49"/>
        <v>% Chg</v>
      </c>
      <c r="BV67" s="642" t="str">
        <f t="shared" si="49"/>
        <v>1Q15</v>
      </c>
      <c r="BW67" s="643" t="str">
        <f t="shared" si="49"/>
        <v>% Chg</v>
      </c>
      <c r="BX67" s="642" t="str">
        <f t="shared" si="49"/>
        <v>2Q15</v>
      </c>
      <c r="BY67" s="643" t="str">
        <f t="shared" si="49"/>
        <v>% Chg</v>
      </c>
      <c r="BZ67" s="642" t="str">
        <f t="shared" si="49"/>
        <v>3Q15</v>
      </c>
      <c r="CA67" s="643" t="str">
        <f t="shared" si="49"/>
        <v>% Chg</v>
      </c>
      <c r="CB67" s="642" t="str">
        <f t="shared" si="49"/>
        <v>4Q15</v>
      </c>
      <c r="CC67" s="643" t="str">
        <f t="shared" si="49"/>
        <v>% Chg</v>
      </c>
      <c r="CD67" s="642" t="str">
        <f t="shared" si="49"/>
        <v>1Q16</v>
      </c>
      <c r="CE67" s="643" t="str">
        <f t="shared" si="49"/>
        <v>% Chg</v>
      </c>
      <c r="CF67" s="642" t="str">
        <f t="shared" si="49"/>
        <v>2Q16</v>
      </c>
      <c r="CG67" s="643" t="str">
        <f t="shared" si="49"/>
        <v>% Chg</v>
      </c>
      <c r="CH67" s="642" t="str">
        <f t="shared" si="49"/>
        <v>3Q16</v>
      </c>
      <c r="CI67" s="643" t="str">
        <f t="shared" si="49"/>
        <v>% Chg</v>
      </c>
      <c r="CJ67" s="642" t="str">
        <f t="shared" si="49"/>
        <v>4Q16</v>
      </c>
      <c r="CK67" s="643" t="str">
        <f t="shared" si="49"/>
        <v>% Chg</v>
      </c>
      <c r="CL67" s="642" t="str">
        <f t="shared" si="49"/>
        <v>1Q17</v>
      </c>
      <c r="CM67" s="643" t="str">
        <f t="shared" si="49"/>
        <v>% Chg</v>
      </c>
      <c r="CN67" s="642" t="str">
        <f t="shared" si="49"/>
        <v>2Q17</v>
      </c>
      <c r="CO67" s="643" t="str">
        <f t="shared" si="49"/>
        <v>% Chg</v>
      </c>
      <c r="CP67" s="642" t="str">
        <f t="shared" si="49"/>
        <v>3Q17</v>
      </c>
      <c r="CQ67" s="643" t="str">
        <f t="shared" si="49"/>
        <v>% Chg</v>
      </c>
      <c r="CR67" s="642" t="str">
        <f t="shared" si="49"/>
        <v>4Q17</v>
      </c>
      <c r="CS67" s="643" t="str">
        <f t="shared" si="49"/>
        <v>% Chg</v>
      </c>
      <c r="CT67" s="642" t="str">
        <f t="shared" si="49"/>
        <v>1Q18E</v>
      </c>
      <c r="CU67" s="643" t="str">
        <f t="shared" si="49"/>
        <v>% Chg</v>
      </c>
      <c r="CV67" s="642" t="str">
        <f t="shared" si="49"/>
        <v>2Q18E</v>
      </c>
      <c r="CW67" s="643" t="str">
        <f t="shared" si="49"/>
        <v>% Chg</v>
      </c>
      <c r="CX67" s="642" t="str">
        <f t="shared" si="49"/>
        <v>3Q18E</v>
      </c>
      <c r="CY67" s="643" t="str">
        <f t="shared" si="49"/>
        <v>% Chg</v>
      </c>
      <c r="CZ67" s="642" t="str">
        <f t="shared" si="49"/>
        <v>4Q18E</v>
      </c>
      <c r="DA67" s="643" t="str">
        <f t="shared" si="49"/>
        <v>% Chg</v>
      </c>
      <c r="DB67" s="642"/>
      <c r="DC67" s="644">
        <f t="shared" ref="DC67:EM67" si="50">DC$5</f>
        <v>2005</v>
      </c>
      <c r="DD67" s="643" t="str">
        <f t="shared" si="50"/>
        <v>% Chg</v>
      </c>
      <c r="DE67" s="645">
        <f>$DE$5</f>
        <v>2006</v>
      </c>
      <c r="DF67" s="643" t="str">
        <f>INPUT!FS$6</f>
        <v>% Chg</v>
      </c>
      <c r="DG67" s="646">
        <f>$DG$5</f>
        <v>2007</v>
      </c>
      <c r="DH67" s="643" t="str">
        <f t="shared" si="50"/>
        <v>% Chg</v>
      </c>
      <c r="DI67" s="646">
        <f t="shared" si="50"/>
        <v>2008</v>
      </c>
      <c r="DJ67" s="643" t="str">
        <f t="shared" si="50"/>
        <v>% Chg</v>
      </c>
      <c r="DK67" s="642" t="str">
        <f t="shared" si="50"/>
        <v>2009</v>
      </c>
      <c r="DL67" s="643" t="str">
        <f t="shared" si="50"/>
        <v>% Chg</v>
      </c>
      <c r="DM67" s="642" t="str">
        <f t="shared" si="50"/>
        <v>2010</v>
      </c>
      <c r="DN67" s="643" t="str">
        <f t="shared" si="50"/>
        <v>% Chg</v>
      </c>
      <c r="DO67" s="642" t="str">
        <f t="shared" si="50"/>
        <v>2011</v>
      </c>
      <c r="DP67" s="643" t="str">
        <f t="shared" si="50"/>
        <v>% Chg</v>
      </c>
      <c r="DQ67" s="642" t="str">
        <f t="shared" si="50"/>
        <v>2012</v>
      </c>
      <c r="DR67" s="643" t="str">
        <f t="shared" si="50"/>
        <v>% Chg</v>
      </c>
      <c r="DS67" s="642" t="str">
        <f t="shared" si="50"/>
        <v>2013</v>
      </c>
      <c r="DT67" s="643" t="str">
        <f t="shared" si="50"/>
        <v>% Chg</v>
      </c>
      <c r="DU67" s="642" t="str">
        <f t="shared" si="50"/>
        <v>2014</v>
      </c>
      <c r="DV67" s="643" t="str">
        <f t="shared" si="50"/>
        <v>% Chg</v>
      </c>
      <c r="DW67" s="642" t="str">
        <f t="shared" si="50"/>
        <v>2015</v>
      </c>
      <c r="DX67" s="643" t="str">
        <f t="shared" si="50"/>
        <v>% Chg</v>
      </c>
      <c r="DY67" s="642" t="str">
        <f t="shared" si="50"/>
        <v>2016</v>
      </c>
      <c r="DZ67" s="643" t="str">
        <f t="shared" si="50"/>
        <v>% Chg</v>
      </c>
      <c r="EA67" s="642" t="str">
        <f t="shared" si="50"/>
        <v>2017</v>
      </c>
      <c r="EB67" s="643" t="str">
        <f t="shared" si="50"/>
        <v>% Chg</v>
      </c>
      <c r="EC67" s="642" t="str">
        <f t="shared" si="50"/>
        <v>2018E</v>
      </c>
      <c r="ED67" s="643" t="str">
        <f t="shared" si="50"/>
        <v>% Chg</v>
      </c>
      <c r="EE67" s="642" t="str">
        <f t="shared" si="50"/>
        <v>2019E</v>
      </c>
      <c r="EF67" s="643" t="str">
        <f t="shared" si="50"/>
        <v>% Chg</v>
      </c>
      <c r="EG67" s="642" t="str">
        <f t="shared" si="50"/>
        <v>2020E</v>
      </c>
      <c r="EH67" s="643" t="str">
        <f t="shared" si="50"/>
        <v>% Chg</v>
      </c>
      <c r="EI67" s="642" t="str">
        <f t="shared" si="50"/>
        <v>2021E</v>
      </c>
      <c r="EJ67" s="643" t="str">
        <f t="shared" si="50"/>
        <v>% Chg</v>
      </c>
      <c r="EK67" s="642" t="str">
        <f t="shared" si="50"/>
        <v>2022E</v>
      </c>
      <c r="EL67" s="643" t="str">
        <f t="shared" si="50"/>
        <v>% Chg</v>
      </c>
      <c r="EM67" s="854" t="str">
        <f t="shared" si="50"/>
        <v>(%)</v>
      </c>
    </row>
    <row r="68" spans="1:152" ht="12.75" customHeight="1" x14ac:dyDescent="0.2">
      <c r="A68" s="855"/>
      <c r="B68" s="640"/>
      <c r="C68" s="641"/>
      <c r="D68" s="640"/>
      <c r="E68" s="641"/>
      <c r="F68" s="640"/>
      <c r="G68" s="641"/>
      <c r="H68" s="640"/>
      <c r="I68" s="641"/>
      <c r="J68" s="640"/>
      <c r="K68" s="641"/>
      <c r="L68" s="640"/>
      <c r="M68" s="641"/>
      <c r="N68" s="640"/>
      <c r="O68" s="641"/>
      <c r="P68" s="640"/>
      <c r="Q68" s="641"/>
      <c r="R68" s="640"/>
      <c r="S68" s="641"/>
      <c r="T68" s="640"/>
      <c r="U68" s="641"/>
      <c r="V68" s="640"/>
      <c r="W68" s="641"/>
      <c r="X68" s="640"/>
      <c r="Y68" s="641"/>
      <c r="Z68" s="640"/>
      <c r="AA68" s="641"/>
      <c r="AB68" s="640"/>
      <c r="AC68" s="641"/>
      <c r="AD68" s="640"/>
      <c r="AE68" s="641"/>
      <c r="AF68" s="640"/>
      <c r="AG68" s="641"/>
      <c r="AH68" s="640"/>
      <c r="AI68" s="641"/>
      <c r="AJ68" s="640"/>
      <c r="AK68" s="641"/>
      <c r="AL68" s="640"/>
      <c r="AM68" s="641"/>
      <c r="AN68" s="640"/>
      <c r="AO68" s="641"/>
      <c r="AP68" s="640"/>
      <c r="AQ68" s="641"/>
      <c r="AR68" s="640"/>
      <c r="AS68" s="641"/>
      <c r="AT68" s="640"/>
      <c r="AU68" s="641"/>
      <c r="AV68" s="640"/>
      <c r="AW68" s="641"/>
      <c r="AX68" s="640"/>
      <c r="AY68" s="641"/>
      <c r="AZ68" s="640"/>
      <c r="BA68" s="641"/>
      <c r="BB68" s="640"/>
      <c r="BC68" s="641"/>
      <c r="BD68" s="640"/>
      <c r="BE68" s="641"/>
      <c r="BF68" s="640"/>
      <c r="BG68" s="641"/>
      <c r="BH68" s="640"/>
      <c r="BI68" s="641"/>
      <c r="BJ68" s="640"/>
      <c r="BK68" s="641"/>
      <c r="BL68" s="640"/>
      <c r="BM68" s="641"/>
      <c r="BN68" s="640"/>
      <c r="BO68" s="641"/>
      <c r="BP68" s="640"/>
      <c r="BQ68" s="641"/>
      <c r="BR68" s="640"/>
      <c r="BS68" s="641"/>
      <c r="BT68" s="640"/>
      <c r="BU68" s="641"/>
      <c r="BV68" s="640"/>
      <c r="BW68" s="641"/>
      <c r="BX68" s="640"/>
      <c r="BY68" s="641"/>
      <c r="BZ68" s="640"/>
      <c r="CA68" s="641"/>
      <c r="CB68" s="640"/>
      <c r="CC68" s="641"/>
      <c r="CD68" s="640"/>
      <c r="CE68" s="641"/>
      <c r="CF68" s="640"/>
      <c r="CG68" s="641"/>
      <c r="CH68" s="640"/>
      <c r="CI68" s="641"/>
      <c r="CJ68" s="640"/>
      <c r="CK68" s="641"/>
      <c r="CL68" s="640"/>
      <c r="CM68" s="641"/>
      <c r="CN68" s="640"/>
      <c r="CO68" s="641"/>
      <c r="CP68" s="640"/>
      <c r="CQ68" s="641"/>
      <c r="CR68" s="640"/>
      <c r="CS68" s="641"/>
      <c r="CT68" s="640"/>
      <c r="CU68" s="641"/>
      <c r="CV68" s="640"/>
      <c r="CW68" s="641"/>
      <c r="CX68" s="640"/>
      <c r="CY68" s="641"/>
      <c r="CZ68" s="640"/>
      <c r="DA68" s="641"/>
      <c r="DB68" s="640"/>
      <c r="DC68" s="640"/>
      <c r="DD68" s="641"/>
      <c r="DE68" s="640"/>
      <c r="DF68" s="641"/>
      <c r="DG68" s="640"/>
      <c r="DH68" s="641"/>
      <c r="DI68" s="640"/>
      <c r="DJ68" s="641"/>
      <c r="DK68" s="640"/>
      <c r="DL68" s="641"/>
      <c r="DM68" s="640"/>
      <c r="DN68" s="641"/>
      <c r="DO68" s="640"/>
      <c r="DP68" s="641"/>
      <c r="DQ68" s="640"/>
      <c r="DR68" s="641"/>
      <c r="DS68" s="640"/>
      <c r="DT68" s="641"/>
      <c r="DU68" s="640"/>
      <c r="DV68" s="641"/>
      <c r="DW68" s="640"/>
      <c r="DX68" s="641"/>
      <c r="DY68" s="640"/>
      <c r="DZ68" s="641"/>
      <c r="EA68" s="640"/>
      <c r="EB68" s="641"/>
      <c r="EC68" s="640"/>
      <c r="ED68" s="641"/>
      <c r="EE68" s="640"/>
      <c r="EF68" s="641"/>
      <c r="EG68" s="640"/>
      <c r="EH68" s="641"/>
      <c r="EI68" s="640"/>
      <c r="EJ68" s="641"/>
      <c r="EK68" s="640"/>
      <c r="EL68" s="641"/>
      <c r="EM68" s="852"/>
    </row>
    <row r="69" spans="1:152" ht="12.75" customHeight="1" x14ac:dyDescent="0.2">
      <c r="A69" s="855" t="s">
        <v>302</v>
      </c>
      <c r="B69" s="640"/>
      <c r="C69" s="641"/>
      <c r="D69" s="640"/>
      <c r="E69" s="641"/>
      <c r="F69" s="640"/>
      <c r="G69" s="641"/>
      <c r="H69" s="640"/>
      <c r="I69" s="641"/>
      <c r="J69" s="640"/>
      <c r="K69" s="641"/>
      <c r="L69" s="640"/>
      <c r="M69" s="641"/>
      <c r="N69" s="640"/>
      <c r="O69" s="641"/>
      <c r="P69" s="640"/>
      <c r="Q69" s="641"/>
      <c r="R69" s="640"/>
      <c r="S69" s="641"/>
      <c r="T69" s="640"/>
      <c r="U69" s="641"/>
      <c r="V69" s="640"/>
      <c r="W69" s="641"/>
      <c r="X69" s="640"/>
      <c r="Y69" s="641"/>
      <c r="Z69" s="640"/>
      <c r="AA69" s="641"/>
      <c r="AB69" s="640"/>
      <c r="AC69" s="641"/>
      <c r="AD69" s="640"/>
      <c r="AE69" s="641"/>
      <c r="AF69" s="640"/>
      <c r="AG69" s="641"/>
      <c r="AH69" s="640"/>
      <c r="AI69" s="641"/>
      <c r="AJ69" s="640"/>
      <c r="AK69" s="641"/>
      <c r="AL69" s="640"/>
      <c r="AM69" s="641"/>
      <c r="AN69" s="640"/>
      <c r="AO69" s="641"/>
      <c r="AP69" s="640"/>
      <c r="AQ69" s="641"/>
      <c r="AR69" s="640"/>
      <c r="AS69" s="641"/>
      <c r="AT69" s="640"/>
      <c r="AU69" s="641"/>
      <c r="AV69" s="640"/>
      <c r="AW69" s="641"/>
      <c r="AX69" s="640"/>
      <c r="AY69" s="641"/>
      <c r="AZ69" s="640"/>
      <c r="BA69" s="641"/>
      <c r="BB69" s="640"/>
      <c r="BC69" s="641"/>
      <c r="BD69" s="640"/>
      <c r="BE69" s="641"/>
      <c r="BF69" s="640"/>
      <c r="BG69" s="641"/>
      <c r="BH69" s="640"/>
      <c r="BI69" s="641"/>
      <c r="BJ69" s="640"/>
      <c r="BK69" s="641"/>
      <c r="BL69" s="640"/>
      <c r="BM69" s="641"/>
      <c r="BN69" s="640"/>
      <c r="BO69" s="641"/>
      <c r="BP69" s="640"/>
      <c r="BQ69" s="641"/>
      <c r="BR69" s="640"/>
      <c r="BS69" s="641"/>
      <c r="BT69" s="640"/>
      <c r="BU69" s="641"/>
      <c r="BV69" s="640"/>
      <c r="BW69" s="641"/>
      <c r="BX69" s="640"/>
      <c r="BY69" s="641"/>
      <c r="BZ69" s="640"/>
      <c r="CA69" s="641"/>
      <c r="CB69" s="640"/>
      <c r="CC69" s="641"/>
      <c r="CD69" s="640"/>
      <c r="CE69" s="641"/>
      <c r="CF69" s="640"/>
      <c r="CG69" s="641"/>
      <c r="CH69" s="640"/>
      <c r="CI69" s="641"/>
      <c r="CJ69" s="640"/>
      <c r="CK69" s="641"/>
      <c r="CL69" s="640"/>
      <c r="CM69" s="641"/>
      <c r="CN69" s="640"/>
      <c r="CO69" s="641"/>
      <c r="CP69" s="640"/>
      <c r="CQ69" s="641"/>
      <c r="CR69" s="640"/>
      <c r="CS69" s="641"/>
      <c r="CT69" s="640"/>
      <c r="CU69" s="641"/>
      <c r="CV69" s="640"/>
      <c r="CW69" s="641"/>
      <c r="CX69" s="640"/>
      <c r="CY69" s="641"/>
      <c r="CZ69" s="640"/>
      <c r="DA69" s="641"/>
      <c r="DB69" s="640"/>
      <c r="DC69" s="640"/>
      <c r="DD69" s="641"/>
      <c r="DE69" s="640"/>
      <c r="DF69" s="641"/>
      <c r="DG69" s="640"/>
      <c r="DH69" s="641"/>
      <c r="DI69" s="640"/>
      <c r="DJ69" s="641"/>
      <c r="DK69" s="640"/>
      <c r="DL69" s="641"/>
      <c r="DM69" s="640"/>
      <c r="DN69" s="641"/>
      <c r="DO69" s="640"/>
      <c r="DP69" s="641"/>
      <c r="DQ69" s="640"/>
      <c r="DR69" s="641"/>
      <c r="DS69" s="640"/>
      <c r="DT69" s="641"/>
      <c r="DU69" s="640"/>
      <c r="DV69" s="641"/>
      <c r="DW69" s="640"/>
      <c r="DX69" s="641"/>
      <c r="DY69" s="640"/>
      <c r="DZ69" s="641"/>
      <c r="EA69" s="640"/>
      <c r="EB69" s="641"/>
      <c r="EC69" s="640"/>
      <c r="ED69" s="641"/>
      <c r="EE69" s="640"/>
      <c r="EF69" s="641"/>
      <c r="EG69" s="640"/>
      <c r="EH69" s="641"/>
      <c r="EI69" s="640"/>
      <c r="EJ69" s="641"/>
      <c r="EK69" s="640"/>
      <c r="EL69" s="641"/>
      <c r="EM69" s="852"/>
    </row>
    <row r="70" spans="1:152" ht="12.75" customHeight="1" x14ac:dyDescent="0.2">
      <c r="A70" s="851" t="str">
        <f>INPUT!B609</f>
        <v>Outstanding Shares (EOP)-Diluted</v>
      </c>
      <c r="B70" s="650">
        <f>INPUT!AY609</f>
        <v>178.5</v>
      </c>
      <c r="C70" s="641">
        <f>INPUT!AZ609</f>
        <v>1.1331444759206777</v>
      </c>
      <c r="D70" s="650">
        <f>INPUT!BA609</f>
        <v>285</v>
      </c>
      <c r="E70" s="641">
        <f>INPUT!BB609</f>
        <v>63.043478260869556</v>
      </c>
      <c r="F70" s="650">
        <f>INPUT!BC609</f>
        <v>281.3</v>
      </c>
      <c r="G70" s="641">
        <f>INPUT!BD609</f>
        <v>59.557572319909234</v>
      </c>
      <c r="H70" s="650">
        <f>INPUT!BE609</f>
        <v>280.2</v>
      </c>
      <c r="I70" s="641">
        <f>INPUT!BF609</f>
        <v>58.394573205200672</v>
      </c>
      <c r="J70" s="650">
        <f>INPUT!BG609</f>
        <v>274</v>
      </c>
      <c r="K70" s="641">
        <f>INPUT!BH609</f>
        <v>53.501400560224099</v>
      </c>
      <c r="L70" s="650">
        <f>INPUT!BI609</f>
        <v>274.5</v>
      </c>
      <c r="M70" s="641">
        <f>INPUT!BJ609</f>
        <v>-3.6842105263157898</v>
      </c>
      <c r="N70" s="650">
        <f>INPUT!BK609</f>
        <v>271.7</v>
      </c>
      <c r="O70" s="641">
        <f>INPUT!BL609</f>
        <v>-3.412726626377538</v>
      </c>
      <c r="P70" s="650">
        <f>INPUT!BM609</f>
        <v>266.2</v>
      </c>
      <c r="Q70" s="641">
        <f>INPUT!BN609</f>
        <v>-4.9964311206281202</v>
      </c>
      <c r="R70" s="650">
        <f>INPUT!BO609</f>
        <v>260.49049000000002</v>
      </c>
      <c r="S70" s="641">
        <f>INPUT!BP609</f>
        <v>-4.9304781021897721</v>
      </c>
      <c r="T70" s="650">
        <f>INPUT!BQ609</f>
        <v>257.8</v>
      </c>
      <c r="U70" s="641">
        <f>INPUT!BR609</f>
        <v>-6.083788706739524</v>
      </c>
      <c r="V70" s="650">
        <f>INPUT!BS609</f>
        <v>256.89999999999998</v>
      </c>
      <c r="W70" s="641">
        <f>INPUT!BT609</f>
        <v>-5.4471843945528171</v>
      </c>
      <c r="X70" s="650">
        <f>INPUT!BU609</f>
        <v>257.7</v>
      </c>
      <c r="Y70" s="641">
        <f>INPUT!BV609</f>
        <v>-3.1930879038317039</v>
      </c>
      <c r="Z70" s="650">
        <f>INPUT!BW609</f>
        <v>258.10000000000002</v>
      </c>
      <c r="AA70" s="641">
        <f>INPUT!BX609</f>
        <v>-0.91768801233396147</v>
      </c>
      <c r="AB70" s="650">
        <f>INPUT!BY609</f>
        <v>304.2</v>
      </c>
      <c r="AC70" s="641">
        <f>INPUT!BZ609</f>
        <v>17.998448409619861</v>
      </c>
      <c r="AD70" s="650">
        <f>INPUT!CA609</f>
        <v>311.8</v>
      </c>
      <c r="AE70" s="641">
        <f>INPUT!CB609</f>
        <v>21.370182950564431</v>
      </c>
      <c r="AF70" s="650">
        <f>INPUT!CC609</f>
        <v>311.8</v>
      </c>
      <c r="AG70" s="641">
        <f>INPUT!CD609</f>
        <v>20.993403181994587</v>
      </c>
      <c r="AH70" s="650">
        <f>INPUT!CE609</f>
        <v>313</v>
      </c>
      <c r="AI70" s="641">
        <f>INPUT!CF609</f>
        <v>21.270825261526525</v>
      </c>
      <c r="AJ70" s="650">
        <f>INPUT!CG609</f>
        <v>325.89999999999998</v>
      </c>
      <c r="AK70" s="641">
        <f>INPUT!CH609</f>
        <v>7.1334648257725064</v>
      </c>
      <c r="AL70" s="650">
        <f>INPUT!CI609</f>
        <v>324.3</v>
      </c>
      <c r="AM70" s="641">
        <f>INPUT!CJ609</f>
        <v>4.0089801154586269</v>
      </c>
      <c r="AN70" s="650">
        <f>INPUT!CK609</f>
        <v>324</v>
      </c>
      <c r="AO70" s="641">
        <f>INPUT!CL609</f>
        <v>3.912764592687612</v>
      </c>
      <c r="AP70" s="650">
        <f>INPUT!CM609</f>
        <v>321.3</v>
      </c>
      <c r="AQ70" s="641">
        <f>INPUT!CN609</f>
        <v>2.6517571884984159</v>
      </c>
      <c r="AR70" s="650">
        <f>INPUT!CO609</f>
        <v>316.8</v>
      </c>
      <c r="AS70" s="641">
        <f>INPUT!CP609</f>
        <v>-2.7922675667382491</v>
      </c>
      <c r="AT70" s="650">
        <f>INPUT!CQ609</f>
        <v>306.89999999999998</v>
      </c>
      <c r="AU70" s="641">
        <f>INPUT!CR609</f>
        <v>-5.3654024051803972</v>
      </c>
      <c r="AV70" s="650">
        <f>INPUT!CS609</f>
        <v>297</v>
      </c>
      <c r="AW70" s="641">
        <f>INPUT!CT609</f>
        <v>-8.3333333333333375</v>
      </c>
      <c r="AX70" s="650">
        <f>INPUT!CU609</f>
        <v>293</v>
      </c>
      <c r="AY70" s="641">
        <f>INPUT!CV609</f>
        <v>-8.8079676314970499</v>
      </c>
      <c r="AZ70" s="650">
        <f>INPUT!CW609</f>
        <v>286.8</v>
      </c>
      <c r="BA70" s="641">
        <f>INPUT!CX609</f>
        <v>-9.4696969696969724</v>
      </c>
      <c r="BB70" s="650">
        <f>INPUT!CY609</f>
        <v>282.39999999999998</v>
      </c>
      <c r="BC70" s="641">
        <f>INPUT!CZ609</f>
        <v>-7.9830563701531414</v>
      </c>
      <c r="BD70" s="650">
        <f>INPUT!DA609</f>
        <v>279.10000000000002</v>
      </c>
      <c r="BE70" s="641">
        <f>INPUT!DB609</f>
        <v>-6.0269360269360135</v>
      </c>
      <c r="BF70" s="650">
        <f>INPUT!DC609</f>
        <v>277.2</v>
      </c>
      <c r="BG70" s="641">
        <f>INPUT!DD609</f>
        <v>-5.3924914675767983</v>
      </c>
      <c r="BH70" s="650">
        <f>INPUT!DE609</f>
        <v>273.89999999999998</v>
      </c>
      <c r="BI70" s="641">
        <f>INPUT!DF609</f>
        <v>-4.4979079497908021</v>
      </c>
      <c r="BJ70" s="650">
        <f>INPUT!DG609</f>
        <v>272.5</v>
      </c>
      <c r="BK70" s="641">
        <f>INPUT!DH609</f>
        <v>-3.5056657223795917</v>
      </c>
      <c r="BL70" s="650">
        <f>INPUT!DI609</f>
        <v>272.2</v>
      </c>
      <c r="BM70" s="641">
        <f>INPUT!DJ609</f>
        <v>-2.4722321748477327</v>
      </c>
      <c r="BN70" s="650">
        <f>INPUT!DK609</f>
        <v>270.39999999999998</v>
      </c>
      <c r="BO70" s="641">
        <f>INPUT!DL609</f>
        <v>-2.4531024531024626</v>
      </c>
      <c r="BP70" s="650">
        <f>INPUT!DM609</f>
        <v>267.60000000000002</v>
      </c>
      <c r="BQ70" s="641">
        <f>INPUT!DN609</f>
        <v>-2.3001095290251738</v>
      </c>
      <c r="BR70" s="650">
        <f>INPUT!DO609</f>
        <v>265.5</v>
      </c>
      <c r="BS70" s="641">
        <f>INPUT!DP609</f>
        <v>-2.5688073394495414</v>
      </c>
      <c r="BT70" s="650">
        <f>INPUT!DQ609</f>
        <v>261.5</v>
      </c>
      <c r="BU70" s="641">
        <f>INPUT!DR609</f>
        <v>-3.930933137398962</v>
      </c>
      <c r="BV70" s="650">
        <f>INPUT!DS609</f>
        <v>257.2</v>
      </c>
      <c r="BW70" s="641">
        <f>INPUT!DT609</f>
        <v>-4.8816568047337245</v>
      </c>
      <c r="BX70" s="650">
        <f>INPUT!DU609</f>
        <v>254.1</v>
      </c>
      <c r="BY70" s="641">
        <f>INPUT!DV609</f>
        <v>-5.0448430493273637</v>
      </c>
      <c r="BZ70" s="650">
        <f>INPUT!DW609</f>
        <v>251.2</v>
      </c>
      <c r="CA70" s="641">
        <f>INPUT!DX609</f>
        <v>251.2</v>
      </c>
      <c r="CB70" s="650">
        <f>INPUT!DY609</f>
        <v>246.7</v>
      </c>
      <c r="CC70" s="641">
        <f>INPUT!DZ609</f>
        <v>-5.659655831739963</v>
      </c>
      <c r="CD70" s="650">
        <f>INPUT!EA609</f>
        <v>242.2</v>
      </c>
      <c r="CE70" s="641">
        <f>INPUT!EB609</f>
        <v>-5.8320373250388862</v>
      </c>
      <c r="CF70" s="650">
        <f>INPUT!EC609</f>
        <v>236.3</v>
      </c>
      <c r="CG70" s="641">
        <f>INPUT!ED609</f>
        <v>-7.0051160960251764</v>
      </c>
      <c r="CH70" s="650">
        <f>INPUT!EE609</f>
        <v>231.3</v>
      </c>
      <c r="CI70" s="641">
        <f>INPUT!EF609</f>
        <v>-7.9219745222929845</v>
      </c>
      <c r="CJ70" s="650">
        <f>INPUT!EG609</f>
        <v>230.1</v>
      </c>
      <c r="CK70" s="641">
        <f>INPUT!EH609</f>
        <v>-6.7288204296716669</v>
      </c>
      <c r="CL70" s="650">
        <f>INPUT!EI609</f>
        <v>228.9</v>
      </c>
      <c r="CM70" s="641">
        <f>INPUT!EJ609</f>
        <v>-5.4913294797687806</v>
      </c>
      <c r="CN70" s="650">
        <f>INPUT!EK609</f>
        <v>226</v>
      </c>
      <c r="CO70" s="641">
        <f>INPUT!EL609</f>
        <v>-4.3588658484976728</v>
      </c>
      <c r="CP70" s="650">
        <f>INPUT!EM609</f>
        <v>222.7</v>
      </c>
      <c r="CQ70" s="641">
        <f>INPUT!EN609</f>
        <v>-3.7181150021617038</v>
      </c>
      <c r="CR70" s="650">
        <f>INPUT!EO609</f>
        <v>221.3</v>
      </c>
      <c r="CS70" s="641">
        <f>INPUT!EP609</f>
        <v>-3.8244241634072029</v>
      </c>
      <c r="CT70" s="650">
        <f>INPUT!EQ609</f>
        <v>221.3</v>
      </c>
      <c r="CU70" s="641">
        <f>INPUT!ER609</f>
        <v>-3.3202271734381839</v>
      </c>
      <c r="CV70" s="650">
        <f>INPUT!ES609</f>
        <v>221.3</v>
      </c>
      <c r="CW70" s="641">
        <f>INPUT!ET609</f>
        <v>-2.0796460176991105</v>
      </c>
      <c r="CX70" s="650">
        <f>INPUT!EU609</f>
        <v>220.31463388718043</v>
      </c>
      <c r="CY70" s="641">
        <f>INPUT!EV609</f>
        <v>-1.0711118602692249</v>
      </c>
      <c r="CZ70" s="650">
        <f>INPUT!EW609</f>
        <v>219.34863055035657</v>
      </c>
      <c r="DA70" s="641">
        <f>INPUT!EX609</f>
        <v>-0.88177562116739105</v>
      </c>
      <c r="DB70" s="640"/>
      <c r="DC70" s="650">
        <f>INPUT!FP609</f>
        <v>176.9</v>
      </c>
      <c r="DD70" s="641">
        <f>INPUT!FQ609</f>
        <v>-7.4306645735217058</v>
      </c>
      <c r="DE70" s="650">
        <f>INPUT!FR609</f>
        <v>280.2</v>
      </c>
      <c r="DF70" s="641">
        <f>INPUT!FS609</f>
        <v>58.394573205200672</v>
      </c>
      <c r="DG70" s="650">
        <f>INPUT!FT609</f>
        <v>266.2</v>
      </c>
      <c r="DH70" s="641">
        <f>INPUT!FU609</f>
        <v>-4.9964311206281202</v>
      </c>
      <c r="DI70" s="650">
        <f>INPUT!FV609</f>
        <v>257.7</v>
      </c>
      <c r="DJ70" s="641">
        <f>INPUT!FW609</f>
        <v>-3.1930879038317039</v>
      </c>
      <c r="DK70" s="650">
        <f>INPUT!FX609</f>
        <v>311.8</v>
      </c>
      <c r="DL70" s="641">
        <f>INPUT!FY609</f>
        <v>20.993403181994587</v>
      </c>
      <c r="DM70" s="650">
        <f>INPUT!FZ609</f>
        <v>324</v>
      </c>
      <c r="DN70" s="641">
        <f>INPUT!GA609</f>
        <v>3.912764592687612</v>
      </c>
      <c r="DO70" s="650">
        <f>INPUT!GB609</f>
        <v>297</v>
      </c>
      <c r="DP70" s="641">
        <f>INPUT!GC609</f>
        <v>-8.3333333333333375</v>
      </c>
      <c r="DQ70" s="650">
        <f>INPUT!GD609</f>
        <v>279.10000000000002</v>
      </c>
      <c r="DR70" s="641">
        <f>INPUT!GE609</f>
        <v>-6.0269360269360135</v>
      </c>
      <c r="DS70" s="650">
        <f>INPUT!GF609</f>
        <v>272.2</v>
      </c>
      <c r="DT70" s="641">
        <f>INPUT!GG609</f>
        <v>-2.4722321748477327</v>
      </c>
      <c r="DU70" s="650">
        <f>INPUT!GH609</f>
        <v>261.5</v>
      </c>
      <c r="DV70" s="641">
        <f>INPUT!GI609</f>
        <v>-3.930933137398962</v>
      </c>
      <c r="DW70" s="650">
        <f>INPUT!GJ609</f>
        <v>246.7</v>
      </c>
      <c r="DX70" s="641">
        <f>INPUT!GK609</f>
        <v>-5.659655831739963</v>
      </c>
      <c r="DY70" s="650">
        <f>INPUT!GL609</f>
        <v>230.1</v>
      </c>
      <c r="DZ70" s="641">
        <f>INPUT!GM609</f>
        <v>-6.7288204296716669</v>
      </c>
      <c r="EA70" s="650">
        <f>INPUT!GN609</f>
        <v>221.3</v>
      </c>
      <c r="EB70" s="641">
        <f>INPUT!GO609</f>
        <v>-3.8244241634072029</v>
      </c>
      <c r="EC70" s="650">
        <f>INPUT!GP609</f>
        <v>219.34863055035657</v>
      </c>
      <c r="ED70" s="641">
        <f>INPUT!GQ609</f>
        <v>-0.88177562116739105</v>
      </c>
      <c r="EE70" s="650">
        <f>INPUT!GR609</f>
        <v>215.16089267408222</v>
      </c>
      <c r="EF70" s="641">
        <f>INPUT!GS609</f>
        <v>-1.9091698296757609</v>
      </c>
      <c r="EG70" s="650">
        <f>INPUT!GT609</f>
        <v>210.14308355556258</v>
      </c>
      <c r="EH70" s="641">
        <f>INPUT!GU609</f>
        <v>-2.3321194926070654</v>
      </c>
      <c r="EI70" s="650">
        <f>INPUT!GV609</f>
        <v>204.40621408826894</v>
      </c>
      <c r="EJ70" s="641">
        <f>INPUT!GW609</f>
        <v>-2.7299825291546176</v>
      </c>
      <c r="EK70" s="650">
        <f>INPUT!GX609</f>
        <v>198.78491039299786</v>
      </c>
      <c r="EL70" s="641">
        <f>INPUT!GY609</f>
        <v>-2.7500649725079485</v>
      </c>
      <c r="EM70" s="852">
        <f>INPUT!GZ609</f>
        <v>-2.1230561985737917</v>
      </c>
    </row>
    <row r="71" spans="1:152" ht="12.75" customHeight="1" x14ac:dyDescent="0.2">
      <c r="A71" s="851" t="str">
        <f>INPUT!B611</f>
        <v>Average Shares (FD)</v>
      </c>
      <c r="B71" s="650">
        <f>INPUT!AY611</f>
        <v>177.9</v>
      </c>
      <c r="C71" s="641">
        <f>INPUT!AZ611</f>
        <v>0.7361268403170973</v>
      </c>
      <c r="D71" s="650">
        <f>INPUT!BA611</f>
        <v>282.60000000000002</v>
      </c>
      <c r="E71" s="641">
        <f>INPUT!BB611</f>
        <v>61.117445838084386</v>
      </c>
      <c r="F71" s="650">
        <f>INPUT!BC611</f>
        <v>282.39999999999998</v>
      </c>
      <c r="G71" s="641">
        <f>INPUT!BD611</f>
        <v>60.637087599544913</v>
      </c>
      <c r="H71" s="650">
        <f>INPUT!BE611</f>
        <v>280.39999999999998</v>
      </c>
      <c r="I71" s="641">
        <f>INPUT!BF611</f>
        <v>58.776896942242352</v>
      </c>
      <c r="J71" s="650">
        <f>INPUT!BG611</f>
        <v>279.5</v>
      </c>
      <c r="K71" s="641">
        <f>INPUT!BH611</f>
        <v>57.110736368746487</v>
      </c>
      <c r="L71" s="650">
        <f>INPUT!BI611</f>
        <v>274.39999999999998</v>
      </c>
      <c r="M71" s="641">
        <f>INPUT!BJ611</f>
        <v>-2.9016277423920878</v>
      </c>
      <c r="N71" s="650">
        <f>INPUT!BK611</f>
        <v>272.5</v>
      </c>
      <c r="O71" s="641">
        <f>INPUT!BL611</f>
        <v>-3.5056657223795917</v>
      </c>
      <c r="P71" s="650">
        <f>INPUT!BM611</f>
        <v>269.39999999999998</v>
      </c>
      <c r="Q71" s="641">
        <f>INPUT!BN611</f>
        <v>-3.9229671897289542</v>
      </c>
      <c r="R71" s="650">
        <f>INPUT!BO611</f>
        <v>262.8</v>
      </c>
      <c r="S71" s="641">
        <f>INPUT!BP611</f>
        <v>-5.9749552772808574</v>
      </c>
      <c r="T71" s="650">
        <f>INPUT!BQ611</f>
        <v>259.60000000000002</v>
      </c>
      <c r="U71" s="641">
        <f>INPUT!BR611</f>
        <v>-5.393586005830886</v>
      </c>
      <c r="V71" s="650">
        <f>INPUT!BS611</f>
        <v>257.64499999999998</v>
      </c>
      <c r="W71" s="641">
        <f>INPUT!BT611</f>
        <v>-5.4513761467890003</v>
      </c>
      <c r="X71" s="650">
        <f>INPUT!BU611</f>
        <v>257.60000000000002</v>
      </c>
      <c r="Y71" s="641">
        <f>INPUT!BV611</f>
        <v>-4.3801039346696218</v>
      </c>
      <c r="Z71" s="650">
        <f>INPUT!BW611</f>
        <v>257.8</v>
      </c>
      <c r="AA71" s="641">
        <f>INPUT!BX611</f>
        <v>-1.9025875190258779</v>
      </c>
      <c r="AB71" s="650">
        <f>INPUT!BY611</f>
        <v>262.39999999999998</v>
      </c>
      <c r="AC71" s="641">
        <f>INPUT!BZ611</f>
        <v>1.0785824345146189</v>
      </c>
      <c r="AD71" s="650">
        <f>INPUT!CA611</f>
        <v>310</v>
      </c>
      <c r="AE71" s="641">
        <f>INPUT!CB611</f>
        <v>20.320596169147475</v>
      </c>
      <c r="AF71" s="650">
        <f>INPUT!CC611</f>
        <v>311.60000000000002</v>
      </c>
      <c r="AG71" s="641">
        <f>INPUT!CD611</f>
        <v>20.962732919254655</v>
      </c>
      <c r="AH71" s="650">
        <f>INPUT!CE611</f>
        <v>312.08</v>
      </c>
      <c r="AI71" s="641">
        <f>INPUT!CF611</f>
        <v>21.05508145849495</v>
      </c>
      <c r="AJ71" s="650">
        <f>INPUT!CG611</f>
        <v>314.60000000000002</v>
      </c>
      <c r="AK71" s="641">
        <f>INPUT!CH611</f>
        <v>19.893292682926855</v>
      </c>
      <c r="AL71" s="650">
        <f>INPUT!CI611</f>
        <v>325.7</v>
      </c>
      <c r="AM71" s="641">
        <f>INPUT!CJ611</f>
        <v>5.0645161290322482</v>
      </c>
      <c r="AN71" s="650">
        <f>INPUT!CK611</f>
        <v>323.39999999999998</v>
      </c>
      <c r="AO71" s="641">
        <f>INPUT!CL611</f>
        <v>3.7869062901155104</v>
      </c>
      <c r="AP71" s="650">
        <f>INPUT!CM611</f>
        <v>322.89999999999998</v>
      </c>
      <c r="AQ71" s="641">
        <f>INPUT!CN611</f>
        <v>3.4670597282747906</v>
      </c>
      <c r="AR71" s="650">
        <f>INPUT!CO611</f>
        <v>320.09999999999997</v>
      </c>
      <c r="AS71" s="641">
        <f>INPUT!CP611</f>
        <v>1.7482517482517279</v>
      </c>
      <c r="AT71" s="650">
        <f>INPUT!CQ611</f>
        <v>312</v>
      </c>
      <c r="AU71" s="641">
        <f>INPUT!CR611</f>
        <v>-4.2063248388087171</v>
      </c>
      <c r="AV71" s="650">
        <f>INPUT!CS611</f>
        <v>303.39999999999998</v>
      </c>
      <c r="AW71" s="641">
        <f>INPUT!CT611</f>
        <v>-6.1842918985776096</v>
      </c>
      <c r="AX71" s="650">
        <f>INPUT!CU611</f>
        <v>295.89999999999998</v>
      </c>
      <c r="AY71" s="641">
        <f>INPUT!CV611</f>
        <v>-8.3617218953236261</v>
      </c>
      <c r="AZ71" s="650">
        <f>INPUT!CW611</f>
        <v>290</v>
      </c>
      <c r="BA71" s="641">
        <f>INPUT!CX611</f>
        <v>-9.4033114651671301</v>
      </c>
      <c r="BB71" s="650">
        <f>INPUT!CY611</f>
        <v>284.7</v>
      </c>
      <c r="BC71" s="641">
        <f>INPUT!CZ611</f>
        <v>-8.7500000000000018</v>
      </c>
      <c r="BD71" s="650">
        <f>INPUT!DA611</f>
        <v>281.10000000000002</v>
      </c>
      <c r="BE71" s="641">
        <f>INPUT!DB611</f>
        <v>-7.3500329597890435</v>
      </c>
      <c r="BF71" s="650">
        <f>INPUT!DC611</f>
        <v>278.60000000000002</v>
      </c>
      <c r="BG71" s="641">
        <f>INPUT!DD611</f>
        <v>-5.8465697870902167</v>
      </c>
      <c r="BH71" s="650">
        <f>INPUT!DE611</f>
        <v>275.7</v>
      </c>
      <c r="BI71" s="641">
        <f>INPUT!DF611</f>
        <v>-4.9310344827586228</v>
      </c>
      <c r="BJ71" s="650">
        <f>INPUT!DG611</f>
        <v>273.7</v>
      </c>
      <c r="BK71" s="641">
        <f>INPUT!DH611</f>
        <v>-3.863716192483313</v>
      </c>
      <c r="BL71" s="650">
        <f>INPUT!DI611</f>
        <v>272.8</v>
      </c>
      <c r="BM71" s="641">
        <f>INPUT!DJ611</f>
        <v>-2.9526858769121311</v>
      </c>
      <c r="BN71" s="650">
        <f>INPUT!DK611</f>
        <v>272.10000000000002</v>
      </c>
      <c r="BO71" s="641">
        <f>INPUT!DL611</f>
        <v>-2.3330940416367518</v>
      </c>
      <c r="BP71" s="650">
        <f>INPUT!DM611</f>
        <v>268.89999999999998</v>
      </c>
      <c r="BQ71" s="641">
        <f>INPUT!DN611</f>
        <v>-2.4664490388103033</v>
      </c>
      <c r="BR71" s="650">
        <f>INPUT!DO611</f>
        <v>266.8</v>
      </c>
      <c r="BS71" s="641">
        <f>INPUT!DP611</f>
        <v>-2.5210084033613356</v>
      </c>
      <c r="BT71" s="650">
        <f>INPUT!DQ611</f>
        <v>263</v>
      </c>
      <c r="BU71" s="641">
        <f>INPUT!DR611</f>
        <v>-3.5923753665689229</v>
      </c>
      <c r="BV71" s="650">
        <f>INPUT!DS611</f>
        <v>260.60000000000002</v>
      </c>
      <c r="BW71" s="641">
        <f>INPUT!DT611</f>
        <v>-4.2263873575891235</v>
      </c>
      <c r="BX71" s="650">
        <f>INPUT!DU611</f>
        <v>254.9</v>
      </c>
      <c r="BY71" s="641">
        <f>INPUT!DV611</f>
        <v>-5.2063964298995842</v>
      </c>
      <c r="BZ71" s="650">
        <f>INPUT!DW611</f>
        <v>253.2</v>
      </c>
      <c r="CA71" s="641">
        <f>INPUT!DX611</f>
        <v>253.2</v>
      </c>
      <c r="CB71" s="650">
        <f>INPUT!DY611</f>
        <v>248.9</v>
      </c>
      <c r="CC71" s="641">
        <f>INPUT!DZ611</f>
        <v>-5.3612167300380209</v>
      </c>
      <c r="CD71" s="650">
        <f>INPUT!EA611</f>
        <v>245.1</v>
      </c>
      <c r="CE71" s="641">
        <f>INPUT!EB611</f>
        <v>-5.9478127398311713</v>
      </c>
      <c r="CF71" s="650">
        <f>INPUT!EC611</f>
        <v>239.9</v>
      </c>
      <c r="CG71" s="641">
        <f>INPUT!ED611</f>
        <v>-5.8846606512357731</v>
      </c>
      <c r="CH71" s="650">
        <f>INPUT!EE611</f>
        <v>233.6</v>
      </c>
      <c r="CI71" s="641">
        <f>INPUT!EF611</f>
        <v>-7.7409162717219537</v>
      </c>
      <c r="CJ71" s="650">
        <f>INPUT!EG611</f>
        <v>230.9</v>
      </c>
      <c r="CK71" s="641">
        <f>INPUT!EH611</f>
        <v>-7.2318200080353501</v>
      </c>
      <c r="CL71" s="650">
        <f>INPUT!EI611</f>
        <v>230.1</v>
      </c>
      <c r="CM71" s="641">
        <f>INPUT!EJ611</f>
        <v>-6.1199510403916797</v>
      </c>
      <c r="CN71" s="650">
        <f>INPUT!EK611</f>
        <v>227.15</v>
      </c>
      <c r="CO71" s="641">
        <f>INPUT!EL611</f>
        <v>-5.3147144643601489</v>
      </c>
      <c r="CP71" s="650">
        <f>INPUT!EM611</f>
        <v>223.9</v>
      </c>
      <c r="CQ71" s="641">
        <f>INPUT!EN611</f>
        <v>-4.1523972602739656</v>
      </c>
      <c r="CR71" s="650">
        <f>INPUT!EO611</f>
        <v>221.9</v>
      </c>
      <c r="CS71" s="641">
        <f>INPUT!EP611</f>
        <v>-3.8977912516240831</v>
      </c>
      <c r="CT71" s="650">
        <f>INPUT!EQ611</f>
        <v>221.3</v>
      </c>
      <c r="CU71" s="641">
        <f>INPUT!ER611</f>
        <v>-3.8244241634072029</v>
      </c>
      <c r="CV71" s="650">
        <f>INPUT!ES611</f>
        <v>221.3</v>
      </c>
      <c r="CW71" s="641">
        <f>INPUT!ET611</f>
        <v>-2.5753907109839269</v>
      </c>
      <c r="CX71" s="650">
        <f>INPUT!EU611</f>
        <v>220.80731694359022</v>
      </c>
      <c r="CY71" s="641">
        <f>INPUT!EV611</f>
        <v>-1.3812787210405464</v>
      </c>
      <c r="CZ71" s="650">
        <f>INPUT!EW611</f>
        <v>219.8316322187685</v>
      </c>
      <c r="DA71" s="641">
        <f>INPUT!EX611</f>
        <v>-0.93211707130756993</v>
      </c>
      <c r="DB71" s="640"/>
      <c r="DC71" s="650">
        <f>INPUT!FP611</f>
        <v>176.1</v>
      </c>
      <c r="DD71" s="641">
        <f>INPUT!FQ611</f>
        <v>-8.909866804603638</v>
      </c>
      <c r="DE71" s="650">
        <f>INPUT!FR611</f>
        <v>255.82499999999999</v>
      </c>
      <c r="DF71" s="641">
        <f>INPUT!FS611</f>
        <v>45.272572402044297</v>
      </c>
      <c r="DG71" s="650">
        <f>INPUT!FT611</f>
        <v>273.95</v>
      </c>
      <c r="DH71" s="641">
        <f>INPUT!FU611</f>
        <v>7.084921332942451</v>
      </c>
      <c r="DI71" s="650">
        <f>INPUT!FV611</f>
        <v>259.41125</v>
      </c>
      <c r="DJ71" s="641">
        <f>INPUT!FW611</f>
        <v>-5.3070815842306995</v>
      </c>
      <c r="DK71" s="650">
        <f>INPUT!FX611</f>
        <v>285.45000000000005</v>
      </c>
      <c r="DL71" s="641">
        <f>INPUT!FY611</f>
        <v>10.037633294623905</v>
      </c>
      <c r="DM71" s="650">
        <f>INPUT!FZ611</f>
        <v>318.94500000000005</v>
      </c>
      <c r="DN71" s="641">
        <f>INPUT!GA611</f>
        <v>11.734104046242777</v>
      </c>
      <c r="DO71" s="650">
        <f>INPUT!GB611</f>
        <v>315</v>
      </c>
      <c r="DP71" s="641">
        <f>INPUT!GC611</f>
        <v>-1.2368903729483294</v>
      </c>
      <c r="DQ71" s="650">
        <f>INPUT!GD611</f>
        <v>287.60000000000002</v>
      </c>
      <c r="DR71" s="641">
        <f>INPUT!GE611</f>
        <v>-8.6984126984126942</v>
      </c>
      <c r="DS71" s="650">
        <f>INPUT!GF611</f>
        <v>275.2</v>
      </c>
      <c r="DT71" s="641">
        <f>INPUT!GG611</f>
        <v>-4.3115438108484172</v>
      </c>
      <c r="DU71" s="650">
        <f>INPUT!GH611</f>
        <v>268</v>
      </c>
      <c r="DV71" s="641">
        <f>INPUT!GI611</f>
        <v>-2.6162790697674354</v>
      </c>
      <c r="DW71" s="650">
        <f>INPUT!GJ611</f>
        <v>254.4</v>
      </c>
      <c r="DX71" s="641">
        <f>INPUT!GK611</f>
        <v>-5.0746268656716387</v>
      </c>
      <c r="DY71" s="650">
        <f>INPUT!GL611</f>
        <v>237.375</v>
      </c>
      <c r="DZ71" s="641">
        <f>INPUT!GM611</f>
        <v>-6.6922169811320824</v>
      </c>
      <c r="EA71" s="650">
        <f>INPUT!GN611</f>
        <v>225.76249999999999</v>
      </c>
      <c r="EB71" s="641">
        <f>INPUT!GO611</f>
        <v>-4.8920484465508229</v>
      </c>
      <c r="EC71" s="650">
        <f>INPUT!GP611</f>
        <v>220.80973729058968</v>
      </c>
      <c r="ED71" s="641">
        <f>INPUT!GQ611</f>
        <v>-2.1937933489442729</v>
      </c>
      <c r="EE71" s="650">
        <f>INPUT!GR611</f>
        <v>217.02037471840566</v>
      </c>
      <c r="EF71" s="641">
        <f>INPUT!GS611</f>
        <v>-1.7161211360879225</v>
      </c>
      <c r="EG71" s="650">
        <f>INPUT!GT611</f>
        <v>212.37609765889641</v>
      </c>
      <c r="EH71" s="641">
        <f>INPUT!GU611</f>
        <v>-2.1400189109135104</v>
      </c>
      <c r="EI71" s="650">
        <f>INPUT!GV611</f>
        <v>206.96280534855109</v>
      </c>
      <c r="EJ71" s="641">
        <f>INPUT!GW611</f>
        <v>-2.5489178725940143</v>
      </c>
      <c r="EK71" s="650">
        <f>INPUT!GX611</f>
        <v>201.47313616672798</v>
      </c>
      <c r="EL71" s="641">
        <f>INPUT!GY611</f>
        <v>-2.6524907084525706</v>
      </c>
      <c r="EM71" s="852">
        <f>INPUT!GZ611</f>
        <v>-2.2508322968391226</v>
      </c>
    </row>
    <row r="72" spans="1:152" ht="12.75" customHeight="1" x14ac:dyDescent="0.2">
      <c r="A72" s="851"/>
      <c r="B72" s="640"/>
      <c r="C72" s="641"/>
      <c r="D72" s="640"/>
      <c r="E72" s="641"/>
      <c r="F72" s="640"/>
      <c r="G72" s="641"/>
      <c r="H72" s="640"/>
      <c r="I72" s="641"/>
      <c r="J72" s="640"/>
      <c r="K72" s="641"/>
      <c r="L72" s="640"/>
      <c r="M72" s="641"/>
      <c r="N72" s="640"/>
      <c r="O72" s="641"/>
      <c r="P72" s="640"/>
      <c r="Q72" s="641"/>
      <c r="R72" s="640"/>
      <c r="S72" s="641"/>
      <c r="T72" s="640"/>
      <c r="U72" s="641"/>
      <c r="V72" s="640"/>
      <c r="W72" s="641"/>
      <c r="X72" s="640"/>
      <c r="Y72" s="641"/>
      <c r="Z72" s="640"/>
      <c r="AA72" s="641"/>
      <c r="AB72" s="640"/>
      <c r="AC72" s="641"/>
      <c r="AD72" s="640"/>
      <c r="AE72" s="641"/>
      <c r="AF72" s="640"/>
      <c r="AG72" s="641"/>
      <c r="AH72" s="640"/>
      <c r="AI72" s="641"/>
      <c r="AJ72" s="640"/>
      <c r="AK72" s="641"/>
      <c r="AL72" s="640"/>
      <c r="AM72" s="641"/>
      <c r="AN72" s="640"/>
      <c r="AO72" s="641"/>
      <c r="AP72" s="640"/>
      <c r="AQ72" s="641"/>
      <c r="AR72" s="640"/>
      <c r="AS72" s="641"/>
      <c r="AT72" s="640"/>
      <c r="AU72" s="641"/>
      <c r="AV72" s="640"/>
      <c r="AW72" s="641"/>
      <c r="AX72" s="640"/>
      <c r="AY72" s="641"/>
      <c r="AZ72" s="640"/>
      <c r="BA72" s="641"/>
      <c r="BB72" s="640"/>
      <c r="BC72" s="641"/>
      <c r="BD72" s="640"/>
      <c r="BE72" s="641"/>
      <c r="BF72" s="640"/>
      <c r="BG72" s="641"/>
      <c r="BH72" s="640"/>
      <c r="BI72" s="641"/>
      <c r="BJ72" s="640"/>
      <c r="BK72" s="641"/>
      <c r="BL72" s="640"/>
      <c r="BM72" s="641"/>
      <c r="BN72" s="640"/>
      <c r="BO72" s="641"/>
      <c r="BP72" s="640"/>
      <c r="BQ72" s="641"/>
      <c r="BR72" s="640"/>
      <c r="BS72" s="641"/>
      <c r="BT72" s="640"/>
      <c r="BU72" s="641"/>
      <c r="BV72" s="640"/>
      <c r="BW72" s="641"/>
      <c r="BX72" s="640"/>
      <c r="BY72" s="641"/>
      <c r="BZ72" s="640"/>
      <c r="CA72" s="641"/>
      <c r="CB72" s="640"/>
      <c r="CC72" s="641"/>
      <c r="CD72" s="640"/>
      <c r="CE72" s="641"/>
      <c r="CF72" s="640"/>
      <c r="CG72" s="641"/>
      <c r="CH72" s="640"/>
      <c r="CI72" s="641"/>
      <c r="CJ72" s="640"/>
      <c r="CK72" s="641"/>
      <c r="CL72" s="640"/>
      <c r="CM72" s="641"/>
      <c r="CN72" s="640"/>
      <c r="CO72" s="641"/>
      <c r="CP72" s="640"/>
      <c r="CQ72" s="641"/>
      <c r="CR72" s="640"/>
      <c r="CS72" s="641"/>
      <c r="CT72" s="640"/>
      <c r="CU72" s="641"/>
      <c r="CV72" s="640"/>
      <c r="CW72" s="641"/>
      <c r="CX72" s="640"/>
      <c r="CY72" s="641"/>
      <c r="CZ72" s="640"/>
      <c r="DA72" s="641"/>
      <c r="DB72" s="640"/>
      <c r="DC72" s="640"/>
      <c r="DD72" s="641"/>
      <c r="DE72" s="640"/>
      <c r="DF72" s="641"/>
      <c r="DG72" s="640"/>
      <c r="DH72" s="641"/>
      <c r="DI72" s="640"/>
      <c r="DJ72" s="641"/>
      <c r="DK72" s="640"/>
      <c r="DL72" s="641"/>
      <c r="DM72" s="640"/>
      <c r="DN72" s="641"/>
      <c r="DO72" s="640"/>
      <c r="DP72" s="641"/>
      <c r="DQ72" s="640"/>
      <c r="DR72" s="641"/>
      <c r="DS72" s="640"/>
      <c r="DT72" s="641"/>
      <c r="DU72" s="640"/>
      <c r="DV72" s="641"/>
      <c r="DW72" s="640"/>
      <c r="DX72" s="641"/>
      <c r="DY72" s="640"/>
      <c r="DZ72" s="641"/>
      <c r="EA72" s="640"/>
      <c r="EB72" s="641"/>
      <c r="EC72" s="640"/>
      <c r="ED72" s="641"/>
      <c r="EE72" s="640"/>
      <c r="EF72" s="641"/>
      <c r="EG72" s="640"/>
      <c r="EH72" s="641"/>
      <c r="EI72" s="640"/>
      <c r="EJ72" s="641"/>
      <c r="EK72" s="640"/>
      <c r="EL72" s="641"/>
      <c r="EM72" s="852"/>
    </row>
    <row r="73" spans="1:152" ht="12.75" customHeight="1" x14ac:dyDescent="0.2">
      <c r="A73" s="855" t="s">
        <v>661</v>
      </c>
      <c r="B73" s="640"/>
      <c r="C73" s="641"/>
      <c r="D73" s="640"/>
      <c r="E73" s="641"/>
      <c r="F73" s="640"/>
      <c r="G73" s="641"/>
      <c r="H73" s="640"/>
      <c r="I73" s="641"/>
      <c r="J73" s="640"/>
      <c r="K73" s="641"/>
      <c r="L73" s="640"/>
      <c r="M73" s="641"/>
      <c r="N73" s="640"/>
      <c r="O73" s="641"/>
      <c r="P73" s="640"/>
      <c r="Q73" s="641"/>
      <c r="R73" s="640"/>
      <c r="S73" s="641"/>
      <c r="T73" s="640"/>
      <c r="U73" s="641"/>
      <c r="V73" s="640"/>
      <c r="W73" s="641"/>
      <c r="X73" s="640"/>
      <c r="Y73" s="641"/>
      <c r="Z73" s="640"/>
      <c r="AA73" s="641"/>
      <c r="AB73" s="640"/>
      <c r="AC73" s="641"/>
      <c r="AD73" s="640"/>
      <c r="AE73" s="641"/>
      <c r="AF73" s="640"/>
      <c r="AG73" s="641"/>
      <c r="AH73" s="640"/>
      <c r="AI73" s="641"/>
      <c r="AJ73" s="640"/>
      <c r="AK73" s="641"/>
      <c r="AL73" s="640"/>
      <c r="AM73" s="641"/>
      <c r="AN73" s="640"/>
      <c r="AO73" s="641"/>
      <c r="AP73" s="640"/>
      <c r="AQ73" s="641"/>
      <c r="AR73" s="640"/>
      <c r="AS73" s="641"/>
      <c r="AT73" s="640"/>
      <c r="AU73" s="641"/>
      <c r="AV73" s="640"/>
      <c r="AW73" s="641"/>
      <c r="AX73" s="640"/>
      <c r="AY73" s="641"/>
      <c r="AZ73" s="640"/>
      <c r="BA73" s="641"/>
      <c r="BB73" s="640"/>
      <c r="BC73" s="641"/>
      <c r="BD73" s="640"/>
      <c r="BE73" s="641"/>
      <c r="BF73" s="640"/>
      <c r="BG73" s="641"/>
      <c r="BH73" s="640"/>
      <c r="BI73" s="641"/>
      <c r="BJ73" s="640"/>
      <c r="BK73" s="641"/>
      <c r="BL73" s="640"/>
      <c r="BM73" s="641"/>
      <c r="BN73" s="640"/>
      <c r="BO73" s="641"/>
      <c r="BP73" s="640"/>
      <c r="BQ73" s="641"/>
      <c r="BR73" s="640"/>
      <c r="BS73" s="641"/>
      <c r="BT73" s="640"/>
      <c r="BU73" s="641"/>
      <c r="BV73" s="640"/>
      <c r="BW73" s="641"/>
      <c r="BX73" s="640"/>
      <c r="BY73" s="641"/>
      <c r="BZ73" s="640"/>
      <c r="CA73" s="641"/>
      <c r="CB73" s="640"/>
      <c r="CC73" s="641"/>
      <c r="CD73" s="640"/>
      <c r="CE73" s="641"/>
      <c r="CF73" s="640"/>
      <c r="CG73" s="641"/>
      <c r="CH73" s="640"/>
      <c r="CI73" s="641"/>
      <c r="CJ73" s="640"/>
      <c r="CK73" s="641"/>
      <c r="CL73" s="640"/>
      <c r="CM73" s="641"/>
      <c r="CN73" s="640"/>
      <c r="CO73" s="641"/>
      <c r="CP73" s="640"/>
      <c r="CQ73" s="641"/>
      <c r="CR73" s="640"/>
      <c r="CS73" s="641"/>
      <c r="CT73" s="640"/>
      <c r="CU73" s="641"/>
      <c r="CV73" s="640"/>
      <c r="CW73" s="641"/>
      <c r="CX73" s="640"/>
      <c r="CY73" s="641"/>
      <c r="CZ73" s="640"/>
      <c r="DA73" s="641"/>
      <c r="DB73" s="640"/>
      <c r="DC73" s="640"/>
      <c r="DD73" s="641"/>
      <c r="DE73" s="640"/>
      <c r="DF73" s="641"/>
      <c r="DG73" s="640"/>
      <c r="DH73" s="641"/>
      <c r="DI73" s="640"/>
      <c r="DJ73" s="641"/>
      <c r="DK73" s="640"/>
      <c r="DL73" s="641"/>
      <c r="DM73" s="640"/>
      <c r="DN73" s="641"/>
      <c r="DO73" s="640"/>
      <c r="DP73" s="641"/>
      <c r="DQ73" s="640"/>
      <c r="DR73" s="641"/>
      <c r="DS73" s="640"/>
      <c r="DT73" s="641"/>
      <c r="DU73" s="640"/>
      <c r="DV73" s="641"/>
      <c r="DW73" s="640"/>
      <c r="DX73" s="641"/>
      <c r="DY73" s="640"/>
      <c r="DZ73" s="641"/>
      <c r="EA73" s="640"/>
      <c r="EB73" s="641"/>
      <c r="EC73" s="640"/>
      <c r="ED73" s="641"/>
      <c r="EE73" s="640"/>
      <c r="EF73" s="641"/>
      <c r="EG73" s="640"/>
      <c r="EH73" s="641"/>
      <c r="EI73" s="640"/>
      <c r="EJ73" s="641"/>
      <c r="EK73" s="640"/>
      <c r="EL73" s="641"/>
      <c r="EM73" s="852"/>
    </row>
    <row r="74" spans="1:152" ht="12.75" customHeight="1" x14ac:dyDescent="0.2">
      <c r="A74" s="851" t="str">
        <f>INPUT!B571</f>
        <v>Annuities</v>
      </c>
      <c r="B74" s="681">
        <f>INPUT!AY571</f>
        <v>26.886945254292193</v>
      </c>
      <c r="C74" s="641">
        <f>INPUT!AZ571</f>
        <v>12.818055074861201</v>
      </c>
      <c r="D74" s="681">
        <f>INPUT!BA571</f>
        <v>26.862731780207849</v>
      </c>
      <c r="E74" s="641">
        <f>INPUT!BB571</f>
        <v>61.063153934973698</v>
      </c>
      <c r="F74" s="681">
        <f>INPUT!BC571</f>
        <v>30.725915044681116</v>
      </c>
      <c r="G74" s="641">
        <f>INPUT!BD571</f>
        <v>-18.453421471416299</v>
      </c>
      <c r="H74" s="681">
        <f>INPUT!BE571</f>
        <v>33.495809308684535</v>
      </c>
      <c r="I74" s="641">
        <f>INPUT!BF571</f>
        <v>21.291207374684372</v>
      </c>
      <c r="J74" s="681">
        <f>INPUT!BG571</f>
        <v>34.741060419235495</v>
      </c>
      <c r="K74" s="641">
        <f>INPUT!BH571</f>
        <v>29.211630739975881</v>
      </c>
      <c r="L74" s="681">
        <f>INPUT!BI571</f>
        <v>35.571296581459805</v>
      </c>
      <c r="M74" s="641">
        <f>INPUT!BJ571</f>
        <v>32.418760952928572</v>
      </c>
      <c r="N74" s="681">
        <f>INPUT!BK571</f>
        <v>42.320310169997015</v>
      </c>
      <c r="O74" s="641">
        <f>INPUT!BL571</f>
        <v>37.734905887930495</v>
      </c>
      <c r="P74" s="681">
        <f>INPUT!BM571</f>
        <v>43.450210378681625</v>
      </c>
      <c r="Q74" s="641">
        <f>INPUT!BN571</f>
        <v>29.718347684216685</v>
      </c>
      <c r="R74" s="681">
        <f>INPUT!BO571</f>
        <v>35.435139573070607</v>
      </c>
      <c r="S74" s="641">
        <f>INPUT!BP571</f>
        <v>1.9978640417401161</v>
      </c>
      <c r="T74" s="681">
        <f>INPUT!BQ571</f>
        <v>37.653920933246937</v>
      </c>
      <c r="U74" s="641">
        <f>INPUT!BR571</f>
        <v>5.8547889785738771</v>
      </c>
      <c r="V74" s="681">
        <f>INPUT!BS571</f>
        <v>37.428571428571431</v>
      </c>
      <c r="W74" s="641">
        <f>INPUT!BT571</f>
        <v>-11.558844256518663</v>
      </c>
      <c r="X74" s="681">
        <f>INPUT!BU571</f>
        <v>35.203366058906006</v>
      </c>
      <c r="Y74" s="641">
        <f>INPUT!BV571</f>
        <v>-18.979987088444204</v>
      </c>
      <c r="Z74" s="681">
        <f>INPUT!BW571</f>
        <v>37.800511508951409</v>
      </c>
      <c r="AA74" s="641">
        <f>INPUT!BX571</f>
        <v>6.6752155187739026</v>
      </c>
      <c r="AB74" s="681">
        <f>INPUT!BY571</f>
        <v>31.548480463096944</v>
      </c>
      <c r="AC74" s="641">
        <f>INPUT!BZ571</f>
        <v>-16.214620732257202</v>
      </c>
      <c r="AD74" s="681">
        <f>INPUT!CA571</f>
        <v>30.400367098772531</v>
      </c>
      <c r="AE74" s="641">
        <f>INPUT!CB571</f>
        <v>-18.777645155951262</v>
      </c>
      <c r="AF74" s="681">
        <f>INPUT!CC571</f>
        <v>33.767100433767098</v>
      </c>
      <c r="AG74" s="641">
        <f>INPUT!CD571</f>
        <v>-4.0799099232033509</v>
      </c>
      <c r="AH74" s="681">
        <f>INPUT!CE571</f>
        <v>34.498587570621446</v>
      </c>
      <c r="AI74" s="641">
        <f>INPUT!CF571</f>
        <v>-8.7351303104669533</v>
      </c>
      <c r="AJ74" s="681">
        <f>INPUT!CG571</f>
        <v>34.8813209494324</v>
      </c>
      <c r="AK74" s="641">
        <f>INPUT!CH571</f>
        <v>10.564187046136709</v>
      </c>
      <c r="AL74" s="681">
        <f>INPUT!CI571</f>
        <v>40.518465909090892</v>
      </c>
      <c r="AM74" s="641">
        <f>INPUT!CJ571</f>
        <v>33.282817860205704</v>
      </c>
      <c r="AN74" s="681">
        <f>INPUT!CK571</f>
        <v>40.725806451612925</v>
      </c>
      <c r="AO74" s="641">
        <f>INPUT!CL571</f>
        <v>20.607946576565173</v>
      </c>
      <c r="AP74" s="681">
        <f>INPUT!CM571</f>
        <v>45.668720550924249</v>
      </c>
      <c r="AQ74" s="641">
        <f>INPUT!CN571</f>
        <v>32.378522620488795</v>
      </c>
      <c r="AR74" s="681">
        <f>INPUT!CO571</f>
        <v>44.963905122035072</v>
      </c>
      <c r="AS74" s="641">
        <f>INPUT!CP571</f>
        <v>28.905396636840219</v>
      </c>
      <c r="AT74" s="681">
        <f>INPUT!CQ571</f>
        <v>39.405560882070958</v>
      </c>
      <c r="AU74" s="641">
        <f>INPUT!CR571</f>
        <v>-2.746661311207832</v>
      </c>
      <c r="AV74" s="681">
        <f>INPUT!CS571</f>
        <v>46.785714285714285</v>
      </c>
      <c r="AW74" s="641">
        <f>INPUT!CT571</f>
        <v>14.879773691654808</v>
      </c>
      <c r="AX74" s="681">
        <f>INPUT!CU571</f>
        <v>46.757679180887372</v>
      </c>
      <c r="AY74" s="641">
        <f>INPUT!CV571</f>
        <v>2.3844736984668602</v>
      </c>
      <c r="AZ74" s="681">
        <f>INPUT!CW571</f>
        <v>49.491525423728817</v>
      </c>
      <c r="BA74" s="641">
        <f>INPUT!CX571</f>
        <v>10.069455242834181</v>
      </c>
      <c r="BB74" s="681">
        <f>INPUT!CY571</f>
        <v>45.121951219512198</v>
      </c>
      <c r="BC74" s="641">
        <f>INPUT!CZ571</f>
        <v>14.506557474333848</v>
      </c>
      <c r="BD74" s="681">
        <f>INPUT!DA571</f>
        <v>50.993377483443716</v>
      </c>
      <c r="BE74" s="641">
        <f>INPUT!DB571</f>
        <v>8.9934785905667169</v>
      </c>
      <c r="BF74" s="681">
        <f>INPUT!DC571</f>
        <v>53.266688554027162</v>
      </c>
      <c r="BG74" s="641">
        <f>INPUT!DD571</f>
        <v>13.920728075401168</v>
      </c>
      <c r="BH74" s="681">
        <f>INPUT!DE571</f>
        <v>56.024096385542165</v>
      </c>
      <c r="BI74" s="641">
        <f>INPUT!DF571</f>
        <v>13.199372833800949</v>
      </c>
      <c r="BJ74" s="681">
        <f>INPUT!DG571</f>
        <v>57.227138643067846</v>
      </c>
      <c r="BK74" s="641">
        <f>INPUT!DH571</f>
        <v>26.827712668420634</v>
      </c>
      <c r="BL74" s="681">
        <f>INPUT!DI571</f>
        <v>56.582633053221286</v>
      </c>
      <c r="BM74" s="641">
        <f>INPUT!DJ571</f>
        <v>10.960747935537828</v>
      </c>
      <c r="BN74" s="681">
        <f>INPUT!DK571</f>
        <v>59.340659340659343</v>
      </c>
      <c r="BO74" s="641">
        <f>INPUT!DL571</f>
        <v>11.402944225585742</v>
      </c>
      <c r="BP74" s="681">
        <f>INPUT!DM571</f>
        <v>59.114583333333336</v>
      </c>
      <c r="BQ74" s="641">
        <f>INPUT!DN571</f>
        <v>5.5163530465949906</v>
      </c>
      <c r="BR74" s="681">
        <f>INPUT!DO571</f>
        <v>57.67326732673267</v>
      </c>
      <c r="BS74" s="641">
        <f>INPUT!DP571</f>
        <v>0.77957538021842243</v>
      </c>
      <c r="BT74" s="681">
        <f>INPUT!DQ571</f>
        <v>61.240310077519375</v>
      </c>
      <c r="BU74" s="641">
        <f>INPUT!DR571</f>
        <v>8.2316371172000977</v>
      </c>
      <c r="BV74" s="681">
        <f>INPUT!DS571</f>
        <v>67.897727272727266</v>
      </c>
      <c r="BW74" s="641">
        <f>INPUT!DT571</f>
        <v>14.420244107744097</v>
      </c>
      <c r="BX74" s="681">
        <f>INPUT!DU571</f>
        <v>67.282321899736147</v>
      </c>
      <c r="BY74" s="641">
        <f>INPUT!DV571</f>
        <v>13.816791231271708</v>
      </c>
      <c r="BZ74" s="681">
        <f>INPUT!DW571</f>
        <v>60.260972716488723</v>
      </c>
      <c r="CA74" s="641">
        <f>INPUT!DX571</f>
        <v>60.260972716488723</v>
      </c>
      <c r="CB74" s="681">
        <f>INPUT!DY571</f>
        <v>63.612565445026178</v>
      </c>
      <c r="CC74" s="641">
        <f>INPUT!DZ571</f>
        <v>3.8736828152959202</v>
      </c>
      <c r="CD74" s="681">
        <f>INPUT!EA571</f>
        <v>61.325966850828728</v>
      </c>
      <c r="CE74" s="641">
        <f>INPUT!EB571</f>
        <v>-9.6789107468965963</v>
      </c>
      <c r="CF74" s="681">
        <f>INPUT!EC571</f>
        <v>63.002680965147448</v>
      </c>
      <c r="CG74" s="641">
        <f>INPUT!ED571</f>
        <v>-6.3607212321926117</v>
      </c>
      <c r="CH74" s="681">
        <f>INPUT!EE571</f>
        <v>60.470242468772959</v>
      </c>
      <c r="CI74" s="641">
        <f>INPUT!EF571</f>
        <v>0.34727244325907236</v>
      </c>
      <c r="CJ74" s="681">
        <f>INPUT!EG571</f>
        <v>59.168704156479215</v>
      </c>
      <c r="CK74" s="641">
        <f>INPUT!EH571</f>
        <v>-6.9858230955758831</v>
      </c>
      <c r="CL74" s="681">
        <f>INPUT!EI571</f>
        <v>60.301507537688437</v>
      </c>
      <c r="CM74" s="641">
        <f>INPUT!EJ571</f>
        <v>-1.6705147358413774</v>
      </c>
      <c r="CN74" s="681">
        <f>INPUT!EK571</f>
        <v>59.904534606205253</v>
      </c>
      <c r="CO74" s="641">
        <f>INPUT!EL571</f>
        <v>-4.9174833697252733</v>
      </c>
      <c r="CP74" s="681">
        <f>INPUT!EM571</f>
        <v>60.438292964244525</v>
      </c>
      <c r="CQ74" s="641">
        <f>INPUT!EN571</f>
        <v>-5.2835085860514219E-2</v>
      </c>
      <c r="CR74" s="681">
        <f>INPUT!EO571</f>
        <v>60.227272727272727</v>
      </c>
      <c r="CS74" s="641">
        <f>INPUT!EP571</f>
        <v>1.7890683696468956</v>
      </c>
      <c r="CT74" s="681">
        <f>INPUT!EQ571</f>
        <v>64.768351843578614</v>
      </c>
      <c r="CU74" s="641">
        <f>INPUT!ER571</f>
        <v>7.4075168072678776</v>
      </c>
      <c r="CV74" s="681">
        <f>INPUT!ES571</f>
        <v>60.772537734292776</v>
      </c>
      <c r="CW74" s="641">
        <f>INPUT!ET571</f>
        <v>1.4489773333413281</v>
      </c>
      <c r="CX74" s="681">
        <f>INPUT!EU571</f>
        <v>59.181601709300224</v>
      </c>
      <c r="CY74" s="641">
        <f>INPUT!EV571</f>
        <v>-2.0792964084670018</v>
      </c>
      <c r="CZ74" s="681">
        <f>INPUT!EW571</f>
        <v>58.432191938040901</v>
      </c>
      <c r="DA74" s="641">
        <f>INPUT!EX571</f>
        <v>-2.9805114991019011</v>
      </c>
      <c r="DB74" s="640"/>
      <c r="DC74" s="681">
        <f>INPUT!FP571</f>
        <v>26.684111169617136</v>
      </c>
      <c r="DD74" s="641" t="str">
        <f>INPUT!FQ571</f>
        <v>NA</v>
      </c>
      <c r="DE74" s="681">
        <f>INPUT!FR571</f>
        <v>29.768229512551475</v>
      </c>
      <c r="DF74" s="641">
        <f>INPUT!FS571</f>
        <v>11.557882978864043</v>
      </c>
      <c r="DG74" s="681">
        <f>INPUT!FT571</f>
        <v>39.152807815646192</v>
      </c>
      <c r="DH74" s="641">
        <f>INPUT!FU571</f>
        <v>31.525483566759661</v>
      </c>
      <c r="DI74" s="681">
        <f>INPUT!FV571</f>
        <v>36.541155866900205</v>
      </c>
      <c r="DJ74" s="641">
        <f>INPUT!FW571</f>
        <v>-6.6704078058542731</v>
      </c>
      <c r="DK74" s="681">
        <f>INPUT!FX571</f>
        <v>33.194676403771773</v>
      </c>
      <c r="DL74" s="641">
        <f>INPUT!FY571</f>
        <v>-9.1581105844540271</v>
      </c>
      <c r="DM74" s="681">
        <f>INPUT!FZ571</f>
        <v>37.672361460411103</v>
      </c>
      <c r="DN74" s="641">
        <f>INPUT!GA571</f>
        <v>13.489166160783995</v>
      </c>
      <c r="DO74" s="681">
        <f>INPUT!GB571</f>
        <v>44.071742692075553</v>
      </c>
      <c r="DP74" s="641">
        <f>INPUT!GC571</f>
        <v>16.98693945265255</v>
      </c>
      <c r="DQ74" s="681">
        <f>INPUT!GD571</f>
        <v>48.029556650246306</v>
      </c>
      <c r="DR74" s="641">
        <f>INPUT!GE571</f>
        <v>8.9803890575046452</v>
      </c>
      <c r="DS74" s="681">
        <f>INPUT!GF571</f>
        <v>55.861373330378186</v>
      </c>
      <c r="DT74" s="641">
        <f>INPUT!GG571</f>
        <v>16.306243959659206</v>
      </c>
      <c r="DU74" s="681">
        <f>INPUT!GH571</f>
        <v>59.324236517218978</v>
      </c>
      <c r="DV74" s="641">
        <f>INPUT!GI571</f>
        <v>6.1990298132495791</v>
      </c>
      <c r="DW74" s="681">
        <f>INPUT!GJ571</f>
        <v>64.581296839361357</v>
      </c>
      <c r="DX74" s="641">
        <f>INPUT!GK571</f>
        <v>8.8615726569300399</v>
      </c>
      <c r="DY74" s="681">
        <f>INPUT!GL571</f>
        <v>60.93538620112092</v>
      </c>
      <c r="DZ74" s="641">
        <f>INPUT!GM571</f>
        <v>-5.6454590054288101</v>
      </c>
      <c r="EA74" s="681">
        <f>INPUT!GN571</f>
        <v>60.218870156758356</v>
      </c>
      <c r="EB74" s="641">
        <f>INPUT!GO571</f>
        <v>-1.1758619892842881</v>
      </c>
      <c r="EC74" s="681">
        <f>INPUT!GP571</f>
        <v>60.673401221271426</v>
      </c>
      <c r="ED74" s="641">
        <f>INPUT!GQ571</f>
        <v>0.75479839347676325</v>
      </c>
      <c r="EE74" s="681">
        <f>INPUT!GR571</f>
        <v>59.148895966737982</v>
      </c>
      <c r="EF74" s="641">
        <f>INPUT!GS571</f>
        <v>-2.5126418230184355</v>
      </c>
      <c r="EG74" s="681">
        <f>INPUT!GT571</f>
        <v>57.180580220464897</v>
      </c>
      <c r="EH74" s="641">
        <f>INPUT!GU571</f>
        <v>-3.3277303221009524</v>
      </c>
      <c r="EI74" s="681">
        <f>INPUT!GV571</f>
        <v>57.848613728040498</v>
      </c>
      <c r="EJ74" s="641">
        <f>INPUT!GW571</f>
        <v>1.168287388830147</v>
      </c>
      <c r="EK74" s="681">
        <f>INPUT!GX571</f>
        <v>58.588097003336827</v>
      </c>
      <c r="EL74" s="641">
        <f>INPUT!GY571</f>
        <v>1.2783076855960696</v>
      </c>
      <c r="EM74" s="852">
        <f>INPUT!GZ571</f>
        <v>-0.54757944444808748</v>
      </c>
    </row>
    <row r="75" spans="1:152" ht="12.75" customHeight="1" x14ac:dyDescent="0.2">
      <c r="A75" s="851" t="str">
        <f>INPUT!B572</f>
        <v>Defined Contributions</v>
      </c>
      <c r="B75" s="681">
        <f>INPUT!AY572</f>
        <v>21.258503401360542</v>
      </c>
      <c r="C75" s="641">
        <f>INPUT!AZ572</f>
        <v>5.8064633968145651</v>
      </c>
      <c r="D75" s="681">
        <f>INPUT!BA572</f>
        <v>17.761325816749306</v>
      </c>
      <c r="E75" s="641">
        <f>INPUT!BB572</f>
        <v>-23.597676983902392</v>
      </c>
      <c r="F75" s="681">
        <f>INPUT!BC572</f>
        <v>14.84269800465173</v>
      </c>
      <c r="G75" s="641">
        <f>INPUT!BD572</f>
        <v>52.549466658985807</v>
      </c>
      <c r="H75" s="681">
        <f>INPUT!BE572</f>
        <v>14.147298341556199</v>
      </c>
      <c r="I75" s="641">
        <f>INPUT!BF572</f>
        <v>-19.643658413286889</v>
      </c>
      <c r="J75" s="681">
        <f>INPUT!BG572</f>
        <v>15.320591861898889</v>
      </c>
      <c r="K75" s="641">
        <f>INPUT!BH572</f>
        <v>-27.931935881627624</v>
      </c>
      <c r="L75" s="681">
        <f>INPUT!BI572</f>
        <v>15.183246073298431</v>
      </c>
      <c r="M75" s="641">
        <f>INPUT!BJ572</f>
        <v>-14.515131190373697</v>
      </c>
      <c r="N75" s="681">
        <f>INPUT!BK572</f>
        <v>13.182224873247836</v>
      </c>
      <c r="O75" s="641">
        <f>INPUT!BL572</f>
        <v>-11.187138152938891</v>
      </c>
      <c r="P75" s="681">
        <f>INPUT!BM572</f>
        <v>12.0897615708275</v>
      </c>
      <c r="Q75" s="641">
        <f>INPUT!BN572</f>
        <v>-14.543672728558366</v>
      </c>
      <c r="R75" s="681">
        <f>INPUT!BO572</f>
        <v>13.924466338259437</v>
      </c>
      <c r="S75" s="641">
        <f>INPUT!BP572</f>
        <v>-9.1127388303548944</v>
      </c>
      <c r="T75" s="681">
        <f>INPUT!BQ572</f>
        <v>13.383020090732337</v>
      </c>
      <c r="U75" s="641">
        <f>INPUT!BR572</f>
        <v>-11.856660781728412</v>
      </c>
      <c r="V75" s="681">
        <f>INPUT!BS572</f>
        <v>13.36507936507936</v>
      </c>
      <c r="W75" s="641">
        <f>INPUT!BT572</f>
        <v>1.3871292106585997</v>
      </c>
      <c r="X75" s="681">
        <f>INPUT!BU572</f>
        <v>11.640953716690044</v>
      </c>
      <c r="Y75" s="641">
        <f>INPUT!BV572</f>
        <v>-3.7122969837587672</v>
      </c>
      <c r="Z75" s="681">
        <f>INPUT!BW572</f>
        <v>15.242966751918141</v>
      </c>
      <c r="AA75" s="641">
        <f>INPUT!BX572</f>
        <v>9.4689475462046211</v>
      </c>
      <c r="AB75" s="681">
        <f>INPUT!BY572</f>
        <v>13.362276893391215</v>
      </c>
      <c r="AC75" s="641">
        <f>INPUT!BZ572</f>
        <v>-0.15499638497507018</v>
      </c>
      <c r="AD75" s="681">
        <f>INPUT!CA572</f>
        <v>14.378035256777954</v>
      </c>
      <c r="AE75" s="641">
        <f>INPUT!CB572</f>
        <v>7.5791236552270158</v>
      </c>
      <c r="AF75" s="681">
        <f>INPUT!CC572</f>
        <v>12.112112112112104</v>
      </c>
      <c r="AG75" s="641">
        <f>INPUT!CD572</f>
        <v>4.0474209148907203</v>
      </c>
      <c r="AH75" s="681">
        <f>INPUT!CE572</f>
        <v>12.676553672316379</v>
      </c>
      <c r="AI75" s="641">
        <f>INPUT!CF572</f>
        <v>-16.83670325711897</v>
      </c>
      <c r="AJ75" s="681">
        <f>INPUT!CG572</f>
        <v>12.383900928792576</v>
      </c>
      <c r="AK75" s="641">
        <f>INPUT!CH572</f>
        <v>-7.3219255401190564</v>
      </c>
      <c r="AL75" s="681">
        <f>INPUT!CI572</f>
        <v>13.778409090909093</v>
      </c>
      <c r="AM75" s="641">
        <f>INPUT!CJ572</f>
        <v>-4.1704318786267454</v>
      </c>
      <c r="AN75" s="681">
        <f>INPUT!CK572</f>
        <v>11.962365591397859</v>
      </c>
      <c r="AO75" s="641">
        <f>INPUT!CL572</f>
        <v>-1.2363369768060406</v>
      </c>
      <c r="AP75" s="681">
        <f>INPUT!CM572</f>
        <v>14.026821312069583</v>
      </c>
      <c r="AQ75" s="641">
        <f>INPUT!CN572</f>
        <v>10.651693470142277</v>
      </c>
      <c r="AR75" s="681">
        <f>INPUT!CO572</f>
        <v>13.544173255414238</v>
      </c>
      <c r="AS75" s="641">
        <f>INPUT!CP572</f>
        <v>9.3691990374699117</v>
      </c>
      <c r="AT75" s="681">
        <f>INPUT!CQ572</f>
        <v>11.569191434963251</v>
      </c>
      <c r="AU75" s="641">
        <f>INPUT!CR572</f>
        <v>-16.03390958542137</v>
      </c>
      <c r="AV75" s="681">
        <f>INPUT!CS572</f>
        <v>11.785714285714285</v>
      </c>
      <c r="AW75" s="641">
        <f>INPUT!CT572</f>
        <v>-1.4767255216694308</v>
      </c>
      <c r="AX75" s="681">
        <f>INPUT!CU572</f>
        <v>11.945392491467576</v>
      </c>
      <c r="AY75" s="641">
        <f>INPUT!CV572</f>
        <v>-14.838920196488214</v>
      </c>
      <c r="AZ75" s="681">
        <f>INPUT!CW572</f>
        <v>11.525423728813559</v>
      </c>
      <c r="BA75" s="641">
        <f>INPUT!CX572</f>
        <v>-14.904929880409579</v>
      </c>
      <c r="BB75" s="681">
        <f>INPUT!CY572</f>
        <v>9.7560975609756095</v>
      </c>
      <c r="BC75" s="641">
        <f>INPUT!CZ572</f>
        <v>-15.67174235278268</v>
      </c>
      <c r="BD75" s="681">
        <f>INPUT!DA572</f>
        <v>10.596026490066226</v>
      </c>
      <c r="BE75" s="641">
        <f>INPUT!DB572</f>
        <v>-10.094320690347169</v>
      </c>
      <c r="BF75" s="681">
        <f>INPUT!DC572</f>
        <v>11.05535045460941</v>
      </c>
      <c r="BG75" s="641">
        <f>INPUT!DD572</f>
        <v>-7.450923337126925</v>
      </c>
      <c r="BH75" s="681">
        <f>INPUT!DE572</f>
        <v>10.240963855421686</v>
      </c>
      <c r="BI75" s="641">
        <f>INPUT!DF572</f>
        <v>-11.144578313253017</v>
      </c>
      <c r="BJ75" s="681">
        <f>INPUT!DG572</f>
        <v>9.7345132743362832</v>
      </c>
      <c r="BK75" s="641">
        <f>INPUT!DH572</f>
        <v>-0.22123893805309214</v>
      </c>
      <c r="BL75" s="681">
        <f>INPUT!DI572</f>
        <v>9.5238095238095237</v>
      </c>
      <c r="BM75" s="641">
        <f>INPUT!DJ572</f>
        <v>-10.119047619047628</v>
      </c>
      <c r="BN75" s="681">
        <f>INPUT!DK572</f>
        <v>10.714285714285714</v>
      </c>
      <c r="BO75" s="641">
        <f>INPUT!DL572</f>
        <v>-3.0850649350649406</v>
      </c>
      <c r="BP75" s="681">
        <f>INPUT!DM572</f>
        <v>10.15625</v>
      </c>
      <c r="BQ75" s="641">
        <f>INPUT!DN572</f>
        <v>-0.82720588235293269</v>
      </c>
      <c r="BR75" s="681">
        <f>INPUT!DO572</f>
        <v>9.9009900990099009</v>
      </c>
      <c r="BS75" s="641">
        <f>INPUT!DP572</f>
        <v>1.7101710171017137</v>
      </c>
      <c r="BT75" s="681">
        <f>INPUT!DQ572</f>
        <v>10.852713178294573</v>
      </c>
      <c r="BU75" s="641">
        <f>INPUT!DR572</f>
        <v>13.953488372093027</v>
      </c>
      <c r="BV75" s="681">
        <f>INPUT!DS572</f>
        <v>9.9431818181818183</v>
      </c>
      <c r="BW75" s="641">
        <f>INPUT!DT572</f>
        <v>-7.1969696969696901</v>
      </c>
      <c r="BX75" s="681">
        <f>INPUT!DU572</f>
        <v>7.9155672823219003</v>
      </c>
      <c r="BY75" s="641">
        <f>INPUT!DV572</f>
        <v>-22.06210675867667</v>
      </c>
      <c r="BZ75" s="681">
        <f>INPUT!DW572</f>
        <v>9.4899169632265714</v>
      </c>
      <c r="CA75" s="641">
        <f>INPUT!DX572</f>
        <v>9.4899169632265714</v>
      </c>
      <c r="CB75" s="681">
        <f>INPUT!DY572</f>
        <v>8.6387434554973819</v>
      </c>
      <c r="CC75" s="641">
        <f>INPUT!DZ572</f>
        <v>-20.400149588631265</v>
      </c>
      <c r="CD75" s="681">
        <f>INPUT!EA572</f>
        <v>9.6685082872928181</v>
      </c>
      <c r="CE75" s="641">
        <f>INPUT!EB572</f>
        <v>-2.7624309392265123</v>
      </c>
      <c r="CF75" s="681">
        <f>INPUT!EC572</f>
        <v>8.310991957104557</v>
      </c>
      <c r="CG75" s="641">
        <f>INPUT!ED572</f>
        <v>4.9955317247542208</v>
      </c>
      <c r="CH75" s="681">
        <f>INPUT!EE572</f>
        <v>7.5679647318148415</v>
      </c>
      <c r="CI75" s="641">
        <f>INPUT!EF572</f>
        <v>-20.252571638501106</v>
      </c>
      <c r="CJ75" s="681">
        <f>INPUT!EG572</f>
        <v>8.3129584352078236</v>
      </c>
      <c r="CK75" s="641">
        <f>INPUT!EH572</f>
        <v>-3.77120841668519</v>
      </c>
      <c r="CL75" s="681">
        <f>INPUT!EI572</f>
        <v>8.7939698492462313</v>
      </c>
      <c r="CM75" s="641">
        <f>INPUT!EJ572</f>
        <v>-9.0452261306532726</v>
      </c>
      <c r="CN75" s="681">
        <f>INPUT!EK572</f>
        <v>8.8305489260143197</v>
      </c>
      <c r="CO75" s="641">
        <f>INPUT!EL572</f>
        <v>6.2514435291400439</v>
      </c>
      <c r="CP75" s="681">
        <f>INPUT!EM572</f>
        <v>8.3044982698961931</v>
      </c>
      <c r="CQ75" s="641">
        <f>INPUT!EN572</f>
        <v>9.7322538381429133</v>
      </c>
      <c r="CR75" s="681">
        <f>INPUT!EO572</f>
        <v>9.3181818181818183</v>
      </c>
      <c r="CS75" s="641">
        <f>INPUT!EP572</f>
        <v>12.092245989304828</v>
      </c>
      <c r="CT75" s="681">
        <f>INPUT!EQ572</f>
        <v>10.347995248588795</v>
      </c>
      <c r="CU75" s="641">
        <f>INPUT!ER572</f>
        <v>17.671488826809735</v>
      </c>
      <c r="CV75" s="681">
        <f>INPUT!ES572</f>
        <v>9.7184358344554056</v>
      </c>
      <c r="CW75" s="641">
        <f>INPUT!ET572</f>
        <v>10.054719314508521</v>
      </c>
      <c r="CX75" s="681">
        <f>INPUT!EU572</f>
        <v>9.4359542693987919</v>
      </c>
      <c r="CY75" s="641">
        <f>INPUT!EV572</f>
        <v>13.624615994010458</v>
      </c>
      <c r="CZ75" s="681">
        <f>INPUT!EW572</f>
        <v>9.2423362118944965</v>
      </c>
      <c r="DA75" s="641">
        <f>INPUT!EX572</f>
        <v>-0.81395284796150769</v>
      </c>
      <c r="DB75" s="640"/>
      <c r="DC75" s="681">
        <f>INPUT!FP572</f>
        <v>17.567135660135701</v>
      </c>
      <c r="DD75" s="641" t="str">
        <f>INPUT!FQ572</f>
        <v>NA</v>
      </c>
      <c r="DE75" s="681">
        <f>INPUT!FR572</f>
        <v>16.677181564616813</v>
      </c>
      <c r="DF75" s="641">
        <f>INPUT!FS572</f>
        <v>-5.0660170942860123</v>
      </c>
      <c r="DG75" s="681">
        <f>INPUT!FT572</f>
        <v>13.893653516295029</v>
      </c>
      <c r="DH75" s="641">
        <f>INPUT!FU572</f>
        <v>-16.690638268443781</v>
      </c>
      <c r="DI75" s="681">
        <f>INPUT!FV572</f>
        <v>13.196147110332749</v>
      </c>
      <c r="DJ75" s="641">
        <f>INPUT!FW572</f>
        <v>-5.0203238848889997</v>
      </c>
      <c r="DK75" s="681">
        <f>INPUT!FX572</f>
        <v>13.630563998298781</v>
      </c>
      <c r="DL75" s="641">
        <f>INPUT!FY572</f>
        <v>3.2919979167697955</v>
      </c>
      <c r="DM75" s="681">
        <f>INPUT!FZ572</f>
        <v>12.687537941201988</v>
      </c>
      <c r="DN75" s="641">
        <f>INPUT!GA572</f>
        <v>-6.918466889664221</v>
      </c>
      <c r="DO75" s="681">
        <f>INPUT!GB572</f>
        <v>12.701560748469431</v>
      </c>
      <c r="DP75" s="641">
        <f>INPUT!GC572</f>
        <v>0.11052425878392835</v>
      </c>
      <c r="DQ75" s="681">
        <f>INPUT!GD572</f>
        <v>10.919540229885058</v>
      </c>
      <c r="DR75" s="641">
        <f>INPUT!GE572</f>
        <v>-14.029933437897469</v>
      </c>
      <c r="DS75" s="681">
        <f>INPUT!GF572</f>
        <v>10.101786810081885</v>
      </c>
      <c r="DT75" s="641">
        <f>INPUT!GG572</f>
        <v>-7.48889973925011</v>
      </c>
      <c r="DU75" s="681">
        <f>INPUT!GH572</f>
        <v>10.396361273554255</v>
      </c>
      <c r="DV75" s="641">
        <f>INPUT!GI572</f>
        <v>2.9160629600535337</v>
      </c>
      <c r="DW75" s="681">
        <f>INPUT!GJ572</f>
        <v>8.9931573802541553</v>
      </c>
      <c r="DX75" s="641">
        <f>INPUT!GK572</f>
        <v>-13.497067448680333</v>
      </c>
      <c r="DY75" s="681">
        <f>INPUT!GL572</f>
        <v>8.4326483282870583</v>
      </c>
      <c r="DZ75" s="641">
        <f>INPUT!GM572</f>
        <v>-6.2326169582863074</v>
      </c>
      <c r="EA75" s="681">
        <f>INPUT!GN572</f>
        <v>8.8139603667553974</v>
      </c>
      <c r="EB75" s="641">
        <f>INPUT!GO572</f>
        <v>4.5218539137845903</v>
      </c>
      <c r="EC75" s="681">
        <f>INPUT!GP572</f>
        <v>9.6662859322464154</v>
      </c>
      <c r="ED75" s="641">
        <f>INPUT!GQ572</f>
        <v>9.6701769695474162</v>
      </c>
      <c r="EE75" s="681">
        <f>INPUT!GR572</f>
        <v>9.2970651290485051</v>
      </c>
      <c r="EF75" s="641">
        <f>INPUT!GS572</f>
        <v>-3.8196759933016411</v>
      </c>
      <c r="EG75" s="681">
        <f>INPUT!GT572</f>
        <v>8.7446579610839628</v>
      </c>
      <c r="EH75" s="641">
        <f>INPUT!GU572</f>
        <v>-5.941737099792455</v>
      </c>
      <c r="EI75" s="681">
        <f>INPUT!GV572</f>
        <v>8.6005223130154569</v>
      </c>
      <c r="EJ75" s="641">
        <f>INPUT!GW572</f>
        <v>-1.6482708495855092</v>
      </c>
      <c r="EK75" s="681">
        <f>INPUT!GX572</f>
        <v>8.4584113598441846</v>
      </c>
      <c r="EL75" s="641">
        <f>INPUT!GY572</f>
        <v>-1.6523525897515712</v>
      </c>
      <c r="EM75" s="852">
        <f>INPUT!GZ572</f>
        <v>-0.82012837235250213</v>
      </c>
    </row>
    <row r="76" spans="1:152" ht="12.75" customHeight="1" x14ac:dyDescent="0.2">
      <c r="A76" s="855" t="str">
        <f>INPUT!B573</f>
        <v>Total Retirement Solutions</v>
      </c>
      <c r="B76" s="681">
        <f>INPUT!AY573</f>
        <v>48.145448655652743</v>
      </c>
      <c r="C76" s="641">
        <f>INPUT!AZ573</f>
        <v>9.6107877024796053</v>
      </c>
      <c r="D76" s="681">
        <f>INPUT!BA573</f>
        <v>44.624057596957158</v>
      </c>
      <c r="E76" s="641">
        <f>INPUT!BB573</f>
        <v>11.768351356245077</v>
      </c>
      <c r="F76" s="681">
        <f>INPUT!BC573</f>
        <v>45.568613049332846</v>
      </c>
      <c r="G76" s="641">
        <f>INPUT!BD573</f>
        <v>-3.8814001649756347</v>
      </c>
      <c r="H76" s="681">
        <f>INPUT!BE573</f>
        <v>47.643107650240744</v>
      </c>
      <c r="I76" s="641">
        <f>INPUT!BF573</f>
        <v>5.3544637604182377</v>
      </c>
      <c r="J76" s="681">
        <f>INPUT!BG573</f>
        <v>50.061652281134386</v>
      </c>
      <c r="K76" s="641">
        <f>INPUT!BH573</f>
        <v>3.9800306757691084</v>
      </c>
      <c r="L76" s="681">
        <f>INPUT!BI573</f>
        <v>50.754542654758239</v>
      </c>
      <c r="M76" s="641">
        <f>INPUT!BJ573</f>
        <v>13.738071766515269</v>
      </c>
      <c r="N76" s="681">
        <f>INPUT!BK573</f>
        <v>55.502535043244848</v>
      </c>
      <c r="O76" s="641">
        <f>INPUT!BL573</f>
        <v>21.799921764477403</v>
      </c>
      <c r="P76" s="681">
        <f>INPUT!BM573</f>
        <v>55.539971949509123</v>
      </c>
      <c r="Q76" s="641">
        <f>INPUT!BN573</f>
        <v>16.57504031273762</v>
      </c>
      <c r="R76" s="681">
        <f>INPUT!BO573</f>
        <v>49.359605911330043</v>
      </c>
      <c r="S76" s="641">
        <f>INPUT!BP573</f>
        <v>-1.4023635613579333</v>
      </c>
      <c r="T76" s="681">
        <f>INPUT!BQ573</f>
        <v>51.036941023979267</v>
      </c>
      <c r="U76" s="641">
        <f>INPUT!BR573</f>
        <v>0.55640018498828159</v>
      </c>
      <c r="V76" s="681">
        <f>INPUT!BS573</f>
        <v>50.793650793650777</v>
      </c>
      <c r="W76" s="641">
        <f>INPUT!BT573</f>
        <v>-8.4840886023046291</v>
      </c>
      <c r="X76" s="681">
        <f>INPUT!BU573</f>
        <v>46.844319775596048</v>
      </c>
      <c r="Y76" s="641">
        <f>INPUT!BV573</f>
        <v>-15.656565656565713</v>
      </c>
      <c r="Z76" s="681">
        <f>INPUT!BW573</f>
        <v>53.043478260869549</v>
      </c>
      <c r="AA76" s="641">
        <f>INPUT!BX573</f>
        <v>7.4633342011628745</v>
      </c>
      <c r="AB76" s="681">
        <f>INPUT!BY573</f>
        <v>44.910757356488155</v>
      </c>
      <c r="AC76" s="641">
        <f>INPUT!BZ573</f>
        <v>-12.003430347858778</v>
      </c>
      <c r="AD76" s="681">
        <f>INPUT!CA573</f>
        <v>44.778402355550483</v>
      </c>
      <c r="AE76" s="641">
        <f>INPUT!CB573</f>
        <v>-11.842520362509957</v>
      </c>
      <c r="AF76" s="681">
        <f>INPUT!CC573</f>
        <v>45.879212545879192</v>
      </c>
      <c r="AG76" s="641">
        <f>INPUT!CD573</f>
        <v>-2.0602438766111342</v>
      </c>
      <c r="AH76" s="681">
        <f>INPUT!CE573</f>
        <v>47.175141242937833</v>
      </c>
      <c r="AI76" s="641">
        <f>INPUT!CF573</f>
        <v>-11.063258312494217</v>
      </c>
      <c r="AJ76" s="681">
        <f>INPUT!CG573</f>
        <v>47.265221878224978</v>
      </c>
      <c r="AK76" s="641">
        <f>INPUT!CH573</f>
        <v>5.2425402293882151</v>
      </c>
      <c r="AL76" s="681">
        <f>INPUT!CI573</f>
        <v>54.296874999999986</v>
      </c>
      <c r="AM76" s="641">
        <f>INPUT!CJ573</f>
        <v>21.256838439367964</v>
      </c>
      <c r="AN76" s="681">
        <f>INPUT!CK573</f>
        <v>52.68817204301078</v>
      </c>
      <c r="AO76" s="641">
        <f>INPUT!CL573</f>
        <v>14.841055718475182</v>
      </c>
      <c r="AP76" s="681">
        <f>INPUT!CM573</f>
        <v>59.695541862993828</v>
      </c>
      <c r="AQ76" s="641">
        <f>INPUT!CN573</f>
        <v>26.540250416166611</v>
      </c>
      <c r="AR76" s="681">
        <f>INPUT!CO573</f>
        <v>58.508078377449316</v>
      </c>
      <c r="AS76" s="641">
        <f>INPUT!CP573</f>
        <v>23.786742243992109</v>
      </c>
      <c r="AT76" s="681">
        <f>INPUT!CQ573</f>
        <v>50.974752317034209</v>
      </c>
      <c r="AU76" s="641">
        <f>INPUT!CR573</f>
        <v>-6.118441775821859</v>
      </c>
      <c r="AV76" s="681">
        <f>INPUT!CS573</f>
        <v>58.571428571428577</v>
      </c>
      <c r="AW76" s="641">
        <f>INPUT!CT573</f>
        <v>11.166180758017452</v>
      </c>
      <c r="AX76" s="681">
        <f>INPUT!CU573</f>
        <v>58.703071672354945</v>
      </c>
      <c r="AY76" s="641">
        <f>INPUT!CV573</f>
        <v>-1.6625532823149269</v>
      </c>
      <c r="AZ76" s="681">
        <f>INPUT!CW573</f>
        <v>61.016949152542374</v>
      </c>
      <c r="BA76" s="641">
        <f>INPUT!CX573</f>
        <v>4.2880758429763244</v>
      </c>
      <c r="BB76" s="681">
        <f>INPUT!CY573</f>
        <v>54.878048780487809</v>
      </c>
      <c r="BC76" s="641">
        <f>INPUT!CZ573</f>
        <v>7.6573132502484764</v>
      </c>
      <c r="BD76" s="681">
        <f>INPUT!DA573</f>
        <v>61.589403973509938</v>
      </c>
      <c r="BE76" s="641">
        <f>INPUT!DB573</f>
        <v>5.1526409303828125</v>
      </c>
      <c r="BF76" s="681">
        <f>INPUT!DC573</f>
        <v>64.32203900863658</v>
      </c>
      <c r="BG76" s="641">
        <f>INPUT!DD573</f>
        <v>9.5718455205262778</v>
      </c>
      <c r="BH76" s="681">
        <f>INPUT!DE573</f>
        <v>66.265060240963862</v>
      </c>
      <c r="BI76" s="641">
        <f>INPUT!DF573</f>
        <v>8.601070950468559</v>
      </c>
      <c r="BJ76" s="681">
        <f>INPUT!DG573</f>
        <v>66.961651917404126</v>
      </c>
      <c r="BK76" s="641">
        <f>INPUT!DH573</f>
        <v>22.019010160603059</v>
      </c>
      <c r="BL76" s="681">
        <f>INPUT!DI573</f>
        <v>66.106442577030805</v>
      </c>
      <c r="BM76" s="641">
        <f>INPUT!DJ573</f>
        <v>7.3341164422758176</v>
      </c>
      <c r="BN76" s="681">
        <f>INPUT!DK573</f>
        <v>70.054945054945051</v>
      </c>
      <c r="BO76" s="641">
        <f>INPUT!DL573</f>
        <v>8.9128176510988801</v>
      </c>
      <c r="BP76" s="681">
        <f>INPUT!DM573</f>
        <v>69.270833333333343</v>
      </c>
      <c r="BQ76" s="641">
        <f>INPUT!DN573</f>
        <v>4.5359848484848531</v>
      </c>
      <c r="BR76" s="681">
        <f>INPUT!DO573</f>
        <v>67.574257425742573</v>
      </c>
      <c r="BS76" s="641">
        <f>INPUT!DP573</f>
        <v>0.91486020848781102</v>
      </c>
      <c r="BT76" s="681">
        <f>INPUT!DQ573</f>
        <v>72.093023255813947</v>
      </c>
      <c r="BU76" s="641">
        <f>INPUT!DR573</f>
        <v>9.0559716200236515</v>
      </c>
      <c r="BV76" s="681">
        <f>INPUT!DS573</f>
        <v>77.840909090909093</v>
      </c>
      <c r="BW76" s="641">
        <f>INPUT!DT573</f>
        <v>11.114081996434955</v>
      </c>
      <c r="BX76" s="681">
        <f>INPUT!DU573</f>
        <v>75.197889182058049</v>
      </c>
      <c r="BY76" s="641">
        <f>INPUT!DV573</f>
        <v>8.5563513004146117</v>
      </c>
      <c r="BZ76" s="681">
        <f>INPUT!DW573</f>
        <v>69.7508896797153</v>
      </c>
      <c r="CA76" s="641">
        <f>INPUT!DX573</f>
        <v>69.7508896797153</v>
      </c>
      <c r="CB76" s="681">
        <f>INPUT!DY573</f>
        <v>72.251308900523554</v>
      </c>
      <c r="CC76" s="641">
        <f>INPUT!DZ573</f>
        <v>0.21955750717783662</v>
      </c>
      <c r="CD76" s="681">
        <f>INPUT!EA573</f>
        <v>70.994475138121544</v>
      </c>
      <c r="CE76" s="641">
        <f>INPUT!EB573</f>
        <v>-8.7954188006613805</v>
      </c>
      <c r="CF76" s="681">
        <f>INPUT!EC573</f>
        <v>71.31367292225201</v>
      </c>
      <c r="CG76" s="641">
        <f>INPUT!ED573</f>
        <v>-5.1653261840929439</v>
      </c>
      <c r="CH76" s="681">
        <f>INPUT!EE573</f>
        <v>68.038207200587806</v>
      </c>
      <c r="CI76" s="641">
        <f>INPUT!EF573</f>
        <v>-2.4554274318103309</v>
      </c>
      <c r="CJ76" s="681">
        <f>INPUT!EG573</f>
        <v>67.481662591687041</v>
      </c>
      <c r="CK76" s="641">
        <f>INPUT!EH573</f>
        <v>-6.6014669926650278</v>
      </c>
      <c r="CL76" s="681">
        <f>INPUT!EI573</f>
        <v>69.095477386934675</v>
      </c>
      <c r="CM76" s="641">
        <f>INPUT!EJ573</f>
        <v>-2.6748528635394786</v>
      </c>
      <c r="CN76" s="681">
        <f>INPUT!EK573</f>
        <v>68.735083532219562</v>
      </c>
      <c r="CO76" s="641">
        <f>INPUT!EL573</f>
        <v>-3.6158415130906119</v>
      </c>
      <c r="CP76" s="681">
        <f>INPUT!EM573</f>
        <v>68.742791234140711</v>
      </c>
      <c r="CQ76" s="641">
        <f>INPUT!EN573</f>
        <v>1.0355711335480633</v>
      </c>
      <c r="CR76" s="681">
        <f>INPUT!EO573</f>
        <v>69.545454545454547</v>
      </c>
      <c r="CS76" s="641">
        <f>INPUT!EP573</f>
        <v>3.0583003952569188</v>
      </c>
      <c r="CT76" s="681">
        <f>INPUT!EQ573</f>
        <v>75.116347092167402</v>
      </c>
      <c r="CU76" s="641">
        <f>INPUT!ER573</f>
        <v>8.7138405188459167</v>
      </c>
      <c r="CV76" s="681">
        <f>INPUT!ES573</f>
        <v>70.490973568748174</v>
      </c>
      <c r="CW76" s="641">
        <f>INPUT!ET573</f>
        <v>2.5545761295329372</v>
      </c>
      <c r="CX76" s="681">
        <f>INPUT!EU573</f>
        <v>68.617555978699016</v>
      </c>
      <c r="CY76" s="641">
        <f>INPUT!EV573</f>
        <v>-0.18217947393951439</v>
      </c>
      <c r="CZ76" s="681">
        <f>INPUT!EW573</f>
        <v>67.674528149935398</v>
      </c>
      <c r="DA76" s="641">
        <f>INPUT!EX573</f>
        <v>-2.6902209608772099</v>
      </c>
      <c r="DB76" s="640"/>
      <c r="DC76" s="681">
        <f>INPUT!FP573</f>
        <v>44.251246829752837</v>
      </c>
      <c r="DD76" s="641" t="str">
        <f>INPUT!FQ573</f>
        <v>NA</v>
      </c>
      <c r="DE76" s="681">
        <f>INPUT!FR573</f>
        <v>46.445411077168288</v>
      </c>
      <c r="DF76" s="641">
        <f>INPUT!FS573</f>
        <v>4.958423557774605</v>
      </c>
      <c r="DG76" s="681">
        <f>INPUT!FT573</f>
        <v>53.046461331941217</v>
      </c>
      <c r="DH76" s="641">
        <f>INPUT!FU573</f>
        <v>14.212491830044073</v>
      </c>
      <c r="DI76" s="681">
        <f>INPUT!FV573</f>
        <v>49.737302977232957</v>
      </c>
      <c r="DJ76" s="641">
        <f>INPUT!FW573</f>
        <v>-6.2382263993087435</v>
      </c>
      <c r="DK76" s="681">
        <f>INPUT!FX573</f>
        <v>46.825240402070548</v>
      </c>
      <c r="DL76" s="641">
        <f>INPUT!FY573</f>
        <v>-5.8548863747103326</v>
      </c>
      <c r="DM76" s="681">
        <f>INPUT!FZ573</f>
        <v>50.359899401613092</v>
      </c>
      <c r="DN76" s="641">
        <f>INPUT!GA573</f>
        <v>7.5486190122928676</v>
      </c>
      <c r="DO76" s="681">
        <f>INPUT!GB573</f>
        <v>56.773303440545</v>
      </c>
      <c r="DP76" s="641">
        <f>INPUT!GC573</f>
        <v>12.735140687605263</v>
      </c>
      <c r="DQ76" s="681">
        <f>INPUT!GD573</f>
        <v>58.949096880131357</v>
      </c>
      <c r="DR76" s="641">
        <f>INPUT!GE573</f>
        <v>3.8324235295994713</v>
      </c>
      <c r="DS76" s="681">
        <f>INPUT!GF573</f>
        <v>65.963160140460062</v>
      </c>
      <c r="DT76" s="641">
        <f>INPUT!GG573</f>
        <v>11.898508427688537</v>
      </c>
      <c r="DU76" s="681">
        <f>INPUT!GH573</f>
        <v>69.720597790773226</v>
      </c>
      <c r="DV76" s="641">
        <f>INPUT!GI573</f>
        <v>5.6962668894458446</v>
      </c>
      <c r="DW76" s="681">
        <f>INPUT!GJ573</f>
        <v>73.574454219615518</v>
      </c>
      <c r="DX76" s="641">
        <f>INPUT!GK573</f>
        <v>5.5275722683954198</v>
      </c>
      <c r="DY76" s="681">
        <f>INPUT!GL573</f>
        <v>69.368034529407979</v>
      </c>
      <c r="DZ76" s="641">
        <f>INPUT!GM573</f>
        <v>-5.7172285337674715</v>
      </c>
      <c r="EA76" s="681">
        <f>INPUT!GN573</f>
        <v>69.032830523513752</v>
      </c>
      <c r="EB76" s="641">
        <f>INPUT!GO573</f>
        <v>-0.48322546280610279</v>
      </c>
      <c r="EC76" s="681">
        <f>INPUT!GP573</f>
        <v>70.339687153517843</v>
      </c>
      <c r="ED76" s="641">
        <f>INPUT!GQ573</f>
        <v>1.8930943727694327</v>
      </c>
      <c r="EE76" s="681">
        <f>INPUT!GR573</f>
        <v>68.445961095786487</v>
      </c>
      <c r="EF76" s="641">
        <f>INPUT!GS573</f>
        <v>-2.6922582888352364</v>
      </c>
      <c r="EG76" s="681">
        <f>INPUT!GT573</f>
        <v>65.925238181548863</v>
      </c>
      <c r="EH76" s="641">
        <f>INPUT!GU573</f>
        <v>-3.682792781169375</v>
      </c>
      <c r="EI76" s="681">
        <f>INPUT!GV573</f>
        <v>66.449136041055951</v>
      </c>
      <c r="EJ76" s="641">
        <f>INPUT!GW573</f>
        <v>0.79468481867952523</v>
      </c>
      <c r="EK76" s="681">
        <f>INPUT!GX573</f>
        <v>67.046508363181019</v>
      </c>
      <c r="EL76" s="641">
        <f>INPUT!GY573</f>
        <v>0.89899185710402563</v>
      </c>
      <c r="EM76" s="852">
        <f>INPUT!GZ573</f>
        <v>-0.58221179733954909</v>
      </c>
    </row>
    <row r="77" spans="1:152" ht="12.75" customHeight="1" x14ac:dyDescent="0.2">
      <c r="A77" s="851" t="str">
        <f>INPUT!B574</f>
        <v xml:space="preserve">Life </v>
      </c>
      <c r="B77" s="681">
        <f>INPUT!AY574</f>
        <v>27.939747327502435</v>
      </c>
      <c r="C77" s="641">
        <f>INPUT!AZ574</f>
        <v>-6.3245854152409464</v>
      </c>
      <c r="D77" s="681">
        <f>INPUT!BA574</f>
        <v>48.937037288596073</v>
      </c>
      <c r="E77" s="641">
        <f>INPUT!BB574</f>
        <v>60.0003002880485</v>
      </c>
      <c r="F77" s="681">
        <f>INPUT!BC574</f>
        <v>42.783694454645577</v>
      </c>
      <c r="G77" s="641">
        <f>INPUT!BD574</f>
        <v>44.915768683808089</v>
      </c>
      <c r="H77" s="681">
        <f>INPUT!BE574</f>
        <v>43.779349699815739</v>
      </c>
      <c r="I77" s="641">
        <f>INPUT!BF574</f>
        <v>52.299340720625963</v>
      </c>
      <c r="J77" s="681">
        <f>INPUT!BG574</f>
        <v>47.965474722564757</v>
      </c>
      <c r="K77" s="641">
        <f>INPUT!BH574</f>
        <v>71.674690398327385</v>
      </c>
      <c r="L77" s="681">
        <f>INPUT!BI574</f>
        <v>49.43024330150908</v>
      </c>
      <c r="M77" s="641">
        <f>INPUT!BJ574</f>
        <v>1.0078379081357669</v>
      </c>
      <c r="N77" s="681">
        <f>INPUT!BK574</f>
        <v>49.448255293766778</v>
      </c>
      <c r="O77" s="641">
        <f>INPUT!BL574</f>
        <v>15.577338338993174</v>
      </c>
      <c r="P77" s="681">
        <f>INPUT!BM574</f>
        <v>48.976157082748927</v>
      </c>
      <c r="Q77" s="641">
        <f>INPUT!BN574</f>
        <v>11.870453578151396</v>
      </c>
      <c r="R77" s="681">
        <f>INPUT!BO574</f>
        <v>54.646962233169148</v>
      </c>
      <c r="S77" s="641">
        <f>INPUT!BP574</f>
        <v>13.929785015681651</v>
      </c>
      <c r="T77" s="681">
        <f>INPUT!BQ574</f>
        <v>52.981205443940382</v>
      </c>
      <c r="U77" s="641">
        <f>INPUT!BR574</f>
        <v>7.1837844713236398</v>
      </c>
      <c r="V77" s="681">
        <f>INPUT!BS574</f>
        <v>53.142857142857146</v>
      </c>
      <c r="W77" s="641">
        <f>INPUT!BT574</f>
        <v>7.4716525934861222</v>
      </c>
      <c r="X77" s="681">
        <f>INPUT!BU574</f>
        <v>62.412342215988815</v>
      </c>
      <c r="Y77" s="641">
        <f>INPUT!BV574</f>
        <v>27.434135166094052</v>
      </c>
      <c r="Z77" s="681">
        <f>INPUT!BW574</f>
        <v>72.73657289002557</v>
      </c>
      <c r="AA77" s="641">
        <f>INPUT!BX574</f>
        <v>33.102682962817177</v>
      </c>
      <c r="AB77" s="681">
        <f>INPUT!BY574</f>
        <v>64.109985528219937</v>
      </c>
      <c r="AC77" s="641">
        <f>INPUT!BZ574</f>
        <v>21.005146996994917</v>
      </c>
      <c r="AD77" s="681">
        <f>INPUT!CA574</f>
        <v>54.491224044969591</v>
      </c>
      <c r="AE77" s="641">
        <f>INPUT!CB574</f>
        <v>2.5372495469857759</v>
      </c>
      <c r="AF77" s="681">
        <f>INPUT!CC574</f>
        <v>52.585919252585967</v>
      </c>
      <c r="AG77" s="641">
        <f>INPUT!CD574</f>
        <v>-15.744358590800511</v>
      </c>
      <c r="AH77" s="681">
        <f>INPUT!CE574</f>
        <v>53.283898305084755</v>
      </c>
      <c r="AI77" s="641">
        <f>INPUT!CF574</f>
        <v>-26.744007604472074</v>
      </c>
      <c r="AJ77" s="681">
        <f>INPUT!CG574</f>
        <v>52.184382524939807</v>
      </c>
      <c r="AK77" s="641">
        <f>INPUT!CH574</f>
        <v>-18.601787077351183</v>
      </c>
      <c r="AL77" s="681">
        <f>INPUT!CI574</f>
        <v>53.941761363636353</v>
      </c>
      <c r="AM77" s="641">
        <f>INPUT!CJ574</f>
        <v>-1.0083507775119682</v>
      </c>
      <c r="AN77" s="681">
        <f>INPUT!CK574</f>
        <v>52.251344086021504</v>
      </c>
      <c r="AO77" s="641">
        <f>INPUT!CL574</f>
        <v>-0.63624478057975331</v>
      </c>
      <c r="AP77" s="681">
        <f>INPUT!CM574</f>
        <v>46.393620877129358</v>
      </c>
      <c r="AQ77" s="641">
        <f>INPUT!CN574</f>
        <v>-12.931256246500777</v>
      </c>
      <c r="AR77" s="681">
        <f>INPUT!CO574</f>
        <v>46.54520453764183</v>
      </c>
      <c r="AS77" s="641">
        <f>INPUT!CP574</f>
        <v>-10.80625603762374</v>
      </c>
      <c r="AT77" s="681">
        <f>INPUT!CQ574</f>
        <v>52.668584212208359</v>
      </c>
      <c r="AU77" s="641">
        <f>INPUT!CR574</f>
        <v>-2.3602810127855367</v>
      </c>
      <c r="AV77" s="681">
        <f>INPUT!CS574</f>
        <v>46.785714285714285</v>
      </c>
      <c r="AW77" s="641">
        <f>INPUT!CT574</f>
        <v>-10.460266421681208</v>
      </c>
      <c r="AX77" s="681">
        <f>INPUT!CU574</f>
        <v>47.44027303754266</v>
      </c>
      <c r="AY77" s="641">
        <f>INPUT!CV574</f>
        <v>2.2560260238908558</v>
      </c>
      <c r="AZ77" s="681">
        <f>INPUT!CW574</f>
        <v>43.728813559322035</v>
      </c>
      <c r="BA77" s="641">
        <f>INPUT!CX574</f>
        <v>-6.0508724933030162</v>
      </c>
      <c r="BB77" s="681">
        <f>INPUT!CY574</f>
        <v>41.158536585365852</v>
      </c>
      <c r="BC77" s="641">
        <f>INPUT!CZ574</f>
        <v>-21.853725136159106</v>
      </c>
      <c r="BD77" s="681">
        <f>INPUT!DA574</f>
        <v>45.695364238410598</v>
      </c>
      <c r="BE77" s="641">
        <f>INPUT!DB574</f>
        <v>-2.330519185076585</v>
      </c>
      <c r="BF77" s="681">
        <f>INPUT!DC574</f>
        <v>40.033099049239866</v>
      </c>
      <c r="BG77" s="641">
        <f>INPUT!DD574</f>
        <v>-15.613683299084313</v>
      </c>
      <c r="BH77" s="681">
        <f>INPUT!DE574</f>
        <v>39.156626506024097</v>
      </c>
      <c r="BI77" s="641">
        <f>INPUT!DF574</f>
        <v>-10.455776594751098</v>
      </c>
      <c r="BJ77" s="681">
        <f>INPUT!DG574</f>
        <v>36.873156342182888</v>
      </c>
      <c r="BK77" s="641">
        <f>INPUT!DH574</f>
        <v>-10.411886813066751</v>
      </c>
      <c r="BL77" s="681">
        <f>INPUT!DI574</f>
        <v>40.896358543417364</v>
      </c>
      <c r="BM77" s="641">
        <f>INPUT!DJ574</f>
        <v>-10.502171883246058</v>
      </c>
      <c r="BN77" s="681">
        <f>INPUT!DK574</f>
        <v>32.967032967032964</v>
      </c>
      <c r="BO77" s="641">
        <f>INPUT!DL574</f>
        <v>-17.650559786829866</v>
      </c>
      <c r="BP77" s="681">
        <f>INPUT!DM574</f>
        <v>37.239583333333329</v>
      </c>
      <c r="BQ77" s="641">
        <f>INPUT!DN574</f>
        <v>-4.8958333333333437</v>
      </c>
      <c r="BR77" s="681">
        <f>INPUT!DO574</f>
        <v>37.128712871287128</v>
      </c>
      <c r="BS77" s="641">
        <f>INPUT!DP574</f>
        <v>0.69306930693069368</v>
      </c>
      <c r="BT77" s="681">
        <f>INPUT!DQ574</f>
        <v>36.434108527131784</v>
      </c>
      <c r="BU77" s="641">
        <f>INPUT!DR574</f>
        <v>-10.911118190506519</v>
      </c>
      <c r="BV77" s="681">
        <f>INPUT!DS574</f>
        <v>31.53409090909091</v>
      </c>
      <c r="BW77" s="641">
        <f>INPUT!DT574</f>
        <v>-4.3465909090908976</v>
      </c>
      <c r="BX77" s="681">
        <f>INPUT!DU574</f>
        <v>27.70448548812665</v>
      </c>
      <c r="BY77" s="641">
        <f>INPUT!DV574</f>
        <v>-25.60473826964591</v>
      </c>
      <c r="BZ77" s="681">
        <f>INPUT!DW574</f>
        <v>36.29893238434164</v>
      </c>
      <c r="CA77" s="641">
        <f>INPUT!DX574</f>
        <v>36.29893238434164</v>
      </c>
      <c r="CB77" s="681">
        <f>INPUT!DY574</f>
        <v>31.151832460732987</v>
      </c>
      <c r="CC77" s="641">
        <f>INPUT!DZ574</f>
        <v>-14.498161969477552</v>
      </c>
      <c r="CD77" s="681">
        <f>INPUT!EA574</f>
        <v>33.701657458563538</v>
      </c>
      <c r="CE77" s="641">
        <f>INPUT!EB574</f>
        <v>6.8737245532825675</v>
      </c>
      <c r="CF77" s="681">
        <f>INPUT!EC574</f>
        <v>32.171581769436997</v>
      </c>
      <c r="CG77" s="641">
        <f>INPUT!ED574</f>
        <v>16.124090386824964</v>
      </c>
      <c r="CH77" s="681">
        <f>INPUT!EE574</f>
        <v>33.676218466813616</v>
      </c>
      <c r="CI77" s="641">
        <f>INPUT!EF574</f>
        <v>-7.2253197139742653</v>
      </c>
      <c r="CJ77" s="681">
        <f>INPUT!EG574</f>
        <v>37.65281173594132</v>
      </c>
      <c r="CK77" s="641">
        <f>INPUT!EH574</f>
        <v>20.868689774198181</v>
      </c>
      <c r="CL77" s="681">
        <f>INPUT!EI574</f>
        <v>32.412060301507537</v>
      </c>
      <c r="CM77" s="641">
        <f>INPUT!EJ574</f>
        <v>-3.8265095971661611</v>
      </c>
      <c r="CN77" s="681">
        <f>INPUT!EK574</f>
        <v>31.742243436754176</v>
      </c>
      <c r="CO77" s="641">
        <f>INPUT!EL574</f>
        <v>-1.334526650755774</v>
      </c>
      <c r="CP77" s="681">
        <f>INPUT!EM574</f>
        <v>31.603229527104958</v>
      </c>
      <c r="CQ77" s="641">
        <f>INPUT!EN574</f>
        <v>-6.1556464296948725</v>
      </c>
      <c r="CR77" s="681">
        <f>INPUT!EO574</f>
        <v>34.545454545454547</v>
      </c>
      <c r="CS77" s="641">
        <f>INPUT!EP574</f>
        <v>-8.2526564344746145</v>
      </c>
      <c r="CT77" s="681">
        <f>INPUT!EQ574</f>
        <v>33.175902487136462</v>
      </c>
      <c r="CU77" s="641">
        <f>INPUT!ER574</f>
        <v>2.356660386669085</v>
      </c>
      <c r="CV77" s="681">
        <f>INPUT!ES574</f>
        <v>34.750616136234399</v>
      </c>
      <c r="CW77" s="641">
        <f>INPUT!ET574</f>
        <v>9.4775049705429595</v>
      </c>
      <c r="CX77" s="681">
        <f>INPUT!EU574</f>
        <v>33.377505408585634</v>
      </c>
      <c r="CY77" s="641">
        <f>INPUT!EV574</f>
        <v>5.6142233184078405</v>
      </c>
      <c r="CZ77" s="681">
        <f>INPUT!EW574</f>
        <v>34.086066307135091</v>
      </c>
      <c r="DA77" s="641">
        <f>INPUT!EX574</f>
        <v>-1.3298080582931582</v>
      </c>
      <c r="DB77" s="640"/>
      <c r="DC77" s="681">
        <f>INPUT!FP574</f>
        <v>29.604302568618746</v>
      </c>
      <c r="DD77" s="641" t="str">
        <f>INPUT!FQ574</f>
        <v>NA</v>
      </c>
      <c r="DE77" s="681">
        <f>INPUT!FR574</f>
        <v>41.522778589454106</v>
      </c>
      <c r="DF77" s="641">
        <f>INPUT!FS574</f>
        <v>40.259269723412515</v>
      </c>
      <c r="DG77" s="681">
        <f>INPUT!FT574</f>
        <v>48.959653963755706</v>
      </c>
      <c r="DH77" s="641">
        <f>INPUT!FU574</f>
        <v>17.910350961412803</v>
      </c>
      <c r="DI77" s="681">
        <f>INPUT!FV574</f>
        <v>55.236427320490343</v>
      </c>
      <c r="DJ77" s="641">
        <f>INPUT!FW574</f>
        <v>12.820297629924561</v>
      </c>
      <c r="DK77" s="681">
        <f>INPUT!FX574</f>
        <v>59.66743083577969</v>
      </c>
      <c r="DL77" s="641">
        <f>INPUT!FY574</f>
        <v>8.0218865162657629</v>
      </c>
      <c r="DM77" s="681">
        <f>INPUT!FZ574</f>
        <v>52.900875899748435</v>
      </c>
      <c r="DN77" s="641">
        <f>INPUT!GA574</f>
        <v>-11.340449624275895</v>
      </c>
      <c r="DO77" s="681">
        <f>INPUT!GB574</f>
        <v>48.219367077692482</v>
      </c>
      <c r="DP77" s="641">
        <f>INPUT!GC574</f>
        <v>-8.8495865946110257</v>
      </c>
      <c r="DQ77" s="681">
        <f>INPUT!GD574</f>
        <v>44.41707717569787</v>
      </c>
      <c r="DR77" s="641">
        <f>INPUT!GE574</f>
        <v>-7.8853998557638638</v>
      </c>
      <c r="DS77" s="681">
        <f>INPUT!GF574</f>
        <v>39.238506202044789</v>
      </c>
      <c r="DT77" s="641">
        <f>INPUT!GG574</f>
        <v>-11.65896385565518</v>
      </c>
      <c r="DU77" s="681">
        <f>INPUT!GH574</f>
        <v>35.997400909681609</v>
      </c>
      <c r="DV77" s="641">
        <f>INPUT!GI574</f>
        <v>-8.2600119272488559</v>
      </c>
      <c r="DW77" s="681">
        <f>INPUT!GJ574</f>
        <v>31.801889866405997</v>
      </c>
      <c r="DX77" s="641">
        <f>INPUT!GK574</f>
        <v>-11.655038800724126</v>
      </c>
      <c r="DY77" s="681">
        <f>INPUT!GL574</f>
        <v>34.368356632094311</v>
      </c>
      <c r="DZ77" s="641">
        <f>INPUT!GM574</f>
        <v>8.0701705982555652</v>
      </c>
      <c r="EA77" s="681">
        <f>INPUT!GN574</f>
        <v>32.593907128068615</v>
      </c>
      <c r="EB77" s="641">
        <f>INPUT!GO574</f>
        <v>-5.1630327368305302</v>
      </c>
      <c r="EC77" s="681">
        <f>INPUT!GP574</f>
        <v>33.856809961213465</v>
      </c>
      <c r="ED77" s="641">
        <f>INPUT!GQ574</f>
        <v>3.8746592367175481</v>
      </c>
      <c r="EE77" s="681">
        <f>INPUT!GR574</f>
        <v>31.989260450725304</v>
      </c>
      <c r="EF77" s="641">
        <f>INPUT!GS574</f>
        <v>-5.5160232538967291</v>
      </c>
      <c r="EG77" s="681">
        <f>INPUT!GT574</f>
        <v>29.969876594259276</v>
      </c>
      <c r="EH77" s="641">
        <f>INPUT!GU574</f>
        <v>-6.3126931601828922</v>
      </c>
      <c r="EI77" s="681">
        <f>INPUT!GV574</f>
        <v>29.47703515736676</v>
      </c>
      <c r="EJ77" s="641">
        <f>INPUT!GW574</f>
        <v>-1.6444560101622763</v>
      </c>
      <c r="EK77" s="681">
        <f>INPUT!GX574</f>
        <v>28.921456921102319</v>
      </c>
      <c r="EL77" s="641">
        <f>INPUT!GY574</f>
        <v>-1.8847833009609682</v>
      </c>
      <c r="EM77" s="852">
        <f>INPUT!GZ574</f>
        <v>-2.3624780136251022</v>
      </c>
    </row>
    <row r="78" spans="1:152" ht="12.75" customHeight="1" x14ac:dyDescent="0.2">
      <c r="A78" s="851" t="str">
        <f>INPUT!B575</f>
        <v>Group Protection</v>
      </c>
      <c r="B78" s="681">
        <f>INPUT!AY575</f>
        <v>11.94525429219307</v>
      </c>
      <c r="C78" s="641" t="str">
        <f>INPUT!AZ575</f>
        <v>NA</v>
      </c>
      <c r="D78" s="681">
        <f>INPUT!BA575</f>
        <v>8.7957617333423936</v>
      </c>
      <c r="E78" s="641" t="str">
        <f>INPUT!BB575</f>
        <v>NA</v>
      </c>
      <c r="F78" s="681">
        <f>INPUT!BC575</f>
        <v>7.2836332476435501</v>
      </c>
      <c r="G78" s="641" t="str">
        <f>INPUT!BD575</f>
        <v>NA</v>
      </c>
      <c r="H78" s="681">
        <f>INPUT!BE575</f>
        <v>7.1925340307911698</v>
      </c>
      <c r="I78" s="641" t="str">
        <f>INPUT!BF575</f>
        <v>NA</v>
      </c>
      <c r="J78" s="681">
        <f>INPUT!BG575</f>
        <v>7.0900123304562355</v>
      </c>
      <c r="K78" s="641">
        <f>INPUT!BH575</f>
        <v>-40.645781521034863</v>
      </c>
      <c r="L78" s="681">
        <f>INPUT!BI575</f>
        <v>8.9005235602094306</v>
      </c>
      <c r="M78" s="641">
        <f>INPUT!BJ575</f>
        <v>1.1910489397400692</v>
      </c>
      <c r="N78" s="681">
        <f>INPUT!BK575</f>
        <v>7.5156576200417602</v>
      </c>
      <c r="O78" s="641">
        <f>INPUT!BL575</f>
        <v>3.1855581481024853</v>
      </c>
      <c r="P78" s="681">
        <f>INPUT!BM575</f>
        <v>7.0687237026647933</v>
      </c>
      <c r="Q78" s="641">
        <f>INPUT!BN575</f>
        <v>-1.7213728512975535</v>
      </c>
      <c r="R78" s="681">
        <f>INPUT!BO575</f>
        <v>8.5714285714285534</v>
      </c>
      <c r="S78" s="641">
        <f>INPUT!BP575</f>
        <v>20.894409937887804</v>
      </c>
      <c r="T78" s="681">
        <f>INPUT!BQ575</f>
        <v>10.466623460790661</v>
      </c>
      <c r="U78" s="641">
        <f>INPUT!BR575</f>
        <v>17.595593000647924</v>
      </c>
      <c r="V78" s="681">
        <f>INPUT!BS575</f>
        <v>8.7301587301587276</v>
      </c>
      <c r="W78" s="641">
        <f>INPUT!BT575</f>
        <v>16.159611992945202</v>
      </c>
      <c r="X78" s="681">
        <f>INPUT!BU575</f>
        <v>10.004675081813927</v>
      </c>
      <c r="Y78" s="641">
        <f>INPUT!BV575</f>
        <v>41.534391534391531</v>
      </c>
      <c r="Z78" s="681">
        <f>INPUT!BW575</f>
        <v>13.14578005115092</v>
      </c>
      <c r="AA78" s="641">
        <f>INPUT!BX575</f>
        <v>53.3674339300944</v>
      </c>
      <c r="AB78" s="681">
        <f>INPUT!BY575</f>
        <v>16.208393632416794</v>
      </c>
      <c r="AC78" s="641">
        <f>INPUT!BZ575</f>
        <v>54.857903249654051</v>
      </c>
      <c r="AD78" s="681">
        <f>INPUT!CA575</f>
        <v>13.196436082750179</v>
      </c>
      <c r="AE78" s="641">
        <f>INPUT!CB575</f>
        <v>51.159176947865738</v>
      </c>
      <c r="AF78" s="681">
        <f>INPUT!CC575</f>
        <v>11.044377711044353</v>
      </c>
      <c r="AG78" s="641">
        <f>INPUT!CD575</f>
        <v>10.392167868803192</v>
      </c>
      <c r="AH78" s="681">
        <f>INPUT!CE575</f>
        <v>11.052259887005659</v>
      </c>
      <c r="AI78" s="641">
        <f>INPUT!CF575</f>
        <v>-15.925416034645822</v>
      </c>
      <c r="AJ78" s="681">
        <f>INPUT!CG575</f>
        <v>12.968696250430003</v>
      </c>
      <c r="AK78" s="641">
        <f>INPUT!CH575</f>
        <v>-19.98777581207921</v>
      </c>
      <c r="AL78" s="681">
        <f>INPUT!CI575</f>
        <v>4.4389204545454719</v>
      </c>
      <c r="AM78" s="641" t="str">
        <f>INPUT!CJ575</f>
        <v>NM</v>
      </c>
      <c r="AN78" s="681">
        <f>INPUT!CK575</f>
        <v>6.0483870967741948</v>
      </c>
      <c r="AO78" s="641">
        <f>INPUT!CL575</f>
        <v>-45.235600818633529</v>
      </c>
      <c r="AP78" s="681">
        <f>INPUT!CM575</f>
        <v>6.9227981152591838</v>
      </c>
      <c r="AQ78" s="641">
        <f>INPUT!CN575</f>
        <v>-37.363053474715677</v>
      </c>
      <c r="AR78" s="681">
        <f>INPUT!CO575</f>
        <v>7.7689927810243846</v>
      </c>
      <c r="AS78" s="641">
        <f>INPUT!CP575</f>
        <v>-40.094265213692637</v>
      </c>
      <c r="AT78" s="681">
        <f>INPUT!CQ575</f>
        <v>8.5650367529562033</v>
      </c>
      <c r="AU78" s="641">
        <f>INPUT!CR575</f>
        <v>92.953147970596589</v>
      </c>
      <c r="AV78" s="681">
        <f>INPUT!CS575</f>
        <v>7.1428571428571423</v>
      </c>
      <c r="AW78" s="641">
        <f>INPUT!CT575</f>
        <v>18.095238095238052</v>
      </c>
      <c r="AX78" s="681">
        <f>INPUT!CU575</f>
        <v>5.4607508532423212</v>
      </c>
      <c r="AY78" s="641">
        <f>INPUT!CV575</f>
        <v>-21.119310973322015</v>
      </c>
      <c r="AZ78" s="681">
        <f>INPUT!CW575</f>
        <v>8.1355932203389827</v>
      </c>
      <c r="BA78" s="641">
        <f>INPUT!CX575</f>
        <v>4.7187640617972093</v>
      </c>
      <c r="BB78" s="681">
        <f>INPUT!CY575</f>
        <v>4.8780487804878048</v>
      </c>
      <c r="BC78" s="641">
        <f>INPUT!CZ575</f>
        <v>-43.046960320349392</v>
      </c>
      <c r="BD78" s="681">
        <f>INPUT!DA575</f>
        <v>4.3046357615894042</v>
      </c>
      <c r="BE78" s="641">
        <f>INPUT!DB575</f>
        <v>-39.735099337748338</v>
      </c>
      <c r="BF78" s="681">
        <f>INPUT!DC575</f>
        <v>4.6901486777130836</v>
      </c>
      <c r="BG78" s="641">
        <f>INPUT!DD575</f>
        <v>-14.111652339379166</v>
      </c>
      <c r="BH78" s="681">
        <f>INPUT!DE575</f>
        <v>6.6265060240963862</v>
      </c>
      <c r="BI78" s="641">
        <f>INPUT!DF575</f>
        <v>-18.549196787148581</v>
      </c>
      <c r="BJ78" s="681">
        <f>INPUT!DG575</f>
        <v>5.8997050147492622</v>
      </c>
      <c r="BK78" s="641">
        <f>INPUT!DH575</f>
        <v>20.943952802359878</v>
      </c>
      <c r="BL78" s="681">
        <f>INPUT!DI575</f>
        <v>0.84033613445378152</v>
      </c>
      <c r="BM78" s="641" t="str">
        <f>INPUT!DJ575</f>
        <v>NM</v>
      </c>
      <c r="BN78" s="681">
        <f>INPUT!DK575</f>
        <v>5.4945054945054945</v>
      </c>
      <c r="BO78" s="641">
        <f>INPUT!DL575</f>
        <v>17.149921507064359</v>
      </c>
      <c r="BP78" s="681">
        <f>INPUT!DM575</f>
        <v>0.52083333333333326</v>
      </c>
      <c r="BQ78" s="641" t="str">
        <f>INPUT!DN575</f>
        <v>NM</v>
      </c>
      <c r="BR78" s="681">
        <f>INPUT!DO575</f>
        <v>1.9801980198019802</v>
      </c>
      <c r="BS78" s="641" t="str">
        <f>INPUT!DP575</f>
        <v>NM</v>
      </c>
      <c r="BT78" s="681">
        <f>INPUT!DQ575</f>
        <v>-1.8087855297157622</v>
      </c>
      <c r="BU78" s="641" t="str">
        <f>INPUT!DR575</f>
        <v>NM</v>
      </c>
      <c r="BV78" s="681">
        <f>INPUT!DS575</f>
        <v>-1.7045454545454544</v>
      </c>
      <c r="BW78" s="641" t="str">
        <f>INPUT!DT575</f>
        <v>NM</v>
      </c>
      <c r="BX78" s="681">
        <f>INPUT!DU575</f>
        <v>5.0131926121372032</v>
      </c>
      <c r="BY78" s="641" t="str">
        <f>INPUT!DV575</f>
        <v>NM</v>
      </c>
      <c r="BZ78" s="681">
        <f>INPUT!DW575</f>
        <v>4.0332147093712933</v>
      </c>
      <c r="CA78" s="641">
        <f>INPUT!DX575</f>
        <v>4.0332147093712933</v>
      </c>
      <c r="CB78" s="681">
        <f>INPUT!DY575</f>
        <v>3.4031413612565444</v>
      </c>
      <c r="CC78" s="641" t="str">
        <f>INPUT!DZ575</f>
        <v>NM</v>
      </c>
      <c r="CD78" s="681">
        <f>INPUT!EA575</f>
        <v>1.3812154696132597</v>
      </c>
      <c r="CE78" s="641" t="str">
        <f>INPUT!EB575</f>
        <v>NM</v>
      </c>
      <c r="CF78" s="681">
        <f>INPUT!EC575</f>
        <v>4.0214477211796247</v>
      </c>
      <c r="CG78" s="641">
        <f>INPUT!ED575</f>
        <v>-19.782700719627488</v>
      </c>
      <c r="CH78" s="681">
        <f>INPUT!EE575</f>
        <v>5.6331129071760957</v>
      </c>
      <c r="CI78" s="641">
        <f>INPUT!EF575</f>
        <v>39.668064139689662</v>
      </c>
      <c r="CJ78" s="681">
        <f>INPUT!EG575</f>
        <v>3.9119804400977993</v>
      </c>
      <c r="CK78" s="641">
        <f>INPUT!EH575</f>
        <v>14.952040624412266</v>
      </c>
      <c r="CL78" s="681">
        <f>INPUT!EI575</f>
        <v>1.7587939698492463</v>
      </c>
      <c r="CM78" s="641">
        <f>INPUT!EJ575</f>
        <v>27.336683417085439</v>
      </c>
      <c r="CN78" s="681">
        <f>INPUT!EK575</f>
        <v>8.3532219570405726</v>
      </c>
      <c r="CO78" s="641" t="str">
        <f>INPUT!EL575</f>
        <v>NM</v>
      </c>
      <c r="CP78" s="681">
        <f>INPUT!EM575</f>
        <v>8.7658592848904267</v>
      </c>
      <c r="CQ78" s="641">
        <f>INPUT!EN575</f>
        <v>55.613058522641801</v>
      </c>
      <c r="CR78" s="681">
        <f>INPUT!EO575</f>
        <v>4.5454545454545459</v>
      </c>
      <c r="CS78" s="641">
        <f>INPUT!EP575</f>
        <v>16.193181818181834</v>
      </c>
      <c r="CT78" s="681">
        <f>INPUT!EQ575</f>
        <v>4.101322571601477</v>
      </c>
      <c r="CU78" s="641" t="str">
        <f>INPUT!ER575</f>
        <v>NM</v>
      </c>
      <c r="CV78" s="681">
        <f>INPUT!ES575</f>
        <v>6.3580278487440367</v>
      </c>
      <c r="CW78" s="641">
        <f>INPUT!ET575</f>
        <v>-23.885323753607103</v>
      </c>
      <c r="CX78" s="681">
        <f>INPUT!EU575</f>
        <v>9.0989837059036507</v>
      </c>
      <c r="CY78" s="641">
        <f>INPUT!EV575</f>
        <v>3.8002483291903255</v>
      </c>
      <c r="CZ78" s="681">
        <f>INPUT!EW575</f>
        <v>8.9777654049329421</v>
      </c>
      <c r="DA78" s="641">
        <f>INPUT!EX575</f>
        <v>97.510838908524704</v>
      </c>
      <c r="DB78" s="640"/>
      <c r="DC78" s="681">
        <f>INPUT!FP575</f>
        <v>0</v>
      </c>
      <c r="DD78" s="641" t="str">
        <f>INPUT!FQ575</f>
        <v>NA</v>
      </c>
      <c r="DE78" s="681">
        <f>INPUT!FR575</f>
        <v>8.5834772214105506</v>
      </c>
      <c r="DF78" s="641" t="str">
        <f>INPUT!FS575</f>
        <v>NA</v>
      </c>
      <c r="DG78" s="681">
        <f>INPUT!FT575</f>
        <v>7.6292042657916186</v>
      </c>
      <c r="DH78" s="641">
        <f>INPUT!FU575</f>
        <v>-11.117556801322914</v>
      </c>
      <c r="DI78" s="681">
        <f>INPUT!FV575</f>
        <v>9.3957968476357312</v>
      </c>
      <c r="DJ78" s="641">
        <f>INPUT!FW575</f>
        <v>23.155659755569658</v>
      </c>
      <c r="DK78" s="681">
        <f>INPUT!FX575</f>
        <v>13.164801195008341</v>
      </c>
      <c r="DL78" s="641">
        <f>INPUT!FY575</f>
        <v>40.113727536808177</v>
      </c>
      <c r="DM78" s="681">
        <f>INPUT!FZ575</f>
        <v>8.6289133639753821</v>
      </c>
      <c r="DN78" s="641">
        <f>INPUT!GA575</f>
        <v>-34.45466257973434</v>
      </c>
      <c r="DO78" s="681">
        <f>INPUT!GB575</f>
        <v>7.6312839527464051</v>
      </c>
      <c r="DP78" s="641">
        <f>INPUT!GC575</f>
        <v>-11.56147210138826</v>
      </c>
      <c r="DQ78" s="681">
        <f>INPUT!GD575</f>
        <v>5.6650246305418719</v>
      </c>
      <c r="DR78" s="641">
        <f>INPUT!GE575</f>
        <v>-25.76577328769034</v>
      </c>
      <c r="DS78" s="681">
        <f>INPUT!GF575</f>
        <v>4.447801655185307</v>
      </c>
      <c r="DT78" s="641">
        <f>INPUT!GG575</f>
        <v>-21.486631651946318</v>
      </c>
      <c r="DU78" s="681">
        <f>INPUT!GH575</f>
        <v>1.4944769330734242</v>
      </c>
      <c r="DV78" s="641" t="str">
        <f>INPUT!GI575</f>
        <v>NM</v>
      </c>
      <c r="DW78" s="681">
        <f>INPUT!GJ575</f>
        <v>2.8022157054415122</v>
      </c>
      <c r="DX78" s="641">
        <f>INPUT!GK575</f>
        <v>87.504781333673364</v>
      </c>
      <c r="DY78" s="681">
        <f>INPUT!GL575</f>
        <v>3.8008116987695675</v>
      </c>
      <c r="DZ78" s="641">
        <f>INPUT!GM575</f>
        <v>35.635943064230261</v>
      </c>
      <c r="EA78" s="681">
        <f>INPUT!GN575</f>
        <v>5.9154096421177167</v>
      </c>
      <c r="EB78" s="641">
        <f>INPUT!GO575</f>
        <v>55.635430295920884</v>
      </c>
      <c r="EC78" s="681">
        <f>INPUT!GP575</f>
        <v>7.2301061067037553</v>
      </c>
      <c r="ED78" s="641">
        <f>INPUT!GQ575</f>
        <v>22.224943733826976</v>
      </c>
      <c r="EE78" s="681">
        <f>INPUT!GR575</f>
        <v>9.1115334874916307</v>
      </c>
      <c r="EF78" s="641">
        <f>INPUT!GS575</f>
        <v>26.022126826650794</v>
      </c>
      <c r="EG78" s="681">
        <f>INPUT!GT575</f>
        <v>9.5857724634290271</v>
      </c>
      <c r="EH78" s="641">
        <f>INPUT!GU575</f>
        <v>5.2048206439501588</v>
      </c>
      <c r="EI78" s="681">
        <f>INPUT!GV575</f>
        <v>9.1839350629332923</v>
      </c>
      <c r="EJ78" s="641">
        <f>INPUT!GW575</f>
        <v>-4.1920189742537417</v>
      </c>
      <c r="EK78" s="681">
        <f>INPUT!GX575</f>
        <v>8.7781828920415226</v>
      </c>
      <c r="EL78" s="641">
        <f>INPUT!GY575</f>
        <v>-4.4180644583322497</v>
      </c>
      <c r="EM78" s="852">
        <f>INPUT!GZ575</f>
        <v>8.2141269596055277</v>
      </c>
    </row>
    <row r="79" spans="1:152" ht="12.75" customHeight="1" x14ac:dyDescent="0.2">
      <c r="A79" s="855" t="str">
        <f>INPUT!B577</f>
        <v>Total Insurance Solutions</v>
      </c>
      <c r="B79" s="681">
        <f>INPUT!AY577</f>
        <v>42.921930677032726</v>
      </c>
      <c r="C79" s="641">
        <f>INPUT!AZ577</f>
        <v>85.592765940886181</v>
      </c>
      <c r="D79" s="681">
        <f>INPUT!BA577</f>
        <v>63.200434694016167</v>
      </c>
      <c r="E79" s="641">
        <f>INPUT!BB577</f>
        <v>60.0003002880485</v>
      </c>
      <c r="F79" s="681">
        <f>INPUT!BC577</f>
        <v>53.984575835475567</v>
      </c>
      <c r="G79" s="641">
        <f>INPUT!BD577</f>
        <v>44.915768683808089</v>
      </c>
      <c r="H79" s="681">
        <f>INPUT!BE577</f>
        <v>54.746478036022111</v>
      </c>
      <c r="I79" s="641">
        <f>INPUT!BF577</f>
        <v>54.306758510180941</v>
      </c>
      <c r="J79" s="681">
        <f>INPUT!BG577</f>
        <v>58.600493218249106</v>
      </c>
      <c r="K79" s="641">
        <f>INPUT!BH577</f>
        <v>47.758871885923625</v>
      </c>
      <c r="L79" s="681">
        <f>INPUT!BI577</f>
        <v>61.564521096396668</v>
      </c>
      <c r="M79" s="641">
        <f>INPUT!BJ577</f>
        <v>-38.657555888563216</v>
      </c>
      <c r="N79" s="681">
        <f>INPUT!BK577</f>
        <v>56.963912913808535</v>
      </c>
      <c r="O79" s="641">
        <f>INPUT!BL577</f>
        <v>18.762896487095659</v>
      </c>
      <c r="P79" s="681">
        <f>INPUT!BM577</f>
        <v>56.044880785413717</v>
      </c>
      <c r="Q79" s="641">
        <f>INPUT!BN577</f>
        <v>10.149080726853843</v>
      </c>
      <c r="R79" s="681">
        <f>INPUT!BO577</f>
        <v>63.218390804597703</v>
      </c>
      <c r="S79" s="641">
        <f>INPUT!BP577</f>
        <v>34.824194953569453</v>
      </c>
      <c r="T79" s="681">
        <f>INPUT!BQ577</f>
        <v>63.44782890473104</v>
      </c>
      <c r="U79" s="641">
        <f>INPUT!BR577</f>
        <v>24.779377471971564</v>
      </c>
      <c r="V79" s="681">
        <f>INPUT!BS577</f>
        <v>61.873015873015873</v>
      </c>
      <c r="W79" s="641">
        <f>INPUT!BT577</f>
        <v>23.631264586431325</v>
      </c>
      <c r="X79" s="681">
        <f>INPUT!BU577</f>
        <v>72.417017297802744</v>
      </c>
      <c r="Y79" s="641">
        <f>INPUT!BV577</f>
        <v>68.968526700485583</v>
      </c>
      <c r="Z79" s="681">
        <f>INPUT!BW577</f>
        <v>85.882352941176492</v>
      </c>
      <c r="AA79" s="641">
        <f>INPUT!BX577</f>
        <v>35.850267379679181</v>
      </c>
      <c r="AB79" s="681">
        <f>INPUT!BY577</f>
        <v>80.318379160636738</v>
      </c>
      <c r="AC79" s="641">
        <f>INPUT!BZ577</f>
        <v>26.589641516713481</v>
      </c>
      <c r="AD79" s="681">
        <f>INPUT!CA577</f>
        <v>67.687660127719766</v>
      </c>
      <c r="AE79" s="641">
        <f>INPUT!CB577</f>
        <v>9.3977062095009103</v>
      </c>
      <c r="AF79" s="681">
        <f>INPUT!CC577</f>
        <v>63.630296963630322</v>
      </c>
      <c r="AG79" s="641">
        <f>INPUT!CD577</f>
        <v>-12.133502127046359</v>
      </c>
      <c r="AH79" s="681">
        <f>INPUT!CE577</f>
        <v>64.336158192090409</v>
      </c>
      <c r="AI79" s="641">
        <f>INPUT!CF577</f>
        <v>-25.088034981812555</v>
      </c>
      <c r="AJ79" s="681">
        <f>INPUT!CG577</f>
        <v>65.153078775369806</v>
      </c>
      <c r="AK79" s="641">
        <f>INPUT!CH577</f>
        <v>-18.88148210129631</v>
      </c>
      <c r="AL79" s="681">
        <f>INPUT!CI577</f>
        <v>58.380681818181827</v>
      </c>
      <c r="AM79" s="641">
        <f>INPUT!CJ577</f>
        <v>-13.749889258952985</v>
      </c>
      <c r="AN79" s="681">
        <f>INPUT!CK577</f>
        <v>58.299731182795696</v>
      </c>
      <c r="AO79" s="641">
        <f>INPUT!CL577</f>
        <v>-8.3774020163405183</v>
      </c>
      <c r="AP79" s="681">
        <f>INPUT!CM577</f>
        <v>53.316418992388542</v>
      </c>
      <c r="AQ79" s="641">
        <f>INPUT!CN577</f>
        <v>-17.128376187461956</v>
      </c>
      <c r="AR79" s="681">
        <f>INPUT!CO577</f>
        <v>54.314197318666217</v>
      </c>
      <c r="AS79" s="641">
        <f>INPUT!CP577</f>
        <v>-16.636023439618441</v>
      </c>
      <c r="AT79" s="681">
        <f>INPUT!CQ577</f>
        <v>61.233620965164562</v>
      </c>
      <c r="AU79" s="641">
        <f>INPUT!CR577</f>
        <v>4.8867862760969549</v>
      </c>
      <c r="AV79" s="681">
        <f>INPUT!CS577</f>
        <v>53.928571428571431</v>
      </c>
      <c r="AW79" s="641">
        <f>INPUT!CT577</f>
        <v>-7.4977356937011024</v>
      </c>
      <c r="AX79" s="681">
        <f>INPUT!CU577</f>
        <v>52.901023890784984</v>
      </c>
      <c r="AY79" s="641">
        <f>INPUT!CV577</f>
        <v>-0.77911290640667596</v>
      </c>
      <c r="AZ79" s="681">
        <f>INPUT!CW577</f>
        <v>51.864406779661017</v>
      </c>
      <c r="BA79" s="641">
        <f>INPUT!CX577</f>
        <v>-4.5104054923836179</v>
      </c>
      <c r="BB79" s="681">
        <f>INPUT!CY577</f>
        <v>46.036585365853654</v>
      </c>
      <c r="BC79" s="641">
        <f>INPUT!CZ577</f>
        <v>-24.818123376953992</v>
      </c>
      <c r="BD79" s="681">
        <f>INPUT!DA577</f>
        <v>50</v>
      </c>
      <c r="BE79" s="641">
        <f>INPUT!DB577</f>
        <v>-7.2847682119205341</v>
      </c>
      <c r="BF79" s="681">
        <f>INPUT!DC577</f>
        <v>44.723247726952948</v>
      </c>
      <c r="BG79" s="641">
        <f>INPUT!DD577</f>
        <v>-15.458634941953465</v>
      </c>
      <c r="BH79" s="681">
        <f>INPUT!DE577</f>
        <v>45.783132530120483</v>
      </c>
      <c r="BI79" s="641">
        <f>INPUT!DF577</f>
        <v>-11.725332703362469</v>
      </c>
      <c r="BJ79" s="681">
        <f>INPUT!DG577</f>
        <v>42.772861356932154</v>
      </c>
      <c r="BK79" s="641">
        <f>INPUT!DH577</f>
        <v>-7.0894137412334519</v>
      </c>
      <c r="BL79" s="681">
        <f>INPUT!DI577</f>
        <v>41.736694677871142</v>
      </c>
      <c r="BM79" s="641">
        <f>INPUT!DJ577</f>
        <v>-16.526610644257712</v>
      </c>
      <c r="BN79" s="681">
        <f>INPUT!DK577</f>
        <v>38.46153846153846</v>
      </c>
      <c r="BO79" s="641">
        <f>INPUT!DL577</f>
        <v>-14.001016437007996</v>
      </c>
      <c r="BP79" s="681">
        <f>INPUT!DM577</f>
        <v>37.760416666666664</v>
      </c>
      <c r="BQ79" s="641">
        <f>INPUT!DN577</f>
        <v>-17.5233004385965</v>
      </c>
      <c r="BR79" s="681">
        <f>INPUT!DO577</f>
        <v>39.10891089108911</v>
      </c>
      <c r="BS79" s="641">
        <f>INPUT!DP577</f>
        <v>-8.5660635029020114</v>
      </c>
      <c r="BT79" s="681">
        <f>INPUT!DQ577</f>
        <v>34.625322997416021</v>
      </c>
      <c r="BU79" s="641">
        <f>INPUT!DR577</f>
        <v>-17.038655637063616</v>
      </c>
      <c r="BV79" s="681">
        <f>INPUT!DS577</f>
        <v>29.829545454545457</v>
      </c>
      <c r="BW79" s="641">
        <f>INPUT!DT577</f>
        <v>-22.443181818181813</v>
      </c>
      <c r="BX79" s="681">
        <f>INPUT!DU577</f>
        <v>32.717678100263853</v>
      </c>
      <c r="BY79" s="641">
        <f>INPUT!DV577</f>
        <v>-13.354562824128823</v>
      </c>
      <c r="BZ79" s="681">
        <f>INPUT!DW577</f>
        <v>40.332147093712933</v>
      </c>
      <c r="CA79" s="641">
        <f>INPUT!DX577</f>
        <v>40.332147093712933</v>
      </c>
      <c r="CB79" s="681">
        <f>INPUT!DY577</f>
        <v>34.554973821989535</v>
      </c>
      <c r="CC79" s="641">
        <f>INPUT!DZ577</f>
        <v>-0.20317261858245894</v>
      </c>
      <c r="CD79" s="681">
        <f>INPUT!EA577</f>
        <v>35.082872928176798</v>
      </c>
      <c r="CE79" s="641">
        <f>INPUT!EB577</f>
        <v>17.611154959221253</v>
      </c>
      <c r="CF79" s="681">
        <f>INPUT!EC577</f>
        <v>36.193029490616624</v>
      </c>
      <c r="CG79" s="641">
        <f>INPUT!ED577</f>
        <v>10.62224336244919</v>
      </c>
      <c r="CH79" s="681">
        <f>INPUT!EE577</f>
        <v>39.309331373989714</v>
      </c>
      <c r="CI79" s="641">
        <f>INPUT!EF577</f>
        <v>-2.5359813286078614</v>
      </c>
      <c r="CJ79" s="681">
        <f>INPUT!EG577</f>
        <v>41.56479217603912</v>
      </c>
      <c r="CK79" s="641">
        <f>INPUT!EH577</f>
        <v>20.285989479143485</v>
      </c>
      <c r="CL79" s="681">
        <f>INPUT!EI577</f>
        <v>34.170854271356781</v>
      </c>
      <c r="CM79" s="641">
        <f>INPUT!EJ577</f>
        <v>-2.5996122344003614</v>
      </c>
      <c r="CN79" s="681">
        <f>INPUT!EK577</f>
        <v>40.095465393794747</v>
      </c>
      <c r="CO79" s="641">
        <f>INPUT!EL577</f>
        <v>10.782285865818064</v>
      </c>
      <c r="CP79" s="681">
        <f>INPUT!EM577</f>
        <v>40.369088811995383</v>
      </c>
      <c r="CQ79" s="641">
        <f>INPUT!EN577</f>
        <v>2.6959436880854559</v>
      </c>
      <c r="CR79" s="681">
        <f>INPUT!EO577</f>
        <v>39.090909090909093</v>
      </c>
      <c r="CS79" s="641">
        <f>INPUT!EP577</f>
        <v>-5.9518716577540047</v>
      </c>
      <c r="CT79" s="681">
        <f>INPUT!EQ577</f>
        <v>37.27722505873794</v>
      </c>
      <c r="CU79" s="641">
        <f>INPUT!ER577</f>
        <v>9.0907027454242737</v>
      </c>
      <c r="CV79" s="681">
        <f>INPUT!ES577</f>
        <v>41.108643984978436</v>
      </c>
      <c r="CW79" s="641">
        <f>INPUT!ET577</f>
        <v>2.5269156530117076</v>
      </c>
      <c r="CX79" s="681">
        <f>INPUT!EU577</f>
        <v>42.476489114489283</v>
      </c>
      <c r="CY79" s="641">
        <f>INPUT!EV577</f>
        <v>5.2203316064634686</v>
      </c>
      <c r="CZ79" s="681">
        <f>INPUT!EW577</f>
        <v>43.063831712068037</v>
      </c>
      <c r="DA79" s="641">
        <f>INPUT!EX577</f>
        <v>10.16329042622055</v>
      </c>
      <c r="DB79" s="640"/>
      <c r="DC79" s="681">
        <f>INPUT!FP577</f>
        <v>31.846181792261717</v>
      </c>
      <c r="DD79" s="641">
        <f>INPUT!FQ577</f>
        <v>0</v>
      </c>
      <c r="DE79" s="681">
        <f>INPUT!FR577</f>
        <v>54.182162305751092</v>
      </c>
      <c r="DF79" s="641">
        <f>INPUT!FS577</f>
        <v>70.137075330383183</v>
      </c>
      <c r="DG79" s="681">
        <f>INPUT!FT577</f>
        <v>58.229547318964883</v>
      </c>
      <c r="DH79" s="641">
        <f>INPUT!FU577</f>
        <v>7.4699584530685703</v>
      </c>
      <c r="DI79" s="681">
        <f>INPUT!FV577</f>
        <v>64.632224168126072</v>
      </c>
      <c r="DJ79" s="641">
        <f>INPUT!FW577</f>
        <v>10.995580669877359</v>
      </c>
      <c r="DK79" s="681">
        <f>INPUT!FX577</f>
        <v>72.832232030788035</v>
      </c>
      <c r="DL79" s="641">
        <f>INPUT!FY577</f>
        <v>12.687181925430103</v>
      </c>
      <c r="DM79" s="681">
        <f>INPUT!FZ577</f>
        <v>61.529789263723814</v>
      </c>
      <c r="DN79" s="641">
        <f>INPUT!GA577</f>
        <v>-15.518462707948299</v>
      </c>
      <c r="DO79" s="681">
        <f>INPUT!GB577</f>
        <v>55.85065103043889</v>
      </c>
      <c r="DP79" s="641">
        <f>INPUT!GC577</f>
        <v>-9.2299003478518049</v>
      </c>
      <c r="DQ79" s="681">
        <f>INPUT!GD577</f>
        <v>50.082101806239741</v>
      </c>
      <c r="DR79" s="641">
        <f>INPUT!GE577</f>
        <v>-10.328526378421731</v>
      </c>
      <c r="DS79" s="681">
        <f>INPUT!GF577</f>
        <v>43.686307857230098</v>
      </c>
      <c r="DT79" s="641">
        <f>INPUT!GG577</f>
        <v>-12.770618081793028</v>
      </c>
      <c r="DU79" s="681">
        <f>INPUT!GH577</f>
        <v>37.491877842755031</v>
      </c>
      <c r="DV79" s="641">
        <f>INPUT!GI577</f>
        <v>-14.179339748094289</v>
      </c>
      <c r="DW79" s="681">
        <f>INPUT!GJ577</f>
        <v>34.604105571847512</v>
      </c>
      <c r="DX79" s="641">
        <f>INPUT!GK577</f>
        <v>-7.7023943239630359</v>
      </c>
      <c r="DY79" s="681">
        <f>INPUT!GL577</f>
        <v>38.169168330863876</v>
      </c>
      <c r="DZ79" s="641">
        <f>INPUT!GM577</f>
        <v>10.302427125632029</v>
      </c>
      <c r="EA79" s="681">
        <f>INPUT!GN577</f>
        <v>38.509316770186331</v>
      </c>
      <c r="EB79" s="641">
        <f>INPUT!GO577</f>
        <v>0.89116020651518468</v>
      </c>
      <c r="EC79" s="681">
        <f>INPUT!GP577</f>
        <v>41.086916067917223</v>
      </c>
      <c r="ED79" s="641">
        <f>INPUT!GQ577</f>
        <v>6.6934433376560243</v>
      </c>
      <c r="EE79" s="681">
        <f>INPUT!GR577</f>
        <v>41.100793938216938</v>
      </c>
      <c r="EF79" s="641">
        <f>INPUT!GS577</f>
        <v>3.377686044085948E-2</v>
      </c>
      <c r="EG79" s="681">
        <f>INPUT!GT577</f>
        <v>39.555649057688299</v>
      </c>
      <c r="EH79" s="641">
        <f>INPUT!GU577</f>
        <v>-3.7594039736831175</v>
      </c>
      <c r="EI79" s="681">
        <f>INPUT!GV577</f>
        <v>38.660970220300051</v>
      </c>
      <c r="EJ79" s="641">
        <f>INPUT!GW577</f>
        <v>-2.261823174948896</v>
      </c>
      <c r="EK79" s="681">
        <f>INPUT!GX577</f>
        <v>37.69963981314384</v>
      </c>
      <c r="EL79" s="641">
        <f>INPUT!GY577</f>
        <v>-2.486565654401085</v>
      </c>
      <c r="EM79" s="852">
        <f>INPUT!GZ577</f>
        <v>-0.42409149479469832</v>
      </c>
    </row>
    <row r="80" spans="1:152" ht="12.75" customHeight="1" x14ac:dyDescent="0.2">
      <c r="A80" s="851" t="str">
        <f>INPUT!B581</f>
        <v>Corporate/Other</v>
      </c>
      <c r="B80" s="681">
        <f>INPUT!AY581</f>
        <v>8.098477486232597E-2</v>
      </c>
      <c r="C80" s="641" t="str">
        <f>INPUT!AZ581</f>
        <v>NM</v>
      </c>
      <c r="D80" s="681">
        <f>INPUT!BA581</f>
        <v>-9.8485363037424438</v>
      </c>
      <c r="E80" s="641" t="str">
        <f>INPUT!BB581</f>
        <v>NM</v>
      </c>
      <c r="F80" s="681">
        <f>INPUT!BC581</f>
        <v>-7.4672542538866429</v>
      </c>
      <c r="G80" s="641" t="str">
        <f>INPUT!BD581</f>
        <v>NM</v>
      </c>
      <c r="H80" s="681">
        <f>INPUT!BE581</f>
        <v>-10.521310111157346</v>
      </c>
      <c r="I80" s="641" t="str">
        <f>INPUT!BF581</f>
        <v>NM</v>
      </c>
      <c r="J80" s="681">
        <f>INPUT!BG581</f>
        <v>-8.6621454993834757</v>
      </c>
      <c r="K80" s="641" t="str">
        <f>INPUT!BH581</f>
        <v>NM</v>
      </c>
      <c r="L80" s="681">
        <f>INPUT!BI581</f>
        <v>-12.319063751154914</v>
      </c>
      <c r="M80" s="641">
        <f>INPUT!BJ581</f>
        <v>25.085224557416417</v>
      </c>
      <c r="N80" s="681">
        <f>INPUT!BK581</f>
        <v>-12.46644795705339</v>
      </c>
      <c r="O80" s="641">
        <f>INPUT!BL581</f>
        <v>66.948218624867479</v>
      </c>
      <c r="P80" s="681">
        <f>INPUT!BM581</f>
        <v>-11.584852734922858</v>
      </c>
      <c r="Q80" s="641">
        <f>INPUT!BN581</f>
        <v>10.108461898083165</v>
      </c>
      <c r="R80" s="681">
        <f>INPUT!BO581</f>
        <v>-12.577996715927744</v>
      </c>
      <c r="S80" s="641">
        <f>INPUT!BP581</f>
        <v>45.2064816600342</v>
      </c>
      <c r="T80" s="681">
        <f>INPUT!BQ581</f>
        <v>-14.484769928710303</v>
      </c>
      <c r="U80" s="641">
        <f>INPUT!BR581</f>
        <v>17.580119896305881</v>
      </c>
      <c r="V80" s="681">
        <f>INPUT!BS581</f>
        <v>-12.666666666666663</v>
      </c>
      <c r="W80" s="641">
        <f>INPUT!BT581</f>
        <v>1.606060606060522</v>
      </c>
      <c r="X80" s="681">
        <f>INPUT!BU581</f>
        <v>-19.261337073398799</v>
      </c>
      <c r="Y80" s="641">
        <f>INPUT!BV581</f>
        <v>66.26311541565795</v>
      </c>
      <c r="Z80" s="681">
        <f>INPUT!BW581</f>
        <v>-38.925831202046027</v>
      </c>
      <c r="AA80" s="641" t="str">
        <f>INPUT!BX581</f>
        <v>NM</v>
      </c>
      <c r="AB80" s="681">
        <f>INPUT!BY581</f>
        <v>-25.22913651712491</v>
      </c>
      <c r="AC80" s="641">
        <f>INPUT!BZ581</f>
        <v>74.176991704356794</v>
      </c>
      <c r="AD80" s="681">
        <f>INPUT!CA581</f>
        <v>-12.466062483270244</v>
      </c>
      <c r="AE80" s="641">
        <f>INPUT!CB581</f>
        <v>-1.5837172373401431</v>
      </c>
      <c r="AF80" s="681">
        <f>INPUT!CC581</f>
        <v>-9.5095095095095044</v>
      </c>
      <c r="AG80" s="641" t="str">
        <f>INPUT!CD581</f>
        <v>NM</v>
      </c>
      <c r="AH80" s="681">
        <f>INPUT!CE581</f>
        <v>-11.511299435028247</v>
      </c>
      <c r="AI80" s="641" t="str">
        <f>INPUT!CF581</f>
        <v>NM</v>
      </c>
      <c r="AJ80" s="681">
        <f>INPUT!CG581</f>
        <v>-12.41830065359477</v>
      </c>
      <c r="AK80" s="641" t="str">
        <f>INPUT!CH581</f>
        <v>NM</v>
      </c>
      <c r="AL80" s="681">
        <f>INPUT!CI581</f>
        <v>-12.67755681818182</v>
      </c>
      <c r="AM80" s="641">
        <f>INPUT!CJ581</f>
        <v>1.6965608442554014</v>
      </c>
      <c r="AN80" s="681">
        <f>INPUT!CK581</f>
        <v>-10.987903225806466</v>
      </c>
      <c r="AO80" s="641">
        <f>INPUT!CL581</f>
        <v>15.546477079796484</v>
      </c>
      <c r="AP80" s="681">
        <f>INPUT!CM581</f>
        <v>-13.011960855382377</v>
      </c>
      <c r="AQ80" s="641">
        <f>INPUT!CN581</f>
        <v>13.036420682340166</v>
      </c>
      <c r="AR80" s="681">
        <f>INPUT!CO581</f>
        <v>-12.375386730835347</v>
      </c>
      <c r="AS80" s="641">
        <f>INPUT!CP581</f>
        <v>-0.34557000958903572</v>
      </c>
      <c r="AT80" s="681">
        <f>INPUT!CQ581</f>
        <v>-10.194950463406842</v>
      </c>
      <c r="AU80" s="641">
        <f>INPUT!CR581</f>
        <v>-19.582687661194221</v>
      </c>
      <c r="AV80" s="681">
        <f>INPUT!CS581</f>
        <v>-12.5</v>
      </c>
      <c r="AW80" s="641">
        <f>INPUT!CT581</f>
        <v>13.761467889908108</v>
      </c>
      <c r="AX80" s="681">
        <f>INPUT!CU581</f>
        <v>-11.604095563139932</v>
      </c>
      <c r="AY80" s="641">
        <f>INPUT!CV581</f>
        <v>-10.819778109462142</v>
      </c>
      <c r="AZ80" s="681">
        <f>INPUT!CW581</f>
        <v>-11.525423728813559</v>
      </c>
      <c r="BA80" s="641">
        <f>INPUT!CX581</f>
        <v>-6.8681732580038286</v>
      </c>
      <c r="BB80" s="681">
        <f>INPUT!CY581</f>
        <v>-0.91463414634146334</v>
      </c>
      <c r="BC80" s="641" t="str">
        <f>INPUT!CZ581</f>
        <v>NM</v>
      </c>
      <c r="BD80" s="681">
        <f>INPUT!DA581</f>
        <v>-11.589403973509933</v>
      </c>
      <c r="BE80" s="641">
        <f>INPUT!DB581</f>
        <v>-7.2847682119205341</v>
      </c>
      <c r="BF80" s="681">
        <f>INPUT!DC581</f>
        <v>-9.0452867355895172</v>
      </c>
      <c r="BG80" s="641">
        <f>INPUT!DD581</f>
        <v>-22.050911366831517</v>
      </c>
      <c r="BH80" s="681">
        <f>INPUT!DE581</f>
        <v>-12.048192771084338</v>
      </c>
      <c r="BI80" s="641">
        <f>INPUT!DF581</f>
        <v>4.5357902197023403</v>
      </c>
      <c r="BJ80" s="681">
        <f>INPUT!DG581</f>
        <v>-9.7345132743362832</v>
      </c>
      <c r="BK80" s="641" t="str">
        <f>INPUT!DH581</f>
        <v>NM</v>
      </c>
      <c r="BL80" s="681">
        <f>INPUT!DI581</f>
        <v>-7.8431372549019605</v>
      </c>
      <c r="BM80" s="641">
        <f>INPUT!DJ581</f>
        <v>-32.324929971988794</v>
      </c>
      <c r="BN80" s="681">
        <f>INPUT!DK581</f>
        <v>-8.2417582417582409</v>
      </c>
      <c r="BO80" s="641">
        <f>INPUT!DL581</f>
        <v>-8.883394383394382</v>
      </c>
      <c r="BP80" s="681">
        <f>INPUT!DM581</f>
        <v>-7.291666666666667</v>
      </c>
      <c r="BQ80" s="641">
        <f>INPUT!DN581</f>
        <v>-39.479166666666664</v>
      </c>
      <c r="BR80" s="681">
        <f>INPUT!DO581</f>
        <v>-7.1782178217821775</v>
      </c>
      <c r="BS80" s="641">
        <f>INPUT!DP581</f>
        <v>-26.260126012601269</v>
      </c>
      <c r="BT80" s="681">
        <f>INPUT!DQ581</f>
        <v>-6.7183462532299743</v>
      </c>
      <c r="BU80" s="641">
        <f>INPUT!DR581</f>
        <v>-14.341085271317821</v>
      </c>
      <c r="BV80" s="681">
        <f>INPUT!DS581</f>
        <v>-7.6704545454545459</v>
      </c>
      <c r="BW80" s="641">
        <f>INPUT!DT581</f>
        <v>-6.9318181818181728</v>
      </c>
      <c r="BX80" s="681">
        <f>INPUT!DU581</f>
        <v>-7.9155672823219003</v>
      </c>
      <c r="BY80" s="641">
        <f>INPUT!DV581</f>
        <v>8.556351300414633</v>
      </c>
      <c r="BZ80" s="681">
        <f>INPUT!DW581</f>
        <v>-8.4223013048635824</v>
      </c>
      <c r="CA80" s="641">
        <f>INPUT!DX581</f>
        <v>-8.4223013048635824</v>
      </c>
      <c r="CB80" s="681">
        <f>INPUT!DY581</f>
        <v>-6.8062827225130889</v>
      </c>
      <c r="CC80" s="641">
        <f>INPUT!DZ581</f>
        <v>1.308900523560208</v>
      </c>
      <c r="CD80" s="681">
        <f>INPUT!EA581</f>
        <v>-4.1436464088397784</v>
      </c>
      <c r="CE80" s="641">
        <f>INPUT!EB581</f>
        <v>-45.979128299570306</v>
      </c>
      <c r="CF80" s="681">
        <f>INPUT!EC581</f>
        <v>-7.5067024128686324</v>
      </c>
      <c r="CG80" s="641">
        <f>INPUT!ED581</f>
        <v>-5.1653261840929554</v>
      </c>
      <c r="CH80" s="681">
        <f>INPUT!EE581</f>
        <v>-7.3475385745775164</v>
      </c>
      <c r="CI80" s="641">
        <f>INPUT!EF581</f>
        <v>-12.760915234241599</v>
      </c>
      <c r="CJ80" s="681">
        <f>INPUT!EG581</f>
        <v>-9.0464547677261606</v>
      </c>
      <c r="CK80" s="641">
        <f>INPUT!EH581</f>
        <v>32.913296971976671</v>
      </c>
      <c r="CL80" s="681">
        <f>INPUT!EI581</f>
        <v>-3.2663316582914574</v>
      </c>
      <c r="CM80" s="641">
        <f>INPUT!EJ581</f>
        <v>-21.172529313232815</v>
      </c>
      <c r="CN80" s="681">
        <f>INPUT!EK581</f>
        <v>-8.8305489260143197</v>
      </c>
      <c r="CO80" s="641">
        <f>INPUT!EL581</f>
        <v>17.63552676440505</v>
      </c>
      <c r="CP80" s="681">
        <f>INPUT!EM581</f>
        <v>-9.1118800461361023</v>
      </c>
      <c r="CQ80" s="641">
        <f>INPUT!EN581</f>
        <v>24.012687427912361</v>
      </c>
      <c r="CR80" s="681">
        <f>INPUT!EO581</f>
        <v>-8.6363636363636367</v>
      </c>
      <c r="CS80" s="641">
        <f>INPUT!EP581</f>
        <v>-4.5331695331695236</v>
      </c>
      <c r="CT80" s="681">
        <f>INPUT!EQ581</f>
        <v>-12.393572150905346</v>
      </c>
      <c r="CU80" s="641" t="str">
        <f>INPUT!ER581</f>
        <v>NM</v>
      </c>
      <c r="CV80" s="681">
        <f>INPUT!ES581</f>
        <v>-11.599617553726613</v>
      </c>
      <c r="CW80" s="641">
        <f>INPUT!ET581</f>
        <v>31.35783121652571</v>
      </c>
      <c r="CX80" s="681">
        <f>INPUT!EU581</f>
        <v>-11.094045093188301</v>
      </c>
      <c r="CY80" s="641">
        <f>INPUT!EV581</f>
        <v>21.753634123977928</v>
      </c>
      <c r="CZ80" s="681">
        <f>INPUT!EW581</f>
        <v>-10.738359862003431</v>
      </c>
      <c r="DA80" s="641">
        <f>INPUT!EX581</f>
        <v>24.33890366530289</v>
      </c>
      <c r="DB80" s="640"/>
      <c r="DC80" s="681">
        <f>INPUT!FP581</f>
        <v>2.3281053476292408</v>
      </c>
      <c r="DD80" s="641" t="str">
        <f>INPUT!FQ581</f>
        <v>NA</v>
      </c>
      <c r="DE80" s="681">
        <f>INPUT!FR581</f>
        <v>-7.3548944082879544</v>
      </c>
      <c r="DF80" s="641" t="str">
        <f>INPUT!FS581</f>
        <v>NM</v>
      </c>
      <c r="DG80" s="681">
        <f>INPUT!FT581</f>
        <v>-11.276008650906101</v>
      </c>
      <c r="DH80" s="641">
        <f>INPUT!FU581</f>
        <v>53.3129916617102</v>
      </c>
      <c r="DI80" s="681">
        <f>INPUT!FV581</f>
        <v>-14.369527145359019</v>
      </c>
      <c r="DJ80" s="641">
        <f>INPUT!FW581</f>
        <v>27.434516859867198</v>
      </c>
      <c r="DK80" s="681">
        <f>INPUT!FX581</f>
        <v>-19.657472432858576</v>
      </c>
      <c r="DL80" s="641">
        <f>INPUT!FY581</f>
        <v>36.799716747864068</v>
      </c>
      <c r="DM80" s="681">
        <f>INPUT!FZ581</f>
        <v>-11.889688665336923</v>
      </c>
      <c r="DN80" s="641">
        <f>INPUT!GA581</f>
        <v>-39.515679312551718</v>
      </c>
      <c r="DO80" s="681">
        <f>INPUT!GB581</f>
        <v>-11.968612572216959</v>
      </c>
      <c r="DP80" s="641">
        <f>INPUT!GC581</f>
        <v>0.66380129119889553</v>
      </c>
      <c r="DQ80" s="681">
        <f>INPUT!GD581</f>
        <v>-8.7027914614121507</v>
      </c>
      <c r="DR80" s="641">
        <f>INPUT!GE581</f>
        <v>-27.286547134008167</v>
      </c>
      <c r="DS80" s="681">
        <f>INPUT!GF581</f>
        <v>-9.6494679976901594</v>
      </c>
      <c r="DT80" s="641">
        <f>INPUT!GG581</f>
        <v>10.8778492564775</v>
      </c>
      <c r="DU80" s="681">
        <f>INPUT!GH581</f>
        <v>-7.3424301494476927</v>
      </c>
      <c r="DV80" s="641">
        <f>INPUT!GI581</f>
        <v>-23.908446028265118</v>
      </c>
      <c r="DW80" s="681">
        <f>INPUT!GJ581</f>
        <v>-7.7223851417399807</v>
      </c>
      <c r="DX80" s="641">
        <f>INPUT!GK581</f>
        <v>5.1747852490073631</v>
      </c>
      <c r="DY80" s="681">
        <f>INPUT!GL581</f>
        <v>-7.0862590994008894</v>
      </c>
      <c r="DZ80" s="641">
        <f>INPUT!GM581</f>
        <v>-8.2374296368720294</v>
      </c>
      <c r="EA80" s="681">
        <f>INPUT!GN581</f>
        <v>-7.5421472937000882</v>
      </c>
      <c r="EB80" s="641">
        <f>INPUT!GO581</f>
        <v>6.4334113091876866</v>
      </c>
      <c r="EC80" s="681">
        <f>INPUT!GP581</f>
        <v>-11.426603221435057</v>
      </c>
      <c r="ED80" s="641">
        <f>INPUT!GQ581</f>
        <v>51.50331565361541</v>
      </c>
      <c r="EE80" s="681">
        <f>INPUT!GR581</f>
        <v>-9.5467550340034375</v>
      </c>
      <c r="EF80" s="641">
        <f>INPUT!GS581</f>
        <v>-16.451504887342459</v>
      </c>
      <c r="EG80" s="681">
        <f>INPUT!GT581</f>
        <v>-5.4808872392371519</v>
      </c>
      <c r="EH80" s="641">
        <f>INPUT!GU581</f>
        <v>-42.589003072610119</v>
      </c>
      <c r="EI80" s="681">
        <f>INPUT!GV581</f>
        <v>-5.1101062613560053</v>
      </c>
      <c r="EJ80" s="641">
        <f>INPUT!GW581</f>
        <v>-6.7649809546666217</v>
      </c>
      <c r="EK80" s="681">
        <f>INPUT!GX581</f>
        <v>-4.7461481763248461</v>
      </c>
      <c r="EL80" s="641">
        <f>INPUT!GY581</f>
        <v>-7.1223193103342686</v>
      </c>
      <c r="EM80" s="852">
        <f>INPUT!GZ581</f>
        <v>-8.8473588957366562</v>
      </c>
    </row>
    <row r="81" spans="1:143" ht="12.75" customHeight="1" x14ac:dyDescent="0.2">
      <c r="A81" s="851" t="str">
        <f>INPUT!B582</f>
        <v>Adjs in deferred compensation plans</v>
      </c>
      <c r="B81" s="681">
        <f>INPUT!AY582</f>
        <v>0</v>
      </c>
      <c r="C81" s="641" t="str">
        <f>INPUT!AZ582</f>
        <v>NA</v>
      </c>
      <c r="D81" s="681">
        <f>INPUT!BA582</f>
        <v>0</v>
      </c>
      <c r="E81" s="641" t="str">
        <f>INPUT!BB582</f>
        <v>NA</v>
      </c>
      <c r="F81" s="681">
        <f>INPUT!BC582</f>
        <v>0</v>
      </c>
      <c r="G81" s="641" t="str">
        <f>INPUT!BD582</f>
        <v>NA</v>
      </c>
      <c r="H81" s="681">
        <f>INPUT!BE582</f>
        <v>0</v>
      </c>
      <c r="I81" s="641" t="str">
        <f>INPUT!BF582</f>
        <v>NA</v>
      </c>
      <c r="J81" s="681">
        <f>INPUT!BG582</f>
        <v>0</v>
      </c>
      <c r="K81" s="641" t="str">
        <f>INPUT!BH582</f>
        <v>NA</v>
      </c>
      <c r="L81" s="681">
        <f>INPUT!BI582</f>
        <v>0</v>
      </c>
      <c r="M81" s="641" t="str">
        <f>INPUT!BJ582</f>
        <v>NA</v>
      </c>
      <c r="N81" s="681">
        <f>INPUT!BK582</f>
        <v>0</v>
      </c>
      <c r="O81" s="641" t="str">
        <f>INPUT!BL582</f>
        <v>NA</v>
      </c>
      <c r="P81" s="681">
        <f>INPUT!BM582</f>
        <v>0</v>
      </c>
      <c r="Q81" s="641" t="str">
        <f>INPUT!BN582</f>
        <v>NA</v>
      </c>
      <c r="R81" s="681">
        <f>INPUT!BO582</f>
        <v>0</v>
      </c>
      <c r="S81" s="641" t="str">
        <f>INPUT!BP582</f>
        <v>NA</v>
      </c>
      <c r="T81" s="681">
        <f>INPUT!BQ582</f>
        <v>0</v>
      </c>
      <c r="U81" s="641" t="str">
        <f>INPUT!BR582</f>
        <v>NA</v>
      </c>
      <c r="V81" s="681">
        <f>INPUT!BS582</f>
        <v>0</v>
      </c>
      <c r="W81" s="641" t="str">
        <f>INPUT!BT582</f>
        <v>NA</v>
      </c>
      <c r="X81" s="681">
        <f>INPUT!BU582</f>
        <v>0</v>
      </c>
      <c r="Y81" s="641" t="str">
        <f>INPUT!BV582</f>
        <v>NA</v>
      </c>
      <c r="Z81" s="681">
        <f>INPUT!BW582</f>
        <v>0</v>
      </c>
      <c r="AA81" s="641" t="str">
        <f>INPUT!BX582</f>
        <v>NA</v>
      </c>
      <c r="AB81" s="681">
        <f>INPUT!BY582</f>
        <v>0</v>
      </c>
      <c r="AC81" s="641" t="str">
        <f>INPUT!BZ582</f>
        <v>NA</v>
      </c>
      <c r="AD81" s="681">
        <f>INPUT!CA582</f>
        <v>0</v>
      </c>
      <c r="AE81" s="641" t="str">
        <f>INPUT!CB582</f>
        <v>NA</v>
      </c>
      <c r="AF81" s="681">
        <f>INPUT!CC582</f>
        <v>0</v>
      </c>
      <c r="AG81" s="641" t="str">
        <f>INPUT!CD582</f>
        <v>NA</v>
      </c>
      <c r="AH81" s="681">
        <f>INPUT!CE582</f>
        <v>0</v>
      </c>
      <c r="AI81" s="641" t="str">
        <f>INPUT!CF582</f>
        <v>NA</v>
      </c>
      <c r="AJ81" s="681">
        <f>INPUT!CG582</f>
        <v>0</v>
      </c>
      <c r="AK81" s="641" t="str">
        <f>INPUT!CH582</f>
        <v>NA</v>
      </c>
      <c r="AL81" s="681">
        <f>INPUT!CI582</f>
        <v>0</v>
      </c>
      <c r="AM81" s="641" t="str">
        <f>INPUT!CJ582</f>
        <v>NA</v>
      </c>
      <c r="AN81" s="681">
        <f>INPUT!CK582</f>
        <v>0</v>
      </c>
      <c r="AO81" s="641" t="str">
        <f>INPUT!CL582</f>
        <v>NA</v>
      </c>
      <c r="AP81" s="681">
        <f>INPUT!CM582</f>
        <v>0</v>
      </c>
      <c r="AQ81" s="641" t="str">
        <f>INPUT!CN582</f>
        <v>NA</v>
      </c>
      <c r="AR81" s="681">
        <f>INPUT!CO582</f>
        <v>-0.44688896528016531</v>
      </c>
      <c r="AS81" s="641" t="str">
        <f>INPUT!CP582</f>
        <v>NA</v>
      </c>
      <c r="AT81" s="681">
        <f>INPUT!CQ582</f>
        <v>-2.013422818791947</v>
      </c>
      <c r="AU81" s="641" t="str">
        <f>INPUT!CR582</f>
        <v>NA</v>
      </c>
      <c r="AV81" s="681">
        <f>INPUT!CS582</f>
        <v>0</v>
      </c>
      <c r="AW81" s="641" t="str">
        <f>INPUT!CT582</f>
        <v>NA</v>
      </c>
      <c r="AX81" s="681">
        <f>INPUT!CU582</f>
        <v>0</v>
      </c>
      <c r="AY81" s="641" t="str">
        <f>INPUT!CV582</f>
        <v>NA</v>
      </c>
      <c r="AZ81" s="681">
        <f>INPUT!CW582</f>
        <v>-1.3559322033898304</v>
      </c>
      <c r="BA81" s="641" t="str">
        <f>INPUT!CX582</f>
        <v>NM</v>
      </c>
      <c r="BB81" s="681">
        <f>INPUT!CY582</f>
        <v>0</v>
      </c>
      <c r="BC81" s="641" t="str">
        <f>INPUT!CZ582</f>
        <v>NM</v>
      </c>
      <c r="BD81" s="681">
        <f>INPUT!DA582</f>
        <v>0</v>
      </c>
      <c r="BE81" s="641" t="str">
        <f>INPUT!DB582</f>
        <v>NA</v>
      </c>
      <c r="BF81" s="681">
        <f>INPUT!DC582</f>
        <v>0</v>
      </c>
      <c r="BG81" s="641" t="str">
        <f>INPUT!DD582</f>
        <v>NA</v>
      </c>
      <c r="BH81" s="681">
        <f>INPUT!DE582</f>
        <v>0</v>
      </c>
      <c r="BI81" s="641" t="str">
        <f>INPUT!DF582</f>
        <v>NM</v>
      </c>
      <c r="BJ81" s="681">
        <f>INPUT!DG582</f>
        <v>0</v>
      </c>
      <c r="BK81" s="641" t="str">
        <f>INPUT!DH582</f>
        <v>NA</v>
      </c>
      <c r="BL81" s="681">
        <f>INPUT!DI582</f>
        <v>0</v>
      </c>
      <c r="BM81" s="641" t="str">
        <f>INPUT!DJ582</f>
        <v>NA</v>
      </c>
      <c r="BN81" s="681">
        <f>INPUT!DK582</f>
        <v>-0.27472527472527475</v>
      </c>
      <c r="BO81" s="641" t="str">
        <f>INPUT!DL582</f>
        <v>NA</v>
      </c>
      <c r="BP81" s="681">
        <f>INPUT!DM582</f>
        <v>0.26041666666666663</v>
      </c>
      <c r="BQ81" s="641" t="str">
        <f>INPUT!DN582</f>
        <v>NA</v>
      </c>
      <c r="BR81" s="681">
        <f>INPUT!DO582</f>
        <v>0.49504950495049505</v>
      </c>
      <c r="BS81" s="641" t="str">
        <f>INPUT!DP582</f>
        <v>NA</v>
      </c>
      <c r="BT81" s="681">
        <f>INPUT!DQ582</f>
        <v>0</v>
      </c>
      <c r="BU81" s="641" t="str">
        <f>INPUT!DR582</f>
        <v>NA</v>
      </c>
      <c r="BV81" s="681">
        <f>INPUT!DS582</f>
        <v>0</v>
      </c>
      <c r="BW81" s="641" t="str">
        <f>INPUT!DT582</f>
        <v>NM</v>
      </c>
      <c r="BX81" s="681">
        <f>INPUT!DU582</f>
        <v>0</v>
      </c>
      <c r="BY81" s="641" t="str">
        <f>INPUT!DV582</f>
        <v>NM</v>
      </c>
      <c r="BZ81" s="681">
        <f>INPUT!DW582</f>
        <v>-1.6607354685646498</v>
      </c>
      <c r="CA81" s="641">
        <f>INPUT!DX582</f>
        <v>-1.6607354685646498</v>
      </c>
      <c r="CB81" s="681">
        <f>INPUT!DY582</f>
        <v>0</v>
      </c>
      <c r="CC81" s="641" t="str">
        <f>INPUT!DZ582</f>
        <v>NA</v>
      </c>
      <c r="CD81" s="681">
        <f>INPUT!EA582</f>
        <v>-1.9337016574585635</v>
      </c>
      <c r="CE81" s="641" t="str">
        <f>INPUT!EB582</f>
        <v>NA</v>
      </c>
      <c r="CF81" s="681">
        <f>INPUT!EC582</f>
        <v>0</v>
      </c>
      <c r="CG81" s="641" t="str">
        <f>INPUT!ED582</f>
        <v>NA</v>
      </c>
      <c r="CH81" s="681">
        <f>INPUT!EE582</f>
        <v>0</v>
      </c>
      <c r="CI81" s="641" t="str">
        <f>INPUT!EF582</f>
        <v>NM</v>
      </c>
      <c r="CJ81" s="681">
        <f>INPUT!EG582</f>
        <v>0</v>
      </c>
      <c r="CK81" s="641" t="str">
        <f>INPUT!EH582</f>
        <v>NA</v>
      </c>
      <c r="CL81" s="681">
        <f>INPUT!EI582</f>
        <v>0</v>
      </c>
      <c r="CM81" s="641" t="str">
        <f>INPUT!EJ582</f>
        <v>NM</v>
      </c>
      <c r="CN81" s="681">
        <f>INPUT!EK582</f>
        <v>0</v>
      </c>
      <c r="CO81" s="641" t="str">
        <f>INPUT!EL582</f>
        <v>NA</v>
      </c>
      <c r="CP81" s="681">
        <f>INPUT!EM582</f>
        <v>0</v>
      </c>
      <c r="CQ81" s="641" t="str">
        <f>INPUT!EN582</f>
        <v>NA</v>
      </c>
      <c r="CR81" s="681">
        <f>INPUT!EO582</f>
        <v>0</v>
      </c>
      <c r="CS81" s="641" t="str">
        <f>INPUT!EP582</f>
        <v>NA</v>
      </c>
      <c r="CT81" s="681">
        <f>INPUT!EQ582</f>
        <v>0</v>
      </c>
      <c r="CU81" s="641" t="str">
        <f>INPUT!ER582</f>
        <v>NA</v>
      </c>
      <c r="CV81" s="681">
        <f>INPUT!ES582</f>
        <v>0</v>
      </c>
      <c r="CW81" s="641" t="str">
        <f>INPUT!ET582</f>
        <v>NA</v>
      </c>
      <c r="CX81" s="681">
        <f>INPUT!EU582</f>
        <v>0</v>
      </c>
      <c r="CY81" s="641" t="str">
        <f>INPUT!EV582</f>
        <v>NA</v>
      </c>
      <c r="CZ81" s="681">
        <f>INPUT!EW582</f>
        <v>0</v>
      </c>
      <c r="DA81" s="641" t="str">
        <f>INPUT!EX582</f>
        <v>NA</v>
      </c>
      <c r="DB81" s="640"/>
      <c r="DC81" s="681">
        <f>INPUT!FP582</f>
        <v>0</v>
      </c>
      <c r="DD81" s="641" t="str">
        <f>INPUT!FQ582</f>
        <v>NA</v>
      </c>
      <c r="DE81" s="681">
        <f>INPUT!FR582</f>
        <v>0</v>
      </c>
      <c r="DF81" s="641" t="str">
        <f>INPUT!FS582</f>
        <v>NA</v>
      </c>
      <c r="DG81" s="681">
        <f>INPUT!FT582</f>
        <v>0</v>
      </c>
      <c r="DH81" s="641" t="str">
        <f>INPUT!FU582</f>
        <v>NA</v>
      </c>
      <c r="DI81" s="681">
        <f>INPUT!FV582</f>
        <v>0</v>
      </c>
      <c r="DJ81" s="641" t="str">
        <f>INPUT!FW582</f>
        <v>NA</v>
      </c>
      <c r="DK81" s="681">
        <f>INPUT!FX582</f>
        <v>0</v>
      </c>
      <c r="DL81" s="641" t="str">
        <f>INPUT!FY582</f>
        <v>NA</v>
      </c>
      <c r="DM81" s="681">
        <f>INPUT!FZ582</f>
        <v>0</v>
      </c>
      <c r="DN81" s="641" t="str">
        <f>INPUT!GA582</f>
        <v>NA</v>
      </c>
      <c r="DO81" s="681">
        <f>INPUT!GB582</f>
        <v>-0.65534189876692228</v>
      </c>
      <c r="DP81" s="641" t="str">
        <f>INPUT!GC582</f>
        <v>NA</v>
      </c>
      <c r="DQ81" s="681">
        <f>INPUT!GD582</f>
        <v>-0.32840722495894908</v>
      </c>
      <c r="DR81" s="641" t="str">
        <f>INPUT!GE582</f>
        <v>NA</v>
      </c>
      <c r="DS81" s="681">
        <f>INPUT!GF582</f>
        <v>0</v>
      </c>
      <c r="DT81" s="641" t="str">
        <f>INPUT!GG582</f>
        <v>NA</v>
      </c>
      <c r="DU81" s="681">
        <f>INPUT!GH582</f>
        <v>0.12995451591942819</v>
      </c>
      <c r="DV81" s="641" t="str">
        <f>INPUT!GI582</f>
        <v>NA</v>
      </c>
      <c r="DW81" s="681">
        <f>INPUT!GJ582</f>
        <v>-0.45617464972303684</v>
      </c>
      <c r="DX81" s="641">
        <f>INPUT!GK582</f>
        <v>-30.391349831078163</v>
      </c>
      <c r="DY81" s="681">
        <f>INPUT!GL582</f>
        <v>-0.45094376087096572</v>
      </c>
      <c r="DZ81" s="641">
        <f>INPUT!GM582</f>
        <v>37.312375185209071</v>
      </c>
      <c r="EA81" s="681">
        <f>INPUT!GN582</f>
        <v>0</v>
      </c>
      <c r="EB81" s="641" t="str">
        <f>INPUT!GO582</f>
        <v>NA</v>
      </c>
      <c r="EC81" s="681">
        <f>INPUT!GP582</f>
        <v>0</v>
      </c>
      <c r="ED81" s="641" t="str">
        <f>INPUT!GQ582</f>
        <v>NM</v>
      </c>
      <c r="EE81" s="681">
        <f>INPUT!GR582</f>
        <v>0</v>
      </c>
      <c r="EF81" s="641" t="str">
        <f>INPUT!GS582</f>
        <v>NM</v>
      </c>
      <c r="EG81" s="681">
        <f>INPUT!GT582</f>
        <v>0</v>
      </c>
      <c r="EH81" s="641" t="str">
        <f>INPUT!GU582</f>
        <v>NM</v>
      </c>
      <c r="EI81" s="681">
        <f>INPUT!GV582</f>
        <v>0</v>
      </c>
      <c r="EJ81" s="641" t="str">
        <f>INPUT!GW582</f>
        <v>NA</v>
      </c>
      <c r="EK81" s="681">
        <f>INPUT!GX582</f>
        <v>0</v>
      </c>
      <c r="EL81" s="641" t="str">
        <f>INPUT!GY582</f>
        <v>NA</v>
      </c>
      <c r="EM81" s="852" t="str">
        <f>INPUT!GZ582</f>
        <v/>
      </c>
    </row>
    <row r="82" spans="1:143" ht="12.75" customHeight="1" x14ac:dyDescent="0.2">
      <c r="A82" s="855" t="str">
        <f>INPUT!B583</f>
        <v xml:space="preserve">Total </v>
      </c>
      <c r="B82" s="681">
        <f>INPUT!AY583</f>
        <v>100</v>
      </c>
      <c r="C82" s="641">
        <f>INPUT!AZ583</f>
        <v>0</v>
      </c>
      <c r="D82" s="681">
        <f>INPUT!BA583</f>
        <v>100</v>
      </c>
      <c r="E82" s="641">
        <f>INPUT!BB583</f>
        <v>0</v>
      </c>
      <c r="F82" s="681">
        <f>INPUT!BC583</f>
        <v>100</v>
      </c>
      <c r="G82" s="641">
        <f>INPUT!BD583</f>
        <v>0</v>
      </c>
      <c r="H82" s="681">
        <f>INPUT!BE583</f>
        <v>100</v>
      </c>
      <c r="I82" s="641">
        <f>INPUT!BF583</f>
        <v>0</v>
      </c>
      <c r="J82" s="681">
        <f>INPUT!BG583</f>
        <v>100</v>
      </c>
      <c r="K82" s="641">
        <f>INPUT!BH583</f>
        <v>0</v>
      </c>
      <c r="L82" s="681">
        <f>INPUT!BI583</f>
        <v>100</v>
      </c>
      <c r="M82" s="641">
        <f>INPUT!BJ583</f>
        <v>0</v>
      </c>
      <c r="N82" s="681">
        <f>INPUT!BK583</f>
        <v>100</v>
      </c>
      <c r="O82" s="641">
        <f>INPUT!BL583</f>
        <v>0</v>
      </c>
      <c r="P82" s="681">
        <f>INPUT!BM583</f>
        <v>100</v>
      </c>
      <c r="Q82" s="641">
        <f>INPUT!BN583</f>
        <v>0</v>
      </c>
      <c r="R82" s="681">
        <f>INPUT!BO583</f>
        <v>100</v>
      </c>
      <c r="S82" s="641">
        <f>INPUT!BP583</f>
        <v>0</v>
      </c>
      <c r="T82" s="681">
        <f>INPUT!BQ583</f>
        <v>100</v>
      </c>
      <c r="U82" s="641">
        <f>INPUT!BR583</f>
        <v>0</v>
      </c>
      <c r="V82" s="681">
        <f>INPUT!BS583</f>
        <v>100</v>
      </c>
      <c r="W82" s="641">
        <f>INPUT!BT583</f>
        <v>0</v>
      </c>
      <c r="X82" s="681">
        <f>INPUT!BU583</f>
        <v>100</v>
      </c>
      <c r="Y82" s="641">
        <f>INPUT!BV583</f>
        <v>0</v>
      </c>
      <c r="Z82" s="681">
        <f>INPUT!BW583</f>
        <v>100</v>
      </c>
      <c r="AA82" s="641">
        <f>INPUT!BX583</f>
        <v>0</v>
      </c>
      <c r="AB82" s="681">
        <f>INPUT!BY583</f>
        <v>100</v>
      </c>
      <c r="AC82" s="641">
        <f>INPUT!BZ583</f>
        <v>0</v>
      </c>
      <c r="AD82" s="681">
        <f>INPUT!CA583</f>
        <v>100</v>
      </c>
      <c r="AE82" s="641">
        <f>INPUT!CB583</f>
        <v>0</v>
      </c>
      <c r="AF82" s="681">
        <f>INPUT!CC583</f>
        <v>100</v>
      </c>
      <c r="AG82" s="641">
        <f>INPUT!CD583</f>
        <v>0</v>
      </c>
      <c r="AH82" s="681">
        <f>INPUT!CE583</f>
        <v>100</v>
      </c>
      <c r="AI82" s="641">
        <f>INPUT!CF583</f>
        <v>0</v>
      </c>
      <c r="AJ82" s="681">
        <f>INPUT!CG583</f>
        <v>100</v>
      </c>
      <c r="AK82" s="641">
        <f>INPUT!CH583</f>
        <v>0</v>
      </c>
      <c r="AL82" s="681">
        <f>INPUT!CI583</f>
        <v>100</v>
      </c>
      <c r="AM82" s="641">
        <f>INPUT!CJ583</f>
        <v>0</v>
      </c>
      <c r="AN82" s="681">
        <f>INPUT!CK583</f>
        <v>100</v>
      </c>
      <c r="AO82" s="641">
        <f>INPUT!CL583</f>
        <v>0</v>
      </c>
      <c r="AP82" s="681">
        <f>INPUT!CM583</f>
        <v>100</v>
      </c>
      <c r="AQ82" s="641">
        <f>INPUT!CN583</f>
        <v>0</v>
      </c>
      <c r="AR82" s="681">
        <f>INPUT!CO583</f>
        <v>100</v>
      </c>
      <c r="AS82" s="641">
        <f>INPUT!CP583</f>
        <v>0</v>
      </c>
      <c r="AT82" s="681">
        <f>INPUT!CQ583</f>
        <v>100</v>
      </c>
      <c r="AU82" s="641">
        <f>INPUT!CR583</f>
        <v>0</v>
      </c>
      <c r="AV82" s="681">
        <f>INPUT!CS583</f>
        <v>100</v>
      </c>
      <c r="AW82" s="641">
        <f>INPUT!CT583</f>
        <v>0</v>
      </c>
      <c r="AX82" s="681">
        <f>INPUT!CU583</f>
        <v>100</v>
      </c>
      <c r="AY82" s="641">
        <f>INPUT!CV583</f>
        <v>0</v>
      </c>
      <c r="AZ82" s="681">
        <f>INPUT!CW583</f>
        <v>100</v>
      </c>
      <c r="BA82" s="641">
        <f>INPUT!CX583</f>
        <v>0</v>
      </c>
      <c r="BB82" s="681">
        <f>INPUT!CY583</f>
        <v>100</v>
      </c>
      <c r="BC82" s="641">
        <f>INPUT!CZ583</f>
        <v>0</v>
      </c>
      <c r="BD82" s="681">
        <f>INPUT!DA583</f>
        <v>100</v>
      </c>
      <c r="BE82" s="641">
        <f>INPUT!DB583</f>
        <v>0</v>
      </c>
      <c r="BF82" s="681">
        <f>INPUT!DC583</f>
        <v>100</v>
      </c>
      <c r="BG82" s="641">
        <f>INPUT!DD583</f>
        <v>0</v>
      </c>
      <c r="BH82" s="681">
        <f>INPUT!DE583</f>
        <v>100</v>
      </c>
      <c r="BI82" s="641">
        <f>INPUT!DF583</f>
        <v>0</v>
      </c>
      <c r="BJ82" s="681">
        <f>INPUT!DG583</f>
        <v>100</v>
      </c>
      <c r="BK82" s="641">
        <f>INPUT!DH583</f>
        <v>0</v>
      </c>
      <c r="BL82" s="681">
        <f>INPUT!DI583</f>
        <v>100</v>
      </c>
      <c r="BM82" s="641">
        <f>INPUT!DJ583</f>
        <v>0</v>
      </c>
      <c r="BN82" s="681">
        <f>INPUT!DK583</f>
        <v>100</v>
      </c>
      <c r="BO82" s="641">
        <f>INPUT!DL583</f>
        <v>0</v>
      </c>
      <c r="BP82" s="681">
        <f>INPUT!DM583</f>
        <v>100</v>
      </c>
      <c r="BQ82" s="641">
        <f>INPUT!DN583</f>
        <v>0</v>
      </c>
      <c r="BR82" s="681">
        <f>INPUT!DO583</f>
        <v>100</v>
      </c>
      <c r="BS82" s="641">
        <f>INPUT!DP583</f>
        <v>0</v>
      </c>
      <c r="BT82" s="681">
        <f>INPUT!DQ583</f>
        <v>100</v>
      </c>
      <c r="BU82" s="641">
        <f>INPUT!DR583</f>
        <v>0</v>
      </c>
      <c r="BV82" s="681">
        <f>INPUT!DS583</f>
        <v>100</v>
      </c>
      <c r="BW82" s="641">
        <f>INPUT!DT583</f>
        <v>0</v>
      </c>
      <c r="BX82" s="681">
        <f>INPUT!DU583</f>
        <v>100</v>
      </c>
      <c r="BY82" s="641">
        <f>INPUT!DV583</f>
        <v>0</v>
      </c>
      <c r="BZ82" s="681">
        <f>INPUT!DW583</f>
        <v>100</v>
      </c>
      <c r="CA82" s="641">
        <f>INPUT!DX583</f>
        <v>100</v>
      </c>
      <c r="CB82" s="681">
        <f>INPUT!DY583</f>
        <v>100</v>
      </c>
      <c r="CC82" s="641">
        <f>INPUT!DZ583</f>
        <v>0</v>
      </c>
      <c r="CD82" s="681">
        <f>INPUT!EA583</f>
        <v>100</v>
      </c>
      <c r="CE82" s="641">
        <f>INPUT!EB583</f>
        <v>0</v>
      </c>
      <c r="CF82" s="681">
        <f>INPUT!EC583</f>
        <v>100</v>
      </c>
      <c r="CG82" s="641">
        <f>INPUT!ED583</f>
        <v>0</v>
      </c>
      <c r="CH82" s="681">
        <f>INPUT!EE583</f>
        <v>100</v>
      </c>
      <c r="CI82" s="641">
        <f>INPUT!EF583</f>
        <v>0</v>
      </c>
      <c r="CJ82" s="681">
        <f>INPUT!EG583</f>
        <v>100</v>
      </c>
      <c r="CK82" s="641">
        <f>INPUT!EH583</f>
        <v>0</v>
      </c>
      <c r="CL82" s="681">
        <f>INPUT!EI583</f>
        <v>100</v>
      </c>
      <c r="CM82" s="641">
        <f>INPUT!EJ583</f>
        <v>0</v>
      </c>
      <c r="CN82" s="681">
        <f>INPUT!EK583</f>
        <v>100</v>
      </c>
      <c r="CO82" s="641">
        <f>INPUT!EL583</f>
        <v>0</v>
      </c>
      <c r="CP82" s="681">
        <f>INPUT!EM583</f>
        <v>100</v>
      </c>
      <c r="CQ82" s="641">
        <f>INPUT!EN583</f>
        <v>0</v>
      </c>
      <c r="CR82" s="681">
        <f>INPUT!EO583</f>
        <v>100</v>
      </c>
      <c r="CS82" s="641">
        <f>INPUT!EP583</f>
        <v>0</v>
      </c>
      <c r="CT82" s="681">
        <f>INPUT!EQ583</f>
        <v>100</v>
      </c>
      <c r="CU82" s="641">
        <f>INPUT!ER583</f>
        <v>0</v>
      </c>
      <c r="CV82" s="681">
        <f>INPUT!ES583</f>
        <v>100</v>
      </c>
      <c r="CW82" s="641">
        <f>INPUT!ET583</f>
        <v>0</v>
      </c>
      <c r="CX82" s="681">
        <f>INPUT!EU583</f>
        <v>100</v>
      </c>
      <c r="CY82" s="641">
        <f>INPUT!EV583</f>
        <v>0</v>
      </c>
      <c r="CZ82" s="681">
        <f>INPUT!EW583</f>
        <v>100</v>
      </c>
      <c r="DA82" s="641">
        <f>INPUT!EX583</f>
        <v>0</v>
      </c>
      <c r="DB82" s="640"/>
      <c r="DC82" s="681">
        <f>INPUT!FP583</f>
        <v>100</v>
      </c>
      <c r="DD82" s="641" t="str">
        <f>INPUT!FQ583</f>
        <v>NA</v>
      </c>
      <c r="DE82" s="681">
        <f>INPUT!FR583</f>
        <v>100</v>
      </c>
      <c r="DF82" s="641">
        <f>INPUT!FS583</f>
        <v>0</v>
      </c>
      <c r="DG82" s="681">
        <f>INPUT!FT583</f>
        <v>100</v>
      </c>
      <c r="DH82" s="641">
        <f>INPUT!FU583</f>
        <v>0</v>
      </c>
      <c r="DI82" s="681">
        <f>INPUT!FV583</f>
        <v>100</v>
      </c>
      <c r="DJ82" s="641">
        <f>INPUT!FW583</f>
        <v>0</v>
      </c>
      <c r="DK82" s="681">
        <f>INPUT!FX583</f>
        <v>100</v>
      </c>
      <c r="DL82" s="641">
        <f>INPUT!FY583</f>
        <v>0</v>
      </c>
      <c r="DM82" s="681">
        <f>INPUT!FZ583</f>
        <v>100</v>
      </c>
      <c r="DN82" s="641">
        <f>INPUT!GA583</f>
        <v>0</v>
      </c>
      <c r="DO82" s="681">
        <f>INPUT!GB583</f>
        <v>100</v>
      </c>
      <c r="DP82" s="641">
        <f>INPUT!GC583</f>
        <v>0</v>
      </c>
      <c r="DQ82" s="681">
        <f>INPUT!GD583</f>
        <v>100</v>
      </c>
      <c r="DR82" s="641">
        <f>INPUT!GE583</f>
        <v>0</v>
      </c>
      <c r="DS82" s="681">
        <f>INPUT!GF583</f>
        <v>100</v>
      </c>
      <c r="DT82" s="641">
        <f>INPUT!GG583</f>
        <v>0</v>
      </c>
      <c r="DU82" s="681">
        <f>INPUT!GH583</f>
        <v>100</v>
      </c>
      <c r="DV82" s="641">
        <f>INPUT!GI583</f>
        <v>0</v>
      </c>
      <c r="DW82" s="681">
        <f>INPUT!GJ583</f>
        <v>100</v>
      </c>
      <c r="DX82" s="641">
        <f>INPUT!GK583</f>
        <v>0</v>
      </c>
      <c r="DY82" s="681">
        <f>INPUT!GL583</f>
        <v>100</v>
      </c>
      <c r="DZ82" s="641">
        <f>INPUT!GM583</f>
        <v>0</v>
      </c>
      <c r="EA82" s="681">
        <f>INPUT!GN583</f>
        <v>100</v>
      </c>
      <c r="EB82" s="641">
        <f>INPUT!GO583</f>
        <v>0</v>
      </c>
      <c r="EC82" s="681">
        <f>INPUT!GP583</f>
        <v>100</v>
      </c>
      <c r="ED82" s="641">
        <f>INPUT!GQ583</f>
        <v>0</v>
      </c>
      <c r="EE82" s="681">
        <f>INPUT!GR583</f>
        <v>100</v>
      </c>
      <c r="EF82" s="641">
        <f>INPUT!GS583</f>
        <v>0</v>
      </c>
      <c r="EG82" s="681">
        <f>INPUT!GT583</f>
        <v>100</v>
      </c>
      <c r="EH82" s="641">
        <f>INPUT!GU583</f>
        <v>0</v>
      </c>
      <c r="EI82" s="681">
        <f>INPUT!GV583</f>
        <v>100</v>
      </c>
      <c r="EJ82" s="641">
        <f>INPUT!GW583</f>
        <v>0</v>
      </c>
      <c r="EK82" s="681">
        <f>INPUT!GX583</f>
        <v>100</v>
      </c>
      <c r="EL82" s="641">
        <f>INPUT!GY583</f>
        <v>0</v>
      </c>
      <c r="EM82" s="852">
        <f>INPUT!GZ583</f>
        <v>0</v>
      </c>
    </row>
    <row r="83" spans="1:143" s="561" customFormat="1" ht="12.75" hidden="1" customHeight="1" outlineLevel="1" x14ac:dyDescent="0.2">
      <c r="A83" s="856" t="s">
        <v>50</v>
      </c>
      <c r="B83" s="775"/>
      <c r="C83" s="654"/>
      <c r="D83" s="775"/>
      <c r="E83" s="654"/>
      <c r="F83" s="775"/>
      <c r="G83" s="654"/>
      <c r="H83" s="775"/>
      <c r="I83" s="654"/>
      <c r="J83" s="775"/>
      <c r="K83" s="654"/>
      <c r="L83" s="775"/>
      <c r="M83" s="654"/>
      <c r="N83" s="775"/>
      <c r="O83" s="654"/>
      <c r="P83" s="775"/>
      <c r="Q83" s="654"/>
      <c r="R83" s="775"/>
      <c r="S83" s="654"/>
      <c r="T83" s="775"/>
      <c r="U83" s="654"/>
      <c r="V83" s="775"/>
      <c r="W83" s="654"/>
      <c r="X83" s="775"/>
      <c r="Y83" s="654"/>
      <c r="Z83" s="775"/>
      <c r="AA83" s="654"/>
      <c r="AB83" s="775"/>
      <c r="AC83" s="654"/>
      <c r="AD83" s="775"/>
      <c r="AE83" s="654"/>
      <c r="AF83" s="775"/>
      <c r="AG83" s="654"/>
      <c r="AH83" s="775"/>
      <c r="AI83" s="654"/>
      <c r="AJ83" s="775"/>
      <c r="AK83" s="654"/>
      <c r="AL83" s="775"/>
      <c r="AM83" s="654"/>
      <c r="AN83" s="775"/>
      <c r="AO83" s="654"/>
      <c r="AP83" s="776">
        <f>(AP74+AP75+AP77+AP78+AP80+AP81)-AP82</f>
        <v>0</v>
      </c>
      <c r="AQ83" s="654"/>
      <c r="AR83" s="776">
        <f>(AR74+AR75+AR77+AR78+AR80+AR81)-AR82</f>
        <v>0</v>
      </c>
      <c r="AS83" s="654"/>
      <c r="AT83" s="776">
        <f>(AT74+AT75+AT77+AT78+AT80+AT81)-AT82</f>
        <v>0</v>
      </c>
      <c r="AU83" s="654"/>
      <c r="AV83" s="776">
        <f>(AV74+AV75+AV77+AV78+AV80+AV81)-AV82</f>
        <v>0</v>
      </c>
      <c r="AW83" s="654"/>
      <c r="AX83" s="776">
        <f>(AX74+AX75+AX77+AX78+AX80+AX81)-AX82</f>
        <v>0</v>
      </c>
      <c r="AY83" s="654"/>
      <c r="AZ83" s="776">
        <f>(AZ74+AZ75+AZ77+AZ78+AZ80+AZ81)-AZ82</f>
        <v>0</v>
      </c>
      <c r="BA83" s="654"/>
      <c r="BB83" s="776">
        <f>(BB74+BB75+BB77+BB78+BB80+BB81)-BB82</f>
        <v>0</v>
      </c>
      <c r="BC83" s="654"/>
      <c r="BD83" s="776">
        <f>(BD74+BD75+BD77+BD78+BD80+BD81)-BD82</f>
        <v>0</v>
      </c>
      <c r="BE83" s="654"/>
      <c r="BF83" s="776">
        <f>(BF74+BF75+BF77+BF78+BF80+BF81)-BF82</f>
        <v>0</v>
      </c>
      <c r="BG83" s="654"/>
      <c r="BH83" s="776">
        <f>(BH74+BH75+BH77+BH78+BH80+BH81)-BH82</f>
        <v>0</v>
      </c>
      <c r="BI83" s="654"/>
      <c r="BJ83" s="776">
        <f>(BJ74+BJ75+BJ77+BJ78+BJ80+BJ81)-BJ82</f>
        <v>0</v>
      </c>
      <c r="BK83" s="654"/>
      <c r="BL83" s="776">
        <f>(BL74+BL75+BL77+BL78+BL80+BL81)-BL82</f>
        <v>0</v>
      </c>
      <c r="BM83" s="654"/>
      <c r="BN83" s="776">
        <f>(BN74+BN75+BN77+BN78+BN80+BN81)-BN82</f>
        <v>0</v>
      </c>
      <c r="BO83" s="654"/>
      <c r="BP83" s="776">
        <f>(BP74+BP75+BP77+BP78+BP80+BP81)-BP82</f>
        <v>0</v>
      </c>
      <c r="BQ83" s="654"/>
      <c r="BR83" s="776">
        <f>(BR74+BR75+BR77+BR78+BR80+BR81)-BR82</f>
        <v>0</v>
      </c>
      <c r="BS83" s="654"/>
      <c r="BT83" s="776">
        <f>(BT74+BT75+BT77+BT78+BT80+BT81)-BT82</f>
        <v>0</v>
      </c>
      <c r="BU83" s="654"/>
      <c r="BV83" s="776">
        <f>(BV74+BV75+BV77+BV78+BV80+BV81)-BV82</f>
        <v>0</v>
      </c>
      <c r="BW83" s="654"/>
      <c r="BX83" s="776">
        <f>(BX74+BX75+BX77+BX78+BX80+BX81)-BX82</f>
        <v>0</v>
      </c>
      <c r="BY83" s="654"/>
      <c r="BZ83" s="776">
        <f>(BZ74+BZ75+BZ77+BZ78+BZ80+BZ81)-BZ82</f>
        <v>0</v>
      </c>
      <c r="CA83" s="654"/>
      <c r="CB83" s="776">
        <f>(CB74+CB75+CB77+CB78+CB80+CB81)-CB82</f>
        <v>0</v>
      </c>
      <c r="CC83" s="654"/>
      <c r="CD83" s="776">
        <f>(CD74+CD75+CD77+CD78+CD80+CD81)-CD82</f>
        <v>0</v>
      </c>
      <c r="CE83" s="654"/>
      <c r="CF83" s="776">
        <f>(CF74+CF75+CF77+CF78+CF80+CF81)-CF82</f>
        <v>0</v>
      </c>
      <c r="CG83" s="654"/>
      <c r="CH83" s="776">
        <f>(CH74+CH75+CH77+CH78+CH80+CH81)-CH82</f>
        <v>0</v>
      </c>
      <c r="CI83" s="654"/>
      <c r="CJ83" s="776">
        <f>(CJ74+CJ75+CJ77+CJ78+CJ80+CJ81)-CJ82</f>
        <v>0</v>
      </c>
      <c r="CK83" s="654"/>
      <c r="CL83" s="776">
        <f>(CL74+CL75+CL77+CL78+CL80+CL81)-CL82</f>
        <v>0</v>
      </c>
      <c r="CM83" s="654"/>
      <c r="CN83" s="776">
        <f t="shared" ref="CN83" si="51">(CN74+CN75+CN77+CN78+CN80+CN81)-CN82</f>
        <v>0</v>
      </c>
      <c r="CO83" s="654"/>
      <c r="CP83" s="776">
        <f t="shared" ref="CP83" si="52">(CP74+CP75+CP77+CP78+CP80+CP81)-CP82</f>
        <v>0</v>
      </c>
      <c r="CQ83" s="654"/>
      <c r="CR83" s="776">
        <f t="shared" ref="CR83" si="53">(CR74+CR75+CR77+CR78+CR80+CR81)-CR82</f>
        <v>0</v>
      </c>
      <c r="CS83" s="654"/>
      <c r="CT83" s="776">
        <f>(CT74+CT75+CT77+CT78+CT80+CT81)-CT82</f>
        <v>0</v>
      </c>
      <c r="CU83" s="654"/>
      <c r="CV83" s="776">
        <f t="shared" ref="CV83" si="54">(CV74+CV75+CV77+CV78+CV80+CV81)-CV82</f>
        <v>0</v>
      </c>
      <c r="CW83" s="654"/>
      <c r="CX83" s="776">
        <f t="shared" ref="CX83" si="55">(CX74+CX75+CX77+CX78+CX80+CX81)-CX82</f>
        <v>0</v>
      </c>
      <c r="CY83" s="654"/>
      <c r="CZ83" s="776">
        <f t="shared" ref="CZ83" si="56">(CZ74+CZ75+CZ77+CZ78+CZ80+CZ81)-CZ82</f>
        <v>0</v>
      </c>
      <c r="DA83" s="654"/>
      <c r="DB83" s="777"/>
      <c r="DC83" s="777"/>
      <c r="DD83" s="654"/>
      <c r="DE83" s="775"/>
      <c r="DF83" s="654"/>
      <c r="DG83" s="775"/>
      <c r="DH83" s="654"/>
      <c r="DI83" s="775"/>
      <c r="DJ83" s="654"/>
      <c r="DK83" s="775"/>
      <c r="DL83" s="654"/>
      <c r="DM83" s="775"/>
      <c r="DN83" s="654"/>
      <c r="DO83" s="776">
        <f>(DO74+DO75+DO77+DO78+DO80+DO81)-DO82</f>
        <v>0</v>
      </c>
      <c r="DP83" s="654"/>
      <c r="DQ83" s="776">
        <f>(DQ74+DQ75+DQ77+DQ78+DQ80+DQ81)-DQ82</f>
        <v>0</v>
      </c>
      <c r="DR83" s="654"/>
      <c r="DS83" s="776">
        <f>(DS74+DS75+DS77+DS78+DS80+DS81)-DS82</f>
        <v>0</v>
      </c>
      <c r="DT83" s="654"/>
      <c r="DU83" s="776">
        <f>(DU74+DU75+DU77+DU78+DU80+DU81)-DU82</f>
        <v>0</v>
      </c>
      <c r="DV83" s="654"/>
      <c r="DW83" s="776">
        <f>(DW74+DW75+DW77+DW78+DW80+DW81)-DW82</f>
        <v>0</v>
      </c>
      <c r="DX83" s="654"/>
      <c r="DY83" s="776">
        <f>(DY74+DY75+DY77+DY78+DY80+DY81)-DY82</f>
        <v>0</v>
      </c>
      <c r="DZ83" s="654"/>
      <c r="EA83" s="776">
        <f>(EA74+EA75+EA77+EA78+EA80+EA81)-EA82</f>
        <v>0</v>
      </c>
      <c r="EB83" s="654"/>
      <c r="EC83" s="776">
        <f>(EC74+EC75+EC77+EC78+EC80+EC81)-EC82</f>
        <v>0</v>
      </c>
      <c r="ED83" s="654"/>
      <c r="EE83" s="776">
        <f>(EE74+EE75+EE77+EE78+EE80+EE81)-EE82</f>
        <v>0</v>
      </c>
      <c r="EF83" s="654"/>
      <c r="EG83" s="776">
        <f>(EG74+EG75+EG77+EG78+EG80+EG81)-EG82</f>
        <v>0</v>
      </c>
      <c r="EH83" s="654"/>
      <c r="EI83" s="776">
        <f>(EI74+EI75+EI77+EI78+EI80+EI81)-EI82</f>
        <v>0</v>
      </c>
      <c r="EJ83" s="654"/>
      <c r="EK83" s="776">
        <f>(EK74+EK75+EK77+EK78+EK80+EK81)-EK82</f>
        <v>0</v>
      </c>
      <c r="EL83" s="654"/>
      <c r="EM83" s="857"/>
    </row>
    <row r="84" spans="1:143" ht="12.75" customHeight="1" collapsed="1" x14ac:dyDescent="0.2">
      <c r="A84" s="855"/>
      <c r="B84" s="640"/>
      <c r="C84" s="641"/>
      <c r="D84" s="640"/>
      <c r="E84" s="641"/>
      <c r="F84" s="640"/>
      <c r="G84" s="641"/>
      <c r="H84" s="640"/>
      <c r="I84" s="641"/>
      <c r="J84" s="640"/>
      <c r="K84" s="641"/>
      <c r="L84" s="640"/>
      <c r="M84" s="641"/>
      <c r="N84" s="640"/>
      <c r="O84" s="641"/>
      <c r="P84" s="640"/>
      <c r="Q84" s="641"/>
      <c r="R84" s="640"/>
      <c r="S84" s="641"/>
      <c r="T84" s="640"/>
      <c r="U84" s="641"/>
      <c r="V84" s="640"/>
      <c r="W84" s="641"/>
      <c r="X84" s="640"/>
      <c r="Y84" s="641"/>
      <c r="Z84" s="640"/>
      <c r="AA84" s="641"/>
      <c r="AB84" s="640"/>
      <c r="AC84" s="641"/>
      <c r="AD84" s="640"/>
      <c r="AE84" s="641"/>
      <c r="AF84" s="640"/>
      <c r="AG84" s="641"/>
      <c r="AH84" s="640"/>
      <c r="AI84" s="641"/>
      <c r="AJ84" s="640"/>
      <c r="AK84" s="641"/>
      <c r="AL84" s="640"/>
      <c r="AM84" s="641"/>
      <c r="AN84" s="640"/>
      <c r="AO84" s="641"/>
      <c r="AP84" s="640"/>
      <c r="AQ84" s="641"/>
      <c r="AR84" s="640"/>
      <c r="AS84" s="641"/>
      <c r="AT84" s="640"/>
      <c r="AU84" s="641"/>
      <c r="AV84" s="640"/>
      <c r="AW84" s="641"/>
      <c r="AX84" s="640"/>
      <c r="AY84" s="641"/>
      <c r="AZ84" s="640"/>
      <c r="BA84" s="641"/>
      <c r="BB84" s="640"/>
      <c r="BC84" s="641"/>
      <c r="BD84" s="640"/>
      <c r="BE84" s="641"/>
      <c r="BF84" s="640"/>
      <c r="BG84" s="641"/>
      <c r="BH84" s="640"/>
      <c r="BI84" s="641"/>
      <c r="BJ84" s="640"/>
      <c r="BK84" s="641"/>
      <c r="BL84" s="640"/>
      <c r="BM84" s="641"/>
      <c r="BN84" s="640"/>
      <c r="BO84" s="641"/>
      <c r="BP84" s="640"/>
      <c r="BQ84" s="641"/>
      <c r="BR84" s="640"/>
      <c r="BS84" s="641"/>
      <c r="BT84" s="640"/>
      <c r="BU84" s="641"/>
      <c r="BV84" s="640"/>
      <c r="BW84" s="641"/>
      <c r="BX84" s="640"/>
      <c r="BY84" s="641"/>
      <c r="BZ84" s="640"/>
      <c r="CA84" s="641"/>
      <c r="CB84" s="640"/>
      <c r="CC84" s="641"/>
      <c r="CD84" s="640"/>
      <c r="CE84" s="641"/>
      <c r="CF84" s="640"/>
      <c r="CG84" s="641"/>
      <c r="CH84" s="640"/>
      <c r="CI84" s="641"/>
      <c r="CJ84" s="640"/>
      <c r="CK84" s="641"/>
      <c r="CL84" s="640"/>
      <c r="CM84" s="641"/>
      <c r="CN84" s="640"/>
      <c r="CO84" s="641"/>
      <c r="CP84" s="640"/>
      <c r="CQ84" s="641"/>
      <c r="CR84" s="640"/>
      <c r="CS84" s="641"/>
      <c r="CT84" s="640"/>
      <c r="CU84" s="641"/>
      <c r="CV84" s="640"/>
      <c r="CW84" s="641"/>
      <c r="CX84" s="640"/>
      <c r="CY84" s="641"/>
      <c r="CZ84" s="640"/>
      <c r="DA84" s="641"/>
      <c r="DB84" s="640"/>
      <c r="DC84" s="640"/>
      <c r="DD84" s="641"/>
      <c r="DE84" s="640"/>
      <c r="DF84" s="641"/>
      <c r="DG84" s="640"/>
      <c r="DH84" s="641"/>
      <c r="DI84" s="640"/>
      <c r="DJ84" s="641"/>
      <c r="DK84" s="640"/>
      <c r="DL84" s="641"/>
      <c r="DM84" s="640"/>
      <c r="DN84" s="641"/>
      <c r="DO84" s="640"/>
      <c r="DP84" s="641"/>
      <c r="DQ84" s="640"/>
      <c r="DR84" s="641"/>
      <c r="DS84" s="640"/>
      <c r="DT84" s="641"/>
      <c r="DU84" s="640"/>
      <c r="DV84" s="641"/>
      <c r="DW84" s="640"/>
      <c r="DX84" s="641"/>
      <c r="DY84" s="640"/>
      <c r="DZ84" s="641"/>
      <c r="EA84" s="640"/>
      <c r="EB84" s="641"/>
      <c r="EC84" s="640"/>
      <c r="ED84" s="641"/>
      <c r="EE84" s="640"/>
      <c r="EF84" s="641"/>
      <c r="EG84" s="640"/>
      <c r="EH84" s="641"/>
      <c r="EI84" s="640"/>
      <c r="EJ84" s="641"/>
      <c r="EK84" s="640"/>
      <c r="EL84" s="641"/>
      <c r="EM84" s="852"/>
    </row>
    <row r="85" spans="1:143" ht="12.75" customHeight="1" x14ac:dyDescent="0.2">
      <c r="A85" s="855" t="str">
        <f>INPUT!B671</f>
        <v>Capital Structure Excl FAS 115</v>
      </c>
      <c r="B85" s="640"/>
      <c r="C85" s="641"/>
      <c r="D85" s="640"/>
      <c r="E85" s="641"/>
      <c r="F85" s="640"/>
      <c r="G85" s="641"/>
      <c r="H85" s="640"/>
      <c r="I85" s="641"/>
      <c r="J85" s="640"/>
      <c r="K85" s="641"/>
      <c r="L85" s="640"/>
      <c r="M85" s="641"/>
      <c r="N85" s="640"/>
      <c r="O85" s="641"/>
      <c r="P85" s="640"/>
      <c r="Q85" s="641"/>
      <c r="R85" s="640"/>
      <c r="S85" s="641"/>
      <c r="T85" s="640"/>
      <c r="U85" s="641"/>
      <c r="V85" s="640"/>
      <c r="W85" s="641"/>
      <c r="X85" s="640"/>
      <c r="Y85" s="641"/>
      <c r="Z85" s="640"/>
      <c r="AA85" s="641"/>
      <c r="AB85" s="640"/>
      <c r="AC85" s="641"/>
      <c r="AD85" s="640"/>
      <c r="AE85" s="641"/>
      <c r="AF85" s="640"/>
      <c r="AG85" s="641"/>
      <c r="AH85" s="640"/>
      <c r="AI85" s="641"/>
      <c r="AJ85" s="640"/>
      <c r="AK85" s="641"/>
      <c r="AL85" s="640"/>
      <c r="AM85" s="641"/>
      <c r="AN85" s="640"/>
      <c r="AO85" s="641"/>
      <c r="AP85" s="640"/>
      <c r="AQ85" s="641"/>
      <c r="AR85" s="640"/>
      <c r="AS85" s="641"/>
      <c r="AT85" s="640"/>
      <c r="AU85" s="641"/>
      <c r="AV85" s="640"/>
      <c r="AW85" s="641"/>
      <c r="AX85" s="640"/>
      <c r="AY85" s="641"/>
      <c r="AZ85" s="640"/>
      <c r="BA85" s="641"/>
      <c r="BB85" s="640"/>
      <c r="BC85" s="641"/>
      <c r="BD85" s="640"/>
      <c r="BE85" s="641"/>
      <c r="BF85" s="640"/>
      <c r="BG85" s="641"/>
      <c r="BH85" s="640"/>
      <c r="BI85" s="641"/>
      <c r="BJ85" s="640"/>
      <c r="BK85" s="641"/>
      <c r="BL85" s="640"/>
      <c r="BM85" s="641"/>
      <c r="BN85" s="640"/>
      <c r="BO85" s="641"/>
      <c r="BP85" s="640"/>
      <c r="BQ85" s="641"/>
      <c r="BR85" s="640"/>
      <c r="BS85" s="641"/>
      <c r="BT85" s="640"/>
      <c r="BU85" s="641"/>
      <c r="BV85" s="640"/>
      <c r="BW85" s="641"/>
      <c r="BX85" s="640"/>
      <c r="BY85" s="641"/>
      <c r="BZ85" s="640"/>
      <c r="CA85" s="641"/>
      <c r="CB85" s="640"/>
      <c r="CC85" s="641"/>
      <c r="CD85" s="640"/>
      <c r="CE85" s="641"/>
      <c r="CF85" s="640"/>
      <c r="CG85" s="641"/>
      <c r="CH85" s="640"/>
      <c r="CI85" s="641"/>
      <c r="CJ85" s="640"/>
      <c r="CK85" s="641"/>
      <c r="CL85" s="640"/>
      <c r="CM85" s="641"/>
      <c r="CN85" s="640"/>
      <c r="CO85" s="641"/>
      <c r="CP85" s="640"/>
      <c r="CQ85" s="641"/>
      <c r="CR85" s="640"/>
      <c r="CS85" s="641"/>
      <c r="CT85" s="640"/>
      <c r="CU85" s="641"/>
      <c r="CV85" s="640"/>
      <c r="CW85" s="641"/>
      <c r="CX85" s="640"/>
      <c r="CY85" s="641"/>
      <c r="CZ85" s="640"/>
      <c r="DA85" s="641"/>
      <c r="DB85" s="640"/>
      <c r="DC85" s="640"/>
      <c r="DD85" s="641"/>
      <c r="DE85" s="640"/>
      <c r="DF85" s="641"/>
      <c r="DG85" s="640"/>
      <c r="DH85" s="641"/>
      <c r="DI85" s="640"/>
      <c r="DJ85" s="641"/>
      <c r="DK85" s="640"/>
      <c r="DL85" s="641"/>
      <c r="DM85" s="640"/>
      <c r="DN85" s="641"/>
      <c r="DO85" s="640"/>
      <c r="DP85" s="641"/>
      <c r="DQ85" s="640"/>
      <c r="DR85" s="641"/>
      <c r="DS85" s="640"/>
      <c r="DT85" s="641"/>
      <c r="DU85" s="640"/>
      <c r="DV85" s="641"/>
      <c r="DW85" s="640"/>
      <c r="DX85" s="641"/>
      <c r="DY85" s="640"/>
      <c r="DZ85" s="641"/>
      <c r="EA85" s="640"/>
      <c r="EB85" s="641"/>
      <c r="EC85" s="640"/>
      <c r="ED85" s="641"/>
      <c r="EE85" s="640"/>
      <c r="EF85" s="641"/>
      <c r="EG85" s="640"/>
      <c r="EH85" s="641"/>
      <c r="EI85" s="640"/>
      <c r="EJ85" s="641"/>
      <c r="EK85" s="640"/>
      <c r="EL85" s="641"/>
      <c r="EM85" s="852"/>
    </row>
    <row r="86" spans="1:143" ht="12.75" customHeight="1" x14ac:dyDescent="0.2">
      <c r="A86" s="851" t="str">
        <f>INPUT!B673</f>
        <v>LT Debt to LT Capital (%)</v>
      </c>
      <c r="B86" s="681">
        <f>INPUT!AY673</f>
        <v>13.468490342074023</v>
      </c>
      <c r="C86" s="641">
        <f>INPUT!AZ673</f>
        <v>-12.035289763761714</v>
      </c>
      <c r="D86" s="681">
        <f>INPUT!BA673</f>
        <v>16.443336816243541</v>
      </c>
      <c r="E86" s="641">
        <f>INPUT!BB673</f>
        <v>12.400050791585993</v>
      </c>
      <c r="F86" s="681">
        <f>INPUT!BC673</f>
        <v>16.378855925949352</v>
      </c>
      <c r="G86" s="641">
        <f>INPUT!BD673</f>
        <v>15.39596352670609</v>
      </c>
      <c r="H86" s="681">
        <f>INPUT!BE673</f>
        <v>15.80364100021251</v>
      </c>
      <c r="I86" s="641">
        <f>INPUT!BF673</f>
        <v>14.113678033066002</v>
      </c>
      <c r="J86" s="681">
        <f>INPUT!BG673</f>
        <v>17.560334038084868</v>
      </c>
      <c r="K86" s="641">
        <f>INPUT!BH673</f>
        <v>30.380863720326488</v>
      </c>
      <c r="L86" s="681">
        <f>INPUT!BI673</f>
        <v>16.595036256364889</v>
      </c>
      <c r="M86" s="641">
        <f>INPUT!BJ673</f>
        <v>0.92255873498554575</v>
      </c>
      <c r="N86" s="681">
        <f>INPUT!BK673</f>
        <v>18.369387321870011</v>
      </c>
      <c r="O86" s="641">
        <f>INPUT!BL673</f>
        <v>12.153055164048542</v>
      </c>
      <c r="P86" s="681">
        <f>INPUT!BM673</f>
        <v>19.705443571735117</v>
      </c>
      <c r="Q86" s="641">
        <f>INPUT!BN673</f>
        <v>24.68926351509846</v>
      </c>
      <c r="R86" s="681">
        <f>INPUT!BO673</f>
        <v>20.060010647050284</v>
      </c>
      <c r="S86" s="641">
        <f>INPUT!BP673</f>
        <v>14.23478963181517</v>
      </c>
      <c r="T86" s="681">
        <f>INPUT!BQ673</f>
        <v>26.357117154166453</v>
      </c>
      <c r="U86" s="641">
        <f>INPUT!BR673</f>
        <v>58.825306236118635</v>
      </c>
      <c r="V86" s="681">
        <f>INPUT!BS673</f>
        <v>28.497480417103226</v>
      </c>
      <c r="W86" s="641">
        <f>INPUT!BT673</f>
        <v>55.135715295060649</v>
      </c>
      <c r="X86" s="681">
        <f>INPUT!BU673</f>
        <v>30.500344909839928</v>
      </c>
      <c r="Y86" s="641">
        <f>INPUT!BV673</f>
        <v>54.781316131288136</v>
      </c>
      <c r="Z86" s="681">
        <f>INPUT!BW673</f>
        <v>29.671995683974018</v>
      </c>
      <c r="AA86" s="641">
        <f>INPUT!BX673</f>
        <v>47.916151222667104</v>
      </c>
      <c r="AB86" s="681">
        <f>INPUT!BY673</f>
        <v>30.694221250883846</v>
      </c>
      <c r="AC86" s="641">
        <f>INPUT!BZ673</f>
        <v>16.455153541068501</v>
      </c>
      <c r="AD86" s="681">
        <f>INPUT!CA673</f>
        <v>30.184754448667761</v>
      </c>
      <c r="AE86" s="641">
        <f>INPUT!CB673</f>
        <v>5.9207831951062273</v>
      </c>
      <c r="AF86" s="681">
        <f>INPUT!CC673</f>
        <v>31.1651126483311</v>
      </c>
      <c r="AG86" s="641">
        <f>INPUT!CD673</f>
        <v>2.1795417083191992</v>
      </c>
      <c r="AH86" s="681">
        <f>INPUT!CE673</f>
        <v>31.019284759768041</v>
      </c>
      <c r="AI86" s="641">
        <f>INPUT!CF673</f>
        <v>4.5406082224583866</v>
      </c>
      <c r="AJ86" s="681">
        <f>INPUT!CG673</f>
        <v>33.391028086337158</v>
      </c>
      <c r="AK86" s="641">
        <f>INPUT!CH673</f>
        <v>8.7860409078652104</v>
      </c>
      <c r="AL86" s="681">
        <f>INPUT!CI673</f>
        <v>33.316142341413105</v>
      </c>
      <c r="AM86" s="641">
        <f>INPUT!CJ673</f>
        <v>10.374071116167549</v>
      </c>
      <c r="AN86" s="681">
        <f>INPUT!CK673</f>
        <v>30.927953164114637</v>
      </c>
      <c r="AO86" s="641">
        <f>INPUT!CL673</f>
        <v>-0.76097746506673669</v>
      </c>
      <c r="AP86" s="681">
        <f>INPUT!CM673</f>
        <v>32.434326167450905</v>
      </c>
      <c r="AQ86" s="641">
        <f>INPUT!CN673</f>
        <v>4.561811849118369</v>
      </c>
      <c r="AR86" s="681">
        <f>INPUT!CO673</f>
        <v>33.580309149633344</v>
      </c>
      <c r="AS86" s="641">
        <f>INPUT!CP673</f>
        <v>0.56686204092539771</v>
      </c>
      <c r="AT86" s="681">
        <f>INPUT!CQ673</f>
        <v>32.081288913948441</v>
      </c>
      <c r="AU86" s="641">
        <f>INPUT!CR673</f>
        <v>-3.7064718202074021</v>
      </c>
      <c r="AV86" s="681">
        <f>INPUT!CS673</f>
        <v>34.094358714900075</v>
      </c>
      <c r="AW86" s="641">
        <f>INPUT!CT673</f>
        <v>10.238005515539195</v>
      </c>
      <c r="AX86" s="681">
        <f>INPUT!CU673</f>
        <v>34.811227024341775</v>
      </c>
      <c r="AY86" s="641">
        <f>INPUT!CV673</f>
        <v>7.3283497385439267</v>
      </c>
      <c r="AZ86" s="681">
        <f>INPUT!CW673</f>
        <v>34.916661578850963</v>
      </c>
      <c r="BA86" s="641">
        <f>INPUT!CX673</f>
        <v>3.9795715496925732</v>
      </c>
      <c r="BB86" s="681">
        <f>INPUT!CY673</f>
        <v>33.369776482021379</v>
      </c>
      <c r="BC86" s="641">
        <f>INPUT!CZ673</f>
        <v>4.0163210759051715</v>
      </c>
      <c r="BD86" s="681">
        <f>INPUT!DA673</f>
        <v>32.757166947723441</v>
      </c>
      <c r="BE86" s="641">
        <f>INPUT!DB673</f>
        <v>-3.9220323173060567</v>
      </c>
      <c r="BF86" s="681">
        <f>INPUT!DC673</f>
        <v>30.235003092145952</v>
      </c>
      <c r="BG86" s="641">
        <f>INPUT!DD673</f>
        <v>-13.145827721027747</v>
      </c>
      <c r="BH86" s="681">
        <f>INPUT!DE673</f>
        <v>30.654364453077577</v>
      </c>
      <c r="BI86" s="641">
        <f>INPUT!DF673</f>
        <v>-12.207057986193792</v>
      </c>
      <c r="BJ86" s="681">
        <f>INPUT!DG673</f>
        <v>31.551399670665724</v>
      </c>
      <c r="BK86" s="641">
        <f>INPUT!DH673</f>
        <v>-5.4491728835383118</v>
      </c>
      <c r="BL86" s="681">
        <f>INPUT!DI673</f>
        <v>30.912260313771061</v>
      </c>
      <c r="BM86" s="641">
        <f>INPUT!DJ673</f>
        <v>-5.6320701875611885</v>
      </c>
      <c r="BN86" s="681">
        <f>INPUT!DK673</f>
        <v>30.896456670303795</v>
      </c>
      <c r="BO86" s="641">
        <f>INPUT!DL673</f>
        <v>2.1877079891209572</v>
      </c>
      <c r="BP86" s="681">
        <f>INPUT!DM673</f>
        <v>29.675123407186316</v>
      </c>
      <c r="BQ86" s="641">
        <f>INPUT!DN673</f>
        <v>-3.1944588099034887</v>
      </c>
      <c r="BR86" s="681">
        <f>INPUT!DO673</f>
        <v>29.27297358320163</v>
      </c>
      <c r="BS86" s="641">
        <f>INPUT!DP673</f>
        <v>-7.2213154130921664</v>
      </c>
      <c r="BT86" s="681">
        <f>INPUT!DQ673</f>
        <v>29.418332030813886</v>
      </c>
      <c r="BU86" s="641">
        <f>INPUT!DR673</f>
        <v>-4.8328018326490589</v>
      </c>
      <c r="BV86" s="681">
        <f>INPUT!DS673</f>
        <v>30.800990916597854</v>
      </c>
      <c r="BW86" s="641">
        <f>INPUT!DT673</f>
        <v>-0.30898609094452967</v>
      </c>
      <c r="BX86" s="681">
        <f>INPUT!DU673</f>
        <v>30.124904130601511</v>
      </c>
      <c r="BY86" s="641">
        <f>INPUT!DV673</f>
        <v>1.5156827395240935</v>
      </c>
      <c r="BZ86" s="681">
        <f>INPUT!DW673</f>
        <v>30.439056356487548</v>
      </c>
      <c r="CA86" s="641">
        <f>INPUT!DX673</f>
        <v>30.552829571475304</v>
      </c>
      <c r="CB86" s="681">
        <f>INPUT!DY673</f>
        <v>30.302864938608458</v>
      </c>
      <c r="CC86" s="641">
        <f>INPUT!DZ673</f>
        <v>3.0067405142755188</v>
      </c>
      <c r="CD86" s="681">
        <f>INPUT!EA673</f>
        <v>30.744952930293302</v>
      </c>
      <c r="CE86" s="641">
        <f>INPUT!EB673</f>
        <v>-0.18193566062952859</v>
      </c>
      <c r="CF86" s="681">
        <f>INPUT!EC673</f>
        <v>30.024745669507837</v>
      </c>
      <c r="CG86" s="641">
        <f>INPUT!ED673</f>
        <v>-0.33247727746934519</v>
      </c>
      <c r="CH86" s="681">
        <f>INPUT!EE673</f>
        <v>29.652774004238442</v>
      </c>
      <c r="CI86" s="641">
        <f>INPUT!EF673</f>
        <v>-2.5831364252575595</v>
      </c>
      <c r="CJ86" s="681">
        <f>INPUT!EG673</f>
        <v>29.27644191269102</v>
      </c>
      <c r="CK86" s="641">
        <f>INPUT!EH673</f>
        <v>-3.387214469644706</v>
      </c>
      <c r="CL86" s="681">
        <f>INPUT!EI673</f>
        <v>28.11216386439564</v>
      </c>
      <c r="CM86" s="641">
        <f>INPUT!EJ673</f>
        <v>-8.5633211794692627</v>
      </c>
      <c r="CN86" s="681">
        <f>INPUT!EK673</f>
        <v>26.949301660618058</v>
      </c>
      <c r="CO86" s="641">
        <f>INPUT!EL673</f>
        <v>-10.243031007630155</v>
      </c>
      <c r="CP86" s="681">
        <f>INPUT!EM673</f>
        <v>26.695723236175429</v>
      </c>
      <c r="CQ86" s="641">
        <f>INPUT!EN673</f>
        <v>-9.9722567866343486</v>
      </c>
      <c r="CR86" s="681">
        <f>INPUT!EO673</f>
        <v>25.776888233435162</v>
      </c>
      <c r="CS86" s="641">
        <f>INPUT!EP673</f>
        <v>-11.95348017253025</v>
      </c>
      <c r="CT86" s="681">
        <f>INPUT!EQ673</f>
        <v>27.365655373611343</v>
      </c>
      <c r="CU86" s="641">
        <f>INPUT!ER673</f>
        <v>-2.6554643548082013</v>
      </c>
      <c r="CV86" s="681">
        <f>INPUT!ES673</f>
        <v>26.932011518684458</v>
      </c>
      <c r="CW86" s="641">
        <f>INPUT!ET673</f>
        <v>-6.4158033300232287E-2</v>
      </c>
      <c r="CX86" s="681">
        <f>INPUT!EU673</f>
        <v>26.714911300677034</v>
      </c>
      <c r="CY86" s="641">
        <f>INPUT!EV673</f>
        <v>7.18769232503913E-2</v>
      </c>
      <c r="CZ86" s="681">
        <f>INPUT!EW673</f>
        <v>26.484915888889198</v>
      </c>
      <c r="DA86" s="641">
        <f>INPUT!EX673</f>
        <v>2.7467537937168718</v>
      </c>
      <c r="DB86" s="640"/>
      <c r="DC86" s="681">
        <f>INPUT!FP673</f>
        <v>13.849033063006862</v>
      </c>
      <c r="DD86" s="641">
        <f>INPUT!FQ673</f>
        <v>3.5633199354830003</v>
      </c>
      <c r="DE86" s="681">
        <f>INPUT!FR673</f>
        <v>15.80364100021251</v>
      </c>
      <c r="DF86" s="641">
        <f>INPUT!FS673</f>
        <v>14.113678033066002</v>
      </c>
      <c r="DG86" s="681">
        <f>INPUT!FT673</f>
        <v>19.705443571735117</v>
      </c>
      <c r="DH86" s="641">
        <f>INPUT!FU673</f>
        <v>24.68926351509846</v>
      </c>
      <c r="DI86" s="681">
        <f>INPUT!FV673</f>
        <v>30.500344909839928</v>
      </c>
      <c r="DJ86" s="641">
        <f>INPUT!FW673</f>
        <v>54.781316131288136</v>
      </c>
      <c r="DK86" s="681">
        <f>INPUT!FX673</f>
        <v>31.1651126483311</v>
      </c>
      <c r="DL86" s="641">
        <f>INPUT!FY673</f>
        <v>2.1795417083191992</v>
      </c>
      <c r="DM86" s="681">
        <f>INPUT!FZ673</f>
        <v>30.927953164114637</v>
      </c>
      <c r="DN86" s="641">
        <f>INPUT!GA673</f>
        <v>-0.76097746506673669</v>
      </c>
      <c r="DO86" s="681">
        <f>INPUT!GB673</f>
        <v>34.094358714900075</v>
      </c>
      <c r="DP86" s="641">
        <f>INPUT!GC673</f>
        <v>10.238005515539195</v>
      </c>
      <c r="DQ86" s="681">
        <f>INPUT!GD673</f>
        <v>32.757166947723441</v>
      </c>
      <c r="DR86" s="641">
        <f>INPUT!GE673</f>
        <v>-3.9220323173060567</v>
      </c>
      <c r="DS86" s="681">
        <f>INPUT!GF673</f>
        <v>30.912260313771061</v>
      </c>
      <c r="DT86" s="641">
        <f>INPUT!GG673</f>
        <v>-5.6320701875611885</v>
      </c>
      <c r="DU86" s="681">
        <f>INPUT!GH673</f>
        <v>29.418332030813886</v>
      </c>
      <c r="DV86" s="641">
        <f>INPUT!GI673</f>
        <v>-4.8328018326490589</v>
      </c>
      <c r="DW86" s="681">
        <f>INPUT!GJ673</f>
        <v>30.302864938608458</v>
      </c>
      <c r="DX86" s="641">
        <f>INPUT!GK673</f>
        <v>3.0067405142755188</v>
      </c>
      <c r="DY86" s="681">
        <f>INPUT!GL673</f>
        <v>29.27644191269102</v>
      </c>
      <c r="DZ86" s="641">
        <f>INPUT!GM673</f>
        <v>-3.387214469644706</v>
      </c>
      <c r="EA86" s="681">
        <f>INPUT!GN673</f>
        <v>25.776888233435162</v>
      </c>
      <c r="EB86" s="641">
        <f>INPUT!GO673</f>
        <v>-11.95348017253025</v>
      </c>
      <c r="EC86" s="681">
        <f>INPUT!GP673</f>
        <v>26.484915888889198</v>
      </c>
      <c r="ED86" s="641">
        <f>INPUT!GQ673</f>
        <v>2.7467537937168718</v>
      </c>
      <c r="EE86" s="681">
        <f>INPUT!GR673</f>
        <v>25.621695745126104</v>
      </c>
      <c r="EF86" s="641">
        <f>INPUT!GS673</f>
        <v>-3.2592897307452962</v>
      </c>
      <c r="EG86" s="681">
        <f>INPUT!GT673</f>
        <v>24.711878354201193</v>
      </c>
      <c r="EH86" s="641">
        <f>INPUT!GU673</f>
        <v>-3.5509647760062157</v>
      </c>
      <c r="EI86" s="681">
        <f>INPUT!GV673</f>
        <v>23.875008212871077</v>
      </c>
      <c r="EJ86" s="641">
        <f>INPUT!GW673</f>
        <v>-3.3865096344966594</v>
      </c>
      <c r="EK86" s="681">
        <f>INPUT!GX673</f>
        <v>23.043387115182522</v>
      </c>
      <c r="EL86" s="641">
        <f>INPUT!GY673</f>
        <v>-3.483228530326643</v>
      </c>
      <c r="EM86" s="852">
        <f>INPUT!GZ673</f>
        <v>-2.2170432079869462</v>
      </c>
    </row>
    <row r="87" spans="1:143" ht="12.75" customHeight="1" x14ac:dyDescent="0.2">
      <c r="A87" s="851" t="str">
        <f>INPUT!B675</f>
        <v>Common Equity / Capital (%)</v>
      </c>
      <c r="B87" s="681">
        <f>INPUT!AY675</f>
        <v>0</v>
      </c>
      <c r="C87" s="641">
        <f>INPUT!AZ675</f>
        <v>0</v>
      </c>
      <c r="D87" s="681">
        <f>INPUT!BA675</f>
        <v>0</v>
      </c>
      <c r="E87" s="641">
        <f>INPUT!BB675</f>
        <v>0</v>
      </c>
      <c r="F87" s="681">
        <f>INPUT!BC675</f>
        <v>0</v>
      </c>
      <c r="G87" s="641">
        <f>INPUT!BD675</f>
        <v>0</v>
      </c>
      <c r="H87" s="681">
        <f>INPUT!BE675</f>
        <v>0</v>
      </c>
      <c r="I87" s="641">
        <f>INPUT!BF675</f>
        <v>0</v>
      </c>
      <c r="J87" s="681">
        <f>INPUT!BG675</f>
        <v>81.346476124479395</v>
      </c>
      <c r="K87" s="641" t="str">
        <f>INPUT!BH675</f>
        <v>NA</v>
      </c>
      <c r="L87" s="681">
        <f>INPUT!BI675</f>
        <v>82.328069601075498</v>
      </c>
      <c r="M87" s="641" t="str">
        <f>INPUT!BJ675</f>
        <v>NA</v>
      </c>
      <c r="N87" s="681">
        <f>INPUT!BK675</f>
        <v>80.571933356616057</v>
      </c>
      <c r="O87" s="641" t="str">
        <f>INPUT!BL675</f>
        <v>NA</v>
      </c>
      <c r="P87" s="681">
        <f>INPUT!BM675</f>
        <v>79.241401391036604</v>
      </c>
      <c r="Q87" s="641" t="str">
        <f>INPUT!BN675</f>
        <v>NA</v>
      </c>
      <c r="R87" s="681">
        <f>INPUT!BO675</f>
        <v>78.871136123229235</v>
      </c>
      <c r="S87" s="641">
        <f>INPUT!BP675</f>
        <v>-3.0429591042914983</v>
      </c>
      <c r="T87" s="681">
        <f>INPUT!BQ675</f>
        <v>72.649462807793142</v>
      </c>
      <c r="U87" s="641">
        <f>INPUT!BR675</f>
        <v>-11.756144459818497</v>
      </c>
      <c r="V87" s="681">
        <f>INPUT!BS675</f>
        <v>70.538342563488499</v>
      </c>
      <c r="W87" s="641">
        <f>INPUT!BT675</f>
        <v>-12.452960199823304</v>
      </c>
      <c r="X87" s="681">
        <f>INPUT!BU675</f>
        <v>69.499655090160076</v>
      </c>
      <c r="Y87" s="641">
        <f>INPUT!BV675</f>
        <v>-12.293758224698015</v>
      </c>
      <c r="Z87" s="681">
        <f>INPUT!BW675</f>
        <v>70.328004316025982</v>
      </c>
      <c r="AA87" s="641">
        <f>INPUT!BX675</f>
        <v>-10.83175953476232</v>
      </c>
      <c r="AB87" s="681">
        <f>INPUT!BY675</f>
        <v>69.305778749116158</v>
      </c>
      <c r="AC87" s="641">
        <f>INPUT!BZ675</f>
        <v>-4.602489721807423</v>
      </c>
      <c r="AD87" s="681">
        <f>INPUT!CA675</f>
        <v>69.815245551332239</v>
      </c>
      <c r="AE87" s="641">
        <f>INPUT!CB675</f>
        <v>-1.0251119970751121</v>
      </c>
      <c r="AF87" s="681">
        <f>INPUT!CC675</f>
        <v>68.834887351668897</v>
      </c>
      <c r="AG87" s="641">
        <f>INPUT!CD675</f>
        <v>-0.9565050900307237</v>
      </c>
      <c r="AH87" s="681">
        <f>INPUT!CE675</f>
        <v>68.980715240231945</v>
      </c>
      <c r="AI87" s="641">
        <f>INPUT!CF675</f>
        <v>-1.915722035478018</v>
      </c>
      <c r="AJ87" s="681">
        <f>INPUT!CG675</f>
        <v>66.608971913662842</v>
      </c>
      <c r="AK87" s="641">
        <f>INPUT!CH675</f>
        <v>-3.8911716802369933</v>
      </c>
      <c r="AL87" s="681">
        <f>INPUT!CI675</f>
        <v>66.683857658586902</v>
      </c>
      <c r="AM87" s="641">
        <f>INPUT!CJ675</f>
        <v>-4.4852494151051303</v>
      </c>
      <c r="AN87" s="681">
        <f>INPUT!CK675</f>
        <v>69.072046835885359</v>
      </c>
      <c r="AO87" s="641">
        <f>INPUT!CL675</f>
        <v>0.34453384517771912</v>
      </c>
      <c r="AP87" s="681">
        <f>INPUT!CM675</f>
        <v>67.565673832549095</v>
      </c>
      <c r="AQ87" s="641">
        <f>INPUT!CN675</f>
        <v>-2.0513579813645433</v>
      </c>
      <c r="AR87" s="681">
        <f>INPUT!CO675</f>
        <v>66.419690850366649</v>
      </c>
      <c r="AS87" s="641">
        <f>INPUT!CP675</f>
        <v>-0.28416751956709119</v>
      </c>
      <c r="AT87" s="681">
        <f>INPUT!CQ675</f>
        <v>67.918711086051559</v>
      </c>
      <c r="AU87" s="641">
        <f>INPUT!CR675</f>
        <v>1.8518026263371734</v>
      </c>
      <c r="AV87" s="681">
        <f>INPUT!CS675</f>
        <v>65.905641285099932</v>
      </c>
      <c r="AW87" s="641">
        <f>INPUT!CT675</f>
        <v>-4.5842069199263484</v>
      </c>
      <c r="AX87" s="681">
        <f>INPUT!CU675</f>
        <v>65.188772975658225</v>
      </c>
      <c r="AY87" s="641">
        <f>INPUT!CV675</f>
        <v>-3.5179118656932906</v>
      </c>
      <c r="AZ87" s="681">
        <f>INPUT!CW675</f>
        <v>65.083338421149023</v>
      </c>
      <c r="BA87" s="641">
        <f>INPUT!CX675</f>
        <v>-2.0119823084214894</v>
      </c>
      <c r="BB87" s="681">
        <f>INPUT!CY675</f>
        <v>66.630223517978621</v>
      </c>
      <c r="BC87" s="641">
        <f>INPUT!CZ675</f>
        <v>-1.8971025030796729</v>
      </c>
      <c r="BD87" s="681">
        <f>INPUT!DA675</f>
        <v>67.242833052276566</v>
      </c>
      <c r="BE87" s="641">
        <f>INPUT!DB675</f>
        <v>2.0289488746374484</v>
      </c>
      <c r="BF87" s="681">
        <f>INPUT!DC675</f>
        <v>69.764996907854055</v>
      </c>
      <c r="BG87" s="641">
        <f>INPUT!DD675</f>
        <v>7.0199571541323724</v>
      </c>
      <c r="BH87" s="681">
        <f>INPUT!DE675</f>
        <v>69.345635546922423</v>
      </c>
      <c r="BI87" s="641">
        <f>INPUT!DF675</f>
        <v>6.5489835481278291</v>
      </c>
      <c r="BJ87" s="681">
        <f>INPUT!DG675</f>
        <v>68.448600329334269</v>
      </c>
      <c r="BK87" s="641">
        <f>INPUT!DH675</f>
        <v>2.7290570485104304</v>
      </c>
      <c r="BL87" s="681">
        <f>INPUT!DI675</f>
        <v>69.087739686228929</v>
      </c>
      <c r="BM87" s="641">
        <f>INPUT!DJ675</f>
        <v>2.7436479847868345</v>
      </c>
      <c r="BN87" s="681">
        <f>INPUT!DK675</f>
        <v>69.103543329696208</v>
      </c>
      <c r="BO87" s="641">
        <f>INPUT!DL675</f>
        <v>-0.9481166881315839</v>
      </c>
      <c r="BP87" s="681">
        <f>INPUT!DM675</f>
        <v>70.324876592813681</v>
      </c>
      <c r="BQ87" s="641">
        <f>INPUT!DN675</f>
        <v>1.4121163331593634</v>
      </c>
      <c r="BR87" s="681">
        <f>INPUT!DO675</f>
        <v>70.727026416798381</v>
      </c>
      <c r="BS87" s="641">
        <f>INPUT!DP675</f>
        <v>3.3286671699664705</v>
      </c>
      <c r="BT87" s="681">
        <f>INPUT!DQ675</f>
        <v>70.581667969186114</v>
      </c>
      <c r="BU87" s="641">
        <f>INPUT!DR675</f>
        <v>2.1623638141037071</v>
      </c>
      <c r="BV87" s="681">
        <f>INPUT!DS675</f>
        <v>69.199009083402146</v>
      </c>
      <c r="BW87" s="641">
        <f>INPUT!DT675</f>
        <v>0.13814885475620375</v>
      </c>
      <c r="BX87" s="681">
        <f>INPUT!DU675</f>
        <v>69.875095869398478</v>
      </c>
      <c r="BY87" s="641">
        <f>INPUT!DV675</f>
        <v>-0.63957556018117145</v>
      </c>
      <c r="BZ87" s="681">
        <f>INPUT!DW675</f>
        <v>69.560943643512445</v>
      </c>
      <c r="CA87" s="641">
        <f>INPUT!DX675</f>
        <v>69.4471704285247</v>
      </c>
      <c r="CB87" s="681">
        <f>INPUT!DY675</f>
        <v>69.697135061391549</v>
      </c>
      <c r="CC87" s="641">
        <f>INPUT!DZ675</f>
        <v>-1.2532048805941054</v>
      </c>
      <c r="CD87" s="681">
        <f>INPUT!EA675</f>
        <v>69.255047069706706</v>
      </c>
      <c r="CE87" s="641">
        <f>INPUT!EB675</f>
        <v>8.0980908609573632E-2</v>
      </c>
      <c r="CF87" s="681">
        <f>INPUT!EC675</f>
        <v>69.975254330492163</v>
      </c>
      <c r="CG87" s="641">
        <f>INPUT!ED675</f>
        <v>0.14333928254051109</v>
      </c>
      <c r="CH87" s="681">
        <f>INPUT!EE675</f>
        <v>70.347225995761562</v>
      </c>
      <c r="CI87" s="641">
        <f>INPUT!EF675</f>
        <v>1.1303503245710278</v>
      </c>
      <c r="CJ87" s="681">
        <f>INPUT!EG675</f>
        <v>70.723558087308973</v>
      </c>
      <c r="CK87" s="641">
        <f>INPUT!EH675</f>
        <v>1.4726904126164175</v>
      </c>
      <c r="CL87" s="681">
        <f>INPUT!EI675</f>
        <v>71.88783613560436</v>
      </c>
      <c r="CM87" s="641">
        <f>INPUT!EJ675</f>
        <v>3.8015844004086752</v>
      </c>
      <c r="CN87" s="681">
        <f>INPUT!EK675</f>
        <v>73.050698339381952</v>
      </c>
      <c r="CO87" s="641">
        <f>INPUT!EL675</f>
        <v>4.3950451317611661</v>
      </c>
      <c r="CP87" s="681">
        <f>INPUT!EM675</f>
        <v>73.304276763824575</v>
      </c>
      <c r="CQ87" s="641">
        <f>INPUT!EN675</f>
        <v>4.2035072829185616</v>
      </c>
      <c r="CR87" s="681">
        <f>INPUT!EO675</f>
        <v>74.223111766564841</v>
      </c>
      <c r="CS87" s="641">
        <f>INPUT!EP675</f>
        <v>4.9482149567978917</v>
      </c>
      <c r="CT87" s="681">
        <f>INPUT!EQ675</f>
        <v>72.634344626388653</v>
      </c>
      <c r="CU87" s="641">
        <f>INPUT!ER675</f>
        <v>1.0384350550990629</v>
      </c>
      <c r="CV87" s="681">
        <f>INPUT!ES675</f>
        <v>73.067988481315538</v>
      </c>
      <c r="CW87" s="641">
        <f>INPUT!ET675</f>
        <v>2.3668688084610423E-2</v>
      </c>
      <c r="CX87" s="681">
        <f>INPUT!EU675</f>
        <v>73.285088699322969</v>
      </c>
      <c r="CY87" s="641">
        <f>INPUT!EV675</f>
        <v>-2.6175914078552243E-2</v>
      </c>
      <c r="CZ87" s="681">
        <f>INPUT!EW675</f>
        <v>73.515084111110795</v>
      </c>
      <c r="DA87" s="641">
        <f>INPUT!EX675</f>
        <v>-0.95391804331894647</v>
      </c>
      <c r="DB87" s="640"/>
      <c r="DC87" s="681">
        <f>INPUT!FP675</f>
        <v>81.520759686698554</v>
      </c>
      <c r="DD87" s="641">
        <f>INPUT!FQ675</f>
        <v>2.7228453676660047</v>
      </c>
      <c r="DE87" s="681">
        <f>INPUT!FR675</f>
        <v>83.101225472834173</v>
      </c>
      <c r="DF87" s="641">
        <f>INPUT!FS675</f>
        <v>1.93872799052619</v>
      </c>
      <c r="DG87" s="681">
        <f>INPUT!FT675</f>
        <v>79.241401391036604</v>
      </c>
      <c r="DH87" s="641">
        <f>INPUT!FU675</f>
        <v>-4.6447258266478215</v>
      </c>
      <c r="DI87" s="681">
        <f>INPUT!FV675</f>
        <v>69.499655090160076</v>
      </c>
      <c r="DJ87" s="641">
        <f>INPUT!FW675</f>
        <v>-12.293758224698015</v>
      </c>
      <c r="DK87" s="681">
        <f>INPUT!FX675</f>
        <v>68.834887351668897</v>
      </c>
      <c r="DL87" s="641">
        <f>INPUT!FY675</f>
        <v>-0.9565050900307237</v>
      </c>
      <c r="DM87" s="681">
        <f>INPUT!FZ675</f>
        <v>69.072046835885359</v>
      </c>
      <c r="DN87" s="641">
        <f>INPUT!GA675</f>
        <v>0.34453384517771912</v>
      </c>
      <c r="DO87" s="681">
        <f>INPUT!GB675</f>
        <v>65.905641285099932</v>
      </c>
      <c r="DP87" s="641">
        <f>INPUT!GC675</f>
        <v>-4.5842069199263484</v>
      </c>
      <c r="DQ87" s="681">
        <f>INPUT!GD675</f>
        <v>67.242833052276566</v>
      </c>
      <c r="DR87" s="641">
        <f>INPUT!GE675</f>
        <v>2.0289488746374484</v>
      </c>
      <c r="DS87" s="681">
        <f>INPUT!GF675</f>
        <v>69.087739686228929</v>
      </c>
      <c r="DT87" s="641">
        <f>INPUT!GG675</f>
        <v>2.7436479847868345</v>
      </c>
      <c r="DU87" s="681">
        <f>INPUT!GH675</f>
        <v>70.581667969186114</v>
      </c>
      <c r="DV87" s="641">
        <f>INPUT!GI675</f>
        <v>2.1623638141037071</v>
      </c>
      <c r="DW87" s="681">
        <f>INPUT!GJ675</f>
        <v>69.697135061391549</v>
      </c>
      <c r="DX87" s="641">
        <f>INPUT!GK675</f>
        <v>-1.2532048805941054</v>
      </c>
      <c r="DY87" s="681">
        <f>INPUT!GL675</f>
        <v>70.723558087308973</v>
      </c>
      <c r="DZ87" s="641">
        <f>INPUT!GM675</f>
        <v>1.4726904126164175</v>
      </c>
      <c r="EA87" s="681">
        <f>INPUT!GN675</f>
        <v>74.223111766564841</v>
      </c>
      <c r="EB87" s="641">
        <f>INPUT!GO675</f>
        <v>4.9482149567978917</v>
      </c>
      <c r="EC87" s="681">
        <f>INPUT!GP675</f>
        <v>73.515084111110795</v>
      </c>
      <c r="ED87" s="641">
        <f>INPUT!GQ675</f>
        <v>-0.95391804331894647</v>
      </c>
      <c r="EE87" s="681">
        <f>INPUT!GR675</f>
        <v>74.378304254873896</v>
      </c>
      <c r="EF87" s="641">
        <f>INPUT!GS675</f>
        <v>1.1742081971346519</v>
      </c>
      <c r="EG87" s="681">
        <f>INPUT!GT675</f>
        <v>75.28812164579881</v>
      </c>
      <c r="EH87" s="641">
        <f>INPUT!GU675</f>
        <v>1.2232295425924411</v>
      </c>
      <c r="EI87" s="681">
        <f>INPUT!GV675</f>
        <v>76.12499178712892</v>
      </c>
      <c r="EJ87" s="641">
        <f>INPUT!GW675</f>
        <v>1.1115566745937056</v>
      </c>
      <c r="EK87" s="681">
        <f>INPUT!GX675</f>
        <v>76.956612884817474</v>
      </c>
      <c r="EL87" s="641">
        <f>INPUT!GY675</f>
        <v>1.0924416254967095</v>
      </c>
      <c r="EM87" s="852">
        <f>INPUT!GZ675</f>
        <v>0.72594656890299092</v>
      </c>
    </row>
    <row r="88" spans="1:143" ht="12.75" customHeight="1" x14ac:dyDescent="0.2">
      <c r="A88" s="851" t="str">
        <f>INPUT!B678</f>
        <v>Equity to Assets (Excl SAA)(%)</v>
      </c>
      <c r="B88" s="682">
        <f>INPUT!AY678</f>
        <v>10.098883657300721</v>
      </c>
      <c r="C88" s="641">
        <f>INPUT!AZ678</f>
        <v>11.826943029425507</v>
      </c>
      <c r="D88" s="682">
        <f>INPUT!BA678</f>
        <v>11.936297141671421</v>
      </c>
      <c r="E88" s="641">
        <f>INPUT!BB678</f>
        <v>32.182490312559906</v>
      </c>
      <c r="F88" s="682">
        <f>INPUT!BC678</f>
        <v>11.936237956889924</v>
      </c>
      <c r="G88" s="641">
        <f>INPUT!BD678</f>
        <v>27.134687112965072</v>
      </c>
      <c r="H88" s="682">
        <f>INPUT!BE678</f>
        <v>12.033389954292934</v>
      </c>
      <c r="I88" s="641">
        <f>INPUT!BF678</f>
        <v>24.024848520152077</v>
      </c>
      <c r="J88" s="682">
        <f>INPUT!BG678</f>
        <v>11.780855866004172</v>
      </c>
      <c r="K88" s="641">
        <f>INPUT!BH678</f>
        <v>16.655031048778479</v>
      </c>
      <c r="L88" s="682">
        <f>INPUT!BI678</f>
        <v>12.043617110167746</v>
      </c>
      <c r="M88" s="641">
        <f>INPUT!BJ678</f>
        <v>0.8991060395242334</v>
      </c>
      <c r="N88" s="682">
        <f>INPUT!BK678</f>
        <v>11.870831311310182</v>
      </c>
      <c r="O88" s="641">
        <f>INPUT!BL678</f>
        <v>-0.54796700447805602</v>
      </c>
      <c r="P88" s="682">
        <f>INPUT!BM678</f>
        <v>11.6048037766192</v>
      </c>
      <c r="Q88" s="641">
        <f>INPUT!BN678</f>
        <v>-3.5616412274650511</v>
      </c>
      <c r="R88" s="682">
        <f>INPUT!BO678</f>
        <v>11.298651649337707</v>
      </c>
      <c r="S88" s="641">
        <f>INPUT!BP678</f>
        <v>-4.0931170209624117</v>
      </c>
      <c r="T88" s="682">
        <f>INPUT!BQ678</f>
        <v>11.329327084466916</v>
      </c>
      <c r="U88" s="641">
        <f>INPUT!BR678</f>
        <v>-5.9308596343352278</v>
      </c>
      <c r="V88" s="682">
        <f>INPUT!BS678</f>
        <v>11.297949659475258</v>
      </c>
      <c r="W88" s="641">
        <f>INPUT!BT678</f>
        <v>-4.825960683049213</v>
      </c>
      <c r="X88" s="682">
        <f>INPUT!BU678</f>
        <v>10.237050444083806</v>
      </c>
      <c r="Y88" s="641">
        <f>INPUT!BV678</f>
        <v>-11.786096162100367</v>
      </c>
      <c r="Z88" s="682">
        <f>INPUT!BW678</f>
        <v>10.006461611710579</v>
      </c>
      <c r="AA88" s="641">
        <f>INPUT!BX678</f>
        <v>-11.436674726606622</v>
      </c>
      <c r="AB88" s="682">
        <f>INPUT!BY678</f>
        <v>10.014684997060213</v>
      </c>
      <c r="AC88" s="641">
        <f>INPUT!BZ678</f>
        <v>-11.603885011044868</v>
      </c>
      <c r="AD88" s="682">
        <f>INPUT!CA678</f>
        <v>9.9246224401468837</v>
      </c>
      <c r="AE88" s="641">
        <f>INPUT!CB678</f>
        <v>-12.1555437997248</v>
      </c>
      <c r="AF88" s="682">
        <f>INPUT!CC678</f>
        <v>10.705833123789526</v>
      </c>
      <c r="AG88" s="641">
        <f>INPUT!CD678</f>
        <v>4.5792748826068319</v>
      </c>
      <c r="AH88" s="681">
        <f>INPUT!CE678</f>
        <v>10.72847745256936</v>
      </c>
      <c r="AI88" s="641">
        <f>INPUT!CF678</f>
        <v>7.2154960352199149</v>
      </c>
      <c r="AJ88" s="681">
        <f>INPUT!CG678</f>
        <v>10.797684852322117</v>
      </c>
      <c r="AK88" s="641">
        <f>INPUT!CH678</f>
        <v>7.8185170626110745</v>
      </c>
      <c r="AL88" s="681">
        <f>INPUT!CI678</f>
        <v>10.789395633848422</v>
      </c>
      <c r="AM88" s="641">
        <f>INPUT!CJ678</f>
        <v>8.7134115067528874</v>
      </c>
      <c r="AN88" s="681">
        <f>INPUT!CK678</f>
        <v>11.118631501974718</v>
      </c>
      <c r="AO88" s="641">
        <f>INPUT!CL678</f>
        <v>3.8558267573581828</v>
      </c>
      <c r="AP88" s="681">
        <f>INPUT!CM678</f>
        <v>10.392599185739479</v>
      </c>
      <c r="AQ88" s="641">
        <f>INPUT!CN678</f>
        <v>-3.1307169942314639</v>
      </c>
      <c r="AR88" s="681">
        <f>INPUT!CO678</f>
        <v>10.309409667789716</v>
      </c>
      <c r="AS88" s="641">
        <f>INPUT!CP678</f>
        <v>-4.5220358920495363</v>
      </c>
      <c r="AT88" s="681">
        <f>INPUT!CQ678</f>
        <v>9.8065792334014379</v>
      </c>
      <c r="AU88" s="641">
        <f>INPUT!CR678</f>
        <v>-9.1090959475403679</v>
      </c>
      <c r="AV88" s="681">
        <f>INPUT!CS678</f>
        <v>9.0354185633155595</v>
      </c>
      <c r="AW88" s="641">
        <f>INPUT!CT678</f>
        <v>-18.736235104915298</v>
      </c>
      <c r="AX88" s="681">
        <f>INPUT!CU678</f>
        <v>9.183959127970045</v>
      </c>
      <c r="AY88" s="641">
        <f>INPUT!CV678</f>
        <v>-11.629814988226494</v>
      </c>
      <c r="AZ88" s="681">
        <f>INPUT!CW678</f>
        <v>8.9661205127342463</v>
      </c>
      <c r="BA88" s="641">
        <f>INPUT!CX678</f>
        <v>-13.029738834148629</v>
      </c>
      <c r="BB88" s="681">
        <f>INPUT!CY678</f>
        <v>9.2980285128239899</v>
      </c>
      <c r="BC88" s="641">
        <f>INPUT!CZ678</f>
        <v>-5.1858115707188901</v>
      </c>
      <c r="BD88" s="681">
        <f>INPUT!DA678</f>
        <v>9.3284205601229875</v>
      </c>
      <c r="BE88" s="641">
        <f>INPUT!DB678</f>
        <v>3.2428159775246712</v>
      </c>
      <c r="BF88" s="681">
        <f>INPUT!DC678</f>
        <v>9.4485485032748713</v>
      </c>
      <c r="BG88" s="641">
        <f>INPUT!DD678</f>
        <v>2.8809946954033272</v>
      </c>
      <c r="BH88" s="681">
        <f>INPUT!DE678</f>
        <v>9.6287243457372824</v>
      </c>
      <c r="BI88" s="641">
        <f>INPUT!DF678</f>
        <v>7.3900839506001015</v>
      </c>
      <c r="BJ88" s="681">
        <f>INPUT!DG678</f>
        <v>9.7973029848987352</v>
      </c>
      <c r="BK88" s="641">
        <f>INPUT!DH678</f>
        <v>5.3696810177140009</v>
      </c>
      <c r="BL88" s="681">
        <f>INPUT!DI678</f>
        <v>10.055223388331205</v>
      </c>
      <c r="BM88" s="641">
        <f>INPUT!DJ678</f>
        <v>7.7912742411630154</v>
      </c>
      <c r="BN88" s="681">
        <f>INPUT!DK678</f>
        <v>9.9836551146216195</v>
      </c>
      <c r="BO88" s="641">
        <f>INPUT!DL678</f>
        <v>5.6633737040274523</v>
      </c>
      <c r="BP88" s="681">
        <f>INPUT!DM678</f>
        <v>10.061839414619724</v>
      </c>
      <c r="BQ88" s="641">
        <f>INPUT!DN678</f>
        <v>4.4981562804234265</v>
      </c>
      <c r="BR88" s="681">
        <f>INPUT!DO678</f>
        <v>10.221312210919592</v>
      </c>
      <c r="BS88" s="641">
        <f>INPUT!DP678</f>
        <v>4.3278157945550122</v>
      </c>
      <c r="BT88" s="681">
        <f>INPUT!DQ678</f>
        <v>10.113905420106226</v>
      </c>
      <c r="BU88" s="641">
        <f>INPUT!DR678</f>
        <v>0.58359749464262922</v>
      </c>
      <c r="BV88" s="681">
        <f>INPUT!DS678</f>
        <v>9.8998204328513371</v>
      </c>
      <c r="BW88" s="641">
        <f>INPUT!DT678</f>
        <v>-0.83971932932159765</v>
      </c>
      <c r="BX88" s="681">
        <f>INPUT!DU678</f>
        <v>10.190874154089533</v>
      </c>
      <c r="BY88" s="641">
        <f>INPUT!DV678</f>
        <v>1.2824170030215631</v>
      </c>
      <c r="BZ88" s="681">
        <f>INPUT!DW678</f>
        <v>9.9855758677996924</v>
      </c>
      <c r="CA88" s="641">
        <f>INPUT!DX678</f>
        <v>9.9832280514757752</v>
      </c>
      <c r="CB88" s="681">
        <f>INPUT!DY678</f>
        <v>10.021656570729103</v>
      </c>
      <c r="CC88" s="641">
        <f>INPUT!DZ678</f>
        <v>-0.91209918963385261</v>
      </c>
      <c r="CD88" s="681">
        <f>INPUT!EA678</f>
        <v>9.7688841811162028</v>
      </c>
      <c r="CE88" s="641">
        <f>INPUT!EB678</f>
        <v>-1.3226123910352827</v>
      </c>
      <c r="CF88" s="681">
        <f>INPUT!EC678</f>
        <v>9.4399109792284879</v>
      </c>
      <c r="CG88" s="641">
        <f>INPUT!ED678</f>
        <v>-7.3689770230327962</v>
      </c>
      <c r="CH88" s="681">
        <f>INPUT!EE678</f>
        <v>9.6156274371448731</v>
      </c>
      <c r="CI88" s="641">
        <f>INPUT!EF678</f>
        <v>-3.7048281997214105</v>
      </c>
      <c r="CJ88" s="681">
        <f>INPUT!EG678</f>
        <v>9.8067808968282897</v>
      </c>
      <c r="CK88" s="641">
        <f>INPUT!EH678</f>
        <v>-2.1441133248211175</v>
      </c>
      <c r="CL88" s="681">
        <f>INPUT!EI678</f>
        <v>9.8942433082321362</v>
      </c>
      <c r="CM88" s="641">
        <f>INPUT!EJ678</f>
        <v>1.2832491898947751</v>
      </c>
      <c r="CN88" s="681">
        <f>INPUT!EK678</f>
        <v>9.9800924013071413</v>
      </c>
      <c r="CO88" s="641">
        <f>INPUT!EL678</f>
        <v>5.7223147894854609</v>
      </c>
      <c r="CP88" s="681">
        <f>INPUT!EM678</f>
        <v>10.017570767008651</v>
      </c>
      <c r="CQ88" s="641">
        <f>INPUT!EN678</f>
        <v>4.1801050684543428</v>
      </c>
      <c r="CR88" s="681">
        <f>INPUT!EO678</f>
        <v>10.491832571437081</v>
      </c>
      <c r="CS88" s="641">
        <f>INPUT!EP678</f>
        <v>6.9854897526093529</v>
      </c>
      <c r="CT88" s="681">
        <f>INPUT!EQ678</f>
        <v>10.60269099781233</v>
      </c>
      <c r="CU88" s="641">
        <f>INPUT!ER678</f>
        <v>7.1602008108164972</v>
      </c>
      <c r="CV88" s="681">
        <f>INPUT!ES678</f>
        <v>10.731113149755881</v>
      </c>
      <c r="CW88" s="641">
        <f>INPUT!ET678</f>
        <v>7.5251883274184417</v>
      </c>
      <c r="CX88" s="681">
        <f>INPUT!EU678</f>
        <v>10.793902387897827</v>
      </c>
      <c r="CY88" s="641">
        <f>INPUT!EV678</f>
        <v>7.7496993926502222</v>
      </c>
      <c r="CZ88" s="681">
        <f>INPUT!EW678</f>
        <v>10.865271681046057</v>
      </c>
      <c r="DA88" s="641">
        <f>INPUT!EX678</f>
        <v>3.559331575931024</v>
      </c>
      <c r="DB88" s="681"/>
      <c r="DC88" s="681">
        <f>INPUT!FP678</f>
        <v>9.7024024603728485</v>
      </c>
      <c r="DD88" s="641">
        <f>INPUT!FQ678</f>
        <v>0.6942644725991709</v>
      </c>
      <c r="DE88" s="682">
        <f>INPUT!FR678</f>
        <v>12.033389954292934</v>
      </c>
      <c r="DF88" s="641">
        <f>INPUT!FS678</f>
        <v>24.024848520152077</v>
      </c>
      <c r="DG88" s="682">
        <f>INPUT!FT678</f>
        <v>11.6048037766192</v>
      </c>
      <c r="DH88" s="641">
        <f>INPUT!FU678</f>
        <v>-3.5616412274650511</v>
      </c>
      <c r="DI88" s="682">
        <f>INPUT!FV678</f>
        <v>10.237050444083806</v>
      </c>
      <c r="DJ88" s="641">
        <f>INPUT!FW678</f>
        <v>-11.786096162100367</v>
      </c>
      <c r="DK88" s="681">
        <f>INPUT!FX678</f>
        <v>10.705833123789526</v>
      </c>
      <c r="DL88" s="641">
        <f>INPUT!FY678</f>
        <v>4.5792748826068319</v>
      </c>
      <c r="DM88" s="681">
        <f>INPUT!FZ678</f>
        <v>11.118631501974718</v>
      </c>
      <c r="DN88" s="641">
        <f>INPUT!GA678</f>
        <v>3.8558267573581828</v>
      </c>
      <c r="DO88" s="681">
        <f>INPUT!GB678</f>
        <v>9.0354185633155595</v>
      </c>
      <c r="DP88" s="641">
        <f>INPUT!GC678</f>
        <v>-18.736235104915298</v>
      </c>
      <c r="DQ88" s="681">
        <f>INPUT!GD678</f>
        <v>9.3284205601229875</v>
      </c>
      <c r="DR88" s="641">
        <f>INPUT!GE678</f>
        <v>3.2428159775246712</v>
      </c>
      <c r="DS88" s="681">
        <f>INPUT!GF678</f>
        <v>10.055223388331205</v>
      </c>
      <c r="DT88" s="641">
        <f>INPUT!GG678</f>
        <v>7.7912742411630154</v>
      </c>
      <c r="DU88" s="681">
        <f>INPUT!GH678</f>
        <v>10.113905420106226</v>
      </c>
      <c r="DV88" s="641">
        <f>INPUT!GI678</f>
        <v>0.58359749464262922</v>
      </c>
      <c r="DW88" s="681">
        <f>INPUT!GJ678</f>
        <v>10.021656570729103</v>
      </c>
      <c r="DX88" s="641">
        <f>INPUT!GK678</f>
        <v>-0.91209918963385261</v>
      </c>
      <c r="DY88" s="681">
        <f>INPUT!GL678</f>
        <v>9.8067808968282897</v>
      </c>
      <c r="DZ88" s="641">
        <f>INPUT!GM678</f>
        <v>-2.1441133248211175</v>
      </c>
      <c r="EA88" s="681">
        <f>INPUT!GN678</f>
        <v>10.491832571437081</v>
      </c>
      <c r="EB88" s="641">
        <f>INPUT!GO678</f>
        <v>6.9854897526093529</v>
      </c>
      <c r="EC88" s="681">
        <f>INPUT!GP678</f>
        <v>10.865271681046057</v>
      </c>
      <c r="ED88" s="641">
        <f>INPUT!GQ678</f>
        <v>3.559331575931024</v>
      </c>
      <c r="EE88" s="681">
        <f>INPUT!GR678</f>
        <v>11.136221877840475</v>
      </c>
      <c r="EF88" s="641">
        <f>INPUT!GS678</f>
        <v>2.4937268459386708</v>
      </c>
      <c r="EG88" s="681">
        <f>INPUT!GT678</f>
        <v>11.460591167672762</v>
      </c>
      <c r="EH88" s="641">
        <f>INPUT!GU678</f>
        <v>2.9127409043253394</v>
      </c>
      <c r="EI88" s="681">
        <f>INPUT!GV678</f>
        <v>11.768864473522097</v>
      </c>
      <c r="EJ88" s="641">
        <f>INPUT!GW678</f>
        <v>2.6898551858205222</v>
      </c>
      <c r="EK88" s="681">
        <f>INPUT!GX678</f>
        <v>12.103816170593619</v>
      </c>
      <c r="EL88" s="641">
        <f>INPUT!GY678</f>
        <v>2.8460833908412031</v>
      </c>
      <c r="EM88" s="852">
        <f>INPUT!GZ678</f>
        <v>2.8997201222032531</v>
      </c>
    </row>
    <row r="89" spans="1:143" ht="12.75" customHeight="1" x14ac:dyDescent="0.2">
      <c r="A89" s="851" t="str">
        <f>INPUT!B679</f>
        <v>Equity to Total Assets (%)</v>
      </c>
      <c r="B89" s="682">
        <f>INPUT!AY679</f>
        <v>4.7441594926086008</v>
      </c>
      <c r="C89" s="641">
        <f>INPUT!AZ679</f>
        <v>0.72657291777042943</v>
      </c>
      <c r="D89" s="682">
        <f>INPUT!BA679</f>
        <v>6.8693575352280867</v>
      </c>
      <c r="E89" s="641">
        <f>INPUT!BB679</f>
        <v>47.55730672091989</v>
      </c>
      <c r="F89" s="682">
        <f>INPUT!BC679</f>
        <v>6.7534566705946792</v>
      </c>
      <c r="G89" s="641">
        <f>INPUT!BD679</f>
        <v>43.900522128791629</v>
      </c>
      <c r="H89" s="682">
        <f>INPUT!BE679</f>
        <v>6.5897819452534794</v>
      </c>
      <c r="I89" s="641">
        <f>INPUT!BF679</f>
        <v>39.354977748381636</v>
      </c>
      <c r="J89" s="682">
        <f>INPUT!BG679</f>
        <v>6.3629469967361425</v>
      </c>
      <c r="K89" s="641">
        <f>INPUT!BH679</f>
        <v>34.121692296593565</v>
      </c>
      <c r="L89" s="682">
        <f>INPUT!BI679</f>
        <v>6.2990518725384126</v>
      </c>
      <c r="M89" s="641">
        <f>INPUT!BJ679</f>
        <v>-8.3021688675393399</v>
      </c>
      <c r="N89" s="682">
        <f>INPUT!BK679</f>
        <v>6.1274867201333194</v>
      </c>
      <c r="O89" s="641">
        <f>INPUT!BL679</f>
        <v>-9.2688823071436115</v>
      </c>
      <c r="P89" s="682">
        <f>INPUT!BM679</f>
        <v>6.0790870812867031</v>
      </c>
      <c r="Q89" s="641">
        <f>INPUT!BN679</f>
        <v>-7.7497991315876869</v>
      </c>
      <c r="R89" s="682">
        <f>INPUT!BO679</f>
        <v>6.1442046114926994</v>
      </c>
      <c r="S89" s="641">
        <f>INPUT!BP679</f>
        <v>-3.4377527481471493</v>
      </c>
      <c r="T89" s="682">
        <f>INPUT!BQ679</f>
        <v>6.1083962083208396</v>
      </c>
      <c r="U89" s="641">
        <f>INPUT!BR679</f>
        <v>-3.0267358973302461</v>
      </c>
      <c r="V89" s="682">
        <f>INPUT!BS679</f>
        <v>6.4600956128877494</v>
      </c>
      <c r="W89" s="641">
        <f>INPUT!BT679</f>
        <v>5.4281454688684061</v>
      </c>
      <c r="X89" s="682">
        <f>INPUT!BU679</f>
        <v>6.4965321656774506</v>
      </c>
      <c r="Y89" s="641">
        <f>INPUT!BV679</f>
        <v>6.8669041717756008</v>
      </c>
      <c r="Z89" s="682">
        <f>INPUT!BW679</f>
        <v>6.420244136606776</v>
      </c>
      <c r="AA89" s="641">
        <f>INPUT!BX679</f>
        <v>4.492681194206094</v>
      </c>
      <c r="AB89" s="682">
        <f>INPUT!BY679</f>
        <v>6.3892059225442335</v>
      </c>
      <c r="AC89" s="641">
        <f>INPUT!BZ679</f>
        <v>4.5971103485539455</v>
      </c>
      <c r="AD89" s="682">
        <f>INPUT!CA679</f>
        <v>6.0952885159364518</v>
      </c>
      <c r="AE89" s="641">
        <f>INPUT!CB679</f>
        <v>-5.6470851023244233</v>
      </c>
      <c r="AF89" s="682">
        <f>INPUT!CC679</f>
        <v>6.2775648345167303</v>
      </c>
      <c r="AG89" s="641">
        <f>INPUT!CD679</f>
        <v>-3.3705263912579553</v>
      </c>
      <c r="AH89" s="681">
        <f>INPUT!CE679</f>
        <v>6.2062373979148386</v>
      </c>
      <c r="AI89" s="641">
        <f>INPUT!CF679</f>
        <v>-3.3333115398481383</v>
      </c>
      <c r="AJ89" s="681">
        <f>INPUT!CG679</f>
        <v>6.5287731442468786</v>
      </c>
      <c r="AK89" s="641">
        <f>INPUT!CH679</f>
        <v>2.1844220298203876</v>
      </c>
      <c r="AL89" s="681">
        <f>INPUT!CI679</f>
        <v>6.2996879706654294</v>
      </c>
      <c r="AM89" s="641">
        <f>INPUT!CJ679</f>
        <v>3.3534008143267346</v>
      </c>
      <c r="AN89" s="681">
        <f>INPUT!CK679</f>
        <v>6.2450537612132013</v>
      </c>
      <c r="AO89" s="641">
        <f>INPUT!CL679</f>
        <v>-0.51789307096868908</v>
      </c>
      <c r="AP89" s="681">
        <f>INPUT!CM679</f>
        <v>5.7108446160341915</v>
      </c>
      <c r="AQ89" s="641">
        <f>INPUT!CN679</f>
        <v>-7.982175835669592</v>
      </c>
      <c r="AR89" s="681">
        <f>INPUT!CO679</f>
        <v>5.7009915227247232</v>
      </c>
      <c r="AS89" s="641">
        <f>INPUT!CP679</f>
        <v>-12.678976635167549</v>
      </c>
      <c r="AT89" s="681">
        <f>INPUT!CQ679</f>
        <v>5.8469083884520074</v>
      </c>
      <c r="AU89" s="641">
        <f>INPUT!CR679</f>
        <v>-7.1873334730512939</v>
      </c>
      <c r="AV89" s="681">
        <f>INPUT!CS679</f>
        <v>5.2416353137637568</v>
      </c>
      <c r="AW89" s="641">
        <f>INPUT!CT679</f>
        <v>-16.067410879334275</v>
      </c>
      <c r="AX89" s="681">
        <f>INPUT!CU679</f>
        <v>5.1111024557440254</v>
      </c>
      <c r="AY89" s="641">
        <f>INPUT!CV679</f>
        <v>-10.501811914235692</v>
      </c>
      <c r="AZ89" s="681">
        <f>INPUT!CW679</f>
        <v>5.1316365877023653</v>
      </c>
      <c r="BA89" s="641">
        <f>INPUT!CX679</f>
        <v>-9.9869458278064815</v>
      </c>
      <c r="BB89" s="681">
        <f>INPUT!CY679</f>
        <v>5.1914740568270012</v>
      </c>
      <c r="BC89" s="641">
        <f>INPUT!CZ679</f>
        <v>-11.209929899355497</v>
      </c>
      <c r="BD89" s="681">
        <f>INPUT!DA679</f>
        <v>5.1915503043322593</v>
      </c>
      <c r="BE89" s="641">
        <f>INPUT!DB679</f>
        <v>-0.95552258853227601</v>
      </c>
      <c r="BF89" s="681">
        <f>INPUT!DC679</f>
        <v>5.1100742888204387</v>
      </c>
      <c r="BG89" s="641">
        <f>INPUT!DD679</f>
        <v>-2.0116343440368389E-2</v>
      </c>
      <c r="BH89" s="681">
        <f>INPUT!DE679</f>
        <v>5.1592391206170856</v>
      </c>
      <c r="BI89" s="641">
        <f>INPUT!DF679</f>
        <v>0.53788947137971554</v>
      </c>
      <c r="BJ89" s="681">
        <f>INPUT!DG679</f>
        <v>5.1009317450717431</v>
      </c>
      <c r="BK89" s="641">
        <f>INPUT!DH679</f>
        <v>-1.7440578680382957</v>
      </c>
      <c r="BL89" s="681">
        <f>INPUT!DI679</f>
        <v>5.0513633158015478</v>
      </c>
      <c r="BM89" s="641">
        <f>INPUT!DJ679</f>
        <v>-2.7002914411467405</v>
      </c>
      <c r="BN89" s="681">
        <f>INPUT!DK679</f>
        <v>5.0243220108979312</v>
      </c>
      <c r="BO89" s="641">
        <f>INPUT!DL679</f>
        <v>-1.6781023733864697</v>
      </c>
      <c r="BP89" s="681">
        <f>INPUT!DM679</f>
        <v>4.9819864512089005</v>
      </c>
      <c r="BQ89" s="641">
        <f>INPUT!DN679</f>
        <v>-3.4356358614947125</v>
      </c>
      <c r="BR89" s="681">
        <f>INPUT!DO679</f>
        <v>5.1033707499063228</v>
      </c>
      <c r="BS89" s="641">
        <f>INPUT!DP679</f>
        <v>4.7814888660990817E-2</v>
      </c>
      <c r="BT89" s="681">
        <f>INPUT!DQ679</f>
        <v>5.0519216400765536</v>
      </c>
      <c r="BU89" s="641">
        <f>INPUT!DR679</f>
        <v>1.1052942346467809E-2</v>
      </c>
      <c r="BV89" s="681">
        <f>INPUT!DS679</f>
        <v>4.9332810047095759</v>
      </c>
      <c r="BW89" s="641">
        <f>INPUT!DT679</f>
        <v>-1.8120057988099569</v>
      </c>
      <c r="BX89" s="681">
        <f>INPUT!DU679</f>
        <v>5.0367240562312432</v>
      </c>
      <c r="BY89" s="641">
        <f>INPUT!DV679</f>
        <v>1.0987104352534027</v>
      </c>
      <c r="BZ89" s="681">
        <f>INPUT!DW679</f>
        <v>5.1396269352281116</v>
      </c>
      <c r="CA89" s="641">
        <f>INPUT!DX679</f>
        <v>5.1390048775764621</v>
      </c>
      <c r="CB89" s="681">
        <f>INPUT!DY679</f>
        <v>5.0871693558987188</v>
      </c>
      <c r="CC89" s="641">
        <f>INPUT!DZ679</f>
        <v>0.69770907653332603</v>
      </c>
      <c r="CD89" s="681">
        <f>INPUT!EA679</f>
        <v>5.0148352752505048</v>
      </c>
      <c r="CE89" s="641">
        <f>INPUT!EB679</f>
        <v>1.6531446407182626</v>
      </c>
      <c r="CF89" s="681">
        <f>INPUT!EC679</f>
        <v>4.8973763917593223</v>
      </c>
      <c r="CG89" s="641">
        <f>INPUT!ED679</f>
        <v>-2.7666328930512907</v>
      </c>
      <c r="CH89" s="681">
        <f>INPUT!EE679</f>
        <v>4.9181697995653959</v>
      </c>
      <c r="CI89" s="641">
        <f>INPUT!EF679</f>
        <v>-4.308817321833236</v>
      </c>
      <c r="CJ89" s="681">
        <f>INPUT!EG679</f>
        <v>4.9649889833539049</v>
      </c>
      <c r="CK89" s="641">
        <f>INPUT!EH679</f>
        <v>-2.4017358966660352</v>
      </c>
      <c r="CL89" s="681">
        <f>INPUT!EI679</f>
        <v>4.9416273562707769</v>
      </c>
      <c r="CM89" s="641">
        <f>INPUT!EJ679</f>
        <v>-1.4598269925440555</v>
      </c>
      <c r="CN89" s="681">
        <f>INPUT!EK679</f>
        <v>4.939763516025879</v>
      </c>
      <c r="CO89" s="641">
        <f>INPUT!EL679</f>
        <v>0.86550677088819139</v>
      </c>
      <c r="CP89" s="681">
        <f>INPUT!EM679</f>
        <v>4.9119105159787679</v>
      </c>
      <c r="CQ89" s="641">
        <f>INPUT!EN679</f>
        <v>-0.12726855398894621</v>
      </c>
      <c r="CR89" s="681">
        <f>INPUT!EO679</f>
        <v>5.0593645995268064</v>
      </c>
      <c r="CS89" s="641">
        <f>INPUT!EP679</f>
        <v>1.9008222674675501</v>
      </c>
      <c r="CT89" s="681">
        <f>INPUT!EQ679</f>
        <v>5.0867242973055911</v>
      </c>
      <c r="CU89" s="641">
        <f>INPUT!ER679</f>
        <v>2.9362177795679179</v>
      </c>
      <c r="CV89" s="681">
        <f>INPUT!ES679</f>
        <v>5.1217814058857067</v>
      </c>
      <c r="CW89" s="641">
        <f>INPUT!ET679</f>
        <v>3.6847490627701873</v>
      </c>
      <c r="CX89" s="681">
        <f>INPUT!EU679</f>
        <v>5.1248985164865193</v>
      </c>
      <c r="CY89" s="641">
        <f>INPUT!EV679</f>
        <v>4.3361539224887613</v>
      </c>
      <c r="CZ89" s="681">
        <f>INPUT!EW679</f>
        <v>5.1316127901251143</v>
      </c>
      <c r="DA89" s="641">
        <f>INPUT!EX679</f>
        <v>1.4280091734259592</v>
      </c>
      <c r="DB89" s="640"/>
      <c r="DC89" s="682">
        <f>INPUT!FP679</f>
        <v>4.7287739926678061</v>
      </c>
      <c r="DD89" s="641">
        <f>INPUT!FQ679</f>
        <v>-9.4193672347117392</v>
      </c>
      <c r="DE89" s="682">
        <f>INPUT!FR679</f>
        <v>6.5897819452534794</v>
      </c>
      <c r="DF89" s="641">
        <f>INPUT!FS679</f>
        <v>39.354977748381636</v>
      </c>
      <c r="DG89" s="682">
        <f>INPUT!FT679</f>
        <v>6.0790870812867031</v>
      </c>
      <c r="DH89" s="641">
        <f>INPUT!FU679</f>
        <v>-7.7497991315876869</v>
      </c>
      <c r="DI89" s="682">
        <f>INPUT!FV679</f>
        <v>6.4965321656774506</v>
      </c>
      <c r="DJ89" s="641">
        <f>INPUT!FW679</f>
        <v>6.8669041717756008</v>
      </c>
      <c r="DK89" s="681">
        <f>INPUT!FX679</f>
        <v>6.2775648345167303</v>
      </c>
      <c r="DL89" s="641">
        <f>INPUT!FY679</f>
        <v>-3.3705263912579553</v>
      </c>
      <c r="DM89" s="681">
        <f>INPUT!FZ679</f>
        <v>6.2450537612132013</v>
      </c>
      <c r="DN89" s="641">
        <f>INPUT!GA679</f>
        <v>-0.51789307096868908</v>
      </c>
      <c r="DO89" s="681">
        <f>INPUT!GB679</f>
        <v>5.2416353137637568</v>
      </c>
      <c r="DP89" s="641">
        <f>INPUT!GC679</f>
        <v>-16.067410879334275</v>
      </c>
      <c r="DQ89" s="681">
        <f>INPUT!GD679</f>
        <v>5.1915503043322593</v>
      </c>
      <c r="DR89" s="641">
        <f>INPUT!GE679</f>
        <v>-0.95552258853227601</v>
      </c>
      <c r="DS89" s="681">
        <f>INPUT!GF679</f>
        <v>5.0513633158015478</v>
      </c>
      <c r="DT89" s="641">
        <f>INPUT!GG679</f>
        <v>-2.7002914411467405</v>
      </c>
      <c r="DU89" s="681">
        <f>INPUT!GH679</f>
        <v>5.0519216400765536</v>
      </c>
      <c r="DV89" s="641">
        <f>INPUT!GI679</f>
        <v>1.1052942346467809E-2</v>
      </c>
      <c r="DW89" s="681">
        <f>INPUT!GJ679</f>
        <v>5.0871693558987188</v>
      </c>
      <c r="DX89" s="641">
        <f>INPUT!GK679</f>
        <v>0.69770907653332603</v>
      </c>
      <c r="DY89" s="681">
        <f>INPUT!GL679</f>
        <v>4.9649889833539049</v>
      </c>
      <c r="DZ89" s="641">
        <f>INPUT!GM679</f>
        <v>-2.4017358966660352</v>
      </c>
      <c r="EA89" s="681">
        <f>INPUT!GN679</f>
        <v>5.0593645995268064</v>
      </c>
      <c r="EB89" s="641">
        <f>INPUT!GO679</f>
        <v>1.9008222674675501</v>
      </c>
      <c r="EC89" s="681">
        <f>INPUT!GP679</f>
        <v>5.1316127901251143</v>
      </c>
      <c r="ED89" s="641">
        <f>INPUT!GQ679</f>
        <v>1.4280091734259592</v>
      </c>
      <c r="EE89" s="681">
        <f>INPUT!GR679</f>
        <v>5.1523994197173222</v>
      </c>
      <c r="EF89" s="641">
        <f>INPUT!GS679</f>
        <v>0.40507011035999518</v>
      </c>
      <c r="EG89" s="681">
        <f>INPUT!GT679</f>
        <v>5.1899384851786881</v>
      </c>
      <c r="EH89" s="641">
        <f>INPUT!GU679</f>
        <v>0.72857444470844079</v>
      </c>
      <c r="EI89" s="681">
        <f>INPUT!GV679</f>
        <v>5.2116461209099834</v>
      </c>
      <c r="EJ89" s="641">
        <f>INPUT!GW679</f>
        <v>0.41826383478893447</v>
      </c>
      <c r="EK89" s="681">
        <f>INPUT!GX679</f>
        <v>5.2362890599605381</v>
      </c>
      <c r="EL89" s="641">
        <f>INPUT!GY679</f>
        <v>0.47284367508537706</v>
      </c>
      <c r="EM89" s="852">
        <f>INPUT!GZ679</f>
        <v>0.68981132494130293</v>
      </c>
    </row>
    <row r="90" spans="1:143" ht="12.75" customHeight="1" x14ac:dyDescent="0.2">
      <c r="A90" s="851" t="str">
        <f>INPUT!B680</f>
        <v>Op Return on Avg Assets (%)</v>
      </c>
      <c r="B90" s="682">
        <f>INPUT!AY680</f>
        <v>0.19496975505621877</v>
      </c>
      <c r="C90" s="641">
        <f>INPUT!AZ680</f>
        <v>8.7176884945415534</v>
      </c>
      <c r="D90" s="682">
        <f>INPUT!BA680</f>
        <v>0.19905898895393642</v>
      </c>
      <c r="E90" s="641">
        <f>INPUT!BB680</f>
        <v>20.217427976128</v>
      </c>
      <c r="F90" s="682">
        <f>INPUT!BC680</f>
        <v>0.19271816001222039</v>
      </c>
      <c r="G90" s="641">
        <f>INPUT!BD680</f>
        <v>10.84456136688685</v>
      </c>
      <c r="H90" s="682">
        <f>INPUT!BE680</f>
        <v>0.19214191753019449</v>
      </c>
      <c r="I90" s="641">
        <f>INPUT!BF680</f>
        <v>-7.5607543593580129</v>
      </c>
      <c r="J90" s="682">
        <f>INPUT!BG680</f>
        <v>0.18031232829961424</v>
      </c>
      <c r="K90" s="641">
        <f>INPUT!BH680</f>
        <v>-7.5177951330851922</v>
      </c>
      <c r="L90" s="682">
        <f>INPUT!BI680</f>
        <v>0.17600060708555573</v>
      </c>
      <c r="M90" s="641">
        <f>INPUT!BJ680</f>
        <v>-11.583692848815053</v>
      </c>
      <c r="N90" s="682">
        <f>INPUT!BK680</f>
        <v>0.17653570399074411</v>
      </c>
      <c r="O90" s="641">
        <f>INPUT!BL680</f>
        <v>-8.3969544024549254</v>
      </c>
      <c r="P90" s="682">
        <f>INPUT!BM680</f>
        <v>0.18584453700469686</v>
      </c>
      <c r="Q90" s="641">
        <f>INPUT!BN680</f>
        <v>-3.2774631410181554</v>
      </c>
      <c r="R90" s="682">
        <f>INPUT!BO680</f>
        <v>0.1616300804992114</v>
      </c>
      <c r="S90" s="641">
        <f>INPUT!BP680</f>
        <v>-10.361048507653713</v>
      </c>
      <c r="T90" s="682">
        <f>INPUT!BQ680</f>
        <v>0.16697760790238036</v>
      </c>
      <c r="U90" s="641">
        <f>INPUT!BR680</f>
        <v>-5.1266863976152095</v>
      </c>
      <c r="V90" s="682">
        <f>INPUT!BS680</f>
        <v>0.17619819668137693</v>
      </c>
      <c r="W90" s="641">
        <f>INPUT!BT680</f>
        <v>-0.19118359727666734</v>
      </c>
      <c r="X90" s="682">
        <f>INPUT!BU680</f>
        <v>0.12716757850992766</v>
      </c>
      <c r="Y90" s="641">
        <f>INPUT!BV680</f>
        <v>-31.573141422653851</v>
      </c>
      <c r="Z90" s="682">
        <f>INPUT!BW680</f>
        <v>0.12197301807103578</v>
      </c>
      <c r="AA90" s="641">
        <f>INPUT!BX680</f>
        <v>-24.535694287654032</v>
      </c>
      <c r="AB90" s="682">
        <f>INPUT!BY680</f>
        <v>0.12777709461514788</v>
      </c>
      <c r="AC90" s="641">
        <f>INPUT!BZ680</f>
        <v>-23.476509083870788</v>
      </c>
      <c r="AD90" s="682">
        <f>INPUT!CA680</f>
        <v>0.15006300683779117</v>
      </c>
      <c r="AE90" s="641">
        <f>INPUT!CB680</f>
        <v>-14.832836167356811</v>
      </c>
      <c r="AF90" s="682">
        <f>INPUT!CC680</f>
        <v>0.16699983979828514</v>
      </c>
      <c r="AG90" s="641">
        <f>INPUT!CD680</f>
        <v>31.322654528054784</v>
      </c>
      <c r="AH90" s="681">
        <f>INPUT!CE680</f>
        <v>0.15774755211392585</v>
      </c>
      <c r="AI90" s="641">
        <f>INPUT!CF680</f>
        <v>29.329875253275574</v>
      </c>
      <c r="AJ90" s="681">
        <f>INPUT!CG680</f>
        <v>0.16071841740734716</v>
      </c>
      <c r="AK90" s="641">
        <f>INPUT!CH680</f>
        <v>25.780303497598943</v>
      </c>
      <c r="AL90" s="681">
        <f>INPUT!CI680</f>
        <v>0.15196190591313133</v>
      </c>
      <c r="AM90" s="641">
        <f>INPUT!CJ680</f>
        <v>1.2654011907096807</v>
      </c>
      <c r="AN90" s="681">
        <f>INPUT!CK680</f>
        <v>0.1548735199587003</v>
      </c>
      <c r="AO90" s="641">
        <f>INPUT!CL680</f>
        <v>-7.2612763307030264</v>
      </c>
      <c r="AP90" s="681">
        <f>INPUT!CM680</f>
        <v>0.14128282655779179</v>
      </c>
      <c r="AQ90" s="641">
        <f>INPUT!CN680</f>
        <v>-10.437388939159698</v>
      </c>
      <c r="AR90" s="681">
        <f>INPUT!CO680</f>
        <v>0.14665170069844816</v>
      </c>
      <c r="AS90" s="641">
        <f>INPUT!CP680</f>
        <v>-8.7523987205812013</v>
      </c>
      <c r="AT90" s="681">
        <f>INPUT!CQ680</f>
        <v>0.15790915958918381</v>
      </c>
      <c r="AU90" s="641">
        <f>INPUT!CR680</f>
        <v>3.9136477265902414</v>
      </c>
      <c r="AV90" s="681">
        <f>INPUT!CS680</f>
        <v>0.14076969349158863</v>
      </c>
      <c r="AW90" s="641">
        <f>INPUT!CT680</f>
        <v>-9.1066739303611755</v>
      </c>
      <c r="AX90" s="681">
        <f>INPUT!CU680</f>
        <v>0.14309819808600055</v>
      </c>
      <c r="AY90" s="641">
        <f>INPUT!CV680</f>
        <v>1.2849201650606767</v>
      </c>
      <c r="AZ90" s="681">
        <f>INPUT!CW680</f>
        <v>0.14076845259682005</v>
      </c>
      <c r="BA90" s="641">
        <f>INPUT!CX680</f>
        <v>-4.0117148820016046</v>
      </c>
      <c r="BB90" s="681">
        <f>INPUT!CY680</f>
        <v>0.15378556291142326</v>
      </c>
      <c r="BC90" s="641">
        <f>INPUT!CZ680</f>
        <v>-2.6113726958515215</v>
      </c>
      <c r="BD90" s="681">
        <f>INPUT!DA680</f>
        <v>0.1390657269752974</v>
      </c>
      <c r="BE90" s="641">
        <f>INPUT!DB680</f>
        <v>-1.210464038122705</v>
      </c>
      <c r="BF90" s="681">
        <f>INPUT!DC680</f>
        <v>0.13469822431804335</v>
      </c>
      <c r="BG90" s="641">
        <f>INPUT!DD680</f>
        <v>-5.8700765490484414</v>
      </c>
      <c r="BH90" s="681">
        <f>INPUT!DE680</f>
        <v>0.14832619252918497</v>
      </c>
      <c r="BI90" s="641">
        <f>INPUT!DF680</f>
        <v>5.3689159701224343</v>
      </c>
      <c r="BJ90" s="681">
        <f>INPUT!DG680</f>
        <v>0.14958797118556191</v>
      </c>
      <c r="BK90" s="641">
        <f>INPUT!DH680</f>
        <v>-2.7295096148128417</v>
      </c>
      <c r="BL90" s="681">
        <f>INPUT!DI680</f>
        <v>0.15293369232054388</v>
      </c>
      <c r="BM90" s="641">
        <f>INPUT!DJ680</f>
        <v>9.9722380538160174</v>
      </c>
      <c r="BN90" s="681">
        <f>INPUT!DK680</f>
        <v>0.1520169390303491</v>
      </c>
      <c r="BO90" s="641">
        <f>INPUT!DL680</f>
        <v>12.857418722472236</v>
      </c>
      <c r="BP90" s="681">
        <f>INPUT!DM680</f>
        <v>0.15639190834782538</v>
      </c>
      <c r="BQ90" s="641">
        <f>INPUT!DN680</f>
        <v>5.4378230042231968</v>
      </c>
      <c r="BR90" s="681">
        <f>INPUT!DO680</f>
        <v>0.1623888852043226</v>
      </c>
      <c r="BS90" s="641">
        <f>INPUT!DP680</f>
        <v>8.5574487823498302</v>
      </c>
      <c r="BT90" s="681">
        <f>INPUT!DQ680</f>
        <v>0.15423764952981431</v>
      </c>
      <c r="BU90" s="641">
        <f>INPUT!DR680</f>
        <v>0.85262912932055901</v>
      </c>
      <c r="BV90" s="681">
        <f>INPUT!DS680</f>
        <v>0.13754566946056307</v>
      </c>
      <c r="BW90" s="641">
        <f>INPUT!DT680</f>
        <v>-9.5195112216388882</v>
      </c>
      <c r="BX90" s="681">
        <f>INPUT!DU680</f>
        <v>0.1475750384026073</v>
      </c>
      <c r="BY90" s="641">
        <f>INPUT!DV680</f>
        <v>-5.6376765514036702</v>
      </c>
      <c r="BZ90" s="681">
        <f>INPUT!DW680</f>
        <v>0.16703455217699717</v>
      </c>
      <c r="CA90" s="641">
        <f>INPUT!DX680</f>
        <v>0.33782912957691641</v>
      </c>
      <c r="CB90" s="681">
        <f>INPUT!DY680</f>
        <v>0.15237031570969864</v>
      </c>
      <c r="CC90" s="641">
        <f>INPUT!DZ680</f>
        <v>-1.2106861235295918</v>
      </c>
      <c r="CD90" s="681">
        <f>INPUT!EA680</f>
        <v>0.14262468825473873</v>
      </c>
      <c r="CE90" s="641">
        <f>INPUT!EB680</f>
        <v>3.6926053827030181</v>
      </c>
      <c r="CF90" s="681">
        <f>INPUT!EC680</f>
        <v>0.14380833779923122</v>
      </c>
      <c r="CG90" s="641">
        <f>INPUT!ED680</f>
        <v>-2.5523968308921896</v>
      </c>
      <c r="CH90" s="681">
        <f>INPUT!EE680</f>
        <v>0.15418223562353556</v>
      </c>
      <c r="CI90" s="641">
        <f>INPUT!EF680</f>
        <v>-7.6944059692767848</v>
      </c>
      <c r="CJ90" s="681">
        <f>INPUT!EG680</f>
        <v>0.15485619954868315</v>
      </c>
      <c r="CK90" s="641">
        <f>INPUT!EH680</f>
        <v>1.6314751514466375</v>
      </c>
      <c r="CL90" s="681">
        <f>INPUT!EI680</f>
        <v>0.15044557215622903</v>
      </c>
      <c r="CM90" s="641">
        <f>INPUT!EJ680</f>
        <v>5.4835414521794412</v>
      </c>
      <c r="CN90" s="681">
        <f>INPUT!EK680</f>
        <v>0.15543878067736439</v>
      </c>
      <c r="CO90" s="641">
        <f>INPUT!EL680</f>
        <v>8.0874607523593323</v>
      </c>
      <c r="CP90" s="681">
        <f>INPUT!EM680</f>
        <v>0.15808590245716911</v>
      </c>
      <c r="CQ90" s="641">
        <f>INPUT!EN680</f>
        <v>2.5318525301222694</v>
      </c>
      <c r="CR90" s="681">
        <f>INPUT!EO680</f>
        <v>0.15755136532580905</v>
      </c>
      <c r="CS90" s="641">
        <f>INPUT!EP680</f>
        <v>1.7404313065803922</v>
      </c>
      <c r="CT90" s="681">
        <f>INPUT!EQ680</f>
        <v>0.15253668938103251</v>
      </c>
      <c r="CU90" s="641">
        <f>INPUT!ER680</f>
        <v>1.3899493317304001</v>
      </c>
      <c r="CV90" s="681">
        <f>INPUT!ES680</f>
        <v>0.15980711588077415</v>
      </c>
      <c r="CW90" s="641">
        <f>INPUT!ET680</f>
        <v>2.8103251867864776</v>
      </c>
      <c r="CX90" s="681">
        <f>INPUT!EU680</f>
        <v>0.16383193511277458</v>
      </c>
      <c r="CY90" s="641">
        <f>INPUT!EV680</f>
        <v>3.6347533627562267</v>
      </c>
      <c r="CZ90" s="681">
        <f>INPUT!EW680</f>
        <v>0.16595054189461134</v>
      </c>
      <c r="DA90" s="641">
        <f>INPUT!EX680</f>
        <v>5.3310719024447506</v>
      </c>
      <c r="DB90" s="640"/>
      <c r="DC90" s="682">
        <f>INPUT!FP680</f>
        <v>0.72159446554634177</v>
      </c>
      <c r="DD90" s="641">
        <f>INPUT!FQ680</f>
        <v>10.752046727558673</v>
      </c>
      <c r="DE90" s="682">
        <f>INPUT!FR680</f>
        <v>0.794215853264164</v>
      </c>
      <c r="DF90" s="641">
        <f>INPUT!FS680</f>
        <v>10.064016727572644</v>
      </c>
      <c r="DG90" s="682">
        <f>INPUT!FT680</f>
        <v>0.72494639537989225</v>
      </c>
      <c r="DH90" s="641">
        <f>INPUT!FU680</f>
        <v>-8.721742030152102</v>
      </c>
      <c r="DI90" s="682">
        <f>INPUT!FV680</f>
        <v>0.64415526398097556</v>
      </c>
      <c r="DJ90" s="641">
        <f>INPUT!FW680</f>
        <v>-11.144428321018118</v>
      </c>
      <c r="DK90" s="681">
        <f>INPUT!FX680</f>
        <v>0.56611712571692518</v>
      </c>
      <c r="DL90" s="641">
        <f>INPUT!FY680</f>
        <v>-12.114802537165193</v>
      </c>
      <c r="DM90" s="681">
        <f>INPUT!FZ680</f>
        <v>0.62118694058293822</v>
      </c>
      <c r="DN90" s="641">
        <f>INPUT!GA680</f>
        <v>9.7276362724892262</v>
      </c>
      <c r="DO90" s="681">
        <f>INPUT!GB680</f>
        <v>0.58672242646175321</v>
      </c>
      <c r="DP90" s="641">
        <f>INPUT!GC680</f>
        <v>-5.548171068896357</v>
      </c>
      <c r="DQ90" s="681">
        <f>INPUT!GD680</f>
        <v>0.57950328290037112</v>
      </c>
      <c r="DR90" s="641">
        <f>INPUT!GE680</f>
        <v>-1.2304188890336687</v>
      </c>
      <c r="DS90" s="681">
        <f>INPUT!GF680</f>
        <v>0.58203477734339015</v>
      </c>
      <c r="DT90" s="641">
        <f>INPUT!GG680</f>
        <v>0.4368386716204764</v>
      </c>
      <c r="DU90" s="681">
        <f>INPUT!GH680</f>
        <v>0.62775074338903813</v>
      </c>
      <c r="DV90" s="641">
        <f>INPUT!GI680</f>
        <v>7.8545076385833079</v>
      </c>
      <c r="DW90" s="681">
        <f>INPUT!GJ680</f>
        <v>0.60737999346903226</v>
      </c>
      <c r="DX90" s="641">
        <f>INPUT!GK680</f>
        <v>-3.2450379604539004</v>
      </c>
      <c r="DY90" s="681">
        <f>INPUT!GL680</f>
        <v>0.60455470415843127</v>
      </c>
      <c r="DZ90" s="641">
        <f>INPUT!GM680</f>
        <v>-0.46516008775073781</v>
      </c>
      <c r="EA90" s="681">
        <f>INPUT!GN680</f>
        <v>0.62220504609948657</v>
      </c>
      <c r="EB90" s="641">
        <f>INPUT!GO680</f>
        <v>2.919560764252993</v>
      </c>
      <c r="EC90" s="681">
        <f>INPUT!GP680</f>
        <v>0.64227727014195835</v>
      </c>
      <c r="ED90" s="641">
        <f>INPUT!GQ680</f>
        <v>3.2259822012536965</v>
      </c>
      <c r="EE90" s="681">
        <f>INPUT!GR680</f>
        <v>0.64841597923592575</v>
      </c>
      <c r="EF90" s="641">
        <f>INPUT!GS680</f>
        <v>0.95577243339322049</v>
      </c>
      <c r="EG90" s="681">
        <f>INPUT!GT680</f>
        <v>0.66988331728287887</v>
      </c>
      <c r="EH90" s="641">
        <f>INPUT!GU680</f>
        <v>3.3107355053540788</v>
      </c>
      <c r="EI90" s="681">
        <f>INPUT!GV680</f>
        <v>0.66363697470334837</v>
      </c>
      <c r="EJ90" s="641">
        <f>INPUT!GW680</f>
        <v>-0.93245232690170043</v>
      </c>
      <c r="EK90" s="681">
        <f>INPUT!GX680</f>
        <v>0.65901361532914693</v>
      </c>
      <c r="EL90" s="641">
        <f>INPUT!GY680</f>
        <v>-0.6966699491492534</v>
      </c>
      <c r="EM90" s="852">
        <f>INPUT!GZ680</f>
        <v>1.1561220306354203</v>
      </c>
    </row>
    <row r="91" spans="1:143" ht="12.75" customHeight="1" x14ac:dyDescent="0.2">
      <c r="A91" s="851" t="str">
        <f>INPUT!B682</f>
        <v>Book Value per Share - FD</v>
      </c>
      <c r="B91" s="682">
        <f>INPUT!AY682</f>
        <v>0</v>
      </c>
      <c r="C91" s="641">
        <f>INPUT!AZ682</f>
        <v>0</v>
      </c>
      <c r="D91" s="682">
        <f>INPUT!BA682</f>
        <v>0</v>
      </c>
      <c r="E91" s="641">
        <f>INPUT!BB682</f>
        <v>0</v>
      </c>
      <c r="F91" s="682">
        <f>INPUT!BC682</f>
        <v>0</v>
      </c>
      <c r="G91" s="641">
        <f>INPUT!BD682</f>
        <v>0</v>
      </c>
      <c r="H91" s="682">
        <f>INPUT!BE682</f>
        <v>0</v>
      </c>
      <c r="I91" s="641">
        <f>INPUT!BF682</f>
        <v>0</v>
      </c>
      <c r="J91" s="681">
        <f>INPUT!BG682</f>
        <v>41.985766423357667</v>
      </c>
      <c r="K91" s="641" t="str">
        <f>INPUT!BH682</f>
        <v>NA</v>
      </c>
      <c r="L91" s="681">
        <f>INPUT!BI682</f>
        <v>43.056830601092898</v>
      </c>
      <c r="M91" s="641" t="str">
        <f>INPUT!BJ682</f>
        <v>NA</v>
      </c>
      <c r="N91" s="681">
        <f>INPUT!BK682</f>
        <v>43.305115936694882</v>
      </c>
      <c r="O91" s="641" t="str">
        <f>INPUT!BL682</f>
        <v>NA</v>
      </c>
      <c r="P91" s="681">
        <f>INPUT!BM682</f>
        <v>43.697971450037564</v>
      </c>
      <c r="Q91" s="641" t="str">
        <f>INPUT!BN682</f>
        <v>NA</v>
      </c>
      <c r="R91" s="681">
        <f>INPUT!BO682</f>
        <v>43.794305120313602</v>
      </c>
      <c r="S91" s="641">
        <f>INPUT!BP682</f>
        <v>4.307504306863863</v>
      </c>
      <c r="T91" s="681">
        <f>INPUT!BQ682</f>
        <v>43.855702094647015</v>
      </c>
      <c r="U91" s="641">
        <f>INPUT!BR682</f>
        <v>1.8553885234967593</v>
      </c>
      <c r="V91" s="681">
        <f>INPUT!BS682</f>
        <v>44.026469443363176</v>
      </c>
      <c r="W91" s="641">
        <f>INPUT!BT682</f>
        <v>1.6657466238464647</v>
      </c>
      <c r="X91" s="681">
        <f>INPUT!BU682</f>
        <v>41.832751261156382</v>
      </c>
      <c r="Y91" s="641">
        <f>INPUT!BV682</f>
        <v>-4.2684365589230939</v>
      </c>
      <c r="Z91" s="681">
        <f>INPUT!BW682</f>
        <v>39.900038744672607</v>
      </c>
      <c r="AA91" s="641">
        <f>INPUT!BX682</f>
        <v>-8.8921752838468375</v>
      </c>
      <c r="AB91" s="681">
        <f>INPUT!BY682</f>
        <v>35.44345825115056</v>
      </c>
      <c r="AC91" s="641">
        <f>INPUT!BZ682</f>
        <v>-19.181642162156255</v>
      </c>
      <c r="AD91" s="681">
        <f>INPUT!CA682</f>
        <v>35.040731237973063</v>
      </c>
      <c r="AE91" s="641">
        <f>INPUT!CB682</f>
        <v>-20.409854160460462</v>
      </c>
      <c r="AF91" s="681">
        <f>INPUT!CC682</f>
        <v>35.314945477870424</v>
      </c>
      <c r="AG91" s="641">
        <f>INPUT!CD682</f>
        <v>-15.580629021017888</v>
      </c>
      <c r="AH91" s="682">
        <f>INPUT!CE682</f>
        <v>35.514057507987218</v>
      </c>
      <c r="AI91" s="641">
        <f>INPUT!CF682</f>
        <v>-10.992423503024785</v>
      </c>
      <c r="AJ91" s="682">
        <f>INPUT!CG682</f>
        <v>35.897514575023017</v>
      </c>
      <c r="AK91" s="641">
        <f>INPUT!CH682</f>
        <v>1.2810722945121089</v>
      </c>
      <c r="AL91" s="682">
        <f>INPUT!CI682</f>
        <v>36.680851063829785</v>
      </c>
      <c r="AM91" s="641">
        <f>INPUT!CJ682</f>
        <v>4.6806095875058462</v>
      </c>
      <c r="AN91" s="682">
        <f>INPUT!CK682</f>
        <v>37.215123456790124</v>
      </c>
      <c r="AO91" s="641">
        <f>INPUT!CL682</f>
        <v>5.3806623603890769</v>
      </c>
      <c r="AP91" s="682">
        <f>INPUT!CM682</f>
        <v>34.813881107998753</v>
      </c>
      <c r="AQ91" s="641">
        <f>INPUT!CN682</f>
        <v>-1.9715471819320873</v>
      </c>
      <c r="AR91" s="682">
        <f>INPUT!CO682</f>
        <v>35.767045454545453</v>
      </c>
      <c r="AS91" s="641">
        <f>INPUT!CP682</f>
        <v>-0.36344889617606624</v>
      </c>
      <c r="AT91" s="682">
        <f>INPUT!CQ682</f>
        <v>36.894753991528191</v>
      </c>
      <c r="AU91" s="641">
        <f>INPUT!CR682</f>
        <v>0.58314603258846631</v>
      </c>
      <c r="AV91" s="682">
        <f>INPUT!CS682</f>
        <v>35.08754208754209</v>
      </c>
      <c r="AW91" s="641">
        <f>INPUT!CT682</f>
        <v>-5.7169805488307297</v>
      </c>
      <c r="AX91" s="682">
        <f>INPUT!CU682</f>
        <v>35.829351535836174</v>
      </c>
      <c r="AY91" s="641">
        <f>INPUT!CV682</f>
        <v>2.9168549886387396</v>
      </c>
      <c r="AZ91" s="682">
        <f>INPUT!CW682</f>
        <v>37.168758716875871</v>
      </c>
      <c r="BA91" s="641">
        <f>INPUT!CX682</f>
        <v>3.9190076913447669</v>
      </c>
      <c r="BB91" s="682">
        <f>INPUT!CY682</f>
        <v>38.845609065155813</v>
      </c>
      <c r="BC91" s="641">
        <f>INPUT!CZ682</f>
        <v>5.2876218501838546</v>
      </c>
      <c r="BD91" s="682">
        <f>INPUT!DA682</f>
        <v>40.003582945180938</v>
      </c>
      <c r="BE91" s="641">
        <f>INPUT!DB682</f>
        <v>14.01078720582225</v>
      </c>
      <c r="BF91" s="682">
        <f>INPUT!DC682</f>
        <v>40.696248196248199</v>
      </c>
      <c r="BG91" s="641">
        <f>INPUT!DD682</f>
        <v>13.58354659459633</v>
      </c>
      <c r="BH91" s="682">
        <f>INPUT!DE682</f>
        <v>41.708652792990144</v>
      </c>
      <c r="BI91" s="641">
        <f>INPUT!DF682</f>
        <v>12.214274118476286</v>
      </c>
      <c r="BJ91" s="682">
        <f>INPUT!DG682</f>
        <v>42.711926605504587</v>
      </c>
      <c r="BK91" s="641">
        <f>INPUT!DH682</f>
        <v>9.9530362205514358</v>
      </c>
      <c r="BL91" s="682">
        <f>INPUT!DI682</f>
        <v>43.681116825863334</v>
      </c>
      <c r="BM91" s="641">
        <f>INPUT!DJ682</f>
        <v>9.1930112503220585</v>
      </c>
      <c r="BN91" s="682">
        <f>INPUT!DK682</f>
        <v>44.500739644970416</v>
      </c>
      <c r="BO91" s="641">
        <f>INPUT!DL682</f>
        <v>9.3485066003528026</v>
      </c>
      <c r="BP91" s="682">
        <f>INPUT!DM682</f>
        <v>45.784753363228695</v>
      </c>
      <c r="BQ91" s="641">
        <f>INPUT!DN682</f>
        <v>9.7727936466066154</v>
      </c>
      <c r="BR91" s="682">
        <f>INPUT!DO682</f>
        <v>47.193973634651599</v>
      </c>
      <c r="BS91" s="641">
        <f>INPUT!DP682</f>
        <v>10.493666255198564</v>
      </c>
      <c r="BT91" s="682">
        <f>INPUT!DQ682</f>
        <v>48.351816443594643</v>
      </c>
      <c r="BU91" s="641">
        <f>INPUT!DR682</f>
        <v>10.69272023504173</v>
      </c>
      <c r="BV91" s="682">
        <f>INPUT!DS682</f>
        <v>48.87247278382582</v>
      </c>
      <c r="BW91" s="641">
        <f>INPUT!DT682</f>
        <v>9.8239561268719466</v>
      </c>
      <c r="BX91" s="682">
        <f>INPUT!DU682</f>
        <v>50.196772924045653</v>
      </c>
      <c r="BY91" s="641">
        <f>INPUT!DV682</f>
        <v>9.6364384139292945</v>
      </c>
      <c r="BZ91" s="682">
        <f>INPUT!DW682</f>
        <v>50.708598726114651</v>
      </c>
      <c r="CA91" s="641">
        <f>INPUT!DX682</f>
        <v>50.708598726114651</v>
      </c>
      <c r="CB91" s="682">
        <f>INPUT!DY682</f>
        <v>51.771382245642485</v>
      </c>
      <c r="CC91" s="641">
        <f>INPUT!DZ682</f>
        <v>7.0722592315367816</v>
      </c>
      <c r="CD91" s="682">
        <f>INPUT!EA682</f>
        <v>52.547481420313794</v>
      </c>
      <c r="CE91" s="641">
        <f>INPUT!EB682</f>
        <v>7.519588077205297</v>
      </c>
      <c r="CF91" s="682">
        <f>INPUT!EC682</f>
        <v>53.851036817604736</v>
      </c>
      <c r="CG91" s="641">
        <f>INPUT!ED682</f>
        <v>7.2798781289953984</v>
      </c>
      <c r="CH91" s="682">
        <f>INPUT!EE682</f>
        <v>55.970600951145698</v>
      </c>
      <c r="CI91" s="641">
        <f>INPUT!EF682</f>
        <v>10.376942682742962</v>
      </c>
      <c r="CJ91" s="682">
        <f>INPUT!EG682</f>
        <v>56.114732724902218</v>
      </c>
      <c r="CK91" s="641">
        <f>INPUT!EH682</f>
        <v>8.3894813908031338</v>
      </c>
      <c r="CL91" s="682">
        <f>INPUT!EI682</f>
        <v>57.343818261249453</v>
      </c>
      <c r="CM91" s="641">
        <f>INPUT!EJ682</f>
        <v>9.1276246002562686</v>
      </c>
      <c r="CN91" s="682">
        <f>INPUT!EK682</f>
        <v>58.783185840707965</v>
      </c>
      <c r="CO91" s="641">
        <f>INPUT!EL682</f>
        <v>9.1588747674600679</v>
      </c>
      <c r="CP91" s="682">
        <f>INPUT!EM682</f>
        <v>60.417602155365969</v>
      </c>
      <c r="CQ91" s="641">
        <f>INPUT!EN682</f>
        <v>7.9452446974829893</v>
      </c>
      <c r="CR91" s="682">
        <f>INPUT!EO682</f>
        <v>63.6782647989155</v>
      </c>
      <c r="CS91" s="641">
        <f>INPUT!EP682</f>
        <v>13.47869214862496</v>
      </c>
      <c r="CT91" s="682">
        <f>INPUT!EQ682</f>
        <v>64.994095760241464</v>
      </c>
      <c r="CU91" s="641">
        <f>INPUT!ER682</f>
        <v>13.341067495956672</v>
      </c>
      <c r="CV91" s="682">
        <f>INPUT!ES682</f>
        <v>66.434871173283781</v>
      </c>
      <c r="CW91" s="641">
        <f>INPUT!ET682</f>
        <v>13.01679251157044</v>
      </c>
      <c r="CX91" s="682">
        <f>INPUT!EU682</f>
        <v>67.785476405924342</v>
      </c>
      <c r="CY91" s="641">
        <f>INPUT!EV682</f>
        <v>12.1949133823809</v>
      </c>
      <c r="CZ91" s="682">
        <f>INPUT!EW682</f>
        <v>69.207132695458455</v>
      </c>
      <c r="DA91" s="641">
        <f>INPUT!EX682</f>
        <v>8.6825040129502984</v>
      </c>
      <c r="DB91" s="681"/>
      <c r="DC91" s="681">
        <f>INPUT!FP682</f>
        <v>0</v>
      </c>
      <c r="DD91" s="641">
        <f>INPUT!FQ682</f>
        <v>0</v>
      </c>
      <c r="DE91" s="681">
        <f>INPUT!FR682</f>
        <v>0</v>
      </c>
      <c r="DF91" s="641" t="str">
        <f>INPUT!FS682</f>
        <v>NA</v>
      </c>
      <c r="DG91" s="682">
        <f>INPUT!FT682</f>
        <v>43.697971450037564</v>
      </c>
      <c r="DH91" s="641" t="str">
        <f>INPUT!FU682</f>
        <v>NA</v>
      </c>
      <c r="DI91" s="682">
        <f>INPUT!FV682</f>
        <v>41.832751261156382</v>
      </c>
      <c r="DJ91" s="641" t="str">
        <f>INPUT!FW682</f>
        <v>NA</v>
      </c>
      <c r="DK91" s="682">
        <f>INPUT!FX682</f>
        <v>35.314945477870424</v>
      </c>
      <c r="DL91" s="641" t="str">
        <f>INPUT!FY682</f>
        <v>NA</v>
      </c>
      <c r="DM91" s="682">
        <f>INPUT!FZ682</f>
        <v>37.215123456790124</v>
      </c>
      <c r="DN91" s="641" t="str">
        <f>INPUT!GA682</f>
        <v>NA</v>
      </c>
      <c r="DO91" s="682">
        <f>INPUT!GB682</f>
        <v>35.08754208754209</v>
      </c>
      <c r="DP91" s="641">
        <f>INPUT!GC682</f>
        <v>-19.704414362438495</v>
      </c>
      <c r="DQ91" s="682">
        <f>INPUT!GD682</f>
        <v>40.003582945180938</v>
      </c>
      <c r="DR91" s="641">
        <f>INPUT!GE682</f>
        <v>-4.372574743067192</v>
      </c>
      <c r="DS91" s="682">
        <f>INPUT!GF682</f>
        <v>43.681116825863334</v>
      </c>
      <c r="DT91" s="641">
        <f>INPUT!GG682</f>
        <v>23.690172063936622</v>
      </c>
      <c r="DU91" s="682">
        <f>INPUT!GH682</f>
        <v>48.351816443594643</v>
      </c>
      <c r="DV91" s="641">
        <f>INPUT!GI682</f>
        <v>29.925180819929697</v>
      </c>
      <c r="DW91" s="682">
        <f>INPUT!GJ682</f>
        <v>51.771382245642485</v>
      </c>
      <c r="DX91" s="641">
        <f>INPUT!GK682</f>
        <v>47.549184597983071</v>
      </c>
      <c r="DY91" s="682">
        <f>INPUT!GL682</f>
        <v>56.114732724902218</v>
      </c>
      <c r="DZ91" s="641">
        <f>INPUT!GM682</f>
        <v>40.274266937037261</v>
      </c>
      <c r="EA91" s="682">
        <f>INPUT!GN682</f>
        <v>63.6782647989155</v>
      </c>
      <c r="EB91" s="641">
        <f>INPUT!GO682</f>
        <v>45.779845906348186</v>
      </c>
      <c r="EC91" s="682">
        <f>INPUT!GP682</f>
        <v>69.207132695458455</v>
      </c>
      <c r="ED91" s="641">
        <f>INPUT!GQ682</f>
        <v>43.132435936905942</v>
      </c>
      <c r="EE91" s="682">
        <f>INPUT!GR682</f>
        <v>75.136728805105292</v>
      </c>
      <c r="EF91" s="641">
        <f>INPUT!GS682</f>
        <v>45.131780427650135</v>
      </c>
      <c r="EG91" s="682">
        <f>INPUT!GT682</f>
        <v>82.188690512151808</v>
      </c>
      <c r="EH91" s="641">
        <f>INPUT!GU682</f>
        <v>46.465440573467554</v>
      </c>
      <c r="EI91" s="682">
        <f>INPUT!GV682</f>
        <v>89.989154954642117</v>
      </c>
      <c r="EJ91" s="641">
        <f>INPUT!GW682</f>
        <v>41.318478508815645</v>
      </c>
      <c r="EK91" s="682">
        <f>INPUT!GX682</f>
        <v>98.600773998298521</v>
      </c>
      <c r="EL91" s="641">
        <f>INPUT!GY682</f>
        <v>42.471982522646769</v>
      </c>
      <c r="EM91" s="852">
        <f>INPUT!GZ682</f>
        <v>9.1384598316623045</v>
      </c>
    </row>
    <row r="92" spans="1:143" ht="12.75" customHeight="1" x14ac:dyDescent="0.2">
      <c r="A92" s="851"/>
      <c r="B92" s="682"/>
      <c r="C92" s="641"/>
      <c r="D92" s="682"/>
      <c r="E92" s="641"/>
      <c r="F92" s="682"/>
      <c r="G92" s="641"/>
      <c r="H92" s="682"/>
      <c r="I92" s="641"/>
      <c r="J92" s="681"/>
      <c r="K92" s="641"/>
      <c r="L92" s="681"/>
      <c r="M92" s="641"/>
      <c r="N92" s="681"/>
      <c r="O92" s="641"/>
      <c r="P92" s="681"/>
      <c r="Q92" s="641"/>
      <c r="R92" s="681"/>
      <c r="S92" s="641"/>
      <c r="T92" s="681"/>
      <c r="U92" s="641"/>
      <c r="V92" s="681"/>
      <c r="W92" s="641"/>
      <c r="X92" s="681"/>
      <c r="Y92" s="641"/>
      <c r="Z92" s="681"/>
      <c r="AA92" s="641"/>
      <c r="AB92" s="681"/>
      <c r="AC92" s="641"/>
      <c r="AD92" s="681"/>
      <c r="AE92" s="641"/>
      <c r="AF92" s="681"/>
      <c r="AG92" s="641"/>
      <c r="AH92" s="682"/>
      <c r="AI92" s="641"/>
      <c r="AJ92" s="682"/>
      <c r="AK92" s="641"/>
      <c r="AL92" s="682"/>
      <c r="AM92" s="641"/>
      <c r="AN92" s="682"/>
      <c r="AO92" s="641"/>
      <c r="AP92" s="682"/>
      <c r="AQ92" s="641"/>
      <c r="AR92" s="682"/>
      <c r="AS92" s="641"/>
      <c r="AT92" s="682"/>
      <c r="AU92" s="641"/>
      <c r="AV92" s="682"/>
      <c r="AW92" s="641"/>
      <c r="AX92" s="682"/>
      <c r="AY92" s="641"/>
      <c r="AZ92" s="682"/>
      <c r="BA92" s="641"/>
      <c r="BB92" s="682"/>
      <c r="BC92" s="641"/>
      <c r="BD92" s="682"/>
      <c r="BE92" s="641"/>
      <c r="BF92" s="682"/>
      <c r="BG92" s="641"/>
      <c r="BH92" s="682"/>
      <c r="BI92" s="641"/>
      <c r="BJ92" s="682"/>
      <c r="BK92" s="641"/>
      <c r="BL92" s="682"/>
      <c r="BM92" s="641"/>
      <c r="BN92" s="682"/>
      <c r="BO92" s="641"/>
      <c r="BP92" s="682"/>
      <c r="BQ92" s="641"/>
      <c r="BR92" s="682"/>
      <c r="BS92" s="641"/>
      <c r="BT92" s="682"/>
      <c r="BU92" s="641"/>
      <c r="BV92" s="682"/>
      <c r="BW92" s="641"/>
      <c r="BX92" s="682"/>
      <c r="BY92" s="641"/>
      <c r="BZ92" s="682"/>
      <c r="CA92" s="641"/>
      <c r="CB92" s="682"/>
      <c r="CC92" s="641"/>
      <c r="CD92" s="682"/>
      <c r="CE92" s="641"/>
      <c r="CF92" s="682"/>
      <c r="CG92" s="641"/>
      <c r="CH92" s="682"/>
      <c r="CI92" s="641"/>
      <c r="CJ92" s="682"/>
      <c r="CK92" s="641"/>
      <c r="CL92" s="682"/>
      <c r="CM92" s="641"/>
      <c r="CN92" s="682"/>
      <c r="CO92" s="641"/>
      <c r="CP92" s="682"/>
      <c r="CQ92" s="641"/>
      <c r="CR92" s="682"/>
      <c r="CS92" s="641"/>
      <c r="CT92" s="682"/>
      <c r="CU92" s="641"/>
      <c r="CV92" s="682"/>
      <c r="CW92" s="641"/>
      <c r="CX92" s="682"/>
      <c r="CY92" s="641"/>
      <c r="CZ92" s="682"/>
      <c r="DA92" s="641"/>
      <c r="DB92" s="681"/>
      <c r="DC92" s="681"/>
      <c r="DD92" s="641"/>
      <c r="DE92" s="681"/>
      <c r="DF92" s="641"/>
      <c r="DG92" s="682"/>
      <c r="DH92" s="641"/>
      <c r="DI92" s="682"/>
      <c r="DJ92" s="641"/>
      <c r="DK92" s="682"/>
      <c r="DL92" s="641"/>
      <c r="DM92" s="682"/>
      <c r="DN92" s="641"/>
      <c r="DO92" s="682"/>
      <c r="DP92" s="641"/>
      <c r="DQ92" s="682"/>
      <c r="DR92" s="641"/>
      <c r="DS92" s="682"/>
      <c r="DT92" s="641"/>
      <c r="DU92" s="682"/>
      <c r="DV92" s="641"/>
      <c r="DW92" s="682"/>
      <c r="DX92" s="641"/>
      <c r="DY92" s="682"/>
      <c r="DZ92" s="641"/>
      <c r="EA92" s="682"/>
      <c r="EB92" s="641"/>
      <c r="EC92" s="682"/>
      <c r="ED92" s="641"/>
      <c r="EE92" s="682"/>
      <c r="EF92" s="641"/>
      <c r="EG92" s="682"/>
      <c r="EH92" s="641"/>
      <c r="EI92" s="682"/>
      <c r="EJ92" s="641"/>
      <c r="EK92" s="682"/>
      <c r="EL92" s="641"/>
      <c r="EM92" s="852"/>
    </row>
    <row r="93" spans="1:143" ht="12.75" customHeight="1" x14ac:dyDescent="0.2">
      <c r="A93" s="855" t="str">
        <f>INPUT!B684</f>
        <v>Capital Structure Incl FAS 115</v>
      </c>
      <c r="B93" s="682"/>
      <c r="C93" s="641"/>
      <c r="D93" s="682"/>
      <c r="E93" s="641"/>
      <c r="F93" s="682"/>
      <c r="G93" s="641"/>
      <c r="H93" s="682"/>
      <c r="I93" s="641"/>
      <c r="J93" s="681"/>
      <c r="K93" s="641"/>
      <c r="L93" s="681"/>
      <c r="M93" s="641"/>
      <c r="N93" s="681"/>
      <c r="O93" s="641"/>
      <c r="P93" s="681"/>
      <c r="Q93" s="641"/>
      <c r="R93" s="681"/>
      <c r="S93" s="641"/>
      <c r="T93" s="681"/>
      <c r="U93" s="641"/>
      <c r="V93" s="681"/>
      <c r="W93" s="641"/>
      <c r="X93" s="681"/>
      <c r="Y93" s="641"/>
      <c r="Z93" s="681"/>
      <c r="AA93" s="641"/>
      <c r="AB93" s="681"/>
      <c r="AC93" s="641"/>
      <c r="AD93" s="681"/>
      <c r="AE93" s="641"/>
      <c r="AF93" s="681"/>
      <c r="AG93" s="641"/>
      <c r="AH93" s="682"/>
      <c r="AI93" s="641"/>
      <c r="AJ93" s="682"/>
      <c r="AK93" s="641"/>
      <c r="AL93" s="682"/>
      <c r="AM93" s="641"/>
      <c r="AN93" s="682"/>
      <c r="AO93" s="641"/>
      <c r="AP93" s="682"/>
      <c r="AQ93" s="641"/>
      <c r="AR93" s="682"/>
      <c r="AS93" s="641"/>
      <c r="AT93" s="682"/>
      <c r="AU93" s="641"/>
      <c r="AV93" s="682"/>
      <c r="AW93" s="641"/>
      <c r="AX93" s="682"/>
      <c r="AY93" s="641"/>
      <c r="AZ93" s="682"/>
      <c r="BA93" s="641"/>
      <c r="BB93" s="682"/>
      <c r="BC93" s="641"/>
      <c r="BD93" s="682"/>
      <c r="BE93" s="641"/>
      <c r="BF93" s="682"/>
      <c r="BG93" s="641"/>
      <c r="BH93" s="682"/>
      <c r="BI93" s="641"/>
      <c r="BJ93" s="682"/>
      <c r="BK93" s="641"/>
      <c r="BL93" s="682"/>
      <c r="BM93" s="641"/>
      <c r="BN93" s="682"/>
      <c r="BO93" s="641"/>
      <c r="BP93" s="682"/>
      <c r="BQ93" s="641"/>
      <c r="BR93" s="682"/>
      <c r="BS93" s="641"/>
      <c r="BT93" s="682"/>
      <c r="BU93" s="641"/>
      <c r="BV93" s="682"/>
      <c r="BW93" s="641"/>
      <c r="BX93" s="682"/>
      <c r="BY93" s="641"/>
      <c r="BZ93" s="682"/>
      <c r="CA93" s="641"/>
      <c r="CB93" s="682"/>
      <c r="CC93" s="641"/>
      <c r="CD93" s="682"/>
      <c r="CE93" s="641"/>
      <c r="CF93" s="682"/>
      <c r="CG93" s="641"/>
      <c r="CH93" s="682"/>
      <c r="CI93" s="641"/>
      <c r="CJ93" s="682"/>
      <c r="CK93" s="641"/>
      <c r="CL93" s="682"/>
      <c r="CM93" s="641"/>
      <c r="CN93" s="682"/>
      <c r="CO93" s="641"/>
      <c r="CP93" s="682"/>
      <c r="CQ93" s="641"/>
      <c r="CR93" s="682"/>
      <c r="CS93" s="641"/>
      <c r="CT93" s="682"/>
      <c r="CU93" s="641"/>
      <c r="CV93" s="682"/>
      <c r="CW93" s="641"/>
      <c r="CX93" s="682"/>
      <c r="CY93" s="641"/>
      <c r="CZ93" s="682"/>
      <c r="DA93" s="641"/>
      <c r="DB93" s="681"/>
      <c r="DC93" s="681"/>
      <c r="DD93" s="641"/>
      <c r="DE93" s="681"/>
      <c r="DF93" s="641"/>
      <c r="DG93" s="682"/>
      <c r="DH93" s="641"/>
      <c r="DI93" s="682"/>
      <c r="DJ93" s="641"/>
      <c r="DK93" s="682"/>
      <c r="DL93" s="641"/>
      <c r="DM93" s="682"/>
      <c r="DN93" s="641"/>
      <c r="DO93" s="682"/>
      <c r="DP93" s="641"/>
      <c r="DQ93" s="682"/>
      <c r="DR93" s="641"/>
      <c r="DS93" s="682"/>
      <c r="DT93" s="641"/>
      <c r="DU93" s="682"/>
      <c r="DV93" s="641"/>
      <c r="DW93" s="682"/>
      <c r="DX93" s="641"/>
      <c r="DY93" s="682"/>
      <c r="DZ93" s="641"/>
      <c r="EA93" s="682"/>
      <c r="EB93" s="641"/>
      <c r="EC93" s="682"/>
      <c r="ED93" s="641"/>
      <c r="EE93" s="682"/>
      <c r="EF93" s="641"/>
      <c r="EG93" s="682"/>
      <c r="EH93" s="641"/>
      <c r="EI93" s="682"/>
      <c r="EJ93" s="641"/>
      <c r="EK93" s="682"/>
      <c r="EL93" s="641"/>
      <c r="EM93" s="852"/>
    </row>
    <row r="94" spans="1:143" ht="12.75" customHeight="1" x14ac:dyDescent="0.2">
      <c r="A94" s="851" t="str">
        <f>INPUT!B686</f>
        <v>LT Debt to Equity (%)</v>
      </c>
      <c r="B94" s="681">
        <f>INPUT!AY686</f>
        <v>15.753684011233474</v>
      </c>
      <c r="C94" s="641">
        <f>INPUT!AZ686</f>
        <v>-9.0407633179029556</v>
      </c>
      <c r="D94" s="681">
        <f>INPUT!BA686</f>
        <v>20.422102974186306</v>
      </c>
      <c r="E94" s="641">
        <f>INPUT!BB686</f>
        <v>29.878125400993948</v>
      </c>
      <c r="F94" s="681">
        <f>INPUT!BC686</f>
        <v>19.350338780390594</v>
      </c>
      <c r="G94" s="641">
        <f>INPUT!BD686</f>
        <v>21.666102082527907</v>
      </c>
      <c r="H94" s="681">
        <f>INPUT!BE686</f>
        <v>18.285386443734119</v>
      </c>
      <c r="I94" s="641">
        <f>INPUT!BF686</f>
        <v>16.858079290666762</v>
      </c>
      <c r="J94" s="681">
        <f>INPUT!BG686</f>
        <v>20.639617027642494</v>
      </c>
      <c r="K94" s="641">
        <f>INPUT!BH686</f>
        <v>31.014542458291071</v>
      </c>
      <c r="L94" s="681">
        <f>INPUT!BI686</f>
        <v>20.128931960086856</v>
      </c>
      <c r="M94" s="641">
        <f>INPUT!BJ686</f>
        <v>-1.435557417715605</v>
      </c>
      <c r="N94" s="681">
        <f>INPUT!BK686</f>
        <v>22.423492631385365</v>
      </c>
      <c r="O94" s="641">
        <f>INPUT!BL686</f>
        <v>15.881653990001809</v>
      </c>
      <c r="P94" s="681">
        <f>INPUT!BM686</f>
        <v>24.685110595303112</v>
      </c>
      <c r="Q94" s="641">
        <f>INPUT!BN686</f>
        <v>34.999118948136832</v>
      </c>
      <c r="R94" s="681">
        <f>INPUT!BO686</f>
        <v>26.171941946366239</v>
      </c>
      <c r="S94" s="641">
        <f>INPUT!BP686</f>
        <v>26.80439715191585</v>
      </c>
      <c r="T94" s="681">
        <f>INPUT!BQ686</f>
        <v>39.073320822656385</v>
      </c>
      <c r="U94" s="641">
        <f>INPUT!BR686</f>
        <v>94.115221314940484</v>
      </c>
      <c r="V94" s="681">
        <f>INPUT!BS686</f>
        <v>48.098441069041378</v>
      </c>
      <c r="W94" s="641" t="str">
        <f>INPUT!BT686</f>
        <v>NM</v>
      </c>
      <c r="X94" s="681">
        <f>INPUT!BU686</f>
        <v>59.309497542874333</v>
      </c>
      <c r="Y94" s="641" t="str">
        <f>INPUT!BV686</f>
        <v>NM</v>
      </c>
      <c r="Z94" s="681">
        <f>INPUT!BW686</f>
        <v>59.33143067826466</v>
      </c>
      <c r="AA94" s="641" t="str">
        <f>INPUT!BX686</f>
        <v>NM</v>
      </c>
      <c r="AB94" s="681">
        <f>INPUT!BY686</f>
        <v>52.621081051297594</v>
      </c>
      <c r="AC94" s="641">
        <f>INPUT!BZ686</f>
        <v>34.672661405287151</v>
      </c>
      <c r="AD94" s="681">
        <f>INPUT!CA686</f>
        <v>44.111388487154215</v>
      </c>
      <c r="AE94" s="641">
        <f>INPUT!CB686</f>
        <v>-8.2893592666840821</v>
      </c>
      <c r="AF94" s="681">
        <f>INPUT!CC686</f>
        <v>46.361591774911645</v>
      </c>
      <c r="AG94" s="641">
        <f>INPUT!CD686</f>
        <v>-21.831083223395641</v>
      </c>
      <c r="AH94" s="681">
        <f>INPUT!CE686</f>
        <v>43.792026169809525</v>
      </c>
      <c r="AI94" s="641">
        <f>INPUT!CF686</f>
        <v>-26.190847466194345</v>
      </c>
      <c r="AJ94" s="681">
        <f>INPUT!CG686</f>
        <v>46.409325071813498</v>
      </c>
      <c r="AK94" s="641">
        <f>INPUT!CH686</f>
        <v>-11.804690924970874</v>
      </c>
      <c r="AL94" s="681">
        <f>INPUT!CI686</f>
        <v>43.838283998790303</v>
      </c>
      <c r="AM94" s="641">
        <f>INPUT!CJ686</f>
        <v>-0.61912466991023152</v>
      </c>
      <c r="AN94" s="681">
        <f>INPUT!CK686</f>
        <v>42.161900448248389</v>
      </c>
      <c r="AO94" s="641">
        <f>INPUT!CL686</f>
        <v>-9.0585572364577427</v>
      </c>
      <c r="AP94" s="681">
        <f>INPUT!CM686</f>
        <v>44.52995422278245</v>
      </c>
      <c r="AQ94" s="641">
        <f>INPUT!CN686</f>
        <v>1.685074013500798</v>
      </c>
      <c r="AR94" s="681">
        <f>INPUT!CO686</f>
        <v>45.617932791845831</v>
      </c>
      <c r="AS94" s="641">
        <f>INPUT!CP686</f>
        <v>-1.7052441050221523</v>
      </c>
      <c r="AT94" s="681">
        <f>INPUT!CQ686</f>
        <v>38.23836419532423</v>
      </c>
      <c r="AU94" s="641">
        <f>INPUT!CR686</f>
        <v>-12.774039703790862</v>
      </c>
      <c r="AV94" s="681">
        <f>INPUT!CS686</f>
        <v>41.152671755725187</v>
      </c>
      <c r="AW94" s="641">
        <f>INPUT!CT686</f>
        <v>-2.3936982958393416</v>
      </c>
      <c r="AX94" s="681">
        <f>INPUT!CU686</f>
        <v>42.728658536585371</v>
      </c>
      <c r="AY94" s="641">
        <f>INPUT!CV686</f>
        <v>-4.0451325801621802</v>
      </c>
      <c r="AZ94" s="681">
        <f>INPUT!CW686</f>
        <v>40.73651969513498</v>
      </c>
      <c r="BA94" s="641">
        <f>INPUT!CX686</f>
        <v>-10.700645114684814</v>
      </c>
      <c r="BB94" s="681">
        <f>INPUT!CY686</f>
        <v>36.335978835978835</v>
      </c>
      <c r="BC94" s="641">
        <f>INPUT!CZ686</f>
        <v>-4.9750699314120244</v>
      </c>
      <c r="BD94" s="681">
        <f>INPUT!DA686</f>
        <v>36.325385694249654</v>
      </c>
      <c r="BE94" s="641">
        <f>INPUT!DB686</f>
        <v>-11.730188722932567</v>
      </c>
      <c r="BF94" s="681">
        <f>INPUT!DC686</f>
        <v>32.895976315435341</v>
      </c>
      <c r="BG94" s="641">
        <f>INPUT!DD686</f>
        <v>-23.011914152959044</v>
      </c>
      <c r="BH94" s="681">
        <f>INPUT!DE686</f>
        <v>37.921453780881578</v>
      </c>
      <c r="BI94" s="641">
        <f>INPUT!DF686</f>
        <v>-6.9104232156327221</v>
      </c>
      <c r="BJ94" s="681">
        <f>INPUT!DG686</f>
        <v>40.070206886249906</v>
      </c>
      <c r="BK94" s="641">
        <f>INPUT!DH686</f>
        <v>10.276943596668842</v>
      </c>
      <c r="BL94" s="681">
        <f>INPUT!DI686</f>
        <v>39.545082881141752</v>
      </c>
      <c r="BM94" s="641">
        <f>INPUT!DJ686</f>
        <v>8.8634907114056638</v>
      </c>
      <c r="BN94" s="681">
        <f>INPUT!DK686</f>
        <v>37.136743287084975</v>
      </c>
      <c r="BO94" s="641">
        <f>INPUT!DL686</f>
        <v>12.891445844274262</v>
      </c>
      <c r="BP94" s="681">
        <f>INPUT!DM686</f>
        <v>33.460617435764675</v>
      </c>
      <c r="BQ94" s="641">
        <f>INPUT!DN686</f>
        <v>-11.763357942162733</v>
      </c>
      <c r="BR94" s="681">
        <f>INPUT!DO686</f>
        <v>33.561998446803003</v>
      </c>
      <c r="BS94" s="641">
        <f>INPUT!DP686</f>
        <v>-16.242013568640189</v>
      </c>
      <c r="BT94" s="681">
        <f>INPUT!DQ686</f>
        <v>33.481575603557815</v>
      </c>
      <c r="BU94" s="641">
        <f>INPUT!DR686</f>
        <v>-15.333151016040736</v>
      </c>
      <c r="BV94" s="681">
        <f>INPUT!DS686</f>
        <v>34.488072489675154</v>
      </c>
      <c r="BW94" s="641">
        <f>INPUT!DT686</f>
        <v>-7.1322107513152595</v>
      </c>
      <c r="BX94" s="681">
        <f>INPUT!DU686</f>
        <v>37.410708211442959</v>
      </c>
      <c r="BY94" s="641">
        <f>INPUT!DV686</f>
        <v>11.805193921664436</v>
      </c>
      <c r="BZ94" s="681">
        <f>INPUT!DW686</f>
        <v>38.705645441288802</v>
      </c>
      <c r="CA94" s="641">
        <f>INPUT!DX686</f>
        <v>38.913964308034167</v>
      </c>
      <c r="CB94" s="681">
        <f>INPUT!DY686</f>
        <v>40.779907468605423</v>
      </c>
      <c r="CC94" s="641">
        <f>INPUT!DZ686</f>
        <v>21.798053805664019</v>
      </c>
      <c r="CD94" s="681">
        <f>INPUT!EA686</f>
        <v>38.545504161550006</v>
      </c>
      <c r="CE94" s="641">
        <f>INPUT!EB686</f>
        <v>11.764738876286994</v>
      </c>
      <c r="CF94" s="681">
        <f>INPUT!EC686</f>
        <v>34.2964824120603</v>
      </c>
      <c r="CG94" s="641">
        <f>INPUT!ED686</f>
        <v>-8.324423536120328</v>
      </c>
      <c r="CH94" s="681">
        <f>INPUT!EE686</f>
        <v>33.431354530417202</v>
      </c>
      <c r="CI94" s="641">
        <f>INPUT!EF686</f>
        <v>-13.626670866067791</v>
      </c>
      <c r="CJ94" s="681">
        <f>INPUT!EG686</f>
        <v>36.918082608095041</v>
      </c>
      <c r="CK94" s="641">
        <f>INPUT!EH686</f>
        <v>-9.4699206060813719</v>
      </c>
      <c r="CL94" s="681">
        <f>INPUT!EI686</f>
        <v>34.281707072730917</v>
      </c>
      <c r="CM94" s="641">
        <f>INPUT!EJ686</f>
        <v>-11.061723491665521</v>
      </c>
      <c r="CN94" s="681">
        <f>INPUT!EK686</f>
        <v>30.638909727431855</v>
      </c>
      <c r="CO94" s="641">
        <f>INPUT!EL686</f>
        <v>-10.664570904630921</v>
      </c>
      <c r="CP94" s="681">
        <f>INPUT!EM686</f>
        <v>30.035552286379797</v>
      </c>
      <c r="CQ94" s="641">
        <f>INPUT!EN686</f>
        <v>-10.157537113692971</v>
      </c>
      <c r="CR94" s="681">
        <f>INPUT!EO686</f>
        <v>28.253088557903244</v>
      </c>
      <c r="CS94" s="641">
        <f>INPUT!EP686</f>
        <v>-23.470866952044311</v>
      </c>
      <c r="CT94" s="681">
        <f>INPUT!EQ686</f>
        <v>30.766709247290091</v>
      </c>
      <c r="CU94" s="641">
        <f>INPUT!ER686</f>
        <v>-10.253275363398695</v>
      </c>
      <c r="CV94" s="681">
        <f>INPUT!ES686</f>
        <v>30.219656600230259</v>
      </c>
      <c r="CW94" s="641">
        <f>INPUT!ET686</f>
        <v>-1.3683682968203881</v>
      </c>
      <c r="CX94" s="681">
        <f>INPUT!EU686</f>
        <v>29.971153452026005</v>
      </c>
      <c r="CY94" s="641">
        <f>INPUT!EV686</f>
        <v>-0.21440869054035749</v>
      </c>
      <c r="CZ94" s="681">
        <f>INPUT!EW686</f>
        <v>29.705890853727457</v>
      </c>
      <c r="DA94" s="641">
        <f>INPUT!EX686</f>
        <v>5.1421008108432753</v>
      </c>
      <c r="DB94" s="640"/>
      <c r="DC94" s="681">
        <f>INPUT!FP686</f>
        <v>15.64751581981079</v>
      </c>
      <c r="DD94" s="641">
        <f>INPUT!FQ686</f>
        <v>-3.7000529065763788</v>
      </c>
      <c r="DE94" s="681">
        <f>INPUT!FR686</f>
        <v>18.285386443734119</v>
      </c>
      <c r="DF94" s="641">
        <f>INPUT!FS686</f>
        <v>16.858079290666762</v>
      </c>
      <c r="DG94" s="681">
        <f>INPUT!FT686</f>
        <v>24.685110595303112</v>
      </c>
      <c r="DH94" s="641">
        <f>INPUT!FU686</f>
        <v>34.999118948136832</v>
      </c>
      <c r="DI94" s="681">
        <f>INPUT!FV686</f>
        <v>59.309497542874333</v>
      </c>
      <c r="DJ94" s="641" t="str">
        <f>INPUT!FW686</f>
        <v>NM</v>
      </c>
      <c r="DK94" s="681">
        <f>INPUT!FX686</f>
        <v>46.361591774911645</v>
      </c>
      <c r="DL94" s="641">
        <f>INPUT!FY686</f>
        <v>-21.831083223395641</v>
      </c>
      <c r="DM94" s="681">
        <f>INPUT!FZ686</f>
        <v>42.161900448248389</v>
      </c>
      <c r="DN94" s="641">
        <f>INPUT!GA686</f>
        <v>-9.0585572364577427</v>
      </c>
      <c r="DO94" s="681">
        <f>INPUT!GB686</f>
        <v>41.152671755725187</v>
      </c>
      <c r="DP94" s="641">
        <f>INPUT!GC686</f>
        <v>-2.3936982958393416</v>
      </c>
      <c r="DQ94" s="681">
        <f>INPUT!GD686</f>
        <v>36.325385694249654</v>
      </c>
      <c r="DR94" s="641">
        <f>INPUT!GE686</f>
        <v>-11.730188722932567</v>
      </c>
      <c r="DS94" s="681">
        <f>INPUT!GF686</f>
        <v>39.545082881141752</v>
      </c>
      <c r="DT94" s="641">
        <f>INPUT!GG686</f>
        <v>8.8634907114056638</v>
      </c>
      <c r="DU94" s="681">
        <f>INPUT!GH686</f>
        <v>33.481575603557815</v>
      </c>
      <c r="DV94" s="641">
        <f>INPUT!GI686</f>
        <v>-15.333151016040736</v>
      </c>
      <c r="DW94" s="681">
        <f>INPUT!GJ686</f>
        <v>40.779907468605423</v>
      </c>
      <c r="DX94" s="641">
        <f>INPUT!GK686</f>
        <v>21.798053805664019</v>
      </c>
      <c r="DY94" s="681">
        <f>INPUT!GL686</f>
        <v>36.918082608095041</v>
      </c>
      <c r="DZ94" s="641">
        <f>INPUT!GM686</f>
        <v>-9.4699206060813719</v>
      </c>
      <c r="EA94" s="681">
        <f>INPUT!GN686</f>
        <v>28.253088557903244</v>
      </c>
      <c r="EB94" s="641">
        <f>INPUT!GO686</f>
        <v>-23.470866952044311</v>
      </c>
      <c r="EC94" s="681">
        <f>INPUT!GP686</f>
        <v>29.705890853727457</v>
      </c>
      <c r="ED94" s="641">
        <f>INPUT!GQ686</f>
        <v>5.1421008108432753</v>
      </c>
      <c r="EE94" s="681">
        <f>INPUT!GR686</f>
        <v>28.711386705281477</v>
      </c>
      <c r="EF94" s="641">
        <f>INPUT!GS686</f>
        <v>-3.3478347892104687</v>
      </c>
      <c r="EG94" s="681">
        <f>INPUT!GT686</f>
        <v>27.651790546693995</v>
      </c>
      <c r="EH94" s="641">
        <f>INPUT!GU686</f>
        <v>-3.6905084713047653</v>
      </c>
      <c r="EI94" s="681">
        <f>INPUT!GV686</f>
        <v>26.678267823071018</v>
      </c>
      <c r="EJ94" s="641">
        <f>INPUT!GW686</f>
        <v>-3.5206498544065212</v>
      </c>
      <c r="EK94" s="681">
        <f>INPUT!GX686</f>
        <v>25.707012911007993</v>
      </c>
      <c r="EL94" s="641">
        <f>INPUT!GY686</f>
        <v>-3.6406220917502563</v>
      </c>
      <c r="EM94" s="852">
        <f>INPUT!GZ686</f>
        <v>-1.8710533543309316</v>
      </c>
    </row>
    <row r="95" spans="1:143" ht="12.75" customHeight="1" x14ac:dyDescent="0.2">
      <c r="A95" s="851" t="str">
        <f>INPUT!B688</f>
        <v>LTD + Pref Eq to LT Capital (%)</v>
      </c>
      <c r="B95" s="681">
        <f>INPUT!AY688</f>
        <v>17.352979527969747</v>
      </c>
      <c r="C95" s="641">
        <f>INPUT!AZ688</f>
        <v>-6.8356266102832963</v>
      </c>
      <c r="D95" s="681">
        <f>INPUT!BA688</f>
        <v>18.910156138903901</v>
      </c>
      <c r="E95" s="641">
        <f>INPUT!BB688</f>
        <v>8.759165763271092</v>
      </c>
      <c r="F95" s="681">
        <f>INPUT!BC688</f>
        <v>18.107452009710258</v>
      </c>
      <c r="G95" s="641">
        <f>INPUT!BD688</f>
        <v>3.3212242201513975</v>
      </c>
      <c r="H95" s="681">
        <f>INPUT!BE688</f>
        <v>16.35473653901526</v>
      </c>
      <c r="I95" s="641">
        <f>INPUT!BF688</f>
        <v>-5.3142957492900544</v>
      </c>
      <c r="J95" s="681">
        <f>INPUT!BG688</f>
        <v>17.982031601477825</v>
      </c>
      <c r="K95" s="641">
        <f>INPUT!BH688</f>
        <v>3.6250378356878832</v>
      </c>
      <c r="L95" s="681">
        <f>INPUT!BI688</f>
        <v>17.651519895357172</v>
      </c>
      <c r="M95" s="641">
        <f>INPUT!BJ688</f>
        <v>-6.655874411091367</v>
      </c>
      <c r="N95" s="681">
        <f>INPUT!BK688</f>
        <v>19.169594594594592</v>
      </c>
      <c r="O95" s="641">
        <f>INPUT!BL688</f>
        <v>5.8657760590211883</v>
      </c>
      <c r="P95" s="681">
        <f>INPUT!BM688</f>
        <v>20.637694115416132</v>
      </c>
      <c r="Q95" s="641">
        <f>INPUT!BN688</f>
        <v>26.187872645845477</v>
      </c>
      <c r="R95" s="681">
        <f>INPUT!BO688</f>
        <v>21.609486367236112</v>
      </c>
      <c r="S95" s="641">
        <f>INPUT!BP688</f>
        <v>20.172663724271132</v>
      </c>
      <c r="T95" s="681">
        <f>INPUT!BQ688</f>
        <v>28.848930127896651</v>
      </c>
      <c r="U95" s="641">
        <f>INPUT!BR688</f>
        <v>63.435955084438376</v>
      </c>
      <c r="V95" s="681">
        <f>INPUT!BS688</f>
        <v>33.211240078458395</v>
      </c>
      <c r="W95" s="641">
        <f>INPUT!BT688</f>
        <v>73.249569335301643</v>
      </c>
      <c r="X95" s="681">
        <f>INPUT!BU688</f>
        <v>37.229103385322404</v>
      </c>
      <c r="Y95" s="641">
        <f>INPUT!BV688</f>
        <v>80.393716357646142</v>
      </c>
      <c r="Z95" s="681">
        <f>INPUT!BW688</f>
        <v>37.237744257799108</v>
      </c>
      <c r="AA95" s="641">
        <f>INPUT!BX688</f>
        <v>72.321283463073229</v>
      </c>
      <c r="AB95" s="681">
        <f>INPUT!BY688</f>
        <v>34.478252079482438</v>
      </c>
      <c r="AC95" s="641">
        <f>INPUT!BZ688</f>
        <v>19.513104737781184</v>
      </c>
      <c r="AD95" s="681">
        <f>INPUT!CA688</f>
        <v>30.609231477279263</v>
      </c>
      <c r="AE95" s="641">
        <f>INPUT!CB688</f>
        <v>-7.8347228077968012</v>
      </c>
      <c r="AF95" s="681">
        <f>INPUT!CC688</f>
        <v>31.676064200101607</v>
      </c>
      <c r="AG95" s="641">
        <f>INPUT!CD688</f>
        <v>-14.915855285975233</v>
      </c>
      <c r="AH95" s="681">
        <f>INPUT!CE688</f>
        <v>30.455114470738337</v>
      </c>
      <c r="AI95" s="641">
        <f>INPUT!CF688</f>
        <v>-18.214394889508402</v>
      </c>
      <c r="AJ95" s="681">
        <f>INPUT!CG688</f>
        <v>31.69833960306136</v>
      </c>
      <c r="AK95" s="641">
        <f>INPUT!CH688</f>
        <v>-8.0627999064818212</v>
      </c>
      <c r="AL95" s="681">
        <f>INPUT!CI688</f>
        <v>30.477479833643585</v>
      </c>
      <c r="AM95" s="641">
        <f>INPUT!CJ688</f>
        <v>-0.43043107349322041</v>
      </c>
      <c r="AN95" s="681">
        <f>INPUT!CK688</f>
        <v>29.657665179846624</v>
      </c>
      <c r="AO95" s="641">
        <f>INPUT!CL688</f>
        <v>-6.3720006611443498</v>
      </c>
      <c r="AP95" s="681">
        <f>INPUT!CM688</f>
        <v>30.81019049804911</v>
      </c>
      <c r="AQ95" s="641">
        <f>INPUT!CN688</f>
        <v>1.1658994999080852</v>
      </c>
      <c r="AR95" s="681">
        <f>INPUT!CO688</f>
        <v>31.327139396391914</v>
      </c>
      <c r="AS95" s="641">
        <f>INPUT!CP688</f>
        <v>-1.1710399071931055</v>
      </c>
      <c r="AT95" s="681">
        <f>INPUT!CQ688</f>
        <v>27.661181046164028</v>
      </c>
      <c r="AU95" s="641">
        <f>INPUT!CR688</f>
        <v>-9.2405894544164031</v>
      </c>
      <c r="AV95" s="681">
        <f>INPUT!CS688</f>
        <v>29.15472391974474</v>
      </c>
      <c r="AW95" s="641">
        <f>INPUT!CT688</f>
        <v>-1.6958221662157325</v>
      </c>
      <c r="AX95" s="681">
        <f>INPUT!CU688</f>
        <v>29.936986008757877</v>
      </c>
      <c r="AY95" s="641">
        <f>INPUT!CV688</f>
        <v>-2.8341418056033185</v>
      </c>
      <c r="AZ95" s="681">
        <f>INPUT!CW688</f>
        <v>28.945237372203664</v>
      </c>
      <c r="BA95" s="641">
        <f>INPUT!CX688</f>
        <v>-7.6033179858821853</v>
      </c>
      <c r="BB95" s="681">
        <f>INPUT!CY688</f>
        <v>26.651790045600077</v>
      </c>
      <c r="BC95" s="641">
        <f>INPUT!CZ688</f>
        <v>-3.6491247386702952</v>
      </c>
      <c r="BD95" s="681">
        <f>INPUT!DA688</f>
        <v>26.646090534979422</v>
      </c>
      <c r="BE95" s="641">
        <f>INPUT!DB688</f>
        <v>-8.6045520158960276</v>
      </c>
      <c r="BF95" s="681">
        <f>INPUT!DC688</f>
        <v>24.753177054326365</v>
      </c>
      <c r="BG95" s="641">
        <f>INPUT!DD688</f>
        <v>-17.315734299087492</v>
      </c>
      <c r="BH95" s="681">
        <f>INPUT!DE688</f>
        <v>27.494963793760547</v>
      </c>
      <c r="BI95" s="641">
        <f>INPUT!DF688</f>
        <v>-5.0104048544988844</v>
      </c>
      <c r="BJ95" s="681">
        <f>INPUT!DG688</f>
        <v>28.607230457502396</v>
      </c>
      <c r="BK95" s="641">
        <f>INPUT!DH688</f>
        <v>7.336994657982232</v>
      </c>
      <c r="BL95" s="681">
        <f>INPUT!DI688</f>
        <v>28.338571352474297</v>
      </c>
      <c r="BM95" s="641">
        <f>INPUT!DJ688</f>
        <v>6.3517040718340523</v>
      </c>
      <c r="BN95" s="681">
        <f>INPUT!DK688</f>
        <v>27.080082548950525</v>
      </c>
      <c r="BO95" s="641">
        <f>INPUT!DL688</f>
        <v>9.4004316678915512</v>
      </c>
      <c r="BP95" s="681">
        <f>INPUT!DM688</f>
        <v>25.07152902381068</v>
      </c>
      <c r="BQ95" s="641">
        <f>INPUT!DN688</f>
        <v>-8.8141042415186615</v>
      </c>
      <c r="BR95" s="681">
        <f>INPUT!DO688</f>
        <v>25.128403915108056</v>
      </c>
      <c r="BS95" s="641">
        <f>INPUT!DP688</f>
        <v>-12.160654795165604</v>
      </c>
      <c r="BT95" s="681">
        <f>INPUT!DQ688</f>
        <v>25.083293669681105</v>
      </c>
      <c r="BU95" s="641">
        <f>INPUT!DR688</f>
        <v>-11.487091717871545</v>
      </c>
      <c r="BV95" s="681">
        <f>INPUT!DS688</f>
        <v>25.643963699697498</v>
      </c>
      <c r="BW95" s="641">
        <f>INPUT!DT688</f>
        <v>-5.3032292152620624</v>
      </c>
      <c r="BX95" s="681">
        <f>INPUT!DU688</f>
        <v>27.225467868105753</v>
      </c>
      <c r="BY95" s="641">
        <f>INPUT!DV688</f>
        <v>8.5911746437540959</v>
      </c>
      <c r="BZ95" s="681">
        <f>INPUT!DW688</f>
        <v>27.904881101376724</v>
      </c>
      <c r="CA95" s="641">
        <f>INPUT!DX688</f>
        <v>28.012996750812295</v>
      </c>
      <c r="CB95" s="681">
        <f>INPUT!DY688</f>
        <v>28.96713615023474</v>
      </c>
      <c r="CC95" s="641">
        <f>INPUT!DZ688</f>
        <v>15.483781881675874</v>
      </c>
      <c r="CD95" s="681">
        <f>INPUT!EA688</f>
        <v>27.821548158361235</v>
      </c>
      <c r="CE95" s="641">
        <f>INPUT!EB688</f>
        <v>8.4916063841153679</v>
      </c>
      <c r="CF95" s="681">
        <f>INPUT!EC688</f>
        <v>25.537885874649202</v>
      </c>
      <c r="CG95" s="641">
        <f>INPUT!ED688</f>
        <v>-6.1985417537434806</v>
      </c>
      <c r="CH95" s="681">
        <f>INPUT!EE688</f>
        <v>25.055096418732781</v>
      </c>
      <c r="CI95" s="641">
        <f>INPUT!EF688</f>
        <v>-10.212495341911154</v>
      </c>
      <c r="CJ95" s="681">
        <f>INPUT!EG688</f>
        <v>26.963628108762549</v>
      </c>
      <c r="CK95" s="641">
        <f>INPUT!EH688</f>
        <v>-6.9164864316625057</v>
      </c>
      <c r="CL95" s="681">
        <f>INPUT!EI688</f>
        <v>25.529692629065952</v>
      </c>
      <c r="CM95" s="641">
        <f>INPUT!EJ688</f>
        <v>-8.2376994847661251</v>
      </c>
      <c r="CN95" s="681">
        <f>INPUT!EK688</f>
        <v>23.453127243144952</v>
      </c>
      <c r="CO95" s="641">
        <f>INPUT!EL688</f>
        <v>-8.1633955204323918</v>
      </c>
      <c r="CP95" s="681">
        <f>INPUT!EM688</f>
        <v>23.097954181201093</v>
      </c>
      <c r="CQ95" s="641">
        <f>INPUT!EN688</f>
        <v>-7.8113538452336702</v>
      </c>
      <c r="CR95" s="681">
        <f>INPUT!EO688</f>
        <v>22.029168167086784</v>
      </c>
      <c r="CS95" s="641">
        <f>INPUT!EP688</f>
        <v>-18.300430200905272</v>
      </c>
      <c r="CT95" s="681">
        <f>INPUT!EQ688</f>
        <v>23.527937213062263</v>
      </c>
      <c r="CU95" s="641">
        <f>INPUT!ER688</f>
        <v>-7.8408911736158498</v>
      </c>
      <c r="CV95" s="681">
        <f>INPUT!ES688</f>
        <v>23.206678153823994</v>
      </c>
      <c r="CW95" s="641">
        <f>INPUT!ET688</f>
        <v>-1.0508154702183359</v>
      </c>
      <c r="CX95" s="681">
        <f>INPUT!EU688</f>
        <v>23.059850325240621</v>
      </c>
      <c r="CY95" s="641">
        <f>INPUT!EV688</f>
        <v>-0.16496636741744064</v>
      </c>
      <c r="CZ95" s="681">
        <f>INPUT!EW688</f>
        <v>22.902499383954371</v>
      </c>
      <c r="DA95" s="641">
        <f>INPUT!EX688</f>
        <v>3.9644312043175978</v>
      </c>
      <c r="DB95" s="640"/>
      <c r="DC95" s="681">
        <f>INPUT!FP688</f>
        <v>17.272656594189755</v>
      </c>
      <c r="DD95" s="641">
        <f>INPUT!FQ688</f>
        <v>-14.179844614781123</v>
      </c>
      <c r="DE95" s="681">
        <f>INPUT!FR688</f>
        <v>16.35473653901526</v>
      </c>
      <c r="DF95" s="641">
        <f>INPUT!FS688</f>
        <v>-5.3142957492900544</v>
      </c>
      <c r="DG95" s="681">
        <f>INPUT!FT688</f>
        <v>20.637694115416132</v>
      </c>
      <c r="DH95" s="641">
        <f>INPUT!FU688</f>
        <v>26.187872645845477</v>
      </c>
      <c r="DI95" s="681">
        <f>INPUT!FV688</f>
        <v>37.229103385322404</v>
      </c>
      <c r="DJ95" s="641">
        <f>INPUT!FW688</f>
        <v>80.393716357646142</v>
      </c>
      <c r="DK95" s="681">
        <f>INPUT!FX688</f>
        <v>34.964955642320689</v>
      </c>
      <c r="DL95" s="641">
        <f>INPUT!FY688</f>
        <v>-6.0816606824174997</v>
      </c>
      <c r="DM95" s="681">
        <f>INPUT!FZ688</f>
        <v>29.657665179846624</v>
      </c>
      <c r="DN95" s="641">
        <f>INPUT!GA688</f>
        <v>-15.178885157944421</v>
      </c>
      <c r="DO95" s="681">
        <f>INPUT!GB688</f>
        <v>29.15472391974474</v>
      </c>
      <c r="DP95" s="641">
        <f>INPUT!GC688</f>
        <v>-1.6958221662157325</v>
      </c>
      <c r="DQ95" s="681">
        <f>INPUT!GD688</f>
        <v>26.646090534979422</v>
      </c>
      <c r="DR95" s="641">
        <f>INPUT!GE688</f>
        <v>-8.6045520158960276</v>
      </c>
      <c r="DS95" s="681">
        <f>INPUT!GF688</f>
        <v>28.338571352474297</v>
      </c>
      <c r="DT95" s="641">
        <f>INPUT!GG688</f>
        <v>6.3517040718340523</v>
      </c>
      <c r="DU95" s="681">
        <f>INPUT!GH688</f>
        <v>25.083293669681105</v>
      </c>
      <c r="DV95" s="641">
        <f>INPUT!GI688</f>
        <v>-11.487091717871545</v>
      </c>
      <c r="DW95" s="681">
        <f>INPUT!GJ688</f>
        <v>28.96713615023474</v>
      </c>
      <c r="DX95" s="641">
        <f>INPUT!GK688</f>
        <v>15.483781881675874</v>
      </c>
      <c r="DY95" s="681">
        <f>INPUT!GL688</f>
        <v>26.963628108762549</v>
      </c>
      <c r="DZ95" s="641">
        <f>INPUT!GM688</f>
        <v>-6.9164864316625057</v>
      </c>
      <c r="EA95" s="681">
        <f>INPUT!GN688</f>
        <v>22.029168167086784</v>
      </c>
      <c r="EB95" s="641">
        <f>INPUT!GO688</f>
        <v>-18.300430200905272</v>
      </c>
      <c r="EC95" s="681">
        <f>INPUT!GP688</f>
        <v>22.902499383954371</v>
      </c>
      <c r="ED95" s="641">
        <f>INPUT!GQ688</f>
        <v>3.9644312043175978</v>
      </c>
      <c r="EE95" s="681">
        <f>INPUT!GR688</f>
        <v>22.306796189698229</v>
      </c>
      <c r="EF95" s="641">
        <f>INPUT!GS688</f>
        <v>-2.6010401060134747</v>
      </c>
      <c r="EG95" s="681">
        <f>INPUT!GT688</f>
        <v>21.661890074764909</v>
      </c>
      <c r="EH95" s="641">
        <f>INPUT!GU688</f>
        <v>-2.8910745830508455</v>
      </c>
      <c r="EI95" s="681">
        <f>INPUT!GV688</f>
        <v>21.05986155441596</v>
      </c>
      <c r="EJ95" s="641">
        <f>INPUT!GW688</f>
        <v>-2.7792058692527655</v>
      </c>
      <c r="EK95" s="681">
        <f>INPUT!GX688</f>
        <v>20.449943337056943</v>
      </c>
      <c r="EL95" s="641">
        <f>INPUT!GY688</f>
        <v>-2.8961169368709627</v>
      </c>
      <c r="EM95" s="852">
        <f>INPUT!GZ688</f>
        <v>-1.476733527947649</v>
      </c>
    </row>
    <row r="96" spans="1:143" ht="12.75" customHeight="1" x14ac:dyDescent="0.2">
      <c r="A96" s="851" t="str">
        <f>INPUT!B691</f>
        <v>Equity to Total Assets (%)</v>
      </c>
      <c r="B96" s="682">
        <f>INPUT!AY691</f>
        <v>4.9335263715050752</v>
      </c>
      <c r="C96" s="641">
        <f>INPUT!AZ691</f>
        <v>-5.0080843497935064</v>
      </c>
      <c r="D96" s="682">
        <f>INPUT!BA691</f>
        <v>6.813717289998805</v>
      </c>
      <c r="E96" s="641">
        <f>INPUT!BB691</f>
        <v>27.434769609580066</v>
      </c>
      <c r="F96" s="682">
        <f>INPUT!BC691</f>
        <v>7.0130078857905538</v>
      </c>
      <c r="G96" s="641">
        <f>INPUT!BD691</f>
        <v>36.334507034658699</v>
      </c>
      <c r="H96" s="682">
        <f>INPUT!BE691</f>
        <v>6.8355353718366523</v>
      </c>
      <c r="I96" s="641">
        <f>INPUT!BF691</f>
        <v>33.682446637644212</v>
      </c>
      <c r="J96" s="682">
        <f>INPUT!BG691</f>
        <v>6.6356581281048985</v>
      </c>
      <c r="K96" s="641">
        <f>INPUT!BH691</f>
        <v>34.501320727318884</v>
      </c>
      <c r="L96" s="682">
        <f>INPUT!BI691</f>
        <v>6.3073409162609462</v>
      </c>
      <c r="M96" s="641">
        <f>INPUT!BJ691</f>
        <v>-7.4317197527569823</v>
      </c>
      <c r="N96" s="682">
        <f>INPUT!BK691</f>
        <v>6.2236463078948834</v>
      </c>
      <c r="O96" s="641">
        <f>INPUT!BL691</f>
        <v>-11.255677888157523</v>
      </c>
      <c r="P96" s="682">
        <f>INPUT!BM691</f>
        <v>6.1212795220989031</v>
      </c>
      <c r="Q96" s="641">
        <f>INPUT!BN691</f>
        <v>-10.449157394175469</v>
      </c>
      <c r="R96" s="682">
        <f>INPUT!BO691</f>
        <v>5.9813044782497027</v>
      </c>
      <c r="S96" s="641">
        <f>INPUT!BP691</f>
        <v>-9.8611718268565305</v>
      </c>
      <c r="T96" s="682">
        <f>INPUT!BQ691</f>
        <v>5.6965659003739937</v>
      </c>
      <c r="U96" s="641">
        <f>INPUT!BR691</f>
        <v>-9.6835580000490307</v>
      </c>
      <c r="V96" s="682">
        <f>INPUT!BS691</f>
        <v>5.4828081147014469</v>
      </c>
      <c r="W96" s="641">
        <f>INPUT!BT691</f>
        <v>-11.903603716259726</v>
      </c>
      <c r="X96" s="682">
        <f>INPUT!BU691</f>
        <v>4.8896686073810907</v>
      </c>
      <c r="Y96" s="641">
        <f>INPUT!BV691</f>
        <v>-20.120154785800569</v>
      </c>
      <c r="Z96" s="682">
        <f>INPUT!BW691</f>
        <v>4.6517463025696379</v>
      </c>
      <c r="AA96" s="641">
        <f>INPUT!BX691</f>
        <v>-22.228565365880371</v>
      </c>
      <c r="AB96" s="682">
        <f>INPUT!BY691</f>
        <v>5.4323880357557632</v>
      </c>
      <c r="AC96" s="641">
        <f>INPUT!BZ691</f>
        <v>-4.6374933466649892</v>
      </c>
      <c r="AD96" s="682">
        <f>INPUT!CA691</f>
        <v>5.9814578498334887</v>
      </c>
      <c r="AE96" s="641">
        <f>INPUT!CB691</f>
        <v>9.0947872823595066</v>
      </c>
      <c r="AF96" s="682">
        <f>INPUT!CC691</f>
        <v>6.1394901633458883</v>
      </c>
      <c r="AG96" s="641">
        <f>INPUT!CD691</f>
        <v>25.56045524390256</v>
      </c>
      <c r="AH96" s="681">
        <f>INPUT!CE691</f>
        <v>6.3623009182838599</v>
      </c>
      <c r="AI96" s="641">
        <f>INPUT!CF691</f>
        <v>36.772310965654057</v>
      </c>
      <c r="AJ96" s="681">
        <f>INPUT!CG691</f>
        <v>7.015460560830471</v>
      </c>
      <c r="AK96" s="641">
        <f>INPUT!CH691</f>
        <v>29.141374192251867</v>
      </c>
      <c r="AL96" s="681">
        <f>INPUT!CI691</f>
        <v>7.1169652564256687</v>
      </c>
      <c r="AM96" s="641">
        <f>INPUT!CJ691</f>
        <v>18.983790157842371</v>
      </c>
      <c r="AN96" s="681">
        <f>INPUT!CK691</f>
        <v>6.6067255965085794</v>
      </c>
      <c r="AO96" s="641">
        <f>INPUT!CL691</f>
        <v>7.6103295343999289</v>
      </c>
      <c r="AP96" s="681">
        <f>INPUT!CM691</f>
        <v>6.1290919404453792</v>
      </c>
      <c r="AQ96" s="641">
        <f>INPUT!CN691</f>
        <v>-3.665481731118525</v>
      </c>
      <c r="AR96" s="681">
        <f>INPUT!CO691</f>
        <v>6.2795683009312349</v>
      </c>
      <c r="AS96" s="641">
        <f>INPUT!CP691</f>
        <v>-10.489578745662897</v>
      </c>
      <c r="AT96" s="681">
        <f>INPUT!CQ691</f>
        <v>7.1245235503527624</v>
      </c>
      <c r="AU96" s="641">
        <f>INPUT!CR691</f>
        <v>0.10620107945966684</v>
      </c>
      <c r="AV96" s="681">
        <f>INPUT!CS691</f>
        <v>6.5015310857556905</v>
      </c>
      <c r="AW96" s="641">
        <f>INPUT!CT691</f>
        <v>-1.592233689991307</v>
      </c>
      <c r="AX96" s="681">
        <f>INPUT!CU691</f>
        <v>6.3071464969377651</v>
      </c>
      <c r="AY96" s="641">
        <f>INPUT!CV691</f>
        <v>2.905072369977324</v>
      </c>
      <c r="AZ96" s="681">
        <f>INPUT!CW691</f>
        <v>6.6500876320401687</v>
      </c>
      <c r="BA96" s="641">
        <f>INPUT!CX691</f>
        <v>5.900394953168786</v>
      </c>
      <c r="BB96" s="681">
        <f>INPUT!CY691</f>
        <v>7.01760900036202</v>
      </c>
      <c r="BC96" s="641">
        <f>INPUT!CZ691</f>
        <v>-1.5006554366073899</v>
      </c>
      <c r="BD96" s="681">
        <f>INPUT!DA691</f>
        <v>6.8410784533213933</v>
      </c>
      <c r="BE96" s="641">
        <f>INPUT!DB691</f>
        <v>5.2225754685634396</v>
      </c>
      <c r="BF96" s="681">
        <f>INPUT!DC691</f>
        <v>6.6247364503144768</v>
      </c>
      <c r="BG96" s="641">
        <f>INPUT!DD691</f>
        <v>5.0353983934082969</v>
      </c>
      <c r="BH96" s="681">
        <f>INPUT!DE691</f>
        <v>5.9631651300146427</v>
      </c>
      <c r="BI96" s="641">
        <f>INPUT!DF691</f>
        <v>-10.329525564684715</v>
      </c>
      <c r="BJ96" s="681">
        <f>INPUT!DG691</f>
        <v>5.8232285450844623</v>
      </c>
      <c r="BK96" s="641">
        <f>INPUT!DH691</f>
        <v>-17.019763500872486</v>
      </c>
      <c r="BL96" s="681">
        <f>INPUT!DI691</f>
        <v>5.6776889151490852</v>
      </c>
      <c r="BM96" s="641">
        <f>INPUT!DJ691</f>
        <v>-17.005937676500025</v>
      </c>
      <c r="BN96" s="681">
        <f>INPUT!DK691</f>
        <v>5.9876254913225511</v>
      </c>
      <c r="BO96" s="641">
        <f>INPUT!DL691</f>
        <v>-9.6171517730593177</v>
      </c>
      <c r="BP96" s="681">
        <f>INPUT!DM691</f>
        <v>6.2021073758153538</v>
      </c>
      <c r="BQ96" s="641">
        <f>INPUT!DN691</f>
        <v>4.0069701339986885</v>
      </c>
      <c r="BR96" s="681">
        <f>INPUT!DO691</f>
        <v>6.2194601643817977</v>
      </c>
      <c r="BS96" s="641">
        <f>INPUT!DP691</f>
        <v>6.8043288397431123</v>
      </c>
      <c r="BT96" s="681">
        <f>INPUT!DQ691</f>
        <v>6.2120871270873046</v>
      </c>
      <c r="BU96" s="641">
        <f>INPUT!DR691</f>
        <v>9.412248890782827</v>
      </c>
      <c r="BV96" s="681">
        <f>INPUT!DS691</f>
        <v>6.2769633163476533</v>
      </c>
      <c r="BW96" s="641">
        <f>INPUT!DT691</f>
        <v>4.8322632309655944</v>
      </c>
      <c r="BX96" s="681">
        <f>INPUT!DU691</f>
        <v>5.7601573766380341</v>
      </c>
      <c r="BY96" s="641">
        <f>INPUT!DV691</f>
        <v>-7.1258037373017729</v>
      </c>
      <c r="BZ96" s="681">
        <f>INPUT!DW691</f>
        <v>5.7718976200591579</v>
      </c>
      <c r="CA96" s="641">
        <f>INPUT!DX691</f>
        <v>5.7712036933138835</v>
      </c>
      <c r="CB96" s="681">
        <f>INPUT!DY691</f>
        <v>5.4055448814646621</v>
      </c>
      <c r="CC96" s="641">
        <f>INPUT!DZ691</f>
        <v>-12.983434216590107</v>
      </c>
      <c r="CD96" s="681">
        <f>INPUT!EA691</f>
        <v>5.7320955114618446</v>
      </c>
      <c r="CE96" s="641">
        <f>INPUT!EB691</f>
        <v>-8.6804363419929693</v>
      </c>
      <c r="CF96" s="681">
        <f>INPUT!EC691</f>
        <v>6.052587557218243</v>
      </c>
      <c r="CG96" s="641">
        <f>INPUT!ED691</f>
        <v>5.0767741479814887</v>
      </c>
      <c r="CH96" s="681">
        <f>INPUT!EE691</f>
        <v>6.1225408375686881</v>
      </c>
      <c r="CI96" s="641">
        <f>INPUT!EF691</f>
        <v>6.0750075727423747</v>
      </c>
      <c r="CJ96" s="681">
        <f>INPUT!EG691</f>
        <v>5.5338325172860605</v>
      </c>
      <c r="CK96" s="641">
        <f>INPUT!EH691</f>
        <v>2.3732600252990288</v>
      </c>
      <c r="CL96" s="681">
        <f>INPUT!EI691</f>
        <v>5.5980528511821976</v>
      </c>
      <c r="CM96" s="641">
        <f>INPUT!EJ691</f>
        <v>-2.3384582481505545</v>
      </c>
      <c r="CN96" s="681">
        <f>INPUT!EK691</f>
        <v>5.8884377381272293</v>
      </c>
      <c r="CO96" s="641">
        <f>INPUT!EL691</f>
        <v>-2.712060214564771</v>
      </c>
      <c r="CP96" s="681">
        <f>INPUT!EM691</f>
        <v>5.8941055331755692</v>
      </c>
      <c r="CQ96" s="641">
        <f>INPUT!EN691</f>
        <v>-3.7310539929992892</v>
      </c>
      <c r="CR96" s="681">
        <f>INPUT!EO691</f>
        <v>6.147719892249869</v>
      </c>
      <c r="CS96" s="641">
        <f>INPUT!EP691</f>
        <v>11.093349374889927</v>
      </c>
      <c r="CT96" s="681">
        <f>INPUT!EQ691</f>
        <v>6.158686517868321</v>
      </c>
      <c r="CU96" s="641">
        <f>INPUT!ER691</f>
        <v>10.014797673225416</v>
      </c>
      <c r="CV96" s="681">
        <f>INPUT!ES691</f>
        <v>6.1775117322527464</v>
      </c>
      <c r="CW96" s="641">
        <f>INPUT!ET691</f>
        <v>4.909179768579075</v>
      </c>
      <c r="CX96" s="681">
        <f>INPUT!EU691</f>
        <v>6.1649927446713066</v>
      </c>
      <c r="CY96" s="641">
        <f>INPUT!EV691</f>
        <v>4.5959002595223453</v>
      </c>
      <c r="CZ96" s="681">
        <f>INPUT!EW691</f>
        <v>6.1562636483764424</v>
      </c>
      <c r="DA96" s="641">
        <f>INPUT!EX691</f>
        <v>0.13897438849392874</v>
      </c>
      <c r="DB96" s="681"/>
      <c r="DC96" s="681">
        <f>INPUT!FP691</f>
        <v>5.1132632172456098</v>
      </c>
      <c r="DD96" s="641">
        <f>INPUT!FQ691</f>
        <v>-5.479731956242528</v>
      </c>
      <c r="DE96" s="682">
        <f>INPUT!FR691</f>
        <v>6.8355353718366523</v>
      </c>
      <c r="DF96" s="641">
        <f>INPUT!FS691</f>
        <v>33.682446637644212</v>
      </c>
      <c r="DG96" s="682">
        <f>INPUT!FT691</f>
        <v>6.1212795220989031</v>
      </c>
      <c r="DH96" s="641">
        <f>INPUT!FU691</f>
        <v>-10.449157394175469</v>
      </c>
      <c r="DI96" s="682">
        <f>INPUT!FV691</f>
        <v>4.8896686073810907</v>
      </c>
      <c r="DJ96" s="641">
        <f>INPUT!FW691</f>
        <v>-20.120154785800569</v>
      </c>
      <c r="DK96" s="681">
        <f>INPUT!FX691</f>
        <v>6.1394901633458883</v>
      </c>
      <c r="DL96" s="641">
        <f>INPUT!FY691</f>
        <v>25.56045524390256</v>
      </c>
      <c r="DM96" s="681">
        <f>INPUT!FZ691</f>
        <v>6.6067255965085794</v>
      </c>
      <c r="DN96" s="641">
        <f>INPUT!GA691</f>
        <v>7.6103295343999289</v>
      </c>
      <c r="DO96" s="681">
        <f>INPUT!GB691</f>
        <v>6.5015310857556905</v>
      </c>
      <c r="DP96" s="641">
        <f>INPUT!GC691</f>
        <v>-1.592233689991307</v>
      </c>
      <c r="DQ96" s="681">
        <f>INPUT!GD691</f>
        <v>6.8410784533213933</v>
      </c>
      <c r="DR96" s="641">
        <f>INPUT!GE691</f>
        <v>5.2225754685634396</v>
      </c>
      <c r="DS96" s="681">
        <f>INPUT!GF691</f>
        <v>5.6776889151490852</v>
      </c>
      <c r="DT96" s="641">
        <f>INPUT!GG691</f>
        <v>-17.005937676500025</v>
      </c>
      <c r="DU96" s="681">
        <f>INPUT!GH691</f>
        <v>6.2120871270873046</v>
      </c>
      <c r="DV96" s="641">
        <f>INPUT!GI691</f>
        <v>9.412248890782827</v>
      </c>
      <c r="DW96" s="681">
        <f>INPUT!GJ691</f>
        <v>5.4055448814646621</v>
      </c>
      <c r="DX96" s="641">
        <f>INPUT!GK691</f>
        <v>-12.983434216590107</v>
      </c>
      <c r="DY96" s="681">
        <f>INPUT!GL691</f>
        <v>5.5338325172860605</v>
      </c>
      <c r="DZ96" s="641">
        <f>INPUT!GM691</f>
        <v>2.3732600252990288</v>
      </c>
      <c r="EA96" s="681">
        <f>INPUT!GN691</f>
        <v>6.147719892249869</v>
      </c>
      <c r="EB96" s="641">
        <f>INPUT!GO691</f>
        <v>11.093349374889927</v>
      </c>
      <c r="EC96" s="681">
        <f>INPUT!GP691</f>
        <v>6.1562636483764424</v>
      </c>
      <c r="ED96" s="641">
        <f>INPUT!GQ691</f>
        <v>0.13897438849392874</v>
      </c>
      <c r="EE96" s="681">
        <f>INPUT!GR691</f>
        <v>6.1188393695430205</v>
      </c>
      <c r="EF96" s="641">
        <f>INPUT!GS691</f>
        <v>-0.60790571962088258</v>
      </c>
      <c r="EG96" s="681">
        <f>INPUT!GT691</f>
        <v>6.101313437393677</v>
      </c>
      <c r="EH96" s="641">
        <f>INPUT!GU691</f>
        <v>-0.28642575970502238</v>
      </c>
      <c r="EI96" s="681">
        <f>INPUT!GV691</f>
        <v>6.0712369553779464</v>
      </c>
      <c r="EJ96" s="641">
        <f>INPUT!GW691</f>
        <v>-0.49295094120879179</v>
      </c>
      <c r="EK96" s="681">
        <f>INPUT!GX691</f>
        <v>6.0470129838161393</v>
      </c>
      <c r="EL96" s="641">
        <f>INPUT!GY691</f>
        <v>-0.39899565343680665</v>
      </c>
      <c r="EM96" s="852">
        <f>INPUT!GZ691</f>
        <v>-0.32979169673548192</v>
      </c>
    </row>
    <row r="97" spans="1:152" ht="12.75" customHeight="1" x14ac:dyDescent="0.2">
      <c r="A97" s="851" t="str">
        <f>INPUT!B692</f>
        <v>Op Return on Avg Assets (%)</v>
      </c>
      <c r="B97" s="682">
        <f>INPUT!AY692</f>
        <v>0.7798790202248751</v>
      </c>
      <c r="C97" s="641">
        <f>INPUT!AZ692</f>
        <v>8.7176884945415534</v>
      </c>
      <c r="D97" s="682">
        <f>INPUT!BA692</f>
        <v>0.79623595581574569</v>
      </c>
      <c r="E97" s="641">
        <f>INPUT!BB692</f>
        <v>20.217427976128</v>
      </c>
      <c r="F97" s="682">
        <f>INPUT!BC692</f>
        <v>0.77087264004888156</v>
      </c>
      <c r="G97" s="641">
        <f>INPUT!BD692</f>
        <v>10.84456136688685</v>
      </c>
      <c r="H97" s="682">
        <f>INPUT!BE692</f>
        <v>0.76856767012077798</v>
      </c>
      <c r="I97" s="641">
        <f>INPUT!BF692</f>
        <v>-7.5607543593580129</v>
      </c>
      <c r="J97" s="682">
        <f>INPUT!BG692</f>
        <v>0.72124931319845698</v>
      </c>
      <c r="K97" s="641">
        <f>INPUT!BH692</f>
        <v>-7.5177951330851922</v>
      </c>
      <c r="L97" s="682">
        <f>INPUT!BI692</f>
        <v>0.70400242834222293</v>
      </c>
      <c r="M97" s="641">
        <f>INPUT!BJ692</f>
        <v>-11.583692848815053</v>
      </c>
      <c r="N97" s="682">
        <f>INPUT!BK692</f>
        <v>0.70614281596297646</v>
      </c>
      <c r="O97" s="641">
        <f>INPUT!BL692</f>
        <v>-8.3969544024549254</v>
      </c>
      <c r="P97" s="682">
        <f>INPUT!BM692</f>
        <v>0.74337814801878743</v>
      </c>
      <c r="Q97" s="641">
        <f>INPUT!BN692</f>
        <v>-3.2774631410181554</v>
      </c>
      <c r="R97" s="682">
        <f>INPUT!BO692</f>
        <v>0.64652032199684561</v>
      </c>
      <c r="S97" s="641">
        <f>INPUT!BP692</f>
        <v>-10.361048507653713</v>
      </c>
      <c r="T97" s="682">
        <f>INPUT!BQ692</f>
        <v>0.66791043160952146</v>
      </c>
      <c r="U97" s="641">
        <f>INPUT!BR692</f>
        <v>-5.1266863976152095</v>
      </c>
      <c r="V97" s="682">
        <f>INPUT!BS692</f>
        <v>0.70479278672550771</v>
      </c>
      <c r="W97" s="641">
        <f>INPUT!BT692</f>
        <v>-0.19118359727666734</v>
      </c>
      <c r="X97" s="682">
        <f>INPUT!BU692</f>
        <v>0.50867031403971064</v>
      </c>
      <c r="Y97" s="641">
        <f>INPUT!BV692</f>
        <v>-31.573141422653851</v>
      </c>
      <c r="Z97" s="682">
        <f>INPUT!BW692</f>
        <v>0.48789207228414311</v>
      </c>
      <c r="AA97" s="641">
        <f>INPUT!BX692</f>
        <v>-24.535694287654032</v>
      </c>
      <c r="AB97" s="682">
        <f>INPUT!BY692</f>
        <v>0.51110837846059154</v>
      </c>
      <c r="AC97" s="641">
        <f>INPUT!BZ692</f>
        <v>-23.476509083870788</v>
      </c>
      <c r="AD97" s="682">
        <f>INPUT!CA692</f>
        <v>0.60025202735116467</v>
      </c>
      <c r="AE97" s="641">
        <f>INPUT!CB692</f>
        <v>-14.832836167356811</v>
      </c>
      <c r="AF97" s="682">
        <f>INPUT!CC692</f>
        <v>0.66799935919314057</v>
      </c>
      <c r="AG97" s="641">
        <f>INPUT!CD692</f>
        <v>31.322654528054784</v>
      </c>
      <c r="AH97" s="681">
        <f>INPUT!CE692</f>
        <v>0.63099020845570342</v>
      </c>
      <c r="AI97" s="641">
        <f>INPUT!CF692</f>
        <v>29.329875253275574</v>
      </c>
      <c r="AJ97" s="681">
        <f>INPUT!CG692</f>
        <v>0.64287366962938863</v>
      </c>
      <c r="AK97" s="641">
        <f>INPUT!CH692</f>
        <v>25.780303497598943</v>
      </c>
      <c r="AL97" s="681">
        <f>INPUT!CI692</f>
        <v>0.60784762365252532</v>
      </c>
      <c r="AM97" s="641">
        <f>INPUT!CJ692</f>
        <v>1.2654011907096807</v>
      </c>
      <c r="AN97" s="681">
        <f>INPUT!CK692</f>
        <v>0.6194940798348012</v>
      </c>
      <c r="AO97" s="641">
        <f>INPUT!CL692</f>
        <v>-7.2612763307030264</v>
      </c>
      <c r="AP97" s="681">
        <f>INPUT!CM692</f>
        <v>0.56513130623116714</v>
      </c>
      <c r="AQ97" s="641">
        <f>INPUT!CN692</f>
        <v>-10.437388939159698</v>
      </c>
      <c r="AR97" s="681">
        <f>INPUT!CO692</f>
        <v>0.58660680279379263</v>
      </c>
      <c r="AS97" s="641">
        <f>INPUT!CP692</f>
        <v>-8.7523987205812013</v>
      </c>
      <c r="AT97" s="681">
        <f>INPUT!CQ692</f>
        <v>0.63163663835673522</v>
      </c>
      <c r="AU97" s="641">
        <f>INPUT!CR692</f>
        <v>3.9136477265902414</v>
      </c>
      <c r="AV97" s="681">
        <f>INPUT!CS692</f>
        <v>0.56307877396635453</v>
      </c>
      <c r="AW97" s="641">
        <f>INPUT!CT692</f>
        <v>-9.1066739303611755</v>
      </c>
      <c r="AX97" s="681">
        <f>INPUT!CU692</f>
        <v>0.5723927923440022</v>
      </c>
      <c r="AY97" s="641">
        <f>INPUT!CV692</f>
        <v>1.2849201650606767</v>
      </c>
      <c r="AZ97" s="681">
        <f>INPUT!CW692</f>
        <v>0.56307381038728022</v>
      </c>
      <c r="BA97" s="641">
        <f>INPUT!CX692</f>
        <v>-4.0117148820016046</v>
      </c>
      <c r="BB97" s="681">
        <f>INPUT!CY692</f>
        <v>0.61514225164569303</v>
      </c>
      <c r="BC97" s="641">
        <f>INPUT!CZ692</f>
        <v>-2.6113726958515215</v>
      </c>
      <c r="BD97" s="681">
        <f>INPUT!DA692</f>
        <v>0.5562629079011896</v>
      </c>
      <c r="BE97" s="641">
        <f>INPUT!DB692</f>
        <v>-1.210464038122705</v>
      </c>
      <c r="BF97" s="681">
        <f>INPUT!DC692</f>
        <v>0.53879289727217339</v>
      </c>
      <c r="BG97" s="641">
        <f>INPUT!DD692</f>
        <v>-5.8700765490484414</v>
      </c>
      <c r="BH97" s="681">
        <f>INPUT!DE692</f>
        <v>0.59330477011673988</v>
      </c>
      <c r="BI97" s="641">
        <f>INPUT!DF692</f>
        <v>5.3689159701224343</v>
      </c>
      <c r="BJ97" s="681">
        <f>INPUT!DG692</f>
        <v>0.59835188474224765</v>
      </c>
      <c r="BK97" s="641">
        <f>INPUT!DH692</f>
        <v>-2.7295096148128417</v>
      </c>
      <c r="BL97" s="681">
        <f>INPUT!DI692</f>
        <v>0.61173476928217552</v>
      </c>
      <c r="BM97" s="641">
        <f>INPUT!DJ692</f>
        <v>9.9722380538160174</v>
      </c>
      <c r="BN97" s="681">
        <f>INPUT!DK692</f>
        <v>0.60806775612139641</v>
      </c>
      <c r="BO97" s="641">
        <f>INPUT!DL692</f>
        <v>12.857418722472236</v>
      </c>
      <c r="BP97" s="681">
        <f>INPUT!DM692</f>
        <v>0.6255676333913015</v>
      </c>
      <c r="BQ97" s="641">
        <f>INPUT!DN692</f>
        <v>5.4378230042231968</v>
      </c>
      <c r="BR97" s="681">
        <f>INPUT!DO692</f>
        <v>0.64955554081729039</v>
      </c>
      <c r="BS97" s="641">
        <f>INPUT!DP692</f>
        <v>8.5574487823498302</v>
      </c>
      <c r="BT97" s="681">
        <f>INPUT!DQ692</f>
        <v>0.61695059811925723</v>
      </c>
      <c r="BU97" s="641">
        <f>INPUT!DR692</f>
        <v>0.85262912932055901</v>
      </c>
      <c r="BV97" s="681">
        <f>INPUT!DS692</f>
        <v>0.55018267784225228</v>
      </c>
      <c r="BW97" s="641">
        <f>INPUT!DT692</f>
        <v>-9.5195112216388882</v>
      </c>
      <c r="BX97" s="681">
        <f>INPUT!DU692</f>
        <v>0.5903001536104292</v>
      </c>
      <c r="BY97" s="641">
        <f>INPUT!DV692</f>
        <v>-5.6376765514036702</v>
      </c>
      <c r="BZ97" s="681">
        <f>INPUT!DW692</f>
        <v>0.66813820870798868</v>
      </c>
      <c r="CA97" s="641">
        <f>INPUT!DX692</f>
        <v>1.3513165183076656</v>
      </c>
      <c r="CB97" s="681">
        <f>INPUT!DY692</f>
        <v>0.60948126283879456</v>
      </c>
      <c r="CC97" s="641">
        <f>INPUT!DZ692</f>
        <v>-1.2106861235295918</v>
      </c>
      <c r="CD97" s="681">
        <f>INPUT!EA692</f>
        <v>0.57049875301895492</v>
      </c>
      <c r="CE97" s="641">
        <f>INPUT!EB692</f>
        <v>3.6926053827030181</v>
      </c>
      <c r="CF97" s="681">
        <f>INPUT!EC692</f>
        <v>0.57523335119692487</v>
      </c>
      <c r="CG97" s="641">
        <f>INPUT!ED692</f>
        <v>-2.5523968308921896</v>
      </c>
      <c r="CH97" s="681">
        <f>INPUT!EE692</f>
        <v>0.61672894249414223</v>
      </c>
      <c r="CI97" s="641">
        <f>INPUT!EF692</f>
        <v>-7.6944059692767848</v>
      </c>
      <c r="CJ97" s="681">
        <f>INPUT!EG692</f>
        <v>0.61942479819473262</v>
      </c>
      <c r="CK97" s="641">
        <f>INPUT!EH692</f>
        <v>1.6314751514466375</v>
      </c>
      <c r="CL97" s="681">
        <f>INPUT!EI692</f>
        <v>0.60178228862491612</v>
      </c>
      <c r="CM97" s="641">
        <f>INPUT!EJ692</f>
        <v>5.4835414521794412</v>
      </c>
      <c r="CN97" s="681">
        <f>INPUT!EK692</f>
        <v>0.62175512270945754</v>
      </c>
      <c r="CO97" s="641">
        <f>INPUT!EL692</f>
        <v>8.0874607523593323</v>
      </c>
      <c r="CP97" s="681">
        <f>INPUT!EM692</f>
        <v>0.63234360982867643</v>
      </c>
      <c r="CQ97" s="641">
        <f>INPUT!EN692</f>
        <v>2.5318525301222694</v>
      </c>
      <c r="CR97" s="681">
        <f>INPUT!EO692</f>
        <v>0.63020546130323618</v>
      </c>
      <c r="CS97" s="641">
        <f>INPUT!EP692</f>
        <v>1.7404313065803922</v>
      </c>
      <c r="CT97" s="681">
        <f>INPUT!EQ692</f>
        <v>0.61014675752413006</v>
      </c>
      <c r="CU97" s="641">
        <f>INPUT!ER692</f>
        <v>1.3899493317304001</v>
      </c>
      <c r="CV97" s="681">
        <f>INPUT!ES692</f>
        <v>0.63922846352309659</v>
      </c>
      <c r="CW97" s="641">
        <f>INPUT!ET692</f>
        <v>2.8103251867864776</v>
      </c>
      <c r="CX97" s="681">
        <f>INPUT!EU692</f>
        <v>0.65532774045109832</v>
      </c>
      <c r="CY97" s="641">
        <f>INPUT!EV692</f>
        <v>3.6347533627562267</v>
      </c>
      <c r="CZ97" s="681">
        <f>INPUT!EW692</f>
        <v>0.66380216757844535</v>
      </c>
      <c r="DA97" s="641">
        <f>INPUT!EX692</f>
        <v>5.3310719024447506</v>
      </c>
      <c r="DB97" s="640"/>
      <c r="DC97" s="682">
        <f>INPUT!FP692</f>
        <v>0.72159446554634177</v>
      </c>
      <c r="DD97" s="641">
        <f>INPUT!FQ692</f>
        <v>10.752046727558673</v>
      </c>
      <c r="DE97" s="682">
        <f>INPUT!FR692</f>
        <v>0.794215853264164</v>
      </c>
      <c r="DF97" s="641">
        <f>INPUT!FS692</f>
        <v>10.064016727572644</v>
      </c>
      <c r="DG97" s="682">
        <f>INPUT!FT692</f>
        <v>0.72494639537989225</v>
      </c>
      <c r="DH97" s="641">
        <f>INPUT!FU692</f>
        <v>-8.721742030152102</v>
      </c>
      <c r="DI97" s="682">
        <f>INPUT!FV692</f>
        <v>0.64415526398097556</v>
      </c>
      <c r="DJ97" s="641">
        <f>INPUT!FW692</f>
        <v>-11.144428321018118</v>
      </c>
      <c r="DK97" s="681">
        <f>INPUT!FX692</f>
        <v>0.56611712571692518</v>
      </c>
      <c r="DL97" s="641">
        <f>INPUT!FY692</f>
        <v>-12.114802537165193</v>
      </c>
      <c r="DM97" s="681">
        <f>INPUT!FZ692</f>
        <v>0.62118694058293822</v>
      </c>
      <c r="DN97" s="641">
        <f>INPUT!GA692</f>
        <v>9.7276362724892262</v>
      </c>
      <c r="DO97" s="681">
        <f>INPUT!GB692</f>
        <v>0.58672242646175321</v>
      </c>
      <c r="DP97" s="641">
        <f>INPUT!GC692</f>
        <v>-5.548171068896357</v>
      </c>
      <c r="DQ97" s="681">
        <f>INPUT!GD692</f>
        <v>0.57950328290037112</v>
      </c>
      <c r="DR97" s="641">
        <f>INPUT!GE692</f>
        <v>-1.2304188890336687</v>
      </c>
      <c r="DS97" s="681">
        <f>INPUT!GF692</f>
        <v>0.58203477734339015</v>
      </c>
      <c r="DT97" s="641">
        <f>INPUT!GG692</f>
        <v>0.4368386716204764</v>
      </c>
      <c r="DU97" s="681">
        <f>INPUT!GH692</f>
        <v>0.62775074338903813</v>
      </c>
      <c r="DV97" s="641">
        <f>INPUT!GI692</f>
        <v>7.8545076385833079</v>
      </c>
      <c r="DW97" s="681">
        <f>INPUT!GJ692</f>
        <v>0.60737999346903226</v>
      </c>
      <c r="DX97" s="641">
        <f>INPUT!GK692</f>
        <v>-3.2450379604539004</v>
      </c>
      <c r="DY97" s="681">
        <f>INPUT!GL692</f>
        <v>0.60455470415843127</v>
      </c>
      <c r="DZ97" s="641">
        <f>INPUT!GM692</f>
        <v>-0.46516008775073781</v>
      </c>
      <c r="EA97" s="681">
        <f>INPUT!GN692</f>
        <v>0.62220504609948657</v>
      </c>
      <c r="EB97" s="641">
        <f>INPUT!GO692</f>
        <v>2.919560764252993</v>
      </c>
      <c r="EC97" s="681">
        <f>INPUT!GP692</f>
        <v>0.64227727014195835</v>
      </c>
      <c r="ED97" s="641">
        <f>INPUT!GQ692</f>
        <v>3.2259822012536965</v>
      </c>
      <c r="EE97" s="681">
        <f>INPUT!GR692</f>
        <v>0.64841597923592575</v>
      </c>
      <c r="EF97" s="641">
        <f>INPUT!GS692</f>
        <v>0.95577243339322049</v>
      </c>
      <c r="EG97" s="681">
        <f>INPUT!GT692</f>
        <v>0.66988331728287887</v>
      </c>
      <c r="EH97" s="641">
        <f>INPUT!GU692</f>
        <v>3.3107355053540788</v>
      </c>
      <c r="EI97" s="681">
        <f>INPUT!GV692</f>
        <v>0.66363697470334837</v>
      </c>
      <c r="EJ97" s="641">
        <f>INPUT!GW692</f>
        <v>-0.93245232690170043</v>
      </c>
      <c r="EK97" s="681">
        <f>INPUT!GX692</f>
        <v>0.65901361532914693</v>
      </c>
      <c r="EL97" s="641">
        <f>INPUT!GY692</f>
        <v>-0.6966699491492534</v>
      </c>
      <c r="EM97" s="852">
        <f>INPUT!GZ692</f>
        <v>1.1561220306354203</v>
      </c>
    </row>
    <row r="98" spans="1:152" ht="12.75" customHeight="1" x14ac:dyDescent="0.2">
      <c r="A98" s="851" t="str">
        <f>INPUT!B693</f>
        <v>Book Value per Share</v>
      </c>
      <c r="B98" s="682">
        <f>INPUT!AY693</f>
        <v>35.987221226289861</v>
      </c>
      <c r="C98" s="641">
        <f>INPUT!AZ693</f>
        <v>3.5885031539120371</v>
      </c>
      <c r="D98" s="682">
        <f>INPUT!BA693</f>
        <v>40.475637863054111</v>
      </c>
      <c r="E98" s="641">
        <f>INPUT!BB693</f>
        <v>9.7942349851609656</v>
      </c>
      <c r="F98" s="682">
        <f>INPUT!BC693</f>
        <v>43.387721759661915</v>
      </c>
      <c r="G98" s="641">
        <f>INPUT!BD693</f>
        <v>19.765117978193935</v>
      </c>
      <c r="H98" s="682">
        <f>INPUT!BE693</f>
        <v>44.206521739130437</v>
      </c>
      <c r="I98" s="641">
        <f>INPUT!BF693</f>
        <v>20.491450169639069</v>
      </c>
      <c r="J98" s="682">
        <f>INPUT!BG693</f>
        <v>44.415651531930607</v>
      </c>
      <c r="K98" s="641">
        <f>INPUT!BH693</f>
        <v>23.420619926840857</v>
      </c>
      <c r="L98" s="682">
        <f>INPUT!BI693</f>
        <v>43.571368804691282</v>
      </c>
      <c r="M98" s="641">
        <f>INPUT!BJ693</f>
        <v>7.6483808658218466</v>
      </c>
      <c r="N98" s="682">
        <f>INPUT!BK693</f>
        <v>44.405716406829995</v>
      </c>
      <c r="O98" s="641">
        <f>INPUT!BL693</f>
        <v>2.3462735674554924</v>
      </c>
      <c r="P98" s="682">
        <f>INPUT!BM693</f>
        <v>44.32072617246596</v>
      </c>
      <c r="Q98" s="641">
        <f>INPUT!BN693</f>
        <v>0.25834295222197934</v>
      </c>
      <c r="R98" s="682">
        <f>INPUT!BO693</f>
        <v>42.738242097147264</v>
      </c>
      <c r="S98" s="641">
        <f>INPUT!BP693</f>
        <v>-3.7766178743937728</v>
      </c>
      <c r="T98" s="682">
        <f>INPUT!BQ693</f>
        <v>40.847081712062263</v>
      </c>
      <c r="U98" s="641">
        <f>INPUT!BR693</f>
        <v>-6.2524707562909949</v>
      </c>
      <c r="V98" s="682">
        <f>INPUT!BS693</f>
        <v>37.109765625000001</v>
      </c>
      <c r="W98" s="641">
        <f>INPUT!BT693</f>
        <v>-16.430206226124099</v>
      </c>
      <c r="X98" s="682">
        <f>INPUT!BU693</f>
        <v>31.147208121827408</v>
      </c>
      <c r="Y98" s="641">
        <f>INPUT!BV693</f>
        <v>-29.723154804314866</v>
      </c>
      <c r="Z98" s="682">
        <f>INPUT!BW693</f>
        <v>28.589107944563736</v>
      </c>
      <c r="AA98" s="641">
        <f>INPUT!BX693</f>
        <v>-33.106495396842647</v>
      </c>
      <c r="AB98" s="682">
        <f>INPUT!BY693</f>
        <v>30.018193847171684</v>
      </c>
      <c r="AC98" s="641">
        <f>INPUT!BZ693</f>
        <v>-26.510799330109247</v>
      </c>
      <c r="AD98" s="682">
        <f>INPUT!CA693</f>
        <v>35.414158121071786</v>
      </c>
      <c r="AE98" s="641">
        <f>INPUT!CB693</f>
        <v>-4.5691679140811514</v>
      </c>
      <c r="AF98" s="682">
        <f>INPUT!CC693</f>
        <v>35.548280423280424</v>
      </c>
      <c r="AG98" s="641">
        <f>INPUT!CD693</f>
        <v>14.12990944240946</v>
      </c>
      <c r="AH98" s="682">
        <f>INPUT!CE693</f>
        <v>37.733311302048911</v>
      </c>
      <c r="AI98" s="641">
        <f>INPUT!CF693</f>
        <v>31.9849201843458</v>
      </c>
      <c r="AJ98" s="682">
        <f>INPUT!CG693</f>
        <v>39.88920454545454</v>
      </c>
      <c r="AK98" s="641">
        <f>INPUT!CH693</f>
        <v>32.88342645975986</v>
      </c>
      <c r="AL98" s="682">
        <f>INPUT!CI693</f>
        <v>42.780372357210474</v>
      </c>
      <c r="AM98" s="641">
        <f>INPUT!CJ693</f>
        <v>20.800195817038826</v>
      </c>
      <c r="AN98" s="682">
        <f>INPUT!CK693</f>
        <v>40.536245647356765</v>
      </c>
      <c r="AO98" s="641">
        <f>INPUT!CL693</f>
        <v>14.031523226112919</v>
      </c>
      <c r="AP98" s="682">
        <f>INPUT!CM693</f>
        <v>38.452806122448983</v>
      </c>
      <c r="AQ98" s="641">
        <f>INPUT!CN693</f>
        <v>1.9067895065997043</v>
      </c>
      <c r="AR98" s="682">
        <f>INPUT!CO693</f>
        <v>40.703403565640194</v>
      </c>
      <c r="AS98" s="641">
        <f>INPUT!CP693</f>
        <v>2.04115130763729</v>
      </c>
      <c r="AT98" s="682">
        <f>INPUT!CQ693</f>
        <v>46.341948310139166</v>
      </c>
      <c r="AU98" s="641">
        <f>INPUT!CR693</f>
        <v>8.3252570201820539</v>
      </c>
      <c r="AV98" s="682">
        <f>INPUT!CS693</f>
        <v>44.939965694682677</v>
      </c>
      <c r="AW98" s="641">
        <f>INPUT!CT693</f>
        <v>10.863660353837101</v>
      </c>
      <c r="AX98" s="682">
        <f>INPUT!CU693</f>
        <v>45.938375350140049</v>
      </c>
      <c r="AY98" s="641">
        <f>INPUT!CV693</f>
        <v>19.466899772812528</v>
      </c>
      <c r="AZ98" s="682">
        <f>INPUT!CW693</f>
        <v>50.264948084496957</v>
      </c>
      <c r="BA98" s="641">
        <f>INPUT!CX693</f>
        <v>23.490773943356793</v>
      </c>
      <c r="BB98" s="682">
        <f>INPUT!CY693</f>
        <v>54.941860465116278</v>
      </c>
      <c r="BC98" s="641">
        <f>INPUT!CZ693</f>
        <v>18.557510999371463</v>
      </c>
      <c r="BD98" s="682">
        <f>INPUT!DA693</f>
        <v>55.136229749631809</v>
      </c>
      <c r="BE98" s="641">
        <f>INPUT!DB693</f>
        <v>22.6886333741807</v>
      </c>
      <c r="BF98" s="682">
        <f>INPUT!DC693</f>
        <v>55.331347728965</v>
      </c>
      <c r="BG98" s="641">
        <f>INPUT!DD693</f>
        <v>20.446897190490908</v>
      </c>
      <c r="BH98" s="682">
        <f>INPUT!DE693</f>
        <v>50.36686838124055</v>
      </c>
      <c r="BI98" s="641">
        <f>INPUT!DF693</f>
        <v>0.2027661434609751</v>
      </c>
      <c r="BJ98" s="682">
        <f>INPUT!DG693</f>
        <v>51.04460541364849</v>
      </c>
      <c r="BK98" s="641">
        <f>INPUT!DH693</f>
        <v>-7.0934166016133222</v>
      </c>
      <c r="BL98" s="682">
        <f>INPUT!DI693</f>
        <v>51.171548117154813</v>
      </c>
      <c r="BM98" s="641">
        <f>INPUT!DJ693</f>
        <v>-7.1907013781686295</v>
      </c>
      <c r="BN98" s="682">
        <f>INPUT!DK693</f>
        <v>54.937428896473264</v>
      </c>
      <c r="BO98" s="641">
        <f>INPUT!DL693</f>
        <v>-0.71192705158982239</v>
      </c>
      <c r="BP98" s="682">
        <f>INPUT!DM693</f>
        <v>59.244631901840485</v>
      </c>
      <c r="BQ98" s="641">
        <f>INPUT!DN693</f>
        <v>17.626197152861934</v>
      </c>
      <c r="BR98" s="682">
        <f>INPUT!DO693</f>
        <v>59.476520400307926</v>
      </c>
      <c r="BS98" s="641">
        <f>INPUT!DP693</f>
        <v>16.518719105241388</v>
      </c>
      <c r="BT98" s="682">
        <f>INPUT!DQ693</f>
        <v>61.34840218238503</v>
      </c>
      <c r="BU98" s="641">
        <f>INPUT!DR693</f>
        <v>19.887719718642849</v>
      </c>
      <c r="BV98" s="682">
        <f>INPUT!DS693</f>
        <v>64.143930407275604</v>
      </c>
      <c r="BW98" s="641">
        <f>INPUT!DT693</f>
        <v>16.758158682947322</v>
      </c>
      <c r="BX98" s="682">
        <f>INPUT!DU693</f>
        <v>58.58110801115982</v>
      </c>
      <c r="BY98" s="641">
        <f>INPUT!DV693</f>
        <v>-1.1199730159181742</v>
      </c>
      <c r="BZ98" s="682">
        <f>INPUT!DW693</f>
        <v>58.18181818181818</v>
      </c>
      <c r="CA98" s="641">
        <f>INPUT!DX693</f>
        <v>58.18181818181818</v>
      </c>
      <c r="CB98" s="682">
        <f>INPUT!DY693</f>
        <v>55.849056603773583</v>
      </c>
      <c r="CC98" s="641">
        <f>INPUT!DZ693</f>
        <v>-8.9641219379475103</v>
      </c>
      <c r="CD98" s="682">
        <f>INPUT!EA693</f>
        <v>61.32635983263598</v>
      </c>
      <c r="CE98" s="641">
        <f>INPUT!EB693</f>
        <v>-4.3925755044159853</v>
      </c>
      <c r="CF98" s="682">
        <f>INPUT!EC693</f>
        <v>68.389397259096967</v>
      </c>
      <c r="CG98" s="641">
        <f>INPUT!ED693</f>
        <v>16.743092749404198</v>
      </c>
      <c r="CH98" s="682">
        <f>INPUT!EE693</f>
        <v>71.431072210065651</v>
      </c>
      <c r="CI98" s="641">
        <f>INPUT!EF693</f>
        <v>22.772155361050352</v>
      </c>
      <c r="CJ98" s="682">
        <f>INPUT!EG693</f>
        <v>63.961297163559244</v>
      </c>
      <c r="CK98" s="641">
        <f>INPUT!EH693</f>
        <v>14.525295596913512</v>
      </c>
      <c r="CL98" s="682">
        <f>INPUT!EI693</f>
        <v>66.577730345072922</v>
      </c>
      <c r="CM98" s="641">
        <f>INPUT!EJ693</f>
        <v>8.5629907380257109</v>
      </c>
      <c r="CN98" s="682">
        <f>INPUT!EK693</f>
        <v>71.978219782197826</v>
      </c>
      <c r="CO98" s="641">
        <f>INPUT!EL693</f>
        <v>5.2476299937319393</v>
      </c>
      <c r="CP98" s="682">
        <f>INPUT!EM693</f>
        <v>74.305365764780902</v>
      </c>
      <c r="CQ98" s="641">
        <f>INPUT!EN693</f>
        <v>4.0238700971231056</v>
      </c>
      <c r="CR98" s="682">
        <f>INPUT!EO693</f>
        <v>79.432266348711366</v>
      </c>
      <c r="CS98" s="641">
        <f>INPUT!EP693</f>
        <v>24.188016615095197</v>
      </c>
      <c r="CT98" s="682">
        <f>INPUT!EQ693</f>
        <v>80.772234209581924</v>
      </c>
      <c r="CU98" s="641">
        <f>INPUT!ER693</f>
        <v>21.320197896411862</v>
      </c>
      <c r="CV98" s="682">
        <f>INPUT!ES693</f>
        <v>82.234417090010552</v>
      </c>
      <c r="CW98" s="641">
        <f>INPUT!ET693</f>
        <v>14.249028857406332</v>
      </c>
      <c r="CX98" s="682">
        <f>INPUT!EU693</f>
        <v>83.676899930554399</v>
      </c>
      <c r="CY98" s="641">
        <f>INPUT!EV693</f>
        <v>12.612190343614982</v>
      </c>
      <c r="CZ98" s="682">
        <f>INPUT!EW693</f>
        <v>85.190904843458796</v>
      </c>
      <c r="DA98" s="641">
        <f>INPUT!EX693</f>
        <v>7.2497471864477969</v>
      </c>
      <c r="DB98" s="640"/>
      <c r="DC98" s="682">
        <f>INPUT!FP693</f>
        <v>36.688513315170816</v>
      </c>
      <c r="DD98" s="641">
        <f>INPUT!FQ693</f>
        <v>32.191539924754743</v>
      </c>
      <c r="DE98" s="682">
        <f>INPUT!FR693</f>
        <v>44.206521739130437</v>
      </c>
      <c r="DF98" s="641">
        <f>INPUT!FS693</f>
        <v>20.491450169639069</v>
      </c>
      <c r="DG98" s="682">
        <f>INPUT!FT693</f>
        <v>44.32072617246596</v>
      </c>
      <c r="DH98" s="641">
        <f>INPUT!FU693</f>
        <v>0.25834295222197934</v>
      </c>
      <c r="DI98" s="682">
        <f>INPUT!FV693</f>
        <v>31.147208121827408</v>
      </c>
      <c r="DJ98" s="641">
        <f>INPUT!FW693</f>
        <v>-29.723154804314866</v>
      </c>
      <c r="DK98" s="682">
        <f>INPUT!FX693</f>
        <v>35.548280423280424</v>
      </c>
      <c r="DL98" s="641">
        <f>INPUT!FY693</f>
        <v>14.12990944240946</v>
      </c>
      <c r="DM98" s="682">
        <f>INPUT!FZ693</f>
        <v>40.536245647356765</v>
      </c>
      <c r="DN98" s="641">
        <f>INPUT!GA693</f>
        <v>14.031523226112919</v>
      </c>
      <c r="DO98" s="682">
        <f>INPUT!GB693</f>
        <v>44.939965694682677</v>
      </c>
      <c r="DP98" s="641">
        <f>INPUT!GC693</f>
        <v>10.863660353837101</v>
      </c>
      <c r="DQ98" s="682">
        <f>INPUT!GD693</f>
        <v>55.136229749631809</v>
      </c>
      <c r="DR98" s="641">
        <f>INPUT!GE693</f>
        <v>22.6886333741807</v>
      </c>
      <c r="DS98" s="682">
        <f>INPUT!GF693</f>
        <v>51.171548117154813</v>
      </c>
      <c r="DT98" s="641">
        <f>INPUT!GG693</f>
        <v>-7.1907013781686295</v>
      </c>
      <c r="DU98" s="682">
        <f>INPUT!GH693</f>
        <v>61.34840218238503</v>
      </c>
      <c r="DV98" s="641">
        <f>INPUT!GI693</f>
        <v>19.887719718642849</v>
      </c>
      <c r="DW98" s="682">
        <f>INPUT!GJ693</f>
        <v>55.853158326497123</v>
      </c>
      <c r="DX98" s="641">
        <f>INPUT!GK693</f>
        <v>-8.9574359892061857</v>
      </c>
      <c r="DY98" s="682">
        <f>INPUT!GL693</f>
        <v>63.965715295573034</v>
      </c>
      <c r="DZ98" s="641">
        <f>INPUT!GM693</f>
        <v>14.524795395907365</v>
      </c>
      <c r="EA98" s="682">
        <f>INPUT!GN693</f>
        <v>79.436852242502056</v>
      </c>
      <c r="EB98" s="641">
        <f>INPUT!GO693</f>
        <v>24.186608209475867</v>
      </c>
      <c r="EC98" s="682">
        <f>INPUT!GP693</f>
        <v>85.190904843458796</v>
      </c>
      <c r="ED98" s="641">
        <f>INPUT!GQ693</f>
        <v>7.2435556527226996</v>
      </c>
      <c r="EE98" s="682">
        <f>INPUT!GR693</f>
        <v>91.527009902450544</v>
      </c>
      <c r="EF98" s="641">
        <f>INPUT!GS693</f>
        <v>7.4375369889949638</v>
      </c>
      <c r="EG98" s="682">
        <f>INPUT!GT693</f>
        <v>99.086898587047244</v>
      </c>
      <c r="EH98" s="641">
        <f>INPUT!GU693</f>
        <v>8.2597352329700549</v>
      </c>
      <c r="EI98" s="682">
        <f>INPUT!GV693</f>
        <v>107.49490202063714</v>
      </c>
      <c r="EJ98" s="641">
        <f>INPUT!GW693</f>
        <v>8.4854845125700518</v>
      </c>
      <c r="EK98" s="682">
        <f>INPUT!GX693</f>
        <v>116.75244309886943</v>
      </c>
      <c r="EL98" s="641">
        <f>INPUT!GY693</f>
        <v>8.6120745302461046</v>
      </c>
      <c r="EM98" s="852">
        <f>INPUT!GZ693</f>
        <v>8.0062257732789419</v>
      </c>
    </row>
    <row r="99" spans="1:152" ht="12.75" customHeight="1" x14ac:dyDescent="0.2">
      <c r="A99" s="871" t="str">
        <f>INPUT!B695</f>
        <v>Book Value per Share - FD</v>
      </c>
      <c r="B99" s="875">
        <f>INPUT!AY695</f>
        <v>0</v>
      </c>
      <c r="C99" s="873">
        <f>INPUT!AZ695</f>
        <v>0</v>
      </c>
      <c r="D99" s="875">
        <f>INPUT!BA695</f>
        <v>0</v>
      </c>
      <c r="E99" s="873">
        <f>INPUT!BB695</f>
        <v>0</v>
      </c>
      <c r="F99" s="875">
        <f>INPUT!BC695</f>
        <v>0</v>
      </c>
      <c r="G99" s="873">
        <f>INPUT!BD695</f>
        <v>0</v>
      </c>
      <c r="H99" s="875">
        <f>INPUT!BE695</f>
        <v>0</v>
      </c>
      <c r="I99" s="873">
        <f>INPUT!BF695</f>
        <v>0</v>
      </c>
      <c r="J99" s="872">
        <f>INPUT!BG695</f>
        <v>43.91313868613139</v>
      </c>
      <c r="K99" s="873">
        <f>INPUT!BH695</f>
        <v>0</v>
      </c>
      <c r="L99" s="872">
        <f>INPUT!BI695</f>
        <v>43.117304189435337</v>
      </c>
      <c r="M99" s="873">
        <f>INPUT!BJ695</f>
        <v>0</v>
      </c>
      <c r="N99" s="872">
        <f>INPUT!BK695</f>
        <v>44.029812292970185</v>
      </c>
      <c r="O99" s="873">
        <f>INPUT!BL695</f>
        <v>0</v>
      </c>
      <c r="P99" s="872">
        <f>INPUT!BM695</f>
        <v>44.021036814425244</v>
      </c>
      <c r="Q99" s="873">
        <f>INPUT!BN695</f>
        <v>0</v>
      </c>
      <c r="R99" s="872">
        <f>INPUT!BO695</f>
        <v>42.559327213826492</v>
      </c>
      <c r="S99" s="873">
        <f>INPUT!BP695</f>
        <v>0</v>
      </c>
      <c r="T99" s="872">
        <f>INPUT!BQ695</f>
        <v>40.720325833979828</v>
      </c>
      <c r="U99" s="873">
        <f>INPUT!BR695</f>
        <v>0</v>
      </c>
      <c r="V99" s="872">
        <f>INPUT!BS695</f>
        <v>36.979758660957579</v>
      </c>
      <c r="W99" s="873">
        <f>INPUT!BT695</f>
        <v>0</v>
      </c>
      <c r="X99" s="872">
        <f>INPUT!BU695</f>
        <v>30.953822273961972</v>
      </c>
      <c r="Y99" s="873">
        <f>INPUT!BV695</f>
        <v>0</v>
      </c>
      <c r="Z99" s="872">
        <f>INPUT!BW695</f>
        <v>28.373111197210381</v>
      </c>
      <c r="AA99" s="873">
        <f>INPUT!BX695</f>
        <v>-33.332801398249913</v>
      </c>
      <c r="AB99" s="872">
        <f>INPUT!BY695</f>
        <v>29.830703484549641</v>
      </c>
      <c r="AC99" s="873">
        <f>INPUT!BZ695</f>
        <v>-26.742473510227029</v>
      </c>
      <c r="AD99" s="872">
        <f>INPUT!CA695</f>
        <v>34.335150737652341</v>
      </c>
      <c r="AE99" s="873">
        <f>INPUT!CB695</f>
        <v>-7.151501305219055</v>
      </c>
      <c r="AF99" s="872">
        <f>INPUT!CC695</f>
        <v>34.476587556125715</v>
      </c>
      <c r="AG99" s="873">
        <f>INPUT!CD695</f>
        <v>11.380711729184601</v>
      </c>
      <c r="AH99" s="875">
        <f>INPUT!CE695</f>
        <v>36.479552715654954</v>
      </c>
      <c r="AI99" s="873">
        <f>INPUT!CF695</f>
        <v>28.570858733467297</v>
      </c>
      <c r="AJ99" s="875">
        <f>INPUT!CG695</f>
        <v>38.775391224301934</v>
      </c>
      <c r="AK99" s="873">
        <f>INPUT!CH695</f>
        <v>29.984836745083989</v>
      </c>
      <c r="AL99" s="875">
        <f>INPUT!CI695</f>
        <v>41.80419364785692</v>
      </c>
      <c r="AM99" s="873">
        <f>INPUT!CJ695</f>
        <v>21.753342419475487</v>
      </c>
      <c r="AN99" s="875">
        <f>INPUT!CK695</f>
        <v>39.522839506172843</v>
      </c>
      <c r="AO99" s="873">
        <f>INPUT!CL695</f>
        <v>14.636750060695958</v>
      </c>
      <c r="AP99" s="875">
        <f>INPUT!CM695</f>
        <v>37.531279178338004</v>
      </c>
      <c r="AQ99" s="873">
        <f>INPUT!CN695</f>
        <v>2.8830574510627427</v>
      </c>
      <c r="AR99" s="875">
        <f>INPUT!CO695</f>
        <v>39.636994949494948</v>
      </c>
      <c r="AS99" s="873">
        <f>INPUT!CP695</f>
        <v>2.222037477865646</v>
      </c>
      <c r="AT99" s="875">
        <f>INPUT!CQ695</f>
        <v>45.571847507331384</v>
      </c>
      <c r="AU99" s="873">
        <f>INPUT!CR695</f>
        <v>9.0126217747716666</v>
      </c>
      <c r="AV99" s="875">
        <f>INPUT!CS695</f>
        <v>44.107744107744111</v>
      </c>
      <c r="AW99" s="873">
        <f>INPUT!CT695</f>
        <v>11.600645750301354</v>
      </c>
      <c r="AX99" s="875">
        <f>INPUT!CU695</f>
        <v>44.778156996587029</v>
      </c>
      <c r="AY99" s="873">
        <f>INPUT!CV695</f>
        <v>19.308901739836571</v>
      </c>
      <c r="AZ99" s="875">
        <f>INPUT!CW695</f>
        <v>48.950488145048816</v>
      </c>
      <c r="BA99" s="873">
        <f>INPUT!CX695</f>
        <v>23.496970967201293</v>
      </c>
      <c r="BB99" s="875">
        <f>INPUT!CY695</f>
        <v>53.541076487252127</v>
      </c>
      <c r="BC99" s="873">
        <f>INPUT!CZ695</f>
        <v>17.487175560829947</v>
      </c>
      <c r="BD99" s="875">
        <f>INPUT!DA695</f>
        <v>53.654604084557505</v>
      </c>
      <c r="BE99" s="873">
        <f>INPUT!DB695</f>
        <v>21.64440773369143</v>
      </c>
      <c r="BF99" s="875">
        <f>INPUT!DC695</f>
        <v>53.614718614718619</v>
      </c>
      <c r="BG99" s="873">
        <f>INPUT!DD695</f>
        <v>19.734089589272543</v>
      </c>
      <c r="BH99" s="875">
        <f>INPUT!DE695</f>
        <v>48.619934282584886</v>
      </c>
      <c r="BI99" s="873">
        <f>INPUT!DF695</f>
        <v>-0.67528205537897845</v>
      </c>
      <c r="BJ99" s="875">
        <f>INPUT!DG695</f>
        <v>49.133944954128438</v>
      </c>
      <c r="BK99" s="873">
        <f>INPUT!DH695</f>
        <v>-8.231309159749534</v>
      </c>
      <c r="BL99" s="875">
        <f>INPUT!DI695</f>
        <v>49.423218221895667</v>
      </c>
      <c r="BM99" s="873">
        <f>INPUT!DJ695</f>
        <v>-7.8863425326805903</v>
      </c>
      <c r="BN99" s="875">
        <f>INPUT!DK695</f>
        <v>53.576183431952664</v>
      </c>
      <c r="BO99" s="873">
        <f>INPUT!DL695</f>
        <v>-7.1874260952242697E-2</v>
      </c>
      <c r="BP99" s="875">
        <f>INPUT!DM695</f>
        <v>57.739162929745888</v>
      </c>
      <c r="BQ99" s="873">
        <f>INPUT!DN695</f>
        <v>18.756151734305003</v>
      </c>
      <c r="BR99" s="875">
        <f>INPUT!DO695</f>
        <v>58.199623352165723</v>
      </c>
      <c r="BS99" s="873">
        <f>INPUT!DP695</f>
        <v>18.45094752009231</v>
      </c>
      <c r="BT99" s="875">
        <f>INPUT!DQ695</f>
        <v>60.191204588910132</v>
      </c>
      <c r="BU99" s="873">
        <f>INPUT!DR695</f>
        <v>21.787303122733491</v>
      </c>
      <c r="BV99" s="875">
        <f>INPUT!DS695</f>
        <v>63.075427682737171</v>
      </c>
      <c r="BW99" s="873">
        <f>INPUT!DT695</f>
        <v>17.730348901857738</v>
      </c>
      <c r="BX99" s="875">
        <f>INPUT!DU695</f>
        <v>57.847304210940578</v>
      </c>
      <c r="BY99" s="873">
        <f>INPUT!DV695</f>
        <v>0.18729277618081408</v>
      </c>
      <c r="BZ99" s="875">
        <f>INPUT!DW695</f>
        <v>57.328821656050955</v>
      </c>
      <c r="CA99" s="873">
        <f>INPUT!DX695</f>
        <v>57.328821656050955</v>
      </c>
      <c r="CB99" s="875">
        <f>INPUT!DY695</f>
        <v>55.196595054722337</v>
      </c>
      <c r="CC99" s="873">
        <f>INPUT!DZ695</f>
        <v>-8.2979059287808692</v>
      </c>
      <c r="CD99" s="875">
        <f>INPUT!EA695</f>
        <v>60.520231213872833</v>
      </c>
      <c r="CE99" s="873">
        <f>INPUT!EB695</f>
        <v>-4.0510172704919416</v>
      </c>
      <c r="CF99" s="875">
        <f>INPUT!EC695</f>
        <v>67.371984765129071</v>
      </c>
      <c r="CG99" s="873">
        <f>INPUT!ED695</f>
        <v>16.465210754604364</v>
      </c>
      <c r="CH99" s="875">
        <f>INPUT!EE695</f>
        <v>70.570687418936444</v>
      </c>
      <c r="CI99" s="873">
        <f>INPUT!EF695</f>
        <v>23.098095129760665</v>
      </c>
      <c r="CJ99" s="875">
        <f>INPUT!EG695</f>
        <v>62.920469361147326</v>
      </c>
      <c r="CK99" s="873">
        <f>INPUT!EH695</f>
        <v>13.993389082727802</v>
      </c>
      <c r="CL99" s="875">
        <f>INPUT!EI695</f>
        <v>65.412844036697251</v>
      </c>
      <c r="CM99" s="873">
        <f>INPUT!EJ695</f>
        <v>8.0842599651253622</v>
      </c>
      <c r="CN99" s="875">
        <f>INPUT!EK695</f>
        <v>70.778761061946909</v>
      </c>
      <c r="CO99" s="873">
        <f>INPUT!EL695</f>
        <v>5.0566660737314972</v>
      </c>
      <c r="CP99" s="875">
        <f>INPUT!EM695</f>
        <v>73.255500673551865</v>
      </c>
      <c r="CQ99" s="873">
        <f>INPUT!EN695</f>
        <v>3.8044312062276875</v>
      </c>
      <c r="CR99" s="875">
        <f>INPUT!EO695</f>
        <v>78.273836421147763</v>
      </c>
      <c r="CS99" s="873">
        <f>INPUT!EP695</f>
        <v>24.401227797389847</v>
      </c>
      <c r="CT99" s="875">
        <f>INPUT!EQ695</f>
        <v>79.589667382473721</v>
      </c>
      <c r="CU99" s="873">
        <f>INPUT!ER695</f>
        <v>21.672843544034158</v>
      </c>
      <c r="CV99" s="875">
        <f>INPUT!ES695</f>
        <v>81.030442795516052</v>
      </c>
      <c r="CW99" s="873">
        <f>INPUT!ET695</f>
        <v>14.484121479036173</v>
      </c>
      <c r="CX99" s="875">
        <f>INPUT!EU695</f>
        <v>82.446327312696297</v>
      </c>
      <c r="CY99" s="873">
        <f>INPUT!EV695</f>
        <v>12.546261447452899</v>
      </c>
      <c r="CZ99" s="875">
        <f>INPUT!EW695</f>
        <v>83.932549452771994</v>
      </c>
      <c r="DA99" s="873">
        <f>INPUT!EX695</f>
        <v>7.2293799439928641</v>
      </c>
      <c r="DB99" s="872"/>
      <c r="DC99" s="872">
        <f>INPUT!FP695</f>
        <v>0</v>
      </c>
      <c r="DD99" s="873">
        <f>INPUT!FQ695</f>
        <v>0</v>
      </c>
      <c r="DE99" s="872">
        <f>INPUT!FR695</f>
        <v>0</v>
      </c>
      <c r="DF99" s="873" t="str">
        <f>INPUT!FS695</f>
        <v>NA</v>
      </c>
      <c r="DG99" s="875">
        <f>INPUT!FT695</f>
        <v>44.021036814425244</v>
      </c>
      <c r="DH99" s="873" t="str">
        <f>INPUT!FU695</f>
        <v>NA</v>
      </c>
      <c r="DI99" s="875">
        <f>INPUT!FV695</f>
        <v>30.953822273961972</v>
      </c>
      <c r="DJ99" s="873">
        <f>INPUT!FW695</f>
        <v>-29.684022653871889</v>
      </c>
      <c r="DK99" s="875">
        <f>INPUT!FX695</f>
        <v>34.476587556125715</v>
      </c>
      <c r="DL99" s="873">
        <f>INPUT!FY695</f>
        <v>11.380711729184601</v>
      </c>
      <c r="DM99" s="875">
        <f>INPUT!FZ695</f>
        <v>39.522839506172843</v>
      </c>
      <c r="DN99" s="873">
        <f>INPUT!GA695</f>
        <v>14.636750060695958</v>
      </c>
      <c r="DO99" s="875">
        <f>INPUT!GB695</f>
        <v>44.107744107744111</v>
      </c>
      <c r="DP99" s="873">
        <f>INPUT!GC695</f>
        <v>11.600645750301354</v>
      </c>
      <c r="DQ99" s="875">
        <f>INPUT!GD695</f>
        <v>53.654604084557505</v>
      </c>
      <c r="DR99" s="873">
        <f>INPUT!GE695</f>
        <v>21.64440773369143</v>
      </c>
      <c r="DS99" s="875">
        <f>INPUT!GF695</f>
        <v>49.423218221895667</v>
      </c>
      <c r="DT99" s="873">
        <f>INPUT!GG695</f>
        <v>-7.8863425326805903</v>
      </c>
      <c r="DU99" s="875">
        <f>INPUT!GH695</f>
        <v>60.191204588910132</v>
      </c>
      <c r="DV99" s="873">
        <f>INPUT!GI695</f>
        <v>21.787303122733491</v>
      </c>
      <c r="DW99" s="875">
        <f>INPUT!GJ695</f>
        <v>55.196595054722337</v>
      </c>
      <c r="DX99" s="873">
        <f>INPUT!GK695</f>
        <v>-8.2979059287808692</v>
      </c>
      <c r="DY99" s="875">
        <f>INPUT!GL695</f>
        <v>62.920469361147326</v>
      </c>
      <c r="DZ99" s="873">
        <f>INPUT!GM695</f>
        <v>13.993389082727802</v>
      </c>
      <c r="EA99" s="875">
        <f>INPUT!GN695</f>
        <v>78.273836421147763</v>
      </c>
      <c r="EB99" s="873">
        <f>INPUT!GO695</f>
        <v>24.401227797389847</v>
      </c>
      <c r="EC99" s="875">
        <f>INPUT!GP695</f>
        <v>83.932549452771994</v>
      </c>
      <c r="ED99" s="873">
        <f>INPUT!GQ695</f>
        <v>7.2293799439928641</v>
      </c>
      <c r="EE99" s="875">
        <f>INPUT!GR695</f>
        <v>90.148750552443389</v>
      </c>
      <c r="EF99" s="873">
        <f>INPUT!GS695</f>
        <v>7.4061864439959546</v>
      </c>
      <c r="EG99" s="875">
        <f>INPUT!GT695</f>
        <v>97.559170212693445</v>
      </c>
      <c r="EH99" s="873">
        <f>INPUT!GU695</f>
        <v>8.2202133860292292</v>
      </c>
      <c r="EI99" s="875">
        <f>INPUT!GV695</f>
        <v>105.79102288907383</v>
      </c>
      <c r="EJ99" s="873">
        <f>INPUT!GW695</f>
        <v>8.4378051375731502</v>
      </c>
      <c r="EK99" s="875">
        <f>INPUT!GX695</f>
        <v>114.84949224162136</v>
      </c>
      <c r="EL99" s="873">
        <f>INPUT!GY695</f>
        <v>8.5626068310594725</v>
      </c>
      <c r="EM99" s="876">
        <f>INPUT!GZ695</f>
        <v>7.9698484616139043</v>
      </c>
    </row>
    <row r="100" spans="1:152" ht="12.75" customHeight="1" x14ac:dyDescent="0.2">
      <c r="A100" s="701"/>
      <c r="B100" s="464"/>
      <c r="C100" s="687"/>
      <c r="D100" s="464"/>
      <c r="E100" s="687"/>
      <c r="F100" s="464"/>
      <c r="G100" s="687"/>
      <c r="H100" s="464"/>
      <c r="I100" s="687"/>
      <c r="J100" s="156"/>
      <c r="K100" s="687"/>
      <c r="L100" s="156"/>
      <c r="M100" s="687"/>
      <c r="N100" s="156"/>
      <c r="O100" s="687"/>
      <c r="P100" s="156"/>
      <c r="Q100" s="687"/>
      <c r="R100" s="156"/>
      <c r="S100" s="687"/>
      <c r="T100" s="156"/>
      <c r="U100" s="687"/>
      <c r="V100" s="156"/>
      <c r="W100" s="687"/>
      <c r="X100" s="156"/>
      <c r="Y100" s="687"/>
      <c r="Z100" s="156"/>
      <c r="AA100" s="687"/>
      <c r="AB100" s="156"/>
      <c r="AC100" s="687"/>
      <c r="AD100" s="156"/>
      <c r="AE100" s="687"/>
      <c r="AF100" s="156"/>
      <c r="AG100" s="687"/>
      <c r="AH100" s="464"/>
      <c r="AI100" s="687"/>
      <c r="AJ100" s="464"/>
      <c r="AK100" s="687"/>
      <c r="AL100" s="464"/>
      <c r="AM100" s="687"/>
      <c r="AN100" s="464"/>
      <c r="AO100" s="687"/>
      <c r="AP100" s="464"/>
      <c r="AQ100" s="687"/>
      <c r="AR100" s="464"/>
      <c r="AS100" s="687"/>
      <c r="AT100" s="464"/>
      <c r="AU100" s="687"/>
      <c r="AV100" s="464"/>
      <c r="AW100" s="687"/>
      <c r="AX100" s="464"/>
      <c r="AY100" s="687"/>
      <c r="AZ100" s="464"/>
      <c r="BA100" s="687"/>
      <c r="BB100" s="464"/>
      <c r="BC100" s="687"/>
      <c r="BD100" s="464"/>
      <c r="BE100" s="687"/>
      <c r="BF100" s="464"/>
      <c r="BG100" s="687"/>
      <c r="BH100" s="464"/>
      <c r="BI100" s="687"/>
      <c r="BJ100" s="464"/>
      <c r="BK100" s="687"/>
      <c r="BL100" s="464"/>
      <c r="BM100" s="687"/>
      <c r="BN100" s="464"/>
      <c r="BO100" s="687"/>
      <c r="BP100" s="464"/>
      <c r="BQ100" s="687"/>
      <c r="BR100" s="464"/>
      <c r="BS100" s="687"/>
      <c r="BT100" s="464"/>
      <c r="BU100" s="687"/>
      <c r="BV100" s="464"/>
      <c r="BW100" s="687"/>
      <c r="BX100" s="464"/>
      <c r="BY100" s="687"/>
      <c r="BZ100" s="464"/>
      <c r="CA100" s="687"/>
      <c r="CB100" s="464"/>
      <c r="CC100" s="687"/>
      <c r="CD100" s="464"/>
      <c r="CE100" s="687"/>
      <c r="CF100" s="464"/>
      <c r="CG100" s="687"/>
      <c r="CH100" s="464"/>
      <c r="CI100" s="687"/>
      <c r="CJ100" s="464"/>
      <c r="CK100" s="687"/>
      <c r="CL100" s="464"/>
      <c r="CM100" s="687"/>
      <c r="CN100" s="464"/>
      <c r="CO100" s="687"/>
      <c r="CP100" s="464"/>
      <c r="CQ100" s="687"/>
      <c r="CR100" s="464"/>
      <c r="CS100" s="687"/>
      <c r="CT100" s="464"/>
      <c r="CU100" s="687"/>
      <c r="CV100" s="464"/>
      <c r="CW100" s="687"/>
      <c r="CX100" s="464"/>
      <c r="CY100" s="687"/>
      <c r="CZ100" s="464"/>
      <c r="DA100" s="687"/>
      <c r="DB100" s="156"/>
      <c r="DC100" s="156"/>
      <c r="DD100" s="687"/>
      <c r="DE100" s="156"/>
      <c r="DF100" s="687"/>
      <c r="DG100" s="464"/>
      <c r="DH100" s="687"/>
      <c r="DI100" s="464"/>
      <c r="DJ100" s="687"/>
      <c r="DK100" s="464"/>
      <c r="DL100" s="687"/>
      <c r="DM100" s="464"/>
      <c r="DN100" s="687"/>
      <c r="DO100" s="464"/>
      <c r="DP100" s="687"/>
      <c r="DQ100" s="464"/>
      <c r="DR100" s="687"/>
      <c r="DS100" s="464"/>
      <c r="DT100" s="687"/>
      <c r="DU100" s="464"/>
      <c r="DV100" s="687"/>
      <c r="DW100" s="464"/>
      <c r="DX100" s="687"/>
      <c r="DY100" s="464"/>
      <c r="DZ100" s="687"/>
      <c r="EA100" s="464"/>
      <c r="EB100" s="687"/>
      <c r="EC100" s="464"/>
      <c r="ED100" s="687"/>
      <c r="EE100" s="464"/>
      <c r="EF100" s="687"/>
      <c r="EG100" s="464"/>
      <c r="EH100" s="687"/>
      <c r="EI100" s="464"/>
      <c r="EJ100" s="687"/>
      <c r="EK100" s="464"/>
      <c r="EL100" s="687"/>
      <c r="EM100" s="687"/>
    </row>
    <row r="101" spans="1:152" ht="12.75" customHeight="1" x14ac:dyDescent="0.2">
      <c r="A101" s="689" t="str">
        <f>+A60</f>
        <v>Quarterly income statement ratios are annualized where appropriate     NM = Not Meaningful       NA = Not Applicable  E=Morgan Stanley Estimates</v>
      </c>
      <c r="B101" s="16"/>
      <c r="C101" s="687"/>
      <c r="D101" s="16"/>
      <c r="E101" s="687"/>
      <c r="F101" s="16"/>
      <c r="G101" s="687"/>
      <c r="H101" s="16"/>
      <c r="I101" s="687"/>
      <c r="J101" s="16"/>
      <c r="K101" s="687"/>
      <c r="L101" s="16"/>
      <c r="M101" s="687"/>
      <c r="N101" s="16"/>
      <c r="O101" s="687"/>
      <c r="P101" s="16"/>
      <c r="Q101" s="687"/>
      <c r="R101" s="16"/>
      <c r="S101" s="687"/>
      <c r="T101" s="16"/>
      <c r="U101" s="687"/>
      <c r="V101" s="16"/>
      <c r="W101" s="687"/>
      <c r="X101" s="16"/>
      <c r="Y101" s="687"/>
      <c r="Z101" s="16"/>
      <c r="AA101" s="687"/>
      <c r="AB101" s="16"/>
      <c r="AC101" s="687"/>
      <c r="AD101" s="16"/>
      <c r="AE101" s="687"/>
      <c r="AF101" s="16"/>
      <c r="AG101" s="687"/>
      <c r="AH101" s="16"/>
      <c r="AI101" s="687"/>
      <c r="AJ101" s="16"/>
      <c r="AK101" s="687"/>
      <c r="AL101" s="16"/>
      <c r="AM101" s="687"/>
      <c r="AN101" s="16"/>
      <c r="AO101" s="687"/>
      <c r="AP101" s="16"/>
      <c r="AQ101" s="687"/>
      <c r="AR101" s="16"/>
      <c r="AS101" s="687"/>
      <c r="AT101" s="16"/>
      <c r="AU101" s="687"/>
      <c r="AV101" s="16"/>
      <c r="AW101" s="687"/>
      <c r="AX101" s="16"/>
      <c r="AY101" s="687"/>
      <c r="AZ101" s="16"/>
      <c r="BA101" s="687"/>
      <c r="BB101" s="16"/>
      <c r="BC101" s="687"/>
      <c r="BD101" s="16"/>
      <c r="BE101" s="687"/>
      <c r="BF101" s="16"/>
      <c r="BG101" s="687"/>
      <c r="BH101" s="16"/>
      <c r="BI101" s="687"/>
      <c r="BJ101" s="16"/>
      <c r="BK101" s="687"/>
      <c r="BL101" s="16"/>
      <c r="BM101" s="687"/>
      <c r="BN101" s="16"/>
      <c r="BO101" s="687"/>
      <c r="BP101" s="16"/>
      <c r="BQ101" s="687"/>
      <c r="BR101" s="16"/>
      <c r="BS101" s="687"/>
      <c r="BT101" s="16"/>
      <c r="BU101" s="687"/>
      <c r="BV101" s="16"/>
      <c r="BW101" s="687"/>
      <c r="BX101" s="16"/>
      <c r="BY101" s="687"/>
      <c r="BZ101" s="16"/>
      <c r="CA101" s="687"/>
      <c r="CB101" s="16"/>
      <c r="CC101" s="687"/>
      <c r="CD101" s="16"/>
      <c r="CE101" s="687"/>
      <c r="CF101" s="16"/>
      <c r="CG101" s="687"/>
      <c r="CH101" s="16"/>
      <c r="CI101" s="687"/>
      <c r="CJ101" s="16"/>
      <c r="CK101" s="687"/>
      <c r="CL101" s="16"/>
      <c r="CM101" s="687"/>
      <c r="CN101" s="16"/>
      <c r="CO101" s="687"/>
      <c r="CP101" s="16"/>
      <c r="CQ101" s="687"/>
      <c r="CR101" s="16"/>
      <c r="CS101" s="687"/>
      <c r="CT101" s="16"/>
      <c r="CU101" s="687"/>
      <c r="CV101" s="16"/>
      <c r="CW101" s="687"/>
      <c r="CX101" s="16"/>
      <c r="CY101" s="687"/>
      <c r="CZ101" s="16"/>
      <c r="DA101" s="687"/>
      <c r="DB101" s="16"/>
      <c r="DC101" s="16"/>
      <c r="DD101" s="687"/>
      <c r="DE101" s="16"/>
      <c r="DF101" s="687"/>
      <c r="DG101" s="16"/>
      <c r="DH101" s="687"/>
      <c r="DI101" s="16"/>
      <c r="DJ101" s="687"/>
      <c r="DK101" s="16"/>
      <c r="DL101" s="687"/>
      <c r="DM101" s="16"/>
      <c r="DN101" s="687"/>
      <c r="DO101" s="16"/>
      <c r="DP101" s="687"/>
      <c r="DQ101" s="16"/>
      <c r="DR101" s="687"/>
      <c r="DS101" s="16"/>
      <c r="DT101" s="687"/>
      <c r="DU101" s="16"/>
      <c r="DV101" s="687"/>
      <c r="DW101" s="16"/>
      <c r="DX101" s="687"/>
      <c r="DY101" s="16"/>
      <c r="DZ101" s="687"/>
      <c r="EA101" s="16"/>
      <c r="EB101" s="687"/>
      <c r="EC101" s="16"/>
      <c r="ED101" s="687"/>
      <c r="EE101" s="16"/>
      <c r="EF101" s="687"/>
      <c r="EG101" s="16"/>
      <c r="EH101" s="687"/>
      <c r="EI101" s="16"/>
      <c r="EJ101" s="687"/>
      <c r="EK101" s="16"/>
      <c r="EL101" s="687"/>
      <c r="EM101" s="687"/>
    </row>
    <row r="102" spans="1:152" ht="12.75" customHeight="1" x14ac:dyDescent="0.2">
      <c r="A102" s="689" t="s">
        <v>614</v>
      </c>
      <c r="B102" s="16"/>
      <c r="C102" s="687"/>
      <c r="D102" s="16"/>
      <c r="E102" s="687"/>
      <c r="F102" s="16"/>
      <c r="G102" s="687"/>
      <c r="H102" s="16"/>
      <c r="I102" s="687"/>
      <c r="J102" s="16"/>
      <c r="K102" s="687"/>
      <c r="L102" s="16"/>
      <c r="M102" s="687"/>
      <c r="N102" s="16"/>
      <c r="O102" s="687"/>
      <c r="P102" s="16"/>
      <c r="Q102" s="687"/>
      <c r="R102" s="16"/>
      <c r="S102" s="687"/>
      <c r="T102" s="16"/>
      <c r="U102" s="687"/>
      <c r="V102" s="16"/>
      <c r="W102" s="687"/>
      <c r="X102" s="16"/>
      <c r="Y102" s="687"/>
      <c r="Z102" s="16"/>
      <c r="AA102" s="687"/>
      <c r="AB102" s="16"/>
      <c r="AC102" s="687"/>
      <c r="AD102" s="16"/>
      <c r="AE102" s="687"/>
      <c r="AF102" s="16"/>
      <c r="AG102" s="687"/>
      <c r="AH102" s="16"/>
      <c r="AI102" s="687"/>
      <c r="AJ102" s="16"/>
      <c r="AK102" s="687"/>
      <c r="AL102" s="16"/>
      <c r="AM102" s="687"/>
      <c r="AN102" s="16"/>
      <c r="AO102" s="687"/>
      <c r="AP102" s="16"/>
      <c r="AQ102" s="687"/>
      <c r="AR102" s="16"/>
      <c r="AS102" s="687"/>
      <c r="AT102" s="16"/>
      <c r="AU102" s="687"/>
      <c r="AV102" s="16"/>
      <c r="AW102" s="687"/>
      <c r="AX102" s="16"/>
      <c r="AY102" s="687"/>
      <c r="AZ102" s="16"/>
      <c r="BA102" s="687"/>
      <c r="BB102" s="16"/>
      <c r="BC102" s="687"/>
      <c r="BD102" s="16"/>
      <c r="BE102" s="687"/>
      <c r="BF102" s="16"/>
      <c r="BG102" s="687"/>
      <c r="BH102" s="16"/>
      <c r="BI102" s="687"/>
      <c r="BJ102" s="16"/>
      <c r="BK102" s="687"/>
      <c r="BL102" s="16"/>
      <c r="BM102" s="687"/>
      <c r="BN102" s="16"/>
      <c r="BO102" s="687"/>
      <c r="BP102" s="16"/>
      <c r="BQ102" s="687"/>
      <c r="BR102" s="16"/>
      <c r="BS102" s="687"/>
      <c r="BT102" s="16"/>
      <c r="BU102" s="687"/>
      <c r="BV102" s="16"/>
      <c r="BW102" s="687"/>
      <c r="BX102" s="16"/>
      <c r="BY102" s="687"/>
      <c r="BZ102" s="16"/>
      <c r="CA102" s="687"/>
      <c r="CB102" s="16"/>
      <c r="CC102" s="687"/>
      <c r="CD102" s="16"/>
      <c r="CE102" s="687"/>
      <c r="CF102" s="16"/>
      <c r="CG102" s="687"/>
      <c r="CH102" s="16"/>
      <c r="CI102" s="687"/>
      <c r="CJ102" s="16"/>
      <c r="CK102" s="687"/>
      <c r="CL102" s="16"/>
      <c r="CM102" s="687"/>
      <c r="CN102" s="16"/>
      <c r="CO102" s="687"/>
      <c r="CP102" s="16"/>
      <c r="CQ102" s="687"/>
      <c r="CR102" s="16"/>
      <c r="CS102" s="687"/>
      <c r="CT102" s="16"/>
      <c r="CU102" s="687"/>
      <c r="CV102" s="16"/>
      <c r="CW102" s="687"/>
      <c r="CX102" s="16"/>
      <c r="CY102" s="687"/>
      <c r="CZ102" s="16"/>
      <c r="DA102" s="687"/>
      <c r="DB102" s="16"/>
      <c r="DC102" s="16"/>
      <c r="DD102" s="687"/>
      <c r="DE102" s="16"/>
      <c r="DF102" s="687"/>
      <c r="DG102" s="16"/>
      <c r="DH102" s="687"/>
      <c r="DI102" s="16"/>
      <c r="DJ102" s="687"/>
      <c r="DK102" s="16"/>
      <c r="DL102" s="687"/>
      <c r="DM102" s="16"/>
      <c r="DN102" s="687"/>
      <c r="DO102" s="16"/>
      <c r="DP102" s="687"/>
      <c r="DQ102" s="16"/>
      <c r="DR102" s="687"/>
      <c r="DS102" s="16"/>
      <c r="DT102" s="687"/>
      <c r="DU102" s="16"/>
      <c r="DV102" s="687"/>
      <c r="DW102" s="16"/>
      <c r="DX102" s="687"/>
      <c r="DY102" s="16"/>
      <c r="DZ102" s="687"/>
      <c r="EA102" s="16"/>
      <c r="EB102" s="687"/>
      <c r="EC102" s="16"/>
      <c r="ED102" s="687"/>
      <c r="EE102" s="16"/>
      <c r="EF102" s="687"/>
      <c r="EG102" s="16"/>
      <c r="EH102" s="687"/>
      <c r="EI102" s="16"/>
      <c r="EJ102" s="687"/>
      <c r="EK102" s="16"/>
      <c r="EL102" s="687"/>
      <c r="EM102" s="687"/>
    </row>
    <row r="103" spans="1:152" ht="12.75" customHeight="1" x14ac:dyDescent="0.2">
      <c r="A103" s="701"/>
      <c r="B103" s="16"/>
      <c r="C103" s="687"/>
      <c r="D103" s="16"/>
      <c r="E103" s="687"/>
      <c r="F103" s="16"/>
      <c r="G103" s="687"/>
      <c r="H103" s="16"/>
      <c r="I103" s="687"/>
      <c r="J103" s="16"/>
      <c r="K103" s="687"/>
      <c r="L103" s="16"/>
      <c r="M103" s="687"/>
      <c r="N103" s="16"/>
      <c r="O103" s="687"/>
      <c r="P103" s="16"/>
      <c r="Q103" s="687"/>
      <c r="R103" s="16"/>
      <c r="S103" s="687"/>
      <c r="T103" s="16"/>
      <c r="U103" s="687"/>
      <c r="V103" s="16"/>
      <c r="W103" s="687"/>
      <c r="X103" s="16"/>
      <c r="Y103" s="687"/>
      <c r="Z103" s="16"/>
      <c r="AA103" s="687"/>
      <c r="AB103" s="16"/>
      <c r="AC103" s="687"/>
      <c r="AD103" s="16"/>
      <c r="AE103" s="687"/>
      <c r="AF103" s="16"/>
      <c r="AG103" s="687"/>
      <c r="AH103" s="16"/>
      <c r="AI103" s="687"/>
      <c r="AJ103" s="16"/>
      <c r="AK103" s="687"/>
      <c r="AL103" s="16"/>
      <c r="AM103" s="687"/>
      <c r="AN103" s="16"/>
      <c r="AO103" s="687"/>
      <c r="AP103" s="16"/>
      <c r="AQ103" s="687"/>
      <c r="AR103" s="16"/>
      <c r="AS103" s="687"/>
      <c r="AT103" s="16"/>
      <c r="AU103" s="687"/>
      <c r="AV103" s="16"/>
      <c r="AW103" s="687"/>
      <c r="AX103" s="16"/>
      <c r="AY103" s="687"/>
      <c r="AZ103" s="16"/>
      <c r="BA103" s="687"/>
      <c r="BB103" s="16"/>
      <c r="BC103" s="687"/>
      <c r="BD103" s="16"/>
      <c r="BE103" s="687"/>
      <c r="BF103" s="16"/>
      <c r="BG103" s="687"/>
      <c r="BH103" s="16"/>
      <c r="BI103" s="687"/>
      <c r="BJ103" s="16"/>
      <c r="BK103" s="687"/>
      <c r="BL103" s="16"/>
      <c r="BM103" s="687"/>
      <c r="BN103" s="16"/>
      <c r="BO103" s="687"/>
      <c r="BP103" s="16"/>
      <c r="BQ103" s="687"/>
      <c r="BR103" s="16"/>
      <c r="BS103" s="687"/>
      <c r="BT103" s="16"/>
      <c r="BU103" s="687"/>
      <c r="BV103" s="16"/>
      <c r="BW103" s="687"/>
      <c r="BX103" s="16"/>
      <c r="BY103" s="687"/>
      <c r="BZ103" s="16"/>
      <c r="CA103" s="687"/>
      <c r="CB103" s="16"/>
      <c r="CC103" s="687"/>
      <c r="CD103" s="16"/>
      <c r="CE103" s="687"/>
      <c r="CF103" s="16"/>
      <c r="CG103" s="687"/>
      <c r="CH103" s="16"/>
      <c r="CI103" s="687"/>
      <c r="CJ103" s="16"/>
      <c r="CK103" s="687"/>
      <c r="CL103" s="16"/>
      <c r="CM103" s="687"/>
      <c r="CN103" s="16"/>
      <c r="CO103" s="687"/>
      <c r="CP103" s="16"/>
      <c r="CQ103" s="687"/>
      <c r="CR103" s="16"/>
      <c r="CS103" s="687"/>
      <c r="CT103" s="16"/>
      <c r="CU103" s="687"/>
      <c r="CV103" s="16"/>
      <c r="CW103" s="687"/>
      <c r="CX103" s="16"/>
      <c r="CY103" s="687"/>
      <c r="CZ103" s="16"/>
      <c r="DA103" s="687"/>
      <c r="DB103" s="16"/>
      <c r="DC103" s="16"/>
      <c r="DD103" s="687"/>
      <c r="DE103" s="16"/>
      <c r="DF103" s="687"/>
      <c r="DG103" s="16"/>
      <c r="DH103" s="687"/>
      <c r="DI103" s="16"/>
      <c r="DJ103" s="687"/>
      <c r="DK103" s="16"/>
      <c r="DL103" s="687"/>
      <c r="DM103" s="16"/>
      <c r="DN103" s="687"/>
      <c r="DO103" s="16"/>
      <c r="DP103" s="687"/>
      <c r="DQ103" s="16"/>
      <c r="DR103" s="687"/>
      <c r="DS103" s="16"/>
      <c r="DT103" s="687"/>
      <c r="DU103" s="16"/>
      <c r="DV103" s="687"/>
      <c r="DW103" s="16"/>
      <c r="DX103" s="687"/>
      <c r="DY103" s="16"/>
      <c r="DZ103" s="687"/>
      <c r="EA103" s="16"/>
      <c r="EB103" s="687"/>
      <c r="EC103" s="16"/>
      <c r="ED103" s="687"/>
      <c r="EE103" s="16"/>
      <c r="EF103" s="687"/>
      <c r="EG103" s="16"/>
      <c r="EH103" s="687"/>
      <c r="EI103" s="16"/>
      <c r="EJ103" s="687"/>
      <c r="EK103" s="16"/>
      <c r="EL103" s="687"/>
      <c r="EM103" s="702"/>
    </row>
    <row r="104" spans="1:152" ht="21.95" hidden="1" customHeight="1" outlineLevel="1" x14ac:dyDescent="0.3">
      <c r="A104" s="769" t="str">
        <f>$A$1</f>
        <v>Lincoln National</v>
      </c>
      <c r="B104" s="683"/>
      <c r="C104" s="684"/>
      <c r="D104" s="683"/>
      <c r="E104" s="684"/>
      <c r="F104" s="683"/>
      <c r="G104" s="684"/>
      <c r="H104" s="683"/>
      <c r="I104" s="684"/>
      <c r="J104" s="683"/>
      <c r="K104" s="684"/>
      <c r="L104" s="683"/>
      <c r="M104" s="684"/>
      <c r="N104" s="683"/>
      <c r="O104" s="684"/>
      <c r="P104" s="683"/>
      <c r="Q104" s="684"/>
      <c r="R104" s="683"/>
      <c r="S104" s="684"/>
      <c r="T104" s="683"/>
      <c r="U104" s="684"/>
      <c r="V104" s="683"/>
      <c r="W104" s="684"/>
      <c r="X104" s="683"/>
      <c r="Y104" s="684"/>
      <c r="Z104" s="683"/>
      <c r="AA104" s="684"/>
      <c r="AB104" s="683"/>
      <c r="AC104" s="684"/>
      <c r="AD104" s="683"/>
      <c r="AE104" s="684"/>
      <c r="AF104" s="683"/>
      <c r="AG104" s="684"/>
      <c r="AH104" s="683"/>
      <c r="AI104" s="684"/>
      <c r="AJ104" s="683"/>
      <c r="AK104" s="684"/>
      <c r="AL104" s="683"/>
      <c r="AM104" s="684"/>
      <c r="AN104" s="683"/>
      <c r="AO104" s="684"/>
      <c r="AP104" s="683"/>
      <c r="AQ104" s="684"/>
      <c r="AR104" s="683"/>
      <c r="AS104" s="684"/>
      <c r="AT104" s="683"/>
      <c r="AU104" s="684"/>
      <c r="AV104" s="683"/>
      <c r="AW104" s="684"/>
      <c r="AX104" s="683"/>
      <c r="AY104" s="684"/>
      <c r="AZ104" s="683"/>
      <c r="BA104" s="684"/>
      <c r="BB104" s="683"/>
      <c r="BC104" s="684"/>
      <c r="BD104" s="683"/>
      <c r="BE104" s="684"/>
      <c r="BF104" s="683"/>
      <c r="BG104" s="684"/>
      <c r="BH104" s="683"/>
      <c r="BI104" s="684"/>
      <c r="BJ104" s="683"/>
      <c r="BK104" s="684"/>
      <c r="BL104" s="683"/>
      <c r="BM104" s="684"/>
      <c r="BN104" s="683"/>
      <c r="BO104" s="684"/>
      <c r="BP104" s="683"/>
      <c r="BQ104" s="684"/>
      <c r="BR104" s="683"/>
      <c r="BS104" s="684"/>
      <c r="BT104" s="683"/>
      <c r="BU104" s="684"/>
      <c r="BV104" s="683"/>
      <c r="BW104" s="684"/>
      <c r="BX104" s="683"/>
      <c r="BY104" s="684"/>
      <c r="BZ104" s="683"/>
      <c r="CA104" s="684"/>
      <c r="CB104" s="683"/>
      <c r="CC104" s="684"/>
      <c r="CD104" s="683"/>
      <c r="CE104" s="684"/>
      <c r="CF104" s="683"/>
      <c r="CG104" s="684"/>
      <c r="CH104" s="683"/>
      <c r="CI104" s="684"/>
      <c r="CJ104" s="683"/>
      <c r="CK104" s="684"/>
      <c r="CL104" s="683"/>
      <c r="CM104" s="684"/>
      <c r="CN104" s="683"/>
      <c r="CO104" s="684"/>
      <c r="CP104" s="683"/>
      <c r="CQ104" s="684"/>
      <c r="CR104" s="683"/>
      <c r="CS104" s="684"/>
      <c r="CT104" s="683"/>
      <c r="CU104" s="684"/>
      <c r="CV104" s="683"/>
      <c r="CW104" s="684"/>
      <c r="CX104" s="683"/>
      <c r="CY104" s="684"/>
      <c r="CZ104" s="683"/>
      <c r="DA104" s="684"/>
      <c r="DB104" s="684"/>
      <c r="DC104" s="683"/>
      <c r="DD104" s="684"/>
      <c r="DE104" s="683"/>
      <c r="DF104" s="684"/>
      <c r="DG104" s="683"/>
      <c r="DH104" s="684"/>
      <c r="DI104" s="683"/>
      <c r="DJ104" s="684"/>
      <c r="DK104" s="683"/>
      <c r="DL104" s="684"/>
      <c r="DM104" s="683"/>
      <c r="DN104" s="684"/>
      <c r="DO104" s="683"/>
      <c r="DP104" s="684"/>
      <c r="DQ104" s="683"/>
      <c r="DR104" s="684"/>
      <c r="DS104" s="683"/>
      <c r="DT104" s="684"/>
      <c r="DU104" s="683"/>
      <c r="DV104" s="684"/>
      <c r="DW104" s="683"/>
      <c r="DX104" s="684"/>
      <c r="DY104" s="683"/>
      <c r="DZ104" s="684"/>
      <c r="EA104" s="683"/>
      <c r="EB104" s="684"/>
      <c r="EC104" s="683"/>
      <c r="ED104" s="684"/>
      <c r="EE104" s="683"/>
      <c r="EF104" s="684"/>
      <c r="EG104" s="683"/>
      <c r="EH104" s="684"/>
      <c r="EI104" s="683"/>
      <c r="EJ104" s="684"/>
      <c r="EK104" s="683"/>
      <c r="EL104" s="684"/>
      <c r="EM104" s="684"/>
    </row>
    <row r="105" spans="1:152" ht="12.75" hidden="1" customHeight="1" outlineLevel="1" x14ac:dyDescent="0.2">
      <c r="A105" s="685" t="s">
        <v>662</v>
      </c>
      <c r="B105" s="4"/>
      <c r="C105" s="686"/>
      <c r="D105" s="4"/>
      <c r="E105" s="686"/>
      <c r="F105" s="4"/>
      <c r="G105" s="686"/>
      <c r="H105" s="4"/>
      <c r="I105" s="686"/>
      <c r="J105" s="4"/>
      <c r="K105" s="686"/>
      <c r="L105" s="4"/>
      <c r="M105" s="686"/>
      <c r="N105" s="4"/>
      <c r="O105" s="686"/>
      <c r="P105" s="4"/>
      <c r="Q105" s="686"/>
      <c r="R105" s="4"/>
      <c r="S105" s="686"/>
      <c r="T105" s="4"/>
      <c r="U105" s="686"/>
      <c r="V105" s="4"/>
      <c r="W105" s="686"/>
      <c r="X105" s="4"/>
      <c r="Y105" s="686"/>
      <c r="Z105" s="4"/>
      <c r="AA105" s="686"/>
      <c r="AB105" s="4"/>
      <c r="AC105" s="686"/>
      <c r="AD105" s="4"/>
      <c r="AE105" s="686"/>
      <c r="AF105" s="4"/>
      <c r="AG105" s="686"/>
      <c r="AH105" s="4"/>
      <c r="AI105" s="686"/>
      <c r="AJ105" s="4"/>
      <c r="AK105" s="686"/>
      <c r="AL105" s="4"/>
      <c r="AM105" s="686"/>
      <c r="AN105" s="4"/>
      <c r="AO105" s="686"/>
      <c r="AP105" s="4"/>
      <c r="AQ105" s="686"/>
      <c r="AR105" s="4"/>
      <c r="AS105" s="686"/>
      <c r="AT105" s="4"/>
      <c r="AU105" s="686"/>
      <c r="AV105" s="4"/>
      <c r="AW105" s="686"/>
      <c r="AX105" s="4"/>
      <c r="AY105" s="686"/>
      <c r="AZ105" s="4"/>
      <c r="BA105" s="686"/>
      <c r="BB105" s="4"/>
      <c r="BC105" s="686"/>
      <c r="BD105" s="4"/>
      <c r="BE105" s="686"/>
      <c r="BF105" s="4"/>
      <c r="BG105" s="686"/>
      <c r="BH105" s="4"/>
      <c r="BI105" s="686"/>
      <c r="BJ105" s="4"/>
      <c r="BK105" s="686"/>
      <c r="BL105" s="4"/>
      <c r="BM105" s="686"/>
      <c r="BN105" s="4"/>
      <c r="BO105" s="686"/>
      <c r="BP105" s="4"/>
      <c r="BQ105" s="686"/>
      <c r="BR105" s="4"/>
      <c r="BS105" s="686"/>
      <c r="BT105" s="4"/>
      <c r="BU105" s="686"/>
      <c r="BV105" s="4"/>
      <c r="BW105" s="686"/>
      <c r="BX105" s="4"/>
      <c r="BY105" s="686"/>
      <c r="BZ105" s="4"/>
      <c r="CA105" s="686"/>
      <c r="CB105" s="4"/>
      <c r="CC105" s="686"/>
      <c r="CD105" s="4"/>
      <c r="CE105" s="686"/>
      <c r="CF105" s="4"/>
      <c r="CG105" s="686"/>
      <c r="CH105" s="4"/>
      <c r="CI105" s="686"/>
      <c r="CJ105" s="4"/>
      <c r="CK105" s="686"/>
      <c r="CL105" s="4"/>
      <c r="CM105" s="686"/>
      <c r="CN105" s="4"/>
      <c r="CO105" s="686"/>
      <c r="CP105" s="4"/>
      <c r="CQ105" s="686"/>
      <c r="CR105" s="4"/>
      <c r="CS105" s="686"/>
      <c r="CT105" s="4"/>
      <c r="CU105" s="686"/>
      <c r="CV105" s="4"/>
      <c r="CW105" s="686"/>
      <c r="CX105" s="4"/>
      <c r="CY105" s="686"/>
      <c r="CZ105" s="4"/>
      <c r="DA105" s="686"/>
      <c r="DB105" s="686"/>
      <c r="DC105" s="4"/>
      <c r="DD105" s="686"/>
      <c r="DE105" s="4"/>
      <c r="DF105" s="686"/>
      <c r="DG105" s="4"/>
      <c r="DH105" s="686"/>
      <c r="DI105" s="4"/>
      <c r="DJ105" s="686"/>
      <c r="DK105" s="4"/>
      <c r="DL105" s="686"/>
      <c r="DM105" s="4"/>
      <c r="DN105" s="686"/>
      <c r="DO105" s="4"/>
      <c r="DP105" s="686"/>
      <c r="DQ105" s="4"/>
      <c r="DR105" s="686"/>
      <c r="DS105" s="4"/>
      <c r="DT105" s="686"/>
      <c r="DU105" s="4"/>
      <c r="DV105" s="686"/>
      <c r="DW105" s="4"/>
      <c r="DX105" s="686"/>
      <c r="DY105" s="4"/>
      <c r="DZ105" s="686"/>
      <c r="EA105" s="4"/>
      <c r="EB105" s="686"/>
      <c r="EC105" s="4"/>
      <c r="ED105" s="686"/>
      <c r="EE105" s="4"/>
      <c r="EF105" s="686"/>
      <c r="EG105" s="4"/>
      <c r="EH105" s="686"/>
      <c r="EI105" s="4"/>
      <c r="EJ105" s="686"/>
      <c r="EK105" s="4"/>
      <c r="EL105" s="686"/>
      <c r="EM105" s="686"/>
    </row>
    <row r="106" spans="1:152" ht="12.75" hidden="1" customHeight="1" outlineLevel="1" x14ac:dyDescent="0.2">
      <c r="A106" s="637" t="str">
        <f>A$3</f>
        <v>($Millions Except Per Share Data)</v>
      </c>
      <c r="B106" s="640"/>
      <c r="C106" s="641" t="str">
        <f>C$3</f>
        <v>1Q06/</v>
      </c>
      <c r="D106" s="640"/>
      <c r="E106" s="641" t="str">
        <f>E$3</f>
        <v>2Q06/</v>
      </c>
      <c r="F106" s="640"/>
      <c r="G106" s="641" t="str">
        <f>G$3</f>
        <v>3Q06/</v>
      </c>
      <c r="H106" s="640"/>
      <c r="I106" s="641" t="str">
        <f>I$3</f>
        <v>4Q06/</v>
      </c>
      <c r="J106" s="640"/>
      <c r="K106" s="641" t="str">
        <f>K$3</f>
        <v>1Q07/</v>
      </c>
      <c r="L106" s="640"/>
      <c r="M106" s="641" t="str">
        <f>M$3</f>
        <v>2Q07/</v>
      </c>
      <c r="N106" s="640"/>
      <c r="O106" s="641" t="str">
        <f>O$3</f>
        <v>3Q07/</v>
      </c>
      <c r="P106" s="640"/>
      <c r="Q106" s="641" t="str">
        <f>Q$3</f>
        <v>4Q07/</v>
      </c>
      <c r="R106" s="640"/>
      <c r="S106" s="641" t="str">
        <f>S$3</f>
        <v>1Q08/</v>
      </c>
      <c r="T106" s="640"/>
      <c r="U106" s="641" t="str">
        <f>U$3</f>
        <v>2Q08/</v>
      </c>
      <c r="V106" s="640"/>
      <c r="W106" s="641" t="str">
        <f>W$3</f>
        <v>3Q08/</v>
      </c>
      <c r="X106" s="640"/>
      <c r="Y106" s="641" t="str">
        <f>Y$3</f>
        <v>4Q08/</v>
      </c>
      <c r="Z106" s="640"/>
      <c r="AA106" s="641" t="str">
        <f>AA$3</f>
        <v>1Q09/</v>
      </c>
      <c r="AB106" s="640"/>
      <c r="AC106" s="641" t="str">
        <f>AC$3</f>
        <v>2Q09/</v>
      </c>
      <c r="AD106" s="640"/>
      <c r="AE106" s="641" t="str">
        <f>AE$3</f>
        <v>3Q09/</v>
      </c>
      <c r="AF106" s="640"/>
      <c r="AG106" s="641" t="str">
        <f>AG$3</f>
        <v>4Q09/</v>
      </c>
      <c r="AH106" s="640"/>
      <c r="AI106" s="641" t="str">
        <f>AI$3</f>
        <v>1Q10/</v>
      </c>
      <c r="AJ106" s="640"/>
      <c r="AK106" s="641" t="str">
        <f>AK$3</f>
        <v>2Q10/</v>
      </c>
      <c r="AL106" s="640"/>
      <c r="AM106" s="641" t="str">
        <f>AM$3</f>
        <v>3Q10/</v>
      </c>
      <c r="AN106" s="640"/>
      <c r="AO106" s="641" t="str">
        <f>AO$3</f>
        <v>4Q10/</v>
      </c>
      <c r="AP106" s="640"/>
      <c r="AQ106" s="641" t="str">
        <f>AQ$3</f>
        <v>1Q11/</v>
      </c>
      <c r="AR106" s="640"/>
      <c r="AS106" s="641" t="str">
        <f>AS$3</f>
        <v>2Q11/</v>
      </c>
      <c r="AT106" s="640"/>
      <c r="AU106" s="641" t="str">
        <f>AU$3</f>
        <v>3Q11/</v>
      </c>
      <c r="AV106" s="640"/>
      <c r="AW106" s="641" t="str">
        <f>AW$3</f>
        <v>4Q11/</v>
      </c>
      <c r="AX106" s="640"/>
      <c r="AY106" s="641" t="str">
        <f>AY$3</f>
        <v>1Q12/</v>
      </c>
      <c r="AZ106" s="640"/>
      <c r="BA106" s="641" t="str">
        <f>BA$3</f>
        <v>2Q12/</v>
      </c>
      <c r="BB106" s="640"/>
      <c r="BC106" s="641" t="str">
        <f>BC$3</f>
        <v>3Q12/</v>
      </c>
      <c r="BD106" s="640"/>
      <c r="BE106" s="641" t="str">
        <f>BE$3</f>
        <v>4Q12/</v>
      </c>
      <c r="BF106" s="640"/>
      <c r="BG106" s="641" t="str">
        <f>BG$3</f>
        <v>1Q13/</v>
      </c>
      <c r="BH106" s="640"/>
      <c r="BI106" s="641" t="str">
        <f>BI$3</f>
        <v>2Q13/</v>
      </c>
      <c r="BJ106" s="640"/>
      <c r="BK106" s="641" t="str">
        <f>BK$3</f>
        <v>3Q13/</v>
      </c>
      <c r="BL106" s="640"/>
      <c r="BM106" s="641" t="str">
        <f>BM$3</f>
        <v>4Q13/</v>
      </c>
      <c r="BN106" s="640"/>
      <c r="BO106" s="641" t="str">
        <f>BO$3</f>
        <v>1Q14/</v>
      </c>
      <c r="BP106" s="640"/>
      <c r="BQ106" s="641" t="str">
        <f>BQ$3</f>
        <v>2Q14/</v>
      </c>
      <c r="BR106" s="640"/>
      <c r="BS106" s="641" t="str">
        <f>BS$3</f>
        <v>3Q14/</v>
      </c>
      <c r="BT106" s="640"/>
      <c r="BU106" s="641" t="str">
        <f>BU$3</f>
        <v>4Q14/</v>
      </c>
      <c r="BV106" s="640"/>
      <c r="BW106" s="641" t="str">
        <f>BW$3</f>
        <v>1Q15/</v>
      </c>
      <c r="BX106" s="640"/>
      <c r="BY106" s="641" t="str">
        <f>BY$3</f>
        <v>2Q15/</v>
      </c>
      <c r="BZ106" s="640"/>
      <c r="CA106" s="641" t="str">
        <f>CA$3</f>
        <v>3Q15/</v>
      </c>
      <c r="CB106" s="640"/>
      <c r="CC106" s="641" t="str">
        <f>CC$3</f>
        <v>4Q15/</v>
      </c>
      <c r="CD106" s="640"/>
      <c r="CE106" s="641" t="str">
        <f>CE$3</f>
        <v>1Q16/</v>
      </c>
      <c r="CF106" s="640"/>
      <c r="CG106" s="641" t="str">
        <f>CG$3</f>
        <v>2Q16/</v>
      </c>
      <c r="CH106" s="640"/>
      <c r="CI106" s="641" t="str">
        <f>CI$3</f>
        <v>3Q16/</v>
      </c>
      <c r="CJ106" s="640"/>
      <c r="CK106" s="641" t="str">
        <f>CK$3</f>
        <v>4Q16/</v>
      </c>
      <c r="CL106" s="640"/>
      <c r="CM106" s="641" t="str">
        <f>CM$3</f>
        <v>1Q17/</v>
      </c>
      <c r="CN106" s="640"/>
      <c r="CO106" s="641" t="str">
        <f t="shared" ref="CO106" si="57">CO$3</f>
        <v>2Q17/</v>
      </c>
      <c r="CP106" s="640"/>
      <c r="CQ106" s="641" t="str">
        <f t="shared" ref="CQ106" si="58">CQ$3</f>
        <v>3Q17/</v>
      </c>
      <c r="CR106" s="640"/>
      <c r="CS106" s="641" t="str">
        <f t="shared" ref="CS106" si="59">CS$3</f>
        <v>4Q17/</v>
      </c>
      <c r="CT106" s="640"/>
      <c r="CU106" s="641" t="str">
        <f>CU$3</f>
        <v>1Q18E/</v>
      </c>
      <c r="CV106" s="640"/>
      <c r="CW106" s="641" t="str">
        <f t="shared" ref="CW106" si="60">CW$3</f>
        <v>2Q18E/</v>
      </c>
      <c r="CX106" s="640"/>
      <c r="CY106" s="641" t="str">
        <f t="shared" ref="CY106" si="61">CY$3</f>
        <v>3Q18E/</v>
      </c>
      <c r="CZ106" s="640"/>
      <c r="DA106" s="641" t="str">
        <f t="shared" ref="DA106" si="62">DA$3</f>
        <v>4Q18E/</v>
      </c>
      <c r="DB106" s="640"/>
      <c r="DC106" s="640"/>
      <c r="DD106" s="641" t="str">
        <f>DD$3</f>
        <v>2005/</v>
      </c>
      <c r="DE106" s="640"/>
      <c r="DF106" s="641" t="str">
        <f>DF$3</f>
        <v>2006/</v>
      </c>
      <c r="DG106" s="640"/>
      <c r="DH106" s="641" t="str">
        <f>DH$3</f>
        <v>2007/</v>
      </c>
      <c r="DI106" s="640"/>
      <c r="DJ106" s="641" t="str">
        <f>DJ$3</f>
        <v>2008/</v>
      </c>
      <c r="DK106" s="640"/>
      <c r="DL106" s="641" t="str">
        <f>DL$3</f>
        <v>2009/</v>
      </c>
      <c r="DM106" s="640"/>
      <c r="DN106" s="641" t="str">
        <f>DN$3</f>
        <v>2010/</v>
      </c>
      <c r="DO106" s="640"/>
      <c r="DP106" s="641" t="str">
        <f>DP$3</f>
        <v>2011/</v>
      </c>
      <c r="DQ106" s="640"/>
      <c r="DR106" s="641" t="str">
        <f>DR$3</f>
        <v>2012/</v>
      </c>
      <c r="DS106" s="640"/>
      <c r="DT106" s="641" t="str">
        <f>DT$3</f>
        <v>2013/</v>
      </c>
      <c r="DU106" s="640"/>
      <c r="DV106" s="641" t="str">
        <f>DV$3</f>
        <v>2014/</v>
      </c>
      <c r="DW106" s="640"/>
      <c r="DX106" s="641" t="str">
        <f>DX$3</f>
        <v>2015/</v>
      </c>
      <c r="DY106" s="640"/>
      <c r="DZ106" s="641" t="str">
        <f>DZ$3</f>
        <v>2016/</v>
      </c>
      <c r="EA106" s="640"/>
      <c r="EB106" s="641" t="str">
        <f>EB$3</f>
        <v>2017/</v>
      </c>
      <c r="EC106" s="640"/>
      <c r="ED106" s="641" t="str">
        <f>ED$3</f>
        <v>2018E/</v>
      </c>
      <c r="EE106" s="640"/>
      <c r="EF106" s="641" t="str">
        <f>EF$3</f>
        <v>2019E/</v>
      </c>
      <c r="EG106" s="640"/>
      <c r="EH106" s="641" t="str">
        <f>EH$3</f>
        <v>2020E/</v>
      </c>
      <c r="EI106" s="640"/>
      <c r="EJ106" s="641" t="str">
        <f>EJ$3</f>
        <v>2021E/</v>
      </c>
      <c r="EK106" s="640"/>
      <c r="EL106" s="641" t="str">
        <f>EL$3</f>
        <v>2022E/</v>
      </c>
      <c r="EM106" s="641" t="str">
        <f>EM$3</f>
        <v>5-Yr</v>
      </c>
      <c r="EN106" s="638"/>
      <c r="EO106" s="638"/>
      <c r="EP106" s="638"/>
      <c r="EQ106" s="638"/>
      <c r="ER106" s="638"/>
      <c r="ES106" s="638"/>
      <c r="ET106" s="638"/>
      <c r="EU106" s="638"/>
      <c r="EV106" s="638"/>
    </row>
    <row r="107" spans="1:152" ht="12.75" hidden="1" customHeight="1" outlineLevel="1" x14ac:dyDescent="0.2">
      <c r="A107" s="693"/>
      <c r="B107" s="692"/>
      <c r="C107" s="686" t="str">
        <f>C$4</f>
        <v>1Q05</v>
      </c>
      <c r="D107" s="692"/>
      <c r="E107" s="686" t="str">
        <f>E$4</f>
        <v>2Q05</v>
      </c>
      <c r="F107" s="692"/>
      <c r="G107" s="686" t="str">
        <f>G$4</f>
        <v>3Q05</v>
      </c>
      <c r="H107" s="692"/>
      <c r="I107" s="686" t="str">
        <f>I$4</f>
        <v>4Q05</v>
      </c>
      <c r="J107" s="692"/>
      <c r="K107" s="686" t="str">
        <f>K$4</f>
        <v>1Q06</v>
      </c>
      <c r="L107" s="692"/>
      <c r="M107" s="686" t="str">
        <f>M$4</f>
        <v>2Q06</v>
      </c>
      <c r="N107" s="692"/>
      <c r="O107" s="686" t="str">
        <f>O$4</f>
        <v>3Q06</v>
      </c>
      <c r="P107" s="692"/>
      <c r="Q107" s="686" t="str">
        <f>Q$4</f>
        <v>4Q06</v>
      </c>
      <c r="R107" s="692"/>
      <c r="S107" s="686" t="str">
        <f>S$4</f>
        <v>1Q07</v>
      </c>
      <c r="T107" s="692"/>
      <c r="U107" s="686" t="str">
        <f>U$4</f>
        <v>2Q07</v>
      </c>
      <c r="V107" s="692"/>
      <c r="W107" s="686" t="str">
        <f>W$4</f>
        <v>3Q07</v>
      </c>
      <c r="X107" s="692"/>
      <c r="Y107" s="686" t="str">
        <f>Y$4</f>
        <v>4Q07</v>
      </c>
      <c r="Z107" s="692"/>
      <c r="AA107" s="686" t="str">
        <f>AA$4</f>
        <v>1Q08</v>
      </c>
      <c r="AB107" s="692"/>
      <c r="AC107" s="686" t="str">
        <f>AC$4</f>
        <v>2Q08</v>
      </c>
      <c r="AD107" s="692"/>
      <c r="AE107" s="686" t="str">
        <f>AE$4</f>
        <v>3Q08</v>
      </c>
      <c r="AF107" s="692"/>
      <c r="AG107" s="686" t="str">
        <f>AG$4</f>
        <v>4Q08</v>
      </c>
      <c r="AH107" s="692"/>
      <c r="AI107" s="686" t="str">
        <f>AI$4</f>
        <v>1Q09</v>
      </c>
      <c r="AJ107" s="692"/>
      <c r="AK107" s="686" t="str">
        <f>AK$4</f>
        <v>2Q09</v>
      </c>
      <c r="AL107" s="692"/>
      <c r="AM107" s="686" t="str">
        <f>AM$4</f>
        <v>3Q09</v>
      </c>
      <c r="AN107" s="692"/>
      <c r="AO107" s="686" t="str">
        <f>AO$4</f>
        <v>4Q09</v>
      </c>
      <c r="AP107" s="692"/>
      <c r="AQ107" s="686" t="str">
        <f>AQ$4</f>
        <v>1Q10</v>
      </c>
      <c r="AR107" s="692"/>
      <c r="AS107" s="686" t="str">
        <f>AS$4</f>
        <v>2Q10</v>
      </c>
      <c r="AT107" s="692"/>
      <c r="AU107" s="686" t="str">
        <f>AU$4</f>
        <v>3Q10</v>
      </c>
      <c r="AV107" s="692"/>
      <c r="AW107" s="686" t="str">
        <f>AW$4</f>
        <v>4Q10</v>
      </c>
      <c r="AX107" s="692"/>
      <c r="AY107" s="686" t="str">
        <f>AY$4</f>
        <v>1Q11</v>
      </c>
      <c r="AZ107" s="692"/>
      <c r="BA107" s="686" t="str">
        <f>BA$4</f>
        <v>2Q11</v>
      </c>
      <c r="BB107" s="692"/>
      <c r="BC107" s="686" t="str">
        <f>BC$4</f>
        <v>3Q11</v>
      </c>
      <c r="BD107" s="692"/>
      <c r="BE107" s="686" t="str">
        <f>BE$4</f>
        <v>4Q11</v>
      </c>
      <c r="BF107" s="692"/>
      <c r="BG107" s="686" t="str">
        <f>BG$4</f>
        <v>1Q12</v>
      </c>
      <c r="BH107" s="692"/>
      <c r="BI107" s="686" t="str">
        <f>BI$4</f>
        <v>2Q12</v>
      </c>
      <c r="BJ107" s="692"/>
      <c r="BK107" s="686" t="str">
        <f>BK$4</f>
        <v>3Q12</v>
      </c>
      <c r="BL107" s="692"/>
      <c r="BM107" s="686" t="str">
        <f>BM$4</f>
        <v>4Q12</v>
      </c>
      <c r="BN107" s="692"/>
      <c r="BO107" s="686" t="str">
        <f>BO$4</f>
        <v>1Q13</v>
      </c>
      <c r="BP107" s="692"/>
      <c r="BQ107" s="686" t="str">
        <f>BQ$4</f>
        <v>2Q13</v>
      </c>
      <c r="BR107" s="692"/>
      <c r="BS107" s="686" t="str">
        <f>BS$4</f>
        <v>3Q13</v>
      </c>
      <c r="BT107" s="692"/>
      <c r="BU107" s="686" t="str">
        <f>BU$4</f>
        <v>4Q13</v>
      </c>
      <c r="BV107" s="692"/>
      <c r="BW107" s="686" t="str">
        <f>BW$4</f>
        <v>1Q14</v>
      </c>
      <c r="BX107" s="692"/>
      <c r="BY107" s="686" t="str">
        <f>BY$4</f>
        <v>2Q14</v>
      </c>
      <c r="BZ107" s="692"/>
      <c r="CA107" s="686" t="str">
        <f>CA$4</f>
        <v>3Q14</v>
      </c>
      <c r="CB107" s="692"/>
      <c r="CC107" s="686" t="str">
        <f>CC$4</f>
        <v>4Q14</v>
      </c>
      <c r="CD107" s="692"/>
      <c r="CE107" s="686" t="str">
        <f>CE$4</f>
        <v>1Q15</v>
      </c>
      <c r="CF107" s="692"/>
      <c r="CG107" s="686" t="str">
        <f>CG$4</f>
        <v>2Q15</v>
      </c>
      <c r="CH107" s="692"/>
      <c r="CI107" s="686" t="str">
        <f>CI$4</f>
        <v>3Q15</v>
      </c>
      <c r="CJ107" s="692"/>
      <c r="CK107" s="686" t="str">
        <f>CK$4</f>
        <v>4Q15</v>
      </c>
      <c r="CL107" s="692"/>
      <c r="CM107" s="686" t="str">
        <f>CM$4</f>
        <v>1Q16</v>
      </c>
      <c r="CN107" s="692"/>
      <c r="CO107" s="686" t="str">
        <f t="shared" ref="CO107" si="63">CO$4</f>
        <v>2Q16</v>
      </c>
      <c r="CP107" s="692"/>
      <c r="CQ107" s="686" t="str">
        <f t="shared" ref="CQ107" si="64">CQ$4</f>
        <v>3Q16</v>
      </c>
      <c r="CR107" s="692"/>
      <c r="CS107" s="686" t="str">
        <f t="shared" ref="CS107" si="65">CS$4</f>
        <v>4Q16</v>
      </c>
      <c r="CT107" s="692"/>
      <c r="CU107" s="686" t="str">
        <f>CU$4</f>
        <v>1Q17</v>
      </c>
      <c r="CV107" s="692"/>
      <c r="CW107" s="686" t="str">
        <f t="shared" ref="CW107" si="66">CW$4</f>
        <v>2Q17</v>
      </c>
      <c r="CX107" s="692"/>
      <c r="CY107" s="686" t="str">
        <f t="shared" ref="CY107" si="67">CY$4</f>
        <v>3Q17</v>
      </c>
      <c r="CZ107" s="692"/>
      <c r="DA107" s="686" t="str">
        <f t="shared" ref="DA107" si="68">DA$4</f>
        <v>4Q17</v>
      </c>
      <c r="DB107" s="692"/>
      <c r="DC107" s="692"/>
      <c r="DD107" s="686">
        <f>DD$4</f>
        <v>2004</v>
      </c>
      <c r="DE107" s="692"/>
      <c r="DF107" s="686">
        <f>DF$4</f>
        <v>2005</v>
      </c>
      <c r="DG107" s="692"/>
      <c r="DH107" s="686">
        <f>DH$4</f>
        <v>2006</v>
      </c>
      <c r="DI107" s="692"/>
      <c r="DJ107" s="686">
        <f>DJ$4</f>
        <v>2007</v>
      </c>
      <c r="DK107" s="692"/>
      <c r="DL107" s="686">
        <f>DL$4</f>
        <v>2008</v>
      </c>
      <c r="DM107" s="692"/>
      <c r="DN107" s="686" t="str">
        <f>DN$4</f>
        <v>2009</v>
      </c>
      <c r="DO107" s="692"/>
      <c r="DP107" s="686" t="str">
        <f>DP$4</f>
        <v>2010</v>
      </c>
      <c r="DQ107" s="692"/>
      <c r="DR107" s="686" t="str">
        <f>DR$4</f>
        <v>2011</v>
      </c>
      <c r="DS107" s="692"/>
      <c r="DT107" s="686" t="str">
        <f>DT$4</f>
        <v>2012</v>
      </c>
      <c r="DU107" s="692"/>
      <c r="DV107" s="686" t="str">
        <f>DV$4</f>
        <v>2013</v>
      </c>
      <c r="DW107" s="692"/>
      <c r="DX107" s="686" t="str">
        <f>DX$4</f>
        <v>2014</v>
      </c>
      <c r="DY107" s="692"/>
      <c r="DZ107" s="686" t="str">
        <f>DZ$4</f>
        <v>2015</v>
      </c>
      <c r="EA107" s="692"/>
      <c r="EB107" s="686" t="str">
        <f>EB$4</f>
        <v>2016</v>
      </c>
      <c r="EC107" s="692"/>
      <c r="ED107" s="686" t="str">
        <f>ED$4</f>
        <v>2017</v>
      </c>
      <c r="EE107" s="692"/>
      <c r="EF107" s="686" t="str">
        <f>EF$4</f>
        <v>2018E</v>
      </c>
      <c r="EG107" s="692"/>
      <c r="EH107" s="686" t="str">
        <f>EH$4</f>
        <v>2019E</v>
      </c>
      <c r="EI107" s="692"/>
      <c r="EJ107" s="686" t="str">
        <f>EJ$4</f>
        <v>2020E</v>
      </c>
      <c r="EK107" s="692"/>
      <c r="EL107" s="686" t="str">
        <f>EL$4</f>
        <v>2021E</v>
      </c>
      <c r="EM107" s="686" t="str">
        <f>EM$4</f>
        <v>CAGR</v>
      </c>
    </row>
    <row r="108" spans="1:152" ht="12.75" hidden="1" customHeight="1" outlineLevel="1" x14ac:dyDescent="0.2">
      <c r="A108" s="694"/>
      <c r="B108" s="695" t="str">
        <f t="shared" ref="B108:BN108" si="69">B$5</f>
        <v>1Q06</v>
      </c>
      <c r="C108" s="696" t="str">
        <f t="shared" si="69"/>
        <v>% Chg</v>
      </c>
      <c r="D108" s="695" t="str">
        <f t="shared" si="69"/>
        <v>2Q06</v>
      </c>
      <c r="E108" s="696" t="str">
        <f t="shared" si="69"/>
        <v>% Chg</v>
      </c>
      <c r="F108" s="695" t="str">
        <f t="shared" si="69"/>
        <v>3Q06</v>
      </c>
      <c r="G108" s="696" t="str">
        <f t="shared" si="69"/>
        <v>% Chg</v>
      </c>
      <c r="H108" s="695" t="str">
        <f t="shared" si="69"/>
        <v>4Q06</v>
      </c>
      <c r="I108" s="696" t="str">
        <f t="shared" si="69"/>
        <v>% Chg</v>
      </c>
      <c r="J108" s="695" t="str">
        <f t="shared" si="69"/>
        <v>1Q07</v>
      </c>
      <c r="K108" s="696" t="str">
        <f t="shared" si="69"/>
        <v>% Chg</v>
      </c>
      <c r="L108" s="695" t="str">
        <f t="shared" si="69"/>
        <v>2Q07</v>
      </c>
      <c r="M108" s="696" t="str">
        <f t="shared" si="69"/>
        <v>% Chg</v>
      </c>
      <c r="N108" s="695" t="str">
        <f t="shared" si="69"/>
        <v>3Q07</v>
      </c>
      <c r="O108" s="696" t="str">
        <f t="shared" si="69"/>
        <v>% Chg</v>
      </c>
      <c r="P108" s="695" t="str">
        <f t="shared" si="69"/>
        <v>4Q07</v>
      </c>
      <c r="Q108" s="696" t="str">
        <f t="shared" si="69"/>
        <v>% Chg</v>
      </c>
      <c r="R108" s="695" t="str">
        <f t="shared" si="69"/>
        <v>1Q08</v>
      </c>
      <c r="S108" s="696" t="str">
        <f t="shared" si="69"/>
        <v>% Chg</v>
      </c>
      <c r="T108" s="695" t="str">
        <f t="shared" si="69"/>
        <v>2Q08</v>
      </c>
      <c r="U108" s="696" t="str">
        <f t="shared" si="69"/>
        <v>% Chg</v>
      </c>
      <c r="V108" s="695" t="str">
        <f t="shared" si="69"/>
        <v>3Q08</v>
      </c>
      <c r="W108" s="696" t="str">
        <f t="shared" si="69"/>
        <v>% Chg</v>
      </c>
      <c r="X108" s="695" t="str">
        <f t="shared" si="69"/>
        <v>4Q08</v>
      </c>
      <c r="Y108" s="696" t="str">
        <f t="shared" si="69"/>
        <v>% Chg</v>
      </c>
      <c r="Z108" s="695" t="str">
        <f t="shared" si="69"/>
        <v>1Q09</v>
      </c>
      <c r="AA108" s="696" t="str">
        <f t="shared" si="69"/>
        <v>% Chg</v>
      </c>
      <c r="AB108" s="695" t="str">
        <f t="shared" si="69"/>
        <v>2Q09</v>
      </c>
      <c r="AC108" s="696" t="str">
        <f t="shared" si="69"/>
        <v>% Chg</v>
      </c>
      <c r="AD108" s="695" t="str">
        <f t="shared" si="69"/>
        <v>3Q09</v>
      </c>
      <c r="AE108" s="696" t="str">
        <f t="shared" si="69"/>
        <v>% Chg</v>
      </c>
      <c r="AF108" s="695" t="str">
        <f t="shared" si="69"/>
        <v>4Q09</v>
      </c>
      <c r="AG108" s="696" t="str">
        <f t="shared" si="69"/>
        <v>% Chg</v>
      </c>
      <c r="AH108" s="695" t="str">
        <f t="shared" si="69"/>
        <v>1Q10</v>
      </c>
      <c r="AI108" s="696" t="str">
        <f t="shared" si="69"/>
        <v>% Chg</v>
      </c>
      <c r="AJ108" s="695" t="str">
        <f t="shared" si="69"/>
        <v>2Q10</v>
      </c>
      <c r="AK108" s="696" t="str">
        <f t="shared" si="69"/>
        <v>% Chg</v>
      </c>
      <c r="AL108" s="695" t="str">
        <f t="shared" si="69"/>
        <v>3Q10</v>
      </c>
      <c r="AM108" s="696" t="str">
        <f t="shared" si="69"/>
        <v>% Chg</v>
      </c>
      <c r="AN108" s="695" t="str">
        <f t="shared" si="69"/>
        <v>4Q10</v>
      </c>
      <c r="AO108" s="696" t="str">
        <f t="shared" si="69"/>
        <v>% Chg</v>
      </c>
      <c r="AP108" s="695" t="str">
        <f t="shared" si="69"/>
        <v>1Q11</v>
      </c>
      <c r="AQ108" s="696" t="str">
        <f t="shared" si="69"/>
        <v>% Chg</v>
      </c>
      <c r="AR108" s="695" t="str">
        <f t="shared" si="69"/>
        <v>2Q11</v>
      </c>
      <c r="AS108" s="696" t="str">
        <f t="shared" si="69"/>
        <v>% Chg</v>
      </c>
      <c r="AT108" s="695" t="str">
        <f t="shared" si="69"/>
        <v>3Q11</v>
      </c>
      <c r="AU108" s="696" t="str">
        <f t="shared" si="69"/>
        <v>% Chg</v>
      </c>
      <c r="AV108" s="695" t="str">
        <f t="shared" si="69"/>
        <v>4Q11</v>
      </c>
      <c r="AW108" s="696" t="str">
        <f t="shared" si="69"/>
        <v>% Chg</v>
      </c>
      <c r="AX108" s="695" t="str">
        <f t="shared" si="69"/>
        <v>1Q12</v>
      </c>
      <c r="AY108" s="696" t="str">
        <f t="shared" si="69"/>
        <v>% Chg</v>
      </c>
      <c r="AZ108" s="695" t="str">
        <f t="shared" si="69"/>
        <v>2Q12</v>
      </c>
      <c r="BA108" s="696" t="str">
        <f t="shared" si="69"/>
        <v>% Chg</v>
      </c>
      <c r="BB108" s="695" t="str">
        <f t="shared" si="69"/>
        <v>3Q12</v>
      </c>
      <c r="BC108" s="696" t="str">
        <f t="shared" si="69"/>
        <v>% Chg</v>
      </c>
      <c r="BD108" s="695" t="str">
        <f t="shared" si="69"/>
        <v>4Q12</v>
      </c>
      <c r="BE108" s="696" t="str">
        <f t="shared" si="69"/>
        <v>% Chg</v>
      </c>
      <c r="BF108" s="695" t="str">
        <f t="shared" si="69"/>
        <v>1Q13</v>
      </c>
      <c r="BG108" s="696" t="str">
        <f t="shared" si="69"/>
        <v>% Chg</v>
      </c>
      <c r="BH108" s="695" t="str">
        <f t="shared" si="69"/>
        <v>2Q13</v>
      </c>
      <c r="BI108" s="696" t="str">
        <f t="shared" si="69"/>
        <v>% Chg</v>
      </c>
      <c r="BJ108" s="695" t="str">
        <f t="shared" si="69"/>
        <v>3Q13</v>
      </c>
      <c r="BK108" s="696" t="str">
        <f t="shared" si="69"/>
        <v>% Chg</v>
      </c>
      <c r="BL108" s="695" t="str">
        <f t="shared" si="69"/>
        <v>4Q13</v>
      </c>
      <c r="BM108" s="696" t="str">
        <f t="shared" si="69"/>
        <v>% Chg</v>
      </c>
      <c r="BN108" s="695" t="str">
        <f t="shared" si="69"/>
        <v>1Q14</v>
      </c>
      <c r="BO108" s="696" t="str">
        <f t="shared" ref="BO108:DA108" si="70">BO$5</f>
        <v>% Chg</v>
      </c>
      <c r="BP108" s="695" t="str">
        <f t="shared" si="70"/>
        <v>2Q14</v>
      </c>
      <c r="BQ108" s="696" t="str">
        <f t="shared" si="70"/>
        <v>% Chg</v>
      </c>
      <c r="BR108" s="695" t="str">
        <f t="shared" si="70"/>
        <v>3Q14</v>
      </c>
      <c r="BS108" s="696" t="str">
        <f t="shared" si="70"/>
        <v>% Chg</v>
      </c>
      <c r="BT108" s="695" t="str">
        <f t="shared" si="70"/>
        <v>4Q14</v>
      </c>
      <c r="BU108" s="696" t="str">
        <f t="shared" si="70"/>
        <v>% Chg</v>
      </c>
      <c r="BV108" s="695" t="str">
        <f t="shared" si="70"/>
        <v>1Q15</v>
      </c>
      <c r="BW108" s="696" t="str">
        <f t="shared" si="70"/>
        <v>% Chg</v>
      </c>
      <c r="BX108" s="695" t="str">
        <f t="shared" si="70"/>
        <v>2Q15</v>
      </c>
      <c r="BY108" s="696" t="str">
        <f t="shared" si="70"/>
        <v>% Chg</v>
      </c>
      <c r="BZ108" s="695" t="str">
        <f t="shared" si="70"/>
        <v>3Q15</v>
      </c>
      <c r="CA108" s="696" t="str">
        <f t="shared" si="70"/>
        <v>% Chg</v>
      </c>
      <c r="CB108" s="695" t="str">
        <f t="shared" si="70"/>
        <v>4Q15</v>
      </c>
      <c r="CC108" s="696" t="str">
        <f t="shared" si="70"/>
        <v>% Chg</v>
      </c>
      <c r="CD108" s="695" t="str">
        <f t="shared" si="70"/>
        <v>1Q16</v>
      </c>
      <c r="CE108" s="696" t="str">
        <f t="shared" si="70"/>
        <v>% Chg</v>
      </c>
      <c r="CF108" s="695" t="str">
        <f t="shared" si="70"/>
        <v>2Q16</v>
      </c>
      <c r="CG108" s="696" t="str">
        <f t="shared" si="70"/>
        <v>% Chg</v>
      </c>
      <c r="CH108" s="695" t="str">
        <f t="shared" si="70"/>
        <v>3Q16</v>
      </c>
      <c r="CI108" s="696" t="str">
        <f t="shared" si="70"/>
        <v>% Chg</v>
      </c>
      <c r="CJ108" s="695" t="str">
        <f t="shared" si="70"/>
        <v>4Q16</v>
      </c>
      <c r="CK108" s="696" t="str">
        <f t="shared" si="70"/>
        <v>% Chg</v>
      </c>
      <c r="CL108" s="695" t="str">
        <f t="shared" si="70"/>
        <v>1Q17</v>
      </c>
      <c r="CM108" s="696" t="str">
        <f t="shared" si="70"/>
        <v>% Chg</v>
      </c>
      <c r="CN108" s="695" t="str">
        <f t="shared" si="70"/>
        <v>2Q17</v>
      </c>
      <c r="CO108" s="696" t="str">
        <f t="shared" si="70"/>
        <v>% Chg</v>
      </c>
      <c r="CP108" s="695" t="str">
        <f t="shared" si="70"/>
        <v>3Q17</v>
      </c>
      <c r="CQ108" s="696" t="str">
        <f t="shared" si="70"/>
        <v>% Chg</v>
      </c>
      <c r="CR108" s="695" t="str">
        <f t="shared" si="70"/>
        <v>4Q17</v>
      </c>
      <c r="CS108" s="696" t="str">
        <f t="shared" si="70"/>
        <v>% Chg</v>
      </c>
      <c r="CT108" s="695" t="str">
        <f t="shared" si="70"/>
        <v>1Q18E</v>
      </c>
      <c r="CU108" s="696" t="str">
        <f t="shared" si="70"/>
        <v>% Chg</v>
      </c>
      <c r="CV108" s="695" t="str">
        <f t="shared" si="70"/>
        <v>2Q18E</v>
      </c>
      <c r="CW108" s="696" t="str">
        <f t="shared" si="70"/>
        <v>% Chg</v>
      </c>
      <c r="CX108" s="695" t="str">
        <f t="shared" si="70"/>
        <v>3Q18E</v>
      </c>
      <c r="CY108" s="696" t="str">
        <f t="shared" si="70"/>
        <v>% Chg</v>
      </c>
      <c r="CZ108" s="695" t="str">
        <f t="shared" si="70"/>
        <v>4Q18E</v>
      </c>
      <c r="DA108" s="696" t="str">
        <f t="shared" si="70"/>
        <v>% Chg</v>
      </c>
      <c r="DB108" s="695"/>
      <c r="DC108" s="697">
        <f t="shared" ref="DC108:EM108" si="71">DC$5</f>
        <v>2005</v>
      </c>
      <c r="DD108" s="696" t="str">
        <f t="shared" si="71"/>
        <v>% Chg</v>
      </c>
      <c r="DE108" s="698">
        <f>$DE$5</f>
        <v>2006</v>
      </c>
      <c r="DF108" s="696" t="str">
        <f>INPUT!FS$6</f>
        <v>% Chg</v>
      </c>
      <c r="DG108" s="699">
        <f>$DG$5</f>
        <v>2007</v>
      </c>
      <c r="DH108" s="696" t="str">
        <f t="shared" si="71"/>
        <v>% Chg</v>
      </c>
      <c r="DI108" s="699">
        <f t="shared" si="71"/>
        <v>2008</v>
      </c>
      <c r="DJ108" s="696" t="str">
        <f t="shared" si="71"/>
        <v>% Chg</v>
      </c>
      <c r="DK108" s="695" t="str">
        <f t="shared" si="71"/>
        <v>2009</v>
      </c>
      <c r="DL108" s="696" t="str">
        <f t="shared" si="71"/>
        <v>% Chg</v>
      </c>
      <c r="DM108" s="695" t="str">
        <f t="shared" si="71"/>
        <v>2010</v>
      </c>
      <c r="DN108" s="696" t="str">
        <f t="shared" si="71"/>
        <v>% Chg</v>
      </c>
      <c r="DO108" s="695" t="str">
        <f t="shared" si="71"/>
        <v>2011</v>
      </c>
      <c r="DP108" s="696" t="str">
        <f t="shared" si="71"/>
        <v>% Chg</v>
      </c>
      <c r="DQ108" s="695" t="str">
        <f t="shared" si="71"/>
        <v>2012</v>
      </c>
      <c r="DR108" s="696" t="str">
        <f t="shared" si="71"/>
        <v>% Chg</v>
      </c>
      <c r="DS108" s="695" t="str">
        <f t="shared" si="71"/>
        <v>2013</v>
      </c>
      <c r="DT108" s="696" t="str">
        <f t="shared" si="71"/>
        <v>% Chg</v>
      </c>
      <c r="DU108" s="695" t="str">
        <f t="shared" si="71"/>
        <v>2014</v>
      </c>
      <c r="DV108" s="696" t="str">
        <f t="shared" si="71"/>
        <v>% Chg</v>
      </c>
      <c r="DW108" s="695" t="str">
        <f t="shared" si="71"/>
        <v>2015</v>
      </c>
      <c r="DX108" s="696" t="str">
        <f t="shared" si="71"/>
        <v>% Chg</v>
      </c>
      <c r="DY108" s="695" t="str">
        <f t="shared" si="71"/>
        <v>2016</v>
      </c>
      <c r="DZ108" s="696" t="str">
        <f t="shared" si="71"/>
        <v>% Chg</v>
      </c>
      <c r="EA108" s="695" t="str">
        <f t="shared" si="71"/>
        <v>2017</v>
      </c>
      <c r="EB108" s="696" t="str">
        <f t="shared" si="71"/>
        <v>% Chg</v>
      </c>
      <c r="EC108" s="695" t="str">
        <f t="shared" si="71"/>
        <v>2018E</v>
      </c>
      <c r="ED108" s="696" t="str">
        <f t="shared" si="71"/>
        <v>% Chg</v>
      </c>
      <c r="EE108" s="695" t="str">
        <f t="shared" si="71"/>
        <v>2019E</v>
      </c>
      <c r="EF108" s="696" t="str">
        <f t="shared" si="71"/>
        <v>% Chg</v>
      </c>
      <c r="EG108" s="695" t="str">
        <f t="shared" si="71"/>
        <v>2020E</v>
      </c>
      <c r="EH108" s="696" t="str">
        <f t="shared" si="71"/>
        <v>% Chg</v>
      </c>
      <c r="EI108" s="695" t="str">
        <f t="shared" si="71"/>
        <v>2021E</v>
      </c>
      <c r="EJ108" s="696" t="str">
        <f t="shared" si="71"/>
        <v>% Chg</v>
      </c>
      <c r="EK108" s="695" t="str">
        <f t="shared" si="71"/>
        <v>2022E</v>
      </c>
      <c r="EL108" s="696" t="str">
        <f t="shared" si="71"/>
        <v>% Chg</v>
      </c>
      <c r="EM108" s="696" t="str">
        <f t="shared" si="71"/>
        <v>(%)</v>
      </c>
    </row>
    <row r="109" spans="1:152" ht="12.75" hidden="1" customHeight="1" outlineLevel="1" x14ac:dyDescent="0.2">
      <c r="A109" s="700"/>
      <c r="B109" s="16"/>
      <c r="C109" s="687"/>
      <c r="D109" s="16"/>
      <c r="E109" s="687"/>
      <c r="F109" s="16"/>
      <c r="G109" s="687"/>
      <c r="H109" s="16"/>
      <c r="I109" s="687"/>
      <c r="J109" s="16"/>
      <c r="K109" s="687"/>
      <c r="L109" s="16"/>
      <c r="M109" s="687"/>
      <c r="N109" s="16"/>
      <c r="O109" s="687"/>
      <c r="P109" s="16"/>
      <c r="Q109" s="687"/>
      <c r="R109" s="16"/>
      <c r="S109" s="687"/>
      <c r="T109" s="16"/>
      <c r="U109" s="687"/>
      <c r="V109" s="16"/>
      <c r="W109" s="687"/>
      <c r="X109" s="16"/>
      <c r="Y109" s="687"/>
      <c r="Z109" s="16"/>
      <c r="AA109" s="687"/>
      <c r="AB109" s="16"/>
      <c r="AC109" s="687"/>
      <c r="AD109" s="16"/>
      <c r="AE109" s="687"/>
      <c r="AF109" s="16"/>
      <c r="AG109" s="687"/>
      <c r="AH109" s="16"/>
      <c r="AI109" s="687"/>
      <c r="AJ109" s="16"/>
      <c r="AK109" s="687"/>
      <c r="AL109" s="16"/>
      <c r="AM109" s="687"/>
      <c r="AN109" s="16"/>
      <c r="AO109" s="687"/>
      <c r="AP109" s="16"/>
      <c r="AQ109" s="687"/>
      <c r="AR109" s="16"/>
      <c r="AS109" s="687"/>
      <c r="AT109" s="16"/>
      <c r="AU109" s="687"/>
      <c r="AV109" s="16"/>
      <c r="AW109" s="687"/>
      <c r="AX109" s="16"/>
      <c r="AY109" s="687"/>
      <c r="AZ109" s="16"/>
      <c r="BA109" s="687"/>
      <c r="BB109" s="16"/>
      <c r="BC109" s="687"/>
      <c r="BD109" s="16"/>
      <c r="BE109" s="687"/>
      <c r="BF109" s="16"/>
      <c r="BG109" s="687"/>
      <c r="BH109" s="16"/>
      <c r="BI109" s="687"/>
      <c r="BJ109" s="16"/>
      <c r="BK109" s="687"/>
      <c r="BL109" s="16"/>
      <c r="BM109" s="687"/>
      <c r="BN109" s="16"/>
      <c r="BO109" s="687"/>
      <c r="BP109" s="16"/>
      <c r="BQ109" s="687"/>
      <c r="BR109" s="16"/>
      <c r="BS109" s="687"/>
      <c r="BT109" s="16"/>
      <c r="BU109" s="687"/>
      <c r="BV109" s="16"/>
      <c r="BW109" s="687"/>
      <c r="BX109" s="16"/>
      <c r="BY109" s="687"/>
      <c r="BZ109" s="16"/>
      <c r="CA109" s="687"/>
      <c r="CB109" s="16"/>
      <c r="CC109" s="687"/>
      <c r="CD109" s="16"/>
      <c r="CE109" s="687"/>
      <c r="CF109" s="16"/>
      <c r="CG109" s="687"/>
      <c r="CH109" s="16"/>
      <c r="CI109" s="687"/>
      <c r="CJ109" s="16"/>
      <c r="CK109" s="687"/>
      <c r="CL109" s="16"/>
      <c r="CM109" s="687"/>
      <c r="CN109" s="16"/>
      <c r="CO109" s="687"/>
      <c r="CP109" s="16"/>
      <c r="CQ109" s="687"/>
      <c r="CR109" s="16"/>
      <c r="CS109" s="687"/>
      <c r="CT109" s="16"/>
      <c r="CU109" s="687"/>
      <c r="CV109" s="16"/>
      <c r="CW109" s="687"/>
      <c r="CX109" s="16"/>
      <c r="CY109" s="687"/>
      <c r="CZ109" s="16"/>
      <c r="DA109" s="687"/>
      <c r="DB109" s="16"/>
      <c r="DC109" s="16"/>
      <c r="DD109" s="687"/>
      <c r="DE109" s="16"/>
      <c r="DF109" s="687"/>
      <c r="DG109" s="16"/>
      <c r="DH109" s="687"/>
      <c r="DI109" s="16"/>
      <c r="DJ109" s="687"/>
      <c r="DK109" s="16"/>
      <c r="DL109" s="687"/>
      <c r="DM109" s="16"/>
      <c r="DN109" s="687"/>
      <c r="DO109" s="16"/>
      <c r="DP109" s="687"/>
      <c r="DQ109" s="16"/>
      <c r="DR109" s="687"/>
      <c r="DS109" s="16"/>
      <c r="DT109" s="687"/>
      <c r="DU109" s="16"/>
      <c r="DV109" s="687"/>
      <c r="DW109" s="16"/>
      <c r="DX109" s="687"/>
      <c r="DY109" s="16"/>
      <c r="DZ109" s="687"/>
      <c r="EA109" s="16"/>
      <c r="EB109" s="687"/>
      <c r="EC109" s="16"/>
      <c r="ED109" s="687"/>
      <c r="EE109" s="16"/>
      <c r="EF109" s="687"/>
      <c r="EG109" s="16"/>
      <c r="EH109" s="687"/>
      <c r="EI109" s="16"/>
      <c r="EJ109" s="687"/>
      <c r="EK109" s="16"/>
      <c r="EL109" s="687"/>
      <c r="EM109" s="687"/>
    </row>
    <row r="110" spans="1:152" ht="12.75" hidden="1" customHeight="1" outlineLevel="1" x14ac:dyDescent="0.2">
      <c r="A110" s="700" t="s">
        <v>7</v>
      </c>
      <c r="B110" s="16"/>
      <c r="C110" s="687"/>
      <c r="D110" s="16"/>
      <c r="E110" s="687"/>
      <c r="F110" s="16"/>
      <c r="G110" s="687"/>
      <c r="H110" s="16"/>
      <c r="I110" s="687"/>
      <c r="J110" s="16"/>
      <c r="K110" s="687"/>
      <c r="L110" s="16"/>
      <c r="M110" s="687"/>
      <c r="N110" s="16"/>
      <c r="O110" s="687"/>
      <c r="P110" s="16"/>
      <c r="Q110" s="687"/>
      <c r="R110" s="16"/>
      <c r="S110" s="687"/>
      <c r="T110" s="16"/>
      <c r="U110" s="687"/>
      <c r="V110" s="16"/>
      <c r="W110" s="687"/>
      <c r="X110" s="16"/>
      <c r="Y110" s="687"/>
      <c r="Z110" s="16"/>
      <c r="AA110" s="687"/>
      <c r="AB110" s="16"/>
      <c r="AC110" s="687"/>
      <c r="AD110" s="16"/>
      <c r="AE110" s="687"/>
      <c r="AF110" s="16"/>
      <c r="AG110" s="687"/>
      <c r="AH110" s="16"/>
      <c r="AI110" s="687"/>
      <c r="AJ110" s="16"/>
      <c r="AK110" s="687"/>
      <c r="AL110" s="16"/>
      <c r="AM110" s="687"/>
      <c r="AN110" s="16"/>
      <c r="AO110" s="687"/>
      <c r="AP110" s="16"/>
      <c r="AQ110" s="687"/>
      <c r="AR110" s="16"/>
      <c r="AS110" s="687"/>
      <c r="AT110" s="16"/>
      <c r="AU110" s="687"/>
      <c r="AV110" s="16"/>
      <c r="AW110" s="687"/>
      <c r="AX110" s="16"/>
      <c r="AY110" s="687"/>
      <c r="AZ110" s="16"/>
      <c r="BA110" s="687"/>
      <c r="BB110" s="16"/>
      <c r="BC110" s="687"/>
      <c r="BD110" s="16"/>
      <c r="BE110" s="687"/>
      <c r="BF110" s="16"/>
      <c r="BG110" s="687"/>
      <c r="BH110" s="16"/>
      <c r="BI110" s="687"/>
      <c r="BJ110" s="16"/>
      <c r="BK110" s="687"/>
      <c r="BL110" s="16"/>
      <c r="BM110" s="687"/>
      <c r="BN110" s="16"/>
      <c r="BO110" s="687"/>
      <c r="BP110" s="16"/>
      <c r="BQ110" s="687"/>
      <c r="BR110" s="16"/>
      <c r="BS110" s="687"/>
      <c r="BT110" s="16"/>
      <c r="BU110" s="687"/>
      <c r="BV110" s="16"/>
      <c r="BW110" s="687"/>
      <c r="BX110" s="16"/>
      <c r="BY110" s="687"/>
      <c r="BZ110" s="16"/>
      <c r="CA110" s="687"/>
      <c r="CB110" s="16"/>
      <c r="CC110" s="687"/>
      <c r="CD110" s="16"/>
      <c r="CE110" s="687"/>
      <c r="CF110" s="16"/>
      <c r="CG110" s="687"/>
      <c r="CH110" s="16"/>
      <c r="CI110" s="687"/>
      <c r="CJ110" s="16"/>
      <c r="CK110" s="687"/>
      <c r="CL110" s="16"/>
      <c r="CM110" s="687"/>
      <c r="CN110" s="16"/>
      <c r="CO110" s="687"/>
      <c r="CP110" s="16"/>
      <c r="CQ110" s="687"/>
      <c r="CR110" s="16"/>
      <c r="CS110" s="687"/>
      <c r="CT110" s="16"/>
      <c r="CU110" s="687"/>
      <c r="CV110" s="16"/>
      <c r="CW110" s="687"/>
      <c r="CX110" s="16"/>
      <c r="CY110" s="687"/>
      <c r="CZ110" s="16"/>
      <c r="DA110" s="687"/>
      <c r="DB110" s="16"/>
      <c r="DC110" s="16"/>
      <c r="DD110" s="687"/>
      <c r="DE110" s="16"/>
      <c r="DF110" s="687"/>
      <c r="DG110" s="16"/>
      <c r="DH110" s="687"/>
      <c r="DI110" s="16"/>
      <c r="DJ110" s="687"/>
      <c r="DK110" s="16"/>
      <c r="DL110" s="687"/>
      <c r="DM110" s="16"/>
      <c r="DN110" s="687"/>
      <c r="DO110" s="16"/>
      <c r="DP110" s="687"/>
      <c r="DQ110" s="16"/>
      <c r="DR110" s="687"/>
      <c r="DS110" s="16"/>
      <c r="DT110" s="687"/>
      <c r="DU110" s="16"/>
      <c r="DV110" s="687"/>
      <c r="DW110" s="16"/>
      <c r="DX110" s="687"/>
      <c r="DY110" s="16"/>
      <c r="DZ110" s="687"/>
      <c r="EA110" s="16"/>
      <c r="EB110" s="687"/>
      <c r="EC110" s="16"/>
      <c r="ED110" s="687"/>
      <c r="EE110" s="16"/>
      <c r="EF110" s="687"/>
      <c r="EG110" s="16"/>
      <c r="EH110" s="687"/>
      <c r="EI110" s="16"/>
      <c r="EJ110" s="687"/>
      <c r="EK110" s="16"/>
      <c r="EL110" s="687"/>
      <c r="EM110" s="687"/>
    </row>
    <row r="111" spans="1:152" ht="12.75" hidden="1" customHeight="1" outlineLevel="1" x14ac:dyDescent="0.2">
      <c r="A111" s="701" t="str">
        <f>INPUT!B236</f>
        <v xml:space="preserve">Premiums </v>
      </c>
      <c r="B111" s="151">
        <f>INPUT!AY236</f>
        <v>51.1</v>
      </c>
      <c r="C111" s="687">
        <f>INPUT!AZ236</f>
        <v>12.307692307692308</v>
      </c>
      <c r="D111" s="151">
        <f>INPUT!BA236</f>
        <v>89.9</v>
      </c>
      <c r="E111" s="687">
        <f>INPUT!BB236</f>
        <v>88.075313807531401</v>
      </c>
      <c r="F111" s="151">
        <f>INPUT!BC236</f>
        <v>87</v>
      </c>
      <c r="G111" s="687">
        <f>INPUT!BD236</f>
        <v>83.544303797468359</v>
      </c>
      <c r="H111" s="151">
        <f>INPUT!BE236</f>
        <v>93.5</v>
      </c>
      <c r="I111" s="687">
        <f>INPUT!BF236</f>
        <v>62.045060658578841</v>
      </c>
      <c r="J111" s="151">
        <f>INPUT!BG236</f>
        <v>87.7</v>
      </c>
      <c r="K111" s="687">
        <f>INPUT!BH236</f>
        <v>71.624266144814101</v>
      </c>
      <c r="L111" s="151">
        <f>INPUT!BI236</f>
        <v>87.8</v>
      </c>
      <c r="M111" s="687">
        <f>INPUT!BJ236</f>
        <v>-2.3359288097886677</v>
      </c>
      <c r="N111" s="151">
        <f>INPUT!BK236</f>
        <v>84.7</v>
      </c>
      <c r="O111" s="687">
        <f>INPUT!BL236</f>
        <v>-2.6436781609195381</v>
      </c>
      <c r="P111" s="151">
        <f>INPUT!BM236</f>
        <v>90.1</v>
      </c>
      <c r="Q111" s="687">
        <f>INPUT!BN236</f>
        <v>-3.6363636363636376</v>
      </c>
      <c r="R111" s="151">
        <f>INPUT!BO236</f>
        <v>86.4</v>
      </c>
      <c r="S111" s="687">
        <f>INPUT!BP236</f>
        <v>-1.4823261117445807</v>
      </c>
      <c r="T111" s="151">
        <f>INPUT!BQ236</f>
        <v>89.4</v>
      </c>
      <c r="U111" s="687">
        <f>INPUT!BR236</f>
        <v>1.822323462414599</v>
      </c>
      <c r="V111" s="151">
        <f>INPUT!BS236</f>
        <v>90.9</v>
      </c>
      <c r="W111" s="687">
        <f>INPUT!BT236</f>
        <v>7.3199527744982396</v>
      </c>
      <c r="X111" s="151">
        <f>INPUT!BU236</f>
        <v>93.6</v>
      </c>
      <c r="Y111" s="687">
        <f>INPUT!BV236</f>
        <v>3.8845726970033301</v>
      </c>
      <c r="Z111" s="151">
        <f>INPUT!BW236</f>
        <v>90.5</v>
      </c>
      <c r="AA111" s="687">
        <f>INPUT!BX236</f>
        <v>4.745370370370372</v>
      </c>
      <c r="AB111" s="151">
        <f>INPUT!BY236</f>
        <v>93.3</v>
      </c>
      <c r="AC111" s="687">
        <f>INPUT!BZ236</f>
        <v>4.3624161073825496</v>
      </c>
      <c r="AD111" s="151">
        <f>INPUT!CA236</f>
        <v>93.5</v>
      </c>
      <c r="AE111" s="687">
        <f>INPUT!CB236</f>
        <v>2.8602860286028431</v>
      </c>
      <c r="AF111" s="151">
        <f>INPUT!CC236</f>
        <v>115.2</v>
      </c>
      <c r="AG111" s="687">
        <f>INPUT!CD236</f>
        <v>23.076923076923084</v>
      </c>
      <c r="AH111" s="151">
        <f>INPUT!CE236</f>
        <v>112.3</v>
      </c>
      <c r="AI111" s="687">
        <f>INPUT!CF236</f>
        <v>24.08839779005525</v>
      </c>
      <c r="AJ111" s="151">
        <f>INPUT!CG236</f>
        <v>107.5</v>
      </c>
      <c r="AK111" s="687">
        <f>INPUT!CH236</f>
        <v>15.219721329046099</v>
      </c>
      <c r="AL111" s="151">
        <f>INPUT!CI236</f>
        <v>107.5</v>
      </c>
      <c r="AM111" s="687">
        <f>INPUT!CJ236</f>
        <v>14.973262032085554</v>
      </c>
      <c r="AN111" s="151">
        <f>INPUT!CK236</f>
        <v>112.1</v>
      </c>
      <c r="AO111" s="687">
        <f>INPUT!CL236</f>
        <v>-2.6909722222222321</v>
      </c>
      <c r="AP111" s="151">
        <f>INPUT!CM236</f>
        <v>108</v>
      </c>
      <c r="AQ111" s="687">
        <f>INPUT!CN236</f>
        <v>-3.8290293855743562</v>
      </c>
      <c r="AR111" s="151">
        <f>INPUT!CO236</f>
        <v>112</v>
      </c>
      <c r="AS111" s="687">
        <f>INPUT!CP236</f>
        <v>4.1860465116279055</v>
      </c>
      <c r="AT111" s="151">
        <f>INPUT!CQ236</f>
        <v>104</v>
      </c>
      <c r="AU111" s="687">
        <f>INPUT!CR236</f>
        <v>-3.2558139534883734</v>
      </c>
      <c r="AV111" s="151">
        <f>INPUT!CS236</f>
        <v>117</v>
      </c>
      <c r="AW111" s="687">
        <f>INPUT!CT236</f>
        <v>4.3710972346119537</v>
      </c>
      <c r="AX111" s="151">
        <f>INPUT!CU236</f>
        <v>109</v>
      </c>
      <c r="AY111" s="687">
        <f>INPUT!CV236</f>
        <v>0.92592592592593004</v>
      </c>
      <c r="AZ111" s="151">
        <f>INPUT!CW236</f>
        <v>114</v>
      </c>
      <c r="BA111" s="687">
        <f>INPUT!CX236</f>
        <v>1.7857142857142794</v>
      </c>
      <c r="BB111" s="151">
        <f>INPUT!CY236</f>
        <v>103</v>
      </c>
      <c r="BC111" s="687">
        <f>INPUT!CZ236</f>
        <v>-0.96153846153845812</v>
      </c>
      <c r="BD111" s="151">
        <f>INPUT!DA236</f>
        <v>116</v>
      </c>
      <c r="BE111" s="687">
        <f>INPUT!DB236</f>
        <v>-0.85470085470085166</v>
      </c>
      <c r="BF111" s="151">
        <f>INPUT!DC236</f>
        <v>113</v>
      </c>
      <c r="BG111" s="687">
        <f>INPUT!DD236</f>
        <v>3.669724770642202</v>
      </c>
      <c r="BH111" s="151">
        <f>INPUT!DE236</f>
        <v>119</v>
      </c>
      <c r="BI111" s="687">
        <f>INPUT!DF236</f>
        <v>4.3859649122806932</v>
      </c>
      <c r="BJ111" s="151">
        <f>INPUT!DG236</f>
        <v>125</v>
      </c>
      <c r="BK111" s="687">
        <f>INPUT!DH236</f>
        <v>21.359223300970864</v>
      </c>
      <c r="BL111" s="151">
        <f>INPUT!DI236</f>
        <v>129</v>
      </c>
      <c r="BM111" s="687">
        <f>INPUT!DJ236</f>
        <v>11.206896551724132</v>
      </c>
      <c r="BN111" s="151">
        <f>INPUT!DK236</f>
        <v>132</v>
      </c>
      <c r="BO111" s="687">
        <f>INPUT!DL236</f>
        <v>16.814159292035402</v>
      </c>
      <c r="BP111" s="151">
        <f>INPUT!DM236</f>
        <v>139</v>
      </c>
      <c r="BQ111" s="687">
        <f>INPUT!DN236</f>
        <v>16.806722689075638</v>
      </c>
      <c r="BR111" s="151">
        <f>INPUT!DO236</f>
        <v>153</v>
      </c>
      <c r="BS111" s="687">
        <f>INPUT!DP236</f>
        <v>22.4</v>
      </c>
      <c r="BT111" s="151">
        <f>INPUT!DQ236</f>
        <v>133</v>
      </c>
      <c r="BU111" s="687">
        <f>INPUT!DR236</f>
        <v>3.1007751937984551</v>
      </c>
      <c r="BV111" s="151">
        <f>INPUT!DS236</f>
        <v>149</v>
      </c>
      <c r="BW111" s="687">
        <f>INPUT!DT236</f>
        <v>12.87878787878789</v>
      </c>
      <c r="BX111" s="151">
        <f>INPUT!DU236</f>
        <v>160</v>
      </c>
      <c r="BY111" s="687">
        <f>INPUT!DV236</f>
        <v>15.107913669064743</v>
      </c>
      <c r="BZ111" s="151">
        <f>INPUT!DW236</f>
        <v>166</v>
      </c>
      <c r="CA111" s="687">
        <f>INPUT!DX236</f>
        <v>166</v>
      </c>
      <c r="CB111" s="151">
        <f>INPUT!DY236</f>
        <v>174</v>
      </c>
      <c r="CC111" s="687">
        <f>INPUT!DZ236</f>
        <v>30.827067669172937</v>
      </c>
      <c r="CD111" s="151">
        <f>INPUT!EA236</f>
        <v>172</v>
      </c>
      <c r="CE111" s="687">
        <f>INPUT!EB236</f>
        <v>15.436241610738266</v>
      </c>
      <c r="CF111" s="151">
        <f>INPUT!EC236</f>
        <v>177</v>
      </c>
      <c r="CG111" s="687">
        <f>INPUT!ED236</f>
        <v>10.624999999999996</v>
      </c>
      <c r="CH111" s="151">
        <f>INPUT!EE236</f>
        <v>174</v>
      </c>
      <c r="CI111" s="687">
        <f>INPUT!EF236</f>
        <v>4.8192771084337283</v>
      </c>
      <c r="CJ111" s="151">
        <f>INPUT!EG236</f>
        <v>179</v>
      </c>
      <c r="CK111" s="687">
        <f>INPUT!EH236</f>
        <v>2.8735632183908066</v>
      </c>
      <c r="CL111" s="151">
        <f>INPUT!EI236</f>
        <v>185</v>
      </c>
      <c r="CM111" s="687">
        <f>INPUT!EJ236</f>
        <v>7.5581395348837122</v>
      </c>
      <c r="CN111" s="151">
        <f>INPUT!EK236</f>
        <v>199</v>
      </c>
      <c r="CO111" s="687">
        <f>INPUT!EL236</f>
        <v>12.429378531073443</v>
      </c>
      <c r="CP111" s="151">
        <f>INPUT!EM236</f>
        <v>191</v>
      </c>
      <c r="CQ111" s="687">
        <f>INPUT!EN236</f>
        <v>9.7701149425287284</v>
      </c>
      <c r="CR111" s="151">
        <f>INPUT!EO236</f>
        <v>199</v>
      </c>
      <c r="CS111" s="687">
        <f>INPUT!EP236</f>
        <v>11.17318435754191</v>
      </c>
      <c r="CT111" s="151">
        <f>INPUT!EQ236</f>
        <v>201.57742709625131</v>
      </c>
      <c r="CU111" s="687">
        <f>INPUT!ER236</f>
        <v>8.9607714033790984</v>
      </c>
      <c r="CV111" s="151">
        <f>INPUT!ES236</f>
        <v>202.90087420800953</v>
      </c>
      <c r="CW111" s="687">
        <f>INPUT!ET236</f>
        <v>1.9602382954821751</v>
      </c>
      <c r="CX111" s="151">
        <f>INPUT!EU236</f>
        <v>204.79151022424227</v>
      </c>
      <c r="CY111" s="687">
        <f>INPUT!EV236</f>
        <v>7.2206859812786739</v>
      </c>
      <c r="CZ111" s="151">
        <f>INPUT!EW236</f>
        <v>207.33096325596156</v>
      </c>
      <c r="DA111" s="687">
        <f>INPUT!EX236</f>
        <v>4.1864136964630871</v>
      </c>
      <c r="DB111" s="16"/>
      <c r="DC111" s="151">
        <f>INPUT!FP236</f>
        <v>198.39999999999998</v>
      </c>
      <c r="DD111" s="687">
        <f>INPUT!FQ236</f>
        <v>2.268041237113394</v>
      </c>
      <c r="DE111" s="151">
        <f>INPUT!FR236</f>
        <v>321.5</v>
      </c>
      <c r="DF111" s="687">
        <f>INPUT!FS236</f>
        <v>62.04637096774195</v>
      </c>
      <c r="DG111" s="151">
        <f>INPUT!FT236</f>
        <v>350.29999999999995</v>
      </c>
      <c r="DH111" s="687">
        <f>INPUT!FU236</f>
        <v>8.9580093312596976</v>
      </c>
      <c r="DI111" s="151">
        <f>INPUT!FV236</f>
        <v>360.30000000000007</v>
      </c>
      <c r="DJ111" s="687">
        <f>INPUT!FW236</f>
        <v>2.8546959748787071</v>
      </c>
      <c r="DK111" s="151">
        <f>INPUT!FX236</f>
        <v>392.5</v>
      </c>
      <c r="DL111" s="687">
        <f>INPUT!FY236</f>
        <v>8.9369969469885966</v>
      </c>
      <c r="DM111" s="151">
        <f>INPUT!FZ236</f>
        <v>439.4</v>
      </c>
      <c r="DN111" s="687">
        <f>INPUT!GA236</f>
        <v>11.949044585987245</v>
      </c>
      <c r="DO111" s="151">
        <f>INPUT!GB236</f>
        <v>441</v>
      </c>
      <c r="DP111" s="687">
        <f>INPUT!GC236</f>
        <v>0.36413290851160518</v>
      </c>
      <c r="DQ111" s="151">
        <f>INPUT!GD236</f>
        <v>442</v>
      </c>
      <c r="DR111" s="687">
        <f>INPUT!GE236</f>
        <v>0.22675736961450532</v>
      </c>
      <c r="DS111" s="151">
        <f>INPUT!GF236</f>
        <v>486</v>
      </c>
      <c r="DT111" s="687">
        <f>INPUT!GG236</f>
        <v>9.9547511312217285</v>
      </c>
      <c r="DU111" s="151">
        <f>INPUT!GH236</f>
        <v>557</v>
      </c>
      <c r="DV111" s="687">
        <f>INPUT!GI236</f>
        <v>14.609053497942392</v>
      </c>
      <c r="DW111" s="151">
        <f>INPUT!GJ236</f>
        <v>649</v>
      </c>
      <c r="DX111" s="687">
        <f>INPUT!GK236</f>
        <v>16.517055655296218</v>
      </c>
      <c r="DY111" s="151">
        <f>INPUT!GL236</f>
        <v>702</v>
      </c>
      <c r="DZ111" s="687">
        <f>INPUT!GM236</f>
        <v>8.166409861325107</v>
      </c>
      <c r="EA111" s="151">
        <f>INPUT!GN236</f>
        <v>774</v>
      </c>
      <c r="EB111" s="687">
        <f>INPUT!GO236</f>
        <v>10.256410256410264</v>
      </c>
      <c r="EC111" s="151">
        <f>INPUT!GP236</f>
        <v>816.60077478446476</v>
      </c>
      <c r="ED111" s="687">
        <f>INPUT!GQ236</f>
        <v>5.5039760703442742</v>
      </c>
      <c r="EE111" s="151">
        <f>INPUT!GR236</f>
        <v>844.71633412084952</v>
      </c>
      <c r="EF111" s="687">
        <f>INPUT!GS236</f>
        <v>3.4429993461377206</v>
      </c>
      <c r="EG111" s="151">
        <f>INPUT!GT236</f>
        <v>871.11748531828232</v>
      </c>
      <c r="EH111" s="687">
        <f>INPUT!GU236</f>
        <v>3.125445801271276</v>
      </c>
      <c r="EI111" s="151">
        <f>INPUT!GV236</f>
        <v>899.40366194728915</v>
      </c>
      <c r="EJ111" s="687">
        <f>INPUT!GW236</f>
        <v>3.2471138630252527</v>
      </c>
      <c r="EK111" s="151">
        <f>INPUT!GX236</f>
        <v>929.65637647782034</v>
      </c>
      <c r="EL111" s="687">
        <f>INPUT!GY236</f>
        <v>3.363641467172962</v>
      </c>
      <c r="EM111" s="687">
        <f>INPUT!GZ236</f>
        <v>3.7328472064992235</v>
      </c>
    </row>
    <row r="112" spans="1:152" ht="12.75" hidden="1" customHeight="1" outlineLevel="1" x14ac:dyDescent="0.2">
      <c r="A112" s="701" t="str">
        <f>INPUT!B237</f>
        <v>M&amp;E Fees, Surrender Chrgs, Other</v>
      </c>
      <c r="B112" s="151">
        <f>INPUT!AY237</f>
        <v>209.89999999999998</v>
      </c>
      <c r="C112" s="687">
        <f>INPUT!AZ237</f>
        <v>1.7943743937924195</v>
      </c>
      <c r="D112" s="151">
        <f>INPUT!BA237</f>
        <v>395.59999999999997</v>
      </c>
      <c r="E112" s="687">
        <f>INPUT!BB237</f>
        <v>97.997997997997999</v>
      </c>
      <c r="F112" s="151">
        <f>INPUT!BC237</f>
        <v>393.9</v>
      </c>
      <c r="G112" s="687" t="str">
        <f>INPUT!BD237</f>
        <v>NM</v>
      </c>
      <c r="H112" s="151">
        <f>INPUT!BE237</f>
        <v>423.79999999999995</v>
      </c>
      <c r="I112" s="687">
        <f>INPUT!BF237</f>
        <v>96.203703703703681</v>
      </c>
      <c r="J112" s="151">
        <f>INPUT!BG237</f>
        <v>429.7</v>
      </c>
      <c r="K112" s="687" t="str">
        <f>INPUT!BH237</f>
        <v>NM</v>
      </c>
      <c r="L112" s="151">
        <f>INPUT!BI237</f>
        <v>376.4</v>
      </c>
      <c r="M112" s="687">
        <f>INPUT!BJ237</f>
        <v>-4.8533872598584438</v>
      </c>
      <c r="N112" s="151">
        <f>INPUT!BK237</f>
        <v>474.7</v>
      </c>
      <c r="O112" s="687">
        <f>INPUT!BL237</f>
        <v>20.512820512820507</v>
      </c>
      <c r="P112" s="151">
        <f>INPUT!BM237</f>
        <v>461.8</v>
      </c>
      <c r="Q112" s="687">
        <f>INPUT!BN237</f>
        <v>8.9664936290703388</v>
      </c>
      <c r="R112" s="151">
        <f>INPUT!BO237</f>
        <v>467.4</v>
      </c>
      <c r="S112" s="687">
        <f>INPUT!BP237</f>
        <v>8.7735629508959754</v>
      </c>
      <c r="T112" s="151">
        <f>INPUT!BQ237</f>
        <v>477.30000000000007</v>
      </c>
      <c r="U112" s="687">
        <f>INPUT!BR237</f>
        <v>26.806588735387905</v>
      </c>
      <c r="V112" s="151">
        <f>INPUT!BS237</f>
        <v>460.59999999999997</v>
      </c>
      <c r="W112" s="687">
        <f>INPUT!BT237</f>
        <v>-2.9702970297029729</v>
      </c>
      <c r="X112" s="151">
        <f>INPUT!BU237</f>
        <v>502.3</v>
      </c>
      <c r="Y112" s="687">
        <f>INPUT!BV237</f>
        <v>8.7700303161541768</v>
      </c>
      <c r="Z112" s="151">
        <f>INPUT!BW237</f>
        <v>488.00000000000006</v>
      </c>
      <c r="AA112" s="687">
        <f>INPUT!BX237</f>
        <v>4.4073598630723243</v>
      </c>
      <c r="AB112" s="151">
        <f>INPUT!BY237</f>
        <v>455.6</v>
      </c>
      <c r="AC112" s="687">
        <f>INPUT!BZ237</f>
        <v>-4.5464068719882729</v>
      </c>
      <c r="AD112" s="151">
        <f>INPUT!CA237</f>
        <v>500.3</v>
      </c>
      <c r="AE112" s="687">
        <f>INPUT!CB237</f>
        <v>8.6191923577942031</v>
      </c>
      <c r="AF112" s="151">
        <f>INPUT!CC237</f>
        <v>482.5</v>
      </c>
      <c r="AG112" s="687">
        <f>INPUT!CD237</f>
        <v>-3.9418674099144013</v>
      </c>
      <c r="AH112" s="151">
        <f>INPUT!CE237</f>
        <v>485.59999999999997</v>
      </c>
      <c r="AI112" s="687">
        <f>INPUT!CF237</f>
        <v>-0.49180327868854068</v>
      </c>
      <c r="AJ112" s="151">
        <f>INPUT!CG237</f>
        <v>483.50000000000006</v>
      </c>
      <c r="AK112" s="687">
        <f>INPUT!CH237</f>
        <v>6.1237928007023879</v>
      </c>
      <c r="AL112" s="151">
        <f>INPUT!CI237</f>
        <v>457.59999999999997</v>
      </c>
      <c r="AM112" s="687">
        <f>INPUT!CJ237</f>
        <v>-8.5348790725564783</v>
      </c>
      <c r="AN112" s="151">
        <f>INPUT!CK237</f>
        <v>537.4</v>
      </c>
      <c r="AO112" s="687">
        <f>INPUT!CL237</f>
        <v>11.378238341968917</v>
      </c>
      <c r="AP112" s="151">
        <f>INPUT!CM237</f>
        <v>459</v>
      </c>
      <c r="AQ112" s="687">
        <f>INPUT!CN237</f>
        <v>-5.4777594728171231</v>
      </c>
      <c r="AR112" s="151">
        <f>INPUT!CO237</f>
        <v>529</v>
      </c>
      <c r="AS112" s="687">
        <f>INPUT!CP237</f>
        <v>9.4105480868665872</v>
      </c>
      <c r="AT112" s="151">
        <f>INPUT!CQ237</f>
        <v>503.59999999999997</v>
      </c>
      <c r="AU112" s="687">
        <f>INPUT!CR237</f>
        <v>10.052447552447564</v>
      </c>
      <c r="AV112" s="151">
        <f>INPUT!CS237</f>
        <v>512</v>
      </c>
      <c r="AW112" s="687">
        <f>INPUT!CT237</f>
        <v>-4.7264607368812772</v>
      </c>
      <c r="AX112" s="151">
        <f>INPUT!CU237</f>
        <v>530</v>
      </c>
      <c r="AY112" s="687">
        <f>INPUT!CV237</f>
        <v>15.468409586056641</v>
      </c>
      <c r="AZ112" s="151">
        <f>INPUT!CW237</f>
        <v>515</v>
      </c>
      <c r="BA112" s="687">
        <f>INPUT!CX237</f>
        <v>-2.6465028355387554</v>
      </c>
      <c r="BB112" s="151">
        <f>INPUT!CY237</f>
        <v>615</v>
      </c>
      <c r="BC112" s="687">
        <f>INPUT!CZ237</f>
        <v>22.120730738681505</v>
      </c>
      <c r="BD112" s="151">
        <f>INPUT!DA237</f>
        <v>557</v>
      </c>
      <c r="BE112" s="687">
        <f>INPUT!DB237</f>
        <v>8.7890625</v>
      </c>
      <c r="BF112" s="151">
        <f>INPUT!DC237</f>
        <v>543</v>
      </c>
      <c r="BG112" s="687">
        <f>INPUT!DD237</f>
        <v>2.4528301886792558</v>
      </c>
      <c r="BH112" s="151">
        <f>INPUT!DE237</f>
        <v>540</v>
      </c>
      <c r="BI112" s="687">
        <f>INPUT!DF237</f>
        <v>4.8543689320388328</v>
      </c>
      <c r="BJ112" s="151">
        <f>INPUT!DG237</f>
        <v>561</v>
      </c>
      <c r="BK112" s="687">
        <f>INPUT!DH237</f>
        <v>-8.7804878048780459</v>
      </c>
      <c r="BL112" s="151">
        <f>INPUT!DI237</f>
        <v>588</v>
      </c>
      <c r="BM112" s="687">
        <f>INPUT!DJ237</f>
        <v>5.5655296229802476</v>
      </c>
      <c r="BN112" s="151">
        <f>INPUT!DK237</f>
        <v>581</v>
      </c>
      <c r="BO112" s="687">
        <f>INPUT!DL237</f>
        <v>6.9981583793738533</v>
      </c>
      <c r="BP112" s="151">
        <f>INPUT!DM237</f>
        <v>592</v>
      </c>
      <c r="BQ112" s="687">
        <f>INPUT!DN237</f>
        <v>9.6296296296296333</v>
      </c>
      <c r="BR112" s="151">
        <f>INPUT!DO237</f>
        <v>657</v>
      </c>
      <c r="BS112" s="687">
        <f>INPUT!DP237</f>
        <v>17.112299465240643</v>
      </c>
      <c r="BT112" s="151">
        <f>INPUT!DQ237</f>
        <v>1086</v>
      </c>
      <c r="BU112" s="687">
        <f>INPUT!DR237</f>
        <v>84.693877551020407</v>
      </c>
      <c r="BV112" s="151">
        <f>INPUT!DS237</f>
        <v>657</v>
      </c>
      <c r="BW112" s="687">
        <f>INPUT!DT237</f>
        <v>13.080895008605854</v>
      </c>
      <c r="BX112" s="151">
        <f>INPUT!DU237</f>
        <v>657</v>
      </c>
      <c r="BY112" s="687">
        <f>INPUT!DV237</f>
        <v>10.979729729729737</v>
      </c>
      <c r="BZ112" s="151">
        <f>INPUT!DW237</f>
        <v>899</v>
      </c>
      <c r="CA112" s="687">
        <f>INPUT!DX237</f>
        <v>899</v>
      </c>
      <c r="CB112" s="151">
        <f>INPUT!DY237</f>
        <v>546</v>
      </c>
      <c r="CC112" s="687">
        <f>INPUT!DZ237</f>
        <v>-49.723756906077341</v>
      </c>
      <c r="CD112" s="151">
        <f>INPUT!EA237</f>
        <v>695</v>
      </c>
      <c r="CE112" s="687">
        <f>INPUT!EB237</f>
        <v>5.7838660578386714</v>
      </c>
      <c r="CF112" s="151">
        <f>INPUT!EC237</f>
        <v>728</v>
      </c>
      <c r="CG112" s="687">
        <f>INPUT!ED237</f>
        <v>10.806697108066965</v>
      </c>
      <c r="CH112" s="151">
        <f>INPUT!EE237</f>
        <v>791</v>
      </c>
      <c r="CI112" s="687">
        <f>INPUT!EF237</f>
        <v>-12.013348164627368</v>
      </c>
      <c r="CJ112" s="151">
        <f>INPUT!EG237</f>
        <v>769</v>
      </c>
      <c r="CK112" s="687">
        <f>INPUT!EH237</f>
        <v>40.842490842490854</v>
      </c>
      <c r="CL112" s="151">
        <f>INPUT!EI237</f>
        <v>763</v>
      </c>
      <c r="CM112" s="687">
        <f>INPUT!EJ237</f>
        <v>9.7841726618705049</v>
      </c>
      <c r="CN112" s="151">
        <f>INPUT!EK237</f>
        <v>784</v>
      </c>
      <c r="CO112" s="687">
        <f>INPUT!EL237</f>
        <v>7.6923076923076872</v>
      </c>
      <c r="CP112" s="151">
        <f>INPUT!EM237</f>
        <v>768</v>
      </c>
      <c r="CQ112" s="687">
        <f>INPUT!EN237</f>
        <v>-2.9077117572692823</v>
      </c>
      <c r="CR112" s="151">
        <f>INPUT!EO237</f>
        <v>826</v>
      </c>
      <c r="CS112" s="687">
        <f>INPUT!EP237</f>
        <v>7.4122236671001263</v>
      </c>
      <c r="CT112" s="151">
        <f>INPUT!EQ237</f>
        <v>811.44740039622241</v>
      </c>
      <c r="CU112" s="687">
        <f>INPUT!ER237</f>
        <v>6.3495937609727937</v>
      </c>
      <c r="CV112" s="151">
        <f>INPUT!ES237</f>
        <v>816.77492011838501</v>
      </c>
      <c r="CW112" s="687">
        <f>INPUT!ET237</f>
        <v>4.1804745048960479</v>
      </c>
      <c r="CX112" s="151">
        <f>INPUT!EU237</f>
        <v>824.38565165002103</v>
      </c>
      <c r="CY112" s="687">
        <f>INPUT!EV237</f>
        <v>7.3418817252631552</v>
      </c>
      <c r="CZ112" s="151">
        <f>INPUT!EW237</f>
        <v>834.60818792653095</v>
      </c>
      <c r="DA112" s="687">
        <f>INPUT!EX237</f>
        <v>1.0421535020013195</v>
      </c>
      <c r="DB112" s="16"/>
      <c r="DC112" s="151">
        <f>INPUT!FP237</f>
        <v>803.5</v>
      </c>
      <c r="DD112" s="687">
        <f>INPUT!FQ237</f>
        <v>4.6223958333333259</v>
      </c>
      <c r="DE112" s="151">
        <f>INPUT!FR237</f>
        <v>1423.1999999999998</v>
      </c>
      <c r="DF112" s="687">
        <f>INPUT!FS237</f>
        <v>77.125077784691953</v>
      </c>
      <c r="DG112" s="151">
        <f>INPUT!FT237</f>
        <v>1742.6</v>
      </c>
      <c r="DH112" s="687">
        <f>INPUT!FU237</f>
        <v>22.44238336143902</v>
      </c>
      <c r="DI112" s="151">
        <f>INPUT!FV237</f>
        <v>1907.6</v>
      </c>
      <c r="DJ112" s="687">
        <f>INPUT!FW237</f>
        <v>9.4686101228049999</v>
      </c>
      <c r="DK112" s="151">
        <f>INPUT!FX237</f>
        <v>1926.4</v>
      </c>
      <c r="DL112" s="687">
        <f>INPUT!FY237</f>
        <v>0.98553155797862502</v>
      </c>
      <c r="DM112" s="151">
        <f>INPUT!FZ237</f>
        <v>1964.1</v>
      </c>
      <c r="DN112" s="687">
        <f>INPUT!GA237</f>
        <v>1.9570182724252483</v>
      </c>
      <c r="DO112" s="151">
        <f>INPUT!GB237</f>
        <v>2003.6</v>
      </c>
      <c r="DP112" s="687">
        <f>INPUT!GC237</f>
        <v>2.011099231200042</v>
      </c>
      <c r="DQ112" s="151">
        <f>INPUT!GD237</f>
        <v>2217</v>
      </c>
      <c r="DR112" s="687">
        <f>INPUT!GE237</f>
        <v>10.650828508684373</v>
      </c>
      <c r="DS112" s="151">
        <f>INPUT!GF237</f>
        <v>2232</v>
      </c>
      <c r="DT112" s="687">
        <f>INPUT!GG237</f>
        <v>0.67658998646820123</v>
      </c>
      <c r="DU112" s="151">
        <f>INPUT!GH237</f>
        <v>2916</v>
      </c>
      <c r="DV112" s="687">
        <f>INPUT!GI237</f>
        <v>30.645161290322577</v>
      </c>
      <c r="DW112" s="151">
        <f>INPUT!GJ237</f>
        <v>2759</v>
      </c>
      <c r="DX112" s="687">
        <f>INPUT!GK237</f>
        <v>-5.3840877914951957</v>
      </c>
      <c r="DY112" s="151">
        <f>INPUT!GL237</f>
        <v>2983</v>
      </c>
      <c r="DZ112" s="687">
        <f>INPUT!GM237</f>
        <v>8.1188836534976438</v>
      </c>
      <c r="EA112" s="151">
        <f>INPUT!GN237</f>
        <v>3141</v>
      </c>
      <c r="EB112" s="687">
        <f>INPUT!GO237</f>
        <v>5.2966811934294311</v>
      </c>
      <c r="EC112" s="151">
        <f>INPUT!GP237</f>
        <v>3287.2161600911595</v>
      </c>
      <c r="ED112" s="687">
        <f>INPUT!GQ237</f>
        <v>4.6550830974581237</v>
      </c>
      <c r="EE112" s="151">
        <f>INPUT!GR237</f>
        <v>3400.3949909892317</v>
      </c>
      <c r="EF112" s="687">
        <f>INPUT!GS237</f>
        <v>3.4429993461377206</v>
      </c>
      <c r="EG112" s="151">
        <f>INPUT!GT237</f>
        <v>3506.6724934617437</v>
      </c>
      <c r="EH112" s="687">
        <f>INPUT!GU237</f>
        <v>3.125445801271276</v>
      </c>
      <c r="EI112" s="151">
        <f>INPUT!GV237</f>
        <v>3620.538142127833</v>
      </c>
      <c r="EJ112" s="687">
        <f>INPUT!GW237</f>
        <v>3.2471138630252527</v>
      </c>
      <c r="EK112" s="151">
        <f>INPUT!GX237</f>
        <v>3742.320064411259</v>
      </c>
      <c r="EL112" s="687">
        <f>INPUT!GY237</f>
        <v>3.3636414671729842</v>
      </c>
      <c r="EM112" s="687">
        <f>INPUT!GZ237</f>
        <v>3.5653788833178934</v>
      </c>
    </row>
    <row r="113" spans="1:143" ht="12.75" hidden="1" customHeight="1" outlineLevel="1" x14ac:dyDescent="0.2">
      <c r="A113" s="701" t="str">
        <f>INPUT!B238</f>
        <v>Investment Income</v>
      </c>
      <c r="B113" s="151">
        <f>INPUT!AY238</f>
        <v>239.5</v>
      </c>
      <c r="C113" s="687">
        <f>INPUT!AZ238</f>
        <v>6.9673961589995503</v>
      </c>
      <c r="D113" s="151">
        <f>INPUT!BA238</f>
        <v>415.9</v>
      </c>
      <c r="E113" s="687">
        <f>INPUT!BB238</f>
        <v>82.572431957857745</v>
      </c>
      <c r="F113" s="151">
        <f>INPUT!BC238</f>
        <v>414.4</v>
      </c>
      <c r="G113" s="687">
        <f>INPUT!BD238</f>
        <v>80.566448801742908</v>
      </c>
      <c r="H113" s="151">
        <f>INPUT!BE238</f>
        <v>441.1</v>
      </c>
      <c r="I113" s="687">
        <f>INPUT!BF238</f>
        <v>93.890109890109912</v>
      </c>
      <c r="J113" s="151">
        <f>INPUT!BG238</f>
        <v>454</v>
      </c>
      <c r="K113" s="687">
        <f>INPUT!BH238</f>
        <v>89.561586638830889</v>
      </c>
      <c r="L113" s="151">
        <f>INPUT!BI238</f>
        <v>493.3</v>
      </c>
      <c r="M113" s="687">
        <f>INPUT!BJ238</f>
        <v>18.610242846838187</v>
      </c>
      <c r="N113" s="151">
        <f>INPUT!BK238</f>
        <v>496.3</v>
      </c>
      <c r="O113" s="687">
        <f>INPUT!BL238</f>
        <v>19.76351351351353</v>
      </c>
      <c r="P113" s="151">
        <f>INPUT!BM238</f>
        <v>516.29999999999995</v>
      </c>
      <c r="Q113" s="687">
        <f>INPUT!BN238</f>
        <v>17.04828836998411</v>
      </c>
      <c r="R113" s="151">
        <f>INPUT!BO238</f>
        <v>499.3</v>
      </c>
      <c r="S113" s="687">
        <f>INPUT!BP238</f>
        <v>9.9779735682819393</v>
      </c>
      <c r="T113" s="151">
        <f>INPUT!BQ238</f>
        <v>519.20000000000005</v>
      </c>
      <c r="U113" s="687">
        <f>INPUT!BR238</f>
        <v>5.2503547536995709</v>
      </c>
      <c r="V113" s="151">
        <f>INPUT!BS238</f>
        <v>522.4</v>
      </c>
      <c r="W113" s="687">
        <f>INPUT!BT238</f>
        <v>5.2589159782389538</v>
      </c>
      <c r="X113" s="151">
        <f>INPUT!BU238</f>
        <v>446.9</v>
      </c>
      <c r="Y113" s="687">
        <f>INPUT!BV238</f>
        <v>-13.441797404609723</v>
      </c>
      <c r="Z113" s="151">
        <f>INPUT!BW238</f>
        <v>497.7</v>
      </c>
      <c r="AA113" s="687">
        <f>INPUT!BX238</f>
        <v>-0.32044862807931729</v>
      </c>
      <c r="AB113" s="151">
        <f>INPUT!BY238</f>
        <v>453.3</v>
      </c>
      <c r="AC113" s="687">
        <f>INPUT!BZ238</f>
        <v>-12.692604006163332</v>
      </c>
      <c r="AD113" s="151">
        <f>INPUT!CA238</f>
        <v>495.3</v>
      </c>
      <c r="AE113" s="687">
        <f>INPUT!CB238</f>
        <v>-5.1875957120980036</v>
      </c>
      <c r="AF113" s="151">
        <f>INPUT!CC238</f>
        <v>528.20000000000005</v>
      </c>
      <c r="AG113" s="687">
        <f>INPUT!CD238</f>
        <v>18.191989259342158</v>
      </c>
      <c r="AH113" s="151">
        <f>INPUT!CE238</f>
        <v>530.1</v>
      </c>
      <c r="AI113" s="687">
        <f>INPUT!CF238</f>
        <v>6.5099457504520952</v>
      </c>
      <c r="AJ113" s="151">
        <f>INPUT!CG238</f>
        <v>545</v>
      </c>
      <c r="AK113" s="687">
        <f>INPUT!CH238</f>
        <v>20.229428634458422</v>
      </c>
      <c r="AL113" s="151">
        <f>INPUT!CI238</f>
        <v>542.79999999999995</v>
      </c>
      <c r="AM113" s="687">
        <f>INPUT!CJ238</f>
        <v>9.5901473854229646</v>
      </c>
      <c r="AN113" s="151">
        <f>INPUT!CK238</f>
        <v>567.9</v>
      </c>
      <c r="AO113" s="687">
        <f>INPUT!CL238</f>
        <v>7.516092389246487</v>
      </c>
      <c r="AP113" s="151">
        <f>INPUT!CM238</f>
        <v>579</v>
      </c>
      <c r="AQ113" s="687">
        <f>INPUT!CN238</f>
        <v>9.2246745897000437</v>
      </c>
      <c r="AR113" s="151">
        <f>INPUT!CO238</f>
        <v>588</v>
      </c>
      <c r="AS113" s="687">
        <f>INPUT!CP238</f>
        <v>7.8899082568807399</v>
      </c>
      <c r="AT113" s="151">
        <f>INPUT!CQ238</f>
        <v>568.70000000000005</v>
      </c>
      <c r="AU113" s="687">
        <f>INPUT!CR238</f>
        <v>4.771554900515862</v>
      </c>
      <c r="AV113" s="151">
        <f>INPUT!CS238</f>
        <v>558</v>
      </c>
      <c r="AW113" s="687">
        <f>INPUT!CT238</f>
        <v>-1.7432646592709933</v>
      </c>
      <c r="AX113" s="151">
        <f>INPUT!CU238</f>
        <v>588</v>
      </c>
      <c r="AY113" s="687">
        <f>INPUT!CV238</f>
        <v>1.5544041450777257</v>
      </c>
      <c r="AZ113" s="151">
        <f>INPUT!CW238</f>
        <v>606</v>
      </c>
      <c r="BA113" s="687">
        <f>INPUT!CX238</f>
        <v>3.0612244897959107</v>
      </c>
      <c r="BB113" s="151">
        <f>INPUT!CY238</f>
        <v>578</v>
      </c>
      <c r="BC113" s="687">
        <f>INPUT!CZ238</f>
        <v>1.6353085985581162</v>
      </c>
      <c r="BD113" s="151">
        <f>INPUT!DA238</f>
        <v>624</v>
      </c>
      <c r="BE113" s="687">
        <f>INPUT!DB238</f>
        <v>11.827956989247301</v>
      </c>
      <c r="BF113" s="151">
        <f>INPUT!DC238</f>
        <v>585</v>
      </c>
      <c r="BG113" s="687">
        <f>INPUT!DD238</f>
        <v>-0.51020408163264808</v>
      </c>
      <c r="BH113" s="151">
        <f>INPUT!DE238</f>
        <v>625</v>
      </c>
      <c r="BI113" s="687">
        <f>INPUT!DF238</f>
        <v>3.1353135313531455</v>
      </c>
      <c r="BJ113" s="151">
        <f>INPUT!DG238</f>
        <v>615</v>
      </c>
      <c r="BK113" s="687">
        <f>INPUT!DH238</f>
        <v>6.4013840830449809</v>
      </c>
      <c r="BL113" s="151">
        <f>INPUT!DI238</f>
        <v>627</v>
      </c>
      <c r="BM113" s="687">
        <f>INPUT!DJ238</f>
        <v>0.48076923076922906</v>
      </c>
      <c r="BN113" s="151">
        <f>INPUT!DK238</f>
        <v>624</v>
      </c>
      <c r="BO113" s="687">
        <f>INPUT!DL238</f>
        <v>6.6666666666666652</v>
      </c>
      <c r="BP113" s="151">
        <f>INPUT!DM238</f>
        <v>632</v>
      </c>
      <c r="BQ113" s="687">
        <f>INPUT!DN238</f>
        <v>1.1200000000000099</v>
      </c>
      <c r="BR113" s="151">
        <f>INPUT!DO238</f>
        <v>636</v>
      </c>
      <c r="BS113" s="687">
        <f>INPUT!DP238</f>
        <v>3.4146341463414664</v>
      </c>
      <c r="BT113" s="151">
        <f>INPUT!DQ238</f>
        <v>639</v>
      </c>
      <c r="BU113" s="687">
        <f>INPUT!DR238</f>
        <v>1.9138755980861344</v>
      </c>
      <c r="BV113" s="151">
        <f>INPUT!DS238</f>
        <v>626</v>
      </c>
      <c r="BW113" s="687">
        <f>INPUT!DT238</f>
        <v>0.32051282051281937</v>
      </c>
      <c r="BX113" s="151">
        <f>INPUT!DU238</f>
        <v>626</v>
      </c>
      <c r="BY113" s="687">
        <f>INPUT!DV238</f>
        <v>-0.9493670886076</v>
      </c>
      <c r="BZ113" s="151">
        <f>INPUT!DW238</f>
        <v>662</v>
      </c>
      <c r="CA113" s="687">
        <f>INPUT!DX238</f>
        <v>662</v>
      </c>
      <c r="CB113" s="151">
        <f>INPUT!DY238</f>
        <v>628</v>
      </c>
      <c r="CC113" s="687">
        <f>INPUT!DZ238</f>
        <v>-1.7214397496087663</v>
      </c>
      <c r="CD113" s="151">
        <f>INPUT!EA238</f>
        <v>611</v>
      </c>
      <c r="CE113" s="687">
        <f>INPUT!EB238</f>
        <v>-2.3961661341853069</v>
      </c>
      <c r="CF113" s="151">
        <f>INPUT!EC238</f>
        <v>633</v>
      </c>
      <c r="CG113" s="687">
        <f>INPUT!ED238</f>
        <v>1.1182108626198062</v>
      </c>
      <c r="CH113" s="151">
        <f>INPUT!EE238</f>
        <v>665</v>
      </c>
      <c r="CI113" s="687">
        <f>INPUT!EF238</f>
        <v>0.45317220543805714</v>
      </c>
      <c r="CJ113" s="151">
        <f>INPUT!EG238</f>
        <v>652</v>
      </c>
      <c r="CK113" s="687">
        <f>INPUT!EH238</f>
        <v>3.8216560509554132</v>
      </c>
      <c r="CL113" s="151">
        <f>INPUT!EI238</f>
        <v>658</v>
      </c>
      <c r="CM113" s="687">
        <f>INPUT!EJ238</f>
        <v>7.6923076923076872</v>
      </c>
      <c r="CN113" s="151">
        <f>INPUT!EK238</f>
        <v>672</v>
      </c>
      <c r="CO113" s="687">
        <f>INPUT!EL238</f>
        <v>6.1611374407583019</v>
      </c>
      <c r="CP113" s="151">
        <f>INPUT!EM238</f>
        <v>655</v>
      </c>
      <c r="CQ113" s="687">
        <f>INPUT!EN238</f>
        <v>-1.5037593984962405</v>
      </c>
      <c r="CR113" s="151">
        <f>INPUT!EO238</f>
        <v>659</v>
      </c>
      <c r="CS113" s="687">
        <f>INPUT!EP238</f>
        <v>1.0736196319018454</v>
      </c>
      <c r="CT113" s="151">
        <f>INPUT!EQ238</f>
        <v>662.72104264172447</v>
      </c>
      <c r="CU113" s="687">
        <f>INPUT!ER238</f>
        <v>0.71748368415265329</v>
      </c>
      <c r="CV113" s="151">
        <f>INPUT!ES238</f>
        <v>664.89983450209513</v>
      </c>
      <c r="CW113" s="687">
        <f>INPUT!ET238</f>
        <v>-1.0565722467120287</v>
      </c>
      <c r="CX113" s="151">
        <f>INPUT!EU238</f>
        <v>667.05565052942484</v>
      </c>
      <c r="CY113" s="687">
        <f>INPUT!EV238</f>
        <v>1.8405573327366254</v>
      </c>
      <c r="CZ113" s="151">
        <f>INPUT!EW238</f>
        <v>669.22724024968613</v>
      </c>
      <c r="DA113" s="687">
        <f>INPUT!EX238</f>
        <v>1.551933270058603</v>
      </c>
      <c r="DB113" s="16"/>
      <c r="DC113" s="151">
        <f>INPUT!FP238</f>
        <v>908.7</v>
      </c>
      <c r="DD113" s="687">
        <f>INPUT!FQ238</f>
        <v>0.85460599334072906</v>
      </c>
      <c r="DE113" s="151">
        <f>INPUT!FR238</f>
        <v>1510.9</v>
      </c>
      <c r="DF113" s="687">
        <f>INPUT!FS238</f>
        <v>66.270496313414768</v>
      </c>
      <c r="DG113" s="151">
        <f>INPUT!FT238</f>
        <v>1959.8999999999999</v>
      </c>
      <c r="DH113" s="687">
        <f>INPUT!FU238</f>
        <v>29.717386987887995</v>
      </c>
      <c r="DI113" s="151">
        <f>INPUT!FV238</f>
        <v>1987.8000000000002</v>
      </c>
      <c r="DJ113" s="687">
        <f>INPUT!FW238</f>
        <v>1.4235420174498969</v>
      </c>
      <c r="DK113" s="151">
        <f>INPUT!FX238</f>
        <v>1974.5</v>
      </c>
      <c r="DL113" s="687">
        <f>INPUT!FY238</f>
        <v>-0.66908139651877807</v>
      </c>
      <c r="DM113" s="151">
        <f>INPUT!FZ238</f>
        <v>2185.7999999999997</v>
      </c>
      <c r="DN113" s="687">
        <f>INPUT!GA238</f>
        <v>10.701443403393252</v>
      </c>
      <c r="DO113" s="151">
        <f>INPUT!GB238</f>
        <v>2293.6999999999998</v>
      </c>
      <c r="DP113" s="687">
        <f>INPUT!GC238</f>
        <v>4.9364077225729774</v>
      </c>
      <c r="DQ113" s="151">
        <f>INPUT!GD238</f>
        <v>2396</v>
      </c>
      <c r="DR113" s="687">
        <f>INPUT!GE238</f>
        <v>4.4600427257269981</v>
      </c>
      <c r="DS113" s="151">
        <f>INPUT!GF238</f>
        <v>2452</v>
      </c>
      <c r="DT113" s="687">
        <f>INPUT!GG238</f>
        <v>2.3372287145241977</v>
      </c>
      <c r="DU113" s="151">
        <f>INPUT!GH238</f>
        <v>2531</v>
      </c>
      <c r="DV113" s="687">
        <f>INPUT!GI238</f>
        <v>3.2218597063621512</v>
      </c>
      <c r="DW113" s="151">
        <f>INPUT!GJ238</f>
        <v>2542</v>
      </c>
      <c r="DX113" s="687">
        <f>INPUT!GK238</f>
        <v>0.43461082576057297</v>
      </c>
      <c r="DY113" s="151">
        <f>INPUT!GL238</f>
        <v>2561</v>
      </c>
      <c r="DZ113" s="687">
        <f>INPUT!GM238</f>
        <v>0.74744295830055929</v>
      </c>
      <c r="EA113" s="151">
        <f>INPUT!GN238</f>
        <v>2644</v>
      </c>
      <c r="EB113" s="687">
        <f>INPUT!GO238</f>
        <v>3.2409215150331905</v>
      </c>
      <c r="EC113" s="151">
        <f>INPUT!GP238</f>
        <v>2663.9037679229305</v>
      </c>
      <c r="ED113" s="687">
        <f>INPUT!GQ238</f>
        <v>0.752790012213711</v>
      </c>
      <c r="EE113" s="151">
        <f>INPUT!GR238</f>
        <v>2730.8376001521169</v>
      </c>
      <c r="EF113" s="687">
        <f>INPUT!GS238</f>
        <v>2.5126220036610247</v>
      </c>
      <c r="EG113" s="151">
        <f>INPUT!GT238</f>
        <v>2799.2960072413075</v>
      </c>
      <c r="EH113" s="687">
        <f>INPUT!GU238</f>
        <v>2.506864819986987</v>
      </c>
      <c r="EI113" s="151">
        <f>INPUT!GV238</f>
        <v>2870.4787827660639</v>
      </c>
      <c r="EJ113" s="687">
        <f>INPUT!GW238</f>
        <v>2.5428813294706476</v>
      </c>
      <c r="EK113" s="151">
        <f>INPUT!GX238</f>
        <v>2944.5149778465766</v>
      </c>
      <c r="EL113" s="687">
        <f>INPUT!GY238</f>
        <v>2.5792280899275433</v>
      </c>
      <c r="EM113" s="687">
        <f>INPUT!GZ238</f>
        <v>2.1763685576412284</v>
      </c>
    </row>
    <row r="114" spans="1:143" ht="12.75" hidden="1" customHeight="1" outlineLevel="1" x14ac:dyDescent="0.2">
      <c r="A114" s="700" t="str">
        <f>INPUT!B240</f>
        <v xml:space="preserve"> Total Revenues</v>
      </c>
      <c r="B114" s="520">
        <f>INPUT!AY240</f>
        <v>500.5</v>
      </c>
      <c r="C114" s="687">
        <f>INPUT!AZ240</f>
        <v>5.2354920100925018</v>
      </c>
      <c r="D114" s="520">
        <f>INPUT!BA240</f>
        <v>901.4</v>
      </c>
      <c r="E114" s="687">
        <f>INPUT!BB240</f>
        <v>89.608750525872935</v>
      </c>
      <c r="F114" s="520">
        <f>INPUT!BC240</f>
        <v>895.3</v>
      </c>
      <c r="G114" s="687">
        <f>INPUT!BD240</f>
        <v>95.309773123909252</v>
      </c>
      <c r="H114" s="520">
        <f>INPUT!BE240</f>
        <v>958.4</v>
      </c>
      <c r="I114" s="687">
        <f>INPUT!BF240</f>
        <v>91.221069433359943</v>
      </c>
      <c r="J114" s="520">
        <f>INPUT!BG240</f>
        <v>971.40000000000009</v>
      </c>
      <c r="K114" s="687">
        <f>INPUT!BH240</f>
        <v>94.085914085914112</v>
      </c>
      <c r="L114" s="520">
        <f>INPUT!BI240</f>
        <v>957.5</v>
      </c>
      <c r="M114" s="687">
        <f>INPUT!BJ240</f>
        <v>6.2236520967384079</v>
      </c>
      <c r="N114" s="520">
        <f>INPUT!BK240</f>
        <v>1055.7</v>
      </c>
      <c r="O114" s="687">
        <f>INPUT!BL240</f>
        <v>17.915782419300808</v>
      </c>
      <c r="P114" s="520">
        <f>INPUT!BM240</f>
        <v>1068.1999999999998</v>
      </c>
      <c r="Q114" s="687">
        <f>INPUT!BN240</f>
        <v>11.456594323873116</v>
      </c>
      <c r="R114" s="520">
        <f>INPUT!BO240</f>
        <v>1053.1000000000001</v>
      </c>
      <c r="S114" s="687">
        <f>INPUT!BP240</f>
        <v>8.4105414865143224</v>
      </c>
      <c r="T114" s="520">
        <f>INPUT!BQ240</f>
        <v>1085.9000000000001</v>
      </c>
      <c r="U114" s="687">
        <f>INPUT!BR240</f>
        <v>13.409921671018289</v>
      </c>
      <c r="V114" s="520">
        <f>INPUT!BS240</f>
        <v>1073.9000000000001</v>
      </c>
      <c r="W114" s="687">
        <f>INPUT!BT240</f>
        <v>1.723974614000201</v>
      </c>
      <c r="X114" s="520">
        <f>INPUT!BU240</f>
        <v>1042.8</v>
      </c>
      <c r="Y114" s="687">
        <f>INPUT!BV240</f>
        <v>-2.3778318666916154</v>
      </c>
      <c r="Z114" s="520">
        <f>INPUT!BW240</f>
        <v>1076.2</v>
      </c>
      <c r="AA114" s="687">
        <f>INPUT!BX240</f>
        <v>2.19352388187255</v>
      </c>
      <c r="AB114" s="520">
        <f>INPUT!BY240</f>
        <v>1002.2</v>
      </c>
      <c r="AC114" s="687">
        <f>INPUT!BZ240</f>
        <v>-7.7078920710931031</v>
      </c>
      <c r="AD114" s="520">
        <f>INPUT!CA240</f>
        <v>1089.0999999999999</v>
      </c>
      <c r="AE114" s="687">
        <f>INPUT!CB240</f>
        <v>1.415401806499661</v>
      </c>
      <c r="AF114" s="520">
        <f>INPUT!CC240</f>
        <v>1125.9000000000001</v>
      </c>
      <c r="AG114" s="687">
        <f>INPUT!CD240</f>
        <v>7.9689298043728485</v>
      </c>
      <c r="AH114" s="520">
        <f>INPUT!CE240</f>
        <v>1128</v>
      </c>
      <c r="AI114" s="687">
        <f>INPUT!CF240</f>
        <v>4.8132317413120296</v>
      </c>
      <c r="AJ114" s="520">
        <f>INPUT!CG240</f>
        <v>1136</v>
      </c>
      <c r="AK114" s="687">
        <f>INPUT!CH240</f>
        <v>13.350628617042503</v>
      </c>
      <c r="AL114" s="520">
        <f>INPUT!CI240</f>
        <v>1107.8999999999999</v>
      </c>
      <c r="AM114" s="687">
        <f>INPUT!CJ240</f>
        <v>1.726195941603148</v>
      </c>
      <c r="AN114" s="520">
        <f>INPUT!CK240</f>
        <v>1217.3999999999999</v>
      </c>
      <c r="AO114" s="687">
        <f>INPUT!CL240</f>
        <v>8.1268318678390461</v>
      </c>
      <c r="AP114" s="520">
        <f>INPUT!CM240</f>
        <v>1146</v>
      </c>
      <c r="AQ114" s="687">
        <f>INPUT!CN240</f>
        <v>1.5957446808510634</v>
      </c>
      <c r="AR114" s="706">
        <f>INPUT!CO240</f>
        <v>1229</v>
      </c>
      <c r="AS114" s="687">
        <f>INPUT!CP240</f>
        <v>8.186619718309851</v>
      </c>
      <c r="AT114" s="520">
        <f>INPUT!CQ240</f>
        <v>1176.3</v>
      </c>
      <c r="AU114" s="687">
        <f>INPUT!CR240</f>
        <v>6.1738424045491458</v>
      </c>
      <c r="AV114" s="520">
        <f>INPUT!CS240</f>
        <v>1187</v>
      </c>
      <c r="AW114" s="687">
        <f>INPUT!CT240</f>
        <v>-2.4971250205355622</v>
      </c>
      <c r="AX114" s="520">
        <f>INPUT!CU240</f>
        <v>1227</v>
      </c>
      <c r="AY114" s="687">
        <f>INPUT!CV240</f>
        <v>7.0680628272251411</v>
      </c>
      <c r="AZ114" s="520">
        <f>INPUT!CW240</f>
        <v>1235</v>
      </c>
      <c r="BA114" s="687">
        <f>INPUT!CX240</f>
        <v>0.48820179007322828</v>
      </c>
      <c r="BB114" s="520">
        <f>INPUT!CY240</f>
        <v>1296</v>
      </c>
      <c r="BC114" s="687">
        <f>INPUT!CZ240</f>
        <v>10.175975516449887</v>
      </c>
      <c r="BD114" s="520">
        <f>INPUT!DA240</f>
        <v>1297</v>
      </c>
      <c r="BE114" s="687">
        <f>INPUT!DB240</f>
        <v>9.2670598146588077</v>
      </c>
      <c r="BF114" s="520">
        <f>INPUT!DC240</f>
        <v>1241</v>
      </c>
      <c r="BG114" s="687">
        <f>INPUT!DD240</f>
        <v>1.140994295028519</v>
      </c>
      <c r="BH114" s="520">
        <f>INPUT!DE240</f>
        <v>1284</v>
      </c>
      <c r="BI114" s="687">
        <f>INPUT!DF240</f>
        <v>3.9676113360323839</v>
      </c>
      <c r="BJ114" s="520">
        <f>INPUT!DG240</f>
        <v>1301</v>
      </c>
      <c r="BK114" s="687">
        <f>INPUT!DH240</f>
        <v>0.38580246913579863</v>
      </c>
      <c r="BL114" s="520">
        <f>INPUT!DI240</f>
        <v>1344</v>
      </c>
      <c r="BM114" s="687">
        <f>INPUT!DJ240</f>
        <v>3.6237471087124051</v>
      </c>
      <c r="BN114" s="520">
        <f>INPUT!DK240</f>
        <v>1337</v>
      </c>
      <c r="BO114" s="687">
        <f>INPUT!DL240</f>
        <v>7.7356970185334495</v>
      </c>
      <c r="BP114" s="520">
        <f>INPUT!DM240</f>
        <v>1363</v>
      </c>
      <c r="BQ114" s="687">
        <f>INPUT!DN240</f>
        <v>6.1526479750778851</v>
      </c>
      <c r="BR114" s="520">
        <f>INPUT!DO240</f>
        <v>1446</v>
      </c>
      <c r="BS114" s="687">
        <f>INPUT!DP240</f>
        <v>11.145272867025358</v>
      </c>
      <c r="BT114" s="520">
        <f>INPUT!DQ240</f>
        <v>1858</v>
      </c>
      <c r="BU114" s="687">
        <f>INPUT!DR240</f>
        <v>38.244047619047628</v>
      </c>
      <c r="BV114" s="520">
        <f>INPUT!DS240</f>
        <v>1432</v>
      </c>
      <c r="BW114" s="687">
        <f>INPUT!DT240</f>
        <v>7.1054599850411293</v>
      </c>
      <c r="BX114" s="520">
        <f>INPUT!DU240</f>
        <v>1443</v>
      </c>
      <c r="BY114" s="687">
        <f>INPUT!DV240</f>
        <v>5.8694057226705842</v>
      </c>
      <c r="BZ114" s="520">
        <f>INPUT!DW240</f>
        <v>1727</v>
      </c>
      <c r="CA114" s="687">
        <f>INPUT!DX240</f>
        <v>1727</v>
      </c>
      <c r="CB114" s="520">
        <f>INPUT!DY240</f>
        <v>1348</v>
      </c>
      <c r="CC114" s="687">
        <f>INPUT!DZ240</f>
        <v>-27.448869752421956</v>
      </c>
      <c r="CD114" s="520">
        <f>INPUT!EA240</f>
        <v>1478</v>
      </c>
      <c r="CE114" s="687">
        <f>INPUT!EB240</f>
        <v>3.2122905027933024</v>
      </c>
      <c r="CF114" s="520">
        <f>INPUT!EC240</f>
        <v>1538</v>
      </c>
      <c r="CG114" s="687">
        <f>INPUT!ED240</f>
        <v>6.5835065835065931</v>
      </c>
      <c r="CH114" s="520">
        <f>INPUT!EE240</f>
        <v>1630</v>
      </c>
      <c r="CI114" s="687">
        <f>INPUT!EF240</f>
        <v>-5.6166763173132628</v>
      </c>
      <c r="CJ114" s="520">
        <f>INPUT!EG240</f>
        <v>1600</v>
      </c>
      <c r="CK114" s="687">
        <f>INPUT!EH240</f>
        <v>18.694362017804146</v>
      </c>
      <c r="CL114" s="520">
        <f>INPUT!EI240</f>
        <v>1606</v>
      </c>
      <c r="CM114" s="687">
        <f>INPUT!EJ240</f>
        <v>8.6603518267929669</v>
      </c>
      <c r="CN114" s="520">
        <f>INPUT!EK240</f>
        <v>1655</v>
      </c>
      <c r="CO114" s="687">
        <f>INPUT!EL240</f>
        <v>7.6072821846554062</v>
      </c>
      <c r="CP114" s="520">
        <f>INPUT!EM240</f>
        <v>1614</v>
      </c>
      <c r="CQ114" s="687">
        <f>INPUT!EN240</f>
        <v>-0.98159509202454531</v>
      </c>
      <c r="CR114" s="520">
        <f>INPUT!EO240</f>
        <v>1684</v>
      </c>
      <c r="CS114" s="687">
        <f>INPUT!EP240</f>
        <v>5.2499999999999991</v>
      </c>
      <c r="CT114" s="520">
        <f>INPUT!EQ240</f>
        <v>1675.7458701341982</v>
      </c>
      <c r="CU114" s="687">
        <f>INPUT!ER240</f>
        <v>4.3428312661393687</v>
      </c>
      <c r="CV114" s="520">
        <f>INPUT!ES240</f>
        <v>1684.5756288284897</v>
      </c>
      <c r="CW114" s="687">
        <f>INPUT!ET240</f>
        <v>1.7870470591232479</v>
      </c>
      <c r="CX114" s="520">
        <f>INPUT!EU240</f>
        <v>1696.2328124036881</v>
      </c>
      <c r="CY114" s="687">
        <f>INPUT!EV240</f>
        <v>5.0949697895717572</v>
      </c>
      <c r="CZ114" s="520">
        <f>INPUT!EW240</f>
        <v>1711.1663914321784</v>
      </c>
      <c r="DA114" s="687">
        <f>INPUT!EX240</f>
        <v>1.6132061420533583</v>
      </c>
      <c r="DB114" s="16"/>
      <c r="DC114" s="520">
        <f>INPUT!FP240</f>
        <v>1910.6</v>
      </c>
      <c r="DD114" s="687">
        <f>INPUT!FQ240</f>
        <v>2.5550187869028296</v>
      </c>
      <c r="DE114" s="520">
        <f>INPUT!FR240</f>
        <v>3255.6</v>
      </c>
      <c r="DF114" s="687">
        <f>INPUT!FS240</f>
        <v>70.396734010258569</v>
      </c>
      <c r="DG114" s="520">
        <f>INPUT!FT240</f>
        <v>4052.8</v>
      </c>
      <c r="DH114" s="687">
        <f>INPUT!FU240</f>
        <v>24.487037719621576</v>
      </c>
      <c r="DI114" s="520">
        <f>INPUT!FV240</f>
        <v>4255.7</v>
      </c>
      <c r="DJ114" s="687">
        <f>INPUT!FW240</f>
        <v>5.0064153178049686</v>
      </c>
      <c r="DK114" s="520">
        <f>INPUT!FX240</f>
        <v>4293.3999999999996</v>
      </c>
      <c r="DL114" s="687">
        <f>INPUT!FY240</f>
        <v>0.88587071457104649</v>
      </c>
      <c r="DM114" s="706">
        <f>INPUT!FZ240</f>
        <v>4589.2999999999993</v>
      </c>
      <c r="DN114" s="687">
        <f>INPUT!GA240</f>
        <v>6.8919737271160297</v>
      </c>
      <c r="DO114" s="520">
        <f>INPUT!GB240</f>
        <v>4738.3</v>
      </c>
      <c r="DP114" s="687">
        <f>INPUT!GC240</f>
        <v>3.2466825005992295</v>
      </c>
      <c r="DQ114" s="520">
        <f>INPUT!GD240</f>
        <v>5055</v>
      </c>
      <c r="DR114" s="687">
        <f>INPUT!GE240</f>
        <v>6.6838317540045988</v>
      </c>
      <c r="DS114" s="520">
        <f>INPUT!GF240</f>
        <v>5170</v>
      </c>
      <c r="DT114" s="687">
        <f>INPUT!GG240</f>
        <v>2.2749752720079064</v>
      </c>
      <c r="DU114" s="520">
        <f>INPUT!GH240</f>
        <v>6004</v>
      </c>
      <c r="DV114" s="687">
        <f>INPUT!GI240</f>
        <v>16.131528046421661</v>
      </c>
      <c r="DW114" s="520">
        <f>INPUT!GJ240</f>
        <v>5950</v>
      </c>
      <c r="DX114" s="687">
        <f>INPUT!GK240</f>
        <v>-0.89940039973350761</v>
      </c>
      <c r="DY114" s="520">
        <f>INPUT!GL240</f>
        <v>6246</v>
      </c>
      <c r="DZ114" s="687">
        <f>INPUT!GM240</f>
        <v>4.9747899159663822</v>
      </c>
      <c r="EA114" s="520">
        <f>INPUT!GN240</f>
        <v>6559</v>
      </c>
      <c r="EB114" s="687">
        <f>INPUT!GO240</f>
        <v>5.0112071725904483</v>
      </c>
      <c r="EC114" s="520">
        <f>INPUT!GP240</f>
        <v>6767.7207027985532</v>
      </c>
      <c r="ED114" s="687">
        <f>INPUT!GQ240</f>
        <v>3.1822031224051361</v>
      </c>
      <c r="EE114" s="520">
        <f>INPUT!GR240</f>
        <v>6975.9489252621988</v>
      </c>
      <c r="EF114" s="687">
        <f>INPUT!GS240</f>
        <v>3.0767851039943173</v>
      </c>
      <c r="EG114" s="520">
        <f>INPUT!GT240</f>
        <v>7177.0859860213332</v>
      </c>
      <c r="EH114" s="687">
        <f>INPUT!GU240</f>
        <v>2.883293196582204</v>
      </c>
      <c r="EI114" s="520">
        <f>INPUT!GV240</f>
        <v>7390.4205868411864</v>
      </c>
      <c r="EJ114" s="687">
        <f>INPUT!GW240</f>
        <v>2.972440364172324</v>
      </c>
      <c r="EK114" s="520">
        <f>INPUT!GX240</f>
        <v>7616.4914187356562</v>
      </c>
      <c r="EL114" s="687">
        <f>INPUT!GY240</f>
        <v>3.0589711267176689</v>
      </c>
      <c r="EM114" s="687">
        <f>INPUT!GZ240</f>
        <v>3.0346891621191974</v>
      </c>
    </row>
    <row r="115" spans="1:143" ht="12.75" hidden="1" customHeight="1" outlineLevel="1" x14ac:dyDescent="0.2">
      <c r="A115" s="689"/>
      <c r="B115" s="16"/>
      <c r="C115" s="687"/>
      <c r="D115" s="16"/>
      <c r="E115" s="687"/>
      <c r="F115" s="16"/>
      <c r="G115" s="687"/>
      <c r="H115" s="16"/>
      <c r="I115" s="687"/>
      <c r="J115" s="16"/>
      <c r="K115" s="687"/>
      <c r="L115" s="16"/>
      <c r="M115" s="687"/>
      <c r="N115" s="16"/>
      <c r="O115" s="687"/>
      <c r="P115" s="16"/>
      <c r="Q115" s="687"/>
      <c r="R115" s="16"/>
      <c r="S115" s="687"/>
      <c r="T115" s="16"/>
      <c r="U115" s="687"/>
      <c r="V115" s="16"/>
      <c r="W115" s="687"/>
      <c r="X115" s="16"/>
      <c r="Y115" s="687"/>
      <c r="Z115" s="16"/>
      <c r="AA115" s="687"/>
      <c r="AB115" s="16"/>
      <c r="AC115" s="687"/>
      <c r="AD115" s="16"/>
      <c r="AE115" s="687"/>
      <c r="AF115" s="16"/>
      <c r="AG115" s="687"/>
      <c r="AH115" s="16"/>
      <c r="AI115" s="687"/>
      <c r="AJ115" s="16"/>
      <c r="AK115" s="687"/>
      <c r="AL115" s="16"/>
      <c r="AM115" s="687"/>
      <c r="AN115" s="16"/>
      <c r="AO115" s="687"/>
      <c r="AP115" s="16"/>
      <c r="AQ115" s="687"/>
      <c r="AR115" s="16"/>
      <c r="AS115" s="687"/>
      <c r="AT115" s="16"/>
      <c r="AU115" s="687"/>
      <c r="AV115" s="16"/>
      <c r="AW115" s="687"/>
      <c r="AX115" s="16"/>
      <c r="AY115" s="687"/>
      <c r="AZ115" s="16"/>
      <c r="BA115" s="687"/>
      <c r="BB115" s="16"/>
      <c r="BC115" s="687"/>
      <c r="BD115" s="16"/>
      <c r="BE115" s="687"/>
      <c r="BF115" s="16"/>
      <c r="BG115" s="687"/>
      <c r="BH115" s="16"/>
      <c r="BI115" s="687"/>
      <c r="BJ115" s="16"/>
      <c r="BK115" s="687"/>
      <c r="BL115" s="16"/>
      <c r="BM115" s="687"/>
      <c r="BN115" s="16"/>
      <c r="BO115" s="687"/>
      <c r="BP115" s="16"/>
      <c r="BQ115" s="687"/>
      <c r="BR115" s="16"/>
      <c r="BS115" s="687"/>
      <c r="BT115" s="16"/>
      <c r="BU115" s="687"/>
      <c r="BV115" s="16"/>
      <c r="BW115" s="687"/>
      <c r="BX115" s="16"/>
      <c r="BY115" s="687"/>
      <c r="BZ115" s="16"/>
      <c r="CA115" s="687"/>
      <c r="CB115" s="16"/>
      <c r="CC115" s="687"/>
      <c r="CD115" s="16"/>
      <c r="CE115" s="687"/>
      <c r="CF115" s="16"/>
      <c r="CG115" s="687"/>
      <c r="CH115" s="16"/>
      <c r="CI115" s="687"/>
      <c r="CJ115" s="16"/>
      <c r="CK115" s="687"/>
      <c r="CL115" s="16"/>
      <c r="CM115" s="687"/>
      <c r="CN115" s="16"/>
      <c r="CO115" s="687"/>
      <c r="CP115" s="16"/>
      <c r="CQ115" s="687"/>
      <c r="CR115" s="16"/>
      <c r="CS115" s="687"/>
      <c r="CT115" s="16"/>
      <c r="CU115" s="687"/>
      <c r="CV115" s="16"/>
      <c r="CW115" s="687"/>
      <c r="CX115" s="16"/>
      <c r="CY115" s="687"/>
      <c r="CZ115" s="16"/>
      <c r="DA115" s="687"/>
      <c r="DB115" s="16"/>
      <c r="DC115" s="16"/>
      <c r="DD115" s="687"/>
      <c r="DE115" s="16"/>
      <c r="DF115" s="687"/>
      <c r="DG115" s="16"/>
      <c r="DH115" s="687"/>
      <c r="DI115" s="16"/>
      <c r="DJ115" s="687"/>
      <c r="DK115" s="16"/>
      <c r="DL115" s="687"/>
      <c r="DM115" s="16"/>
      <c r="DN115" s="687"/>
      <c r="DO115" s="16"/>
      <c r="DP115" s="687"/>
      <c r="DQ115" s="16"/>
      <c r="DR115" s="687"/>
      <c r="DS115" s="16"/>
      <c r="DT115" s="687"/>
      <c r="DU115" s="16"/>
      <c r="DV115" s="687"/>
      <c r="DW115" s="16"/>
      <c r="DX115" s="687"/>
      <c r="DY115" s="16"/>
      <c r="DZ115" s="687"/>
      <c r="EA115" s="16"/>
      <c r="EB115" s="687"/>
      <c r="EC115" s="16"/>
      <c r="ED115" s="687"/>
      <c r="EE115" s="16"/>
      <c r="EF115" s="687"/>
      <c r="EG115" s="16"/>
      <c r="EH115" s="687"/>
      <c r="EI115" s="16"/>
      <c r="EJ115" s="687"/>
      <c r="EK115" s="16"/>
      <c r="EL115" s="687"/>
      <c r="EM115" s="687"/>
    </row>
    <row r="116" spans="1:143" ht="12.75" hidden="1" customHeight="1" outlineLevel="1" x14ac:dyDescent="0.2">
      <c r="A116" s="700" t="s">
        <v>113</v>
      </c>
      <c r="B116" s="16"/>
      <c r="C116" s="687"/>
      <c r="D116" s="16"/>
      <c r="E116" s="687"/>
      <c r="F116" s="16"/>
      <c r="G116" s="687"/>
      <c r="H116" s="16"/>
      <c r="I116" s="687"/>
      <c r="J116" s="16"/>
      <c r="K116" s="687"/>
      <c r="L116" s="16"/>
      <c r="M116" s="687"/>
      <c r="N116" s="16"/>
      <c r="O116" s="687"/>
      <c r="P116" s="16"/>
      <c r="Q116" s="687"/>
      <c r="R116" s="16"/>
      <c r="S116" s="687"/>
      <c r="T116" s="16"/>
      <c r="U116" s="687"/>
      <c r="V116" s="16"/>
      <c r="W116" s="687"/>
      <c r="X116" s="16"/>
      <c r="Y116" s="687"/>
      <c r="Z116" s="16"/>
      <c r="AA116" s="687"/>
      <c r="AB116" s="16"/>
      <c r="AC116" s="687"/>
      <c r="AD116" s="16"/>
      <c r="AE116" s="687"/>
      <c r="AF116" s="16"/>
      <c r="AG116" s="687"/>
      <c r="AH116" s="16"/>
      <c r="AI116" s="687"/>
      <c r="AJ116" s="16"/>
      <c r="AK116" s="687"/>
      <c r="AL116" s="16"/>
      <c r="AM116" s="687"/>
      <c r="AN116" s="16"/>
      <c r="AO116" s="687"/>
      <c r="AP116" s="16"/>
      <c r="AQ116" s="687"/>
      <c r="AR116" s="16"/>
      <c r="AS116" s="687"/>
      <c r="AT116" s="16"/>
      <c r="AU116" s="687"/>
      <c r="AV116" s="16"/>
      <c r="AW116" s="687"/>
      <c r="AX116" s="16"/>
      <c r="AY116" s="687"/>
      <c r="AZ116" s="16"/>
      <c r="BA116" s="687"/>
      <c r="BB116" s="16"/>
      <c r="BC116" s="687"/>
      <c r="BD116" s="16"/>
      <c r="BE116" s="687"/>
      <c r="BF116" s="16"/>
      <c r="BG116" s="687"/>
      <c r="BH116" s="16"/>
      <c r="BI116" s="687"/>
      <c r="BJ116" s="16"/>
      <c r="BK116" s="687"/>
      <c r="BL116" s="16"/>
      <c r="BM116" s="687"/>
      <c r="BN116" s="16"/>
      <c r="BO116" s="687"/>
      <c r="BP116" s="16"/>
      <c r="BQ116" s="687"/>
      <c r="BR116" s="16"/>
      <c r="BS116" s="687"/>
      <c r="BT116" s="16"/>
      <c r="BU116" s="687"/>
      <c r="BV116" s="16"/>
      <c r="BW116" s="687"/>
      <c r="BX116" s="16"/>
      <c r="BY116" s="687"/>
      <c r="BZ116" s="16"/>
      <c r="CA116" s="687"/>
      <c r="CB116" s="16"/>
      <c r="CC116" s="687"/>
      <c r="CD116" s="16"/>
      <c r="CE116" s="687"/>
      <c r="CF116" s="16"/>
      <c r="CG116" s="687"/>
      <c r="CH116" s="16"/>
      <c r="CI116" s="687"/>
      <c r="CJ116" s="16"/>
      <c r="CK116" s="687"/>
      <c r="CL116" s="16"/>
      <c r="CM116" s="687"/>
      <c r="CN116" s="16"/>
      <c r="CO116" s="687"/>
      <c r="CP116" s="16"/>
      <c r="CQ116" s="687"/>
      <c r="CR116" s="16"/>
      <c r="CS116" s="687"/>
      <c r="CT116" s="16"/>
      <c r="CU116" s="687"/>
      <c r="CV116" s="16"/>
      <c r="CW116" s="687"/>
      <c r="CX116" s="16"/>
      <c r="CY116" s="687"/>
      <c r="CZ116" s="16"/>
      <c r="DA116" s="687"/>
      <c r="DB116" s="16"/>
      <c r="DC116" s="16"/>
      <c r="DD116" s="687"/>
      <c r="DE116" s="16"/>
      <c r="DF116" s="687"/>
      <c r="DG116" s="16"/>
      <c r="DH116" s="687"/>
      <c r="DI116" s="16"/>
      <c r="DJ116" s="687"/>
      <c r="DK116" s="16"/>
      <c r="DL116" s="687"/>
      <c r="DM116" s="16"/>
      <c r="DN116" s="687"/>
      <c r="DO116" s="16"/>
      <c r="DP116" s="687"/>
      <c r="DQ116" s="16"/>
      <c r="DR116" s="687"/>
      <c r="DS116" s="16"/>
      <c r="DT116" s="687"/>
      <c r="DU116" s="16"/>
      <c r="DV116" s="687"/>
      <c r="DW116" s="16"/>
      <c r="DX116" s="687"/>
      <c r="DY116" s="16"/>
      <c r="DZ116" s="687"/>
      <c r="EA116" s="16"/>
      <c r="EB116" s="687"/>
      <c r="EC116" s="16"/>
      <c r="ED116" s="687"/>
      <c r="EE116" s="16"/>
      <c r="EF116" s="687"/>
      <c r="EG116" s="16"/>
      <c r="EH116" s="687"/>
      <c r="EI116" s="16"/>
      <c r="EJ116" s="687"/>
      <c r="EK116" s="16"/>
      <c r="EL116" s="687"/>
      <c r="EM116" s="687"/>
    </row>
    <row r="117" spans="1:143" ht="12.75" hidden="1" customHeight="1" outlineLevel="1" x14ac:dyDescent="0.2">
      <c r="A117" s="701" t="str">
        <f>INPUT!B256</f>
        <v>Insurance Benefits</v>
      </c>
      <c r="B117" s="151">
        <f>INPUT!AY256</f>
        <v>120.2</v>
      </c>
      <c r="C117" s="687">
        <f>INPUT!AZ256</f>
        <v>5.6239015817223237</v>
      </c>
      <c r="D117" s="151">
        <f>INPUT!BA256</f>
        <v>256</v>
      </c>
      <c r="E117" s="687" t="str">
        <f>INPUT!BB256</f>
        <v>NM</v>
      </c>
      <c r="F117" s="151">
        <f>INPUT!BC256</f>
        <v>261.10000000000002</v>
      </c>
      <c r="G117" s="687" t="str">
        <f>INPUT!BD256</f>
        <v>NM</v>
      </c>
      <c r="H117" s="151">
        <f>INPUT!BE256</f>
        <v>249.1</v>
      </c>
      <c r="I117" s="687" t="str">
        <f>INPUT!BF256</f>
        <v>NM</v>
      </c>
      <c r="J117" s="151">
        <f>INPUT!BG256</f>
        <v>246</v>
      </c>
      <c r="K117" s="687" t="str">
        <f>INPUT!BH256</f>
        <v>NM</v>
      </c>
      <c r="L117" s="151">
        <f>INPUT!BI256</f>
        <v>263</v>
      </c>
      <c r="M117" s="687">
        <f>INPUT!BJ256</f>
        <v>2.734375</v>
      </c>
      <c r="N117" s="151">
        <f>INPUT!BK256</f>
        <v>265.60000000000002</v>
      </c>
      <c r="O117" s="687">
        <f>INPUT!BL256</f>
        <v>1.7234775947912784</v>
      </c>
      <c r="P117" s="151">
        <f>INPUT!BM256</f>
        <v>308.89999999999998</v>
      </c>
      <c r="Q117" s="687">
        <f>INPUT!BN256</f>
        <v>24.006423123243682</v>
      </c>
      <c r="R117" s="151">
        <f>INPUT!BO256</f>
        <v>298.60000000000002</v>
      </c>
      <c r="S117" s="687">
        <f>INPUT!BP256</f>
        <v>21.382113821138216</v>
      </c>
      <c r="T117" s="151">
        <f>INPUT!BQ256</f>
        <v>304.10000000000002</v>
      </c>
      <c r="U117" s="687">
        <f>INPUT!BR256</f>
        <v>15.627376425855521</v>
      </c>
      <c r="V117" s="151">
        <f>INPUT!BS256</f>
        <v>397.7</v>
      </c>
      <c r="W117" s="687">
        <f>INPUT!BT256</f>
        <v>49.736445783132524</v>
      </c>
      <c r="X117" s="151">
        <f>INPUT!BU256</f>
        <v>362.5</v>
      </c>
      <c r="Y117" s="687">
        <f>INPUT!BV256</f>
        <v>17.351893816769181</v>
      </c>
      <c r="Z117" s="151">
        <f>INPUT!BW256</f>
        <v>355.7</v>
      </c>
      <c r="AA117" s="687">
        <f>INPUT!BX256</f>
        <v>19.122572002679149</v>
      </c>
      <c r="AB117" s="151">
        <f>INPUT!BY256</f>
        <v>323</v>
      </c>
      <c r="AC117" s="687">
        <f>INPUT!BZ256</f>
        <v>6.2150608352515624</v>
      </c>
      <c r="AD117" s="151">
        <f>INPUT!CA256</f>
        <v>320.7</v>
      </c>
      <c r="AE117" s="687">
        <f>INPUT!CB256</f>
        <v>-19.361327633894899</v>
      </c>
      <c r="AF117" s="151">
        <f>INPUT!CC256</f>
        <v>374.6</v>
      </c>
      <c r="AG117" s="687">
        <f>INPUT!CD256</f>
        <v>3.3379310344827662</v>
      </c>
      <c r="AH117" s="151">
        <f>INPUT!CE256</f>
        <v>398.8</v>
      </c>
      <c r="AI117" s="687">
        <f>INPUT!CF256</f>
        <v>12.116952488051735</v>
      </c>
      <c r="AJ117" s="151">
        <f>INPUT!CG256</f>
        <v>374.2</v>
      </c>
      <c r="AK117" s="687">
        <f>INPUT!CH256</f>
        <v>15.851393188854491</v>
      </c>
      <c r="AL117" s="151">
        <f>INPUT!CI256</f>
        <v>561</v>
      </c>
      <c r="AM117" s="687">
        <f>INPUT!CJ256</f>
        <v>74.929840972871858</v>
      </c>
      <c r="AN117" s="151">
        <f>INPUT!CK256</f>
        <v>400.7</v>
      </c>
      <c r="AO117" s="687">
        <f>INPUT!CL256</f>
        <v>6.9674319273892005</v>
      </c>
      <c r="AP117" s="151">
        <f>INPUT!CM256</f>
        <v>447</v>
      </c>
      <c r="AQ117" s="687">
        <f>INPUT!CN256</f>
        <v>12.086258776328984</v>
      </c>
      <c r="AR117" s="151">
        <f>INPUT!CO256</f>
        <v>609.4</v>
      </c>
      <c r="AS117" s="687">
        <f>INPUT!CP256</f>
        <v>62.854088722608225</v>
      </c>
      <c r="AT117" s="151">
        <f>INPUT!CQ256</f>
        <v>152.5</v>
      </c>
      <c r="AU117" s="687" t="str">
        <f>INPUT!CR256</f>
        <v>NM</v>
      </c>
      <c r="AV117" s="151">
        <f>INPUT!CS256</f>
        <v>456</v>
      </c>
      <c r="AW117" s="687">
        <f>INPUT!CT256</f>
        <v>13.800848515098574</v>
      </c>
      <c r="AX117" s="151">
        <f>INPUT!CU256</f>
        <v>469</v>
      </c>
      <c r="AY117" s="687">
        <f>INPUT!CV256</f>
        <v>4.9217002237136542</v>
      </c>
      <c r="AZ117" s="151">
        <f>INPUT!CW256</f>
        <v>474</v>
      </c>
      <c r="BA117" s="687">
        <f>INPUT!CX256</f>
        <v>-22.218575648178529</v>
      </c>
      <c r="BB117" s="151">
        <f>INPUT!CY256</f>
        <v>295</v>
      </c>
      <c r="BC117" s="687">
        <f>INPUT!CZ256</f>
        <v>93.442622950819668</v>
      </c>
      <c r="BD117" s="151">
        <f>INPUT!DA256</f>
        <v>486</v>
      </c>
      <c r="BE117" s="687">
        <f>INPUT!DB256</f>
        <v>6.578947368421062</v>
      </c>
      <c r="BF117" s="151">
        <f>INPUT!DC256</f>
        <v>505</v>
      </c>
      <c r="BG117" s="687">
        <f>INPUT!DD256</f>
        <v>7.6759061833688635</v>
      </c>
      <c r="BH117" s="151">
        <f>INPUT!DE256</f>
        <v>500</v>
      </c>
      <c r="BI117" s="687">
        <f>INPUT!DF256</f>
        <v>5.4852320675105481</v>
      </c>
      <c r="BJ117" s="151">
        <f>INPUT!DG256</f>
        <v>476</v>
      </c>
      <c r="BK117" s="687">
        <f>INPUT!DH256</f>
        <v>61.355932203389841</v>
      </c>
      <c r="BL117" s="151">
        <f>INPUT!DI256</f>
        <v>496</v>
      </c>
      <c r="BM117" s="687">
        <f>INPUT!DJ256</f>
        <v>2.0576131687242816</v>
      </c>
      <c r="BN117" s="151">
        <f>INPUT!DK256</f>
        <v>541</v>
      </c>
      <c r="BO117" s="687">
        <f>INPUT!DL256</f>
        <v>7.128712871287135</v>
      </c>
      <c r="BP117" s="151">
        <f>INPUT!DM256</f>
        <v>519</v>
      </c>
      <c r="BQ117" s="687">
        <f>INPUT!DN256</f>
        <v>3.8000000000000034</v>
      </c>
      <c r="BR117" s="151">
        <f>INPUT!DO256</f>
        <v>550</v>
      </c>
      <c r="BS117" s="687">
        <f>INPUT!DP256</f>
        <v>15.546218487394947</v>
      </c>
      <c r="BT117" s="151">
        <f>INPUT!DQ256</f>
        <v>825</v>
      </c>
      <c r="BU117" s="687">
        <f>INPUT!DR256</f>
        <v>66.33064516129032</v>
      </c>
      <c r="BV117" s="151">
        <f>INPUT!DS256</f>
        <v>650</v>
      </c>
      <c r="BW117" s="687">
        <f>INPUT!DT256</f>
        <v>20.147874306839199</v>
      </c>
      <c r="BX117" s="151">
        <f>INPUT!DU256</f>
        <v>673</v>
      </c>
      <c r="BY117" s="687">
        <f>INPUT!DV256</f>
        <v>29.672447013487478</v>
      </c>
      <c r="BZ117" s="151">
        <f>INPUT!DW256</f>
        <v>578</v>
      </c>
      <c r="CA117" s="687">
        <f>INPUT!DX256</f>
        <v>578</v>
      </c>
      <c r="CB117" s="151">
        <f>INPUT!DY256</f>
        <v>661</v>
      </c>
      <c r="CC117" s="687">
        <f>INPUT!DZ256</f>
        <v>-19.878787878787875</v>
      </c>
      <c r="CD117" s="151">
        <f>INPUT!EA256</f>
        <v>740</v>
      </c>
      <c r="CE117" s="687">
        <f>INPUT!EB256</f>
        <v>13.846153846153841</v>
      </c>
      <c r="CF117" s="151">
        <f>INPUT!EC256</f>
        <v>708</v>
      </c>
      <c r="CG117" s="687">
        <f>INPUT!ED256</f>
        <v>5.2005943536404198</v>
      </c>
      <c r="CH117" s="151">
        <f>INPUT!EE256</f>
        <v>522</v>
      </c>
      <c r="CI117" s="687">
        <f>INPUT!EF256</f>
        <v>-9.6885813148788973</v>
      </c>
      <c r="CJ117" s="151">
        <f>INPUT!EG256</f>
        <v>707</v>
      </c>
      <c r="CK117" s="687">
        <f>INPUT!EH256</f>
        <v>6.9591527987897139</v>
      </c>
      <c r="CL117" s="151">
        <f>INPUT!EI256</f>
        <v>797</v>
      </c>
      <c r="CM117" s="687">
        <f>INPUT!EJ256</f>
        <v>7.7027027027027017</v>
      </c>
      <c r="CN117" s="151">
        <f>INPUT!EK256</f>
        <v>807</v>
      </c>
      <c r="CO117" s="687">
        <f>INPUT!EL256</f>
        <v>13.983050847457633</v>
      </c>
      <c r="CP117" s="151">
        <f>INPUT!EM256</f>
        <v>808</v>
      </c>
      <c r="CQ117" s="687">
        <f>INPUT!EN256</f>
        <v>54.78927203065134</v>
      </c>
      <c r="CR117" s="151">
        <f>INPUT!EO256</f>
        <v>779</v>
      </c>
      <c r="CS117" s="687">
        <f>INPUT!EP256</f>
        <v>10.18387553041018</v>
      </c>
      <c r="CT117" s="151">
        <f>INPUT!EQ256</f>
        <v>840.81060681875317</v>
      </c>
      <c r="CU117" s="687">
        <f>INPUT!ER256</f>
        <v>5.4969393750003981</v>
      </c>
      <c r="CV117" s="151">
        <f>INPUT!ES256</f>
        <v>825.93739340437969</v>
      </c>
      <c r="CW117" s="687">
        <f>INPUT!ET256</f>
        <v>2.346641066218047</v>
      </c>
      <c r="CX117" s="151">
        <f>INPUT!EU256</f>
        <v>833.63350111815328</v>
      </c>
      <c r="CY117" s="687">
        <f>INPUT!EV256</f>
        <v>3.1724630096724438</v>
      </c>
      <c r="CZ117" s="151">
        <f>INPUT!EW256</f>
        <v>833.55132094599401</v>
      </c>
      <c r="DA117" s="687">
        <f>INPUT!EX256</f>
        <v>7.0027369635422332</v>
      </c>
      <c r="DB117" s="16"/>
      <c r="DC117" s="151">
        <f>INPUT!FP256</f>
        <v>461.4</v>
      </c>
      <c r="DD117" s="687" t="str">
        <f>INPUT!FQ256</f>
        <v>NM</v>
      </c>
      <c r="DE117" s="151">
        <f>INPUT!FR256</f>
        <v>886.4</v>
      </c>
      <c r="DF117" s="687">
        <f>INPUT!FS256</f>
        <v>92.110966623320351</v>
      </c>
      <c r="DG117" s="151">
        <f>INPUT!FT256</f>
        <v>1083.5</v>
      </c>
      <c r="DH117" s="687">
        <f>INPUT!FU256</f>
        <v>22.236010830324915</v>
      </c>
      <c r="DI117" s="151">
        <f>INPUT!FV256</f>
        <v>1362.9</v>
      </c>
      <c r="DJ117" s="687">
        <f>INPUT!FW256</f>
        <v>25.786802030456869</v>
      </c>
      <c r="DK117" s="151">
        <f>INPUT!FX256</f>
        <v>1374</v>
      </c>
      <c r="DL117" s="687">
        <f>INPUT!FY256</f>
        <v>0.81443979749062922</v>
      </c>
      <c r="DM117" s="151">
        <f>INPUT!FZ256</f>
        <v>1734.7</v>
      </c>
      <c r="DN117" s="687">
        <f>INPUT!GA256</f>
        <v>26.251819505094609</v>
      </c>
      <c r="DO117" s="151">
        <f>INPUT!GB256</f>
        <v>1664.9</v>
      </c>
      <c r="DP117" s="687">
        <f>INPUT!GC256</f>
        <v>-4.0237505044099837</v>
      </c>
      <c r="DQ117" s="151">
        <f>INPUT!GD256</f>
        <v>1724</v>
      </c>
      <c r="DR117" s="687">
        <f>INPUT!GE256</f>
        <v>3.5497627485134187</v>
      </c>
      <c r="DS117" s="151">
        <f>INPUT!GF256</f>
        <v>1977</v>
      </c>
      <c r="DT117" s="687">
        <f>INPUT!GG256</f>
        <v>14.675174013921112</v>
      </c>
      <c r="DU117" s="151">
        <f>INPUT!GH256</f>
        <v>2435</v>
      </c>
      <c r="DV117" s="687">
        <f>INPUT!GI256</f>
        <v>23.166413758219527</v>
      </c>
      <c r="DW117" s="151">
        <f>INPUT!GJ256</f>
        <v>2562</v>
      </c>
      <c r="DX117" s="687">
        <f>INPUT!GK256</f>
        <v>5.2156057494866515</v>
      </c>
      <c r="DY117" s="151">
        <f>INPUT!GL256</f>
        <v>2677</v>
      </c>
      <c r="DZ117" s="687">
        <f>INPUT!GM256</f>
        <v>4.4886807181889088</v>
      </c>
      <c r="EA117" s="151">
        <f>INPUT!GN256</f>
        <v>3191</v>
      </c>
      <c r="EB117" s="687">
        <f>INPUT!GO256</f>
        <v>19.200597683974596</v>
      </c>
      <c r="EC117" s="151">
        <f>INPUT!GP256</f>
        <v>3333.93282228728</v>
      </c>
      <c r="ED117" s="687">
        <f>INPUT!GQ256</f>
        <v>4.4792485831175233</v>
      </c>
      <c r="EE117" s="151">
        <f>INPUT!GR256</f>
        <v>3452.9652188844116</v>
      </c>
      <c r="EF117" s="687">
        <f>INPUT!GS256</f>
        <v>3.5703297859333682</v>
      </c>
      <c r="EG117" s="151">
        <f>INPUT!GT256</f>
        <v>3560.8857753373923</v>
      </c>
      <c r="EH117" s="687">
        <f>INPUT!GU256</f>
        <v>3.125445801271276</v>
      </c>
      <c r="EI117" s="151">
        <f>INPUT!GV256</f>
        <v>3676.5117909948667</v>
      </c>
      <c r="EJ117" s="687">
        <f>INPUT!GW256</f>
        <v>3.2471138630252527</v>
      </c>
      <c r="EK117" s="151">
        <f>INPUT!GX256</f>
        <v>3800.176466142274</v>
      </c>
      <c r="EL117" s="687">
        <f>INPUT!GY256</f>
        <v>3.3636414671729842</v>
      </c>
      <c r="EM117" s="687">
        <f>INPUT!GZ256</f>
        <v>3.5560298412951497</v>
      </c>
    </row>
    <row r="118" spans="1:143" ht="12.75" hidden="1" customHeight="1" outlineLevel="1" x14ac:dyDescent="0.2">
      <c r="A118" s="701" t="str">
        <f>INPUT!B257</f>
        <v>Interest Credited</v>
      </c>
      <c r="B118" s="151">
        <f>INPUT!AY257</f>
        <v>142.19999999999999</v>
      </c>
      <c r="C118" s="687">
        <f>INPUT!AZ257</f>
        <v>2.3758099352051643</v>
      </c>
      <c r="D118" s="151">
        <f>INPUT!BA257</f>
        <v>241.5</v>
      </c>
      <c r="E118" s="687">
        <f>INPUT!BB257</f>
        <v>75</v>
      </c>
      <c r="F118" s="151">
        <f>INPUT!BC257</f>
        <v>247.1</v>
      </c>
      <c r="G118" s="687">
        <f>INPUT!BD257</f>
        <v>75.372604684173169</v>
      </c>
      <c r="H118" s="151">
        <f>INPUT!BE257</f>
        <v>251.3</v>
      </c>
      <c r="I118" s="687">
        <f>INPUT!BF257</f>
        <v>76.847290640394107</v>
      </c>
      <c r="J118" s="151">
        <f>INPUT!BG257</f>
        <v>251.7</v>
      </c>
      <c r="K118" s="687">
        <f>INPUT!BH257</f>
        <v>77.004219409282697</v>
      </c>
      <c r="L118" s="151">
        <f>INPUT!BI257</f>
        <v>254</v>
      </c>
      <c r="M118" s="687">
        <f>INPUT!BJ257</f>
        <v>5.1759834368529933</v>
      </c>
      <c r="N118" s="151">
        <f>INPUT!BK257</f>
        <v>292.89999999999998</v>
      </c>
      <c r="O118" s="687">
        <f>INPUT!BL257</f>
        <v>18.535006070416827</v>
      </c>
      <c r="P118" s="151">
        <f>INPUT!BM257</f>
        <v>298.2</v>
      </c>
      <c r="Q118" s="687">
        <f>INPUT!BN257</f>
        <v>18.662952646239539</v>
      </c>
      <c r="R118" s="151">
        <f>INPUT!BO257</f>
        <v>296.5</v>
      </c>
      <c r="S118" s="687">
        <f>INPUT!BP257</f>
        <v>17.798967024235203</v>
      </c>
      <c r="T118" s="151">
        <f>INPUT!BQ257</f>
        <v>300.60000000000002</v>
      </c>
      <c r="U118" s="687">
        <f>INPUT!BR257</f>
        <v>18.346456692913392</v>
      </c>
      <c r="V118" s="151">
        <f>INPUT!BS257</f>
        <v>304.7</v>
      </c>
      <c r="W118" s="687">
        <f>INPUT!BT257</f>
        <v>4.0286787299419702</v>
      </c>
      <c r="X118" s="151">
        <f>INPUT!BU257</f>
        <v>300.7</v>
      </c>
      <c r="Y118" s="687">
        <f>INPUT!BV257</f>
        <v>0.83836351441985979</v>
      </c>
      <c r="Z118" s="151">
        <f>INPUT!BW257</f>
        <v>302.8</v>
      </c>
      <c r="AA118" s="687">
        <f>INPUT!BX257</f>
        <v>2.1247892074198971</v>
      </c>
      <c r="AB118" s="151">
        <f>INPUT!BY257</f>
        <v>290.8</v>
      </c>
      <c r="AC118" s="687">
        <f>INPUT!BZ257</f>
        <v>-3.2601463739188374</v>
      </c>
      <c r="AD118" s="151">
        <f>INPUT!CA257</f>
        <v>292.89999999999998</v>
      </c>
      <c r="AE118" s="687">
        <f>INPUT!CB257</f>
        <v>-3.872661634394492</v>
      </c>
      <c r="AF118" s="151">
        <f>INPUT!CC257</f>
        <v>297.7</v>
      </c>
      <c r="AG118" s="687">
        <f>INPUT!CD257</f>
        <v>-0.99767209843698579</v>
      </c>
      <c r="AH118" s="151">
        <f>INPUT!CE257</f>
        <v>296.89999999999998</v>
      </c>
      <c r="AI118" s="687">
        <f>INPUT!CF257</f>
        <v>-1.9484808454425462</v>
      </c>
      <c r="AJ118" s="151">
        <f>INPUT!CG257</f>
        <v>298.8</v>
      </c>
      <c r="AK118" s="687">
        <f>INPUT!CH257</f>
        <v>2.7510316368638321</v>
      </c>
      <c r="AL118" s="151">
        <f>INPUT!CI257</f>
        <v>299.5</v>
      </c>
      <c r="AM118" s="687">
        <f>INPUT!CJ257</f>
        <v>2.2533287811539848</v>
      </c>
      <c r="AN118" s="151">
        <f>INPUT!CK257</f>
        <v>302.89999999999998</v>
      </c>
      <c r="AO118" s="687">
        <f>INPUT!CL257</f>
        <v>1.7467248908296984</v>
      </c>
      <c r="AP118" s="151">
        <f>INPUT!CM257</f>
        <v>302</v>
      </c>
      <c r="AQ118" s="687">
        <f>INPUT!CN257</f>
        <v>1.717750084203451</v>
      </c>
      <c r="AR118" s="151">
        <f>INPUT!CO257</f>
        <v>307.5</v>
      </c>
      <c r="AS118" s="687">
        <f>INPUT!CP257</f>
        <v>2.9116465863453733</v>
      </c>
      <c r="AT118" s="151">
        <f>INPUT!CQ257</f>
        <v>311.89999999999998</v>
      </c>
      <c r="AU118" s="687">
        <f>INPUT!CR257</f>
        <v>4.1402337228714448</v>
      </c>
      <c r="AV118" s="151">
        <f>INPUT!CS257</f>
        <v>318</v>
      </c>
      <c r="AW118" s="687">
        <f>INPUT!CT257</f>
        <v>4.9851436117530623</v>
      </c>
      <c r="AX118" s="151">
        <f>INPUT!CU257</f>
        <v>312</v>
      </c>
      <c r="AY118" s="687">
        <f>INPUT!CV257</f>
        <v>3.3112582781456901</v>
      </c>
      <c r="AZ118" s="151">
        <f>INPUT!CW257</f>
        <v>312</v>
      </c>
      <c r="BA118" s="687">
        <f>INPUT!CX257</f>
        <v>1.4634146341463428</v>
      </c>
      <c r="BB118" s="151">
        <f>INPUT!CY257</f>
        <v>320</v>
      </c>
      <c r="BC118" s="687">
        <f>INPUT!CZ257</f>
        <v>2.5969862135299948</v>
      </c>
      <c r="BD118" s="151">
        <f>INPUT!DA257</f>
        <v>316</v>
      </c>
      <c r="BE118" s="687">
        <f>INPUT!DB257</f>
        <v>-0.62893081761006275</v>
      </c>
      <c r="BF118" s="151">
        <f>INPUT!DC257</f>
        <v>320</v>
      </c>
      <c r="BG118" s="687">
        <f>INPUT!DD257</f>
        <v>2.564102564102555</v>
      </c>
      <c r="BH118" s="151">
        <f>INPUT!DE257</f>
        <v>325</v>
      </c>
      <c r="BI118" s="687">
        <f>INPUT!DF257</f>
        <v>4.1666666666666741</v>
      </c>
      <c r="BJ118" s="151">
        <f>INPUT!DG257</f>
        <v>329</v>
      </c>
      <c r="BK118" s="687">
        <f>INPUT!DH257</f>
        <v>2.8124999999999956</v>
      </c>
      <c r="BL118" s="151">
        <f>INPUT!DI257</f>
        <v>332</v>
      </c>
      <c r="BM118" s="687">
        <f>INPUT!DJ257</f>
        <v>5.0632911392405111</v>
      </c>
      <c r="BN118" s="151">
        <f>INPUT!DK257</f>
        <v>334</v>
      </c>
      <c r="BO118" s="687">
        <f>INPUT!DL257</f>
        <v>4.3749999999999956</v>
      </c>
      <c r="BP118" s="151">
        <f>INPUT!DM257</f>
        <v>337</v>
      </c>
      <c r="BQ118" s="687">
        <f>INPUT!DN257</f>
        <v>3.6923076923076836</v>
      </c>
      <c r="BR118" s="151">
        <f>INPUT!DO257</f>
        <v>337</v>
      </c>
      <c r="BS118" s="687">
        <f>INPUT!DP257</f>
        <v>2.4316109422492405</v>
      </c>
      <c r="BT118" s="151">
        <f>INPUT!DQ257</f>
        <v>341</v>
      </c>
      <c r="BU118" s="687">
        <f>INPUT!DR257</f>
        <v>2.7108433734939652</v>
      </c>
      <c r="BV118" s="151">
        <f>INPUT!DS257</f>
        <v>338</v>
      </c>
      <c r="BW118" s="687">
        <f>INPUT!DT257</f>
        <v>1.1976047904191711</v>
      </c>
      <c r="BX118" s="151">
        <f>INPUT!DU257</f>
        <v>345</v>
      </c>
      <c r="BY118" s="687">
        <f>INPUT!DV257</f>
        <v>2.3738872403560762</v>
      </c>
      <c r="BZ118" s="151">
        <f>INPUT!DW257</f>
        <v>344</v>
      </c>
      <c r="CA118" s="687">
        <f>INPUT!DX257</f>
        <v>344</v>
      </c>
      <c r="CB118" s="151">
        <f>INPUT!DY257</f>
        <v>352</v>
      </c>
      <c r="CC118" s="687">
        <f>INPUT!DZ257</f>
        <v>3.2258064516129004</v>
      </c>
      <c r="CD118" s="151">
        <f>INPUT!EA257</f>
        <v>348</v>
      </c>
      <c r="CE118" s="687">
        <f>INPUT!EB257</f>
        <v>2.9585798816567976</v>
      </c>
      <c r="CF118" s="151">
        <f>INPUT!EC257</f>
        <v>349</v>
      </c>
      <c r="CG118" s="687">
        <f>INPUT!ED257</f>
        <v>1.1594202898550732</v>
      </c>
      <c r="CH118" s="151">
        <f>INPUT!EE257</f>
        <v>349</v>
      </c>
      <c r="CI118" s="687">
        <f>INPUT!EF257</f>
        <v>1.4534883720930258</v>
      </c>
      <c r="CJ118" s="151">
        <f>INPUT!EG257</f>
        <v>348</v>
      </c>
      <c r="CK118" s="687">
        <f>INPUT!EH257</f>
        <v>-1.1363636363636354</v>
      </c>
      <c r="CL118" s="151">
        <f>INPUT!EI257</f>
        <v>349</v>
      </c>
      <c r="CM118" s="687">
        <f>INPUT!EJ257</f>
        <v>0.28735632183907178</v>
      </c>
      <c r="CN118" s="151">
        <f>INPUT!EK257</f>
        <v>349</v>
      </c>
      <c r="CO118" s="687">
        <f>INPUT!EL257</f>
        <v>0</v>
      </c>
      <c r="CP118" s="151">
        <f>INPUT!EM257</f>
        <v>350</v>
      </c>
      <c r="CQ118" s="687">
        <f>INPUT!EN257</f>
        <v>0.28653295128939771</v>
      </c>
      <c r="CR118" s="151">
        <f>INPUT!EO257</f>
        <v>355</v>
      </c>
      <c r="CS118" s="687">
        <f>INPUT!EP257</f>
        <v>2.0114942528735691</v>
      </c>
      <c r="CT118" s="151">
        <f>INPUT!EQ257</f>
        <v>357.00450703765136</v>
      </c>
      <c r="CU118" s="687">
        <f>INPUT!ER257</f>
        <v>2.2935550251150127</v>
      </c>
      <c r="CV118" s="151">
        <f>INPUT!ES257</f>
        <v>359.17790041538416</v>
      </c>
      <c r="CW118" s="687">
        <f>INPUT!ET257</f>
        <v>2.9163038439496081</v>
      </c>
      <c r="CX118" s="151">
        <f>INPUT!EU257</f>
        <v>361.35101354855328</v>
      </c>
      <c r="CY118" s="687">
        <f>INPUT!EV257</f>
        <v>3.2431467281580861</v>
      </c>
      <c r="CZ118" s="151">
        <f>INPUT!EW257</f>
        <v>363.54489401606111</v>
      </c>
      <c r="DA118" s="687">
        <f>INPUT!EX257</f>
        <v>2.4070123988904513</v>
      </c>
      <c r="DB118" s="16"/>
      <c r="DC118" s="151">
        <f>INPUT!FP257</f>
        <v>559.9</v>
      </c>
      <c r="DD118" s="687" t="str">
        <f>INPUT!FQ257</f>
        <v>NA</v>
      </c>
      <c r="DE118" s="151">
        <f>INPUT!FR257</f>
        <v>882.09999999999991</v>
      </c>
      <c r="DF118" s="687">
        <f>INPUT!FS257</f>
        <v>57.545990355420606</v>
      </c>
      <c r="DG118" s="151">
        <f>INPUT!FT257</f>
        <v>1096.8</v>
      </c>
      <c r="DH118" s="687">
        <f>INPUT!FU257</f>
        <v>24.339644031288987</v>
      </c>
      <c r="DI118" s="151">
        <f>INPUT!FV257</f>
        <v>1202.5</v>
      </c>
      <c r="DJ118" s="687">
        <f>INPUT!FW257</f>
        <v>9.6371261852662435</v>
      </c>
      <c r="DK118" s="151">
        <f>INPUT!FX257</f>
        <v>1184.2</v>
      </c>
      <c r="DL118" s="687">
        <f>INPUT!FY257</f>
        <v>-1.5218295218295208</v>
      </c>
      <c r="DM118" s="151">
        <f>INPUT!FZ257</f>
        <v>1198.0999999999999</v>
      </c>
      <c r="DN118" s="687">
        <f>INPUT!GA257</f>
        <v>1.1737882114507547</v>
      </c>
      <c r="DO118" s="151">
        <f>INPUT!GB257</f>
        <v>1239.4000000000001</v>
      </c>
      <c r="DP118" s="687">
        <f>INPUT!GC257</f>
        <v>3.4471246139721412</v>
      </c>
      <c r="DQ118" s="151">
        <f>INPUT!GD257</f>
        <v>1260</v>
      </c>
      <c r="DR118" s="687">
        <f>INPUT!GE257</f>
        <v>1.6620945618847749</v>
      </c>
      <c r="DS118" s="151">
        <f>INPUT!GF257</f>
        <v>1306</v>
      </c>
      <c r="DT118" s="687">
        <f>INPUT!GG257</f>
        <v>3.65079365079366</v>
      </c>
      <c r="DU118" s="151">
        <f>INPUT!GH257</f>
        <v>1349</v>
      </c>
      <c r="DV118" s="687">
        <f>INPUT!GI257</f>
        <v>3.2924961715160794</v>
      </c>
      <c r="DW118" s="151">
        <f>INPUT!GJ257</f>
        <v>1379</v>
      </c>
      <c r="DX118" s="687">
        <f>INPUT!GK257</f>
        <v>2.2238695329873881</v>
      </c>
      <c r="DY118" s="151">
        <f>INPUT!GL257</f>
        <v>1394</v>
      </c>
      <c r="DZ118" s="687">
        <f>INPUT!GM257</f>
        <v>1.0877447425670761</v>
      </c>
      <c r="EA118" s="151">
        <f>INPUT!GN257</f>
        <v>1403</v>
      </c>
      <c r="EB118" s="687">
        <f>INPUT!GO257</f>
        <v>0.64562410329984665</v>
      </c>
      <c r="EC118" s="151">
        <f>INPUT!GP257</f>
        <v>1441.0783150176499</v>
      </c>
      <c r="ED118" s="687">
        <f>INPUT!GQ257</f>
        <v>2.7140637931325706</v>
      </c>
      <c r="EE118" s="151">
        <f>INPUT!GR257</f>
        <v>1477.2559437556274</v>
      </c>
      <c r="EF118" s="687">
        <f>INPUT!GS257</f>
        <v>2.5104554250082067</v>
      </c>
      <c r="EG118" s="151">
        <f>INPUT!GT257</f>
        <v>1522.1126140829278</v>
      </c>
      <c r="EH118" s="687">
        <f>INPUT!GU257</f>
        <v>3.0364860278213834</v>
      </c>
      <c r="EI118" s="151">
        <f>INPUT!GV257</f>
        <v>1560.8181315599597</v>
      </c>
      <c r="EJ118" s="687">
        <f>INPUT!GW257</f>
        <v>2.5428813294706254</v>
      </c>
      <c r="EK118" s="151">
        <f>INPUT!GX257</f>
        <v>1601.0751912418366</v>
      </c>
      <c r="EL118" s="687">
        <f>INPUT!GY257</f>
        <v>2.5792280899275433</v>
      </c>
      <c r="EM118" s="687">
        <f>INPUT!GZ257</f>
        <v>2.6764421357765134</v>
      </c>
    </row>
    <row r="119" spans="1:143" ht="12.75" hidden="1" customHeight="1" outlineLevel="1" x14ac:dyDescent="0.2">
      <c r="A119" s="701" t="str">
        <f>INPUT!B258</f>
        <v>Net DAC and VOBA Amortization</v>
      </c>
      <c r="B119" s="151">
        <f>INPUT!AY258</f>
        <v>-16.5</v>
      </c>
      <c r="C119" s="687" t="str">
        <f>INPUT!AZ258</f>
        <v>NM</v>
      </c>
      <c r="D119" s="151">
        <f>INPUT!BA258</f>
        <v>-93.100000000000009</v>
      </c>
      <c r="E119" s="687" t="str">
        <f>INPUT!BB258</f>
        <v>NM</v>
      </c>
      <c r="F119" s="151">
        <f>INPUT!BC258</f>
        <v>-110.3</v>
      </c>
      <c r="G119" s="687" t="str">
        <f>INPUT!BD258</f>
        <v>NM</v>
      </c>
      <c r="H119" s="151">
        <f>INPUT!BE258</f>
        <v>-150.80000000000001</v>
      </c>
      <c r="I119" s="687" t="str">
        <f>INPUT!BF258</f>
        <v>NM</v>
      </c>
      <c r="J119" s="151">
        <f>INPUT!BG258</f>
        <v>-149.79999999999998</v>
      </c>
      <c r="K119" s="687" t="str">
        <f>INPUT!BH258</f>
        <v>NM</v>
      </c>
      <c r="L119" s="151">
        <f>INPUT!BI258</f>
        <v>-182.79999999999998</v>
      </c>
      <c r="M119" s="687">
        <f>INPUT!BJ258</f>
        <v>96.348012889366231</v>
      </c>
      <c r="N119" s="151">
        <f>INPUT!BK258</f>
        <v>-127.90000000000003</v>
      </c>
      <c r="O119" s="687">
        <f>INPUT!BL258</f>
        <v>15.956482320942911</v>
      </c>
      <c r="P119" s="151">
        <f>INPUT!BM258</f>
        <v>-159.69999999999999</v>
      </c>
      <c r="Q119" s="687">
        <f>INPUT!BN258</f>
        <v>5.9018567639257169</v>
      </c>
      <c r="R119" s="151">
        <f>INPUT!BO258</f>
        <v>-113.20000000000002</v>
      </c>
      <c r="S119" s="687">
        <f>INPUT!BP258</f>
        <v>-24.432576769025349</v>
      </c>
      <c r="T119" s="151">
        <f>INPUT!BQ258</f>
        <v>-74.899999999999977</v>
      </c>
      <c r="U119" s="687" t="str">
        <f>INPUT!BR258</f>
        <v>NM</v>
      </c>
      <c r="V119" s="151">
        <f>INPUT!BS258</f>
        <v>-180.9</v>
      </c>
      <c r="W119" s="687">
        <f>INPUT!BT258</f>
        <v>41.438623924941332</v>
      </c>
      <c r="X119" s="151">
        <f>INPUT!BU258</f>
        <v>-96.800000000000011</v>
      </c>
      <c r="Y119" s="687">
        <f>INPUT!BV258</f>
        <v>-39.386349405134609</v>
      </c>
      <c r="Z119" s="151">
        <f>INPUT!BW258</f>
        <v>-97.4</v>
      </c>
      <c r="AA119" s="687">
        <f>INPUT!BX258</f>
        <v>-13.957597173144887</v>
      </c>
      <c r="AB119" s="151">
        <f>INPUT!BY258</f>
        <v>-83.6</v>
      </c>
      <c r="AC119" s="687">
        <f>INPUT!BZ258</f>
        <v>11.615487316421923</v>
      </c>
      <c r="AD119" s="151">
        <f>INPUT!CA258</f>
        <v>-19.300000000000011</v>
      </c>
      <c r="AE119" s="687" t="str">
        <f>INPUT!CB258</f>
        <v>NM</v>
      </c>
      <c r="AF119" s="151">
        <f>INPUT!CC258</f>
        <v>-128.19999999999999</v>
      </c>
      <c r="AG119" s="687">
        <f>INPUT!CD258</f>
        <v>32.438016528925594</v>
      </c>
      <c r="AH119" s="151">
        <f>INPUT!CE258</f>
        <v>-77.199999999999989</v>
      </c>
      <c r="AI119" s="687">
        <f>INPUT!CF258</f>
        <v>-20.739219712525681</v>
      </c>
      <c r="AJ119" s="151">
        <f>INPUT!CG258</f>
        <v>-49.599999999999994</v>
      </c>
      <c r="AK119" s="687">
        <f>INPUT!CH258</f>
        <v>-40.669856459330148</v>
      </c>
      <c r="AL119" s="151">
        <f>INPUT!CI258</f>
        <v>-144.6</v>
      </c>
      <c r="AM119" s="687" t="str">
        <f>INPUT!CJ258</f>
        <v>NM</v>
      </c>
      <c r="AN119" s="151">
        <f>INPUT!CK258</f>
        <v>-105.69999999999999</v>
      </c>
      <c r="AO119" s="687">
        <f>INPUT!CL258</f>
        <v>-17.550702028081123</v>
      </c>
      <c r="AP119" s="151">
        <f>INPUT!CM258</f>
        <v>-149.19999999999999</v>
      </c>
      <c r="AQ119" s="687">
        <f>INPUT!CN258</f>
        <v>93.264248704663231</v>
      </c>
      <c r="AR119" s="151">
        <f>INPUT!CO258</f>
        <v>-219.29999999999998</v>
      </c>
      <c r="AS119" s="687" t="str">
        <f>INPUT!CP258</f>
        <v>NM</v>
      </c>
      <c r="AT119" s="151">
        <f>INPUT!CQ258</f>
        <v>161</v>
      </c>
      <c r="AU119" s="687" t="str">
        <f>INPUT!CR258</f>
        <v>NM</v>
      </c>
      <c r="AV119" s="151">
        <f>INPUT!CS258</f>
        <v>-150</v>
      </c>
      <c r="AW119" s="687">
        <f>INPUT!CT258</f>
        <v>41.911069063386954</v>
      </c>
      <c r="AX119" s="151">
        <f>INPUT!CU258</f>
        <v>-65</v>
      </c>
      <c r="AY119" s="687" t="str">
        <f>INPUT!CV258</f>
        <v>NM</v>
      </c>
      <c r="AZ119" s="151">
        <f>INPUT!CW258</f>
        <v>-46</v>
      </c>
      <c r="BA119" s="687" t="str">
        <f>INPUT!CX258</f>
        <v>NM</v>
      </c>
      <c r="BB119" s="151">
        <f>INPUT!CY258</f>
        <v>182</v>
      </c>
      <c r="BC119" s="687">
        <f>INPUT!CZ258</f>
        <v>13.043478260869556</v>
      </c>
      <c r="BD119" s="151">
        <f>INPUT!DA258</f>
        <v>-57</v>
      </c>
      <c r="BE119" s="687" t="str">
        <f>INPUT!DB258</f>
        <v>NM</v>
      </c>
      <c r="BF119" s="151">
        <f>INPUT!DC258</f>
        <v>-59</v>
      </c>
      <c r="BG119" s="687">
        <f>INPUT!DD258</f>
        <v>-9.2307692307692317</v>
      </c>
      <c r="BH119" s="151">
        <f>INPUT!DE258</f>
        <v>-56</v>
      </c>
      <c r="BI119" s="687">
        <f>INPUT!DF258</f>
        <v>21.739130434782616</v>
      </c>
      <c r="BJ119" s="151">
        <f>INPUT!DG258</f>
        <v>-54</v>
      </c>
      <c r="BK119" s="687" t="str">
        <f>INPUT!DH258</f>
        <v>NM</v>
      </c>
      <c r="BL119" s="151">
        <f>INPUT!DI258</f>
        <v>-86</v>
      </c>
      <c r="BM119" s="687">
        <f>INPUT!DJ258</f>
        <v>50.877192982456144</v>
      </c>
      <c r="BN119" s="151">
        <f>INPUT!DK258</f>
        <v>-61</v>
      </c>
      <c r="BO119" s="687">
        <f>INPUT!DL258</f>
        <v>3.3898305084745672</v>
      </c>
      <c r="BP119" s="151">
        <f>INPUT!DM258</f>
        <v>-66</v>
      </c>
      <c r="BQ119" s="687">
        <f>INPUT!DN258</f>
        <v>17.857142857142861</v>
      </c>
      <c r="BR119" s="151">
        <f>INPUT!DO258</f>
        <v>-12</v>
      </c>
      <c r="BS119" s="687" t="str">
        <f>INPUT!DP258</f>
        <v>NM</v>
      </c>
      <c r="BT119" s="151">
        <f>INPUT!DQ258</f>
        <v>34</v>
      </c>
      <c r="BU119" s="687" t="str">
        <f>INPUT!DR258</f>
        <v>NM</v>
      </c>
      <c r="BV119" s="151">
        <f>INPUT!DS258</f>
        <v>-59</v>
      </c>
      <c r="BW119" s="687">
        <f>INPUT!DT258</f>
        <v>-3.2786885245901676</v>
      </c>
      <c r="BX119" s="151">
        <f>INPUT!DU258</f>
        <v>-70</v>
      </c>
      <c r="BY119" s="687">
        <f>INPUT!DV258</f>
        <v>6.0606060606060552</v>
      </c>
      <c r="BZ119" s="151">
        <f>INPUT!DW258</f>
        <v>402</v>
      </c>
      <c r="CA119" s="687">
        <f>INPUT!DX258</f>
        <v>402</v>
      </c>
      <c r="CB119" s="151">
        <f>INPUT!DY258</f>
        <v>-220</v>
      </c>
      <c r="CC119" s="687" t="str">
        <f>INPUT!DZ258</f>
        <v>NM</v>
      </c>
      <c r="CD119" s="151">
        <f>INPUT!EA258</f>
        <v>-45</v>
      </c>
      <c r="CE119" s="687">
        <f>INPUT!EB258</f>
        <v>-23.728813559322038</v>
      </c>
      <c r="CF119" s="151">
        <f>INPUT!EC258</f>
        <v>-61</v>
      </c>
      <c r="CG119" s="687">
        <f>INPUT!ED258</f>
        <v>-12.857142857142856</v>
      </c>
      <c r="CH119" s="151">
        <f>INPUT!EE258</f>
        <v>122</v>
      </c>
      <c r="CI119" s="687" t="str">
        <f>INPUT!EF258</f>
        <v>NM</v>
      </c>
      <c r="CJ119" s="151">
        <f>INPUT!EG258</f>
        <v>-112</v>
      </c>
      <c r="CK119" s="687">
        <f>INPUT!EH258</f>
        <v>-49.090909090909093</v>
      </c>
      <c r="CL119" s="151">
        <f>INPUT!EI258</f>
        <v>-102</v>
      </c>
      <c r="CM119" s="687" t="str">
        <f>INPUT!EJ258</f>
        <v>NM</v>
      </c>
      <c r="CN119" s="151">
        <f>INPUT!EK258</f>
        <v>-94</v>
      </c>
      <c r="CO119" s="687">
        <f>INPUT!EL258</f>
        <v>54.0983606557377</v>
      </c>
      <c r="CP119" s="151">
        <f>INPUT!EM258</f>
        <v>-100</v>
      </c>
      <c r="CQ119" s="687" t="str">
        <f>INPUT!EN258</f>
        <v>NM</v>
      </c>
      <c r="CR119" s="151">
        <f>INPUT!EO258</f>
        <v>-62</v>
      </c>
      <c r="CS119" s="687">
        <f>INPUT!EP258</f>
        <v>-44.642857142857139</v>
      </c>
      <c r="CT119" s="151">
        <f>INPUT!EQ258</f>
        <v>-85</v>
      </c>
      <c r="CU119" s="687">
        <f>INPUT!ER258</f>
        <v>-16.666666666666664</v>
      </c>
      <c r="CV119" s="151">
        <f>INPUT!ES258</f>
        <v>-85.85</v>
      </c>
      <c r="CW119" s="687">
        <f>INPUT!ET258</f>
        <v>-8.6702127659574515</v>
      </c>
      <c r="CX119" s="151">
        <f>INPUT!EU258</f>
        <v>-86.708500000000001</v>
      </c>
      <c r="CY119" s="687">
        <f>INPUT!EV258</f>
        <v>-13.291500000000001</v>
      </c>
      <c r="CZ119" s="151">
        <f>INPUT!EW258</f>
        <v>-87.575585000000004</v>
      </c>
      <c r="DA119" s="687">
        <f>INPUT!EX258</f>
        <v>41.250943548387099</v>
      </c>
      <c r="DB119" s="16"/>
      <c r="DC119" s="151">
        <f>INPUT!FP258</f>
        <v>-114.9</v>
      </c>
      <c r="DD119" s="687" t="str">
        <f>INPUT!FQ258</f>
        <v>NA</v>
      </c>
      <c r="DE119" s="151">
        <f>INPUT!FR258</f>
        <v>-370.70000000000005</v>
      </c>
      <c r="DF119" s="687" t="str">
        <f>INPUT!FS258</f>
        <v>NM</v>
      </c>
      <c r="DG119" s="151">
        <f>INPUT!FT258</f>
        <v>-620.20000000000005</v>
      </c>
      <c r="DH119" s="687">
        <f>INPUT!FU258</f>
        <v>67.305098462368477</v>
      </c>
      <c r="DI119" s="151">
        <f>INPUT!FV258</f>
        <v>-465.8</v>
      </c>
      <c r="DJ119" s="687">
        <f>INPUT!FW258</f>
        <v>-24.895195098355373</v>
      </c>
      <c r="DK119" s="151">
        <f>INPUT!FX258</f>
        <v>-328.5</v>
      </c>
      <c r="DL119" s="687">
        <f>INPUT!FY258</f>
        <v>-29.476170030055815</v>
      </c>
      <c r="DM119" s="151">
        <f>INPUT!FZ258</f>
        <v>-377.09999999999997</v>
      </c>
      <c r="DN119" s="687">
        <f>INPUT!GA258</f>
        <v>14.79452054794519</v>
      </c>
      <c r="DO119" s="151">
        <f>INPUT!GB258</f>
        <v>-357.5</v>
      </c>
      <c r="DP119" s="687">
        <f>INPUT!GC258</f>
        <v>-5.1975603288252348</v>
      </c>
      <c r="DQ119" s="151">
        <f>INPUT!GD258</f>
        <v>14</v>
      </c>
      <c r="DR119" s="687" t="str">
        <f>INPUT!GE258</f>
        <v>NM</v>
      </c>
      <c r="DS119" s="151">
        <f>INPUT!GF258</f>
        <v>-255</v>
      </c>
      <c r="DT119" s="687" t="str">
        <f>INPUT!GG258</f>
        <v>NM</v>
      </c>
      <c r="DU119" s="151">
        <f>INPUT!GH258</f>
        <v>-105</v>
      </c>
      <c r="DV119" s="687" t="str">
        <f>INPUT!GI258</f>
        <v>NM</v>
      </c>
      <c r="DW119" s="151">
        <f>INPUT!GJ258</f>
        <v>53</v>
      </c>
      <c r="DX119" s="687" t="str">
        <f>INPUT!GK258</f>
        <v>NM</v>
      </c>
      <c r="DY119" s="151">
        <f>INPUT!GL258</f>
        <v>-96</v>
      </c>
      <c r="DZ119" s="687" t="str">
        <f>INPUT!GM258</f>
        <v>NM</v>
      </c>
      <c r="EA119" s="151">
        <f>INPUT!GN258</f>
        <v>-358</v>
      </c>
      <c r="EB119" s="687" t="str">
        <f>INPUT!GO258</f>
        <v>NM</v>
      </c>
      <c r="EC119" s="151">
        <f>INPUT!GP258</f>
        <v>-345.13408499999997</v>
      </c>
      <c r="ED119" s="687">
        <f>INPUT!GQ258</f>
        <v>-3.5938310055866007</v>
      </c>
      <c r="EE119" s="151">
        <f>INPUT!GR258</f>
        <v>-362.39078925000001</v>
      </c>
      <c r="EF119" s="687">
        <f>INPUT!GS258</f>
        <v>5.0000000000000044</v>
      </c>
      <c r="EG119" s="151">
        <f>INPUT!GT258</f>
        <v>-380.51032871250004</v>
      </c>
      <c r="EH119" s="687">
        <f>INPUT!GU258</f>
        <v>5.0000000000000044</v>
      </c>
      <c r="EI119" s="151">
        <f>INPUT!GV258</f>
        <v>-399.53584514812508</v>
      </c>
      <c r="EJ119" s="687">
        <f>INPUT!GW258</f>
        <v>5.0000000000000044</v>
      </c>
      <c r="EK119" s="151">
        <f>INPUT!GX258</f>
        <v>-419.51263740553134</v>
      </c>
      <c r="EL119" s="687">
        <f>INPUT!GY258</f>
        <v>5.0000000000000044</v>
      </c>
      <c r="EM119" s="687">
        <f>INPUT!GZ258</f>
        <v>3.2220320154066284</v>
      </c>
    </row>
    <row r="120" spans="1:143" ht="12.75" hidden="1" customHeight="1" outlineLevel="1" x14ac:dyDescent="0.2">
      <c r="A120" s="701" t="str">
        <f>INPUT!B259</f>
        <v>Other Operating Expenses</v>
      </c>
      <c r="B120" s="151">
        <f>INPUT!AY259</f>
        <v>149.40000000000003</v>
      </c>
      <c r="C120" s="687">
        <f>INPUT!AZ259</f>
        <v>3.7500000000000311</v>
      </c>
      <c r="D120" s="151">
        <f>INPUT!BA259</f>
        <v>276</v>
      </c>
      <c r="E120" s="687">
        <f>INPUT!BB259</f>
        <v>91.400832177531228</v>
      </c>
      <c r="F120" s="151">
        <f>INPUT!BC259</f>
        <v>317.8</v>
      </c>
      <c r="G120" s="687">
        <f>INPUT!BD259</f>
        <v>97.268777157045335</v>
      </c>
      <c r="H120" s="151">
        <f>INPUT!BE259</f>
        <v>369.79999999999995</v>
      </c>
      <c r="I120" s="687" t="str">
        <f>INPUT!BF259</f>
        <v>NM</v>
      </c>
      <c r="J120" s="151">
        <f>INPUT!BG259</f>
        <v>371</v>
      </c>
      <c r="K120" s="687" t="str">
        <f>INPUT!BH259</f>
        <v>NM</v>
      </c>
      <c r="L120" s="151">
        <f>INPUT!BI259</f>
        <v>353.79999999999995</v>
      </c>
      <c r="M120" s="687">
        <f>INPUT!BJ259</f>
        <v>28.188405797101424</v>
      </c>
      <c r="N120" s="151">
        <f>INPUT!BK259</f>
        <v>355.50000000000006</v>
      </c>
      <c r="O120" s="687">
        <f>INPUT!BL259</f>
        <v>11.86280679672751</v>
      </c>
      <c r="P120" s="151">
        <f>INPUT!BM259</f>
        <v>362.4</v>
      </c>
      <c r="Q120" s="687">
        <f>INPUT!BN259</f>
        <v>-2.0010816657652697</v>
      </c>
      <c r="R120" s="151">
        <f>INPUT!BO259</f>
        <v>332.70000000000005</v>
      </c>
      <c r="S120" s="687">
        <f>INPUT!BP259</f>
        <v>-10.323450134770873</v>
      </c>
      <c r="T120" s="151">
        <f>INPUT!BQ259</f>
        <v>308.89999999999998</v>
      </c>
      <c r="U120" s="687">
        <f>INPUT!BR259</f>
        <v>-12.690785754663647</v>
      </c>
      <c r="V120" s="151">
        <f>INPUT!BS259</f>
        <v>350.5</v>
      </c>
      <c r="W120" s="687">
        <f>INPUT!BT259</f>
        <v>-1.4064697609001531</v>
      </c>
      <c r="X120" s="151">
        <f>INPUT!BU259</f>
        <v>355.9</v>
      </c>
      <c r="Y120" s="687">
        <f>INPUT!BV259</f>
        <v>-1.7935982339955858</v>
      </c>
      <c r="Z120" s="151">
        <f>INPUT!BW259</f>
        <v>321.39999999999998</v>
      </c>
      <c r="AA120" s="687">
        <f>INPUT!BX259</f>
        <v>-3.3964532611962972</v>
      </c>
      <c r="AB120" s="151">
        <f>INPUT!BY259</f>
        <v>275.29999999999995</v>
      </c>
      <c r="AC120" s="687">
        <f>INPUT!BZ259</f>
        <v>-10.877306571706058</v>
      </c>
      <c r="AD120" s="151">
        <f>INPUT!CA259</f>
        <v>303.2</v>
      </c>
      <c r="AE120" s="687">
        <f>INPUT!CB259</f>
        <v>-13.495007132667624</v>
      </c>
      <c r="AF120" s="151">
        <f>INPUT!CC259</f>
        <v>349.69999999999993</v>
      </c>
      <c r="AG120" s="687">
        <f>INPUT!CD259</f>
        <v>-1.7420623770722288</v>
      </c>
      <c r="AH120" s="151">
        <f>INPUT!CE259</f>
        <v>307.3</v>
      </c>
      <c r="AI120" s="687">
        <f>INPUT!CF259</f>
        <v>-4.3870566272557472</v>
      </c>
      <c r="AJ120" s="151">
        <f>INPUT!CG259</f>
        <v>290.89999999999986</v>
      </c>
      <c r="AK120" s="687">
        <f>INPUT!CH259</f>
        <v>5.6665455866327319</v>
      </c>
      <c r="AL120" s="151">
        <f>INPUT!CI259</f>
        <v>312.19999999999993</v>
      </c>
      <c r="AM120" s="687">
        <f>INPUT!CJ259</f>
        <v>2.9683377308706849</v>
      </c>
      <c r="AN120" s="151">
        <f>INPUT!CK259</f>
        <v>373.50000000000006</v>
      </c>
      <c r="AO120" s="687">
        <f>INPUT!CL259</f>
        <v>6.8058335716328688</v>
      </c>
      <c r="AP120" s="151">
        <f>INPUT!CM259</f>
        <v>336.2</v>
      </c>
      <c r="AQ120" s="687">
        <f>INPUT!CN259</f>
        <v>9.4044907256752186</v>
      </c>
      <c r="AR120" s="151">
        <f>INPUT!CO259</f>
        <v>329.9</v>
      </c>
      <c r="AS120" s="687">
        <f>INPUT!CP259</f>
        <v>13.406668958404989</v>
      </c>
      <c r="AT120" s="151">
        <f>INPUT!CQ259</f>
        <v>331.70000000000005</v>
      </c>
      <c r="AU120" s="687">
        <f>INPUT!CR259</f>
        <v>6.2459961563100963</v>
      </c>
      <c r="AV120" s="151">
        <f>INPUT!CS259</f>
        <v>359</v>
      </c>
      <c r="AW120" s="687">
        <f>INPUT!CT259</f>
        <v>-3.8821954484605237</v>
      </c>
      <c r="AX120" s="151">
        <f>INPUT!CU259</f>
        <v>304</v>
      </c>
      <c r="AY120" s="687">
        <f>INPUT!CV259</f>
        <v>-9.5776323616894707</v>
      </c>
      <c r="AZ120" s="151">
        <f>INPUT!CW259</f>
        <v>294</v>
      </c>
      <c r="BA120" s="687">
        <f>INPUT!CX259</f>
        <v>-10.882085480448611</v>
      </c>
      <c r="BB120" s="151">
        <f>INPUT!CY259</f>
        <v>283</v>
      </c>
      <c r="BC120" s="687">
        <f>INPUT!CZ259</f>
        <v>-14.681941513415753</v>
      </c>
      <c r="BD120" s="151">
        <f>INPUT!DA259</f>
        <v>339</v>
      </c>
      <c r="BE120" s="687">
        <f>INPUT!DB259</f>
        <v>-5.5710306406685284</v>
      </c>
      <c r="BF120" s="151">
        <f>INPUT!DC259</f>
        <v>308</v>
      </c>
      <c r="BG120" s="687">
        <f>INPUT!DD259</f>
        <v>1.3157894736842035</v>
      </c>
      <c r="BH120" s="151">
        <f>INPUT!DE259</f>
        <v>314</v>
      </c>
      <c r="BI120" s="687">
        <f>INPUT!DF259</f>
        <v>6.8027210884353817</v>
      </c>
      <c r="BJ120" s="151">
        <f>INPUT!DG259</f>
        <v>340</v>
      </c>
      <c r="BK120" s="687">
        <f>INPUT!DH259</f>
        <v>20.141342756183754</v>
      </c>
      <c r="BL120" s="151">
        <f>INPUT!DI259</f>
        <v>368</v>
      </c>
      <c r="BM120" s="687">
        <f>INPUT!DJ259</f>
        <v>8.5545722713864301</v>
      </c>
      <c r="BN120" s="151">
        <f>INPUT!DK259</f>
        <v>345</v>
      </c>
      <c r="BO120" s="687">
        <f>INPUT!DL259</f>
        <v>12.012987012987008</v>
      </c>
      <c r="BP120" s="151">
        <f>INPUT!DM259</f>
        <v>350</v>
      </c>
      <c r="BQ120" s="687">
        <f>INPUT!DN259</f>
        <v>11.464968152866239</v>
      </c>
      <c r="BR120" s="151">
        <f>INPUT!DO259</f>
        <v>345</v>
      </c>
      <c r="BS120" s="687">
        <f>INPUT!DP259</f>
        <v>1.4705882352941124</v>
      </c>
      <c r="BT120" s="151">
        <f>INPUT!DQ259</f>
        <v>378</v>
      </c>
      <c r="BU120" s="687">
        <f>INPUT!DR259</f>
        <v>2.7173913043478271</v>
      </c>
      <c r="BV120" s="151">
        <f>INPUT!DS259</f>
        <v>347</v>
      </c>
      <c r="BW120" s="687">
        <f>INPUT!DT259</f>
        <v>0.57971014492752548</v>
      </c>
      <c r="BX120" s="151">
        <f>INPUT!DU259</f>
        <v>343</v>
      </c>
      <c r="BY120" s="687">
        <f>INPUT!DV259</f>
        <v>-2.0000000000000018</v>
      </c>
      <c r="BZ120" s="151">
        <f>INPUT!DW259</f>
        <v>357</v>
      </c>
      <c r="CA120" s="687">
        <f>INPUT!DX259</f>
        <v>357</v>
      </c>
      <c r="CB120" s="151">
        <f>INPUT!DY259</f>
        <v>380</v>
      </c>
      <c r="CC120" s="687">
        <f>INPUT!DZ259</f>
        <v>0.52910052910053462</v>
      </c>
      <c r="CD120" s="151">
        <f>INPUT!EA259</f>
        <v>332</v>
      </c>
      <c r="CE120" s="687">
        <f>INPUT!EB259</f>
        <v>-4.3227665706051859</v>
      </c>
      <c r="CF120" s="151">
        <f>INPUT!EC259</f>
        <v>367</v>
      </c>
      <c r="CG120" s="687">
        <f>INPUT!ED259</f>
        <v>6.9970845481049482</v>
      </c>
      <c r="CH120" s="151">
        <f>INPUT!EE259</f>
        <v>391</v>
      </c>
      <c r="CI120" s="687">
        <f>INPUT!EF259</f>
        <v>9.5238095238095344</v>
      </c>
      <c r="CJ120" s="151">
        <f>INPUT!EG259</f>
        <v>429</v>
      </c>
      <c r="CK120" s="687">
        <f>INPUT!EH259</f>
        <v>12.894736842105271</v>
      </c>
      <c r="CL120" s="151">
        <f>INPUT!EI259</f>
        <v>375</v>
      </c>
      <c r="CM120" s="687">
        <f>INPUT!EJ259</f>
        <v>12.951807228915669</v>
      </c>
      <c r="CN120" s="151">
        <f>INPUT!EK259</f>
        <v>399</v>
      </c>
      <c r="CO120" s="687">
        <f>INPUT!EL259</f>
        <v>8.719346049046317</v>
      </c>
      <c r="CP120" s="151">
        <f>INPUT!EM259</f>
        <v>381</v>
      </c>
      <c r="CQ120" s="687">
        <f>INPUT!EN259</f>
        <v>-2.5575447570332477</v>
      </c>
      <c r="CR120" s="151">
        <f>INPUT!EO259</f>
        <v>389</v>
      </c>
      <c r="CS120" s="687">
        <f>INPUT!EP259</f>
        <v>-9.3240093240093191</v>
      </c>
      <c r="CT120" s="151">
        <f>INPUT!EQ259</f>
        <v>383.35980112975625</v>
      </c>
      <c r="CU120" s="687">
        <f>INPUT!ER259</f>
        <v>2.2292803012683438</v>
      </c>
      <c r="CV120" s="151">
        <f>INPUT!ES259</f>
        <v>385.29481504181791</v>
      </c>
      <c r="CW120" s="687">
        <f>INPUT!ET259</f>
        <v>-3.4348834481659374</v>
      </c>
      <c r="CX120" s="151">
        <f>INPUT!EU259</f>
        <v>388.0518464509334</v>
      </c>
      <c r="CY120" s="687">
        <f>INPUT!EV259</f>
        <v>1.8508783335783097</v>
      </c>
      <c r="CZ120" s="151">
        <f>INPUT!EW259</f>
        <v>391.75529311868894</v>
      </c>
      <c r="DA120" s="687">
        <f>INPUT!EX259</f>
        <v>0.70830157292773865</v>
      </c>
      <c r="DB120" s="16"/>
      <c r="DC120" s="151">
        <f>INPUT!FP259</f>
        <v>618</v>
      </c>
      <c r="DD120" s="687">
        <f>INPUT!FQ259</f>
        <v>26.380368098159511</v>
      </c>
      <c r="DE120" s="151">
        <f>INPUT!FR259</f>
        <v>1113</v>
      </c>
      <c r="DF120" s="687">
        <f>INPUT!FS259</f>
        <v>80.097087378640779</v>
      </c>
      <c r="DG120" s="151">
        <f>INPUT!FT259</f>
        <v>1442.6999999999998</v>
      </c>
      <c r="DH120" s="687">
        <f>INPUT!FU259</f>
        <v>29.622641509433944</v>
      </c>
      <c r="DI120" s="151">
        <f>INPUT!FV259</f>
        <v>1348</v>
      </c>
      <c r="DJ120" s="687">
        <f>INPUT!FW259</f>
        <v>-6.5640812365703072</v>
      </c>
      <c r="DK120" s="151">
        <f>INPUT!FX259</f>
        <v>1249.5999999999999</v>
      </c>
      <c r="DL120" s="687">
        <f>INPUT!FY259</f>
        <v>-7.2997032640949584</v>
      </c>
      <c r="DM120" s="151">
        <f>INPUT!FZ259</f>
        <v>1283.8999999999999</v>
      </c>
      <c r="DN120" s="687">
        <f>INPUT!GA259</f>
        <v>2.7448783610755312</v>
      </c>
      <c r="DO120" s="151">
        <f>INPUT!GB259</f>
        <v>1356.8</v>
      </c>
      <c r="DP120" s="687">
        <f>INPUT!GC259</f>
        <v>5.6780123062543986</v>
      </c>
      <c r="DQ120" s="151">
        <f>INPUT!GD259</f>
        <v>1220</v>
      </c>
      <c r="DR120" s="687">
        <f>INPUT!GE259</f>
        <v>-10.082547169811317</v>
      </c>
      <c r="DS120" s="151">
        <f>INPUT!GF259</f>
        <v>1330</v>
      </c>
      <c r="DT120" s="687">
        <f>INPUT!GG259</f>
        <v>9.0163934426229488</v>
      </c>
      <c r="DU120" s="151">
        <f>INPUT!GH259</f>
        <v>1418</v>
      </c>
      <c r="DV120" s="687">
        <f>INPUT!GI259</f>
        <v>6.6165413533834538</v>
      </c>
      <c r="DW120" s="151">
        <f>INPUT!GJ259</f>
        <v>1427</v>
      </c>
      <c r="DX120" s="687">
        <f>INPUT!GK259</f>
        <v>0.63469675599436837</v>
      </c>
      <c r="DY120" s="151">
        <f>INPUT!GL259</f>
        <v>1519</v>
      </c>
      <c r="DZ120" s="687">
        <f>INPUT!GM259</f>
        <v>6.4470918009810863</v>
      </c>
      <c r="EA120" s="151">
        <f>INPUT!GN259</f>
        <v>1544</v>
      </c>
      <c r="EB120" s="687">
        <f>INPUT!GO259</f>
        <v>1.6458196181698526</v>
      </c>
      <c r="EC120" s="151">
        <f>INPUT!GP259</f>
        <v>1548.4617557411966</v>
      </c>
      <c r="ED120" s="687">
        <f>INPUT!GQ259</f>
        <v>0.28897381743502315</v>
      </c>
      <c r="EE120" s="151">
        <f>INPUT!GR259</f>
        <v>1609.4744693800278</v>
      </c>
      <c r="EF120" s="687">
        <f>INPUT!GS259</f>
        <v>3.9402144362052027</v>
      </c>
      <c r="EG120" s="151">
        <f>INPUT!GT259</f>
        <v>1655.2179395666217</v>
      </c>
      <c r="EH120" s="687">
        <f>INPUT!GU259</f>
        <v>2.8421370488849185</v>
      </c>
      <c r="EI120" s="151">
        <f>INPUT!GV259</f>
        <v>1706.3320956391256</v>
      </c>
      <c r="EJ120" s="687">
        <f>INPUT!GW259</f>
        <v>3.0880619917572183</v>
      </c>
      <c r="EK120" s="151">
        <f>INPUT!GX259</f>
        <v>1760.7200244507874</v>
      </c>
      <c r="EL120" s="687">
        <f>INPUT!GY259</f>
        <v>3.1874175578517905</v>
      </c>
      <c r="EM120" s="687">
        <f>INPUT!GZ259</f>
        <v>2.6617354381978098</v>
      </c>
    </row>
    <row r="121" spans="1:143" ht="12.75" hidden="1" customHeight="1" outlineLevel="1" x14ac:dyDescent="0.2">
      <c r="A121" s="700" t="str">
        <f>INPUT!B260</f>
        <v xml:space="preserve"> Total Benefits and Expenses</v>
      </c>
      <c r="B121" s="520">
        <f>INPUT!AY260</f>
        <v>395.3</v>
      </c>
      <c r="C121" s="687">
        <f>INPUT!AZ260</f>
        <v>1.5412278448497352</v>
      </c>
      <c r="D121" s="520">
        <f>INPUT!BA260</f>
        <v>680.4</v>
      </c>
      <c r="E121" s="687">
        <f>INPUT!BB260</f>
        <v>77.882352941176464</v>
      </c>
      <c r="F121" s="520">
        <f>INPUT!BC260</f>
        <v>715.7</v>
      </c>
      <c r="G121" s="687">
        <f>INPUT!BD260</f>
        <v>97.816473189607535</v>
      </c>
      <c r="H121" s="520">
        <f>INPUT!BE260</f>
        <v>719.4</v>
      </c>
      <c r="I121" s="687">
        <f>INPUT!BF260</f>
        <v>84.083930399181156</v>
      </c>
      <c r="J121" s="520">
        <f>INPUT!BG260</f>
        <v>718.9</v>
      </c>
      <c r="K121" s="687">
        <f>INPUT!BH260</f>
        <v>81.861877055400953</v>
      </c>
      <c r="L121" s="520">
        <f>INPUT!BI260</f>
        <v>688</v>
      </c>
      <c r="M121" s="687">
        <f>INPUT!BJ260</f>
        <v>1.116990005878904</v>
      </c>
      <c r="N121" s="520">
        <f>INPUT!BK260</f>
        <v>786.1</v>
      </c>
      <c r="O121" s="687">
        <f>INPUT!BL260</f>
        <v>9.8365236831074334</v>
      </c>
      <c r="P121" s="520">
        <f>INPUT!BM260</f>
        <v>809.8</v>
      </c>
      <c r="Q121" s="687">
        <f>INPUT!BN260</f>
        <v>12.566027244926325</v>
      </c>
      <c r="R121" s="520">
        <f>INPUT!BO260</f>
        <v>814.6</v>
      </c>
      <c r="S121" s="687">
        <f>INPUT!BP260</f>
        <v>13.312004451244963</v>
      </c>
      <c r="T121" s="520">
        <f>INPUT!BQ260</f>
        <v>838.7</v>
      </c>
      <c r="U121" s="687">
        <f>INPUT!BR260</f>
        <v>21.904069767441857</v>
      </c>
      <c r="V121" s="520">
        <f>INPUT!BS260</f>
        <v>872</v>
      </c>
      <c r="W121" s="687">
        <f>INPUT!BT260</f>
        <v>10.927362930924822</v>
      </c>
      <c r="X121" s="520">
        <f>INPUT!BU260</f>
        <v>922.3</v>
      </c>
      <c r="Y121" s="687">
        <f>INPUT!BV260</f>
        <v>13.89231909113362</v>
      </c>
      <c r="Z121" s="520">
        <f>INPUT!BW260</f>
        <v>882.5</v>
      </c>
      <c r="AA121" s="687">
        <f>INPUT!BX260</f>
        <v>8.3353793272771917</v>
      </c>
      <c r="AB121" s="520">
        <f>INPUT!BY260</f>
        <v>805.5</v>
      </c>
      <c r="AC121" s="687">
        <f>INPUT!BZ260</f>
        <v>-3.9585072135447819</v>
      </c>
      <c r="AD121" s="520">
        <f>INPUT!CA260</f>
        <v>897.5</v>
      </c>
      <c r="AE121" s="687">
        <f>INPUT!CB260</f>
        <v>2.924311926605494</v>
      </c>
      <c r="AF121" s="520">
        <f>INPUT!CC260</f>
        <v>893.8</v>
      </c>
      <c r="AG121" s="687">
        <f>INPUT!CD260</f>
        <v>-3.0901008348693471</v>
      </c>
      <c r="AH121" s="520">
        <f>INPUT!CE260</f>
        <v>925.8</v>
      </c>
      <c r="AI121" s="687">
        <f>INPUT!CF260</f>
        <v>4.9065155807365368</v>
      </c>
      <c r="AJ121" s="520">
        <f>INPUT!CG260</f>
        <v>914.3</v>
      </c>
      <c r="AK121" s="687">
        <f>INPUT!CH260</f>
        <v>13.507138423339526</v>
      </c>
      <c r="AL121" s="520">
        <f>INPUT!CI260</f>
        <v>1028.0999999999999</v>
      </c>
      <c r="AM121" s="687">
        <f>INPUT!CJ260</f>
        <v>14.551532033426184</v>
      </c>
      <c r="AN121" s="520">
        <f>INPUT!CK260</f>
        <v>971.4</v>
      </c>
      <c r="AO121" s="687">
        <f>INPUT!CL260</f>
        <v>8.6820317744461981</v>
      </c>
      <c r="AP121" s="520">
        <f>INPUT!CM260</f>
        <v>936</v>
      </c>
      <c r="AQ121" s="687">
        <f>INPUT!CN260</f>
        <v>1.1017498379779722</v>
      </c>
      <c r="AR121" s="706">
        <f>INPUT!CO260</f>
        <v>1027.5</v>
      </c>
      <c r="AS121" s="687">
        <f>INPUT!CP260</f>
        <v>12.381056545991465</v>
      </c>
      <c r="AT121" s="520">
        <f>INPUT!CQ260</f>
        <v>957.1</v>
      </c>
      <c r="AU121" s="687">
        <f>INPUT!CR260</f>
        <v>-6.905943001653525</v>
      </c>
      <c r="AV121" s="520">
        <f>INPUT!CS260</f>
        <v>983</v>
      </c>
      <c r="AW121" s="687">
        <f>INPUT!CT260</f>
        <v>1.1941527691990972</v>
      </c>
      <c r="AX121" s="520">
        <f>INPUT!CU260</f>
        <v>1020</v>
      </c>
      <c r="AY121" s="687">
        <f>INPUT!CV260</f>
        <v>8.9743589743589638</v>
      </c>
      <c r="AZ121" s="520">
        <f>INPUT!CW260</f>
        <v>1034</v>
      </c>
      <c r="BA121" s="687">
        <f>INPUT!CX260</f>
        <v>0.63260340632602663</v>
      </c>
      <c r="BB121" s="520">
        <f>INPUT!CY260</f>
        <v>1080</v>
      </c>
      <c r="BC121" s="687">
        <f>INPUT!CZ260</f>
        <v>12.840873471946512</v>
      </c>
      <c r="BD121" s="520">
        <f>INPUT!DA260</f>
        <v>1084</v>
      </c>
      <c r="BE121" s="687">
        <f>INPUT!DB260</f>
        <v>10.274669379450652</v>
      </c>
      <c r="BF121" s="520">
        <f>INPUT!DC260</f>
        <v>1074</v>
      </c>
      <c r="BG121" s="687">
        <f>INPUT!DD260</f>
        <v>5.2941176470588269</v>
      </c>
      <c r="BH121" s="520">
        <f>INPUT!DE260</f>
        <v>1083</v>
      </c>
      <c r="BI121" s="687">
        <f>INPUT!DF260</f>
        <v>4.7388781431334515</v>
      </c>
      <c r="BJ121" s="520">
        <f>INPUT!DG260</f>
        <v>1091</v>
      </c>
      <c r="BK121" s="687">
        <f>INPUT!DH260</f>
        <v>1.0185185185185075</v>
      </c>
      <c r="BL121" s="520">
        <f>INPUT!DI260</f>
        <v>1110</v>
      </c>
      <c r="BM121" s="687">
        <f>INPUT!DJ260</f>
        <v>2.3985239852398532</v>
      </c>
      <c r="BN121" s="520">
        <f>INPUT!DK260</f>
        <v>1159</v>
      </c>
      <c r="BO121" s="687">
        <f>INPUT!DL260</f>
        <v>7.9143389199255232</v>
      </c>
      <c r="BP121" s="520">
        <f>INPUT!DM260</f>
        <v>1140</v>
      </c>
      <c r="BQ121" s="687">
        <f>INPUT!DN260</f>
        <v>5.2631578947368363</v>
      </c>
      <c r="BR121" s="520">
        <f>INPUT!DO260</f>
        <v>1220</v>
      </c>
      <c r="BS121" s="687">
        <f>INPUT!DP260</f>
        <v>11.824014665444537</v>
      </c>
      <c r="BT121" s="520">
        <f>INPUT!DQ260</f>
        <v>1578</v>
      </c>
      <c r="BU121" s="687">
        <f>INPUT!DR260</f>
        <v>42.162162162162154</v>
      </c>
      <c r="BV121" s="520">
        <f>INPUT!DS260</f>
        <v>1276</v>
      </c>
      <c r="BW121" s="687">
        <f>INPUT!DT260</f>
        <v>10.09490940465918</v>
      </c>
      <c r="BX121" s="520">
        <f>INPUT!DU260</f>
        <v>1291</v>
      </c>
      <c r="BY121" s="687">
        <f>INPUT!DV260</f>
        <v>13.245614035087726</v>
      </c>
      <c r="BZ121" s="520">
        <f>INPUT!DW260</f>
        <v>1681</v>
      </c>
      <c r="CA121" s="687">
        <f>INPUT!DX260</f>
        <v>1681</v>
      </c>
      <c r="CB121" s="520">
        <f>INPUT!DY260</f>
        <v>1173</v>
      </c>
      <c r="CC121" s="687">
        <f>INPUT!DZ260</f>
        <v>-25.665399239543728</v>
      </c>
      <c r="CD121" s="520">
        <f>INPUT!EA260</f>
        <v>1375</v>
      </c>
      <c r="CE121" s="687">
        <f>INPUT!EB260</f>
        <v>7.7586206896551824</v>
      </c>
      <c r="CF121" s="520">
        <f>INPUT!EC260</f>
        <v>1363</v>
      </c>
      <c r="CG121" s="687">
        <f>INPUT!ED260</f>
        <v>5.577072037180475</v>
      </c>
      <c r="CH121" s="520">
        <f>INPUT!EE260</f>
        <v>1384</v>
      </c>
      <c r="CI121" s="687">
        <f>INPUT!EF260</f>
        <v>-17.668054729327775</v>
      </c>
      <c r="CJ121" s="520">
        <f>INPUT!EG260</f>
        <v>1372</v>
      </c>
      <c r="CK121" s="687">
        <f>INPUT!EH260</f>
        <v>16.965046888320543</v>
      </c>
      <c r="CL121" s="520">
        <f>INPUT!EI260</f>
        <v>1419</v>
      </c>
      <c r="CM121" s="687">
        <f>INPUT!EJ260</f>
        <v>3.2000000000000028</v>
      </c>
      <c r="CN121" s="520">
        <f>INPUT!EK260</f>
        <v>1461</v>
      </c>
      <c r="CO121" s="687">
        <f>INPUT!EL260</f>
        <v>7.1900220102714574</v>
      </c>
      <c r="CP121" s="520">
        <f>INPUT!EM260</f>
        <v>1439</v>
      </c>
      <c r="CQ121" s="687">
        <f>INPUT!EN260</f>
        <v>3.973988439306364</v>
      </c>
      <c r="CR121" s="520">
        <f>INPUT!EO260</f>
        <v>1461</v>
      </c>
      <c r="CS121" s="687">
        <f>INPUT!EP260</f>
        <v>6.4868804664723001</v>
      </c>
      <c r="CT121" s="520">
        <f>INPUT!EQ260</f>
        <v>1496.1749149861607</v>
      </c>
      <c r="CU121" s="687">
        <f>INPUT!ER260</f>
        <v>5.4386832266497986</v>
      </c>
      <c r="CV121" s="520">
        <f>INPUT!ES260</f>
        <v>1484.5601088615817</v>
      </c>
      <c r="CW121" s="687">
        <f>INPUT!ET260</f>
        <v>1.6126015647899949</v>
      </c>
      <c r="CX121" s="520">
        <f>INPUT!EU260</f>
        <v>1496.3278611176402</v>
      </c>
      <c r="CY121" s="687">
        <f>INPUT!EV260</f>
        <v>3.9838680415316352</v>
      </c>
      <c r="CZ121" s="520">
        <f>INPUT!EW260</f>
        <v>1501.275923080744</v>
      </c>
      <c r="DA121" s="687">
        <f>INPUT!EX260</f>
        <v>2.7567366927271797</v>
      </c>
      <c r="DB121" s="16"/>
      <c r="DC121" s="520">
        <f>INPUT!FP260</f>
        <v>1524.4</v>
      </c>
      <c r="DD121" s="687">
        <f>INPUT!FQ260</f>
        <v>2.860998650472335</v>
      </c>
      <c r="DE121" s="520">
        <f>INPUT!FR260</f>
        <v>2510.8000000000002</v>
      </c>
      <c r="DF121" s="687">
        <f>INPUT!FS260</f>
        <v>64.707425872474417</v>
      </c>
      <c r="DG121" s="520">
        <f>INPUT!FT260</f>
        <v>3002.8</v>
      </c>
      <c r="DH121" s="687">
        <f>INPUT!FU260</f>
        <v>19.59534809622432</v>
      </c>
      <c r="DI121" s="520">
        <f>INPUT!FV260</f>
        <v>3447.6</v>
      </c>
      <c r="DJ121" s="687">
        <f>INPUT!FW260</f>
        <v>14.812841348075123</v>
      </c>
      <c r="DK121" s="520">
        <f>INPUT!FX260</f>
        <v>3479.2999999999997</v>
      </c>
      <c r="DL121" s="687">
        <f>INPUT!FY260</f>
        <v>0.91948021812273684</v>
      </c>
      <c r="DM121" s="706">
        <f>INPUT!FZ260</f>
        <v>3839.6000000000004</v>
      </c>
      <c r="DN121" s="687">
        <f>INPUT!GA260</f>
        <v>10.355531285028619</v>
      </c>
      <c r="DO121" s="520">
        <f>INPUT!GB260</f>
        <v>3903.6000000000004</v>
      </c>
      <c r="DP121" s="687">
        <f>INPUT!GC260</f>
        <v>1.6668402958641471</v>
      </c>
      <c r="DQ121" s="520">
        <f>INPUT!GD260</f>
        <v>4218</v>
      </c>
      <c r="DR121" s="687">
        <f>INPUT!GE260</f>
        <v>8.0541039040885174</v>
      </c>
      <c r="DS121" s="520">
        <f>INPUT!GF260</f>
        <v>4358</v>
      </c>
      <c r="DT121" s="687">
        <f>INPUT!GG260</f>
        <v>3.3191085822664723</v>
      </c>
      <c r="DU121" s="520">
        <f>INPUT!GH260</f>
        <v>5097</v>
      </c>
      <c r="DV121" s="687">
        <f>INPUT!GI260</f>
        <v>16.957319871500687</v>
      </c>
      <c r="DW121" s="520">
        <f>INPUT!GJ260</f>
        <v>5421</v>
      </c>
      <c r="DX121" s="687">
        <f>INPUT!GK260</f>
        <v>6.356680400235426</v>
      </c>
      <c r="DY121" s="520">
        <f>INPUT!GL260</f>
        <v>5494</v>
      </c>
      <c r="DZ121" s="687">
        <f>INPUT!GM260</f>
        <v>1.346615015679764</v>
      </c>
      <c r="EA121" s="520">
        <f>INPUT!GN260</f>
        <v>5780</v>
      </c>
      <c r="EB121" s="687">
        <f>INPUT!GO260</f>
        <v>5.2056789224608657</v>
      </c>
      <c r="EC121" s="520">
        <f>INPUT!GP260</f>
        <v>5978.3388080461264</v>
      </c>
      <c r="ED121" s="687">
        <f>INPUT!GQ260</f>
        <v>3.431467267234023</v>
      </c>
      <c r="EE121" s="520">
        <f>INPUT!GR260</f>
        <v>6177.304842770066</v>
      </c>
      <c r="EF121" s="687">
        <f>INPUT!GS260</f>
        <v>3.3281157377055282</v>
      </c>
      <c r="EG121" s="520">
        <f>INPUT!GT260</f>
        <v>6357.7060002744411</v>
      </c>
      <c r="EH121" s="687">
        <f>INPUT!GU260</f>
        <v>2.9203861893835059</v>
      </c>
      <c r="EI121" s="520">
        <f>INPUT!GV260</f>
        <v>6544.1261730458264</v>
      </c>
      <c r="EJ121" s="687">
        <f>INPUT!GW260</f>
        <v>2.9321924097046592</v>
      </c>
      <c r="EK121" s="520">
        <f>INPUT!GX260</f>
        <v>6742.4590444293663</v>
      </c>
      <c r="EL121" s="687">
        <f>INPUT!GY260</f>
        <v>3.0307006029382633</v>
      </c>
      <c r="EM121" s="687">
        <f>INPUT!GZ260</f>
        <v>3.1283562732941084</v>
      </c>
    </row>
    <row r="122" spans="1:143" ht="12.75" hidden="1" customHeight="1" outlineLevel="1" x14ac:dyDescent="0.2">
      <c r="A122" s="701"/>
      <c r="B122" s="16"/>
      <c r="C122" s="687"/>
      <c r="D122" s="16"/>
      <c r="E122" s="687"/>
      <c r="F122" s="16"/>
      <c r="G122" s="687"/>
      <c r="H122" s="16"/>
      <c r="I122" s="687"/>
      <c r="J122" s="16"/>
      <c r="K122" s="687"/>
      <c r="L122" s="16"/>
      <c r="M122" s="687"/>
      <c r="N122" s="16"/>
      <c r="O122" s="687"/>
      <c r="P122" s="16"/>
      <c r="Q122" s="687"/>
      <c r="R122" s="16"/>
      <c r="S122" s="687"/>
      <c r="T122" s="16"/>
      <c r="U122" s="687"/>
      <c r="V122" s="16"/>
      <c r="W122" s="687"/>
      <c r="X122" s="16"/>
      <c r="Y122" s="687"/>
      <c r="Z122" s="16"/>
      <c r="AA122" s="687"/>
      <c r="AB122" s="16"/>
      <c r="AC122" s="687"/>
      <c r="AD122" s="16"/>
      <c r="AE122" s="687"/>
      <c r="AF122" s="16"/>
      <c r="AG122" s="687"/>
      <c r="AH122" s="16"/>
      <c r="AI122" s="687"/>
      <c r="AJ122" s="16"/>
      <c r="AK122" s="687"/>
      <c r="AL122" s="16"/>
      <c r="AM122" s="687"/>
      <c r="AN122" s="16"/>
      <c r="AO122" s="687"/>
      <c r="AP122" s="16"/>
      <c r="AQ122" s="687"/>
      <c r="AR122" s="16"/>
      <c r="AS122" s="687"/>
      <c r="AT122" s="16"/>
      <c r="AU122" s="687"/>
      <c r="AV122" s="16"/>
      <c r="AW122" s="687"/>
      <c r="AX122" s="16"/>
      <c r="AY122" s="687"/>
      <c r="AZ122" s="16"/>
      <c r="BA122" s="687"/>
      <c r="BB122" s="16"/>
      <c r="BC122" s="687"/>
      <c r="BD122" s="16"/>
      <c r="BE122" s="687"/>
      <c r="BF122" s="16"/>
      <c r="BG122" s="687"/>
      <c r="BH122" s="16"/>
      <c r="BI122" s="687"/>
      <c r="BJ122" s="16"/>
      <c r="BK122" s="687"/>
      <c r="BL122" s="16"/>
      <c r="BM122" s="687"/>
      <c r="BN122" s="16"/>
      <c r="BO122" s="687"/>
      <c r="BP122" s="16"/>
      <c r="BQ122" s="687"/>
      <c r="BR122" s="16"/>
      <c r="BS122" s="687"/>
      <c r="BT122" s="16"/>
      <c r="BU122" s="687"/>
      <c r="BV122" s="16"/>
      <c r="BW122" s="687"/>
      <c r="BX122" s="16"/>
      <c r="BY122" s="687"/>
      <c r="BZ122" s="16"/>
      <c r="CA122" s="687"/>
      <c r="CB122" s="16"/>
      <c r="CC122" s="687"/>
      <c r="CD122" s="16"/>
      <c r="CE122" s="687"/>
      <c r="CF122" s="16"/>
      <c r="CG122" s="687"/>
      <c r="CH122" s="16"/>
      <c r="CI122" s="687"/>
      <c r="CJ122" s="16"/>
      <c r="CK122" s="687"/>
      <c r="CL122" s="16"/>
      <c r="CM122" s="687"/>
      <c r="CN122" s="16"/>
      <c r="CO122" s="687"/>
      <c r="CP122" s="16"/>
      <c r="CQ122" s="687"/>
      <c r="CR122" s="16"/>
      <c r="CS122" s="687"/>
      <c r="CT122" s="16"/>
      <c r="CU122" s="687"/>
      <c r="CV122" s="16"/>
      <c r="CW122" s="687"/>
      <c r="CX122" s="16"/>
      <c r="CY122" s="687"/>
      <c r="CZ122" s="16"/>
      <c r="DA122" s="687"/>
      <c r="DB122" s="16"/>
      <c r="DC122" s="16"/>
      <c r="DD122" s="687"/>
      <c r="DE122" s="16"/>
      <c r="DF122" s="687"/>
      <c r="DG122" s="16"/>
      <c r="DH122" s="687"/>
      <c r="DI122" s="16"/>
      <c r="DJ122" s="687"/>
      <c r="DK122" s="16"/>
      <c r="DL122" s="687"/>
      <c r="DM122" s="16"/>
      <c r="DN122" s="687"/>
      <c r="DO122" s="16"/>
      <c r="DP122" s="687"/>
      <c r="DQ122" s="16"/>
      <c r="DR122" s="687"/>
      <c r="DS122" s="16"/>
      <c r="DT122" s="687"/>
      <c r="DU122" s="16"/>
      <c r="DV122" s="687"/>
      <c r="DW122" s="16"/>
      <c r="DX122" s="687"/>
      <c r="DY122" s="16"/>
      <c r="DZ122" s="687"/>
      <c r="EA122" s="16"/>
      <c r="EB122" s="687"/>
      <c r="EC122" s="16"/>
      <c r="ED122" s="687"/>
      <c r="EE122" s="16"/>
      <c r="EF122" s="687"/>
      <c r="EG122" s="16"/>
      <c r="EH122" s="687"/>
      <c r="EI122" s="16"/>
      <c r="EJ122" s="687"/>
      <c r="EK122" s="16"/>
      <c r="EL122" s="687"/>
      <c r="EM122" s="687"/>
    </row>
    <row r="123" spans="1:143" ht="12.75" hidden="1" customHeight="1" outlineLevel="1" x14ac:dyDescent="0.2">
      <c r="A123" s="700" t="str">
        <f>INPUT!B270</f>
        <v>Pretax Earnings</v>
      </c>
      <c r="B123" s="520">
        <f>INPUT!AY270</f>
        <v>105.19999999999999</v>
      </c>
      <c r="C123" s="687">
        <f>INPUT!AZ270</f>
        <v>21.90034762456543</v>
      </c>
      <c r="D123" s="520">
        <f>INPUT!BA270</f>
        <v>221</v>
      </c>
      <c r="E123" s="687" t="str">
        <f>INPUT!BB270</f>
        <v>NM</v>
      </c>
      <c r="F123" s="520">
        <f>INPUT!BC270</f>
        <v>179.59999999999991</v>
      </c>
      <c r="G123" s="687">
        <f>INPUT!BD270</f>
        <v>85.921325051759794</v>
      </c>
      <c r="H123" s="520">
        <f>INPUT!BE270</f>
        <v>239</v>
      </c>
      <c r="I123" s="687" t="str">
        <f>INPUT!BF270</f>
        <v>NM</v>
      </c>
      <c r="J123" s="520">
        <f>INPUT!BG270</f>
        <v>252.50000000000011</v>
      </c>
      <c r="K123" s="687" t="str">
        <f>INPUT!BH270</f>
        <v>NM</v>
      </c>
      <c r="L123" s="520">
        <f>INPUT!BI270</f>
        <v>269.5</v>
      </c>
      <c r="M123" s="687">
        <f>INPUT!BJ270</f>
        <v>21.945701357466074</v>
      </c>
      <c r="N123" s="520">
        <f>INPUT!BK270</f>
        <v>269.60000000000002</v>
      </c>
      <c r="O123" s="687">
        <f>INPUT!BL270</f>
        <v>50.111358574610335</v>
      </c>
      <c r="P123" s="520">
        <f>INPUT!BM270</f>
        <v>258.39999999999986</v>
      </c>
      <c r="Q123" s="687">
        <f>INPUT!BN270</f>
        <v>8.1171548117154213</v>
      </c>
      <c r="R123" s="520">
        <f>INPUT!BO270</f>
        <v>238.50000000000011</v>
      </c>
      <c r="S123" s="687">
        <f>INPUT!BP270</f>
        <v>-5.5445544554455388</v>
      </c>
      <c r="T123" s="520">
        <f>INPUT!BQ270</f>
        <v>247.20000000000005</v>
      </c>
      <c r="U123" s="687">
        <f>INPUT!BR270</f>
        <v>-8.2745825602968281</v>
      </c>
      <c r="V123" s="520">
        <f>INPUT!BS270</f>
        <v>201.90000000000009</v>
      </c>
      <c r="W123" s="687">
        <f>INPUT!BT270</f>
        <v>-25.111275964391666</v>
      </c>
      <c r="X123" s="520">
        <f>INPUT!BU270</f>
        <v>120.5</v>
      </c>
      <c r="Y123" s="687" t="str">
        <f>INPUT!BV270</f>
        <v>NM</v>
      </c>
      <c r="Z123" s="520">
        <f>INPUT!BW270</f>
        <v>193.70000000000005</v>
      </c>
      <c r="AA123" s="687">
        <f>INPUT!BX270</f>
        <v>-18.784067085953893</v>
      </c>
      <c r="AB123" s="520">
        <f>INPUT!BY270</f>
        <v>196.70000000000005</v>
      </c>
      <c r="AC123" s="687">
        <f>INPUT!BZ270</f>
        <v>-20.428802588996763</v>
      </c>
      <c r="AD123" s="520">
        <f>INPUT!CA270</f>
        <v>191.59999999999991</v>
      </c>
      <c r="AE123" s="687">
        <f>INPUT!CB270</f>
        <v>-5.1015354135711677</v>
      </c>
      <c r="AF123" s="520">
        <f>INPUT!CC270</f>
        <v>232.10000000000014</v>
      </c>
      <c r="AG123" s="687">
        <f>INPUT!CD270</f>
        <v>92.614107883817539</v>
      </c>
      <c r="AH123" s="520">
        <f>INPUT!CE270</f>
        <v>202.20000000000005</v>
      </c>
      <c r="AI123" s="687">
        <f>INPUT!CF270</f>
        <v>4.3882292204439954</v>
      </c>
      <c r="AJ123" s="520">
        <f>INPUT!CG270</f>
        <v>221.70000000000005</v>
      </c>
      <c r="AK123" s="687">
        <f>INPUT!CH270</f>
        <v>12.709710218607007</v>
      </c>
      <c r="AL123" s="520">
        <f>INPUT!CI270</f>
        <v>79.799999999999955</v>
      </c>
      <c r="AM123" s="687" t="str">
        <f>INPUT!CJ270</f>
        <v>NM</v>
      </c>
      <c r="AN123" s="520">
        <f>INPUT!CK270</f>
        <v>245.99999999999989</v>
      </c>
      <c r="AO123" s="687">
        <f>INPUT!CL270</f>
        <v>5.9887979319257933</v>
      </c>
      <c r="AP123" s="520">
        <f>INPUT!CM270</f>
        <v>210</v>
      </c>
      <c r="AQ123" s="687">
        <f>INPUT!CN270</f>
        <v>3.8575667655786017</v>
      </c>
      <c r="AR123" s="706">
        <f>INPUT!CO270</f>
        <v>201.5</v>
      </c>
      <c r="AS123" s="687">
        <f>INPUT!CP270</f>
        <v>-9.1114118177717867</v>
      </c>
      <c r="AT123" s="520">
        <f>INPUT!CQ270</f>
        <v>219.19999999999993</v>
      </c>
      <c r="AU123" s="687" t="str">
        <f>INPUT!CR270</f>
        <v>NM</v>
      </c>
      <c r="AV123" s="520">
        <f>INPUT!CS270</f>
        <v>204</v>
      </c>
      <c r="AW123" s="687">
        <f>INPUT!CT270</f>
        <v>-17.073170731707275</v>
      </c>
      <c r="AX123" s="520">
        <f>INPUT!CU270</f>
        <v>207</v>
      </c>
      <c r="AY123" s="687">
        <f>INPUT!CV270</f>
        <v>-1.4285714285714235</v>
      </c>
      <c r="AZ123" s="520">
        <f>INPUT!CW270</f>
        <v>201</v>
      </c>
      <c r="BA123" s="687">
        <f>INPUT!CX270</f>
        <v>-0.24813895781637951</v>
      </c>
      <c r="BB123" s="520">
        <f>INPUT!CY270</f>
        <v>216</v>
      </c>
      <c r="BC123" s="687">
        <f>INPUT!CZ270</f>
        <v>-1.4598540145985051</v>
      </c>
      <c r="BD123" s="520">
        <f>INPUT!DA270</f>
        <v>213</v>
      </c>
      <c r="BE123" s="687">
        <f>INPUT!DB270</f>
        <v>4.4117647058823595</v>
      </c>
      <c r="BF123" s="520">
        <f>INPUT!DC270</f>
        <v>167</v>
      </c>
      <c r="BG123" s="687">
        <f>INPUT!DD270</f>
        <v>-19.323671497584538</v>
      </c>
      <c r="BH123" s="520">
        <f>INPUT!DE270</f>
        <v>201</v>
      </c>
      <c r="BI123" s="687">
        <f>INPUT!DF270</f>
        <v>0</v>
      </c>
      <c r="BJ123" s="520">
        <f>INPUT!DG270</f>
        <v>210</v>
      </c>
      <c r="BK123" s="687">
        <f>INPUT!DH270</f>
        <v>-2.777777777777779</v>
      </c>
      <c r="BL123" s="520">
        <f>INPUT!DI270</f>
        <v>234</v>
      </c>
      <c r="BM123" s="687">
        <f>INPUT!DJ270</f>
        <v>9.8591549295774747</v>
      </c>
      <c r="BN123" s="520">
        <f>INPUT!DK270</f>
        <v>178</v>
      </c>
      <c r="BO123" s="687">
        <f>INPUT!DL270</f>
        <v>6.5868263473053856</v>
      </c>
      <c r="BP123" s="520">
        <f>INPUT!DM270</f>
        <v>223</v>
      </c>
      <c r="BQ123" s="687">
        <f>INPUT!DN270</f>
        <v>10.945273631840791</v>
      </c>
      <c r="BR123" s="520">
        <f>INPUT!DO270</f>
        <v>226</v>
      </c>
      <c r="BS123" s="687">
        <f>INPUT!DP270</f>
        <v>7.6190476190476142</v>
      </c>
      <c r="BT123" s="520">
        <f>INPUT!DQ270</f>
        <v>280</v>
      </c>
      <c r="BU123" s="687">
        <f>INPUT!DR270</f>
        <v>19.658119658119656</v>
      </c>
      <c r="BV123" s="520">
        <f>INPUT!DS270</f>
        <v>156</v>
      </c>
      <c r="BW123" s="687">
        <f>INPUT!DT270</f>
        <v>-12.35955056179775</v>
      </c>
      <c r="BX123" s="520">
        <f>INPUT!DU270</f>
        <v>152</v>
      </c>
      <c r="BY123" s="687">
        <f>INPUT!DV270</f>
        <v>-31.838565022421527</v>
      </c>
      <c r="BZ123" s="520">
        <f>INPUT!DW270</f>
        <v>46</v>
      </c>
      <c r="CA123" s="687">
        <f>INPUT!DX270</f>
        <v>46</v>
      </c>
      <c r="CB123" s="520">
        <f>INPUT!DY270</f>
        <v>175</v>
      </c>
      <c r="CC123" s="687">
        <f>INPUT!DZ270</f>
        <v>-37.5</v>
      </c>
      <c r="CD123" s="520">
        <f>INPUT!EA270</f>
        <v>103</v>
      </c>
      <c r="CE123" s="687">
        <f>INPUT!EB270</f>
        <v>-33.974358974358978</v>
      </c>
      <c r="CF123" s="520">
        <f>INPUT!EC270</f>
        <v>175</v>
      </c>
      <c r="CG123" s="687">
        <f>INPUT!ED270</f>
        <v>15.131578947368428</v>
      </c>
      <c r="CH123" s="520">
        <f>INPUT!EE270</f>
        <v>246</v>
      </c>
      <c r="CI123" s="687" t="str">
        <f>INPUT!EF270</f>
        <v>NM</v>
      </c>
      <c r="CJ123" s="520">
        <f>INPUT!EG270</f>
        <v>228</v>
      </c>
      <c r="CK123" s="687">
        <f>INPUT!EH270</f>
        <v>30.285714285714292</v>
      </c>
      <c r="CL123" s="520">
        <f>INPUT!EI270</f>
        <v>187</v>
      </c>
      <c r="CM123" s="687">
        <f>INPUT!EJ270</f>
        <v>81.553398058252441</v>
      </c>
      <c r="CN123" s="520">
        <f>INPUT!EK270</f>
        <v>194</v>
      </c>
      <c r="CO123" s="687">
        <f>INPUT!EL270</f>
        <v>10.857142857142854</v>
      </c>
      <c r="CP123" s="520">
        <f>INPUT!EM270</f>
        <v>175</v>
      </c>
      <c r="CQ123" s="687">
        <f>INPUT!EN270</f>
        <v>-28.861788617886177</v>
      </c>
      <c r="CR123" s="520">
        <f>INPUT!EO270</f>
        <v>223</v>
      </c>
      <c r="CS123" s="687">
        <f>INPUT!EP270</f>
        <v>-2.1929824561403466</v>
      </c>
      <c r="CT123" s="520">
        <f>INPUT!EQ270</f>
        <v>179.57095514803746</v>
      </c>
      <c r="CU123" s="687">
        <f>INPUT!ER270</f>
        <v>-3.9727512577339863</v>
      </c>
      <c r="CV123" s="520">
        <f>INPUT!ES270</f>
        <v>200.01551996690796</v>
      </c>
      <c r="CW123" s="687">
        <f>INPUT!ET270</f>
        <v>3.100783488096881</v>
      </c>
      <c r="CX123" s="520">
        <f>INPUT!EU270</f>
        <v>199.90495128604789</v>
      </c>
      <c r="CY123" s="687">
        <f>INPUT!EV270</f>
        <v>14.231400734884513</v>
      </c>
      <c r="CZ123" s="520">
        <f>INPUT!EW270</f>
        <v>209.89046835143449</v>
      </c>
      <c r="DA123" s="687">
        <f>INPUT!EX270</f>
        <v>-5.8787137437513515</v>
      </c>
      <c r="DB123" s="16"/>
      <c r="DC123" s="520">
        <f>INPUT!FP270</f>
        <v>386.19999999999982</v>
      </c>
      <c r="DD123" s="687">
        <f>INPUT!FQ270</f>
        <v>1.3648293963254066</v>
      </c>
      <c r="DE123" s="520">
        <f>INPUT!FR270</f>
        <v>744.79999999999973</v>
      </c>
      <c r="DF123" s="687">
        <f>INPUT!FS270</f>
        <v>92.853443811496646</v>
      </c>
      <c r="DG123" s="520">
        <f>INPUT!FT270</f>
        <v>1050</v>
      </c>
      <c r="DH123" s="687">
        <f>INPUT!FU270</f>
        <v>40.9774436090226</v>
      </c>
      <c r="DI123" s="520">
        <f>INPUT!FV270</f>
        <v>808.09999999999991</v>
      </c>
      <c r="DJ123" s="687">
        <f>INPUT!FW270</f>
        <v>-23.038095238095245</v>
      </c>
      <c r="DK123" s="520">
        <f>INPUT!FX270</f>
        <v>814.09999999999991</v>
      </c>
      <c r="DL123" s="687">
        <f>INPUT!FY270</f>
        <v>0.74248236604381734</v>
      </c>
      <c r="DM123" s="706">
        <f>INPUT!FZ270</f>
        <v>749.69999999999891</v>
      </c>
      <c r="DN123" s="687">
        <f>INPUT!GA270</f>
        <v>-7.9105760963027905</v>
      </c>
      <c r="DO123" s="520">
        <f>INPUT!GB270</f>
        <v>834.69999999999982</v>
      </c>
      <c r="DP123" s="687">
        <f>INPUT!GC270</f>
        <v>11.337868480725755</v>
      </c>
      <c r="DQ123" s="520">
        <f>INPUT!GD270</f>
        <v>837</v>
      </c>
      <c r="DR123" s="687">
        <f>INPUT!GE270</f>
        <v>0.27554810111418693</v>
      </c>
      <c r="DS123" s="520">
        <f>INPUT!GF270</f>
        <v>812</v>
      </c>
      <c r="DT123" s="687">
        <f>INPUT!GG270</f>
        <v>-2.9868578255675016</v>
      </c>
      <c r="DU123" s="520">
        <f>INPUT!GH270</f>
        <v>907</v>
      </c>
      <c r="DV123" s="687">
        <f>INPUT!GI270</f>
        <v>11.699507389162566</v>
      </c>
      <c r="DW123" s="520">
        <f>INPUT!GJ270</f>
        <v>529</v>
      </c>
      <c r="DX123" s="687">
        <f>INPUT!GK270</f>
        <v>-41.67585446527012</v>
      </c>
      <c r="DY123" s="520">
        <f>INPUT!GL270</f>
        <v>752</v>
      </c>
      <c r="DZ123" s="687">
        <f>INPUT!GM270</f>
        <v>42.155009451795841</v>
      </c>
      <c r="EA123" s="520">
        <f>INPUT!GN270</f>
        <v>779</v>
      </c>
      <c r="EB123" s="687">
        <f>INPUT!GO270</f>
        <v>3.590425531914887</v>
      </c>
      <c r="EC123" s="520">
        <f>INPUT!GP270</f>
        <v>789.38189475242689</v>
      </c>
      <c r="ED123" s="687">
        <f>INPUT!GQ270</f>
        <v>1.3327207641112837</v>
      </c>
      <c r="EE123" s="520">
        <f>INPUT!GR270</f>
        <v>798.64408249213284</v>
      </c>
      <c r="EF123" s="687">
        <f>INPUT!GS270</f>
        <v>1.1733468681354609</v>
      </c>
      <c r="EG123" s="520">
        <f>INPUT!GT270</f>
        <v>819.37998574689209</v>
      </c>
      <c r="EH123" s="687">
        <f>INPUT!GU270</f>
        <v>2.5963885176552903</v>
      </c>
      <c r="EI123" s="520">
        <f>INPUT!GV270</f>
        <v>846.29441379536001</v>
      </c>
      <c r="EJ123" s="687">
        <f>INPUT!GW270</f>
        <v>3.2847309571437222</v>
      </c>
      <c r="EK123" s="520">
        <f>INPUT!GX270</f>
        <v>874.03237430628997</v>
      </c>
      <c r="EL123" s="687">
        <f>INPUT!GY270</f>
        <v>3.2775781168794538</v>
      </c>
      <c r="EM123" s="687">
        <f>INPUT!GZ270</f>
        <v>2.3288308881943776</v>
      </c>
    </row>
    <row r="124" spans="1:143" ht="12.75" hidden="1" customHeight="1" outlineLevel="1" x14ac:dyDescent="0.2">
      <c r="A124" s="701" t="str">
        <f>INPUT!B271</f>
        <v>Taxes</v>
      </c>
      <c r="B124" s="151">
        <f>INPUT!AY271</f>
        <v>36.199999999999996</v>
      </c>
      <c r="C124" s="687">
        <f>INPUT!AZ271</f>
        <v>28.825622775800696</v>
      </c>
      <c r="D124" s="151">
        <f>INPUT!BA271</f>
        <v>73.900000000000006</v>
      </c>
      <c r="E124" s="687" t="str">
        <f>INPUT!BB271</f>
        <v>NM</v>
      </c>
      <c r="F124" s="151">
        <f>INPUT!BC271</f>
        <v>56.8</v>
      </c>
      <c r="G124" s="687">
        <f>INPUT!BD271</f>
        <v>78.61635220125784</v>
      </c>
      <c r="H124" s="151">
        <f>INPUT!BE271</f>
        <v>81.7</v>
      </c>
      <c r="I124" s="687" t="str">
        <f>INPUT!BF271</f>
        <v>NM</v>
      </c>
      <c r="J124" s="151">
        <f>INPUT!BG271</f>
        <v>85.9</v>
      </c>
      <c r="K124" s="687" t="str">
        <f>INPUT!BH271</f>
        <v>NM</v>
      </c>
      <c r="L124" s="151">
        <f>INPUT!BI271</f>
        <v>93</v>
      </c>
      <c r="M124" s="687">
        <f>INPUT!BJ271</f>
        <v>25.845737483085252</v>
      </c>
      <c r="N124" s="151">
        <f>INPUT!BK271</f>
        <v>87.8</v>
      </c>
      <c r="O124" s="687">
        <f>INPUT!BL271</f>
        <v>54.577464788732399</v>
      </c>
      <c r="P124" s="151">
        <f>INPUT!BM271</f>
        <v>87.8</v>
      </c>
      <c r="Q124" s="687">
        <f>INPUT!BN271</f>
        <v>7.466340269277838</v>
      </c>
      <c r="R124" s="151">
        <f>INPUT!BO271</f>
        <v>81.099999999999994</v>
      </c>
      <c r="S124" s="687">
        <f>INPUT!BP271</f>
        <v>-5.5878928987194492</v>
      </c>
      <c r="T124" s="151">
        <f>INPUT!BQ271</f>
        <v>83.7</v>
      </c>
      <c r="U124" s="687">
        <f>INPUT!BR271</f>
        <v>-9.9999999999999982</v>
      </c>
      <c r="V124" s="151">
        <f>INPUT!BS271</f>
        <v>64.5</v>
      </c>
      <c r="W124" s="687">
        <f>INPUT!BT271</f>
        <v>-26.537585421412302</v>
      </c>
      <c r="X124" s="151">
        <f>INPUT!BU271</f>
        <v>38</v>
      </c>
      <c r="Y124" s="687" t="str">
        <f>INPUT!BV271</f>
        <v>NM</v>
      </c>
      <c r="Z124" s="151">
        <f>INPUT!BW271</f>
        <v>51.5</v>
      </c>
      <c r="AA124" s="687">
        <f>INPUT!BX271</f>
        <v>-36.498150431565968</v>
      </c>
      <c r="AB124" s="151">
        <f>INPUT!BY271</f>
        <v>63.8</v>
      </c>
      <c r="AC124" s="687">
        <f>INPUT!BZ271</f>
        <v>-23.775388291517331</v>
      </c>
      <c r="AD124" s="151">
        <f>INPUT!CA271</f>
        <v>55.1</v>
      </c>
      <c r="AE124" s="687">
        <f>INPUT!CB271</f>
        <v>-14.573643410852711</v>
      </c>
      <c r="AF124" s="151">
        <f>INPUT!CC271</f>
        <v>74.5</v>
      </c>
      <c r="AG124" s="687">
        <f>INPUT!CD271</f>
        <v>96.05263157894737</v>
      </c>
      <c r="AH124" s="151">
        <f>INPUT!CE271</f>
        <v>65.3</v>
      </c>
      <c r="AI124" s="687">
        <f>INPUT!CF271</f>
        <v>26.796116504854361</v>
      </c>
      <c r="AJ124" s="151">
        <f>INPUT!CG271</f>
        <v>70</v>
      </c>
      <c r="AK124" s="687">
        <f>INPUT!CH271</f>
        <v>9.717868338557988</v>
      </c>
      <c r="AL124" s="151">
        <f>INPUT!CI271</f>
        <v>19.899999999999999</v>
      </c>
      <c r="AM124" s="687" t="str">
        <f>INPUT!CJ271</f>
        <v>NM</v>
      </c>
      <c r="AN124" s="151">
        <f>INPUT!CK271</f>
        <v>80.5</v>
      </c>
      <c r="AO124" s="687">
        <f>INPUT!CL271</f>
        <v>8.0536912751677967</v>
      </c>
      <c r="AP124" s="151">
        <f>INPUT!CM271</f>
        <v>68</v>
      </c>
      <c r="AQ124" s="687">
        <f>INPUT!CN271</f>
        <v>4.1347626339969468</v>
      </c>
      <c r="AR124" s="151">
        <f>INPUT!CO271</f>
        <v>65.099999999999994</v>
      </c>
      <c r="AS124" s="687">
        <f>INPUT!CP271</f>
        <v>-7.0000000000000062</v>
      </c>
      <c r="AT124" s="151">
        <f>INPUT!CQ271</f>
        <v>65.400000000000006</v>
      </c>
      <c r="AU124" s="687" t="str">
        <f>INPUT!CR271</f>
        <v>NM</v>
      </c>
      <c r="AV124" s="151">
        <f>INPUT!CS271</f>
        <v>69</v>
      </c>
      <c r="AW124" s="687">
        <f>INPUT!CT271</f>
        <v>-14.28571428571429</v>
      </c>
      <c r="AX124" s="151">
        <f>INPUT!CU271</f>
        <v>68</v>
      </c>
      <c r="AY124" s="687">
        <f>INPUT!CV271</f>
        <v>0</v>
      </c>
      <c r="AZ124" s="151">
        <f>INPUT!CW271</f>
        <v>66</v>
      </c>
      <c r="BA124" s="687">
        <f>INPUT!CX271</f>
        <v>1.3824884792626779</v>
      </c>
      <c r="BB124" s="151">
        <f>INPUT!CY271</f>
        <v>64</v>
      </c>
      <c r="BC124" s="687">
        <f>INPUT!CZ271</f>
        <v>-2.1406727828746308</v>
      </c>
      <c r="BD124" s="151">
        <f>INPUT!DA271</f>
        <v>66</v>
      </c>
      <c r="BE124" s="687">
        <f>INPUT!DB271</f>
        <v>-4.3478260869565188</v>
      </c>
      <c r="BF124" s="151">
        <f>INPUT!DC271</f>
        <v>55</v>
      </c>
      <c r="BG124" s="687">
        <f>INPUT!DD271</f>
        <v>-19.117647058823529</v>
      </c>
      <c r="BH124" s="151">
        <f>INPUT!DE271</f>
        <v>66</v>
      </c>
      <c r="BI124" s="687">
        <f>INPUT!DF271</f>
        <v>0</v>
      </c>
      <c r="BJ124" s="151">
        <f>INPUT!DG271</f>
        <v>70</v>
      </c>
      <c r="BK124" s="687">
        <f>INPUT!DH271</f>
        <v>9.375</v>
      </c>
      <c r="BL124" s="151">
        <f>INPUT!DI271</f>
        <v>77</v>
      </c>
      <c r="BM124" s="687">
        <f>INPUT!DJ271</f>
        <v>16.666666666666675</v>
      </c>
      <c r="BN124" s="151">
        <f>INPUT!DK271</f>
        <v>58</v>
      </c>
      <c r="BO124" s="687">
        <f>INPUT!DL271</f>
        <v>5.4545454545454453</v>
      </c>
      <c r="BP124" s="151">
        <f>INPUT!DM271</f>
        <v>75</v>
      </c>
      <c r="BQ124" s="687">
        <f>INPUT!DN271</f>
        <v>13.636363636363647</v>
      </c>
      <c r="BR124" s="151">
        <f>INPUT!DO271</f>
        <v>76</v>
      </c>
      <c r="BS124" s="687">
        <f>INPUT!DP271</f>
        <v>8.5714285714285623</v>
      </c>
      <c r="BT124" s="151">
        <f>INPUT!DQ271</f>
        <v>87</v>
      </c>
      <c r="BU124" s="687">
        <f>INPUT!DR271</f>
        <v>12.987012987012992</v>
      </c>
      <c r="BV124" s="151">
        <f>INPUT!DS271</f>
        <v>45</v>
      </c>
      <c r="BW124" s="687">
        <f>INPUT!DT271</f>
        <v>-22.413793103448278</v>
      </c>
      <c r="BX124" s="151">
        <f>INPUT!DU271</f>
        <v>47</v>
      </c>
      <c r="BY124" s="687">
        <f>INPUT!DV271</f>
        <v>-37.333333333333329</v>
      </c>
      <c r="BZ124" s="151">
        <f>INPUT!DW271</f>
        <v>10</v>
      </c>
      <c r="CA124" s="687">
        <f>INPUT!DX271</f>
        <v>10</v>
      </c>
      <c r="CB124" s="151">
        <f>INPUT!DY271</f>
        <v>56</v>
      </c>
      <c r="CC124" s="687">
        <f>INPUT!DZ271</f>
        <v>-35.632183908045981</v>
      </c>
      <c r="CD124" s="151">
        <f>INPUT!EA271</f>
        <v>28</v>
      </c>
      <c r="CE124" s="687">
        <f>INPUT!EB271</f>
        <v>-37.777777777777779</v>
      </c>
      <c r="CF124" s="151">
        <f>INPUT!EC271</f>
        <v>55</v>
      </c>
      <c r="CG124" s="687">
        <f>INPUT!ED271</f>
        <v>17.021276595744684</v>
      </c>
      <c r="CH124" s="151">
        <f>INPUT!EE271</f>
        <v>79</v>
      </c>
      <c r="CI124" s="687" t="str">
        <f>INPUT!EF271</f>
        <v>NM</v>
      </c>
      <c r="CJ124" s="151">
        <f>INPUT!EG271</f>
        <v>74</v>
      </c>
      <c r="CK124" s="687">
        <f>INPUT!EH271</f>
        <v>32.142857142857139</v>
      </c>
      <c r="CL124" s="151">
        <f>INPUT!EI271</f>
        <v>57</v>
      </c>
      <c r="CM124" s="687" t="str">
        <f>INPUT!EJ271</f>
        <v>NM</v>
      </c>
      <c r="CN124" s="151">
        <f>INPUT!EK271</f>
        <v>61</v>
      </c>
      <c r="CO124" s="687">
        <f>INPUT!EL271</f>
        <v>10.909090909090914</v>
      </c>
      <c r="CP124" s="151">
        <f>INPUT!EM271</f>
        <v>54</v>
      </c>
      <c r="CQ124" s="687">
        <f>INPUT!EN271</f>
        <v>-31.645569620253166</v>
      </c>
      <c r="CR124" s="151">
        <f>INPUT!EO271</f>
        <v>71</v>
      </c>
      <c r="CS124" s="687">
        <f>INPUT!EP271</f>
        <v>-4.0540540540540571</v>
      </c>
      <c r="CT124" s="151">
        <f>INPUT!EQ271</f>
        <v>35.914191029607494</v>
      </c>
      <c r="CU124" s="687">
        <f>INPUT!ER271</f>
        <v>-36.992647316478077</v>
      </c>
      <c r="CV124" s="151">
        <f>INPUT!ES271</f>
        <v>40.003103993381593</v>
      </c>
      <c r="CW124" s="687">
        <f>INPUT!ET271</f>
        <v>-34.421140994456401</v>
      </c>
      <c r="CX124" s="151">
        <f>INPUT!EU271</f>
        <v>39.980990257209584</v>
      </c>
      <c r="CY124" s="687">
        <f>INPUT!EV271</f>
        <v>-25.961129153315589</v>
      </c>
      <c r="CZ124" s="151">
        <f>INPUT!EW271</f>
        <v>41.978093670286903</v>
      </c>
      <c r="DA124" s="687">
        <f>INPUT!EX271</f>
        <v>-40.875924408046615</v>
      </c>
      <c r="DB124" s="16"/>
      <c r="DC124" s="151">
        <f>INPUT!FP271</f>
        <v>126.7</v>
      </c>
      <c r="DD124" s="687">
        <f>INPUT!FQ271</f>
        <v>2.1774193548387055</v>
      </c>
      <c r="DE124" s="151">
        <f>INPUT!FR271</f>
        <v>248.59999999999997</v>
      </c>
      <c r="DF124" s="687">
        <f>INPUT!FS271</f>
        <v>96.211523283346452</v>
      </c>
      <c r="DG124" s="151">
        <f>INPUT!FT271</f>
        <v>354.5</v>
      </c>
      <c r="DH124" s="687">
        <f>INPUT!FU271</f>
        <v>42.598551890587302</v>
      </c>
      <c r="DI124" s="151">
        <f>INPUT!FV271</f>
        <v>267.3</v>
      </c>
      <c r="DJ124" s="687">
        <f>INPUT!FW271</f>
        <v>-24.598025387870237</v>
      </c>
      <c r="DK124" s="151">
        <f>INPUT!FX271</f>
        <v>244.9</v>
      </c>
      <c r="DL124" s="687">
        <f>INPUT!FY271</f>
        <v>-8.3800972689861641</v>
      </c>
      <c r="DM124" s="151">
        <f>INPUT!FZ271</f>
        <v>235.70000000000002</v>
      </c>
      <c r="DN124" s="687">
        <f>INPUT!GA271</f>
        <v>-3.7566353613719849</v>
      </c>
      <c r="DO124" s="151">
        <f>INPUT!GB271</f>
        <v>267.5</v>
      </c>
      <c r="DP124" s="687">
        <f>INPUT!GC271</f>
        <v>13.491726771319467</v>
      </c>
      <c r="DQ124" s="151">
        <f>INPUT!GD271</f>
        <v>264</v>
      </c>
      <c r="DR124" s="687">
        <f>INPUT!GE271</f>
        <v>-1.3084112149532756</v>
      </c>
      <c r="DS124" s="151">
        <f>INPUT!GF271</f>
        <v>268</v>
      </c>
      <c r="DT124" s="687">
        <f>INPUT!GG271</f>
        <v>1.5151515151515138</v>
      </c>
      <c r="DU124" s="151">
        <f>INPUT!GH271</f>
        <v>296</v>
      </c>
      <c r="DV124" s="687">
        <f>INPUT!GI271</f>
        <v>10.447761194029859</v>
      </c>
      <c r="DW124" s="151">
        <f>INPUT!GJ271</f>
        <v>158</v>
      </c>
      <c r="DX124" s="687">
        <f>INPUT!GK271</f>
        <v>-46.621621621621621</v>
      </c>
      <c r="DY124" s="151">
        <f>INPUT!GL271</f>
        <v>236</v>
      </c>
      <c r="DZ124" s="687">
        <f>INPUT!GM271</f>
        <v>49.367088607594937</v>
      </c>
      <c r="EA124" s="151">
        <f>INPUT!GN271</f>
        <v>243</v>
      </c>
      <c r="EB124" s="687">
        <f>INPUT!GO271</f>
        <v>2.9661016949152463</v>
      </c>
      <c r="EC124" s="151">
        <f>INPUT!GP271</f>
        <v>157.87637895048559</v>
      </c>
      <c r="ED124" s="687">
        <f>INPUT!GQ271</f>
        <v>-35.030296728195232</v>
      </c>
      <c r="EE124" s="151">
        <f>INPUT!GR271</f>
        <v>159.72881649842677</v>
      </c>
      <c r="EF124" s="687">
        <f>INPUT!GS271</f>
        <v>1.1733468681354609</v>
      </c>
      <c r="EG124" s="151">
        <f>INPUT!GT271</f>
        <v>163.87599714937863</v>
      </c>
      <c r="EH124" s="687">
        <f>INPUT!GU271</f>
        <v>2.5963885176553125</v>
      </c>
      <c r="EI124" s="151">
        <f>INPUT!GV271</f>
        <v>169.25888275907224</v>
      </c>
      <c r="EJ124" s="687">
        <f>INPUT!GW271</f>
        <v>3.2847309571437222</v>
      </c>
      <c r="EK124" s="151">
        <f>INPUT!GX271</f>
        <v>174.80647486125821</v>
      </c>
      <c r="EL124" s="687">
        <f>INPUT!GY271</f>
        <v>3.2775781168794316</v>
      </c>
      <c r="EM124" s="687">
        <f>INPUT!GZ271</f>
        <v>-6.375341141001023</v>
      </c>
    </row>
    <row r="125" spans="1:143" ht="12.75" hidden="1" customHeight="1" outlineLevel="1" x14ac:dyDescent="0.2">
      <c r="A125" s="701" t="str">
        <f>INPUT!B272</f>
        <v>Tax Rate (%)</v>
      </c>
      <c r="B125" s="156">
        <f>INPUT!AY272</f>
        <v>34.410646387832699</v>
      </c>
      <c r="C125" s="687">
        <f>INPUT!AZ272</f>
        <v>5.6810954900342381</v>
      </c>
      <c r="D125" s="156">
        <f>INPUT!BA272</f>
        <v>33.438914027149323</v>
      </c>
      <c r="E125" s="687">
        <f>INPUT!BB272</f>
        <v>2.5239311261443298</v>
      </c>
      <c r="F125" s="156">
        <f>INPUT!BC272</f>
        <v>31.625835189309591</v>
      </c>
      <c r="G125" s="687">
        <f>INPUT!BD272</f>
        <v>-3.9290666890784531</v>
      </c>
      <c r="H125" s="156">
        <f>INPUT!BE272</f>
        <v>34.18410041841004</v>
      </c>
      <c r="I125" s="687">
        <f>INPUT!BF272</f>
        <v>3.3951968819853962</v>
      </c>
      <c r="J125" s="156">
        <f>INPUT!BG272</f>
        <v>34.019801980198004</v>
      </c>
      <c r="K125" s="687">
        <f>INPUT!BH272</f>
        <v>-1.1358240796455754</v>
      </c>
      <c r="L125" s="156">
        <f>INPUT!BI272</f>
        <v>34.508348794063082</v>
      </c>
      <c r="M125" s="687">
        <f>INPUT!BJ272</f>
        <v>3.1981743367786253</v>
      </c>
      <c r="N125" s="156">
        <f>INPUT!BK272</f>
        <v>32.566765578635007</v>
      </c>
      <c r="O125" s="687">
        <f>INPUT!BL272</f>
        <v>2.9751953859655789</v>
      </c>
      <c r="P125" s="156">
        <f>INPUT!BM272</f>
        <v>33.978328173374628</v>
      </c>
      <c r="Q125" s="687">
        <f>INPUT!BN272</f>
        <v>-0.60195307911216078</v>
      </c>
      <c r="R125" s="156">
        <f>INPUT!BO272</f>
        <v>34.004192872117386</v>
      </c>
      <c r="S125" s="687">
        <f>INPUT!BP272</f>
        <v>-4.5882418979692474E-2</v>
      </c>
      <c r="T125" s="156">
        <f>INPUT!BQ272</f>
        <v>33.859223300970868</v>
      </c>
      <c r="U125" s="687">
        <f>INPUT!BR272</f>
        <v>-1.8810679611650727</v>
      </c>
      <c r="V125" s="156">
        <f>INPUT!BS272</f>
        <v>31.946508172362542</v>
      </c>
      <c r="W125" s="687">
        <f>INPUT!BT272</f>
        <v>-1.9045717167546328</v>
      </c>
      <c r="X125" s="156">
        <f>INPUT!BU272</f>
        <v>31.535269709543567</v>
      </c>
      <c r="Y125" s="687">
        <f>INPUT!BV272</f>
        <v>-7.1900490552841205</v>
      </c>
      <c r="Z125" s="156">
        <f>INPUT!BW272</f>
        <v>26.587506453278259</v>
      </c>
      <c r="AA125" s="687">
        <f>INPUT!BX272</f>
        <v>-21.811093845784622</v>
      </c>
      <c r="AB125" s="156">
        <f>INPUT!BY272</f>
        <v>32.435180477885098</v>
      </c>
      <c r="AC125" s="687">
        <f>INPUT!BZ272</f>
        <v>-4.2057752194361147</v>
      </c>
      <c r="AD125" s="156">
        <f>INPUT!CA272</f>
        <v>28.757828810020889</v>
      </c>
      <c r="AE125" s="687">
        <f>INPUT!CB272</f>
        <v>-9.9813079574694541</v>
      </c>
      <c r="AF125" s="156">
        <f>INPUT!CC272</f>
        <v>32.098233520034448</v>
      </c>
      <c r="AG125" s="687">
        <f>INPUT!CD272</f>
        <v>1.7851878727408232</v>
      </c>
      <c r="AH125" s="156">
        <f>INPUT!CE272</f>
        <v>32.294757665677537</v>
      </c>
      <c r="AI125" s="687">
        <f>INPUT!CF272</f>
        <v>21.465913783334756</v>
      </c>
      <c r="AJ125" s="156">
        <f>INPUT!CG272</f>
        <v>31.574199368516005</v>
      </c>
      <c r="AK125" s="687">
        <f>INPUT!CH272</f>
        <v>-2.6544668371927926</v>
      </c>
      <c r="AL125" s="156">
        <f>INPUT!CI272</f>
        <v>24.937343358396003</v>
      </c>
      <c r="AM125" s="687">
        <f>INPUT!CJ272</f>
        <v>-13.285027450659314</v>
      </c>
      <c r="AN125" s="156">
        <f>INPUT!CK272</f>
        <v>32.723577235772375</v>
      </c>
      <c r="AO125" s="687">
        <f>INPUT!CL272</f>
        <v>1.9482184754734622</v>
      </c>
      <c r="AP125" s="156">
        <f>INPUT!CM272</f>
        <v>32.38095238095238</v>
      </c>
      <c r="AQ125" s="687">
        <f>INPUT!CN272</f>
        <v>0.26690002187708117</v>
      </c>
      <c r="AR125" s="156">
        <f>INPUT!CO272</f>
        <v>32.307692307692307</v>
      </c>
      <c r="AS125" s="687">
        <f>INPUT!CP272</f>
        <v>2.3230769230769388</v>
      </c>
      <c r="AT125" s="156">
        <f>INPUT!CQ272</f>
        <v>29.835766423357672</v>
      </c>
      <c r="AU125" s="687">
        <f>INPUT!CR272</f>
        <v>19.642922642409101</v>
      </c>
      <c r="AV125" s="156">
        <f>INPUT!CS272</f>
        <v>33.82352941176471</v>
      </c>
      <c r="AW125" s="687">
        <f>INPUT!CT272</f>
        <v>3.3613445378150919</v>
      </c>
      <c r="AX125" s="156">
        <f>INPUT!CU272</f>
        <v>32.850241545893724</v>
      </c>
      <c r="AY125" s="687">
        <f>INPUT!CV272</f>
        <v>1.449275362318847</v>
      </c>
      <c r="AZ125" s="156">
        <f>INPUT!CW272</f>
        <v>32.835820895522389</v>
      </c>
      <c r="BA125" s="687">
        <f>INPUT!CX272</f>
        <v>1.6346837242359635</v>
      </c>
      <c r="BB125" s="156">
        <f>INPUT!CY272</f>
        <v>29.629629629629626</v>
      </c>
      <c r="BC125" s="687">
        <f>INPUT!CZ272</f>
        <v>-0.69090497225057224</v>
      </c>
      <c r="BD125" s="156">
        <f>INPUT!DA272</f>
        <v>30.985915492957744</v>
      </c>
      <c r="BE125" s="687">
        <f>INPUT!DB272</f>
        <v>-8.3894672382118998</v>
      </c>
      <c r="BF125" s="156">
        <f>INPUT!DC272</f>
        <v>32.934131736526943</v>
      </c>
      <c r="BG125" s="687">
        <f>INPUT!DD272</f>
        <v>0.25537160972171069</v>
      </c>
      <c r="BH125" s="156">
        <f>INPUT!DE272</f>
        <v>32.835820895522389</v>
      </c>
      <c r="BI125" s="687">
        <f>INPUT!DF272</f>
        <v>0</v>
      </c>
      <c r="BJ125" s="156">
        <f>INPUT!DG272</f>
        <v>33.333333333333329</v>
      </c>
      <c r="BK125" s="687">
        <f>INPUT!DH272</f>
        <v>12.5</v>
      </c>
      <c r="BL125" s="156">
        <f>INPUT!DI272</f>
        <v>32.905982905982903</v>
      </c>
      <c r="BM125" s="687">
        <f>INPUT!DJ272</f>
        <v>6.1965811965811968</v>
      </c>
      <c r="BN125" s="156">
        <f>INPUT!DK272</f>
        <v>32.584269662921351</v>
      </c>
      <c r="BO125" s="687">
        <f>INPUT!DL272</f>
        <v>-1.0623084780387981</v>
      </c>
      <c r="BP125" s="156">
        <f>INPUT!DM272</f>
        <v>33.632286995515699</v>
      </c>
      <c r="BQ125" s="687">
        <f>INPUT!DN272</f>
        <v>2.4256013045250713</v>
      </c>
      <c r="BR125" s="156">
        <f>INPUT!DO272</f>
        <v>33.628318584070797</v>
      </c>
      <c r="BS125" s="687">
        <f>INPUT!DP272</f>
        <v>0.88495575221241296</v>
      </c>
      <c r="BT125" s="156">
        <f>INPUT!DQ272</f>
        <v>31.071428571428573</v>
      </c>
      <c r="BU125" s="687">
        <f>INPUT!DR272</f>
        <v>-5.5751391465677091</v>
      </c>
      <c r="BV125" s="156">
        <f>INPUT!DS272</f>
        <v>28.846153846153843</v>
      </c>
      <c r="BW125" s="687">
        <f>INPUT!DT272</f>
        <v>-11.47214854111407</v>
      </c>
      <c r="BX125" s="156">
        <f>INPUT!DU272</f>
        <v>30.921052631578949</v>
      </c>
      <c r="BY125" s="687">
        <f>INPUT!DV272</f>
        <v>-8.0614035087719351</v>
      </c>
      <c r="BZ125" s="156">
        <f>INPUT!DW272</f>
        <v>21.739130434782609</v>
      </c>
      <c r="CA125" s="687">
        <f>INPUT!DX272</f>
        <v>21.739130434782609</v>
      </c>
      <c r="CB125" s="156">
        <f>INPUT!DY272</f>
        <v>32</v>
      </c>
      <c r="CC125" s="687">
        <f>INPUT!DZ272</f>
        <v>2.9885057471264354</v>
      </c>
      <c r="CD125" s="156">
        <f>INPUT!EA272</f>
        <v>27.184466019417474</v>
      </c>
      <c r="CE125" s="687">
        <f>INPUT!EB272</f>
        <v>-5.7605177993527494</v>
      </c>
      <c r="CF125" s="156">
        <f>INPUT!EC272</f>
        <v>31.428571428571427</v>
      </c>
      <c r="CG125" s="687">
        <f>INPUT!ED272</f>
        <v>1.6413373860182379</v>
      </c>
      <c r="CH125" s="156">
        <f>INPUT!EE272</f>
        <v>32.113821138211385</v>
      </c>
      <c r="CI125" s="687">
        <f>INPUT!EF272</f>
        <v>47.72357723577236</v>
      </c>
      <c r="CJ125" s="156">
        <f>INPUT!EG272</f>
        <v>32.456140350877192</v>
      </c>
      <c r="CK125" s="687">
        <f>INPUT!EH272</f>
        <v>1.4254385964912242</v>
      </c>
      <c r="CL125" s="156">
        <f>INPUT!EI272</f>
        <v>30.481283422459892</v>
      </c>
      <c r="CM125" s="687">
        <f>INPUT!EJ272</f>
        <v>12.127578304048892</v>
      </c>
      <c r="CN125" s="156">
        <f>INPUT!EK272</f>
        <v>31.443298969072163</v>
      </c>
      <c r="CO125" s="687">
        <f>INPUT!EL272</f>
        <v>4.6860356138700432E-2</v>
      </c>
      <c r="CP125" s="156">
        <f>INPUT!EM272</f>
        <v>30.857142857142854</v>
      </c>
      <c r="CQ125" s="687">
        <f>INPUT!EN272</f>
        <v>-3.9132007233273258</v>
      </c>
      <c r="CR125" s="156">
        <f>INPUT!EO272</f>
        <v>31.838565022421523</v>
      </c>
      <c r="CS125" s="687">
        <f>INPUT!EP272</f>
        <v>-1.902799660647192</v>
      </c>
      <c r="CT125" s="156">
        <f>INPUT!EQ272</f>
        <v>20</v>
      </c>
      <c r="CU125" s="687">
        <f>INPUT!ER272</f>
        <v>-34.385964912280699</v>
      </c>
      <c r="CV125" s="156">
        <f>INPUT!ES272</f>
        <v>20</v>
      </c>
      <c r="CW125" s="687">
        <f>INPUT!ET272</f>
        <v>-36.393442622950815</v>
      </c>
      <c r="CX125" s="156">
        <f>INPUT!EU272</f>
        <v>20</v>
      </c>
      <c r="CY125" s="687">
        <f>INPUT!EV272</f>
        <v>-35.185185185185176</v>
      </c>
      <c r="CZ125" s="156">
        <f>INPUT!EW272</f>
        <v>20</v>
      </c>
      <c r="DA125" s="687">
        <f>INPUT!EX272</f>
        <v>-37.183098591549289</v>
      </c>
      <c r="DB125" s="16"/>
      <c r="DC125" s="156">
        <f>INPUT!FP272</f>
        <v>32.806835836354239</v>
      </c>
      <c r="DD125" s="687">
        <f>INPUT!FQ272</f>
        <v>0.80164881976585445</v>
      </c>
      <c r="DE125" s="156">
        <f>INPUT!FR272</f>
        <v>33.378088077336201</v>
      </c>
      <c r="DF125" s="687">
        <f>INPUT!FS272</f>
        <v>1.7412597905859029</v>
      </c>
      <c r="DG125" s="156">
        <f>INPUT!FT272</f>
        <v>33.761904761904759</v>
      </c>
      <c r="DH125" s="687">
        <f>INPUT!FU272</f>
        <v>1.149906141056567</v>
      </c>
      <c r="DI125" s="156">
        <f>INPUT!FV272</f>
        <v>33.077589407251587</v>
      </c>
      <c r="DJ125" s="687">
        <f>INPUT!FW272</f>
        <v>-2.0268860998189919</v>
      </c>
      <c r="DK125" s="156">
        <f>INPUT!FX272</f>
        <v>30.082299471809364</v>
      </c>
      <c r="DL125" s="687">
        <f>INPUT!FY272</f>
        <v>-9.0553452930447484</v>
      </c>
      <c r="DM125" s="156">
        <f>INPUT!FZ272</f>
        <v>31.439242363612159</v>
      </c>
      <c r="DN125" s="687">
        <f>INPUT!GA272</f>
        <v>4.5107685104804229</v>
      </c>
      <c r="DO125" s="156">
        <f>INPUT!GB272</f>
        <v>32.047442194800539</v>
      </c>
      <c r="DP125" s="687">
        <f>INPUT!GC272</f>
        <v>1.9345244524477279</v>
      </c>
      <c r="DQ125" s="156">
        <f>INPUT!GD272</f>
        <v>31.541218637992831</v>
      </c>
      <c r="DR125" s="687">
        <f>INPUT!GE272</f>
        <v>-1.5796067396911861</v>
      </c>
      <c r="DS125" s="156">
        <f>INPUT!GF272</f>
        <v>33.004926108374384</v>
      </c>
      <c r="DT125" s="687">
        <f>INPUT!GG272</f>
        <v>4.6406180026869803</v>
      </c>
      <c r="DU125" s="156">
        <f>INPUT!GH272</f>
        <v>32.63506063947078</v>
      </c>
      <c r="DV125" s="687">
        <f>INPUT!GI272</f>
        <v>-1.1206371669765902</v>
      </c>
      <c r="DW125" s="156">
        <f>INPUT!GJ272</f>
        <v>29.867674858223065</v>
      </c>
      <c r="DX125" s="687">
        <f>INPUT!GK272</f>
        <v>-8.479793593215124</v>
      </c>
      <c r="DY125" s="156">
        <f>INPUT!GL272</f>
        <v>31.382978723404253</v>
      </c>
      <c r="DZ125" s="687">
        <f>INPUT!GM272</f>
        <v>5.0733907891193031</v>
      </c>
      <c r="EA125" s="156">
        <f>INPUT!GN272</f>
        <v>31.193838254172015</v>
      </c>
      <c r="EB125" s="687">
        <f>INPUT!GO272</f>
        <v>-0.60268488501120654</v>
      </c>
      <c r="EC125" s="156">
        <f>INPUT!GP272</f>
        <v>20.000000000000025</v>
      </c>
      <c r="ED125" s="687">
        <f>INPUT!GQ272</f>
        <v>-35.88477366255136</v>
      </c>
      <c r="EE125" s="156">
        <f>INPUT!GR272</f>
        <v>20.000000000000025</v>
      </c>
      <c r="EF125" s="687">
        <f>INPUT!GS272</f>
        <v>0</v>
      </c>
      <c r="EG125" s="156">
        <f>INPUT!GT272</f>
        <v>20.000000000000025</v>
      </c>
      <c r="EH125" s="687">
        <f>INPUT!GU272</f>
        <v>0</v>
      </c>
      <c r="EI125" s="156">
        <f>INPUT!GV272</f>
        <v>20.000000000000025</v>
      </c>
      <c r="EJ125" s="687">
        <f>INPUT!GW272</f>
        <v>0</v>
      </c>
      <c r="EK125" s="156">
        <f>INPUT!GX272</f>
        <v>20.000000000000025</v>
      </c>
      <c r="EL125" s="687">
        <f>INPUT!GY272</f>
        <v>0</v>
      </c>
      <c r="EM125" s="687">
        <f>INPUT!GZ272</f>
        <v>-8.5060798150871761</v>
      </c>
    </row>
    <row r="126" spans="1:143" ht="12.75" hidden="1" customHeight="1" outlineLevel="1" x14ac:dyDescent="0.2">
      <c r="A126" s="707" t="str">
        <f>INPUT!B273</f>
        <v>Operating Earnings</v>
      </c>
      <c r="B126" s="708">
        <f>INPUT!AY273</f>
        <v>69</v>
      </c>
      <c r="C126" s="709">
        <f>INPUT!AZ273</f>
        <v>18.556701030927812</v>
      </c>
      <c r="D126" s="708">
        <f>INPUT!BA273</f>
        <v>147.1</v>
      </c>
      <c r="E126" s="709" t="str">
        <f>INPUT!BB273</f>
        <v>NM</v>
      </c>
      <c r="F126" s="708">
        <f>INPUT!BC273</f>
        <v>122.79999999999991</v>
      </c>
      <c r="G126" s="709">
        <f>INPUT!BD273</f>
        <v>89.214175654853591</v>
      </c>
      <c r="H126" s="708">
        <f>INPUT!BE273</f>
        <v>157.30000000000001</v>
      </c>
      <c r="I126" s="709" t="str">
        <f>INPUT!BF273</f>
        <v>NM</v>
      </c>
      <c r="J126" s="708">
        <f>INPUT!BG273</f>
        <v>166.60000000000011</v>
      </c>
      <c r="K126" s="709" t="str">
        <f>INPUT!BH273</f>
        <v>NM</v>
      </c>
      <c r="L126" s="708">
        <f>INPUT!BI273</f>
        <v>176.5</v>
      </c>
      <c r="M126" s="709">
        <f>INPUT!BJ273</f>
        <v>19.98640380693406</v>
      </c>
      <c r="N126" s="708">
        <f>INPUT!BK273</f>
        <v>181.8</v>
      </c>
      <c r="O126" s="709">
        <f>INPUT!BL273</f>
        <v>48.045602605863301</v>
      </c>
      <c r="P126" s="708">
        <f>INPUT!BM273</f>
        <v>170.59999999999985</v>
      </c>
      <c r="Q126" s="709">
        <f>INPUT!BN273</f>
        <v>8.4551811824538081</v>
      </c>
      <c r="R126" s="708">
        <f>INPUT!BO273</f>
        <v>157.40000000000012</v>
      </c>
      <c r="S126" s="709">
        <f>INPUT!BP273</f>
        <v>-5.5222088835534144</v>
      </c>
      <c r="T126" s="708">
        <f>INPUT!BQ273</f>
        <v>163.50000000000006</v>
      </c>
      <c r="U126" s="709">
        <f>INPUT!BR273</f>
        <v>-7.3654390934843832</v>
      </c>
      <c r="V126" s="708">
        <f>INPUT!BS273</f>
        <v>137.40000000000009</v>
      </c>
      <c r="W126" s="709">
        <f>INPUT!BT273</f>
        <v>-24.422442244224374</v>
      </c>
      <c r="X126" s="708">
        <f>INPUT!BU273</f>
        <v>82.5</v>
      </c>
      <c r="Y126" s="709" t="str">
        <f>INPUT!BV273</f>
        <v>NM</v>
      </c>
      <c r="Z126" s="708">
        <f>INPUT!BW273</f>
        <v>142.20000000000005</v>
      </c>
      <c r="AA126" s="709">
        <f>INPUT!BX273</f>
        <v>-9.6569250317662387</v>
      </c>
      <c r="AB126" s="708">
        <f>INPUT!BY273</f>
        <v>132.90000000000003</v>
      </c>
      <c r="AC126" s="709">
        <f>INPUT!BZ273</f>
        <v>-18.71559633027524</v>
      </c>
      <c r="AD126" s="708">
        <f>INPUT!CA273</f>
        <v>136.49999999999991</v>
      </c>
      <c r="AE126" s="709">
        <f>INPUT!CB273</f>
        <v>-0.65502183406126457</v>
      </c>
      <c r="AF126" s="708">
        <f>INPUT!CC273</f>
        <v>157.60000000000014</v>
      </c>
      <c r="AG126" s="709">
        <f>INPUT!CD273</f>
        <v>91.030303030303202</v>
      </c>
      <c r="AH126" s="708">
        <f>INPUT!CE273</f>
        <v>136.90000000000003</v>
      </c>
      <c r="AI126" s="709">
        <f>INPUT!CF273</f>
        <v>-3.727144866385379</v>
      </c>
      <c r="AJ126" s="708">
        <f>INPUT!CG273</f>
        <v>151.70000000000005</v>
      </c>
      <c r="AK126" s="709">
        <f>INPUT!CH273</f>
        <v>14.14597441685479</v>
      </c>
      <c r="AL126" s="708">
        <f>INPUT!CI273</f>
        <v>59.899999999999956</v>
      </c>
      <c r="AM126" s="709" t="str">
        <f>INPUT!CJ273</f>
        <v>NM</v>
      </c>
      <c r="AN126" s="708">
        <f>INPUT!CK273</f>
        <v>165.49999999999989</v>
      </c>
      <c r="AO126" s="709">
        <f>INPUT!CL273</f>
        <v>5.0126903553297852</v>
      </c>
      <c r="AP126" s="708">
        <f>INPUT!CM273</f>
        <v>142</v>
      </c>
      <c r="AQ126" s="709">
        <f>INPUT!CN273</f>
        <v>3.725346968590193</v>
      </c>
      <c r="AR126" s="708">
        <f>INPUT!CO273</f>
        <v>136.4</v>
      </c>
      <c r="AS126" s="709">
        <f>INPUT!CP273</f>
        <v>-10.085695451549137</v>
      </c>
      <c r="AT126" s="708">
        <f>INPUT!CQ273</f>
        <v>153.79999999999993</v>
      </c>
      <c r="AU126" s="709" t="str">
        <f>INPUT!CR273</f>
        <v>NM</v>
      </c>
      <c r="AV126" s="708">
        <f>INPUT!CS273</f>
        <v>135</v>
      </c>
      <c r="AW126" s="709">
        <f>INPUT!CT273</f>
        <v>-18.429003021147984</v>
      </c>
      <c r="AX126" s="708">
        <f>INPUT!CU273</f>
        <v>139</v>
      </c>
      <c r="AY126" s="709">
        <f>INPUT!CV273</f>
        <v>-2.1126760563380254</v>
      </c>
      <c r="AZ126" s="708">
        <f>INPUT!CW273</f>
        <v>135</v>
      </c>
      <c r="BA126" s="709">
        <f>INPUT!CX273</f>
        <v>-1.0263929618768319</v>
      </c>
      <c r="BB126" s="708">
        <f>INPUT!CY273</f>
        <v>152</v>
      </c>
      <c r="BC126" s="709">
        <f>INPUT!CZ273</f>
        <v>-1.1703511053315574</v>
      </c>
      <c r="BD126" s="708">
        <f>INPUT!DA273</f>
        <v>147</v>
      </c>
      <c r="BE126" s="709">
        <f>INPUT!DB273</f>
        <v>8.8888888888888786</v>
      </c>
      <c r="BF126" s="708">
        <f>INPUT!DC273</f>
        <v>112</v>
      </c>
      <c r="BG126" s="709">
        <f>INPUT!DD273</f>
        <v>-19.424460431654676</v>
      </c>
      <c r="BH126" s="708">
        <f>INPUT!DE273</f>
        <v>135</v>
      </c>
      <c r="BI126" s="709">
        <f>INPUT!DF273</f>
        <v>0</v>
      </c>
      <c r="BJ126" s="708">
        <f>INPUT!DG273</f>
        <v>140</v>
      </c>
      <c r="BK126" s="709">
        <f>INPUT!DH273</f>
        <v>-7.8947368421052655</v>
      </c>
      <c r="BL126" s="708">
        <f>INPUT!DI273</f>
        <v>157</v>
      </c>
      <c r="BM126" s="709">
        <f>INPUT!DJ273</f>
        <v>6.8027210884353817</v>
      </c>
      <c r="BN126" s="708">
        <f>INPUT!DK273</f>
        <v>120</v>
      </c>
      <c r="BO126" s="709">
        <f>INPUT!DL273</f>
        <v>7.1428571428571397</v>
      </c>
      <c r="BP126" s="708">
        <f>INPUT!DM273</f>
        <v>148</v>
      </c>
      <c r="BQ126" s="709">
        <f>INPUT!DN273</f>
        <v>9.6296296296296333</v>
      </c>
      <c r="BR126" s="708">
        <f>INPUT!DO273</f>
        <v>150</v>
      </c>
      <c r="BS126" s="709">
        <f>INPUT!DP273</f>
        <v>7.1428571428571397</v>
      </c>
      <c r="BT126" s="708">
        <f>INPUT!DQ273</f>
        <v>194</v>
      </c>
      <c r="BU126" s="709">
        <f>INPUT!DR273</f>
        <v>23.566878980891715</v>
      </c>
      <c r="BV126" s="708">
        <f>INPUT!DS273</f>
        <v>111</v>
      </c>
      <c r="BW126" s="709">
        <f>INPUT!DT273</f>
        <v>-7.4999999999999956</v>
      </c>
      <c r="BX126" s="708">
        <f>INPUT!DU273</f>
        <v>105</v>
      </c>
      <c r="BY126" s="709">
        <f>INPUT!DV273</f>
        <v>-29.054054054054056</v>
      </c>
      <c r="BZ126" s="708">
        <f>INPUT!DW273</f>
        <v>36</v>
      </c>
      <c r="CA126" s="709">
        <f>INPUT!DX273</f>
        <v>36</v>
      </c>
      <c r="CB126" s="708">
        <f>INPUT!DY273</f>
        <v>119</v>
      </c>
      <c r="CC126" s="709">
        <f>INPUT!DZ273</f>
        <v>-38.659793814432987</v>
      </c>
      <c r="CD126" s="708">
        <f>INPUT!EA273</f>
        <v>75</v>
      </c>
      <c r="CE126" s="709">
        <f>INPUT!EB273</f>
        <v>-32.432432432432435</v>
      </c>
      <c r="CF126" s="708">
        <f>INPUT!EC273</f>
        <v>120</v>
      </c>
      <c r="CG126" s="709">
        <f>INPUT!ED273</f>
        <v>14.285714285714279</v>
      </c>
      <c r="CH126" s="708">
        <f>INPUT!EE273</f>
        <v>167</v>
      </c>
      <c r="CI126" s="709" t="str">
        <f>INPUT!EF273</f>
        <v>NM</v>
      </c>
      <c r="CJ126" s="708">
        <f>INPUT!EG273</f>
        <v>154</v>
      </c>
      <c r="CK126" s="709">
        <f>INPUT!EH273</f>
        <v>29.411764705882359</v>
      </c>
      <c r="CL126" s="708">
        <f>INPUT!EI273</f>
        <v>130</v>
      </c>
      <c r="CM126" s="709">
        <f>INPUT!EJ273</f>
        <v>73.333333333333343</v>
      </c>
      <c r="CN126" s="708">
        <f>INPUT!EK273</f>
        <v>133</v>
      </c>
      <c r="CO126" s="709">
        <f>INPUT!EL273</f>
        <v>10.833333333333339</v>
      </c>
      <c r="CP126" s="708">
        <f>INPUT!EM273</f>
        <v>121</v>
      </c>
      <c r="CQ126" s="709">
        <f>INPUT!EN273</f>
        <v>-27.544910179640713</v>
      </c>
      <c r="CR126" s="708">
        <f>INPUT!EO273</f>
        <v>152</v>
      </c>
      <c r="CS126" s="709">
        <f>INPUT!EP273</f>
        <v>-1.2987012987012991</v>
      </c>
      <c r="CT126" s="708">
        <f>INPUT!EQ273</f>
        <v>143.65676411842998</v>
      </c>
      <c r="CU126" s="709">
        <f>INPUT!ER273</f>
        <v>10.505203168023058</v>
      </c>
      <c r="CV126" s="708">
        <f>INPUT!ES273</f>
        <v>160.01241597352637</v>
      </c>
      <c r="CW126" s="709">
        <f>INPUT!ET273</f>
        <v>20.310087198140138</v>
      </c>
      <c r="CX126" s="708">
        <f>INPUT!EU273</f>
        <v>159.92396102883831</v>
      </c>
      <c r="CY126" s="709">
        <f>INPUT!EV273</f>
        <v>32.16856283375067</v>
      </c>
      <c r="CZ126" s="708">
        <f>INPUT!EW273</f>
        <v>167.91237468114758</v>
      </c>
      <c r="DA126" s="709">
        <f>INPUT!EX273</f>
        <v>10.468667553386556</v>
      </c>
      <c r="DB126" s="710"/>
      <c r="DC126" s="708">
        <f>INPUT!FP273</f>
        <v>259.49999999999983</v>
      </c>
      <c r="DD126" s="709">
        <f>INPUT!FQ273</f>
        <v>0.97276264591432682</v>
      </c>
      <c r="DE126" s="708">
        <f>INPUT!FR273</f>
        <v>496.19999999999976</v>
      </c>
      <c r="DF126" s="709">
        <f>INPUT!FS273</f>
        <v>91.213872832369972</v>
      </c>
      <c r="DG126" s="708">
        <f>INPUT!FT273</f>
        <v>695.5</v>
      </c>
      <c r="DH126" s="709">
        <f>INPUT!FU273</f>
        <v>40.165255945183453</v>
      </c>
      <c r="DI126" s="708">
        <f>INPUT!FV273</f>
        <v>540.79999999999995</v>
      </c>
      <c r="DJ126" s="709">
        <f>INPUT!FW273</f>
        <v>-22.24299065420562</v>
      </c>
      <c r="DK126" s="708">
        <f>INPUT!FX273</f>
        <v>569.19999999999993</v>
      </c>
      <c r="DL126" s="709">
        <f>INPUT!FY273</f>
        <v>5.2514792899408302</v>
      </c>
      <c r="DM126" s="708">
        <f>INPUT!FZ273</f>
        <v>513.99999999999886</v>
      </c>
      <c r="DN126" s="709">
        <f>INPUT!GA273</f>
        <v>-9.6978215038652671</v>
      </c>
      <c r="DO126" s="708">
        <f>INPUT!GB273</f>
        <v>567.19999999999982</v>
      </c>
      <c r="DP126" s="709">
        <f>INPUT!GC273</f>
        <v>10.350194552529391</v>
      </c>
      <c r="DQ126" s="708">
        <f>INPUT!GD273</f>
        <v>573</v>
      </c>
      <c r="DR126" s="709">
        <f>INPUT!GE273</f>
        <v>1.0225669957687256</v>
      </c>
      <c r="DS126" s="708">
        <f>INPUT!GF273</f>
        <v>544</v>
      </c>
      <c r="DT126" s="709">
        <f>INPUT!GG273</f>
        <v>-5.0610820244328059</v>
      </c>
      <c r="DU126" s="708">
        <f>INPUT!GH273</f>
        <v>612</v>
      </c>
      <c r="DV126" s="709">
        <f>INPUT!GI273</f>
        <v>12.5</v>
      </c>
      <c r="DW126" s="708">
        <f>INPUT!GJ273</f>
        <v>371</v>
      </c>
      <c r="DX126" s="709">
        <f>INPUT!GK273</f>
        <v>-39.379084967320267</v>
      </c>
      <c r="DY126" s="708">
        <f>INPUT!GL273</f>
        <v>516</v>
      </c>
      <c r="DZ126" s="709">
        <f>INPUT!GM273</f>
        <v>39.083557951482483</v>
      </c>
      <c r="EA126" s="708">
        <f>INPUT!GN273</f>
        <v>536</v>
      </c>
      <c r="EB126" s="709">
        <f>INPUT!GO273</f>
        <v>3.8759689922480689</v>
      </c>
      <c r="EC126" s="708">
        <f>INPUT!GP273</f>
        <v>631.50551580194133</v>
      </c>
      <c r="ED126" s="709">
        <f>INPUT!GQ273</f>
        <v>17.818193246630855</v>
      </c>
      <c r="EE126" s="708">
        <f>INPUT!GR273</f>
        <v>638.91526599370604</v>
      </c>
      <c r="EF126" s="709">
        <f>INPUT!GS273</f>
        <v>1.1733468681354609</v>
      </c>
      <c r="EG126" s="708">
        <f>INPUT!GT273</f>
        <v>655.5039885975134</v>
      </c>
      <c r="EH126" s="709">
        <f>INPUT!GU273</f>
        <v>2.5963885176552903</v>
      </c>
      <c r="EI126" s="708">
        <f>INPUT!GV273</f>
        <v>677.03553103628781</v>
      </c>
      <c r="EJ126" s="709">
        <f>INPUT!GW273</f>
        <v>3.2847309571437222</v>
      </c>
      <c r="EK126" s="708">
        <f>INPUT!GX273</f>
        <v>699.2258994450317</v>
      </c>
      <c r="EL126" s="709">
        <f>INPUT!GY273</f>
        <v>3.2775781168794316</v>
      </c>
      <c r="EM126" s="711">
        <f>INPUT!GZ273</f>
        <v>5.460674177429925</v>
      </c>
    </row>
    <row r="127" spans="1:143" s="561" customFormat="1" ht="12.75" hidden="1" customHeight="1" outlineLevel="2" x14ac:dyDescent="0.2">
      <c r="A127" s="712" t="s">
        <v>50</v>
      </c>
      <c r="B127" s="713">
        <f>(B111+B112+B113-B117-B118-B119-B120-B124)-B126</f>
        <v>0</v>
      </c>
      <c r="C127" s="662"/>
      <c r="D127" s="713">
        <f>(D111+D112+D113-D117-D118-D119-D120-D124)-D126</f>
        <v>0</v>
      </c>
      <c r="E127" s="662"/>
      <c r="F127" s="713">
        <f>(F111+F112+F113-F117-F118-F119-F120-F124)-F126</f>
        <v>0</v>
      </c>
      <c r="G127" s="662"/>
      <c r="H127" s="713">
        <f>(H111+H112+H113-H117-H118-H119-H120-H124)-H126</f>
        <v>0</v>
      </c>
      <c r="I127" s="662"/>
      <c r="J127" s="713">
        <f>(J111+J112+J113-J117-J118-J119-J120-J124)-J126</f>
        <v>0</v>
      </c>
      <c r="K127" s="662"/>
      <c r="L127" s="713">
        <f>(L111+L112+L113-L117-L118-L119-L120-L124)-L126</f>
        <v>0</v>
      </c>
      <c r="M127" s="662"/>
      <c r="N127" s="713">
        <f>(N111+N112+N113-N117-N118-N119-N120-N124)-N126</f>
        <v>0</v>
      </c>
      <c r="O127" s="662"/>
      <c r="P127" s="713">
        <f>(P111+P112+P113-P117-P118-P119-P120-P124)-P126</f>
        <v>0</v>
      </c>
      <c r="Q127" s="662"/>
      <c r="R127" s="713">
        <f>(R111+R112+R113-R117-R118-R119-R120-R124)-R126</f>
        <v>-2.2737367544323206E-13</v>
      </c>
      <c r="S127" s="662"/>
      <c r="T127" s="713">
        <f>(T111+T112+T113-T117-T118-T119-T120-T124)-T126</f>
        <v>0</v>
      </c>
      <c r="U127" s="662"/>
      <c r="V127" s="713">
        <f>(V111+V112+V113-V117-V118-V119-V120-V124)-V126</f>
        <v>0</v>
      </c>
      <c r="W127" s="662"/>
      <c r="X127" s="713">
        <f>(X111+X112+X113-X117-X118-X119-X120-X124)-X126</f>
        <v>0</v>
      </c>
      <c r="Y127" s="662"/>
      <c r="Z127" s="713">
        <f>(Z111+Z112+Z113-Z117-Z118-Z119-Z120-Z124)-Z126</f>
        <v>0</v>
      </c>
      <c r="AA127" s="662"/>
      <c r="AB127" s="713">
        <f>(AB111+AB112+AB113-AB117-AB118-AB119-AB120-AB124)-AB126</f>
        <v>0</v>
      </c>
      <c r="AC127" s="662"/>
      <c r="AD127" s="713">
        <f>(AD111+AD112+AD113-AD117-AD118-AD119-AD120-AD124)-AD126</f>
        <v>0</v>
      </c>
      <c r="AE127" s="662"/>
      <c r="AF127" s="713">
        <f>(AF111+AF112+AF113-AF117-AF118-AF119-AF120-AF124)-AF126</f>
        <v>0</v>
      </c>
      <c r="AG127" s="662"/>
      <c r="AH127" s="713">
        <f>(AH111+AH112+AH113-AH117-AH118-AH119-AH120-AH124)-AH126</f>
        <v>0</v>
      </c>
      <c r="AI127" s="662"/>
      <c r="AJ127" s="713">
        <f>(AJ111+AJ112+AJ113-AJ117-AJ118-AJ119-AJ120-AJ124)-AJ126</f>
        <v>0</v>
      </c>
      <c r="AK127" s="662"/>
      <c r="AL127" s="713">
        <f>(AL111+AL112+AL113-AL117-AL118-AL119-AL120-AL124)-AL126</f>
        <v>0</v>
      </c>
      <c r="AM127" s="662"/>
      <c r="AN127" s="713">
        <f>(AN111+AN112+AN113-AN117-AN118-AN119-AN120-AN124)-AN126</f>
        <v>0</v>
      </c>
      <c r="AO127" s="662"/>
      <c r="AP127" s="713">
        <f>(AP111+AP112+AP113-AP117-AP118-AP119-AP120-AP124)-AP126</f>
        <v>0</v>
      </c>
      <c r="AQ127" s="662"/>
      <c r="AR127" s="713">
        <f>(AR111+AR112+AR113-AR117-AR118-AR119-AR120-AR124)-AR126</f>
        <v>0</v>
      </c>
      <c r="AS127" s="662"/>
      <c r="AT127" s="713">
        <f>(AT111+AT112+AT113-AT117-AT118-AT119-AT120-AT124)-AT126</f>
        <v>0</v>
      </c>
      <c r="AU127" s="662"/>
      <c r="AV127" s="713">
        <f>(AV111+AV112+AV113-AV117-AV118-AV119-AV120-AV124)-AV126</f>
        <v>0</v>
      </c>
      <c r="AW127" s="662"/>
      <c r="AX127" s="713">
        <f>(AX111+AX112+AX113-AX117-AX118-AX119-AX120-AX124)-AX126</f>
        <v>0</v>
      </c>
      <c r="AY127" s="662"/>
      <c r="AZ127" s="713">
        <f>(AZ111+AZ112+AZ113-AZ117-AZ118-AZ119-AZ120-AZ124)-AZ126</f>
        <v>0</v>
      </c>
      <c r="BA127" s="662"/>
      <c r="BB127" s="713">
        <f>(BB111+BB112+BB113-BB117-BB118-BB119-BB120-BB124)-BB126</f>
        <v>0</v>
      </c>
      <c r="BC127" s="662"/>
      <c r="BD127" s="713">
        <f>(BD111+BD112+BD113-BD117-BD118-BD119-BD120-BD124)-BD126</f>
        <v>0</v>
      </c>
      <c r="BE127" s="662"/>
      <c r="BF127" s="713">
        <f>(BF111+BF112+BF113-BF117-BF118-BF119-BF120-BF124)-BF126</f>
        <v>0</v>
      </c>
      <c r="BG127" s="662"/>
      <c r="BH127" s="713">
        <f>(BH111+BH112+BH113-BH117-BH118-BH119-BH120-BH124)-BH126</f>
        <v>0</v>
      </c>
      <c r="BI127" s="662"/>
      <c r="BJ127" s="713">
        <f>(BJ111+BJ112+BJ113-BJ117-BJ118-BJ119-BJ120-BJ124)-BJ126</f>
        <v>0</v>
      </c>
      <c r="BK127" s="662"/>
      <c r="BL127" s="713">
        <f>(BL111+BL112+BL113-BL117-BL118-BL119-BL120-BL124)-BL126</f>
        <v>0</v>
      </c>
      <c r="BM127" s="662"/>
      <c r="BN127" s="713">
        <f>(BN111+BN112+BN113-BN117-BN118-BN119-BN120-BN124)-BN126</f>
        <v>0</v>
      </c>
      <c r="BO127" s="662"/>
      <c r="BP127" s="713">
        <f>(BP111+BP112+BP113-BP117-BP118-BP119-BP120-BP124)-BP126</f>
        <v>0</v>
      </c>
      <c r="BQ127" s="662"/>
      <c r="BR127" s="713">
        <f>(BR111+BR112+BR113-BR117-BR118-BR119-BR120-BR124)-BR126</f>
        <v>0</v>
      </c>
      <c r="BS127" s="662"/>
      <c r="BT127" s="713">
        <f>(BT111+BT112+BT113-BT117-BT118-BT119-BT120-BT124)-BT126</f>
        <v>-1</v>
      </c>
      <c r="BU127" s="662"/>
      <c r="BV127" s="713">
        <f>(BV111+BV112+BV113-BV117-BV118-BV119-BV120-BV124)-BV126</f>
        <v>0</v>
      </c>
      <c r="BW127" s="662"/>
      <c r="BX127" s="713">
        <f>(BX111+BX112+BX113-BX117-BX118-BX119-BX120-BX124)-BX126</f>
        <v>0</v>
      </c>
      <c r="BY127" s="662"/>
      <c r="BZ127" s="713">
        <f>(BZ111+BZ112+BZ113-BZ117-BZ118-BZ119-BZ120-BZ124)-BZ126</f>
        <v>0</v>
      </c>
      <c r="CA127" s="662"/>
      <c r="CB127" s="713">
        <f>(CB111+CB112+CB113-CB117-CB118-CB119-CB120-CB124)-CB126</f>
        <v>0</v>
      </c>
      <c r="CC127" s="662"/>
      <c r="CD127" s="713">
        <f>(CD111+CD112+CD113-CD117-CD118-CD119-CD120-CD124)-CD126</f>
        <v>0</v>
      </c>
      <c r="CE127" s="662"/>
      <c r="CF127" s="713">
        <f>(CF111+CF112+CF113-CF117-CF118-CF119-CF120-CF124)-CF126</f>
        <v>0</v>
      </c>
      <c r="CG127" s="662"/>
      <c r="CH127" s="713">
        <f>(CH111+CH112+CH113-CH117-CH118-CH119-CH120-CH124)-CH126</f>
        <v>0</v>
      </c>
      <c r="CI127" s="662"/>
      <c r="CJ127" s="713">
        <f>(CJ111+CJ112+CJ113-CJ117-CJ118-CJ119-CJ120-CJ124)-CJ126</f>
        <v>0</v>
      </c>
      <c r="CK127" s="662"/>
      <c r="CL127" s="713">
        <f>(CL111+CL112+CL113-CL117-CL118-CL119-CL120-CL124)-CL126</f>
        <v>0</v>
      </c>
      <c r="CM127" s="662"/>
      <c r="CN127" s="713">
        <f t="shared" ref="CN127" si="72">(CN111+CN112+CN113-CN117-CN118-CN119-CN120-CN124)-CN126</f>
        <v>0</v>
      </c>
      <c r="CO127" s="662"/>
      <c r="CP127" s="713">
        <f t="shared" ref="CP127" si="73">(CP111+CP112+CP113-CP117-CP118-CP119-CP120-CP124)-CP126</f>
        <v>0</v>
      </c>
      <c r="CQ127" s="662"/>
      <c r="CR127" s="713">
        <f t="shared" ref="CR127" si="74">(CR111+CR112+CR113-CR117-CR118-CR119-CR120-CR124)-CR126</f>
        <v>0</v>
      </c>
      <c r="CS127" s="662"/>
      <c r="CT127" s="713">
        <f>(CT111+CT112+CT113-CT117-CT118-CT119-CT120-CT124)-CT126</f>
        <v>0</v>
      </c>
      <c r="CU127" s="662"/>
      <c r="CV127" s="713">
        <f t="shared" ref="CV127" si="75">(CV111+CV112+CV113-CV117-CV118-CV119-CV120-CV124)-CV126</f>
        <v>0</v>
      </c>
      <c r="CW127" s="662"/>
      <c r="CX127" s="713">
        <f t="shared" ref="CX127" si="76">(CX111+CX112+CX113-CX117-CX118-CX119-CX120-CX124)-CX126</f>
        <v>0</v>
      </c>
      <c r="CY127" s="662"/>
      <c r="CZ127" s="713">
        <f t="shared" ref="CZ127" si="77">(CZ111+CZ112+CZ113-CZ117-CZ118-CZ119-CZ120-CZ124)-CZ126</f>
        <v>0</v>
      </c>
      <c r="DA127" s="662"/>
      <c r="DB127" s="714"/>
      <c r="DC127" s="713">
        <f>(DC111+DC112+DC113-DC117-DC118-DC119-DC120-DC124)-DC126</f>
        <v>0</v>
      </c>
      <c r="DD127" s="662"/>
      <c r="DE127" s="713">
        <f>(DE111+DE112+DE113-DE117-DE118-DE119-DE120-DE124)-DE126</f>
        <v>0</v>
      </c>
      <c r="DF127" s="662"/>
      <c r="DG127" s="713">
        <f>(DG111+DG112+DG113-DG117-DG118-DG119-DG120-DG124)-DG126</f>
        <v>0</v>
      </c>
      <c r="DH127" s="662"/>
      <c r="DI127" s="713">
        <f>(DI111+DI112+DI113-DI117-DI118-DI119-DI120-DI124)-DI126</f>
        <v>9.0949470177292824E-13</v>
      </c>
      <c r="DJ127" s="662"/>
      <c r="DK127" s="713">
        <f>(DK111+DK112+DK113-DK117-DK118-DK119-DK120-DK124)-DK126</f>
        <v>0</v>
      </c>
      <c r="DL127" s="662"/>
      <c r="DM127" s="713">
        <f>(DM111+DM112+DM113-DM117-DM118-DM119-DM120-DM124)-DM126</f>
        <v>0</v>
      </c>
      <c r="DN127" s="662"/>
      <c r="DO127" s="713">
        <f>(DO111+DO112+DO113-DO117-DO118-DO119-DO120-DO124)-DO126</f>
        <v>0</v>
      </c>
      <c r="DP127" s="662"/>
      <c r="DQ127" s="713">
        <f>(DQ111+DQ112+DQ113-DQ117-DQ118-DQ119-DQ120-DQ124)-DQ126</f>
        <v>0</v>
      </c>
      <c r="DR127" s="662"/>
      <c r="DS127" s="713">
        <f>(DS111+DS112+DS113-DS117-DS118-DS119-DS120-DS124)-DS126</f>
        <v>0</v>
      </c>
      <c r="DT127" s="662"/>
      <c r="DU127" s="713">
        <f>(DU111+DU112+DU113-DU117-DU118-DU119-DU120-DU124)-DU126</f>
        <v>-1</v>
      </c>
      <c r="DV127" s="662"/>
      <c r="DW127" s="713">
        <f>(DW111+DW112+DW113-DW117-DW118-DW119-DW120-DW124)-DW126</f>
        <v>0</v>
      </c>
      <c r="DX127" s="662"/>
      <c r="DY127" s="713">
        <f>(DY111+DY112+DY113-DY117-DY118-DY119-DY120-DY124)-DY126</f>
        <v>0</v>
      </c>
      <c r="DZ127" s="662"/>
      <c r="EA127" s="713">
        <f>(EA111+EA112+EA113-EA117-EA118-EA119-EA120-EA124)-EA126</f>
        <v>0</v>
      </c>
      <c r="EB127" s="662"/>
      <c r="EC127" s="713">
        <f>(EC111+EC112+EC113-EC117-EC118-EC119-EC120-EC124)-EC126</f>
        <v>1.8189894035458565E-12</v>
      </c>
      <c r="ED127" s="662"/>
      <c r="EE127" s="713">
        <f>(EE111+EE112+EE113-EE117-EE118-EE119-EE120-EE124)-EE126</f>
        <v>0</v>
      </c>
      <c r="EF127" s="662"/>
      <c r="EG127" s="713">
        <f>(EG111+EG112+EG113-EG117-EG118-EG119-EG120-EG124)-EG126</f>
        <v>-9.0949470177292824E-13</v>
      </c>
      <c r="EH127" s="662"/>
      <c r="EI127" s="713">
        <f>(EI111+EI112+EI113-EI117-EI118-EI119-EI120-EI124)-EI126</f>
        <v>0</v>
      </c>
      <c r="EJ127" s="662"/>
      <c r="EK127" s="713">
        <f>(EK111+EK112+EK113-EK117-EK118-EK119-EK120-EK124)-EK126</f>
        <v>0</v>
      </c>
      <c r="EL127" s="662"/>
      <c r="EM127" s="662"/>
    </row>
    <row r="128" spans="1:143" ht="12.75" hidden="1" customHeight="1" outlineLevel="1" collapsed="1" x14ac:dyDescent="0.2">
      <c r="A128" s="701"/>
      <c r="B128" s="16"/>
      <c r="C128" s="687"/>
      <c r="D128" s="16"/>
      <c r="E128" s="687"/>
      <c r="F128" s="16"/>
      <c r="G128" s="687"/>
      <c r="H128" s="16"/>
      <c r="I128" s="687"/>
      <c r="J128" s="16"/>
      <c r="K128" s="687"/>
      <c r="L128" s="16"/>
      <c r="M128" s="687"/>
      <c r="N128" s="16"/>
      <c r="O128" s="687"/>
      <c r="P128" s="16"/>
      <c r="Q128" s="687"/>
      <c r="R128" s="16"/>
      <c r="S128" s="687"/>
      <c r="T128" s="16"/>
      <c r="U128" s="687"/>
      <c r="V128" s="16"/>
      <c r="W128" s="687"/>
      <c r="X128" s="16"/>
      <c r="Y128" s="687"/>
      <c r="Z128" s="16"/>
      <c r="AA128" s="687"/>
      <c r="AB128" s="16"/>
      <c r="AC128" s="687"/>
      <c r="AD128" s="16"/>
      <c r="AE128" s="687"/>
      <c r="AF128" s="16"/>
      <c r="AG128" s="687"/>
      <c r="AH128" s="16"/>
      <c r="AI128" s="687"/>
      <c r="AJ128" s="16"/>
      <c r="AK128" s="687"/>
      <c r="AL128" s="16"/>
      <c r="AM128" s="687"/>
      <c r="AN128" s="16"/>
      <c r="AO128" s="687"/>
      <c r="AP128" s="16"/>
      <c r="AQ128" s="687"/>
      <c r="AR128" s="16"/>
      <c r="AS128" s="687"/>
      <c r="AT128" s="16"/>
      <c r="AU128" s="687"/>
      <c r="AV128" s="16"/>
      <c r="AW128" s="687"/>
      <c r="AX128" s="16"/>
      <c r="AY128" s="687"/>
      <c r="AZ128" s="16"/>
      <c r="BA128" s="687"/>
      <c r="BB128" s="16"/>
      <c r="BC128" s="687"/>
      <c r="BD128" s="16"/>
      <c r="BE128" s="687"/>
      <c r="BF128" s="16"/>
      <c r="BG128" s="687"/>
      <c r="BH128" s="16"/>
      <c r="BI128" s="687"/>
      <c r="BJ128" s="16"/>
      <c r="BK128" s="687"/>
      <c r="BL128" s="16"/>
      <c r="BM128" s="687"/>
      <c r="BN128" s="16"/>
      <c r="BO128" s="687"/>
      <c r="BP128" s="16"/>
      <c r="BQ128" s="687"/>
      <c r="BR128" s="16"/>
      <c r="BS128" s="687"/>
      <c r="BT128" s="16"/>
      <c r="BU128" s="687"/>
      <c r="BV128" s="16"/>
      <c r="BW128" s="687"/>
      <c r="BX128" s="16"/>
      <c r="BY128" s="687"/>
      <c r="BZ128" s="16"/>
      <c r="CA128" s="687"/>
      <c r="CB128" s="16"/>
      <c r="CC128" s="687"/>
      <c r="CD128" s="16"/>
      <c r="CE128" s="687"/>
      <c r="CF128" s="16"/>
      <c r="CG128" s="687"/>
      <c r="CH128" s="16"/>
      <c r="CI128" s="687"/>
      <c r="CJ128" s="16"/>
      <c r="CK128" s="687"/>
      <c r="CL128" s="16"/>
      <c r="CM128" s="687"/>
      <c r="CN128" s="16"/>
      <c r="CO128" s="687"/>
      <c r="CP128" s="16"/>
      <c r="CQ128" s="687"/>
      <c r="CR128" s="16"/>
      <c r="CS128" s="687"/>
      <c r="CT128" s="16"/>
      <c r="CU128" s="687"/>
      <c r="CV128" s="16"/>
      <c r="CW128" s="687"/>
      <c r="CX128" s="16"/>
      <c r="CY128" s="687"/>
      <c r="CZ128" s="16"/>
      <c r="DA128" s="687"/>
      <c r="DB128" s="16"/>
      <c r="DC128" s="16"/>
      <c r="DD128" s="687"/>
      <c r="DE128" s="16"/>
      <c r="DF128" s="687"/>
      <c r="DG128" s="16"/>
      <c r="DH128" s="687"/>
      <c r="DI128" s="16"/>
      <c r="DJ128" s="687"/>
      <c r="DK128" s="16"/>
      <c r="DL128" s="687"/>
      <c r="DM128" s="16"/>
      <c r="DN128" s="687"/>
      <c r="DO128" s="16"/>
      <c r="DP128" s="687"/>
      <c r="DQ128" s="16"/>
      <c r="DR128" s="687"/>
      <c r="DS128" s="16"/>
      <c r="DT128" s="687"/>
      <c r="DU128" s="16"/>
      <c r="DV128" s="687"/>
      <c r="DW128" s="16"/>
      <c r="DX128" s="687"/>
      <c r="DY128" s="16"/>
      <c r="DZ128" s="687"/>
      <c r="EA128" s="16"/>
      <c r="EB128" s="687"/>
      <c r="EC128" s="16"/>
      <c r="ED128" s="687"/>
      <c r="EE128" s="16"/>
      <c r="EF128" s="687"/>
      <c r="EG128" s="16"/>
      <c r="EH128" s="687"/>
      <c r="EI128" s="16"/>
      <c r="EJ128" s="687"/>
      <c r="EK128" s="16"/>
      <c r="EL128" s="687"/>
      <c r="EM128" s="687"/>
    </row>
    <row r="129" spans="1:143" ht="12.75" hidden="1" customHeight="1" outlineLevel="1" x14ac:dyDescent="0.2">
      <c r="A129" s="715" t="s">
        <v>303</v>
      </c>
      <c r="B129" s="16"/>
      <c r="C129" s="687"/>
      <c r="D129" s="16"/>
      <c r="E129" s="687"/>
      <c r="F129" s="16"/>
      <c r="G129" s="687"/>
      <c r="H129" s="16"/>
      <c r="I129" s="687"/>
      <c r="J129" s="16"/>
      <c r="K129" s="687"/>
      <c r="L129" s="16"/>
      <c r="M129" s="687"/>
      <c r="N129" s="16"/>
      <c r="O129" s="687"/>
      <c r="P129" s="16"/>
      <c r="Q129" s="687"/>
      <c r="R129" s="16"/>
      <c r="S129" s="687"/>
      <c r="T129" s="16"/>
      <c r="U129" s="687"/>
      <c r="V129" s="16"/>
      <c r="W129" s="687"/>
      <c r="X129" s="16"/>
      <c r="Y129" s="687"/>
      <c r="Z129" s="16"/>
      <c r="AA129" s="687"/>
      <c r="AB129" s="16"/>
      <c r="AC129" s="687"/>
      <c r="AD129" s="16"/>
      <c r="AE129" s="687"/>
      <c r="AF129" s="16"/>
      <c r="AG129" s="687"/>
      <c r="AH129" s="16"/>
      <c r="AI129" s="687"/>
      <c r="AJ129" s="16"/>
      <c r="AK129" s="687"/>
      <c r="AL129" s="16"/>
      <c r="AM129" s="687"/>
      <c r="AN129" s="16"/>
      <c r="AO129" s="687"/>
      <c r="AP129" s="16"/>
      <c r="AQ129" s="687"/>
      <c r="AR129" s="16"/>
      <c r="AS129" s="687"/>
      <c r="AT129" s="16"/>
      <c r="AU129" s="687"/>
      <c r="AV129" s="16"/>
      <c r="AW129" s="687"/>
      <c r="AX129" s="16"/>
      <c r="AY129" s="687"/>
      <c r="AZ129" s="16"/>
      <c r="BA129" s="687"/>
      <c r="BB129" s="16"/>
      <c r="BC129" s="687"/>
      <c r="BD129" s="16"/>
      <c r="BE129" s="687"/>
      <c r="BF129" s="16"/>
      <c r="BG129" s="687"/>
      <c r="BH129" s="16"/>
      <c r="BI129" s="687"/>
      <c r="BJ129" s="16"/>
      <c r="BK129" s="687"/>
      <c r="BL129" s="16"/>
      <c r="BM129" s="687"/>
      <c r="BN129" s="16"/>
      <c r="BO129" s="687"/>
      <c r="BP129" s="16"/>
      <c r="BQ129" s="687"/>
      <c r="BR129" s="16"/>
      <c r="BS129" s="687"/>
      <c r="BT129" s="16"/>
      <c r="BU129" s="687"/>
      <c r="BV129" s="16"/>
      <c r="BW129" s="687"/>
      <c r="BX129" s="16"/>
      <c r="BY129" s="687"/>
      <c r="BZ129" s="16"/>
      <c r="CA129" s="687"/>
      <c r="CB129" s="16"/>
      <c r="CC129" s="687"/>
      <c r="CD129" s="16"/>
      <c r="CE129" s="687"/>
      <c r="CF129" s="16"/>
      <c r="CG129" s="687"/>
      <c r="CH129" s="16"/>
      <c r="CI129" s="687"/>
      <c r="CJ129" s="16"/>
      <c r="CK129" s="687"/>
      <c r="CL129" s="16"/>
      <c r="CM129" s="687"/>
      <c r="CN129" s="16"/>
      <c r="CO129" s="687"/>
      <c r="CP129" s="16"/>
      <c r="CQ129" s="687"/>
      <c r="CR129" s="16"/>
      <c r="CS129" s="687"/>
      <c r="CT129" s="16"/>
      <c r="CU129" s="687"/>
      <c r="CV129" s="16"/>
      <c r="CW129" s="687"/>
      <c r="CX129" s="16"/>
      <c r="CY129" s="687"/>
      <c r="CZ129" s="16"/>
      <c r="DA129" s="687"/>
      <c r="DB129" s="16"/>
      <c r="DC129" s="16"/>
      <c r="DD129" s="687"/>
      <c r="DE129" s="16"/>
      <c r="DF129" s="687"/>
      <c r="DG129" s="16"/>
      <c r="DH129" s="687"/>
      <c r="DI129" s="16"/>
      <c r="DJ129" s="687"/>
      <c r="DK129" s="16"/>
      <c r="DL129" s="687"/>
      <c r="DM129" s="16"/>
      <c r="DN129" s="687"/>
      <c r="DO129" s="16"/>
      <c r="DP129" s="687"/>
      <c r="DQ129" s="16"/>
      <c r="DR129" s="687"/>
      <c r="DS129" s="16"/>
      <c r="DT129" s="687"/>
      <c r="DU129" s="16"/>
      <c r="DV129" s="687"/>
      <c r="DW129" s="16"/>
      <c r="DX129" s="687"/>
      <c r="DY129" s="16"/>
      <c r="DZ129" s="687"/>
      <c r="EA129" s="16"/>
      <c r="EB129" s="687"/>
      <c r="EC129" s="16"/>
      <c r="ED129" s="687"/>
      <c r="EE129" s="16"/>
      <c r="EF129" s="687"/>
      <c r="EG129" s="16"/>
      <c r="EH129" s="687"/>
      <c r="EI129" s="16"/>
      <c r="EJ129" s="687"/>
      <c r="EK129" s="16"/>
      <c r="EL129" s="687"/>
      <c r="EM129" s="687"/>
    </row>
    <row r="130" spans="1:143" ht="12.75" hidden="1" customHeight="1" outlineLevel="1" x14ac:dyDescent="0.2">
      <c r="A130" s="522" t="s">
        <v>304</v>
      </c>
      <c r="B130" s="156">
        <f>INPUT!AY574</f>
        <v>27.939747327502435</v>
      </c>
      <c r="C130" s="687">
        <f>INPUT!AZ574</f>
        <v>-6.3245854152409464</v>
      </c>
      <c r="D130" s="156">
        <f>INPUT!BA574</f>
        <v>48.937037288596073</v>
      </c>
      <c r="E130" s="687">
        <f>INPUT!BB574</f>
        <v>60.0003002880485</v>
      </c>
      <c r="F130" s="156">
        <f>INPUT!BC574</f>
        <v>42.783694454645577</v>
      </c>
      <c r="G130" s="687">
        <f>INPUT!BD574</f>
        <v>44.915768683808089</v>
      </c>
      <c r="H130" s="156">
        <f>INPUT!BE574</f>
        <v>43.779349699815739</v>
      </c>
      <c r="I130" s="687">
        <f>INPUT!BF574</f>
        <v>52.299340720625963</v>
      </c>
      <c r="J130" s="156">
        <f>INPUT!BG574</f>
        <v>47.965474722564757</v>
      </c>
      <c r="K130" s="687">
        <f>INPUT!BH574</f>
        <v>71.674690398327385</v>
      </c>
      <c r="L130" s="156">
        <f>INPUT!BI574</f>
        <v>49.43024330150908</v>
      </c>
      <c r="M130" s="687">
        <f>INPUT!BJ574</f>
        <v>1.0078379081357669</v>
      </c>
      <c r="N130" s="156">
        <f>INPUT!BK574</f>
        <v>49.448255293766778</v>
      </c>
      <c r="O130" s="687">
        <f>INPUT!BL574</f>
        <v>15.577338338993174</v>
      </c>
      <c r="P130" s="156">
        <f>INPUT!BM574</f>
        <v>48.976157082748927</v>
      </c>
      <c r="Q130" s="687">
        <f>INPUT!BN574</f>
        <v>11.870453578151396</v>
      </c>
      <c r="R130" s="156">
        <f>INPUT!BO574</f>
        <v>54.646962233169148</v>
      </c>
      <c r="S130" s="687">
        <f>INPUT!BP574</f>
        <v>13.929785015681651</v>
      </c>
      <c r="T130" s="156">
        <f>INPUT!BQ574</f>
        <v>52.981205443940382</v>
      </c>
      <c r="U130" s="687">
        <f>INPUT!BR574</f>
        <v>7.1837844713236398</v>
      </c>
      <c r="V130" s="156">
        <f>INPUT!BS574</f>
        <v>53.142857142857146</v>
      </c>
      <c r="W130" s="687">
        <f>INPUT!BT574</f>
        <v>7.4716525934861222</v>
      </c>
      <c r="X130" s="156">
        <f>INPUT!BU574</f>
        <v>62.412342215988815</v>
      </c>
      <c r="Y130" s="687">
        <f>INPUT!BV574</f>
        <v>27.434135166094052</v>
      </c>
      <c r="Z130" s="156">
        <f>INPUT!BW574</f>
        <v>72.73657289002557</v>
      </c>
      <c r="AA130" s="687">
        <f>INPUT!BX574</f>
        <v>33.102682962817177</v>
      </c>
      <c r="AB130" s="156">
        <f>INPUT!BY574</f>
        <v>64.109985528219937</v>
      </c>
      <c r="AC130" s="687">
        <f>INPUT!BZ574</f>
        <v>21.005146996994917</v>
      </c>
      <c r="AD130" s="156">
        <f>INPUT!CA574</f>
        <v>54.491224044969591</v>
      </c>
      <c r="AE130" s="687">
        <f>INPUT!CB574</f>
        <v>2.5372495469857759</v>
      </c>
      <c r="AF130" s="156">
        <f>INPUT!CC574</f>
        <v>52.585919252585967</v>
      </c>
      <c r="AG130" s="687">
        <f>INPUT!CD574</f>
        <v>-15.744358590800511</v>
      </c>
      <c r="AH130" s="156">
        <f>INPUT!CE574</f>
        <v>53.283898305084755</v>
      </c>
      <c r="AI130" s="687">
        <f>INPUT!CF574</f>
        <v>-26.744007604472074</v>
      </c>
      <c r="AJ130" s="156">
        <f>INPUT!CG574</f>
        <v>52.184382524939807</v>
      </c>
      <c r="AK130" s="687">
        <f>INPUT!CH574</f>
        <v>-18.601787077351183</v>
      </c>
      <c r="AL130" s="156">
        <f>INPUT!CI574</f>
        <v>53.941761363636353</v>
      </c>
      <c r="AM130" s="687">
        <f>INPUT!CJ574</f>
        <v>-1.0083507775119682</v>
      </c>
      <c r="AN130" s="156">
        <f>INPUT!CK574</f>
        <v>52.251344086021504</v>
      </c>
      <c r="AO130" s="687">
        <f>INPUT!CL574</f>
        <v>-0.63624478057975331</v>
      </c>
      <c r="AP130" s="156">
        <f>INPUT!CM574</f>
        <v>46.393620877129358</v>
      </c>
      <c r="AQ130" s="687">
        <f>INPUT!CN574</f>
        <v>-12.931256246500777</v>
      </c>
      <c r="AR130" s="156">
        <f>INPUT!CO574</f>
        <v>46.54520453764183</v>
      </c>
      <c r="AS130" s="687">
        <f>INPUT!CP574</f>
        <v>-10.80625603762374</v>
      </c>
      <c r="AT130" s="156">
        <f>INPUT!CQ574</f>
        <v>52.668584212208359</v>
      </c>
      <c r="AU130" s="687">
        <f>INPUT!CR574</f>
        <v>-2.3602810127855367</v>
      </c>
      <c r="AV130" s="156">
        <f>INPUT!CS574</f>
        <v>46.785714285714285</v>
      </c>
      <c r="AW130" s="687">
        <f>INPUT!CT574</f>
        <v>-10.460266421681208</v>
      </c>
      <c r="AX130" s="156">
        <f>INPUT!CU574</f>
        <v>47.44027303754266</v>
      </c>
      <c r="AY130" s="687">
        <f>INPUT!CV574</f>
        <v>2.2560260238908558</v>
      </c>
      <c r="AZ130" s="156">
        <f>INPUT!CW574</f>
        <v>43.728813559322035</v>
      </c>
      <c r="BA130" s="687">
        <f>INPUT!CX574</f>
        <v>-6.0508724933030162</v>
      </c>
      <c r="BB130" s="156">
        <f>INPUT!CY574</f>
        <v>41.158536585365852</v>
      </c>
      <c r="BC130" s="687">
        <f>INPUT!CZ574</f>
        <v>-21.853725136159106</v>
      </c>
      <c r="BD130" s="156">
        <f>INPUT!DA574</f>
        <v>45.695364238410598</v>
      </c>
      <c r="BE130" s="687">
        <f>INPUT!DB574</f>
        <v>-2.330519185076585</v>
      </c>
      <c r="BF130" s="156">
        <f>INPUT!DC574</f>
        <v>40.033099049239866</v>
      </c>
      <c r="BG130" s="687">
        <f>INPUT!DD574</f>
        <v>-15.613683299084313</v>
      </c>
      <c r="BH130" s="156">
        <f>INPUT!DE574</f>
        <v>39.156626506024097</v>
      </c>
      <c r="BI130" s="687">
        <f>INPUT!DF574</f>
        <v>-10.455776594751098</v>
      </c>
      <c r="BJ130" s="156">
        <f>INPUT!DG574</f>
        <v>36.873156342182888</v>
      </c>
      <c r="BK130" s="687">
        <f>INPUT!DH574</f>
        <v>-10.411886813066751</v>
      </c>
      <c r="BL130" s="156">
        <f>INPUT!DI574</f>
        <v>40.896358543417364</v>
      </c>
      <c r="BM130" s="687">
        <f>INPUT!DJ574</f>
        <v>-10.502171883246058</v>
      </c>
      <c r="BN130" s="156">
        <f>INPUT!DK574</f>
        <v>32.967032967032964</v>
      </c>
      <c r="BO130" s="687">
        <f>INPUT!DL574</f>
        <v>-17.650559786829866</v>
      </c>
      <c r="BP130" s="156">
        <f>INPUT!DM574</f>
        <v>37.239583333333329</v>
      </c>
      <c r="BQ130" s="687">
        <f>INPUT!DN574</f>
        <v>-4.8958333333333437</v>
      </c>
      <c r="BR130" s="156">
        <f>INPUT!DO574</f>
        <v>37.128712871287128</v>
      </c>
      <c r="BS130" s="687">
        <f>INPUT!DP574</f>
        <v>0.69306930693069368</v>
      </c>
      <c r="BT130" s="156">
        <f>INPUT!DQ574</f>
        <v>36.434108527131784</v>
      </c>
      <c r="BU130" s="687">
        <f>INPUT!DR574</f>
        <v>-10.911118190506519</v>
      </c>
      <c r="BV130" s="156">
        <f>INPUT!DS574</f>
        <v>31.53409090909091</v>
      </c>
      <c r="BW130" s="687">
        <f>INPUT!DT574</f>
        <v>-4.3465909090908976</v>
      </c>
      <c r="BX130" s="156">
        <f>INPUT!DU574</f>
        <v>27.70448548812665</v>
      </c>
      <c r="BY130" s="687">
        <f>INPUT!DV574</f>
        <v>-25.60473826964591</v>
      </c>
      <c r="BZ130" s="156">
        <f>INPUT!DW574</f>
        <v>36.29893238434164</v>
      </c>
      <c r="CA130" s="687">
        <f>INPUT!DX574</f>
        <v>36.29893238434164</v>
      </c>
      <c r="CB130" s="156">
        <f>INPUT!DY574</f>
        <v>31.151832460732987</v>
      </c>
      <c r="CC130" s="687">
        <f>INPUT!DZ574</f>
        <v>-14.498161969477552</v>
      </c>
      <c r="CD130" s="156">
        <f>INPUT!EA574</f>
        <v>33.701657458563538</v>
      </c>
      <c r="CE130" s="687">
        <f>INPUT!EB574</f>
        <v>6.8737245532825675</v>
      </c>
      <c r="CF130" s="156">
        <f>INPUT!EC574</f>
        <v>32.171581769436997</v>
      </c>
      <c r="CG130" s="687">
        <f>INPUT!ED574</f>
        <v>16.124090386824964</v>
      </c>
      <c r="CH130" s="156">
        <f>INPUT!EE574</f>
        <v>33.676218466813616</v>
      </c>
      <c r="CI130" s="687">
        <f>INPUT!EF574</f>
        <v>-7.2253197139742653</v>
      </c>
      <c r="CJ130" s="156">
        <f>INPUT!EG574</f>
        <v>37.65281173594132</v>
      </c>
      <c r="CK130" s="687">
        <f>INPUT!EH574</f>
        <v>20.868689774198181</v>
      </c>
      <c r="CL130" s="156">
        <f>INPUT!EI574</f>
        <v>32.412060301507537</v>
      </c>
      <c r="CM130" s="687">
        <f>INPUT!EJ574</f>
        <v>-3.8265095971661611</v>
      </c>
      <c r="CN130" s="156">
        <f>INPUT!EK574</f>
        <v>31.742243436754176</v>
      </c>
      <c r="CO130" s="687">
        <f>INPUT!EL574</f>
        <v>-1.334526650755774</v>
      </c>
      <c r="CP130" s="156">
        <f>INPUT!EM574</f>
        <v>31.603229527104958</v>
      </c>
      <c r="CQ130" s="687">
        <f>INPUT!EN574</f>
        <v>-6.1556464296948725</v>
      </c>
      <c r="CR130" s="156">
        <f>INPUT!EO574</f>
        <v>34.545454545454547</v>
      </c>
      <c r="CS130" s="687">
        <f>INPUT!EP574</f>
        <v>-8.2526564344746145</v>
      </c>
      <c r="CT130" s="156">
        <f>INPUT!EQ574</f>
        <v>33.175902487136462</v>
      </c>
      <c r="CU130" s="687">
        <f>INPUT!ER574</f>
        <v>2.356660386669085</v>
      </c>
      <c r="CV130" s="156">
        <f>INPUT!ES574</f>
        <v>34.750616136234399</v>
      </c>
      <c r="CW130" s="687">
        <f>INPUT!ET574</f>
        <v>9.4775049705429595</v>
      </c>
      <c r="CX130" s="156">
        <f>INPUT!EU574</f>
        <v>33.377505408585634</v>
      </c>
      <c r="CY130" s="687">
        <f>INPUT!EV574</f>
        <v>5.6142233184078405</v>
      </c>
      <c r="CZ130" s="156">
        <f>INPUT!EW574</f>
        <v>34.086066307135091</v>
      </c>
      <c r="DA130" s="687">
        <f>INPUT!EX574</f>
        <v>-1.3298080582931582</v>
      </c>
      <c r="DB130" s="16"/>
      <c r="DC130" s="156">
        <f>INPUT!FP574</f>
        <v>29.604302568618746</v>
      </c>
      <c r="DD130" s="687" t="str">
        <f>INPUT!FQ574</f>
        <v>NA</v>
      </c>
      <c r="DE130" s="156">
        <f>INPUT!FR574</f>
        <v>41.522778589454106</v>
      </c>
      <c r="DF130" s="687">
        <f>INPUT!FS574</f>
        <v>40.259269723412515</v>
      </c>
      <c r="DG130" s="156">
        <f>INPUT!FT574</f>
        <v>48.959653963755706</v>
      </c>
      <c r="DH130" s="687">
        <f>INPUT!FU574</f>
        <v>17.910350961412803</v>
      </c>
      <c r="DI130" s="156">
        <f>INPUT!FV574</f>
        <v>55.236427320490343</v>
      </c>
      <c r="DJ130" s="687">
        <f>INPUT!FW574</f>
        <v>12.820297629924561</v>
      </c>
      <c r="DK130" s="156">
        <f>INPUT!FX574</f>
        <v>59.66743083577969</v>
      </c>
      <c r="DL130" s="687">
        <f>INPUT!FY574</f>
        <v>8.0218865162657629</v>
      </c>
      <c r="DM130" s="156">
        <f>INPUT!FZ574</f>
        <v>52.900875899748435</v>
      </c>
      <c r="DN130" s="687">
        <f>INPUT!GA574</f>
        <v>-11.340449624275895</v>
      </c>
      <c r="DO130" s="156">
        <f>INPUT!GB574</f>
        <v>48.219367077692482</v>
      </c>
      <c r="DP130" s="687">
        <f>INPUT!GC574</f>
        <v>-8.8495865946110257</v>
      </c>
      <c r="DQ130" s="156">
        <f>INPUT!GD574</f>
        <v>44.41707717569787</v>
      </c>
      <c r="DR130" s="687">
        <f>INPUT!GE574</f>
        <v>-7.8853998557638638</v>
      </c>
      <c r="DS130" s="156">
        <f>INPUT!GF574</f>
        <v>39.238506202044789</v>
      </c>
      <c r="DT130" s="687">
        <f>INPUT!GG574</f>
        <v>-11.65896385565518</v>
      </c>
      <c r="DU130" s="156">
        <f>INPUT!GH574</f>
        <v>35.997400909681609</v>
      </c>
      <c r="DV130" s="687">
        <f>INPUT!GI574</f>
        <v>-8.2600119272488559</v>
      </c>
      <c r="DW130" s="156">
        <f>INPUT!GJ574</f>
        <v>31.801889866405997</v>
      </c>
      <c r="DX130" s="687">
        <f>INPUT!GK574</f>
        <v>-11.655038800724126</v>
      </c>
      <c r="DY130" s="156">
        <f>INPUT!GL574</f>
        <v>34.368356632094311</v>
      </c>
      <c r="DZ130" s="687">
        <f>INPUT!GM574</f>
        <v>8.0701705982555652</v>
      </c>
      <c r="EA130" s="156">
        <f>INPUT!GN574</f>
        <v>32.593907128068615</v>
      </c>
      <c r="EB130" s="687">
        <f>INPUT!GO574</f>
        <v>-5.1630327368305302</v>
      </c>
      <c r="EC130" s="156">
        <f>INPUT!GP574</f>
        <v>33.856809961213465</v>
      </c>
      <c r="ED130" s="687">
        <f>INPUT!GQ574</f>
        <v>3.8746592367175481</v>
      </c>
      <c r="EE130" s="156">
        <f>INPUT!GR574</f>
        <v>31.989260450725304</v>
      </c>
      <c r="EF130" s="687">
        <f>INPUT!GS574</f>
        <v>-5.5160232538967291</v>
      </c>
      <c r="EG130" s="156">
        <f>INPUT!GT574</f>
        <v>29.969876594259276</v>
      </c>
      <c r="EH130" s="687">
        <f>INPUT!GU574</f>
        <v>-6.3126931601828922</v>
      </c>
      <c r="EI130" s="156">
        <f>INPUT!GV574</f>
        <v>29.47703515736676</v>
      </c>
      <c r="EJ130" s="687">
        <f>INPUT!GW574</f>
        <v>-1.6444560101622763</v>
      </c>
      <c r="EK130" s="156">
        <f>INPUT!GX574</f>
        <v>28.921456921102319</v>
      </c>
      <c r="EL130" s="687">
        <f>INPUT!GY574</f>
        <v>-1.8847833009609682</v>
      </c>
      <c r="EM130" s="687">
        <f>INPUT!GZ574</f>
        <v>-2.3624780136251022</v>
      </c>
    </row>
    <row r="131" spans="1:143" ht="12.75" hidden="1" customHeight="1" outlineLevel="1" x14ac:dyDescent="0.2">
      <c r="A131" s="700"/>
      <c r="B131" s="16"/>
      <c r="C131" s="687"/>
      <c r="D131" s="16"/>
      <c r="E131" s="687"/>
      <c r="F131" s="16"/>
      <c r="G131" s="687"/>
      <c r="H131" s="16"/>
      <c r="I131" s="687"/>
      <c r="J131" s="16"/>
      <c r="K131" s="687"/>
      <c r="L131" s="16"/>
      <c r="M131" s="687"/>
      <c r="N131" s="16"/>
      <c r="O131" s="687"/>
      <c r="P131" s="16"/>
      <c r="Q131" s="687"/>
      <c r="R131" s="16"/>
      <c r="S131" s="687"/>
      <c r="T131" s="16"/>
      <c r="U131" s="687"/>
      <c r="V131" s="16"/>
      <c r="W131" s="687"/>
      <c r="X131" s="16"/>
      <c r="Y131" s="687"/>
      <c r="Z131" s="16"/>
      <c r="AA131" s="687"/>
      <c r="AB131" s="16"/>
      <c r="AC131" s="687"/>
      <c r="AD131" s="16"/>
      <c r="AE131" s="687"/>
      <c r="AF131" s="16"/>
      <c r="AG131" s="687"/>
      <c r="AH131" s="16"/>
      <c r="AI131" s="687"/>
      <c r="AJ131" s="16"/>
      <c r="AK131" s="687"/>
      <c r="AL131" s="16"/>
      <c r="AM131" s="687"/>
      <c r="AN131" s="16"/>
      <c r="AO131" s="687"/>
      <c r="AP131" s="16"/>
      <c r="AQ131" s="687"/>
      <c r="AR131" s="16"/>
      <c r="AS131" s="687"/>
      <c r="AT131" s="16"/>
      <c r="AU131" s="687"/>
      <c r="AV131" s="16"/>
      <c r="AW131" s="687"/>
      <c r="AX131" s="16"/>
      <c r="AY131" s="687"/>
      <c r="AZ131" s="16"/>
      <c r="BA131" s="687"/>
      <c r="BB131" s="16"/>
      <c r="BC131" s="687"/>
      <c r="BD131" s="16"/>
      <c r="BE131" s="687"/>
      <c r="BF131" s="16"/>
      <c r="BG131" s="687"/>
      <c r="BH131" s="16"/>
      <c r="BI131" s="687"/>
      <c r="BJ131" s="16"/>
      <c r="BK131" s="687"/>
      <c r="BL131" s="16"/>
      <c r="BM131" s="687"/>
      <c r="BN131" s="16"/>
      <c r="BO131" s="687"/>
      <c r="BP131" s="16"/>
      <c r="BQ131" s="687"/>
      <c r="BR131" s="16"/>
      <c r="BS131" s="687"/>
      <c r="BT131" s="16"/>
      <c r="BU131" s="687"/>
      <c r="BV131" s="16"/>
      <c r="BW131" s="687"/>
      <c r="BX131" s="16"/>
      <c r="BY131" s="687"/>
      <c r="BZ131" s="16"/>
      <c r="CA131" s="687"/>
      <c r="CB131" s="16"/>
      <c r="CC131" s="687"/>
      <c r="CD131" s="16"/>
      <c r="CE131" s="687"/>
      <c r="CF131" s="16"/>
      <c r="CG131" s="687"/>
      <c r="CH131" s="16"/>
      <c r="CI131" s="687"/>
      <c r="CJ131" s="16"/>
      <c r="CK131" s="687"/>
      <c r="CL131" s="16"/>
      <c r="CM131" s="687"/>
      <c r="CN131" s="16"/>
      <c r="CO131" s="687"/>
      <c r="CP131" s="16"/>
      <c r="CQ131" s="687"/>
      <c r="CR131" s="16"/>
      <c r="CS131" s="687"/>
      <c r="CT131" s="16"/>
      <c r="CU131" s="687"/>
      <c r="CV131" s="16"/>
      <c r="CW131" s="687"/>
      <c r="CX131" s="16"/>
      <c r="CY131" s="687"/>
      <c r="CZ131" s="16"/>
      <c r="DA131" s="687"/>
      <c r="DB131" s="16"/>
      <c r="DC131" s="16"/>
      <c r="DD131" s="687"/>
      <c r="DE131" s="16"/>
      <c r="DF131" s="687"/>
      <c r="DG131" s="16"/>
      <c r="DH131" s="687"/>
      <c r="DI131" s="16"/>
      <c r="DJ131" s="687"/>
      <c r="DK131" s="16"/>
      <c r="DL131" s="687"/>
      <c r="DM131" s="16"/>
      <c r="DN131" s="687"/>
      <c r="DO131" s="16"/>
      <c r="DP131" s="687"/>
      <c r="DQ131" s="16"/>
      <c r="DR131" s="687"/>
      <c r="DS131" s="16"/>
      <c r="DT131" s="687"/>
      <c r="DU131" s="16"/>
      <c r="DV131" s="687"/>
      <c r="DW131" s="16"/>
      <c r="DX131" s="687"/>
      <c r="DY131" s="16"/>
      <c r="DZ131" s="687"/>
      <c r="EA131" s="16"/>
      <c r="EB131" s="687"/>
      <c r="EC131" s="16"/>
      <c r="ED131" s="687"/>
      <c r="EE131" s="16"/>
      <c r="EF131" s="687"/>
      <c r="EG131" s="16"/>
      <c r="EH131" s="687"/>
      <c r="EI131" s="16"/>
      <c r="EJ131" s="687"/>
      <c r="EK131" s="16"/>
      <c r="EL131" s="687"/>
      <c r="EM131" s="687"/>
    </row>
    <row r="132" spans="1:143" ht="12.75" hidden="1" customHeight="1" outlineLevel="1" x14ac:dyDescent="0.2">
      <c r="A132" s="700" t="s">
        <v>305</v>
      </c>
      <c r="B132" s="16"/>
      <c r="C132" s="687"/>
      <c r="D132" s="16"/>
      <c r="E132" s="687"/>
      <c r="F132" s="16"/>
      <c r="G132" s="687"/>
      <c r="H132" s="16"/>
      <c r="I132" s="687"/>
      <c r="J132" s="16"/>
      <c r="K132" s="687"/>
      <c r="L132" s="16"/>
      <c r="M132" s="687"/>
      <c r="N132" s="16"/>
      <c r="O132" s="687"/>
      <c r="P132" s="16"/>
      <c r="Q132" s="687"/>
      <c r="R132" s="16"/>
      <c r="S132" s="687"/>
      <c r="T132" s="16"/>
      <c r="U132" s="687"/>
      <c r="V132" s="16"/>
      <c r="W132" s="687"/>
      <c r="X132" s="16"/>
      <c r="Y132" s="687"/>
      <c r="Z132" s="16"/>
      <c r="AA132" s="687"/>
      <c r="AB132" s="16"/>
      <c r="AC132" s="687"/>
      <c r="AD132" s="16"/>
      <c r="AE132" s="687"/>
      <c r="AF132" s="16"/>
      <c r="AG132" s="687"/>
      <c r="AH132" s="16"/>
      <c r="AI132" s="687"/>
      <c r="AJ132" s="16"/>
      <c r="AK132" s="687"/>
      <c r="AL132" s="16"/>
      <c r="AM132" s="687"/>
      <c r="AN132" s="16"/>
      <c r="AO132" s="687"/>
      <c r="AP132" s="16"/>
      <c r="AQ132" s="687"/>
      <c r="AR132" s="16"/>
      <c r="AS132" s="687"/>
      <c r="AT132" s="16"/>
      <c r="AU132" s="687"/>
      <c r="AV132" s="16"/>
      <c r="AW132" s="687"/>
      <c r="AX132" s="16"/>
      <c r="AY132" s="687"/>
      <c r="AZ132" s="16"/>
      <c r="BA132" s="687"/>
      <c r="BB132" s="16"/>
      <c r="BC132" s="687"/>
      <c r="BD132" s="16"/>
      <c r="BE132" s="687"/>
      <c r="BF132" s="16"/>
      <c r="BG132" s="687"/>
      <c r="BH132" s="16"/>
      <c r="BI132" s="687"/>
      <c r="BJ132" s="16"/>
      <c r="BK132" s="687"/>
      <c r="BL132" s="16"/>
      <c r="BM132" s="687"/>
      <c r="BN132" s="16"/>
      <c r="BO132" s="687"/>
      <c r="BP132" s="16"/>
      <c r="BQ132" s="687"/>
      <c r="BR132" s="16"/>
      <c r="BS132" s="687"/>
      <c r="BT132" s="16"/>
      <c r="BU132" s="687"/>
      <c r="BV132" s="16"/>
      <c r="BW132" s="687"/>
      <c r="BX132" s="16"/>
      <c r="BY132" s="687"/>
      <c r="BZ132" s="16"/>
      <c r="CA132" s="687"/>
      <c r="CB132" s="16"/>
      <c r="CC132" s="687"/>
      <c r="CD132" s="16"/>
      <c r="CE132" s="687"/>
      <c r="CF132" s="16"/>
      <c r="CG132" s="687"/>
      <c r="CH132" s="16"/>
      <c r="CI132" s="687"/>
      <c r="CJ132" s="16"/>
      <c r="CK132" s="687"/>
      <c r="CL132" s="16"/>
      <c r="CM132" s="687"/>
      <c r="CN132" s="16"/>
      <c r="CO132" s="687"/>
      <c r="CP132" s="16"/>
      <c r="CQ132" s="687"/>
      <c r="CR132" s="16"/>
      <c r="CS132" s="687"/>
      <c r="CT132" s="16"/>
      <c r="CU132" s="687"/>
      <c r="CV132" s="16"/>
      <c r="CW132" s="687"/>
      <c r="CX132" s="16"/>
      <c r="CY132" s="687"/>
      <c r="CZ132" s="16"/>
      <c r="DA132" s="687"/>
      <c r="DB132" s="16"/>
      <c r="DC132" s="16"/>
      <c r="DD132" s="687"/>
      <c r="DE132" s="16"/>
      <c r="DF132" s="687"/>
      <c r="DG132" s="16"/>
      <c r="DH132" s="687"/>
      <c r="DI132" s="16"/>
      <c r="DJ132" s="687"/>
      <c r="DK132" s="16"/>
      <c r="DL132" s="687"/>
      <c r="DM132" s="16"/>
      <c r="DN132" s="687"/>
      <c r="DO132" s="16"/>
      <c r="DP132" s="687"/>
      <c r="DQ132" s="16"/>
      <c r="DR132" s="687"/>
      <c r="DS132" s="16"/>
      <c r="DT132" s="687"/>
      <c r="DU132" s="16"/>
      <c r="DV132" s="687"/>
      <c r="DW132" s="16"/>
      <c r="DX132" s="687"/>
      <c r="DY132" s="16"/>
      <c r="DZ132" s="687"/>
      <c r="EA132" s="16"/>
      <c r="EB132" s="687"/>
      <c r="EC132" s="16"/>
      <c r="ED132" s="687"/>
      <c r="EE132" s="16"/>
      <c r="EF132" s="687"/>
      <c r="EG132" s="16"/>
      <c r="EH132" s="687"/>
      <c r="EI132" s="16"/>
      <c r="EJ132" s="687"/>
      <c r="EK132" s="16"/>
      <c r="EL132" s="687"/>
      <c r="EM132" s="687"/>
    </row>
    <row r="133" spans="1:143" ht="12.75" hidden="1" customHeight="1" outlineLevel="1" x14ac:dyDescent="0.2">
      <c r="A133" s="701" t="s">
        <v>306</v>
      </c>
      <c r="B133" s="151">
        <f>INPUT!AY195</f>
        <v>11913</v>
      </c>
      <c r="C133" s="687">
        <f>INPUT!AZ195</f>
        <v>5.1920529801324555</v>
      </c>
      <c r="D133" s="151">
        <f>INPUT!BA195</f>
        <v>21285</v>
      </c>
      <c r="E133" s="687">
        <f>INPUT!BB195</f>
        <v>86.008913746395166</v>
      </c>
      <c r="F133" s="151">
        <f>INPUT!BC195</f>
        <v>21516</v>
      </c>
      <c r="G133" s="687">
        <f>INPUT!BD195</f>
        <v>85.626779397808647</v>
      </c>
      <c r="H133" s="151">
        <f>INPUT!BE195</f>
        <v>21890</v>
      </c>
      <c r="I133" s="687">
        <f>INPUT!BF195</f>
        <v>85.367092895249399</v>
      </c>
      <c r="J133" s="151">
        <f>INPUT!BG195</f>
        <v>25575</v>
      </c>
      <c r="K133" s="687" t="str">
        <f>INPUT!BH195</f>
        <v>NM</v>
      </c>
      <c r="L133" s="151">
        <f>INPUT!BI195</f>
        <v>25864</v>
      </c>
      <c r="M133" s="687">
        <f>INPUT!BJ195</f>
        <v>21.512802443034996</v>
      </c>
      <c r="N133" s="151">
        <f>INPUT!BK195</f>
        <v>26162</v>
      </c>
      <c r="O133" s="687">
        <f>INPUT!BL195</f>
        <v>21.593232942926189</v>
      </c>
      <c r="P133" s="151">
        <f>INPUT!BM195</f>
        <v>26518</v>
      </c>
      <c r="Q133" s="687">
        <f>INPUT!BN195</f>
        <v>21.142074006395607</v>
      </c>
      <c r="R133" s="151">
        <f>INPUT!BO195</f>
        <v>26726</v>
      </c>
      <c r="S133" s="687">
        <f>INPUT!BP195</f>
        <v>4.5004887585532671</v>
      </c>
      <c r="T133" s="151">
        <f>INPUT!BQ195</f>
        <v>26980</v>
      </c>
      <c r="U133" s="687">
        <f>INPUT!BR195</f>
        <v>4.3148778224559203</v>
      </c>
      <c r="V133" s="151">
        <f>INPUT!BS195</f>
        <v>27227</v>
      </c>
      <c r="W133" s="687">
        <f>INPUT!BT195</f>
        <v>4.0707896949774502</v>
      </c>
      <c r="X133" s="151">
        <f>INPUT!BU195</f>
        <v>27502</v>
      </c>
      <c r="Y133" s="687">
        <f>INPUT!BV195</f>
        <v>3.7106870804736403</v>
      </c>
      <c r="Z133" s="151">
        <f>INPUT!BW195</f>
        <v>27617</v>
      </c>
      <c r="AA133" s="687">
        <f>INPUT!BX195</f>
        <v>3.3338322233031459</v>
      </c>
      <c r="AB133" s="151">
        <f>INPUT!BY195</f>
        <v>27709</v>
      </c>
      <c r="AC133" s="687">
        <f>INPUT!BZ195</f>
        <v>2.7020014825796856</v>
      </c>
      <c r="AD133" s="151">
        <f>INPUT!CA195</f>
        <v>27825</v>
      </c>
      <c r="AE133" s="687">
        <f>INPUT!CB195</f>
        <v>2.1963492121790829</v>
      </c>
      <c r="AF133" s="151">
        <f>INPUT!CC195</f>
        <v>28192</v>
      </c>
      <c r="AG133" s="687">
        <f>INPUT!CD195</f>
        <v>2.5089084430223174</v>
      </c>
      <c r="AH133" s="151">
        <f>INPUT!CE195</f>
        <v>28355</v>
      </c>
      <c r="AI133" s="687">
        <f>INPUT!CF195</f>
        <v>2.6722670818698724</v>
      </c>
      <c r="AJ133" s="151">
        <f>INPUT!CG195</f>
        <v>28584</v>
      </c>
      <c r="AK133" s="687">
        <f>INPUT!CH195</f>
        <v>3.157818759247899</v>
      </c>
      <c r="AL133" s="151">
        <f>INPUT!CI195</f>
        <v>28794</v>
      </c>
      <c r="AM133" s="687">
        <f>INPUT!CJ195</f>
        <v>3.4824797843665767</v>
      </c>
      <c r="AN133" s="151">
        <f>INPUT!CK195</f>
        <v>29365</v>
      </c>
      <c r="AO133" s="687">
        <f>INPUT!CL195</f>
        <v>4.1607548240635728</v>
      </c>
      <c r="AP133" s="151">
        <f>INPUT!CM195</f>
        <v>29739</v>
      </c>
      <c r="AQ133" s="687">
        <f>INPUT!CN195</f>
        <v>4.8809733733027771</v>
      </c>
      <c r="AR133" s="151">
        <f>INPUT!CO195</f>
        <v>30148</v>
      </c>
      <c r="AS133" s="687">
        <f>INPUT!CP195</f>
        <v>5.4715924993003151</v>
      </c>
      <c r="AT133" s="151">
        <f>INPUT!CQ195</f>
        <v>30638</v>
      </c>
      <c r="AU133" s="687">
        <f>INPUT!CR195</f>
        <v>6.4041119677710645</v>
      </c>
      <c r="AV133" s="151">
        <f>INPUT!CS195</f>
        <v>31219</v>
      </c>
      <c r="AW133" s="687">
        <f>INPUT!CT195</f>
        <v>6.3136386855099591</v>
      </c>
      <c r="AX133" s="151">
        <f>INPUT!CU195</f>
        <v>31494</v>
      </c>
      <c r="AY133" s="687">
        <f>INPUT!CV195</f>
        <v>5.9013416725511858</v>
      </c>
      <c r="AZ133" s="151">
        <f>INPUT!CW195</f>
        <v>31750</v>
      </c>
      <c r="BA133" s="687">
        <f>INPUT!CX195</f>
        <v>5.3137853257264167</v>
      </c>
      <c r="BB133" s="151">
        <f>INPUT!CY195</f>
        <v>31986</v>
      </c>
      <c r="BC133" s="687">
        <f>INPUT!CZ195</f>
        <v>4.3997649977152609</v>
      </c>
      <c r="BD133" s="151">
        <f>INPUT!DA195</f>
        <v>32432</v>
      </c>
      <c r="BE133" s="687">
        <f>INPUT!DB195</f>
        <v>3.8854543707357747</v>
      </c>
      <c r="BF133" s="151">
        <f>INPUT!DC195</f>
        <v>32817</v>
      </c>
      <c r="BG133" s="687">
        <f>INPUT!DD195</f>
        <v>4.2008001524099781</v>
      </c>
      <c r="BH133" s="151">
        <f>INPUT!DE195</f>
        <v>33108</v>
      </c>
      <c r="BI133" s="687">
        <f>INPUT!DF195</f>
        <v>4.2771653543307142</v>
      </c>
      <c r="BJ133" s="151">
        <f>INPUT!DG195</f>
        <v>33366</v>
      </c>
      <c r="BK133" s="687">
        <f>INPUT!DH195</f>
        <v>4.3143875445507351</v>
      </c>
      <c r="BL133" s="151">
        <f>INPUT!DI195</f>
        <v>33721</v>
      </c>
      <c r="BM133" s="687">
        <f>INPUT!DJ195</f>
        <v>3.9744696595954698</v>
      </c>
      <c r="BN133" s="151">
        <f>INPUT!DK195</f>
        <v>33886</v>
      </c>
      <c r="BO133" s="687">
        <f>INPUT!DL195</f>
        <v>3.2574580248042162</v>
      </c>
      <c r="BP133" s="151">
        <f>INPUT!DM195</f>
        <v>34094</v>
      </c>
      <c r="BQ133" s="687">
        <f>INPUT!DN195</f>
        <v>2.978132173492809</v>
      </c>
      <c r="BR133" s="151">
        <f>INPUT!DO195</f>
        <v>34315</v>
      </c>
      <c r="BS133" s="687">
        <f>INPUT!DP195</f>
        <v>2.8442126715818583</v>
      </c>
      <c r="BT133" s="151">
        <f>INPUT!DQ195</f>
        <v>34612</v>
      </c>
      <c r="BU133" s="687">
        <f>INPUT!DR195</f>
        <v>2.6422703953026261</v>
      </c>
      <c r="BV133" s="151">
        <f>INPUT!DS195</f>
        <v>34753</v>
      </c>
      <c r="BW133" s="687">
        <f>INPUT!DT195</f>
        <v>2.5585787640913571</v>
      </c>
      <c r="BX133" s="151">
        <f>INPUT!DU195</f>
        <v>34930</v>
      </c>
      <c r="BY133" s="687">
        <f>INPUT!DV195</f>
        <v>2.452044347979121</v>
      </c>
      <c r="BZ133" s="151">
        <f>INPUT!DW195</f>
        <v>35213</v>
      </c>
      <c r="CA133" s="687">
        <f>INPUT!DX195</f>
        <v>285.4520443479791</v>
      </c>
      <c r="CB133" s="151">
        <f>INPUT!DY195</f>
        <v>35545</v>
      </c>
      <c r="CC133" s="687">
        <f>INPUT!DZ195</f>
        <v>2.6955969028082727</v>
      </c>
      <c r="CD133" s="151">
        <f>INPUT!EA195</f>
        <v>35640</v>
      </c>
      <c r="CE133" s="687">
        <f>INPUT!EB195</f>
        <v>2.5522976433689282</v>
      </c>
      <c r="CF133" s="151">
        <f>INPUT!EC195</f>
        <v>35775</v>
      </c>
      <c r="CG133" s="687">
        <f>INPUT!ED195</f>
        <v>2.4191239622101346</v>
      </c>
      <c r="CH133" s="151">
        <f>INPUT!EE195</f>
        <v>35975</v>
      </c>
      <c r="CI133" s="687">
        <f>INPUT!EF195</f>
        <v>2.1639735325021947</v>
      </c>
      <c r="CJ133" s="151">
        <f>INPUT!EG195</f>
        <v>36272</v>
      </c>
      <c r="CK133" s="687">
        <f>INPUT!EH195</f>
        <v>2.0452946968631203</v>
      </c>
      <c r="CL133" s="151">
        <f>INPUT!EI195</f>
        <v>36295</v>
      </c>
      <c r="CM133" s="687">
        <f>INPUT!EJ195</f>
        <v>1.8378226711559975</v>
      </c>
      <c r="CN133" s="151">
        <f>INPUT!EK195</f>
        <v>36454</v>
      </c>
      <c r="CO133" s="687">
        <f>INPUT!EL195</f>
        <v>1.8979734451432639</v>
      </c>
      <c r="CP133" s="151">
        <f>INPUT!EM195</f>
        <v>36576</v>
      </c>
      <c r="CQ133" s="687">
        <f>INPUT!EN195</f>
        <v>1.6706045865184205</v>
      </c>
      <c r="CR133" s="151">
        <f>INPUT!EO195</f>
        <v>36791</v>
      </c>
      <c r="CS133" s="687">
        <f>INPUT!EP195</f>
        <v>1.4308557565063884</v>
      </c>
      <c r="CT133" s="151">
        <f>INPUT!EQ195</f>
        <v>36990.266669947508</v>
      </c>
      <c r="CU133" s="687">
        <f>INPUT!ER195</f>
        <v>1.9155990355352204</v>
      </c>
      <c r="CV133" s="151">
        <f>INPUT!ES195</f>
        <v>37240.170005476408</v>
      </c>
      <c r="CW133" s="687">
        <f>INPUT!ET195</f>
        <v>2.1566083433269601</v>
      </c>
      <c r="CX133" s="151">
        <f>INPUT!EU195</f>
        <v>37439.378757950959</v>
      </c>
      <c r="CY133" s="687">
        <f>INPUT!EV195</f>
        <v>2.3605062279936639</v>
      </c>
      <c r="CZ133" s="151">
        <f>INPUT!EW195</f>
        <v>37693.574028742994</v>
      </c>
      <c r="DA133" s="687">
        <f>INPUT!EX195</f>
        <v>2.4532467960723947</v>
      </c>
      <c r="DB133" s="16"/>
      <c r="DC133" s="151">
        <f>INPUT!FP195</f>
        <v>11810</v>
      </c>
      <c r="DD133" s="687" t="str">
        <f>INPUT!FQ195</f>
        <v>NA</v>
      </c>
      <c r="DE133" s="151">
        <f>INPUT!FR195</f>
        <v>21891</v>
      </c>
      <c r="DF133" s="687">
        <f>INPUT!FS195</f>
        <v>85.359864521591874</v>
      </c>
      <c r="DG133" s="151">
        <f>INPUT!FT195</f>
        <v>26518</v>
      </c>
      <c r="DH133" s="687">
        <f>INPUT!FU195</f>
        <v>21.136540130647298</v>
      </c>
      <c r="DI133" s="151">
        <f>INPUT!FV195</f>
        <v>27502</v>
      </c>
      <c r="DJ133" s="687">
        <f>INPUT!FW195</f>
        <v>3.7106870804736403</v>
      </c>
      <c r="DK133" s="151">
        <f>INPUT!FX195</f>
        <v>28192</v>
      </c>
      <c r="DL133" s="687">
        <f>INPUT!FY195</f>
        <v>2.5089084430223174</v>
      </c>
      <c r="DM133" s="151">
        <f>INPUT!FZ195</f>
        <v>29365</v>
      </c>
      <c r="DN133" s="687">
        <f>INPUT!GA195</f>
        <v>4.1607548240635728</v>
      </c>
      <c r="DO133" s="151">
        <f>INPUT!GB195</f>
        <v>31219</v>
      </c>
      <c r="DP133" s="687">
        <f>INPUT!GC195</f>
        <v>6.3136386855099591</v>
      </c>
      <c r="DQ133" s="151">
        <f>INPUT!GD195</f>
        <v>32432</v>
      </c>
      <c r="DR133" s="687">
        <f>INPUT!GE195</f>
        <v>3.8854543707357747</v>
      </c>
      <c r="DS133" s="151">
        <f>INPUT!GF195</f>
        <v>33721</v>
      </c>
      <c r="DT133" s="687">
        <f>INPUT!GG195</f>
        <v>3.9744696595954698</v>
      </c>
      <c r="DU133" s="151">
        <f>INPUT!GH195</f>
        <v>34612</v>
      </c>
      <c r="DV133" s="687">
        <f>INPUT!GI195</f>
        <v>2.6422703953026261</v>
      </c>
      <c r="DW133" s="151">
        <f>INPUT!GJ195</f>
        <v>35545</v>
      </c>
      <c r="DX133" s="687">
        <f>INPUT!GK195</f>
        <v>2.6955969028082727</v>
      </c>
      <c r="DY133" s="151">
        <f>INPUT!GL195</f>
        <v>36272</v>
      </c>
      <c r="DZ133" s="687">
        <f>INPUT!GM195</f>
        <v>2.0452946968631203</v>
      </c>
      <c r="EA133" s="151">
        <f>INPUT!GN195</f>
        <v>36791</v>
      </c>
      <c r="EB133" s="687">
        <f>INPUT!GO195</f>
        <v>1.4308557565063884</v>
      </c>
      <c r="EC133" s="151">
        <f>INPUT!GP195</f>
        <v>37693.574028742994</v>
      </c>
      <c r="ED133" s="687">
        <f>INPUT!GQ195</f>
        <v>2.4532467960723947</v>
      </c>
      <c r="EE133" s="151">
        <f>INPUT!GR195</f>
        <v>38631.663172326815</v>
      </c>
      <c r="EF133" s="687">
        <f>INPUT!GS195</f>
        <v>2.4887243190801822</v>
      </c>
      <c r="EG133" s="151">
        <f>INPUT!GT195</f>
        <v>39606.944548908243</v>
      </c>
      <c r="EH133" s="687">
        <f>INPUT!GU195</f>
        <v>2.5245648167694146</v>
      </c>
      <c r="EI133" s="151">
        <f>INPUT!GV195</f>
        <v>40621.178120507851</v>
      </c>
      <c r="EJ133" s="687">
        <f>INPUT!GW195</f>
        <v>2.5607468163750813</v>
      </c>
      <c r="EK133" s="151">
        <f>INPUT!GX195</f>
        <v>41676.210824819362</v>
      </c>
      <c r="EL133" s="687">
        <f>INPUT!GY195</f>
        <v>2.5972479212237998</v>
      </c>
      <c r="EM133" s="687">
        <f>INPUT!GZ195</f>
        <v>2.5248934909946064</v>
      </c>
    </row>
    <row r="134" spans="1:143" ht="12.75" hidden="1" customHeight="1" outlineLevel="1" x14ac:dyDescent="0.2">
      <c r="A134" s="701" t="s">
        <v>84</v>
      </c>
      <c r="B134" s="151">
        <f>INPUT!AY214</f>
        <v>2354.5</v>
      </c>
      <c r="C134" s="687">
        <f>INPUT!AZ214</f>
        <v>17.578027465667923</v>
      </c>
      <c r="D134" s="151">
        <f>INPUT!BA214</f>
        <v>4193.5</v>
      </c>
      <c r="E134" s="687" t="str">
        <f>INPUT!BB214</f>
        <v>NM</v>
      </c>
      <c r="F134" s="151">
        <f>INPUT!BC214</f>
        <v>4304.5</v>
      </c>
      <c r="G134" s="687">
        <f>INPUT!BD214</f>
        <v>99.883909914093323</v>
      </c>
      <c r="H134" s="151">
        <f>INPUT!BE214</f>
        <v>4599.5</v>
      </c>
      <c r="I134" s="687" t="str">
        <f>INPUT!BF214</f>
        <v>NM</v>
      </c>
      <c r="J134" s="151">
        <f>INPUT!BG214</f>
        <v>5702</v>
      </c>
      <c r="K134" s="687" t="str">
        <f>INPUT!BH214</f>
        <v>NM</v>
      </c>
      <c r="L134" s="151">
        <f>INPUT!BI214</f>
        <v>5954</v>
      </c>
      <c r="M134" s="687">
        <f>INPUT!BJ214</f>
        <v>41.981638249672116</v>
      </c>
      <c r="N134" s="151">
        <f>INPUT!BK214</f>
        <v>6104</v>
      </c>
      <c r="O134" s="687">
        <f>INPUT!BL214</f>
        <v>41.805087698919728</v>
      </c>
      <c r="P134" s="151">
        <f>INPUT!BM214</f>
        <v>6040</v>
      </c>
      <c r="Q134" s="687">
        <f>INPUT!BN214</f>
        <v>31.318621589303184</v>
      </c>
      <c r="R134" s="151">
        <f>INPUT!BO214</f>
        <v>5615</v>
      </c>
      <c r="S134" s="687">
        <f>INPUT!BP214</f>
        <v>-1.5257804279200315</v>
      </c>
      <c r="T134" s="151">
        <f>INPUT!BQ214</f>
        <v>5623</v>
      </c>
      <c r="U134" s="687">
        <f>INPUT!BR214</f>
        <v>-5.5592878736983486</v>
      </c>
      <c r="V134" s="151">
        <f>INPUT!BS214</f>
        <v>5056</v>
      </c>
      <c r="W134" s="687">
        <f>INPUT!BT214</f>
        <v>-17.169069462647446</v>
      </c>
      <c r="X134" s="151">
        <f>INPUT!BU214</f>
        <v>4251</v>
      </c>
      <c r="Y134" s="687">
        <f>INPUT!BV214</f>
        <v>-29.619205298013242</v>
      </c>
      <c r="Z134" s="151">
        <f>INPUT!BW214</f>
        <v>3992</v>
      </c>
      <c r="AA134" s="687">
        <f>INPUT!BX214</f>
        <v>-28.904719501335705</v>
      </c>
      <c r="AB134" s="151">
        <f>INPUT!BY214</f>
        <v>4562</v>
      </c>
      <c r="AC134" s="687">
        <f>INPUT!BZ214</f>
        <v>-18.868931175529081</v>
      </c>
      <c r="AD134" s="151">
        <f>INPUT!CA214</f>
        <v>5176</v>
      </c>
      <c r="AE134" s="687">
        <f>INPUT!CB214</f>
        <v>2.3734177215189778</v>
      </c>
      <c r="AF134" s="151">
        <f>INPUT!CC214</f>
        <v>5287</v>
      </c>
      <c r="AG134" s="687">
        <f>INPUT!CD214</f>
        <v>24.370736297341811</v>
      </c>
      <c r="AH134" s="151">
        <f>INPUT!CE214</f>
        <v>5467</v>
      </c>
      <c r="AI134" s="687">
        <f>INPUT!CF214</f>
        <v>36.948897795591186</v>
      </c>
      <c r="AJ134" s="151">
        <f>INPUT!CG214</f>
        <v>5027</v>
      </c>
      <c r="AK134" s="687">
        <f>INPUT!CH214</f>
        <v>10.192897851819382</v>
      </c>
      <c r="AL134" s="151">
        <f>INPUT!CI214</f>
        <v>5562</v>
      </c>
      <c r="AM134" s="687">
        <f>INPUT!CJ214</f>
        <v>7.4574961360123648</v>
      </c>
      <c r="AN134" s="151">
        <f>INPUT!CK214</f>
        <v>5962</v>
      </c>
      <c r="AO134" s="687">
        <f>INPUT!CL214</f>
        <v>12.767164743710978</v>
      </c>
      <c r="AP134" s="151">
        <f>INPUT!CM214</f>
        <v>6171</v>
      </c>
      <c r="AQ134" s="687">
        <f>INPUT!CN214</f>
        <v>12.877263581488929</v>
      </c>
      <c r="AR134" s="151">
        <f>INPUT!CO214</f>
        <v>6157</v>
      </c>
      <c r="AS134" s="687">
        <f>INPUT!CP214</f>
        <v>22.478615476427287</v>
      </c>
      <c r="AT134" s="151">
        <f>INPUT!CQ214</f>
        <v>5375</v>
      </c>
      <c r="AU134" s="687">
        <f>INPUT!CR214</f>
        <v>-3.3620999640417093</v>
      </c>
      <c r="AV134" s="151">
        <f>INPUT!CS214</f>
        <v>5687</v>
      </c>
      <c r="AW134" s="687">
        <f>INPUT!CT214</f>
        <v>-4.6125461254612592</v>
      </c>
      <c r="AX134" s="151">
        <f>INPUT!CU214</f>
        <v>6202</v>
      </c>
      <c r="AY134" s="687">
        <f>INPUT!CV214</f>
        <v>0.50234970021065806</v>
      </c>
      <c r="AZ134" s="151">
        <f>INPUT!CW214</f>
        <v>6005</v>
      </c>
      <c r="BA134" s="687">
        <f>INPUT!CX214</f>
        <v>-2.4687347734286158</v>
      </c>
      <c r="BB134" s="151">
        <f>INPUT!CY214</f>
        <v>6262</v>
      </c>
      <c r="BC134" s="687">
        <f>INPUT!CZ214</f>
        <v>16.50232558139535</v>
      </c>
      <c r="BD134" s="151">
        <f>INPUT!DA214</f>
        <v>6523</v>
      </c>
      <c r="BE134" s="687">
        <f>INPUT!DB214</f>
        <v>14.700193423597675</v>
      </c>
      <c r="BF134" s="151">
        <f>INPUT!DC214</f>
        <v>6859</v>
      </c>
      <c r="BG134" s="687">
        <f>INPUT!DD214</f>
        <v>10.593356981618829</v>
      </c>
      <c r="BH134" s="151">
        <f>INPUT!DE214</f>
        <v>6972</v>
      </c>
      <c r="BI134" s="687">
        <f>INPUT!DF214</f>
        <v>16.10324729392174</v>
      </c>
      <c r="BJ134" s="151">
        <f>INPUT!DG214</f>
        <v>7453</v>
      </c>
      <c r="BK134" s="687">
        <f>INPUT!DH214</f>
        <v>19.019482593420634</v>
      </c>
      <c r="BL134" s="151">
        <f>INPUT!DI214</f>
        <v>8094</v>
      </c>
      <c r="BM134" s="687">
        <f>INPUT!DJ214</f>
        <v>24.084010424651225</v>
      </c>
      <c r="BN134" s="151">
        <f>INPUT!DK214</f>
        <v>8354</v>
      </c>
      <c r="BO134" s="687">
        <f>INPUT!DL214</f>
        <v>21.796180201195515</v>
      </c>
      <c r="BP134" s="151">
        <f>INPUT!DM214</f>
        <v>8842</v>
      </c>
      <c r="BQ134" s="687">
        <f>INPUT!DN214</f>
        <v>26.821572002294893</v>
      </c>
      <c r="BR134" s="151">
        <f>INPUT!DO214</f>
        <v>8854</v>
      </c>
      <c r="BS134" s="687">
        <f>INPUT!DP214</f>
        <v>18.797799543807869</v>
      </c>
      <c r="BT134" s="151">
        <f>INPUT!DQ214</f>
        <v>9263</v>
      </c>
      <c r="BU134" s="687">
        <f>INPUT!DR214</f>
        <v>14.442797133679264</v>
      </c>
      <c r="BV134" s="151">
        <f>INPUT!DS214</f>
        <v>9635</v>
      </c>
      <c r="BW134" s="687">
        <f>INPUT!DT214</f>
        <v>15.33397175005986</v>
      </c>
      <c r="BX134" s="151">
        <f>INPUT!DU214</f>
        <v>9766</v>
      </c>
      <c r="BY134" s="687">
        <f>INPUT!DV214</f>
        <v>10.450124406242933</v>
      </c>
      <c r="BZ134" s="151">
        <f>INPUT!DW214</f>
        <v>9213</v>
      </c>
      <c r="CA134" s="687">
        <f>INPUT!DX214</f>
        <v>-542.54987559375706</v>
      </c>
      <c r="CB134" s="151">
        <f>INPUT!DY214</f>
        <v>9696</v>
      </c>
      <c r="CC134" s="687">
        <f>INPUT!DZ214</f>
        <v>4.6745114973550717</v>
      </c>
      <c r="CD134" s="151">
        <f>INPUT!EA214</f>
        <v>9830</v>
      </c>
      <c r="CE134" s="687">
        <f>INPUT!EB214</f>
        <v>2.0238713025428234</v>
      </c>
      <c r="CF134" s="151">
        <f>INPUT!EC214</f>
        <v>10172</v>
      </c>
      <c r="CG134" s="687">
        <f>INPUT!ED214</f>
        <v>4.1572803604341679</v>
      </c>
      <c r="CH134" s="151">
        <f>INPUT!EE214</f>
        <v>10763</v>
      </c>
      <c r="CI134" s="687">
        <f>INPUT!EF214</f>
        <v>16.824052968631275</v>
      </c>
      <c r="CJ134" s="151">
        <f>INPUT!EG214</f>
        <v>11058</v>
      </c>
      <c r="CK134" s="687">
        <f>INPUT!EH214</f>
        <v>14.047029702970292</v>
      </c>
      <c r="CL134" s="151">
        <f>INPUT!EI214</f>
        <v>11772</v>
      </c>
      <c r="CM134" s="687">
        <f>INPUT!EJ214</f>
        <v>19.755849440488294</v>
      </c>
      <c r="CN134" s="151">
        <f>INPUT!EK214</f>
        <v>12296</v>
      </c>
      <c r="CO134" s="687">
        <f>INPUT!EL214</f>
        <v>20.880849390483689</v>
      </c>
      <c r="CP134" s="151">
        <f>INPUT!EM214</f>
        <v>12916</v>
      </c>
      <c r="CQ134" s="687">
        <f>INPUT!EN214</f>
        <v>20.003716435937946</v>
      </c>
      <c r="CR134" s="151">
        <f>INPUT!EO214</f>
        <v>13851</v>
      </c>
      <c r="CS134" s="687">
        <f>INPUT!EP214</f>
        <v>25.257731958762886</v>
      </c>
      <c r="CT134" s="151">
        <f>INPUT!EQ214</f>
        <v>13798.658379580263</v>
      </c>
      <c r="CU134" s="687">
        <f>INPUT!ER214</f>
        <v>17.21592235457241</v>
      </c>
      <c r="CV134" s="151">
        <f>INPUT!ES214</f>
        <v>14067.769959793946</v>
      </c>
      <c r="CW134" s="687">
        <f>INPUT!ET214</f>
        <v>14.409319777114082</v>
      </c>
      <c r="CX134" s="151">
        <f>INPUT!EU214</f>
        <v>14300.887733031312</v>
      </c>
      <c r="CY134" s="687">
        <f>INPUT!EV214</f>
        <v>10.722264888752807</v>
      </c>
      <c r="CZ134" s="151">
        <f>INPUT!EW214</f>
        <v>14892.182971091101</v>
      </c>
      <c r="DA134" s="687">
        <f>INPUT!EX214</f>
        <v>7.5170238328720052</v>
      </c>
      <c r="DB134" s="16"/>
      <c r="DC134" s="151">
        <f>INPUT!FP214</f>
        <v>2241</v>
      </c>
      <c r="DD134" s="687" t="str">
        <f>INPUT!FQ214</f>
        <v>NA</v>
      </c>
      <c r="DE134" s="151">
        <f>INPUT!FR214</f>
        <v>4599</v>
      </c>
      <c r="DF134" s="687" t="str">
        <f>INPUT!FS214</f>
        <v>NM</v>
      </c>
      <c r="DG134" s="151">
        <f>INPUT!FT214</f>
        <v>6040</v>
      </c>
      <c r="DH134" s="687">
        <f>INPUT!FU214</f>
        <v>31.332898456186122</v>
      </c>
      <c r="DI134" s="151">
        <f>INPUT!FV214</f>
        <v>4251</v>
      </c>
      <c r="DJ134" s="687">
        <f>INPUT!FW214</f>
        <v>-29.619205298013242</v>
      </c>
      <c r="DK134" s="151">
        <f>INPUT!FX214</f>
        <v>5287</v>
      </c>
      <c r="DL134" s="687">
        <f>INPUT!FY214</f>
        <v>24.370736297341811</v>
      </c>
      <c r="DM134" s="151">
        <f>INPUT!FZ214</f>
        <v>5962</v>
      </c>
      <c r="DN134" s="687">
        <f>INPUT!GA214</f>
        <v>12.767164743710978</v>
      </c>
      <c r="DO134" s="151">
        <f>INPUT!GB214</f>
        <v>5687</v>
      </c>
      <c r="DP134" s="687">
        <f>INPUT!GC214</f>
        <v>-4.6125461254612592</v>
      </c>
      <c r="DQ134" s="151">
        <f>INPUT!GD214</f>
        <v>6523</v>
      </c>
      <c r="DR134" s="687">
        <f>INPUT!GE214</f>
        <v>14.700193423597675</v>
      </c>
      <c r="DS134" s="151">
        <f>INPUT!GF214</f>
        <v>8094</v>
      </c>
      <c r="DT134" s="687">
        <f>INPUT!GG214</f>
        <v>24.084010424651225</v>
      </c>
      <c r="DU134" s="151">
        <f>INPUT!GH214</f>
        <v>9263</v>
      </c>
      <c r="DV134" s="687">
        <f>INPUT!GI214</f>
        <v>14.442797133679264</v>
      </c>
      <c r="DW134" s="151">
        <f>INPUT!GJ214</f>
        <v>9696</v>
      </c>
      <c r="DX134" s="687">
        <f>INPUT!GK214</f>
        <v>4.6745114973550717</v>
      </c>
      <c r="DY134" s="151">
        <f>INPUT!GL214</f>
        <v>11058</v>
      </c>
      <c r="DZ134" s="687">
        <f>INPUT!GM214</f>
        <v>14.047029702970292</v>
      </c>
      <c r="EA134" s="151">
        <f>INPUT!GN214</f>
        <v>13851</v>
      </c>
      <c r="EB134" s="687">
        <f>INPUT!GO214</f>
        <v>25.257731958762886</v>
      </c>
      <c r="EC134" s="151">
        <f>INPUT!GP214</f>
        <v>14892.182971091101</v>
      </c>
      <c r="ED134" s="687">
        <f>INPUT!GQ214</f>
        <v>7.5170238328720052</v>
      </c>
      <c r="EE134" s="151">
        <f>INPUT!GR214</f>
        <v>15564.467826210117</v>
      </c>
      <c r="EF134" s="687">
        <f>INPUT!GS214</f>
        <v>4.5143472681208996</v>
      </c>
      <c r="EG134" s="151">
        <f>INPUT!GT214</f>
        <v>16316.22248588915</v>
      </c>
      <c r="EH134" s="687">
        <f>INPUT!GU214</f>
        <v>4.8299413001008595</v>
      </c>
      <c r="EI134" s="151">
        <f>INPUT!GV214</f>
        <v>17150.651870335565</v>
      </c>
      <c r="EJ134" s="687">
        <f>INPUT!GW214</f>
        <v>5.114108888672364</v>
      </c>
      <c r="EK134" s="151">
        <f>INPUT!GX214</f>
        <v>18071.248276033544</v>
      </c>
      <c r="EL134" s="687">
        <f>INPUT!GY214</f>
        <v>5.3677050450209318</v>
      </c>
      <c r="EM134" s="687">
        <f>INPUT!GZ214</f>
        <v>5.4633116959083905</v>
      </c>
    </row>
    <row r="135" spans="1:143" ht="12.75" hidden="1" customHeight="1" outlineLevel="1" x14ac:dyDescent="0.2">
      <c r="A135" s="701" t="s">
        <v>11</v>
      </c>
      <c r="B135" s="151">
        <f>INPUT!AY230</f>
        <v>14267.5</v>
      </c>
      <c r="C135" s="687">
        <f>INPUT!AZ230</f>
        <v>7.053085725004693</v>
      </c>
      <c r="D135" s="151">
        <f>INPUT!BA230</f>
        <v>25478.5</v>
      </c>
      <c r="E135" s="687">
        <f>INPUT!BB230</f>
        <v>88.792560483124007</v>
      </c>
      <c r="F135" s="151">
        <f>INPUT!BC230</f>
        <v>25820.5</v>
      </c>
      <c r="G135" s="687">
        <f>INPUT!BD230</f>
        <v>87.860598784968531</v>
      </c>
      <c r="H135" s="151">
        <f>INPUT!BE230</f>
        <v>26489.5</v>
      </c>
      <c r="I135" s="687">
        <f>INPUT!BF230</f>
        <v>88.530657271983188</v>
      </c>
      <c r="J135" s="151">
        <f>INPUT!BG230</f>
        <v>31277</v>
      </c>
      <c r="K135" s="687" t="str">
        <f>INPUT!BH230</f>
        <v>NM</v>
      </c>
      <c r="L135" s="151">
        <f>INPUT!BI230</f>
        <v>31818</v>
      </c>
      <c r="M135" s="687">
        <f>INPUT!BJ230</f>
        <v>24.881763055124907</v>
      </c>
      <c r="N135" s="151">
        <f>INPUT!BK230</f>
        <v>32266</v>
      </c>
      <c r="O135" s="687">
        <f>INPUT!BL230</f>
        <v>24.962723417439637</v>
      </c>
      <c r="P135" s="151">
        <f>INPUT!BM230</f>
        <v>32558</v>
      </c>
      <c r="Q135" s="687">
        <f>INPUT!BN230</f>
        <v>22.909077181524751</v>
      </c>
      <c r="R135" s="151">
        <f>INPUT!BO230</f>
        <v>32341</v>
      </c>
      <c r="S135" s="687">
        <f>INPUT!BP230</f>
        <v>3.4018607922754684</v>
      </c>
      <c r="T135" s="151">
        <f>INPUT!BQ230</f>
        <v>32603</v>
      </c>
      <c r="U135" s="687">
        <f>INPUT!BR230</f>
        <v>2.4671569551826034</v>
      </c>
      <c r="V135" s="151">
        <f>INPUT!BS230</f>
        <v>32283</v>
      </c>
      <c r="W135" s="687">
        <f>INPUT!BT230</f>
        <v>5.268703898841931E-2</v>
      </c>
      <c r="X135" s="151">
        <f>INPUT!BU230</f>
        <v>31753</v>
      </c>
      <c r="Y135" s="687">
        <f>INPUT!BV230</f>
        <v>-2.4725105964739869</v>
      </c>
      <c r="Z135" s="151">
        <f>INPUT!BW230</f>
        <v>31609</v>
      </c>
      <c r="AA135" s="687">
        <f>INPUT!BX230</f>
        <v>-2.2633808478402018</v>
      </c>
      <c r="AB135" s="151">
        <f>INPUT!BY230</f>
        <v>32271</v>
      </c>
      <c r="AC135" s="687">
        <f>INPUT!BZ230</f>
        <v>-1.0183111983559812</v>
      </c>
      <c r="AD135" s="151">
        <f>INPUT!CA230</f>
        <v>33001</v>
      </c>
      <c r="AE135" s="687">
        <f>INPUT!CB230</f>
        <v>2.2240807855527622</v>
      </c>
      <c r="AF135" s="151">
        <f>INPUT!CC230</f>
        <v>33479</v>
      </c>
      <c r="AG135" s="687">
        <f>INPUT!CD230</f>
        <v>5.4357068623437144</v>
      </c>
      <c r="AH135" s="151">
        <f>INPUT!CE230</f>
        <v>33822</v>
      </c>
      <c r="AI135" s="687">
        <f>INPUT!CF230</f>
        <v>7.0011705526906942</v>
      </c>
      <c r="AJ135" s="151">
        <f>INPUT!CG230</f>
        <v>33611</v>
      </c>
      <c r="AK135" s="687">
        <f>INPUT!CH230</f>
        <v>4.1523349136995957</v>
      </c>
      <c r="AL135" s="151">
        <f>INPUT!CI230</f>
        <v>34356</v>
      </c>
      <c r="AM135" s="687">
        <f>INPUT!CJ230</f>
        <v>4.1059361837520125</v>
      </c>
      <c r="AN135" s="151">
        <f>INPUT!CK230</f>
        <v>35327</v>
      </c>
      <c r="AO135" s="687">
        <f>INPUT!CL230</f>
        <v>5.5198781325607182</v>
      </c>
      <c r="AP135" s="151">
        <f>INPUT!CM230</f>
        <v>35910</v>
      </c>
      <c r="AQ135" s="687">
        <f>INPUT!CN230</f>
        <v>6.1734965407131526</v>
      </c>
      <c r="AR135" s="151">
        <f>INPUT!CO230</f>
        <v>36305</v>
      </c>
      <c r="AS135" s="687">
        <f>INPUT!CP230</f>
        <v>8.0152331082086192</v>
      </c>
      <c r="AT135" s="151">
        <f>INPUT!CQ230</f>
        <v>36013</v>
      </c>
      <c r="AU135" s="687">
        <f>INPUT!CR230</f>
        <v>4.8230294562812803</v>
      </c>
      <c r="AV135" s="151">
        <f>INPUT!CS230</f>
        <v>36906</v>
      </c>
      <c r="AW135" s="687">
        <f>INPUT!CT230</f>
        <v>4.4696690916296244</v>
      </c>
      <c r="AX135" s="151">
        <f>INPUT!CU230</f>
        <v>37696</v>
      </c>
      <c r="AY135" s="687">
        <f>INPUT!CV230</f>
        <v>4.9735449735449633</v>
      </c>
      <c r="AZ135" s="151">
        <f>INPUT!CW230</f>
        <v>37755</v>
      </c>
      <c r="BA135" s="687">
        <f>INPUT!CX230</f>
        <v>3.9939402286186532</v>
      </c>
      <c r="BB135" s="151">
        <f>INPUT!CY230</f>
        <v>38248</v>
      </c>
      <c r="BC135" s="687">
        <f>INPUT!CZ230</f>
        <v>6.206092244467265</v>
      </c>
      <c r="BD135" s="151">
        <f>INPUT!DA230</f>
        <v>38955</v>
      </c>
      <c r="BE135" s="687">
        <f>INPUT!DB230</f>
        <v>5.5519427735327698</v>
      </c>
      <c r="BF135" s="151">
        <f>INPUT!DC230</f>
        <v>39676</v>
      </c>
      <c r="BG135" s="687">
        <f>INPUT!DD230</f>
        <v>5.2525466893039052</v>
      </c>
      <c r="BH135" s="151">
        <f>INPUT!DE230</f>
        <v>40080</v>
      </c>
      <c r="BI135" s="687">
        <f>INPUT!DF230</f>
        <v>6.1581247516885096</v>
      </c>
      <c r="BJ135" s="151">
        <f>INPUT!DG230</f>
        <v>40819</v>
      </c>
      <c r="BK135" s="687">
        <f>INPUT!DH230</f>
        <v>6.721920100397405</v>
      </c>
      <c r="BL135" s="151">
        <f>INPUT!DI230</f>
        <v>41815</v>
      </c>
      <c r="BM135" s="687">
        <f>INPUT!DJ230</f>
        <v>7.3418046463868514</v>
      </c>
      <c r="BN135" s="151">
        <f>INPUT!DK230</f>
        <v>42240</v>
      </c>
      <c r="BO135" s="687">
        <f>INPUT!DL230</f>
        <v>6.4623449944550826</v>
      </c>
      <c r="BP135" s="151">
        <f>INPUT!DM230</f>
        <v>42936</v>
      </c>
      <c r="BQ135" s="687">
        <f>INPUT!DN230</f>
        <v>7.1257485029940115</v>
      </c>
      <c r="BR135" s="151">
        <f>INPUT!DO230</f>
        <v>43169</v>
      </c>
      <c r="BS135" s="687">
        <f>INPUT!DP230</f>
        <v>5.7571229084494968</v>
      </c>
      <c r="BT135" s="151">
        <f>INPUT!DQ230</f>
        <v>43875</v>
      </c>
      <c r="BU135" s="687">
        <f>INPUT!DR230</f>
        <v>4.9264617960062207</v>
      </c>
      <c r="BV135" s="151">
        <f>INPUT!DS230</f>
        <v>44388</v>
      </c>
      <c r="BW135" s="687">
        <f>INPUT!DT230</f>
        <v>5.0852272727272663</v>
      </c>
      <c r="BX135" s="151">
        <f>INPUT!DU230</f>
        <v>44696</v>
      </c>
      <c r="BY135" s="687">
        <f>INPUT!DV230</f>
        <v>4.0991242779951476</v>
      </c>
      <c r="BZ135" s="151">
        <f>INPUT!DW230</f>
        <v>44426</v>
      </c>
      <c r="CA135" s="687">
        <f>INPUT!DX230</f>
        <v>-257.09783124577797</v>
      </c>
      <c r="CB135" s="151">
        <f>INPUT!DY230</f>
        <v>45241</v>
      </c>
      <c r="CC135" s="687">
        <f>INPUT!DZ230</f>
        <v>3.1133903133903074</v>
      </c>
      <c r="CD135" s="151">
        <f>INPUT!EA230</f>
        <v>45470</v>
      </c>
      <c r="CE135" s="687">
        <f>INPUT!EB230</f>
        <v>2.4375957465981868</v>
      </c>
      <c r="CF135" s="151">
        <f>INPUT!EC230</f>
        <v>45947</v>
      </c>
      <c r="CG135" s="687">
        <f>INPUT!ED230</f>
        <v>2.7989081797028748</v>
      </c>
      <c r="CH135" s="151">
        <f>INPUT!EE230</f>
        <v>46738</v>
      </c>
      <c r="CI135" s="687">
        <f>INPUT!EF230</f>
        <v>5.2041597262864059</v>
      </c>
      <c r="CJ135" s="151">
        <f>INPUT!EG230</f>
        <v>47330</v>
      </c>
      <c r="CK135" s="687">
        <f>INPUT!EH230</f>
        <v>4.6174929820295807</v>
      </c>
      <c r="CL135" s="151">
        <f>INPUT!EI230</f>
        <v>48067</v>
      </c>
      <c r="CM135" s="687">
        <f>INPUT!EJ230</f>
        <v>5.71145810424456</v>
      </c>
      <c r="CN135" s="151">
        <f>INPUT!EK230</f>
        <v>48750</v>
      </c>
      <c r="CO135" s="687">
        <f>INPUT!EL230</f>
        <v>6.1005071060134419</v>
      </c>
      <c r="CP135" s="151">
        <f>INPUT!EM230</f>
        <v>49492</v>
      </c>
      <c r="CQ135" s="687">
        <f>INPUT!EN230</f>
        <v>5.8924215841499317</v>
      </c>
      <c r="CR135" s="151">
        <f>INPUT!EO230</f>
        <v>50642</v>
      </c>
      <c r="CS135" s="687">
        <f>INPUT!EP230</f>
        <v>6.9976758926684868</v>
      </c>
      <c r="CT135" s="151">
        <f>INPUT!EQ230</f>
        <v>50788.925049527774</v>
      </c>
      <c r="CU135" s="687">
        <f>INPUT!ER230</f>
        <v>5.6627728993442039</v>
      </c>
      <c r="CV135" s="151">
        <f>INPUT!ES230</f>
        <v>51307.939965270358</v>
      </c>
      <c r="CW135" s="687">
        <f>INPUT!ET230</f>
        <v>5.2470563390161207</v>
      </c>
      <c r="CX135" s="151">
        <f>INPUT!EU230</f>
        <v>51740.266490982271</v>
      </c>
      <c r="CY135" s="687">
        <f>INPUT!EV230</f>
        <v>4.5426866786193232</v>
      </c>
      <c r="CZ135" s="151">
        <f>INPUT!EW230</f>
        <v>52585.756999834091</v>
      </c>
      <c r="DA135" s="687">
        <f>INPUT!EX230</f>
        <v>3.8382311121876844</v>
      </c>
      <c r="DB135" s="16"/>
      <c r="DC135" s="151">
        <f>INPUT!FP230</f>
        <v>14051</v>
      </c>
      <c r="DD135" s="687" t="str">
        <f>INPUT!FQ230</f>
        <v>NA</v>
      </c>
      <c r="DE135" s="151">
        <f>INPUT!FR230</f>
        <v>26490</v>
      </c>
      <c r="DF135" s="687">
        <f>INPUT!FS230</f>
        <v>88.527506939007907</v>
      </c>
      <c r="DG135" s="151">
        <f>INPUT!FT230</f>
        <v>32558</v>
      </c>
      <c r="DH135" s="687">
        <f>INPUT!FU230</f>
        <v>22.906757266893173</v>
      </c>
      <c r="DI135" s="151">
        <f>INPUT!FV230</f>
        <v>31753</v>
      </c>
      <c r="DJ135" s="687">
        <f>INPUT!FW230</f>
        <v>-2.4725105964739869</v>
      </c>
      <c r="DK135" s="151">
        <f>INPUT!FX230</f>
        <v>33479</v>
      </c>
      <c r="DL135" s="687">
        <f>INPUT!FY230</f>
        <v>5.4357068623437144</v>
      </c>
      <c r="DM135" s="151">
        <f>INPUT!FZ230</f>
        <v>35327</v>
      </c>
      <c r="DN135" s="687">
        <f>INPUT!GA230</f>
        <v>5.5198781325607182</v>
      </c>
      <c r="DO135" s="151">
        <f>INPUT!GB230</f>
        <v>36906</v>
      </c>
      <c r="DP135" s="687">
        <f>INPUT!GC230</f>
        <v>4.4696690916296244</v>
      </c>
      <c r="DQ135" s="151">
        <f>INPUT!GD230</f>
        <v>38955</v>
      </c>
      <c r="DR135" s="687">
        <f>INPUT!GE230</f>
        <v>5.5519427735327698</v>
      </c>
      <c r="DS135" s="151">
        <f>INPUT!GF230</f>
        <v>41815</v>
      </c>
      <c r="DT135" s="687">
        <f>INPUT!GG230</f>
        <v>7.3418046463868514</v>
      </c>
      <c r="DU135" s="151">
        <f>INPUT!GH230</f>
        <v>43875</v>
      </c>
      <c r="DV135" s="687">
        <f>INPUT!GI230</f>
        <v>4.9264617960062207</v>
      </c>
      <c r="DW135" s="151">
        <f>INPUT!GJ230</f>
        <v>45241</v>
      </c>
      <c r="DX135" s="687">
        <f>INPUT!GK230</f>
        <v>3.1133903133903074</v>
      </c>
      <c r="DY135" s="151">
        <f>INPUT!GL230</f>
        <v>47330</v>
      </c>
      <c r="DZ135" s="687">
        <f>INPUT!GM230</f>
        <v>4.6174929820295807</v>
      </c>
      <c r="EA135" s="151">
        <f>INPUT!GN230</f>
        <v>50642</v>
      </c>
      <c r="EB135" s="687">
        <f>INPUT!GO230</f>
        <v>6.9976758926684868</v>
      </c>
      <c r="EC135" s="151">
        <f>INPUT!GP230</f>
        <v>52585.756999834091</v>
      </c>
      <c r="ED135" s="687">
        <f>INPUT!GQ230</f>
        <v>3.8382311121876844</v>
      </c>
      <c r="EE135" s="151">
        <f>INPUT!GR230</f>
        <v>54196.13099853693</v>
      </c>
      <c r="EF135" s="687">
        <f>INPUT!GS230</f>
        <v>3.0623767548081826</v>
      </c>
      <c r="EG135" s="151">
        <f>INPUT!GT230</f>
        <v>55923.167034797392</v>
      </c>
      <c r="EH135" s="687">
        <f>INPUT!GU230</f>
        <v>3.1866408255362133</v>
      </c>
      <c r="EI135" s="151">
        <f>INPUT!GV230</f>
        <v>57771.829990843413</v>
      </c>
      <c r="EJ135" s="687">
        <f>INPUT!GW230</f>
        <v>3.3057193540124707</v>
      </c>
      <c r="EK135" s="151">
        <f>INPUT!GX230</f>
        <v>59747.45910085291</v>
      </c>
      <c r="EL135" s="687">
        <f>INPUT!GY230</f>
        <v>3.4197101084085801</v>
      </c>
      <c r="EM135" s="687">
        <f>INPUT!GZ230</f>
        <v>3.3621937905123689</v>
      </c>
    </row>
    <row r="136" spans="1:143" ht="12.75" hidden="1" customHeight="1" outlineLevel="1" x14ac:dyDescent="0.2">
      <c r="A136" s="701"/>
      <c r="B136" s="16"/>
      <c r="C136" s="687"/>
      <c r="D136" s="16"/>
      <c r="E136" s="687"/>
      <c r="F136" s="16"/>
      <c r="G136" s="687"/>
      <c r="H136" s="16"/>
      <c r="I136" s="687"/>
      <c r="J136" s="16"/>
      <c r="K136" s="687"/>
      <c r="L136" s="16"/>
      <c r="M136" s="687"/>
      <c r="N136" s="16"/>
      <c r="O136" s="687"/>
      <c r="P136" s="16"/>
      <c r="Q136" s="687"/>
      <c r="R136" s="16"/>
      <c r="S136" s="687"/>
      <c r="T136" s="16"/>
      <c r="U136" s="687"/>
      <c r="V136" s="16"/>
      <c r="W136" s="687"/>
      <c r="X136" s="16"/>
      <c r="Y136" s="687"/>
      <c r="Z136" s="16"/>
      <c r="AA136" s="687"/>
      <c r="AB136" s="16"/>
      <c r="AC136" s="687"/>
      <c r="AD136" s="16"/>
      <c r="AE136" s="687"/>
      <c r="AF136" s="16"/>
      <c r="AG136" s="687"/>
      <c r="AH136" s="16"/>
      <c r="AI136" s="687"/>
      <c r="AJ136" s="16"/>
      <c r="AK136" s="687"/>
      <c r="AL136" s="16"/>
      <c r="AM136" s="687"/>
      <c r="AN136" s="16"/>
      <c r="AO136" s="687"/>
      <c r="AP136" s="16"/>
      <c r="AQ136" s="687"/>
      <c r="AR136" s="16"/>
      <c r="AS136" s="687"/>
      <c r="AT136" s="16"/>
      <c r="AU136" s="687"/>
      <c r="AV136" s="16"/>
      <c r="AW136" s="687"/>
      <c r="AX136" s="16"/>
      <c r="AY136" s="687"/>
      <c r="AZ136" s="16"/>
      <c r="BA136" s="687"/>
      <c r="BB136" s="16"/>
      <c r="BC136" s="687"/>
      <c r="BD136" s="16"/>
      <c r="BE136" s="687"/>
      <c r="BF136" s="16"/>
      <c r="BG136" s="687"/>
      <c r="BH136" s="16"/>
      <c r="BI136" s="687"/>
      <c r="BJ136" s="16"/>
      <c r="BK136" s="687"/>
      <c r="BL136" s="16"/>
      <c r="BM136" s="687"/>
      <c r="BN136" s="16"/>
      <c r="BO136" s="687"/>
      <c r="BP136" s="16"/>
      <c r="BQ136" s="687"/>
      <c r="BR136" s="16"/>
      <c r="BS136" s="687"/>
      <c r="BT136" s="16"/>
      <c r="BU136" s="687"/>
      <c r="BV136" s="16"/>
      <c r="BW136" s="687"/>
      <c r="BX136" s="16"/>
      <c r="BY136" s="687"/>
      <c r="BZ136" s="16"/>
      <c r="CA136" s="687"/>
      <c r="CB136" s="16"/>
      <c r="CC136" s="687"/>
      <c r="CD136" s="16"/>
      <c r="CE136" s="687"/>
      <c r="CF136" s="16"/>
      <c r="CG136" s="687"/>
      <c r="CH136" s="16"/>
      <c r="CI136" s="687"/>
      <c r="CJ136" s="16"/>
      <c r="CK136" s="687"/>
      <c r="CL136" s="16"/>
      <c r="CM136" s="687"/>
      <c r="CN136" s="16"/>
      <c r="CO136" s="687"/>
      <c r="CP136" s="16"/>
      <c r="CQ136" s="687"/>
      <c r="CR136" s="16"/>
      <c r="CS136" s="687"/>
      <c r="CT136" s="16"/>
      <c r="CU136" s="687"/>
      <c r="CV136" s="16"/>
      <c r="CW136" s="687"/>
      <c r="CX136" s="16"/>
      <c r="CY136" s="687"/>
      <c r="CZ136" s="16"/>
      <c r="DA136" s="687"/>
      <c r="DB136" s="16"/>
      <c r="DC136" s="16"/>
      <c r="DD136" s="687"/>
      <c r="DE136" s="16"/>
      <c r="DF136" s="687"/>
      <c r="DG136" s="16"/>
      <c r="DH136" s="687"/>
      <c r="DI136" s="16"/>
      <c r="DJ136" s="687"/>
      <c r="DK136" s="16"/>
      <c r="DL136" s="687"/>
      <c r="DM136" s="16"/>
      <c r="DN136" s="687"/>
      <c r="DO136" s="16"/>
      <c r="DP136" s="687"/>
      <c r="DQ136" s="16"/>
      <c r="DR136" s="687"/>
      <c r="DS136" s="16"/>
      <c r="DT136" s="687"/>
      <c r="DU136" s="16"/>
      <c r="DV136" s="687"/>
      <c r="DW136" s="16"/>
      <c r="DX136" s="687"/>
      <c r="DY136" s="16"/>
      <c r="DZ136" s="687"/>
      <c r="EA136" s="16"/>
      <c r="EB136" s="687"/>
      <c r="EC136" s="16"/>
      <c r="ED136" s="687"/>
      <c r="EE136" s="16"/>
      <c r="EF136" s="687"/>
      <c r="EG136" s="16"/>
      <c r="EH136" s="687"/>
      <c r="EI136" s="16"/>
      <c r="EJ136" s="687"/>
      <c r="EK136" s="16"/>
      <c r="EL136" s="687"/>
      <c r="EM136" s="687"/>
    </row>
    <row r="137" spans="1:143" ht="12.75" hidden="1" customHeight="1" outlineLevel="1" x14ac:dyDescent="0.2">
      <c r="A137" s="700" t="s">
        <v>636</v>
      </c>
      <c r="B137" s="16"/>
      <c r="C137" s="687"/>
      <c r="D137" s="16"/>
      <c r="E137" s="687"/>
      <c r="F137" s="16"/>
      <c r="G137" s="687"/>
      <c r="H137" s="16"/>
      <c r="I137" s="687"/>
      <c r="J137" s="16"/>
      <c r="K137" s="687"/>
      <c r="L137" s="16"/>
      <c r="M137" s="687"/>
      <c r="N137" s="16"/>
      <c r="O137" s="687"/>
      <c r="P137" s="16"/>
      <c r="Q137" s="687"/>
      <c r="R137" s="16"/>
      <c r="S137" s="687"/>
      <c r="T137" s="16"/>
      <c r="U137" s="687"/>
      <c r="V137" s="16"/>
      <c r="W137" s="687"/>
      <c r="X137" s="16"/>
      <c r="Y137" s="687"/>
      <c r="Z137" s="16"/>
      <c r="AA137" s="687"/>
      <c r="AB137" s="16"/>
      <c r="AC137" s="687"/>
      <c r="AD137" s="16"/>
      <c r="AE137" s="687"/>
      <c r="AF137" s="16"/>
      <c r="AG137" s="687"/>
      <c r="AH137" s="16"/>
      <c r="AI137" s="687"/>
      <c r="AJ137" s="16"/>
      <c r="AK137" s="687"/>
      <c r="AL137" s="16"/>
      <c r="AM137" s="687"/>
      <c r="AN137" s="16"/>
      <c r="AO137" s="687"/>
      <c r="AP137" s="16"/>
      <c r="AQ137" s="687"/>
      <c r="AR137" s="16"/>
      <c r="AS137" s="687"/>
      <c r="AT137" s="16"/>
      <c r="AU137" s="687"/>
      <c r="AV137" s="16"/>
      <c r="AW137" s="687"/>
      <c r="AX137" s="16"/>
      <c r="AY137" s="687"/>
      <c r="AZ137" s="16"/>
      <c r="BA137" s="687"/>
      <c r="BB137" s="16"/>
      <c r="BC137" s="687"/>
      <c r="BD137" s="16"/>
      <c r="BE137" s="687"/>
      <c r="BF137" s="16"/>
      <c r="BG137" s="687"/>
      <c r="BH137" s="16"/>
      <c r="BI137" s="687"/>
      <c r="BJ137" s="16"/>
      <c r="BK137" s="687"/>
      <c r="BL137" s="16"/>
      <c r="BM137" s="687"/>
      <c r="BN137" s="16"/>
      <c r="BO137" s="687"/>
      <c r="BP137" s="16"/>
      <c r="BQ137" s="687"/>
      <c r="BR137" s="16"/>
      <c r="BS137" s="687"/>
      <c r="BT137" s="16"/>
      <c r="BU137" s="687"/>
      <c r="BV137" s="16"/>
      <c r="BW137" s="687"/>
      <c r="BX137" s="16"/>
      <c r="BY137" s="687"/>
      <c r="BZ137" s="16"/>
      <c r="CA137" s="687"/>
      <c r="CB137" s="16"/>
      <c r="CC137" s="687"/>
      <c r="CD137" s="16"/>
      <c r="CE137" s="687"/>
      <c r="CF137" s="16"/>
      <c r="CG137" s="687"/>
      <c r="CH137" s="16"/>
      <c r="CI137" s="687"/>
      <c r="CJ137" s="16"/>
      <c r="CK137" s="687"/>
      <c r="CL137" s="16"/>
      <c r="CM137" s="687"/>
      <c r="CN137" s="16"/>
      <c r="CO137" s="687"/>
      <c r="CP137" s="16"/>
      <c r="CQ137" s="687"/>
      <c r="CR137" s="16"/>
      <c r="CS137" s="687"/>
      <c r="CT137" s="16"/>
      <c r="CU137" s="687"/>
      <c r="CV137" s="16"/>
      <c r="CW137" s="687"/>
      <c r="CX137" s="16"/>
      <c r="CY137" s="687"/>
      <c r="CZ137" s="16"/>
      <c r="DA137" s="687"/>
      <c r="DB137" s="16"/>
      <c r="DC137" s="16"/>
      <c r="DD137" s="687"/>
      <c r="DE137" s="16"/>
      <c r="DF137" s="687"/>
      <c r="DG137" s="16"/>
      <c r="DH137" s="687"/>
      <c r="DI137" s="16"/>
      <c r="DJ137" s="687"/>
      <c r="DK137" s="16"/>
      <c r="DL137" s="687"/>
      <c r="DM137" s="16"/>
      <c r="DN137" s="687"/>
      <c r="DO137" s="16"/>
      <c r="DP137" s="687"/>
      <c r="DQ137" s="16"/>
      <c r="DR137" s="687"/>
      <c r="DS137" s="16"/>
      <c r="DT137" s="687"/>
      <c r="DU137" s="16"/>
      <c r="DV137" s="687"/>
      <c r="DW137" s="16"/>
      <c r="DX137" s="687"/>
      <c r="DY137" s="16"/>
      <c r="DZ137" s="687"/>
      <c r="EA137" s="16"/>
      <c r="EB137" s="687"/>
      <c r="EC137" s="16"/>
      <c r="ED137" s="687"/>
      <c r="EE137" s="16"/>
      <c r="EF137" s="687"/>
      <c r="EG137" s="16"/>
      <c r="EH137" s="687"/>
      <c r="EI137" s="16"/>
      <c r="EJ137" s="687"/>
      <c r="EK137" s="16"/>
      <c r="EL137" s="687"/>
      <c r="EM137" s="687"/>
    </row>
    <row r="138" spans="1:143" ht="12.75" hidden="1" customHeight="1" outlineLevel="1" x14ac:dyDescent="0.2">
      <c r="A138" s="701" t="str">
        <f>INPUT!B279</f>
        <v>Operating Margin (%)</v>
      </c>
      <c r="B138" s="156">
        <f>INPUT!AY279</f>
        <v>13.786213786213786</v>
      </c>
      <c r="C138" s="687">
        <f>INPUT!AZ279</f>
        <v>12.658475545073467</v>
      </c>
      <c r="D138" s="156">
        <f>INPUT!BA279</f>
        <v>16.319059241180387</v>
      </c>
      <c r="E138" s="687">
        <f>INPUT!BB279</f>
        <v>23.931002607941721</v>
      </c>
      <c r="F138" s="156">
        <f>INPUT!BC279</f>
        <v>13.716072824751471</v>
      </c>
      <c r="G138" s="687">
        <f>INPUT!BD279</f>
        <v>-3.1209894781806136</v>
      </c>
      <c r="H138" s="156">
        <f>INPUT!BE279</f>
        <v>16.412771285475795</v>
      </c>
      <c r="I138" s="687">
        <f>INPUT!BF279</f>
        <v>11.464511765318019</v>
      </c>
      <c r="J138" s="156">
        <f>INPUT!BG279</f>
        <v>17.15050442660079</v>
      </c>
      <c r="K138" s="687">
        <f>INPUT!BH279</f>
        <v>24.403296601647774</v>
      </c>
      <c r="L138" s="156">
        <f>INPUT!BI279</f>
        <v>18.433420365535248</v>
      </c>
      <c r="M138" s="687">
        <f>INPUT!BJ279</f>
        <v>12.956391009472945</v>
      </c>
      <c r="N138" s="156">
        <f>INPUT!BK279</f>
        <v>17.22080136402387</v>
      </c>
      <c r="O138" s="687">
        <f>INPUT!BL279</f>
        <v>25.55198258314806</v>
      </c>
      <c r="P138" s="156">
        <f>INPUT!BM279</f>
        <v>15.970791986519368</v>
      </c>
      <c r="Q138" s="687">
        <f>INPUT!BN279</f>
        <v>-2.6928986657332454</v>
      </c>
      <c r="R138" s="156">
        <f>INPUT!BO279</f>
        <v>14.946348874750745</v>
      </c>
      <c r="S138" s="687">
        <f>INPUT!BP279</f>
        <v>-12.851840954784709</v>
      </c>
      <c r="T138" s="156">
        <f>INPUT!BQ279</f>
        <v>15.056635049267891</v>
      </c>
      <c r="U138" s="687">
        <f>INPUT!BR279</f>
        <v>-18.318821191648695</v>
      </c>
      <c r="V138" s="156">
        <f>INPUT!BS279</f>
        <v>12.79448738243785</v>
      </c>
      <c r="W138" s="687">
        <f>INPUT!BT279</f>
        <v>-25.703298516833673</v>
      </c>
      <c r="X138" s="156">
        <f>INPUT!BU279</f>
        <v>7.9113924050632916</v>
      </c>
      <c r="Y138" s="687" t="str">
        <f>INPUT!BV279</f>
        <v>NM</v>
      </c>
      <c r="Z138" s="156">
        <f>INPUT!BW279</f>
        <v>13.21315740568668</v>
      </c>
      <c r="AA138" s="687">
        <f>INPUT!BX279</f>
        <v>-11.596085997912109</v>
      </c>
      <c r="AB138" s="156">
        <f>INPUT!BY279</f>
        <v>13.260826182398725</v>
      </c>
      <c r="AC138" s="687">
        <f>INPUT!BZ279</f>
        <v>-11.927026596533496</v>
      </c>
      <c r="AD138" s="156">
        <f>INPUT!CA279</f>
        <v>12.533284363235692</v>
      </c>
      <c r="AE138" s="687">
        <f>INPUT!CB279</f>
        <v>-2.0415278189315655</v>
      </c>
      <c r="AF138" s="156">
        <f>INPUT!CC279</f>
        <v>13.997690736299859</v>
      </c>
      <c r="AG138" s="687">
        <f>INPUT!CD279</f>
        <v>76.930810906830203</v>
      </c>
      <c r="AH138" s="156">
        <f>INPUT!CE279</f>
        <v>12.136524822695039</v>
      </c>
      <c r="AI138" s="687">
        <f>INPUT!CF279</f>
        <v>-8.1481855542588129</v>
      </c>
      <c r="AJ138" s="156">
        <f>INPUT!CG279</f>
        <v>13.353873239436624</v>
      </c>
      <c r="AK138" s="687">
        <f>INPUT!CH279</f>
        <v>0.70166862726397383</v>
      </c>
      <c r="AL138" s="156">
        <f>INPUT!CI279</f>
        <v>5.4066251466738846</v>
      </c>
      <c r="AM138" s="687" t="str">
        <f>INPUT!CJ279</f>
        <v>NM</v>
      </c>
      <c r="AN138" s="156">
        <f>INPUT!CK279</f>
        <v>13.59454575324461</v>
      </c>
      <c r="AO138" s="687">
        <f>INPUT!CL279</f>
        <v>-2.88008208389533</v>
      </c>
      <c r="AP138" s="156">
        <f>INPUT!CM279</f>
        <v>12.390924956369982</v>
      </c>
      <c r="AQ138" s="687">
        <f>INPUT!CN279</f>
        <v>2.0961530371463644</v>
      </c>
      <c r="AR138" s="156">
        <f>INPUT!CO279</f>
        <v>11.098454027664769</v>
      </c>
      <c r="AS138" s="687">
        <f>INPUT!CP279</f>
        <v>-16.889625738779344</v>
      </c>
      <c r="AT138" s="156">
        <f>INPUT!CQ279</f>
        <v>13.07489585989968</v>
      </c>
      <c r="AU138" s="687" t="str">
        <f>INPUT!CR279</f>
        <v>NM</v>
      </c>
      <c r="AV138" s="156">
        <f>INPUT!CS279</f>
        <v>11.373209772535803</v>
      </c>
      <c r="AW138" s="687">
        <f>INPUT!CT279</f>
        <v>-16.339905878639893</v>
      </c>
      <c r="AX138" s="156">
        <f>INPUT!CU279</f>
        <v>11.328443357783211</v>
      </c>
      <c r="AY138" s="687">
        <f>INPUT!CV279</f>
        <v>-8.5746754364819715</v>
      </c>
      <c r="AZ138" s="156">
        <f>INPUT!CW279</f>
        <v>10.931174089068826</v>
      </c>
      <c r="BA138" s="687">
        <f>INPUT!CX279</f>
        <v>-1.507236396879863</v>
      </c>
      <c r="BB138" s="156">
        <f>INPUT!CY279</f>
        <v>11.728395061728394</v>
      </c>
      <c r="BC138" s="687">
        <f>INPUT!CZ279</f>
        <v>-10.298367287964139</v>
      </c>
      <c r="BD138" s="156">
        <f>INPUT!DA279</f>
        <v>11.333847340015419</v>
      </c>
      <c r="BE138" s="687">
        <f>INPUT!DB279</f>
        <v>-0.34609783260516336</v>
      </c>
      <c r="BF138" s="156">
        <f>INPUT!DC279</f>
        <v>9.0249798549556814</v>
      </c>
      <c r="BG138" s="687">
        <f>INPUT!DD279</f>
        <v>-20.3334512084128</v>
      </c>
      <c r="BH138" s="156">
        <f>INPUT!DE279</f>
        <v>10.514018691588785</v>
      </c>
      <c r="BI138" s="687">
        <f>INPUT!DF279</f>
        <v>-3.8161993769470381</v>
      </c>
      <c r="BJ138" s="156">
        <f>INPUT!DG279</f>
        <v>10.760953112990007</v>
      </c>
      <c r="BK138" s="687">
        <f>INPUT!DH279</f>
        <v>-8.2487155629273001</v>
      </c>
      <c r="BL138" s="156">
        <f>INPUT!DI279</f>
        <v>11.681547619047619</v>
      </c>
      <c r="BM138" s="687">
        <f>INPUT!DJ279</f>
        <v>3.0678045027534795</v>
      </c>
      <c r="BN138" s="156">
        <f>INPUT!DK279</f>
        <v>8.9753178758414354</v>
      </c>
      <c r="BO138" s="687">
        <f>INPUT!DL279</f>
        <v>-0.55027246500696236</v>
      </c>
      <c r="BP138" s="156">
        <f>INPUT!DM279</f>
        <v>10.858400586940572</v>
      </c>
      <c r="BQ138" s="687">
        <f>INPUT!DN279</f>
        <v>3.2754544713458955</v>
      </c>
      <c r="BR138" s="156">
        <f>INPUT!DO279</f>
        <v>10.37344398340249</v>
      </c>
      <c r="BS138" s="687">
        <f>INPUT!DP279</f>
        <v>-3.6010669828097086</v>
      </c>
      <c r="BT138" s="156">
        <f>INPUT!DQ279</f>
        <v>10.441334768568353</v>
      </c>
      <c r="BU138" s="687">
        <f>INPUT!DR279</f>
        <v>-10.616853955695117</v>
      </c>
      <c r="BV138" s="156">
        <f>INPUT!DS279</f>
        <v>7.7513966480446923</v>
      </c>
      <c r="BW138" s="687">
        <f>INPUT!DT279</f>
        <v>-13.636522346368718</v>
      </c>
      <c r="BX138" s="156">
        <f>INPUT!DU279</f>
        <v>7.2765072765072771</v>
      </c>
      <c r="BY138" s="687">
        <f>INPUT!DV279</f>
        <v>-32.98730123054446</v>
      </c>
      <c r="BZ138" s="156">
        <f>INPUT!DW279</f>
        <v>2.0845396641574987</v>
      </c>
      <c r="CA138" s="687">
        <f>INPUT!DX279</f>
        <v>2.0845396641574987</v>
      </c>
      <c r="CB138" s="156">
        <f>INPUT!DY279</f>
        <v>8.827893175074184</v>
      </c>
      <c r="CC138" s="687">
        <f>INPUT!DZ279</f>
        <v>-15.452445776866842</v>
      </c>
      <c r="CD138" s="156">
        <f>INPUT!EA279</f>
        <v>5.0744248985115021</v>
      </c>
      <c r="CE138" s="687">
        <f>INPUT!EB279</f>
        <v>-34.535347255238989</v>
      </c>
      <c r="CF138" s="156">
        <f>INPUT!EC279</f>
        <v>7.8023407022106639</v>
      </c>
      <c r="CG138" s="687">
        <f>INPUT!ED279</f>
        <v>7.2264536503808374</v>
      </c>
      <c r="CH138" s="156">
        <f>INPUT!EE279</f>
        <v>10.245398773006135</v>
      </c>
      <c r="CI138" s="687" t="str">
        <f>INPUT!EF279</f>
        <v>NM</v>
      </c>
      <c r="CJ138" s="156">
        <f>INPUT!EG279</f>
        <v>9.625</v>
      </c>
      <c r="CK138" s="687">
        <f>INPUT!EH279</f>
        <v>9.0294117647058858</v>
      </c>
      <c r="CL138" s="156">
        <f>INPUT!EI279</f>
        <v>8.0946450809464512</v>
      </c>
      <c r="CM138" s="687">
        <f>INPUT!EJ279</f>
        <v>59.51847239518473</v>
      </c>
      <c r="CN138" s="156">
        <f>INPUT!EK279</f>
        <v>8.0362537764350463</v>
      </c>
      <c r="CO138" s="687">
        <f>INPUT!EL279</f>
        <v>2.9979859013091747</v>
      </c>
      <c r="CP138" s="156">
        <f>INPUT!EM279</f>
        <v>7.4969021065675339</v>
      </c>
      <c r="CQ138" s="687">
        <f>INPUT!EN279</f>
        <v>-26.826644109550422</v>
      </c>
      <c r="CR138" s="156">
        <f>INPUT!EO279</f>
        <v>9.026128266033254</v>
      </c>
      <c r="CS138" s="687">
        <f>INPUT!EP279</f>
        <v>-6.2220439892648916</v>
      </c>
      <c r="CT138" s="156">
        <f>INPUT!EQ279</f>
        <v>8.5727058427376921</v>
      </c>
      <c r="CU138" s="687">
        <f>INPUT!ER279</f>
        <v>5.905889103359474</v>
      </c>
      <c r="CV138" s="156">
        <f>INPUT!ES279</f>
        <v>9.498678078633036</v>
      </c>
      <c r="CW138" s="687">
        <f>INPUT!ET279</f>
        <v>18.197836241636644</v>
      </c>
      <c r="CX138" s="156">
        <f>INPUT!EU279</f>
        <v>9.428184613538642</v>
      </c>
      <c r="CY138" s="687">
        <f>INPUT!EV279</f>
        <v>25.761074101250991</v>
      </c>
      <c r="CZ138" s="156">
        <f>INPUT!EW279</f>
        <v>9.8127438408027388</v>
      </c>
      <c r="DA138" s="687">
        <f>INPUT!EX279</f>
        <v>8.7148725520513892</v>
      </c>
      <c r="DB138" s="16"/>
      <c r="DC138" s="156">
        <f>INPUT!FP279</f>
        <v>13.582120799748761</v>
      </c>
      <c r="DD138" s="687">
        <f>INPUT!FQ279</f>
        <v>-1.5428363815877755</v>
      </c>
      <c r="DE138" s="156">
        <f>INPUT!FR279</f>
        <v>15.241430151124211</v>
      </c>
      <c r="DF138" s="687">
        <f>INPUT!FS279</f>
        <v>12.216864919992055</v>
      </c>
      <c r="DG138" s="156">
        <f>INPUT!FT279</f>
        <v>17.160975128306355</v>
      </c>
      <c r="DH138" s="687">
        <f>INPUT!FU279</f>
        <v>12.594257613289383</v>
      </c>
      <c r="DI138" s="156">
        <f>INPUT!FV279</f>
        <v>12.707662664191554</v>
      </c>
      <c r="DJ138" s="687">
        <f>INPUT!FW279</f>
        <v>-25.950229697432736</v>
      </c>
      <c r="DK138" s="156">
        <f>INPUT!FX279</f>
        <v>13.257558112451671</v>
      </c>
      <c r="DL138" s="687">
        <f>INPUT!FY279</f>
        <v>4.327274517678581</v>
      </c>
      <c r="DM138" s="156">
        <f>INPUT!FZ279</f>
        <v>11.199965136295273</v>
      </c>
      <c r="DN138" s="687">
        <f>INPUT!GA279</f>
        <v>-15.520150533784049</v>
      </c>
      <c r="DO138" s="156">
        <f>INPUT!GB279</f>
        <v>11.970537956651116</v>
      </c>
      <c r="DP138" s="687">
        <f>INPUT!GC279</f>
        <v>6.8801358841616311</v>
      </c>
      <c r="DQ138" s="156">
        <f>INPUT!GD279</f>
        <v>11.335311572700297</v>
      </c>
      <c r="DR138" s="687">
        <f>INPUT!GE279</f>
        <v>-5.306581761414253</v>
      </c>
      <c r="DS138" s="156">
        <f>INPUT!GF279</f>
        <v>10.522243713733076</v>
      </c>
      <c r="DT138" s="687">
        <f>INPUT!GG279</f>
        <v>-7.1728761380092543</v>
      </c>
      <c r="DU138" s="156">
        <f>INPUT!GH279</f>
        <v>10.193204530313125</v>
      </c>
      <c r="DV138" s="687">
        <f>INPUT!GI279</f>
        <v>-3.1270819453697585</v>
      </c>
      <c r="DW138" s="156">
        <f>INPUT!GJ279</f>
        <v>6.2352941176470589</v>
      </c>
      <c r="DX138" s="687">
        <f>INPUT!GK279</f>
        <v>-38.828911956939635</v>
      </c>
      <c r="DY138" s="156">
        <f>INPUT!GL279</f>
        <v>8.2612872238232473</v>
      </c>
      <c r="DZ138" s="687">
        <f>INPUT!GM279</f>
        <v>32.492342268863396</v>
      </c>
      <c r="EA138" s="156">
        <f>INPUT!GN279</f>
        <v>8.1719774355846937</v>
      </c>
      <c r="EB138" s="687">
        <f>INPUT!GO279</f>
        <v>-1.0810638320503996</v>
      </c>
      <c r="EC138" s="156">
        <f>INPUT!GP279</f>
        <v>9.331140328246768</v>
      </c>
      <c r="ED138" s="687">
        <f>INPUT!GQ279</f>
        <v>14.184607113751024</v>
      </c>
      <c r="EE138" s="156">
        <f>INPUT!GR279</f>
        <v>9.1588294702099144</v>
      </c>
      <c r="EF138" s="687">
        <f>INPUT!GS279</f>
        <v>-1.846621655825309</v>
      </c>
      <c r="EG138" s="156">
        <f>INPUT!GT279</f>
        <v>9.1332887731068766</v>
      </c>
      <c r="EH138" s="687">
        <f>INPUT!GU279</f>
        <v>-0.27886420624066988</v>
      </c>
      <c r="EI138" s="156">
        <f>INPUT!GV279</f>
        <v>9.1609878366295572</v>
      </c>
      <c r="EJ138" s="687">
        <f>INPUT!GW279</f>
        <v>0.30327589777126018</v>
      </c>
      <c r="EK138" s="156">
        <f>INPUT!GX279</f>
        <v>9.1804199729683909</v>
      </c>
      <c r="EL138" s="687">
        <f>INPUT!GY279</f>
        <v>0.212118351048729</v>
      </c>
      <c r="EM138" s="687">
        <f>INPUT!GZ279</f>
        <v>2.3545322794089163</v>
      </c>
    </row>
    <row r="139" spans="1:143" ht="12.75" hidden="1" customHeight="1" outlineLevel="1" x14ac:dyDescent="0.2">
      <c r="A139" s="701" t="str">
        <f>INPUT!B280</f>
        <v>AT Op Earnings/Avg Reserves (%)</v>
      </c>
      <c r="B139" s="156">
        <f>INPUT!AY280</f>
        <v>1.9492902041104598</v>
      </c>
      <c r="C139" s="687">
        <f>INPUT!AZ280</f>
        <v>11.594352213411296</v>
      </c>
      <c r="D139" s="156">
        <f>INPUT!BA280</f>
        <v>2.9608010869018262</v>
      </c>
      <c r="E139" s="687">
        <f>INPUT!BB280</f>
        <v>58.581404860159012</v>
      </c>
      <c r="F139" s="156">
        <f>INPUT!BC280</f>
        <v>1.9150470769410697</v>
      </c>
      <c r="G139" s="687">
        <f>INPUT!BD280</f>
        <v>0.47357930638436407</v>
      </c>
      <c r="H139" s="156">
        <f>INPUT!BE280</f>
        <v>2.4056585738864467</v>
      </c>
      <c r="I139" s="687">
        <f>INPUT!BF280</f>
        <v>13.254200645619573</v>
      </c>
      <c r="J139" s="156">
        <f>INPUT!BG280</f>
        <v>2.1455247907276256</v>
      </c>
      <c r="K139" s="687">
        <f>INPUT!BH280</f>
        <v>10.066976492436419</v>
      </c>
      <c r="L139" s="156">
        <f>INPUT!BI280</f>
        <v>2.2378952373405183</v>
      </c>
      <c r="M139" s="687">
        <f>INPUT!BJ280</f>
        <v>-24.415887063786322</v>
      </c>
      <c r="N139" s="156">
        <f>INPUT!BK280</f>
        <v>2.2695212533549718</v>
      </c>
      <c r="O139" s="687">
        <f>INPUT!BL280</f>
        <v>18.509945822329787</v>
      </c>
      <c r="P139" s="156">
        <f>INPUT!BM280</f>
        <v>2.1053930642971719</v>
      </c>
      <c r="Q139" s="687">
        <f>INPUT!BN280</f>
        <v>-12.481634461709278</v>
      </c>
      <c r="R139" s="156">
        <f>INPUT!BO280</f>
        <v>1.9402456124131358</v>
      </c>
      <c r="S139" s="687">
        <f>INPUT!BP280</f>
        <v>-9.567784031284587</v>
      </c>
      <c r="T139" s="156">
        <f>INPUT!BQ280</f>
        <v>2.0140428677014053</v>
      </c>
      <c r="U139" s="687">
        <f>INPUT!BR280</f>
        <v>-10.002808259475804</v>
      </c>
      <c r="V139" s="156">
        <f>INPUT!BS280</f>
        <v>1.6940480226859429</v>
      </c>
      <c r="W139" s="687">
        <f>INPUT!BT280</f>
        <v>-25.356591387647164</v>
      </c>
      <c r="X139" s="156">
        <f>INPUT!BU280</f>
        <v>1.0306702479855081</v>
      </c>
      <c r="Y139" s="687" t="str">
        <f>INPUT!BV280</f>
        <v>NM</v>
      </c>
      <c r="Z139" s="156">
        <f>INPUT!BW280</f>
        <v>1.7953978725419026</v>
      </c>
      <c r="AA139" s="687">
        <f>INPUT!BX280</f>
        <v>-7.46543318766133</v>
      </c>
      <c r="AB139" s="156">
        <f>INPUT!BY280</f>
        <v>1.6643706950532251</v>
      </c>
      <c r="AC139" s="687">
        <f>INPUT!BZ280</f>
        <v>-17.361704572219729</v>
      </c>
      <c r="AD139" s="156">
        <f>INPUT!CA280</f>
        <v>1.6729991420517212</v>
      </c>
      <c r="AE139" s="687">
        <f>INPUT!CB280</f>
        <v>-1.2425197132752142</v>
      </c>
      <c r="AF139" s="156">
        <f>INPUT!CC280</f>
        <v>1.896510228640194</v>
      </c>
      <c r="AG139" s="687">
        <f>INPUT!CD280</f>
        <v>84.00746818364162</v>
      </c>
      <c r="AH139" s="156">
        <f>INPUT!CE280</f>
        <v>1.6273160874281218</v>
      </c>
      <c r="AI139" s="687">
        <f>INPUT!CF280</f>
        <v>-9.3618126480128119</v>
      </c>
      <c r="AJ139" s="156">
        <f>INPUT!CG280</f>
        <v>1.7997123070306831</v>
      </c>
      <c r="AK139" s="687">
        <f>INPUT!CH280</f>
        <v>8.1316988084274122</v>
      </c>
      <c r="AL139" s="156">
        <f>INPUT!CI280</f>
        <v>0.70504803801844962</v>
      </c>
      <c r="AM139" s="687" t="str">
        <f>INPUT!CJ280</f>
        <v>NM</v>
      </c>
      <c r="AN139" s="156">
        <f>INPUT!CK280</f>
        <v>1.9000330066156725</v>
      </c>
      <c r="AO139" s="687">
        <f>INPUT!CL280</f>
        <v>0.18575053918925555</v>
      </c>
      <c r="AP139" s="156">
        <f>INPUT!CM280</f>
        <v>1.5946769235088507</v>
      </c>
      <c r="AQ139" s="687">
        <f>INPUT!CN280</f>
        <v>-2.0057052327710601</v>
      </c>
      <c r="AR139" s="156">
        <f>INPUT!CO280</f>
        <v>1.511043412033511</v>
      </c>
      <c r="AS139" s="687">
        <f>INPUT!CP280</f>
        <v>-16.039724453151205</v>
      </c>
      <c r="AT139" s="156">
        <f>INPUT!CQ280</f>
        <v>1.7013744849138517</v>
      </c>
      <c r="AU139" s="687" t="str">
        <f>INPUT!CR280</f>
        <v>NM</v>
      </c>
      <c r="AV139" s="156">
        <f>INPUT!CS280</f>
        <v>1.4810954620880703</v>
      </c>
      <c r="AW139" s="687">
        <f>INPUT!CT280</f>
        <v>-22.048961416402513</v>
      </c>
      <c r="AX139" s="156">
        <f>INPUT!CU280</f>
        <v>1.4905766601431596</v>
      </c>
      <c r="AY139" s="687">
        <f>INPUT!CV280</f>
        <v>-6.5279845610754723</v>
      </c>
      <c r="AZ139" s="156">
        <f>INPUT!CW280</f>
        <v>1.4313925594094179</v>
      </c>
      <c r="BA139" s="687">
        <f>INPUT!CX280</f>
        <v>-5.2712484624714895</v>
      </c>
      <c r="BB139" s="156">
        <f>INPUT!CY280</f>
        <v>1.5999368445982396</v>
      </c>
      <c r="BC139" s="687">
        <f>INPUT!CZ280</f>
        <v>-5.9620995386414517</v>
      </c>
      <c r="BD139" s="156">
        <f>INPUT!DA280</f>
        <v>1.5232568682564149</v>
      </c>
      <c r="BE139" s="687">
        <f>INPUT!DB280</f>
        <v>2.8466366448051117</v>
      </c>
      <c r="BF139" s="156">
        <f>INPUT!DC280</f>
        <v>1.1394996884180539</v>
      </c>
      <c r="BG139" s="687">
        <f>INPUT!DD280</f>
        <v>-23.553097342298855</v>
      </c>
      <c r="BH139" s="156">
        <f>INPUT!DE280</f>
        <v>1.3541300967952254</v>
      </c>
      <c r="BI139" s="687">
        <f>INPUT!DF280</f>
        <v>-5.3977130247254035</v>
      </c>
      <c r="BJ139" s="156">
        <f>INPUT!DG280</f>
        <v>1.3844423293242192</v>
      </c>
      <c r="BK139" s="687">
        <f>INPUT!DH280</f>
        <v>-13.468938852279088</v>
      </c>
      <c r="BL139" s="156">
        <f>INPUT!DI280</f>
        <v>1.5199554662729626</v>
      </c>
      <c r="BM139" s="687">
        <f>INPUT!DJ280</f>
        <v>-0.2167331099731884</v>
      </c>
      <c r="BN139" s="156">
        <f>INPUT!DK280</f>
        <v>1.1421093331747072</v>
      </c>
      <c r="BO139" s="687">
        <f>INPUT!DL280</f>
        <v>0.22901671524597766</v>
      </c>
      <c r="BP139" s="156">
        <f>INPUT!DM280</f>
        <v>1.390062928524467</v>
      </c>
      <c r="BQ139" s="687">
        <f>INPUT!DN280</f>
        <v>2.6535730809235103</v>
      </c>
      <c r="BR139" s="156">
        <f>INPUT!DO280</f>
        <v>1.3936472910980779</v>
      </c>
      <c r="BS139" s="687">
        <f>INPUT!DP280</f>
        <v>0.6648858951280312</v>
      </c>
      <c r="BT139" s="156">
        <f>INPUT!DQ280</f>
        <v>1.7830062956665595</v>
      </c>
      <c r="BU139" s="687">
        <f>INPUT!DR280</f>
        <v>17.306482672062494</v>
      </c>
      <c r="BV139" s="156">
        <f>INPUT!DS280</f>
        <v>1.0060840895958669</v>
      </c>
      <c r="BW139" s="687">
        <f>INPUT!DT280</f>
        <v>-11.910001926061897</v>
      </c>
      <c r="BX139" s="156">
        <f>INPUT!DU280</f>
        <v>0.94293026806160485</v>
      </c>
      <c r="BY139" s="687">
        <f>INPUT!DV280</f>
        <v>-32.166361053703326</v>
      </c>
      <c r="BZ139" s="156">
        <f>INPUT!DW280</f>
        <v>0.32315253248356185</v>
      </c>
      <c r="CA139" s="687">
        <f>INPUT!DX280</f>
        <v>-113.83457388051959</v>
      </c>
      <c r="CB139" s="156">
        <f>INPUT!DY280</f>
        <v>1.061706090311932</v>
      </c>
      <c r="CC139" s="687">
        <f>INPUT!DZ280</f>
        <v>-40.454159197737241</v>
      </c>
      <c r="CD139" s="156">
        <f>INPUT!EA280</f>
        <v>0.66144128055031914</v>
      </c>
      <c r="CE139" s="687">
        <f>INPUT!EB280</f>
        <v>-34.255865151787368</v>
      </c>
      <c r="CF139" s="156">
        <f>INPUT!EC280</f>
        <v>1.0501329074460986</v>
      </c>
      <c r="CG139" s="687">
        <f>INPUT!ED280</f>
        <v>11.369095151105046</v>
      </c>
      <c r="CH139" s="156">
        <f>INPUT!EE280</f>
        <v>1.4414414414414414</v>
      </c>
      <c r="CI139" s="687" t="str">
        <f>INPUT!EF280</f>
        <v>NM</v>
      </c>
      <c r="CJ139" s="156">
        <f>INPUT!EG280</f>
        <v>1.3096908619296679</v>
      </c>
      <c r="CK139" s="687">
        <f>INPUT!EH280</f>
        <v>23.357195920848241</v>
      </c>
      <c r="CL139" s="156">
        <f>INPUT!EI280</f>
        <v>1.0901810329465289</v>
      </c>
      <c r="CM139" s="687">
        <f>INPUT!EJ280</f>
        <v>64.819019466020976</v>
      </c>
      <c r="CN139" s="156">
        <f>INPUT!EK280</f>
        <v>1.0989805509363026</v>
      </c>
      <c r="CO139" s="687">
        <f>INPUT!EL280</f>
        <v>4.6515677343166528</v>
      </c>
      <c r="CP139" s="156">
        <f>INPUT!EM280</f>
        <v>0.98532196005781636</v>
      </c>
      <c r="CQ139" s="687">
        <f>INPUT!EN280</f>
        <v>-31.643289020988984</v>
      </c>
      <c r="CR139" s="156">
        <f>INPUT!EO280</f>
        <v>1.2143727405276927</v>
      </c>
      <c r="CS139" s="687">
        <f>INPUT!EP280</f>
        <v>-7.2779099383449619</v>
      </c>
      <c r="CT139" s="156">
        <f>INPUT!EQ280</f>
        <v>1.1330411434050016</v>
      </c>
      <c r="CU139" s="687">
        <f>INPUT!ER280</f>
        <v>3.9314672667374317</v>
      </c>
      <c r="CV139" s="156">
        <f>INPUT!ES280</f>
        <v>1.2538086527952359</v>
      </c>
      <c r="CW139" s="687">
        <f>INPUT!ET280</f>
        <v>14.088338663229649</v>
      </c>
      <c r="CX139" s="156">
        <f>INPUT!EU280</f>
        <v>1.2415467791512225</v>
      </c>
      <c r="CY139" s="687">
        <f>INPUT!EV280</f>
        <v>26.004172187370255</v>
      </c>
      <c r="CZ139" s="156">
        <f>INPUT!EW280</f>
        <v>1.2875972384468664</v>
      </c>
      <c r="DA139" s="687">
        <f>INPUT!EX280</f>
        <v>6.0298206205908977</v>
      </c>
      <c r="DB139" s="16"/>
      <c r="DC139" s="156">
        <f>INPUT!FP280</f>
        <v>1.8468436410219902</v>
      </c>
      <c r="DD139" s="687" t="str">
        <f>INPUT!FQ280</f>
        <v>NA</v>
      </c>
      <c r="DE139" s="156">
        <f>INPUT!FR280</f>
        <v>2.4478922572210839</v>
      </c>
      <c r="DF139" s="687">
        <f>INPUT!FS280</f>
        <v>32.544640101015297</v>
      </c>
      <c r="DG139" s="156">
        <f>INPUT!FT280</f>
        <v>2.3557106083186561</v>
      </c>
      <c r="DH139" s="687">
        <f>INPUT!FU280</f>
        <v>-3.7657559735523316</v>
      </c>
      <c r="DI139" s="156">
        <f>INPUT!FV280</f>
        <v>1.6818273701233071</v>
      </c>
      <c r="DJ139" s="687">
        <f>INPUT!FW280</f>
        <v>-28.606367684370216</v>
      </c>
      <c r="DK139" s="156">
        <f>INPUT!FX280</f>
        <v>1.7451557517782681</v>
      </c>
      <c r="DL139" s="687">
        <f>INPUT!FY280</f>
        <v>3.7654507697967743</v>
      </c>
      <c r="DM139" s="156">
        <f>INPUT!FZ280</f>
        <v>1.4940557509519485</v>
      </c>
      <c r="DN139" s="687">
        <f>INPUT!GA280</f>
        <v>-14.388400609541884</v>
      </c>
      <c r="DO139" s="156">
        <f>INPUT!GB280</f>
        <v>1.5704733293646942</v>
      </c>
      <c r="DP139" s="687">
        <f>INPUT!GC280</f>
        <v>5.1147742220500003</v>
      </c>
      <c r="DQ139" s="156">
        <f>INPUT!GD280</f>
        <v>1.5106576501759796</v>
      </c>
      <c r="DR139" s="687">
        <f>INPUT!GE280</f>
        <v>-3.8087675906544605</v>
      </c>
      <c r="DS139" s="156">
        <f>INPUT!GF280</f>
        <v>1.3470347901448556</v>
      </c>
      <c r="DT139" s="687">
        <f>INPUT!GG280</f>
        <v>-10.831233669128359</v>
      </c>
      <c r="DU139" s="156">
        <f>INPUT!GH280</f>
        <v>1.4284047146691563</v>
      </c>
      <c r="DV139" s="687">
        <f>INPUT!GI280</f>
        <v>6.0406698564593464</v>
      </c>
      <c r="DW139" s="156">
        <f>INPUT!GJ280</f>
        <v>0.83262264913146911</v>
      </c>
      <c r="DX139" s="687">
        <f>INPUT!GK280</f>
        <v>-41.709612088173543</v>
      </c>
      <c r="DY139" s="156">
        <f>INPUT!GL280</f>
        <v>1.1148199760184074</v>
      </c>
      <c r="DZ139" s="687">
        <f>INPUT!GM280</f>
        <v>33.892583534846899</v>
      </c>
      <c r="EA139" s="156">
        <f>INPUT!GN280</f>
        <v>1.094190176785204</v>
      </c>
      <c r="EB139" s="687">
        <f>INPUT!GO280</f>
        <v>-1.8505049852876709</v>
      </c>
      <c r="EC139" s="156">
        <f>INPUT!GP280</f>
        <v>1.2235188173331255</v>
      </c>
      <c r="ED139" s="687">
        <f>INPUT!GQ280</f>
        <v>11.81957609306059</v>
      </c>
      <c r="EE139" s="156">
        <f>INPUT!GR280</f>
        <v>1.1966734770665466</v>
      </c>
      <c r="EF139" s="687">
        <f>INPUT!GS280</f>
        <v>-2.1941093088452046</v>
      </c>
      <c r="EG139" s="156">
        <f>INPUT!GT280</f>
        <v>1.1905342665716687</v>
      </c>
      <c r="EH139" s="687">
        <f>INPUT!GU280</f>
        <v>-0.513023026960302</v>
      </c>
      <c r="EI139" s="156">
        <f>INPUT!GV280</f>
        <v>1.1909680262951254</v>
      </c>
      <c r="EJ139" s="687">
        <f>INPUT!GW280</f>
        <v>3.6434039375099481E-2</v>
      </c>
      <c r="EK139" s="156">
        <f>INPUT!GX280</f>
        <v>1.1899763942572004</v>
      </c>
      <c r="EL139" s="687">
        <f>INPUT!GY280</f>
        <v>-8.3262691863339455E-2</v>
      </c>
      <c r="EM139" s="687">
        <f>INPUT!GZ280</f>
        <v>1.6925428109316965</v>
      </c>
    </row>
    <row r="140" spans="1:143" ht="12.75" hidden="1" customHeight="1" outlineLevel="1" x14ac:dyDescent="0.2">
      <c r="A140" s="701"/>
      <c r="B140" s="16"/>
      <c r="C140" s="687"/>
      <c r="D140" s="16"/>
      <c r="E140" s="687"/>
      <c r="F140" s="16"/>
      <c r="G140" s="687"/>
      <c r="H140" s="16"/>
      <c r="I140" s="687"/>
      <c r="J140" s="16"/>
      <c r="K140" s="687"/>
      <c r="L140" s="16"/>
      <c r="M140" s="687"/>
      <c r="N140" s="16"/>
      <c r="O140" s="687"/>
      <c r="P140" s="16"/>
      <c r="Q140" s="687"/>
      <c r="R140" s="16"/>
      <c r="S140" s="687"/>
      <c r="T140" s="16"/>
      <c r="U140" s="687"/>
      <c r="V140" s="16"/>
      <c r="W140" s="687"/>
      <c r="X140" s="16"/>
      <c r="Y140" s="687"/>
      <c r="Z140" s="16"/>
      <c r="AA140" s="687"/>
      <c r="AB140" s="16"/>
      <c r="AC140" s="687"/>
      <c r="AD140" s="16"/>
      <c r="AE140" s="687"/>
      <c r="AF140" s="16"/>
      <c r="AG140" s="687"/>
      <c r="AH140" s="16"/>
      <c r="AI140" s="687"/>
      <c r="AJ140" s="16"/>
      <c r="AK140" s="687"/>
      <c r="AL140" s="16"/>
      <c r="AM140" s="687"/>
      <c r="AN140" s="16"/>
      <c r="AO140" s="687"/>
      <c r="AP140" s="16"/>
      <c r="AQ140" s="687"/>
      <c r="AR140" s="16"/>
      <c r="AS140" s="687"/>
      <c r="AT140" s="16"/>
      <c r="AU140" s="687"/>
      <c r="AV140" s="16"/>
      <c r="AW140" s="687"/>
      <c r="AX140" s="16"/>
      <c r="AY140" s="687"/>
      <c r="AZ140" s="16"/>
      <c r="BA140" s="687"/>
      <c r="BB140" s="16"/>
      <c r="BC140" s="687"/>
      <c r="BD140" s="16"/>
      <c r="BE140" s="687"/>
      <c r="BF140" s="16"/>
      <c r="BG140" s="687"/>
      <c r="BH140" s="16"/>
      <c r="BI140" s="687"/>
      <c r="BJ140" s="16"/>
      <c r="BK140" s="687"/>
      <c r="BL140" s="16"/>
      <c r="BM140" s="687"/>
      <c r="BN140" s="16"/>
      <c r="BO140" s="687"/>
      <c r="BP140" s="16"/>
      <c r="BQ140" s="687"/>
      <c r="BR140" s="16"/>
      <c r="BS140" s="687"/>
      <c r="BT140" s="16"/>
      <c r="BU140" s="687"/>
      <c r="BV140" s="16"/>
      <c r="BW140" s="687"/>
      <c r="BX140" s="16"/>
      <c r="BY140" s="687"/>
      <c r="BZ140" s="16"/>
      <c r="CA140" s="687"/>
      <c r="CB140" s="16"/>
      <c r="CC140" s="687"/>
      <c r="CD140" s="16"/>
      <c r="CE140" s="687"/>
      <c r="CF140" s="16"/>
      <c r="CG140" s="687"/>
      <c r="CH140" s="16"/>
      <c r="CI140" s="687"/>
      <c r="CJ140" s="16"/>
      <c r="CK140" s="687"/>
      <c r="CL140" s="16"/>
      <c r="CM140" s="687"/>
      <c r="CN140" s="16"/>
      <c r="CO140" s="687"/>
      <c r="CP140" s="16"/>
      <c r="CQ140" s="687"/>
      <c r="CR140" s="16"/>
      <c r="CS140" s="687"/>
      <c r="CT140" s="16"/>
      <c r="CU140" s="687"/>
      <c r="CV140" s="16"/>
      <c r="CW140" s="687"/>
      <c r="CX140" s="16"/>
      <c r="CY140" s="687"/>
      <c r="CZ140" s="16"/>
      <c r="DA140" s="687"/>
      <c r="DB140" s="16"/>
      <c r="DC140" s="16"/>
      <c r="DD140" s="687"/>
      <c r="DE140" s="16"/>
      <c r="DF140" s="687"/>
      <c r="DG140" s="16"/>
      <c r="DH140" s="687"/>
      <c r="DI140" s="16"/>
      <c r="DJ140" s="687"/>
      <c r="DK140" s="16"/>
      <c r="DL140" s="687"/>
      <c r="DM140" s="16"/>
      <c r="DN140" s="687"/>
      <c r="DO140" s="16"/>
      <c r="DP140" s="687"/>
      <c r="DQ140" s="16"/>
      <c r="DR140" s="687"/>
      <c r="DS140" s="16"/>
      <c r="DT140" s="687"/>
      <c r="DU140" s="16"/>
      <c r="DV140" s="687"/>
      <c r="DW140" s="16"/>
      <c r="DX140" s="687"/>
      <c r="DY140" s="16"/>
      <c r="DZ140" s="687"/>
      <c r="EA140" s="16"/>
      <c r="EB140" s="687"/>
      <c r="EC140" s="16"/>
      <c r="ED140" s="687"/>
      <c r="EE140" s="16"/>
      <c r="EF140" s="687"/>
      <c r="EG140" s="16"/>
      <c r="EH140" s="687"/>
      <c r="EI140" s="16"/>
      <c r="EJ140" s="687"/>
      <c r="EK140" s="16"/>
      <c r="EL140" s="687"/>
      <c r="EM140" s="687"/>
    </row>
    <row r="141" spans="1:143" ht="12.75" hidden="1" customHeight="1" outlineLevel="1" x14ac:dyDescent="0.2">
      <c r="A141" s="700" t="s">
        <v>282</v>
      </c>
      <c r="B141" s="16"/>
      <c r="C141" s="687"/>
      <c r="D141" s="16"/>
      <c r="E141" s="687"/>
      <c r="F141" s="16"/>
      <c r="G141" s="687"/>
      <c r="H141" s="16"/>
      <c r="I141" s="687"/>
      <c r="J141" s="16"/>
      <c r="K141" s="687"/>
      <c r="L141" s="16"/>
      <c r="M141" s="687"/>
      <c r="N141" s="16"/>
      <c r="O141" s="687"/>
      <c r="P141" s="16"/>
      <c r="Q141" s="687"/>
      <c r="R141" s="16"/>
      <c r="S141" s="687"/>
      <c r="T141" s="16"/>
      <c r="U141" s="687"/>
      <c r="V141" s="16"/>
      <c r="W141" s="687"/>
      <c r="X141" s="16"/>
      <c r="Y141" s="687"/>
      <c r="Z141" s="16"/>
      <c r="AA141" s="687"/>
      <c r="AB141" s="16"/>
      <c r="AC141" s="687"/>
      <c r="AD141" s="16"/>
      <c r="AE141" s="687"/>
      <c r="AF141" s="16"/>
      <c r="AG141" s="687"/>
      <c r="AH141" s="16"/>
      <c r="AI141" s="687"/>
      <c r="AJ141" s="16"/>
      <c r="AK141" s="687"/>
      <c r="AL141" s="16"/>
      <c r="AM141" s="687"/>
      <c r="AN141" s="16"/>
      <c r="AO141" s="687"/>
      <c r="AP141" s="16"/>
      <c r="AQ141" s="687"/>
      <c r="AR141" s="16"/>
      <c r="AS141" s="687"/>
      <c r="AT141" s="16"/>
      <c r="AU141" s="687"/>
      <c r="AV141" s="16"/>
      <c r="AW141" s="687"/>
      <c r="AX141" s="16"/>
      <c r="AY141" s="687"/>
      <c r="AZ141" s="16"/>
      <c r="BA141" s="687"/>
      <c r="BB141" s="16"/>
      <c r="BC141" s="687"/>
      <c r="BD141" s="16"/>
      <c r="BE141" s="687"/>
      <c r="BF141" s="16"/>
      <c r="BG141" s="687"/>
      <c r="BH141" s="16"/>
      <c r="BI141" s="687"/>
      <c r="BJ141" s="16"/>
      <c r="BK141" s="687"/>
      <c r="BL141" s="16"/>
      <c r="BM141" s="687"/>
      <c r="BN141" s="16"/>
      <c r="BO141" s="687"/>
      <c r="BP141" s="16"/>
      <c r="BQ141" s="687"/>
      <c r="BR141" s="16"/>
      <c r="BS141" s="687"/>
      <c r="BT141" s="16"/>
      <c r="BU141" s="687"/>
      <c r="BV141" s="16"/>
      <c r="BW141" s="687"/>
      <c r="BX141" s="16"/>
      <c r="BY141" s="687"/>
      <c r="BZ141" s="16"/>
      <c r="CA141" s="687"/>
      <c r="CB141" s="16"/>
      <c r="CC141" s="687"/>
      <c r="CD141" s="16"/>
      <c r="CE141" s="687"/>
      <c r="CF141" s="16"/>
      <c r="CG141" s="687"/>
      <c r="CH141" s="16"/>
      <c r="CI141" s="687"/>
      <c r="CJ141" s="16"/>
      <c r="CK141" s="687"/>
      <c r="CL141" s="16"/>
      <c r="CM141" s="687"/>
      <c r="CN141" s="16"/>
      <c r="CO141" s="687"/>
      <c r="CP141" s="16"/>
      <c r="CQ141" s="687"/>
      <c r="CR141" s="16"/>
      <c r="CS141" s="687"/>
      <c r="CT141" s="16"/>
      <c r="CU141" s="687"/>
      <c r="CV141" s="16"/>
      <c r="CW141" s="687"/>
      <c r="CX141" s="16"/>
      <c r="CY141" s="687"/>
      <c r="CZ141" s="16"/>
      <c r="DA141" s="687"/>
      <c r="DB141" s="16"/>
      <c r="DC141" s="16"/>
      <c r="DD141" s="687"/>
      <c r="DE141" s="16"/>
      <c r="DF141" s="687"/>
      <c r="DG141" s="16"/>
      <c r="DH141" s="687"/>
      <c r="DI141" s="16"/>
      <c r="DJ141" s="687"/>
      <c r="DK141" s="16"/>
      <c r="DL141" s="687"/>
      <c r="DM141" s="16"/>
      <c r="DN141" s="687"/>
      <c r="DO141" s="16"/>
      <c r="DP141" s="687"/>
      <c r="DQ141" s="16"/>
      <c r="DR141" s="687"/>
      <c r="DS141" s="16"/>
      <c r="DT141" s="687"/>
      <c r="DU141" s="16"/>
      <c r="DV141" s="687"/>
      <c r="DW141" s="16"/>
      <c r="DX141" s="687"/>
      <c r="DY141" s="16"/>
      <c r="DZ141" s="687"/>
      <c r="EA141" s="16"/>
      <c r="EB141" s="687"/>
      <c r="EC141" s="16"/>
      <c r="ED141" s="687"/>
      <c r="EE141" s="16"/>
      <c r="EF141" s="687"/>
      <c r="EG141" s="16"/>
      <c r="EH141" s="687"/>
      <c r="EI141" s="16"/>
      <c r="EJ141" s="687"/>
      <c r="EK141" s="16"/>
      <c r="EL141" s="687"/>
      <c r="EM141" s="687"/>
    </row>
    <row r="142" spans="1:143" ht="12.75" hidden="1" customHeight="1" outlineLevel="1" x14ac:dyDescent="0.2">
      <c r="A142" s="701" t="str">
        <f>INPUT!B237</f>
        <v>M&amp;E Fees, Surrender Chrgs, Other</v>
      </c>
      <c r="B142" s="151">
        <f>INPUT!AY237</f>
        <v>209.89999999999998</v>
      </c>
      <c r="C142" s="687">
        <f>INPUT!AZ237</f>
        <v>1.7943743937924195</v>
      </c>
      <c r="D142" s="151">
        <f>INPUT!BA237</f>
        <v>395.59999999999997</v>
      </c>
      <c r="E142" s="687">
        <f>INPUT!BB237</f>
        <v>97.997997997997999</v>
      </c>
      <c r="F142" s="151">
        <f>INPUT!BC237</f>
        <v>393.9</v>
      </c>
      <c r="G142" s="687" t="str">
        <f>INPUT!BD237</f>
        <v>NM</v>
      </c>
      <c r="H142" s="151">
        <f>INPUT!BE237</f>
        <v>423.79999999999995</v>
      </c>
      <c r="I142" s="687">
        <f>INPUT!BF237</f>
        <v>96.203703703703681</v>
      </c>
      <c r="J142" s="151">
        <f>INPUT!BG237</f>
        <v>429.7</v>
      </c>
      <c r="K142" s="687" t="str">
        <f>INPUT!BH237</f>
        <v>NM</v>
      </c>
      <c r="L142" s="151">
        <f>INPUT!BI237</f>
        <v>376.4</v>
      </c>
      <c r="M142" s="687">
        <f>INPUT!BJ237</f>
        <v>-4.8533872598584438</v>
      </c>
      <c r="N142" s="151">
        <f>INPUT!BK237</f>
        <v>474.7</v>
      </c>
      <c r="O142" s="687">
        <f>INPUT!BL237</f>
        <v>20.512820512820507</v>
      </c>
      <c r="P142" s="151">
        <f>INPUT!BM237</f>
        <v>461.8</v>
      </c>
      <c r="Q142" s="687">
        <f>INPUT!BN237</f>
        <v>8.9664936290703388</v>
      </c>
      <c r="R142" s="151">
        <f>INPUT!BO237</f>
        <v>467.4</v>
      </c>
      <c r="S142" s="687">
        <f>INPUT!BP237</f>
        <v>8.7735629508959754</v>
      </c>
      <c r="T142" s="151">
        <f>INPUT!BQ237</f>
        <v>477.30000000000007</v>
      </c>
      <c r="U142" s="687">
        <f>INPUT!BR237</f>
        <v>26.806588735387905</v>
      </c>
      <c r="V142" s="151">
        <f>INPUT!BS237</f>
        <v>460.59999999999997</v>
      </c>
      <c r="W142" s="687">
        <f>INPUT!BT237</f>
        <v>-2.9702970297029729</v>
      </c>
      <c r="X142" s="151">
        <f>INPUT!BU237</f>
        <v>502.3</v>
      </c>
      <c r="Y142" s="687">
        <f>INPUT!BV237</f>
        <v>8.7700303161541768</v>
      </c>
      <c r="Z142" s="151">
        <f>INPUT!BW237</f>
        <v>488.00000000000006</v>
      </c>
      <c r="AA142" s="687">
        <f>INPUT!BX237</f>
        <v>4.4073598630723243</v>
      </c>
      <c r="AB142" s="151">
        <f>INPUT!BY237</f>
        <v>455.6</v>
      </c>
      <c r="AC142" s="687">
        <f>INPUT!BZ237</f>
        <v>-4.5464068719882729</v>
      </c>
      <c r="AD142" s="151">
        <f>INPUT!CA237</f>
        <v>500.3</v>
      </c>
      <c r="AE142" s="687">
        <f>INPUT!CB237</f>
        <v>8.6191923577942031</v>
      </c>
      <c r="AF142" s="151">
        <f>INPUT!CC237</f>
        <v>482.5</v>
      </c>
      <c r="AG142" s="687">
        <f>INPUT!CD237</f>
        <v>-3.9418674099144013</v>
      </c>
      <c r="AH142" s="151">
        <f>INPUT!CE237</f>
        <v>485.59999999999997</v>
      </c>
      <c r="AI142" s="687">
        <f>INPUT!CF237</f>
        <v>-0.49180327868854068</v>
      </c>
      <c r="AJ142" s="151">
        <f>INPUT!CG237</f>
        <v>483.50000000000006</v>
      </c>
      <c r="AK142" s="687">
        <f>INPUT!CH237</f>
        <v>6.1237928007023879</v>
      </c>
      <c r="AL142" s="151">
        <f>INPUT!CI237</f>
        <v>457.59999999999997</v>
      </c>
      <c r="AM142" s="687">
        <f>INPUT!CJ237</f>
        <v>-8.5348790725564783</v>
      </c>
      <c r="AN142" s="151">
        <f>INPUT!CK237</f>
        <v>537.4</v>
      </c>
      <c r="AO142" s="687">
        <f>INPUT!CL237</f>
        <v>11.378238341968917</v>
      </c>
      <c r="AP142" s="151">
        <f>INPUT!CM237</f>
        <v>459</v>
      </c>
      <c r="AQ142" s="687">
        <f>INPUT!CN237</f>
        <v>-5.4777594728171231</v>
      </c>
      <c r="AR142" s="151">
        <f>INPUT!CO237</f>
        <v>529</v>
      </c>
      <c r="AS142" s="687">
        <f>INPUT!CP237</f>
        <v>9.4105480868665872</v>
      </c>
      <c r="AT142" s="151">
        <f>INPUT!CQ237</f>
        <v>503.59999999999997</v>
      </c>
      <c r="AU142" s="687">
        <f>INPUT!CR237</f>
        <v>10.052447552447564</v>
      </c>
      <c r="AV142" s="151">
        <f>INPUT!CS237</f>
        <v>512</v>
      </c>
      <c r="AW142" s="687">
        <f>INPUT!CT237</f>
        <v>-4.7264607368812772</v>
      </c>
      <c r="AX142" s="151">
        <f>INPUT!CU237</f>
        <v>530</v>
      </c>
      <c r="AY142" s="687">
        <f>INPUT!CV237</f>
        <v>15.468409586056641</v>
      </c>
      <c r="AZ142" s="151">
        <f>INPUT!CW237</f>
        <v>515</v>
      </c>
      <c r="BA142" s="687">
        <f>INPUT!CX237</f>
        <v>-2.6465028355387554</v>
      </c>
      <c r="BB142" s="151">
        <f>INPUT!CY237</f>
        <v>615</v>
      </c>
      <c r="BC142" s="687">
        <f>INPUT!CZ237</f>
        <v>22.120730738681505</v>
      </c>
      <c r="BD142" s="151">
        <f>INPUT!DA237</f>
        <v>557</v>
      </c>
      <c r="BE142" s="687">
        <f>INPUT!DB237</f>
        <v>8.7890625</v>
      </c>
      <c r="BF142" s="151">
        <f>INPUT!DC237</f>
        <v>543</v>
      </c>
      <c r="BG142" s="687">
        <f>INPUT!DD237</f>
        <v>2.4528301886792558</v>
      </c>
      <c r="BH142" s="151">
        <f>INPUT!DE237</f>
        <v>540</v>
      </c>
      <c r="BI142" s="687">
        <f>INPUT!DF237</f>
        <v>4.8543689320388328</v>
      </c>
      <c r="BJ142" s="151">
        <f>INPUT!DG237</f>
        <v>561</v>
      </c>
      <c r="BK142" s="687">
        <f>INPUT!DH237</f>
        <v>-8.7804878048780459</v>
      </c>
      <c r="BL142" s="151">
        <f>INPUT!DI237</f>
        <v>588</v>
      </c>
      <c r="BM142" s="687">
        <f>INPUT!DJ237</f>
        <v>5.5655296229802476</v>
      </c>
      <c r="BN142" s="151">
        <f>INPUT!DK237</f>
        <v>581</v>
      </c>
      <c r="BO142" s="687">
        <f>INPUT!DL237</f>
        <v>6.9981583793738533</v>
      </c>
      <c r="BP142" s="151">
        <f>INPUT!DM237</f>
        <v>592</v>
      </c>
      <c r="BQ142" s="687">
        <f>INPUT!DN237</f>
        <v>9.6296296296296333</v>
      </c>
      <c r="BR142" s="151">
        <f>INPUT!DO237</f>
        <v>657</v>
      </c>
      <c r="BS142" s="687">
        <f>INPUT!DP237</f>
        <v>17.112299465240643</v>
      </c>
      <c r="BT142" s="151">
        <f>INPUT!DQ237</f>
        <v>1086</v>
      </c>
      <c r="BU142" s="687">
        <f>INPUT!DR237</f>
        <v>84.693877551020407</v>
      </c>
      <c r="BV142" s="151">
        <f>INPUT!DS237</f>
        <v>657</v>
      </c>
      <c r="BW142" s="687">
        <f>INPUT!DT237</f>
        <v>13.080895008605854</v>
      </c>
      <c r="BX142" s="151">
        <f>INPUT!DU237</f>
        <v>657</v>
      </c>
      <c r="BY142" s="687">
        <f>INPUT!DV237</f>
        <v>10.979729729729737</v>
      </c>
      <c r="BZ142" s="151">
        <f>INPUT!DW237</f>
        <v>899</v>
      </c>
      <c r="CA142" s="687">
        <f>INPUT!DX237</f>
        <v>899</v>
      </c>
      <c r="CB142" s="151">
        <f>INPUT!DY237</f>
        <v>546</v>
      </c>
      <c r="CC142" s="687">
        <f>INPUT!DZ237</f>
        <v>-49.723756906077341</v>
      </c>
      <c r="CD142" s="151">
        <f>INPUT!EA237</f>
        <v>695</v>
      </c>
      <c r="CE142" s="687">
        <f>INPUT!EB237</f>
        <v>5.7838660578386714</v>
      </c>
      <c r="CF142" s="151">
        <f>INPUT!EC237</f>
        <v>728</v>
      </c>
      <c r="CG142" s="687">
        <f>INPUT!ED237</f>
        <v>10.806697108066965</v>
      </c>
      <c r="CH142" s="151">
        <f>INPUT!EE237</f>
        <v>791</v>
      </c>
      <c r="CI142" s="687">
        <f>INPUT!EF237</f>
        <v>-12.013348164627368</v>
      </c>
      <c r="CJ142" s="151">
        <f>INPUT!EG237</f>
        <v>769</v>
      </c>
      <c r="CK142" s="687">
        <f>INPUT!EH237</f>
        <v>40.842490842490854</v>
      </c>
      <c r="CL142" s="151">
        <f>INPUT!EI237</f>
        <v>763</v>
      </c>
      <c r="CM142" s="687">
        <f>INPUT!EJ237</f>
        <v>9.7841726618705049</v>
      </c>
      <c r="CN142" s="151">
        <f>INPUT!EK237</f>
        <v>784</v>
      </c>
      <c r="CO142" s="687">
        <f>INPUT!EL237</f>
        <v>7.6923076923076872</v>
      </c>
      <c r="CP142" s="151">
        <f>INPUT!EM237</f>
        <v>768</v>
      </c>
      <c r="CQ142" s="687">
        <f>INPUT!EN237</f>
        <v>-2.9077117572692823</v>
      </c>
      <c r="CR142" s="151">
        <f>INPUT!EO237</f>
        <v>826</v>
      </c>
      <c r="CS142" s="687">
        <f>INPUT!EP237</f>
        <v>7.4122236671001263</v>
      </c>
      <c r="CT142" s="151">
        <f>INPUT!EQ237</f>
        <v>811.44740039622241</v>
      </c>
      <c r="CU142" s="687">
        <f>INPUT!ER237</f>
        <v>6.3495937609727937</v>
      </c>
      <c r="CV142" s="151">
        <f>INPUT!ES237</f>
        <v>816.77492011838501</v>
      </c>
      <c r="CW142" s="687">
        <f>INPUT!ET237</f>
        <v>4.1804745048960479</v>
      </c>
      <c r="CX142" s="151">
        <f>INPUT!EU237</f>
        <v>824.38565165002103</v>
      </c>
      <c r="CY142" s="687">
        <f>INPUT!EV237</f>
        <v>7.3418817252631552</v>
      </c>
      <c r="CZ142" s="151">
        <f>INPUT!EW237</f>
        <v>834.60818792653095</v>
      </c>
      <c r="DA142" s="687">
        <f>INPUT!EX237</f>
        <v>1.0421535020013195</v>
      </c>
      <c r="DB142" s="16"/>
      <c r="DC142" s="151">
        <f>INPUT!FP237</f>
        <v>803.5</v>
      </c>
      <c r="DD142" s="687">
        <f>INPUT!FQ237</f>
        <v>4.6223958333333259</v>
      </c>
      <c r="DE142" s="151">
        <f>INPUT!FR237</f>
        <v>1423.1999999999998</v>
      </c>
      <c r="DF142" s="687">
        <f>INPUT!FS237</f>
        <v>77.125077784691953</v>
      </c>
      <c r="DG142" s="151">
        <f>INPUT!FT237</f>
        <v>1742.6</v>
      </c>
      <c r="DH142" s="687">
        <f>INPUT!FU237</f>
        <v>22.44238336143902</v>
      </c>
      <c r="DI142" s="151">
        <f>INPUT!FV237</f>
        <v>1907.6</v>
      </c>
      <c r="DJ142" s="687">
        <f>INPUT!FW237</f>
        <v>9.4686101228049999</v>
      </c>
      <c r="DK142" s="151">
        <f>INPUT!FX237</f>
        <v>1926.4</v>
      </c>
      <c r="DL142" s="687">
        <f>INPUT!FY237</f>
        <v>0.98553155797862502</v>
      </c>
      <c r="DM142" s="151">
        <f>INPUT!FZ237</f>
        <v>1964.1</v>
      </c>
      <c r="DN142" s="687">
        <f>INPUT!GA237</f>
        <v>1.9570182724252483</v>
      </c>
      <c r="DO142" s="151">
        <f>INPUT!GB237</f>
        <v>2003.6</v>
      </c>
      <c r="DP142" s="687">
        <f>INPUT!GC237</f>
        <v>2.011099231200042</v>
      </c>
      <c r="DQ142" s="151">
        <f>INPUT!GD237</f>
        <v>2217</v>
      </c>
      <c r="DR142" s="687">
        <f>INPUT!GE237</f>
        <v>10.650828508684373</v>
      </c>
      <c r="DS142" s="151">
        <f>INPUT!GF237</f>
        <v>2232</v>
      </c>
      <c r="DT142" s="687">
        <f>INPUT!GG237</f>
        <v>0.67658998646820123</v>
      </c>
      <c r="DU142" s="151">
        <f>INPUT!GH237</f>
        <v>2916</v>
      </c>
      <c r="DV142" s="687">
        <f>INPUT!GI237</f>
        <v>30.645161290322577</v>
      </c>
      <c r="DW142" s="151">
        <f>INPUT!GJ237</f>
        <v>2759</v>
      </c>
      <c r="DX142" s="687">
        <f>INPUT!GK237</f>
        <v>-5.3840877914951957</v>
      </c>
      <c r="DY142" s="151">
        <f>INPUT!GL237</f>
        <v>2983</v>
      </c>
      <c r="DZ142" s="687">
        <f>INPUT!GM237</f>
        <v>8.1188836534976438</v>
      </c>
      <c r="EA142" s="151">
        <f>INPUT!GN237</f>
        <v>3141</v>
      </c>
      <c r="EB142" s="687">
        <f>INPUT!GO237</f>
        <v>5.2966811934294311</v>
      </c>
      <c r="EC142" s="151">
        <f>INPUT!GP237</f>
        <v>3287.2161600911595</v>
      </c>
      <c r="ED142" s="687">
        <f>INPUT!GQ237</f>
        <v>4.6550830974581237</v>
      </c>
      <c r="EE142" s="151">
        <f>INPUT!GR237</f>
        <v>3400.3949909892317</v>
      </c>
      <c r="EF142" s="687">
        <f>INPUT!GS237</f>
        <v>3.4429993461377206</v>
      </c>
      <c r="EG142" s="151">
        <f>INPUT!GT237</f>
        <v>3506.6724934617437</v>
      </c>
      <c r="EH142" s="687">
        <f>INPUT!GU237</f>
        <v>3.125445801271276</v>
      </c>
      <c r="EI142" s="151">
        <f>INPUT!GV237</f>
        <v>3620.538142127833</v>
      </c>
      <c r="EJ142" s="687">
        <f>INPUT!GW237</f>
        <v>3.2471138630252527</v>
      </c>
      <c r="EK142" s="151">
        <f>INPUT!GX237</f>
        <v>3742.320064411259</v>
      </c>
      <c r="EL142" s="687">
        <f>INPUT!GY237</f>
        <v>3.3636414671729842</v>
      </c>
      <c r="EM142" s="687">
        <f>INPUT!GZ237</f>
        <v>3.5653788833178934</v>
      </c>
    </row>
    <row r="143" spans="1:143" ht="12.75" hidden="1" customHeight="1" outlineLevel="1" x14ac:dyDescent="0.2">
      <c r="A143" s="716" t="str">
        <f>INPUT!B245</f>
        <v>M&amp;E, Surrender, Other/Avg Total Res (%)</v>
      </c>
      <c r="B143" s="464">
        <f>INPUT!AY245</f>
        <v>5.9297973020693551</v>
      </c>
      <c r="C143" s="687">
        <f>INPUT!AZ245</f>
        <v>-4.1835917272922796</v>
      </c>
      <c r="D143" s="464">
        <f>INPUT!BA245</f>
        <v>7.9625622704171475</v>
      </c>
      <c r="E143" s="687">
        <f>INPUT!BB245</f>
        <v>33.621000862987472</v>
      </c>
      <c r="F143" s="464">
        <f>INPUT!BC245</f>
        <v>6.1428098013606496</v>
      </c>
      <c r="G143" s="687">
        <f>INPUT!BD245</f>
        <v>15.24114255445188</v>
      </c>
      <c r="H143" s="464">
        <f>INPUT!BE245</f>
        <v>6.4813611164213327</v>
      </c>
      <c r="I143" s="687">
        <f>INPUT!BF245</f>
        <v>4.2531436521591193</v>
      </c>
      <c r="J143" s="464">
        <f>INPUT!BG245</f>
        <v>5.5338055376690276</v>
      </c>
      <c r="K143" s="687">
        <f>INPUT!BH245</f>
        <v>-6.677998323182754</v>
      </c>
      <c r="L143" s="464">
        <f>INPUT!BI245</f>
        <v>4.7724859339091843</v>
      </c>
      <c r="M143" s="687">
        <f>INPUT!BJ245</f>
        <v>-40.063439734215599</v>
      </c>
      <c r="N143" s="464">
        <f>INPUT!BK245</f>
        <v>5.925972161537981</v>
      </c>
      <c r="O143" s="687">
        <f>INPUT!BL245</f>
        <v>-3.5299422712817607</v>
      </c>
      <c r="P143" s="464">
        <f>INPUT!BM245</f>
        <v>5.6991237813155617</v>
      </c>
      <c r="Q143" s="687">
        <f>INPUT!BN245</f>
        <v>-12.069028727991649</v>
      </c>
      <c r="R143" s="464">
        <f>INPUT!BO245</f>
        <v>5.7615679748532331</v>
      </c>
      <c r="S143" s="687">
        <f>INPUT!BP245</f>
        <v>4.1158373859328634</v>
      </c>
      <c r="T143" s="464">
        <f>INPUT!BQ245</f>
        <v>5.8795269770879539</v>
      </c>
      <c r="U143" s="687">
        <f>INPUT!BR245</f>
        <v>23.19631861695153</v>
      </c>
      <c r="V143" s="464">
        <f>INPUT!BS245</f>
        <v>5.6788829639675731</v>
      </c>
      <c r="W143" s="687">
        <f>INPUT!BT245</f>
        <v>-4.169597676717407</v>
      </c>
      <c r="X143" s="464">
        <f>INPUT!BU245</f>
        <v>6.2752201886438872</v>
      </c>
      <c r="Y143" s="687">
        <f>INPUT!BV245</f>
        <v>10.108508420488139</v>
      </c>
      <c r="Z143" s="464">
        <f>INPUT!BW245</f>
        <v>6.1614216722956989</v>
      </c>
      <c r="AA143" s="687">
        <f>INPUT!BX245</f>
        <v>6.9400152734057086</v>
      </c>
      <c r="AB143" s="464">
        <f>INPUT!BY245</f>
        <v>5.705698184095179</v>
      </c>
      <c r="AC143" s="687">
        <f>INPUT!BZ245</f>
        <v>-2.9565098292800074</v>
      </c>
      <c r="AD143" s="464">
        <f>INPUT!CA245</f>
        <v>6.1318789067287662</v>
      </c>
      <c r="AE143" s="687">
        <f>INPUT!CB245</f>
        <v>7.9768494197792972</v>
      </c>
      <c r="AF143" s="464">
        <f>INPUT!CC245</f>
        <v>5.8062575210589644</v>
      </c>
      <c r="AG143" s="687">
        <f>INPUT!CD245</f>
        <v>-7.473246411872414</v>
      </c>
      <c r="AH143" s="156">
        <f>INPUT!CE245</f>
        <v>5.7722767863776161</v>
      </c>
      <c r="AI143" s="687">
        <f>INPUT!CF245</f>
        <v>-6.3158294727309272</v>
      </c>
      <c r="AJ143" s="156">
        <f>INPUT!CG245</f>
        <v>5.7360639449527682</v>
      </c>
      <c r="AK143" s="687">
        <f>INPUT!CH245</f>
        <v>0.53220061555716569</v>
      </c>
      <c r="AL143" s="156">
        <f>INPUT!CI245</f>
        <v>5.3861432754130671</v>
      </c>
      <c r="AM143" s="687">
        <f>INPUT!CJ245</f>
        <v>-12.161617061572638</v>
      </c>
      <c r="AN143" s="156">
        <f>INPUT!CK245</f>
        <v>6.1696540045635233</v>
      </c>
      <c r="AO143" s="687">
        <f>INPUT!CL245</f>
        <v>6.2587042029489837</v>
      </c>
      <c r="AP143" s="156">
        <f>INPUT!CM245</f>
        <v>5.1546247034546653</v>
      </c>
      <c r="AQ143" s="687">
        <f>INPUT!CN245</f>
        <v>-10.700319921951584</v>
      </c>
      <c r="AR143" s="156">
        <f>INPUT!CO245</f>
        <v>5.8602783355258605</v>
      </c>
      <c r="AS143" s="687">
        <f>INPUT!CP245</f>
        <v>2.165498707216984</v>
      </c>
      <c r="AT143" s="156">
        <f>INPUT!CQ245</f>
        <v>5.5709505240742274</v>
      </c>
      <c r="AU143" s="687">
        <f>INPUT!CR245</f>
        <v>3.4311610221134936</v>
      </c>
      <c r="AV143" s="156">
        <f>INPUT!CS245</f>
        <v>5.6171916784377185</v>
      </c>
      <c r="AW143" s="687">
        <f>INPUT!CT245</f>
        <v>-8.9545106697581982</v>
      </c>
      <c r="AX143" s="156">
        <f>INPUT!CU245</f>
        <v>5.6834937401142058</v>
      </c>
      <c r="AY143" s="687">
        <f>INPUT!CV245</f>
        <v>10.260088116698164</v>
      </c>
      <c r="AZ143" s="156">
        <f>INPUT!CW245</f>
        <v>5.4604975414507431</v>
      </c>
      <c r="BA143" s="687">
        <f>INPUT!CX245</f>
        <v>-6.8218738289543062</v>
      </c>
      <c r="BB143" s="156">
        <f>INPUT!CY245</f>
        <v>6.4734286804468244</v>
      </c>
      <c r="BC143" s="687">
        <f>INPUT!CZ245</f>
        <v>16.199715873846678</v>
      </c>
      <c r="BD143" s="156">
        <f>INPUT!DA245</f>
        <v>5.7717964327811098</v>
      </c>
      <c r="BE143" s="687">
        <f>INPUT!DB245</f>
        <v>2.7523496293861749</v>
      </c>
      <c r="BF143" s="156">
        <f>INPUT!DC245</f>
        <v>5.5245386679553867</v>
      </c>
      <c r="BG143" s="687">
        <f>INPUT!DD245</f>
        <v>-2.7967845031113714</v>
      </c>
      <c r="BH143" s="156">
        <f>INPUT!DE245</f>
        <v>5.4165203871809018</v>
      </c>
      <c r="BI143" s="687">
        <f>INPUT!DF245</f>
        <v>-0.80536899679946039</v>
      </c>
      <c r="BJ143" s="156">
        <f>INPUT!DG245</f>
        <v>5.5476581910777636</v>
      </c>
      <c r="BK143" s="687">
        <f>INPUT!DH245</f>
        <v>-14.301084248682262</v>
      </c>
      <c r="BL143" s="156">
        <f>INPUT!DI245</f>
        <v>5.6925720647675293</v>
      </c>
      <c r="BM143" s="687">
        <f>INPUT!DJ245</f>
        <v>-1.372611957754144</v>
      </c>
      <c r="BN143" s="156">
        <f>INPUT!DK245</f>
        <v>5.5297126881208731</v>
      </c>
      <c r="BO143" s="687">
        <f>INPUT!DL245</f>
        <v>9.3655243930101939E-2</v>
      </c>
      <c r="BP143" s="156">
        <f>INPUT!DM245</f>
        <v>5.560251714097868</v>
      </c>
      <c r="BQ143" s="687">
        <f>INPUT!DN245</f>
        <v>2.6535730809235103</v>
      </c>
      <c r="BR143" s="156">
        <f>INPUT!DO245</f>
        <v>6.104175135009581</v>
      </c>
      <c r="BS143" s="687">
        <f>INPUT!DP245</f>
        <v>10.031565117455465</v>
      </c>
      <c r="BT143" s="156">
        <f>INPUT!DQ245</f>
        <v>9.9811589540921819</v>
      </c>
      <c r="BU143" s="687">
        <f>INPUT!DR245</f>
        <v>75.336541031558951</v>
      </c>
      <c r="BV143" s="156">
        <f>INPUT!DS245</f>
        <v>5.9549301519322935</v>
      </c>
      <c r="BW143" s="687">
        <f>INPUT!DT245</f>
        <v>7.6896845784571788</v>
      </c>
      <c r="BX143" s="156">
        <f>INPUT!DU245</f>
        <v>5.9000493915854699</v>
      </c>
      <c r="BY143" s="687">
        <f>INPUT!DV245</f>
        <v>6.1111923517069178</v>
      </c>
      <c r="BZ143" s="156">
        <f>INPUT!DW245</f>
        <v>8.0698368528533919</v>
      </c>
      <c r="CA143" s="687">
        <f>INPUT!DX245</f>
        <v>-2842.7022755163089</v>
      </c>
      <c r="CB143" s="156">
        <f>INPUT!DY245</f>
        <v>4.8713573555488647</v>
      </c>
      <c r="CC143" s="687" t="str">
        <f>INPUT!DZ245</f>
        <v>NM</v>
      </c>
      <c r="CD143" s="156">
        <f>INPUT!EA245</f>
        <v>6.1293558664329577</v>
      </c>
      <c r="CE143" s="687">
        <f>INPUT!EB245</f>
        <v>2.9290975721027568</v>
      </c>
      <c r="CF143" s="156">
        <f>INPUT!EC245</f>
        <v>6.3708063051729988</v>
      </c>
      <c r="CG143" s="687">
        <f>INPUT!ED245</f>
        <v>7.9788639440699027</v>
      </c>
      <c r="CH143" s="156">
        <f>INPUT!EE245</f>
        <v>6.8274262286238336</v>
      </c>
      <c r="CI143" s="687">
        <f>INPUT!EF245</f>
        <v>-15.395734100748982</v>
      </c>
      <c r="CJ143" s="156">
        <f>INPUT!EG245</f>
        <v>6.5399498235319129</v>
      </c>
      <c r="CK143" s="687">
        <f>INPUT!EH245</f>
        <v>34.253132057380029</v>
      </c>
      <c r="CL143" s="156">
        <f>INPUT!EI245</f>
        <v>6.3985240626015489</v>
      </c>
      <c r="CM143" s="687">
        <f>INPUT!EJ245</f>
        <v>4.3914597558721402</v>
      </c>
      <c r="CN143" s="156">
        <f>INPUT!EK245</f>
        <v>6.4782011423613621</v>
      </c>
      <c r="CO143" s="687">
        <f>INPUT!EL245</f>
        <v>1.6857338309149483</v>
      </c>
      <c r="CP143" s="156">
        <f>INPUT!EM245</f>
        <v>6.253944341523991</v>
      </c>
      <c r="CQ143" s="687">
        <f>INPUT!EN245</f>
        <v>-8.3996789990279588</v>
      </c>
      <c r="CR143" s="156">
        <f>INPUT!EO245</f>
        <v>6.5991571294465423</v>
      </c>
      <c r="CS143" s="687">
        <f>INPUT!EP245</f>
        <v>0.9053174338064629</v>
      </c>
      <c r="CT143" s="156">
        <f>INPUT!EQ245</f>
        <v>6.4</v>
      </c>
      <c r="CU143" s="687">
        <f>INPUT!ER245</f>
        <v>2.306684141548665E-2</v>
      </c>
      <c r="CV143" s="156">
        <f>INPUT!ES245</f>
        <v>6.4</v>
      </c>
      <c r="CW143" s="687">
        <f>INPUT!ET245</f>
        <v>-1.2071428571428511</v>
      </c>
      <c r="CX143" s="156">
        <f>INPUT!EU245</f>
        <v>6.4</v>
      </c>
      <c r="CY143" s="687">
        <f>INPUT!EV245</f>
        <v>2.3354166666666787</v>
      </c>
      <c r="CZ143" s="156">
        <f>INPUT!EW245</f>
        <v>6.4</v>
      </c>
      <c r="DA143" s="687">
        <f>INPUT!EX245</f>
        <v>-3.0179176755448012</v>
      </c>
      <c r="DB143" s="16"/>
      <c r="DC143" s="464">
        <f>INPUT!FP245</f>
        <v>5.7184542025478606</v>
      </c>
      <c r="DD143" s="687" t="str">
        <f>INPUT!FQ245</f>
        <v>NA</v>
      </c>
      <c r="DE143" s="464">
        <f>INPUT!FR245</f>
        <v>7.0210404282084786</v>
      </c>
      <c r="DF143" s="687">
        <f>INPUT!FS245</f>
        <v>22.778642261054571</v>
      </c>
      <c r="DG143" s="464">
        <f>INPUT!FT245</f>
        <v>5.9023167592467143</v>
      </c>
      <c r="DH143" s="687">
        <f>INPUT!FU245</f>
        <v>-15.933873054868918</v>
      </c>
      <c r="DI143" s="464">
        <f>INPUT!FV245</f>
        <v>5.93242213618199</v>
      </c>
      <c r="DJ143" s="687">
        <f>INPUT!FW245</f>
        <v>0.51006034008784784</v>
      </c>
      <c r="DK143" s="156">
        <f>INPUT!FX245</f>
        <v>5.9063036546480259</v>
      </c>
      <c r="DL143" s="687">
        <f>INPUT!FY245</f>
        <v>-0.44026673986442555</v>
      </c>
      <c r="DM143" s="156">
        <f>INPUT!FZ245</f>
        <v>5.7090951370520013</v>
      </c>
      <c r="DN143" s="687">
        <f>INPUT!GA245</f>
        <v>-3.3389498597964806</v>
      </c>
      <c r="DO143" s="156">
        <f>INPUT!GB245</f>
        <v>5.5476028961831849</v>
      </c>
      <c r="DP143" s="687">
        <f>INPUT!GC245</f>
        <v>-2.8286836528740311</v>
      </c>
      <c r="DQ143" s="156">
        <f>INPUT!GD245</f>
        <v>5.8449005417803619</v>
      </c>
      <c r="DR143" s="687">
        <f>INPUT!GE245</f>
        <v>5.3590289564835469</v>
      </c>
      <c r="DS143" s="156">
        <f>INPUT!GF245</f>
        <v>5.5268045066237459</v>
      </c>
      <c r="DT143" s="687">
        <f>INPUT!GG245</f>
        <v>-5.4422831129941507</v>
      </c>
      <c r="DU143" s="156">
        <f>INPUT!GH245</f>
        <v>6.8059283463648033</v>
      </c>
      <c r="DV143" s="687">
        <f>INPUT!GI245</f>
        <v>23.144003704275363</v>
      </c>
      <c r="DW143" s="156">
        <f>INPUT!GJ245</f>
        <v>6.191929619821356</v>
      </c>
      <c r="DX143" s="687">
        <f>INPUT!GK245</f>
        <v>-9.0215279282421115</v>
      </c>
      <c r="DY143" s="156">
        <f>INPUT!GL245</f>
        <v>6.4447829233777316</v>
      </c>
      <c r="DZ143" s="687">
        <f>INPUT!GM245</f>
        <v>4.0835945994436296</v>
      </c>
      <c r="EA143" s="156">
        <f>INPUT!GN245</f>
        <v>6.4120360919446364</v>
      </c>
      <c r="EB143" s="687">
        <f>INPUT!GO245</f>
        <v>-0.50811380030054698</v>
      </c>
      <c r="EC143" s="156">
        <f>INPUT!GP245</f>
        <v>6.3688609645881247</v>
      </c>
      <c r="ED143" s="687">
        <f>INPUT!GQ245</f>
        <v>-0.67334504574533272</v>
      </c>
      <c r="EE143" s="156">
        <f>INPUT!GR245</f>
        <v>6.3688609645881247</v>
      </c>
      <c r="EF143" s="687">
        <f>INPUT!GS245</f>
        <v>0</v>
      </c>
      <c r="EG143" s="156">
        <f>INPUT!GT245</f>
        <v>6.3688609645881247</v>
      </c>
      <c r="EH143" s="687">
        <f>INPUT!GU245</f>
        <v>0</v>
      </c>
      <c r="EI143" s="156">
        <f>INPUT!GV245</f>
        <v>6.3688609645881247</v>
      </c>
      <c r="EJ143" s="687">
        <f>INPUT!GW245</f>
        <v>0</v>
      </c>
      <c r="EK143" s="156">
        <f>INPUT!GX245</f>
        <v>6.3688609645881247</v>
      </c>
      <c r="EL143" s="687">
        <f>INPUT!GY245</f>
        <v>0</v>
      </c>
      <c r="EM143" s="687">
        <f>INPUT!GZ245</f>
        <v>-0.13503319632556243</v>
      </c>
    </row>
    <row r="144" spans="1:143" ht="12.75" hidden="1" customHeight="1" outlineLevel="1" x14ac:dyDescent="0.2">
      <c r="A144" s="701"/>
      <c r="B144" s="464"/>
      <c r="C144" s="687"/>
      <c r="D144" s="464"/>
      <c r="E144" s="687"/>
      <c r="F144" s="464"/>
      <c r="G144" s="687"/>
      <c r="H144" s="464"/>
      <c r="I144" s="687"/>
      <c r="J144" s="464"/>
      <c r="K144" s="687"/>
      <c r="L144" s="464"/>
      <c r="M144" s="687"/>
      <c r="N144" s="464"/>
      <c r="O144" s="687"/>
      <c r="P144" s="464"/>
      <c r="Q144" s="687"/>
      <c r="R144" s="464"/>
      <c r="S144" s="687"/>
      <c r="T144" s="464"/>
      <c r="U144" s="687"/>
      <c r="V144" s="464"/>
      <c r="W144" s="687"/>
      <c r="X144" s="464"/>
      <c r="Y144" s="687"/>
      <c r="Z144" s="464"/>
      <c r="AA144" s="687"/>
      <c r="AB144" s="464"/>
      <c r="AC144" s="687"/>
      <c r="AD144" s="464"/>
      <c r="AE144" s="687"/>
      <c r="AF144" s="464"/>
      <c r="AG144" s="687"/>
      <c r="AH144" s="464"/>
      <c r="AI144" s="687"/>
      <c r="AJ144" s="464"/>
      <c r="AK144" s="687"/>
      <c r="AL144" s="464"/>
      <c r="AM144" s="687"/>
      <c r="AN144" s="464"/>
      <c r="AO144" s="687"/>
      <c r="AP144" s="464"/>
      <c r="AQ144" s="687"/>
      <c r="AR144" s="464"/>
      <c r="AS144" s="687"/>
      <c r="AT144" s="464"/>
      <c r="AU144" s="687"/>
      <c r="AV144" s="464"/>
      <c r="AW144" s="687"/>
      <c r="AX144" s="464"/>
      <c r="AY144" s="687"/>
      <c r="AZ144" s="464"/>
      <c r="BA144" s="687"/>
      <c r="BB144" s="464"/>
      <c r="BC144" s="687"/>
      <c r="BD144" s="464"/>
      <c r="BE144" s="687"/>
      <c r="BF144" s="464"/>
      <c r="BG144" s="687"/>
      <c r="BH144" s="464"/>
      <c r="BI144" s="687"/>
      <c r="BJ144" s="464"/>
      <c r="BK144" s="687"/>
      <c r="BL144" s="464"/>
      <c r="BM144" s="687"/>
      <c r="BN144" s="464"/>
      <c r="BO144" s="687"/>
      <c r="BP144" s="464"/>
      <c r="BQ144" s="687"/>
      <c r="BR144" s="464"/>
      <c r="BS144" s="687"/>
      <c r="BT144" s="464"/>
      <c r="BU144" s="687"/>
      <c r="BV144" s="464"/>
      <c r="BW144" s="687"/>
      <c r="BX144" s="464"/>
      <c r="BY144" s="687"/>
      <c r="BZ144" s="464"/>
      <c r="CA144" s="687"/>
      <c r="CB144" s="464"/>
      <c r="CC144" s="687"/>
      <c r="CD144" s="464"/>
      <c r="CE144" s="687"/>
      <c r="CF144" s="464"/>
      <c r="CG144" s="687"/>
      <c r="CH144" s="464"/>
      <c r="CI144" s="687"/>
      <c r="CJ144" s="464"/>
      <c r="CK144" s="687"/>
      <c r="CL144" s="464"/>
      <c r="CM144" s="687"/>
      <c r="CN144" s="464"/>
      <c r="CO144" s="687"/>
      <c r="CP144" s="464"/>
      <c r="CQ144" s="687"/>
      <c r="CR144" s="464"/>
      <c r="CS144" s="687"/>
      <c r="CT144" s="464"/>
      <c r="CU144" s="687"/>
      <c r="CV144" s="464"/>
      <c r="CW144" s="687"/>
      <c r="CX144" s="464"/>
      <c r="CY144" s="687"/>
      <c r="CZ144" s="464"/>
      <c r="DA144" s="687"/>
      <c r="DB144" s="16"/>
      <c r="DC144" s="464"/>
      <c r="DD144" s="687"/>
      <c r="DE144" s="464"/>
      <c r="DF144" s="687"/>
      <c r="DG144" s="464"/>
      <c r="DH144" s="687"/>
      <c r="DI144" s="464"/>
      <c r="DJ144" s="687"/>
      <c r="DK144" s="464"/>
      <c r="DL144" s="687"/>
      <c r="DM144" s="464"/>
      <c r="DN144" s="687"/>
      <c r="DO144" s="464"/>
      <c r="DP144" s="687"/>
      <c r="DQ144" s="464"/>
      <c r="DR144" s="687"/>
      <c r="DS144" s="464"/>
      <c r="DT144" s="687"/>
      <c r="DU144" s="464"/>
      <c r="DV144" s="687"/>
      <c r="DW144" s="464"/>
      <c r="DX144" s="687"/>
      <c r="DY144" s="464"/>
      <c r="DZ144" s="687"/>
      <c r="EA144" s="464"/>
      <c r="EB144" s="687"/>
      <c r="EC144" s="464"/>
      <c r="ED144" s="687"/>
      <c r="EE144" s="464"/>
      <c r="EF144" s="687"/>
      <c r="EG144" s="464"/>
      <c r="EH144" s="687"/>
      <c r="EI144" s="464"/>
      <c r="EJ144" s="687"/>
      <c r="EK144" s="464"/>
      <c r="EL144" s="687"/>
      <c r="EM144" s="687"/>
    </row>
    <row r="145" spans="1:152" ht="12.75" hidden="1" customHeight="1" outlineLevel="1" x14ac:dyDescent="0.2">
      <c r="A145" s="700" t="s">
        <v>431</v>
      </c>
      <c r="B145" s="16"/>
      <c r="C145" s="687"/>
      <c r="D145" s="16"/>
      <c r="E145" s="687"/>
      <c r="F145" s="16"/>
      <c r="G145" s="687"/>
      <c r="H145" s="16"/>
      <c r="I145" s="687"/>
      <c r="J145" s="16"/>
      <c r="K145" s="687"/>
      <c r="L145" s="16"/>
      <c r="M145" s="687"/>
      <c r="N145" s="16"/>
      <c r="O145" s="687"/>
      <c r="P145" s="16"/>
      <c r="Q145" s="687"/>
      <c r="R145" s="16"/>
      <c r="S145" s="687"/>
      <c r="T145" s="16"/>
      <c r="U145" s="687"/>
      <c r="V145" s="16"/>
      <c r="W145" s="687"/>
      <c r="X145" s="16"/>
      <c r="Y145" s="687"/>
      <c r="Z145" s="16"/>
      <c r="AA145" s="687"/>
      <c r="AB145" s="16"/>
      <c r="AC145" s="687"/>
      <c r="AD145" s="16"/>
      <c r="AE145" s="687"/>
      <c r="AF145" s="16"/>
      <c r="AG145" s="687"/>
      <c r="AH145" s="16"/>
      <c r="AI145" s="687"/>
      <c r="AJ145" s="16"/>
      <c r="AK145" s="687"/>
      <c r="AL145" s="16"/>
      <c r="AM145" s="687"/>
      <c r="AN145" s="16"/>
      <c r="AO145" s="687"/>
      <c r="AP145" s="16"/>
      <c r="AQ145" s="687"/>
      <c r="AR145" s="16"/>
      <c r="AS145" s="687"/>
      <c r="AT145" s="16"/>
      <c r="AU145" s="687"/>
      <c r="AV145" s="16"/>
      <c r="AW145" s="687"/>
      <c r="AX145" s="16"/>
      <c r="AY145" s="687"/>
      <c r="AZ145" s="16"/>
      <c r="BA145" s="687"/>
      <c r="BB145" s="16"/>
      <c r="BC145" s="687"/>
      <c r="BD145" s="16"/>
      <c r="BE145" s="687"/>
      <c r="BF145" s="16"/>
      <c r="BG145" s="687"/>
      <c r="BH145" s="16"/>
      <c r="BI145" s="687"/>
      <c r="BJ145" s="16"/>
      <c r="BK145" s="687"/>
      <c r="BL145" s="16"/>
      <c r="BM145" s="687"/>
      <c r="BN145" s="16"/>
      <c r="BO145" s="687"/>
      <c r="BP145" s="16"/>
      <c r="BQ145" s="687"/>
      <c r="BR145" s="16"/>
      <c r="BS145" s="687"/>
      <c r="BT145" s="16"/>
      <c r="BU145" s="687"/>
      <c r="BV145" s="16"/>
      <c r="BW145" s="687"/>
      <c r="BX145" s="16"/>
      <c r="BY145" s="687"/>
      <c r="BZ145" s="16"/>
      <c r="CA145" s="687"/>
      <c r="CB145" s="16"/>
      <c r="CC145" s="687"/>
      <c r="CD145" s="16"/>
      <c r="CE145" s="687"/>
      <c r="CF145" s="16"/>
      <c r="CG145" s="687"/>
      <c r="CH145" s="16"/>
      <c r="CI145" s="687"/>
      <c r="CJ145" s="16"/>
      <c r="CK145" s="687"/>
      <c r="CL145" s="16"/>
      <c r="CM145" s="687"/>
      <c r="CN145" s="16"/>
      <c r="CO145" s="687"/>
      <c r="CP145" s="16"/>
      <c r="CQ145" s="687"/>
      <c r="CR145" s="16"/>
      <c r="CS145" s="687"/>
      <c r="CT145" s="16"/>
      <c r="CU145" s="687"/>
      <c r="CV145" s="16"/>
      <c r="CW145" s="687"/>
      <c r="CX145" s="16"/>
      <c r="CY145" s="687"/>
      <c r="CZ145" s="16"/>
      <c r="DA145" s="687"/>
      <c r="DB145" s="16"/>
      <c r="DC145" s="16"/>
      <c r="DD145" s="687"/>
      <c r="DE145" s="16"/>
      <c r="DF145" s="687"/>
      <c r="DG145" s="16"/>
      <c r="DH145" s="687"/>
      <c r="DI145" s="16"/>
      <c r="DJ145" s="687"/>
      <c r="DK145" s="16"/>
      <c r="DL145" s="687"/>
      <c r="DM145" s="16"/>
      <c r="DN145" s="687"/>
      <c r="DO145" s="16"/>
      <c r="DP145" s="687"/>
      <c r="DQ145" s="16"/>
      <c r="DR145" s="687"/>
      <c r="DS145" s="16"/>
      <c r="DT145" s="687"/>
      <c r="DU145" s="16"/>
      <c r="DV145" s="687"/>
      <c r="DW145" s="16"/>
      <c r="DX145" s="687"/>
      <c r="DY145" s="16"/>
      <c r="DZ145" s="687"/>
      <c r="EA145" s="16"/>
      <c r="EB145" s="687"/>
      <c r="EC145" s="16"/>
      <c r="ED145" s="687"/>
      <c r="EE145" s="16"/>
      <c r="EF145" s="687"/>
      <c r="EG145" s="16"/>
      <c r="EH145" s="687"/>
      <c r="EI145" s="16"/>
      <c r="EJ145" s="687"/>
      <c r="EK145" s="16"/>
      <c r="EL145" s="687"/>
      <c r="EM145" s="687"/>
    </row>
    <row r="146" spans="1:152" ht="12.75" hidden="1" customHeight="1" outlineLevel="1" x14ac:dyDescent="0.2">
      <c r="A146" s="701" t="str">
        <f>INPUT!B251</f>
        <v>Net Investment Income (%)</v>
      </c>
      <c r="B146" s="156">
        <f>INPUT!AY251</f>
        <v>6.48</v>
      </c>
      <c r="C146" s="687">
        <f>INPUT!AZ251</f>
        <v>2.5316455696202445</v>
      </c>
      <c r="D146" s="156">
        <f>INPUT!BA251</f>
        <v>6.22</v>
      </c>
      <c r="E146" s="687">
        <f>INPUT!BB251</f>
        <v>-2.0472440944881876</v>
      </c>
      <c r="F146" s="156">
        <f>INPUT!BC251</f>
        <v>6.0839999999999996</v>
      </c>
      <c r="G146" s="687">
        <f>INPUT!BD251</f>
        <v>-4.1889763779527573</v>
      </c>
      <c r="H146" s="156">
        <f>INPUT!BE251</f>
        <v>6.44</v>
      </c>
      <c r="I146" s="687">
        <f>INPUT!BF251</f>
        <v>2.8753993610223683</v>
      </c>
      <c r="J146" s="156">
        <f>INPUT!BG251</f>
        <v>6.48</v>
      </c>
      <c r="K146" s="687">
        <f>INPUT!BH251</f>
        <v>0</v>
      </c>
      <c r="L146" s="156">
        <f>INPUT!BI251</f>
        <v>6.99</v>
      </c>
      <c r="M146" s="687">
        <f>INPUT!BJ251</f>
        <v>12.37942122186495</v>
      </c>
      <c r="N146" s="156">
        <f>INPUT!BK251</f>
        <v>6.08</v>
      </c>
      <c r="O146" s="687">
        <f>INPUT!BL251</f>
        <v>-6.5746219592366373E-2</v>
      </c>
      <c r="P146" s="156">
        <f>INPUT!BM251</f>
        <v>6.26</v>
      </c>
      <c r="Q146" s="687">
        <f>INPUT!BN251</f>
        <v>-2.7950310559006319</v>
      </c>
      <c r="R146" s="156">
        <f>INPUT!BO251</f>
        <v>6.04</v>
      </c>
      <c r="S146" s="687">
        <f>INPUT!BP251</f>
        <v>-6.7901234567901314</v>
      </c>
      <c r="T146" s="156">
        <f>INPUT!BQ251</f>
        <v>6.24</v>
      </c>
      <c r="U146" s="687">
        <f>INPUT!BR251</f>
        <v>-10.729613733905573</v>
      </c>
      <c r="V146" s="156">
        <f>INPUT!BS251</f>
        <v>6.25</v>
      </c>
      <c r="W146" s="687">
        <f>INPUT!BT251</f>
        <v>2.796052631578938</v>
      </c>
      <c r="X146" s="156">
        <f>INPUT!BU251</f>
        <v>5.22</v>
      </c>
      <c r="Y146" s="687">
        <f>INPUT!BV251</f>
        <v>-16.613418530351442</v>
      </c>
      <c r="Z146" s="156">
        <f>INPUT!BW251</f>
        <v>5.77</v>
      </c>
      <c r="AA146" s="687">
        <f>INPUT!BX251</f>
        <v>-4.4701986754966949</v>
      </c>
      <c r="AB146" s="156">
        <f>INPUT!BY251</f>
        <v>5.38</v>
      </c>
      <c r="AC146" s="687">
        <f>INPUT!BZ251</f>
        <v>-13.782051282051288</v>
      </c>
      <c r="AD146" s="156">
        <f>INPUT!CA251</f>
        <v>5.72</v>
      </c>
      <c r="AE146" s="687">
        <f>INPUT!CB251</f>
        <v>-8.4799999999999986</v>
      </c>
      <c r="AF146" s="156">
        <f>INPUT!CC251</f>
        <v>6</v>
      </c>
      <c r="AG146" s="687">
        <f>INPUT!CD251</f>
        <v>14.942528735632198</v>
      </c>
      <c r="AH146" s="156">
        <f>INPUT!CE251</f>
        <v>6.05</v>
      </c>
      <c r="AI146" s="687">
        <f>INPUT!CF251</f>
        <v>4.8526863084922045</v>
      </c>
      <c r="AJ146" s="156">
        <f>INPUT!CG251</f>
        <v>6.17</v>
      </c>
      <c r="AK146" s="687">
        <f>INPUT!CH251</f>
        <v>14.684014869888484</v>
      </c>
      <c r="AL146" s="156">
        <f>INPUT!CI251</f>
        <v>6.07</v>
      </c>
      <c r="AM146" s="687">
        <f>INPUT!CJ251</f>
        <v>6.1188811188811254</v>
      </c>
      <c r="AN146" s="156">
        <f>INPUT!CK251</f>
        <v>6.23</v>
      </c>
      <c r="AO146" s="687">
        <f>INPUT!CL251</f>
        <v>3.833333333333333</v>
      </c>
      <c r="AP146" s="156">
        <f>INPUT!CM251</f>
        <v>6.27</v>
      </c>
      <c r="AQ146" s="687">
        <f>INPUT!CN251</f>
        <v>3.6363636363636376</v>
      </c>
      <c r="AR146" s="156">
        <f>INPUT!CO251</f>
        <v>6.25</v>
      </c>
      <c r="AS146" s="687">
        <f>INPUT!CP251</f>
        <v>1.296596434359798</v>
      </c>
      <c r="AT146" s="156">
        <f>INPUT!CQ251</f>
        <v>5.96</v>
      </c>
      <c r="AU146" s="687">
        <f>INPUT!CR251</f>
        <v>-1.8121911037891292</v>
      </c>
      <c r="AV146" s="156">
        <f>INPUT!CS251</f>
        <v>5.74</v>
      </c>
      <c r="AW146" s="687">
        <f>INPUT!CT251</f>
        <v>-7.8651685393258504</v>
      </c>
      <c r="AX146" s="156">
        <f>INPUT!CU251</f>
        <v>5.96</v>
      </c>
      <c r="AY146" s="687">
        <f>INPUT!CV251</f>
        <v>-4.9441786283891513</v>
      </c>
      <c r="AZ146" s="156">
        <f>INPUT!CW251</f>
        <v>6.02</v>
      </c>
      <c r="BA146" s="687">
        <f>INPUT!CX251</f>
        <v>-3.6800000000000055</v>
      </c>
      <c r="BB146" s="156">
        <f>INPUT!CY251</f>
        <v>5.7</v>
      </c>
      <c r="BC146" s="687">
        <f>INPUT!CZ251</f>
        <v>-4.3624161073825496</v>
      </c>
      <c r="BD146" s="156">
        <f>INPUT!DA251</f>
        <v>6.07</v>
      </c>
      <c r="BE146" s="687">
        <f>INPUT!DB251</f>
        <v>5.7491289198606355</v>
      </c>
      <c r="BF146" s="156">
        <f>INPUT!DC251</f>
        <v>5.63</v>
      </c>
      <c r="BG146" s="687">
        <f>INPUT!DD251</f>
        <v>-5.5369127516778587</v>
      </c>
      <c r="BH146" s="156">
        <f>INPUT!DE251</f>
        <v>5.9</v>
      </c>
      <c r="BI146" s="687">
        <f>INPUT!DF251</f>
        <v>-1.9933554817275656</v>
      </c>
      <c r="BJ146" s="156">
        <f>INPUT!DG251</f>
        <v>5.76</v>
      </c>
      <c r="BK146" s="687">
        <f>INPUT!DH251</f>
        <v>1.0526315789473717</v>
      </c>
      <c r="BL146" s="156">
        <f>INPUT!DI251</f>
        <v>5.77</v>
      </c>
      <c r="BM146" s="687">
        <f>INPUT!DJ251</f>
        <v>-4.9423393739703609</v>
      </c>
      <c r="BN146" s="156">
        <f>INPUT!DK251</f>
        <v>5.68</v>
      </c>
      <c r="BO146" s="687">
        <f>INPUT!DL251</f>
        <v>0.88809946714032417</v>
      </c>
      <c r="BP146" s="156">
        <f>INPUT!DM251</f>
        <v>5.72</v>
      </c>
      <c r="BQ146" s="687">
        <f>INPUT!DN251</f>
        <v>-3.0508474576271261</v>
      </c>
      <c r="BR146" s="156">
        <f>INPUT!DO251</f>
        <v>5.74</v>
      </c>
      <c r="BS146" s="687">
        <f>INPUT!DP251</f>
        <v>-0.34722222222220989</v>
      </c>
      <c r="BT146" s="156">
        <f>INPUT!DQ251</f>
        <v>5.72</v>
      </c>
      <c r="BU146" s="687">
        <f>INPUT!DR251</f>
        <v>-0.86655112651645716</v>
      </c>
      <c r="BV146" s="156">
        <f>INPUT!DS251</f>
        <v>5.55</v>
      </c>
      <c r="BW146" s="687">
        <f>INPUT!DT251</f>
        <v>-2.2887323943661997</v>
      </c>
      <c r="BX146" s="156">
        <f>INPUT!DU251</f>
        <v>5.5</v>
      </c>
      <c r="BY146" s="687">
        <f>INPUT!DV251</f>
        <v>-3.8461538461538436</v>
      </c>
      <c r="BZ146" s="156">
        <f>INPUT!DW251</f>
        <v>5.75</v>
      </c>
      <c r="CA146" s="687">
        <f>INPUT!DX251</f>
        <v>5.8</v>
      </c>
      <c r="CB146" s="156">
        <f>INPUT!DY251</f>
        <v>5.41</v>
      </c>
      <c r="CC146" s="687">
        <f>INPUT!DZ251</f>
        <v>-5.4195804195804165</v>
      </c>
      <c r="CD146" s="156">
        <f>INPUT!EA251</f>
        <v>5.24</v>
      </c>
      <c r="CE146" s="687">
        <f>INPUT!EB251</f>
        <v>-5.5855855855855836</v>
      </c>
      <c r="CF146" s="156">
        <f>INPUT!EC251</f>
        <v>5.39</v>
      </c>
      <c r="CG146" s="687">
        <f>INPUT!ED251</f>
        <v>-2.0000000000000018</v>
      </c>
      <c r="CH146" s="156">
        <f>INPUT!EE251</f>
        <v>5.64</v>
      </c>
      <c r="CI146" s="687">
        <f>INPUT!EF251</f>
        <v>-1.9130434782608785</v>
      </c>
      <c r="CJ146" s="156">
        <f>INPUT!EG251</f>
        <v>5.48</v>
      </c>
      <c r="CK146" s="687">
        <f>INPUT!EH251</f>
        <v>1.2939001848428777</v>
      </c>
      <c r="CL146" s="156">
        <f>INPUT!EI251</f>
        <v>5.45</v>
      </c>
      <c r="CM146" s="687">
        <f>INPUT!EJ251</f>
        <v>4.0076335877862634</v>
      </c>
      <c r="CN146" s="156">
        <f>INPUT!EK251</f>
        <v>5.49</v>
      </c>
      <c r="CO146" s="687">
        <f>INPUT!EL251</f>
        <v>1.855287569573294</v>
      </c>
      <c r="CP146" s="156">
        <f>INPUT!EM251</f>
        <v>5.33</v>
      </c>
      <c r="CQ146" s="687">
        <f>INPUT!EN251</f>
        <v>-5.4964539007092084</v>
      </c>
      <c r="CR146" s="156">
        <f>INPUT!EO251</f>
        <v>5.33</v>
      </c>
      <c r="CS146" s="687">
        <f>INPUT!EP251</f>
        <v>-2.7372262773722733</v>
      </c>
      <c r="CT146" s="156">
        <f>INPUT!EQ251</f>
        <v>0</v>
      </c>
      <c r="CU146" s="687" t="str">
        <f>INPUT!ER251</f>
        <v>NM</v>
      </c>
      <c r="CV146" s="156">
        <f>INPUT!ES251</f>
        <v>0</v>
      </c>
      <c r="CW146" s="687" t="str">
        <f>INPUT!ET251</f>
        <v>NM</v>
      </c>
      <c r="CX146" s="156">
        <f>INPUT!EU251</f>
        <v>0</v>
      </c>
      <c r="CY146" s="687" t="str">
        <f>INPUT!EV251</f>
        <v>NM</v>
      </c>
      <c r="CZ146" s="156">
        <f>INPUT!EW251</f>
        <v>0</v>
      </c>
      <c r="DA146" s="687" t="str">
        <f>INPUT!EX251</f>
        <v>NM</v>
      </c>
      <c r="DB146" s="16"/>
      <c r="DC146" s="156">
        <f>INPUT!FP251</f>
        <v>6.32</v>
      </c>
      <c r="DD146" s="687">
        <f>INPUT!FQ251</f>
        <v>-0.3154574132492094</v>
      </c>
      <c r="DE146" s="156">
        <f>INPUT!FR251</f>
        <v>6.306</v>
      </c>
      <c r="DF146" s="687">
        <f>INPUT!FS251</f>
        <v>-0.22151898734177333</v>
      </c>
      <c r="DG146" s="156">
        <f>INPUT!FT251</f>
        <v>6.4525000000000006</v>
      </c>
      <c r="DH146" s="687">
        <f>INPUT!FU251</f>
        <v>2.323184268950218</v>
      </c>
      <c r="DI146" s="156">
        <f>INPUT!FV251</f>
        <v>5.9375</v>
      </c>
      <c r="DJ146" s="687">
        <f>INPUT!FW251</f>
        <v>-7.9814025571483977</v>
      </c>
      <c r="DK146" s="156">
        <f>INPUT!FX251</f>
        <v>5.7174999999999994</v>
      </c>
      <c r="DL146" s="687">
        <f>INPUT!FY251</f>
        <v>-3.7052631578947448</v>
      </c>
      <c r="DM146" s="156">
        <f>INPUT!FZ251</f>
        <v>6.13</v>
      </c>
      <c r="DN146" s="687">
        <f>INPUT!GA251</f>
        <v>7.2146917358985707</v>
      </c>
      <c r="DO146" s="156">
        <f>INPUT!GB251</f>
        <v>6.0549999999999997</v>
      </c>
      <c r="DP146" s="687">
        <f>INPUT!GC251</f>
        <v>-1.2234910277324706</v>
      </c>
      <c r="DQ146" s="156">
        <f>INPUT!GD251</f>
        <v>0</v>
      </c>
      <c r="DR146" s="687">
        <f>INPUT!GE251</f>
        <v>0</v>
      </c>
      <c r="DS146" s="156">
        <f>INPUT!GF251</f>
        <v>0</v>
      </c>
      <c r="DT146" s="687">
        <f>INPUT!GG251</f>
        <v>0</v>
      </c>
      <c r="DU146" s="156">
        <f>INPUT!GH251</f>
        <v>0</v>
      </c>
      <c r="DV146" s="687">
        <f>INPUT!GI251</f>
        <v>0</v>
      </c>
      <c r="DW146" s="156">
        <f>INPUT!GJ251</f>
        <v>0</v>
      </c>
      <c r="DX146" s="687">
        <f>INPUT!GK251</f>
        <v>0</v>
      </c>
      <c r="DY146" s="156">
        <f>INPUT!GL251</f>
        <v>0</v>
      </c>
      <c r="DZ146" s="687">
        <f>INPUT!GM251</f>
        <v>0</v>
      </c>
      <c r="EA146" s="156">
        <f>INPUT!GN251</f>
        <v>0</v>
      </c>
      <c r="EB146" s="687">
        <f>INPUT!GO251</f>
        <v>0</v>
      </c>
      <c r="EC146" s="156">
        <f>INPUT!GP251</f>
        <v>0</v>
      </c>
      <c r="ED146" s="687">
        <f>INPUT!GQ251</f>
        <v>0</v>
      </c>
      <c r="EE146" s="156">
        <f>INPUT!GR251</f>
        <v>0</v>
      </c>
      <c r="EF146" s="687">
        <f>INPUT!GS251</f>
        <v>0</v>
      </c>
      <c r="EG146" s="156">
        <f>INPUT!GT251</f>
        <v>0</v>
      </c>
      <c r="EH146" s="687">
        <f>INPUT!GU251</f>
        <v>0</v>
      </c>
      <c r="EI146" s="156">
        <f>INPUT!GV251</f>
        <v>0</v>
      </c>
      <c r="EJ146" s="687">
        <f>INPUT!GW251</f>
        <v>0</v>
      </c>
      <c r="EK146" s="156">
        <f>INPUT!GX251</f>
        <v>0</v>
      </c>
      <c r="EL146" s="687">
        <f>INPUT!GY251</f>
        <v>0</v>
      </c>
      <c r="EM146" s="687">
        <f>INPUT!GZ251</f>
        <v>0</v>
      </c>
    </row>
    <row r="147" spans="1:152" ht="12.75" hidden="1" customHeight="1" outlineLevel="1" x14ac:dyDescent="0.2">
      <c r="A147" s="701" t="str">
        <f>INPUT!B252</f>
        <v>Interest Credited to Policyholders (%)</v>
      </c>
      <c r="B147" s="156">
        <f>INPUT!AY252</f>
        <v>4.5999999999999996</v>
      </c>
      <c r="C147" s="687">
        <f>INPUT!AZ252</f>
        <v>-3.1578947368421151</v>
      </c>
      <c r="D147" s="156">
        <f>INPUT!BA252</f>
        <v>4.46</v>
      </c>
      <c r="E147" s="687">
        <f>INPUT!BB252</f>
        <v>-4.0860215053763476</v>
      </c>
      <c r="F147" s="156">
        <f>INPUT!BC252</f>
        <v>4.516</v>
      </c>
      <c r="G147" s="687">
        <f>INPUT!BD252</f>
        <v>-3.9148936170212756</v>
      </c>
      <c r="H147" s="156">
        <f>INPUT!BE252</f>
        <v>4.5199999999999996</v>
      </c>
      <c r="I147" s="687">
        <f>INPUT!BF252</f>
        <v>-3.0042918454935785</v>
      </c>
      <c r="J147" s="156">
        <f>INPUT!BG252</f>
        <v>4.46</v>
      </c>
      <c r="K147" s="687">
        <f>INPUT!BH252</f>
        <v>-3.0434782608695587</v>
      </c>
      <c r="L147" s="156">
        <f>INPUT!BI252</f>
        <v>4.45</v>
      </c>
      <c r="M147" s="687">
        <f>INPUT!BJ252</f>
        <v>-0.22421524663677195</v>
      </c>
      <c r="N147" s="156">
        <f>INPUT!BK252</f>
        <v>4.43</v>
      </c>
      <c r="O147" s="687">
        <f>INPUT!BL252</f>
        <v>-1.9043401240035451</v>
      </c>
      <c r="P147" s="156">
        <f>INPUT!BM252</f>
        <v>4.43</v>
      </c>
      <c r="Q147" s="687">
        <f>INPUT!BN252</f>
        <v>-1.9911504424778736</v>
      </c>
      <c r="R147" s="156">
        <f>INPUT!BO252</f>
        <v>4.37</v>
      </c>
      <c r="S147" s="687">
        <f>INPUT!BP252</f>
        <v>-2.0179372197309364</v>
      </c>
      <c r="T147" s="156">
        <f>INPUT!BQ252</f>
        <v>4.3600000000000003</v>
      </c>
      <c r="U147" s="687">
        <f>INPUT!BR252</f>
        <v>-2.0224719101123556</v>
      </c>
      <c r="V147" s="156">
        <f>INPUT!BS252</f>
        <v>4.3499999999999996</v>
      </c>
      <c r="W147" s="687">
        <f>INPUT!BT252</f>
        <v>-1.8058690744921058</v>
      </c>
      <c r="X147" s="156">
        <f>INPUT!BU252</f>
        <v>4.25</v>
      </c>
      <c r="Y147" s="687">
        <f>INPUT!BV252</f>
        <v>-4.0632054176072181</v>
      </c>
      <c r="Z147" s="156">
        <f>INPUT!BW252</f>
        <v>4.25</v>
      </c>
      <c r="AA147" s="687">
        <f>INPUT!BX252</f>
        <v>-2.7459954233409634</v>
      </c>
      <c r="AB147" s="156">
        <f>INPUT!BY252</f>
        <v>4.2</v>
      </c>
      <c r="AC147" s="687">
        <f>INPUT!BZ252</f>
        <v>-3.669724770642202</v>
      </c>
      <c r="AD147" s="156">
        <f>INPUT!CA252</f>
        <v>4.22</v>
      </c>
      <c r="AE147" s="687">
        <f>INPUT!CB252</f>
        <v>-2.9885057471264354</v>
      </c>
      <c r="AF147" s="156">
        <f>INPUT!CC252</f>
        <v>4.25</v>
      </c>
      <c r="AG147" s="687">
        <f>INPUT!CD252</f>
        <v>0</v>
      </c>
      <c r="AH147" s="156">
        <f>INPUT!CE252</f>
        <v>4.18</v>
      </c>
      <c r="AI147" s="687">
        <f>INPUT!CF252</f>
        <v>-1.6470588235294237</v>
      </c>
      <c r="AJ147" s="156">
        <f>INPUT!CG252</f>
        <v>4.18</v>
      </c>
      <c r="AK147" s="687">
        <f>INPUT!CH252</f>
        <v>-0.4761904761904856</v>
      </c>
      <c r="AL147" s="156">
        <f>INPUT!CI252</f>
        <v>4.1500000000000004</v>
      </c>
      <c r="AM147" s="687">
        <f>INPUT!CJ252</f>
        <v>-1.6587677725118377</v>
      </c>
      <c r="AN147" s="156">
        <f>INPUT!CK252</f>
        <v>4.1399999999999997</v>
      </c>
      <c r="AO147" s="687">
        <f>INPUT!CL252</f>
        <v>-2.5882352941176578</v>
      </c>
      <c r="AP147" s="156">
        <f>INPUT!CM252</f>
        <v>4.09</v>
      </c>
      <c r="AQ147" s="687">
        <f>INPUT!CN252</f>
        <v>-2.1531100478468845</v>
      </c>
      <c r="AR147" s="156">
        <f>INPUT!CO252</f>
        <v>4.09</v>
      </c>
      <c r="AS147" s="687">
        <f>INPUT!CP252</f>
        <v>-2.1531100478468845</v>
      </c>
      <c r="AT147" s="156">
        <f>INPUT!CQ252</f>
        <v>4.0999999999999996</v>
      </c>
      <c r="AU147" s="687">
        <f>INPUT!CR252</f>
        <v>-1.2048192771084487</v>
      </c>
      <c r="AV147" s="156">
        <f>INPUT!CS252</f>
        <v>3.99</v>
      </c>
      <c r="AW147" s="687">
        <f>INPUT!CT252</f>
        <v>-3.6231884057970842</v>
      </c>
      <c r="AX147" s="156">
        <f>INPUT!CU252</f>
        <v>3.97</v>
      </c>
      <c r="AY147" s="687">
        <f>INPUT!CV252</f>
        <v>-2.9339853300733409</v>
      </c>
      <c r="AZ147" s="156">
        <f>INPUT!CW252</f>
        <v>3.93</v>
      </c>
      <c r="BA147" s="687">
        <f>INPUT!CX252</f>
        <v>-3.9119804400977953</v>
      </c>
      <c r="BB147" s="156">
        <f>INPUT!CY252</f>
        <v>3.94</v>
      </c>
      <c r="BC147" s="687">
        <f>INPUT!CZ252</f>
        <v>-3.9024390243902363</v>
      </c>
      <c r="BD147" s="156">
        <f>INPUT!DA252</f>
        <v>3.99</v>
      </c>
      <c r="BE147" s="687">
        <f>INPUT!DB252</f>
        <v>0</v>
      </c>
      <c r="BF147" s="156">
        <f>INPUT!DC252</f>
        <v>3.92</v>
      </c>
      <c r="BG147" s="687">
        <f>INPUT!DD252</f>
        <v>-1.2594458438287215</v>
      </c>
      <c r="BH147" s="156">
        <f>INPUT!DE252</f>
        <v>3.92</v>
      </c>
      <c r="BI147" s="687">
        <f>INPUT!DF252</f>
        <v>-0.25445292620865922</v>
      </c>
      <c r="BJ147" s="156">
        <f>INPUT!DG252</f>
        <v>3.93</v>
      </c>
      <c r="BK147" s="687">
        <f>INPUT!DH252</f>
        <v>-0.25380710659897998</v>
      </c>
      <c r="BL147" s="156">
        <f>INPUT!DI252</f>
        <v>3.96</v>
      </c>
      <c r="BM147" s="687">
        <f>INPUT!DJ252</f>
        <v>-0.75187969924812581</v>
      </c>
      <c r="BN147" s="156">
        <f>INPUT!DK252</f>
        <v>3.94</v>
      </c>
      <c r="BO147" s="687">
        <f>INPUT!DL252</f>
        <v>0.51020408163264808</v>
      </c>
      <c r="BP147" s="156">
        <f>INPUT!DM252</f>
        <v>3.96</v>
      </c>
      <c r="BQ147" s="687">
        <f>INPUT!DN252</f>
        <v>1.0204081632652962</v>
      </c>
      <c r="BR147" s="156">
        <f>INPUT!DO252</f>
        <v>3.94</v>
      </c>
      <c r="BS147" s="687">
        <f>INPUT!DP252</f>
        <v>0.25445292620864812</v>
      </c>
      <c r="BT147" s="156">
        <f>INPUT!DQ252</f>
        <v>3.96</v>
      </c>
      <c r="BU147" s="687">
        <f>INPUT!DR252</f>
        <v>0</v>
      </c>
      <c r="BV147" s="156">
        <f>INPUT!DS252</f>
        <v>3.88</v>
      </c>
      <c r="BW147" s="687">
        <f>INPUT!DT252</f>
        <v>-1.5228426395939132</v>
      </c>
      <c r="BX147" s="156">
        <f>INPUT!DU252</f>
        <v>3.97</v>
      </c>
      <c r="BY147" s="687">
        <f>INPUT!DV252</f>
        <v>0.2525252525252597</v>
      </c>
      <c r="BZ147" s="156">
        <f>INPUT!DW252</f>
        <v>3.92</v>
      </c>
      <c r="CA147" s="687">
        <f>INPUT!DX252</f>
        <v>3.92</v>
      </c>
      <c r="CB147" s="156">
        <f>INPUT!DY252</f>
        <v>3.97</v>
      </c>
      <c r="CC147" s="687">
        <f>INPUT!DZ252</f>
        <v>0.2525252525252597</v>
      </c>
      <c r="CD147" s="156">
        <f>INPUT!EA252</f>
        <v>3.92</v>
      </c>
      <c r="CE147" s="687">
        <f>INPUT!EB252</f>
        <v>1.0309278350515427</v>
      </c>
      <c r="CF147" s="156">
        <f>INPUT!EC252</f>
        <v>3.92</v>
      </c>
      <c r="CG147" s="687">
        <f>INPUT!ED252</f>
        <v>-1.2594458438287215</v>
      </c>
      <c r="CH147" s="156">
        <f>INPUT!EE252</f>
        <v>3.89</v>
      </c>
      <c r="CI147" s="687">
        <f>INPUT!EF252</f>
        <v>-0.76530612244897211</v>
      </c>
      <c r="CJ147" s="156">
        <f>INPUT!EG252</f>
        <v>3.85</v>
      </c>
      <c r="CK147" s="687">
        <f>INPUT!EH252</f>
        <v>-3.0226700251889227</v>
      </c>
      <c r="CL147" s="156">
        <f>INPUT!EI252</f>
        <v>3.85</v>
      </c>
      <c r="CM147" s="687">
        <f>INPUT!EJ252</f>
        <v>-1.7857142857142794</v>
      </c>
      <c r="CN147" s="156">
        <f>INPUT!EK252</f>
        <v>3.82</v>
      </c>
      <c r="CO147" s="687">
        <f>INPUT!EL252</f>
        <v>-2.5510204081632626</v>
      </c>
      <c r="CP147" s="156">
        <f>INPUT!EM252</f>
        <v>3.83</v>
      </c>
      <c r="CQ147" s="687">
        <f>INPUT!EN252</f>
        <v>-1.5424164524421635</v>
      </c>
      <c r="CR147" s="156">
        <f>INPUT!EO252</f>
        <v>3.87</v>
      </c>
      <c r="CS147" s="687">
        <f>INPUT!EP252</f>
        <v>0.51948051948051965</v>
      </c>
      <c r="CT147" s="156">
        <f>INPUT!EQ252</f>
        <v>0</v>
      </c>
      <c r="CU147" s="687" t="str">
        <f>INPUT!ER252</f>
        <v>NM</v>
      </c>
      <c r="CV147" s="156">
        <f>INPUT!ES252</f>
        <v>0</v>
      </c>
      <c r="CW147" s="687" t="str">
        <f>INPUT!ET252</f>
        <v>NM</v>
      </c>
      <c r="CX147" s="156">
        <f>INPUT!EU252</f>
        <v>0</v>
      </c>
      <c r="CY147" s="687" t="str">
        <f>INPUT!EV252</f>
        <v>NM</v>
      </c>
      <c r="CZ147" s="156">
        <f>INPUT!EW252</f>
        <v>0</v>
      </c>
      <c r="DA147" s="687" t="str">
        <f>INPUT!EX252</f>
        <v>NM</v>
      </c>
      <c r="DB147" s="16"/>
      <c r="DC147" s="156">
        <f>INPUT!FP252</f>
        <v>4.6900000000000004</v>
      </c>
      <c r="DD147" s="687">
        <f>INPUT!FQ252</f>
        <v>-0.21276595744680327</v>
      </c>
      <c r="DE147" s="156">
        <f>INPUT!FR252</f>
        <v>4.5239999999999991</v>
      </c>
      <c r="DF147" s="687">
        <f>INPUT!FS252</f>
        <v>-3.5394456289978948</v>
      </c>
      <c r="DG147" s="156">
        <f>INPUT!FT252</f>
        <v>4.4424999999999999</v>
      </c>
      <c r="DH147" s="687">
        <f>INPUT!FU252</f>
        <v>-1.8015030946065269</v>
      </c>
      <c r="DI147" s="156">
        <f>INPUT!FV252</f>
        <v>4.3324999999999996</v>
      </c>
      <c r="DJ147" s="687">
        <f>INPUT!FW252</f>
        <v>-2.4760832864378246</v>
      </c>
      <c r="DK147" s="156">
        <f>INPUT!FX252</f>
        <v>4.2299999999999995</v>
      </c>
      <c r="DL147" s="687">
        <f>INPUT!FY252</f>
        <v>-2.3658395845354896</v>
      </c>
      <c r="DM147" s="156">
        <f>INPUT!FZ252</f>
        <v>4.1624999999999996</v>
      </c>
      <c r="DN147" s="687">
        <f>INPUT!GA252</f>
        <v>-1.5957446808510634</v>
      </c>
      <c r="DO147" s="156">
        <f>INPUT!GB252</f>
        <v>4.0674999999999999</v>
      </c>
      <c r="DP147" s="687">
        <f>INPUT!GC252</f>
        <v>-2.2822822822822775</v>
      </c>
      <c r="DQ147" s="156">
        <f>INPUT!GD252</f>
        <v>0</v>
      </c>
      <c r="DR147" s="687">
        <f>INPUT!GE252</f>
        <v>0</v>
      </c>
      <c r="DS147" s="156">
        <f>INPUT!GF252</f>
        <v>0</v>
      </c>
      <c r="DT147" s="687">
        <f>INPUT!GG252</f>
        <v>0</v>
      </c>
      <c r="DU147" s="156">
        <f>INPUT!GH252</f>
        <v>0</v>
      </c>
      <c r="DV147" s="687">
        <f>INPUT!GI252</f>
        <v>0</v>
      </c>
      <c r="DW147" s="156">
        <f>INPUT!GJ252</f>
        <v>0</v>
      </c>
      <c r="DX147" s="687">
        <f>INPUT!GK252</f>
        <v>0</v>
      </c>
      <c r="DY147" s="156">
        <f>INPUT!GL252</f>
        <v>0</v>
      </c>
      <c r="DZ147" s="687">
        <f>INPUT!GM252</f>
        <v>0</v>
      </c>
      <c r="EA147" s="156">
        <f>INPUT!GN252</f>
        <v>0</v>
      </c>
      <c r="EB147" s="687">
        <f>INPUT!GO252</f>
        <v>0</v>
      </c>
      <c r="EC147" s="156">
        <f>INPUT!GP252</f>
        <v>0</v>
      </c>
      <c r="ED147" s="687">
        <f>INPUT!GQ252</f>
        <v>0</v>
      </c>
      <c r="EE147" s="156">
        <f>INPUT!GR252</f>
        <v>0</v>
      </c>
      <c r="EF147" s="687">
        <f>INPUT!GS252</f>
        <v>0</v>
      </c>
      <c r="EG147" s="156">
        <f>INPUT!GT252</f>
        <v>0</v>
      </c>
      <c r="EH147" s="687">
        <f>INPUT!GU252</f>
        <v>0</v>
      </c>
      <c r="EI147" s="156">
        <f>INPUT!GV252</f>
        <v>0</v>
      </c>
      <c r="EJ147" s="687">
        <f>INPUT!GW252</f>
        <v>0</v>
      </c>
      <c r="EK147" s="156">
        <f>INPUT!GX252</f>
        <v>0</v>
      </c>
      <c r="EL147" s="687">
        <f>INPUT!GY252</f>
        <v>0</v>
      </c>
      <c r="EM147" s="687">
        <f>INPUT!GZ252</f>
        <v>0</v>
      </c>
    </row>
    <row r="148" spans="1:152" ht="12.75" hidden="1" customHeight="1" outlineLevel="1" x14ac:dyDescent="0.2">
      <c r="A148" s="701" t="str">
        <f>INPUT!B253</f>
        <v>Spread (%)</v>
      </c>
      <c r="B148" s="156">
        <f>INPUT!AY253</f>
        <v>1.8800000000000008</v>
      </c>
      <c r="C148" s="687">
        <f>INPUT!AZ253</f>
        <v>19.745222929936325</v>
      </c>
      <c r="D148" s="156">
        <f>INPUT!BA253</f>
        <v>1.7599999999999998</v>
      </c>
      <c r="E148" s="687">
        <f>INPUT!BB253</f>
        <v>2.9239766081871732</v>
      </c>
      <c r="F148" s="156">
        <f>INPUT!BC253</f>
        <v>1.5679999999999996</v>
      </c>
      <c r="G148" s="687">
        <f>INPUT!BD253</f>
        <v>-4.9696969696969573</v>
      </c>
      <c r="H148" s="156">
        <f>INPUT!BE253</f>
        <v>1.9200000000000008</v>
      </c>
      <c r="I148" s="687">
        <f>INPUT!BF253</f>
        <v>20.000000000000085</v>
      </c>
      <c r="J148" s="156">
        <f>INPUT!BG253</f>
        <v>2.0200000000000005</v>
      </c>
      <c r="K148" s="687">
        <f>INPUT!BH253</f>
        <v>7.4468085106382809</v>
      </c>
      <c r="L148" s="156">
        <f>INPUT!BI253</f>
        <v>2.54</v>
      </c>
      <c r="M148" s="687">
        <f>INPUT!BJ253</f>
        <v>44.318181818181834</v>
      </c>
      <c r="N148" s="156">
        <f>INPUT!BK253</f>
        <v>1.6500000000000004</v>
      </c>
      <c r="O148" s="687">
        <f>INPUT!BL253</f>
        <v>5.2295918367347483</v>
      </c>
      <c r="P148" s="156">
        <f>INPUT!BM253</f>
        <v>1.83</v>
      </c>
      <c r="Q148" s="687">
        <f>INPUT!BN253</f>
        <v>-4.6875000000000338</v>
      </c>
      <c r="R148" s="156">
        <f>INPUT!BO253</f>
        <v>1.67</v>
      </c>
      <c r="S148" s="687">
        <f>INPUT!BP253</f>
        <v>-17.326732673267355</v>
      </c>
      <c r="T148" s="156">
        <f>INPUT!BQ253</f>
        <v>1.88</v>
      </c>
      <c r="U148" s="687">
        <f>INPUT!BR253</f>
        <v>-25.984251968503948</v>
      </c>
      <c r="V148" s="156">
        <f>INPUT!BS253</f>
        <v>1.9000000000000004</v>
      </c>
      <c r="W148" s="687">
        <f>INPUT!BT253</f>
        <v>15.151515151515138</v>
      </c>
      <c r="X148" s="156">
        <f>INPUT!BU253</f>
        <v>0.96999999999999975</v>
      </c>
      <c r="Y148" s="687">
        <f>INPUT!BV253</f>
        <v>-46.994535519125705</v>
      </c>
      <c r="Z148" s="156">
        <f>INPUT!BW253</f>
        <v>1.5199999999999996</v>
      </c>
      <c r="AA148" s="687">
        <f>INPUT!BX253</f>
        <v>-8.9820359281437394</v>
      </c>
      <c r="AB148" s="156">
        <f>INPUT!BY253</f>
        <v>1.1799999999999997</v>
      </c>
      <c r="AC148" s="687">
        <f>INPUT!BZ253</f>
        <v>-37.234042553191507</v>
      </c>
      <c r="AD148" s="156">
        <f>INPUT!CA253</f>
        <v>1.5</v>
      </c>
      <c r="AE148" s="687">
        <f>INPUT!CB253</f>
        <v>-21.052631578947377</v>
      </c>
      <c r="AF148" s="156">
        <f>INPUT!CC253</f>
        <v>1.75</v>
      </c>
      <c r="AG148" s="687">
        <f>INPUT!CD253</f>
        <v>80.41237113402066</v>
      </c>
      <c r="AH148" s="156">
        <f>INPUT!CE253</f>
        <v>1.87</v>
      </c>
      <c r="AI148" s="687">
        <f>INPUT!CF253</f>
        <v>23.026315789473717</v>
      </c>
      <c r="AJ148" s="156">
        <f>INPUT!CG253</f>
        <v>1.9900000000000002</v>
      </c>
      <c r="AK148" s="687">
        <f>INPUT!CH253</f>
        <v>68.64406779661023</v>
      </c>
      <c r="AL148" s="156">
        <f>INPUT!CI253</f>
        <v>1.92</v>
      </c>
      <c r="AM148" s="687">
        <f>INPUT!CJ253</f>
        <v>28.000000000000004</v>
      </c>
      <c r="AN148" s="156">
        <f>INPUT!CK253</f>
        <v>2.0900000000000007</v>
      </c>
      <c r="AO148" s="687">
        <f>INPUT!CL253</f>
        <v>19.428571428571463</v>
      </c>
      <c r="AP148" s="156">
        <f>INPUT!CM253</f>
        <v>2.1799999999999997</v>
      </c>
      <c r="AQ148" s="687">
        <f>INPUT!CN253</f>
        <v>16.577540106951851</v>
      </c>
      <c r="AR148" s="156">
        <f>INPUT!CO253</f>
        <v>2.16</v>
      </c>
      <c r="AS148" s="687">
        <f>INPUT!CP253</f>
        <v>8.5427135678392006</v>
      </c>
      <c r="AT148" s="156">
        <f>INPUT!CQ253</f>
        <v>1.8600000000000003</v>
      </c>
      <c r="AU148" s="687">
        <f>INPUT!CR253</f>
        <v>-3.1249999999999778</v>
      </c>
      <c r="AV148" s="156">
        <f>INPUT!CS253</f>
        <v>1.75</v>
      </c>
      <c r="AW148" s="687">
        <f>INPUT!CT253</f>
        <v>-16.267942583732086</v>
      </c>
      <c r="AX148" s="156">
        <f>INPUT!CU253</f>
        <v>1.9899999999999998</v>
      </c>
      <c r="AY148" s="687">
        <f>INPUT!CV253</f>
        <v>-8.7155963302752326</v>
      </c>
      <c r="AZ148" s="156">
        <f>INPUT!CW253</f>
        <v>2.0899999999999994</v>
      </c>
      <c r="BA148" s="687">
        <f>INPUT!CX253</f>
        <v>-3.2407407407407773</v>
      </c>
      <c r="BB148" s="156">
        <f>INPUT!CY253</f>
        <v>1.7600000000000002</v>
      </c>
      <c r="BC148" s="687">
        <f>INPUT!CZ253</f>
        <v>-5.3763440860215113</v>
      </c>
      <c r="BD148" s="156">
        <f>INPUT!DA253</f>
        <v>2.08</v>
      </c>
      <c r="BE148" s="687">
        <f>INPUT!DB253</f>
        <v>18.857142857142861</v>
      </c>
      <c r="BF148" s="156">
        <f>INPUT!DC253</f>
        <v>1.71</v>
      </c>
      <c r="BG148" s="687">
        <f>INPUT!DD253</f>
        <v>-14.070351758793965</v>
      </c>
      <c r="BH148" s="156">
        <f>INPUT!DE253</f>
        <v>1.9800000000000004</v>
      </c>
      <c r="BI148" s="687">
        <f>INPUT!DF253</f>
        <v>-5.2631578947367919</v>
      </c>
      <c r="BJ148" s="156">
        <f>INPUT!DG253</f>
        <v>1.8299999999999996</v>
      </c>
      <c r="BK148" s="687">
        <f>INPUT!DH253</f>
        <v>3.9772727272726849</v>
      </c>
      <c r="BL148" s="156">
        <f>INPUT!DI253</f>
        <v>1.8099999999999996</v>
      </c>
      <c r="BM148" s="687">
        <f>INPUT!DJ253</f>
        <v>-12.980769230769251</v>
      </c>
      <c r="BN148" s="156">
        <f>INPUT!DK253</f>
        <v>1.7399999999999998</v>
      </c>
      <c r="BO148" s="687">
        <f>INPUT!DL253</f>
        <v>1.754385964912264</v>
      </c>
      <c r="BP148" s="156">
        <f>INPUT!DM253</f>
        <v>1.7599999999999998</v>
      </c>
      <c r="BQ148" s="687">
        <f>INPUT!DN253</f>
        <v>-11.111111111111139</v>
      </c>
      <c r="BR148" s="156">
        <f>INPUT!DO253</f>
        <v>1.8000000000000003</v>
      </c>
      <c r="BS148" s="687">
        <f>INPUT!DP253</f>
        <v>-1.6393442622950505</v>
      </c>
      <c r="BT148" s="156">
        <f>INPUT!DQ253</f>
        <v>1.7599999999999998</v>
      </c>
      <c r="BU148" s="687">
        <f>INPUT!DR253</f>
        <v>-2.7624309392265123</v>
      </c>
      <c r="BV148" s="156">
        <f>INPUT!DS253</f>
        <v>1.67</v>
      </c>
      <c r="BW148" s="687">
        <f>INPUT!DT253</f>
        <v>-4.022988505747116</v>
      </c>
      <c r="BX148" s="156">
        <f>INPUT!DU253</f>
        <v>1.5299999999999998</v>
      </c>
      <c r="BY148" s="687">
        <f>INPUT!DV253</f>
        <v>-13.068181818181824</v>
      </c>
      <c r="BZ148" s="156">
        <f>INPUT!DW253</f>
        <v>1.83</v>
      </c>
      <c r="CA148" s="687">
        <f>INPUT!DX253</f>
        <v>1.88</v>
      </c>
      <c r="CB148" s="156">
        <f>INPUT!DY253</f>
        <v>1.44</v>
      </c>
      <c r="CC148" s="687">
        <f>INPUT!DZ253</f>
        <v>-18.181818181818176</v>
      </c>
      <c r="CD148" s="156">
        <f>INPUT!EA253</f>
        <v>1.3200000000000003</v>
      </c>
      <c r="CE148" s="687">
        <f>INPUT!EB253</f>
        <v>-20.958083832335305</v>
      </c>
      <c r="CF148" s="156">
        <f>INPUT!EC253</f>
        <v>1.4699999999999998</v>
      </c>
      <c r="CG148" s="687">
        <f>INPUT!ED253</f>
        <v>-3.9215686274509887</v>
      </c>
      <c r="CH148" s="156">
        <f>INPUT!EE253</f>
        <v>1.7499999999999996</v>
      </c>
      <c r="CI148" s="687">
        <f>INPUT!EF253</f>
        <v>-4.371584699453579</v>
      </c>
      <c r="CJ148" s="156">
        <f>INPUT!EG253</f>
        <v>1.6300000000000003</v>
      </c>
      <c r="CK148" s="687">
        <f>INPUT!EH253</f>
        <v>13.194444444444464</v>
      </c>
      <c r="CL148" s="156">
        <f>INPUT!EI253</f>
        <v>1.6</v>
      </c>
      <c r="CM148" s="687">
        <f>INPUT!EJ253</f>
        <v>21.212121212121193</v>
      </c>
      <c r="CN148" s="156">
        <f>INPUT!EK253</f>
        <v>1.6700000000000004</v>
      </c>
      <c r="CO148" s="687">
        <f>INPUT!EL253</f>
        <v>13.605442176870785</v>
      </c>
      <c r="CP148" s="156">
        <f>INPUT!EM253</f>
        <v>1.5</v>
      </c>
      <c r="CQ148" s="687">
        <f>INPUT!EN253</f>
        <v>-14.285714285714269</v>
      </c>
      <c r="CR148" s="156">
        <f>INPUT!EO253</f>
        <v>1.46</v>
      </c>
      <c r="CS148" s="687">
        <f>INPUT!EP253</f>
        <v>-10.429447852760754</v>
      </c>
      <c r="CT148" s="156">
        <f>INPUT!EQ253</f>
        <v>0</v>
      </c>
      <c r="CU148" s="687" t="str">
        <f>INPUT!ER253</f>
        <v>NM</v>
      </c>
      <c r="CV148" s="156">
        <f>INPUT!ES253</f>
        <v>0</v>
      </c>
      <c r="CW148" s="687" t="str">
        <f>INPUT!ET253</f>
        <v>NM</v>
      </c>
      <c r="CX148" s="156">
        <f>INPUT!EU253</f>
        <v>0</v>
      </c>
      <c r="CY148" s="687" t="str">
        <f>INPUT!EV253</f>
        <v>NM</v>
      </c>
      <c r="CZ148" s="156">
        <f>INPUT!EW253</f>
        <v>0</v>
      </c>
      <c r="DA148" s="687" t="str">
        <f>INPUT!EX253</f>
        <v>NM</v>
      </c>
      <c r="DB148" s="16"/>
      <c r="DC148" s="156">
        <f>INPUT!FP253</f>
        <v>1.63</v>
      </c>
      <c r="DD148" s="687">
        <f>INPUT!FQ253</f>
        <v>-0.60975609756096505</v>
      </c>
      <c r="DE148" s="156">
        <f>INPUT!FR253</f>
        <v>1.7820000000000009</v>
      </c>
      <c r="DF148" s="687">
        <f>INPUT!FS253</f>
        <v>9.3251533742331851</v>
      </c>
      <c r="DG148" s="156">
        <f>INPUT!FT253</f>
        <v>2.0100000000000007</v>
      </c>
      <c r="DH148" s="687">
        <f>INPUT!FU253</f>
        <v>12.794612794612782</v>
      </c>
      <c r="DI148" s="156">
        <f>INPUT!FV253</f>
        <v>1.6050000000000004</v>
      </c>
      <c r="DJ148" s="687">
        <f>INPUT!FW253</f>
        <v>-20.149253731343286</v>
      </c>
      <c r="DK148" s="156">
        <f>INPUT!FX253</f>
        <v>1.4874999999999998</v>
      </c>
      <c r="DL148" s="687">
        <f>INPUT!FY253</f>
        <v>-7.3208722741433423</v>
      </c>
      <c r="DM148" s="156">
        <f>INPUT!FZ253</f>
        <v>1.9675000000000002</v>
      </c>
      <c r="DN148" s="687">
        <f>INPUT!GA253</f>
        <v>32.268907563025252</v>
      </c>
      <c r="DO148" s="156">
        <f>INPUT!GB253</f>
        <v>1.9874999999999998</v>
      </c>
      <c r="DP148" s="687">
        <f>INPUT!GC253</f>
        <v>1.0165184243964287</v>
      </c>
      <c r="DQ148" s="156">
        <f>INPUT!GD253</f>
        <v>0</v>
      </c>
      <c r="DR148" s="687">
        <f>INPUT!GE253</f>
        <v>0</v>
      </c>
      <c r="DS148" s="156">
        <f>INPUT!GF253</f>
        <v>0</v>
      </c>
      <c r="DT148" s="687">
        <f>INPUT!GG253</f>
        <v>0</v>
      </c>
      <c r="DU148" s="156">
        <f>INPUT!GH253</f>
        <v>0</v>
      </c>
      <c r="DV148" s="687">
        <f>INPUT!GI253</f>
        <v>0</v>
      </c>
      <c r="DW148" s="156">
        <f>INPUT!GJ253</f>
        <v>0</v>
      </c>
      <c r="DX148" s="687">
        <f>INPUT!GK253</f>
        <v>0</v>
      </c>
      <c r="DY148" s="156">
        <f>INPUT!GL253</f>
        <v>0</v>
      </c>
      <c r="DZ148" s="687">
        <f>INPUT!GM253</f>
        <v>0</v>
      </c>
      <c r="EA148" s="156">
        <f>INPUT!GN253</f>
        <v>0</v>
      </c>
      <c r="EB148" s="687">
        <f>INPUT!GO253</f>
        <v>0</v>
      </c>
      <c r="EC148" s="156">
        <f>INPUT!GP253</f>
        <v>0</v>
      </c>
      <c r="ED148" s="687">
        <f>INPUT!GQ253</f>
        <v>0</v>
      </c>
      <c r="EE148" s="156">
        <f>INPUT!GR253</f>
        <v>0</v>
      </c>
      <c r="EF148" s="687">
        <f>INPUT!GS253</f>
        <v>0</v>
      </c>
      <c r="EG148" s="156">
        <f>INPUT!GT253</f>
        <v>0</v>
      </c>
      <c r="EH148" s="687">
        <f>INPUT!GU253</f>
        <v>0</v>
      </c>
      <c r="EI148" s="156">
        <f>INPUT!GV253</f>
        <v>0</v>
      </c>
      <c r="EJ148" s="687">
        <f>INPUT!GW253</f>
        <v>0</v>
      </c>
      <c r="EK148" s="156">
        <f>INPUT!GX253</f>
        <v>0</v>
      </c>
      <c r="EL148" s="687">
        <f>INPUT!GY253</f>
        <v>0</v>
      </c>
      <c r="EM148" s="687">
        <f>INPUT!GZ253</f>
        <v>0</v>
      </c>
    </row>
    <row r="149" spans="1:152" ht="12.75" hidden="1" customHeight="1" outlineLevel="1" x14ac:dyDescent="0.2">
      <c r="A149" s="701"/>
      <c r="B149" s="16"/>
      <c r="C149" s="687"/>
      <c r="D149" s="16"/>
      <c r="E149" s="687"/>
      <c r="F149" s="16"/>
      <c r="G149" s="687"/>
      <c r="H149" s="16"/>
      <c r="I149" s="687"/>
      <c r="J149" s="16"/>
      <c r="K149" s="687"/>
      <c r="L149" s="16"/>
      <c r="M149" s="687"/>
      <c r="N149" s="16"/>
      <c r="O149" s="687"/>
      <c r="P149" s="16"/>
      <c r="Q149" s="687"/>
      <c r="R149" s="16"/>
      <c r="S149" s="687"/>
      <c r="T149" s="16"/>
      <c r="U149" s="687"/>
      <c r="V149" s="16"/>
      <c r="W149" s="687"/>
      <c r="X149" s="16"/>
      <c r="Y149" s="687"/>
      <c r="Z149" s="16"/>
      <c r="AA149" s="687"/>
      <c r="AB149" s="16"/>
      <c r="AC149" s="687"/>
      <c r="AD149" s="16"/>
      <c r="AE149" s="687"/>
      <c r="AF149" s="16"/>
      <c r="AG149" s="687"/>
      <c r="AH149" s="16"/>
      <c r="AI149" s="687"/>
      <c r="AJ149" s="16"/>
      <c r="AK149" s="687"/>
      <c r="AL149" s="16"/>
      <c r="AM149" s="687"/>
      <c r="AN149" s="16"/>
      <c r="AO149" s="687"/>
      <c r="AP149" s="16"/>
      <c r="AQ149" s="687"/>
      <c r="AR149" s="16"/>
      <c r="AS149" s="687"/>
      <c r="AT149" s="16"/>
      <c r="AU149" s="687"/>
      <c r="AV149" s="16"/>
      <c r="AW149" s="687"/>
      <c r="AX149" s="16"/>
      <c r="AY149" s="687"/>
      <c r="AZ149" s="16"/>
      <c r="BA149" s="687"/>
      <c r="BB149" s="16"/>
      <c r="BC149" s="687"/>
      <c r="BD149" s="16"/>
      <c r="BE149" s="687"/>
      <c r="BF149" s="16"/>
      <c r="BG149" s="687"/>
      <c r="BH149" s="16"/>
      <c r="BI149" s="687"/>
      <c r="BJ149" s="16"/>
      <c r="BK149" s="687"/>
      <c r="BL149" s="16"/>
      <c r="BM149" s="687"/>
      <c r="BN149" s="16"/>
      <c r="BO149" s="687"/>
      <c r="BP149" s="16"/>
      <c r="BQ149" s="687"/>
      <c r="BR149" s="16"/>
      <c r="BS149" s="687"/>
      <c r="BT149" s="16"/>
      <c r="BU149" s="687"/>
      <c r="BV149" s="16"/>
      <c r="BW149" s="687"/>
      <c r="BX149" s="16"/>
      <c r="BY149" s="687"/>
      <c r="BZ149" s="16"/>
      <c r="CA149" s="687"/>
      <c r="CB149" s="16"/>
      <c r="CC149" s="687"/>
      <c r="CD149" s="16"/>
      <c r="CE149" s="687"/>
      <c r="CF149" s="16"/>
      <c r="CG149" s="687"/>
      <c r="CH149" s="16"/>
      <c r="CI149" s="687"/>
      <c r="CJ149" s="16"/>
      <c r="CK149" s="687"/>
      <c r="CL149" s="16"/>
      <c r="CM149" s="687"/>
      <c r="CN149" s="16"/>
      <c r="CO149" s="687"/>
      <c r="CP149" s="16"/>
      <c r="CQ149" s="687"/>
      <c r="CR149" s="16"/>
      <c r="CS149" s="687"/>
      <c r="CT149" s="16"/>
      <c r="CU149" s="687"/>
      <c r="CV149" s="16"/>
      <c r="CW149" s="687"/>
      <c r="CX149" s="16"/>
      <c r="CY149" s="687"/>
      <c r="CZ149" s="16"/>
      <c r="DA149" s="687"/>
      <c r="DB149" s="16"/>
      <c r="DC149" s="16"/>
      <c r="DD149" s="687"/>
      <c r="DE149" s="16"/>
      <c r="DF149" s="687"/>
      <c r="DG149" s="16"/>
      <c r="DH149" s="687"/>
      <c r="DI149" s="16"/>
      <c r="DJ149" s="687"/>
      <c r="DK149" s="16"/>
      <c r="DL149" s="687"/>
      <c r="DM149" s="16"/>
      <c r="DN149" s="687"/>
      <c r="DO149" s="16"/>
      <c r="DP149" s="687"/>
      <c r="DQ149" s="16"/>
      <c r="DR149" s="687"/>
      <c r="DS149" s="16"/>
      <c r="DT149" s="687"/>
      <c r="DU149" s="16"/>
      <c r="DV149" s="687"/>
      <c r="DW149" s="16"/>
      <c r="DX149" s="687"/>
      <c r="DY149" s="16"/>
      <c r="DZ149" s="687"/>
      <c r="EA149" s="16"/>
      <c r="EB149" s="687"/>
      <c r="EC149" s="16"/>
      <c r="ED149" s="687"/>
      <c r="EE149" s="16"/>
      <c r="EF149" s="687"/>
      <c r="EG149" s="16"/>
      <c r="EH149" s="687"/>
      <c r="EI149" s="16"/>
      <c r="EJ149" s="687"/>
      <c r="EK149" s="16"/>
      <c r="EL149" s="687"/>
      <c r="EM149" s="687"/>
    </row>
    <row r="150" spans="1:152" ht="12.75" hidden="1" customHeight="1" outlineLevel="1" x14ac:dyDescent="0.2">
      <c r="A150" s="700" t="str">
        <f>INPUT!B262</f>
        <v>Benefits and Expenses Analysis</v>
      </c>
      <c r="B150" s="16"/>
      <c r="C150" s="687"/>
      <c r="D150" s="16"/>
      <c r="E150" s="687"/>
      <c r="F150" s="16"/>
      <c r="G150" s="687"/>
      <c r="H150" s="16"/>
      <c r="I150" s="687"/>
      <c r="J150" s="16"/>
      <c r="K150" s="687"/>
      <c r="L150" s="16"/>
      <c r="M150" s="687"/>
      <c r="N150" s="16"/>
      <c r="O150" s="687"/>
      <c r="P150" s="16"/>
      <c r="Q150" s="687"/>
      <c r="R150" s="16"/>
      <c r="S150" s="687"/>
      <c r="T150" s="16"/>
      <c r="U150" s="687"/>
      <c r="V150" s="16"/>
      <c r="W150" s="687"/>
      <c r="X150" s="16"/>
      <c r="Y150" s="687"/>
      <c r="Z150" s="16"/>
      <c r="AA150" s="687"/>
      <c r="AB150" s="16"/>
      <c r="AC150" s="687"/>
      <c r="AD150" s="16"/>
      <c r="AE150" s="687"/>
      <c r="AF150" s="16"/>
      <c r="AG150" s="687"/>
      <c r="AH150" s="16"/>
      <c r="AI150" s="687"/>
      <c r="AJ150" s="16"/>
      <c r="AK150" s="687"/>
      <c r="AL150" s="16"/>
      <c r="AM150" s="687"/>
      <c r="AN150" s="16"/>
      <c r="AO150" s="687"/>
      <c r="AP150" s="16"/>
      <c r="AQ150" s="687"/>
      <c r="AR150" s="16"/>
      <c r="AS150" s="687"/>
      <c r="AT150" s="16"/>
      <c r="AU150" s="687"/>
      <c r="AV150" s="16"/>
      <c r="AW150" s="687"/>
      <c r="AX150" s="16"/>
      <c r="AY150" s="687"/>
      <c r="AZ150" s="16"/>
      <c r="BA150" s="687"/>
      <c r="BB150" s="16"/>
      <c r="BC150" s="687"/>
      <c r="BD150" s="16"/>
      <c r="BE150" s="687"/>
      <c r="BF150" s="16"/>
      <c r="BG150" s="687"/>
      <c r="BH150" s="16"/>
      <c r="BI150" s="687"/>
      <c r="BJ150" s="16"/>
      <c r="BK150" s="687"/>
      <c r="BL150" s="16"/>
      <c r="BM150" s="687"/>
      <c r="BN150" s="16"/>
      <c r="BO150" s="687"/>
      <c r="BP150" s="16"/>
      <c r="BQ150" s="687"/>
      <c r="BR150" s="16"/>
      <c r="BS150" s="687"/>
      <c r="BT150" s="16"/>
      <c r="BU150" s="687"/>
      <c r="BV150" s="16"/>
      <c r="BW150" s="687"/>
      <c r="BX150" s="16"/>
      <c r="BY150" s="687"/>
      <c r="BZ150" s="16"/>
      <c r="CA150" s="687"/>
      <c r="CB150" s="16"/>
      <c r="CC150" s="687"/>
      <c r="CD150" s="16"/>
      <c r="CE150" s="687"/>
      <c r="CF150" s="16"/>
      <c r="CG150" s="687"/>
      <c r="CH150" s="16"/>
      <c r="CI150" s="687"/>
      <c r="CJ150" s="16"/>
      <c r="CK150" s="687"/>
      <c r="CL150" s="16"/>
      <c r="CM150" s="687"/>
      <c r="CN150" s="16"/>
      <c r="CO150" s="687"/>
      <c r="CP150" s="16"/>
      <c r="CQ150" s="687"/>
      <c r="CR150" s="16"/>
      <c r="CS150" s="687"/>
      <c r="CT150" s="16"/>
      <c r="CU150" s="687"/>
      <c r="CV150" s="16"/>
      <c r="CW150" s="687"/>
      <c r="CX150" s="16"/>
      <c r="CY150" s="687"/>
      <c r="CZ150" s="16"/>
      <c r="DA150" s="687"/>
      <c r="DB150" s="16"/>
      <c r="DC150" s="16"/>
      <c r="DD150" s="687"/>
      <c r="DE150" s="16"/>
      <c r="DF150" s="687"/>
      <c r="DG150" s="16"/>
      <c r="DH150" s="687"/>
      <c r="DI150" s="16"/>
      <c r="DJ150" s="687"/>
      <c r="DK150" s="16"/>
      <c r="DL150" s="687"/>
      <c r="DM150" s="16"/>
      <c r="DN150" s="687"/>
      <c r="DO150" s="16"/>
      <c r="DP150" s="687"/>
      <c r="DQ150" s="16"/>
      <c r="DR150" s="687"/>
      <c r="DS150" s="16"/>
      <c r="DT150" s="687"/>
      <c r="DU150" s="16"/>
      <c r="DV150" s="687"/>
      <c r="DW150" s="16"/>
      <c r="DX150" s="687"/>
      <c r="DY150" s="16"/>
      <c r="DZ150" s="687"/>
      <c r="EA150" s="16"/>
      <c r="EB150" s="687"/>
      <c r="EC150" s="16"/>
      <c r="ED150" s="687"/>
      <c r="EE150" s="16"/>
      <c r="EF150" s="687"/>
      <c r="EG150" s="16"/>
      <c r="EH150" s="687"/>
      <c r="EI150" s="16"/>
      <c r="EJ150" s="687"/>
      <c r="EK150" s="16"/>
      <c r="EL150" s="687"/>
      <c r="EM150" s="687"/>
    </row>
    <row r="151" spans="1:152" ht="12.75" hidden="1" customHeight="1" outlineLevel="1" x14ac:dyDescent="0.2">
      <c r="A151" s="701" t="str">
        <f>INPUT!B263</f>
        <v>Benefits and Int Credited/Net Rev (%)</v>
      </c>
      <c r="B151" s="156">
        <f>INPUT!AY263</f>
        <v>73.2347195087915</v>
      </c>
      <c r="C151" s="687">
        <f>INPUT!AZ263</f>
        <v>-2.4213294079536873</v>
      </c>
      <c r="D151" s="156">
        <f>INPUT!BA263</f>
        <v>75.390210637975457</v>
      </c>
      <c r="E151" s="687">
        <f>INPUT!BB263</f>
        <v>-1.0631774824857221</v>
      </c>
      <c r="F151" s="156">
        <f>INPUT!BC263</f>
        <v>78.401727861771079</v>
      </c>
      <c r="G151" s="687">
        <f>INPUT!BD263</f>
        <v>-0.74741389109921341</v>
      </c>
      <c r="H151" s="156">
        <f>INPUT!BE263</f>
        <v>70.767925328807806</v>
      </c>
      <c r="I151" s="687">
        <f>INPUT!BF263</f>
        <v>-2.5210510718262968</v>
      </c>
      <c r="J151" s="156">
        <f>INPUT!BG263</f>
        <v>69.15381408920382</v>
      </c>
      <c r="K151" s="687">
        <f>INPUT!BH263</f>
        <v>-5.572364374383632</v>
      </c>
      <c r="L151" s="156">
        <f>INPUT!BI263</f>
        <v>73.489694385216779</v>
      </c>
      <c r="M151" s="687">
        <f>INPUT!BJ263</f>
        <v>-2.5209058797898476</v>
      </c>
      <c r="N151" s="156">
        <f>INPUT!BK263</f>
        <v>73.217094913476657</v>
      </c>
      <c r="O151" s="687">
        <f>INPUT!BL263</f>
        <v>-6.6129064877694654</v>
      </c>
      <c r="P151" s="156">
        <f>INPUT!BM263</f>
        <v>78.844155844155864</v>
      </c>
      <c r="Q151" s="687">
        <f>INPUT!BN263</f>
        <v>11.41227537450562</v>
      </c>
      <c r="R151" s="156">
        <f>INPUT!BO263</f>
        <v>78.654507005022452</v>
      </c>
      <c r="S151" s="687">
        <f>INPUT!BP263</f>
        <v>13.738494457533989</v>
      </c>
      <c r="T151" s="156">
        <f>INPUT!BQ263</f>
        <v>77.002419457532156</v>
      </c>
      <c r="U151" s="687">
        <f>INPUT!BR263</f>
        <v>4.7798879852492648</v>
      </c>
      <c r="V151" s="156">
        <f>INPUT!BS263</f>
        <v>91.315652626105035</v>
      </c>
      <c r="W151" s="687">
        <f>INPUT!BT263</f>
        <v>24.719032807865581</v>
      </c>
      <c r="X151" s="156">
        <f>INPUT!BU263</f>
        <v>89.368009702196488</v>
      </c>
      <c r="Y151" s="687">
        <f>INPUT!BV263</f>
        <v>13.34766508102665</v>
      </c>
      <c r="Z151" s="156">
        <f>INPUT!BW263</f>
        <v>85.143522110162905</v>
      </c>
      <c r="AA151" s="687">
        <f>INPUT!BX263</f>
        <v>8.2500232373538438</v>
      </c>
      <c r="AB151" s="156">
        <f>INPUT!BY263</f>
        <v>86.28057351700869</v>
      </c>
      <c r="AC151" s="687">
        <f>INPUT!BZ263</f>
        <v>12.049172123213037</v>
      </c>
      <c r="AD151" s="156">
        <f>INPUT!CA263</f>
        <v>77.066063803064552</v>
      </c>
      <c r="AE151" s="687">
        <f>INPUT!CB263</f>
        <v>-15.604760425231689</v>
      </c>
      <c r="AF151" s="156">
        <f>INPUT!CC263</f>
        <v>81.176044433711652</v>
      </c>
      <c r="AG151" s="687">
        <f>INPUT!CD263</f>
        <v>-9.1665522101064489</v>
      </c>
      <c r="AH151" s="156">
        <f>INPUT!CE263</f>
        <v>83.708338346769338</v>
      </c>
      <c r="AI151" s="687">
        <f>INPUT!CF263</f>
        <v>-1.6856053494435641</v>
      </c>
      <c r="AJ151" s="156">
        <f>INPUT!CG263</f>
        <v>80.387004300047778</v>
      </c>
      <c r="AK151" s="687">
        <f>INPUT!CH263</f>
        <v>-6.8307024127500675</v>
      </c>
      <c r="AL151" s="156">
        <f>INPUT!CI263</f>
        <v>106.44482929242952</v>
      </c>
      <c r="AM151" s="687">
        <f>INPUT!CJ263</f>
        <v>38.121533707028021</v>
      </c>
      <c r="AN151" s="156">
        <f>INPUT!CK263</f>
        <v>76.938217605248767</v>
      </c>
      <c r="AO151" s="687">
        <f>INPUT!CL263</f>
        <v>-5.2205387168421264</v>
      </c>
      <c r="AP151" s="156">
        <f>INPUT!CM263</f>
        <v>88.744075829383888</v>
      </c>
      <c r="AQ151" s="687">
        <f>INPUT!CN263</f>
        <v>6.0158134566637322</v>
      </c>
      <c r="AR151" s="156">
        <f>INPUT!CO263</f>
        <v>84.421283598464072</v>
      </c>
      <c r="AS151" s="687">
        <f>INPUT!CP263</f>
        <v>5.0185715135722564</v>
      </c>
      <c r="AT151" s="156">
        <f>INPUT!CQ263</f>
        <v>86.24765917602997</v>
      </c>
      <c r="AU151" s="687">
        <f>INPUT!CR263</f>
        <v>-18.974308334802316</v>
      </c>
      <c r="AV151" s="156">
        <f>INPUT!CS263</f>
        <v>89.06789413118527</v>
      </c>
      <c r="AW151" s="687">
        <f>INPUT!CT263</f>
        <v>15.765476382843847</v>
      </c>
      <c r="AX151" s="156">
        <f>INPUT!CU263</f>
        <v>85.355191256830594</v>
      </c>
      <c r="AY151" s="687">
        <f>INPUT!CV263</f>
        <v>-3.8187163941722058</v>
      </c>
      <c r="AZ151" s="156">
        <f>INPUT!CW263</f>
        <v>85.157096424702061</v>
      </c>
      <c r="BA151" s="687">
        <f>INPUT!CX263</f>
        <v>0.87159634972830968</v>
      </c>
      <c r="BB151" s="156">
        <f>INPUT!CY263</f>
        <v>63.012295081967217</v>
      </c>
      <c r="BC151" s="687">
        <f>INPUT!CZ263</f>
        <v>-26.940283731805149</v>
      </c>
      <c r="BD151" s="156">
        <f>INPUT!DA263</f>
        <v>81.753312945973505</v>
      </c>
      <c r="BE151" s="687">
        <f>INPUT!DB263</f>
        <v>-8.2123656976085595</v>
      </c>
      <c r="BF151" s="156">
        <f>INPUT!DC263</f>
        <v>89.576547231270354</v>
      </c>
      <c r="BG151" s="687">
        <f>INPUT!DD263</f>
        <v>4.94563472037437</v>
      </c>
      <c r="BH151" s="156">
        <f>INPUT!DE263</f>
        <v>86.027111574556827</v>
      </c>
      <c r="BI151" s="687">
        <f>INPUT!DF263</f>
        <v>1.0216590118523605</v>
      </c>
      <c r="BJ151" s="156">
        <f>INPUT!DG263</f>
        <v>82.818930041152257</v>
      </c>
      <c r="BK151" s="687">
        <f>INPUT!DH263</f>
        <v>31.432968650674155</v>
      </c>
      <c r="BL151" s="156">
        <f>INPUT!DI263</f>
        <v>81.818181818181827</v>
      </c>
      <c r="BM151" s="687">
        <f>INPUT!DJ263</f>
        <v>7.9347086828374103E-2</v>
      </c>
      <c r="BN151" s="156">
        <f>INPUT!DK263</f>
        <v>87.238285144566291</v>
      </c>
      <c r="BO151" s="687">
        <f>INPUT!DL263</f>
        <v>-2.6103507658841729</v>
      </c>
      <c r="BP151" s="156">
        <f>INPUT!DM263</f>
        <v>83.430799220272903</v>
      </c>
      <c r="BQ151" s="687">
        <f>INPUT!DN263</f>
        <v>-3.0180164215251937</v>
      </c>
      <c r="BR151" s="156">
        <f>INPUT!DO263</f>
        <v>79.981965734896292</v>
      </c>
      <c r="BS151" s="687">
        <f>INPUT!DP263</f>
        <v>-3.425502243081735</v>
      </c>
      <c r="BT151" s="156">
        <f>INPUT!DQ263</f>
        <v>76.862228081740284</v>
      </c>
      <c r="BU151" s="687">
        <f>INPUT!DR263</f>
        <v>-6.0572767889841117</v>
      </c>
      <c r="BV151" s="156">
        <f>INPUT!DS263</f>
        <v>90.310786106032907</v>
      </c>
      <c r="BW151" s="687">
        <f>INPUT!DT263</f>
        <v>3.5219639592583007</v>
      </c>
      <c r="BX151" s="156">
        <f>INPUT!DU263</f>
        <v>92.714025500910751</v>
      </c>
      <c r="BY151" s="687">
        <f>INPUT!DV263</f>
        <v>11.126857668147693</v>
      </c>
      <c r="BZ151" s="156">
        <f>INPUT!DW263</f>
        <v>66.666666666666657</v>
      </c>
      <c r="CA151" s="687">
        <f>INPUT!DX263</f>
        <v>66.666666666666657</v>
      </c>
      <c r="CB151" s="156">
        <f>INPUT!DY263</f>
        <v>101.70682730923694</v>
      </c>
      <c r="CC151" s="687">
        <f>INPUT!DZ263</f>
        <v>32.323548051554397</v>
      </c>
      <c r="CD151" s="156">
        <f>INPUT!EA263</f>
        <v>96.283185840707958</v>
      </c>
      <c r="CE151" s="687">
        <f>INPUT!EB263</f>
        <v>6.6131632689620412</v>
      </c>
      <c r="CF151" s="156">
        <f>INPUT!EC263</f>
        <v>88.898233809924307</v>
      </c>
      <c r="CG151" s="687">
        <f>INPUT!ED263</f>
        <v>-4.1156574427338999</v>
      </c>
      <c r="CH151" s="156">
        <f>INPUT!EE263</f>
        <v>67.993754879000775</v>
      </c>
      <c r="CI151" s="687">
        <f>INPUT!EF263</f>
        <v>1.9906323185011843</v>
      </c>
      <c r="CJ151" s="156">
        <f>INPUT!EG263</f>
        <v>84.265175718849832</v>
      </c>
      <c r="CK151" s="687">
        <f>INPUT!EH263</f>
        <v>-17.14894865155534</v>
      </c>
      <c r="CL151" s="156">
        <f>INPUT!EI263</f>
        <v>91.169451073985684</v>
      </c>
      <c r="CM151" s="687">
        <f>INPUT!EJ263</f>
        <v>-5.3111399691141319</v>
      </c>
      <c r="CN151" s="156">
        <f>INPUT!EK263</f>
        <v>88.51454823889739</v>
      </c>
      <c r="CO151" s="687">
        <f>INPUT!EL263</f>
        <v>-0.43160089304730143</v>
      </c>
      <c r="CP151" s="156">
        <f>INPUT!EM263</f>
        <v>91.613924050632917</v>
      </c>
      <c r="CQ151" s="687">
        <f>INPUT!EN263</f>
        <v>34.738733305236245</v>
      </c>
      <c r="CR151" s="156">
        <f>INPUT!EO263</f>
        <v>85.327313769751683</v>
      </c>
      <c r="CS151" s="687">
        <f>INPUT!EP263</f>
        <v>1.2604709381318635</v>
      </c>
      <c r="CT151" s="156">
        <f>INPUT!EQ263</f>
        <v>90.830176968424297</v>
      </c>
      <c r="CU151" s="687">
        <f>INPUT!ER263</f>
        <v>-0.37213573358696461</v>
      </c>
      <c r="CV151" s="156">
        <f>INPUT!ES263</f>
        <v>89.415823523305605</v>
      </c>
      <c r="CW151" s="687">
        <f>INPUT!ET263</f>
        <v>1.0182227694092827</v>
      </c>
      <c r="CX151" s="156">
        <f>INPUT!EU263</f>
        <v>89.519874770304654</v>
      </c>
      <c r="CY151" s="687">
        <f>INPUT!EV263</f>
        <v>-2.2857325477849133</v>
      </c>
      <c r="CZ151" s="156">
        <f>INPUT!EW263</f>
        <v>88.830299698938148</v>
      </c>
      <c r="DA151" s="687">
        <f>INPUT!EX263</f>
        <v>4.1053512344698451</v>
      </c>
      <c r="DB151" s="16"/>
      <c r="DC151" s="156">
        <f>INPUT!FP263</f>
        <v>75.612645295032209</v>
      </c>
      <c r="DD151" s="687">
        <f>INPUT!FQ263</f>
        <v>41.859373801253774</v>
      </c>
      <c r="DE151" s="156">
        <f>INPUT!FR263</f>
        <v>74.51021697914473</v>
      </c>
      <c r="DF151" s="687">
        <f>INPUT!FS263</f>
        <v>-1.4579946404280952</v>
      </c>
      <c r="DG151" s="156">
        <f>INPUT!FT263</f>
        <v>73.758457374830854</v>
      </c>
      <c r="DH151" s="687">
        <f>INPUT!FU263</f>
        <v>-1.0089349283794125</v>
      </c>
      <c r="DI151" s="156">
        <f>INPUT!FV263</f>
        <v>84.023319795624275</v>
      </c>
      <c r="DJ151" s="687">
        <f>INPUT!FW263</f>
        <v>13.916861585958507</v>
      </c>
      <c r="DK151" s="156">
        <f>INPUT!FX263</f>
        <v>82.278399588318536</v>
      </c>
      <c r="DL151" s="687">
        <f>INPUT!FY263</f>
        <v>-2.0767094320362833</v>
      </c>
      <c r="DM151" s="156">
        <f>INPUT!FZ263</f>
        <v>86.482661004954025</v>
      </c>
      <c r="DN151" s="687">
        <f>INPUT!GA263</f>
        <v>5.1097997015882468</v>
      </c>
      <c r="DO151" s="156">
        <f>INPUT!GB263</f>
        <v>83.006087627540083</v>
      </c>
      <c r="DP151" s="687">
        <f>INPUT!GC263</f>
        <v>-4.0199657792846955</v>
      </c>
      <c r="DQ151" s="156">
        <f>INPUT!GD263</f>
        <v>78.62977602108036</v>
      </c>
      <c r="DR151" s="687">
        <f>INPUT!GE263</f>
        <v>-5.2722778913479758</v>
      </c>
      <c r="DS151" s="156">
        <f>INPUT!GF263</f>
        <v>84.963768115942031</v>
      </c>
      <c r="DT151" s="687">
        <f>INPUT!GG263</f>
        <v>8.0554624664879384</v>
      </c>
      <c r="DU151" s="156">
        <f>INPUT!GH263</f>
        <v>81.288936627282496</v>
      </c>
      <c r="DV151" s="687">
        <f>INPUT!GI263</f>
        <v>-4.3251748011515208</v>
      </c>
      <c r="DW151" s="156">
        <f>INPUT!GJ263</f>
        <v>86.217457886676868</v>
      </c>
      <c r="DX151" s="687">
        <f>INPUT!GK263</f>
        <v>6.0629668241228396</v>
      </c>
      <c r="DY151" s="156">
        <f>INPUT!GL263</f>
        <v>83.9035449299258</v>
      </c>
      <c r="DZ151" s="687">
        <f>INPUT!GM263</f>
        <v>-2.6838102322530144</v>
      </c>
      <c r="EA151" s="156">
        <f>INPUT!GN263</f>
        <v>89.100077579519009</v>
      </c>
      <c r="EB151" s="687">
        <f>INPUT!GO263</f>
        <v>6.1934601856610705</v>
      </c>
      <c r="EC151" s="156">
        <f>INPUT!GP263</f>
        <v>89.64392181195808</v>
      </c>
      <c r="ED151" s="687">
        <f>INPUT!GQ263</f>
        <v>0.61037458912840403</v>
      </c>
      <c r="EE151" s="156">
        <f>INPUT!GR263</f>
        <v>89.66169195518934</v>
      </c>
      <c r="EF151" s="687">
        <f>INPUT!GS263</f>
        <v>1.9823031915700007E-2</v>
      </c>
      <c r="EG151" s="156">
        <f>INPUT!GT263</f>
        <v>89.885452240033715</v>
      </c>
      <c r="EH151" s="687">
        <f>INPUT!GU263</f>
        <v>0.24956063170902265</v>
      </c>
      <c r="EI151" s="156">
        <f>INPUT!GV263</f>
        <v>89.840258623641802</v>
      </c>
      <c r="EJ151" s="687">
        <f>INPUT!GW263</f>
        <v>-5.0279122222385286E-2</v>
      </c>
      <c r="EK151" s="156">
        <f>INPUT!GX263</f>
        <v>89.790156709312413</v>
      </c>
      <c r="EL151" s="687">
        <f>INPUT!GY263</f>
        <v>-5.576777615843298E-2</v>
      </c>
      <c r="EM151" s="687">
        <f>INPUT!GZ263</f>
        <v>0.15442212115464038</v>
      </c>
    </row>
    <row r="152" spans="1:152" ht="12.75" hidden="1" customHeight="1" outlineLevel="1" x14ac:dyDescent="0.2">
      <c r="A152" s="718" t="str">
        <f>INPUT!B265</f>
        <v>Other Op Exp/Net Revenues (%)</v>
      </c>
      <c r="B152" s="156">
        <f>INPUT!AY265</f>
        <v>41.696902037398836</v>
      </c>
      <c r="C152" s="687">
        <f>INPUT!AZ265</f>
        <v>-2.5045353056097897</v>
      </c>
      <c r="D152" s="156">
        <f>INPUT!BA265</f>
        <v>41.824518866494927</v>
      </c>
      <c r="E152" s="687">
        <f>INPUT!BB265</f>
        <v>-2.1387471182011675</v>
      </c>
      <c r="F152" s="156">
        <f>INPUT!BC265</f>
        <v>49.028077753779705</v>
      </c>
      <c r="G152" s="687">
        <f>INPUT!BD265</f>
        <v>-3.3742105100865616</v>
      </c>
      <c r="H152" s="156">
        <f>INPUT!BE265</f>
        <v>52.298119077923907</v>
      </c>
      <c r="I152" s="687">
        <f>INPUT!BF265</f>
        <v>11.323382103630554</v>
      </c>
      <c r="J152" s="156">
        <f>INPUT!BG265</f>
        <v>51.549256634708904</v>
      </c>
      <c r="K152" s="687">
        <f>INPUT!BH265</f>
        <v>23.628505034914294</v>
      </c>
      <c r="L152" s="156">
        <f>INPUT!BI265</f>
        <v>50.291400142146401</v>
      </c>
      <c r="M152" s="687">
        <f>INPUT!BJ265</f>
        <v>20.243822296385527</v>
      </c>
      <c r="N152" s="156">
        <f>INPUT!BK265</f>
        <v>46.604614577871004</v>
      </c>
      <c r="O152" s="687">
        <f>INPUT!BL265</f>
        <v>-4.9430107949151036</v>
      </c>
      <c r="P152" s="156">
        <f>INPUT!BM265</f>
        <v>47.064935064935078</v>
      </c>
      <c r="Q152" s="687">
        <f>INPUT!BN265</f>
        <v>-10.006447851769607</v>
      </c>
      <c r="R152" s="156">
        <f>INPUT!BO265</f>
        <v>43.973037272006344</v>
      </c>
      <c r="S152" s="687">
        <f>INPUT!BP265</f>
        <v>-14.697048720584993</v>
      </c>
      <c r="T152" s="156">
        <f>INPUT!BQ265</f>
        <v>39.335285878008399</v>
      </c>
      <c r="U152" s="687">
        <f>INPUT!BR265</f>
        <v>-21.785263948052812</v>
      </c>
      <c r="V152" s="156">
        <f>INPUT!BS265</f>
        <v>45.566822672906916</v>
      </c>
      <c r="W152" s="687">
        <f>INPUT!BT265</f>
        <v>-2.2268007457288519</v>
      </c>
      <c r="X152" s="156">
        <f>INPUT!BU265</f>
        <v>47.958496159547231</v>
      </c>
      <c r="Y152" s="687">
        <f>INPUT!BV265</f>
        <v>1.8985707584198597</v>
      </c>
      <c r="Z152" s="156">
        <f>INPUT!BW265</f>
        <v>41.556762348073434</v>
      </c>
      <c r="AA152" s="687">
        <f>INPUT!BX265</f>
        <v>-5.4949011344984644</v>
      </c>
      <c r="AB152" s="156">
        <f>INPUT!BY265</f>
        <v>38.698341298847332</v>
      </c>
      <c r="AC152" s="687">
        <f>INPUT!BZ265</f>
        <v>-1.6192702428461825</v>
      </c>
      <c r="AD152" s="156">
        <f>INPUT!CA265</f>
        <v>38.080884199949757</v>
      </c>
      <c r="AE152" s="687">
        <f>INPUT!CB265</f>
        <v>-16.428484660195853</v>
      </c>
      <c r="AF152" s="156">
        <f>INPUT!CC265</f>
        <v>42.224100458826356</v>
      </c>
      <c r="AG152" s="687">
        <f>INPUT!CD265</f>
        <v>-11.956996486386517</v>
      </c>
      <c r="AH152" s="156">
        <f>INPUT!CE265</f>
        <v>36.975093249909754</v>
      </c>
      <c r="AI152" s="687">
        <f>INPUT!CF265</f>
        <v>-11.02508674710576</v>
      </c>
      <c r="AJ152" s="156">
        <f>INPUT!CG265</f>
        <v>34.746774964166249</v>
      </c>
      <c r="AK152" s="687">
        <f>INPUT!CH265</f>
        <v>-10.21120337992053</v>
      </c>
      <c r="AL152" s="156">
        <f>INPUT!CI265</f>
        <v>38.619495299356757</v>
      </c>
      <c r="AM152" s="687">
        <f>INPUT!CJ265</f>
        <v>1.4143870624929278</v>
      </c>
      <c r="AN152" s="156">
        <f>INPUT!CK265</f>
        <v>40.841990158556598</v>
      </c>
      <c r="AO152" s="687">
        <f>INPUT!CL265</f>
        <v>-3.2732735221144282</v>
      </c>
      <c r="AP152" s="156">
        <f>INPUT!CM265</f>
        <v>39.834123222748815</v>
      </c>
      <c r="AQ152" s="687">
        <f>INPUT!CN265</f>
        <v>7.732313083067166</v>
      </c>
      <c r="AR152" s="156">
        <f>INPUT!CO265</f>
        <v>35.800325556158434</v>
      </c>
      <c r="AS152" s="687">
        <f>INPUT!CP265</f>
        <v>3.0320816624814562</v>
      </c>
      <c r="AT152" s="156">
        <f>INPUT!CQ265</f>
        <v>38.373438223044893</v>
      </c>
      <c r="AU152" s="687">
        <f>INPUT!CR265</f>
        <v>-0.63713177607466198</v>
      </c>
      <c r="AV152" s="156">
        <f>INPUT!CS265</f>
        <v>41.311852704257767</v>
      </c>
      <c r="AW152" s="687">
        <f>INPUT!CT265</f>
        <v>1.1504398876672539</v>
      </c>
      <c r="AX152" s="156">
        <f>INPUT!CU265</f>
        <v>33.224043715846996</v>
      </c>
      <c r="AY152" s="687">
        <f>INPUT!CV265</f>
        <v>-16.594012801383506</v>
      </c>
      <c r="AZ152" s="156">
        <f>INPUT!CW265</f>
        <v>31.852654387865652</v>
      </c>
      <c r="BA152" s="687">
        <f>INPUT!CX265</f>
        <v>-11.026914160599578</v>
      </c>
      <c r="BB152" s="156">
        <f>INPUT!CY265</f>
        <v>28.995901639344261</v>
      </c>
      <c r="BC152" s="687">
        <f>INPUT!CZ265</f>
        <v>-24.437571971512885</v>
      </c>
      <c r="BD152" s="156">
        <f>INPUT!DA265</f>
        <v>34.556574923547402</v>
      </c>
      <c r="BE152" s="687">
        <f>INPUT!DB265</f>
        <v>-16.351911953864363</v>
      </c>
      <c r="BF152" s="156">
        <f>INPUT!DC265</f>
        <v>33.441910966340934</v>
      </c>
      <c r="BG152" s="687">
        <f>INPUT!DD265</f>
        <v>0.6557517572432614</v>
      </c>
      <c r="BH152" s="156">
        <f>INPUT!DE265</f>
        <v>32.742440041710111</v>
      </c>
      <c r="BI152" s="687">
        <f>INPUT!DF265</f>
        <v>2.793442715981076</v>
      </c>
      <c r="BJ152" s="156">
        <f>INPUT!DG265</f>
        <v>34.979423868312757</v>
      </c>
      <c r="BK152" s="687">
        <f>INPUT!DH265</f>
        <v>20.63575157411044</v>
      </c>
      <c r="BL152" s="156">
        <f>INPUT!DI265</f>
        <v>36.363636363636367</v>
      </c>
      <c r="BM152" s="687">
        <f>INPUT!DJ265</f>
        <v>5.2292839903459454</v>
      </c>
      <c r="BN152" s="156">
        <f>INPUT!DK265</f>
        <v>34.396809571286141</v>
      </c>
      <c r="BO152" s="687">
        <f>INPUT!DL265</f>
        <v>2.8553948543978525</v>
      </c>
      <c r="BP152" s="156">
        <f>INPUT!DM265</f>
        <v>34.113060428849899</v>
      </c>
      <c r="BQ152" s="687">
        <f>INPUT!DN265</f>
        <v>4.186066723780435</v>
      </c>
      <c r="BR152" s="156">
        <f>INPUT!DO265</f>
        <v>31.109107303877366</v>
      </c>
      <c r="BS152" s="687">
        <f>INPUT!DP265</f>
        <v>-11.064552060680001</v>
      </c>
      <c r="BT152" s="156">
        <f>INPUT!DQ265</f>
        <v>24.917600527356626</v>
      </c>
      <c r="BU152" s="687">
        <f>INPUT!DR265</f>
        <v>-31.476598549769285</v>
      </c>
      <c r="BV152" s="156">
        <f>INPUT!DS265</f>
        <v>31.718464351005483</v>
      </c>
      <c r="BW152" s="687">
        <f>INPUT!DT265</f>
        <v>-7.7866094375115935</v>
      </c>
      <c r="BX152" s="156">
        <f>INPUT!DU265</f>
        <v>31.23861566484517</v>
      </c>
      <c r="BY152" s="687">
        <f>INPUT!DV265</f>
        <v>-8.4262295081967142</v>
      </c>
      <c r="BZ152" s="156">
        <f>INPUT!DW265</f>
        <v>25.813449023861175</v>
      </c>
      <c r="CA152" s="687">
        <f>INPUT!DX265</f>
        <v>25.813449023861175</v>
      </c>
      <c r="CB152" s="156">
        <f>INPUT!DY265</f>
        <v>38.152610441767074</v>
      </c>
      <c r="CC152" s="687">
        <f>INPUT!DZ265</f>
        <v>53.115105926350914</v>
      </c>
      <c r="CD152" s="156">
        <f>INPUT!EA265</f>
        <v>29.380530973451329</v>
      </c>
      <c r="CE152" s="687">
        <f>INPUT!EB265</f>
        <v>-7.3708908214531572</v>
      </c>
      <c r="CF152" s="156">
        <f>INPUT!EC265</f>
        <v>30.866274179983179</v>
      </c>
      <c r="CG152" s="687">
        <f>INPUT!ED265</f>
        <v>-1.19192696903343</v>
      </c>
      <c r="CH152" s="156">
        <f>INPUT!EE265</f>
        <v>30.523028883684621</v>
      </c>
      <c r="CI152" s="687">
        <f>INPUT!EF265</f>
        <v>18.244674919147961</v>
      </c>
      <c r="CJ152" s="156">
        <f>INPUT!EG265</f>
        <v>34.265175718849839</v>
      </c>
      <c r="CK152" s="687">
        <f>INPUT!EH265</f>
        <v>-10.18917101059359</v>
      </c>
      <c r="CL152" s="156">
        <f>INPUT!EI265</f>
        <v>29.832935560859188</v>
      </c>
      <c r="CM152" s="687">
        <f>INPUT!EJ265</f>
        <v>1.5398107944906148</v>
      </c>
      <c r="CN152" s="156">
        <f>INPUT!EK265</f>
        <v>30.551301684532927</v>
      </c>
      <c r="CO152" s="687">
        <f>INPUT!EL265</f>
        <v>-1.0204422264042279</v>
      </c>
      <c r="CP152" s="156">
        <f>INPUT!EM265</f>
        <v>30.14240506329114</v>
      </c>
      <c r="CQ152" s="687">
        <f>INPUT!EN265</f>
        <v>-1.2470054064553704</v>
      </c>
      <c r="CR152" s="156">
        <f>INPUT!EO265</f>
        <v>29.270127915726107</v>
      </c>
      <c r="CS152" s="687">
        <f>INPUT!EP265</f>
        <v>-14.577622026831961</v>
      </c>
      <c r="CT152" s="156">
        <f>INPUT!EQ265</f>
        <v>29.070127915726108</v>
      </c>
      <c r="CU152" s="687">
        <f>INPUT!ER265</f>
        <v>-2.5569312264860811</v>
      </c>
      <c r="CV152" s="156">
        <f>INPUT!ES265</f>
        <v>29.070127915726108</v>
      </c>
      <c r="CW152" s="687">
        <f>INPUT!ET265</f>
        <v>-4.8481527369967576</v>
      </c>
      <c r="CX152" s="156">
        <f>INPUT!EU265</f>
        <v>29.070127915726108</v>
      </c>
      <c r="CY152" s="687">
        <f>INPUT!EV265</f>
        <v>-3.5573709042577395</v>
      </c>
      <c r="CZ152" s="156">
        <f>INPUT!EW265</f>
        <v>29.070127915726108</v>
      </c>
      <c r="DA152" s="687">
        <f>INPUT!EX265</f>
        <v>-0.68329048843187579</v>
      </c>
      <c r="DB152" s="16"/>
      <c r="DC152" s="156">
        <f>INPUT!FP265</f>
        <v>45.754053453764719</v>
      </c>
      <c r="DD152" s="687">
        <f>INPUT!FQ265</f>
        <v>74.314522667410358</v>
      </c>
      <c r="DE152" s="156">
        <f>INPUT!FR265</f>
        <v>46.892774383821362</v>
      </c>
      <c r="DF152" s="687">
        <f>INPUT!FS265</f>
        <v>2.4887869906593973</v>
      </c>
      <c r="DG152" s="156">
        <f>INPUT!FT265</f>
        <v>48.805818673883621</v>
      </c>
      <c r="DH152" s="687">
        <f>INPUT!FU265</f>
        <v>4.0796142160492099</v>
      </c>
      <c r="DI152" s="156">
        <f>INPUT!FV265</f>
        <v>44.150399580767726</v>
      </c>
      <c r="DJ152" s="687">
        <f>INPUT!FW265</f>
        <v>-9.5386558808141615</v>
      </c>
      <c r="DK152" s="156">
        <f>INPUT!FX265</f>
        <v>40.190402675929498</v>
      </c>
      <c r="DL152" s="687">
        <f>INPUT!FY265</f>
        <v>-8.9693342357953121</v>
      </c>
      <c r="DM152" s="156">
        <f>INPUT!FZ265</f>
        <v>37.859754659117719</v>
      </c>
      <c r="DN152" s="687">
        <f>INPUT!GA265</f>
        <v>-5.7990163363245699</v>
      </c>
      <c r="DO152" s="156">
        <f>INPUT!GB265</f>
        <v>38.777901626225379</v>
      </c>
      <c r="DP152" s="687">
        <f>INPUT!GC265</f>
        <v>2.425126563482749</v>
      </c>
      <c r="DQ152" s="156">
        <f>INPUT!GD265</f>
        <v>32.147562582345188</v>
      </c>
      <c r="DR152" s="687">
        <f>INPUT!GE265</f>
        <v>-17.098240920277419</v>
      </c>
      <c r="DS152" s="156">
        <f>INPUT!GF265</f>
        <v>34.420289855072461</v>
      </c>
      <c r="DT152" s="687">
        <f>INPUT!GG265</f>
        <v>7.069672131147553</v>
      </c>
      <c r="DU152" s="156">
        <f>INPUT!GH265</f>
        <v>30.461868958109562</v>
      </c>
      <c r="DV152" s="687">
        <f>INPUT!GI265</f>
        <v>-11.500254395386944</v>
      </c>
      <c r="DW152" s="156">
        <f>INPUT!GJ265</f>
        <v>31.218551739225553</v>
      </c>
      <c r="DX152" s="687">
        <f>INPUT!GK265</f>
        <v>2.4840326841290006</v>
      </c>
      <c r="DY152" s="156">
        <f>INPUT!GL265</f>
        <v>31.306677658697446</v>
      </c>
      <c r="DZ152" s="687">
        <f>INPUT!GM265</f>
        <v>0.28228702025649977</v>
      </c>
      <c r="EA152" s="156">
        <f>INPUT!GN265</f>
        <v>29.945694336695112</v>
      </c>
      <c r="EB152" s="687">
        <f>INPUT!GO265</f>
        <v>-4.3472620660667038</v>
      </c>
      <c r="EC152" s="156">
        <f>INPUT!GP265</f>
        <v>29.070127915726118</v>
      </c>
      <c r="ED152" s="687">
        <f>INPUT!GQ265</f>
        <v>-2.9238474524068248</v>
      </c>
      <c r="EE152" s="156">
        <f>INPUT!GR265</f>
        <v>29.270127915726118</v>
      </c>
      <c r="EF152" s="687">
        <f>INPUT!GS265</f>
        <v>0.68799146869871208</v>
      </c>
      <c r="EG152" s="156">
        <f>INPUT!GT265</f>
        <v>29.270127915726118</v>
      </c>
      <c r="EH152" s="687">
        <f>INPUT!GU265</f>
        <v>0</v>
      </c>
      <c r="EI152" s="156">
        <f>INPUT!GV265</f>
        <v>29.270127915726118</v>
      </c>
      <c r="EJ152" s="687">
        <f>INPUT!GW265</f>
        <v>0</v>
      </c>
      <c r="EK152" s="156">
        <f>INPUT!GX265</f>
        <v>29.270127915726118</v>
      </c>
      <c r="EL152" s="687">
        <f>INPUT!GY265</f>
        <v>0</v>
      </c>
      <c r="EM152" s="687">
        <f>INPUT!GZ265</f>
        <v>-0.45532188498194071</v>
      </c>
    </row>
    <row r="153" spans="1:152" ht="12.75" hidden="1" customHeight="1" outlineLevel="1" x14ac:dyDescent="0.2">
      <c r="A153" s="701"/>
      <c r="B153" s="16"/>
      <c r="C153" s="687"/>
      <c r="D153" s="16"/>
      <c r="E153" s="687"/>
      <c r="F153" s="16"/>
      <c r="G153" s="687"/>
      <c r="H153" s="16"/>
      <c r="I153" s="687"/>
      <c r="J153" s="16"/>
      <c r="K153" s="687"/>
      <c r="L153" s="16"/>
      <c r="M153" s="687"/>
      <c r="N153" s="16"/>
      <c r="O153" s="687"/>
      <c r="P153" s="16"/>
      <c r="Q153" s="687"/>
      <c r="R153" s="16"/>
      <c r="S153" s="687"/>
      <c r="T153" s="16"/>
      <c r="U153" s="687"/>
      <c r="V153" s="16"/>
      <c r="W153" s="687"/>
      <c r="X153" s="16"/>
      <c r="Y153" s="687"/>
      <c r="Z153" s="16"/>
      <c r="AA153" s="687"/>
      <c r="AB153" s="16"/>
      <c r="AC153" s="687"/>
      <c r="AD153" s="16"/>
      <c r="AE153" s="687"/>
      <c r="AF153" s="16"/>
      <c r="AG153" s="687"/>
      <c r="AH153" s="16"/>
      <c r="AI153" s="687"/>
      <c r="AJ153" s="16"/>
      <c r="AK153" s="687"/>
      <c r="AL153" s="16"/>
      <c r="AM153" s="687"/>
      <c r="AN153" s="16"/>
      <c r="AO153" s="687"/>
      <c r="AP153" s="16"/>
      <c r="AQ153" s="687"/>
      <c r="AR153" s="16"/>
      <c r="AS153" s="687"/>
      <c r="AT153" s="16"/>
      <c r="AU153" s="687"/>
      <c r="AV153" s="16"/>
      <c r="AW153" s="687"/>
      <c r="AX153" s="16"/>
      <c r="AY153" s="687"/>
      <c r="AZ153" s="16"/>
      <c r="BA153" s="687"/>
      <c r="BB153" s="16"/>
      <c r="BC153" s="687"/>
      <c r="BD153" s="16"/>
      <c r="BE153" s="687"/>
      <c r="BF153" s="16"/>
      <c r="BG153" s="687"/>
      <c r="BH153" s="16"/>
      <c r="BI153" s="687"/>
      <c r="BJ153" s="16"/>
      <c r="BK153" s="687"/>
      <c r="BL153" s="16"/>
      <c r="BM153" s="687"/>
      <c r="BN153" s="16"/>
      <c r="BO153" s="687"/>
      <c r="BP153" s="16"/>
      <c r="BQ153" s="687"/>
      <c r="BR153" s="16"/>
      <c r="BS153" s="687"/>
      <c r="BT153" s="16"/>
      <c r="BU153" s="687"/>
      <c r="BV153" s="16"/>
      <c r="BW153" s="687"/>
      <c r="BX153" s="16"/>
      <c r="BY153" s="687"/>
      <c r="BZ153" s="16"/>
      <c r="CA153" s="687"/>
      <c r="CB153" s="16"/>
      <c r="CC153" s="687"/>
      <c r="CD153" s="16"/>
      <c r="CE153" s="687"/>
      <c r="CF153" s="16"/>
      <c r="CG153" s="687"/>
      <c r="CH153" s="16"/>
      <c r="CI153" s="687"/>
      <c r="CJ153" s="16"/>
      <c r="CK153" s="687"/>
      <c r="CL153" s="16"/>
      <c r="CM153" s="687"/>
      <c r="CN153" s="16"/>
      <c r="CO153" s="687"/>
      <c r="CP153" s="16"/>
      <c r="CQ153" s="687"/>
      <c r="CR153" s="16"/>
      <c r="CS153" s="687"/>
      <c r="CT153" s="16"/>
      <c r="CU153" s="687"/>
      <c r="CV153" s="16"/>
      <c r="CW153" s="687"/>
      <c r="CX153" s="16"/>
      <c r="CY153" s="687"/>
      <c r="CZ153" s="16"/>
      <c r="DA153" s="687"/>
      <c r="DB153" s="16"/>
      <c r="DC153" s="16"/>
      <c r="DD153" s="687"/>
      <c r="DE153" s="16"/>
      <c r="DF153" s="687"/>
      <c r="DG153" s="16"/>
      <c r="DH153" s="687"/>
      <c r="DI153" s="16"/>
      <c r="DJ153" s="687"/>
      <c r="DK153" s="16"/>
      <c r="DL153" s="687"/>
      <c r="DM153" s="16"/>
      <c r="DN153" s="687"/>
      <c r="DO153" s="16"/>
      <c r="DP153" s="687"/>
      <c r="DQ153" s="16"/>
      <c r="DR153" s="687"/>
      <c r="DS153" s="16"/>
      <c r="DT153" s="687"/>
      <c r="DU153" s="16"/>
      <c r="DV153" s="687"/>
      <c r="DW153" s="16"/>
      <c r="DX153" s="687"/>
      <c r="DY153" s="16"/>
      <c r="DZ153" s="687"/>
      <c r="EA153" s="16"/>
      <c r="EB153" s="687"/>
      <c r="EC153" s="16"/>
      <c r="ED153" s="687"/>
      <c r="EE153" s="16"/>
      <c r="EF153" s="687"/>
      <c r="EG153" s="16"/>
      <c r="EH153" s="687"/>
      <c r="EI153" s="16"/>
      <c r="EJ153" s="687"/>
      <c r="EK153" s="16"/>
      <c r="EL153" s="687"/>
      <c r="EM153" s="687"/>
    </row>
    <row r="154" spans="1:152" ht="12.75" hidden="1" customHeight="1" outlineLevel="1" x14ac:dyDescent="0.2">
      <c r="A154" s="689" t="str">
        <f>+A60</f>
        <v>Quarterly income statement ratios are annualized where appropriate     NM = Not Meaningful       NA = Not Applicable  E=Morgan Stanley Estimates</v>
      </c>
      <c r="B154" s="16"/>
      <c r="C154" s="687"/>
      <c r="D154" s="16"/>
      <c r="E154" s="687"/>
      <c r="F154" s="16"/>
      <c r="G154" s="687"/>
      <c r="H154" s="16"/>
      <c r="I154" s="687"/>
      <c r="J154" s="16"/>
      <c r="K154" s="687"/>
      <c r="L154" s="16"/>
      <c r="M154" s="687"/>
      <c r="N154" s="16"/>
      <c r="O154" s="687"/>
      <c r="P154" s="16"/>
      <c r="Q154" s="687"/>
      <c r="R154" s="16"/>
      <c r="S154" s="687"/>
      <c r="T154" s="16"/>
      <c r="U154" s="687"/>
      <c r="V154" s="16"/>
      <c r="W154" s="687"/>
      <c r="X154" s="16"/>
      <c r="Y154" s="687"/>
      <c r="Z154" s="16"/>
      <c r="AA154" s="687"/>
      <c r="AB154" s="16"/>
      <c r="AC154" s="687"/>
      <c r="AD154" s="16"/>
      <c r="AE154" s="687"/>
      <c r="AF154" s="16"/>
      <c r="AG154" s="687"/>
      <c r="AH154" s="16"/>
      <c r="AI154" s="687"/>
      <c r="AJ154" s="16"/>
      <c r="AK154" s="687"/>
      <c r="AL154" s="16"/>
      <c r="AM154" s="687"/>
      <c r="AN154" s="16"/>
      <c r="AO154" s="687"/>
      <c r="AP154" s="16"/>
      <c r="AQ154" s="687"/>
      <c r="AR154" s="16"/>
      <c r="AS154" s="687"/>
      <c r="AT154" s="16"/>
      <c r="AU154" s="687"/>
      <c r="AV154" s="16"/>
      <c r="AW154" s="687"/>
      <c r="AX154" s="16"/>
      <c r="AY154" s="687"/>
      <c r="AZ154" s="16"/>
      <c r="BA154" s="687"/>
      <c r="BB154" s="16"/>
      <c r="BC154" s="687"/>
      <c r="BD154" s="16"/>
      <c r="BE154" s="687"/>
      <c r="BF154" s="16"/>
      <c r="BG154" s="687"/>
      <c r="BH154" s="16"/>
      <c r="BI154" s="687"/>
      <c r="BJ154" s="16"/>
      <c r="BK154" s="687"/>
      <c r="BL154" s="16"/>
      <c r="BM154" s="687"/>
      <c r="BN154" s="16"/>
      <c r="BO154" s="687"/>
      <c r="BP154" s="16"/>
      <c r="BQ154" s="687"/>
      <c r="BR154" s="16"/>
      <c r="BS154" s="687"/>
      <c r="BT154" s="16"/>
      <c r="BU154" s="687"/>
      <c r="BV154" s="16"/>
      <c r="BW154" s="687"/>
      <c r="BX154" s="16"/>
      <c r="BY154" s="687"/>
      <c r="BZ154" s="16"/>
      <c r="CA154" s="687"/>
      <c r="CB154" s="16"/>
      <c r="CC154" s="687"/>
      <c r="CD154" s="16"/>
      <c r="CE154" s="687"/>
      <c r="CF154" s="16"/>
      <c r="CG154" s="687"/>
      <c r="CH154" s="16"/>
      <c r="CI154" s="687"/>
      <c r="CJ154" s="16"/>
      <c r="CK154" s="687"/>
      <c r="CL154" s="16"/>
      <c r="CM154" s="687"/>
      <c r="CN154" s="16"/>
      <c r="CO154" s="687"/>
      <c r="CP154" s="16"/>
      <c r="CQ154" s="687"/>
      <c r="CR154" s="16"/>
      <c r="CS154" s="687"/>
      <c r="CT154" s="16"/>
      <c r="CU154" s="687"/>
      <c r="CV154" s="16"/>
      <c r="CW154" s="687"/>
      <c r="CX154" s="16"/>
      <c r="CY154" s="687"/>
      <c r="CZ154" s="16"/>
      <c r="DA154" s="687"/>
      <c r="DB154" s="16"/>
      <c r="DC154" s="16"/>
      <c r="DD154" s="687"/>
      <c r="DE154" s="16"/>
      <c r="DF154" s="687"/>
      <c r="DG154" s="16"/>
      <c r="DH154" s="687"/>
      <c r="DI154" s="16"/>
      <c r="DJ154" s="687"/>
      <c r="DK154" s="16"/>
      <c r="DL154" s="687"/>
      <c r="DM154" s="16"/>
      <c r="DN154" s="687"/>
      <c r="DO154" s="16"/>
      <c r="DP154" s="687"/>
      <c r="DQ154" s="16"/>
      <c r="DR154" s="687"/>
      <c r="DS154" s="16"/>
      <c r="DT154" s="687"/>
      <c r="DU154" s="16"/>
      <c r="DV154" s="687"/>
      <c r="DW154" s="16"/>
      <c r="DX154" s="687"/>
      <c r="DY154" s="16"/>
      <c r="DZ154" s="687"/>
      <c r="EA154" s="16"/>
      <c r="EB154" s="687"/>
      <c r="EC154" s="16"/>
      <c r="ED154" s="687"/>
      <c r="EE154" s="16"/>
      <c r="EF154" s="687"/>
      <c r="EG154" s="16"/>
      <c r="EH154" s="687"/>
      <c r="EI154" s="16"/>
      <c r="EJ154" s="687"/>
      <c r="EK154" s="16"/>
      <c r="EL154" s="687"/>
      <c r="EM154" s="687"/>
    </row>
    <row r="155" spans="1:152" ht="12.75" hidden="1" customHeight="1" outlineLevel="1" x14ac:dyDescent="0.2">
      <c r="A155" s="689" t="s">
        <v>525</v>
      </c>
      <c r="B155" s="16"/>
      <c r="C155" s="687"/>
      <c r="D155" s="16"/>
      <c r="E155" s="687"/>
      <c r="F155" s="16"/>
      <c r="G155" s="687"/>
      <c r="H155" s="16"/>
      <c r="I155" s="687"/>
      <c r="J155" s="16"/>
      <c r="K155" s="687"/>
      <c r="L155" s="16"/>
      <c r="M155" s="687"/>
      <c r="N155" s="16"/>
      <c r="O155" s="687"/>
      <c r="P155" s="16"/>
      <c r="Q155" s="687"/>
      <c r="R155" s="16"/>
      <c r="S155" s="687"/>
      <c r="T155" s="16"/>
      <c r="U155" s="687"/>
      <c r="V155" s="16"/>
      <c r="W155" s="687"/>
      <c r="X155" s="16"/>
      <c r="Y155" s="687"/>
      <c r="Z155" s="16"/>
      <c r="AA155" s="687"/>
      <c r="AB155" s="16"/>
      <c r="AC155" s="687"/>
      <c r="AD155" s="16"/>
      <c r="AE155" s="687"/>
      <c r="AF155" s="16"/>
      <c r="AG155" s="687"/>
      <c r="AH155" s="16"/>
      <c r="AI155" s="687"/>
      <c r="AJ155" s="16"/>
      <c r="AK155" s="687"/>
      <c r="AL155" s="16"/>
      <c r="AM155" s="687"/>
      <c r="AN155" s="16"/>
      <c r="AO155" s="687"/>
      <c r="AP155" s="16"/>
      <c r="AQ155" s="687"/>
      <c r="AR155" s="16"/>
      <c r="AS155" s="687"/>
      <c r="AT155" s="16"/>
      <c r="AU155" s="687"/>
      <c r="AV155" s="16"/>
      <c r="AW155" s="687"/>
      <c r="AX155" s="16"/>
      <c r="AY155" s="687"/>
      <c r="AZ155" s="16"/>
      <c r="BA155" s="687"/>
      <c r="BB155" s="16"/>
      <c r="BC155" s="687"/>
      <c r="BD155" s="16"/>
      <c r="BE155" s="687"/>
      <c r="BF155" s="16"/>
      <c r="BG155" s="687"/>
      <c r="BH155" s="16"/>
      <c r="BI155" s="687"/>
      <c r="BJ155" s="16"/>
      <c r="BK155" s="687"/>
      <c r="BL155" s="16"/>
      <c r="BM155" s="687"/>
      <c r="BN155" s="16"/>
      <c r="BO155" s="687"/>
      <c r="BP155" s="16"/>
      <c r="BQ155" s="687"/>
      <c r="BR155" s="16"/>
      <c r="BS155" s="687"/>
      <c r="BT155" s="16"/>
      <c r="BU155" s="687"/>
      <c r="BV155" s="16"/>
      <c r="BW155" s="687"/>
      <c r="BX155" s="16"/>
      <c r="BY155" s="687"/>
      <c r="BZ155" s="16"/>
      <c r="CA155" s="687"/>
      <c r="CB155" s="16"/>
      <c r="CC155" s="687"/>
      <c r="CD155" s="16"/>
      <c r="CE155" s="687"/>
      <c r="CF155" s="16"/>
      <c r="CG155" s="687"/>
      <c r="CH155" s="16"/>
      <c r="CI155" s="687"/>
      <c r="CJ155" s="16"/>
      <c r="CK155" s="687"/>
      <c r="CL155" s="16"/>
      <c r="CM155" s="687"/>
      <c r="CN155" s="16"/>
      <c r="CO155" s="687"/>
      <c r="CP155" s="16"/>
      <c r="CQ155" s="687"/>
      <c r="CR155" s="16"/>
      <c r="CS155" s="687"/>
      <c r="CT155" s="16"/>
      <c r="CU155" s="687"/>
      <c r="CV155" s="16"/>
      <c r="CW155" s="687"/>
      <c r="CX155" s="16"/>
      <c r="CY155" s="687"/>
      <c r="CZ155" s="16"/>
      <c r="DA155" s="687"/>
      <c r="DB155" s="16"/>
      <c r="DC155" s="16"/>
      <c r="DD155" s="687"/>
      <c r="DE155" s="16"/>
      <c r="DF155" s="687"/>
      <c r="DG155" s="16"/>
      <c r="DH155" s="687"/>
      <c r="DI155" s="16"/>
      <c r="DJ155" s="687"/>
      <c r="DK155" s="16"/>
      <c r="DL155" s="687"/>
      <c r="DM155" s="16"/>
      <c r="DN155" s="687"/>
      <c r="DO155" s="16"/>
      <c r="DP155" s="687"/>
      <c r="DQ155" s="16"/>
      <c r="DR155" s="687"/>
      <c r="DS155" s="16"/>
      <c r="DT155" s="687"/>
      <c r="DU155" s="16"/>
      <c r="DV155" s="687"/>
      <c r="DW155" s="16"/>
      <c r="DX155" s="687"/>
      <c r="DY155" s="16"/>
      <c r="DZ155" s="687"/>
      <c r="EA155" s="16"/>
      <c r="EB155" s="687"/>
      <c r="EC155" s="16"/>
      <c r="ED155" s="687"/>
      <c r="EE155" s="16"/>
      <c r="EF155" s="687"/>
      <c r="EG155" s="16"/>
      <c r="EH155" s="687"/>
      <c r="EI155" s="16"/>
      <c r="EJ155" s="687"/>
      <c r="EK155" s="16"/>
      <c r="EL155" s="687"/>
      <c r="EM155" s="687"/>
    </row>
    <row r="156" spans="1:152" ht="12.75" hidden="1" customHeight="1" outlineLevel="1" x14ac:dyDescent="0.2">
      <c r="A156" s="701"/>
      <c r="B156" s="16"/>
      <c r="C156" s="687"/>
      <c r="D156" s="16"/>
      <c r="E156" s="687"/>
      <c r="F156" s="16"/>
      <c r="G156" s="687"/>
      <c r="H156" s="16"/>
      <c r="I156" s="687"/>
      <c r="J156" s="16"/>
      <c r="K156" s="687"/>
      <c r="L156" s="16"/>
      <c r="M156" s="687"/>
      <c r="N156" s="16"/>
      <c r="O156" s="687"/>
      <c r="P156" s="16"/>
      <c r="Q156" s="687"/>
      <c r="R156" s="16"/>
      <c r="S156" s="687"/>
      <c r="T156" s="16"/>
      <c r="U156" s="687"/>
      <c r="V156" s="16"/>
      <c r="W156" s="687"/>
      <c r="X156" s="16"/>
      <c r="Y156" s="687"/>
      <c r="Z156" s="16"/>
      <c r="AA156" s="687"/>
      <c r="AB156" s="16"/>
      <c r="AC156" s="687"/>
      <c r="AD156" s="16"/>
      <c r="AE156" s="687"/>
      <c r="AF156" s="16"/>
      <c r="AG156" s="687"/>
      <c r="AH156" s="16"/>
      <c r="AI156" s="687"/>
      <c r="AJ156" s="16"/>
      <c r="AK156" s="687"/>
      <c r="AL156" s="16"/>
      <c r="AM156" s="687"/>
      <c r="AN156" s="16"/>
      <c r="AO156" s="687"/>
      <c r="AP156" s="16"/>
      <c r="AQ156" s="687"/>
      <c r="AR156" s="16"/>
      <c r="AS156" s="687"/>
      <c r="AT156" s="16"/>
      <c r="AU156" s="687"/>
      <c r="AV156" s="16"/>
      <c r="AW156" s="687"/>
      <c r="AX156" s="16"/>
      <c r="AY156" s="687"/>
      <c r="AZ156" s="16"/>
      <c r="BA156" s="687"/>
      <c r="BB156" s="16"/>
      <c r="BC156" s="687"/>
      <c r="BD156" s="16"/>
      <c r="BE156" s="687"/>
      <c r="BF156" s="16"/>
      <c r="BG156" s="687"/>
      <c r="BH156" s="16"/>
      <c r="BI156" s="687"/>
      <c r="BJ156" s="16"/>
      <c r="BK156" s="687"/>
      <c r="BL156" s="16"/>
      <c r="BM156" s="687"/>
      <c r="BN156" s="16"/>
      <c r="BO156" s="687"/>
      <c r="BP156" s="16"/>
      <c r="BQ156" s="687"/>
      <c r="BR156" s="16"/>
      <c r="BS156" s="687"/>
      <c r="BT156" s="16"/>
      <c r="BU156" s="687"/>
      <c r="BV156" s="16"/>
      <c r="BW156" s="687"/>
      <c r="BX156" s="16"/>
      <c r="BY156" s="687"/>
      <c r="BZ156" s="16"/>
      <c r="CA156" s="687"/>
      <c r="CB156" s="16"/>
      <c r="CC156" s="687"/>
      <c r="CD156" s="16"/>
      <c r="CE156" s="687"/>
      <c r="CF156" s="16"/>
      <c r="CG156" s="687"/>
      <c r="CH156" s="16"/>
      <c r="CI156" s="687"/>
      <c r="CJ156" s="16"/>
      <c r="CK156" s="687"/>
      <c r="CL156" s="16"/>
      <c r="CM156" s="687"/>
      <c r="CN156" s="16"/>
      <c r="CO156" s="687"/>
      <c r="CP156" s="16"/>
      <c r="CQ156" s="687"/>
      <c r="CR156" s="16"/>
      <c r="CS156" s="687"/>
      <c r="CT156" s="16"/>
      <c r="CU156" s="687"/>
      <c r="CV156" s="16"/>
      <c r="CW156" s="687"/>
      <c r="CX156" s="16"/>
      <c r="CY156" s="687"/>
      <c r="CZ156" s="16"/>
      <c r="DA156" s="687"/>
      <c r="DB156" s="16"/>
      <c r="DC156" s="16"/>
      <c r="DD156" s="687"/>
      <c r="DE156" s="16"/>
      <c r="DF156" s="687"/>
      <c r="DG156" s="16"/>
      <c r="DH156" s="687"/>
      <c r="DI156" s="16"/>
      <c r="DJ156" s="687"/>
      <c r="DK156" s="16"/>
      <c r="DL156" s="687"/>
      <c r="DM156" s="16"/>
      <c r="DN156" s="687"/>
      <c r="DO156" s="16"/>
      <c r="DP156" s="687"/>
      <c r="DQ156" s="16"/>
      <c r="DR156" s="687"/>
      <c r="DS156" s="16"/>
      <c r="DT156" s="687"/>
      <c r="DU156" s="16"/>
      <c r="DV156" s="687"/>
      <c r="DW156" s="16"/>
      <c r="DX156" s="687"/>
      <c r="DY156" s="16"/>
      <c r="DZ156" s="687"/>
      <c r="EA156" s="16"/>
      <c r="EB156" s="687"/>
      <c r="EC156" s="16"/>
      <c r="ED156" s="687"/>
      <c r="EE156" s="16"/>
      <c r="EF156" s="687"/>
      <c r="EG156" s="16"/>
      <c r="EH156" s="687"/>
      <c r="EI156" s="16"/>
      <c r="EJ156" s="687"/>
      <c r="EK156" s="16"/>
      <c r="EL156" s="687"/>
      <c r="EM156" s="702"/>
    </row>
    <row r="157" spans="1:152" ht="21.95" hidden="1" customHeight="1" outlineLevel="1" x14ac:dyDescent="0.3">
      <c r="A157" s="769" t="str">
        <f>$A$1</f>
        <v>Lincoln National</v>
      </c>
      <c r="B157" s="683"/>
      <c r="C157" s="684"/>
      <c r="D157" s="683"/>
      <c r="E157" s="684"/>
      <c r="F157" s="683"/>
      <c r="G157" s="684"/>
      <c r="H157" s="683"/>
      <c r="I157" s="684"/>
      <c r="J157" s="683"/>
      <c r="K157" s="684"/>
      <c r="L157" s="683"/>
      <c r="M157" s="684"/>
      <c r="N157" s="683"/>
      <c r="O157" s="684"/>
      <c r="P157" s="683"/>
      <c r="Q157" s="684"/>
      <c r="R157" s="683"/>
      <c r="S157" s="684"/>
      <c r="T157" s="683"/>
      <c r="U157" s="684"/>
      <c r="V157" s="683"/>
      <c r="W157" s="684"/>
      <c r="X157" s="683"/>
      <c r="Y157" s="684"/>
      <c r="Z157" s="683"/>
      <c r="AA157" s="684"/>
      <c r="AB157" s="683"/>
      <c r="AC157" s="684"/>
      <c r="AD157" s="683"/>
      <c r="AE157" s="684"/>
      <c r="AF157" s="683"/>
      <c r="AG157" s="684"/>
      <c r="AH157" s="683"/>
      <c r="AI157" s="684"/>
      <c r="AJ157" s="683"/>
      <c r="AK157" s="684"/>
      <c r="AL157" s="683"/>
      <c r="AM157" s="684"/>
      <c r="AN157" s="683"/>
      <c r="AO157" s="684"/>
      <c r="AP157" s="683"/>
      <c r="AQ157" s="684"/>
      <c r="AR157" s="683"/>
      <c r="AS157" s="684"/>
      <c r="AT157" s="683"/>
      <c r="AU157" s="684"/>
      <c r="AV157" s="683"/>
      <c r="AW157" s="684"/>
      <c r="AX157" s="683"/>
      <c r="AY157" s="684"/>
      <c r="AZ157" s="683"/>
      <c r="BA157" s="684"/>
      <c r="BB157" s="683"/>
      <c r="BC157" s="684"/>
      <c r="BD157" s="683"/>
      <c r="BE157" s="684"/>
      <c r="BF157" s="683"/>
      <c r="BG157" s="684"/>
      <c r="BH157" s="683"/>
      <c r="BI157" s="684"/>
      <c r="BJ157" s="683"/>
      <c r="BK157" s="684"/>
      <c r="BL157" s="683"/>
      <c r="BM157" s="684"/>
      <c r="BN157" s="683"/>
      <c r="BO157" s="684"/>
      <c r="BP157" s="683"/>
      <c r="BQ157" s="684"/>
      <c r="BR157" s="683"/>
      <c r="BS157" s="684"/>
      <c r="BT157" s="683"/>
      <c r="BU157" s="684"/>
      <c r="BV157" s="683"/>
      <c r="BW157" s="684"/>
      <c r="BX157" s="683"/>
      <c r="BY157" s="684"/>
      <c r="BZ157" s="683"/>
      <c r="CA157" s="684"/>
      <c r="CB157" s="683"/>
      <c r="CC157" s="684"/>
      <c r="CD157" s="683"/>
      <c r="CE157" s="684"/>
      <c r="CF157" s="683"/>
      <c r="CG157" s="684"/>
      <c r="CH157" s="683"/>
      <c r="CI157" s="684"/>
      <c r="CJ157" s="683"/>
      <c r="CK157" s="684"/>
      <c r="CL157" s="683"/>
      <c r="CM157" s="684"/>
      <c r="CN157" s="683"/>
      <c r="CO157" s="684"/>
      <c r="CP157" s="683"/>
      <c r="CQ157" s="684"/>
      <c r="CR157" s="683"/>
      <c r="CS157" s="684"/>
      <c r="CT157" s="683"/>
      <c r="CU157" s="684"/>
      <c r="CV157" s="683"/>
      <c r="CW157" s="684"/>
      <c r="CX157" s="683"/>
      <c r="CY157" s="684"/>
      <c r="CZ157" s="683"/>
      <c r="DA157" s="684"/>
      <c r="DB157" s="684"/>
      <c r="DC157" s="683"/>
      <c r="DD157" s="684"/>
      <c r="DE157" s="683"/>
      <c r="DF157" s="684"/>
      <c r="DG157" s="683"/>
      <c r="DH157" s="684"/>
      <c r="DI157" s="683"/>
      <c r="DJ157" s="684"/>
      <c r="DK157" s="683"/>
      <c r="DL157" s="684"/>
      <c r="DM157" s="683"/>
      <c r="DN157" s="684"/>
      <c r="DO157" s="683"/>
      <c r="DP157" s="684"/>
      <c r="DQ157" s="683"/>
      <c r="DR157" s="684"/>
      <c r="DS157" s="683"/>
      <c r="DT157" s="684"/>
      <c r="DU157" s="683"/>
      <c r="DV157" s="684"/>
      <c r="DW157" s="683"/>
      <c r="DX157" s="684"/>
      <c r="DY157" s="683"/>
      <c r="DZ157" s="684"/>
      <c r="EA157" s="683"/>
      <c r="EB157" s="684"/>
      <c r="EC157" s="683"/>
      <c r="ED157" s="684"/>
      <c r="EE157" s="683"/>
      <c r="EF157" s="684"/>
      <c r="EG157" s="683"/>
      <c r="EH157" s="684"/>
      <c r="EI157" s="683"/>
      <c r="EJ157" s="684"/>
      <c r="EK157" s="683"/>
      <c r="EL157" s="684"/>
      <c r="EM157" s="684"/>
    </row>
    <row r="158" spans="1:152" ht="12.75" hidden="1" customHeight="1" outlineLevel="1" x14ac:dyDescent="0.2">
      <c r="A158" s="685" t="s">
        <v>664</v>
      </c>
      <c r="B158" s="4"/>
      <c r="C158" s="686"/>
      <c r="D158" s="4"/>
      <c r="E158" s="686"/>
      <c r="F158" s="4"/>
      <c r="G158" s="686"/>
      <c r="H158" s="4"/>
      <c r="I158" s="686"/>
      <c r="J158" s="4"/>
      <c r="K158" s="686"/>
      <c r="L158" s="4"/>
      <c r="M158" s="686"/>
      <c r="N158" s="4"/>
      <c r="O158" s="686"/>
      <c r="P158" s="4"/>
      <c r="Q158" s="686"/>
      <c r="R158" s="4"/>
      <c r="S158" s="686"/>
      <c r="T158" s="4"/>
      <c r="U158" s="686"/>
      <c r="V158" s="4"/>
      <c r="W158" s="686"/>
      <c r="X158" s="4"/>
      <c r="Y158" s="686"/>
      <c r="Z158" s="4"/>
      <c r="AA158" s="686"/>
      <c r="AB158" s="4"/>
      <c r="AC158" s="686"/>
      <c r="AD158" s="4"/>
      <c r="AE158" s="686"/>
      <c r="AF158" s="4"/>
      <c r="AG158" s="686"/>
      <c r="AH158" s="4"/>
      <c r="AI158" s="686"/>
      <c r="AJ158" s="4"/>
      <c r="AK158" s="686"/>
      <c r="AL158" s="4"/>
      <c r="AM158" s="686"/>
      <c r="AN158" s="4"/>
      <c r="AO158" s="686"/>
      <c r="AP158" s="4"/>
      <c r="AQ158" s="686"/>
      <c r="AR158" s="4"/>
      <c r="AS158" s="686"/>
      <c r="AT158" s="4"/>
      <c r="AU158" s="686"/>
      <c r="AV158" s="4"/>
      <c r="AW158" s="686"/>
      <c r="AX158" s="4"/>
      <c r="AY158" s="686"/>
      <c r="AZ158" s="4"/>
      <c r="BA158" s="686"/>
      <c r="BB158" s="4"/>
      <c r="BC158" s="686"/>
      <c r="BD158" s="4"/>
      <c r="BE158" s="686"/>
      <c r="BF158" s="4"/>
      <c r="BG158" s="686"/>
      <c r="BH158" s="4"/>
      <c r="BI158" s="686"/>
      <c r="BJ158" s="4"/>
      <c r="BK158" s="686"/>
      <c r="BL158" s="4"/>
      <c r="BM158" s="686"/>
      <c r="BN158" s="4"/>
      <c r="BO158" s="686"/>
      <c r="BP158" s="4"/>
      <c r="BQ158" s="686"/>
      <c r="BR158" s="4"/>
      <c r="BS158" s="686"/>
      <c r="BT158" s="4"/>
      <c r="BU158" s="686"/>
      <c r="BV158" s="4"/>
      <c r="BW158" s="686"/>
      <c r="BX158" s="4"/>
      <c r="BY158" s="686"/>
      <c r="BZ158" s="4"/>
      <c r="CA158" s="686"/>
      <c r="CB158" s="4"/>
      <c r="CC158" s="686"/>
      <c r="CD158" s="4"/>
      <c r="CE158" s="686"/>
      <c r="CF158" s="4"/>
      <c r="CG158" s="686"/>
      <c r="CH158" s="4"/>
      <c r="CI158" s="686"/>
      <c r="CJ158" s="4"/>
      <c r="CK158" s="686"/>
      <c r="CL158" s="4"/>
      <c r="CM158" s="686"/>
      <c r="CN158" s="4"/>
      <c r="CO158" s="686"/>
      <c r="CP158" s="4"/>
      <c r="CQ158" s="686"/>
      <c r="CR158" s="4"/>
      <c r="CS158" s="686"/>
      <c r="CT158" s="4"/>
      <c r="CU158" s="686"/>
      <c r="CV158" s="4"/>
      <c r="CW158" s="686"/>
      <c r="CX158" s="4"/>
      <c r="CY158" s="686"/>
      <c r="CZ158" s="4"/>
      <c r="DA158" s="686"/>
      <c r="DB158" s="686"/>
      <c r="DC158" s="4"/>
      <c r="DD158" s="686"/>
      <c r="DE158" s="4"/>
      <c r="DF158" s="686"/>
      <c r="DG158" s="4"/>
      <c r="DH158" s="686"/>
      <c r="DI158" s="4"/>
      <c r="DJ158" s="686"/>
      <c r="DK158" s="4"/>
      <c r="DL158" s="686"/>
      <c r="DM158" s="4"/>
      <c r="DN158" s="686"/>
      <c r="DO158" s="4"/>
      <c r="DP158" s="686"/>
      <c r="DQ158" s="4"/>
      <c r="DR158" s="686"/>
      <c r="DS158" s="4"/>
      <c r="DT158" s="686"/>
      <c r="DU158" s="4"/>
      <c r="DV158" s="686"/>
      <c r="DW158" s="4"/>
      <c r="DX158" s="686"/>
      <c r="DY158" s="4"/>
      <c r="DZ158" s="686"/>
      <c r="EA158" s="4"/>
      <c r="EB158" s="686"/>
      <c r="EC158" s="4"/>
      <c r="ED158" s="686"/>
      <c r="EE158" s="4"/>
      <c r="EF158" s="686"/>
      <c r="EG158" s="4"/>
      <c r="EH158" s="686"/>
      <c r="EI158" s="4"/>
      <c r="EJ158" s="686"/>
      <c r="EK158" s="4"/>
      <c r="EL158" s="686"/>
      <c r="EM158" s="686"/>
    </row>
    <row r="159" spans="1:152" ht="12.75" hidden="1" customHeight="1" outlineLevel="1" x14ac:dyDescent="0.2">
      <c r="A159" s="637" t="str">
        <f>A$3</f>
        <v>($Millions Except Per Share Data)</v>
      </c>
      <c r="B159" s="640"/>
      <c r="C159" s="641" t="str">
        <f>C$3</f>
        <v>1Q06/</v>
      </c>
      <c r="D159" s="640"/>
      <c r="E159" s="641" t="str">
        <f>E$3</f>
        <v>2Q06/</v>
      </c>
      <c r="F159" s="640"/>
      <c r="G159" s="641" t="str">
        <f>G$3</f>
        <v>3Q06/</v>
      </c>
      <c r="H159" s="640"/>
      <c r="I159" s="641" t="str">
        <f>I$3</f>
        <v>4Q06/</v>
      </c>
      <c r="J159" s="640"/>
      <c r="K159" s="641" t="str">
        <f>K$3</f>
        <v>1Q07/</v>
      </c>
      <c r="L159" s="640"/>
      <c r="M159" s="641" t="str">
        <f>M$3</f>
        <v>2Q07/</v>
      </c>
      <c r="N159" s="640"/>
      <c r="O159" s="641" t="str">
        <f>O$3</f>
        <v>3Q07/</v>
      </c>
      <c r="P159" s="640"/>
      <c r="Q159" s="641" t="str">
        <f>Q$3</f>
        <v>4Q07/</v>
      </c>
      <c r="R159" s="640"/>
      <c r="S159" s="641" t="str">
        <f>S$3</f>
        <v>1Q08/</v>
      </c>
      <c r="T159" s="640"/>
      <c r="U159" s="641" t="str">
        <f>U$3</f>
        <v>2Q08/</v>
      </c>
      <c r="V159" s="640"/>
      <c r="W159" s="641" t="str">
        <f>W$3</f>
        <v>3Q08/</v>
      </c>
      <c r="X159" s="640"/>
      <c r="Y159" s="641" t="str">
        <f>Y$3</f>
        <v>4Q08/</v>
      </c>
      <c r="Z159" s="640"/>
      <c r="AA159" s="641" t="str">
        <f>AA$3</f>
        <v>1Q09/</v>
      </c>
      <c r="AB159" s="640"/>
      <c r="AC159" s="641" t="str">
        <f>AC$3</f>
        <v>2Q09/</v>
      </c>
      <c r="AD159" s="640"/>
      <c r="AE159" s="641" t="str">
        <f>AE$3</f>
        <v>3Q09/</v>
      </c>
      <c r="AF159" s="640"/>
      <c r="AG159" s="641" t="str">
        <f>AG$3</f>
        <v>4Q09/</v>
      </c>
      <c r="AH159" s="640"/>
      <c r="AI159" s="641" t="str">
        <f>AI$3</f>
        <v>1Q10/</v>
      </c>
      <c r="AJ159" s="640"/>
      <c r="AK159" s="641" t="str">
        <f>AK$3</f>
        <v>2Q10/</v>
      </c>
      <c r="AL159" s="640"/>
      <c r="AM159" s="641" t="str">
        <f>AM$3</f>
        <v>3Q10/</v>
      </c>
      <c r="AN159" s="640"/>
      <c r="AO159" s="641" t="str">
        <f>AO$3</f>
        <v>4Q10/</v>
      </c>
      <c r="AP159" s="640"/>
      <c r="AQ159" s="641" t="str">
        <f>AQ$3</f>
        <v>1Q11/</v>
      </c>
      <c r="AR159" s="640"/>
      <c r="AS159" s="641" t="str">
        <f>AS$3</f>
        <v>2Q11/</v>
      </c>
      <c r="AT159" s="640"/>
      <c r="AU159" s="641" t="str">
        <f>AU$3</f>
        <v>3Q11/</v>
      </c>
      <c r="AV159" s="640"/>
      <c r="AW159" s="641" t="str">
        <f>AW$3</f>
        <v>4Q11/</v>
      </c>
      <c r="AX159" s="640"/>
      <c r="AY159" s="641" t="str">
        <f>AY$3</f>
        <v>1Q12/</v>
      </c>
      <c r="AZ159" s="640"/>
      <c r="BA159" s="641" t="str">
        <f>BA$3</f>
        <v>2Q12/</v>
      </c>
      <c r="BB159" s="640"/>
      <c r="BC159" s="641" t="str">
        <f>BC$3</f>
        <v>3Q12/</v>
      </c>
      <c r="BD159" s="640"/>
      <c r="BE159" s="641" t="str">
        <f>BE$3</f>
        <v>4Q12/</v>
      </c>
      <c r="BF159" s="640"/>
      <c r="BG159" s="641" t="str">
        <f>BG$3</f>
        <v>1Q13/</v>
      </c>
      <c r="BH159" s="640"/>
      <c r="BI159" s="641" t="str">
        <f>BI$3</f>
        <v>2Q13/</v>
      </c>
      <c r="BJ159" s="640"/>
      <c r="BK159" s="641" t="str">
        <f>BK$3</f>
        <v>3Q13/</v>
      </c>
      <c r="BL159" s="640"/>
      <c r="BM159" s="641" t="str">
        <f>BM$3</f>
        <v>4Q13/</v>
      </c>
      <c r="BN159" s="640"/>
      <c r="BO159" s="641" t="str">
        <f>BO$3</f>
        <v>1Q14/</v>
      </c>
      <c r="BP159" s="640"/>
      <c r="BQ159" s="641" t="str">
        <f>BQ$3</f>
        <v>2Q14/</v>
      </c>
      <c r="BR159" s="640"/>
      <c r="BS159" s="641" t="str">
        <f>BS$3</f>
        <v>3Q14/</v>
      </c>
      <c r="BT159" s="640"/>
      <c r="BU159" s="641" t="str">
        <f>BU$3</f>
        <v>4Q14/</v>
      </c>
      <c r="BV159" s="640"/>
      <c r="BW159" s="641" t="str">
        <f>BW$3</f>
        <v>1Q15/</v>
      </c>
      <c r="BX159" s="640"/>
      <c r="BY159" s="641" t="str">
        <f>BY$3</f>
        <v>2Q15/</v>
      </c>
      <c r="BZ159" s="640"/>
      <c r="CA159" s="641" t="str">
        <f>CA$3</f>
        <v>3Q15/</v>
      </c>
      <c r="CB159" s="640"/>
      <c r="CC159" s="641" t="str">
        <f>CC$3</f>
        <v>4Q15/</v>
      </c>
      <c r="CD159" s="640"/>
      <c r="CE159" s="641" t="str">
        <f>CE$3</f>
        <v>1Q16/</v>
      </c>
      <c r="CF159" s="640"/>
      <c r="CG159" s="641" t="str">
        <f>CG$3</f>
        <v>2Q16/</v>
      </c>
      <c r="CH159" s="640"/>
      <c r="CI159" s="641" t="str">
        <f>CI$3</f>
        <v>3Q16/</v>
      </c>
      <c r="CJ159" s="640"/>
      <c r="CK159" s="641" t="str">
        <f>CK$3</f>
        <v>4Q16/</v>
      </c>
      <c r="CL159" s="640"/>
      <c r="CM159" s="641" t="str">
        <f>CM$3</f>
        <v>1Q17/</v>
      </c>
      <c r="CN159" s="640"/>
      <c r="CO159" s="641" t="str">
        <f t="shared" ref="CO159" si="78">CO$3</f>
        <v>2Q17/</v>
      </c>
      <c r="CP159" s="640"/>
      <c r="CQ159" s="641" t="str">
        <f t="shared" ref="CQ159" si="79">CQ$3</f>
        <v>3Q17/</v>
      </c>
      <c r="CR159" s="640"/>
      <c r="CS159" s="641" t="str">
        <f t="shared" ref="CS159" si="80">CS$3</f>
        <v>4Q17/</v>
      </c>
      <c r="CT159" s="640"/>
      <c r="CU159" s="641" t="str">
        <f>CU$3</f>
        <v>1Q18E/</v>
      </c>
      <c r="CV159" s="640"/>
      <c r="CW159" s="641" t="str">
        <f t="shared" ref="CW159" si="81">CW$3</f>
        <v>2Q18E/</v>
      </c>
      <c r="CX159" s="640"/>
      <c r="CY159" s="641" t="str">
        <f t="shared" ref="CY159" si="82">CY$3</f>
        <v>3Q18E/</v>
      </c>
      <c r="CZ159" s="640"/>
      <c r="DA159" s="641" t="str">
        <f t="shared" ref="DA159" si="83">DA$3</f>
        <v>4Q18E/</v>
      </c>
      <c r="DB159" s="640"/>
      <c r="DC159" s="640"/>
      <c r="DD159" s="641" t="str">
        <f>DD$3</f>
        <v>2005/</v>
      </c>
      <c r="DE159" s="640"/>
      <c r="DF159" s="641" t="str">
        <f>DF$3</f>
        <v>2006/</v>
      </c>
      <c r="DG159" s="640"/>
      <c r="DH159" s="641" t="str">
        <f>DH$3</f>
        <v>2007/</v>
      </c>
      <c r="DI159" s="640"/>
      <c r="DJ159" s="641" t="str">
        <f>DJ$3</f>
        <v>2008/</v>
      </c>
      <c r="DK159" s="640"/>
      <c r="DL159" s="641" t="str">
        <f>DL$3</f>
        <v>2009/</v>
      </c>
      <c r="DM159" s="640"/>
      <c r="DN159" s="641" t="str">
        <f>DN$3</f>
        <v>2010/</v>
      </c>
      <c r="DO159" s="640"/>
      <c r="DP159" s="641" t="str">
        <f>DP$3</f>
        <v>2011/</v>
      </c>
      <c r="DQ159" s="640"/>
      <c r="DR159" s="641" t="str">
        <f>DR$3</f>
        <v>2012/</v>
      </c>
      <c r="DS159" s="640"/>
      <c r="DT159" s="641" t="str">
        <f>DT$3</f>
        <v>2013/</v>
      </c>
      <c r="DU159" s="640"/>
      <c r="DV159" s="641" t="str">
        <f>DV$3</f>
        <v>2014/</v>
      </c>
      <c r="DW159" s="640"/>
      <c r="DX159" s="641" t="str">
        <f>DX$3</f>
        <v>2015/</v>
      </c>
      <c r="DY159" s="640"/>
      <c r="DZ159" s="641" t="str">
        <f>DZ$3</f>
        <v>2016/</v>
      </c>
      <c r="EA159" s="640"/>
      <c r="EB159" s="641" t="str">
        <f>EB$3</f>
        <v>2017/</v>
      </c>
      <c r="EC159" s="640"/>
      <c r="ED159" s="641" t="str">
        <f>ED$3</f>
        <v>2018E/</v>
      </c>
      <c r="EE159" s="640"/>
      <c r="EF159" s="641" t="str">
        <f>EF$3</f>
        <v>2019E/</v>
      </c>
      <c r="EG159" s="640"/>
      <c r="EH159" s="641" t="str">
        <f>EH$3</f>
        <v>2020E/</v>
      </c>
      <c r="EI159" s="640"/>
      <c r="EJ159" s="641" t="str">
        <f>EJ$3</f>
        <v>2021E/</v>
      </c>
      <c r="EK159" s="640"/>
      <c r="EL159" s="641" t="str">
        <f>EL$3</f>
        <v>2022E/</v>
      </c>
      <c r="EM159" s="641" t="str">
        <f>EM$3</f>
        <v>5-Yr</v>
      </c>
      <c r="EN159" s="638"/>
      <c r="EO159" s="638"/>
      <c r="EP159" s="638"/>
      <c r="EQ159" s="638"/>
      <c r="ER159" s="638"/>
      <c r="ES159" s="638"/>
      <c r="ET159" s="638"/>
      <c r="EU159" s="638"/>
      <c r="EV159" s="638"/>
    </row>
    <row r="160" spans="1:152" ht="12.75" hidden="1" customHeight="1" outlineLevel="1" x14ac:dyDescent="0.2">
      <c r="A160" s="693"/>
      <c r="B160" s="692"/>
      <c r="C160" s="686" t="str">
        <f>C$4</f>
        <v>1Q05</v>
      </c>
      <c r="D160" s="692"/>
      <c r="E160" s="686" t="str">
        <f>E$4</f>
        <v>2Q05</v>
      </c>
      <c r="F160" s="692"/>
      <c r="G160" s="686" t="str">
        <f>G$4</f>
        <v>3Q05</v>
      </c>
      <c r="H160" s="692"/>
      <c r="I160" s="686" t="str">
        <f>I$4</f>
        <v>4Q05</v>
      </c>
      <c r="J160" s="692"/>
      <c r="K160" s="686" t="str">
        <f>K$4</f>
        <v>1Q06</v>
      </c>
      <c r="L160" s="692"/>
      <c r="M160" s="686" t="str">
        <f>M$4</f>
        <v>2Q06</v>
      </c>
      <c r="N160" s="692"/>
      <c r="O160" s="686" t="str">
        <f>O$4</f>
        <v>3Q06</v>
      </c>
      <c r="P160" s="692"/>
      <c r="Q160" s="686" t="str">
        <f>Q$4</f>
        <v>4Q06</v>
      </c>
      <c r="R160" s="692"/>
      <c r="S160" s="686" t="str">
        <f>S$4</f>
        <v>1Q07</v>
      </c>
      <c r="T160" s="692"/>
      <c r="U160" s="686" t="str">
        <f>U$4</f>
        <v>2Q07</v>
      </c>
      <c r="V160" s="692"/>
      <c r="W160" s="686" t="str">
        <f>W$4</f>
        <v>3Q07</v>
      </c>
      <c r="X160" s="692"/>
      <c r="Y160" s="686" t="str">
        <f>Y$4</f>
        <v>4Q07</v>
      </c>
      <c r="Z160" s="692"/>
      <c r="AA160" s="686" t="str">
        <f>AA$4</f>
        <v>1Q08</v>
      </c>
      <c r="AB160" s="692"/>
      <c r="AC160" s="686" t="str">
        <f>AC$4</f>
        <v>2Q08</v>
      </c>
      <c r="AD160" s="692"/>
      <c r="AE160" s="686" t="str">
        <f>AE$4</f>
        <v>3Q08</v>
      </c>
      <c r="AF160" s="692"/>
      <c r="AG160" s="686" t="str">
        <f>AG$4</f>
        <v>4Q08</v>
      </c>
      <c r="AH160" s="692"/>
      <c r="AI160" s="686" t="str">
        <f>AI$4</f>
        <v>1Q09</v>
      </c>
      <c r="AJ160" s="692"/>
      <c r="AK160" s="686" t="str">
        <f>AK$4</f>
        <v>2Q09</v>
      </c>
      <c r="AL160" s="692"/>
      <c r="AM160" s="686" t="str">
        <f>AM$4</f>
        <v>3Q09</v>
      </c>
      <c r="AN160" s="692"/>
      <c r="AO160" s="686" t="str">
        <f>AO$4</f>
        <v>4Q09</v>
      </c>
      <c r="AP160" s="692"/>
      <c r="AQ160" s="686" t="str">
        <f>AQ$4</f>
        <v>1Q10</v>
      </c>
      <c r="AR160" s="692"/>
      <c r="AS160" s="686" t="str">
        <f>AS$4</f>
        <v>2Q10</v>
      </c>
      <c r="AT160" s="692"/>
      <c r="AU160" s="686" t="str">
        <f>AU$4</f>
        <v>3Q10</v>
      </c>
      <c r="AV160" s="692"/>
      <c r="AW160" s="686" t="str">
        <f>AW$4</f>
        <v>4Q10</v>
      </c>
      <c r="AX160" s="692"/>
      <c r="AY160" s="686" t="str">
        <f>AY$4</f>
        <v>1Q11</v>
      </c>
      <c r="AZ160" s="692"/>
      <c r="BA160" s="686" t="str">
        <f>BA$4</f>
        <v>2Q11</v>
      </c>
      <c r="BB160" s="692"/>
      <c r="BC160" s="686" t="str">
        <f>BC$4</f>
        <v>3Q11</v>
      </c>
      <c r="BD160" s="692"/>
      <c r="BE160" s="686" t="str">
        <f>BE$4</f>
        <v>4Q11</v>
      </c>
      <c r="BF160" s="692"/>
      <c r="BG160" s="686" t="str">
        <f>BG$4</f>
        <v>1Q12</v>
      </c>
      <c r="BH160" s="692"/>
      <c r="BI160" s="686" t="str">
        <f>BI$4</f>
        <v>2Q12</v>
      </c>
      <c r="BJ160" s="692"/>
      <c r="BK160" s="686" t="str">
        <f>BK$4</f>
        <v>3Q12</v>
      </c>
      <c r="BL160" s="692"/>
      <c r="BM160" s="686" t="str">
        <f>BM$4</f>
        <v>4Q12</v>
      </c>
      <c r="BN160" s="692"/>
      <c r="BO160" s="686" t="str">
        <f>BO$4</f>
        <v>1Q13</v>
      </c>
      <c r="BP160" s="692"/>
      <c r="BQ160" s="686" t="str">
        <f>BQ$4</f>
        <v>2Q13</v>
      </c>
      <c r="BR160" s="692"/>
      <c r="BS160" s="686" t="str">
        <f>BS$4</f>
        <v>3Q13</v>
      </c>
      <c r="BT160" s="692"/>
      <c r="BU160" s="686" t="str">
        <f>BU$4</f>
        <v>4Q13</v>
      </c>
      <c r="BV160" s="692"/>
      <c r="BW160" s="686" t="str">
        <f>BW$4</f>
        <v>1Q14</v>
      </c>
      <c r="BX160" s="692"/>
      <c r="BY160" s="686" t="str">
        <f>BY$4</f>
        <v>2Q14</v>
      </c>
      <c r="BZ160" s="692"/>
      <c r="CA160" s="686" t="str">
        <f>CA$4</f>
        <v>3Q14</v>
      </c>
      <c r="CB160" s="692"/>
      <c r="CC160" s="686" t="str">
        <f>CC$4</f>
        <v>4Q14</v>
      </c>
      <c r="CD160" s="692"/>
      <c r="CE160" s="686" t="str">
        <f>CE$4</f>
        <v>1Q15</v>
      </c>
      <c r="CF160" s="692"/>
      <c r="CG160" s="686" t="str">
        <f>CG$4</f>
        <v>2Q15</v>
      </c>
      <c r="CH160" s="692"/>
      <c r="CI160" s="686" t="str">
        <f>CI$4</f>
        <v>3Q15</v>
      </c>
      <c r="CJ160" s="692"/>
      <c r="CK160" s="686" t="str">
        <f>CK$4</f>
        <v>4Q15</v>
      </c>
      <c r="CL160" s="692"/>
      <c r="CM160" s="686" t="str">
        <f>CM$4</f>
        <v>1Q16</v>
      </c>
      <c r="CN160" s="692"/>
      <c r="CO160" s="686" t="str">
        <f t="shared" ref="CO160" si="84">CO$4</f>
        <v>2Q16</v>
      </c>
      <c r="CP160" s="692"/>
      <c r="CQ160" s="686" t="str">
        <f t="shared" ref="CQ160" si="85">CQ$4</f>
        <v>3Q16</v>
      </c>
      <c r="CR160" s="692"/>
      <c r="CS160" s="686" t="str">
        <f t="shared" ref="CS160" si="86">CS$4</f>
        <v>4Q16</v>
      </c>
      <c r="CT160" s="692"/>
      <c r="CU160" s="686" t="str">
        <f>CU$4</f>
        <v>1Q17</v>
      </c>
      <c r="CV160" s="692"/>
      <c r="CW160" s="686" t="str">
        <f t="shared" ref="CW160" si="87">CW$4</f>
        <v>2Q17</v>
      </c>
      <c r="CX160" s="692"/>
      <c r="CY160" s="686" t="str">
        <f t="shared" ref="CY160" si="88">CY$4</f>
        <v>3Q17</v>
      </c>
      <c r="CZ160" s="692"/>
      <c r="DA160" s="686" t="str">
        <f t="shared" ref="DA160" si="89">DA$4</f>
        <v>4Q17</v>
      </c>
      <c r="DB160" s="692"/>
      <c r="DC160" s="692"/>
      <c r="DD160" s="686">
        <f>DD$4</f>
        <v>2004</v>
      </c>
      <c r="DE160" s="692"/>
      <c r="DF160" s="686">
        <f>DF$4</f>
        <v>2005</v>
      </c>
      <c r="DG160" s="692"/>
      <c r="DH160" s="686">
        <f>DH$4</f>
        <v>2006</v>
      </c>
      <c r="DI160" s="692"/>
      <c r="DJ160" s="686">
        <f>DJ$4</f>
        <v>2007</v>
      </c>
      <c r="DK160" s="692"/>
      <c r="DL160" s="686">
        <f>DL$4</f>
        <v>2008</v>
      </c>
      <c r="DM160" s="692"/>
      <c r="DN160" s="686" t="str">
        <f>DN$4</f>
        <v>2009</v>
      </c>
      <c r="DO160" s="692"/>
      <c r="DP160" s="686" t="str">
        <f>DP$4</f>
        <v>2010</v>
      </c>
      <c r="DQ160" s="692"/>
      <c r="DR160" s="686" t="str">
        <f>DR$4</f>
        <v>2011</v>
      </c>
      <c r="DS160" s="692"/>
      <c r="DT160" s="686" t="str">
        <f>DT$4</f>
        <v>2012</v>
      </c>
      <c r="DU160" s="692"/>
      <c r="DV160" s="686" t="str">
        <f>DV$4</f>
        <v>2013</v>
      </c>
      <c r="DW160" s="692"/>
      <c r="DX160" s="686" t="str">
        <f>DX$4</f>
        <v>2014</v>
      </c>
      <c r="DY160" s="692"/>
      <c r="DZ160" s="686" t="str">
        <f>DZ$4</f>
        <v>2015</v>
      </c>
      <c r="EA160" s="692"/>
      <c r="EB160" s="686" t="str">
        <f>EB$4</f>
        <v>2016</v>
      </c>
      <c r="EC160" s="692"/>
      <c r="ED160" s="686" t="str">
        <f>ED$4</f>
        <v>2017</v>
      </c>
      <c r="EE160" s="692"/>
      <c r="EF160" s="686" t="str">
        <f>EF$4</f>
        <v>2018E</v>
      </c>
      <c r="EG160" s="692"/>
      <c r="EH160" s="686" t="str">
        <f>EH$4</f>
        <v>2019E</v>
      </c>
      <c r="EI160" s="692"/>
      <c r="EJ160" s="686" t="str">
        <f>EJ$4</f>
        <v>2020E</v>
      </c>
      <c r="EK160" s="692"/>
      <c r="EL160" s="686" t="str">
        <f>EL$4</f>
        <v>2021E</v>
      </c>
      <c r="EM160" s="686" t="str">
        <f>EM$4</f>
        <v>CAGR</v>
      </c>
    </row>
    <row r="161" spans="1:143" ht="12.75" hidden="1" customHeight="1" outlineLevel="1" x14ac:dyDescent="0.2">
      <c r="A161" s="694"/>
      <c r="B161" s="695" t="str">
        <f t="shared" ref="B161:BN161" si="90">B$5</f>
        <v>1Q06</v>
      </c>
      <c r="C161" s="696" t="str">
        <f t="shared" si="90"/>
        <v>% Chg</v>
      </c>
      <c r="D161" s="695" t="str">
        <f t="shared" si="90"/>
        <v>2Q06</v>
      </c>
      <c r="E161" s="696" t="str">
        <f t="shared" si="90"/>
        <v>% Chg</v>
      </c>
      <c r="F161" s="695" t="str">
        <f t="shared" si="90"/>
        <v>3Q06</v>
      </c>
      <c r="G161" s="696" t="str">
        <f t="shared" si="90"/>
        <v>% Chg</v>
      </c>
      <c r="H161" s="695" t="str">
        <f t="shared" si="90"/>
        <v>4Q06</v>
      </c>
      <c r="I161" s="696" t="str">
        <f t="shared" si="90"/>
        <v>% Chg</v>
      </c>
      <c r="J161" s="695" t="str">
        <f t="shared" si="90"/>
        <v>1Q07</v>
      </c>
      <c r="K161" s="696" t="str">
        <f t="shared" si="90"/>
        <v>% Chg</v>
      </c>
      <c r="L161" s="695" t="str">
        <f t="shared" si="90"/>
        <v>2Q07</v>
      </c>
      <c r="M161" s="696" t="str">
        <f t="shared" si="90"/>
        <v>% Chg</v>
      </c>
      <c r="N161" s="695" t="str">
        <f t="shared" si="90"/>
        <v>3Q07</v>
      </c>
      <c r="O161" s="696" t="str">
        <f t="shared" si="90"/>
        <v>% Chg</v>
      </c>
      <c r="P161" s="695" t="str">
        <f t="shared" si="90"/>
        <v>4Q07</v>
      </c>
      <c r="Q161" s="696" t="str">
        <f t="shared" si="90"/>
        <v>% Chg</v>
      </c>
      <c r="R161" s="695" t="str">
        <f t="shared" si="90"/>
        <v>1Q08</v>
      </c>
      <c r="S161" s="696" t="str">
        <f t="shared" si="90"/>
        <v>% Chg</v>
      </c>
      <c r="T161" s="695" t="str">
        <f t="shared" si="90"/>
        <v>2Q08</v>
      </c>
      <c r="U161" s="696" t="str">
        <f t="shared" si="90"/>
        <v>% Chg</v>
      </c>
      <c r="V161" s="695" t="str">
        <f t="shared" si="90"/>
        <v>3Q08</v>
      </c>
      <c r="W161" s="696" t="str">
        <f t="shared" si="90"/>
        <v>% Chg</v>
      </c>
      <c r="X161" s="695" t="str">
        <f t="shared" si="90"/>
        <v>4Q08</v>
      </c>
      <c r="Y161" s="696" t="str">
        <f t="shared" si="90"/>
        <v>% Chg</v>
      </c>
      <c r="Z161" s="695" t="str">
        <f t="shared" si="90"/>
        <v>1Q09</v>
      </c>
      <c r="AA161" s="696" t="str">
        <f t="shared" si="90"/>
        <v>% Chg</v>
      </c>
      <c r="AB161" s="695" t="str">
        <f t="shared" si="90"/>
        <v>2Q09</v>
      </c>
      <c r="AC161" s="696" t="str">
        <f t="shared" si="90"/>
        <v>% Chg</v>
      </c>
      <c r="AD161" s="695" t="str">
        <f t="shared" si="90"/>
        <v>3Q09</v>
      </c>
      <c r="AE161" s="696" t="str">
        <f t="shared" si="90"/>
        <v>% Chg</v>
      </c>
      <c r="AF161" s="695" t="str">
        <f t="shared" si="90"/>
        <v>4Q09</v>
      </c>
      <c r="AG161" s="696" t="str">
        <f t="shared" si="90"/>
        <v>% Chg</v>
      </c>
      <c r="AH161" s="695" t="str">
        <f t="shared" si="90"/>
        <v>1Q10</v>
      </c>
      <c r="AI161" s="696" t="str">
        <f t="shared" si="90"/>
        <v>% Chg</v>
      </c>
      <c r="AJ161" s="695" t="str">
        <f t="shared" si="90"/>
        <v>2Q10</v>
      </c>
      <c r="AK161" s="696" t="str">
        <f t="shared" si="90"/>
        <v>% Chg</v>
      </c>
      <c r="AL161" s="695" t="str">
        <f t="shared" si="90"/>
        <v>3Q10</v>
      </c>
      <c r="AM161" s="696" t="str">
        <f t="shared" si="90"/>
        <v>% Chg</v>
      </c>
      <c r="AN161" s="695" t="str">
        <f t="shared" si="90"/>
        <v>4Q10</v>
      </c>
      <c r="AO161" s="696" t="str">
        <f t="shared" si="90"/>
        <v>% Chg</v>
      </c>
      <c r="AP161" s="695" t="str">
        <f t="shared" si="90"/>
        <v>1Q11</v>
      </c>
      <c r="AQ161" s="696" t="str">
        <f t="shared" si="90"/>
        <v>% Chg</v>
      </c>
      <c r="AR161" s="695" t="str">
        <f t="shared" si="90"/>
        <v>2Q11</v>
      </c>
      <c r="AS161" s="696" t="str">
        <f t="shared" si="90"/>
        <v>% Chg</v>
      </c>
      <c r="AT161" s="695" t="str">
        <f t="shared" si="90"/>
        <v>3Q11</v>
      </c>
      <c r="AU161" s="696" t="str">
        <f t="shared" si="90"/>
        <v>% Chg</v>
      </c>
      <c r="AV161" s="695" t="str">
        <f t="shared" si="90"/>
        <v>4Q11</v>
      </c>
      <c r="AW161" s="696" t="str">
        <f t="shared" si="90"/>
        <v>% Chg</v>
      </c>
      <c r="AX161" s="695" t="str">
        <f t="shared" si="90"/>
        <v>1Q12</v>
      </c>
      <c r="AY161" s="696" t="str">
        <f t="shared" si="90"/>
        <v>% Chg</v>
      </c>
      <c r="AZ161" s="695" t="str">
        <f t="shared" si="90"/>
        <v>2Q12</v>
      </c>
      <c r="BA161" s="696" t="str">
        <f t="shared" si="90"/>
        <v>% Chg</v>
      </c>
      <c r="BB161" s="695" t="str">
        <f t="shared" si="90"/>
        <v>3Q12</v>
      </c>
      <c r="BC161" s="696" t="str">
        <f t="shared" si="90"/>
        <v>% Chg</v>
      </c>
      <c r="BD161" s="695" t="str">
        <f t="shared" si="90"/>
        <v>4Q12</v>
      </c>
      <c r="BE161" s="696" t="str">
        <f t="shared" si="90"/>
        <v>% Chg</v>
      </c>
      <c r="BF161" s="695" t="str">
        <f t="shared" si="90"/>
        <v>1Q13</v>
      </c>
      <c r="BG161" s="696" t="str">
        <f t="shared" si="90"/>
        <v>% Chg</v>
      </c>
      <c r="BH161" s="695" t="str">
        <f t="shared" si="90"/>
        <v>2Q13</v>
      </c>
      <c r="BI161" s="696" t="str">
        <f t="shared" si="90"/>
        <v>% Chg</v>
      </c>
      <c r="BJ161" s="695" t="str">
        <f t="shared" si="90"/>
        <v>3Q13</v>
      </c>
      <c r="BK161" s="696" t="str">
        <f t="shared" si="90"/>
        <v>% Chg</v>
      </c>
      <c r="BL161" s="695" t="str">
        <f t="shared" si="90"/>
        <v>4Q13</v>
      </c>
      <c r="BM161" s="696" t="str">
        <f t="shared" si="90"/>
        <v>% Chg</v>
      </c>
      <c r="BN161" s="695" t="str">
        <f t="shared" si="90"/>
        <v>1Q14</v>
      </c>
      <c r="BO161" s="696" t="str">
        <f t="shared" ref="BO161:DA161" si="91">BO$5</f>
        <v>% Chg</v>
      </c>
      <c r="BP161" s="695" t="str">
        <f t="shared" si="91"/>
        <v>2Q14</v>
      </c>
      <c r="BQ161" s="696" t="str">
        <f t="shared" si="91"/>
        <v>% Chg</v>
      </c>
      <c r="BR161" s="695" t="str">
        <f t="shared" si="91"/>
        <v>3Q14</v>
      </c>
      <c r="BS161" s="696" t="str">
        <f t="shared" si="91"/>
        <v>% Chg</v>
      </c>
      <c r="BT161" s="695" t="str">
        <f t="shared" si="91"/>
        <v>4Q14</v>
      </c>
      <c r="BU161" s="696" t="str">
        <f t="shared" si="91"/>
        <v>% Chg</v>
      </c>
      <c r="BV161" s="695" t="str">
        <f t="shared" si="91"/>
        <v>1Q15</v>
      </c>
      <c r="BW161" s="696" t="str">
        <f t="shared" si="91"/>
        <v>% Chg</v>
      </c>
      <c r="BX161" s="695" t="str">
        <f t="shared" si="91"/>
        <v>2Q15</v>
      </c>
      <c r="BY161" s="696" t="str">
        <f t="shared" si="91"/>
        <v>% Chg</v>
      </c>
      <c r="BZ161" s="695" t="str">
        <f t="shared" si="91"/>
        <v>3Q15</v>
      </c>
      <c r="CA161" s="696" t="str">
        <f t="shared" si="91"/>
        <v>% Chg</v>
      </c>
      <c r="CB161" s="695" t="str">
        <f t="shared" si="91"/>
        <v>4Q15</v>
      </c>
      <c r="CC161" s="696" t="str">
        <f t="shared" si="91"/>
        <v>% Chg</v>
      </c>
      <c r="CD161" s="695" t="str">
        <f t="shared" si="91"/>
        <v>1Q16</v>
      </c>
      <c r="CE161" s="696" t="str">
        <f t="shared" si="91"/>
        <v>% Chg</v>
      </c>
      <c r="CF161" s="695" t="str">
        <f t="shared" si="91"/>
        <v>2Q16</v>
      </c>
      <c r="CG161" s="696" t="str">
        <f t="shared" si="91"/>
        <v>% Chg</v>
      </c>
      <c r="CH161" s="695" t="str">
        <f t="shared" si="91"/>
        <v>3Q16</v>
      </c>
      <c r="CI161" s="696" t="str">
        <f t="shared" si="91"/>
        <v>% Chg</v>
      </c>
      <c r="CJ161" s="695" t="str">
        <f t="shared" si="91"/>
        <v>4Q16</v>
      </c>
      <c r="CK161" s="696" t="str">
        <f t="shared" si="91"/>
        <v>% Chg</v>
      </c>
      <c r="CL161" s="695" t="str">
        <f t="shared" si="91"/>
        <v>1Q17</v>
      </c>
      <c r="CM161" s="696" t="str">
        <f t="shared" si="91"/>
        <v>% Chg</v>
      </c>
      <c r="CN161" s="695" t="str">
        <f t="shared" si="91"/>
        <v>2Q17</v>
      </c>
      <c r="CO161" s="696" t="str">
        <f t="shared" si="91"/>
        <v>% Chg</v>
      </c>
      <c r="CP161" s="695" t="str">
        <f t="shared" si="91"/>
        <v>3Q17</v>
      </c>
      <c r="CQ161" s="696" t="str">
        <f t="shared" si="91"/>
        <v>% Chg</v>
      </c>
      <c r="CR161" s="695" t="str">
        <f t="shared" si="91"/>
        <v>4Q17</v>
      </c>
      <c r="CS161" s="696" t="str">
        <f t="shared" si="91"/>
        <v>% Chg</v>
      </c>
      <c r="CT161" s="695" t="str">
        <f t="shared" si="91"/>
        <v>1Q18E</v>
      </c>
      <c r="CU161" s="696" t="str">
        <f t="shared" si="91"/>
        <v>% Chg</v>
      </c>
      <c r="CV161" s="695" t="str">
        <f t="shared" si="91"/>
        <v>2Q18E</v>
      </c>
      <c r="CW161" s="696" t="str">
        <f t="shared" si="91"/>
        <v>% Chg</v>
      </c>
      <c r="CX161" s="695" t="str">
        <f t="shared" si="91"/>
        <v>3Q18E</v>
      </c>
      <c r="CY161" s="696" t="str">
        <f t="shared" si="91"/>
        <v>% Chg</v>
      </c>
      <c r="CZ161" s="695" t="str">
        <f t="shared" si="91"/>
        <v>4Q18E</v>
      </c>
      <c r="DA161" s="696" t="str">
        <f t="shared" si="91"/>
        <v>% Chg</v>
      </c>
      <c r="DB161" s="695"/>
      <c r="DC161" s="697">
        <f t="shared" ref="DC161:EM161" si="92">DC$5</f>
        <v>2005</v>
      </c>
      <c r="DD161" s="696" t="str">
        <f t="shared" si="92"/>
        <v>% Chg</v>
      </c>
      <c r="DE161" s="698">
        <f>$DE$5</f>
        <v>2006</v>
      </c>
      <c r="DF161" s="696" t="str">
        <f>INPUT!FS$6</f>
        <v>% Chg</v>
      </c>
      <c r="DG161" s="699">
        <f>$DG$5</f>
        <v>2007</v>
      </c>
      <c r="DH161" s="696" t="str">
        <f t="shared" si="92"/>
        <v>% Chg</v>
      </c>
      <c r="DI161" s="699">
        <f t="shared" si="92"/>
        <v>2008</v>
      </c>
      <c r="DJ161" s="696" t="str">
        <f t="shared" si="92"/>
        <v>% Chg</v>
      </c>
      <c r="DK161" s="695" t="str">
        <f t="shared" si="92"/>
        <v>2009</v>
      </c>
      <c r="DL161" s="696" t="str">
        <f t="shared" si="92"/>
        <v>% Chg</v>
      </c>
      <c r="DM161" s="695" t="str">
        <f t="shared" si="92"/>
        <v>2010</v>
      </c>
      <c r="DN161" s="696" t="str">
        <f t="shared" si="92"/>
        <v>% Chg</v>
      </c>
      <c r="DO161" s="695" t="str">
        <f t="shared" si="92"/>
        <v>2011</v>
      </c>
      <c r="DP161" s="696" t="str">
        <f t="shared" si="92"/>
        <v>% Chg</v>
      </c>
      <c r="DQ161" s="695" t="str">
        <f t="shared" si="92"/>
        <v>2012</v>
      </c>
      <c r="DR161" s="696" t="str">
        <f t="shared" si="92"/>
        <v>% Chg</v>
      </c>
      <c r="DS161" s="695" t="str">
        <f t="shared" si="92"/>
        <v>2013</v>
      </c>
      <c r="DT161" s="696" t="str">
        <f t="shared" si="92"/>
        <v>% Chg</v>
      </c>
      <c r="DU161" s="695" t="str">
        <f t="shared" si="92"/>
        <v>2014</v>
      </c>
      <c r="DV161" s="696" t="str">
        <f t="shared" si="92"/>
        <v>% Chg</v>
      </c>
      <c r="DW161" s="695" t="str">
        <f t="shared" si="92"/>
        <v>2015</v>
      </c>
      <c r="DX161" s="696" t="str">
        <f t="shared" si="92"/>
        <v>% Chg</v>
      </c>
      <c r="DY161" s="695" t="str">
        <f t="shared" si="92"/>
        <v>2016</v>
      </c>
      <c r="DZ161" s="696" t="str">
        <f t="shared" si="92"/>
        <v>% Chg</v>
      </c>
      <c r="EA161" s="695" t="str">
        <f t="shared" si="92"/>
        <v>2017</v>
      </c>
      <c r="EB161" s="696" t="str">
        <f t="shared" si="92"/>
        <v>% Chg</v>
      </c>
      <c r="EC161" s="695" t="str">
        <f t="shared" si="92"/>
        <v>2018E</v>
      </c>
      <c r="ED161" s="696" t="str">
        <f t="shared" si="92"/>
        <v>% Chg</v>
      </c>
      <c r="EE161" s="695" t="str">
        <f t="shared" si="92"/>
        <v>2019E</v>
      </c>
      <c r="EF161" s="696" t="str">
        <f t="shared" si="92"/>
        <v>% Chg</v>
      </c>
      <c r="EG161" s="695" t="str">
        <f t="shared" si="92"/>
        <v>2020E</v>
      </c>
      <c r="EH161" s="696" t="str">
        <f t="shared" si="92"/>
        <v>% Chg</v>
      </c>
      <c r="EI161" s="695" t="str">
        <f t="shared" si="92"/>
        <v>2021E</v>
      </c>
      <c r="EJ161" s="696" t="str">
        <f t="shared" si="92"/>
        <v>% Chg</v>
      </c>
      <c r="EK161" s="695" t="str">
        <f t="shared" si="92"/>
        <v>2022E</v>
      </c>
      <c r="EL161" s="696" t="str">
        <f t="shared" si="92"/>
        <v>% Chg</v>
      </c>
      <c r="EM161" s="696" t="str">
        <f t="shared" si="92"/>
        <v>(%)</v>
      </c>
    </row>
    <row r="162" spans="1:143" ht="12.75" hidden="1" customHeight="1" outlineLevel="1" x14ac:dyDescent="0.2">
      <c r="A162" s="700"/>
      <c r="B162" s="16"/>
      <c r="C162" s="687"/>
      <c r="D162" s="16"/>
      <c r="E162" s="687"/>
      <c r="F162" s="16"/>
      <c r="G162" s="687"/>
      <c r="H162" s="16"/>
      <c r="I162" s="687"/>
      <c r="J162" s="16"/>
      <c r="K162" s="687"/>
      <c r="L162" s="16"/>
      <c r="M162" s="687"/>
      <c r="N162" s="16"/>
      <c r="O162" s="687"/>
      <c r="P162" s="16"/>
      <c r="Q162" s="687"/>
      <c r="R162" s="16"/>
      <c r="S162" s="687"/>
      <c r="T162" s="16"/>
      <c r="U162" s="687"/>
      <c r="V162" s="16"/>
      <c r="W162" s="687"/>
      <c r="X162" s="16"/>
      <c r="Y162" s="687"/>
      <c r="Z162" s="16"/>
      <c r="AA162" s="687"/>
      <c r="AB162" s="16"/>
      <c r="AC162" s="687"/>
      <c r="AD162" s="16"/>
      <c r="AE162" s="687"/>
      <c r="AF162" s="16"/>
      <c r="AG162" s="687"/>
      <c r="AH162" s="16"/>
      <c r="AI162" s="687"/>
      <c r="AJ162" s="16"/>
      <c r="AK162" s="687"/>
      <c r="AL162" s="16"/>
      <c r="AM162" s="687"/>
      <c r="AN162" s="16"/>
      <c r="AO162" s="687"/>
      <c r="AP162" s="16"/>
      <c r="AQ162" s="687"/>
      <c r="AR162" s="16"/>
      <c r="AS162" s="687"/>
      <c r="AT162" s="16"/>
      <c r="AU162" s="687"/>
      <c r="AV162" s="16"/>
      <c r="AW162" s="687"/>
      <c r="AX162" s="16"/>
      <c r="AY162" s="687"/>
      <c r="AZ162" s="16"/>
      <c r="BA162" s="687"/>
      <c r="BB162" s="16"/>
      <c r="BC162" s="687"/>
      <c r="BD162" s="16"/>
      <c r="BE162" s="687"/>
      <c r="BF162" s="16"/>
      <c r="BG162" s="687"/>
      <c r="BH162" s="16"/>
      <c r="BI162" s="687"/>
      <c r="BJ162" s="16"/>
      <c r="BK162" s="687"/>
      <c r="BL162" s="16"/>
      <c r="BM162" s="687"/>
      <c r="BN162" s="16"/>
      <c r="BO162" s="687"/>
      <c r="BP162" s="16"/>
      <c r="BQ162" s="687"/>
      <c r="BR162" s="16"/>
      <c r="BS162" s="687"/>
      <c r="BT162" s="16"/>
      <c r="BU162" s="687"/>
      <c r="BV162" s="16"/>
      <c r="BW162" s="687"/>
      <c r="BX162" s="16"/>
      <c r="BY162" s="687"/>
      <c r="BZ162" s="16"/>
      <c r="CA162" s="687"/>
      <c r="CB162" s="16"/>
      <c r="CC162" s="687"/>
      <c r="CD162" s="16"/>
      <c r="CE162" s="687"/>
      <c r="CF162" s="16"/>
      <c r="CG162" s="687"/>
      <c r="CH162" s="16"/>
      <c r="CI162" s="687"/>
      <c r="CJ162" s="16"/>
      <c r="CK162" s="687"/>
      <c r="CL162" s="16"/>
      <c r="CM162" s="687"/>
      <c r="CN162" s="16"/>
      <c r="CO162" s="687"/>
      <c r="CP162" s="16"/>
      <c r="CQ162" s="687"/>
      <c r="CR162" s="16"/>
      <c r="CS162" s="687"/>
      <c r="CT162" s="16"/>
      <c r="CU162" s="687"/>
      <c r="CV162" s="16"/>
      <c r="CW162" s="687"/>
      <c r="CX162" s="16"/>
      <c r="CY162" s="687"/>
      <c r="CZ162" s="16"/>
      <c r="DA162" s="687"/>
      <c r="DB162" s="16"/>
      <c r="DC162" s="16"/>
      <c r="DD162" s="687"/>
      <c r="DE162" s="16"/>
      <c r="DF162" s="687"/>
      <c r="DG162" s="16"/>
      <c r="DH162" s="687"/>
      <c r="DI162" s="16"/>
      <c r="DJ162" s="687"/>
      <c r="DK162" s="16"/>
      <c r="DL162" s="687"/>
      <c r="DM162" s="16"/>
      <c r="DN162" s="687"/>
      <c r="DO162" s="16"/>
      <c r="DP162" s="687"/>
      <c r="DQ162" s="16"/>
      <c r="DR162" s="687"/>
      <c r="DS162" s="16"/>
      <c r="DT162" s="687"/>
      <c r="DU162" s="16"/>
      <c r="DV162" s="687"/>
      <c r="DW162" s="16"/>
      <c r="DX162" s="687"/>
      <c r="DY162" s="16"/>
      <c r="DZ162" s="687"/>
      <c r="EA162" s="16"/>
      <c r="EB162" s="687"/>
      <c r="EC162" s="16"/>
      <c r="ED162" s="687"/>
      <c r="EE162" s="16"/>
      <c r="EF162" s="687"/>
      <c r="EG162" s="16"/>
      <c r="EH162" s="687"/>
      <c r="EI162" s="16"/>
      <c r="EJ162" s="687"/>
      <c r="EK162" s="16"/>
      <c r="EL162" s="687"/>
      <c r="EM162" s="687"/>
    </row>
    <row r="163" spans="1:143" ht="12.75" hidden="1" customHeight="1" outlineLevel="1" x14ac:dyDescent="0.2">
      <c r="A163" s="700" t="str">
        <f>INPUT!B188</f>
        <v>Interest Sensitive Life Reserves</v>
      </c>
      <c r="B163" s="16"/>
      <c r="C163" s="687"/>
      <c r="D163" s="16"/>
      <c r="E163" s="687"/>
      <c r="F163" s="16"/>
      <c r="G163" s="687"/>
      <c r="H163" s="16"/>
      <c r="I163" s="687"/>
      <c r="J163" s="16"/>
      <c r="K163" s="687"/>
      <c r="L163" s="16"/>
      <c r="M163" s="687"/>
      <c r="N163" s="16"/>
      <c r="O163" s="687"/>
      <c r="P163" s="16"/>
      <c r="Q163" s="687"/>
      <c r="R163" s="16"/>
      <c r="S163" s="687"/>
      <c r="T163" s="16"/>
      <c r="U163" s="687"/>
      <c r="V163" s="16"/>
      <c r="W163" s="687"/>
      <c r="X163" s="16"/>
      <c r="Y163" s="687"/>
      <c r="Z163" s="16"/>
      <c r="AA163" s="687"/>
      <c r="AB163" s="16"/>
      <c r="AC163" s="687"/>
      <c r="AD163" s="16"/>
      <c r="AE163" s="687"/>
      <c r="AF163" s="16"/>
      <c r="AG163" s="687"/>
      <c r="AH163" s="16"/>
      <c r="AI163" s="687"/>
      <c r="AJ163" s="16"/>
      <c r="AK163" s="687"/>
      <c r="AL163" s="16"/>
      <c r="AM163" s="687"/>
      <c r="AN163" s="16"/>
      <c r="AO163" s="687"/>
      <c r="AP163" s="16"/>
      <c r="AQ163" s="687"/>
      <c r="AR163" s="16"/>
      <c r="AS163" s="687"/>
      <c r="AT163" s="16"/>
      <c r="AU163" s="687"/>
      <c r="AV163" s="16"/>
      <c r="AW163" s="687"/>
      <c r="AX163" s="16"/>
      <c r="AY163" s="687"/>
      <c r="AZ163" s="16"/>
      <c r="BA163" s="687"/>
      <c r="BB163" s="16"/>
      <c r="BC163" s="687"/>
      <c r="BD163" s="16"/>
      <c r="BE163" s="687"/>
      <c r="BF163" s="16"/>
      <c r="BG163" s="687"/>
      <c r="BH163" s="16"/>
      <c r="BI163" s="687"/>
      <c r="BJ163" s="16"/>
      <c r="BK163" s="687"/>
      <c r="BL163" s="16"/>
      <c r="BM163" s="687"/>
      <c r="BN163" s="16"/>
      <c r="BO163" s="687"/>
      <c r="BP163" s="16"/>
      <c r="BQ163" s="687"/>
      <c r="BR163" s="16"/>
      <c r="BS163" s="687"/>
      <c r="BT163" s="16"/>
      <c r="BU163" s="687"/>
      <c r="BV163" s="16"/>
      <c r="BW163" s="687"/>
      <c r="BX163" s="16"/>
      <c r="BY163" s="687"/>
      <c r="BZ163" s="16"/>
      <c r="CA163" s="687"/>
      <c r="CB163" s="16"/>
      <c r="CC163" s="687"/>
      <c r="CD163" s="16"/>
      <c r="CE163" s="687"/>
      <c r="CF163" s="16"/>
      <c r="CG163" s="687"/>
      <c r="CH163" s="16"/>
      <c r="CI163" s="687"/>
      <c r="CJ163" s="16"/>
      <c r="CK163" s="687"/>
      <c r="CL163" s="16"/>
      <c r="CM163" s="687"/>
      <c r="CN163" s="16"/>
      <c r="CO163" s="687"/>
      <c r="CP163" s="16"/>
      <c r="CQ163" s="687"/>
      <c r="CR163" s="16"/>
      <c r="CS163" s="687"/>
      <c r="CT163" s="16"/>
      <c r="CU163" s="687"/>
      <c r="CV163" s="16"/>
      <c r="CW163" s="687"/>
      <c r="CX163" s="16"/>
      <c r="CY163" s="687"/>
      <c r="CZ163" s="16"/>
      <c r="DA163" s="687"/>
      <c r="DB163" s="16"/>
      <c r="DC163" s="16"/>
      <c r="DD163" s="687"/>
      <c r="DE163" s="16"/>
      <c r="DF163" s="687"/>
      <c r="DG163" s="16"/>
      <c r="DH163" s="687"/>
      <c r="DI163" s="16"/>
      <c r="DJ163" s="687"/>
      <c r="DK163" s="16"/>
      <c r="DL163" s="687"/>
      <c r="DM163" s="16"/>
      <c r="DN163" s="687"/>
      <c r="DO163" s="16"/>
      <c r="DP163" s="687"/>
      <c r="DQ163" s="16"/>
      <c r="DR163" s="687"/>
      <c r="DS163" s="16"/>
      <c r="DT163" s="687"/>
      <c r="DU163" s="16"/>
      <c r="DV163" s="687"/>
      <c r="DW163" s="16"/>
      <c r="DX163" s="687"/>
      <c r="DY163" s="16"/>
      <c r="DZ163" s="687"/>
      <c r="EA163" s="16"/>
      <c r="EB163" s="687"/>
      <c r="EC163" s="16"/>
      <c r="ED163" s="687"/>
      <c r="EE163" s="16"/>
      <c r="EF163" s="687"/>
      <c r="EG163" s="16"/>
      <c r="EH163" s="687"/>
      <c r="EI163" s="16"/>
      <c r="EJ163" s="687"/>
      <c r="EK163" s="16"/>
      <c r="EL163" s="687"/>
      <c r="EM163" s="687"/>
    </row>
    <row r="164" spans="1:143" ht="12.75" hidden="1" customHeight="1" outlineLevel="1" x14ac:dyDescent="0.2">
      <c r="A164" s="701" t="str">
        <f>INPUT!B189</f>
        <v>Beginning of Period Reserves</v>
      </c>
      <c r="B164" s="151">
        <f>INPUT!AY189</f>
        <v>11809</v>
      </c>
      <c r="C164" s="687">
        <f>INPUT!AZ189</f>
        <v>5.1371082621082698</v>
      </c>
      <c r="D164" s="151">
        <f>INPUT!BA189</f>
        <v>11913</v>
      </c>
      <c r="E164" s="687">
        <f>INPUT!BB189</f>
        <v>5.1920529801324555</v>
      </c>
      <c r="F164" s="151">
        <f>INPUT!BC189</f>
        <v>21285</v>
      </c>
      <c r="G164" s="687">
        <f>INPUT!BD189</f>
        <v>86.008913746395166</v>
      </c>
      <c r="H164" s="151">
        <f>INPUT!BE189</f>
        <v>21516</v>
      </c>
      <c r="I164" s="687">
        <f>INPUT!BF189</f>
        <v>85.626779397808647</v>
      </c>
      <c r="J164" s="151">
        <f>INPUT!BG189</f>
        <v>25237</v>
      </c>
      <c r="K164" s="687" t="str">
        <f>INPUT!BH189</f>
        <v>NM</v>
      </c>
      <c r="L164" s="151">
        <f>INPUT!BI189</f>
        <v>25575</v>
      </c>
      <c r="M164" s="687" t="str">
        <f>INPUT!BJ189</f>
        <v>NM</v>
      </c>
      <c r="N164" s="151">
        <f>INPUT!BK189</f>
        <v>25864</v>
      </c>
      <c r="O164" s="687">
        <f>INPUT!BL189</f>
        <v>21.512802443034996</v>
      </c>
      <c r="P164" s="151">
        <f>INPUT!BM189</f>
        <v>26162</v>
      </c>
      <c r="Q164" s="687">
        <f>INPUT!BN189</f>
        <v>21.593232942926189</v>
      </c>
      <c r="R164" s="151">
        <f>INPUT!BO189</f>
        <v>26518</v>
      </c>
      <c r="S164" s="687">
        <f>INPUT!BP189</f>
        <v>5.0758806514245025</v>
      </c>
      <c r="T164" s="151">
        <f>INPUT!BQ189</f>
        <v>26726</v>
      </c>
      <c r="U164" s="687">
        <f>INPUT!BR189</f>
        <v>4.5004887585532671</v>
      </c>
      <c r="V164" s="151">
        <f>INPUT!BS189</f>
        <v>26980</v>
      </c>
      <c r="W164" s="687">
        <f>INPUT!BT189</f>
        <v>4.3148778224559203</v>
      </c>
      <c r="X164" s="151">
        <f>INPUT!BU189</f>
        <v>27227</v>
      </c>
      <c r="Y164" s="687">
        <f>INPUT!BV189</f>
        <v>4.0707896949774502</v>
      </c>
      <c r="Z164" s="151">
        <f>INPUT!BW189</f>
        <v>27502</v>
      </c>
      <c r="AA164" s="687">
        <f>INPUT!BX189</f>
        <v>3.7106870804736403</v>
      </c>
      <c r="AB164" s="151">
        <f>INPUT!BY189</f>
        <v>27617</v>
      </c>
      <c r="AC164" s="687">
        <f>INPUT!BZ189</f>
        <v>3.3338322233031459</v>
      </c>
      <c r="AD164" s="151">
        <f>INPUT!CA189</f>
        <v>27709</v>
      </c>
      <c r="AE164" s="687">
        <f>INPUT!CB189</f>
        <v>2.7020014825796856</v>
      </c>
      <c r="AF164" s="151">
        <f>INPUT!CC189</f>
        <v>27825</v>
      </c>
      <c r="AG164" s="687">
        <f>INPUT!CD189</f>
        <v>2.1963492121790829</v>
      </c>
      <c r="AH164" s="151">
        <f>INPUT!CE189</f>
        <v>28192</v>
      </c>
      <c r="AI164" s="687">
        <f>INPUT!CF189</f>
        <v>2.5089084430223174</v>
      </c>
      <c r="AJ164" s="151">
        <f>INPUT!CG189</f>
        <v>28355</v>
      </c>
      <c r="AK164" s="687">
        <f>INPUT!CH189</f>
        <v>2.6722670818698724</v>
      </c>
      <c r="AL164" s="151">
        <f>INPUT!CI189</f>
        <v>28584</v>
      </c>
      <c r="AM164" s="687">
        <f>INPUT!CJ189</f>
        <v>3.157818759247899</v>
      </c>
      <c r="AN164" s="151">
        <f>INPUT!CK189</f>
        <v>28794</v>
      </c>
      <c r="AO164" s="687">
        <f>INPUT!CL189</f>
        <v>3.4824797843665767</v>
      </c>
      <c r="AP164" s="151">
        <f>INPUT!CM189</f>
        <v>29365</v>
      </c>
      <c r="AQ164" s="687">
        <f>INPUT!CN189</f>
        <v>4.1607548240635728</v>
      </c>
      <c r="AR164" s="151">
        <f>INPUT!CO189</f>
        <v>29739</v>
      </c>
      <c r="AS164" s="687">
        <f>INPUT!CP189</f>
        <v>4.8809733733027771</v>
      </c>
      <c r="AT164" s="151">
        <f>INPUT!CQ189</f>
        <v>30148</v>
      </c>
      <c r="AU164" s="687">
        <f>INPUT!CR189</f>
        <v>5.4715924993003151</v>
      </c>
      <c r="AV164" s="151">
        <f>INPUT!CS189</f>
        <v>30638</v>
      </c>
      <c r="AW164" s="687">
        <f>INPUT!CT189</f>
        <v>6.4041119677710645</v>
      </c>
      <c r="AX164" s="151">
        <f>INPUT!CU189</f>
        <v>31219</v>
      </c>
      <c r="AY164" s="687">
        <f>INPUT!CV189</f>
        <v>6.3136386855099591</v>
      </c>
      <c r="AZ164" s="151">
        <f>INPUT!CW189</f>
        <v>31494</v>
      </c>
      <c r="BA164" s="687">
        <f>INPUT!CX189</f>
        <v>5.9013416725511858</v>
      </c>
      <c r="BB164" s="151">
        <f>INPUT!CY189</f>
        <v>31750</v>
      </c>
      <c r="BC164" s="687">
        <f>INPUT!CZ189</f>
        <v>5.3137853257264167</v>
      </c>
      <c r="BD164" s="151">
        <f>INPUT!DA189</f>
        <v>31986</v>
      </c>
      <c r="BE164" s="687">
        <f>INPUT!DB189</f>
        <v>4.3997649977152609</v>
      </c>
      <c r="BF164" s="151">
        <f>INPUT!DC189</f>
        <v>32432</v>
      </c>
      <c r="BG164" s="687">
        <f>INPUT!DD189</f>
        <v>3.8854543707357747</v>
      </c>
      <c r="BH164" s="151">
        <f>INPUT!DE189</f>
        <v>32817</v>
      </c>
      <c r="BI164" s="687">
        <f>INPUT!DF189</f>
        <v>4.2008001524099781</v>
      </c>
      <c r="BJ164" s="151">
        <f>INPUT!DG189</f>
        <v>33108</v>
      </c>
      <c r="BK164" s="687">
        <f>INPUT!DH189</f>
        <v>4.2771653543307142</v>
      </c>
      <c r="BL164" s="151">
        <f>INPUT!DI189</f>
        <v>33366</v>
      </c>
      <c r="BM164" s="687">
        <f>INPUT!DJ189</f>
        <v>4.3143875445507351</v>
      </c>
      <c r="BN164" s="151">
        <f>INPUT!DK189</f>
        <v>33721</v>
      </c>
      <c r="BO164" s="687">
        <f>INPUT!DL189</f>
        <v>3.9744696595954698</v>
      </c>
      <c r="BP164" s="151">
        <f>INPUT!DM189</f>
        <v>33886</v>
      </c>
      <c r="BQ164" s="687">
        <f>INPUT!DN189</f>
        <v>3.2574580248042162</v>
      </c>
      <c r="BR164" s="151">
        <f>INPUT!DO189</f>
        <v>34094</v>
      </c>
      <c r="BS164" s="687">
        <f>INPUT!DP189</f>
        <v>2.978132173492809</v>
      </c>
      <c r="BT164" s="151">
        <f>INPUT!DQ189</f>
        <v>34315</v>
      </c>
      <c r="BU164" s="687">
        <f>INPUT!DR189</f>
        <v>2.8442126715818583</v>
      </c>
      <c r="BV164" s="151">
        <f>INPUT!DS189</f>
        <v>34612</v>
      </c>
      <c r="BW164" s="687">
        <f>INPUT!DT189</f>
        <v>2.6422703953026261</v>
      </c>
      <c r="BX164" s="151">
        <f>INPUT!DU189</f>
        <v>34753</v>
      </c>
      <c r="BY164" s="687">
        <f>INPUT!DV189</f>
        <v>2.5585787640913571</v>
      </c>
      <c r="BZ164" s="151">
        <f>INPUT!DW189</f>
        <v>34930</v>
      </c>
      <c r="CA164" s="687">
        <f>INPUT!DX189</f>
        <v>2.452044347979121</v>
      </c>
      <c r="CB164" s="151">
        <f>INPUT!DY189</f>
        <v>35213</v>
      </c>
      <c r="CC164" s="687">
        <f>INPUT!DZ189</f>
        <v>2.6169313711205122</v>
      </c>
      <c r="CD164" s="151">
        <f>INPUT!EA189</f>
        <v>35545</v>
      </c>
      <c r="CE164" s="687">
        <f>INPUT!EB189</f>
        <v>2.6955969028082727</v>
      </c>
      <c r="CF164" s="151">
        <f>INPUT!EC189</f>
        <v>35640</v>
      </c>
      <c r="CG164" s="687">
        <f>INPUT!ED189</f>
        <v>2.5522976433689282</v>
      </c>
      <c r="CH164" s="151">
        <f>INPUT!EE189</f>
        <v>35775</v>
      </c>
      <c r="CI164" s="687">
        <f>INPUT!EF189</f>
        <v>2.4191239622101346</v>
      </c>
      <c r="CJ164" s="151">
        <f>INPUT!EG189</f>
        <v>35975</v>
      </c>
      <c r="CK164" s="687">
        <f>INPUT!EH189</f>
        <v>2.1639735325021947</v>
      </c>
      <c r="CL164" s="151">
        <f>INPUT!EI189</f>
        <v>36272</v>
      </c>
      <c r="CM164" s="687">
        <f>INPUT!EJ189</f>
        <v>2.0452946968631203</v>
      </c>
      <c r="CN164" s="151">
        <f>INPUT!EK189</f>
        <v>36295</v>
      </c>
      <c r="CO164" s="687">
        <f>INPUT!EL189</f>
        <v>1.8378226711559975</v>
      </c>
      <c r="CP164" s="151">
        <f>INPUT!EM189</f>
        <v>36454</v>
      </c>
      <c r="CQ164" s="687">
        <f>INPUT!EN189</f>
        <v>1.8979734451432639</v>
      </c>
      <c r="CR164" s="151">
        <f>INPUT!EO189</f>
        <v>36576</v>
      </c>
      <c r="CS164" s="687">
        <f>INPUT!EP189</f>
        <v>1.6706045865184205</v>
      </c>
      <c r="CT164" s="151">
        <f>INPUT!EQ189</f>
        <v>36791</v>
      </c>
      <c r="CU164" s="687">
        <f>INPUT!ER189</f>
        <v>1.4308557565063884</v>
      </c>
      <c r="CV164" s="151">
        <f>INPUT!ES189</f>
        <v>36990.266669947508</v>
      </c>
      <c r="CW164" s="687">
        <f>INPUT!ET189</f>
        <v>1.9155990355352204</v>
      </c>
      <c r="CX164" s="151">
        <f>INPUT!EU189</f>
        <v>37240.170005476408</v>
      </c>
      <c r="CY164" s="687">
        <f>INPUT!EV189</f>
        <v>2.1566083433269601</v>
      </c>
      <c r="CZ164" s="151">
        <f>INPUT!EW189</f>
        <v>37439.378757950959</v>
      </c>
      <c r="DA164" s="687">
        <f>INPUT!EX189</f>
        <v>2.3605062279936639</v>
      </c>
      <c r="DB164" s="16"/>
      <c r="DC164" s="151">
        <f>INPUT!FP189</f>
        <v>11232</v>
      </c>
      <c r="DD164" s="687" t="str">
        <f>INPUT!FQ189</f>
        <v>NA</v>
      </c>
      <c r="DE164" s="151">
        <f>INPUT!FR189</f>
        <v>11810</v>
      </c>
      <c r="DF164" s="687">
        <f>INPUT!FS189</f>
        <v>5.1460113960113851</v>
      </c>
      <c r="DG164" s="151">
        <f>INPUT!FT189</f>
        <v>25237</v>
      </c>
      <c r="DH164" s="687" t="str">
        <f>INPUT!FU189</f>
        <v>NM</v>
      </c>
      <c r="DI164" s="151">
        <f>INPUT!FV189</f>
        <v>26518</v>
      </c>
      <c r="DJ164" s="687">
        <f>INPUT!FW189</f>
        <v>5.0758806514245025</v>
      </c>
      <c r="DK164" s="151">
        <f>INPUT!FX189</f>
        <v>27502</v>
      </c>
      <c r="DL164" s="687">
        <f>INPUT!FY189</f>
        <v>3.7106870804736403</v>
      </c>
      <c r="DM164" s="151">
        <f>INPUT!FZ189</f>
        <v>28192</v>
      </c>
      <c r="DN164" s="687">
        <f>INPUT!GA189</f>
        <v>2.5089084430223174</v>
      </c>
      <c r="DO164" s="151">
        <f>INPUT!GB189</f>
        <v>29365</v>
      </c>
      <c r="DP164" s="687">
        <f>INPUT!GC189</f>
        <v>4.1607548240635728</v>
      </c>
      <c r="DQ164" s="151">
        <f>INPUT!GD189</f>
        <v>31219</v>
      </c>
      <c r="DR164" s="687">
        <f>INPUT!GE189</f>
        <v>6.3136386855099591</v>
      </c>
      <c r="DS164" s="151">
        <f>INPUT!GF189</f>
        <v>32432</v>
      </c>
      <c r="DT164" s="687">
        <f>INPUT!GG189</f>
        <v>3.8854543707357747</v>
      </c>
      <c r="DU164" s="151">
        <f>INPUT!GH189</f>
        <v>33721</v>
      </c>
      <c r="DV164" s="687">
        <f>INPUT!GI189</f>
        <v>3.9744696595954698</v>
      </c>
      <c r="DW164" s="151">
        <f>INPUT!GJ189</f>
        <v>34612</v>
      </c>
      <c r="DX164" s="687">
        <f>INPUT!GK189</f>
        <v>2.6422703953026261</v>
      </c>
      <c r="DY164" s="151">
        <f>INPUT!GL189</f>
        <v>35545</v>
      </c>
      <c r="DZ164" s="687">
        <f>INPUT!GM189</f>
        <v>2.6955969028082727</v>
      </c>
      <c r="EA164" s="151">
        <f>INPUT!GN189</f>
        <v>36272</v>
      </c>
      <c r="EB164" s="687">
        <f>INPUT!GO189</f>
        <v>2.0452946968631203</v>
      </c>
      <c r="EC164" s="151">
        <f>INPUT!GP189</f>
        <v>36791</v>
      </c>
      <c r="ED164" s="687">
        <f>INPUT!GQ189</f>
        <v>1.4308557565063884</v>
      </c>
      <c r="EE164" s="151">
        <f>INPUT!GR189</f>
        <v>37693.574028742994</v>
      </c>
      <c r="EF164" s="687">
        <f>INPUT!GS189</f>
        <v>2.4532467960723947</v>
      </c>
      <c r="EG164" s="151">
        <f>INPUT!GT189</f>
        <v>38631.663172326815</v>
      </c>
      <c r="EH164" s="687">
        <f>INPUT!GU189</f>
        <v>2.4887243190801822</v>
      </c>
      <c r="EI164" s="151">
        <f>INPUT!GV189</f>
        <v>39606.944548908243</v>
      </c>
      <c r="EJ164" s="687">
        <f>INPUT!GW189</f>
        <v>2.5245648167694146</v>
      </c>
      <c r="EK164" s="151">
        <f>INPUT!GX189</f>
        <v>40621.178120507851</v>
      </c>
      <c r="EL164" s="687">
        <f>INPUT!GY189</f>
        <v>2.5607468163750813</v>
      </c>
      <c r="EM164" s="687">
        <f>INPUT!GZ189</f>
        <v>2.2907122072718389</v>
      </c>
    </row>
    <row r="165" spans="1:143" ht="12.75" hidden="1" customHeight="1" outlineLevel="1" x14ac:dyDescent="0.2">
      <c r="A165" s="701" t="str">
        <f>INPUT!B190</f>
        <v>Deposits</v>
      </c>
      <c r="B165" s="151">
        <f>INPUT!AY190</f>
        <v>401</v>
      </c>
      <c r="C165" s="687">
        <f>INPUT!AZ190</f>
        <v>4.9738219895288038</v>
      </c>
      <c r="D165" s="151">
        <f>INPUT!BA190</f>
        <v>799</v>
      </c>
      <c r="E165" s="687" t="str">
        <f>INPUT!BB190</f>
        <v>NM</v>
      </c>
      <c r="F165" s="151">
        <f>INPUT!BC190</f>
        <v>717</v>
      </c>
      <c r="G165" s="687">
        <f>INPUT!BD190</f>
        <v>72.771084337349407</v>
      </c>
      <c r="H165" s="151">
        <f>INPUT!BE190</f>
        <v>948</v>
      </c>
      <c r="I165" s="687">
        <f>INPUT!BF190</f>
        <v>89.979959919839672</v>
      </c>
      <c r="J165" s="151">
        <f>INPUT!BG190</f>
        <v>882</v>
      </c>
      <c r="K165" s="687" t="str">
        <f>INPUT!BH190</f>
        <v>NM</v>
      </c>
      <c r="L165" s="151">
        <f>INPUT!BI190</f>
        <v>864</v>
      </c>
      <c r="M165" s="687">
        <f>INPUT!BJ190</f>
        <v>8.1351689612015008</v>
      </c>
      <c r="N165" s="151">
        <f>INPUT!BK190</f>
        <v>852</v>
      </c>
      <c r="O165" s="687">
        <f>INPUT!BL190</f>
        <v>18.828451882845187</v>
      </c>
      <c r="P165" s="151">
        <f>INPUT!BM190</f>
        <v>977</v>
      </c>
      <c r="Q165" s="687">
        <f>INPUT!BN190</f>
        <v>3.0590717299578074</v>
      </c>
      <c r="R165" s="151">
        <f>INPUT!BO190</f>
        <v>893</v>
      </c>
      <c r="S165" s="687">
        <f>INPUT!BP190</f>
        <v>1.2471655328798237</v>
      </c>
      <c r="T165" s="151">
        <f>INPUT!BQ190</f>
        <v>846</v>
      </c>
      <c r="U165" s="687">
        <f>INPUT!BR190</f>
        <v>-2.083333333333337</v>
      </c>
      <c r="V165" s="151">
        <f>INPUT!BS190</f>
        <v>875</v>
      </c>
      <c r="W165" s="687">
        <f>INPUT!BT190</f>
        <v>2.699530516431925</v>
      </c>
      <c r="X165" s="151">
        <f>INPUT!BU190</f>
        <v>951</v>
      </c>
      <c r="Y165" s="687">
        <f>INPUT!BV190</f>
        <v>-2.6612077789150423</v>
      </c>
      <c r="Z165" s="151">
        <f>INPUT!BW190</f>
        <v>815</v>
      </c>
      <c r="AA165" s="687">
        <f>INPUT!BX190</f>
        <v>-8.7346024636058228</v>
      </c>
      <c r="AB165" s="151">
        <f>INPUT!BY190</f>
        <v>840</v>
      </c>
      <c r="AC165" s="687">
        <f>INPUT!BZ190</f>
        <v>-0.70921985815602939</v>
      </c>
      <c r="AD165" s="151">
        <f>INPUT!CA190</f>
        <v>899</v>
      </c>
      <c r="AE165" s="687">
        <f>INPUT!CB190</f>
        <v>2.7428571428571358</v>
      </c>
      <c r="AF165" s="151">
        <f>INPUT!CC190</f>
        <v>1067</v>
      </c>
      <c r="AG165" s="687">
        <f>INPUT!CD190</f>
        <v>12.197686645636164</v>
      </c>
      <c r="AH165" s="151">
        <f>INPUT!CE190</f>
        <v>910</v>
      </c>
      <c r="AI165" s="687">
        <f>INPUT!CF190</f>
        <v>11.656441717791409</v>
      </c>
      <c r="AJ165" s="151">
        <f>INPUT!CG190</f>
        <v>911</v>
      </c>
      <c r="AK165" s="687">
        <f>INPUT!CH190</f>
        <v>8.4523809523809454</v>
      </c>
      <c r="AL165" s="151">
        <f>INPUT!CI190</f>
        <v>983</v>
      </c>
      <c r="AM165" s="687">
        <f>INPUT!CJ190</f>
        <v>9.3437152391546263</v>
      </c>
      <c r="AN165" s="151">
        <f>INPUT!CK190</f>
        <v>1324</v>
      </c>
      <c r="AO165" s="687">
        <f>INPUT!CL190</f>
        <v>24.086223055295221</v>
      </c>
      <c r="AP165" s="151">
        <f>INPUT!CM190</f>
        <v>1085</v>
      </c>
      <c r="AQ165" s="687">
        <f>INPUT!CN190</f>
        <v>19.23076923076923</v>
      </c>
      <c r="AR165" s="151">
        <f>INPUT!CO190</f>
        <v>1126</v>
      </c>
      <c r="AS165" s="687">
        <f>INPUT!CP190</f>
        <v>23.600439077936343</v>
      </c>
      <c r="AT165" s="151">
        <f>INPUT!CQ190</f>
        <v>1165</v>
      </c>
      <c r="AU165" s="687">
        <f>INPUT!CR190</f>
        <v>18.51475076297049</v>
      </c>
      <c r="AV165" s="151">
        <f>INPUT!CS190</f>
        <v>1297</v>
      </c>
      <c r="AW165" s="687">
        <f>INPUT!CT190</f>
        <v>-2.0392749244713015</v>
      </c>
      <c r="AX165" s="151">
        <f>INPUT!CU190</f>
        <v>991</v>
      </c>
      <c r="AY165" s="687">
        <f>INPUT!CV190</f>
        <v>-8.6635944700460872</v>
      </c>
      <c r="AZ165" s="151">
        <f>INPUT!CW190</f>
        <v>990</v>
      </c>
      <c r="BA165" s="687">
        <f>INPUT!CX190</f>
        <v>-12.078152753108352</v>
      </c>
      <c r="BB165" s="151">
        <f>INPUT!CY190</f>
        <v>971</v>
      </c>
      <c r="BC165" s="687">
        <f>INPUT!CZ190</f>
        <v>-16.652360515021456</v>
      </c>
      <c r="BD165" s="151">
        <f>INPUT!DA190</f>
        <v>1132</v>
      </c>
      <c r="BE165" s="687">
        <f>INPUT!DB190</f>
        <v>-12.721665381649959</v>
      </c>
      <c r="BF165" s="151">
        <f>INPUT!DC190</f>
        <v>998</v>
      </c>
      <c r="BG165" s="687">
        <f>INPUT!DD190</f>
        <v>0.70635721493441661</v>
      </c>
      <c r="BH165" s="151">
        <f>INPUT!DE190</f>
        <v>966</v>
      </c>
      <c r="BI165" s="687">
        <f>INPUT!DF190</f>
        <v>-2.4242424242424288</v>
      </c>
      <c r="BJ165" s="151">
        <f>INPUT!DG190</f>
        <v>938</v>
      </c>
      <c r="BK165" s="687">
        <f>INPUT!DH190</f>
        <v>-3.3985581874356297</v>
      </c>
      <c r="BL165" s="151">
        <f>INPUT!DI190</f>
        <v>1017</v>
      </c>
      <c r="BM165" s="687">
        <f>INPUT!DJ190</f>
        <v>-10.159010600706708</v>
      </c>
      <c r="BN165" s="151">
        <f>INPUT!DK190</f>
        <v>869</v>
      </c>
      <c r="BO165" s="687">
        <f>INPUT!DL190</f>
        <v>-12.92585170340681</v>
      </c>
      <c r="BP165" s="151">
        <f>INPUT!DM190</f>
        <v>890</v>
      </c>
      <c r="BQ165" s="687">
        <f>INPUT!DN190</f>
        <v>-7.8674948240165632</v>
      </c>
      <c r="BR165" s="151">
        <f>INPUT!DO190</f>
        <v>934</v>
      </c>
      <c r="BS165" s="687">
        <f>INPUT!DP190</f>
        <v>-0.42643923240938131</v>
      </c>
      <c r="BT165" s="151">
        <f>INPUT!DQ190</f>
        <v>1029</v>
      </c>
      <c r="BU165" s="687">
        <f>INPUT!DR190</f>
        <v>1.1799410029498469</v>
      </c>
      <c r="BV165" s="151">
        <f>INPUT!DS190</f>
        <v>921</v>
      </c>
      <c r="BW165" s="687">
        <f>INPUT!DT190</f>
        <v>5.9838895281933313</v>
      </c>
      <c r="BX165" s="151">
        <f>INPUT!DU190</f>
        <v>964</v>
      </c>
      <c r="BY165" s="687">
        <f>INPUT!DV190</f>
        <v>8.3146067415730265</v>
      </c>
      <c r="BZ165" s="151">
        <f>INPUT!DW190</f>
        <v>1012</v>
      </c>
      <c r="CA165" s="687">
        <f>INPUT!DX190</f>
        <v>1012</v>
      </c>
      <c r="CB165" s="151">
        <f>INPUT!DY190</f>
        <v>1082</v>
      </c>
      <c r="CC165" s="687">
        <f>INPUT!DZ190</f>
        <v>5.1506316812439223</v>
      </c>
      <c r="CD165" s="151">
        <f>INPUT!EA190</f>
        <v>945</v>
      </c>
      <c r="CE165" s="687">
        <f>INPUT!EB190</f>
        <v>2.6058631921824116</v>
      </c>
      <c r="CF165" s="151">
        <f>INPUT!EC190</f>
        <v>992</v>
      </c>
      <c r="CG165" s="687">
        <f>INPUT!ED190</f>
        <v>2.9045643153526868</v>
      </c>
      <c r="CH165" s="151">
        <f>INPUT!EE190</f>
        <v>1050</v>
      </c>
      <c r="CI165" s="687">
        <f>INPUT!EF190</f>
        <v>3.7549407114624511</v>
      </c>
      <c r="CJ165" s="151">
        <f>INPUT!EG190</f>
        <v>1159</v>
      </c>
      <c r="CK165" s="687">
        <f>INPUT!EH190</f>
        <v>7.1164510166358497</v>
      </c>
      <c r="CL165" s="151">
        <f>INPUT!EI190</f>
        <v>1042</v>
      </c>
      <c r="CM165" s="687">
        <f>INPUT!EJ190</f>
        <v>10.264550264550266</v>
      </c>
      <c r="CN165" s="151">
        <f>INPUT!EK190</f>
        <v>1115</v>
      </c>
      <c r="CO165" s="687">
        <f>INPUT!EL190</f>
        <v>12.3991935483871</v>
      </c>
      <c r="CP165" s="151">
        <f>INPUT!EM190</f>
        <v>1070</v>
      </c>
      <c r="CQ165" s="687">
        <f>INPUT!EN190</f>
        <v>1.904761904761898</v>
      </c>
      <c r="CR165" s="151">
        <f>INPUT!EO190</f>
        <v>1152</v>
      </c>
      <c r="CS165" s="687">
        <f>INPUT!EP190</f>
        <v>-0.60396893874029578</v>
      </c>
      <c r="CT165" s="151">
        <f>INPUT!EQ190</f>
        <v>1094.1000000000001</v>
      </c>
      <c r="CU165" s="687">
        <f>INPUT!ER190</f>
        <v>5.0000000000000044</v>
      </c>
      <c r="CV165" s="151">
        <f>INPUT!ES190</f>
        <v>1170.75</v>
      </c>
      <c r="CW165" s="687">
        <f>INPUT!ET190</f>
        <v>5.0000000000000044</v>
      </c>
      <c r="CX165" s="151">
        <f>INPUT!EU190</f>
        <v>1123.5</v>
      </c>
      <c r="CY165" s="687">
        <f>INPUT!EV190</f>
        <v>5.0000000000000044</v>
      </c>
      <c r="CZ165" s="151">
        <f>INPUT!EW190</f>
        <v>1209.6000000000001</v>
      </c>
      <c r="DA165" s="687">
        <f>INPUT!EX190</f>
        <v>5.0000000000000044</v>
      </c>
      <c r="DB165" s="16"/>
      <c r="DC165" s="151">
        <f>INPUT!FP190</f>
        <v>1686</v>
      </c>
      <c r="DD165" s="687" t="str">
        <f>INPUT!FQ190</f>
        <v>NA</v>
      </c>
      <c r="DE165" s="151">
        <f>INPUT!FR190</f>
        <v>2865</v>
      </c>
      <c r="DF165" s="687">
        <f>INPUT!FS190</f>
        <v>69.928825622775804</v>
      </c>
      <c r="DG165" s="151">
        <f>INPUT!FT190</f>
        <v>3575</v>
      </c>
      <c r="DH165" s="687">
        <f>INPUT!FU190</f>
        <v>24.781849912739972</v>
      </c>
      <c r="DI165" s="151">
        <f>INPUT!FV190</f>
        <v>3565</v>
      </c>
      <c r="DJ165" s="687">
        <f>INPUT!FW190</f>
        <v>-0.27972027972027469</v>
      </c>
      <c r="DK165" s="151">
        <f>INPUT!FX190</f>
        <v>3621</v>
      </c>
      <c r="DL165" s="687">
        <f>INPUT!FY190</f>
        <v>1.5708274894810748</v>
      </c>
      <c r="DM165" s="151">
        <f>INPUT!FZ190</f>
        <v>4128</v>
      </c>
      <c r="DN165" s="687">
        <f>INPUT!GA190</f>
        <v>14.001657000828494</v>
      </c>
      <c r="DO165" s="151">
        <f>INPUT!GB190</f>
        <v>4673</v>
      </c>
      <c r="DP165" s="687">
        <f>INPUT!GC190</f>
        <v>13.202519379844958</v>
      </c>
      <c r="DQ165" s="151">
        <f>INPUT!GD190</f>
        <v>4084</v>
      </c>
      <c r="DR165" s="687">
        <f>INPUT!GE190</f>
        <v>-12.604322704900495</v>
      </c>
      <c r="DS165" s="151">
        <f>INPUT!GF190</f>
        <v>3919</v>
      </c>
      <c r="DT165" s="687">
        <f>INPUT!GG190</f>
        <v>-4.0401567091087216</v>
      </c>
      <c r="DU165" s="151">
        <f>INPUT!GH190</f>
        <v>3722</v>
      </c>
      <c r="DV165" s="687">
        <f>INPUT!GI190</f>
        <v>-5.0267925491196745</v>
      </c>
      <c r="DW165" s="151">
        <f>INPUT!GJ190</f>
        <v>3979</v>
      </c>
      <c r="DX165" s="687">
        <f>INPUT!GK190</f>
        <v>6.9048898441697926</v>
      </c>
      <c r="DY165" s="151">
        <f>INPUT!GL190</f>
        <v>4146</v>
      </c>
      <c r="DZ165" s="687">
        <f>INPUT!GM190</f>
        <v>4.1970344307614926</v>
      </c>
      <c r="EA165" s="151">
        <f>INPUT!GN190</f>
        <v>4379</v>
      </c>
      <c r="EB165" s="687">
        <f>INPUT!GO190</f>
        <v>5.6198745779064252</v>
      </c>
      <c r="EC165" s="151">
        <f>INPUT!GP190</f>
        <v>4597.9500000000007</v>
      </c>
      <c r="ED165" s="687">
        <f>INPUT!GQ190</f>
        <v>5.0000000000000266</v>
      </c>
      <c r="EE165" s="151">
        <f>INPUT!GR190</f>
        <v>4827.8475000000008</v>
      </c>
      <c r="EF165" s="687">
        <f>INPUT!GS190</f>
        <v>5.0000000000000044</v>
      </c>
      <c r="EG165" s="151">
        <f>INPUT!GT190</f>
        <v>5069.2398750000011</v>
      </c>
      <c r="EH165" s="687">
        <f>INPUT!GU190</f>
        <v>5.0000000000000044</v>
      </c>
      <c r="EI165" s="151">
        <f>INPUT!GV190</f>
        <v>5322.7018687500013</v>
      </c>
      <c r="EJ165" s="687">
        <f>INPUT!GW190</f>
        <v>5.0000000000000044</v>
      </c>
      <c r="EK165" s="151">
        <f>INPUT!GX190</f>
        <v>5588.8369621875017</v>
      </c>
      <c r="EL165" s="687">
        <f>INPUT!GY190</f>
        <v>5.0000000000000044</v>
      </c>
      <c r="EM165" s="687">
        <f>INPUT!GZ190</f>
        <v>5.0000000000000044</v>
      </c>
    </row>
    <row r="166" spans="1:143" ht="12.75" hidden="1" customHeight="1" outlineLevel="1" x14ac:dyDescent="0.2">
      <c r="A166" s="701" t="str">
        <f>INPUT!B193</f>
        <v>Interest Credited</v>
      </c>
      <c r="B166" s="151">
        <f>INPUT!AY192</f>
        <v>-250</v>
      </c>
      <c r="C166" s="687">
        <f>INPUT!AZ192</f>
        <v>5.0420168067226934</v>
      </c>
      <c r="D166" s="151">
        <f>INPUT!BA192</f>
        <v>-492</v>
      </c>
      <c r="E166" s="687" t="str">
        <f>INPUT!BB192</f>
        <v>NM</v>
      </c>
      <c r="F166" s="151">
        <f>INPUT!BC192</f>
        <v>-449</v>
      </c>
      <c r="G166" s="687">
        <f>INPUT!BD192</f>
        <v>85.537190082644628</v>
      </c>
      <c r="H166" s="151">
        <f>INPUT!BE192</f>
        <v>-516</v>
      </c>
      <c r="I166" s="687" t="str">
        <f>INPUT!BF192</f>
        <v>NM</v>
      </c>
      <c r="J166" s="151">
        <f>INPUT!BG192</f>
        <v>-523</v>
      </c>
      <c r="K166" s="687" t="str">
        <f>INPUT!BH192</f>
        <v>NM</v>
      </c>
      <c r="L166" s="151">
        <f>INPUT!BI192</f>
        <v>-507</v>
      </c>
      <c r="M166" s="687">
        <f>INPUT!BJ192</f>
        <v>3.0487804878048808</v>
      </c>
      <c r="N166" s="151">
        <f>INPUT!BK192</f>
        <v>-534</v>
      </c>
      <c r="O166" s="687">
        <f>INPUT!BL192</f>
        <v>18.930957683741646</v>
      </c>
      <c r="P166" s="151">
        <f>INPUT!BM192</f>
        <v>-583</v>
      </c>
      <c r="Q166" s="687">
        <f>INPUT!BN192</f>
        <v>12.984496124031008</v>
      </c>
      <c r="R166" s="151">
        <f>INPUT!BO192</f>
        <v>-568</v>
      </c>
      <c r="S166" s="687">
        <f>INPUT!BP192</f>
        <v>8.604206500956014</v>
      </c>
      <c r="T166" s="151">
        <f>INPUT!BQ192</f>
        <v>-601</v>
      </c>
      <c r="U166" s="687">
        <f>INPUT!BR192</f>
        <v>18.540433925049314</v>
      </c>
      <c r="V166" s="151">
        <f>INPUT!BS192</f>
        <v>-613</v>
      </c>
      <c r="W166" s="687">
        <f>INPUT!BT192</f>
        <v>14.794007490636707</v>
      </c>
      <c r="X166" s="151">
        <f>INPUT!BU192</f>
        <v>-639</v>
      </c>
      <c r="Y166" s="687">
        <f>INPUT!BV192</f>
        <v>9.6054888507718594</v>
      </c>
      <c r="Z166" s="151">
        <f>INPUT!BW192</f>
        <v>-631</v>
      </c>
      <c r="AA166" s="687">
        <f>INPUT!BX192</f>
        <v>11.09154929577465</v>
      </c>
      <c r="AB166" s="151">
        <f>INPUT!BY192</f>
        <v>-645</v>
      </c>
      <c r="AC166" s="687">
        <f>INPUT!BZ192</f>
        <v>7.3211314475873479</v>
      </c>
      <c r="AD166" s="151">
        <f>INPUT!CA192</f>
        <v>-657</v>
      </c>
      <c r="AE166" s="687">
        <f>INPUT!CB192</f>
        <v>7.1778140293637938</v>
      </c>
      <c r="AF166" s="151">
        <f>INPUT!CC192</f>
        <v>-698</v>
      </c>
      <c r="AG166" s="687">
        <f>INPUT!CD192</f>
        <v>9.2331768388106426</v>
      </c>
      <c r="AH166" s="151">
        <f>INPUT!CE192</f>
        <v>-673</v>
      </c>
      <c r="AI166" s="687">
        <f>INPUT!CF192</f>
        <v>6.6561014263074592</v>
      </c>
      <c r="AJ166" s="151">
        <f>INPUT!CG192</f>
        <v>-663</v>
      </c>
      <c r="AK166" s="687">
        <f>INPUT!CH192</f>
        <v>2.7906976744185963</v>
      </c>
      <c r="AL166" s="151">
        <f>INPUT!CI192</f>
        <v>-687</v>
      </c>
      <c r="AM166" s="687">
        <f>INPUT!CJ192</f>
        <v>4.5662100456621113</v>
      </c>
      <c r="AN166" s="151">
        <f>INPUT!CK192</f>
        <v>-734</v>
      </c>
      <c r="AO166" s="687">
        <f>INPUT!CL192</f>
        <v>5.1575931232091587</v>
      </c>
      <c r="AP166" s="151">
        <f>INPUT!CM192</f>
        <v>-715</v>
      </c>
      <c r="AQ166" s="687">
        <f>INPUT!CN192</f>
        <v>6.2407132243684993</v>
      </c>
      <c r="AR166" s="151">
        <f>INPUT!CO192</f>
        <v>-724</v>
      </c>
      <c r="AS166" s="687">
        <f>INPUT!CP192</f>
        <v>9.2006033182503657</v>
      </c>
      <c r="AT166" s="151">
        <f>INPUT!CQ192</f>
        <v>-726</v>
      </c>
      <c r="AU166" s="687">
        <f>INPUT!CR192</f>
        <v>5.6768558951965087</v>
      </c>
      <c r="AV166" s="151">
        <f>INPUT!CS192</f>
        <v>-751</v>
      </c>
      <c r="AW166" s="687">
        <f>INPUT!CT192</f>
        <v>2.3160762942779245</v>
      </c>
      <c r="AX166" s="151">
        <f>INPUT!CU192</f>
        <v>-710</v>
      </c>
      <c r="AY166" s="687">
        <f>INPUT!CV192</f>
        <v>-0.69930069930069783</v>
      </c>
      <c r="AZ166" s="151">
        <f>INPUT!CW192</f>
        <v>-712</v>
      </c>
      <c r="BA166" s="687">
        <f>INPUT!CX192</f>
        <v>-1.6574585635359074</v>
      </c>
      <c r="BB166" s="151">
        <f>INPUT!CY192</f>
        <v>-712</v>
      </c>
      <c r="BC166" s="687">
        <f>INPUT!CZ192</f>
        <v>-1.9283746556473802</v>
      </c>
      <c r="BD166" s="151">
        <f>INPUT!DA192</f>
        <v>-737</v>
      </c>
      <c r="BE166" s="687">
        <f>INPUT!DB192</f>
        <v>-1.8641810918774926</v>
      </c>
      <c r="BF166" s="151">
        <f>INPUT!DC192</f>
        <v>-743</v>
      </c>
      <c r="BG166" s="687">
        <f>INPUT!DD192</f>
        <v>4.6478873239436558</v>
      </c>
      <c r="BH166" s="151">
        <f>INPUT!DE192</f>
        <v>-748</v>
      </c>
      <c r="BI166" s="687">
        <f>INPUT!DF192</f>
        <v>5.0561797752809001</v>
      </c>
      <c r="BJ166" s="151">
        <f>INPUT!DG192</f>
        <v>-752</v>
      </c>
      <c r="BK166" s="687">
        <f>INPUT!DH192</f>
        <v>5.6179775280898792</v>
      </c>
      <c r="BL166" s="151">
        <f>INPUT!DI192</f>
        <v>-785</v>
      </c>
      <c r="BM166" s="687">
        <f>INPUT!DJ192</f>
        <v>6.5128900949796398</v>
      </c>
      <c r="BN166" s="151">
        <f>INPUT!DK192</f>
        <v>-741</v>
      </c>
      <c r="BO166" s="687">
        <f>INPUT!DL192</f>
        <v>-0.26917900403768957</v>
      </c>
      <c r="BP166" s="151">
        <f>INPUT!DM192</f>
        <v>-764</v>
      </c>
      <c r="BQ166" s="687">
        <f>INPUT!DN192</f>
        <v>2.1390374331550888</v>
      </c>
      <c r="BR166" s="151">
        <f>INPUT!DO192</f>
        <v>-791</v>
      </c>
      <c r="BS166" s="687">
        <f>INPUT!DP192</f>
        <v>5.1861702127659504</v>
      </c>
      <c r="BT166" s="151">
        <f>INPUT!DQ192</f>
        <v>-819</v>
      </c>
      <c r="BU166" s="687">
        <f>INPUT!DR192</f>
        <v>4.3312101910828016</v>
      </c>
      <c r="BV166" s="151">
        <f>INPUT!DS192</f>
        <v>-814</v>
      </c>
      <c r="BW166" s="687">
        <f>INPUT!DT192</f>
        <v>9.8515519568151078</v>
      </c>
      <c r="BX166" s="151">
        <f>INPUT!DU192</f>
        <v>-830</v>
      </c>
      <c r="BY166" s="687">
        <f>INPUT!DV192</f>
        <v>8.6387434554973765</v>
      </c>
      <c r="BZ166" s="151">
        <f>INPUT!DW192</f>
        <v>-855</v>
      </c>
      <c r="CA166" s="687">
        <f>INPUT!DX192</f>
        <v>-855</v>
      </c>
      <c r="CB166" s="151">
        <f>INPUT!DY192</f>
        <v>-882</v>
      </c>
      <c r="CC166" s="687">
        <f>INPUT!DZ192</f>
        <v>7.6923076923076872</v>
      </c>
      <c r="CD166" s="151">
        <f>INPUT!EA192</f>
        <v>-868</v>
      </c>
      <c r="CE166" s="687">
        <f>INPUT!EB192</f>
        <v>6.6339066339066388</v>
      </c>
      <c r="CF166" s="151">
        <f>INPUT!EC192</f>
        <v>-898</v>
      </c>
      <c r="CG166" s="687">
        <f>INPUT!ED192</f>
        <v>8.1927710843373589</v>
      </c>
      <c r="CH166" s="151">
        <f>INPUT!EE192</f>
        <v>-921</v>
      </c>
      <c r="CI166" s="687">
        <f>INPUT!EF192</f>
        <v>7.7192982456140369</v>
      </c>
      <c r="CJ166" s="151">
        <f>INPUT!EG192</f>
        <v>-975</v>
      </c>
      <c r="CK166" s="687">
        <f>INPUT!EH192</f>
        <v>10.544217687074831</v>
      </c>
      <c r="CL166" s="151">
        <f>INPUT!EI192</f>
        <v>-969</v>
      </c>
      <c r="CM166" s="687">
        <f>INPUT!EJ192</f>
        <v>11.635944700460833</v>
      </c>
      <c r="CN166" s="151">
        <f>INPUT!EK192</f>
        <v>-995</v>
      </c>
      <c r="CO166" s="687">
        <f>INPUT!EL192</f>
        <v>10.801781737193771</v>
      </c>
      <c r="CP166" s="151">
        <f>INPUT!EM192</f>
        <v>-999</v>
      </c>
      <c r="CQ166" s="687">
        <f>INPUT!EN192</f>
        <v>8.4690553745928376</v>
      </c>
      <c r="CR166" s="151">
        <f>INPUT!EO192</f>
        <v>-1030</v>
      </c>
      <c r="CS166" s="687">
        <f>INPUT!EP192</f>
        <v>5.6410256410256432</v>
      </c>
      <c r="CT166" s="151">
        <f>INPUT!EQ192</f>
        <v>-988.38</v>
      </c>
      <c r="CU166" s="687">
        <f>INPUT!ER192</f>
        <v>2.0000000000000018</v>
      </c>
      <c r="CV166" s="151">
        <f>INPUT!ES192</f>
        <v>-1014.9</v>
      </c>
      <c r="CW166" s="687">
        <f>INPUT!ET192</f>
        <v>2.0000000000000018</v>
      </c>
      <c r="CX166" s="151">
        <f>INPUT!EU192</f>
        <v>-1018.98</v>
      </c>
      <c r="CY166" s="687">
        <f>INPUT!EV192</f>
        <v>2.0000000000000018</v>
      </c>
      <c r="CZ166" s="151">
        <f>INPUT!EW192</f>
        <v>-1050.5999999999999</v>
      </c>
      <c r="DA166" s="687">
        <f>INPUT!EX192</f>
        <v>2.0000000000000018</v>
      </c>
      <c r="DB166" s="16"/>
      <c r="DC166" s="151">
        <f>INPUT!FP192</f>
        <v>-976</v>
      </c>
      <c r="DD166" s="687" t="str">
        <f>INPUT!FQ192</f>
        <v>NA</v>
      </c>
      <c r="DE166" s="151">
        <f>INPUT!FR192</f>
        <v>-1707</v>
      </c>
      <c r="DF166" s="687">
        <f>INPUT!FS192</f>
        <v>74.897540983606547</v>
      </c>
      <c r="DG166" s="151">
        <f>INPUT!FT192</f>
        <v>-2147</v>
      </c>
      <c r="DH166" s="687">
        <f>INPUT!FU192</f>
        <v>25.776215582893958</v>
      </c>
      <c r="DI166" s="151">
        <f>INPUT!FV192</f>
        <v>-2421</v>
      </c>
      <c r="DJ166" s="687">
        <f>INPUT!FW192</f>
        <v>12.761993479273404</v>
      </c>
      <c r="DK166" s="151">
        <f>INPUT!FX192</f>
        <v>-2631</v>
      </c>
      <c r="DL166" s="687">
        <f>INPUT!FY192</f>
        <v>8.6741016109045823</v>
      </c>
      <c r="DM166" s="151">
        <f>INPUT!FZ192</f>
        <v>-2757</v>
      </c>
      <c r="DN166" s="687">
        <f>INPUT!GA192</f>
        <v>4.7890535917902044</v>
      </c>
      <c r="DO166" s="151">
        <f>INPUT!GB192</f>
        <v>-2916</v>
      </c>
      <c r="DP166" s="687">
        <f>INPUT!GC192</f>
        <v>5.7671381936887922</v>
      </c>
      <c r="DQ166" s="151">
        <f>INPUT!GD192</f>
        <v>-2871</v>
      </c>
      <c r="DR166" s="687">
        <f>INPUT!GE192</f>
        <v>-1.5432098765432056</v>
      </c>
      <c r="DS166" s="151">
        <f>INPUT!GF192</f>
        <v>-3028</v>
      </c>
      <c r="DT166" s="687">
        <f>INPUT!GG192</f>
        <v>5.4684778822709834</v>
      </c>
      <c r="DU166" s="151">
        <f>INPUT!GH192</f>
        <v>-3115</v>
      </c>
      <c r="DV166" s="687">
        <f>INPUT!GI192</f>
        <v>2.8731836195508675</v>
      </c>
      <c r="DW166" s="151">
        <f>INPUT!GJ192</f>
        <v>-3381</v>
      </c>
      <c r="DX166" s="687">
        <f>INPUT!GK192</f>
        <v>8.5393258426966323</v>
      </c>
      <c r="DY166" s="151">
        <f>INPUT!GL192</f>
        <v>-3662</v>
      </c>
      <c r="DZ166" s="687">
        <f>INPUT!GM192</f>
        <v>8.3111505471753944</v>
      </c>
      <c r="EA166" s="151">
        <f>INPUT!GN192</f>
        <v>-3993</v>
      </c>
      <c r="EB166" s="687">
        <f>INPUT!GO192</f>
        <v>9.0387766247951973</v>
      </c>
      <c r="EC166" s="151">
        <f>INPUT!GP192</f>
        <v>-4072.86</v>
      </c>
      <c r="ED166" s="687">
        <f>INPUT!GQ192</f>
        <v>2.0000000000000018</v>
      </c>
      <c r="EE166" s="151">
        <f>INPUT!GR192</f>
        <v>-4276.5030000000006</v>
      </c>
      <c r="EF166" s="687">
        <f>INPUT!GS192</f>
        <v>5.0000000000000044</v>
      </c>
      <c r="EG166" s="151">
        <f>INPUT!GT192</f>
        <v>-4490.3281500000012</v>
      </c>
      <c r="EH166" s="687">
        <f>INPUT!GU192</f>
        <v>5.0000000000000044</v>
      </c>
      <c r="EI166" s="151">
        <f>INPUT!GV192</f>
        <v>-4714.8445575000014</v>
      </c>
      <c r="EJ166" s="687">
        <f>INPUT!GW192</f>
        <v>5.0000000000000044</v>
      </c>
      <c r="EK166" s="151">
        <f>INPUT!GX192</f>
        <v>-4950.5867853750015</v>
      </c>
      <c r="EL166" s="687">
        <f>INPUT!GY192</f>
        <v>5.0000000000000044</v>
      </c>
      <c r="EM166" s="687">
        <f>INPUT!GZ192</f>
        <v>4.3930229028561252</v>
      </c>
    </row>
    <row r="167" spans="1:143" ht="12.75" hidden="1" customHeight="1" outlineLevel="1" x14ac:dyDescent="0.2">
      <c r="A167" s="701" t="str">
        <f>INPUT!B191</f>
        <v>Withdrawals/Deaths</v>
      </c>
      <c r="B167" s="151">
        <f>INPUT!AY191</f>
        <v>-182</v>
      </c>
      <c r="C167" s="687">
        <f>INPUT!AZ191</f>
        <v>-3.1914893617021267</v>
      </c>
      <c r="D167" s="151">
        <f>INPUT!BA191</f>
        <v>-317</v>
      </c>
      <c r="E167" s="687">
        <f>INPUT!BB191</f>
        <v>90.963855421686745</v>
      </c>
      <c r="F167" s="151">
        <f>INPUT!BC191</f>
        <v>-275</v>
      </c>
      <c r="G167" s="687">
        <f>INPUT!BD191</f>
        <v>70.807453416149073</v>
      </c>
      <c r="H167" s="151">
        <f>INPUT!BE191</f>
        <v>-301</v>
      </c>
      <c r="I167" s="687">
        <f>INPUT!BF191</f>
        <v>88.125000000000014</v>
      </c>
      <c r="J167" s="151">
        <f>INPUT!BG191</f>
        <v>-264</v>
      </c>
      <c r="K167" s="687">
        <f>INPUT!BH191</f>
        <v>45.054945054945051</v>
      </c>
      <c r="L167" s="151">
        <f>INPUT!BI191</f>
        <v>-311</v>
      </c>
      <c r="M167" s="687">
        <f>INPUT!BJ191</f>
        <v>-1.8927444794952675</v>
      </c>
      <c r="N167" s="151">
        <f>INPUT!BK191</f>
        <v>-299</v>
      </c>
      <c r="O167" s="687">
        <f>INPUT!BL191</f>
        <v>8.727272727272716</v>
      </c>
      <c r="P167" s="151">
        <f>INPUT!BM191</f>
        <v>-320</v>
      </c>
      <c r="Q167" s="687">
        <f>INPUT!BN191</f>
        <v>6.3122923588039948</v>
      </c>
      <c r="R167" s="151">
        <f>INPUT!BO191</f>
        <v>-398</v>
      </c>
      <c r="S167" s="687">
        <f>INPUT!BP191</f>
        <v>50.757575757575758</v>
      </c>
      <c r="T167" s="151">
        <f>INPUT!BQ191</f>
        <v>-277</v>
      </c>
      <c r="U167" s="687">
        <f>INPUT!BR191</f>
        <v>-10.932475884244376</v>
      </c>
      <c r="V167" s="151">
        <f>INPUT!BS191</f>
        <v>-306</v>
      </c>
      <c r="W167" s="687">
        <f>INPUT!BT191</f>
        <v>2.3411371237458178</v>
      </c>
      <c r="X167" s="151">
        <f>INPUT!BU191</f>
        <v>-325</v>
      </c>
      <c r="Y167" s="687">
        <f>INPUT!BV191</f>
        <v>1.5625</v>
      </c>
      <c r="Z167" s="151">
        <f>INPUT!BW191</f>
        <v>-358</v>
      </c>
      <c r="AA167" s="687">
        <f>INPUT!BX191</f>
        <v>-10.050251256281406</v>
      </c>
      <c r="AB167" s="151">
        <f>INPUT!BY191</f>
        <v>-391</v>
      </c>
      <c r="AC167" s="687">
        <f>INPUT!BZ191</f>
        <v>41.155234657039721</v>
      </c>
      <c r="AD167" s="151">
        <f>INPUT!CA191</f>
        <v>-417</v>
      </c>
      <c r="AE167" s="687">
        <f>INPUT!CB191</f>
        <v>36.274509803921575</v>
      </c>
      <c r="AF167" s="151">
        <f>INPUT!CC191</f>
        <v>-296</v>
      </c>
      <c r="AG167" s="687">
        <f>INPUT!CD191</f>
        <v>-8.9230769230769234</v>
      </c>
      <c r="AH167" s="151">
        <f>INPUT!CE191</f>
        <v>-367</v>
      </c>
      <c r="AI167" s="687">
        <f>INPUT!CF191</f>
        <v>2.5139664804469275</v>
      </c>
      <c r="AJ167" s="151">
        <f>INPUT!CG191</f>
        <v>-314</v>
      </c>
      <c r="AK167" s="687">
        <f>INPUT!CH191</f>
        <v>-19.693094629156004</v>
      </c>
      <c r="AL167" s="151">
        <f>INPUT!CI191</f>
        <v>-384</v>
      </c>
      <c r="AM167" s="687">
        <f>INPUT!CJ191</f>
        <v>-7.9136690647481966</v>
      </c>
      <c r="AN167" s="151">
        <f>INPUT!CK191</f>
        <v>-318</v>
      </c>
      <c r="AO167" s="687">
        <f>INPUT!CL191</f>
        <v>7.4324324324324342</v>
      </c>
      <c r="AP167" s="151">
        <f>INPUT!CM191</f>
        <v>-295</v>
      </c>
      <c r="AQ167" s="687">
        <f>INPUT!CN191</f>
        <v>-19.618528610354225</v>
      </c>
      <c r="AR167" s="151">
        <f>INPUT!CO191</f>
        <v>-296</v>
      </c>
      <c r="AS167" s="687">
        <f>INPUT!CP191</f>
        <v>-5.7324840764331197</v>
      </c>
      <c r="AT167" s="151">
        <f>INPUT!CQ191</f>
        <v>-232</v>
      </c>
      <c r="AU167" s="687">
        <f>INPUT!CR191</f>
        <v>-39.583333333333336</v>
      </c>
      <c r="AV167" s="151">
        <f>INPUT!CS191</f>
        <v>-268</v>
      </c>
      <c r="AW167" s="687">
        <f>INPUT!CT191</f>
        <v>-15.723270440251568</v>
      </c>
      <c r="AX167" s="151">
        <f>INPUT!CU191</f>
        <v>-317</v>
      </c>
      <c r="AY167" s="687">
        <f>INPUT!CV191</f>
        <v>7.4576271186440612</v>
      </c>
      <c r="AZ167" s="151">
        <f>INPUT!CW191</f>
        <v>-331</v>
      </c>
      <c r="BA167" s="687">
        <f>INPUT!CX191</f>
        <v>11.824324324324319</v>
      </c>
      <c r="BB167" s="151">
        <f>INPUT!CY191</f>
        <v>-337</v>
      </c>
      <c r="BC167" s="687">
        <f>INPUT!CZ191</f>
        <v>45.258620689655181</v>
      </c>
      <c r="BD167" s="151">
        <f>INPUT!DA191</f>
        <v>-267</v>
      </c>
      <c r="BE167" s="687">
        <f>INPUT!DB191</f>
        <v>-0.37313432835820448</v>
      </c>
      <c r="BF167" s="151">
        <f>INPUT!DC191</f>
        <v>-187</v>
      </c>
      <c r="BG167" s="687">
        <f>INPUT!DD191</f>
        <v>-41.009463722397477</v>
      </c>
      <c r="BH167" s="151">
        <f>INPUT!DE191</f>
        <v>-247</v>
      </c>
      <c r="BI167" s="687">
        <f>INPUT!DF191</f>
        <v>-25.377643504531722</v>
      </c>
      <c r="BJ167" s="151">
        <f>INPUT!DG191</f>
        <v>-255</v>
      </c>
      <c r="BK167" s="687">
        <f>INPUT!DH191</f>
        <v>-24.332344213649847</v>
      </c>
      <c r="BL167" s="151">
        <f>INPUT!DI191</f>
        <v>-208</v>
      </c>
      <c r="BM167" s="687">
        <f>INPUT!DJ191</f>
        <v>-22.097378277153556</v>
      </c>
      <c r="BN167" s="151">
        <f>INPUT!DK191</f>
        <v>-292</v>
      </c>
      <c r="BO167" s="687">
        <f>INPUT!DL191</f>
        <v>56.149732620320862</v>
      </c>
      <c r="BP167" s="151">
        <f>INPUT!DM191</f>
        <v>-253</v>
      </c>
      <c r="BQ167" s="687">
        <f>INPUT!DN191</f>
        <v>2.4291497975708509</v>
      </c>
      <c r="BR167" s="151">
        <f>INPUT!DO191</f>
        <v>-259</v>
      </c>
      <c r="BS167" s="687">
        <f>INPUT!DP191</f>
        <v>1.5686274509803866</v>
      </c>
      <c r="BT167" s="151">
        <f>INPUT!DQ191</f>
        <v>-256</v>
      </c>
      <c r="BU167" s="687">
        <f>INPUT!DR191</f>
        <v>23.076923076923084</v>
      </c>
      <c r="BV167" s="151">
        <f>INPUT!DS191</f>
        <v>-299</v>
      </c>
      <c r="BW167" s="687">
        <f>INPUT!DT191</f>
        <v>2.3972602739726012</v>
      </c>
      <c r="BX167" s="151">
        <f>INPUT!DU191</f>
        <v>-299</v>
      </c>
      <c r="BY167" s="687">
        <f>INPUT!DV191</f>
        <v>18.181818181818187</v>
      </c>
      <c r="BZ167" s="151">
        <f>INPUT!DW191</f>
        <v>-214</v>
      </c>
      <c r="CA167" s="687">
        <f>INPUT!DX191</f>
        <v>-214</v>
      </c>
      <c r="CB167" s="151">
        <f>INPUT!DY191</f>
        <v>-208</v>
      </c>
      <c r="CC167" s="687">
        <f>INPUT!DZ191</f>
        <v>-18.75</v>
      </c>
      <c r="CD167" s="151">
        <f>INPUT!EA191</f>
        <v>-317</v>
      </c>
      <c r="CE167" s="687">
        <f>INPUT!EB191</f>
        <v>6.020066889632103</v>
      </c>
      <c r="CF167" s="151">
        <f>INPUT!EC191</f>
        <v>-294</v>
      </c>
      <c r="CG167" s="687">
        <f>INPUT!ED191</f>
        <v>-1.6722408026755842</v>
      </c>
      <c r="CH167" s="151">
        <f>INPUT!EE191</f>
        <v>-270</v>
      </c>
      <c r="CI167" s="687">
        <f>INPUT!EF191</f>
        <v>26.168224299065422</v>
      </c>
      <c r="CJ167" s="151">
        <f>INPUT!EG191</f>
        <v>-241</v>
      </c>
      <c r="CK167" s="687">
        <f>INPUT!EH191</f>
        <v>15.865384615384626</v>
      </c>
      <c r="CL167" s="151">
        <f>INPUT!EI191</f>
        <v>-403</v>
      </c>
      <c r="CM167" s="687">
        <f>INPUT!EJ191</f>
        <v>27.129337539432186</v>
      </c>
      <c r="CN167" s="151">
        <f>INPUT!EK191</f>
        <v>-316</v>
      </c>
      <c r="CO167" s="687">
        <f>INPUT!EL191</f>
        <v>7.4829931972789199</v>
      </c>
      <c r="CP167" s="151">
        <f>INPUT!EM191</f>
        <v>-310</v>
      </c>
      <c r="CQ167" s="687">
        <f>INPUT!EN191</f>
        <v>14.814814814814813</v>
      </c>
      <c r="CR167" s="151">
        <f>INPUT!EO191</f>
        <v>-281</v>
      </c>
      <c r="CS167" s="687">
        <f>INPUT!EP191</f>
        <v>16.597510373443992</v>
      </c>
      <c r="CT167" s="151">
        <f>INPUT!EQ191</f>
        <v>-282.65176618547679</v>
      </c>
      <c r="CU167" s="687">
        <f>INPUT!ER191</f>
        <v>-29.863085313777471</v>
      </c>
      <c r="CV167" s="151">
        <f>INPUT!ES191</f>
        <v>-284.18265896367154</v>
      </c>
      <c r="CW167" s="687">
        <f>INPUT!ET191</f>
        <v>-10.068778808964707</v>
      </c>
      <c r="CX167" s="151">
        <f>INPUT!EU191</f>
        <v>-286.10257468118084</v>
      </c>
      <c r="CY167" s="687">
        <f>INPUT!EV191</f>
        <v>-7.7088468770384333</v>
      </c>
      <c r="CZ167" s="151">
        <f>INPUT!EW191</f>
        <v>-287.63302250066215</v>
      </c>
      <c r="DA167" s="687">
        <f>INPUT!EX191</f>
        <v>2.3605062279936417</v>
      </c>
      <c r="DB167" s="16"/>
      <c r="DC167" s="151">
        <f>INPUT!FP191</f>
        <v>-675</v>
      </c>
      <c r="DD167" s="687" t="str">
        <f>INPUT!FQ191</f>
        <v>NA</v>
      </c>
      <c r="DE167" s="151">
        <f>INPUT!FR191</f>
        <v>-1075</v>
      </c>
      <c r="DF167" s="687">
        <f>INPUT!FS191</f>
        <v>59.259259259259252</v>
      </c>
      <c r="DG167" s="151">
        <f>INPUT!FT191</f>
        <v>-1194</v>
      </c>
      <c r="DH167" s="687">
        <f>INPUT!FU191</f>
        <v>11.069767441860456</v>
      </c>
      <c r="DI167" s="151">
        <f>INPUT!FV191</f>
        <v>-1306</v>
      </c>
      <c r="DJ167" s="687">
        <f>INPUT!FW191</f>
        <v>9.3802345058626493</v>
      </c>
      <c r="DK167" s="151">
        <f>INPUT!FX191</f>
        <v>-1462</v>
      </c>
      <c r="DL167" s="687">
        <f>INPUT!FY191</f>
        <v>11.944869831546701</v>
      </c>
      <c r="DM167" s="151">
        <f>INPUT!FZ191</f>
        <v>-1383</v>
      </c>
      <c r="DN167" s="687">
        <f>INPUT!GA191</f>
        <v>-5.4035567715458255</v>
      </c>
      <c r="DO167" s="151">
        <f>INPUT!GB191</f>
        <v>-1091</v>
      </c>
      <c r="DP167" s="687">
        <f>INPUT!GC191</f>
        <v>-21.113521330441067</v>
      </c>
      <c r="DQ167" s="151">
        <f>INPUT!GD191</f>
        <v>-1252</v>
      </c>
      <c r="DR167" s="687">
        <f>INPUT!GE191</f>
        <v>14.757103574702102</v>
      </c>
      <c r="DS167" s="151">
        <f>INPUT!GF191</f>
        <v>-897</v>
      </c>
      <c r="DT167" s="687">
        <f>INPUT!GG191</f>
        <v>-28.354632587859431</v>
      </c>
      <c r="DU167" s="151">
        <f>INPUT!GH191</f>
        <v>-1060</v>
      </c>
      <c r="DV167" s="687">
        <f>INPUT!GI191</f>
        <v>18.171683389074687</v>
      </c>
      <c r="DW167" s="151">
        <f>INPUT!GJ191</f>
        <v>-1020</v>
      </c>
      <c r="DX167" s="687">
        <f>INPUT!GK191</f>
        <v>-3.7735849056603765</v>
      </c>
      <c r="DY167" s="151">
        <f>INPUT!GL191</f>
        <v>-1122</v>
      </c>
      <c r="DZ167" s="687">
        <f>INPUT!GM191</f>
        <v>10.000000000000009</v>
      </c>
      <c r="EA167" s="151">
        <f>INPUT!GN191</f>
        <v>-1310</v>
      </c>
      <c r="EB167" s="687">
        <f>INPUT!GO191</f>
        <v>16.755793226381456</v>
      </c>
      <c r="EC167" s="151">
        <f>INPUT!GP191</f>
        <v>-1140.5700223309914</v>
      </c>
      <c r="ED167" s="687">
        <f>INPUT!GQ191</f>
        <v>-12.93358608160371</v>
      </c>
      <c r="EE167" s="151">
        <f>INPUT!GR191</f>
        <v>-1168.5510198607888</v>
      </c>
      <c r="EF167" s="687">
        <f>INPUT!GS191</f>
        <v>2.4532467960724169</v>
      </c>
      <c r="EG167" s="151">
        <f>INPUT!GT191</f>
        <v>-1197.6330332729237</v>
      </c>
      <c r="EH167" s="687">
        <f>INPUT!GU191</f>
        <v>2.4887243190801822</v>
      </c>
      <c r="EI167" s="151">
        <f>INPUT!GV191</f>
        <v>-1227.8680554649402</v>
      </c>
      <c r="EJ167" s="687">
        <f>INPUT!GW191</f>
        <v>2.5245648167694146</v>
      </c>
      <c r="EK167" s="151">
        <f>INPUT!GX191</f>
        <v>-1259.310647604545</v>
      </c>
      <c r="EL167" s="687">
        <f>INPUT!GY191</f>
        <v>2.5607468163750591</v>
      </c>
      <c r="EM167" s="687">
        <f>INPUT!GZ191</f>
        <v>-0.78614699392813847</v>
      </c>
    </row>
    <row r="168" spans="1:143" ht="12.75" hidden="1" customHeight="1" outlineLevel="1" x14ac:dyDescent="0.2">
      <c r="A168" s="701" t="str">
        <f>INPUT!B194</f>
        <v>Business Acquired/Other</v>
      </c>
      <c r="B168" s="153">
        <f>INPUT!AY193</f>
        <v>135</v>
      </c>
      <c r="C168" s="687">
        <f>INPUT!AZ193</f>
        <v>-1.4598540145985384</v>
      </c>
      <c r="D168" s="153">
        <f>INPUT!BA193</f>
        <v>232</v>
      </c>
      <c r="E168" s="687">
        <f>INPUT!BB193</f>
        <v>73.134328358208947</v>
      </c>
      <c r="F168" s="153">
        <f>INPUT!BC193</f>
        <v>239</v>
      </c>
      <c r="G168" s="687">
        <f>INPUT!BD193</f>
        <v>75.735294117647058</v>
      </c>
      <c r="H168" s="153">
        <f>INPUT!BE193</f>
        <v>242</v>
      </c>
      <c r="I168" s="687">
        <f>INPUT!BF193</f>
        <v>77.941176470588232</v>
      </c>
      <c r="J168" s="153">
        <f>INPUT!BG193</f>
        <v>243</v>
      </c>
      <c r="K168" s="687">
        <f>INPUT!BH193</f>
        <v>80</v>
      </c>
      <c r="L168" s="153">
        <f>INPUT!BI193</f>
        <v>243</v>
      </c>
      <c r="M168" s="687">
        <f>INPUT!BJ193</f>
        <v>4.7413793103448176</v>
      </c>
      <c r="N168" s="153">
        <f>INPUT!BK193</f>
        <v>279</v>
      </c>
      <c r="O168" s="687">
        <f>INPUT!BL193</f>
        <v>16.736401673640167</v>
      </c>
      <c r="P168" s="153">
        <f>INPUT!BM193</f>
        <v>282</v>
      </c>
      <c r="Q168" s="687">
        <f>INPUT!BN193</f>
        <v>16.528925619834702</v>
      </c>
      <c r="R168" s="153">
        <f>INPUT!BO193</f>
        <v>281</v>
      </c>
      <c r="S168" s="687">
        <f>INPUT!BP193</f>
        <v>15.637860082304522</v>
      </c>
      <c r="T168" s="153">
        <f>INPUT!BQ193</f>
        <v>286</v>
      </c>
      <c r="U168" s="687">
        <f>INPUT!BR193</f>
        <v>17.695473251028805</v>
      </c>
      <c r="V168" s="153">
        <f>INPUT!BS193</f>
        <v>291</v>
      </c>
      <c r="W168" s="687">
        <f>INPUT!BT193</f>
        <v>4.3010752688172005</v>
      </c>
      <c r="X168" s="153">
        <f>INPUT!BU193</f>
        <v>288</v>
      </c>
      <c r="Y168" s="687">
        <f>INPUT!BV193</f>
        <v>2.1276595744680771</v>
      </c>
      <c r="Z168" s="153">
        <f>INPUT!BW193</f>
        <v>289</v>
      </c>
      <c r="AA168" s="687">
        <f>INPUT!BX193</f>
        <v>2.8469750889679624</v>
      </c>
      <c r="AB168" s="153">
        <f>INPUT!BY193</f>
        <v>288</v>
      </c>
      <c r="AC168" s="687">
        <f>INPUT!BZ193</f>
        <v>0.69930069930070893</v>
      </c>
      <c r="AD168" s="153">
        <f>INPUT!CA193</f>
        <v>291</v>
      </c>
      <c r="AE168" s="687">
        <f>INPUT!CB193</f>
        <v>0</v>
      </c>
      <c r="AF168" s="153">
        <f>INPUT!CC193</f>
        <v>294</v>
      </c>
      <c r="AG168" s="687">
        <f>INPUT!CD193</f>
        <v>2.0833333333333259</v>
      </c>
      <c r="AH168" s="153">
        <f>INPUT!CE193</f>
        <v>293</v>
      </c>
      <c r="AI168" s="687">
        <f>INPUT!CF193</f>
        <v>1.384083044982698</v>
      </c>
      <c r="AJ168" s="153">
        <f>INPUT!CG193</f>
        <v>295</v>
      </c>
      <c r="AK168" s="687">
        <f>INPUT!CH193</f>
        <v>2.430555555555558</v>
      </c>
      <c r="AL168" s="153">
        <f>INPUT!CI193</f>
        <v>298</v>
      </c>
      <c r="AM168" s="687">
        <f>INPUT!CJ193</f>
        <v>2.405498281786933</v>
      </c>
      <c r="AN168" s="153">
        <f>INPUT!CK193</f>
        <v>299</v>
      </c>
      <c r="AO168" s="687">
        <f>INPUT!CL193</f>
        <v>1.7006802721088343</v>
      </c>
      <c r="AP168" s="153">
        <f>INPUT!CM193</f>
        <v>299</v>
      </c>
      <c r="AQ168" s="687">
        <f>INPUT!CN193</f>
        <v>2.0477815699658786</v>
      </c>
      <c r="AR168" s="153">
        <f>INPUT!CO193</f>
        <v>303</v>
      </c>
      <c r="AS168" s="687">
        <f>INPUT!CP193</f>
        <v>2.7118644067796627</v>
      </c>
      <c r="AT168" s="153">
        <f>INPUT!CQ193</f>
        <v>283</v>
      </c>
      <c r="AU168" s="687">
        <f>INPUT!CR193</f>
        <v>-5.0335570469798636</v>
      </c>
      <c r="AV168" s="153">
        <f>INPUT!CS193</f>
        <v>303</v>
      </c>
      <c r="AW168" s="687">
        <f>INPUT!CT193</f>
        <v>1.3377926421404673</v>
      </c>
      <c r="AX168" s="153">
        <f>INPUT!CU193</f>
        <v>311</v>
      </c>
      <c r="AY168" s="687">
        <f>INPUT!CV193</f>
        <v>4.013377926421402</v>
      </c>
      <c r="AZ168" s="153">
        <f>INPUT!CW193</f>
        <v>309</v>
      </c>
      <c r="BA168" s="687">
        <f>INPUT!CX193</f>
        <v>1.980198019801982</v>
      </c>
      <c r="BB168" s="153">
        <f>INPUT!CY193</f>
        <v>314</v>
      </c>
      <c r="BC168" s="687">
        <f>INPUT!CZ193</f>
        <v>10.954063604240272</v>
      </c>
      <c r="BD168" s="153">
        <f>INPUT!DA193</f>
        <v>318</v>
      </c>
      <c r="BE168" s="687">
        <f>INPUT!DB193</f>
        <v>4.9504950495049549</v>
      </c>
      <c r="BF168" s="153">
        <f>INPUT!DC193</f>
        <v>317</v>
      </c>
      <c r="BG168" s="687">
        <f>INPUT!DD193</f>
        <v>1.9292604501607746</v>
      </c>
      <c r="BH168" s="153">
        <f>INPUT!DE193</f>
        <v>320</v>
      </c>
      <c r="BI168" s="687">
        <f>INPUT!DF193</f>
        <v>3.5598705501618033</v>
      </c>
      <c r="BJ168" s="153">
        <f>INPUT!DG193</f>
        <v>327</v>
      </c>
      <c r="BK168" s="687">
        <f>INPUT!DH193</f>
        <v>4.140127388535042</v>
      </c>
      <c r="BL168" s="153">
        <f>INPUT!DI193</f>
        <v>331</v>
      </c>
      <c r="BM168" s="687">
        <f>INPUT!DJ193</f>
        <v>4.088050314465419</v>
      </c>
      <c r="BN168" s="153">
        <f>INPUT!DK193</f>
        <v>329</v>
      </c>
      <c r="BO168" s="687">
        <f>INPUT!DL193</f>
        <v>3.7854889589905349</v>
      </c>
      <c r="BP168" s="153">
        <f>INPUT!DM193</f>
        <v>335</v>
      </c>
      <c r="BQ168" s="687">
        <f>INPUT!DN193</f>
        <v>4.6875</v>
      </c>
      <c r="BR168" s="153">
        <f>INPUT!DO193</f>
        <v>337</v>
      </c>
      <c r="BS168" s="687">
        <f>INPUT!DP193</f>
        <v>3.0581039755351647</v>
      </c>
      <c r="BT168" s="153">
        <f>INPUT!DQ193</f>
        <v>343</v>
      </c>
      <c r="BU168" s="687">
        <f>INPUT!DR193</f>
        <v>3.6253776435045237</v>
      </c>
      <c r="BV168" s="153">
        <f>INPUT!DS193</f>
        <v>333</v>
      </c>
      <c r="BW168" s="687">
        <f>INPUT!DT193</f>
        <v>1.2158054711246091</v>
      </c>
      <c r="BX168" s="153">
        <f>INPUT!DU193</f>
        <v>342</v>
      </c>
      <c r="BY168" s="687">
        <f>INPUT!DV193</f>
        <v>2.0895522388059806</v>
      </c>
      <c r="BZ168" s="153">
        <f>INPUT!DW193</f>
        <v>340</v>
      </c>
      <c r="CA168" s="687">
        <f>INPUT!DX193</f>
        <v>340</v>
      </c>
      <c r="CB168" s="153">
        <f>INPUT!DY193</f>
        <v>340</v>
      </c>
      <c r="CC168" s="687">
        <f>INPUT!DZ193</f>
        <v>-0.87463556851311575</v>
      </c>
      <c r="CD168" s="153">
        <f>INPUT!EA193</f>
        <v>335</v>
      </c>
      <c r="CE168" s="687">
        <f>INPUT!EB193</f>
        <v>0.60060060060060927</v>
      </c>
      <c r="CF168" s="153">
        <f>INPUT!EC193</f>
        <v>335</v>
      </c>
      <c r="CG168" s="687">
        <f>INPUT!ED193</f>
        <v>-2.0467836257309968</v>
      </c>
      <c r="CH168" s="153">
        <f>INPUT!EE193</f>
        <v>341</v>
      </c>
      <c r="CI168" s="687">
        <f>INPUT!EF193</f>
        <v>0.29411764705882248</v>
      </c>
      <c r="CJ168" s="153">
        <f>INPUT!EG193</f>
        <v>354</v>
      </c>
      <c r="CK168" s="687">
        <f>INPUT!EH193</f>
        <v>4.117647058823537</v>
      </c>
      <c r="CL168" s="153">
        <f>INPUT!EI193</f>
        <v>353</v>
      </c>
      <c r="CM168" s="687">
        <f>INPUT!EJ193</f>
        <v>5.37313432835822</v>
      </c>
      <c r="CN168" s="153">
        <f>INPUT!EK193</f>
        <v>355</v>
      </c>
      <c r="CO168" s="687">
        <f>INPUT!EL193</f>
        <v>5.9701492537313383</v>
      </c>
      <c r="CP168" s="153">
        <f>INPUT!EM193</f>
        <v>361</v>
      </c>
      <c r="CQ168" s="687">
        <f>INPUT!EN193</f>
        <v>5.8651026392961825</v>
      </c>
      <c r="CR168" s="153">
        <f>INPUT!EO193</f>
        <v>374</v>
      </c>
      <c r="CS168" s="687">
        <f>INPUT!EP193</f>
        <v>5.6497175141242861</v>
      </c>
      <c r="CT168" s="153">
        <f>INPUT!EQ193</f>
        <v>376.19843613298337</v>
      </c>
      <c r="CU168" s="687">
        <f>INPUT!ER193</f>
        <v>6.5717949385222019</v>
      </c>
      <c r="CV168" s="153">
        <f>INPUT!ES193</f>
        <v>378.23599449257347</v>
      </c>
      <c r="CW168" s="687">
        <f>INPUT!ET193</f>
        <v>6.5453505612883101</v>
      </c>
      <c r="CX168" s="153">
        <f>INPUT!EU193</f>
        <v>380.79132715573536</v>
      </c>
      <c r="CY168" s="687">
        <f>INPUT!EV193</f>
        <v>5.4823620930014805</v>
      </c>
      <c r="CZ168" s="153">
        <f>INPUT!EW193</f>
        <v>382.82829329269623</v>
      </c>
      <c r="DA168" s="687">
        <f>INPUT!EX193</f>
        <v>2.3605062279936417</v>
      </c>
      <c r="DB168" s="16"/>
      <c r="DC168" s="153">
        <f>INPUT!FP193</f>
        <v>543</v>
      </c>
      <c r="DD168" s="687" t="str">
        <f>INPUT!FQ193</f>
        <v>NA</v>
      </c>
      <c r="DE168" s="153">
        <f>INPUT!FR193</f>
        <v>848</v>
      </c>
      <c r="DF168" s="687">
        <f>INPUT!FS193</f>
        <v>56.169429097605892</v>
      </c>
      <c r="DG168" s="153">
        <f>INPUT!FT193</f>
        <v>1047</v>
      </c>
      <c r="DH168" s="687">
        <f>INPUT!FU193</f>
        <v>23.466981132075482</v>
      </c>
      <c r="DI168" s="153">
        <f>INPUT!FV193</f>
        <v>1146</v>
      </c>
      <c r="DJ168" s="687">
        <f>INPUT!FW193</f>
        <v>9.4555873925501466</v>
      </c>
      <c r="DK168" s="153">
        <f>INPUT!FX193</f>
        <v>1162</v>
      </c>
      <c r="DL168" s="687">
        <f>INPUT!FY193</f>
        <v>1.3961605584642323</v>
      </c>
      <c r="DM168" s="153">
        <f>INPUT!FZ193</f>
        <v>1185</v>
      </c>
      <c r="DN168" s="687">
        <f>INPUT!GA193</f>
        <v>1.9793459552495785</v>
      </c>
      <c r="DO168" s="153">
        <f>INPUT!GB193</f>
        <v>1188</v>
      </c>
      <c r="DP168" s="687">
        <f>INPUT!GC193</f>
        <v>0.25316455696202667</v>
      </c>
      <c r="DQ168" s="153">
        <f>INPUT!GD193</f>
        <v>1252</v>
      </c>
      <c r="DR168" s="687">
        <f>INPUT!GE193</f>
        <v>5.3872053872053849</v>
      </c>
      <c r="DS168" s="153">
        <f>INPUT!GF193</f>
        <v>1295</v>
      </c>
      <c r="DT168" s="687">
        <f>INPUT!GG193</f>
        <v>3.4345047923322714</v>
      </c>
      <c r="DU168" s="153">
        <f>INPUT!GH193</f>
        <v>1344</v>
      </c>
      <c r="DV168" s="687">
        <f>INPUT!GI193</f>
        <v>3.7837837837837895</v>
      </c>
      <c r="DW168" s="153">
        <f>INPUT!GJ193</f>
        <v>1355</v>
      </c>
      <c r="DX168" s="687">
        <f>INPUT!GK193</f>
        <v>0.81845238095237249</v>
      </c>
      <c r="DY168" s="153">
        <f>INPUT!GL193</f>
        <v>1365</v>
      </c>
      <c r="DZ168" s="687">
        <f>INPUT!GM193</f>
        <v>0.73800738007379074</v>
      </c>
      <c r="EA168" s="153">
        <f>INPUT!GN193</f>
        <v>1443</v>
      </c>
      <c r="EB168" s="687">
        <f>INPUT!GO193</f>
        <v>5.7142857142857162</v>
      </c>
      <c r="EC168" s="153">
        <f>INPUT!GP193</f>
        <v>1518.0540510739884</v>
      </c>
      <c r="ED168" s="687">
        <f>INPUT!GQ193</f>
        <v>5.2012509406783369</v>
      </c>
      <c r="EE168" s="153">
        <f>INPUT!GR193</f>
        <v>1555.2956634446082</v>
      </c>
      <c r="EF168" s="687">
        <f>INPUT!GS193</f>
        <v>2.4532467960723947</v>
      </c>
      <c r="EG168" s="153">
        <f>INPUT!GT193</f>
        <v>1594.0026848543537</v>
      </c>
      <c r="EH168" s="687">
        <f>INPUT!GU193</f>
        <v>2.4887243190801822</v>
      </c>
      <c r="EI168" s="153">
        <f>INPUT!GV193</f>
        <v>1634.2443158145463</v>
      </c>
      <c r="EJ168" s="687">
        <f>INPUT!GW193</f>
        <v>2.5245648167693924</v>
      </c>
      <c r="EK168" s="153">
        <f>INPUT!GX193</f>
        <v>1676.093175103558</v>
      </c>
      <c r="EL168" s="687">
        <f>INPUT!GY193</f>
        <v>2.5607468163750813</v>
      </c>
      <c r="EM168" s="687">
        <f>INPUT!GZ193</f>
        <v>3.0401222595122679</v>
      </c>
    </row>
    <row r="169" spans="1:143" ht="12.75" hidden="1" customHeight="1" outlineLevel="1" x14ac:dyDescent="0.2">
      <c r="A169" s="701" t="str">
        <f>INPUT!B195</f>
        <v>Ending Reserves (Gross)</v>
      </c>
      <c r="B169" s="151">
        <f>INPUT!AY195</f>
        <v>11913</v>
      </c>
      <c r="C169" s="687">
        <f>INPUT!AZ195</f>
        <v>5.1920529801324555</v>
      </c>
      <c r="D169" s="151">
        <f>INPUT!BA195</f>
        <v>21285</v>
      </c>
      <c r="E169" s="687">
        <f>INPUT!BB195</f>
        <v>86.008913746395166</v>
      </c>
      <c r="F169" s="151">
        <f>INPUT!BC195</f>
        <v>21516</v>
      </c>
      <c r="G169" s="687">
        <f>INPUT!BD195</f>
        <v>85.626779397808647</v>
      </c>
      <c r="H169" s="151">
        <f>INPUT!BE195</f>
        <v>21890</v>
      </c>
      <c r="I169" s="687">
        <f>INPUT!BF195</f>
        <v>85.367092895249399</v>
      </c>
      <c r="J169" s="151">
        <f>INPUT!BG195</f>
        <v>25575</v>
      </c>
      <c r="K169" s="687" t="str">
        <f>INPUT!BH195</f>
        <v>NM</v>
      </c>
      <c r="L169" s="151">
        <f>INPUT!BI195</f>
        <v>25864</v>
      </c>
      <c r="M169" s="687">
        <f>INPUT!BJ195</f>
        <v>21.512802443034996</v>
      </c>
      <c r="N169" s="151">
        <f>INPUT!BK195</f>
        <v>26162</v>
      </c>
      <c r="O169" s="687">
        <f>INPUT!BL195</f>
        <v>21.593232942926189</v>
      </c>
      <c r="P169" s="151">
        <f>INPUT!BM195</f>
        <v>26518</v>
      </c>
      <c r="Q169" s="687">
        <f>INPUT!BN195</f>
        <v>21.142074006395607</v>
      </c>
      <c r="R169" s="151">
        <f>INPUT!BO195</f>
        <v>26726</v>
      </c>
      <c r="S169" s="687">
        <f>INPUT!BP195</f>
        <v>4.5004887585532671</v>
      </c>
      <c r="T169" s="151">
        <f>INPUT!BQ195</f>
        <v>26980</v>
      </c>
      <c r="U169" s="687">
        <f>INPUT!BR195</f>
        <v>4.3148778224559203</v>
      </c>
      <c r="V169" s="151">
        <f>INPUT!BS195</f>
        <v>27227</v>
      </c>
      <c r="W169" s="687">
        <f>INPUT!BT195</f>
        <v>4.0707896949774502</v>
      </c>
      <c r="X169" s="151">
        <f>INPUT!BU195</f>
        <v>27502</v>
      </c>
      <c r="Y169" s="687">
        <f>INPUT!BV195</f>
        <v>3.7106870804736403</v>
      </c>
      <c r="Z169" s="151">
        <f>INPUT!BW195</f>
        <v>27617</v>
      </c>
      <c r="AA169" s="687">
        <f>INPUT!BX195</f>
        <v>3.3338322233031459</v>
      </c>
      <c r="AB169" s="151">
        <f>INPUT!BY195</f>
        <v>27709</v>
      </c>
      <c r="AC169" s="687">
        <f>INPUT!BZ195</f>
        <v>2.7020014825796856</v>
      </c>
      <c r="AD169" s="151">
        <f>INPUT!CA195</f>
        <v>27825</v>
      </c>
      <c r="AE169" s="687">
        <f>INPUT!CB195</f>
        <v>2.1963492121790829</v>
      </c>
      <c r="AF169" s="151">
        <f>INPUT!CC195</f>
        <v>28192</v>
      </c>
      <c r="AG169" s="687">
        <f>INPUT!CD195</f>
        <v>2.5089084430223174</v>
      </c>
      <c r="AH169" s="151">
        <f>INPUT!CE195</f>
        <v>28355</v>
      </c>
      <c r="AI169" s="687">
        <f>INPUT!CF195</f>
        <v>2.6722670818698724</v>
      </c>
      <c r="AJ169" s="151">
        <f>INPUT!CG195</f>
        <v>28584</v>
      </c>
      <c r="AK169" s="687">
        <f>INPUT!CH195</f>
        <v>3.157818759247899</v>
      </c>
      <c r="AL169" s="151">
        <f>INPUT!CI195</f>
        <v>28794</v>
      </c>
      <c r="AM169" s="687">
        <f>INPUT!CJ195</f>
        <v>3.4824797843665767</v>
      </c>
      <c r="AN169" s="151">
        <f>INPUT!CK195</f>
        <v>29365</v>
      </c>
      <c r="AO169" s="687">
        <f>INPUT!CL195</f>
        <v>4.1607548240635728</v>
      </c>
      <c r="AP169" s="151">
        <f>INPUT!CM195</f>
        <v>29739</v>
      </c>
      <c r="AQ169" s="687">
        <f>INPUT!CN195</f>
        <v>4.8809733733027771</v>
      </c>
      <c r="AR169" s="151">
        <f>INPUT!CO195</f>
        <v>30148</v>
      </c>
      <c r="AS169" s="687">
        <f>INPUT!CP195</f>
        <v>5.4715924993003151</v>
      </c>
      <c r="AT169" s="151">
        <f>INPUT!CQ195</f>
        <v>30638</v>
      </c>
      <c r="AU169" s="687">
        <f>INPUT!CR195</f>
        <v>6.4041119677710645</v>
      </c>
      <c r="AV169" s="151">
        <f>INPUT!CS195</f>
        <v>31219</v>
      </c>
      <c r="AW169" s="687">
        <f>INPUT!CT195</f>
        <v>6.3136386855099591</v>
      </c>
      <c r="AX169" s="151">
        <f>INPUT!CU195</f>
        <v>31494</v>
      </c>
      <c r="AY169" s="687">
        <f>INPUT!CV195</f>
        <v>5.9013416725511858</v>
      </c>
      <c r="AZ169" s="151">
        <f>INPUT!CW195</f>
        <v>31750</v>
      </c>
      <c r="BA169" s="687">
        <f>INPUT!CX195</f>
        <v>5.3137853257264167</v>
      </c>
      <c r="BB169" s="151">
        <f>INPUT!CY195</f>
        <v>31986</v>
      </c>
      <c r="BC169" s="687">
        <f>INPUT!CZ195</f>
        <v>4.3997649977152609</v>
      </c>
      <c r="BD169" s="151">
        <f>INPUT!DA195</f>
        <v>32432</v>
      </c>
      <c r="BE169" s="687">
        <f>INPUT!DB195</f>
        <v>3.8854543707357747</v>
      </c>
      <c r="BF169" s="151">
        <f>INPUT!DC195</f>
        <v>32817</v>
      </c>
      <c r="BG169" s="687">
        <f>INPUT!DD195</f>
        <v>4.2008001524099781</v>
      </c>
      <c r="BH169" s="151">
        <f>INPUT!DE195</f>
        <v>33108</v>
      </c>
      <c r="BI169" s="687">
        <f>INPUT!DF195</f>
        <v>4.2771653543307142</v>
      </c>
      <c r="BJ169" s="151">
        <f>INPUT!DG195</f>
        <v>33366</v>
      </c>
      <c r="BK169" s="687">
        <f>INPUT!DH195</f>
        <v>4.3143875445507351</v>
      </c>
      <c r="BL169" s="151">
        <f>INPUT!DI195</f>
        <v>33721</v>
      </c>
      <c r="BM169" s="687">
        <f>INPUT!DJ195</f>
        <v>3.9744696595954698</v>
      </c>
      <c r="BN169" s="151">
        <f>INPUT!DK195</f>
        <v>33886</v>
      </c>
      <c r="BO169" s="687">
        <f>INPUT!DL195</f>
        <v>3.2574580248042162</v>
      </c>
      <c r="BP169" s="151">
        <f>INPUT!DM195</f>
        <v>34094</v>
      </c>
      <c r="BQ169" s="687">
        <f>INPUT!DN195</f>
        <v>2.978132173492809</v>
      </c>
      <c r="BR169" s="151">
        <f>INPUT!DO195</f>
        <v>34315</v>
      </c>
      <c r="BS169" s="687">
        <f>INPUT!DP195</f>
        <v>2.8442126715818583</v>
      </c>
      <c r="BT169" s="151">
        <f>INPUT!DQ195</f>
        <v>34612</v>
      </c>
      <c r="BU169" s="687">
        <f>INPUT!DR195</f>
        <v>2.6422703953026261</v>
      </c>
      <c r="BV169" s="151">
        <f>INPUT!DS195</f>
        <v>34753</v>
      </c>
      <c r="BW169" s="687">
        <f>INPUT!DT195</f>
        <v>2.5585787640913571</v>
      </c>
      <c r="BX169" s="151">
        <f>INPUT!DU195</f>
        <v>34930</v>
      </c>
      <c r="BY169" s="687">
        <f>INPUT!DV195</f>
        <v>2.452044347979121</v>
      </c>
      <c r="BZ169" s="151">
        <f>INPUT!DW195</f>
        <v>35213</v>
      </c>
      <c r="CA169" s="687">
        <f>INPUT!DX195</f>
        <v>285.4520443479791</v>
      </c>
      <c r="CB169" s="151">
        <f>INPUT!DY195</f>
        <v>35545</v>
      </c>
      <c r="CC169" s="687">
        <f>INPUT!DZ195</f>
        <v>2.6955969028082727</v>
      </c>
      <c r="CD169" s="151">
        <f>INPUT!EA195</f>
        <v>35640</v>
      </c>
      <c r="CE169" s="687">
        <f>INPUT!EB195</f>
        <v>2.5522976433689282</v>
      </c>
      <c r="CF169" s="151">
        <f>INPUT!EC195</f>
        <v>35775</v>
      </c>
      <c r="CG169" s="687">
        <f>INPUT!ED195</f>
        <v>2.4191239622101346</v>
      </c>
      <c r="CH169" s="151">
        <f>INPUT!EE195</f>
        <v>35975</v>
      </c>
      <c r="CI169" s="687">
        <f>INPUT!EF195</f>
        <v>2.1639735325021947</v>
      </c>
      <c r="CJ169" s="151">
        <f>INPUT!EG195</f>
        <v>36272</v>
      </c>
      <c r="CK169" s="687">
        <f>INPUT!EH195</f>
        <v>2.0452946968631203</v>
      </c>
      <c r="CL169" s="151">
        <f>INPUT!EI195</f>
        <v>36295</v>
      </c>
      <c r="CM169" s="687">
        <f>INPUT!EJ195</f>
        <v>1.8378226711559975</v>
      </c>
      <c r="CN169" s="151">
        <f>INPUT!EK195</f>
        <v>36454</v>
      </c>
      <c r="CO169" s="687">
        <f>INPUT!EL195</f>
        <v>1.8979734451432639</v>
      </c>
      <c r="CP169" s="151">
        <f>INPUT!EM195</f>
        <v>36576</v>
      </c>
      <c r="CQ169" s="687">
        <f>INPUT!EN195</f>
        <v>1.6706045865184205</v>
      </c>
      <c r="CR169" s="151">
        <f>INPUT!EO195</f>
        <v>36791</v>
      </c>
      <c r="CS169" s="687">
        <f>INPUT!EP195</f>
        <v>1.4308557565063884</v>
      </c>
      <c r="CT169" s="151">
        <f>INPUT!EQ195</f>
        <v>36990.266669947508</v>
      </c>
      <c r="CU169" s="687">
        <f>INPUT!ER195</f>
        <v>1.9155990355352204</v>
      </c>
      <c r="CV169" s="151">
        <f>INPUT!ES195</f>
        <v>37240.170005476408</v>
      </c>
      <c r="CW169" s="687">
        <f>INPUT!ET195</f>
        <v>2.1566083433269601</v>
      </c>
      <c r="CX169" s="151">
        <f>INPUT!EU195</f>
        <v>37439.378757950959</v>
      </c>
      <c r="CY169" s="687">
        <f>INPUT!EV195</f>
        <v>2.3605062279936639</v>
      </c>
      <c r="CZ169" s="151">
        <f>INPUT!EW195</f>
        <v>37693.574028742994</v>
      </c>
      <c r="DA169" s="687">
        <f>INPUT!EX195</f>
        <v>2.4532467960723947</v>
      </c>
      <c r="DB169" s="16"/>
      <c r="DC169" s="151">
        <f>INPUT!FP195</f>
        <v>11810</v>
      </c>
      <c r="DD169" s="687" t="str">
        <f>INPUT!FQ195</f>
        <v>NA</v>
      </c>
      <c r="DE169" s="151">
        <f>INPUT!FR195</f>
        <v>21891</v>
      </c>
      <c r="DF169" s="687">
        <f>INPUT!FS195</f>
        <v>85.359864521591874</v>
      </c>
      <c r="DG169" s="151">
        <f>INPUT!FT195</f>
        <v>26518</v>
      </c>
      <c r="DH169" s="687">
        <f>INPUT!FU195</f>
        <v>21.136540130647298</v>
      </c>
      <c r="DI169" s="151">
        <f>INPUT!FV195</f>
        <v>27502</v>
      </c>
      <c r="DJ169" s="687">
        <f>INPUT!FW195</f>
        <v>3.7106870804736403</v>
      </c>
      <c r="DK169" s="151">
        <f>INPUT!FX195</f>
        <v>28192</v>
      </c>
      <c r="DL169" s="687">
        <f>INPUT!FY195</f>
        <v>2.5089084430223174</v>
      </c>
      <c r="DM169" s="151">
        <f>INPUT!FZ195</f>
        <v>29365</v>
      </c>
      <c r="DN169" s="687">
        <f>INPUT!GA195</f>
        <v>4.1607548240635728</v>
      </c>
      <c r="DO169" s="151">
        <f>INPUT!GB195</f>
        <v>31219</v>
      </c>
      <c r="DP169" s="687">
        <f>INPUT!GC195</f>
        <v>6.3136386855099591</v>
      </c>
      <c r="DQ169" s="151">
        <f>INPUT!GD195</f>
        <v>32432</v>
      </c>
      <c r="DR169" s="687">
        <f>INPUT!GE195</f>
        <v>3.8854543707357747</v>
      </c>
      <c r="DS169" s="151">
        <f>INPUT!GF195</f>
        <v>33721</v>
      </c>
      <c r="DT169" s="687">
        <f>INPUT!GG195</f>
        <v>3.9744696595954698</v>
      </c>
      <c r="DU169" s="151">
        <f>INPUT!GH195</f>
        <v>34612</v>
      </c>
      <c r="DV169" s="687">
        <f>INPUT!GI195</f>
        <v>2.6422703953026261</v>
      </c>
      <c r="DW169" s="151">
        <f>INPUT!GJ195</f>
        <v>35545</v>
      </c>
      <c r="DX169" s="687">
        <f>INPUT!GK195</f>
        <v>2.6955969028082727</v>
      </c>
      <c r="DY169" s="151">
        <f>INPUT!GL195</f>
        <v>36272</v>
      </c>
      <c r="DZ169" s="687">
        <f>INPUT!GM195</f>
        <v>2.0452946968631203</v>
      </c>
      <c r="EA169" s="151">
        <f>INPUT!GN195</f>
        <v>36791</v>
      </c>
      <c r="EB169" s="687">
        <f>INPUT!GO195</f>
        <v>1.4308557565063884</v>
      </c>
      <c r="EC169" s="151">
        <f>INPUT!GP195</f>
        <v>37693.574028742994</v>
      </c>
      <c r="ED169" s="687">
        <f>INPUT!GQ195</f>
        <v>2.4532467960723947</v>
      </c>
      <c r="EE169" s="151">
        <f>INPUT!GR195</f>
        <v>38631.663172326815</v>
      </c>
      <c r="EF169" s="687">
        <f>INPUT!GS195</f>
        <v>2.4887243190801822</v>
      </c>
      <c r="EG169" s="151">
        <f>INPUT!GT195</f>
        <v>39606.944548908243</v>
      </c>
      <c r="EH169" s="687">
        <f>INPUT!GU195</f>
        <v>2.5245648167694146</v>
      </c>
      <c r="EI169" s="151">
        <f>INPUT!GV195</f>
        <v>40621.178120507851</v>
      </c>
      <c r="EJ169" s="687">
        <f>INPUT!GW195</f>
        <v>2.5607468163750813</v>
      </c>
      <c r="EK169" s="151">
        <f>INPUT!GX195</f>
        <v>41676.210824819362</v>
      </c>
      <c r="EL169" s="687">
        <f>INPUT!GY195</f>
        <v>2.5972479212237998</v>
      </c>
      <c r="EM169" s="687">
        <f>INPUT!GZ195</f>
        <v>2.5248934909946064</v>
      </c>
    </row>
    <row r="170" spans="1:143" ht="12.75" hidden="1" customHeight="1" outlineLevel="1" x14ac:dyDescent="0.2">
      <c r="A170" s="701"/>
      <c r="B170" s="16"/>
      <c r="C170" s="687"/>
      <c r="D170" s="16"/>
      <c r="E170" s="687"/>
      <c r="F170" s="16"/>
      <c r="G170" s="687"/>
      <c r="H170" s="16"/>
      <c r="I170" s="687"/>
      <c r="J170" s="16"/>
      <c r="K170" s="687"/>
      <c r="L170" s="16"/>
      <c r="M170" s="687"/>
      <c r="N170" s="16"/>
      <c r="O170" s="687"/>
      <c r="P170" s="16"/>
      <c r="Q170" s="687"/>
      <c r="R170" s="16"/>
      <c r="S170" s="687"/>
      <c r="T170" s="16"/>
      <c r="U170" s="687"/>
      <c r="V170" s="16"/>
      <c r="W170" s="687"/>
      <c r="X170" s="16"/>
      <c r="Y170" s="687"/>
      <c r="Z170" s="16"/>
      <c r="AA170" s="687"/>
      <c r="AB170" s="16"/>
      <c r="AC170" s="687"/>
      <c r="AD170" s="16"/>
      <c r="AE170" s="687"/>
      <c r="AF170" s="16"/>
      <c r="AG170" s="687"/>
      <c r="AH170" s="16"/>
      <c r="AI170" s="687"/>
      <c r="AJ170" s="16"/>
      <c r="AK170" s="687"/>
      <c r="AL170" s="16"/>
      <c r="AM170" s="687"/>
      <c r="AN170" s="16"/>
      <c r="AO170" s="687"/>
      <c r="AP170" s="16"/>
      <c r="AQ170" s="687"/>
      <c r="AR170" s="16"/>
      <c r="AS170" s="687"/>
      <c r="AT170" s="16"/>
      <c r="AU170" s="687"/>
      <c r="AV170" s="16"/>
      <c r="AW170" s="687"/>
      <c r="AX170" s="16"/>
      <c r="AY170" s="687"/>
      <c r="AZ170" s="16"/>
      <c r="BA170" s="687"/>
      <c r="BB170" s="16"/>
      <c r="BC170" s="687"/>
      <c r="BD170" s="16"/>
      <c r="BE170" s="687"/>
      <c r="BF170" s="16"/>
      <c r="BG170" s="687"/>
      <c r="BH170" s="16"/>
      <c r="BI170" s="687"/>
      <c r="BJ170" s="16"/>
      <c r="BK170" s="687"/>
      <c r="BL170" s="16"/>
      <c r="BM170" s="687"/>
      <c r="BN170" s="16"/>
      <c r="BO170" s="687"/>
      <c r="BP170" s="16"/>
      <c r="BQ170" s="687"/>
      <c r="BR170" s="16"/>
      <c r="BS170" s="687"/>
      <c r="BT170" s="16"/>
      <c r="BU170" s="687"/>
      <c r="BV170" s="16"/>
      <c r="BW170" s="687"/>
      <c r="BX170" s="16"/>
      <c r="BY170" s="687"/>
      <c r="BZ170" s="16"/>
      <c r="CA170" s="687"/>
      <c r="CB170" s="16"/>
      <c r="CC170" s="687"/>
      <c r="CD170" s="16"/>
      <c r="CE170" s="687"/>
      <c r="CF170" s="16"/>
      <c r="CG170" s="687"/>
      <c r="CH170" s="16"/>
      <c r="CI170" s="687"/>
      <c r="CJ170" s="16"/>
      <c r="CK170" s="687"/>
      <c r="CL170" s="16"/>
      <c r="CM170" s="687"/>
      <c r="CN170" s="16"/>
      <c r="CO170" s="687"/>
      <c r="CP170" s="16"/>
      <c r="CQ170" s="687"/>
      <c r="CR170" s="16"/>
      <c r="CS170" s="687"/>
      <c r="CT170" s="16"/>
      <c r="CU170" s="687"/>
      <c r="CV170" s="16"/>
      <c r="CW170" s="687"/>
      <c r="CX170" s="16"/>
      <c r="CY170" s="687"/>
      <c r="CZ170" s="16"/>
      <c r="DA170" s="687"/>
      <c r="DB170" s="16"/>
      <c r="DC170" s="16"/>
      <c r="DD170" s="687"/>
      <c r="DE170" s="16"/>
      <c r="DF170" s="687"/>
      <c r="DG170" s="16"/>
      <c r="DH170" s="687"/>
      <c r="DI170" s="16"/>
      <c r="DJ170" s="687"/>
      <c r="DK170" s="16"/>
      <c r="DL170" s="687"/>
      <c r="DM170" s="16"/>
      <c r="DN170" s="687"/>
      <c r="DO170" s="16"/>
      <c r="DP170" s="687"/>
      <c r="DQ170" s="16"/>
      <c r="DR170" s="687"/>
      <c r="DS170" s="16"/>
      <c r="DT170" s="687"/>
      <c r="DU170" s="16"/>
      <c r="DV170" s="687"/>
      <c r="DW170" s="16"/>
      <c r="DX170" s="687"/>
      <c r="DY170" s="16"/>
      <c r="DZ170" s="687"/>
      <c r="EA170" s="16"/>
      <c r="EB170" s="687"/>
      <c r="EC170" s="16"/>
      <c r="ED170" s="687"/>
      <c r="EE170" s="16"/>
      <c r="EF170" s="687"/>
      <c r="EG170" s="16"/>
      <c r="EH170" s="687"/>
      <c r="EI170" s="16"/>
      <c r="EJ170" s="687"/>
      <c r="EK170" s="16"/>
      <c r="EL170" s="687"/>
      <c r="EM170" s="687"/>
    </row>
    <row r="171" spans="1:143" ht="12.75" hidden="1" customHeight="1" outlineLevel="1" x14ac:dyDescent="0.2">
      <c r="A171" s="701" t="str">
        <f>INPUT!B202</f>
        <v>Net Flows</v>
      </c>
      <c r="B171" s="151">
        <f>INPUT!AY202</f>
        <v>219</v>
      </c>
      <c r="C171" s="687">
        <f>INPUT!AZ202</f>
        <v>12.886597938144329</v>
      </c>
      <c r="D171" s="151">
        <f>INPUT!BA202</f>
        <v>482</v>
      </c>
      <c r="E171" s="687" t="str">
        <f>INPUT!BB202</f>
        <v>NM</v>
      </c>
      <c r="F171" s="151">
        <f>INPUT!BC202</f>
        <v>442</v>
      </c>
      <c r="G171" s="687">
        <f>INPUT!BD202</f>
        <v>74.015748031496059</v>
      </c>
      <c r="H171" s="151">
        <f>INPUT!BE202</f>
        <v>647</v>
      </c>
      <c r="I171" s="687">
        <f>INPUT!BF202</f>
        <v>90.855457227138629</v>
      </c>
      <c r="J171" s="151">
        <f>INPUT!BG202</f>
        <v>618</v>
      </c>
      <c r="K171" s="687" t="str">
        <f>INPUT!BH202</f>
        <v>NM</v>
      </c>
      <c r="L171" s="151">
        <f>INPUT!BI202</f>
        <v>553</v>
      </c>
      <c r="M171" s="687">
        <f>INPUT!BJ202</f>
        <v>14.730290456431527</v>
      </c>
      <c r="N171" s="151">
        <f>INPUT!BK202</f>
        <v>553</v>
      </c>
      <c r="O171" s="687">
        <f>INPUT!BL202</f>
        <v>25.113122171945701</v>
      </c>
      <c r="P171" s="151">
        <f>INPUT!BM202</f>
        <v>657</v>
      </c>
      <c r="Q171" s="687">
        <f>INPUT!BN202</f>
        <v>1.5455950540958163</v>
      </c>
      <c r="R171" s="151">
        <f>INPUT!BO202</f>
        <v>495</v>
      </c>
      <c r="S171" s="687">
        <f>INPUT!BP202</f>
        <v>-19.902912621359224</v>
      </c>
      <c r="T171" s="151">
        <f>INPUT!BQ202</f>
        <v>569</v>
      </c>
      <c r="U171" s="687">
        <f>INPUT!BR202</f>
        <v>2.893309222423146</v>
      </c>
      <c r="V171" s="151">
        <f>INPUT!BS202</f>
        <v>569</v>
      </c>
      <c r="W171" s="687">
        <f>INPUT!BT202</f>
        <v>2.893309222423146</v>
      </c>
      <c r="X171" s="151">
        <f>INPUT!BU202</f>
        <v>626</v>
      </c>
      <c r="Y171" s="687">
        <f>INPUT!BV202</f>
        <v>-4.7184170471841753</v>
      </c>
      <c r="Z171" s="151">
        <f>INPUT!BW202</f>
        <v>457</v>
      </c>
      <c r="AA171" s="687">
        <f>INPUT!BX202</f>
        <v>-7.6767676767676818</v>
      </c>
      <c r="AB171" s="151">
        <f>INPUT!BY202</f>
        <v>449</v>
      </c>
      <c r="AC171" s="687">
        <f>INPUT!BZ202</f>
        <v>-21.089630931458704</v>
      </c>
      <c r="AD171" s="151">
        <f>INPUT!CA202</f>
        <v>482</v>
      </c>
      <c r="AE171" s="687">
        <f>INPUT!CB202</f>
        <v>-15.289982425307558</v>
      </c>
      <c r="AF171" s="151">
        <f>INPUT!CC202</f>
        <v>771</v>
      </c>
      <c r="AG171" s="687">
        <f>INPUT!CD202</f>
        <v>23.162939297124609</v>
      </c>
      <c r="AH171" s="151">
        <f>INPUT!CE202</f>
        <v>543</v>
      </c>
      <c r="AI171" s="687">
        <f>INPUT!CF202</f>
        <v>18.818380743982498</v>
      </c>
      <c r="AJ171" s="151">
        <f>INPUT!CG202</f>
        <v>597</v>
      </c>
      <c r="AK171" s="687">
        <f>INPUT!CH202</f>
        <v>32.962138084632507</v>
      </c>
      <c r="AL171" s="151">
        <f>INPUT!CI202</f>
        <v>599</v>
      </c>
      <c r="AM171" s="687">
        <f>INPUT!CJ202</f>
        <v>24.273858921161828</v>
      </c>
      <c r="AN171" s="151">
        <f>INPUT!CK202</f>
        <v>1006</v>
      </c>
      <c r="AO171" s="687">
        <f>INPUT!CL202</f>
        <v>30.479896238651104</v>
      </c>
      <c r="AP171" s="151">
        <f>INPUT!CM202</f>
        <v>790</v>
      </c>
      <c r="AQ171" s="687">
        <f>INPUT!CN202</f>
        <v>45.488029465930026</v>
      </c>
      <c r="AR171" s="151">
        <f>INPUT!CO202</f>
        <v>830</v>
      </c>
      <c r="AS171" s="687">
        <f>INPUT!CP202</f>
        <v>39.02847571189281</v>
      </c>
      <c r="AT171" s="151">
        <f>INPUT!CQ202</f>
        <v>933</v>
      </c>
      <c r="AU171" s="687">
        <f>INPUT!CR202</f>
        <v>55.759599332220368</v>
      </c>
      <c r="AV171" s="151">
        <f>INPUT!CS202</f>
        <v>1029</v>
      </c>
      <c r="AW171" s="687">
        <f>INPUT!CT202</f>
        <v>2.2862823061630122</v>
      </c>
      <c r="AX171" s="151">
        <f>INPUT!CU202</f>
        <v>674</v>
      </c>
      <c r="AY171" s="687">
        <f>INPUT!CV202</f>
        <v>-14.683544303797468</v>
      </c>
      <c r="AZ171" s="151">
        <f>INPUT!CW202</f>
        <v>659</v>
      </c>
      <c r="BA171" s="687">
        <f>INPUT!CX202</f>
        <v>-20.602409638554221</v>
      </c>
      <c r="BB171" s="151">
        <f>INPUT!CY202</f>
        <v>634</v>
      </c>
      <c r="BC171" s="687">
        <f>INPUT!CZ202</f>
        <v>-32.047159699892823</v>
      </c>
      <c r="BD171" s="151">
        <f>INPUT!DA202</f>
        <v>865</v>
      </c>
      <c r="BE171" s="687">
        <f>INPUT!DB202</f>
        <v>-15.937803692905739</v>
      </c>
      <c r="BF171" s="151">
        <f>INPUT!DC202</f>
        <v>811</v>
      </c>
      <c r="BG171" s="687">
        <f>INPUT!DD202</f>
        <v>20.326409495548958</v>
      </c>
      <c r="BH171" s="151">
        <f>INPUT!DE202</f>
        <v>719</v>
      </c>
      <c r="BI171" s="687">
        <f>INPUT!DF202</f>
        <v>9.1047040971168336</v>
      </c>
      <c r="BJ171" s="151">
        <f>INPUT!DG202</f>
        <v>683</v>
      </c>
      <c r="BK171" s="687">
        <f>INPUT!DH202</f>
        <v>7.7287066246056746</v>
      </c>
      <c r="BL171" s="151">
        <f>INPUT!DI202</f>
        <v>809</v>
      </c>
      <c r="BM171" s="687">
        <f>INPUT!DJ202</f>
        <v>-6.4739884393063551</v>
      </c>
      <c r="BN171" s="151">
        <f>INPUT!DK202</f>
        <v>577</v>
      </c>
      <c r="BO171" s="687">
        <f>INPUT!DL202</f>
        <v>-28.853267570900123</v>
      </c>
      <c r="BP171" s="151">
        <f>INPUT!DM202</f>
        <v>637</v>
      </c>
      <c r="BQ171" s="687">
        <f>INPUT!DN202</f>
        <v>-11.404728789986097</v>
      </c>
      <c r="BR171" s="151">
        <f>INPUT!DO202</f>
        <v>675</v>
      </c>
      <c r="BS171" s="687">
        <f>INPUT!DP202</f>
        <v>-1.171303074670571</v>
      </c>
      <c r="BT171" s="151">
        <f>INPUT!DQ202</f>
        <v>773</v>
      </c>
      <c r="BU171" s="687">
        <f>INPUT!DR202</f>
        <v>-4.4499381953028383</v>
      </c>
      <c r="BV171" s="151">
        <f>INPUT!DS202</f>
        <v>622</v>
      </c>
      <c r="BW171" s="687">
        <f>INPUT!DT202</f>
        <v>7.7989601386481811</v>
      </c>
      <c r="BX171" s="151">
        <f>INPUT!DU202</f>
        <v>665</v>
      </c>
      <c r="BY171" s="687">
        <f>INPUT!DV202</f>
        <v>4.3956043956044022</v>
      </c>
      <c r="BZ171" s="151">
        <f>INPUT!DW202</f>
        <v>798</v>
      </c>
      <c r="CA171" s="687">
        <f>INPUT!DX202</f>
        <v>798</v>
      </c>
      <c r="CB171" s="151">
        <f>INPUT!DY202</f>
        <v>874</v>
      </c>
      <c r="CC171" s="687">
        <f>INPUT!DZ202</f>
        <v>13.065976714100902</v>
      </c>
      <c r="CD171" s="151">
        <f>INPUT!EA202</f>
        <v>628</v>
      </c>
      <c r="CE171" s="687">
        <f>INPUT!EB202</f>
        <v>0.96463022508037621</v>
      </c>
      <c r="CF171" s="151">
        <f>INPUT!EC202</f>
        <v>698</v>
      </c>
      <c r="CG171" s="687">
        <f>INPUT!ED202</f>
        <v>4.9624060150375904</v>
      </c>
      <c r="CH171" s="151">
        <f>INPUT!EE202</f>
        <v>780</v>
      </c>
      <c r="CI171" s="687">
        <f>INPUT!EF202</f>
        <v>-2.2556390977443663</v>
      </c>
      <c r="CJ171" s="151">
        <f>INPUT!EG202</f>
        <v>918</v>
      </c>
      <c r="CK171" s="687">
        <f>INPUT!EH202</f>
        <v>5.034324942791768</v>
      </c>
      <c r="CL171" s="151">
        <f>INPUT!EI202</f>
        <v>639</v>
      </c>
      <c r="CM171" s="687">
        <f>INPUT!EJ202</f>
        <v>1.7515923566878921</v>
      </c>
      <c r="CN171" s="151">
        <f>INPUT!EK202</f>
        <v>799</v>
      </c>
      <c r="CO171" s="687">
        <f>INPUT!EL202</f>
        <v>14.469914040114617</v>
      </c>
      <c r="CP171" s="151">
        <f>INPUT!EM202</f>
        <v>760</v>
      </c>
      <c r="CQ171" s="687">
        <f>INPUT!EN202</f>
        <v>-2.5641025641025661</v>
      </c>
      <c r="CR171" s="151">
        <f>INPUT!EO202</f>
        <v>871</v>
      </c>
      <c r="CS171" s="687">
        <f>INPUT!EP202</f>
        <v>-5.1198257080609988</v>
      </c>
      <c r="CT171" s="151">
        <f>INPUT!EQ202</f>
        <v>811.44823381452329</v>
      </c>
      <c r="CU171" s="687">
        <f>INPUT!ER202</f>
        <v>26.987204039831504</v>
      </c>
      <c r="CV171" s="151">
        <f>INPUT!ES202</f>
        <v>886.56734103632846</v>
      </c>
      <c r="CW171" s="687">
        <f>INPUT!ET202</f>
        <v>10.959617150979772</v>
      </c>
      <c r="CX171" s="151">
        <f>INPUT!EU202</f>
        <v>837.39742531881916</v>
      </c>
      <c r="CY171" s="687">
        <f>INPUT!EV202</f>
        <v>10.183871752476215</v>
      </c>
      <c r="CZ171" s="151">
        <f>INPUT!EW202</f>
        <v>921.96697749933799</v>
      </c>
      <c r="DA171" s="687">
        <f>INPUT!EX202</f>
        <v>5.8515473592810618</v>
      </c>
      <c r="DB171" s="16"/>
      <c r="DC171" s="151">
        <f>INPUT!FP202</f>
        <v>1011</v>
      </c>
      <c r="DD171" s="687" t="str">
        <f>INPUT!FQ202</f>
        <v>NA</v>
      </c>
      <c r="DE171" s="151">
        <f>INPUT!FR202</f>
        <v>1790</v>
      </c>
      <c r="DF171" s="687">
        <f>INPUT!FS202</f>
        <v>77.052423343224532</v>
      </c>
      <c r="DG171" s="151">
        <f>INPUT!FT202</f>
        <v>2381</v>
      </c>
      <c r="DH171" s="687">
        <f>INPUT!FU202</f>
        <v>33.016759776536311</v>
      </c>
      <c r="DI171" s="151">
        <f>INPUT!FV202</f>
        <v>2259</v>
      </c>
      <c r="DJ171" s="687">
        <f>INPUT!FW202</f>
        <v>-5.1238975220495586</v>
      </c>
      <c r="DK171" s="151">
        <f>INPUT!FX202</f>
        <v>2159</v>
      </c>
      <c r="DL171" s="687">
        <f>INPUT!FY202</f>
        <v>-4.4267374944665816</v>
      </c>
      <c r="DM171" s="151">
        <f>INPUT!FZ202</f>
        <v>2745</v>
      </c>
      <c r="DN171" s="687">
        <f>INPUT!GA202</f>
        <v>27.142195460861519</v>
      </c>
      <c r="DO171" s="151">
        <f>INPUT!GB202</f>
        <v>3582</v>
      </c>
      <c r="DP171" s="687">
        <f>INPUT!GC202</f>
        <v>30.491803278688522</v>
      </c>
      <c r="DQ171" s="151">
        <f>INPUT!GD202</f>
        <v>2832</v>
      </c>
      <c r="DR171" s="687">
        <f>INPUT!GE202</f>
        <v>-20.938023450586265</v>
      </c>
      <c r="DS171" s="151">
        <f>INPUT!GF202</f>
        <v>3022</v>
      </c>
      <c r="DT171" s="687">
        <f>INPUT!GG202</f>
        <v>6.7090395480225995</v>
      </c>
      <c r="DU171" s="151">
        <f>INPUT!GH202</f>
        <v>2662</v>
      </c>
      <c r="DV171" s="687">
        <f>INPUT!GI202</f>
        <v>-11.912640635340832</v>
      </c>
      <c r="DW171" s="151">
        <f>INPUT!GJ202</f>
        <v>2959</v>
      </c>
      <c r="DX171" s="687">
        <f>INPUT!GK202</f>
        <v>11.157024793388427</v>
      </c>
      <c r="DY171" s="151">
        <f>INPUT!GL202</f>
        <v>3024</v>
      </c>
      <c r="DZ171" s="687">
        <f>INPUT!GM202</f>
        <v>2.1966880702940283</v>
      </c>
      <c r="EA171" s="151">
        <f>INPUT!GN202</f>
        <v>3069</v>
      </c>
      <c r="EB171" s="687">
        <f>INPUT!GO202</f>
        <v>1.4880952380952328</v>
      </c>
      <c r="EC171" s="151">
        <f>INPUT!GP202</f>
        <v>3457.3799776690093</v>
      </c>
      <c r="ED171" s="687">
        <f>INPUT!GQ202</f>
        <v>12.654935733757222</v>
      </c>
      <c r="EE171" s="151">
        <f>INPUT!GR202</f>
        <v>3659.2964801392118</v>
      </c>
      <c r="EF171" s="687">
        <f>INPUT!GS202</f>
        <v>5.8401594205545138</v>
      </c>
      <c r="EG171" s="151">
        <f>INPUT!GT202</f>
        <v>3871.6068417270772</v>
      </c>
      <c r="EH171" s="687">
        <f>INPUT!GU202</f>
        <v>5.8019447929452461</v>
      </c>
      <c r="EI171" s="151">
        <f>INPUT!GV202</f>
        <v>4094.8338132850613</v>
      </c>
      <c r="EJ171" s="687">
        <f>INPUT!GW202</f>
        <v>5.7657448362810948</v>
      </c>
      <c r="EK171" s="151">
        <f>INPUT!GX202</f>
        <v>4329.5263145829567</v>
      </c>
      <c r="EL171" s="687">
        <f>INPUT!GY202</f>
        <v>5.731429210545036</v>
      </c>
      <c r="EM171" s="687">
        <f>INPUT!GZ202</f>
        <v>7.1244731513996795</v>
      </c>
    </row>
    <row r="172" spans="1:143" ht="12.75" hidden="1" customHeight="1" outlineLevel="1" x14ac:dyDescent="0.2">
      <c r="A172" s="701" t="str">
        <f>INPUT!B204</f>
        <v>Interest Cred/Avg GrossUL Reserves (%)</v>
      </c>
      <c r="B172" s="464">
        <f>INPUT!AY204</f>
        <v>4.5527358570103704</v>
      </c>
      <c r="C172" s="687">
        <f>INPUT!AZ204</f>
        <v>0</v>
      </c>
      <c r="D172" s="464">
        <f>INPUT!BA204</f>
        <v>5.5906982348334235</v>
      </c>
      <c r="E172" s="687">
        <f>INPUT!BB204</f>
        <v>0</v>
      </c>
      <c r="F172" s="464">
        <f>INPUT!BC204</f>
        <v>4.4671853461367723</v>
      </c>
      <c r="G172" s="687">
        <f>INPUT!BD204</f>
        <v>0</v>
      </c>
      <c r="H172" s="464">
        <f>INPUT!BE204</f>
        <v>4.4602128737962499</v>
      </c>
      <c r="I172" s="687">
        <f>INPUT!BF204</f>
        <v>0</v>
      </c>
      <c r="J172" s="464">
        <f>INPUT!BG204</f>
        <v>3.8258679052192393</v>
      </c>
      <c r="K172" s="687">
        <f>INPUT!BH204</f>
        <v>0</v>
      </c>
      <c r="L172" s="464">
        <f>INPUT!BI204</f>
        <v>3.7792336553976553</v>
      </c>
      <c r="M172" s="687">
        <f>INPUT!BJ204</f>
        <v>0</v>
      </c>
      <c r="N172" s="464">
        <f>INPUT!BK204</f>
        <v>4.2901626110021915</v>
      </c>
      <c r="O172" s="687">
        <f>INPUT!BL204</f>
        <v>0</v>
      </c>
      <c r="P172" s="464">
        <f>INPUT!BM204</f>
        <v>4.2824601366742598</v>
      </c>
      <c r="Q172" s="687">
        <f>INPUT!BN204</f>
        <v>0</v>
      </c>
      <c r="R172" s="464">
        <f>INPUT!BO204</f>
        <v>4.2220719705506724</v>
      </c>
      <c r="S172" s="687">
        <f>INPUT!BP204</f>
        <v>0</v>
      </c>
      <c r="T172" s="464">
        <f>INPUT!BQ204</f>
        <v>4.2602316314750679</v>
      </c>
      <c r="U172" s="687">
        <f>INPUT!BR204</f>
        <v>0</v>
      </c>
      <c r="V172" s="464">
        <f>INPUT!BS204</f>
        <v>4.2946482926559302</v>
      </c>
      <c r="W172" s="687">
        <f>INPUT!BT204</f>
        <v>0</v>
      </c>
      <c r="X172" s="464">
        <f>INPUT!BU204</f>
        <v>4.2098339088965631</v>
      </c>
      <c r="Y172" s="687">
        <f>INPUT!BV204</f>
        <v>0</v>
      </c>
      <c r="Z172" s="464">
        <f>INPUT!BW204</f>
        <v>4.194560859231844</v>
      </c>
      <c r="AA172" s="687">
        <f>INPUT!BX204</f>
        <v>0</v>
      </c>
      <c r="AB172" s="464">
        <f>INPUT!BY204</f>
        <v>4.1644073310920726</v>
      </c>
      <c r="AC172" s="687">
        <f>INPUT!BZ204</f>
        <v>0</v>
      </c>
      <c r="AD172" s="464">
        <f>INPUT!CA204</f>
        <v>4.1920265062844377</v>
      </c>
      <c r="AE172" s="687">
        <f>INPUT!CB204</f>
        <v>0</v>
      </c>
      <c r="AF172" s="464">
        <f>INPUT!CC204</f>
        <v>4.1987253869361085</v>
      </c>
      <c r="AG172" s="687">
        <f>INPUT!CD204</f>
        <v>0</v>
      </c>
      <c r="AH172" s="156">
        <f>INPUT!CE204</f>
        <v>4.1452243266663125</v>
      </c>
      <c r="AI172" s="687">
        <f>INPUT!CF204</f>
        <v>0</v>
      </c>
      <c r="AJ172" s="156">
        <f>INPUT!CG204</f>
        <v>4.1447865259312602</v>
      </c>
      <c r="AK172" s="687">
        <f>INPUT!CH204</f>
        <v>0</v>
      </c>
      <c r="AL172" s="156">
        <f>INPUT!CI204</f>
        <v>4.1549025759001701</v>
      </c>
      <c r="AM172" s="687">
        <f>INPUT!CJ204</f>
        <v>0</v>
      </c>
      <c r="AN172" s="156">
        <f>INPUT!CK204</f>
        <v>4.1128630134630928</v>
      </c>
      <c r="AO172" s="687">
        <f>INPUT!CL204</f>
        <v>0</v>
      </c>
      <c r="AP172" s="156">
        <f>INPUT!CM204</f>
        <v>4.0471034109366544</v>
      </c>
      <c r="AQ172" s="687">
        <f>INPUT!CN204</f>
        <v>0</v>
      </c>
      <c r="AR172" s="156">
        <f>INPUT!CO204</f>
        <v>4.0476230233606625</v>
      </c>
      <c r="AS172" s="687">
        <f>INPUT!CP204</f>
        <v>0</v>
      </c>
      <c r="AT172" s="156">
        <f>INPUT!CQ204</f>
        <v>3.7245418352910211</v>
      </c>
      <c r="AU172" s="687">
        <f>INPUT!CR204</f>
        <v>0</v>
      </c>
      <c r="AV172" s="156">
        <f>INPUT!CS204</f>
        <v>3.9187157476114267</v>
      </c>
      <c r="AW172" s="687">
        <f>INPUT!CT204</f>
        <v>0</v>
      </c>
      <c r="AX172" s="156">
        <f>INPUT!CU204</f>
        <v>3.9672795114250632</v>
      </c>
      <c r="AY172" s="687">
        <f>INPUT!CV204</f>
        <v>0</v>
      </c>
      <c r="AZ172" s="156">
        <f>INPUT!CW204</f>
        <v>3.9086711782935928</v>
      </c>
      <c r="BA172" s="687">
        <f>INPUT!CX204</f>
        <v>0</v>
      </c>
      <c r="BB172" s="156">
        <f>INPUT!CY204</f>
        <v>3.9412576879628465</v>
      </c>
      <c r="BC172" s="687">
        <f>INPUT!CZ204</f>
        <v>0</v>
      </c>
      <c r="BD172" s="156">
        <f>INPUT!DA204</f>
        <v>3.9492067434567977</v>
      </c>
      <c r="BE172" s="687">
        <f>INPUT!DB204</f>
        <v>0</v>
      </c>
      <c r="BF172" s="156">
        <f>INPUT!DC204</f>
        <v>3.8866496038253464</v>
      </c>
      <c r="BG172" s="687">
        <f>INPUT!DD204</f>
        <v>0</v>
      </c>
      <c r="BH172" s="156">
        <f>INPUT!DE204</f>
        <v>3.8832006067500946</v>
      </c>
      <c r="BI172" s="687">
        <f>INPUT!DF204</f>
        <v>0</v>
      </c>
      <c r="BJ172" s="156">
        <f>INPUT!DG204</f>
        <v>3.935373228630743</v>
      </c>
      <c r="BK172" s="687">
        <f>INPUT!DH204</f>
        <v>0</v>
      </c>
      <c r="BL172" s="156">
        <f>INPUT!DI204</f>
        <v>3.9471134496996436</v>
      </c>
      <c r="BM172" s="687">
        <f>INPUT!DJ204</f>
        <v>0</v>
      </c>
      <c r="BN172" s="156">
        <f>INPUT!DK204</f>
        <v>3.8930879938467911</v>
      </c>
      <c r="BO172" s="687">
        <f>INPUT!DL204</f>
        <v>0</v>
      </c>
      <c r="BP172" s="156">
        <f>INPUT!DM204</f>
        <v>3.9423359811709324</v>
      </c>
      <c r="BQ172" s="687">
        <f>INPUT!DN204</f>
        <v>1.5228513901147434</v>
      </c>
      <c r="BR172" s="156">
        <f>INPUT!DO204</f>
        <v>3.9410019149527109</v>
      </c>
      <c r="BS172" s="687">
        <f>INPUT!DP204</f>
        <v>0.14302801780063934</v>
      </c>
      <c r="BT172" s="156">
        <f>INPUT!DQ204</f>
        <v>3.981023401569777</v>
      </c>
      <c r="BU172" s="687">
        <f>INPUT!DR204</f>
        <v>0.85910760615999227</v>
      </c>
      <c r="BV172" s="156">
        <f>INPUT!DS204</f>
        <v>3.840553593310748</v>
      </c>
      <c r="BW172" s="687">
        <f>INPUT!DT204</f>
        <v>-1.3494275140730538</v>
      </c>
      <c r="BX172" s="156">
        <f>INPUT!DU204</f>
        <v>3.9263521949399425</v>
      </c>
      <c r="BY172" s="687">
        <f>INPUT!DV204</f>
        <v>-0.40543947312786655</v>
      </c>
      <c r="BZ172" s="156">
        <f>INPUT!DW204</f>
        <v>3.8777925095875569</v>
      </c>
      <c r="CA172" s="687">
        <f>INPUT!DX204</f>
        <v>944.75907317608903</v>
      </c>
      <c r="CB172" s="156">
        <f>INPUT!DY204</f>
        <v>3.8440883009695019</v>
      </c>
      <c r="CC172" s="687">
        <f>INPUT!DZ204</f>
        <v>-3.4396959471848287</v>
      </c>
      <c r="CD172" s="156">
        <f>INPUT!EA204</f>
        <v>3.764838097913886</v>
      </c>
      <c r="CE172" s="687">
        <f>INPUT!EB204</f>
        <v>-1.971473475301555</v>
      </c>
      <c r="CF172" s="156">
        <f>INPUT!EC204</f>
        <v>3.7527130154729402</v>
      </c>
      <c r="CG172" s="687">
        <f>INPUT!ED204</f>
        <v>-4.4224045843563982</v>
      </c>
      <c r="CH172" s="156">
        <f>INPUT!EE204</f>
        <v>3.802090592334495</v>
      </c>
      <c r="CI172" s="687">
        <f>INPUT!EF204</f>
        <v>-1.9521910227505601</v>
      </c>
      <c r="CJ172" s="156">
        <f>INPUT!EG204</f>
        <v>3.9198859468213212</v>
      </c>
      <c r="CK172" s="687">
        <f>INPUT!EH204</f>
        <v>1.9717977298467027</v>
      </c>
      <c r="CL172" s="156">
        <f>INPUT!EI204</f>
        <v>3.8915760607438643</v>
      </c>
      <c r="CM172" s="687">
        <f>INPUT!EJ204</f>
        <v>3.3663589119597104</v>
      </c>
      <c r="CN172" s="156">
        <f>INPUT!EK204</f>
        <v>3.9038337296732601</v>
      </c>
      <c r="CO172" s="687">
        <f>INPUT!EL204</f>
        <v>4.026972315155164</v>
      </c>
      <c r="CP172" s="156">
        <f>INPUT!EM204</f>
        <v>3.9545392304532383</v>
      </c>
      <c r="CQ172" s="687">
        <f>INPUT!EN204</f>
        <v>4.0096003610776476</v>
      </c>
      <c r="CR172" s="156">
        <f>INPUT!EO204</f>
        <v>4.0781277686153174</v>
      </c>
      <c r="CS172" s="687">
        <f>INPUT!EP204</f>
        <v>4.0368986225815195</v>
      </c>
      <c r="CT172" s="156">
        <f>INPUT!EQ204</f>
        <v>4.0790672550078737</v>
      </c>
      <c r="CU172" s="687">
        <f>INPUT!ER204</f>
        <v>4.8178730503386502</v>
      </c>
      <c r="CV172" s="156">
        <f>INPUT!ES204</f>
        <v>4.0763440058576315</v>
      </c>
      <c r="CW172" s="687">
        <f>INPUT!ET204</f>
        <v>4.418996507794648</v>
      </c>
      <c r="CX172" s="156">
        <f>INPUT!EU204</f>
        <v>4.0792032995487979</v>
      </c>
      <c r="CY172" s="687">
        <f>INPUT!EV204</f>
        <v>3.152429697385295</v>
      </c>
      <c r="CZ172" s="156">
        <f>INPUT!EW204</f>
        <v>4.076275765490692</v>
      </c>
      <c r="DA172" s="687">
        <f>INPUT!EX204</f>
        <v>-4.5413072608424532E-2</v>
      </c>
      <c r="DB172" s="16"/>
      <c r="DC172" s="464">
        <f>INPUT!FP204</f>
        <v>18.852530162312302</v>
      </c>
      <c r="DD172" s="687">
        <f>INPUT!FQ204</f>
        <v>0</v>
      </c>
      <c r="DE172" s="464">
        <f>INPUT!FR204</f>
        <v>20.12996646983769</v>
      </c>
      <c r="DF172" s="687">
        <f>INPUT!FS204</f>
        <v>0</v>
      </c>
      <c r="DG172" s="464">
        <f>INPUT!FT204</f>
        <v>16.183943580330403</v>
      </c>
      <c r="DH172" s="687">
        <f>INPUT!FU204</f>
        <v>0</v>
      </c>
      <c r="DI172" s="464">
        <f>INPUT!FV204</f>
        <v>16.97149203998519</v>
      </c>
      <c r="DJ172" s="687">
        <f>INPUT!FW204</f>
        <v>0</v>
      </c>
      <c r="DK172" s="156">
        <f>INPUT!FX204</f>
        <v>16.691205515854492</v>
      </c>
      <c r="DL172" s="687">
        <f>INPUT!FY204</f>
        <v>0</v>
      </c>
      <c r="DM172" s="156">
        <f>INPUT!FZ204</f>
        <v>16.470629115485519</v>
      </c>
      <c r="DN172" s="687">
        <f>INPUT!GA204</f>
        <v>0</v>
      </c>
      <c r="DO172" s="156">
        <f>INPUT!GB204</f>
        <v>15.68731018090585</v>
      </c>
      <c r="DP172" s="687">
        <f>INPUT!GC204</f>
        <v>0</v>
      </c>
      <c r="DQ172" s="156">
        <f>INPUT!GD204</f>
        <v>15.735809335281456</v>
      </c>
      <c r="DR172" s="687">
        <f>INPUT!GE204</f>
        <v>0</v>
      </c>
      <c r="DS172" s="156">
        <f>INPUT!GF204</f>
        <v>15.660665427115926</v>
      </c>
      <c r="DT172" s="687">
        <f>INPUT!GG204</f>
        <v>-0.47753443476877822</v>
      </c>
      <c r="DU172" s="156">
        <f>INPUT!GH204</f>
        <v>15.734710901028787</v>
      </c>
      <c r="DV172" s="687">
        <f>INPUT!GI204</f>
        <v>0.4728117988182845</v>
      </c>
      <c r="DW172" s="156">
        <f>INPUT!GJ204</f>
        <v>15.451059765953504</v>
      </c>
      <c r="DX172" s="687">
        <f>INPUT!GK204</f>
        <v>-1.802709543629033</v>
      </c>
      <c r="DY172" s="156">
        <f>INPUT!GL204</f>
        <v>15.205313505158946</v>
      </c>
      <c r="DZ172" s="687">
        <f>INPUT!GM204</f>
        <v>-1.590481588428394</v>
      </c>
      <c r="EA172" s="156">
        <f>INPUT!GN204</f>
        <v>15.800062959363837</v>
      </c>
      <c r="EB172" s="687">
        <f>INPUT!GO204</f>
        <v>3.9114580176403457</v>
      </c>
      <c r="EC172" s="156">
        <f>INPUT!GP204</f>
        <v>16.304627591621141</v>
      </c>
      <c r="ED172" s="687">
        <f>INPUT!GQ204</f>
        <v>3.1934343145023858</v>
      </c>
      <c r="EE172" s="156">
        <f>INPUT!GR204</f>
        <v>16.301770900205558</v>
      </c>
      <c r="EF172" s="687">
        <f>INPUT!GS204</f>
        <v>-1.7520740044696392E-2</v>
      </c>
      <c r="EG172" s="156">
        <f>INPUT!GT204</f>
        <v>16.298885997908361</v>
      </c>
      <c r="EH172" s="687">
        <f>INPUT!GU204</f>
        <v>-1.7696864437966031E-2</v>
      </c>
      <c r="EI172" s="156">
        <f>INPUT!GV204</f>
        <v>16.295974642692613</v>
      </c>
      <c r="EJ172" s="687">
        <f>INPUT!GW204</f>
        <v>-1.7862295718373833E-2</v>
      </c>
      <c r="EK172" s="156">
        <f>INPUT!GX204</f>
        <v>16.293038664612215</v>
      </c>
      <c r="EL172" s="687">
        <f>INPUT!GY204</f>
        <v>-1.8016584738089758E-2</v>
      </c>
      <c r="EM172" s="687">
        <f>INPUT!GZ204</f>
        <v>0.61637212334082481</v>
      </c>
    </row>
    <row r="173" spans="1:143" ht="12.75" hidden="1" customHeight="1" outlineLevel="1" x14ac:dyDescent="0.2">
      <c r="A173" s="701" t="str">
        <f>INPUT!B205</f>
        <v>Withdrawals/BOP UL Reserves (%)</v>
      </c>
      <c r="B173" s="156">
        <f>INPUT!AY205</f>
        <v>6.1647895672791941</v>
      </c>
      <c r="C173" s="687">
        <f>INPUT!AZ205</f>
        <v>0</v>
      </c>
      <c r="D173" s="156">
        <f>INPUT!BA205</f>
        <v>10.643834466549148</v>
      </c>
      <c r="E173" s="687">
        <f>INPUT!BB205</f>
        <v>0</v>
      </c>
      <c r="F173" s="156">
        <f>INPUT!BC205</f>
        <v>5.1679586563307494</v>
      </c>
      <c r="G173" s="687">
        <f>INPUT!BD205</f>
        <v>0</v>
      </c>
      <c r="H173" s="156">
        <f>INPUT!BE205</f>
        <v>5.5958356571853507</v>
      </c>
      <c r="I173" s="687">
        <f>INPUT!BF205</f>
        <v>0</v>
      </c>
      <c r="J173" s="464">
        <f>INPUT!BG205</f>
        <v>4.1843325276379923</v>
      </c>
      <c r="K173" s="687">
        <f>INPUT!BH205</f>
        <v>0</v>
      </c>
      <c r="L173" s="464">
        <f>INPUT!BI205</f>
        <v>4.8641251221896384</v>
      </c>
      <c r="M173" s="687">
        <f>INPUT!BJ205</f>
        <v>0</v>
      </c>
      <c r="N173" s="464">
        <f>INPUT!BK205</f>
        <v>4.6241880606248067</v>
      </c>
      <c r="O173" s="687">
        <f>INPUT!BL205</f>
        <v>0</v>
      </c>
      <c r="P173" s="464">
        <f>INPUT!BM205</f>
        <v>4.8925923094564636</v>
      </c>
      <c r="Q173" s="687">
        <f>INPUT!BN205</f>
        <v>0</v>
      </c>
      <c r="R173" s="464">
        <f>INPUT!BO205</f>
        <v>6.0034693415793043</v>
      </c>
      <c r="S173" s="687">
        <f>INPUT!BP205</f>
        <v>0</v>
      </c>
      <c r="T173" s="464">
        <f>INPUT!BQ205</f>
        <v>4.1457756491805737</v>
      </c>
      <c r="U173" s="687">
        <f>INPUT!BR205</f>
        <v>0</v>
      </c>
      <c r="V173" s="464">
        <f>INPUT!BS205</f>
        <v>4.5366938472942921</v>
      </c>
      <c r="W173" s="687">
        <f>INPUT!BT205</f>
        <v>0</v>
      </c>
      <c r="X173" s="464">
        <f>INPUT!BU205</f>
        <v>4.7746722003893201</v>
      </c>
      <c r="Y173" s="687">
        <f>INPUT!BV205</f>
        <v>0</v>
      </c>
      <c r="Z173" s="464">
        <f>INPUT!BW205</f>
        <v>5.2068940440695224</v>
      </c>
      <c r="AA173" s="687">
        <f>INPUT!BX205</f>
        <v>0</v>
      </c>
      <c r="AB173" s="464">
        <f>INPUT!BY205</f>
        <v>5.6631784770250206</v>
      </c>
      <c r="AC173" s="687">
        <f>INPUT!BZ205</f>
        <v>0</v>
      </c>
      <c r="AD173" s="464">
        <f>INPUT!CA205</f>
        <v>6.0197047890577071</v>
      </c>
      <c r="AE173" s="687">
        <f>INPUT!CB205</f>
        <v>0</v>
      </c>
      <c r="AF173" s="464">
        <f>INPUT!CC205</f>
        <v>4.2551662174303688</v>
      </c>
      <c r="AG173" s="687">
        <f>INPUT!CD205</f>
        <v>0</v>
      </c>
      <c r="AH173" s="156">
        <f>INPUT!CE205</f>
        <v>5.2071509648127128</v>
      </c>
      <c r="AI173" s="687">
        <f>INPUT!CF205</f>
        <v>0</v>
      </c>
      <c r="AJ173" s="156">
        <f>INPUT!CG205</f>
        <v>4.4295538705695643</v>
      </c>
      <c r="AK173" s="687">
        <f>INPUT!CH205</f>
        <v>0</v>
      </c>
      <c r="AL173" s="156">
        <f>INPUT!CI205</f>
        <v>5.3736356003358523</v>
      </c>
      <c r="AM173" s="687">
        <f>INPUT!CJ205</f>
        <v>0</v>
      </c>
      <c r="AN173" s="156">
        <f>INPUT!CK205</f>
        <v>4.4175869972911022</v>
      </c>
      <c r="AO173" s="687">
        <f>INPUT!CL205</f>
        <v>0</v>
      </c>
      <c r="AP173" s="156">
        <f>INPUT!CM205</f>
        <v>4.018389238889835</v>
      </c>
      <c r="AQ173" s="687">
        <f>INPUT!CN205</f>
        <v>0</v>
      </c>
      <c r="AR173" s="156">
        <f>INPUT!CO205</f>
        <v>3.981304011567302</v>
      </c>
      <c r="AS173" s="687">
        <f>INPUT!CP205</f>
        <v>0</v>
      </c>
      <c r="AT173" s="156">
        <f>INPUT!CQ205</f>
        <v>3.0781478041661137</v>
      </c>
      <c r="AU173" s="687">
        <f>INPUT!CR205</f>
        <v>0</v>
      </c>
      <c r="AV173" s="156">
        <f>INPUT!CS205</f>
        <v>3.4989229061949212</v>
      </c>
      <c r="AW173" s="687">
        <f>INPUT!CT205</f>
        <v>0</v>
      </c>
      <c r="AX173" s="156">
        <f>INPUT!CU205</f>
        <v>4.0616291361030141</v>
      </c>
      <c r="AY173" s="687">
        <f>INPUT!CV205</f>
        <v>0</v>
      </c>
      <c r="AZ173" s="156">
        <f>INPUT!CW205</f>
        <v>4.2039753603861048</v>
      </c>
      <c r="BA173" s="687">
        <f>INPUT!CX205</f>
        <v>0</v>
      </c>
      <c r="BB173" s="156">
        <f>INPUT!CY205</f>
        <v>4.245669291338583</v>
      </c>
      <c r="BC173" s="687">
        <f>INPUT!CZ205</f>
        <v>0</v>
      </c>
      <c r="BD173" s="156">
        <f>INPUT!DA205</f>
        <v>3.3389607953479645</v>
      </c>
      <c r="BE173" s="687">
        <f>INPUT!DB205</f>
        <v>0</v>
      </c>
      <c r="BF173" s="156">
        <f>INPUT!DC205</f>
        <v>2.3063640848544646</v>
      </c>
      <c r="BG173" s="687">
        <f>INPUT!DD205</f>
        <v>0</v>
      </c>
      <c r="BH173" s="156">
        <f>INPUT!DE205</f>
        <v>3.0106347319986591</v>
      </c>
      <c r="BI173" s="687">
        <f>INPUT!DF205</f>
        <v>0</v>
      </c>
      <c r="BJ173" s="156">
        <f>INPUT!DG205</f>
        <v>3.0808263863718737</v>
      </c>
      <c r="BK173" s="687">
        <f>INPUT!DH205</f>
        <v>0</v>
      </c>
      <c r="BL173" s="156">
        <f>INPUT!DI205</f>
        <v>2.4935563148114848</v>
      </c>
      <c r="BM173" s="687">
        <f>INPUT!DJ205</f>
        <v>0</v>
      </c>
      <c r="BN173" s="156">
        <f>INPUT!DK205</f>
        <v>3.4637169716200589</v>
      </c>
      <c r="BO173" s="687">
        <f>INPUT!DL205</f>
        <v>0</v>
      </c>
      <c r="BP173" s="156">
        <f>INPUT!DM205</f>
        <v>2.9864840937260224</v>
      </c>
      <c r="BQ173" s="687">
        <f>INPUT!DN205</f>
        <v>-0.80217762772583079</v>
      </c>
      <c r="BR173" s="156">
        <f>INPUT!DO205</f>
        <v>3.0386578283568957</v>
      </c>
      <c r="BS173" s="687">
        <f>INPUT!DP205</f>
        <v>-1.3687417830979376</v>
      </c>
      <c r="BT173" s="156">
        <f>INPUT!DQ205</f>
        <v>2.9841177327699255</v>
      </c>
      <c r="BU173" s="687">
        <f>INPUT!DR205</f>
        <v>19.673163787982382</v>
      </c>
      <c r="BV173" s="156">
        <f>INPUT!DS205</f>
        <v>3.4554489772333294</v>
      </c>
      <c r="BW173" s="687">
        <f>INPUT!DT205</f>
        <v>-0.23870294410522908</v>
      </c>
      <c r="BX173" s="156">
        <f>INPUT!DU205</f>
        <v>3.4414295168762412</v>
      </c>
      <c r="BY173" s="687">
        <f>INPUT!DV205</f>
        <v>15.233478862518091</v>
      </c>
      <c r="BZ173" s="156">
        <f>INPUT!DW205</f>
        <v>2.450615516747781</v>
      </c>
      <c r="CA173" s="687">
        <f>INPUT!DX205</f>
        <v>34909.64593301429</v>
      </c>
      <c r="CB173" s="156">
        <f>INPUT!DY205</f>
        <v>2.3627637520234006</v>
      </c>
      <c r="CC173" s="687">
        <f>INPUT!DZ205</f>
        <v>-20.822033055973634</v>
      </c>
      <c r="CD173" s="156">
        <f>INPUT!EA205</f>
        <v>3.5673090448726965</v>
      </c>
      <c r="CE173" s="687">
        <f>INPUT!EB205</f>
        <v>3.2372079106469664</v>
      </c>
      <c r="CF173" s="156">
        <f>INPUT!EC205</f>
        <v>3.2996632996632997</v>
      </c>
      <c r="CG173" s="687">
        <f>INPUT!ED205</f>
        <v>-4.1193991193991248</v>
      </c>
      <c r="CH173" s="156">
        <f>INPUT!EE205</f>
        <v>3.0188679245283021</v>
      </c>
      <c r="CI173" s="687">
        <f>INPUT!EF205</f>
        <v>23.188150238053275</v>
      </c>
      <c r="CJ173" s="156">
        <f>INPUT!EG205</f>
        <v>2.6796386379430159</v>
      </c>
      <c r="CK173" s="687">
        <f>INPUT!EH205</f>
        <v>13.411196343614673</v>
      </c>
      <c r="CL173" s="156">
        <f>INPUT!EI205</f>
        <v>4.4441993824437578</v>
      </c>
      <c r="CM173" s="687">
        <f>INPUT!EJ205</f>
        <v>24.581283161643029</v>
      </c>
      <c r="CN173" s="156">
        <f>INPUT!EK205</f>
        <v>3.482573357211737</v>
      </c>
      <c r="CO173" s="687">
        <f>INPUT!EL205</f>
        <v>5.5432946012128337</v>
      </c>
      <c r="CP173" s="156">
        <f>INPUT!EM205</f>
        <v>3.4015471553190326</v>
      </c>
      <c r="CQ173" s="687">
        <f>INPUT!EN205</f>
        <v>12.676249519942949</v>
      </c>
      <c r="CR173" s="156">
        <f>INPUT!EO205</f>
        <v>3.0730533683289587</v>
      </c>
      <c r="CS173" s="687">
        <f>INPUT!EP205</f>
        <v>14.681633740284528</v>
      </c>
      <c r="CT173" s="156">
        <f>INPUT!EQ205</f>
        <v>3.0730533683289587</v>
      </c>
      <c r="CU173" s="687">
        <f>INPUT!ER205</f>
        <v>-30.852486491297771</v>
      </c>
      <c r="CV173" s="156">
        <f>INPUT!ES205</f>
        <v>3.0730533683289587</v>
      </c>
      <c r="CW173" s="687">
        <f>INPUT!ET205</f>
        <v>-11.759120250395917</v>
      </c>
      <c r="CX173" s="156">
        <f>INPUT!EU205</f>
        <v>3.0730533683289587</v>
      </c>
      <c r="CY173" s="687">
        <f>INPUT!EV205</f>
        <v>-9.6571875088194759</v>
      </c>
      <c r="CZ173" s="156">
        <f>INPUT!EW205</f>
        <v>3.0730533683289587</v>
      </c>
      <c r="DA173" s="687">
        <f>INPUT!EX205</f>
        <v>0</v>
      </c>
      <c r="DB173" s="16"/>
      <c r="DC173" s="156">
        <f>INPUT!FP205</f>
        <v>6.009615384615385</v>
      </c>
      <c r="DD173" s="687">
        <f>INPUT!FQ205</f>
        <v>0</v>
      </c>
      <c r="DE173" s="464">
        <f>INPUT!FR205</f>
        <v>9.1024555461473327</v>
      </c>
      <c r="DF173" s="687">
        <f>INPUT!FS205</f>
        <v>0</v>
      </c>
      <c r="DG173" s="464">
        <f>INPUT!FT205</f>
        <v>4.731148710227048</v>
      </c>
      <c r="DH173" s="687">
        <f>INPUT!FU205</f>
        <v>0</v>
      </c>
      <c r="DI173" s="464">
        <f>INPUT!FV205</f>
        <v>4.9249566332302592</v>
      </c>
      <c r="DJ173" s="687">
        <f>INPUT!FW205</f>
        <v>0</v>
      </c>
      <c r="DK173" s="156">
        <f>INPUT!FX205</f>
        <v>5.3159770198531016</v>
      </c>
      <c r="DL173" s="687">
        <f>INPUT!FY205</f>
        <v>0</v>
      </c>
      <c r="DM173" s="156">
        <f>INPUT!FZ205</f>
        <v>4.905646992054483</v>
      </c>
      <c r="DN173" s="687">
        <f>INPUT!GA205</f>
        <v>0</v>
      </c>
      <c r="DO173" s="156">
        <f>INPUT!GB205</f>
        <v>3.7153073386684832</v>
      </c>
      <c r="DP173" s="687">
        <f>INPUT!GC205</f>
        <v>0</v>
      </c>
      <c r="DQ173" s="156">
        <f>INPUT!GD205</f>
        <v>4.0103782952689073</v>
      </c>
      <c r="DR173" s="687">
        <f>INPUT!GE205</f>
        <v>0</v>
      </c>
      <c r="DS173" s="156">
        <f>INPUT!GF205</f>
        <v>2.7657868771583622</v>
      </c>
      <c r="DT173" s="687">
        <f>INPUT!GG205</f>
        <v>-31.034264761975315</v>
      </c>
      <c r="DU173" s="156">
        <f>INPUT!GH205</f>
        <v>3.143441772189437</v>
      </c>
      <c r="DV173" s="687">
        <f>INPUT!GI205</f>
        <v>13.654519014100131</v>
      </c>
      <c r="DW173" s="156">
        <f>INPUT!GJ205</f>
        <v>2.9469548133595285</v>
      </c>
      <c r="DX173" s="687">
        <f>INPUT!GK205</f>
        <v>-6.250695036512588</v>
      </c>
      <c r="DY173" s="156">
        <f>INPUT!GL205</f>
        <v>3.1565621043747361</v>
      </c>
      <c r="DZ173" s="687">
        <f>INPUT!GM205</f>
        <v>7.1126740751160433</v>
      </c>
      <c r="EA173" s="156">
        <f>INPUT!GN205</f>
        <v>3.6116012351124835</v>
      </c>
      <c r="EB173" s="687">
        <f>INPUT!GO205</f>
        <v>14.415655884200751</v>
      </c>
      <c r="EC173" s="156">
        <f>INPUT!GP205</f>
        <v>3.1001332454431556</v>
      </c>
      <c r="ED173" s="687">
        <f>INPUT!GQ205</f>
        <v>-14.161806810141876</v>
      </c>
      <c r="EE173" s="156">
        <f>INPUT!GR205</f>
        <v>3.1001332454431556</v>
      </c>
      <c r="EF173" s="687">
        <f>INPUT!GS205</f>
        <v>0</v>
      </c>
      <c r="EG173" s="156">
        <f>INPUT!GT205</f>
        <v>3.1001332454431556</v>
      </c>
      <c r="EH173" s="687">
        <f>INPUT!GU205</f>
        <v>0</v>
      </c>
      <c r="EI173" s="156">
        <f>INPUT!GV205</f>
        <v>3.1001332454431556</v>
      </c>
      <c r="EJ173" s="687">
        <f>INPUT!GW205</f>
        <v>0</v>
      </c>
      <c r="EK173" s="156">
        <f>INPUT!GX205</f>
        <v>3.1001332454431556</v>
      </c>
      <c r="EL173" s="687">
        <f>INPUT!GY205</f>
        <v>0</v>
      </c>
      <c r="EM173" s="687">
        <f>INPUT!GZ205</f>
        <v>-3.0079555951916026</v>
      </c>
    </row>
    <row r="174" spans="1:143" ht="12.75" hidden="1" customHeight="1" outlineLevel="1" x14ac:dyDescent="0.2">
      <c r="A174" s="701"/>
      <c r="B174" s="16"/>
      <c r="C174" s="687"/>
      <c r="D174" s="16"/>
      <c r="E174" s="687"/>
      <c r="F174" s="16"/>
      <c r="G174" s="687"/>
      <c r="H174" s="16"/>
      <c r="I174" s="687"/>
      <c r="J174" s="16"/>
      <c r="K174" s="687"/>
      <c r="L174" s="16"/>
      <c r="M174" s="687"/>
      <c r="N174" s="16"/>
      <c r="O174" s="687"/>
      <c r="P174" s="16"/>
      <c r="Q174" s="687"/>
      <c r="R174" s="16"/>
      <c r="S174" s="687"/>
      <c r="T174" s="16"/>
      <c r="U174" s="687"/>
      <c r="V174" s="16"/>
      <c r="W174" s="687"/>
      <c r="X174" s="16"/>
      <c r="Y174" s="687"/>
      <c r="Z174" s="16"/>
      <c r="AA174" s="687"/>
      <c r="AB174" s="16"/>
      <c r="AC174" s="687"/>
      <c r="AD174" s="16"/>
      <c r="AE174" s="687"/>
      <c r="AF174" s="16"/>
      <c r="AG174" s="687"/>
      <c r="AH174" s="16"/>
      <c r="AI174" s="687"/>
      <c r="AJ174" s="16"/>
      <c r="AK174" s="687"/>
      <c r="AL174" s="16"/>
      <c r="AM174" s="687"/>
      <c r="AN174" s="16"/>
      <c r="AO174" s="687"/>
      <c r="AP174" s="16"/>
      <c r="AQ174" s="687"/>
      <c r="AR174" s="16"/>
      <c r="AS174" s="687"/>
      <c r="AT174" s="16"/>
      <c r="AU174" s="687"/>
      <c r="AV174" s="16"/>
      <c r="AW174" s="687"/>
      <c r="AX174" s="16"/>
      <c r="AY174" s="687"/>
      <c r="AZ174" s="16"/>
      <c r="BA174" s="687"/>
      <c r="BB174" s="16"/>
      <c r="BC174" s="687"/>
      <c r="BD174" s="16"/>
      <c r="BE174" s="687"/>
      <c r="BF174" s="16"/>
      <c r="BG174" s="687"/>
      <c r="BH174" s="16"/>
      <c r="BI174" s="687"/>
      <c r="BJ174" s="16"/>
      <c r="BK174" s="687"/>
      <c r="BL174" s="16"/>
      <c r="BM174" s="687"/>
      <c r="BN174" s="16"/>
      <c r="BO174" s="687"/>
      <c r="BP174" s="16"/>
      <c r="BQ174" s="687"/>
      <c r="BR174" s="16"/>
      <c r="BS174" s="687"/>
      <c r="BT174" s="16"/>
      <c r="BU174" s="687"/>
      <c r="BV174" s="16"/>
      <c r="BW174" s="687"/>
      <c r="BX174" s="16"/>
      <c r="BY174" s="687"/>
      <c r="BZ174" s="16"/>
      <c r="CA174" s="687"/>
      <c r="CB174" s="16"/>
      <c r="CC174" s="687"/>
      <c r="CD174" s="16"/>
      <c r="CE174" s="687"/>
      <c r="CF174" s="16"/>
      <c r="CG174" s="687"/>
      <c r="CH174" s="16"/>
      <c r="CI174" s="687"/>
      <c r="CJ174" s="16"/>
      <c r="CK174" s="687"/>
      <c r="CL174" s="16"/>
      <c r="CM174" s="687"/>
      <c r="CN174" s="16"/>
      <c r="CO174" s="687"/>
      <c r="CP174" s="16"/>
      <c r="CQ174" s="687"/>
      <c r="CR174" s="16"/>
      <c r="CS174" s="687"/>
      <c r="CT174" s="16"/>
      <c r="CU174" s="687"/>
      <c r="CV174" s="16"/>
      <c r="CW174" s="687"/>
      <c r="CX174" s="16"/>
      <c r="CY174" s="687"/>
      <c r="CZ174" s="16"/>
      <c r="DA174" s="687"/>
      <c r="DB174" s="16"/>
      <c r="DC174" s="16"/>
      <c r="DD174" s="687"/>
      <c r="DE174" s="16"/>
      <c r="DF174" s="687"/>
      <c r="DG174" s="16"/>
      <c r="DH174" s="687"/>
      <c r="DI174" s="16"/>
      <c r="DJ174" s="687"/>
      <c r="DK174" s="16"/>
      <c r="DL174" s="687"/>
      <c r="DM174" s="16"/>
      <c r="DN174" s="687"/>
      <c r="DO174" s="16"/>
      <c r="DP174" s="687"/>
      <c r="DQ174" s="16"/>
      <c r="DR174" s="687"/>
      <c r="DS174" s="16"/>
      <c r="DT174" s="687"/>
      <c r="DU174" s="16"/>
      <c r="DV174" s="687"/>
      <c r="DW174" s="16"/>
      <c r="DX174" s="687"/>
      <c r="DY174" s="16"/>
      <c r="DZ174" s="687"/>
      <c r="EA174" s="16"/>
      <c r="EB174" s="687"/>
      <c r="EC174" s="16"/>
      <c r="ED174" s="687"/>
      <c r="EE174" s="16"/>
      <c r="EF174" s="687"/>
      <c r="EG174" s="16"/>
      <c r="EH174" s="687"/>
      <c r="EI174" s="16"/>
      <c r="EJ174" s="687"/>
      <c r="EK174" s="16"/>
      <c r="EL174" s="687"/>
      <c r="EM174" s="687"/>
    </row>
    <row r="175" spans="1:143" ht="12.75" hidden="1" customHeight="1" outlineLevel="1" x14ac:dyDescent="0.2">
      <c r="A175" s="700" t="str">
        <f>INPUT!B207</f>
        <v>VUL Reserves</v>
      </c>
      <c r="B175" s="16"/>
      <c r="C175" s="687"/>
      <c r="D175" s="16"/>
      <c r="E175" s="687"/>
      <c r="F175" s="16"/>
      <c r="G175" s="687"/>
      <c r="H175" s="16"/>
      <c r="I175" s="687"/>
      <c r="J175" s="16"/>
      <c r="K175" s="687"/>
      <c r="L175" s="16"/>
      <c r="M175" s="687"/>
      <c r="N175" s="16"/>
      <c r="O175" s="687"/>
      <c r="P175" s="16"/>
      <c r="Q175" s="687"/>
      <c r="R175" s="16"/>
      <c r="S175" s="687"/>
      <c r="T175" s="16"/>
      <c r="U175" s="687"/>
      <c r="V175" s="16"/>
      <c r="W175" s="687"/>
      <c r="X175" s="16"/>
      <c r="Y175" s="687"/>
      <c r="Z175" s="16"/>
      <c r="AA175" s="687"/>
      <c r="AB175" s="16"/>
      <c r="AC175" s="687"/>
      <c r="AD175" s="16"/>
      <c r="AE175" s="687"/>
      <c r="AF175" s="16"/>
      <c r="AG175" s="687"/>
      <c r="AH175" s="16"/>
      <c r="AI175" s="687"/>
      <c r="AJ175" s="16"/>
      <c r="AK175" s="687"/>
      <c r="AL175" s="16"/>
      <c r="AM175" s="687"/>
      <c r="AN175" s="16"/>
      <c r="AO175" s="687"/>
      <c r="AP175" s="16"/>
      <c r="AQ175" s="687"/>
      <c r="AR175" s="16"/>
      <c r="AS175" s="687"/>
      <c r="AT175" s="16"/>
      <c r="AU175" s="687"/>
      <c r="AV175" s="16"/>
      <c r="AW175" s="687"/>
      <c r="AX175" s="16"/>
      <c r="AY175" s="687"/>
      <c r="AZ175" s="16"/>
      <c r="BA175" s="687"/>
      <c r="BB175" s="16"/>
      <c r="BC175" s="687"/>
      <c r="BD175" s="16"/>
      <c r="BE175" s="687"/>
      <c r="BF175" s="16"/>
      <c r="BG175" s="687"/>
      <c r="BH175" s="16"/>
      <c r="BI175" s="687"/>
      <c r="BJ175" s="16"/>
      <c r="BK175" s="687"/>
      <c r="BL175" s="16"/>
      <c r="BM175" s="687"/>
      <c r="BN175" s="16"/>
      <c r="BO175" s="687"/>
      <c r="BP175" s="16"/>
      <c r="BQ175" s="687"/>
      <c r="BR175" s="16"/>
      <c r="BS175" s="687"/>
      <c r="BT175" s="16"/>
      <c r="BU175" s="687"/>
      <c r="BV175" s="16"/>
      <c r="BW175" s="687"/>
      <c r="BX175" s="16"/>
      <c r="BY175" s="687"/>
      <c r="BZ175" s="16"/>
      <c r="CA175" s="687"/>
      <c r="CB175" s="16"/>
      <c r="CC175" s="687"/>
      <c r="CD175" s="16"/>
      <c r="CE175" s="687"/>
      <c r="CF175" s="16"/>
      <c r="CG175" s="687"/>
      <c r="CH175" s="16"/>
      <c r="CI175" s="687"/>
      <c r="CJ175" s="16"/>
      <c r="CK175" s="687"/>
      <c r="CL175" s="16"/>
      <c r="CM175" s="687"/>
      <c r="CN175" s="16"/>
      <c r="CO175" s="687"/>
      <c r="CP175" s="16"/>
      <c r="CQ175" s="687"/>
      <c r="CR175" s="16"/>
      <c r="CS175" s="687"/>
      <c r="CT175" s="16"/>
      <c r="CU175" s="687"/>
      <c r="CV175" s="16"/>
      <c r="CW175" s="687"/>
      <c r="CX175" s="16"/>
      <c r="CY175" s="687"/>
      <c r="CZ175" s="16"/>
      <c r="DA175" s="687"/>
      <c r="DB175" s="16"/>
      <c r="DC175" s="16"/>
      <c r="DD175" s="687"/>
      <c r="DE175" s="16"/>
      <c r="DF175" s="687"/>
      <c r="DG175" s="16"/>
      <c r="DH175" s="687"/>
      <c r="DI175" s="16"/>
      <c r="DJ175" s="687"/>
      <c r="DK175" s="16"/>
      <c r="DL175" s="687"/>
      <c r="DM175" s="16"/>
      <c r="DN175" s="687"/>
      <c r="DO175" s="16"/>
      <c r="DP175" s="687"/>
      <c r="DQ175" s="16"/>
      <c r="DR175" s="687"/>
      <c r="DS175" s="16"/>
      <c r="DT175" s="687"/>
      <c r="DU175" s="16"/>
      <c r="DV175" s="687"/>
      <c r="DW175" s="16"/>
      <c r="DX175" s="687"/>
      <c r="DY175" s="16"/>
      <c r="DZ175" s="687"/>
      <c r="EA175" s="16"/>
      <c r="EB175" s="687"/>
      <c r="EC175" s="16"/>
      <c r="ED175" s="687"/>
      <c r="EE175" s="16"/>
      <c r="EF175" s="687"/>
      <c r="EG175" s="16"/>
      <c r="EH175" s="687"/>
      <c r="EI175" s="16"/>
      <c r="EJ175" s="687"/>
      <c r="EK175" s="16"/>
      <c r="EL175" s="687"/>
      <c r="EM175" s="687"/>
    </row>
    <row r="176" spans="1:143" ht="12.75" hidden="1" customHeight="1" outlineLevel="1" x14ac:dyDescent="0.2">
      <c r="A176" s="701" t="str">
        <f>INPUT!B208</f>
        <v>Beginning VUL Reserves</v>
      </c>
      <c r="B176" s="151">
        <f>INPUT!AY208</f>
        <v>2241.5</v>
      </c>
      <c r="C176" s="687">
        <f>INPUT!AZ208</f>
        <v>10.527613412228787</v>
      </c>
      <c r="D176" s="151">
        <f>INPUT!BA208</f>
        <v>2354.5</v>
      </c>
      <c r="E176" s="687">
        <f>INPUT!BB208</f>
        <v>17.578027465667923</v>
      </c>
      <c r="F176" s="151">
        <f>INPUT!BC208</f>
        <v>4193.5</v>
      </c>
      <c r="G176" s="687" t="str">
        <f>INPUT!BD208</f>
        <v>NM</v>
      </c>
      <c r="H176" s="151">
        <f>INPUT!BE208</f>
        <v>4304.5</v>
      </c>
      <c r="I176" s="687">
        <f>INPUT!BF208</f>
        <v>99.883909914093323</v>
      </c>
      <c r="J176" s="151">
        <f>INPUT!BG208</f>
        <v>5606</v>
      </c>
      <c r="K176" s="687" t="str">
        <f>INPUT!BH208</f>
        <v>NM</v>
      </c>
      <c r="L176" s="151">
        <f>INPUT!BI208</f>
        <v>5702</v>
      </c>
      <c r="M176" s="687" t="str">
        <f>INPUT!BJ208</f>
        <v>NM</v>
      </c>
      <c r="N176" s="151">
        <f>INPUT!BK208</f>
        <v>5954</v>
      </c>
      <c r="O176" s="687">
        <f>INPUT!BL208</f>
        <v>41.981638249672116</v>
      </c>
      <c r="P176" s="151">
        <f>INPUT!BM208</f>
        <v>6104</v>
      </c>
      <c r="Q176" s="687">
        <f>INPUT!BN208</f>
        <v>41.805087698919728</v>
      </c>
      <c r="R176" s="151">
        <f>INPUT!BO208</f>
        <v>6040</v>
      </c>
      <c r="S176" s="687">
        <f>INPUT!BP208</f>
        <v>7.7417053157331495</v>
      </c>
      <c r="T176" s="151">
        <f>INPUT!BQ208</f>
        <v>5615</v>
      </c>
      <c r="U176" s="687">
        <f>INPUT!BR208</f>
        <v>-1.5257804279200315</v>
      </c>
      <c r="V176" s="151">
        <f>INPUT!BS208</f>
        <v>5623</v>
      </c>
      <c r="W176" s="687">
        <f>INPUT!BT208</f>
        <v>-5.5592878736983486</v>
      </c>
      <c r="X176" s="151">
        <f>INPUT!BU208</f>
        <v>5056</v>
      </c>
      <c r="Y176" s="687">
        <f>INPUT!BV208</f>
        <v>-17.169069462647446</v>
      </c>
      <c r="Z176" s="151">
        <f>INPUT!BW208</f>
        <v>4251</v>
      </c>
      <c r="AA176" s="687">
        <f>INPUT!BX208</f>
        <v>-29.619205298013242</v>
      </c>
      <c r="AB176" s="151">
        <f>INPUT!BY208</f>
        <v>3992</v>
      </c>
      <c r="AC176" s="687">
        <f>INPUT!BZ208</f>
        <v>-28.904719501335705</v>
      </c>
      <c r="AD176" s="151">
        <f>INPUT!CA208</f>
        <v>4562</v>
      </c>
      <c r="AE176" s="687">
        <f>INPUT!CB208</f>
        <v>-18.868931175529081</v>
      </c>
      <c r="AF176" s="151">
        <f>INPUT!CC208</f>
        <v>5176</v>
      </c>
      <c r="AG176" s="687">
        <f>INPUT!CD208</f>
        <v>2.3734177215189778</v>
      </c>
      <c r="AH176" s="151">
        <f>INPUT!CE208</f>
        <v>5287</v>
      </c>
      <c r="AI176" s="687">
        <f>INPUT!CF208</f>
        <v>24.370736297341811</v>
      </c>
      <c r="AJ176" s="151">
        <f>INPUT!CG208</f>
        <v>5467</v>
      </c>
      <c r="AK176" s="687">
        <f>INPUT!CH208</f>
        <v>36.948897795591186</v>
      </c>
      <c r="AL176" s="151">
        <f>INPUT!CI208</f>
        <v>5027</v>
      </c>
      <c r="AM176" s="687">
        <f>INPUT!CJ208</f>
        <v>10.192897851819382</v>
      </c>
      <c r="AN176" s="151">
        <f>INPUT!CK208</f>
        <v>5562</v>
      </c>
      <c r="AO176" s="687">
        <f>INPUT!CL208</f>
        <v>7.4574961360123648</v>
      </c>
      <c r="AP176" s="151">
        <f>INPUT!CM208</f>
        <v>5962</v>
      </c>
      <c r="AQ176" s="687">
        <f>INPUT!CN208</f>
        <v>12.767164743710978</v>
      </c>
      <c r="AR176" s="151">
        <f>INPUT!CO208</f>
        <v>6171</v>
      </c>
      <c r="AS176" s="687">
        <f>INPUT!CP208</f>
        <v>12.877263581488929</v>
      </c>
      <c r="AT176" s="151">
        <f>INPUT!CQ208</f>
        <v>6157</v>
      </c>
      <c r="AU176" s="687">
        <f>INPUT!CR208</f>
        <v>22.478615476427287</v>
      </c>
      <c r="AV176" s="151">
        <f>INPUT!CS208</f>
        <v>5375</v>
      </c>
      <c r="AW176" s="687">
        <f>INPUT!CT208</f>
        <v>-3.3620999640417093</v>
      </c>
      <c r="AX176" s="151">
        <f>INPUT!CU208</f>
        <v>5687</v>
      </c>
      <c r="AY176" s="687">
        <f>INPUT!CV208</f>
        <v>-4.6125461254612592</v>
      </c>
      <c r="AZ176" s="151">
        <f>INPUT!CW208</f>
        <v>6202</v>
      </c>
      <c r="BA176" s="687">
        <f>INPUT!CX208</f>
        <v>0.50234970021065806</v>
      </c>
      <c r="BB176" s="151">
        <f>INPUT!CY208</f>
        <v>6005</v>
      </c>
      <c r="BC176" s="687">
        <f>INPUT!CZ208</f>
        <v>-2.4687347734286158</v>
      </c>
      <c r="BD176" s="151">
        <f>INPUT!DA208</f>
        <v>6262</v>
      </c>
      <c r="BE176" s="687">
        <f>INPUT!DB208</f>
        <v>16.50232558139535</v>
      </c>
      <c r="BF176" s="151">
        <f>INPUT!DC208</f>
        <v>6523</v>
      </c>
      <c r="BG176" s="687">
        <f>INPUT!DD208</f>
        <v>14.700193423597675</v>
      </c>
      <c r="BH176" s="151">
        <f>INPUT!DE208</f>
        <v>6859</v>
      </c>
      <c r="BI176" s="687">
        <f>INPUT!DF208</f>
        <v>10.593356981618829</v>
      </c>
      <c r="BJ176" s="151">
        <f>INPUT!DG208</f>
        <v>6972</v>
      </c>
      <c r="BK176" s="687">
        <f>INPUT!DH208</f>
        <v>16.10324729392174</v>
      </c>
      <c r="BL176" s="151">
        <f>INPUT!DI208</f>
        <v>7453</v>
      </c>
      <c r="BM176" s="687">
        <f>INPUT!DJ208</f>
        <v>19.019482593420634</v>
      </c>
      <c r="BN176" s="151">
        <f>INPUT!DK208</f>
        <v>8094</v>
      </c>
      <c r="BO176" s="687">
        <f>INPUT!DL208</f>
        <v>24.084010424651225</v>
      </c>
      <c r="BP176" s="151">
        <f>INPUT!DM208</f>
        <v>8354</v>
      </c>
      <c r="BQ176" s="687">
        <f>INPUT!DN208</f>
        <v>21.796180201195515</v>
      </c>
      <c r="BR176" s="151">
        <f>INPUT!DO208</f>
        <v>8842</v>
      </c>
      <c r="BS176" s="687">
        <f>INPUT!DP208</f>
        <v>26.821572002294893</v>
      </c>
      <c r="BT176" s="151">
        <f>INPUT!DQ208</f>
        <v>8854</v>
      </c>
      <c r="BU176" s="687">
        <f>INPUT!DR208</f>
        <v>18.797799543807869</v>
      </c>
      <c r="BV176" s="151">
        <f>INPUT!DS208</f>
        <v>9263</v>
      </c>
      <c r="BW176" s="687">
        <f>INPUT!DT208</f>
        <v>14.442797133679264</v>
      </c>
      <c r="BX176" s="151">
        <f>INPUT!DU208</f>
        <v>9635</v>
      </c>
      <c r="BY176" s="687">
        <f>INPUT!DV208</f>
        <v>15.33397175005986</v>
      </c>
      <c r="BZ176" s="151">
        <f>INPUT!DW208</f>
        <v>9766</v>
      </c>
      <c r="CA176" s="687">
        <f>INPUT!DX208</f>
        <v>10.450124406242933</v>
      </c>
      <c r="CB176" s="151">
        <f>INPUT!DY208</f>
        <v>9213</v>
      </c>
      <c r="CC176" s="687">
        <f>INPUT!DZ208</f>
        <v>4.0546645583916963</v>
      </c>
      <c r="CD176" s="151">
        <f>INPUT!EA208</f>
        <v>9696</v>
      </c>
      <c r="CE176" s="687">
        <f>INPUT!EB208</f>
        <v>4.6745114973550717</v>
      </c>
      <c r="CF176" s="151">
        <f>INPUT!EC208</f>
        <v>9830</v>
      </c>
      <c r="CG176" s="687">
        <f>INPUT!ED208</f>
        <v>2.0238713025428234</v>
      </c>
      <c r="CH176" s="151">
        <f>INPUT!EE208</f>
        <v>10172</v>
      </c>
      <c r="CI176" s="687">
        <f>INPUT!EF208</f>
        <v>4.1572803604341679</v>
      </c>
      <c r="CJ176" s="151">
        <f>INPUT!EG208</f>
        <v>10763</v>
      </c>
      <c r="CK176" s="687">
        <f>INPUT!EH208</f>
        <v>16.824052968631275</v>
      </c>
      <c r="CL176" s="151">
        <f>INPUT!EI208</f>
        <v>11058</v>
      </c>
      <c r="CM176" s="687">
        <f>INPUT!EJ208</f>
        <v>14.047029702970292</v>
      </c>
      <c r="CN176" s="151">
        <f>INPUT!EK208</f>
        <v>11772</v>
      </c>
      <c r="CO176" s="687">
        <f>INPUT!EL208</f>
        <v>19.755849440488294</v>
      </c>
      <c r="CP176" s="151">
        <f>INPUT!EM208</f>
        <v>12296</v>
      </c>
      <c r="CQ176" s="687">
        <f>INPUT!EN208</f>
        <v>20.880849390483689</v>
      </c>
      <c r="CR176" s="151">
        <f>INPUT!EO208</f>
        <v>12916</v>
      </c>
      <c r="CS176" s="687">
        <f>INPUT!EP208</f>
        <v>20.003716435937946</v>
      </c>
      <c r="CT176" s="151">
        <f>INPUT!EQ208</f>
        <v>13851</v>
      </c>
      <c r="CU176" s="687">
        <f>INPUT!ER208</f>
        <v>25.257731958762886</v>
      </c>
      <c r="CV176" s="151">
        <f>INPUT!ES208</f>
        <v>13798.658379580263</v>
      </c>
      <c r="CW176" s="687">
        <f>INPUT!ET208</f>
        <v>17.21592235457241</v>
      </c>
      <c r="CX176" s="151">
        <f>INPUT!EU208</f>
        <v>14067.769959793946</v>
      </c>
      <c r="CY176" s="687">
        <f>INPUT!EV208</f>
        <v>14.409319777114082</v>
      </c>
      <c r="CZ176" s="151">
        <f>INPUT!EW208</f>
        <v>14300.887733031312</v>
      </c>
      <c r="DA176" s="687">
        <f>INPUT!EX208</f>
        <v>10.722264888752807</v>
      </c>
      <c r="DB176" s="16"/>
      <c r="DC176" s="151">
        <f>INPUT!FP208</f>
        <v>2028</v>
      </c>
      <c r="DD176" s="687" t="str">
        <f>INPUT!FQ208</f>
        <v>NA</v>
      </c>
      <c r="DE176" s="151">
        <f>INPUT!FR208</f>
        <v>2241</v>
      </c>
      <c r="DF176" s="687">
        <f>INPUT!FS208</f>
        <v>10.50295857988166</v>
      </c>
      <c r="DG176" s="151">
        <f>INPUT!FT208</f>
        <v>5606</v>
      </c>
      <c r="DH176" s="687" t="str">
        <f>INPUT!FU208</f>
        <v>NM</v>
      </c>
      <c r="DI176" s="151">
        <f>INPUT!FV208</f>
        <v>6040</v>
      </c>
      <c r="DJ176" s="687">
        <f>INPUT!FW208</f>
        <v>7.7417053157331495</v>
      </c>
      <c r="DK176" s="151">
        <f>INPUT!FX208</f>
        <v>4251</v>
      </c>
      <c r="DL176" s="687">
        <f>INPUT!FY208</f>
        <v>-29.619205298013242</v>
      </c>
      <c r="DM176" s="151">
        <f>INPUT!FZ208</f>
        <v>5287</v>
      </c>
      <c r="DN176" s="687">
        <f>INPUT!GA208</f>
        <v>24.370736297341811</v>
      </c>
      <c r="DO176" s="151">
        <f>INPUT!GB208</f>
        <v>5962</v>
      </c>
      <c r="DP176" s="687">
        <f>INPUT!GC208</f>
        <v>12.767164743710978</v>
      </c>
      <c r="DQ176" s="151">
        <f>INPUT!GD208</f>
        <v>5687</v>
      </c>
      <c r="DR176" s="687">
        <f>INPUT!GE208</f>
        <v>-4.6125461254612592</v>
      </c>
      <c r="DS176" s="151">
        <f>INPUT!GF208</f>
        <v>6523</v>
      </c>
      <c r="DT176" s="687">
        <f>INPUT!GG208</f>
        <v>14.700193423597675</v>
      </c>
      <c r="DU176" s="151">
        <f>INPUT!GH208</f>
        <v>8094</v>
      </c>
      <c r="DV176" s="687">
        <f>INPUT!GI208</f>
        <v>24.084010424651225</v>
      </c>
      <c r="DW176" s="151">
        <f>INPUT!GJ208</f>
        <v>9263</v>
      </c>
      <c r="DX176" s="687">
        <f>INPUT!GK208</f>
        <v>14.442797133679264</v>
      </c>
      <c r="DY176" s="151">
        <f>INPUT!GL208</f>
        <v>9696</v>
      </c>
      <c r="DZ176" s="687">
        <f>INPUT!GM208</f>
        <v>4.6745114973550717</v>
      </c>
      <c r="EA176" s="151">
        <f>INPUT!GN208</f>
        <v>11058</v>
      </c>
      <c r="EB176" s="687">
        <f>INPUT!GO208</f>
        <v>14.047029702970292</v>
      </c>
      <c r="EC176" s="151">
        <f>INPUT!GP208</f>
        <v>13851</v>
      </c>
      <c r="ED176" s="687">
        <f>INPUT!GQ208</f>
        <v>25.257731958762886</v>
      </c>
      <c r="EE176" s="151">
        <f>INPUT!GR208</f>
        <v>14892.182971091101</v>
      </c>
      <c r="EF176" s="687">
        <f>INPUT!GS208</f>
        <v>7.5170238328720052</v>
      </c>
      <c r="EG176" s="151">
        <f>INPUT!GT208</f>
        <v>15564.467826210117</v>
      </c>
      <c r="EH176" s="687">
        <f>INPUT!GU208</f>
        <v>4.5143472681208996</v>
      </c>
      <c r="EI176" s="151">
        <f>INPUT!GV208</f>
        <v>16316.22248588915</v>
      </c>
      <c r="EJ176" s="687">
        <f>INPUT!GW208</f>
        <v>4.8299413001008595</v>
      </c>
      <c r="EK176" s="151">
        <f>INPUT!GX208</f>
        <v>17150.651870335565</v>
      </c>
      <c r="EL176" s="687">
        <f>INPUT!GY208</f>
        <v>5.114108888672364</v>
      </c>
      <c r="EM176" s="687">
        <f>INPUT!GZ208</f>
        <v>9.1743988401793217</v>
      </c>
    </row>
    <row r="177" spans="1:152" ht="12.75" hidden="1" customHeight="1" outlineLevel="1" x14ac:dyDescent="0.2">
      <c r="A177" s="701" t="str">
        <f>INPUT!B209</f>
        <v>Deposits</v>
      </c>
      <c r="B177" s="151">
        <f>INPUT!AY209</f>
        <v>87</v>
      </c>
      <c r="C177" s="687">
        <f>INPUT!AZ209</f>
        <v>1.1627906976744207</v>
      </c>
      <c r="D177" s="151">
        <f>INPUT!BA209</f>
        <v>224</v>
      </c>
      <c r="E177" s="687" t="str">
        <f>INPUT!BB209</f>
        <v>NM</v>
      </c>
      <c r="F177" s="151">
        <f>INPUT!BC209</f>
        <v>36</v>
      </c>
      <c r="G177" s="687" t="str">
        <f>INPUT!BD209</f>
        <v>NM</v>
      </c>
      <c r="H177" s="151">
        <f>INPUT!BE209</f>
        <v>153</v>
      </c>
      <c r="I177" s="687">
        <f>INPUT!BF209</f>
        <v>57.731958762886592</v>
      </c>
      <c r="J177" s="151">
        <f>INPUT!BG209</f>
        <v>157</v>
      </c>
      <c r="K177" s="687">
        <f>INPUT!BH209</f>
        <v>80.459770114942515</v>
      </c>
      <c r="L177" s="151">
        <f>INPUT!BI209</f>
        <v>142</v>
      </c>
      <c r="M177" s="687">
        <f>INPUT!BJ209</f>
        <v>-36.607142857142861</v>
      </c>
      <c r="N177" s="151">
        <f>INPUT!BK209</f>
        <v>180</v>
      </c>
      <c r="O177" s="687" t="str">
        <f>INPUT!BL209</f>
        <v>NM</v>
      </c>
      <c r="P177" s="151">
        <f>INPUT!BM209</f>
        <v>217</v>
      </c>
      <c r="Q177" s="687">
        <f>INPUT!BN209</f>
        <v>41.830065359477132</v>
      </c>
      <c r="R177" s="151">
        <f>INPUT!BO209</f>
        <v>239</v>
      </c>
      <c r="S177" s="687">
        <f>INPUT!BP209</f>
        <v>52.229299363057336</v>
      </c>
      <c r="T177" s="151">
        <f>INPUT!BQ209</f>
        <v>216</v>
      </c>
      <c r="U177" s="687">
        <f>INPUT!BR209</f>
        <v>52.112676056338024</v>
      </c>
      <c r="V177" s="151">
        <f>INPUT!BS209</f>
        <v>207</v>
      </c>
      <c r="W177" s="687">
        <f>INPUT!BT209</f>
        <v>14.999999999999991</v>
      </c>
      <c r="X177" s="151">
        <f>INPUT!BU209</f>
        <v>266</v>
      </c>
      <c r="Y177" s="687">
        <f>INPUT!BV209</f>
        <v>22.580645161290324</v>
      </c>
      <c r="Z177" s="151">
        <f>INPUT!BW209</f>
        <v>243</v>
      </c>
      <c r="AA177" s="687">
        <f>INPUT!BX209</f>
        <v>1.6736401673640211</v>
      </c>
      <c r="AB177" s="151">
        <f>INPUT!BY209</f>
        <v>180</v>
      </c>
      <c r="AC177" s="687">
        <f>INPUT!BZ209</f>
        <v>-16.666666666666664</v>
      </c>
      <c r="AD177" s="151">
        <f>INPUT!CA209</f>
        <v>174</v>
      </c>
      <c r="AE177" s="687">
        <f>INPUT!CB209</f>
        <v>-15.94202898550725</v>
      </c>
      <c r="AF177" s="151">
        <f>INPUT!CC209</f>
        <v>233</v>
      </c>
      <c r="AG177" s="687">
        <f>INPUT!CD209</f>
        <v>-12.406015037593987</v>
      </c>
      <c r="AH177" s="151">
        <f>INPUT!CE209</f>
        <v>167</v>
      </c>
      <c r="AI177" s="687">
        <f>INPUT!CF209</f>
        <v>-31.275720164609055</v>
      </c>
      <c r="AJ177" s="151">
        <f>INPUT!CG209</f>
        <v>152</v>
      </c>
      <c r="AK177" s="687">
        <f>INPUT!CH209</f>
        <v>-15.555555555555555</v>
      </c>
      <c r="AL177" s="151">
        <f>INPUT!CI209</f>
        <v>247</v>
      </c>
      <c r="AM177" s="687">
        <f>INPUT!CJ209</f>
        <v>41.954022988505749</v>
      </c>
      <c r="AN177" s="151">
        <f>INPUT!CK209</f>
        <v>240</v>
      </c>
      <c r="AO177" s="687">
        <f>INPUT!CL209</f>
        <v>3.0042918454935563</v>
      </c>
      <c r="AP177" s="151">
        <f>INPUT!CM209</f>
        <v>185</v>
      </c>
      <c r="AQ177" s="687">
        <f>INPUT!CN209</f>
        <v>10.77844311377245</v>
      </c>
      <c r="AR177" s="151">
        <f>INPUT!CO209</f>
        <v>148</v>
      </c>
      <c r="AS177" s="687">
        <f>INPUT!CP209</f>
        <v>-2.6315789473684181</v>
      </c>
      <c r="AT177" s="151">
        <f>INPUT!CQ209</f>
        <v>178</v>
      </c>
      <c r="AU177" s="687">
        <f>INPUT!CR209</f>
        <v>-27.935222672064775</v>
      </c>
      <c r="AV177" s="151">
        <f>INPUT!CS209</f>
        <v>209</v>
      </c>
      <c r="AW177" s="687">
        <f>INPUT!CT209</f>
        <v>-12.916666666666664</v>
      </c>
      <c r="AX177" s="151">
        <f>INPUT!CU209</f>
        <v>168</v>
      </c>
      <c r="AY177" s="687">
        <f>INPUT!CV209</f>
        <v>-9.1891891891891841</v>
      </c>
      <c r="AZ177" s="151">
        <f>INPUT!CW209</f>
        <v>147</v>
      </c>
      <c r="BA177" s="687">
        <f>INPUT!CX209</f>
        <v>-0.67567567567567988</v>
      </c>
      <c r="BB177" s="151">
        <f>INPUT!CY209</f>
        <v>135</v>
      </c>
      <c r="BC177" s="687">
        <f>INPUT!CZ209</f>
        <v>-24.157303370786522</v>
      </c>
      <c r="BD177" s="151">
        <f>INPUT!DA209</f>
        <v>414</v>
      </c>
      <c r="BE177" s="687">
        <f>INPUT!DB209</f>
        <v>98.086124401913864</v>
      </c>
      <c r="BF177" s="151">
        <f>INPUT!DC209</f>
        <v>242</v>
      </c>
      <c r="BG177" s="687">
        <f>INPUT!DD209</f>
        <v>44.047619047619044</v>
      </c>
      <c r="BH177" s="151">
        <f>INPUT!DE209</f>
        <v>287</v>
      </c>
      <c r="BI177" s="687">
        <f>INPUT!DF209</f>
        <v>95.238095238095227</v>
      </c>
      <c r="BJ177" s="151">
        <f>INPUT!DG209</f>
        <v>292</v>
      </c>
      <c r="BK177" s="687" t="str">
        <f>INPUT!DH209</f>
        <v>NM</v>
      </c>
      <c r="BL177" s="151">
        <f>INPUT!DI209</f>
        <v>428</v>
      </c>
      <c r="BM177" s="687">
        <f>INPUT!DJ209</f>
        <v>3.3816425120772875</v>
      </c>
      <c r="BN177" s="151">
        <f>INPUT!DK209</f>
        <v>397</v>
      </c>
      <c r="BO177" s="687">
        <f>INPUT!DL209</f>
        <v>64.049586776859499</v>
      </c>
      <c r="BP177" s="151">
        <f>INPUT!DM209</f>
        <v>418</v>
      </c>
      <c r="BQ177" s="687">
        <f>INPUT!DN209</f>
        <v>45.644599303135891</v>
      </c>
      <c r="BR177" s="151">
        <f>INPUT!DO209</f>
        <v>351</v>
      </c>
      <c r="BS177" s="687">
        <f>INPUT!DP209</f>
        <v>20.205479452054796</v>
      </c>
      <c r="BT177" s="151">
        <f>INPUT!DQ209</f>
        <v>445</v>
      </c>
      <c r="BU177" s="687">
        <f>INPUT!DR209</f>
        <v>3.971962616822422</v>
      </c>
      <c r="BV177" s="151">
        <f>INPUT!DS209</f>
        <v>390</v>
      </c>
      <c r="BW177" s="687">
        <f>INPUT!DT209</f>
        <v>-1.7632241813602012</v>
      </c>
      <c r="BX177" s="151">
        <f>INPUT!DU209</f>
        <v>380</v>
      </c>
      <c r="BY177" s="687">
        <f>INPUT!DV209</f>
        <v>-9.0909090909090935</v>
      </c>
      <c r="BZ177" s="151">
        <f>INPUT!DW209</f>
        <v>388</v>
      </c>
      <c r="CA177" s="687">
        <f>INPUT!DX209</f>
        <v>388</v>
      </c>
      <c r="CB177" s="151">
        <f>INPUT!DY209</f>
        <v>460</v>
      </c>
      <c r="CC177" s="687">
        <f>INPUT!DZ209</f>
        <v>3.3707865168539408</v>
      </c>
      <c r="CD177" s="151">
        <f>INPUT!EA209</f>
        <v>293</v>
      </c>
      <c r="CE177" s="687">
        <f>INPUT!EB209</f>
        <v>-24.871794871794872</v>
      </c>
      <c r="CF177" s="151">
        <f>INPUT!EC209</f>
        <v>399</v>
      </c>
      <c r="CG177" s="687">
        <f>INPUT!ED209</f>
        <v>5.0000000000000044</v>
      </c>
      <c r="CH177" s="151">
        <f>INPUT!EE209</f>
        <v>440</v>
      </c>
      <c r="CI177" s="687">
        <f>INPUT!EF209</f>
        <v>13.4020618556701</v>
      </c>
      <c r="CJ177" s="151">
        <f>INPUT!EG209</f>
        <v>489</v>
      </c>
      <c r="CK177" s="687">
        <f>INPUT!EH209</f>
        <v>6.3043478260869534</v>
      </c>
      <c r="CL177" s="151">
        <f>INPUT!EI209</f>
        <v>372</v>
      </c>
      <c r="CM177" s="687">
        <f>INPUT!EJ209</f>
        <v>26.962457337883961</v>
      </c>
      <c r="CN177" s="151">
        <f>INPUT!EK209</f>
        <v>428</v>
      </c>
      <c r="CO177" s="687">
        <f>INPUT!EL209</f>
        <v>7.268170426065157</v>
      </c>
      <c r="CP177" s="151">
        <f>INPUT!EM209</f>
        <v>392</v>
      </c>
      <c r="CQ177" s="687">
        <f>INPUT!EN209</f>
        <v>-10.909090909090914</v>
      </c>
      <c r="CR177" s="151">
        <f>INPUT!EO209</f>
        <v>744</v>
      </c>
      <c r="CS177" s="687">
        <f>INPUT!EP209</f>
        <v>52.147239263803691</v>
      </c>
      <c r="CT177" s="151">
        <f>INPUT!EQ209</f>
        <v>390.6</v>
      </c>
      <c r="CU177" s="687">
        <f>INPUT!ER209</f>
        <v>5.0000000000000044</v>
      </c>
      <c r="CV177" s="151">
        <f>INPUT!ES209</f>
        <v>449.40000000000003</v>
      </c>
      <c r="CW177" s="687">
        <f>INPUT!ET209</f>
        <v>5.0000000000000044</v>
      </c>
      <c r="CX177" s="151">
        <f>INPUT!EU209</f>
        <v>411.6</v>
      </c>
      <c r="CY177" s="687">
        <f>INPUT!EV209</f>
        <v>5.0000000000000044</v>
      </c>
      <c r="CZ177" s="151">
        <f>INPUT!EW209</f>
        <v>781.2</v>
      </c>
      <c r="DA177" s="687">
        <f>INPUT!EX209</f>
        <v>5.0000000000000044</v>
      </c>
      <c r="DB177" s="16"/>
      <c r="DC177" s="151">
        <f>INPUT!FP209</f>
        <v>346</v>
      </c>
      <c r="DD177" s="687" t="str">
        <f>INPUT!FQ209</f>
        <v>NA</v>
      </c>
      <c r="DE177" s="151">
        <f>INPUT!FR209</f>
        <v>500</v>
      </c>
      <c r="DF177" s="687">
        <f>INPUT!FS209</f>
        <v>44.50867052023122</v>
      </c>
      <c r="DG177" s="151">
        <f>INPUT!FT209</f>
        <v>696</v>
      </c>
      <c r="DH177" s="687">
        <f>INPUT!FU209</f>
        <v>39.199999999999989</v>
      </c>
      <c r="DI177" s="151">
        <f>INPUT!FV209</f>
        <v>928</v>
      </c>
      <c r="DJ177" s="687">
        <f>INPUT!FW209</f>
        <v>33.333333333333329</v>
      </c>
      <c r="DK177" s="151">
        <f>INPUT!FX209</f>
        <v>830</v>
      </c>
      <c r="DL177" s="687">
        <f>INPUT!FY209</f>
        <v>-10.56034482758621</v>
      </c>
      <c r="DM177" s="151">
        <f>INPUT!FZ209</f>
        <v>806</v>
      </c>
      <c r="DN177" s="687">
        <f>INPUT!GA209</f>
        <v>-2.8915662650602414</v>
      </c>
      <c r="DO177" s="151">
        <f>INPUT!GB209</f>
        <v>720</v>
      </c>
      <c r="DP177" s="687">
        <f>INPUT!GC209</f>
        <v>-10.669975186104219</v>
      </c>
      <c r="DQ177" s="151">
        <f>INPUT!GD209</f>
        <v>864</v>
      </c>
      <c r="DR177" s="687">
        <f>INPUT!GE209</f>
        <v>19.999999999999996</v>
      </c>
      <c r="DS177" s="151">
        <f>INPUT!GF209</f>
        <v>1249</v>
      </c>
      <c r="DT177" s="687">
        <f>INPUT!GG209</f>
        <v>44.560185185185183</v>
      </c>
      <c r="DU177" s="151">
        <f>INPUT!GH209</f>
        <v>1611</v>
      </c>
      <c r="DV177" s="687">
        <f>INPUT!GI209</f>
        <v>28.983186549239392</v>
      </c>
      <c r="DW177" s="151">
        <f>INPUT!GJ209</f>
        <v>1618</v>
      </c>
      <c r="DX177" s="687">
        <f>INPUT!GK209</f>
        <v>0.4345127250155123</v>
      </c>
      <c r="DY177" s="151">
        <f>INPUT!GL209</f>
        <v>1621</v>
      </c>
      <c r="DZ177" s="687">
        <f>INPUT!GM209</f>
        <v>0.18541409147094789</v>
      </c>
      <c r="EA177" s="151">
        <f>INPUT!GN209</f>
        <v>1936</v>
      </c>
      <c r="EB177" s="687">
        <f>INPUT!GO209</f>
        <v>19.432449105490445</v>
      </c>
      <c r="EC177" s="151">
        <f>INPUT!GP209</f>
        <v>2032.8</v>
      </c>
      <c r="ED177" s="687">
        <f>INPUT!GQ209</f>
        <v>5.0000000000000044</v>
      </c>
      <c r="EE177" s="151">
        <f>INPUT!GR209</f>
        <v>2154.768</v>
      </c>
      <c r="EF177" s="687">
        <f>INPUT!GS209</f>
        <v>6.0000000000000053</v>
      </c>
      <c r="EG177" s="151">
        <f>INPUT!GT209</f>
        <v>2284.0540800000003</v>
      </c>
      <c r="EH177" s="687">
        <f>INPUT!GU209</f>
        <v>6.0000000000000053</v>
      </c>
      <c r="EI177" s="151">
        <f>INPUT!GV209</f>
        <v>2421.0973248000005</v>
      </c>
      <c r="EJ177" s="687">
        <f>INPUT!GW209</f>
        <v>6.0000000000000053</v>
      </c>
      <c r="EK177" s="151">
        <f>INPUT!GX209</f>
        <v>2566.3631642880005</v>
      </c>
      <c r="EL177" s="687">
        <f>INPUT!GY209</f>
        <v>6.0000000000000053</v>
      </c>
      <c r="EM177" s="687">
        <f>INPUT!GZ209</f>
        <v>5.7992409826209457</v>
      </c>
    </row>
    <row r="178" spans="1:152" ht="12.75" hidden="1" customHeight="1" outlineLevel="1" x14ac:dyDescent="0.2">
      <c r="A178" s="701" t="str">
        <f>INPUT!B211</f>
        <v>Policyholder Assessments</v>
      </c>
      <c r="B178" s="151">
        <f>INPUT!AY211</f>
        <v>-44</v>
      </c>
      <c r="C178" s="687">
        <f>INPUT!AZ211</f>
        <v>4.7619047619047672</v>
      </c>
      <c r="D178" s="151">
        <f>INPUT!BA211</f>
        <v>-77</v>
      </c>
      <c r="E178" s="687">
        <f>INPUT!BB211</f>
        <v>83.333333333333329</v>
      </c>
      <c r="F178" s="151">
        <f>INPUT!BC211</f>
        <v>-76</v>
      </c>
      <c r="G178" s="687">
        <f>INPUT!BD211</f>
        <v>76.744186046511629</v>
      </c>
      <c r="H178" s="151">
        <f>INPUT!BE211</f>
        <v>-79</v>
      </c>
      <c r="I178" s="687">
        <f>INPUT!BF211</f>
        <v>79.545454545454547</v>
      </c>
      <c r="J178" s="151">
        <f>INPUT!BG211</f>
        <v>-79</v>
      </c>
      <c r="K178" s="687">
        <f>INPUT!BH211</f>
        <v>79.545454545454547</v>
      </c>
      <c r="L178" s="151">
        <f>INPUT!BI211</f>
        <v>-80</v>
      </c>
      <c r="M178" s="687">
        <f>INPUT!BJ211</f>
        <v>3.8961038961038863</v>
      </c>
      <c r="N178" s="151">
        <f>INPUT!BK211</f>
        <v>-89</v>
      </c>
      <c r="O178" s="687">
        <f>INPUT!BL211</f>
        <v>17.105263157894733</v>
      </c>
      <c r="P178" s="151">
        <f>INPUT!BM211</f>
        <v>-93</v>
      </c>
      <c r="Q178" s="687">
        <f>INPUT!BN211</f>
        <v>17.721518987341778</v>
      </c>
      <c r="R178" s="151">
        <f>INPUT!BO211</f>
        <v>-95</v>
      </c>
      <c r="S178" s="687">
        <f>INPUT!BP211</f>
        <v>20.253164556962023</v>
      </c>
      <c r="T178" s="151">
        <f>INPUT!BQ211</f>
        <v>-91</v>
      </c>
      <c r="U178" s="687">
        <f>INPUT!BR211</f>
        <v>13.749999999999996</v>
      </c>
      <c r="V178" s="151">
        <f>INPUT!BS211</f>
        <v>-92</v>
      </c>
      <c r="W178" s="687">
        <f>INPUT!BT211</f>
        <v>3.3707865168539408</v>
      </c>
      <c r="X178" s="151">
        <f>INPUT!BU211</f>
        <v>-92</v>
      </c>
      <c r="Y178" s="687">
        <f>INPUT!BV211</f>
        <v>-1.0752688172043001</v>
      </c>
      <c r="Z178" s="151">
        <f>INPUT!BW211</f>
        <v>-94</v>
      </c>
      <c r="AA178" s="687">
        <f>INPUT!BX211</f>
        <v>-1.0526315789473717</v>
      </c>
      <c r="AB178" s="151">
        <f>INPUT!BY211</f>
        <v>-88</v>
      </c>
      <c r="AC178" s="687">
        <f>INPUT!BZ211</f>
        <v>-3.2967032967032961</v>
      </c>
      <c r="AD178" s="151">
        <f>INPUT!CA211</f>
        <v>-91</v>
      </c>
      <c r="AE178" s="687">
        <f>INPUT!CB211</f>
        <v>-1.0869565217391353</v>
      </c>
      <c r="AF178" s="151">
        <f>INPUT!CC211</f>
        <v>-92</v>
      </c>
      <c r="AG178" s="687">
        <f>INPUT!CD211</f>
        <v>0</v>
      </c>
      <c r="AH178" s="151">
        <f>INPUT!CE211</f>
        <v>-90</v>
      </c>
      <c r="AI178" s="687">
        <f>INPUT!CF211</f>
        <v>-4.2553191489361648</v>
      </c>
      <c r="AJ178" s="151">
        <f>INPUT!CG211</f>
        <v>-89</v>
      </c>
      <c r="AK178" s="687">
        <f>INPUT!CH211</f>
        <v>1.1363636363636465</v>
      </c>
      <c r="AL178" s="151">
        <f>INPUT!CI211</f>
        <v>-90</v>
      </c>
      <c r="AM178" s="687">
        <f>INPUT!CJ211</f>
        <v>-1.098901098901095</v>
      </c>
      <c r="AN178" s="151">
        <f>INPUT!CK211</f>
        <v>-92</v>
      </c>
      <c r="AO178" s="687">
        <f>INPUT!CL211</f>
        <v>0</v>
      </c>
      <c r="AP178" s="151">
        <f>INPUT!CM211</f>
        <v>-92</v>
      </c>
      <c r="AQ178" s="687">
        <f>INPUT!CN211</f>
        <v>2.2222222222222143</v>
      </c>
      <c r="AR178" s="151">
        <f>INPUT!CO211</f>
        <v>-91</v>
      </c>
      <c r="AS178" s="687">
        <f>INPUT!CP211</f>
        <v>2.2471910112359605</v>
      </c>
      <c r="AT178" s="151">
        <f>INPUT!CQ211</f>
        <v>-93</v>
      </c>
      <c r="AU178" s="687">
        <f>INPUT!CR211</f>
        <v>3.3333333333333437</v>
      </c>
      <c r="AV178" s="151">
        <f>INPUT!CS211</f>
        <v>-93</v>
      </c>
      <c r="AW178" s="687">
        <f>INPUT!CT211</f>
        <v>1.0869565217391353</v>
      </c>
      <c r="AX178" s="151">
        <f>INPUT!CU211</f>
        <v>-95</v>
      </c>
      <c r="AY178" s="687">
        <f>INPUT!CV211</f>
        <v>3.2608695652173836</v>
      </c>
      <c r="AZ178" s="151">
        <f>INPUT!CW211</f>
        <v>-88</v>
      </c>
      <c r="BA178" s="687">
        <f>INPUT!CX211</f>
        <v>-3.2967032967032961</v>
      </c>
      <c r="BB178" s="151">
        <f>INPUT!CY211</f>
        <v>-104</v>
      </c>
      <c r="BC178" s="687">
        <f>INPUT!CZ211</f>
        <v>11.827956989247301</v>
      </c>
      <c r="BD178" s="151">
        <f>INPUT!DA211</f>
        <v>-126</v>
      </c>
      <c r="BE178" s="687">
        <f>INPUT!DB211</f>
        <v>35.483870967741929</v>
      </c>
      <c r="BF178" s="151">
        <f>INPUT!DC211</f>
        <v>-85</v>
      </c>
      <c r="BG178" s="687">
        <f>INPUT!DD211</f>
        <v>-10.526315789473683</v>
      </c>
      <c r="BH178" s="151">
        <f>INPUT!DE211</f>
        <v>-113</v>
      </c>
      <c r="BI178" s="687">
        <f>INPUT!DF211</f>
        <v>28.409090909090917</v>
      </c>
      <c r="BJ178" s="151">
        <f>INPUT!DG211</f>
        <v>-104</v>
      </c>
      <c r="BK178" s="687">
        <f>INPUT!DH211</f>
        <v>0</v>
      </c>
      <c r="BL178" s="151">
        <f>INPUT!DI211</f>
        <v>-119</v>
      </c>
      <c r="BM178" s="687">
        <f>INPUT!DJ211</f>
        <v>-5.555555555555558</v>
      </c>
      <c r="BN178" s="151">
        <f>INPUT!DK211</f>
        <v>-112</v>
      </c>
      <c r="BO178" s="687">
        <f>INPUT!DL211</f>
        <v>31.764705882352938</v>
      </c>
      <c r="BP178" s="151">
        <f>INPUT!DM211</f>
        <v>-118</v>
      </c>
      <c r="BQ178" s="687">
        <f>INPUT!DN211</f>
        <v>4.4247787610619538</v>
      </c>
      <c r="BR178" s="151">
        <f>INPUT!DO211</f>
        <v>-119</v>
      </c>
      <c r="BS178" s="687">
        <f>INPUT!DP211</f>
        <v>14.423076923076916</v>
      </c>
      <c r="BT178" s="151">
        <f>INPUT!DQ211</f>
        <v>-128</v>
      </c>
      <c r="BU178" s="687">
        <f>INPUT!DR211</f>
        <v>7.5630252100840289</v>
      </c>
      <c r="BV178" s="151">
        <f>INPUT!DS211</f>
        <v>-130</v>
      </c>
      <c r="BW178" s="687">
        <f>INPUT!DT211</f>
        <v>16.07142857142858</v>
      </c>
      <c r="BX178" s="151">
        <f>INPUT!DU211</f>
        <v>-127</v>
      </c>
      <c r="BY178" s="687">
        <f>INPUT!DV211</f>
        <v>7.6271186440677985</v>
      </c>
      <c r="BZ178" s="151">
        <f>INPUT!DW211</f>
        <v>-132</v>
      </c>
      <c r="CA178" s="687">
        <f>INPUT!DX211</f>
        <v>-132</v>
      </c>
      <c r="CB178" s="151">
        <f>INPUT!DY211</f>
        <v>-143</v>
      </c>
      <c r="CC178" s="687">
        <f>INPUT!DZ211</f>
        <v>11.71875</v>
      </c>
      <c r="CD178" s="151">
        <f>INPUT!EA211</f>
        <v>-135</v>
      </c>
      <c r="CE178" s="687">
        <f>INPUT!EB211</f>
        <v>3.8461538461538547</v>
      </c>
      <c r="CF178" s="151">
        <f>INPUT!EC211</f>
        <v>-143</v>
      </c>
      <c r="CG178" s="687">
        <f>INPUT!ED211</f>
        <v>12.598425196850393</v>
      </c>
      <c r="CH178" s="151">
        <f>INPUT!EE211</f>
        <v>-153</v>
      </c>
      <c r="CI178" s="687">
        <f>INPUT!EF211</f>
        <v>15.909090909090917</v>
      </c>
      <c r="CJ178" s="151">
        <f>INPUT!EG211</f>
        <v>-158</v>
      </c>
      <c r="CK178" s="687">
        <f>INPUT!EH211</f>
        <v>10.489510489510479</v>
      </c>
      <c r="CL178" s="151">
        <f>INPUT!EI211</f>
        <v>-152</v>
      </c>
      <c r="CM178" s="687">
        <f>INPUT!EJ211</f>
        <v>12.592592592592599</v>
      </c>
      <c r="CN178" s="151">
        <f>INPUT!EK211</f>
        <v>-165</v>
      </c>
      <c r="CO178" s="687">
        <f>INPUT!EL211</f>
        <v>15.384615384615374</v>
      </c>
      <c r="CP178" s="151">
        <f>INPUT!EM211</f>
        <v>-163</v>
      </c>
      <c r="CQ178" s="687">
        <f>INPUT!EN211</f>
        <v>6.5359477124182996</v>
      </c>
      <c r="CR178" s="151">
        <f>INPUT!EO211</f>
        <v>-174</v>
      </c>
      <c r="CS178" s="687">
        <f>INPUT!EP211</f>
        <v>10.126582278481022</v>
      </c>
      <c r="CT178" s="151">
        <f>INPUT!EQ211</f>
        <v>-155.04</v>
      </c>
      <c r="CU178" s="687">
        <f>INPUT!ER211</f>
        <v>2.0000000000000018</v>
      </c>
      <c r="CV178" s="151">
        <f>INPUT!ES211</f>
        <v>-168.3</v>
      </c>
      <c r="CW178" s="687">
        <f>INPUT!ET211</f>
        <v>2.0000000000000018</v>
      </c>
      <c r="CX178" s="151">
        <f>INPUT!EU211</f>
        <v>-166.26</v>
      </c>
      <c r="CY178" s="687">
        <f>INPUT!EV211</f>
        <v>2.0000000000000018</v>
      </c>
      <c r="CZ178" s="151">
        <f>INPUT!EW211</f>
        <v>-177.48</v>
      </c>
      <c r="DA178" s="687">
        <f>INPUT!EX211</f>
        <v>2.0000000000000018</v>
      </c>
      <c r="DB178" s="16"/>
      <c r="DC178" s="151">
        <f>INPUT!FP211</f>
        <v>-171</v>
      </c>
      <c r="DD178" s="687" t="str">
        <f>INPUT!FQ211</f>
        <v>NA</v>
      </c>
      <c r="DE178" s="151">
        <f>INPUT!FR211</f>
        <v>-276</v>
      </c>
      <c r="DF178" s="687">
        <f>INPUT!FS211</f>
        <v>61.403508771929815</v>
      </c>
      <c r="DG178" s="151">
        <f>INPUT!FT211</f>
        <v>-341</v>
      </c>
      <c r="DH178" s="687">
        <f>INPUT!FU211</f>
        <v>23.550724637681153</v>
      </c>
      <c r="DI178" s="151">
        <f>INPUT!FV211</f>
        <v>-370</v>
      </c>
      <c r="DJ178" s="687">
        <f>INPUT!FW211</f>
        <v>8.5043988269794646</v>
      </c>
      <c r="DK178" s="151">
        <f>INPUT!FX211</f>
        <v>-365</v>
      </c>
      <c r="DL178" s="687">
        <f>INPUT!FY211</f>
        <v>-1.3513513513513487</v>
      </c>
      <c r="DM178" s="151">
        <f>INPUT!FZ211</f>
        <v>-361</v>
      </c>
      <c r="DN178" s="687">
        <f>INPUT!GA211</f>
        <v>-1.0958904109588996</v>
      </c>
      <c r="DO178" s="151">
        <f>INPUT!GB211</f>
        <v>-369</v>
      </c>
      <c r="DP178" s="687">
        <f>INPUT!GC211</f>
        <v>2.2160664819944609</v>
      </c>
      <c r="DQ178" s="151">
        <f>INPUT!GD211</f>
        <v>-413</v>
      </c>
      <c r="DR178" s="687">
        <f>INPUT!GE211</f>
        <v>11.924119241192411</v>
      </c>
      <c r="DS178" s="151">
        <f>INPUT!GF211</f>
        <v>-421</v>
      </c>
      <c r="DT178" s="687">
        <f>INPUT!GG211</f>
        <v>1.937046004842613</v>
      </c>
      <c r="DU178" s="151">
        <f>INPUT!GH211</f>
        <v>-477</v>
      </c>
      <c r="DV178" s="687">
        <f>INPUT!GI211</f>
        <v>13.30166270783848</v>
      </c>
      <c r="DW178" s="151">
        <f>INPUT!GJ211</f>
        <v>-532</v>
      </c>
      <c r="DX178" s="687">
        <f>INPUT!GK211</f>
        <v>11.530398322851143</v>
      </c>
      <c r="DY178" s="151">
        <f>INPUT!GL211</f>
        <v>-589</v>
      </c>
      <c r="DZ178" s="687">
        <f>INPUT!GM211</f>
        <v>10.714285714285721</v>
      </c>
      <c r="EA178" s="151">
        <f>INPUT!GN211</f>
        <v>-654</v>
      </c>
      <c r="EB178" s="687">
        <f>INPUT!GO211</f>
        <v>11.035653650254673</v>
      </c>
      <c r="EC178" s="151">
        <f>INPUT!GP211</f>
        <v>-667.08</v>
      </c>
      <c r="ED178" s="687">
        <f>INPUT!GQ211</f>
        <v>2.0000000000000018</v>
      </c>
      <c r="EE178" s="151">
        <f>INPUT!GR211</f>
        <v>-680.42160000000001</v>
      </c>
      <c r="EF178" s="687">
        <f>INPUT!GS211</f>
        <v>2.0000000000000018</v>
      </c>
      <c r="EG178" s="151">
        <f>INPUT!GT211</f>
        <v>-694.03003200000001</v>
      </c>
      <c r="EH178" s="687">
        <f>INPUT!GU211</f>
        <v>2.0000000000000018</v>
      </c>
      <c r="EI178" s="151">
        <f>INPUT!GV211</f>
        <v>-707.91063264000002</v>
      </c>
      <c r="EJ178" s="687">
        <f>INPUT!GW211</f>
        <v>2.0000000000000018</v>
      </c>
      <c r="EK178" s="151">
        <f>INPUT!GX211</f>
        <v>-722.06884529280001</v>
      </c>
      <c r="EL178" s="687">
        <f>INPUT!GY211</f>
        <v>2.0000000000000018</v>
      </c>
      <c r="EM178" s="687">
        <f>INPUT!GZ211</f>
        <v>2.0000000000000018</v>
      </c>
    </row>
    <row r="179" spans="1:152" ht="12.75" hidden="1" customHeight="1" outlineLevel="1" x14ac:dyDescent="0.2">
      <c r="A179" s="701" t="str">
        <f>INPUT!B210</f>
        <v>Withdrawals/Deaths</v>
      </c>
      <c r="B179" s="151">
        <f>INPUT!AY210</f>
        <v>-49</v>
      </c>
      <c r="C179" s="687">
        <f>INPUT!AZ210</f>
        <v>11.363636363636353</v>
      </c>
      <c r="D179" s="151">
        <f>INPUT!BA210</f>
        <v>-158</v>
      </c>
      <c r="E179" s="687" t="str">
        <f>INPUT!BB210</f>
        <v>NM</v>
      </c>
      <c r="F179" s="151">
        <f>INPUT!BC210</f>
        <v>13</v>
      </c>
      <c r="G179" s="687" t="str">
        <f>INPUT!BD210</f>
        <v>NM</v>
      </c>
      <c r="H179" s="151">
        <f>INPUT!BE210</f>
        <v>-73</v>
      </c>
      <c r="I179" s="687" t="str">
        <f>INPUT!BF210</f>
        <v>NM</v>
      </c>
      <c r="J179" s="151">
        <f>INPUT!BG210</f>
        <v>-77</v>
      </c>
      <c r="K179" s="687">
        <f>INPUT!BH210</f>
        <v>57.142857142857139</v>
      </c>
      <c r="L179" s="151">
        <f>INPUT!BI210</f>
        <v>-109</v>
      </c>
      <c r="M179" s="687">
        <f>INPUT!BJ210</f>
        <v>-31.0126582278481</v>
      </c>
      <c r="N179" s="151">
        <f>INPUT!BK210</f>
        <v>-104</v>
      </c>
      <c r="O179" s="687" t="str">
        <f>INPUT!BL210</f>
        <v>NM</v>
      </c>
      <c r="P179" s="151">
        <f>INPUT!BM210</f>
        <v>-92</v>
      </c>
      <c r="Q179" s="687">
        <f>INPUT!BN210</f>
        <v>26.027397260273965</v>
      </c>
      <c r="R179" s="151">
        <f>INPUT!BO210</f>
        <v>-83</v>
      </c>
      <c r="S179" s="687">
        <f>INPUT!BP210</f>
        <v>7.7922077922077948</v>
      </c>
      <c r="T179" s="151">
        <f>INPUT!BQ210</f>
        <v>-108</v>
      </c>
      <c r="U179" s="687">
        <f>INPUT!BR210</f>
        <v>-0.91743119266054496</v>
      </c>
      <c r="V179" s="151">
        <f>INPUT!BS210</f>
        <v>-86</v>
      </c>
      <c r="W179" s="687">
        <f>INPUT!BT210</f>
        <v>-17.307692307692314</v>
      </c>
      <c r="X179" s="151">
        <f>INPUT!BU210</f>
        <v>-88</v>
      </c>
      <c r="Y179" s="687">
        <f>INPUT!BV210</f>
        <v>-4.3478260869565188</v>
      </c>
      <c r="Z179" s="151">
        <f>INPUT!BW210</f>
        <v>-143</v>
      </c>
      <c r="AA179" s="687">
        <f>INPUT!BX210</f>
        <v>72.289156626506042</v>
      </c>
      <c r="AB179" s="151">
        <f>INPUT!BY210</f>
        <v>-89</v>
      </c>
      <c r="AC179" s="687">
        <f>INPUT!BZ210</f>
        <v>-17.592592592592592</v>
      </c>
      <c r="AD179" s="151">
        <f>INPUT!CA210</f>
        <v>-95</v>
      </c>
      <c r="AE179" s="687">
        <f>INPUT!CB210</f>
        <v>10.465116279069765</v>
      </c>
      <c r="AF179" s="151">
        <f>INPUT!CC210</f>
        <v>-243</v>
      </c>
      <c r="AG179" s="687" t="str">
        <f>INPUT!CD210</f>
        <v>NM</v>
      </c>
      <c r="AH179" s="151">
        <f>INPUT!CE210</f>
        <v>-108</v>
      </c>
      <c r="AI179" s="687">
        <f>INPUT!CF210</f>
        <v>-24.47552447552448</v>
      </c>
      <c r="AJ179" s="151">
        <f>INPUT!CG210</f>
        <v>-99</v>
      </c>
      <c r="AK179" s="687">
        <f>INPUT!CH210</f>
        <v>11.23595505617978</v>
      </c>
      <c r="AL179" s="151">
        <f>INPUT!CI210</f>
        <v>-121</v>
      </c>
      <c r="AM179" s="687">
        <f>INPUT!CJ210</f>
        <v>27.368421052631575</v>
      </c>
      <c r="AN179" s="151">
        <f>INPUT!CK210</f>
        <v>-166</v>
      </c>
      <c r="AO179" s="687">
        <f>INPUT!CL210</f>
        <v>-31.68724279835391</v>
      </c>
      <c r="AP179" s="151">
        <f>INPUT!CM210</f>
        <v>-154</v>
      </c>
      <c r="AQ179" s="687">
        <f>INPUT!CN210</f>
        <v>42.592592592592581</v>
      </c>
      <c r="AR179" s="151">
        <f>INPUT!CO210</f>
        <v>-110</v>
      </c>
      <c r="AS179" s="687">
        <f>INPUT!CP210</f>
        <v>11.111111111111116</v>
      </c>
      <c r="AT179" s="151">
        <f>INPUT!CQ210</f>
        <v>-148</v>
      </c>
      <c r="AU179" s="687">
        <f>INPUT!CR210</f>
        <v>22.314049586776854</v>
      </c>
      <c r="AV179" s="151">
        <f>INPUT!CS210</f>
        <v>-207</v>
      </c>
      <c r="AW179" s="687">
        <f>INPUT!CT210</f>
        <v>24.69879518072289</v>
      </c>
      <c r="AX179" s="151">
        <f>INPUT!CU210</f>
        <v>-101</v>
      </c>
      <c r="AY179" s="687">
        <f>INPUT!CV210</f>
        <v>-34.415584415584412</v>
      </c>
      <c r="AZ179" s="151">
        <f>INPUT!CW210</f>
        <v>-93</v>
      </c>
      <c r="BA179" s="687">
        <f>INPUT!CX210</f>
        <v>-15.454545454545453</v>
      </c>
      <c r="BB179" s="151">
        <f>INPUT!CY210</f>
        <v>-84</v>
      </c>
      <c r="BC179" s="687">
        <f>INPUT!CZ210</f>
        <v>-43.243243243243242</v>
      </c>
      <c r="BD179" s="151">
        <f>INPUT!DA210</f>
        <v>-131</v>
      </c>
      <c r="BE179" s="687">
        <f>INPUT!DB210</f>
        <v>-36.714975845410628</v>
      </c>
      <c r="BF179" s="151">
        <f>INPUT!DC210</f>
        <v>-205</v>
      </c>
      <c r="BG179" s="687" t="str">
        <f>INPUT!DD210</f>
        <v>NM</v>
      </c>
      <c r="BH179" s="151">
        <f>INPUT!DE210</f>
        <v>-117</v>
      </c>
      <c r="BI179" s="687">
        <f>INPUT!DF210</f>
        <v>25.806451612903224</v>
      </c>
      <c r="BJ179" s="151">
        <f>INPUT!DG210</f>
        <v>-113</v>
      </c>
      <c r="BK179" s="687">
        <f>INPUT!DH210</f>
        <v>34.523809523809533</v>
      </c>
      <c r="BL179" s="151">
        <f>INPUT!DI210</f>
        <v>-125</v>
      </c>
      <c r="BM179" s="687">
        <f>INPUT!DJ210</f>
        <v>-4.5801526717557213</v>
      </c>
      <c r="BN179" s="151">
        <f>INPUT!DK210</f>
        <v>-145</v>
      </c>
      <c r="BO179" s="687">
        <f>INPUT!DL210</f>
        <v>-29.268292682926834</v>
      </c>
      <c r="BP179" s="151">
        <f>INPUT!DM210</f>
        <v>-136</v>
      </c>
      <c r="BQ179" s="687">
        <f>INPUT!DN210</f>
        <v>16.239316239316249</v>
      </c>
      <c r="BR179" s="151">
        <f>INPUT!DO210</f>
        <v>-92</v>
      </c>
      <c r="BS179" s="687">
        <f>INPUT!DP210</f>
        <v>-18.584070796460171</v>
      </c>
      <c r="BT179" s="151">
        <f>INPUT!DQ210</f>
        <v>-122</v>
      </c>
      <c r="BU179" s="687">
        <f>INPUT!DR210</f>
        <v>-2.4000000000000021</v>
      </c>
      <c r="BV179" s="151">
        <f>INPUT!DS210</f>
        <v>-124</v>
      </c>
      <c r="BW179" s="687">
        <f>INPUT!DT210</f>
        <v>-14.482758620689651</v>
      </c>
      <c r="BX179" s="151">
        <f>INPUT!DU210</f>
        <v>-116</v>
      </c>
      <c r="BY179" s="687">
        <f>INPUT!DV210</f>
        <v>-14.705882352941179</v>
      </c>
      <c r="BZ179" s="151">
        <f>INPUT!DW210</f>
        <v>-167</v>
      </c>
      <c r="CA179" s="687">
        <f>INPUT!DX210</f>
        <v>-167</v>
      </c>
      <c r="CB179" s="151">
        <f>INPUT!DY210</f>
        <v>-164</v>
      </c>
      <c r="CC179" s="687">
        <f>INPUT!DZ210</f>
        <v>34.426229508196712</v>
      </c>
      <c r="CD179" s="151">
        <f>INPUT!EA210</f>
        <v>-91</v>
      </c>
      <c r="CE179" s="687">
        <f>INPUT!EB210</f>
        <v>-26.612903225806448</v>
      </c>
      <c r="CF179" s="151">
        <f>INPUT!EC210</f>
        <v>-119</v>
      </c>
      <c r="CG179" s="687">
        <f>INPUT!ED210</f>
        <v>2.5862068965517349</v>
      </c>
      <c r="CH179" s="151">
        <f>INPUT!EE210</f>
        <v>-118</v>
      </c>
      <c r="CI179" s="687">
        <f>INPUT!EF210</f>
        <v>-29.341317365269461</v>
      </c>
      <c r="CJ179" s="151">
        <f>INPUT!EG210</f>
        <v>-198</v>
      </c>
      <c r="CK179" s="687">
        <f>INPUT!EH210</f>
        <v>20.731707317073166</v>
      </c>
      <c r="CL179" s="151">
        <f>INPUT!EI210</f>
        <v>-87</v>
      </c>
      <c r="CM179" s="687">
        <f>INPUT!EJ210</f>
        <v>-4.3956043956043906</v>
      </c>
      <c r="CN179" s="151">
        <f>INPUT!EK210</f>
        <v>-126</v>
      </c>
      <c r="CO179" s="687">
        <f>INPUT!EL210</f>
        <v>5.8823529411764719</v>
      </c>
      <c r="CP179" s="151">
        <f>INPUT!EM210</f>
        <v>-88</v>
      </c>
      <c r="CQ179" s="687">
        <f>INPUT!EN210</f>
        <v>-25.423728813559322</v>
      </c>
      <c r="CR179" s="151">
        <f>INPUT!EO210</f>
        <v>-172</v>
      </c>
      <c r="CS179" s="687">
        <f>INPUT!EP210</f>
        <v>-13.131313131313128</v>
      </c>
      <c r="CT179" s="151">
        <f>INPUT!EQ210</f>
        <v>-184.45122328894394</v>
      </c>
      <c r="CU179" s="687" t="str">
        <f>INPUT!ER210</f>
        <v>NM</v>
      </c>
      <c r="CV179" s="151">
        <f>INPUT!ES210</f>
        <v>-183.75419954225808</v>
      </c>
      <c r="CW179" s="687">
        <f>INPUT!ET210</f>
        <v>45.836666303379438</v>
      </c>
      <c r="CX179" s="151">
        <f>INPUT!EU210</f>
        <v>-187.33790903410954</v>
      </c>
      <c r="CY179" s="687" t="str">
        <f>INPUT!EV210</f>
        <v>NM</v>
      </c>
      <c r="CZ179" s="151">
        <f>INPUT!EW210</f>
        <v>-190.44229560865483</v>
      </c>
      <c r="DA179" s="687">
        <f>INPUT!EX210</f>
        <v>10.722264888752807</v>
      </c>
      <c r="DB179" s="16"/>
      <c r="DC179" s="151">
        <f>INPUT!FP210</f>
        <v>-162</v>
      </c>
      <c r="DD179" s="687" t="str">
        <f>INPUT!FQ210</f>
        <v>NA</v>
      </c>
      <c r="DE179" s="151">
        <f>INPUT!FR210</f>
        <v>-267</v>
      </c>
      <c r="DF179" s="687">
        <f>INPUT!FS210</f>
        <v>64.81481481481481</v>
      </c>
      <c r="DG179" s="151">
        <f>INPUT!FT210</f>
        <v>-382</v>
      </c>
      <c r="DH179" s="687">
        <f>INPUT!FU210</f>
        <v>43.071161048689135</v>
      </c>
      <c r="DI179" s="151">
        <f>INPUT!FV210</f>
        <v>-365</v>
      </c>
      <c r="DJ179" s="687">
        <f>INPUT!FW210</f>
        <v>-4.4502617801047144</v>
      </c>
      <c r="DK179" s="151">
        <f>INPUT!FX210</f>
        <v>-570</v>
      </c>
      <c r="DL179" s="687">
        <f>INPUT!FY210</f>
        <v>56.164383561643838</v>
      </c>
      <c r="DM179" s="151">
        <f>INPUT!FZ210</f>
        <v>-494</v>
      </c>
      <c r="DN179" s="687">
        <f>INPUT!GA210</f>
        <v>-13.33333333333333</v>
      </c>
      <c r="DO179" s="151">
        <f>INPUT!GB210</f>
        <v>-619</v>
      </c>
      <c r="DP179" s="687">
        <f>INPUT!GC210</f>
        <v>25.303643724696357</v>
      </c>
      <c r="DQ179" s="151">
        <f>INPUT!GD210</f>
        <v>-409</v>
      </c>
      <c r="DR179" s="687">
        <f>INPUT!GE210</f>
        <v>-33.925686591276246</v>
      </c>
      <c r="DS179" s="151">
        <f>INPUT!GF210</f>
        <v>-560</v>
      </c>
      <c r="DT179" s="687">
        <f>INPUT!GG210</f>
        <v>36.919315403422992</v>
      </c>
      <c r="DU179" s="151">
        <f>INPUT!GH210</f>
        <v>-495</v>
      </c>
      <c r="DV179" s="687">
        <f>INPUT!GI210</f>
        <v>-11.607142857142861</v>
      </c>
      <c r="DW179" s="151">
        <f>INPUT!GJ210</f>
        <v>-571</v>
      </c>
      <c r="DX179" s="687">
        <f>INPUT!GK210</f>
        <v>15.353535353535364</v>
      </c>
      <c r="DY179" s="151">
        <f>INPUT!GL210</f>
        <v>-526</v>
      </c>
      <c r="DZ179" s="687">
        <f>INPUT!GM210</f>
        <v>-7.8809106830122548</v>
      </c>
      <c r="EA179" s="151">
        <f>INPUT!GN210</f>
        <v>-473</v>
      </c>
      <c r="EB179" s="687">
        <f>INPUT!GO210</f>
        <v>-10.076045627376429</v>
      </c>
      <c r="EC179" s="151">
        <f>INPUT!GP210</f>
        <v>-745.98562747396636</v>
      </c>
      <c r="ED179" s="687">
        <f>INPUT!GQ210</f>
        <v>57.713663313734955</v>
      </c>
      <c r="EE179" s="151">
        <f>INPUT!GR210</f>
        <v>-802.06154488098412</v>
      </c>
      <c r="EF179" s="687">
        <f>INPUT!GS210</f>
        <v>7.5170238328720052</v>
      </c>
      <c r="EG179" s="151">
        <f>INPUT!GT210</f>
        <v>-838.2693883209671</v>
      </c>
      <c r="EH179" s="687">
        <f>INPUT!GU210</f>
        <v>4.5143472681208996</v>
      </c>
      <c r="EI179" s="151">
        <f>INPUT!GV210</f>
        <v>-878.7573077135844</v>
      </c>
      <c r="EJ179" s="687">
        <f>INPUT!GW210</f>
        <v>4.8299413001008595</v>
      </c>
      <c r="EK179" s="151">
        <f>INPUT!GX210</f>
        <v>-923.69791329722273</v>
      </c>
      <c r="EL179" s="687">
        <f>INPUT!GY210</f>
        <v>5.114108888672364</v>
      </c>
      <c r="EM179" s="687">
        <f>INPUT!GZ210</f>
        <v>14.323039989082487</v>
      </c>
    </row>
    <row r="180" spans="1:152" ht="12.75" hidden="1" customHeight="1" outlineLevel="1" x14ac:dyDescent="0.2">
      <c r="A180" s="701" t="str">
        <f>INPUT!B212</f>
        <v>Market Performance</v>
      </c>
      <c r="B180" s="153">
        <f>INPUT!AY212</f>
        <v>119</v>
      </c>
      <c r="C180" s="687" t="str">
        <f>INPUT!AZ212</f>
        <v>NM</v>
      </c>
      <c r="D180" s="153">
        <f>INPUT!BA212</f>
        <v>-68</v>
      </c>
      <c r="E180" s="687" t="str">
        <f>INPUT!BB212</f>
        <v>NM</v>
      </c>
      <c r="F180" s="153">
        <f>INPUT!BC212</f>
        <v>137</v>
      </c>
      <c r="G180" s="687">
        <f>INPUT!BD212</f>
        <v>33.009708737864088</v>
      </c>
      <c r="H180" s="153">
        <f>INPUT!BE212</f>
        <v>294</v>
      </c>
      <c r="I180" s="687" t="str">
        <f>INPUT!BF212</f>
        <v>NM</v>
      </c>
      <c r="J180" s="153">
        <f>INPUT!BG212</f>
        <v>95</v>
      </c>
      <c r="K180" s="687">
        <f>INPUT!BH212</f>
        <v>-20.168067226890752</v>
      </c>
      <c r="L180" s="153">
        <f>INPUT!BI212</f>
        <v>299</v>
      </c>
      <c r="M180" s="687" t="str">
        <f>INPUT!BJ212</f>
        <v>NM</v>
      </c>
      <c r="N180" s="153">
        <f>INPUT!BK212</f>
        <v>163</v>
      </c>
      <c r="O180" s="687">
        <f>INPUT!BL212</f>
        <v>18.978102189781019</v>
      </c>
      <c r="P180" s="153">
        <f>INPUT!BM212</f>
        <v>-96</v>
      </c>
      <c r="Q180" s="687" t="str">
        <f>INPUT!BN212</f>
        <v>NM</v>
      </c>
      <c r="R180" s="153">
        <f>INPUT!BO212</f>
        <v>-486</v>
      </c>
      <c r="S180" s="687" t="str">
        <f>INPUT!BP212</f>
        <v>NM</v>
      </c>
      <c r="T180" s="153">
        <f>INPUT!BQ212</f>
        <v>-9</v>
      </c>
      <c r="U180" s="687" t="str">
        <f>INPUT!BR212</f>
        <v>NM</v>
      </c>
      <c r="V180" s="153">
        <f>INPUT!BS212</f>
        <v>-596</v>
      </c>
      <c r="W180" s="687" t="str">
        <f>INPUT!BT212</f>
        <v>NM</v>
      </c>
      <c r="X180" s="153">
        <f>INPUT!BU212</f>
        <v>-891</v>
      </c>
      <c r="Y180" s="687" t="str">
        <f>INPUT!BV212</f>
        <v>NM</v>
      </c>
      <c r="Z180" s="153">
        <f>INPUT!BW212</f>
        <v>-265</v>
      </c>
      <c r="AA180" s="687">
        <f>INPUT!BX212</f>
        <v>-45.47325102880658</v>
      </c>
      <c r="AB180" s="153">
        <f>INPUT!BY212</f>
        <v>567</v>
      </c>
      <c r="AC180" s="687" t="str">
        <f>INPUT!BZ212</f>
        <v>NM</v>
      </c>
      <c r="AD180" s="153">
        <f>INPUT!CA212</f>
        <v>626</v>
      </c>
      <c r="AE180" s="687" t="str">
        <f>INPUT!CB212</f>
        <v>NM</v>
      </c>
      <c r="AF180" s="153">
        <f>INPUT!CC212</f>
        <v>213</v>
      </c>
      <c r="AG180" s="687" t="str">
        <f>INPUT!CD212</f>
        <v>NM</v>
      </c>
      <c r="AH180" s="153">
        <f>INPUT!CE212</f>
        <v>211</v>
      </c>
      <c r="AI180" s="687" t="str">
        <f>INPUT!CF212</f>
        <v>NM</v>
      </c>
      <c r="AJ180" s="153">
        <f>INPUT!CG212</f>
        <v>-404</v>
      </c>
      <c r="AK180" s="687" t="str">
        <f>INPUT!CH212</f>
        <v>NM</v>
      </c>
      <c r="AL180" s="153">
        <f>INPUT!CI212</f>
        <v>499</v>
      </c>
      <c r="AM180" s="687">
        <f>INPUT!CJ212</f>
        <v>-20.287539936102238</v>
      </c>
      <c r="AN180" s="153">
        <f>INPUT!CK212</f>
        <v>418</v>
      </c>
      <c r="AO180" s="687">
        <f>INPUT!CL212</f>
        <v>96.244131455399057</v>
      </c>
      <c r="AP180" s="153">
        <f>INPUT!CM212</f>
        <v>270</v>
      </c>
      <c r="AQ180" s="687">
        <f>INPUT!CN212</f>
        <v>27.96208530805686</v>
      </c>
      <c r="AR180" s="153">
        <f>INPUT!CO212</f>
        <v>39</v>
      </c>
      <c r="AS180" s="687" t="str">
        <f>INPUT!CP212</f>
        <v>NM</v>
      </c>
      <c r="AT180" s="153">
        <f>INPUT!CQ212</f>
        <v>-719</v>
      </c>
      <c r="AU180" s="687" t="str">
        <f>INPUT!CR212</f>
        <v>NM</v>
      </c>
      <c r="AV180" s="153">
        <f>INPUT!CS212</f>
        <v>403</v>
      </c>
      <c r="AW180" s="687">
        <f>INPUT!CT212</f>
        <v>-3.5885167464114853</v>
      </c>
      <c r="AX180" s="153">
        <f>INPUT!CU212</f>
        <v>543</v>
      </c>
      <c r="AY180" s="687" t="str">
        <f>INPUT!CV212</f>
        <v>NM</v>
      </c>
      <c r="AZ180" s="153">
        <f>INPUT!CW212</f>
        <v>-163</v>
      </c>
      <c r="BA180" s="687" t="str">
        <f>INPUT!CX212</f>
        <v>NM</v>
      </c>
      <c r="BB180" s="153">
        <f>INPUT!CY212</f>
        <v>310</v>
      </c>
      <c r="BC180" s="687" t="str">
        <f>INPUT!CZ212</f>
        <v>NM</v>
      </c>
      <c r="BD180" s="153">
        <f>INPUT!DA212</f>
        <v>104</v>
      </c>
      <c r="BE180" s="687" t="str">
        <f>INPUT!DB212</f>
        <v>NM</v>
      </c>
      <c r="BF180" s="153">
        <f>INPUT!DC212</f>
        <v>384</v>
      </c>
      <c r="BG180" s="687">
        <f>INPUT!DD212</f>
        <v>-29.281767955801108</v>
      </c>
      <c r="BH180" s="153">
        <f>INPUT!DE212</f>
        <v>56</v>
      </c>
      <c r="BI180" s="687" t="str">
        <f>INPUT!DF212</f>
        <v>NM</v>
      </c>
      <c r="BJ180" s="153">
        <f>INPUT!DG212</f>
        <v>406</v>
      </c>
      <c r="BK180" s="687">
        <f>INPUT!DH212</f>
        <v>30.967741935483861</v>
      </c>
      <c r="BL180" s="153">
        <f>INPUT!DI212</f>
        <v>457</v>
      </c>
      <c r="BM180" s="687" t="str">
        <f>INPUT!DJ212</f>
        <v>NM</v>
      </c>
      <c r="BN180" s="153">
        <f>INPUT!DK212</f>
        <v>120</v>
      </c>
      <c r="BO180" s="687" t="str">
        <f>INPUT!DL212</f>
        <v>NM</v>
      </c>
      <c r="BP180" s="153">
        <f>INPUT!DM212</f>
        <v>324</v>
      </c>
      <c r="BQ180" s="687" t="str">
        <f>INPUT!DN212</f>
        <v>NM</v>
      </c>
      <c r="BR180" s="153">
        <f>INPUT!DO212</f>
        <v>-128</v>
      </c>
      <c r="BS180" s="687" t="str">
        <f>INPUT!DP212</f>
        <v>NM</v>
      </c>
      <c r="BT180" s="153">
        <f>INPUT!DQ212</f>
        <v>214</v>
      </c>
      <c r="BU180" s="687" t="str">
        <f>INPUT!DR212</f>
        <v>NM</v>
      </c>
      <c r="BV180" s="153">
        <f>INPUT!DS212</f>
        <v>236</v>
      </c>
      <c r="BW180" s="687">
        <f>INPUT!DT212</f>
        <v>96.666666666666657</v>
      </c>
      <c r="BX180" s="153">
        <f>INPUT!DU212</f>
        <v>-6</v>
      </c>
      <c r="BY180" s="687" t="str">
        <f>INPUT!DV212</f>
        <v>NM</v>
      </c>
      <c r="BZ180" s="153">
        <f>INPUT!DW212</f>
        <v>-642</v>
      </c>
      <c r="CA180" s="687">
        <f>INPUT!DX212</f>
        <v>-642</v>
      </c>
      <c r="CB180" s="153">
        <f>INPUT!DY212</f>
        <v>330</v>
      </c>
      <c r="CC180" s="687">
        <f>INPUT!DZ212</f>
        <v>54.205607476635521</v>
      </c>
      <c r="CD180" s="153">
        <f>INPUT!EA212</f>
        <v>67</v>
      </c>
      <c r="CE180" s="687" t="str">
        <f>INPUT!EB212</f>
        <v>NM</v>
      </c>
      <c r="CF180" s="153">
        <f>INPUT!EC212</f>
        <v>205</v>
      </c>
      <c r="CG180" s="687" t="str">
        <f>INPUT!ED212</f>
        <v>NM</v>
      </c>
      <c r="CH180" s="153">
        <f>INPUT!EE212</f>
        <v>422</v>
      </c>
      <c r="CI180" s="687" t="str">
        <f>INPUT!EF212</f>
        <v>NM</v>
      </c>
      <c r="CJ180" s="153">
        <f>INPUT!EG212</f>
        <v>162</v>
      </c>
      <c r="CK180" s="687" t="str">
        <f>INPUT!EH212</f>
        <v>NM</v>
      </c>
      <c r="CL180" s="153">
        <f>INPUT!EI212</f>
        <v>581</v>
      </c>
      <c r="CM180" s="687" t="str">
        <f>INPUT!EJ212</f>
        <v>NM</v>
      </c>
      <c r="CN180" s="153">
        <f>INPUT!EK212</f>
        <v>387</v>
      </c>
      <c r="CO180" s="687">
        <f>INPUT!EL212</f>
        <v>88.780487804878035</v>
      </c>
      <c r="CP180" s="153">
        <f>INPUT!EM212</f>
        <v>479</v>
      </c>
      <c r="CQ180" s="687">
        <f>INPUT!EN212</f>
        <v>13.507109004739327</v>
      </c>
      <c r="CR180" s="153">
        <f>INPUT!EO212</f>
        <v>537</v>
      </c>
      <c r="CS180" s="687" t="str">
        <f>INPUT!EP212</f>
        <v>NM</v>
      </c>
      <c r="CT180" s="153">
        <f>INPUT!EQ212</f>
        <v>-103.45039713079262</v>
      </c>
      <c r="CU180" s="687" t="str">
        <f>INPUT!ER212</f>
        <v>NM</v>
      </c>
      <c r="CV180" s="153">
        <f>INPUT!ES212</f>
        <v>171.76577975594034</v>
      </c>
      <c r="CW180" s="687" t="str">
        <f>INPUT!ET212</f>
        <v>NM</v>
      </c>
      <c r="CX180" s="153">
        <f>INPUT!EU212</f>
        <v>175.11568227147478</v>
      </c>
      <c r="CY180" s="687" t="str">
        <f>INPUT!EV212</f>
        <v>NM</v>
      </c>
      <c r="CZ180" s="153">
        <f>INPUT!EW212</f>
        <v>178.01753366844392</v>
      </c>
      <c r="DA180" s="687" t="str">
        <f>INPUT!EX212</f>
        <v>NM</v>
      </c>
      <c r="DB180" s="16"/>
      <c r="DC180" s="153">
        <f>INPUT!FP212</f>
        <v>200</v>
      </c>
      <c r="DD180" s="687" t="str">
        <f>INPUT!FQ212</f>
        <v>NA</v>
      </c>
      <c r="DE180" s="153">
        <f>INPUT!FR212</f>
        <v>482</v>
      </c>
      <c r="DF180" s="687" t="str">
        <f>INPUT!FS212</f>
        <v>NM</v>
      </c>
      <c r="DG180" s="153">
        <f>INPUT!FT212</f>
        <v>461</v>
      </c>
      <c r="DH180" s="687">
        <f>INPUT!FU212</f>
        <v>-4.3568464730290408</v>
      </c>
      <c r="DI180" s="153">
        <f>INPUT!FV212</f>
        <v>-1982</v>
      </c>
      <c r="DJ180" s="687" t="str">
        <f>INPUT!FW212</f>
        <v>NM</v>
      </c>
      <c r="DK180" s="153">
        <f>INPUT!FX212</f>
        <v>1141</v>
      </c>
      <c r="DL180" s="687" t="str">
        <f>INPUT!FY212</f>
        <v>NM</v>
      </c>
      <c r="DM180" s="153">
        <f>INPUT!FZ212</f>
        <v>724</v>
      </c>
      <c r="DN180" s="687">
        <f>INPUT!GA212</f>
        <v>-36.546888694127958</v>
      </c>
      <c r="DO180" s="153">
        <f>INPUT!GB212</f>
        <v>-7</v>
      </c>
      <c r="DP180" s="687" t="str">
        <f>INPUT!GC212</f>
        <v>NM</v>
      </c>
      <c r="DQ180" s="153">
        <f>INPUT!GD212</f>
        <v>794</v>
      </c>
      <c r="DR180" s="687" t="str">
        <f>INPUT!GE212</f>
        <v>NM</v>
      </c>
      <c r="DS180" s="153">
        <f>INPUT!GF212</f>
        <v>1303</v>
      </c>
      <c r="DT180" s="687">
        <f>INPUT!GG212</f>
        <v>64.105793450881606</v>
      </c>
      <c r="DU180" s="153">
        <f>INPUT!GH212</f>
        <v>530</v>
      </c>
      <c r="DV180" s="687" t="str">
        <f>INPUT!GI212</f>
        <v>NM</v>
      </c>
      <c r="DW180" s="153">
        <f>INPUT!GJ212</f>
        <v>-82</v>
      </c>
      <c r="DX180" s="687" t="str">
        <f>INPUT!GK212</f>
        <v>NM</v>
      </c>
      <c r="DY180" s="153">
        <f>INPUT!GL212</f>
        <v>856</v>
      </c>
      <c r="DZ180" s="687" t="str">
        <f>INPUT!GM212</f>
        <v>NM</v>
      </c>
      <c r="EA180" s="153">
        <f>INPUT!GN212</f>
        <v>1984</v>
      </c>
      <c r="EB180" s="687" t="str">
        <f>INPUT!GO212</f>
        <v>NM</v>
      </c>
      <c r="EC180" s="153">
        <f>INPUT!GP212</f>
        <v>421.44859856506639</v>
      </c>
      <c r="ED180" s="687" t="str">
        <f>INPUT!GQ212</f>
        <v>NM</v>
      </c>
      <c r="EE180" s="153">
        <f>INPUT!GR212</f>
        <v>0</v>
      </c>
      <c r="EF180" s="687" t="str">
        <f>INPUT!GS212</f>
        <v>NM</v>
      </c>
      <c r="EG180" s="153">
        <f>INPUT!GT212</f>
        <v>0</v>
      </c>
      <c r="EH180" s="687" t="str">
        <f>INPUT!GU212</f>
        <v>NA</v>
      </c>
      <c r="EI180" s="153">
        <f>INPUT!GV212</f>
        <v>0</v>
      </c>
      <c r="EJ180" s="687" t="str">
        <f>INPUT!GW212</f>
        <v>NA</v>
      </c>
      <c r="EK180" s="153">
        <f>INPUT!GX212</f>
        <v>0</v>
      </c>
      <c r="EL180" s="687" t="str">
        <f>INPUT!GY212</f>
        <v>NA</v>
      </c>
      <c r="EM180" s="687" t="str">
        <f>INPUT!GZ212</f>
        <v>NM</v>
      </c>
    </row>
    <row r="181" spans="1:152" ht="12.75" hidden="1" customHeight="1" outlineLevel="1" x14ac:dyDescent="0.2">
      <c r="A181" s="701" t="str">
        <f>INPUT!B214</f>
        <v>Ending VUL Reserves (Gross)</v>
      </c>
      <c r="B181" s="151">
        <f>INPUT!AY214</f>
        <v>2354.5</v>
      </c>
      <c r="C181" s="687">
        <f>INPUT!AZ214</f>
        <v>17.578027465667923</v>
      </c>
      <c r="D181" s="151">
        <f>INPUT!BA214</f>
        <v>4193.5</v>
      </c>
      <c r="E181" s="687" t="str">
        <f>INPUT!BB214</f>
        <v>NM</v>
      </c>
      <c r="F181" s="151">
        <f>INPUT!BC214</f>
        <v>4304.5</v>
      </c>
      <c r="G181" s="687">
        <f>INPUT!BD214</f>
        <v>99.883909914093323</v>
      </c>
      <c r="H181" s="151">
        <f>INPUT!BE214</f>
        <v>4599.5</v>
      </c>
      <c r="I181" s="687" t="str">
        <f>INPUT!BF214</f>
        <v>NM</v>
      </c>
      <c r="J181" s="151">
        <f>INPUT!BG214</f>
        <v>5702</v>
      </c>
      <c r="K181" s="687" t="str">
        <f>INPUT!BH214</f>
        <v>NM</v>
      </c>
      <c r="L181" s="151">
        <f>INPUT!BI214</f>
        <v>5954</v>
      </c>
      <c r="M181" s="687">
        <f>INPUT!BJ214</f>
        <v>41.981638249672116</v>
      </c>
      <c r="N181" s="151">
        <f>INPUT!BK214</f>
        <v>6104</v>
      </c>
      <c r="O181" s="687">
        <f>INPUT!BL214</f>
        <v>41.805087698919728</v>
      </c>
      <c r="P181" s="151">
        <f>INPUT!BM214</f>
        <v>6040</v>
      </c>
      <c r="Q181" s="687">
        <f>INPUT!BN214</f>
        <v>31.318621589303184</v>
      </c>
      <c r="R181" s="151">
        <f>INPUT!BO214</f>
        <v>5615</v>
      </c>
      <c r="S181" s="687">
        <f>INPUT!BP214</f>
        <v>-1.5257804279200315</v>
      </c>
      <c r="T181" s="151">
        <f>INPUT!BQ214</f>
        <v>5623</v>
      </c>
      <c r="U181" s="687">
        <f>INPUT!BR214</f>
        <v>-5.5592878736983486</v>
      </c>
      <c r="V181" s="151">
        <f>INPUT!BS214</f>
        <v>5056</v>
      </c>
      <c r="W181" s="687">
        <f>INPUT!BT214</f>
        <v>-17.169069462647446</v>
      </c>
      <c r="X181" s="151">
        <f>INPUT!BU214</f>
        <v>4251</v>
      </c>
      <c r="Y181" s="687">
        <f>INPUT!BV214</f>
        <v>-29.619205298013242</v>
      </c>
      <c r="Z181" s="151">
        <f>INPUT!BW214</f>
        <v>3992</v>
      </c>
      <c r="AA181" s="687">
        <f>INPUT!BX214</f>
        <v>-28.904719501335705</v>
      </c>
      <c r="AB181" s="151">
        <f>INPUT!BY214</f>
        <v>4562</v>
      </c>
      <c r="AC181" s="687">
        <f>INPUT!BZ214</f>
        <v>-18.868931175529081</v>
      </c>
      <c r="AD181" s="151">
        <f>INPUT!CA214</f>
        <v>5176</v>
      </c>
      <c r="AE181" s="687">
        <f>INPUT!CB214</f>
        <v>2.3734177215189778</v>
      </c>
      <c r="AF181" s="151">
        <f>INPUT!CC214</f>
        <v>5287</v>
      </c>
      <c r="AG181" s="687">
        <f>INPUT!CD214</f>
        <v>24.370736297341811</v>
      </c>
      <c r="AH181" s="151">
        <f>INPUT!CE214</f>
        <v>5467</v>
      </c>
      <c r="AI181" s="687">
        <f>INPUT!CF214</f>
        <v>36.948897795591186</v>
      </c>
      <c r="AJ181" s="151">
        <f>INPUT!CG214</f>
        <v>5027</v>
      </c>
      <c r="AK181" s="687">
        <f>INPUT!CH214</f>
        <v>10.192897851819382</v>
      </c>
      <c r="AL181" s="151">
        <f>INPUT!CI214</f>
        <v>5562</v>
      </c>
      <c r="AM181" s="687">
        <f>INPUT!CJ214</f>
        <v>7.4574961360123648</v>
      </c>
      <c r="AN181" s="151">
        <f>INPUT!CK214</f>
        <v>5962</v>
      </c>
      <c r="AO181" s="687">
        <f>INPUT!CL214</f>
        <v>12.767164743710978</v>
      </c>
      <c r="AP181" s="151">
        <f>INPUT!CM214</f>
        <v>6171</v>
      </c>
      <c r="AQ181" s="687">
        <f>INPUT!CN214</f>
        <v>12.877263581488929</v>
      </c>
      <c r="AR181" s="151">
        <f>INPUT!CO214</f>
        <v>6157</v>
      </c>
      <c r="AS181" s="687">
        <f>INPUT!CP214</f>
        <v>22.478615476427287</v>
      </c>
      <c r="AT181" s="151">
        <f>INPUT!CQ214</f>
        <v>5375</v>
      </c>
      <c r="AU181" s="687">
        <f>INPUT!CR214</f>
        <v>-3.3620999640417093</v>
      </c>
      <c r="AV181" s="151">
        <f>INPUT!CS214</f>
        <v>5687</v>
      </c>
      <c r="AW181" s="687">
        <f>INPUT!CT214</f>
        <v>-4.6125461254612592</v>
      </c>
      <c r="AX181" s="151">
        <f>INPUT!CU214</f>
        <v>6202</v>
      </c>
      <c r="AY181" s="687">
        <f>INPUT!CV214</f>
        <v>0.50234970021065806</v>
      </c>
      <c r="AZ181" s="151">
        <f>INPUT!CW214</f>
        <v>6005</v>
      </c>
      <c r="BA181" s="687">
        <f>INPUT!CX214</f>
        <v>-2.4687347734286158</v>
      </c>
      <c r="BB181" s="151">
        <f>INPUT!CY214</f>
        <v>6262</v>
      </c>
      <c r="BC181" s="687">
        <f>INPUT!CZ214</f>
        <v>16.50232558139535</v>
      </c>
      <c r="BD181" s="151">
        <f>INPUT!DA214</f>
        <v>6523</v>
      </c>
      <c r="BE181" s="687">
        <f>INPUT!DB214</f>
        <v>14.700193423597675</v>
      </c>
      <c r="BF181" s="151">
        <f>INPUT!DC214</f>
        <v>6859</v>
      </c>
      <c r="BG181" s="687">
        <f>INPUT!DD214</f>
        <v>10.593356981618829</v>
      </c>
      <c r="BH181" s="151">
        <f>INPUT!DE214</f>
        <v>6972</v>
      </c>
      <c r="BI181" s="687">
        <f>INPUT!DF214</f>
        <v>16.10324729392174</v>
      </c>
      <c r="BJ181" s="151">
        <f>INPUT!DG214</f>
        <v>7453</v>
      </c>
      <c r="BK181" s="687">
        <f>INPUT!DH214</f>
        <v>19.019482593420634</v>
      </c>
      <c r="BL181" s="151">
        <f>INPUT!DI214</f>
        <v>8094</v>
      </c>
      <c r="BM181" s="687">
        <f>INPUT!DJ214</f>
        <v>24.084010424651225</v>
      </c>
      <c r="BN181" s="151">
        <f>INPUT!DK214</f>
        <v>8354</v>
      </c>
      <c r="BO181" s="687">
        <f>INPUT!DL214</f>
        <v>21.796180201195515</v>
      </c>
      <c r="BP181" s="151">
        <f>INPUT!DM214</f>
        <v>8842</v>
      </c>
      <c r="BQ181" s="687">
        <f>INPUT!DN214</f>
        <v>26.821572002294893</v>
      </c>
      <c r="BR181" s="151">
        <f>INPUT!DO214</f>
        <v>8854</v>
      </c>
      <c r="BS181" s="687">
        <f>INPUT!DP214</f>
        <v>18.797799543807869</v>
      </c>
      <c r="BT181" s="151">
        <f>INPUT!DQ214</f>
        <v>9263</v>
      </c>
      <c r="BU181" s="687">
        <f>INPUT!DR214</f>
        <v>14.442797133679264</v>
      </c>
      <c r="BV181" s="151">
        <f>INPUT!DS214</f>
        <v>9635</v>
      </c>
      <c r="BW181" s="687">
        <f>INPUT!DT214</f>
        <v>15.33397175005986</v>
      </c>
      <c r="BX181" s="151">
        <f>INPUT!DU214</f>
        <v>9766</v>
      </c>
      <c r="BY181" s="687">
        <f>INPUT!DV214</f>
        <v>10.450124406242933</v>
      </c>
      <c r="BZ181" s="151">
        <f>INPUT!DW214</f>
        <v>9213</v>
      </c>
      <c r="CA181" s="687">
        <f>INPUT!DX214</f>
        <v>-542.54987559375706</v>
      </c>
      <c r="CB181" s="151">
        <f>INPUT!DY214</f>
        <v>9696</v>
      </c>
      <c r="CC181" s="687">
        <f>INPUT!DZ214</f>
        <v>4.6745114973550717</v>
      </c>
      <c r="CD181" s="151">
        <f>INPUT!EA214</f>
        <v>9830</v>
      </c>
      <c r="CE181" s="687">
        <f>INPUT!EB214</f>
        <v>2.0238713025428234</v>
      </c>
      <c r="CF181" s="151">
        <f>INPUT!EC214</f>
        <v>10172</v>
      </c>
      <c r="CG181" s="687">
        <f>INPUT!ED214</f>
        <v>4.1572803604341679</v>
      </c>
      <c r="CH181" s="151">
        <f>INPUT!EE214</f>
        <v>10763</v>
      </c>
      <c r="CI181" s="687">
        <f>INPUT!EF214</f>
        <v>16.824052968631275</v>
      </c>
      <c r="CJ181" s="151">
        <f>INPUT!EG214</f>
        <v>11058</v>
      </c>
      <c r="CK181" s="687">
        <f>INPUT!EH214</f>
        <v>14.047029702970292</v>
      </c>
      <c r="CL181" s="151">
        <f>INPUT!EI214</f>
        <v>11772</v>
      </c>
      <c r="CM181" s="687">
        <f>INPUT!EJ214</f>
        <v>19.755849440488294</v>
      </c>
      <c r="CN181" s="151">
        <f>INPUT!EK214</f>
        <v>12296</v>
      </c>
      <c r="CO181" s="687">
        <f>INPUT!EL214</f>
        <v>20.880849390483689</v>
      </c>
      <c r="CP181" s="151">
        <f>INPUT!EM214</f>
        <v>12916</v>
      </c>
      <c r="CQ181" s="687">
        <f>INPUT!EN214</f>
        <v>20.003716435937946</v>
      </c>
      <c r="CR181" s="151">
        <f>INPUT!EO214</f>
        <v>13851</v>
      </c>
      <c r="CS181" s="687">
        <f>INPUT!EP214</f>
        <v>25.257731958762886</v>
      </c>
      <c r="CT181" s="151">
        <f>INPUT!EQ214</f>
        <v>13798.658379580263</v>
      </c>
      <c r="CU181" s="687">
        <f>INPUT!ER214</f>
        <v>17.21592235457241</v>
      </c>
      <c r="CV181" s="151">
        <f>INPUT!ES214</f>
        <v>14067.769959793946</v>
      </c>
      <c r="CW181" s="687">
        <f>INPUT!ET214</f>
        <v>14.409319777114082</v>
      </c>
      <c r="CX181" s="151">
        <f>INPUT!EU214</f>
        <v>14300.887733031312</v>
      </c>
      <c r="CY181" s="687">
        <f>INPUT!EV214</f>
        <v>10.722264888752807</v>
      </c>
      <c r="CZ181" s="151">
        <f>INPUT!EW214</f>
        <v>14892.182971091101</v>
      </c>
      <c r="DA181" s="687">
        <f>INPUT!EX214</f>
        <v>7.5170238328720052</v>
      </c>
      <c r="DB181" s="16"/>
      <c r="DC181" s="151">
        <f>INPUT!FP214</f>
        <v>2241</v>
      </c>
      <c r="DD181" s="687" t="str">
        <f>INPUT!FQ214</f>
        <v>NA</v>
      </c>
      <c r="DE181" s="151">
        <f>INPUT!FR214</f>
        <v>4599</v>
      </c>
      <c r="DF181" s="687" t="str">
        <f>INPUT!FS214</f>
        <v>NM</v>
      </c>
      <c r="DG181" s="151">
        <f>INPUT!FT214</f>
        <v>6040</v>
      </c>
      <c r="DH181" s="687">
        <f>INPUT!FU214</f>
        <v>31.332898456186122</v>
      </c>
      <c r="DI181" s="151">
        <f>INPUT!FV214</f>
        <v>4251</v>
      </c>
      <c r="DJ181" s="687">
        <f>INPUT!FW214</f>
        <v>-29.619205298013242</v>
      </c>
      <c r="DK181" s="151">
        <f>INPUT!FX214</f>
        <v>5287</v>
      </c>
      <c r="DL181" s="687">
        <f>INPUT!FY214</f>
        <v>24.370736297341811</v>
      </c>
      <c r="DM181" s="151">
        <f>INPUT!FZ214</f>
        <v>5962</v>
      </c>
      <c r="DN181" s="687">
        <f>INPUT!GA214</f>
        <v>12.767164743710978</v>
      </c>
      <c r="DO181" s="151">
        <f>INPUT!GB214</f>
        <v>5687</v>
      </c>
      <c r="DP181" s="687">
        <f>INPUT!GC214</f>
        <v>-4.6125461254612592</v>
      </c>
      <c r="DQ181" s="151">
        <f>INPUT!GD214</f>
        <v>6523</v>
      </c>
      <c r="DR181" s="687">
        <f>INPUT!GE214</f>
        <v>14.700193423597675</v>
      </c>
      <c r="DS181" s="151">
        <f>INPUT!GF214</f>
        <v>8094</v>
      </c>
      <c r="DT181" s="687">
        <f>INPUT!GG214</f>
        <v>24.084010424651225</v>
      </c>
      <c r="DU181" s="151">
        <f>INPUT!GH214</f>
        <v>9263</v>
      </c>
      <c r="DV181" s="687">
        <f>INPUT!GI214</f>
        <v>14.442797133679264</v>
      </c>
      <c r="DW181" s="151">
        <f>INPUT!GJ214</f>
        <v>9696</v>
      </c>
      <c r="DX181" s="687">
        <f>INPUT!GK214</f>
        <v>4.6745114973550717</v>
      </c>
      <c r="DY181" s="151">
        <f>INPUT!GL214</f>
        <v>11058</v>
      </c>
      <c r="DZ181" s="687">
        <f>INPUT!GM214</f>
        <v>14.047029702970292</v>
      </c>
      <c r="EA181" s="151">
        <f>INPUT!GN214</f>
        <v>13851</v>
      </c>
      <c r="EB181" s="687">
        <f>INPUT!GO214</f>
        <v>25.257731958762886</v>
      </c>
      <c r="EC181" s="151">
        <f>INPUT!GP214</f>
        <v>14892.182971091101</v>
      </c>
      <c r="ED181" s="687">
        <f>INPUT!GQ214</f>
        <v>7.5170238328720052</v>
      </c>
      <c r="EE181" s="151">
        <f>INPUT!GR214</f>
        <v>15564.467826210117</v>
      </c>
      <c r="EF181" s="687">
        <f>INPUT!GS214</f>
        <v>4.5143472681208996</v>
      </c>
      <c r="EG181" s="151">
        <f>INPUT!GT214</f>
        <v>16316.22248588915</v>
      </c>
      <c r="EH181" s="687">
        <f>INPUT!GU214</f>
        <v>4.8299413001008595</v>
      </c>
      <c r="EI181" s="151">
        <f>INPUT!GV214</f>
        <v>17150.651870335565</v>
      </c>
      <c r="EJ181" s="687">
        <f>INPUT!GW214</f>
        <v>5.114108888672364</v>
      </c>
      <c r="EK181" s="151">
        <f>INPUT!GX214</f>
        <v>18071.248276033544</v>
      </c>
      <c r="EL181" s="687">
        <f>INPUT!GY214</f>
        <v>5.3677050450209318</v>
      </c>
      <c r="EM181" s="687">
        <f>INPUT!GZ214</f>
        <v>5.4633116959083905</v>
      </c>
    </row>
    <row r="182" spans="1:152" ht="12.75" hidden="1" customHeight="1" outlineLevel="1" x14ac:dyDescent="0.2">
      <c r="A182" s="701"/>
      <c r="B182" s="16"/>
      <c r="C182" s="687"/>
      <c r="D182" s="16"/>
      <c r="E182" s="687"/>
      <c r="F182" s="16"/>
      <c r="G182" s="687"/>
      <c r="H182" s="16"/>
      <c r="I182" s="687"/>
      <c r="J182" s="16"/>
      <c r="K182" s="687"/>
      <c r="L182" s="16"/>
      <c r="M182" s="687"/>
      <c r="N182" s="16"/>
      <c r="O182" s="687"/>
      <c r="P182" s="16"/>
      <c r="Q182" s="687"/>
      <c r="R182" s="16"/>
      <c r="S182" s="687"/>
      <c r="T182" s="16"/>
      <c r="U182" s="687"/>
      <c r="V182" s="16"/>
      <c r="W182" s="687"/>
      <c r="X182" s="16"/>
      <c r="Y182" s="687"/>
      <c r="Z182" s="16"/>
      <c r="AA182" s="687"/>
      <c r="AB182" s="16"/>
      <c r="AC182" s="687"/>
      <c r="AD182" s="16"/>
      <c r="AE182" s="687"/>
      <c r="AF182" s="16"/>
      <c r="AG182" s="687"/>
      <c r="AH182" s="16"/>
      <c r="AI182" s="687"/>
      <c r="AJ182" s="16"/>
      <c r="AK182" s="687"/>
      <c r="AL182" s="16"/>
      <c r="AM182" s="687"/>
      <c r="AN182" s="16"/>
      <c r="AO182" s="687"/>
      <c r="AP182" s="16"/>
      <c r="AQ182" s="687"/>
      <c r="AR182" s="16"/>
      <c r="AS182" s="687"/>
      <c r="AT182" s="16"/>
      <c r="AU182" s="687"/>
      <c r="AV182" s="16"/>
      <c r="AW182" s="687"/>
      <c r="AX182" s="16"/>
      <c r="AY182" s="687"/>
      <c r="AZ182" s="16"/>
      <c r="BA182" s="687"/>
      <c r="BB182" s="16"/>
      <c r="BC182" s="687"/>
      <c r="BD182" s="16"/>
      <c r="BE182" s="687"/>
      <c r="BF182" s="16"/>
      <c r="BG182" s="687"/>
      <c r="BH182" s="16"/>
      <c r="BI182" s="687"/>
      <c r="BJ182" s="16"/>
      <c r="BK182" s="687"/>
      <c r="BL182" s="16"/>
      <c r="BM182" s="687"/>
      <c r="BN182" s="16"/>
      <c r="BO182" s="687"/>
      <c r="BP182" s="16"/>
      <c r="BQ182" s="687"/>
      <c r="BR182" s="16"/>
      <c r="BS182" s="687"/>
      <c r="BT182" s="16"/>
      <c r="BU182" s="687"/>
      <c r="BV182" s="16"/>
      <c r="BW182" s="687"/>
      <c r="BX182" s="16"/>
      <c r="BY182" s="687"/>
      <c r="BZ182" s="16"/>
      <c r="CA182" s="687"/>
      <c r="CB182" s="16"/>
      <c r="CC182" s="687"/>
      <c r="CD182" s="16"/>
      <c r="CE182" s="687"/>
      <c r="CF182" s="16"/>
      <c r="CG182" s="687"/>
      <c r="CH182" s="16"/>
      <c r="CI182" s="687"/>
      <c r="CJ182" s="16"/>
      <c r="CK182" s="687"/>
      <c r="CL182" s="16"/>
      <c r="CM182" s="687"/>
      <c r="CN182" s="16"/>
      <c r="CO182" s="687"/>
      <c r="CP182" s="16"/>
      <c r="CQ182" s="687"/>
      <c r="CR182" s="16"/>
      <c r="CS182" s="687"/>
      <c r="CT182" s="16"/>
      <c r="CU182" s="687"/>
      <c r="CV182" s="16"/>
      <c r="CW182" s="687"/>
      <c r="CX182" s="16"/>
      <c r="CY182" s="687"/>
      <c r="CZ182" s="16"/>
      <c r="DA182" s="687"/>
      <c r="DB182" s="16"/>
      <c r="DC182" s="16"/>
      <c r="DD182" s="687"/>
      <c r="DE182" s="16"/>
      <c r="DF182" s="687"/>
      <c r="DG182" s="16"/>
      <c r="DH182" s="687"/>
      <c r="DI182" s="16"/>
      <c r="DJ182" s="687"/>
      <c r="DK182" s="16"/>
      <c r="DL182" s="687"/>
      <c r="DM182" s="16"/>
      <c r="DN182" s="687"/>
      <c r="DO182" s="16"/>
      <c r="DP182" s="687"/>
      <c r="DQ182" s="16"/>
      <c r="DR182" s="687"/>
      <c r="DS182" s="16"/>
      <c r="DT182" s="687"/>
      <c r="DU182" s="16"/>
      <c r="DV182" s="687"/>
      <c r="DW182" s="16"/>
      <c r="DX182" s="687"/>
      <c r="DY182" s="16"/>
      <c r="DZ182" s="687"/>
      <c r="EA182" s="16"/>
      <c r="EB182" s="687"/>
      <c r="EC182" s="16"/>
      <c r="ED182" s="687"/>
      <c r="EE182" s="16"/>
      <c r="EF182" s="687"/>
      <c r="EG182" s="16"/>
      <c r="EH182" s="687"/>
      <c r="EI182" s="16"/>
      <c r="EJ182" s="687"/>
      <c r="EK182" s="16"/>
      <c r="EL182" s="687"/>
      <c r="EM182" s="687"/>
    </row>
    <row r="183" spans="1:152" ht="12.75" hidden="1" customHeight="1" outlineLevel="1" x14ac:dyDescent="0.2">
      <c r="A183" s="701" t="str">
        <f>INPUT!B221</f>
        <v>Net Flows</v>
      </c>
      <c r="B183" s="151">
        <f>INPUT!AY221</f>
        <v>38</v>
      </c>
      <c r="C183" s="687">
        <f>INPUT!AZ221</f>
        <v>-9.5238095238095237</v>
      </c>
      <c r="D183" s="151">
        <f>INPUT!BA221</f>
        <v>66</v>
      </c>
      <c r="E183" s="687">
        <f>INPUT!BB221</f>
        <v>64.999999999999986</v>
      </c>
      <c r="F183" s="151">
        <f>INPUT!BC221</f>
        <v>49</v>
      </c>
      <c r="G183" s="687">
        <f>INPUT!BD221</f>
        <v>19.512195121951216</v>
      </c>
      <c r="H183" s="151">
        <f>INPUT!BE221</f>
        <v>80</v>
      </c>
      <c r="I183" s="687">
        <f>INPUT!BF221</f>
        <v>31.147540983606547</v>
      </c>
      <c r="J183" s="151">
        <f>INPUT!BG221</f>
        <v>80</v>
      </c>
      <c r="K183" s="687" t="str">
        <f>INPUT!BH221</f>
        <v>NM</v>
      </c>
      <c r="L183" s="151">
        <f>INPUT!BI221</f>
        <v>33</v>
      </c>
      <c r="M183" s="687">
        <f>INPUT!BJ221</f>
        <v>-50</v>
      </c>
      <c r="N183" s="151">
        <f>INPUT!BK221</f>
        <v>76</v>
      </c>
      <c r="O183" s="687">
        <f>INPUT!BL221</f>
        <v>55.102040816326522</v>
      </c>
      <c r="P183" s="151">
        <f>INPUT!BM221</f>
        <v>125</v>
      </c>
      <c r="Q183" s="687">
        <f>INPUT!BN221</f>
        <v>56.25</v>
      </c>
      <c r="R183" s="151">
        <f>INPUT!BO221</f>
        <v>156</v>
      </c>
      <c r="S183" s="687">
        <f>INPUT!BP221</f>
        <v>95</v>
      </c>
      <c r="T183" s="151">
        <f>INPUT!BQ221</f>
        <v>108</v>
      </c>
      <c r="U183" s="687" t="str">
        <f>INPUT!BR221</f>
        <v>NM</v>
      </c>
      <c r="V183" s="151">
        <f>INPUT!BS221</f>
        <v>121</v>
      </c>
      <c r="W183" s="687">
        <f>INPUT!BT221</f>
        <v>59.210526315789465</v>
      </c>
      <c r="X183" s="151">
        <f>INPUT!BU221</f>
        <v>178</v>
      </c>
      <c r="Y183" s="687">
        <f>INPUT!BV221</f>
        <v>42.399999999999991</v>
      </c>
      <c r="Z183" s="151">
        <f>INPUT!BW221</f>
        <v>100</v>
      </c>
      <c r="AA183" s="687">
        <f>INPUT!BX221</f>
        <v>-35.897435897435891</v>
      </c>
      <c r="AB183" s="151">
        <f>INPUT!BY221</f>
        <v>91</v>
      </c>
      <c r="AC183" s="687">
        <f>INPUT!BZ221</f>
        <v>-15.740740740740744</v>
      </c>
      <c r="AD183" s="151">
        <f>INPUT!CA221</f>
        <v>79</v>
      </c>
      <c r="AE183" s="687">
        <f>INPUT!CB221</f>
        <v>-34.710743801652889</v>
      </c>
      <c r="AF183" s="151">
        <f>INPUT!CC221</f>
        <v>-10</v>
      </c>
      <c r="AG183" s="687" t="str">
        <f>INPUT!CD221</f>
        <v>NM</v>
      </c>
      <c r="AH183" s="151">
        <f>INPUT!CE221</f>
        <v>59</v>
      </c>
      <c r="AI183" s="687">
        <f>INPUT!CF221</f>
        <v>-41</v>
      </c>
      <c r="AJ183" s="151">
        <f>INPUT!CG221</f>
        <v>53</v>
      </c>
      <c r="AK183" s="687">
        <f>INPUT!CH221</f>
        <v>-41.758241758241752</v>
      </c>
      <c r="AL183" s="151">
        <f>INPUT!CI221</f>
        <v>126</v>
      </c>
      <c r="AM183" s="687">
        <f>INPUT!CJ221</f>
        <v>59.493670886075954</v>
      </c>
      <c r="AN183" s="151">
        <f>INPUT!CK221</f>
        <v>74</v>
      </c>
      <c r="AO183" s="687" t="str">
        <f>INPUT!CL221</f>
        <v>NM</v>
      </c>
      <c r="AP183" s="151">
        <f>INPUT!CM221</f>
        <v>31</v>
      </c>
      <c r="AQ183" s="687">
        <f>INPUT!CN221</f>
        <v>-47.457627118644062</v>
      </c>
      <c r="AR183" s="151">
        <f>INPUT!CO221</f>
        <v>38</v>
      </c>
      <c r="AS183" s="687">
        <f>INPUT!CP221</f>
        <v>-28.301886792452834</v>
      </c>
      <c r="AT183" s="151">
        <f>INPUT!CQ221</f>
        <v>30</v>
      </c>
      <c r="AU183" s="687" t="str">
        <f>INPUT!CR221</f>
        <v>NM</v>
      </c>
      <c r="AV183" s="151">
        <f>INPUT!CS221</f>
        <v>2</v>
      </c>
      <c r="AW183" s="687" t="str">
        <f>INPUT!CT221</f>
        <v>NM</v>
      </c>
      <c r="AX183" s="151">
        <f>INPUT!CU221</f>
        <v>67</v>
      </c>
      <c r="AY183" s="687" t="str">
        <f>INPUT!CV221</f>
        <v>NM</v>
      </c>
      <c r="AZ183" s="151">
        <f>INPUT!CW221</f>
        <v>54</v>
      </c>
      <c r="BA183" s="687">
        <f>INPUT!CX221</f>
        <v>42.105263157894733</v>
      </c>
      <c r="BB183" s="151">
        <f>INPUT!CY221</f>
        <v>51</v>
      </c>
      <c r="BC183" s="687">
        <f>INPUT!CZ221</f>
        <v>70</v>
      </c>
      <c r="BD183" s="151">
        <f>INPUT!DA221</f>
        <v>283</v>
      </c>
      <c r="BE183" s="687" t="str">
        <f>INPUT!DB221</f>
        <v>NM</v>
      </c>
      <c r="BF183" s="151">
        <f>INPUT!DC221</f>
        <v>37</v>
      </c>
      <c r="BG183" s="687">
        <f>INPUT!DD221</f>
        <v>-44.776119402985074</v>
      </c>
      <c r="BH183" s="151">
        <f>INPUT!DE221</f>
        <v>170</v>
      </c>
      <c r="BI183" s="687" t="str">
        <f>INPUT!DF221</f>
        <v>NM</v>
      </c>
      <c r="BJ183" s="151">
        <f>INPUT!DG221</f>
        <v>179</v>
      </c>
      <c r="BK183" s="687" t="str">
        <f>INPUT!DH221</f>
        <v>NM</v>
      </c>
      <c r="BL183" s="151">
        <f>INPUT!DI221</f>
        <v>303</v>
      </c>
      <c r="BM183" s="687">
        <f>INPUT!DJ221</f>
        <v>7.067137809187285</v>
      </c>
      <c r="BN183" s="151">
        <f>INPUT!DK221</f>
        <v>252</v>
      </c>
      <c r="BO183" s="687" t="str">
        <f>INPUT!DL221</f>
        <v>NM</v>
      </c>
      <c r="BP183" s="151">
        <f>INPUT!DM221</f>
        <v>282</v>
      </c>
      <c r="BQ183" s="687">
        <f>INPUT!DN221</f>
        <v>65.882352941176478</v>
      </c>
      <c r="BR183" s="151">
        <f>INPUT!DO221</f>
        <v>259</v>
      </c>
      <c r="BS183" s="687">
        <f>INPUT!DP221</f>
        <v>44.692737430167597</v>
      </c>
      <c r="BT183" s="151">
        <f>INPUT!DQ221</f>
        <v>323</v>
      </c>
      <c r="BU183" s="687">
        <f>INPUT!DR221</f>
        <v>6.6006600660065917</v>
      </c>
      <c r="BV183" s="151">
        <f>INPUT!DS221</f>
        <v>266</v>
      </c>
      <c r="BW183" s="687">
        <f>INPUT!DT221</f>
        <v>5.555555555555558</v>
      </c>
      <c r="BX183" s="151">
        <f>INPUT!DU221</f>
        <v>264</v>
      </c>
      <c r="BY183" s="687">
        <f>INPUT!DV221</f>
        <v>-6.3829787234042534</v>
      </c>
      <c r="BZ183" s="151">
        <f>INPUT!DW221</f>
        <v>221</v>
      </c>
      <c r="CA183" s="687">
        <f>INPUT!DX221</f>
        <v>221</v>
      </c>
      <c r="CB183" s="151">
        <f>INPUT!DY221</f>
        <v>296</v>
      </c>
      <c r="CC183" s="687">
        <f>INPUT!DZ221</f>
        <v>-8.3591331269349816</v>
      </c>
      <c r="CD183" s="151">
        <f>INPUT!EA221</f>
        <v>202</v>
      </c>
      <c r="CE183" s="687">
        <f>INPUT!EB221</f>
        <v>-24.060150375939848</v>
      </c>
      <c r="CF183" s="151">
        <f>INPUT!EC221</f>
        <v>280</v>
      </c>
      <c r="CG183" s="687">
        <f>INPUT!ED221</f>
        <v>6.0606060606060552</v>
      </c>
      <c r="CH183" s="151">
        <f>INPUT!EE221</f>
        <v>322</v>
      </c>
      <c r="CI183" s="687">
        <f>INPUT!EF221</f>
        <v>45.701357466063342</v>
      </c>
      <c r="CJ183" s="151">
        <f>INPUT!EG221</f>
        <v>291</v>
      </c>
      <c r="CK183" s="687">
        <f>INPUT!EH221</f>
        <v>-1.6891891891891886</v>
      </c>
      <c r="CL183" s="151">
        <f>INPUT!EI221</f>
        <v>285</v>
      </c>
      <c r="CM183" s="687">
        <f>INPUT!EJ221</f>
        <v>41.089108910891085</v>
      </c>
      <c r="CN183" s="151">
        <f>INPUT!EK221</f>
        <v>302</v>
      </c>
      <c r="CO183" s="687">
        <f>INPUT!EL221</f>
        <v>7.8571428571428514</v>
      </c>
      <c r="CP183" s="151">
        <f>INPUT!EM221</f>
        <v>304</v>
      </c>
      <c r="CQ183" s="687">
        <f>INPUT!EN221</f>
        <v>-5.5900621118012417</v>
      </c>
      <c r="CR183" s="151">
        <f>INPUT!EO221</f>
        <v>572</v>
      </c>
      <c r="CS183" s="687">
        <f>INPUT!EP221</f>
        <v>96.563573883161496</v>
      </c>
      <c r="CT183" s="151">
        <f>INPUT!EQ221</f>
        <v>206.14877671105609</v>
      </c>
      <c r="CU183" s="687">
        <f>INPUT!ER221</f>
        <v>-27.667095890857517</v>
      </c>
      <c r="CV183" s="151">
        <f>INPUT!ES221</f>
        <v>265.64580045774198</v>
      </c>
      <c r="CW183" s="687">
        <f>INPUT!ET221</f>
        <v>-12.037814417966231</v>
      </c>
      <c r="CX183" s="151">
        <f>INPUT!EU221</f>
        <v>224.26209096589048</v>
      </c>
      <c r="CY183" s="687">
        <f>INPUT!EV221</f>
        <v>-26.22957534016761</v>
      </c>
      <c r="CZ183" s="151">
        <f>INPUT!EW221</f>
        <v>590.75770439134521</v>
      </c>
      <c r="DA183" s="687">
        <f>INPUT!EX221</f>
        <v>3.279318949535881</v>
      </c>
      <c r="DB183" s="16"/>
      <c r="DC183" s="151">
        <f>INPUT!FP221</f>
        <v>184</v>
      </c>
      <c r="DD183" s="687" t="str">
        <f>INPUT!FQ221</f>
        <v>NA</v>
      </c>
      <c r="DE183" s="151">
        <f>INPUT!FR221</f>
        <v>233</v>
      </c>
      <c r="DF183" s="687">
        <f>INPUT!FS221</f>
        <v>26.630434782608692</v>
      </c>
      <c r="DG183" s="151">
        <f>INPUT!FT221</f>
        <v>314</v>
      </c>
      <c r="DH183" s="687">
        <f>INPUT!FU221</f>
        <v>34.763948497854066</v>
      </c>
      <c r="DI183" s="151">
        <f>INPUT!FV221</f>
        <v>563</v>
      </c>
      <c r="DJ183" s="687">
        <f>INPUT!FW221</f>
        <v>79.29936305732484</v>
      </c>
      <c r="DK183" s="151">
        <f>INPUT!FX221</f>
        <v>260</v>
      </c>
      <c r="DL183" s="687" t="str">
        <f>INPUT!FY221</f>
        <v>NM</v>
      </c>
      <c r="DM183" s="151">
        <f>INPUT!FZ221</f>
        <v>312</v>
      </c>
      <c r="DN183" s="687">
        <f>INPUT!GA221</f>
        <v>19.999999999999996</v>
      </c>
      <c r="DO183" s="151">
        <f>INPUT!GB221</f>
        <v>101</v>
      </c>
      <c r="DP183" s="687" t="str">
        <f>INPUT!GC221</f>
        <v>NM</v>
      </c>
      <c r="DQ183" s="151">
        <f>INPUT!GD221</f>
        <v>455</v>
      </c>
      <c r="DR183" s="687" t="str">
        <f>INPUT!GE221</f>
        <v>NM</v>
      </c>
      <c r="DS183" s="151">
        <f>INPUT!GF221</f>
        <v>689</v>
      </c>
      <c r="DT183" s="687">
        <f>INPUT!GG221</f>
        <v>51.428571428571423</v>
      </c>
      <c r="DU183" s="151">
        <f>INPUT!GH221</f>
        <v>1116</v>
      </c>
      <c r="DV183" s="687">
        <f>INPUT!GI221</f>
        <v>61.973875181422343</v>
      </c>
      <c r="DW183" s="151">
        <f>INPUT!GJ221</f>
        <v>1047</v>
      </c>
      <c r="DX183" s="687">
        <f>INPUT!GK221</f>
        <v>-6.1827956989247257</v>
      </c>
      <c r="DY183" s="151">
        <f>INPUT!GL221</f>
        <v>1095</v>
      </c>
      <c r="DZ183" s="687">
        <f>INPUT!GM221</f>
        <v>4.5845272206303633</v>
      </c>
      <c r="EA183" s="151">
        <f>INPUT!GN221</f>
        <v>1463</v>
      </c>
      <c r="EB183" s="687">
        <f>INPUT!GO221</f>
        <v>33.607305936073061</v>
      </c>
      <c r="EC183" s="151">
        <f>INPUT!GP221</f>
        <v>1286.8143725260336</v>
      </c>
      <c r="ED183" s="687">
        <f>INPUT!GQ221</f>
        <v>-12.042763326997019</v>
      </c>
      <c r="EE183" s="151">
        <f>INPUT!GR221</f>
        <v>1352.706455119016</v>
      </c>
      <c r="EF183" s="687">
        <f>INPUT!GS221</f>
        <v>5.120558489227589</v>
      </c>
      <c r="EG183" s="151">
        <f>INPUT!GT221</f>
        <v>1445.7846916790331</v>
      </c>
      <c r="EH183" s="687">
        <f>INPUT!GU221</f>
        <v>6.8808895091601929</v>
      </c>
      <c r="EI183" s="151">
        <f>INPUT!GV221</f>
        <v>1542.3400170864161</v>
      </c>
      <c r="EJ183" s="687">
        <f>INPUT!GW221</f>
        <v>6.6784028052787381</v>
      </c>
      <c r="EK183" s="151">
        <f>INPUT!GX221</f>
        <v>1642.6652509907776</v>
      </c>
      <c r="EL183" s="687">
        <f>INPUT!GY221</f>
        <v>6.5047416777710643</v>
      </c>
      <c r="EM183" s="687">
        <f>INPUT!GZ221</f>
        <v>2.3436611104266092</v>
      </c>
    </row>
    <row r="184" spans="1:152" ht="12.75" hidden="1" customHeight="1" outlineLevel="1" x14ac:dyDescent="0.2">
      <c r="A184" s="701" t="str">
        <f>INPUT!B224</f>
        <v>Inv Perf/BOP AUM (%)</v>
      </c>
      <c r="B184" s="464">
        <f>INPUT!AY224</f>
        <v>21.235779611867052</v>
      </c>
      <c r="C184" s="687">
        <f>INPUT!AZ224</f>
        <v>0</v>
      </c>
      <c r="D184" s="464">
        <f>INPUT!BA224</f>
        <v>-11.552346570397113</v>
      </c>
      <c r="E184" s="687">
        <f>INPUT!BB224</f>
        <v>0</v>
      </c>
      <c r="F184" s="464">
        <f>INPUT!BC224</f>
        <v>13.067843090497197</v>
      </c>
      <c r="G184" s="687">
        <f>INPUT!BD224</f>
        <v>0</v>
      </c>
      <c r="H184" s="464">
        <f>INPUT!BE224</f>
        <v>27.320246253920317</v>
      </c>
      <c r="I184" s="687">
        <f>INPUT!BF224</f>
        <v>0</v>
      </c>
      <c r="J184" s="464">
        <f>INPUT!BG224</f>
        <v>6.7784516589368531</v>
      </c>
      <c r="K184" s="687">
        <f>INPUT!BH224</f>
        <v>0</v>
      </c>
      <c r="L184" s="464">
        <f>INPUT!BI224</f>
        <v>20.975096457383373</v>
      </c>
      <c r="M184" s="687">
        <f>INPUT!BJ224</f>
        <v>0</v>
      </c>
      <c r="N184" s="464">
        <f>INPUT!BK224</f>
        <v>10.950621430970777</v>
      </c>
      <c r="O184" s="687">
        <f>INPUT!BL224</f>
        <v>0</v>
      </c>
      <c r="P184" s="464">
        <f>INPUT!BM224</f>
        <v>-6.2909567496723451</v>
      </c>
      <c r="Q184" s="687">
        <f>INPUT!BN224</f>
        <v>0</v>
      </c>
      <c r="R184" s="464">
        <f>INPUT!BO224</f>
        <v>-32.185430463576161</v>
      </c>
      <c r="S184" s="687">
        <f>INPUT!BP224</f>
        <v>0</v>
      </c>
      <c r="T184" s="464">
        <f>INPUT!BQ224</f>
        <v>-0.64113980409617088</v>
      </c>
      <c r="U184" s="687">
        <f>INPUT!BR224</f>
        <v>0</v>
      </c>
      <c r="V184" s="464">
        <f>INPUT!BS224</f>
        <v>-42.39729681664592</v>
      </c>
      <c r="W184" s="687">
        <f>INPUT!BT224</f>
        <v>0</v>
      </c>
      <c r="X184" s="464">
        <f>INPUT!BU224</f>
        <v>-70.490506329113927</v>
      </c>
      <c r="Y184" s="687">
        <f>INPUT!BV224</f>
        <v>0</v>
      </c>
      <c r="Z184" s="464">
        <f>INPUT!BW224</f>
        <v>-24.935309338979064</v>
      </c>
      <c r="AA184" s="687">
        <f>INPUT!BX224</f>
        <v>0</v>
      </c>
      <c r="AB184" s="464">
        <f>INPUT!BY224</f>
        <v>56.813627254509015</v>
      </c>
      <c r="AC184" s="687">
        <f>INPUT!BZ224</f>
        <v>0</v>
      </c>
      <c r="AD184" s="464">
        <f>INPUT!CA224</f>
        <v>54.888206926786495</v>
      </c>
      <c r="AE184" s="687">
        <f>INPUT!CB224</f>
        <v>0</v>
      </c>
      <c r="AF184" s="464">
        <f>INPUT!CC224</f>
        <v>16.460587326120557</v>
      </c>
      <c r="AG184" s="687">
        <f>INPUT!CD224</f>
        <v>0</v>
      </c>
      <c r="AH184" s="156">
        <f>INPUT!CE224</f>
        <v>15.963684509173445</v>
      </c>
      <c r="AI184" s="687">
        <f>INPUT!CF224</f>
        <v>0</v>
      </c>
      <c r="AJ184" s="156">
        <f>INPUT!CG224</f>
        <v>-29.559173221145052</v>
      </c>
      <c r="AK184" s="687">
        <f>INPUT!CH224</f>
        <v>0</v>
      </c>
      <c r="AL184" s="156">
        <f>INPUT!CI224</f>
        <v>39.705589814999001</v>
      </c>
      <c r="AM184" s="687">
        <f>INPUT!CJ224</f>
        <v>0</v>
      </c>
      <c r="AN184" s="156">
        <f>INPUT!CK224</f>
        <v>30.061129090255307</v>
      </c>
      <c r="AO184" s="687">
        <f>INPUT!CL224</f>
        <v>0</v>
      </c>
      <c r="AP184" s="156">
        <f>INPUT!CM224</f>
        <v>18.114726601811473</v>
      </c>
      <c r="AQ184" s="687">
        <f>INPUT!CN224</f>
        <v>0</v>
      </c>
      <c r="AR184" s="156">
        <f>INPUT!CO224</f>
        <v>2.5279533300923673</v>
      </c>
      <c r="AS184" s="687">
        <f>INPUT!CP224</f>
        <v>0</v>
      </c>
      <c r="AT184" s="156">
        <f>INPUT!CQ224</f>
        <v>-46.71106058145201</v>
      </c>
      <c r="AU184" s="687">
        <f>INPUT!CR224</f>
        <v>0</v>
      </c>
      <c r="AV184" s="156">
        <f>INPUT!CS224</f>
        <v>29.990697674418605</v>
      </c>
      <c r="AW184" s="687">
        <f>INPUT!CT224</f>
        <v>0</v>
      </c>
      <c r="AX184" s="156">
        <f>INPUT!CU224</f>
        <v>38.192368559873394</v>
      </c>
      <c r="AY184" s="687">
        <f>INPUT!CV224</f>
        <v>0</v>
      </c>
      <c r="AZ184" s="156">
        <f>INPUT!CW224</f>
        <v>-10.512737826507578</v>
      </c>
      <c r="BA184" s="687">
        <f>INPUT!CX224</f>
        <v>0</v>
      </c>
      <c r="BB184" s="156">
        <f>INPUT!CY224</f>
        <v>20.649458784346379</v>
      </c>
      <c r="BC184" s="687">
        <f>INPUT!CZ224</f>
        <v>0</v>
      </c>
      <c r="BD184" s="156">
        <f>INPUT!DA224</f>
        <v>6.6432449696582561</v>
      </c>
      <c r="BE184" s="687">
        <f>INPUT!DB224</f>
        <v>0</v>
      </c>
      <c r="BF184" s="156">
        <f>INPUT!DC224</f>
        <v>23.547447493484594</v>
      </c>
      <c r="BG184" s="687">
        <f>INPUT!DD224</f>
        <v>0</v>
      </c>
      <c r="BH184" s="156">
        <f>INPUT!DE224</f>
        <v>3.2657821839918353</v>
      </c>
      <c r="BI184" s="687">
        <f>INPUT!DF224</f>
        <v>0</v>
      </c>
      <c r="BJ184" s="156">
        <f>INPUT!DG224</f>
        <v>23.293172690763054</v>
      </c>
      <c r="BK184" s="687">
        <f>INPUT!DH224</f>
        <v>0</v>
      </c>
      <c r="BL184" s="156">
        <f>INPUT!DI224</f>
        <v>24.527036092848515</v>
      </c>
      <c r="BM184" s="687">
        <f>INPUT!DJ224</f>
        <v>0</v>
      </c>
      <c r="BN184" s="156">
        <f>INPUT!DK224</f>
        <v>5.9303187546330616</v>
      </c>
      <c r="BO184" s="687">
        <f>INPUT!DL224</f>
        <v>0</v>
      </c>
      <c r="BP184" s="156">
        <f>INPUT!DM224</f>
        <v>15.513526454393107</v>
      </c>
      <c r="BQ184" s="687" t="str">
        <f>INPUT!DN224</f>
        <v>NM</v>
      </c>
      <c r="BR184" s="156">
        <f>INPUT!DO224</f>
        <v>-5.7905451255372089</v>
      </c>
      <c r="BS184" s="687" t="str">
        <f>INPUT!DP224</f>
        <v>NM</v>
      </c>
      <c r="BT184" s="156">
        <f>INPUT!DQ224</f>
        <v>9.6679466907612372</v>
      </c>
      <c r="BU184" s="687" t="str">
        <f>INPUT!DR224</f>
        <v>NM</v>
      </c>
      <c r="BV184" s="156">
        <f>INPUT!DS224</f>
        <v>10.191082802547772</v>
      </c>
      <c r="BW184" s="687">
        <f>INPUT!DT224</f>
        <v>71.847133757961814</v>
      </c>
      <c r="BX184" s="156">
        <f>INPUT!DU224</f>
        <v>-0.24909185262065389</v>
      </c>
      <c r="BY184" s="687" t="str">
        <f>INPUT!DV224</f>
        <v>NM</v>
      </c>
      <c r="BZ184" s="156">
        <f>INPUT!DW224</f>
        <v>-26.295310260086012</v>
      </c>
      <c r="CA184" s="687">
        <f>INPUT!DX224</f>
        <v>-24573.870129870123</v>
      </c>
      <c r="CB184" s="156">
        <f>INPUT!DY224</f>
        <v>14.327580592640835</v>
      </c>
      <c r="CC184" s="687">
        <f>INPUT!DZ224</f>
        <v>48.196727298179852</v>
      </c>
      <c r="CD184" s="156">
        <f>INPUT!EA224</f>
        <v>2.7640264026402641</v>
      </c>
      <c r="CE184" s="687" t="str">
        <f>INPUT!EB224</f>
        <v>NM</v>
      </c>
      <c r="CF184" s="156">
        <f>INPUT!EC224</f>
        <v>8.3418107833163777</v>
      </c>
      <c r="CG184" s="687" t="str">
        <f>INPUT!ED224</f>
        <v>NM</v>
      </c>
      <c r="CH184" s="156">
        <f>INPUT!EE224</f>
        <v>16.594573338576485</v>
      </c>
      <c r="CI184" s="687" t="str">
        <f>INPUT!EF224</f>
        <v>NM</v>
      </c>
      <c r="CJ184" s="156">
        <f>INPUT!EG224</f>
        <v>6.0206262194555427</v>
      </c>
      <c r="CK184" s="687" t="str">
        <f>INPUT!EH224</f>
        <v>NM</v>
      </c>
      <c r="CL184" s="156">
        <f>INPUT!EI224</f>
        <v>21.016458672454334</v>
      </c>
      <c r="CM184" s="687" t="str">
        <f>INPUT!EJ224</f>
        <v>NM</v>
      </c>
      <c r="CN184" s="156">
        <f>INPUT!EK224</f>
        <v>13.149847094801222</v>
      </c>
      <c r="CO184" s="687">
        <f>INPUT!EL224</f>
        <v>57.637801148653686</v>
      </c>
      <c r="CP184" s="156">
        <f>INPUT!EM224</f>
        <v>15.582303188028627</v>
      </c>
      <c r="CQ184" s="687">
        <f>INPUT!EN224</f>
        <v>-6.1000070920455007</v>
      </c>
      <c r="CR184" s="156">
        <f>INPUT!EO224</f>
        <v>16.630535769588111</v>
      </c>
      <c r="CS184" s="687" t="str">
        <f>INPUT!EP224</f>
        <v>NM</v>
      </c>
      <c r="CT184" s="156">
        <f>INPUT!EQ224</f>
        <v>-2.9875213957343911</v>
      </c>
      <c r="CU184" s="687" t="str">
        <f>INPUT!ER224</f>
        <v>NM</v>
      </c>
      <c r="CV184" s="156">
        <f>INPUT!ES224</f>
        <v>4.9792023262239855</v>
      </c>
      <c r="CW184" s="687" t="str">
        <f>INPUT!ET224</f>
        <v>NM</v>
      </c>
      <c r="CX184" s="156">
        <f>INPUT!EU224</f>
        <v>4.9792023262239855</v>
      </c>
      <c r="CY184" s="687" t="str">
        <f>INPUT!EV224</f>
        <v>NM</v>
      </c>
      <c r="CZ184" s="156">
        <f>INPUT!EW224</f>
        <v>4.9792023262239855</v>
      </c>
      <c r="DA184" s="687" t="str">
        <f>INPUT!EX224</f>
        <v>NM</v>
      </c>
      <c r="DB184" s="16"/>
      <c r="DC184" s="464">
        <f>INPUT!FP224</f>
        <v>39.447731755424066</v>
      </c>
      <c r="DD184" s="687">
        <f>INPUT!FQ224</f>
        <v>0</v>
      </c>
      <c r="DE184" s="464">
        <f>INPUT!FR224</f>
        <v>86.033020972780008</v>
      </c>
      <c r="DF184" s="687">
        <f>INPUT!FS224</f>
        <v>0</v>
      </c>
      <c r="DG184" s="464">
        <f>INPUT!FT224</f>
        <v>32.89332857652515</v>
      </c>
      <c r="DH184" s="687">
        <f>INPUT!FU224</f>
        <v>0</v>
      </c>
      <c r="DI184" s="464">
        <f>INPUT!FV224</f>
        <v>-131.25827814569539</v>
      </c>
      <c r="DJ184" s="687">
        <f>INPUT!FW224</f>
        <v>0</v>
      </c>
      <c r="DK184" s="156">
        <f>INPUT!FX224</f>
        <v>107.36297341801928</v>
      </c>
      <c r="DL184" s="687">
        <f>INPUT!FY224</f>
        <v>0</v>
      </c>
      <c r="DM184" s="156">
        <f>INPUT!FZ224</f>
        <v>54.775865330054849</v>
      </c>
      <c r="DN184" s="687">
        <f>INPUT!GA224</f>
        <v>0</v>
      </c>
      <c r="DO184" s="156">
        <f>INPUT!GB224</f>
        <v>-0.4696410600469641</v>
      </c>
      <c r="DP184" s="687">
        <f>INPUT!GC224</f>
        <v>0</v>
      </c>
      <c r="DQ184" s="156">
        <f>INPUT!GD224</f>
        <v>55.846667838930898</v>
      </c>
      <c r="DR184" s="687">
        <f>INPUT!GE224</f>
        <v>0</v>
      </c>
      <c r="DS184" s="156">
        <f>INPUT!GF224</f>
        <v>79.901885635443819</v>
      </c>
      <c r="DT184" s="687">
        <f>INPUT!GG224</f>
        <v>43.073685015355466</v>
      </c>
      <c r="DU184" s="156">
        <f>INPUT!GH224</f>
        <v>26.192241166296022</v>
      </c>
      <c r="DV184" s="687" t="str">
        <f>INPUT!GI224</f>
        <v>NM</v>
      </c>
      <c r="DW184" s="156">
        <f>INPUT!GJ224</f>
        <v>-3.5409694483428691</v>
      </c>
      <c r="DX184" s="687" t="str">
        <f>INPUT!GK224</f>
        <v>NM</v>
      </c>
      <c r="DY184" s="156">
        <f>INPUT!GL224</f>
        <v>35.313531353135311</v>
      </c>
      <c r="DZ184" s="687" t="str">
        <f>INPUT!GM224</f>
        <v>NM</v>
      </c>
      <c r="EA184" s="156">
        <f>INPUT!GN224</f>
        <v>71.767046482184853</v>
      </c>
      <c r="EB184" s="687" t="str">
        <f>INPUT!GO224</f>
        <v>NM</v>
      </c>
      <c r="EC184" s="156">
        <f>INPUT!GP224</f>
        <v>12.170921913654361</v>
      </c>
      <c r="ED184" s="687" t="str">
        <f>INPUT!GQ224</f>
        <v>NM</v>
      </c>
      <c r="EE184" s="156">
        <f>INPUT!GR224</f>
        <v>0</v>
      </c>
      <c r="EF184" s="687" t="str">
        <f>INPUT!GS224</f>
        <v>NM</v>
      </c>
      <c r="EG184" s="156">
        <f>INPUT!GT224</f>
        <v>0</v>
      </c>
      <c r="EH184" s="687" t="str">
        <f>INPUT!GU224</f>
        <v>NA</v>
      </c>
      <c r="EI184" s="156">
        <f>INPUT!GV224</f>
        <v>0</v>
      </c>
      <c r="EJ184" s="687" t="str">
        <f>INPUT!GW224</f>
        <v>NA</v>
      </c>
      <c r="EK184" s="156">
        <f>INPUT!GX224</f>
        <v>0</v>
      </c>
      <c r="EL184" s="687" t="str">
        <f>INPUT!GY224</f>
        <v>NA</v>
      </c>
      <c r="EM184" s="687" t="str">
        <f>INPUT!GZ224</f>
        <v>NM</v>
      </c>
    </row>
    <row r="185" spans="1:152" ht="12.75" hidden="1" customHeight="1" outlineLevel="1" x14ac:dyDescent="0.2">
      <c r="A185" s="701" t="str">
        <f>INPUT!B223</f>
        <v>Withdrawals/BOP VUL Res (%)</v>
      </c>
      <c r="B185" s="156">
        <f>INPUT!AY223</f>
        <v>8.7441445460629037</v>
      </c>
      <c r="C185" s="687">
        <f>INPUT!AZ223</f>
        <v>0</v>
      </c>
      <c r="D185" s="156">
        <f>INPUT!BA223</f>
        <v>26.842217031216819</v>
      </c>
      <c r="E185" s="687">
        <f>INPUT!BB223</f>
        <v>0</v>
      </c>
      <c r="F185" s="156">
        <f>INPUT!BC223</f>
        <v>-1.2400143078573982</v>
      </c>
      <c r="G185" s="687">
        <f>INPUT!BD223</f>
        <v>0</v>
      </c>
      <c r="H185" s="156">
        <f>INPUT!BE223</f>
        <v>6.7835985596468804</v>
      </c>
      <c r="I185" s="687">
        <f>INPUT!BF223</f>
        <v>0</v>
      </c>
      <c r="J185" s="464">
        <f>INPUT!BG223</f>
        <v>5.4941134498751332</v>
      </c>
      <c r="K185" s="687">
        <f>INPUT!BH223</f>
        <v>0</v>
      </c>
      <c r="L185" s="464">
        <f>INPUT!BI223</f>
        <v>7.6464398456681861</v>
      </c>
      <c r="M185" s="687">
        <f>INPUT!BJ223</f>
        <v>0</v>
      </c>
      <c r="N185" s="464">
        <f>INPUT!BK223</f>
        <v>6.9868995633187767</v>
      </c>
      <c r="O185" s="687">
        <f>INPUT!BL223</f>
        <v>0</v>
      </c>
      <c r="P185" s="464">
        <f>INPUT!BM223</f>
        <v>6.0288335517693321</v>
      </c>
      <c r="Q185" s="687">
        <f>INPUT!BN223</f>
        <v>0</v>
      </c>
      <c r="R185" s="464">
        <f>INPUT!BO223</f>
        <v>5.4966887417218544</v>
      </c>
      <c r="S185" s="687">
        <f>INPUT!BP223</f>
        <v>0</v>
      </c>
      <c r="T185" s="464">
        <f>INPUT!BQ223</f>
        <v>7.6936776491540515</v>
      </c>
      <c r="U185" s="687">
        <f>INPUT!BR223</f>
        <v>0</v>
      </c>
      <c r="V185" s="464">
        <f>INPUT!BS223</f>
        <v>6.1177307487106525</v>
      </c>
      <c r="W185" s="687">
        <f>INPUT!BT223</f>
        <v>0</v>
      </c>
      <c r="X185" s="464">
        <f>INPUT!BU223</f>
        <v>6.962025316455696</v>
      </c>
      <c r="Y185" s="687">
        <f>INPUT!BV223</f>
        <v>0</v>
      </c>
      <c r="Z185" s="464">
        <f>INPUT!BW223</f>
        <v>13.455657492354739</v>
      </c>
      <c r="AA185" s="687">
        <f>INPUT!BX223</f>
        <v>0</v>
      </c>
      <c r="AB185" s="464">
        <f>INPUT!BY223</f>
        <v>8.9178356713426865</v>
      </c>
      <c r="AC185" s="687">
        <f>INPUT!BZ223</f>
        <v>0</v>
      </c>
      <c r="AD185" s="464">
        <f>INPUT!CA223</f>
        <v>8.3296799649276636</v>
      </c>
      <c r="AE185" s="687">
        <f>INPUT!CB223</f>
        <v>0</v>
      </c>
      <c r="AF185" s="464">
        <f>INPUT!CC223</f>
        <v>18.778979907264297</v>
      </c>
      <c r="AG185" s="687">
        <f>INPUT!CD223</f>
        <v>0</v>
      </c>
      <c r="AH185" s="156">
        <f>INPUT!CE223</f>
        <v>8.170985435975032</v>
      </c>
      <c r="AI185" s="687">
        <f>INPUT!CF223</f>
        <v>0</v>
      </c>
      <c r="AJ185" s="156">
        <f>INPUT!CG223</f>
        <v>7.2434607645875255</v>
      </c>
      <c r="AK185" s="687">
        <f>INPUT!CH223</f>
        <v>0</v>
      </c>
      <c r="AL185" s="156">
        <f>INPUT!CI223</f>
        <v>9.62800875273523</v>
      </c>
      <c r="AM185" s="687">
        <f>INPUT!CJ223</f>
        <v>0</v>
      </c>
      <c r="AN185" s="156">
        <f>INPUT!CK223</f>
        <v>11.938151743976986</v>
      </c>
      <c r="AO185" s="687">
        <f>INPUT!CL223</f>
        <v>0</v>
      </c>
      <c r="AP185" s="156">
        <f>INPUT!CM223</f>
        <v>10.332103321033211</v>
      </c>
      <c r="AQ185" s="687">
        <f>INPUT!CN223</f>
        <v>0</v>
      </c>
      <c r="AR185" s="156">
        <f>INPUT!CO223</f>
        <v>7.1301247771836014</v>
      </c>
      <c r="AS185" s="687">
        <f>INPUT!CP223</f>
        <v>0</v>
      </c>
      <c r="AT185" s="156">
        <f>INPUT!CQ223</f>
        <v>9.6150722754588269</v>
      </c>
      <c r="AU185" s="687">
        <f>INPUT!CR223</f>
        <v>0</v>
      </c>
      <c r="AV185" s="156">
        <f>INPUT!CS223</f>
        <v>15.404651162790698</v>
      </c>
      <c r="AW185" s="687">
        <f>INPUT!CT223</f>
        <v>0</v>
      </c>
      <c r="AX185" s="156">
        <f>INPUT!CU223</f>
        <v>7.1039212238438534</v>
      </c>
      <c r="AY185" s="687">
        <f>INPUT!CV223</f>
        <v>0</v>
      </c>
      <c r="AZ185" s="156">
        <f>INPUT!CW223</f>
        <v>5.9980651402773297</v>
      </c>
      <c r="BA185" s="687">
        <f>INPUT!CX223</f>
        <v>0</v>
      </c>
      <c r="BB185" s="156">
        <f>INPUT!CY223</f>
        <v>5.5953372189841799</v>
      </c>
      <c r="BC185" s="687">
        <f>INPUT!CZ223</f>
        <v>0</v>
      </c>
      <c r="BD185" s="156">
        <f>INPUT!DA223</f>
        <v>8.3679335675503044</v>
      </c>
      <c r="BE185" s="687">
        <f>INPUT!DB223</f>
        <v>0</v>
      </c>
      <c r="BF185" s="156">
        <f>INPUT!DC223</f>
        <v>12.570902958761307</v>
      </c>
      <c r="BG185" s="687">
        <f>INPUT!DD223</f>
        <v>0</v>
      </c>
      <c r="BH185" s="156">
        <f>INPUT!DE223</f>
        <v>6.8231520629829419</v>
      </c>
      <c r="BI185" s="687">
        <f>INPUT!DF223</f>
        <v>0</v>
      </c>
      <c r="BJ185" s="156">
        <f>INPUT!DG223</f>
        <v>6.4830751577739525</v>
      </c>
      <c r="BK185" s="687">
        <f>INPUT!DH223</f>
        <v>0</v>
      </c>
      <c r="BL185" s="156">
        <f>INPUT!DI223</f>
        <v>6.7087079028579089</v>
      </c>
      <c r="BM185" s="687">
        <f>INPUT!DJ223</f>
        <v>0</v>
      </c>
      <c r="BN185" s="156">
        <f>INPUT!DK223</f>
        <v>7.1658018285149492</v>
      </c>
      <c r="BO185" s="687">
        <f>INPUT!DL223</f>
        <v>0</v>
      </c>
      <c r="BP185" s="156">
        <f>INPUT!DM223</f>
        <v>6.511850610485995</v>
      </c>
      <c r="BQ185" s="687">
        <f>INPUT!DN223</f>
        <v>-4.5624287664029044</v>
      </c>
      <c r="BR185" s="156">
        <f>INPUT!DO223</f>
        <v>4.161954308979869</v>
      </c>
      <c r="BS185" s="687">
        <f>INPUT!DP223</f>
        <v>-35.802775570337062</v>
      </c>
      <c r="BT185" s="156">
        <f>INPUT!DQ223</f>
        <v>5.5116331601536031</v>
      </c>
      <c r="BU185" s="687">
        <f>INPUT!DR223</f>
        <v>-17.843596114750383</v>
      </c>
      <c r="BV185" s="156">
        <f>INPUT!DS223</f>
        <v>5.3546367267623882</v>
      </c>
      <c r="BW185" s="687">
        <f>INPUT!DT223</f>
        <v>-25.275121264802113</v>
      </c>
      <c r="BX185" s="156">
        <f>INPUT!DU223</f>
        <v>4.815775817332641</v>
      </c>
      <c r="BY185" s="687">
        <f>INPUT!DV223</f>
        <v>-26.045972099270443</v>
      </c>
      <c r="BZ185" s="156">
        <f>INPUT!DW223</f>
        <v>6.840057341798075</v>
      </c>
      <c r="CA185" s="687">
        <f>INPUT!DX223</f>
        <v>6392.2683982683975</v>
      </c>
      <c r="CB185" s="156">
        <f>INPUT!DY223</f>
        <v>7.1203733854336262</v>
      </c>
      <c r="CC185" s="687">
        <f>INPUT!DZ223</f>
        <v>29.188085972601073</v>
      </c>
      <c r="CD185" s="156">
        <f>INPUT!EA223</f>
        <v>3.7541254125412546</v>
      </c>
      <c r="CE185" s="687">
        <f>INPUT!EB223</f>
        <v>-29.890194160545079</v>
      </c>
      <c r="CF185" s="156">
        <f>INPUT!EC223</f>
        <v>4.8423194303153609</v>
      </c>
      <c r="CG185" s="687">
        <f>INPUT!ED223</f>
        <v>0.55118041182866673</v>
      </c>
      <c r="CH185" s="156">
        <f>INPUT!EE223</f>
        <v>4.6401887534408184</v>
      </c>
      <c r="CI185" s="687">
        <f>INPUT!EF223</f>
        <v>-32.161551847151145</v>
      </c>
      <c r="CJ185" s="156">
        <f>INPUT!EG223</f>
        <v>7.3585431571123294</v>
      </c>
      <c r="CK185" s="687">
        <f>INPUT!EH223</f>
        <v>3.3449056501156926</v>
      </c>
      <c r="CL185" s="156">
        <f>INPUT!EI223</f>
        <v>3.1470428648941944</v>
      </c>
      <c r="CM185" s="687">
        <f>INPUT!EJ223</f>
        <v>-16.171077972488725</v>
      </c>
      <c r="CN185" s="156">
        <f>INPUT!EK223</f>
        <v>4.281345565749235</v>
      </c>
      <c r="CO185" s="687">
        <f>INPUT!EL223</f>
        <v>-11.584817413203819</v>
      </c>
      <c r="CP185" s="156">
        <f>INPUT!EM223</f>
        <v>2.8627195836044241</v>
      </c>
      <c r="CQ185" s="687">
        <f>INPUT!EN223</f>
        <v>-38.305966939779232</v>
      </c>
      <c r="CR185" s="156">
        <f>INPUT!EO223</f>
        <v>5.3267265407246827</v>
      </c>
      <c r="CS185" s="687">
        <f>INPUT!EP223</f>
        <v>-27.61166949770233</v>
      </c>
      <c r="CT185" s="156">
        <f>INPUT!EQ223</f>
        <v>5.3267265407246827</v>
      </c>
      <c r="CU185" s="687">
        <f>INPUT!ER223</f>
        <v>69.261327837165339</v>
      </c>
      <c r="CV185" s="156">
        <f>INPUT!ES223</f>
        <v>5.3267265407246827</v>
      </c>
      <c r="CW185" s="687">
        <f>INPUT!ET223</f>
        <v>24.417112772640827</v>
      </c>
      <c r="CX185" s="156">
        <f>INPUT!EU223</f>
        <v>5.3267265407246827</v>
      </c>
      <c r="CY185" s="687">
        <f>INPUT!EV223</f>
        <v>86.072243024859944</v>
      </c>
      <c r="CZ185" s="156">
        <f>INPUT!EW223</f>
        <v>5.3267265407246827</v>
      </c>
      <c r="DA185" s="687">
        <f>INPUT!EX223</f>
        <v>0</v>
      </c>
      <c r="DB185" s="16"/>
      <c r="DC185" s="156">
        <f>INPUT!FP223</f>
        <v>7.9881656804733732</v>
      </c>
      <c r="DD185" s="687">
        <f>INPUT!FQ223</f>
        <v>0</v>
      </c>
      <c r="DE185" s="464">
        <f>INPUT!FR223</f>
        <v>11.914323962516733</v>
      </c>
      <c r="DF185" s="687">
        <f>INPUT!FS223</f>
        <v>0</v>
      </c>
      <c r="DG185" s="464">
        <f>INPUT!FT223</f>
        <v>6.8141277202996786</v>
      </c>
      <c r="DH185" s="687">
        <f>INPUT!FU223</f>
        <v>0</v>
      </c>
      <c r="DI185" s="464">
        <f>INPUT!FV223</f>
        <v>6.0430463576158946</v>
      </c>
      <c r="DJ185" s="687">
        <f>INPUT!FW223</f>
        <v>0</v>
      </c>
      <c r="DK185" s="156">
        <f>INPUT!FX223</f>
        <v>13.408609738884969</v>
      </c>
      <c r="DL185" s="687">
        <f>INPUT!FY223</f>
        <v>0</v>
      </c>
      <c r="DM185" s="156">
        <f>INPUT!FZ223</f>
        <v>9.3436731605825614</v>
      </c>
      <c r="DN185" s="687">
        <f>INPUT!GA223</f>
        <v>0</v>
      </c>
      <c r="DO185" s="156">
        <f>INPUT!GB223</f>
        <v>10.382422006038242</v>
      </c>
      <c r="DP185" s="687">
        <f>INPUT!GC223</f>
        <v>0</v>
      </c>
      <c r="DQ185" s="156">
        <f>INPUT!GD223</f>
        <v>7.191841040970635</v>
      </c>
      <c r="DR185" s="687">
        <f>INPUT!GE223</f>
        <v>0</v>
      </c>
      <c r="DS185" s="156">
        <f>INPUT!GF223</f>
        <v>8.5850068986662578</v>
      </c>
      <c r="DT185" s="687">
        <f>INPUT!GG223</f>
        <v>19.371477341601473</v>
      </c>
      <c r="DU185" s="156">
        <f>INPUT!GH223</f>
        <v>6.1156412157153452</v>
      </c>
      <c r="DV185" s="687">
        <f>INPUT!GI223</f>
        <v>-28.763700624801437</v>
      </c>
      <c r="DW185" s="156">
        <f>INPUT!GJ223</f>
        <v>6.1643096189139586</v>
      </c>
      <c r="DX185" s="687">
        <f>INPUT!GK223</f>
        <v>0.79580213230217023</v>
      </c>
      <c r="DY185" s="156">
        <f>INPUT!GL223</f>
        <v>5.4249174917491745</v>
      </c>
      <c r="DZ185" s="687">
        <f>INPUT!GM223</f>
        <v>-11.994727274829064</v>
      </c>
      <c r="EA185" s="156">
        <f>INPUT!GN223</f>
        <v>4.277446192801591</v>
      </c>
      <c r="EB185" s="687">
        <f>INPUT!GO223</f>
        <v>-21.151866377558505</v>
      </c>
      <c r="EC185" s="156">
        <f>INPUT!GP223</f>
        <v>5.3857889500683447</v>
      </c>
      <c r="ED185" s="687">
        <f>INPUT!GQ223</f>
        <v>25.911319682570323</v>
      </c>
      <c r="EE185" s="156">
        <f>INPUT!GR223</f>
        <v>5.3857889500683447</v>
      </c>
      <c r="EF185" s="687">
        <f>INPUT!GS223</f>
        <v>0</v>
      </c>
      <c r="EG185" s="156">
        <f>INPUT!GT223</f>
        <v>5.3857889500683447</v>
      </c>
      <c r="EH185" s="687">
        <f>INPUT!GU223</f>
        <v>0</v>
      </c>
      <c r="EI185" s="156">
        <f>INPUT!GV223</f>
        <v>5.3857889500683447</v>
      </c>
      <c r="EJ185" s="687">
        <f>INPUT!GW223</f>
        <v>0</v>
      </c>
      <c r="EK185" s="156">
        <f>INPUT!GX223</f>
        <v>5.3857889500683447</v>
      </c>
      <c r="EL185" s="687">
        <f>INPUT!GY223</f>
        <v>0</v>
      </c>
      <c r="EM185" s="687">
        <f>INPUT!GZ223</f>
        <v>4.7159784744409627</v>
      </c>
    </row>
    <row r="186" spans="1:152" ht="12.75" hidden="1" customHeight="1" outlineLevel="1" x14ac:dyDescent="0.2">
      <c r="A186" s="701"/>
      <c r="B186" s="16"/>
      <c r="C186" s="687"/>
      <c r="D186" s="16"/>
      <c r="E186" s="687"/>
      <c r="F186" s="16"/>
      <c r="G186" s="687"/>
      <c r="H186" s="16"/>
      <c r="I186" s="687"/>
      <c r="J186" s="16"/>
      <c r="K186" s="687"/>
      <c r="L186" s="16"/>
      <c r="M186" s="687"/>
      <c r="N186" s="16"/>
      <c r="O186" s="687"/>
      <c r="P186" s="16"/>
      <c r="Q186" s="687"/>
      <c r="R186" s="16"/>
      <c r="S186" s="687"/>
      <c r="T186" s="16"/>
      <c r="U186" s="687"/>
      <c r="V186" s="16"/>
      <c r="W186" s="687"/>
      <c r="X186" s="16"/>
      <c r="Y186" s="687"/>
      <c r="Z186" s="16"/>
      <c r="AA186" s="687"/>
      <c r="AB186" s="16"/>
      <c r="AC186" s="687"/>
      <c r="AD186" s="16"/>
      <c r="AE186" s="687"/>
      <c r="AF186" s="16"/>
      <c r="AG186" s="687"/>
      <c r="AH186" s="16"/>
      <c r="AI186" s="687"/>
      <c r="AJ186" s="16"/>
      <c r="AK186" s="687"/>
      <c r="AL186" s="16"/>
      <c r="AM186" s="687"/>
      <c r="AN186" s="16"/>
      <c r="AO186" s="687"/>
      <c r="AP186" s="16"/>
      <c r="AQ186" s="687"/>
      <c r="AR186" s="16"/>
      <c r="AS186" s="687"/>
      <c r="AT186" s="16"/>
      <c r="AU186" s="687"/>
      <c r="AV186" s="16"/>
      <c r="AW186" s="687"/>
      <c r="AX186" s="16"/>
      <c r="AY186" s="687"/>
      <c r="AZ186" s="16"/>
      <c r="BA186" s="687"/>
      <c r="BB186" s="16"/>
      <c r="BC186" s="687"/>
      <c r="BD186" s="16"/>
      <c r="BE186" s="687"/>
      <c r="BF186" s="16"/>
      <c r="BG186" s="687"/>
      <c r="BH186" s="16"/>
      <c r="BI186" s="687"/>
      <c r="BJ186" s="16"/>
      <c r="BK186" s="687"/>
      <c r="BL186" s="16"/>
      <c r="BM186" s="687"/>
      <c r="BN186" s="16"/>
      <c r="BO186" s="687"/>
      <c r="BP186" s="16"/>
      <c r="BQ186" s="687"/>
      <c r="BR186" s="16"/>
      <c r="BS186" s="687"/>
      <c r="BT186" s="16"/>
      <c r="BU186" s="687"/>
      <c r="BV186" s="16"/>
      <c r="BW186" s="687"/>
      <c r="BX186" s="16"/>
      <c r="BY186" s="687"/>
      <c r="BZ186" s="16"/>
      <c r="CA186" s="687"/>
      <c r="CB186" s="16"/>
      <c r="CC186" s="687"/>
      <c r="CD186" s="16"/>
      <c r="CE186" s="687"/>
      <c r="CF186" s="16"/>
      <c r="CG186" s="687"/>
      <c r="CH186" s="16"/>
      <c r="CI186" s="687"/>
      <c r="CJ186" s="16"/>
      <c r="CK186" s="687"/>
      <c r="CL186" s="16"/>
      <c r="CM186" s="687"/>
      <c r="CN186" s="16"/>
      <c r="CO186" s="687"/>
      <c r="CP186" s="16"/>
      <c r="CQ186" s="687"/>
      <c r="CR186" s="16"/>
      <c r="CS186" s="687"/>
      <c r="CT186" s="16"/>
      <c r="CU186" s="687"/>
      <c r="CV186" s="16"/>
      <c r="CW186" s="687"/>
      <c r="CX186" s="16"/>
      <c r="CY186" s="687"/>
      <c r="CZ186" s="16"/>
      <c r="DA186" s="687"/>
      <c r="DB186" s="16"/>
      <c r="DC186" s="16"/>
      <c r="DD186" s="687"/>
      <c r="DE186" s="16"/>
      <c r="DF186" s="687"/>
      <c r="DG186" s="16"/>
      <c r="DH186" s="687"/>
      <c r="DI186" s="16"/>
      <c r="DJ186" s="687"/>
      <c r="DK186" s="16"/>
      <c r="DL186" s="687"/>
      <c r="DM186" s="16"/>
      <c r="DN186" s="687"/>
      <c r="DO186" s="16"/>
      <c r="DP186" s="687"/>
      <c r="DQ186" s="16"/>
      <c r="DR186" s="687"/>
      <c r="DS186" s="16"/>
      <c r="DT186" s="687"/>
      <c r="DU186" s="16"/>
      <c r="DV186" s="687"/>
      <c r="DW186" s="16"/>
      <c r="DX186" s="687"/>
      <c r="DY186" s="16"/>
      <c r="DZ186" s="687"/>
      <c r="EA186" s="16"/>
      <c r="EB186" s="687"/>
      <c r="EC186" s="16"/>
      <c r="ED186" s="687"/>
      <c r="EE186" s="16"/>
      <c r="EF186" s="687"/>
      <c r="EG186" s="16"/>
      <c r="EH186" s="687"/>
      <c r="EI186" s="16"/>
      <c r="EJ186" s="687"/>
      <c r="EK186" s="16"/>
      <c r="EL186" s="687"/>
      <c r="EM186" s="687"/>
    </row>
    <row r="187" spans="1:152" ht="12.75" hidden="1" customHeight="1" outlineLevel="1" x14ac:dyDescent="0.2">
      <c r="A187" s="689" t="str">
        <f>+A60</f>
        <v>Quarterly income statement ratios are annualized where appropriate     NM = Not Meaningful       NA = Not Applicable  E=Morgan Stanley Estimates</v>
      </c>
      <c r="B187" s="16"/>
      <c r="C187" s="687"/>
      <c r="D187" s="16"/>
      <c r="E187" s="687"/>
      <c r="F187" s="16"/>
      <c r="G187" s="687"/>
      <c r="H187" s="16"/>
      <c r="I187" s="687"/>
      <c r="J187" s="16"/>
      <c r="K187" s="687"/>
      <c r="L187" s="16"/>
      <c r="M187" s="687"/>
      <c r="N187" s="16"/>
      <c r="O187" s="687"/>
      <c r="P187" s="16"/>
      <c r="Q187" s="687"/>
      <c r="R187" s="16"/>
      <c r="S187" s="687"/>
      <c r="T187" s="16"/>
      <c r="U187" s="687"/>
      <c r="V187" s="16"/>
      <c r="W187" s="687"/>
      <c r="X187" s="16"/>
      <c r="Y187" s="687"/>
      <c r="Z187" s="16"/>
      <c r="AA187" s="687"/>
      <c r="AB187" s="16"/>
      <c r="AC187" s="687"/>
      <c r="AD187" s="16"/>
      <c r="AE187" s="687"/>
      <c r="AF187" s="16"/>
      <c r="AG187" s="687"/>
      <c r="AH187" s="16"/>
      <c r="AI187" s="687"/>
      <c r="AJ187" s="16"/>
      <c r="AK187" s="687"/>
      <c r="AL187" s="16"/>
      <c r="AM187" s="687"/>
      <c r="AN187" s="16"/>
      <c r="AO187" s="687"/>
      <c r="AP187" s="16"/>
      <c r="AQ187" s="687"/>
      <c r="AR187" s="16"/>
      <c r="AS187" s="687"/>
      <c r="AT187" s="16"/>
      <c r="AU187" s="687"/>
      <c r="AV187" s="16"/>
      <c r="AW187" s="687"/>
      <c r="AX187" s="16"/>
      <c r="AY187" s="687"/>
      <c r="AZ187" s="16"/>
      <c r="BA187" s="687"/>
      <c r="BB187" s="16"/>
      <c r="BC187" s="687"/>
      <c r="BD187" s="16"/>
      <c r="BE187" s="687"/>
      <c r="BF187" s="16"/>
      <c r="BG187" s="687"/>
      <c r="BH187" s="16"/>
      <c r="BI187" s="687"/>
      <c r="BJ187" s="16"/>
      <c r="BK187" s="687"/>
      <c r="BL187" s="16"/>
      <c r="BM187" s="687"/>
      <c r="BN187" s="16"/>
      <c r="BO187" s="687"/>
      <c r="BP187" s="16"/>
      <c r="BQ187" s="687"/>
      <c r="BR187" s="16"/>
      <c r="BS187" s="687"/>
      <c r="BT187" s="16"/>
      <c r="BU187" s="687"/>
      <c r="BV187" s="16"/>
      <c r="BW187" s="687"/>
      <c r="BX187" s="16"/>
      <c r="BY187" s="687"/>
      <c r="BZ187" s="16"/>
      <c r="CA187" s="687"/>
      <c r="CB187" s="16"/>
      <c r="CC187" s="687"/>
      <c r="CD187" s="16"/>
      <c r="CE187" s="687"/>
      <c r="CF187" s="16"/>
      <c r="CG187" s="687"/>
      <c r="CH187" s="16"/>
      <c r="CI187" s="687"/>
      <c r="CJ187" s="16"/>
      <c r="CK187" s="687"/>
      <c r="CL187" s="16"/>
      <c r="CM187" s="687"/>
      <c r="CN187" s="16"/>
      <c r="CO187" s="687"/>
      <c r="CP187" s="16"/>
      <c r="CQ187" s="687"/>
      <c r="CR187" s="16"/>
      <c r="CS187" s="687"/>
      <c r="CT187" s="16"/>
      <c r="CU187" s="687"/>
      <c r="CV187" s="16"/>
      <c r="CW187" s="687"/>
      <c r="CX187" s="16"/>
      <c r="CY187" s="687"/>
      <c r="CZ187" s="16"/>
      <c r="DA187" s="687"/>
      <c r="DB187" s="16"/>
      <c r="DC187" s="16"/>
      <c r="DD187" s="687"/>
      <c r="DE187" s="16"/>
      <c r="DF187" s="687"/>
      <c r="DG187" s="16"/>
      <c r="DH187" s="687"/>
      <c r="DI187" s="16"/>
      <c r="DJ187" s="687"/>
      <c r="DK187" s="16"/>
      <c r="DL187" s="687"/>
      <c r="DM187" s="16"/>
      <c r="DN187" s="687"/>
      <c r="DO187" s="16"/>
      <c r="DP187" s="687"/>
      <c r="DQ187" s="16"/>
      <c r="DR187" s="687"/>
      <c r="DS187" s="16"/>
      <c r="DT187" s="687"/>
      <c r="DU187" s="16"/>
      <c r="DV187" s="687"/>
      <c r="DW187" s="16"/>
      <c r="DX187" s="687"/>
      <c r="DY187" s="16"/>
      <c r="DZ187" s="687"/>
      <c r="EA187" s="16"/>
      <c r="EB187" s="687"/>
      <c r="EC187" s="16"/>
      <c r="ED187" s="687"/>
      <c r="EE187" s="16"/>
      <c r="EF187" s="687"/>
      <c r="EG187" s="16"/>
      <c r="EH187" s="687"/>
      <c r="EI187" s="16"/>
      <c r="EJ187" s="687"/>
      <c r="EK187" s="16"/>
      <c r="EL187" s="687"/>
      <c r="EM187" s="687"/>
    </row>
    <row r="188" spans="1:152" ht="12.75" hidden="1" customHeight="1" outlineLevel="1" x14ac:dyDescent="0.2">
      <c r="A188" s="689" t="s">
        <v>443</v>
      </c>
      <c r="B188" s="16"/>
      <c r="C188" s="687"/>
      <c r="D188" s="16"/>
      <c r="E188" s="687"/>
      <c r="F188" s="16"/>
      <c r="G188" s="687"/>
      <c r="H188" s="16"/>
      <c r="I188" s="687"/>
      <c r="J188" s="16"/>
      <c r="K188" s="687"/>
      <c r="L188" s="16"/>
      <c r="M188" s="687"/>
      <c r="N188" s="16"/>
      <c r="O188" s="687"/>
      <c r="P188" s="16"/>
      <c r="Q188" s="687"/>
      <c r="R188" s="16"/>
      <c r="S188" s="687"/>
      <c r="T188" s="16"/>
      <c r="U188" s="687"/>
      <c r="V188" s="16"/>
      <c r="W188" s="687"/>
      <c r="X188" s="16"/>
      <c r="Y188" s="687"/>
      <c r="Z188" s="16"/>
      <c r="AA188" s="687"/>
      <c r="AB188" s="16"/>
      <c r="AC188" s="687"/>
      <c r="AD188" s="16"/>
      <c r="AE188" s="687"/>
      <c r="AF188" s="16"/>
      <c r="AG188" s="687"/>
      <c r="AH188" s="16"/>
      <c r="AI188" s="687"/>
      <c r="AJ188" s="16"/>
      <c r="AK188" s="687"/>
      <c r="AL188" s="16"/>
      <c r="AM188" s="687"/>
      <c r="AN188" s="16"/>
      <c r="AO188" s="687"/>
      <c r="AP188" s="16"/>
      <c r="AQ188" s="687"/>
      <c r="AR188" s="16"/>
      <c r="AS188" s="687"/>
      <c r="AT188" s="16"/>
      <c r="AU188" s="687"/>
      <c r="AV188" s="16"/>
      <c r="AW188" s="687"/>
      <c r="AX188" s="16"/>
      <c r="AY188" s="687"/>
      <c r="AZ188" s="16"/>
      <c r="BA188" s="687"/>
      <c r="BB188" s="16"/>
      <c r="BC188" s="687"/>
      <c r="BD188" s="16"/>
      <c r="BE188" s="687"/>
      <c r="BF188" s="16"/>
      <c r="BG188" s="687"/>
      <c r="BH188" s="16"/>
      <c r="BI188" s="687"/>
      <c r="BJ188" s="16"/>
      <c r="BK188" s="687"/>
      <c r="BL188" s="16"/>
      <c r="BM188" s="687"/>
      <c r="BN188" s="16"/>
      <c r="BO188" s="687"/>
      <c r="BP188" s="16"/>
      <c r="BQ188" s="687"/>
      <c r="BR188" s="16"/>
      <c r="BS188" s="687"/>
      <c r="BT188" s="16"/>
      <c r="BU188" s="687"/>
      <c r="BV188" s="16"/>
      <c r="BW188" s="687"/>
      <c r="BX188" s="16"/>
      <c r="BY188" s="687"/>
      <c r="BZ188" s="16"/>
      <c r="CA188" s="687"/>
      <c r="CB188" s="16"/>
      <c r="CC188" s="687"/>
      <c r="CD188" s="16"/>
      <c r="CE188" s="687"/>
      <c r="CF188" s="16"/>
      <c r="CG188" s="687"/>
      <c r="CH188" s="16"/>
      <c r="CI188" s="687"/>
      <c r="CJ188" s="16"/>
      <c r="CK188" s="687"/>
      <c r="CL188" s="16"/>
      <c r="CM188" s="687"/>
      <c r="CN188" s="16"/>
      <c r="CO188" s="687"/>
      <c r="CP188" s="16"/>
      <c r="CQ188" s="687"/>
      <c r="CR188" s="16"/>
      <c r="CS188" s="687"/>
      <c r="CT188" s="16"/>
      <c r="CU188" s="687"/>
      <c r="CV188" s="16"/>
      <c r="CW188" s="687"/>
      <c r="CX188" s="16"/>
      <c r="CY188" s="687"/>
      <c r="CZ188" s="16"/>
      <c r="DA188" s="687"/>
      <c r="DB188" s="16"/>
      <c r="DC188" s="16"/>
      <c r="DD188" s="687"/>
      <c r="DE188" s="16"/>
      <c r="DF188" s="687"/>
      <c r="DG188" s="16"/>
      <c r="DH188" s="687"/>
      <c r="DI188" s="16"/>
      <c r="DJ188" s="687"/>
      <c r="DK188" s="16"/>
      <c r="DL188" s="687"/>
      <c r="DM188" s="16"/>
      <c r="DN188" s="687"/>
      <c r="DO188" s="16"/>
      <c r="DP188" s="687"/>
      <c r="DQ188" s="16"/>
      <c r="DR188" s="687"/>
      <c r="DS188" s="16"/>
      <c r="DT188" s="687"/>
      <c r="DU188" s="16"/>
      <c r="DV188" s="687"/>
      <c r="DW188" s="16"/>
      <c r="DX188" s="687"/>
      <c r="DY188" s="16"/>
      <c r="DZ188" s="687"/>
      <c r="EA188" s="16"/>
      <c r="EB188" s="687"/>
      <c r="EC188" s="16"/>
      <c r="ED188" s="687"/>
      <c r="EE188" s="16"/>
      <c r="EF188" s="687"/>
      <c r="EG188" s="16"/>
      <c r="EH188" s="687"/>
      <c r="EI188" s="16"/>
      <c r="EJ188" s="687"/>
      <c r="EK188" s="16"/>
      <c r="EL188" s="687"/>
      <c r="EM188" s="687"/>
    </row>
    <row r="189" spans="1:152" ht="12.75" hidden="1" customHeight="1" outlineLevel="1" x14ac:dyDescent="0.2">
      <c r="A189" s="701"/>
      <c r="B189" s="16"/>
      <c r="C189" s="687"/>
      <c r="D189" s="16"/>
      <c r="E189" s="687"/>
      <c r="F189" s="16"/>
      <c r="G189" s="687"/>
      <c r="H189" s="16"/>
      <c r="I189" s="687"/>
      <c r="J189" s="16"/>
      <c r="K189" s="687"/>
      <c r="L189" s="16"/>
      <c r="M189" s="687"/>
      <c r="N189" s="16"/>
      <c r="O189" s="687"/>
      <c r="P189" s="16"/>
      <c r="Q189" s="687"/>
      <c r="R189" s="16"/>
      <c r="S189" s="687"/>
      <c r="T189" s="16"/>
      <c r="U189" s="687"/>
      <c r="V189" s="16"/>
      <c r="W189" s="687"/>
      <c r="X189" s="16"/>
      <c r="Y189" s="687"/>
      <c r="Z189" s="16"/>
      <c r="AA189" s="687"/>
      <c r="AB189" s="16"/>
      <c r="AC189" s="687"/>
      <c r="AD189" s="16"/>
      <c r="AE189" s="687"/>
      <c r="AF189" s="16"/>
      <c r="AG189" s="687"/>
      <c r="AH189" s="16"/>
      <c r="AI189" s="687"/>
      <c r="AJ189" s="16"/>
      <c r="AK189" s="687"/>
      <c r="AL189" s="16"/>
      <c r="AM189" s="687"/>
      <c r="AN189" s="16"/>
      <c r="AO189" s="687"/>
      <c r="AP189" s="16"/>
      <c r="AQ189" s="687"/>
      <c r="AR189" s="16"/>
      <c r="AS189" s="687"/>
      <c r="AT189" s="16"/>
      <c r="AU189" s="687"/>
      <c r="AV189" s="16"/>
      <c r="AW189" s="687"/>
      <c r="AX189" s="16"/>
      <c r="AY189" s="687"/>
      <c r="AZ189" s="16"/>
      <c r="BA189" s="687"/>
      <c r="BB189" s="16"/>
      <c r="BC189" s="687"/>
      <c r="BD189" s="16"/>
      <c r="BE189" s="687"/>
      <c r="BF189" s="16"/>
      <c r="BG189" s="687"/>
      <c r="BH189" s="16"/>
      <c r="BI189" s="687"/>
      <c r="BJ189" s="16"/>
      <c r="BK189" s="687"/>
      <c r="BL189" s="16"/>
      <c r="BM189" s="687"/>
      <c r="BN189" s="16"/>
      <c r="BO189" s="687"/>
      <c r="BP189" s="16"/>
      <c r="BQ189" s="687"/>
      <c r="BR189" s="16"/>
      <c r="BS189" s="687"/>
      <c r="BT189" s="16"/>
      <c r="BU189" s="687"/>
      <c r="BV189" s="16"/>
      <c r="BW189" s="687"/>
      <c r="BX189" s="16"/>
      <c r="BY189" s="687"/>
      <c r="BZ189" s="16"/>
      <c r="CA189" s="687"/>
      <c r="CB189" s="16"/>
      <c r="CC189" s="687"/>
      <c r="CD189" s="16"/>
      <c r="CE189" s="687"/>
      <c r="CF189" s="16"/>
      <c r="CG189" s="687"/>
      <c r="CH189" s="16"/>
      <c r="CI189" s="687"/>
      <c r="CJ189" s="16"/>
      <c r="CK189" s="687"/>
      <c r="CL189" s="16"/>
      <c r="CM189" s="687"/>
      <c r="CN189" s="16"/>
      <c r="CO189" s="687"/>
      <c r="CP189" s="16"/>
      <c r="CQ189" s="687"/>
      <c r="CR189" s="16"/>
      <c r="CS189" s="687"/>
      <c r="CT189" s="16"/>
      <c r="CU189" s="687"/>
      <c r="CV189" s="16"/>
      <c r="CW189" s="687"/>
      <c r="CX189" s="16"/>
      <c r="CY189" s="687"/>
      <c r="CZ189" s="16"/>
      <c r="DA189" s="687"/>
      <c r="DB189" s="16"/>
      <c r="DC189" s="16"/>
      <c r="DD189" s="687"/>
      <c r="DE189" s="16"/>
      <c r="DF189" s="687"/>
      <c r="DG189" s="16"/>
      <c r="DH189" s="687"/>
      <c r="DI189" s="16"/>
      <c r="DJ189" s="687"/>
      <c r="DK189" s="16"/>
      <c r="DL189" s="687"/>
      <c r="DM189" s="16"/>
      <c r="DN189" s="687"/>
      <c r="DO189" s="16"/>
      <c r="DP189" s="687"/>
      <c r="DQ189" s="16"/>
      <c r="DR189" s="687"/>
      <c r="DS189" s="16"/>
      <c r="DT189" s="687"/>
      <c r="DU189" s="16"/>
      <c r="DV189" s="687"/>
      <c r="DW189" s="16"/>
      <c r="DX189" s="687"/>
      <c r="DY189" s="16"/>
      <c r="DZ189" s="687"/>
      <c r="EA189" s="16"/>
      <c r="EB189" s="687"/>
      <c r="EC189" s="16"/>
      <c r="ED189" s="687"/>
      <c r="EE189" s="16"/>
      <c r="EF189" s="687"/>
      <c r="EG189" s="16"/>
      <c r="EH189" s="687"/>
      <c r="EI189" s="16"/>
      <c r="EJ189" s="687"/>
      <c r="EK189" s="16"/>
      <c r="EL189" s="687"/>
      <c r="EM189" s="702"/>
    </row>
    <row r="190" spans="1:152" ht="21.95" hidden="1" customHeight="1" outlineLevel="1" x14ac:dyDescent="0.3">
      <c r="A190" s="769" t="str">
        <f>$A$1</f>
        <v>Lincoln National</v>
      </c>
      <c r="B190" s="683"/>
      <c r="C190" s="684"/>
      <c r="D190" s="683"/>
      <c r="E190" s="684"/>
      <c r="F190" s="683"/>
      <c r="G190" s="684"/>
      <c r="H190" s="683"/>
      <c r="I190" s="684"/>
      <c r="J190" s="683"/>
      <c r="K190" s="684"/>
      <c r="L190" s="683"/>
      <c r="M190" s="684"/>
      <c r="N190" s="683"/>
      <c r="O190" s="684"/>
      <c r="P190" s="683"/>
      <c r="Q190" s="684"/>
      <c r="R190" s="683"/>
      <c r="S190" s="684"/>
      <c r="T190" s="683"/>
      <c r="U190" s="684"/>
      <c r="V190" s="683"/>
      <c r="W190" s="684"/>
      <c r="X190" s="683"/>
      <c r="Y190" s="684"/>
      <c r="Z190" s="683"/>
      <c r="AA190" s="684"/>
      <c r="AB190" s="683"/>
      <c r="AC190" s="684"/>
      <c r="AD190" s="683"/>
      <c r="AE190" s="684"/>
      <c r="AF190" s="683"/>
      <c r="AG190" s="684"/>
      <c r="AH190" s="683"/>
      <c r="AI190" s="684"/>
      <c r="AJ190" s="683"/>
      <c r="AK190" s="684"/>
      <c r="AL190" s="683"/>
      <c r="AM190" s="684"/>
      <c r="AN190" s="683"/>
      <c r="AO190" s="684"/>
      <c r="AP190" s="683"/>
      <c r="AQ190" s="684"/>
      <c r="AR190" s="683"/>
      <c r="AS190" s="684"/>
      <c r="AT190" s="683"/>
      <c r="AU190" s="684"/>
      <c r="AV190" s="683"/>
      <c r="AW190" s="684"/>
      <c r="AX190" s="683"/>
      <c r="AY190" s="684"/>
      <c r="AZ190" s="683"/>
      <c r="BA190" s="684"/>
      <c r="BB190" s="683"/>
      <c r="BC190" s="684"/>
      <c r="BD190" s="683"/>
      <c r="BE190" s="684"/>
      <c r="BF190" s="683"/>
      <c r="BG190" s="684"/>
      <c r="BH190" s="683"/>
      <c r="BI190" s="684"/>
      <c r="BJ190" s="683"/>
      <c r="BK190" s="684"/>
      <c r="BL190" s="683"/>
      <c r="BM190" s="684"/>
      <c r="BN190" s="683"/>
      <c r="BO190" s="684"/>
      <c r="BP190" s="683"/>
      <c r="BQ190" s="684"/>
      <c r="BR190" s="683"/>
      <c r="BS190" s="684"/>
      <c r="BT190" s="683"/>
      <c r="BU190" s="684"/>
      <c r="BV190" s="683"/>
      <c r="BW190" s="684"/>
      <c r="BX190" s="683"/>
      <c r="BY190" s="684"/>
      <c r="BZ190" s="683"/>
      <c r="CA190" s="684"/>
      <c r="CB190" s="683"/>
      <c r="CC190" s="684"/>
      <c r="CD190" s="683"/>
      <c r="CE190" s="684"/>
      <c r="CF190" s="683"/>
      <c r="CG190" s="684"/>
      <c r="CH190" s="683"/>
      <c r="CI190" s="684"/>
      <c r="CJ190" s="683"/>
      <c r="CK190" s="684"/>
      <c r="CL190" s="683"/>
      <c r="CM190" s="684"/>
      <c r="CN190" s="683"/>
      <c r="CO190" s="684"/>
      <c r="CP190" s="683"/>
      <c r="CQ190" s="684"/>
      <c r="CR190" s="683"/>
      <c r="CS190" s="684"/>
      <c r="CT190" s="683"/>
      <c r="CU190" s="684"/>
      <c r="CV190" s="683"/>
      <c r="CW190" s="684"/>
      <c r="CX190" s="683"/>
      <c r="CY190" s="684"/>
      <c r="CZ190" s="683"/>
      <c r="DA190" s="684"/>
      <c r="DB190" s="684"/>
      <c r="DC190" s="683"/>
      <c r="DD190" s="684"/>
      <c r="DE190" s="683"/>
      <c r="DF190" s="684"/>
      <c r="DG190" s="683"/>
      <c r="DH190" s="684"/>
      <c r="DI190" s="683"/>
      <c r="DJ190" s="684"/>
      <c r="DK190" s="683"/>
      <c r="DL190" s="684"/>
      <c r="DM190" s="683"/>
      <c r="DN190" s="684"/>
      <c r="DO190" s="683"/>
      <c r="DP190" s="684"/>
      <c r="DQ190" s="683"/>
      <c r="DR190" s="684"/>
      <c r="DS190" s="683"/>
      <c r="DT190" s="684"/>
      <c r="DU190" s="683"/>
      <c r="DV190" s="684"/>
      <c r="DW190" s="683"/>
      <c r="DX190" s="684"/>
      <c r="DY190" s="683"/>
      <c r="DZ190" s="684"/>
      <c r="EA190" s="683"/>
      <c r="EB190" s="684"/>
      <c r="EC190" s="683"/>
      <c r="ED190" s="684"/>
      <c r="EE190" s="683"/>
      <c r="EF190" s="684"/>
      <c r="EG190" s="683"/>
      <c r="EH190" s="684"/>
      <c r="EI190" s="683"/>
      <c r="EJ190" s="684"/>
      <c r="EK190" s="683"/>
      <c r="EL190" s="684"/>
      <c r="EM190" s="684"/>
    </row>
    <row r="191" spans="1:152" ht="12.75" hidden="1" customHeight="1" outlineLevel="1" x14ac:dyDescent="0.2">
      <c r="A191" s="685" t="s">
        <v>131</v>
      </c>
      <c r="B191" s="4"/>
      <c r="C191" s="686"/>
      <c r="D191" s="4"/>
      <c r="E191" s="686"/>
      <c r="F191" s="4"/>
      <c r="G191" s="686"/>
      <c r="H191" s="4"/>
      <c r="I191" s="686"/>
      <c r="J191" s="4"/>
      <c r="K191" s="686"/>
      <c r="L191" s="4"/>
      <c r="M191" s="686"/>
      <c r="N191" s="4"/>
      <c r="O191" s="686"/>
      <c r="P191" s="4"/>
      <c r="Q191" s="686"/>
      <c r="R191" s="4"/>
      <c r="S191" s="686"/>
      <c r="T191" s="4"/>
      <c r="U191" s="686"/>
      <c r="V191" s="4"/>
      <c r="W191" s="686"/>
      <c r="X191" s="4"/>
      <c r="Y191" s="686"/>
      <c r="Z191" s="4"/>
      <c r="AA191" s="686"/>
      <c r="AB191" s="4"/>
      <c r="AC191" s="686"/>
      <c r="AD191" s="4"/>
      <c r="AE191" s="686"/>
      <c r="AF191" s="4"/>
      <c r="AG191" s="686"/>
      <c r="AH191" s="4"/>
      <c r="AI191" s="686"/>
      <c r="AJ191" s="4"/>
      <c r="AK191" s="686"/>
      <c r="AL191" s="4"/>
      <c r="AM191" s="686"/>
      <c r="AN191" s="4"/>
      <c r="AO191" s="686"/>
      <c r="AP191" s="4"/>
      <c r="AQ191" s="686"/>
      <c r="AR191" s="4"/>
      <c r="AS191" s="686"/>
      <c r="AT191" s="4"/>
      <c r="AU191" s="686"/>
      <c r="AV191" s="4"/>
      <c r="AW191" s="686"/>
      <c r="AX191" s="4"/>
      <c r="AY191" s="686"/>
      <c r="AZ191" s="4"/>
      <c r="BA191" s="686"/>
      <c r="BB191" s="4"/>
      <c r="BC191" s="686"/>
      <c r="BD191" s="4"/>
      <c r="BE191" s="686"/>
      <c r="BF191" s="4"/>
      <c r="BG191" s="686"/>
      <c r="BH191" s="4"/>
      <c r="BI191" s="686"/>
      <c r="BJ191" s="4"/>
      <c r="BK191" s="686"/>
      <c r="BL191" s="4"/>
      <c r="BM191" s="686"/>
      <c r="BN191" s="4"/>
      <c r="BO191" s="686"/>
      <c r="BP191" s="4"/>
      <c r="BQ191" s="686"/>
      <c r="BR191" s="4"/>
      <c r="BS191" s="686"/>
      <c r="BT191" s="4"/>
      <c r="BU191" s="686"/>
      <c r="BV191" s="4"/>
      <c r="BW191" s="686"/>
      <c r="BX191" s="4"/>
      <c r="BY191" s="686"/>
      <c r="BZ191" s="4"/>
      <c r="CA191" s="686"/>
      <c r="CB191" s="4"/>
      <c r="CC191" s="686"/>
      <c r="CD191" s="4"/>
      <c r="CE191" s="686"/>
      <c r="CF191" s="4"/>
      <c r="CG191" s="686"/>
      <c r="CH191" s="4"/>
      <c r="CI191" s="686"/>
      <c r="CJ191" s="4"/>
      <c r="CK191" s="686"/>
      <c r="CL191" s="4"/>
      <c r="CM191" s="686"/>
      <c r="CN191" s="4"/>
      <c r="CO191" s="686"/>
      <c r="CP191" s="4"/>
      <c r="CQ191" s="686"/>
      <c r="CR191" s="4"/>
      <c r="CS191" s="686"/>
      <c r="CT191" s="4"/>
      <c r="CU191" s="686"/>
      <c r="CV191" s="4"/>
      <c r="CW191" s="686"/>
      <c r="CX191" s="4"/>
      <c r="CY191" s="686"/>
      <c r="CZ191" s="4"/>
      <c r="DA191" s="686"/>
      <c r="DB191" s="686"/>
      <c r="DC191" s="4"/>
      <c r="DD191" s="686"/>
      <c r="DE191" s="4"/>
      <c r="DF191" s="686"/>
      <c r="DG191" s="4"/>
      <c r="DH191" s="686"/>
      <c r="DI191" s="4"/>
      <c r="DJ191" s="686"/>
      <c r="DK191" s="4"/>
      <c r="DL191" s="686"/>
      <c r="DM191" s="4"/>
      <c r="DN191" s="686"/>
      <c r="DO191" s="4"/>
      <c r="DP191" s="686"/>
      <c r="DQ191" s="4"/>
      <c r="DR191" s="686"/>
      <c r="DS191" s="4"/>
      <c r="DT191" s="686"/>
      <c r="DU191" s="4"/>
      <c r="DV191" s="686"/>
      <c r="DW191" s="4"/>
      <c r="DX191" s="686"/>
      <c r="DY191" s="4"/>
      <c r="DZ191" s="686"/>
      <c r="EA191" s="4"/>
      <c r="EB191" s="686"/>
      <c r="EC191" s="4"/>
      <c r="ED191" s="686"/>
      <c r="EE191" s="4"/>
      <c r="EF191" s="686"/>
      <c r="EG191" s="4"/>
      <c r="EH191" s="686"/>
      <c r="EI191" s="4"/>
      <c r="EJ191" s="686"/>
      <c r="EK191" s="4"/>
      <c r="EL191" s="686"/>
      <c r="EM191" s="686"/>
    </row>
    <row r="192" spans="1:152" ht="12.75" hidden="1" customHeight="1" outlineLevel="1" x14ac:dyDescent="0.2">
      <c r="A192" s="637" t="str">
        <f>A$3</f>
        <v>($Millions Except Per Share Data)</v>
      </c>
      <c r="B192" s="640"/>
      <c r="C192" s="641" t="str">
        <f>C$3</f>
        <v>1Q06/</v>
      </c>
      <c r="D192" s="640"/>
      <c r="E192" s="641" t="str">
        <f>E$3</f>
        <v>2Q06/</v>
      </c>
      <c r="F192" s="640"/>
      <c r="G192" s="641" t="str">
        <f>G$3</f>
        <v>3Q06/</v>
      </c>
      <c r="H192" s="640"/>
      <c r="I192" s="641" t="str">
        <f>I$3</f>
        <v>4Q06/</v>
      </c>
      <c r="J192" s="640"/>
      <c r="K192" s="641" t="str">
        <f>K$3</f>
        <v>1Q07/</v>
      </c>
      <c r="L192" s="640"/>
      <c r="M192" s="641" t="str">
        <f>M$3</f>
        <v>2Q07/</v>
      </c>
      <c r="N192" s="640"/>
      <c r="O192" s="641" t="str">
        <f>O$3</f>
        <v>3Q07/</v>
      </c>
      <c r="P192" s="640"/>
      <c r="Q192" s="641" t="str">
        <f>Q$3</f>
        <v>4Q07/</v>
      </c>
      <c r="R192" s="640"/>
      <c r="S192" s="641" t="str">
        <f>S$3</f>
        <v>1Q08/</v>
      </c>
      <c r="T192" s="640"/>
      <c r="U192" s="641" t="str">
        <f>U$3</f>
        <v>2Q08/</v>
      </c>
      <c r="V192" s="640"/>
      <c r="W192" s="641" t="str">
        <f>W$3</f>
        <v>3Q08/</v>
      </c>
      <c r="X192" s="640"/>
      <c r="Y192" s="641" t="str">
        <f>Y$3</f>
        <v>4Q08/</v>
      </c>
      <c r="Z192" s="640"/>
      <c r="AA192" s="641" t="str">
        <f>AA$3</f>
        <v>1Q09/</v>
      </c>
      <c r="AB192" s="640"/>
      <c r="AC192" s="641" t="str">
        <f>AC$3</f>
        <v>2Q09/</v>
      </c>
      <c r="AD192" s="640"/>
      <c r="AE192" s="641" t="str">
        <f>AE$3</f>
        <v>3Q09/</v>
      </c>
      <c r="AF192" s="640"/>
      <c r="AG192" s="641" t="str">
        <f>AG$3</f>
        <v>4Q09/</v>
      </c>
      <c r="AH192" s="640"/>
      <c r="AI192" s="641" t="str">
        <f>AI$3</f>
        <v>1Q10/</v>
      </c>
      <c r="AJ192" s="640"/>
      <c r="AK192" s="641" t="str">
        <f>AK$3</f>
        <v>2Q10/</v>
      </c>
      <c r="AL192" s="640"/>
      <c r="AM192" s="641" t="str">
        <f>AM$3</f>
        <v>3Q10/</v>
      </c>
      <c r="AN192" s="640"/>
      <c r="AO192" s="641" t="str">
        <f>AO$3</f>
        <v>4Q10/</v>
      </c>
      <c r="AP192" s="640"/>
      <c r="AQ192" s="641" t="str">
        <f>AQ$3</f>
        <v>1Q11/</v>
      </c>
      <c r="AR192" s="640"/>
      <c r="AS192" s="641" t="str">
        <f>AS$3</f>
        <v>2Q11/</v>
      </c>
      <c r="AT192" s="640"/>
      <c r="AU192" s="641" t="str">
        <f>AU$3</f>
        <v>3Q11/</v>
      </c>
      <c r="AV192" s="640"/>
      <c r="AW192" s="641" t="str">
        <f>AW$3</f>
        <v>4Q11/</v>
      </c>
      <c r="AX192" s="640"/>
      <c r="AY192" s="641" t="str">
        <f>AY$3</f>
        <v>1Q12/</v>
      </c>
      <c r="AZ192" s="640"/>
      <c r="BA192" s="641" t="str">
        <f>BA$3</f>
        <v>2Q12/</v>
      </c>
      <c r="BB192" s="640"/>
      <c r="BC192" s="641" t="str">
        <f>BC$3</f>
        <v>3Q12/</v>
      </c>
      <c r="BD192" s="640"/>
      <c r="BE192" s="641" t="str">
        <f>BE$3</f>
        <v>4Q12/</v>
      </c>
      <c r="BF192" s="640"/>
      <c r="BG192" s="641" t="str">
        <f>BG$3</f>
        <v>1Q13/</v>
      </c>
      <c r="BH192" s="640"/>
      <c r="BI192" s="641" t="str">
        <f>BI$3</f>
        <v>2Q13/</v>
      </c>
      <c r="BJ192" s="640"/>
      <c r="BK192" s="641" t="str">
        <f>BK$3</f>
        <v>3Q13/</v>
      </c>
      <c r="BL192" s="640"/>
      <c r="BM192" s="641" t="str">
        <f>BM$3</f>
        <v>4Q13/</v>
      </c>
      <c r="BN192" s="640"/>
      <c r="BO192" s="641" t="str">
        <f>BO$3</f>
        <v>1Q14/</v>
      </c>
      <c r="BP192" s="640"/>
      <c r="BQ192" s="641" t="str">
        <f>BQ$3</f>
        <v>2Q14/</v>
      </c>
      <c r="BR192" s="640"/>
      <c r="BS192" s="641" t="str">
        <f>BS$3</f>
        <v>3Q14/</v>
      </c>
      <c r="BT192" s="640"/>
      <c r="BU192" s="641" t="str">
        <f>BU$3</f>
        <v>4Q14/</v>
      </c>
      <c r="BV192" s="640"/>
      <c r="BW192" s="641" t="str">
        <f>BW$3</f>
        <v>1Q15/</v>
      </c>
      <c r="BX192" s="640"/>
      <c r="BY192" s="641" t="str">
        <f>BY$3</f>
        <v>2Q15/</v>
      </c>
      <c r="BZ192" s="640"/>
      <c r="CA192" s="641" t="str">
        <f>CA$3</f>
        <v>3Q15/</v>
      </c>
      <c r="CB192" s="640"/>
      <c r="CC192" s="641" t="str">
        <f>CC$3</f>
        <v>4Q15/</v>
      </c>
      <c r="CD192" s="640"/>
      <c r="CE192" s="641" t="str">
        <f>CE$3</f>
        <v>1Q16/</v>
      </c>
      <c r="CF192" s="640"/>
      <c r="CG192" s="641" t="str">
        <f>CG$3</f>
        <v>2Q16/</v>
      </c>
      <c r="CH192" s="640"/>
      <c r="CI192" s="641" t="str">
        <f>CI$3</f>
        <v>3Q16/</v>
      </c>
      <c r="CJ192" s="640"/>
      <c r="CK192" s="641" t="str">
        <f>CK$3</f>
        <v>4Q16/</v>
      </c>
      <c r="CL192" s="640"/>
      <c r="CM192" s="641" t="str">
        <f>CM$3</f>
        <v>1Q17/</v>
      </c>
      <c r="CN192" s="640"/>
      <c r="CO192" s="641" t="str">
        <f t="shared" ref="CO192" si="93">CO$3</f>
        <v>2Q17/</v>
      </c>
      <c r="CP192" s="640"/>
      <c r="CQ192" s="641" t="str">
        <f t="shared" ref="CQ192" si="94">CQ$3</f>
        <v>3Q17/</v>
      </c>
      <c r="CR192" s="640"/>
      <c r="CS192" s="641" t="str">
        <f t="shared" ref="CS192" si="95">CS$3</f>
        <v>4Q17/</v>
      </c>
      <c r="CT192" s="640"/>
      <c r="CU192" s="641" t="str">
        <f>CU$3</f>
        <v>1Q18E/</v>
      </c>
      <c r="CV192" s="640"/>
      <c r="CW192" s="641" t="str">
        <f t="shared" ref="CW192" si="96">CW$3</f>
        <v>2Q18E/</v>
      </c>
      <c r="CX192" s="640"/>
      <c r="CY192" s="641" t="str">
        <f t="shared" ref="CY192" si="97">CY$3</f>
        <v>3Q18E/</v>
      </c>
      <c r="CZ192" s="640"/>
      <c r="DA192" s="641" t="str">
        <f t="shared" ref="DA192" si="98">DA$3</f>
        <v>4Q18E/</v>
      </c>
      <c r="DB192" s="640"/>
      <c r="DC192" s="640"/>
      <c r="DD192" s="641" t="str">
        <f>DD$3</f>
        <v>2005/</v>
      </c>
      <c r="DE192" s="640"/>
      <c r="DF192" s="641" t="str">
        <f>DF$3</f>
        <v>2006/</v>
      </c>
      <c r="DG192" s="640"/>
      <c r="DH192" s="641" t="str">
        <f>DH$3</f>
        <v>2007/</v>
      </c>
      <c r="DI192" s="640"/>
      <c r="DJ192" s="641" t="str">
        <f>DJ$3</f>
        <v>2008/</v>
      </c>
      <c r="DK192" s="640"/>
      <c r="DL192" s="641" t="str">
        <f>DL$3</f>
        <v>2009/</v>
      </c>
      <c r="DM192" s="640"/>
      <c r="DN192" s="641" t="str">
        <f>DN$3</f>
        <v>2010/</v>
      </c>
      <c r="DO192" s="640"/>
      <c r="DP192" s="641" t="str">
        <f>DP$3</f>
        <v>2011/</v>
      </c>
      <c r="DQ192" s="640"/>
      <c r="DR192" s="641" t="str">
        <f>DR$3</f>
        <v>2012/</v>
      </c>
      <c r="DS192" s="640"/>
      <c r="DT192" s="641" t="str">
        <f>DT$3</f>
        <v>2013/</v>
      </c>
      <c r="DU192" s="640"/>
      <c r="DV192" s="641" t="str">
        <f>DV$3</f>
        <v>2014/</v>
      </c>
      <c r="DW192" s="640"/>
      <c r="DX192" s="641" t="str">
        <f>DX$3</f>
        <v>2015/</v>
      </c>
      <c r="DY192" s="640"/>
      <c r="DZ192" s="641" t="str">
        <f>DZ$3</f>
        <v>2016/</v>
      </c>
      <c r="EA192" s="640"/>
      <c r="EB192" s="641" t="str">
        <f>EB$3</f>
        <v>2017/</v>
      </c>
      <c r="EC192" s="640"/>
      <c r="ED192" s="641" t="str">
        <f>ED$3</f>
        <v>2018E/</v>
      </c>
      <c r="EE192" s="640"/>
      <c r="EF192" s="641" t="str">
        <f>EF$3</f>
        <v>2019E/</v>
      </c>
      <c r="EG192" s="640"/>
      <c r="EH192" s="641" t="str">
        <f>EH$3</f>
        <v>2020E/</v>
      </c>
      <c r="EI192" s="640"/>
      <c r="EJ192" s="641" t="str">
        <f>EJ$3</f>
        <v>2021E/</v>
      </c>
      <c r="EK192" s="640"/>
      <c r="EL192" s="641" t="str">
        <f>EL$3</f>
        <v>2022E/</v>
      </c>
      <c r="EM192" s="641" t="str">
        <f>EM$3</f>
        <v>5-Yr</v>
      </c>
      <c r="EN192" s="638"/>
      <c r="EO192" s="638"/>
      <c r="EP192" s="638"/>
      <c r="EQ192" s="638"/>
      <c r="ER192" s="638"/>
      <c r="ES192" s="638"/>
      <c r="ET192" s="638"/>
      <c r="EU192" s="638"/>
      <c r="EV192" s="638"/>
    </row>
    <row r="193" spans="1:143" ht="12.75" hidden="1" customHeight="1" outlineLevel="1" x14ac:dyDescent="0.2">
      <c r="A193" s="693"/>
      <c r="B193" s="692"/>
      <c r="C193" s="686" t="str">
        <f>C$4</f>
        <v>1Q05</v>
      </c>
      <c r="D193" s="692"/>
      <c r="E193" s="686" t="str">
        <f>E$4</f>
        <v>2Q05</v>
      </c>
      <c r="F193" s="692"/>
      <c r="G193" s="686" t="str">
        <f>G$4</f>
        <v>3Q05</v>
      </c>
      <c r="H193" s="692"/>
      <c r="I193" s="686" t="str">
        <f>I$4</f>
        <v>4Q05</v>
      </c>
      <c r="J193" s="692"/>
      <c r="K193" s="686" t="str">
        <f>K$4</f>
        <v>1Q06</v>
      </c>
      <c r="L193" s="692"/>
      <c r="M193" s="686" t="str">
        <f>M$4</f>
        <v>2Q06</v>
      </c>
      <c r="N193" s="692"/>
      <c r="O193" s="686" t="str">
        <f>O$4</f>
        <v>3Q06</v>
      </c>
      <c r="P193" s="692"/>
      <c r="Q193" s="686" t="str">
        <f>Q$4</f>
        <v>4Q06</v>
      </c>
      <c r="R193" s="692"/>
      <c r="S193" s="686" t="str">
        <f>S$4</f>
        <v>1Q07</v>
      </c>
      <c r="T193" s="692"/>
      <c r="U193" s="686" t="str">
        <f>U$4</f>
        <v>2Q07</v>
      </c>
      <c r="V193" s="692"/>
      <c r="W193" s="686" t="str">
        <f>W$4</f>
        <v>3Q07</v>
      </c>
      <c r="X193" s="692"/>
      <c r="Y193" s="686" t="str">
        <f>Y$4</f>
        <v>4Q07</v>
      </c>
      <c r="Z193" s="692"/>
      <c r="AA193" s="686" t="str">
        <f>AA$4</f>
        <v>1Q08</v>
      </c>
      <c r="AB193" s="692"/>
      <c r="AC193" s="686" t="str">
        <f>AC$4</f>
        <v>2Q08</v>
      </c>
      <c r="AD193" s="692"/>
      <c r="AE193" s="686" t="str">
        <f>AE$4</f>
        <v>3Q08</v>
      </c>
      <c r="AF193" s="692"/>
      <c r="AG193" s="686" t="str">
        <f>AG$4</f>
        <v>4Q08</v>
      </c>
      <c r="AH193" s="692"/>
      <c r="AI193" s="686" t="str">
        <f>AI$4</f>
        <v>1Q09</v>
      </c>
      <c r="AJ193" s="692"/>
      <c r="AK193" s="686" t="str">
        <f>AK$4</f>
        <v>2Q09</v>
      </c>
      <c r="AL193" s="692"/>
      <c r="AM193" s="686" t="str">
        <f>AM$4</f>
        <v>3Q09</v>
      </c>
      <c r="AN193" s="692"/>
      <c r="AO193" s="686" t="str">
        <f>AO$4</f>
        <v>4Q09</v>
      </c>
      <c r="AP193" s="692"/>
      <c r="AQ193" s="686" t="str">
        <f>AQ$4</f>
        <v>1Q10</v>
      </c>
      <c r="AR193" s="692"/>
      <c r="AS193" s="686" t="str">
        <f>AS$4</f>
        <v>2Q10</v>
      </c>
      <c r="AT193" s="692"/>
      <c r="AU193" s="686" t="str">
        <f>AU$4</f>
        <v>3Q10</v>
      </c>
      <c r="AV193" s="692"/>
      <c r="AW193" s="686" t="str">
        <f>AW$4</f>
        <v>4Q10</v>
      </c>
      <c r="AX193" s="692"/>
      <c r="AY193" s="686" t="str">
        <f>AY$4</f>
        <v>1Q11</v>
      </c>
      <c r="AZ193" s="692"/>
      <c r="BA193" s="686" t="str">
        <f>BA$4</f>
        <v>2Q11</v>
      </c>
      <c r="BB193" s="692"/>
      <c r="BC193" s="686" t="str">
        <f>BC$4</f>
        <v>3Q11</v>
      </c>
      <c r="BD193" s="692"/>
      <c r="BE193" s="686" t="str">
        <f>BE$4</f>
        <v>4Q11</v>
      </c>
      <c r="BF193" s="692"/>
      <c r="BG193" s="686" t="str">
        <f>BG$4</f>
        <v>1Q12</v>
      </c>
      <c r="BH193" s="692"/>
      <c r="BI193" s="686" t="str">
        <f>BI$4</f>
        <v>2Q12</v>
      </c>
      <c r="BJ193" s="692"/>
      <c r="BK193" s="686" t="str">
        <f>BK$4</f>
        <v>3Q12</v>
      </c>
      <c r="BL193" s="692"/>
      <c r="BM193" s="686" t="str">
        <f>BM$4</f>
        <v>4Q12</v>
      </c>
      <c r="BN193" s="692"/>
      <c r="BO193" s="686" t="str">
        <f>BO$4</f>
        <v>1Q13</v>
      </c>
      <c r="BP193" s="692"/>
      <c r="BQ193" s="686" t="str">
        <f>BQ$4</f>
        <v>2Q13</v>
      </c>
      <c r="BR193" s="692"/>
      <c r="BS193" s="686" t="str">
        <f>BS$4</f>
        <v>3Q13</v>
      </c>
      <c r="BT193" s="692"/>
      <c r="BU193" s="686" t="str">
        <f>BU$4</f>
        <v>4Q13</v>
      </c>
      <c r="BV193" s="692"/>
      <c r="BW193" s="686" t="str">
        <f>BW$4</f>
        <v>1Q14</v>
      </c>
      <c r="BX193" s="692"/>
      <c r="BY193" s="686" t="str">
        <f>BY$4</f>
        <v>2Q14</v>
      </c>
      <c r="BZ193" s="692"/>
      <c r="CA193" s="686" t="str">
        <f>CA$4</f>
        <v>3Q14</v>
      </c>
      <c r="CB193" s="692"/>
      <c r="CC193" s="686" t="str">
        <f>CC$4</f>
        <v>4Q14</v>
      </c>
      <c r="CD193" s="692"/>
      <c r="CE193" s="686" t="str">
        <f>CE$4</f>
        <v>1Q15</v>
      </c>
      <c r="CF193" s="692"/>
      <c r="CG193" s="686" t="str">
        <f>CG$4</f>
        <v>2Q15</v>
      </c>
      <c r="CH193" s="692"/>
      <c r="CI193" s="686" t="str">
        <f>CI$4</f>
        <v>3Q15</v>
      </c>
      <c r="CJ193" s="692"/>
      <c r="CK193" s="686" t="str">
        <f>CK$4</f>
        <v>4Q15</v>
      </c>
      <c r="CL193" s="692"/>
      <c r="CM193" s="686" t="str">
        <f>CM$4</f>
        <v>1Q16</v>
      </c>
      <c r="CN193" s="692"/>
      <c r="CO193" s="686" t="str">
        <f t="shared" ref="CO193" si="99">CO$4</f>
        <v>2Q16</v>
      </c>
      <c r="CP193" s="692"/>
      <c r="CQ193" s="686" t="str">
        <f t="shared" ref="CQ193" si="100">CQ$4</f>
        <v>3Q16</v>
      </c>
      <c r="CR193" s="692"/>
      <c r="CS193" s="686" t="str">
        <f t="shared" ref="CS193" si="101">CS$4</f>
        <v>4Q16</v>
      </c>
      <c r="CT193" s="692"/>
      <c r="CU193" s="686" t="str">
        <f>CU$4</f>
        <v>1Q17</v>
      </c>
      <c r="CV193" s="692"/>
      <c r="CW193" s="686" t="str">
        <f t="shared" ref="CW193" si="102">CW$4</f>
        <v>2Q17</v>
      </c>
      <c r="CX193" s="692"/>
      <c r="CY193" s="686" t="str">
        <f t="shared" ref="CY193" si="103">CY$4</f>
        <v>3Q17</v>
      </c>
      <c r="CZ193" s="692"/>
      <c r="DA193" s="686" t="str">
        <f t="shared" ref="DA193" si="104">DA$4</f>
        <v>4Q17</v>
      </c>
      <c r="DB193" s="692"/>
      <c r="DC193" s="692"/>
      <c r="DD193" s="686">
        <f>DD$4</f>
        <v>2004</v>
      </c>
      <c r="DE193" s="692"/>
      <c r="DF193" s="686">
        <f>DF$4</f>
        <v>2005</v>
      </c>
      <c r="DG193" s="692"/>
      <c r="DH193" s="686">
        <f>DH$4</f>
        <v>2006</v>
      </c>
      <c r="DI193" s="692"/>
      <c r="DJ193" s="686">
        <f>DJ$4</f>
        <v>2007</v>
      </c>
      <c r="DK193" s="692"/>
      <c r="DL193" s="686">
        <f>DL$4</f>
        <v>2008</v>
      </c>
      <c r="DM193" s="692"/>
      <c r="DN193" s="686" t="str">
        <f>DN$4</f>
        <v>2009</v>
      </c>
      <c r="DO193" s="692"/>
      <c r="DP193" s="686" t="str">
        <f>DP$4</f>
        <v>2010</v>
      </c>
      <c r="DQ193" s="692"/>
      <c r="DR193" s="686" t="str">
        <f>DR$4</f>
        <v>2011</v>
      </c>
      <c r="DS193" s="692"/>
      <c r="DT193" s="686" t="str">
        <f>DT$4</f>
        <v>2012</v>
      </c>
      <c r="DU193" s="692"/>
      <c r="DV193" s="686" t="str">
        <f>DV$4</f>
        <v>2013</v>
      </c>
      <c r="DW193" s="692"/>
      <c r="DX193" s="686" t="str">
        <f>DX$4</f>
        <v>2014</v>
      </c>
      <c r="DY193" s="692"/>
      <c r="DZ193" s="686" t="str">
        <f>DZ$4</f>
        <v>2015</v>
      </c>
      <c r="EA193" s="692"/>
      <c r="EB193" s="686" t="str">
        <f>EB$4</f>
        <v>2016</v>
      </c>
      <c r="EC193" s="692"/>
      <c r="ED193" s="686" t="str">
        <f>ED$4</f>
        <v>2017</v>
      </c>
      <c r="EE193" s="692"/>
      <c r="EF193" s="686" t="str">
        <f>EF$4</f>
        <v>2018E</v>
      </c>
      <c r="EG193" s="692"/>
      <c r="EH193" s="686" t="str">
        <f>EH$4</f>
        <v>2019E</v>
      </c>
      <c r="EI193" s="692"/>
      <c r="EJ193" s="686" t="str">
        <f>EJ$4</f>
        <v>2020E</v>
      </c>
      <c r="EK193" s="692"/>
      <c r="EL193" s="686" t="str">
        <f>EL$4</f>
        <v>2021E</v>
      </c>
      <c r="EM193" s="686" t="str">
        <f>EM$4</f>
        <v>CAGR</v>
      </c>
    </row>
    <row r="194" spans="1:143" ht="12.75" hidden="1" customHeight="1" outlineLevel="1" x14ac:dyDescent="0.2">
      <c r="A194" s="694"/>
      <c r="B194" s="695" t="str">
        <f t="shared" ref="B194:BN194" si="105">B$5</f>
        <v>1Q06</v>
      </c>
      <c r="C194" s="696" t="str">
        <f t="shared" si="105"/>
        <v>% Chg</v>
      </c>
      <c r="D194" s="695" t="str">
        <f t="shared" si="105"/>
        <v>2Q06</v>
      </c>
      <c r="E194" s="696" t="str">
        <f t="shared" si="105"/>
        <v>% Chg</v>
      </c>
      <c r="F194" s="695" t="str">
        <f t="shared" si="105"/>
        <v>3Q06</v>
      </c>
      <c r="G194" s="696" t="str">
        <f t="shared" si="105"/>
        <v>% Chg</v>
      </c>
      <c r="H194" s="695" t="str">
        <f t="shared" si="105"/>
        <v>4Q06</v>
      </c>
      <c r="I194" s="696" t="str">
        <f t="shared" si="105"/>
        <v>% Chg</v>
      </c>
      <c r="J194" s="695" t="str">
        <f t="shared" si="105"/>
        <v>1Q07</v>
      </c>
      <c r="K194" s="696" t="str">
        <f t="shared" si="105"/>
        <v>% Chg</v>
      </c>
      <c r="L194" s="695" t="str">
        <f t="shared" si="105"/>
        <v>2Q07</v>
      </c>
      <c r="M194" s="696" t="str">
        <f t="shared" si="105"/>
        <v>% Chg</v>
      </c>
      <c r="N194" s="695" t="str">
        <f t="shared" si="105"/>
        <v>3Q07</v>
      </c>
      <c r="O194" s="696" t="str">
        <f t="shared" si="105"/>
        <v>% Chg</v>
      </c>
      <c r="P194" s="695" t="str">
        <f t="shared" si="105"/>
        <v>4Q07</v>
      </c>
      <c r="Q194" s="696" t="str">
        <f t="shared" si="105"/>
        <v>% Chg</v>
      </c>
      <c r="R194" s="695" t="str">
        <f t="shared" si="105"/>
        <v>1Q08</v>
      </c>
      <c r="S194" s="696" t="str">
        <f t="shared" si="105"/>
        <v>% Chg</v>
      </c>
      <c r="T194" s="695" t="str">
        <f t="shared" si="105"/>
        <v>2Q08</v>
      </c>
      <c r="U194" s="696" t="str">
        <f t="shared" si="105"/>
        <v>% Chg</v>
      </c>
      <c r="V194" s="695" t="str">
        <f t="shared" si="105"/>
        <v>3Q08</v>
      </c>
      <c r="W194" s="696" t="str">
        <f t="shared" si="105"/>
        <v>% Chg</v>
      </c>
      <c r="X194" s="695" t="str">
        <f t="shared" si="105"/>
        <v>4Q08</v>
      </c>
      <c r="Y194" s="696" t="str">
        <f t="shared" si="105"/>
        <v>% Chg</v>
      </c>
      <c r="Z194" s="695" t="str">
        <f t="shared" si="105"/>
        <v>1Q09</v>
      </c>
      <c r="AA194" s="696" t="str">
        <f t="shared" si="105"/>
        <v>% Chg</v>
      </c>
      <c r="AB194" s="695" t="str">
        <f t="shared" si="105"/>
        <v>2Q09</v>
      </c>
      <c r="AC194" s="696" t="str">
        <f t="shared" si="105"/>
        <v>% Chg</v>
      </c>
      <c r="AD194" s="695" t="str">
        <f t="shared" si="105"/>
        <v>3Q09</v>
      </c>
      <c r="AE194" s="696" t="str">
        <f t="shared" si="105"/>
        <v>% Chg</v>
      </c>
      <c r="AF194" s="695" t="str">
        <f t="shared" si="105"/>
        <v>4Q09</v>
      </c>
      <c r="AG194" s="696" t="str">
        <f t="shared" si="105"/>
        <v>% Chg</v>
      </c>
      <c r="AH194" s="695" t="str">
        <f t="shared" si="105"/>
        <v>1Q10</v>
      </c>
      <c r="AI194" s="696" t="str">
        <f t="shared" si="105"/>
        <v>% Chg</v>
      </c>
      <c r="AJ194" s="695" t="str">
        <f t="shared" si="105"/>
        <v>2Q10</v>
      </c>
      <c r="AK194" s="696" t="str">
        <f t="shared" si="105"/>
        <v>% Chg</v>
      </c>
      <c r="AL194" s="695" t="str">
        <f t="shared" si="105"/>
        <v>3Q10</v>
      </c>
      <c r="AM194" s="696" t="str">
        <f t="shared" si="105"/>
        <v>% Chg</v>
      </c>
      <c r="AN194" s="695" t="str">
        <f t="shared" si="105"/>
        <v>4Q10</v>
      </c>
      <c r="AO194" s="696" t="str">
        <f t="shared" si="105"/>
        <v>% Chg</v>
      </c>
      <c r="AP194" s="695" t="str">
        <f t="shared" si="105"/>
        <v>1Q11</v>
      </c>
      <c r="AQ194" s="696" t="str">
        <f t="shared" si="105"/>
        <v>% Chg</v>
      </c>
      <c r="AR194" s="695" t="str">
        <f t="shared" si="105"/>
        <v>2Q11</v>
      </c>
      <c r="AS194" s="696" t="str">
        <f t="shared" si="105"/>
        <v>% Chg</v>
      </c>
      <c r="AT194" s="695" t="str">
        <f t="shared" si="105"/>
        <v>3Q11</v>
      </c>
      <c r="AU194" s="696" t="str">
        <f t="shared" si="105"/>
        <v>% Chg</v>
      </c>
      <c r="AV194" s="695" t="str">
        <f t="shared" si="105"/>
        <v>4Q11</v>
      </c>
      <c r="AW194" s="696" t="str">
        <f t="shared" si="105"/>
        <v>% Chg</v>
      </c>
      <c r="AX194" s="695" t="str">
        <f t="shared" si="105"/>
        <v>1Q12</v>
      </c>
      <c r="AY194" s="696" t="str">
        <f t="shared" si="105"/>
        <v>% Chg</v>
      </c>
      <c r="AZ194" s="695" t="str">
        <f t="shared" si="105"/>
        <v>2Q12</v>
      </c>
      <c r="BA194" s="696" t="str">
        <f t="shared" si="105"/>
        <v>% Chg</v>
      </c>
      <c r="BB194" s="695" t="str">
        <f t="shared" si="105"/>
        <v>3Q12</v>
      </c>
      <c r="BC194" s="696" t="str">
        <f t="shared" si="105"/>
        <v>% Chg</v>
      </c>
      <c r="BD194" s="695" t="str">
        <f t="shared" si="105"/>
        <v>4Q12</v>
      </c>
      <c r="BE194" s="696" t="str">
        <f t="shared" si="105"/>
        <v>% Chg</v>
      </c>
      <c r="BF194" s="695" t="str">
        <f t="shared" si="105"/>
        <v>1Q13</v>
      </c>
      <c r="BG194" s="696" t="str">
        <f t="shared" si="105"/>
        <v>% Chg</v>
      </c>
      <c r="BH194" s="695" t="str">
        <f t="shared" si="105"/>
        <v>2Q13</v>
      </c>
      <c r="BI194" s="696" t="str">
        <f t="shared" si="105"/>
        <v>% Chg</v>
      </c>
      <c r="BJ194" s="695" t="str">
        <f t="shared" si="105"/>
        <v>3Q13</v>
      </c>
      <c r="BK194" s="696" t="str">
        <f t="shared" si="105"/>
        <v>% Chg</v>
      </c>
      <c r="BL194" s="695" t="str">
        <f t="shared" si="105"/>
        <v>4Q13</v>
      </c>
      <c r="BM194" s="696" t="str">
        <f t="shared" si="105"/>
        <v>% Chg</v>
      </c>
      <c r="BN194" s="695" t="str">
        <f t="shared" si="105"/>
        <v>1Q14</v>
      </c>
      <c r="BO194" s="696" t="str">
        <f t="shared" ref="BO194:DA194" si="106">BO$5</f>
        <v>% Chg</v>
      </c>
      <c r="BP194" s="695" t="str">
        <f t="shared" si="106"/>
        <v>2Q14</v>
      </c>
      <c r="BQ194" s="696" t="str">
        <f t="shared" si="106"/>
        <v>% Chg</v>
      </c>
      <c r="BR194" s="695" t="str">
        <f t="shared" si="106"/>
        <v>3Q14</v>
      </c>
      <c r="BS194" s="696" t="str">
        <f t="shared" si="106"/>
        <v>% Chg</v>
      </c>
      <c r="BT194" s="695" t="str">
        <f t="shared" si="106"/>
        <v>4Q14</v>
      </c>
      <c r="BU194" s="696" t="str">
        <f t="shared" si="106"/>
        <v>% Chg</v>
      </c>
      <c r="BV194" s="695" t="str">
        <f t="shared" si="106"/>
        <v>1Q15</v>
      </c>
      <c r="BW194" s="696" t="str">
        <f t="shared" si="106"/>
        <v>% Chg</v>
      </c>
      <c r="BX194" s="695" t="str">
        <f t="shared" si="106"/>
        <v>2Q15</v>
      </c>
      <c r="BY194" s="696" t="str">
        <f t="shared" si="106"/>
        <v>% Chg</v>
      </c>
      <c r="BZ194" s="695" t="str">
        <f t="shared" si="106"/>
        <v>3Q15</v>
      </c>
      <c r="CA194" s="696" t="str">
        <f t="shared" si="106"/>
        <v>% Chg</v>
      </c>
      <c r="CB194" s="695" t="str">
        <f t="shared" si="106"/>
        <v>4Q15</v>
      </c>
      <c r="CC194" s="696" t="str">
        <f t="shared" si="106"/>
        <v>% Chg</v>
      </c>
      <c r="CD194" s="695" t="str">
        <f t="shared" si="106"/>
        <v>1Q16</v>
      </c>
      <c r="CE194" s="696" t="str">
        <f t="shared" si="106"/>
        <v>% Chg</v>
      </c>
      <c r="CF194" s="695" t="str">
        <f t="shared" si="106"/>
        <v>2Q16</v>
      </c>
      <c r="CG194" s="696" t="str">
        <f t="shared" si="106"/>
        <v>% Chg</v>
      </c>
      <c r="CH194" s="695" t="str">
        <f t="shared" si="106"/>
        <v>3Q16</v>
      </c>
      <c r="CI194" s="696" t="str">
        <f t="shared" si="106"/>
        <v>% Chg</v>
      </c>
      <c r="CJ194" s="695" t="str">
        <f t="shared" si="106"/>
        <v>4Q16</v>
      </c>
      <c r="CK194" s="696" t="str">
        <f t="shared" si="106"/>
        <v>% Chg</v>
      </c>
      <c r="CL194" s="695" t="str">
        <f t="shared" si="106"/>
        <v>1Q17</v>
      </c>
      <c r="CM194" s="696" t="str">
        <f t="shared" si="106"/>
        <v>% Chg</v>
      </c>
      <c r="CN194" s="695" t="str">
        <f t="shared" si="106"/>
        <v>2Q17</v>
      </c>
      <c r="CO194" s="696" t="str">
        <f t="shared" si="106"/>
        <v>% Chg</v>
      </c>
      <c r="CP194" s="695" t="str">
        <f t="shared" si="106"/>
        <v>3Q17</v>
      </c>
      <c r="CQ194" s="696" t="str">
        <f t="shared" si="106"/>
        <v>% Chg</v>
      </c>
      <c r="CR194" s="695" t="str">
        <f t="shared" si="106"/>
        <v>4Q17</v>
      </c>
      <c r="CS194" s="696" t="str">
        <f t="shared" si="106"/>
        <v>% Chg</v>
      </c>
      <c r="CT194" s="695" t="str">
        <f t="shared" si="106"/>
        <v>1Q18E</v>
      </c>
      <c r="CU194" s="696" t="str">
        <f t="shared" si="106"/>
        <v>% Chg</v>
      </c>
      <c r="CV194" s="695" t="str">
        <f t="shared" si="106"/>
        <v>2Q18E</v>
      </c>
      <c r="CW194" s="696" t="str">
        <f t="shared" si="106"/>
        <v>% Chg</v>
      </c>
      <c r="CX194" s="695" t="str">
        <f t="shared" si="106"/>
        <v>3Q18E</v>
      </c>
      <c r="CY194" s="696" t="str">
        <f t="shared" si="106"/>
        <v>% Chg</v>
      </c>
      <c r="CZ194" s="695" t="str">
        <f t="shared" si="106"/>
        <v>4Q18E</v>
      </c>
      <c r="DA194" s="696" t="str">
        <f t="shared" si="106"/>
        <v>% Chg</v>
      </c>
      <c r="DB194" s="695"/>
      <c r="DC194" s="697">
        <f t="shared" ref="DC194:EM194" si="107">DC$5</f>
        <v>2005</v>
      </c>
      <c r="DD194" s="696" t="str">
        <f t="shared" si="107"/>
        <v>% Chg</v>
      </c>
      <c r="DE194" s="698">
        <f>$DE$5</f>
        <v>2006</v>
      </c>
      <c r="DF194" s="696" t="str">
        <f>INPUT!FS$6</f>
        <v>% Chg</v>
      </c>
      <c r="DG194" s="699">
        <f>$DG$5</f>
        <v>2007</v>
      </c>
      <c r="DH194" s="696" t="str">
        <f t="shared" si="107"/>
        <v>% Chg</v>
      </c>
      <c r="DI194" s="699">
        <f t="shared" si="107"/>
        <v>2008</v>
      </c>
      <c r="DJ194" s="696" t="str">
        <f t="shared" si="107"/>
        <v>% Chg</v>
      </c>
      <c r="DK194" s="695" t="str">
        <f t="shared" si="107"/>
        <v>2009</v>
      </c>
      <c r="DL194" s="696" t="str">
        <f t="shared" si="107"/>
        <v>% Chg</v>
      </c>
      <c r="DM194" s="695" t="str">
        <f t="shared" si="107"/>
        <v>2010</v>
      </c>
      <c r="DN194" s="696" t="str">
        <f t="shared" si="107"/>
        <v>% Chg</v>
      </c>
      <c r="DO194" s="695" t="str">
        <f t="shared" si="107"/>
        <v>2011</v>
      </c>
      <c r="DP194" s="696" t="str">
        <f t="shared" si="107"/>
        <v>% Chg</v>
      </c>
      <c r="DQ194" s="695" t="str">
        <f t="shared" si="107"/>
        <v>2012</v>
      </c>
      <c r="DR194" s="696" t="str">
        <f t="shared" si="107"/>
        <v>% Chg</v>
      </c>
      <c r="DS194" s="695" t="str">
        <f t="shared" si="107"/>
        <v>2013</v>
      </c>
      <c r="DT194" s="696" t="str">
        <f t="shared" si="107"/>
        <v>% Chg</v>
      </c>
      <c r="DU194" s="695" t="str">
        <f t="shared" si="107"/>
        <v>2014</v>
      </c>
      <c r="DV194" s="696" t="str">
        <f t="shared" si="107"/>
        <v>% Chg</v>
      </c>
      <c r="DW194" s="695" t="str">
        <f t="shared" si="107"/>
        <v>2015</v>
      </c>
      <c r="DX194" s="696" t="str">
        <f t="shared" si="107"/>
        <v>% Chg</v>
      </c>
      <c r="DY194" s="695" t="str">
        <f t="shared" si="107"/>
        <v>2016</v>
      </c>
      <c r="DZ194" s="696" t="str">
        <f t="shared" si="107"/>
        <v>% Chg</v>
      </c>
      <c r="EA194" s="695" t="str">
        <f t="shared" si="107"/>
        <v>2017</v>
      </c>
      <c r="EB194" s="696" t="str">
        <f t="shared" si="107"/>
        <v>% Chg</v>
      </c>
      <c r="EC194" s="695" t="str">
        <f t="shared" si="107"/>
        <v>2018E</v>
      </c>
      <c r="ED194" s="696" t="str">
        <f t="shared" si="107"/>
        <v>% Chg</v>
      </c>
      <c r="EE194" s="695" t="str">
        <f t="shared" si="107"/>
        <v>2019E</v>
      </c>
      <c r="EF194" s="696" t="str">
        <f t="shared" si="107"/>
        <v>% Chg</v>
      </c>
      <c r="EG194" s="695" t="str">
        <f t="shared" si="107"/>
        <v>2020E</v>
      </c>
      <c r="EH194" s="696" t="str">
        <f t="shared" si="107"/>
        <v>% Chg</v>
      </c>
      <c r="EI194" s="695" t="str">
        <f t="shared" si="107"/>
        <v>2021E</v>
      </c>
      <c r="EJ194" s="696" t="str">
        <f t="shared" si="107"/>
        <v>% Chg</v>
      </c>
      <c r="EK194" s="695" t="str">
        <f t="shared" si="107"/>
        <v>2022E</v>
      </c>
      <c r="EL194" s="696" t="str">
        <f t="shared" si="107"/>
        <v>% Chg</v>
      </c>
      <c r="EM194" s="696" t="str">
        <f t="shared" si="107"/>
        <v>(%)</v>
      </c>
    </row>
    <row r="195" spans="1:143" ht="12.75" hidden="1" customHeight="1" outlineLevel="1" x14ac:dyDescent="0.2">
      <c r="A195" s="700"/>
      <c r="B195" s="16"/>
      <c r="C195" s="687"/>
      <c r="D195" s="16"/>
      <c r="E195" s="687"/>
      <c r="F195" s="16"/>
      <c r="G195" s="687"/>
      <c r="H195" s="16"/>
      <c r="I195" s="687"/>
      <c r="J195" s="16"/>
      <c r="K195" s="687"/>
      <c r="L195" s="16"/>
      <c r="M195" s="687"/>
      <c r="N195" s="16"/>
      <c r="O195" s="687"/>
      <c r="P195" s="16"/>
      <c r="Q195" s="687"/>
      <c r="R195" s="16"/>
      <c r="S195" s="687"/>
      <c r="T195" s="16"/>
      <c r="U195" s="687"/>
      <c r="V195" s="16"/>
      <c r="W195" s="687"/>
      <c r="X195" s="16"/>
      <c r="Y195" s="687"/>
      <c r="Z195" s="16"/>
      <c r="AA195" s="687"/>
      <c r="AB195" s="16"/>
      <c r="AC195" s="687"/>
      <c r="AD195" s="16"/>
      <c r="AE195" s="687"/>
      <c r="AF195" s="16"/>
      <c r="AG195" s="687"/>
      <c r="AH195" s="16"/>
      <c r="AI195" s="687"/>
      <c r="AJ195" s="16"/>
      <c r="AK195" s="687"/>
      <c r="AL195" s="16"/>
      <c r="AM195" s="687"/>
      <c r="AN195" s="16"/>
      <c r="AO195" s="687"/>
      <c r="AP195" s="16"/>
      <c r="AQ195" s="687"/>
      <c r="AR195" s="16"/>
      <c r="AS195" s="687"/>
      <c r="AT195" s="16"/>
      <c r="AU195" s="687"/>
      <c r="AV195" s="16"/>
      <c r="AW195" s="687"/>
      <c r="AX195" s="16"/>
      <c r="AY195" s="687"/>
      <c r="AZ195" s="16"/>
      <c r="BA195" s="687"/>
      <c r="BB195" s="16"/>
      <c r="BC195" s="687"/>
      <c r="BD195" s="16"/>
      <c r="BE195" s="687"/>
      <c r="BF195" s="16"/>
      <c r="BG195" s="687"/>
      <c r="BH195" s="16"/>
      <c r="BI195" s="687"/>
      <c r="BJ195" s="16"/>
      <c r="BK195" s="687"/>
      <c r="BL195" s="16"/>
      <c r="BM195" s="687"/>
      <c r="BN195" s="16"/>
      <c r="BO195" s="687"/>
      <c r="BP195" s="16"/>
      <c r="BQ195" s="687"/>
      <c r="BR195" s="16"/>
      <c r="BS195" s="687"/>
      <c r="BT195" s="16"/>
      <c r="BU195" s="687"/>
      <c r="BV195" s="16"/>
      <c r="BW195" s="687"/>
      <c r="BX195" s="16"/>
      <c r="BY195" s="687"/>
      <c r="BZ195" s="16"/>
      <c r="CA195" s="687"/>
      <c r="CB195" s="16"/>
      <c r="CC195" s="687"/>
      <c r="CD195" s="16"/>
      <c r="CE195" s="687"/>
      <c r="CF195" s="16"/>
      <c r="CG195" s="687"/>
      <c r="CH195" s="16"/>
      <c r="CI195" s="687"/>
      <c r="CJ195" s="16"/>
      <c r="CK195" s="687"/>
      <c r="CL195" s="16"/>
      <c r="CM195" s="687"/>
      <c r="CN195" s="16"/>
      <c r="CO195" s="687"/>
      <c r="CP195" s="16"/>
      <c r="CQ195" s="687"/>
      <c r="CR195" s="16"/>
      <c r="CS195" s="687"/>
      <c r="CT195" s="16"/>
      <c r="CU195" s="687"/>
      <c r="CV195" s="16"/>
      <c r="CW195" s="687"/>
      <c r="CX195" s="16"/>
      <c r="CY195" s="687"/>
      <c r="CZ195" s="16"/>
      <c r="DA195" s="687"/>
      <c r="DB195" s="16"/>
      <c r="DC195" s="16"/>
      <c r="DD195" s="687"/>
      <c r="DE195" s="16"/>
      <c r="DF195" s="687"/>
      <c r="DG195" s="16"/>
      <c r="DH195" s="687"/>
      <c r="DI195" s="16"/>
      <c r="DJ195" s="687"/>
      <c r="DK195" s="16"/>
      <c r="DL195" s="687"/>
      <c r="DM195" s="16"/>
      <c r="DN195" s="687"/>
      <c r="DO195" s="16"/>
      <c r="DP195" s="687"/>
      <c r="DQ195" s="16"/>
      <c r="DR195" s="687"/>
      <c r="DS195" s="16"/>
      <c r="DT195" s="687"/>
      <c r="DU195" s="16"/>
      <c r="DV195" s="687"/>
      <c r="DW195" s="16"/>
      <c r="DX195" s="687"/>
      <c r="DY195" s="16"/>
      <c r="DZ195" s="687"/>
      <c r="EA195" s="16"/>
      <c r="EB195" s="687"/>
      <c r="EC195" s="16"/>
      <c r="ED195" s="687"/>
      <c r="EE195" s="16"/>
      <c r="EF195" s="687"/>
      <c r="EG195" s="16"/>
      <c r="EH195" s="687"/>
      <c r="EI195" s="16"/>
      <c r="EJ195" s="687"/>
      <c r="EK195" s="16"/>
      <c r="EL195" s="687"/>
      <c r="EM195" s="687"/>
    </row>
    <row r="196" spans="1:143" ht="12.75" hidden="1" customHeight="1" outlineLevel="1" x14ac:dyDescent="0.2">
      <c r="A196" s="700" t="s">
        <v>7</v>
      </c>
      <c r="B196" s="16"/>
      <c r="C196" s="687"/>
      <c r="D196" s="16"/>
      <c r="E196" s="687"/>
      <c r="F196" s="16"/>
      <c r="G196" s="687"/>
      <c r="H196" s="16"/>
      <c r="I196" s="687"/>
      <c r="J196" s="16"/>
      <c r="K196" s="687"/>
      <c r="L196" s="16"/>
      <c r="M196" s="687"/>
      <c r="N196" s="16"/>
      <c r="O196" s="687"/>
      <c r="P196" s="16"/>
      <c r="Q196" s="687"/>
      <c r="R196" s="16"/>
      <c r="S196" s="687"/>
      <c r="T196" s="16"/>
      <c r="U196" s="687"/>
      <c r="V196" s="16"/>
      <c r="W196" s="687"/>
      <c r="X196" s="16"/>
      <c r="Y196" s="687"/>
      <c r="Z196" s="16"/>
      <c r="AA196" s="687"/>
      <c r="AB196" s="16"/>
      <c r="AC196" s="687"/>
      <c r="AD196" s="16"/>
      <c r="AE196" s="687"/>
      <c r="AF196" s="16"/>
      <c r="AG196" s="687"/>
      <c r="AH196" s="16"/>
      <c r="AI196" s="687"/>
      <c r="AJ196" s="16"/>
      <c r="AK196" s="687"/>
      <c r="AL196" s="16"/>
      <c r="AM196" s="687"/>
      <c r="AN196" s="16"/>
      <c r="AO196" s="687"/>
      <c r="AP196" s="16"/>
      <c r="AQ196" s="687"/>
      <c r="AR196" s="16"/>
      <c r="AS196" s="687"/>
      <c r="AT196" s="16"/>
      <c r="AU196" s="687"/>
      <c r="AV196" s="16"/>
      <c r="AW196" s="687"/>
      <c r="AX196" s="16"/>
      <c r="AY196" s="687"/>
      <c r="AZ196" s="16"/>
      <c r="BA196" s="687"/>
      <c r="BB196" s="16"/>
      <c r="BC196" s="687"/>
      <c r="BD196" s="16"/>
      <c r="BE196" s="687"/>
      <c r="BF196" s="16"/>
      <c r="BG196" s="687"/>
      <c r="BH196" s="16"/>
      <c r="BI196" s="687"/>
      <c r="BJ196" s="16"/>
      <c r="BK196" s="687"/>
      <c r="BL196" s="16"/>
      <c r="BM196" s="687"/>
      <c r="BN196" s="16"/>
      <c r="BO196" s="687"/>
      <c r="BP196" s="16"/>
      <c r="BQ196" s="687"/>
      <c r="BR196" s="16"/>
      <c r="BS196" s="687"/>
      <c r="BT196" s="16"/>
      <c r="BU196" s="687"/>
      <c r="BV196" s="16"/>
      <c r="BW196" s="687"/>
      <c r="BX196" s="16"/>
      <c r="BY196" s="687"/>
      <c r="BZ196" s="16"/>
      <c r="CA196" s="687"/>
      <c r="CB196" s="16"/>
      <c r="CC196" s="687"/>
      <c r="CD196" s="16"/>
      <c r="CE196" s="687"/>
      <c r="CF196" s="16"/>
      <c r="CG196" s="687"/>
      <c r="CH196" s="16"/>
      <c r="CI196" s="687"/>
      <c r="CJ196" s="16"/>
      <c r="CK196" s="687"/>
      <c r="CL196" s="16"/>
      <c r="CM196" s="687"/>
      <c r="CN196" s="16"/>
      <c r="CO196" s="687"/>
      <c r="CP196" s="16"/>
      <c r="CQ196" s="687"/>
      <c r="CR196" s="16"/>
      <c r="CS196" s="687"/>
      <c r="CT196" s="16"/>
      <c r="CU196" s="687"/>
      <c r="CV196" s="16"/>
      <c r="CW196" s="687"/>
      <c r="CX196" s="16"/>
      <c r="CY196" s="687"/>
      <c r="CZ196" s="16"/>
      <c r="DA196" s="687"/>
      <c r="DB196" s="16"/>
      <c r="DC196" s="16"/>
      <c r="DD196" s="687"/>
      <c r="DE196" s="16"/>
      <c r="DF196" s="687"/>
      <c r="DG196" s="16"/>
      <c r="DH196" s="687"/>
      <c r="DI196" s="16"/>
      <c r="DJ196" s="687"/>
      <c r="DK196" s="16"/>
      <c r="DL196" s="687"/>
      <c r="DM196" s="16"/>
      <c r="DN196" s="687"/>
      <c r="DO196" s="16"/>
      <c r="DP196" s="687"/>
      <c r="DQ196" s="16"/>
      <c r="DR196" s="687"/>
      <c r="DS196" s="16"/>
      <c r="DT196" s="687"/>
      <c r="DU196" s="16"/>
      <c r="DV196" s="687"/>
      <c r="DW196" s="16"/>
      <c r="DX196" s="687"/>
      <c r="DY196" s="16"/>
      <c r="DZ196" s="687"/>
      <c r="EA196" s="16"/>
      <c r="EB196" s="687"/>
      <c r="EC196" s="16"/>
      <c r="ED196" s="687"/>
      <c r="EE196" s="16"/>
      <c r="EF196" s="687"/>
      <c r="EG196" s="16"/>
      <c r="EH196" s="687"/>
      <c r="EI196" s="16"/>
      <c r="EJ196" s="687"/>
      <c r="EK196" s="16"/>
      <c r="EL196" s="687"/>
      <c r="EM196" s="687"/>
    </row>
    <row r="197" spans="1:143" ht="12.75" hidden="1" customHeight="1" outlineLevel="1" x14ac:dyDescent="0.2">
      <c r="A197" s="701" t="str">
        <f>INPUT!B82</f>
        <v xml:space="preserve">Premiums </v>
      </c>
      <c r="B197" s="151">
        <f>INPUT!AY82</f>
        <v>9.3000000000000007</v>
      </c>
      <c r="C197" s="687">
        <f>INPUT!AZ82</f>
        <v>-11.428571428571422</v>
      </c>
      <c r="D197" s="151">
        <f>INPUT!BA82</f>
        <v>15.3</v>
      </c>
      <c r="E197" s="687" t="str">
        <f>INPUT!BB82</f>
        <v>NM</v>
      </c>
      <c r="F197" s="151">
        <f>INPUT!BC82</f>
        <v>12.3</v>
      </c>
      <c r="G197" s="687">
        <f>INPUT!BD82</f>
        <v>14.953271028037406</v>
      </c>
      <c r="H197" s="151">
        <f>INPUT!BE82</f>
        <v>10.7</v>
      </c>
      <c r="I197" s="687">
        <f>INPUT!BF82</f>
        <v>25.882352941176467</v>
      </c>
      <c r="J197" s="151">
        <f>INPUT!BG82</f>
        <v>12.8</v>
      </c>
      <c r="K197" s="687">
        <f>INPUT!BH82</f>
        <v>37.634408602150529</v>
      </c>
      <c r="L197" s="151">
        <f>INPUT!BI82</f>
        <v>16.600000000000001</v>
      </c>
      <c r="M197" s="687">
        <f>INPUT!BJ82</f>
        <v>8.4967320261438051</v>
      </c>
      <c r="N197" s="151">
        <f>INPUT!BK82</f>
        <v>42.6</v>
      </c>
      <c r="O197" s="687" t="str">
        <f>INPUT!BL82</f>
        <v>NM</v>
      </c>
      <c r="P197" s="151">
        <f>INPUT!BM82</f>
        <v>46.5</v>
      </c>
      <c r="Q197" s="687" t="str">
        <f>INPUT!BN82</f>
        <v>NM</v>
      </c>
      <c r="R197" s="151">
        <f>INPUT!BO82</f>
        <v>31.6</v>
      </c>
      <c r="S197" s="687" t="str">
        <f>INPUT!BP82</f>
        <v>NM</v>
      </c>
      <c r="T197" s="151">
        <f>INPUT!BQ82</f>
        <v>19</v>
      </c>
      <c r="U197" s="687">
        <f>INPUT!BR82</f>
        <v>14.457831325301186</v>
      </c>
      <c r="V197" s="151">
        <f>INPUT!BS82</f>
        <v>52.1</v>
      </c>
      <c r="W197" s="687">
        <f>INPUT!BT82</f>
        <v>22.300469483568076</v>
      </c>
      <c r="X197" s="151">
        <f>INPUT!BU82</f>
        <v>33.700000000000003</v>
      </c>
      <c r="Y197" s="687">
        <f>INPUT!BV82</f>
        <v>-27.526881720430097</v>
      </c>
      <c r="Z197" s="151">
        <f>INPUT!BW82</f>
        <v>27.1</v>
      </c>
      <c r="AA197" s="687">
        <f>INPUT!BX82</f>
        <v>-14.240506329113922</v>
      </c>
      <c r="AB197" s="151">
        <f>INPUT!BY82</f>
        <v>32.5</v>
      </c>
      <c r="AC197" s="687">
        <f>INPUT!BZ82</f>
        <v>71.05263157894737</v>
      </c>
      <c r="AD197" s="151">
        <f>INPUT!CA82</f>
        <v>17.3</v>
      </c>
      <c r="AE197" s="687" t="str">
        <f>INPUT!CB82</f>
        <v>NM</v>
      </c>
      <c r="AF197" s="151">
        <f>INPUT!CC82</f>
        <v>11.9</v>
      </c>
      <c r="AG197" s="687" t="str">
        <f>INPUT!CD82</f>
        <v>NM</v>
      </c>
      <c r="AH197" s="151">
        <f>INPUT!CE82</f>
        <v>9.9</v>
      </c>
      <c r="AI197" s="687" t="str">
        <f>INPUT!CF82</f>
        <v>NM</v>
      </c>
      <c r="AJ197" s="151">
        <f>INPUT!CG82</f>
        <v>9.8000000000000007</v>
      </c>
      <c r="AK197" s="687" t="str">
        <f>INPUT!CH82</f>
        <v>NM</v>
      </c>
      <c r="AL197" s="151">
        <f>INPUT!CI82</f>
        <v>15.7</v>
      </c>
      <c r="AM197" s="687">
        <f>INPUT!CJ82</f>
        <v>-9.2485549132948037</v>
      </c>
      <c r="AN197" s="151">
        <f>INPUT!CK82</f>
        <v>17.600000000000001</v>
      </c>
      <c r="AO197" s="687">
        <f>INPUT!CL82</f>
        <v>47.899159663865554</v>
      </c>
      <c r="AP197" s="151">
        <f>INPUT!CM82</f>
        <v>23.1</v>
      </c>
      <c r="AQ197" s="687" t="str">
        <f>INPUT!CN82</f>
        <v>NM</v>
      </c>
      <c r="AR197" s="151">
        <f>INPUT!CO82</f>
        <v>21.8</v>
      </c>
      <c r="AS197" s="687" t="str">
        <f>INPUT!CP82</f>
        <v>NM</v>
      </c>
      <c r="AT197" s="151">
        <f>INPUT!CQ82</f>
        <v>14.6</v>
      </c>
      <c r="AU197" s="687">
        <f>INPUT!CR82</f>
        <v>-7.0063694267515908</v>
      </c>
      <c r="AV197" s="151">
        <f>INPUT!CS82</f>
        <v>14</v>
      </c>
      <c r="AW197" s="687">
        <f>INPUT!CT82</f>
        <v>-20.45454545454546</v>
      </c>
      <c r="AX197" s="151">
        <f>INPUT!CU82</f>
        <v>17</v>
      </c>
      <c r="AY197" s="687">
        <f>INPUT!CV82</f>
        <v>-26.406926406926413</v>
      </c>
      <c r="AZ197" s="151">
        <f>INPUT!CW82</f>
        <v>18</v>
      </c>
      <c r="BA197" s="687">
        <f>INPUT!CX82</f>
        <v>-17.431192660550465</v>
      </c>
      <c r="BB197" s="151">
        <f>INPUT!CY82</f>
        <v>29</v>
      </c>
      <c r="BC197" s="687">
        <f>INPUT!CZ82</f>
        <v>98.630136986301366</v>
      </c>
      <c r="BD197" s="151">
        <f>INPUT!DA82</f>
        <v>34</v>
      </c>
      <c r="BE197" s="687" t="str">
        <f>INPUT!DB82</f>
        <v>NM</v>
      </c>
      <c r="BF197" s="151">
        <f>INPUT!DC82</f>
        <v>33</v>
      </c>
      <c r="BG197" s="687">
        <f>INPUT!DD82</f>
        <v>94.117647058823522</v>
      </c>
      <c r="BH197" s="151">
        <f>INPUT!DE82</f>
        <v>24</v>
      </c>
      <c r="BI197" s="687">
        <f>INPUT!DF82</f>
        <v>33.333333333333329</v>
      </c>
      <c r="BJ197" s="151">
        <f>INPUT!DG82</f>
        <v>30</v>
      </c>
      <c r="BK197" s="687">
        <f>INPUT!DH82</f>
        <v>3.4482758620689724</v>
      </c>
      <c r="BL197" s="151">
        <f>INPUT!DI82</f>
        <v>28</v>
      </c>
      <c r="BM197" s="687">
        <f>INPUT!DJ82</f>
        <v>-17.647058823529417</v>
      </c>
      <c r="BN197" s="151">
        <f>INPUT!DK82</f>
        <v>45</v>
      </c>
      <c r="BO197" s="687">
        <f>INPUT!DL82</f>
        <v>36.363636363636353</v>
      </c>
      <c r="BP197" s="151">
        <f>INPUT!DM82</f>
        <v>42</v>
      </c>
      <c r="BQ197" s="687">
        <f>INPUT!DN82</f>
        <v>75</v>
      </c>
      <c r="BR197" s="151">
        <f>INPUT!DO82</f>
        <v>39</v>
      </c>
      <c r="BS197" s="687">
        <f>INPUT!DP82</f>
        <v>30.000000000000004</v>
      </c>
      <c r="BT197" s="151">
        <f>INPUT!DQ82</f>
        <v>47</v>
      </c>
      <c r="BU197" s="687">
        <f>INPUT!DR82</f>
        <v>67.857142857142861</v>
      </c>
      <c r="BV197" s="151">
        <f>INPUT!DS82</f>
        <v>79</v>
      </c>
      <c r="BW197" s="687">
        <f>INPUT!DT82</f>
        <v>75.555555555555557</v>
      </c>
      <c r="BX197" s="151">
        <f>INPUT!DU82</f>
        <v>55</v>
      </c>
      <c r="BY197" s="687">
        <f>INPUT!DV82</f>
        <v>30.952380952380953</v>
      </c>
      <c r="BZ197" s="151">
        <f>INPUT!DW82</f>
        <v>129</v>
      </c>
      <c r="CA197" s="687">
        <f>INPUT!DX82</f>
        <v>129</v>
      </c>
      <c r="CB197" s="151">
        <f>INPUT!DY82</f>
        <v>154</v>
      </c>
      <c r="CC197" s="687" t="str">
        <f>INPUT!DZ82</f>
        <v>NM</v>
      </c>
      <c r="CD197" s="151">
        <f>INPUT!EA82</f>
        <v>151</v>
      </c>
      <c r="CE197" s="687">
        <f>INPUT!EB82</f>
        <v>91.139240506329116</v>
      </c>
      <c r="CF197" s="151">
        <f>INPUT!EC82</f>
        <v>68</v>
      </c>
      <c r="CG197" s="687">
        <f>INPUT!ED82</f>
        <v>23.636363636363633</v>
      </c>
      <c r="CH197" s="151">
        <f>INPUT!EE82</f>
        <v>45</v>
      </c>
      <c r="CI197" s="687" t="str">
        <f>INPUT!EF82</f>
        <v>NM</v>
      </c>
      <c r="CJ197" s="151">
        <f>INPUT!EG82</f>
        <v>67</v>
      </c>
      <c r="CK197" s="687" t="str">
        <f>INPUT!EH82</f>
        <v>NM</v>
      </c>
      <c r="CL197" s="151">
        <f>INPUT!EI82</f>
        <v>124</v>
      </c>
      <c r="CM197" s="687">
        <f>INPUT!EJ82</f>
        <v>-17.880794701986758</v>
      </c>
      <c r="CN197" s="151">
        <f>INPUT!EK82</f>
        <v>106</v>
      </c>
      <c r="CO197" s="687">
        <f>INPUT!EL82</f>
        <v>55.882352941176471</v>
      </c>
      <c r="CP197" s="151">
        <f>INPUT!EM82</f>
        <v>82</v>
      </c>
      <c r="CQ197" s="687">
        <f>INPUT!EN82</f>
        <v>82.222222222222214</v>
      </c>
      <c r="CR197" s="151">
        <f>INPUT!EO82</f>
        <v>162</v>
      </c>
      <c r="CS197" s="687" t="str">
        <f>INPUT!EP82</f>
        <v>NM</v>
      </c>
      <c r="CT197" s="151">
        <f>INPUT!EQ82</f>
        <v>92.624181489009388</v>
      </c>
      <c r="CU197" s="687">
        <f>INPUT!ER82</f>
        <v>-25.303079444347265</v>
      </c>
      <c r="CV197" s="151">
        <f>INPUT!ES82</f>
        <v>92.706014802369424</v>
      </c>
      <c r="CW197" s="687">
        <f>INPUT!ET82</f>
        <v>-12.541495469462804</v>
      </c>
      <c r="CX197" s="151">
        <f>INPUT!EU82</f>
        <v>97.188384441232287</v>
      </c>
      <c r="CY197" s="687">
        <f>INPUT!EV82</f>
        <v>18.522420050283284</v>
      </c>
      <c r="CZ197" s="151">
        <f>INPUT!EW82</f>
        <v>101.93663646008368</v>
      </c>
      <c r="DA197" s="687">
        <f>INPUT!EX82</f>
        <v>-37.076150333281674</v>
      </c>
      <c r="DB197" s="16"/>
      <c r="DC197" s="151">
        <f>INPUT!FP82</f>
        <v>37</v>
      </c>
      <c r="DD197" s="687">
        <f>INPUT!FQ82</f>
        <v>15.625</v>
      </c>
      <c r="DE197" s="151">
        <f>INPUT!FR82</f>
        <v>47.600000000000009</v>
      </c>
      <c r="DF197" s="687">
        <f>INPUT!FS82</f>
        <v>28.648648648648667</v>
      </c>
      <c r="DG197" s="151">
        <f>INPUT!FT82</f>
        <v>118.5</v>
      </c>
      <c r="DH197" s="687" t="str">
        <f>INPUT!FU82</f>
        <v>NM</v>
      </c>
      <c r="DI197" s="151">
        <f>INPUT!FV82</f>
        <v>136.4</v>
      </c>
      <c r="DJ197" s="687">
        <f>INPUT!FW82</f>
        <v>15.105485232067517</v>
      </c>
      <c r="DK197" s="151">
        <f>INPUT!FX82</f>
        <v>88.800000000000011</v>
      </c>
      <c r="DL197" s="687">
        <f>INPUT!FY82</f>
        <v>-34.897360703812311</v>
      </c>
      <c r="DM197" s="151">
        <f>INPUT!FZ82</f>
        <v>53.000000000000007</v>
      </c>
      <c r="DN197" s="687">
        <f>INPUT!GA82</f>
        <v>-40.315315315315317</v>
      </c>
      <c r="DO197" s="151">
        <f>INPUT!GB82</f>
        <v>73.5</v>
      </c>
      <c r="DP197" s="687">
        <f>INPUT!GC82</f>
        <v>38.679245283018851</v>
      </c>
      <c r="DQ197" s="151">
        <f>INPUT!GD82</f>
        <v>98</v>
      </c>
      <c r="DR197" s="687">
        <f>INPUT!GE82</f>
        <v>33.333333333333329</v>
      </c>
      <c r="DS197" s="151">
        <f>INPUT!GF82</f>
        <v>115</v>
      </c>
      <c r="DT197" s="687">
        <f>INPUT!GG82</f>
        <v>17.34693877551021</v>
      </c>
      <c r="DU197" s="151">
        <f>INPUT!GH82</f>
        <v>173</v>
      </c>
      <c r="DV197" s="687">
        <f>INPUT!GI82</f>
        <v>50.434782608695649</v>
      </c>
      <c r="DW197" s="151">
        <f>INPUT!GJ82</f>
        <v>417</v>
      </c>
      <c r="DX197" s="687" t="str">
        <f>INPUT!GK82</f>
        <v>NM</v>
      </c>
      <c r="DY197" s="151">
        <f>INPUT!GL82</f>
        <v>331</v>
      </c>
      <c r="DZ197" s="687">
        <f>INPUT!GM82</f>
        <v>-20.623501199040774</v>
      </c>
      <c r="EA197" s="151">
        <f>INPUT!GN82</f>
        <v>474</v>
      </c>
      <c r="EB197" s="687">
        <f>INPUT!GO82</f>
        <v>43.202416918429009</v>
      </c>
      <c r="EC197" s="151">
        <f>INPUT!GP82</f>
        <v>384.45521719269476</v>
      </c>
      <c r="ED197" s="687">
        <f>INPUT!GQ82</f>
        <v>-18.891304389726848</v>
      </c>
      <c r="EE197" s="151">
        <f>INPUT!GR82</f>
        <v>415.51032198683242</v>
      </c>
      <c r="EF197" s="687">
        <f>INPUT!GS82</f>
        <v>8.0776910821767736</v>
      </c>
      <c r="EG197" s="151">
        <f>INPUT!GT82</f>
        <v>440.30879548040542</v>
      </c>
      <c r="EH197" s="687">
        <f>INPUT!GU82</f>
        <v>5.9681967405755154</v>
      </c>
      <c r="EI197" s="151">
        <f>INPUT!GV82</f>
        <v>468.02921045167921</v>
      </c>
      <c r="EJ197" s="687">
        <f>INPUT!GW82</f>
        <v>6.2956759564680054</v>
      </c>
      <c r="EK197" s="151">
        <f>INPUT!GX82</f>
        <v>499.09196683352167</v>
      </c>
      <c r="EL197" s="687">
        <f>INPUT!GY82</f>
        <v>6.6369268601557785</v>
      </c>
      <c r="EM197" s="687">
        <f>INPUT!GZ82</f>
        <v>1.0370011586256611</v>
      </c>
    </row>
    <row r="198" spans="1:143" ht="12.75" hidden="1" customHeight="1" outlineLevel="1" x14ac:dyDescent="0.2">
      <c r="A198" s="701" t="str">
        <f>INPUT!B83</f>
        <v>Total Policy Charges</v>
      </c>
      <c r="B198" s="151">
        <f>INPUT!AY83</f>
        <v>217.5</v>
      </c>
      <c r="C198" s="687">
        <f>INPUT!AZ83</f>
        <v>26.233313987231565</v>
      </c>
      <c r="D198" s="151">
        <f>INPUT!BA83</f>
        <v>274.10000000000008</v>
      </c>
      <c r="E198" s="687">
        <f>INPUT!BB83</f>
        <v>47.286405158516985</v>
      </c>
      <c r="F198" s="151">
        <f>INPUT!BC83</f>
        <v>271.50000000000006</v>
      </c>
      <c r="G198" s="687">
        <f>INPUT!BD83</f>
        <v>35.750000000000036</v>
      </c>
      <c r="H198" s="151">
        <f>INPUT!BE83</f>
        <v>311.7999999999999</v>
      </c>
      <c r="I198" s="687">
        <f>INPUT!BF83</f>
        <v>46.24765478424009</v>
      </c>
      <c r="J198" s="151">
        <f>INPUT!BG83</f>
        <v>312.3</v>
      </c>
      <c r="K198" s="687">
        <f>INPUT!BH83</f>
        <v>43.58620689655173</v>
      </c>
      <c r="L198" s="151">
        <f>INPUT!BI83</f>
        <v>341.8</v>
      </c>
      <c r="M198" s="687">
        <f>INPUT!BJ83</f>
        <v>24.699014958044472</v>
      </c>
      <c r="N198" s="151">
        <f>INPUT!BK83</f>
        <v>355</v>
      </c>
      <c r="O198" s="687">
        <f>INPUT!BL83</f>
        <v>30.755064456721893</v>
      </c>
      <c r="P198" s="151">
        <f>INPUT!BM83</f>
        <v>373.99999999999994</v>
      </c>
      <c r="Q198" s="687">
        <f>INPUT!BN83</f>
        <v>19.948685054522141</v>
      </c>
      <c r="R198" s="151">
        <f>INPUT!BO83</f>
        <v>343.2</v>
      </c>
      <c r="S198" s="687">
        <f>INPUT!BP83</f>
        <v>9.8943323727185284</v>
      </c>
      <c r="T198" s="151">
        <f>INPUT!BQ83</f>
        <v>354.40000000000003</v>
      </c>
      <c r="U198" s="687">
        <f>INPUT!BR83</f>
        <v>3.6863662960795907</v>
      </c>
      <c r="V198" s="151">
        <f>INPUT!BS83</f>
        <v>380</v>
      </c>
      <c r="W198" s="687">
        <f>INPUT!BT83</f>
        <v>7.0422535211267512</v>
      </c>
      <c r="X198" s="151">
        <f>INPUT!BU83</f>
        <v>298.09999999999991</v>
      </c>
      <c r="Y198" s="687">
        <f>INPUT!BV83</f>
        <v>-20.29411764705884</v>
      </c>
      <c r="Z198" s="151">
        <f>INPUT!BW83</f>
        <v>254.20000000000002</v>
      </c>
      <c r="AA198" s="687">
        <f>INPUT!BX83</f>
        <v>-25.932400932400924</v>
      </c>
      <c r="AB198" s="151">
        <f>INPUT!BY83</f>
        <v>276.10000000000002</v>
      </c>
      <c r="AC198" s="687">
        <f>INPUT!BZ83</f>
        <v>-22.093679458239279</v>
      </c>
      <c r="AD198" s="151">
        <f>INPUT!CA83</f>
        <v>309.40000000000009</v>
      </c>
      <c r="AE198" s="687">
        <f>INPUT!CB83</f>
        <v>-18.578947368421026</v>
      </c>
      <c r="AF198" s="151">
        <f>INPUT!CC83</f>
        <v>335.8</v>
      </c>
      <c r="AG198" s="687">
        <f>INPUT!CD83</f>
        <v>12.646762831264713</v>
      </c>
      <c r="AH198" s="151">
        <f>INPUT!CE83</f>
        <v>349.2</v>
      </c>
      <c r="AI198" s="687">
        <f>INPUT!CF83</f>
        <v>37.372147915027519</v>
      </c>
      <c r="AJ198" s="151">
        <f>INPUT!CG83</f>
        <v>363.30000000000007</v>
      </c>
      <c r="AK198" s="687">
        <f>INPUT!CH83</f>
        <v>31.582759869612474</v>
      </c>
      <c r="AL198" s="151">
        <f>INPUT!CI83</f>
        <v>362.69999999999993</v>
      </c>
      <c r="AM198" s="687">
        <f>INPUT!CJ83</f>
        <v>17.22689075630246</v>
      </c>
      <c r="AN198" s="151">
        <f>INPUT!CK83</f>
        <v>407.19999999999993</v>
      </c>
      <c r="AO198" s="687">
        <f>INPUT!CL83</f>
        <v>21.262656343061327</v>
      </c>
      <c r="AP198" s="151">
        <f>INPUT!CM83</f>
        <v>422</v>
      </c>
      <c r="AQ198" s="687">
        <f>INPUT!CN83</f>
        <v>20.847651775486842</v>
      </c>
      <c r="AR198" s="151">
        <f>INPUT!CO83</f>
        <v>435.3</v>
      </c>
      <c r="AS198" s="687">
        <f>INPUT!CP83</f>
        <v>19.818331957060266</v>
      </c>
      <c r="AT198" s="151">
        <f>INPUT!CQ83</f>
        <v>425.5</v>
      </c>
      <c r="AU198" s="687">
        <f>INPUT!CR83</f>
        <v>17.314585056520571</v>
      </c>
      <c r="AV198" s="151">
        <f>INPUT!CS83</f>
        <v>408</v>
      </c>
      <c r="AW198" s="687">
        <f>INPUT!CT83</f>
        <v>0.19646365422398837</v>
      </c>
      <c r="AX198" s="151">
        <f>INPUT!CU83</f>
        <v>442</v>
      </c>
      <c r="AY198" s="687">
        <f>INPUT!CV83</f>
        <v>4.7393364928909998</v>
      </c>
      <c r="AZ198" s="151">
        <f>INPUT!CW83</f>
        <v>437</v>
      </c>
      <c r="BA198" s="687">
        <f>INPUT!CX83</f>
        <v>0.39053526303698405</v>
      </c>
      <c r="BB198" s="151">
        <f>INPUT!CY83</f>
        <v>448</v>
      </c>
      <c r="BC198" s="687">
        <f>INPUT!CZ83</f>
        <v>5.2878965922444232</v>
      </c>
      <c r="BD198" s="151">
        <f>INPUT!DA83</f>
        <v>469</v>
      </c>
      <c r="BE198" s="687">
        <f>INPUT!DB83</f>
        <v>14.950980392156854</v>
      </c>
      <c r="BF198" s="151">
        <f>INPUT!DC83</f>
        <v>487</v>
      </c>
      <c r="BG198" s="687">
        <f>INPUT!DD83</f>
        <v>10.18099547511313</v>
      </c>
      <c r="BH198" s="151">
        <f>INPUT!DE83</f>
        <v>520</v>
      </c>
      <c r="BI198" s="687">
        <f>INPUT!DF83</f>
        <v>18.993135011441641</v>
      </c>
      <c r="BJ198" s="151">
        <f>INPUT!DG83</f>
        <v>558</v>
      </c>
      <c r="BK198" s="687">
        <f>INPUT!DH83</f>
        <v>24.55357142857142</v>
      </c>
      <c r="BL198" s="151">
        <f>INPUT!DI83</f>
        <v>598</v>
      </c>
      <c r="BM198" s="687">
        <f>INPUT!DJ83</f>
        <v>27.505330490405111</v>
      </c>
      <c r="BN198" s="151">
        <f>INPUT!DK83</f>
        <v>605</v>
      </c>
      <c r="BO198" s="687">
        <f>INPUT!DL83</f>
        <v>24.22997946611909</v>
      </c>
      <c r="BP198" s="151">
        <f>INPUT!DM83</f>
        <v>626</v>
      </c>
      <c r="BQ198" s="687">
        <f>INPUT!DN83</f>
        <v>20.38461538461538</v>
      </c>
      <c r="BR198" s="151">
        <f>INPUT!DO83</f>
        <v>648</v>
      </c>
      <c r="BS198" s="687">
        <f>INPUT!DP83</f>
        <v>16.129032258064523</v>
      </c>
      <c r="BT198" s="151">
        <f>INPUT!DQ83</f>
        <v>659</v>
      </c>
      <c r="BU198" s="687">
        <f>INPUT!DR83</f>
        <v>10.200668896321075</v>
      </c>
      <c r="BV198" s="151">
        <f>INPUT!DS83</f>
        <v>663</v>
      </c>
      <c r="BW198" s="687">
        <f>INPUT!DT83</f>
        <v>9.5867768595041305</v>
      </c>
      <c r="BX198" s="151">
        <f>INPUT!DU83</f>
        <v>689</v>
      </c>
      <c r="BY198" s="687">
        <f>INPUT!DV83</f>
        <v>10.063897763578279</v>
      </c>
      <c r="BZ198" s="151">
        <f>INPUT!DW83</f>
        <v>674</v>
      </c>
      <c r="CA198" s="687">
        <f>INPUT!DX83</f>
        <v>674</v>
      </c>
      <c r="CB198" s="151">
        <f>INPUT!DY83</f>
        <v>673</v>
      </c>
      <c r="CC198" s="687">
        <f>INPUT!DZ83</f>
        <v>2.1244309559939278</v>
      </c>
      <c r="CD198" s="151">
        <f>INPUT!EA83</f>
        <v>637</v>
      </c>
      <c r="CE198" s="687">
        <f>INPUT!EB83</f>
        <v>-3.9215686274509776</v>
      </c>
      <c r="CF198" s="151">
        <f>INPUT!EC83</f>
        <v>657</v>
      </c>
      <c r="CG198" s="687">
        <f>INPUT!ED83</f>
        <v>-4.6444121915820036</v>
      </c>
      <c r="CH198" s="151">
        <f>INPUT!EE83</f>
        <v>687</v>
      </c>
      <c r="CI198" s="687">
        <f>INPUT!EF83</f>
        <v>1.928783382789323</v>
      </c>
      <c r="CJ198" s="151">
        <f>INPUT!EG83</f>
        <v>688</v>
      </c>
      <c r="CK198" s="687">
        <f>INPUT!EH83</f>
        <v>2.2288261515601704</v>
      </c>
      <c r="CL198" s="151">
        <f>INPUT!EI83</f>
        <v>681</v>
      </c>
      <c r="CM198" s="687">
        <f>INPUT!EJ83</f>
        <v>6.9073783359497654</v>
      </c>
      <c r="CN198" s="151">
        <f>INPUT!EK83</f>
        <v>707</v>
      </c>
      <c r="CO198" s="687">
        <f>INPUT!EL83</f>
        <v>7.6103500761035114</v>
      </c>
      <c r="CP198" s="151">
        <f>INPUT!EM83</f>
        <v>731</v>
      </c>
      <c r="CQ198" s="687">
        <f>INPUT!EN83</f>
        <v>6.4046579330422126</v>
      </c>
      <c r="CR198" s="151">
        <f>INPUT!EO83</f>
        <v>747</v>
      </c>
      <c r="CS198" s="687">
        <f>INPUT!EP83</f>
        <v>8.5755813953488413</v>
      </c>
      <c r="CT198" s="151">
        <f>INPUT!EQ83</f>
        <v>753.51819531271883</v>
      </c>
      <c r="CU198" s="687">
        <f>INPUT!ER83</f>
        <v>10.648780515817746</v>
      </c>
      <c r="CV198" s="151">
        <f>INPUT!ES83</f>
        <v>754.18392740997717</v>
      </c>
      <c r="CW198" s="687">
        <f>INPUT!ET83</f>
        <v>6.6738228302655189</v>
      </c>
      <c r="CX198" s="151">
        <f>INPUT!EU83</f>
        <v>762.41153133565876</v>
      </c>
      <c r="CY198" s="687">
        <f>INPUT!EV83</f>
        <v>4.2970631102132284</v>
      </c>
      <c r="CZ198" s="151">
        <f>INPUT!EW83</f>
        <v>772.08555301015008</v>
      </c>
      <c r="DA198" s="687">
        <f>INPUT!EX83</f>
        <v>3.3581730937282561</v>
      </c>
      <c r="DB198" s="16"/>
      <c r="DC198" s="151">
        <f>INPUT!FP83</f>
        <v>771.6</v>
      </c>
      <c r="DD198" s="687">
        <f>INPUT!FQ83</f>
        <v>20.940438871473365</v>
      </c>
      <c r="DE198" s="151">
        <f>INPUT!FR83</f>
        <v>1074.9000000000001</v>
      </c>
      <c r="DF198" s="687">
        <f>INPUT!FS83</f>
        <v>39.307931570762065</v>
      </c>
      <c r="DG198" s="151">
        <f>INPUT!FT83</f>
        <v>1383.1</v>
      </c>
      <c r="DH198" s="687">
        <f>INPUT!FU83</f>
        <v>28.672434645083243</v>
      </c>
      <c r="DI198" s="151">
        <f>INPUT!FV83</f>
        <v>1375.6999999999998</v>
      </c>
      <c r="DJ198" s="687">
        <f>INPUT!FW83</f>
        <v>-0.53503000506109899</v>
      </c>
      <c r="DK198" s="151">
        <f>INPUT!FX83</f>
        <v>1175.5000000000002</v>
      </c>
      <c r="DL198" s="687">
        <f>INPUT!FY83</f>
        <v>-14.552591408010439</v>
      </c>
      <c r="DM198" s="151">
        <f>INPUT!FZ83</f>
        <v>1482.3999999999996</v>
      </c>
      <c r="DN198" s="687">
        <f>INPUT!GA83</f>
        <v>26.108039132284077</v>
      </c>
      <c r="DO198" s="151">
        <f>INPUT!GB83</f>
        <v>1690.8</v>
      </c>
      <c r="DP198" s="687">
        <f>INPUT!GC83</f>
        <v>14.058283864004339</v>
      </c>
      <c r="DQ198" s="151">
        <f>INPUT!GD83</f>
        <v>1796</v>
      </c>
      <c r="DR198" s="687">
        <f>INPUT!GE83</f>
        <v>6.2219067896853497</v>
      </c>
      <c r="DS198" s="151">
        <f>INPUT!GF83</f>
        <v>2163</v>
      </c>
      <c r="DT198" s="687">
        <f>INPUT!GG83</f>
        <v>20.434298440979948</v>
      </c>
      <c r="DU198" s="151">
        <f>INPUT!GH83</f>
        <v>2538</v>
      </c>
      <c r="DV198" s="687">
        <f>INPUT!GI83</f>
        <v>17.33703190013869</v>
      </c>
      <c r="DW198" s="151">
        <f>INPUT!GJ83</f>
        <v>2699</v>
      </c>
      <c r="DX198" s="687">
        <f>INPUT!GK83</f>
        <v>6.3435776201733685</v>
      </c>
      <c r="DY198" s="151">
        <f>INPUT!GL83</f>
        <v>2669</v>
      </c>
      <c r="DZ198" s="687">
        <f>INPUT!GM83</f>
        <v>-1.1115227862171229</v>
      </c>
      <c r="EA198" s="151">
        <f>INPUT!GN83</f>
        <v>2866</v>
      </c>
      <c r="EB198" s="687">
        <f>INPUT!GO83</f>
        <v>7.3810415886099712</v>
      </c>
      <c r="EC198" s="151">
        <f>INPUT!GP83</f>
        <v>3042.1992070685046</v>
      </c>
      <c r="ED198" s="687">
        <f>INPUT!GQ83</f>
        <v>6.1479137148815255</v>
      </c>
      <c r="EE198" s="151">
        <f>INPUT!GR83</f>
        <v>3204.4603999280844</v>
      </c>
      <c r="EF198" s="687">
        <f>INPUT!GS83</f>
        <v>5.3336807294725563</v>
      </c>
      <c r="EG198" s="151">
        <f>INPUT!GT83</f>
        <v>3395.7089010696259</v>
      </c>
      <c r="EH198" s="687">
        <f>INPUT!GU83</f>
        <v>5.9681967405755376</v>
      </c>
      <c r="EI198" s="151">
        <f>INPUT!GV83</f>
        <v>3609.4917299059107</v>
      </c>
      <c r="EJ198" s="687">
        <f>INPUT!GW83</f>
        <v>6.2956759564680276</v>
      </c>
      <c r="EK198" s="151">
        <f>INPUT!GX83</f>
        <v>3849.0510560431371</v>
      </c>
      <c r="EL198" s="687">
        <f>INPUT!GY83</f>
        <v>6.6369268601557563</v>
      </c>
      <c r="EM198" s="687">
        <f>INPUT!GZ83</f>
        <v>6.0756000480611361</v>
      </c>
    </row>
    <row r="199" spans="1:143" ht="12.75" hidden="1" customHeight="1" outlineLevel="1" x14ac:dyDescent="0.2">
      <c r="A199" s="701" t="str">
        <f>INPUT!B84</f>
        <v>Investment Income</v>
      </c>
      <c r="B199" s="151">
        <f>INPUT!AY84</f>
        <v>148</v>
      </c>
      <c r="C199" s="687">
        <f>INPUT!AZ84</f>
        <v>-5.7324840764331197</v>
      </c>
      <c r="D199" s="151">
        <f>INPUT!BA84</f>
        <v>263.2</v>
      </c>
      <c r="E199" s="687">
        <f>INPUT!BB84</f>
        <v>70.025839793281634</v>
      </c>
      <c r="F199" s="151">
        <f>INPUT!BC84</f>
        <v>312.7</v>
      </c>
      <c r="G199" s="687" t="str">
        <f>INPUT!BD84</f>
        <v>NM</v>
      </c>
      <c r="H199" s="151">
        <f>INPUT!BE84</f>
        <v>314.8</v>
      </c>
      <c r="I199" s="687" t="str">
        <f>INPUT!BF84</f>
        <v>NM</v>
      </c>
      <c r="J199" s="151">
        <f>INPUT!BG84</f>
        <v>265.3</v>
      </c>
      <c r="K199" s="687">
        <f>INPUT!BH84</f>
        <v>79.256756756756758</v>
      </c>
      <c r="L199" s="151">
        <f>INPUT!BI84</f>
        <v>265.3</v>
      </c>
      <c r="M199" s="687">
        <f>INPUT!BJ84</f>
        <v>0.79787234042554278</v>
      </c>
      <c r="N199" s="151">
        <f>INPUT!BK84</f>
        <v>249.4</v>
      </c>
      <c r="O199" s="687">
        <f>INPUT!BL84</f>
        <v>-20.243044451551008</v>
      </c>
      <c r="P199" s="151">
        <f>INPUT!BM84</f>
        <v>251.8</v>
      </c>
      <c r="Q199" s="687">
        <f>INPUT!BN84</f>
        <v>-20.012706480304953</v>
      </c>
      <c r="R199" s="151">
        <f>INPUT!BO84</f>
        <v>247.8</v>
      </c>
      <c r="S199" s="687">
        <f>INPUT!BP84</f>
        <v>-6.5963060686015869</v>
      </c>
      <c r="T199" s="151">
        <f>INPUT!BQ84</f>
        <v>245.3</v>
      </c>
      <c r="U199" s="687">
        <f>INPUT!BR84</f>
        <v>-7.5386355069732343</v>
      </c>
      <c r="V199" s="151">
        <f>INPUT!BS84</f>
        <v>243.1</v>
      </c>
      <c r="W199" s="687">
        <f>INPUT!BT84</f>
        <v>-2.5260625501202894</v>
      </c>
      <c r="X199" s="151">
        <f>INPUT!BU84</f>
        <v>235.5</v>
      </c>
      <c r="Y199" s="687">
        <f>INPUT!BV84</f>
        <v>-6.4733915806195474</v>
      </c>
      <c r="Z199" s="151">
        <f>INPUT!BW84</f>
        <v>240.4</v>
      </c>
      <c r="AA199" s="687">
        <f>INPUT!BX84</f>
        <v>-2.986279257465696</v>
      </c>
      <c r="AB199" s="151">
        <f>INPUT!BY84</f>
        <v>243.9</v>
      </c>
      <c r="AC199" s="687">
        <f>INPUT!BZ84</f>
        <v>-0.57072971871178213</v>
      </c>
      <c r="AD199" s="151">
        <f>INPUT!CA84</f>
        <v>271.5</v>
      </c>
      <c r="AE199" s="687">
        <f>INPUT!CB84</f>
        <v>11.682435211846975</v>
      </c>
      <c r="AF199" s="151">
        <f>INPUT!CC84</f>
        <v>281.2</v>
      </c>
      <c r="AG199" s="687">
        <f>INPUT!CD84</f>
        <v>19.405520169851375</v>
      </c>
      <c r="AH199" s="151">
        <f>INPUT!CE84</f>
        <v>270.8</v>
      </c>
      <c r="AI199" s="687">
        <f>INPUT!CF84</f>
        <v>12.64559068219635</v>
      </c>
      <c r="AJ199" s="151">
        <f>INPUT!CG84</f>
        <v>271.5</v>
      </c>
      <c r="AK199" s="687">
        <f>INPUT!CH84</f>
        <v>11.316113161131614</v>
      </c>
      <c r="AL199" s="151">
        <f>INPUT!CI84</f>
        <v>281.89999999999998</v>
      </c>
      <c r="AM199" s="687">
        <f>INPUT!CJ84</f>
        <v>3.8305709023940926</v>
      </c>
      <c r="AN199" s="151">
        <f>INPUT!CK84</f>
        <v>295.10000000000002</v>
      </c>
      <c r="AO199" s="687">
        <f>INPUT!CL84</f>
        <v>4.9431009957325855</v>
      </c>
      <c r="AP199" s="151">
        <f>INPUT!CM84</f>
        <v>288.10000000000002</v>
      </c>
      <c r="AQ199" s="687">
        <f>INPUT!CN84</f>
        <v>6.3884785819793288</v>
      </c>
      <c r="AR199" s="151">
        <f>INPUT!CO84</f>
        <v>277.7</v>
      </c>
      <c r="AS199" s="687">
        <f>INPUT!CP84</f>
        <v>2.283609576427259</v>
      </c>
      <c r="AT199" s="151">
        <f>INPUT!CQ84</f>
        <v>270.89999999999998</v>
      </c>
      <c r="AU199" s="687">
        <f>INPUT!CR84</f>
        <v>-3.9020929407591387</v>
      </c>
      <c r="AV199" s="151">
        <f>INPUT!CS84</f>
        <v>270</v>
      </c>
      <c r="AW199" s="687">
        <f>INPUT!CT84</f>
        <v>-8.505591324974592</v>
      </c>
      <c r="AX199" s="151">
        <f>INPUT!CU84</f>
        <v>272</v>
      </c>
      <c r="AY199" s="687">
        <f>INPUT!CV84</f>
        <v>-5.5883373828531813</v>
      </c>
      <c r="AZ199" s="151">
        <f>INPUT!CW84</f>
        <v>279</v>
      </c>
      <c r="BA199" s="687">
        <f>INPUT!CX84</f>
        <v>0.46813107670147236</v>
      </c>
      <c r="BB199" s="151">
        <f>INPUT!CY84</f>
        <v>268</v>
      </c>
      <c r="BC199" s="687">
        <f>INPUT!CZ84</f>
        <v>-1.0705057216685021</v>
      </c>
      <c r="BD199" s="151">
        <f>INPUT!DA84</f>
        <v>263</v>
      </c>
      <c r="BE199" s="687">
        <f>INPUT!DB84</f>
        <v>-2.5925925925925908</v>
      </c>
      <c r="BF199" s="151">
        <f>INPUT!DC84</f>
        <v>257</v>
      </c>
      <c r="BG199" s="687">
        <f>INPUT!DD84</f>
        <v>-5.5147058823529438</v>
      </c>
      <c r="BH199" s="151">
        <f>INPUT!DE84</f>
        <v>273</v>
      </c>
      <c r="BI199" s="687">
        <f>INPUT!DF84</f>
        <v>-2.1505376344086002</v>
      </c>
      <c r="BJ199" s="151">
        <f>INPUT!DG84</f>
        <v>254</v>
      </c>
      <c r="BK199" s="687">
        <f>INPUT!DH84</f>
        <v>-5.2238805970149294</v>
      </c>
      <c r="BL199" s="151">
        <f>INPUT!DI84</f>
        <v>260</v>
      </c>
      <c r="BM199" s="687">
        <f>INPUT!DJ84</f>
        <v>-1.1406844106463865</v>
      </c>
      <c r="BN199" s="151">
        <f>INPUT!DK84</f>
        <v>259</v>
      </c>
      <c r="BO199" s="687">
        <f>INPUT!DL84</f>
        <v>0.77821011673151474</v>
      </c>
      <c r="BP199" s="151">
        <f>INPUT!DM84</f>
        <v>258</v>
      </c>
      <c r="BQ199" s="687">
        <f>INPUT!DN84</f>
        <v>-5.4945054945054972</v>
      </c>
      <c r="BR199" s="151">
        <f>INPUT!DO84</f>
        <v>257</v>
      </c>
      <c r="BS199" s="687">
        <f>INPUT!DP84</f>
        <v>1.1811023622047223</v>
      </c>
      <c r="BT199" s="151">
        <f>INPUT!DQ84</f>
        <v>260</v>
      </c>
      <c r="BU199" s="687">
        <f>INPUT!DR84</f>
        <v>0</v>
      </c>
      <c r="BV199" s="151">
        <f>INPUT!DS84</f>
        <v>247</v>
      </c>
      <c r="BW199" s="687">
        <f>INPUT!DT84</f>
        <v>-4.6332046332046346</v>
      </c>
      <c r="BX199" s="151">
        <f>INPUT!DU84</f>
        <v>247</v>
      </c>
      <c r="BY199" s="687">
        <f>INPUT!DV84</f>
        <v>-4.2635658914728651</v>
      </c>
      <c r="BZ199" s="151">
        <f>INPUT!DW84</f>
        <v>257</v>
      </c>
      <c r="CA199" s="687">
        <f>INPUT!DX84</f>
        <v>257</v>
      </c>
      <c r="CB199" s="151">
        <f>INPUT!DY84</f>
        <v>252</v>
      </c>
      <c r="CC199" s="687">
        <f>INPUT!DZ84</f>
        <v>-3.0769230769230771</v>
      </c>
      <c r="CD199" s="151">
        <f>INPUT!EA84</f>
        <v>251</v>
      </c>
      <c r="CE199" s="687">
        <f>INPUT!EB84</f>
        <v>1.6194331983805599</v>
      </c>
      <c r="CF199" s="151">
        <f>INPUT!EC84</f>
        <v>258</v>
      </c>
      <c r="CG199" s="687">
        <f>INPUT!ED84</f>
        <v>4.4534412955465674</v>
      </c>
      <c r="CH199" s="151">
        <f>INPUT!EE84</f>
        <v>268</v>
      </c>
      <c r="CI199" s="687">
        <f>INPUT!EF84</f>
        <v>4.2801556420233533</v>
      </c>
      <c r="CJ199" s="151">
        <f>INPUT!EG84</f>
        <v>256</v>
      </c>
      <c r="CK199" s="687">
        <f>INPUT!EH84</f>
        <v>1.5873015873015817</v>
      </c>
      <c r="CL199" s="151">
        <f>INPUT!EI84</f>
        <v>256</v>
      </c>
      <c r="CM199" s="687">
        <f>INPUT!EJ84</f>
        <v>1.9920318725099584</v>
      </c>
      <c r="CN199" s="151">
        <f>INPUT!EK84</f>
        <v>263</v>
      </c>
      <c r="CO199" s="687">
        <f>INPUT!EL84</f>
        <v>1.9379844961240345</v>
      </c>
      <c r="CP199" s="151">
        <f>INPUT!EM84</f>
        <v>260</v>
      </c>
      <c r="CQ199" s="687">
        <f>INPUT!EN84</f>
        <v>-2.9850746268656692</v>
      </c>
      <c r="CR199" s="151">
        <f>INPUT!EO84</f>
        <v>258</v>
      </c>
      <c r="CS199" s="687">
        <f>INPUT!EP84</f>
        <v>0.78125</v>
      </c>
      <c r="CT199" s="151">
        <f>INPUT!EQ84</f>
        <v>262.71328042364138</v>
      </c>
      <c r="CU199" s="687">
        <f>INPUT!ER84</f>
        <v>2.6223751654849137</v>
      </c>
      <c r="CV199" s="151">
        <f>INPUT!ES84</f>
        <v>262.23907313348815</v>
      </c>
      <c r="CW199" s="687">
        <f>INPUT!ET84</f>
        <v>-0.28932580475735659</v>
      </c>
      <c r="CX199" s="151">
        <f>INPUT!EU84</f>
        <v>264.76001405758137</v>
      </c>
      <c r="CY199" s="687">
        <f>INPUT!EV84</f>
        <v>1.8307746375312961</v>
      </c>
      <c r="CZ199" s="151">
        <f>INPUT!EW84</f>
        <v>267.76871993731038</v>
      </c>
      <c r="DA199" s="687">
        <f>INPUT!EX84</f>
        <v>3.7863255570970367</v>
      </c>
      <c r="DB199" s="16"/>
      <c r="DC199" s="151">
        <f>INPUT!FP84</f>
        <v>613.9</v>
      </c>
      <c r="DD199" s="687">
        <f>INPUT!FQ84</f>
        <v>-7.6842105263157929</v>
      </c>
      <c r="DE199" s="151">
        <f>INPUT!FR84</f>
        <v>1038.7</v>
      </c>
      <c r="DF199" s="687">
        <f>INPUT!FS84</f>
        <v>69.196937611988929</v>
      </c>
      <c r="DG199" s="151">
        <f>INPUT!FT84</f>
        <v>1031.8</v>
      </c>
      <c r="DH199" s="687">
        <f>INPUT!FU84</f>
        <v>-0.66429190334071908</v>
      </c>
      <c r="DI199" s="151">
        <f>INPUT!FV84</f>
        <v>971.7</v>
      </c>
      <c r="DJ199" s="687">
        <f>INPUT!FW84</f>
        <v>-5.8247722426826858</v>
      </c>
      <c r="DK199" s="151">
        <f>INPUT!FX84</f>
        <v>1037</v>
      </c>
      <c r="DL199" s="687">
        <f>INPUT!FY84</f>
        <v>6.7201811258618793</v>
      </c>
      <c r="DM199" s="151">
        <f>INPUT!FZ84</f>
        <v>1119.3</v>
      </c>
      <c r="DN199" s="687">
        <f>INPUT!GA84</f>
        <v>7.9363548698167641</v>
      </c>
      <c r="DO199" s="151">
        <f>INPUT!GB84</f>
        <v>1106.6999999999998</v>
      </c>
      <c r="DP199" s="687">
        <f>INPUT!GC84</f>
        <v>-1.1257035647279645</v>
      </c>
      <c r="DQ199" s="151">
        <f>INPUT!GD84</f>
        <v>1082</v>
      </c>
      <c r="DR199" s="687">
        <f>INPUT!GE84</f>
        <v>-2.2318604861299218</v>
      </c>
      <c r="DS199" s="151">
        <f>INPUT!GF84</f>
        <v>1044</v>
      </c>
      <c r="DT199" s="687">
        <f>INPUT!GG84</f>
        <v>-3.512014787430684</v>
      </c>
      <c r="DU199" s="151">
        <f>INPUT!GH84</f>
        <v>1034</v>
      </c>
      <c r="DV199" s="687">
        <f>INPUT!GI84</f>
        <v>-0.95785440613026518</v>
      </c>
      <c r="DW199" s="151">
        <f>INPUT!GJ84</f>
        <v>1003</v>
      </c>
      <c r="DX199" s="687">
        <f>INPUT!GK84</f>
        <v>-2.9980657640232056</v>
      </c>
      <c r="DY199" s="151">
        <f>INPUT!GL84</f>
        <v>1033</v>
      </c>
      <c r="DZ199" s="687">
        <f>INPUT!GM84</f>
        <v>2.9910269192422678</v>
      </c>
      <c r="EA199" s="151">
        <f>INPUT!GN84</f>
        <v>1037</v>
      </c>
      <c r="EB199" s="687">
        <f>INPUT!GO84</f>
        <v>0.38722168441431837</v>
      </c>
      <c r="EC199" s="151">
        <f>INPUT!GP84</f>
        <v>1057.4810875520213</v>
      </c>
      <c r="ED199" s="687">
        <f>INPUT!GQ84</f>
        <v>1.9750325508217204</v>
      </c>
      <c r="EE199" s="151">
        <f>INPUT!GR84</f>
        <v>1097.0654515564615</v>
      </c>
      <c r="EF199" s="687">
        <f>INPUT!GS84</f>
        <v>3.7432692149676816</v>
      </c>
      <c r="EG199" s="151">
        <f>INPUT!GT84</f>
        <v>1160.5989926641116</v>
      </c>
      <c r="EH199" s="687">
        <f>INPUT!GU84</f>
        <v>5.7912261312679014</v>
      </c>
      <c r="EI199" s="151">
        <f>INPUT!GV84</f>
        <v>1233.6217514572686</v>
      </c>
      <c r="EJ199" s="687">
        <f>INPUT!GW84</f>
        <v>6.2918164891334172</v>
      </c>
      <c r="EK199" s="151">
        <f>INPUT!GX84</f>
        <v>1317.4143245074956</v>
      </c>
      <c r="EL199" s="687">
        <f>INPUT!GY84</f>
        <v>6.7924039886005039</v>
      </c>
      <c r="EM199" s="687">
        <f>INPUT!GZ84</f>
        <v>4.903197278283189</v>
      </c>
    </row>
    <row r="200" spans="1:143" ht="12.75" hidden="1" customHeight="1" outlineLevel="1" x14ac:dyDescent="0.2">
      <c r="A200" s="700" t="str">
        <f>INPUT!B86</f>
        <v xml:space="preserve"> Total Revenues</v>
      </c>
      <c r="B200" s="520">
        <f>INPUT!AY86</f>
        <v>374.8</v>
      </c>
      <c r="C200" s="687">
        <f>INPUT!AZ86</f>
        <v>10.300176574455566</v>
      </c>
      <c r="D200" s="520">
        <f>INPUT!BA86</f>
        <v>552.6</v>
      </c>
      <c r="E200" s="687">
        <f>INPUT!BB86</f>
        <v>58.701895462377962</v>
      </c>
      <c r="F200" s="520">
        <f>INPUT!BC86</f>
        <v>596.5</v>
      </c>
      <c r="G200" s="687">
        <f>INPUT!BD86</f>
        <v>64.597130242825614</v>
      </c>
      <c r="H200" s="520">
        <f>INPUT!BE86</f>
        <v>637.29999999999995</v>
      </c>
      <c r="I200" s="687">
        <f>INPUT!BF86</f>
        <v>71.271163665681243</v>
      </c>
      <c r="J200" s="520">
        <f>INPUT!BG86</f>
        <v>590.4</v>
      </c>
      <c r="K200" s="687">
        <f>INPUT!BH86</f>
        <v>57.524012806830306</v>
      </c>
      <c r="L200" s="520">
        <f>INPUT!BI86</f>
        <v>623.70000000000005</v>
      </c>
      <c r="M200" s="687">
        <f>INPUT!BJ86</f>
        <v>12.866449511400656</v>
      </c>
      <c r="N200" s="520">
        <f>INPUT!BK86</f>
        <v>647</v>
      </c>
      <c r="O200" s="687">
        <f>INPUT!BL86</f>
        <v>8.4660519698239725</v>
      </c>
      <c r="P200" s="520">
        <f>INPUT!BM86</f>
        <v>672.3</v>
      </c>
      <c r="Q200" s="687">
        <f>INPUT!BN86</f>
        <v>5.4919190334222545</v>
      </c>
      <c r="R200" s="520">
        <f>INPUT!BO86</f>
        <v>622.6</v>
      </c>
      <c r="S200" s="687">
        <f>INPUT!BP86</f>
        <v>5.453929539295399</v>
      </c>
      <c r="T200" s="520">
        <f>INPUT!BQ86</f>
        <v>618.70000000000005</v>
      </c>
      <c r="U200" s="687">
        <f>INPUT!BR86</f>
        <v>-0.80166746833413294</v>
      </c>
      <c r="V200" s="520">
        <f>INPUT!BS86</f>
        <v>675.2</v>
      </c>
      <c r="W200" s="687">
        <f>INPUT!BT86</f>
        <v>4.3585780525502438</v>
      </c>
      <c r="X200" s="520">
        <f>INPUT!BU86</f>
        <v>567.29999999999995</v>
      </c>
      <c r="Y200" s="687">
        <f>INPUT!BV86</f>
        <v>-15.618027666220435</v>
      </c>
      <c r="Z200" s="520">
        <f>INPUT!BW86</f>
        <v>521.70000000000005</v>
      </c>
      <c r="AA200" s="687">
        <f>INPUT!BX86</f>
        <v>-16.206231930613558</v>
      </c>
      <c r="AB200" s="520">
        <f>INPUT!BY86</f>
        <v>552.5</v>
      </c>
      <c r="AC200" s="687">
        <f>INPUT!BZ86</f>
        <v>-10.699854533699703</v>
      </c>
      <c r="AD200" s="520">
        <f>INPUT!CA86</f>
        <v>598.20000000000005</v>
      </c>
      <c r="AE200" s="687">
        <f>INPUT!CB86</f>
        <v>-11.404028436018955</v>
      </c>
      <c r="AF200" s="520">
        <f>INPUT!CC86</f>
        <v>628.9</v>
      </c>
      <c r="AG200" s="687">
        <f>INPUT!CD86</f>
        <v>10.858452317997536</v>
      </c>
      <c r="AH200" s="520">
        <f>INPUT!CE86</f>
        <v>629.9</v>
      </c>
      <c r="AI200" s="687">
        <f>INPUT!CF86</f>
        <v>20.739888824995202</v>
      </c>
      <c r="AJ200" s="520">
        <f>INPUT!CG86</f>
        <v>644.6</v>
      </c>
      <c r="AK200" s="687">
        <f>INPUT!CH86</f>
        <v>16.669683257918557</v>
      </c>
      <c r="AL200" s="520">
        <f>INPUT!CI86</f>
        <v>660.3</v>
      </c>
      <c r="AM200" s="687">
        <f>INPUT!CJ86</f>
        <v>10.381143430290862</v>
      </c>
      <c r="AN200" s="520">
        <f>INPUT!CK86</f>
        <v>719.9</v>
      </c>
      <c r="AO200" s="687">
        <f>INPUT!CL86</f>
        <v>14.469709015741783</v>
      </c>
      <c r="AP200" s="520">
        <f>INPUT!CM86</f>
        <v>733.2</v>
      </c>
      <c r="AQ200" s="687">
        <f>INPUT!CN86</f>
        <v>16.399428480711229</v>
      </c>
      <c r="AR200" s="706">
        <f>INPUT!CO86</f>
        <v>734.8</v>
      </c>
      <c r="AS200" s="687">
        <f>INPUT!CP86</f>
        <v>13.993174061433432</v>
      </c>
      <c r="AT200" s="520">
        <f>INPUT!CQ86</f>
        <v>711</v>
      </c>
      <c r="AU200" s="687">
        <f>INPUT!CR86</f>
        <v>7.6783280327124004</v>
      </c>
      <c r="AV200" s="520">
        <f>INPUT!CS86</f>
        <v>692</v>
      </c>
      <c r="AW200" s="687">
        <f>INPUT!CT86</f>
        <v>-3.8755382692040485</v>
      </c>
      <c r="AX200" s="520">
        <f>INPUT!CU86</f>
        <v>731</v>
      </c>
      <c r="AY200" s="687">
        <f>INPUT!CV86</f>
        <v>-0.30005455537370773</v>
      </c>
      <c r="AZ200" s="520">
        <f>INPUT!CW86</f>
        <v>734</v>
      </c>
      <c r="BA200" s="687">
        <f>INPUT!CX86</f>
        <v>-0.10887316276537717</v>
      </c>
      <c r="BB200" s="520">
        <f>INPUT!CY86</f>
        <v>745</v>
      </c>
      <c r="BC200" s="687">
        <f>INPUT!CZ86</f>
        <v>4.7819971870604716</v>
      </c>
      <c r="BD200" s="520">
        <f>INPUT!DA86</f>
        <v>766</v>
      </c>
      <c r="BE200" s="687">
        <f>INPUT!DB86</f>
        <v>10.693641618497107</v>
      </c>
      <c r="BF200" s="520">
        <f>INPUT!DC86</f>
        <v>777</v>
      </c>
      <c r="BG200" s="687">
        <f>INPUT!DD86</f>
        <v>6.2927496580027276</v>
      </c>
      <c r="BH200" s="520">
        <f>INPUT!DE86</f>
        <v>817</v>
      </c>
      <c r="BI200" s="687">
        <f>INPUT!DF86</f>
        <v>11.307901907356953</v>
      </c>
      <c r="BJ200" s="520">
        <f>INPUT!DG86</f>
        <v>842</v>
      </c>
      <c r="BK200" s="687">
        <f>INPUT!DH86</f>
        <v>13.02013422818793</v>
      </c>
      <c r="BL200" s="520">
        <f>INPUT!DI86</f>
        <v>886</v>
      </c>
      <c r="BM200" s="687">
        <f>INPUT!DJ86</f>
        <v>15.665796344647509</v>
      </c>
      <c r="BN200" s="520">
        <f>INPUT!DK86</f>
        <v>909</v>
      </c>
      <c r="BO200" s="687">
        <f>INPUT!DL86</f>
        <v>16.988416988417001</v>
      </c>
      <c r="BP200" s="520">
        <f>INPUT!DM86</f>
        <v>926</v>
      </c>
      <c r="BQ200" s="687">
        <f>INPUT!DN86</f>
        <v>13.341493268053849</v>
      </c>
      <c r="BR200" s="520">
        <f>INPUT!DO86</f>
        <v>944</v>
      </c>
      <c r="BS200" s="687">
        <f>INPUT!DP86</f>
        <v>12.11401425178147</v>
      </c>
      <c r="BT200" s="520">
        <f>INPUT!DQ86</f>
        <v>966</v>
      </c>
      <c r="BU200" s="687">
        <f>INPUT!DR86</f>
        <v>9.0293453724604955</v>
      </c>
      <c r="BV200" s="520">
        <f>INPUT!DS86</f>
        <v>989</v>
      </c>
      <c r="BW200" s="687">
        <f>INPUT!DT86</f>
        <v>8.8008800880088103</v>
      </c>
      <c r="BX200" s="520">
        <f>INPUT!DU86</f>
        <v>991</v>
      </c>
      <c r="BY200" s="687">
        <f>INPUT!DV86</f>
        <v>7.0194384449244085</v>
      </c>
      <c r="BZ200" s="520">
        <f>INPUT!DW86</f>
        <v>1060</v>
      </c>
      <c r="CA200" s="687">
        <f>INPUT!DX86</f>
        <v>1060</v>
      </c>
      <c r="CB200" s="520">
        <f>INPUT!DY86</f>
        <v>1079</v>
      </c>
      <c r="CC200" s="687">
        <f>INPUT!DZ86</f>
        <v>11.697722567287784</v>
      </c>
      <c r="CD200" s="520">
        <f>INPUT!EA86</f>
        <v>1039</v>
      </c>
      <c r="CE200" s="687">
        <f>INPUT!EB86</f>
        <v>5.0556117290192049</v>
      </c>
      <c r="CF200" s="520">
        <f>INPUT!EC86</f>
        <v>983</v>
      </c>
      <c r="CG200" s="687">
        <f>INPUT!ED86</f>
        <v>-0.80726538849646978</v>
      </c>
      <c r="CH200" s="520">
        <f>INPUT!EE86</f>
        <v>1000</v>
      </c>
      <c r="CI200" s="687">
        <f>INPUT!EF86</f>
        <v>-5.6603773584905648</v>
      </c>
      <c r="CJ200" s="520">
        <f>INPUT!EG86</f>
        <v>1011</v>
      </c>
      <c r="CK200" s="687">
        <f>INPUT!EH86</f>
        <v>-6.3021316033364254</v>
      </c>
      <c r="CL200" s="520">
        <f>INPUT!EI86</f>
        <v>1061</v>
      </c>
      <c r="CM200" s="687">
        <f>INPUT!EJ86</f>
        <v>2.117420596727615</v>
      </c>
      <c r="CN200" s="520">
        <f>INPUT!EK86</f>
        <v>1076</v>
      </c>
      <c r="CO200" s="687">
        <f>INPUT!EL86</f>
        <v>9.4608341810783259</v>
      </c>
      <c r="CP200" s="520">
        <f>INPUT!EM86</f>
        <v>1073</v>
      </c>
      <c r="CQ200" s="687">
        <f>INPUT!EN86</f>
        <v>7.2999999999999954</v>
      </c>
      <c r="CR200" s="520">
        <f>INPUT!EO86</f>
        <v>1167</v>
      </c>
      <c r="CS200" s="687">
        <f>INPUT!EP86</f>
        <v>15.43026706231454</v>
      </c>
      <c r="CT200" s="520">
        <f>INPUT!EQ86</f>
        <v>1108.8556572253697</v>
      </c>
      <c r="CU200" s="687">
        <f>INPUT!ER86</f>
        <v>4.5104295217125001</v>
      </c>
      <c r="CV200" s="520">
        <f>INPUT!ES86</f>
        <v>1109.1290153458347</v>
      </c>
      <c r="CW200" s="687">
        <f>INPUT!ET86</f>
        <v>3.0789047719177232</v>
      </c>
      <c r="CX200" s="520">
        <f>INPUT!EU86</f>
        <v>1124.3599298344725</v>
      </c>
      <c r="CY200" s="687">
        <f>INPUT!EV86</f>
        <v>4.7865731439396653</v>
      </c>
      <c r="CZ200" s="520">
        <f>INPUT!EW86</f>
        <v>1141.7909094075442</v>
      </c>
      <c r="DA200" s="687">
        <f>INPUT!EX86</f>
        <v>-2.1601620044949255</v>
      </c>
      <c r="DB200" s="16"/>
      <c r="DC200" s="520">
        <f>INPUT!FP86</f>
        <v>1422.5</v>
      </c>
      <c r="DD200" s="687">
        <f>INPUT!FQ86</f>
        <v>6.5543071161048738</v>
      </c>
      <c r="DE200" s="520">
        <f>INPUT!FR86</f>
        <v>2161.1999999999998</v>
      </c>
      <c r="DF200" s="687">
        <f>INPUT!FS86</f>
        <v>51.929701230228467</v>
      </c>
      <c r="DG200" s="520">
        <f>INPUT!FT86</f>
        <v>2533.3999999999996</v>
      </c>
      <c r="DH200" s="687">
        <f>INPUT!FU86</f>
        <v>17.221913751619454</v>
      </c>
      <c r="DI200" s="520">
        <f>INPUT!FV86</f>
        <v>2483.8000000000002</v>
      </c>
      <c r="DJ200" s="687">
        <f>INPUT!FW86</f>
        <v>-1.9578432146522218</v>
      </c>
      <c r="DK200" s="520">
        <f>INPUT!FX86</f>
        <v>2301.3000000000002</v>
      </c>
      <c r="DL200" s="687">
        <f>INPUT!FY86</f>
        <v>-7.3476125291891403</v>
      </c>
      <c r="DM200" s="706">
        <f>INPUT!FZ86</f>
        <v>2654.7</v>
      </c>
      <c r="DN200" s="687">
        <f>INPUT!GA86</f>
        <v>15.356537609177412</v>
      </c>
      <c r="DO200" s="520">
        <f>INPUT!GB86</f>
        <v>2871</v>
      </c>
      <c r="DP200" s="687">
        <f>INPUT!GC86</f>
        <v>8.1478133122386822</v>
      </c>
      <c r="DQ200" s="520">
        <f>INPUT!GD86</f>
        <v>2976</v>
      </c>
      <c r="DR200" s="687">
        <f>INPUT!GE86</f>
        <v>3.6572622779519337</v>
      </c>
      <c r="DS200" s="520">
        <f>INPUT!GF86</f>
        <v>3322</v>
      </c>
      <c r="DT200" s="687">
        <f>INPUT!GG86</f>
        <v>11.626344086021501</v>
      </c>
      <c r="DU200" s="520">
        <f>INPUT!GH86</f>
        <v>3745</v>
      </c>
      <c r="DV200" s="687">
        <f>INPUT!GI86</f>
        <v>12.733293196869354</v>
      </c>
      <c r="DW200" s="520">
        <f>INPUT!GJ86</f>
        <v>4119</v>
      </c>
      <c r="DX200" s="687">
        <f>INPUT!GK86</f>
        <v>9.9866488651535477</v>
      </c>
      <c r="DY200" s="520">
        <f>INPUT!GL86</f>
        <v>4033</v>
      </c>
      <c r="DZ200" s="687">
        <f>INPUT!GM86</f>
        <v>-2.0878854090798704</v>
      </c>
      <c r="EA200" s="520">
        <f>INPUT!GN86</f>
        <v>4377</v>
      </c>
      <c r="EB200" s="687">
        <f>INPUT!GO86</f>
        <v>8.5296305479791723</v>
      </c>
      <c r="EC200" s="520">
        <f>INPUT!GP86</f>
        <v>4484.1355118132205</v>
      </c>
      <c r="ED200" s="687">
        <f>INPUT!GQ86</f>
        <v>2.4476927533292336</v>
      </c>
      <c r="EE200" s="520">
        <f>INPUT!GR86</f>
        <v>4717.0361734713788</v>
      </c>
      <c r="EF200" s="687">
        <f>INPUT!GS86</f>
        <v>5.1938809842966061</v>
      </c>
      <c r="EG200" s="520">
        <f>INPUT!GT86</f>
        <v>4996.6166892141428</v>
      </c>
      <c r="EH200" s="687">
        <f>INPUT!GU86</f>
        <v>5.9270377724708778</v>
      </c>
      <c r="EI200" s="520">
        <f>INPUT!GV86</f>
        <v>5311.1426918148591</v>
      </c>
      <c r="EJ200" s="687">
        <f>INPUT!GW86</f>
        <v>6.2947794910836796</v>
      </c>
      <c r="EK200" s="520">
        <f>INPUT!GX86</f>
        <v>5665.5573473841541</v>
      </c>
      <c r="EL200" s="687">
        <f>INPUT!GY86</f>
        <v>6.6730396100163736</v>
      </c>
      <c r="EM200" s="687">
        <f>INPUT!GZ86</f>
        <v>5.2963261477205092</v>
      </c>
    </row>
    <row r="201" spans="1:143" ht="12.75" hidden="1" customHeight="1" outlineLevel="1" x14ac:dyDescent="0.2">
      <c r="A201" s="689"/>
      <c r="B201" s="16"/>
      <c r="C201" s="687"/>
      <c r="D201" s="16"/>
      <c r="E201" s="687"/>
      <c r="F201" s="16"/>
      <c r="G201" s="687"/>
      <c r="H201" s="16"/>
      <c r="I201" s="687"/>
      <c r="J201" s="16"/>
      <c r="K201" s="687"/>
      <c r="L201" s="16"/>
      <c r="M201" s="687"/>
      <c r="N201" s="16"/>
      <c r="O201" s="687"/>
      <c r="P201" s="16"/>
      <c r="Q201" s="687"/>
      <c r="R201" s="16"/>
      <c r="S201" s="687"/>
      <c r="T201" s="16"/>
      <c r="U201" s="687"/>
      <c r="V201" s="16"/>
      <c r="W201" s="687"/>
      <c r="X201" s="16"/>
      <c r="Y201" s="687"/>
      <c r="Z201" s="16"/>
      <c r="AA201" s="687"/>
      <c r="AB201" s="16"/>
      <c r="AC201" s="687"/>
      <c r="AD201" s="16"/>
      <c r="AE201" s="687"/>
      <c r="AF201" s="16"/>
      <c r="AG201" s="687"/>
      <c r="AH201" s="16"/>
      <c r="AI201" s="687"/>
      <c r="AJ201" s="16"/>
      <c r="AK201" s="687"/>
      <c r="AL201" s="16"/>
      <c r="AM201" s="687"/>
      <c r="AN201" s="16"/>
      <c r="AO201" s="687"/>
      <c r="AP201" s="16"/>
      <c r="AQ201" s="687"/>
      <c r="AR201" s="16"/>
      <c r="AS201" s="687"/>
      <c r="AT201" s="16"/>
      <c r="AU201" s="687"/>
      <c r="AV201" s="16"/>
      <c r="AW201" s="687"/>
      <c r="AX201" s="16"/>
      <c r="AY201" s="687"/>
      <c r="AZ201" s="16"/>
      <c r="BA201" s="687"/>
      <c r="BB201" s="16"/>
      <c r="BC201" s="687"/>
      <c r="BD201" s="16"/>
      <c r="BE201" s="687"/>
      <c r="BF201" s="16"/>
      <c r="BG201" s="687"/>
      <c r="BH201" s="16"/>
      <c r="BI201" s="687"/>
      <c r="BJ201" s="16"/>
      <c r="BK201" s="687"/>
      <c r="BL201" s="16"/>
      <c r="BM201" s="687"/>
      <c r="BN201" s="16"/>
      <c r="BO201" s="687"/>
      <c r="BP201" s="16"/>
      <c r="BQ201" s="687"/>
      <c r="BR201" s="16"/>
      <c r="BS201" s="687"/>
      <c r="BT201" s="16"/>
      <c r="BU201" s="687"/>
      <c r="BV201" s="16"/>
      <c r="BW201" s="687"/>
      <c r="BX201" s="16"/>
      <c r="BY201" s="687"/>
      <c r="BZ201" s="16"/>
      <c r="CA201" s="687"/>
      <c r="CB201" s="16"/>
      <c r="CC201" s="687"/>
      <c r="CD201" s="16"/>
      <c r="CE201" s="687"/>
      <c r="CF201" s="16"/>
      <c r="CG201" s="687"/>
      <c r="CH201" s="16"/>
      <c r="CI201" s="687"/>
      <c r="CJ201" s="16"/>
      <c r="CK201" s="687"/>
      <c r="CL201" s="16"/>
      <c r="CM201" s="687"/>
      <c r="CN201" s="16"/>
      <c r="CO201" s="687"/>
      <c r="CP201" s="16"/>
      <c r="CQ201" s="687"/>
      <c r="CR201" s="16"/>
      <c r="CS201" s="687"/>
      <c r="CT201" s="16"/>
      <c r="CU201" s="687"/>
      <c r="CV201" s="16"/>
      <c r="CW201" s="687"/>
      <c r="CX201" s="16"/>
      <c r="CY201" s="687"/>
      <c r="CZ201" s="16"/>
      <c r="DA201" s="687"/>
      <c r="DB201" s="16"/>
      <c r="DC201" s="16"/>
      <c r="DD201" s="687"/>
      <c r="DE201" s="16"/>
      <c r="DF201" s="687"/>
      <c r="DG201" s="16"/>
      <c r="DH201" s="687"/>
      <c r="DI201" s="16"/>
      <c r="DJ201" s="687"/>
      <c r="DK201" s="16"/>
      <c r="DL201" s="687"/>
      <c r="DM201" s="16"/>
      <c r="DN201" s="687"/>
      <c r="DO201" s="16"/>
      <c r="DP201" s="687"/>
      <c r="DQ201" s="16"/>
      <c r="DR201" s="687"/>
      <c r="DS201" s="16"/>
      <c r="DT201" s="687"/>
      <c r="DU201" s="16"/>
      <c r="DV201" s="687"/>
      <c r="DW201" s="16"/>
      <c r="DX201" s="687"/>
      <c r="DY201" s="16"/>
      <c r="DZ201" s="687"/>
      <c r="EA201" s="16"/>
      <c r="EB201" s="687"/>
      <c r="EC201" s="16"/>
      <c r="ED201" s="687"/>
      <c r="EE201" s="16"/>
      <c r="EF201" s="687"/>
      <c r="EG201" s="16"/>
      <c r="EH201" s="687"/>
      <c r="EI201" s="16"/>
      <c r="EJ201" s="687"/>
      <c r="EK201" s="16"/>
      <c r="EL201" s="687"/>
      <c r="EM201" s="687"/>
    </row>
    <row r="202" spans="1:143" ht="12.75" hidden="1" customHeight="1" outlineLevel="1" x14ac:dyDescent="0.2">
      <c r="A202" s="700" t="s">
        <v>113</v>
      </c>
      <c r="B202" s="16"/>
      <c r="C202" s="687"/>
      <c r="D202" s="16"/>
      <c r="E202" s="687"/>
      <c r="F202" s="16"/>
      <c r="G202" s="687"/>
      <c r="H202" s="16"/>
      <c r="I202" s="687"/>
      <c r="J202" s="16"/>
      <c r="K202" s="687"/>
      <c r="L202" s="16"/>
      <c r="M202" s="687"/>
      <c r="N202" s="16"/>
      <c r="O202" s="687"/>
      <c r="P202" s="16"/>
      <c r="Q202" s="687"/>
      <c r="R202" s="16"/>
      <c r="S202" s="687"/>
      <c r="T202" s="16"/>
      <c r="U202" s="687"/>
      <c r="V202" s="16"/>
      <c r="W202" s="687"/>
      <c r="X202" s="16"/>
      <c r="Y202" s="687"/>
      <c r="Z202" s="16"/>
      <c r="AA202" s="687"/>
      <c r="AB202" s="16"/>
      <c r="AC202" s="687"/>
      <c r="AD202" s="16"/>
      <c r="AE202" s="687"/>
      <c r="AF202" s="16"/>
      <c r="AG202" s="687"/>
      <c r="AH202" s="16"/>
      <c r="AI202" s="687"/>
      <c r="AJ202" s="16"/>
      <c r="AK202" s="687"/>
      <c r="AL202" s="16"/>
      <c r="AM202" s="687"/>
      <c r="AN202" s="16"/>
      <c r="AO202" s="687"/>
      <c r="AP202" s="16"/>
      <c r="AQ202" s="687"/>
      <c r="AR202" s="16"/>
      <c r="AS202" s="687"/>
      <c r="AT202" s="16"/>
      <c r="AU202" s="687"/>
      <c r="AV202" s="16"/>
      <c r="AW202" s="687"/>
      <c r="AX202" s="16"/>
      <c r="AY202" s="687"/>
      <c r="AZ202" s="16"/>
      <c r="BA202" s="687"/>
      <c r="BB202" s="16"/>
      <c r="BC202" s="687"/>
      <c r="BD202" s="16"/>
      <c r="BE202" s="687"/>
      <c r="BF202" s="16"/>
      <c r="BG202" s="687"/>
      <c r="BH202" s="16"/>
      <c r="BI202" s="687"/>
      <c r="BJ202" s="16"/>
      <c r="BK202" s="687"/>
      <c r="BL202" s="16"/>
      <c r="BM202" s="687"/>
      <c r="BN202" s="16"/>
      <c r="BO202" s="687"/>
      <c r="BP202" s="16"/>
      <c r="BQ202" s="687"/>
      <c r="BR202" s="16"/>
      <c r="BS202" s="687"/>
      <c r="BT202" s="16"/>
      <c r="BU202" s="687"/>
      <c r="BV202" s="16"/>
      <c r="BW202" s="687"/>
      <c r="BX202" s="16"/>
      <c r="BY202" s="687"/>
      <c r="BZ202" s="16"/>
      <c r="CA202" s="687"/>
      <c r="CB202" s="16"/>
      <c r="CC202" s="687"/>
      <c r="CD202" s="16"/>
      <c r="CE202" s="687"/>
      <c r="CF202" s="16"/>
      <c r="CG202" s="687"/>
      <c r="CH202" s="16"/>
      <c r="CI202" s="687"/>
      <c r="CJ202" s="16"/>
      <c r="CK202" s="687"/>
      <c r="CL202" s="16"/>
      <c r="CM202" s="687"/>
      <c r="CN202" s="16"/>
      <c r="CO202" s="687"/>
      <c r="CP202" s="16"/>
      <c r="CQ202" s="687"/>
      <c r="CR202" s="16"/>
      <c r="CS202" s="687"/>
      <c r="CT202" s="16"/>
      <c r="CU202" s="687"/>
      <c r="CV202" s="16"/>
      <c r="CW202" s="687"/>
      <c r="CX202" s="16"/>
      <c r="CY202" s="687"/>
      <c r="CZ202" s="16"/>
      <c r="DA202" s="687"/>
      <c r="DB202" s="16"/>
      <c r="DC202" s="16"/>
      <c r="DD202" s="687"/>
      <c r="DE202" s="16"/>
      <c r="DF202" s="687"/>
      <c r="DG202" s="16"/>
      <c r="DH202" s="687"/>
      <c r="DI202" s="16"/>
      <c r="DJ202" s="687"/>
      <c r="DK202" s="16"/>
      <c r="DL202" s="687"/>
      <c r="DM202" s="16"/>
      <c r="DN202" s="687"/>
      <c r="DO202" s="16"/>
      <c r="DP202" s="687"/>
      <c r="DQ202" s="16"/>
      <c r="DR202" s="687"/>
      <c r="DS202" s="16"/>
      <c r="DT202" s="687"/>
      <c r="DU202" s="16"/>
      <c r="DV202" s="687"/>
      <c r="DW202" s="16"/>
      <c r="DX202" s="687"/>
      <c r="DY202" s="16"/>
      <c r="DZ202" s="687"/>
      <c r="EA202" s="16"/>
      <c r="EB202" s="687"/>
      <c r="EC202" s="16"/>
      <c r="ED202" s="687"/>
      <c r="EE202" s="16"/>
      <c r="EF202" s="687"/>
      <c r="EG202" s="16"/>
      <c r="EH202" s="687"/>
      <c r="EI202" s="16"/>
      <c r="EJ202" s="687"/>
      <c r="EK202" s="16"/>
      <c r="EL202" s="687"/>
      <c r="EM202" s="687"/>
    </row>
    <row r="203" spans="1:143" ht="12.75" hidden="1" customHeight="1" outlineLevel="1" x14ac:dyDescent="0.2">
      <c r="A203" s="701" t="str">
        <f>INPUT!B101</f>
        <v>Benefits</v>
      </c>
      <c r="B203" s="151">
        <f>INPUT!AY101</f>
        <v>20.399999999999999</v>
      </c>
      <c r="C203" s="687">
        <f>INPUT!AZ101</f>
        <v>-3.7735849056603765</v>
      </c>
      <c r="D203" s="151">
        <f>INPUT!BA101</f>
        <v>45.3</v>
      </c>
      <c r="E203" s="687">
        <f>INPUT!BB101</f>
        <v>44.267515923566883</v>
      </c>
      <c r="F203" s="151">
        <f>INPUT!BC101</f>
        <v>27.4</v>
      </c>
      <c r="G203" s="687">
        <f>INPUT!BD101</f>
        <v>33.658536585365837</v>
      </c>
      <c r="H203" s="151">
        <f>INPUT!BE101</f>
        <v>11.7</v>
      </c>
      <c r="I203" s="687">
        <f>INPUT!BF101</f>
        <v>-44.811320754716988</v>
      </c>
      <c r="J203" s="151">
        <f>INPUT!BG101</f>
        <v>25.4</v>
      </c>
      <c r="K203" s="687">
        <f>INPUT!BH101</f>
        <v>24.509803921568629</v>
      </c>
      <c r="L203" s="151">
        <f>INPUT!BI101</f>
        <v>26.6</v>
      </c>
      <c r="M203" s="687">
        <f>INPUT!BJ101</f>
        <v>-41.280353200882992</v>
      </c>
      <c r="N203" s="151">
        <f>INPUT!BK101</f>
        <v>56.3</v>
      </c>
      <c r="O203" s="687" t="str">
        <f>INPUT!BL101</f>
        <v>NM</v>
      </c>
      <c r="P203" s="151">
        <f>INPUT!BM101</f>
        <v>62</v>
      </c>
      <c r="Q203" s="687" t="str">
        <f>INPUT!BN101</f>
        <v>NM</v>
      </c>
      <c r="R203" s="151">
        <f>INPUT!BO101</f>
        <v>51.3</v>
      </c>
      <c r="S203" s="687" t="str">
        <f>INPUT!BP101</f>
        <v>NM</v>
      </c>
      <c r="T203" s="151">
        <f>INPUT!BQ101</f>
        <v>35.200000000000003</v>
      </c>
      <c r="U203" s="687">
        <f>INPUT!BR101</f>
        <v>32.330827067669162</v>
      </c>
      <c r="V203" s="151">
        <f>INPUT!BS101</f>
        <v>112.9</v>
      </c>
      <c r="W203" s="687" t="str">
        <f>INPUT!BT101</f>
        <v>NM</v>
      </c>
      <c r="X203" s="151">
        <f>INPUT!BU101</f>
        <v>81.599999999999994</v>
      </c>
      <c r="Y203" s="687">
        <f>INPUT!BV101</f>
        <v>31.612903225806434</v>
      </c>
      <c r="Z203" s="151">
        <f>INPUT!BW101</f>
        <v>75.8</v>
      </c>
      <c r="AA203" s="687">
        <f>INPUT!BX101</f>
        <v>47.758284600389864</v>
      </c>
      <c r="AB203" s="151">
        <f>INPUT!BY101</f>
        <v>67</v>
      </c>
      <c r="AC203" s="687">
        <f>INPUT!BZ101</f>
        <v>90.340909090909079</v>
      </c>
      <c r="AD203" s="151">
        <f>INPUT!CA101</f>
        <v>51.5</v>
      </c>
      <c r="AE203" s="687" t="str">
        <f>INPUT!CB101</f>
        <v>NM</v>
      </c>
      <c r="AF203" s="151">
        <f>INPUT!CC101</f>
        <v>47.5</v>
      </c>
      <c r="AG203" s="687">
        <f>INPUT!CD101</f>
        <v>-41.789215686274503</v>
      </c>
      <c r="AH203" s="151">
        <f>INPUT!CE101</f>
        <v>43.8</v>
      </c>
      <c r="AI203" s="687">
        <f>INPUT!CF101</f>
        <v>-42.216358839050137</v>
      </c>
      <c r="AJ203" s="151">
        <f>INPUT!CG101</f>
        <v>40.700000000000003</v>
      </c>
      <c r="AK203" s="687">
        <f>INPUT!CH101</f>
        <v>-39.253731343283583</v>
      </c>
      <c r="AL203" s="151">
        <f>INPUT!CI101</f>
        <v>43</v>
      </c>
      <c r="AM203" s="687">
        <f>INPUT!CJ101</f>
        <v>-16.504854368932044</v>
      </c>
      <c r="AN203" s="151">
        <f>INPUT!CK101</f>
        <v>47.2</v>
      </c>
      <c r="AO203" s="687">
        <f>INPUT!CL101</f>
        <v>-0.63157894736841635</v>
      </c>
      <c r="AP203" s="151">
        <f>INPUT!CM101</f>
        <v>35.4</v>
      </c>
      <c r="AQ203" s="687">
        <f>INPUT!CN101</f>
        <v>-19.17808219178082</v>
      </c>
      <c r="AR203" s="151">
        <f>INPUT!CO101</f>
        <v>42.6</v>
      </c>
      <c r="AS203" s="687">
        <f>INPUT!CP101</f>
        <v>4.668304668304657</v>
      </c>
      <c r="AT203" s="151">
        <f>INPUT!CQ101</f>
        <v>87</v>
      </c>
      <c r="AU203" s="687" t="str">
        <f>INPUT!CR101</f>
        <v>NM</v>
      </c>
      <c r="AV203" s="151">
        <f>INPUT!CS101</f>
        <v>47</v>
      </c>
      <c r="AW203" s="687">
        <f>INPUT!CT101</f>
        <v>-0.42372881355933201</v>
      </c>
      <c r="AX203" s="151">
        <f>INPUT!CU101</f>
        <v>45</v>
      </c>
      <c r="AY203" s="687">
        <f>INPUT!CV101</f>
        <v>27.118644067796605</v>
      </c>
      <c r="AZ203" s="151">
        <f>INPUT!CW101</f>
        <v>49</v>
      </c>
      <c r="BA203" s="687">
        <f>INPUT!CX101</f>
        <v>15.023474178403751</v>
      </c>
      <c r="BB203" s="151">
        <f>INPUT!CY101</f>
        <v>131</v>
      </c>
      <c r="BC203" s="687">
        <f>INPUT!CZ101</f>
        <v>50.574712643678168</v>
      </c>
      <c r="BD203" s="151">
        <f>INPUT!DA101</f>
        <v>55</v>
      </c>
      <c r="BE203" s="687">
        <f>INPUT!DB101</f>
        <v>17.021276595744684</v>
      </c>
      <c r="BF203" s="151">
        <f>INPUT!DC101</f>
        <v>65</v>
      </c>
      <c r="BG203" s="687">
        <f>INPUT!DD101</f>
        <v>44.444444444444443</v>
      </c>
      <c r="BH203" s="151">
        <f>INPUT!DE101</f>
        <v>62</v>
      </c>
      <c r="BI203" s="687">
        <f>INPUT!DF101</f>
        <v>26.530612244897966</v>
      </c>
      <c r="BJ203" s="151">
        <f>INPUT!DG101</f>
        <v>78</v>
      </c>
      <c r="BK203" s="687">
        <f>INPUT!DH101</f>
        <v>-40.458015267175576</v>
      </c>
      <c r="BL203" s="151">
        <f>INPUT!DI101</f>
        <v>68</v>
      </c>
      <c r="BM203" s="687">
        <f>INPUT!DJ101</f>
        <v>23.636363636363633</v>
      </c>
      <c r="BN203" s="151">
        <f>INPUT!DK101</f>
        <v>87</v>
      </c>
      <c r="BO203" s="687">
        <f>INPUT!DL101</f>
        <v>33.84615384615384</v>
      </c>
      <c r="BP203" s="151">
        <f>INPUT!DM101</f>
        <v>80</v>
      </c>
      <c r="BQ203" s="687">
        <f>INPUT!DN101</f>
        <v>29.032258064516125</v>
      </c>
      <c r="BR203" s="151">
        <f>INPUT!DO101</f>
        <v>101</v>
      </c>
      <c r="BS203" s="687">
        <f>INPUT!DP101</f>
        <v>29.487179487179493</v>
      </c>
      <c r="BT203" s="151">
        <f>INPUT!DQ101</f>
        <v>92</v>
      </c>
      <c r="BU203" s="687">
        <f>INPUT!DR101</f>
        <v>35.294117647058833</v>
      </c>
      <c r="BV203" s="151">
        <f>INPUT!DS101</f>
        <v>129</v>
      </c>
      <c r="BW203" s="687">
        <f>INPUT!DT101</f>
        <v>48.275862068965523</v>
      </c>
      <c r="BX203" s="151">
        <f>INPUT!DU101</f>
        <v>90</v>
      </c>
      <c r="BY203" s="687">
        <f>INPUT!DV101</f>
        <v>12.5</v>
      </c>
      <c r="BZ203" s="151">
        <f>INPUT!DW101</f>
        <v>219</v>
      </c>
      <c r="CA203" s="687">
        <f>INPUT!DX101</f>
        <v>90</v>
      </c>
      <c r="CB203" s="151">
        <f>INPUT!DY101</f>
        <v>214</v>
      </c>
      <c r="CC203" s="687" t="str">
        <f>INPUT!DZ101</f>
        <v>NM</v>
      </c>
      <c r="CD203" s="151">
        <f>INPUT!EA101</f>
        <v>216</v>
      </c>
      <c r="CE203" s="687">
        <f>INPUT!EB101</f>
        <v>67.441860465116292</v>
      </c>
      <c r="CF203" s="151">
        <f>INPUT!EC101</f>
        <v>136</v>
      </c>
      <c r="CG203" s="687">
        <f>INPUT!ED101</f>
        <v>51.111111111111107</v>
      </c>
      <c r="CH203" s="151">
        <f>INPUT!EE101</f>
        <v>112</v>
      </c>
      <c r="CI203" s="687">
        <f>INPUT!EF101</f>
        <v>-48.858447488584474</v>
      </c>
      <c r="CJ203" s="151">
        <f>INPUT!EG101</f>
        <v>132</v>
      </c>
      <c r="CK203" s="687">
        <f>INPUT!EH101</f>
        <v>-38.317757009345797</v>
      </c>
      <c r="CL203" s="151">
        <f>INPUT!EI101</f>
        <v>193</v>
      </c>
      <c r="CM203" s="687">
        <f>INPUT!EJ101</f>
        <v>-10.648148148148151</v>
      </c>
      <c r="CN203" s="151">
        <f>INPUT!EK101</f>
        <v>174</v>
      </c>
      <c r="CO203" s="687">
        <f>INPUT!EL101</f>
        <v>27.941176470588225</v>
      </c>
      <c r="CP203" s="151">
        <f>INPUT!EM101</f>
        <v>135</v>
      </c>
      <c r="CQ203" s="687">
        <f>INPUT!EN101</f>
        <v>20.535714285714278</v>
      </c>
      <c r="CR203" s="151">
        <f>INPUT!EO101</f>
        <v>224</v>
      </c>
      <c r="CS203" s="687">
        <f>INPUT!EP101</f>
        <v>69.696969696969703</v>
      </c>
      <c r="CT203" s="151">
        <f>INPUT!EQ101</f>
        <v>173.28822804299011</v>
      </c>
      <c r="CU203" s="687">
        <f>INPUT!ER101</f>
        <v>-10.213353345600973</v>
      </c>
      <c r="CV203" s="151">
        <f>INPUT!ES101</f>
        <v>172.9105733456872</v>
      </c>
      <c r="CW203" s="687">
        <f>INPUT!ET101</f>
        <v>-0.62610727259356791</v>
      </c>
      <c r="CX203" s="151">
        <f>INPUT!EU101</f>
        <v>175.16627136701587</v>
      </c>
      <c r="CY203" s="687">
        <f>INPUT!EV101</f>
        <v>29.752793605196935</v>
      </c>
      <c r="CZ203" s="151">
        <f>INPUT!EW101</f>
        <v>177.75804153300385</v>
      </c>
      <c r="DA203" s="687">
        <f>INPUT!EX101</f>
        <v>-20.643731458480431</v>
      </c>
      <c r="DB203" s="16"/>
      <c r="DC203" s="151">
        <f>INPUT!FP101</f>
        <v>94.3</v>
      </c>
      <c r="DD203" s="687" t="str">
        <f>INPUT!FQ101</f>
        <v>NM</v>
      </c>
      <c r="DE203" s="151">
        <f>INPUT!FR101</f>
        <v>104.8</v>
      </c>
      <c r="DF203" s="687">
        <f>INPUT!FS101</f>
        <v>11.134676564156942</v>
      </c>
      <c r="DG203" s="151">
        <f>INPUT!FT101</f>
        <v>170.3</v>
      </c>
      <c r="DH203" s="687">
        <f>INPUT!FU101</f>
        <v>62.500000000000021</v>
      </c>
      <c r="DI203" s="151">
        <f>INPUT!FV101</f>
        <v>281</v>
      </c>
      <c r="DJ203" s="687">
        <f>INPUT!FW101</f>
        <v>65.002935995302408</v>
      </c>
      <c r="DK203" s="151">
        <f>INPUT!FX101</f>
        <v>241.8</v>
      </c>
      <c r="DL203" s="687">
        <f>INPUT!FY101</f>
        <v>-13.950177935943053</v>
      </c>
      <c r="DM203" s="151">
        <f>INPUT!FZ101</f>
        <v>174.7</v>
      </c>
      <c r="DN203" s="687">
        <f>INPUT!GA101</f>
        <v>-27.750206782464858</v>
      </c>
      <c r="DO203" s="151">
        <f>INPUT!GB101</f>
        <v>212</v>
      </c>
      <c r="DP203" s="687">
        <f>INPUT!GC101</f>
        <v>21.350887235260462</v>
      </c>
      <c r="DQ203" s="151">
        <f>INPUT!GD101</f>
        <v>280</v>
      </c>
      <c r="DR203" s="687">
        <f>INPUT!GE101</f>
        <v>32.075471698113198</v>
      </c>
      <c r="DS203" s="151">
        <f>INPUT!GF101</f>
        <v>273</v>
      </c>
      <c r="DT203" s="687">
        <f>INPUT!GG101</f>
        <v>-2.5000000000000022</v>
      </c>
      <c r="DU203" s="151">
        <f>INPUT!GH101</f>
        <v>360</v>
      </c>
      <c r="DV203" s="687">
        <f>INPUT!GI101</f>
        <v>31.868131868131865</v>
      </c>
      <c r="DW203" s="151">
        <f>INPUT!GJ101</f>
        <v>652</v>
      </c>
      <c r="DX203" s="687">
        <f>INPUT!GK101</f>
        <v>81.111111111111114</v>
      </c>
      <c r="DY203" s="151">
        <f>INPUT!GL101</f>
        <v>596</v>
      </c>
      <c r="DZ203" s="687">
        <f>INPUT!GM101</f>
        <v>-8.5889570552147187</v>
      </c>
      <c r="EA203" s="151">
        <f>INPUT!GN101</f>
        <v>726</v>
      </c>
      <c r="EB203" s="687">
        <f>INPUT!GO101</f>
        <v>21.812080536912749</v>
      </c>
      <c r="EC203" s="151">
        <f>INPUT!GP101</f>
        <v>699.12311428869702</v>
      </c>
      <c r="ED203" s="687">
        <f>INPUT!GQ101</f>
        <v>-3.7020503734577104</v>
      </c>
      <c r="EE203" s="151">
        <f>INPUT!GR101</f>
        <v>740.42322069710053</v>
      </c>
      <c r="EF203" s="687">
        <f>INPUT!GS101</f>
        <v>5.9074153842593402</v>
      </c>
      <c r="EG203" s="151">
        <f>INPUT!GT101</f>
        <v>783.13217870094843</v>
      </c>
      <c r="EH203" s="687">
        <f>INPUT!GU101</f>
        <v>5.7681818735557666</v>
      </c>
      <c r="EI203" s="151">
        <f>INPUT!GV101</f>
        <v>834.69080808085982</v>
      </c>
      <c r="EJ203" s="687">
        <f>INPUT!GW101</f>
        <v>6.5836433212891787</v>
      </c>
      <c r="EK203" s="151">
        <f>INPUT!GX101</f>
        <v>891.55569350192627</v>
      </c>
      <c r="EL203" s="687">
        <f>INPUT!GY101</f>
        <v>6.8126885872640042</v>
      </c>
      <c r="EM203" s="687">
        <f>INPUT!GZ101</f>
        <v>4.1939185559425995</v>
      </c>
    </row>
    <row r="204" spans="1:143" ht="12.75" hidden="1" customHeight="1" outlineLevel="1" x14ac:dyDescent="0.2">
      <c r="A204" s="701" t="str">
        <f>INPUT!B102</f>
        <v>Interest Credited To Policies</v>
      </c>
      <c r="B204" s="151">
        <f>INPUT!AY102</f>
        <v>95.1</v>
      </c>
      <c r="C204" s="687">
        <f>INPUT!AZ102</f>
        <v>-4.995004995004992</v>
      </c>
      <c r="D204" s="151">
        <f>INPUT!BA102</f>
        <v>168.8</v>
      </c>
      <c r="E204" s="687">
        <f>INPUT!BB102</f>
        <v>70.677451971688583</v>
      </c>
      <c r="F204" s="151">
        <f>INPUT!BC102</f>
        <v>208.2</v>
      </c>
      <c r="G204" s="687" t="str">
        <f>INPUT!BD102</f>
        <v>NM</v>
      </c>
      <c r="H204" s="151">
        <f>INPUT!BE102</f>
        <v>211.7</v>
      </c>
      <c r="I204" s="687" t="str">
        <f>INPUT!BF102</f>
        <v>NM</v>
      </c>
      <c r="J204" s="151">
        <f>INPUT!BG102</f>
        <v>161.1</v>
      </c>
      <c r="K204" s="687">
        <f>INPUT!BH102</f>
        <v>69.400630914826507</v>
      </c>
      <c r="L204" s="151">
        <f>INPUT!BI102</f>
        <v>165.1</v>
      </c>
      <c r="M204" s="687">
        <f>INPUT!BJ102</f>
        <v>-2.1919431279620927</v>
      </c>
      <c r="N204" s="151">
        <f>INPUT!BK102</f>
        <v>165.3</v>
      </c>
      <c r="O204" s="687">
        <f>INPUT!BL102</f>
        <v>-20.60518731988472</v>
      </c>
      <c r="P204" s="151">
        <f>INPUT!BM102</f>
        <v>167.9</v>
      </c>
      <c r="Q204" s="687">
        <f>INPUT!BN102</f>
        <v>-20.68965517241379</v>
      </c>
      <c r="R204" s="151">
        <f>INPUT!BO102</f>
        <v>163.19999999999999</v>
      </c>
      <c r="S204" s="687">
        <f>INPUT!BP102</f>
        <v>1.3035381750465591</v>
      </c>
      <c r="T204" s="151">
        <f>INPUT!BQ102</f>
        <v>163</v>
      </c>
      <c r="U204" s="687">
        <f>INPUT!BR102</f>
        <v>-1.2719563900666198</v>
      </c>
      <c r="V204" s="151">
        <f>INPUT!BS102</f>
        <v>170</v>
      </c>
      <c r="W204" s="687">
        <f>INPUT!BT102</f>
        <v>2.8433151845129956</v>
      </c>
      <c r="X204" s="151">
        <f>INPUT!BU102</f>
        <v>206.3</v>
      </c>
      <c r="Y204" s="687">
        <f>INPUT!BV102</f>
        <v>22.870756402620618</v>
      </c>
      <c r="Z204" s="151">
        <f>INPUT!BW102</f>
        <v>163.6</v>
      </c>
      <c r="AA204" s="687">
        <f>INPUT!BX102</f>
        <v>0.2450980392156854</v>
      </c>
      <c r="AB204" s="151">
        <f>INPUT!BY102</f>
        <v>170.4</v>
      </c>
      <c r="AC204" s="687">
        <f>INPUT!BZ102</f>
        <v>4.5398773006134929</v>
      </c>
      <c r="AD204" s="151">
        <f>INPUT!CA102</f>
        <v>175.9</v>
      </c>
      <c r="AE204" s="687">
        <f>INPUT!CB102</f>
        <v>3.4705882352941142</v>
      </c>
      <c r="AF204" s="151">
        <f>INPUT!CC102</f>
        <v>172.5</v>
      </c>
      <c r="AG204" s="687">
        <f>INPUT!CD102</f>
        <v>-16.383906931652938</v>
      </c>
      <c r="AH204" s="151">
        <f>INPUT!CE102</f>
        <v>176.2</v>
      </c>
      <c r="AI204" s="687">
        <f>INPUT!CF102</f>
        <v>7.7017114914425422</v>
      </c>
      <c r="AJ204" s="151">
        <f>INPUT!CG102</f>
        <v>176.9</v>
      </c>
      <c r="AK204" s="687">
        <f>INPUT!CH102</f>
        <v>3.8145539906103254</v>
      </c>
      <c r="AL204" s="151">
        <f>INPUT!CI102</f>
        <v>183.5</v>
      </c>
      <c r="AM204" s="687">
        <f>INPUT!CJ102</f>
        <v>4.3206367254121636</v>
      </c>
      <c r="AN204" s="151">
        <f>INPUT!CK102</f>
        <v>188.9</v>
      </c>
      <c r="AO204" s="687">
        <f>INPUT!CL102</f>
        <v>9.5072463768115956</v>
      </c>
      <c r="AP204" s="151">
        <f>INPUT!CM102</f>
        <v>174.4</v>
      </c>
      <c r="AQ204" s="687">
        <f>INPUT!CN102</f>
        <v>-1.0215664018161097</v>
      </c>
      <c r="AR204" s="151">
        <f>INPUT!CO102</f>
        <v>178</v>
      </c>
      <c r="AS204" s="687">
        <f>INPUT!CP102</f>
        <v>0.62182023742227699</v>
      </c>
      <c r="AT204" s="151">
        <f>INPUT!CQ102</f>
        <v>177.2</v>
      </c>
      <c r="AU204" s="687">
        <f>INPUT!CR102</f>
        <v>-3.4332425068119954</v>
      </c>
      <c r="AV204" s="151">
        <f>INPUT!CS102</f>
        <v>169</v>
      </c>
      <c r="AW204" s="687">
        <f>INPUT!CT102</f>
        <v>-10.534674430915835</v>
      </c>
      <c r="AX204" s="151">
        <f>INPUT!CU102</f>
        <v>171</v>
      </c>
      <c r="AY204" s="687">
        <f>INPUT!CV102</f>
        <v>-1.9495412844036775</v>
      </c>
      <c r="AZ204" s="151">
        <f>INPUT!CW102</f>
        <v>163</v>
      </c>
      <c r="BA204" s="687">
        <f>INPUT!CX102</f>
        <v>-8.4269662921348303</v>
      </c>
      <c r="BB204" s="151">
        <f>INPUT!CY102</f>
        <v>146</v>
      </c>
      <c r="BC204" s="687">
        <f>INPUT!CZ102</f>
        <v>-17.60722347629796</v>
      </c>
      <c r="BD204" s="151">
        <f>INPUT!DA102</f>
        <v>153</v>
      </c>
      <c r="BE204" s="687">
        <f>INPUT!DB102</f>
        <v>-9.4674556213017791</v>
      </c>
      <c r="BF204" s="151">
        <f>INPUT!DC102</f>
        <v>153</v>
      </c>
      <c r="BG204" s="687">
        <f>INPUT!DD102</f>
        <v>-10.526315789473683</v>
      </c>
      <c r="BH204" s="151">
        <f>INPUT!DE102</f>
        <v>157</v>
      </c>
      <c r="BI204" s="687">
        <f>INPUT!DF102</f>
        <v>-3.6809815950920255</v>
      </c>
      <c r="BJ204" s="151">
        <f>INPUT!DG102</f>
        <v>153</v>
      </c>
      <c r="BK204" s="687">
        <f>INPUT!DH102</f>
        <v>4.7945205479452024</v>
      </c>
      <c r="BL204" s="151">
        <f>INPUT!DI102</f>
        <v>161</v>
      </c>
      <c r="BM204" s="687">
        <f>INPUT!DJ102</f>
        <v>5.2287581699346442</v>
      </c>
      <c r="BN204" s="151">
        <f>INPUT!DK102</f>
        <v>154</v>
      </c>
      <c r="BO204" s="687">
        <f>INPUT!DL102</f>
        <v>0.65359477124182774</v>
      </c>
      <c r="BP204" s="151">
        <f>INPUT!DM102</f>
        <v>154</v>
      </c>
      <c r="BQ204" s="687">
        <f>INPUT!DN102</f>
        <v>-1.9108280254777066</v>
      </c>
      <c r="BR204" s="151">
        <f>INPUT!DO102</f>
        <v>152</v>
      </c>
      <c r="BS204" s="687">
        <f>INPUT!DP102</f>
        <v>-0.65359477124182774</v>
      </c>
      <c r="BT204" s="151">
        <f>INPUT!DQ102</f>
        <v>150</v>
      </c>
      <c r="BU204" s="687">
        <f>INPUT!DR102</f>
        <v>-6.8322981366459645</v>
      </c>
      <c r="BV204" s="151">
        <f>INPUT!DS102</f>
        <v>143</v>
      </c>
      <c r="BW204" s="687">
        <f>INPUT!DT102</f>
        <v>-7.1428571428571397</v>
      </c>
      <c r="BX204" s="151">
        <f>INPUT!DU102</f>
        <v>139</v>
      </c>
      <c r="BY204" s="687">
        <f>INPUT!DV102</f>
        <v>-9.740259740259738</v>
      </c>
      <c r="BZ204" s="151">
        <f>INPUT!DW102</f>
        <v>134</v>
      </c>
      <c r="CA204" s="687">
        <f>INPUT!DX102</f>
        <v>134</v>
      </c>
      <c r="CB204" s="151">
        <f>INPUT!DY102</f>
        <v>135</v>
      </c>
      <c r="CC204" s="687">
        <f>INPUT!DZ102</f>
        <v>-9.9999999999999982</v>
      </c>
      <c r="CD204" s="151">
        <f>INPUT!EA102</f>
        <v>140</v>
      </c>
      <c r="CE204" s="687">
        <f>INPUT!EB102</f>
        <v>-2.0979020979020935</v>
      </c>
      <c r="CF204" s="151">
        <f>INPUT!EC102</f>
        <v>144</v>
      </c>
      <c r="CG204" s="687">
        <f>INPUT!ED102</f>
        <v>3.5971223021582732</v>
      </c>
      <c r="CH204" s="151">
        <f>INPUT!EE102</f>
        <v>148</v>
      </c>
      <c r="CI204" s="687">
        <f>INPUT!EF102</f>
        <v>10.447761194029859</v>
      </c>
      <c r="CJ204" s="151">
        <f>INPUT!EG102</f>
        <v>149</v>
      </c>
      <c r="CK204" s="687">
        <f>INPUT!EH102</f>
        <v>10.370370370370363</v>
      </c>
      <c r="CL204" s="151">
        <f>INPUT!EI102</f>
        <v>147</v>
      </c>
      <c r="CM204" s="687">
        <f>INPUT!EJ102</f>
        <v>5.0000000000000044</v>
      </c>
      <c r="CN204" s="151">
        <f>INPUT!EK102</f>
        <v>145</v>
      </c>
      <c r="CO204" s="687">
        <f>INPUT!EL102</f>
        <v>0.69444444444444198</v>
      </c>
      <c r="CP204" s="151">
        <f>INPUT!EM102</f>
        <v>145</v>
      </c>
      <c r="CQ204" s="687">
        <f>INPUT!EN102</f>
        <v>-2.0270270270270285</v>
      </c>
      <c r="CR204" s="151">
        <f>INPUT!EO102</f>
        <v>144</v>
      </c>
      <c r="CS204" s="687">
        <f>INPUT!EP102</f>
        <v>-3.3557046979865723</v>
      </c>
      <c r="CT204" s="151">
        <f>INPUT!EQ102</f>
        <v>146.14327920875786</v>
      </c>
      <c r="CU204" s="687">
        <f>INPUT!ER102</f>
        <v>-0.58280325934839672</v>
      </c>
      <c r="CV204" s="151">
        <f>INPUT!ES102</f>
        <v>148.51471898090574</v>
      </c>
      <c r="CW204" s="687">
        <f>INPUT!ET102</f>
        <v>2.4239441247625892</v>
      </c>
      <c r="CX204" s="151">
        <f>INPUT!EU102</f>
        <v>151.21397779549545</v>
      </c>
      <c r="CY204" s="687">
        <f>INPUT!EV102</f>
        <v>4.2855019279278928</v>
      </c>
      <c r="CZ204" s="151">
        <f>INPUT!EW102</f>
        <v>154.24623422418944</v>
      </c>
      <c r="DA204" s="687">
        <f>INPUT!EX102</f>
        <v>7.1154404334648813</v>
      </c>
      <c r="DB204" s="16"/>
      <c r="DC204" s="151">
        <f>INPUT!FP102</f>
        <v>392.6</v>
      </c>
      <c r="DD204" s="687" t="str">
        <f>INPUT!FQ102</f>
        <v>NA</v>
      </c>
      <c r="DE204" s="151">
        <f>INPUT!FR102</f>
        <v>683.8</v>
      </c>
      <c r="DF204" s="687">
        <f>INPUT!FS102</f>
        <v>74.172185430463557</v>
      </c>
      <c r="DG204" s="151">
        <f>INPUT!FT102</f>
        <v>659.4</v>
      </c>
      <c r="DH204" s="687">
        <f>INPUT!FU102</f>
        <v>-3.5682948230476685</v>
      </c>
      <c r="DI204" s="151">
        <f>INPUT!FV102</f>
        <v>702.5</v>
      </c>
      <c r="DJ204" s="687">
        <f>INPUT!FW102</f>
        <v>6.5362450712769249</v>
      </c>
      <c r="DK204" s="151">
        <f>INPUT!FX102</f>
        <v>682.4</v>
      </c>
      <c r="DL204" s="687">
        <f>INPUT!FY102</f>
        <v>-2.8612099644128142</v>
      </c>
      <c r="DM204" s="151">
        <f>INPUT!FZ102</f>
        <v>725.5</v>
      </c>
      <c r="DN204" s="687">
        <f>INPUT!GA102</f>
        <v>6.315943728018758</v>
      </c>
      <c r="DO204" s="151">
        <f>INPUT!GB102</f>
        <v>698.59999999999991</v>
      </c>
      <c r="DP204" s="687">
        <f>INPUT!GC102</f>
        <v>-3.7077877325982223</v>
      </c>
      <c r="DQ204" s="151">
        <f>INPUT!GD102</f>
        <v>633</v>
      </c>
      <c r="DR204" s="687">
        <f>INPUT!GE102</f>
        <v>-9.3902089894073786</v>
      </c>
      <c r="DS204" s="151">
        <f>INPUT!GF102</f>
        <v>624</v>
      </c>
      <c r="DT204" s="687">
        <f>INPUT!GG102</f>
        <v>-1.4218009478673022</v>
      </c>
      <c r="DU204" s="151">
        <f>INPUT!GH102</f>
        <v>610</v>
      </c>
      <c r="DV204" s="687">
        <f>INPUT!GI102</f>
        <v>-2.2435897435897467</v>
      </c>
      <c r="DW204" s="151">
        <f>INPUT!GJ102</f>
        <v>551</v>
      </c>
      <c r="DX204" s="687">
        <f>INPUT!GK102</f>
        <v>-9.6721311475409859</v>
      </c>
      <c r="DY204" s="151">
        <f>INPUT!GL102</f>
        <v>581</v>
      </c>
      <c r="DZ204" s="687">
        <f>INPUT!GM102</f>
        <v>5.444646098003636</v>
      </c>
      <c r="EA204" s="151">
        <f>INPUT!GN102</f>
        <v>581</v>
      </c>
      <c r="EB204" s="687">
        <f>INPUT!GO102</f>
        <v>0</v>
      </c>
      <c r="EC204" s="151">
        <f>INPUT!GP102</f>
        <v>600.11821020934849</v>
      </c>
      <c r="ED204" s="687">
        <f>INPUT!GQ102</f>
        <v>3.2905697434334691</v>
      </c>
      <c r="EE204" s="151">
        <f>INPUT!GR102</f>
        <v>644.30118613859372</v>
      </c>
      <c r="EF204" s="687">
        <f>INPUT!GS102</f>
        <v>7.3623788076406127</v>
      </c>
      <c r="EG204" s="151">
        <f>INPUT!GT102</f>
        <v>688.95894058406395</v>
      </c>
      <c r="EH204" s="687">
        <f>INPUT!GU102</f>
        <v>6.9311923377189055</v>
      </c>
      <c r="EI204" s="151">
        <f>INPUT!GV102</f>
        <v>732.47671221606709</v>
      </c>
      <c r="EJ204" s="687">
        <f>INPUT!GW102</f>
        <v>6.3164535748837292</v>
      </c>
      <c r="EK204" s="151">
        <f>INPUT!GX102</f>
        <v>774.96111314429663</v>
      </c>
      <c r="EL204" s="687">
        <f>INPUT!GY102</f>
        <v>5.8001026134599343</v>
      </c>
      <c r="EM204" s="687">
        <f>INPUT!GZ102</f>
        <v>5.9304349823744662</v>
      </c>
    </row>
    <row r="205" spans="1:143" ht="12.75" hidden="1" customHeight="1" outlineLevel="1" x14ac:dyDescent="0.2">
      <c r="A205" s="701" t="str">
        <f>INPUT!B103</f>
        <v>Net DAC and VOBA Amortization</v>
      </c>
      <c r="B205" s="151">
        <f>INPUT!AY103</f>
        <v>-56.900000000000006</v>
      </c>
      <c r="C205" s="687">
        <f>INPUT!AZ103</f>
        <v>14.25702811244982</v>
      </c>
      <c r="D205" s="151">
        <f>INPUT!BA103</f>
        <v>-77.3</v>
      </c>
      <c r="E205" s="687">
        <f>INPUT!BB103</f>
        <v>19.290123456790131</v>
      </c>
      <c r="F205" s="151">
        <f>INPUT!BC103</f>
        <v>-82</v>
      </c>
      <c r="G205" s="687">
        <f>INPUT!BD103</f>
        <v>-3.86869871043376</v>
      </c>
      <c r="H205" s="151">
        <f>INPUT!BE103</f>
        <v>-80.100000000000009</v>
      </c>
      <c r="I205" s="687">
        <f>INPUT!BF103</f>
        <v>34.848484848484837</v>
      </c>
      <c r="J205" s="151">
        <f>INPUT!BG103</f>
        <v>-67.399999999999991</v>
      </c>
      <c r="K205" s="687">
        <f>INPUT!BH103</f>
        <v>18.453427065026329</v>
      </c>
      <c r="L205" s="151">
        <f>INPUT!BI103</f>
        <v>-92.500000000000014</v>
      </c>
      <c r="M205" s="687">
        <f>INPUT!BJ103</f>
        <v>19.663648124191479</v>
      </c>
      <c r="N205" s="151">
        <f>INPUT!BK103</f>
        <v>-112.19999999999999</v>
      </c>
      <c r="O205" s="687">
        <f>INPUT!BL103</f>
        <v>36.829268292682912</v>
      </c>
      <c r="P205" s="151">
        <f>INPUT!BM103</f>
        <v>-128.19999999999999</v>
      </c>
      <c r="Q205" s="687">
        <f>INPUT!BN103</f>
        <v>60.049937578027432</v>
      </c>
      <c r="R205" s="151">
        <f>INPUT!BO103</f>
        <v>-93.700000000000017</v>
      </c>
      <c r="S205" s="687">
        <f>INPUT!BP103</f>
        <v>39.020771513353168</v>
      </c>
      <c r="T205" s="151">
        <f>INPUT!BQ103</f>
        <v>-90.899999999999991</v>
      </c>
      <c r="U205" s="687">
        <f>INPUT!BR103</f>
        <v>-1.7297297297297565</v>
      </c>
      <c r="V205" s="151">
        <f>INPUT!BS103</f>
        <v>-75.200000000000017</v>
      </c>
      <c r="W205" s="687">
        <f>INPUT!BT103</f>
        <v>-32.976827094474125</v>
      </c>
      <c r="X205" s="151">
        <f>INPUT!BU103</f>
        <v>289.8</v>
      </c>
      <c r="Y205" s="687" t="str">
        <f>INPUT!BV103</f>
        <v>NM</v>
      </c>
      <c r="Z205" s="151">
        <f>INPUT!BW103</f>
        <v>-46.8</v>
      </c>
      <c r="AA205" s="687" t="str">
        <f>INPUT!BX103</f>
        <v>NM</v>
      </c>
      <c r="AB205" s="151">
        <f>INPUT!BY103</f>
        <v>-70.799999999999983</v>
      </c>
      <c r="AC205" s="687">
        <f>INPUT!BZ103</f>
        <v>-22.112211221122124</v>
      </c>
      <c r="AD205" s="151">
        <f>INPUT!CA103</f>
        <v>-88.9</v>
      </c>
      <c r="AE205" s="687">
        <f>INPUT!CB103</f>
        <v>18.218085106382965</v>
      </c>
      <c r="AF205" s="151">
        <f>INPUT!CC103</f>
        <v>-66.099999999999994</v>
      </c>
      <c r="AG205" s="687" t="str">
        <f>INPUT!CD103</f>
        <v>NM</v>
      </c>
      <c r="AH205" s="151">
        <f>INPUT!CE103</f>
        <v>-50.899999999999991</v>
      </c>
      <c r="AI205" s="687">
        <f>INPUT!CF103</f>
        <v>8.7606837606837509</v>
      </c>
      <c r="AJ205" s="151">
        <f>INPUT!CG103</f>
        <v>-60.4</v>
      </c>
      <c r="AK205" s="687">
        <f>INPUT!CH103</f>
        <v>-14.68926553672315</v>
      </c>
      <c r="AL205" s="151">
        <f>INPUT!CI103</f>
        <v>-58.200000000000017</v>
      </c>
      <c r="AM205" s="687">
        <f>INPUT!CJ103</f>
        <v>-34.533183352080975</v>
      </c>
      <c r="AN205" s="151">
        <f>INPUT!CK103</f>
        <v>-34.599999999999994</v>
      </c>
      <c r="AO205" s="687">
        <f>INPUT!CL103</f>
        <v>-47.655068078668684</v>
      </c>
      <c r="AP205" s="151">
        <f>INPUT!CM103</f>
        <v>-23.700000000000003</v>
      </c>
      <c r="AQ205" s="687" t="str">
        <f>INPUT!CN103</f>
        <v>NM</v>
      </c>
      <c r="AR205" s="151">
        <f>INPUT!CO103</f>
        <v>-48.100000000000009</v>
      </c>
      <c r="AS205" s="687">
        <f>INPUT!CP103</f>
        <v>-20.364238410596013</v>
      </c>
      <c r="AT205" s="151">
        <f>INPUT!CQ103</f>
        <v>-71.900000000000006</v>
      </c>
      <c r="AU205" s="687">
        <f>INPUT!CR103</f>
        <v>23.539518900343626</v>
      </c>
      <c r="AV205" s="151">
        <f>INPUT!CS103</f>
        <v>-33</v>
      </c>
      <c r="AW205" s="687">
        <f>INPUT!CT103</f>
        <v>-4.6242774566473859</v>
      </c>
      <c r="AX205" s="151">
        <f>INPUT!CU103</f>
        <v>-26</v>
      </c>
      <c r="AY205" s="687">
        <f>INPUT!CV103</f>
        <v>9.704641350210963</v>
      </c>
      <c r="AZ205" s="151">
        <f>INPUT!CW103</f>
        <v>-63</v>
      </c>
      <c r="BA205" s="687">
        <f>INPUT!CX103</f>
        <v>30.977130977130951</v>
      </c>
      <c r="BB205" s="151">
        <f>INPUT!CY103</f>
        <v>-98</v>
      </c>
      <c r="BC205" s="687">
        <f>INPUT!CZ103</f>
        <v>36.300417246175229</v>
      </c>
      <c r="BD205" s="151">
        <f>INPUT!DA103</f>
        <v>-85</v>
      </c>
      <c r="BE205" s="687" t="str">
        <f>INPUT!DB103</f>
        <v>NM</v>
      </c>
      <c r="BF205" s="151">
        <f>INPUT!DC103</f>
        <v>-58</v>
      </c>
      <c r="BG205" s="687" t="str">
        <f>INPUT!DD103</f>
        <v>NM</v>
      </c>
      <c r="BH205" s="151">
        <f>INPUT!DE103</f>
        <v>-121</v>
      </c>
      <c r="BI205" s="687">
        <f>INPUT!DF103</f>
        <v>92.063492063492063</v>
      </c>
      <c r="BJ205" s="151">
        <f>INPUT!DG103</f>
        <v>-91</v>
      </c>
      <c r="BK205" s="687">
        <f>INPUT!DH103</f>
        <v>-7.1428571428571397</v>
      </c>
      <c r="BL205" s="151">
        <f>INPUT!DI103</f>
        <v>-96</v>
      </c>
      <c r="BM205" s="687">
        <f>INPUT!DJ103</f>
        <v>12.941176470588234</v>
      </c>
      <c r="BN205" s="151">
        <f>INPUT!DK103</f>
        <v>-65</v>
      </c>
      <c r="BO205" s="687">
        <f>INPUT!DL103</f>
        <v>12.06896551724137</v>
      </c>
      <c r="BP205" s="151">
        <f>INPUT!DM103</f>
        <v>-74</v>
      </c>
      <c r="BQ205" s="687">
        <f>INPUT!DN103</f>
        <v>-38.842975206611577</v>
      </c>
      <c r="BR205" s="151">
        <f>INPUT!DO103</f>
        <v>-109</v>
      </c>
      <c r="BS205" s="687">
        <f>INPUT!DP103</f>
        <v>19.780219780219777</v>
      </c>
      <c r="BT205" s="151">
        <f>INPUT!DQ103</f>
        <v>-73</v>
      </c>
      <c r="BU205" s="687">
        <f>INPUT!DR103</f>
        <v>-23.958333333333336</v>
      </c>
      <c r="BV205" s="151">
        <f>INPUT!DS103</f>
        <v>-47</v>
      </c>
      <c r="BW205" s="687">
        <f>INPUT!DT103</f>
        <v>-27.692307692307693</v>
      </c>
      <c r="BX205" s="151">
        <f>INPUT!DU103</f>
        <v>-64</v>
      </c>
      <c r="BY205" s="687">
        <f>INPUT!DV103</f>
        <v>-13.513513513513509</v>
      </c>
      <c r="BZ205" s="151">
        <f>INPUT!DW103</f>
        <v>-102</v>
      </c>
      <c r="CA205" s="687">
        <f>INPUT!DX103</f>
        <v>-102</v>
      </c>
      <c r="CB205" s="151">
        <f>INPUT!DY103</f>
        <v>-63</v>
      </c>
      <c r="CC205" s="687">
        <f>INPUT!DZ103</f>
        <v>-13.698630136986301</v>
      </c>
      <c r="CD205" s="151">
        <f>INPUT!EA103</f>
        <v>-25</v>
      </c>
      <c r="CE205" s="687">
        <f>INPUT!EB103</f>
        <v>-46.808510638297875</v>
      </c>
      <c r="CF205" s="151">
        <f>INPUT!EC103</f>
        <v>-19</v>
      </c>
      <c r="CG205" s="687" t="str">
        <f>INPUT!ED103</f>
        <v>NM</v>
      </c>
      <c r="CH205" s="151">
        <f>INPUT!EE103</f>
        <v>9</v>
      </c>
      <c r="CI205" s="687" t="str">
        <f>INPUT!EF103</f>
        <v>NM</v>
      </c>
      <c r="CJ205" s="151">
        <f>INPUT!EG103</f>
        <v>8</v>
      </c>
      <c r="CK205" s="687" t="str">
        <f>INPUT!EH103</f>
        <v>NM</v>
      </c>
      <c r="CL205" s="151">
        <f>INPUT!EI103</f>
        <v>4</v>
      </c>
      <c r="CM205" s="687" t="str">
        <f>INPUT!EJ103</f>
        <v>NM</v>
      </c>
      <c r="CN205" s="151">
        <f>INPUT!EK103</f>
        <v>1</v>
      </c>
      <c r="CO205" s="687" t="str">
        <f>INPUT!EL103</f>
        <v>NM</v>
      </c>
      <c r="CP205" s="151">
        <f>INPUT!EM103</f>
        <v>7</v>
      </c>
      <c r="CQ205" s="687">
        <f>INPUT!EN103</f>
        <v>-22.222222222222221</v>
      </c>
      <c r="CR205" s="151">
        <f>INPUT!EO103</f>
        <v>-22</v>
      </c>
      <c r="CS205" s="687" t="str">
        <f>INPUT!EP103</f>
        <v>NM</v>
      </c>
      <c r="CT205" s="151">
        <f>INPUT!EQ103</f>
        <v>7</v>
      </c>
      <c r="CU205" s="687">
        <f>INPUT!ER103</f>
        <v>75</v>
      </c>
      <c r="CV205" s="151">
        <f>INPUT!ES103</f>
        <v>7</v>
      </c>
      <c r="CW205" s="687" t="str">
        <f>INPUT!ET103</f>
        <v>NM</v>
      </c>
      <c r="CX205" s="151">
        <f>INPUT!EU103</f>
        <v>7</v>
      </c>
      <c r="CY205" s="687">
        <f>INPUT!EV103</f>
        <v>0</v>
      </c>
      <c r="CZ205" s="151">
        <f>INPUT!EW103</f>
        <v>7</v>
      </c>
      <c r="DA205" s="687" t="str">
        <f>INPUT!EX103</f>
        <v>NM</v>
      </c>
      <c r="DB205" s="16"/>
      <c r="DC205" s="151">
        <f>INPUT!FP103</f>
        <v>-259.29999999999995</v>
      </c>
      <c r="DD205" s="687" t="str">
        <f>INPUT!FQ103</f>
        <v>NA</v>
      </c>
      <c r="DE205" s="151">
        <f>INPUT!FR103</f>
        <v>-296.3</v>
      </c>
      <c r="DF205" s="687">
        <f>INPUT!FS103</f>
        <v>14.269186270728905</v>
      </c>
      <c r="DG205" s="151">
        <f>INPUT!FT103</f>
        <v>-400.3</v>
      </c>
      <c r="DH205" s="687">
        <f>INPUT!FU103</f>
        <v>35.099561255484304</v>
      </c>
      <c r="DI205" s="151">
        <f>INPUT!FV103</f>
        <v>29.999999999999943</v>
      </c>
      <c r="DJ205" s="687" t="str">
        <f>INPUT!FW103</f>
        <v>NM</v>
      </c>
      <c r="DK205" s="151">
        <f>INPUT!FX103</f>
        <v>-272.60000000000002</v>
      </c>
      <c r="DL205" s="687" t="str">
        <f>INPUT!FY103</f>
        <v>NM</v>
      </c>
      <c r="DM205" s="151">
        <f>INPUT!FZ103</f>
        <v>-204.1</v>
      </c>
      <c r="DN205" s="687">
        <f>INPUT!GA103</f>
        <v>-25.128393250183422</v>
      </c>
      <c r="DO205" s="151">
        <f>INPUT!GB103</f>
        <v>-176.70000000000002</v>
      </c>
      <c r="DP205" s="687">
        <f>INPUT!GC103</f>
        <v>-13.424791768740807</v>
      </c>
      <c r="DQ205" s="151">
        <f>INPUT!GD103</f>
        <v>-272</v>
      </c>
      <c r="DR205" s="687">
        <f>INPUT!GE103</f>
        <v>53.933220147142038</v>
      </c>
      <c r="DS205" s="151">
        <f>INPUT!GF103</f>
        <v>-366</v>
      </c>
      <c r="DT205" s="687">
        <f>INPUT!GG103</f>
        <v>34.558823529411775</v>
      </c>
      <c r="DU205" s="151">
        <f>INPUT!GH103</f>
        <v>-321</v>
      </c>
      <c r="DV205" s="687">
        <f>INPUT!GI103</f>
        <v>-12.295081967213118</v>
      </c>
      <c r="DW205" s="151">
        <f>INPUT!GJ103</f>
        <v>-276</v>
      </c>
      <c r="DX205" s="687">
        <f>INPUT!GK103</f>
        <v>-14.018691588785048</v>
      </c>
      <c r="DY205" s="151">
        <f>INPUT!GL103</f>
        <v>-27</v>
      </c>
      <c r="DZ205" s="687" t="str">
        <f>INPUT!GM103</f>
        <v>NM</v>
      </c>
      <c r="EA205" s="151">
        <f>INPUT!GN103</f>
        <v>-10</v>
      </c>
      <c r="EB205" s="687" t="str">
        <f>INPUT!GO103</f>
        <v>NM</v>
      </c>
      <c r="EC205" s="151">
        <f>INPUT!GP103</f>
        <v>28</v>
      </c>
      <c r="ED205" s="687" t="str">
        <f>INPUT!GQ103</f>
        <v>NM</v>
      </c>
      <c r="EE205" s="151">
        <f>INPUT!GR103</f>
        <v>28.28</v>
      </c>
      <c r="EF205" s="687">
        <f>INPUT!GS103</f>
        <v>1.0000000000000009</v>
      </c>
      <c r="EG205" s="151">
        <f>INPUT!GT103</f>
        <v>28.562800000000003</v>
      </c>
      <c r="EH205" s="687">
        <f>INPUT!GU103</f>
        <v>1.0000000000000009</v>
      </c>
      <c r="EI205" s="151">
        <f>INPUT!GV103</f>
        <v>28.848428000000002</v>
      </c>
      <c r="EJ205" s="687">
        <f>INPUT!GW103</f>
        <v>1.0000000000000009</v>
      </c>
      <c r="EK205" s="151">
        <f>INPUT!GX103</f>
        <v>29.136912280000001</v>
      </c>
      <c r="EL205" s="687">
        <f>INPUT!GY103</f>
        <v>1.0000000000000009</v>
      </c>
      <c r="EM205" s="687" t="str">
        <f>INPUT!GZ103</f>
        <v>NM</v>
      </c>
    </row>
    <row r="206" spans="1:143" ht="12.75" hidden="1" customHeight="1" outlineLevel="1" x14ac:dyDescent="0.2">
      <c r="A206" s="701" t="str">
        <f>INPUT!B104</f>
        <v>Other Operating Exp</v>
      </c>
      <c r="B206" s="151">
        <f>INPUT!AY104</f>
        <v>229.5</v>
      </c>
      <c r="C206" s="687">
        <f>INPUT!AZ104</f>
        <v>10.923151280812004</v>
      </c>
      <c r="D206" s="151">
        <f>INPUT!BA104</f>
        <v>294.2</v>
      </c>
      <c r="E206" s="687">
        <f>INPUT!BB104</f>
        <v>35.326586936522553</v>
      </c>
      <c r="F206" s="151">
        <f>INPUT!BC104</f>
        <v>309.3</v>
      </c>
      <c r="G206" s="687">
        <f>INPUT!BD104</f>
        <v>37.405597512216794</v>
      </c>
      <c r="H206" s="151">
        <f>INPUT!BE104</f>
        <v>332.7</v>
      </c>
      <c r="I206" s="687">
        <f>INPUT!BF104</f>
        <v>48.460508701472563</v>
      </c>
      <c r="J206" s="151">
        <f>INPUT!BG104</f>
        <v>317.39999999999998</v>
      </c>
      <c r="K206" s="687">
        <f>INPUT!BH104</f>
        <v>38.300653594771241</v>
      </c>
      <c r="L206" s="151">
        <f>INPUT!BI104</f>
        <v>359.5</v>
      </c>
      <c r="M206" s="687">
        <f>INPUT!BJ104</f>
        <v>22.195785180149553</v>
      </c>
      <c r="N206" s="151">
        <f>INPUT!BK104</f>
        <v>367.6</v>
      </c>
      <c r="O206" s="687">
        <f>INPUT!BL104</f>
        <v>18.849013902360177</v>
      </c>
      <c r="P206" s="151">
        <f>INPUT!BM104</f>
        <v>415.5</v>
      </c>
      <c r="Q206" s="687">
        <f>INPUT!BN104</f>
        <v>24.887285843101893</v>
      </c>
      <c r="R206" s="151">
        <f>INPUT!BO104</f>
        <v>345.4</v>
      </c>
      <c r="S206" s="687">
        <f>INPUT!BP104</f>
        <v>8.8216761184625181</v>
      </c>
      <c r="T206" s="151">
        <f>INPUT!BQ104</f>
        <v>359.09999999999997</v>
      </c>
      <c r="U206" s="687">
        <f>INPUT!BR104</f>
        <v>-0.11126564673158423</v>
      </c>
      <c r="V206" s="151">
        <f>INPUT!BS104</f>
        <v>328.9</v>
      </c>
      <c r="W206" s="687">
        <f>INPUT!BT104</f>
        <v>-10.527747551686629</v>
      </c>
      <c r="X206" s="151">
        <f>INPUT!BU104</f>
        <v>298.49999999999994</v>
      </c>
      <c r="Y206" s="687">
        <f>INPUT!BV104</f>
        <v>-28.158844765342973</v>
      </c>
      <c r="Z206" s="151">
        <f>INPUT!BW104</f>
        <v>266.5</v>
      </c>
      <c r="AA206" s="687">
        <f>INPUT!BX104</f>
        <v>-22.843080486392587</v>
      </c>
      <c r="AB206" s="151">
        <f>INPUT!BY104</f>
        <v>309.29999999999995</v>
      </c>
      <c r="AC206" s="687">
        <f>INPUT!BZ104</f>
        <v>-13.868003341687551</v>
      </c>
      <c r="AD206" s="151">
        <f>INPUT!CA104</f>
        <v>347.70000000000005</v>
      </c>
      <c r="AE206" s="687">
        <f>INPUT!CB104</f>
        <v>5.7160231073274836</v>
      </c>
      <c r="AF206" s="151">
        <f>INPUT!CC104</f>
        <v>332.1</v>
      </c>
      <c r="AG206" s="687">
        <f>INPUT!CD104</f>
        <v>11.256281407035207</v>
      </c>
      <c r="AH206" s="151">
        <f>INPUT!CE104</f>
        <v>310.7</v>
      </c>
      <c r="AI206" s="687">
        <f>INPUT!CF104</f>
        <v>16.58536585365853</v>
      </c>
      <c r="AJ206" s="151">
        <f>INPUT!CG104</f>
        <v>342.4</v>
      </c>
      <c r="AK206" s="687">
        <f>INPUT!CH104</f>
        <v>10.701584222437766</v>
      </c>
      <c r="AL206" s="151">
        <f>INPUT!CI104</f>
        <v>355.70000000000005</v>
      </c>
      <c r="AM206" s="687">
        <f>INPUT!CJ104</f>
        <v>2.3008340523439808</v>
      </c>
      <c r="AN206" s="151">
        <f>INPUT!CK104</f>
        <v>363.5</v>
      </c>
      <c r="AO206" s="687">
        <f>INPUT!CL104</f>
        <v>9.4549834387232643</v>
      </c>
      <c r="AP206" s="151">
        <f>INPUT!CM104</f>
        <v>363.2</v>
      </c>
      <c r="AQ206" s="687">
        <f>INPUT!CN104</f>
        <v>16.897328612809794</v>
      </c>
      <c r="AR206" s="151">
        <f>INPUT!CO104</f>
        <v>383.6</v>
      </c>
      <c r="AS206" s="687">
        <f>INPUT!CP104</f>
        <v>12.032710280373848</v>
      </c>
      <c r="AT206" s="151">
        <f>INPUT!CQ104</f>
        <v>358.70000000000005</v>
      </c>
      <c r="AU206" s="687">
        <f>INPUT!CR104</f>
        <v>0.84340736575765352</v>
      </c>
      <c r="AV206" s="151">
        <f>INPUT!CS104</f>
        <v>354</v>
      </c>
      <c r="AW206" s="687">
        <f>INPUT!CT104</f>
        <v>-2.6134800550206339</v>
      </c>
      <c r="AX206" s="151">
        <f>INPUT!CU104</f>
        <v>379</v>
      </c>
      <c r="AY206" s="687">
        <f>INPUT!CV104</f>
        <v>4.3502202643171728</v>
      </c>
      <c r="AZ206" s="151">
        <f>INPUT!CW104</f>
        <v>389</v>
      </c>
      <c r="BA206" s="687">
        <f>INPUT!CX104</f>
        <v>1.4077163712200136</v>
      </c>
      <c r="BB206" s="151">
        <f>INPUT!CY104</f>
        <v>393</v>
      </c>
      <c r="BC206" s="687">
        <f>INPUT!CZ104</f>
        <v>9.5623083356565211</v>
      </c>
      <c r="BD206" s="151">
        <f>INPUT!DA104</f>
        <v>457</v>
      </c>
      <c r="BE206" s="687">
        <f>INPUT!DB104</f>
        <v>29.096045197740118</v>
      </c>
      <c r="BF206" s="151">
        <f>INPUT!DC104</f>
        <v>423</v>
      </c>
      <c r="BG206" s="687">
        <f>INPUT!DD104</f>
        <v>11.609498680738795</v>
      </c>
      <c r="BH206" s="151">
        <f>INPUT!DE104</f>
        <v>476</v>
      </c>
      <c r="BI206" s="687">
        <f>INPUT!DF104</f>
        <v>22.365038560411321</v>
      </c>
      <c r="BJ206" s="151">
        <f>INPUT!DG104</f>
        <v>463</v>
      </c>
      <c r="BK206" s="687">
        <f>INPUT!DH104</f>
        <v>17.811704834605592</v>
      </c>
      <c r="BL206" s="151">
        <f>INPUT!DI104</f>
        <v>501</v>
      </c>
      <c r="BM206" s="687">
        <f>INPUT!DJ104</f>
        <v>9.6280087527352407</v>
      </c>
      <c r="BN206" s="151">
        <f>INPUT!DK104</f>
        <v>467</v>
      </c>
      <c r="BO206" s="687">
        <f>INPUT!DL104</f>
        <v>10.401891252955075</v>
      </c>
      <c r="BP206" s="151">
        <f>INPUT!DM104</f>
        <v>480</v>
      </c>
      <c r="BQ206" s="687">
        <f>INPUT!DN104</f>
        <v>0.84033613445377853</v>
      </c>
      <c r="BR206" s="151">
        <f>INPUT!DO104</f>
        <v>485</v>
      </c>
      <c r="BS206" s="687">
        <f>INPUT!DP104</f>
        <v>4.7516198704103729</v>
      </c>
      <c r="BT206" s="151">
        <f>INPUT!DQ104</f>
        <v>500</v>
      </c>
      <c r="BU206" s="687">
        <f>INPUT!DR104</f>
        <v>-0.19960079840319889</v>
      </c>
      <c r="BV206" s="151">
        <f>INPUT!DS104</f>
        <v>471</v>
      </c>
      <c r="BW206" s="687">
        <f>INPUT!DT104</f>
        <v>0.8565310492505418</v>
      </c>
      <c r="BX206" s="151">
        <f>INPUT!DU104</f>
        <v>498</v>
      </c>
      <c r="BY206" s="687">
        <f>INPUT!DV104</f>
        <v>3.7500000000000089</v>
      </c>
      <c r="BZ206" s="151">
        <f>INPUT!DW104</f>
        <v>481</v>
      </c>
      <c r="CA206" s="687">
        <f>INPUT!DX104</f>
        <v>610</v>
      </c>
      <c r="CB206" s="151">
        <f>INPUT!DY104</f>
        <v>484</v>
      </c>
      <c r="CC206" s="687">
        <f>INPUT!DZ104</f>
        <v>-3.2000000000000028</v>
      </c>
      <c r="CD206" s="151">
        <f>INPUT!EA104</f>
        <v>436</v>
      </c>
      <c r="CE206" s="687">
        <f>INPUT!EB104</f>
        <v>-7.4309978768577478</v>
      </c>
      <c r="CF206" s="151">
        <f>INPUT!EC104</f>
        <v>426</v>
      </c>
      <c r="CG206" s="687">
        <f>INPUT!ED104</f>
        <v>-14.457831325301207</v>
      </c>
      <c r="CH206" s="151">
        <f>INPUT!EE104</f>
        <v>428</v>
      </c>
      <c r="CI206" s="687">
        <f>INPUT!EF104</f>
        <v>-11.018711018711013</v>
      </c>
      <c r="CJ206" s="151">
        <f>INPUT!EG104</f>
        <v>416</v>
      </c>
      <c r="CK206" s="687">
        <f>INPUT!EH104</f>
        <v>-14.049586776859503</v>
      </c>
      <c r="CL206" s="151">
        <f>INPUT!EI104</f>
        <v>437</v>
      </c>
      <c r="CM206" s="687">
        <f>INPUT!EJ104</f>
        <v>0.22935779816513069</v>
      </c>
      <c r="CN206" s="151">
        <f>INPUT!EK104</f>
        <v>446</v>
      </c>
      <c r="CO206" s="687">
        <f>INPUT!EL104</f>
        <v>4.6948356807511749</v>
      </c>
      <c r="CP206" s="151">
        <f>INPUT!EM104</f>
        <v>436</v>
      </c>
      <c r="CQ206" s="687">
        <f>INPUT!EN104</f>
        <v>1.8691588785046731</v>
      </c>
      <c r="CR206" s="151">
        <f>INPUT!EO104</f>
        <v>488</v>
      </c>
      <c r="CS206" s="687">
        <f>INPUT!EP104</f>
        <v>17.307692307692314</v>
      </c>
      <c r="CT206" s="151">
        <f>INPUT!EQ104</f>
        <v>452.4748176678076</v>
      </c>
      <c r="CU206" s="687">
        <f>INPUT!ER104</f>
        <v>3.5411482077362999</v>
      </c>
      <c r="CV206" s="151">
        <f>INPUT!ES104</f>
        <v>451.48871929151659</v>
      </c>
      <c r="CW206" s="687">
        <f>INPUT!ET104</f>
        <v>1.2306545496673982</v>
      </c>
      <c r="CX206" s="151">
        <f>INPUT!EU104</f>
        <v>457.37859745831918</v>
      </c>
      <c r="CY206" s="687">
        <f>INPUT!EV104</f>
        <v>4.9033480408988916</v>
      </c>
      <c r="CZ206" s="151">
        <f>INPUT!EW104</f>
        <v>464.14599733617672</v>
      </c>
      <c r="DA206" s="687">
        <f>INPUT!EX104</f>
        <v>-4.8881152999637916</v>
      </c>
      <c r="DB206" s="16"/>
      <c r="DC206" s="151">
        <f>INPUT!FP104</f>
        <v>873.5</v>
      </c>
      <c r="DD206" s="687">
        <f>INPUT!FQ104</f>
        <v>46.80672268907562</v>
      </c>
      <c r="DE206" s="151">
        <f>INPUT!FR104</f>
        <v>1165.7</v>
      </c>
      <c r="DF206" s="687">
        <f>INPUT!FS104</f>
        <v>33.45163136805953</v>
      </c>
      <c r="DG206" s="151">
        <f>INPUT!FT104</f>
        <v>1460</v>
      </c>
      <c r="DH206" s="687">
        <f>INPUT!FU104</f>
        <v>25.246632924423086</v>
      </c>
      <c r="DI206" s="151">
        <f>INPUT!FV104</f>
        <v>1331.9</v>
      </c>
      <c r="DJ206" s="687">
        <f>INPUT!FW104</f>
        <v>-8.7739726027397218</v>
      </c>
      <c r="DK206" s="151">
        <f>INPUT!FX104</f>
        <v>1255.5999999999999</v>
      </c>
      <c r="DL206" s="687">
        <f>INPUT!FY104</f>
        <v>-5.7286583076807673</v>
      </c>
      <c r="DM206" s="151">
        <f>INPUT!FZ104</f>
        <v>1372.3</v>
      </c>
      <c r="DN206" s="687">
        <f>INPUT!GA104</f>
        <v>9.2943612615482785</v>
      </c>
      <c r="DO206" s="151">
        <f>INPUT!GB104</f>
        <v>1459.5</v>
      </c>
      <c r="DP206" s="687">
        <f>INPUT!GC104</f>
        <v>6.3542957079355755</v>
      </c>
      <c r="DQ206" s="151">
        <f>INPUT!GD104</f>
        <v>1618</v>
      </c>
      <c r="DR206" s="687">
        <f>INPUT!GE104</f>
        <v>10.859883521754021</v>
      </c>
      <c r="DS206" s="151">
        <f>INPUT!GF104</f>
        <v>1863</v>
      </c>
      <c r="DT206" s="687">
        <f>INPUT!GG104</f>
        <v>15.142150803461064</v>
      </c>
      <c r="DU206" s="151">
        <f>INPUT!GH104</f>
        <v>1932</v>
      </c>
      <c r="DV206" s="687">
        <f>INPUT!GI104</f>
        <v>3.7037037037036979</v>
      </c>
      <c r="DW206" s="151">
        <f>INPUT!GJ104</f>
        <v>1934</v>
      </c>
      <c r="DX206" s="687">
        <f>INPUT!GK104</f>
        <v>0.10351966873705098</v>
      </c>
      <c r="DY206" s="151">
        <f>INPUT!GL104</f>
        <v>1706</v>
      </c>
      <c r="DZ206" s="687">
        <f>INPUT!GM104</f>
        <v>-11.789038262668051</v>
      </c>
      <c r="EA206" s="151">
        <f>INPUT!GN104</f>
        <v>1807</v>
      </c>
      <c r="EB206" s="687">
        <f>INPUT!GO104</f>
        <v>5.9202813599062099</v>
      </c>
      <c r="EC206" s="151">
        <f>INPUT!GP104</f>
        <v>1825.4881317538202</v>
      </c>
      <c r="ED206" s="687">
        <f>INPUT!GQ104</f>
        <v>1.0231395547216415</v>
      </c>
      <c r="EE206" s="151">
        <f>INPUT!GR104</f>
        <v>1914.1854440464092</v>
      </c>
      <c r="EF206" s="687">
        <f>INPUT!GS104</f>
        <v>4.8588271131280392</v>
      </c>
      <c r="EG206" s="151">
        <f>INPUT!GT104</f>
        <v>2024.5991418561371</v>
      </c>
      <c r="EH206" s="687">
        <f>INPUT!GU104</f>
        <v>5.7681818735557666</v>
      </c>
      <c r="EI206" s="151">
        <f>INPUT!GV104</f>
        <v>2151.9730104114324</v>
      </c>
      <c r="EJ206" s="687">
        <f>INPUT!GW104</f>
        <v>6.29131297756651</v>
      </c>
      <c r="EK206" s="151">
        <f>INPUT!GX104</f>
        <v>2303.4708263269736</v>
      </c>
      <c r="EL206" s="687">
        <f>INPUT!GY104</f>
        <v>7.0399496268113815</v>
      </c>
      <c r="EM206" s="687">
        <f>INPUT!GZ104</f>
        <v>4.974765399188108</v>
      </c>
    </row>
    <row r="207" spans="1:143" ht="12.75" hidden="1" customHeight="1" outlineLevel="1" x14ac:dyDescent="0.2">
      <c r="A207" s="700" t="str">
        <f>INPUT!B106</f>
        <v xml:space="preserve"> Total Benefits and Expenses</v>
      </c>
      <c r="B207" s="520">
        <f>INPUT!AY106</f>
        <v>288.10000000000002</v>
      </c>
      <c r="C207" s="687">
        <f>INPUT!AZ106</f>
        <v>3.484195402298873</v>
      </c>
      <c r="D207" s="520">
        <f>INPUT!BA106</f>
        <v>431</v>
      </c>
      <c r="E207" s="687">
        <f>INPUT!BB106</f>
        <v>52.296819787985861</v>
      </c>
      <c r="F207" s="520">
        <f>INPUT!BC106</f>
        <v>462.9</v>
      </c>
      <c r="G207" s="687">
        <f>INPUT!BD106</f>
        <v>79.697204968944078</v>
      </c>
      <c r="H207" s="520">
        <f>INPUT!BE106</f>
        <v>476</v>
      </c>
      <c r="I207" s="687">
        <f>INPUT!BF106</f>
        <v>68.674698795180731</v>
      </c>
      <c r="J207" s="520">
        <f>INPUT!BG106</f>
        <v>436.5</v>
      </c>
      <c r="K207" s="687">
        <f>INPUT!BH106</f>
        <v>51.509892398472743</v>
      </c>
      <c r="L207" s="520">
        <f>INPUT!BI106</f>
        <v>458.70000000000005</v>
      </c>
      <c r="M207" s="687">
        <f>INPUT!BJ106</f>
        <v>6.4269141531322571</v>
      </c>
      <c r="N207" s="520">
        <f>INPUT!BK106</f>
        <v>477</v>
      </c>
      <c r="O207" s="687">
        <f>INPUT!BL106</f>
        <v>3.0460142579390892</v>
      </c>
      <c r="P207" s="520">
        <f>INPUT!BM106</f>
        <v>517.20000000000005</v>
      </c>
      <c r="Q207" s="687">
        <f>INPUT!BN106</f>
        <v>8.6554621848739632</v>
      </c>
      <c r="R207" s="520">
        <f>INPUT!BO106</f>
        <v>466.2</v>
      </c>
      <c r="S207" s="687">
        <f>INPUT!BP106</f>
        <v>6.8041237113402042</v>
      </c>
      <c r="T207" s="520">
        <f>INPUT!BQ106</f>
        <v>466.4</v>
      </c>
      <c r="U207" s="687">
        <f>INPUT!BR106</f>
        <v>1.6786570743405171</v>
      </c>
      <c r="V207" s="520">
        <f>INPUT!BS106</f>
        <v>536.6</v>
      </c>
      <c r="W207" s="687">
        <f>INPUT!BT106</f>
        <v>12.494758909853253</v>
      </c>
      <c r="X207" s="520">
        <f>INPUT!BU106</f>
        <v>876.2</v>
      </c>
      <c r="Y207" s="687">
        <f>INPUT!BV106</f>
        <v>69.412219644238206</v>
      </c>
      <c r="Z207" s="520">
        <f>INPUT!BW106</f>
        <v>459.1</v>
      </c>
      <c r="AA207" s="687">
        <f>INPUT!BX106</f>
        <v>-1.5229515229515211</v>
      </c>
      <c r="AB207" s="520">
        <f>INPUT!BY106</f>
        <v>475.9</v>
      </c>
      <c r="AC207" s="687">
        <f>INPUT!BZ106</f>
        <v>2.0368782161235055</v>
      </c>
      <c r="AD207" s="520">
        <f>INPUT!CA106</f>
        <v>486.20000000000005</v>
      </c>
      <c r="AE207" s="687">
        <f>INPUT!CB106</f>
        <v>-9.3924711144241506</v>
      </c>
      <c r="AF207" s="520">
        <f>INPUT!CC106</f>
        <v>486</v>
      </c>
      <c r="AG207" s="687">
        <f>INPUT!CD106</f>
        <v>-44.533211595526133</v>
      </c>
      <c r="AH207" s="520">
        <f>INPUT!CE106</f>
        <v>479.8</v>
      </c>
      <c r="AI207" s="687">
        <f>INPUT!CF106</f>
        <v>4.5088216074929077</v>
      </c>
      <c r="AJ207" s="520">
        <f>INPUT!CG106</f>
        <v>499.6</v>
      </c>
      <c r="AK207" s="687">
        <f>INPUT!CH106</f>
        <v>4.980037823072081</v>
      </c>
      <c r="AL207" s="520">
        <f>INPUT!CI106</f>
        <v>524</v>
      </c>
      <c r="AM207" s="687">
        <f>INPUT!CJ106</f>
        <v>7.7745783628136556</v>
      </c>
      <c r="AN207" s="520">
        <f>INPUT!CK106</f>
        <v>565</v>
      </c>
      <c r="AO207" s="687">
        <f>INPUT!CL106</f>
        <v>16.255144032921809</v>
      </c>
      <c r="AP207" s="520">
        <f>INPUT!CM106</f>
        <v>549.29999999999995</v>
      </c>
      <c r="AQ207" s="687">
        <f>INPUT!CN106</f>
        <v>14.48520216756981</v>
      </c>
      <c r="AR207" s="706">
        <f>INPUT!CO106</f>
        <v>556.1</v>
      </c>
      <c r="AS207" s="687">
        <f>INPUT!CP106</f>
        <v>11.309047237790226</v>
      </c>
      <c r="AT207" s="520">
        <f>INPUT!CQ106</f>
        <v>551</v>
      </c>
      <c r="AU207" s="687">
        <f>INPUT!CR106</f>
        <v>5.15267175572518</v>
      </c>
      <c r="AV207" s="520">
        <f>INPUT!CS106</f>
        <v>537</v>
      </c>
      <c r="AW207" s="687">
        <f>INPUT!CT106</f>
        <v>-4.9557522123893865</v>
      </c>
      <c r="AX207" s="520">
        <f>INPUT!CU106</f>
        <v>569</v>
      </c>
      <c r="AY207" s="687">
        <f>INPUT!CV106</f>
        <v>3.5863826688512734</v>
      </c>
      <c r="AZ207" s="520">
        <f>INPUT!CW106</f>
        <v>538</v>
      </c>
      <c r="BA207" s="687">
        <f>INPUT!CX106</f>
        <v>-3.2548102859198069</v>
      </c>
      <c r="BB207" s="520">
        <f>INPUT!CY106</f>
        <v>572</v>
      </c>
      <c r="BC207" s="687">
        <f>INPUT!CZ106</f>
        <v>3.8112522686025496</v>
      </c>
      <c r="BD207" s="520">
        <f>INPUT!DA106</f>
        <v>580</v>
      </c>
      <c r="BE207" s="687">
        <f>INPUT!DB106</f>
        <v>8.0074487895716917</v>
      </c>
      <c r="BF207" s="520">
        <f>INPUT!DC106</f>
        <v>583</v>
      </c>
      <c r="BG207" s="687">
        <f>INPUT!DD106</f>
        <v>2.4604569420035194</v>
      </c>
      <c r="BH207" s="520">
        <f>INPUT!DE106</f>
        <v>574</v>
      </c>
      <c r="BI207" s="687">
        <f>INPUT!DF106</f>
        <v>6.6914498141263934</v>
      </c>
      <c r="BJ207" s="520">
        <f>INPUT!DG106</f>
        <v>603</v>
      </c>
      <c r="BK207" s="687">
        <f>INPUT!DH106</f>
        <v>5.4195804195804165</v>
      </c>
      <c r="BL207" s="520">
        <f>INPUT!DI106</f>
        <v>634</v>
      </c>
      <c r="BM207" s="687">
        <f>INPUT!DJ106</f>
        <v>9.3103448275862135</v>
      </c>
      <c r="BN207" s="520">
        <f>INPUT!DK106</f>
        <v>643</v>
      </c>
      <c r="BO207" s="687">
        <f>INPUT!DL106</f>
        <v>10.291595197255576</v>
      </c>
      <c r="BP207" s="520">
        <f>INPUT!DM106</f>
        <v>640</v>
      </c>
      <c r="BQ207" s="687">
        <f>INPUT!DN106</f>
        <v>11.498257839721248</v>
      </c>
      <c r="BR207" s="520">
        <f>INPUT!DO106</f>
        <v>629</v>
      </c>
      <c r="BS207" s="687">
        <f>INPUT!DP106</f>
        <v>4.3117744610281949</v>
      </c>
      <c r="BT207" s="520">
        <f>INPUT!DQ106</f>
        <v>669</v>
      </c>
      <c r="BU207" s="687">
        <f>INPUT!DR106</f>
        <v>5.5205047318612088</v>
      </c>
      <c r="BV207" s="520">
        <f>INPUT!DS106</f>
        <v>696</v>
      </c>
      <c r="BW207" s="687">
        <f>INPUT!DT106</f>
        <v>8.2426127527216231</v>
      </c>
      <c r="BX207" s="520">
        <f>INPUT!DU106</f>
        <v>663</v>
      </c>
      <c r="BY207" s="687">
        <f>INPUT!DV106</f>
        <v>3.5937499999999956</v>
      </c>
      <c r="BZ207" s="520">
        <f>INPUT!DW106</f>
        <v>732</v>
      </c>
      <c r="CA207" s="687">
        <f>INPUT!DX106</f>
        <v>732</v>
      </c>
      <c r="CB207" s="520">
        <f>INPUT!DY106</f>
        <v>770</v>
      </c>
      <c r="CC207" s="687">
        <f>INPUT!DZ106</f>
        <v>15.097159940209259</v>
      </c>
      <c r="CD207" s="520">
        <f>INPUT!EA106</f>
        <v>767</v>
      </c>
      <c r="CE207" s="687">
        <f>INPUT!EB106</f>
        <v>10.201149425287358</v>
      </c>
      <c r="CF207" s="520">
        <f>INPUT!EC106</f>
        <v>687</v>
      </c>
      <c r="CG207" s="687">
        <f>INPUT!ED106</f>
        <v>3.6199095022624528</v>
      </c>
      <c r="CH207" s="520">
        <f>INPUT!EE106</f>
        <v>697</v>
      </c>
      <c r="CI207" s="687">
        <f>INPUT!EF106</f>
        <v>-4.7814207650273222</v>
      </c>
      <c r="CJ207" s="520">
        <f>INPUT!EG106</f>
        <v>705</v>
      </c>
      <c r="CK207" s="687">
        <f>INPUT!EH106</f>
        <v>-8.4415584415584384</v>
      </c>
      <c r="CL207" s="520">
        <f>INPUT!EI106</f>
        <v>781</v>
      </c>
      <c r="CM207" s="687">
        <f>INPUT!EJ106</f>
        <v>1.8252933507170832</v>
      </c>
      <c r="CN207" s="520">
        <f>INPUT!EK106</f>
        <v>766</v>
      </c>
      <c r="CO207" s="687">
        <f>INPUT!EL106</f>
        <v>11.499272197962163</v>
      </c>
      <c r="CP207" s="520">
        <f>INPUT!EM106</f>
        <v>723</v>
      </c>
      <c r="CQ207" s="687">
        <f>INPUT!EN106</f>
        <v>3.7302725968436201</v>
      </c>
      <c r="CR207" s="520">
        <f>INPUT!EO106</f>
        <v>834</v>
      </c>
      <c r="CS207" s="687">
        <f>INPUT!EP106</f>
        <v>18.297872340425524</v>
      </c>
      <c r="CT207" s="520">
        <f>INPUT!EQ106</f>
        <v>778.90632491955557</v>
      </c>
      <c r="CU207" s="687">
        <f>INPUT!ER106</f>
        <v>-0.26807619467917876</v>
      </c>
      <c r="CV207" s="520">
        <f>INPUT!ES106</f>
        <v>779.9140116181095</v>
      </c>
      <c r="CW207" s="687">
        <f>INPUT!ET106</f>
        <v>1.8164506028863547</v>
      </c>
      <c r="CX207" s="520">
        <f>INPUT!EU106</f>
        <v>790.75884662083047</v>
      </c>
      <c r="CY207" s="687">
        <f>INPUT!EV106</f>
        <v>9.3719013306819541</v>
      </c>
      <c r="CZ207" s="520">
        <f>INPUT!EW106</f>
        <v>803.15027309337006</v>
      </c>
      <c r="DA207" s="687">
        <f>INPUT!EX106</f>
        <v>-3.6990080223776922</v>
      </c>
      <c r="DB207" s="16"/>
      <c r="DC207" s="520">
        <f>INPUT!FP106</f>
        <v>1101.0999999999999</v>
      </c>
      <c r="DD207" s="687">
        <f>INPUT!FQ106</f>
        <v>2.6188257222739875</v>
      </c>
      <c r="DE207" s="520">
        <f>INPUT!FR106</f>
        <v>1658</v>
      </c>
      <c r="DF207" s="687">
        <f>INPUT!FS106</f>
        <v>50.576696031241511</v>
      </c>
      <c r="DG207" s="520">
        <f>INPUT!FT106</f>
        <v>1889.4</v>
      </c>
      <c r="DH207" s="687">
        <f>INPUT!FU106</f>
        <v>13.956574185765991</v>
      </c>
      <c r="DI207" s="520">
        <f>INPUT!FV106</f>
        <v>2345.3999999999996</v>
      </c>
      <c r="DJ207" s="687">
        <f>INPUT!FW106</f>
        <v>24.134645919339448</v>
      </c>
      <c r="DK207" s="520">
        <f>INPUT!FX106</f>
        <v>1907.1999999999998</v>
      </c>
      <c r="DL207" s="687">
        <f>INPUT!FY106</f>
        <v>-18.68338023364884</v>
      </c>
      <c r="DM207" s="706">
        <f>INPUT!FZ106</f>
        <v>2068.3999999999996</v>
      </c>
      <c r="DN207" s="687">
        <f>INPUT!GA106</f>
        <v>8.4521812080536876</v>
      </c>
      <c r="DO207" s="520">
        <f>INPUT!GB106</f>
        <v>2193.3999999999996</v>
      </c>
      <c r="DP207" s="687">
        <f>INPUT!GC106</f>
        <v>6.0433185070585926</v>
      </c>
      <c r="DQ207" s="520">
        <f>INPUT!GD106</f>
        <v>2259</v>
      </c>
      <c r="DR207" s="687">
        <f>INPUT!GE106</f>
        <v>2.9907905534786394</v>
      </c>
      <c r="DS207" s="520">
        <f>INPUT!GF106</f>
        <v>2394</v>
      </c>
      <c r="DT207" s="687">
        <f>INPUT!GG106</f>
        <v>5.9760956175298752</v>
      </c>
      <c r="DU207" s="520">
        <f>INPUT!GH106</f>
        <v>2581</v>
      </c>
      <c r="DV207" s="687">
        <f>INPUT!GI106</f>
        <v>7.8111946532999132</v>
      </c>
      <c r="DW207" s="520">
        <f>INPUT!GJ106</f>
        <v>2861</v>
      </c>
      <c r="DX207" s="687">
        <f>INPUT!GK106</f>
        <v>10.8485083301046</v>
      </c>
      <c r="DY207" s="520">
        <f>INPUT!GL106</f>
        <v>2856</v>
      </c>
      <c r="DZ207" s="687">
        <f>INPUT!GM106</f>
        <v>-0.1747640685075158</v>
      </c>
      <c r="EA207" s="520">
        <f>INPUT!GN106</f>
        <v>3104</v>
      </c>
      <c r="EB207" s="687">
        <f>INPUT!GO106</f>
        <v>8.6834733893557328</v>
      </c>
      <c r="EC207" s="520">
        <f>INPUT!GP106</f>
        <v>3152.7294562518659</v>
      </c>
      <c r="ED207" s="687">
        <f>INPUT!GQ106</f>
        <v>1.5698922761554712</v>
      </c>
      <c r="EE207" s="520">
        <f>INPUT!GR106</f>
        <v>3327.1898508821032</v>
      </c>
      <c r="EF207" s="687">
        <f>INPUT!GS106</f>
        <v>5.5336303685773691</v>
      </c>
      <c r="EG207" s="520">
        <f>INPUT!GT106</f>
        <v>3525.2530611411494</v>
      </c>
      <c r="EH207" s="687">
        <f>INPUT!GU106</f>
        <v>5.9528677092632876</v>
      </c>
      <c r="EI207" s="520">
        <f>INPUT!GV106</f>
        <v>3747.988958708359</v>
      </c>
      <c r="EJ207" s="687">
        <f>INPUT!GW106</f>
        <v>6.3182952742436127</v>
      </c>
      <c r="EK207" s="520">
        <f>INPUT!GX106</f>
        <v>3999.1245452531966</v>
      </c>
      <c r="EL207" s="687">
        <f>INPUT!GY106</f>
        <v>6.7005423258073016</v>
      </c>
      <c r="EM207" s="687">
        <f>INPUT!GZ106</f>
        <v>5.1982810372172228</v>
      </c>
    </row>
    <row r="208" spans="1:143" ht="12.75" hidden="1" customHeight="1" outlineLevel="1" x14ac:dyDescent="0.2">
      <c r="A208" s="701"/>
      <c r="B208" s="16"/>
      <c r="C208" s="687"/>
      <c r="D208" s="16"/>
      <c r="E208" s="687"/>
      <c r="F208" s="16"/>
      <c r="G208" s="687"/>
      <c r="H208" s="16"/>
      <c r="I208" s="687"/>
      <c r="J208" s="16"/>
      <c r="K208" s="687"/>
      <c r="L208" s="16"/>
      <c r="M208" s="687"/>
      <c r="N208" s="16"/>
      <c r="O208" s="687"/>
      <c r="P208" s="16"/>
      <c r="Q208" s="687"/>
      <c r="R208" s="16"/>
      <c r="S208" s="687"/>
      <c r="T208" s="16"/>
      <c r="U208" s="687"/>
      <c r="V208" s="16"/>
      <c r="W208" s="687"/>
      <c r="X208" s="16"/>
      <c r="Y208" s="687"/>
      <c r="Z208" s="16"/>
      <c r="AA208" s="687"/>
      <c r="AB208" s="16"/>
      <c r="AC208" s="687"/>
      <c r="AD208" s="16"/>
      <c r="AE208" s="687"/>
      <c r="AF208" s="16"/>
      <c r="AG208" s="687"/>
      <c r="AH208" s="16"/>
      <c r="AI208" s="687"/>
      <c r="AJ208" s="16"/>
      <c r="AK208" s="687"/>
      <c r="AL208" s="16"/>
      <c r="AM208" s="687"/>
      <c r="AN208" s="16"/>
      <c r="AO208" s="687"/>
      <c r="AP208" s="16"/>
      <c r="AQ208" s="687"/>
      <c r="AR208" s="16"/>
      <c r="AS208" s="687"/>
      <c r="AT208" s="16"/>
      <c r="AU208" s="687"/>
      <c r="AV208" s="16"/>
      <c r="AW208" s="687"/>
      <c r="AX208" s="16"/>
      <c r="AY208" s="687"/>
      <c r="AZ208" s="16"/>
      <c r="BA208" s="687"/>
      <c r="BB208" s="16"/>
      <c r="BC208" s="687"/>
      <c r="BD208" s="16"/>
      <c r="BE208" s="687"/>
      <c r="BF208" s="16"/>
      <c r="BG208" s="687"/>
      <c r="BH208" s="16"/>
      <c r="BI208" s="687"/>
      <c r="BJ208" s="16"/>
      <c r="BK208" s="687"/>
      <c r="BL208" s="16"/>
      <c r="BM208" s="687"/>
      <c r="BN208" s="16"/>
      <c r="BO208" s="687"/>
      <c r="BP208" s="16"/>
      <c r="BQ208" s="687"/>
      <c r="BR208" s="16"/>
      <c r="BS208" s="687"/>
      <c r="BT208" s="16"/>
      <c r="BU208" s="687"/>
      <c r="BV208" s="16"/>
      <c r="BW208" s="687"/>
      <c r="BX208" s="16"/>
      <c r="BY208" s="687"/>
      <c r="BZ208" s="16"/>
      <c r="CA208" s="687"/>
      <c r="CB208" s="16"/>
      <c r="CC208" s="687"/>
      <c r="CD208" s="16"/>
      <c r="CE208" s="687"/>
      <c r="CF208" s="16"/>
      <c r="CG208" s="687"/>
      <c r="CH208" s="16"/>
      <c r="CI208" s="687"/>
      <c r="CJ208" s="16"/>
      <c r="CK208" s="687"/>
      <c r="CL208" s="16"/>
      <c r="CM208" s="687"/>
      <c r="CN208" s="16"/>
      <c r="CO208" s="687"/>
      <c r="CP208" s="16"/>
      <c r="CQ208" s="687"/>
      <c r="CR208" s="16"/>
      <c r="CS208" s="687"/>
      <c r="CT208" s="16"/>
      <c r="CU208" s="687"/>
      <c r="CV208" s="16"/>
      <c r="CW208" s="687"/>
      <c r="CX208" s="16"/>
      <c r="CY208" s="687"/>
      <c r="CZ208" s="16"/>
      <c r="DA208" s="687"/>
      <c r="DB208" s="16"/>
      <c r="DC208" s="16"/>
      <c r="DD208" s="687"/>
      <c r="DE208" s="16"/>
      <c r="DF208" s="687"/>
      <c r="DG208" s="16"/>
      <c r="DH208" s="687"/>
      <c r="DI208" s="16"/>
      <c r="DJ208" s="687"/>
      <c r="DK208" s="16"/>
      <c r="DL208" s="687"/>
      <c r="DM208" s="16"/>
      <c r="DN208" s="687"/>
      <c r="DO208" s="16"/>
      <c r="DP208" s="687"/>
      <c r="DQ208" s="16"/>
      <c r="DR208" s="687"/>
      <c r="DS208" s="16"/>
      <c r="DT208" s="687"/>
      <c r="DU208" s="16"/>
      <c r="DV208" s="687"/>
      <c r="DW208" s="16"/>
      <c r="DX208" s="687"/>
      <c r="DY208" s="16"/>
      <c r="DZ208" s="687"/>
      <c r="EA208" s="16"/>
      <c r="EB208" s="687"/>
      <c r="EC208" s="16"/>
      <c r="ED208" s="687"/>
      <c r="EE208" s="16"/>
      <c r="EF208" s="687"/>
      <c r="EG208" s="16"/>
      <c r="EH208" s="687"/>
      <c r="EI208" s="16"/>
      <c r="EJ208" s="687"/>
      <c r="EK208" s="16"/>
      <c r="EL208" s="687"/>
      <c r="EM208" s="687"/>
    </row>
    <row r="209" spans="1:143" ht="12.75" hidden="1" customHeight="1" outlineLevel="1" x14ac:dyDescent="0.2">
      <c r="A209" s="700" t="str">
        <f>INPUT!B113</f>
        <v>Pretax Earnings</v>
      </c>
      <c r="B209" s="520">
        <f>INPUT!AY113</f>
        <v>86.699999999999989</v>
      </c>
      <c r="C209" s="687">
        <f>INPUT!AZ113</f>
        <v>41.20521172638427</v>
      </c>
      <c r="D209" s="520">
        <f>INPUT!BA113</f>
        <v>121.60000000000002</v>
      </c>
      <c r="E209" s="687">
        <f>INPUT!BB113</f>
        <v>86.503067484662651</v>
      </c>
      <c r="F209" s="520">
        <f>INPUT!BC113</f>
        <v>133.60000000000002</v>
      </c>
      <c r="G209" s="687">
        <f>INPUT!BD113</f>
        <v>27.48091603053442</v>
      </c>
      <c r="H209" s="520">
        <f>INPUT!BE113</f>
        <v>161.29999999999995</v>
      </c>
      <c r="I209" s="687">
        <f>INPUT!BF113</f>
        <v>79.421579532814121</v>
      </c>
      <c r="J209" s="520">
        <f>INPUT!BG113</f>
        <v>153.89999999999998</v>
      </c>
      <c r="K209" s="687">
        <f>INPUT!BH113</f>
        <v>77.508650519031136</v>
      </c>
      <c r="L209" s="520">
        <f>INPUT!BI113</f>
        <v>165</v>
      </c>
      <c r="M209" s="687">
        <f>INPUT!BJ113</f>
        <v>35.690789473684184</v>
      </c>
      <c r="N209" s="520">
        <f>INPUT!BK113</f>
        <v>170</v>
      </c>
      <c r="O209" s="687">
        <f>INPUT!BL113</f>
        <v>27.245508982035904</v>
      </c>
      <c r="P209" s="520">
        <f>INPUT!BM113</f>
        <v>155.09999999999991</v>
      </c>
      <c r="Q209" s="687">
        <f>INPUT!BN113</f>
        <v>-3.8437693738376022</v>
      </c>
      <c r="R209" s="520">
        <f>INPUT!BO113</f>
        <v>156.40000000000003</v>
      </c>
      <c r="S209" s="687">
        <f>INPUT!BP113</f>
        <v>1.6244314489928913</v>
      </c>
      <c r="T209" s="520">
        <f>INPUT!BQ113</f>
        <v>152.30000000000007</v>
      </c>
      <c r="U209" s="687">
        <f>INPUT!BR113</f>
        <v>-7.6969696969696582</v>
      </c>
      <c r="V209" s="520">
        <f>INPUT!BS113</f>
        <v>138.60000000000002</v>
      </c>
      <c r="W209" s="687">
        <f>INPUT!BT113</f>
        <v>-18.470588235294105</v>
      </c>
      <c r="X209" s="520">
        <f>INPUT!BU113</f>
        <v>-308.90000000000009</v>
      </c>
      <c r="Y209" s="687" t="str">
        <f>INPUT!BV113</f>
        <v>NM</v>
      </c>
      <c r="Z209" s="520">
        <f>INPUT!BW113</f>
        <v>62.600000000000023</v>
      </c>
      <c r="AA209" s="687" t="str">
        <f>INPUT!BX113</f>
        <v>NM</v>
      </c>
      <c r="AB209" s="520">
        <f>INPUT!BY113</f>
        <v>76.600000000000023</v>
      </c>
      <c r="AC209" s="687">
        <f>INPUT!BZ113</f>
        <v>-49.704530531845052</v>
      </c>
      <c r="AD209" s="520">
        <f>INPUT!CA113</f>
        <v>112</v>
      </c>
      <c r="AE209" s="687">
        <f>INPUT!CB113</f>
        <v>-19.191919191919204</v>
      </c>
      <c r="AF209" s="520">
        <f>INPUT!CC113</f>
        <v>142.89999999999998</v>
      </c>
      <c r="AG209" s="687" t="str">
        <f>INPUT!CD113</f>
        <v>NM</v>
      </c>
      <c r="AH209" s="520">
        <f>INPUT!CE113</f>
        <v>150.09999999999997</v>
      </c>
      <c r="AI209" s="687" t="str">
        <f>INPUT!CF113</f>
        <v>NM</v>
      </c>
      <c r="AJ209" s="520">
        <f>INPUT!CG113</f>
        <v>145</v>
      </c>
      <c r="AK209" s="687">
        <f>INPUT!CH113</f>
        <v>89.295039164490802</v>
      </c>
      <c r="AL209" s="520">
        <f>INPUT!CI113</f>
        <v>136.29999999999995</v>
      </c>
      <c r="AM209" s="687">
        <f>INPUT!CJ113</f>
        <v>21.696428571428527</v>
      </c>
      <c r="AN209" s="520">
        <f>INPUT!CK113</f>
        <v>154.89999999999998</v>
      </c>
      <c r="AO209" s="687">
        <f>INPUT!CL113</f>
        <v>8.3974807557732678</v>
      </c>
      <c r="AP209" s="520">
        <f>INPUT!CM113</f>
        <v>183.90000000000009</v>
      </c>
      <c r="AQ209" s="687">
        <f>INPUT!CN113</f>
        <v>22.518321119253915</v>
      </c>
      <c r="AR209" s="706">
        <f>INPUT!CO113</f>
        <v>178.69999999999993</v>
      </c>
      <c r="AS209" s="687">
        <f>INPUT!CP113</f>
        <v>23.241379310344779</v>
      </c>
      <c r="AT209" s="520">
        <f>INPUT!CQ113</f>
        <v>160</v>
      </c>
      <c r="AU209" s="687">
        <f>INPUT!CR113</f>
        <v>17.388114453411639</v>
      </c>
      <c r="AV209" s="520">
        <f>INPUT!CS113</f>
        <v>155</v>
      </c>
      <c r="AW209" s="687">
        <f>INPUT!CT113</f>
        <v>6.4557779212415234E-2</v>
      </c>
      <c r="AX209" s="520">
        <f>INPUT!CU113</f>
        <v>162</v>
      </c>
      <c r="AY209" s="687">
        <f>INPUT!CV113</f>
        <v>-11.908646003262691</v>
      </c>
      <c r="AZ209" s="520">
        <f>INPUT!CW113</f>
        <v>196</v>
      </c>
      <c r="BA209" s="687">
        <f>INPUT!CX113</f>
        <v>9.6810296586458122</v>
      </c>
      <c r="BB209" s="520">
        <f>INPUT!CY113</f>
        <v>173</v>
      </c>
      <c r="BC209" s="687">
        <f>INPUT!CZ113</f>
        <v>8.1250000000000036</v>
      </c>
      <c r="BD209" s="520">
        <f>INPUT!DA113</f>
        <v>186</v>
      </c>
      <c r="BE209" s="687">
        <f>INPUT!DB113</f>
        <v>19.999999999999996</v>
      </c>
      <c r="BF209" s="520">
        <f>INPUT!DC113</f>
        <v>194</v>
      </c>
      <c r="BG209" s="687">
        <f>INPUT!DD113</f>
        <v>19.753086419753085</v>
      </c>
      <c r="BH209" s="520">
        <f>INPUT!DE113</f>
        <v>243</v>
      </c>
      <c r="BI209" s="687">
        <f>INPUT!DF113</f>
        <v>23.979591836734706</v>
      </c>
      <c r="BJ209" s="520">
        <f>INPUT!DG113</f>
        <v>239</v>
      </c>
      <c r="BK209" s="687">
        <f>INPUT!DH113</f>
        <v>38.150289017341031</v>
      </c>
      <c r="BL209" s="520">
        <f>INPUT!DI113</f>
        <v>252</v>
      </c>
      <c r="BM209" s="687">
        <f>INPUT!DJ113</f>
        <v>35.483870967741929</v>
      </c>
      <c r="BN209" s="520">
        <f>INPUT!DK113</f>
        <v>266</v>
      </c>
      <c r="BO209" s="687">
        <f>INPUT!DL113</f>
        <v>37.113402061855673</v>
      </c>
      <c r="BP209" s="520">
        <f>INPUT!DM113</f>
        <v>286</v>
      </c>
      <c r="BQ209" s="687">
        <f>INPUT!DN113</f>
        <v>17.695473251028805</v>
      </c>
      <c r="BR209" s="520">
        <f>INPUT!DO113</f>
        <v>315</v>
      </c>
      <c r="BS209" s="687">
        <f>INPUT!DP113</f>
        <v>31.799163179916313</v>
      </c>
      <c r="BT209" s="520">
        <f>INPUT!DQ113</f>
        <v>297</v>
      </c>
      <c r="BU209" s="687">
        <f>INPUT!DR113</f>
        <v>17.857142857142861</v>
      </c>
      <c r="BV209" s="520">
        <f>INPUT!DS113</f>
        <v>293</v>
      </c>
      <c r="BW209" s="687">
        <f>INPUT!DT113</f>
        <v>10.150375939849621</v>
      </c>
      <c r="BX209" s="520">
        <f>INPUT!DU113</f>
        <v>328</v>
      </c>
      <c r="BY209" s="687">
        <f>INPUT!DV113</f>
        <v>14.685314685314687</v>
      </c>
      <c r="BZ209" s="520">
        <f>INPUT!DW113</f>
        <v>328</v>
      </c>
      <c r="CA209" s="687">
        <f>INPUT!DX113</f>
        <v>328</v>
      </c>
      <c r="CB209" s="520">
        <f>INPUT!DY113</f>
        <v>309</v>
      </c>
      <c r="CC209" s="687">
        <f>INPUT!DZ113</f>
        <v>4.0404040404040442</v>
      </c>
      <c r="CD209" s="520">
        <f>INPUT!EA113</f>
        <v>272</v>
      </c>
      <c r="CE209" s="687">
        <f>INPUT!EB113</f>
        <v>-7.1672354948805417</v>
      </c>
      <c r="CF209" s="520">
        <f>INPUT!EC113</f>
        <v>296</v>
      </c>
      <c r="CG209" s="687">
        <f>INPUT!ED113</f>
        <v>-9.7560975609756078</v>
      </c>
      <c r="CH209" s="520">
        <f>INPUT!EE113</f>
        <v>303</v>
      </c>
      <c r="CI209" s="687">
        <f>INPUT!EF113</f>
        <v>-7.6219512195121908</v>
      </c>
      <c r="CJ209" s="520">
        <f>INPUT!EG113</f>
        <v>306</v>
      </c>
      <c r="CK209" s="687">
        <f>INPUT!EH113</f>
        <v>-0.97087378640776656</v>
      </c>
      <c r="CL209" s="520">
        <f>INPUT!EI113</f>
        <v>280</v>
      </c>
      <c r="CM209" s="687">
        <f>INPUT!EJ113</f>
        <v>2.9411764705882248</v>
      </c>
      <c r="CN209" s="520">
        <f>INPUT!EK113</f>
        <v>310</v>
      </c>
      <c r="CO209" s="687">
        <f>INPUT!EL113</f>
        <v>4.7297297297297369</v>
      </c>
      <c r="CP209" s="520">
        <f>INPUT!EM113</f>
        <v>350</v>
      </c>
      <c r="CQ209" s="687">
        <f>INPUT!EN113</f>
        <v>15.511551155115511</v>
      </c>
      <c r="CR209" s="520">
        <f>INPUT!EO113</f>
        <v>333</v>
      </c>
      <c r="CS209" s="687">
        <f>INPUT!EP113</f>
        <v>8.8235294117646959</v>
      </c>
      <c r="CT209" s="520">
        <f>INPUT!EQ113</f>
        <v>329.9493323058141</v>
      </c>
      <c r="CU209" s="687">
        <f>INPUT!ER113</f>
        <v>17.839047252076455</v>
      </c>
      <c r="CV209" s="520">
        <f>INPUT!ES113</f>
        <v>329.21500372772516</v>
      </c>
      <c r="CW209" s="687">
        <f>INPUT!ET113</f>
        <v>6.1983882992661776</v>
      </c>
      <c r="CX209" s="520">
        <f>INPUT!EU113</f>
        <v>333.60108321364203</v>
      </c>
      <c r="CY209" s="687">
        <f>INPUT!EV113</f>
        <v>-4.6854047961022776</v>
      </c>
      <c r="CZ209" s="520">
        <f>INPUT!EW113</f>
        <v>338.64063631417412</v>
      </c>
      <c r="DA209" s="687">
        <f>INPUT!EX113</f>
        <v>1.6938847790312739</v>
      </c>
      <c r="DB209" s="16"/>
      <c r="DC209" s="520">
        <f>INPUT!FP113</f>
        <v>321.40000000000009</v>
      </c>
      <c r="DD209" s="687">
        <f>INPUT!FQ113</f>
        <v>22.671755725190867</v>
      </c>
      <c r="DE209" s="520">
        <f>INPUT!FR113</f>
        <v>503.19999999999982</v>
      </c>
      <c r="DF209" s="687">
        <f>INPUT!FS113</f>
        <v>56.565028002489015</v>
      </c>
      <c r="DG209" s="520">
        <f>INPUT!FT113</f>
        <v>643.99999999999955</v>
      </c>
      <c r="DH209" s="687">
        <f>INPUT!FU113</f>
        <v>27.980922098569106</v>
      </c>
      <c r="DI209" s="520">
        <f>INPUT!FV113</f>
        <v>138.40000000000055</v>
      </c>
      <c r="DJ209" s="687" t="str">
        <f>INPUT!FW113</f>
        <v>NM</v>
      </c>
      <c r="DK209" s="520">
        <f>INPUT!FX113</f>
        <v>394.10000000000036</v>
      </c>
      <c r="DL209" s="687" t="str">
        <f>INPUT!FY113</f>
        <v>NM</v>
      </c>
      <c r="DM209" s="706">
        <f>INPUT!FZ113</f>
        <v>586.30000000000018</v>
      </c>
      <c r="DN209" s="687">
        <f>INPUT!GA113</f>
        <v>48.769347881248315</v>
      </c>
      <c r="DO209" s="520">
        <f>INPUT!GB113</f>
        <v>677.60000000000036</v>
      </c>
      <c r="DP209" s="687">
        <f>INPUT!GC113</f>
        <v>15.572232645403394</v>
      </c>
      <c r="DQ209" s="520">
        <f>INPUT!GD113</f>
        <v>717</v>
      </c>
      <c r="DR209" s="687">
        <f>INPUT!GE113</f>
        <v>5.8146399055489351</v>
      </c>
      <c r="DS209" s="520">
        <f>INPUT!GF113</f>
        <v>928</v>
      </c>
      <c r="DT209" s="687">
        <f>INPUT!GG113</f>
        <v>29.428172942817298</v>
      </c>
      <c r="DU209" s="520">
        <f>INPUT!GH113</f>
        <v>1164</v>
      </c>
      <c r="DV209" s="687">
        <f>INPUT!GI113</f>
        <v>25.43103448275863</v>
      </c>
      <c r="DW209" s="520">
        <f>INPUT!GJ113</f>
        <v>1258</v>
      </c>
      <c r="DX209" s="687">
        <f>INPUT!GK113</f>
        <v>8.0756013745704394</v>
      </c>
      <c r="DY209" s="520">
        <f>INPUT!GL113</f>
        <v>1177</v>
      </c>
      <c r="DZ209" s="687">
        <f>INPUT!GM113</f>
        <v>-6.4387917329093769</v>
      </c>
      <c r="EA209" s="520">
        <f>INPUT!GN113</f>
        <v>1273</v>
      </c>
      <c r="EB209" s="687">
        <f>INPUT!GO113</f>
        <v>8.1563296516567583</v>
      </c>
      <c r="EC209" s="520">
        <f>INPUT!GP113</f>
        <v>1331.4060555613546</v>
      </c>
      <c r="ED209" s="687">
        <f>INPUT!GQ113</f>
        <v>4.5880640660922678</v>
      </c>
      <c r="EE209" s="520">
        <f>INPUT!GR113</f>
        <v>1389.8463225892756</v>
      </c>
      <c r="EF209" s="687">
        <f>INPUT!GS113</f>
        <v>4.3893646708164535</v>
      </c>
      <c r="EG209" s="520">
        <f>INPUT!GT113</f>
        <v>1471.3636280729934</v>
      </c>
      <c r="EH209" s="687">
        <f>INPUT!GU113</f>
        <v>5.8652028039942961</v>
      </c>
      <c r="EI209" s="520">
        <f>INPUT!GV113</f>
        <v>1563.1537331065001</v>
      </c>
      <c r="EJ209" s="687">
        <f>INPUT!GW113</f>
        <v>6.2384378193255818</v>
      </c>
      <c r="EK209" s="520">
        <f>INPUT!GX113</f>
        <v>1666.4328021309575</v>
      </c>
      <c r="EL209" s="687">
        <f>INPUT!GY113</f>
        <v>6.6070960800002743</v>
      </c>
      <c r="EM209" s="687">
        <f>INPUT!GZ113</f>
        <v>5.5338739117024582</v>
      </c>
    </row>
    <row r="210" spans="1:143" ht="12.75" hidden="1" customHeight="1" outlineLevel="1" x14ac:dyDescent="0.2">
      <c r="A210" s="701" t="str">
        <f>INPUT!B114</f>
        <v>Taxes</v>
      </c>
      <c r="B210" s="151">
        <f>INPUT!AY114</f>
        <v>20.3</v>
      </c>
      <c r="C210" s="687">
        <f>INPUT!AZ114</f>
        <v>73.504273504273527</v>
      </c>
      <c r="D210" s="151">
        <f>INPUT!BA114</f>
        <v>32.5</v>
      </c>
      <c r="E210" s="687" t="str">
        <f>INPUT!BB114</f>
        <v>NM</v>
      </c>
      <c r="F210" s="151">
        <f>INPUT!BC114</f>
        <v>4.2</v>
      </c>
      <c r="G210" s="687" t="str">
        <f>INPUT!BD114</f>
        <v>NM</v>
      </c>
      <c r="H210" s="151">
        <f>INPUT!BE114</f>
        <v>37.6</v>
      </c>
      <c r="I210" s="687">
        <f>INPUT!BF114</f>
        <v>97.894736842105274</v>
      </c>
      <c r="J210" s="151">
        <f>INPUT!BG114</f>
        <v>37.200000000000003</v>
      </c>
      <c r="K210" s="687">
        <f>INPUT!BH114</f>
        <v>83.251231527093594</v>
      </c>
      <c r="L210" s="151">
        <f>INPUT!BI114</f>
        <v>41.5</v>
      </c>
      <c r="M210" s="687">
        <f>INPUT!BJ114</f>
        <v>27.692307692307683</v>
      </c>
      <c r="N210" s="151">
        <f>INPUT!BK114</f>
        <v>44.1</v>
      </c>
      <c r="O210" s="687" t="str">
        <f>INPUT!BL114</f>
        <v>NM</v>
      </c>
      <c r="P210" s="151">
        <f>INPUT!BM114</f>
        <v>36.200000000000003</v>
      </c>
      <c r="Q210" s="687">
        <f>INPUT!BN114</f>
        <v>-3.7234042553191404</v>
      </c>
      <c r="R210" s="151">
        <f>INPUT!BO114</f>
        <v>38.5</v>
      </c>
      <c r="S210" s="687">
        <f>INPUT!BP114</f>
        <v>3.4946236559139754</v>
      </c>
      <c r="T210" s="151">
        <f>INPUT!BQ114</f>
        <v>36.1</v>
      </c>
      <c r="U210" s="687">
        <f>INPUT!BR114</f>
        <v>-13.012048192771086</v>
      </c>
      <c r="V210" s="151">
        <f>INPUT!BS114</f>
        <v>7.7</v>
      </c>
      <c r="W210" s="687" t="str">
        <f>INPUT!BT114</f>
        <v>NM</v>
      </c>
      <c r="X210" s="151">
        <f>INPUT!BU114</f>
        <v>-137.19999999999999</v>
      </c>
      <c r="Y210" s="687" t="str">
        <f>INPUT!BV114</f>
        <v>NM</v>
      </c>
      <c r="Z210" s="151">
        <f>INPUT!BW114</f>
        <v>-11.3</v>
      </c>
      <c r="AA210" s="687" t="str">
        <f>INPUT!BX114</f>
        <v>NM</v>
      </c>
      <c r="AB210" s="151">
        <f>INPUT!BY114</f>
        <v>11.2</v>
      </c>
      <c r="AC210" s="687" t="str">
        <f>INPUT!BZ114</f>
        <v>NM</v>
      </c>
      <c r="AD210" s="151">
        <f>INPUT!CA114</f>
        <v>17.5</v>
      </c>
      <c r="AE210" s="687" t="str">
        <f>INPUT!CB114</f>
        <v>NM</v>
      </c>
      <c r="AF210" s="151">
        <f>INPUT!CC114</f>
        <v>23.2</v>
      </c>
      <c r="AG210" s="687" t="str">
        <f>INPUT!CD114</f>
        <v>NM</v>
      </c>
      <c r="AH210" s="151">
        <f>INPUT!CE114</f>
        <v>31.4</v>
      </c>
      <c r="AI210" s="687" t="str">
        <f>INPUT!CF114</f>
        <v>NM</v>
      </c>
      <c r="AJ210" s="151">
        <f>INPUT!CG114</f>
        <v>28.6</v>
      </c>
      <c r="AK210" s="687" t="str">
        <f>INPUT!CH114</f>
        <v>NM</v>
      </c>
      <c r="AL210" s="151">
        <f>INPUT!CI114</f>
        <v>10.199999999999999</v>
      </c>
      <c r="AM210" s="687">
        <f>INPUT!CJ114</f>
        <v>-41.714285714285715</v>
      </c>
      <c r="AN210" s="151">
        <f>INPUT!CK114</f>
        <v>31.7</v>
      </c>
      <c r="AO210" s="687">
        <f>INPUT!CL114</f>
        <v>36.637931034482762</v>
      </c>
      <c r="AP210" s="151">
        <f>INPUT!CM114</f>
        <v>39.9</v>
      </c>
      <c r="AQ210" s="687">
        <f>INPUT!CN114</f>
        <v>27.070063694267521</v>
      </c>
      <c r="AR210" s="151">
        <f>INPUT!CO114</f>
        <v>33.9</v>
      </c>
      <c r="AS210" s="687">
        <f>INPUT!CP114</f>
        <v>18.531468531468519</v>
      </c>
      <c r="AT210" s="151">
        <f>INPUT!CQ114</f>
        <v>6.7</v>
      </c>
      <c r="AU210" s="687">
        <f>INPUT!CR114</f>
        <v>-34.31372549019607</v>
      </c>
      <c r="AV210" s="151">
        <f>INPUT!CS114</f>
        <v>24</v>
      </c>
      <c r="AW210" s="687">
        <f>INPUT!CT114</f>
        <v>-24.290220820189269</v>
      </c>
      <c r="AX210" s="151">
        <f>INPUT!CU114</f>
        <v>25</v>
      </c>
      <c r="AY210" s="687">
        <f>INPUT!CV114</f>
        <v>-37.343358395989966</v>
      </c>
      <c r="AZ210" s="151">
        <f>INPUT!CW114</f>
        <v>38</v>
      </c>
      <c r="BA210" s="687">
        <f>INPUT!CX114</f>
        <v>12.094395280235993</v>
      </c>
      <c r="BB210" s="151">
        <f>INPUT!CY114</f>
        <v>34</v>
      </c>
      <c r="BC210" s="687" t="str">
        <f>INPUT!CZ114</f>
        <v>NM</v>
      </c>
      <c r="BD210" s="151">
        <f>INPUT!DA114</f>
        <v>24</v>
      </c>
      <c r="BE210" s="687">
        <f>INPUT!DB114</f>
        <v>0</v>
      </c>
      <c r="BF210" s="151">
        <f>INPUT!DC114</f>
        <v>35</v>
      </c>
      <c r="BG210" s="687">
        <f>INPUT!DD114</f>
        <v>39.999999999999993</v>
      </c>
      <c r="BH210" s="151">
        <f>INPUT!DE114</f>
        <v>48</v>
      </c>
      <c r="BI210" s="687">
        <f>INPUT!DF114</f>
        <v>26.315789473684205</v>
      </c>
      <c r="BJ210" s="151">
        <f>INPUT!DG114</f>
        <v>41</v>
      </c>
      <c r="BK210" s="687">
        <f>INPUT!DH114</f>
        <v>20.588235294117641</v>
      </c>
      <c r="BL210" s="151">
        <f>INPUT!DI114</f>
        <v>53</v>
      </c>
      <c r="BM210" s="687" t="str">
        <f>INPUT!DJ114</f>
        <v>NM</v>
      </c>
      <c r="BN210" s="151">
        <f>INPUT!DK114</f>
        <v>50</v>
      </c>
      <c r="BO210" s="687">
        <f>INPUT!DL114</f>
        <v>42.857142857142861</v>
      </c>
      <c r="BP210" s="151">
        <f>INPUT!DM114</f>
        <v>59</v>
      </c>
      <c r="BQ210" s="687">
        <f>INPUT!DN114</f>
        <v>22.916666666666675</v>
      </c>
      <c r="BR210" s="151">
        <f>INPUT!DO114</f>
        <v>70</v>
      </c>
      <c r="BS210" s="687">
        <f>INPUT!DP114</f>
        <v>70.731707317073173</v>
      </c>
      <c r="BT210" s="151">
        <f>INPUT!DQ114</f>
        <v>60</v>
      </c>
      <c r="BU210" s="687">
        <f>INPUT!DR114</f>
        <v>13.207547169811317</v>
      </c>
      <c r="BV210" s="151">
        <f>INPUT!DS114</f>
        <v>54</v>
      </c>
      <c r="BW210" s="687">
        <f>INPUT!DT114</f>
        <v>8.0000000000000071</v>
      </c>
      <c r="BX210" s="151">
        <f>INPUT!DU114</f>
        <v>73</v>
      </c>
      <c r="BY210" s="687">
        <f>INPUT!DV114</f>
        <v>23.728813559322038</v>
      </c>
      <c r="BZ210" s="151">
        <f>INPUT!DW114</f>
        <v>69</v>
      </c>
      <c r="CA210" s="687">
        <f>INPUT!DX114</f>
        <v>69</v>
      </c>
      <c r="CB210" s="151">
        <f>INPUT!DY114</f>
        <v>66</v>
      </c>
      <c r="CC210" s="687">
        <f>INPUT!DZ114</f>
        <v>10.000000000000009</v>
      </c>
      <c r="CD210" s="151">
        <f>INPUT!EA114</f>
        <v>54</v>
      </c>
      <c r="CE210" s="687">
        <f>INPUT!EB114</f>
        <v>0</v>
      </c>
      <c r="CF210" s="151">
        <f>INPUT!EC114</f>
        <v>61</v>
      </c>
      <c r="CG210" s="687">
        <f>INPUT!ED114</f>
        <v>-16.43835616438356</v>
      </c>
      <c r="CH210" s="151">
        <f>INPUT!EE114</f>
        <v>63</v>
      </c>
      <c r="CI210" s="687">
        <f>INPUT!EF114</f>
        <v>-8.6956521739130483</v>
      </c>
      <c r="CJ210" s="151">
        <f>INPUT!EG114</f>
        <v>64</v>
      </c>
      <c r="CK210" s="687">
        <f>INPUT!EH114</f>
        <v>-3.0303030303030276</v>
      </c>
      <c r="CL210" s="151">
        <f>INPUT!EI114</f>
        <v>-1</v>
      </c>
      <c r="CM210" s="687" t="str">
        <f>INPUT!EJ114</f>
        <v>NM</v>
      </c>
      <c r="CN210" s="151">
        <f>INPUT!EK114</f>
        <v>59</v>
      </c>
      <c r="CO210" s="687">
        <f>INPUT!EL114</f>
        <v>-3.2786885245901676</v>
      </c>
      <c r="CP210" s="151">
        <f>INPUT!EM114</f>
        <v>73</v>
      </c>
      <c r="CQ210" s="687">
        <f>INPUT!EN114</f>
        <v>15.873015873015884</v>
      </c>
      <c r="CR210" s="151">
        <f>INPUT!EO114</f>
        <v>68</v>
      </c>
      <c r="CS210" s="687">
        <f>INPUT!EP114</f>
        <v>6.25</v>
      </c>
      <c r="CT210" s="151">
        <f>INPUT!EQ114</f>
        <v>49.492399845872114</v>
      </c>
      <c r="CU210" s="687" t="str">
        <f>INPUT!ER114</f>
        <v>NM</v>
      </c>
      <c r="CV210" s="151">
        <f>INPUT!ES114</f>
        <v>49.382250559158777</v>
      </c>
      <c r="CW210" s="687">
        <f>INPUT!ET114</f>
        <v>-16.30127023871394</v>
      </c>
      <c r="CX210" s="151">
        <f>INPUT!EU114</f>
        <v>50.040162482046306</v>
      </c>
      <c r="CY210" s="687">
        <f>INPUT!EV114</f>
        <v>-31.451832216374921</v>
      </c>
      <c r="CZ210" s="151">
        <f>INPUT!EW114</f>
        <v>50.79609544712612</v>
      </c>
      <c r="DA210" s="687">
        <f>INPUT!EX114</f>
        <v>-25.299859636579235</v>
      </c>
      <c r="DB210" s="16"/>
      <c r="DC210" s="151">
        <f>INPUT!FP114</f>
        <v>69.2</v>
      </c>
      <c r="DD210" s="687">
        <f>INPUT!FQ114</f>
        <v>30.566037735849072</v>
      </c>
      <c r="DE210" s="151">
        <f>INPUT!FR114</f>
        <v>94.6</v>
      </c>
      <c r="DF210" s="687">
        <f>INPUT!FS114</f>
        <v>36.705202312138717</v>
      </c>
      <c r="DG210" s="151">
        <f>INPUT!FT114</f>
        <v>159</v>
      </c>
      <c r="DH210" s="687">
        <f>INPUT!FU114</f>
        <v>68.076109936575065</v>
      </c>
      <c r="DI210" s="151">
        <f>INPUT!FV114</f>
        <v>-54.899999999999991</v>
      </c>
      <c r="DJ210" s="687" t="str">
        <f>INPUT!FW114</f>
        <v>NM</v>
      </c>
      <c r="DK210" s="151">
        <f>INPUT!FX114</f>
        <v>40.599999999999994</v>
      </c>
      <c r="DL210" s="687" t="str">
        <f>INPUT!FY114</f>
        <v>NM</v>
      </c>
      <c r="DM210" s="151">
        <f>INPUT!FZ114</f>
        <v>101.9</v>
      </c>
      <c r="DN210" s="687" t="str">
        <f>INPUT!GA114</f>
        <v>NM</v>
      </c>
      <c r="DO210" s="151">
        <f>INPUT!GB114</f>
        <v>104.5</v>
      </c>
      <c r="DP210" s="687">
        <f>INPUT!GC114</f>
        <v>2.5515210991167825</v>
      </c>
      <c r="DQ210" s="151">
        <f>INPUT!GD114</f>
        <v>121</v>
      </c>
      <c r="DR210" s="687">
        <f>INPUT!GE114</f>
        <v>15.789473684210531</v>
      </c>
      <c r="DS210" s="151">
        <f>INPUT!GF114</f>
        <v>177</v>
      </c>
      <c r="DT210" s="687">
        <f>INPUT!GG114</f>
        <v>46.280991735537192</v>
      </c>
      <c r="DU210" s="151">
        <f>INPUT!GH114</f>
        <v>239</v>
      </c>
      <c r="DV210" s="687">
        <f>INPUT!GI114</f>
        <v>35.02824858757063</v>
      </c>
      <c r="DW210" s="151">
        <f>INPUT!GJ114</f>
        <v>262</v>
      </c>
      <c r="DX210" s="687">
        <f>INPUT!GK114</f>
        <v>9.6234309623431038</v>
      </c>
      <c r="DY210" s="151">
        <f>INPUT!GL114</f>
        <v>242</v>
      </c>
      <c r="DZ210" s="687">
        <f>INPUT!GM114</f>
        <v>-7.6335877862595432</v>
      </c>
      <c r="EA210" s="151">
        <f>INPUT!GN114</f>
        <v>199</v>
      </c>
      <c r="EB210" s="687">
        <f>INPUT!GO114</f>
        <v>-17.76859504132231</v>
      </c>
      <c r="EC210" s="151">
        <f>INPUT!GP114</f>
        <v>199.71090833420334</v>
      </c>
      <c r="ED210" s="687">
        <f>INPUT!GQ114</f>
        <v>0.35724036894639877</v>
      </c>
      <c r="EE210" s="151">
        <f>INPUT!GR114</f>
        <v>208.47694838839149</v>
      </c>
      <c r="EF210" s="687">
        <f>INPUT!GS114</f>
        <v>4.3893646708164535</v>
      </c>
      <c r="EG210" s="151">
        <f>INPUT!GT114</f>
        <v>220.70454421094917</v>
      </c>
      <c r="EH210" s="687">
        <f>INPUT!GU114</f>
        <v>5.8652028039942961</v>
      </c>
      <c r="EI210" s="151">
        <f>INPUT!GV114</f>
        <v>234.47305996597518</v>
      </c>
      <c r="EJ210" s="687">
        <f>INPUT!GW114</f>
        <v>6.2384378193255818</v>
      </c>
      <c r="EK210" s="151">
        <f>INPUT!GX114</f>
        <v>249.9649203196438</v>
      </c>
      <c r="EL210" s="687">
        <f>INPUT!GY114</f>
        <v>6.6070960800002743</v>
      </c>
      <c r="EM210" s="687">
        <f>INPUT!GZ114</f>
        <v>4.6658964967995376</v>
      </c>
    </row>
    <row r="211" spans="1:143" ht="12.75" hidden="1" customHeight="1" outlineLevel="1" x14ac:dyDescent="0.2">
      <c r="A211" s="701" t="str">
        <f>INPUT!B115</f>
        <v>Tax Rate (%)</v>
      </c>
      <c r="B211" s="156">
        <f>INPUT!AY115</f>
        <v>23.414071510957328</v>
      </c>
      <c r="C211" s="687">
        <f>INPUT!AZ115</f>
        <v>22.873845365194946</v>
      </c>
      <c r="D211" s="156">
        <f>INPUT!BA115</f>
        <v>26.72697368421052</v>
      </c>
      <c r="E211" s="687">
        <f>INPUT!BB115</f>
        <v>37.212494819726437</v>
      </c>
      <c r="F211" s="156">
        <f>INPUT!BC115</f>
        <v>3.1437125748502992</v>
      </c>
      <c r="G211" s="687" t="str">
        <f>INPUT!BD115</f>
        <v>NM</v>
      </c>
      <c r="H211" s="156">
        <f>INPUT!BE115</f>
        <v>23.310601363918174</v>
      </c>
      <c r="I211" s="687">
        <f>INPUT!BF115</f>
        <v>10.295950664012876</v>
      </c>
      <c r="J211" s="156">
        <f>INPUT!BG115</f>
        <v>24.17153996101365</v>
      </c>
      <c r="K211" s="687">
        <f>INPUT!BH115</f>
        <v>3.2350992423587854</v>
      </c>
      <c r="L211" s="156">
        <f>INPUT!BI115</f>
        <v>25.151515151515152</v>
      </c>
      <c r="M211" s="687">
        <f>INPUT!BJ115</f>
        <v>-5.8946386946386653</v>
      </c>
      <c r="N211" s="156">
        <f>INPUT!BK115</f>
        <v>25.941176470588236</v>
      </c>
      <c r="O211" s="687" t="str">
        <f>INPUT!BL115</f>
        <v>NM</v>
      </c>
      <c r="P211" s="156">
        <f>INPUT!BM115</f>
        <v>23.339780786589312</v>
      </c>
      <c r="Q211" s="687">
        <f>INPUT!BN115</f>
        <v>0.12517661906528144</v>
      </c>
      <c r="R211" s="156">
        <f>INPUT!BO115</f>
        <v>24.616368286445006</v>
      </c>
      <c r="S211" s="687">
        <f>INPUT!BP115</f>
        <v>1.8402978302119788</v>
      </c>
      <c r="T211" s="156">
        <f>INPUT!BQ115</f>
        <v>23.703217334208791</v>
      </c>
      <c r="U211" s="687">
        <f>INPUT!BR115</f>
        <v>-5.7582925266397522</v>
      </c>
      <c r="V211" s="156">
        <f>INPUT!BS115</f>
        <v>5.5555555555555545</v>
      </c>
      <c r="W211" s="687" t="str">
        <f>INPUT!BT115</f>
        <v>NM</v>
      </c>
      <c r="X211" s="156">
        <f>INPUT!BU115</f>
        <v>44.415668501133041</v>
      </c>
      <c r="Y211" s="687">
        <f>INPUT!BV115</f>
        <v>90.300281340489789</v>
      </c>
      <c r="Z211" s="156">
        <f>INPUT!BW115</f>
        <v>-18.051118210862615</v>
      </c>
      <c r="AA211" s="687" t="str">
        <f>INPUT!BX115</f>
        <v>NM</v>
      </c>
      <c r="AB211" s="156">
        <f>INPUT!BY115</f>
        <v>14.621409921671013</v>
      </c>
      <c r="AC211" s="687">
        <f>INPUT!BZ115</f>
        <v>-38.314661189182928</v>
      </c>
      <c r="AD211" s="156">
        <f>INPUT!CA115</f>
        <v>15.625</v>
      </c>
      <c r="AE211" s="687" t="str">
        <f>INPUT!CB115</f>
        <v>NM</v>
      </c>
      <c r="AF211" s="156">
        <f>INPUT!CC115</f>
        <v>16.235129461161655</v>
      </c>
      <c r="AG211" s="687" t="str">
        <f>INPUT!CD115</f>
        <v>NM</v>
      </c>
      <c r="AH211" s="156">
        <f>INPUT!CE115</f>
        <v>20.919387075283151</v>
      </c>
      <c r="AI211" s="687" t="str">
        <f>INPUT!CF115</f>
        <v>NM</v>
      </c>
      <c r="AJ211" s="156">
        <f>INPUT!CG115</f>
        <v>19.724137931034484</v>
      </c>
      <c r="AK211" s="687">
        <f>INPUT!CH115</f>
        <v>34.899014778325174</v>
      </c>
      <c r="AL211" s="156">
        <f>INPUT!CI115</f>
        <v>7.4834922964049904</v>
      </c>
      <c r="AM211" s="687" t="str">
        <f>INPUT!CJ115</f>
        <v>NM</v>
      </c>
      <c r="AN211" s="156">
        <f>INPUT!CK115</f>
        <v>20.464816010329248</v>
      </c>
      <c r="AO211" s="687">
        <f>INPUT!CL115</f>
        <v>26.052681373967612</v>
      </c>
      <c r="AP211" s="156">
        <f>INPUT!CM115</f>
        <v>21.696574225122337</v>
      </c>
      <c r="AQ211" s="687">
        <f>INPUT!CN115</f>
        <v>3.7151525856962353</v>
      </c>
      <c r="AR211" s="156">
        <f>INPUT!CO115</f>
        <v>18.970341354224963</v>
      </c>
      <c r="AS211" s="687">
        <f>INPUT!CP115</f>
        <v>-3.8216959313769339</v>
      </c>
      <c r="AT211" s="156">
        <f>INPUT!CQ115</f>
        <v>4.1875</v>
      </c>
      <c r="AU211" s="687">
        <f>INPUT!CR115</f>
        <v>-44.043504901960794</v>
      </c>
      <c r="AV211" s="156">
        <f>INPUT!CS115</f>
        <v>15.483870967741936</v>
      </c>
      <c r="AW211" s="687">
        <f>INPUT!CT115</f>
        <v>-24.339065839014971</v>
      </c>
      <c r="AX211" s="156">
        <f>INPUT!CU115</f>
        <v>15.432098765432098</v>
      </c>
      <c r="AY211" s="687">
        <f>INPUT!CV115</f>
        <v>-28.873108697670069</v>
      </c>
      <c r="AZ211" s="156">
        <f>INPUT!CW115</f>
        <v>19.387755102040817</v>
      </c>
      <c r="BA211" s="687">
        <f>INPUT!CX115</f>
        <v>2.2003491662151431</v>
      </c>
      <c r="BB211" s="156">
        <f>INPUT!CY115</f>
        <v>19.653179190751445</v>
      </c>
      <c r="BC211" s="687" t="str">
        <f>INPUT!CZ115</f>
        <v>NM</v>
      </c>
      <c r="BD211" s="156">
        <f>INPUT!DA115</f>
        <v>12.903225806451612</v>
      </c>
      <c r="BE211" s="687">
        <f>INPUT!DB115</f>
        <v>-16.666666666666675</v>
      </c>
      <c r="BF211" s="156">
        <f>INPUT!DC115</f>
        <v>18.041237113402062</v>
      </c>
      <c r="BG211" s="687">
        <f>INPUT!DD115</f>
        <v>16.907216494845368</v>
      </c>
      <c r="BH211" s="156">
        <f>INPUT!DE115</f>
        <v>19.753086419753085</v>
      </c>
      <c r="BI211" s="687">
        <f>INPUT!DF115</f>
        <v>1.8843404808317032</v>
      </c>
      <c r="BJ211" s="156">
        <f>INPUT!DG115</f>
        <v>17.154811715481173</v>
      </c>
      <c r="BK211" s="687">
        <f>INPUT!DH115</f>
        <v>-12.712281565345796</v>
      </c>
      <c r="BL211" s="156">
        <f>INPUT!DI115</f>
        <v>21.031746031746032</v>
      </c>
      <c r="BM211" s="687">
        <f>INPUT!DJ115</f>
        <v>62.996031746031747</v>
      </c>
      <c r="BN211" s="156">
        <f>INPUT!DK115</f>
        <v>18.796992481203006</v>
      </c>
      <c r="BO211" s="687">
        <f>INPUT!DL115</f>
        <v>4.1890440386680883</v>
      </c>
      <c r="BP211" s="156">
        <f>INPUT!DM115</f>
        <v>20.62937062937063</v>
      </c>
      <c r="BQ211" s="687">
        <f>INPUT!DN115</f>
        <v>4.4361888111888126</v>
      </c>
      <c r="BR211" s="156">
        <f>INPUT!DO115</f>
        <v>22.222222222222221</v>
      </c>
      <c r="BS211" s="687">
        <f>INPUT!DP115</f>
        <v>29.539295392953903</v>
      </c>
      <c r="BT211" s="156">
        <f>INPUT!DQ115</f>
        <v>20.202020202020201</v>
      </c>
      <c r="BU211" s="687">
        <f>INPUT!DR115</f>
        <v>-3.9451114922813058</v>
      </c>
      <c r="BV211" s="156">
        <f>INPUT!DS115</f>
        <v>18.430034129692832</v>
      </c>
      <c r="BW211" s="687">
        <f>INPUT!DT115</f>
        <v>-1.952218430034125</v>
      </c>
      <c r="BX211" s="156">
        <f>INPUT!DU115</f>
        <v>22.256097560975611</v>
      </c>
      <c r="BY211" s="687">
        <f>INPUT!DV115</f>
        <v>7.8854898718478728</v>
      </c>
      <c r="BZ211" s="156">
        <f>INPUT!DW115</f>
        <v>21.036585365853657</v>
      </c>
      <c r="CA211" s="687">
        <f>INPUT!DX115</f>
        <v>21.036585365853657</v>
      </c>
      <c r="CB211" s="156">
        <f>INPUT!DY115</f>
        <v>21.359223300970871</v>
      </c>
      <c r="CC211" s="687">
        <f>INPUT!DZ115</f>
        <v>5.7281553398058183</v>
      </c>
      <c r="CD211" s="156">
        <f>INPUT!EA115</f>
        <v>19.852941176470587</v>
      </c>
      <c r="CE211" s="687">
        <f>INPUT!EB115</f>
        <v>7.7205882352941124</v>
      </c>
      <c r="CF211" s="156">
        <f>INPUT!EC115</f>
        <v>20.608108108108109</v>
      </c>
      <c r="CG211" s="687">
        <f>INPUT!ED115</f>
        <v>-7.4046649389115204</v>
      </c>
      <c r="CH211" s="156">
        <f>INPUT!EE115</f>
        <v>20.792079207920793</v>
      </c>
      <c r="CI211" s="687">
        <f>INPUT!EF115</f>
        <v>-1.1622901420576759</v>
      </c>
      <c r="CJ211" s="156">
        <f>INPUT!EG115</f>
        <v>20.915032679738562</v>
      </c>
      <c r="CK211" s="687">
        <f>INPUT!EH115</f>
        <v>-2.0796197266785388</v>
      </c>
      <c r="CL211" s="156">
        <f>INPUT!EI115</f>
        <v>-0.35714285714285715</v>
      </c>
      <c r="CM211" s="687" t="str">
        <f>INPUT!EJ115</f>
        <v>NM</v>
      </c>
      <c r="CN211" s="156">
        <f>INPUT!EK115</f>
        <v>19.032258064516128</v>
      </c>
      <c r="CO211" s="687">
        <f>INPUT!EL115</f>
        <v>-7.6467477525119065</v>
      </c>
      <c r="CP211" s="156">
        <f>INPUT!EM115</f>
        <v>20.857142857142858</v>
      </c>
      <c r="CQ211" s="687">
        <f>INPUT!EN115</f>
        <v>0.31292517006802356</v>
      </c>
      <c r="CR211" s="156">
        <f>INPUT!EO115</f>
        <v>20.42042042042042</v>
      </c>
      <c r="CS211" s="687">
        <f>INPUT!EP115</f>
        <v>-2.3648648648648685</v>
      </c>
      <c r="CT211" s="156">
        <f>INPUT!EQ115</f>
        <v>15</v>
      </c>
      <c r="CU211" s="687" t="str">
        <f>INPUT!ER115</f>
        <v>NM</v>
      </c>
      <c r="CV211" s="156">
        <f>INPUT!ES115</f>
        <v>15</v>
      </c>
      <c r="CW211" s="687">
        <f>INPUT!ET115</f>
        <v>-21.1864406779661</v>
      </c>
      <c r="CX211" s="156">
        <f>INPUT!EU115</f>
        <v>15</v>
      </c>
      <c r="CY211" s="687">
        <f>INPUT!EV115</f>
        <v>-28.082191780821919</v>
      </c>
      <c r="CZ211" s="156">
        <f>INPUT!EW115</f>
        <v>15</v>
      </c>
      <c r="DA211" s="687">
        <f>INPUT!EX115</f>
        <v>-26.544117647058819</v>
      </c>
      <c r="DB211" s="16"/>
      <c r="DC211" s="156">
        <f>INPUT!FP115</f>
        <v>21.530802738021151</v>
      </c>
      <c r="DD211" s="687">
        <f>INPUT!FQ115</f>
        <v>6.4352890068215318</v>
      </c>
      <c r="DE211" s="156">
        <f>INPUT!FR115</f>
        <v>18.799682034976158</v>
      </c>
      <c r="DF211" s="687">
        <f>INPUT!FS115</f>
        <v>-12.684713785529789</v>
      </c>
      <c r="DG211" s="156">
        <f>INPUT!FT115</f>
        <v>24.689440993788835</v>
      </c>
      <c r="DH211" s="687">
        <f>INPUT!FU115</f>
        <v>31.329034969075465</v>
      </c>
      <c r="DI211" s="156">
        <f>INPUT!FV115</f>
        <v>-39.667630057803308</v>
      </c>
      <c r="DJ211" s="687" t="str">
        <f>INPUT!FW115</f>
        <v>NM</v>
      </c>
      <c r="DK211" s="156">
        <f>INPUT!FX115</f>
        <v>10.301953818827696</v>
      </c>
      <c r="DL211" s="687" t="str">
        <f>INPUT!FY115</f>
        <v>NM</v>
      </c>
      <c r="DM211" s="156">
        <f>INPUT!FZ115</f>
        <v>17.380180794814937</v>
      </c>
      <c r="DN211" s="687">
        <f>INPUT!GA115</f>
        <v>68.707617025531391</v>
      </c>
      <c r="DO211" s="156">
        <f>INPUT!GB115</f>
        <v>15.422077922077914</v>
      </c>
      <c r="DP211" s="687">
        <f>INPUT!GC115</f>
        <v>-11.266297490536958</v>
      </c>
      <c r="DQ211" s="156">
        <f>INPUT!GD115</f>
        <v>16.875871687587168</v>
      </c>
      <c r="DR211" s="687">
        <f>INPUT!GE115</f>
        <v>9.4267048374073745</v>
      </c>
      <c r="DS211" s="156">
        <f>INPUT!GF115</f>
        <v>19.073275862068968</v>
      </c>
      <c r="DT211" s="687">
        <f>INPUT!GG115</f>
        <v>13.020981761185535</v>
      </c>
      <c r="DU211" s="156">
        <f>INPUT!GH115</f>
        <v>20.532646048109964</v>
      </c>
      <c r="DV211" s="687">
        <f>INPUT!GI115</f>
        <v>7.6513871900906416</v>
      </c>
      <c r="DW211" s="156">
        <f>INPUT!GJ115</f>
        <v>20.826709062003179</v>
      </c>
      <c r="DX211" s="687">
        <f>INPUT!GK115</f>
        <v>1.4321730049025261</v>
      </c>
      <c r="DY211" s="156">
        <f>INPUT!GL115</f>
        <v>20.5607476635514</v>
      </c>
      <c r="DZ211" s="687">
        <f>INPUT!GM115</f>
        <v>-1.2770207605051098</v>
      </c>
      <c r="EA211" s="156">
        <f>INPUT!GN115</f>
        <v>15.632364493322859</v>
      </c>
      <c r="EB211" s="687">
        <f>INPUT!GO115</f>
        <v>-23.969863600656993</v>
      </c>
      <c r="EC211" s="156">
        <f>INPUT!GP115</f>
        <v>15.000000000000011</v>
      </c>
      <c r="ED211" s="687">
        <f>INPUT!GQ115</f>
        <v>-4.04522613065319</v>
      </c>
      <c r="EE211" s="156">
        <f>INPUT!GR115</f>
        <v>15.000000000000011</v>
      </c>
      <c r="EF211" s="687">
        <f>INPUT!GS115</f>
        <v>0</v>
      </c>
      <c r="EG211" s="156">
        <f>INPUT!GT115</f>
        <v>15.000000000000011</v>
      </c>
      <c r="EH211" s="687">
        <f>INPUT!GU115</f>
        <v>0</v>
      </c>
      <c r="EI211" s="156">
        <f>INPUT!GV115</f>
        <v>15.000000000000011</v>
      </c>
      <c r="EJ211" s="687">
        <f>INPUT!GW115</f>
        <v>0</v>
      </c>
      <c r="EK211" s="156">
        <f>INPUT!GX115</f>
        <v>15.000000000000011</v>
      </c>
      <c r="EL211" s="687">
        <f>INPUT!GY115</f>
        <v>0</v>
      </c>
      <c r="EM211" s="687">
        <f>INPUT!GZ115</f>
        <v>-0.82246333118515258</v>
      </c>
    </row>
    <row r="212" spans="1:143" ht="12.75" hidden="1" customHeight="1" outlineLevel="1" x14ac:dyDescent="0.2">
      <c r="A212" s="707" t="str">
        <f>INPUT!B116</f>
        <v>After-Tax Earnings</v>
      </c>
      <c r="B212" s="708">
        <f>INPUT!AY116</f>
        <v>66.399999999999991</v>
      </c>
      <c r="C212" s="709">
        <f>INPUT!AZ116</f>
        <v>33.601609657947584</v>
      </c>
      <c r="D212" s="708">
        <f>INPUT!BA116</f>
        <v>89.100000000000023</v>
      </c>
      <c r="E212" s="709">
        <f>INPUT!BB116</f>
        <v>69.714285714285793</v>
      </c>
      <c r="F212" s="708">
        <f>INPUT!BC116</f>
        <v>129.40000000000003</v>
      </c>
      <c r="G212" s="709">
        <f>INPUT!BD116</f>
        <v>63.797468354430521</v>
      </c>
      <c r="H212" s="708">
        <f>INPUT!BE116</f>
        <v>123.69999999999996</v>
      </c>
      <c r="I212" s="709">
        <f>INPUT!BF116</f>
        <v>74.471086036671224</v>
      </c>
      <c r="J212" s="708">
        <f>INPUT!BG116</f>
        <v>116.69999999999997</v>
      </c>
      <c r="K212" s="709">
        <f>INPUT!BH116</f>
        <v>75.753012048192758</v>
      </c>
      <c r="L212" s="708">
        <f>INPUT!BI116</f>
        <v>123.5</v>
      </c>
      <c r="M212" s="709">
        <f>INPUT!BJ116</f>
        <v>38.608305274971897</v>
      </c>
      <c r="N212" s="708">
        <f>INPUT!BK116</f>
        <v>125.9</v>
      </c>
      <c r="O212" s="709">
        <f>INPUT!BL116</f>
        <v>-2.704791344667723</v>
      </c>
      <c r="P212" s="708">
        <f>INPUT!BM116</f>
        <v>118.89999999999991</v>
      </c>
      <c r="Q212" s="709">
        <f>INPUT!BN116</f>
        <v>-3.8803556992724753</v>
      </c>
      <c r="R212" s="708">
        <f>INPUT!BO116</f>
        <v>117.90000000000003</v>
      </c>
      <c r="S212" s="709">
        <f>INPUT!BP116</f>
        <v>1.0282776349614942</v>
      </c>
      <c r="T212" s="708">
        <f>INPUT!BQ116</f>
        <v>116.20000000000007</v>
      </c>
      <c r="U212" s="709">
        <f>INPUT!BR116</f>
        <v>-5.9109311740890069</v>
      </c>
      <c r="V212" s="708">
        <f>INPUT!BS116</f>
        <v>130.90000000000003</v>
      </c>
      <c r="W212" s="709">
        <f>INPUT!BT116</f>
        <v>3.9714058776807226</v>
      </c>
      <c r="X212" s="708">
        <f>INPUT!BU116</f>
        <v>-171.7000000000001</v>
      </c>
      <c r="Y212" s="709" t="str">
        <f>INPUT!BV116</f>
        <v>NM</v>
      </c>
      <c r="Z212" s="708">
        <f>INPUT!BW116</f>
        <v>73.90000000000002</v>
      </c>
      <c r="AA212" s="709">
        <f>INPUT!BX116</f>
        <v>-37.319762510602203</v>
      </c>
      <c r="AB212" s="708">
        <f>INPUT!BY116</f>
        <v>65.40000000000002</v>
      </c>
      <c r="AC212" s="709">
        <f>INPUT!BZ116</f>
        <v>-43.717728055077473</v>
      </c>
      <c r="AD212" s="708">
        <f>INPUT!CA116</f>
        <v>94.5</v>
      </c>
      <c r="AE212" s="709">
        <f>INPUT!CB116</f>
        <v>-27.807486631016065</v>
      </c>
      <c r="AF212" s="708">
        <f>INPUT!CC116</f>
        <v>119.69999999999997</v>
      </c>
      <c r="AG212" s="709" t="str">
        <f>INPUT!CD116</f>
        <v>NM</v>
      </c>
      <c r="AH212" s="708">
        <f>INPUT!CE116</f>
        <v>118.69999999999996</v>
      </c>
      <c r="AI212" s="709">
        <f>INPUT!CF116</f>
        <v>60.62246278755066</v>
      </c>
      <c r="AJ212" s="708">
        <f>INPUT!CG116</f>
        <v>116.4</v>
      </c>
      <c r="AK212" s="709">
        <f>INPUT!CH116</f>
        <v>77.981651376146743</v>
      </c>
      <c r="AL212" s="708">
        <f>INPUT!CI116</f>
        <v>126.09999999999995</v>
      </c>
      <c r="AM212" s="709">
        <f>INPUT!CJ116</f>
        <v>33.43915343915338</v>
      </c>
      <c r="AN212" s="708">
        <f>INPUT!CK116</f>
        <v>123.19999999999997</v>
      </c>
      <c r="AO212" s="709">
        <f>INPUT!CL116</f>
        <v>2.9239766081871288</v>
      </c>
      <c r="AP212" s="708">
        <f>INPUT!CM116</f>
        <v>144.00000000000009</v>
      </c>
      <c r="AQ212" s="709">
        <f>INPUT!CN116</f>
        <v>21.314237573715356</v>
      </c>
      <c r="AR212" s="708">
        <f>INPUT!CO116</f>
        <v>144.79999999999993</v>
      </c>
      <c r="AS212" s="709">
        <f>INPUT!CP116</f>
        <v>24.398625429553199</v>
      </c>
      <c r="AT212" s="708">
        <f>INPUT!CQ116</f>
        <v>153.30000000000001</v>
      </c>
      <c r="AU212" s="709">
        <f>INPUT!CR116</f>
        <v>21.570182394924721</v>
      </c>
      <c r="AV212" s="708">
        <f>INPUT!CS116</f>
        <v>131</v>
      </c>
      <c r="AW212" s="709">
        <f>INPUT!CT116</f>
        <v>6.331168831168843</v>
      </c>
      <c r="AX212" s="708">
        <f>INPUT!CU116</f>
        <v>137</v>
      </c>
      <c r="AY212" s="709">
        <f>INPUT!CV116</f>
        <v>-4.8611111111111711</v>
      </c>
      <c r="AZ212" s="708">
        <f>INPUT!CW116</f>
        <v>158</v>
      </c>
      <c r="BA212" s="709">
        <f>INPUT!CX116</f>
        <v>9.1160220994475729</v>
      </c>
      <c r="BB212" s="708">
        <f>INPUT!CY116</f>
        <v>139</v>
      </c>
      <c r="BC212" s="709">
        <f>INPUT!CZ116</f>
        <v>-9.3281148075668678</v>
      </c>
      <c r="BD212" s="708">
        <f>INPUT!DA116</f>
        <v>162</v>
      </c>
      <c r="BE212" s="709">
        <f>INPUT!DB116</f>
        <v>23.664122137404586</v>
      </c>
      <c r="BF212" s="708">
        <f>INPUT!DC116</f>
        <v>159</v>
      </c>
      <c r="BG212" s="709">
        <f>INPUT!DD116</f>
        <v>16.058394160583944</v>
      </c>
      <c r="BH212" s="708">
        <f>INPUT!DE116</f>
        <v>195</v>
      </c>
      <c r="BI212" s="709">
        <f>INPUT!DF116</f>
        <v>23.417721518987335</v>
      </c>
      <c r="BJ212" s="708">
        <f>INPUT!DG116</f>
        <v>198</v>
      </c>
      <c r="BK212" s="709">
        <f>INPUT!DH116</f>
        <v>42.446043165467628</v>
      </c>
      <c r="BL212" s="708">
        <f>INPUT!DI116</f>
        <v>199</v>
      </c>
      <c r="BM212" s="709">
        <f>INPUT!DJ116</f>
        <v>22.839506172839496</v>
      </c>
      <c r="BN212" s="708">
        <f>INPUT!DK116</f>
        <v>216</v>
      </c>
      <c r="BO212" s="709">
        <f>INPUT!DL116</f>
        <v>35.849056603773576</v>
      </c>
      <c r="BP212" s="708">
        <f>INPUT!DM116</f>
        <v>227</v>
      </c>
      <c r="BQ212" s="709">
        <f>INPUT!DN116</f>
        <v>16.410256410256419</v>
      </c>
      <c r="BR212" s="708">
        <f>INPUT!DO116</f>
        <v>245</v>
      </c>
      <c r="BS212" s="709">
        <f>INPUT!DP116</f>
        <v>23.737373737373744</v>
      </c>
      <c r="BT212" s="708">
        <f>INPUT!DQ116</f>
        <v>237</v>
      </c>
      <c r="BU212" s="709">
        <f>INPUT!DR116</f>
        <v>19.095477386934668</v>
      </c>
      <c r="BV212" s="708">
        <f>INPUT!DS116</f>
        <v>239</v>
      </c>
      <c r="BW212" s="709">
        <f>INPUT!DT116</f>
        <v>10.64814814814814</v>
      </c>
      <c r="BX212" s="708">
        <f>INPUT!DU116</f>
        <v>255</v>
      </c>
      <c r="BY212" s="709">
        <f>INPUT!DV116</f>
        <v>12.334801762114544</v>
      </c>
      <c r="BZ212" s="708">
        <f>INPUT!DW116</f>
        <v>259</v>
      </c>
      <c r="CA212" s="709">
        <f>INPUT!DX116</f>
        <v>259</v>
      </c>
      <c r="CB212" s="708">
        <f>INPUT!DY116</f>
        <v>243</v>
      </c>
      <c r="CC212" s="709">
        <f>INPUT!DZ116</f>
        <v>2.5316455696202445</v>
      </c>
      <c r="CD212" s="708">
        <f>INPUT!EA116</f>
        <v>218</v>
      </c>
      <c r="CE212" s="709">
        <f>INPUT!EB116</f>
        <v>-8.786610878661083</v>
      </c>
      <c r="CF212" s="708">
        <f>INPUT!EC116</f>
        <v>235</v>
      </c>
      <c r="CG212" s="709">
        <f>INPUT!ED116</f>
        <v>-7.8431372549019667</v>
      </c>
      <c r="CH212" s="708">
        <f>INPUT!EE116</f>
        <v>240</v>
      </c>
      <c r="CI212" s="709">
        <f>INPUT!EF116</f>
        <v>-7.3359073359073328</v>
      </c>
      <c r="CJ212" s="708">
        <f>INPUT!EG116</f>
        <v>242</v>
      </c>
      <c r="CK212" s="709">
        <f>INPUT!EH116</f>
        <v>-0.41152263374485409</v>
      </c>
      <c r="CL212" s="708">
        <f>INPUT!EI116</f>
        <v>281</v>
      </c>
      <c r="CM212" s="709">
        <f>INPUT!EJ116</f>
        <v>28.899082568807334</v>
      </c>
      <c r="CN212" s="708">
        <f>INPUT!EK116</f>
        <v>251</v>
      </c>
      <c r="CO212" s="709">
        <f>INPUT!EL116</f>
        <v>6.8085106382978822</v>
      </c>
      <c r="CP212" s="708">
        <f>INPUT!EM116</f>
        <v>277</v>
      </c>
      <c r="CQ212" s="709">
        <f>INPUT!EN116</f>
        <v>15.416666666666657</v>
      </c>
      <c r="CR212" s="708">
        <f>INPUT!EO116</f>
        <v>265</v>
      </c>
      <c r="CS212" s="709">
        <f>INPUT!EP116</f>
        <v>9.5041322314049594</v>
      </c>
      <c r="CT212" s="708">
        <f>INPUT!EQ116</f>
        <v>280.45693245994198</v>
      </c>
      <c r="CU212" s="709">
        <f>INPUT!ER116</f>
        <v>-0.19326246977153794</v>
      </c>
      <c r="CV212" s="708">
        <f>INPUT!ES116</f>
        <v>279.8327531685664</v>
      </c>
      <c r="CW212" s="709">
        <f>INPUT!ET116</f>
        <v>11.48715265679936</v>
      </c>
      <c r="CX212" s="708">
        <f>INPUT!EU116</f>
        <v>283.56092073159573</v>
      </c>
      <c r="CY212" s="709">
        <f>INPUT!EV116</f>
        <v>2.368563441009286</v>
      </c>
      <c r="CZ212" s="708">
        <f>INPUT!EW116</f>
        <v>287.84454086704801</v>
      </c>
      <c r="DA212" s="709">
        <f>INPUT!EX116</f>
        <v>8.6205814592634091</v>
      </c>
      <c r="DB212" s="710"/>
      <c r="DC212" s="708">
        <f>INPUT!FP116</f>
        <v>252.2000000000001</v>
      </c>
      <c r="DD212" s="709">
        <f>INPUT!FQ116</f>
        <v>20.669856459330195</v>
      </c>
      <c r="DE212" s="708">
        <f>INPUT!FR116</f>
        <v>408.5999999999998</v>
      </c>
      <c r="DF212" s="709">
        <f>INPUT!FS116</f>
        <v>62.01427438540825</v>
      </c>
      <c r="DG212" s="708">
        <f>INPUT!FT116</f>
        <v>484.99999999999955</v>
      </c>
      <c r="DH212" s="709">
        <f>INPUT!FU116</f>
        <v>18.697993147332291</v>
      </c>
      <c r="DI212" s="708">
        <f>INPUT!FV116</f>
        <v>193.30000000000052</v>
      </c>
      <c r="DJ212" s="709" t="str">
        <f>INPUT!FW116</f>
        <v>NM</v>
      </c>
      <c r="DK212" s="708">
        <f>INPUT!FX116</f>
        <v>353.50000000000034</v>
      </c>
      <c r="DL212" s="709">
        <f>INPUT!FY116</f>
        <v>82.87635799275705</v>
      </c>
      <c r="DM212" s="708">
        <f>INPUT!FZ116</f>
        <v>484.4000000000002</v>
      </c>
      <c r="DN212" s="709">
        <f>INPUT!GA116</f>
        <v>37.029702970296952</v>
      </c>
      <c r="DO212" s="708">
        <f>INPUT!GB116</f>
        <v>573.10000000000036</v>
      </c>
      <c r="DP212" s="709">
        <f>INPUT!GC116</f>
        <v>18.311312964492178</v>
      </c>
      <c r="DQ212" s="708">
        <f>INPUT!GD116</f>
        <v>596</v>
      </c>
      <c r="DR212" s="709">
        <f>INPUT!GE116</f>
        <v>3.9958122491711157</v>
      </c>
      <c r="DS212" s="708">
        <f>INPUT!GF116</f>
        <v>751</v>
      </c>
      <c r="DT212" s="709">
        <f>INPUT!GG116</f>
        <v>26.006711409395965</v>
      </c>
      <c r="DU212" s="708">
        <f>INPUT!GH116</f>
        <v>925</v>
      </c>
      <c r="DV212" s="709">
        <f>INPUT!GI116</f>
        <v>23.169107856191751</v>
      </c>
      <c r="DW212" s="708">
        <f>INPUT!GJ116</f>
        <v>996</v>
      </c>
      <c r="DX212" s="709">
        <f>INPUT!GK116</f>
        <v>7.6756756756756861</v>
      </c>
      <c r="DY212" s="708">
        <f>INPUT!GL116</f>
        <v>935</v>
      </c>
      <c r="DZ212" s="709">
        <f>INPUT!GM116</f>
        <v>-6.1244979919678695</v>
      </c>
      <c r="EA212" s="708">
        <f>INPUT!GN116</f>
        <v>1074</v>
      </c>
      <c r="EB212" s="709">
        <f>INPUT!GO116</f>
        <v>14.866310160427808</v>
      </c>
      <c r="EC212" s="708">
        <f>INPUT!GP116</f>
        <v>1131.6951472271512</v>
      </c>
      <c r="ED212" s="709">
        <f>INPUT!GQ116</f>
        <v>5.3719876375373676</v>
      </c>
      <c r="EE212" s="708">
        <f>INPUT!GR116</f>
        <v>1181.3693742008841</v>
      </c>
      <c r="EF212" s="709">
        <f>INPUT!GS116</f>
        <v>4.3893646708164535</v>
      </c>
      <c r="EG212" s="708">
        <f>INPUT!GT116</f>
        <v>1250.6590838620441</v>
      </c>
      <c r="EH212" s="709">
        <f>INPUT!GU116</f>
        <v>5.8652028039942961</v>
      </c>
      <c r="EI212" s="708">
        <f>INPUT!GV116</f>
        <v>1328.680673140525</v>
      </c>
      <c r="EJ212" s="709">
        <f>INPUT!GW116</f>
        <v>6.238437819325604</v>
      </c>
      <c r="EK212" s="708">
        <f>INPUT!GX116</f>
        <v>1416.4678818113136</v>
      </c>
      <c r="EL212" s="709">
        <f>INPUT!GY116</f>
        <v>6.6070960800002521</v>
      </c>
      <c r="EM212" s="711">
        <f>INPUT!GZ116</f>
        <v>5.6916042690321245</v>
      </c>
    </row>
    <row r="213" spans="1:143" s="561" customFormat="1" ht="12.75" hidden="1" customHeight="1" outlineLevel="2" x14ac:dyDescent="0.2">
      <c r="A213" s="712" t="s">
        <v>50</v>
      </c>
      <c r="B213" s="713">
        <f>(B197+B198+B199-B203-B204-B205-B206-B210)-B212</f>
        <v>0</v>
      </c>
      <c r="C213" s="662"/>
      <c r="D213" s="713">
        <f>(D197+D198+D199-D203-D204-D205-D206-D210)-D212</f>
        <v>1.1368683772161603E-13</v>
      </c>
      <c r="E213" s="662"/>
      <c r="F213" s="713">
        <f>(F197+F198+F199-F203-F204-F205-F206-F210)-F212</f>
        <v>0</v>
      </c>
      <c r="G213" s="662"/>
      <c r="H213" s="713">
        <f>(H197+H198+H199-H203-H204-H205-H206-H210)-H212</f>
        <v>0</v>
      </c>
      <c r="I213" s="662"/>
      <c r="J213" s="713">
        <f>(J197+J198+J199-J203-J204-J205-J206-J210)-J212</f>
        <v>1.1368683772161603E-13</v>
      </c>
      <c r="K213" s="662"/>
      <c r="L213" s="713">
        <f>(L197+L198+L199-L203-L204-L205-L206-L210)-L212</f>
        <v>0</v>
      </c>
      <c r="M213" s="662"/>
      <c r="N213" s="713">
        <f>(N197+N198+N199-N203-N204-N205-N206-N210)-N212</f>
        <v>0</v>
      </c>
      <c r="O213" s="662"/>
      <c r="P213" s="713">
        <f>(P197+P198+P199-P203-P204-P205-P206-P210)-P212</f>
        <v>0</v>
      </c>
      <c r="Q213" s="662"/>
      <c r="R213" s="713">
        <f>(R197+R198+R199-R203-R204-R205-R206-R210)-R212</f>
        <v>0</v>
      </c>
      <c r="S213" s="662"/>
      <c r="T213" s="713">
        <f>(T197+T198+T199-T203-T204-T205-T206-T210)-T212</f>
        <v>0</v>
      </c>
      <c r="U213" s="662"/>
      <c r="V213" s="713">
        <f>(V197+V198+V199-V203-V204-V205-V206-V210)-V212</f>
        <v>0</v>
      </c>
      <c r="W213" s="662"/>
      <c r="X213" s="713">
        <f>(X197+X198+X199-X203-X204-X205-X206-X210)-X212</f>
        <v>0</v>
      </c>
      <c r="Y213" s="662"/>
      <c r="Z213" s="713">
        <f>(Z197+Z198+Z199-Z203-Z204-Z205-Z206-Z210)-Z212</f>
        <v>0</v>
      </c>
      <c r="AA213" s="662"/>
      <c r="AB213" s="713">
        <f>(AB197+AB198+AB199-AB203-AB204-AB205-AB206-AB210)-AB212</f>
        <v>0</v>
      </c>
      <c r="AC213" s="662"/>
      <c r="AD213" s="713">
        <f>(AD197+AD198+AD199-AD203-AD204-AD205-AD206-AD210)-AD212</f>
        <v>0</v>
      </c>
      <c r="AE213" s="662"/>
      <c r="AF213" s="713">
        <f>(AF197+AF198+AF199-AF203-AF204-AF205-AF206-AF210)-AF212</f>
        <v>0</v>
      </c>
      <c r="AG213" s="662"/>
      <c r="AH213" s="713">
        <f>(AH197+AH198+AH199-AH203-AH204-AH205-AH206-AH210)-AH212</f>
        <v>0</v>
      </c>
      <c r="AI213" s="662"/>
      <c r="AJ213" s="713">
        <f>(AJ197+AJ198+AJ199-AJ203-AJ204-AJ205-AJ206-AJ210)-AJ212</f>
        <v>1.1368683772161603E-13</v>
      </c>
      <c r="AK213" s="662"/>
      <c r="AL213" s="713">
        <f>(AL197+AL198+AL199-AL203-AL204-AL205-AL206-AL210)-AL212</f>
        <v>0</v>
      </c>
      <c r="AM213" s="662"/>
      <c r="AN213" s="713">
        <f>(AN197+AN198+AN199-AN203-AN204-AN205-AN206-AN210)-AN212</f>
        <v>0</v>
      </c>
      <c r="AO213" s="662"/>
      <c r="AP213" s="713">
        <f>(AP197+AP198+AP199-AP203-AP204-AP205-AP206-AP210)-AP212</f>
        <v>0</v>
      </c>
      <c r="AQ213" s="662"/>
      <c r="AR213" s="713">
        <f>(AR197+AR198+AR199-AR203-AR204-AR205-AR206-AR210)-AR212</f>
        <v>0</v>
      </c>
      <c r="AS213" s="662"/>
      <c r="AT213" s="713">
        <f>(AT197+AT198+AT199-AT203-AT204-AT205-AT206-AT210)-AT212</f>
        <v>0</v>
      </c>
      <c r="AU213" s="662"/>
      <c r="AV213" s="713">
        <f>(AV197+AV198+AV199-AV203-AV204-AV205-AV206-AV210)-AV212</f>
        <v>0</v>
      </c>
      <c r="AW213" s="662"/>
      <c r="AX213" s="713">
        <f>(AX197+AX198+AX199-AX203-AX204-AX205-AX206-AX210)-AX212</f>
        <v>0</v>
      </c>
      <c r="AY213" s="662"/>
      <c r="AZ213" s="713">
        <f>(AZ197+AZ198+AZ199-AZ203-AZ204-AZ205-AZ206-AZ210)-AZ212</f>
        <v>0</v>
      </c>
      <c r="BA213" s="662"/>
      <c r="BB213" s="713">
        <f>(BB197+BB198+BB199-BB203-BB204-BB205-BB206-BB210)-BB212</f>
        <v>0</v>
      </c>
      <c r="BC213" s="662"/>
      <c r="BD213" s="713">
        <f>(BD197+BD198+BD199-BD203-BD204-BD205-BD206-BD210)-BD212</f>
        <v>0</v>
      </c>
      <c r="BE213" s="662"/>
      <c r="BF213" s="713">
        <f>(BF197+BF198+BF199-BF203-BF204-BF205-BF206-BF210)-BF212</f>
        <v>0</v>
      </c>
      <c r="BG213" s="662"/>
      <c r="BH213" s="713">
        <f>(BH197+BH198+BH199-BH203-BH204-BH205-BH206-BH210)-BH212</f>
        <v>0</v>
      </c>
      <c r="BI213" s="662"/>
      <c r="BJ213" s="713">
        <f>(BJ197+BJ198+BJ199-BJ203-BJ204-BJ205-BJ206-BJ210)-BJ212</f>
        <v>0</v>
      </c>
      <c r="BK213" s="662"/>
      <c r="BL213" s="713">
        <f>(BL197+BL198+BL199-BL203-BL204-BL205-BL206-BL210)-BL212</f>
        <v>0</v>
      </c>
      <c r="BM213" s="662"/>
      <c r="BN213" s="713">
        <f>(BN197+BN198+BN199-BN203-BN204-BN205-BN206-BN210)-BN212</f>
        <v>0</v>
      </c>
      <c r="BO213" s="662"/>
      <c r="BP213" s="713">
        <f>(BP197+BP198+BP199-BP203-BP204-BP205-BP206-BP210)-BP212</f>
        <v>0</v>
      </c>
      <c r="BQ213" s="662"/>
      <c r="BR213" s="713">
        <f>(BR197+BR198+BR199-BR203-BR204-BR205-BR206-BR210)-BR212</f>
        <v>0</v>
      </c>
      <c r="BS213" s="662"/>
      <c r="BT213" s="713">
        <f>(BT197+BT198+BT199-BT203-BT204-BT205-BT206-BT210)-BT212</f>
        <v>0</v>
      </c>
      <c r="BU213" s="662"/>
      <c r="BV213" s="713">
        <f>(BV197+BV198+BV199-BV203-BV204-BV205-BV206-BV210)-BV212</f>
        <v>0</v>
      </c>
      <c r="BW213" s="662"/>
      <c r="BX213" s="713">
        <f>(BX197+BX198+BX199-BX203-BX204-BX205-BX206-BX210)-BX212</f>
        <v>0</v>
      </c>
      <c r="BY213" s="662"/>
      <c r="BZ213" s="713">
        <f>(BZ197+BZ198+BZ199-BZ203-BZ204-BZ205-BZ206-BZ210)-BZ212</f>
        <v>0</v>
      </c>
      <c r="CA213" s="662"/>
      <c r="CB213" s="713">
        <f>(CB197+CB198+CB199-CB203-CB204-CB205-CB206-CB210)-CB212</f>
        <v>0</v>
      </c>
      <c r="CC213" s="662"/>
      <c r="CD213" s="713">
        <f>(CD197+CD198+CD199-CD203-CD204-CD205-CD206-CD210)-CD212</f>
        <v>0</v>
      </c>
      <c r="CE213" s="662"/>
      <c r="CF213" s="713">
        <f>(CF197+CF198+CF199-CF203-CF204-CF205-CF206-CF210)-CF212</f>
        <v>0</v>
      </c>
      <c r="CG213" s="662"/>
      <c r="CH213" s="713">
        <f>(CH197+CH198+CH199-CH203-CH204-CH205-CH206-CH210)-CH212</f>
        <v>0</v>
      </c>
      <c r="CI213" s="662"/>
      <c r="CJ213" s="713">
        <f>(CJ197+CJ198+CJ199-CJ203-CJ204-CJ205-CJ206-CJ210)-CJ212</f>
        <v>0</v>
      </c>
      <c r="CK213" s="662"/>
      <c r="CL213" s="713">
        <f>(CL197+CL198+CL199-CL203-CL204-CL205-CL206-CL210)-CL212</f>
        <v>0</v>
      </c>
      <c r="CM213" s="662"/>
      <c r="CN213" s="713">
        <f t="shared" ref="CN213" si="108">(CN197+CN198+CN199-CN203-CN204-CN205-CN206-CN210)-CN212</f>
        <v>0</v>
      </c>
      <c r="CO213" s="662"/>
      <c r="CP213" s="713">
        <f t="shared" ref="CP213" si="109">(CP197+CP198+CP199-CP203-CP204-CP205-CP206-CP210)-CP212</f>
        <v>0</v>
      </c>
      <c r="CQ213" s="662"/>
      <c r="CR213" s="713">
        <f t="shared" ref="CR213" si="110">(CR197+CR198+CR199-CR203-CR204-CR205-CR206-CR210)-CR212</f>
        <v>0</v>
      </c>
      <c r="CS213" s="662"/>
      <c r="CT213" s="713">
        <f>(CT197+CT198+CT199-CT203-CT204-CT205-CT206-CT210)-CT212</f>
        <v>0</v>
      </c>
      <c r="CU213" s="662"/>
      <c r="CV213" s="713">
        <f t="shared" ref="CV213" si="111">(CV197+CV198+CV199-CV203-CV204-CV205-CV206-CV210)-CV212</f>
        <v>0</v>
      </c>
      <c r="CW213" s="662"/>
      <c r="CX213" s="713">
        <f t="shared" ref="CX213" si="112">(CX197+CX198+CX199-CX203-CX204-CX205-CX206-CX210)-CX212</f>
        <v>0</v>
      </c>
      <c r="CY213" s="662"/>
      <c r="CZ213" s="713">
        <f t="shared" ref="CZ213" si="113">(CZ197+CZ198+CZ199-CZ203-CZ204-CZ205-CZ206-CZ210)-CZ212</f>
        <v>0</v>
      </c>
      <c r="DA213" s="662"/>
      <c r="DB213" s="714"/>
      <c r="DC213" s="713">
        <f>(DC197+DC198+DC199-DC203-DC204-DC205-DC206-DC210)-DC212</f>
        <v>0</v>
      </c>
      <c r="DD213" s="662"/>
      <c r="DE213" s="713">
        <f>(DE197+DE198+DE199-DE203-DE204-DE205-DE206-DE210)-DE212</f>
        <v>0</v>
      </c>
      <c r="DF213" s="662"/>
      <c r="DG213" s="713">
        <f>(DG197+DG198+DG199-DG203-DG204-DG205-DG206-DG210)-DG212</f>
        <v>0</v>
      </c>
      <c r="DH213" s="662"/>
      <c r="DI213" s="713">
        <f>(DI197+DI198+DI199-DI203-DI204-DI205-DI206-DI210)-DI212</f>
        <v>-4.5474735088646412E-13</v>
      </c>
      <c r="DJ213" s="662"/>
      <c r="DK213" s="713">
        <f>(DK197+DK198+DK199-DK203-DK204-DK205-DK206-DK210)-DK212</f>
        <v>-4.5474735088646412E-13</v>
      </c>
      <c r="DL213" s="662"/>
      <c r="DM213" s="713">
        <f>(DM197+DM198+DM199-DM203-DM204-DM205-DM206-DM210)-DM212</f>
        <v>0</v>
      </c>
      <c r="DN213" s="662"/>
      <c r="DO213" s="713">
        <f>(DO197+DO198+DO199-DO203-DO204-DO205-DO206-DO210)-DO212</f>
        <v>0</v>
      </c>
      <c r="DP213" s="662"/>
      <c r="DQ213" s="713">
        <f>(DQ197+DQ198+DQ199-DQ203-DQ204-DQ205-DQ206-DQ210)-DQ212</f>
        <v>0</v>
      </c>
      <c r="DR213" s="662"/>
      <c r="DS213" s="713">
        <f>(DS197+DS198+DS199-DS203-DS204-DS205-DS206-DS210)-DS212</f>
        <v>0</v>
      </c>
      <c r="DT213" s="662"/>
      <c r="DU213" s="713">
        <f>(DU197+DU198+DU199-DU203-DU204-DU205-DU206-DU210)-DU212</f>
        <v>0</v>
      </c>
      <c r="DV213" s="662"/>
      <c r="DW213" s="713">
        <f>(DW197+DW198+DW199-DW203-DW204-DW205-DW206-DW210)-DW212</f>
        <v>0</v>
      </c>
      <c r="DX213" s="662"/>
      <c r="DY213" s="713">
        <f>(DY197+DY198+DY199-DY203-DY204-DY205-DY206-DY210)-DY212</f>
        <v>0</v>
      </c>
      <c r="DZ213" s="662"/>
      <c r="EA213" s="713">
        <f>(EA197+EA198+EA199-EA203-EA204-EA205-EA206-EA210)-EA212</f>
        <v>0</v>
      </c>
      <c r="EB213" s="662"/>
      <c r="EC213" s="713">
        <f>(EC197+EC198+EC199-EC203-EC204-EC205-EC206-EC210)-EC212</f>
        <v>0</v>
      </c>
      <c r="ED213" s="662"/>
      <c r="EE213" s="713">
        <f>(EE197+EE198+EE199-EE203-EE204-EE205-EE206-EE210)-EE212</f>
        <v>0</v>
      </c>
      <c r="EF213" s="662"/>
      <c r="EG213" s="713">
        <f>(EG197+EG198+EG199-EG203-EG204-EG205-EG206-EG210)-EG212</f>
        <v>0</v>
      </c>
      <c r="EH213" s="662"/>
      <c r="EI213" s="713">
        <f>(EI197+EI198+EI199-EI203-EI204-EI205-EI206-EI210)-EI212</f>
        <v>0</v>
      </c>
      <c r="EJ213" s="662"/>
      <c r="EK213" s="713">
        <f>(EK197+EK198+EK199-EK203-EK204-EK205-EK206-EK210)-EK212</f>
        <v>0</v>
      </c>
      <c r="EL213" s="662"/>
      <c r="EM213" s="662"/>
    </row>
    <row r="214" spans="1:143" ht="12.75" hidden="1" customHeight="1" outlineLevel="1" collapsed="1" x14ac:dyDescent="0.2">
      <c r="A214" s="701"/>
      <c r="B214" s="16"/>
      <c r="C214" s="687"/>
      <c r="D214" s="16"/>
      <c r="E214" s="687"/>
      <c r="F214" s="16"/>
      <c r="G214" s="687"/>
      <c r="H214" s="16"/>
      <c r="I214" s="687"/>
      <c r="J214" s="16"/>
      <c r="K214" s="687"/>
      <c r="L214" s="16"/>
      <c r="M214" s="687"/>
      <c r="N214" s="16"/>
      <c r="O214" s="687"/>
      <c r="P214" s="16"/>
      <c r="Q214" s="687"/>
      <c r="R214" s="16"/>
      <c r="S214" s="687"/>
      <c r="T214" s="16"/>
      <c r="U214" s="687"/>
      <c r="V214" s="16"/>
      <c r="W214" s="687"/>
      <c r="X214" s="16"/>
      <c r="Y214" s="687"/>
      <c r="Z214" s="16"/>
      <c r="AA214" s="687"/>
      <c r="AB214" s="16"/>
      <c r="AC214" s="687"/>
      <c r="AD214" s="16"/>
      <c r="AE214" s="687"/>
      <c r="AF214" s="16"/>
      <c r="AG214" s="687"/>
      <c r="AH214" s="16"/>
      <c r="AI214" s="687"/>
      <c r="AJ214" s="16"/>
      <c r="AK214" s="687"/>
      <c r="AL214" s="16"/>
      <c r="AM214" s="687"/>
      <c r="AN214" s="16"/>
      <c r="AO214" s="687"/>
      <c r="AP214" s="16"/>
      <c r="AQ214" s="687"/>
      <c r="AR214" s="16"/>
      <c r="AS214" s="687"/>
      <c r="AT214" s="16"/>
      <c r="AU214" s="687"/>
      <c r="AV214" s="16"/>
      <c r="AW214" s="687"/>
      <c r="AX214" s="16"/>
      <c r="AY214" s="687"/>
      <c r="AZ214" s="16"/>
      <c r="BA214" s="687"/>
      <c r="BB214" s="16"/>
      <c r="BC214" s="687"/>
      <c r="BD214" s="16"/>
      <c r="BE214" s="687"/>
      <c r="BF214" s="16"/>
      <c r="BG214" s="687"/>
      <c r="BH214" s="16"/>
      <c r="BI214" s="687"/>
      <c r="BJ214" s="16"/>
      <c r="BK214" s="687"/>
      <c r="BL214" s="16"/>
      <c r="BM214" s="687"/>
      <c r="BN214" s="16"/>
      <c r="BO214" s="687"/>
      <c r="BP214" s="16"/>
      <c r="BQ214" s="687"/>
      <c r="BR214" s="16"/>
      <c r="BS214" s="687"/>
      <c r="BT214" s="16"/>
      <c r="BU214" s="687"/>
      <c r="BV214" s="16"/>
      <c r="BW214" s="687"/>
      <c r="BX214" s="16"/>
      <c r="BY214" s="687"/>
      <c r="BZ214" s="16"/>
      <c r="CA214" s="687"/>
      <c r="CB214" s="16"/>
      <c r="CC214" s="687"/>
      <c r="CD214" s="16"/>
      <c r="CE214" s="687"/>
      <c r="CF214" s="16"/>
      <c r="CG214" s="687"/>
      <c r="CH214" s="16"/>
      <c r="CI214" s="687"/>
      <c r="CJ214" s="16"/>
      <c r="CK214" s="687"/>
      <c r="CL214" s="16"/>
      <c r="CM214" s="687"/>
      <c r="CN214" s="16"/>
      <c r="CO214" s="687"/>
      <c r="CP214" s="16"/>
      <c r="CQ214" s="687"/>
      <c r="CR214" s="16"/>
      <c r="CS214" s="687"/>
      <c r="CT214" s="16"/>
      <c r="CU214" s="687"/>
      <c r="CV214" s="16"/>
      <c r="CW214" s="687"/>
      <c r="CX214" s="16"/>
      <c r="CY214" s="687"/>
      <c r="CZ214" s="16"/>
      <c r="DA214" s="687"/>
      <c r="DB214" s="16"/>
      <c r="DC214" s="16"/>
      <c r="DD214" s="687"/>
      <c r="DE214" s="16"/>
      <c r="DF214" s="687"/>
      <c r="DG214" s="16"/>
      <c r="DH214" s="687"/>
      <c r="DI214" s="16"/>
      <c r="DJ214" s="687"/>
      <c r="DK214" s="16"/>
      <c r="DL214" s="687"/>
      <c r="DM214" s="16"/>
      <c r="DN214" s="687"/>
      <c r="DO214" s="16"/>
      <c r="DP214" s="687"/>
      <c r="DQ214" s="16"/>
      <c r="DR214" s="687"/>
      <c r="DS214" s="16"/>
      <c r="DT214" s="687"/>
      <c r="DU214" s="16"/>
      <c r="DV214" s="687"/>
      <c r="DW214" s="16"/>
      <c r="DX214" s="687"/>
      <c r="DY214" s="16"/>
      <c r="DZ214" s="687"/>
      <c r="EA214" s="16"/>
      <c r="EB214" s="687"/>
      <c r="EC214" s="16"/>
      <c r="ED214" s="687"/>
      <c r="EE214" s="16"/>
      <c r="EF214" s="687"/>
      <c r="EG214" s="16"/>
      <c r="EH214" s="687"/>
      <c r="EI214" s="16"/>
      <c r="EJ214" s="687"/>
      <c r="EK214" s="16"/>
      <c r="EL214" s="687"/>
      <c r="EM214" s="687"/>
    </row>
    <row r="215" spans="1:143" ht="12.75" hidden="1" customHeight="1" outlineLevel="1" x14ac:dyDescent="0.2">
      <c r="A215" s="715" t="s">
        <v>303</v>
      </c>
      <c r="B215" s="16"/>
      <c r="C215" s="687"/>
      <c r="D215" s="16"/>
      <c r="E215" s="687"/>
      <c r="F215" s="16"/>
      <c r="G215" s="687"/>
      <c r="H215" s="16"/>
      <c r="I215" s="687"/>
      <c r="J215" s="16"/>
      <c r="K215" s="687"/>
      <c r="L215" s="16"/>
      <c r="M215" s="687"/>
      <c r="N215" s="16"/>
      <c r="O215" s="687"/>
      <c r="P215" s="16"/>
      <c r="Q215" s="687"/>
      <c r="R215" s="16"/>
      <c r="S215" s="687"/>
      <c r="T215" s="16"/>
      <c r="U215" s="687"/>
      <c r="V215" s="16"/>
      <c r="W215" s="687"/>
      <c r="X215" s="16"/>
      <c r="Y215" s="687"/>
      <c r="Z215" s="16"/>
      <c r="AA215" s="687"/>
      <c r="AB215" s="16"/>
      <c r="AC215" s="687"/>
      <c r="AD215" s="16"/>
      <c r="AE215" s="687"/>
      <c r="AF215" s="16"/>
      <c r="AG215" s="687"/>
      <c r="AH215" s="16"/>
      <c r="AI215" s="687"/>
      <c r="AJ215" s="16"/>
      <c r="AK215" s="687"/>
      <c r="AL215" s="16"/>
      <c r="AM215" s="687"/>
      <c r="AN215" s="16"/>
      <c r="AO215" s="687"/>
      <c r="AP215" s="16"/>
      <c r="AQ215" s="687"/>
      <c r="AR215" s="16"/>
      <c r="AS215" s="687"/>
      <c r="AT215" s="16"/>
      <c r="AU215" s="687"/>
      <c r="AV215" s="16"/>
      <c r="AW215" s="687"/>
      <c r="AX215" s="16"/>
      <c r="AY215" s="687"/>
      <c r="AZ215" s="16"/>
      <c r="BA215" s="687"/>
      <c r="BB215" s="16"/>
      <c r="BC215" s="687"/>
      <c r="BD215" s="16"/>
      <c r="BE215" s="687"/>
      <c r="BF215" s="16"/>
      <c r="BG215" s="687"/>
      <c r="BH215" s="16"/>
      <c r="BI215" s="687"/>
      <c r="BJ215" s="16"/>
      <c r="BK215" s="687"/>
      <c r="BL215" s="16"/>
      <c r="BM215" s="687"/>
      <c r="BN215" s="16"/>
      <c r="BO215" s="687"/>
      <c r="BP215" s="16"/>
      <c r="BQ215" s="687"/>
      <c r="BR215" s="16"/>
      <c r="BS215" s="687"/>
      <c r="BT215" s="16"/>
      <c r="BU215" s="687"/>
      <c r="BV215" s="16"/>
      <c r="BW215" s="687"/>
      <c r="BX215" s="16"/>
      <c r="BY215" s="687"/>
      <c r="BZ215" s="16"/>
      <c r="CA215" s="687"/>
      <c r="CB215" s="16"/>
      <c r="CC215" s="687"/>
      <c r="CD215" s="16"/>
      <c r="CE215" s="687"/>
      <c r="CF215" s="16"/>
      <c r="CG215" s="687"/>
      <c r="CH215" s="16"/>
      <c r="CI215" s="687"/>
      <c r="CJ215" s="16"/>
      <c r="CK215" s="687"/>
      <c r="CL215" s="16"/>
      <c r="CM215" s="687"/>
      <c r="CN215" s="16"/>
      <c r="CO215" s="687"/>
      <c r="CP215" s="16"/>
      <c r="CQ215" s="687"/>
      <c r="CR215" s="16"/>
      <c r="CS215" s="687"/>
      <c r="CT215" s="16"/>
      <c r="CU215" s="687"/>
      <c r="CV215" s="16"/>
      <c r="CW215" s="687"/>
      <c r="CX215" s="16"/>
      <c r="CY215" s="687"/>
      <c r="CZ215" s="16"/>
      <c r="DA215" s="687"/>
      <c r="DB215" s="16"/>
      <c r="DC215" s="16"/>
      <c r="DD215" s="687"/>
      <c r="DE215" s="16"/>
      <c r="DF215" s="687"/>
      <c r="DG215" s="16"/>
      <c r="DH215" s="687"/>
      <c r="DI215" s="16"/>
      <c r="DJ215" s="687"/>
      <c r="DK215" s="16"/>
      <c r="DL215" s="687"/>
      <c r="DM215" s="16"/>
      <c r="DN215" s="687"/>
      <c r="DO215" s="16"/>
      <c r="DP215" s="687"/>
      <c r="DQ215" s="16"/>
      <c r="DR215" s="687"/>
      <c r="DS215" s="16"/>
      <c r="DT215" s="687"/>
      <c r="DU215" s="16"/>
      <c r="DV215" s="687"/>
      <c r="DW215" s="16"/>
      <c r="DX215" s="687"/>
      <c r="DY215" s="16"/>
      <c r="DZ215" s="687"/>
      <c r="EA215" s="16"/>
      <c r="EB215" s="687"/>
      <c r="EC215" s="16"/>
      <c r="ED215" s="687"/>
      <c r="EE215" s="16"/>
      <c r="EF215" s="687"/>
      <c r="EG215" s="16"/>
      <c r="EH215" s="687"/>
      <c r="EI215" s="16"/>
      <c r="EJ215" s="687"/>
      <c r="EK215" s="16"/>
      <c r="EL215" s="687"/>
      <c r="EM215" s="687"/>
    </row>
    <row r="216" spans="1:143" ht="12.75" hidden="1" customHeight="1" outlineLevel="1" x14ac:dyDescent="0.2">
      <c r="A216" s="522" t="s">
        <v>304</v>
      </c>
      <c r="B216" s="156">
        <f>INPUT!AY571</f>
        <v>26.886945254292193</v>
      </c>
      <c r="C216" s="687">
        <f>INPUT!AZ571</f>
        <v>12.818055074861201</v>
      </c>
      <c r="D216" s="156">
        <f>INPUT!BA571</f>
        <v>26.862731780207849</v>
      </c>
      <c r="E216" s="687">
        <f>INPUT!BB571</f>
        <v>61.063153934973698</v>
      </c>
      <c r="F216" s="156">
        <f>INPUT!BC571</f>
        <v>30.725915044681116</v>
      </c>
      <c r="G216" s="687">
        <f>INPUT!BD571</f>
        <v>-18.453421471416299</v>
      </c>
      <c r="H216" s="156">
        <f>INPUT!BE571</f>
        <v>33.495809308684535</v>
      </c>
      <c r="I216" s="687">
        <f>INPUT!BF571</f>
        <v>21.291207374684372</v>
      </c>
      <c r="J216" s="156">
        <f>INPUT!BG571</f>
        <v>34.741060419235495</v>
      </c>
      <c r="K216" s="687">
        <f>INPUT!BH571</f>
        <v>29.211630739975881</v>
      </c>
      <c r="L216" s="156">
        <f>INPUT!BI571</f>
        <v>35.571296581459805</v>
      </c>
      <c r="M216" s="687">
        <f>INPUT!BJ571</f>
        <v>32.418760952928572</v>
      </c>
      <c r="N216" s="156">
        <f>INPUT!BK571</f>
        <v>42.320310169997015</v>
      </c>
      <c r="O216" s="687">
        <f>INPUT!BL571</f>
        <v>37.734905887930495</v>
      </c>
      <c r="P216" s="156">
        <f>INPUT!BM571</f>
        <v>43.450210378681625</v>
      </c>
      <c r="Q216" s="687">
        <f>INPUT!BN571</f>
        <v>29.718347684216685</v>
      </c>
      <c r="R216" s="156">
        <f>INPUT!BO571</f>
        <v>35.435139573070607</v>
      </c>
      <c r="S216" s="687">
        <f>INPUT!BP571</f>
        <v>1.9978640417401161</v>
      </c>
      <c r="T216" s="156">
        <f>INPUT!BQ571</f>
        <v>37.653920933246937</v>
      </c>
      <c r="U216" s="687">
        <f>INPUT!BR571</f>
        <v>5.8547889785738771</v>
      </c>
      <c r="V216" s="156">
        <f>INPUT!BS571</f>
        <v>37.428571428571431</v>
      </c>
      <c r="W216" s="687">
        <f>INPUT!BT571</f>
        <v>-11.558844256518663</v>
      </c>
      <c r="X216" s="156">
        <f>INPUT!BU571</f>
        <v>35.203366058906006</v>
      </c>
      <c r="Y216" s="687">
        <f>INPUT!BV571</f>
        <v>-18.979987088444204</v>
      </c>
      <c r="Z216" s="156">
        <f>INPUT!BW571</f>
        <v>37.800511508951409</v>
      </c>
      <c r="AA216" s="687">
        <f>INPUT!BX571</f>
        <v>6.6752155187739026</v>
      </c>
      <c r="AB216" s="156">
        <f>INPUT!BY571</f>
        <v>31.548480463096944</v>
      </c>
      <c r="AC216" s="687">
        <f>INPUT!BZ571</f>
        <v>-16.214620732257202</v>
      </c>
      <c r="AD216" s="156">
        <f>INPUT!CA571</f>
        <v>30.400367098772531</v>
      </c>
      <c r="AE216" s="687">
        <f>INPUT!CB571</f>
        <v>-18.777645155951262</v>
      </c>
      <c r="AF216" s="156">
        <f>INPUT!CC571</f>
        <v>33.767100433767098</v>
      </c>
      <c r="AG216" s="687">
        <f>INPUT!CD571</f>
        <v>-4.0799099232033509</v>
      </c>
      <c r="AH216" s="156">
        <f>INPUT!CE571</f>
        <v>34.498587570621446</v>
      </c>
      <c r="AI216" s="687">
        <f>INPUT!CF571</f>
        <v>-8.7351303104669533</v>
      </c>
      <c r="AJ216" s="156">
        <f>INPUT!CG571</f>
        <v>34.8813209494324</v>
      </c>
      <c r="AK216" s="687">
        <f>INPUT!CH571</f>
        <v>10.564187046136709</v>
      </c>
      <c r="AL216" s="156">
        <f>INPUT!CI571</f>
        <v>40.518465909090892</v>
      </c>
      <c r="AM216" s="687">
        <f>INPUT!CJ571</f>
        <v>33.282817860205704</v>
      </c>
      <c r="AN216" s="156">
        <f>INPUT!CK571</f>
        <v>40.725806451612925</v>
      </c>
      <c r="AO216" s="687">
        <f>INPUT!CL571</f>
        <v>20.607946576565173</v>
      </c>
      <c r="AP216" s="156">
        <f>INPUT!CM571</f>
        <v>45.668720550924249</v>
      </c>
      <c r="AQ216" s="687">
        <f>INPUT!CN571</f>
        <v>32.378522620488795</v>
      </c>
      <c r="AR216" s="156">
        <f>INPUT!CO571</f>
        <v>44.963905122035072</v>
      </c>
      <c r="AS216" s="687">
        <f>INPUT!CP571</f>
        <v>28.905396636840219</v>
      </c>
      <c r="AT216" s="156">
        <f>INPUT!CQ571</f>
        <v>39.405560882070958</v>
      </c>
      <c r="AU216" s="687">
        <f>INPUT!CR571</f>
        <v>-2.746661311207832</v>
      </c>
      <c r="AV216" s="156">
        <f>INPUT!CS571</f>
        <v>46.785714285714285</v>
      </c>
      <c r="AW216" s="687">
        <f>INPUT!CT571</f>
        <v>14.879773691654808</v>
      </c>
      <c r="AX216" s="156">
        <f>INPUT!CU571</f>
        <v>46.757679180887372</v>
      </c>
      <c r="AY216" s="687">
        <f>INPUT!CV571</f>
        <v>2.3844736984668602</v>
      </c>
      <c r="AZ216" s="156">
        <f>INPUT!CW571</f>
        <v>49.491525423728817</v>
      </c>
      <c r="BA216" s="687">
        <f>INPUT!CX571</f>
        <v>10.069455242834181</v>
      </c>
      <c r="BB216" s="156">
        <f>INPUT!CY571</f>
        <v>45.121951219512198</v>
      </c>
      <c r="BC216" s="687">
        <f>INPUT!CZ571</f>
        <v>14.506557474333848</v>
      </c>
      <c r="BD216" s="156">
        <f>INPUT!DA571</f>
        <v>50.993377483443716</v>
      </c>
      <c r="BE216" s="687">
        <f>INPUT!DB571</f>
        <v>8.9934785905667169</v>
      </c>
      <c r="BF216" s="156">
        <f>INPUT!DC571</f>
        <v>53.266688554027162</v>
      </c>
      <c r="BG216" s="687">
        <f>INPUT!DD571</f>
        <v>13.920728075401168</v>
      </c>
      <c r="BH216" s="156">
        <f>INPUT!DE571</f>
        <v>56.024096385542165</v>
      </c>
      <c r="BI216" s="687">
        <f>INPUT!DF571</f>
        <v>13.199372833800949</v>
      </c>
      <c r="BJ216" s="156">
        <f>INPUT!DG571</f>
        <v>57.227138643067846</v>
      </c>
      <c r="BK216" s="687">
        <f>INPUT!DH571</f>
        <v>26.827712668420634</v>
      </c>
      <c r="BL216" s="156">
        <f>INPUT!DI571</f>
        <v>56.582633053221286</v>
      </c>
      <c r="BM216" s="687">
        <f>INPUT!DJ571</f>
        <v>10.960747935537828</v>
      </c>
      <c r="BN216" s="156">
        <f>INPUT!DK571</f>
        <v>59.340659340659343</v>
      </c>
      <c r="BO216" s="687">
        <f>INPUT!DL571</f>
        <v>11.402944225585742</v>
      </c>
      <c r="BP216" s="156">
        <f>INPUT!DM571</f>
        <v>59.114583333333336</v>
      </c>
      <c r="BQ216" s="687">
        <f>INPUT!DN571</f>
        <v>5.5163530465949906</v>
      </c>
      <c r="BR216" s="156">
        <f>INPUT!DO571</f>
        <v>57.67326732673267</v>
      </c>
      <c r="BS216" s="687">
        <f>INPUT!DP571</f>
        <v>0.77957538021842243</v>
      </c>
      <c r="BT216" s="156">
        <f>INPUT!DQ571</f>
        <v>61.240310077519375</v>
      </c>
      <c r="BU216" s="687">
        <f>INPUT!DR571</f>
        <v>8.2316371172000977</v>
      </c>
      <c r="BV216" s="156">
        <f>INPUT!DS571</f>
        <v>67.897727272727266</v>
      </c>
      <c r="BW216" s="687">
        <f>INPUT!DT571</f>
        <v>14.420244107744097</v>
      </c>
      <c r="BX216" s="156">
        <f>INPUT!DU571</f>
        <v>67.282321899736147</v>
      </c>
      <c r="BY216" s="687">
        <f>INPUT!DV571</f>
        <v>13.816791231271708</v>
      </c>
      <c r="BZ216" s="156">
        <f>INPUT!DW571</f>
        <v>60.260972716488723</v>
      </c>
      <c r="CA216" s="687">
        <f>INPUT!DX571</f>
        <v>60.260972716488723</v>
      </c>
      <c r="CB216" s="156">
        <f>INPUT!DY571</f>
        <v>63.612565445026178</v>
      </c>
      <c r="CC216" s="687">
        <f>INPUT!DZ571</f>
        <v>3.8736828152959202</v>
      </c>
      <c r="CD216" s="156">
        <f>INPUT!EA571</f>
        <v>61.325966850828728</v>
      </c>
      <c r="CE216" s="687">
        <f>INPUT!EB571</f>
        <v>-9.6789107468965963</v>
      </c>
      <c r="CF216" s="156">
        <f>INPUT!EC571</f>
        <v>63.002680965147448</v>
      </c>
      <c r="CG216" s="687">
        <f>INPUT!ED571</f>
        <v>-6.3607212321926117</v>
      </c>
      <c r="CH216" s="156">
        <f>INPUT!EE571</f>
        <v>60.470242468772959</v>
      </c>
      <c r="CI216" s="687">
        <f>INPUT!EF571</f>
        <v>0.34727244325907236</v>
      </c>
      <c r="CJ216" s="156">
        <f>INPUT!EG571</f>
        <v>59.168704156479215</v>
      </c>
      <c r="CK216" s="687">
        <f>INPUT!EH571</f>
        <v>-6.9858230955758831</v>
      </c>
      <c r="CL216" s="156">
        <f>INPUT!EI571</f>
        <v>60.301507537688437</v>
      </c>
      <c r="CM216" s="687">
        <f>INPUT!EJ571</f>
        <v>-1.6705147358413774</v>
      </c>
      <c r="CN216" s="156">
        <f>INPUT!EK571</f>
        <v>59.904534606205253</v>
      </c>
      <c r="CO216" s="687">
        <f>INPUT!EL571</f>
        <v>-4.9174833697252733</v>
      </c>
      <c r="CP216" s="156">
        <f>INPUT!EM571</f>
        <v>60.438292964244525</v>
      </c>
      <c r="CQ216" s="687">
        <f>INPUT!EN571</f>
        <v>-5.2835085860514219E-2</v>
      </c>
      <c r="CR216" s="156">
        <f>INPUT!EO571</f>
        <v>60.227272727272727</v>
      </c>
      <c r="CS216" s="687">
        <f>INPUT!EP571</f>
        <v>1.7890683696468956</v>
      </c>
      <c r="CT216" s="156">
        <f>INPUT!EQ571</f>
        <v>64.768351843578614</v>
      </c>
      <c r="CU216" s="687">
        <f>INPUT!ER571</f>
        <v>7.4075168072678776</v>
      </c>
      <c r="CV216" s="156">
        <f>INPUT!ES571</f>
        <v>60.772537734292776</v>
      </c>
      <c r="CW216" s="687">
        <f>INPUT!ET571</f>
        <v>1.4489773333413281</v>
      </c>
      <c r="CX216" s="156">
        <f>INPUT!EU571</f>
        <v>59.181601709300224</v>
      </c>
      <c r="CY216" s="687">
        <f>INPUT!EV571</f>
        <v>-2.0792964084670018</v>
      </c>
      <c r="CZ216" s="156">
        <f>INPUT!EW571</f>
        <v>58.432191938040901</v>
      </c>
      <c r="DA216" s="687">
        <f>INPUT!EX571</f>
        <v>-2.9805114991019011</v>
      </c>
      <c r="DB216" s="16"/>
      <c r="DC216" s="156">
        <f>INPUT!FP571</f>
        <v>26.684111169617136</v>
      </c>
      <c r="DD216" s="687" t="str">
        <f>INPUT!FQ571</f>
        <v>NA</v>
      </c>
      <c r="DE216" s="156">
        <f>INPUT!FR571</f>
        <v>29.768229512551475</v>
      </c>
      <c r="DF216" s="687">
        <f>INPUT!FS571</f>
        <v>11.557882978864043</v>
      </c>
      <c r="DG216" s="156">
        <f>INPUT!FT571</f>
        <v>39.152807815646192</v>
      </c>
      <c r="DH216" s="687">
        <f>INPUT!FU571</f>
        <v>31.525483566759661</v>
      </c>
      <c r="DI216" s="156">
        <f>INPUT!FV571</f>
        <v>36.541155866900205</v>
      </c>
      <c r="DJ216" s="687">
        <f>INPUT!FW571</f>
        <v>-6.6704078058542731</v>
      </c>
      <c r="DK216" s="156">
        <f>INPUT!FX571</f>
        <v>33.194676403771773</v>
      </c>
      <c r="DL216" s="687">
        <f>INPUT!FY571</f>
        <v>-9.1581105844540271</v>
      </c>
      <c r="DM216" s="156">
        <f>INPUT!FZ571</f>
        <v>37.672361460411103</v>
      </c>
      <c r="DN216" s="687">
        <f>INPUT!GA571</f>
        <v>13.489166160783995</v>
      </c>
      <c r="DO216" s="156">
        <f>INPUT!GB571</f>
        <v>44.071742692075553</v>
      </c>
      <c r="DP216" s="687">
        <f>INPUT!GC571</f>
        <v>16.98693945265255</v>
      </c>
      <c r="DQ216" s="156">
        <f>INPUT!GD571</f>
        <v>48.029556650246306</v>
      </c>
      <c r="DR216" s="687">
        <f>INPUT!GE571</f>
        <v>8.9803890575046452</v>
      </c>
      <c r="DS216" s="156">
        <f>INPUT!GF571</f>
        <v>55.861373330378186</v>
      </c>
      <c r="DT216" s="687">
        <f>INPUT!GG571</f>
        <v>16.306243959659206</v>
      </c>
      <c r="DU216" s="156">
        <f>INPUT!GH571</f>
        <v>59.324236517218978</v>
      </c>
      <c r="DV216" s="687">
        <f>INPUT!GI571</f>
        <v>6.1990298132495791</v>
      </c>
      <c r="DW216" s="156">
        <f>INPUT!GJ571</f>
        <v>64.581296839361357</v>
      </c>
      <c r="DX216" s="687">
        <f>INPUT!GK571</f>
        <v>8.8615726569300399</v>
      </c>
      <c r="DY216" s="156">
        <f>INPUT!GL571</f>
        <v>60.93538620112092</v>
      </c>
      <c r="DZ216" s="687">
        <f>INPUT!GM571</f>
        <v>-5.6454590054288101</v>
      </c>
      <c r="EA216" s="156">
        <f>INPUT!GN571</f>
        <v>60.218870156758356</v>
      </c>
      <c r="EB216" s="687">
        <f>INPUT!GO571</f>
        <v>-1.1758619892842881</v>
      </c>
      <c r="EC216" s="156">
        <f>INPUT!GP571</f>
        <v>60.673401221271426</v>
      </c>
      <c r="ED216" s="687">
        <f>INPUT!GQ571</f>
        <v>0.75479839347676325</v>
      </c>
      <c r="EE216" s="156">
        <f>INPUT!GR571</f>
        <v>59.148895966737982</v>
      </c>
      <c r="EF216" s="687">
        <f>INPUT!GS571</f>
        <v>-2.5126418230184355</v>
      </c>
      <c r="EG216" s="156">
        <f>INPUT!GT571</f>
        <v>57.180580220464897</v>
      </c>
      <c r="EH216" s="687">
        <f>INPUT!GU571</f>
        <v>-3.3277303221009524</v>
      </c>
      <c r="EI216" s="156">
        <f>INPUT!GV571</f>
        <v>57.848613728040498</v>
      </c>
      <c r="EJ216" s="687">
        <f>INPUT!GW571</f>
        <v>1.168287388830147</v>
      </c>
      <c r="EK216" s="156">
        <f>INPUT!GX571</f>
        <v>58.588097003336827</v>
      </c>
      <c r="EL216" s="687">
        <f>INPUT!GY571</f>
        <v>1.2783076855960696</v>
      </c>
      <c r="EM216" s="687">
        <f>INPUT!GZ571</f>
        <v>-0.54757944444808748</v>
      </c>
    </row>
    <row r="217" spans="1:143" ht="12.75" hidden="1" customHeight="1" outlineLevel="1" x14ac:dyDescent="0.2">
      <c r="A217" s="700"/>
      <c r="B217" s="16"/>
      <c r="C217" s="687"/>
      <c r="D217" s="16"/>
      <c r="E217" s="687"/>
      <c r="F217" s="16"/>
      <c r="G217" s="687"/>
      <c r="H217" s="16"/>
      <c r="I217" s="687"/>
      <c r="J217" s="16"/>
      <c r="K217" s="687"/>
      <c r="L217" s="16"/>
      <c r="M217" s="687"/>
      <c r="N217" s="16"/>
      <c r="O217" s="687"/>
      <c r="P217" s="16"/>
      <c r="Q217" s="687"/>
      <c r="R217" s="16"/>
      <c r="S217" s="687"/>
      <c r="T217" s="16"/>
      <c r="U217" s="687"/>
      <c r="V217" s="16"/>
      <c r="W217" s="687"/>
      <c r="X217" s="16"/>
      <c r="Y217" s="687"/>
      <c r="Z217" s="16"/>
      <c r="AA217" s="687"/>
      <c r="AB217" s="16"/>
      <c r="AC217" s="687"/>
      <c r="AD217" s="16"/>
      <c r="AE217" s="687"/>
      <c r="AF217" s="16"/>
      <c r="AG217" s="687"/>
      <c r="AH217" s="16"/>
      <c r="AI217" s="687"/>
      <c r="AJ217" s="16"/>
      <c r="AK217" s="687"/>
      <c r="AL217" s="16"/>
      <c r="AM217" s="687"/>
      <c r="AN217" s="16"/>
      <c r="AO217" s="687"/>
      <c r="AP217" s="16"/>
      <c r="AQ217" s="687"/>
      <c r="AR217" s="16"/>
      <c r="AS217" s="687"/>
      <c r="AT217" s="16"/>
      <c r="AU217" s="687"/>
      <c r="AV217" s="16"/>
      <c r="AW217" s="687"/>
      <c r="AX217" s="16"/>
      <c r="AY217" s="687"/>
      <c r="AZ217" s="16"/>
      <c r="BA217" s="687"/>
      <c r="BB217" s="16"/>
      <c r="BC217" s="687"/>
      <c r="BD217" s="16"/>
      <c r="BE217" s="687"/>
      <c r="BF217" s="16"/>
      <c r="BG217" s="687"/>
      <c r="BH217" s="16"/>
      <c r="BI217" s="687"/>
      <c r="BJ217" s="16"/>
      <c r="BK217" s="687"/>
      <c r="BL217" s="16"/>
      <c r="BM217" s="687"/>
      <c r="BN217" s="16"/>
      <c r="BO217" s="687"/>
      <c r="BP217" s="16"/>
      <c r="BQ217" s="687"/>
      <c r="BR217" s="16"/>
      <c r="BS217" s="687"/>
      <c r="BT217" s="16"/>
      <c r="BU217" s="687"/>
      <c r="BV217" s="16"/>
      <c r="BW217" s="687"/>
      <c r="BX217" s="16"/>
      <c r="BY217" s="687"/>
      <c r="BZ217" s="16"/>
      <c r="CA217" s="687"/>
      <c r="CB217" s="16"/>
      <c r="CC217" s="687"/>
      <c r="CD217" s="16"/>
      <c r="CE217" s="687"/>
      <c r="CF217" s="16"/>
      <c r="CG217" s="687"/>
      <c r="CH217" s="16"/>
      <c r="CI217" s="687"/>
      <c r="CJ217" s="16"/>
      <c r="CK217" s="687"/>
      <c r="CL217" s="16"/>
      <c r="CM217" s="687"/>
      <c r="CN217" s="16"/>
      <c r="CO217" s="687"/>
      <c r="CP217" s="16"/>
      <c r="CQ217" s="687"/>
      <c r="CR217" s="16"/>
      <c r="CS217" s="687"/>
      <c r="CT217" s="16"/>
      <c r="CU217" s="687"/>
      <c r="CV217" s="16"/>
      <c r="CW217" s="687"/>
      <c r="CX217" s="16"/>
      <c r="CY217" s="687"/>
      <c r="CZ217" s="16"/>
      <c r="DA217" s="687"/>
      <c r="DB217" s="16"/>
      <c r="DC217" s="16"/>
      <c r="DD217" s="687"/>
      <c r="DE217" s="16"/>
      <c r="DF217" s="687"/>
      <c r="DG217" s="16"/>
      <c r="DH217" s="687"/>
      <c r="DI217" s="16"/>
      <c r="DJ217" s="687"/>
      <c r="DK217" s="16"/>
      <c r="DL217" s="687"/>
      <c r="DM217" s="16"/>
      <c r="DN217" s="687"/>
      <c r="DO217" s="16"/>
      <c r="DP217" s="687"/>
      <c r="DQ217" s="16"/>
      <c r="DR217" s="687"/>
      <c r="DS217" s="16"/>
      <c r="DT217" s="687"/>
      <c r="DU217" s="16"/>
      <c r="DV217" s="687"/>
      <c r="DW217" s="16"/>
      <c r="DX217" s="687"/>
      <c r="DY217" s="16"/>
      <c r="DZ217" s="687"/>
      <c r="EA217" s="16"/>
      <c r="EB217" s="687"/>
      <c r="EC217" s="16"/>
      <c r="ED217" s="687"/>
      <c r="EE217" s="16"/>
      <c r="EF217" s="687"/>
      <c r="EG217" s="16"/>
      <c r="EH217" s="687"/>
      <c r="EI217" s="16"/>
      <c r="EJ217" s="687"/>
      <c r="EK217" s="16"/>
      <c r="EL217" s="687"/>
      <c r="EM217" s="687"/>
    </row>
    <row r="218" spans="1:143" ht="12.75" hidden="1" customHeight="1" outlineLevel="1" x14ac:dyDescent="0.2">
      <c r="A218" s="700" t="s">
        <v>18</v>
      </c>
      <c r="B218" s="16"/>
      <c r="C218" s="687"/>
      <c r="D218" s="16"/>
      <c r="E218" s="687"/>
      <c r="F218" s="16"/>
      <c r="G218" s="687"/>
      <c r="H218" s="16"/>
      <c r="I218" s="687"/>
      <c r="J218" s="16"/>
      <c r="K218" s="687"/>
      <c r="L218" s="16"/>
      <c r="M218" s="687"/>
      <c r="N218" s="16"/>
      <c r="O218" s="687"/>
      <c r="P218" s="16"/>
      <c r="Q218" s="687"/>
      <c r="R218" s="16"/>
      <c r="S218" s="687"/>
      <c r="T218" s="16"/>
      <c r="U218" s="687"/>
      <c r="V218" s="16"/>
      <c r="W218" s="687"/>
      <c r="X218" s="16"/>
      <c r="Y218" s="687"/>
      <c r="Z218" s="16"/>
      <c r="AA218" s="687"/>
      <c r="AB218" s="16"/>
      <c r="AC218" s="687"/>
      <c r="AD218" s="16"/>
      <c r="AE218" s="687"/>
      <c r="AF218" s="16"/>
      <c r="AG218" s="687"/>
      <c r="AH218" s="16"/>
      <c r="AI218" s="687"/>
      <c r="AJ218" s="16"/>
      <c r="AK218" s="687"/>
      <c r="AL218" s="16"/>
      <c r="AM218" s="687"/>
      <c r="AN218" s="16"/>
      <c r="AO218" s="687"/>
      <c r="AP218" s="16"/>
      <c r="AQ218" s="687"/>
      <c r="AR218" s="16"/>
      <c r="AS218" s="687"/>
      <c r="AT218" s="16"/>
      <c r="AU218" s="687"/>
      <c r="AV218" s="16"/>
      <c r="AW218" s="687"/>
      <c r="AX218" s="16"/>
      <c r="AY218" s="687"/>
      <c r="AZ218" s="16"/>
      <c r="BA218" s="687"/>
      <c r="BB218" s="16"/>
      <c r="BC218" s="687"/>
      <c r="BD218" s="16"/>
      <c r="BE218" s="687"/>
      <c r="BF218" s="16"/>
      <c r="BG218" s="687"/>
      <c r="BH218" s="16"/>
      <c r="BI218" s="687"/>
      <c r="BJ218" s="16"/>
      <c r="BK218" s="687"/>
      <c r="BL218" s="16"/>
      <c r="BM218" s="687"/>
      <c r="BN218" s="16"/>
      <c r="BO218" s="687"/>
      <c r="BP218" s="16"/>
      <c r="BQ218" s="687"/>
      <c r="BR218" s="16"/>
      <c r="BS218" s="687"/>
      <c r="BT218" s="16"/>
      <c r="BU218" s="687"/>
      <c r="BV218" s="16"/>
      <c r="BW218" s="687"/>
      <c r="BX218" s="16"/>
      <c r="BY218" s="687"/>
      <c r="BZ218" s="16"/>
      <c r="CA218" s="687"/>
      <c r="CB218" s="16"/>
      <c r="CC218" s="687"/>
      <c r="CD218" s="16"/>
      <c r="CE218" s="687"/>
      <c r="CF218" s="16"/>
      <c r="CG218" s="687"/>
      <c r="CH218" s="16"/>
      <c r="CI218" s="687"/>
      <c r="CJ218" s="16"/>
      <c r="CK218" s="687"/>
      <c r="CL218" s="16"/>
      <c r="CM218" s="687"/>
      <c r="CN218" s="16"/>
      <c r="CO218" s="687"/>
      <c r="CP218" s="16"/>
      <c r="CQ218" s="687"/>
      <c r="CR218" s="16"/>
      <c r="CS218" s="687"/>
      <c r="CT218" s="16"/>
      <c r="CU218" s="687"/>
      <c r="CV218" s="16"/>
      <c r="CW218" s="687"/>
      <c r="CX218" s="16"/>
      <c r="CY218" s="687"/>
      <c r="CZ218" s="16"/>
      <c r="DA218" s="687"/>
      <c r="DB218" s="16"/>
      <c r="DC218" s="16"/>
      <c r="DD218" s="687"/>
      <c r="DE218" s="16"/>
      <c r="DF218" s="687"/>
      <c r="DG218" s="16"/>
      <c r="DH218" s="687"/>
      <c r="DI218" s="16"/>
      <c r="DJ218" s="687"/>
      <c r="DK218" s="16"/>
      <c r="DL218" s="687"/>
      <c r="DM218" s="16"/>
      <c r="DN218" s="687"/>
      <c r="DO218" s="16"/>
      <c r="DP218" s="687"/>
      <c r="DQ218" s="16"/>
      <c r="DR218" s="687"/>
      <c r="DS218" s="16"/>
      <c r="DT218" s="687"/>
      <c r="DU218" s="16"/>
      <c r="DV218" s="687"/>
      <c r="DW218" s="16"/>
      <c r="DX218" s="687"/>
      <c r="DY218" s="16"/>
      <c r="DZ218" s="687"/>
      <c r="EA218" s="16"/>
      <c r="EB218" s="687"/>
      <c r="EC218" s="16"/>
      <c r="ED218" s="687"/>
      <c r="EE218" s="16"/>
      <c r="EF218" s="687"/>
      <c r="EG218" s="16"/>
      <c r="EH218" s="687"/>
      <c r="EI218" s="16"/>
      <c r="EJ218" s="687"/>
      <c r="EK218" s="16"/>
      <c r="EL218" s="687"/>
      <c r="EM218" s="687"/>
    </row>
    <row r="219" spans="1:143" ht="12.75" hidden="1" customHeight="1" outlineLevel="1" x14ac:dyDescent="0.2">
      <c r="A219" s="701" t="s">
        <v>159</v>
      </c>
      <c r="B219" s="151"/>
      <c r="C219" s="687"/>
      <c r="D219" s="151"/>
      <c r="E219" s="687"/>
      <c r="F219" s="151"/>
      <c r="G219" s="687"/>
      <c r="H219" s="151"/>
      <c r="I219" s="687"/>
      <c r="J219" s="151">
        <f>INPUT!BG34</f>
        <v>53776</v>
      </c>
      <c r="K219" s="687" t="str">
        <f>INPUT!BH34</f>
        <v>NA</v>
      </c>
      <c r="L219" s="151">
        <f>INPUT!BI34</f>
        <v>58629</v>
      </c>
      <c r="M219" s="687" t="str">
        <f>INPUT!BJ34</f>
        <v>NA</v>
      </c>
      <c r="N219" s="151">
        <f>INPUT!BK34</f>
        <v>61764</v>
      </c>
      <c r="O219" s="687" t="str">
        <f>INPUT!BL34</f>
        <v>NA</v>
      </c>
      <c r="P219" s="151">
        <f>INPUT!BM34</f>
        <v>62112</v>
      </c>
      <c r="Q219" s="687" t="str">
        <f>INPUT!BN34</f>
        <v>NA</v>
      </c>
      <c r="R219" s="151">
        <f>INPUT!BO34</f>
        <v>58435</v>
      </c>
      <c r="S219" s="687">
        <f>INPUT!BP34</f>
        <v>8.663716155905977</v>
      </c>
      <c r="T219" s="151">
        <f>INPUT!BQ34</f>
        <v>59333</v>
      </c>
      <c r="U219" s="687">
        <f>INPUT!BR34</f>
        <v>1.2007709495301055</v>
      </c>
      <c r="V219" s="151">
        <f>INPUT!BS34</f>
        <v>53530</v>
      </c>
      <c r="W219" s="687">
        <f>INPUT!BT34</f>
        <v>-13.331390453986137</v>
      </c>
      <c r="X219" s="151">
        <f>INPUT!BU34</f>
        <v>44542</v>
      </c>
      <c r="Y219" s="687">
        <f>INPUT!BV34</f>
        <v>-28.287609479649667</v>
      </c>
      <c r="Z219" s="151">
        <f>INPUT!BW34</f>
        <v>43000</v>
      </c>
      <c r="AA219" s="687">
        <f>INPUT!BX34</f>
        <v>-26.413964233764009</v>
      </c>
      <c r="AB219" s="151">
        <f>INPUT!BY34</f>
        <v>49422</v>
      </c>
      <c r="AC219" s="687">
        <f>INPUT!BZ34</f>
        <v>-16.704026427114758</v>
      </c>
      <c r="AD219" s="151">
        <f>INPUT!CA34</f>
        <v>56419</v>
      </c>
      <c r="AE219" s="687">
        <f>INPUT!CB34</f>
        <v>5.3969736596301221</v>
      </c>
      <c r="AF219" s="151">
        <f>INPUT!CC34</f>
        <v>59367</v>
      </c>
      <c r="AG219" s="687">
        <f>INPUT!CD34</f>
        <v>33.283193390507826</v>
      </c>
      <c r="AH219" s="151">
        <f>INPUT!CE34</f>
        <v>61711</v>
      </c>
      <c r="AI219" s="687">
        <f>INPUT!CF34</f>
        <v>43.513953488372103</v>
      </c>
      <c r="AJ219" s="151">
        <f>INPUT!CG34</f>
        <v>57817</v>
      </c>
      <c r="AK219" s="687">
        <f>INPUT!CH34</f>
        <v>16.98636234875157</v>
      </c>
      <c r="AL219" s="151">
        <f>INPUT!CI34</f>
        <v>63903</v>
      </c>
      <c r="AM219" s="687">
        <f>INPUT!CJ34</f>
        <v>13.265034828692457</v>
      </c>
      <c r="AN219" s="151">
        <f>INPUT!CK34</f>
        <v>68390</v>
      </c>
      <c r="AO219" s="687">
        <f>INPUT!CL34</f>
        <v>15.198679401014026</v>
      </c>
      <c r="AP219" s="151">
        <f>INPUT!CM34</f>
        <v>71091</v>
      </c>
      <c r="AQ219" s="687">
        <f>INPUT!CN34</f>
        <v>15.199883327121588</v>
      </c>
      <c r="AR219" s="151">
        <f>INPUT!CO34</f>
        <v>71837</v>
      </c>
      <c r="AS219" s="687">
        <f>INPUT!CP34</f>
        <v>24.248923327049134</v>
      </c>
      <c r="AT219" s="151">
        <f>INPUT!CQ34</f>
        <v>64140</v>
      </c>
      <c r="AU219" s="687">
        <f>INPUT!CR34</f>
        <v>0.37087460682596607</v>
      </c>
      <c r="AV219" s="151">
        <f>INPUT!CS34</f>
        <v>68330</v>
      </c>
      <c r="AW219" s="687">
        <f>INPUT!CT34</f>
        <v>-8.7732124579620319E-2</v>
      </c>
      <c r="AX219" s="151">
        <f>INPUT!CU34</f>
        <v>74366</v>
      </c>
      <c r="AY219" s="687">
        <f>INPUT!CV34</f>
        <v>4.6067716025938621</v>
      </c>
      <c r="AZ219" s="151">
        <f>INPUT!CW34</f>
        <v>72976</v>
      </c>
      <c r="BA219" s="687">
        <f>INPUT!CX34</f>
        <v>1.5855339170622429</v>
      </c>
      <c r="BB219" s="151">
        <f>INPUT!CY34</f>
        <v>76696</v>
      </c>
      <c r="BC219" s="687">
        <f>INPUT!CZ34</f>
        <v>19.575927658247583</v>
      </c>
      <c r="BD219" s="151">
        <f>INPUT!DA34</f>
        <v>78906</v>
      </c>
      <c r="BE219" s="687">
        <f>INPUT!DB34</f>
        <v>15.477828186740815</v>
      </c>
      <c r="BF219" s="151">
        <f>INPUT!DC34</f>
        <v>83687</v>
      </c>
      <c r="BG219" s="687">
        <f>INPUT!DD34</f>
        <v>12.533953688513577</v>
      </c>
      <c r="BH219" s="151">
        <f>INPUT!DE34</f>
        <v>85395</v>
      </c>
      <c r="BI219" s="687">
        <f>INPUT!DF34</f>
        <v>17.017923700942774</v>
      </c>
      <c r="BJ219" s="151">
        <f>INPUT!DG34</f>
        <v>91021</v>
      </c>
      <c r="BK219" s="687">
        <f>INPUT!DH34</f>
        <v>18.677636382601449</v>
      </c>
      <c r="BL219" s="151">
        <f>INPUT!DI34</f>
        <v>97298</v>
      </c>
      <c r="BM219" s="687">
        <f>INPUT!DJ34</f>
        <v>23.308747116822559</v>
      </c>
      <c r="BN219" s="151">
        <f>INPUT!DK34</f>
        <v>98798</v>
      </c>
      <c r="BO219" s="687">
        <f>INPUT!DL34</f>
        <v>18.056567925723233</v>
      </c>
      <c r="BP219" s="151">
        <f>INPUT!DM34</f>
        <v>103043</v>
      </c>
      <c r="BQ219" s="687">
        <f>INPUT!DN34</f>
        <v>20.666315358042041</v>
      </c>
      <c r="BR219" s="151">
        <f>INPUT!DO34</f>
        <v>102238</v>
      </c>
      <c r="BS219" s="687">
        <f>INPUT!DP34</f>
        <v>12.323529734896344</v>
      </c>
      <c r="BT219" s="151">
        <f>INPUT!DQ34</f>
        <v>104073</v>
      </c>
      <c r="BU219" s="687">
        <f>INPUT!DR34</f>
        <v>6.9631441550700002</v>
      </c>
      <c r="BV219" s="151">
        <f>INPUT!DS34</f>
        <v>106279</v>
      </c>
      <c r="BW219" s="687">
        <f>INPUT!DT34</f>
        <v>7.5720156278467066</v>
      </c>
      <c r="BX219" s="151">
        <f>INPUT!DU34</f>
        <v>106600</v>
      </c>
      <c r="BY219" s="687">
        <f>INPUT!DV34</f>
        <v>3.4519569500111702</v>
      </c>
      <c r="BZ219" s="151">
        <f>INPUT!DW34</f>
        <v>100581</v>
      </c>
      <c r="CA219" s="687">
        <f>INPUT!DX34</f>
        <v>-6015.5480430499883</v>
      </c>
      <c r="CB219" s="151">
        <f>INPUT!DY34</f>
        <v>103146</v>
      </c>
      <c r="CC219" s="687">
        <f>INPUT!DZ34</f>
        <v>-0.89072093626588744</v>
      </c>
      <c r="CD219" s="151">
        <f>INPUT!EA34</f>
        <v>102903</v>
      </c>
      <c r="CE219" s="687">
        <f>INPUT!EB34</f>
        <v>-3.1765447548433801</v>
      </c>
      <c r="CF219" s="151">
        <f>INPUT!EC34</f>
        <v>103861</v>
      </c>
      <c r="CG219" s="687">
        <f>INPUT!ED34</f>
        <v>-2.5694183864915621</v>
      </c>
      <c r="CH219" s="151">
        <f>INPUT!EE34</f>
        <v>106473</v>
      </c>
      <c r="CI219" s="687">
        <f>INPUT!EF34</f>
        <v>5.8579652220598355</v>
      </c>
      <c r="CJ219" s="151">
        <f>INPUT!EG34</f>
        <v>105766</v>
      </c>
      <c r="CK219" s="687">
        <f>INPUT!EH34</f>
        <v>2.5400888061582583</v>
      </c>
      <c r="CL219" s="151">
        <f>INPUT!EI34</f>
        <v>109475</v>
      </c>
      <c r="CM219" s="687">
        <f>INPUT!EJ34</f>
        <v>6.386597086576673</v>
      </c>
      <c r="CN219" s="151">
        <f>INPUT!EK34</f>
        <v>111570</v>
      </c>
      <c r="CO219" s="687">
        <f>INPUT!EL34</f>
        <v>7.422420350275849</v>
      </c>
      <c r="CP219" s="151">
        <f>INPUT!EM34</f>
        <v>114270</v>
      </c>
      <c r="CQ219" s="687">
        <f>INPUT!EN34</f>
        <v>7.3229832915387094</v>
      </c>
      <c r="CR219" s="151">
        <f>INPUT!EO34</f>
        <v>117479</v>
      </c>
      <c r="CS219" s="687">
        <f>INPUT!EP34</f>
        <v>11.074447364937701</v>
      </c>
      <c r="CT219" s="151">
        <f>INPUT!EQ34</f>
        <v>116043.91593212567</v>
      </c>
      <c r="CU219" s="687">
        <f>INPUT!ER34</f>
        <v>6.0003799334328978</v>
      </c>
      <c r="CV219" s="151">
        <f>INPUT!ES34</f>
        <v>117057.48240875268</v>
      </c>
      <c r="CW219" s="687">
        <f>INPUT!ET34</f>
        <v>4.9184210887807556</v>
      </c>
      <c r="CX219" s="151">
        <f>INPUT!EU34</f>
        <v>118284.75230909741</v>
      </c>
      <c r="CY219" s="687">
        <f>INPUT!EV34</f>
        <v>3.5133913617724888</v>
      </c>
      <c r="CZ219" s="151">
        <f>INPUT!EW34</f>
        <v>119731.88763517849</v>
      </c>
      <c r="DA219" s="687">
        <f>INPUT!EX34</f>
        <v>1.9176939156602346</v>
      </c>
      <c r="DB219" s="16"/>
      <c r="DC219" s="151"/>
      <c r="DD219" s="687"/>
      <c r="DE219" s="151"/>
      <c r="DF219" s="687"/>
      <c r="DG219" s="151">
        <f>INPUT!FT34</f>
        <v>62112</v>
      </c>
      <c r="DH219" s="687" t="str">
        <f>INPUT!FU34</f>
        <v>NA</v>
      </c>
      <c r="DI219" s="151">
        <f>INPUT!FV34</f>
        <v>44542</v>
      </c>
      <c r="DJ219" s="687">
        <f>INPUT!FW34</f>
        <v>-28.287609479649667</v>
      </c>
      <c r="DK219" s="151">
        <f>INPUT!FX34</f>
        <v>59367</v>
      </c>
      <c r="DL219" s="687">
        <f>INPUT!FY34</f>
        <v>33.283193390507826</v>
      </c>
      <c r="DM219" s="151">
        <f>INPUT!FZ34</f>
        <v>68390</v>
      </c>
      <c r="DN219" s="687">
        <f>INPUT!GA34</f>
        <v>15.198679401014026</v>
      </c>
      <c r="DO219" s="151">
        <f>INPUT!GB34</f>
        <v>68330</v>
      </c>
      <c r="DP219" s="687">
        <f>INPUT!GC34</f>
        <v>-8.7732124579620319E-2</v>
      </c>
      <c r="DQ219" s="151">
        <f>INPUT!GD34</f>
        <v>78906</v>
      </c>
      <c r="DR219" s="687">
        <f>INPUT!GE34</f>
        <v>15.477828186740815</v>
      </c>
      <c r="DS219" s="151">
        <f>INPUT!GF34</f>
        <v>97298</v>
      </c>
      <c r="DT219" s="687">
        <f>INPUT!GG34</f>
        <v>23.308747116822559</v>
      </c>
      <c r="DU219" s="151">
        <f>INPUT!GH34</f>
        <v>104073</v>
      </c>
      <c r="DV219" s="687">
        <f>INPUT!GI34</f>
        <v>6.9631441550700002</v>
      </c>
      <c r="DW219" s="151">
        <f>INPUT!GJ34</f>
        <v>103146</v>
      </c>
      <c r="DX219" s="687">
        <f>INPUT!GK34</f>
        <v>-0.89072093626588744</v>
      </c>
      <c r="DY219" s="151">
        <f>INPUT!GL34</f>
        <v>105766</v>
      </c>
      <c r="DZ219" s="687">
        <f>INPUT!GM34</f>
        <v>2.5400888061582583</v>
      </c>
      <c r="EA219" s="151">
        <f>INPUT!GN34</f>
        <v>117479</v>
      </c>
      <c r="EB219" s="687">
        <f>INPUT!GO34</f>
        <v>11.074447364937701</v>
      </c>
      <c r="EC219" s="151">
        <f>INPUT!GP34</f>
        <v>119731.88763517847</v>
      </c>
      <c r="ED219" s="687">
        <f>INPUT!GQ34</f>
        <v>1.9176939156602124</v>
      </c>
      <c r="EE219" s="151">
        <f>INPUT!GR34</f>
        <v>126358.44213139922</v>
      </c>
      <c r="EF219" s="687">
        <f>INPUT!GS34</f>
        <v>5.5344942998073909</v>
      </c>
      <c r="EG219" s="151">
        <f>INPUT!GT34</f>
        <v>133983.53511914393</v>
      </c>
      <c r="EH219" s="687">
        <f>INPUT!GU34</f>
        <v>6.0344942998073803</v>
      </c>
      <c r="EI219" s="151">
        <f>INPUT!GV34</f>
        <v>142738.68158418484</v>
      </c>
      <c r="EJ219" s="687">
        <f>INPUT!GW34</f>
        <v>6.534494299807414</v>
      </c>
      <c r="EK219" s="151">
        <f>INPUT!GX34</f>
        <v>152779.62600384455</v>
      </c>
      <c r="EL219" s="687">
        <f>INPUT!GY34</f>
        <v>7.0344942998073812</v>
      </c>
      <c r="EM219" s="687">
        <f>INPUT!GZ34</f>
        <v>5.3952504745742758</v>
      </c>
    </row>
    <row r="220" spans="1:143" ht="12.75" hidden="1" customHeight="1" outlineLevel="1" x14ac:dyDescent="0.2">
      <c r="A220" s="701" t="s">
        <v>160</v>
      </c>
      <c r="B220" s="151"/>
      <c r="C220" s="687"/>
      <c r="D220" s="151"/>
      <c r="E220" s="687"/>
      <c r="F220" s="151"/>
      <c r="G220" s="687"/>
      <c r="H220" s="151"/>
      <c r="I220" s="687"/>
      <c r="J220" s="151">
        <f>INPUT!BG55</f>
        <v>14662</v>
      </c>
      <c r="K220" s="687" t="str">
        <f>INPUT!BH55</f>
        <v>NA</v>
      </c>
      <c r="L220" s="151">
        <f>INPUT!BI55</f>
        <v>14410</v>
      </c>
      <c r="M220" s="687" t="str">
        <f>INPUT!BJ55</f>
        <v>NA</v>
      </c>
      <c r="N220" s="151">
        <f>INPUT!BK55</f>
        <v>14343</v>
      </c>
      <c r="O220" s="687" t="str">
        <f>INPUT!BL55</f>
        <v>NA</v>
      </c>
      <c r="P220" s="151">
        <f>INPUT!BM55</f>
        <v>14352</v>
      </c>
      <c r="Q220" s="687" t="str">
        <f>INPUT!BN55</f>
        <v>NA</v>
      </c>
      <c r="R220" s="151">
        <f>INPUT!BO55</f>
        <v>14232</v>
      </c>
      <c r="S220" s="687">
        <f>INPUT!BP55</f>
        <v>-2.9327513299686303</v>
      </c>
      <c r="T220" s="151">
        <f>INPUT!BQ55</f>
        <v>14321</v>
      </c>
      <c r="U220" s="687">
        <f>INPUT!BR55</f>
        <v>-0.61762664816099599</v>
      </c>
      <c r="V220" s="151">
        <f>INPUT!BS55</f>
        <v>14141</v>
      </c>
      <c r="W220" s="687">
        <f>INPUT!BT55</f>
        <v>-1.4083525064491398</v>
      </c>
      <c r="X220" s="151">
        <f>INPUT!BU55</f>
        <v>14038</v>
      </c>
      <c r="Y220" s="687">
        <f>INPUT!BV55</f>
        <v>-2.1878483835005569</v>
      </c>
      <c r="Z220" s="151">
        <f>INPUT!BW55</f>
        <v>14154</v>
      </c>
      <c r="AA220" s="687">
        <f>INPUT!BX55</f>
        <v>-0.54806070826306508</v>
      </c>
      <c r="AB220" s="151">
        <f>INPUT!BY55</f>
        <v>14697</v>
      </c>
      <c r="AC220" s="687">
        <f>INPUT!BZ55</f>
        <v>2.6255149780043396</v>
      </c>
      <c r="AD220" s="151">
        <f>INPUT!CA55</f>
        <v>15776</v>
      </c>
      <c r="AE220" s="687">
        <f>INPUT!CB55</f>
        <v>11.56212431935506</v>
      </c>
      <c r="AF220" s="151">
        <f>INPUT!CC55</f>
        <v>15941</v>
      </c>
      <c r="AG220" s="687">
        <f>INPUT!CD55</f>
        <v>13.55606211711069</v>
      </c>
      <c r="AH220" s="151">
        <f>INPUT!CE55</f>
        <v>16146</v>
      </c>
      <c r="AI220" s="687">
        <f>INPUT!CF55</f>
        <v>14.073760067825347</v>
      </c>
      <c r="AJ220" s="151">
        <f>INPUT!CG55</f>
        <v>16501</v>
      </c>
      <c r="AK220" s="687">
        <f>INPUT!CH55</f>
        <v>12.27461386677553</v>
      </c>
      <c r="AL220" s="151">
        <f>INPUT!CI55</f>
        <v>17304</v>
      </c>
      <c r="AM220" s="687">
        <f>INPUT!CJ55</f>
        <v>9.6855983772819556</v>
      </c>
      <c r="AN220" s="151">
        <f>INPUT!CK55</f>
        <v>17420</v>
      </c>
      <c r="AO220" s="687">
        <f>INPUT!CL55</f>
        <v>9.2779624866695887</v>
      </c>
      <c r="AP220" s="151">
        <f>INPUT!CM55</f>
        <v>17643</v>
      </c>
      <c r="AQ220" s="687">
        <f>INPUT!CN55</f>
        <v>9.2716462281679632</v>
      </c>
      <c r="AR220" s="151">
        <f>INPUT!CO55</f>
        <v>17938</v>
      </c>
      <c r="AS220" s="687">
        <f>INPUT!CP55</f>
        <v>8.7085631173868361</v>
      </c>
      <c r="AT220" s="151">
        <f>INPUT!CQ55</f>
        <v>18009</v>
      </c>
      <c r="AU220" s="687">
        <f>INPUT!CR55</f>
        <v>4.0742024965325863</v>
      </c>
      <c r="AV220" s="151">
        <f>INPUT!CS55</f>
        <v>18106</v>
      </c>
      <c r="AW220" s="687">
        <f>INPUT!CT55</f>
        <v>3.9380022962112404</v>
      </c>
      <c r="AX220" s="151">
        <f>INPUT!CU55</f>
        <v>18186</v>
      </c>
      <c r="AY220" s="687">
        <f>INPUT!CV55</f>
        <v>3.0777078728107421</v>
      </c>
      <c r="AZ220" s="151">
        <f>INPUT!CW55</f>
        <v>18273</v>
      </c>
      <c r="BA220" s="687">
        <f>INPUT!CX55</f>
        <v>1.8675437618463686</v>
      </c>
      <c r="BB220" s="151">
        <f>INPUT!CY55</f>
        <v>18347</v>
      </c>
      <c r="BC220" s="687">
        <f>INPUT!CZ55</f>
        <v>1.8768393580987253</v>
      </c>
      <c r="BD220" s="151">
        <f>INPUT!DA55</f>
        <v>18438</v>
      </c>
      <c r="BE220" s="687">
        <f>INPUT!DB55</f>
        <v>1.8336463050922402</v>
      </c>
      <c r="BF220" s="151">
        <f>INPUT!DC55</f>
        <v>18539</v>
      </c>
      <c r="BG220" s="687">
        <f>INPUT!DD55</f>
        <v>1.9410535576817267</v>
      </c>
      <c r="BH220" s="151">
        <f>INPUT!DE55</f>
        <v>18494</v>
      </c>
      <c r="BI220" s="687">
        <f>INPUT!DF55</f>
        <v>1.2094346850544557</v>
      </c>
      <c r="BJ220" s="151">
        <f>INPUT!DG55</f>
        <v>18457</v>
      </c>
      <c r="BK220" s="687">
        <f>INPUT!DH55</f>
        <v>0.59955306044585654</v>
      </c>
      <c r="BL220" s="151">
        <f>INPUT!DI55</f>
        <v>18552</v>
      </c>
      <c r="BM220" s="687">
        <f>INPUT!DJ55</f>
        <v>0.61828831760495362</v>
      </c>
      <c r="BN220" s="151">
        <f>INPUT!DK55</f>
        <v>18730</v>
      </c>
      <c r="BO220" s="687">
        <f>INPUT!DL55</f>
        <v>1.0302605318517788</v>
      </c>
      <c r="BP220" s="151">
        <f>INPUT!DM55</f>
        <v>18875</v>
      </c>
      <c r="BQ220" s="687">
        <f>INPUT!DN55</f>
        <v>2.0601276089542653</v>
      </c>
      <c r="BR220" s="151">
        <f>INPUT!DO55</f>
        <v>18746</v>
      </c>
      <c r="BS220" s="687">
        <f>INPUT!DP55</f>
        <v>1.5658015928915914</v>
      </c>
      <c r="BT220" s="151">
        <f>INPUT!DQ55</f>
        <v>18661</v>
      </c>
      <c r="BU220" s="687">
        <f>INPUT!DR55</f>
        <v>0.58753773178092938</v>
      </c>
      <c r="BV220" s="151">
        <f>INPUT!DS55</f>
        <v>18651</v>
      </c>
      <c r="BW220" s="687">
        <f>INPUT!DT55</f>
        <v>-0.42178323545114527</v>
      </c>
      <c r="BX220" s="151">
        <f>INPUT!DU55</f>
        <v>18597</v>
      </c>
      <c r="BY220" s="687">
        <f>INPUT!DV55</f>
        <v>-1.4728476821192049</v>
      </c>
      <c r="BZ220" s="151">
        <f>INPUT!DW55</f>
        <v>18672</v>
      </c>
      <c r="CA220" s="687">
        <f>INPUT!DX55</f>
        <v>73.527152317880791</v>
      </c>
      <c r="CB220" s="151">
        <f>INPUT!DY55</f>
        <v>19082</v>
      </c>
      <c r="CC220" s="687">
        <f>INPUT!DZ55</f>
        <v>2.2560420127538672</v>
      </c>
      <c r="CD220" s="151">
        <f>INPUT!EA55</f>
        <v>19448</v>
      </c>
      <c r="CE220" s="687">
        <f>INPUT!EB55</f>
        <v>4.2732293174628788</v>
      </c>
      <c r="CF220" s="151">
        <f>INPUT!EC55</f>
        <v>19598</v>
      </c>
      <c r="CG220" s="687">
        <f>INPUT!ED55</f>
        <v>5.3825885895574466</v>
      </c>
      <c r="CH220" s="151">
        <f>INPUT!EE55</f>
        <v>19634</v>
      </c>
      <c r="CI220" s="687">
        <f>INPUT!EF55</f>
        <v>5.1520994001713838</v>
      </c>
      <c r="CJ220" s="151">
        <f>INPUT!EG55</f>
        <v>19723</v>
      </c>
      <c r="CK220" s="687">
        <f>INPUT!EH55</f>
        <v>3.3591866680641402</v>
      </c>
      <c r="CL220" s="151">
        <f>INPUT!EI55</f>
        <v>20027</v>
      </c>
      <c r="CM220" s="687">
        <f>INPUT!EJ55</f>
        <v>2.9771698889345943</v>
      </c>
      <c r="CN220" s="151">
        <f>INPUT!EK55</f>
        <v>20021</v>
      </c>
      <c r="CO220" s="687">
        <f>INPUT!EL55</f>
        <v>2.1583835085212666</v>
      </c>
      <c r="CP220" s="151">
        <f>INPUT!EM55</f>
        <v>20014</v>
      </c>
      <c r="CQ220" s="687">
        <f>INPUT!EN55</f>
        <v>1.9354181521849867</v>
      </c>
      <c r="CR220" s="151">
        <f>INPUT!EO55</f>
        <v>20305</v>
      </c>
      <c r="CS220" s="687">
        <f>INPUT!EP55</f>
        <v>2.9508695431729404</v>
      </c>
      <c r="CT220" s="151">
        <f>INPUT!EQ55</f>
        <v>20614.103294568802</v>
      </c>
      <c r="CU220" s="687">
        <f>INPUT!ER55</f>
        <v>2.9315588683717086</v>
      </c>
      <c r="CV220" s="151">
        <f>INPUT!ES55</f>
        <v>20968.98666786966</v>
      </c>
      <c r="CW220" s="687">
        <f>INPUT!ET55</f>
        <v>4.7349616296371799</v>
      </c>
      <c r="CX220" s="151">
        <f>INPUT!EU55</f>
        <v>21369.877017801045</v>
      </c>
      <c r="CY220" s="687">
        <f>INPUT!EV55</f>
        <v>6.7746428390179192</v>
      </c>
      <c r="CZ220" s="151">
        <f>INPUT!EW55</f>
        <v>21817.997410567659</v>
      </c>
      <c r="DA220" s="687">
        <f>INPUT!EX55</f>
        <v>7.4513539057752265</v>
      </c>
      <c r="DB220" s="16"/>
      <c r="DC220" s="151"/>
      <c r="DD220" s="687"/>
      <c r="DE220" s="151"/>
      <c r="DF220" s="687"/>
      <c r="DG220" s="151">
        <f>INPUT!FT55</f>
        <v>14352</v>
      </c>
      <c r="DH220" s="687" t="str">
        <f>INPUT!FU55</f>
        <v>NA</v>
      </c>
      <c r="DI220" s="151">
        <f>INPUT!FV55</f>
        <v>14038</v>
      </c>
      <c r="DJ220" s="687">
        <f>INPUT!FW55</f>
        <v>-2.1878483835005569</v>
      </c>
      <c r="DK220" s="151">
        <f>INPUT!FX55</f>
        <v>15941</v>
      </c>
      <c r="DL220" s="687">
        <f>INPUT!FY55</f>
        <v>13.55606211711069</v>
      </c>
      <c r="DM220" s="151">
        <f>INPUT!FZ55</f>
        <v>17420</v>
      </c>
      <c r="DN220" s="687">
        <f>INPUT!GA55</f>
        <v>9.2779624866695887</v>
      </c>
      <c r="DO220" s="151">
        <f>INPUT!GB55</f>
        <v>18106</v>
      </c>
      <c r="DP220" s="687">
        <f>INPUT!GC55</f>
        <v>3.9380022962112404</v>
      </c>
      <c r="DQ220" s="151">
        <f>INPUT!GD55</f>
        <v>18438</v>
      </c>
      <c r="DR220" s="687">
        <f>INPUT!GE55</f>
        <v>1.8336463050922402</v>
      </c>
      <c r="DS220" s="151">
        <f>INPUT!GF55</f>
        <v>18552</v>
      </c>
      <c r="DT220" s="687">
        <f>INPUT!GG55</f>
        <v>0.61828831760495362</v>
      </c>
      <c r="DU220" s="151">
        <f>INPUT!GH55</f>
        <v>18661</v>
      </c>
      <c r="DV220" s="687">
        <f>INPUT!GI55</f>
        <v>0.58753773178092938</v>
      </c>
      <c r="DW220" s="151">
        <f>INPUT!GJ55</f>
        <v>19082</v>
      </c>
      <c r="DX220" s="687">
        <f>INPUT!GK55</f>
        <v>2.2560420127538672</v>
      </c>
      <c r="DY220" s="151">
        <f>INPUT!GL55</f>
        <v>19723</v>
      </c>
      <c r="DZ220" s="687">
        <f>INPUT!GM55</f>
        <v>3.3591866680641402</v>
      </c>
      <c r="EA220" s="151">
        <f>INPUT!GN55</f>
        <v>20305</v>
      </c>
      <c r="EB220" s="687">
        <f>INPUT!GO55</f>
        <v>2.9508695431729404</v>
      </c>
      <c r="EC220" s="151">
        <f>INPUT!GP55</f>
        <v>21817.997410567663</v>
      </c>
      <c r="ED220" s="687">
        <f>INPUT!GQ55</f>
        <v>7.4513539057752487</v>
      </c>
      <c r="EE220" s="151">
        <f>INPUT!GR55</f>
        <v>23406.254634498644</v>
      </c>
      <c r="EF220" s="687">
        <f>INPUT!GS55</f>
        <v>7.2795738034220348</v>
      </c>
      <c r="EG220" s="151">
        <f>INPUT!GT55</f>
        <v>24952.577303105987</v>
      </c>
      <c r="EH220" s="687">
        <f>INPUT!GU55</f>
        <v>6.6064506806151169</v>
      </c>
      <c r="EI220" s="151">
        <f>INPUT!GV55</f>
        <v>26460.81780319348</v>
      </c>
      <c r="EJ220" s="687">
        <f>INPUT!GW55</f>
        <v>6.0444277229020127</v>
      </c>
      <c r="EK220" s="151">
        <f>INPUT!GX55</f>
        <v>27934.606976334955</v>
      </c>
      <c r="EL220" s="687">
        <f>INPUT!GY55</f>
        <v>5.5697037941269123</v>
      </c>
      <c r="EM220" s="687">
        <f>INPUT!GZ55</f>
        <v>6.587902092580511</v>
      </c>
    </row>
    <row r="221" spans="1:143" ht="12.75" hidden="1" customHeight="1" outlineLevel="1" x14ac:dyDescent="0.2">
      <c r="A221" s="701" t="s">
        <v>22</v>
      </c>
      <c r="B221" s="151"/>
      <c r="C221" s="687"/>
      <c r="D221" s="151"/>
      <c r="E221" s="687"/>
      <c r="F221" s="151"/>
      <c r="G221" s="687"/>
      <c r="H221" s="151"/>
      <c r="I221" s="687"/>
      <c r="J221" s="151">
        <f>INPUT!BG73</f>
        <v>68438</v>
      </c>
      <c r="K221" s="687" t="str">
        <f>INPUT!BH73</f>
        <v>NA</v>
      </c>
      <c r="L221" s="151">
        <f>INPUT!BI73</f>
        <v>73039</v>
      </c>
      <c r="M221" s="687" t="str">
        <f>INPUT!BJ73</f>
        <v>NA</v>
      </c>
      <c r="N221" s="151">
        <f>INPUT!BK73</f>
        <v>76107</v>
      </c>
      <c r="O221" s="687" t="str">
        <f>INPUT!BL73</f>
        <v>NA</v>
      </c>
      <c r="P221" s="151">
        <f>INPUT!BM73</f>
        <v>76464</v>
      </c>
      <c r="Q221" s="687" t="str">
        <f>INPUT!BN73</f>
        <v>NA</v>
      </c>
      <c r="R221" s="151">
        <f>INPUT!BO73</f>
        <v>72667</v>
      </c>
      <c r="S221" s="687">
        <f>INPUT!BP73</f>
        <v>6.179315584908962</v>
      </c>
      <c r="T221" s="151">
        <f>INPUT!BQ73</f>
        <v>73654</v>
      </c>
      <c r="U221" s="687">
        <f>INPUT!BR73</f>
        <v>0.84201590930872428</v>
      </c>
      <c r="V221" s="151">
        <f>INPUT!BS73</f>
        <v>67671</v>
      </c>
      <c r="W221" s="687">
        <f>INPUT!BT73</f>
        <v>-11.084394339548265</v>
      </c>
      <c r="X221" s="151">
        <f>INPUT!BU73</f>
        <v>58580</v>
      </c>
      <c r="Y221" s="687">
        <f>INPUT!BV73</f>
        <v>-23.388784264490482</v>
      </c>
      <c r="Z221" s="151">
        <f>INPUT!BW73</f>
        <v>57154</v>
      </c>
      <c r="AA221" s="687">
        <f>INPUT!BX73</f>
        <v>-21.348067210700872</v>
      </c>
      <c r="AB221" s="151">
        <f>INPUT!BY73</f>
        <v>64119</v>
      </c>
      <c r="AC221" s="687">
        <f>INPUT!BZ73</f>
        <v>-12.945664865451977</v>
      </c>
      <c r="AD221" s="151">
        <f>INPUT!CA73</f>
        <v>72195</v>
      </c>
      <c r="AE221" s="687">
        <f>INPUT!CB73</f>
        <v>6.6852861639402406</v>
      </c>
      <c r="AF221" s="151">
        <f>INPUT!CC73</f>
        <v>75308</v>
      </c>
      <c r="AG221" s="687">
        <f>INPUT!CD73</f>
        <v>28.555821099351309</v>
      </c>
      <c r="AH221" s="151">
        <f>INPUT!CE73</f>
        <v>77857</v>
      </c>
      <c r="AI221" s="687">
        <f>INPUT!CF73</f>
        <v>36.22318647863667</v>
      </c>
      <c r="AJ221" s="151">
        <f>INPUT!CG73</f>
        <v>74318</v>
      </c>
      <c r="AK221" s="687">
        <f>INPUT!CH73</f>
        <v>15.906361608883479</v>
      </c>
      <c r="AL221" s="151">
        <f>INPUT!CI73</f>
        <v>81207</v>
      </c>
      <c r="AM221" s="687">
        <f>INPUT!CJ73</f>
        <v>12.482858923748186</v>
      </c>
      <c r="AN221" s="151">
        <f>INPUT!CK73</f>
        <v>85810</v>
      </c>
      <c r="AO221" s="687">
        <f>INPUT!CL73</f>
        <v>13.945397567323514</v>
      </c>
      <c r="AP221" s="151">
        <f>INPUT!CM73</f>
        <v>88734</v>
      </c>
      <c r="AQ221" s="687">
        <f>INPUT!CN73</f>
        <v>13.970484349512557</v>
      </c>
      <c r="AR221" s="151">
        <f>INPUT!CO73</f>
        <v>89775</v>
      </c>
      <c r="AS221" s="687">
        <f>INPUT!CP73</f>
        <v>20.79846066901694</v>
      </c>
      <c r="AT221" s="151">
        <f>INPUT!CQ73</f>
        <v>82149</v>
      </c>
      <c r="AU221" s="687">
        <f>INPUT!CR73</f>
        <v>1.1599985222948694</v>
      </c>
      <c r="AV221" s="151">
        <f>INPUT!CS73</f>
        <v>86436</v>
      </c>
      <c r="AW221" s="687">
        <f>INPUT!CT73</f>
        <v>0.72951870411372965</v>
      </c>
      <c r="AX221" s="151">
        <f>INPUT!CU73</f>
        <v>92552</v>
      </c>
      <c r="AY221" s="687">
        <f>INPUT!CV73</f>
        <v>4.3027475375842394</v>
      </c>
      <c r="AZ221" s="151">
        <f>INPUT!CW73</f>
        <v>91249</v>
      </c>
      <c r="BA221" s="687">
        <f>INPUT!CX73</f>
        <v>1.6418824839877555</v>
      </c>
      <c r="BB221" s="151">
        <f>INPUT!CY73</f>
        <v>95043</v>
      </c>
      <c r="BC221" s="687">
        <f>INPUT!CZ73</f>
        <v>15.695869700178932</v>
      </c>
      <c r="BD221" s="151">
        <f>INPUT!DA73</f>
        <v>97344</v>
      </c>
      <c r="BE221" s="687">
        <f>INPUT!DB73</f>
        <v>12.619741774260728</v>
      </c>
      <c r="BF221" s="151">
        <f>INPUT!DC73</f>
        <v>102226</v>
      </c>
      <c r="BG221" s="687">
        <f>INPUT!DD73</f>
        <v>10.452502377042094</v>
      </c>
      <c r="BH221" s="151">
        <f>INPUT!DE73</f>
        <v>103889</v>
      </c>
      <c r="BI221" s="687">
        <f>INPUT!DF73</f>
        <v>13.852206599524376</v>
      </c>
      <c r="BJ221" s="151">
        <f>INPUT!DG73</f>
        <v>109478</v>
      </c>
      <c r="BK221" s="687">
        <f>INPUT!DH73</f>
        <v>15.187862335995295</v>
      </c>
      <c r="BL221" s="151">
        <f>INPUT!DI73</f>
        <v>115850</v>
      </c>
      <c r="BM221" s="687">
        <f>INPUT!DJ73</f>
        <v>19.010930309007222</v>
      </c>
      <c r="BN221" s="151">
        <f>INPUT!DK73</f>
        <v>117528</v>
      </c>
      <c r="BO221" s="687">
        <f>INPUT!DL73</f>
        <v>14.968794631502757</v>
      </c>
      <c r="BP221" s="151">
        <f>INPUT!DM73</f>
        <v>121918</v>
      </c>
      <c r="BQ221" s="687">
        <f>INPUT!DN73</f>
        <v>17.354099086525032</v>
      </c>
      <c r="BR221" s="151">
        <f>INPUT!DO73</f>
        <v>120984</v>
      </c>
      <c r="BS221" s="687">
        <f>INPUT!DP73</f>
        <v>10.509874129962181</v>
      </c>
      <c r="BT221" s="151">
        <f>INPUT!DQ73</f>
        <v>122734</v>
      </c>
      <c r="BU221" s="687">
        <f>INPUT!DR73</f>
        <v>5.9421665947345659</v>
      </c>
      <c r="BV221" s="151">
        <f>INPUT!DS73</f>
        <v>124930</v>
      </c>
      <c r="BW221" s="687">
        <f>INPUT!DT73</f>
        <v>6.2980736505343415</v>
      </c>
      <c r="BX221" s="151">
        <f>INPUT!DU73</f>
        <v>125197</v>
      </c>
      <c r="BY221" s="687">
        <f>INPUT!DV73</f>
        <v>2.6895126232385769</v>
      </c>
      <c r="BZ221" s="151">
        <f>INPUT!DW73</f>
        <v>119253</v>
      </c>
      <c r="CA221" s="687">
        <f>INPUT!DX73</f>
        <v>-5942.0208907321085</v>
      </c>
      <c r="CB221" s="151">
        <f>INPUT!DY73</f>
        <v>122228</v>
      </c>
      <c r="CC221" s="687">
        <f>INPUT!DZ73</f>
        <v>-0.4122736975899044</v>
      </c>
      <c r="CD221" s="151">
        <f>INPUT!EA73</f>
        <v>122351</v>
      </c>
      <c r="CE221" s="687">
        <f>INPUT!EB73</f>
        <v>-2.0643560393820537</v>
      </c>
      <c r="CF221" s="151">
        <f>INPUT!EC73</f>
        <v>123459</v>
      </c>
      <c r="CG221" s="687">
        <f>INPUT!ED73</f>
        <v>-1.3882121776080947</v>
      </c>
      <c r="CH221" s="151">
        <f>INPUT!EE73</f>
        <v>126107</v>
      </c>
      <c r="CI221" s="687">
        <f>INPUT!EF73</f>
        <v>5.7474445087335235</v>
      </c>
      <c r="CJ221" s="151">
        <f>INPUT!EG73</f>
        <v>125489</v>
      </c>
      <c r="CK221" s="687">
        <f>INPUT!EH73</f>
        <v>2.6679647871191481</v>
      </c>
      <c r="CL221" s="151">
        <f>INPUT!EI73</f>
        <v>129502</v>
      </c>
      <c r="CM221" s="687">
        <f>INPUT!EJ73</f>
        <v>5.8446600354717271</v>
      </c>
      <c r="CN221" s="151">
        <f>INPUT!EK73</f>
        <v>131591</v>
      </c>
      <c r="CO221" s="687">
        <f>INPUT!EL73</f>
        <v>6.5868020962424723</v>
      </c>
      <c r="CP221" s="151">
        <f>INPUT!EM73</f>
        <v>134284</v>
      </c>
      <c r="CQ221" s="687">
        <f>INPUT!EN73</f>
        <v>6.4841761361383643</v>
      </c>
      <c r="CR221" s="151">
        <f>INPUT!EO73</f>
        <v>137784</v>
      </c>
      <c r="CS221" s="687">
        <f>INPUT!EP73</f>
        <v>9.7976715090565705</v>
      </c>
      <c r="CT221" s="151">
        <f>INPUT!EQ73</f>
        <v>136658.01922669448</v>
      </c>
      <c r="CU221" s="687">
        <f>INPUT!ER73</f>
        <v>5.5257982322238108</v>
      </c>
      <c r="CV221" s="151">
        <f>INPUT!ES73</f>
        <v>138026.46907662234</v>
      </c>
      <c r="CW221" s="687">
        <f>INPUT!ET73</f>
        <v>4.890508527651849</v>
      </c>
      <c r="CX221" s="151">
        <f>INPUT!EU73</f>
        <v>139654.62932689846</v>
      </c>
      <c r="CY221" s="687">
        <f>INPUT!EV73</f>
        <v>3.999455874786606</v>
      </c>
      <c r="CZ221" s="151">
        <f>INPUT!EW73</f>
        <v>141549.88504574617</v>
      </c>
      <c r="DA221" s="687">
        <f>INPUT!EX73</f>
        <v>2.7331802282893225</v>
      </c>
      <c r="DB221" s="16"/>
      <c r="DC221" s="151"/>
      <c r="DD221" s="687"/>
      <c r="DE221" s="151"/>
      <c r="DF221" s="687"/>
      <c r="DG221" s="151">
        <f>INPUT!FT73</f>
        <v>76464</v>
      </c>
      <c r="DH221" s="687" t="str">
        <f>INPUT!FU73</f>
        <v>NA</v>
      </c>
      <c r="DI221" s="151">
        <f>INPUT!FV73</f>
        <v>58580</v>
      </c>
      <c r="DJ221" s="687">
        <f>INPUT!FW73</f>
        <v>-23.388784264490482</v>
      </c>
      <c r="DK221" s="151">
        <f>INPUT!FX73</f>
        <v>75308</v>
      </c>
      <c r="DL221" s="687">
        <f>INPUT!FY73</f>
        <v>28.555821099351309</v>
      </c>
      <c r="DM221" s="151">
        <f>INPUT!FZ73</f>
        <v>85810</v>
      </c>
      <c r="DN221" s="687">
        <f>INPUT!GA73</f>
        <v>13.945397567323514</v>
      </c>
      <c r="DO221" s="151">
        <f>INPUT!GB73</f>
        <v>86436</v>
      </c>
      <c r="DP221" s="687">
        <f>INPUT!GC73</f>
        <v>0.72951870411372965</v>
      </c>
      <c r="DQ221" s="151">
        <f>INPUT!GD73</f>
        <v>97344</v>
      </c>
      <c r="DR221" s="687">
        <f>INPUT!GE73</f>
        <v>12.619741774260728</v>
      </c>
      <c r="DS221" s="151">
        <f>INPUT!GF73</f>
        <v>115850</v>
      </c>
      <c r="DT221" s="687">
        <f>INPUT!GG73</f>
        <v>19.010930309007222</v>
      </c>
      <c r="DU221" s="151">
        <f>INPUT!GH73</f>
        <v>122734</v>
      </c>
      <c r="DV221" s="687">
        <f>INPUT!GI73</f>
        <v>5.9421665947345659</v>
      </c>
      <c r="DW221" s="151">
        <f>INPUT!GJ73</f>
        <v>122228</v>
      </c>
      <c r="DX221" s="687">
        <f>INPUT!GK73</f>
        <v>-0.4122736975899044</v>
      </c>
      <c r="DY221" s="151">
        <f>INPUT!GL73</f>
        <v>125489</v>
      </c>
      <c r="DZ221" s="687">
        <f>INPUT!GM73</f>
        <v>2.6679647871191481</v>
      </c>
      <c r="EA221" s="151">
        <f>INPUT!GN73</f>
        <v>137784</v>
      </c>
      <c r="EB221" s="687">
        <f>INPUT!GO73</f>
        <v>9.7976715090565705</v>
      </c>
      <c r="EC221" s="151">
        <f>INPUT!GP73</f>
        <v>141549.88504574617</v>
      </c>
      <c r="ED221" s="687">
        <f>INPUT!GQ73</f>
        <v>2.7331802282893225</v>
      </c>
      <c r="EE221" s="151">
        <f>INPUT!GR73</f>
        <v>149764.69676589785</v>
      </c>
      <c r="EF221" s="687">
        <f>INPUT!GS73</f>
        <v>5.8034746672502191</v>
      </c>
      <c r="EG221" s="151">
        <f>INPUT!GT73</f>
        <v>158936.11242224992</v>
      </c>
      <c r="EH221" s="687">
        <f>INPUT!GU73</f>
        <v>6.1238835682939419</v>
      </c>
      <c r="EI221" s="151">
        <f>INPUT!GV73</f>
        <v>169199.49938737831</v>
      </c>
      <c r="EJ221" s="687">
        <f>INPUT!GW73</f>
        <v>6.4575550570038942</v>
      </c>
      <c r="EK221" s="151">
        <f>INPUT!GX73</f>
        <v>180714.23298017954</v>
      </c>
      <c r="EL221" s="687">
        <f>INPUT!GY73</f>
        <v>6.8054182397067953</v>
      </c>
      <c r="EM221" s="687">
        <f>INPUT!GZ73</f>
        <v>5.5744223923926084</v>
      </c>
    </row>
    <row r="222" spans="1:143" ht="12.75" hidden="1" customHeight="1" outlineLevel="1" x14ac:dyDescent="0.2">
      <c r="A222" s="701"/>
      <c r="B222" s="16"/>
      <c r="C222" s="687"/>
      <c r="D222" s="16"/>
      <c r="E222" s="687"/>
      <c r="F222" s="16"/>
      <c r="G222" s="687"/>
      <c r="H222" s="16"/>
      <c r="I222" s="687"/>
      <c r="J222" s="16"/>
      <c r="K222" s="687"/>
      <c r="L222" s="16"/>
      <c r="M222" s="687"/>
      <c r="N222" s="16"/>
      <c r="O222" s="687"/>
      <c r="P222" s="16"/>
      <c r="Q222" s="687"/>
      <c r="R222" s="16"/>
      <c r="S222" s="687"/>
      <c r="T222" s="16"/>
      <c r="U222" s="687"/>
      <c r="V222" s="16"/>
      <c r="W222" s="687"/>
      <c r="X222" s="16"/>
      <c r="Y222" s="687"/>
      <c r="Z222" s="16"/>
      <c r="AA222" s="687"/>
      <c r="AB222" s="16"/>
      <c r="AC222" s="687"/>
      <c r="AD222" s="16"/>
      <c r="AE222" s="687"/>
      <c r="AF222" s="16"/>
      <c r="AG222" s="687"/>
      <c r="AH222" s="16"/>
      <c r="AI222" s="687"/>
      <c r="AJ222" s="16"/>
      <c r="AK222" s="687"/>
      <c r="AL222" s="16"/>
      <c r="AM222" s="687"/>
      <c r="AN222" s="16"/>
      <c r="AO222" s="687"/>
      <c r="AP222" s="16"/>
      <c r="AQ222" s="687"/>
      <c r="AR222" s="16"/>
      <c r="AS222" s="687"/>
      <c r="AT222" s="16"/>
      <c r="AU222" s="687"/>
      <c r="AV222" s="16"/>
      <c r="AW222" s="687"/>
      <c r="AX222" s="16"/>
      <c r="AY222" s="687"/>
      <c r="AZ222" s="16"/>
      <c r="BA222" s="687"/>
      <c r="BB222" s="16"/>
      <c r="BC222" s="687"/>
      <c r="BD222" s="16"/>
      <c r="BE222" s="687"/>
      <c r="BF222" s="16"/>
      <c r="BG222" s="687"/>
      <c r="BH222" s="16"/>
      <c r="BI222" s="687"/>
      <c r="BJ222" s="16"/>
      <c r="BK222" s="687"/>
      <c r="BL222" s="16"/>
      <c r="BM222" s="687"/>
      <c r="BN222" s="16"/>
      <c r="BO222" s="687"/>
      <c r="BP222" s="16"/>
      <c r="BQ222" s="687"/>
      <c r="BR222" s="16"/>
      <c r="BS222" s="687"/>
      <c r="BT222" s="16"/>
      <c r="BU222" s="687"/>
      <c r="BV222" s="16"/>
      <c r="BW222" s="687"/>
      <c r="BX222" s="16"/>
      <c r="BY222" s="687"/>
      <c r="BZ222" s="16"/>
      <c r="CA222" s="687"/>
      <c r="CB222" s="16"/>
      <c r="CC222" s="687"/>
      <c r="CD222" s="16"/>
      <c r="CE222" s="687"/>
      <c r="CF222" s="16"/>
      <c r="CG222" s="687"/>
      <c r="CH222" s="16"/>
      <c r="CI222" s="687"/>
      <c r="CJ222" s="16"/>
      <c r="CK222" s="687"/>
      <c r="CL222" s="16"/>
      <c r="CM222" s="687"/>
      <c r="CN222" s="16"/>
      <c r="CO222" s="687"/>
      <c r="CP222" s="16"/>
      <c r="CQ222" s="687"/>
      <c r="CR222" s="16"/>
      <c r="CS222" s="687"/>
      <c r="CT222" s="16"/>
      <c r="CU222" s="687"/>
      <c r="CV222" s="16"/>
      <c r="CW222" s="687"/>
      <c r="CX222" s="16"/>
      <c r="CY222" s="687"/>
      <c r="CZ222" s="16"/>
      <c r="DA222" s="687"/>
      <c r="DB222" s="16"/>
      <c r="DC222" s="16"/>
      <c r="DD222" s="687"/>
      <c r="DE222" s="16"/>
      <c r="DF222" s="687"/>
      <c r="DG222" s="16"/>
      <c r="DH222" s="687"/>
      <c r="DI222" s="16"/>
      <c r="DJ222" s="687"/>
      <c r="DK222" s="16"/>
      <c r="DL222" s="687"/>
      <c r="DM222" s="16"/>
      <c r="DN222" s="687"/>
      <c r="DO222" s="16"/>
      <c r="DP222" s="687"/>
      <c r="DQ222" s="16"/>
      <c r="DR222" s="687"/>
      <c r="DS222" s="16"/>
      <c r="DT222" s="687"/>
      <c r="DU222" s="16"/>
      <c r="DV222" s="687"/>
      <c r="DW222" s="16"/>
      <c r="DX222" s="687"/>
      <c r="DY222" s="16"/>
      <c r="DZ222" s="687"/>
      <c r="EA222" s="16"/>
      <c r="EB222" s="687"/>
      <c r="EC222" s="16"/>
      <c r="ED222" s="687"/>
      <c r="EE222" s="16"/>
      <c r="EF222" s="687"/>
      <c r="EG222" s="16"/>
      <c r="EH222" s="687"/>
      <c r="EI222" s="16"/>
      <c r="EJ222" s="687"/>
      <c r="EK222" s="16"/>
      <c r="EL222" s="687"/>
      <c r="EM222" s="687"/>
    </row>
    <row r="223" spans="1:143" ht="12.75" hidden="1" customHeight="1" outlineLevel="1" x14ac:dyDescent="0.2">
      <c r="A223" s="700" t="s">
        <v>636</v>
      </c>
      <c r="B223" s="16"/>
      <c r="C223" s="687"/>
      <c r="D223" s="16"/>
      <c r="E223" s="687"/>
      <c r="F223" s="16"/>
      <c r="G223" s="687"/>
      <c r="H223" s="16"/>
      <c r="I223" s="687"/>
      <c r="J223" s="16"/>
      <c r="K223" s="687"/>
      <c r="L223" s="16"/>
      <c r="M223" s="687"/>
      <c r="N223" s="16"/>
      <c r="O223" s="687"/>
      <c r="P223" s="16"/>
      <c r="Q223" s="687"/>
      <c r="R223" s="16"/>
      <c r="S223" s="687"/>
      <c r="T223" s="16"/>
      <c r="U223" s="687"/>
      <c r="V223" s="16"/>
      <c r="W223" s="687"/>
      <c r="X223" s="16"/>
      <c r="Y223" s="687"/>
      <c r="Z223" s="16"/>
      <c r="AA223" s="687"/>
      <c r="AB223" s="16"/>
      <c r="AC223" s="687"/>
      <c r="AD223" s="16"/>
      <c r="AE223" s="687"/>
      <c r="AF223" s="16"/>
      <c r="AG223" s="687"/>
      <c r="AH223" s="16"/>
      <c r="AI223" s="687"/>
      <c r="AJ223" s="16"/>
      <c r="AK223" s="687"/>
      <c r="AL223" s="16"/>
      <c r="AM223" s="687"/>
      <c r="AN223" s="16"/>
      <c r="AO223" s="687"/>
      <c r="AP223" s="16"/>
      <c r="AQ223" s="687"/>
      <c r="AR223" s="16"/>
      <c r="AS223" s="687"/>
      <c r="AT223" s="16"/>
      <c r="AU223" s="687"/>
      <c r="AV223" s="16"/>
      <c r="AW223" s="687"/>
      <c r="AX223" s="16"/>
      <c r="AY223" s="687"/>
      <c r="AZ223" s="16"/>
      <c r="BA223" s="687"/>
      <c r="BB223" s="16"/>
      <c r="BC223" s="687"/>
      <c r="BD223" s="16"/>
      <c r="BE223" s="687"/>
      <c r="BF223" s="16"/>
      <c r="BG223" s="687"/>
      <c r="BH223" s="16"/>
      <c r="BI223" s="687"/>
      <c r="BJ223" s="16"/>
      <c r="BK223" s="687"/>
      <c r="BL223" s="16"/>
      <c r="BM223" s="687"/>
      <c r="BN223" s="16"/>
      <c r="BO223" s="687"/>
      <c r="BP223" s="16"/>
      <c r="BQ223" s="687"/>
      <c r="BR223" s="16"/>
      <c r="BS223" s="687"/>
      <c r="BT223" s="16"/>
      <c r="BU223" s="687"/>
      <c r="BV223" s="16"/>
      <c r="BW223" s="687"/>
      <c r="BX223" s="16"/>
      <c r="BY223" s="687"/>
      <c r="BZ223" s="16"/>
      <c r="CA223" s="687"/>
      <c r="CB223" s="16"/>
      <c r="CC223" s="687"/>
      <c r="CD223" s="16"/>
      <c r="CE223" s="687"/>
      <c r="CF223" s="16"/>
      <c r="CG223" s="687"/>
      <c r="CH223" s="16"/>
      <c r="CI223" s="687"/>
      <c r="CJ223" s="16"/>
      <c r="CK223" s="687"/>
      <c r="CL223" s="16"/>
      <c r="CM223" s="687"/>
      <c r="CN223" s="16"/>
      <c r="CO223" s="687"/>
      <c r="CP223" s="16"/>
      <c r="CQ223" s="687"/>
      <c r="CR223" s="16"/>
      <c r="CS223" s="687"/>
      <c r="CT223" s="16"/>
      <c r="CU223" s="687"/>
      <c r="CV223" s="16"/>
      <c r="CW223" s="687"/>
      <c r="CX223" s="16"/>
      <c r="CY223" s="687"/>
      <c r="CZ223" s="16"/>
      <c r="DA223" s="687"/>
      <c r="DB223" s="16"/>
      <c r="DC223" s="16"/>
      <c r="DD223" s="687"/>
      <c r="DE223" s="16"/>
      <c r="DF223" s="687"/>
      <c r="DG223" s="16"/>
      <c r="DH223" s="687"/>
      <c r="DI223" s="16"/>
      <c r="DJ223" s="687"/>
      <c r="DK223" s="16"/>
      <c r="DL223" s="687"/>
      <c r="DM223" s="16"/>
      <c r="DN223" s="687"/>
      <c r="DO223" s="16"/>
      <c r="DP223" s="687"/>
      <c r="DQ223" s="16"/>
      <c r="DR223" s="687"/>
      <c r="DS223" s="16"/>
      <c r="DT223" s="687"/>
      <c r="DU223" s="16"/>
      <c r="DV223" s="687"/>
      <c r="DW223" s="16"/>
      <c r="DX223" s="687"/>
      <c r="DY223" s="16"/>
      <c r="DZ223" s="687"/>
      <c r="EA223" s="16"/>
      <c r="EB223" s="687"/>
      <c r="EC223" s="16"/>
      <c r="ED223" s="687"/>
      <c r="EE223" s="16"/>
      <c r="EF223" s="687"/>
      <c r="EG223" s="16"/>
      <c r="EH223" s="687"/>
      <c r="EI223" s="16"/>
      <c r="EJ223" s="687"/>
      <c r="EK223" s="16"/>
      <c r="EL223" s="687"/>
      <c r="EM223" s="687"/>
    </row>
    <row r="224" spans="1:143" ht="12.75" hidden="1" customHeight="1" outlineLevel="1" x14ac:dyDescent="0.2">
      <c r="A224" s="701" t="str">
        <f>INPUT!B122</f>
        <v>Operating Margin (%)</v>
      </c>
      <c r="B224" s="156">
        <f>INPUT!AY122</f>
        <v>17.716115261472783</v>
      </c>
      <c r="C224" s="687">
        <f>INPUT!AZ122</f>
        <v>0</v>
      </c>
      <c r="D224" s="156">
        <f>INPUT!BA122</f>
        <v>16.123778501628667</v>
      </c>
      <c r="E224" s="687">
        <f>INPUT!BB122</f>
        <v>0</v>
      </c>
      <c r="F224" s="156">
        <f>INPUT!BC122</f>
        <v>21.693210393964801</v>
      </c>
      <c r="G224" s="687">
        <f>INPUT!BD122</f>
        <v>0</v>
      </c>
      <c r="H224" s="156">
        <f>INPUT!BE122</f>
        <v>19.41001098383806</v>
      </c>
      <c r="I224" s="687">
        <f>INPUT!BF122</f>
        <v>0</v>
      </c>
      <c r="J224" s="156">
        <f>INPUT!BG122</f>
        <v>19.766260162601622</v>
      </c>
      <c r="K224" s="687">
        <f>INPUT!BH122</f>
        <v>0</v>
      </c>
      <c r="L224" s="156">
        <f>INPUT!BI122</f>
        <v>19.801186467853132</v>
      </c>
      <c r="M224" s="687">
        <f>INPUT!BJ122</f>
        <v>0</v>
      </c>
      <c r="N224" s="156">
        <f>INPUT!BK122</f>
        <v>19.459041731066463</v>
      </c>
      <c r="O224" s="687">
        <f>INPUT!BL122</f>
        <v>0</v>
      </c>
      <c r="P224" s="156">
        <f>INPUT!BM122</f>
        <v>17.685557042986748</v>
      </c>
      <c r="Q224" s="687">
        <f>INPUT!BN122</f>
        <v>0</v>
      </c>
      <c r="R224" s="156">
        <f>INPUT!BO122</f>
        <v>18.936716993254102</v>
      </c>
      <c r="S224" s="687">
        <f>INPUT!BP122</f>
        <v>0</v>
      </c>
      <c r="T224" s="156">
        <f>INPUT!BQ122</f>
        <v>18.781315661871677</v>
      </c>
      <c r="U224" s="687">
        <f>INPUT!BR122</f>
        <v>0</v>
      </c>
      <c r="V224" s="156">
        <f>INPUT!BS122</f>
        <v>19.386848341232231</v>
      </c>
      <c r="W224" s="687">
        <f>INPUT!BT122</f>
        <v>0</v>
      </c>
      <c r="X224" s="156">
        <f>INPUT!BU122</f>
        <v>-30.266173100652232</v>
      </c>
      <c r="Y224" s="687">
        <f>INPUT!BV122</f>
        <v>0</v>
      </c>
      <c r="Z224" s="156">
        <f>INPUT!BW122</f>
        <v>14.165229058846082</v>
      </c>
      <c r="AA224" s="687">
        <f>INPUT!BX122</f>
        <v>0</v>
      </c>
      <c r="AB224" s="156">
        <f>INPUT!BY122</f>
        <v>11.837104072398194</v>
      </c>
      <c r="AC224" s="687">
        <f>INPUT!BZ122</f>
        <v>0</v>
      </c>
      <c r="AD224" s="156">
        <f>INPUT!CA122</f>
        <v>15.797392176529588</v>
      </c>
      <c r="AE224" s="687">
        <f>INPUT!CB122</f>
        <v>0</v>
      </c>
      <c r="AF224" s="156">
        <f>INPUT!CC122</f>
        <v>19.033232628398789</v>
      </c>
      <c r="AG224" s="687">
        <f>INPUT!CD122</f>
        <v>0</v>
      </c>
      <c r="AH224" s="156">
        <f>INPUT!CE122</f>
        <v>18.844260993808533</v>
      </c>
      <c r="AI224" s="687">
        <f>INPUT!CF122</f>
        <v>0</v>
      </c>
      <c r="AJ224" s="156">
        <f>INPUT!CG122</f>
        <v>18.057710207880856</v>
      </c>
      <c r="AK224" s="687">
        <f>INPUT!CH122</f>
        <v>0</v>
      </c>
      <c r="AL224" s="156">
        <f>INPUT!CI122</f>
        <v>19.097379978797509</v>
      </c>
      <c r="AM224" s="687">
        <f>INPUT!CJ122</f>
        <v>0</v>
      </c>
      <c r="AN224" s="156">
        <f>INPUT!CK122</f>
        <v>17.11348798444228</v>
      </c>
      <c r="AO224" s="687">
        <f>INPUT!CL122</f>
        <v>0</v>
      </c>
      <c r="AP224" s="156">
        <f>INPUT!CM122</f>
        <v>19.639934533551564</v>
      </c>
      <c r="AQ224" s="687">
        <f>INPUT!CN122</f>
        <v>0</v>
      </c>
      <c r="AR224" s="156">
        <f>INPUT!CO122</f>
        <v>19.706042460533467</v>
      </c>
      <c r="AS224" s="687">
        <f>INPUT!CP122</f>
        <v>0</v>
      </c>
      <c r="AT224" s="156">
        <f>INPUT!CQ122</f>
        <v>21.56118143459916</v>
      </c>
      <c r="AU224" s="687">
        <f>INPUT!CR122</f>
        <v>0</v>
      </c>
      <c r="AV224" s="156">
        <f>INPUT!CS122</f>
        <v>18.930635838150287</v>
      </c>
      <c r="AW224" s="687">
        <f>INPUT!CT122</f>
        <v>0</v>
      </c>
      <c r="AX224" s="156">
        <f>INPUT!CU122</f>
        <v>18.741450068399455</v>
      </c>
      <c r="AY224" s="687">
        <f>INPUT!CV122</f>
        <v>0</v>
      </c>
      <c r="AZ224" s="156">
        <f>INPUT!CW122</f>
        <v>21.525885558583106</v>
      </c>
      <c r="BA224" s="687">
        <f>INPUT!CX122</f>
        <v>0</v>
      </c>
      <c r="BB224" s="156">
        <f>INPUT!CY122</f>
        <v>18.65771812080537</v>
      </c>
      <c r="BC224" s="687">
        <f>INPUT!CZ122</f>
        <v>0</v>
      </c>
      <c r="BD224" s="156">
        <f>INPUT!DA122</f>
        <v>21.148825065274153</v>
      </c>
      <c r="BE224" s="687">
        <f>INPUT!DB122</f>
        <v>0</v>
      </c>
      <c r="BF224" s="156">
        <f>INPUT!DC122</f>
        <v>20.463320463320464</v>
      </c>
      <c r="BG224" s="687">
        <f>INPUT!DD122</f>
        <v>0</v>
      </c>
      <c r="BH224" s="156">
        <f>INPUT!DE122</f>
        <v>23.867809057527538</v>
      </c>
      <c r="BI224" s="687">
        <f>INPUT!DF122</f>
        <v>0</v>
      </c>
      <c r="BJ224" s="156">
        <f>INPUT!DG122</f>
        <v>23.51543942992874</v>
      </c>
      <c r="BK224" s="687">
        <f>INPUT!DH122</f>
        <v>0</v>
      </c>
      <c r="BL224" s="156">
        <f>INPUT!DI122</f>
        <v>22.460496613995485</v>
      </c>
      <c r="BM224" s="687">
        <f>INPUT!DJ122</f>
        <v>0</v>
      </c>
      <c r="BN224" s="156">
        <f>INPUT!DK122</f>
        <v>23.762376237623762</v>
      </c>
      <c r="BO224" s="687">
        <f>INPUT!DL122</f>
        <v>0</v>
      </c>
      <c r="BP224" s="156">
        <f>INPUT!DM122</f>
        <v>24.514038876889849</v>
      </c>
      <c r="BQ224" s="687">
        <f>INPUT!DN122</f>
        <v>2.7075372431744071</v>
      </c>
      <c r="BR224" s="156">
        <f>INPUT!DO122</f>
        <v>25.95338983050847</v>
      </c>
      <c r="BS224" s="687">
        <f>INPUT!DP122</f>
        <v>10.367445642869356</v>
      </c>
      <c r="BT224" s="156">
        <f>INPUT!DQ122</f>
        <v>24.534161490683228</v>
      </c>
      <c r="BU224" s="687">
        <f>INPUT!DR122</f>
        <v>9.2324978931926704</v>
      </c>
      <c r="BV224" s="156">
        <f>INPUT!DS122</f>
        <v>24.165824064711831</v>
      </c>
      <c r="BW224" s="687">
        <f>INPUT!DT122</f>
        <v>1.6978429389956196</v>
      </c>
      <c r="BX224" s="156">
        <f>INPUT!DU122</f>
        <v>25.731584258324926</v>
      </c>
      <c r="BY224" s="687">
        <f>INPUT!DV122</f>
        <v>4.9667269744884557</v>
      </c>
      <c r="BZ224" s="156">
        <f>INPUT!DW122</f>
        <v>24.433962264150942</v>
      </c>
      <c r="CA224" s="687">
        <f>INPUT!DX122</f>
        <v>24.433962264150942</v>
      </c>
      <c r="CB224" s="156">
        <f>INPUT!DY122</f>
        <v>22.520852641334567</v>
      </c>
      <c r="CC224" s="687">
        <f>INPUT!DZ122</f>
        <v>-8.2061449302565652</v>
      </c>
      <c r="CD224" s="156">
        <f>INPUT!EA122</f>
        <v>20.981713185755535</v>
      </c>
      <c r="CE224" s="687">
        <f>INPUT!EB122</f>
        <v>-13.176090624635052</v>
      </c>
      <c r="CF224" s="156">
        <f>INPUT!EC122</f>
        <v>23.906408952187181</v>
      </c>
      <c r="CG224" s="687">
        <f>INPUT!ED122</f>
        <v>-7.0931322681666797</v>
      </c>
      <c r="CH224" s="156">
        <f>INPUT!EE122</f>
        <v>24</v>
      </c>
      <c r="CI224" s="687">
        <f>INPUT!EF122</f>
        <v>-1.7760617760617659</v>
      </c>
      <c r="CJ224" s="156">
        <f>INPUT!EG122</f>
        <v>23.936696340257171</v>
      </c>
      <c r="CK224" s="687">
        <f>INPUT!EH122</f>
        <v>6.2868121445987191</v>
      </c>
      <c r="CL224" s="156">
        <f>INPUT!EI122</f>
        <v>26.48444863336475</v>
      </c>
      <c r="CM224" s="687">
        <f>INPUT!EJ122</f>
        <v>26.22634004617419</v>
      </c>
      <c r="CN224" s="156">
        <f>INPUT!EK122</f>
        <v>23.3271375464684</v>
      </c>
      <c r="CO224" s="687">
        <f>INPUT!EL122</f>
        <v>-2.4230799651981383</v>
      </c>
      <c r="CP224" s="156">
        <f>INPUT!EM122</f>
        <v>25.815470643056848</v>
      </c>
      <c r="CQ224" s="687">
        <f>INPUT!EN122</f>
        <v>7.5644610127368672</v>
      </c>
      <c r="CR224" s="156">
        <f>INPUT!EO122</f>
        <v>22.707797772065124</v>
      </c>
      <c r="CS224" s="687">
        <f>INPUT!EP122</f>
        <v>-5.1339522828188429</v>
      </c>
      <c r="CT224" s="156">
        <f>INPUT!EQ122</f>
        <v>25.292465311645195</v>
      </c>
      <c r="CU224" s="687">
        <f>INPUT!ER122</f>
        <v>-4.500691474535401</v>
      </c>
      <c r="CV224" s="156">
        <f>INPUT!ES122</f>
        <v>25.229955153712435</v>
      </c>
      <c r="CW224" s="687">
        <f>INPUT!ET122</f>
        <v>8.1570985872294166</v>
      </c>
      <c r="CX224" s="156">
        <f>INPUT!EU122</f>
        <v>25.219763992598114</v>
      </c>
      <c r="CY224" s="687">
        <f>INPUT!EV122</f>
        <v>-2.3075568084556686</v>
      </c>
      <c r="CZ224" s="156">
        <f>INPUT!EW122</f>
        <v>25.20991702556168</v>
      </c>
      <c r="DA224" s="687">
        <f>INPUT!EX122</f>
        <v>11.018766674831992</v>
      </c>
      <c r="DB224" s="16"/>
      <c r="DC224" s="156">
        <f>INPUT!FP122</f>
        <v>17.729349736379621</v>
      </c>
      <c r="DD224" s="687">
        <f>INPUT!FQ122</f>
        <v>0</v>
      </c>
      <c r="DE224" s="156">
        <f>INPUT!FR122</f>
        <v>18.906163242642968</v>
      </c>
      <c r="DF224" s="687">
        <f>INPUT!FS122</f>
        <v>0</v>
      </c>
      <c r="DG224" s="156">
        <f>INPUT!FT122</f>
        <v>19.144233046498758</v>
      </c>
      <c r="DH224" s="687">
        <f>INPUT!FU122</f>
        <v>0</v>
      </c>
      <c r="DI224" s="156">
        <f>INPUT!FV122</f>
        <v>7.78243014735488</v>
      </c>
      <c r="DJ224" s="687">
        <f>INPUT!FW122</f>
        <v>0</v>
      </c>
      <c r="DK224" s="156">
        <f>INPUT!FX122</f>
        <v>15.360882979185691</v>
      </c>
      <c r="DL224" s="687">
        <f>INPUT!FY122</f>
        <v>0</v>
      </c>
      <c r="DM224" s="156">
        <f>INPUT!FZ122</f>
        <v>18.24688288695522</v>
      </c>
      <c r="DN224" s="687">
        <f>INPUT!GA122</f>
        <v>0</v>
      </c>
      <c r="DO224" s="156">
        <f>INPUT!GB122</f>
        <v>19.961685823754802</v>
      </c>
      <c r="DP224" s="687">
        <f>INPUT!GC122</f>
        <v>0</v>
      </c>
      <c r="DQ224" s="156">
        <f>INPUT!GD122</f>
        <v>20.026881720430108</v>
      </c>
      <c r="DR224" s="687">
        <f>INPUT!GE122</f>
        <v>0</v>
      </c>
      <c r="DS224" s="156">
        <f>INPUT!GF122</f>
        <v>22.606863335340158</v>
      </c>
      <c r="DT224" s="687">
        <f>INPUT!GG122</f>
        <v>12.882592761698497</v>
      </c>
      <c r="DU224" s="156">
        <f>INPUT!GH122</f>
        <v>24.699599465954606</v>
      </c>
      <c r="DV224" s="687">
        <f>INPUT!GI122</f>
        <v>9.2570831237033246</v>
      </c>
      <c r="DW224" s="156">
        <f>INPUT!GJ122</f>
        <v>24.180626365622722</v>
      </c>
      <c r="DX224" s="687">
        <f>INPUT!GK122</f>
        <v>-2.1011397413436828</v>
      </c>
      <c r="DY224" s="156">
        <f>INPUT!GL122</f>
        <v>23.183734192908506</v>
      </c>
      <c r="DZ224" s="687">
        <f>INPUT!GM122</f>
        <v>-4.122689617881381</v>
      </c>
      <c r="EA224" s="156">
        <f>INPUT!GN122</f>
        <v>24.537354352296092</v>
      </c>
      <c r="EB224" s="687">
        <f>INPUT!GO122</f>
        <v>5.8386632115616344</v>
      </c>
      <c r="EC224" s="156">
        <f>INPUT!GP122</f>
        <v>25.237755287407339</v>
      </c>
      <c r="ED224" s="687">
        <f>INPUT!GQ122</f>
        <v>2.8544272746573007</v>
      </c>
      <c r="EE224" s="156">
        <f>INPUT!GR122</f>
        <v>25.044738491617004</v>
      </c>
      <c r="EF224" s="687">
        <f>INPUT!GS122</f>
        <v>-0.7647938320673231</v>
      </c>
      <c r="EG224" s="156">
        <f>INPUT!GT122</f>
        <v>25.030118611294661</v>
      </c>
      <c r="EH224" s="687">
        <f>INPUT!GU122</f>
        <v>-5.8375056809778503E-2</v>
      </c>
      <c r="EI224" s="156">
        <f>INPUT!GV122</f>
        <v>25.016851367751602</v>
      </c>
      <c r="EJ224" s="687">
        <f>INPUT!GW122</f>
        <v>-5.3005116552151677E-2</v>
      </c>
      <c r="EK224" s="156">
        <f>INPUT!GX122</f>
        <v>25.001386359019229</v>
      </c>
      <c r="EL224" s="687">
        <f>INPUT!GY122</f>
        <v>-6.1818365968746569E-2</v>
      </c>
      <c r="EM224" s="687">
        <f>INPUT!GZ122</f>
        <v>0.37539592858832904</v>
      </c>
    </row>
    <row r="225" spans="1:152" ht="12.75" hidden="1" customHeight="1" outlineLevel="1" x14ac:dyDescent="0.2">
      <c r="A225" s="701"/>
      <c r="B225" s="16"/>
      <c r="C225" s="687"/>
      <c r="D225" s="16"/>
      <c r="E225" s="687"/>
      <c r="F225" s="16"/>
      <c r="G225" s="687"/>
      <c r="H225" s="16"/>
      <c r="I225" s="687"/>
      <c r="J225" s="16"/>
      <c r="K225" s="687"/>
      <c r="L225" s="16"/>
      <c r="M225" s="687"/>
      <c r="N225" s="16"/>
      <c r="O225" s="687"/>
      <c r="P225" s="16"/>
      <c r="Q225" s="687"/>
      <c r="R225" s="16"/>
      <c r="S225" s="687"/>
      <c r="T225" s="16"/>
      <c r="U225" s="687"/>
      <c r="V225" s="16"/>
      <c r="W225" s="687"/>
      <c r="X225" s="16"/>
      <c r="Y225" s="687"/>
      <c r="Z225" s="16"/>
      <c r="AA225" s="687"/>
      <c r="AB225" s="16"/>
      <c r="AC225" s="687"/>
      <c r="AD225" s="16"/>
      <c r="AE225" s="687"/>
      <c r="AF225" s="16"/>
      <c r="AG225" s="687"/>
      <c r="AH225" s="16"/>
      <c r="AI225" s="687"/>
      <c r="AJ225" s="16"/>
      <c r="AK225" s="687"/>
      <c r="AL225" s="16"/>
      <c r="AM225" s="687"/>
      <c r="AN225" s="16"/>
      <c r="AO225" s="687"/>
      <c r="AP225" s="16"/>
      <c r="AQ225" s="687"/>
      <c r="AR225" s="16"/>
      <c r="AS225" s="687"/>
      <c r="AT225" s="16"/>
      <c r="AU225" s="687"/>
      <c r="AV225" s="16"/>
      <c r="AW225" s="687"/>
      <c r="AX225" s="16"/>
      <c r="AY225" s="687"/>
      <c r="AZ225" s="16"/>
      <c r="BA225" s="687"/>
      <c r="BB225" s="16"/>
      <c r="BC225" s="687"/>
      <c r="BD225" s="16"/>
      <c r="BE225" s="687"/>
      <c r="BF225" s="16"/>
      <c r="BG225" s="687"/>
      <c r="BH225" s="16"/>
      <c r="BI225" s="687"/>
      <c r="BJ225" s="16"/>
      <c r="BK225" s="687"/>
      <c r="BL225" s="16"/>
      <c r="BM225" s="687"/>
      <c r="BN225" s="16"/>
      <c r="BO225" s="687"/>
      <c r="BP225" s="16"/>
      <c r="BQ225" s="687"/>
      <c r="BR225" s="16"/>
      <c r="BS225" s="687"/>
      <c r="BT225" s="16"/>
      <c r="BU225" s="687"/>
      <c r="BV225" s="16"/>
      <c r="BW225" s="687"/>
      <c r="BX225" s="16"/>
      <c r="BY225" s="687"/>
      <c r="BZ225" s="16"/>
      <c r="CA225" s="687"/>
      <c r="CB225" s="16"/>
      <c r="CC225" s="687"/>
      <c r="CD225" s="16"/>
      <c r="CE225" s="687"/>
      <c r="CF225" s="16"/>
      <c r="CG225" s="687"/>
      <c r="CH225" s="16"/>
      <c r="CI225" s="687"/>
      <c r="CJ225" s="16"/>
      <c r="CK225" s="687"/>
      <c r="CL225" s="16"/>
      <c r="CM225" s="687"/>
      <c r="CN225" s="16"/>
      <c r="CO225" s="687"/>
      <c r="CP225" s="16"/>
      <c r="CQ225" s="687"/>
      <c r="CR225" s="16"/>
      <c r="CS225" s="687"/>
      <c r="CT225" s="16"/>
      <c r="CU225" s="687"/>
      <c r="CV225" s="16"/>
      <c r="CW225" s="687"/>
      <c r="CX225" s="16"/>
      <c r="CY225" s="687"/>
      <c r="CZ225" s="16"/>
      <c r="DA225" s="687"/>
      <c r="DB225" s="16"/>
      <c r="DC225" s="16"/>
      <c r="DD225" s="687"/>
      <c r="DE225" s="16"/>
      <c r="DF225" s="687"/>
      <c r="DG225" s="16"/>
      <c r="DH225" s="687"/>
      <c r="DI225" s="16"/>
      <c r="DJ225" s="687"/>
      <c r="DK225" s="16"/>
      <c r="DL225" s="687"/>
      <c r="DM225" s="16"/>
      <c r="DN225" s="687"/>
      <c r="DO225" s="16"/>
      <c r="DP225" s="687"/>
      <c r="DQ225" s="16"/>
      <c r="DR225" s="687"/>
      <c r="DS225" s="16"/>
      <c r="DT225" s="687"/>
      <c r="DU225" s="16"/>
      <c r="DV225" s="687"/>
      <c r="DW225" s="16"/>
      <c r="DX225" s="687"/>
      <c r="DY225" s="16"/>
      <c r="DZ225" s="687"/>
      <c r="EA225" s="16"/>
      <c r="EB225" s="687"/>
      <c r="EC225" s="16"/>
      <c r="ED225" s="687"/>
      <c r="EE225" s="16"/>
      <c r="EF225" s="687"/>
      <c r="EG225" s="16"/>
      <c r="EH225" s="687"/>
      <c r="EI225" s="16"/>
      <c r="EJ225" s="687"/>
      <c r="EK225" s="16"/>
      <c r="EL225" s="687"/>
      <c r="EM225" s="687"/>
    </row>
    <row r="226" spans="1:152" ht="12.75" hidden="1" customHeight="1" outlineLevel="1" x14ac:dyDescent="0.2">
      <c r="A226" s="700" t="str">
        <f>INPUT!B108</f>
        <v>Benefits and Expenses Analysis</v>
      </c>
      <c r="B226" s="16"/>
      <c r="C226" s="687"/>
      <c r="D226" s="16"/>
      <c r="E226" s="687"/>
      <c r="F226" s="16"/>
      <c r="G226" s="687"/>
      <c r="H226" s="16"/>
      <c r="I226" s="687"/>
      <c r="J226" s="16"/>
      <c r="K226" s="687"/>
      <c r="L226" s="16"/>
      <c r="M226" s="687"/>
      <c r="N226" s="16"/>
      <c r="O226" s="687"/>
      <c r="P226" s="16"/>
      <c r="Q226" s="687"/>
      <c r="R226" s="16"/>
      <c r="S226" s="687"/>
      <c r="T226" s="16"/>
      <c r="U226" s="687"/>
      <c r="V226" s="16"/>
      <c r="W226" s="687"/>
      <c r="X226" s="16"/>
      <c r="Y226" s="687"/>
      <c r="Z226" s="16"/>
      <c r="AA226" s="687"/>
      <c r="AB226" s="16"/>
      <c r="AC226" s="687"/>
      <c r="AD226" s="16"/>
      <c r="AE226" s="687"/>
      <c r="AF226" s="16"/>
      <c r="AG226" s="687"/>
      <c r="AH226" s="16"/>
      <c r="AI226" s="687"/>
      <c r="AJ226" s="16"/>
      <c r="AK226" s="687"/>
      <c r="AL226" s="16"/>
      <c r="AM226" s="687"/>
      <c r="AN226" s="16"/>
      <c r="AO226" s="687"/>
      <c r="AP226" s="16"/>
      <c r="AQ226" s="687"/>
      <c r="AR226" s="16"/>
      <c r="AS226" s="687"/>
      <c r="AT226" s="16"/>
      <c r="AU226" s="687"/>
      <c r="AV226" s="16"/>
      <c r="AW226" s="687"/>
      <c r="AX226" s="16"/>
      <c r="AY226" s="687"/>
      <c r="AZ226" s="16"/>
      <c r="BA226" s="687"/>
      <c r="BB226" s="16"/>
      <c r="BC226" s="687"/>
      <c r="BD226" s="16"/>
      <c r="BE226" s="687"/>
      <c r="BF226" s="16"/>
      <c r="BG226" s="687"/>
      <c r="BH226" s="16"/>
      <c r="BI226" s="687"/>
      <c r="BJ226" s="16"/>
      <c r="BK226" s="687"/>
      <c r="BL226" s="16"/>
      <c r="BM226" s="687"/>
      <c r="BN226" s="16"/>
      <c r="BO226" s="687"/>
      <c r="BP226" s="16"/>
      <c r="BQ226" s="687"/>
      <c r="BR226" s="16"/>
      <c r="BS226" s="687"/>
      <c r="BT226" s="16"/>
      <c r="BU226" s="687"/>
      <c r="BV226" s="16"/>
      <c r="BW226" s="687"/>
      <c r="BX226" s="16"/>
      <c r="BY226" s="687"/>
      <c r="BZ226" s="16"/>
      <c r="CA226" s="687"/>
      <c r="CB226" s="16"/>
      <c r="CC226" s="687"/>
      <c r="CD226" s="16"/>
      <c r="CE226" s="687"/>
      <c r="CF226" s="16"/>
      <c r="CG226" s="687"/>
      <c r="CH226" s="16"/>
      <c r="CI226" s="687"/>
      <c r="CJ226" s="16"/>
      <c r="CK226" s="687"/>
      <c r="CL226" s="16"/>
      <c r="CM226" s="687"/>
      <c r="CN226" s="16"/>
      <c r="CO226" s="687"/>
      <c r="CP226" s="16"/>
      <c r="CQ226" s="687"/>
      <c r="CR226" s="16"/>
      <c r="CS226" s="687"/>
      <c r="CT226" s="16"/>
      <c r="CU226" s="687"/>
      <c r="CV226" s="16"/>
      <c r="CW226" s="687"/>
      <c r="CX226" s="16"/>
      <c r="CY226" s="687"/>
      <c r="CZ226" s="16"/>
      <c r="DA226" s="687"/>
      <c r="DB226" s="16"/>
      <c r="DC226" s="16"/>
      <c r="DD226" s="687"/>
      <c r="DE226" s="16"/>
      <c r="DF226" s="687"/>
      <c r="DG226" s="16"/>
      <c r="DH226" s="687"/>
      <c r="DI226" s="16"/>
      <c r="DJ226" s="687"/>
      <c r="DK226" s="16"/>
      <c r="DL226" s="687"/>
      <c r="DM226" s="16"/>
      <c r="DN226" s="687"/>
      <c r="DO226" s="16"/>
      <c r="DP226" s="687"/>
      <c r="DQ226" s="16"/>
      <c r="DR226" s="687"/>
      <c r="DS226" s="16"/>
      <c r="DT226" s="687"/>
      <c r="DU226" s="16"/>
      <c r="DV226" s="687"/>
      <c r="DW226" s="16"/>
      <c r="DX226" s="687"/>
      <c r="DY226" s="16"/>
      <c r="DZ226" s="687"/>
      <c r="EA226" s="16"/>
      <c r="EB226" s="687"/>
      <c r="EC226" s="16"/>
      <c r="ED226" s="687"/>
      <c r="EE226" s="16"/>
      <c r="EF226" s="687"/>
      <c r="EG226" s="16"/>
      <c r="EH226" s="687"/>
      <c r="EI226" s="16"/>
      <c r="EJ226" s="687"/>
      <c r="EK226" s="16"/>
      <c r="EL226" s="687"/>
      <c r="EM226" s="687"/>
    </row>
    <row r="227" spans="1:152" ht="12.75" hidden="1" customHeight="1" outlineLevel="1" x14ac:dyDescent="0.2">
      <c r="A227" s="701" t="str">
        <f>INPUT!B109</f>
        <v>Benefits/Net Revenues (%)</v>
      </c>
      <c r="B227" s="156">
        <f>INPUT!AY109</f>
        <v>7.293528780836608</v>
      </c>
      <c r="C227" s="687">
        <f>INPUT!AZ109</f>
        <v>-17.534959963842688</v>
      </c>
      <c r="D227" s="156">
        <f>INPUT!BA109</f>
        <v>11.803022407503908</v>
      </c>
      <c r="E227" s="687">
        <f>INPUT!BB109</f>
        <v>-6.2900163633527351</v>
      </c>
      <c r="F227" s="156">
        <f>INPUT!BC109</f>
        <v>7.0563996909605962</v>
      </c>
      <c r="G227" s="687">
        <f>INPUT!BD109</f>
        <v>-8.748704484212011</v>
      </c>
      <c r="H227" s="156">
        <f>INPUT!BE109</f>
        <v>2.7490601503759398</v>
      </c>
      <c r="I227" s="687" t="str">
        <f>INPUT!BF109</f>
        <v>NM</v>
      </c>
      <c r="J227" s="156">
        <f>INPUT!BG109</f>
        <v>5.916608432331703</v>
      </c>
      <c r="K227" s="687">
        <f>INPUT!BH109</f>
        <v>-18.878657915530496</v>
      </c>
      <c r="L227" s="156">
        <f>INPUT!BI109</f>
        <v>5.800261665939817</v>
      </c>
      <c r="M227" s="687" t="str">
        <f>INPUT!BJ109</f>
        <v>NM</v>
      </c>
      <c r="N227" s="156">
        <f>INPUT!BK109</f>
        <v>11.687772472493254</v>
      </c>
      <c r="O227" s="687">
        <f>INPUT!BL109</f>
        <v>65.633651498873419</v>
      </c>
      <c r="P227" s="156">
        <f>INPUT!BM109</f>
        <v>12.291831879460746</v>
      </c>
      <c r="Q227" s="687" t="str">
        <f>INPUT!BN109</f>
        <v>NM</v>
      </c>
      <c r="R227" s="156">
        <f>INPUT!BO109</f>
        <v>11.166739225076185</v>
      </c>
      <c r="S227" s="687">
        <f>INPUT!BP109</f>
        <v>88.735478319889992</v>
      </c>
      <c r="T227" s="156">
        <f>INPUT!BQ109</f>
        <v>7.7243800746104885</v>
      </c>
      <c r="U227" s="687">
        <f>INPUT!BR109</f>
        <v>33.172958729938728</v>
      </c>
      <c r="V227" s="156">
        <f>INPUT!BS109</f>
        <v>22.347585114806019</v>
      </c>
      <c r="W227" s="687">
        <f>INPUT!BT109</f>
        <v>91.204826817088076</v>
      </c>
      <c r="X227" s="156">
        <f>INPUT!BU109</f>
        <v>22.603878116343491</v>
      </c>
      <c r="Y227" s="687">
        <f>INPUT!BV109</f>
        <v>83.893485836833165</v>
      </c>
      <c r="Z227" s="156">
        <f>INPUT!BW109</f>
        <v>21.16727171181234</v>
      </c>
      <c r="AA227" s="687">
        <f>INPUT!BX109</f>
        <v>89.556425427029041</v>
      </c>
      <c r="AB227" s="156">
        <f>INPUT!BY109</f>
        <v>17.534676786181628</v>
      </c>
      <c r="AC227" s="687" t="str">
        <f>INPUT!BZ109</f>
        <v>NM</v>
      </c>
      <c r="AD227" s="156">
        <f>INPUT!CA109</f>
        <v>12.195121951219511</v>
      </c>
      <c r="AE227" s="687">
        <f>INPUT!CB109</f>
        <v>-45.429799736438468</v>
      </c>
      <c r="AF227" s="156">
        <f>INPUT!CC109</f>
        <v>10.407537248028047</v>
      </c>
      <c r="AG227" s="687" t="str">
        <f>INPUT!CD109</f>
        <v>NM</v>
      </c>
      <c r="AH227" s="156">
        <f>INPUT!CE109</f>
        <v>9.6539563588274184</v>
      </c>
      <c r="AI227" s="687" t="str">
        <f>INPUT!CF109</f>
        <v>NM</v>
      </c>
      <c r="AJ227" s="156">
        <f>INPUT!CG109</f>
        <v>8.7021595039555262</v>
      </c>
      <c r="AK227" s="687" t="str">
        <f>INPUT!CH109</f>
        <v>NM</v>
      </c>
      <c r="AL227" s="156">
        <f>INPUT!CI109</f>
        <v>9.0184563758389267</v>
      </c>
      <c r="AM227" s="687">
        <f>INPUT!CJ109</f>
        <v>-26.048657718120793</v>
      </c>
      <c r="AN227" s="156">
        <f>INPUT!CK109</f>
        <v>8.8888888888888893</v>
      </c>
      <c r="AO227" s="687">
        <f>INPUT!CL109</f>
        <v>-14.59181286549709</v>
      </c>
      <c r="AP227" s="156">
        <f>INPUT!CM109</f>
        <v>6.3350035790980668</v>
      </c>
      <c r="AQ227" s="687">
        <f>INPUT!CN109</f>
        <v>-34.379198085917963</v>
      </c>
      <c r="AR227" s="156">
        <f>INPUT!CO109</f>
        <v>7.6508620689655178</v>
      </c>
      <c r="AS227" s="687">
        <f>INPUT!CP109</f>
        <v>-12.080879861052264</v>
      </c>
      <c r="AT227" s="156">
        <f>INPUT!CQ109</f>
        <v>16.298239040839267</v>
      </c>
      <c r="AU227" s="687">
        <f>INPUT!CR109</f>
        <v>80.720938945864233</v>
      </c>
      <c r="AV227" s="156">
        <f>INPUT!CS109</f>
        <v>8.9866156787762907</v>
      </c>
      <c r="AW227" s="687">
        <f>INPUT!CT109</f>
        <v>1.0994263862332598</v>
      </c>
      <c r="AX227" s="156">
        <f>INPUT!CU109</f>
        <v>8.0357142857142865</v>
      </c>
      <c r="AY227" s="687">
        <f>INPUT!CV109</f>
        <v>26.846246973365638</v>
      </c>
      <c r="AZ227" s="156">
        <f>INPUT!CW109</f>
        <v>8.5814360770577931</v>
      </c>
      <c r="BA227" s="687">
        <f>INPUT!CX109</f>
        <v>12.162995486051154</v>
      </c>
      <c r="BB227" s="156">
        <f>INPUT!CY109</f>
        <v>21.869782971619365</v>
      </c>
      <c r="BC227" s="687">
        <f>INPUT!CZ109</f>
        <v>34.184944255751915</v>
      </c>
      <c r="BD227" s="156">
        <f>INPUT!DA109</f>
        <v>8.9722675367047309</v>
      </c>
      <c r="BE227" s="687">
        <f>INPUT!DB109</f>
        <v>-0.15966124049842101</v>
      </c>
      <c r="BF227" s="156">
        <f>INPUT!DC109</f>
        <v>10.416666666666668</v>
      </c>
      <c r="BG227" s="687">
        <f>INPUT!DD109</f>
        <v>29.629629629629626</v>
      </c>
      <c r="BH227" s="156">
        <f>INPUT!DE109</f>
        <v>9.3939393939393927</v>
      </c>
      <c r="BI227" s="687">
        <f>INPUT!DF109</f>
        <v>9.4681508967223049</v>
      </c>
      <c r="BJ227" s="156">
        <f>INPUT!DG109</f>
        <v>11.320754716981133</v>
      </c>
      <c r="BK227" s="687">
        <f>INPUT!DH109</f>
        <v>-48.235633011666422</v>
      </c>
      <c r="BL227" s="156">
        <f>INPUT!DI109</f>
        <v>9.3793103448275872</v>
      </c>
      <c r="BM227" s="687">
        <f>INPUT!DJ109</f>
        <v>4.5366771159874641</v>
      </c>
      <c r="BN227" s="156">
        <f>INPUT!DK109</f>
        <v>11.523178807947019</v>
      </c>
      <c r="BO227" s="687">
        <f>INPUT!DL109</f>
        <v>10.622516556291362</v>
      </c>
      <c r="BP227" s="156">
        <f>INPUT!DM109</f>
        <v>10.362694300518134</v>
      </c>
      <c r="BQ227" s="687">
        <f>INPUT!DN109</f>
        <v>10.31255223132208</v>
      </c>
      <c r="BR227" s="156">
        <f>INPUT!DO109</f>
        <v>12.752525252525251</v>
      </c>
      <c r="BS227" s="687">
        <f>INPUT!DP109</f>
        <v>12.64730639730638</v>
      </c>
      <c r="BT227" s="156">
        <f>INPUT!DQ109</f>
        <v>11.274509803921569</v>
      </c>
      <c r="BU227" s="687">
        <f>INPUT!DR109</f>
        <v>20.206170703575555</v>
      </c>
      <c r="BV227" s="156">
        <f>INPUT!DS109</f>
        <v>15.24822695035461</v>
      </c>
      <c r="BW227" s="687">
        <f>INPUT!DT109</f>
        <v>32.326567212847479</v>
      </c>
      <c r="BX227" s="156">
        <f>INPUT!DU109</f>
        <v>10.56338028169014</v>
      </c>
      <c r="BY227" s="687">
        <f>INPUT!DV109</f>
        <v>1.936619718309851</v>
      </c>
      <c r="BZ227" s="156">
        <f>INPUT!DW109</f>
        <v>23.650107991360692</v>
      </c>
      <c r="CA227" s="687">
        <f>INPUT!DX109</f>
        <v>9.7192224622030245</v>
      </c>
      <c r="CB227" s="156">
        <f>INPUT!DY109</f>
        <v>22.66949152542373</v>
      </c>
      <c r="CC227" s="687" t="str">
        <f>INPUT!DZ109</f>
        <v>NM</v>
      </c>
      <c r="CD227" s="156">
        <f>INPUT!EA109</f>
        <v>24.026696329254726</v>
      </c>
      <c r="CE227" s="687">
        <f>INPUT!EB109</f>
        <v>57.570427089530995</v>
      </c>
      <c r="CF227" s="156">
        <f>INPUT!EC109</f>
        <v>16.209773539928488</v>
      </c>
      <c r="CG227" s="687">
        <f>INPUT!ED109</f>
        <v>53.452522844656357</v>
      </c>
      <c r="CH227" s="156">
        <f>INPUT!EE109</f>
        <v>13.145539906103288</v>
      </c>
      <c r="CI227" s="687">
        <f>INPUT!EF109</f>
        <v>-44.416575556841806</v>
      </c>
      <c r="CJ227" s="156">
        <f>INPUT!EG109</f>
        <v>15.31322505800464</v>
      </c>
      <c r="CK227" s="687">
        <f>INPUT!EH109</f>
        <v>-32.450072641325335</v>
      </c>
      <c r="CL227" s="156">
        <f>INPUT!EI109</f>
        <v>21.11597374179431</v>
      </c>
      <c r="CM227" s="687">
        <f>INPUT!EJ109</f>
        <v>-12.114535213550525</v>
      </c>
      <c r="CN227" s="156">
        <f>INPUT!EK109</f>
        <v>18.689581095596132</v>
      </c>
      <c r="CO227" s="687">
        <f>INPUT!EL109</f>
        <v>15.298224552979068</v>
      </c>
      <c r="CP227" s="156">
        <f>INPUT!EM109</f>
        <v>14.547413793103448</v>
      </c>
      <c r="CQ227" s="687">
        <f>INPUT!EN109</f>
        <v>10.664254926108363</v>
      </c>
      <c r="CR227" s="156">
        <f>INPUT!EO109</f>
        <v>21.896383186705766</v>
      </c>
      <c r="CS227" s="687">
        <f>INPUT!EP109</f>
        <v>42.990017476820988</v>
      </c>
      <c r="CT227" s="156">
        <f>INPUT!EQ109</f>
        <v>18</v>
      </c>
      <c r="CU227" s="687">
        <f>INPUT!ER109</f>
        <v>-14.756476683937825</v>
      </c>
      <c r="CV227" s="156">
        <f>INPUT!ES109</f>
        <v>18</v>
      </c>
      <c r="CW227" s="687">
        <f>INPUT!ET109</f>
        <v>-3.689655172413786</v>
      </c>
      <c r="CX227" s="156">
        <f>INPUT!EU109</f>
        <v>18</v>
      </c>
      <c r="CY227" s="687">
        <f>INPUT!EV109</f>
        <v>23.733333333333341</v>
      </c>
      <c r="CZ227" s="156">
        <f>INPUT!EW109</f>
        <v>18</v>
      </c>
      <c r="DA227" s="687">
        <f>INPUT!EX109</f>
        <v>-17.794642857142851</v>
      </c>
      <c r="DB227" s="16"/>
      <c r="DC227" s="156">
        <f>INPUT!FP109</f>
        <v>9.1562287600737928</v>
      </c>
      <c r="DD227" s="687" t="str">
        <f>INPUT!FQ109</f>
        <v>NA</v>
      </c>
      <c r="DE227" s="156">
        <f>INPUT!FR109</f>
        <v>7.0935427101665089</v>
      </c>
      <c r="DF227" s="687">
        <f>INPUT!FS109</f>
        <v>-22.527681471893025</v>
      </c>
      <c r="DG227" s="156">
        <f>INPUT!FT109</f>
        <v>9.0875133404482416</v>
      </c>
      <c r="DH227" s="687">
        <f>INPUT!FU109</f>
        <v>28.109658484525113</v>
      </c>
      <c r="DI227" s="156">
        <f>INPUT!FV109</f>
        <v>15.77499578959187</v>
      </c>
      <c r="DJ227" s="687">
        <f>INPUT!FW109</f>
        <v>73.589795124457751</v>
      </c>
      <c r="DK227" s="156">
        <f>INPUT!FX109</f>
        <v>14.936067700290319</v>
      </c>
      <c r="DL227" s="687">
        <f>INPUT!FY109</f>
        <v>-5.3180875639603276</v>
      </c>
      <c r="DM227" s="156">
        <f>INPUT!FZ109</f>
        <v>9.0555670744349985</v>
      </c>
      <c r="DN227" s="687">
        <f>INPUT!GA109</f>
        <v>-39.371143354827041</v>
      </c>
      <c r="DO227" s="156">
        <f>INPUT!GB109</f>
        <v>9.7587921193150429</v>
      </c>
      <c r="DP227" s="687">
        <f>INPUT!GC109</f>
        <v>7.7656654641246714</v>
      </c>
      <c r="DQ227" s="156">
        <f>INPUT!GD109</f>
        <v>11.950490823730259</v>
      </c>
      <c r="DR227" s="687">
        <f>INPUT!GE109</f>
        <v>22.458708799394422</v>
      </c>
      <c r="DS227" s="156">
        <f>INPUT!GF109</f>
        <v>10.118606375092662</v>
      </c>
      <c r="DT227" s="687">
        <f>INPUT!GG109</f>
        <v>-15.32894736842103</v>
      </c>
      <c r="DU227" s="156">
        <f>INPUT!GH109</f>
        <v>11.483253588516746</v>
      </c>
      <c r="DV227" s="687">
        <f>INPUT!GI109</f>
        <v>13.486513486513463</v>
      </c>
      <c r="DW227" s="156">
        <f>INPUT!GJ109</f>
        <v>18.27354260089686</v>
      </c>
      <c r="DX227" s="687">
        <f>INPUT!GK109</f>
        <v>59.132100149476827</v>
      </c>
      <c r="DY227" s="156">
        <f>INPUT!GL109</f>
        <v>17.265353418308226</v>
      </c>
      <c r="DZ227" s="687">
        <f>INPUT!GM109</f>
        <v>-5.5172070605463919</v>
      </c>
      <c r="EA227" s="156">
        <f>INPUT!GN109</f>
        <v>19.125395152792414</v>
      </c>
      <c r="EB227" s="687">
        <f>INPUT!GO109</f>
        <v>10.77326185811982</v>
      </c>
      <c r="EC227" s="156">
        <f>INPUT!GP109</f>
        <v>18.000000000000004</v>
      </c>
      <c r="ED227" s="687">
        <f>INPUT!GQ109</f>
        <v>-5.884297520661141</v>
      </c>
      <c r="EE227" s="156">
        <f>INPUT!GR109</f>
        <v>18.180000000000003</v>
      </c>
      <c r="EF227" s="687">
        <f>INPUT!GS109</f>
        <v>1.0000000000000009</v>
      </c>
      <c r="EG227" s="156">
        <f>INPUT!GT109</f>
        <v>18.180000000000003</v>
      </c>
      <c r="EH227" s="687">
        <f>INPUT!GU109</f>
        <v>0</v>
      </c>
      <c r="EI227" s="156">
        <f>INPUT!GV109</f>
        <v>18.230000000000004</v>
      </c>
      <c r="EJ227" s="687">
        <f>INPUT!GW109</f>
        <v>0.27502750275028021</v>
      </c>
      <c r="EK227" s="156">
        <f>INPUT!GX109</f>
        <v>18.230000000000004</v>
      </c>
      <c r="EL227" s="687">
        <f>INPUT!GY109</f>
        <v>0</v>
      </c>
      <c r="EM227" s="687">
        <f>INPUT!GZ109</f>
        <v>-0.95438560265080907</v>
      </c>
    </row>
    <row r="228" spans="1:152" ht="12.75" hidden="1" customHeight="1" outlineLevel="1" x14ac:dyDescent="0.2">
      <c r="A228" s="718" t="str">
        <f>INPUT!B110</f>
        <v>Other Op Exp (less DAC)/Net Rev (%)</v>
      </c>
      <c r="B228" s="156">
        <f>INPUT!AY110</f>
        <v>82.052198784411857</v>
      </c>
      <c r="C228" s="687">
        <f>INPUT!AZ110</f>
        <v>-4.9400094314957732</v>
      </c>
      <c r="D228" s="156">
        <f>INPUT!BA110</f>
        <v>76.654507556018757</v>
      </c>
      <c r="E228" s="687">
        <f>INPUT!BB110</f>
        <v>-12.097659918512072</v>
      </c>
      <c r="F228" s="156">
        <f>INPUT!BC110</f>
        <v>79.654906000515069</v>
      </c>
      <c r="G228" s="687">
        <f>INPUT!BD110</f>
        <v>-6.190512746616883</v>
      </c>
      <c r="H228" s="156">
        <f>INPUT!BE110</f>
        <v>78.171992481203006</v>
      </c>
      <c r="I228" s="687">
        <f>INPUT!BF110</f>
        <v>-3.7936835059536267</v>
      </c>
      <c r="J228" s="156">
        <f>INPUT!BG110</f>
        <v>73.934311670160724</v>
      </c>
      <c r="K228" s="687">
        <f>INPUT!BH110</f>
        <v>-9.8935643828150006</v>
      </c>
      <c r="L228" s="156">
        <f>INPUT!BI110</f>
        <v>78.390754470126467</v>
      </c>
      <c r="M228" s="687">
        <f>INPUT!BJ110</f>
        <v>2.2650291150052348</v>
      </c>
      <c r="N228" s="156">
        <f>INPUT!BK110</f>
        <v>76.313057919867148</v>
      </c>
      <c r="O228" s="687">
        <f>INPUT!BL110</f>
        <v>-4.195407726206235</v>
      </c>
      <c r="P228" s="156">
        <f>INPUT!BM110</f>
        <v>82.375099127676449</v>
      </c>
      <c r="Q228" s="687">
        <f>INPUT!BN110</f>
        <v>5.3767423767330902</v>
      </c>
      <c r="R228" s="156">
        <f>INPUT!BO110</f>
        <v>75.18502394427513</v>
      </c>
      <c r="S228" s="687">
        <f>INPUT!BP110</f>
        <v>1.6916533688636326</v>
      </c>
      <c r="T228" s="156">
        <f>INPUT!BQ110</f>
        <v>78.801843317972327</v>
      </c>
      <c r="U228" s="687">
        <f>INPUT!BR110</f>
        <v>0.52440986264843392</v>
      </c>
      <c r="V228" s="156">
        <f>INPUT!BS110</f>
        <v>65.102929532858269</v>
      </c>
      <c r="W228" s="687">
        <f>INPUT!BT110</f>
        <v>-14.689659532160437</v>
      </c>
      <c r="X228" s="156">
        <f>INPUT!BU110</f>
        <v>82.686980609418285</v>
      </c>
      <c r="Y228" s="687">
        <f>INPUT!BV110</f>
        <v>0.37861135834074133</v>
      </c>
      <c r="Z228" s="156">
        <f>INPUT!BW110</f>
        <v>74.420552918179268</v>
      </c>
      <c r="AA228" s="687">
        <f>INPUT!BX110</f>
        <v>-1.0167863039618918</v>
      </c>
      <c r="AB228" s="156">
        <f>INPUT!BY110</f>
        <v>80.947395969641434</v>
      </c>
      <c r="AC228" s="687">
        <f>INPUT!BZ110</f>
        <v>2.7227188620596365</v>
      </c>
      <c r="AD228" s="156">
        <f>INPUT!CA110</f>
        <v>82.334833057068437</v>
      </c>
      <c r="AE228" s="687">
        <f>INPUT!CB110</f>
        <v>26.468706781486695</v>
      </c>
      <c r="AF228" s="156">
        <f>INPUT!CC110</f>
        <v>72.765118317265561</v>
      </c>
      <c r="AG228" s="687">
        <f>INPUT!CD110</f>
        <v>-11.999304145618538</v>
      </c>
      <c r="AH228" s="156">
        <f>INPUT!CE110</f>
        <v>68.48137535816619</v>
      </c>
      <c r="AI228" s="687">
        <f>INPUT!CF110</f>
        <v>-7.9805609164753655</v>
      </c>
      <c r="AJ228" s="156">
        <f>INPUT!CG110</f>
        <v>73.209322215095128</v>
      </c>
      <c r="AK228" s="687">
        <f>INPUT!CH110</f>
        <v>-9.5593856502170897</v>
      </c>
      <c r="AL228" s="156">
        <f>INPUT!CI110</f>
        <v>74.601510067114106</v>
      </c>
      <c r="AM228" s="687">
        <f>INPUT!CJ110</f>
        <v>-9.3925289003673136</v>
      </c>
      <c r="AN228" s="156">
        <f>INPUT!CK110</f>
        <v>68.455743879472692</v>
      </c>
      <c r="AO228" s="687">
        <f>INPUT!CL110</f>
        <v>-5.9223080198996243</v>
      </c>
      <c r="AP228" s="156">
        <f>INPUT!CM110</f>
        <v>64.996420901932709</v>
      </c>
      <c r="AQ228" s="687">
        <f>INPUT!CN110</f>
        <v>-5.0889083900647947</v>
      </c>
      <c r="AR228" s="156">
        <f>INPUT!CO110</f>
        <v>68.893678160919549</v>
      </c>
      <c r="AS228" s="687">
        <f>INPUT!CP110</f>
        <v>-5.8949378625523297</v>
      </c>
      <c r="AT228" s="156">
        <f>INPUT!CQ110</f>
        <v>67.197452229299387</v>
      </c>
      <c r="AU228" s="687">
        <f>INPUT!CR110</f>
        <v>-9.9248096066068552</v>
      </c>
      <c r="AV228" s="156">
        <f>INPUT!CS110</f>
        <v>67.686424474187376</v>
      </c>
      <c r="AW228" s="687">
        <f>INPUT!CT110</f>
        <v>-1.1238200941031673</v>
      </c>
      <c r="AX228" s="156">
        <f>INPUT!CU110</f>
        <v>67.678571428571431</v>
      </c>
      <c r="AY228" s="687">
        <f>INPUT!CV110</f>
        <v>4.1266126494650779</v>
      </c>
      <c r="AZ228" s="156">
        <f>INPUT!CW110</f>
        <v>68.126094570928203</v>
      </c>
      <c r="BA228" s="687">
        <f>INPUT!CX110</f>
        <v>-1.11415678547232</v>
      </c>
      <c r="BB228" s="156">
        <f>INPUT!CY110</f>
        <v>65.609348914858103</v>
      </c>
      <c r="BC228" s="687">
        <f>INPUT!CZ110</f>
        <v>-2.3633385816803965</v>
      </c>
      <c r="BD228" s="156">
        <f>INPUT!DA110</f>
        <v>74.55138662316476</v>
      </c>
      <c r="BE228" s="687">
        <f>INPUT!DB110</f>
        <v>10.142302835918571</v>
      </c>
      <c r="BF228" s="156">
        <f>INPUT!DC110</f>
        <v>67.788461538461547</v>
      </c>
      <c r="BG228" s="687">
        <f>INPUT!DD110</f>
        <v>0.16237061091943783</v>
      </c>
      <c r="BH228" s="156">
        <f>INPUT!DE110</f>
        <v>72.121212121212125</v>
      </c>
      <c r="BI228" s="687">
        <f>INPUT!DF110</f>
        <v>5.8642985121134084</v>
      </c>
      <c r="BJ228" s="156">
        <f>INPUT!DG110</f>
        <v>67.198838896952111</v>
      </c>
      <c r="BK228" s="687">
        <f>INPUT!DH110</f>
        <v>2.4226577589677056</v>
      </c>
      <c r="BL228" s="156">
        <f>INPUT!DI110</f>
        <v>69.103448275862064</v>
      </c>
      <c r="BM228" s="687">
        <f>INPUT!DJ110</f>
        <v>-7.3076284614804194</v>
      </c>
      <c r="BN228" s="156">
        <f>INPUT!DK110</f>
        <v>61.854304635761594</v>
      </c>
      <c r="BO228" s="687">
        <f>INPUT!DL110</f>
        <v>-8.7539335869616366</v>
      </c>
      <c r="BP228" s="156">
        <f>INPUT!DM110</f>
        <v>62.176165803108809</v>
      </c>
      <c r="BQ228" s="687">
        <f>INPUT!DN110</f>
        <v>-13.789349936865946</v>
      </c>
      <c r="BR228" s="156">
        <f>INPUT!DO110</f>
        <v>61.237373737373737</v>
      </c>
      <c r="BS228" s="687">
        <f>INPUT!DP110</f>
        <v>-8.8713811985950297</v>
      </c>
      <c r="BT228" s="156">
        <f>INPUT!DQ110</f>
        <v>61.274509803921575</v>
      </c>
      <c r="BU228" s="687">
        <f>INPUT!DR110</f>
        <v>-11.329302179953803</v>
      </c>
      <c r="BV228" s="156">
        <f>INPUT!DS110</f>
        <v>55.673758865248224</v>
      </c>
      <c r="BW228" s="687">
        <f>INPUT!DT110</f>
        <v>-9.9921029052196904</v>
      </c>
      <c r="BX228" s="156">
        <f>INPUT!DU110</f>
        <v>58.450704225352112</v>
      </c>
      <c r="BY228" s="687">
        <f>INPUT!DV110</f>
        <v>-5.9917840375586895</v>
      </c>
      <c r="BZ228" s="156">
        <f>INPUT!DW110</f>
        <v>51.943844492440604</v>
      </c>
      <c r="CA228" s="687">
        <f>INPUT!DX110</f>
        <v>65.874730021598268</v>
      </c>
      <c r="CB228" s="156">
        <f>INPUT!DY110</f>
        <v>51.271186440677965</v>
      </c>
      <c r="CC228" s="687">
        <f>INPUT!DZ110</f>
        <v>-16.325423728813572</v>
      </c>
      <c r="CD228" s="156">
        <f>INPUT!EA110</f>
        <v>48.49833147942158</v>
      </c>
      <c r="CE228" s="687">
        <f>INPUT!EB110</f>
        <v>-12.888347279000723</v>
      </c>
      <c r="CF228" s="156">
        <f>INPUT!EC110</f>
        <v>50.774731823599531</v>
      </c>
      <c r="CG228" s="687">
        <f>INPUT!ED110</f>
        <v>-13.132386518661043</v>
      </c>
      <c r="CH228" s="156">
        <f>INPUT!EE110</f>
        <v>50.23474178403756</v>
      </c>
      <c r="CI228" s="687">
        <f>INPUT!EF110</f>
        <v>-3.2902892057821598</v>
      </c>
      <c r="CJ228" s="156">
        <f>INPUT!EG110</f>
        <v>48.259860788863108</v>
      </c>
      <c r="CK228" s="687">
        <f>INPUT!EH110</f>
        <v>-5.8733293704818728</v>
      </c>
      <c r="CL228" s="156">
        <f>INPUT!EI110</f>
        <v>47.811816192560173</v>
      </c>
      <c r="CM228" s="687">
        <f>INPUT!EJ110</f>
        <v>-1.4155441350651499</v>
      </c>
      <c r="CN228" s="156">
        <f>INPUT!EK110</f>
        <v>47.90547798066595</v>
      </c>
      <c r="CO228" s="687">
        <f>INPUT!EL110</f>
        <v>-5.6509482962940671</v>
      </c>
      <c r="CP228" s="156">
        <f>INPUT!EM110</f>
        <v>46.982758620689658</v>
      </c>
      <c r="CQ228" s="687">
        <f>INPUT!EN110</f>
        <v>-6.4735739606832094</v>
      </c>
      <c r="CR228" s="156">
        <f>INPUT!EO110</f>
        <v>47.702834799608993</v>
      </c>
      <c r="CS228" s="687">
        <f>INPUT!EP110</f>
        <v>-1.1542221219640547</v>
      </c>
      <c r="CT228" s="156">
        <f>INPUT!EQ110</f>
        <v>47</v>
      </c>
      <c r="CU228" s="687">
        <f>INPUT!ER110</f>
        <v>-1.6979405034324935</v>
      </c>
      <c r="CV228" s="156">
        <f>INPUT!ES110</f>
        <v>47</v>
      </c>
      <c r="CW228" s="687">
        <f>INPUT!ET110</f>
        <v>-1.8901345291479799</v>
      </c>
      <c r="CX228" s="156">
        <f>INPUT!EU110</f>
        <v>47</v>
      </c>
      <c r="CY228" s="687">
        <f>INPUT!EV110</f>
        <v>3.6697247706407587E-2</v>
      </c>
      <c r="CZ228" s="156">
        <f>INPUT!EW110</f>
        <v>47</v>
      </c>
      <c r="DA228" s="687">
        <f>INPUT!EX110</f>
        <v>-1.4733606557377099</v>
      </c>
      <c r="DB228" s="16"/>
      <c r="DC228" s="156">
        <f>INPUT!FP110</f>
        <v>84.814059617438573</v>
      </c>
      <c r="DD228" s="687" t="str">
        <f>INPUT!FQ110</f>
        <v>NA</v>
      </c>
      <c r="DE228" s="156">
        <f>INPUT!FR110</f>
        <v>78.902125355354016</v>
      </c>
      <c r="DF228" s="687">
        <f>INPUT!FS110</f>
        <v>-6.9704649072935165</v>
      </c>
      <c r="DG228" s="156">
        <f>INPUT!FT110</f>
        <v>77.908217716115274</v>
      </c>
      <c r="DH228" s="687">
        <f>INPUT!FU110</f>
        <v>-1.2596715674799031</v>
      </c>
      <c r="DI228" s="156">
        <f>INPUT!FV110</f>
        <v>74.771234491663392</v>
      </c>
      <c r="DJ228" s="687">
        <f>INPUT!FW110</f>
        <v>-4.0265113442622074</v>
      </c>
      <c r="DK228" s="156">
        <f>INPUT!FX110</f>
        <v>77.558836246834261</v>
      </c>
      <c r="DL228" s="687">
        <f>INPUT!FY110</f>
        <v>3.7281740419595089</v>
      </c>
      <c r="DM228" s="156">
        <f>INPUT!FZ110</f>
        <v>71.133112170848023</v>
      </c>
      <c r="DN228" s="687">
        <f>INPUT!GA110</f>
        <v>-8.2849671126267292</v>
      </c>
      <c r="DO228" s="156">
        <f>INPUT!GB110</f>
        <v>67.183759896888233</v>
      </c>
      <c r="DP228" s="687">
        <f>INPUT!GC110</f>
        <v>-5.5520588842987824</v>
      </c>
      <c r="DQ228" s="156">
        <f>INPUT!GD110</f>
        <v>69.056764831412721</v>
      </c>
      <c r="DR228" s="687">
        <f>INPUT!GE110</f>
        <v>2.7878834667769858</v>
      </c>
      <c r="DS228" s="156">
        <f>INPUT!GF110</f>
        <v>69.0511489992587</v>
      </c>
      <c r="DT228" s="687">
        <f>INPUT!GG110</f>
        <v>-8.1321969943592975E-3</v>
      </c>
      <c r="DU228" s="156">
        <f>INPUT!GH110</f>
        <v>61.626794258373209</v>
      </c>
      <c r="DV228" s="687">
        <f>INPUT!GI110</f>
        <v>-10.751964085297406</v>
      </c>
      <c r="DW228" s="156">
        <f>INPUT!GJ110</f>
        <v>54.204035874439462</v>
      </c>
      <c r="DX228" s="687">
        <f>INPUT!GK110</f>
        <v>-12.04469334038939</v>
      </c>
      <c r="DY228" s="156">
        <f>INPUT!GL110</f>
        <v>49.420625724217842</v>
      </c>
      <c r="DZ228" s="687">
        <f>INPUT!GM110</f>
        <v>-8.8248228624564273</v>
      </c>
      <c r="EA228" s="156">
        <f>INPUT!GN110</f>
        <v>47.602739726027401</v>
      </c>
      <c r="EB228" s="687">
        <f>INPUT!GO110</f>
        <v>-3.6783953492106725</v>
      </c>
      <c r="EC228" s="156">
        <f>INPUT!GP110</f>
        <v>47.000000000000007</v>
      </c>
      <c r="ED228" s="687">
        <f>INPUT!GQ110</f>
        <v>-1.2661870503597017</v>
      </c>
      <c r="EE228" s="156">
        <f>INPUT!GR110</f>
        <v>47.000000000000007</v>
      </c>
      <c r="EF228" s="687">
        <f>INPUT!GS110</f>
        <v>0</v>
      </c>
      <c r="EG228" s="156">
        <f>INPUT!GT110</f>
        <v>47.000000000000007</v>
      </c>
      <c r="EH228" s="687">
        <f>INPUT!GU110</f>
        <v>0</v>
      </c>
      <c r="EI228" s="156">
        <f>INPUT!GV110</f>
        <v>47.000000000000007</v>
      </c>
      <c r="EJ228" s="687">
        <f>INPUT!GW110</f>
        <v>0</v>
      </c>
      <c r="EK228" s="156">
        <f>INPUT!GX110</f>
        <v>47.100000000000009</v>
      </c>
      <c r="EL228" s="687">
        <f>INPUT!GY110</f>
        <v>0.21276595744681437</v>
      </c>
      <c r="EM228" s="687">
        <f>INPUT!GZ110</f>
        <v>-0.21212102126876298</v>
      </c>
    </row>
    <row r="229" spans="1:152" ht="12.75" hidden="1" customHeight="1" outlineLevel="1" x14ac:dyDescent="0.2">
      <c r="A229" s="701"/>
      <c r="B229" s="464"/>
      <c r="C229" s="687"/>
      <c r="D229" s="464"/>
      <c r="E229" s="687"/>
      <c r="F229" s="464"/>
      <c r="G229" s="687"/>
      <c r="H229" s="464"/>
      <c r="I229" s="687"/>
      <c r="J229" s="464"/>
      <c r="K229" s="687"/>
      <c r="L229" s="464"/>
      <c r="M229" s="687"/>
      <c r="N229" s="464"/>
      <c r="O229" s="687"/>
      <c r="P229" s="464"/>
      <c r="Q229" s="687"/>
      <c r="R229" s="464"/>
      <c r="S229" s="687"/>
      <c r="T229" s="464"/>
      <c r="U229" s="687"/>
      <c r="V229" s="464"/>
      <c r="W229" s="687"/>
      <c r="X229" s="464"/>
      <c r="Y229" s="687"/>
      <c r="Z229" s="464"/>
      <c r="AA229" s="687"/>
      <c r="AB229" s="464"/>
      <c r="AC229" s="687"/>
      <c r="AD229" s="464"/>
      <c r="AE229" s="687"/>
      <c r="AF229" s="464"/>
      <c r="AG229" s="687"/>
      <c r="AH229" s="464"/>
      <c r="AI229" s="687"/>
      <c r="AJ229" s="464"/>
      <c r="AK229" s="687"/>
      <c r="AL229" s="464"/>
      <c r="AM229" s="687"/>
      <c r="AN229" s="464"/>
      <c r="AO229" s="687"/>
      <c r="AP229" s="464"/>
      <c r="AQ229" s="687"/>
      <c r="AR229" s="464"/>
      <c r="AS229" s="687"/>
      <c r="AT229" s="464"/>
      <c r="AU229" s="687"/>
      <c r="AV229" s="464"/>
      <c r="AW229" s="687"/>
      <c r="AX229" s="464"/>
      <c r="AY229" s="687"/>
      <c r="AZ229" s="464"/>
      <c r="BA229" s="687"/>
      <c r="BB229" s="464"/>
      <c r="BC229" s="687"/>
      <c r="BD229" s="464"/>
      <c r="BE229" s="687"/>
      <c r="BF229" s="464"/>
      <c r="BG229" s="687"/>
      <c r="BH229" s="464"/>
      <c r="BI229" s="687"/>
      <c r="BJ229" s="464"/>
      <c r="BK229" s="687"/>
      <c r="BL229" s="464"/>
      <c r="BM229" s="687"/>
      <c r="BN229" s="464"/>
      <c r="BO229" s="687"/>
      <c r="BP229" s="464"/>
      <c r="BQ229" s="687"/>
      <c r="BR229" s="464"/>
      <c r="BS229" s="687"/>
      <c r="BT229" s="464"/>
      <c r="BU229" s="687"/>
      <c r="BV229" s="464"/>
      <c r="BW229" s="687"/>
      <c r="BX229" s="464"/>
      <c r="BY229" s="687"/>
      <c r="BZ229" s="464"/>
      <c r="CA229" s="687"/>
      <c r="CB229" s="464"/>
      <c r="CC229" s="687"/>
      <c r="CD229" s="464"/>
      <c r="CE229" s="687"/>
      <c r="CF229" s="464"/>
      <c r="CG229" s="687"/>
      <c r="CH229" s="464"/>
      <c r="CI229" s="687"/>
      <c r="CJ229" s="464"/>
      <c r="CK229" s="687"/>
      <c r="CL229" s="464"/>
      <c r="CM229" s="687"/>
      <c r="CN229" s="464"/>
      <c r="CO229" s="687"/>
      <c r="CP229" s="464"/>
      <c r="CQ229" s="687"/>
      <c r="CR229" s="464"/>
      <c r="CS229" s="687"/>
      <c r="CT229" s="464"/>
      <c r="CU229" s="687"/>
      <c r="CV229" s="464"/>
      <c r="CW229" s="687"/>
      <c r="CX229" s="464"/>
      <c r="CY229" s="687"/>
      <c r="CZ229" s="464"/>
      <c r="DA229" s="687"/>
      <c r="DB229" s="16"/>
      <c r="DC229" s="464"/>
      <c r="DD229" s="687"/>
      <c r="DE229" s="464"/>
      <c r="DF229" s="687"/>
      <c r="DG229" s="464"/>
      <c r="DH229" s="687"/>
      <c r="DI229" s="464"/>
      <c r="DJ229" s="687"/>
      <c r="DK229" s="464"/>
      <c r="DL229" s="687"/>
      <c r="DM229" s="464"/>
      <c r="DN229" s="687"/>
      <c r="DO229" s="464"/>
      <c r="DP229" s="687"/>
      <c r="DQ229" s="464"/>
      <c r="DR229" s="687"/>
      <c r="DS229" s="464"/>
      <c r="DT229" s="687"/>
      <c r="DU229" s="464"/>
      <c r="DV229" s="687"/>
      <c r="DW229" s="464"/>
      <c r="DX229" s="687"/>
      <c r="DY229" s="464"/>
      <c r="DZ229" s="687"/>
      <c r="EA229" s="464"/>
      <c r="EB229" s="687"/>
      <c r="EC229" s="464"/>
      <c r="ED229" s="687"/>
      <c r="EE229" s="464"/>
      <c r="EF229" s="687"/>
      <c r="EG229" s="464"/>
      <c r="EH229" s="687"/>
      <c r="EI229" s="464"/>
      <c r="EJ229" s="687"/>
      <c r="EK229" s="464"/>
      <c r="EL229" s="687"/>
      <c r="EM229" s="687"/>
    </row>
    <row r="230" spans="1:152" ht="12.75" hidden="1" customHeight="1" outlineLevel="1" x14ac:dyDescent="0.2">
      <c r="A230" s="689" t="str">
        <f>+A60</f>
        <v>Quarterly income statement ratios are annualized where appropriate     NM = Not Meaningful       NA = Not Applicable  E=Morgan Stanley Estimates</v>
      </c>
      <c r="B230" s="16"/>
      <c r="C230" s="687"/>
      <c r="D230" s="16"/>
      <c r="E230" s="687"/>
      <c r="F230" s="16"/>
      <c r="G230" s="687"/>
      <c r="H230" s="16"/>
      <c r="I230" s="687"/>
      <c r="J230" s="16"/>
      <c r="K230" s="687"/>
      <c r="L230" s="16"/>
      <c r="M230" s="687"/>
      <c r="N230" s="16"/>
      <c r="O230" s="687"/>
      <c r="P230" s="16"/>
      <c r="Q230" s="687"/>
      <c r="R230" s="16"/>
      <c r="S230" s="687"/>
      <c r="T230" s="16"/>
      <c r="U230" s="687"/>
      <c r="V230" s="16"/>
      <c r="W230" s="687"/>
      <c r="X230" s="16"/>
      <c r="Y230" s="687"/>
      <c r="Z230" s="16"/>
      <c r="AA230" s="687"/>
      <c r="AB230" s="16"/>
      <c r="AC230" s="687"/>
      <c r="AD230" s="16"/>
      <c r="AE230" s="687"/>
      <c r="AF230" s="16"/>
      <c r="AG230" s="687"/>
      <c r="AH230" s="16"/>
      <c r="AI230" s="687"/>
      <c r="AJ230" s="16"/>
      <c r="AK230" s="687"/>
      <c r="AL230" s="16"/>
      <c r="AM230" s="687"/>
      <c r="AN230" s="16"/>
      <c r="AO230" s="687"/>
      <c r="AP230" s="16"/>
      <c r="AQ230" s="687"/>
      <c r="AR230" s="16"/>
      <c r="AS230" s="687"/>
      <c r="AT230" s="16"/>
      <c r="AU230" s="687"/>
      <c r="AV230" s="16"/>
      <c r="AW230" s="687"/>
      <c r="AX230" s="16"/>
      <c r="AY230" s="687"/>
      <c r="AZ230" s="16"/>
      <c r="BA230" s="687"/>
      <c r="BB230" s="16"/>
      <c r="BC230" s="687"/>
      <c r="BD230" s="16"/>
      <c r="BE230" s="687"/>
      <c r="BF230" s="16"/>
      <c r="BG230" s="687"/>
      <c r="BH230" s="16"/>
      <c r="BI230" s="687"/>
      <c r="BJ230" s="16"/>
      <c r="BK230" s="687"/>
      <c r="BL230" s="16"/>
      <c r="BM230" s="687"/>
      <c r="BN230" s="16"/>
      <c r="BO230" s="687"/>
      <c r="BP230" s="16"/>
      <c r="BQ230" s="687"/>
      <c r="BR230" s="16"/>
      <c r="BS230" s="687"/>
      <c r="BT230" s="16"/>
      <c r="BU230" s="687"/>
      <c r="BV230" s="16"/>
      <c r="BW230" s="687"/>
      <c r="BX230" s="16"/>
      <c r="BY230" s="687"/>
      <c r="BZ230" s="16"/>
      <c r="CA230" s="687"/>
      <c r="CB230" s="16"/>
      <c r="CC230" s="687"/>
      <c r="CD230" s="16"/>
      <c r="CE230" s="687"/>
      <c r="CF230" s="16"/>
      <c r="CG230" s="687"/>
      <c r="CH230" s="16"/>
      <c r="CI230" s="687"/>
      <c r="CJ230" s="16"/>
      <c r="CK230" s="687"/>
      <c r="CL230" s="16"/>
      <c r="CM230" s="687"/>
      <c r="CN230" s="16"/>
      <c r="CO230" s="687"/>
      <c r="CP230" s="16"/>
      <c r="CQ230" s="687"/>
      <c r="CR230" s="16"/>
      <c r="CS230" s="687"/>
      <c r="CT230" s="16"/>
      <c r="CU230" s="687"/>
      <c r="CV230" s="16"/>
      <c r="CW230" s="687"/>
      <c r="CX230" s="16"/>
      <c r="CY230" s="687"/>
      <c r="CZ230" s="16"/>
      <c r="DA230" s="687"/>
      <c r="DB230" s="16"/>
      <c r="DC230" s="16"/>
      <c r="DD230" s="687"/>
      <c r="DE230" s="16"/>
      <c r="DF230" s="687"/>
      <c r="DG230" s="16"/>
      <c r="DH230" s="687"/>
      <c r="DI230" s="16"/>
      <c r="DJ230" s="687"/>
      <c r="DK230" s="16"/>
      <c r="DL230" s="687"/>
      <c r="DM230" s="16"/>
      <c r="DN230" s="687"/>
      <c r="DO230" s="16"/>
      <c r="DP230" s="687"/>
      <c r="DQ230" s="16"/>
      <c r="DR230" s="687"/>
      <c r="DS230" s="16"/>
      <c r="DT230" s="687"/>
      <c r="DU230" s="16"/>
      <c r="DV230" s="687"/>
      <c r="DW230" s="16"/>
      <c r="DX230" s="687"/>
      <c r="DY230" s="16"/>
      <c r="DZ230" s="687"/>
      <c r="EA230" s="16"/>
      <c r="EB230" s="687"/>
      <c r="EC230" s="16"/>
      <c r="ED230" s="687"/>
      <c r="EE230" s="16"/>
      <c r="EF230" s="687"/>
      <c r="EG230" s="16"/>
      <c r="EH230" s="687"/>
      <c r="EI230" s="16"/>
      <c r="EJ230" s="687"/>
      <c r="EK230" s="16"/>
      <c r="EL230" s="687"/>
      <c r="EM230" s="687"/>
    </row>
    <row r="231" spans="1:152" ht="12.75" hidden="1" customHeight="1" outlineLevel="1" x14ac:dyDescent="0.2">
      <c r="A231" s="689" t="s">
        <v>15</v>
      </c>
      <c r="B231" s="16"/>
      <c r="C231" s="687"/>
      <c r="D231" s="16"/>
      <c r="E231" s="687"/>
      <c r="F231" s="16"/>
      <c r="G231" s="687"/>
      <c r="H231" s="16"/>
      <c r="I231" s="687"/>
      <c r="J231" s="16"/>
      <c r="K231" s="687"/>
      <c r="L231" s="16"/>
      <c r="M231" s="687"/>
      <c r="N231" s="16"/>
      <c r="O231" s="687"/>
      <c r="P231" s="16"/>
      <c r="Q231" s="687"/>
      <c r="R231" s="16"/>
      <c r="S231" s="687"/>
      <c r="T231" s="16"/>
      <c r="U231" s="687"/>
      <c r="V231" s="16"/>
      <c r="W231" s="687"/>
      <c r="X231" s="16"/>
      <c r="Y231" s="687"/>
      <c r="Z231" s="16"/>
      <c r="AA231" s="687"/>
      <c r="AB231" s="16"/>
      <c r="AC231" s="687"/>
      <c r="AD231" s="16"/>
      <c r="AE231" s="687"/>
      <c r="AF231" s="16"/>
      <c r="AG231" s="687"/>
      <c r="AH231" s="16"/>
      <c r="AI231" s="687"/>
      <c r="AJ231" s="16"/>
      <c r="AK231" s="687"/>
      <c r="AL231" s="16"/>
      <c r="AM231" s="687"/>
      <c r="AN231" s="16"/>
      <c r="AO231" s="687"/>
      <c r="AP231" s="16"/>
      <c r="AQ231" s="687"/>
      <c r="AR231" s="16"/>
      <c r="AS231" s="687"/>
      <c r="AT231" s="16"/>
      <c r="AU231" s="687"/>
      <c r="AV231" s="16"/>
      <c r="AW231" s="687"/>
      <c r="AX231" s="16"/>
      <c r="AY231" s="687"/>
      <c r="AZ231" s="16"/>
      <c r="BA231" s="687"/>
      <c r="BB231" s="16"/>
      <c r="BC231" s="687"/>
      <c r="BD231" s="16"/>
      <c r="BE231" s="687"/>
      <c r="BF231" s="16"/>
      <c r="BG231" s="687"/>
      <c r="BH231" s="16"/>
      <c r="BI231" s="687"/>
      <c r="BJ231" s="16"/>
      <c r="BK231" s="687"/>
      <c r="BL231" s="16"/>
      <c r="BM231" s="687"/>
      <c r="BN231" s="16"/>
      <c r="BO231" s="687"/>
      <c r="BP231" s="16"/>
      <c r="BQ231" s="687"/>
      <c r="BR231" s="16"/>
      <c r="BS231" s="687"/>
      <c r="BT231" s="16"/>
      <c r="BU231" s="687"/>
      <c r="BV231" s="16"/>
      <c r="BW231" s="687"/>
      <c r="BX231" s="16"/>
      <c r="BY231" s="687"/>
      <c r="BZ231" s="16"/>
      <c r="CA231" s="687"/>
      <c r="CB231" s="16"/>
      <c r="CC231" s="687"/>
      <c r="CD231" s="16"/>
      <c r="CE231" s="687"/>
      <c r="CF231" s="16"/>
      <c r="CG231" s="687"/>
      <c r="CH231" s="16"/>
      <c r="CI231" s="687"/>
      <c r="CJ231" s="16"/>
      <c r="CK231" s="687"/>
      <c r="CL231" s="16"/>
      <c r="CM231" s="687"/>
      <c r="CN231" s="16"/>
      <c r="CO231" s="687"/>
      <c r="CP231" s="16"/>
      <c r="CQ231" s="687"/>
      <c r="CR231" s="16"/>
      <c r="CS231" s="687"/>
      <c r="CT231" s="16"/>
      <c r="CU231" s="687"/>
      <c r="CV231" s="16"/>
      <c r="CW231" s="687"/>
      <c r="CX231" s="16"/>
      <c r="CY231" s="687"/>
      <c r="CZ231" s="16"/>
      <c r="DA231" s="687"/>
      <c r="DB231" s="16"/>
      <c r="DC231" s="16"/>
      <c r="DD231" s="687"/>
      <c r="DE231" s="16"/>
      <c r="DF231" s="687"/>
      <c r="DG231" s="16"/>
      <c r="DH231" s="687"/>
      <c r="DI231" s="16"/>
      <c r="DJ231" s="687"/>
      <c r="DK231" s="16"/>
      <c r="DL231" s="687"/>
      <c r="DM231" s="16"/>
      <c r="DN231" s="687"/>
      <c r="DO231" s="16"/>
      <c r="DP231" s="687"/>
      <c r="DQ231" s="16"/>
      <c r="DR231" s="687"/>
      <c r="DS231" s="16"/>
      <c r="DT231" s="687"/>
      <c r="DU231" s="16"/>
      <c r="DV231" s="687"/>
      <c r="DW231" s="16"/>
      <c r="DX231" s="687"/>
      <c r="DY231" s="16"/>
      <c r="DZ231" s="687"/>
      <c r="EA231" s="16"/>
      <c r="EB231" s="687"/>
      <c r="EC231" s="16"/>
      <c r="ED231" s="687"/>
      <c r="EE231" s="16"/>
      <c r="EF231" s="687"/>
      <c r="EG231" s="16"/>
      <c r="EH231" s="687"/>
      <c r="EI231" s="16"/>
      <c r="EJ231" s="687"/>
      <c r="EK231" s="16"/>
      <c r="EL231" s="687"/>
      <c r="EM231" s="687"/>
    </row>
    <row r="232" spans="1:152" ht="12.75" hidden="1" customHeight="1" outlineLevel="1" x14ac:dyDescent="0.2">
      <c r="A232" s="689"/>
      <c r="B232" s="16"/>
      <c r="C232" s="687"/>
      <c r="D232" s="16"/>
      <c r="E232" s="687"/>
      <c r="F232" s="16"/>
      <c r="G232" s="687"/>
      <c r="H232" s="16"/>
      <c r="I232" s="687"/>
      <c r="J232" s="16"/>
      <c r="K232" s="687"/>
      <c r="L232" s="16"/>
      <c r="M232" s="687"/>
      <c r="N232" s="16"/>
      <c r="O232" s="687"/>
      <c r="P232" s="16"/>
      <c r="Q232" s="687"/>
      <c r="R232" s="16"/>
      <c r="S232" s="687"/>
      <c r="T232" s="16"/>
      <c r="U232" s="687"/>
      <c r="V232" s="16"/>
      <c r="W232" s="687"/>
      <c r="X232" s="16"/>
      <c r="Y232" s="687"/>
      <c r="Z232" s="16"/>
      <c r="AA232" s="687"/>
      <c r="AB232" s="16"/>
      <c r="AC232" s="687"/>
      <c r="AD232" s="16"/>
      <c r="AE232" s="687"/>
      <c r="AF232" s="16"/>
      <c r="AG232" s="687"/>
      <c r="AH232" s="16"/>
      <c r="AI232" s="687"/>
      <c r="AJ232" s="16"/>
      <c r="AK232" s="687"/>
      <c r="AL232" s="16"/>
      <c r="AM232" s="687"/>
      <c r="AN232" s="16"/>
      <c r="AO232" s="687"/>
      <c r="AP232" s="16"/>
      <c r="AQ232" s="687"/>
      <c r="AR232" s="16"/>
      <c r="AS232" s="687"/>
      <c r="AT232" s="16"/>
      <c r="AU232" s="687"/>
      <c r="AV232" s="16"/>
      <c r="AW232" s="687"/>
      <c r="AX232" s="16"/>
      <c r="AY232" s="687"/>
      <c r="AZ232" s="16"/>
      <c r="BA232" s="687"/>
      <c r="BB232" s="16"/>
      <c r="BC232" s="687"/>
      <c r="BD232" s="16"/>
      <c r="BE232" s="687"/>
      <c r="BF232" s="16"/>
      <c r="BG232" s="687"/>
      <c r="BH232" s="16"/>
      <c r="BI232" s="687"/>
      <c r="BJ232" s="16"/>
      <c r="BK232" s="687"/>
      <c r="BL232" s="16"/>
      <c r="BM232" s="687"/>
      <c r="BN232" s="16"/>
      <c r="BO232" s="687"/>
      <c r="BP232" s="16"/>
      <c r="BQ232" s="687"/>
      <c r="BR232" s="16"/>
      <c r="BS232" s="687"/>
      <c r="BT232" s="16"/>
      <c r="BU232" s="687"/>
      <c r="BV232" s="16"/>
      <c r="BW232" s="687"/>
      <c r="BX232" s="16"/>
      <c r="BY232" s="687"/>
      <c r="BZ232" s="16"/>
      <c r="CA232" s="687"/>
      <c r="CB232" s="16"/>
      <c r="CC232" s="687"/>
      <c r="CD232" s="16"/>
      <c r="CE232" s="687"/>
      <c r="CF232" s="16"/>
      <c r="CG232" s="687"/>
      <c r="CH232" s="16"/>
      <c r="CI232" s="687"/>
      <c r="CJ232" s="16"/>
      <c r="CK232" s="687"/>
      <c r="CL232" s="16"/>
      <c r="CM232" s="687"/>
      <c r="CN232" s="16"/>
      <c r="CO232" s="687"/>
      <c r="CP232" s="16"/>
      <c r="CQ232" s="687"/>
      <c r="CR232" s="16"/>
      <c r="CS232" s="687"/>
      <c r="CT232" s="16"/>
      <c r="CU232" s="687"/>
      <c r="CV232" s="16"/>
      <c r="CW232" s="687"/>
      <c r="CX232" s="16"/>
      <c r="CY232" s="687"/>
      <c r="CZ232" s="16"/>
      <c r="DA232" s="687"/>
      <c r="DB232" s="16"/>
      <c r="DC232" s="16"/>
      <c r="DD232" s="687"/>
      <c r="DE232" s="16"/>
      <c r="DF232" s="687"/>
      <c r="DG232" s="16"/>
      <c r="DH232" s="687"/>
      <c r="DI232" s="16"/>
      <c r="DJ232" s="687"/>
      <c r="DK232" s="16"/>
      <c r="DL232" s="687"/>
      <c r="DM232" s="16"/>
      <c r="DN232" s="687"/>
      <c r="DO232" s="16"/>
      <c r="DP232" s="687"/>
      <c r="DQ232" s="16"/>
      <c r="DR232" s="687"/>
      <c r="DS232" s="16"/>
      <c r="DT232" s="687"/>
      <c r="DU232" s="16"/>
      <c r="DV232" s="687"/>
      <c r="DW232" s="16"/>
      <c r="DX232" s="687"/>
      <c r="DY232" s="16"/>
      <c r="DZ232" s="687"/>
      <c r="EA232" s="16"/>
      <c r="EB232" s="687"/>
      <c r="EC232" s="16"/>
      <c r="ED232" s="687"/>
      <c r="EE232" s="16"/>
      <c r="EF232" s="687"/>
      <c r="EG232" s="16"/>
      <c r="EH232" s="687"/>
      <c r="EI232" s="16"/>
      <c r="EJ232" s="687"/>
      <c r="EK232" s="16"/>
      <c r="EL232" s="687"/>
      <c r="EM232" s="687"/>
    </row>
    <row r="233" spans="1:152" ht="21.95" hidden="1" customHeight="1" outlineLevel="1" x14ac:dyDescent="0.3">
      <c r="A233" s="769" t="str">
        <f>$A$1</f>
        <v>Lincoln National</v>
      </c>
      <c r="B233" s="683"/>
      <c r="C233" s="684"/>
      <c r="D233" s="683"/>
      <c r="E233" s="684"/>
      <c r="F233" s="683"/>
      <c r="G233" s="684"/>
      <c r="H233" s="683"/>
      <c r="I233" s="684"/>
      <c r="J233" s="683"/>
      <c r="K233" s="684"/>
      <c r="L233" s="683"/>
      <c r="M233" s="684"/>
      <c r="N233" s="683"/>
      <c r="O233" s="684"/>
      <c r="P233" s="683"/>
      <c r="Q233" s="684"/>
      <c r="R233" s="683"/>
      <c r="S233" s="684"/>
      <c r="T233" s="683"/>
      <c r="U233" s="684"/>
      <c r="V233" s="683"/>
      <c r="W233" s="684"/>
      <c r="X233" s="683"/>
      <c r="Y233" s="684"/>
      <c r="Z233" s="683"/>
      <c r="AA233" s="684"/>
      <c r="AB233" s="683"/>
      <c r="AC233" s="684"/>
      <c r="AD233" s="683"/>
      <c r="AE233" s="684"/>
      <c r="AF233" s="683"/>
      <c r="AG233" s="684"/>
      <c r="AH233" s="683"/>
      <c r="AI233" s="684"/>
      <c r="AJ233" s="683"/>
      <c r="AK233" s="684"/>
      <c r="AL233" s="683"/>
      <c r="AM233" s="684"/>
      <c r="AN233" s="683"/>
      <c r="AO233" s="684"/>
      <c r="AP233" s="683"/>
      <c r="AQ233" s="684"/>
      <c r="AR233" s="683"/>
      <c r="AS233" s="684"/>
      <c r="AT233" s="683"/>
      <c r="AU233" s="684"/>
      <c r="AV233" s="683"/>
      <c r="AW233" s="684"/>
      <c r="AX233" s="683"/>
      <c r="AY233" s="684"/>
      <c r="AZ233" s="683"/>
      <c r="BA233" s="684"/>
      <c r="BB233" s="683"/>
      <c r="BC233" s="684"/>
      <c r="BD233" s="683"/>
      <c r="BE233" s="684"/>
      <c r="BF233" s="683"/>
      <c r="BG233" s="684"/>
      <c r="BH233" s="683"/>
      <c r="BI233" s="684"/>
      <c r="BJ233" s="683"/>
      <c r="BK233" s="684"/>
      <c r="BL233" s="683"/>
      <c r="BM233" s="684"/>
      <c r="BN233" s="683"/>
      <c r="BO233" s="684"/>
      <c r="BP233" s="683"/>
      <c r="BQ233" s="684"/>
      <c r="BR233" s="683"/>
      <c r="BS233" s="684"/>
      <c r="BT233" s="683"/>
      <c r="BU233" s="684"/>
      <c r="BV233" s="683"/>
      <c r="BW233" s="684"/>
      <c r="BX233" s="683"/>
      <c r="BY233" s="684"/>
      <c r="BZ233" s="683"/>
      <c r="CA233" s="684"/>
      <c r="CB233" s="683"/>
      <c r="CC233" s="684"/>
      <c r="CD233" s="683"/>
      <c r="CE233" s="684"/>
      <c r="CF233" s="683"/>
      <c r="CG233" s="684"/>
      <c r="CH233" s="683"/>
      <c r="CI233" s="684"/>
      <c r="CJ233" s="683"/>
      <c r="CK233" s="684"/>
      <c r="CL233" s="683"/>
      <c r="CM233" s="684"/>
      <c r="CN233" s="683"/>
      <c r="CO233" s="684"/>
      <c r="CP233" s="683"/>
      <c r="CQ233" s="684"/>
      <c r="CR233" s="683"/>
      <c r="CS233" s="684"/>
      <c r="CT233" s="683"/>
      <c r="CU233" s="684"/>
      <c r="CV233" s="683"/>
      <c r="CW233" s="684"/>
      <c r="CX233" s="683"/>
      <c r="CY233" s="684"/>
      <c r="CZ233" s="683"/>
      <c r="DA233" s="684"/>
      <c r="DB233" s="684"/>
      <c r="DC233" s="683"/>
      <c r="DD233" s="684"/>
      <c r="DE233" s="683"/>
      <c r="DF233" s="684"/>
      <c r="DG233" s="683"/>
      <c r="DH233" s="684"/>
      <c r="DI233" s="683"/>
      <c r="DJ233" s="684"/>
      <c r="DK233" s="683"/>
      <c r="DL233" s="684"/>
      <c r="DM233" s="683"/>
      <c r="DN233" s="684"/>
      <c r="DO233" s="683"/>
      <c r="DP233" s="684"/>
      <c r="DQ233" s="683"/>
      <c r="DR233" s="684"/>
      <c r="DS233" s="683"/>
      <c r="DT233" s="684"/>
      <c r="DU233" s="683"/>
      <c r="DV233" s="684"/>
      <c r="DW233" s="683"/>
      <c r="DX233" s="684"/>
      <c r="DY233" s="683"/>
      <c r="DZ233" s="684"/>
      <c r="EA233" s="683"/>
      <c r="EB233" s="684"/>
      <c r="EC233" s="683"/>
      <c r="ED233" s="684"/>
      <c r="EE233" s="683"/>
      <c r="EF233" s="684"/>
      <c r="EG233" s="683"/>
      <c r="EH233" s="684"/>
      <c r="EI233" s="683"/>
      <c r="EJ233" s="684"/>
      <c r="EK233" s="683"/>
      <c r="EL233" s="684"/>
      <c r="EM233" s="684"/>
    </row>
    <row r="234" spans="1:152" ht="12.75" hidden="1" customHeight="1" outlineLevel="1" x14ac:dyDescent="0.2">
      <c r="A234" s="685" t="s">
        <v>333</v>
      </c>
      <c r="B234" s="4"/>
      <c r="C234" s="686"/>
      <c r="D234" s="4"/>
      <c r="E234" s="686"/>
      <c r="F234" s="4"/>
      <c r="G234" s="686"/>
      <c r="H234" s="4"/>
      <c r="I234" s="686"/>
      <c r="J234" s="4"/>
      <c r="K234" s="686"/>
      <c r="L234" s="4"/>
      <c r="M234" s="686"/>
      <c r="N234" s="4"/>
      <c r="O234" s="686"/>
      <c r="P234" s="4"/>
      <c r="Q234" s="686"/>
      <c r="R234" s="4"/>
      <c r="S234" s="686"/>
      <c r="T234" s="4"/>
      <c r="U234" s="686"/>
      <c r="V234" s="4"/>
      <c r="W234" s="686"/>
      <c r="X234" s="4"/>
      <c r="Y234" s="686"/>
      <c r="Z234" s="4"/>
      <c r="AA234" s="686"/>
      <c r="AB234" s="4"/>
      <c r="AC234" s="686"/>
      <c r="AD234" s="4"/>
      <c r="AE234" s="686"/>
      <c r="AF234" s="4"/>
      <c r="AG234" s="686"/>
      <c r="AH234" s="4"/>
      <c r="AI234" s="686"/>
      <c r="AJ234" s="4"/>
      <c r="AK234" s="686"/>
      <c r="AL234" s="4"/>
      <c r="AM234" s="686"/>
      <c r="AN234" s="4"/>
      <c r="AO234" s="686"/>
      <c r="AP234" s="4"/>
      <c r="AQ234" s="686"/>
      <c r="AR234" s="4"/>
      <c r="AS234" s="686"/>
      <c r="AT234" s="4"/>
      <c r="AU234" s="686"/>
      <c r="AV234" s="4"/>
      <c r="AW234" s="686"/>
      <c r="AX234" s="4"/>
      <c r="AY234" s="686"/>
      <c r="AZ234" s="4"/>
      <c r="BA234" s="686"/>
      <c r="BB234" s="4"/>
      <c r="BC234" s="686"/>
      <c r="BD234" s="4"/>
      <c r="BE234" s="686"/>
      <c r="BF234" s="4"/>
      <c r="BG234" s="686"/>
      <c r="BH234" s="4"/>
      <c r="BI234" s="686"/>
      <c r="BJ234" s="4"/>
      <c r="BK234" s="686"/>
      <c r="BL234" s="4"/>
      <c r="BM234" s="686"/>
      <c r="BN234" s="4"/>
      <c r="BO234" s="686"/>
      <c r="BP234" s="4"/>
      <c r="BQ234" s="686"/>
      <c r="BR234" s="4"/>
      <c r="BS234" s="686"/>
      <c r="BT234" s="4"/>
      <c r="BU234" s="686"/>
      <c r="BV234" s="4"/>
      <c r="BW234" s="686"/>
      <c r="BX234" s="4"/>
      <c r="BY234" s="686"/>
      <c r="BZ234" s="4"/>
      <c r="CA234" s="686"/>
      <c r="CB234" s="4"/>
      <c r="CC234" s="686"/>
      <c r="CD234" s="4"/>
      <c r="CE234" s="686"/>
      <c r="CF234" s="4"/>
      <c r="CG234" s="686"/>
      <c r="CH234" s="4"/>
      <c r="CI234" s="686"/>
      <c r="CJ234" s="4"/>
      <c r="CK234" s="686"/>
      <c r="CL234" s="4"/>
      <c r="CM234" s="686"/>
      <c r="CN234" s="4"/>
      <c r="CO234" s="686"/>
      <c r="CP234" s="4"/>
      <c r="CQ234" s="686"/>
      <c r="CR234" s="4"/>
      <c r="CS234" s="686"/>
      <c r="CT234" s="4"/>
      <c r="CU234" s="686"/>
      <c r="CV234" s="4"/>
      <c r="CW234" s="686"/>
      <c r="CX234" s="4"/>
      <c r="CY234" s="686"/>
      <c r="CZ234" s="4"/>
      <c r="DA234" s="686"/>
      <c r="DB234" s="686"/>
      <c r="DC234" s="4"/>
      <c r="DD234" s="686"/>
      <c r="DE234" s="4"/>
      <c r="DF234" s="686"/>
      <c r="DG234" s="4"/>
      <c r="DH234" s="686"/>
      <c r="DI234" s="4"/>
      <c r="DJ234" s="686"/>
      <c r="DK234" s="4"/>
      <c r="DL234" s="686"/>
      <c r="DM234" s="4"/>
      <c r="DN234" s="686"/>
      <c r="DO234" s="4"/>
      <c r="DP234" s="686"/>
      <c r="DQ234" s="4"/>
      <c r="DR234" s="686"/>
      <c r="DS234" s="4"/>
      <c r="DT234" s="686"/>
      <c r="DU234" s="4"/>
      <c r="DV234" s="686"/>
      <c r="DW234" s="4"/>
      <c r="DX234" s="686"/>
      <c r="DY234" s="4"/>
      <c r="DZ234" s="686"/>
      <c r="EA234" s="4"/>
      <c r="EB234" s="686"/>
      <c r="EC234" s="4"/>
      <c r="ED234" s="686"/>
      <c r="EE234" s="4"/>
      <c r="EF234" s="686"/>
      <c r="EG234" s="4"/>
      <c r="EH234" s="686"/>
      <c r="EI234" s="4"/>
      <c r="EJ234" s="686"/>
      <c r="EK234" s="4"/>
      <c r="EL234" s="686"/>
      <c r="EM234" s="686"/>
    </row>
    <row r="235" spans="1:152" ht="12.75" hidden="1" customHeight="1" outlineLevel="1" x14ac:dyDescent="0.2">
      <c r="A235" s="637" t="str">
        <f>A$3</f>
        <v>($Millions Except Per Share Data)</v>
      </c>
      <c r="B235" s="640"/>
      <c r="C235" s="641" t="str">
        <f>C$3</f>
        <v>1Q06/</v>
      </c>
      <c r="D235" s="640"/>
      <c r="E235" s="641" t="str">
        <f>E$3</f>
        <v>2Q06/</v>
      </c>
      <c r="F235" s="640"/>
      <c r="G235" s="641" t="str">
        <f>G$3</f>
        <v>3Q06/</v>
      </c>
      <c r="H235" s="640"/>
      <c r="I235" s="641" t="str">
        <f>I$3</f>
        <v>4Q06/</v>
      </c>
      <c r="J235" s="640"/>
      <c r="K235" s="641" t="str">
        <f>K$3</f>
        <v>1Q07/</v>
      </c>
      <c r="L235" s="640"/>
      <c r="M235" s="641" t="str">
        <f>M$3</f>
        <v>2Q07/</v>
      </c>
      <c r="N235" s="640"/>
      <c r="O235" s="641" t="str">
        <f>O$3</f>
        <v>3Q07/</v>
      </c>
      <c r="P235" s="640"/>
      <c r="Q235" s="641" t="str">
        <f>Q$3</f>
        <v>4Q07/</v>
      </c>
      <c r="R235" s="640"/>
      <c r="S235" s="641" t="str">
        <f>S$3</f>
        <v>1Q08/</v>
      </c>
      <c r="T235" s="640"/>
      <c r="U235" s="641" t="str">
        <f>U$3</f>
        <v>2Q08/</v>
      </c>
      <c r="V235" s="640"/>
      <c r="W235" s="641" t="str">
        <f>W$3</f>
        <v>3Q08/</v>
      </c>
      <c r="X235" s="640"/>
      <c r="Y235" s="641" t="str">
        <f>Y$3</f>
        <v>4Q08/</v>
      </c>
      <c r="Z235" s="640"/>
      <c r="AA235" s="641" t="str">
        <f>AA$3</f>
        <v>1Q09/</v>
      </c>
      <c r="AB235" s="640"/>
      <c r="AC235" s="641" t="str">
        <f>AC$3</f>
        <v>2Q09/</v>
      </c>
      <c r="AD235" s="640"/>
      <c r="AE235" s="641" t="str">
        <f>AE$3</f>
        <v>3Q09/</v>
      </c>
      <c r="AF235" s="640"/>
      <c r="AG235" s="641" t="str">
        <f>AG$3</f>
        <v>4Q09/</v>
      </c>
      <c r="AH235" s="640"/>
      <c r="AI235" s="641" t="str">
        <f>AI$3</f>
        <v>1Q10/</v>
      </c>
      <c r="AJ235" s="640"/>
      <c r="AK235" s="641" t="str">
        <f>AK$3</f>
        <v>2Q10/</v>
      </c>
      <c r="AL235" s="640"/>
      <c r="AM235" s="641" t="str">
        <f>AM$3</f>
        <v>3Q10/</v>
      </c>
      <c r="AN235" s="640"/>
      <c r="AO235" s="641" t="str">
        <f>AO$3</f>
        <v>4Q10/</v>
      </c>
      <c r="AP235" s="640"/>
      <c r="AQ235" s="641" t="str">
        <f>AQ$3</f>
        <v>1Q11/</v>
      </c>
      <c r="AR235" s="640"/>
      <c r="AS235" s="641" t="str">
        <f>AS$3</f>
        <v>2Q11/</v>
      </c>
      <c r="AT235" s="640"/>
      <c r="AU235" s="641" t="str">
        <f>AU$3</f>
        <v>3Q11/</v>
      </c>
      <c r="AV235" s="640"/>
      <c r="AW235" s="641" t="str">
        <f>AW$3</f>
        <v>4Q11/</v>
      </c>
      <c r="AX235" s="640"/>
      <c r="AY235" s="641" t="str">
        <f>AY$3</f>
        <v>1Q12/</v>
      </c>
      <c r="AZ235" s="640"/>
      <c r="BA235" s="641" t="str">
        <f>BA$3</f>
        <v>2Q12/</v>
      </c>
      <c r="BB235" s="640"/>
      <c r="BC235" s="641" t="str">
        <f>BC$3</f>
        <v>3Q12/</v>
      </c>
      <c r="BD235" s="640"/>
      <c r="BE235" s="641" t="str">
        <f>BE$3</f>
        <v>4Q12/</v>
      </c>
      <c r="BF235" s="640"/>
      <c r="BG235" s="641" t="str">
        <f>BG$3</f>
        <v>1Q13/</v>
      </c>
      <c r="BH235" s="640"/>
      <c r="BI235" s="641" t="str">
        <f>BI$3</f>
        <v>2Q13/</v>
      </c>
      <c r="BJ235" s="640"/>
      <c r="BK235" s="641" t="str">
        <f>BK$3</f>
        <v>3Q13/</v>
      </c>
      <c r="BL235" s="640"/>
      <c r="BM235" s="641" t="str">
        <f>BM$3</f>
        <v>4Q13/</v>
      </c>
      <c r="BN235" s="640"/>
      <c r="BO235" s="641" t="str">
        <f>BO$3</f>
        <v>1Q14/</v>
      </c>
      <c r="BP235" s="640"/>
      <c r="BQ235" s="641" t="str">
        <f>BQ$3</f>
        <v>2Q14/</v>
      </c>
      <c r="BR235" s="640"/>
      <c r="BS235" s="641" t="str">
        <f>BS$3</f>
        <v>3Q14/</v>
      </c>
      <c r="BT235" s="640"/>
      <c r="BU235" s="641" t="str">
        <f>BU$3</f>
        <v>4Q14/</v>
      </c>
      <c r="BV235" s="640"/>
      <c r="BW235" s="641" t="str">
        <f>BW$3</f>
        <v>1Q15/</v>
      </c>
      <c r="BX235" s="640"/>
      <c r="BY235" s="641" t="str">
        <f>BY$3</f>
        <v>2Q15/</v>
      </c>
      <c r="BZ235" s="640"/>
      <c r="CA235" s="641" t="str">
        <f>CA$3</f>
        <v>3Q15/</v>
      </c>
      <c r="CB235" s="640"/>
      <c r="CC235" s="641" t="str">
        <f>CC$3</f>
        <v>4Q15/</v>
      </c>
      <c r="CD235" s="640"/>
      <c r="CE235" s="641" t="str">
        <f>CE$3</f>
        <v>1Q16/</v>
      </c>
      <c r="CF235" s="640"/>
      <c r="CG235" s="641" t="str">
        <f>CG$3</f>
        <v>2Q16/</v>
      </c>
      <c r="CH235" s="640"/>
      <c r="CI235" s="641" t="str">
        <f>CI$3</f>
        <v>3Q16/</v>
      </c>
      <c r="CJ235" s="640"/>
      <c r="CK235" s="641" t="str">
        <f>CK$3</f>
        <v>4Q16/</v>
      </c>
      <c r="CL235" s="640"/>
      <c r="CM235" s="641" t="str">
        <f>CM$3</f>
        <v>1Q17/</v>
      </c>
      <c r="CN235" s="640"/>
      <c r="CO235" s="641" t="str">
        <f t="shared" ref="CO235" si="114">CO$3</f>
        <v>2Q17/</v>
      </c>
      <c r="CP235" s="640"/>
      <c r="CQ235" s="641" t="str">
        <f t="shared" ref="CQ235" si="115">CQ$3</f>
        <v>3Q17/</v>
      </c>
      <c r="CR235" s="640"/>
      <c r="CS235" s="641" t="str">
        <f t="shared" ref="CS235" si="116">CS$3</f>
        <v>4Q17/</v>
      </c>
      <c r="CT235" s="640"/>
      <c r="CU235" s="641" t="str">
        <f>CU$3</f>
        <v>1Q18E/</v>
      </c>
      <c r="CV235" s="640"/>
      <c r="CW235" s="641" t="str">
        <f t="shared" ref="CW235" si="117">CW$3</f>
        <v>2Q18E/</v>
      </c>
      <c r="CX235" s="640"/>
      <c r="CY235" s="641" t="str">
        <f t="shared" ref="CY235" si="118">CY$3</f>
        <v>3Q18E/</v>
      </c>
      <c r="CZ235" s="640"/>
      <c r="DA235" s="641" t="str">
        <f t="shared" ref="DA235" si="119">DA$3</f>
        <v>4Q18E/</v>
      </c>
      <c r="DB235" s="640"/>
      <c r="DC235" s="640"/>
      <c r="DD235" s="641" t="str">
        <f>DD$3</f>
        <v>2005/</v>
      </c>
      <c r="DE235" s="640"/>
      <c r="DF235" s="641" t="str">
        <f>DF$3</f>
        <v>2006/</v>
      </c>
      <c r="DG235" s="640"/>
      <c r="DH235" s="641" t="str">
        <f>DH$3</f>
        <v>2007/</v>
      </c>
      <c r="DI235" s="640"/>
      <c r="DJ235" s="641" t="str">
        <f>DJ$3</f>
        <v>2008/</v>
      </c>
      <c r="DK235" s="640"/>
      <c r="DL235" s="641" t="str">
        <f>DL$3</f>
        <v>2009/</v>
      </c>
      <c r="DM235" s="640"/>
      <c r="DN235" s="641" t="str">
        <f>DN$3</f>
        <v>2010/</v>
      </c>
      <c r="DO235" s="640"/>
      <c r="DP235" s="641" t="str">
        <f>DP$3</f>
        <v>2011/</v>
      </c>
      <c r="DQ235" s="640"/>
      <c r="DR235" s="641" t="str">
        <f>DR$3</f>
        <v>2012/</v>
      </c>
      <c r="DS235" s="640"/>
      <c r="DT235" s="641" t="str">
        <f>DT$3</f>
        <v>2013/</v>
      </c>
      <c r="DU235" s="640"/>
      <c r="DV235" s="641" t="str">
        <f>DV$3</f>
        <v>2014/</v>
      </c>
      <c r="DW235" s="640"/>
      <c r="DX235" s="641" t="str">
        <f>DX$3</f>
        <v>2015/</v>
      </c>
      <c r="DY235" s="640"/>
      <c r="DZ235" s="641" t="str">
        <f>DZ$3</f>
        <v>2016/</v>
      </c>
      <c r="EA235" s="640"/>
      <c r="EB235" s="641" t="str">
        <f>EB$3</f>
        <v>2017/</v>
      </c>
      <c r="EC235" s="640"/>
      <c r="ED235" s="641" t="str">
        <f>ED$3</f>
        <v>2018E/</v>
      </c>
      <c r="EE235" s="640"/>
      <c r="EF235" s="641" t="str">
        <f>EF$3</f>
        <v>2019E/</v>
      </c>
      <c r="EG235" s="640"/>
      <c r="EH235" s="641" t="str">
        <f>EH$3</f>
        <v>2020E/</v>
      </c>
      <c r="EI235" s="640"/>
      <c r="EJ235" s="641" t="str">
        <f>EJ$3</f>
        <v>2021E/</v>
      </c>
      <c r="EK235" s="640"/>
      <c r="EL235" s="641" t="str">
        <f>EL$3</f>
        <v>2022E/</v>
      </c>
      <c r="EM235" s="641" t="str">
        <f>EM$3</f>
        <v>5-Yr</v>
      </c>
      <c r="EN235" s="638"/>
      <c r="EO235" s="638"/>
      <c r="EP235" s="638"/>
      <c r="EQ235" s="638"/>
      <c r="ER235" s="638"/>
      <c r="ES235" s="638"/>
      <c r="ET235" s="638"/>
      <c r="EU235" s="638"/>
      <c r="EV235" s="638"/>
    </row>
    <row r="236" spans="1:152" ht="12.75" hidden="1" customHeight="1" outlineLevel="1" x14ac:dyDescent="0.2">
      <c r="A236" s="693"/>
      <c r="B236" s="692"/>
      <c r="C236" s="686" t="str">
        <f>C$4</f>
        <v>1Q05</v>
      </c>
      <c r="D236" s="692"/>
      <c r="E236" s="686" t="str">
        <f>E$4</f>
        <v>2Q05</v>
      </c>
      <c r="F236" s="692"/>
      <c r="G236" s="686" t="str">
        <f>G$4</f>
        <v>3Q05</v>
      </c>
      <c r="H236" s="692"/>
      <c r="I236" s="686" t="str">
        <f>I$4</f>
        <v>4Q05</v>
      </c>
      <c r="J236" s="692"/>
      <c r="K236" s="686" t="str">
        <f>K$4</f>
        <v>1Q06</v>
      </c>
      <c r="L236" s="692"/>
      <c r="M236" s="686" t="str">
        <f>M$4</f>
        <v>2Q06</v>
      </c>
      <c r="N236" s="692"/>
      <c r="O236" s="686" t="str">
        <f>O$4</f>
        <v>3Q06</v>
      </c>
      <c r="P236" s="692"/>
      <c r="Q236" s="686" t="str">
        <f>Q$4</f>
        <v>4Q06</v>
      </c>
      <c r="R236" s="692"/>
      <c r="S236" s="686" t="str">
        <f>S$4</f>
        <v>1Q07</v>
      </c>
      <c r="T236" s="692"/>
      <c r="U236" s="686" t="str">
        <f>U$4</f>
        <v>2Q07</v>
      </c>
      <c r="V236" s="692"/>
      <c r="W236" s="686" t="str">
        <f>W$4</f>
        <v>3Q07</v>
      </c>
      <c r="X236" s="692"/>
      <c r="Y236" s="686" t="str">
        <f>Y$4</f>
        <v>4Q07</v>
      </c>
      <c r="Z236" s="692"/>
      <c r="AA236" s="686" t="str">
        <f>AA$4</f>
        <v>1Q08</v>
      </c>
      <c r="AB236" s="692"/>
      <c r="AC236" s="686" t="str">
        <f>AC$4</f>
        <v>2Q08</v>
      </c>
      <c r="AD236" s="692"/>
      <c r="AE236" s="686" t="str">
        <f>AE$4</f>
        <v>3Q08</v>
      </c>
      <c r="AF236" s="692"/>
      <c r="AG236" s="686" t="str">
        <f>AG$4</f>
        <v>4Q08</v>
      </c>
      <c r="AH236" s="692"/>
      <c r="AI236" s="686" t="str">
        <f>AI$4</f>
        <v>1Q09</v>
      </c>
      <c r="AJ236" s="692"/>
      <c r="AK236" s="686" t="str">
        <f>AK$4</f>
        <v>2Q09</v>
      </c>
      <c r="AL236" s="692"/>
      <c r="AM236" s="686" t="str">
        <f>AM$4</f>
        <v>3Q09</v>
      </c>
      <c r="AN236" s="692"/>
      <c r="AO236" s="686" t="str">
        <f>AO$4</f>
        <v>4Q09</v>
      </c>
      <c r="AP236" s="692"/>
      <c r="AQ236" s="686" t="str">
        <f>AQ$4</f>
        <v>1Q10</v>
      </c>
      <c r="AR236" s="692"/>
      <c r="AS236" s="686" t="str">
        <f>AS$4</f>
        <v>2Q10</v>
      </c>
      <c r="AT236" s="692"/>
      <c r="AU236" s="686" t="str">
        <f>AU$4</f>
        <v>3Q10</v>
      </c>
      <c r="AV236" s="692"/>
      <c r="AW236" s="686" t="str">
        <f>AW$4</f>
        <v>4Q10</v>
      </c>
      <c r="AX236" s="692"/>
      <c r="AY236" s="686" t="str">
        <f>AY$4</f>
        <v>1Q11</v>
      </c>
      <c r="AZ236" s="692"/>
      <c r="BA236" s="686" t="str">
        <f>BA$4</f>
        <v>2Q11</v>
      </c>
      <c r="BB236" s="692"/>
      <c r="BC236" s="686" t="str">
        <f>BC$4</f>
        <v>3Q11</v>
      </c>
      <c r="BD236" s="692"/>
      <c r="BE236" s="686" t="str">
        <f>BE$4</f>
        <v>4Q11</v>
      </c>
      <c r="BF236" s="692"/>
      <c r="BG236" s="686" t="str">
        <f>BG$4</f>
        <v>1Q12</v>
      </c>
      <c r="BH236" s="692"/>
      <c r="BI236" s="686" t="str">
        <f>BI$4</f>
        <v>2Q12</v>
      </c>
      <c r="BJ236" s="692"/>
      <c r="BK236" s="686" t="str">
        <f>BK$4</f>
        <v>3Q12</v>
      </c>
      <c r="BL236" s="692"/>
      <c r="BM236" s="686" t="str">
        <f>BM$4</f>
        <v>4Q12</v>
      </c>
      <c r="BN236" s="692"/>
      <c r="BO236" s="686" t="str">
        <f>BO$4</f>
        <v>1Q13</v>
      </c>
      <c r="BP236" s="692"/>
      <c r="BQ236" s="686" t="str">
        <f>BQ$4</f>
        <v>2Q13</v>
      </c>
      <c r="BR236" s="692"/>
      <c r="BS236" s="686" t="str">
        <f>BS$4</f>
        <v>3Q13</v>
      </c>
      <c r="BT236" s="692"/>
      <c r="BU236" s="686" t="str">
        <f>BU$4</f>
        <v>4Q13</v>
      </c>
      <c r="BV236" s="692"/>
      <c r="BW236" s="686" t="str">
        <f>BW$4</f>
        <v>1Q14</v>
      </c>
      <c r="BX236" s="692"/>
      <c r="BY236" s="686" t="str">
        <f>BY$4</f>
        <v>2Q14</v>
      </c>
      <c r="BZ236" s="692"/>
      <c r="CA236" s="686" t="str">
        <f>CA$4</f>
        <v>3Q14</v>
      </c>
      <c r="CB236" s="692"/>
      <c r="CC236" s="686" t="str">
        <f>CC$4</f>
        <v>4Q14</v>
      </c>
      <c r="CD236" s="692"/>
      <c r="CE236" s="686" t="str">
        <f>CE$4</f>
        <v>1Q15</v>
      </c>
      <c r="CF236" s="692"/>
      <c r="CG236" s="686" t="str">
        <f>CG$4</f>
        <v>2Q15</v>
      </c>
      <c r="CH236" s="692"/>
      <c r="CI236" s="686" t="str">
        <f>CI$4</f>
        <v>3Q15</v>
      </c>
      <c r="CJ236" s="692"/>
      <c r="CK236" s="686" t="str">
        <f>CK$4</f>
        <v>4Q15</v>
      </c>
      <c r="CL236" s="692"/>
      <c r="CM236" s="686" t="str">
        <f>CM$4</f>
        <v>1Q16</v>
      </c>
      <c r="CN236" s="692"/>
      <c r="CO236" s="686" t="str">
        <f t="shared" ref="CO236" si="120">CO$4</f>
        <v>2Q16</v>
      </c>
      <c r="CP236" s="692"/>
      <c r="CQ236" s="686" t="str">
        <f t="shared" ref="CQ236" si="121">CQ$4</f>
        <v>3Q16</v>
      </c>
      <c r="CR236" s="692"/>
      <c r="CS236" s="686" t="str">
        <f t="shared" ref="CS236" si="122">CS$4</f>
        <v>4Q16</v>
      </c>
      <c r="CT236" s="692"/>
      <c r="CU236" s="686" t="str">
        <f>CU$4</f>
        <v>1Q17</v>
      </c>
      <c r="CV236" s="692"/>
      <c r="CW236" s="686" t="str">
        <f t="shared" ref="CW236" si="123">CW$4</f>
        <v>2Q17</v>
      </c>
      <c r="CX236" s="692"/>
      <c r="CY236" s="686" t="str">
        <f t="shared" ref="CY236" si="124">CY$4</f>
        <v>3Q17</v>
      </c>
      <c r="CZ236" s="692"/>
      <c r="DA236" s="686" t="str">
        <f t="shared" ref="DA236" si="125">DA$4</f>
        <v>4Q17</v>
      </c>
      <c r="DB236" s="692"/>
      <c r="DC236" s="692"/>
      <c r="DD236" s="686">
        <f>DD$4</f>
        <v>2004</v>
      </c>
      <c r="DE236" s="692"/>
      <c r="DF236" s="686">
        <f>DF$4</f>
        <v>2005</v>
      </c>
      <c r="DG236" s="692"/>
      <c r="DH236" s="686">
        <f>DH$4</f>
        <v>2006</v>
      </c>
      <c r="DI236" s="692"/>
      <c r="DJ236" s="686">
        <f>DJ$4</f>
        <v>2007</v>
      </c>
      <c r="DK236" s="692"/>
      <c r="DL236" s="686">
        <f>DL$4</f>
        <v>2008</v>
      </c>
      <c r="DM236" s="692"/>
      <c r="DN236" s="686" t="str">
        <f>DN$4</f>
        <v>2009</v>
      </c>
      <c r="DO236" s="692"/>
      <c r="DP236" s="686" t="str">
        <f>DP$4</f>
        <v>2010</v>
      </c>
      <c r="DQ236" s="692"/>
      <c r="DR236" s="686" t="str">
        <f>DR$4</f>
        <v>2011</v>
      </c>
      <c r="DS236" s="692"/>
      <c r="DT236" s="686" t="str">
        <f>DT$4</f>
        <v>2012</v>
      </c>
      <c r="DU236" s="692"/>
      <c r="DV236" s="686" t="str">
        <f>DV$4</f>
        <v>2013</v>
      </c>
      <c r="DW236" s="692"/>
      <c r="DX236" s="686" t="str">
        <f>DX$4</f>
        <v>2014</v>
      </c>
      <c r="DY236" s="692"/>
      <c r="DZ236" s="686" t="str">
        <f>DZ$4</f>
        <v>2015</v>
      </c>
      <c r="EA236" s="692"/>
      <c r="EB236" s="686" t="str">
        <f>EB$4</f>
        <v>2016</v>
      </c>
      <c r="EC236" s="692"/>
      <c r="ED236" s="686" t="str">
        <f>ED$4</f>
        <v>2017</v>
      </c>
      <c r="EE236" s="692"/>
      <c r="EF236" s="686" t="str">
        <f>EF$4</f>
        <v>2018E</v>
      </c>
      <c r="EG236" s="692"/>
      <c r="EH236" s="686" t="str">
        <f>EH$4</f>
        <v>2019E</v>
      </c>
      <c r="EI236" s="692"/>
      <c r="EJ236" s="686" t="str">
        <f>EJ$4</f>
        <v>2020E</v>
      </c>
      <c r="EK236" s="692"/>
      <c r="EL236" s="686" t="str">
        <f>EL$4</f>
        <v>2021E</v>
      </c>
      <c r="EM236" s="686" t="str">
        <f>EM$4</f>
        <v>CAGR</v>
      </c>
    </row>
    <row r="237" spans="1:152" ht="12.75" hidden="1" customHeight="1" outlineLevel="1" x14ac:dyDescent="0.2">
      <c r="A237" s="694"/>
      <c r="B237" s="695" t="str">
        <f t="shared" ref="B237:BN237" si="126">B$5</f>
        <v>1Q06</v>
      </c>
      <c r="C237" s="696" t="str">
        <f t="shared" si="126"/>
        <v>% Chg</v>
      </c>
      <c r="D237" s="695" t="str">
        <f t="shared" si="126"/>
        <v>2Q06</v>
      </c>
      <c r="E237" s="696" t="str">
        <f t="shared" si="126"/>
        <v>% Chg</v>
      </c>
      <c r="F237" s="695" t="str">
        <f t="shared" si="126"/>
        <v>3Q06</v>
      </c>
      <c r="G237" s="696" t="str">
        <f t="shared" si="126"/>
        <v>% Chg</v>
      </c>
      <c r="H237" s="695" t="str">
        <f t="shared" si="126"/>
        <v>4Q06</v>
      </c>
      <c r="I237" s="696" t="str">
        <f t="shared" si="126"/>
        <v>% Chg</v>
      </c>
      <c r="J237" s="695" t="str">
        <f t="shared" si="126"/>
        <v>1Q07</v>
      </c>
      <c r="K237" s="696" t="str">
        <f t="shared" si="126"/>
        <v>% Chg</v>
      </c>
      <c r="L237" s="695" t="str">
        <f t="shared" si="126"/>
        <v>2Q07</v>
      </c>
      <c r="M237" s="696" t="str">
        <f t="shared" si="126"/>
        <v>% Chg</v>
      </c>
      <c r="N237" s="695" t="str">
        <f t="shared" si="126"/>
        <v>3Q07</v>
      </c>
      <c r="O237" s="696" t="str">
        <f t="shared" si="126"/>
        <v>% Chg</v>
      </c>
      <c r="P237" s="695" t="str">
        <f t="shared" si="126"/>
        <v>4Q07</v>
      </c>
      <c r="Q237" s="696" t="str">
        <f t="shared" si="126"/>
        <v>% Chg</v>
      </c>
      <c r="R237" s="695" t="str">
        <f t="shared" si="126"/>
        <v>1Q08</v>
      </c>
      <c r="S237" s="696" t="str">
        <f t="shared" si="126"/>
        <v>% Chg</v>
      </c>
      <c r="T237" s="695" t="str">
        <f t="shared" si="126"/>
        <v>2Q08</v>
      </c>
      <c r="U237" s="696" t="str">
        <f t="shared" si="126"/>
        <v>% Chg</v>
      </c>
      <c r="V237" s="695" t="str">
        <f t="shared" si="126"/>
        <v>3Q08</v>
      </c>
      <c r="W237" s="696" t="str">
        <f t="shared" si="126"/>
        <v>% Chg</v>
      </c>
      <c r="X237" s="695" t="str">
        <f t="shared" si="126"/>
        <v>4Q08</v>
      </c>
      <c r="Y237" s="696" t="str">
        <f t="shared" si="126"/>
        <v>% Chg</v>
      </c>
      <c r="Z237" s="695" t="str">
        <f t="shared" si="126"/>
        <v>1Q09</v>
      </c>
      <c r="AA237" s="696" t="str">
        <f t="shared" si="126"/>
        <v>% Chg</v>
      </c>
      <c r="AB237" s="695" t="str">
        <f t="shared" si="126"/>
        <v>2Q09</v>
      </c>
      <c r="AC237" s="696" t="str">
        <f t="shared" si="126"/>
        <v>% Chg</v>
      </c>
      <c r="AD237" s="695" t="str">
        <f t="shared" si="126"/>
        <v>3Q09</v>
      </c>
      <c r="AE237" s="696" t="str">
        <f t="shared" si="126"/>
        <v>% Chg</v>
      </c>
      <c r="AF237" s="695" t="str">
        <f t="shared" si="126"/>
        <v>4Q09</v>
      </c>
      <c r="AG237" s="696" t="str">
        <f t="shared" si="126"/>
        <v>% Chg</v>
      </c>
      <c r="AH237" s="695" t="str">
        <f t="shared" si="126"/>
        <v>1Q10</v>
      </c>
      <c r="AI237" s="696" t="str">
        <f t="shared" si="126"/>
        <v>% Chg</v>
      </c>
      <c r="AJ237" s="695" t="str">
        <f t="shared" si="126"/>
        <v>2Q10</v>
      </c>
      <c r="AK237" s="696" t="str">
        <f t="shared" si="126"/>
        <v>% Chg</v>
      </c>
      <c r="AL237" s="695" t="str">
        <f t="shared" si="126"/>
        <v>3Q10</v>
      </c>
      <c r="AM237" s="696" t="str">
        <f t="shared" si="126"/>
        <v>% Chg</v>
      </c>
      <c r="AN237" s="695" t="str">
        <f t="shared" si="126"/>
        <v>4Q10</v>
      </c>
      <c r="AO237" s="696" t="str">
        <f t="shared" si="126"/>
        <v>% Chg</v>
      </c>
      <c r="AP237" s="695" t="str">
        <f t="shared" si="126"/>
        <v>1Q11</v>
      </c>
      <c r="AQ237" s="696" t="str">
        <f t="shared" si="126"/>
        <v>% Chg</v>
      </c>
      <c r="AR237" s="695" t="str">
        <f t="shared" si="126"/>
        <v>2Q11</v>
      </c>
      <c r="AS237" s="696" t="str">
        <f t="shared" si="126"/>
        <v>% Chg</v>
      </c>
      <c r="AT237" s="695" t="str">
        <f t="shared" si="126"/>
        <v>3Q11</v>
      </c>
      <c r="AU237" s="696" t="str">
        <f t="shared" si="126"/>
        <v>% Chg</v>
      </c>
      <c r="AV237" s="695" t="str">
        <f t="shared" si="126"/>
        <v>4Q11</v>
      </c>
      <c r="AW237" s="696" t="str">
        <f t="shared" si="126"/>
        <v>% Chg</v>
      </c>
      <c r="AX237" s="695" t="str">
        <f t="shared" si="126"/>
        <v>1Q12</v>
      </c>
      <c r="AY237" s="696" t="str">
        <f t="shared" si="126"/>
        <v>% Chg</v>
      </c>
      <c r="AZ237" s="695" t="str">
        <f t="shared" si="126"/>
        <v>2Q12</v>
      </c>
      <c r="BA237" s="696" t="str">
        <f t="shared" si="126"/>
        <v>% Chg</v>
      </c>
      <c r="BB237" s="695" t="str">
        <f t="shared" si="126"/>
        <v>3Q12</v>
      </c>
      <c r="BC237" s="696" t="str">
        <f t="shared" si="126"/>
        <v>% Chg</v>
      </c>
      <c r="BD237" s="695" t="str">
        <f t="shared" si="126"/>
        <v>4Q12</v>
      </c>
      <c r="BE237" s="696" t="str">
        <f t="shared" si="126"/>
        <v>% Chg</v>
      </c>
      <c r="BF237" s="695" t="str">
        <f t="shared" si="126"/>
        <v>1Q13</v>
      </c>
      <c r="BG237" s="696" t="str">
        <f t="shared" si="126"/>
        <v>% Chg</v>
      </c>
      <c r="BH237" s="695" t="str">
        <f t="shared" si="126"/>
        <v>2Q13</v>
      </c>
      <c r="BI237" s="696" t="str">
        <f t="shared" si="126"/>
        <v>% Chg</v>
      </c>
      <c r="BJ237" s="695" t="str">
        <f t="shared" si="126"/>
        <v>3Q13</v>
      </c>
      <c r="BK237" s="696" t="str">
        <f t="shared" si="126"/>
        <v>% Chg</v>
      </c>
      <c r="BL237" s="695" t="str">
        <f t="shared" si="126"/>
        <v>4Q13</v>
      </c>
      <c r="BM237" s="696" t="str">
        <f t="shared" si="126"/>
        <v>% Chg</v>
      </c>
      <c r="BN237" s="695" t="str">
        <f t="shared" si="126"/>
        <v>1Q14</v>
      </c>
      <c r="BO237" s="696" t="str">
        <f t="shared" ref="BO237:DA237" si="127">BO$5</f>
        <v>% Chg</v>
      </c>
      <c r="BP237" s="695" t="str">
        <f t="shared" si="127"/>
        <v>2Q14</v>
      </c>
      <c r="BQ237" s="696" t="str">
        <f t="shared" si="127"/>
        <v>% Chg</v>
      </c>
      <c r="BR237" s="695" t="str">
        <f t="shared" si="127"/>
        <v>3Q14</v>
      </c>
      <c r="BS237" s="696" t="str">
        <f t="shared" si="127"/>
        <v>% Chg</v>
      </c>
      <c r="BT237" s="695" t="str">
        <f t="shared" si="127"/>
        <v>4Q14</v>
      </c>
      <c r="BU237" s="696" t="str">
        <f t="shared" si="127"/>
        <v>% Chg</v>
      </c>
      <c r="BV237" s="695" t="str">
        <f t="shared" si="127"/>
        <v>1Q15</v>
      </c>
      <c r="BW237" s="696" t="str">
        <f t="shared" si="127"/>
        <v>% Chg</v>
      </c>
      <c r="BX237" s="695" t="str">
        <f t="shared" si="127"/>
        <v>2Q15</v>
      </c>
      <c r="BY237" s="696" t="str">
        <f t="shared" si="127"/>
        <v>% Chg</v>
      </c>
      <c r="BZ237" s="695" t="str">
        <f t="shared" si="127"/>
        <v>3Q15</v>
      </c>
      <c r="CA237" s="696" t="str">
        <f t="shared" si="127"/>
        <v>% Chg</v>
      </c>
      <c r="CB237" s="695" t="str">
        <f t="shared" si="127"/>
        <v>4Q15</v>
      </c>
      <c r="CC237" s="696" t="str">
        <f t="shared" si="127"/>
        <v>% Chg</v>
      </c>
      <c r="CD237" s="695" t="str">
        <f t="shared" si="127"/>
        <v>1Q16</v>
      </c>
      <c r="CE237" s="696" t="str">
        <f t="shared" si="127"/>
        <v>% Chg</v>
      </c>
      <c r="CF237" s="695" t="str">
        <f t="shared" si="127"/>
        <v>2Q16</v>
      </c>
      <c r="CG237" s="696" t="str">
        <f t="shared" si="127"/>
        <v>% Chg</v>
      </c>
      <c r="CH237" s="695" t="str">
        <f t="shared" si="127"/>
        <v>3Q16</v>
      </c>
      <c r="CI237" s="696" t="str">
        <f t="shared" si="127"/>
        <v>% Chg</v>
      </c>
      <c r="CJ237" s="695" t="str">
        <f t="shared" si="127"/>
        <v>4Q16</v>
      </c>
      <c r="CK237" s="696" t="str">
        <f t="shared" si="127"/>
        <v>% Chg</v>
      </c>
      <c r="CL237" s="695" t="str">
        <f t="shared" si="127"/>
        <v>1Q17</v>
      </c>
      <c r="CM237" s="696" t="str">
        <f t="shared" si="127"/>
        <v>% Chg</v>
      </c>
      <c r="CN237" s="695" t="str">
        <f t="shared" si="127"/>
        <v>2Q17</v>
      </c>
      <c r="CO237" s="696" t="str">
        <f t="shared" si="127"/>
        <v>% Chg</v>
      </c>
      <c r="CP237" s="695" t="str">
        <f t="shared" si="127"/>
        <v>3Q17</v>
      </c>
      <c r="CQ237" s="696" t="str">
        <f t="shared" si="127"/>
        <v>% Chg</v>
      </c>
      <c r="CR237" s="695" t="str">
        <f t="shared" si="127"/>
        <v>4Q17</v>
      </c>
      <c r="CS237" s="696" t="str">
        <f t="shared" si="127"/>
        <v>% Chg</v>
      </c>
      <c r="CT237" s="695" t="str">
        <f t="shared" si="127"/>
        <v>1Q18E</v>
      </c>
      <c r="CU237" s="696" t="str">
        <f t="shared" si="127"/>
        <v>% Chg</v>
      </c>
      <c r="CV237" s="695" t="str">
        <f t="shared" si="127"/>
        <v>2Q18E</v>
      </c>
      <c r="CW237" s="696" t="str">
        <f t="shared" si="127"/>
        <v>% Chg</v>
      </c>
      <c r="CX237" s="695" t="str">
        <f t="shared" si="127"/>
        <v>3Q18E</v>
      </c>
      <c r="CY237" s="696" t="str">
        <f t="shared" si="127"/>
        <v>% Chg</v>
      </c>
      <c r="CZ237" s="695" t="str">
        <f t="shared" si="127"/>
        <v>4Q18E</v>
      </c>
      <c r="DA237" s="696" t="str">
        <f t="shared" si="127"/>
        <v>% Chg</v>
      </c>
      <c r="DB237" s="695"/>
      <c r="DC237" s="697">
        <f t="shared" ref="DC237:EM237" si="128">DC$5</f>
        <v>2005</v>
      </c>
      <c r="DD237" s="696" t="str">
        <f t="shared" si="128"/>
        <v>% Chg</v>
      </c>
      <c r="DE237" s="698">
        <f>$DE$5</f>
        <v>2006</v>
      </c>
      <c r="DF237" s="696" t="str">
        <f>INPUT!FS$6</f>
        <v>% Chg</v>
      </c>
      <c r="DG237" s="699">
        <f>$DG$5</f>
        <v>2007</v>
      </c>
      <c r="DH237" s="696" t="str">
        <f t="shared" si="128"/>
        <v>% Chg</v>
      </c>
      <c r="DI237" s="699">
        <f t="shared" si="128"/>
        <v>2008</v>
      </c>
      <c r="DJ237" s="696" t="str">
        <f t="shared" si="128"/>
        <v>% Chg</v>
      </c>
      <c r="DK237" s="695" t="str">
        <f t="shared" si="128"/>
        <v>2009</v>
      </c>
      <c r="DL237" s="696" t="str">
        <f t="shared" si="128"/>
        <v>% Chg</v>
      </c>
      <c r="DM237" s="695" t="str">
        <f t="shared" si="128"/>
        <v>2010</v>
      </c>
      <c r="DN237" s="696" t="str">
        <f t="shared" si="128"/>
        <v>% Chg</v>
      </c>
      <c r="DO237" s="695" t="str">
        <f t="shared" si="128"/>
        <v>2011</v>
      </c>
      <c r="DP237" s="696" t="str">
        <f t="shared" si="128"/>
        <v>% Chg</v>
      </c>
      <c r="DQ237" s="695" t="str">
        <f t="shared" si="128"/>
        <v>2012</v>
      </c>
      <c r="DR237" s="696" t="str">
        <f t="shared" si="128"/>
        <v>% Chg</v>
      </c>
      <c r="DS237" s="695" t="str">
        <f t="shared" si="128"/>
        <v>2013</v>
      </c>
      <c r="DT237" s="696" t="str">
        <f t="shared" si="128"/>
        <v>% Chg</v>
      </c>
      <c r="DU237" s="695" t="str">
        <f t="shared" si="128"/>
        <v>2014</v>
      </c>
      <c r="DV237" s="696" t="str">
        <f t="shared" si="128"/>
        <v>% Chg</v>
      </c>
      <c r="DW237" s="695" t="str">
        <f t="shared" si="128"/>
        <v>2015</v>
      </c>
      <c r="DX237" s="696" t="str">
        <f t="shared" si="128"/>
        <v>% Chg</v>
      </c>
      <c r="DY237" s="695" t="str">
        <f t="shared" si="128"/>
        <v>2016</v>
      </c>
      <c r="DZ237" s="696" t="str">
        <f t="shared" si="128"/>
        <v>% Chg</v>
      </c>
      <c r="EA237" s="695" t="str">
        <f t="shared" si="128"/>
        <v>2017</v>
      </c>
      <c r="EB237" s="696" t="str">
        <f t="shared" si="128"/>
        <v>% Chg</v>
      </c>
      <c r="EC237" s="695" t="str">
        <f t="shared" si="128"/>
        <v>2018E</v>
      </c>
      <c r="ED237" s="696" t="str">
        <f t="shared" si="128"/>
        <v>% Chg</v>
      </c>
      <c r="EE237" s="695" t="str">
        <f t="shared" si="128"/>
        <v>2019E</v>
      </c>
      <c r="EF237" s="696" t="str">
        <f t="shared" si="128"/>
        <v>% Chg</v>
      </c>
      <c r="EG237" s="695" t="str">
        <f t="shared" si="128"/>
        <v>2020E</v>
      </c>
      <c r="EH237" s="696" t="str">
        <f t="shared" si="128"/>
        <v>% Chg</v>
      </c>
      <c r="EI237" s="695" t="str">
        <f t="shared" si="128"/>
        <v>2021E</v>
      </c>
      <c r="EJ237" s="696" t="str">
        <f t="shared" si="128"/>
        <v>% Chg</v>
      </c>
      <c r="EK237" s="695" t="str">
        <f t="shared" si="128"/>
        <v>2022E</v>
      </c>
      <c r="EL237" s="696" t="str">
        <f t="shared" si="128"/>
        <v>% Chg</v>
      </c>
      <c r="EM237" s="696" t="str">
        <f t="shared" si="128"/>
        <v>(%)</v>
      </c>
    </row>
    <row r="238" spans="1:152" ht="12.75" hidden="1" customHeight="1" outlineLevel="1" x14ac:dyDescent="0.2">
      <c r="A238" s="700"/>
      <c r="B238" s="16"/>
      <c r="C238" s="687"/>
      <c r="D238" s="16"/>
      <c r="E238" s="687"/>
      <c r="F238" s="16"/>
      <c r="G238" s="687"/>
      <c r="H238" s="16"/>
      <c r="I238" s="687"/>
      <c r="J238" s="16"/>
      <c r="K238" s="687"/>
      <c r="L238" s="16"/>
      <c r="M238" s="687"/>
      <c r="N238" s="16"/>
      <c r="O238" s="687"/>
      <c r="P238" s="16"/>
      <c r="Q238" s="687"/>
      <c r="R238" s="16"/>
      <c r="S238" s="687"/>
      <c r="T238" s="16"/>
      <c r="U238" s="687"/>
      <c r="V238" s="16"/>
      <c r="W238" s="687"/>
      <c r="X238" s="16"/>
      <c r="Y238" s="687"/>
      <c r="Z238" s="16"/>
      <c r="AA238" s="687"/>
      <c r="AB238" s="16"/>
      <c r="AC238" s="687"/>
      <c r="AD238" s="16"/>
      <c r="AE238" s="687"/>
      <c r="AF238" s="16"/>
      <c r="AG238" s="687"/>
      <c r="AH238" s="16"/>
      <c r="AI238" s="687"/>
      <c r="AJ238" s="16"/>
      <c r="AK238" s="687"/>
      <c r="AL238" s="16"/>
      <c r="AM238" s="687"/>
      <c r="AN238" s="16"/>
      <c r="AO238" s="687"/>
      <c r="AP238" s="16"/>
      <c r="AQ238" s="687"/>
      <c r="AR238" s="16"/>
      <c r="AS238" s="687"/>
      <c r="AT238" s="16"/>
      <c r="AU238" s="687"/>
      <c r="AV238" s="16"/>
      <c r="AW238" s="687"/>
      <c r="AX238" s="16"/>
      <c r="AY238" s="687"/>
      <c r="AZ238" s="16"/>
      <c r="BA238" s="687"/>
      <c r="BB238" s="16"/>
      <c r="BC238" s="687"/>
      <c r="BD238" s="16"/>
      <c r="BE238" s="687"/>
      <c r="BF238" s="16"/>
      <c r="BG238" s="687"/>
      <c r="BH238" s="16"/>
      <c r="BI238" s="687"/>
      <c r="BJ238" s="16"/>
      <c r="BK238" s="687"/>
      <c r="BL238" s="16"/>
      <c r="BM238" s="687"/>
      <c r="BN238" s="16"/>
      <c r="BO238" s="687"/>
      <c r="BP238" s="16"/>
      <c r="BQ238" s="687"/>
      <c r="BR238" s="16"/>
      <c r="BS238" s="687"/>
      <c r="BT238" s="16"/>
      <c r="BU238" s="687"/>
      <c r="BV238" s="16"/>
      <c r="BW238" s="687"/>
      <c r="BX238" s="16"/>
      <c r="BY238" s="687"/>
      <c r="BZ238" s="16"/>
      <c r="CA238" s="687"/>
      <c r="CB238" s="16"/>
      <c r="CC238" s="687"/>
      <c r="CD238" s="16"/>
      <c r="CE238" s="687"/>
      <c r="CF238" s="16"/>
      <c r="CG238" s="687"/>
      <c r="CH238" s="16"/>
      <c r="CI238" s="687"/>
      <c r="CJ238" s="16"/>
      <c r="CK238" s="687"/>
      <c r="CL238" s="16"/>
      <c r="CM238" s="687"/>
      <c r="CN238" s="16"/>
      <c r="CO238" s="687"/>
      <c r="CP238" s="16"/>
      <c r="CQ238" s="687"/>
      <c r="CR238" s="16"/>
      <c r="CS238" s="687"/>
      <c r="CT238" s="16"/>
      <c r="CU238" s="687"/>
      <c r="CV238" s="16"/>
      <c r="CW238" s="687"/>
      <c r="CX238" s="16"/>
      <c r="CY238" s="687"/>
      <c r="CZ238" s="16"/>
      <c r="DA238" s="687"/>
      <c r="DB238" s="16"/>
      <c r="DC238" s="16"/>
      <c r="DD238" s="687"/>
      <c r="DE238" s="16"/>
      <c r="DF238" s="687"/>
      <c r="DG238" s="16"/>
      <c r="DH238" s="687"/>
      <c r="DI238" s="16"/>
      <c r="DJ238" s="687"/>
      <c r="DK238" s="16"/>
      <c r="DL238" s="687"/>
      <c r="DM238" s="16"/>
      <c r="DN238" s="687"/>
      <c r="DO238" s="16"/>
      <c r="DP238" s="687"/>
      <c r="DQ238" s="16"/>
      <c r="DR238" s="687"/>
      <c r="DS238" s="16"/>
      <c r="DT238" s="687"/>
      <c r="DU238" s="16"/>
      <c r="DV238" s="687"/>
      <c r="DW238" s="16"/>
      <c r="DX238" s="687"/>
      <c r="DY238" s="16"/>
      <c r="DZ238" s="687"/>
      <c r="EA238" s="16"/>
      <c r="EB238" s="687"/>
      <c r="EC238" s="16"/>
      <c r="ED238" s="687"/>
      <c r="EE238" s="16"/>
      <c r="EF238" s="687"/>
      <c r="EG238" s="16"/>
      <c r="EH238" s="687"/>
      <c r="EI238" s="16"/>
      <c r="EJ238" s="687"/>
      <c r="EK238" s="16"/>
      <c r="EL238" s="687"/>
      <c r="EM238" s="687"/>
    </row>
    <row r="239" spans="1:152" ht="12.75" hidden="1" customHeight="1" outlineLevel="1" x14ac:dyDescent="0.2">
      <c r="A239" s="700" t="str">
        <f>INPUT!B26</f>
        <v>VARIABLE ANNUITIES BALANCES</v>
      </c>
      <c r="B239" s="16"/>
      <c r="C239" s="687"/>
      <c r="D239" s="16"/>
      <c r="E239" s="687"/>
      <c r="F239" s="16"/>
      <c r="G239" s="687"/>
      <c r="H239" s="16"/>
      <c r="I239" s="687"/>
      <c r="J239" s="16"/>
      <c r="K239" s="687"/>
      <c r="L239" s="16"/>
      <c r="M239" s="687"/>
      <c r="N239" s="16"/>
      <c r="O239" s="687"/>
      <c r="P239" s="16"/>
      <c r="Q239" s="687"/>
      <c r="R239" s="16"/>
      <c r="S239" s="687"/>
      <c r="T239" s="16"/>
      <c r="U239" s="687"/>
      <c r="V239" s="16"/>
      <c r="W239" s="687"/>
      <c r="X239" s="16"/>
      <c r="Y239" s="687"/>
      <c r="Z239" s="16"/>
      <c r="AA239" s="687"/>
      <c r="AB239" s="16"/>
      <c r="AC239" s="687"/>
      <c r="AD239" s="16"/>
      <c r="AE239" s="687"/>
      <c r="AF239" s="16"/>
      <c r="AG239" s="687"/>
      <c r="AH239" s="16"/>
      <c r="AI239" s="687"/>
      <c r="AJ239" s="16"/>
      <c r="AK239" s="687"/>
      <c r="AL239" s="16"/>
      <c r="AM239" s="687"/>
      <c r="AN239" s="16"/>
      <c r="AO239" s="687"/>
      <c r="AP239" s="16"/>
      <c r="AQ239" s="687"/>
      <c r="AR239" s="16"/>
      <c r="AS239" s="687"/>
      <c r="AT239" s="16"/>
      <c r="AU239" s="687"/>
      <c r="AV239" s="16"/>
      <c r="AW239" s="687"/>
      <c r="AX239" s="16"/>
      <c r="AY239" s="687"/>
      <c r="AZ239" s="16"/>
      <c r="BA239" s="687"/>
      <c r="BB239" s="16"/>
      <c r="BC239" s="687"/>
      <c r="BD239" s="16"/>
      <c r="BE239" s="687"/>
      <c r="BF239" s="16"/>
      <c r="BG239" s="687"/>
      <c r="BH239" s="16"/>
      <c r="BI239" s="687"/>
      <c r="BJ239" s="16"/>
      <c r="BK239" s="687"/>
      <c r="BL239" s="16"/>
      <c r="BM239" s="687"/>
      <c r="BN239" s="16"/>
      <c r="BO239" s="687"/>
      <c r="BP239" s="16"/>
      <c r="BQ239" s="687"/>
      <c r="BR239" s="16"/>
      <c r="BS239" s="687"/>
      <c r="BT239" s="16"/>
      <c r="BU239" s="687"/>
      <c r="BV239" s="16"/>
      <c r="BW239" s="687"/>
      <c r="BX239" s="16"/>
      <c r="BY239" s="687"/>
      <c r="BZ239" s="16"/>
      <c r="CA239" s="687"/>
      <c r="CB239" s="16"/>
      <c r="CC239" s="687"/>
      <c r="CD239" s="16"/>
      <c r="CE239" s="687"/>
      <c r="CF239" s="16"/>
      <c r="CG239" s="687"/>
      <c r="CH239" s="16"/>
      <c r="CI239" s="687"/>
      <c r="CJ239" s="16"/>
      <c r="CK239" s="687"/>
      <c r="CL239" s="16"/>
      <c r="CM239" s="687"/>
      <c r="CN239" s="16"/>
      <c r="CO239" s="687"/>
      <c r="CP239" s="16"/>
      <c r="CQ239" s="687"/>
      <c r="CR239" s="16"/>
      <c r="CS239" s="687"/>
      <c r="CT239" s="16"/>
      <c r="CU239" s="687"/>
      <c r="CV239" s="16"/>
      <c r="CW239" s="687"/>
      <c r="CX239" s="16"/>
      <c r="CY239" s="687"/>
      <c r="CZ239" s="16"/>
      <c r="DA239" s="687"/>
      <c r="DB239" s="16"/>
      <c r="DC239" s="16"/>
      <c r="DD239" s="687"/>
      <c r="DE239" s="16"/>
      <c r="DF239" s="687"/>
      <c r="DG239" s="16"/>
      <c r="DH239" s="687"/>
      <c r="DI239" s="16"/>
      <c r="DJ239" s="687"/>
      <c r="DK239" s="16"/>
      <c r="DL239" s="687"/>
      <c r="DM239" s="16"/>
      <c r="DN239" s="687"/>
      <c r="DO239" s="16"/>
      <c r="DP239" s="687"/>
      <c r="DQ239" s="16"/>
      <c r="DR239" s="687"/>
      <c r="DS239" s="16"/>
      <c r="DT239" s="687"/>
      <c r="DU239" s="16"/>
      <c r="DV239" s="687"/>
      <c r="DW239" s="16"/>
      <c r="DX239" s="687"/>
      <c r="DY239" s="16"/>
      <c r="DZ239" s="687"/>
      <c r="EA239" s="16"/>
      <c r="EB239" s="687"/>
      <c r="EC239" s="16"/>
      <c r="ED239" s="687"/>
      <c r="EE239" s="16"/>
      <c r="EF239" s="687"/>
      <c r="EG239" s="16"/>
      <c r="EH239" s="687"/>
      <c r="EI239" s="16"/>
      <c r="EJ239" s="687"/>
      <c r="EK239" s="16"/>
      <c r="EL239" s="687"/>
      <c r="EM239" s="687"/>
    </row>
    <row r="240" spans="1:152" ht="12.75" hidden="1" customHeight="1" outlineLevel="1" x14ac:dyDescent="0.2">
      <c r="A240" s="701" t="str">
        <f>INPUT!B28</f>
        <v>AUM, BOP ($ in millions)</v>
      </c>
      <c r="B240" s="151"/>
      <c r="C240" s="687"/>
      <c r="D240" s="151"/>
      <c r="E240" s="687"/>
      <c r="F240" s="151"/>
      <c r="G240" s="687"/>
      <c r="H240" s="151"/>
      <c r="I240" s="687"/>
      <c r="J240" s="151">
        <f>INPUT!BG28</f>
        <v>51782</v>
      </c>
      <c r="K240" s="687" t="str">
        <f>INPUT!BH28</f>
        <v>NA</v>
      </c>
      <c r="L240" s="151">
        <f>INPUT!BI28</f>
        <v>53776</v>
      </c>
      <c r="M240" s="687" t="str">
        <f>INPUT!BJ28</f>
        <v>NA</v>
      </c>
      <c r="N240" s="151">
        <f>INPUT!BK28</f>
        <v>58629</v>
      </c>
      <c r="O240" s="687" t="str">
        <f>INPUT!BL28</f>
        <v>NA</v>
      </c>
      <c r="P240" s="151">
        <f>INPUT!BM28</f>
        <v>61764</v>
      </c>
      <c r="Q240" s="687" t="str">
        <f>INPUT!BN28</f>
        <v>NA</v>
      </c>
      <c r="R240" s="151">
        <f>INPUT!BO28</f>
        <v>62112</v>
      </c>
      <c r="S240" s="687">
        <f>INPUT!BP28</f>
        <v>19.949017032945804</v>
      </c>
      <c r="T240" s="151">
        <f>INPUT!BQ28</f>
        <v>58435</v>
      </c>
      <c r="U240" s="687">
        <f>INPUT!BR28</f>
        <v>8.663716155905977</v>
      </c>
      <c r="V240" s="151">
        <f>INPUT!BS28</f>
        <v>59333</v>
      </c>
      <c r="W240" s="687">
        <f>INPUT!BT28</f>
        <v>1.2007709495301055</v>
      </c>
      <c r="X240" s="151">
        <f>INPUT!BU28</f>
        <v>53530</v>
      </c>
      <c r="Y240" s="687">
        <f>INPUT!BV28</f>
        <v>-13.331390453986137</v>
      </c>
      <c r="Z240" s="151">
        <f>INPUT!BW28</f>
        <v>44542</v>
      </c>
      <c r="AA240" s="687">
        <f>INPUT!BX28</f>
        <v>-28.287609479649667</v>
      </c>
      <c r="AB240" s="151">
        <f>INPUT!BY28</f>
        <v>43000</v>
      </c>
      <c r="AC240" s="687">
        <f>INPUT!BZ28</f>
        <v>-26.413964233764009</v>
      </c>
      <c r="AD240" s="151">
        <f>INPUT!CA28</f>
        <v>49422</v>
      </c>
      <c r="AE240" s="687">
        <f>INPUT!CB28</f>
        <v>-16.704026427114758</v>
      </c>
      <c r="AF240" s="151">
        <f>INPUT!CC28</f>
        <v>56419</v>
      </c>
      <c r="AG240" s="687">
        <f>INPUT!CD28</f>
        <v>5.3969736596301221</v>
      </c>
      <c r="AH240" s="151">
        <f>INPUT!CE28</f>
        <v>59367</v>
      </c>
      <c r="AI240" s="687">
        <f>INPUT!CF28</f>
        <v>33.283193390507826</v>
      </c>
      <c r="AJ240" s="151">
        <f>INPUT!CG28</f>
        <v>61711</v>
      </c>
      <c r="AK240" s="687">
        <f>INPUT!CH28</f>
        <v>43.513953488372103</v>
      </c>
      <c r="AL240" s="151">
        <f>INPUT!CI28</f>
        <v>57817</v>
      </c>
      <c r="AM240" s="687">
        <f>INPUT!CJ28</f>
        <v>16.98636234875157</v>
      </c>
      <c r="AN240" s="151">
        <f>INPUT!CK28</f>
        <v>63903</v>
      </c>
      <c r="AO240" s="687">
        <f>INPUT!CL28</f>
        <v>13.265034828692457</v>
      </c>
      <c r="AP240" s="151">
        <f>INPUT!CM28</f>
        <v>68390</v>
      </c>
      <c r="AQ240" s="687">
        <f>INPUT!CN28</f>
        <v>15.198679401014026</v>
      </c>
      <c r="AR240" s="151">
        <f>INPUT!CO28</f>
        <v>71091</v>
      </c>
      <c r="AS240" s="687">
        <f>INPUT!CP28</f>
        <v>15.199883327121588</v>
      </c>
      <c r="AT240" s="151">
        <f>INPUT!CQ28</f>
        <v>71837</v>
      </c>
      <c r="AU240" s="687">
        <f>INPUT!CR28</f>
        <v>24.248923327049134</v>
      </c>
      <c r="AV240" s="151">
        <f>INPUT!CS28</f>
        <v>64140</v>
      </c>
      <c r="AW240" s="687">
        <f>INPUT!CT28</f>
        <v>0.37087460682596607</v>
      </c>
      <c r="AX240" s="151">
        <f>INPUT!CU28</f>
        <v>68330</v>
      </c>
      <c r="AY240" s="687">
        <f>INPUT!CV28</f>
        <v>-8.7732124579620319E-2</v>
      </c>
      <c r="AZ240" s="151">
        <f>INPUT!CW28</f>
        <v>74366</v>
      </c>
      <c r="BA240" s="687">
        <f>INPUT!CX28</f>
        <v>4.6067716025938621</v>
      </c>
      <c r="BB240" s="151">
        <f>INPUT!CY28</f>
        <v>72976</v>
      </c>
      <c r="BC240" s="687">
        <f>INPUT!CZ28</f>
        <v>1.5855339170622429</v>
      </c>
      <c r="BD240" s="151">
        <f>INPUT!DA28</f>
        <v>76696</v>
      </c>
      <c r="BE240" s="687">
        <f>INPUT!DB28</f>
        <v>19.575927658247583</v>
      </c>
      <c r="BF240" s="151">
        <f>INPUT!DC28</f>
        <v>78906</v>
      </c>
      <c r="BG240" s="687">
        <f>INPUT!DD28</f>
        <v>15.477828186740815</v>
      </c>
      <c r="BH240" s="151">
        <f>INPUT!DE28</f>
        <v>83687</v>
      </c>
      <c r="BI240" s="687">
        <f>INPUT!DF28</f>
        <v>12.533953688513577</v>
      </c>
      <c r="BJ240" s="151">
        <f>INPUT!DG28</f>
        <v>85395</v>
      </c>
      <c r="BK240" s="687">
        <f>INPUT!DH28</f>
        <v>17.017923700942774</v>
      </c>
      <c r="BL240" s="151">
        <f>INPUT!DI28</f>
        <v>91021</v>
      </c>
      <c r="BM240" s="687">
        <f>INPUT!DJ28</f>
        <v>18.677636382601449</v>
      </c>
      <c r="BN240" s="151">
        <f>INPUT!DK28</f>
        <v>97298</v>
      </c>
      <c r="BO240" s="687">
        <f>INPUT!DL28</f>
        <v>23.308747116822559</v>
      </c>
      <c r="BP240" s="151">
        <f>INPUT!DM28</f>
        <v>98798</v>
      </c>
      <c r="BQ240" s="687">
        <f>INPUT!DN28</f>
        <v>18.056567925723233</v>
      </c>
      <c r="BR240" s="151">
        <f>INPUT!DO28</f>
        <v>103043</v>
      </c>
      <c r="BS240" s="687">
        <f>INPUT!DP28</f>
        <v>20.666315358042041</v>
      </c>
      <c r="BT240" s="151">
        <f>INPUT!DQ28</f>
        <v>102238</v>
      </c>
      <c r="BU240" s="687">
        <f>INPUT!DR28</f>
        <v>12.323529734896344</v>
      </c>
      <c r="BV240" s="151">
        <f>INPUT!DS28</f>
        <v>104073</v>
      </c>
      <c r="BW240" s="687">
        <f>INPUT!DT28</f>
        <v>6.9631441550700002</v>
      </c>
      <c r="BX240" s="151">
        <f>INPUT!DU28</f>
        <v>106279</v>
      </c>
      <c r="BY240" s="687">
        <f>INPUT!DV28</f>
        <v>7.5720156278467066</v>
      </c>
      <c r="BZ240" s="151">
        <f>INPUT!DW28</f>
        <v>106600</v>
      </c>
      <c r="CA240" s="687">
        <f>INPUT!DX28</f>
        <v>3.4519569500111702</v>
      </c>
      <c r="CB240" s="151">
        <f>INPUT!DY28</f>
        <v>100581</v>
      </c>
      <c r="CC240" s="687">
        <f>INPUT!DZ28</f>
        <v>-1.6207281050098832</v>
      </c>
      <c r="CD240" s="151">
        <f>INPUT!EA28</f>
        <v>103146</v>
      </c>
      <c r="CE240" s="687">
        <f>INPUT!EB28</f>
        <v>-0.89072093626588744</v>
      </c>
      <c r="CF240" s="151">
        <f>INPUT!EC28</f>
        <v>102903</v>
      </c>
      <c r="CG240" s="687">
        <f>INPUT!ED28</f>
        <v>-3.1765447548433801</v>
      </c>
      <c r="CH240" s="151">
        <f>INPUT!EE28</f>
        <v>103861</v>
      </c>
      <c r="CI240" s="687">
        <f>INPUT!EF28</f>
        <v>-2.5694183864915621</v>
      </c>
      <c r="CJ240" s="151">
        <f>INPUT!EG28</f>
        <v>106473</v>
      </c>
      <c r="CK240" s="687">
        <f>INPUT!EH28</f>
        <v>5.8579652220598355</v>
      </c>
      <c r="CL240" s="151">
        <f>INPUT!EI28</f>
        <v>105766</v>
      </c>
      <c r="CM240" s="687">
        <f>INPUT!EJ28</f>
        <v>2.5400888061582583</v>
      </c>
      <c r="CN240" s="151">
        <f>INPUT!EK28</f>
        <v>109475</v>
      </c>
      <c r="CO240" s="687">
        <f>INPUT!EL28</f>
        <v>6.386597086576673</v>
      </c>
      <c r="CP240" s="151">
        <f>INPUT!EM28</f>
        <v>111570</v>
      </c>
      <c r="CQ240" s="687">
        <f>INPUT!EN28</f>
        <v>7.422420350275849</v>
      </c>
      <c r="CR240" s="151">
        <f>INPUT!EO28</f>
        <v>114270</v>
      </c>
      <c r="CS240" s="687">
        <f>INPUT!EP28</f>
        <v>7.3229832915387094</v>
      </c>
      <c r="CT240" s="151">
        <f>INPUT!EQ28</f>
        <v>117479</v>
      </c>
      <c r="CU240" s="687">
        <f>INPUT!ER28</f>
        <v>11.074447364937701</v>
      </c>
      <c r="CV240" s="151">
        <f>INPUT!ES28</f>
        <v>116043.91593212567</v>
      </c>
      <c r="CW240" s="687">
        <f>INPUT!ET28</f>
        <v>6.0003799334328978</v>
      </c>
      <c r="CX240" s="151">
        <f>INPUT!EU28</f>
        <v>117057.48240875268</v>
      </c>
      <c r="CY240" s="687">
        <f>INPUT!EV28</f>
        <v>4.9184210887807556</v>
      </c>
      <c r="CZ240" s="151">
        <f>INPUT!EW28</f>
        <v>118284.75230909741</v>
      </c>
      <c r="DA240" s="687">
        <f>INPUT!EX28</f>
        <v>3.5133913617724888</v>
      </c>
      <c r="DB240" s="16"/>
      <c r="DC240" s="151"/>
      <c r="DD240" s="687"/>
      <c r="DE240" s="151"/>
      <c r="DF240" s="687"/>
      <c r="DG240" s="151">
        <f>INPUT!FT28</f>
        <v>51782</v>
      </c>
      <c r="DH240" s="687" t="str">
        <f>INPUT!FU28</f>
        <v>NA</v>
      </c>
      <c r="DI240" s="151">
        <f>INPUT!FV28</f>
        <v>62112</v>
      </c>
      <c r="DJ240" s="687">
        <f>INPUT!FW28</f>
        <v>19.949017032945804</v>
      </c>
      <c r="DK240" s="151">
        <f>INPUT!FX28</f>
        <v>44542</v>
      </c>
      <c r="DL240" s="687">
        <f>INPUT!FY28</f>
        <v>-28.287609479649667</v>
      </c>
      <c r="DM240" s="151">
        <f>INPUT!FZ28</f>
        <v>59367</v>
      </c>
      <c r="DN240" s="687">
        <f>INPUT!GA28</f>
        <v>33.283193390507826</v>
      </c>
      <c r="DO240" s="151">
        <f>INPUT!GB28</f>
        <v>68390</v>
      </c>
      <c r="DP240" s="687">
        <f>INPUT!GC28</f>
        <v>15.198679401014026</v>
      </c>
      <c r="DQ240" s="151">
        <f>INPUT!GD28</f>
        <v>68330</v>
      </c>
      <c r="DR240" s="687">
        <f>INPUT!GE28</f>
        <v>-8.7732124579620319E-2</v>
      </c>
      <c r="DS240" s="151">
        <f>INPUT!GF28</f>
        <v>78906</v>
      </c>
      <c r="DT240" s="687">
        <f>INPUT!GG28</f>
        <v>15.477828186740815</v>
      </c>
      <c r="DU240" s="151">
        <f>INPUT!GH28</f>
        <v>97298</v>
      </c>
      <c r="DV240" s="687">
        <f>INPUT!GI28</f>
        <v>23.308747116822559</v>
      </c>
      <c r="DW240" s="151">
        <f>INPUT!GJ28</f>
        <v>104073</v>
      </c>
      <c r="DX240" s="687">
        <f>INPUT!GK28</f>
        <v>6.9631441550700002</v>
      </c>
      <c r="DY240" s="151">
        <f>INPUT!GL28</f>
        <v>103146</v>
      </c>
      <c r="DZ240" s="687">
        <f>INPUT!GM28</f>
        <v>-0.89072093626588744</v>
      </c>
      <c r="EA240" s="151">
        <f>INPUT!GN28</f>
        <v>105766</v>
      </c>
      <c r="EB240" s="687">
        <f>INPUT!GO28</f>
        <v>2.5400888061582583</v>
      </c>
      <c r="EC240" s="151">
        <f>INPUT!GP28</f>
        <v>117479</v>
      </c>
      <c r="ED240" s="687">
        <f>INPUT!GQ28</f>
        <v>11.074447364937701</v>
      </c>
      <c r="EE240" s="151">
        <f>INPUT!GR28</f>
        <v>119731.88763517847</v>
      </c>
      <c r="EF240" s="687">
        <f>INPUT!GS28</f>
        <v>1.9176939156602124</v>
      </c>
      <c r="EG240" s="151">
        <f>INPUT!GT28</f>
        <v>126358.44213139922</v>
      </c>
      <c r="EH240" s="687">
        <f>INPUT!GU28</f>
        <v>5.5344942998073909</v>
      </c>
      <c r="EI240" s="151">
        <f>INPUT!GV28</f>
        <v>133983.53511914393</v>
      </c>
      <c r="EJ240" s="687">
        <f>INPUT!GW28</f>
        <v>6.0344942998073803</v>
      </c>
      <c r="EK240" s="151">
        <f>INPUT!GX28</f>
        <v>142738.68158418484</v>
      </c>
      <c r="EL240" s="687">
        <f>INPUT!GY28</f>
        <v>6.534494299807414</v>
      </c>
      <c r="EM240" s="687">
        <f>INPUT!GZ28</f>
        <v>6.1791196538106608</v>
      </c>
    </row>
    <row r="241" spans="1:143" ht="12.75" hidden="1" customHeight="1" outlineLevel="1" x14ac:dyDescent="0.2">
      <c r="A241" s="719" t="str">
        <f>INPUT!B29</f>
        <v>Deposits</v>
      </c>
      <c r="B241" s="151"/>
      <c r="C241" s="687"/>
      <c r="D241" s="151"/>
      <c r="E241" s="687"/>
      <c r="F241" s="151"/>
      <c r="G241" s="687"/>
      <c r="H241" s="151"/>
      <c r="I241" s="687"/>
      <c r="J241" s="151">
        <f>INPUT!BG29</f>
        <v>2535</v>
      </c>
      <c r="K241" s="687" t="str">
        <f>INPUT!BH29</f>
        <v>NA</v>
      </c>
      <c r="L241" s="151">
        <f>INPUT!BI29</f>
        <v>2957</v>
      </c>
      <c r="M241" s="687" t="str">
        <f>INPUT!BJ29</f>
        <v>NA</v>
      </c>
      <c r="N241" s="151">
        <f>INPUT!BK29</f>
        <v>2993</v>
      </c>
      <c r="O241" s="687" t="str">
        <f>INPUT!BL29</f>
        <v>NA</v>
      </c>
      <c r="P241" s="151">
        <f>INPUT!BM29</f>
        <v>3445</v>
      </c>
      <c r="Q241" s="687" t="str">
        <f>INPUT!BN29</f>
        <v>NA</v>
      </c>
      <c r="R241" s="151">
        <f>INPUT!BO29</f>
        <v>2721</v>
      </c>
      <c r="S241" s="687">
        <f>INPUT!BP29</f>
        <v>7.3372781065088821</v>
      </c>
      <c r="T241" s="151">
        <f>INPUT!BQ29</f>
        <v>2944</v>
      </c>
      <c r="U241" s="687">
        <f>INPUT!BR29</f>
        <v>-0.43963476496449161</v>
      </c>
      <c r="V241" s="151">
        <f>INPUT!BS29</f>
        <v>2568</v>
      </c>
      <c r="W241" s="687">
        <f>INPUT!BT29</f>
        <v>-14.199799532241897</v>
      </c>
      <c r="X241" s="151">
        <f>INPUT!BU29</f>
        <v>1890</v>
      </c>
      <c r="Y241" s="687">
        <f>INPUT!BV29</f>
        <v>-45.137880986937596</v>
      </c>
      <c r="Z241" s="151">
        <f>INPUT!BW29</f>
        <v>1586</v>
      </c>
      <c r="AA241" s="687">
        <f>INPUT!BX29</f>
        <v>-41.712605659683945</v>
      </c>
      <c r="AB241" s="151">
        <f>INPUT!BY29</f>
        <v>1726</v>
      </c>
      <c r="AC241" s="687">
        <f>INPUT!BZ29</f>
        <v>-41.372282608695656</v>
      </c>
      <c r="AD241" s="151">
        <f>INPUT!CA29</f>
        <v>1829</v>
      </c>
      <c r="AE241" s="687">
        <f>INPUT!CB29</f>
        <v>-28.77725856697819</v>
      </c>
      <c r="AF241" s="151">
        <f>INPUT!CC29</f>
        <v>2060</v>
      </c>
      <c r="AG241" s="687">
        <f>INPUT!CD29</f>
        <v>8.9947089947090006</v>
      </c>
      <c r="AH241" s="151">
        <f>INPUT!CE29</f>
        <v>1865</v>
      </c>
      <c r="AI241" s="687">
        <f>INPUT!CF29</f>
        <v>17.591424968474143</v>
      </c>
      <c r="AJ241" s="151">
        <f>INPUT!CG29</f>
        <v>2186</v>
      </c>
      <c r="AK241" s="687">
        <f>INPUT!CH29</f>
        <v>26.65121668597914</v>
      </c>
      <c r="AL241" s="151">
        <f>INPUT!CI29</f>
        <v>2021</v>
      </c>
      <c r="AM241" s="687">
        <f>INPUT!CJ29</f>
        <v>10.49753963914708</v>
      </c>
      <c r="AN241" s="151">
        <f>INPUT!CK29</f>
        <v>2194</v>
      </c>
      <c r="AO241" s="687">
        <f>INPUT!CL29</f>
        <v>6.5048543689320448</v>
      </c>
      <c r="AP241" s="151">
        <f>INPUT!CM29</f>
        <v>2184</v>
      </c>
      <c r="AQ241" s="687">
        <f>INPUT!CN29</f>
        <v>17.104557640750674</v>
      </c>
      <c r="AR241" s="151">
        <f>INPUT!CO29</f>
        <v>2356</v>
      </c>
      <c r="AS241" s="687">
        <f>INPUT!CP29</f>
        <v>7.7767612076852677</v>
      </c>
      <c r="AT241" s="151">
        <f>INPUT!CQ29</f>
        <v>2155</v>
      </c>
      <c r="AU241" s="687">
        <f>INPUT!CR29</f>
        <v>6.6303809995051921</v>
      </c>
      <c r="AV241" s="151">
        <f>INPUT!CS29</f>
        <v>2028</v>
      </c>
      <c r="AW241" s="687">
        <f>INPUT!CT29</f>
        <v>-7.5660893345487645</v>
      </c>
      <c r="AX241" s="151">
        <f>INPUT!CU29</f>
        <v>2185</v>
      </c>
      <c r="AY241" s="687">
        <f>INPUT!CV29</f>
        <v>4.5787545787545625E-2</v>
      </c>
      <c r="AZ241" s="151">
        <f>INPUT!CW29</f>
        <v>2422</v>
      </c>
      <c r="BA241" s="687">
        <f>INPUT!CX29</f>
        <v>2.8013582342954146</v>
      </c>
      <c r="BB241" s="151">
        <f>INPUT!CY29</f>
        <v>2188</v>
      </c>
      <c r="BC241" s="687">
        <f>INPUT!CZ29</f>
        <v>1.5313225058004587</v>
      </c>
      <c r="BD241" s="151">
        <f>INPUT!DA29</f>
        <v>3019</v>
      </c>
      <c r="BE241" s="687">
        <f>INPUT!DB29</f>
        <v>48.865877712031569</v>
      </c>
      <c r="BF241" s="151">
        <f>INPUT!DC29</f>
        <v>2939</v>
      </c>
      <c r="BG241" s="687">
        <f>INPUT!DD29</f>
        <v>34.508009153318085</v>
      </c>
      <c r="BH241" s="151">
        <f>INPUT!DE29</f>
        <v>3917</v>
      </c>
      <c r="BI241" s="687">
        <f>INPUT!DF29</f>
        <v>61.725846407927335</v>
      </c>
      <c r="BJ241" s="151">
        <f>INPUT!DG29</f>
        <v>3407</v>
      </c>
      <c r="BK241" s="687">
        <f>INPUT!DH29</f>
        <v>55.712979890310791</v>
      </c>
      <c r="BL241" s="151">
        <f>INPUT!DI29</f>
        <v>3454</v>
      </c>
      <c r="BM241" s="687">
        <f>INPUT!DJ29</f>
        <v>14.408744617422986</v>
      </c>
      <c r="BN241" s="151">
        <f>INPUT!DK29</f>
        <v>2947</v>
      </c>
      <c r="BO241" s="687">
        <f>INPUT!DL29</f>
        <v>14.480788340510099</v>
      </c>
      <c r="BP241" s="151">
        <f>INPUT!DM29</f>
        <v>3173</v>
      </c>
      <c r="BQ241" s="687">
        <f>INPUT!DN29</f>
        <v>-18.994128159305589</v>
      </c>
      <c r="BR241" s="151">
        <f>INPUT!DO29</f>
        <v>3226</v>
      </c>
      <c r="BS241" s="687">
        <f>INPUT!DP29</f>
        <v>-5.3125917229233881</v>
      </c>
      <c r="BT241" s="151">
        <f>INPUT!DQ29</f>
        <v>3175</v>
      </c>
      <c r="BU241" s="687">
        <f>INPUT!DR29</f>
        <v>-8.0775911986103122</v>
      </c>
      <c r="BV241" s="151">
        <f>INPUT!DS29</f>
        <v>2697</v>
      </c>
      <c r="BW241" s="687">
        <f>INPUT!DT29</f>
        <v>-8.4832032575500538</v>
      </c>
      <c r="BX241" s="151">
        <f>INPUT!DU29</f>
        <v>3015</v>
      </c>
      <c r="BY241" s="687">
        <f>INPUT!DV29</f>
        <v>-4.9795146549007292</v>
      </c>
      <c r="BZ241" s="151">
        <f>INPUT!DW29</f>
        <v>2738</v>
      </c>
      <c r="CA241" s="687">
        <f>INPUT!DX29</f>
        <v>2738</v>
      </c>
      <c r="CB241" s="151">
        <f>INPUT!DY29</f>
        <v>2362</v>
      </c>
      <c r="CC241" s="687">
        <f>INPUT!DZ29</f>
        <v>-25.606299212598426</v>
      </c>
      <c r="CD241" s="151">
        <f>INPUT!EA29</f>
        <v>1685</v>
      </c>
      <c r="CE241" s="687">
        <f>INPUT!EB29</f>
        <v>-37.523173896922501</v>
      </c>
      <c r="CF241" s="151">
        <f>INPUT!EC29</f>
        <v>1635</v>
      </c>
      <c r="CG241" s="687">
        <f>INPUT!ED29</f>
        <v>-45.771144278606968</v>
      </c>
      <c r="CH241" s="151">
        <f>INPUT!EE29</f>
        <v>1518</v>
      </c>
      <c r="CI241" s="687">
        <f>INPUT!EF29</f>
        <v>-44.558071585098617</v>
      </c>
      <c r="CJ241" s="151">
        <f>INPUT!EG29</f>
        <v>1399</v>
      </c>
      <c r="CK241" s="687">
        <f>INPUT!EH29</f>
        <v>-40.770533446232008</v>
      </c>
      <c r="CL241" s="151">
        <f>INPUT!EI29</f>
        <v>1454</v>
      </c>
      <c r="CM241" s="687">
        <f>INPUT!EJ29</f>
        <v>-13.709198813056378</v>
      </c>
      <c r="CN241" s="151">
        <f>INPUT!EK29</f>
        <v>1614</v>
      </c>
      <c r="CO241" s="687">
        <f>INPUT!EL29</f>
        <v>-1.2844036697247652</v>
      </c>
      <c r="CP241" s="151">
        <f>INPUT!EM29</f>
        <v>1532</v>
      </c>
      <c r="CQ241" s="687">
        <f>INPUT!EN29</f>
        <v>0.92226613965744608</v>
      </c>
      <c r="CR241" s="151">
        <f>INPUT!EO29</f>
        <v>2142</v>
      </c>
      <c r="CS241" s="687">
        <f>INPUT!EP29</f>
        <v>53.109363831308087</v>
      </c>
      <c r="CT241" s="151">
        <f>INPUT!EQ29</f>
        <v>2055.8825000000002</v>
      </c>
      <c r="CU241" s="687">
        <f>INPUT!ER29</f>
        <v>41.394944979367267</v>
      </c>
      <c r="CV241" s="151">
        <f>INPUT!ES29</f>
        <v>2175.8234237273564</v>
      </c>
      <c r="CW241" s="687">
        <f>INPUT!ET29</f>
        <v>34.809381891409942</v>
      </c>
      <c r="CX241" s="151">
        <f>INPUT!EU29</f>
        <v>2341.1496481750537</v>
      </c>
      <c r="CY241" s="687">
        <f>INPUT!EV29</f>
        <v>52.816556669389939</v>
      </c>
      <c r="CZ241" s="151">
        <f>INPUT!EW29</f>
        <v>2513.5509865683202</v>
      </c>
      <c r="DA241" s="687">
        <f>INPUT!EX29</f>
        <v>17.345984433628402</v>
      </c>
      <c r="DB241" s="16"/>
      <c r="DC241" s="151"/>
      <c r="DD241" s="687"/>
      <c r="DE241" s="151"/>
      <c r="DF241" s="687"/>
      <c r="DG241" s="151">
        <f>INPUT!FT29</f>
        <v>11930</v>
      </c>
      <c r="DH241" s="687" t="str">
        <f>INPUT!FU29</f>
        <v>NA</v>
      </c>
      <c r="DI241" s="151">
        <f>INPUT!FV29</f>
        <v>10123</v>
      </c>
      <c r="DJ241" s="687">
        <f>INPUT!FW29</f>
        <v>-15.146689019279124</v>
      </c>
      <c r="DK241" s="151">
        <f>INPUT!FX29</f>
        <v>7201</v>
      </c>
      <c r="DL241" s="687">
        <f>INPUT!FY29</f>
        <v>-28.864960979946652</v>
      </c>
      <c r="DM241" s="151">
        <f>INPUT!FZ29</f>
        <v>8266</v>
      </c>
      <c r="DN241" s="687">
        <f>INPUT!GA29</f>
        <v>14.78961255381197</v>
      </c>
      <c r="DO241" s="151">
        <f>INPUT!GB29</f>
        <v>8723</v>
      </c>
      <c r="DP241" s="687">
        <f>INPUT!GC29</f>
        <v>5.5286716670699176</v>
      </c>
      <c r="DQ241" s="151">
        <f>INPUT!GD29</f>
        <v>9814</v>
      </c>
      <c r="DR241" s="687">
        <f>INPUT!GE29</f>
        <v>12.50716496618136</v>
      </c>
      <c r="DS241" s="151">
        <f>INPUT!GF29</f>
        <v>13717</v>
      </c>
      <c r="DT241" s="687">
        <f>INPUT!GG29</f>
        <v>39.769716731200333</v>
      </c>
      <c r="DU241" s="151">
        <f>INPUT!GH29</f>
        <v>12521</v>
      </c>
      <c r="DV241" s="687">
        <f>INPUT!GI29</f>
        <v>-8.7191076766056756</v>
      </c>
      <c r="DW241" s="151">
        <f>INPUT!GJ29</f>
        <v>10812</v>
      </c>
      <c r="DX241" s="687">
        <f>INPUT!GK29</f>
        <v>-13.649069563133931</v>
      </c>
      <c r="DY241" s="151">
        <f>INPUT!GL29</f>
        <v>6237</v>
      </c>
      <c r="DZ241" s="687">
        <f>INPUT!GM29</f>
        <v>-42.314095449500556</v>
      </c>
      <c r="EA241" s="151">
        <f>INPUT!GN29</f>
        <v>6742</v>
      </c>
      <c r="EB241" s="687">
        <f>INPUT!GO29</f>
        <v>8.0968414301747735</v>
      </c>
      <c r="EC241" s="151">
        <f>INPUT!GP29</f>
        <v>9086.4065584707314</v>
      </c>
      <c r="ED241" s="687">
        <f>INPUT!GQ29</f>
        <v>34.773161650411332</v>
      </c>
      <c r="EE241" s="151">
        <f>INPUT!GR29</f>
        <v>9859.3154623705705</v>
      </c>
      <c r="EF241" s="687">
        <f>INPUT!GS29</f>
        <v>8.5062108868472421</v>
      </c>
      <c r="EG241" s="151">
        <f>INPUT!GT29</f>
        <v>11036.770925292494</v>
      </c>
      <c r="EH241" s="687">
        <f>INPUT!GU29</f>
        <v>11.942568096292728</v>
      </c>
      <c r="EI241" s="151">
        <f>INPUT!GV29</f>
        <v>12372.701913257788</v>
      </c>
      <c r="EJ241" s="687">
        <f>INPUT!GW29</f>
        <v>12.1043645556129</v>
      </c>
      <c r="EK241" s="151">
        <f>INPUT!GX29</f>
        <v>13894.888822432706</v>
      </c>
      <c r="EL241" s="687">
        <f>INPUT!GY29</f>
        <v>12.302784952281453</v>
      </c>
      <c r="EM241" s="687">
        <f>INPUT!GZ29</f>
        <v>15.561525333576242</v>
      </c>
    </row>
    <row r="242" spans="1:143" ht="12.75" hidden="1" customHeight="1" outlineLevel="1" x14ac:dyDescent="0.2">
      <c r="A242" s="719" t="str">
        <f>INPUT!B31</f>
        <v>Withdrawals</v>
      </c>
      <c r="B242" s="151"/>
      <c r="C242" s="687"/>
      <c r="D242" s="151"/>
      <c r="E242" s="687"/>
      <c r="F242" s="151"/>
      <c r="G242" s="687"/>
      <c r="H242" s="151"/>
      <c r="I242" s="687"/>
      <c r="J242" s="151">
        <f>INPUT!BG31</f>
        <v>-1330</v>
      </c>
      <c r="K242" s="687" t="str">
        <f>INPUT!BH31</f>
        <v>NA</v>
      </c>
      <c r="L242" s="151">
        <f>INPUT!BI31</f>
        <v>-1402</v>
      </c>
      <c r="M242" s="687" t="str">
        <f>INPUT!BJ31</f>
        <v>NA</v>
      </c>
      <c r="N242" s="151">
        <f>INPUT!BK31</f>
        <v>-1477</v>
      </c>
      <c r="O242" s="687" t="str">
        <f>INPUT!BL31</f>
        <v>NA</v>
      </c>
      <c r="P242" s="151">
        <f>INPUT!BM31</f>
        <v>-1525</v>
      </c>
      <c r="Q242" s="687" t="str">
        <f>INPUT!BN31</f>
        <v>NA</v>
      </c>
      <c r="R242" s="151">
        <f>INPUT!BO31</f>
        <v>-1383</v>
      </c>
      <c r="S242" s="687">
        <f>INPUT!BP31</f>
        <v>3.9849624060150468</v>
      </c>
      <c r="T242" s="151">
        <f>INPUT!BQ31</f>
        <v>-1339</v>
      </c>
      <c r="U242" s="687">
        <f>INPUT!BR31</f>
        <v>-4.4935805991440763</v>
      </c>
      <c r="V242" s="151">
        <f>INPUT!BS31</f>
        <v>-1340</v>
      </c>
      <c r="W242" s="687">
        <f>INPUT!BT31</f>
        <v>-9.2755585646580929</v>
      </c>
      <c r="X242" s="151">
        <f>INPUT!BU31</f>
        <v>-1300</v>
      </c>
      <c r="Y242" s="687">
        <f>INPUT!BV31</f>
        <v>-14.754098360655743</v>
      </c>
      <c r="Z242" s="151">
        <f>INPUT!BW31</f>
        <v>-1148</v>
      </c>
      <c r="AA242" s="687">
        <f>INPUT!BX31</f>
        <v>-16.992046276211138</v>
      </c>
      <c r="AB242" s="151">
        <f>INPUT!BY31</f>
        <v>-1075</v>
      </c>
      <c r="AC242" s="687">
        <f>INPUT!BZ31</f>
        <v>-19.716206123973112</v>
      </c>
      <c r="AD242" s="151">
        <f>INPUT!CA31</f>
        <v>-1082</v>
      </c>
      <c r="AE242" s="687">
        <f>INPUT!CB31</f>
        <v>-19.253731343283587</v>
      </c>
      <c r="AF242" s="151">
        <f>INPUT!CC31</f>
        <v>-1222</v>
      </c>
      <c r="AG242" s="687">
        <f>INPUT!CD31</f>
        <v>-6.0000000000000053</v>
      </c>
      <c r="AH242" s="151">
        <f>INPUT!CE31</f>
        <v>-1313</v>
      </c>
      <c r="AI242" s="687">
        <f>INPUT!CF31</f>
        <v>14.372822299651578</v>
      </c>
      <c r="AJ242" s="151">
        <f>INPUT!CG31</f>
        <v>-1316</v>
      </c>
      <c r="AK242" s="687">
        <f>INPUT!CH31</f>
        <v>22.418604651162788</v>
      </c>
      <c r="AL242" s="151">
        <f>INPUT!CI31</f>
        <v>-1308</v>
      </c>
      <c r="AM242" s="687">
        <f>INPUT!CJ31</f>
        <v>20.887245841035117</v>
      </c>
      <c r="AN242" s="151">
        <f>INPUT!CK31</f>
        <v>-1544</v>
      </c>
      <c r="AO242" s="687">
        <f>INPUT!CL31</f>
        <v>26.350245499181678</v>
      </c>
      <c r="AP242" s="151">
        <f>INPUT!CM31</f>
        <v>-1732</v>
      </c>
      <c r="AQ242" s="687">
        <f>INPUT!CN31</f>
        <v>31.911652703731907</v>
      </c>
      <c r="AR242" s="151">
        <f>INPUT!CO31</f>
        <v>-1790</v>
      </c>
      <c r="AS242" s="687">
        <f>INPUT!CP31</f>
        <v>36.018237082066861</v>
      </c>
      <c r="AT242" s="151">
        <f>INPUT!CQ31</f>
        <v>-1538</v>
      </c>
      <c r="AU242" s="687">
        <f>INPUT!CR31</f>
        <v>17.584097859327219</v>
      </c>
      <c r="AV242" s="151">
        <f>INPUT!CS31</f>
        <v>-1555</v>
      </c>
      <c r="AW242" s="687">
        <f>INPUT!CT31</f>
        <v>0.71243523316062429</v>
      </c>
      <c r="AX242" s="151">
        <f>INPUT!CU31</f>
        <v>-1722</v>
      </c>
      <c r="AY242" s="687">
        <f>INPUT!CV31</f>
        <v>-0.57736720554272258</v>
      </c>
      <c r="AZ242" s="151">
        <f>INPUT!CW31</f>
        <v>-1689</v>
      </c>
      <c r="BA242" s="687">
        <f>INPUT!CX31</f>
        <v>-5.642458100558656</v>
      </c>
      <c r="BB242" s="151">
        <f>INPUT!CY31</f>
        <v>-1682</v>
      </c>
      <c r="BC242" s="687">
        <f>INPUT!CZ31</f>
        <v>9.3628088426527931</v>
      </c>
      <c r="BD242" s="151">
        <f>INPUT!DA31</f>
        <v>-1908</v>
      </c>
      <c r="BE242" s="687">
        <f>INPUT!DB31</f>
        <v>22.700964630225084</v>
      </c>
      <c r="BF242" s="151">
        <f>INPUT!DC31</f>
        <v>-1899</v>
      </c>
      <c r="BG242" s="687">
        <f>INPUT!DD31</f>
        <v>10.278745644599297</v>
      </c>
      <c r="BH242" s="151">
        <f>INPUT!DE31</f>
        <v>-2016</v>
      </c>
      <c r="BI242" s="687">
        <f>INPUT!DF31</f>
        <v>19.360568383658961</v>
      </c>
      <c r="BJ242" s="151">
        <f>INPUT!DG31</f>
        <v>-1943</v>
      </c>
      <c r="BK242" s="687">
        <f>INPUT!DH31</f>
        <v>15.517241379310342</v>
      </c>
      <c r="BL242" s="151">
        <f>INPUT!DI31</f>
        <v>-2103</v>
      </c>
      <c r="BM242" s="687">
        <f>INPUT!DJ31</f>
        <v>10.220125786163514</v>
      </c>
      <c r="BN242" s="151">
        <f>INPUT!DK31</f>
        <v>-2260</v>
      </c>
      <c r="BO242" s="687">
        <f>INPUT!DL31</f>
        <v>19.010005265929443</v>
      </c>
      <c r="BP242" s="151">
        <f>INPUT!DM31</f>
        <v>-2275</v>
      </c>
      <c r="BQ242" s="687">
        <f>INPUT!DN31</f>
        <v>12.847222222222232</v>
      </c>
      <c r="BR242" s="151">
        <f>INPUT!DO31</f>
        <v>-2413</v>
      </c>
      <c r="BS242" s="687">
        <f>INPUT!DP31</f>
        <v>24.189397838394243</v>
      </c>
      <c r="BT242" s="151">
        <f>INPUT!DQ31</f>
        <v>-2345</v>
      </c>
      <c r="BU242" s="687">
        <f>INPUT!DR31</f>
        <v>11.507370423204954</v>
      </c>
      <c r="BV242" s="151">
        <f>INPUT!DS31</f>
        <v>-2340</v>
      </c>
      <c r="BW242" s="687">
        <f>INPUT!DT31</f>
        <v>3.539823008849563</v>
      </c>
      <c r="BX242" s="151">
        <f>INPUT!DU31</f>
        <v>-2440</v>
      </c>
      <c r="BY242" s="687">
        <f>INPUT!DV31</f>
        <v>7.2527472527472492</v>
      </c>
      <c r="BZ242" s="151">
        <f>INPUT!DW31</f>
        <v>-2243</v>
      </c>
      <c r="CA242" s="687">
        <f>INPUT!DX31</f>
        <v>-2243</v>
      </c>
      <c r="CB242" s="151">
        <f>INPUT!DY31</f>
        <v>-2131</v>
      </c>
      <c r="CC242" s="687">
        <f>INPUT!DZ31</f>
        <v>-9.1257995735607658</v>
      </c>
      <c r="CD242" s="151">
        <f>INPUT!EA31</f>
        <v>-1976</v>
      </c>
      <c r="CE242" s="687">
        <f>INPUT!EB31</f>
        <v>-15.555555555555555</v>
      </c>
      <c r="CF242" s="151">
        <f>INPUT!EC31</f>
        <v>-2090</v>
      </c>
      <c r="CG242" s="687">
        <f>INPUT!ED31</f>
        <v>-14.344262295081966</v>
      </c>
      <c r="CH242" s="151">
        <f>INPUT!EE31</f>
        <v>-2257</v>
      </c>
      <c r="CI242" s="687">
        <f>INPUT!EF31</f>
        <v>0.62416406598306828</v>
      </c>
      <c r="CJ242" s="151">
        <f>INPUT!EG31</f>
        <v>-2273</v>
      </c>
      <c r="CK242" s="687">
        <f>INPUT!EH31</f>
        <v>6.6635382449554248</v>
      </c>
      <c r="CL242" s="151">
        <f>INPUT!EI31</f>
        <v>-2480</v>
      </c>
      <c r="CM242" s="687">
        <f>INPUT!EJ31</f>
        <v>25.506072874493935</v>
      </c>
      <c r="CN242" s="151">
        <f>INPUT!EK31</f>
        <v>-2512</v>
      </c>
      <c r="CO242" s="687">
        <f>INPUT!EL31</f>
        <v>20.191387559808604</v>
      </c>
      <c r="CP242" s="151">
        <f>INPUT!EM31</f>
        <v>-2366</v>
      </c>
      <c r="CQ242" s="687">
        <f>INPUT!EN31</f>
        <v>4.8294195835179465</v>
      </c>
      <c r="CR242" s="151">
        <f>INPUT!EO31</f>
        <v>-2630</v>
      </c>
      <c r="CS242" s="687">
        <f>INPUT!EP31</f>
        <v>15.706115266168052</v>
      </c>
      <c r="CT242" s="151">
        <f>INPUT!EQ31</f>
        <v>-2645.1177678743329</v>
      </c>
      <c r="CU242" s="687">
        <f>INPUT!ER31</f>
        <v>6.6579745110618038</v>
      </c>
      <c r="CV242" s="151">
        <f>INPUT!ES31</f>
        <v>-2554.783938285872</v>
      </c>
      <c r="CW242" s="687">
        <f>INPUT!ET31</f>
        <v>1.7031822566031751</v>
      </c>
      <c r="CX242" s="151">
        <f>INPUT!EU31</f>
        <v>-2518.569536735341</v>
      </c>
      <c r="CY242" s="687">
        <f>INPUT!EV31</f>
        <v>6.4484165991268272</v>
      </c>
      <c r="CZ242" s="151">
        <f>INPUT!EW31</f>
        <v>-2485.8326881964222</v>
      </c>
      <c r="DA242" s="687">
        <f>INPUT!EX31</f>
        <v>-5.4816468366379434</v>
      </c>
      <c r="DB242" s="16"/>
      <c r="DC242" s="151"/>
      <c r="DD242" s="687"/>
      <c r="DE242" s="151"/>
      <c r="DF242" s="687"/>
      <c r="DG242" s="151">
        <f>INPUT!FT31</f>
        <v>-5734</v>
      </c>
      <c r="DH242" s="687" t="str">
        <f>INPUT!FU31</f>
        <v>NA</v>
      </c>
      <c r="DI242" s="151">
        <f>INPUT!FV31</f>
        <v>-5362</v>
      </c>
      <c r="DJ242" s="687">
        <f>INPUT!FW31</f>
        <v>-6.487617718869898</v>
      </c>
      <c r="DK242" s="151">
        <f>INPUT!FX31</f>
        <v>-4527</v>
      </c>
      <c r="DL242" s="687">
        <f>INPUT!FY31</f>
        <v>-15.572547556881755</v>
      </c>
      <c r="DM242" s="151">
        <f>INPUT!FZ31</f>
        <v>-5481</v>
      </c>
      <c r="DN242" s="687">
        <f>INPUT!GA31</f>
        <v>21.073558648111334</v>
      </c>
      <c r="DO242" s="151">
        <f>INPUT!GB31</f>
        <v>-6615</v>
      </c>
      <c r="DP242" s="687">
        <f>INPUT!GC31</f>
        <v>20.68965517241379</v>
      </c>
      <c r="DQ242" s="151">
        <f>INPUT!GD31</f>
        <v>-7001</v>
      </c>
      <c r="DR242" s="687">
        <f>INPUT!GE31</f>
        <v>5.8352229780801235</v>
      </c>
      <c r="DS242" s="151">
        <f>INPUT!GF31</f>
        <v>-7961</v>
      </c>
      <c r="DT242" s="687">
        <f>INPUT!GG31</f>
        <v>13.712326810455643</v>
      </c>
      <c r="DU242" s="151">
        <f>INPUT!GH31</f>
        <v>-9293</v>
      </c>
      <c r="DV242" s="687">
        <f>INPUT!GI31</f>
        <v>16.7315663861324</v>
      </c>
      <c r="DW242" s="151">
        <f>INPUT!GJ31</f>
        <v>-9154</v>
      </c>
      <c r="DX242" s="687">
        <f>INPUT!GK31</f>
        <v>-1.4957494888625855</v>
      </c>
      <c r="DY242" s="151">
        <f>INPUT!GL31</f>
        <v>-8596</v>
      </c>
      <c r="DZ242" s="687">
        <f>INPUT!GM31</f>
        <v>-6.0956958706576359</v>
      </c>
      <c r="EA242" s="151">
        <f>INPUT!GN31</f>
        <v>-9988</v>
      </c>
      <c r="EB242" s="687">
        <f>INPUT!GO31</f>
        <v>16.193578408562125</v>
      </c>
      <c r="EC242" s="151">
        <f>INPUT!GP31</f>
        <v>-10204.303931091967</v>
      </c>
      <c r="ED242" s="687">
        <f>INPUT!GQ31</f>
        <v>2.165638076611609</v>
      </c>
      <c r="EE242" s="151">
        <f>INPUT!GR31</f>
        <v>-8979.8915726383857</v>
      </c>
      <c r="EF242" s="687">
        <f>INPUT!GS31</f>
        <v>-11.998979712108159</v>
      </c>
      <c r="EG242" s="151">
        <f>INPUT!GT31</f>
        <v>-9476.8831598549405</v>
      </c>
      <c r="EH242" s="687">
        <f>INPUT!GU31</f>
        <v>5.5344942998073909</v>
      </c>
      <c r="EI242" s="151">
        <f>INPUT!GV31</f>
        <v>-10048.765133935794</v>
      </c>
      <c r="EJ242" s="687">
        <f>INPUT!GW31</f>
        <v>6.0344942998074025</v>
      </c>
      <c r="EK242" s="151">
        <f>INPUT!GX31</f>
        <v>-10705.401118813863</v>
      </c>
      <c r="EL242" s="687">
        <f>INPUT!GY31</f>
        <v>6.534494299807414</v>
      </c>
      <c r="EM242" s="687">
        <f>INPUT!GZ31</f>
        <v>1.3969477702109989</v>
      </c>
    </row>
    <row r="243" spans="1:143" ht="12.75" hidden="1" customHeight="1" outlineLevel="1" x14ac:dyDescent="0.2">
      <c r="A243" s="719" t="str">
        <f>INPUT!B32</f>
        <v>Investment Performance</v>
      </c>
      <c r="B243" s="151"/>
      <c r="C243" s="687"/>
      <c r="D243" s="151"/>
      <c r="E243" s="687"/>
      <c r="F243" s="151"/>
      <c r="G243" s="687"/>
      <c r="H243" s="151"/>
      <c r="I243" s="687"/>
      <c r="J243" s="151">
        <f>INPUT!BG32</f>
        <v>789</v>
      </c>
      <c r="K243" s="687" t="str">
        <f>INPUT!BH32</f>
        <v>NA</v>
      </c>
      <c r="L243" s="151">
        <f>INPUT!BI32</f>
        <v>3298</v>
      </c>
      <c r="M243" s="687" t="str">
        <f>INPUT!BJ32</f>
        <v>NA</v>
      </c>
      <c r="N243" s="151">
        <f>INPUT!BK32</f>
        <v>1619</v>
      </c>
      <c r="O243" s="687" t="str">
        <f>INPUT!BL32</f>
        <v>NA</v>
      </c>
      <c r="P243" s="151">
        <f>INPUT!BM32</f>
        <v>-1572</v>
      </c>
      <c r="Q243" s="687" t="str">
        <f>INPUT!BN32</f>
        <v>NA</v>
      </c>
      <c r="R243" s="151">
        <f>INPUT!BO32</f>
        <v>-5015</v>
      </c>
      <c r="S243" s="687" t="str">
        <f>INPUT!BP32</f>
        <v>NM</v>
      </c>
      <c r="T243" s="151">
        <f>INPUT!BQ32</f>
        <v>-707</v>
      </c>
      <c r="U243" s="687" t="str">
        <f>INPUT!BR32</f>
        <v>NM</v>
      </c>
      <c r="V243" s="151">
        <f>INPUT!BS32</f>
        <v>-7031</v>
      </c>
      <c r="W243" s="687" t="str">
        <f>INPUT!BT32</f>
        <v>NM</v>
      </c>
      <c r="X243" s="151">
        <f>INPUT!BU32</f>
        <v>-9578</v>
      </c>
      <c r="Y243" s="687" t="str">
        <f>INPUT!BV32</f>
        <v>NM</v>
      </c>
      <c r="Z243" s="151">
        <f>INPUT!BW32</f>
        <v>-1980</v>
      </c>
      <c r="AA243" s="687" t="str">
        <f>INPUT!BX32</f>
        <v>NM</v>
      </c>
      <c r="AB243" s="151">
        <f>INPUT!BY32</f>
        <v>5771</v>
      </c>
      <c r="AC243" s="687" t="str">
        <f>INPUT!BZ32</f>
        <v>NM</v>
      </c>
      <c r="AD243" s="151">
        <f>INPUT!CA32</f>
        <v>6250</v>
      </c>
      <c r="AE243" s="687" t="str">
        <f>INPUT!CB32</f>
        <v>NM</v>
      </c>
      <c r="AF243" s="151">
        <f>INPUT!CC32</f>
        <v>2110</v>
      </c>
      <c r="AG243" s="687" t="str">
        <f>INPUT!CD32</f>
        <v>NM</v>
      </c>
      <c r="AH243" s="151">
        <f>INPUT!CE32</f>
        <v>1792</v>
      </c>
      <c r="AI243" s="687" t="str">
        <f>INPUT!CF32</f>
        <v>NM</v>
      </c>
      <c r="AJ243" s="151">
        <f>INPUT!CG32</f>
        <v>-4764</v>
      </c>
      <c r="AK243" s="687" t="str">
        <f>INPUT!CH32</f>
        <v>NM</v>
      </c>
      <c r="AL243" s="151">
        <f>INPUT!CI32</f>
        <v>5373</v>
      </c>
      <c r="AM243" s="687">
        <f>INPUT!CJ32</f>
        <v>-14.032</v>
      </c>
      <c r="AN243" s="151">
        <f>INPUT!CK32</f>
        <v>3837</v>
      </c>
      <c r="AO243" s="687">
        <f>INPUT!CL32</f>
        <v>81.848341232227483</v>
      </c>
      <c r="AP243" s="151">
        <f>INPUT!CM32</f>
        <v>2249</v>
      </c>
      <c r="AQ243" s="687">
        <f>INPUT!CN32</f>
        <v>25.502232142857139</v>
      </c>
      <c r="AR243" s="151">
        <f>INPUT!CO32</f>
        <v>180</v>
      </c>
      <c r="AS243" s="687" t="str">
        <f>INPUT!CP32</f>
        <v>NM</v>
      </c>
      <c r="AT243" s="151">
        <f>INPUT!CQ32</f>
        <v>-8314</v>
      </c>
      <c r="AU243" s="687" t="str">
        <f>INPUT!CR32</f>
        <v>NM</v>
      </c>
      <c r="AV243" s="151">
        <f>INPUT!CS32</f>
        <v>3717</v>
      </c>
      <c r="AW243" s="687">
        <f>INPUT!CT32</f>
        <v>-3.1274433150899172</v>
      </c>
      <c r="AX243" s="151">
        <f>INPUT!CU32</f>
        <v>5573</v>
      </c>
      <c r="AY243" s="687" t="str">
        <f>INPUT!CV32</f>
        <v>NM</v>
      </c>
      <c r="AZ243" s="151">
        <f>INPUT!CW32</f>
        <v>-2123</v>
      </c>
      <c r="BA243" s="687" t="str">
        <f>INPUT!CX32</f>
        <v>NM</v>
      </c>
      <c r="BB243" s="151">
        <f>INPUT!CY32</f>
        <v>3214</v>
      </c>
      <c r="BC243" s="687" t="str">
        <f>INPUT!CZ32</f>
        <v>NM</v>
      </c>
      <c r="BD243" s="151">
        <f>INPUT!DA32</f>
        <v>1099</v>
      </c>
      <c r="BE243" s="687" t="str">
        <f>INPUT!DB32</f>
        <v>NM</v>
      </c>
      <c r="BF243" s="151">
        <f>INPUT!DC32</f>
        <v>3741</v>
      </c>
      <c r="BG243" s="687">
        <f>INPUT!DD32</f>
        <v>-32.872779472456479</v>
      </c>
      <c r="BH243" s="151">
        <f>INPUT!DE32</f>
        <v>-193</v>
      </c>
      <c r="BI243" s="687" t="str">
        <f>INPUT!DF32</f>
        <v>NM</v>
      </c>
      <c r="BJ243" s="151">
        <f>INPUT!DG32</f>
        <v>4162</v>
      </c>
      <c r="BK243" s="687">
        <f>INPUT!DH32</f>
        <v>29.49595519601742</v>
      </c>
      <c r="BL243" s="151">
        <f>INPUT!DI32</f>
        <v>4926</v>
      </c>
      <c r="BM243" s="687" t="str">
        <f>INPUT!DJ32</f>
        <v>NM</v>
      </c>
      <c r="BN243" s="151">
        <f>INPUT!DK32</f>
        <v>813</v>
      </c>
      <c r="BO243" s="687" t="str">
        <f>INPUT!DL32</f>
        <v>NM</v>
      </c>
      <c r="BP243" s="151">
        <f>INPUT!DM32</f>
        <v>3347</v>
      </c>
      <c r="BQ243" s="687" t="str">
        <f>INPUT!DN32</f>
        <v>NM</v>
      </c>
      <c r="BR243" s="151">
        <f>INPUT!DO32</f>
        <v>-1618</v>
      </c>
      <c r="BS243" s="687" t="str">
        <f>INPUT!DP32</f>
        <v>NM</v>
      </c>
      <c r="BT243" s="151">
        <f>INPUT!DQ32</f>
        <v>1005</v>
      </c>
      <c r="BU243" s="687" t="str">
        <f>INPUT!DR32</f>
        <v>NM</v>
      </c>
      <c r="BV243" s="151">
        <f>INPUT!DS32</f>
        <v>1849</v>
      </c>
      <c r="BW243" s="687" t="str">
        <f>INPUT!DT32</f>
        <v>NM</v>
      </c>
      <c r="BX243" s="151">
        <f>INPUT!DU32</f>
        <v>-254</v>
      </c>
      <c r="BY243" s="687" t="str">
        <f>INPUT!DV32</f>
        <v>NM</v>
      </c>
      <c r="BZ243" s="151">
        <f>INPUT!DW32</f>
        <v>-6514</v>
      </c>
      <c r="CA243" s="687">
        <f>INPUT!DX32</f>
        <v>-6514</v>
      </c>
      <c r="CB243" s="151">
        <f>INPUT!DY32</f>
        <v>2334</v>
      </c>
      <c r="CC243" s="687" t="str">
        <f>INPUT!DZ32</f>
        <v>NM</v>
      </c>
      <c r="CD243" s="151">
        <f>INPUT!EA32</f>
        <v>48</v>
      </c>
      <c r="CE243" s="687" t="str">
        <f>INPUT!EB32</f>
        <v>NM</v>
      </c>
      <c r="CF243" s="151">
        <f>INPUT!EC32</f>
        <v>1413</v>
      </c>
      <c r="CG243" s="687" t="str">
        <f>INPUT!ED32</f>
        <v>NM</v>
      </c>
      <c r="CH243" s="151">
        <f>INPUT!EE32</f>
        <v>3351</v>
      </c>
      <c r="CI243" s="687" t="str">
        <f>INPUT!EF32</f>
        <v>NM</v>
      </c>
      <c r="CJ243" s="151">
        <f>INPUT!EG32</f>
        <v>167</v>
      </c>
      <c r="CK243" s="687" t="str">
        <f>INPUT!EH32</f>
        <v>NM</v>
      </c>
      <c r="CL243" s="151">
        <f>INPUT!EI32</f>
        <v>4735</v>
      </c>
      <c r="CM243" s="687" t="str">
        <f>INPUT!EJ32</f>
        <v>NM</v>
      </c>
      <c r="CN243" s="151">
        <f>INPUT!EK32</f>
        <v>2993</v>
      </c>
      <c r="CO243" s="687" t="str">
        <f>INPUT!EL32</f>
        <v>NM</v>
      </c>
      <c r="CP243" s="151">
        <f>INPUT!EM32</f>
        <v>3534</v>
      </c>
      <c r="CQ243" s="687">
        <f>INPUT!EN32</f>
        <v>5.4610564010743046</v>
      </c>
      <c r="CR243" s="151">
        <f>INPUT!EO32</f>
        <v>3697</v>
      </c>
      <c r="CS243" s="687" t="str">
        <f>INPUT!EP32</f>
        <v>NM</v>
      </c>
      <c r="CT243" s="151">
        <f>INPUT!EQ32</f>
        <v>-845.84879999999998</v>
      </c>
      <c r="CU243" s="687" t="str">
        <f>INPUT!ER32</f>
        <v>NM</v>
      </c>
      <c r="CV243" s="151">
        <f>INPUT!ES32</f>
        <v>1392.5269911855082</v>
      </c>
      <c r="CW243" s="687" t="str">
        <f>INPUT!ET32</f>
        <v>NM</v>
      </c>
      <c r="CX243" s="151">
        <f>INPUT!EU32</f>
        <v>1404.6897889050322</v>
      </c>
      <c r="CY243" s="687" t="str">
        <f>INPUT!EV32</f>
        <v>NM</v>
      </c>
      <c r="CZ243" s="151">
        <f>INPUT!EW32</f>
        <v>1419.4170277091689</v>
      </c>
      <c r="DA243" s="687" t="str">
        <f>INPUT!EX32</f>
        <v>NM</v>
      </c>
      <c r="DB243" s="16"/>
      <c r="DC243" s="151"/>
      <c r="DD243" s="687"/>
      <c r="DE243" s="151"/>
      <c r="DF243" s="687"/>
      <c r="DG243" s="151">
        <f>INPUT!FT32</f>
        <v>4134</v>
      </c>
      <c r="DH243" s="687" t="str">
        <f>INPUT!FU32</f>
        <v>NA</v>
      </c>
      <c r="DI243" s="151">
        <f>INPUT!FV32</f>
        <v>-22331</v>
      </c>
      <c r="DJ243" s="687" t="str">
        <f>INPUT!FW32</f>
        <v>NM</v>
      </c>
      <c r="DK243" s="151">
        <f>INPUT!FX32</f>
        <v>12151</v>
      </c>
      <c r="DL243" s="687" t="str">
        <f>INPUT!FY32</f>
        <v>NM</v>
      </c>
      <c r="DM243" s="151">
        <f>INPUT!FZ32</f>
        <v>6238</v>
      </c>
      <c r="DN243" s="687">
        <f>INPUT!GA32</f>
        <v>-48.662661509340801</v>
      </c>
      <c r="DO243" s="151">
        <f>INPUT!GB32</f>
        <v>-2168</v>
      </c>
      <c r="DP243" s="687" t="str">
        <f>INPUT!GC32</f>
        <v>NM</v>
      </c>
      <c r="DQ243" s="151">
        <f>INPUT!GD32</f>
        <v>7763</v>
      </c>
      <c r="DR243" s="687" t="str">
        <f>INPUT!GE32</f>
        <v>NM</v>
      </c>
      <c r="DS243" s="151">
        <f>INPUT!GF32</f>
        <v>12636</v>
      </c>
      <c r="DT243" s="687">
        <f>INPUT!GG32</f>
        <v>62.772124178796851</v>
      </c>
      <c r="DU243" s="151">
        <f>INPUT!GH32</f>
        <v>3547</v>
      </c>
      <c r="DV243" s="687" t="str">
        <f>INPUT!GI32</f>
        <v>NM</v>
      </c>
      <c r="DW243" s="151">
        <f>INPUT!GJ32</f>
        <v>-2585</v>
      </c>
      <c r="DX243" s="687" t="str">
        <f>INPUT!GK32</f>
        <v>NM</v>
      </c>
      <c r="DY243" s="151">
        <f>INPUT!GL32</f>
        <v>4979</v>
      </c>
      <c r="DZ243" s="687" t="str">
        <f>INPUT!GM32</f>
        <v>NM</v>
      </c>
      <c r="EA243" s="151">
        <f>INPUT!GN32</f>
        <v>14959</v>
      </c>
      <c r="EB243" s="687" t="str">
        <f>INPUT!GO32</f>
        <v>NM</v>
      </c>
      <c r="EC243" s="151">
        <f>INPUT!GP32</f>
        <v>3370.7850077997091</v>
      </c>
      <c r="ED243" s="687" t="str">
        <f>INPUT!GQ32</f>
        <v>NM</v>
      </c>
      <c r="EE243" s="151">
        <f>INPUT!GR32</f>
        <v>5747.1306064885666</v>
      </c>
      <c r="EF243" s="687">
        <f>INPUT!GS32</f>
        <v>70.498284322203773</v>
      </c>
      <c r="EG243" s="151">
        <f>INPUT!GT32</f>
        <v>6065.2052223071623</v>
      </c>
      <c r="EH243" s="687">
        <f>INPUT!GU32</f>
        <v>5.5344942998073909</v>
      </c>
      <c r="EI243" s="151">
        <f>INPUT!GV32</f>
        <v>6431.209685718909</v>
      </c>
      <c r="EJ243" s="687">
        <f>INPUT!GW32</f>
        <v>6.0344942998074025</v>
      </c>
      <c r="EK243" s="151">
        <f>INPUT!GX32</f>
        <v>6851.4567160408724</v>
      </c>
      <c r="EL243" s="687">
        <f>INPUT!GY32</f>
        <v>6.5344942998073918</v>
      </c>
      <c r="EM243" s="687">
        <f>INPUT!GZ32</f>
        <v>-14.458655651423502</v>
      </c>
    </row>
    <row r="244" spans="1:143" ht="12.75" hidden="1" customHeight="1" outlineLevel="1" x14ac:dyDescent="0.2">
      <c r="A244" s="719" t="str">
        <f>INPUT!B33</f>
        <v>Other</v>
      </c>
      <c r="B244" s="151"/>
      <c r="C244" s="687"/>
      <c r="D244" s="151"/>
      <c r="E244" s="687"/>
      <c r="F244" s="151"/>
      <c r="G244" s="687"/>
      <c r="H244" s="151"/>
      <c r="I244" s="687"/>
      <c r="J244" s="151">
        <f>INPUT!BG33</f>
        <v>0</v>
      </c>
      <c r="K244" s="687">
        <f>INPUT!BH33</f>
        <v>0</v>
      </c>
      <c r="L244" s="151">
        <f>INPUT!BI33</f>
        <v>0</v>
      </c>
      <c r="M244" s="687">
        <f>INPUT!BJ33</f>
        <v>0</v>
      </c>
      <c r="N244" s="151">
        <f>INPUT!BK33</f>
        <v>0</v>
      </c>
      <c r="O244" s="687">
        <f>INPUT!BL33</f>
        <v>0</v>
      </c>
      <c r="P244" s="151">
        <f>INPUT!BM33</f>
        <v>0</v>
      </c>
      <c r="Q244" s="687">
        <f>INPUT!BN33</f>
        <v>0</v>
      </c>
      <c r="R244" s="151">
        <f>INPUT!BO33</f>
        <v>0</v>
      </c>
      <c r="S244" s="687">
        <f>INPUT!BP33</f>
        <v>0</v>
      </c>
      <c r="T244" s="151">
        <f>INPUT!BQ33</f>
        <v>0</v>
      </c>
      <c r="U244" s="687">
        <f>INPUT!BR33</f>
        <v>0</v>
      </c>
      <c r="V244" s="151">
        <f>INPUT!BS33</f>
        <v>0</v>
      </c>
      <c r="W244" s="687">
        <f>INPUT!BT33</f>
        <v>0</v>
      </c>
      <c r="X244" s="151">
        <f>INPUT!BU33</f>
        <v>0</v>
      </c>
      <c r="Y244" s="687">
        <f>INPUT!BV33</f>
        <v>0</v>
      </c>
      <c r="Z244" s="151">
        <f>INPUT!BW33</f>
        <v>0</v>
      </c>
      <c r="AA244" s="687">
        <f>INPUT!BX33</f>
        <v>0</v>
      </c>
      <c r="AB244" s="151">
        <f>INPUT!BY33</f>
        <v>0</v>
      </c>
      <c r="AC244" s="687">
        <f>INPUT!BZ33</f>
        <v>0</v>
      </c>
      <c r="AD244" s="151">
        <f>INPUT!CA33</f>
        <v>0</v>
      </c>
      <c r="AE244" s="687">
        <f>INPUT!CB33</f>
        <v>0</v>
      </c>
      <c r="AF244" s="151">
        <f>INPUT!CC33</f>
        <v>0</v>
      </c>
      <c r="AG244" s="687">
        <f>INPUT!CD33</f>
        <v>0</v>
      </c>
      <c r="AH244" s="151">
        <f>INPUT!CE33</f>
        <v>0</v>
      </c>
      <c r="AI244" s="687">
        <f>INPUT!CF33</f>
        <v>0</v>
      </c>
      <c r="AJ244" s="151">
        <f>INPUT!CG33</f>
        <v>0</v>
      </c>
      <c r="AK244" s="687">
        <f>INPUT!CH33</f>
        <v>0</v>
      </c>
      <c r="AL244" s="151">
        <f>INPUT!CI33</f>
        <v>0</v>
      </c>
      <c r="AM244" s="687">
        <f>INPUT!CJ33</f>
        <v>0</v>
      </c>
      <c r="AN244" s="151">
        <f>INPUT!CK33</f>
        <v>0</v>
      </c>
      <c r="AO244" s="687">
        <f>INPUT!CL33</f>
        <v>0</v>
      </c>
      <c r="AP244" s="151">
        <f>INPUT!CM33</f>
        <v>0</v>
      </c>
      <c r="AQ244" s="687">
        <f>INPUT!CN33</f>
        <v>0</v>
      </c>
      <c r="AR244" s="151">
        <f>INPUT!CO33</f>
        <v>0</v>
      </c>
      <c r="AS244" s="687" t="str">
        <f>INPUT!CP33</f>
        <v>NA</v>
      </c>
      <c r="AT244" s="151">
        <f>INPUT!CQ33</f>
        <v>0</v>
      </c>
      <c r="AU244" s="687" t="str">
        <f>INPUT!CR33</f>
        <v>NA</v>
      </c>
      <c r="AV244" s="151">
        <f>INPUT!CS33</f>
        <v>0</v>
      </c>
      <c r="AW244" s="687" t="str">
        <f>INPUT!CT33</f>
        <v>NA</v>
      </c>
      <c r="AX244" s="151">
        <f>INPUT!CU33</f>
        <v>0</v>
      </c>
      <c r="AY244" s="687" t="str">
        <f>INPUT!CV33</f>
        <v>NA</v>
      </c>
      <c r="AZ244" s="151">
        <f>INPUT!CW33</f>
        <v>0</v>
      </c>
      <c r="BA244" s="687" t="str">
        <f>INPUT!CX33</f>
        <v>NA</v>
      </c>
      <c r="BB244" s="151">
        <f>INPUT!CY33</f>
        <v>0</v>
      </c>
      <c r="BC244" s="687" t="str">
        <f>INPUT!CZ33</f>
        <v>NA</v>
      </c>
      <c r="BD244" s="151">
        <f>INPUT!DA33</f>
        <v>0</v>
      </c>
      <c r="BE244" s="687" t="str">
        <f>INPUT!DB33</f>
        <v>NA</v>
      </c>
      <c r="BF244" s="151">
        <f>INPUT!DC33</f>
        <v>0</v>
      </c>
      <c r="BG244" s="687" t="str">
        <f>INPUT!DD33</f>
        <v>NA</v>
      </c>
      <c r="BH244" s="151">
        <f>INPUT!DE33</f>
        <v>0</v>
      </c>
      <c r="BI244" s="687" t="str">
        <f>INPUT!DF33</f>
        <v>NA</v>
      </c>
      <c r="BJ244" s="151">
        <f>INPUT!DG33</f>
        <v>0</v>
      </c>
      <c r="BK244" s="687" t="str">
        <f>INPUT!DH33</f>
        <v>NA</v>
      </c>
      <c r="BL244" s="151">
        <f>INPUT!DI33</f>
        <v>0</v>
      </c>
      <c r="BM244" s="687" t="str">
        <f>INPUT!DJ33</f>
        <v>NA</v>
      </c>
      <c r="BN244" s="151">
        <f>INPUT!DK33</f>
        <v>0</v>
      </c>
      <c r="BO244" s="687" t="str">
        <f>INPUT!DL33</f>
        <v>NA</v>
      </c>
      <c r="BP244" s="151">
        <f>INPUT!DM33</f>
        <v>0</v>
      </c>
      <c r="BQ244" s="687" t="str">
        <f>INPUT!DN33</f>
        <v>NA</v>
      </c>
      <c r="BR244" s="151">
        <f>INPUT!DO33</f>
        <v>0</v>
      </c>
      <c r="BS244" s="687" t="str">
        <f>INPUT!DP33</f>
        <v>NA</v>
      </c>
      <c r="BT244" s="151">
        <f>INPUT!DQ33</f>
        <v>0</v>
      </c>
      <c r="BU244" s="687" t="str">
        <f>INPUT!DR33</f>
        <v>NA</v>
      </c>
      <c r="BV244" s="151">
        <f>INPUT!DS33</f>
        <v>0</v>
      </c>
      <c r="BW244" s="687" t="str">
        <f>INPUT!DT33</f>
        <v>NA</v>
      </c>
      <c r="BX244" s="151">
        <f>INPUT!DU33</f>
        <v>0</v>
      </c>
      <c r="BY244" s="687" t="str">
        <f>INPUT!DV33</f>
        <v>NA</v>
      </c>
      <c r="BZ244" s="151">
        <f>INPUT!DW33</f>
        <v>0</v>
      </c>
      <c r="CA244" s="687">
        <f>INPUT!DX33</f>
        <v>0</v>
      </c>
      <c r="CB244" s="151">
        <f>INPUT!DY33</f>
        <v>0</v>
      </c>
      <c r="CC244" s="687" t="str">
        <f>INPUT!DZ33</f>
        <v>NA</v>
      </c>
      <c r="CD244" s="151">
        <f>INPUT!EA33</f>
        <v>0</v>
      </c>
      <c r="CE244" s="687" t="str">
        <f>INPUT!EB33</f>
        <v>NA</v>
      </c>
      <c r="CF244" s="151">
        <f>INPUT!EC33</f>
        <v>0</v>
      </c>
      <c r="CG244" s="687" t="str">
        <f>INPUT!ED33</f>
        <v>NA</v>
      </c>
      <c r="CH244" s="151">
        <f>INPUT!EE33</f>
        <v>0</v>
      </c>
      <c r="CI244" s="687" t="str">
        <f>INPUT!EF33</f>
        <v>NA</v>
      </c>
      <c r="CJ244" s="151">
        <f>INPUT!EG33</f>
        <v>0</v>
      </c>
      <c r="CK244" s="687" t="str">
        <f>INPUT!EH33</f>
        <v>NA</v>
      </c>
      <c r="CL244" s="151">
        <f>INPUT!EI33</f>
        <v>0</v>
      </c>
      <c r="CM244" s="687" t="str">
        <f>INPUT!EJ33</f>
        <v>NA</v>
      </c>
      <c r="CN244" s="151">
        <f>INPUT!EK33</f>
        <v>0</v>
      </c>
      <c r="CO244" s="687" t="str">
        <f>INPUT!EL33</f>
        <v>NA</v>
      </c>
      <c r="CP244" s="151">
        <f>INPUT!EM33</f>
        <v>0</v>
      </c>
      <c r="CQ244" s="687" t="str">
        <f>INPUT!EN33</f>
        <v>NA</v>
      </c>
      <c r="CR244" s="151">
        <f>INPUT!EO33</f>
        <v>0</v>
      </c>
      <c r="CS244" s="687" t="str">
        <f>INPUT!EP33</f>
        <v>NA</v>
      </c>
      <c r="CT244" s="151">
        <f>INPUT!EQ33</f>
        <v>0</v>
      </c>
      <c r="CU244" s="687" t="str">
        <f>INPUT!ER33</f>
        <v>NA</v>
      </c>
      <c r="CV244" s="151">
        <f>INPUT!ES33</f>
        <v>0</v>
      </c>
      <c r="CW244" s="687" t="str">
        <f>INPUT!ET33</f>
        <v>NA</v>
      </c>
      <c r="CX244" s="151">
        <f>INPUT!EU33</f>
        <v>0</v>
      </c>
      <c r="CY244" s="687" t="str">
        <f>INPUT!EV33</f>
        <v>NA</v>
      </c>
      <c r="CZ244" s="151">
        <f>INPUT!EW33</f>
        <v>0</v>
      </c>
      <c r="DA244" s="687" t="str">
        <f>INPUT!EX33</f>
        <v>NA</v>
      </c>
      <c r="DB244" s="16"/>
      <c r="DC244" s="151"/>
      <c r="DD244" s="687"/>
      <c r="DE244" s="151"/>
      <c r="DF244" s="687"/>
      <c r="DG244" s="151">
        <f>INPUT!FT33</f>
        <v>0</v>
      </c>
      <c r="DH244" s="687" t="str">
        <f>INPUT!FU33</f>
        <v>NA</v>
      </c>
      <c r="DI244" s="151">
        <f>INPUT!FV33</f>
        <v>0</v>
      </c>
      <c r="DJ244" s="687" t="str">
        <f>INPUT!FW33</f>
        <v>NA</v>
      </c>
      <c r="DK244" s="151">
        <f>INPUT!FX33</f>
        <v>0</v>
      </c>
      <c r="DL244" s="687" t="str">
        <f>INPUT!FY33</f>
        <v>NA</v>
      </c>
      <c r="DM244" s="151">
        <f>INPUT!FZ33</f>
        <v>0</v>
      </c>
      <c r="DN244" s="687" t="str">
        <f>INPUT!GA33</f>
        <v>NA</v>
      </c>
      <c r="DO244" s="151">
        <f>INPUT!GB33</f>
        <v>0</v>
      </c>
      <c r="DP244" s="687" t="str">
        <f>INPUT!GC33</f>
        <v>NA</v>
      </c>
      <c r="DQ244" s="151">
        <f>INPUT!GD33</f>
        <v>0</v>
      </c>
      <c r="DR244" s="687" t="str">
        <f>INPUT!GE33</f>
        <v>NA</v>
      </c>
      <c r="DS244" s="151">
        <f>INPUT!GF33</f>
        <v>0</v>
      </c>
      <c r="DT244" s="687" t="str">
        <f>INPUT!GG33</f>
        <v>NA</v>
      </c>
      <c r="DU244" s="151">
        <f>INPUT!GH33</f>
        <v>0</v>
      </c>
      <c r="DV244" s="687" t="str">
        <f>INPUT!GI33</f>
        <v>NA</v>
      </c>
      <c r="DW244" s="151">
        <f>INPUT!GJ33</f>
        <v>0</v>
      </c>
      <c r="DX244" s="687" t="str">
        <f>INPUT!GK33</f>
        <v>NA</v>
      </c>
      <c r="DY244" s="151">
        <f>INPUT!GL33</f>
        <v>0</v>
      </c>
      <c r="DZ244" s="687" t="str">
        <f>INPUT!GM33</f>
        <v>NA</v>
      </c>
      <c r="EA244" s="151">
        <f>INPUT!GN33</f>
        <v>0</v>
      </c>
      <c r="EB244" s="687" t="str">
        <f>INPUT!GO33</f>
        <v>NA</v>
      </c>
      <c r="EC244" s="151">
        <f>INPUT!GP33</f>
        <v>0</v>
      </c>
      <c r="ED244" s="687" t="str">
        <f>INPUT!GQ33</f>
        <v>NA</v>
      </c>
      <c r="EE244" s="151">
        <f>INPUT!GR33</f>
        <v>0</v>
      </c>
      <c r="EF244" s="687" t="str">
        <f>INPUT!GS33</f>
        <v>NA</v>
      </c>
      <c r="EG244" s="151">
        <f>INPUT!GT33</f>
        <v>0</v>
      </c>
      <c r="EH244" s="687" t="str">
        <f>INPUT!GU33</f>
        <v>NA</v>
      </c>
      <c r="EI244" s="151">
        <f>INPUT!GV33</f>
        <v>0</v>
      </c>
      <c r="EJ244" s="687" t="str">
        <f>INPUT!GW33</f>
        <v>NA</v>
      </c>
      <c r="EK244" s="151">
        <f>INPUT!GX33</f>
        <v>0</v>
      </c>
      <c r="EL244" s="687" t="str">
        <f>INPUT!GY33</f>
        <v>NA</v>
      </c>
      <c r="EM244" s="687" t="str">
        <f>INPUT!GZ33</f>
        <v/>
      </c>
    </row>
    <row r="245" spans="1:143" ht="12.75" hidden="1" customHeight="1" outlineLevel="1" x14ac:dyDescent="0.2">
      <c r="A245" s="701" t="str">
        <f>INPUT!B34</f>
        <v>Gross AUM, EOP</v>
      </c>
      <c r="B245" s="151"/>
      <c r="C245" s="687"/>
      <c r="D245" s="151"/>
      <c r="E245" s="687"/>
      <c r="F245" s="151"/>
      <c r="G245" s="687"/>
      <c r="H245" s="151"/>
      <c r="I245" s="687"/>
      <c r="J245" s="151">
        <f>INPUT!BG34</f>
        <v>53776</v>
      </c>
      <c r="K245" s="687" t="str">
        <f>INPUT!BH34</f>
        <v>NA</v>
      </c>
      <c r="L245" s="151">
        <f>INPUT!BI34</f>
        <v>58629</v>
      </c>
      <c r="M245" s="687" t="str">
        <f>INPUT!BJ34</f>
        <v>NA</v>
      </c>
      <c r="N245" s="151">
        <f>INPUT!BK34</f>
        <v>61764</v>
      </c>
      <c r="O245" s="687" t="str">
        <f>INPUT!BL34</f>
        <v>NA</v>
      </c>
      <c r="P245" s="151">
        <f>INPUT!BM34</f>
        <v>62112</v>
      </c>
      <c r="Q245" s="687" t="str">
        <f>INPUT!BN34</f>
        <v>NA</v>
      </c>
      <c r="R245" s="151">
        <f>INPUT!BO34</f>
        <v>58435</v>
      </c>
      <c r="S245" s="687">
        <f>INPUT!BP34</f>
        <v>8.663716155905977</v>
      </c>
      <c r="T245" s="151">
        <f>INPUT!BQ34</f>
        <v>59333</v>
      </c>
      <c r="U245" s="687">
        <f>INPUT!BR34</f>
        <v>1.2007709495301055</v>
      </c>
      <c r="V245" s="151">
        <f>INPUT!BS34</f>
        <v>53530</v>
      </c>
      <c r="W245" s="687">
        <f>INPUT!BT34</f>
        <v>-13.331390453986137</v>
      </c>
      <c r="X245" s="151">
        <f>INPUT!BU34</f>
        <v>44542</v>
      </c>
      <c r="Y245" s="687">
        <f>INPUT!BV34</f>
        <v>-28.287609479649667</v>
      </c>
      <c r="Z245" s="151">
        <f>INPUT!BW34</f>
        <v>43000</v>
      </c>
      <c r="AA245" s="687">
        <f>INPUT!BX34</f>
        <v>-26.413964233764009</v>
      </c>
      <c r="AB245" s="151">
        <f>INPUT!BY34</f>
        <v>49422</v>
      </c>
      <c r="AC245" s="687">
        <f>INPUT!BZ34</f>
        <v>-16.704026427114758</v>
      </c>
      <c r="AD245" s="151">
        <f>INPUT!CA34</f>
        <v>56419</v>
      </c>
      <c r="AE245" s="687">
        <f>INPUT!CB34</f>
        <v>5.3969736596301221</v>
      </c>
      <c r="AF245" s="151">
        <f>INPUT!CC34</f>
        <v>59367</v>
      </c>
      <c r="AG245" s="687">
        <f>INPUT!CD34</f>
        <v>33.283193390507826</v>
      </c>
      <c r="AH245" s="151">
        <f>INPUT!CE34</f>
        <v>61711</v>
      </c>
      <c r="AI245" s="687">
        <f>INPUT!CF34</f>
        <v>43.513953488372103</v>
      </c>
      <c r="AJ245" s="151">
        <f>INPUT!CG34</f>
        <v>57817</v>
      </c>
      <c r="AK245" s="687">
        <f>INPUT!CH34</f>
        <v>16.98636234875157</v>
      </c>
      <c r="AL245" s="151">
        <f>INPUT!CI34</f>
        <v>63903</v>
      </c>
      <c r="AM245" s="687">
        <f>INPUT!CJ34</f>
        <v>13.265034828692457</v>
      </c>
      <c r="AN245" s="151">
        <f>INPUT!CK34</f>
        <v>68390</v>
      </c>
      <c r="AO245" s="687">
        <f>INPUT!CL34</f>
        <v>15.198679401014026</v>
      </c>
      <c r="AP245" s="151">
        <f>INPUT!CM34</f>
        <v>71091</v>
      </c>
      <c r="AQ245" s="687">
        <f>INPUT!CN34</f>
        <v>15.199883327121588</v>
      </c>
      <c r="AR245" s="151">
        <f>INPUT!CO34</f>
        <v>71837</v>
      </c>
      <c r="AS245" s="687">
        <f>INPUT!CP34</f>
        <v>24.248923327049134</v>
      </c>
      <c r="AT245" s="151">
        <f>INPUT!CQ34</f>
        <v>64140</v>
      </c>
      <c r="AU245" s="687">
        <f>INPUT!CR34</f>
        <v>0.37087460682596607</v>
      </c>
      <c r="AV245" s="151">
        <f>INPUT!CS34</f>
        <v>68330</v>
      </c>
      <c r="AW245" s="687">
        <f>INPUT!CT34</f>
        <v>-8.7732124579620319E-2</v>
      </c>
      <c r="AX245" s="151">
        <f>INPUT!CU34</f>
        <v>74366</v>
      </c>
      <c r="AY245" s="687">
        <f>INPUT!CV34</f>
        <v>4.6067716025938621</v>
      </c>
      <c r="AZ245" s="151">
        <f>INPUT!CW34</f>
        <v>72976</v>
      </c>
      <c r="BA245" s="687">
        <f>INPUT!CX34</f>
        <v>1.5855339170622429</v>
      </c>
      <c r="BB245" s="151">
        <f>INPUT!CY34</f>
        <v>76696</v>
      </c>
      <c r="BC245" s="687">
        <f>INPUT!CZ34</f>
        <v>19.575927658247583</v>
      </c>
      <c r="BD245" s="151">
        <f>INPUT!DA34</f>
        <v>78906</v>
      </c>
      <c r="BE245" s="687">
        <f>INPUT!DB34</f>
        <v>15.477828186740815</v>
      </c>
      <c r="BF245" s="151">
        <f>INPUT!DC34</f>
        <v>83687</v>
      </c>
      <c r="BG245" s="687">
        <f>INPUT!DD34</f>
        <v>12.533953688513577</v>
      </c>
      <c r="BH245" s="151">
        <f>INPUT!DE34</f>
        <v>85395</v>
      </c>
      <c r="BI245" s="687">
        <f>INPUT!DF34</f>
        <v>17.017923700942774</v>
      </c>
      <c r="BJ245" s="151">
        <f>INPUT!DG34</f>
        <v>91021</v>
      </c>
      <c r="BK245" s="687">
        <f>INPUT!DH34</f>
        <v>18.677636382601449</v>
      </c>
      <c r="BL245" s="151">
        <f>INPUT!DI34</f>
        <v>97298</v>
      </c>
      <c r="BM245" s="687">
        <f>INPUT!DJ34</f>
        <v>23.308747116822559</v>
      </c>
      <c r="BN245" s="151">
        <f>INPUT!DK34</f>
        <v>98798</v>
      </c>
      <c r="BO245" s="687">
        <f>INPUT!DL34</f>
        <v>18.056567925723233</v>
      </c>
      <c r="BP245" s="151">
        <f>INPUT!DM34</f>
        <v>103043</v>
      </c>
      <c r="BQ245" s="687">
        <f>INPUT!DN34</f>
        <v>20.666315358042041</v>
      </c>
      <c r="BR245" s="151">
        <f>INPUT!DO34</f>
        <v>102238</v>
      </c>
      <c r="BS245" s="687">
        <f>INPUT!DP34</f>
        <v>12.323529734896344</v>
      </c>
      <c r="BT245" s="151">
        <f>INPUT!DQ34</f>
        <v>104073</v>
      </c>
      <c r="BU245" s="687">
        <f>INPUT!DR34</f>
        <v>6.9631441550700002</v>
      </c>
      <c r="BV245" s="151">
        <f>INPUT!DS34</f>
        <v>106279</v>
      </c>
      <c r="BW245" s="687">
        <f>INPUT!DT34</f>
        <v>7.5720156278467066</v>
      </c>
      <c r="BX245" s="151">
        <f>INPUT!DU34</f>
        <v>106600</v>
      </c>
      <c r="BY245" s="687">
        <f>INPUT!DV34</f>
        <v>3.4519569500111702</v>
      </c>
      <c r="BZ245" s="151">
        <f>INPUT!DW34</f>
        <v>100581</v>
      </c>
      <c r="CA245" s="687">
        <f>INPUT!DX34</f>
        <v>-6015.5480430499883</v>
      </c>
      <c r="CB245" s="151">
        <f>INPUT!DY34</f>
        <v>103146</v>
      </c>
      <c r="CC245" s="687">
        <f>INPUT!DZ34</f>
        <v>-0.89072093626588744</v>
      </c>
      <c r="CD245" s="151">
        <f>INPUT!EA34</f>
        <v>102903</v>
      </c>
      <c r="CE245" s="687">
        <f>INPUT!EB34</f>
        <v>-3.1765447548433801</v>
      </c>
      <c r="CF245" s="151">
        <f>INPUT!EC34</f>
        <v>103861</v>
      </c>
      <c r="CG245" s="687">
        <f>INPUT!ED34</f>
        <v>-2.5694183864915621</v>
      </c>
      <c r="CH245" s="151">
        <f>INPUT!EE34</f>
        <v>106473</v>
      </c>
      <c r="CI245" s="687">
        <f>INPUT!EF34</f>
        <v>5.8579652220598355</v>
      </c>
      <c r="CJ245" s="151">
        <f>INPUT!EG34</f>
        <v>105766</v>
      </c>
      <c r="CK245" s="687">
        <f>INPUT!EH34</f>
        <v>2.5400888061582583</v>
      </c>
      <c r="CL245" s="151">
        <f>INPUT!EI34</f>
        <v>109475</v>
      </c>
      <c r="CM245" s="687">
        <f>INPUT!EJ34</f>
        <v>6.386597086576673</v>
      </c>
      <c r="CN245" s="151">
        <f>INPUT!EK34</f>
        <v>111570</v>
      </c>
      <c r="CO245" s="687">
        <f>INPUT!EL34</f>
        <v>7.422420350275849</v>
      </c>
      <c r="CP245" s="151">
        <f>INPUT!EM34</f>
        <v>114270</v>
      </c>
      <c r="CQ245" s="687">
        <f>INPUT!EN34</f>
        <v>7.3229832915387094</v>
      </c>
      <c r="CR245" s="151">
        <f>INPUT!EO34</f>
        <v>117479</v>
      </c>
      <c r="CS245" s="687">
        <f>INPUT!EP34</f>
        <v>11.074447364937701</v>
      </c>
      <c r="CT245" s="151">
        <f>INPUT!EQ34</f>
        <v>116043.91593212567</v>
      </c>
      <c r="CU245" s="687">
        <f>INPUT!ER34</f>
        <v>6.0003799334328978</v>
      </c>
      <c r="CV245" s="151">
        <f>INPUT!ES34</f>
        <v>117057.48240875268</v>
      </c>
      <c r="CW245" s="687">
        <f>INPUT!ET34</f>
        <v>4.9184210887807556</v>
      </c>
      <c r="CX245" s="151">
        <f>INPUT!EU34</f>
        <v>118284.75230909741</v>
      </c>
      <c r="CY245" s="687">
        <f>INPUT!EV34</f>
        <v>3.5133913617724888</v>
      </c>
      <c r="CZ245" s="151">
        <f>INPUT!EW34</f>
        <v>119731.88763517849</v>
      </c>
      <c r="DA245" s="687">
        <f>INPUT!EX34</f>
        <v>1.9176939156602346</v>
      </c>
      <c r="DB245" s="16"/>
      <c r="DC245" s="151"/>
      <c r="DD245" s="687"/>
      <c r="DE245" s="151"/>
      <c r="DF245" s="687"/>
      <c r="DG245" s="151">
        <f>INPUT!FT34</f>
        <v>62112</v>
      </c>
      <c r="DH245" s="687" t="str">
        <f>INPUT!FU34</f>
        <v>NA</v>
      </c>
      <c r="DI245" s="151">
        <f>INPUT!FV34</f>
        <v>44542</v>
      </c>
      <c r="DJ245" s="687">
        <f>INPUT!FW34</f>
        <v>-28.287609479649667</v>
      </c>
      <c r="DK245" s="151">
        <f>INPUT!FX34</f>
        <v>59367</v>
      </c>
      <c r="DL245" s="687">
        <f>INPUT!FY34</f>
        <v>33.283193390507826</v>
      </c>
      <c r="DM245" s="151">
        <f>INPUT!FZ34</f>
        <v>68390</v>
      </c>
      <c r="DN245" s="687">
        <f>INPUT!GA34</f>
        <v>15.198679401014026</v>
      </c>
      <c r="DO245" s="151">
        <f>INPUT!GB34</f>
        <v>68330</v>
      </c>
      <c r="DP245" s="687">
        <f>INPUT!GC34</f>
        <v>-8.7732124579620319E-2</v>
      </c>
      <c r="DQ245" s="151">
        <f>INPUT!GD34</f>
        <v>78906</v>
      </c>
      <c r="DR245" s="687">
        <f>INPUT!GE34</f>
        <v>15.477828186740815</v>
      </c>
      <c r="DS245" s="151">
        <f>INPUT!GF34</f>
        <v>97298</v>
      </c>
      <c r="DT245" s="687">
        <f>INPUT!GG34</f>
        <v>23.308747116822559</v>
      </c>
      <c r="DU245" s="151">
        <f>INPUT!GH34</f>
        <v>104073</v>
      </c>
      <c r="DV245" s="687">
        <f>INPUT!GI34</f>
        <v>6.9631441550700002</v>
      </c>
      <c r="DW245" s="151">
        <f>INPUT!GJ34</f>
        <v>103146</v>
      </c>
      <c r="DX245" s="687">
        <f>INPUT!GK34</f>
        <v>-0.89072093626588744</v>
      </c>
      <c r="DY245" s="151">
        <f>INPUT!GL34</f>
        <v>105766</v>
      </c>
      <c r="DZ245" s="687">
        <f>INPUT!GM34</f>
        <v>2.5400888061582583</v>
      </c>
      <c r="EA245" s="151">
        <f>INPUT!GN34</f>
        <v>117479</v>
      </c>
      <c r="EB245" s="687">
        <f>INPUT!GO34</f>
        <v>11.074447364937701</v>
      </c>
      <c r="EC245" s="151">
        <f>INPUT!GP34</f>
        <v>119731.88763517847</v>
      </c>
      <c r="ED245" s="687">
        <f>INPUT!GQ34</f>
        <v>1.9176939156602124</v>
      </c>
      <c r="EE245" s="151">
        <f>INPUT!GR34</f>
        <v>126358.44213139922</v>
      </c>
      <c r="EF245" s="687">
        <f>INPUT!GS34</f>
        <v>5.5344942998073909</v>
      </c>
      <c r="EG245" s="151">
        <f>INPUT!GT34</f>
        <v>133983.53511914393</v>
      </c>
      <c r="EH245" s="687">
        <f>INPUT!GU34</f>
        <v>6.0344942998073803</v>
      </c>
      <c r="EI245" s="151">
        <f>INPUT!GV34</f>
        <v>142738.68158418484</v>
      </c>
      <c r="EJ245" s="687">
        <f>INPUT!GW34</f>
        <v>6.534494299807414</v>
      </c>
      <c r="EK245" s="151">
        <f>INPUT!GX34</f>
        <v>152779.62600384455</v>
      </c>
      <c r="EL245" s="687">
        <f>INPUT!GY34</f>
        <v>7.0344942998073812</v>
      </c>
      <c r="EM245" s="687">
        <f>INPUT!GZ34</f>
        <v>5.3952504745742758</v>
      </c>
    </row>
    <row r="246" spans="1:143" ht="12.75" hidden="1" customHeight="1" outlineLevel="1" x14ac:dyDescent="0.2">
      <c r="A246" s="701"/>
      <c r="B246" s="16"/>
      <c r="C246" s="687"/>
      <c r="D246" s="16"/>
      <c r="E246" s="687"/>
      <c r="F246" s="16"/>
      <c r="G246" s="687"/>
      <c r="H246" s="16"/>
      <c r="I246" s="687"/>
      <c r="J246" s="16"/>
      <c r="K246" s="687"/>
      <c r="L246" s="16"/>
      <c r="M246" s="687"/>
      <c r="N246" s="16"/>
      <c r="O246" s="687"/>
      <c r="P246" s="16"/>
      <c r="Q246" s="687"/>
      <c r="R246" s="16"/>
      <c r="S246" s="687"/>
      <c r="T246" s="16"/>
      <c r="U246" s="687"/>
      <c r="V246" s="16"/>
      <c r="W246" s="687"/>
      <c r="X246" s="16"/>
      <c r="Y246" s="687"/>
      <c r="Z246" s="16"/>
      <c r="AA246" s="687"/>
      <c r="AB246" s="16"/>
      <c r="AC246" s="687"/>
      <c r="AD246" s="16"/>
      <c r="AE246" s="687"/>
      <c r="AF246" s="16"/>
      <c r="AG246" s="687"/>
      <c r="AH246" s="16"/>
      <c r="AI246" s="687"/>
      <c r="AJ246" s="16"/>
      <c r="AK246" s="687"/>
      <c r="AL246" s="16"/>
      <c r="AM246" s="687"/>
      <c r="AN246" s="16"/>
      <c r="AO246" s="687"/>
      <c r="AP246" s="16"/>
      <c r="AQ246" s="687"/>
      <c r="AR246" s="16"/>
      <c r="AS246" s="687"/>
      <c r="AT246" s="16"/>
      <c r="AU246" s="687"/>
      <c r="AV246" s="16"/>
      <c r="AW246" s="687"/>
      <c r="AX246" s="16"/>
      <c r="AY246" s="687"/>
      <c r="AZ246" s="16"/>
      <c r="BA246" s="687"/>
      <c r="BB246" s="16"/>
      <c r="BC246" s="687"/>
      <c r="BD246" s="16"/>
      <c r="BE246" s="687"/>
      <c r="BF246" s="16"/>
      <c r="BG246" s="687"/>
      <c r="BH246" s="16"/>
      <c r="BI246" s="687"/>
      <c r="BJ246" s="16"/>
      <c r="BK246" s="687"/>
      <c r="BL246" s="16"/>
      <c r="BM246" s="687"/>
      <c r="BN246" s="16"/>
      <c r="BO246" s="687"/>
      <c r="BP246" s="16"/>
      <c r="BQ246" s="687"/>
      <c r="BR246" s="16"/>
      <c r="BS246" s="687"/>
      <c r="BT246" s="16"/>
      <c r="BU246" s="687"/>
      <c r="BV246" s="16"/>
      <c r="BW246" s="687"/>
      <c r="BX246" s="16"/>
      <c r="BY246" s="687"/>
      <c r="BZ246" s="16"/>
      <c r="CA246" s="687"/>
      <c r="CB246" s="16"/>
      <c r="CC246" s="687"/>
      <c r="CD246" s="16"/>
      <c r="CE246" s="687"/>
      <c r="CF246" s="16"/>
      <c r="CG246" s="687"/>
      <c r="CH246" s="16"/>
      <c r="CI246" s="687"/>
      <c r="CJ246" s="16"/>
      <c r="CK246" s="687"/>
      <c r="CL246" s="16"/>
      <c r="CM246" s="687"/>
      <c r="CN246" s="16"/>
      <c r="CO246" s="687"/>
      <c r="CP246" s="16"/>
      <c r="CQ246" s="687"/>
      <c r="CR246" s="16"/>
      <c r="CS246" s="687"/>
      <c r="CT246" s="16"/>
      <c r="CU246" s="687"/>
      <c r="CV246" s="16"/>
      <c r="CW246" s="687"/>
      <c r="CX246" s="16"/>
      <c r="CY246" s="687"/>
      <c r="CZ246" s="16"/>
      <c r="DA246" s="687"/>
      <c r="DB246" s="16"/>
      <c r="DC246" s="16"/>
      <c r="DD246" s="687"/>
      <c r="DE246" s="16"/>
      <c r="DF246" s="687"/>
      <c r="DG246" s="16"/>
      <c r="DH246" s="687"/>
      <c r="DI246" s="16"/>
      <c r="DJ246" s="687"/>
      <c r="DK246" s="16"/>
      <c r="DL246" s="687"/>
      <c r="DM246" s="16"/>
      <c r="DN246" s="687"/>
      <c r="DO246" s="16"/>
      <c r="DP246" s="687"/>
      <c r="DQ246" s="16"/>
      <c r="DR246" s="687"/>
      <c r="DS246" s="16"/>
      <c r="DT246" s="687"/>
      <c r="DU246" s="16"/>
      <c r="DV246" s="687"/>
      <c r="DW246" s="16"/>
      <c r="DX246" s="687"/>
      <c r="DY246" s="16"/>
      <c r="DZ246" s="687"/>
      <c r="EA246" s="16"/>
      <c r="EB246" s="687"/>
      <c r="EC246" s="16"/>
      <c r="ED246" s="687"/>
      <c r="EE246" s="16"/>
      <c r="EF246" s="687"/>
      <c r="EG246" s="16"/>
      <c r="EH246" s="687"/>
      <c r="EI246" s="16"/>
      <c r="EJ246" s="687"/>
      <c r="EK246" s="16"/>
      <c r="EL246" s="687"/>
      <c r="EM246" s="687"/>
    </row>
    <row r="247" spans="1:143" ht="12.75" hidden="1" customHeight="1" outlineLevel="1" x14ac:dyDescent="0.2">
      <c r="A247" s="718" t="str">
        <f>INPUT!B39</f>
        <v>Net Fund Flows</v>
      </c>
      <c r="B247" s="151"/>
      <c r="C247" s="687"/>
      <c r="D247" s="151"/>
      <c r="E247" s="687"/>
      <c r="F247" s="151"/>
      <c r="G247" s="687"/>
      <c r="H247" s="151"/>
      <c r="I247" s="687"/>
      <c r="J247" s="151">
        <f>INPUT!BG39</f>
        <v>1205</v>
      </c>
      <c r="K247" s="687" t="str">
        <f>INPUT!BH39</f>
        <v>NA</v>
      </c>
      <c r="L247" s="151">
        <f>INPUT!BI39</f>
        <v>1555</v>
      </c>
      <c r="M247" s="687" t="str">
        <f>INPUT!BJ39</f>
        <v>NA</v>
      </c>
      <c r="N247" s="151">
        <f>INPUT!BK39</f>
        <v>1516</v>
      </c>
      <c r="O247" s="687" t="str">
        <f>INPUT!BL39</f>
        <v>NA</v>
      </c>
      <c r="P247" s="151">
        <f>INPUT!BM39</f>
        <v>1920</v>
      </c>
      <c r="Q247" s="687" t="str">
        <f>INPUT!BN39</f>
        <v>NA</v>
      </c>
      <c r="R247" s="151">
        <f>INPUT!BO39</f>
        <v>1338</v>
      </c>
      <c r="S247" s="687">
        <f>INPUT!BP39</f>
        <v>11.037344398340254</v>
      </c>
      <c r="T247" s="151">
        <f>INPUT!BQ39</f>
        <v>1605</v>
      </c>
      <c r="U247" s="687">
        <f>INPUT!BR39</f>
        <v>3.2154340836012762</v>
      </c>
      <c r="V247" s="151">
        <f>INPUT!BS39</f>
        <v>1228</v>
      </c>
      <c r="W247" s="687">
        <f>INPUT!BT39</f>
        <v>-18.997361477572561</v>
      </c>
      <c r="X247" s="151">
        <f>INPUT!BU39</f>
        <v>590</v>
      </c>
      <c r="Y247" s="687" t="str">
        <f>INPUT!BV39</f>
        <v>NM</v>
      </c>
      <c r="Z247" s="151">
        <f>INPUT!BW39</f>
        <v>438</v>
      </c>
      <c r="AA247" s="687" t="str">
        <f>INPUT!BX39</f>
        <v>NM</v>
      </c>
      <c r="AB247" s="151">
        <f>INPUT!BY39</f>
        <v>651</v>
      </c>
      <c r="AC247" s="687" t="str">
        <f>INPUT!BZ39</f>
        <v>NM</v>
      </c>
      <c r="AD247" s="151">
        <f>INPUT!CA39</f>
        <v>747</v>
      </c>
      <c r="AE247" s="687">
        <f>INPUT!CB39</f>
        <v>-39.169381107491851</v>
      </c>
      <c r="AF247" s="151">
        <f>INPUT!CC39</f>
        <v>838</v>
      </c>
      <c r="AG247" s="687">
        <f>INPUT!CD39</f>
        <v>42.033898305084747</v>
      </c>
      <c r="AH247" s="151">
        <f>INPUT!CE39</f>
        <v>552</v>
      </c>
      <c r="AI247" s="687">
        <f>INPUT!CF39</f>
        <v>26.027397260273965</v>
      </c>
      <c r="AJ247" s="151">
        <f>INPUT!CG39</f>
        <v>870</v>
      </c>
      <c r="AK247" s="687">
        <f>INPUT!CH39</f>
        <v>33.640552995391701</v>
      </c>
      <c r="AL247" s="151">
        <f>INPUT!CI39</f>
        <v>713</v>
      </c>
      <c r="AM247" s="687">
        <f>INPUT!CJ39</f>
        <v>-4.551539491298529</v>
      </c>
      <c r="AN247" s="151">
        <f>INPUT!CK39</f>
        <v>650</v>
      </c>
      <c r="AO247" s="687">
        <f>INPUT!CL39</f>
        <v>-22.434367541766107</v>
      </c>
      <c r="AP247" s="151">
        <f>INPUT!CM39</f>
        <v>452</v>
      </c>
      <c r="AQ247" s="687">
        <f>INPUT!CN39</f>
        <v>-18.115942028985511</v>
      </c>
      <c r="AR247" s="151">
        <f>INPUT!CO39</f>
        <v>566</v>
      </c>
      <c r="AS247" s="687">
        <f>INPUT!CP39</f>
        <v>-34.94252873563218</v>
      </c>
      <c r="AT247" s="151">
        <f>INPUT!CQ39</f>
        <v>617</v>
      </c>
      <c r="AU247" s="687">
        <f>INPUT!CR39</f>
        <v>-13.464235624123422</v>
      </c>
      <c r="AV247" s="151">
        <f>INPUT!CS39</f>
        <v>473</v>
      </c>
      <c r="AW247" s="687">
        <f>INPUT!CT39</f>
        <v>-27.230769230769237</v>
      </c>
      <c r="AX247" s="151">
        <f>INPUT!CU39</f>
        <v>463</v>
      </c>
      <c r="AY247" s="687">
        <f>INPUT!CV39</f>
        <v>2.433628318584069</v>
      </c>
      <c r="AZ247" s="151">
        <f>INPUT!CW39</f>
        <v>733</v>
      </c>
      <c r="BA247" s="687">
        <f>INPUT!CX39</f>
        <v>29.505300353356901</v>
      </c>
      <c r="BB247" s="151">
        <f>INPUT!CY39</f>
        <v>506</v>
      </c>
      <c r="BC247" s="687">
        <f>INPUT!CZ39</f>
        <v>-17.990275526742305</v>
      </c>
      <c r="BD247" s="151">
        <f>INPUT!DA39</f>
        <v>1111</v>
      </c>
      <c r="BE247" s="687" t="str">
        <f>INPUT!DB39</f>
        <v>NM</v>
      </c>
      <c r="BF247" s="151">
        <f>INPUT!DC39</f>
        <v>1040</v>
      </c>
      <c r="BG247" s="687" t="str">
        <f>INPUT!DD39</f>
        <v>NM</v>
      </c>
      <c r="BH247" s="151">
        <f>INPUT!DE39</f>
        <v>1901</v>
      </c>
      <c r="BI247" s="687" t="str">
        <f>INPUT!DF39</f>
        <v>NM</v>
      </c>
      <c r="BJ247" s="151">
        <f>INPUT!DG39</f>
        <v>1464</v>
      </c>
      <c r="BK247" s="687" t="str">
        <f>INPUT!DH39</f>
        <v>NM</v>
      </c>
      <c r="BL247" s="151">
        <f>INPUT!DI39</f>
        <v>1351</v>
      </c>
      <c r="BM247" s="687">
        <f>INPUT!DJ39</f>
        <v>21.602160216021595</v>
      </c>
      <c r="BN247" s="151">
        <f>INPUT!DK39</f>
        <v>687</v>
      </c>
      <c r="BO247" s="687">
        <f>INPUT!DL39</f>
        <v>-33.942307692307693</v>
      </c>
      <c r="BP247" s="151">
        <f>INPUT!DM39</f>
        <v>898</v>
      </c>
      <c r="BQ247" s="687" t="str">
        <f>INPUT!DN39</f>
        <v>NM</v>
      </c>
      <c r="BR247" s="151">
        <f>INPUT!DO39</f>
        <v>813</v>
      </c>
      <c r="BS247" s="687">
        <f>INPUT!DP39</f>
        <v>-44.467213114754102</v>
      </c>
      <c r="BT247" s="151">
        <f>INPUT!DQ39</f>
        <v>830</v>
      </c>
      <c r="BU247" s="687">
        <f>INPUT!DR39</f>
        <v>-38.564026646928205</v>
      </c>
      <c r="BV247" s="151">
        <f>INPUT!DS39</f>
        <v>357</v>
      </c>
      <c r="BW247" s="687">
        <f>INPUT!DT39</f>
        <v>-48.034934497816593</v>
      </c>
      <c r="BX247" s="151">
        <f>INPUT!DU39</f>
        <v>575</v>
      </c>
      <c r="BY247" s="687">
        <f>INPUT!DV39</f>
        <v>-35.968819599109139</v>
      </c>
      <c r="BZ247" s="151">
        <f>INPUT!DW39</f>
        <v>495</v>
      </c>
      <c r="CA247" s="687">
        <f>INPUT!DX39</f>
        <v>495</v>
      </c>
      <c r="CB247" s="151">
        <f>INPUT!DY39</f>
        <v>231</v>
      </c>
      <c r="CC247" s="687" t="str">
        <f>INPUT!DZ39</f>
        <v>NM</v>
      </c>
      <c r="CD247" s="151">
        <f>INPUT!EA39</f>
        <v>-291</v>
      </c>
      <c r="CE247" s="687" t="str">
        <f>INPUT!EB39</f>
        <v>NM</v>
      </c>
      <c r="CF247" s="151">
        <f>INPUT!EC39</f>
        <v>-455</v>
      </c>
      <c r="CG247" s="687" t="str">
        <f>INPUT!ED39</f>
        <v>NM</v>
      </c>
      <c r="CH247" s="151">
        <f>INPUT!EE39</f>
        <v>-739</v>
      </c>
      <c r="CI247" s="687" t="str">
        <f>INPUT!EF39</f>
        <v>NM</v>
      </c>
      <c r="CJ247" s="151">
        <f>INPUT!EG39</f>
        <v>-874</v>
      </c>
      <c r="CK247" s="687" t="str">
        <f>INPUT!EH39</f>
        <v>NM</v>
      </c>
      <c r="CL247" s="151">
        <f>INPUT!EI39</f>
        <v>-1026</v>
      </c>
      <c r="CM247" s="687" t="str">
        <f>INPUT!EJ39</f>
        <v>NM</v>
      </c>
      <c r="CN247" s="151">
        <f>INPUT!EK39</f>
        <v>-898</v>
      </c>
      <c r="CO247" s="687">
        <f>INPUT!EL39</f>
        <v>97.362637362637372</v>
      </c>
      <c r="CP247" s="151">
        <f>INPUT!EM39</f>
        <v>-834</v>
      </c>
      <c r="CQ247" s="687">
        <f>INPUT!EN39</f>
        <v>12.855209742895802</v>
      </c>
      <c r="CR247" s="151">
        <f>INPUT!EO39</f>
        <v>-488</v>
      </c>
      <c r="CS247" s="687">
        <f>INPUT!EP39</f>
        <v>-44.164759725400458</v>
      </c>
      <c r="CT247" s="151">
        <f>INPUT!EQ39</f>
        <v>-589.23526787433275</v>
      </c>
      <c r="CU247" s="687">
        <f>INPUT!ER39</f>
        <v>-42.56966200055237</v>
      </c>
      <c r="CV247" s="151">
        <f>INPUT!ES39</f>
        <v>-378.96051455851557</v>
      </c>
      <c r="CW247" s="687" t="str">
        <f>INPUT!ET39</f>
        <v>NM</v>
      </c>
      <c r="CX247" s="151">
        <f>INPUT!EU39</f>
        <v>-177.41988856028729</v>
      </c>
      <c r="CY247" s="687" t="str">
        <f>INPUT!EV39</f>
        <v>NM</v>
      </c>
      <c r="CZ247" s="151">
        <f>INPUT!EW39</f>
        <v>27.718298371898072</v>
      </c>
      <c r="DA247" s="687" t="str">
        <f>INPUT!EX39</f>
        <v>NM</v>
      </c>
      <c r="DB247" s="16"/>
      <c r="DC247" s="151"/>
      <c r="DD247" s="687"/>
      <c r="DE247" s="151"/>
      <c r="DF247" s="687"/>
      <c r="DG247" s="151">
        <f>INPUT!FT39</f>
        <v>6196</v>
      </c>
      <c r="DH247" s="687" t="str">
        <f>INPUT!FU39</f>
        <v>NA</v>
      </c>
      <c r="DI247" s="151">
        <f>INPUT!FV39</f>
        <v>4761</v>
      </c>
      <c r="DJ247" s="687">
        <f>INPUT!FW39</f>
        <v>-23.160103292446742</v>
      </c>
      <c r="DK247" s="151">
        <f>INPUT!FX39</f>
        <v>2674</v>
      </c>
      <c r="DL247" s="687">
        <f>INPUT!FY39</f>
        <v>-43.835328712455365</v>
      </c>
      <c r="DM247" s="151">
        <f>INPUT!FZ39</f>
        <v>2785</v>
      </c>
      <c r="DN247" s="687">
        <f>INPUT!GA39</f>
        <v>4.1510845175766642</v>
      </c>
      <c r="DO247" s="151">
        <f>INPUT!GB39</f>
        <v>2108</v>
      </c>
      <c r="DP247" s="687">
        <f>INPUT!GC39</f>
        <v>-24.308797127468583</v>
      </c>
      <c r="DQ247" s="151">
        <f>INPUT!GD39</f>
        <v>2813</v>
      </c>
      <c r="DR247" s="687">
        <f>INPUT!GE39</f>
        <v>33.444022770398483</v>
      </c>
      <c r="DS247" s="151">
        <f>INPUT!GF39</f>
        <v>5756</v>
      </c>
      <c r="DT247" s="687" t="str">
        <f>INPUT!GG39</f>
        <v>NM</v>
      </c>
      <c r="DU247" s="151">
        <f>INPUT!GH39</f>
        <v>3228</v>
      </c>
      <c r="DV247" s="687">
        <f>INPUT!GI39</f>
        <v>-43.919388464211259</v>
      </c>
      <c r="DW247" s="151">
        <f>INPUT!GJ39</f>
        <v>1658</v>
      </c>
      <c r="DX247" s="687">
        <f>INPUT!GK39</f>
        <v>-48.636926889714992</v>
      </c>
      <c r="DY247" s="151">
        <f>INPUT!GL39</f>
        <v>-2359</v>
      </c>
      <c r="DZ247" s="687" t="str">
        <f>INPUT!GM39</f>
        <v>NM</v>
      </c>
      <c r="EA247" s="151">
        <f>INPUT!GN39</f>
        <v>-3246</v>
      </c>
      <c r="EB247" s="687">
        <f>INPUT!GO39</f>
        <v>37.600678253497243</v>
      </c>
      <c r="EC247" s="151">
        <f>INPUT!GP39</f>
        <v>-1117.8973726212353</v>
      </c>
      <c r="ED247" s="687" t="str">
        <f>INPUT!GQ39</f>
        <v>NM</v>
      </c>
      <c r="EE247" s="151">
        <f>INPUT!GR39</f>
        <v>879.42388973218476</v>
      </c>
      <c r="EF247" s="687" t="str">
        <f>INPUT!GS39</f>
        <v>NM</v>
      </c>
      <c r="EG247" s="151">
        <f>INPUT!GT39</f>
        <v>1559.8877654375538</v>
      </c>
      <c r="EH247" s="687">
        <f>INPUT!GU39</f>
        <v>77.376096288741252</v>
      </c>
      <c r="EI247" s="151">
        <f>INPUT!GV39</f>
        <v>2323.9367793219935</v>
      </c>
      <c r="EJ247" s="687">
        <f>INPUT!GW39</f>
        <v>48.981024841240519</v>
      </c>
      <c r="EK247" s="151">
        <f>INPUT!GX39</f>
        <v>3189.4877036188427</v>
      </c>
      <c r="EL247" s="687">
        <f>INPUT!GY39</f>
        <v>37.245028866463947</v>
      </c>
      <c r="EM247" s="687" t="str">
        <f>INPUT!GZ39</f>
        <v>NM</v>
      </c>
    </row>
    <row r="248" spans="1:143" ht="12.75" hidden="1" customHeight="1" outlineLevel="1" x14ac:dyDescent="0.2">
      <c r="A248" s="718" t="str">
        <f>INPUT!B44</f>
        <v>Inv Perf/BOP AUM (%)</v>
      </c>
      <c r="B248" s="464"/>
      <c r="C248" s="687"/>
      <c r="D248" s="464"/>
      <c r="E248" s="687"/>
      <c r="F248" s="464"/>
      <c r="G248" s="687"/>
      <c r="H248" s="464"/>
      <c r="I248" s="687"/>
      <c r="J248" s="464">
        <f>INPUT!BG44</f>
        <v>6.0947819705689232</v>
      </c>
      <c r="K248" s="687">
        <f>INPUT!BH44</f>
        <v>0</v>
      </c>
      <c r="L248" s="464">
        <f>INPUT!BI44</f>
        <v>24.531389467420411</v>
      </c>
      <c r="M248" s="687">
        <f>INPUT!BJ44</f>
        <v>0</v>
      </c>
      <c r="N248" s="464">
        <f>INPUT!BK44</f>
        <v>11.045728223234235</v>
      </c>
      <c r="O248" s="687">
        <f>INPUT!BL44</f>
        <v>0</v>
      </c>
      <c r="P248" s="464">
        <f>INPUT!BM44</f>
        <v>-10.180687779288906</v>
      </c>
      <c r="Q248" s="687">
        <f>INPUT!BN44</f>
        <v>0</v>
      </c>
      <c r="R248" s="464">
        <f>INPUT!BO44</f>
        <v>-32.296496651210717</v>
      </c>
      <c r="S248" s="687">
        <f>INPUT!BP44</f>
        <v>0</v>
      </c>
      <c r="T248" s="464">
        <f>INPUT!BQ44</f>
        <v>-4.8395653289980318</v>
      </c>
      <c r="U248" s="687">
        <f>INPUT!BR44</f>
        <v>0</v>
      </c>
      <c r="V248" s="464">
        <f>INPUT!BS44</f>
        <v>-47.400266293630864</v>
      </c>
      <c r="W248" s="687">
        <f>INPUT!BT44</f>
        <v>0</v>
      </c>
      <c r="X248" s="464">
        <f>INPUT!BU44</f>
        <v>-71.571081636465536</v>
      </c>
      <c r="Y248" s="687">
        <f>INPUT!BV44</f>
        <v>0</v>
      </c>
      <c r="Z248" s="464">
        <f>INPUT!BW44</f>
        <v>-17.780970769161691</v>
      </c>
      <c r="AA248" s="687">
        <f>INPUT!BX44</f>
        <v>0</v>
      </c>
      <c r="AB248" s="464">
        <f>INPUT!BY44</f>
        <v>53.68372093023256</v>
      </c>
      <c r="AC248" s="687">
        <f>INPUT!BZ44</f>
        <v>0</v>
      </c>
      <c r="AD248" s="464">
        <f>INPUT!CA44</f>
        <v>50.584759823560354</v>
      </c>
      <c r="AE248" s="687">
        <f>INPUT!CB44</f>
        <v>0</v>
      </c>
      <c r="AF248" s="464">
        <f>INPUT!CC44</f>
        <v>14.959499459401975</v>
      </c>
      <c r="AG248" s="687">
        <f>INPUT!CD44</f>
        <v>0</v>
      </c>
      <c r="AH248" s="156">
        <f>INPUT!CE44</f>
        <v>12.07404787171324</v>
      </c>
      <c r="AI248" s="687">
        <f>INPUT!CF44</f>
        <v>0</v>
      </c>
      <c r="AJ248" s="156">
        <f>INPUT!CG44</f>
        <v>-30.879421821069176</v>
      </c>
      <c r="AK248" s="687">
        <f>INPUT!CH44</f>
        <v>0</v>
      </c>
      <c r="AL248" s="156">
        <f>INPUT!CI44</f>
        <v>37.172457927599147</v>
      </c>
      <c r="AM248" s="687">
        <f>INPUT!CJ44</f>
        <v>0</v>
      </c>
      <c r="AN248" s="156">
        <f>INPUT!CK44</f>
        <v>24.017651753438805</v>
      </c>
      <c r="AO248" s="687">
        <f>INPUT!CL44</f>
        <v>0</v>
      </c>
      <c r="AP248" s="156">
        <f>INPUT!CM44</f>
        <v>13.153969878637229</v>
      </c>
      <c r="AQ248" s="687">
        <f>INPUT!CN44</f>
        <v>0</v>
      </c>
      <c r="AR248" s="156">
        <f>INPUT!CO44</f>
        <v>1.012786428661856</v>
      </c>
      <c r="AS248" s="687">
        <f>INPUT!CP44</f>
        <v>0</v>
      </c>
      <c r="AT248" s="156">
        <f>INPUT!CQ44</f>
        <v>-46.293692665339584</v>
      </c>
      <c r="AU248" s="687">
        <f>INPUT!CR44</f>
        <v>0</v>
      </c>
      <c r="AV248" s="156">
        <f>INPUT!CS44</f>
        <v>23.180542563143124</v>
      </c>
      <c r="AW248" s="687">
        <f>INPUT!CT44</f>
        <v>0</v>
      </c>
      <c r="AX248" s="156">
        <f>INPUT!CU44</f>
        <v>32.624030440509294</v>
      </c>
      <c r="AY248" s="687">
        <f>INPUT!CV44</f>
        <v>0</v>
      </c>
      <c r="AZ248" s="156">
        <f>INPUT!CW44</f>
        <v>-11.419196944840385</v>
      </c>
      <c r="BA248" s="687">
        <f>INPUT!CX44</f>
        <v>0</v>
      </c>
      <c r="BB248" s="156">
        <f>INPUT!CY44</f>
        <v>17.616750712563032</v>
      </c>
      <c r="BC248" s="687">
        <f>INPUT!CZ44</f>
        <v>0</v>
      </c>
      <c r="BD248" s="156">
        <f>INPUT!DA44</f>
        <v>5.7317200375508497</v>
      </c>
      <c r="BE248" s="687">
        <f>INPUT!DB44</f>
        <v>0</v>
      </c>
      <c r="BF248" s="156">
        <f>INPUT!DC44</f>
        <v>18.964337312751884</v>
      </c>
      <c r="BG248" s="687">
        <f>INPUT!DD44</f>
        <v>0</v>
      </c>
      <c r="BH248" s="156">
        <f>INPUT!DE44</f>
        <v>-0.92248497377131455</v>
      </c>
      <c r="BI248" s="687">
        <f>INPUT!DF44</f>
        <v>0</v>
      </c>
      <c r="BJ248" s="156">
        <f>INPUT!DG44</f>
        <v>19.495286609286257</v>
      </c>
      <c r="BK248" s="687">
        <f>INPUT!DH44</f>
        <v>0</v>
      </c>
      <c r="BL248" s="156">
        <f>INPUT!DI44</f>
        <v>21.647751617758541</v>
      </c>
      <c r="BM248" s="687">
        <f>INPUT!DJ44</f>
        <v>0</v>
      </c>
      <c r="BN248" s="156">
        <f>INPUT!DK44</f>
        <v>3.3423091944335956</v>
      </c>
      <c r="BO248" s="687">
        <f>INPUT!DL44</f>
        <v>0</v>
      </c>
      <c r="BP248" s="156">
        <f>INPUT!DM44</f>
        <v>13.550881596793458</v>
      </c>
      <c r="BQ248" s="687" t="str">
        <f>INPUT!DN44</f>
        <v>NM</v>
      </c>
      <c r="BR248" s="156">
        <f>INPUT!DO44</f>
        <v>-6.2808730335879197</v>
      </c>
      <c r="BS248" s="687" t="str">
        <f>INPUT!DP44</f>
        <v>NM</v>
      </c>
      <c r="BT248" s="156">
        <f>INPUT!DQ44</f>
        <v>3.9320017997222165</v>
      </c>
      <c r="BU248" s="687" t="str">
        <f>INPUT!DR44</f>
        <v>NM</v>
      </c>
      <c r="BV248" s="156">
        <f>INPUT!DS44</f>
        <v>7.1065502099487867</v>
      </c>
      <c r="BW248" s="687" t="str">
        <f>INPUT!DT44</f>
        <v>NM</v>
      </c>
      <c r="BX248" s="156">
        <f>INPUT!DU44</f>
        <v>-0.95597436934860125</v>
      </c>
      <c r="BY248" s="687" t="str">
        <f>INPUT!DV44</f>
        <v>NM</v>
      </c>
      <c r="BZ248" s="156">
        <f>INPUT!DW44</f>
        <v>-24.442776735459663</v>
      </c>
      <c r="CA248" s="687">
        <f>INPUT!DX44</f>
        <v>-754818.2198481845</v>
      </c>
      <c r="CB248" s="156">
        <f>INPUT!DY44</f>
        <v>9.2820711665225044</v>
      </c>
      <c r="CC248" s="687" t="str">
        <f>INPUT!DZ44</f>
        <v>NM</v>
      </c>
      <c r="CD248" s="156">
        <f>INPUT!EA44</f>
        <v>0.18614391251236112</v>
      </c>
      <c r="CE248" s="687" t="str">
        <f>INPUT!EB44</f>
        <v>NM</v>
      </c>
      <c r="CF248" s="156">
        <f>INPUT!EC44</f>
        <v>5.4925512375732479</v>
      </c>
      <c r="CG248" s="687" t="str">
        <f>INPUT!ED44</f>
        <v>NM</v>
      </c>
      <c r="CH248" s="156">
        <f>INPUT!EE44</f>
        <v>12.905710516940911</v>
      </c>
      <c r="CI248" s="687" t="str">
        <f>INPUT!EF44</f>
        <v>NM</v>
      </c>
      <c r="CJ248" s="156">
        <f>INPUT!EG44</f>
        <v>0.62738910334075304</v>
      </c>
      <c r="CK248" s="687" t="str">
        <f>INPUT!EH44</f>
        <v>NM</v>
      </c>
      <c r="CL248" s="156">
        <f>INPUT!EI44</f>
        <v>17.907456082294878</v>
      </c>
      <c r="CM248" s="687" t="str">
        <f>INPUT!EJ44</f>
        <v>NM</v>
      </c>
      <c r="CN248" s="156">
        <f>INPUT!EK44</f>
        <v>10.935830098195936</v>
      </c>
      <c r="CO248" s="687">
        <f>INPUT!EL44</f>
        <v>99.102923672090682</v>
      </c>
      <c r="CP248" s="156">
        <f>INPUT!EM44</f>
        <v>12.670072600161333</v>
      </c>
      <c r="CQ248" s="687">
        <f>INPUT!EN44</f>
        <v>-1.825842261611732</v>
      </c>
      <c r="CR248" s="156">
        <f>INPUT!EO44</f>
        <v>12.941279425921065</v>
      </c>
      <c r="CS248" s="687" t="str">
        <f>INPUT!EP44</f>
        <v>NM</v>
      </c>
      <c r="CT248" s="156">
        <f>INPUT!EQ44</f>
        <v>-2.88</v>
      </c>
      <c r="CU248" s="687" t="str">
        <f>INPUT!ER44</f>
        <v>NM</v>
      </c>
      <c r="CV248" s="156">
        <f>INPUT!ES44</f>
        <v>4.8000000000000007</v>
      </c>
      <c r="CW248" s="687" t="str">
        <f>INPUT!ET44</f>
        <v>NM</v>
      </c>
      <c r="CX248" s="156">
        <f>INPUT!EU44</f>
        <v>4.8</v>
      </c>
      <c r="CY248" s="687" t="str">
        <f>INPUT!EV44</f>
        <v>NM</v>
      </c>
      <c r="CZ248" s="156">
        <f>INPUT!EW44</f>
        <v>4.8</v>
      </c>
      <c r="DA248" s="687" t="str">
        <f>INPUT!EX44</f>
        <v>NM</v>
      </c>
      <c r="DB248" s="16"/>
      <c r="DC248" s="464"/>
      <c r="DD248" s="687"/>
      <c r="DE248" s="464"/>
      <c r="DF248" s="687"/>
      <c r="DG248" s="464">
        <f>INPUT!FT44</f>
        <v>7.983469159167278</v>
      </c>
      <c r="DH248" s="687">
        <f>INPUT!FU44</f>
        <v>0</v>
      </c>
      <c r="DI248" s="464">
        <f>INPUT!FV44</f>
        <v>-35.952794951056156</v>
      </c>
      <c r="DJ248" s="687">
        <f>INPUT!FW44</f>
        <v>0</v>
      </c>
      <c r="DK248" s="156">
        <f>INPUT!FX44</f>
        <v>27.279870683848952</v>
      </c>
      <c r="DL248" s="687">
        <f>INPUT!FY44</f>
        <v>0</v>
      </c>
      <c r="DM248" s="156">
        <f>INPUT!FZ44</f>
        <v>10.507521013357589</v>
      </c>
      <c r="DN248" s="687">
        <f>INPUT!GA44</f>
        <v>0</v>
      </c>
      <c r="DO248" s="156">
        <f>INPUT!GB44</f>
        <v>-3.1700541014768242</v>
      </c>
      <c r="DP248" s="687">
        <f>INPUT!GC44</f>
        <v>0</v>
      </c>
      <c r="DQ248" s="156">
        <f>INPUT!GD44</f>
        <v>11.361042002048881</v>
      </c>
      <c r="DR248" s="687">
        <f>INPUT!GE44</f>
        <v>0</v>
      </c>
      <c r="DS248" s="156">
        <f>INPUT!GF44</f>
        <v>16.013991331457682</v>
      </c>
      <c r="DT248" s="687">
        <f>INPUT!GG44</f>
        <v>40.955304351217748</v>
      </c>
      <c r="DU248" s="156">
        <f>INPUT!GH44</f>
        <v>3.6455014491562006</v>
      </c>
      <c r="DV248" s="687" t="str">
        <f>INPUT!GI44</f>
        <v>NM</v>
      </c>
      <c r="DW248" s="156">
        <f>INPUT!GJ44</f>
        <v>-2.4838334630499745</v>
      </c>
      <c r="DX248" s="687" t="str">
        <f>INPUT!GK44</f>
        <v>NM</v>
      </c>
      <c r="DY248" s="156">
        <f>INPUT!GL44</f>
        <v>4.8271382312450308</v>
      </c>
      <c r="DZ248" s="687" t="str">
        <f>INPUT!GM44</f>
        <v>NM</v>
      </c>
      <c r="EA248" s="156">
        <f>INPUT!GN44</f>
        <v>14.143486564680522</v>
      </c>
      <c r="EB248" s="687" t="str">
        <f>INPUT!GO44</f>
        <v>NM</v>
      </c>
      <c r="EC248" s="156">
        <f>INPUT!GP44</f>
        <v>2.8692660031152029</v>
      </c>
      <c r="ED248" s="687" t="str">
        <f>INPUT!GQ44</f>
        <v>NM</v>
      </c>
      <c r="EE248" s="156">
        <f>INPUT!GR44</f>
        <v>2.8692660031152029</v>
      </c>
      <c r="EF248" s="687">
        <f>INPUT!GS44</f>
        <v>0</v>
      </c>
      <c r="EG248" s="156">
        <f>INPUT!GT44</f>
        <v>2.8692660031152029</v>
      </c>
      <c r="EH248" s="687">
        <f>INPUT!GU44</f>
        <v>0</v>
      </c>
      <c r="EI248" s="156">
        <f>INPUT!GV44</f>
        <v>2.8692660031152029</v>
      </c>
      <c r="EJ248" s="687">
        <f>INPUT!GW44</f>
        <v>0</v>
      </c>
      <c r="EK248" s="156">
        <f>INPUT!GX44</f>
        <v>2.8692660031152029</v>
      </c>
      <c r="EL248" s="687">
        <f>INPUT!GY44</f>
        <v>0</v>
      </c>
      <c r="EM248" s="687">
        <f>INPUT!GZ44</f>
        <v>-27.315322794740425</v>
      </c>
    </row>
    <row r="249" spans="1:143" ht="12.75" hidden="1" customHeight="1" outlineLevel="1" x14ac:dyDescent="0.2">
      <c r="A249" s="701" t="str">
        <f>INPUT!B41</f>
        <v>Deposits/BOP AUM (%)</v>
      </c>
      <c r="B249" s="464"/>
      <c r="C249" s="687"/>
      <c r="D249" s="464"/>
      <c r="E249" s="687"/>
      <c r="F249" s="464"/>
      <c r="G249" s="687"/>
      <c r="H249" s="464"/>
      <c r="I249" s="687"/>
      <c r="J249" s="464">
        <f>INPUT!BG41</f>
        <v>19.582094163995212</v>
      </c>
      <c r="K249" s="687">
        <f>INPUT!BH41</f>
        <v>0</v>
      </c>
      <c r="L249" s="464">
        <f>INPUT!BI41</f>
        <v>21.994941981553108</v>
      </c>
      <c r="M249" s="687">
        <f>INPUT!BJ41</f>
        <v>0</v>
      </c>
      <c r="N249" s="464">
        <f>INPUT!BK41</f>
        <v>20.419928704224873</v>
      </c>
      <c r="O249" s="687">
        <f>INPUT!BL41</f>
        <v>0</v>
      </c>
      <c r="P249" s="464">
        <f>INPUT!BM41</f>
        <v>22.310731170260993</v>
      </c>
      <c r="Q249" s="687">
        <f>INPUT!BN41</f>
        <v>0</v>
      </c>
      <c r="R249" s="464">
        <f>INPUT!BO41</f>
        <v>17.523183925811438</v>
      </c>
      <c r="S249" s="687">
        <f>INPUT!BP41</f>
        <v>0</v>
      </c>
      <c r="T249" s="464">
        <f>INPUT!BQ41</f>
        <v>20.152305981004535</v>
      </c>
      <c r="U249" s="687">
        <f>INPUT!BR41</f>
        <v>0</v>
      </c>
      <c r="V249" s="464">
        <f>INPUT!BS41</f>
        <v>17.312456811555123</v>
      </c>
      <c r="W249" s="687">
        <f>INPUT!BT41</f>
        <v>0</v>
      </c>
      <c r="X249" s="464">
        <f>INPUT!BU41</f>
        <v>14.122921726134877</v>
      </c>
      <c r="Y249" s="687">
        <f>INPUT!BV41</f>
        <v>0</v>
      </c>
      <c r="Z249" s="464">
        <f>INPUT!BW41</f>
        <v>14.242737191863858</v>
      </c>
      <c r="AA249" s="687">
        <f>INPUT!BX41</f>
        <v>0</v>
      </c>
      <c r="AB249" s="464">
        <f>INPUT!BY41</f>
        <v>16.055813953488371</v>
      </c>
      <c r="AC249" s="687">
        <f>INPUT!BZ41</f>
        <v>0</v>
      </c>
      <c r="AD249" s="464">
        <f>INPUT!CA41</f>
        <v>14.803124114766703</v>
      </c>
      <c r="AE249" s="687">
        <f>INPUT!CB41</f>
        <v>0</v>
      </c>
      <c r="AF249" s="464">
        <f>INPUT!CC41</f>
        <v>14.60500895088534</v>
      </c>
      <c r="AG249" s="687">
        <f>INPUT!CD41</f>
        <v>0</v>
      </c>
      <c r="AH249" s="156">
        <f>INPUT!CE41</f>
        <v>12.565903616487272</v>
      </c>
      <c r="AI249" s="687">
        <f>INPUT!CF41</f>
        <v>0</v>
      </c>
      <c r="AJ249" s="156">
        <f>INPUT!CG41</f>
        <v>14.169272901103531</v>
      </c>
      <c r="AK249" s="687">
        <f>INPUT!CH41</f>
        <v>0</v>
      </c>
      <c r="AL249" s="156">
        <f>INPUT!CI41</f>
        <v>13.982046802843454</v>
      </c>
      <c r="AM249" s="687">
        <f>INPUT!CJ41</f>
        <v>0</v>
      </c>
      <c r="AN249" s="156">
        <f>INPUT!CK41</f>
        <v>13.733314554872228</v>
      </c>
      <c r="AO249" s="687">
        <f>INPUT!CL41</f>
        <v>0</v>
      </c>
      <c r="AP249" s="156">
        <f>INPUT!CM41</f>
        <v>12.773797338792219</v>
      </c>
      <c r="AQ249" s="687">
        <f>INPUT!CN41</f>
        <v>0</v>
      </c>
      <c r="AR249" s="156">
        <f>INPUT!CO41</f>
        <v>13.256249032929626</v>
      </c>
      <c r="AS249" s="687">
        <f>INPUT!CP41</f>
        <v>0</v>
      </c>
      <c r="AT249" s="156">
        <f>INPUT!CQ41</f>
        <v>11.999387502262065</v>
      </c>
      <c r="AU249" s="687">
        <f>INPUT!CR41</f>
        <v>0</v>
      </c>
      <c r="AV249" s="156">
        <f>INPUT!CS41</f>
        <v>12.647333956969131</v>
      </c>
      <c r="AW249" s="687">
        <f>INPUT!CT41</f>
        <v>0</v>
      </c>
      <c r="AX249" s="156">
        <f>INPUT!CU41</f>
        <v>12.790867847212059</v>
      </c>
      <c r="AY249" s="687">
        <f>INPUT!CV41</f>
        <v>0</v>
      </c>
      <c r="AZ249" s="156">
        <f>INPUT!CW41</f>
        <v>13.027458784928598</v>
      </c>
      <c r="BA249" s="687">
        <f>INPUT!CX41</f>
        <v>0</v>
      </c>
      <c r="BB249" s="156">
        <f>INPUT!CY41</f>
        <v>11.992983994737996</v>
      </c>
      <c r="BC249" s="687">
        <f>INPUT!CZ41</f>
        <v>0</v>
      </c>
      <c r="BD249" s="156">
        <f>INPUT!DA41</f>
        <v>15.745280066757067</v>
      </c>
      <c r="BE249" s="687">
        <f>INPUT!DB41</f>
        <v>0</v>
      </c>
      <c r="BF249" s="156">
        <f>INPUT!DC41</f>
        <v>14.898740273236511</v>
      </c>
      <c r="BG249" s="687">
        <f>INPUT!DD41</f>
        <v>0</v>
      </c>
      <c r="BH249" s="156">
        <f>INPUT!DE41</f>
        <v>18.722143224156678</v>
      </c>
      <c r="BI249" s="687">
        <f>INPUT!DF41</f>
        <v>0</v>
      </c>
      <c r="BJ249" s="156">
        <f>INPUT!DG41</f>
        <v>15.958779788043797</v>
      </c>
      <c r="BK249" s="687">
        <f>INPUT!DH41</f>
        <v>0</v>
      </c>
      <c r="BL249" s="156">
        <f>INPUT!DI41</f>
        <v>15.178914755935443</v>
      </c>
      <c r="BM249" s="687">
        <f>INPUT!DJ41</f>
        <v>0</v>
      </c>
      <c r="BN249" s="156">
        <f>INPUT!DK41</f>
        <v>12.115356944644288</v>
      </c>
      <c r="BO249" s="687">
        <f>INPUT!DL41</f>
        <v>0</v>
      </c>
      <c r="BP249" s="156">
        <f>INPUT!DM41</f>
        <v>12.846413895018118</v>
      </c>
      <c r="BQ249" s="687">
        <f>INPUT!DN41</f>
        <v>-31.383849908579187</v>
      </c>
      <c r="BR249" s="156">
        <f>INPUT!DO41</f>
        <v>12.522927321603602</v>
      </c>
      <c r="BS249" s="687">
        <f>INPUT!DP41</f>
        <v>-21.529543687383367</v>
      </c>
      <c r="BT249" s="156">
        <f>INPUT!DQ41</f>
        <v>12.421995735440834</v>
      </c>
      <c r="BU249" s="687">
        <f>INPUT!DR41</f>
        <v>-18.162820365115795</v>
      </c>
      <c r="BV249" s="156">
        <f>INPUT!DS41</f>
        <v>10.365800928194632</v>
      </c>
      <c r="BW249" s="687">
        <f>INPUT!DT41</f>
        <v>-14.440812800179724</v>
      </c>
      <c r="BX249" s="156">
        <f>INPUT!DU41</f>
        <v>11.347491037740287</v>
      </c>
      <c r="BY249" s="687">
        <f>INPUT!DV41</f>
        <v>-11.668025563609763</v>
      </c>
      <c r="BZ249" s="156">
        <f>INPUT!DW41</f>
        <v>10.273921200750468</v>
      </c>
      <c r="CA249" s="687">
        <f>INPUT!DX41</f>
        <v>317269.31009277393</v>
      </c>
      <c r="CB249" s="156">
        <f>INPUT!DY41</f>
        <v>9.3934242053668182</v>
      </c>
      <c r="CC249" s="687">
        <f>INPUT!DZ41</f>
        <v>-24.38071622769349</v>
      </c>
      <c r="CD249" s="156">
        <f>INPUT!EA41</f>
        <v>6.5344269288193439</v>
      </c>
      <c r="CE249" s="687">
        <f>INPUT!EB41</f>
        <v>-36.961678368278129</v>
      </c>
      <c r="CF249" s="156">
        <f>INPUT!EC41</f>
        <v>6.3554998396548212</v>
      </c>
      <c r="CG249" s="687">
        <f>INPUT!ED41</f>
        <v>-43.992025915532771</v>
      </c>
      <c r="CH249" s="156">
        <f>INPUT!EE41</f>
        <v>5.8462753102704577</v>
      </c>
      <c r="CI249" s="687">
        <f>INPUT!EF41</f>
        <v>-43.095968948609311</v>
      </c>
      <c r="CJ249" s="156">
        <f>INPUT!EG41</f>
        <v>5.2557925483455898</v>
      </c>
      <c r="CK249" s="687">
        <f>INPUT!EH41</f>
        <v>-44.04817206761772</v>
      </c>
      <c r="CL249" s="156">
        <f>INPUT!EI41</f>
        <v>5.4989316037289866</v>
      </c>
      <c r="CM249" s="687">
        <f>INPUT!EJ41</f>
        <v>-15.846765697591991</v>
      </c>
      <c r="CN249" s="156">
        <f>INPUT!EK41</f>
        <v>5.8972368120575469</v>
      </c>
      <c r="CO249" s="687">
        <f>INPUT!EL41</f>
        <v>-7.2104954631257323</v>
      </c>
      <c r="CP249" s="156">
        <f>INPUT!EM41</f>
        <v>5.492515909294613</v>
      </c>
      <c r="CQ249" s="687">
        <f>INPUT!EN41</f>
        <v>-6.0510219276601163</v>
      </c>
      <c r="CR249" s="156">
        <f>INPUT!EO41</f>
        <v>7.4980309792596485</v>
      </c>
      <c r="CS249" s="687">
        <f>INPUT!EP41</f>
        <v>42.662232390048715</v>
      </c>
      <c r="CT249" s="156">
        <f>INPUT!EQ41</f>
        <v>7</v>
      </c>
      <c r="CU249" s="687">
        <f>INPUT!ER41</f>
        <v>27.297455295735908</v>
      </c>
      <c r="CV249" s="156">
        <f>INPUT!ES41</f>
        <v>7.5</v>
      </c>
      <c r="CW249" s="687">
        <f>INPUT!ET41</f>
        <v>27.178206319702603</v>
      </c>
      <c r="CX249" s="156">
        <f>INPUT!EU41</f>
        <v>8</v>
      </c>
      <c r="CY249" s="687">
        <f>INPUT!EV41</f>
        <v>45.652741514360315</v>
      </c>
      <c r="CZ249" s="156">
        <f>INPUT!EW41</f>
        <v>8.5</v>
      </c>
      <c r="DA249" s="687">
        <f>INPUT!EX41</f>
        <v>13.363095238095223</v>
      </c>
      <c r="DB249" s="16"/>
      <c r="DC249" s="464"/>
      <c r="DD249" s="687"/>
      <c r="DE249" s="464"/>
      <c r="DF249" s="687"/>
      <c r="DG249" s="464">
        <f>INPUT!FT41</f>
        <v>23.038893824108765</v>
      </c>
      <c r="DH249" s="687">
        <f>INPUT!FU41</f>
        <v>0</v>
      </c>
      <c r="DI249" s="464">
        <f>INPUT!FV41</f>
        <v>16.297977846470889</v>
      </c>
      <c r="DJ249" s="687">
        <f>INPUT!FW41</f>
        <v>0</v>
      </c>
      <c r="DK249" s="156">
        <f>INPUT!FX41</f>
        <v>16.166763953122896</v>
      </c>
      <c r="DL249" s="687">
        <f>INPUT!FY41</f>
        <v>0</v>
      </c>
      <c r="DM249" s="156">
        <f>INPUT!FZ41</f>
        <v>13.923560227062174</v>
      </c>
      <c r="DN249" s="687">
        <f>INPUT!GA41</f>
        <v>0</v>
      </c>
      <c r="DO249" s="156">
        <f>INPUT!GB41</f>
        <v>12.754788711799971</v>
      </c>
      <c r="DP249" s="687">
        <f>INPUT!GC41</f>
        <v>0</v>
      </c>
      <c r="DQ249" s="156">
        <f>INPUT!GD41</f>
        <v>14.362651836674958</v>
      </c>
      <c r="DR249" s="687">
        <f>INPUT!GE41</f>
        <v>0</v>
      </c>
      <c r="DS249" s="156">
        <f>INPUT!GF41</f>
        <v>17.383975870022557</v>
      </c>
      <c r="DT249" s="687">
        <f>INPUT!GG41</f>
        <v>21.035976278646974</v>
      </c>
      <c r="DU249" s="156">
        <f>INPUT!GH41</f>
        <v>12.868712614853337</v>
      </c>
      <c r="DV249" s="687">
        <f>INPUT!GI41</f>
        <v>-25.973708712720168</v>
      </c>
      <c r="DW249" s="156">
        <f>INPUT!GJ41</f>
        <v>10.388861664408635</v>
      </c>
      <c r="DX249" s="687">
        <f>INPUT!GK41</f>
        <v>-19.270388768977607</v>
      </c>
      <c r="DY249" s="156">
        <f>INPUT!GL41</f>
        <v>6.0467686580187312</v>
      </c>
      <c r="DZ249" s="687">
        <f>INPUT!GM41</f>
        <v>-41.795657182206483</v>
      </c>
      <c r="EA249" s="156">
        <f>INPUT!GN41</f>
        <v>6.3744492559045431</v>
      </c>
      <c r="EB249" s="687">
        <f>INPUT!GO41</f>
        <v>5.4191026053439062</v>
      </c>
      <c r="EC249" s="156">
        <f>INPUT!GP41</f>
        <v>7.7344942998073973</v>
      </c>
      <c r="ED249" s="687">
        <f>INPUT!GQ41</f>
        <v>21.335883137559964</v>
      </c>
      <c r="EE249" s="156">
        <f>INPUT!GR41</f>
        <v>8.2344942998073982</v>
      </c>
      <c r="EF249" s="687">
        <f>INPUT!GS41</f>
        <v>6.4645467514592658</v>
      </c>
      <c r="EG249" s="156">
        <f>INPUT!GT41</f>
        <v>8.7344942998073982</v>
      </c>
      <c r="EH249" s="687">
        <f>INPUT!GU41</f>
        <v>6.0720182903240882</v>
      </c>
      <c r="EI249" s="156">
        <f>INPUT!GV41</f>
        <v>9.2344942998073982</v>
      </c>
      <c r="EJ249" s="687">
        <f>INPUT!GW41</f>
        <v>5.7244298620817258</v>
      </c>
      <c r="EK249" s="156">
        <f>INPUT!GX41</f>
        <v>9.7344942998073982</v>
      </c>
      <c r="EL249" s="687">
        <f>INPUT!GY41</f>
        <v>5.4144816572189391</v>
      </c>
      <c r="EM249" s="687">
        <f>INPUT!GZ41</f>
        <v>8.8363943027181193</v>
      </c>
    </row>
    <row r="250" spans="1:143" ht="12.75" hidden="1" customHeight="1" outlineLevel="1" x14ac:dyDescent="0.2">
      <c r="A250" s="701" t="str">
        <f>INPUT!B42</f>
        <v>Withdrawals/BOP AUM (%)</v>
      </c>
      <c r="B250" s="156"/>
      <c r="C250" s="687"/>
      <c r="D250" s="156"/>
      <c r="E250" s="687"/>
      <c r="F250" s="156"/>
      <c r="G250" s="687"/>
      <c r="H250" s="156"/>
      <c r="I250" s="687"/>
      <c r="J250" s="464">
        <f>INPUT!BG42</f>
        <v>-10.273840330616817</v>
      </c>
      <c r="K250" s="687">
        <f>INPUT!BH42</f>
        <v>0</v>
      </c>
      <c r="L250" s="464">
        <f>INPUT!BI42</f>
        <v>-10.428443915501338</v>
      </c>
      <c r="M250" s="687">
        <f>INPUT!BJ42</f>
        <v>0</v>
      </c>
      <c r="N250" s="464">
        <f>INPUT!BK42</f>
        <v>-10.076924388954271</v>
      </c>
      <c r="O250" s="687">
        <f>INPUT!BL42</f>
        <v>0</v>
      </c>
      <c r="P250" s="464">
        <f>INPUT!BM42</f>
        <v>-9.8763033482287419</v>
      </c>
      <c r="Q250" s="687">
        <f>INPUT!BN42</f>
        <v>0</v>
      </c>
      <c r="R250" s="464">
        <f>INPUT!BO42</f>
        <v>-8.9064914992272026</v>
      </c>
      <c r="S250" s="687">
        <f>INPUT!BP42</f>
        <v>0</v>
      </c>
      <c r="T250" s="464">
        <f>INPUT!BQ42</f>
        <v>-9.1657397107897669</v>
      </c>
      <c r="U250" s="687">
        <f>INPUT!BR42</f>
        <v>0</v>
      </c>
      <c r="V250" s="464">
        <f>INPUT!BS42</f>
        <v>-9.0337586166214408</v>
      </c>
      <c r="W250" s="687">
        <f>INPUT!BT42</f>
        <v>0</v>
      </c>
      <c r="X250" s="464">
        <f>INPUT!BU42</f>
        <v>-9.7141789650663188</v>
      </c>
      <c r="Y250" s="687">
        <f>INPUT!BV42</f>
        <v>0</v>
      </c>
      <c r="Z250" s="464">
        <f>INPUT!BW42</f>
        <v>-10.309370930806878</v>
      </c>
      <c r="AA250" s="687">
        <f>INPUT!BX42</f>
        <v>0</v>
      </c>
      <c r="AB250" s="464">
        <f>INPUT!BY42</f>
        <v>-10</v>
      </c>
      <c r="AC250" s="687">
        <f>INPUT!BZ42</f>
        <v>0</v>
      </c>
      <c r="AD250" s="464">
        <f>INPUT!CA42</f>
        <v>-8.7572336206547696</v>
      </c>
      <c r="AE250" s="687">
        <f>INPUT!CB42</f>
        <v>0</v>
      </c>
      <c r="AF250" s="464">
        <f>INPUT!CC42</f>
        <v>-8.6637480281465464</v>
      </c>
      <c r="AG250" s="687">
        <f>INPUT!CD42</f>
        <v>0</v>
      </c>
      <c r="AH250" s="156">
        <f>INPUT!CE42</f>
        <v>-8.846665656004177</v>
      </c>
      <c r="AI250" s="687">
        <f>INPUT!CF42</f>
        <v>0</v>
      </c>
      <c r="AJ250" s="156">
        <f>INPUT!CG42</f>
        <v>-8.5300837776085299</v>
      </c>
      <c r="AK250" s="687">
        <f>INPUT!CH42</f>
        <v>0</v>
      </c>
      <c r="AL250" s="156">
        <f>INPUT!CI42</f>
        <v>-9.0492415725478672</v>
      </c>
      <c r="AM250" s="687">
        <f>INPUT!CJ42</f>
        <v>0</v>
      </c>
      <c r="AN250" s="156">
        <f>INPUT!CK42</f>
        <v>-9.6646479820978666</v>
      </c>
      <c r="AO250" s="687">
        <f>INPUT!CL42</f>
        <v>0</v>
      </c>
      <c r="AP250" s="156">
        <f>INPUT!CM42</f>
        <v>-10.130135984793098</v>
      </c>
      <c r="AQ250" s="687">
        <f>INPUT!CN42</f>
        <v>0</v>
      </c>
      <c r="AR250" s="156">
        <f>INPUT!CO42</f>
        <v>-10.071598373915123</v>
      </c>
      <c r="AS250" s="687">
        <f>INPUT!CP42</f>
        <v>0</v>
      </c>
      <c r="AT250" s="156">
        <f>INPUT!CQ42</f>
        <v>-8.5638320085749697</v>
      </c>
      <c r="AU250" s="687">
        <f>INPUT!CR42</f>
        <v>0</v>
      </c>
      <c r="AV250" s="156">
        <f>INPUT!CS42</f>
        <v>-9.6975366386030561</v>
      </c>
      <c r="AW250" s="687">
        <f>INPUT!CT42</f>
        <v>0</v>
      </c>
      <c r="AX250" s="156">
        <f>INPUT!CU42</f>
        <v>-10.080491731303965</v>
      </c>
      <c r="AY250" s="687">
        <f>INPUT!CV42</f>
        <v>0</v>
      </c>
      <c r="AZ250" s="156">
        <f>INPUT!CW42</f>
        <v>-9.084796815749133</v>
      </c>
      <c r="BA250" s="687">
        <f>INPUT!CX42</f>
        <v>0</v>
      </c>
      <c r="BB250" s="156">
        <f>INPUT!CY42</f>
        <v>-9.2194694146020613</v>
      </c>
      <c r="BC250" s="687">
        <f>INPUT!CZ42</f>
        <v>0</v>
      </c>
      <c r="BD250" s="156">
        <f>INPUT!DA42</f>
        <v>-9.9509752790236785</v>
      </c>
      <c r="BE250" s="687">
        <f>INPUT!DB42</f>
        <v>0</v>
      </c>
      <c r="BF250" s="156">
        <f>INPUT!DC42</f>
        <v>-9.6266443616455017</v>
      </c>
      <c r="BG250" s="687">
        <f>INPUT!DD42</f>
        <v>0</v>
      </c>
      <c r="BH250" s="156">
        <f>INPUT!DE42</f>
        <v>-9.6359052182537308</v>
      </c>
      <c r="BI250" s="687">
        <f>INPUT!DF42</f>
        <v>0</v>
      </c>
      <c r="BJ250" s="156">
        <f>INPUT!DG42</f>
        <v>-9.1012354353299383</v>
      </c>
      <c r="BK250" s="687">
        <f>INPUT!DH42</f>
        <v>0</v>
      </c>
      <c r="BL250" s="156">
        <f>INPUT!DI42</f>
        <v>-9.2418233154986211</v>
      </c>
      <c r="BM250" s="687">
        <f>INPUT!DJ42</f>
        <v>0</v>
      </c>
      <c r="BN250" s="156">
        <f>INPUT!DK42</f>
        <v>-9.2910440091266011</v>
      </c>
      <c r="BO250" s="687">
        <f>INPUT!DL42</f>
        <v>0</v>
      </c>
      <c r="BP250" s="156">
        <f>INPUT!DM42</f>
        <v>-9.2107127674649281</v>
      </c>
      <c r="BQ250" s="687">
        <f>INPUT!DN42</f>
        <v>-4.4125844034179735</v>
      </c>
      <c r="BR250" s="156">
        <f>INPUT!DO42</f>
        <v>-9.3669633065807467</v>
      </c>
      <c r="BS250" s="687">
        <f>INPUT!DP42</f>
        <v>2.9196901139298514</v>
      </c>
      <c r="BT250" s="156">
        <f>INPUT!DQ42</f>
        <v>-9.1746708660185057</v>
      </c>
      <c r="BU250" s="687">
        <f>INPUT!DR42</f>
        <v>-0.72661472944954841</v>
      </c>
      <c r="BV250" s="156">
        <f>INPUT!DS42</f>
        <v>-8.9936871234614166</v>
      </c>
      <c r="BW250" s="687">
        <f>INPUT!DT42</f>
        <v>-3.200467949275565</v>
      </c>
      <c r="BX250" s="156">
        <f>INPUT!DU42</f>
        <v>-9.1833758315377452</v>
      </c>
      <c r="BY250" s="687">
        <f>INPUT!DV42</f>
        <v>-0.29679501052020107</v>
      </c>
      <c r="BZ250" s="156">
        <f>INPUT!DW42</f>
        <v>-8.416510318949344</v>
      </c>
      <c r="CA250" s="687">
        <f>INPUT!DX42</f>
        <v>-259910.54146752809</v>
      </c>
      <c r="CB250" s="156">
        <f>INPUT!DY42</f>
        <v>-8.474761634901224</v>
      </c>
      <c r="CC250" s="687">
        <f>INPUT!DZ42</f>
        <v>-7.6287121504230999</v>
      </c>
      <c r="CD250" s="156">
        <f>INPUT!EA42</f>
        <v>-7.6629243984255329</v>
      </c>
      <c r="CE250" s="687">
        <f>INPUT!EB42</f>
        <v>-14.796631312249954</v>
      </c>
      <c r="CF250" s="156">
        <f>INPUT!EC42</f>
        <v>-8.1241557583355206</v>
      </c>
      <c r="CG250" s="687">
        <f>INPUT!ED42</f>
        <v>-11.534103499985571</v>
      </c>
      <c r="CH250" s="156">
        <f>INPUT!EE42</f>
        <v>-8.6923869402374336</v>
      </c>
      <c r="CI250" s="687">
        <f>INPUT!EF42</f>
        <v>3.2778029234630246</v>
      </c>
      <c r="CJ250" s="156">
        <f>INPUT!EG42</f>
        <v>-8.5392540831948001</v>
      </c>
      <c r="CK250" s="687">
        <f>INPUT!EH42</f>
        <v>0.76099424469922017</v>
      </c>
      <c r="CL250" s="156">
        <f>INPUT!EI42</f>
        <v>-9.3791955827014348</v>
      </c>
      <c r="CM250" s="687">
        <f>INPUT!EJ42</f>
        <v>22.397078387313019</v>
      </c>
      <c r="CN250" s="156">
        <f>INPUT!EK42</f>
        <v>-9.1783512217401242</v>
      </c>
      <c r="CO250" s="687">
        <f>INPUT!EL42</f>
        <v>12.976061695062668</v>
      </c>
      <c r="CP250" s="156">
        <f>INPUT!EM42</f>
        <v>-8.4825669982970329</v>
      </c>
      <c r="CQ250" s="687">
        <f>INPUT!EN42</f>
        <v>-2.413835732152414</v>
      </c>
      <c r="CR250" s="156">
        <f>INPUT!EO42</f>
        <v>-9.2062658615559645</v>
      </c>
      <c r="CS250" s="687">
        <f>INPUT!EP42</f>
        <v>7.8111246235644805</v>
      </c>
      <c r="CT250" s="156">
        <f>INPUT!EQ42</f>
        <v>-9.0062658615559652</v>
      </c>
      <c r="CU250" s="687">
        <f>INPUT!ER42</f>
        <v>-3.9761375893822337</v>
      </c>
      <c r="CV250" s="156">
        <f>INPUT!ES42</f>
        <v>-8.8062658615559659</v>
      </c>
      <c r="CW250" s="687">
        <f>INPUT!ET42</f>
        <v>-4.0539455420144037</v>
      </c>
      <c r="CX250" s="156">
        <f>INPUT!EU42</f>
        <v>-8.6062658615559666</v>
      </c>
      <c r="CY250" s="687">
        <f>INPUT!EV42</f>
        <v>1.4582715737319507</v>
      </c>
      <c r="CZ250" s="156">
        <f>INPUT!EW42</f>
        <v>-8.4062658615559673</v>
      </c>
      <c r="DA250" s="687">
        <f>INPUT!EX42</f>
        <v>-8.6897338403041484</v>
      </c>
      <c r="DB250" s="16"/>
      <c r="DC250" s="156"/>
      <c r="DD250" s="687"/>
      <c r="DE250" s="464"/>
      <c r="DF250" s="687"/>
      <c r="DG250" s="464">
        <f>INPUT!FT42</f>
        <v>-11.07334595033023</v>
      </c>
      <c r="DH250" s="687">
        <f>INPUT!FU42</f>
        <v>0</v>
      </c>
      <c r="DI250" s="464">
        <f>INPUT!FV42</f>
        <v>-8.6327923750643993</v>
      </c>
      <c r="DJ250" s="687">
        <f>INPUT!FW42</f>
        <v>0</v>
      </c>
      <c r="DK250" s="156">
        <f>INPUT!FX42</f>
        <v>-10.163441246464011</v>
      </c>
      <c r="DL250" s="687">
        <f>INPUT!FY42</f>
        <v>0</v>
      </c>
      <c r="DM250" s="156">
        <f>INPUT!FZ42</f>
        <v>-9.2324018394057301</v>
      </c>
      <c r="DN250" s="687">
        <f>INPUT!GA42</f>
        <v>0</v>
      </c>
      <c r="DO250" s="156">
        <f>INPUT!GB42</f>
        <v>-9.6724667349027644</v>
      </c>
      <c r="DP250" s="687">
        <f>INPUT!GC42</f>
        <v>0</v>
      </c>
      <c r="DQ250" s="156">
        <f>INPUT!GD42</f>
        <v>-10.245865651983022</v>
      </c>
      <c r="DR250" s="687">
        <f>INPUT!GE42</f>
        <v>0</v>
      </c>
      <c r="DS250" s="156">
        <f>INPUT!GF42</f>
        <v>-10.089220084657693</v>
      </c>
      <c r="DT250" s="687">
        <f>INPUT!GG42</f>
        <v>-1.5288661070332443</v>
      </c>
      <c r="DU250" s="156">
        <f>INPUT!GH42</f>
        <v>-9.5510699089395459</v>
      </c>
      <c r="DV250" s="687">
        <f>INPUT!GI42</f>
        <v>-5.333912544305508</v>
      </c>
      <c r="DW250" s="156">
        <f>INPUT!GJ42</f>
        <v>-8.7957491376245525</v>
      </c>
      <c r="DX250" s="687">
        <f>INPUT!GK42</f>
        <v>-7.9082320464227145</v>
      </c>
      <c r="DY250" s="156">
        <f>INPUT!GL42</f>
        <v>-8.333818083105502</v>
      </c>
      <c r="DZ250" s="687">
        <f>INPUT!GM42</f>
        <v>-5.2517534014595917</v>
      </c>
      <c r="EA250" s="156">
        <f>INPUT!GN42</f>
        <v>-9.4434884556473726</v>
      </c>
      <c r="EB250" s="687">
        <f>INPUT!GO42</f>
        <v>13.315269921615137</v>
      </c>
      <c r="EC250" s="156">
        <f>INPUT!GP42</f>
        <v>-8.6860663872623753</v>
      </c>
      <c r="ED250" s="687">
        <f>INPUT!GQ42</f>
        <v>-8.0205749384068543</v>
      </c>
      <c r="EE250" s="156">
        <f>INPUT!GR42</f>
        <v>-7.5</v>
      </c>
      <c r="EF250" s="687">
        <f>INPUT!GS42</f>
        <v>-13.65481605116068</v>
      </c>
      <c r="EG250" s="156">
        <f>INPUT!GT42</f>
        <v>-7.5</v>
      </c>
      <c r="EH250" s="687">
        <f>INPUT!GU42</f>
        <v>0</v>
      </c>
      <c r="EI250" s="156">
        <f>INPUT!GV42</f>
        <v>-7.5</v>
      </c>
      <c r="EJ250" s="687">
        <f>INPUT!GW42</f>
        <v>0</v>
      </c>
      <c r="EK250" s="156">
        <f>INPUT!GX42</f>
        <v>-7.5</v>
      </c>
      <c r="EL250" s="687">
        <f>INPUT!GY42</f>
        <v>0</v>
      </c>
      <c r="EM250" s="687">
        <f>INPUT!GZ42</f>
        <v>-4.5038722294850286</v>
      </c>
    </row>
    <row r="251" spans="1:143" ht="12.75" hidden="1" customHeight="1" outlineLevel="1" x14ac:dyDescent="0.2">
      <c r="A251" s="701"/>
      <c r="B251" s="156"/>
      <c r="C251" s="687"/>
      <c r="D251" s="156"/>
      <c r="E251" s="687"/>
      <c r="F251" s="156"/>
      <c r="G251" s="687"/>
      <c r="H251" s="156"/>
      <c r="I251" s="687"/>
      <c r="J251" s="156"/>
      <c r="K251" s="687"/>
      <c r="L251" s="156"/>
      <c r="M251" s="687"/>
      <c r="N251" s="156"/>
      <c r="O251" s="687"/>
      <c r="P251" s="156"/>
      <c r="Q251" s="687"/>
      <c r="R251" s="156"/>
      <c r="S251" s="687"/>
      <c r="T251" s="156"/>
      <c r="U251" s="687"/>
      <c r="V251" s="156"/>
      <c r="W251" s="687"/>
      <c r="X251" s="156"/>
      <c r="Y251" s="687"/>
      <c r="Z251" s="156"/>
      <c r="AA251" s="687"/>
      <c r="AB251" s="156"/>
      <c r="AC251" s="687"/>
      <c r="AD251" s="156"/>
      <c r="AE251" s="687"/>
      <c r="AF251" s="156"/>
      <c r="AG251" s="687"/>
      <c r="AH251" s="156"/>
      <c r="AI251" s="687"/>
      <c r="AJ251" s="156"/>
      <c r="AK251" s="687"/>
      <c r="AL251" s="156"/>
      <c r="AM251" s="687"/>
      <c r="AN251" s="156"/>
      <c r="AO251" s="687"/>
      <c r="AP251" s="156"/>
      <c r="AQ251" s="687"/>
      <c r="AR251" s="156"/>
      <c r="AS251" s="687"/>
      <c r="AT251" s="156"/>
      <c r="AU251" s="687"/>
      <c r="AV251" s="156"/>
      <c r="AW251" s="687"/>
      <c r="AX251" s="156"/>
      <c r="AY251" s="687"/>
      <c r="AZ251" s="156"/>
      <c r="BA251" s="687"/>
      <c r="BB251" s="156"/>
      <c r="BC251" s="687"/>
      <c r="BD251" s="156"/>
      <c r="BE251" s="687"/>
      <c r="BF251" s="156"/>
      <c r="BG251" s="687"/>
      <c r="BH251" s="156"/>
      <c r="BI251" s="687"/>
      <c r="BJ251" s="156"/>
      <c r="BK251" s="687"/>
      <c r="BL251" s="156"/>
      <c r="BM251" s="687"/>
      <c r="BN251" s="156"/>
      <c r="BO251" s="687"/>
      <c r="BP251" s="156"/>
      <c r="BQ251" s="687"/>
      <c r="BR251" s="156"/>
      <c r="BS251" s="687"/>
      <c r="BT251" s="156"/>
      <c r="BU251" s="687"/>
      <c r="BV251" s="156"/>
      <c r="BW251" s="687"/>
      <c r="BX251" s="156"/>
      <c r="BY251" s="687"/>
      <c r="BZ251" s="156"/>
      <c r="CA251" s="687"/>
      <c r="CB251" s="156"/>
      <c r="CC251" s="687"/>
      <c r="CD251" s="156"/>
      <c r="CE251" s="687"/>
      <c r="CF251" s="156"/>
      <c r="CG251" s="687"/>
      <c r="CH251" s="156"/>
      <c r="CI251" s="687"/>
      <c r="CJ251" s="156"/>
      <c r="CK251" s="687"/>
      <c r="CL251" s="156"/>
      <c r="CM251" s="687"/>
      <c r="CN251" s="156"/>
      <c r="CO251" s="687"/>
      <c r="CP251" s="156"/>
      <c r="CQ251" s="687"/>
      <c r="CR251" s="156"/>
      <c r="CS251" s="687"/>
      <c r="CT251" s="156"/>
      <c r="CU251" s="687"/>
      <c r="CV251" s="156"/>
      <c r="CW251" s="687"/>
      <c r="CX251" s="156"/>
      <c r="CY251" s="687"/>
      <c r="CZ251" s="156"/>
      <c r="DA251" s="687"/>
      <c r="DB251" s="16"/>
      <c r="DC251" s="156"/>
      <c r="DD251" s="687"/>
      <c r="DE251" s="156"/>
      <c r="DF251" s="687"/>
      <c r="DG251" s="156"/>
      <c r="DH251" s="687"/>
      <c r="DI251" s="156"/>
      <c r="DJ251" s="687"/>
      <c r="DK251" s="156"/>
      <c r="DL251" s="687"/>
      <c r="DM251" s="156"/>
      <c r="DN251" s="687"/>
      <c r="DO251" s="156"/>
      <c r="DP251" s="687"/>
      <c r="DQ251" s="156"/>
      <c r="DR251" s="687"/>
      <c r="DS251" s="156"/>
      <c r="DT251" s="687"/>
      <c r="DU251" s="156"/>
      <c r="DV251" s="687"/>
      <c r="DW251" s="156"/>
      <c r="DX251" s="687"/>
      <c r="DY251" s="156"/>
      <c r="DZ251" s="687"/>
      <c r="EA251" s="156"/>
      <c r="EB251" s="687"/>
      <c r="EC251" s="156"/>
      <c r="ED251" s="687"/>
      <c r="EE251" s="156"/>
      <c r="EF251" s="687"/>
      <c r="EG251" s="156"/>
      <c r="EH251" s="687"/>
      <c r="EI251" s="156"/>
      <c r="EJ251" s="687"/>
      <c r="EK251" s="156"/>
      <c r="EL251" s="687"/>
      <c r="EM251" s="687"/>
    </row>
    <row r="252" spans="1:143" ht="12.75" hidden="1" customHeight="1" outlineLevel="1" x14ac:dyDescent="0.2">
      <c r="A252" s="700" t="str">
        <f>INPUT!B47</f>
        <v>FIXED ANNUITIES BALANCES</v>
      </c>
      <c r="B252" s="156"/>
      <c r="C252" s="687"/>
      <c r="D252" s="156"/>
      <c r="E252" s="687"/>
      <c r="F252" s="156"/>
      <c r="G252" s="687"/>
      <c r="H252" s="156"/>
      <c r="I252" s="687"/>
      <c r="J252" s="156"/>
      <c r="K252" s="687"/>
      <c r="L252" s="156"/>
      <c r="M252" s="687"/>
      <c r="N252" s="156"/>
      <c r="O252" s="687"/>
      <c r="P252" s="156"/>
      <c r="Q252" s="687"/>
      <c r="R252" s="156"/>
      <c r="S252" s="687"/>
      <c r="T252" s="156"/>
      <c r="U252" s="687"/>
      <c r="V252" s="156"/>
      <c r="W252" s="687"/>
      <c r="X252" s="156"/>
      <c r="Y252" s="687"/>
      <c r="Z252" s="156"/>
      <c r="AA252" s="687"/>
      <c r="AB252" s="156"/>
      <c r="AC252" s="687"/>
      <c r="AD252" s="156"/>
      <c r="AE252" s="687"/>
      <c r="AF252" s="156"/>
      <c r="AG252" s="687"/>
      <c r="AH252" s="156"/>
      <c r="AI252" s="687"/>
      <c r="AJ252" s="156"/>
      <c r="AK252" s="687"/>
      <c r="AL252" s="156"/>
      <c r="AM252" s="687"/>
      <c r="AN252" s="156"/>
      <c r="AO252" s="687"/>
      <c r="AP252" s="156"/>
      <c r="AQ252" s="687"/>
      <c r="AR252" s="156"/>
      <c r="AS252" s="687"/>
      <c r="AT252" s="156"/>
      <c r="AU252" s="687"/>
      <c r="AV252" s="156"/>
      <c r="AW252" s="687"/>
      <c r="AX252" s="156"/>
      <c r="AY252" s="687"/>
      <c r="AZ252" s="156"/>
      <c r="BA252" s="687"/>
      <c r="BB252" s="156"/>
      <c r="BC252" s="687"/>
      <c r="BD252" s="156"/>
      <c r="BE252" s="687"/>
      <c r="BF252" s="156"/>
      <c r="BG252" s="687"/>
      <c r="BH252" s="156"/>
      <c r="BI252" s="687"/>
      <c r="BJ252" s="156"/>
      <c r="BK252" s="687"/>
      <c r="BL252" s="156"/>
      <c r="BM252" s="687"/>
      <c r="BN252" s="156"/>
      <c r="BO252" s="687"/>
      <c r="BP252" s="156"/>
      <c r="BQ252" s="687"/>
      <c r="BR252" s="156"/>
      <c r="BS252" s="687"/>
      <c r="BT252" s="156"/>
      <c r="BU252" s="687"/>
      <c r="BV252" s="156"/>
      <c r="BW252" s="687"/>
      <c r="BX252" s="156"/>
      <c r="BY252" s="687"/>
      <c r="BZ252" s="156"/>
      <c r="CA252" s="687"/>
      <c r="CB252" s="156"/>
      <c r="CC252" s="687"/>
      <c r="CD252" s="156"/>
      <c r="CE252" s="687"/>
      <c r="CF252" s="156"/>
      <c r="CG252" s="687"/>
      <c r="CH252" s="156"/>
      <c r="CI252" s="687"/>
      <c r="CJ252" s="156"/>
      <c r="CK252" s="687"/>
      <c r="CL252" s="156"/>
      <c r="CM252" s="687"/>
      <c r="CN252" s="156"/>
      <c r="CO252" s="687"/>
      <c r="CP252" s="156"/>
      <c r="CQ252" s="687"/>
      <c r="CR252" s="156"/>
      <c r="CS252" s="687"/>
      <c r="CT252" s="156"/>
      <c r="CU252" s="687"/>
      <c r="CV252" s="156"/>
      <c r="CW252" s="687"/>
      <c r="CX252" s="156"/>
      <c r="CY252" s="687"/>
      <c r="CZ252" s="156"/>
      <c r="DA252" s="687"/>
      <c r="DB252" s="16"/>
      <c r="DC252" s="156"/>
      <c r="DD252" s="687"/>
      <c r="DE252" s="156"/>
      <c r="DF252" s="687"/>
      <c r="DG252" s="156"/>
      <c r="DH252" s="687"/>
      <c r="DI252" s="156"/>
      <c r="DJ252" s="687"/>
      <c r="DK252" s="156"/>
      <c r="DL252" s="687"/>
      <c r="DM252" s="156"/>
      <c r="DN252" s="687"/>
      <c r="DO252" s="156"/>
      <c r="DP252" s="687"/>
      <c r="DQ252" s="156"/>
      <c r="DR252" s="687"/>
      <c r="DS252" s="156"/>
      <c r="DT252" s="687"/>
      <c r="DU252" s="156"/>
      <c r="DV252" s="687"/>
      <c r="DW252" s="156"/>
      <c r="DX252" s="687"/>
      <c r="DY252" s="156"/>
      <c r="DZ252" s="687"/>
      <c r="EA252" s="156"/>
      <c r="EB252" s="687"/>
      <c r="EC252" s="156"/>
      <c r="ED252" s="687"/>
      <c r="EE252" s="156"/>
      <c r="EF252" s="687"/>
      <c r="EG252" s="156"/>
      <c r="EH252" s="687"/>
      <c r="EI252" s="156"/>
      <c r="EJ252" s="687"/>
      <c r="EK252" s="156"/>
      <c r="EL252" s="687"/>
      <c r="EM252" s="687"/>
    </row>
    <row r="253" spans="1:143" ht="12.75" hidden="1" customHeight="1" outlineLevel="1" x14ac:dyDescent="0.2">
      <c r="A253" s="701" t="str">
        <f>INPUT!B49</f>
        <v>AUM, BOP ($ in millions)</v>
      </c>
      <c r="B253" s="151"/>
      <c r="C253" s="687"/>
      <c r="D253" s="151"/>
      <c r="E253" s="687"/>
      <c r="F253" s="151"/>
      <c r="G253" s="687"/>
      <c r="H253" s="151"/>
      <c r="I253" s="687"/>
      <c r="J253" s="151">
        <f>INPUT!BG49</f>
        <v>14932</v>
      </c>
      <c r="K253" s="687" t="str">
        <f>INPUT!BH49</f>
        <v>NA</v>
      </c>
      <c r="L253" s="151">
        <f>INPUT!BI49</f>
        <v>14662</v>
      </c>
      <c r="M253" s="687" t="str">
        <f>INPUT!BJ49</f>
        <v>NA</v>
      </c>
      <c r="N253" s="151">
        <f>INPUT!BK49</f>
        <v>14410</v>
      </c>
      <c r="O253" s="687" t="str">
        <f>INPUT!BL49</f>
        <v>NA</v>
      </c>
      <c r="P253" s="151">
        <f>INPUT!BM49</f>
        <v>14343</v>
      </c>
      <c r="Q253" s="687" t="str">
        <f>INPUT!BN49</f>
        <v>NA</v>
      </c>
      <c r="R253" s="151">
        <f>INPUT!BO49</f>
        <v>14352</v>
      </c>
      <c r="S253" s="687">
        <f>INPUT!BP49</f>
        <v>-3.8842753817305065</v>
      </c>
      <c r="T253" s="151">
        <f>INPUT!BQ49</f>
        <v>14232</v>
      </c>
      <c r="U253" s="687">
        <f>INPUT!BR49</f>
        <v>-2.9327513299686303</v>
      </c>
      <c r="V253" s="151">
        <f>INPUT!BS49</f>
        <v>14321</v>
      </c>
      <c r="W253" s="687">
        <f>INPUT!BT49</f>
        <v>-0.61762664816099599</v>
      </c>
      <c r="X253" s="151">
        <f>INPUT!BU49</f>
        <v>14141</v>
      </c>
      <c r="Y253" s="687">
        <f>INPUT!BV49</f>
        <v>-1.4083525064491398</v>
      </c>
      <c r="Z253" s="151">
        <f>INPUT!BW49</f>
        <v>14038</v>
      </c>
      <c r="AA253" s="687">
        <f>INPUT!BX49</f>
        <v>-2.1878483835005569</v>
      </c>
      <c r="AB253" s="151">
        <f>INPUT!BY49</f>
        <v>14154</v>
      </c>
      <c r="AC253" s="687">
        <f>INPUT!BZ49</f>
        <v>-0.54806070826306508</v>
      </c>
      <c r="AD253" s="151">
        <f>INPUT!CA49</f>
        <v>14697</v>
      </c>
      <c r="AE253" s="687">
        <f>INPUT!CB49</f>
        <v>2.6255149780043396</v>
      </c>
      <c r="AF253" s="151">
        <f>INPUT!CC49</f>
        <v>15776</v>
      </c>
      <c r="AG253" s="687">
        <f>INPUT!CD49</f>
        <v>11.56212431935506</v>
      </c>
      <c r="AH253" s="151">
        <f>INPUT!CE49</f>
        <v>15941</v>
      </c>
      <c r="AI253" s="687">
        <f>INPUT!CF49</f>
        <v>13.55606211711069</v>
      </c>
      <c r="AJ253" s="151">
        <f>INPUT!CG49</f>
        <v>16146</v>
      </c>
      <c r="AK253" s="687">
        <f>INPUT!CH49</f>
        <v>14.073760067825347</v>
      </c>
      <c r="AL253" s="151">
        <f>INPUT!CI49</f>
        <v>16501</v>
      </c>
      <c r="AM253" s="687">
        <f>INPUT!CJ49</f>
        <v>12.27461386677553</v>
      </c>
      <c r="AN253" s="151">
        <f>INPUT!CK49</f>
        <v>17304</v>
      </c>
      <c r="AO253" s="687">
        <f>INPUT!CL49</f>
        <v>9.6855983772819556</v>
      </c>
      <c r="AP253" s="151">
        <f>INPUT!CM49</f>
        <v>17420</v>
      </c>
      <c r="AQ253" s="687">
        <f>INPUT!CN49</f>
        <v>9.2779624866695887</v>
      </c>
      <c r="AR253" s="151">
        <f>INPUT!CO49</f>
        <v>17643</v>
      </c>
      <c r="AS253" s="687">
        <f>INPUT!CP49</f>
        <v>9.2716462281679632</v>
      </c>
      <c r="AT253" s="151">
        <f>INPUT!CQ49</f>
        <v>17938</v>
      </c>
      <c r="AU253" s="687">
        <f>INPUT!CR49</f>
        <v>8.7085631173868361</v>
      </c>
      <c r="AV253" s="151">
        <f>INPUT!CS49</f>
        <v>18009</v>
      </c>
      <c r="AW253" s="687">
        <f>INPUT!CT49</f>
        <v>4.0742024965325863</v>
      </c>
      <c r="AX253" s="151">
        <f>INPUT!CU49</f>
        <v>18106</v>
      </c>
      <c r="AY253" s="687">
        <f>INPUT!CV49</f>
        <v>3.9380022962112404</v>
      </c>
      <c r="AZ253" s="151">
        <f>INPUT!CW49</f>
        <v>18186</v>
      </c>
      <c r="BA253" s="687">
        <f>INPUT!CX49</f>
        <v>3.0777078728107421</v>
      </c>
      <c r="BB253" s="151">
        <f>INPUT!CY49</f>
        <v>18273</v>
      </c>
      <c r="BC253" s="687">
        <f>INPUT!CZ49</f>
        <v>1.8675437618463686</v>
      </c>
      <c r="BD253" s="151">
        <f>INPUT!DA49</f>
        <v>18347</v>
      </c>
      <c r="BE253" s="687">
        <f>INPUT!DB49</f>
        <v>1.8768393580987253</v>
      </c>
      <c r="BF253" s="151">
        <f>INPUT!DC49</f>
        <v>18438</v>
      </c>
      <c r="BG253" s="687">
        <f>INPUT!DD49</f>
        <v>1.8336463050922402</v>
      </c>
      <c r="BH253" s="151">
        <f>INPUT!DE49</f>
        <v>18539</v>
      </c>
      <c r="BI253" s="687">
        <f>INPUT!DF49</f>
        <v>1.9410535576817267</v>
      </c>
      <c r="BJ253" s="151">
        <f>INPUT!DG49</f>
        <v>18494</v>
      </c>
      <c r="BK253" s="687">
        <f>INPUT!DH49</f>
        <v>1.2094346850544557</v>
      </c>
      <c r="BL253" s="151">
        <f>INPUT!DI49</f>
        <v>18457</v>
      </c>
      <c r="BM253" s="687">
        <f>INPUT!DJ49</f>
        <v>0.59955306044585654</v>
      </c>
      <c r="BN253" s="151">
        <f>INPUT!DK49</f>
        <v>18552</v>
      </c>
      <c r="BO253" s="687">
        <f>INPUT!DL49</f>
        <v>0.61828831760495362</v>
      </c>
      <c r="BP253" s="151">
        <f>INPUT!DM49</f>
        <v>18730</v>
      </c>
      <c r="BQ253" s="687">
        <f>INPUT!DN49</f>
        <v>1.0302605318517788</v>
      </c>
      <c r="BR253" s="151">
        <f>INPUT!DO49</f>
        <v>18875</v>
      </c>
      <c r="BS253" s="687">
        <f>INPUT!DP49</f>
        <v>2.0601276089542653</v>
      </c>
      <c r="BT253" s="151">
        <f>INPUT!DQ49</f>
        <v>18746</v>
      </c>
      <c r="BU253" s="687">
        <f>INPUT!DR49</f>
        <v>1.5658015928915914</v>
      </c>
      <c r="BV253" s="151">
        <f>INPUT!DS49</f>
        <v>18661</v>
      </c>
      <c r="BW253" s="687">
        <f>INPUT!DT49</f>
        <v>0.58753773178092938</v>
      </c>
      <c r="BX253" s="151">
        <f>INPUT!DU49</f>
        <v>18651</v>
      </c>
      <c r="BY253" s="687">
        <f>INPUT!DV49</f>
        <v>-0.42178323545114527</v>
      </c>
      <c r="BZ253" s="151">
        <f>INPUT!DW49</f>
        <v>18597</v>
      </c>
      <c r="CA253" s="687">
        <f>INPUT!DX49</f>
        <v>-1.4728476821192049</v>
      </c>
      <c r="CB253" s="151">
        <f>INPUT!DY49</f>
        <v>18672</v>
      </c>
      <c r="CC253" s="687">
        <f>INPUT!DZ49</f>
        <v>-0.39475088018777749</v>
      </c>
      <c r="CD253" s="151">
        <f>INPUT!EA49</f>
        <v>19082</v>
      </c>
      <c r="CE253" s="687">
        <f>INPUT!EB49</f>
        <v>2.2560420127538672</v>
      </c>
      <c r="CF253" s="151">
        <f>INPUT!EC49</f>
        <v>19448</v>
      </c>
      <c r="CG253" s="687">
        <f>INPUT!ED49</f>
        <v>4.2732293174628788</v>
      </c>
      <c r="CH253" s="151">
        <f>INPUT!EE49</f>
        <v>19598</v>
      </c>
      <c r="CI253" s="687">
        <f>INPUT!EF49</f>
        <v>5.3825885895574466</v>
      </c>
      <c r="CJ253" s="151">
        <f>INPUT!EG49</f>
        <v>19634</v>
      </c>
      <c r="CK253" s="687">
        <f>INPUT!EH49</f>
        <v>5.1520994001713838</v>
      </c>
      <c r="CL253" s="151">
        <f>INPUT!EI49</f>
        <v>19723</v>
      </c>
      <c r="CM253" s="687">
        <f>INPUT!EJ49</f>
        <v>3.3591866680641402</v>
      </c>
      <c r="CN253" s="151">
        <f>INPUT!EK49</f>
        <v>20027</v>
      </c>
      <c r="CO253" s="687">
        <f>INPUT!EL49</f>
        <v>2.9771698889345943</v>
      </c>
      <c r="CP253" s="151">
        <f>INPUT!EM49</f>
        <v>20021</v>
      </c>
      <c r="CQ253" s="687">
        <f>INPUT!EN49</f>
        <v>2.1583835085212666</v>
      </c>
      <c r="CR253" s="151">
        <f>INPUT!EO49</f>
        <v>20014</v>
      </c>
      <c r="CS253" s="687">
        <f>INPUT!EP49</f>
        <v>1.9354181521849867</v>
      </c>
      <c r="CT253" s="151">
        <f>INPUT!EQ49</f>
        <v>20305</v>
      </c>
      <c r="CU253" s="687">
        <f>INPUT!ER49</f>
        <v>2.9508695431729404</v>
      </c>
      <c r="CV253" s="151">
        <f>INPUT!ES49</f>
        <v>20614.103294568802</v>
      </c>
      <c r="CW253" s="687">
        <f>INPUT!ET49</f>
        <v>2.9315588683717086</v>
      </c>
      <c r="CX253" s="151">
        <f>INPUT!EU49</f>
        <v>20968.98666786966</v>
      </c>
      <c r="CY253" s="687">
        <f>INPUT!EV49</f>
        <v>4.7349616296371799</v>
      </c>
      <c r="CZ253" s="151">
        <f>INPUT!EW49</f>
        <v>21369.877017801045</v>
      </c>
      <c r="DA253" s="687">
        <f>INPUT!EX49</f>
        <v>6.7746428390179192</v>
      </c>
      <c r="DB253" s="151"/>
      <c r="DC253" s="151"/>
      <c r="DD253" s="687"/>
      <c r="DE253" s="151"/>
      <c r="DF253" s="687"/>
      <c r="DG253" s="151">
        <f>INPUT!FT49</f>
        <v>14932</v>
      </c>
      <c r="DH253" s="687" t="str">
        <f>INPUT!FU49</f>
        <v>NA</v>
      </c>
      <c r="DI253" s="151">
        <f>INPUT!FV49</f>
        <v>14352</v>
      </c>
      <c r="DJ253" s="687">
        <f>INPUT!FW49</f>
        <v>-3.8842753817305065</v>
      </c>
      <c r="DK253" s="151">
        <f>INPUT!FX49</f>
        <v>14038</v>
      </c>
      <c r="DL253" s="687">
        <f>INPUT!FY49</f>
        <v>-2.1878483835005569</v>
      </c>
      <c r="DM253" s="151">
        <f>INPUT!FZ49</f>
        <v>15941</v>
      </c>
      <c r="DN253" s="687">
        <f>INPUT!GA49</f>
        <v>13.55606211711069</v>
      </c>
      <c r="DO253" s="151">
        <f>INPUT!GB49</f>
        <v>17420</v>
      </c>
      <c r="DP253" s="687">
        <f>INPUT!GC49</f>
        <v>9.2779624866695887</v>
      </c>
      <c r="DQ253" s="151">
        <f>INPUT!GD49</f>
        <v>18106</v>
      </c>
      <c r="DR253" s="687">
        <f>INPUT!GE49</f>
        <v>3.9380022962112404</v>
      </c>
      <c r="DS253" s="151">
        <f>INPUT!GF49</f>
        <v>18438</v>
      </c>
      <c r="DT253" s="687">
        <f>INPUT!GG49</f>
        <v>1.8336463050922402</v>
      </c>
      <c r="DU253" s="151">
        <f>INPUT!GH49</f>
        <v>18552</v>
      </c>
      <c r="DV253" s="687">
        <f>INPUT!GI49</f>
        <v>0.61828831760495362</v>
      </c>
      <c r="DW253" s="151">
        <f>INPUT!GJ49</f>
        <v>18661</v>
      </c>
      <c r="DX253" s="687">
        <f>INPUT!GK49</f>
        <v>0.58753773178092938</v>
      </c>
      <c r="DY253" s="151">
        <f>INPUT!GL49</f>
        <v>19082</v>
      </c>
      <c r="DZ253" s="687">
        <f>INPUT!GM49</f>
        <v>2.2560420127538672</v>
      </c>
      <c r="EA253" s="151">
        <f>INPUT!GN49</f>
        <v>19723</v>
      </c>
      <c r="EB253" s="687">
        <f>INPUT!GO49</f>
        <v>3.3591866680641402</v>
      </c>
      <c r="EC253" s="151">
        <f>INPUT!GP49</f>
        <v>20305</v>
      </c>
      <c r="ED253" s="687">
        <f>INPUT!GQ49</f>
        <v>2.9508695431729404</v>
      </c>
      <c r="EE253" s="151">
        <f>INPUT!GR49</f>
        <v>21817.997410567663</v>
      </c>
      <c r="EF253" s="687">
        <f>INPUT!GS49</f>
        <v>7.4513539057752487</v>
      </c>
      <c r="EG253" s="151">
        <f>INPUT!GT49</f>
        <v>23406.254634498644</v>
      </c>
      <c r="EH253" s="687">
        <f>INPUT!GU49</f>
        <v>7.2795738034220348</v>
      </c>
      <c r="EI253" s="151">
        <f>INPUT!GV49</f>
        <v>24952.577303105987</v>
      </c>
      <c r="EJ253" s="687">
        <f>INPUT!GW49</f>
        <v>6.6064506806151169</v>
      </c>
      <c r="EK253" s="151">
        <f>INPUT!GX49</f>
        <v>26460.81780319348</v>
      </c>
      <c r="EL253" s="687">
        <f>INPUT!GY49</f>
        <v>6.0444277229020127</v>
      </c>
      <c r="EM253" s="687">
        <f>INPUT!GZ49</f>
        <v>6.0537568416600074</v>
      </c>
    </row>
    <row r="254" spans="1:143" ht="12.75" hidden="1" customHeight="1" outlineLevel="1" x14ac:dyDescent="0.2">
      <c r="A254" s="719" t="str">
        <f>INPUT!B50</f>
        <v>Deposits</v>
      </c>
      <c r="B254" s="151"/>
      <c r="C254" s="687"/>
      <c r="D254" s="151"/>
      <c r="E254" s="687"/>
      <c r="F254" s="151"/>
      <c r="G254" s="687"/>
      <c r="H254" s="151"/>
      <c r="I254" s="687"/>
      <c r="J254" s="151">
        <f>INPUT!BG50</f>
        <v>286</v>
      </c>
      <c r="K254" s="687" t="str">
        <f>INPUT!BH50</f>
        <v>NA</v>
      </c>
      <c r="L254" s="151">
        <f>INPUT!BI50</f>
        <v>320</v>
      </c>
      <c r="M254" s="687" t="str">
        <f>INPUT!BJ50</f>
        <v>NA</v>
      </c>
      <c r="N254" s="151">
        <f>INPUT!BK50</f>
        <v>485</v>
      </c>
      <c r="O254" s="687" t="str">
        <f>INPUT!BL50</f>
        <v>NA</v>
      </c>
      <c r="P254" s="151">
        <f>INPUT!BM50</f>
        <v>435</v>
      </c>
      <c r="Q254" s="687" t="str">
        <f>INPUT!BN50</f>
        <v>NA</v>
      </c>
      <c r="R254" s="151">
        <f>INPUT!BO50</f>
        <v>304</v>
      </c>
      <c r="S254" s="687">
        <f>INPUT!BP50</f>
        <v>6.2937062937062915</v>
      </c>
      <c r="T254" s="151">
        <f>INPUT!BQ50</f>
        <v>493</v>
      </c>
      <c r="U254" s="687">
        <f>INPUT!BR50</f>
        <v>54.062499999999993</v>
      </c>
      <c r="V254" s="151">
        <f>INPUT!BS50</f>
        <v>379</v>
      </c>
      <c r="W254" s="687">
        <f>INPUT!BT50</f>
        <v>-21.855670103092784</v>
      </c>
      <c r="X254" s="151">
        <f>INPUT!BU50</f>
        <v>431</v>
      </c>
      <c r="Y254" s="687">
        <f>INPUT!BV50</f>
        <v>-0.91954022988506301</v>
      </c>
      <c r="Z254" s="151">
        <f>INPUT!BW50</f>
        <v>602</v>
      </c>
      <c r="AA254" s="687">
        <f>INPUT!BX50</f>
        <v>98.026315789473699</v>
      </c>
      <c r="AB254" s="151">
        <f>INPUT!BY50</f>
        <v>899</v>
      </c>
      <c r="AC254" s="687">
        <f>INPUT!BZ50</f>
        <v>82.35294117647058</v>
      </c>
      <c r="AD254" s="151">
        <f>INPUT!CA50</f>
        <v>1260</v>
      </c>
      <c r="AE254" s="687" t="str">
        <f>INPUT!CB50</f>
        <v>NM</v>
      </c>
      <c r="AF254" s="151">
        <f>INPUT!CC50</f>
        <v>400</v>
      </c>
      <c r="AG254" s="687">
        <f>INPUT!CD50</f>
        <v>-7.1925754060324865</v>
      </c>
      <c r="AH254" s="151">
        <f>INPUT!CE50</f>
        <v>411</v>
      </c>
      <c r="AI254" s="687">
        <f>INPUT!CF50</f>
        <v>-31.727574750830566</v>
      </c>
      <c r="AJ254" s="151">
        <f>INPUT!CG50</f>
        <v>637</v>
      </c>
      <c r="AK254" s="687">
        <f>INPUT!CH50</f>
        <v>-29.14349276974416</v>
      </c>
      <c r="AL254" s="151">
        <f>INPUT!CI50</f>
        <v>958</v>
      </c>
      <c r="AM254" s="687">
        <f>INPUT!CJ50</f>
        <v>-23.968253968253972</v>
      </c>
      <c r="AN254" s="151">
        <f>INPUT!CK50</f>
        <v>395</v>
      </c>
      <c r="AO254" s="687">
        <f>INPUT!CL50</f>
        <v>-1.2499999999999956</v>
      </c>
      <c r="AP254" s="151">
        <f>INPUT!CM50</f>
        <v>455</v>
      </c>
      <c r="AQ254" s="687">
        <f>INPUT!CN50</f>
        <v>10.705596107055971</v>
      </c>
      <c r="AR254" s="151">
        <f>INPUT!CO50</f>
        <v>571</v>
      </c>
      <c r="AS254" s="687">
        <f>INPUT!CP50</f>
        <v>-10.361067503924648</v>
      </c>
      <c r="AT254" s="151">
        <f>INPUT!CQ50</f>
        <v>554</v>
      </c>
      <c r="AU254" s="687">
        <f>INPUT!CR50</f>
        <v>-42.17118997912317</v>
      </c>
      <c r="AV254" s="151">
        <f>INPUT!CS50</f>
        <v>347</v>
      </c>
      <c r="AW254" s="687">
        <f>INPUT!CT50</f>
        <v>-12.151898734177212</v>
      </c>
      <c r="AX254" s="151">
        <f>INPUT!CU50</f>
        <v>295</v>
      </c>
      <c r="AY254" s="687">
        <f>INPUT!CV50</f>
        <v>-35.164835164835161</v>
      </c>
      <c r="AZ254" s="151">
        <f>INPUT!CW50</f>
        <v>445</v>
      </c>
      <c r="BA254" s="687">
        <f>INPUT!CX50</f>
        <v>-22.066549912434329</v>
      </c>
      <c r="BB254" s="151">
        <f>INPUT!CY50</f>
        <v>489</v>
      </c>
      <c r="BC254" s="687">
        <f>INPUT!CZ50</f>
        <v>-11.732851985559567</v>
      </c>
      <c r="BD254" s="151">
        <f>INPUT!DA50</f>
        <v>520</v>
      </c>
      <c r="BE254" s="687">
        <f>INPUT!DB50</f>
        <v>49.855907780979834</v>
      </c>
      <c r="BF254" s="151">
        <f>INPUT!DC50</f>
        <v>280</v>
      </c>
      <c r="BG254" s="687">
        <f>INPUT!DD50</f>
        <v>-5.0847457627118615</v>
      </c>
      <c r="BH254" s="151">
        <f>INPUT!DE50</f>
        <v>264</v>
      </c>
      <c r="BI254" s="687">
        <f>INPUT!DF50</f>
        <v>-40.674157303370784</v>
      </c>
      <c r="BJ254" s="151">
        <f>INPUT!DG50</f>
        <v>233</v>
      </c>
      <c r="BK254" s="687" t="str">
        <f>INPUT!DH50</f>
        <v>NM</v>
      </c>
      <c r="BL254" s="151">
        <f>INPUT!DI50</f>
        <v>279</v>
      </c>
      <c r="BM254" s="687">
        <f>INPUT!DJ50</f>
        <v>-46.346153846153847</v>
      </c>
      <c r="BN254" s="151">
        <f>INPUT!DK50</f>
        <v>432</v>
      </c>
      <c r="BO254" s="687">
        <f>INPUT!DL50</f>
        <v>54.285714285714292</v>
      </c>
      <c r="BP254" s="151">
        <f>INPUT!DM50</f>
        <v>393</v>
      </c>
      <c r="BQ254" s="687">
        <f>INPUT!DN50</f>
        <v>48.863636363636353</v>
      </c>
      <c r="BR254" s="151">
        <f>INPUT!DO50</f>
        <v>227</v>
      </c>
      <c r="BS254" s="687">
        <f>INPUT!DP50</f>
        <v>-2.5751072961373356</v>
      </c>
      <c r="BT254" s="151">
        <f>INPUT!DQ50</f>
        <v>206</v>
      </c>
      <c r="BU254" s="687">
        <f>INPUT!DR50</f>
        <v>-26.16487455197133</v>
      </c>
      <c r="BV254" s="151">
        <f>INPUT!DS50</f>
        <v>293</v>
      </c>
      <c r="BW254" s="687">
        <f>INPUT!DT50</f>
        <v>-32.175925925925931</v>
      </c>
      <c r="BX254" s="151">
        <f>INPUT!DU50</f>
        <v>365</v>
      </c>
      <c r="BY254" s="687">
        <f>INPUT!DV50</f>
        <v>-7.1246819338422362</v>
      </c>
      <c r="BZ254" s="151">
        <f>INPUT!DW50</f>
        <v>566</v>
      </c>
      <c r="CA254" s="687">
        <f>INPUT!DX50</f>
        <v>566</v>
      </c>
      <c r="CB254" s="151">
        <f>INPUT!DY50</f>
        <v>656</v>
      </c>
      <c r="CC254" s="687" t="str">
        <f>INPUT!DZ50</f>
        <v>NM</v>
      </c>
      <c r="CD254" s="151">
        <f>INPUT!EA50</f>
        <v>668</v>
      </c>
      <c r="CE254" s="687" t="str">
        <f>INPUT!EB50</f>
        <v>NM</v>
      </c>
      <c r="CF254" s="151">
        <f>INPUT!EC50</f>
        <v>478</v>
      </c>
      <c r="CG254" s="687">
        <f>INPUT!ED50</f>
        <v>30.958904109589035</v>
      </c>
      <c r="CH254" s="151">
        <f>INPUT!EE50</f>
        <v>420</v>
      </c>
      <c r="CI254" s="687">
        <f>INPUT!EF50</f>
        <v>-25.795053003533564</v>
      </c>
      <c r="CJ254" s="151">
        <f>INPUT!EG50</f>
        <v>411</v>
      </c>
      <c r="CK254" s="687">
        <f>INPUT!EH50</f>
        <v>-37.34756097560976</v>
      </c>
      <c r="CL254" s="151">
        <f>INPUT!EI50</f>
        <v>562</v>
      </c>
      <c r="CM254" s="687">
        <f>INPUT!EJ50</f>
        <v>-15.86826347305389</v>
      </c>
      <c r="CN254" s="151">
        <f>INPUT!EK50</f>
        <v>377</v>
      </c>
      <c r="CO254" s="687">
        <f>INPUT!EL50</f>
        <v>-21.129707112970706</v>
      </c>
      <c r="CP254" s="151">
        <f>INPUT!EM50</f>
        <v>384</v>
      </c>
      <c r="CQ254" s="687">
        <f>INPUT!EN50</f>
        <v>-8.5714285714285747</v>
      </c>
      <c r="CR254" s="151">
        <f>INPUT!EO50</f>
        <v>645</v>
      </c>
      <c r="CS254" s="687">
        <f>INPUT!EP50</f>
        <v>56.934306569343065</v>
      </c>
      <c r="CT254" s="151">
        <f>INPUT!EQ50</f>
        <v>650</v>
      </c>
      <c r="CU254" s="687">
        <f>INPUT!ER50</f>
        <v>15.658362989323837</v>
      </c>
      <c r="CV254" s="151">
        <f>INPUT!ES50</f>
        <v>700</v>
      </c>
      <c r="CW254" s="687">
        <f>INPUT!ET50</f>
        <v>85.676392572944309</v>
      </c>
      <c r="CX254" s="151">
        <f>INPUT!EU50</f>
        <v>750</v>
      </c>
      <c r="CY254" s="687">
        <f>INPUT!EV50</f>
        <v>95.3125</v>
      </c>
      <c r="CZ254" s="151">
        <f>INPUT!EW50</f>
        <v>800</v>
      </c>
      <c r="DA254" s="687">
        <f>INPUT!EX50</f>
        <v>24.031007751937985</v>
      </c>
      <c r="DB254" s="151"/>
      <c r="DC254" s="151"/>
      <c r="DD254" s="687"/>
      <c r="DE254" s="151"/>
      <c r="DF254" s="687"/>
      <c r="DG254" s="151">
        <f>INPUT!FT50</f>
        <v>1526</v>
      </c>
      <c r="DH254" s="687" t="str">
        <f>INPUT!FU50</f>
        <v>NA</v>
      </c>
      <c r="DI254" s="151">
        <f>INPUT!FV50</f>
        <v>1607</v>
      </c>
      <c r="DJ254" s="687">
        <f>INPUT!FW50</f>
        <v>5.3079947575360498</v>
      </c>
      <c r="DK254" s="151">
        <f>INPUT!FX50</f>
        <v>3161</v>
      </c>
      <c r="DL254" s="687">
        <f>INPUT!FY50</f>
        <v>96.701929060360925</v>
      </c>
      <c r="DM254" s="151">
        <f>INPUT!FZ50</f>
        <v>2401</v>
      </c>
      <c r="DN254" s="687">
        <f>INPUT!GA50</f>
        <v>-24.043024359379938</v>
      </c>
      <c r="DO254" s="151">
        <f>INPUT!GB50</f>
        <v>1927</v>
      </c>
      <c r="DP254" s="687">
        <f>INPUT!GC50</f>
        <v>-19.741774260724696</v>
      </c>
      <c r="DQ254" s="151">
        <f>INPUT!GD50</f>
        <v>1749</v>
      </c>
      <c r="DR254" s="687">
        <f>INPUT!GE50</f>
        <v>-9.2371562013492508</v>
      </c>
      <c r="DS254" s="151">
        <f>INPUT!GF50</f>
        <v>1056</v>
      </c>
      <c r="DT254" s="687">
        <f>INPUT!GG50</f>
        <v>-39.622641509433961</v>
      </c>
      <c r="DU254" s="151">
        <f>INPUT!GH50</f>
        <v>1258</v>
      </c>
      <c r="DV254" s="687">
        <f>INPUT!GI50</f>
        <v>19.12878787878789</v>
      </c>
      <c r="DW254" s="151">
        <f>INPUT!GJ50</f>
        <v>1880</v>
      </c>
      <c r="DX254" s="687">
        <f>INPUT!GK50</f>
        <v>49.443561208267099</v>
      </c>
      <c r="DY254" s="151">
        <f>INPUT!GL50</f>
        <v>1977</v>
      </c>
      <c r="DZ254" s="687">
        <f>INPUT!GM50</f>
        <v>5.1595744680851041</v>
      </c>
      <c r="EA254" s="151">
        <f>INPUT!GN50</f>
        <v>1968</v>
      </c>
      <c r="EB254" s="687">
        <f>INPUT!GO50</f>
        <v>-0.45523520485584168</v>
      </c>
      <c r="EC254" s="151">
        <f>INPUT!GP50</f>
        <v>2900</v>
      </c>
      <c r="ED254" s="687">
        <f>INPUT!GQ50</f>
        <v>47.357723577235774</v>
      </c>
      <c r="EE254" s="151">
        <f>INPUT!GR50</f>
        <v>2958</v>
      </c>
      <c r="EF254" s="687">
        <f>INPUT!GS50</f>
        <v>2.0000000000000018</v>
      </c>
      <c r="EG254" s="151">
        <f>INPUT!GT50</f>
        <v>3017.16</v>
      </c>
      <c r="EH254" s="687">
        <f>INPUT!GU50</f>
        <v>2.0000000000000018</v>
      </c>
      <c r="EI254" s="151">
        <f>INPUT!GV50</f>
        <v>3077.5032000000001</v>
      </c>
      <c r="EJ254" s="687">
        <f>INPUT!GW50</f>
        <v>2.0000000000000018</v>
      </c>
      <c r="EK254" s="151">
        <f>INPUT!GX50</f>
        <v>3139.0532640000001</v>
      </c>
      <c r="EL254" s="687">
        <f>INPUT!GY50</f>
        <v>2.0000000000000018</v>
      </c>
      <c r="EM254" s="687">
        <f>INPUT!GZ50</f>
        <v>9.7879606972325561</v>
      </c>
    </row>
    <row r="255" spans="1:143" ht="12.75" hidden="1" customHeight="1" outlineLevel="1" x14ac:dyDescent="0.2">
      <c r="A255" s="719" t="str">
        <f>INPUT!B52</f>
        <v>Withdrawals</v>
      </c>
      <c r="B255" s="151"/>
      <c r="C255" s="687"/>
      <c r="D255" s="151"/>
      <c r="E255" s="687"/>
      <c r="F255" s="151"/>
      <c r="G255" s="687"/>
      <c r="H255" s="151"/>
      <c r="I255" s="687"/>
      <c r="J255" s="151">
        <f>INPUT!BG52</f>
        <v>-737</v>
      </c>
      <c r="K255" s="687" t="str">
        <f>INPUT!BH52</f>
        <v>NA</v>
      </c>
      <c r="L255" s="151">
        <f>INPUT!BI52</f>
        <v>-738</v>
      </c>
      <c r="M255" s="687" t="str">
        <f>INPUT!BJ52</f>
        <v>NA</v>
      </c>
      <c r="N255" s="151">
        <f>INPUT!BK52</f>
        <v>-710</v>
      </c>
      <c r="O255" s="687" t="str">
        <f>INPUT!BL52</f>
        <v>NA</v>
      </c>
      <c r="P255" s="151">
        <f>INPUT!BM52</f>
        <v>-548</v>
      </c>
      <c r="Q255" s="687" t="str">
        <f>INPUT!BN52</f>
        <v>NA</v>
      </c>
      <c r="R255" s="151">
        <f>INPUT!BO52</f>
        <v>-461</v>
      </c>
      <c r="S255" s="687">
        <f>INPUT!BP52</f>
        <v>-37.449118046132966</v>
      </c>
      <c r="T255" s="151">
        <f>INPUT!BQ52</f>
        <v>-508</v>
      </c>
      <c r="U255" s="687">
        <f>INPUT!BR52</f>
        <v>-31.165311653116532</v>
      </c>
      <c r="V255" s="151">
        <f>INPUT!BS52</f>
        <v>-663</v>
      </c>
      <c r="W255" s="687">
        <f>INPUT!BT52</f>
        <v>-6.6197183098591577</v>
      </c>
      <c r="X255" s="151">
        <f>INPUT!BU52</f>
        <v>-646</v>
      </c>
      <c r="Y255" s="687">
        <f>INPUT!BV52</f>
        <v>17.883211678832112</v>
      </c>
      <c r="Z255" s="151">
        <f>INPUT!BW52</f>
        <v>-611</v>
      </c>
      <c r="AA255" s="687">
        <f>INPUT!BX52</f>
        <v>32.537960954446852</v>
      </c>
      <c r="AB255" s="151">
        <f>INPUT!BY52</f>
        <v>-515</v>
      </c>
      <c r="AC255" s="687">
        <f>INPUT!BZ52</f>
        <v>1.3779527559055094</v>
      </c>
      <c r="AD255" s="151">
        <f>INPUT!CA52</f>
        <v>-398</v>
      </c>
      <c r="AE255" s="687">
        <f>INPUT!CB52</f>
        <v>-39.969834087481146</v>
      </c>
      <c r="AF255" s="151">
        <f>INPUT!CC52</f>
        <v>-419</v>
      </c>
      <c r="AG255" s="687">
        <f>INPUT!CD52</f>
        <v>-35.139318885448908</v>
      </c>
      <c r="AH255" s="151">
        <f>INPUT!CE52</f>
        <v>-388</v>
      </c>
      <c r="AI255" s="687">
        <f>INPUT!CF52</f>
        <v>-36.497545008183309</v>
      </c>
      <c r="AJ255" s="151">
        <f>INPUT!CG52</f>
        <v>-354</v>
      </c>
      <c r="AK255" s="687">
        <f>INPUT!CH52</f>
        <v>-31.262135922330092</v>
      </c>
      <c r="AL255" s="151">
        <f>INPUT!CI52</f>
        <v>-386</v>
      </c>
      <c r="AM255" s="687">
        <f>INPUT!CJ52</f>
        <v>-3.0150753768844241</v>
      </c>
      <c r="AN255" s="151">
        <f>INPUT!CK52</f>
        <v>-503</v>
      </c>
      <c r="AO255" s="687">
        <f>INPUT!CL52</f>
        <v>20.04773269689737</v>
      </c>
      <c r="AP255" s="151">
        <f>INPUT!CM52</f>
        <v>-424</v>
      </c>
      <c r="AQ255" s="687">
        <f>INPUT!CN52</f>
        <v>9.2783505154639059</v>
      </c>
      <c r="AR255" s="151">
        <f>INPUT!CO52</f>
        <v>-437</v>
      </c>
      <c r="AS255" s="687">
        <f>INPUT!CP52</f>
        <v>23.446327683615809</v>
      </c>
      <c r="AT255" s="151">
        <f>INPUT!CQ52</f>
        <v>-508</v>
      </c>
      <c r="AU255" s="687">
        <f>INPUT!CR52</f>
        <v>31.606217616580313</v>
      </c>
      <c r="AV255" s="151">
        <f>INPUT!CS52</f>
        <v>-475</v>
      </c>
      <c r="AW255" s="687">
        <f>INPUT!CT52</f>
        <v>-5.5666003976143186</v>
      </c>
      <c r="AX255" s="151">
        <f>INPUT!CU52</f>
        <v>-465</v>
      </c>
      <c r="AY255" s="687">
        <f>INPUT!CV52</f>
        <v>9.6698113207547074</v>
      </c>
      <c r="AZ255" s="151">
        <f>INPUT!CW52</f>
        <v>-477</v>
      </c>
      <c r="BA255" s="687">
        <f>INPUT!CX52</f>
        <v>9.1533180778031955</v>
      </c>
      <c r="BB255" s="151">
        <f>INPUT!CY52</f>
        <v>-599</v>
      </c>
      <c r="BC255" s="687">
        <f>INPUT!CZ52</f>
        <v>17.913385826771645</v>
      </c>
      <c r="BD255" s="151">
        <f>INPUT!DA52</f>
        <v>-571</v>
      </c>
      <c r="BE255" s="687">
        <f>INPUT!DB52</f>
        <v>20.21052631578948</v>
      </c>
      <c r="BF255" s="151">
        <f>INPUT!DC52</f>
        <v>-435</v>
      </c>
      <c r="BG255" s="687">
        <f>INPUT!DD52</f>
        <v>-6.4516129032258114</v>
      </c>
      <c r="BH255" s="151">
        <f>INPUT!DE52</f>
        <v>-462</v>
      </c>
      <c r="BI255" s="687">
        <f>INPUT!DF52</f>
        <v>-3.1446540880503138</v>
      </c>
      <c r="BJ255" s="151">
        <f>INPUT!DG52</f>
        <v>-462</v>
      </c>
      <c r="BK255" s="687">
        <f>INPUT!DH52</f>
        <v>-22.871452420701168</v>
      </c>
      <c r="BL255" s="151">
        <f>INPUT!DI52</f>
        <v>-440</v>
      </c>
      <c r="BM255" s="687">
        <f>INPUT!DJ52</f>
        <v>-22.942206654991249</v>
      </c>
      <c r="BN255" s="151">
        <f>INPUT!DK52</f>
        <v>-424</v>
      </c>
      <c r="BO255" s="687">
        <f>INPUT!DL52</f>
        <v>-2.5287356321839094</v>
      </c>
      <c r="BP255" s="151">
        <f>INPUT!DM52</f>
        <v>-460</v>
      </c>
      <c r="BQ255" s="687">
        <f>INPUT!DN52</f>
        <v>-0.43290043290042934</v>
      </c>
      <c r="BR255" s="151">
        <f>INPUT!DO52</f>
        <v>-475</v>
      </c>
      <c r="BS255" s="687">
        <f>INPUT!DP52</f>
        <v>2.813852813852824</v>
      </c>
      <c r="BT255" s="151">
        <f>INPUT!DQ52</f>
        <v>-481</v>
      </c>
      <c r="BU255" s="687">
        <f>INPUT!DR52</f>
        <v>9.3181818181818254</v>
      </c>
      <c r="BV255" s="151">
        <f>INPUT!DS52</f>
        <v>-454</v>
      </c>
      <c r="BW255" s="687">
        <f>INPUT!DT52</f>
        <v>7.0754716981132004</v>
      </c>
      <c r="BX255" s="151">
        <f>INPUT!DU52</f>
        <v>-543</v>
      </c>
      <c r="BY255" s="687">
        <f>INPUT!DV52</f>
        <v>18.043478260869563</v>
      </c>
      <c r="BZ255" s="151">
        <f>INPUT!DW52</f>
        <v>-525</v>
      </c>
      <c r="CA255" s="687">
        <f>INPUT!DX52</f>
        <v>-525</v>
      </c>
      <c r="CB255" s="151">
        <f>INPUT!DY52</f>
        <v>-452</v>
      </c>
      <c r="CC255" s="687">
        <f>INPUT!DZ52</f>
        <v>-6.0291060291060239</v>
      </c>
      <c r="CD255" s="151">
        <f>INPUT!EA52</f>
        <v>-412</v>
      </c>
      <c r="CE255" s="687">
        <f>INPUT!EB52</f>
        <v>-9.2511013215859084</v>
      </c>
      <c r="CF255" s="151">
        <f>INPUT!EC52</f>
        <v>-475</v>
      </c>
      <c r="CG255" s="687">
        <f>INPUT!ED52</f>
        <v>-12.523020257826889</v>
      </c>
      <c r="CH255" s="151">
        <f>INPUT!EE52</f>
        <v>-549</v>
      </c>
      <c r="CI255" s="687">
        <f>INPUT!EF52</f>
        <v>4.5714285714285818</v>
      </c>
      <c r="CJ255" s="151">
        <f>INPUT!EG52</f>
        <v>-469</v>
      </c>
      <c r="CK255" s="687">
        <f>INPUT!EH52</f>
        <v>3.7610619469026441</v>
      </c>
      <c r="CL255" s="151">
        <f>INPUT!EI52</f>
        <v>-480</v>
      </c>
      <c r="CM255" s="687">
        <f>INPUT!EJ52</f>
        <v>16.50485436893203</v>
      </c>
      <c r="CN255" s="151">
        <f>INPUT!EK52</f>
        <v>-554</v>
      </c>
      <c r="CO255" s="687">
        <f>INPUT!EL52</f>
        <v>16.631578947368418</v>
      </c>
      <c r="CP255" s="151">
        <f>INPUT!EM52</f>
        <v>-575</v>
      </c>
      <c r="CQ255" s="687">
        <f>INPUT!EN52</f>
        <v>4.735883424408005</v>
      </c>
      <c r="CR255" s="151">
        <f>INPUT!EO52</f>
        <v>-571</v>
      </c>
      <c r="CS255" s="687">
        <f>INPUT!EP52</f>
        <v>21.748400852878458</v>
      </c>
      <c r="CT255" s="151">
        <f>INPUT!EQ52</f>
        <v>-553.9209884330968</v>
      </c>
      <c r="CU255" s="687">
        <f>INPUT!ER52</f>
        <v>15.400205923561838</v>
      </c>
      <c r="CV255" s="151">
        <f>INPUT!ES52</f>
        <v>-562.35333526665886</v>
      </c>
      <c r="CW255" s="687">
        <f>INPUT!ET52</f>
        <v>1.5078222502994398</v>
      </c>
      <c r="CX255" s="151">
        <f>INPUT!EU52</f>
        <v>-572.03456397472507</v>
      </c>
      <c r="CY255" s="687">
        <f>INPUT!EV52</f>
        <v>-0.51572800439564359</v>
      </c>
      <c r="CZ255" s="151">
        <f>INPUT!EW52</f>
        <v>-582.97086433854099</v>
      </c>
      <c r="DA255" s="687">
        <f>INPUT!EX52</f>
        <v>2.0964736144555074</v>
      </c>
      <c r="DB255" s="151"/>
      <c r="DC255" s="151"/>
      <c r="DD255" s="687"/>
      <c r="DE255" s="151"/>
      <c r="DF255" s="687"/>
      <c r="DG255" s="151">
        <f>INPUT!FT52</f>
        <v>-2733</v>
      </c>
      <c r="DH255" s="687" t="str">
        <f>INPUT!FU52</f>
        <v>NA</v>
      </c>
      <c r="DI255" s="151">
        <f>INPUT!FV52</f>
        <v>-2278</v>
      </c>
      <c r="DJ255" s="687">
        <f>INPUT!FW52</f>
        <v>-16.648371752652757</v>
      </c>
      <c r="DK255" s="151">
        <f>INPUT!FX52</f>
        <v>-1943</v>
      </c>
      <c r="DL255" s="687">
        <f>INPUT!FY52</f>
        <v>-14.705882352941179</v>
      </c>
      <c r="DM255" s="151">
        <f>INPUT!FZ52</f>
        <v>-1631</v>
      </c>
      <c r="DN255" s="687">
        <f>INPUT!GA52</f>
        <v>-16.057642820380856</v>
      </c>
      <c r="DO255" s="151">
        <f>INPUT!GB52</f>
        <v>-1844</v>
      </c>
      <c r="DP255" s="687">
        <f>INPUT!GC52</f>
        <v>13.059472716125086</v>
      </c>
      <c r="DQ255" s="151">
        <f>INPUT!GD52</f>
        <v>-2112</v>
      </c>
      <c r="DR255" s="687">
        <f>INPUT!GE52</f>
        <v>14.533622559652937</v>
      </c>
      <c r="DS255" s="151">
        <f>INPUT!GF52</f>
        <v>-1799</v>
      </c>
      <c r="DT255" s="687">
        <f>INPUT!GG52</f>
        <v>-14.820075757575758</v>
      </c>
      <c r="DU255" s="151">
        <f>INPUT!GH52</f>
        <v>-1840</v>
      </c>
      <c r="DV255" s="687">
        <f>INPUT!GI52</f>
        <v>2.2790439132851503</v>
      </c>
      <c r="DW255" s="151">
        <f>INPUT!GJ52</f>
        <v>-1974</v>
      </c>
      <c r="DX255" s="687">
        <f>INPUT!GK52</f>
        <v>7.2826086956521818</v>
      </c>
      <c r="DY255" s="151">
        <f>INPUT!GL52</f>
        <v>-1905</v>
      </c>
      <c r="DZ255" s="687">
        <f>INPUT!GM52</f>
        <v>-3.495440729483279</v>
      </c>
      <c r="EA255" s="151">
        <f>INPUT!GN52</f>
        <v>-2180</v>
      </c>
      <c r="EB255" s="687">
        <f>INPUT!GO52</f>
        <v>14.435695538057747</v>
      </c>
      <c r="EC255" s="151">
        <f>INPUT!GP52</f>
        <v>-2271.2797520130221</v>
      </c>
      <c r="ED255" s="687">
        <f>INPUT!GQ52</f>
        <v>4.1871445877533109</v>
      </c>
      <c r="EE255" s="151">
        <f>INPUT!GR52</f>
        <v>-2318.4948022994404</v>
      </c>
      <c r="EF255" s="687">
        <f>INPUT!GS52</f>
        <v>2.078786210486494</v>
      </c>
      <c r="EG255" s="151">
        <f>INPUT!GT52</f>
        <v>-2487.2713425613315</v>
      </c>
      <c r="EH255" s="687">
        <f>INPUT!GU52</f>
        <v>7.2795738034220125</v>
      </c>
      <c r="EI255" s="151">
        <f>INPUT!GV52</f>
        <v>-2651.5916971007196</v>
      </c>
      <c r="EJ255" s="687">
        <f>INPUT!GW52</f>
        <v>6.6064506806151169</v>
      </c>
      <c r="EK255" s="151">
        <f>INPUT!GX52</f>
        <v>-2811.8652407384434</v>
      </c>
      <c r="EL255" s="687">
        <f>INPUT!GY52</f>
        <v>6.0444277229020127</v>
      </c>
      <c r="EM255" s="687">
        <f>INPUT!GZ52</f>
        <v>5.222254289046635</v>
      </c>
    </row>
    <row r="256" spans="1:143" ht="12.75" hidden="1" customHeight="1" outlineLevel="1" x14ac:dyDescent="0.2">
      <c r="A256" s="719" t="str">
        <f>INPUT!B53</f>
        <v>Interest Credited</v>
      </c>
      <c r="B256" s="151"/>
      <c r="C256" s="687"/>
      <c r="D256" s="151"/>
      <c r="E256" s="687"/>
      <c r="F256" s="151"/>
      <c r="G256" s="687"/>
      <c r="H256" s="151"/>
      <c r="I256" s="687"/>
      <c r="J256" s="151">
        <f>INPUT!BG53</f>
        <v>181</v>
      </c>
      <c r="K256" s="687" t="str">
        <f>INPUT!BH53</f>
        <v>NA</v>
      </c>
      <c r="L256" s="151">
        <f>INPUT!BI53</f>
        <v>166</v>
      </c>
      <c r="M256" s="687" t="str">
        <f>INPUT!BJ53</f>
        <v>NA</v>
      </c>
      <c r="N256" s="151">
        <f>INPUT!BK53</f>
        <v>158</v>
      </c>
      <c r="O256" s="687" t="str">
        <f>INPUT!BL53</f>
        <v>NA</v>
      </c>
      <c r="P256" s="151">
        <f>INPUT!BM53</f>
        <v>122</v>
      </c>
      <c r="Q256" s="687" t="str">
        <f>INPUT!BN53</f>
        <v>NA</v>
      </c>
      <c r="R256" s="151">
        <f>INPUT!BO53</f>
        <v>37</v>
      </c>
      <c r="S256" s="687" t="str">
        <f>INPUT!BP53</f>
        <v>NM</v>
      </c>
      <c r="T256" s="151">
        <f>INPUT!BQ53</f>
        <v>104</v>
      </c>
      <c r="U256" s="687">
        <f>INPUT!BR53</f>
        <v>-37.349397590361441</v>
      </c>
      <c r="V256" s="151">
        <f>INPUT!BS53</f>
        <v>104</v>
      </c>
      <c r="W256" s="687">
        <f>INPUT!BT53</f>
        <v>-34.177215189873422</v>
      </c>
      <c r="X256" s="151">
        <f>INPUT!BU53</f>
        <v>112</v>
      </c>
      <c r="Y256" s="687">
        <f>INPUT!BV53</f>
        <v>-8.1967213114754074</v>
      </c>
      <c r="Z256" s="151">
        <f>INPUT!BW53</f>
        <v>125</v>
      </c>
      <c r="AA256" s="687" t="str">
        <f>INPUT!BX53</f>
        <v>NM</v>
      </c>
      <c r="AB256" s="151">
        <f>INPUT!BY53</f>
        <v>159</v>
      </c>
      <c r="AC256" s="687">
        <f>INPUT!BZ53</f>
        <v>52.884615384615373</v>
      </c>
      <c r="AD256" s="151">
        <f>INPUT!CA53</f>
        <v>217</v>
      </c>
      <c r="AE256" s="687" t="str">
        <f>INPUT!CB53</f>
        <v>NM</v>
      </c>
      <c r="AF256" s="151">
        <f>INPUT!CC53</f>
        <v>184</v>
      </c>
      <c r="AG256" s="687">
        <f>INPUT!CD53</f>
        <v>64.285714285714278</v>
      </c>
      <c r="AH256" s="151">
        <f>INPUT!CE53</f>
        <v>182</v>
      </c>
      <c r="AI256" s="687">
        <f>INPUT!CF53</f>
        <v>45.599999999999994</v>
      </c>
      <c r="AJ256" s="151">
        <f>INPUT!CG53</f>
        <v>72</v>
      </c>
      <c r="AK256" s="687" t="str">
        <f>INPUT!CH53</f>
        <v>NM</v>
      </c>
      <c r="AL256" s="151">
        <f>INPUT!CI53</f>
        <v>231</v>
      </c>
      <c r="AM256" s="687">
        <f>INPUT!CJ53</f>
        <v>6.4516129032258007</v>
      </c>
      <c r="AN256" s="151">
        <f>INPUT!CK53</f>
        <v>224</v>
      </c>
      <c r="AO256" s="687">
        <f>INPUT!CL53</f>
        <v>21.739130434782616</v>
      </c>
      <c r="AP256" s="151">
        <f>INPUT!CM53</f>
        <v>192</v>
      </c>
      <c r="AQ256" s="687">
        <f>INPUT!CN53</f>
        <v>5.4945054945054972</v>
      </c>
      <c r="AR256" s="151">
        <f>INPUT!CO53</f>
        <v>153</v>
      </c>
      <c r="AS256" s="687" t="str">
        <f>INPUT!CP53</f>
        <v>NM</v>
      </c>
      <c r="AT256" s="151">
        <f>INPUT!CQ53</f>
        <v>15</v>
      </c>
      <c r="AU256" s="687" t="str">
        <f>INPUT!CR53</f>
        <v>NM</v>
      </c>
      <c r="AV256" s="151">
        <f>INPUT!CS53</f>
        <v>215</v>
      </c>
      <c r="AW256" s="687">
        <f>INPUT!CT53</f>
        <v>-4.0178571428571397</v>
      </c>
      <c r="AX256" s="151">
        <f>INPUT!CU53</f>
        <v>241</v>
      </c>
      <c r="AY256" s="687">
        <f>INPUT!CV53</f>
        <v>25.520833333333325</v>
      </c>
      <c r="AZ256" s="151">
        <f>INPUT!CW53</f>
        <v>110</v>
      </c>
      <c r="BA256" s="687">
        <f>INPUT!CX53</f>
        <v>-28.104575163398692</v>
      </c>
      <c r="BB256" s="151">
        <f>INPUT!CY53</f>
        <v>173</v>
      </c>
      <c r="BC256" s="687" t="str">
        <f>INPUT!CZ53</f>
        <v>NM</v>
      </c>
      <c r="BD256" s="151">
        <f>INPUT!DA53</f>
        <v>135</v>
      </c>
      <c r="BE256" s="687">
        <f>INPUT!DB53</f>
        <v>-37.209302325581397</v>
      </c>
      <c r="BF256" s="151">
        <f>INPUT!DC53</f>
        <v>254</v>
      </c>
      <c r="BG256" s="687">
        <f>INPUT!DD53</f>
        <v>5.3941908713692976</v>
      </c>
      <c r="BH256" s="151">
        <f>INPUT!DE53</f>
        <v>150</v>
      </c>
      <c r="BI256" s="687">
        <f>INPUT!DF53</f>
        <v>36.363636363636353</v>
      </c>
      <c r="BJ256" s="151">
        <f>INPUT!DG53</f>
        <v>190</v>
      </c>
      <c r="BK256" s="687">
        <f>INPUT!DH53</f>
        <v>9.8265895953757223</v>
      </c>
      <c r="BL256" s="151">
        <f>INPUT!DI53</f>
        <v>254</v>
      </c>
      <c r="BM256" s="687">
        <f>INPUT!DJ53</f>
        <v>88.148148148148152</v>
      </c>
      <c r="BN256" s="151">
        <f>INPUT!DK53</f>
        <v>168</v>
      </c>
      <c r="BO256" s="687">
        <f>INPUT!DL53</f>
        <v>-33.85826771653543</v>
      </c>
      <c r="BP256" s="151">
        <f>INPUT!DM53</f>
        <v>211</v>
      </c>
      <c r="BQ256" s="687">
        <f>INPUT!DN53</f>
        <v>40.666666666666671</v>
      </c>
      <c r="BR256" s="151">
        <f>INPUT!DO53</f>
        <v>118</v>
      </c>
      <c r="BS256" s="687">
        <f>INPUT!DP53</f>
        <v>-37.89473684210526</v>
      </c>
      <c r="BT256" s="151">
        <f>INPUT!DQ53</f>
        <v>188</v>
      </c>
      <c r="BU256" s="687">
        <f>INPUT!DR53</f>
        <v>-25.984251968503933</v>
      </c>
      <c r="BV256" s="151">
        <f>INPUT!DS53</f>
        <v>146</v>
      </c>
      <c r="BW256" s="687">
        <f>INPUT!DT53</f>
        <v>-13.095238095238093</v>
      </c>
      <c r="BX256" s="151">
        <f>INPUT!DU53</f>
        <v>117</v>
      </c>
      <c r="BY256" s="687">
        <f>INPUT!DV53</f>
        <v>-44.54976303317536</v>
      </c>
      <c r="BZ256" s="151">
        <f>INPUT!DW53</f>
        <v>31</v>
      </c>
      <c r="CA256" s="687">
        <f>INPUT!DX53</f>
        <v>31</v>
      </c>
      <c r="CB256" s="151">
        <f>INPUT!DY53</f>
        <v>200</v>
      </c>
      <c r="CC256" s="687">
        <f>INPUT!DZ53</f>
        <v>6.3829787234042534</v>
      </c>
      <c r="CD256" s="151">
        <f>INPUT!EA53</f>
        <v>103</v>
      </c>
      <c r="CE256" s="687">
        <f>INPUT!EB53</f>
        <v>-29.452054794520542</v>
      </c>
      <c r="CF256" s="151">
        <f>INPUT!EC53</f>
        <v>143</v>
      </c>
      <c r="CG256" s="687">
        <f>INPUT!ED53</f>
        <v>22.222222222222232</v>
      </c>
      <c r="CH256" s="151">
        <f>INPUT!EE53</f>
        <v>163</v>
      </c>
      <c r="CI256" s="687" t="str">
        <f>INPUT!EF53</f>
        <v>NM</v>
      </c>
      <c r="CJ256" s="151">
        <f>INPUT!EG53</f>
        <v>145</v>
      </c>
      <c r="CK256" s="687">
        <f>INPUT!EH53</f>
        <v>-27.500000000000004</v>
      </c>
      <c r="CL256" s="151">
        <f>INPUT!EI53</f>
        <v>220</v>
      </c>
      <c r="CM256" s="687" t="str">
        <f>INPUT!EJ53</f>
        <v>NM</v>
      </c>
      <c r="CN256" s="151">
        <f>INPUT!EK53</f>
        <v>168</v>
      </c>
      <c r="CO256" s="687">
        <f>INPUT!EL53</f>
        <v>17.48251748251748</v>
      </c>
      <c r="CP256" s="151">
        <f>INPUT!EM53</f>
        <v>179</v>
      </c>
      <c r="CQ256" s="687">
        <f>INPUT!EN53</f>
        <v>9.8159509202454096</v>
      </c>
      <c r="CR256" s="151">
        <f>INPUT!EO53</f>
        <v>208</v>
      </c>
      <c r="CS256" s="687">
        <f>INPUT!EP53</f>
        <v>43.448275862068961</v>
      </c>
      <c r="CT256" s="151">
        <f>INPUT!EQ53</f>
        <v>211.02428300189868</v>
      </c>
      <c r="CU256" s="687">
        <f>INPUT!ER53</f>
        <v>-4.0798713627733241</v>
      </c>
      <c r="CV256" s="151">
        <f>INPUT!ES53</f>
        <v>214.23670856751829</v>
      </c>
      <c r="CW256" s="687">
        <f>INPUT!ET53</f>
        <v>27.521850337808516</v>
      </c>
      <c r="CX256" s="151">
        <f>INPUT!EU53</f>
        <v>217.92491390611019</v>
      </c>
      <c r="CY256" s="687">
        <f>INPUT!EV53</f>
        <v>21.745761958720777</v>
      </c>
      <c r="CZ256" s="151">
        <f>INPUT!EW53</f>
        <v>222.09125710515727</v>
      </c>
      <c r="DA256" s="687">
        <f>INPUT!EX53</f>
        <v>6.7746428390179192</v>
      </c>
      <c r="DB256" s="151"/>
      <c r="DC256" s="151"/>
      <c r="DD256" s="687"/>
      <c r="DE256" s="151"/>
      <c r="DF256" s="687"/>
      <c r="DG256" s="151">
        <f>INPUT!FT53</f>
        <v>627</v>
      </c>
      <c r="DH256" s="687" t="str">
        <f>INPUT!FU53</f>
        <v>NA</v>
      </c>
      <c r="DI256" s="151">
        <f>INPUT!FV53</f>
        <v>357</v>
      </c>
      <c r="DJ256" s="687">
        <f>INPUT!FW53</f>
        <v>-43.062200956937801</v>
      </c>
      <c r="DK256" s="151">
        <f>INPUT!FX53</f>
        <v>685</v>
      </c>
      <c r="DL256" s="687">
        <f>INPUT!FY53</f>
        <v>91.876750700280112</v>
      </c>
      <c r="DM256" s="151">
        <f>INPUT!FZ53</f>
        <v>709</v>
      </c>
      <c r="DN256" s="687">
        <f>INPUT!GA53</f>
        <v>3.5036496350364876</v>
      </c>
      <c r="DO256" s="151">
        <f>INPUT!GB53</f>
        <v>575</v>
      </c>
      <c r="DP256" s="687">
        <f>INPUT!GC53</f>
        <v>-18.89985895627645</v>
      </c>
      <c r="DQ256" s="151">
        <f>INPUT!GD53</f>
        <v>659</v>
      </c>
      <c r="DR256" s="687">
        <f>INPUT!GE53</f>
        <v>14.608695652173909</v>
      </c>
      <c r="DS256" s="151">
        <f>INPUT!GF53</f>
        <v>848</v>
      </c>
      <c r="DT256" s="687">
        <f>INPUT!GG53</f>
        <v>28.67981790591805</v>
      </c>
      <c r="DU256" s="151">
        <f>INPUT!GH53</f>
        <v>685</v>
      </c>
      <c r="DV256" s="687">
        <f>INPUT!GI53</f>
        <v>-19.221698113207552</v>
      </c>
      <c r="DW256" s="151">
        <f>INPUT!GJ53</f>
        <v>494</v>
      </c>
      <c r="DX256" s="687">
        <f>INPUT!GK53</f>
        <v>-27.883211678832119</v>
      </c>
      <c r="DY256" s="151">
        <f>INPUT!GL53</f>
        <v>554</v>
      </c>
      <c r="DZ256" s="687">
        <f>INPUT!GM53</f>
        <v>12.145748987854255</v>
      </c>
      <c r="EA256" s="151">
        <f>INPUT!GN53</f>
        <v>775</v>
      </c>
      <c r="EB256" s="687">
        <f>INPUT!GO53</f>
        <v>39.891696750902518</v>
      </c>
      <c r="EC256" s="151">
        <f>INPUT!GP53</f>
        <v>865.27716258068449</v>
      </c>
      <c r="ED256" s="687">
        <f>INPUT!GQ53</f>
        <v>11.648666139443154</v>
      </c>
      <c r="EE256" s="151">
        <f>INPUT!GR53</f>
        <v>929.75202623042173</v>
      </c>
      <c r="EF256" s="687">
        <f>INPUT!GS53</f>
        <v>7.4513539057752709</v>
      </c>
      <c r="EG256" s="151">
        <f>INPUT!GT53</f>
        <v>997.4340111686771</v>
      </c>
      <c r="EH256" s="687">
        <f>INPUT!GU53</f>
        <v>7.2795738034220348</v>
      </c>
      <c r="EI256" s="151">
        <f>INPUT!GV53</f>
        <v>1063.3289971882168</v>
      </c>
      <c r="EJ256" s="687">
        <f>INPUT!GW53</f>
        <v>6.6064506806151169</v>
      </c>
      <c r="EK256" s="151">
        <f>INPUT!GX53</f>
        <v>1127.6011498799173</v>
      </c>
      <c r="EL256" s="687">
        <f>INPUT!GY53</f>
        <v>6.0444277229020127</v>
      </c>
      <c r="EM256" s="687">
        <f>INPUT!GZ53</f>
        <v>7.7880863266411637</v>
      </c>
    </row>
    <row r="257" spans="1:143" ht="12.75" hidden="1" customHeight="1" outlineLevel="1" x14ac:dyDescent="0.2">
      <c r="A257" s="719" t="str">
        <f>INPUT!B54</f>
        <v>Other</v>
      </c>
      <c r="B257" s="151"/>
      <c r="C257" s="687"/>
      <c r="D257" s="151"/>
      <c r="E257" s="687"/>
      <c r="F257" s="151"/>
      <c r="G257" s="687"/>
      <c r="H257" s="151"/>
      <c r="I257" s="687"/>
      <c r="J257" s="151">
        <f>INPUT!BG54</f>
        <v>0</v>
      </c>
      <c r="K257" s="687">
        <f>INPUT!BH54</f>
        <v>0</v>
      </c>
      <c r="L257" s="151">
        <f>INPUT!BI54</f>
        <v>0</v>
      </c>
      <c r="M257" s="687">
        <f>INPUT!BJ54</f>
        <v>0</v>
      </c>
      <c r="N257" s="151">
        <f>INPUT!BK54</f>
        <v>0</v>
      </c>
      <c r="O257" s="687">
        <f>INPUT!BL54</f>
        <v>0</v>
      </c>
      <c r="P257" s="151">
        <f>INPUT!BM54</f>
        <v>0</v>
      </c>
      <c r="Q257" s="687">
        <f>INPUT!BN54</f>
        <v>0</v>
      </c>
      <c r="R257" s="151">
        <f>INPUT!BO54</f>
        <v>0</v>
      </c>
      <c r="S257" s="687">
        <f>INPUT!BP54</f>
        <v>0</v>
      </c>
      <c r="T257" s="151">
        <f>INPUT!BQ54</f>
        <v>0</v>
      </c>
      <c r="U257" s="687">
        <f>INPUT!BR54</f>
        <v>0</v>
      </c>
      <c r="V257" s="151">
        <f>INPUT!BS54</f>
        <v>0</v>
      </c>
      <c r="W257" s="687">
        <f>INPUT!BT54</f>
        <v>0</v>
      </c>
      <c r="X257" s="151">
        <f>INPUT!BU54</f>
        <v>0</v>
      </c>
      <c r="Y257" s="687">
        <f>INPUT!BV54</f>
        <v>0</v>
      </c>
      <c r="Z257" s="151">
        <f>INPUT!BW54</f>
        <v>0</v>
      </c>
      <c r="AA257" s="687">
        <f>INPUT!BX54</f>
        <v>0</v>
      </c>
      <c r="AB257" s="151">
        <f>INPUT!BY54</f>
        <v>0</v>
      </c>
      <c r="AC257" s="687">
        <f>INPUT!BZ54</f>
        <v>0</v>
      </c>
      <c r="AD257" s="151">
        <f>INPUT!CA54</f>
        <v>0</v>
      </c>
      <c r="AE257" s="687">
        <f>INPUT!CB54</f>
        <v>0</v>
      </c>
      <c r="AF257" s="151">
        <f>INPUT!CC54</f>
        <v>0</v>
      </c>
      <c r="AG257" s="687">
        <f>INPUT!CD54</f>
        <v>0</v>
      </c>
      <c r="AH257" s="151">
        <f>INPUT!CE54</f>
        <v>0</v>
      </c>
      <c r="AI257" s="687">
        <f>INPUT!CF54</f>
        <v>0</v>
      </c>
      <c r="AJ257" s="151">
        <f>INPUT!CG54</f>
        <v>0</v>
      </c>
      <c r="AK257" s="687">
        <f>INPUT!CH54</f>
        <v>0</v>
      </c>
      <c r="AL257" s="151">
        <f>INPUT!CI54</f>
        <v>0</v>
      </c>
      <c r="AM257" s="687">
        <f>INPUT!CJ54</f>
        <v>0</v>
      </c>
      <c r="AN257" s="151">
        <f>INPUT!CK54</f>
        <v>0</v>
      </c>
      <c r="AO257" s="687">
        <f>INPUT!CL54</f>
        <v>0</v>
      </c>
      <c r="AP257" s="151">
        <f>INPUT!CM54</f>
        <v>0</v>
      </c>
      <c r="AQ257" s="687">
        <f>INPUT!CN54</f>
        <v>0</v>
      </c>
      <c r="AR257" s="151">
        <f>INPUT!CO54</f>
        <v>8</v>
      </c>
      <c r="AS257" s="687" t="str">
        <f>INPUT!CP54</f>
        <v>NA</v>
      </c>
      <c r="AT257" s="151">
        <f>INPUT!CQ54</f>
        <v>10</v>
      </c>
      <c r="AU257" s="687" t="str">
        <f>INPUT!CR54</f>
        <v>NA</v>
      </c>
      <c r="AV257" s="151">
        <f>INPUT!CS54</f>
        <v>10</v>
      </c>
      <c r="AW257" s="687" t="str">
        <f>INPUT!CT54</f>
        <v>NA</v>
      </c>
      <c r="AX257" s="151">
        <f>INPUT!CU54</f>
        <v>9</v>
      </c>
      <c r="AY257" s="687" t="str">
        <f>INPUT!CV54</f>
        <v>NA</v>
      </c>
      <c r="AZ257" s="151">
        <f>INPUT!CW54</f>
        <v>9</v>
      </c>
      <c r="BA257" s="687">
        <f>INPUT!CX54</f>
        <v>12.5</v>
      </c>
      <c r="BB257" s="151">
        <f>INPUT!CY54</f>
        <v>11</v>
      </c>
      <c r="BC257" s="687">
        <f>INPUT!CZ54</f>
        <v>10.000000000000009</v>
      </c>
      <c r="BD257" s="151">
        <f>INPUT!DA54</f>
        <v>7</v>
      </c>
      <c r="BE257" s="687">
        <f>INPUT!DB54</f>
        <v>-30.000000000000004</v>
      </c>
      <c r="BF257" s="151">
        <f>INPUT!DC54</f>
        <v>2</v>
      </c>
      <c r="BG257" s="687" t="str">
        <f>INPUT!DD54</f>
        <v>NM</v>
      </c>
      <c r="BH257" s="151">
        <f>INPUT!DE54</f>
        <v>3</v>
      </c>
      <c r="BI257" s="687" t="str">
        <f>INPUT!DF54</f>
        <v>NM</v>
      </c>
      <c r="BJ257" s="151">
        <f>INPUT!DG54</f>
        <v>2</v>
      </c>
      <c r="BK257" s="687" t="str">
        <f>INPUT!DH54</f>
        <v>NM</v>
      </c>
      <c r="BL257" s="151">
        <f>INPUT!DI54</f>
        <v>2</v>
      </c>
      <c r="BM257" s="687" t="str">
        <f>INPUT!DJ54</f>
        <v>NM</v>
      </c>
      <c r="BN257" s="151">
        <f>INPUT!DK54</f>
        <v>2</v>
      </c>
      <c r="BO257" s="687">
        <f>INPUT!DL54</f>
        <v>0</v>
      </c>
      <c r="BP257" s="151">
        <f>INPUT!DM54</f>
        <v>1</v>
      </c>
      <c r="BQ257" s="687" t="str">
        <f>INPUT!DN54</f>
        <v>NM</v>
      </c>
      <c r="BR257" s="151">
        <f>INPUT!DO54</f>
        <v>1</v>
      </c>
      <c r="BS257" s="687">
        <f>INPUT!DP54</f>
        <v>-50</v>
      </c>
      <c r="BT257" s="151">
        <f>INPUT!DQ54</f>
        <v>2</v>
      </c>
      <c r="BU257" s="687">
        <f>INPUT!DR54</f>
        <v>0</v>
      </c>
      <c r="BV257" s="151">
        <f>INPUT!DS54</f>
        <v>5</v>
      </c>
      <c r="BW257" s="687" t="str">
        <f>INPUT!DT54</f>
        <v>NM</v>
      </c>
      <c r="BX257" s="151">
        <f>INPUT!DU54</f>
        <v>7</v>
      </c>
      <c r="BY257" s="687" t="str">
        <f>INPUT!DV54</f>
        <v>NM</v>
      </c>
      <c r="BZ257" s="151">
        <f>INPUT!DW54</f>
        <v>3</v>
      </c>
      <c r="CA257" s="687">
        <f>INPUT!DX54</f>
        <v>3</v>
      </c>
      <c r="CB257" s="151">
        <f>INPUT!DY54</f>
        <v>6</v>
      </c>
      <c r="CC257" s="687" t="str">
        <f>INPUT!DZ54</f>
        <v>NM</v>
      </c>
      <c r="CD257" s="151">
        <f>INPUT!EA54</f>
        <v>7</v>
      </c>
      <c r="CE257" s="687">
        <f>INPUT!EB54</f>
        <v>39.999999999999993</v>
      </c>
      <c r="CF257" s="151">
        <f>INPUT!EC54</f>
        <v>4</v>
      </c>
      <c r="CG257" s="687">
        <f>INPUT!ED54</f>
        <v>-42.857142857142861</v>
      </c>
      <c r="CH257" s="151">
        <f>INPUT!EE54</f>
        <v>2</v>
      </c>
      <c r="CI257" s="687">
        <f>INPUT!EF54</f>
        <v>-33.333333333333336</v>
      </c>
      <c r="CJ257" s="151">
        <f>INPUT!EG54</f>
        <v>2</v>
      </c>
      <c r="CK257" s="687" t="str">
        <f>INPUT!EH54</f>
        <v>NM</v>
      </c>
      <c r="CL257" s="151">
        <f>INPUT!EI54</f>
        <v>2</v>
      </c>
      <c r="CM257" s="687" t="str">
        <f>INPUT!EJ54</f>
        <v>NM</v>
      </c>
      <c r="CN257" s="151">
        <f>INPUT!EK54</f>
        <v>3</v>
      </c>
      <c r="CO257" s="687">
        <f>INPUT!EL54</f>
        <v>-25</v>
      </c>
      <c r="CP257" s="151">
        <f>INPUT!EM54</f>
        <v>5</v>
      </c>
      <c r="CQ257" s="687" t="str">
        <f>INPUT!EN54</f>
        <v>NM</v>
      </c>
      <c r="CR257" s="151">
        <f>INPUT!EO54</f>
        <v>9</v>
      </c>
      <c r="CS257" s="687" t="str">
        <f>INPUT!EP54</f>
        <v>NM</v>
      </c>
      <c r="CT257" s="151">
        <f>INPUT!EQ54</f>
        <v>2</v>
      </c>
      <c r="CU257" s="687">
        <f>INPUT!ER54</f>
        <v>0</v>
      </c>
      <c r="CV257" s="151">
        <f>INPUT!ES54</f>
        <v>3</v>
      </c>
      <c r="CW257" s="687">
        <f>INPUT!ET54</f>
        <v>0</v>
      </c>
      <c r="CX257" s="151">
        <f>INPUT!EU54</f>
        <v>5</v>
      </c>
      <c r="CY257" s="687">
        <f>INPUT!EV54</f>
        <v>0</v>
      </c>
      <c r="CZ257" s="151">
        <f>INPUT!EW54</f>
        <v>9</v>
      </c>
      <c r="DA257" s="687">
        <f>INPUT!EX54</f>
        <v>0</v>
      </c>
      <c r="DB257" s="151"/>
      <c r="DC257" s="151"/>
      <c r="DD257" s="687"/>
      <c r="DE257" s="151"/>
      <c r="DF257" s="687"/>
      <c r="DG257" s="151">
        <f>INPUT!FT54</f>
        <v>0</v>
      </c>
      <c r="DH257" s="687" t="str">
        <f>INPUT!FU54</f>
        <v>NA</v>
      </c>
      <c r="DI257" s="151">
        <f>INPUT!FV54</f>
        <v>0</v>
      </c>
      <c r="DJ257" s="687" t="str">
        <f>INPUT!FW54</f>
        <v>NA</v>
      </c>
      <c r="DK257" s="151">
        <f>INPUT!FX54</f>
        <v>0</v>
      </c>
      <c r="DL257" s="687" t="str">
        <f>INPUT!FY54</f>
        <v>NA</v>
      </c>
      <c r="DM257" s="151">
        <f>INPUT!FZ54</f>
        <v>0</v>
      </c>
      <c r="DN257" s="687" t="str">
        <f>INPUT!GA54</f>
        <v>NA</v>
      </c>
      <c r="DO257" s="151">
        <f>INPUT!GB54</f>
        <v>28</v>
      </c>
      <c r="DP257" s="687" t="str">
        <f>INPUT!GC54</f>
        <v>NA</v>
      </c>
      <c r="DQ257" s="151">
        <f>INPUT!GD54</f>
        <v>36</v>
      </c>
      <c r="DR257" s="687">
        <f>INPUT!GE54</f>
        <v>28.57142857142858</v>
      </c>
      <c r="DS257" s="151">
        <f>INPUT!GF54</f>
        <v>9</v>
      </c>
      <c r="DT257" s="687" t="str">
        <f>INPUT!GG54</f>
        <v>NM</v>
      </c>
      <c r="DU257" s="151">
        <f>INPUT!GH54</f>
        <v>6</v>
      </c>
      <c r="DV257" s="687">
        <f>INPUT!GI54</f>
        <v>-33.333333333333336</v>
      </c>
      <c r="DW257" s="151">
        <f>INPUT!GJ54</f>
        <v>21</v>
      </c>
      <c r="DX257" s="687" t="str">
        <f>INPUT!GK54</f>
        <v>NM</v>
      </c>
      <c r="DY257" s="151">
        <f>INPUT!GL54</f>
        <v>15</v>
      </c>
      <c r="DZ257" s="687">
        <f>INPUT!GM54</f>
        <v>-28.571428571428569</v>
      </c>
      <c r="EA257" s="151">
        <f>INPUT!GN54</f>
        <v>19</v>
      </c>
      <c r="EB257" s="687">
        <f>INPUT!GO54</f>
        <v>26.666666666666661</v>
      </c>
      <c r="EC257" s="151">
        <f>INPUT!GP54</f>
        <v>19</v>
      </c>
      <c r="ED257" s="687">
        <f>INPUT!GQ54</f>
        <v>0</v>
      </c>
      <c r="EE257" s="151">
        <f>INPUT!GR54</f>
        <v>19</v>
      </c>
      <c r="EF257" s="687">
        <f>INPUT!GS54</f>
        <v>0</v>
      </c>
      <c r="EG257" s="151">
        <f>INPUT!GT54</f>
        <v>19</v>
      </c>
      <c r="EH257" s="687">
        <f>INPUT!GU54</f>
        <v>0</v>
      </c>
      <c r="EI257" s="151">
        <f>INPUT!GV54</f>
        <v>19</v>
      </c>
      <c r="EJ257" s="687">
        <f>INPUT!GW54</f>
        <v>0</v>
      </c>
      <c r="EK257" s="151">
        <f>INPUT!GX54</f>
        <v>19</v>
      </c>
      <c r="EL257" s="687">
        <f>INPUT!GY54</f>
        <v>0</v>
      </c>
      <c r="EM257" s="687">
        <f>INPUT!GZ54</f>
        <v>0</v>
      </c>
    </row>
    <row r="258" spans="1:143" ht="12.75" hidden="1" customHeight="1" outlineLevel="1" x14ac:dyDescent="0.2">
      <c r="A258" s="701" t="str">
        <f>INPUT!B55</f>
        <v>Gross AUM, EOP</v>
      </c>
      <c r="B258" s="151"/>
      <c r="C258" s="687"/>
      <c r="D258" s="151"/>
      <c r="E258" s="687"/>
      <c r="F258" s="151"/>
      <c r="G258" s="687"/>
      <c r="H258" s="151"/>
      <c r="I258" s="687"/>
      <c r="J258" s="151">
        <f>INPUT!BG55</f>
        <v>14662</v>
      </c>
      <c r="K258" s="687" t="str">
        <f>INPUT!BH55</f>
        <v>NA</v>
      </c>
      <c r="L258" s="151">
        <f>INPUT!BI55</f>
        <v>14410</v>
      </c>
      <c r="M258" s="687" t="str">
        <f>INPUT!BJ55</f>
        <v>NA</v>
      </c>
      <c r="N258" s="151">
        <f>INPUT!BK55</f>
        <v>14343</v>
      </c>
      <c r="O258" s="687" t="str">
        <f>INPUT!BL55</f>
        <v>NA</v>
      </c>
      <c r="P258" s="151">
        <f>INPUT!BM55</f>
        <v>14352</v>
      </c>
      <c r="Q258" s="687" t="str">
        <f>INPUT!BN55</f>
        <v>NA</v>
      </c>
      <c r="R258" s="151">
        <f>INPUT!BO55</f>
        <v>14232</v>
      </c>
      <c r="S258" s="687">
        <f>INPUT!BP55</f>
        <v>-2.9327513299686303</v>
      </c>
      <c r="T258" s="151">
        <f>INPUT!BQ55</f>
        <v>14321</v>
      </c>
      <c r="U258" s="687">
        <f>INPUT!BR55</f>
        <v>-0.61762664816099599</v>
      </c>
      <c r="V258" s="151">
        <f>INPUT!BS55</f>
        <v>14141</v>
      </c>
      <c r="W258" s="687">
        <f>INPUT!BT55</f>
        <v>-1.4083525064491398</v>
      </c>
      <c r="X258" s="151">
        <f>INPUT!BU55</f>
        <v>14038</v>
      </c>
      <c r="Y258" s="687">
        <f>INPUT!BV55</f>
        <v>-2.1878483835005569</v>
      </c>
      <c r="Z258" s="151">
        <f>INPUT!BW55</f>
        <v>14154</v>
      </c>
      <c r="AA258" s="687">
        <f>INPUT!BX55</f>
        <v>-0.54806070826306508</v>
      </c>
      <c r="AB258" s="151">
        <f>INPUT!BY55</f>
        <v>14697</v>
      </c>
      <c r="AC258" s="687">
        <f>INPUT!BZ55</f>
        <v>2.6255149780043396</v>
      </c>
      <c r="AD258" s="151">
        <f>INPUT!CA55</f>
        <v>15776</v>
      </c>
      <c r="AE258" s="687">
        <f>INPUT!CB55</f>
        <v>11.56212431935506</v>
      </c>
      <c r="AF258" s="151">
        <f>INPUT!CC55</f>
        <v>15941</v>
      </c>
      <c r="AG258" s="687">
        <f>INPUT!CD55</f>
        <v>13.55606211711069</v>
      </c>
      <c r="AH258" s="151">
        <f>INPUT!CE55</f>
        <v>16146</v>
      </c>
      <c r="AI258" s="687">
        <f>INPUT!CF55</f>
        <v>14.073760067825347</v>
      </c>
      <c r="AJ258" s="151">
        <f>INPUT!CG55</f>
        <v>16501</v>
      </c>
      <c r="AK258" s="687">
        <f>INPUT!CH55</f>
        <v>12.27461386677553</v>
      </c>
      <c r="AL258" s="151">
        <f>INPUT!CI55</f>
        <v>17304</v>
      </c>
      <c r="AM258" s="687">
        <f>INPUT!CJ55</f>
        <v>9.6855983772819556</v>
      </c>
      <c r="AN258" s="151">
        <f>INPUT!CK55</f>
        <v>17420</v>
      </c>
      <c r="AO258" s="687">
        <f>INPUT!CL55</f>
        <v>9.2779624866695887</v>
      </c>
      <c r="AP258" s="151">
        <f>INPUT!CM55</f>
        <v>17643</v>
      </c>
      <c r="AQ258" s="687">
        <f>INPUT!CN55</f>
        <v>9.2716462281679632</v>
      </c>
      <c r="AR258" s="151">
        <f>INPUT!CO55</f>
        <v>17938</v>
      </c>
      <c r="AS258" s="687">
        <f>INPUT!CP55</f>
        <v>8.7085631173868361</v>
      </c>
      <c r="AT258" s="151">
        <f>INPUT!CQ55</f>
        <v>18009</v>
      </c>
      <c r="AU258" s="687">
        <f>INPUT!CR55</f>
        <v>4.0742024965325863</v>
      </c>
      <c r="AV258" s="151">
        <f>INPUT!CS55</f>
        <v>18106</v>
      </c>
      <c r="AW258" s="687">
        <f>INPUT!CT55</f>
        <v>3.9380022962112404</v>
      </c>
      <c r="AX258" s="151">
        <f>INPUT!CU55</f>
        <v>18186</v>
      </c>
      <c r="AY258" s="687">
        <f>INPUT!CV55</f>
        <v>3.0777078728107421</v>
      </c>
      <c r="AZ258" s="151">
        <f>INPUT!CW55</f>
        <v>18273</v>
      </c>
      <c r="BA258" s="687">
        <f>INPUT!CX55</f>
        <v>1.8675437618463686</v>
      </c>
      <c r="BB258" s="151">
        <f>INPUT!CY55</f>
        <v>18347</v>
      </c>
      <c r="BC258" s="687">
        <f>INPUT!CZ55</f>
        <v>1.8768393580987253</v>
      </c>
      <c r="BD258" s="151">
        <f>INPUT!DA55</f>
        <v>18438</v>
      </c>
      <c r="BE258" s="687">
        <f>INPUT!DB55</f>
        <v>1.8336463050922402</v>
      </c>
      <c r="BF258" s="151">
        <f>INPUT!DC55</f>
        <v>18539</v>
      </c>
      <c r="BG258" s="687">
        <f>INPUT!DD55</f>
        <v>1.9410535576817267</v>
      </c>
      <c r="BH258" s="151">
        <f>INPUT!DE55</f>
        <v>18494</v>
      </c>
      <c r="BI258" s="687">
        <f>INPUT!DF55</f>
        <v>1.2094346850544557</v>
      </c>
      <c r="BJ258" s="151">
        <f>INPUT!DG55</f>
        <v>18457</v>
      </c>
      <c r="BK258" s="687">
        <f>INPUT!DH55</f>
        <v>0.59955306044585654</v>
      </c>
      <c r="BL258" s="151">
        <f>INPUT!DI55</f>
        <v>18552</v>
      </c>
      <c r="BM258" s="687">
        <f>INPUT!DJ55</f>
        <v>0.61828831760495362</v>
      </c>
      <c r="BN258" s="151">
        <f>INPUT!DK55</f>
        <v>18730</v>
      </c>
      <c r="BO258" s="687">
        <f>INPUT!DL55</f>
        <v>1.0302605318517788</v>
      </c>
      <c r="BP258" s="151">
        <f>INPUT!DM55</f>
        <v>18875</v>
      </c>
      <c r="BQ258" s="687">
        <f>INPUT!DN55</f>
        <v>2.0601276089542653</v>
      </c>
      <c r="BR258" s="151">
        <f>INPUT!DO55</f>
        <v>18746</v>
      </c>
      <c r="BS258" s="687">
        <f>INPUT!DP55</f>
        <v>1.5658015928915914</v>
      </c>
      <c r="BT258" s="151">
        <f>INPUT!DQ55</f>
        <v>18661</v>
      </c>
      <c r="BU258" s="687">
        <f>INPUT!DR55</f>
        <v>0.58753773178092938</v>
      </c>
      <c r="BV258" s="151">
        <f>INPUT!DS55</f>
        <v>18651</v>
      </c>
      <c r="BW258" s="687">
        <f>INPUT!DT55</f>
        <v>-0.42178323545114527</v>
      </c>
      <c r="BX258" s="151">
        <f>INPUT!DU55</f>
        <v>18597</v>
      </c>
      <c r="BY258" s="687">
        <f>INPUT!DV55</f>
        <v>-1.4728476821192049</v>
      </c>
      <c r="BZ258" s="151">
        <f>INPUT!DW55</f>
        <v>18672</v>
      </c>
      <c r="CA258" s="687">
        <f>INPUT!DX55</f>
        <v>73.527152317880791</v>
      </c>
      <c r="CB258" s="151">
        <f>INPUT!DY55</f>
        <v>19082</v>
      </c>
      <c r="CC258" s="687">
        <f>INPUT!DZ55</f>
        <v>2.2560420127538672</v>
      </c>
      <c r="CD258" s="151">
        <f>INPUT!EA55</f>
        <v>19448</v>
      </c>
      <c r="CE258" s="687">
        <f>INPUT!EB55</f>
        <v>4.2732293174628788</v>
      </c>
      <c r="CF258" s="151">
        <f>INPUT!EC55</f>
        <v>19598</v>
      </c>
      <c r="CG258" s="687">
        <f>INPUT!ED55</f>
        <v>5.3825885895574466</v>
      </c>
      <c r="CH258" s="151">
        <f>INPUT!EE55</f>
        <v>19634</v>
      </c>
      <c r="CI258" s="687">
        <f>INPUT!EF55</f>
        <v>5.1520994001713838</v>
      </c>
      <c r="CJ258" s="151">
        <f>INPUT!EG55</f>
        <v>19723</v>
      </c>
      <c r="CK258" s="687">
        <f>INPUT!EH55</f>
        <v>3.3591866680641402</v>
      </c>
      <c r="CL258" s="151">
        <f>INPUT!EI55</f>
        <v>20027</v>
      </c>
      <c r="CM258" s="687">
        <f>INPUT!EJ55</f>
        <v>2.9771698889345943</v>
      </c>
      <c r="CN258" s="151">
        <f>INPUT!EK55</f>
        <v>20021</v>
      </c>
      <c r="CO258" s="687">
        <f>INPUT!EL55</f>
        <v>2.1583835085212666</v>
      </c>
      <c r="CP258" s="151">
        <f>INPUT!EM55</f>
        <v>20014</v>
      </c>
      <c r="CQ258" s="687">
        <f>INPUT!EN55</f>
        <v>1.9354181521849867</v>
      </c>
      <c r="CR258" s="151">
        <f>INPUT!EO55</f>
        <v>20305</v>
      </c>
      <c r="CS258" s="687">
        <f>INPUT!EP55</f>
        <v>2.9508695431729404</v>
      </c>
      <c r="CT258" s="151">
        <f>INPUT!EQ55</f>
        <v>20614.103294568802</v>
      </c>
      <c r="CU258" s="687">
        <f>INPUT!ER55</f>
        <v>2.9315588683717086</v>
      </c>
      <c r="CV258" s="151">
        <f>INPUT!ES55</f>
        <v>20968.98666786966</v>
      </c>
      <c r="CW258" s="687">
        <f>INPUT!ET55</f>
        <v>4.7349616296371799</v>
      </c>
      <c r="CX258" s="151">
        <f>INPUT!EU55</f>
        <v>21369.877017801045</v>
      </c>
      <c r="CY258" s="687">
        <f>INPUT!EV55</f>
        <v>6.7746428390179192</v>
      </c>
      <c r="CZ258" s="151">
        <f>INPUT!EW55</f>
        <v>21817.997410567659</v>
      </c>
      <c r="DA258" s="687">
        <f>INPUT!EX55</f>
        <v>7.4513539057752265</v>
      </c>
      <c r="DB258" s="151"/>
      <c r="DC258" s="151"/>
      <c r="DD258" s="687"/>
      <c r="DE258" s="151"/>
      <c r="DF258" s="687"/>
      <c r="DG258" s="151">
        <f>INPUT!FT55</f>
        <v>14352</v>
      </c>
      <c r="DH258" s="687" t="str">
        <f>INPUT!FU55</f>
        <v>NA</v>
      </c>
      <c r="DI258" s="151">
        <f>INPUT!FV55</f>
        <v>14038</v>
      </c>
      <c r="DJ258" s="687">
        <f>INPUT!FW55</f>
        <v>-2.1878483835005569</v>
      </c>
      <c r="DK258" s="151">
        <f>INPUT!FX55</f>
        <v>15941</v>
      </c>
      <c r="DL258" s="687">
        <f>INPUT!FY55</f>
        <v>13.55606211711069</v>
      </c>
      <c r="DM258" s="151">
        <f>INPUT!FZ55</f>
        <v>17420</v>
      </c>
      <c r="DN258" s="687">
        <f>INPUT!GA55</f>
        <v>9.2779624866695887</v>
      </c>
      <c r="DO258" s="151">
        <f>INPUT!GB55</f>
        <v>18106</v>
      </c>
      <c r="DP258" s="687">
        <f>INPUT!GC55</f>
        <v>3.9380022962112404</v>
      </c>
      <c r="DQ258" s="151">
        <f>INPUT!GD55</f>
        <v>18438</v>
      </c>
      <c r="DR258" s="687">
        <f>INPUT!GE55</f>
        <v>1.8336463050922402</v>
      </c>
      <c r="DS258" s="151">
        <f>INPUT!GF55</f>
        <v>18552</v>
      </c>
      <c r="DT258" s="687">
        <f>INPUT!GG55</f>
        <v>0.61828831760495362</v>
      </c>
      <c r="DU258" s="151">
        <f>INPUT!GH55</f>
        <v>18661</v>
      </c>
      <c r="DV258" s="687">
        <f>INPUT!GI55</f>
        <v>0.58753773178092938</v>
      </c>
      <c r="DW258" s="151">
        <f>INPUT!GJ55</f>
        <v>19082</v>
      </c>
      <c r="DX258" s="687">
        <f>INPUT!GK55</f>
        <v>2.2560420127538672</v>
      </c>
      <c r="DY258" s="151">
        <f>INPUT!GL55</f>
        <v>19723</v>
      </c>
      <c r="DZ258" s="687">
        <f>INPUT!GM55</f>
        <v>3.3591866680641402</v>
      </c>
      <c r="EA258" s="151">
        <f>INPUT!GN55</f>
        <v>20305</v>
      </c>
      <c r="EB258" s="687">
        <f>INPUT!GO55</f>
        <v>2.9508695431729404</v>
      </c>
      <c r="EC258" s="151">
        <f>INPUT!GP55</f>
        <v>21817.997410567663</v>
      </c>
      <c r="ED258" s="687">
        <f>INPUT!GQ55</f>
        <v>7.4513539057752487</v>
      </c>
      <c r="EE258" s="151">
        <f>INPUT!GR55</f>
        <v>23406.254634498644</v>
      </c>
      <c r="EF258" s="687">
        <f>INPUT!GS55</f>
        <v>7.2795738034220348</v>
      </c>
      <c r="EG258" s="151">
        <f>INPUT!GT55</f>
        <v>24952.577303105987</v>
      </c>
      <c r="EH258" s="687">
        <f>INPUT!GU55</f>
        <v>6.6064506806151169</v>
      </c>
      <c r="EI258" s="151">
        <f>INPUT!GV55</f>
        <v>26460.81780319348</v>
      </c>
      <c r="EJ258" s="687">
        <f>INPUT!GW55</f>
        <v>6.0444277229020127</v>
      </c>
      <c r="EK258" s="151">
        <f>INPUT!GX55</f>
        <v>27934.606976334955</v>
      </c>
      <c r="EL258" s="687">
        <f>INPUT!GY55</f>
        <v>5.5697037941269123</v>
      </c>
      <c r="EM258" s="687">
        <f>INPUT!GZ55</f>
        <v>6.587902092580511</v>
      </c>
    </row>
    <row r="259" spans="1:143" ht="12.75" hidden="1" customHeight="1" outlineLevel="1" x14ac:dyDescent="0.2">
      <c r="A259" s="718" t="str">
        <f>INPUT!B57</f>
        <v>Reinsurance ceded</v>
      </c>
      <c r="B259" s="151"/>
      <c r="C259" s="687"/>
      <c r="D259" s="151"/>
      <c r="E259" s="687"/>
      <c r="F259" s="151"/>
      <c r="G259" s="687"/>
      <c r="H259" s="151"/>
      <c r="I259" s="687"/>
      <c r="J259" s="151">
        <f>INPUT!BG57</f>
        <v>-1689</v>
      </c>
      <c r="K259" s="687" t="str">
        <f>INPUT!BH57</f>
        <v>NA</v>
      </c>
      <c r="L259" s="151">
        <f>INPUT!BI57</f>
        <v>-1598</v>
      </c>
      <c r="M259" s="687" t="str">
        <f>INPUT!BJ57</f>
        <v>NA</v>
      </c>
      <c r="N259" s="151">
        <f>INPUT!BK57</f>
        <v>-1430</v>
      </c>
      <c r="O259" s="687" t="str">
        <f>INPUT!BL57</f>
        <v>NA</v>
      </c>
      <c r="P259" s="151">
        <f>INPUT!BM57</f>
        <v>-1352</v>
      </c>
      <c r="Q259" s="687" t="str">
        <f>INPUT!BN57</f>
        <v>NA</v>
      </c>
      <c r="R259" s="151">
        <f>INPUT!BO57</f>
        <v>-1306</v>
      </c>
      <c r="S259" s="687">
        <f>INPUT!BP57</f>
        <v>-22.676139727649492</v>
      </c>
      <c r="T259" s="151">
        <f>INPUT!BQ57</f>
        <v>-1255</v>
      </c>
      <c r="U259" s="687">
        <f>INPUT!BR57</f>
        <v>-21.464330413016274</v>
      </c>
      <c r="V259" s="151">
        <f>INPUT!BS57</f>
        <v>-1196</v>
      </c>
      <c r="W259" s="687">
        <f>INPUT!BT57</f>
        <v>-16.36363636363637</v>
      </c>
      <c r="X259" s="151">
        <f>INPUT!BU57</f>
        <v>-1125</v>
      </c>
      <c r="Y259" s="687">
        <f>INPUT!BV57</f>
        <v>-16.789940828402372</v>
      </c>
      <c r="Z259" s="151">
        <f>INPUT!BW57</f>
        <v>-1094</v>
      </c>
      <c r="AA259" s="687">
        <f>INPUT!BX57</f>
        <v>-16.232771822358348</v>
      </c>
      <c r="AB259" s="151">
        <f>INPUT!BY57</f>
        <v>-1065</v>
      </c>
      <c r="AC259" s="687">
        <f>INPUT!BZ57</f>
        <v>-15.139442231075694</v>
      </c>
      <c r="AD259" s="151">
        <f>INPUT!CA57</f>
        <v>-1049</v>
      </c>
      <c r="AE259" s="687">
        <f>INPUT!CB57</f>
        <v>-12.29096989966555</v>
      </c>
      <c r="AF259" s="151">
        <f>INPUT!CC57</f>
        <v>-1027</v>
      </c>
      <c r="AG259" s="687">
        <f>INPUT!CD57</f>
        <v>-8.7111111111111139</v>
      </c>
      <c r="AH259" s="151">
        <f>INPUT!CE57</f>
        <v>-1011</v>
      </c>
      <c r="AI259" s="687">
        <f>INPUT!CF57</f>
        <v>-7.5868372943327262</v>
      </c>
      <c r="AJ259" s="151">
        <f>INPUT!CG57</f>
        <v>-994</v>
      </c>
      <c r="AK259" s="687">
        <f>INPUT!CH57</f>
        <v>-6.6666666666666652</v>
      </c>
      <c r="AL259" s="151">
        <f>INPUT!CI57</f>
        <v>-978</v>
      </c>
      <c r="AM259" s="687">
        <f>INPUT!CJ57</f>
        <v>-6.7683508102955203</v>
      </c>
      <c r="AN259" s="151">
        <f>INPUT!CK57</f>
        <v>-962</v>
      </c>
      <c r="AO259" s="687">
        <f>INPUT!CL57</f>
        <v>-6.3291139240506329</v>
      </c>
      <c r="AP259" s="151">
        <f>INPUT!CM57</f>
        <v>-949</v>
      </c>
      <c r="AQ259" s="687">
        <f>INPUT!CN57</f>
        <v>-6.1325420375865525</v>
      </c>
      <c r="AR259" s="151">
        <f>INPUT!CO57</f>
        <v>-935</v>
      </c>
      <c r="AS259" s="687">
        <f>INPUT!CP57</f>
        <v>-5.9356136820925549</v>
      </c>
      <c r="AT259" s="151">
        <f>INPUT!CQ57</f>
        <v>-920</v>
      </c>
      <c r="AU259" s="687">
        <f>INPUT!CR57</f>
        <v>-5.9304703476482645</v>
      </c>
      <c r="AV259" s="151">
        <f>INPUT!CS57</f>
        <v>-901</v>
      </c>
      <c r="AW259" s="687">
        <f>INPUT!CT57</f>
        <v>-6.340956340956339</v>
      </c>
      <c r="AX259" s="151">
        <f>INPUT!CU57</f>
        <v>-883</v>
      </c>
      <c r="AY259" s="687">
        <f>INPUT!CV57</f>
        <v>-6.9546891464699723</v>
      </c>
      <c r="AZ259" s="151">
        <f>INPUT!CW57</f>
        <v>-871</v>
      </c>
      <c r="BA259" s="687">
        <f>INPUT!CX57</f>
        <v>-6.8449197860962592</v>
      </c>
      <c r="BB259" s="151">
        <f>INPUT!CY57</f>
        <v>-849</v>
      </c>
      <c r="BC259" s="687">
        <f>INPUT!CZ57</f>
        <v>-7.7173913043478315</v>
      </c>
      <c r="BD259" s="151">
        <f>INPUT!DA57</f>
        <v>-830</v>
      </c>
      <c r="BE259" s="687">
        <f>INPUT!DB57</f>
        <v>-7.8801331853496137</v>
      </c>
      <c r="BF259" s="151">
        <f>INPUT!DC57</f>
        <v>-811</v>
      </c>
      <c r="BG259" s="687">
        <f>INPUT!DD57</f>
        <v>-8.1540203850509645</v>
      </c>
      <c r="BH259" s="151">
        <f>INPUT!DE57</f>
        <v>-796</v>
      </c>
      <c r="BI259" s="687">
        <f>INPUT!DF57</f>
        <v>-8.6107921928817444</v>
      </c>
      <c r="BJ259" s="151">
        <f>INPUT!DG57</f>
        <v>-779</v>
      </c>
      <c r="BK259" s="687">
        <f>INPUT!DH57</f>
        <v>-8.2449941107184959</v>
      </c>
      <c r="BL259" s="151">
        <f>INPUT!DI57</f>
        <v>-759</v>
      </c>
      <c r="BM259" s="687">
        <f>INPUT!DJ57</f>
        <v>-8.5542168674698775</v>
      </c>
      <c r="BN259" s="151">
        <f>INPUT!DK57</f>
        <v>-744</v>
      </c>
      <c r="BO259" s="687">
        <f>INPUT!DL57</f>
        <v>-8.2614056720098699</v>
      </c>
      <c r="BP259" s="151">
        <f>INPUT!DM57</f>
        <v>-726</v>
      </c>
      <c r="BQ259" s="687">
        <f>INPUT!DN57</f>
        <v>-8.7939698492462313</v>
      </c>
      <c r="BR259" s="151">
        <f>INPUT!DO57</f>
        <v>-714</v>
      </c>
      <c r="BS259" s="687">
        <f>INPUT!DP57</f>
        <v>-8.3440308087291406</v>
      </c>
      <c r="BT259" s="151">
        <f>INPUT!DQ57</f>
        <v>-693</v>
      </c>
      <c r="BU259" s="687">
        <f>INPUT!DR57</f>
        <v>-8.6956521739130483</v>
      </c>
      <c r="BV259" s="151">
        <f>INPUT!DS57</f>
        <v>-676</v>
      </c>
      <c r="BW259" s="687">
        <f>INPUT!DT57</f>
        <v>-9.1397849462365617</v>
      </c>
      <c r="BX259" s="151">
        <f>INPUT!DU57</f>
        <v>-662</v>
      </c>
      <c r="BY259" s="687">
        <f>INPUT!DV57</f>
        <v>-8.8154269972451793</v>
      </c>
      <c r="BZ259" s="151">
        <f>INPUT!DW57</f>
        <v>-645</v>
      </c>
      <c r="CA259" s="687">
        <f>INPUT!DX57</f>
        <v>-645</v>
      </c>
      <c r="CB259" s="151">
        <f>INPUT!DY57</f>
        <v>-631</v>
      </c>
      <c r="CC259" s="687">
        <f>INPUT!DZ57</f>
        <v>-8.9466089466089471</v>
      </c>
      <c r="CD259" s="151">
        <f>INPUT!EA57</f>
        <v>-619</v>
      </c>
      <c r="CE259" s="687">
        <f>INPUT!EB57</f>
        <v>-8.4319526627218977</v>
      </c>
      <c r="CF259" s="151">
        <f>INPUT!EC57</f>
        <v>-608</v>
      </c>
      <c r="CG259" s="687">
        <f>INPUT!ED57</f>
        <v>-8.1570996978851955</v>
      </c>
      <c r="CH259" s="151">
        <f>INPUT!EE57</f>
        <v>-597</v>
      </c>
      <c r="CI259" s="687">
        <f>INPUT!EF57</f>
        <v>-7.441860465116279</v>
      </c>
      <c r="CJ259" s="151">
        <f>INPUT!EG57</f>
        <v>-584</v>
      </c>
      <c r="CK259" s="687">
        <f>INPUT!EH57</f>
        <v>-7.4484944532488111</v>
      </c>
      <c r="CL259" s="151">
        <f>INPUT!EI57</f>
        <v>-572</v>
      </c>
      <c r="CM259" s="687">
        <f>INPUT!EJ57</f>
        <v>-7.5928917609046849</v>
      </c>
      <c r="CN259" s="151">
        <f>INPUT!EK57</f>
        <v>-562</v>
      </c>
      <c r="CO259" s="687">
        <f>INPUT!EL57</f>
        <v>-7.5657894736842142</v>
      </c>
      <c r="CP259" s="151">
        <f>INPUT!EM57</f>
        <v>-620</v>
      </c>
      <c r="CQ259" s="687">
        <f>INPUT!EN57</f>
        <v>3.8525963149078635</v>
      </c>
      <c r="CR259" s="151">
        <f>INPUT!EO57</f>
        <v>-768</v>
      </c>
      <c r="CS259" s="687">
        <f>INPUT!EP57</f>
        <v>31.506849315068486</v>
      </c>
      <c r="CT259" s="151">
        <f>INPUT!EQ57</f>
        <v>-818</v>
      </c>
      <c r="CU259" s="687">
        <f>INPUT!ER57</f>
        <v>43.006993006993</v>
      </c>
      <c r="CV259" s="151">
        <f>INPUT!ES57</f>
        <v>-868</v>
      </c>
      <c r="CW259" s="687">
        <f>INPUT!ET57</f>
        <v>54.448398576512446</v>
      </c>
      <c r="CX259" s="151">
        <f>INPUT!EU57</f>
        <v>-868</v>
      </c>
      <c r="CY259" s="687">
        <f>INPUT!EV57</f>
        <v>39.999999999999993</v>
      </c>
      <c r="CZ259" s="151">
        <f>INPUT!EW57</f>
        <v>-868</v>
      </c>
      <c r="DA259" s="687">
        <f>INPUT!EX57</f>
        <v>13.020833333333325</v>
      </c>
      <c r="DB259" s="151"/>
      <c r="DC259" s="151"/>
      <c r="DD259" s="687"/>
      <c r="DE259" s="151"/>
      <c r="DF259" s="687"/>
      <c r="DG259" s="151">
        <f>INPUT!FT57</f>
        <v>-1352</v>
      </c>
      <c r="DH259" s="687" t="str">
        <f>INPUT!FU57</f>
        <v>NA</v>
      </c>
      <c r="DI259" s="151">
        <f>INPUT!FV57</f>
        <v>-1125</v>
      </c>
      <c r="DJ259" s="687">
        <f>INPUT!FW57</f>
        <v>-16.789940828402372</v>
      </c>
      <c r="DK259" s="151">
        <f>INPUT!FX57</f>
        <v>-1027</v>
      </c>
      <c r="DL259" s="687">
        <f>INPUT!FY57</f>
        <v>-8.7111111111111139</v>
      </c>
      <c r="DM259" s="151">
        <f>INPUT!FZ57</f>
        <v>-962</v>
      </c>
      <c r="DN259" s="687">
        <f>INPUT!GA57</f>
        <v>-6.3291139240506329</v>
      </c>
      <c r="DO259" s="151">
        <f>INPUT!GB57</f>
        <v>-901</v>
      </c>
      <c r="DP259" s="687">
        <f>INPUT!GC57</f>
        <v>-6.340956340956339</v>
      </c>
      <c r="DQ259" s="151">
        <f>INPUT!GD57</f>
        <v>-830</v>
      </c>
      <c r="DR259" s="687">
        <f>INPUT!GE57</f>
        <v>-7.8801331853496137</v>
      </c>
      <c r="DS259" s="151">
        <f>INPUT!GF57</f>
        <v>-759</v>
      </c>
      <c r="DT259" s="687">
        <f>INPUT!GG57</f>
        <v>-8.5542168674698775</v>
      </c>
      <c r="DU259" s="151">
        <f>INPUT!GH57</f>
        <v>-693</v>
      </c>
      <c r="DV259" s="687">
        <f>INPUT!GI57</f>
        <v>-8.6956521739130483</v>
      </c>
      <c r="DW259" s="151">
        <f>INPUT!GJ57</f>
        <v>-631</v>
      </c>
      <c r="DX259" s="687">
        <f>INPUT!GK57</f>
        <v>-8.9466089466089471</v>
      </c>
      <c r="DY259" s="151">
        <f>INPUT!GL57</f>
        <v>-584</v>
      </c>
      <c r="DZ259" s="687">
        <f>INPUT!GM57</f>
        <v>-7.4484944532488111</v>
      </c>
      <c r="EA259" s="151">
        <f>INPUT!GN57</f>
        <v>-768</v>
      </c>
      <c r="EB259" s="687">
        <f>INPUT!GO57</f>
        <v>31.506849315068486</v>
      </c>
      <c r="EC259" s="151">
        <f>INPUT!GP57</f>
        <v>-868</v>
      </c>
      <c r="ED259" s="687">
        <f>INPUT!GQ57</f>
        <v>13.020833333333325</v>
      </c>
      <c r="EE259" s="151">
        <f>INPUT!GR57</f>
        <v>-868</v>
      </c>
      <c r="EF259" s="687">
        <f>INPUT!GS57</f>
        <v>0</v>
      </c>
      <c r="EG259" s="151">
        <f>INPUT!GT57</f>
        <v>-868</v>
      </c>
      <c r="EH259" s="687">
        <f>INPUT!GU57</f>
        <v>0</v>
      </c>
      <c r="EI259" s="151">
        <f>INPUT!GV57</f>
        <v>-868</v>
      </c>
      <c r="EJ259" s="687">
        <f>INPUT!GW57</f>
        <v>0</v>
      </c>
      <c r="EK259" s="151">
        <f>INPUT!GX57</f>
        <v>-868</v>
      </c>
      <c r="EL259" s="687">
        <f>INPUT!GY57</f>
        <v>0</v>
      </c>
      <c r="EM259" s="687">
        <f>INPUT!GZ57</f>
        <v>2.4782501384158939</v>
      </c>
    </row>
    <row r="260" spans="1:143" ht="12.75" hidden="1" customHeight="1" outlineLevel="1" x14ac:dyDescent="0.2">
      <c r="A260" s="701" t="str">
        <f>INPUT!B58</f>
        <v>Net AUM, EOP</v>
      </c>
      <c r="B260" s="151"/>
      <c r="C260" s="687"/>
      <c r="D260" s="151"/>
      <c r="E260" s="687"/>
      <c r="F260" s="151"/>
      <c r="G260" s="687"/>
      <c r="H260" s="151"/>
      <c r="I260" s="687"/>
      <c r="J260" s="151">
        <f>INPUT!BG58</f>
        <v>12973</v>
      </c>
      <c r="K260" s="687" t="str">
        <f>INPUT!BH58</f>
        <v>NA</v>
      </c>
      <c r="L260" s="151">
        <f>INPUT!BI58</f>
        <v>12812</v>
      </c>
      <c r="M260" s="687" t="str">
        <f>INPUT!BJ58</f>
        <v>NA</v>
      </c>
      <c r="N260" s="151">
        <f>INPUT!BK58</f>
        <v>12913</v>
      </c>
      <c r="O260" s="687" t="str">
        <f>INPUT!BL58</f>
        <v>NA</v>
      </c>
      <c r="P260" s="151">
        <f>INPUT!BM58</f>
        <v>13000</v>
      </c>
      <c r="Q260" s="687" t="str">
        <f>INPUT!BN58</f>
        <v>NA</v>
      </c>
      <c r="R260" s="151">
        <f>INPUT!BO58</f>
        <v>12926</v>
      </c>
      <c r="S260" s="687">
        <f>INPUT!BP58</f>
        <v>-0.36229091189393658</v>
      </c>
      <c r="T260" s="151">
        <f>INPUT!BQ58</f>
        <v>13066</v>
      </c>
      <c r="U260" s="687">
        <f>INPUT!BR58</f>
        <v>1.9825163908835375</v>
      </c>
      <c r="V260" s="151">
        <f>INPUT!BS58</f>
        <v>12945</v>
      </c>
      <c r="W260" s="687">
        <f>INPUT!BT58</f>
        <v>0.24781228219623586</v>
      </c>
      <c r="X260" s="151">
        <f>INPUT!BU58</f>
        <v>12913</v>
      </c>
      <c r="Y260" s="687">
        <f>INPUT!BV58</f>
        <v>-0.66923076923076641</v>
      </c>
      <c r="Z260" s="151">
        <f>INPUT!BW58</f>
        <v>13060</v>
      </c>
      <c r="AA260" s="687">
        <f>INPUT!BX58</f>
        <v>1.0366702769611713</v>
      </c>
      <c r="AB260" s="151">
        <f>INPUT!BY58</f>
        <v>13632</v>
      </c>
      <c r="AC260" s="687">
        <f>INPUT!BZ58</f>
        <v>4.3318536660033713</v>
      </c>
      <c r="AD260" s="151">
        <f>INPUT!CA58</f>
        <v>14727</v>
      </c>
      <c r="AE260" s="687">
        <f>INPUT!CB58</f>
        <v>13.765932792584001</v>
      </c>
      <c r="AF260" s="151">
        <f>INPUT!CC58</f>
        <v>14914</v>
      </c>
      <c r="AG260" s="687">
        <f>INPUT!CD58</f>
        <v>15.496011771083396</v>
      </c>
      <c r="AH260" s="151">
        <f>INPUT!CE58</f>
        <v>15135</v>
      </c>
      <c r="AI260" s="687">
        <f>INPUT!CF58</f>
        <v>15.888208269525261</v>
      </c>
      <c r="AJ260" s="151">
        <f>INPUT!CG58</f>
        <v>15507</v>
      </c>
      <c r="AK260" s="687">
        <f>INPUT!CH58</f>
        <v>13.7544014084507</v>
      </c>
      <c r="AL260" s="151">
        <f>INPUT!CI58</f>
        <v>16326</v>
      </c>
      <c r="AM260" s="687">
        <f>INPUT!CJ58</f>
        <v>10.857608474231007</v>
      </c>
      <c r="AN260" s="151">
        <f>INPUT!CK58</f>
        <v>16458</v>
      </c>
      <c r="AO260" s="687">
        <f>INPUT!CL58</f>
        <v>10.3526887488266</v>
      </c>
      <c r="AP260" s="151">
        <f>INPUT!CM58</f>
        <v>16694</v>
      </c>
      <c r="AQ260" s="687">
        <f>INPUT!CN58</f>
        <v>10.300627684175744</v>
      </c>
      <c r="AR260" s="151">
        <f>INPUT!CO58</f>
        <v>17003</v>
      </c>
      <c r="AS260" s="687">
        <f>INPUT!CP58</f>
        <v>9.6472560779003125</v>
      </c>
      <c r="AT260" s="151">
        <f>INPUT!CQ58</f>
        <v>17089</v>
      </c>
      <c r="AU260" s="687">
        <f>INPUT!CR58</f>
        <v>4.6735268896239024</v>
      </c>
      <c r="AV260" s="151">
        <f>INPUT!CS58</f>
        <v>17205</v>
      </c>
      <c r="AW260" s="687">
        <f>INPUT!CT58</f>
        <v>4.5388261028071364</v>
      </c>
      <c r="AX260" s="151">
        <f>INPUT!CU58</f>
        <v>17303</v>
      </c>
      <c r="AY260" s="687">
        <f>INPUT!CV58</f>
        <v>3.6480172517072029</v>
      </c>
      <c r="AZ260" s="151">
        <f>INPUT!CW58</f>
        <v>17402</v>
      </c>
      <c r="BA260" s="687">
        <f>INPUT!CX58</f>
        <v>2.3466447097570953</v>
      </c>
      <c r="BB260" s="151">
        <f>INPUT!CY58</f>
        <v>17498</v>
      </c>
      <c r="BC260" s="687">
        <f>INPUT!CZ58</f>
        <v>2.3933524489437641</v>
      </c>
      <c r="BD260" s="151">
        <f>INPUT!DA58</f>
        <v>17608</v>
      </c>
      <c r="BE260" s="687">
        <f>INPUT!DB58</f>
        <v>2.3423423423423406</v>
      </c>
      <c r="BF260" s="151">
        <f>INPUT!DC58</f>
        <v>17728</v>
      </c>
      <c r="BG260" s="687">
        <f>INPUT!DD58</f>
        <v>2.4562214644859193</v>
      </c>
      <c r="BH260" s="151">
        <f>INPUT!DE58</f>
        <v>17698</v>
      </c>
      <c r="BI260" s="687">
        <f>INPUT!DF58</f>
        <v>1.7009539133432838</v>
      </c>
      <c r="BJ260" s="151">
        <f>INPUT!DG58</f>
        <v>17678</v>
      </c>
      <c r="BK260" s="687">
        <f>INPUT!DH58</f>
        <v>1.0286889930277709</v>
      </c>
      <c r="BL260" s="151">
        <f>INPUT!DI58</f>
        <v>17793</v>
      </c>
      <c r="BM260" s="687">
        <f>INPUT!DJ58</f>
        <v>1.0506587914584253</v>
      </c>
      <c r="BN260" s="151">
        <f>INPUT!DK58</f>
        <v>17986</v>
      </c>
      <c r="BO260" s="687">
        <f>INPUT!DL58</f>
        <v>1.4553249097472909</v>
      </c>
      <c r="BP260" s="151">
        <f>INPUT!DM58</f>
        <v>18149</v>
      </c>
      <c r="BQ260" s="687">
        <f>INPUT!DN58</f>
        <v>2.5483105435642361</v>
      </c>
      <c r="BR260" s="151">
        <f>INPUT!DO58</f>
        <v>18032</v>
      </c>
      <c r="BS260" s="687">
        <f>INPUT!DP58</f>
        <v>2.0024889693404324</v>
      </c>
      <c r="BT260" s="151">
        <f>INPUT!DQ58</f>
        <v>17968</v>
      </c>
      <c r="BU260" s="687">
        <f>INPUT!DR58</f>
        <v>0.98353284999719293</v>
      </c>
      <c r="BV260" s="151">
        <f>INPUT!DS58</f>
        <v>17975</v>
      </c>
      <c r="BW260" s="687">
        <f>INPUT!DT58</f>
        <v>-6.1158678972539349E-2</v>
      </c>
      <c r="BX260" s="151">
        <f>INPUT!DU58</f>
        <v>17935</v>
      </c>
      <c r="BY260" s="687">
        <f>INPUT!DV58</f>
        <v>-1.1791283266295638</v>
      </c>
      <c r="BZ260" s="151">
        <f>INPUT!DW58</f>
        <v>18027</v>
      </c>
      <c r="CA260" s="687">
        <f>INPUT!DX58</f>
        <v>-571.47284768211921</v>
      </c>
      <c r="CB260" s="151">
        <f>INPUT!DY58</f>
        <v>18451</v>
      </c>
      <c r="CC260" s="687">
        <f>INPUT!DZ58</f>
        <v>2.6881121994657198</v>
      </c>
      <c r="CD260" s="151">
        <f>INPUT!EA58</f>
        <v>18829</v>
      </c>
      <c r="CE260" s="687">
        <f>INPUT!EB58</f>
        <v>4.7510431154381028</v>
      </c>
      <c r="CF260" s="151">
        <f>INPUT!EC58</f>
        <v>18990</v>
      </c>
      <c r="CG260" s="687">
        <f>INPUT!ED58</f>
        <v>5.8823529411764719</v>
      </c>
      <c r="CH260" s="151">
        <f>INPUT!EE58</f>
        <v>19037</v>
      </c>
      <c r="CI260" s="687">
        <f>INPUT!EF58</f>
        <v>5.602707050535316</v>
      </c>
      <c r="CJ260" s="151">
        <f>INPUT!EG58</f>
        <v>19139</v>
      </c>
      <c r="CK260" s="687">
        <f>INPUT!EH58</f>
        <v>3.7287951872527314</v>
      </c>
      <c r="CL260" s="151">
        <f>INPUT!EI58</f>
        <v>19455</v>
      </c>
      <c r="CM260" s="687">
        <f>INPUT!EJ58</f>
        <v>3.324658771044664</v>
      </c>
      <c r="CN260" s="151">
        <f>INPUT!EK58</f>
        <v>19459</v>
      </c>
      <c r="CO260" s="687">
        <f>INPUT!EL58</f>
        <v>2.4697209057398695</v>
      </c>
      <c r="CP260" s="151">
        <f>INPUT!EM58</f>
        <v>19394</v>
      </c>
      <c r="CQ260" s="687">
        <f>INPUT!EN58</f>
        <v>1.8752954772285557</v>
      </c>
      <c r="CR260" s="151">
        <f>INPUT!EO58</f>
        <v>19537</v>
      </c>
      <c r="CS260" s="687">
        <f>INPUT!EP58</f>
        <v>2.0795234860755629</v>
      </c>
      <c r="CT260" s="151">
        <f>INPUT!EQ58</f>
        <v>19796.103294568802</v>
      </c>
      <c r="CU260" s="687">
        <f>INPUT!ER58</f>
        <v>1.7532937269020943</v>
      </c>
      <c r="CV260" s="151">
        <f>INPUT!ES58</f>
        <v>20100.98666786966</v>
      </c>
      <c r="CW260" s="687">
        <f>INPUT!ET58</f>
        <v>3.2991760515425295</v>
      </c>
      <c r="CX260" s="151">
        <f>INPUT!EU58</f>
        <v>20501.877017801045</v>
      </c>
      <c r="CY260" s="687">
        <f>INPUT!EV58</f>
        <v>5.7124730215584396</v>
      </c>
      <c r="CZ260" s="151">
        <f>INPUT!EW58</f>
        <v>20949.997410567659</v>
      </c>
      <c r="DA260" s="687">
        <f>INPUT!EX58</f>
        <v>7.2324175183890116</v>
      </c>
      <c r="DB260" s="151"/>
      <c r="DC260" s="151"/>
      <c r="DD260" s="687"/>
      <c r="DE260" s="151"/>
      <c r="DF260" s="687"/>
      <c r="DG260" s="151">
        <f>INPUT!FT58</f>
        <v>13000</v>
      </c>
      <c r="DH260" s="687" t="str">
        <f>INPUT!FU58</f>
        <v>NA</v>
      </c>
      <c r="DI260" s="151">
        <f>INPUT!FV58</f>
        <v>12913</v>
      </c>
      <c r="DJ260" s="687">
        <f>INPUT!FW58</f>
        <v>-0.66923076923076641</v>
      </c>
      <c r="DK260" s="151">
        <f>INPUT!FX58</f>
        <v>14914</v>
      </c>
      <c r="DL260" s="687">
        <f>INPUT!FY58</f>
        <v>15.496011771083396</v>
      </c>
      <c r="DM260" s="151">
        <f>INPUT!FZ58</f>
        <v>16458</v>
      </c>
      <c r="DN260" s="687">
        <f>INPUT!GA58</f>
        <v>10.3526887488266</v>
      </c>
      <c r="DO260" s="151">
        <f>INPUT!GB58</f>
        <v>17205</v>
      </c>
      <c r="DP260" s="687">
        <f>INPUT!GC58</f>
        <v>4.5388261028071364</v>
      </c>
      <c r="DQ260" s="151">
        <f>INPUT!GD58</f>
        <v>17608</v>
      </c>
      <c r="DR260" s="687">
        <f>INPUT!GE58</f>
        <v>2.3423423423423406</v>
      </c>
      <c r="DS260" s="151">
        <f>INPUT!GF58</f>
        <v>17793</v>
      </c>
      <c r="DT260" s="687">
        <f>INPUT!GG58</f>
        <v>1.0506587914584253</v>
      </c>
      <c r="DU260" s="151">
        <f>INPUT!GH58</f>
        <v>17968</v>
      </c>
      <c r="DV260" s="687">
        <f>INPUT!GI58</f>
        <v>0.98353284999719293</v>
      </c>
      <c r="DW260" s="151">
        <f>INPUT!GJ58</f>
        <v>18451</v>
      </c>
      <c r="DX260" s="687">
        <f>INPUT!GK58</f>
        <v>2.6881121994657198</v>
      </c>
      <c r="DY260" s="151">
        <f>INPUT!GL58</f>
        <v>19139</v>
      </c>
      <c r="DZ260" s="687">
        <f>INPUT!GM58</f>
        <v>3.7287951872527314</v>
      </c>
      <c r="EA260" s="151">
        <f>INPUT!GN58</f>
        <v>19537</v>
      </c>
      <c r="EB260" s="687">
        <f>INPUT!GO58</f>
        <v>2.0795234860755629</v>
      </c>
      <c r="EC260" s="151">
        <f>INPUT!GP58</f>
        <v>20949.997410567663</v>
      </c>
      <c r="ED260" s="687">
        <f>INPUT!GQ58</f>
        <v>7.2324175183890116</v>
      </c>
      <c r="EE260" s="151">
        <f>INPUT!GR58</f>
        <v>22538.254634498644</v>
      </c>
      <c r="EF260" s="687">
        <f>INPUT!GS58</f>
        <v>7.581181003534776</v>
      </c>
      <c r="EG260" s="151">
        <f>INPUT!GT58</f>
        <v>24084.577303105987</v>
      </c>
      <c r="EH260" s="687">
        <f>INPUT!GU58</f>
        <v>6.8608802841389149</v>
      </c>
      <c r="EI260" s="151">
        <f>INPUT!GV58</f>
        <v>25592.81780319348</v>
      </c>
      <c r="EJ260" s="687">
        <f>INPUT!GW58</f>
        <v>6.2622668486400634</v>
      </c>
      <c r="EK260" s="151">
        <f>INPUT!GX58</f>
        <v>27066.606976334955</v>
      </c>
      <c r="EL260" s="687">
        <f>INPUT!GY58</f>
        <v>5.7586045603684077</v>
      </c>
      <c r="EM260" s="687">
        <f>INPUT!GZ58</f>
        <v>6.7370481459298137</v>
      </c>
    </row>
    <row r="261" spans="1:143" ht="12.75" hidden="1" customHeight="1" outlineLevel="1" x14ac:dyDescent="0.2">
      <c r="A261" s="701"/>
      <c r="B261" s="156"/>
      <c r="C261" s="687"/>
      <c r="D261" s="156"/>
      <c r="E261" s="687"/>
      <c r="F261" s="156"/>
      <c r="G261" s="687"/>
      <c r="H261" s="156"/>
      <c r="I261" s="687"/>
      <c r="J261" s="156"/>
      <c r="K261" s="687"/>
      <c r="L261" s="156"/>
      <c r="M261" s="687"/>
      <c r="N261" s="156"/>
      <c r="O261" s="687"/>
      <c r="P261" s="156"/>
      <c r="Q261" s="687"/>
      <c r="R261" s="156"/>
      <c r="S261" s="687"/>
      <c r="T261" s="156"/>
      <c r="U261" s="687"/>
      <c r="V261" s="156"/>
      <c r="W261" s="687"/>
      <c r="X261" s="156"/>
      <c r="Y261" s="687"/>
      <c r="Z261" s="156"/>
      <c r="AA261" s="687"/>
      <c r="AB261" s="156"/>
      <c r="AC261" s="687"/>
      <c r="AD261" s="156"/>
      <c r="AE261" s="687"/>
      <c r="AF261" s="156"/>
      <c r="AG261" s="687"/>
      <c r="AH261" s="156"/>
      <c r="AI261" s="687"/>
      <c r="AJ261" s="156"/>
      <c r="AK261" s="687"/>
      <c r="AL261" s="156"/>
      <c r="AM261" s="687"/>
      <c r="AN261" s="156"/>
      <c r="AO261" s="687"/>
      <c r="AP261" s="156"/>
      <c r="AQ261" s="687"/>
      <c r="AR261" s="156"/>
      <c r="AS261" s="687"/>
      <c r="AT261" s="156"/>
      <c r="AU261" s="687"/>
      <c r="AV261" s="156"/>
      <c r="AW261" s="687"/>
      <c r="AX261" s="156"/>
      <c r="AY261" s="687"/>
      <c r="AZ261" s="156"/>
      <c r="BA261" s="687"/>
      <c r="BB261" s="156"/>
      <c r="BC261" s="687"/>
      <c r="BD261" s="156"/>
      <c r="BE261" s="687"/>
      <c r="BF261" s="156"/>
      <c r="BG261" s="687"/>
      <c r="BH261" s="156"/>
      <c r="BI261" s="687"/>
      <c r="BJ261" s="156"/>
      <c r="BK261" s="687"/>
      <c r="BL261" s="156"/>
      <c r="BM261" s="687"/>
      <c r="BN261" s="156"/>
      <c r="BO261" s="687"/>
      <c r="BP261" s="156"/>
      <c r="BQ261" s="687"/>
      <c r="BR261" s="156"/>
      <c r="BS261" s="687"/>
      <c r="BT261" s="156"/>
      <c r="BU261" s="687"/>
      <c r="BV261" s="156"/>
      <c r="BW261" s="687"/>
      <c r="BX261" s="156"/>
      <c r="BY261" s="687"/>
      <c r="BZ261" s="156"/>
      <c r="CA261" s="687"/>
      <c r="CB261" s="156"/>
      <c r="CC261" s="687"/>
      <c r="CD261" s="156"/>
      <c r="CE261" s="687"/>
      <c r="CF261" s="156"/>
      <c r="CG261" s="687"/>
      <c r="CH261" s="156"/>
      <c r="CI261" s="687"/>
      <c r="CJ261" s="156"/>
      <c r="CK261" s="687"/>
      <c r="CL261" s="156"/>
      <c r="CM261" s="687"/>
      <c r="CN261" s="156"/>
      <c r="CO261" s="687"/>
      <c r="CP261" s="156"/>
      <c r="CQ261" s="687"/>
      <c r="CR261" s="156"/>
      <c r="CS261" s="687"/>
      <c r="CT261" s="156"/>
      <c r="CU261" s="687"/>
      <c r="CV261" s="156"/>
      <c r="CW261" s="687"/>
      <c r="CX261" s="156"/>
      <c r="CY261" s="687"/>
      <c r="CZ261" s="156"/>
      <c r="DA261" s="687"/>
      <c r="DB261" s="16"/>
      <c r="DC261" s="156"/>
      <c r="DD261" s="687"/>
      <c r="DE261" s="156"/>
      <c r="DF261" s="687"/>
      <c r="DG261" s="156"/>
      <c r="DH261" s="687"/>
      <c r="DI261" s="156"/>
      <c r="DJ261" s="687"/>
      <c r="DK261" s="156"/>
      <c r="DL261" s="687"/>
      <c r="DM261" s="156"/>
      <c r="DN261" s="687"/>
      <c r="DO261" s="156"/>
      <c r="DP261" s="687"/>
      <c r="DQ261" s="156"/>
      <c r="DR261" s="687"/>
      <c r="DS261" s="156"/>
      <c r="DT261" s="687"/>
      <c r="DU261" s="156"/>
      <c r="DV261" s="687"/>
      <c r="DW261" s="156"/>
      <c r="DX261" s="687"/>
      <c r="DY261" s="156"/>
      <c r="DZ261" s="687"/>
      <c r="EA261" s="156"/>
      <c r="EB261" s="687"/>
      <c r="EC261" s="156"/>
      <c r="ED261" s="687"/>
      <c r="EE261" s="156"/>
      <c r="EF261" s="687"/>
      <c r="EG261" s="156"/>
      <c r="EH261" s="687"/>
      <c r="EI261" s="156"/>
      <c r="EJ261" s="687"/>
      <c r="EK261" s="156"/>
      <c r="EL261" s="687"/>
      <c r="EM261" s="687"/>
    </row>
    <row r="262" spans="1:143" ht="12.75" hidden="1" customHeight="1" outlineLevel="1" x14ac:dyDescent="0.2">
      <c r="A262" s="718" t="str">
        <f>INPUT!B60</f>
        <v>Net Fund Flows</v>
      </c>
      <c r="B262" s="151"/>
      <c r="C262" s="687"/>
      <c r="D262" s="151"/>
      <c r="E262" s="687"/>
      <c r="F262" s="151"/>
      <c r="G262" s="687"/>
      <c r="H262" s="151"/>
      <c r="I262" s="687"/>
      <c r="J262" s="151">
        <f>INPUT!BG60</f>
        <v>-451</v>
      </c>
      <c r="K262" s="687" t="str">
        <f>INPUT!BH60</f>
        <v>NA</v>
      </c>
      <c r="L262" s="151">
        <f>INPUT!BI60</f>
        <v>-418</v>
      </c>
      <c r="M262" s="687" t="str">
        <f>INPUT!BJ60</f>
        <v>NA</v>
      </c>
      <c r="N262" s="151">
        <f>INPUT!BK60</f>
        <v>-225</v>
      </c>
      <c r="O262" s="687" t="str">
        <f>INPUT!BL60</f>
        <v>NA</v>
      </c>
      <c r="P262" s="151">
        <f>INPUT!BM60</f>
        <v>-113</v>
      </c>
      <c r="Q262" s="687" t="str">
        <f>INPUT!BN60</f>
        <v>NA</v>
      </c>
      <c r="R262" s="151">
        <f>INPUT!BO60</f>
        <v>-157</v>
      </c>
      <c r="S262" s="687" t="str">
        <f>INPUT!BP60</f>
        <v>NM</v>
      </c>
      <c r="T262" s="151">
        <f>INPUT!BQ60</f>
        <v>-15</v>
      </c>
      <c r="U262" s="687" t="str">
        <f>INPUT!BR60</f>
        <v>NM</v>
      </c>
      <c r="V262" s="151">
        <f>INPUT!BS60</f>
        <v>-284</v>
      </c>
      <c r="W262" s="687">
        <f>INPUT!BT60</f>
        <v>26.222222222222214</v>
      </c>
      <c r="X262" s="151">
        <f>INPUT!BU60</f>
        <v>-215</v>
      </c>
      <c r="Y262" s="687">
        <f>INPUT!BV60</f>
        <v>90.26548672566372</v>
      </c>
      <c r="Z262" s="151">
        <f>INPUT!BW60</f>
        <v>-9</v>
      </c>
      <c r="AA262" s="687" t="str">
        <f>INPUT!BX60</f>
        <v>NM</v>
      </c>
      <c r="AB262" s="151">
        <f>INPUT!BY60</f>
        <v>384</v>
      </c>
      <c r="AC262" s="687" t="str">
        <f>INPUT!BZ60</f>
        <v>NM</v>
      </c>
      <c r="AD262" s="151">
        <f>INPUT!CA60</f>
        <v>862</v>
      </c>
      <c r="AE262" s="687" t="str">
        <f>INPUT!CB60</f>
        <v>NM</v>
      </c>
      <c r="AF262" s="151">
        <f>INPUT!CC60</f>
        <v>-19</v>
      </c>
      <c r="AG262" s="687" t="str">
        <f>INPUT!CD60</f>
        <v>NM</v>
      </c>
      <c r="AH262" s="151">
        <f>INPUT!CE60</f>
        <v>23</v>
      </c>
      <c r="AI262" s="687" t="str">
        <f>INPUT!CF60</f>
        <v>NM</v>
      </c>
      <c r="AJ262" s="151">
        <f>INPUT!CG60</f>
        <v>283</v>
      </c>
      <c r="AK262" s="687">
        <f>INPUT!CH60</f>
        <v>-26.302083333333336</v>
      </c>
      <c r="AL262" s="151">
        <f>INPUT!CI60</f>
        <v>572</v>
      </c>
      <c r="AM262" s="687">
        <f>INPUT!CJ60</f>
        <v>-33.64269141531323</v>
      </c>
      <c r="AN262" s="151">
        <f>INPUT!CK60</f>
        <v>-108</v>
      </c>
      <c r="AO262" s="687" t="str">
        <f>INPUT!CL60</f>
        <v>NM</v>
      </c>
      <c r="AP262" s="151">
        <f>INPUT!CM60</f>
        <v>31</v>
      </c>
      <c r="AQ262" s="687">
        <f>INPUT!CN60</f>
        <v>34.782608695652172</v>
      </c>
      <c r="AR262" s="151">
        <f>INPUT!CO60</f>
        <v>134</v>
      </c>
      <c r="AS262" s="687" t="str">
        <f>INPUT!CP60</f>
        <v>NM</v>
      </c>
      <c r="AT262" s="151">
        <f>INPUT!CQ60</f>
        <v>46</v>
      </c>
      <c r="AU262" s="687" t="str">
        <f>INPUT!CR60</f>
        <v>NM</v>
      </c>
      <c r="AV262" s="151">
        <f>INPUT!CS60</f>
        <v>-128</v>
      </c>
      <c r="AW262" s="687">
        <f>INPUT!CT60</f>
        <v>18.518518518518512</v>
      </c>
      <c r="AX262" s="151">
        <f>INPUT!CU60</f>
        <v>-170</v>
      </c>
      <c r="AY262" s="687" t="str">
        <f>INPUT!CV60</f>
        <v>NM</v>
      </c>
      <c r="AZ262" s="151">
        <f>INPUT!CW60</f>
        <v>-32</v>
      </c>
      <c r="BA262" s="687" t="str">
        <f>INPUT!CX60</f>
        <v>NM</v>
      </c>
      <c r="BB262" s="151">
        <f>INPUT!CY60</f>
        <v>-110</v>
      </c>
      <c r="BC262" s="687" t="str">
        <f>INPUT!CZ60</f>
        <v>NM</v>
      </c>
      <c r="BD262" s="151">
        <f>INPUT!DA60</f>
        <v>-51</v>
      </c>
      <c r="BE262" s="687" t="str">
        <f>INPUT!DB60</f>
        <v>NM</v>
      </c>
      <c r="BF262" s="151">
        <f>INPUT!DC60</f>
        <v>-155</v>
      </c>
      <c r="BG262" s="687">
        <f>INPUT!DD60</f>
        <v>-8.8235294117647083</v>
      </c>
      <c r="BH262" s="151">
        <f>INPUT!DE60</f>
        <v>-198</v>
      </c>
      <c r="BI262" s="687" t="str">
        <f>INPUT!DF60</f>
        <v>NM</v>
      </c>
      <c r="BJ262" s="151">
        <f>INPUT!DG60</f>
        <v>-229</v>
      </c>
      <c r="BK262" s="687" t="str">
        <f>INPUT!DH60</f>
        <v>NM</v>
      </c>
      <c r="BL262" s="151">
        <f>INPUT!DI60</f>
        <v>-161</v>
      </c>
      <c r="BM262" s="687" t="str">
        <f>INPUT!DJ60</f>
        <v>NM</v>
      </c>
      <c r="BN262" s="151">
        <f>INPUT!DK60</f>
        <v>8</v>
      </c>
      <c r="BO262" s="687" t="str">
        <f>INPUT!DL60</f>
        <v>NM</v>
      </c>
      <c r="BP262" s="151">
        <f>INPUT!DM60</f>
        <v>-67</v>
      </c>
      <c r="BQ262" s="687" t="str">
        <f>INPUT!DN60</f>
        <v>NM</v>
      </c>
      <c r="BR262" s="151">
        <f>INPUT!DO60</f>
        <v>-248</v>
      </c>
      <c r="BS262" s="687">
        <f>INPUT!DP60</f>
        <v>8.2969432314410554</v>
      </c>
      <c r="BT262" s="151">
        <f>INPUT!DQ60</f>
        <v>-275</v>
      </c>
      <c r="BU262" s="687">
        <f>INPUT!DR60</f>
        <v>70.807453416149073</v>
      </c>
      <c r="BV262" s="151">
        <f>INPUT!DS60</f>
        <v>-161</v>
      </c>
      <c r="BW262" s="687" t="str">
        <f>INPUT!DT60</f>
        <v>NM</v>
      </c>
      <c r="BX262" s="151">
        <f>INPUT!DU60</f>
        <v>-178</v>
      </c>
      <c r="BY262" s="687" t="str">
        <f>INPUT!DV60</f>
        <v>NM</v>
      </c>
      <c r="BZ262" s="151">
        <f>INPUT!DW60</f>
        <v>41</v>
      </c>
      <c r="CA262" s="687">
        <f>INPUT!DX60</f>
        <v>41</v>
      </c>
      <c r="CB262" s="151">
        <f>INPUT!DY60</f>
        <v>204</v>
      </c>
      <c r="CC262" s="687" t="str">
        <f>INPUT!DZ60</f>
        <v>NM</v>
      </c>
      <c r="CD262" s="151">
        <f>INPUT!EA60</f>
        <v>256</v>
      </c>
      <c r="CE262" s="687" t="str">
        <f>INPUT!EB60</f>
        <v>NM</v>
      </c>
      <c r="CF262" s="151">
        <f>INPUT!EC60</f>
        <v>3</v>
      </c>
      <c r="CG262" s="687" t="str">
        <f>INPUT!ED60</f>
        <v>NM</v>
      </c>
      <c r="CH262" s="151">
        <f>INPUT!EE60</f>
        <v>-129</v>
      </c>
      <c r="CI262" s="687" t="str">
        <f>INPUT!EF60</f>
        <v>NM</v>
      </c>
      <c r="CJ262" s="151">
        <f>INPUT!EG60</f>
        <v>-58</v>
      </c>
      <c r="CK262" s="687" t="str">
        <f>INPUT!EH60</f>
        <v>NM</v>
      </c>
      <c r="CL262" s="151">
        <f>INPUT!EI60</f>
        <v>82</v>
      </c>
      <c r="CM262" s="687" t="str">
        <f>INPUT!EJ60</f>
        <v>NM</v>
      </c>
      <c r="CN262" s="151">
        <f>INPUT!EK60</f>
        <v>-177</v>
      </c>
      <c r="CO262" s="687" t="str">
        <f>INPUT!EL60</f>
        <v>NM</v>
      </c>
      <c r="CP262" s="151">
        <f>INPUT!EM60</f>
        <v>-191</v>
      </c>
      <c r="CQ262" s="687">
        <f>INPUT!EN60</f>
        <v>48.062015503875969</v>
      </c>
      <c r="CR262" s="151">
        <f>INPUT!EO60</f>
        <v>74</v>
      </c>
      <c r="CS262" s="687" t="str">
        <f>INPUT!EP60</f>
        <v>NM</v>
      </c>
      <c r="CT262" s="151">
        <f>INPUT!EQ60</f>
        <v>96.079011566903205</v>
      </c>
      <c r="CU262" s="687">
        <f>INPUT!ER60</f>
        <v>17.169526301101467</v>
      </c>
      <c r="CV262" s="151">
        <f>INPUT!ES60</f>
        <v>137.64666473334114</v>
      </c>
      <c r="CW262" s="687" t="str">
        <f>INPUT!ET60</f>
        <v>NM</v>
      </c>
      <c r="CX262" s="151">
        <f>INPUT!EU60</f>
        <v>177.96543602527493</v>
      </c>
      <c r="CY262" s="687" t="str">
        <f>INPUT!EV60</f>
        <v>NM</v>
      </c>
      <c r="CZ262" s="151">
        <f>INPUT!EW60</f>
        <v>217.02913566145901</v>
      </c>
      <c r="DA262" s="687" t="str">
        <f>INPUT!EX60</f>
        <v>NM</v>
      </c>
      <c r="DB262" s="151"/>
      <c r="DC262" s="151"/>
      <c r="DD262" s="687"/>
      <c r="DE262" s="151"/>
      <c r="DF262" s="687"/>
      <c r="DG262" s="151">
        <f>INPUT!FT60</f>
        <v>-1207</v>
      </c>
      <c r="DH262" s="687" t="str">
        <f>INPUT!FU60</f>
        <v>NA</v>
      </c>
      <c r="DI262" s="151">
        <f>INPUT!FV60</f>
        <v>-671</v>
      </c>
      <c r="DJ262" s="687">
        <f>INPUT!FW60</f>
        <v>-44.407622203811101</v>
      </c>
      <c r="DK262" s="151">
        <f>INPUT!FX60</f>
        <v>1218</v>
      </c>
      <c r="DL262" s="687" t="str">
        <f>INPUT!FY60</f>
        <v>NM</v>
      </c>
      <c r="DM262" s="151">
        <f>INPUT!FZ60</f>
        <v>770</v>
      </c>
      <c r="DN262" s="687">
        <f>INPUT!GA60</f>
        <v>-36.781609195402297</v>
      </c>
      <c r="DO262" s="151">
        <f>INPUT!GB60</f>
        <v>83</v>
      </c>
      <c r="DP262" s="687" t="str">
        <f>INPUT!GC60</f>
        <v>NM</v>
      </c>
      <c r="DQ262" s="151">
        <f>INPUT!GD60</f>
        <v>-363</v>
      </c>
      <c r="DR262" s="687" t="str">
        <f>INPUT!GE60</f>
        <v>NM</v>
      </c>
      <c r="DS262" s="151">
        <f>INPUT!GF60</f>
        <v>-743</v>
      </c>
      <c r="DT262" s="687" t="str">
        <f>INPUT!GG60</f>
        <v>NM</v>
      </c>
      <c r="DU262" s="151">
        <f>INPUT!GH60</f>
        <v>-582</v>
      </c>
      <c r="DV262" s="687">
        <f>INPUT!GI60</f>
        <v>-21.668909825033644</v>
      </c>
      <c r="DW262" s="151">
        <f>INPUT!GJ60</f>
        <v>-94</v>
      </c>
      <c r="DX262" s="687" t="str">
        <f>INPUT!GK60</f>
        <v>NM</v>
      </c>
      <c r="DY262" s="151">
        <f>INPUT!GL60</f>
        <v>72</v>
      </c>
      <c r="DZ262" s="687" t="str">
        <f>INPUT!GM60</f>
        <v>NM</v>
      </c>
      <c r="EA262" s="151">
        <f>INPUT!GN60</f>
        <v>-212</v>
      </c>
      <c r="EB262" s="687" t="str">
        <f>INPUT!GO60</f>
        <v>NM</v>
      </c>
      <c r="EC262" s="151">
        <f>INPUT!GP60</f>
        <v>628.72024798697794</v>
      </c>
      <c r="ED262" s="687" t="str">
        <f>INPUT!GQ60</f>
        <v>NM</v>
      </c>
      <c r="EE262" s="151">
        <f>INPUT!GR60</f>
        <v>639.50519770055962</v>
      </c>
      <c r="EF262" s="687">
        <f>INPUT!GS60</f>
        <v>1.715381323905607</v>
      </c>
      <c r="EG262" s="151">
        <f>INPUT!GT60</f>
        <v>529.88865743866836</v>
      </c>
      <c r="EH262" s="687">
        <f>INPUT!GU60</f>
        <v>-17.140836486714196</v>
      </c>
      <c r="EI262" s="151">
        <f>INPUT!GV60</f>
        <v>425.91150289928055</v>
      </c>
      <c r="EJ262" s="687">
        <f>INPUT!GW60</f>
        <v>-19.622453336137426</v>
      </c>
      <c r="EK262" s="151">
        <f>INPUT!GX60</f>
        <v>327.18802326155674</v>
      </c>
      <c r="EL262" s="687">
        <f>INPUT!GY60</f>
        <v>-23.179341005276843</v>
      </c>
      <c r="EM262" s="687" t="str">
        <f>INPUT!GZ60</f>
        <v>NM</v>
      </c>
    </row>
    <row r="263" spans="1:143" ht="12.75" hidden="1" customHeight="1" outlineLevel="1" x14ac:dyDescent="0.2">
      <c r="A263" s="718" t="str">
        <f>INPUT!B64</f>
        <v>Interest Credited/BOP AUM (%)</v>
      </c>
      <c r="B263" s="156"/>
      <c r="C263" s="687"/>
      <c r="D263" s="156"/>
      <c r="E263" s="687"/>
      <c r="F263" s="156"/>
      <c r="G263" s="687"/>
      <c r="H263" s="156"/>
      <c r="I263" s="687"/>
      <c r="J263" s="464">
        <f>INPUT!BG64</f>
        <v>4.8486472006429144</v>
      </c>
      <c r="K263" s="687">
        <f>INPUT!BH64</f>
        <v>0</v>
      </c>
      <c r="L263" s="464">
        <f>INPUT!BI64</f>
        <v>4.5287136816259714</v>
      </c>
      <c r="M263" s="687">
        <f>INPUT!BJ64</f>
        <v>0</v>
      </c>
      <c r="N263" s="464">
        <f>INPUT!BK64</f>
        <v>4.3858431644691187</v>
      </c>
      <c r="O263" s="687">
        <f>INPUT!BL64</f>
        <v>0</v>
      </c>
      <c r="P263" s="464">
        <f>INPUT!BM64</f>
        <v>3.4023565502335638</v>
      </c>
      <c r="Q263" s="687">
        <f>INPUT!BN64</f>
        <v>0</v>
      </c>
      <c r="R263" s="464">
        <f>INPUT!BO64</f>
        <v>1.0312151616499443</v>
      </c>
      <c r="S263" s="687">
        <f>INPUT!BP64</f>
        <v>0</v>
      </c>
      <c r="T263" s="464">
        <f>INPUT!BQ64</f>
        <v>2.9229904440697023</v>
      </c>
      <c r="U263" s="687">
        <f>INPUT!BR64</f>
        <v>0</v>
      </c>
      <c r="V263" s="464">
        <f>INPUT!BS64</f>
        <v>2.9048250820473429</v>
      </c>
      <c r="W263" s="687">
        <f>INPUT!BT64</f>
        <v>0</v>
      </c>
      <c r="X263" s="464">
        <f>INPUT!BU64</f>
        <v>3.1680927798599816</v>
      </c>
      <c r="Y263" s="687">
        <f>INPUT!BV64</f>
        <v>0</v>
      </c>
      <c r="Z263" s="464">
        <f>INPUT!BW64</f>
        <v>3.5617609346060695</v>
      </c>
      <c r="AA263" s="687">
        <f>INPUT!BX64</f>
        <v>0</v>
      </c>
      <c r="AB263" s="464">
        <f>INPUT!BY64</f>
        <v>4.4934294192454427</v>
      </c>
      <c r="AC263" s="687">
        <f>INPUT!BZ64</f>
        <v>0</v>
      </c>
      <c r="AD263" s="464">
        <f>INPUT!CA64</f>
        <v>5.9059672041913309</v>
      </c>
      <c r="AE263" s="687">
        <f>INPUT!CB64</f>
        <v>0</v>
      </c>
      <c r="AF263" s="464">
        <f>INPUT!CC64</f>
        <v>4.6653144016227177</v>
      </c>
      <c r="AG263" s="687">
        <f>INPUT!CD64</f>
        <v>0</v>
      </c>
      <c r="AH263" s="156">
        <f>INPUT!CE64</f>
        <v>4.5668402233235055</v>
      </c>
      <c r="AI263" s="687">
        <f>INPUT!CF64</f>
        <v>0</v>
      </c>
      <c r="AJ263" s="156">
        <f>INPUT!CG64</f>
        <v>1.7837235228539576</v>
      </c>
      <c r="AK263" s="687">
        <f>INPUT!CH64</f>
        <v>0</v>
      </c>
      <c r="AL263" s="156">
        <f>INPUT!CI64</f>
        <v>5.5996606266286895</v>
      </c>
      <c r="AM263" s="687">
        <f>INPUT!CJ64</f>
        <v>0</v>
      </c>
      <c r="AN263" s="156">
        <f>INPUT!CK64</f>
        <v>5.1779935275080913</v>
      </c>
      <c r="AO263" s="687">
        <f>INPUT!CL64</f>
        <v>0</v>
      </c>
      <c r="AP263" s="156">
        <f>INPUT!CM64</f>
        <v>4.4087256027554531</v>
      </c>
      <c r="AQ263" s="687">
        <f>INPUT!CN64</f>
        <v>0</v>
      </c>
      <c r="AR263" s="156">
        <f>INPUT!CO64</f>
        <v>3.4687978234994046</v>
      </c>
      <c r="AS263" s="687">
        <f>INPUT!CP64</f>
        <v>0</v>
      </c>
      <c r="AT263" s="156">
        <f>INPUT!CQ64</f>
        <v>0.33448544988293005</v>
      </c>
      <c r="AU263" s="687">
        <f>INPUT!CR64</f>
        <v>0</v>
      </c>
      <c r="AV263" s="156">
        <f>INPUT!CS64</f>
        <v>4.7753900827364095</v>
      </c>
      <c r="AW263" s="687">
        <f>INPUT!CT64</f>
        <v>0</v>
      </c>
      <c r="AX263" s="156">
        <f>INPUT!CU64</f>
        <v>5.3242019220148018</v>
      </c>
      <c r="AY263" s="687">
        <f>INPUT!CV64</f>
        <v>0</v>
      </c>
      <c r="AZ263" s="156">
        <f>INPUT!CW64</f>
        <v>2.4194435279885624</v>
      </c>
      <c r="BA263" s="687">
        <f>INPUT!CX64</f>
        <v>0</v>
      </c>
      <c r="BB263" s="156">
        <f>INPUT!CY64</f>
        <v>3.787008154107153</v>
      </c>
      <c r="BC263" s="687">
        <f>INPUT!CZ64</f>
        <v>0</v>
      </c>
      <c r="BD263" s="156">
        <f>INPUT!DA64</f>
        <v>2.943260478552352</v>
      </c>
      <c r="BE263" s="687">
        <f>INPUT!DB64</f>
        <v>0</v>
      </c>
      <c r="BF263" s="156">
        <f>INPUT!DC64</f>
        <v>5.5103590411107497</v>
      </c>
      <c r="BG263" s="687">
        <f>INPUT!DD64</f>
        <v>0</v>
      </c>
      <c r="BH263" s="156">
        <f>INPUT!DE64</f>
        <v>3.2364205189060899</v>
      </c>
      <c r="BI263" s="687">
        <f>INPUT!DF64</f>
        <v>0</v>
      </c>
      <c r="BJ263" s="156">
        <f>INPUT!DG64</f>
        <v>4.109440899751271</v>
      </c>
      <c r="BK263" s="687">
        <f>INPUT!DH64</f>
        <v>0</v>
      </c>
      <c r="BL263" s="156">
        <f>INPUT!DI64</f>
        <v>5.5046865687814925</v>
      </c>
      <c r="BM263" s="687">
        <f>INPUT!DJ64</f>
        <v>0</v>
      </c>
      <c r="BN263" s="156">
        <f>INPUT!DK64</f>
        <v>3.6222509702457955</v>
      </c>
      <c r="BO263" s="687">
        <f>INPUT!DL64</f>
        <v>0</v>
      </c>
      <c r="BP263" s="156">
        <f>INPUT!DM64</f>
        <v>4.5061398825413779</v>
      </c>
      <c r="BQ263" s="687">
        <f>INPUT!DN64</f>
        <v>39.232212137391009</v>
      </c>
      <c r="BR263" s="156">
        <f>INPUT!DO64</f>
        <v>2.5006622516556289</v>
      </c>
      <c r="BS263" s="687">
        <f>INPUT!DP64</f>
        <v>-39.148358313001054</v>
      </c>
      <c r="BT263" s="156">
        <f>INPUT!DQ64</f>
        <v>4.0115224581243991</v>
      </c>
      <c r="BU263" s="687">
        <f>INPUT!DR64</f>
        <v>-27.125324793698791</v>
      </c>
      <c r="BV263" s="156">
        <f>INPUT!DS64</f>
        <v>3.1295214618723541</v>
      </c>
      <c r="BW263" s="687">
        <f>INPUT!DT64</f>
        <v>-13.60285392759536</v>
      </c>
      <c r="BX263" s="156">
        <f>INPUT!DU64</f>
        <v>2.5092488338426895</v>
      </c>
      <c r="BY263" s="687">
        <f>INPUT!DV64</f>
        <v>-44.314892585457855</v>
      </c>
      <c r="BZ263" s="156">
        <f>INPUT!DW64</f>
        <v>0.66677421089423017</v>
      </c>
      <c r="CA263" s="687">
        <f>INPUT!DX64</f>
        <v>-8419.064748201441</v>
      </c>
      <c r="CB263" s="156">
        <f>INPUT!DY64</f>
        <v>4.284490145672665</v>
      </c>
      <c r="CC263" s="687">
        <f>INPUT!DZ64</f>
        <v>6.8045907856114196</v>
      </c>
      <c r="CD263" s="156">
        <f>INPUT!EA64</f>
        <v>2.1591028194109634</v>
      </c>
      <c r="CE263" s="687">
        <f>INPUT!EB64</f>
        <v>-31.008531313308239</v>
      </c>
      <c r="CF263" s="156">
        <f>INPUT!EC64</f>
        <v>2.9411764705882351</v>
      </c>
      <c r="CG263" s="687">
        <f>INPUT!ED64</f>
        <v>17.213423831070873</v>
      </c>
      <c r="CH263" s="156">
        <f>INPUT!EE64</f>
        <v>3.3268700887845699</v>
      </c>
      <c r="CI263" s="687" t="str">
        <f>INPUT!EF64</f>
        <v>NM</v>
      </c>
      <c r="CJ263" s="156">
        <f>INPUT!EG64</f>
        <v>2.9540592849139249</v>
      </c>
      <c r="CK263" s="687">
        <f>INPUT!EH64</f>
        <v>-31.052256290108993</v>
      </c>
      <c r="CL263" s="156">
        <f>INPUT!EI64</f>
        <v>4.4617958728388176</v>
      </c>
      <c r="CM263" s="687" t="str">
        <f>INPUT!EJ64</f>
        <v>NM</v>
      </c>
      <c r="CN263" s="156">
        <f>INPUT!EK64</f>
        <v>3.3554701153442856</v>
      </c>
      <c r="CO263" s="687">
        <f>INPUT!EL64</f>
        <v>14.085983921705726</v>
      </c>
      <c r="CP263" s="156">
        <f>INPUT!EM64</f>
        <v>3.5762449428100496</v>
      </c>
      <c r="CQ263" s="687">
        <f>INPUT!EN64</f>
        <v>7.4957797380235336</v>
      </c>
      <c r="CR263" s="156">
        <f>INPUT!EO64</f>
        <v>4.1570900369741182</v>
      </c>
      <c r="CS263" s="687">
        <f>INPUT!EP64</f>
        <v>40.724665148189374</v>
      </c>
      <c r="CT263" s="156">
        <f>INPUT!EQ64</f>
        <v>4.1570900369741182</v>
      </c>
      <c r="CU263" s="687">
        <f>INPUT!ER64</f>
        <v>-6.829219546317578</v>
      </c>
      <c r="CV263" s="156">
        <f>INPUT!ES64</f>
        <v>4.1570900369741182</v>
      </c>
      <c r="CW263" s="687">
        <f>INPUT!ET64</f>
        <v>23.889943706072401</v>
      </c>
      <c r="CX263" s="156">
        <f>INPUT!EU64</f>
        <v>4.1570900369741182</v>
      </c>
      <c r="CY263" s="687">
        <f>INPUT!EV64</f>
        <v>16.241759260138021</v>
      </c>
      <c r="CZ263" s="156">
        <f>INPUT!EW64</f>
        <v>4.1570900369741182</v>
      </c>
      <c r="DA263" s="687">
        <f>INPUT!EX64</f>
        <v>0</v>
      </c>
      <c r="DB263" s="16"/>
      <c r="DC263" s="156"/>
      <c r="DD263" s="687"/>
      <c r="DE263" s="464"/>
      <c r="DF263" s="687"/>
      <c r="DG263" s="464">
        <f>INPUT!FT64</f>
        <v>4.199035628181087</v>
      </c>
      <c r="DH263" s="687">
        <f>INPUT!FU64</f>
        <v>0</v>
      </c>
      <c r="DI263" s="464">
        <f>INPUT!FV64</f>
        <v>2.4874581939799332</v>
      </c>
      <c r="DJ263" s="687">
        <f>INPUT!FW64</f>
        <v>0</v>
      </c>
      <c r="DK263" s="156">
        <f>INPUT!FX64</f>
        <v>4.8796124804103149</v>
      </c>
      <c r="DL263" s="687">
        <f>INPUT!FY64</f>
        <v>0</v>
      </c>
      <c r="DM263" s="156">
        <f>INPUT!FZ64</f>
        <v>4.4476507120005015</v>
      </c>
      <c r="DN263" s="687">
        <f>INPUT!GA64</f>
        <v>0</v>
      </c>
      <c r="DO263" s="156">
        <f>INPUT!GB64</f>
        <v>3.300803673938002</v>
      </c>
      <c r="DP263" s="687">
        <f>INPUT!GC64</f>
        <v>0</v>
      </c>
      <c r="DQ263" s="156">
        <f>INPUT!GD64</f>
        <v>3.6396774549872974</v>
      </c>
      <c r="DR263" s="687">
        <f>INPUT!GE64</f>
        <v>0</v>
      </c>
      <c r="DS263" s="156">
        <f>INPUT!GF64</f>
        <v>4.5991973099034604</v>
      </c>
      <c r="DT263" s="687">
        <f>INPUT!GG64</f>
        <v>26.362771613220094</v>
      </c>
      <c r="DU263" s="156">
        <f>INPUT!GH64</f>
        <v>3.6923242777059078</v>
      </c>
      <c r="DV263" s="687">
        <f>INPUT!GI64</f>
        <v>-19.718071895823673</v>
      </c>
      <c r="DW263" s="156">
        <f>INPUT!GJ64</f>
        <v>2.6472321954879159</v>
      </c>
      <c r="DX263" s="687">
        <f>INPUT!GK64</f>
        <v>-28.304450086581291</v>
      </c>
      <c r="DY263" s="156">
        <f>INPUT!GL64</f>
        <v>2.903259616392412</v>
      </c>
      <c r="DZ263" s="687">
        <f>INPUT!GM64</f>
        <v>9.671513565787059</v>
      </c>
      <c r="EA263" s="156">
        <f>INPUT!GN64</f>
        <v>3.9294225016478226</v>
      </c>
      <c r="EB263" s="687">
        <f>INPUT!GO64</f>
        <v>35.345198874447178</v>
      </c>
      <c r="EC263" s="156">
        <f>INPUT!GP64</f>
        <v>4.2613994709711136</v>
      </c>
      <c r="ED263" s="687">
        <f>INPUT!GQ64</f>
        <v>8.4484926012429185</v>
      </c>
      <c r="EE263" s="156">
        <f>INPUT!GR64</f>
        <v>4.2613994709711136</v>
      </c>
      <c r="EF263" s="687">
        <f>INPUT!GS64</f>
        <v>0</v>
      </c>
      <c r="EG263" s="156">
        <f>INPUT!GT64</f>
        <v>4.2613994709711136</v>
      </c>
      <c r="EH263" s="687">
        <f>INPUT!GU64</f>
        <v>0</v>
      </c>
      <c r="EI263" s="156">
        <f>INPUT!GV64</f>
        <v>4.2613994709711136</v>
      </c>
      <c r="EJ263" s="687">
        <f>INPUT!GW64</f>
        <v>0</v>
      </c>
      <c r="EK263" s="156">
        <f>INPUT!GX64</f>
        <v>4.2613994709711136</v>
      </c>
      <c r="EL263" s="687">
        <f>INPUT!GY64</f>
        <v>0</v>
      </c>
      <c r="EM263" s="687">
        <f>INPUT!GZ64</f>
        <v>1.6353305499309245</v>
      </c>
    </row>
    <row r="264" spans="1:143" ht="12.75" hidden="1" customHeight="1" outlineLevel="1" x14ac:dyDescent="0.2">
      <c r="A264" s="701" t="str">
        <f>INPUT!B62</f>
        <v>Withdrawals/Beginning AUM (%)</v>
      </c>
      <c r="B264" s="156"/>
      <c r="C264" s="687"/>
      <c r="D264" s="156"/>
      <c r="E264" s="687"/>
      <c r="F264" s="156"/>
      <c r="G264" s="687"/>
      <c r="H264" s="156"/>
      <c r="I264" s="687"/>
      <c r="J264" s="464">
        <f>INPUT!BG62</f>
        <v>-19.742834181623358</v>
      </c>
      <c r="K264" s="687">
        <f>INPUT!BH62</f>
        <v>0</v>
      </c>
      <c r="L264" s="464">
        <f>INPUT!BI62</f>
        <v>-20.133678897831128</v>
      </c>
      <c r="M264" s="687">
        <f>INPUT!BJ62</f>
        <v>0</v>
      </c>
      <c r="N264" s="464">
        <f>INPUT!BK62</f>
        <v>-19.70853573907009</v>
      </c>
      <c r="O264" s="687">
        <f>INPUT!BL62</f>
        <v>0</v>
      </c>
      <c r="P264" s="464">
        <f>INPUT!BM62</f>
        <v>-15.282716307606497</v>
      </c>
      <c r="Q264" s="687">
        <f>INPUT!BN62</f>
        <v>0</v>
      </c>
      <c r="R264" s="464">
        <f>INPUT!BO62</f>
        <v>-12.848383500557414</v>
      </c>
      <c r="S264" s="687">
        <f>INPUT!BP62</f>
        <v>0</v>
      </c>
      <c r="T264" s="464">
        <f>INPUT!BQ62</f>
        <v>-14.277684092186622</v>
      </c>
      <c r="U264" s="687">
        <f>INPUT!BR62</f>
        <v>0</v>
      </c>
      <c r="V264" s="464">
        <f>INPUT!BS62</f>
        <v>-18.518259898051813</v>
      </c>
      <c r="W264" s="687">
        <f>INPUT!BT62</f>
        <v>0</v>
      </c>
      <c r="X264" s="464">
        <f>INPUT!BU62</f>
        <v>-18.273106569549537</v>
      </c>
      <c r="Y264" s="687">
        <f>INPUT!BV62</f>
        <v>0</v>
      </c>
      <c r="Z264" s="464">
        <f>INPUT!BW62</f>
        <v>-17.409887448354468</v>
      </c>
      <c r="AA264" s="687">
        <f>INPUT!BX62</f>
        <v>0</v>
      </c>
      <c r="AB264" s="464">
        <f>INPUT!BY62</f>
        <v>-14.554189628373603</v>
      </c>
      <c r="AC264" s="687">
        <f>INPUT!BZ62</f>
        <v>0</v>
      </c>
      <c r="AD264" s="464">
        <f>INPUT!CA62</f>
        <v>-10.83214261413894</v>
      </c>
      <c r="AE264" s="687">
        <f>INPUT!CB62</f>
        <v>0</v>
      </c>
      <c r="AF264" s="464">
        <f>INPUT!CC62</f>
        <v>-10.623732251521298</v>
      </c>
      <c r="AG264" s="687">
        <f>INPUT!CD62</f>
        <v>0</v>
      </c>
      <c r="AH264" s="156">
        <f>INPUT!CE62</f>
        <v>-9.735901135436924</v>
      </c>
      <c r="AI264" s="687">
        <f>INPUT!CF62</f>
        <v>0</v>
      </c>
      <c r="AJ264" s="156">
        <f>INPUT!CG62</f>
        <v>-8.769973987365292</v>
      </c>
      <c r="AK264" s="687">
        <f>INPUT!CH62</f>
        <v>0</v>
      </c>
      <c r="AL264" s="156">
        <f>INPUT!CI62</f>
        <v>-9.3570086661414464</v>
      </c>
      <c r="AM264" s="687">
        <f>INPUT!CJ62</f>
        <v>0</v>
      </c>
      <c r="AN264" s="156">
        <f>INPUT!CK62</f>
        <v>-11.627369394359684</v>
      </c>
      <c r="AO264" s="687">
        <f>INPUT!CL62</f>
        <v>0</v>
      </c>
      <c r="AP264" s="156">
        <f>INPUT!CM62</f>
        <v>-9.735935706084959</v>
      </c>
      <c r="AQ264" s="687">
        <f>INPUT!CN62</f>
        <v>0</v>
      </c>
      <c r="AR264" s="156">
        <f>INPUT!CO62</f>
        <v>-9.9076120841126798</v>
      </c>
      <c r="AS264" s="687">
        <f>INPUT!CP62</f>
        <v>0</v>
      </c>
      <c r="AT264" s="156">
        <f>INPUT!CQ62</f>
        <v>-11.327907236035232</v>
      </c>
      <c r="AU264" s="687">
        <f>INPUT!CR62</f>
        <v>0</v>
      </c>
      <c r="AV264" s="156">
        <f>INPUT!CS62</f>
        <v>-10.550280415347881</v>
      </c>
      <c r="AW264" s="687">
        <f>INPUT!CT62</f>
        <v>0</v>
      </c>
      <c r="AX264" s="156">
        <f>INPUT!CU62</f>
        <v>-10.272837733348062</v>
      </c>
      <c r="AY264" s="687">
        <f>INPUT!CV62</f>
        <v>0</v>
      </c>
      <c r="AZ264" s="156">
        <f>INPUT!CW62</f>
        <v>-10.491586935004948</v>
      </c>
      <c r="BA264" s="687">
        <f>INPUT!CX62</f>
        <v>0</v>
      </c>
      <c r="BB264" s="156">
        <f>INPUT!CY62</f>
        <v>-13.112242105839217</v>
      </c>
      <c r="BC264" s="687">
        <f>INPUT!CZ62</f>
        <v>0</v>
      </c>
      <c r="BD264" s="156">
        <f>INPUT!DA62</f>
        <v>-12.448901727802911</v>
      </c>
      <c r="BE264" s="687">
        <f>INPUT!DB62</f>
        <v>0</v>
      </c>
      <c r="BF264" s="156">
        <f>INPUT!DC62</f>
        <v>-9.4370322160754956</v>
      </c>
      <c r="BG264" s="687">
        <f>INPUT!DD62</f>
        <v>0</v>
      </c>
      <c r="BH264" s="156">
        <f>INPUT!DE62</f>
        <v>-9.9681751982307567</v>
      </c>
      <c r="BI264" s="687">
        <f>INPUT!DF62</f>
        <v>0</v>
      </c>
      <c r="BJ264" s="156">
        <f>INPUT!DG62</f>
        <v>-9.9924299772899321</v>
      </c>
      <c r="BK264" s="687">
        <f>INPUT!DH62</f>
        <v>0</v>
      </c>
      <c r="BL264" s="156">
        <f>INPUT!DI62</f>
        <v>-9.5356775207238442</v>
      </c>
      <c r="BM264" s="687">
        <f>INPUT!DJ62</f>
        <v>0</v>
      </c>
      <c r="BN264" s="156">
        <f>INPUT!DK62</f>
        <v>-9.1418714963346268</v>
      </c>
      <c r="BO264" s="687">
        <f>INPUT!DL62</f>
        <v>0</v>
      </c>
      <c r="BP264" s="156">
        <f>INPUT!DM62</f>
        <v>-9.823812066203951</v>
      </c>
      <c r="BQ264" s="687">
        <f>INPUT!DN62</f>
        <v>-1.4482403163663116</v>
      </c>
      <c r="BR264" s="156">
        <f>INPUT!DO62</f>
        <v>-10.066225165562914</v>
      </c>
      <c r="BS264" s="687">
        <f>INPUT!DP62</f>
        <v>0.73851093718642069</v>
      </c>
      <c r="BT264" s="156">
        <f>INPUT!DQ62</f>
        <v>-10.263522884882107</v>
      </c>
      <c r="BU264" s="687">
        <f>INPUT!DR62</f>
        <v>7.632864708107423</v>
      </c>
      <c r="BV264" s="156">
        <f>INPUT!DS62</f>
        <v>-9.731525641712663</v>
      </c>
      <c r="BW264" s="687">
        <f>INPUT!DT62</f>
        <v>6.4500375619418238</v>
      </c>
      <c r="BX264" s="156">
        <f>INPUT!DU62</f>
        <v>-11.64548817757761</v>
      </c>
      <c r="BY264" s="687">
        <f>INPUT!DV62</f>
        <v>18.543474764145994</v>
      </c>
      <c r="BZ264" s="156">
        <f>INPUT!DW62</f>
        <v>-11.29214389417648</v>
      </c>
      <c r="CA264" s="687">
        <f>INPUT!DX62</f>
        <v>142580.9352517986</v>
      </c>
      <c r="CB264" s="156">
        <f>INPUT!DY62</f>
        <v>-9.6829477292202224</v>
      </c>
      <c r="CC264" s="687">
        <f>INPUT!DZ62</f>
        <v>-5.6566849625975575</v>
      </c>
      <c r="CD264" s="156">
        <f>INPUT!EA62</f>
        <v>-8.6364112776438535</v>
      </c>
      <c r="CE264" s="687">
        <f>INPUT!EB62</f>
        <v>-11.253264949277565</v>
      </c>
      <c r="CF264" s="156">
        <f>INPUT!EC62</f>
        <v>-9.7696421225832992</v>
      </c>
      <c r="CG264" s="687">
        <f>INPUT!ED62</f>
        <v>-16.10792116560722</v>
      </c>
      <c r="CH264" s="156">
        <f>INPUT!EE62</f>
        <v>-11.205225022961526</v>
      </c>
      <c r="CI264" s="687">
        <f>INPUT!EF62</f>
        <v>-0.76972868951642459</v>
      </c>
      <c r="CJ264" s="156">
        <f>INPUT!EG62</f>
        <v>-9.5548538249974531</v>
      </c>
      <c r="CK264" s="687">
        <f>INPUT!EH62</f>
        <v>-1.3228812940528467</v>
      </c>
      <c r="CL264" s="156">
        <f>INPUT!EI62</f>
        <v>-9.7348273589210574</v>
      </c>
      <c r="CM264" s="687">
        <f>INPUT!EJ62</f>
        <v>12.718431834303168</v>
      </c>
      <c r="CN264" s="156">
        <f>INPUT!EK62</f>
        <v>-11.065062166075798</v>
      </c>
      <c r="CO264" s="687">
        <f>INPUT!EL62</f>
        <v>13.259646845180061</v>
      </c>
      <c r="CP264" s="156">
        <f>INPUT!EM62</f>
        <v>-11.487937665451275</v>
      </c>
      <c r="CQ264" s="687">
        <f>INPUT!EN62</f>
        <v>2.5230429724563352</v>
      </c>
      <c r="CR264" s="156">
        <f>INPUT!EO62</f>
        <v>-11.41201159188568</v>
      </c>
      <c r="CS264" s="687">
        <f>INPUT!EP62</f>
        <v>19.436799357720382</v>
      </c>
      <c r="CT264" s="156">
        <f>INPUT!EQ62</f>
        <v>-10.91201159188568</v>
      </c>
      <c r="CU264" s="687">
        <f>INPUT!ER62</f>
        <v>12.092502409771487</v>
      </c>
      <c r="CV264" s="156">
        <f>INPUT!ES62</f>
        <v>-10.91201159188568</v>
      </c>
      <c r="CW264" s="687">
        <f>INPUT!ET62</f>
        <v>-1.3831876576288371</v>
      </c>
      <c r="CX264" s="156">
        <f>INPUT!EU62</f>
        <v>-10.91201159188568</v>
      </c>
      <c r="CY264" s="687">
        <f>INPUT!EV62</f>
        <v>-5.0133112690681658</v>
      </c>
      <c r="CZ264" s="156">
        <f>INPUT!EW62</f>
        <v>-10.91201159188568</v>
      </c>
      <c r="DA264" s="687">
        <f>INPUT!EX62</f>
        <v>-4.3813485113835426</v>
      </c>
      <c r="DB264" s="16"/>
      <c r="DC264" s="156"/>
      <c r="DD264" s="687"/>
      <c r="DE264" s="464"/>
      <c r="DF264" s="687"/>
      <c r="DG264" s="464">
        <f>INPUT!FT62</f>
        <v>-18.30297347977498</v>
      </c>
      <c r="DH264" s="687">
        <f>INPUT!FU62</f>
        <v>0</v>
      </c>
      <c r="DI264" s="464">
        <f>INPUT!FV62</f>
        <v>-15.872352285395763</v>
      </c>
      <c r="DJ264" s="687">
        <f>INPUT!FW62</f>
        <v>0</v>
      </c>
      <c r="DK264" s="156">
        <f>INPUT!FX62</f>
        <v>-13.841002991879185</v>
      </c>
      <c r="DL264" s="687">
        <f>INPUT!FY62</f>
        <v>0</v>
      </c>
      <c r="DM264" s="156">
        <f>INPUT!FZ62</f>
        <v>-10.231478577253622</v>
      </c>
      <c r="DN264" s="687">
        <f>INPUT!GA62</f>
        <v>0</v>
      </c>
      <c r="DO264" s="156">
        <f>INPUT!GB62</f>
        <v>-10.585533869115958</v>
      </c>
      <c r="DP264" s="687">
        <f>INPUT!GC62</f>
        <v>0</v>
      </c>
      <c r="DQ264" s="156">
        <f>INPUT!GD62</f>
        <v>-11.66464155528554</v>
      </c>
      <c r="DR264" s="687">
        <f>INPUT!GE62</f>
        <v>0</v>
      </c>
      <c r="DS264" s="156">
        <f>INPUT!GF62</f>
        <v>-9.7570235383447219</v>
      </c>
      <c r="DT264" s="687">
        <f>INPUT!GG62</f>
        <v>-16.353850291065552</v>
      </c>
      <c r="DU264" s="156">
        <f>INPUT!GH62</f>
        <v>-9.9180681328158684</v>
      </c>
      <c r="DV264" s="687">
        <f>INPUT!GI62</f>
        <v>1.6505504351634226</v>
      </c>
      <c r="DW264" s="156">
        <f>INPUT!GJ62</f>
        <v>-10.578211242698677</v>
      </c>
      <c r="DX264" s="687">
        <f>INPUT!GK62</f>
        <v>6.6559646600792721</v>
      </c>
      <c r="DY264" s="156">
        <f>INPUT!GL62</f>
        <v>-9.9832302693637978</v>
      </c>
      <c r="DZ264" s="687">
        <f>INPUT!GM62</f>
        <v>-5.6245896369818471</v>
      </c>
      <c r="EA264" s="156">
        <f>INPUT!GN62</f>
        <v>-11.053085230441615</v>
      </c>
      <c r="EB264" s="687">
        <f>INPUT!GO62</f>
        <v>10.716520927709672</v>
      </c>
      <c r="EC264" s="156">
        <f>INPUT!GP62</f>
        <v>-11.185815080093683</v>
      </c>
      <c r="ED264" s="687">
        <f>INPUT!GQ62</f>
        <v>1.2008398278384069</v>
      </c>
      <c r="EE264" s="156">
        <f>INPUT!GR62</f>
        <v>-10.626524326088997</v>
      </c>
      <c r="EF264" s="687">
        <f>INPUT!GS62</f>
        <v>-5.0000000000000044</v>
      </c>
      <c r="EG264" s="156">
        <f>INPUT!GT62</f>
        <v>-10.626524326088997</v>
      </c>
      <c r="EH264" s="687">
        <f>INPUT!GU62</f>
        <v>0</v>
      </c>
      <c r="EI264" s="156">
        <f>INPUT!GV62</f>
        <v>-10.626524326088997</v>
      </c>
      <c r="EJ264" s="687">
        <f>INPUT!GW62</f>
        <v>0</v>
      </c>
      <c r="EK264" s="156">
        <f>INPUT!GX62</f>
        <v>-10.626524326088997</v>
      </c>
      <c r="EL264" s="687">
        <f>INPUT!GY62</f>
        <v>0</v>
      </c>
      <c r="EM264" s="687">
        <f>INPUT!GZ62</f>
        <v>-0.78403875296452208</v>
      </c>
    </row>
    <row r="265" spans="1:143" ht="12.75" hidden="1" customHeight="1" outlineLevel="1" x14ac:dyDescent="0.2">
      <c r="A265" s="718" t="str">
        <f>INPUT!B65</f>
        <v>Reinsurance Ceded/BOP AUM (%)</v>
      </c>
      <c r="B265" s="156"/>
      <c r="C265" s="687"/>
      <c r="D265" s="156"/>
      <c r="E265" s="687"/>
      <c r="F265" s="156"/>
      <c r="G265" s="687"/>
      <c r="H265" s="156"/>
      <c r="I265" s="687"/>
      <c r="J265" s="464">
        <f>INPUT!BG65</f>
        <v>-11.311277792660059</v>
      </c>
      <c r="K265" s="687">
        <f>INPUT!BH65</f>
        <v>0</v>
      </c>
      <c r="L265" s="464">
        <f>INPUT!BI65</f>
        <v>-10.898922384395036</v>
      </c>
      <c r="M265" s="687">
        <f>INPUT!BJ65</f>
        <v>0</v>
      </c>
      <c r="N265" s="464">
        <f>INPUT!BK65</f>
        <v>-9.9236641221374047</v>
      </c>
      <c r="O265" s="687">
        <f>INPUT!BL65</f>
        <v>0</v>
      </c>
      <c r="P265" s="464">
        <f>INPUT!BM65</f>
        <v>-9.426200934253643</v>
      </c>
      <c r="Q265" s="687">
        <f>INPUT!BN65</f>
        <v>0</v>
      </c>
      <c r="R265" s="464">
        <f>INPUT!BO65</f>
        <v>-9.0997770345596436</v>
      </c>
      <c r="S265" s="687">
        <f>INPUT!BP65</f>
        <v>0</v>
      </c>
      <c r="T265" s="464">
        <f>INPUT!BQ65</f>
        <v>-8.8181562675660476</v>
      </c>
      <c r="U265" s="687">
        <f>INPUT!BR65</f>
        <v>0</v>
      </c>
      <c r="V265" s="464">
        <f>INPUT!BS65</f>
        <v>-8.3513721108861105</v>
      </c>
      <c r="W265" s="687">
        <f>INPUT!BT65</f>
        <v>0</v>
      </c>
      <c r="X265" s="464">
        <f>INPUT!BU65</f>
        <v>-7.9555901279966061</v>
      </c>
      <c r="Y265" s="687">
        <f>INPUT!BV65</f>
        <v>0</v>
      </c>
      <c r="Z265" s="464">
        <f>INPUT!BW65</f>
        <v>-7.7931329249180799</v>
      </c>
      <c r="AA265" s="687">
        <f>INPUT!BX65</f>
        <v>0</v>
      </c>
      <c r="AB265" s="464">
        <f>INPUT!BY65</f>
        <v>-7.5243747350572283</v>
      </c>
      <c r="AC265" s="687">
        <f>INPUT!BZ65</f>
        <v>0</v>
      </c>
      <c r="AD265" s="464">
        <f>INPUT!CA65</f>
        <v>-7.1375110566782336</v>
      </c>
      <c r="AE265" s="687">
        <f>INPUT!CB65</f>
        <v>0</v>
      </c>
      <c r="AF265" s="464">
        <f>INPUT!CC65</f>
        <v>-6.5098884381338751</v>
      </c>
      <c r="AG265" s="687">
        <f>INPUT!CD65</f>
        <v>0</v>
      </c>
      <c r="AH265" s="156">
        <f>INPUT!CE65</f>
        <v>-6.3421366288187686</v>
      </c>
      <c r="AI265" s="687">
        <f>INPUT!CF65</f>
        <v>0</v>
      </c>
      <c r="AJ265" s="156">
        <f>INPUT!CG65</f>
        <v>-6.1563235476278955</v>
      </c>
      <c r="AK265" s="687">
        <f>INPUT!CH65</f>
        <v>0</v>
      </c>
      <c r="AL265" s="156">
        <f>INPUT!CI65</f>
        <v>-5.9269135203927039</v>
      </c>
      <c r="AM265" s="687">
        <f>INPUT!CJ65</f>
        <v>0</v>
      </c>
      <c r="AN265" s="156">
        <f>INPUT!CK65</f>
        <v>-5.559408229311142</v>
      </c>
      <c r="AO265" s="687">
        <f>INPUT!CL65</f>
        <v>0</v>
      </c>
      <c r="AP265" s="156">
        <f>INPUT!CM65</f>
        <v>-5.4477611940298507</v>
      </c>
      <c r="AQ265" s="687">
        <f>INPUT!CN65</f>
        <v>0</v>
      </c>
      <c r="AR265" s="156">
        <f>INPUT!CO65</f>
        <v>-5.299552230346313</v>
      </c>
      <c r="AS265" s="687">
        <f>INPUT!CP65</f>
        <v>0</v>
      </c>
      <c r="AT265" s="156">
        <f>INPUT!CQ65</f>
        <v>-5.1287768982049275</v>
      </c>
      <c r="AU265" s="687">
        <f>INPUT!CR65</f>
        <v>0</v>
      </c>
      <c r="AV265" s="156">
        <f>INPUT!CS65</f>
        <v>-5.0030540285412854</v>
      </c>
      <c r="AW265" s="687">
        <f>INPUT!CT65</f>
        <v>0</v>
      </c>
      <c r="AX265" s="156">
        <f>INPUT!CU65</f>
        <v>-4.8768364078206119</v>
      </c>
      <c r="AY265" s="687">
        <f>INPUT!CV65</f>
        <v>0</v>
      </c>
      <c r="AZ265" s="156">
        <f>INPUT!CW65</f>
        <v>-4.7893984383591777</v>
      </c>
      <c r="BA265" s="687">
        <f>INPUT!CX65</f>
        <v>0</v>
      </c>
      <c r="BB265" s="156">
        <f>INPUT!CY65</f>
        <v>-4.6461993104580532</v>
      </c>
      <c r="BC265" s="687">
        <f>INPUT!CZ65</f>
        <v>0</v>
      </c>
      <c r="BD265" s="156">
        <f>INPUT!DA65</f>
        <v>-4.5239003651823184</v>
      </c>
      <c r="BE265" s="687">
        <f>INPUT!DB65</f>
        <v>0</v>
      </c>
      <c r="BF265" s="156">
        <f>INPUT!DC65</f>
        <v>-4.3985247857685215</v>
      </c>
      <c r="BG265" s="687">
        <f>INPUT!DD65</f>
        <v>0</v>
      </c>
      <c r="BH265" s="156">
        <f>INPUT!DE65</f>
        <v>-4.2936512217487461</v>
      </c>
      <c r="BI265" s="687">
        <f>INPUT!DF65</f>
        <v>0</v>
      </c>
      <c r="BJ265" s="156">
        <f>INPUT!DG65</f>
        <v>-4.2121769222450522</v>
      </c>
      <c r="BK265" s="687">
        <f>INPUT!DH65</f>
        <v>0</v>
      </c>
      <c r="BL265" s="156">
        <f>INPUT!DI65</f>
        <v>-4.112260930812158</v>
      </c>
      <c r="BM265" s="687">
        <f>INPUT!DJ65</f>
        <v>0</v>
      </c>
      <c r="BN265" s="156">
        <f>INPUT!DK65</f>
        <v>-4.0103492884864167</v>
      </c>
      <c r="BO265" s="687">
        <f>INPUT!DL65</f>
        <v>0</v>
      </c>
      <c r="BP265" s="156">
        <f>INPUT!DM65</f>
        <v>-3.8761345435130807</v>
      </c>
      <c r="BQ265" s="687">
        <f>INPUT!DN65</f>
        <v>-9.7240473590590408</v>
      </c>
      <c r="BR265" s="156">
        <f>INPUT!DO65</f>
        <v>-3.7827814569536424</v>
      </c>
      <c r="BS265" s="687">
        <f>INPUT!DP65</f>
        <v>-10.194146001411209</v>
      </c>
      <c r="BT265" s="156">
        <f>INPUT!DQ65</f>
        <v>-3.6967886482449592</v>
      </c>
      <c r="BU265" s="687">
        <f>INPUT!DR65</f>
        <v>-10.103256810728311</v>
      </c>
      <c r="BV265" s="156">
        <f>INPUT!DS65</f>
        <v>-3.6225282675097796</v>
      </c>
      <c r="BW265" s="687">
        <f>INPUT!DT65</f>
        <v>-9.6705048133851719</v>
      </c>
      <c r="BX265" s="156">
        <f>INPUT!DU65</f>
        <v>-3.549407538469787</v>
      </c>
      <c r="BY265" s="687">
        <f>INPUT!DV65</f>
        <v>-8.4291967003593538</v>
      </c>
      <c r="BZ265" s="156">
        <f>INPUT!DW65</f>
        <v>-3.4683013389256336</v>
      </c>
      <c r="CA265" s="687">
        <f>INPUT!DX65</f>
        <v>43792.715827338143</v>
      </c>
      <c r="CB265" s="156">
        <f>INPUT!DY65</f>
        <v>-3.3793916023993149</v>
      </c>
      <c r="CC265" s="687">
        <f>INPUT!DZ65</f>
        <v>-8.5857503916629838</v>
      </c>
      <c r="CD265" s="156">
        <f>INPUT!EA65</f>
        <v>-3.2438947699402578</v>
      </c>
      <c r="CE265" s="687">
        <f>INPUT!EB65</f>
        <v>-10.452188902581138</v>
      </c>
      <c r="CF265" s="156">
        <f>INPUT!EC65</f>
        <v>-3.1262854792266559</v>
      </c>
      <c r="CG265" s="687">
        <f>INPUT!ED65</f>
        <v>-11.920920735564412</v>
      </c>
      <c r="CH265" s="156">
        <f>INPUT!EE65</f>
        <v>-3.0462292070619448</v>
      </c>
      <c r="CI265" s="687">
        <f>INPUT!EF65</f>
        <v>-12.169419281037241</v>
      </c>
      <c r="CJ265" s="156">
        <f>INPUT!EG65</f>
        <v>-2.9744321075685036</v>
      </c>
      <c r="CK265" s="687">
        <f>INPUT!EH65</f>
        <v>-11.983207111697158</v>
      </c>
      <c r="CL265" s="156">
        <f>INPUT!EI65</f>
        <v>-2.9001673173452316</v>
      </c>
      <c r="CM265" s="687">
        <f>INPUT!EJ65</f>
        <v>-10.596134491790455</v>
      </c>
      <c r="CN265" s="156">
        <f>INPUT!EK65</f>
        <v>-2.806211614320667</v>
      </c>
      <c r="CO265" s="687">
        <f>INPUT!EL65</f>
        <v>-10.2381521787692</v>
      </c>
      <c r="CP265" s="156">
        <f>INPUT!EM65</f>
        <v>-3.0967484141651269</v>
      </c>
      <c r="CQ265" s="687">
        <f>INPUT!EN65</f>
        <v>1.6584177902984276</v>
      </c>
      <c r="CR265" s="156">
        <f>INPUT!EO65</f>
        <v>-3.8373138802838014</v>
      </c>
      <c r="CS265" s="687">
        <f>INPUT!EP65</f>
        <v>29.009966995705749</v>
      </c>
      <c r="CT265" s="156">
        <f>INPUT!EQ65</f>
        <v>-4.0285643930066488</v>
      </c>
      <c r="CU265" s="687">
        <f>INPUT!ER65</f>
        <v>38.907999166556159</v>
      </c>
      <c r="CV265" s="156">
        <f>INPUT!ES65</f>
        <v>-4.210709472037486</v>
      </c>
      <c r="CW265" s="687">
        <f>INPUT!ET65</f>
        <v>50.049606043584951</v>
      </c>
      <c r="CX265" s="156">
        <f>INPUT!EU65</f>
        <v>-4.1394465729238998</v>
      </c>
      <c r="CY265" s="687">
        <f>INPUT!EV65</f>
        <v>33.670741671789337</v>
      </c>
      <c r="CZ265" s="156">
        <f>INPUT!EW65</f>
        <v>-4.0617922100204806</v>
      </c>
      <c r="DA265" s="687">
        <f>INPUT!EX65</f>
        <v>5.8498818897785076</v>
      </c>
      <c r="DB265" s="16"/>
      <c r="DC265" s="156"/>
      <c r="DD265" s="687"/>
      <c r="DE265" s="464"/>
      <c r="DF265" s="687"/>
      <c r="DG265" s="464">
        <f>INPUT!FT65</f>
        <v>-9.0543798553442265</v>
      </c>
      <c r="DH265" s="687">
        <f>INPUT!FU65</f>
        <v>0</v>
      </c>
      <c r="DI265" s="464">
        <f>INPUT!FV65</f>
        <v>-7.8386287625418065</v>
      </c>
      <c r="DJ265" s="687">
        <f>INPUT!FW65</f>
        <v>0</v>
      </c>
      <c r="DK265" s="156">
        <f>INPUT!FX65</f>
        <v>-7.3158569596808665</v>
      </c>
      <c r="DL265" s="687">
        <f>INPUT!FY65</f>
        <v>0</v>
      </c>
      <c r="DM265" s="156">
        <f>INPUT!FZ65</f>
        <v>-6.0347531522489177</v>
      </c>
      <c r="DN265" s="687">
        <f>INPUT!GA65</f>
        <v>0</v>
      </c>
      <c r="DO265" s="156">
        <f>INPUT!GB65</f>
        <v>-5.1722158438576349</v>
      </c>
      <c r="DP265" s="687">
        <f>INPUT!GC65</f>
        <v>0</v>
      </c>
      <c r="DQ265" s="156">
        <f>INPUT!GD65</f>
        <v>-4.5841157627305869</v>
      </c>
      <c r="DR265" s="687">
        <f>INPUT!GE65</f>
        <v>0</v>
      </c>
      <c r="DS265" s="156">
        <f>INPUT!GF65</f>
        <v>-4.1164985356329318</v>
      </c>
      <c r="DT265" s="687">
        <f>INPUT!GG65</f>
        <v>-10.200816281723057</v>
      </c>
      <c r="DU265" s="156">
        <f>INPUT!GH65</f>
        <v>-3.7354463130659763</v>
      </c>
      <c r="DV265" s="687">
        <f>INPUT!GI65</f>
        <v>-9.256707351369597</v>
      </c>
      <c r="DW265" s="156">
        <f>INPUT!GJ65</f>
        <v>-3.3813836343175607</v>
      </c>
      <c r="DX265" s="687">
        <f>INPUT!GK65</f>
        <v>-9.4784571661480577</v>
      </c>
      <c r="DY265" s="156">
        <f>INPUT!GL65</f>
        <v>-3.0604758411068023</v>
      </c>
      <c r="DZ265" s="687">
        <f>INPUT!GM65</f>
        <v>-9.4904284137970922</v>
      </c>
      <c r="EA265" s="156">
        <f>INPUT!GN65</f>
        <v>-3.8939309435684222</v>
      </c>
      <c r="EB265" s="687">
        <f>INPUT!GO65</f>
        <v>27.232860043103813</v>
      </c>
      <c r="EC265" s="156">
        <f>INPUT!GP65</f>
        <v>-4.2748091603053435</v>
      </c>
      <c r="ED265" s="687">
        <f>INPUT!GQ65</f>
        <v>9.7813295165394507</v>
      </c>
      <c r="EE265" s="156">
        <f>INPUT!GR65</f>
        <v>-3.9783669585531234</v>
      </c>
      <c r="EF265" s="687">
        <f>INPUT!GS65</f>
        <v>-6.9346300767037183</v>
      </c>
      <c r="EG265" s="156">
        <f>INPUT!GT65</f>
        <v>-3.7084104806783085</v>
      </c>
      <c r="EH265" s="687">
        <f>INPUT!GU65</f>
        <v>-6.7856102940537788</v>
      </c>
      <c r="EI265" s="156">
        <f>INPUT!GV65</f>
        <v>-3.4785985810449933</v>
      </c>
      <c r="EJ265" s="687">
        <f>INPUT!GW65</f>
        <v>-6.1970458996027933</v>
      </c>
      <c r="EK265" s="156">
        <f>INPUT!GX65</f>
        <v>-3.2803218950218671</v>
      </c>
      <c r="EL265" s="687">
        <f>INPUT!GY65</f>
        <v>-5.6999013080595962</v>
      </c>
      <c r="EM265" s="687">
        <f>INPUT!GZ65</f>
        <v>-3.3714097545666566</v>
      </c>
    </row>
    <row r="266" spans="1:143" ht="12.75" hidden="1" customHeight="1" outlineLevel="1" x14ac:dyDescent="0.2">
      <c r="A266" s="690"/>
      <c r="B266" s="720"/>
      <c r="C266" s="684"/>
      <c r="D266" s="720"/>
      <c r="E266" s="684"/>
      <c r="F266" s="720"/>
      <c r="G266" s="684"/>
      <c r="H266" s="720"/>
      <c r="I266" s="684"/>
      <c r="J266" s="720"/>
      <c r="K266" s="684"/>
      <c r="L266" s="720"/>
      <c r="M266" s="684"/>
      <c r="N266" s="720"/>
      <c r="O266" s="684"/>
      <c r="P266" s="720"/>
      <c r="Q266" s="684"/>
      <c r="R266" s="720"/>
      <c r="S266" s="684"/>
      <c r="T266" s="720"/>
      <c r="U266" s="684"/>
      <c r="V266" s="720"/>
      <c r="W266" s="684"/>
      <c r="X266" s="720"/>
      <c r="Y266" s="684"/>
      <c r="Z266" s="720"/>
      <c r="AA266" s="684"/>
      <c r="AB266" s="720"/>
      <c r="AC266" s="684"/>
      <c r="AD266" s="720"/>
      <c r="AE266" s="684"/>
      <c r="AF266" s="720"/>
      <c r="AG266" s="684"/>
      <c r="AH266" s="720"/>
      <c r="AI266" s="684"/>
      <c r="AJ266" s="720"/>
      <c r="AK266" s="684"/>
      <c r="AL266" s="720"/>
      <c r="AM266" s="684"/>
      <c r="AN266" s="720"/>
      <c r="AO266" s="684"/>
      <c r="AP266" s="720"/>
      <c r="AQ266" s="684"/>
      <c r="AR266" s="720"/>
      <c r="AS266" s="684"/>
      <c r="AT266" s="720"/>
      <c r="AU266" s="684"/>
      <c r="AV266" s="720"/>
      <c r="AW266" s="684"/>
      <c r="AX266" s="720"/>
      <c r="AY266" s="684"/>
      <c r="AZ266" s="720"/>
      <c r="BA266" s="684"/>
      <c r="BB266" s="720"/>
      <c r="BC266" s="684"/>
      <c r="BD266" s="720"/>
      <c r="BE266" s="684"/>
      <c r="BF266" s="720"/>
      <c r="BG266" s="684"/>
      <c r="BH266" s="720"/>
      <c r="BI266" s="684"/>
      <c r="BJ266" s="720"/>
      <c r="BK266" s="684"/>
      <c r="BL266" s="720"/>
      <c r="BM266" s="684"/>
      <c r="BN266" s="720"/>
      <c r="BO266" s="684"/>
      <c r="BP266" s="720"/>
      <c r="BQ266" s="684"/>
      <c r="BR266" s="720"/>
      <c r="BS266" s="684"/>
      <c r="BT266" s="720"/>
      <c r="BU266" s="684"/>
      <c r="BV266" s="720"/>
      <c r="BW266" s="684"/>
      <c r="BX266" s="720"/>
      <c r="BY266" s="684"/>
      <c r="BZ266" s="720"/>
      <c r="CA266" s="684"/>
      <c r="CB266" s="720"/>
      <c r="CC266" s="684"/>
      <c r="CD266" s="720"/>
      <c r="CE266" s="684"/>
      <c r="CF266" s="720"/>
      <c r="CG266" s="684"/>
      <c r="CH266" s="720"/>
      <c r="CI266" s="684"/>
      <c r="CJ266" s="720"/>
      <c r="CK266" s="684"/>
      <c r="CL266" s="720"/>
      <c r="CM266" s="684"/>
      <c r="CN266" s="720"/>
      <c r="CO266" s="684"/>
      <c r="CP266" s="720"/>
      <c r="CQ266" s="684"/>
      <c r="CR266" s="720"/>
      <c r="CS266" s="684"/>
      <c r="CT266" s="720"/>
      <c r="CU266" s="684"/>
      <c r="CV266" s="720"/>
      <c r="CW266" s="684"/>
      <c r="CX266" s="720"/>
      <c r="CY266" s="684"/>
      <c r="CZ266" s="720"/>
      <c r="DA266" s="684"/>
      <c r="DB266" s="720"/>
      <c r="DC266" s="720"/>
      <c r="DD266" s="684"/>
      <c r="DE266" s="720"/>
      <c r="DF266" s="684"/>
      <c r="DG266" s="720"/>
      <c r="DH266" s="684"/>
      <c r="DI266" s="720"/>
      <c r="DJ266" s="684"/>
      <c r="DK266" s="720"/>
      <c r="DL266" s="684"/>
      <c r="DM266" s="720"/>
      <c r="DN266" s="684"/>
      <c r="DO266" s="720"/>
      <c r="DP266" s="684"/>
      <c r="DQ266" s="720"/>
      <c r="DR266" s="684"/>
      <c r="DS266" s="720"/>
      <c r="DT266" s="684"/>
      <c r="DU266" s="720"/>
      <c r="DV266" s="684"/>
      <c r="DW266" s="720"/>
      <c r="DX266" s="684"/>
      <c r="DY266" s="720"/>
      <c r="DZ266" s="684"/>
      <c r="EA266" s="720"/>
      <c r="EB266" s="684"/>
      <c r="EC266" s="720"/>
      <c r="ED266" s="684"/>
      <c r="EE266" s="720"/>
      <c r="EF266" s="684"/>
      <c r="EG266" s="720"/>
      <c r="EH266" s="684"/>
      <c r="EI266" s="720"/>
      <c r="EJ266" s="684"/>
      <c r="EK266" s="720"/>
      <c r="EL266" s="684"/>
      <c r="EM266" s="684"/>
    </row>
    <row r="267" spans="1:143" ht="12.75" hidden="1" customHeight="1" outlineLevel="1" x14ac:dyDescent="0.2">
      <c r="A267" s="700" t="str">
        <f>INPUT!B67</f>
        <v>TOTAL ANNUITIES (FIXED &amp; VARIABLE)</v>
      </c>
      <c r="B267" s="16"/>
      <c r="C267" s="687"/>
      <c r="D267" s="16"/>
      <c r="E267" s="687"/>
      <c r="F267" s="16"/>
      <c r="G267" s="687"/>
      <c r="H267" s="16"/>
      <c r="I267" s="687"/>
      <c r="J267" s="16"/>
      <c r="K267" s="687"/>
      <c r="L267" s="16"/>
      <c r="M267" s="687"/>
      <c r="N267" s="16"/>
      <c r="O267" s="687"/>
      <c r="P267" s="16"/>
      <c r="Q267" s="687"/>
      <c r="R267" s="16"/>
      <c r="S267" s="687"/>
      <c r="T267" s="16"/>
      <c r="U267" s="687"/>
      <c r="V267" s="16"/>
      <c r="W267" s="687"/>
      <c r="X267" s="16"/>
      <c r="Y267" s="687"/>
      <c r="Z267" s="16"/>
      <c r="AA267" s="687"/>
      <c r="AB267" s="16"/>
      <c r="AC267" s="687"/>
      <c r="AD267" s="16"/>
      <c r="AE267" s="687"/>
      <c r="AF267" s="16"/>
      <c r="AG267" s="687"/>
      <c r="AH267" s="16"/>
      <c r="AI267" s="687"/>
      <c r="AJ267" s="16"/>
      <c r="AK267" s="687"/>
      <c r="AL267" s="16"/>
      <c r="AM267" s="687"/>
      <c r="AN267" s="16"/>
      <c r="AO267" s="687"/>
      <c r="AP267" s="16"/>
      <c r="AQ267" s="687"/>
      <c r="AR267" s="16"/>
      <c r="AS267" s="687"/>
      <c r="AT267" s="16"/>
      <c r="AU267" s="687"/>
      <c r="AV267" s="16"/>
      <c r="AW267" s="687"/>
      <c r="AX267" s="16"/>
      <c r="AY267" s="687"/>
      <c r="AZ267" s="16"/>
      <c r="BA267" s="687"/>
      <c r="BB267" s="16"/>
      <c r="BC267" s="687"/>
      <c r="BD267" s="16"/>
      <c r="BE267" s="687"/>
      <c r="BF267" s="16"/>
      <c r="BG267" s="687"/>
      <c r="BH267" s="16"/>
      <c r="BI267" s="687"/>
      <c r="BJ267" s="16"/>
      <c r="BK267" s="687"/>
      <c r="BL267" s="16"/>
      <c r="BM267" s="687"/>
      <c r="BN267" s="16"/>
      <c r="BO267" s="687"/>
      <c r="BP267" s="16"/>
      <c r="BQ267" s="687"/>
      <c r="BR267" s="16"/>
      <c r="BS267" s="687"/>
      <c r="BT267" s="16"/>
      <c r="BU267" s="687"/>
      <c r="BV267" s="16"/>
      <c r="BW267" s="687"/>
      <c r="BX267" s="16"/>
      <c r="BY267" s="687"/>
      <c r="BZ267" s="16"/>
      <c r="CA267" s="687"/>
      <c r="CB267" s="16"/>
      <c r="CC267" s="687"/>
      <c r="CD267" s="16"/>
      <c r="CE267" s="687"/>
      <c r="CF267" s="16"/>
      <c r="CG267" s="687"/>
      <c r="CH267" s="16"/>
      <c r="CI267" s="687"/>
      <c r="CJ267" s="16"/>
      <c r="CK267" s="687"/>
      <c r="CL267" s="16"/>
      <c r="CM267" s="687"/>
      <c r="CN267" s="16"/>
      <c r="CO267" s="687"/>
      <c r="CP267" s="16"/>
      <c r="CQ267" s="687"/>
      <c r="CR267" s="16"/>
      <c r="CS267" s="687"/>
      <c r="CT267" s="16"/>
      <c r="CU267" s="687"/>
      <c r="CV267" s="16"/>
      <c r="CW267" s="687"/>
      <c r="CX267" s="16"/>
      <c r="CY267" s="687"/>
      <c r="CZ267" s="16"/>
      <c r="DA267" s="687"/>
      <c r="DB267" s="16"/>
      <c r="DC267" s="16"/>
      <c r="DD267" s="687"/>
      <c r="DE267" s="16"/>
      <c r="DF267" s="687"/>
      <c r="DG267" s="16"/>
      <c r="DH267" s="687"/>
      <c r="DI267" s="16"/>
      <c r="DJ267" s="687"/>
      <c r="DK267" s="16"/>
      <c r="DL267" s="687"/>
      <c r="DM267" s="16"/>
      <c r="DN267" s="687"/>
      <c r="DO267" s="16"/>
      <c r="DP267" s="687"/>
      <c r="DQ267" s="16"/>
      <c r="DR267" s="687"/>
      <c r="DS267" s="16"/>
      <c r="DT267" s="687"/>
      <c r="DU267" s="16"/>
      <c r="DV267" s="687"/>
      <c r="DW267" s="16"/>
      <c r="DX267" s="687"/>
      <c r="DY267" s="16"/>
      <c r="DZ267" s="687"/>
      <c r="EA267" s="16"/>
      <c r="EB267" s="687"/>
      <c r="EC267" s="16"/>
      <c r="ED267" s="687"/>
      <c r="EE267" s="16"/>
      <c r="EF267" s="687"/>
      <c r="EG267" s="16"/>
      <c r="EH267" s="687"/>
      <c r="EI267" s="16"/>
      <c r="EJ267" s="687"/>
      <c r="EK267" s="16"/>
      <c r="EL267" s="687"/>
      <c r="EM267" s="687"/>
    </row>
    <row r="268" spans="1:143" ht="12.75" hidden="1" customHeight="1" outlineLevel="1" x14ac:dyDescent="0.2">
      <c r="A268" s="701" t="str">
        <f>INPUT!B68</f>
        <v>AUM, BOP ($ in millions)</v>
      </c>
      <c r="B268" s="151"/>
      <c r="C268" s="687"/>
      <c r="D268" s="151"/>
      <c r="E268" s="687"/>
      <c r="F268" s="151"/>
      <c r="G268" s="687"/>
      <c r="H268" s="151"/>
      <c r="I268" s="687"/>
      <c r="J268" s="151">
        <f>INPUT!BG68</f>
        <v>66714</v>
      </c>
      <c r="K268" s="687" t="str">
        <f>INPUT!BH68</f>
        <v>NA</v>
      </c>
      <c r="L268" s="151">
        <f>INPUT!BI68</f>
        <v>68438</v>
      </c>
      <c r="M268" s="687" t="str">
        <f>INPUT!BJ68</f>
        <v>NA</v>
      </c>
      <c r="N268" s="151">
        <f>INPUT!BK68</f>
        <v>73039</v>
      </c>
      <c r="O268" s="687" t="str">
        <f>INPUT!BL68</f>
        <v>NA</v>
      </c>
      <c r="P268" s="151">
        <f>INPUT!BM68</f>
        <v>76107</v>
      </c>
      <c r="Q268" s="687" t="str">
        <f>INPUT!BN68</f>
        <v>NA</v>
      </c>
      <c r="R268" s="151">
        <f>INPUT!BO68</f>
        <v>76464</v>
      </c>
      <c r="S268" s="687">
        <f>INPUT!BP68</f>
        <v>14.614623617231759</v>
      </c>
      <c r="T268" s="151">
        <f>INPUT!BQ68</f>
        <v>72667</v>
      </c>
      <c r="U268" s="687">
        <f>INPUT!BR68</f>
        <v>6.179315584908962</v>
      </c>
      <c r="V268" s="151">
        <f>INPUT!BS68</f>
        <v>73654</v>
      </c>
      <c r="W268" s="687">
        <f>INPUT!BT68</f>
        <v>0.84201590930872428</v>
      </c>
      <c r="X268" s="151">
        <f>INPUT!BU68</f>
        <v>67671</v>
      </c>
      <c r="Y268" s="687">
        <f>INPUT!BV68</f>
        <v>-11.084394339548265</v>
      </c>
      <c r="Z268" s="151">
        <f>INPUT!BW68</f>
        <v>58580</v>
      </c>
      <c r="AA268" s="687">
        <f>INPUT!BX68</f>
        <v>-23.388784264490482</v>
      </c>
      <c r="AB268" s="151">
        <f>INPUT!BY68</f>
        <v>57154</v>
      </c>
      <c r="AC268" s="687">
        <f>INPUT!BZ68</f>
        <v>-21.348067210700872</v>
      </c>
      <c r="AD268" s="151">
        <f>INPUT!CA68</f>
        <v>64119</v>
      </c>
      <c r="AE268" s="687">
        <f>INPUT!CB68</f>
        <v>-12.945664865451977</v>
      </c>
      <c r="AF268" s="151">
        <f>INPUT!CC68</f>
        <v>72195</v>
      </c>
      <c r="AG268" s="687">
        <f>INPUT!CD68</f>
        <v>6.6852861639402406</v>
      </c>
      <c r="AH268" s="151">
        <f>INPUT!CE68</f>
        <v>75308</v>
      </c>
      <c r="AI268" s="687">
        <f>INPUT!CF68</f>
        <v>28.555821099351309</v>
      </c>
      <c r="AJ268" s="151">
        <f>INPUT!CG68</f>
        <v>77857</v>
      </c>
      <c r="AK268" s="687">
        <f>INPUT!CH68</f>
        <v>36.22318647863667</v>
      </c>
      <c r="AL268" s="151">
        <f>INPUT!CI68</f>
        <v>74318</v>
      </c>
      <c r="AM268" s="687">
        <f>INPUT!CJ68</f>
        <v>15.906361608883479</v>
      </c>
      <c r="AN268" s="151">
        <f>INPUT!CK68</f>
        <v>81207</v>
      </c>
      <c r="AO268" s="687">
        <f>INPUT!CL68</f>
        <v>12.482858923748186</v>
      </c>
      <c r="AP268" s="151">
        <f>INPUT!CM68</f>
        <v>85810</v>
      </c>
      <c r="AQ268" s="687">
        <f>INPUT!CN68</f>
        <v>13.945397567323514</v>
      </c>
      <c r="AR268" s="151">
        <f>INPUT!CO68</f>
        <v>88734</v>
      </c>
      <c r="AS268" s="687">
        <f>INPUT!CP68</f>
        <v>13.970484349512557</v>
      </c>
      <c r="AT268" s="151">
        <f>INPUT!CQ68</f>
        <v>89775</v>
      </c>
      <c r="AU268" s="687">
        <f>INPUT!CR68</f>
        <v>20.79846066901694</v>
      </c>
      <c r="AV268" s="151">
        <f>INPUT!CS68</f>
        <v>82149</v>
      </c>
      <c r="AW268" s="687">
        <f>INPUT!CT68</f>
        <v>1.1599985222948694</v>
      </c>
      <c r="AX268" s="151">
        <f>INPUT!CU68</f>
        <v>86436</v>
      </c>
      <c r="AY268" s="687">
        <f>INPUT!CV68</f>
        <v>0.72951870411372965</v>
      </c>
      <c r="AZ268" s="151">
        <f>INPUT!CW68</f>
        <v>92552</v>
      </c>
      <c r="BA268" s="687">
        <f>INPUT!CX68</f>
        <v>4.3027475375842394</v>
      </c>
      <c r="BB268" s="151">
        <f>INPUT!CY68</f>
        <v>91249</v>
      </c>
      <c r="BC268" s="687">
        <f>INPUT!CZ68</f>
        <v>1.6418824839877555</v>
      </c>
      <c r="BD268" s="151">
        <f>INPUT!DA68</f>
        <v>95043</v>
      </c>
      <c r="BE268" s="687">
        <f>INPUT!DB68</f>
        <v>15.695869700178932</v>
      </c>
      <c r="BF268" s="151">
        <f>INPUT!DC68</f>
        <v>97344</v>
      </c>
      <c r="BG268" s="687">
        <f>INPUT!DD68</f>
        <v>12.619741774260728</v>
      </c>
      <c r="BH268" s="151">
        <f>INPUT!DE68</f>
        <v>102226</v>
      </c>
      <c r="BI268" s="687">
        <f>INPUT!DF68</f>
        <v>10.452502377042094</v>
      </c>
      <c r="BJ268" s="151">
        <f>INPUT!DG68</f>
        <v>103889</v>
      </c>
      <c r="BK268" s="687">
        <f>INPUT!DH68</f>
        <v>13.852206599524376</v>
      </c>
      <c r="BL268" s="151">
        <f>INPUT!DI68</f>
        <v>109478</v>
      </c>
      <c r="BM268" s="687">
        <f>INPUT!DJ68</f>
        <v>15.187862335995295</v>
      </c>
      <c r="BN268" s="151">
        <f>INPUT!DK68</f>
        <v>115850</v>
      </c>
      <c r="BO268" s="687">
        <f>INPUT!DL68</f>
        <v>19.010930309007222</v>
      </c>
      <c r="BP268" s="151">
        <f>INPUT!DM68</f>
        <v>117528</v>
      </c>
      <c r="BQ268" s="687">
        <f>INPUT!DN68</f>
        <v>14.968794631502757</v>
      </c>
      <c r="BR268" s="151">
        <f>INPUT!DO68</f>
        <v>121918</v>
      </c>
      <c r="BS268" s="687">
        <f>INPUT!DP68</f>
        <v>17.354099086525032</v>
      </c>
      <c r="BT268" s="151">
        <f>INPUT!DQ68</f>
        <v>120984</v>
      </c>
      <c r="BU268" s="687">
        <f>INPUT!DR68</f>
        <v>10.509874129962181</v>
      </c>
      <c r="BV268" s="151">
        <f>INPUT!DS68</f>
        <v>122734</v>
      </c>
      <c r="BW268" s="687">
        <f>INPUT!DT68</f>
        <v>5.9421665947345659</v>
      </c>
      <c r="BX268" s="151">
        <f>INPUT!DU68</f>
        <v>124930</v>
      </c>
      <c r="BY268" s="687">
        <f>INPUT!DV68</f>
        <v>6.2980736505343415</v>
      </c>
      <c r="BZ268" s="151">
        <f>INPUT!DW68</f>
        <v>125197</v>
      </c>
      <c r="CA268" s="687">
        <f>INPUT!DX68</f>
        <v>1.9791092678919653</v>
      </c>
      <c r="CB268" s="151">
        <f>INPUT!DY68</f>
        <v>119253</v>
      </c>
      <c r="CC268" s="687">
        <f>INPUT!DZ68</f>
        <v>-1.4307677048204681</v>
      </c>
      <c r="CD268" s="151">
        <f>INPUT!EA68</f>
        <v>122228</v>
      </c>
      <c r="CE268" s="687">
        <f>INPUT!EB68</f>
        <v>-0.4122736975899044</v>
      </c>
      <c r="CF268" s="151">
        <f>INPUT!EC68</f>
        <v>122351</v>
      </c>
      <c r="CG268" s="687">
        <f>INPUT!ED68</f>
        <v>-2.0643560393820537</v>
      </c>
      <c r="CH268" s="151">
        <f>INPUT!EE68</f>
        <v>123459</v>
      </c>
      <c r="CI268" s="687">
        <f>INPUT!EF68</f>
        <v>-1.3882121776080947</v>
      </c>
      <c r="CJ268" s="151">
        <f>INPUT!EG68</f>
        <v>126107</v>
      </c>
      <c r="CK268" s="687">
        <f>INPUT!EH68</f>
        <v>5.7474445087335235</v>
      </c>
      <c r="CL268" s="151">
        <f>INPUT!EI68</f>
        <v>125489</v>
      </c>
      <c r="CM268" s="687">
        <f>INPUT!EJ68</f>
        <v>2.6679647871191481</v>
      </c>
      <c r="CN268" s="151">
        <f>INPUT!EK68</f>
        <v>129502</v>
      </c>
      <c r="CO268" s="687">
        <f>INPUT!EL68</f>
        <v>5.8446600354717271</v>
      </c>
      <c r="CP268" s="151">
        <f>INPUT!EM68</f>
        <v>131591</v>
      </c>
      <c r="CQ268" s="687">
        <f>INPUT!EN68</f>
        <v>6.5868020962424723</v>
      </c>
      <c r="CR268" s="151">
        <f>INPUT!EO68</f>
        <v>134284</v>
      </c>
      <c r="CS268" s="687">
        <f>INPUT!EP68</f>
        <v>6.4841761361383643</v>
      </c>
      <c r="CT268" s="151">
        <f>INPUT!EQ68</f>
        <v>137784</v>
      </c>
      <c r="CU268" s="687">
        <f>INPUT!ER68</f>
        <v>9.7976715090565705</v>
      </c>
      <c r="CV268" s="151">
        <f>INPUT!ES68</f>
        <v>136658.01922669448</v>
      </c>
      <c r="CW268" s="687">
        <f>INPUT!ET68</f>
        <v>5.5257982322238108</v>
      </c>
      <c r="CX268" s="151">
        <f>INPUT!EU68</f>
        <v>138026.46907662234</v>
      </c>
      <c r="CY268" s="687">
        <f>INPUT!EV68</f>
        <v>4.890508527651849</v>
      </c>
      <c r="CZ268" s="151">
        <f>INPUT!EW68</f>
        <v>139654.62932689846</v>
      </c>
      <c r="DA268" s="687">
        <f>INPUT!EX68</f>
        <v>3.999455874786606</v>
      </c>
      <c r="DB268" s="16"/>
      <c r="DC268" s="151"/>
      <c r="DD268" s="687"/>
      <c r="DE268" s="151"/>
      <c r="DF268" s="687"/>
      <c r="DG268" s="151">
        <f>INPUT!FT68</f>
        <v>66714</v>
      </c>
      <c r="DH268" s="687" t="str">
        <f>INPUT!FU68</f>
        <v>NA</v>
      </c>
      <c r="DI268" s="151">
        <f>INPUT!FV68</f>
        <v>76464</v>
      </c>
      <c r="DJ268" s="687">
        <f>INPUT!FW68</f>
        <v>14.614623617231759</v>
      </c>
      <c r="DK268" s="151">
        <f>INPUT!FX68</f>
        <v>58580</v>
      </c>
      <c r="DL268" s="687">
        <f>INPUT!FY68</f>
        <v>-23.388784264490482</v>
      </c>
      <c r="DM268" s="151">
        <f>INPUT!FZ68</f>
        <v>75308</v>
      </c>
      <c r="DN268" s="687">
        <f>INPUT!GA68</f>
        <v>28.555821099351309</v>
      </c>
      <c r="DO268" s="151">
        <f>INPUT!GB68</f>
        <v>85810</v>
      </c>
      <c r="DP268" s="687">
        <f>INPUT!GC68</f>
        <v>13.945397567323514</v>
      </c>
      <c r="DQ268" s="151">
        <f>INPUT!GD68</f>
        <v>86436</v>
      </c>
      <c r="DR268" s="687">
        <f>INPUT!GE68</f>
        <v>0.72951870411372965</v>
      </c>
      <c r="DS268" s="151">
        <f>INPUT!GF68</f>
        <v>97344</v>
      </c>
      <c r="DT268" s="687">
        <f>INPUT!GG68</f>
        <v>12.619741774260728</v>
      </c>
      <c r="DU268" s="151">
        <f>INPUT!GH68</f>
        <v>115850</v>
      </c>
      <c r="DV268" s="687">
        <f>INPUT!GI68</f>
        <v>19.010930309007222</v>
      </c>
      <c r="DW268" s="151">
        <f>INPUT!GJ68</f>
        <v>122734</v>
      </c>
      <c r="DX268" s="687">
        <f>INPUT!GK68</f>
        <v>5.9421665947345659</v>
      </c>
      <c r="DY268" s="151">
        <f>INPUT!GL68</f>
        <v>122228</v>
      </c>
      <c r="DZ268" s="687">
        <f>INPUT!GM68</f>
        <v>-0.4122736975899044</v>
      </c>
      <c r="EA268" s="151">
        <f>INPUT!GN68</f>
        <v>125489</v>
      </c>
      <c r="EB268" s="687">
        <f>INPUT!GO68</f>
        <v>2.6679647871191481</v>
      </c>
      <c r="EC268" s="151">
        <f>INPUT!GP68</f>
        <v>137784</v>
      </c>
      <c r="ED268" s="687">
        <f>INPUT!GQ68</f>
        <v>9.7976715090565705</v>
      </c>
      <c r="EE268" s="151">
        <f>INPUT!GR68</f>
        <v>141549.88504574614</v>
      </c>
      <c r="EF268" s="687">
        <f>INPUT!GS68</f>
        <v>2.7331802282893003</v>
      </c>
      <c r="EG268" s="151">
        <f>INPUT!GT68</f>
        <v>149764.69676589785</v>
      </c>
      <c r="EH268" s="687">
        <f>INPUT!GU68</f>
        <v>5.8034746672502413</v>
      </c>
      <c r="EI268" s="151">
        <f>INPUT!GV68</f>
        <v>158936.11242224992</v>
      </c>
      <c r="EJ268" s="687">
        <f>INPUT!GW68</f>
        <v>6.1238835682939419</v>
      </c>
      <c r="EK268" s="151">
        <f>INPUT!GX68</f>
        <v>169199.49938737834</v>
      </c>
      <c r="EL268" s="687">
        <f>INPUT!GY68</f>
        <v>6.4575550570039164</v>
      </c>
      <c r="EM268" s="687">
        <f>INPUT!GZ68</f>
        <v>6.1594556756982888</v>
      </c>
    </row>
    <row r="269" spans="1:143" ht="12.75" hidden="1" customHeight="1" outlineLevel="1" x14ac:dyDescent="0.2">
      <c r="A269" s="718" t="str">
        <f>INPUT!B69</f>
        <v>Deposits</v>
      </c>
      <c r="B269" s="151"/>
      <c r="C269" s="687"/>
      <c r="D269" s="151"/>
      <c r="E269" s="687"/>
      <c r="F269" s="151"/>
      <c r="G269" s="687"/>
      <c r="H269" s="151"/>
      <c r="I269" s="687"/>
      <c r="J269" s="151">
        <f>INPUT!BG69</f>
        <v>2821</v>
      </c>
      <c r="K269" s="687" t="str">
        <f>INPUT!BH69</f>
        <v>NA</v>
      </c>
      <c r="L269" s="151">
        <f>INPUT!BI69</f>
        <v>3277</v>
      </c>
      <c r="M269" s="687" t="str">
        <f>INPUT!BJ69</f>
        <v>NA</v>
      </c>
      <c r="N269" s="151">
        <f>INPUT!BK69</f>
        <v>3478</v>
      </c>
      <c r="O269" s="687" t="str">
        <f>INPUT!BL69</f>
        <v>NA</v>
      </c>
      <c r="P269" s="151">
        <f>INPUT!BM69</f>
        <v>3880</v>
      </c>
      <c r="Q269" s="687" t="str">
        <f>INPUT!BN69</f>
        <v>NA</v>
      </c>
      <c r="R269" s="151">
        <f>INPUT!BO69</f>
        <v>3025</v>
      </c>
      <c r="S269" s="687">
        <f>INPUT!BP69</f>
        <v>7.2314781992201427</v>
      </c>
      <c r="T269" s="151">
        <f>INPUT!BQ69</f>
        <v>3437</v>
      </c>
      <c r="U269" s="687">
        <f>INPUT!BR69</f>
        <v>4.8825144949649069</v>
      </c>
      <c r="V269" s="151">
        <f>INPUT!BS69</f>
        <v>2947</v>
      </c>
      <c r="W269" s="687">
        <f>INPUT!BT69</f>
        <v>-15.267395054629096</v>
      </c>
      <c r="X269" s="151">
        <f>INPUT!BU69</f>
        <v>2321</v>
      </c>
      <c r="Y269" s="687">
        <f>INPUT!BV69</f>
        <v>-40.180412371134025</v>
      </c>
      <c r="Z269" s="151">
        <f>INPUT!BW69</f>
        <v>2188</v>
      </c>
      <c r="AA269" s="687">
        <f>INPUT!BX69</f>
        <v>-27.669421487603309</v>
      </c>
      <c r="AB269" s="151">
        <f>INPUT!BY69</f>
        <v>2625</v>
      </c>
      <c r="AC269" s="687">
        <f>INPUT!BZ69</f>
        <v>-23.625254582484722</v>
      </c>
      <c r="AD269" s="151">
        <f>INPUT!CA69</f>
        <v>3089</v>
      </c>
      <c r="AE269" s="687">
        <f>INPUT!CB69</f>
        <v>4.8184594502884259</v>
      </c>
      <c r="AF269" s="151">
        <f>INPUT!CC69</f>
        <v>2460</v>
      </c>
      <c r="AG269" s="687">
        <f>INPUT!CD69</f>
        <v>5.9887979319259044</v>
      </c>
      <c r="AH269" s="151">
        <f>INPUT!CE69</f>
        <v>2276</v>
      </c>
      <c r="AI269" s="687">
        <f>INPUT!CF69</f>
        <v>4.0219378427788</v>
      </c>
      <c r="AJ269" s="151">
        <f>INPUT!CG69</f>
        <v>2823</v>
      </c>
      <c r="AK269" s="687">
        <f>INPUT!CH69</f>
        <v>7.54285714285714</v>
      </c>
      <c r="AL269" s="151">
        <f>INPUT!CI69</f>
        <v>2979</v>
      </c>
      <c r="AM269" s="687">
        <f>INPUT!CJ69</f>
        <v>-3.561022984784723</v>
      </c>
      <c r="AN269" s="151">
        <f>INPUT!CK69</f>
        <v>2589</v>
      </c>
      <c r="AO269" s="687">
        <f>INPUT!CL69</f>
        <v>5.2439024390243949</v>
      </c>
      <c r="AP269" s="151">
        <f>INPUT!CM69</f>
        <v>2639</v>
      </c>
      <c r="AQ269" s="687">
        <f>INPUT!CN69</f>
        <v>15.949033391915645</v>
      </c>
      <c r="AR269" s="151">
        <f>INPUT!CO69</f>
        <v>2927</v>
      </c>
      <c r="AS269" s="687">
        <f>INPUT!CP69</f>
        <v>3.6840240878498021</v>
      </c>
      <c r="AT269" s="151">
        <f>INPUT!CQ69</f>
        <v>2709</v>
      </c>
      <c r="AU269" s="687">
        <f>INPUT!CR69</f>
        <v>-9.0634441087613311</v>
      </c>
      <c r="AV269" s="151">
        <f>INPUT!CS69</f>
        <v>2375</v>
      </c>
      <c r="AW269" s="687">
        <f>INPUT!CT69</f>
        <v>-8.2657396678254109</v>
      </c>
      <c r="AX269" s="151">
        <f>INPUT!CU69</f>
        <v>2480</v>
      </c>
      <c r="AY269" s="687">
        <f>INPUT!CV69</f>
        <v>-6.025009473285337</v>
      </c>
      <c r="AZ269" s="151">
        <f>INPUT!CW69</f>
        <v>2867</v>
      </c>
      <c r="BA269" s="687">
        <f>INPUT!CX69</f>
        <v>-2.0498804236419588</v>
      </c>
      <c r="BB269" s="151">
        <f>INPUT!CY69</f>
        <v>2677</v>
      </c>
      <c r="BC269" s="687">
        <f>INPUT!CZ69</f>
        <v>-1.1812476928755977</v>
      </c>
      <c r="BD269" s="151">
        <f>INPUT!DA69</f>
        <v>3539</v>
      </c>
      <c r="BE269" s="687">
        <f>INPUT!DB69</f>
        <v>49.010526315789484</v>
      </c>
      <c r="BF269" s="151">
        <f>INPUT!DC69</f>
        <v>3219</v>
      </c>
      <c r="BG269" s="687">
        <f>INPUT!DD69</f>
        <v>29.798387096774203</v>
      </c>
      <c r="BH269" s="151">
        <f>INPUT!DE69</f>
        <v>4181</v>
      </c>
      <c r="BI269" s="687">
        <f>INPUT!DF69</f>
        <v>45.831880013951867</v>
      </c>
      <c r="BJ269" s="151">
        <f>INPUT!DG69</f>
        <v>3640</v>
      </c>
      <c r="BK269" s="687">
        <f>INPUT!DH69</f>
        <v>35.97310422114306</v>
      </c>
      <c r="BL269" s="151">
        <f>INPUT!DI69</f>
        <v>3733</v>
      </c>
      <c r="BM269" s="687">
        <f>INPUT!DJ69</f>
        <v>5.4817745125741668</v>
      </c>
      <c r="BN269" s="151">
        <f>INPUT!DK69</f>
        <v>3379</v>
      </c>
      <c r="BO269" s="687">
        <f>INPUT!DL69</f>
        <v>4.9704877291084193</v>
      </c>
      <c r="BP269" s="151">
        <f>INPUT!DM69</f>
        <v>3566</v>
      </c>
      <c r="BQ269" s="687">
        <f>INPUT!DN69</f>
        <v>-14.709399665151878</v>
      </c>
      <c r="BR269" s="151">
        <f>INPUT!DO69</f>
        <v>3453</v>
      </c>
      <c r="BS269" s="687">
        <f>INPUT!DP69</f>
        <v>-5.1373626373626413</v>
      </c>
      <c r="BT269" s="151">
        <f>INPUT!DQ69</f>
        <v>3381</v>
      </c>
      <c r="BU269" s="687">
        <f>INPUT!DR69</f>
        <v>-9.4294133404768328</v>
      </c>
      <c r="BV269" s="151">
        <f>INPUT!DS69</f>
        <v>2990</v>
      </c>
      <c r="BW269" s="687">
        <f>INPUT!DT69</f>
        <v>-11.512281740159814</v>
      </c>
      <c r="BX269" s="151">
        <f>INPUT!DU69</f>
        <v>3380</v>
      </c>
      <c r="BY269" s="687">
        <f>INPUT!DV69</f>
        <v>-5.2159282108805378</v>
      </c>
      <c r="BZ269" s="151">
        <f>INPUT!DW69</f>
        <v>3304</v>
      </c>
      <c r="CA269" s="687">
        <f>INPUT!DX69</f>
        <v>3304</v>
      </c>
      <c r="CB269" s="151">
        <f>INPUT!DY69</f>
        <v>3018</v>
      </c>
      <c r="CC269" s="687">
        <f>INPUT!DZ69</f>
        <v>-10.736468500443653</v>
      </c>
      <c r="CD269" s="151">
        <f>INPUT!EA69</f>
        <v>2353</v>
      </c>
      <c r="CE269" s="687">
        <f>INPUT!EB69</f>
        <v>-21.304347826086957</v>
      </c>
      <c r="CF269" s="151">
        <f>INPUT!EC69</f>
        <v>2113</v>
      </c>
      <c r="CG269" s="687">
        <f>INPUT!ED69</f>
        <v>-37.485207100591708</v>
      </c>
      <c r="CH269" s="151">
        <f>INPUT!EE69</f>
        <v>1938</v>
      </c>
      <c r="CI269" s="687">
        <f>INPUT!EF69</f>
        <v>-41.343825665859569</v>
      </c>
      <c r="CJ269" s="151">
        <f>INPUT!EG69</f>
        <v>1810</v>
      </c>
      <c r="CK269" s="687">
        <f>INPUT!EH69</f>
        <v>-40.026507620941018</v>
      </c>
      <c r="CL269" s="151">
        <f>INPUT!EI69</f>
        <v>2016</v>
      </c>
      <c r="CM269" s="687">
        <f>INPUT!EJ69</f>
        <v>-14.322141946451339</v>
      </c>
      <c r="CN269" s="151">
        <f>INPUT!EK69</f>
        <v>1991</v>
      </c>
      <c r="CO269" s="687">
        <f>INPUT!EL69</f>
        <v>-5.7737813535257976</v>
      </c>
      <c r="CP269" s="151">
        <f>INPUT!EM69</f>
        <v>1916</v>
      </c>
      <c r="CQ269" s="687">
        <f>INPUT!EN69</f>
        <v>-1.1351909184726505</v>
      </c>
      <c r="CR269" s="151">
        <f>INPUT!EO69</f>
        <v>2787</v>
      </c>
      <c r="CS269" s="687">
        <f>INPUT!EP69</f>
        <v>53.97790055248619</v>
      </c>
      <c r="CT269" s="151">
        <f>INPUT!EQ69</f>
        <v>2705.8825000000002</v>
      </c>
      <c r="CU269" s="687">
        <f>INPUT!ER69</f>
        <v>34.220362103174608</v>
      </c>
      <c r="CV269" s="151">
        <f>INPUT!ES69</f>
        <v>2875.8234237273564</v>
      </c>
      <c r="CW269" s="687">
        <f>INPUT!ET69</f>
        <v>44.441156390123382</v>
      </c>
      <c r="CX269" s="151">
        <f>INPUT!EU69</f>
        <v>3091.1496481750537</v>
      </c>
      <c r="CY269" s="687">
        <f>INPUT!EV69</f>
        <v>61.333488944418256</v>
      </c>
      <c r="CZ269" s="151">
        <f>INPUT!EW69</f>
        <v>3313.5509865683202</v>
      </c>
      <c r="DA269" s="687">
        <f>INPUT!EX69</f>
        <v>18.893110389964839</v>
      </c>
      <c r="DB269" s="16"/>
      <c r="DC269" s="151"/>
      <c r="DD269" s="687"/>
      <c r="DE269" s="151"/>
      <c r="DF269" s="687"/>
      <c r="DG269" s="151">
        <f>INPUT!FT69</f>
        <v>13456</v>
      </c>
      <c r="DH269" s="687" t="str">
        <f>INPUT!FU69</f>
        <v>NA</v>
      </c>
      <c r="DI269" s="151">
        <f>INPUT!FV69</f>
        <v>11730</v>
      </c>
      <c r="DJ269" s="687">
        <f>INPUT!FW69</f>
        <v>-12.826991676575506</v>
      </c>
      <c r="DK269" s="151">
        <f>INPUT!FX69</f>
        <v>10362</v>
      </c>
      <c r="DL269" s="687">
        <f>INPUT!FY69</f>
        <v>-11.662404092071609</v>
      </c>
      <c r="DM269" s="151">
        <f>INPUT!FZ69</f>
        <v>10667</v>
      </c>
      <c r="DN269" s="687">
        <f>INPUT!GA69</f>
        <v>2.9434472109631349</v>
      </c>
      <c r="DO269" s="151">
        <f>INPUT!GB69</f>
        <v>10650</v>
      </c>
      <c r="DP269" s="687">
        <f>INPUT!GC69</f>
        <v>-0.15937001968688858</v>
      </c>
      <c r="DQ269" s="151">
        <f>INPUT!GD69</f>
        <v>11563</v>
      </c>
      <c r="DR269" s="687">
        <f>INPUT!GE69</f>
        <v>8.572769953051651</v>
      </c>
      <c r="DS269" s="151">
        <f>INPUT!GF69</f>
        <v>14773</v>
      </c>
      <c r="DT269" s="687">
        <f>INPUT!GG69</f>
        <v>27.760961688143215</v>
      </c>
      <c r="DU269" s="151">
        <f>INPUT!GH69</f>
        <v>13779</v>
      </c>
      <c r="DV269" s="687">
        <f>INPUT!GI69</f>
        <v>-6.72849116631693</v>
      </c>
      <c r="DW269" s="151">
        <f>INPUT!GJ69</f>
        <v>12692</v>
      </c>
      <c r="DX269" s="687">
        <f>INPUT!GK69</f>
        <v>-7.8888163146817565</v>
      </c>
      <c r="DY269" s="151">
        <f>INPUT!GL69</f>
        <v>8214</v>
      </c>
      <c r="DZ269" s="687">
        <f>INPUT!GM69</f>
        <v>-35.282067444059251</v>
      </c>
      <c r="EA269" s="151">
        <f>INPUT!GN69</f>
        <v>8710</v>
      </c>
      <c r="EB269" s="687">
        <f>INPUT!GO69</f>
        <v>6.0384709033357575</v>
      </c>
      <c r="EC269" s="151">
        <f>INPUT!GP69</f>
        <v>11986.406558470731</v>
      </c>
      <c r="ED269" s="687">
        <f>INPUT!GQ69</f>
        <v>37.616608019181761</v>
      </c>
      <c r="EE269" s="151">
        <f>INPUT!GR69</f>
        <v>12817.31546237057</v>
      </c>
      <c r="EF269" s="687">
        <f>INPUT!GS69</f>
        <v>6.9320934497473674</v>
      </c>
      <c r="EG269" s="151">
        <f>INPUT!GT69</f>
        <v>14053.930925292494</v>
      </c>
      <c r="EH269" s="687">
        <f>INPUT!GU69</f>
        <v>9.6480067651639967</v>
      </c>
      <c r="EI269" s="151">
        <f>INPUT!GV69</f>
        <v>15450.205113257787</v>
      </c>
      <c r="EJ269" s="687">
        <f>INPUT!GW69</f>
        <v>9.9351149182927543</v>
      </c>
      <c r="EK269" s="151">
        <f>INPUT!GX69</f>
        <v>17033.942086432704</v>
      </c>
      <c r="EL269" s="687">
        <f>INPUT!GY69</f>
        <v>10.250588659278815</v>
      </c>
      <c r="EM269" s="687">
        <f>INPUT!GZ69</f>
        <v>14.356117512752897</v>
      </c>
    </row>
    <row r="270" spans="1:143" ht="12.75" hidden="1" customHeight="1" outlineLevel="1" x14ac:dyDescent="0.2">
      <c r="A270" s="718" t="str">
        <f>INPUT!B70</f>
        <v>Withdrawals and Deaths</v>
      </c>
      <c r="B270" s="151"/>
      <c r="C270" s="687"/>
      <c r="D270" s="151"/>
      <c r="E270" s="687"/>
      <c r="F270" s="151"/>
      <c r="G270" s="687"/>
      <c r="H270" s="151"/>
      <c r="I270" s="687"/>
      <c r="J270" s="151">
        <f>INPUT!BG70</f>
        <v>-2067</v>
      </c>
      <c r="K270" s="687" t="str">
        <f>INPUT!BH70</f>
        <v>NA</v>
      </c>
      <c r="L270" s="151">
        <f>INPUT!BI70</f>
        <v>-2140</v>
      </c>
      <c r="M270" s="687" t="str">
        <f>INPUT!BJ70</f>
        <v>NA</v>
      </c>
      <c r="N270" s="151">
        <f>INPUT!BK70</f>
        <v>-2187</v>
      </c>
      <c r="O270" s="687" t="str">
        <f>INPUT!BL70</f>
        <v>NA</v>
      </c>
      <c r="P270" s="151">
        <f>INPUT!BM70</f>
        <v>-2073</v>
      </c>
      <c r="Q270" s="687" t="str">
        <f>INPUT!BN70</f>
        <v>NA</v>
      </c>
      <c r="R270" s="151">
        <f>INPUT!BO70</f>
        <v>-1844</v>
      </c>
      <c r="S270" s="687">
        <f>INPUT!BP70</f>
        <v>-10.788582486695697</v>
      </c>
      <c r="T270" s="151">
        <f>INPUT!BQ70</f>
        <v>-1847</v>
      </c>
      <c r="U270" s="687">
        <f>INPUT!BR70</f>
        <v>-13.691588785046726</v>
      </c>
      <c r="V270" s="151">
        <f>INPUT!BS70</f>
        <v>-2003</v>
      </c>
      <c r="W270" s="687">
        <f>INPUT!BT70</f>
        <v>-8.4133516232281718</v>
      </c>
      <c r="X270" s="151">
        <f>INPUT!BU70</f>
        <v>-1946</v>
      </c>
      <c r="Y270" s="687">
        <f>INPUT!BV70</f>
        <v>-6.1263868789194431</v>
      </c>
      <c r="Z270" s="151">
        <f>INPUT!BW70</f>
        <v>-1759</v>
      </c>
      <c r="AA270" s="687">
        <f>INPUT!BX70</f>
        <v>-4.609544468546634</v>
      </c>
      <c r="AB270" s="151">
        <f>INPUT!BY70</f>
        <v>-1590</v>
      </c>
      <c r="AC270" s="687">
        <f>INPUT!BZ70</f>
        <v>-13.914455874390907</v>
      </c>
      <c r="AD270" s="151">
        <f>INPUT!CA70</f>
        <v>-1480</v>
      </c>
      <c r="AE270" s="687">
        <f>INPUT!CB70</f>
        <v>-26.110833749375939</v>
      </c>
      <c r="AF270" s="151">
        <f>INPUT!CC70</f>
        <v>-1641</v>
      </c>
      <c r="AG270" s="687">
        <f>INPUT!CD70</f>
        <v>-15.673175745118195</v>
      </c>
      <c r="AH270" s="151">
        <f>INPUT!CE70</f>
        <v>-1701</v>
      </c>
      <c r="AI270" s="687">
        <f>INPUT!CF70</f>
        <v>-3.2973280272882266</v>
      </c>
      <c r="AJ270" s="151">
        <f>INPUT!CG70</f>
        <v>-1670</v>
      </c>
      <c r="AK270" s="687">
        <f>INPUT!CH70</f>
        <v>5.031446540880502</v>
      </c>
      <c r="AL270" s="151">
        <f>INPUT!CI70</f>
        <v>-1694</v>
      </c>
      <c r="AM270" s="687">
        <f>INPUT!CJ70</f>
        <v>14.459459459459456</v>
      </c>
      <c r="AN270" s="151">
        <f>INPUT!CK70</f>
        <v>-2047</v>
      </c>
      <c r="AO270" s="687">
        <f>INPUT!CL70</f>
        <v>24.741011578305905</v>
      </c>
      <c r="AP270" s="151">
        <f>INPUT!CM70</f>
        <v>-2156</v>
      </c>
      <c r="AQ270" s="687">
        <f>INPUT!CN70</f>
        <v>26.748971193415638</v>
      </c>
      <c r="AR270" s="151">
        <f>INPUT!CO70</f>
        <v>-2227</v>
      </c>
      <c r="AS270" s="687">
        <f>INPUT!CP70</f>
        <v>33.35329341317366</v>
      </c>
      <c r="AT270" s="151">
        <f>INPUT!CQ70</f>
        <v>-2046</v>
      </c>
      <c r="AU270" s="687">
        <f>INPUT!CR70</f>
        <v>20.779220779220786</v>
      </c>
      <c r="AV270" s="151">
        <f>INPUT!CS70</f>
        <v>-2030</v>
      </c>
      <c r="AW270" s="687">
        <f>INPUT!CT70</f>
        <v>-0.83048363458719798</v>
      </c>
      <c r="AX270" s="151">
        <f>INPUT!CU70</f>
        <v>-2187</v>
      </c>
      <c r="AY270" s="687">
        <f>INPUT!CV70</f>
        <v>1.4378478664192951</v>
      </c>
      <c r="AZ270" s="151">
        <f>INPUT!CW70</f>
        <v>-2166</v>
      </c>
      <c r="BA270" s="687">
        <f>INPUT!CX70</f>
        <v>-2.7391109115401879</v>
      </c>
      <c r="BB270" s="151">
        <f>INPUT!CY70</f>
        <v>-2281</v>
      </c>
      <c r="BC270" s="687">
        <f>INPUT!CZ70</f>
        <v>11.485826001955024</v>
      </c>
      <c r="BD270" s="151">
        <f>INPUT!DA70</f>
        <v>-2479</v>
      </c>
      <c r="BE270" s="687">
        <f>INPUT!DB70</f>
        <v>22.118226600985214</v>
      </c>
      <c r="BF270" s="151">
        <f>INPUT!DC70</f>
        <v>-2334</v>
      </c>
      <c r="BG270" s="687">
        <f>INPUT!DD70</f>
        <v>6.7215363511659909</v>
      </c>
      <c r="BH270" s="151">
        <f>INPUT!DE70</f>
        <v>-2478</v>
      </c>
      <c r="BI270" s="687">
        <f>INPUT!DF70</f>
        <v>14.404432132963985</v>
      </c>
      <c r="BJ270" s="151">
        <f>INPUT!DG70</f>
        <v>-2405</v>
      </c>
      <c r="BK270" s="687">
        <f>INPUT!DH70</f>
        <v>5.4362121876369907</v>
      </c>
      <c r="BL270" s="151">
        <f>INPUT!DI70</f>
        <v>-2543</v>
      </c>
      <c r="BM270" s="687">
        <f>INPUT!DJ70</f>
        <v>2.5816861637757205</v>
      </c>
      <c r="BN270" s="151">
        <f>INPUT!DK70</f>
        <v>-2684</v>
      </c>
      <c r="BO270" s="687">
        <f>INPUT!DL70</f>
        <v>14.995715509854325</v>
      </c>
      <c r="BP270" s="151">
        <f>INPUT!DM70</f>
        <v>-2735</v>
      </c>
      <c r="BQ270" s="687">
        <f>INPUT!DN70</f>
        <v>10.371267150928176</v>
      </c>
      <c r="BR270" s="151">
        <f>INPUT!DO70</f>
        <v>-2888</v>
      </c>
      <c r="BS270" s="687">
        <f>INPUT!DP70</f>
        <v>20.083160083160088</v>
      </c>
      <c r="BT270" s="151">
        <f>INPUT!DQ70</f>
        <v>-2826</v>
      </c>
      <c r="BU270" s="687">
        <f>INPUT!DR70</f>
        <v>11.128588281557207</v>
      </c>
      <c r="BV270" s="151">
        <f>INPUT!DS70</f>
        <v>-2794</v>
      </c>
      <c r="BW270" s="687">
        <f>INPUT!DT70</f>
        <v>4.0983606557376984</v>
      </c>
      <c r="BX270" s="151">
        <f>INPUT!DU70</f>
        <v>-2983</v>
      </c>
      <c r="BY270" s="687">
        <f>INPUT!DV70</f>
        <v>9.0676416819012839</v>
      </c>
      <c r="BZ270" s="151">
        <f>INPUT!DW70</f>
        <v>-2768</v>
      </c>
      <c r="CA270" s="687">
        <f>INPUT!DX70</f>
        <v>-2768</v>
      </c>
      <c r="CB270" s="151">
        <f>INPUT!DY70</f>
        <v>-2583</v>
      </c>
      <c r="CC270" s="687">
        <f>INPUT!DZ70</f>
        <v>-8.5987261146496792</v>
      </c>
      <c r="CD270" s="151">
        <f>INPUT!EA70</f>
        <v>-2388</v>
      </c>
      <c r="CE270" s="687">
        <f>INPUT!EB70</f>
        <v>-14.531138153185397</v>
      </c>
      <c r="CF270" s="151">
        <f>INPUT!EC70</f>
        <v>-2565</v>
      </c>
      <c r="CG270" s="687">
        <f>INPUT!ED70</f>
        <v>-14.012738853503182</v>
      </c>
      <c r="CH270" s="151">
        <f>INPUT!EE70</f>
        <v>-2806</v>
      </c>
      <c r="CI270" s="687">
        <f>INPUT!EF70</f>
        <v>1.3728323699421896</v>
      </c>
      <c r="CJ270" s="151">
        <f>INPUT!EG70</f>
        <v>-2742</v>
      </c>
      <c r="CK270" s="687">
        <f>INPUT!EH70</f>
        <v>6.1556329849012714</v>
      </c>
      <c r="CL270" s="151">
        <f>INPUT!EI70</f>
        <v>-2960</v>
      </c>
      <c r="CM270" s="687">
        <f>INPUT!EJ70</f>
        <v>23.953098827470676</v>
      </c>
      <c r="CN270" s="151">
        <f>INPUT!EK70</f>
        <v>-3066</v>
      </c>
      <c r="CO270" s="687">
        <f>INPUT!EL70</f>
        <v>19.532163742690066</v>
      </c>
      <c r="CP270" s="151">
        <f>INPUT!EM70</f>
        <v>-2941</v>
      </c>
      <c r="CQ270" s="687">
        <f>INPUT!EN70</f>
        <v>4.811119030648614</v>
      </c>
      <c r="CR270" s="151">
        <f>INPUT!EO70</f>
        <v>-3201</v>
      </c>
      <c r="CS270" s="687">
        <f>INPUT!EP70</f>
        <v>16.739606126914651</v>
      </c>
      <c r="CT270" s="151">
        <f>INPUT!EQ70</f>
        <v>-3199.0387563074296</v>
      </c>
      <c r="CU270" s="687">
        <f>INPUT!ER70</f>
        <v>8.0756336590347857</v>
      </c>
      <c r="CV270" s="151">
        <f>INPUT!ES70</f>
        <v>-3117.137273552531</v>
      </c>
      <c r="CW270" s="687">
        <f>INPUT!ET70</f>
        <v>1.66788237288098</v>
      </c>
      <c r="CX270" s="151">
        <f>INPUT!EU70</f>
        <v>-3090.6041007100662</v>
      </c>
      <c r="CY270" s="687">
        <f>INPUT!EV70</f>
        <v>5.0868446348203422</v>
      </c>
      <c r="CZ270" s="151">
        <f>INPUT!EW70</f>
        <v>-3068.8035525349633</v>
      </c>
      <c r="DA270" s="687">
        <f>INPUT!EX70</f>
        <v>-4.1298484056556344</v>
      </c>
      <c r="DB270" s="16"/>
      <c r="DC270" s="151"/>
      <c r="DD270" s="687"/>
      <c r="DE270" s="151"/>
      <c r="DF270" s="687"/>
      <c r="DG270" s="151">
        <f>INPUT!FT70</f>
        <v>-8467</v>
      </c>
      <c r="DH270" s="687" t="str">
        <f>INPUT!FU70</f>
        <v>NA</v>
      </c>
      <c r="DI270" s="151">
        <f>INPUT!FV70</f>
        <v>-7640</v>
      </c>
      <c r="DJ270" s="687">
        <f>INPUT!FW70</f>
        <v>-9.767331994803353</v>
      </c>
      <c r="DK270" s="151">
        <f>INPUT!FX70</f>
        <v>-6470</v>
      </c>
      <c r="DL270" s="687">
        <f>INPUT!FY70</f>
        <v>-15.314136125654453</v>
      </c>
      <c r="DM270" s="151">
        <f>INPUT!FZ70</f>
        <v>-7112</v>
      </c>
      <c r="DN270" s="687">
        <f>INPUT!GA70</f>
        <v>9.9227202472952136</v>
      </c>
      <c r="DO270" s="151">
        <f>INPUT!GB70</f>
        <v>-8459</v>
      </c>
      <c r="DP270" s="687">
        <f>INPUT!GC70</f>
        <v>18.939820022497187</v>
      </c>
      <c r="DQ270" s="151">
        <f>INPUT!GD70</f>
        <v>-9113</v>
      </c>
      <c r="DR270" s="687">
        <f>INPUT!GE70</f>
        <v>7.7314103321905581</v>
      </c>
      <c r="DS270" s="151">
        <f>INPUT!GF70</f>
        <v>-9760</v>
      </c>
      <c r="DT270" s="687">
        <f>INPUT!GG70</f>
        <v>7.0997476132996784</v>
      </c>
      <c r="DU270" s="151">
        <f>INPUT!GH70</f>
        <v>-11133</v>
      </c>
      <c r="DV270" s="687">
        <f>INPUT!GI70</f>
        <v>14.067622950819668</v>
      </c>
      <c r="DW270" s="151">
        <f>INPUT!GJ70</f>
        <v>-11128</v>
      </c>
      <c r="DX270" s="687">
        <f>INPUT!GK70</f>
        <v>-4.4911524297130967E-2</v>
      </c>
      <c r="DY270" s="151">
        <f>INPUT!GL70</f>
        <v>-10501</v>
      </c>
      <c r="DZ270" s="687">
        <f>INPUT!GM70</f>
        <v>-5.6344356578001413</v>
      </c>
      <c r="EA270" s="151">
        <f>INPUT!GN70</f>
        <v>-12168</v>
      </c>
      <c r="EB270" s="687">
        <f>INPUT!GO70</f>
        <v>15.874678602037907</v>
      </c>
      <c r="EC270" s="151">
        <f>INPUT!GP70</f>
        <v>-12475.583683104989</v>
      </c>
      <c r="ED270" s="687">
        <f>INPUT!GQ70</f>
        <v>2.5278080465564567</v>
      </c>
      <c r="EE270" s="151">
        <f>INPUT!GR70</f>
        <v>-11298.386374937825</v>
      </c>
      <c r="EF270" s="687">
        <f>INPUT!GS70</f>
        <v>-9.4360098739218028</v>
      </c>
      <c r="EG270" s="151">
        <f>INPUT!GT70</f>
        <v>-11964.154502416271</v>
      </c>
      <c r="EH270" s="687">
        <f>INPUT!GU70</f>
        <v>5.8925947952643831</v>
      </c>
      <c r="EI270" s="151">
        <f>INPUT!GV70</f>
        <v>-12700.356831036514</v>
      </c>
      <c r="EJ270" s="687">
        <f>INPUT!GW70</f>
        <v>6.1534003800398862</v>
      </c>
      <c r="EK270" s="151">
        <f>INPUT!GX70</f>
        <v>-13517.266359552306</v>
      </c>
      <c r="EL270" s="687">
        <f>INPUT!GY70</f>
        <v>6.4321777677889269</v>
      </c>
      <c r="EM270" s="687">
        <f>INPUT!GZ70</f>
        <v>2.125438462639595</v>
      </c>
    </row>
    <row r="271" spans="1:143" ht="12.75" hidden="1" customHeight="1" outlineLevel="1" x14ac:dyDescent="0.2">
      <c r="A271" s="718" t="str">
        <f>INPUT!B71</f>
        <v xml:space="preserve">Investment Inc, Market Appreciation </v>
      </c>
      <c r="B271" s="153"/>
      <c r="C271" s="687"/>
      <c r="D271" s="153"/>
      <c r="E271" s="687"/>
      <c r="F271" s="153"/>
      <c r="G271" s="687"/>
      <c r="H271" s="153"/>
      <c r="I271" s="687"/>
      <c r="J271" s="153">
        <f>INPUT!BG71</f>
        <v>970</v>
      </c>
      <c r="K271" s="687" t="str">
        <f>INPUT!BH71</f>
        <v>NA</v>
      </c>
      <c r="L271" s="153">
        <f>INPUT!BI71</f>
        <v>3464</v>
      </c>
      <c r="M271" s="687" t="str">
        <f>INPUT!BJ71</f>
        <v>NA</v>
      </c>
      <c r="N271" s="153">
        <f>INPUT!BK71</f>
        <v>1777</v>
      </c>
      <c r="O271" s="687" t="str">
        <f>INPUT!BL71</f>
        <v>NA</v>
      </c>
      <c r="P271" s="153">
        <f>INPUT!BM71</f>
        <v>-1450</v>
      </c>
      <c r="Q271" s="687" t="str">
        <f>INPUT!BN71</f>
        <v>NA</v>
      </c>
      <c r="R271" s="153">
        <f>INPUT!BO71</f>
        <v>-4978</v>
      </c>
      <c r="S271" s="687" t="str">
        <f>INPUT!BP71</f>
        <v>NM</v>
      </c>
      <c r="T271" s="153">
        <f>INPUT!BQ71</f>
        <v>-603</v>
      </c>
      <c r="U271" s="687" t="str">
        <f>INPUT!BR71</f>
        <v>NM</v>
      </c>
      <c r="V271" s="153">
        <f>INPUT!BS71</f>
        <v>-6927</v>
      </c>
      <c r="W271" s="687" t="str">
        <f>INPUT!BT71</f>
        <v>NM</v>
      </c>
      <c r="X271" s="153">
        <f>INPUT!BU71</f>
        <v>-9466</v>
      </c>
      <c r="Y271" s="687" t="str">
        <f>INPUT!BV71</f>
        <v>NM</v>
      </c>
      <c r="Z271" s="153">
        <f>INPUT!BW71</f>
        <v>-1855</v>
      </c>
      <c r="AA271" s="687" t="str">
        <f>INPUT!BX71</f>
        <v>NM</v>
      </c>
      <c r="AB271" s="153">
        <f>INPUT!BY71</f>
        <v>5930</v>
      </c>
      <c r="AC271" s="687" t="str">
        <f>INPUT!BZ71</f>
        <v>NM</v>
      </c>
      <c r="AD271" s="153">
        <f>INPUT!CA71</f>
        <v>6467</v>
      </c>
      <c r="AE271" s="687" t="str">
        <f>INPUT!CB71</f>
        <v>NM</v>
      </c>
      <c r="AF271" s="153">
        <f>INPUT!CC71</f>
        <v>2294</v>
      </c>
      <c r="AG271" s="687" t="str">
        <f>INPUT!CD71</f>
        <v>NM</v>
      </c>
      <c r="AH271" s="153">
        <f>INPUT!CE71</f>
        <v>1974</v>
      </c>
      <c r="AI271" s="687" t="str">
        <f>INPUT!CF71</f>
        <v>NM</v>
      </c>
      <c r="AJ271" s="153">
        <f>INPUT!CG71</f>
        <v>-4692</v>
      </c>
      <c r="AK271" s="687" t="str">
        <f>INPUT!CH71</f>
        <v>NM</v>
      </c>
      <c r="AL271" s="153">
        <f>INPUT!CI71</f>
        <v>5604</v>
      </c>
      <c r="AM271" s="687">
        <f>INPUT!CJ71</f>
        <v>-13.344672955002324</v>
      </c>
      <c r="AN271" s="153">
        <f>INPUT!CK71</f>
        <v>4061</v>
      </c>
      <c r="AO271" s="687">
        <f>INPUT!CL71</f>
        <v>77.027027027027017</v>
      </c>
      <c r="AP271" s="153">
        <f>INPUT!CM71</f>
        <v>2441</v>
      </c>
      <c r="AQ271" s="687">
        <f>INPUT!CN71</f>
        <v>23.657548125633234</v>
      </c>
      <c r="AR271" s="153">
        <f>INPUT!CO71</f>
        <v>333</v>
      </c>
      <c r="AS271" s="687" t="str">
        <f>INPUT!CP71</f>
        <v>NM</v>
      </c>
      <c r="AT271" s="153">
        <f>INPUT!CQ71</f>
        <v>-8299</v>
      </c>
      <c r="AU271" s="687" t="str">
        <f>INPUT!CR71</f>
        <v>NM</v>
      </c>
      <c r="AV271" s="153">
        <f>INPUT!CS71</f>
        <v>3932</v>
      </c>
      <c r="AW271" s="687">
        <f>INPUT!CT71</f>
        <v>-3.1765574981531652</v>
      </c>
      <c r="AX271" s="153">
        <f>INPUT!CU71</f>
        <v>5814</v>
      </c>
      <c r="AY271" s="687" t="str">
        <f>INPUT!CV71</f>
        <v>NM</v>
      </c>
      <c r="AZ271" s="153">
        <f>INPUT!CW71</f>
        <v>-2013</v>
      </c>
      <c r="BA271" s="687" t="str">
        <f>INPUT!CX71</f>
        <v>NM</v>
      </c>
      <c r="BB271" s="153">
        <f>INPUT!CY71</f>
        <v>3387</v>
      </c>
      <c r="BC271" s="687" t="str">
        <f>INPUT!CZ71</f>
        <v>NM</v>
      </c>
      <c r="BD271" s="153">
        <f>INPUT!DA71</f>
        <v>1234</v>
      </c>
      <c r="BE271" s="687" t="str">
        <f>INPUT!DB71</f>
        <v>NM</v>
      </c>
      <c r="BF271" s="153">
        <f>INPUT!DC71</f>
        <v>3995</v>
      </c>
      <c r="BG271" s="687">
        <f>INPUT!DD71</f>
        <v>-31.28654970760234</v>
      </c>
      <c r="BH271" s="153">
        <f>INPUT!DE71</f>
        <v>-43</v>
      </c>
      <c r="BI271" s="687" t="str">
        <f>INPUT!DF71</f>
        <v>NM</v>
      </c>
      <c r="BJ271" s="153">
        <f>INPUT!DG71</f>
        <v>4352</v>
      </c>
      <c r="BK271" s="687">
        <f>INPUT!DH71</f>
        <v>28.491290227339828</v>
      </c>
      <c r="BL271" s="153">
        <f>INPUT!DI71</f>
        <v>5180</v>
      </c>
      <c r="BM271" s="687" t="str">
        <f>INPUT!DJ71</f>
        <v>NM</v>
      </c>
      <c r="BN271" s="153">
        <f>INPUT!DK71</f>
        <v>981</v>
      </c>
      <c r="BO271" s="687" t="str">
        <f>INPUT!DL71</f>
        <v>NM</v>
      </c>
      <c r="BP271" s="153">
        <f>INPUT!DM71</f>
        <v>3558</v>
      </c>
      <c r="BQ271" s="687" t="str">
        <f>INPUT!DN71</f>
        <v>NM</v>
      </c>
      <c r="BR271" s="153">
        <f>INPUT!DO71</f>
        <v>-1500</v>
      </c>
      <c r="BS271" s="687" t="str">
        <f>INPUT!DP71</f>
        <v>NM</v>
      </c>
      <c r="BT271" s="153">
        <f>INPUT!DQ71</f>
        <v>1193</v>
      </c>
      <c r="BU271" s="687" t="str">
        <f>INPUT!DR71</f>
        <v>NM</v>
      </c>
      <c r="BV271" s="153">
        <f>INPUT!DS71</f>
        <v>1995</v>
      </c>
      <c r="BW271" s="687" t="str">
        <f>INPUT!DT71</f>
        <v>NM</v>
      </c>
      <c r="BX271" s="153">
        <f>INPUT!DU71</f>
        <v>-137</v>
      </c>
      <c r="BY271" s="687" t="str">
        <f>INPUT!DV71</f>
        <v>NM</v>
      </c>
      <c r="BZ271" s="153">
        <f>INPUT!DW71</f>
        <v>-6483</v>
      </c>
      <c r="CA271" s="687">
        <f>INPUT!DX71</f>
        <v>-6483</v>
      </c>
      <c r="CB271" s="153">
        <f>INPUT!DY71</f>
        <v>2534</v>
      </c>
      <c r="CC271" s="687" t="str">
        <f>INPUT!DZ71</f>
        <v>NM</v>
      </c>
      <c r="CD271" s="153">
        <f>INPUT!EA71</f>
        <v>151</v>
      </c>
      <c r="CE271" s="687" t="str">
        <f>INPUT!EB71</f>
        <v>NM</v>
      </c>
      <c r="CF271" s="153">
        <f>INPUT!EC71</f>
        <v>1556</v>
      </c>
      <c r="CG271" s="687" t="str">
        <f>INPUT!ED71</f>
        <v>NM</v>
      </c>
      <c r="CH271" s="153">
        <f>INPUT!EE71</f>
        <v>3514</v>
      </c>
      <c r="CI271" s="687" t="str">
        <f>INPUT!EF71</f>
        <v>NM</v>
      </c>
      <c r="CJ271" s="153">
        <f>INPUT!EG71</f>
        <v>312</v>
      </c>
      <c r="CK271" s="687" t="str">
        <f>INPUT!EH71</f>
        <v>NM</v>
      </c>
      <c r="CL271" s="153">
        <f>INPUT!EI71</f>
        <v>4955</v>
      </c>
      <c r="CM271" s="687" t="str">
        <f>INPUT!EJ71</f>
        <v>NM</v>
      </c>
      <c r="CN271" s="153">
        <f>INPUT!EK71</f>
        <v>3161</v>
      </c>
      <c r="CO271" s="687" t="str">
        <f>INPUT!EL71</f>
        <v>NM</v>
      </c>
      <c r="CP271" s="153">
        <f>INPUT!EM71</f>
        <v>3713</v>
      </c>
      <c r="CQ271" s="687">
        <f>INPUT!EN71</f>
        <v>5.6630620375640373</v>
      </c>
      <c r="CR271" s="153">
        <f>INPUT!EO71</f>
        <v>3905</v>
      </c>
      <c r="CS271" s="687" t="str">
        <f>INPUT!EP71</f>
        <v>NM</v>
      </c>
      <c r="CT271" s="153">
        <f>INPUT!EQ71</f>
        <v>-634.82451699810133</v>
      </c>
      <c r="CU271" s="687" t="str">
        <f>INPUT!ER71</f>
        <v>NM</v>
      </c>
      <c r="CV271" s="153">
        <f>INPUT!ES71</f>
        <v>1606.7636997530265</v>
      </c>
      <c r="CW271" s="687">
        <f>INPUT!ET71</f>
        <v>-49.169133193513872</v>
      </c>
      <c r="CX271" s="153">
        <f>INPUT!EU71</f>
        <v>1622.6147028111423</v>
      </c>
      <c r="CY271" s="687" t="str">
        <f>INPUT!EV71</f>
        <v>NM</v>
      </c>
      <c r="CZ271" s="153">
        <f>INPUT!EW71</f>
        <v>1641.5082848143261</v>
      </c>
      <c r="DA271" s="687" t="str">
        <f>INPUT!EX71</f>
        <v>NM</v>
      </c>
      <c r="DB271" s="16"/>
      <c r="DC271" s="151"/>
      <c r="DD271" s="687"/>
      <c r="DE271" s="153"/>
      <c r="DF271" s="687"/>
      <c r="DG271" s="153">
        <f>INPUT!FT71</f>
        <v>4761</v>
      </c>
      <c r="DH271" s="687" t="str">
        <f>INPUT!FU71</f>
        <v>NA</v>
      </c>
      <c r="DI271" s="153">
        <f>INPUT!FV71</f>
        <v>-21974</v>
      </c>
      <c r="DJ271" s="687" t="str">
        <f>INPUT!FW71</f>
        <v>NM</v>
      </c>
      <c r="DK271" s="153">
        <f>INPUT!FX71</f>
        <v>12836</v>
      </c>
      <c r="DL271" s="687" t="str">
        <f>INPUT!FY71</f>
        <v>NM</v>
      </c>
      <c r="DM271" s="153">
        <f>INPUT!FZ71</f>
        <v>6947</v>
      </c>
      <c r="DN271" s="687">
        <f>INPUT!GA71</f>
        <v>-45.878778435649735</v>
      </c>
      <c r="DO271" s="153">
        <f>INPUT!GB71</f>
        <v>-1593</v>
      </c>
      <c r="DP271" s="687" t="str">
        <f>INPUT!GC71</f>
        <v>NM</v>
      </c>
      <c r="DQ271" s="153">
        <f>INPUT!GD71</f>
        <v>8422</v>
      </c>
      <c r="DR271" s="687" t="str">
        <f>INPUT!GE71</f>
        <v>NM</v>
      </c>
      <c r="DS271" s="153">
        <f>INPUT!GF71</f>
        <v>13484</v>
      </c>
      <c r="DT271" s="687">
        <f>INPUT!GG71</f>
        <v>60.104488245072417</v>
      </c>
      <c r="DU271" s="153">
        <f>INPUT!GH71</f>
        <v>4232</v>
      </c>
      <c r="DV271" s="687" t="str">
        <f>INPUT!GI71</f>
        <v>NM</v>
      </c>
      <c r="DW271" s="153">
        <f>INPUT!GJ71</f>
        <v>-2091</v>
      </c>
      <c r="DX271" s="687" t="str">
        <f>INPUT!GK71</f>
        <v>NM</v>
      </c>
      <c r="DY271" s="153">
        <f>INPUT!GL71</f>
        <v>5533</v>
      </c>
      <c r="DZ271" s="687" t="str">
        <f>INPUT!GM71</f>
        <v>NM</v>
      </c>
      <c r="EA271" s="153">
        <f>INPUT!GN71</f>
        <v>15734</v>
      </c>
      <c r="EB271" s="687" t="str">
        <f>INPUT!GO71</f>
        <v>NM</v>
      </c>
      <c r="EC271" s="153">
        <f>INPUT!GP71</f>
        <v>4236.0621703803936</v>
      </c>
      <c r="ED271" s="687" t="str">
        <f>INPUT!GQ71</f>
        <v>NM</v>
      </c>
      <c r="EE271" s="153">
        <f>INPUT!GR71</f>
        <v>6676.8826327189881</v>
      </c>
      <c r="EF271" s="687">
        <f>INPUT!GS71</f>
        <v>57.620033988297472</v>
      </c>
      <c r="EG271" s="153">
        <f>INPUT!GT71</f>
        <v>7062.6392334758393</v>
      </c>
      <c r="EH271" s="687">
        <f>INPUT!GU71</f>
        <v>5.7774956065052452</v>
      </c>
      <c r="EI271" s="153">
        <f>INPUT!GV71</f>
        <v>7494.5386829071258</v>
      </c>
      <c r="EJ271" s="687">
        <f>INPUT!GW71</f>
        <v>6.1152698750935652</v>
      </c>
      <c r="EK271" s="153">
        <f>INPUT!GX71</f>
        <v>7979.0578659207895</v>
      </c>
      <c r="EL271" s="687">
        <f>INPUT!GY71</f>
        <v>6.4649634021999525</v>
      </c>
      <c r="EM271" s="687">
        <f>INPUT!GZ71</f>
        <v>-12.698341591844475</v>
      </c>
    </row>
    <row r="272" spans="1:143" ht="12.75" hidden="1" customHeight="1" outlineLevel="1" x14ac:dyDescent="0.2">
      <c r="A272" s="718" t="str">
        <f>INPUT!B72</f>
        <v>Other</v>
      </c>
      <c r="B272" s="151"/>
      <c r="C272" s="687"/>
      <c r="D272" s="151"/>
      <c r="E272" s="687"/>
      <c r="F272" s="151"/>
      <c r="G272" s="687"/>
      <c r="H272" s="151"/>
      <c r="I272" s="687"/>
      <c r="J272" s="151">
        <f>INPUT!BG72</f>
        <v>0</v>
      </c>
      <c r="K272" s="687" t="str">
        <f>INPUT!BH72</f>
        <v>NA</v>
      </c>
      <c r="L272" s="151">
        <f>INPUT!BI72</f>
        <v>0</v>
      </c>
      <c r="M272" s="687" t="str">
        <f>INPUT!BJ72</f>
        <v>NA</v>
      </c>
      <c r="N272" s="151">
        <f>INPUT!BK72</f>
        <v>0</v>
      </c>
      <c r="O272" s="687" t="str">
        <f>INPUT!BL72</f>
        <v>NA</v>
      </c>
      <c r="P272" s="151">
        <f>INPUT!BM72</f>
        <v>0</v>
      </c>
      <c r="Q272" s="687" t="str">
        <f>INPUT!BN72</f>
        <v>NA</v>
      </c>
      <c r="R272" s="151">
        <f>INPUT!BO72</f>
        <v>0</v>
      </c>
      <c r="S272" s="687" t="str">
        <f>INPUT!BP72</f>
        <v>NA</v>
      </c>
      <c r="T272" s="151">
        <f>INPUT!BQ72</f>
        <v>0</v>
      </c>
      <c r="U272" s="687" t="str">
        <f>INPUT!BR72</f>
        <v>NA</v>
      </c>
      <c r="V272" s="151">
        <f>INPUT!BS72</f>
        <v>0</v>
      </c>
      <c r="W272" s="687" t="str">
        <f>INPUT!BT72</f>
        <v>NA</v>
      </c>
      <c r="X272" s="151">
        <f>INPUT!BU72</f>
        <v>0</v>
      </c>
      <c r="Y272" s="687" t="str">
        <f>INPUT!BV72</f>
        <v>NA</v>
      </c>
      <c r="Z272" s="151">
        <f>INPUT!BW72</f>
        <v>0</v>
      </c>
      <c r="AA272" s="687" t="str">
        <f>INPUT!BX72</f>
        <v>NA</v>
      </c>
      <c r="AB272" s="151">
        <f>INPUT!BY72</f>
        <v>0</v>
      </c>
      <c r="AC272" s="687" t="str">
        <f>INPUT!BZ72</f>
        <v>NA</v>
      </c>
      <c r="AD272" s="151">
        <f>INPUT!CA72</f>
        <v>0</v>
      </c>
      <c r="AE272" s="687" t="str">
        <f>INPUT!CB72</f>
        <v>NA</v>
      </c>
      <c r="AF272" s="151">
        <f>INPUT!CC72</f>
        <v>0</v>
      </c>
      <c r="AG272" s="687" t="str">
        <f>INPUT!CD72</f>
        <v>NA</v>
      </c>
      <c r="AH272" s="151">
        <f>INPUT!CE72</f>
        <v>0</v>
      </c>
      <c r="AI272" s="687" t="str">
        <f>INPUT!CF72</f>
        <v>NA</v>
      </c>
      <c r="AJ272" s="151">
        <f>INPUT!CG72</f>
        <v>0</v>
      </c>
      <c r="AK272" s="687" t="str">
        <f>INPUT!CH72</f>
        <v>NA</v>
      </c>
      <c r="AL272" s="151">
        <f>INPUT!CI72</f>
        <v>0</v>
      </c>
      <c r="AM272" s="687" t="str">
        <f>INPUT!CJ72</f>
        <v>NA</v>
      </c>
      <c r="AN272" s="151">
        <f>INPUT!CK72</f>
        <v>0</v>
      </c>
      <c r="AO272" s="687" t="str">
        <f>INPUT!CL72</f>
        <v>NA</v>
      </c>
      <c r="AP272" s="151">
        <f>INPUT!CM72</f>
        <v>0</v>
      </c>
      <c r="AQ272" s="687" t="str">
        <f>INPUT!CN72</f>
        <v>NA</v>
      </c>
      <c r="AR272" s="151">
        <f>INPUT!CO72</f>
        <v>8</v>
      </c>
      <c r="AS272" s="687" t="str">
        <f>INPUT!CP72</f>
        <v>NA</v>
      </c>
      <c r="AT272" s="151">
        <f>INPUT!CQ72</f>
        <v>10</v>
      </c>
      <c r="AU272" s="687" t="str">
        <f>INPUT!CR72</f>
        <v>NA</v>
      </c>
      <c r="AV272" s="151">
        <f>INPUT!CS72</f>
        <v>10</v>
      </c>
      <c r="AW272" s="687" t="str">
        <f>INPUT!CT72</f>
        <v>NA</v>
      </c>
      <c r="AX272" s="151">
        <f>INPUT!CU72</f>
        <v>9</v>
      </c>
      <c r="AY272" s="687" t="str">
        <f>INPUT!CV72</f>
        <v>NA</v>
      </c>
      <c r="AZ272" s="151">
        <f>INPUT!CW72</f>
        <v>9</v>
      </c>
      <c r="BA272" s="687">
        <f>INPUT!CX72</f>
        <v>12.5</v>
      </c>
      <c r="BB272" s="151">
        <f>INPUT!CY72</f>
        <v>11</v>
      </c>
      <c r="BC272" s="687">
        <f>INPUT!CZ72</f>
        <v>10.000000000000009</v>
      </c>
      <c r="BD272" s="151">
        <f>INPUT!DA72</f>
        <v>7</v>
      </c>
      <c r="BE272" s="687">
        <f>INPUT!DB72</f>
        <v>-30.000000000000004</v>
      </c>
      <c r="BF272" s="151">
        <f>INPUT!DC72</f>
        <v>2</v>
      </c>
      <c r="BG272" s="687" t="str">
        <f>INPUT!DD72</f>
        <v>NM</v>
      </c>
      <c r="BH272" s="151">
        <f>INPUT!DE72</f>
        <v>3</v>
      </c>
      <c r="BI272" s="687" t="str">
        <f>INPUT!DF72</f>
        <v>NM</v>
      </c>
      <c r="BJ272" s="151">
        <f>INPUT!DG72</f>
        <v>2</v>
      </c>
      <c r="BK272" s="687" t="str">
        <f>INPUT!DH72</f>
        <v>NM</v>
      </c>
      <c r="BL272" s="151">
        <f>INPUT!DI72</f>
        <v>2</v>
      </c>
      <c r="BM272" s="687" t="str">
        <f>INPUT!DJ72</f>
        <v>NM</v>
      </c>
      <c r="BN272" s="151">
        <f>INPUT!DK72</f>
        <v>2</v>
      </c>
      <c r="BO272" s="687">
        <f>INPUT!DL72</f>
        <v>0</v>
      </c>
      <c r="BP272" s="151">
        <f>INPUT!DM72</f>
        <v>1</v>
      </c>
      <c r="BQ272" s="687" t="str">
        <f>INPUT!DN72</f>
        <v>NM</v>
      </c>
      <c r="BR272" s="151">
        <f>INPUT!DO72</f>
        <v>1</v>
      </c>
      <c r="BS272" s="687">
        <f>INPUT!DP72</f>
        <v>-50</v>
      </c>
      <c r="BT272" s="151">
        <f>INPUT!DQ72</f>
        <v>2</v>
      </c>
      <c r="BU272" s="687">
        <f>INPUT!DR72</f>
        <v>0</v>
      </c>
      <c r="BV272" s="151">
        <f>INPUT!DS72</f>
        <v>5</v>
      </c>
      <c r="BW272" s="687" t="str">
        <f>INPUT!DT72</f>
        <v>NM</v>
      </c>
      <c r="BX272" s="151">
        <f>INPUT!DU72</f>
        <v>7</v>
      </c>
      <c r="BY272" s="687" t="str">
        <f>INPUT!DV72</f>
        <v>NM</v>
      </c>
      <c r="BZ272" s="151">
        <f>INPUT!DW72</f>
        <v>3</v>
      </c>
      <c r="CA272" s="687">
        <f>INPUT!DX72</f>
        <v>3</v>
      </c>
      <c r="CB272" s="151">
        <f>INPUT!DY72</f>
        <v>6</v>
      </c>
      <c r="CC272" s="687" t="str">
        <f>INPUT!DZ72</f>
        <v>NM</v>
      </c>
      <c r="CD272" s="151">
        <f>INPUT!EA72</f>
        <v>7</v>
      </c>
      <c r="CE272" s="687">
        <f>INPUT!EB72</f>
        <v>39.999999999999993</v>
      </c>
      <c r="CF272" s="151">
        <f>INPUT!EC72</f>
        <v>4</v>
      </c>
      <c r="CG272" s="687">
        <f>INPUT!ED72</f>
        <v>-42.857142857142861</v>
      </c>
      <c r="CH272" s="151">
        <f>INPUT!EE72</f>
        <v>2</v>
      </c>
      <c r="CI272" s="687">
        <f>INPUT!EF72</f>
        <v>-33.333333333333336</v>
      </c>
      <c r="CJ272" s="151">
        <f>INPUT!EG72</f>
        <v>2</v>
      </c>
      <c r="CK272" s="687" t="str">
        <f>INPUT!EH72</f>
        <v>NM</v>
      </c>
      <c r="CL272" s="151">
        <f>INPUT!EI72</f>
        <v>2</v>
      </c>
      <c r="CM272" s="687" t="str">
        <f>INPUT!EJ72</f>
        <v>NM</v>
      </c>
      <c r="CN272" s="151">
        <f>INPUT!EK72</f>
        <v>3</v>
      </c>
      <c r="CO272" s="687">
        <f>INPUT!EL72</f>
        <v>-25</v>
      </c>
      <c r="CP272" s="151">
        <f>INPUT!EM72</f>
        <v>5</v>
      </c>
      <c r="CQ272" s="687" t="str">
        <f>INPUT!EN72</f>
        <v>NM</v>
      </c>
      <c r="CR272" s="151">
        <f>INPUT!EO72</f>
        <v>9</v>
      </c>
      <c r="CS272" s="687" t="str">
        <f>INPUT!EP72</f>
        <v>NM</v>
      </c>
      <c r="CT272" s="151">
        <f>INPUT!EQ72</f>
        <v>2</v>
      </c>
      <c r="CU272" s="687">
        <f>INPUT!ER72</f>
        <v>0</v>
      </c>
      <c r="CV272" s="151">
        <f>INPUT!ES72</f>
        <v>3</v>
      </c>
      <c r="CW272" s="687">
        <f>INPUT!ET72</f>
        <v>0</v>
      </c>
      <c r="CX272" s="151">
        <f>INPUT!EU72</f>
        <v>5</v>
      </c>
      <c r="CY272" s="687">
        <f>INPUT!EV72</f>
        <v>0</v>
      </c>
      <c r="CZ272" s="151">
        <f>INPUT!EW72</f>
        <v>9</v>
      </c>
      <c r="DA272" s="687">
        <f>INPUT!EX72</f>
        <v>0</v>
      </c>
      <c r="DB272" s="16"/>
      <c r="DC272" s="151"/>
      <c r="DD272" s="687"/>
      <c r="DE272" s="151"/>
      <c r="DF272" s="687"/>
      <c r="DG272" s="151">
        <f>INPUT!FT72</f>
        <v>0</v>
      </c>
      <c r="DH272" s="687" t="str">
        <f>INPUT!FU72</f>
        <v>NA</v>
      </c>
      <c r="DI272" s="151">
        <f>INPUT!FV72</f>
        <v>0</v>
      </c>
      <c r="DJ272" s="687" t="str">
        <f>INPUT!FW72</f>
        <v>NA</v>
      </c>
      <c r="DK272" s="151">
        <f>INPUT!FX72</f>
        <v>0</v>
      </c>
      <c r="DL272" s="687" t="str">
        <f>INPUT!FY72</f>
        <v>NA</v>
      </c>
      <c r="DM272" s="151">
        <f>INPUT!FZ72</f>
        <v>0</v>
      </c>
      <c r="DN272" s="687" t="str">
        <f>INPUT!GA72</f>
        <v>NA</v>
      </c>
      <c r="DO272" s="151">
        <f>INPUT!GB72</f>
        <v>28</v>
      </c>
      <c r="DP272" s="687" t="str">
        <f>INPUT!GC72</f>
        <v>NA</v>
      </c>
      <c r="DQ272" s="151">
        <f>INPUT!GD72</f>
        <v>36</v>
      </c>
      <c r="DR272" s="687">
        <f>INPUT!GE72</f>
        <v>28.57142857142858</v>
      </c>
      <c r="DS272" s="151">
        <f>INPUT!GF72</f>
        <v>9</v>
      </c>
      <c r="DT272" s="687" t="str">
        <f>INPUT!GG72</f>
        <v>NM</v>
      </c>
      <c r="DU272" s="151">
        <f>INPUT!GH72</f>
        <v>6</v>
      </c>
      <c r="DV272" s="687">
        <f>INPUT!GI72</f>
        <v>-33.333333333333336</v>
      </c>
      <c r="DW272" s="151">
        <f>INPUT!GJ72</f>
        <v>21</v>
      </c>
      <c r="DX272" s="687" t="str">
        <f>INPUT!GK72</f>
        <v>NM</v>
      </c>
      <c r="DY272" s="151">
        <f>INPUT!GL72</f>
        <v>15</v>
      </c>
      <c r="DZ272" s="687">
        <f>INPUT!GM72</f>
        <v>-28.571428571428569</v>
      </c>
      <c r="EA272" s="151">
        <f>INPUT!GN72</f>
        <v>19</v>
      </c>
      <c r="EB272" s="687">
        <f>INPUT!GO72</f>
        <v>26.666666666666661</v>
      </c>
      <c r="EC272" s="151">
        <f>INPUT!GP72</f>
        <v>19</v>
      </c>
      <c r="ED272" s="687">
        <f>INPUT!GQ72</f>
        <v>0</v>
      </c>
      <c r="EE272" s="151">
        <f>INPUT!GR72</f>
        <v>19</v>
      </c>
      <c r="EF272" s="687">
        <f>INPUT!GS72</f>
        <v>0</v>
      </c>
      <c r="EG272" s="151">
        <f>INPUT!GT72</f>
        <v>19</v>
      </c>
      <c r="EH272" s="687">
        <f>INPUT!GU72</f>
        <v>0</v>
      </c>
      <c r="EI272" s="151">
        <f>INPUT!GV72</f>
        <v>19</v>
      </c>
      <c r="EJ272" s="687">
        <f>INPUT!GW72</f>
        <v>0</v>
      </c>
      <c r="EK272" s="151">
        <f>INPUT!GX72</f>
        <v>19</v>
      </c>
      <c r="EL272" s="687">
        <f>INPUT!GY72</f>
        <v>0</v>
      </c>
      <c r="EM272" s="687">
        <f>INPUT!GZ72</f>
        <v>0</v>
      </c>
    </row>
    <row r="273" spans="1:152" ht="12.75" hidden="1" customHeight="1" outlineLevel="1" x14ac:dyDescent="0.2">
      <c r="A273" s="701" t="str">
        <f>INPUT!B73</f>
        <v>Gross AUM, EOP</v>
      </c>
      <c r="B273" s="151"/>
      <c r="C273" s="687"/>
      <c r="D273" s="151"/>
      <c r="E273" s="687"/>
      <c r="F273" s="151"/>
      <c r="G273" s="687"/>
      <c r="H273" s="151"/>
      <c r="I273" s="687"/>
      <c r="J273" s="151">
        <f>INPUT!BG73</f>
        <v>68438</v>
      </c>
      <c r="K273" s="687" t="str">
        <f>INPUT!BH73</f>
        <v>NA</v>
      </c>
      <c r="L273" s="151">
        <f>INPUT!BI73</f>
        <v>73039</v>
      </c>
      <c r="M273" s="687" t="str">
        <f>INPUT!BJ73</f>
        <v>NA</v>
      </c>
      <c r="N273" s="151">
        <f>INPUT!BK73</f>
        <v>76107</v>
      </c>
      <c r="O273" s="687" t="str">
        <f>INPUT!BL73</f>
        <v>NA</v>
      </c>
      <c r="P273" s="151">
        <f>INPUT!BM73</f>
        <v>76464</v>
      </c>
      <c r="Q273" s="687" t="str">
        <f>INPUT!BN73</f>
        <v>NA</v>
      </c>
      <c r="R273" s="151">
        <f>INPUT!BO73</f>
        <v>72667</v>
      </c>
      <c r="S273" s="687">
        <f>INPUT!BP73</f>
        <v>6.179315584908962</v>
      </c>
      <c r="T273" s="151">
        <f>INPUT!BQ73</f>
        <v>73654</v>
      </c>
      <c r="U273" s="687">
        <f>INPUT!BR73</f>
        <v>0.84201590930872428</v>
      </c>
      <c r="V273" s="151">
        <f>INPUT!BS73</f>
        <v>67671</v>
      </c>
      <c r="W273" s="687">
        <f>INPUT!BT73</f>
        <v>-11.084394339548265</v>
      </c>
      <c r="X273" s="151">
        <f>INPUT!BU73</f>
        <v>58580</v>
      </c>
      <c r="Y273" s="687">
        <f>INPUT!BV73</f>
        <v>-23.388784264490482</v>
      </c>
      <c r="Z273" s="151">
        <f>INPUT!BW73</f>
        <v>57154</v>
      </c>
      <c r="AA273" s="687">
        <f>INPUT!BX73</f>
        <v>-21.348067210700872</v>
      </c>
      <c r="AB273" s="151">
        <f>INPUT!BY73</f>
        <v>64119</v>
      </c>
      <c r="AC273" s="687">
        <f>INPUT!BZ73</f>
        <v>-12.945664865451977</v>
      </c>
      <c r="AD273" s="151">
        <f>INPUT!CA73</f>
        <v>72195</v>
      </c>
      <c r="AE273" s="687">
        <f>INPUT!CB73</f>
        <v>6.6852861639402406</v>
      </c>
      <c r="AF273" s="151">
        <f>INPUT!CC73</f>
        <v>75308</v>
      </c>
      <c r="AG273" s="687">
        <f>INPUT!CD73</f>
        <v>28.555821099351309</v>
      </c>
      <c r="AH273" s="151">
        <f>INPUT!CE73</f>
        <v>77857</v>
      </c>
      <c r="AI273" s="687">
        <f>INPUT!CF73</f>
        <v>36.22318647863667</v>
      </c>
      <c r="AJ273" s="151">
        <f>INPUT!CG73</f>
        <v>74318</v>
      </c>
      <c r="AK273" s="687">
        <f>INPUT!CH73</f>
        <v>15.906361608883479</v>
      </c>
      <c r="AL273" s="151">
        <f>INPUT!CI73</f>
        <v>81207</v>
      </c>
      <c r="AM273" s="687">
        <f>INPUT!CJ73</f>
        <v>12.482858923748186</v>
      </c>
      <c r="AN273" s="151">
        <f>INPUT!CK73</f>
        <v>85810</v>
      </c>
      <c r="AO273" s="687">
        <f>INPUT!CL73</f>
        <v>13.945397567323514</v>
      </c>
      <c r="AP273" s="151">
        <f>INPUT!CM73</f>
        <v>88734</v>
      </c>
      <c r="AQ273" s="687">
        <f>INPUT!CN73</f>
        <v>13.970484349512557</v>
      </c>
      <c r="AR273" s="151">
        <f>INPUT!CO73</f>
        <v>89775</v>
      </c>
      <c r="AS273" s="687">
        <f>INPUT!CP73</f>
        <v>20.79846066901694</v>
      </c>
      <c r="AT273" s="151">
        <f>INPUT!CQ73</f>
        <v>82149</v>
      </c>
      <c r="AU273" s="687">
        <f>INPUT!CR73</f>
        <v>1.1599985222948694</v>
      </c>
      <c r="AV273" s="151">
        <f>INPUT!CS73</f>
        <v>86436</v>
      </c>
      <c r="AW273" s="687">
        <f>INPUT!CT73</f>
        <v>0.72951870411372965</v>
      </c>
      <c r="AX273" s="151">
        <f>INPUT!CU73</f>
        <v>92552</v>
      </c>
      <c r="AY273" s="687">
        <f>INPUT!CV73</f>
        <v>4.3027475375842394</v>
      </c>
      <c r="AZ273" s="151">
        <f>INPUT!CW73</f>
        <v>91249</v>
      </c>
      <c r="BA273" s="687">
        <f>INPUT!CX73</f>
        <v>1.6418824839877555</v>
      </c>
      <c r="BB273" s="151">
        <f>INPUT!CY73</f>
        <v>95043</v>
      </c>
      <c r="BC273" s="687">
        <f>INPUT!CZ73</f>
        <v>15.695869700178932</v>
      </c>
      <c r="BD273" s="151">
        <f>INPUT!DA73</f>
        <v>97344</v>
      </c>
      <c r="BE273" s="687">
        <f>INPUT!DB73</f>
        <v>12.619741774260728</v>
      </c>
      <c r="BF273" s="151">
        <f>INPUT!DC73</f>
        <v>102226</v>
      </c>
      <c r="BG273" s="687">
        <f>INPUT!DD73</f>
        <v>10.452502377042094</v>
      </c>
      <c r="BH273" s="151">
        <f>INPUT!DE73</f>
        <v>103889</v>
      </c>
      <c r="BI273" s="687">
        <f>INPUT!DF73</f>
        <v>13.852206599524376</v>
      </c>
      <c r="BJ273" s="151">
        <f>INPUT!DG73</f>
        <v>109478</v>
      </c>
      <c r="BK273" s="687">
        <f>INPUT!DH73</f>
        <v>15.187862335995295</v>
      </c>
      <c r="BL273" s="151">
        <f>INPUT!DI73</f>
        <v>115850</v>
      </c>
      <c r="BM273" s="687">
        <f>INPUT!DJ73</f>
        <v>19.010930309007222</v>
      </c>
      <c r="BN273" s="151">
        <f>INPUT!DK73</f>
        <v>117528</v>
      </c>
      <c r="BO273" s="687">
        <f>INPUT!DL73</f>
        <v>14.968794631502757</v>
      </c>
      <c r="BP273" s="151">
        <f>INPUT!DM73</f>
        <v>121918</v>
      </c>
      <c r="BQ273" s="687">
        <f>INPUT!DN73</f>
        <v>17.354099086525032</v>
      </c>
      <c r="BR273" s="151">
        <f>INPUT!DO73</f>
        <v>120984</v>
      </c>
      <c r="BS273" s="687">
        <f>INPUT!DP73</f>
        <v>10.509874129962181</v>
      </c>
      <c r="BT273" s="151">
        <f>INPUT!DQ73</f>
        <v>122734</v>
      </c>
      <c r="BU273" s="687">
        <f>INPUT!DR73</f>
        <v>5.9421665947345659</v>
      </c>
      <c r="BV273" s="151">
        <f>INPUT!DS73</f>
        <v>124930</v>
      </c>
      <c r="BW273" s="687">
        <f>INPUT!DT73</f>
        <v>6.2980736505343415</v>
      </c>
      <c r="BX273" s="151">
        <f>INPUT!DU73</f>
        <v>125197</v>
      </c>
      <c r="BY273" s="687">
        <f>INPUT!DV73</f>
        <v>2.6895126232385769</v>
      </c>
      <c r="BZ273" s="151">
        <f>INPUT!DW73</f>
        <v>119253</v>
      </c>
      <c r="CA273" s="687">
        <f>INPUT!DX73</f>
        <v>-5942.0208907321085</v>
      </c>
      <c r="CB273" s="151">
        <f>INPUT!DY73</f>
        <v>122228</v>
      </c>
      <c r="CC273" s="687">
        <f>INPUT!DZ73</f>
        <v>-0.4122736975899044</v>
      </c>
      <c r="CD273" s="151">
        <f>INPUT!EA73</f>
        <v>122351</v>
      </c>
      <c r="CE273" s="687">
        <f>INPUT!EB73</f>
        <v>-2.0643560393820537</v>
      </c>
      <c r="CF273" s="151">
        <f>INPUT!EC73</f>
        <v>123459</v>
      </c>
      <c r="CG273" s="687">
        <f>INPUT!ED73</f>
        <v>-1.3882121776080947</v>
      </c>
      <c r="CH273" s="151">
        <f>INPUT!EE73</f>
        <v>126107</v>
      </c>
      <c r="CI273" s="687">
        <f>INPUT!EF73</f>
        <v>5.7474445087335235</v>
      </c>
      <c r="CJ273" s="151">
        <f>INPUT!EG73</f>
        <v>125489</v>
      </c>
      <c r="CK273" s="687">
        <f>INPUT!EH73</f>
        <v>2.6679647871191481</v>
      </c>
      <c r="CL273" s="151">
        <f>INPUT!EI73</f>
        <v>129502</v>
      </c>
      <c r="CM273" s="687">
        <f>INPUT!EJ73</f>
        <v>5.8446600354717271</v>
      </c>
      <c r="CN273" s="151">
        <f>INPUT!EK73</f>
        <v>131591</v>
      </c>
      <c r="CO273" s="687">
        <f>INPUT!EL73</f>
        <v>6.5868020962424723</v>
      </c>
      <c r="CP273" s="151">
        <f>INPUT!EM73</f>
        <v>134284</v>
      </c>
      <c r="CQ273" s="687">
        <f>INPUT!EN73</f>
        <v>6.4841761361383643</v>
      </c>
      <c r="CR273" s="151">
        <f>INPUT!EO73</f>
        <v>137784</v>
      </c>
      <c r="CS273" s="687">
        <f>INPUT!EP73</f>
        <v>9.7976715090565705</v>
      </c>
      <c r="CT273" s="151">
        <f>INPUT!EQ73</f>
        <v>136658.01922669448</v>
      </c>
      <c r="CU273" s="687">
        <f>INPUT!ER73</f>
        <v>5.5257982322238108</v>
      </c>
      <c r="CV273" s="151">
        <f>INPUT!ES73</f>
        <v>138026.46907662234</v>
      </c>
      <c r="CW273" s="687">
        <f>INPUT!ET73</f>
        <v>4.890508527651849</v>
      </c>
      <c r="CX273" s="151">
        <f>INPUT!EU73</f>
        <v>139654.62932689846</v>
      </c>
      <c r="CY273" s="687">
        <f>INPUT!EV73</f>
        <v>3.999455874786606</v>
      </c>
      <c r="CZ273" s="151">
        <f>INPUT!EW73</f>
        <v>141549.88504574617</v>
      </c>
      <c r="DA273" s="687">
        <f>INPUT!EX73</f>
        <v>2.7331802282893225</v>
      </c>
      <c r="DB273" s="16"/>
      <c r="DC273" s="151"/>
      <c r="DD273" s="687"/>
      <c r="DE273" s="151"/>
      <c r="DF273" s="687"/>
      <c r="DG273" s="151">
        <f>INPUT!FT73</f>
        <v>76464</v>
      </c>
      <c r="DH273" s="687" t="str">
        <f>INPUT!FU73</f>
        <v>NA</v>
      </c>
      <c r="DI273" s="151">
        <f>INPUT!FV73</f>
        <v>58580</v>
      </c>
      <c r="DJ273" s="687">
        <f>INPUT!FW73</f>
        <v>-23.388784264490482</v>
      </c>
      <c r="DK273" s="151">
        <f>INPUT!FX73</f>
        <v>75308</v>
      </c>
      <c r="DL273" s="687">
        <f>INPUT!FY73</f>
        <v>28.555821099351309</v>
      </c>
      <c r="DM273" s="151">
        <f>INPUT!FZ73</f>
        <v>85810</v>
      </c>
      <c r="DN273" s="687">
        <f>INPUT!GA73</f>
        <v>13.945397567323514</v>
      </c>
      <c r="DO273" s="151">
        <f>INPUT!GB73</f>
        <v>86436</v>
      </c>
      <c r="DP273" s="687">
        <f>INPUT!GC73</f>
        <v>0.72951870411372965</v>
      </c>
      <c r="DQ273" s="151">
        <f>INPUT!GD73</f>
        <v>97344</v>
      </c>
      <c r="DR273" s="687">
        <f>INPUT!GE73</f>
        <v>12.619741774260728</v>
      </c>
      <c r="DS273" s="151">
        <f>INPUT!GF73</f>
        <v>115850</v>
      </c>
      <c r="DT273" s="687">
        <f>INPUT!GG73</f>
        <v>19.010930309007222</v>
      </c>
      <c r="DU273" s="151">
        <f>INPUT!GH73</f>
        <v>122734</v>
      </c>
      <c r="DV273" s="687">
        <f>INPUT!GI73</f>
        <v>5.9421665947345659</v>
      </c>
      <c r="DW273" s="151">
        <f>INPUT!GJ73</f>
        <v>122228</v>
      </c>
      <c r="DX273" s="687">
        <f>INPUT!GK73</f>
        <v>-0.4122736975899044</v>
      </c>
      <c r="DY273" s="151">
        <f>INPUT!GL73</f>
        <v>125489</v>
      </c>
      <c r="DZ273" s="687">
        <f>INPUT!GM73</f>
        <v>2.6679647871191481</v>
      </c>
      <c r="EA273" s="151">
        <f>INPUT!GN73</f>
        <v>137784</v>
      </c>
      <c r="EB273" s="687">
        <f>INPUT!GO73</f>
        <v>9.7976715090565705</v>
      </c>
      <c r="EC273" s="151">
        <f>INPUT!GP73</f>
        <v>141549.88504574617</v>
      </c>
      <c r="ED273" s="687">
        <f>INPUT!GQ73</f>
        <v>2.7331802282893225</v>
      </c>
      <c r="EE273" s="151">
        <f>INPUT!GR73</f>
        <v>149764.69676589785</v>
      </c>
      <c r="EF273" s="687">
        <f>INPUT!GS73</f>
        <v>5.8034746672502191</v>
      </c>
      <c r="EG273" s="151">
        <f>INPUT!GT73</f>
        <v>158936.11242224992</v>
      </c>
      <c r="EH273" s="687">
        <f>INPUT!GU73</f>
        <v>6.1238835682939419</v>
      </c>
      <c r="EI273" s="151">
        <f>INPUT!GV73</f>
        <v>169199.49938737831</v>
      </c>
      <c r="EJ273" s="687">
        <f>INPUT!GW73</f>
        <v>6.4575550570038942</v>
      </c>
      <c r="EK273" s="151">
        <f>INPUT!GX73</f>
        <v>180714.23298017954</v>
      </c>
      <c r="EL273" s="687">
        <f>INPUT!GY73</f>
        <v>6.8054182397067953</v>
      </c>
      <c r="EM273" s="687">
        <f>INPUT!GZ73</f>
        <v>5.5744223923926084</v>
      </c>
    </row>
    <row r="274" spans="1:152" ht="12.75" hidden="1" customHeight="1" outlineLevel="1" x14ac:dyDescent="0.2">
      <c r="A274" s="701" t="str">
        <f>INPUT!B74</f>
        <v>Average Gross AUM</v>
      </c>
      <c r="B274" s="151"/>
      <c r="C274" s="687"/>
      <c r="D274" s="151"/>
      <c r="E274" s="687"/>
      <c r="F274" s="151"/>
      <c r="G274" s="687"/>
      <c r="H274" s="151"/>
      <c r="I274" s="687"/>
      <c r="J274" s="151">
        <f>INPUT!BG74</f>
        <v>67576</v>
      </c>
      <c r="K274" s="687" t="str">
        <f>INPUT!BH74</f>
        <v>NA</v>
      </c>
      <c r="L274" s="151">
        <f>INPUT!BI74</f>
        <v>70738.5</v>
      </c>
      <c r="M274" s="687" t="str">
        <f>INPUT!BJ74</f>
        <v>NA</v>
      </c>
      <c r="N274" s="151">
        <f>INPUT!BK74</f>
        <v>74573</v>
      </c>
      <c r="O274" s="687" t="str">
        <f>INPUT!BL74</f>
        <v>NA</v>
      </c>
      <c r="P274" s="151">
        <f>INPUT!BM74</f>
        <v>76285.5</v>
      </c>
      <c r="Q274" s="687" t="str">
        <f>INPUT!BN74</f>
        <v>NA</v>
      </c>
      <c r="R274" s="151">
        <f>INPUT!BO74</f>
        <v>74565.5</v>
      </c>
      <c r="S274" s="687">
        <f>INPUT!BP74</f>
        <v>10.343169172487276</v>
      </c>
      <c r="T274" s="151">
        <f>INPUT!BQ74</f>
        <v>73160.5</v>
      </c>
      <c r="U274" s="687">
        <f>INPUT!BR74</f>
        <v>3.4238780861906903</v>
      </c>
      <c r="V274" s="151">
        <f>INPUT!BS74</f>
        <v>70662.5</v>
      </c>
      <c r="W274" s="687">
        <f>INPUT!BT74</f>
        <v>-5.2438550145495029</v>
      </c>
      <c r="X274" s="151">
        <f>INPUT!BU74</f>
        <v>63125.5</v>
      </c>
      <c r="Y274" s="687">
        <f>INPUT!BV74</f>
        <v>-17.250984787410452</v>
      </c>
      <c r="Z274" s="151">
        <f>INPUT!BW74</f>
        <v>57867</v>
      </c>
      <c r="AA274" s="687">
        <f>INPUT!BX74</f>
        <v>-22.394404919165034</v>
      </c>
      <c r="AB274" s="151">
        <f>INPUT!BY74</f>
        <v>60636.5</v>
      </c>
      <c r="AC274" s="687">
        <f>INPUT!BZ74</f>
        <v>-17.11852707403585</v>
      </c>
      <c r="AD274" s="151">
        <f>INPUT!CA74</f>
        <v>68157</v>
      </c>
      <c r="AE274" s="687">
        <f>INPUT!CB74</f>
        <v>-3.545727932071463</v>
      </c>
      <c r="AF274" s="151">
        <f>INPUT!CC74</f>
        <v>73751.5</v>
      </c>
      <c r="AG274" s="687">
        <f>INPUT!CD74</f>
        <v>16.833133994978255</v>
      </c>
      <c r="AH274" s="151">
        <f>INPUT!CE74</f>
        <v>76582.5</v>
      </c>
      <c r="AI274" s="687">
        <f>INPUT!CF74</f>
        <v>32.342267613665811</v>
      </c>
      <c r="AJ274" s="151">
        <f>INPUT!CG74</f>
        <v>76087.5</v>
      </c>
      <c r="AK274" s="687">
        <f>INPUT!CH74</f>
        <v>25.48135199096253</v>
      </c>
      <c r="AL274" s="151">
        <f>INPUT!CI74</f>
        <v>77762.5</v>
      </c>
      <c r="AM274" s="687">
        <f>INPUT!CJ74</f>
        <v>14.093196590225499</v>
      </c>
      <c r="AN274" s="151">
        <f>INPUT!CK74</f>
        <v>83508.5</v>
      </c>
      <c r="AO274" s="687">
        <f>INPUT!CL74</f>
        <v>13.229561432648818</v>
      </c>
      <c r="AP274" s="151">
        <f>INPUT!CM74</f>
        <v>87272</v>
      </c>
      <c r="AQ274" s="687">
        <f>INPUT!CN74</f>
        <v>13.958149707831424</v>
      </c>
      <c r="AR274" s="151">
        <f>INPUT!CO74</f>
        <v>89254.5</v>
      </c>
      <c r="AS274" s="687">
        <f>INPUT!CP74</f>
        <v>17.305076392311491</v>
      </c>
      <c r="AT274" s="151">
        <f>INPUT!CQ74</f>
        <v>85962</v>
      </c>
      <c r="AU274" s="687">
        <f>INPUT!CR74</f>
        <v>10.544285484648764</v>
      </c>
      <c r="AV274" s="151">
        <f>INPUT!CS74</f>
        <v>84292.5</v>
      </c>
      <c r="AW274" s="687">
        <f>INPUT!CT74</f>
        <v>0.93882658651514017</v>
      </c>
      <c r="AX274" s="151">
        <f>INPUT!CU74</f>
        <v>89494</v>
      </c>
      <c r="AY274" s="687">
        <f>INPUT!CV74</f>
        <v>2.5460628838573696</v>
      </c>
      <c r="AZ274" s="151">
        <f>INPUT!CW74</f>
        <v>91900.5</v>
      </c>
      <c r="BA274" s="687">
        <f>INPUT!CX74</f>
        <v>2.9645564089205489</v>
      </c>
      <c r="BB274" s="151">
        <f>INPUT!CY74</f>
        <v>93146</v>
      </c>
      <c r="BC274" s="687">
        <f>INPUT!CZ74</f>
        <v>8.3571810800120883</v>
      </c>
      <c r="BD274" s="151">
        <f>INPUT!DA74</f>
        <v>96193.5</v>
      </c>
      <c r="BE274" s="687">
        <f>INPUT!DB74</f>
        <v>14.118693833970998</v>
      </c>
      <c r="BF274" s="151">
        <f>INPUT!DC74</f>
        <v>99785</v>
      </c>
      <c r="BG274" s="687">
        <f>INPUT!DD74</f>
        <v>11.499094911390717</v>
      </c>
      <c r="BH274" s="151">
        <f>INPUT!DE74</f>
        <v>103057.5</v>
      </c>
      <c r="BI274" s="687">
        <f>INPUT!DF74</f>
        <v>12.140303915647909</v>
      </c>
      <c r="BJ274" s="151">
        <f>INPUT!DG74</f>
        <v>106683.5</v>
      </c>
      <c r="BK274" s="687">
        <f>INPUT!DH74</f>
        <v>14.533635368131748</v>
      </c>
      <c r="BL274" s="151">
        <f>INPUT!DI74</f>
        <v>112664</v>
      </c>
      <c r="BM274" s="687">
        <f>INPUT!DJ74</f>
        <v>17.122258780478926</v>
      </c>
      <c r="BN274" s="151">
        <f>INPUT!DK74</f>
        <v>116689</v>
      </c>
      <c r="BO274" s="687">
        <f>INPUT!DL74</f>
        <v>16.940421907100255</v>
      </c>
      <c r="BP274" s="151">
        <f>INPUT!DM74</f>
        <v>119723</v>
      </c>
      <c r="BQ274" s="687">
        <f>INPUT!DN74</f>
        <v>16.171069548552985</v>
      </c>
      <c r="BR274" s="151">
        <f>INPUT!DO74</f>
        <v>121451</v>
      </c>
      <c r="BS274" s="687">
        <f>INPUT!DP74</f>
        <v>13.842346754652791</v>
      </c>
      <c r="BT274" s="151">
        <f>INPUT!DQ74</f>
        <v>121859</v>
      </c>
      <c r="BU274" s="687">
        <f>INPUT!DR74</f>
        <v>8.1614357736277796</v>
      </c>
      <c r="BV274" s="151">
        <f>INPUT!DS74</f>
        <v>123832</v>
      </c>
      <c r="BW274" s="687">
        <f>INPUT!DT74</f>
        <v>6.1213996177874597</v>
      </c>
      <c r="BX274" s="151">
        <f>INPUT!DU74</f>
        <v>125063.5</v>
      </c>
      <c r="BY274" s="687">
        <f>INPUT!DV74</f>
        <v>4.4607134802836512</v>
      </c>
      <c r="BZ274" s="151">
        <f>INPUT!DW74</f>
        <v>122225</v>
      </c>
      <c r="CA274" s="687">
        <f>INPUT!DX74</f>
        <v>-2970.0208907321085</v>
      </c>
      <c r="CB274" s="151">
        <f>INPUT!DY74</f>
        <v>120740.5</v>
      </c>
      <c r="CC274" s="687">
        <f>INPUT!DZ74</f>
        <v>-0.91786408882397197</v>
      </c>
      <c r="CD274" s="151">
        <f>INPUT!EA74</f>
        <v>122289.5</v>
      </c>
      <c r="CE274" s="687">
        <f>INPUT!EB74</f>
        <v>-1.2456392531817295</v>
      </c>
      <c r="CF274" s="151">
        <f>INPUT!EC74</f>
        <v>122905</v>
      </c>
      <c r="CG274" s="687">
        <f>INPUT!ED74</f>
        <v>-1.7259232309986494</v>
      </c>
      <c r="CH274" s="151">
        <f>INPUT!EE74</f>
        <v>124783</v>
      </c>
      <c r="CI274" s="687">
        <f>INPUT!EF74</f>
        <v>2.092861525874401</v>
      </c>
      <c r="CJ274" s="151">
        <f>INPUT!EG74</f>
        <v>125798</v>
      </c>
      <c r="CK274" s="687">
        <f>INPUT!EH74</f>
        <v>4.1887353456379506</v>
      </c>
      <c r="CL274" s="151">
        <f>INPUT!EI74</f>
        <v>127495.5</v>
      </c>
      <c r="CM274" s="687">
        <f>INPUT!EJ74</f>
        <v>4.2571111992444122</v>
      </c>
      <c r="CN274" s="151">
        <f>INPUT!EK74</f>
        <v>130546.5</v>
      </c>
      <c r="CO274" s="687">
        <f>INPUT!EL74</f>
        <v>6.2174036857735704</v>
      </c>
      <c r="CP274" s="151">
        <f>INPUT!EM74</f>
        <v>132937.5</v>
      </c>
      <c r="CQ274" s="687">
        <f>INPUT!EN74</f>
        <v>6.5349446639366038</v>
      </c>
      <c r="CR274" s="151">
        <f>INPUT!EO74</f>
        <v>136034</v>
      </c>
      <c r="CS274" s="687">
        <f>INPUT!EP74</f>
        <v>8.1368543220083023</v>
      </c>
      <c r="CT274" s="151">
        <f>INPUT!EQ74</f>
        <v>137221.00961334724</v>
      </c>
      <c r="CU274" s="687">
        <f>INPUT!ER74</f>
        <v>7.6281199048964465</v>
      </c>
      <c r="CV274" s="151">
        <f>INPUT!ES74</f>
        <v>137342.24415165841</v>
      </c>
      <c r="CW274" s="687">
        <f>INPUT!ET74</f>
        <v>5.2056119096708153</v>
      </c>
      <c r="CX274" s="151">
        <f>INPUT!EU74</f>
        <v>138840.54920176038</v>
      </c>
      <c r="CY274" s="687">
        <f>INPUT!EV74</f>
        <v>4.4404695452828546</v>
      </c>
      <c r="CZ274" s="151">
        <f>INPUT!EW74</f>
        <v>140602.2571863223</v>
      </c>
      <c r="DA274" s="687">
        <f>INPUT!EX74</f>
        <v>3.3581730937282561</v>
      </c>
      <c r="DB274" s="16"/>
      <c r="DC274" s="151"/>
      <c r="DD274" s="687"/>
      <c r="DE274" s="151"/>
      <c r="DF274" s="687"/>
      <c r="DG274" s="151">
        <f>INPUT!FT74</f>
        <v>71589</v>
      </c>
      <c r="DH274" s="687" t="str">
        <f>INPUT!FU74</f>
        <v>NA</v>
      </c>
      <c r="DI274" s="151">
        <f>INPUT!FV74</f>
        <v>67522</v>
      </c>
      <c r="DJ274" s="687">
        <f>INPUT!FW74</f>
        <v>-5.6810403832991074</v>
      </c>
      <c r="DK274" s="151">
        <f>INPUT!FX74</f>
        <v>66944</v>
      </c>
      <c r="DL274" s="687">
        <f>INPUT!FY74</f>
        <v>-0.85601729806581428</v>
      </c>
      <c r="DM274" s="151">
        <f>INPUT!FZ74</f>
        <v>80559</v>
      </c>
      <c r="DN274" s="687">
        <f>INPUT!GA74</f>
        <v>20.337894359464627</v>
      </c>
      <c r="DO274" s="151">
        <f>INPUT!GB74</f>
        <v>86123</v>
      </c>
      <c r="DP274" s="687">
        <f>INPUT!GC74</f>
        <v>6.9067391601186801</v>
      </c>
      <c r="DQ274" s="151">
        <f>INPUT!GD74</f>
        <v>91890</v>
      </c>
      <c r="DR274" s="687">
        <f>INPUT!GE74</f>
        <v>6.6962367776319809</v>
      </c>
      <c r="DS274" s="151">
        <f>INPUT!GF74</f>
        <v>106597</v>
      </c>
      <c r="DT274" s="687">
        <f>INPUT!GG74</f>
        <v>16.005005985417341</v>
      </c>
      <c r="DU274" s="151">
        <f>INPUT!GH74</f>
        <v>119292</v>
      </c>
      <c r="DV274" s="687">
        <f>INPUT!GI74</f>
        <v>11.909340788202293</v>
      </c>
      <c r="DW274" s="151">
        <f>INPUT!GJ74</f>
        <v>122481</v>
      </c>
      <c r="DX274" s="687">
        <f>INPUT!GK74</f>
        <v>2.673272306608987</v>
      </c>
      <c r="DY274" s="151">
        <f>INPUT!GL74</f>
        <v>123858.5</v>
      </c>
      <c r="DZ274" s="687">
        <f>INPUT!GM74</f>
        <v>1.1246642336362411</v>
      </c>
      <c r="EA274" s="151">
        <f>INPUT!GN74</f>
        <v>131636.5</v>
      </c>
      <c r="EB274" s="687">
        <f>INPUT!GO74</f>
        <v>6.2797466463746954</v>
      </c>
      <c r="EC274" s="151">
        <f>INPUT!GP74</f>
        <v>139666.94252287308</v>
      </c>
      <c r="ED274" s="687">
        <f>INPUT!GQ74</f>
        <v>6.1004679726922806</v>
      </c>
      <c r="EE274" s="151">
        <f>INPUT!GR74</f>
        <v>145657.29090582201</v>
      </c>
      <c r="EF274" s="687">
        <f>INPUT!GS74</f>
        <v>4.2890237838262291</v>
      </c>
      <c r="EG274" s="151">
        <f>INPUT!GT74</f>
        <v>154350.40459407389</v>
      </c>
      <c r="EH274" s="687">
        <f>INPUT!GU74</f>
        <v>5.9681967405755154</v>
      </c>
      <c r="EI274" s="151">
        <f>INPUT!GV74</f>
        <v>164067.8059048141</v>
      </c>
      <c r="EJ274" s="687">
        <f>INPUT!GW74</f>
        <v>6.2956759564680054</v>
      </c>
      <c r="EK274" s="151">
        <f>INPUT!GX74</f>
        <v>174956.86618377894</v>
      </c>
      <c r="EL274" s="687">
        <f>INPUT!GY74</f>
        <v>6.6369268601557785</v>
      </c>
      <c r="EM274" s="687">
        <f>INPUT!GZ74</f>
        <v>5.8548918770130687</v>
      </c>
    </row>
    <row r="275" spans="1:152" ht="12.75" hidden="1" customHeight="1" outlineLevel="1" x14ac:dyDescent="0.2">
      <c r="A275" s="701"/>
      <c r="B275" s="16"/>
      <c r="C275" s="687"/>
      <c r="D275" s="16"/>
      <c r="E275" s="687"/>
      <c r="F275" s="16"/>
      <c r="G275" s="687"/>
      <c r="H275" s="16"/>
      <c r="I275" s="687"/>
      <c r="J275" s="16"/>
      <c r="K275" s="687"/>
      <c r="L275" s="16"/>
      <c r="M275" s="687"/>
      <c r="N275" s="16"/>
      <c r="O275" s="687"/>
      <c r="P275" s="16"/>
      <c r="Q275" s="687"/>
      <c r="R275" s="16"/>
      <c r="S275" s="687"/>
      <c r="T275" s="16"/>
      <c r="U275" s="687"/>
      <c r="V275" s="16"/>
      <c r="W275" s="687"/>
      <c r="X275" s="16"/>
      <c r="Y275" s="687"/>
      <c r="Z275" s="16"/>
      <c r="AA275" s="687"/>
      <c r="AB275" s="16"/>
      <c r="AC275" s="687"/>
      <c r="AD275" s="16"/>
      <c r="AE275" s="687"/>
      <c r="AF275" s="16"/>
      <c r="AG275" s="687"/>
      <c r="AH275" s="16"/>
      <c r="AI275" s="687"/>
      <c r="AJ275" s="16"/>
      <c r="AK275" s="687"/>
      <c r="AL275" s="16"/>
      <c r="AM275" s="687"/>
      <c r="AN275" s="16"/>
      <c r="AO275" s="687"/>
      <c r="AP275" s="16"/>
      <c r="AQ275" s="687"/>
      <c r="AR275" s="16"/>
      <c r="AS275" s="687"/>
      <c r="AT275" s="16"/>
      <c r="AU275" s="687"/>
      <c r="AV275" s="16"/>
      <c r="AW275" s="687"/>
      <c r="AX275" s="16"/>
      <c r="AY275" s="687"/>
      <c r="AZ275" s="16"/>
      <c r="BA275" s="687"/>
      <c r="BB275" s="16"/>
      <c r="BC275" s="687"/>
      <c r="BD275" s="16"/>
      <c r="BE275" s="687"/>
      <c r="BF275" s="16"/>
      <c r="BG275" s="687"/>
      <c r="BH275" s="16"/>
      <c r="BI275" s="687"/>
      <c r="BJ275" s="16"/>
      <c r="BK275" s="687"/>
      <c r="BL275" s="16"/>
      <c r="BM275" s="687"/>
      <c r="BN275" s="16"/>
      <c r="BO275" s="687"/>
      <c r="BP275" s="16"/>
      <c r="BQ275" s="687"/>
      <c r="BR275" s="16"/>
      <c r="BS275" s="687"/>
      <c r="BT275" s="16"/>
      <c r="BU275" s="687"/>
      <c r="BV275" s="16"/>
      <c r="BW275" s="687"/>
      <c r="BX275" s="16"/>
      <c r="BY275" s="687"/>
      <c r="BZ275" s="16"/>
      <c r="CA275" s="687"/>
      <c r="CB275" s="16"/>
      <c r="CC275" s="687"/>
      <c r="CD275" s="16"/>
      <c r="CE275" s="687"/>
      <c r="CF275" s="16"/>
      <c r="CG275" s="687"/>
      <c r="CH275" s="16"/>
      <c r="CI275" s="687"/>
      <c r="CJ275" s="16"/>
      <c r="CK275" s="687"/>
      <c r="CL275" s="16"/>
      <c r="CM275" s="687"/>
      <c r="CN275" s="16"/>
      <c r="CO275" s="687"/>
      <c r="CP275" s="16"/>
      <c r="CQ275" s="687"/>
      <c r="CR275" s="16"/>
      <c r="CS275" s="687"/>
      <c r="CT275" s="16"/>
      <c r="CU275" s="687"/>
      <c r="CV275" s="16"/>
      <c r="CW275" s="687"/>
      <c r="CX275" s="16"/>
      <c r="CY275" s="687"/>
      <c r="CZ275" s="16"/>
      <c r="DA275" s="687"/>
      <c r="DB275" s="16"/>
      <c r="DC275" s="16"/>
      <c r="DD275" s="687"/>
      <c r="DE275" s="16"/>
      <c r="DF275" s="687"/>
      <c r="DG275" s="16"/>
      <c r="DH275" s="687"/>
      <c r="DI275" s="16"/>
      <c r="DJ275" s="687"/>
      <c r="DK275" s="16"/>
      <c r="DL275" s="687"/>
      <c r="DM275" s="16"/>
      <c r="DN275" s="687"/>
      <c r="DO275" s="16"/>
      <c r="DP275" s="687"/>
      <c r="DQ275" s="16"/>
      <c r="DR275" s="687"/>
      <c r="DS275" s="16"/>
      <c r="DT275" s="687"/>
      <c r="DU275" s="16"/>
      <c r="DV275" s="687"/>
      <c r="DW275" s="16"/>
      <c r="DX275" s="687"/>
      <c r="DY275" s="16"/>
      <c r="DZ275" s="687"/>
      <c r="EA275" s="16"/>
      <c r="EB275" s="687"/>
      <c r="EC275" s="16"/>
      <c r="ED275" s="687"/>
      <c r="EE275" s="16"/>
      <c r="EF275" s="687"/>
      <c r="EG275" s="16"/>
      <c r="EH275" s="687"/>
      <c r="EI275" s="16"/>
      <c r="EJ275" s="687"/>
      <c r="EK275" s="16"/>
      <c r="EL275" s="687"/>
      <c r="EM275" s="687"/>
    </row>
    <row r="276" spans="1:152" ht="12.75" hidden="1" customHeight="1" outlineLevel="1" x14ac:dyDescent="0.2">
      <c r="A276" s="701" t="str">
        <f>INPUT!B78</f>
        <v>Net Flows</v>
      </c>
      <c r="B276" s="151"/>
      <c r="C276" s="687"/>
      <c r="D276" s="151"/>
      <c r="E276" s="687"/>
      <c r="F276" s="151"/>
      <c r="G276" s="687"/>
      <c r="H276" s="151"/>
      <c r="I276" s="687"/>
      <c r="J276" s="151">
        <f>INPUT!BG78</f>
        <v>754</v>
      </c>
      <c r="K276" s="687" t="str">
        <f>INPUT!BH78</f>
        <v>NA</v>
      </c>
      <c r="L276" s="151">
        <f>INPUT!BI78</f>
        <v>1137</v>
      </c>
      <c r="M276" s="687" t="str">
        <f>INPUT!BJ78</f>
        <v>NA</v>
      </c>
      <c r="N276" s="151">
        <f>INPUT!BK78</f>
        <v>1291</v>
      </c>
      <c r="O276" s="687" t="str">
        <f>INPUT!BL78</f>
        <v>NA</v>
      </c>
      <c r="P276" s="151">
        <f>INPUT!BM78</f>
        <v>1807</v>
      </c>
      <c r="Q276" s="687" t="str">
        <f>INPUT!BN78</f>
        <v>NA</v>
      </c>
      <c r="R276" s="151">
        <f>INPUT!BO78</f>
        <v>1181</v>
      </c>
      <c r="S276" s="687">
        <f>INPUT!BP78</f>
        <v>56.631299734748012</v>
      </c>
      <c r="T276" s="151">
        <f>INPUT!BQ78</f>
        <v>1590</v>
      </c>
      <c r="U276" s="687">
        <f>INPUT!BR78</f>
        <v>39.841688654353561</v>
      </c>
      <c r="V276" s="151">
        <f>INPUT!BS78</f>
        <v>944</v>
      </c>
      <c r="W276" s="687">
        <f>INPUT!BT78</f>
        <v>-26.878388845855927</v>
      </c>
      <c r="X276" s="151">
        <f>INPUT!BU78</f>
        <v>375</v>
      </c>
      <c r="Y276" s="687" t="str">
        <f>INPUT!BV78</f>
        <v>NM</v>
      </c>
      <c r="Z276" s="151">
        <f>INPUT!BW78</f>
        <v>429</v>
      </c>
      <c r="AA276" s="687" t="str">
        <f>INPUT!BX78</f>
        <v>NM</v>
      </c>
      <c r="AB276" s="151">
        <f>INPUT!BY78</f>
        <v>1035</v>
      </c>
      <c r="AC276" s="687">
        <f>INPUT!BZ78</f>
        <v>-34.905660377358494</v>
      </c>
      <c r="AD276" s="151">
        <f>INPUT!CA78</f>
        <v>1609</v>
      </c>
      <c r="AE276" s="687">
        <f>INPUT!CB78</f>
        <v>70.444915254237287</v>
      </c>
      <c r="AF276" s="151">
        <f>INPUT!CC78</f>
        <v>819</v>
      </c>
      <c r="AG276" s="687" t="str">
        <f>INPUT!CD78</f>
        <v>NM</v>
      </c>
      <c r="AH276" s="151">
        <f>INPUT!CE78</f>
        <v>575</v>
      </c>
      <c r="AI276" s="687">
        <f>INPUT!CF78</f>
        <v>34.032634032634036</v>
      </c>
      <c r="AJ276" s="151">
        <f>INPUT!CG78</f>
        <v>1153</v>
      </c>
      <c r="AK276" s="687">
        <f>INPUT!CH78</f>
        <v>11.400966183574891</v>
      </c>
      <c r="AL276" s="151">
        <f>INPUT!CI78</f>
        <v>1285</v>
      </c>
      <c r="AM276" s="687">
        <f>INPUT!CJ78</f>
        <v>-20.136730888750776</v>
      </c>
      <c r="AN276" s="151">
        <f>INPUT!CK78</f>
        <v>542</v>
      </c>
      <c r="AO276" s="687">
        <f>INPUT!CL78</f>
        <v>-33.821733821733822</v>
      </c>
      <c r="AP276" s="151">
        <f>INPUT!CM78</f>
        <v>483</v>
      </c>
      <c r="AQ276" s="687">
        <f>INPUT!CN78</f>
        <v>-16.000000000000004</v>
      </c>
      <c r="AR276" s="151">
        <f>INPUT!CO78</f>
        <v>700</v>
      </c>
      <c r="AS276" s="687">
        <f>INPUT!CP78</f>
        <v>-39.288811795316569</v>
      </c>
      <c r="AT276" s="151">
        <f>INPUT!CQ78</f>
        <v>663</v>
      </c>
      <c r="AU276" s="687">
        <f>INPUT!CR78</f>
        <v>-48.404669260700381</v>
      </c>
      <c r="AV276" s="151">
        <f>INPUT!CS78</f>
        <v>345</v>
      </c>
      <c r="AW276" s="687">
        <f>INPUT!CT78</f>
        <v>-36.34686346863468</v>
      </c>
      <c r="AX276" s="151">
        <f>INPUT!CU78</f>
        <v>293</v>
      </c>
      <c r="AY276" s="687">
        <f>INPUT!CV78</f>
        <v>-39.337474120082817</v>
      </c>
      <c r="AZ276" s="151">
        <f>INPUT!CW78</f>
        <v>701</v>
      </c>
      <c r="BA276" s="687">
        <f>INPUT!CX78</f>
        <v>0.14285714285713347</v>
      </c>
      <c r="BB276" s="151">
        <f>INPUT!CY78</f>
        <v>396</v>
      </c>
      <c r="BC276" s="687">
        <f>INPUT!CZ78</f>
        <v>-40.271493212669682</v>
      </c>
      <c r="BD276" s="151">
        <f>INPUT!DA78</f>
        <v>1060</v>
      </c>
      <c r="BE276" s="687" t="str">
        <f>INPUT!DB78</f>
        <v>NM</v>
      </c>
      <c r="BF276" s="151">
        <f>INPUT!DC78</f>
        <v>885</v>
      </c>
      <c r="BG276" s="687" t="str">
        <f>INPUT!DD78</f>
        <v>NM</v>
      </c>
      <c r="BH276" s="151">
        <f>INPUT!DE78</f>
        <v>1703</v>
      </c>
      <c r="BI276" s="687" t="str">
        <f>INPUT!DF78</f>
        <v>NM</v>
      </c>
      <c r="BJ276" s="151">
        <f>INPUT!DG78</f>
        <v>1235</v>
      </c>
      <c r="BK276" s="687" t="str">
        <f>INPUT!DH78</f>
        <v>NM</v>
      </c>
      <c r="BL276" s="151">
        <f>INPUT!DI78</f>
        <v>1190</v>
      </c>
      <c r="BM276" s="687">
        <f>INPUT!DJ78</f>
        <v>12.264150943396235</v>
      </c>
      <c r="BN276" s="151">
        <f>INPUT!DK78</f>
        <v>695</v>
      </c>
      <c r="BO276" s="687">
        <f>INPUT!DL78</f>
        <v>-21.468926553672318</v>
      </c>
      <c r="BP276" s="151">
        <f>INPUT!DM78</f>
        <v>831</v>
      </c>
      <c r="BQ276" s="687" t="str">
        <f>INPUT!DN78</f>
        <v>NM</v>
      </c>
      <c r="BR276" s="151">
        <f>INPUT!DO78</f>
        <v>565</v>
      </c>
      <c r="BS276" s="687" t="str">
        <f>INPUT!DP78</f>
        <v>NM</v>
      </c>
      <c r="BT276" s="151">
        <f>INPUT!DQ78</f>
        <v>555</v>
      </c>
      <c r="BU276" s="687" t="str">
        <f>INPUT!DR78</f>
        <v>NM</v>
      </c>
      <c r="BV276" s="151">
        <f>INPUT!DS78</f>
        <v>196</v>
      </c>
      <c r="BW276" s="687" t="str">
        <f>INPUT!DT78</f>
        <v>NM</v>
      </c>
      <c r="BX276" s="151">
        <f>INPUT!DU78</f>
        <v>397</v>
      </c>
      <c r="BY276" s="687" t="str">
        <f>INPUT!DV78</f>
        <v>NM</v>
      </c>
      <c r="BZ276" s="151">
        <f>INPUT!DW78</f>
        <v>536</v>
      </c>
      <c r="CA276" s="687">
        <f>INPUT!DX78</f>
        <v>536</v>
      </c>
      <c r="CB276" s="151">
        <f>INPUT!DY78</f>
        <v>435</v>
      </c>
      <c r="CC276" s="687">
        <f>INPUT!DZ78</f>
        <v>-21.621621621621621</v>
      </c>
      <c r="CD276" s="151">
        <f>INPUT!EA78</f>
        <v>-35</v>
      </c>
      <c r="CE276" s="687" t="str">
        <f>INPUT!EB78</f>
        <v>NM</v>
      </c>
      <c r="CF276" s="151">
        <f>INPUT!EC78</f>
        <v>-452</v>
      </c>
      <c r="CG276" s="687" t="str">
        <f>INPUT!ED78</f>
        <v>NM</v>
      </c>
      <c r="CH276" s="151">
        <f>INPUT!EE78</f>
        <v>-868</v>
      </c>
      <c r="CI276" s="687" t="str">
        <f>INPUT!EF78</f>
        <v>NM</v>
      </c>
      <c r="CJ276" s="151">
        <f>INPUT!EG78</f>
        <v>-932</v>
      </c>
      <c r="CK276" s="687" t="str">
        <f>INPUT!EH78</f>
        <v>NM</v>
      </c>
      <c r="CL276" s="151">
        <f>INPUT!EI78</f>
        <v>-944</v>
      </c>
      <c r="CM276" s="687" t="str">
        <f>INPUT!EJ78</f>
        <v>NM</v>
      </c>
      <c r="CN276" s="151">
        <f>INPUT!EK78</f>
        <v>-1075</v>
      </c>
      <c r="CO276" s="687" t="str">
        <f>INPUT!EL78</f>
        <v>NM</v>
      </c>
      <c r="CP276" s="151">
        <f>INPUT!EM78</f>
        <v>-1025</v>
      </c>
      <c r="CQ276" s="687">
        <f>INPUT!EN78</f>
        <v>18.087557603686633</v>
      </c>
      <c r="CR276" s="151">
        <f>INPUT!EO78</f>
        <v>-414</v>
      </c>
      <c r="CS276" s="687" t="str">
        <f>INPUT!EP78</f>
        <v>NM</v>
      </c>
      <c r="CT276" s="151">
        <f>INPUT!EQ78</f>
        <v>-493.15625630742943</v>
      </c>
      <c r="CU276" s="687">
        <f>INPUT!ER78</f>
        <v>-47.758871153874004</v>
      </c>
      <c r="CV276" s="151">
        <f>INPUT!ES78</f>
        <v>-241.31384982517466</v>
      </c>
      <c r="CW276" s="687" t="str">
        <f>INPUT!ET78</f>
        <v>NM</v>
      </c>
      <c r="CX276" s="151">
        <f>INPUT!EU78</f>
        <v>0.54554746498752138</v>
      </c>
      <c r="CY276" s="687" t="str">
        <f>INPUT!EV78</f>
        <v>NM</v>
      </c>
      <c r="CZ276" s="151">
        <f>INPUT!EW78</f>
        <v>244.74743403335697</v>
      </c>
      <c r="DA276" s="687" t="str">
        <f>INPUT!EX78</f>
        <v>NM</v>
      </c>
      <c r="DB276" s="16"/>
      <c r="DC276" s="151"/>
      <c r="DD276" s="687"/>
      <c r="DE276" s="151"/>
      <c r="DF276" s="687"/>
      <c r="DG276" s="151">
        <f>INPUT!FT78</f>
        <v>4989</v>
      </c>
      <c r="DH276" s="687" t="str">
        <f>INPUT!FU78</f>
        <v>NA</v>
      </c>
      <c r="DI276" s="151">
        <f>INPUT!FV78</f>
        <v>4090</v>
      </c>
      <c r="DJ276" s="687">
        <f>INPUT!FW78</f>
        <v>-18.019643215073156</v>
      </c>
      <c r="DK276" s="151">
        <f>INPUT!FX78</f>
        <v>3892</v>
      </c>
      <c r="DL276" s="687">
        <f>INPUT!FY78</f>
        <v>-4.8410757946210303</v>
      </c>
      <c r="DM276" s="151">
        <f>INPUT!FZ78</f>
        <v>3555</v>
      </c>
      <c r="DN276" s="687">
        <f>INPUT!GA78</f>
        <v>-8.6587872559095622</v>
      </c>
      <c r="DO276" s="151">
        <f>INPUT!GB78</f>
        <v>2191</v>
      </c>
      <c r="DP276" s="687">
        <f>INPUT!GC78</f>
        <v>-38.368495077355838</v>
      </c>
      <c r="DQ276" s="151">
        <f>INPUT!GD78</f>
        <v>2450</v>
      </c>
      <c r="DR276" s="687">
        <f>INPUT!GE78</f>
        <v>11.82108626198084</v>
      </c>
      <c r="DS276" s="151">
        <f>INPUT!GF78</f>
        <v>5013</v>
      </c>
      <c r="DT276" s="687" t="str">
        <f>INPUT!GG78</f>
        <v>NM</v>
      </c>
      <c r="DU276" s="151">
        <f>INPUT!GH78</f>
        <v>2646</v>
      </c>
      <c r="DV276" s="687">
        <f>INPUT!GI78</f>
        <v>-47.217235188509875</v>
      </c>
      <c r="DW276" s="151">
        <f>INPUT!GJ78</f>
        <v>1564</v>
      </c>
      <c r="DX276" s="687">
        <f>INPUT!GK78</f>
        <v>-40.891912320483748</v>
      </c>
      <c r="DY276" s="151">
        <f>INPUT!GL78</f>
        <v>-2287</v>
      </c>
      <c r="DZ276" s="687" t="str">
        <f>INPUT!GM78</f>
        <v>NM</v>
      </c>
      <c r="EA276" s="151">
        <f>INPUT!GN78</f>
        <v>-3458</v>
      </c>
      <c r="EB276" s="687">
        <f>INPUT!GO78</f>
        <v>51.202448622649754</v>
      </c>
      <c r="EC276" s="151">
        <f>INPUT!GP78</f>
        <v>-489.17712463425778</v>
      </c>
      <c r="ED276" s="687" t="str">
        <f>INPUT!GQ78</f>
        <v>NM</v>
      </c>
      <c r="EE276" s="151">
        <f>INPUT!GR78</f>
        <v>1518.9290874327453</v>
      </c>
      <c r="EF276" s="687" t="str">
        <f>INPUT!GS78</f>
        <v>NM</v>
      </c>
      <c r="EG276" s="151">
        <f>INPUT!GT78</f>
        <v>2089.7764228762226</v>
      </c>
      <c r="EH276" s="687">
        <f>INPUT!GU78</f>
        <v>37.58222422406228</v>
      </c>
      <c r="EI276" s="151">
        <f>INPUT!GV78</f>
        <v>2749.8482822212736</v>
      </c>
      <c r="EJ276" s="687">
        <f>INPUT!GW78</f>
        <v>31.585764492288337</v>
      </c>
      <c r="EK276" s="151">
        <f>INPUT!GX78</f>
        <v>3516.6757268803976</v>
      </c>
      <c r="EL276" s="687">
        <f>INPUT!GY78</f>
        <v>27.886172834222545</v>
      </c>
      <c r="EM276" s="687" t="str">
        <f>INPUT!GZ78</f>
        <v>NM</v>
      </c>
    </row>
    <row r="277" spans="1:152" ht="12.75" hidden="1" customHeight="1" outlineLevel="1" x14ac:dyDescent="0.2">
      <c r="A277" s="718" t="str">
        <f>INPUT!B79</f>
        <v>Total Annuity Assets Added</v>
      </c>
      <c r="B277" s="151"/>
      <c r="C277" s="687"/>
      <c r="D277" s="151"/>
      <c r="E277" s="687"/>
      <c r="F277" s="151"/>
      <c r="G277" s="687"/>
      <c r="H277" s="151"/>
      <c r="I277" s="687"/>
      <c r="J277" s="151">
        <f>INPUT!BG79</f>
        <v>1724</v>
      </c>
      <c r="K277" s="687" t="str">
        <f>INPUT!BH79</f>
        <v>NA</v>
      </c>
      <c r="L277" s="151">
        <f>INPUT!BI79</f>
        <v>4601</v>
      </c>
      <c r="M277" s="687" t="str">
        <f>INPUT!BJ79</f>
        <v>NA</v>
      </c>
      <c r="N277" s="151">
        <f>INPUT!BK79</f>
        <v>3068</v>
      </c>
      <c r="O277" s="687" t="str">
        <f>INPUT!BL79</f>
        <v>NA</v>
      </c>
      <c r="P277" s="151">
        <f>INPUT!BM79</f>
        <v>357</v>
      </c>
      <c r="Q277" s="687" t="str">
        <f>INPUT!BN79</f>
        <v>NA</v>
      </c>
      <c r="R277" s="151">
        <f>INPUT!BO79</f>
        <v>-3797</v>
      </c>
      <c r="S277" s="687" t="str">
        <f>INPUT!BP79</f>
        <v>NM</v>
      </c>
      <c r="T277" s="151">
        <f>INPUT!BQ79</f>
        <v>987</v>
      </c>
      <c r="U277" s="687" t="str">
        <f>INPUT!BR79</f>
        <v>NM</v>
      </c>
      <c r="V277" s="151">
        <f>INPUT!BS79</f>
        <v>-5983</v>
      </c>
      <c r="W277" s="687" t="str">
        <f>INPUT!BT79</f>
        <v>NM</v>
      </c>
      <c r="X277" s="151">
        <f>INPUT!BU79</f>
        <v>-9091</v>
      </c>
      <c r="Y277" s="687" t="str">
        <f>INPUT!BV79</f>
        <v>NM</v>
      </c>
      <c r="Z277" s="151">
        <f>INPUT!BW79</f>
        <v>-1426</v>
      </c>
      <c r="AA277" s="687" t="str">
        <f>INPUT!BX79</f>
        <v>NM</v>
      </c>
      <c r="AB277" s="151">
        <f>INPUT!BY79</f>
        <v>6965</v>
      </c>
      <c r="AC277" s="687" t="str">
        <f>INPUT!BZ79</f>
        <v>NM</v>
      </c>
      <c r="AD277" s="151">
        <f>INPUT!CA79</f>
        <v>8076</v>
      </c>
      <c r="AE277" s="687" t="str">
        <f>INPUT!CB79</f>
        <v>NM</v>
      </c>
      <c r="AF277" s="151">
        <f>INPUT!CC79</f>
        <v>3113</v>
      </c>
      <c r="AG277" s="687" t="str">
        <f>INPUT!CD79</f>
        <v>NM</v>
      </c>
      <c r="AH277" s="151">
        <f>INPUT!CE79</f>
        <v>2549</v>
      </c>
      <c r="AI277" s="687" t="str">
        <f>INPUT!CF79</f>
        <v>NM</v>
      </c>
      <c r="AJ277" s="151">
        <f>INPUT!CG79</f>
        <v>-3539</v>
      </c>
      <c r="AK277" s="687" t="str">
        <f>INPUT!CH79</f>
        <v>NM</v>
      </c>
      <c r="AL277" s="151">
        <f>INPUT!CI79</f>
        <v>6889</v>
      </c>
      <c r="AM277" s="687">
        <f>INPUT!CJ79</f>
        <v>-14.697870232788512</v>
      </c>
      <c r="AN277" s="151">
        <f>INPUT!CK79</f>
        <v>4603</v>
      </c>
      <c r="AO277" s="687">
        <f>INPUT!CL79</f>
        <v>47.86379698040475</v>
      </c>
      <c r="AP277" s="151">
        <f>INPUT!CM79</f>
        <v>2924</v>
      </c>
      <c r="AQ277" s="687">
        <f>INPUT!CN79</f>
        <v>14.71165162808945</v>
      </c>
      <c r="AR277" s="151">
        <f>INPUT!CO79</f>
        <v>1041</v>
      </c>
      <c r="AS277" s="687" t="str">
        <f>INPUT!CP79</f>
        <v>NM</v>
      </c>
      <c r="AT277" s="151">
        <f>INPUT!CQ79</f>
        <v>-7626</v>
      </c>
      <c r="AU277" s="687" t="str">
        <f>INPUT!CR79</f>
        <v>NM</v>
      </c>
      <c r="AV277" s="151">
        <f>INPUT!CS79</f>
        <v>4287</v>
      </c>
      <c r="AW277" s="687">
        <f>INPUT!CT79</f>
        <v>-6.865087986096019</v>
      </c>
      <c r="AX277" s="151">
        <f>INPUT!CU79</f>
        <v>6116</v>
      </c>
      <c r="AY277" s="687" t="str">
        <f>INPUT!CV79</f>
        <v>NM</v>
      </c>
      <c r="AZ277" s="151">
        <f>INPUT!CW79</f>
        <v>-1303</v>
      </c>
      <c r="BA277" s="687" t="str">
        <f>INPUT!CX79</f>
        <v>NM</v>
      </c>
      <c r="BB277" s="151">
        <f>INPUT!CY79</f>
        <v>3794</v>
      </c>
      <c r="BC277" s="687" t="str">
        <f>INPUT!CZ79</f>
        <v>NM</v>
      </c>
      <c r="BD277" s="151">
        <f>INPUT!DA79</f>
        <v>2301</v>
      </c>
      <c r="BE277" s="687">
        <f>INPUT!DB79</f>
        <v>-46.326102169349191</v>
      </c>
      <c r="BF277" s="151">
        <f>INPUT!DC79</f>
        <v>4882</v>
      </c>
      <c r="BG277" s="687">
        <f>INPUT!DD79</f>
        <v>-20.176586003924136</v>
      </c>
      <c r="BH277" s="151">
        <f>INPUT!DE79</f>
        <v>1663</v>
      </c>
      <c r="BI277" s="687" t="str">
        <f>INPUT!DF79</f>
        <v>NM</v>
      </c>
      <c r="BJ277" s="151">
        <f>INPUT!DG79</f>
        <v>5589</v>
      </c>
      <c r="BK277" s="687">
        <f>INPUT!DH79</f>
        <v>47.311544544016868</v>
      </c>
      <c r="BL277" s="151">
        <f>INPUT!DI79</f>
        <v>6372</v>
      </c>
      <c r="BM277" s="687" t="str">
        <f>INPUT!DJ79</f>
        <v>NM</v>
      </c>
      <c r="BN277" s="151">
        <f>INPUT!DK79</f>
        <v>1678</v>
      </c>
      <c r="BO277" s="687" t="str">
        <f>INPUT!DL79</f>
        <v>NM</v>
      </c>
      <c r="BP277" s="151">
        <f>INPUT!DM79</f>
        <v>4390</v>
      </c>
      <c r="BQ277" s="687" t="str">
        <f>INPUT!DN79</f>
        <v>NM</v>
      </c>
      <c r="BR277" s="151">
        <f>INPUT!DO79</f>
        <v>-934</v>
      </c>
      <c r="BS277" s="687" t="str">
        <f>INPUT!DP79</f>
        <v>NM</v>
      </c>
      <c r="BT277" s="151">
        <f>INPUT!DQ79</f>
        <v>1750</v>
      </c>
      <c r="BU277" s="687" t="str">
        <f>INPUT!DR79</f>
        <v>NM</v>
      </c>
      <c r="BV277" s="151">
        <f>INPUT!DS79</f>
        <v>2196</v>
      </c>
      <c r="BW277" s="687">
        <f>INPUT!DT79</f>
        <v>30.870083432657935</v>
      </c>
      <c r="BX277" s="151">
        <f>INPUT!DU79</f>
        <v>267</v>
      </c>
      <c r="BY277" s="687" t="str">
        <f>INPUT!DV79</f>
        <v>NM</v>
      </c>
      <c r="BZ277" s="151">
        <f>INPUT!DW79</f>
        <v>-5944</v>
      </c>
      <c r="CA277" s="687">
        <f>INPUT!DX79</f>
        <v>-5944</v>
      </c>
      <c r="CB277" s="151">
        <f>INPUT!DY79</f>
        <v>2975</v>
      </c>
      <c r="CC277" s="687">
        <f>INPUT!DZ79</f>
        <v>70</v>
      </c>
      <c r="CD277" s="151">
        <f>INPUT!EA79</f>
        <v>123</v>
      </c>
      <c r="CE277" s="687" t="str">
        <f>INPUT!EB79</f>
        <v>NM</v>
      </c>
      <c r="CF277" s="151">
        <f>INPUT!EC79</f>
        <v>1108</v>
      </c>
      <c r="CG277" s="687" t="str">
        <f>INPUT!ED79</f>
        <v>NM</v>
      </c>
      <c r="CH277" s="151">
        <f>INPUT!EE79</f>
        <v>2648</v>
      </c>
      <c r="CI277" s="687" t="str">
        <f>INPUT!EF79</f>
        <v>NM</v>
      </c>
      <c r="CJ277" s="151">
        <f>INPUT!EG79</f>
        <v>-618</v>
      </c>
      <c r="CK277" s="687" t="str">
        <f>INPUT!EH79</f>
        <v>NM</v>
      </c>
      <c r="CL277" s="151">
        <f>INPUT!EI79</f>
        <v>4013</v>
      </c>
      <c r="CM277" s="687" t="str">
        <f>INPUT!EJ79</f>
        <v>NM</v>
      </c>
      <c r="CN277" s="151">
        <f>INPUT!EK79</f>
        <v>2089</v>
      </c>
      <c r="CO277" s="687">
        <f>INPUT!EL79</f>
        <v>88.537906137184109</v>
      </c>
      <c r="CP277" s="151">
        <f>INPUT!EM79</f>
        <v>2693</v>
      </c>
      <c r="CQ277" s="687">
        <f>INPUT!EN79</f>
        <v>1.6993957703927531</v>
      </c>
      <c r="CR277" s="151">
        <f>INPUT!EO79</f>
        <v>3500</v>
      </c>
      <c r="CS277" s="687" t="str">
        <f>INPUT!EP79</f>
        <v>NM</v>
      </c>
      <c r="CT277" s="151">
        <f>INPUT!EQ79</f>
        <v>-1125.9807733055204</v>
      </c>
      <c r="CU277" s="687" t="str">
        <f>INPUT!ER79</f>
        <v>NM</v>
      </c>
      <c r="CV277" s="151">
        <f>INPUT!ES79</f>
        <v>1368.4498499278561</v>
      </c>
      <c r="CW277" s="687">
        <f>INPUT!ET79</f>
        <v>-34.492587365827852</v>
      </c>
      <c r="CX277" s="151">
        <f>INPUT!EU79</f>
        <v>1628.1602502761234</v>
      </c>
      <c r="CY277" s="687">
        <f>INPUT!EV79</f>
        <v>-39.541023012397943</v>
      </c>
      <c r="CZ277" s="151">
        <f>INPUT!EW79</f>
        <v>1895.2557188477076</v>
      </c>
      <c r="DA277" s="687">
        <f>INPUT!EX79</f>
        <v>-45.849836604351211</v>
      </c>
      <c r="DB277" s="16"/>
      <c r="DC277" s="151"/>
      <c r="DD277" s="687"/>
      <c r="DE277" s="151"/>
      <c r="DF277" s="687"/>
      <c r="DG277" s="151">
        <f>INPUT!FT79</f>
        <v>9750</v>
      </c>
      <c r="DH277" s="687" t="str">
        <f>INPUT!FU79</f>
        <v>NA</v>
      </c>
      <c r="DI277" s="151">
        <f>INPUT!FV79</f>
        <v>-17884</v>
      </c>
      <c r="DJ277" s="687" t="str">
        <f>INPUT!FW79</f>
        <v>NM</v>
      </c>
      <c r="DK277" s="151">
        <f>INPUT!FX79</f>
        <v>16728</v>
      </c>
      <c r="DL277" s="687" t="str">
        <f>INPUT!FY79</f>
        <v>NM</v>
      </c>
      <c r="DM277" s="151">
        <f>INPUT!FZ79</f>
        <v>10502</v>
      </c>
      <c r="DN277" s="687">
        <f>INPUT!GA79</f>
        <v>-37.219033955045433</v>
      </c>
      <c r="DO277" s="151">
        <f>INPUT!GB79</f>
        <v>626</v>
      </c>
      <c r="DP277" s="687" t="str">
        <f>INPUT!GC79</f>
        <v>NM</v>
      </c>
      <c r="DQ277" s="151">
        <f>INPUT!GD79</f>
        <v>10908</v>
      </c>
      <c r="DR277" s="687" t="str">
        <f>INPUT!GE79</f>
        <v>NM</v>
      </c>
      <c r="DS277" s="151">
        <f>INPUT!GF79</f>
        <v>18506</v>
      </c>
      <c r="DT277" s="687">
        <f>INPUT!GG79</f>
        <v>69.655298863219656</v>
      </c>
      <c r="DU277" s="151">
        <f>INPUT!GH79</f>
        <v>6884</v>
      </c>
      <c r="DV277" s="687" t="str">
        <f>INPUT!GI79</f>
        <v>NM</v>
      </c>
      <c r="DW277" s="151">
        <f>INPUT!GJ79</f>
        <v>-506</v>
      </c>
      <c r="DX277" s="687" t="str">
        <f>INPUT!GK79</f>
        <v>NM</v>
      </c>
      <c r="DY277" s="151">
        <f>INPUT!GL79</f>
        <v>3261</v>
      </c>
      <c r="DZ277" s="687" t="str">
        <f>INPUT!GM79</f>
        <v>NM</v>
      </c>
      <c r="EA277" s="151">
        <f>INPUT!GN79</f>
        <v>12295</v>
      </c>
      <c r="EB277" s="687" t="str">
        <f>INPUT!GO79</f>
        <v>NM</v>
      </c>
      <c r="EC277" s="151">
        <f>INPUT!GP79</f>
        <v>3765.8850457461667</v>
      </c>
      <c r="ED277" s="687" t="str">
        <f>INPUT!GQ79</f>
        <v>NM</v>
      </c>
      <c r="EE277" s="151">
        <f>INPUT!GR79</f>
        <v>8214.8117201517161</v>
      </c>
      <c r="EF277" s="687" t="str">
        <f>INPUT!GS79</f>
        <v>NM</v>
      </c>
      <c r="EG277" s="151">
        <f>INPUT!GT79</f>
        <v>9171.4156563520664</v>
      </c>
      <c r="EH277" s="687">
        <f>INPUT!GU79</f>
        <v>11.644867451480479</v>
      </c>
      <c r="EI277" s="151">
        <f>INPUT!GV79</f>
        <v>10263.386965128389</v>
      </c>
      <c r="EJ277" s="687">
        <f>INPUT!GW79</f>
        <v>11.906245989625708</v>
      </c>
      <c r="EK277" s="151">
        <f>INPUT!GX79</f>
        <v>11514.733592801203</v>
      </c>
      <c r="EL277" s="687">
        <f>INPUT!GY79</f>
        <v>12.192336038039663</v>
      </c>
      <c r="EM277" s="687">
        <f>INPUT!GZ79</f>
        <v>-1.3027454125896565</v>
      </c>
    </row>
    <row r="278" spans="1:152" ht="12.75" hidden="1" customHeight="1" outlineLevel="1" x14ac:dyDescent="0.2">
      <c r="A278" s="701"/>
      <c r="B278" s="16"/>
      <c r="C278" s="687"/>
      <c r="D278" s="16"/>
      <c r="E278" s="687"/>
      <c r="F278" s="16"/>
      <c r="G278" s="687"/>
      <c r="H278" s="16"/>
      <c r="I278" s="687"/>
      <c r="J278" s="16"/>
      <c r="K278" s="687"/>
      <c r="L278" s="16"/>
      <c r="M278" s="687"/>
      <c r="N278" s="16"/>
      <c r="O278" s="687"/>
      <c r="P278" s="16"/>
      <c r="Q278" s="687"/>
      <c r="R278" s="16"/>
      <c r="S278" s="687"/>
      <c r="T278" s="16"/>
      <c r="U278" s="687"/>
      <c r="V278" s="16"/>
      <c r="W278" s="687"/>
      <c r="X278" s="16"/>
      <c r="Y278" s="687"/>
      <c r="Z278" s="16"/>
      <c r="AA278" s="687"/>
      <c r="AB278" s="16"/>
      <c r="AC278" s="687"/>
      <c r="AD278" s="16"/>
      <c r="AE278" s="687"/>
      <c r="AF278" s="16"/>
      <c r="AG278" s="687"/>
      <c r="AH278" s="16"/>
      <c r="AI278" s="687"/>
      <c r="AJ278" s="16"/>
      <c r="AK278" s="687"/>
      <c r="AL278" s="16"/>
      <c r="AM278" s="687"/>
      <c r="AN278" s="16"/>
      <c r="AO278" s="687"/>
      <c r="AP278" s="16"/>
      <c r="AQ278" s="687"/>
      <c r="AR278" s="16"/>
      <c r="AS278" s="687"/>
      <c r="AT278" s="16"/>
      <c r="AU278" s="687"/>
      <c r="AV278" s="16"/>
      <c r="AW278" s="687"/>
      <c r="AX278" s="16"/>
      <c r="AY278" s="687"/>
      <c r="AZ278" s="16"/>
      <c r="BA278" s="687"/>
      <c r="BB278" s="16"/>
      <c r="BC278" s="687"/>
      <c r="BD278" s="16"/>
      <c r="BE278" s="687"/>
      <c r="BF278" s="16"/>
      <c r="BG278" s="687"/>
      <c r="BH278" s="16"/>
      <c r="BI278" s="687"/>
      <c r="BJ278" s="16"/>
      <c r="BK278" s="687"/>
      <c r="BL278" s="16"/>
      <c r="BM278" s="687"/>
      <c r="BN278" s="16"/>
      <c r="BO278" s="687"/>
      <c r="BP278" s="16"/>
      <c r="BQ278" s="687"/>
      <c r="BR278" s="16"/>
      <c r="BS278" s="687"/>
      <c r="BT278" s="16"/>
      <c r="BU278" s="687"/>
      <c r="BV278" s="16"/>
      <c r="BW278" s="687"/>
      <c r="BX278" s="16"/>
      <c r="BY278" s="687"/>
      <c r="BZ278" s="16"/>
      <c r="CA278" s="687"/>
      <c r="CB278" s="16"/>
      <c r="CC278" s="687"/>
      <c r="CD278" s="16"/>
      <c r="CE278" s="687"/>
      <c r="CF278" s="16"/>
      <c r="CG278" s="687"/>
      <c r="CH278" s="16"/>
      <c r="CI278" s="687"/>
      <c r="CJ278" s="16"/>
      <c r="CK278" s="687"/>
      <c r="CL278" s="16"/>
      <c r="CM278" s="687"/>
      <c r="CN278" s="16"/>
      <c r="CO278" s="687"/>
      <c r="CP278" s="16"/>
      <c r="CQ278" s="687"/>
      <c r="CR278" s="16"/>
      <c r="CS278" s="687"/>
      <c r="CT278" s="16"/>
      <c r="CU278" s="687"/>
      <c r="CV278" s="16"/>
      <c r="CW278" s="687"/>
      <c r="CX278" s="16"/>
      <c r="CY278" s="687"/>
      <c r="CZ278" s="16"/>
      <c r="DA278" s="687"/>
      <c r="DB278" s="16"/>
      <c r="DC278" s="16"/>
      <c r="DD278" s="687"/>
      <c r="DE278" s="16"/>
      <c r="DF278" s="687"/>
      <c r="DG278" s="16"/>
      <c r="DH278" s="687"/>
      <c r="DI278" s="16"/>
      <c r="DJ278" s="687"/>
      <c r="DK278" s="16"/>
      <c r="DL278" s="687"/>
      <c r="DM278" s="16"/>
      <c r="DN278" s="687"/>
      <c r="DO278" s="16"/>
      <c r="DP278" s="687"/>
      <c r="DQ278" s="16"/>
      <c r="DR278" s="687"/>
      <c r="DS278" s="16"/>
      <c r="DT278" s="687"/>
      <c r="DU278" s="16"/>
      <c r="DV278" s="687"/>
      <c r="DW278" s="16"/>
      <c r="DX278" s="687"/>
      <c r="DY278" s="16"/>
      <c r="DZ278" s="687"/>
      <c r="EA278" s="16"/>
      <c r="EB278" s="687"/>
      <c r="EC278" s="16"/>
      <c r="ED278" s="687"/>
      <c r="EE278" s="16"/>
      <c r="EF278" s="687"/>
      <c r="EG278" s="16"/>
      <c r="EH278" s="687"/>
      <c r="EI278" s="16"/>
      <c r="EJ278" s="687"/>
      <c r="EK278" s="16"/>
      <c r="EL278" s="687"/>
      <c r="EM278" s="687"/>
    </row>
    <row r="279" spans="1:152" ht="12.75" hidden="1" customHeight="1" outlineLevel="1" x14ac:dyDescent="0.2">
      <c r="A279" s="689" t="str">
        <f>+A60</f>
        <v>Quarterly income statement ratios are annualized where appropriate     NM = Not Meaningful       NA = Not Applicable  E=Morgan Stanley Estimates</v>
      </c>
      <c r="B279" s="720"/>
      <c r="C279" s="684"/>
      <c r="D279" s="720"/>
      <c r="E279" s="684"/>
      <c r="F279" s="720"/>
      <c r="G279" s="684"/>
      <c r="H279" s="720"/>
      <c r="I279" s="684"/>
      <c r="J279" s="720"/>
      <c r="K279" s="684"/>
      <c r="L279" s="720"/>
      <c r="M279" s="684"/>
      <c r="N279" s="720"/>
      <c r="O279" s="684"/>
      <c r="P279" s="720"/>
      <c r="Q279" s="684"/>
      <c r="R279" s="720"/>
      <c r="S279" s="684"/>
      <c r="T279" s="720"/>
      <c r="U279" s="684"/>
      <c r="V279" s="720"/>
      <c r="W279" s="684"/>
      <c r="X279" s="720"/>
      <c r="Y279" s="684"/>
      <c r="Z279" s="720"/>
      <c r="AA279" s="684"/>
      <c r="AB279" s="720"/>
      <c r="AC279" s="684"/>
      <c r="AD279" s="720"/>
      <c r="AE279" s="684"/>
      <c r="AF279" s="720"/>
      <c r="AG279" s="684"/>
      <c r="AH279" s="720"/>
      <c r="AI279" s="684"/>
      <c r="AJ279" s="720"/>
      <c r="AK279" s="684"/>
      <c r="AL279" s="720"/>
      <c r="AM279" s="684"/>
      <c r="AN279" s="720"/>
      <c r="AO279" s="684"/>
      <c r="AP279" s="720"/>
      <c r="AQ279" s="684"/>
      <c r="AR279" s="720"/>
      <c r="AS279" s="684"/>
      <c r="AT279" s="720"/>
      <c r="AU279" s="684"/>
      <c r="AV279" s="720"/>
      <c r="AW279" s="684"/>
      <c r="AX279" s="720"/>
      <c r="AY279" s="684"/>
      <c r="AZ279" s="720"/>
      <c r="BA279" s="684"/>
      <c r="BB279" s="720"/>
      <c r="BC279" s="684"/>
      <c r="BD279" s="720"/>
      <c r="BE279" s="684"/>
      <c r="BF279" s="720"/>
      <c r="BG279" s="684"/>
      <c r="BH279" s="720"/>
      <c r="BI279" s="684"/>
      <c r="BJ279" s="720"/>
      <c r="BK279" s="684"/>
      <c r="BL279" s="720"/>
      <c r="BM279" s="684"/>
      <c r="BN279" s="720"/>
      <c r="BO279" s="684"/>
      <c r="BP279" s="720"/>
      <c r="BQ279" s="684"/>
      <c r="BR279" s="720"/>
      <c r="BS279" s="684"/>
      <c r="BT279" s="720"/>
      <c r="BU279" s="684"/>
      <c r="BV279" s="720"/>
      <c r="BW279" s="684"/>
      <c r="BX279" s="720"/>
      <c r="BY279" s="684"/>
      <c r="BZ279" s="720"/>
      <c r="CA279" s="684"/>
      <c r="CB279" s="720"/>
      <c r="CC279" s="684"/>
      <c r="CD279" s="720"/>
      <c r="CE279" s="684"/>
      <c r="CF279" s="720"/>
      <c r="CG279" s="684"/>
      <c r="CH279" s="720"/>
      <c r="CI279" s="684"/>
      <c r="CJ279" s="720"/>
      <c r="CK279" s="684"/>
      <c r="CL279" s="720"/>
      <c r="CM279" s="684"/>
      <c r="CN279" s="720"/>
      <c r="CO279" s="684"/>
      <c r="CP279" s="720"/>
      <c r="CQ279" s="684"/>
      <c r="CR279" s="720"/>
      <c r="CS279" s="684"/>
      <c r="CT279" s="720"/>
      <c r="CU279" s="684"/>
      <c r="CV279" s="720"/>
      <c r="CW279" s="684"/>
      <c r="CX279" s="720"/>
      <c r="CY279" s="684"/>
      <c r="CZ279" s="720"/>
      <c r="DA279" s="684"/>
      <c r="DB279" s="720"/>
      <c r="DC279" s="720"/>
      <c r="DD279" s="684"/>
      <c r="DE279" s="720"/>
      <c r="DF279" s="684"/>
      <c r="DG279" s="720"/>
      <c r="DH279" s="684"/>
      <c r="DI279" s="720"/>
      <c r="DJ279" s="684"/>
      <c r="DK279" s="720"/>
      <c r="DL279" s="684"/>
      <c r="DM279" s="720"/>
      <c r="DN279" s="684"/>
      <c r="DO279" s="720"/>
      <c r="DP279" s="684"/>
      <c r="DQ279" s="720"/>
      <c r="DR279" s="684"/>
      <c r="DS279" s="720"/>
      <c r="DT279" s="684"/>
      <c r="DU279" s="720"/>
      <c r="DV279" s="684"/>
      <c r="DW279" s="720"/>
      <c r="DX279" s="684"/>
      <c r="DY279" s="720"/>
      <c r="DZ279" s="684"/>
      <c r="EA279" s="720"/>
      <c r="EB279" s="684"/>
      <c r="EC279" s="720"/>
      <c r="ED279" s="684"/>
      <c r="EE279" s="720"/>
      <c r="EF279" s="684"/>
      <c r="EG279" s="720"/>
      <c r="EH279" s="684"/>
      <c r="EI279" s="720"/>
      <c r="EJ279" s="684"/>
      <c r="EK279" s="720"/>
      <c r="EL279" s="684"/>
      <c r="EM279" s="684"/>
    </row>
    <row r="280" spans="1:152" ht="12.75" hidden="1" customHeight="1" outlineLevel="1" x14ac:dyDescent="0.2">
      <c r="A280" s="689" t="s">
        <v>43</v>
      </c>
      <c r="B280" s="720"/>
      <c r="C280" s="684"/>
      <c r="D280" s="720"/>
      <c r="E280" s="684"/>
      <c r="F280" s="720"/>
      <c r="G280" s="684"/>
      <c r="H280" s="720"/>
      <c r="I280" s="684"/>
      <c r="J280" s="720"/>
      <c r="K280" s="684"/>
      <c r="L280" s="720"/>
      <c r="M280" s="684"/>
      <c r="N280" s="720"/>
      <c r="O280" s="684"/>
      <c r="P280" s="720"/>
      <c r="Q280" s="684"/>
      <c r="R280" s="720"/>
      <c r="S280" s="684"/>
      <c r="T280" s="720"/>
      <c r="U280" s="684"/>
      <c r="V280" s="720"/>
      <c r="W280" s="684"/>
      <c r="X280" s="720"/>
      <c r="Y280" s="684"/>
      <c r="Z280" s="720"/>
      <c r="AA280" s="684"/>
      <c r="AB280" s="720"/>
      <c r="AC280" s="684"/>
      <c r="AD280" s="720"/>
      <c r="AE280" s="684"/>
      <c r="AF280" s="720"/>
      <c r="AG280" s="684"/>
      <c r="AH280" s="720"/>
      <c r="AI280" s="684"/>
      <c r="AJ280" s="720"/>
      <c r="AK280" s="684"/>
      <c r="AL280" s="720"/>
      <c r="AM280" s="684"/>
      <c r="AN280" s="720"/>
      <c r="AO280" s="684"/>
      <c r="AP280" s="720"/>
      <c r="AQ280" s="684"/>
      <c r="AR280" s="720"/>
      <c r="AS280" s="684"/>
      <c r="AT280" s="720"/>
      <c r="AU280" s="684"/>
      <c r="AV280" s="720"/>
      <c r="AW280" s="684"/>
      <c r="AX280" s="720"/>
      <c r="AY280" s="684"/>
      <c r="AZ280" s="720"/>
      <c r="BA280" s="684"/>
      <c r="BB280" s="720"/>
      <c r="BC280" s="684"/>
      <c r="BD280" s="720"/>
      <c r="BE280" s="684"/>
      <c r="BF280" s="720"/>
      <c r="BG280" s="684"/>
      <c r="BH280" s="720"/>
      <c r="BI280" s="684"/>
      <c r="BJ280" s="720"/>
      <c r="BK280" s="684"/>
      <c r="BL280" s="720"/>
      <c r="BM280" s="684"/>
      <c r="BN280" s="720"/>
      <c r="BO280" s="684"/>
      <c r="BP280" s="720"/>
      <c r="BQ280" s="684"/>
      <c r="BR280" s="720"/>
      <c r="BS280" s="684"/>
      <c r="BT280" s="720"/>
      <c r="BU280" s="684"/>
      <c r="BV280" s="720"/>
      <c r="BW280" s="684"/>
      <c r="BX280" s="720"/>
      <c r="BY280" s="684"/>
      <c r="BZ280" s="720"/>
      <c r="CA280" s="684"/>
      <c r="CB280" s="720"/>
      <c r="CC280" s="684"/>
      <c r="CD280" s="720"/>
      <c r="CE280" s="684"/>
      <c r="CF280" s="720"/>
      <c r="CG280" s="684"/>
      <c r="CH280" s="720"/>
      <c r="CI280" s="684"/>
      <c r="CJ280" s="720"/>
      <c r="CK280" s="684"/>
      <c r="CL280" s="720"/>
      <c r="CM280" s="684"/>
      <c r="CN280" s="720"/>
      <c r="CO280" s="684"/>
      <c r="CP280" s="720"/>
      <c r="CQ280" s="684"/>
      <c r="CR280" s="720"/>
      <c r="CS280" s="684"/>
      <c r="CT280" s="720"/>
      <c r="CU280" s="684"/>
      <c r="CV280" s="720"/>
      <c r="CW280" s="684"/>
      <c r="CX280" s="720"/>
      <c r="CY280" s="684"/>
      <c r="CZ280" s="720"/>
      <c r="DA280" s="684"/>
      <c r="DB280" s="720"/>
      <c r="DC280" s="720"/>
      <c r="DD280" s="684"/>
      <c r="DE280" s="720"/>
      <c r="DF280" s="684"/>
      <c r="DG280" s="720"/>
      <c r="DH280" s="684"/>
      <c r="DI280" s="720"/>
      <c r="DJ280" s="684"/>
      <c r="DK280" s="720"/>
      <c r="DL280" s="684"/>
      <c r="DM280" s="720"/>
      <c r="DN280" s="684"/>
      <c r="DO280" s="720"/>
      <c r="DP280" s="684"/>
      <c r="DQ280" s="720"/>
      <c r="DR280" s="684"/>
      <c r="DS280" s="720"/>
      <c r="DT280" s="684"/>
      <c r="DU280" s="720"/>
      <c r="DV280" s="684"/>
      <c r="DW280" s="720"/>
      <c r="DX280" s="684"/>
      <c r="DY280" s="720"/>
      <c r="DZ280" s="684"/>
      <c r="EA280" s="720"/>
      <c r="EB280" s="684"/>
      <c r="EC280" s="720"/>
      <c r="ED280" s="684"/>
      <c r="EE280" s="720"/>
      <c r="EF280" s="684"/>
      <c r="EG280" s="720"/>
      <c r="EH280" s="684"/>
      <c r="EI280" s="720"/>
      <c r="EJ280" s="684"/>
      <c r="EK280" s="720"/>
      <c r="EL280" s="684"/>
      <c r="EM280" s="684"/>
    </row>
    <row r="281" spans="1:152" ht="12.75" hidden="1" customHeight="1" outlineLevel="1" x14ac:dyDescent="0.2">
      <c r="A281" s="689"/>
      <c r="B281" s="720"/>
      <c r="C281" s="684"/>
      <c r="D281" s="720"/>
      <c r="E281" s="684"/>
      <c r="F281" s="720"/>
      <c r="G281" s="684"/>
      <c r="H281" s="720"/>
      <c r="I281" s="684"/>
      <c r="J281" s="720"/>
      <c r="K281" s="684"/>
      <c r="L281" s="720"/>
      <c r="M281" s="684"/>
      <c r="N281" s="720"/>
      <c r="O281" s="684"/>
      <c r="P281" s="720"/>
      <c r="Q281" s="684"/>
      <c r="R281" s="720"/>
      <c r="S281" s="684"/>
      <c r="T281" s="720"/>
      <c r="U281" s="684"/>
      <c r="V281" s="720"/>
      <c r="W281" s="684"/>
      <c r="X281" s="720"/>
      <c r="Y281" s="684"/>
      <c r="Z281" s="720"/>
      <c r="AA281" s="684"/>
      <c r="AB281" s="720"/>
      <c r="AC281" s="684"/>
      <c r="AD281" s="720"/>
      <c r="AE281" s="684"/>
      <c r="AF281" s="720"/>
      <c r="AG281" s="684"/>
      <c r="AH281" s="720"/>
      <c r="AI281" s="684"/>
      <c r="AJ281" s="720"/>
      <c r="AK281" s="684"/>
      <c r="AL281" s="720"/>
      <c r="AM281" s="684"/>
      <c r="AN281" s="720"/>
      <c r="AO281" s="684"/>
      <c r="AP281" s="720"/>
      <c r="AQ281" s="684"/>
      <c r="AR281" s="720"/>
      <c r="AS281" s="684"/>
      <c r="AT281" s="720"/>
      <c r="AU281" s="684"/>
      <c r="AV281" s="720"/>
      <c r="AW281" s="684"/>
      <c r="AX281" s="720"/>
      <c r="AY281" s="684"/>
      <c r="AZ281" s="720"/>
      <c r="BA281" s="684"/>
      <c r="BB281" s="720"/>
      <c r="BC281" s="684"/>
      <c r="BD281" s="720"/>
      <c r="BE281" s="684"/>
      <c r="BF281" s="720"/>
      <c r="BG281" s="684"/>
      <c r="BH281" s="720"/>
      <c r="BI281" s="684"/>
      <c r="BJ281" s="720"/>
      <c r="BK281" s="684"/>
      <c r="BL281" s="720"/>
      <c r="BM281" s="684"/>
      <c r="BN281" s="720"/>
      <c r="BO281" s="684"/>
      <c r="BP281" s="720"/>
      <c r="BQ281" s="684"/>
      <c r="BR281" s="720"/>
      <c r="BS281" s="684"/>
      <c r="BT281" s="720"/>
      <c r="BU281" s="684"/>
      <c r="BV281" s="720"/>
      <c r="BW281" s="684"/>
      <c r="BX281" s="720"/>
      <c r="BY281" s="684"/>
      <c r="BZ281" s="720"/>
      <c r="CA281" s="684"/>
      <c r="CB281" s="720"/>
      <c r="CC281" s="684"/>
      <c r="CD281" s="720"/>
      <c r="CE281" s="684"/>
      <c r="CF281" s="720"/>
      <c r="CG281" s="684"/>
      <c r="CH281" s="720"/>
      <c r="CI281" s="684"/>
      <c r="CJ281" s="720"/>
      <c r="CK281" s="684"/>
      <c r="CL281" s="720"/>
      <c r="CM281" s="684"/>
      <c r="CN281" s="720"/>
      <c r="CO281" s="684"/>
      <c r="CP281" s="720"/>
      <c r="CQ281" s="684"/>
      <c r="CR281" s="720"/>
      <c r="CS281" s="684"/>
      <c r="CT281" s="720"/>
      <c r="CU281" s="684"/>
      <c r="CV281" s="720"/>
      <c r="CW281" s="684"/>
      <c r="CX281" s="720"/>
      <c r="CY281" s="684"/>
      <c r="CZ281" s="720"/>
      <c r="DA281" s="684"/>
      <c r="DB281" s="720"/>
      <c r="DC281" s="720"/>
      <c r="DD281" s="684"/>
      <c r="DE281" s="720"/>
      <c r="DF281" s="684"/>
      <c r="DG281" s="720"/>
      <c r="DH281" s="684"/>
      <c r="DI281" s="720"/>
      <c r="DJ281" s="684"/>
      <c r="DK281" s="720"/>
      <c r="DL281" s="684"/>
      <c r="DM281" s="720"/>
      <c r="DN281" s="684"/>
      <c r="DO281" s="720"/>
      <c r="DP281" s="684"/>
      <c r="DQ281" s="720"/>
      <c r="DR281" s="684"/>
      <c r="DS281" s="720"/>
      <c r="DT281" s="684"/>
      <c r="DU281" s="720"/>
      <c r="DV281" s="684"/>
      <c r="DW281" s="720"/>
      <c r="DX281" s="684"/>
      <c r="DY281" s="720"/>
      <c r="DZ281" s="684"/>
      <c r="EA281" s="720"/>
      <c r="EB281" s="684"/>
      <c r="EC281" s="720"/>
      <c r="ED281" s="684"/>
      <c r="EE281" s="720"/>
      <c r="EF281" s="684"/>
      <c r="EG281" s="720"/>
      <c r="EH281" s="684"/>
      <c r="EI281" s="720"/>
      <c r="EJ281" s="684"/>
      <c r="EK281" s="720"/>
      <c r="EL281" s="684"/>
      <c r="EM281" s="684"/>
    </row>
    <row r="282" spans="1:152" ht="21.95" hidden="1" customHeight="1" outlineLevel="1" x14ac:dyDescent="0.3">
      <c r="A282" s="769" t="str">
        <f>$A$1</f>
        <v>Lincoln National</v>
      </c>
      <c r="B282" s="683"/>
      <c r="C282" s="684"/>
      <c r="D282" s="683"/>
      <c r="E282" s="684"/>
      <c r="F282" s="683"/>
      <c r="G282" s="684"/>
      <c r="H282" s="683"/>
      <c r="I282" s="684"/>
      <c r="J282" s="683"/>
      <c r="K282" s="684"/>
      <c r="L282" s="683"/>
      <c r="M282" s="684"/>
      <c r="N282" s="683"/>
      <c r="O282" s="684"/>
      <c r="P282" s="683"/>
      <c r="Q282" s="684"/>
      <c r="R282" s="683"/>
      <c r="S282" s="684"/>
      <c r="T282" s="683"/>
      <c r="U282" s="684"/>
      <c r="V282" s="683"/>
      <c r="W282" s="684"/>
      <c r="X282" s="683"/>
      <c r="Y282" s="684"/>
      <c r="Z282" s="683"/>
      <c r="AA282" s="684"/>
      <c r="AB282" s="683"/>
      <c r="AC282" s="684"/>
      <c r="AD282" s="683"/>
      <c r="AE282" s="684"/>
      <c r="AF282" s="683"/>
      <c r="AG282" s="684"/>
      <c r="AH282" s="683"/>
      <c r="AI282" s="684"/>
      <c r="AJ282" s="683"/>
      <c r="AK282" s="684"/>
      <c r="AL282" s="683"/>
      <c r="AM282" s="684"/>
      <c r="AN282" s="683"/>
      <c r="AO282" s="684"/>
      <c r="AP282" s="683"/>
      <c r="AQ282" s="684"/>
      <c r="AR282" s="683"/>
      <c r="AS282" s="684"/>
      <c r="AT282" s="683"/>
      <c r="AU282" s="684"/>
      <c r="AV282" s="683"/>
      <c r="AW282" s="684"/>
      <c r="AX282" s="683"/>
      <c r="AY282" s="684"/>
      <c r="AZ282" s="683"/>
      <c r="BA282" s="684"/>
      <c r="BB282" s="683"/>
      <c r="BC282" s="684"/>
      <c r="BD282" s="683"/>
      <c r="BE282" s="684"/>
      <c r="BF282" s="683"/>
      <c r="BG282" s="684"/>
      <c r="BH282" s="683"/>
      <c r="BI282" s="684"/>
      <c r="BJ282" s="683"/>
      <c r="BK282" s="684"/>
      <c r="BL282" s="683"/>
      <c r="BM282" s="684"/>
      <c r="BN282" s="683"/>
      <c r="BO282" s="684"/>
      <c r="BP282" s="683"/>
      <c r="BQ282" s="684"/>
      <c r="BR282" s="683"/>
      <c r="BS282" s="684"/>
      <c r="BT282" s="683"/>
      <c r="BU282" s="684"/>
      <c r="BV282" s="683"/>
      <c r="BW282" s="684"/>
      <c r="BX282" s="683"/>
      <c r="BY282" s="684"/>
      <c r="BZ282" s="683"/>
      <c r="CA282" s="684"/>
      <c r="CB282" s="683"/>
      <c r="CC282" s="684"/>
      <c r="CD282" s="683"/>
      <c r="CE282" s="684"/>
      <c r="CF282" s="683"/>
      <c r="CG282" s="684"/>
      <c r="CH282" s="683"/>
      <c r="CI282" s="684"/>
      <c r="CJ282" s="683"/>
      <c r="CK282" s="684"/>
      <c r="CL282" s="683"/>
      <c r="CM282" s="684"/>
      <c r="CN282" s="683"/>
      <c r="CO282" s="684"/>
      <c r="CP282" s="683"/>
      <c r="CQ282" s="684"/>
      <c r="CR282" s="683"/>
      <c r="CS282" s="684"/>
      <c r="CT282" s="683"/>
      <c r="CU282" s="684"/>
      <c r="CV282" s="683"/>
      <c r="CW282" s="684"/>
      <c r="CX282" s="683"/>
      <c r="CY282" s="684"/>
      <c r="CZ282" s="683"/>
      <c r="DA282" s="684"/>
      <c r="DB282" s="684"/>
      <c r="DC282" s="683"/>
      <c r="DD282" s="684"/>
      <c r="DE282" s="683"/>
      <c r="DF282" s="684"/>
      <c r="DG282" s="683"/>
      <c r="DH282" s="684"/>
      <c r="DI282" s="683"/>
      <c r="DJ282" s="684"/>
      <c r="DK282" s="683"/>
      <c r="DL282" s="684"/>
      <c r="DM282" s="683"/>
      <c r="DN282" s="684"/>
      <c r="DO282" s="683"/>
      <c r="DP282" s="684"/>
      <c r="DQ282" s="683"/>
      <c r="DR282" s="684"/>
      <c r="DS282" s="683"/>
      <c r="DT282" s="684"/>
      <c r="DU282" s="683"/>
      <c r="DV282" s="684"/>
      <c r="DW282" s="683"/>
      <c r="DX282" s="684"/>
      <c r="DY282" s="683"/>
      <c r="DZ282" s="684"/>
      <c r="EA282" s="683"/>
      <c r="EB282" s="684"/>
      <c r="EC282" s="683"/>
      <c r="ED282" s="684"/>
      <c r="EE282" s="683"/>
      <c r="EF282" s="684"/>
      <c r="EG282" s="683"/>
      <c r="EH282" s="684"/>
      <c r="EI282" s="683"/>
      <c r="EJ282" s="684"/>
      <c r="EK282" s="683"/>
      <c r="EL282" s="684"/>
      <c r="EM282" s="684"/>
    </row>
    <row r="283" spans="1:152" ht="12.75" hidden="1" customHeight="1" outlineLevel="1" x14ac:dyDescent="0.2">
      <c r="A283" s="685" t="s">
        <v>665</v>
      </c>
      <c r="B283" s="4"/>
      <c r="C283" s="686"/>
      <c r="D283" s="4"/>
      <c r="E283" s="686"/>
      <c r="F283" s="4"/>
      <c r="G283" s="686"/>
      <c r="H283" s="4"/>
      <c r="I283" s="686"/>
      <c r="J283" s="4"/>
      <c r="K283" s="686"/>
      <c r="L283" s="4"/>
      <c r="M283" s="686"/>
      <c r="N283" s="4"/>
      <c r="O283" s="686"/>
      <c r="P283" s="4"/>
      <c r="Q283" s="686"/>
      <c r="R283" s="4"/>
      <c r="S283" s="686"/>
      <c r="T283" s="4"/>
      <c r="U283" s="686"/>
      <c r="V283" s="4"/>
      <c r="W283" s="686"/>
      <c r="X283" s="4"/>
      <c r="Y283" s="686"/>
      <c r="Z283" s="4"/>
      <c r="AA283" s="686"/>
      <c r="AB283" s="4"/>
      <c r="AC283" s="686"/>
      <c r="AD283" s="4"/>
      <c r="AE283" s="686"/>
      <c r="AF283" s="4"/>
      <c r="AG283" s="686"/>
      <c r="AH283" s="4"/>
      <c r="AI283" s="686"/>
      <c r="AJ283" s="4"/>
      <c r="AK283" s="686"/>
      <c r="AL283" s="4"/>
      <c r="AM283" s="686"/>
      <c r="AN283" s="4"/>
      <c r="AO283" s="686"/>
      <c r="AP283" s="4"/>
      <c r="AQ283" s="686"/>
      <c r="AR283" s="4"/>
      <c r="AS283" s="686"/>
      <c r="AT283" s="4"/>
      <c r="AU283" s="686"/>
      <c r="AV283" s="4"/>
      <c r="AW283" s="686"/>
      <c r="AX283" s="4"/>
      <c r="AY283" s="686"/>
      <c r="AZ283" s="4"/>
      <c r="BA283" s="686"/>
      <c r="BB283" s="4"/>
      <c r="BC283" s="686"/>
      <c r="BD283" s="4"/>
      <c r="BE283" s="686"/>
      <c r="BF283" s="4"/>
      <c r="BG283" s="686"/>
      <c r="BH283" s="4"/>
      <c r="BI283" s="686"/>
      <c r="BJ283" s="4"/>
      <c r="BK283" s="686"/>
      <c r="BL283" s="4"/>
      <c r="BM283" s="686"/>
      <c r="BN283" s="4"/>
      <c r="BO283" s="686"/>
      <c r="BP283" s="4"/>
      <c r="BQ283" s="686"/>
      <c r="BR283" s="4"/>
      <c r="BS283" s="686"/>
      <c r="BT283" s="4"/>
      <c r="BU283" s="686"/>
      <c r="BV283" s="4"/>
      <c r="BW283" s="686"/>
      <c r="BX283" s="4"/>
      <c r="BY283" s="686"/>
      <c r="BZ283" s="4"/>
      <c r="CA283" s="686"/>
      <c r="CB283" s="4"/>
      <c r="CC283" s="686"/>
      <c r="CD283" s="4"/>
      <c r="CE283" s="686"/>
      <c r="CF283" s="4"/>
      <c r="CG283" s="686"/>
      <c r="CH283" s="4"/>
      <c r="CI283" s="686"/>
      <c r="CJ283" s="4"/>
      <c r="CK283" s="686"/>
      <c r="CL283" s="4"/>
      <c r="CM283" s="686"/>
      <c r="CN283" s="4"/>
      <c r="CO283" s="686"/>
      <c r="CP283" s="4"/>
      <c r="CQ283" s="686"/>
      <c r="CR283" s="4"/>
      <c r="CS283" s="686"/>
      <c r="CT283" s="4"/>
      <c r="CU283" s="686"/>
      <c r="CV283" s="4"/>
      <c r="CW283" s="686"/>
      <c r="CX283" s="4"/>
      <c r="CY283" s="686"/>
      <c r="CZ283" s="4"/>
      <c r="DA283" s="686"/>
      <c r="DB283" s="686"/>
      <c r="DC283" s="4"/>
      <c r="DD283" s="686"/>
      <c r="DE283" s="4"/>
      <c r="DF283" s="686"/>
      <c r="DG283" s="4"/>
      <c r="DH283" s="686"/>
      <c r="DI283" s="4"/>
      <c r="DJ283" s="686"/>
      <c r="DK283" s="4"/>
      <c r="DL283" s="686"/>
      <c r="DM283" s="4"/>
      <c r="DN283" s="686"/>
      <c r="DO283" s="4"/>
      <c r="DP283" s="686"/>
      <c r="DQ283" s="4"/>
      <c r="DR283" s="686"/>
      <c r="DS283" s="4"/>
      <c r="DT283" s="686"/>
      <c r="DU283" s="4"/>
      <c r="DV283" s="686"/>
      <c r="DW283" s="4"/>
      <c r="DX283" s="686"/>
      <c r="DY283" s="4"/>
      <c r="DZ283" s="686"/>
      <c r="EA283" s="4"/>
      <c r="EB283" s="686"/>
      <c r="EC283" s="4"/>
      <c r="ED283" s="686"/>
      <c r="EE283" s="4"/>
      <c r="EF283" s="686"/>
      <c r="EG283" s="4"/>
      <c r="EH283" s="686"/>
      <c r="EI283" s="4"/>
      <c r="EJ283" s="686"/>
      <c r="EK283" s="4"/>
      <c r="EL283" s="686"/>
      <c r="EM283" s="686"/>
    </row>
    <row r="284" spans="1:152" ht="12.75" hidden="1" customHeight="1" outlineLevel="1" x14ac:dyDescent="0.2">
      <c r="A284" s="637" t="str">
        <f>A$3</f>
        <v>($Millions Except Per Share Data)</v>
      </c>
      <c r="B284" s="640"/>
      <c r="C284" s="641" t="str">
        <f>C$3</f>
        <v>1Q06/</v>
      </c>
      <c r="D284" s="640"/>
      <c r="E284" s="641" t="str">
        <f>E$3</f>
        <v>2Q06/</v>
      </c>
      <c r="F284" s="640"/>
      <c r="G284" s="641" t="str">
        <f>G$3</f>
        <v>3Q06/</v>
      </c>
      <c r="H284" s="640"/>
      <c r="I284" s="641" t="str">
        <f>I$3</f>
        <v>4Q06/</v>
      </c>
      <c r="J284" s="640"/>
      <c r="K284" s="641" t="str">
        <f>K$3</f>
        <v>1Q07/</v>
      </c>
      <c r="L284" s="640"/>
      <c r="M284" s="641" t="str">
        <f>M$3</f>
        <v>2Q07/</v>
      </c>
      <c r="N284" s="640"/>
      <c r="O284" s="641" t="str">
        <f>O$3</f>
        <v>3Q07/</v>
      </c>
      <c r="P284" s="640"/>
      <c r="Q284" s="641" t="str">
        <f>Q$3</f>
        <v>4Q07/</v>
      </c>
      <c r="R284" s="640"/>
      <c r="S284" s="641" t="str">
        <f>S$3</f>
        <v>1Q08/</v>
      </c>
      <c r="T284" s="640"/>
      <c r="U284" s="641" t="str">
        <f>U$3</f>
        <v>2Q08/</v>
      </c>
      <c r="V284" s="640"/>
      <c r="W284" s="641" t="str">
        <f>W$3</f>
        <v>3Q08/</v>
      </c>
      <c r="X284" s="640"/>
      <c r="Y284" s="641" t="str">
        <f>Y$3</f>
        <v>4Q08/</v>
      </c>
      <c r="Z284" s="640"/>
      <c r="AA284" s="641" t="str">
        <f>AA$3</f>
        <v>1Q09/</v>
      </c>
      <c r="AB284" s="640"/>
      <c r="AC284" s="641" t="str">
        <f>AC$3</f>
        <v>2Q09/</v>
      </c>
      <c r="AD284" s="640"/>
      <c r="AE284" s="641" t="str">
        <f>AE$3</f>
        <v>3Q09/</v>
      </c>
      <c r="AF284" s="640"/>
      <c r="AG284" s="641" t="str">
        <f>AG$3</f>
        <v>4Q09/</v>
      </c>
      <c r="AH284" s="640"/>
      <c r="AI284" s="641" t="str">
        <f>AI$3</f>
        <v>1Q10/</v>
      </c>
      <c r="AJ284" s="640"/>
      <c r="AK284" s="641" t="str">
        <f>AK$3</f>
        <v>2Q10/</v>
      </c>
      <c r="AL284" s="640"/>
      <c r="AM284" s="641" t="str">
        <f>AM$3</f>
        <v>3Q10/</v>
      </c>
      <c r="AN284" s="640"/>
      <c r="AO284" s="641" t="str">
        <f>AO$3</f>
        <v>4Q10/</v>
      </c>
      <c r="AP284" s="640"/>
      <c r="AQ284" s="641" t="str">
        <f>AQ$3</f>
        <v>1Q11/</v>
      </c>
      <c r="AR284" s="640"/>
      <c r="AS284" s="641" t="str">
        <f>AS$3</f>
        <v>2Q11/</v>
      </c>
      <c r="AT284" s="640"/>
      <c r="AU284" s="641" t="str">
        <f>AU$3</f>
        <v>3Q11/</v>
      </c>
      <c r="AV284" s="640"/>
      <c r="AW284" s="641" t="str">
        <f>AW$3</f>
        <v>4Q11/</v>
      </c>
      <c r="AX284" s="640"/>
      <c r="AY284" s="641" t="str">
        <f>AY$3</f>
        <v>1Q12/</v>
      </c>
      <c r="AZ284" s="640"/>
      <c r="BA284" s="641" t="str">
        <f>BA$3</f>
        <v>2Q12/</v>
      </c>
      <c r="BB284" s="640"/>
      <c r="BC284" s="641" t="str">
        <f>BC$3</f>
        <v>3Q12/</v>
      </c>
      <c r="BD284" s="640"/>
      <c r="BE284" s="641" t="str">
        <f>BE$3</f>
        <v>4Q12/</v>
      </c>
      <c r="BF284" s="640"/>
      <c r="BG284" s="641" t="str">
        <f>BG$3</f>
        <v>1Q13/</v>
      </c>
      <c r="BH284" s="640"/>
      <c r="BI284" s="641" t="str">
        <f>BI$3</f>
        <v>2Q13/</v>
      </c>
      <c r="BJ284" s="640"/>
      <c r="BK284" s="641" t="str">
        <f>BK$3</f>
        <v>3Q13/</v>
      </c>
      <c r="BL284" s="640"/>
      <c r="BM284" s="641" t="str">
        <f>BM$3</f>
        <v>4Q13/</v>
      </c>
      <c r="BN284" s="640"/>
      <c r="BO284" s="641" t="str">
        <f>BO$3</f>
        <v>1Q14/</v>
      </c>
      <c r="BP284" s="640"/>
      <c r="BQ284" s="641" t="str">
        <f>BQ$3</f>
        <v>2Q14/</v>
      </c>
      <c r="BR284" s="640"/>
      <c r="BS284" s="641" t="str">
        <f>BS$3</f>
        <v>3Q14/</v>
      </c>
      <c r="BT284" s="640"/>
      <c r="BU284" s="641" t="str">
        <f>BU$3</f>
        <v>4Q14/</v>
      </c>
      <c r="BV284" s="640"/>
      <c r="BW284" s="641" t="str">
        <f>BW$3</f>
        <v>1Q15/</v>
      </c>
      <c r="BX284" s="640"/>
      <c r="BY284" s="641" t="str">
        <f>BY$3</f>
        <v>2Q15/</v>
      </c>
      <c r="BZ284" s="640"/>
      <c r="CA284" s="641" t="str">
        <f>CA$3</f>
        <v>3Q15/</v>
      </c>
      <c r="CB284" s="640"/>
      <c r="CC284" s="641" t="str">
        <f>CC$3</f>
        <v>4Q15/</v>
      </c>
      <c r="CD284" s="640"/>
      <c r="CE284" s="641" t="str">
        <f>CE$3</f>
        <v>1Q16/</v>
      </c>
      <c r="CF284" s="640"/>
      <c r="CG284" s="641" t="str">
        <f>CG$3</f>
        <v>2Q16/</v>
      </c>
      <c r="CH284" s="640"/>
      <c r="CI284" s="641" t="str">
        <f>CI$3</f>
        <v>3Q16/</v>
      </c>
      <c r="CJ284" s="640"/>
      <c r="CK284" s="641" t="str">
        <f>CK$3</f>
        <v>4Q16/</v>
      </c>
      <c r="CL284" s="640"/>
      <c r="CM284" s="641" t="str">
        <f>CM$3</f>
        <v>1Q17/</v>
      </c>
      <c r="CN284" s="640"/>
      <c r="CO284" s="641" t="str">
        <f t="shared" ref="CO284" si="129">CO$3</f>
        <v>2Q17/</v>
      </c>
      <c r="CP284" s="640"/>
      <c r="CQ284" s="641" t="str">
        <f t="shared" ref="CQ284" si="130">CQ$3</f>
        <v>3Q17/</v>
      </c>
      <c r="CR284" s="640"/>
      <c r="CS284" s="641" t="str">
        <f t="shared" ref="CS284" si="131">CS$3</f>
        <v>4Q17/</v>
      </c>
      <c r="CT284" s="640"/>
      <c r="CU284" s="641" t="str">
        <f>CU$3</f>
        <v>1Q18E/</v>
      </c>
      <c r="CV284" s="640"/>
      <c r="CW284" s="641" t="str">
        <f t="shared" ref="CW284" si="132">CW$3</f>
        <v>2Q18E/</v>
      </c>
      <c r="CX284" s="640"/>
      <c r="CY284" s="641" t="str">
        <f t="shared" ref="CY284" si="133">CY$3</f>
        <v>3Q18E/</v>
      </c>
      <c r="CZ284" s="640"/>
      <c r="DA284" s="641" t="str">
        <f t="shared" ref="DA284" si="134">DA$3</f>
        <v>4Q18E/</v>
      </c>
      <c r="DB284" s="640"/>
      <c r="DC284" s="640"/>
      <c r="DD284" s="641" t="str">
        <f>DD$3</f>
        <v>2005/</v>
      </c>
      <c r="DE284" s="640"/>
      <c r="DF284" s="641" t="str">
        <f>DF$3</f>
        <v>2006/</v>
      </c>
      <c r="DG284" s="640"/>
      <c r="DH284" s="641" t="str">
        <f>DH$3</f>
        <v>2007/</v>
      </c>
      <c r="DI284" s="640"/>
      <c r="DJ284" s="641" t="str">
        <f>DJ$3</f>
        <v>2008/</v>
      </c>
      <c r="DK284" s="640"/>
      <c r="DL284" s="641" t="str">
        <f>DL$3</f>
        <v>2009/</v>
      </c>
      <c r="DM284" s="640"/>
      <c r="DN284" s="641" t="str">
        <f>DN$3</f>
        <v>2010/</v>
      </c>
      <c r="DO284" s="640"/>
      <c r="DP284" s="641" t="str">
        <f>DP$3</f>
        <v>2011/</v>
      </c>
      <c r="DQ284" s="640"/>
      <c r="DR284" s="641" t="str">
        <f>DR$3</f>
        <v>2012/</v>
      </c>
      <c r="DS284" s="640"/>
      <c r="DT284" s="641" t="str">
        <f>DT$3</f>
        <v>2013/</v>
      </c>
      <c r="DU284" s="640"/>
      <c r="DV284" s="641" t="str">
        <f>DV$3</f>
        <v>2014/</v>
      </c>
      <c r="DW284" s="640"/>
      <c r="DX284" s="641" t="str">
        <f>DX$3</f>
        <v>2015/</v>
      </c>
      <c r="DY284" s="640"/>
      <c r="DZ284" s="641" t="str">
        <f>DZ$3</f>
        <v>2016/</v>
      </c>
      <c r="EA284" s="640"/>
      <c r="EB284" s="641" t="str">
        <f>EB$3</f>
        <v>2017/</v>
      </c>
      <c r="EC284" s="640"/>
      <c r="ED284" s="641" t="str">
        <f>ED$3</f>
        <v>2018E/</v>
      </c>
      <c r="EE284" s="640"/>
      <c r="EF284" s="641" t="str">
        <f>EF$3</f>
        <v>2019E/</v>
      </c>
      <c r="EG284" s="640"/>
      <c r="EH284" s="641" t="str">
        <f>EH$3</f>
        <v>2020E/</v>
      </c>
      <c r="EI284" s="640"/>
      <c r="EJ284" s="641" t="str">
        <f>EJ$3</f>
        <v>2021E/</v>
      </c>
      <c r="EK284" s="640"/>
      <c r="EL284" s="641" t="str">
        <f>EL$3</f>
        <v>2022E/</v>
      </c>
      <c r="EM284" s="641" t="str">
        <f>EM$3</f>
        <v>5-Yr</v>
      </c>
      <c r="EN284" s="638"/>
      <c r="EO284" s="638"/>
      <c r="EP284" s="638"/>
      <c r="EQ284" s="638"/>
      <c r="ER284" s="638"/>
      <c r="ES284" s="638"/>
      <c r="ET284" s="638"/>
      <c r="EU284" s="638"/>
      <c r="EV284" s="638"/>
    </row>
    <row r="285" spans="1:152" ht="12.75" hidden="1" customHeight="1" outlineLevel="1" x14ac:dyDescent="0.2">
      <c r="A285" s="693"/>
      <c r="B285" s="692"/>
      <c r="C285" s="686" t="str">
        <f>C$4</f>
        <v>1Q05</v>
      </c>
      <c r="D285" s="692"/>
      <c r="E285" s="686" t="str">
        <f>E$4</f>
        <v>2Q05</v>
      </c>
      <c r="F285" s="692"/>
      <c r="G285" s="686" t="str">
        <f>G$4</f>
        <v>3Q05</v>
      </c>
      <c r="H285" s="692"/>
      <c r="I285" s="686" t="str">
        <f>I$4</f>
        <v>4Q05</v>
      </c>
      <c r="J285" s="692"/>
      <c r="K285" s="686" t="str">
        <f>K$4</f>
        <v>1Q06</v>
      </c>
      <c r="L285" s="692"/>
      <c r="M285" s="686" t="str">
        <f>M$4</f>
        <v>2Q06</v>
      </c>
      <c r="N285" s="692"/>
      <c r="O285" s="686" t="str">
        <f>O$4</f>
        <v>3Q06</v>
      </c>
      <c r="P285" s="692"/>
      <c r="Q285" s="686" t="str">
        <f>Q$4</f>
        <v>4Q06</v>
      </c>
      <c r="R285" s="692"/>
      <c r="S285" s="686" t="str">
        <f>S$4</f>
        <v>1Q07</v>
      </c>
      <c r="T285" s="692"/>
      <c r="U285" s="686" t="str">
        <f>U$4</f>
        <v>2Q07</v>
      </c>
      <c r="V285" s="692"/>
      <c r="W285" s="686" t="str">
        <f>W$4</f>
        <v>3Q07</v>
      </c>
      <c r="X285" s="692"/>
      <c r="Y285" s="686" t="str">
        <f>Y$4</f>
        <v>4Q07</v>
      </c>
      <c r="Z285" s="692"/>
      <c r="AA285" s="686" t="str">
        <f>AA$4</f>
        <v>1Q08</v>
      </c>
      <c r="AB285" s="692"/>
      <c r="AC285" s="686" t="str">
        <f>AC$4</f>
        <v>2Q08</v>
      </c>
      <c r="AD285" s="692"/>
      <c r="AE285" s="686" t="str">
        <f>AE$4</f>
        <v>3Q08</v>
      </c>
      <c r="AF285" s="692"/>
      <c r="AG285" s="686" t="str">
        <f>AG$4</f>
        <v>4Q08</v>
      </c>
      <c r="AH285" s="692"/>
      <c r="AI285" s="686" t="str">
        <f>AI$4</f>
        <v>1Q09</v>
      </c>
      <c r="AJ285" s="692"/>
      <c r="AK285" s="686" t="str">
        <f>AK$4</f>
        <v>2Q09</v>
      </c>
      <c r="AL285" s="692"/>
      <c r="AM285" s="686" t="str">
        <f>AM$4</f>
        <v>3Q09</v>
      </c>
      <c r="AN285" s="692"/>
      <c r="AO285" s="686" t="str">
        <f>AO$4</f>
        <v>4Q09</v>
      </c>
      <c r="AP285" s="692"/>
      <c r="AQ285" s="686" t="str">
        <f>AQ$4</f>
        <v>1Q10</v>
      </c>
      <c r="AR285" s="692"/>
      <c r="AS285" s="686" t="str">
        <f>AS$4</f>
        <v>2Q10</v>
      </c>
      <c r="AT285" s="692"/>
      <c r="AU285" s="686" t="str">
        <f>AU$4</f>
        <v>3Q10</v>
      </c>
      <c r="AV285" s="692"/>
      <c r="AW285" s="686" t="str">
        <f>AW$4</f>
        <v>4Q10</v>
      </c>
      <c r="AX285" s="692"/>
      <c r="AY285" s="686" t="str">
        <f>AY$4</f>
        <v>1Q11</v>
      </c>
      <c r="AZ285" s="692"/>
      <c r="BA285" s="686" t="str">
        <f>BA$4</f>
        <v>2Q11</v>
      </c>
      <c r="BB285" s="692"/>
      <c r="BC285" s="686" t="str">
        <f>BC$4</f>
        <v>3Q11</v>
      </c>
      <c r="BD285" s="692"/>
      <c r="BE285" s="686" t="str">
        <f>BE$4</f>
        <v>4Q11</v>
      </c>
      <c r="BF285" s="692"/>
      <c r="BG285" s="686" t="str">
        <f>BG$4</f>
        <v>1Q12</v>
      </c>
      <c r="BH285" s="692"/>
      <c r="BI285" s="686" t="str">
        <f>BI$4</f>
        <v>2Q12</v>
      </c>
      <c r="BJ285" s="692"/>
      <c r="BK285" s="686" t="str">
        <f>BK$4</f>
        <v>3Q12</v>
      </c>
      <c r="BL285" s="692"/>
      <c r="BM285" s="686" t="str">
        <f>BM$4</f>
        <v>4Q12</v>
      </c>
      <c r="BN285" s="692"/>
      <c r="BO285" s="686" t="str">
        <f>BO$4</f>
        <v>1Q13</v>
      </c>
      <c r="BP285" s="692"/>
      <c r="BQ285" s="686" t="str">
        <f>BQ$4</f>
        <v>2Q13</v>
      </c>
      <c r="BR285" s="692"/>
      <c r="BS285" s="686" t="str">
        <f>BS$4</f>
        <v>3Q13</v>
      </c>
      <c r="BT285" s="692"/>
      <c r="BU285" s="686" t="str">
        <f>BU$4</f>
        <v>4Q13</v>
      </c>
      <c r="BV285" s="692"/>
      <c r="BW285" s="686" t="str">
        <f>BW$4</f>
        <v>1Q14</v>
      </c>
      <c r="BX285" s="692"/>
      <c r="BY285" s="686" t="str">
        <f>BY$4</f>
        <v>2Q14</v>
      </c>
      <c r="BZ285" s="692"/>
      <c r="CA285" s="686" t="str">
        <f>CA$4</f>
        <v>3Q14</v>
      </c>
      <c r="CB285" s="692"/>
      <c r="CC285" s="686" t="str">
        <f>CC$4</f>
        <v>4Q14</v>
      </c>
      <c r="CD285" s="692"/>
      <c r="CE285" s="686" t="str">
        <f>CE$4</f>
        <v>1Q15</v>
      </c>
      <c r="CF285" s="692"/>
      <c r="CG285" s="686" t="str">
        <f>CG$4</f>
        <v>2Q15</v>
      </c>
      <c r="CH285" s="692"/>
      <c r="CI285" s="686" t="str">
        <f>CI$4</f>
        <v>3Q15</v>
      </c>
      <c r="CJ285" s="692"/>
      <c r="CK285" s="686" t="str">
        <f>CK$4</f>
        <v>4Q15</v>
      </c>
      <c r="CL285" s="692"/>
      <c r="CM285" s="686" t="str">
        <f>CM$4</f>
        <v>1Q16</v>
      </c>
      <c r="CN285" s="692"/>
      <c r="CO285" s="686" t="str">
        <f t="shared" ref="CO285" si="135">CO$4</f>
        <v>2Q16</v>
      </c>
      <c r="CP285" s="692"/>
      <c r="CQ285" s="686" t="str">
        <f t="shared" ref="CQ285" si="136">CQ$4</f>
        <v>3Q16</v>
      </c>
      <c r="CR285" s="692"/>
      <c r="CS285" s="686" t="str">
        <f t="shared" ref="CS285" si="137">CS$4</f>
        <v>4Q16</v>
      </c>
      <c r="CT285" s="692"/>
      <c r="CU285" s="686" t="str">
        <f>CU$4</f>
        <v>1Q17</v>
      </c>
      <c r="CV285" s="692"/>
      <c r="CW285" s="686" t="str">
        <f t="shared" ref="CW285" si="138">CW$4</f>
        <v>2Q17</v>
      </c>
      <c r="CX285" s="692"/>
      <c r="CY285" s="686" t="str">
        <f t="shared" ref="CY285" si="139">CY$4</f>
        <v>3Q17</v>
      </c>
      <c r="CZ285" s="692"/>
      <c r="DA285" s="686" t="str">
        <f t="shared" ref="DA285" si="140">DA$4</f>
        <v>4Q17</v>
      </c>
      <c r="DB285" s="692"/>
      <c r="DC285" s="692"/>
      <c r="DD285" s="686">
        <f>DD$4</f>
        <v>2004</v>
      </c>
      <c r="DE285" s="692"/>
      <c r="DF285" s="686">
        <f>DF$4</f>
        <v>2005</v>
      </c>
      <c r="DG285" s="692"/>
      <c r="DH285" s="686">
        <f>DH$4</f>
        <v>2006</v>
      </c>
      <c r="DI285" s="692"/>
      <c r="DJ285" s="686">
        <f>DJ$4</f>
        <v>2007</v>
      </c>
      <c r="DK285" s="692"/>
      <c r="DL285" s="686">
        <f>DL$4</f>
        <v>2008</v>
      </c>
      <c r="DM285" s="692"/>
      <c r="DN285" s="686" t="str">
        <f>DN$4</f>
        <v>2009</v>
      </c>
      <c r="DO285" s="692"/>
      <c r="DP285" s="686" t="str">
        <f>DP$4</f>
        <v>2010</v>
      </c>
      <c r="DQ285" s="692"/>
      <c r="DR285" s="686" t="str">
        <f>DR$4</f>
        <v>2011</v>
      </c>
      <c r="DS285" s="692"/>
      <c r="DT285" s="686" t="str">
        <f>DT$4</f>
        <v>2012</v>
      </c>
      <c r="DU285" s="692"/>
      <c r="DV285" s="686" t="str">
        <f>DV$4</f>
        <v>2013</v>
      </c>
      <c r="DW285" s="692"/>
      <c r="DX285" s="686" t="str">
        <f>DX$4</f>
        <v>2014</v>
      </c>
      <c r="DY285" s="692"/>
      <c r="DZ285" s="686" t="str">
        <f>DZ$4</f>
        <v>2015</v>
      </c>
      <c r="EA285" s="692"/>
      <c r="EB285" s="686" t="str">
        <f>EB$4</f>
        <v>2016</v>
      </c>
      <c r="EC285" s="692"/>
      <c r="ED285" s="686" t="str">
        <f>ED$4</f>
        <v>2017</v>
      </c>
      <c r="EE285" s="692"/>
      <c r="EF285" s="686" t="str">
        <f>EF$4</f>
        <v>2018E</v>
      </c>
      <c r="EG285" s="692"/>
      <c r="EH285" s="686" t="str">
        <f>EH$4</f>
        <v>2019E</v>
      </c>
      <c r="EI285" s="692"/>
      <c r="EJ285" s="686" t="str">
        <f>EJ$4</f>
        <v>2020E</v>
      </c>
      <c r="EK285" s="692"/>
      <c r="EL285" s="686" t="str">
        <f>EL$4</f>
        <v>2021E</v>
      </c>
      <c r="EM285" s="686" t="str">
        <f>EM$4</f>
        <v>CAGR</v>
      </c>
    </row>
    <row r="286" spans="1:152" ht="12.75" hidden="1" customHeight="1" outlineLevel="1" x14ac:dyDescent="0.2">
      <c r="A286" s="694"/>
      <c r="B286" s="695" t="str">
        <f t="shared" ref="B286:BN286" si="141">B$5</f>
        <v>1Q06</v>
      </c>
      <c r="C286" s="696" t="str">
        <f t="shared" si="141"/>
        <v>% Chg</v>
      </c>
      <c r="D286" s="695" t="str">
        <f t="shared" si="141"/>
        <v>2Q06</v>
      </c>
      <c r="E286" s="696" t="str">
        <f t="shared" si="141"/>
        <v>% Chg</v>
      </c>
      <c r="F286" s="695" t="str">
        <f t="shared" si="141"/>
        <v>3Q06</v>
      </c>
      <c r="G286" s="696" t="str">
        <f t="shared" si="141"/>
        <v>% Chg</v>
      </c>
      <c r="H286" s="695" t="str">
        <f t="shared" si="141"/>
        <v>4Q06</v>
      </c>
      <c r="I286" s="696" t="str">
        <f t="shared" si="141"/>
        <v>% Chg</v>
      </c>
      <c r="J286" s="695" t="str">
        <f t="shared" si="141"/>
        <v>1Q07</v>
      </c>
      <c r="K286" s="696" t="str">
        <f t="shared" si="141"/>
        <v>% Chg</v>
      </c>
      <c r="L286" s="695" t="str">
        <f t="shared" si="141"/>
        <v>2Q07</v>
      </c>
      <c r="M286" s="696" t="str">
        <f t="shared" si="141"/>
        <v>% Chg</v>
      </c>
      <c r="N286" s="695" t="str">
        <f t="shared" si="141"/>
        <v>3Q07</v>
      </c>
      <c r="O286" s="696" t="str">
        <f t="shared" si="141"/>
        <v>% Chg</v>
      </c>
      <c r="P286" s="695" t="str">
        <f t="shared" si="141"/>
        <v>4Q07</v>
      </c>
      <c r="Q286" s="696" t="str">
        <f t="shared" si="141"/>
        <v>% Chg</v>
      </c>
      <c r="R286" s="695" t="str">
        <f t="shared" si="141"/>
        <v>1Q08</v>
      </c>
      <c r="S286" s="696" t="str">
        <f t="shared" si="141"/>
        <v>% Chg</v>
      </c>
      <c r="T286" s="695" t="str">
        <f t="shared" si="141"/>
        <v>2Q08</v>
      </c>
      <c r="U286" s="696" t="str">
        <f t="shared" si="141"/>
        <v>% Chg</v>
      </c>
      <c r="V286" s="695" t="str">
        <f t="shared" si="141"/>
        <v>3Q08</v>
      </c>
      <c r="W286" s="696" t="str">
        <f t="shared" si="141"/>
        <v>% Chg</v>
      </c>
      <c r="X286" s="695" t="str">
        <f t="shared" si="141"/>
        <v>4Q08</v>
      </c>
      <c r="Y286" s="696" t="str">
        <f t="shared" si="141"/>
        <v>% Chg</v>
      </c>
      <c r="Z286" s="695" t="str">
        <f t="shared" si="141"/>
        <v>1Q09</v>
      </c>
      <c r="AA286" s="696" t="str">
        <f t="shared" si="141"/>
        <v>% Chg</v>
      </c>
      <c r="AB286" s="695" t="str">
        <f t="shared" si="141"/>
        <v>2Q09</v>
      </c>
      <c r="AC286" s="696" t="str">
        <f t="shared" si="141"/>
        <v>% Chg</v>
      </c>
      <c r="AD286" s="695" t="str">
        <f t="shared" si="141"/>
        <v>3Q09</v>
      </c>
      <c r="AE286" s="696" t="str">
        <f t="shared" si="141"/>
        <v>% Chg</v>
      </c>
      <c r="AF286" s="695" t="str">
        <f t="shared" si="141"/>
        <v>4Q09</v>
      </c>
      <c r="AG286" s="696" t="str">
        <f t="shared" si="141"/>
        <v>% Chg</v>
      </c>
      <c r="AH286" s="695" t="str">
        <f t="shared" si="141"/>
        <v>1Q10</v>
      </c>
      <c r="AI286" s="696" t="str">
        <f t="shared" si="141"/>
        <v>% Chg</v>
      </c>
      <c r="AJ286" s="695" t="str">
        <f t="shared" si="141"/>
        <v>2Q10</v>
      </c>
      <c r="AK286" s="696" t="str">
        <f t="shared" si="141"/>
        <v>% Chg</v>
      </c>
      <c r="AL286" s="695" t="str">
        <f t="shared" si="141"/>
        <v>3Q10</v>
      </c>
      <c r="AM286" s="696" t="str">
        <f t="shared" si="141"/>
        <v>% Chg</v>
      </c>
      <c r="AN286" s="695" t="str">
        <f t="shared" si="141"/>
        <v>4Q10</v>
      </c>
      <c r="AO286" s="696" t="str">
        <f t="shared" si="141"/>
        <v>% Chg</v>
      </c>
      <c r="AP286" s="695" t="str">
        <f t="shared" si="141"/>
        <v>1Q11</v>
      </c>
      <c r="AQ286" s="696" t="str">
        <f t="shared" si="141"/>
        <v>% Chg</v>
      </c>
      <c r="AR286" s="695" t="str">
        <f t="shared" si="141"/>
        <v>2Q11</v>
      </c>
      <c r="AS286" s="696" t="str">
        <f t="shared" si="141"/>
        <v>% Chg</v>
      </c>
      <c r="AT286" s="695" t="str">
        <f t="shared" si="141"/>
        <v>3Q11</v>
      </c>
      <c r="AU286" s="696" t="str">
        <f t="shared" si="141"/>
        <v>% Chg</v>
      </c>
      <c r="AV286" s="695" t="str">
        <f t="shared" si="141"/>
        <v>4Q11</v>
      </c>
      <c r="AW286" s="696" t="str">
        <f t="shared" si="141"/>
        <v>% Chg</v>
      </c>
      <c r="AX286" s="695" t="str">
        <f t="shared" si="141"/>
        <v>1Q12</v>
      </c>
      <c r="AY286" s="696" t="str">
        <f t="shared" si="141"/>
        <v>% Chg</v>
      </c>
      <c r="AZ286" s="695" t="str">
        <f t="shared" si="141"/>
        <v>2Q12</v>
      </c>
      <c r="BA286" s="696" t="str">
        <f t="shared" si="141"/>
        <v>% Chg</v>
      </c>
      <c r="BB286" s="695" t="str">
        <f t="shared" si="141"/>
        <v>3Q12</v>
      </c>
      <c r="BC286" s="696" t="str">
        <f t="shared" si="141"/>
        <v>% Chg</v>
      </c>
      <c r="BD286" s="695" t="str">
        <f t="shared" si="141"/>
        <v>4Q12</v>
      </c>
      <c r="BE286" s="696" t="str">
        <f t="shared" si="141"/>
        <v>% Chg</v>
      </c>
      <c r="BF286" s="695" t="str">
        <f t="shared" si="141"/>
        <v>1Q13</v>
      </c>
      <c r="BG286" s="696" t="str">
        <f t="shared" si="141"/>
        <v>% Chg</v>
      </c>
      <c r="BH286" s="695" t="str">
        <f t="shared" si="141"/>
        <v>2Q13</v>
      </c>
      <c r="BI286" s="696" t="str">
        <f t="shared" si="141"/>
        <v>% Chg</v>
      </c>
      <c r="BJ286" s="695" t="str">
        <f t="shared" si="141"/>
        <v>3Q13</v>
      </c>
      <c r="BK286" s="696" t="str">
        <f t="shared" si="141"/>
        <v>% Chg</v>
      </c>
      <c r="BL286" s="695" t="str">
        <f t="shared" si="141"/>
        <v>4Q13</v>
      </c>
      <c r="BM286" s="696" t="str">
        <f t="shared" si="141"/>
        <v>% Chg</v>
      </c>
      <c r="BN286" s="695" t="str">
        <f t="shared" si="141"/>
        <v>1Q14</v>
      </c>
      <c r="BO286" s="696" t="str">
        <f t="shared" ref="BO286:DA286" si="142">BO$5</f>
        <v>% Chg</v>
      </c>
      <c r="BP286" s="695" t="str">
        <f t="shared" si="142"/>
        <v>2Q14</v>
      </c>
      <c r="BQ286" s="696" t="str">
        <f t="shared" si="142"/>
        <v>% Chg</v>
      </c>
      <c r="BR286" s="695" t="str">
        <f t="shared" si="142"/>
        <v>3Q14</v>
      </c>
      <c r="BS286" s="696" t="str">
        <f t="shared" si="142"/>
        <v>% Chg</v>
      </c>
      <c r="BT286" s="695" t="str">
        <f t="shared" si="142"/>
        <v>4Q14</v>
      </c>
      <c r="BU286" s="696" t="str">
        <f t="shared" si="142"/>
        <v>% Chg</v>
      </c>
      <c r="BV286" s="695" t="str">
        <f t="shared" si="142"/>
        <v>1Q15</v>
      </c>
      <c r="BW286" s="696" t="str">
        <f t="shared" si="142"/>
        <v>% Chg</v>
      </c>
      <c r="BX286" s="695" t="str">
        <f t="shared" si="142"/>
        <v>2Q15</v>
      </c>
      <c r="BY286" s="696" t="str">
        <f t="shared" si="142"/>
        <v>% Chg</v>
      </c>
      <c r="BZ286" s="695" t="str">
        <f t="shared" si="142"/>
        <v>3Q15</v>
      </c>
      <c r="CA286" s="696" t="str">
        <f t="shared" si="142"/>
        <v>% Chg</v>
      </c>
      <c r="CB286" s="695" t="str">
        <f t="shared" si="142"/>
        <v>4Q15</v>
      </c>
      <c r="CC286" s="696" t="str">
        <f t="shared" si="142"/>
        <v>% Chg</v>
      </c>
      <c r="CD286" s="695" t="str">
        <f t="shared" si="142"/>
        <v>1Q16</v>
      </c>
      <c r="CE286" s="696" t="str">
        <f t="shared" si="142"/>
        <v>% Chg</v>
      </c>
      <c r="CF286" s="695" t="str">
        <f t="shared" si="142"/>
        <v>2Q16</v>
      </c>
      <c r="CG286" s="696" t="str">
        <f t="shared" si="142"/>
        <v>% Chg</v>
      </c>
      <c r="CH286" s="695" t="str">
        <f t="shared" si="142"/>
        <v>3Q16</v>
      </c>
      <c r="CI286" s="696" t="str">
        <f t="shared" si="142"/>
        <v>% Chg</v>
      </c>
      <c r="CJ286" s="695" t="str">
        <f t="shared" si="142"/>
        <v>4Q16</v>
      </c>
      <c r="CK286" s="696" t="str">
        <f t="shared" si="142"/>
        <v>% Chg</v>
      </c>
      <c r="CL286" s="695" t="str">
        <f t="shared" si="142"/>
        <v>1Q17</v>
      </c>
      <c r="CM286" s="696" t="str">
        <f t="shared" si="142"/>
        <v>% Chg</v>
      </c>
      <c r="CN286" s="695" t="str">
        <f t="shared" si="142"/>
        <v>2Q17</v>
      </c>
      <c r="CO286" s="696" t="str">
        <f t="shared" si="142"/>
        <v>% Chg</v>
      </c>
      <c r="CP286" s="695" t="str">
        <f t="shared" si="142"/>
        <v>3Q17</v>
      </c>
      <c r="CQ286" s="696" t="str">
        <f t="shared" si="142"/>
        <v>% Chg</v>
      </c>
      <c r="CR286" s="695" t="str">
        <f t="shared" si="142"/>
        <v>4Q17</v>
      </c>
      <c r="CS286" s="696" t="str">
        <f t="shared" si="142"/>
        <v>% Chg</v>
      </c>
      <c r="CT286" s="695" t="str">
        <f t="shared" si="142"/>
        <v>1Q18E</v>
      </c>
      <c r="CU286" s="696" t="str">
        <f t="shared" si="142"/>
        <v>% Chg</v>
      </c>
      <c r="CV286" s="695" t="str">
        <f t="shared" si="142"/>
        <v>2Q18E</v>
      </c>
      <c r="CW286" s="696" t="str">
        <f t="shared" si="142"/>
        <v>% Chg</v>
      </c>
      <c r="CX286" s="695" t="str">
        <f t="shared" si="142"/>
        <v>3Q18E</v>
      </c>
      <c r="CY286" s="696" t="str">
        <f t="shared" si="142"/>
        <v>% Chg</v>
      </c>
      <c r="CZ286" s="695" t="str">
        <f t="shared" si="142"/>
        <v>4Q18E</v>
      </c>
      <c r="DA286" s="696" t="str">
        <f t="shared" si="142"/>
        <v>% Chg</v>
      </c>
      <c r="DB286" s="695"/>
      <c r="DC286" s="697">
        <f t="shared" ref="DC286:EM286" si="143">DC$5</f>
        <v>2005</v>
      </c>
      <c r="DD286" s="696" t="str">
        <f t="shared" si="143"/>
        <v>% Chg</v>
      </c>
      <c r="DE286" s="698">
        <f>$DE$5</f>
        <v>2006</v>
      </c>
      <c r="DF286" s="696" t="str">
        <f>INPUT!FS$6</f>
        <v>% Chg</v>
      </c>
      <c r="DG286" s="699">
        <f>$DG$5</f>
        <v>2007</v>
      </c>
      <c r="DH286" s="696" t="str">
        <f t="shared" si="143"/>
        <v>% Chg</v>
      </c>
      <c r="DI286" s="699">
        <f t="shared" si="143"/>
        <v>2008</v>
      </c>
      <c r="DJ286" s="696" t="str">
        <f t="shared" si="143"/>
        <v>% Chg</v>
      </c>
      <c r="DK286" s="695" t="str">
        <f t="shared" si="143"/>
        <v>2009</v>
      </c>
      <c r="DL286" s="696" t="str">
        <f t="shared" si="143"/>
        <v>% Chg</v>
      </c>
      <c r="DM286" s="695" t="str">
        <f t="shared" si="143"/>
        <v>2010</v>
      </c>
      <c r="DN286" s="696" t="str">
        <f t="shared" si="143"/>
        <v>% Chg</v>
      </c>
      <c r="DO286" s="695" t="str">
        <f t="shared" si="143"/>
        <v>2011</v>
      </c>
      <c r="DP286" s="696" t="str">
        <f t="shared" si="143"/>
        <v>% Chg</v>
      </c>
      <c r="DQ286" s="695" t="str">
        <f t="shared" si="143"/>
        <v>2012</v>
      </c>
      <c r="DR286" s="696" t="str">
        <f t="shared" si="143"/>
        <v>% Chg</v>
      </c>
      <c r="DS286" s="695" t="str">
        <f t="shared" si="143"/>
        <v>2013</v>
      </c>
      <c r="DT286" s="696" t="str">
        <f t="shared" si="143"/>
        <v>% Chg</v>
      </c>
      <c r="DU286" s="695" t="str">
        <f t="shared" si="143"/>
        <v>2014</v>
      </c>
      <c r="DV286" s="696" t="str">
        <f t="shared" si="143"/>
        <v>% Chg</v>
      </c>
      <c r="DW286" s="695" t="str">
        <f t="shared" si="143"/>
        <v>2015</v>
      </c>
      <c r="DX286" s="696" t="str">
        <f t="shared" si="143"/>
        <v>% Chg</v>
      </c>
      <c r="DY286" s="695" t="str">
        <f t="shared" si="143"/>
        <v>2016</v>
      </c>
      <c r="DZ286" s="696" t="str">
        <f t="shared" si="143"/>
        <v>% Chg</v>
      </c>
      <c r="EA286" s="695" t="str">
        <f t="shared" si="143"/>
        <v>2017</v>
      </c>
      <c r="EB286" s="696" t="str">
        <f t="shared" si="143"/>
        <v>% Chg</v>
      </c>
      <c r="EC286" s="695" t="str">
        <f t="shared" si="143"/>
        <v>2018E</v>
      </c>
      <c r="ED286" s="696" t="str">
        <f t="shared" si="143"/>
        <v>% Chg</v>
      </c>
      <c r="EE286" s="695" t="str">
        <f t="shared" si="143"/>
        <v>2019E</v>
      </c>
      <c r="EF286" s="696" t="str">
        <f t="shared" si="143"/>
        <v>% Chg</v>
      </c>
      <c r="EG286" s="695" t="str">
        <f t="shared" si="143"/>
        <v>2020E</v>
      </c>
      <c r="EH286" s="696" t="str">
        <f t="shared" si="143"/>
        <v>% Chg</v>
      </c>
      <c r="EI286" s="695" t="str">
        <f t="shared" si="143"/>
        <v>2021E</v>
      </c>
      <c r="EJ286" s="696" t="str">
        <f t="shared" si="143"/>
        <v>% Chg</v>
      </c>
      <c r="EK286" s="695" t="str">
        <f t="shared" si="143"/>
        <v>2022E</v>
      </c>
      <c r="EL286" s="696" t="str">
        <f t="shared" si="143"/>
        <v>% Chg</v>
      </c>
      <c r="EM286" s="696" t="str">
        <f t="shared" si="143"/>
        <v>(%)</v>
      </c>
    </row>
    <row r="287" spans="1:152" ht="12.75" hidden="1" customHeight="1" outlineLevel="1" x14ac:dyDescent="0.2">
      <c r="A287" s="700"/>
      <c r="B287" s="16"/>
      <c r="C287" s="687"/>
      <c r="D287" s="16"/>
      <c r="E287" s="687"/>
      <c r="F287" s="16"/>
      <c r="G287" s="687"/>
      <c r="H287" s="16"/>
      <c r="I287" s="687"/>
      <c r="J287" s="16"/>
      <c r="K287" s="687"/>
      <c r="L287" s="16"/>
      <c r="M287" s="687"/>
      <c r="N287" s="16"/>
      <c r="O287" s="687"/>
      <c r="P287" s="16"/>
      <c r="Q287" s="687"/>
      <c r="R287" s="16"/>
      <c r="S287" s="687"/>
      <c r="T287" s="16"/>
      <c r="U287" s="687"/>
      <c r="V287" s="16"/>
      <c r="W287" s="687"/>
      <c r="X287" s="16"/>
      <c r="Y287" s="687"/>
      <c r="Z287" s="16"/>
      <c r="AA287" s="687"/>
      <c r="AB287" s="16"/>
      <c r="AC287" s="687"/>
      <c r="AD287" s="16"/>
      <c r="AE287" s="687"/>
      <c r="AF287" s="16"/>
      <c r="AG287" s="687"/>
      <c r="AH287" s="16"/>
      <c r="AI287" s="687"/>
      <c r="AJ287" s="16"/>
      <c r="AK287" s="687"/>
      <c r="AL287" s="16"/>
      <c r="AM287" s="687"/>
      <c r="AN287" s="16"/>
      <c r="AO287" s="687"/>
      <c r="AP287" s="16"/>
      <c r="AQ287" s="687"/>
      <c r="AR287" s="16"/>
      <c r="AS287" s="687"/>
      <c r="AT287" s="16"/>
      <c r="AU287" s="687"/>
      <c r="AV287" s="16"/>
      <c r="AW287" s="687"/>
      <c r="AX287" s="16"/>
      <c r="AY287" s="687"/>
      <c r="AZ287" s="16"/>
      <c r="BA287" s="687"/>
      <c r="BB287" s="16"/>
      <c r="BC287" s="687"/>
      <c r="BD287" s="16"/>
      <c r="BE287" s="687"/>
      <c r="BF287" s="16"/>
      <c r="BG287" s="687"/>
      <c r="BH287" s="16"/>
      <c r="BI287" s="687"/>
      <c r="BJ287" s="16"/>
      <c r="BK287" s="687"/>
      <c r="BL287" s="16"/>
      <c r="BM287" s="687"/>
      <c r="BN287" s="16"/>
      <c r="BO287" s="687"/>
      <c r="BP287" s="16"/>
      <c r="BQ287" s="687"/>
      <c r="BR287" s="16"/>
      <c r="BS287" s="687"/>
      <c r="BT287" s="16"/>
      <c r="BU287" s="687"/>
      <c r="BV287" s="16"/>
      <c r="BW287" s="687"/>
      <c r="BX287" s="16"/>
      <c r="BY287" s="687"/>
      <c r="BZ287" s="16"/>
      <c r="CA287" s="687"/>
      <c r="CB287" s="16"/>
      <c r="CC287" s="687"/>
      <c r="CD287" s="16"/>
      <c r="CE287" s="687"/>
      <c r="CF287" s="16"/>
      <c r="CG287" s="687"/>
      <c r="CH287" s="16"/>
      <c r="CI287" s="687"/>
      <c r="CJ287" s="16"/>
      <c r="CK287" s="687"/>
      <c r="CL287" s="16"/>
      <c r="CM287" s="687"/>
      <c r="CN287" s="16"/>
      <c r="CO287" s="687"/>
      <c r="CP287" s="16"/>
      <c r="CQ287" s="687"/>
      <c r="CR287" s="16"/>
      <c r="CS287" s="687"/>
      <c r="CT287" s="16"/>
      <c r="CU287" s="687"/>
      <c r="CV287" s="16"/>
      <c r="CW287" s="687"/>
      <c r="CX287" s="16"/>
      <c r="CY287" s="687"/>
      <c r="CZ287" s="16"/>
      <c r="DA287" s="687"/>
      <c r="DB287" s="16"/>
      <c r="DC287" s="16"/>
      <c r="DD287" s="687"/>
      <c r="DE287" s="16"/>
      <c r="DF287" s="687"/>
      <c r="DG287" s="16"/>
      <c r="DH287" s="687"/>
      <c r="DI287" s="16"/>
      <c r="DJ287" s="687"/>
      <c r="DK287" s="16"/>
      <c r="DL287" s="687"/>
      <c r="DM287" s="16"/>
      <c r="DN287" s="687"/>
      <c r="DO287" s="16"/>
      <c r="DP287" s="687"/>
      <c r="DQ287" s="16"/>
      <c r="DR287" s="687"/>
      <c r="DS287" s="16"/>
      <c r="DT287" s="687"/>
      <c r="DU287" s="16"/>
      <c r="DV287" s="687"/>
      <c r="DW287" s="16"/>
      <c r="DX287" s="687"/>
      <c r="DY287" s="16"/>
      <c r="DZ287" s="687"/>
      <c r="EA287" s="16"/>
      <c r="EB287" s="687"/>
      <c r="EC287" s="16"/>
      <c r="ED287" s="687"/>
      <c r="EE287" s="16"/>
      <c r="EF287" s="687"/>
      <c r="EG287" s="16"/>
      <c r="EH287" s="687"/>
      <c r="EI287" s="16"/>
      <c r="EJ287" s="687"/>
      <c r="EK287" s="16"/>
      <c r="EL287" s="687"/>
      <c r="EM287" s="687"/>
    </row>
    <row r="288" spans="1:152" ht="12.75" hidden="1" customHeight="1" outlineLevel="1" x14ac:dyDescent="0.2">
      <c r="A288" s="700" t="s">
        <v>7</v>
      </c>
      <c r="B288" s="16"/>
      <c r="C288" s="687"/>
      <c r="D288" s="16"/>
      <c r="E288" s="687"/>
      <c r="F288" s="16"/>
      <c r="G288" s="687"/>
      <c r="H288" s="16"/>
      <c r="I288" s="687"/>
      <c r="J288" s="16"/>
      <c r="K288" s="687"/>
      <c r="L288" s="16"/>
      <c r="M288" s="687"/>
      <c r="N288" s="16"/>
      <c r="O288" s="687"/>
      <c r="P288" s="16"/>
      <c r="Q288" s="687"/>
      <c r="R288" s="16"/>
      <c r="S288" s="687"/>
      <c r="T288" s="16"/>
      <c r="U288" s="687"/>
      <c r="V288" s="16"/>
      <c r="W288" s="687"/>
      <c r="X288" s="16"/>
      <c r="Y288" s="687"/>
      <c r="Z288" s="16"/>
      <c r="AA288" s="687"/>
      <c r="AB288" s="16"/>
      <c r="AC288" s="687"/>
      <c r="AD288" s="16"/>
      <c r="AE288" s="687"/>
      <c r="AF288" s="16"/>
      <c r="AG288" s="687"/>
      <c r="AH288" s="16"/>
      <c r="AI288" s="687"/>
      <c r="AJ288" s="16"/>
      <c r="AK288" s="687"/>
      <c r="AL288" s="16"/>
      <c r="AM288" s="687"/>
      <c r="AN288" s="16"/>
      <c r="AO288" s="687"/>
      <c r="AP288" s="16"/>
      <c r="AQ288" s="687"/>
      <c r="AR288" s="16"/>
      <c r="AS288" s="687"/>
      <c r="AT288" s="16"/>
      <c r="AU288" s="687"/>
      <c r="AV288" s="16"/>
      <c r="AW288" s="687"/>
      <c r="AX288" s="16"/>
      <c r="AY288" s="687"/>
      <c r="AZ288" s="16"/>
      <c r="BA288" s="687"/>
      <c r="BB288" s="16"/>
      <c r="BC288" s="687"/>
      <c r="BD288" s="16"/>
      <c r="BE288" s="687"/>
      <c r="BF288" s="16"/>
      <c r="BG288" s="687"/>
      <c r="BH288" s="16"/>
      <c r="BI288" s="687"/>
      <c r="BJ288" s="16"/>
      <c r="BK288" s="687"/>
      <c r="BL288" s="16"/>
      <c r="BM288" s="687"/>
      <c r="BN288" s="16"/>
      <c r="BO288" s="687"/>
      <c r="BP288" s="16"/>
      <c r="BQ288" s="687"/>
      <c r="BR288" s="16"/>
      <c r="BS288" s="687"/>
      <c r="BT288" s="16"/>
      <c r="BU288" s="687"/>
      <c r="BV288" s="16"/>
      <c r="BW288" s="687"/>
      <c r="BX288" s="16"/>
      <c r="BY288" s="687"/>
      <c r="BZ288" s="16"/>
      <c r="CA288" s="687"/>
      <c r="CB288" s="16"/>
      <c r="CC288" s="687"/>
      <c r="CD288" s="16"/>
      <c r="CE288" s="687"/>
      <c r="CF288" s="16"/>
      <c r="CG288" s="687"/>
      <c r="CH288" s="16"/>
      <c r="CI288" s="687"/>
      <c r="CJ288" s="16"/>
      <c r="CK288" s="687"/>
      <c r="CL288" s="16"/>
      <c r="CM288" s="687"/>
      <c r="CN288" s="16"/>
      <c r="CO288" s="687"/>
      <c r="CP288" s="16"/>
      <c r="CQ288" s="687"/>
      <c r="CR288" s="16"/>
      <c r="CS288" s="687"/>
      <c r="CT288" s="16"/>
      <c r="CU288" s="687"/>
      <c r="CV288" s="16"/>
      <c r="CW288" s="687"/>
      <c r="CX288" s="16"/>
      <c r="CY288" s="687"/>
      <c r="CZ288" s="16"/>
      <c r="DA288" s="687"/>
      <c r="DB288" s="16"/>
      <c r="DC288" s="16"/>
      <c r="DD288" s="687"/>
      <c r="DE288" s="16"/>
      <c r="DF288" s="687"/>
      <c r="DG288" s="16"/>
      <c r="DH288" s="687"/>
      <c r="DI288" s="16"/>
      <c r="DJ288" s="687"/>
      <c r="DK288" s="16"/>
      <c r="DL288" s="687"/>
      <c r="DM288" s="16"/>
      <c r="DN288" s="687"/>
      <c r="DO288" s="16"/>
      <c r="DP288" s="687"/>
      <c r="DQ288" s="16"/>
      <c r="DR288" s="687"/>
      <c r="DS288" s="16"/>
      <c r="DT288" s="687"/>
      <c r="DU288" s="16"/>
      <c r="DV288" s="687"/>
      <c r="DW288" s="16"/>
      <c r="DX288" s="687"/>
      <c r="DY288" s="16"/>
      <c r="DZ288" s="687"/>
      <c r="EA288" s="16"/>
      <c r="EB288" s="687"/>
      <c r="EC288" s="16"/>
      <c r="ED288" s="687"/>
      <c r="EE288" s="16"/>
      <c r="EF288" s="687"/>
      <c r="EG288" s="16"/>
      <c r="EH288" s="687"/>
      <c r="EI288" s="16"/>
      <c r="EJ288" s="687"/>
      <c r="EK288" s="16"/>
      <c r="EL288" s="687"/>
      <c r="EM288" s="687"/>
    </row>
    <row r="289" spans="1:143" ht="12.75" hidden="1" customHeight="1" outlineLevel="1" x14ac:dyDescent="0.2">
      <c r="A289" s="701" t="str">
        <f>INPUT!$B$145</f>
        <v>Surrender Charges/Exp Assessments</v>
      </c>
      <c r="B289" s="151">
        <f>INPUT!AY145</f>
        <v>57.9</v>
      </c>
      <c r="C289" s="687">
        <f>INPUT!AZ145</f>
        <v>9.6590909090909172</v>
      </c>
      <c r="D289" s="151">
        <f>INPUT!BA145</f>
        <v>56.800000000000004</v>
      </c>
      <c r="E289" s="687">
        <f>INPUT!BB145</f>
        <v>6.5666041275797449</v>
      </c>
      <c r="F289" s="151">
        <f>INPUT!BC145</f>
        <v>55.7</v>
      </c>
      <c r="G289" s="687">
        <f>INPUT!BD145</f>
        <v>-1.7636684303350858</v>
      </c>
      <c r="H289" s="151">
        <f>INPUT!BE145</f>
        <v>59.9</v>
      </c>
      <c r="I289" s="687">
        <f>INPUT!BF145</f>
        <v>7.7338129496402841</v>
      </c>
      <c r="J289" s="151">
        <f>INPUT!BG145</f>
        <v>61.8</v>
      </c>
      <c r="K289" s="687">
        <f>INPUT!BH145</f>
        <v>6.7357512953367893</v>
      </c>
      <c r="L289" s="151">
        <f>INPUT!BI145</f>
        <v>65.2</v>
      </c>
      <c r="M289" s="687">
        <f>INPUT!BJ145</f>
        <v>14.7887323943662</v>
      </c>
      <c r="N289" s="151">
        <f>INPUT!BK145</f>
        <v>65.3</v>
      </c>
      <c r="O289" s="687">
        <f>INPUT!BL145</f>
        <v>17.235188509874313</v>
      </c>
      <c r="P289" s="151">
        <f>INPUT!BM145</f>
        <v>66.5</v>
      </c>
      <c r="Q289" s="687">
        <f>INPUT!BN145</f>
        <v>11.018363939899833</v>
      </c>
      <c r="R289" s="151">
        <f>INPUT!BO145</f>
        <v>61.199999999999996</v>
      </c>
      <c r="S289" s="687">
        <f>INPUT!BP145</f>
        <v>-0.97087378640776656</v>
      </c>
      <c r="T289" s="151">
        <f>INPUT!BQ145</f>
        <v>60.8</v>
      </c>
      <c r="U289" s="687">
        <f>INPUT!BR145</f>
        <v>-6.7484662576687171</v>
      </c>
      <c r="V289" s="151">
        <f>INPUT!BS145</f>
        <v>55.9</v>
      </c>
      <c r="W289" s="687">
        <f>INPUT!BT145</f>
        <v>-14.395099540581924</v>
      </c>
      <c r="X289" s="151">
        <f>INPUT!BU145</f>
        <v>44.2</v>
      </c>
      <c r="Y289" s="687">
        <f>INPUT!BV145</f>
        <v>-33.533834586466163</v>
      </c>
      <c r="Z289" s="151">
        <f>INPUT!BW145</f>
        <v>40.6</v>
      </c>
      <c r="AA289" s="687">
        <f>INPUT!BX145</f>
        <v>-33.660130718954242</v>
      </c>
      <c r="AB289" s="151">
        <f>INPUT!BY145</f>
        <v>44.699999999999996</v>
      </c>
      <c r="AC289" s="687">
        <f>INPUT!BZ145</f>
        <v>-26.480263157894747</v>
      </c>
      <c r="AD289" s="151">
        <f>INPUT!CA145</f>
        <v>47.8</v>
      </c>
      <c r="AE289" s="687">
        <f>INPUT!CB145</f>
        <v>-14.490161001788914</v>
      </c>
      <c r="AF289" s="151">
        <f>INPUT!CC145</f>
        <v>49.699999999999996</v>
      </c>
      <c r="AG289" s="687">
        <f>INPUT!CD145</f>
        <v>12.443438914027126</v>
      </c>
      <c r="AH289" s="151">
        <f>INPUT!CE145</f>
        <v>50.2</v>
      </c>
      <c r="AI289" s="687">
        <f>INPUT!CF145</f>
        <v>23.645320197044327</v>
      </c>
      <c r="AJ289" s="151">
        <f>INPUT!CG145</f>
        <v>49.400000000000006</v>
      </c>
      <c r="AK289" s="687">
        <f>INPUT!CH145</f>
        <v>10.514541387024634</v>
      </c>
      <c r="AL289" s="151">
        <f>INPUT!CI145</f>
        <v>48.1</v>
      </c>
      <c r="AM289" s="687">
        <f>INPUT!CJ145</f>
        <v>0.62761506276152179</v>
      </c>
      <c r="AN289" s="151">
        <f>INPUT!CK145</f>
        <v>53</v>
      </c>
      <c r="AO289" s="687">
        <f>INPUT!CL145</f>
        <v>6.6398390342052416</v>
      </c>
      <c r="AP289" s="151">
        <f>INPUT!CM145</f>
        <v>55</v>
      </c>
      <c r="AQ289" s="687">
        <f>INPUT!CN145</f>
        <v>9.5617529880478003</v>
      </c>
      <c r="AR289" s="151">
        <f>INPUT!CO145</f>
        <v>55.400000000000006</v>
      </c>
      <c r="AS289" s="687">
        <f>INPUT!CP145</f>
        <v>12.145748987854255</v>
      </c>
      <c r="AT289" s="151">
        <f>INPUT!CQ145</f>
        <v>51</v>
      </c>
      <c r="AU289" s="687">
        <f>INPUT!CR145</f>
        <v>6.0291060291060239</v>
      </c>
      <c r="AV289" s="151">
        <f>INPUT!CS145</f>
        <v>49</v>
      </c>
      <c r="AW289" s="687">
        <f>INPUT!CT145</f>
        <v>-7.547169811320753</v>
      </c>
      <c r="AX289" s="151">
        <f>INPUT!CU145</f>
        <v>52</v>
      </c>
      <c r="AY289" s="687">
        <f>INPUT!CV145</f>
        <v>-5.4545454545454568</v>
      </c>
      <c r="AZ289" s="151">
        <f>INPUT!CW145</f>
        <v>53</v>
      </c>
      <c r="BA289" s="687">
        <f>INPUT!CX145</f>
        <v>-4.3321299638989235</v>
      </c>
      <c r="BB289" s="151">
        <f>INPUT!CY145</f>
        <v>53</v>
      </c>
      <c r="BC289" s="687">
        <f>INPUT!CZ145</f>
        <v>3.9215686274509887</v>
      </c>
      <c r="BD289" s="151">
        <f>INPUT!DA145</f>
        <v>54</v>
      </c>
      <c r="BE289" s="687">
        <f>INPUT!DB145</f>
        <v>10.20408163265305</v>
      </c>
      <c r="BF289" s="151">
        <f>INPUT!DC145</f>
        <v>56</v>
      </c>
      <c r="BG289" s="687">
        <f>INPUT!DD145</f>
        <v>7.6923076923076872</v>
      </c>
      <c r="BH289" s="151">
        <f>INPUT!DE145</f>
        <v>58</v>
      </c>
      <c r="BI289" s="687">
        <f>INPUT!DF145</f>
        <v>9.4339622641509422</v>
      </c>
      <c r="BJ289" s="151">
        <f>INPUT!DG145</f>
        <v>59</v>
      </c>
      <c r="BK289" s="687">
        <f>INPUT!DH145</f>
        <v>11.32075471698113</v>
      </c>
      <c r="BL289" s="151">
        <f>INPUT!DI145</f>
        <v>60</v>
      </c>
      <c r="BM289" s="687">
        <f>INPUT!DJ145</f>
        <v>11.111111111111116</v>
      </c>
      <c r="BN289" s="151">
        <f>INPUT!DK145</f>
        <v>61</v>
      </c>
      <c r="BO289" s="687">
        <f>INPUT!DL145</f>
        <v>8.9285714285714199</v>
      </c>
      <c r="BP289" s="151">
        <f>INPUT!DM145</f>
        <v>62</v>
      </c>
      <c r="BQ289" s="687">
        <f>INPUT!DN145</f>
        <v>6.8965517241379226</v>
      </c>
      <c r="BR289" s="151">
        <f>INPUT!DO145</f>
        <v>62</v>
      </c>
      <c r="BS289" s="687">
        <f>INPUT!DP145</f>
        <v>5.0847457627118731</v>
      </c>
      <c r="BT289" s="151">
        <f>INPUT!DQ145</f>
        <v>62</v>
      </c>
      <c r="BU289" s="687">
        <f>INPUT!DR145</f>
        <v>3.3333333333333437</v>
      </c>
      <c r="BV289" s="151">
        <f>INPUT!DS145</f>
        <v>62</v>
      </c>
      <c r="BW289" s="687">
        <f>INPUT!DT145</f>
        <v>1.6393442622950838</v>
      </c>
      <c r="BX289" s="151">
        <f>INPUT!DU145</f>
        <v>61</v>
      </c>
      <c r="BY289" s="687">
        <f>INPUT!DV145</f>
        <v>-1.6129032258064502</v>
      </c>
      <c r="BZ289" s="151">
        <f>INPUT!DW145</f>
        <v>60</v>
      </c>
      <c r="CA289" s="687">
        <f>INPUT!DX145</f>
        <v>60</v>
      </c>
      <c r="CB289" s="151">
        <f>INPUT!DY145</f>
        <v>61</v>
      </c>
      <c r="CC289" s="687">
        <f>INPUT!DZ145</f>
        <v>-1.6129032258064502</v>
      </c>
      <c r="CD289" s="151">
        <f>INPUT!EA145</f>
        <v>55</v>
      </c>
      <c r="CE289" s="687">
        <f>INPUT!EB145</f>
        <v>-11.290322580645162</v>
      </c>
      <c r="CF289" s="151">
        <f>INPUT!EC145</f>
        <v>57</v>
      </c>
      <c r="CG289" s="687">
        <f>INPUT!ED145</f>
        <v>-6.5573770491803245</v>
      </c>
      <c r="CH289" s="151">
        <f>INPUT!EE145</f>
        <v>58</v>
      </c>
      <c r="CI289" s="687">
        <f>INPUT!EF145</f>
        <v>-3.3333333333333326</v>
      </c>
      <c r="CJ289" s="151">
        <f>INPUT!EG145</f>
        <v>58</v>
      </c>
      <c r="CK289" s="687">
        <f>INPUT!EH145</f>
        <v>-4.9180327868852514</v>
      </c>
      <c r="CL289" s="151">
        <f>INPUT!EI145</f>
        <v>59</v>
      </c>
      <c r="CM289" s="687">
        <f>INPUT!EJ145</f>
        <v>7.2727272727272751</v>
      </c>
      <c r="CN289" s="151">
        <f>INPUT!EK145</f>
        <v>62</v>
      </c>
      <c r="CO289" s="687">
        <f>INPUT!EL145</f>
        <v>8.7719298245614077</v>
      </c>
      <c r="CP289" s="151">
        <f>INPUT!EM145</f>
        <v>63</v>
      </c>
      <c r="CQ289" s="687">
        <f>INPUT!EN145</f>
        <v>8.6206896551724199</v>
      </c>
      <c r="CR289" s="151">
        <f>INPUT!EO145</f>
        <v>64</v>
      </c>
      <c r="CS289" s="687">
        <f>INPUT!EP145</f>
        <v>10.344827586206895</v>
      </c>
      <c r="CT289" s="151">
        <f>INPUT!EQ145</f>
        <v>67.285260545177621</v>
      </c>
      <c r="CU289" s="687">
        <f>INPUT!ER145</f>
        <v>14.042814483351895</v>
      </c>
      <c r="CV289" s="151">
        <f>INPUT!ES145</f>
        <v>67.888874981797301</v>
      </c>
      <c r="CW289" s="687">
        <f>INPUT!ET145</f>
        <v>9.498185454511777</v>
      </c>
      <c r="CX289" s="151">
        <f>INPUT!EU145</f>
        <v>69.327605218311774</v>
      </c>
      <c r="CY289" s="687">
        <f>INPUT!EV145</f>
        <v>10.043817806844091</v>
      </c>
      <c r="CZ289" s="151">
        <f>INPUT!EW145</f>
        <v>70.566996062590476</v>
      </c>
      <c r="DA289" s="687">
        <f>INPUT!EX145</f>
        <v>10.260931347797619</v>
      </c>
      <c r="DB289" s="16"/>
      <c r="DC289" s="151">
        <f>INPUT!FP145</f>
        <v>218.39999999999998</v>
      </c>
      <c r="DD289" s="687">
        <f>INPUT!FQ145</f>
        <v>16.170212765957427</v>
      </c>
      <c r="DE289" s="151">
        <f>INPUT!FR145</f>
        <v>230.3</v>
      </c>
      <c r="DF289" s="687">
        <f>INPUT!FS145</f>
        <v>5.4487179487179738</v>
      </c>
      <c r="DG289" s="151">
        <f>INPUT!FT145</f>
        <v>258.8</v>
      </c>
      <c r="DH289" s="687">
        <f>INPUT!FU145</f>
        <v>12.375162831089881</v>
      </c>
      <c r="DI289" s="151">
        <f>INPUT!FV145</f>
        <v>222.10000000000002</v>
      </c>
      <c r="DJ289" s="687">
        <f>INPUT!FW145</f>
        <v>-14.180834621329208</v>
      </c>
      <c r="DK289" s="151">
        <f>INPUT!FX145</f>
        <v>182.79999999999998</v>
      </c>
      <c r="DL289" s="687">
        <f>INPUT!FY145</f>
        <v>-17.694732102656474</v>
      </c>
      <c r="DM289" s="151">
        <f>INPUT!FZ145</f>
        <v>200.70000000000002</v>
      </c>
      <c r="DN289" s="687">
        <f>INPUT!GA145</f>
        <v>9.7921225382932455</v>
      </c>
      <c r="DO289" s="151">
        <f>INPUT!GB145</f>
        <v>210.4</v>
      </c>
      <c r="DP289" s="687">
        <f>INPUT!GC145</f>
        <v>4.8330842052815015</v>
      </c>
      <c r="DQ289" s="151">
        <f>INPUT!GD145</f>
        <v>212</v>
      </c>
      <c r="DR289" s="687">
        <f>INPUT!GE145</f>
        <v>0.76045627376426506</v>
      </c>
      <c r="DS289" s="151">
        <f>INPUT!GF145</f>
        <v>233</v>
      </c>
      <c r="DT289" s="687">
        <f>INPUT!GG145</f>
        <v>9.9056603773584939</v>
      </c>
      <c r="DU289" s="151">
        <f>INPUT!GH145</f>
        <v>247</v>
      </c>
      <c r="DV289" s="687">
        <f>INPUT!GI145</f>
        <v>6.0085836909871349</v>
      </c>
      <c r="DW289" s="151">
        <f>INPUT!GJ145</f>
        <v>244</v>
      </c>
      <c r="DX289" s="687">
        <f>INPUT!GK145</f>
        <v>-1.2145748987854255</v>
      </c>
      <c r="DY289" s="151">
        <f>INPUT!GL145</f>
        <v>228</v>
      </c>
      <c r="DZ289" s="687">
        <f>INPUT!GM145</f>
        <v>-6.5573770491803245</v>
      </c>
      <c r="EA289" s="151">
        <f>INPUT!GN145</f>
        <v>248</v>
      </c>
      <c r="EB289" s="687">
        <f>INPUT!GO145</f>
        <v>8.7719298245614077</v>
      </c>
      <c r="EC289" s="151">
        <f>INPUT!GP145</f>
        <v>275.06873680787714</v>
      </c>
      <c r="ED289" s="687">
        <f>INPUT!GQ145</f>
        <v>10.914813228982712</v>
      </c>
      <c r="EE289" s="151">
        <f>INPUT!GR145</f>
        <v>286.53990677708038</v>
      </c>
      <c r="EF289" s="687">
        <f>INPUT!GS145</f>
        <v>4.1702921612699617</v>
      </c>
      <c r="EG289" s="151">
        <f>INPUT!GT145</f>
        <v>295.39600489994604</v>
      </c>
      <c r="EH289" s="687">
        <f>INPUT!GU145</f>
        <v>3.0907032191350048</v>
      </c>
      <c r="EI289" s="151">
        <f>INPUT!GV145</f>
        <v>305.36290510349136</v>
      </c>
      <c r="EJ289" s="687">
        <f>INPUT!GW145</f>
        <v>3.3740809077364542</v>
      </c>
      <c r="EK289" s="151">
        <f>INPUT!GX145</f>
        <v>316.41458496049233</v>
      </c>
      <c r="EL289" s="687">
        <f>INPUT!GY145</f>
        <v>3.6191952828243501</v>
      </c>
      <c r="EM289" s="687">
        <f>INPUT!GZ145</f>
        <v>4.9931492760464602</v>
      </c>
    </row>
    <row r="290" spans="1:143" ht="12.75" hidden="1" customHeight="1" outlineLevel="1" x14ac:dyDescent="0.2">
      <c r="A290" s="701" t="str">
        <f>INPUT!$B$146</f>
        <v>Investment Income</v>
      </c>
      <c r="B290" s="151">
        <f>INPUT!AY146</f>
        <v>185.7</v>
      </c>
      <c r="C290" s="687">
        <f>INPUT!AZ146</f>
        <v>5.4514480408858645</v>
      </c>
      <c r="D290" s="151">
        <f>INPUT!BA146</f>
        <v>187.5</v>
      </c>
      <c r="E290" s="687">
        <f>INPUT!BB146</f>
        <v>6.1120543293718299</v>
      </c>
      <c r="F290" s="151">
        <f>INPUT!BC146</f>
        <v>184.6</v>
      </c>
      <c r="G290" s="687">
        <f>INPUT!BD146</f>
        <v>4.0000000000000036</v>
      </c>
      <c r="H290" s="151">
        <f>INPUT!BE146</f>
        <v>180.6</v>
      </c>
      <c r="I290" s="687">
        <f>INPUT!BF146</f>
        <v>-0.38610038610039643</v>
      </c>
      <c r="J290" s="151">
        <f>INPUT!BG146</f>
        <v>180.3</v>
      </c>
      <c r="K290" s="687">
        <f>INPUT!BH146</f>
        <v>-2.9079159935379573</v>
      </c>
      <c r="L290" s="151">
        <f>INPUT!BI146</f>
        <v>182.2</v>
      </c>
      <c r="M290" s="687">
        <f>INPUT!BJ146</f>
        <v>-2.8266666666666773</v>
      </c>
      <c r="N290" s="151">
        <f>INPUT!BK146</f>
        <v>172.9</v>
      </c>
      <c r="O290" s="687">
        <f>INPUT!BL146</f>
        <v>-6.3380281690140761</v>
      </c>
      <c r="P290" s="151">
        <f>INPUT!BM146</f>
        <v>173.3</v>
      </c>
      <c r="Q290" s="687">
        <f>INPUT!BN146</f>
        <v>-4.0420819490586846</v>
      </c>
      <c r="R290" s="151">
        <f>INPUT!BO146</f>
        <v>171.7</v>
      </c>
      <c r="S290" s="687">
        <f>INPUT!BP146</f>
        <v>-4.7698280643372222</v>
      </c>
      <c r="T290" s="151">
        <f>INPUT!BQ146</f>
        <v>174.8</v>
      </c>
      <c r="U290" s="687">
        <f>INPUT!BR146</f>
        <v>-4.0614709110867064</v>
      </c>
      <c r="V290" s="151">
        <f>INPUT!BS146</f>
        <v>180.9</v>
      </c>
      <c r="W290" s="687">
        <f>INPUT!BT146</f>
        <v>4.6269519953730409</v>
      </c>
      <c r="X290" s="151">
        <f>INPUT!BU146</f>
        <v>167.6</v>
      </c>
      <c r="Y290" s="687">
        <f>INPUT!BV146</f>
        <v>-3.2890940565493465</v>
      </c>
      <c r="Z290" s="151">
        <f>INPUT!BW146</f>
        <v>175.5</v>
      </c>
      <c r="AA290" s="687">
        <f>INPUT!BX146</f>
        <v>2.2131624927198779</v>
      </c>
      <c r="AB290" s="151">
        <f>INPUT!BY146</f>
        <v>175.6</v>
      </c>
      <c r="AC290" s="687">
        <f>INPUT!BZ146</f>
        <v>0.45766590389015871</v>
      </c>
      <c r="AD290" s="151">
        <f>INPUT!CA146</f>
        <v>189.8</v>
      </c>
      <c r="AE290" s="687">
        <f>INPUT!CB146</f>
        <v>4.919845218352692</v>
      </c>
      <c r="AF290" s="151">
        <f>INPUT!CC146</f>
        <v>190.6</v>
      </c>
      <c r="AG290" s="687">
        <f>INPUT!CD146</f>
        <v>13.723150357995229</v>
      </c>
      <c r="AH290" s="151">
        <f>INPUT!CE146</f>
        <v>186.2</v>
      </c>
      <c r="AI290" s="687">
        <f>INPUT!CF146</f>
        <v>6.0968660968660826</v>
      </c>
      <c r="AJ290" s="151">
        <f>INPUT!CG146</f>
        <v>191.2</v>
      </c>
      <c r="AK290" s="687">
        <f>INPUT!CH146</f>
        <v>8.8838268792710728</v>
      </c>
      <c r="AL290" s="151">
        <f>INPUT!CI146</f>
        <v>191.9</v>
      </c>
      <c r="AM290" s="687">
        <f>INPUT!CJ146</f>
        <v>1.1064278187565835</v>
      </c>
      <c r="AN290" s="151">
        <f>INPUT!CK146</f>
        <v>199.9</v>
      </c>
      <c r="AO290" s="687">
        <f>INPUT!CL146</f>
        <v>4.8793284365162615</v>
      </c>
      <c r="AP290" s="151">
        <f>INPUT!CM146</f>
        <v>205</v>
      </c>
      <c r="AQ290" s="687">
        <f>INPUT!CN146</f>
        <v>10.096670247046191</v>
      </c>
      <c r="AR290" s="151">
        <f>INPUT!CO146</f>
        <v>199.9</v>
      </c>
      <c r="AS290" s="687">
        <f>INPUT!CP146</f>
        <v>4.5502092050209386</v>
      </c>
      <c r="AT290" s="151">
        <f>INPUT!CQ146</f>
        <v>193.3</v>
      </c>
      <c r="AU290" s="687">
        <f>INPUT!CR146</f>
        <v>0.72954663887441207</v>
      </c>
      <c r="AV290" s="151">
        <f>INPUT!CS146</f>
        <v>194</v>
      </c>
      <c r="AW290" s="687">
        <f>INPUT!CT146</f>
        <v>-2.951475737868936</v>
      </c>
      <c r="AX290" s="151">
        <f>INPUT!CU146</f>
        <v>197</v>
      </c>
      <c r="AY290" s="687">
        <f>INPUT!CV146</f>
        <v>-3.9024390243902474</v>
      </c>
      <c r="AZ290" s="151">
        <f>INPUT!CW146</f>
        <v>202</v>
      </c>
      <c r="BA290" s="687">
        <f>INPUT!CX146</f>
        <v>1.0505252626313188</v>
      </c>
      <c r="BB290" s="151">
        <f>INPUT!CY146</f>
        <v>199</v>
      </c>
      <c r="BC290" s="687">
        <f>INPUT!CZ146</f>
        <v>2.9487842731505287</v>
      </c>
      <c r="BD290" s="151">
        <f>INPUT!DA146</f>
        <v>201</v>
      </c>
      <c r="BE290" s="687">
        <f>INPUT!DB146</f>
        <v>3.6082474226804218</v>
      </c>
      <c r="BF290" s="151">
        <f>INPUT!DC146</f>
        <v>202</v>
      </c>
      <c r="BG290" s="687">
        <f>INPUT!DD146</f>
        <v>2.5380710659898442</v>
      </c>
      <c r="BH290" s="151">
        <f>INPUT!DE146</f>
        <v>211</v>
      </c>
      <c r="BI290" s="687">
        <f>INPUT!DF146</f>
        <v>4.4554455445544594</v>
      </c>
      <c r="BJ290" s="151">
        <f>INPUT!DG146</f>
        <v>207</v>
      </c>
      <c r="BK290" s="687">
        <f>INPUT!DH146</f>
        <v>4.020100502512558</v>
      </c>
      <c r="BL290" s="151">
        <f>INPUT!DI146</f>
        <v>208</v>
      </c>
      <c r="BM290" s="687">
        <f>INPUT!DJ146</f>
        <v>3.4825870646766122</v>
      </c>
      <c r="BN290" s="151">
        <f>INPUT!DK146</f>
        <v>207</v>
      </c>
      <c r="BO290" s="687">
        <f>INPUT!DL146</f>
        <v>2.4752475247524774</v>
      </c>
      <c r="BP290" s="151">
        <f>INPUT!DM146</f>
        <v>204</v>
      </c>
      <c r="BQ290" s="687">
        <f>INPUT!DN146</f>
        <v>-3.3175355450236976</v>
      </c>
      <c r="BR290" s="151">
        <f>INPUT!DO146</f>
        <v>207</v>
      </c>
      <c r="BS290" s="687">
        <f>INPUT!DP146</f>
        <v>0</v>
      </c>
      <c r="BT290" s="151">
        <f>INPUT!DQ146</f>
        <v>213</v>
      </c>
      <c r="BU290" s="687">
        <f>INPUT!DR146</f>
        <v>2.4038461538461453</v>
      </c>
      <c r="BV290" s="151">
        <f>INPUT!DS146</f>
        <v>208</v>
      </c>
      <c r="BW290" s="687">
        <f>INPUT!DT146</f>
        <v>0.48309178743961567</v>
      </c>
      <c r="BX290" s="151">
        <f>INPUT!DU146</f>
        <v>206</v>
      </c>
      <c r="BY290" s="687">
        <f>INPUT!DV146</f>
        <v>0.98039215686274161</v>
      </c>
      <c r="BZ290" s="151">
        <f>INPUT!DW146</f>
        <v>219</v>
      </c>
      <c r="CA290" s="687">
        <f>INPUT!DX146</f>
        <v>219</v>
      </c>
      <c r="CB290" s="151">
        <f>INPUT!DY146</f>
        <v>213</v>
      </c>
      <c r="CC290" s="687">
        <f>INPUT!DZ146</f>
        <v>0</v>
      </c>
      <c r="CD290" s="151">
        <f>INPUT!EA146</f>
        <v>207</v>
      </c>
      <c r="CE290" s="687">
        <f>INPUT!EB146</f>
        <v>-0.48076923076922906</v>
      </c>
      <c r="CF290" s="151">
        <f>INPUT!EC146</f>
        <v>209</v>
      </c>
      <c r="CG290" s="687">
        <f>INPUT!ED146</f>
        <v>1.4563106796116498</v>
      </c>
      <c r="CH290" s="151">
        <f>INPUT!EE146</f>
        <v>220</v>
      </c>
      <c r="CI290" s="687">
        <f>INPUT!EF146</f>
        <v>0.45662100456620447</v>
      </c>
      <c r="CJ290" s="151">
        <f>INPUT!EG146</f>
        <v>222</v>
      </c>
      <c r="CK290" s="687">
        <f>INPUT!EH146</f>
        <v>4.2253521126760507</v>
      </c>
      <c r="CL290" s="151">
        <f>INPUT!EI146</f>
        <v>218</v>
      </c>
      <c r="CM290" s="687">
        <f>INPUT!EJ146</f>
        <v>5.3140096618357502</v>
      </c>
      <c r="CN290" s="151">
        <f>INPUT!EK146</f>
        <v>224</v>
      </c>
      <c r="CO290" s="687">
        <f>INPUT!EL146</f>
        <v>7.1770334928229707</v>
      </c>
      <c r="CP290" s="151">
        <f>INPUT!EM146</f>
        <v>223</v>
      </c>
      <c r="CQ290" s="687">
        <f>INPUT!EN146</f>
        <v>1.3636363636363669</v>
      </c>
      <c r="CR290" s="151">
        <f>INPUT!EO146</f>
        <v>233</v>
      </c>
      <c r="CS290" s="687">
        <f>INPUT!EP146</f>
        <v>4.9549549549549488</v>
      </c>
      <c r="CT290" s="151">
        <f>INPUT!EQ146</f>
        <v>235.49945530351431</v>
      </c>
      <c r="CU290" s="687">
        <f>INPUT!ER146</f>
        <v>8.0272730750065691</v>
      </c>
      <c r="CV290" s="151">
        <f>INPUT!ES146</f>
        <v>235.91489331741298</v>
      </c>
      <c r="CW290" s="687">
        <f>INPUT!ET146</f>
        <v>5.3191488024165068</v>
      </c>
      <c r="CX290" s="151">
        <f>INPUT!EU146</f>
        <v>239.18131306929382</v>
      </c>
      <c r="CY290" s="687">
        <f>INPUT!EV146</f>
        <v>7.2561942014770509</v>
      </c>
      <c r="CZ290" s="151">
        <f>INPUT!EW146</f>
        <v>241.69305579977706</v>
      </c>
      <c r="DA290" s="687">
        <f>INPUT!EX146</f>
        <v>3.7309252359558176</v>
      </c>
      <c r="DB290" s="16"/>
      <c r="DC290" s="151">
        <f>INPUT!FP146</f>
        <v>711.59999999999991</v>
      </c>
      <c r="DD290" s="687">
        <f>INPUT!FQ146</f>
        <v>-0.33613445378152251</v>
      </c>
      <c r="DE290" s="151">
        <f>INPUT!FR146</f>
        <v>738.4</v>
      </c>
      <c r="DF290" s="687">
        <f>INPUT!FS146</f>
        <v>3.7661607644744244</v>
      </c>
      <c r="DG290" s="151">
        <f>INPUT!FT146</f>
        <v>708.7</v>
      </c>
      <c r="DH290" s="687">
        <f>INPUT!FU146</f>
        <v>-4.0222101841820068</v>
      </c>
      <c r="DI290" s="151">
        <f>INPUT!FV146</f>
        <v>695</v>
      </c>
      <c r="DJ290" s="687">
        <f>INPUT!FW146</f>
        <v>-1.9331169747424881</v>
      </c>
      <c r="DK290" s="151">
        <f>INPUT!FX146</f>
        <v>731.50000000000011</v>
      </c>
      <c r="DL290" s="687">
        <f>INPUT!FY146</f>
        <v>5.2517985611510998</v>
      </c>
      <c r="DM290" s="151">
        <f>INPUT!FZ146</f>
        <v>769.19999999999993</v>
      </c>
      <c r="DN290" s="687">
        <f>INPUT!GA146</f>
        <v>5.1537935748461772</v>
      </c>
      <c r="DO290" s="151">
        <f>INPUT!GB146</f>
        <v>792.2</v>
      </c>
      <c r="DP290" s="687">
        <f>INPUT!GC146</f>
        <v>2.9901196047842138</v>
      </c>
      <c r="DQ290" s="151">
        <f>INPUT!GD146</f>
        <v>799</v>
      </c>
      <c r="DR290" s="687">
        <f>INPUT!GE146</f>
        <v>0.85836909871244149</v>
      </c>
      <c r="DS290" s="151">
        <f>INPUT!GF146</f>
        <v>828</v>
      </c>
      <c r="DT290" s="687">
        <f>INPUT!GG146</f>
        <v>3.6295369211514439</v>
      </c>
      <c r="DU290" s="151">
        <f>INPUT!GH146</f>
        <v>831</v>
      </c>
      <c r="DV290" s="687">
        <f>INPUT!GI146</f>
        <v>0.36231884057971175</v>
      </c>
      <c r="DW290" s="151">
        <f>INPUT!GJ146</f>
        <v>846</v>
      </c>
      <c r="DX290" s="687">
        <f>INPUT!GK146</f>
        <v>1.8050541516245522</v>
      </c>
      <c r="DY290" s="151">
        <f>INPUT!GL146</f>
        <v>858</v>
      </c>
      <c r="DZ290" s="687">
        <f>INPUT!GM146</f>
        <v>1.4184397163120588</v>
      </c>
      <c r="EA290" s="151">
        <f>INPUT!GN146</f>
        <v>898</v>
      </c>
      <c r="EB290" s="687">
        <f>INPUT!GO146</f>
        <v>4.6620046620046596</v>
      </c>
      <c r="EC290" s="151">
        <f>INPUT!GP146</f>
        <v>952.28871748999813</v>
      </c>
      <c r="ED290" s="687">
        <f>INPUT!GQ146</f>
        <v>6.0455141971044624</v>
      </c>
      <c r="EE290" s="151">
        <f>INPUT!GR146</f>
        <v>984.7921044169633</v>
      </c>
      <c r="EF290" s="687">
        <f>INPUT!GS146</f>
        <v>3.4131861829294952</v>
      </c>
      <c r="EG290" s="151">
        <f>INPUT!GT146</f>
        <v>1015.2291056899655</v>
      </c>
      <c r="EH290" s="687">
        <f>INPUT!GU146</f>
        <v>3.0907032191349826</v>
      </c>
      <c r="EI290" s="151">
        <f>INPUT!GV146</f>
        <v>1049.4837571148344</v>
      </c>
      <c r="EJ290" s="687">
        <f>INPUT!GW146</f>
        <v>3.3740809077364764</v>
      </c>
      <c r="EK290" s="151">
        <f>INPUT!GX146</f>
        <v>1087.4666237463423</v>
      </c>
      <c r="EL290" s="687">
        <f>INPUT!GY146</f>
        <v>3.6191952828243501</v>
      </c>
      <c r="EM290" s="687">
        <f>INPUT!GZ146</f>
        <v>3.9029600034690803</v>
      </c>
    </row>
    <row r="291" spans="1:143" ht="12.75" hidden="1" customHeight="1" outlineLevel="1" x14ac:dyDescent="0.2">
      <c r="A291" s="718" t="str">
        <f>INPUT!$B$148</f>
        <v>Other Revenues</v>
      </c>
      <c r="B291" s="151">
        <f>INPUT!AY148</f>
        <v>5.6000000000000014</v>
      </c>
      <c r="C291" s="687" t="str">
        <f>INPUT!AZ148</f>
        <v>NM</v>
      </c>
      <c r="D291" s="151">
        <f>INPUT!BA148</f>
        <v>4.6000000000000014</v>
      </c>
      <c r="E291" s="687">
        <f>INPUT!BB148</f>
        <v>6.9767441860460799</v>
      </c>
      <c r="F291" s="151">
        <f>INPUT!BC148</f>
        <v>4.7999999999999972</v>
      </c>
      <c r="G291" s="687">
        <f>INPUT!BD148</f>
        <v>6.6666666666667762</v>
      </c>
      <c r="H291" s="151">
        <f>INPUT!BE148</f>
        <v>4.5000000000000071</v>
      </c>
      <c r="I291" s="687">
        <f>INPUT!BF148</f>
        <v>4.6511627906984376</v>
      </c>
      <c r="J291" s="151">
        <f>INPUT!BG148</f>
        <v>4.5999999999999801</v>
      </c>
      <c r="K291" s="687">
        <f>INPUT!BH148</f>
        <v>-17.857142857143238</v>
      </c>
      <c r="L291" s="151">
        <f>INPUT!BI148</f>
        <v>4.6000000000000085</v>
      </c>
      <c r="M291" s="687">
        <f>INPUT!BJ148</f>
        <v>1.5543122344752192E-13</v>
      </c>
      <c r="N291" s="151">
        <f>INPUT!BK148</f>
        <v>5.2000000000000028</v>
      </c>
      <c r="O291" s="687">
        <f>INPUT!BL148</f>
        <v>8.33333333333346</v>
      </c>
      <c r="P291" s="151">
        <f>INPUT!BM148</f>
        <v>3.5</v>
      </c>
      <c r="Q291" s="687">
        <f>INPUT!BN148</f>
        <v>-22.222222222222342</v>
      </c>
      <c r="R291" s="151">
        <f>INPUT!BO148</f>
        <v>4.8000000000000043</v>
      </c>
      <c r="S291" s="687">
        <f>INPUT!BP148</f>
        <v>4.347826086957074</v>
      </c>
      <c r="T291" s="151">
        <f>INPUT!BQ148</f>
        <v>3.7999999999999972</v>
      </c>
      <c r="U291" s="687">
        <f>INPUT!BR148</f>
        <v>-17.391304347826299</v>
      </c>
      <c r="V291" s="151">
        <f>INPUT!BS148</f>
        <v>4.1000000000000014</v>
      </c>
      <c r="W291" s="687">
        <f>INPUT!BT148</f>
        <v>-21.153846153846168</v>
      </c>
      <c r="X291" s="151">
        <f>INPUT!BU148</f>
        <v>2.7000000000000028</v>
      </c>
      <c r="Y291" s="687">
        <f>INPUT!BV148</f>
        <v>-22.857142857142776</v>
      </c>
      <c r="Z291" s="151">
        <f>INPUT!BW148</f>
        <v>2.3999999999999986</v>
      </c>
      <c r="AA291" s="687" t="str">
        <f>INPUT!BX148</f>
        <v>NM</v>
      </c>
      <c r="AB291" s="151">
        <f>INPUT!BY148</f>
        <v>3.2000000000000099</v>
      </c>
      <c r="AC291" s="687">
        <f>INPUT!BZ148</f>
        <v>-15.789473684210197</v>
      </c>
      <c r="AD291" s="151">
        <f>INPUT!CA148</f>
        <v>2.9999999999999858</v>
      </c>
      <c r="AE291" s="687">
        <f>INPUT!CB148</f>
        <v>-26.829268292683295</v>
      </c>
      <c r="AF291" s="151">
        <f>INPUT!CC148</f>
        <v>3.3999999999999986</v>
      </c>
      <c r="AG291" s="687">
        <f>INPUT!CD148</f>
        <v>25.925925925925732</v>
      </c>
      <c r="AH291" s="151">
        <f>INPUT!CE148</f>
        <v>4.1000000000000085</v>
      </c>
      <c r="AI291" s="687">
        <f>INPUT!CF148</f>
        <v>70.833333333333798</v>
      </c>
      <c r="AJ291" s="151">
        <f>INPUT!CG148</f>
        <v>4.7000000000000171</v>
      </c>
      <c r="AK291" s="687">
        <f>INPUT!CH148</f>
        <v>46.875000000000064</v>
      </c>
      <c r="AL291" s="151">
        <f>INPUT!CI148</f>
        <v>4.5999999999999872</v>
      </c>
      <c r="AM291" s="687">
        <f>INPUT!CJ148</f>
        <v>53.333333333333634</v>
      </c>
      <c r="AN291" s="151">
        <f>INPUT!CK148</f>
        <v>4.4000000000000057</v>
      </c>
      <c r="AO291" s="687">
        <f>INPUT!CL148</f>
        <v>29.411764705882582</v>
      </c>
      <c r="AP291" s="151">
        <f>INPUT!CM148</f>
        <v>3</v>
      </c>
      <c r="AQ291" s="687">
        <f>INPUT!CN148</f>
        <v>-26.829268292683082</v>
      </c>
      <c r="AR291" s="151">
        <f>INPUT!CO148</f>
        <v>4.3999999999999773</v>
      </c>
      <c r="AS291" s="687">
        <f>INPUT!CP148</f>
        <v>-6.382978723405075</v>
      </c>
      <c r="AT291" s="151">
        <f>INPUT!CQ148</f>
        <v>3.5</v>
      </c>
      <c r="AU291" s="687">
        <f>INPUT!CR148</f>
        <v>-23.913043478260654</v>
      </c>
      <c r="AV291" s="151">
        <f>INPUT!CS148</f>
        <v>3</v>
      </c>
      <c r="AW291" s="687">
        <f>INPUT!CT148</f>
        <v>-31.818181818181902</v>
      </c>
      <c r="AX291" s="151">
        <f>INPUT!CU148</f>
        <v>3</v>
      </c>
      <c r="AY291" s="687">
        <f>INPUT!CV148</f>
        <v>0</v>
      </c>
      <c r="AZ291" s="151">
        <f>INPUT!CW148</f>
        <v>3</v>
      </c>
      <c r="BA291" s="687">
        <f>INPUT!CX148</f>
        <v>-31.818181818181468</v>
      </c>
      <c r="BB291" s="151">
        <f>INPUT!CY148</f>
        <v>3</v>
      </c>
      <c r="BC291" s="687">
        <f>INPUT!CZ148</f>
        <v>-14.28571428571429</v>
      </c>
      <c r="BD291" s="151">
        <f>INPUT!DA148</f>
        <v>4</v>
      </c>
      <c r="BE291" s="687">
        <f>INPUT!DB148</f>
        <v>33.333333333333329</v>
      </c>
      <c r="BF291" s="151">
        <f>INPUT!DC148</f>
        <v>2</v>
      </c>
      <c r="BG291" s="687">
        <f>INPUT!DD148</f>
        <v>-33.333333333333336</v>
      </c>
      <c r="BH291" s="151">
        <f>INPUT!DE148</f>
        <v>2</v>
      </c>
      <c r="BI291" s="687">
        <f>INPUT!DF148</f>
        <v>-33.333333333333336</v>
      </c>
      <c r="BJ291" s="151">
        <f>INPUT!DG148</f>
        <v>3</v>
      </c>
      <c r="BK291" s="687">
        <f>INPUT!DH148</f>
        <v>0</v>
      </c>
      <c r="BL291" s="151">
        <f>INPUT!DI148</f>
        <v>3</v>
      </c>
      <c r="BM291" s="687">
        <f>INPUT!DJ148</f>
        <v>-25</v>
      </c>
      <c r="BN291" s="151">
        <f>INPUT!DK148</f>
        <v>3</v>
      </c>
      <c r="BO291" s="687">
        <f>INPUT!DL148</f>
        <v>50</v>
      </c>
      <c r="BP291" s="151">
        <f>INPUT!DM148</f>
        <v>4</v>
      </c>
      <c r="BQ291" s="687">
        <f>INPUT!DN148</f>
        <v>100</v>
      </c>
      <c r="BR291" s="151">
        <f>INPUT!DO148</f>
        <v>3</v>
      </c>
      <c r="BS291" s="687">
        <f>INPUT!DP148</f>
        <v>0</v>
      </c>
      <c r="BT291" s="151">
        <f>INPUT!DQ148</f>
        <v>2</v>
      </c>
      <c r="BU291" s="687">
        <f>INPUT!DR148</f>
        <v>-33.333333333333336</v>
      </c>
      <c r="BV291" s="151">
        <f>INPUT!DS148</f>
        <v>3</v>
      </c>
      <c r="BW291" s="687">
        <f>INPUT!DT148</f>
        <v>0</v>
      </c>
      <c r="BX291" s="151">
        <f>INPUT!DU148</f>
        <v>3</v>
      </c>
      <c r="BY291" s="687">
        <f>INPUT!DV148</f>
        <v>-25</v>
      </c>
      <c r="BZ291" s="151">
        <f>INPUT!DW148</f>
        <v>3</v>
      </c>
      <c r="CA291" s="687">
        <f>INPUT!DX148</f>
        <v>3</v>
      </c>
      <c r="CB291" s="151">
        <f>INPUT!DY148</f>
        <v>2</v>
      </c>
      <c r="CC291" s="687">
        <f>INPUT!DZ148</f>
        <v>0</v>
      </c>
      <c r="CD291" s="151">
        <f>INPUT!EA148</f>
        <v>5</v>
      </c>
      <c r="CE291" s="687">
        <f>INPUT!EB148</f>
        <v>66.666666666666671</v>
      </c>
      <c r="CF291" s="151">
        <f>INPUT!EC148</f>
        <v>4</v>
      </c>
      <c r="CG291" s="687">
        <f>INPUT!ED148</f>
        <v>33.333333333333329</v>
      </c>
      <c r="CH291" s="151">
        <f>INPUT!EE148</f>
        <v>4</v>
      </c>
      <c r="CI291" s="687">
        <f>INPUT!EF148</f>
        <v>33.333333333333329</v>
      </c>
      <c r="CJ291" s="151">
        <f>INPUT!EG148</f>
        <v>4</v>
      </c>
      <c r="CK291" s="687">
        <f>INPUT!EH148</f>
        <v>100</v>
      </c>
      <c r="CL291" s="151">
        <f>INPUT!EI148</f>
        <v>5</v>
      </c>
      <c r="CM291" s="687">
        <f>INPUT!EJ148</f>
        <v>0</v>
      </c>
      <c r="CN291" s="151">
        <f>INPUT!EK148</f>
        <v>4</v>
      </c>
      <c r="CO291" s="687">
        <f>INPUT!EL148</f>
        <v>0</v>
      </c>
      <c r="CP291" s="151">
        <f>INPUT!EM148</f>
        <v>5</v>
      </c>
      <c r="CQ291" s="687">
        <f>INPUT!EN148</f>
        <v>25</v>
      </c>
      <c r="CR291" s="151">
        <f>INPUT!EO148</f>
        <v>5</v>
      </c>
      <c r="CS291" s="687">
        <f>INPUT!EP148</f>
        <v>25</v>
      </c>
      <c r="CT291" s="151">
        <f>INPUT!EQ148</f>
        <v>5</v>
      </c>
      <c r="CU291" s="687">
        <f>INPUT!ER148</f>
        <v>0</v>
      </c>
      <c r="CV291" s="151">
        <f>INPUT!ES148</f>
        <v>5</v>
      </c>
      <c r="CW291" s="687">
        <f>INPUT!ET148</f>
        <v>25</v>
      </c>
      <c r="CX291" s="151">
        <f>INPUT!EU148</f>
        <v>5</v>
      </c>
      <c r="CY291" s="687">
        <f>INPUT!EV148</f>
        <v>0</v>
      </c>
      <c r="CZ291" s="151">
        <f>INPUT!EW148</f>
        <v>5</v>
      </c>
      <c r="DA291" s="687">
        <f>INPUT!EX148</f>
        <v>0</v>
      </c>
      <c r="DB291" s="16"/>
      <c r="DC291" s="151">
        <f>INPUT!FP148</f>
        <v>15.500000000000007</v>
      </c>
      <c r="DD291" s="687">
        <f>INPUT!FQ148</f>
        <v>-3.1249999999999556</v>
      </c>
      <c r="DE291" s="151">
        <f>INPUT!FR148</f>
        <v>19.500000000000007</v>
      </c>
      <c r="DF291" s="687">
        <f>INPUT!FS148</f>
        <v>25.806451612903203</v>
      </c>
      <c r="DG291" s="151">
        <f>INPUT!FT148</f>
        <v>17.899999999999991</v>
      </c>
      <c r="DH291" s="687">
        <f>INPUT!FU148</f>
        <v>-8.2051282051282861</v>
      </c>
      <c r="DI291" s="151">
        <f>INPUT!FV148</f>
        <v>15.400000000000006</v>
      </c>
      <c r="DJ291" s="687">
        <f>INPUT!FW148</f>
        <v>-13.966480446927299</v>
      </c>
      <c r="DK291" s="151">
        <f>INPUT!FX148</f>
        <v>11.999999999999993</v>
      </c>
      <c r="DL291" s="687">
        <f>INPUT!FY148</f>
        <v>-22.077922077922153</v>
      </c>
      <c r="DM291" s="151">
        <f>INPUT!FZ148</f>
        <v>17.800000000000018</v>
      </c>
      <c r="DN291" s="687">
        <f>INPUT!GA148</f>
        <v>48.333333333333584</v>
      </c>
      <c r="DO291" s="151">
        <f>INPUT!GB148</f>
        <v>13.899999999999977</v>
      </c>
      <c r="DP291" s="687">
        <f>INPUT!GC148</f>
        <v>-21.910112359550769</v>
      </c>
      <c r="DQ291" s="151">
        <f>INPUT!GD148</f>
        <v>13</v>
      </c>
      <c r="DR291" s="687">
        <f>INPUT!GE148</f>
        <v>-6.4748201438847408</v>
      </c>
      <c r="DS291" s="151">
        <f>INPUT!GF148</f>
        <v>10</v>
      </c>
      <c r="DT291" s="687">
        <f>INPUT!GG148</f>
        <v>-23.076923076923073</v>
      </c>
      <c r="DU291" s="151">
        <f>INPUT!GH148</f>
        <v>12</v>
      </c>
      <c r="DV291" s="687">
        <f>INPUT!GI148</f>
        <v>19.999999999999996</v>
      </c>
      <c r="DW291" s="151">
        <f>INPUT!GJ148</f>
        <v>11</v>
      </c>
      <c r="DX291" s="687">
        <f>INPUT!GK148</f>
        <v>-8.3333333333333375</v>
      </c>
      <c r="DY291" s="151">
        <f>INPUT!GL148</f>
        <v>17</v>
      </c>
      <c r="DZ291" s="687">
        <f>INPUT!GM148</f>
        <v>54.54545454545454</v>
      </c>
      <c r="EA291" s="151">
        <f>INPUT!GN148</f>
        <v>19</v>
      </c>
      <c r="EB291" s="687">
        <f>INPUT!GO148</f>
        <v>11.764705882352944</v>
      </c>
      <c r="EC291" s="151">
        <f>INPUT!GP148</f>
        <v>20</v>
      </c>
      <c r="ED291" s="687">
        <f>INPUT!GQ148</f>
        <v>5.2631578947368363</v>
      </c>
      <c r="EE291" s="151">
        <f>INPUT!GR148</f>
        <v>20</v>
      </c>
      <c r="EF291" s="687">
        <f>INPUT!GS148</f>
        <v>0</v>
      </c>
      <c r="EG291" s="151">
        <f>INPUT!GT148</f>
        <v>20</v>
      </c>
      <c r="EH291" s="687">
        <f>INPUT!GU148</f>
        <v>0</v>
      </c>
      <c r="EI291" s="151">
        <f>INPUT!GV148</f>
        <v>20</v>
      </c>
      <c r="EJ291" s="687">
        <f>INPUT!GW148</f>
        <v>0</v>
      </c>
      <c r="EK291" s="151">
        <f>INPUT!GX148</f>
        <v>20</v>
      </c>
      <c r="EL291" s="687">
        <f>INPUT!GY148</f>
        <v>0</v>
      </c>
      <c r="EM291" s="687">
        <f>INPUT!GZ148</f>
        <v>1.0311459317936089</v>
      </c>
    </row>
    <row r="292" spans="1:143" ht="12.75" hidden="1" customHeight="1" outlineLevel="1" x14ac:dyDescent="0.2">
      <c r="A292" s="700" t="str">
        <f>INPUT!$B$149</f>
        <v xml:space="preserve"> Total Revenues</v>
      </c>
      <c r="B292" s="520">
        <f>INPUT!AY149</f>
        <v>249.2</v>
      </c>
      <c r="C292" s="687">
        <f>INPUT!AZ149</f>
        <v>7.7388672719411966</v>
      </c>
      <c r="D292" s="520">
        <f>INPUT!BA149</f>
        <v>248.9</v>
      </c>
      <c r="E292" s="687">
        <f>INPUT!BB149</f>
        <v>6.2313273580879125</v>
      </c>
      <c r="F292" s="520">
        <f>INPUT!BC149</f>
        <v>245.1</v>
      </c>
      <c r="G292" s="687">
        <f>INPUT!BD149</f>
        <v>2.681189777963966</v>
      </c>
      <c r="H292" s="520">
        <f>INPUT!BE149</f>
        <v>245</v>
      </c>
      <c r="I292" s="687">
        <f>INPUT!BF149</f>
        <v>1.5754560530679917</v>
      </c>
      <c r="J292" s="520">
        <f>INPUT!BG149</f>
        <v>246.7</v>
      </c>
      <c r="K292" s="687">
        <f>INPUT!BH149</f>
        <v>-1.0032102728731895</v>
      </c>
      <c r="L292" s="520">
        <f>INPUT!BI149</f>
        <v>252</v>
      </c>
      <c r="M292" s="687">
        <f>INPUT!BJ149</f>
        <v>1.2454801124949677</v>
      </c>
      <c r="N292" s="520">
        <f>INPUT!BK149</f>
        <v>243.4</v>
      </c>
      <c r="O292" s="687">
        <f>INPUT!BL149</f>
        <v>-0.69359445124438368</v>
      </c>
      <c r="P292" s="520">
        <f>INPUT!BM149</f>
        <v>243.3</v>
      </c>
      <c r="Q292" s="687">
        <f>INPUT!BN149</f>
        <v>-0.69387755102040538</v>
      </c>
      <c r="R292" s="520">
        <f>INPUT!BO149</f>
        <v>237.7</v>
      </c>
      <c r="S292" s="687">
        <f>INPUT!BP149</f>
        <v>-3.6481556546412608</v>
      </c>
      <c r="T292" s="520">
        <f>INPUT!BQ149</f>
        <v>239.4</v>
      </c>
      <c r="U292" s="687">
        <f>INPUT!BR149</f>
        <v>-4.9999999999999929</v>
      </c>
      <c r="V292" s="520">
        <f>INPUT!BS149</f>
        <v>240.9</v>
      </c>
      <c r="W292" s="687">
        <f>INPUT!BT149</f>
        <v>-1.0271158586688589</v>
      </c>
      <c r="X292" s="520">
        <f>INPUT!BU149</f>
        <v>214.5</v>
      </c>
      <c r="Y292" s="687">
        <f>INPUT!BV149</f>
        <v>-11.837237977805181</v>
      </c>
      <c r="Z292" s="520">
        <f>INPUT!BW149</f>
        <v>218.5</v>
      </c>
      <c r="AA292" s="687">
        <f>INPUT!BX149</f>
        <v>-8.0774084981068519</v>
      </c>
      <c r="AB292" s="520">
        <f>INPUT!BY149</f>
        <v>223.5</v>
      </c>
      <c r="AC292" s="687">
        <f>INPUT!BZ149</f>
        <v>-6.6416040100250591</v>
      </c>
      <c r="AD292" s="520">
        <f>INPUT!CA149</f>
        <v>240.6</v>
      </c>
      <c r="AE292" s="687">
        <f>INPUT!CB149</f>
        <v>-0.12453300124533051</v>
      </c>
      <c r="AF292" s="520">
        <f>INPUT!CC149</f>
        <v>243.7</v>
      </c>
      <c r="AG292" s="687">
        <f>INPUT!CD149</f>
        <v>13.613053613053605</v>
      </c>
      <c r="AH292" s="520">
        <f>INPUT!CE149</f>
        <v>240.5</v>
      </c>
      <c r="AI292" s="687">
        <f>INPUT!CF149</f>
        <v>10.068649885583515</v>
      </c>
      <c r="AJ292" s="520">
        <f>INPUT!CG149</f>
        <v>245.3</v>
      </c>
      <c r="AK292" s="687">
        <f>INPUT!CH149</f>
        <v>9.7539149888143264</v>
      </c>
      <c r="AL292" s="520">
        <f>INPUT!CI149</f>
        <v>244.6</v>
      </c>
      <c r="AM292" s="687">
        <f>INPUT!CJ149</f>
        <v>1.6625103906899419</v>
      </c>
      <c r="AN292" s="520">
        <f>INPUT!CK149</f>
        <v>257.3</v>
      </c>
      <c r="AO292" s="687">
        <f>INPUT!CL149</f>
        <v>5.5806319244973368</v>
      </c>
      <c r="AP292" s="520">
        <f>INPUT!CM149</f>
        <v>263</v>
      </c>
      <c r="AQ292" s="687">
        <f>INPUT!CN149</f>
        <v>9.3555093555093514</v>
      </c>
      <c r="AR292" s="706">
        <f>INPUT!CO149</f>
        <v>259.7</v>
      </c>
      <c r="AS292" s="687">
        <f>INPUT!CP149</f>
        <v>5.8703628210354575</v>
      </c>
      <c r="AT292" s="520">
        <f>INPUT!CQ149</f>
        <v>247.8</v>
      </c>
      <c r="AU292" s="687">
        <f>INPUT!CR149</f>
        <v>1.3082583810302584</v>
      </c>
      <c r="AV292" s="520">
        <f>INPUT!CS149</f>
        <v>246</v>
      </c>
      <c r="AW292" s="687">
        <f>INPUT!CT149</f>
        <v>-4.3917605907501045</v>
      </c>
      <c r="AX292" s="520">
        <f>INPUT!CU149</f>
        <v>252</v>
      </c>
      <c r="AY292" s="687">
        <f>INPUT!CV149</f>
        <v>-4.1825095057034245</v>
      </c>
      <c r="AZ292" s="520">
        <f>INPUT!CW149</f>
        <v>258</v>
      </c>
      <c r="BA292" s="687">
        <f>INPUT!CX149</f>
        <v>-0.65460146322680046</v>
      </c>
      <c r="BB292" s="520">
        <f>INPUT!CY149</f>
        <v>255</v>
      </c>
      <c r="BC292" s="687">
        <f>INPUT!CZ149</f>
        <v>2.9055690072639084</v>
      </c>
      <c r="BD292" s="520">
        <f>INPUT!DA149</f>
        <v>259</v>
      </c>
      <c r="BE292" s="687">
        <f>INPUT!DB149</f>
        <v>5.2845528455284452</v>
      </c>
      <c r="BF292" s="520">
        <f>INPUT!DC149</f>
        <v>260</v>
      </c>
      <c r="BG292" s="687">
        <f>INPUT!DD149</f>
        <v>3.1746031746031855</v>
      </c>
      <c r="BH292" s="520">
        <f>INPUT!DE149</f>
        <v>271</v>
      </c>
      <c r="BI292" s="687">
        <f>INPUT!DF149</f>
        <v>5.0387596899224896</v>
      </c>
      <c r="BJ292" s="520">
        <f>INPUT!DG149</f>
        <v>269</v>
      </c>
      <c r="BK292" s="687">
        <f>INPUT!DH149</f>
        <v>5.4901960784313752</v>
      </c>
      <c r="BL292" s="520">
        <f>INPUT!DI149</f>
        <v>271</v>
      </c>
      <c r="BM292" s="687">
        <f>INPUT!DJ149</f>
        <v>4.6332046332046239</v>
      </c>
      <c r="BN292" s="520">
        <f>INPUT!DK149</f>
        <v>271</v>
      </c>
      <c r="BO292" s="687">
        <f>INPUT!DL149</f>
        <v>4.2307692307692379</v>
      </c>
      <c r="BP292" s="520">
        <f>INPUT!DM149</f>
        <v>270</v>
      </c>
      <c r="BQ292" s="687">
        <f>INPUT!DN149</f>
        <v>-0.36900369003689537</v>
      </c>
      <c r="BR292" s="520">
        <f>INPUT!DO149</f>
        <v>272</v>
      </c>
      <c r="BS292" s="687">
        <f>INPUT!DP149</f>
        <v>1.1152416356877248</v>
      </c>
      <c r="BT292" s="520">
        <f>INPUT!DQ149</f>
        <v>277</v>
      </c>
      <c r="BU292" s="687">
        <f>INPUT!DR149</f>
        <v>2.2140221402213944</v>
      </c>
      <c r="BV292" s="520">
        <f>INPUT!DS149</f>
        <v>273</v>
      </c>
      <c r="BW292" s="687">
        <f>INPUT!DT149</f>
        <v>0.73800738007379074</v>
      </c>
      <c r="BX292" s="520">
        <f>INPUT!DU149</f>
        <v>270</v>
      </c>
      <c r="BY292" s="687">
        <f>INPUT!DV149</f>
        <v>0</v>
      </c>
      <c r="BZ292" s="520">
        <f>INPUT!DW149</f>
        <v>282</v>
      </c>
      <c r="CA292" s="687">
        <f>INPUT!DX149</f>
        <v>282</v>
      </c>
      <c r="CB292" s="520">
        <f>INPUT!DY149</f>
        <v>276</v>
      </c>
      <c r="CC292" s="687">
        <f>INPUT!DZ149</f>
        <v>-0.36101083032491488</v>
      </c>
      <c r="CD292" s="520">
        <f>INPUT!EA149</f>
        <v>267</v>
      </c>
      <c r="CE292" s="687">
        <f>INPUT!EB149</f>
        <v>-2.1978021978022011</v>
      </c>
      <c r="CF292" s="520">
        <f>INPUT!EC149</f>
        <v>270</v>
      </c>
      <c r="CG292" s="687">
        <f>INPUT!ED149</f>
        <v>0</v>
      </c>
      <c r="CH292" s="520">
        <f>INPUT!EE149</f>
        <v>282</v>
      </c>
      <c r="CI292" s="687">
        <f>INPUT!EF149</f>
        <v>0</v>
      </c>
      <c r="CJ292" s="520">
        <f>INPUT!EG149</f>
        <v>284</v>
      </c>
      <c r="CK292" s="687">
        <f>INPUT!EH149</f>
        <v>2.8985507246376718</v>
      </c>
      <c r="CL292" s="520">
        <f>INPUT!EI149</f>
        <v>282</v>
      </c>
      <c r="CM292" s="687">
        <f>INPUT!EJ149</f>
        <v>5.6179775280898792</v>
      </c>
      <c r="CN292" s="520">
        <f>INPUT!EK149</f>
        <v>290</v>
      </c>
      <c r="CO292" s="687">
        <f>INPUT!EL149</f>
        <v>7.4074074074074181</v>
      </c>
      <c r="CP292" s="520">
        <f>INPUT!EM149</f>
        <v>291</v>
      </c>
      <c r="CQ292" s="687">
        <f>INPUT!EN149</f>
        <v>3.1914893617021267</v>
      </c>
      <c r="CR292" s="520">
        <f>INPUT!EO149</f>
        <v>302</v>
      </c>
      <c r="CS292" s="687">
        <f>INPUT!EP149</f>
        <v>6.3380281690140761</v>
      </c>
      <c r="CT292" s="520">
        <f>INPUT!EQ149</f>
        <v>307.78471584869192</v>
      </c>
      <c r="CU292" s="687">
        <f>INPUT!ER149</f>
        <v>9.1435162584013963</v>
      </c>
      <c r="CV292" s="520">
        <f>INPUT!ES149</f>
        <v>308.80376829921028</v>
      </c>
      <c r="CW292" s="687">
        <f>INPUT!ET149</f>
        <v>6.4840580342104381</v>
      </c>
      <c r="CX292" s="520">
        <f>INPUT!EU149</f>
        <v>313.50891828760558</v>
      </c>
      <c r="CY292" s="687">
        <f>INPUT!EV149</f>
        <v>7.7350234665311213</v>
      </c>
      <c r="CZ292" s="520">
        <f>INPUT!EW149</f>
        <v>317.2600518623675</v>
      </c>
      <c r="DA292" s="687">
        <f>INPUT!EX149</f>
        <v>5.0529973054197042</v>
      </c>
      <c r="DB292" s="16"/>
      <c r="DC292" s="520">
        <f>INPUT!FP149</f>
        <v>945.5</v>
      </c>
      <c r="DD292" s="687">
        <f>INPUT!FQ149</f>
        <v>2.9956427015250586</v>
      </c>
      <c r="DE292" s="520">
        <f>INPUT!FR149</f>
        <v>988.2</v>
      </c>
      <c r="DF292" s="687">
        <f>INPUT!FS149</f>
        <v>4.5161290322580649</v>
      </c>
      <c r="DG292" s="520">
        <f>INPUT!FT149</f>
        <v>985.4</v>
      </c>
      <c r="DH292" s="687">
        <f>INPUT!FU149</f>
        <v>-0.28334345274236838</v>
      </c>
      <c r="DI292" s="520">
        <f>INPUT!FV149</f>
        <v>932.5</v>
      </c>
      <c r="DJ292" s="687">
        <f>INPUT!FW149</f>
        <v>-5.3683783235234372</v>
      </c>
      <c r="DK292" s="520">
        <f>INPUT!FX149</f>
        <v>926.30000000000007</v>
      </c>
      <c r="DL292" s="687">
        <f>INPUT!FY149</f>
        <v>-0.66487935656835973</v>
      </c>
      <c r="DM292" s="706">
        <f>INPUT!FZ149</f>
        <v>987.7</v>
      </c>
      <c r="DN292" s="687">
        <f>INPUT!GA149</f>
        <v>6.6285220770808673</v>
      </c>
      <c r="DO292" s="520">
        <f>INPUT!GB149</f>
        <v>1016.5</v>
      </c>
      <c r="DP292" s="687">
        <f>INPUT!GC149</f>
        <v>2.9158651412372061</v>
      </c>
      <c r="DQ292" s="520">
        <f>INPUT!GD149</f>
        <v>1024</v>
      </c>
      <c r="DR292" s="687">
        <f>INPUT!GE149</f>
        <v>0.73782587309394465</v>
      </c>
      <c r="DS292" s="520">
        <f>INPUT!GF149</f>
        <v>1071</v>
      </c>
      <c r="DT292" s="687">
        <f>INPUT!GG149</f>
        <v>4.58984375</v>
      </c>
      <c r="DU292" s="520">
        <f>INPUT!GH149</f>
        <v>1090</v>
      </c>
      <c r="DV292" s="687">
        <f>INPUT!GI149</f>
        <v>1.7740429505135324</v>
      </c>
      <c r="DW292" s="520">
        <f>INPUT!GJ149</f>
        <v>1101</v>
      </c>
      <c r="DX292" s="687">
        <f>INPUT!GK149</f>
        <v>1.0091743119265972</v>
      </c>
      <c r="DY292" s="520">
        <f>INPUT!GL149</f>
        <v>1103</v>
      </c>
      <c r="DZ292" s="687">
        <f>INPUT!GM149</f>
        <v>0.18165304268846771</v>
      </c>
      <c r="EA292" s="520">
        <f>INPUT!GN149</f>
        <v>1165</v>
      </c>
      <c r="EB292" s="687">
        <f>INPUT!GO149</f>
        <v>5.6210335448775961</v>
      </c>
      <c r="EC292" s="520">
        <f>INPUT!GP149</f>
        <v>1247.3574542978754</v>
      </c>
      <c r="ED292" s="687">
        <f>INPUT!GQ149</f>
        <v>7.0693093817918884</v>
      </c>
      <c r="EE292" s="520">
        <f>INPUT!GR149</f>
        <v>1291.3320111940436</v>
      </c>
      <c r="EF292" s="687">
        <f>INPUT!GS149</f>
        <v>3.5254174129997873</v>
      </c>
      <c r="EG292" s="520">
        <f>INPUT!GT149</f>
        <v>1330.6251105899116</v>
      </c>
      <c r="EH292" s="687">
        <f>INPUT!GU149</f>
        <v>3.0428347671436651</v>
      </c>
      <c r="EI292" s="520">
        <f>INPUT!GV149</f>
        <v>1374.8466622183257</v>
      </c>
      <c r="EJ292" s="687">
        <f>INPUT!GW149</f>
        <v>3.3233666850619681</v>
      </c>
      <c r="EK292" s="520">
        <f>INPUT!GX149</f>
        <v>1423.8812087068345</v>
      </c>
      <c r="EL292" s="687">
        <f>INPUT!GY149</f>
        <v>3.566546571047513</v>
      </c>
      <c r="EM292" s="687">
        <f>INPUT!GZ149</f>
        <v>4.0949274029697724</v>
      </c>
    </row>
    <row r="293" spans="1:143" ht="12.75" hidden="1" customHeight="1" outlineLevel="1" x14ac:dyDescent="0.2">
      <c r="A293" s="689"/>
      <c r="B293" s="16"/>
      <c r="C293" s="687"/>
      <c r="D293" s="16"/>
      <c r="E293" s="687"/>
      <c r="F293" s="16"/>
      <c r="G293" s="687"/>
      <c r="H293" s="16"/>
      <c r="I293" s="687"/>
      <c r="J293" s="16"/>
      <c r="K293" s="687"/>
      <c r="L293" s="16"/>
      <c r="M293" s="687"/>
      <c r="N293" s="16"/>
      <c r="O293" s="687"/>
      <c r="P293" s="16"/>
      <c r="Q293" s="687"/>
      <c r="R293" s="16"/>
      <c r="S293" s="687"/>
      <c r="T293" s="16"/>
      <c r="U293" s="687"/>
      <c r="V293" s="16"/>
      <c r="W293" s="687"/>
      <c r="X293" s="16"/>
      <c r="Y293" s="687"/>
      <c r="Z293" s="16"/>
      <c r="AA293" s="687"/>
      <c r="AB293" s="16"/>
      <c r="AC293" s="687"/>
      <c r="AD293" s="16"/>
      <c r="AE293" s="687"/>
      <c r="AF293" s="16"/>
      <c r="AG293" s="687"/>
      <c r="AH293" s="16"/>
      <c r="AI293" s="687"/>
      <c r="AJ293" s="16"/>
      <c r="AK293" s="687"/>
      <c r="AL293" s="16"/>
      <c r="AM293" s="687"/>
      <c r="AN293" s="16"/>
      <c r="AO293" s="687"/>
      <c r="AP293" s="16"/>
      <c r="AQ293" s="687"/>
      <c r="AR293" s="16"/>
      <c r="AS293" s="687"/>
      <c r="AT293" s="16"/>
      <c r="AU293" s="687"/>
      <c r="AV293" s="16"/>
      <c r="AW293" s="687"/>
      <c r="AX293" s="16"/>
      <c r="AY293" s="687"/>
      <c r="AZ293" s="16"/>
      <c r="BA293" s="687"/>
      <c r="BB293" s="16"/>
      <c r="BC293" s="687"/>
      <c r="BD293" s="16"/>
      <c r="BE293" s="687"/>
      <c r="BF293" s="16"/>
      <c r="BG293" s="687"/>
      <c r="BH293" s="16"/>
      <c r="BI293" s="687"/>
      <c r="BJ293" s="16"/>
      <c r="BK293" s="687"/>
      <c r="BL293" s="16"/>
      <c r="BM293" s="687"/>
      <c r="BN293" s="16"/>
      <c r="BO293" s="687"/>
      <c r="BP293" s="16"/>
      <c r="BQ293" s="687"/>
      <c r="BR293" s="16"/>
      <c r="BS293" s="687"/>
      <c r="BT293" s="16"/>
      <c r="BU293" s="687"/>
      <c r="BV293" s="16"/>
      <c r="BW293" s="687"/>
      <c r="BX293" s="16"/>
      <c r="BY293" s="687"/>
      <c r="BZ293" s="16"/>
      <c r="CA293" s="687"/>
      <c r="CB293" s="16"/>
      <c r="CC293" s="687"/>
      <c r="CD293" s="16"/>
      <c r="CE293" s="687"/>
      <c r="CF293" s="16"/>
      <c r="CG293" s="687"/>
      <c r="CH293" s="16"/>
      <c r="CI293" s="687"/>
      <c r="CJ293" s="16"/>
      <c r="CK293" s="687"/>
      <c r="CL293" s="16"/>
      <c r="CM293" s="687"/>
      <c r="CN293" s="16"/>
      <c r="CO293" s="687"/>
      <c r="CP293" s="16"/>
      <c r="CQ293" s="687"/>
      <c r="CR293" s="16"/>
      <c r="CS293" s="687"/>
      <c r="CT293" s="16"/>
      <c r="CU293" s="687"/>
      <c r="CV293" s="16"/>
      <c r="CW293" s="687"/>
      <c r="CX293" s="16"/>
      <c r="CY293" s="687"/>
      <c r="CZ293" s="16"/>
      <c r="DA293" s="687"/>
      <c r="DB293" s="16"/>
      <c r="DC293" s="16"/>
      <c r="DD293" s="687"/>
      <c r="DE293" s="16"/>
      <c r="DF293" s="687"/>
      <c r="DG293" s="16"/>
      <c r="DH293" s="687"/>
      <c r="DI293" s="16"/>
      <c r="DJ293" s="687"/>
      <c r="DK293" s="16"/>
      <c r="DL293" s="687"/>
      <c r="DM293" s="16"/>
      <c r="DN293" s="687"/>
      <c r="DO293" s="16"/>
      <c r="DP293" s="687"/>
      <c r="DQ293" s="16"/>
      <c r="DR293" s="687"/>
      <c r="DS293" s="16"/>
      <c r="DT293" s="687"/>
      <c r="DU293" s="16"/>
      <c r="DV293" s="687"/>
      <c r="DW293" s="16"/>
      <c r="DX293" s="687"/>
      <c r="DY293" s="16"/>
      <c r="DZ293" s="687"/>
      <c r="EA293" s="16"/>
      <c r="EB293" s="687"/>
      <c r="EC293" s="16"/>
      <c r="ED293" s="687"/>
      <c r="EE293" s="16"/>
      <c r="EF293" s="687"/>
      <c r="EG293" s="16"/>
      <c r="EH293" s="687"/>
      <c r="EI293" s="16"/>
      <c r="EJ293" s="687"/>
      <c r="EK293" s="16"/>
      <c r="EL293" s="687"/>
      <c r="EM293" s="687"/>
    </row>
    <row r="294" spans="1:143" ht="12.75" hidden="1" customHeight="1" outlineLevel="1" x14ac:dyDescent="0.2">
      <c r="A294" s="700" t="s">
        <v>113</v>
      </c>
      <c r="B294" s="16"/>
      <c r="C294" s="687"/>
      <c r="D294" s="16"/>
      <c r="E294" s="687"/>
      <c r="F294" s="16"/>
      <c r="G294" s="687"/>
      <c r="H294" s="16"/>
      <c r="I294" s="687"/>
      <c r="J294" s="16"/>
      <c r="K294" s="687"/>
      <c r="L294" s="16"/>
      <c r="M294" s="687"/>
      <c r="N294" s="16"/>
      <c r="O294" s="687"/>
      <c r="P294" s="16"/>
      <c r="Q294" s="687"/>
      <c r="R294" s="16"/>
      <c r="S294" s="687"/>
      <c r="T294" s="16"/>
      <c r="U294" s="687"/>
      <c r="V294" s="16"/>
      <c r="W294" s="687"/>
      <c r="X294" s="16"/>
      <c r="Y294" s="687"/>
      <c r="Z294" s="16"/>
      <c r="AA294" s="687"/>
      <c r="AB294" s="16"/>
      <c r="AC294" s="687"/>
      <c r="AD294" s="16"/>
      <c r="AE294" s="687"/>
      <c r="AF294" s="16"/>
      <c r="AG294" s="687"/>
      <c r="AH294" s="16"/>
      <c r="AI294" s="687"/>
      <c r="AJ294" s="16"/>
      <c r="AK294" s="687"/>
      <c r="AL294" s="16"/>
      <c r="AM294" s="687"/>
      <c r="AN294" s="16"/>
      <c r="AO294" s="687"/>
      <c r="AP294" s="16"/>
      <c r="AQ294" s="687"/>
      <c r="AR294" s="16"/>
      <c r="AS294" s="687"/>
      <c r="AT294" s="16"/>
      <c r="AU294" s="687"/>
      <c r="AV294" s="16"/>
      <c r="AW294" s="687"/>
      <c r="AX294" s="16"/>
      <c r="AY294" s="687"/>
      <c r="AZ294" s="16"/>
      <c r="BA294" s="687"/>
      <c r="BB294" s="16"/>
      <c r="BC294" s="687"/>
      <c r="BD294" s="16"/>
      <c r="BE294" s="687"/>
      <c r="BF294" s="16"/>
      <c r="BG294" s="687"/>
      <c r="BH294" s="16"/>
      <c r="BI294" s="687"/>
      <c r="BJ294" s="16"/>
      <c r="BK294" s="687"/>
      <c r="BL294" s="16"/>
      <c r="BM294" s="687"/>
      <c r="BN294" s="16"/>
      <c r="BO294" s="687"/>
      <c r="BP294" s="16"/>
      <c r="BQ294" s="687"/>
      <c r="BR294" s="16"/>
      <c r="BS294" s="687"/>
      <c r="BT294" s="16"/>
      <c r="BU294" s="687"/>
      <c r="BV294" s="16"/>
      <c r="BW294" s="687"/>
      <c r="BX294" s="16"/>
      <c r="BY294" s="687"/>
      <c r="BZ294" s="16"/>
      <c r="CA294" s="687"/>
      <c r="CB294" s="16"/>
      <c r="CC294" s="687"/>
      <c r="CD294" s="16"/>
      <c r="CE294" s="687"/>
      <c r="CF294" s="16"/>
      <c r="CG294" s="687"/>
      <c r="CH294" s="16"/>
      <c r="CI294" s="687"/>
      <c r="CJ294" s="16"/>
      <c r="CK294" s="687"/>
      <c r="CL294" s="16"/>
      <c r="CM294" s="687"/>
      <c r="CN294" s="16"/>
      <c r="CO294" s="687"/>
      <c r="CP294" s="16"/>
      <c r="CQ294" s="687"/>
      <c r="CR294" s="16"/>
      <c r="CS294" s="687"/>
      <c r="CT294" s="16"/>
      <c r="CU294" s="687"/>
      <c r="CV294" s="16"/>
      <c r="CW294" s="687"/>
      <c r="CX294" s="16"/>
      <c r="CY294" s="687"/>
      <c r="CZ294" s="16"/>
      <c r="DA294" s="687"/>
      <c r="DB294" s="16"/>
      <c r="DC294" s="16"/>
      <c r="DD294" s="687"/>
      <c r="DE294" s="16"/>
      <c r="DF294" s="687"/>
      <c r="DG294" s="16"/>
      <c r="DH294" s="687"/>
      <c r="DI294" s="16"/>
      <c r="DJ294" s="687"/>
      <c r="DK294" s="16"/>
      <c r="DL294" s="687"/>
      <c r="DM294" s="16"/>
      <c r="DN294" s="687"/>
      <c r="DO294" s="16"/>
      <c r="DP294" s="687"/>
      <c r="DQ294" s="16"/>
      <c r="DR294" s="687"/>
      <c r="DS294" s="16"/>
      <c r="DT294" s="687"/>
      <c r="DU294" s="16"/>
      <c r="DV294" s="687"/>
      <c r="DW294" s="16"/>
      <c r="DX294" s="687"/>
      <c r="DY294" s="16"/>
      <c r="DZ294" s="687"/>
      <c r="EA294" s="16"/>
      <c r="EB294" s="687"/>
      <c r="EC294" s="16"/>
      <c r="ED294" s="687"/>
      <c r="EE294" s="16"/>
      <c r="EF294" s="687"/>
      <c r="EG294" s="16"/>
      <c r="EH294" s="687"/>
      <c r="EI294" s="16"/>
      <c r="EJ294" s="687"/>
      <c r="EK294" s="16"/>
      <c r="EL294" s="687"/>
      <c r="EM294" s="687"/>
    </row>
    <row r="295" spans="1:143" ht="12.75" hidden="1" customHeight="1" outlineLevel="1" x14ac:dyDescent="0.2">
      <c r="A295" s="701" t="str">
        <f>INPUT!$B$164</f>
        <v>Interest Credited To Policies</v>
      </c>
      <c r="B295" s="151">
        <f>INPUT!AY164</f>
        <v>100.7</v>
      </c>
      <c r="C295" s="687">
        <f>INPUT!AZ164</f>
        <v>1.1044176706827447</v>
      </c>
      <c r="D295" s="151">
        <f>INPUT!BA164</f>
        <v>102.4</v>
      </c>
      <c r="E295" s="687">
        <f>INPUT!BB164</f>
        <v>1.9920318725099584</v>
      </c>
      <c r="F295" s="151">
        <f>INPUT!BC164</f>
        <v>103.1</v>
      </c>
      <c r="G295" s="687">
        <f>INPUT!BD164</f>
        <v>2.3833167825223267</v>
      </c>
      <c r="H295" s="151">
        <f>INPUT!BE164</f>
        <v>104.4</v>
      </c>
      <c r="I295" s="687">
        <f>INPUT!BF164</f>
        <v>3.264094955489627</v>
      </c>
      <c r="J295" s="151">
        <f>INPUT!BG164</f>
        <v>104.3</v>
      </c>
      <c r="K295" s="687">
        <f>INPUT!BH164</f>
        <v>3.5749751737835123</v>
      </c>
      <c r="L295" s="151">
        <f>INPUT!BI164</f>
        <v>104.6</v>
      </c>
      <c r="M295" s="687">
        <f>INPUT!BJ164</f>
        <v>2.1484374999999778</v>
      </c>
      <c r="N295" s="151">
        <f>INPUT!BK164</f>
        <v>104.6</v>
      </c>
      <c r="O295" s="687">
        <f>INPUT!BL164</f>
        <v>1.4548981571290032</v>
      </c>
      <c r="P295" s="151">
        <f>INPUT!BM164</f>
        <v>104.8</v>
      </c>
      <c r="Q295" s="687">
        <f>INPUT!BN164</f>
        <v>0.38314176245208831</v>
      </c>
      <c r="R295" s="151">
        <f>INPUT!BO164</f>
        <v>105.9</v>
      </c>
      <c r="S295" s="687">
        <f>INPUT!BP164</f>
        <v>1.5340364333652934</v>
      </c>
      <c r="T295" s="151">
        <f>INPUT!BQ164</f>
        <v>107</v>
      </c>
      <c r="U295" s="687">
        <f>INPUT!BR164</f>
        <v>2.2944550669216079</v>
      </c>
      <c r="V295" s="151">
        <f>INPUT!BS164</f>
        <v>106.8</v>
      </c>
      <c r="W295" s="687">
        <f>INPUT!BT164</f>
        <v>2.1032504780114758</v>
      </c>
      <c r="X295" s="151">
        <f>INPUT!BU164</f>
        <v>109.8</v>
      </c>
      <c r="Y295" s="687">
        <f>INPUT!BV164</f>
        <v>4.7709923664122078</v>
      </c>
      <c r="Z295" s="151">
        <f>INPUT!BW164</f>
        <v>111.5</v>
      </c>
      <c r="AA295" s="687">
        <f>INPUT!BX164</f>
        <v>5.2880075542965033</v>
      </c>
      <c r="AB295" s="151">
        <f>INPUT!BY164</f>
        <v>112</v>
      </c>
      <c r="AC295" s="687">
        <f>INPUT!BZ164</f>
        <v>4.6728971962616717</v>
      </c>
      <c r="AD295" s="151">
        <f>INPUT!CA164</f>
        <v>110.9</v>
      </c>
      <c r="AE295" s="687">
        <f>INPUT!CB164</f>
        <v>3.838951310861427</v>
      </c>
      <c r="AF295" s="151">
        <f>INPUT!CC164</f>
        <v>111.1</v>
      </c>
      <c r="AG295" s="687">
        <f>INPUT!CD164</f>
        <v>1.1839708561020013</v>
      </c>
      <c r="AH295" s="151">
        <f>INPUT!CE164</f>
        <v>110.4</v>
      </c>
      <c r="AI295" s="687">
        <f>INPUT!CF164</f>
        <v>-0.98654708520178325</v>
      </c>
      <c r="AJ295" s="151">
        <f>INPUT!CG164</f>
        <v>110</v>
      </c>
      <c r="AK295" s="687">
        <f>INPUT!CH164</f>
        <v>-1.7857142857142905</v>
      </c>
      <c r="AL295" s="151">
        <f>INPUT!CI164</f>
        <v>110.2</v>
      </c>
      <c r="AM295" s="687">
        <f>INPUT!CJ164</f>
        <v>-0.63119927862940184</v>
      </c>
      <c r="AN295" s="151">
        <f>INPUT!CK164</f>
        <v>109.4</v>
      </c>
      <c r="AO295" s="687">
        <f>INPUT!CL164</f>
        <v>-1.5301530153015164</v>
      </c>
      <c r="AP295" s="151">
        <f>INPUT!CM164</f>
        <v>108</v>
      </c>
      <c r="AQ295" s="687">
        <f>INPUT!CN164</f>
        <v>-2.1739130434782705</v>
      </c>
      <c r="AR295" s="151">
        <f>INPUT!CO164</f>
        <v>108.6</v>
      </c>
      <c r="AS295" s="687">
        <f>INPUT!CP164</f>
        <v>-1.2727272727272809</v>
      </c>
      <c r="AT295" s="151">
        <f>INPUT!CQ164</f>
        <v>109.5</v>
      </c>
      <c r="AU295" s="687">
        <f>INPUT!CR164</f>
        <v>-0.63520871143375457</v>
      </c>
      <c r="AV295" s="151">
        <f>INPUT!CS164</f>
        <v>112</v>
      </c>
      <c r="AW295" s="687">
        <f>INPUT!CT164</f>
        <v>2.3765996343692919</v>
      </c>
      <c r="AX295" s="151">
        <f>INPUT!CU164</f>
        <v>111</v>
      </c>
      <c r="AY295" s="687">
        <f>INPUT!CV164</f>
        <v>2.7777777777777679</v>
      </c>
      <c r="AZ295" s="151">
        <f>INPUT!CW164</f>
        <v>112</v>
      </c>
      <c r="BA295" s="687">
        <f>INPUT!CX164</f>
        <v>3.130755064456725</v>
      </c>
      <c r="BB295" s="151">
        <f>INPUT!CY164</f>
        <v>114</v>
      </c>
      <c r="BC295" s="687">
        <f>INPUT!CZ164</f>
        <v>4.1095890410958846</v>
      </c>
      <c r="BD295" s="151">
        <f>INPUT!DA164</f>
        <v>115</v>
      </c>
      <c r="BE295" s="687">
        <f>INPUT!DB164</f>
        <v>2.6785714285714191</v>
      </c>
      <c r="BF295" s="151">
        <f>INPUT!DC164</f>
        <v>117</v>
      </c>
      <c r="BG295" s="687">
        <f>INPUT!DD164</f>
        <v>5.4054054054053946</v>
      </c>
      <c r="BH295" s="151">
        <f>INPUT!DE164</f>
        <v>117</v>
      </c>
      <c r="BI295" s="687">
        <f>INPUT!DF164</f>
        <v>4.4642857142857206</v>
      </c>
      <c r="BJ295" s="151">
        <f>INPUT!DG164</f>
        <v>118</v>
      </c>
      <c r="BK295" s="687">
        <f>INPUT!DH164</f>
        <v>3.5087719298245723</v>
      </c>
      <c r="BL295" s="151">
        <f>INPUT!DI164</f>
        <v>118</v>
      </c>
      <c r="BM295" s="687">
        <f>INPUT!DJ164</f>
        <v>2.6086956521739202</v>
      </c>
      <c r="BN295" s="151">
        <f>INPUT!DK164</f>
        <v>118</v>
      </c>
      <c r="BO295" s="687">
        <f>INPUT!DL164</f>
        <v>0.85470085470085166</v>
      </c>
      <c r="BP295" s="151">
        <f>INPUT!DM164</f>
        <v>118</v>
      </c>
      <c r="BQ295" s="687">
        <f>INPUT!DN164</f>
        <v>0.85470085470085166</v>
      </c>
      <c r="BR295" s="151">
        <f>INPUT!DO164</f>
        <v>118</v>
      </c>
      <c r="BS295" s="687">
        <f>INPUT!DP164</f>
        <v>0</v>
      </c>
      <c r="BT295" s="151">
        <f>INPUT!DQ164</f>
        <v>119</v>
      </c>
      <c r="BU295" s="687">
        <f>INPUT!DR164</f>
        <v>0.84745762711864181</v>
      </c>
      <c r="BV295" s="151">
        <f>INPUT!DS164</f>
        <v>123</v>
      </c>
      <c r="BW295" s="687">
        <f>INPUT!DT164</f>
        <v>4.2372881355932313</v>
      </c>
      <c r="BX295" s="151">
        <f>INPUT!DU164</f>
        <v>123</v>
      </c>
      <c r="BY295" s="687">
        <f>INPUT!DV164</f>
        <v>4.2372881355932313</v>
      </c>
      <c r="BZ295" s="151">
        <f>INPUT!DW164</f>
        <v>124</v>
      </c>
      <c r="CA295" s="687">
        <f>INPUT!DX164</f>
        <v>124</v>
      </c>
      <c r="CB295" s="151">
        <f>INPUT!DY164</f>
        <v>126</v>
      </c>
      <c r="CC295" s="687">
        <f>INPUT!DZ164</f>
        <v>5.8823529411764719</v>
      </c>
      <c r="CD295" s="151">
        <f>INPUT!EA164</f>
        <v>125</v>
      </c>
      <c r="CE295" s="687">
        <f>INPUT!EB164</f>
        <v>1.6260162601626105</v>
      </c>
      <c r="CF295" s="151">
        <f>INPUT!EC164</f>
        <v>127</v>
      </c>
      <c r="CG295" s="687">
        <f>INPUT!ED164</f>
        <v>3.2520325203251987</v>
      </c>
      <c r="CH295" s="151">
        <f>INPUT!EE164</f>
        <v>128</v>
      </c>
      <c r="CI295" s="687">
        <f>INPUT!EF164</f>
        <v>3.2258064516129004</v>
      </c>
      <c r="CJ295" s="151">
        <f>INPUT!EG164</f>
        <v>134</v>
      </c>
      <c r="CK295" s="687">
        <f>INPUT!EH164</f>
        <v>6.3492063492063489</v>
      </c>
      <c r="CL295" s="151">
        <f>INPUT!EI164</f>
        <v>132</v>
      </c>
      <c r="CM295" s="687">
        <f>INPUT!EJ164</f>
        <v>5.600000000000005</v>
      </c>
      <c r="CN295" s="151">
        <f>INPUT!EK164</f>
        <v>134</v>
      </c>
      <c r="CO295" s="687">
        <f>INPUT!EL164</f>
        <v>5.5118110236220375</v>
      </c>
      <c r="CP295" s="151">
        <f>INPUT!EM164</f>
        <v>136</v>
      </c>
      <c r="CQ295" s="687">
        <f>INPUT!EN164</f>
        <v>6.25</v>
      </c>
      <c r="CR295" s="151">
        <f>INPUT!EO164</f>
        <v>136</v>
      </c>
      <c r="CS295" s="687">
        <f>INPUT!EP164</f>
        <v>1.4925373134328401</v>
      </c>
      <c r="CT295" s="151">
        <f>INPUT!EQ164</f>
        <v>138.44075453704528</v>
      </c>
      <c r="CU295" s="687">
        <f>INPUT!ER164</f>
        <v>4.8793594977615706</v>
      </c>
      <c r="CV295" s="151">
        <f>INPUT!ES164</f>
        <v>139.68270318044802</v>
      </c>
      <c r="CW295" s="687">
        <f>INPUT!ET164</f>
        <v>4.2408232689910674</v>
      </c>
      <c r="CX295" s="151">
        <f>INPUT!EU164</f>
        <v>142.64291910150533</v>
      </c>
      <c r="CY295" s="687">
        <f>INPUT!EV164</f>
        <v>4.8844993393421632</v>
      </c>
      <c r="CZ295" s="151">
        <f>INPUT!EW164</f>
        <v>145.19299027991809</v>
      </c>
      <c r="DA295" s="687">
        <f>INPUT!EX164</f>
        <v>6.759551676410358</v>
      </c>
      <c r="DB295" s="687"/>
      <c r="DC295" s="151">
        <f>INPUT!FP164</f>
        <v>401.79999999999995</v>
      </c>
      <c r="DD295" s="687">
        <f>INPUT!FQ164</f>
        <v>1.2090680100755646</v>
      </c>
      <c r="DE295" s="151">
        <f>INPUT!FR164</f>
        <v>410.6</v>
      </c>
      <c r="DF295" s="687">
        <f>INPUT!FS164</f>
        <v>2.1901443504231066</v>
      </c>
      <c r="DG295" s="151">
        <f>INPUT!FT164</f>
        <v>418.3</v>
      </c>
      <c r="DH295" s="687">
        <f>INPUT!FU164</f>
        <v>1.8753044325377388</v>
      </c>
      <c r="DI295" s="151">
        <f>INPUT!FV164</f>
        <v>429.5</v>
      </c>
      <c r="DJ295" s="687">
        <f>INPUT!FW164</f>
        <v>2.6775041836002877</v>
      </c>
      <c r="DK295" s="151">
        <f>INPUT!FX164</f>
        <v>445.5</v>
      </c>
      <c r="DL295" s="687">
        <f>INPUT!FY164</f>
        <v>3.7252619324796177</v>
      </c>
      <c r="DM295" s="151">
        <f>INPUT!FZ164</f>
        <v>440</v>
      </c>
      <c r="DN295" s="687">
        <f>INPUT!GA164</f>
        <v>-1.2345679012345734</v>
      </c>
      <c r="DO295" s="151">
        <f>INPUT!GB164</f>
        <v>438.1</v>
      </c>
      <c r="DP295" s="687">
        <f>INPUT!GC164</f>
        <v>-0.43181818181817766</v>
      </c>
      <c r="DQ295" s="151">
        <f>INPUT!GD164</f>
        <v>452</v>
      </c>
      <c r="DR295" s="687">
        <f>INPUT!GE164</f>
        <v>3.1727916000912959</v>
      </c>
      <c r="DS295" s="151">
        <f>INPUT!GF164</f>
        <v>470</v>
      </c>
      <c r="DT295" s="687">
        <f>INPUT!GG164</f>
        <v>3.9823008849557473</v>
      </c>
      <c r="DU295" s="151">
        <f>INPUT!GH164</f>
        <v>473</v>
      </c>
      <c r="DV295" s="687">
        <f>INPUT!GI164</f>
        <v>0.6382978723404209</v>
      </c>
      <c r="DW295" s="151">
        <f>INPUT!GJ164</f>
        <v>496</v>
      </c>
      <c r="DX295" s="687">
        <f>INPUT!GK164</f>
        <v>4.862579281183943</v>
      </c>
      <c r="DY295" s="151">
        <f>INPUT!GL164</f>
        <v>514</v>
      </c>
      <c r="DZ295" s="687">
        <f>INPUT!GM164</f>
        <v>3.629032258064524</v>
      </c>
      <c r="EA295" s="151">
        <f>INPUT!GN164</f>
        <v>538</v>
      </c>
      <c r="EB295" s="687">
        <f>INPUT!GO164</f>
        <v>4.6692607003891107</v>
      </c>
      <c r="EC295" s="151">
        <f>INPUT!GP164</f>
        <v>565.9593670989168</v>
      </c>
      <c r="ED295" s="687">
        <f>INPUT!GQ164</f>
        <v>5.1969083826982843</v>
      </c>
      <c r="EE295" s="151">
        <f>INPUT!GR164</f>
        <v>589.56152622101604</v>
      </c>
      <c r="EF295" s="687">
        <f>INPUT!GS164</f>
        <v>4.1702921612699617</v>
      </c>
      <c r="EG295" s="151">
        <f>INPUT!GT164</f>
        <v>607.78312329071036</v>
      </c>
      <c r="EH295" s="687">
        <f>INPUT!GU164</f>
        <v>3.0907032191349826</v>
      </c>
      <c r="EI295" s="151">
        <f>INPUT!GV164</f>
        <v>628.29021761410661</v>
      </c>
      <c r="EJ295" s="687">
        <f>INPUT!GW164</f>
        <v>3.3740809077364764</v>
      </c>
      <c r="EK295" s="151">
        <f>INPUT!GX164</f>
        <v>651.02926753244321</v>
      </c>
      <c r="EL295" s="687">
        <f>INPUT!GY164</f>
        <v>3.6191952828243501</v>
      </c>
      <c r="EM295" s="687">
        <f>INPUT!GZ164</f>
        <v>3.8875842400824645</v>
      </c>
    </row>
    <row r="296" spans="1:143" ht="12.75" hidden="1" customHeight="1" outlineLevel="1" x14ac:dyDescent="0.2">
      <c r="A296" s="123" t="str">
        <f>INPUT!$B$165</f>
        <v>Net DAC and VOBA Amortization</v>
      </c>
      <c r="B296" s="151">
        <f>INPUT!AY165</f>
        <v>-5.5</v>
      </c>
      <c r="C296" s="687">
        <f>INPUT!AZ165</f>
        <v>-1.7857142857142461</v>
      </c>
      <c r="D296" s="151">
        <f>INPUT!BA165</f>
        <v>-2.8000000000000007</v>
      </c>
      <c r="E296" s="687">
        <f>INPUT!BB165</f>
        <v>-49.999999999999964</v>
      </c>
      <c r="F296" s="151">
        <f>INPUT!BC165</f>
        <v>-6.6</v>
      </c>
      <c r="G296" s="687" t="str">
        <f>INPUT!BD165</f>
        <v>NM</v>
      </c>
      <c r="H296" s="151">
        <f>INPUT!BE165</f>
        <v>0.89999999999999858</v>
      </c>
      <c r="I296" s="687" t="str">
        <f>INPUT!BF165</f>
        <v>NM</v>
      </c>
      <c r="J296" s="151">
        <f>INPUT!BG165</f>
        <v>-2.5999999999999979</v>
      </c>
      <c r="K296" s="687" t="str">
        <f>INPUT!BH165</f>
        <v>NM</v>
      </c>
      <c r="L296" s="151">
        <f>INPUT!BI165</f>
        <v>0</v>
      </c>
      <c r="M296" s="687" t="str">
        <f>INPUT!BJ165</f>
        <v>NM</v>
      </c>
      <c r="N296" s="151">
        <f>INPUT!BK165</f>
        <v>1.1999999999999993</v>
      </c>
      <c r="O296" s="687" t="str">
        <f>INPUT!BL165</f>
        <v>NM</v>
      </c>
      <c r="P296" s="151">
        <f>INPUT!BM165</f>
        <v>1.1999999999999993</v>
      </c>
      <c r="Q296" s="687">
        <f>INPUT!BN165</f>
        <v>33.333333333333456</v>
      </c>
      <c r="R296" s="151">
        <f>INPUT!BO165</f>
        <v>0.29999999999999716</v>
      </c>
      <c r="S296" s="687" t="str">
        <f>INPUT!BP165</f>
        <v>NM</v>
      </c>
      <c r="T296" s="151">
        <f>INPUT!BQ165</f>
        <v>1</v>
      </c>
      <c r="U296" s="687" t="str">
        <f>INPUT!BR165</f>
        <v>NA</v>
      </c>
      <c r="V296" s="151">
        <f>INPUT!BS165</f>
        <v>3.8000000000000007</v>
      </c>
      <c r="W296" s="687" t="str">
        <f>INPUT!BT165</f>
        <v>NM</v>
      </c>
      <c r="X296" s="151">
        <f>INPUT!BU165</f>
        <v>30.7</v>
      </c>
      <c r="Y296" s="687" t="str">
        <f>INPUT!BV165</f>
        <v>NM</v>
      </c>
      <c r="Z296" s="151">
        <f>INPUT!BW165</f>
        <v>1.1999999999999993</v>
      </c>
      <c r="AA296" s="687" t="str">
        <f>INPUT!BX165</f>
        <v>NM</v>
      </c>
      <c r="AB296" s="151">
        <f>INPUT!BY165</f>
        <v>1.6999999999999993</v>
      </c>
      <c r="AC296" s="687">
        <f>INPUT!BZ165</f>
        <v>69.999999999999929</v>
      </c>
      <c r="AD296" s="151">
        <f>INPUT!CA165</f>
        <v>-1.8000000000000007</v>
      </c>
      <c r="AE296" s="687" t="str">
        <f>INPUT!CB165</f>
        <v>NM</v>
      </c>
      <c r="AF296" s="151">
        <f>INPUT!CC165</f>
        <v>3.2000000000000028</v>
      </c>
      <c r="AG296" s="687" t="str">
        <f>INPUT!CD165</f>
        <v>NM</v>
      </c>
      <c r="AH296" s="151">
        <f>INPUT!CE165</f>
        <v>4.9000000000000004</v>
      </c>
      <c r="AI296" s="687" t="str">
        <f>INPUT!CF165</f>
        <v>NM</v>
      </c>
      <c r="AJ296" s="151">
        <f>INPUT!CG165</f>
        <v>8.6</v>
      </c>
      <c r="AK296" s="687" t="str">
        <f>INPUT!CH165</f>
        <v>NM</v>
      </c>
      <c r="AL296" s="151">
        <f>INPUT!CI165</f>
        <v>-12.7</v>
      </c>
      <c r="AM296" s="687" t="str">
        <f>INPUT!CJ165</f>
        <v>NM</v>
      </c>
      <c r="AN296" s="151">
        <f>INPUT!CK165</f>
        <v>11.2</v>
      </c>
      <c r="AO296" s="687" t="str">
        <f>INPUT!CL165</f>
        <v>NM</v>
      </c>
      <c r="AP296" s="151">
        <f>INPUT!CM165</f>
        <v>0</v>
      </c>
      <c r="AQ296" s="687" t="str">
        <f>INPUT!CN165</f>
        <v>NM</v>
      </c>
      <c r="AR296" s="151">
        <f>INPUT!CO165</f>
        <v>0.80000000000000071</v>
      </c>
      <c r="AS296" s="687" t="str">
        <f>INPUT!CP165</f>
        <v>NM</v>
      </c>
      <c r="AT296" s="151">
        <f>INPUT!CQ165</f>
        <v>-1.5000000000000009</v>
      </c>
      <c r="AU296" s="687" t="str">
        <f>INPUT!CR165</f>
        <v>NM</v>
      </c>
      <c r="AV296" s="151">
        <f>INPUT!CS165</f>
        <v>-2</v>
      </c>
      <c r="AW296" s="687" t="str">
        <f>INPUT!CT165</f>
        <v>NM</v>
      </c>
      <c r="AX296" s="151">
        <f>INPUT!CU165</f>
        <v>0</v>
      </c>
      <c r="AY296" s="687" t="str">
        <f>INPUT!CV165</f>
        <v>NA</v>
      </c>
      <c r="AZ296" s="151">
        <f>INPUT!CW165</f>
        <v>1</v>
      </c>
      <c r="BA296" s="687">
        <f>INPUT!CX165</f>
        <v>24.99999999999989</v>
      </c>
      <c r="BB296" s="151">
        <f>INPUT!CY165</f>
        <v>4</v>
      </c>
      <c r="BC296" s="687" t="str">
        <f>INPUT!CZ165</f>
        <v>NM</v>
      </c>
      <c r="BD296" s="151">
        <f>INPUT!DA165</f>
        <v>0</v>
      </c>
      <c r="BE296" s="687" t="str">
        <f>INPUT!DB165</f>
        <v>NM</v>
      </c>
      <c r="BF296" s="151">
        <f>INPUT!DC165</f>
        <v>0</v>
      </c>
      <c r="BG296" s="687" t="str">
        <f>INPUT!DD165</f>
        <v>NA</v>
      </c>
      <c r="BH296" s="151">
        <f>INPUT!DE165</f>
        <v>3</v>
      </c>
      <c r="BI296" s="687" t="str">
        <f>INPUT!DF165</f>
        <v>NM</v>
      </c>
      <c r="BJ296" s="151">
        <f>INPUT!DG165</f>
        <v>11</v>
      </c>
      <c r="BK296" s="687" t="str">
        <f>INPUT!DH165</f>
        <v>NM</v>
      </c>
      <c r="BL296" s="151">
        <f>INPUT!DI165</f>
        <v>2</v>
      </c>
      <c r="BM296" s="687" t="str">
        <f>INPUT!DJ165</f>
        <v>NA</v>
      </c>
      <c r="BN296" s="151">
        <f>INPUT!DK165</f>
        <v>2</v>
      </c>
      <c r="BO296" s="687" t="str">
        <f>INPUT!DL165</f>
        <v>NA</v>
      </c>
      <c r="BP296" s="151">
        <f>INPUT!DM165</f>
        <v>4</v>
      </c>
      <c r="BQ296" s="687">
        <f>INPUT!DN165</f>
        <v>33.333333333333329</v>
      </c>
      <c r="BR296" s="151">
        <f>INPUT!DO165</f>
        <v>1</v>
      </c>
      <c r="BS296" s="687" t="str">
        <f>INPUT!DP165</f>
        <v>NM</v>
      </c>
      <c r="BT296" s="151">
        <f>INPUT!DQ165</f>
        <v>0</v>
      </c>
      <c r="BU296" s="687" t="str">
        <f>INPUT!DR165</f>
        <v>NM</v>
      </c>
      <c r="BV296" s="151">
        <f>INPUT!DS165</f>
        <v>2</v>
      </c>
      <c r="BW296" s="687">
        <f>INPUT!DT165</f>
        <v>0</v>
      </c>
      <c r="BX296" s="151">
        <f>INPUT!DU165</f>
        <v>2</v>
      </c>
      <c r="BY296" s="687">
        <f>INPUT!DV165</f>
        <v>-50</v>
      </c>
      <c r="BZ296" s="151">
        <f>INPUT!DW165</f>
        <v>-1</v>
      </c>
      <c r="CA296" s="687">
        <f>INPUT!DX165</f>
        <v>-1</v>
      </c>
      <c r="CB296" s="151">
        <f>INPUT!DY165</f>
        <v>-2</v>
      </c>
      <c r="CC296" s="687" t="str">
        <f>INPUT!DZ165</f>
        <v>NA</v>
      </c>
      <c r="CD296" s="151">
        <f>INPUT!EA165</f>
        <v>0</v>
      </c>
      <c r="CE296" s="687" t="str">
        <f>INPUT!EB165</f>
        <v>NM</v>
      </c>
      <c r="CF296" s="151">
        <f>INPUT!EC165</f>
        <v>-1</v>
      </c>
      <c r="CG296" s="687" t="str">
        <f>INPUT!ED165</f>
        <v>NM</v>
      </c>
      <c r="CH296" s="151">
        <f>INPUT!EE165</f>
        <v>4</v>
      </c>
      <c r="CI296" s="687" t="str">
        <f>INPUT!EF165</f>
        <v>NM</v>
      </c>
      <c r="CJ296" s="151">
        <f>INPUT!EG165</f>
        <v>-3</v>
      </c>
      <c r="CK296" s="687">
        <f>INPUT!EH165</f>
        <v>50</v>
      </c>
      <c r="CL296" s="151">
        <f>INPUT!EI165</f>
        <v>-2</v>
      </c>
      <c r="CM296" s="687" t="str">
        <f>INPUT!EJ165</f>
        <v>NA</v>
      </c>
      <c r="CN296" s="151">
        <f>INPUT!EK165</f>
        <v>-2</v>
      </c>
      <c r="CO296" s="687">
        <f>INPUT!EL165</f>
        <v>100</v>
      </c>
      <c r="CP296" s="151">
        <f>INPUT!EM165</f>
        <v>-2</v>
      </c>
      <c r="CQ296" s="687" t="str">
        <f>INPUT!EN165</f>
        <v>NM</v>
      </c>
      <c r="CR296" s="151">
        <f>INPUT!EO165</f>
        <v>0</v>
      </c>
      <c r="CS296" s="687" t="str">
        <f>INPUT!EP165</f>
        <v>NM</v>
      </c>
      <c r="CT296" s="151">
        <f>INPUT!EQ165</f>
        <v>0</v>
      </c>
      <c r="CU296" s="687" t="str">
        <f>INPUT!ER165</f>
        <v>NM</v>
      </c>
      <c r="CV296" s="151">
        <f>INPUT!ES165</f>
        <v>0</v>
      </c>
      <c r="CW296" s="687" t="str">
        <f>INPUT!ET165</f>
        <v>NM</v>
      </c>
      <c r="CX296" s="151">
        <f>INPUT!EU165</f>
        <v>0</v>
      </c>
      <c r="CY296" s="687" t="str">
        <f>INPUT!EV165</f>
        <v>NM</v>
      </c>
      <c r="CZ296" s="151">
        <f>INPUT!EW165</f>
        <v>0</v>
      </c>
      <c r="DA296" s="687" t="str">
        <f>INPUT!EX165</f>
        <v>NA</v>
      </c>
      <c r="DB296" s="687"/>
      <c r="DC296" s="151">
        <f>INPUT!FP165</f>
        <v>-41.699999999999996</v>
      </c>
      <c r="DD296" s="687" t="str">
        <f>INPUT!FQ165</f>
        <v>NA</v>
      </c>
      <c r="DE296" s="151">
        <f>INPUT!FR165</f>
        <v>-14.000000000000002</v>
      </c>
      <c r="DF296" s="687" t="str">
        <f>INPUT!FS165</f>
        <v>NM</v>
      </c>
      <c r="DG296" s="151">
        <f>INPUT!FT165</f>
        <v>-0.19999999999999929</v>
      </c>
      <c r="DH296" s="687" t="str">
        <f>INPUT!FU165</f>
        <v>NM</v>
      </c>
      <c r="DI296" s="151">
        <f>INPUT!FV165</f>
        <v>35.799999999999997</v>
      </c>
      <c r="DJ296" s="687" t="str">
        <f>INPUT!FW165</f>
        <v>NM</v>
      </c>
      <c r="DK296" s="151">
        <f>INPUT!FX165</f>
        <v>4.3000000000000007</v>
      </c>
      <c r="DL296" s="687" t="str">
        <f>INPUT!FY165</f>
        <v>NM</v>
      </c>
      <c r="DM296" s="151">
        <f>INPUT!FZ165</f>
        <v>12</v>
      </c>
      <c r="DN296" s="687" t="str">
        <f>INPUT!GA165</f>
        <v>NM</v>
      </c>
      <c r="DO296" s="151">
        <f>INPUT!GB165</f>
        <v>-2.7</v>
      </c>
      <c r="DP296" s="687" t="str">
        <f>INPUT!GC165</f>
        <v>NM</v>
      </c>
      <c r="DQ296" s="151">
        <f>INPUT!GD165</f>
        <v>5</v>
      </c>
      <c r="DR296" s="687" t="str">
        <f>INPUT!GE165</f>
        <v>NM</v>
      </c>
      <c r="DS296" s="151">
        <f>INPUT!GF165</f>
        <v>16</v>
      </c>
      <c r="DT296" s="687" t="str">
        <f>INPUT!GG165</f>
        <v>NM</v>
      </c>
      <c r="DU296" s="151">
        <f>INPUT!GH165</f>
        <v>7</v>
      </c>
      <c r="DV296" s="687" t="str">
        <f>INPUT!GI165</f>
        <v>NM</v>
      </c>
      <c r="DW296" s="151">
        <f>INPUT!GJ165</f>
        <v>1</v>
      </c>
      <c r="DX296" s="687" t="str">
        <f>INPUT!GK165</f>
        <v>NM</v>
      </c>
      <c r="DY296" s="151">
        <f>INPUT!GL165</f>
        <v>0</v>
      </c>
      <c r="DZ296" s="687" t="str">
        <f>INPUT!GM165</f>
        <v>NM</v>
      </c>
      <c r="EA296" s="151">
        <f>INPUT!GN165</f>
        <v>-6</v>
      </c>
      <c r="EB296" s="687" t="str">
        <f>INPUT!GO165</f>
        <v>NA</v>
      </c>
      <c r="EC296" s="151">
        <f>INPUT!GP165</f>
        <v>0</v>
      </c>
      <c r="ED296" s="687" t="str">
        <f>INPUT!GQ165</f>
        <v>NM</v>
      </c>
      <c r="EE296" s="151">
        <f>INPUT!GR165</f>
        <v>0</v>
      </c>
      <c r="EF296" s="687" t="str">
        <f>INPUT!GS165</f>
        <v>NA</v>
      </c>
      <c r="EG296" s="151">
        <f>INPUT!GT165</f>
        <v>0</v>
      </c>
      <c r="EH296" s="687" t="str">
        <f>INPUT!GU165</f>
        <v>NA</v>
      </c>
      <c r="EI296" s="151">
        <f>INPUT!GV165</f>
        <v>0</v>
      </c>
      <c r="EJ296" s="687" t="str">
        <f>INPUT!GW165</f>
        <v>NA</v>
      </c>
      <c r="EK296" s="151">
        <f>INPUT!GX165</f>
        <v>0</v>
      </c>
      <c r="EL296" s="687" t="str">
        <f>INPUT!GY165</f>
        <v>NA</v>
      </c>
      <c r="EM296" s="687" t="str">
        <f>INPUT!GZ165</f>
        <v>NM</v>
      </c>
    </row>
    <row r="297" spans="1:143" ht="12.75" hidden="1" customHeight="1" outlineLevel="1" x14ac:dyDescent="0.2">
      <c r="A297" s="123" t="str">
        <f>INPUT!$B$166</f>
        <v>Other Operating Exp</v>
      </c>
      <c r="B297" s="151">
        <f>INPUT!AY166</f>
        <v>78.8</v>
      </c>
      <c r="C297" s="687">
        <f>INPUT!AZ166</f>
        <v>1.6774193548387162</v>
      </c>
      <c r="D297" s="151">
        <f>INPUT!BA166</f>
        <v>72.3</v>
      </c>
      <c r="E297" s="687">
        <f>INPUT!BB166</f>
        <v>-5.859375</v>
      </c>
      <c r="F297" s="151">
        <f>INPUT!BC166</f>
        <v>81.099999999999994</v>
      </c>
      <c r="G297" s="687">
        <f>INPUT!BD166</f>
        <v>-5.9164733178654334</v>
      </c>
      <c r="H297" s="151">
        <f>INPUT!BE166</f>
        <v>79.300000000000011</v>
      </c>
      <c r="I297" s="687">
        <f>INPUT!BF166</f>
        <v>-5.2568697729987957</v>
      </c>
      <c r="J297" s="151">
        <f>INPUT!BG166</f>
        <v>74.199999999999989</v>
      </c>
      <c r="K297" s="687">
        <f>INPUT!BH166</f>
        <v>-5.8375634517766617</v>
      </c>
      <c r="L297" s="151">
        <f>INPUT!BI166</f>
        <v>80.599999999999994</v>
      </c>
      <c r="M297" s="687">
        <f>INPUT!BJ166</f>
        <v>11.479944674965425</v>
      </c>
      <c r="N297" s="151">
        <f>INPUT!BK166</f>
        <v>83.5</v>
      </c>
      <c r="O297" s="687">
        <f>INPUT!BL166</f>
        <v>2.9593094944513121</v>
      </c>
      <c r="P297" s="151">
        <f>INPUT!BM166</f>
        <v>76.099999999999994</v>
      </c>
      <c r="Q297" s="687">
        <f>INPUT!BN166</f>
        <v>-4.0353089533417652</v>
      </c>
      <c r="R297" s="151">
        <f>INPUT!BO166</f>
        <v>76</v>
      </c>
      <c r="S297" s="687">
        <f>INPUT!BP166</f>
        <v>2.4258760107816801</v>
      </c>
      <c r="T297" s="151">
        <f>INPUT!BQ166</f>
        <v>74.400000000000006</v>
      </c>
      <c r="U297" s="687">
        <f>INPUT!BR166</f>
        <v>-7.6923076923076756</v>
      </c>
      <c r="V297" s="151">
        <f>INPUT!BS166</f>
        <v>73.300000000000011</v>
      </c>
      <c r="W297" s="687">
        <f>INPUT!BT166</f>
        <v>-12.21556886227544</v>
      </c>
      <c r="X297" s="151">
        <f>INPUT!BU166</f>
        <v>91.3</v>
      </c>
      <c r="Y297" s="687">
        <f>INPUT!BV166</f>
        <v>19.9737187910644</v>
      </c>
      <c r="Z297" s="151">
        <f>INPUT!BW166</f>
        <v>69.400000000000006</v>
      </c>
      <c r="AA297" s="687">
        <f>INPUT!BX166</f>
        <v>-8.6842105263157841</v>
      </c>
      <c r="AB297" s="151">
        <f>INPUT!BY166</f>
        <v>71.5</v>
      </c>
      <c r="AC297" s="687">
        <f>INPUT!BZ166</f>
        <v>-3.897849462365599</v>
      </c>
      <c r="AD297" s="151">
        <f>INPUT!CA166</f>
        <v>72.099999999999994</v>
      </c>
      <c r="AE297" s="687">
        <f>INPUT!CB166</f>
        <v>-1.637107776261959</v>
      </c>
      <c r="AF297" s="151">
        <f>INPUT!CC166</f>
        <v>80</v>
      </c>
      <c r="AG297" s="687">
        <f>INPUT!CD166</f>
        <v>-12.376779846659359</v>
      </c>
      <c r="AH297" s="151">
        <f>INPUT!CE166</f>
        <v>75</v>
      </c>
      <c r="AI297" s="687">
        <f>INPUT!CF166</f>
        <v>8.0691642651296682</v>
      </c>
      <c r="AJ297" s="151">
        <f>INPUT!CG166</f>
        <v>76.600000000000009</v>
      </c>
      <c r="AK297" s="687">
        <f>INPUT!CH166</f>
        <v>7.1328671328671378</v>
      </c>
      <c r="AL297" s="151">
        <f>INPUT!CI166</f>
        <v>78.2</v>
      </c>
      <c r="AM297" s="687">
        <f>INPUT!CJ166</f>
        <v>8.4604715672677031</v>
      </c>
      <c r="AN297" s="151">
        <f>INPUT!CK166</f>
        <v>91.7</v>
      </c>
      <c r="AO297" s="687">
        <f>INPUT!CL166</f>
        <v>14.625</v>
      </c>
      <c r="AP297" s="151">
        <f>INPUT!CM166</f>
        <v>86</v>
      </c>
      <c r="AQ297" s="687">
        <f>INPUT!CN166</f>
        <v>14.666666666666671</v>
      </c>
      <c r="AR297" s="151">
        <f>INPUT!CO166</f>
        <v>92.100000000000009</v>
      </c>
      <c r="AS297" s="687">
        <f>INPUT!CP166</f>
        <v>20.23498694516972</v>
      </c>
      <c r="AT297" s="151">
        <f>INPUT!CQ166</f>
        <v>86.3</v>
      </c>
      <c r="AU297" s="687">
        <f>INPUT!CR166</f>
        <v>10.358056265984651</v>
      </c>
      <c r="AV297" s="151">
        <f>INPUT!CS166</f>
        <v>91</v>
      </c>
      <c r="AW297" s="687">
        <f>INPUT!CT166</f>
        <v>-0.76335877862595547</v>
      </c>
      <c r="AX297" s="151">
        <f>INPUT!CU166</f>
        <v>94</v>
      </c>
      <c r="AY297" s="687">
        <f>INPUT!CV166</f>
        <v>9.302325581395344</v>
      </c>
      <c r="AZ297" s="151">
        <f>INPUT!CW166</f>
        <v>95</v>
      </c>
      <c r="BA297" s="687">
        <f>INPUT!CX166</f>
        <v>3.148751357220414</v>
      </c>
      <c r="BB297" s="151">
        <f>INPUT!CY166</f>
        <v>98</v>
      </c>
      <c r="BC297" s="687">
        <f>INPUT!CZ166</f>
        <v>13.557358053302426</v>
      </c>
      <c r="BD297" s="151">
        <f>INPUT!DA166</f>
        <v>112</v>
      </c>
      <c r="BE297" s="687">
        <f>INPUT!DB166</f>
        <v>23.076923076923084</v>
      </c>
      <c r="BF297" s="151">
        <f>INPUT!DC166</f>
        <v>95</v>
      </c>
      <c r="BG297" s="687">
        <f>INPUT!DD166</f>
        <v>1.0638297872340496</v>
      </c>
      <c r="BH297" s="151">
        <f>INPUT!DE166</f>
        <v>97</v>
      </c>
      <c r="BI297" s="687">
        <f>INPUT!DF166</f>
        <v>2.1052631578947434</v>
      </c>
      <c r="BJ297" s="151">
        <f>INPUT!DG166</f>
        <v>96</v>
      </c>
      <c r="BK297" s="687">
        <f>INPUT!DH166</f>
        <v>-2.0408163265306145</v>
      </c>
      <c r="BL297" s="151">
        <f>INPUT!DI166</f>
        <v>107</v>
      </c>
      <c r="BM297" s="687">
        <f>INPUT!DJ166</f>
        <v>-4.46428571428571</v>
      </c>
      <c r="BN297" s="151">
        <f>INPUT!DK166</f>
        <v>98</v>
      </c>
      <c r="BO297" s="687">
        <f>INPUT!DL166</f>
        <v>3.1578947368421151</v>
      </c>
      <c r="BP297" s="151">
        <f>INPUT!DM166</f>
        <v>94</v>
      </c>
      <c r="BQ297" s="687">
        <f>INPUT!DN166</f>
        <v>-3.0927835051546393</v>
      </c>
      <c r="BR297" s="151">
        <f>INPUT!DO166</f>
        <v>98</v>
      </c>
      <c r="BS297" s="687">
        <f>INPUT!DP166</f>
        <v>2.0833333333333259</v>
      </c>
      <c r="BT297" s="151">
        <f>INPUT!DQ166</f>
        <v>109</v>
      </c>
      <c r="BU297" s="687">
        <f>INPUT!DR166</f>
        <v>1.8691588785046731</v>
      </c>
      <c r="BV297" s="151">
        <f>INPUT!DS166</f>
        <v>100</v>
      </c>
      <c r="BW297" s="687">
        <f>INPUT!DT166</f>
        <v>2.0408163265306145</v>
      </c>
      <c r="BX297" s="151">
        <f>INPUT!DU166</f>
        <v>106</v>
      </c>
      <c r="BY297" s="687">
        <f>INPUT!DV166</f>
        <v>12.765957446808507</v>
      </c>
      <c r="BZ297" s="151">
        <f>INPUT!DW166</f>
        <v>102</v>
      </c>
      <c r="CA297" s="687">
        <f>INPUT!DX166</f>
        <v>102</v>
      </c>
      <c r="CB297" s="151">
        <f>INPUT!DY166</f>
        <v>107</v>
      </c>
      <c r="CC297" s="687">
        <f>INPUT!DZ166</f>
        <v>-1.834862385321101</v>
      </c>
      <c r="CD297" s="151">
        <f>INPUT!EA166</f>
        <v>101</v>
      </c>
      <c r="CE297" s="687">
        <f>INPUT!EB166</f>
        <v>1.0000000000000009</v>
      </c>
      <c r="CF297" s="151">
        <f>INPUT!EC166</f>
        <v>103</v>
      </c>
      <c r="CG297" s="687">
        <f>INPUT!ED166</f>
        <v>-2.8301886792452824</v>
      </c>
      <c r="CH297" s="151">
        <f>INPUT!EE166</f>
        <v>105</v>
      </c>
      <c r="CI297" s="687">
        <f>INPUT!EF166</f>
        <v>2.9411764705882248</v>
      </c>
      <c r="CJ297" s="151">
        <f>INPUT!EG166</f>
        <v>107</v>
      </c>
      <c r="CK297" s="687">
        <f>INPUT!EH166</f>
        <v>0</v>
      </c>
      <c r="CL297" s="151">
        <f>INPUT!EI166</f>
        <v>104</v>
      </c>
      <c r="CM297" s="687">
        <f>INPUT!EJ166</f>
        <v>2.9702970297029729</v>
      </c>
      <c r="CN297" s="151">
        <f>INPUT!EK166</f>
        <v>108</v>
      </c>
      <c r="CO297" s="687">
        <f>INPUT!EL166</f>
        <v>4.8543689320388328</v>
      </c>
      <c r="CP297" s="151">
        <f>INPUT!EM166</f>
        <v>109</v>
      </c>
      <c r="CQ297" s="687">
        <f>INPUT!EN166</f>
        <v>3.8095238095238182</v>
      </c>
      <c r="CR297" s="151">
        <f>INPUT!EO166</f>
        <v>109</v>
      </c>
      <c r="CS297" s="687">
        <f>INPUT!EP166</f>
        <v>1.8691588785046731</v>
      </c>
      <c r="CT297" s="151">
        <f>INPUT!EQ166</f>
        <v>116.00061349847795</v>
      </c>
      <c r="CU297" s="687">
        <f>INPUT!ER166</f>
        <v>11.539051440844172</v>
      </c>
      <c r="CV297" s="151">
        <f>INPUT!ES166</f>
        <v>115.84792960635215</v>
      </c>
      <c r="CW297" s="687">
        <f>INPUT!ET166</f>
        <v>7.2666014873631113</v>
      </c>
      <c r="CX297" s="151">
        <f>INPUT!EU166</f>
        <v>117.04320944247867</v>
      </c>
      <c r="CY297" s="687">
        <f>INPUT!EV166</f>
        <v>7.3790912316318069</v>
      </c>
      <c r="CZ297" s="151">
        <f>INPUT!EW166</f>
        <v>117.86593718397783</v>
      </c>
      <c r="DA297" s="687">
        <f>INPUT!EX166</f>
        <v>8.1338873247503116</v>
      </c>
      <c r="DB297" s="687"/>
      <c r="DC297" s="151">
        <f>INPUT!FP166</f>
        <v>324.2</v>
      </c>
      <c r="DD297" s="687" t="str">
        <f>INPUT!FQ166</f>
        <v>NA</v>
      </c>
      <c r="DE297" s="151">
        <f>INPUT!FR166</f>
        <v>311.5</v>
      </c>
      <c r="DF297" s="687">
        <f>INPUT!FS166</f>
        <v>-3.9173349784083822</v>
      </c>
      <c r="DG297" s="151">
        <f>INPUT!FT166</f>
        <v>314.39999999999998</v>
      </c>
      <c r="DH297" s="687">
        <f>INPUT!FU166</f>
        <v>0.93097913322630621</v>
      </c>
      <c r="DI297" s="151">
        <f>INPUT!FV166</f>
        <v>315</v>
      </c>
      <c r="DJ297" s="687">
        <f>INPUT!FW166</f>
        <v>0.19083969465649719</v>
      </c>
      <c r="DK297" s="151">
        <f>INPUT!FX166</f>
        <v>293</v>
      </c>
      <c r="DL297" s="687">
        <f>INPUT!FY166</f>
        <v>-6.9841269841269815</v>
      </c>
      <c r="DM297" s="151">
        <f>INPUT!FZ166</f>
        <v>321.5</v>
      </c>
      <c r="DN297" s="687">
        <f>INPUT!GA166</f>
        <v>9.7269624573378834</v>
      </c>
      <c r="DO297" s="151">
        <f>INPUT!GB166</f>
        <v>355.40000000000003</v>
      </c>
      <c r="DP297" s="687">
        <f>INPUT!GC166</f>
        <v>10.544323483670315</v>
      </c>
      <c r="DQ297" s="151">
        <f>INPUT!GD166</f>
        <v>399</v>
      </c>
      <c r="DR297" s="687">
        <f>INPUT!GE166</f>
        <v>12.267867191896453</v>
      </c>
      <c r="DS297" s="151">
        <f>INPUT!GF166</f>
        <v>395</v>
      </c>
      <c r="DT297" s="687">
        <f>INPUT!GG166</f>
        <v>-1.0025062656641603</v>
      </c>
      <c r="DU297" s="151">
        <f>INPUT!GH166</f>
        <v>399</v>
      </c>
      <c r="DV297" s="687">
        <f>INPUT!GI166</f>
        <v>1.0126582278481067</v>
      </c>
      <c r="DW297" s="151">
        <f>INPUT!GJ166</f>
        <v>415</v>
      </c>
      <c r="DX297" s="687">
        <f>INPUT!GK166</f>
        <v>4.0100250626566414</v>
      </c>
      <c r="DY297" s="151">
        <f>INPUT!GL166</f>
        <v>416</v>
      </c>
      <c r="DZ297" s="687">
        <f>INPUT!GM166</f>
        <v>0.24096385542169418</v>
      </c>
      <c r="EA297" s="151">
        <f>INPUT!GN166</f>
        <v>430</v>
      </c>
      <c r="EB297" s="687">
        <f>INPUT!GO166</f>
        <v>3.3653846153846256</v>
      </c>
      <c r="EC297" s="151">
        <f>INPUT!GP166</f>
        <v>466.75768973128663</v>
      </c>
      <c r="ED297" s="687">
        <f>INPUT!GQ166</f>
        <v>8.5482999375085189</v>
      </c>
      <c r="EE297" s="151">
        <f>INPUT!GR166</f>
        <v>480.71278220652391</v>
      </c>
      <c r="EF297" s="687">
        <f>INPUT!GS166</f>
        <v>2.9897938014200154</v>
      </c>
      <c r="EG297" s="151">
        <f>INPUT!GT166</f>
        <v>495.14676129995286</v>
      </c>
      <c r="EH297" s="687">
        <f>INPUT!GU166</f>
        <v>3.0026201981098621</v>
      </c>
      <c r="EI297" s="151">
        <f>INPUT!GV166</f>
        <v>511.39116455389012</v>
      </c>
      <c r="EJ297" s="687">
        <f>INPUT!GW166</f>
        <v>3.2807249332075683</v>
      </c>
      <c r="EK297" s="151">
        <f>INPUT!GX166</f>
        <v>529.40357970445802</v>
      </c>
      <c r="EL297" s="687">
        <f>INPUT!GY166</f>
        <v>3.5222382393487406</v>
      </c>
      <c r="EM297" s="687">
        <f>INPUT!GZ166</f>
        <v>4.2470282802360204</v>
      </c>
    </row>
    <row r="298" spans="1:143" ht="12.75" hidden="1" customHeight="1" outlineLevel="1" x14ac:dyDescent="0.2">
      <c r="A298" s="701" t="str">
        <f>INPUT!$B$167</f>
        <v>Total Operating Expenses (incl DAC Exp)</v>
      </c>
      <c r="B298" s="151">
        <f>INPUT!AY167</f>
        <v>73.3</v>
      </c>
      <c r="C298" s="687">
        <f>INPUT!AZ167</f>
        <v>1.9471488178024909</v>
      </c>
      <c r="D298" s="151">
        <f>INPUT!BA167</f>
        <v>69.5</v>
      </c>
      <c r="E298" s="687">
        <f>INPUT!BB167</f>
        <v>-2.3876404494382109</v>
      </c>
      <c r="F298" s="151">
        <f>INPUT!BC167</f>
        <v>74.5</v>
      </c>
      <c r="G298" s="687">
        <f>INPUT!BD167</f>
        <v>19.774919614147901</v>
      </c>
      <c r="H298" s="151">
        <f>INPUT!BE167</f>
        <v>80.2</v>
      </c>
      <c r="I298" s="687">
        <f>INPUT!BF167</f>
        <v>3.8860103626942921</v>
      </c>
      <c r="J298" s="151">
        <f>INPUT!BG167</f>
        <v>71.599999999999994</v>
      </c>
      <c r="K298" s="687">
        <f>INPUT!BH167</f>
        <v>-2.3192360163710846</v>
      </c>
      <c r="L298" s="151">
        <f>INPUT!BI167</f>
        <v>80.599999999999994</v>
      </c>
      <c r="M298" s="687">
        <f>INPUT!BJ167</f>
        <v>15.971223021582738</v>
      </c>
      <c r="N298" s="151">
        <f>INPUT!BK167</f>
        <v>84.7</v>
      </c>
      <c r="O298" s="687">
        <f>INPUT!BL167</f>
        <v>13.691275167785232</v>
      </c>
      <c r="P298" s="151">
        <f>INPUT!BM167</f>
        <v>77.3</v>
      </c>
      <c r="Q298" s="687">
        <f>INPUT!BN167</f>
        <v>-3.6159600997506258</v>
      </c>
      <c r="R298" s="151">
        <f>INPUT!BO167</f>
        <v>76.3</v>
      </c>
      <c r="S298" s="687">
        <f>INPUT!BP167</f>
        <v>6.5642458100558798</v>
      </c>
      <c r="T298" s="151">
        <f>INPUT!BQ167</f>
        <v>75.400000000000006</v>
      </c>
      <c r="U298" s="687">
        <f>INPUT!BR167</f>
        <v>-6.4516129032257901</v>
      </c>
      <c r="V298" s="151">
        <f>INPUT!BS167</f>
        <v>77.100000000000009</v>
      </c>
      <c r="W298" s="687">
        <f>INPUT!BT167</f>
        <v>-8.9728453364816936</v>
      </c>
      <c r="X298" s="151">
        <f>INPUT!BU167</f>
        <v>122</v>
      </c>
      <c r="Y298" s="687">
        <f>INPUT!BV167</f>
        <v>57.826649417852536</v>
      </c>
      <c r="Z298" s="151">
        <f>INPUT!BW167</f>
        <v>70.600000000000009</v>
      </c>
      <c r="AA298" s="687">
        <f>INPUT!BX167</f>
        <v>-7.4705111402358915</v>
      </c>
      <c r="AB298" s="151">
        <f>INPUT!BY167</f>
        <v>73.2</v>
      </c>
      <c r="AC298" s="687">
        <f>INPUT!BZ167</f>
        <v>-2.9177718832891331</v>
      </c>
      <c r="AD298" s="151">
        <f>INPUT!CA167</f>
        <v>70.3</v>
      </c>
      <c r="AE298" s="687">
        <f>INPUT!CB167</f>
        <v>-8.8197146562905449</v>
      </c>
      <c r="AF298" s="151">
        <f>INPUT!CC167</f>
        <v>83.2</v>
      </c>
      <c r="AG298" s="687">
        <f>INPUT!CD167</f>
        <v>-31.803278688524582</v>
      </c>
      <c r="AH298" s="151">
        <f>INPUT!CE167</f>
        <v>79.900000000000006</v>
      </c>
      <c r="AI298" s="687">
        <f>INPUT!CF167</f>
        <v>13.172804532577898</v>
      </c>
      <c r="AJ298" s="151">
        <f>INPUT!CG167</f>
        <v>85.2</v>
      </c>
      <c r="AK298" s="687">
        <f>INPUT!CH167</f>
        <v>16.393442622950815</v>
      </c>
      <c r="AL298" s="151">
        <f>INPUT!CI167</f>
        <v>65.5</v>
      </c>
      <c r="AM298" s="687">
        <f>INPUT!CJ167</f>
        <v>-6.8278805120910331</v>
      </c>
      <c r="AN298" s="151">
        <f>INPUT!CK167</f>
        <v>102.9</v>
      </c>
      <c r="AO298" s="687">
        <f>INPUT!CL167</f>
        <v>23.677884615384627</v>
      </c>
      <c r="AP298" s="151">
        <f>INPUT!CM167</f>
        <v>86</v>
      </c>
      <c r="AQ298" s="687">
        <f>INPUT!CN167</f>
        <v>7.6345431789737184</v>
      </c>
      <c r="AR298" s="151">
        <f>INPUT!CO167</f>
        <v>92.9</v>
      </c>
      <c r="AS298" s="687">
        <f>INPUT!CP167</f>
        <v>9.0375586854460224</v>
      </c>
      <c r="AT298" s="151">
        <f>INPUT!CQ167</f>
        <v>84.8</v>
      </c>
      <c r="AU298" s="687">
        <f>INPUT!CR167</f>
        <v>29.465648854961835</v>
      </c>
      <c r="AV298" s="151">
        <f>INPUT!CS167</f>
        <v>89</v>
      </c>
      <c r="AW298" s="687">
        <f>INPUT!CT167</f>
        <v>-13.508260447035958</v>
      </c>
      <c r="AX298" s="151">
        <f>INPUT!CU167</f>
        <v>94</v>
      </c>
      <c r="AY298" s="687">
        <f>INPUT!CV167</f>
        <v>9.302325581395344</v>
      </c>
      <c r="AZ298" s="151">
        <f>INPUT!CW167</f>
        <v>96</v>
      </c>
      <c r="BA298" s="687">
        <f>INPUT!CX167</f>
        <v>3.3369214208826659</v>
      </c>
      <c r="BB298" s="151">
        <f>INPUT!CY167</f>
        <v>102</v>
      </c>
      <c r="BC298" s="687">
        <f>INPUT!CZ167</f>
        <v>20.28301886792454</v>
      </c>
      <c r="BD298" s="151">
        <f>INPUT!DA167</f>
        <v>112</v>
      </c>
      <c r="BE298" s="687">
        <f>INPUT!DB167</f>
        <v>25.842696629213478</v>
      </c>
      <c r="BF298" s="151">
        <f>INPUT!DC167</f>
        <v>95</v>
      </c>
      <c r="BG298" s="687">
        <f>INPUT!DD167</f>
        <v>1.0638297872340496</v>
      </c>
      <c r="BH298" s="151">
        <f>INPUT!DE167</f>
        <v>100</v>
      </c>
      <c r="BI298" s="687">
        <f>INPUT!DF167</f>
        <v>4.1666666666666741</v>
      </c>
      <c r="BJ298" s="151">
        <f>INPUT!DG167</f>
        <v>107</v>
      </c>
      <c r="BK298" s="687">
        <f>INPUT!DH167</f>
        <v>4.9019607843137303</v>
      </c>
      <c r="BL298" s="151">
        <f>INPUT!DI167</f>
        <v>109</v>
      </c>
      <c r="BM298" s="687">
        <f>INPUT!DJ167</f>
        <v>-2.6785714285714302</v>
      </c>
      <c r="BN298" s="151">
        <f>INPUT!DK167</f>
        <v>100</v>
      </c>
      <c r="BO298" s="687">
        <f>INPUT!DL167</f>
        <v>5.2631578947368363</v>
      </c>
      <c r="BP298" s="151">
        <f>INPUT!DM167</f>
        <v>98</v>
      </c>
      <c r="BQ298" s="687">
        <f>INPUT!DN167</f>
        <v>-2.0000000000000018</v>
      </c>
      <c r="BR298" s="151">
        <f>INPUT!DO167</f>
        <v>99</v>
      </c>
      <c r="BS298" s="687">
        <f>INPUT!DP167</f>
        <v>-7.4766355140186924</v>
      </c>
      <c r="BT298" s="151">
        <f>INPUT!DQ167</f>
        <v>109</v>
      </c>
      <c r="BU298" s="687">
        <f>INPUT!DR167</f>
        <v>0</v>
      </c>
      <c r="BV298" s="151">
        <f>INPUT!DS167</f>
        <v>102</v>
      </c>
      <c r="BW298" s="687">
        <f>INPUT!DT167</f>
        <v>2.0000000000000018</v>
      </c>
      <c r="BX298" s="151">
        <f>INPUT!DU167</f>
        <v>108</v>
      </c>
      <c r="BY298" s="687">
        <f>INPUT!DV167</f>
        <v>10.20408163265305</v>
      </c>
      <c r="BZ298" s="151">
        <f>INPUT!DW167</f>
        <v>101</v>
      </c>
      <c r="CA298" s="687">
        <f>INPUT!DX167</f>
        <v>101</v>
      </c>
      <c r="CB298" s="151">
        <f>INPUT!DY167</f>
        <v>105</v>
      </c>
      <c r="CC298" s="687">
        <f>INPUT!DZ167</f>
        <v>-3.669724770642202</v>
      </c>
      <c r="CD298" s="151">
        <f>INPUT!EA167</f>
        <v>101</v>
      </c>
      <c r="CE298" s="687">
        <f>INPUT!EB167</f>
        <v>-0.98039215686274161</v>
      </c>
      <c r="CF298" s="151">
        <f>INPUT!EC167</f>
        <v>102</v>
      </c>
      <c r="CG298" s="687">
        <f>INPUT!ED167</f>
        <v>-5.555555555555558</v>
      </c>
      <c r="CH298" s="151">
        <f>INPUT!EE167</f>
        <v>109</v>
      </c>
      <c r="CI298" s="687">
        <f>INPUT!EF167</f>
        <v>7.9207920792079278</v>
      </c>
      <c r="CJ298" s="151">
        <f>INPUT!EG167</f>
        <v>104</v>
      </c>
      <c r="CK298" s="687">
        <f>INPUT!EH167</f>
        <v>-0.952380952380949</v>
      </c>
      <c r="CL298" s="151">
        <f>INPUT!EI167</f>
        <v>102</v>
      </c>
      <c r="CM298" s="687">
        <f>INPUT!EJ167</f>
        <v>0.99009900990099098</v>
      </c>
      <c r="CN298" s="151">
        <f>INPUT!EK167</f>
        <v>106</v>
      </c>
      <c r="CO298" s="687">
        <f>INPUT!EL167</f>
        <v>3.9215686274509887</v>
      </c>
      <c r="CP298" s="151">
        <f>INPUT!EM167</f>
        <v>107</v>
      </c>
      <c r="CQ298" s="687">
        <f>INPUT!EN167</f>
        <v>-1.834862385321101</v>
      </c>
      <c r="CR298" s="151">
        <f>INPUT!EO167</f>
        <v>109</v>
      </c>
      <c r="CS298" s="687">
        <f>INPUT!EP167</f>
        <v>4.8076923076923128</v>
      </c>
      <c r="CT298" s="151">
        <f>INPUT!EQ167</f>
        <v>116.00061349847795</v>
      </c>
      <c r="CU298" s="687">
        <f>INPUT!ER167</f>
        <v>13.726091665174467</v>
      </c>
      <c r="CV298" s="151">
        <f>INPUT!ES167</f>
        <v>115.84792960635215</v>
      </c>
      <c r="CW298" s="687">
        <f>INPUT!ET167</f>
        <v>9.2904996286341088</v>
      </c>
      <c r="CX298" s="151">
        <f>INPUT!EU167</f>
        <v>117.04320944247867</v>
      </c>
      <c r="CY298" s="687">
        <f>INPUT!EV167</f>
        <v>9.3861770490454965</v>
      </c>
      <c r="CZ298" s="151">
        <f>INPUT!EW167</f>
        <v>117.86593718397783</v>
      </c>
      <c r="DA298" s="687">
        <f>INPUT!EX167</f>
        <v>8.1338873247503116</v>
      </c>
      <c r="DB298" s="687"/>
      <c r="DC298" s="151">
        <f>INPUT!FP167</f>
        <v>282.5</v>
      </c>
      <c r="DD298" s="687">
        <f>INPUT!FQ167</f>
        <v>2.7272727272727337</v>
      </c>
      <c r="DE298" s="151">
        <f>INPUT!FR167</f>
        <v>297.5</v>
      </c>
      <c r="DF298" s="687">
        <f>INPUT!FS167</f>
        <v>5.3097345132743445</v>
      </c>
      <c r="DG298" s="151">
        <f>INPUT!FT167</f>
        <v>314.2</v>
      </c>
      <c r="DH298" s="687">
        <f>INPUT!FU167</f>
        <v>5.6134453781512494</v>
      </c>
      <c r="DI298" s="151">
        <f>INPUT!FV167</f>
        <v>350.8</v>
      </c>
      <c r="DJ298" s="687">
        <f>INPUT!FW167</f>
        <v>11.648631444939529</v>
      </c>
      <c r="DK298" s="151">
        <f>INPUT!FX167</f>
        <v>297.3</v>
      </c>
      <c r="DL298" s="687">
        <f>INPUT!FY167</f>
        <v>-15.250855188141388</v>
      </c>
      <c r="DM298" s="151">
        <f>INPUT!FZ167</f>
        <v>333.5</v>
      </c>
      <c r="DN298" s="687">
        <f>INPUT!GA167</f>
        <v>12.176252943155053</v>
      </c>
      <c r="DO298" s="151">
        <f>INPUT!GB167</f>
        <v>352.7</v>
      </c>
      <c r="DP298" s="687">
        <f>INPUT!GC167</f>
        <v>5.7571214392803549</v>
      </c>
      <c r="DQ298" s="151">
        <f>INPUT!GD167</f>
        <v>404</v>
      </c>
      <c r="DR298" s="687">
        <f>INPUT!GE167</f>
        <v>14.544939041678484</v>
      </c>
      <c r="DS298" s="151">
        <f>INPUT!GF167</f>
        <v>411</v>
      </c>
      <c r="DT298" s="687">
        <f>INPUT!GG167</f>
        <v>1.7326732673267342</v>
      </c>
      <c r="DU298" s="151">
        <f>INPUT!GH167</f>
        <v>406</v>
      </c>
      <c r="DV298" s="687">
        <f>INPUT!GI167</f>
        <v>-1.2165450121654486</v>
      </c>
      <c r="DW298" s="151">
        <f>INPUT!GJ167</f>
        <v>416</v>
      </c>
      <c r="DX298" s="687">
        <f>INPUT!GK167</f>
        <v>2.4630541871921263</v>
      </c>
      <c r="DY298" s="151">
        <f>INPUT!GL167</f>
        <v>416</v>
      </c>
      <c r="DZ298" s="687">
        <f>INPUT!GM167</f>
        <v>0</v>
      </c>
      <c r="EA298" s="151">
        <f>INPUT!GN167</f>
        <v>424</v>
      </c>
      <c r="EB298" s="687">
        <f>INPUT!GO167</f>
        <v>1.9230769230769162</v>
      </c>
      <c r="EC298" s="151">
        <f>INPUT!GP167</f>
        <v>466.75768973128663</v>
      </c>
      <c r="ED298" s="687">
        <f>INPUT!GQ167</f>
        <v>10.084360785680801</v>
      </c>
      <c r="EE298" s="151">
        <f>INPUT!GR167</f>
        <v>480.71278220652391</v>
      </c>
      <c r="EF298" s="687">
        <f>INPUT!GS167</f>
        <v>2.9897938014200154</v>
      </c>
      <c r="EG298" s="151">
        <f>INPUT!GT167</f>
        <v>495.14676129995286</v>
      </c>
      <c r="EH298" s="687">
        <f>INPUT!GU167</f>
        <v>3.0026201981098621</v>
      </c>
      <c r="EI298" s="151">
        <f>INPUT!GV167</f>
        <v>511.39116455389012</v>
      </c>
      <c r="EJ298" s="687">
        <f>INPUT!GW167</f>
        <v>3.2807249332075683</v>
      </c>
      <c r="EK298" s="151">
        <f>INPUT!GX167</f>
        <v>529.40357970445802</v>
      </c>
      <c r="EL298" s="687">
        <f>INPUT!GY167</f>
        <v>3.5222382393487406</v>
      </c>
      <c r="EM298" s="687">
        <f>INPUT!GZ167</f>
        <v>4.5404110493491467</v>
      </c>
    </row>
    <row r="299" spans="1:143" ht="12.75" hidden="1" customHeight="1" outlineLevel="1" x14ac:dyDescent="0.2">
      <c r="A299" s="700" t="str">
        <f>INPUT!$B$168</f>
        <v xml:space="preserve"> Total Benefits and Expenses</v>
      </c>
      <c r="B299" s="520">
        <f>INPUT!AY168</f>
        <v>174</v>
      </c>
      <c r="C299" s="687">
        <f>INPUT!AZ168</f>
        <v>1.4577259475218707</v>
      </c>
      <c r="D299" s="520">
        <f>INPUT!BA168</f>
        <v>171.9</v>
      </c>
      <c r="E299" s="687">
        <f>INPUT!BB168</f>
        <v>0.17482517482516613</v>
      </c>
      <c r="F299" s="520">
        <f>INPUT!BC168</f>
        <v>177.6</v>
      </c>
      <c r="G299" s="687">
        <f>INPUT!BD168</f>
        <v>9.0239410681399512</v>
      </c>
      <c r="H299" s="520">
        <f>INPUT!BE168</f>
        <v>184.60000000000002</v>
      </c>
      <c r="I299" s="687">
        <f>INPUT!BF168</f>
        <v>3.5333707234997291</v>
      </c>
      <c r="J299" s="520">
        <f>INPUT!BG168</f>
        <v>175.89999999999998</v>
      </c>
      <c r="K299" s="687">
        <f>INPUT!BH168</f>
        <v>1.091954022988495</v>
      </c>
      <c r="L299" s="520">
        <f>INPUT!BI168</f>
        <v>185.2</v>
      </c>
      <c r="M299" s="687">
        <f>INPUT!BJ168</f>
        <v>7.7370564281558973</v>
      </c>
      <c r="N299" s="520">
        <f>INPUT!BK168</f>
        <v>189.3</v>
      </c>
      <c r="O299" s="687">
        <f>INPUT!BL168</f>
        <v>6.587837837837851</v>
      </c>
      <c r="P299" s="520">
        <f>INPUT!BM168</f>
        <v>182.1</v>
      </c>
      <c r="Q299" s="687">
        <f>INPUT!BN168</f>
        <v>-1.3542795232936222</v>
      </c>
      <c r="R299" s="520">
        <f>INPUT!BO168</f>
        <v>182.2</v>
      </c>
      <c r="S299" s="687">
        <f>INPUT!BP168</f>
        <v>3.5815804434337739</v>
      </c>
      <c r="T299" s="520">
        <f>INPUT!BQ168</f>
        <v>182.4</v>
      </c>
      <c r="U299" s="687">
        <f>INPUT!BR168</f>
        <v>-1.5118790496760126</v>
      </c>
      <c r="V299" s="520">
        <f>INPUT!BS168</f>
        <v>183.9</v>
      </c>
      <c r="W299" s="687">
        <f>INPUT!BT168</f>
        <v>-2.8526148969889142</v>
      </c>
      <c r="X299" s="520">
        <f>INPUT!BU168</f>
        <v>231.8</v>
      </c>
      <c r="Y299" s="687">
        <f>INPUT!BV168</f>
        <v>27.292696320702923</v>
      </c>
      <c r="Z299" s="520">
        <f>INPUT!BW168</f>
        <v>182.10000000000002</v>
      </c>
      <c r="AA299" s="687">
        <f>INPUT!BX168</f>
        <v>-5.4884742041694246E-2</v>
      </c>
      <c r="AB299" s="520">
        <f>INPUT!BY168</f>
        <v>185.2</v>
      </c>
      <c r="AC299" s="687">
        <f>INPUT!BZ168</f>
        <v>1.5350877192982448</v>
      </c>
      <c r="AD299" s="520">
        <f>INPUT!CA168</f>
        <v>181.2</v>
      </c>
      <c r="AE299" s="687">
        <f>INPUT!CB168</f>
        <v>-1.4681892332789603</v>
      </c>
      <c r="AF299" s="520">
        <f>INPUT!CC168</f>
        <v>194.3</v>
      </c>
      <c r="AG299" s="687">
        <f>INPUT!CD168</f>
        <v>-16.177739430543568</v>
      </c>
      <c r="AH299" s="520">
        <f>INPUT!CE168</f>
        <v>190.3</v>
      </c>
      <c r="AI299" s="687">
        <f>INPUT!CF168</f>
        <v>4.5030203185063122</v>
      </c>
      <c r="AJ299" s="520">
        <f>INPUT!CG168</f>
        <v>195.2</v>
      </c>
      <c r="AK299" s="687">
        <f>INPUT!CH168</f>
        <v>5.3995680345572339</v>
      </c>
      <c r="AL299" s="520">
        <f>INPUT!CI168</f>
        <v>175.7</v>
      </c>
      <c r="AM299" s="687">
        <f>INPUT!CJ168</f>
        <v>-3.0353200883002196</v>
      </c>
      <c r="AN299" s="520">
        <f>INPUT!CK168</f>
        <v>212.3</v>
      </c>
      <c r="AO299" s="687">
        <f>INPUT!CL168</f>
        <v>9.2640247040658874</v>
      </c>
      <c r="AP299" s="520">
        <f>INPUT!CM168</f>
        <v>194</v>
      </c>
      <c r="AQ299" s="687">
        <f>INPUT!CN168</f>
        <v>1.944298476090367</v>
      </c>
      <c r="AR299" s="706">
        <f>INPUT!CO168</f>
        <v>201.5</v>
      </c>
      <c r="AS299" s="687">
        <f>INPUT!CP168</f>
        <v>3.2274590163934525</v>
      </c>
      <c r="AT299" s="520">
        <f>INPUT!CQ168</f>
        <v>194.3</v>
      </c>
      <c r="AU299" s="687">
        <f>INPUT!CR168</f>
        <v>10.586226522481512</v>
      </c>
      <c r="AV299" s="520">
        <f>INPUT!CS168</f>
        <v>201</v>
      </c>
      <c r="AW299" s="687">
        <f>INPUT!CT168</f>
        <v>-5.3226566179934149</v>
      </c>
      <c r="AX299" s="520">
        <f>INPUT!CU168</f>
        <v>205</v>
      </c>
      <c r="AY299" s="687">
        <f>INPUT!CV168</f>
        <v>5.6701030927835072</v>
      </c>
      <c r="AZ299" s="520">
        <f>INPUT!CW168</f>
        <v>208</v>
      </c>
      <c r="BA299" s="687">
        <f>INPUT!CX168</f>
        <v>3.2258064516129004</v>
      </c>
      <c r="BB299" s="520">
        <f>INPUT!CY168</f>
        <v>216</v>
      </c>
      <c r="BC299" s="687">
        <f>INPUT!CZ168</f>
        <v>11.168296448790516</v>
      </c>
      <c r="BD299" s="520">
        <f>INPUT!DA168</f>
        <v>227</v>
      </c>
      <c r="BE299" s="687">
        <f>INPUT!DB168</f>
        <v>12.935323383084585</v>
      </c>
      <c r="BF299" s="520">
        <f>INPUT!DC168</f>
        <v>212</v>
      </c>
      <c r="BG299" s="687">
        <f>INPUT!DD168</f>
        <v>3.4146341463414664</v>
      </c>
      <c r="BH299" s="520">
        <f>INPUT!DE168</f>
        <v>217</v>
      </c>
      <c r="BI299" s="687">
        <f>INPUT!DF168</f>
        <v>4.3269230769230838</v>
      </c>
      <c r="BJ299" s="520">
        <f>INPUT!DG168</f>
        <v>225</v>
      </c>
      <c r="BK299" s="687">
        <f>INPUT!DH168</f>
        <v>4.1666666666666741</v>
      </c>
      <c r="BL299" s="520">
        <f>INPUT!DI168</f>
        <v>227</v>
      </c>
      <c r="BM299" s="687">
        <f>INPUT!DJ168</f>
        <v>0</v>
      </c>
      <c r="BN299" s="520">
        <f>INPUT!DK168</f>
        <v>218</v>
      </c>
      <c r="BO299" s="687">
        <f>INPUT!DL168</f>
        <v>2.8301886792452935</v>
      </c>
      <c r="BP299" s="520">
        <f>INPUT!DM168</f>
        <v>216</v>
      </c>
      <c r="BQ299" s="687">
        <f>INPUT!DN168</f>
        <v>-0.46082949308755561</v>
      </c>
      <c r="BR299" s="520">
        <f>INPUT!DO168</f>
        <v>217</v>
      </c>
      <c r="BS299" s="687">
        <f>INPUT!DP168</f>
        <v>-3.5555555555555562</v>
      </c>
      <c r="BT299" s="520">
        <f>INPUT!DQ168</f>
        <v>228</v>
      </c>
      <c r="BU299" s="687">
        <f>INPUT!DR168</f>
        <v>0.4405286343612369</v>
      </c>
      <c r="BV299" s="520">
        <f>INPUT!DS168</f>
        <v>225</v>
      </c>
      <c r="BW299" s="687">
        <f>INPUT!DT168</f>
        <v>3.2110091743119185</v>
      </c>
      <c r="BX299" s="520">
        <f>INPUT!DU168</f>
        <v>231</v>
      </c>
      <c r="BY299" s="687">
        <f>INPUT!DV168</f>
        <v>6.944444444444442</v>
      </c>
      <c r="BZ299" s="520">
        <f>INPUT!DW168</f>
        <v>225</v>
      </c>
      <c r="CA299" s="687">
        <f>INPUT!DX168</f>
        <v>225</v>
      </c>
      <c r="CB299" s="520">
        <f>INPUT!DY168</f>
        <v>231</v>
      </c>
      <c r="CC299" s="687">
        <f>INPUT!DZ168</f>
        <v>1.3157894736842035</v>
      </c>
      <c r="CD299" s="520">
        <f>INPUT!EA168</f>
        <v>226</v>
      </c>
      <c r="CE299" s="687">
        <f>INPUT!EB168</f>
        <v>0.44444444444444731</v>
      </c>
      <c r="CF299" s="520">
        <f>INPUT!EC168</f>
        <v>229</v>
      </c>
      <c r="CG299" s="687">
        <f>INPUT!ED168</f>
        <v>-0.86580086580086979</v>
      </c>
      <c r="CH299" s="520">
        <f>INPUT!EE168</f>
        <v>237</v>
      </c>
      <c r="CI299" s="687">
        <f>INPUT!EF168</f>
        <v>5.3333333333333233</v>
      </c>
      <c r="CJ299" s="520">
        <f>INPUT!EG168</f>
        <v>238</v>
      </c>
      <c r="CK299" s="687">
        <f>INPUT!EH168</f>
        <v>3.0303030303030276</v>
      </c>
      <c r="CL299" s="520">
        <f>INPUT!EI168</f>
        <v>234</v>
      </c>
      <c r="CM299" s="687">
        <f>INPUT!EJ168</f>
        <v>3.539823008849563</v>
      </c>
      <c r="CN299" s="520">
        <f>INPUT!EK168</f>
        <v>240</v>
      </c>
      <c r="CO299" s="687">
        <f>INPUT!EL168</f>
        <v>4.8034934497816595</v>
      </c>
      <c r="CP299" s="520">
        <f>INPUT!EM168</f>
        <v>243</v>
      </c>
      <c r="CQ299" s="687">
        <f>INPUT!EN168</f>
        <v>2.5316455696202445</v>
      </c>
      <c r="CR299" s="520">
        <f>INPUT!EO168</f>
        <v>245</v>
      </c>
      <c r="CS299" s="687">
        <f>INPUT!EP168</f>
        <v>2.9411764705882248</v>
      </c>
      <c r="CT299" s="520">
        <f>INPUT!EQ168</f>
        <v>254.44136803552323</v>
      </c>
      <c r="CU299" s="687">
        <f>INPUT!ER168</f>
        <v>8.7356273656082237</v>
      </c>
      <c r="CV299" s="520">
        <f>INPUT!ES168</f>
        <v>255.53063278680017</v>
      </c>
      <c r="CW299" s="687">
        <f>INPUT!ET168</f>
        <v>6.4710969945000807</v>
      </c>
      <c r="CX299" s="520">
        <f>INPUT!EU168</f>
        <v>259.68612854398401</v>
      </c>
      <c r="CY299" s="687">
        <f>INPUT!EV168</f>
        <v>6.8667195654255275</v>
      </c>
      <c r="CZ299" s="520">
        <f>INPUT!EW168</f>
        <v>263.05892746389594</v>
      </c>
      <c r="DA299" s="687">
        <f>INPUT!EX168</f>
        <v>7.3709908015901826</v>
      </c>
      <c r="DB299" s="16"/>
      <c r="DC299" s="520">
        <f>INPUT!FP168</f>
        <v>684.3</v>
      </c>
      <c r="DD299" s="687">
        <f>INPUT!FQ168</f>
        <v>1.8303571428571308</v>
      </c>
      <c r="DE299" s="520">
        <f>INPUT!FR168</f>
        <v>708.1</v>
      </c>
      <c r="DF299" s="687">
        <f>INPUT!FS168</f>
        <v>3.4780067221978683</v>
      </c>
      <c r="DG299" s="520">
        <f>INPUT!FT168</f>
        <v>732.5</v>
      </c>
      <c r="DH299" s="687">
        <f>INPUT!FU168</f>
        <v>3.4458409829120074</v>
      </c>
      <c r="DI299" s="520">
        <f>INPUT!FV168</f>
        <v>780.3</v>
      </c>
      <c r="DJ299" s="687">
        <f>INPUT!FW168</f>
        <v>6.5255972696245612</v>
      </c>
      <c r="DK299" s="520">
        <f>INPUT!FX168</f>
        <v>742.8</v>
      </c>
      <c r="DL299" s="687">
        <f>INPUT!FY168</f>
        <v>-4.8058439061899332</v>
      </c>
      <c r="DM299" s="706">
        <f>INPUT!FZ168</f>
        <v>773.5</v>
      </c>
      <c r="DN299" s="687">
        <f>INPUT!GA168</f>
        <v>4.1330102315562778</v>
      </c>
      <c r="DO299" s="520">
        <f>INPUT!GB168</f>
        <v>790.8</v>
      </c>
      <c r="DP299" s="687">
        <f>INPUT!GC168</f>
        <v>2.2365869424692875</v>
      </c>
      <c r="DQ299" s="520">
        <f>INPUT!GD168</f>
        <v>856</v>
      </c>
      <c r="DR299" s="687">
        <f>INPUT!GE168</f>
        <v>8.2448153768335928</v>
      </c>
      <c r="DS299" s="520">
        <f>INPUT!GF168</f>
        <v>881</v>
      </c>
      <c r="DT299" s="687">
        <f>INPUT!GG168</f>
        <v>2.9205607476635587</v>
      </c>
      <c r="DU299" s="520">
        <f>INPUT!GH168</f>
        <v>879</v>
      </c>
      <c r="DV299" s="687">
        <f>INPUT!GI168</f>
        <v>-0.22701475595914289</v>
      </c>
      <c r="DW299" s="520">
        <f>INPUT!GJ168</f>
        <v>912</v>
      </c>
      <c r="DX299" s="687">
        <f>INPUT!GK168</f>
        <v>3.7542662116040848</v>
      </c>
      <c r="DY299" s="520">
        <f>INPUT!GL168</f>
        <v>930</v>
      </c>
      <c r="DZ299" s="687">
        <f>INPUT!GM168</f>
        <v>1.9736842105263053</v>
      </c>
      <c r="EA299" s="520">
        <f>INPUT!GN168</f>
        <v>962</v>
      </c>
      <c r="EB299" s="687">
        <f>INPUT!GO168</f>
        <v>3.4408602150537648</v>
      </c>
      <c r="EC299" s="520">
        <f>INPUT!GP168</f>
        <v>1032.7170568302035</v>
      </c>
      <c r="ED299" s="687">
        <f>INPUT!GQ168</f>
        <v>7.351045408545076</v>
      </c>
      <c r="EE299" s="520">
        <f>INPUT!GR168</f>
        <v>1070.2743084275398</v>
      </c>
      <c r="EF299" s="687">
        <f>INPUT!GS168</f>
        <v>3.6367416756544646</v>
      </c>
      <c r="EG299" s="520">
        <f>INPUT!GT168</f>
        <v>1102.9298845906633</v>
      </c>
      <c r="EH299" s="687">
        <f>INPUT!GU168</f>
        <v>3.0511408062388723</v>
      </c>
      <c r="EI299" s="520">
        <f>INPUT!GV168</f>
        <v>1139.6813821679966</v>
      </c>
      <c r="EJ299" s="687">
        <f>INPUT!GW168</f>
        <v>3.332169895004089</v>
      </c>
      <c r="EK299" s="520">
        <f>INPUT!GX168</f>
        <v>1180.4328472369011</v>
      </c>
      <c r="EL299" s="687">
        <f>INPUT!GY168</f>
        <v>3.5756892853144429</v>
      </c>
      <c r="EM299" s="687">
        <f>INPUT!GZ168</f>
        <v>4.1773348508998387</v>
      </c>
    </row>
    <row r="300" spans="1:143" ht="12.75" hidden="1" customHeight="1" outlineLevel="1" x14ac:dyDescent="0.2">
      <c r="A300" s="701"/>
      <c r="B300" s="16"/>
      <c r="C300" s="687"/>
      <c r="D300" s="16"/>
      <c r="E300" s="687"/>
      <c r="F300" s="16"/>
      <c r="G300" s="687"/>
      <c r="H300" s="16"/>
      <c r="I300" s="687"/>
      <c r="J300" s="16"/>
      <c r="K300" s="687"/>
      <c r="L300" s="16"/>
      <c r="M300" s="687"/>
      <c r="N300" s="16"/>
      <c r="O300" s="687"/>
      <c r="P300" s="16"/>
      <c r="Q300" s="687"/>
      <c r="R300" s="16"/>
      <c r="S300" s="687"/>
      <c r="T300" s="16"/>
      <c r="U300" s="687"/>
      <c r="V300" s="16"/>
      <c r="W300" s="687"/>
      <c r="X300" s="16"/>
      <c r="Y300" s="687"/>
      <c r="Z300" s="16"/>
      <c r="AA300" s="687"/>
      <c r="AB300" s="16"/>
      <c r="AC300" s="687"/>
      <c r="AD300" s="16"/>
      <c r="AE300" s="687"/>
      <c r="AF300" s="16"/>
      <c r="AG300" s="687"/>
      <c r="AH300" s="16"/>
      <c r="AI300" s="687"/>
      <c r="AJ300" s="16"/>
      <c r="AK300" s="687"/>
      <c r="AL300" s="16"/>
      <c r="AM300" s="687"/>
      <c r="AN300" s="16"/>
      <c r="AO300" s="687"/>
      <c r="AP300" s="16"/>
      <c r="AQ300" s="687"/>
      <c r="AR300" s="16"/>
      <c r="AS300" s="687"/>
      <c r="AT300" s="16"/>
      <c r="AU300" s="687"/>
      <c r="AV300" s="16"/>
      <c r="AW300" s="687"/>
      <c r="AX300" s="16"/>
      <c r="AY300" s="687"/>
      <c r="AZ300" s="16"/>
      <c r="BA300" s="687"/>
      <c r="BB300" s="16"/>
      <c r="BC300" s="687"/>
      <c r="BD300" s="16"/>
      <c r="BE300" s="687"/>
      <c r="BF300" s="16"/>
      <c r="BG300" s="687"/>
      <c r="BH300" s="16"/>
      <c r="BI300" s="687"/>
      <c r="BJ300" s="16"/>
      <c r="BK300" s="687"/>
      <c r="BL300" s="16"/>
      <c r="BM300" s="687"/>
      <c r="BN300" s="16"/>
      <c r="BO300" s="687"/>
      <c r="BP300" s="16"/>
      <c r="BQ300" s="687"/>
      <c r="BR300" s="16"/>
      <c r="BS300" s="687"/>
      <c r="BT300" s="16"/>
      <c r="BU300" s="687"/>
      <c r="BV300" s="16"/>
      <c r="BW300" s="687"/>
      <c r="BX300" s="16"/>
      <c r="BY300" s="687"/>
      <c r="BZ300" s="16"/>
      <c r="CA300" s="687"/>
      <c r="CB300" s="16"/>
      <c r="CC300" s="687"/>
      <c r="CD300" s="16"/>
      <c r="CE300" s="687"/>
      <c r="CF300" s="16"/>
      <c r="CG300" s="687"/>
      <c r="CH300" s="16"/>
      <c r="CI300" s="687"/>
      <c r="CJ300" s="16"/>
      <c r="CK300" s="687"/>
      <c r="CL300" s="16"/>
      <c r="CM300" s="687"/>
      <c r="CN300" s="16"/>
      <c r="CO300" s="687"/>
      <c r="CP300" s="16"/>
      <c r="CQ300" s="687"/>
      <c r="CR300" s="16"/>
      <c r="CS300" s="687"/>
      <c r="CT300" s="16"/>
      <c r="CU300" s="687"/>
      <c r="CV300" s="16"/>
      <c r="CW300" s="687"/>
      <c r="CX300" s="16"/>
      <c r="CY300" s="687"/>
      <c r="CZ300" s="16"/>
      <c r="DA300" s="687"/>
      <c r="DB300" s="16"/>
      <c r="DC300" s="16"/>
      <c r="DD300" s="687"/>
      <c r="DE300" s="16"/>
      <c r="DF300" s="687"/>
      <c r="DG300" s="16"/>
      <c r="DH300" s="687"/>
      <c r="DI300" s="16"/>
      <c r="DJ300" s="687"/>
      <c r="DK300" s="16"/>
      <c r="DL300" s="687"/>
      <c r="DM300" s="16"/>
      <c r="DN300" s="687"/>
      <c r="DO300" s="16"/>
      <c r="DP300" s="687"/>
      <c r="DQ300" s="16"/>
      <c r="DR300" s="687"/>
      <c r="DS300" s="16"/>
      <c r="DT300" s="687"/>
      <c r="DU300" s="16"/>
      <c r="DV300" s="687"/>
      <c r="DW300" s="16"/>
      <c r="DX300" s="687"/>
      <c r="DY300" s="16"/>
      <c r="DZ300" s="687"/>
      <c r="EA300" s="16"/>
      <c r="EB300" s="687"/>
      <c r="EC300" s="16"/>
      <c r="ED300" s="687"/>
      <c r="EE300" s="16"/>
      <c r="EF300" s="687"/>
      <c r="EG300" s="16"/>
      <c r="EH300" s="687"/>
      <c r="EI300" s="16"/>
      <c r="EJ300" s="687"/>
      <c r="EK300" s="16"/>
      <c r="EL300" s="687"/>
      <c r="EM300" s="687"/>
    </row>
    <row r="301" spans="1:143" ht="12.75" hidden="1" customHeight="1" outlineLevel="1" x14ac:dyDescent="0.2">
      <c r="A301" s="700" t="str">
        <f>INPUT!B174</f>
        <v>Pretax Earnings</v>
      </c>
      <c r="B301" s="520">
        <f>INPUT!AY174</f>
        <v>75.199999999999989</v>
      </c>
      <c r="C301" s="687">
        <f>INPUT!AZ174</f>
        <v>25.752508361203972</v>
      </c>
      <c r="D301" s="520">
        <f>INPUT!BA174</f>
        <v>77</v>
      </c>
      <c r="E301" s="687">
        <f>INPUT!BB174</f>
        <v>22.807017543859676</v>
      </c>
      <c r="F301" s="520">
        <f>INPUT!BC174</f>
        <v>67.5</v>
      </c>
      <c r="G301" s="687">
        <f>INPUT!BD174</f>
        <v>-10.94986807387861</v>
      </c>
      <c r="H301" s="520">
        <f>INPUT!BE174</f>
        <v>60.399999999999977</v>
      </c>
      <c r="I301" s="687">
        <f>INPUT!BF174</f>
        <v>-3.9745627980922071</v>
      </c>
      <c r="J301" s="520">
        <f>INPUT!BG174</f>
        <v>70.800000000000011</v>
      </c>
      <c r="K301" s="687">
        <f>INPUT!BH174</f>
        <v>-5.851063829787206</v>
      </c>
      <c r="L301" s="520">
        <f>INPUT!BI174</f>
        <v>66.800000000000011</v>
      </c>
      <c r="M301" s="687">
        <f>INPUT!BJ174</f>
        <v>-13.246753246753229</v>
      </c>
      <c r="N301" s="520">
        <f>INPUT!BK174</f>
        <v>54.099999999999994</v>
      </c>
      <c r="O301" s="687">
        <f>INPUT!BL174</f>
        <v>-19.851851851851865</v>
      </c>
      <c r="P301" s="520">
        <f>INPUT!BM174</f>
        <v>61.200000000000017</v>
      </c>
      <c r="Q301" s="687">
        <f>INPUT!BN174</f>
        <v>1.3245033112583515</v>
      </c>
      <c r="R301" s="520">
        <f>INPUT!BO174</f>
        <v>55.5</v>
      </c>
      <c r="S301" s="687">
        <f>INPUT!BP174</f>
        <v>-21.610169491525433</v>
      </c>
      <c r="T301" s="520">
        <f>INPUT!BQ174</f>
        <v>57</v>
      </c>
      <c r="U301" s="687">
        <f>INPUT!BR174</f>
        <v>-14.670658682634741</v>
      </c>
      <c r="V301" s="520">
        <f>INPUT!BS174</f>
        <v>57</v>
      </c>
      <c r="W301" s="687">
        <f>INPUT!BT174</f>
        <v>5.3604436229205188</v>
      </c>
      <c r="X301" s="520">
        <f>INPUT!BU174</f>
        <v>-17.300000000000011</v>
      </c>
      <c r="Y301" s="687" t="str">
        <f>INPUT!BV174</f>
        <v>NM</v>
      </c>
      <c r="Z301" s="520">
        <f>INPUT!BW174</f>
        <v>36.399999999999977</v>
      </c>
      <c r="AA301" s="687">
        <f>INPUT!BX174</f>
        <v>-34.414414414414452</v>
      </c>
      <c r="AB301" s="520">
        <f>INPUT!BY174</f>
        <v>38.300000000000011</v>
      </c>
      <c r="AC301" s="687">
        <f>INPUT!BZ174</f>
        <v>-32.807017543859629</v>
      </c>
      <c r="AD301" s="520">
        <f>INPUT!CA174</f>
        <v>59.400000000000006</v>
      </c>
      <c r="AE301" s="687">
        <f>INPUT!CB174</f>
        <v>4.2105263157894868</v>
      </c>
      <c r="AF301" s="520">
        <f>INPUT!CC174</f>
        <v>49.399999999999977</v>
      </c>
      <c r="AG301" s="687" t="str">
        <f>INPUT!CD174</f>
        <v>NM</v>
      </c>
      <c r="AH301" s="520">
        <f>INPUT!CE174</f>
        <v>50.199999999999989</v>
      </c>
      <c r="AI301" s="687">
        <f>INPUT!CF174</f>
        <v>37.912087912087976</v>
      </c>
      <c r="AJ301" s="520">
        <f>INPUT!CG174</f>
        <v>50.100000000000023</v>
      </c>
      <c r="AK301" s="687">
        <f>INPUT!CH174</f>
        <v>30.80939947780681</v>
      </c>
      <c r="AL301" s="520">
        <f>INPUT!CI174</f>
        <v>68.900000000000006</v>
      </c>
      <c r="AM301" s="687">
        <f>INPUT!CJ174</f>
        <v>15.993265993265982</v>
      </c>
      <c r="AN301" s="520">
        <f>INPUT!CK174</f>
        <v>45</v>
      </c>
      <c r="AO301" s="687">
        <f>INPUT!CL174</f>
        <v>-8.9068825910930798</v>
      </c>
      <c r="AP301" s="520">
        <f>INPUT!CM174</f>
        <v>69</v>
      </c>
      <c r="AQ301" s="687">
        <f>INPUT!CN174</f>
        <v>37.450199203187282</v>
      </c>
      <c r="AR301" s="706">
        <f>INPUT!CO174</f>
        <v>58.199999999999989</v>
      </c>
      <c r="AS301" s="687">
        <f>INPUT!CP174</f>
        <v>16.167664670658599</v>
      </c>
      <c r="AT301" s="520">
        <f>INPUT!CQ174</f>
        <v>53.5</v>
      </c>
      <c r="AU301" s="687">
        <f>INPUT!CR174</f>
        <v>-22.351233671988389</v>
      </c>
      <c r="AV301" s="520">
        <f>INPUT!CS174</f>
        <v>45</v>
      </c>
      <c r="AW301" s="687">
        <f>INPUT!CT174</f>
        <v>0</v>
      </c>
      <c r="AX301" s="520">
        <f>INPUT!CU174</f>
        <v>47</v>
      </c>
      <c r="AY301" s="687">
        <f>INPUT!CV174</f>
        <v>-31.884057971014489</v>
      </c>
      <c r="AZ301" s="520">
        <f>INPUT!CW174</f>
        <v>50</v>
      </c>
      <c r="BA301" s="687">
        <f>INPUT!CX174</f>
        <v>-14.089347079037784</v>
      </c>
      <c r="BB301" s="520">
        <f>INPUT!CY174</f>
        <v>39</v>
      </c>
      <c r="BC301" s="687">
        <f>INPUT!CZ174</f>
        <v>-27.10280373831776</v>
      </c>
      <c r="BD301" s="520">
        <f>INPUT!DA174</f>
        <v>32</v>
      </c>
      <c r="BE301" s="687">
        <f>INPUT!DB174</f>
        <v>-28.888888888888886</v>
      </c>
      <c r="BF301" s="520">
        <f>INPUT!DC174</f>
        <v>48</v>
      </c>
      <c r="BG301" s="687">
        <f>INPUT!DD174</f>
        <v>2.1276595744680771</v>
      </c>
      <c r="BH301" s="520">
        <f>INPUT!DE174</f>
        <v>54</v>
      </c>
      <c r="BI301" s="687">
        <f>INPUT!DF174</f>
        <v>8.0000000000000071</v>
      </c>
      <c r="BJ301" s="520">
        <f>INPUT!DG174</f>
        <v>44</v>
      </c>
      <c r="BK301" s="687">
        <f>INPUT!DH174</f>
        <v>12.820512820512819</v>
      </c>
      <c r="BL301" s="520">
        <f>INPUT!DI174</f>
        <v>44</v>
      </c>
      <c r="BM301" s="687">
        <f>INPUT!DJ174</f>
        <v>37.5</v>
      </c>
      <c r="BN301" s="520">
        <f>INPUT!DK174</f>
        <v>53</v>
      </c>
      <c r="BO301" s="687">
        <f>INPUT!DL174</f>
        <v>10.416666666666675</v>
      </c>
      <c r="BP301" s="520">
        <f>INPUT!DM174</f>
        <v>54</v>
      </c>
      <c r="BQ301" s="687">
        <f>INPUT!DN174</f>
        <v>0</v>
      </c>
      <c r="BR301" s="520">
        <f>INPUT!DO174</f>
        <v>55</v>
      </c>
      <c r="BS301" s="687">
        <f>INPUT!DP174</f>
        <v>25</v>
      </c>
      <c r="BT301" s="520">
        <f>INPUT!DQ174</f>
        <v>49</v>
      </c>
      <c r="BU301" s="687">
        <f>INPUT!DR174</f>
        <v>11.363636363636353</v>
      </c>
      <c r="BV301" s="520">
        <f>INPUT!DS174</f>
        <v>48</v>
      </c>
      <c r="BW301" s="687">
        <f>INPUT!DT174</f>
        <v>-9.4339622641509422</v>
      </c>
      <c r="BX301" s="520">
        <f>INPUT!DU174</f>
        <v>39</v>
      </c>
      <c r="BY301" s="687">
        <f>INPUT!DV174</f>
        <v>-27.777777777777779</v>
      </c>
      <c r="BZ301" s="520">
        <f>INPUT!DW174</f>
        <v>57</v>
      </c>
      <c r="CA301" s="687">
        <f>INPUT!DX174</f>
        <v>57</v>
      </c>
      <c r="CB301" s="520">
        <f>INPUT!DY174</f>
        <v>45</v>
      </c>
      <c r="CC301" s="687">
        <f>INPUT!DZ174</f>
        <v>-8.1632653061224474</v>
      </c>
      <c r="CD301" s="520">
        <f>INPUT!EA174</f>
        <v>41</v>
      </c>
      <c r="CE301" s="687">
        <f>INPUT!EB174</f>
        <v>-14.583333333333337</v>
      </c>
      <c r="CF301" s="520">
        <f>INPUT!EC174</f>
        <v>41</v>
      </c>
      <c r="CG301" s="687">
        <f>INPUT!ED174</f>
        <v>5.1282051282051322</v>
      </c>
      <c r="CH301" s="520">
        <f>INPUT!EE174</f>
        <v>45</v>
      </c>
      <c r="CI301" s="687">
        <f>INPUT!EF174</f>
        <v>-21.052631578947366</v>
      </c>
      <c r="CJ301" s="520">
        <f>INPUT!EG174</f>
        <v>46</v>
      </c>
      <c r="CK301" s="687">
        <f>INPUT!EH174</f>
        <v>2.2222222222222143</v>
      </c>
      <c r="CL301" s="520">
        <f>INPUT!EI174</f>
        <v>48</v>
      </c>
      <c r="CM301" s="687">
        <f>INPUT!EJ174</f>
        <v>17.073170731707311</v>
      </c>
      <c r="CN301" s="520">
        <f>INPUT!EK174</f>
        <v>50</v>
      </c>
      <c r="CO301" s="687">
        <f>INPUT!EL174</f>
        <v>21.95121951219512</v>
      </c>
      <c r="CP301" s="520">
        <f>INPUT!EM174</f>
        <v>48</v>
      </c>
      <c r="CQ301" s="687">
        <f>INPUT!EN174</f>
        <v>6.6666666666666652</v>
      </c>
      <c r="CR301" s="520">
        <f>INPUT!EO174</f>
        <v>57</v>
      </c>
      <c r="CS301" s="687">
        <f>INPUT!EP174</f>
        <v>23.913043478260864</v>
      </c>
      <c r="CT301" s="520">
        <f>INPUT!EQ174</f>
        <v>53.343347813168691</v>
      </c>
      <c r="CU301" s="687">
        <f>INPUT!ER174</f>
        <v>11.131974610768115</v>
      </c>
      <c r="CV301" s="520">
        <f>INPUT!ES174</f>
        <v>53.273135512410107</v>
      </c>
      <c r="CW301" s="687">
        <f>INPUT!ET174</f>
        <v>6.5462710248202161</v>
      </c>
      <c r="CX301" s="520">
        <f>INPUT!EU174</f>
        <v>53.82278974362157</v>
      </c>
      <c r="CY301" s="687">
        <f>INPUT!EV174</f>
        <v>12.130811965878262</v>
      </c>
      <c r="CZ301" s="520">
        <f>INPUT!EW174</f>
        <v>54.201124398471563</v>
      </c>
      <c r="DA301" s="687">
        <f>INPUT!EX174</f>
        <v>-4.910308072856906</v>
      </c>
      <c r="DB301" s="16"/>
      <c r="DC301" s="520">
        <f>INPUT!FP174</f>
        <v>261.20000000000005</v>
      </c>
      <c r="DD301" s="687">
        <f>INPUT!FQ174</f>
        <v>6.1788617886179065</v>
      </c>
      <c r="DE301" s="520">
        <f>INPUT!FR174</f>
        <v>280.10000000000002</v>
      </c>
      <c r="DF301" s="687">
        <f>INPUT!FS174</f>
        <v>7.2358346094946402</v>
      </c>
      <c r="DG301" s="520">
        <f>INPUT!FT174</f>
        <v>252.89999999999998</v>
      </c>
      <c r="DH301" s="687">
        <f>INPUT!FU174</f>
        <v>-9.7108175651553168</v>
      </c>
      <c r="DI301" s="520">
        <f>INPUT!FV174</f>
        <v>152.20000000000005</v>
      </c>
      <c r="DJ301" s="687">
        <f>INPUT!FW174</f>
        <v>-39.818109924871472</v>
      </c>
      <c r="DK301" s="520">
        <f>INPUT!FX174</f>
        <v>183.50000000000011</v>
      </c>
      <c r="DL301" s="687">
        <f>INPUT!FY174</f>
        <v>20.565045992115682</v>
      </c>
      <c r="DM301" s="706">
        <f>INPUT!FZ174</f>
        <v>214.20000000000005</v>
      </c>
      <c r="DN301" s="687">
        <f>INPUT!GA174</f>
        <v>16.730245231607576</v>
      </c>
      <c r="DO301" s="520">
        <f>INPUT!GB174</f>
        <v>225.70000000000005</v>
      </c>
      <c r="DP301" s="687">
        <f>INPUT!GC174</f>
        <v>5.3688141923436072</v>
      </c>
      <c r="DQ301" s="520">
        <f>INPUT!GD174</f>
        <v>168</v>
      </c>
      <c r="DR301" s="687">
        <f>INPUT!GE174</f>
        <v>-25.564909171466567</v>
      </c>
      <c r="DS301" s="520">
        <f>INPUT!GF174</f>
        <v>190</v>
      </c>
      <c r="DT301" s="687">
        <f>INPUT!GG174</f>
        <v>13.095238095238093</v>
      </c>
      <c r="DU301" s="520">
        <f>INPUT!GH174</f>
        <v>211</v>
      </c>
      <c r="DV301" s="687">
        <f>INPUT!GI174</f>
        <v>11.052631578947359</v>
      </c>
      <c r="DW301" s="520">
        <f>INPUT!GJ174</f>
        <v>189</v>
      </c>
      <c r="DX301" s="687">
        <f>INPUT!GK174</f>
        <v>-10.426540284360186</v>
      </c>
      <c r="DY301" s="520">
        <f>INPUT!GL174</f>
        <v>173</v>
      </c>
      <c r="DZ301" s="687">
        <f>INPUT!GM174</f>
        <v>-8.4656084656084651</v>
      </c>
      <c r="EA301" s="520">
        <f>INPUT!GN174</f>
        <v>203</v>
      </c>
      <c r="EB301" s="687">
        <f>INPUT!GO174</f>
        <v>17.341040462427749</v>
      </c>
      <c r="EC301" s="520">
        <f>INPUT!GP174</f>
        <v>214.64039746767185</v>
      </c>
      <c r="ED301" s="687">
        <f>INPUT!GQ174</f>
        <v>5.734185944665926</v>
      </c>
      <c r="EE301" s="520">
        <f>INPUT!GR174</f>
        <v>221.05770276650378</v>
      </c>
      <c r="EF301" s="687">
        <f>INPUT!GS174</f>
        <v>2.9897938014201042</v>
      </c>
      <c r="EG301" s="520">
        <f>INPUT!GT174</f>
        <v>227.69522599924835</v>
      </c>
      <c r="EH301" s="687">
        <f>INPUT!GU174</f>
        <v>3.0026201981097955</v>
      </c>
      <c r="EI301" s="520">
        <f>INPUT!GV174</f>
        <v>235.1652800503291</v>
      </c>
      <c r="EJ301" s="687">
        <f>INPUT!GW174</f>
        <v>3.2807249332076127</v>
      </c>
      <c r="EK301" s="520">
        <f>INPUT!GX174</f>
        <v>243.44836146993339</v>
      </c>
      <c r="EL301" s="687">
        <f>INPUT!GY174</f>
        <v>3.5222382393487628</v>
      </c>
      <c r="EM301" s="687">
        <f>INPUT!GZ174</f>
        <v>3.7008135684554411</v>
      </c>
    </row>
    <row r="302" spans="1:143" ht="12.75" hidden="1" customHeight="1" outlineLevel="1" x14ac:dyDescent="0.2">
      <c r="A302" s="701" t="str">
        <f>INPUT!B175</f>
        <v>Taxes</v>
      </c>
      <c r="B302" s="151">
        <f>INPUT!AY175</f>
        <v>22.7</v>
      </c>
      <c r="C302" s="687">
        <f>INPUT!AZ175</f>
        <v>36.74698795180722</v>
      </c>
      <c r="D302" s="151">
        <f>INPUT!BA175</f>
        <v>22.7</v>
      </c>
      <c r="E302" s="687">
        <f>INPUT!BB175</f>
        <v>30.459770114942543</v>
      </c>
      <c r="F302" s="151">
        <f>INPUT!BC175</f>
        <v>15</v>
      </c>
      <c r="G302" s="687">
        <f>INPUT!BD175</f>
        <v>-33.035714285714278</v>
      </c>
      <c r="H302" s="151">
        <f>INPUT!BE175</f>
        <v>15.8</v>
      </c>
      <c r="I302" s="687">
        <f>INPUT!BF175</f>
        <v>-10.734463276836149</v>
      </c>
      <c r="J302" s="151">
        <f>INPUT!BG175</f>
        <v>21.1</v>
      </c>
      <c r="K302" s="687">
        <f>INPUT!BH175</f>
        <v>-7.0484581497797238</v>
      </c>
      <c r="L302" s="151">
        <f>INPUT!BI175</f>
        <v>19.5</v>
      </c>
      <c r="M302" s="687">
        <f>INPUT!BJ175</f>
        <v>-14.096916299559471</v>
      </c>
      <c r="N302" s="151">
        <f>INPUT!BK175</f>
        <v>12.9</v>
      </c>
      <c r="O302" s="687">
        <f>INPUT!BL175</f>
        <v>-14.000000000000002</v>
      </c>
      <c r="P302" s="151">
        <f>INPUT!BM175</f>
        <v>18.100000000000001</v>
      </c>
      <c r="Q302" s="687">
        <f>INPUT!BN175</f>
        <v>14.556962025316466</v>
      </c>
      <c r="R302" s="151">
        <f>INPUT!BO175</f>
        <v>15.1</v>
      </c>
      <c r="S302" s="687">
        <f>INPUT!BP175</f>
        <v>-28.436018957345976</v>
      </c>
      <c r="T302" s="151">
        <f>INPUT!BQ175</f>
        <v>15.7</v>
      </c>
      <c r="U302" s="687">
        <f>INPUT!BR175</f>
        <v>-19.487179487179496</v>
      </c>
      <c r="V302" s="151">
        <f>INPUT!BS175</f>
        <v>14.9</v>
      </c>
      <c r="W302" s="687">
        <f>INPUT!BT175</f>
        <v>15.503875968992254</v>
      </c>
      <c r="X302" s="151">
        <f>INPUT!BU175</f>
        <v>-16.2</v>
      </c>
      <c r="Y302" s="687" t="str">
        <f>INPUT!BV175</f>
        <v>NM</v>
      </c>
      <c r="Z302" s="151">
        <f>INPUT!BW175</f>
        <v>6.6</v>
      </c>
      <c r="AA302" s="687" t="str">
        <f>INPUT!BX175</f>
        <v>NM</v>
      </c>
      <c r="AB302" s="151">
        <f>INPUT!BY175</f>
        <v>10.6</v>
      </c>
      <c r="AC302" s="687">
        <f>INPUT!BZ175</f>
        <v>-32.484076433121025</v>
      </c>
      <c r="AD302" s="151">
        <f>INPUT!CA175</f>
        <v>16.8</v>
      </c>
      <c r="AE302" s="687">
        <f>INPUT!CB175</f>
        <v>12.751677852348987</v>
      </c>
      <c r="AF302" s="151">
        <f>INPUT!CC175</f>
        <v>16.100000000000001</v>
      </c>
      <c r="AG302" s="687" t="str">
        <f>INPUT!CD175</f>
        <v>NM</v>
      </c>
      <c r="AH302" s="151">
        <f>INPUT!CE175</f>
        <v>14.3</v>
      </c>
      <c r="AI302" s="687" t="str">
        <f>INPUT!CF175</f>
        <v>NM</v>
      </c>
      <c r="AJ302" s="151">
        <f>INPUT!CG175</f>
        <v>14.1</v>
      </c>
      <c r="AK302" s="687">
        <f>INPUT!CH175</f>
        <v>33.018867924528308</v>
      </c>
      <c r="AL302" s="151">
        <f>INPUT!CI175</f>
        <v>19.100000000000001</v>
      </c>
      <c r="AM302" s="687">
        <f>INPUT!CJ175</f>
        <v>13.690476190476186</v>
      </c>
      <c r="AN302" s="151">
        <f>INPUT!CK175</f>
        <v>12.4</v>
      </c>
      <c r="AO302" s="687">
        <f>INPUT!CL175</f>
        <v>-22.981366459627338</v>
      </c>
      <c r="AP302" s="151">
        <f>INPUT!CM175</f>
        <v>21.3</v>
      </c>
      <c r="AQ302" s="687">
        <f>INPUT!CN175</f>
        <v>48.951048951048961</v>
      </c>
      <c r="AR302" s="151">
        <f>INPUT!CO175</f>
        <v>16.8</v>
      </c>
      <c r="AS302" s="687">
        <f>INPUT!CP175</f>
        <v>19.148936170212782</v>
      </c>
      <c r="AT302" s="151">
        <f>INPUT!CQ175</f>
        <v>14.3</v>
      </c>
      <c r="AU302" s="687">
        <f>INPUT!CR175</f>
        <v>-25.130890052356026</v>
      </c>
      <c r="AV302" s="151">
        <f>INPUT!CS175</f>
        <v>12</v>
      </c>
      <c r="AW302" s="687">
        <f>INPUT!CT175</f>
        <v>-3.2258064516129115</v>
      </c>
      <c r="AX302" s="151">
        <f>INPUT!CU175</f>
        <v>12</v>
      </c>
      <c r="AY302" s="687">
        <f>INPUT!CV175</f>
        <v>-43.661971830985912</v>
      </c>
      <c r="AZ302" s="151">
        <f>INPUT!CW175</f>
        <v>12</v>
      </c>
      <c r="BA302" s="687">
        <f>INPUT!CX175</f>
        <v>-28.571428571428569</v>
      </c>
      <c r="BB302" s="151">
        <f>INPUT!CY175</f>
        <v>10</v>
      </c>
      <c r="BC302" s="687">
        <f>INPUT!CZ175</f>
        <v>-30.069930069930074</v>
      </c>
      <c r="BD302" s="151">
        <f>INPUT!DA175</f>
        <v>4</v>
      </c>
      <c r="BE302" s="687" t="str">
        <f>INPUT!DB175</f>
        <v>NM</v>
      </c>
      <c r="BF302" s="151">
        <f>INPUT!DC175</f>
        <v>13</v>
      </c>
      <c r="BG302" s="687">
        <f>INPUT!DD175</f>
        <v>8.333333333333325</v>
      </c>
      <c r="BH302" s="151">
        <f>INPUT!DE175</f>
        <v>15</v>
      </c>
      <c r="BI302" s="687">
        <f>INPUT!DF175</f>
        <v>25</v>
      </c>
      <c r="BJ302" s="151">
        <f>INPUT!DG175</f>
        <v>11</v>
      </c>
      <c r="BK302" s="687">
        <f>INPUT!DH175</f>
        <v>10.000000000000009</v>
      </c>
      <c r="BL302" s="151">
        <f>INPUT!DI175</f>
        <v>10</v>
      </c>
      <c r="BM302" s="687" t="str">
        <f>INPUT!DJ175</f>
        <v>NM</v>
      </c>
      <c r="BN302" s="151">
        <f>INPUT!DK175</f>
        <v>14</v>
      </c>
      <c r="BO302" s="687">
        <f>INPUT!DL175</f>
        <v>7.6923076923076872</v>
      </c>
      <c r="BP302" s="151">
        <f>INPUT!DM175</f>
        <v>15</v>
      </c>
      <c r="BQ302" s="687">
        <f>INPUT!DN175</f>
        <v>0</v>
      </c>
      <c r="BR302" s="151">
        <f>INPUT!DO175</f>
        <v>15</v>
      </c>
      <c r="BS302" s="687">
        <f>INPUT!DP175</f>
        <v>36.363636363636353</v>
      </c>
      <c r="BT302" s="151">
        <f>INPUT!DQ175</f>
        <v>7</v>
      </c>
      <c r="BU302" s="687">
        <f>INPUT!DR175</f>
        <v>-30.000000000000004</v>
      </c>
      <c r="BV302" s="151">
        <f>INPUT!DS175</f>
        <v>13</v>
      </c>
      <c r="BW302" s="687">
        <f>INPUT!DT175</f>
        <v>-7.1428571428571397</v>
      </c>
      <c r="BX302" s="151">
        <f>INPUT!DU175</f>
        <v>9</v>
      </c>
      <c r="BY302" s="687">
        <f>INPUT!DV175</f>
        <v>-40</v>
      </c>
      <c r="BZ302" s="151">
        <f>INPUT!DW175</f>
        <v>15</v>
      </c>
      <c r="CA302" s="687">
        <f>INPUT!DX175</f>
        <v>15</v>
      </c>
      <c r="CB302" s="151">
        <f>INPUT!DY175</f>
        <v>12</v>
      </c>
      <c r="CC302" s="687">
        <f>INPUT!DZ175</f>
        <v>71.428571428571416</v>
      </c>
      <c r="CD302" s="151">
        <f>INPUT!EA175</f>
        <v>10</v>
      </c>
      <c r="CE302" s="687">
        <f>INPUT!EB175</f>
        <v>-23.076923076923073</v>
      </c>
      <c r="CF302" s="151">
        <f>INPUT!EC175</f>
        <v>10</v>
      </c>
      <c r="CG302" s="687">
        <f>INPUT!ED175</f>
        <v>11.111111111111116</v>
      </c>
      <c r="CH302" s="151">
        <f>INPUT!EE175</f>
        <v>13</v>
      </c>
      <c r="CI302" s="687">
        <f>INPUT!EF175</f>
        <v>-13.33333333333333</v>
      </c>
      <c r="CJ302" s="151">
        <f>INPUT!EG175</f>
        <v>12</v>
      </c>
      <c r="CK302" s="687">
        <f>INPUT!EH175</f>
        <v>0</v>
      </c>
      <c r="CL302" s="151">
        <f>INPUT!EI175</f>
        <v>11</v>
      </c>
      <c r="CM302" s="687">
        <f>INPUT!EJ175</f>
        <v>10.000000000000009</v>
      </c>
      <c r="CN302" s="151">
        <f>INPUT!EK175</f>
        <v>13</v>
      </c>
      <c r="CO302" s="687">
        <f>INPUT!EL175</f>
        <v>30.000000000000004</v>
      </c>
      <c r="CP302" s="151">
        <f>INPUT!EM175</f>
        <v>13</v>
      </c>
      <c r="CQ302" s="687">
        <f>INPUT!EN175</f>
        <v>0</v>
      </c>
      <c r="CR302" s="151">
        <f>INPUT!EO175</f>
        <v>16</v>
      </c>
      <c r="CS302" s="687">
        <f>INPUT!EP175</f>
        <v>33.333333333333329</v>
      </c>
      <c r="CT302" s="151">
        <f>INPUT!EQ175</f>
        <v>8.5349356501069913</v>
      </c>
      <c r="CU302" s="687">
        <f>INPUT!ER175</f>
        <v>-22.409675908118267</v>
      </c>
      <c r="CV302" s="151">
        <f>INPUT!ES175</f>
        <v>8.5237016819856173</v>
      </c>
      <c r="CW302" s="687">
        <f>INPUT!ET175</f>
        <v>-34.433063984726019</v>
      </c>
      <c r="CX302" s="151">
        <f>INPUT!EU175</f>
        <v>8.611646358979451</v>
      </c>
      <c r="CY302" s="687">
        <f>INPUT!EV175</f>
        <v>-33.756566469388837</v>
      </c>
      <c r="CZ302" s="151">
        <f>INPUT!EW175</f>
        <v>8.6721799037554508</v>
      </c>
      <c r="DA302" s="687">
        <f>INPUT!EX175</f>
        <v>-45.79887560152843</v>
      </c>
      <c r="DB302" s="16"/>
      <c r="DC302" s="151">
        <f>INPUT!FP175</f>
        <v>74.099999999999994</v>
      </c>
      <c r="DD302" s="687">
        <f>INPUT!FQ175</f>
        <v>10.597014925373127</v>
      </c>
      <c r="DE302" s="151">
        <f>INPUT!FR175</f>
        <v>76.2</v>
      </c>
      <c r="DF302" s="687">
        <f>INPUT!FS175</f>
        <v>2.8340080971660075</v>
      </c>
      <c r="DG302" s="151">
        <f>INPUT!FT175</f>
        <v>71.599999999999994</v>
      </c>
      <c r="DH302" s="687">
        <f>INPUT!FU175</f>
        <v>-6.0367454068241617</v>
      </c>
      <c r="DI302" s="151">
        <f>INPUT!FV175</f>
        <v>29.499999999999996</v>
      </c>
      <c r="DJ302" s="687" t="str">
        <f>INPUT!FW175</f>
        <v>NM</v>
      </c>
      <c r="DK302" s="151">
        <f>INPUT!FX175</f>
        <v>50.1</v>
      </c>
      <c r="DL302" s="687">
        <f>INPUT!FY175</f>
        <v>69.830508474576305</v>
      </c>
      <c r="DM302" s="151">
        <f>INPUT!FZ175</f>
        <v>59.9</v>
      </c>
      <c r="DN302" s="687">
        <f>INPUT!GA175</f>
        <v>19.56087824351296</v>
      </c>
      <c r="DO302" s="151">
        <f>INPUT!GB175</f>
        <v>64.400000000000006</v>
      </c>
      <c r="DP302" s="687">
        <f>INPUT!GC175</f>
        <v>7.5125208681135369</v>
      </c>
      <c r="DQ302" s="151">
        <f>INPUT!GD175</f>
        <v>38</v>
      </c>
      <c r="DR302" s="687">
        <f>INPUT!GE175</f>
        <v>-40.993788819875789</v>
      </c>
      <c r="DS302" s="151">
        <f>INPUT!GF175</f>
        <v>49</v>
      </c>
      <c r="DT302" s="687">
        <f>INPUT!GG175</f>
        <v>28.947368421052634</v>
      </c>
      <c r="DU302" s="151">
        <f>INPUT!GH175</f>
        <v>51</v>
      </c>
      <c r="DV302" s="687">
        <f>INPUT!GI175</f>
        <v>4.081632653061229</v>
      </c>
      <c r="DW302" s="151">
        <f>INPUT!GJ175</f>
        <v>49</v>
      </c>
      <c r="DX302" s="687">
        <f>INPUT!GK175</f>
        <v>-3.9215686274509776</v>
      </c>
      <c r="DY302" s="151">
        <f>INPUT!GL175</f>
        <v>45</v>
      </c>
      <c r="DZ302" s="687">
        <f>INPUT!GM175</f>
        <v>-8.1632653061224474</v>
      </c>
      <c r="EA302" s="151">
        <f>INPUT!GN175</f>
        <v>53</v>
      </c>
      <c r="EB302" s="687">
        <f>INPUT!GO175</f>
        <v>17.777777777777782</v>
      </c>
      <c r="EC302" s="151">
        <f>INPUT!GP175</f>
        <v>34.342463594827507</v>
      </c>
      <c r="ED302" s="687">
        <f>INPUT!GQ175</f>
        <v>-35.20289887768395</v>
      </c>
      <c r="EE302" s="151">
        <f>INPUT!GR175</f>
        <v>35.369232442640616</v>
      </c>
      <c r="EF302" s="687">
        <f>INPUT!GS175</f>
        <v>2.9897938014201042</v>
      </c>
      <c r="EG302" s="151">
        <f>INPUT!GT175</f>
        <v>36.431236159879752</v>
      </c>
      <c r="EH302" s="687">
        <f>INPUT!GU175</f>
        <v>3.0026201981098177</v>
      </c>
      <c r="EI302" s="151">
        <f>INPUT!GV175</f>
        <v>37.626444808052675</v>
      </c>
      <c r="EJ302" s="687">
        <f>INPUT!GW175</f>
        <v>3.2807249332076127</v>
      </c>
      <c r="EK302" s="151">
        <f>INPUT!GX175</f>
        <v>38.951737835189363</v>
      </c>
      <c r="EL302" s="687">
        <f>INPUT!GY175</f>
        <v>3.5222382393487628</v>
      </c>
      <c r="EM302" s="687">
        <f>INPUT!GZ175</f>
        <v>-5.9735165933741836</v>
      </c>
    </row>
    <row r="303" spans="1:143" ht="12.75" hidden="1" customHeight="1" outlineLevel="1" x14ac:dyDescent="0.2">
      <c r="A303" s="701" t="str">
        <f>INPUT!B176</f>
        <v>Tax Rate (%)</v>
      </c>
      <c r="B303" s="156">
        <f>INPUT!AY176</f>
        <v>30.186170212765962</v>
      </c>
      <c r="C303" s="687">
        <f>INPUT!AZ176</f>
        <v>8.7429505255063091</v>
      </c>
      <c r="D303" s="156">
        <f>INPUT!BA176</f>
        <v>29.480519480519479</v>
      </c>
      <c r="E303" s="687">
        <f>INPUT!BB176</f>
        <v>6.2315270935960454</v>
      </c>
      <c r="F303" s="156">
        <f>INPUT!BC176</f>
        <v>22.222222222222221</v>
      </c>
      <c r="G303" s="687">
        <f>INPUT!BD176</f>
        <v>-24.801587301587315</v>
      </c>
      <c r="H303" s="156">
        <f>INPUT!BE176</f>
        <v>26.158940397351003</v>
      </c>
      <c r="I303" s="687">
        <f>INPUT!BF176</f>
        <v>-7.0396976839899761</v>
      </c>
      <c r="J303" s="156">
        <f>INPUT!BG176</f>
        <v>29.802259887005643</v>
      </c>
      <c r="K303" s="687">
        <f>INPUT!BH176</f>
        <v>-1.2718086562632624</v>
      </c>
      <c r="L303" s="156">
        <f>INPUT!BI176</f>
        <v>29.19161676646706</v>
      </c>
      <c r="M303" s="687">
        <f>INPUT!BJ176</f>
        <v>-0.97997836925269866</v>
      </c>
      <c r="N303" s="156">
        <f>INPUT!BK176</f>
        <v>23.844731977818856</v>
      </c>
      <c r="O303" s="687">
        <f>INPUT!BL176</f>
        <v>7.3012939001848576</v>
      </c>
      <c r="P303" s="156">
        <f>INPUT!BM176</f>
        <v>29.575163398692805</v>
      </c>
      <c r="Q303" s="687">
        <f>INPUT!BN176</f>
        <v>13.059485397534477</v>
      </c>
      <c r="R303" s="156">
        <f>INPUT!BO176</f>
        <v>27.207207207207208</v>
      </c>
      <c r="S303" s="687">
        <f>INPUT!BP176</f>
        <v>-8.7075701293710566</v>
      </c>
      <c r="T303" s="156">
        <f>INPUT!BQ176</f>
        <v>27.543859649122805</v>
      </c>
      <c r="U303" s="687">
        <f>INPUT!BR176</f>
        <v>-5.6446243814664783</v>
      </c>
      <c r="V303" s="156">
        <f>INPUT!BS176</f>
        <v>26.140350877192979</v>
      </c>
      <c r="W303" s="687">
        <f>INPUT!BT176</f>
        <v>9.6273629810961214</v>
      </c>
      <c r="X303" s="156">
        <f>INPUT!BU176</f>
        <v>93.641618497109761</v>
      </c>
      <c r="Y303" s="687" t="str">
        <f>INPUT!BV176</f>
        <v>NM</v>
      </c>
      <c r="Z303" s="156">
        <f>INPUT!BW176</f>
        <v>18.131868131868142</v>
      </c>
      <c r="AA303" s="687">
        <f>INPUT!BX176</f>
        <v>-33.356378720617094</v>
      </c>
      <c r="AB303" s="156">
        <f>INPUT!BY176</f>
        <v>27.676240208877275</v>
      </c>
      <c r="AC303" s="687">
        <f>INPUT!BZ176</f>
        <v>0.48061731885380432</v>
      </c>
      <c r="AD303" s="156">
        <f>INPUT!CA176</f>
        <v>28.28282828282828</v>
      </c>
      <c r="AE303" s="687">
        <f>INPUT!CB176</f>
        <v>8.1960545047793367</v>
      </c>
      <c r="AF303" s="156">
        <f>INPUT!CC176</f>
        <v>32.591093117408924</v>
      </c>
      <c r="AG303" s="687" t="str">
        <f>INPUT!CD176</f>
        <v>NM</v>
      </c>
      <c r="AH303" s="156">
        <f>INPUT!CE176</f>
        <v>28.486055776892439</v>
      </c>
      <c r="AI303" s="687">
        <f>INPUT!CF176</f>
        <v>57.104913678618807</v>
      </c>
      <c r="AJ303" s="156">
        <f>INPUT!CG176</f>
        <v>28.143712574850287</v>
      </c>
      <c r="AK303" s="687">
        <f>INPUT!CH176</f>
        <v>1.6890746808270185</v>
      </c>
      <c r="AL303" s="156">
        <f>INPUT!CI176</f>
        <v>27.721335268505083</v>
      </c>
      <c r="AM303" s="687">
        <f>INPUT!CJ176</f>
        <v>-1.9852788720713055</v>
      </c>
      <c r="AN303" s="156">
        <f>INPUT!CK176</f>
        <v>27.555555555555557</v>
      </c>
      <c r="AO303" s="687">
        <f>INPUT!CL176</f>
        <v>-15.450655624568711</v>
      </c>
      <c r="AP303" s="156">
        <f>INPUT!CM176</f>
        <v>30.869565217391305</v>
      </c>
      <c r="AQ303" s="687">
        <f>INPUT!CN176</f>
        <v>8.3672848890239848</v>
      </c>
      <c r="AR303" s="156">
        <f>INPUT!CO176</f>
        <v>28.865979381443307</v>
      </c>
      <c r="AS303" s="687">
        <f>INPUT!CP176</f>
        <v>2.5663522702347619</v>
      </c>
      <c r="AT303" s="156">
        <f>INPUT!CQ176</f>
        <v>26.728971962616825</v>
      </c>
      <c r="AU303" s="687">
        <f>INPUT!CR176</f>
        <v>-3.579781768361312</v>
      </c>
      <c r="AV303" s="156">
        <f>INPUT!CS176</f>
        <v>26.666666666666668</v>
      </c>
      <c r="AW303" s="687">
        <f>INPUT!CT176</f>
        <v>-3.2258064516129004</v>
      </c>
      <c r="AX303" s="156">
        <f>INPUT!CU176</f>
        <v>25.531914893617021</v>
      </c>
      <c r="AY303" s="687">
        <f>INPUT!CV176</f>
        <v>-17.290979922085704</v>
      </c>
      <c r="AZ303" s="156">
        <f>INPUT!CW176</f>
        <v>24</v>
      </c>
      <c r="BA303" s="687">
        <f>INPUT!CX176</f>
        <v>-16.857142857142883</v>
      </c>
      <c r="BB303" s="156">
        <f>INPUT!CY176</f>
        <v>25.641025641025639</v>
      </c>
      <c r="BC303" s="687">
        <f>INPUT!CZ176</f>
        <v>-4.0702886856733178</v>
      </c>
      <c r="BD303" s="156">
        <f>INPUT!DA176</f>
        <v>12.5</v>
      </c>
      <c r="BE303" s="687" t="str">
        <f>INPUT!DB176</f>
        <v>NM</v>
      </c>
      <c r="BF303" s="156">
        <f>INPUT!DC176</f>
        <v>27.083333333333332</v>
      </c>
      <c r="BG303" s="687">
        <f>INPUT!DD176</f>
        <v>6.076388888888884</v>
      </c>
      <c r="BH303" s="156">
        <f>INPUT!DE176</f>
        <v>27.777777777777779</v>
      </c>
      <c r="BI303" s="687">
        <f>INPUT!DF176</f>
        <v>15.740740740740744</v>
      </c>
      <c r="BJ303" s="156">
        <f>INPUT!DG176</f>
        <v>25</v>
      </c>
      <c r="BK303" s="687">
        <f>INPUT!DH176</f>
        <v>-2.4999999999999911</v>
      </c>
      <c r="BL303" s="156">
        <f>INPUT!DI176</f>
        <v>22.727272727272727</v>
      </c>
      <c r="BM303" s="687">
        <f>INPUT!DJ176</f>
        <v>81.818181818181813</v>
      </c>
      <c r="BN303" s="156">
        <f>INPUT!DK176</f>
        <v>26.415094339622641</v>
      </c>
      <c r="BO303" s="687">
        <f>INPUT!DL176</f>
        <v>-2.4673439767779359</v>
      </c>
      <c r="BP303" s="156">
        <f>INPUT!DM176</f>
        <v>27.777777777777779</v>
      </c>
      <c r="BQ303" s="687">
        <f>INPUT!DN176</f>
        <v>0</v>
      </c>
      <c r="BR303" s="156">
        <f>INPUT!DO176</f>
        <v>27.27272727272727</v>
      </c>
      <c r="BS303" s="687">
        <f>INPUT!DP176</f>
        <v>9.0909090909090828</v>
      </c>
      <c r="BT303" s="156">
        <f>INPUT!DQ176</f>
        <v>14.285714285714285</v>
      </c>
      <c r="BU303" s="687">
        <f>INPUT!DR176</f>
        <v>-37.142857142857146</v>
      </c>
      <c r="BV303" s="156">
        <f>INPUT!DS176</f>
        <v>27.083333333333332</v>
      </c>
      <c r="BW303" s="687">
        <f>INPUT!DT176</f>
        <v>2.5297619047619069</v>
      </c>
      <c r="BX303" s="156">
        <f>INPUT!DU176</f>
        <v>23.076923076923077</v>
      </c>
      <c r="BY303" s="687">
        <f>INPUT!DV176</f>
        <v>-16.92307692307693</v>
      </c>
      <c r="BZ303" s="156">
        <f>INPUT!DW176</f>
        <v>26.315789473684209</v>
      </c>
      <c r="CA303" s="687">
        <f>INPUT!DX176</f>
        <v>26.315789473684209</v>
      </c>
      <c r="CB303" s="156">
        <f>INPUT!DY176</f>
        <v>26.666666666666668</v>
      </c>
      <c r="CC303" s="687">
        <f>INPUT!DZ176</f>
        <v>86.666666666666686</v>
      </c>
      <c r="CD303" s="156">
        <f>INPUT!EA176</f>
        <v>24.390243902439025</v>
      </c>
      <c r="CE303" s="687">
        <f>INPUT!EB176</f>
        <v>-9.943714821763594</v>
      </c>
      <c r="CF303" s="156">
        <f>INPUT!EC176</f>
        <v>24.390243902439025</v>
      </c>
      <c r="CG303" s="687">
        <f>INPUT!ED176</f>
        <v>5.6910569105691033</v>
      </c>
      <c r="CH303" s="156">
        <f>INPUT!EE176</f>
        <v>28.888888888888886</v>
      </c>
      <c r="CI303" s="687">
        <f>INPUT!EF176</f>
        <v>9.777777777777775</v>
      </c>
      <c r="CJ303" s="156">
        <f>INPUT!EG176</f>
        <v>26.086956521739129</v>
      </c>
      <c r="CK303" s="687">
        <f>INPUT!EH176</f>
        <v>-2.1739130434782705</v>
      </c>
      <c r="CL303" s="156">
        <f>INPUT!EI176</f>
        <v>22.916666666666664</v>
      </c>
      <c r="CM303" s="687">
        <f>INPUT!EJ176</f>
        <v>-6.0416666666666785</v>
      </c>
      <c r="CN303" s="156">
        <f>INPUT!EK176</f>
        <v>26</v>
      </c>
      <c r="CO303" s="687">
        <f>INPUT!EL176</f>
        <v>6.6000000000000059</v>
      </c>
      <c r="CP303" s="156">
        <f>INPUT!EM176</f>
        <v>27.083333333333332</v>
      </c>
      <c r="CQ303" s="687">
        <f>INPUT!EN176</f>
        <v>-6.2499999999999893</v>
      </c>
      <c r="CR303" s="156">
        <f>INPUT!EO176</f>
        <v>28.07017543859649</v>
      </c>
      <c r="CS303" s="687">
        <f>INPUT!EP176</f>
        <v>7.6023391812865437</v>
      </c>
      <c r="CT303" s="156">
        <f>INPUT!EQ176</f>
        <v>16</v>
      </c>
      <c r="CU303" s="687">
        <f>INPUT!ER176</f>
        <v>-30.181818181818176</v>
      </c>
      <c r="CV303" s="156">
        <f>INPUT!ES176</f>
        <v>16</v>
      </c>
      <c r="CW303" s="687">
        <f>INPUT!ET176</f>
        <v>-38.46153846153846</v>
      </c>
      <c r="CX303" s="156">
        <f>INPUT!EU176</f>
        <v>16</v>
      </c>
      <c r="CY303" s="687">
        <f>INPUT!EV176</f>
        <v>-40.92307692307692</v>
      </c>
      <c r="CZ303" s="156">
        <f>INPUT!EW176</f>
        <v>16</v>
      </c>
      <c r="DA303" s="687">
        <f>INPUT!EX176</f>
        <v>-42.999999999999993</v>
      </c>
      <c r="DB303" s="16"/>
      <c r="DC303" s="156">
        <f>INPUT!FP176</f>
        <v>28.369065849923423</v>
      </c>
      <c r="DD303" s="687">
        <f>INPUT!FQ176</f>
        <v>4.1610477474800289</v>
      </c>
      <c r="DE303" s="156">
        <f>INPUT!FR176</f>
        <v>27.20456979650125</v>
      </c>
      <c r="DF303" s="687">
        <f>INPUT!FS176</f>
        <v>-4.1048093003221542</v>
      </c>
      <c r="DG303" s="156">
        <f>INPUT!FT176</f>
        <v>28.311585606959273</v>
      </c>
      <c r="DH303" s="687">
        <f>INPUT!FU176</f>
        <v>4.0692274082584357</v>
      </c>
      <c r="DI303" s="156">
        <f>INPUT!FV176</f>
        <v>19.382391590013132</v>
      </c>
      <c r="DJ303" s="687">
        <f>INPUT!FW176</f>
        <v>-31.539010710693837</v>
      </c>
      <c r="DK303" s="156">
        <f>INPUT!FX176</f>
        <v>27.302452316076277</v>
      </c>
      <c r="DL303" s="687">
        <f>INPUT!FY176</f>
        <v>40.862143813790212</v>
      </c>
      <c r="DM303" s="156">
        <f>INPUT!FZ176</f>
        <v>27.964519140989726</v>
      </c>
      <c r="DN303" s="687">
        <f>INPUT!GA176</f>
        <v>2.4249353766790049</v>
      </c>
      <c r="DO303" s="156">
        <f>INPUT!GB176</f>
        <v>28.533451484271154</v>
      </c>
      <c r="DP303" s="687">
        <f>INPUT!GC176</f>
        <v>2.0344792642885245</v>
      </c>
      <c r="DQ303" s="156">
        <f>INPUT!GD176</f>
        <v>22.61904761904762</v>
      </c>
      <c r="DR303" s="687">
        <f>INPUT!GE176</f>
        <v>-20.7279650990831</v>
      </c>
      <c r="DS303" s="156">
        <f>INPUT!GF176</f>
        <v>25.789473684210527</v>
      </c>
      <c r="DT303" s="687">
        <f>INPUT!GG176</f>
        <v>14.016620498614962</v>
      </c>
      <c r="DU303" s="156">
        <f>INPUT!GH176</f>
        <v>24.170616113744074</v>
      </c>
      <c r="DV303" s="687">
        <f>INPUT!GI176</f>
        <v>-6.2772028242576772</v>
      </c>
      <c r="DW303" s="156">
        <f>INPUT!GJ176</f>
        <v>25.925925925925924</v>
      </c>
      <c r="DX303" s="687">
        <f>INPUT!GK176</f>
        <v>7.2621641249092095</v>
      </c>
      <c r="DY303" s="156">
        <f>INPUT!GL176</f>
        <v>26.011560693641616</v>
      </c>
      <c r="DZ303" s="687">
        <f>INPUT!GM176</f>
        <v>0.3303055326176807</v>
      </c>
      <c r="EA303" s="156">
        <f>INPUT!GN176</f>
        <v>26.108374384236456</v>
      </c>
      <c r="EB303" s="687">
        <f>INPUT!GO176</f>
        <v>0.37219485495350035</v>
      </c>
      <c r="EC303" s="156">
        <f>INPUT!GP176</f>
        <v>16.000000000000007</v>
      </c>
      <c r="ED303" s="687">
        <f>INPUT!GQ176</f>
        <v>-38.716981132075446</v>
      </c>
      <c r="EE303" s="156">
        <f>INPUT!GR176</f>
        <v>16.000000000000007</v>
      </c>
      <c r="EF303" s="687">
        <f>INPUT!GS176</f>
        <v>0</v>
      </c>
      <c r="EG303" s="156">
        <f>INPUT!GT176</f>
        <v>16.000000000000007</v>
      </c>
      <c r="EH303" s="687">
        <f>INPUT!GU176</f>
        <v>0</v>
      </c>
      <c r="EI303" s="156">
        <f>INPUT!GV176</f>
        <v>16.000000000000007</v>
      </c>
      <c r="EJ303" s="687">
        <f>INPUT!GW176</f>
        <v>0</v>
      </c>
      <c r="EK303" s="156">
        <f>INPUT!GX176</f>
        <v>16.000000000000007</v>
      </c>
      <c r="EL303" s="687">
        <f>INPUT!GY176</f>
        <v>0</v>
      </c>
      <c r="EM303" s="687">
        <f>INPUT!GZ176</f>
        <v>-9.3290783639256141</v>
      </c>
    </row>
    <row r="304" spans="1:143" ht="12.75" hidden="1" customHeight="1" outlineLevel="1" x14ac:dyDescent="0.2">
      <c r="A304" s="707" t="str">
        <f>INPUT!B177</f>
        <v>After-Tax Earnings</v>
      </c>
      <c r="B304" s="708">
        <f>INPUT!AY177</f>
        <v>52.499999999999986</v>
      </c>
      <c r="C304" s="709">
        <f>INPUT!AZ177</f>
        <v>21.527777777777722</v>
      </c>
      <c r="D304" s="708">
        <f>INPUT!BA177</f>
        <v>54.3</v>
      </c>
      <c r="E304" s="709">
        <f>INPUT!BB177</f>
        <v>19.867549668874183</v>
      </c>
      <c r="F304" s="708">
        <f>INPUT!BC177</f>
        <v>52.5</v>
      </c>
      <c r="G304" s="709">
        <f>INPUT!BD177</f>
        <v>-1.6853932584269371</v>
      </c>
      <c r="H304" s="708">
        <f>INPUT!BE177</f>
        <v>44.59999999999998</v>
      </c>
      <c r="I304" s="709">
        <f>INPUT!BF177</f>
        <v>-1.327433628318575</v>
      </c>
      <c r="J304" s="708">
        <f>INPUT!BG177</f>
        <v>49.70000000000001</v>
      </c>
      <c r="K304" s="709">
        <f>INPUT!BH177</f>
        <v>-5.3333333333332895</v>
      </c>
      <c r="L304" s="708">
        <f>INPUT!BI177</f>
        <v>47.300000000000011</v>
      </c>
      <c r="M304" s="709">
        <f>INPUT!BJ177</f>
        <v>-12.891344383057069</v>
      </c>
      <c r="N304" s="708">
        <f>INPUT!BK177</f>
        <v>41.199999999999996</v>
      </c>
      <c r="O304" s="709">
        <f>INPUT!BL177</f>
        <v>-21.523809523809533</v>
      </c>
      <c r="P304" s="708">
        <f>INPUT!BM177</f>
        <v>43.100000000000016</v>
      </c>
      <c r="Q304" s="709">
        <f>INPUT!BN177</f>
        <v>-3.3632286995514904</v>
      </c>
      <c r="R304" s="708">
        <f>INPUT!BO177</f>
        <v>40.4</v>
      </c>
      <c r="S304" s="709">
        <f>INPUT!BP177</f>
        <v>-18.71227364185113</v>
      </c>
      <c r="T304" s="708">
        <f>INPUT!BQ177</f>
        <v>41.3</v>
      </c>
      <c r="U304" s="709">
        <f>INPUT!BR177</f>
        <v>-12.684989429175497</v>
      </c>
      <c r="V304" s="708">
        <f>INPUT!BS177</f>
        <v>42.1</v>
      </c>
      <c r="W304" s="709">
        <f>INPUT!BT177</f>
        <v>2.1844660194174859</v>
      </c>
      <c r="X304" s="708">
        <f>INPUT!BU177</f>
        <v>-1.1000000000000121</v>
      </c>
      <c r="Y304" s="709" t="str">
        <f>INPUT!BV177</f>
        <v>NM</v>
      </c>
      <c r="Z304" s="708">
        <f>INPUT!BW177</f>
        <v>29.799999999999976</v>
      </c>
      <c r="AA304" s="709">
        <f>INPUT!BX177</f>
        <v>-26.237623762376295</v>
      </c>
      <c r="AB304" s="708">
        <f>INPUT!BY177</f>
        <v>27.70000000000001</v>
      </c>
      <c r="AC304" s="709">
        <f>INPUT!BZ177</f>
        <v>-32.929782082324422</v>
      </c>
      <c r="AD304" s="708">
        <f>INPUT!CA177</f>
        <v>42.600000000000009</v>
      </c>
      <c r="AE304" s="709">
        <f>INPUT!CB177</f>
        <v>1.1876484560570333</v>
      </c>
      <c r="AF304" s="708">
        <f>INPUT!CC177</f>
        <v>33.299999999999976</v>
      </c>
      <c r="AG304" s="709" t="str">
        <f>INPUT!CD177</f>
        <v>NM</v>
      </c>
      <c r="AH304" s="708">
        <f>INPUT!CE177</f>
        <v>35.899999999999991</v>
      </c>
      <c r="AI304" s="709">
        <f>INPUT!CF177</f>
        <v>20.469798657718187</v>
      </c>
      <c r="AJ304" s="708">
        <f>INPUT!CG177</f>
        <v>36.000000000000021</v>
      </c>
      <c r="AK304" s="709">
        <f>INPUT!CH177</f>
        <v>29.963898916967537</v>
      </c>
      <c r="AL304" s="708">
        <f>INPUT!CI177</f>
        <v>49.800000000000004</v>
      </c>
      <c r="AM304" s="709">
        <f>INPUT!CJ177</f>
        <v>16.901408450704203</v>
      </c>
      <c r="AN304" s="708">
        <f>INPUT!CK177</f>
        <v>32.6</v>
      </c>
      <c r="AO304" s="709">
        <f>INPUT!CL177</f>
        <v>-2.1021021021020214</v>
      </c>
      <c r="AP304" s="708">
        <f>INPUT!CM177</f>
        <v>47.7</v>
      </c>
      <c r="AQ304" s="709">
        <f>INPUT!CN177</f>
        <v>32.869080779944326</v>
      </c>
      <c r="AR304" s="708">
        <f>INPUT!CO177</f>
        <v>41.399999999999991</v>
      </c>
      <c r="AS304" s="709">
        <f>INPUT!CP177</f>
        <v>14.999999999999902</v>
      </c>
      <c r="AT304" s="708">
        <f>INPUT!CQ177</f>
        <v>39.200000000000003</v>
      </c>
      <c r="AU304" s="709">
        <f>INPUT!CR177</f>
        <v>-21.285140562248994</v>
      </c>
      <c r="AV304" s="708">
        <f>INPUT!CS177</f>
        <v>33</v>
      </c>
      <c r="AW304" s="709">
        <f>INPUT!CT177</f>
        <v>1.2269938650306678</v>
      </c>
      <c r="AX304" s="708">
        <f>INPUT!CU177</f>
        <v>35</v>
      </c>
      <c r="AY304" s="709">
        <f>INPUT!CV177</f>
        <v>-26.624737945492672</v>
      </c>
      <c r="AZ304" s="708">
        <f>INPUT!CW177</f>
        <v>38</v>
      </c>
      <c r="BA304" s="709">
        <f>INPUT!CX177</f>
        <v>-8.2125603864734114</v>
      </c>
      <c r="BB304" s="708">
        <f>INPUT!CY177</f>
        <v>29</v>
      </c>
      <c r="BC304" s="709">
        <f>INPUT!CZ177</f>
        <v>-26.020408163265309</v>
      </c>
      <c r="BD304" s="708">
        <f>INPUT!DA177</f>
        <v>28</v>
      </c>
      <c r="BE304" s="709">
        <f>INPUT!DB177</f>
        <v>-15.151515151515149</v>
      </c>
      <c r="BF304" s="708">
        <f>INPUT!DC177</f>
        <v>35</v>
      </c>
      <c r="BG304" s="709">
        <f>INPUT!DD177</f>
        <v>0</v>
      </c>
      <c r="BH304" s="708">
        <f>INPUT!DE177</f>
        <v>39</v>
      </c>
      <c r="BI304" s="709">
        <f>INPUT!DF177</f>
        <v>2.6315789473684292</v>
      </c>
      <c r="BJ304" s="708">
        <f>INPUT!DG177</f>
        <v>33</v>
      </c>
      <c r="BK304" s="709">
        <f>INPUT!DH177</f>
        <v>13.793103448275868</v>
      </c>
      <c r="BL304" s="708">
        <f>INPUT!DI177</f>
        <v>34</v>
      </c>
      <c r="BM304" s="709">
        <f>INPUT!DJ177</f>
        <v>21.42857142857142</v>
      </c>
      <c r="BN304" s="708">
        <f>INPUT!DK177</f>
        <v>39</v>
      </c>
      <c r="BO304" s="709">
        <f>INPUT!DL177</f>
        <v>11.428571428571432</v>
      </c>
      <c r="BP304" s="708">
        <f>INPUT!DM177</f>
        <v>39</v>
      </c>
      <c r="BQ304" s="709">
        <f>INPUT!DN177</f>
        <v>0</v>
      </c>
      <c r="BR304" s="708">
        <f>INPUT!DO177</f>
        <v>40</v>
      </c>
      <c r="BS304" s="709">
        <f>INPUT!DP177</f>
        <v>21.212121212121215</v>
      </c>
      <c r="BT304" s="708">
        <f>INPUT!DQ177</f>
        <v>42</v>
      </c>
      <c r="BU304" s="709">
        <f>INPUT!DR177</f>
        <v>23.529411764705888</v>
      </c>
      <c r="BV304" s="708">
        <f>INPUT!DS177</f>
        <v>35</v>
      </c>
      <c r="BW304" s="709">
        <f>INPUT!DT177</f>
        <v>-10.256410256410254</v>
      </c>
      <c r="BX304" s="708">
        <f>INPUT!DU177</f>
        <v>30</v>
      </c>
      <c r="BY304" s="709">
        <f>INPUT!DV177</f>
        <v>-23.076923076923073</v>
      </c>
      <c r="BZ304" s="708">
        <f>INPUT!DW177</f>
        <v>42</v>
      </c>
      <c r="CA304" s="709">
        <f>INPUT!DX177</f>
        <v>42</v>
      </c>
      <c r="CB304" s="708">
        <f>INPUT!DY177</f>
        <v>33</v>
      </c>
      <c r="CC304" s="709">
        <f>INPUT!DZ177</f>
        <v>-21.428571428571431</v>
      </c>
      <c r="CD304" s="708">
        <f>INPUT!EA177</f>
        <v>31</v>
      </c>
      <c r="CE304" s="709">
        <f>INPUT!EB177</f>
        <v>-11.428571428571432</v>
      </c>
      <c r="CF304" s="708">
        <f>INPUT!EC177</f>
        <v>31</v>
      </c>
      <c r="CG304" s="709">
        <f>INPUT!ED177</f>
        <v>3.3333333333333437</v>
      </c>
      <c r="CH304" s="708">
        <f>INPUT!EE177</f>
        <v>32</v>
      </c>
      <c r="CI304" s="709">
        <f>INPUT!EF177</f>
        <v>-23.809523809523814</v>
      </c>
      <c r="CJ304" s="708">
        <f>INPUT!EG177</f>
        <v>34</v>
      </c>
      <c r="CK304" s="709">
        <f>INPUT!EH177</f>
        <v>3.0303030303030276</v>
      </c>
      <c r="CL304" s="708">
        <f>INPUT!EI177</f>
        <v>37</v>
      </c>
      <c r="CM304" s="709">
        <f>INPUT!EJ177</f>
        <v>19.354838709677423</v>
      </c>
      <c r="CN304" s="708">
        <f>INPUT!EK177</f>
        <v>37</v>
      </c>
      <c r="CO304" s="709">
        <f>INPUT!EL177</f>
        <v>19.354838709677423</v>
      </c>
      <c r="CP304" s="708">
        <f>INPUT!EM177</f>
        <v>35</v>
      </c>
      <c r="CQ304" s="709">
        <f>INPUT!EN177</f>
        <v>9.375</v>
      </c>
      <c r="CR304" s="708">
        <f>INPUT!EO177</f>
        <v>41</v>
      </c>
      <c r="CS304" s="709">
        <f>INPUT!EP177</f>
        <v>20.588235294117641</v>
      </c>
      <c r="CT304" s="708">
        <f>INPUT!EQ177</f>
        <v>44.808412163061703</v>
      </c>
      <c r="CU304" s="709">
        <f>INPUT!ER177</f>
        <v>21.103816656923513</v>
      </c>
      <c r="CV304" s="708">
        <f>INPUT!ES177</f>
        <v>44.749433830424493</v>
      </c>
      <c r="CW304" s="709">
        <f>INPUT!ET177</f>
        <v>20.944415757904046</v>
      </c>
      <c r="CX304" s="708">
        <f>INPUT!EU177</f>
        <v>45.211143384642121</v>
      </c>
      <c r="CY304" s="709">
        <f>INPUT!EV177</f>
        <v>29.174695384691773</v>
      </c>
      <c r="CZ304" s="708">
        <f>INPUT!EW177</f>
        <v>45.528944494716114</v>
      </c>
      <c r="DA304" s="709">
        <f>INPUT!EX177</f>
        <v>11.046206084673461</v>
      </c>
      <c r="DB304" s="710"/>
      <c r="DC304" s="708">
        <f>INPUT!FP177</f>
        <v>187.10000000000005</v>
      </c>
      <c r="DD304" s="709">
        <f>INPUT!FQ177</f>
        <v>4.5251396648045006</v>
      </c>
      <c r="DE304" s="708">
        <f>INPUT!FR177</f>
        <v>203.90000000000003</v>
      </c>
      <c r="DF304" s="709">
        <f>INPUT!FS177</f>
        <v>8.979155531801176</v>
      </c>
      <c r="DG304" s="708">
        <f>INPUT!FT177</f>
        <v>181.29999999999998</v>
      </c>
      <c r="DH304" s="709">
        <f>INPUT!FU177</f>
        <v>-11.083864639529207</v>
      </c>
      <c r="DI304" s="708">
        <f>INPUT!FV177</f>
        <v>122.70000000000005</v>
      </c>
      <c r="DJ304" s="709">
        <f>INPUT!FW177</f>
        <v>-32.322118036403722</v>
      </c>
      <c r="DK304" s="708">
        <f>INPUT!FX177</f>
        <v>133.40000000000012</v>
      </c>
      <c r="DL304" s="709">
        <f>INPUT!FY177</f>
        <v>8.7204563977180793</v>
      </c>
      <c r="DM304" s="708">
        <f>INPUT!FZ177</f>
        <v>154.30000000000004</v>
      </c>
      <c r="DN304" s="709">
        <f>INPUT!GA177</f>
        <v>15.667166416791535</v>
      </c>
      <c r="DO304" s="708">
        <f>INPUT!GB177</f>
        <v>161.30000000000004</v>
      </c>
      <c r="DP304" s="709">
        <f>INPUT!GC177</f>
        <v>4.5366169799092582</v>
      </c>
      <c r="DQ304" s="708">
        <f>INPUT!GD177</f>
        <v>130</v>
      </c>
      <c r="DR304" s="709">
        <f>INPUT!GE177</f>
        <v>-19.404835709857426</v>
      </c>
      <c r="DS304" s="708">
        <f>INPUT!GF177</f>
        <v>141</v>
      </c>
      <c r="DT304" s="709">
        <f>INPUT!GG177</f>
        <v>8.4615384615384528</v>
      </c>
      <c r="DU304" s="708">
        <f>INPUT!GH177</f>
        <v>160</v>
      </c>
      <c r="DV304" s="709">
        <f>INPUT!GI177</f>
        <v>13.475177304964546</v>
      </c>
      <c r="DW304" s="708">
        <f>INPUT!GJ177</f>
        <v>140</v>
      </c>
      <c r="DX304" s="709">
        <f>INPUT!GK177</f>
        <v>-12.5</v>
      </c>
      <c r="DY304" s="708">
        <f>INPUT!GL177</f>
        <v>128</v>
      </c>
      <c r="DZ304" s="709">
        <f>INPUT!GM177</f>
        <v>-8.5714285714285747</v>
      </c>
      <c r="EA304" s="708">
        <f>INPUT!GN177</f>
        <v>150</v>
      </c>
      <c r="EB304" s="709">
        <f>INPUT!GO177</f>
        <v>17.1875</v>
      </c>
      <c r="EC304" s="708">
        <f>INPUT!GP177</f>
        <v>180.29793387284434</v>
      </c>
      <c r="ED304" s="709">
        <f>INPUT!GQ177</f>
        <v>20.19862258189622</v>
      </c>
      <c r="EE304" s="708">
        <f>INPUT!GR177</f>
        <v>185.68847032386316</v>
      </c>
      <c r="EF304" s="709">
        <f>INPUT!GS177</f>
        <v>2.9897938014201042</v>
      </c>
      <c r="EG304" s="708">
        <f>INPUT!GT177</f>
        <v>191.26398983936861</v>
      </c>
      <c r="EH304" s="709">
        <f>INPUT!GU177</f>
        <v>3.0026201981097955</v>
      </c>
      <c r="EI304" s="708">
        <f>INPUT!GV177</f>
        <v>197.53883524227643</v>
      </c>
      <c r="EJ304" s="709">
        <f>INPUT!GW177</f>
        <v>3.2807249332076127</v>
      </c>
      <c r="EK304" s="708">
        <f>INPUT!GX177</f>
        <v>204.49662363474403</v>
      </c>
      <c r="EL304" s="709">
        <f>INPUT!GY177</f>
        <v>3.5222382393487628</v>
      </c>
      <c r="EM304" s="709">
        <f>INPUT!GZ177</f>
        <v>6.3944506677847457</v>
      </c>
    </row>
    <row r="305" spans="1:143" s="561" customFormat="1" ht="12.75" hidden="1" customHeight="1" outlineLevel="2" x14ac:dyDescent="0.2">
      <c r="A305" s="712" t="s">
        <v>50</v>
      </c>
      <c r="B305" s="713">
        <f>(B289+B290+B291-B295-B296-B297-B302)-B304</f>
        <v>0</v>
      </c>
      <c r="C305" s="662"/>
      <c r="D305" s="713">
        <f>(D289+D290+D291-D295-D296-D297-D302)-D304</f>
        <v>0</v>
      </c>
      <c r="E305" s="662"/>
      <c r="F305" s="713">
        <f>(F289+F290+F291-F295-F296-F297-F302)-F304</f>
        <v>0</v>
      </c>
      <c r="G305" s="662"/>
      <c r="H305" s="713">
        <f>(H289+H290+H291-H295-H296-H297-H302)-H304</f>
        <v>0</v>
      </c>
      <c r="I305" s="662"/>
      <c r="J305" s="713">
        <f>(J289+J290+J291-J295-J296-J297-J302)-J304</f>
        <v>0</v>
      </c>
      <c r="K305" s="662"/>
      <c r="L305" s="713">
        <f>(L289+L290+L291-L295-L296-L297-L302)-L304</f>
        <v>0</v>
      </c>
      <c r="M305" s="662"/>
      <c r="N305" s="713">
        <f>(N289+N290+N291-N295-N296-N297-N302)-N304</f>
        <v>0</v>
      </c>
      <c r="O305" s="662"/>
      <c r="P305" s="713">
        <f>(P289+P290+P291-P295-P296-P297-P302)-P304</f>
        <v>0</v>
      </c>
      <c r="Q305" s="662"/>
      <c r="R305" s="713">
        <f>(R289+R290+R291-R295-R296-R297-R302)-R304</f>
        <v>0</v>
      </c>
      <c r="S305" s="662"/>
      <c r="T305" s="713">
        <f>(T289+T290+T291-T295-T296-T297-T302)-T304</f>
        <v>0</v>
      </c>
      <c r="U305" s="662"/>
      <c r="V305" s="713">
        <f>(V289+V290+V291-V295-V296-V297-V302)-V304</f>
        <v>0</v>
      </c>
      <c r="W305" s="662"/>
      <c r="X305" s="713">
        <f>(X289+X290+X291-X295-X296-X297-X302)-X304</f>
        <v>1.4210854715202004E-14</v>
      </c>
      <c r="Y305" s="662"/>
      <c r="Z305" s="713">
        <f>(Z289+Z290+Z291-Z295-Z296-Z297-Z302)-Z304</f>
        <v>0</v>
      </c>
      <c r="AA305" s="662"/>
      <c r="AB305" s="713">
        <f>(AB289+AB290+AB291-AB295-AB296-AB297-AB302)-AB304</f>
        <v>0</v>
      </c>
      <c r="AC305" s="662"/>
      <c r="AD305" s="713">
        <f>(AD289+AD290+AD291-AD295-AD296-AD297-AD302)-AD304</f>
        <v>0</v>
      </c>
      <c r="AE305" s="662"/>
      <c r="AF305" s="713">
        <f>(AF289+AF290+AF291-AF295-AF296-AF297-AF302)-AF304</f>
        <v>0</v>
      </c>
      <c r="AG305" s="662"/>
      <c r="AH305" s="713">
        <f>(AH289+AH290+AH291-AH295-AH296-AH297-AH302)-AH304</f>
        <v>0</v>
      </c>
      <c r="AI305" s="662"/>
      <c r="AJ305" s="713">
        <f>(AJ289+AJ290+AJ291-AJ295-AJ296-AJ297-AJ302)-AJ304</f>
        <v>0</v>
      </c>
      <c r="AK305" s="662"/>
      <c r="AL305" s="713">
        <f>(AL289+AL290+AL291-AL295-AL296-AL297-AL302)-AL304</f>
        <v>0</v>
      </c>
      <c r="AM305" s="662"/>
      <c r="AN305" s="713">
        <f>(AN289+AN290+AN291-AN295-AN296-AN297-AN302)-AN304</f>
        <v>0</v>
      </c>
      <c r="AO305" s="662"/>
      <c r="AP305" s="713">
        <f>(AP289+AP290+AP291-AP295-AP296-AP297-AP302)-AP304</f>
        <v>0</v>
      </c>
      <c r="AQ305" s="662"/>
      <c r="AR305" s="713">
        <f>(AR289+AR290+AR291-AR295-AR296-AR297-AR302)-AR304</f>
        <v>0</v>
      </c>
      <c r="AS305" s="662"/>
      <c r="AT305" s="713">
        <f>(AT289+AT290+AT291-AT295-AT296-AT297-AT302)-AT304</f>
        <v>0</v>
      </c>
      <c r="AU305" s="662"/>
      <c r="AV305" s="713">
        <f>(AV289+AV290+AV291-AV295-AV296-AV297-AV302)-AV304</f>
        <v>0</v>
      </c>
      <c r="AW305" s="662"/>
      <c r="AX305" s="713">
        <f>(AX289+AX290+AX291-AX295-AX296-AX297-AX302)-AX304</f>
        <v>0</v>
      </c>
      <c r="AY305" s="662"/>
      <c r="AZ305" s="713">
        <f>(AZ289+AZ290+AZ291-AZ295-AZ296-AZ297-AZ302)-AZ304</f>
        <v>0</v>
      </c>
      <c r="BA305" s="662"/>
      <c r="BB305" s="713">
        <f>(BB289+BB290+BB291-BB295-BB296-BB297-BB302)-BB304</f>
        <v>0</v>
      </c>
      <c r="BC305" s="662"/>
      <c r="BD305" s="713">
        <f>(BD289+BD290+BD291-BD295-BD296-BD297-BD302)-BD304</f>
        <v>0</v>
      </c>
      <c r="BE305" s="662"/>
      <c r="BF305" s="713">
        <f>(BF289+BF290+BF291-BF295-BF296-BF297-BF302)-BF304</f>
        <v>0</v>
      </c>
      <c r="BG305" s="662"/>
      <c r="BH305" s="713">
        <f>(BH289+BH290+BH291-BH295-BH296-BH297-BH302)-BH304</f>
        <v>0</v>
      </c>
      <c r="BI305" s="662"/>
      <c r="BJ305" s="713">
        <f>(BJ289+BJ290+BJ291-BJ295-BJ296-BJ297-BJ302)-BJ304</f>
        <v>0</v>
      </c>
      <c r="BK305" s="662"/>
      <c r="BL305" s="713">
        <f>(BL289+BL290+BL291-BL295-BL296-BL297-BL302)-BL304</f>
        <v>0</v>
      </c>
      <c r="BM305" s="662"/>
      <c r="BN305" s="713">
        <f>(BN289+BN290+BN291-BN295-BN296-BN297-BN302)-BN304</f>
        <v>0</v>
      </c>
      <c r="BO305" s="662"/>
      <c r="BP305" s="713">
        <f>(BP289+BP290+BP291-BP295-BP296-BP297-BP302)-BP304</f>
        <v>0</v>
      </c>
      <c r="BQ305" s="662"/>
      <c r="BR305" s="713">
        <f>(BR289+BR290+BR291-BR295-BR296-BR297-BR302)-BR304</f>
        <v>0</v>
      </c>
      <c r="BS305" s="662"/>
      <c r="BT305" s="713">
        <f>(BT289+BT290+BT291-BT295-BT296-BT297-BT302)-BT304</f>
        <v>0</v>
      </c>
      <c r="BU305" s="662"/>
      <c r="BV305" s="713">
        <f>(BV289+BV290+BV291-BV295-BV296-BV297-BV302)-BV304</f>
        <v>0</v>
      </c>
      <c r="BW305" s="662"/>
      <c r="BX305" s="713">
        <f>(BX289+BX290+BX291-BX295-BX296-BX297-BX302)-BX304</f>
        <v>0</v>
      </c>
      <c r="BY305" s="662"/>
      <c r="BZ305" s="713">
        <f>(BZ289+BZ290+BZ291-BZ295-BZ296-BZ297-BZ302)-BZ304</f>
        <v>0</v>
      </c>
      <c r="CA305" s="662"/>
      <c r="CB305" s="713">
        <f>(CB289+CB290+CB291-CB295-CB296-CB297-CB302)-CB304</f>
        <v>0</v>
      </c>
      <c r="CC305" s="662"/>
      <c r="CD305" s="713">
        <f>(CD289+CD290+CD291-CD295-CD296-CD297-CD302)-CD304</f>
        <v>0</v>
      </c>
      <c r="CE305" s="662"/>
      <c r="CF305" s="713">
        <f>(CF289+CF290+CF291-CF295-CF296-CF297-CF302)-CF304</f>
        <v>0</v>
      </c>
      <c r="CG305" s="662"/>
      <c r="CH305" s="713">
        <f>(CH289+CH290+CH291-CH295-CH296-CH297-CH302)-CH304</f>
        <v>0</v>
      </c>
      <c r="CI305" s="662"/>
      <c r="CJ305" s="713">
        <f>(CJ289+CJ290+CJ291-CJ295-CJ296-CJ297-CJ302)-CJ304</f>
        <v>0</v>
      </c>
      <c r="CK305" s="662"/>
      <c r="CL305" s="713">
        <f>(CL289+CL290+CL291-CL295-CL296-CL297-CL302)-CL304</f>
        <v>0</v>
      </c>
      <c r="CM305" s="662"/>
      <c r="CN305" s="713">
        <f t="shared" ref="CN305" si="144">(CN289+CN290+CN291-CN295-CN296-CN297-CN302)-CN304</f>
        <v>0</v>
      </c>
      <c r="CO305" s="662"/>
      <c r="CP305" s="713">
        <f t="shared" ref="CP305" si="145">(CP289+CP290+CP291-CP295-CP296-CP297-CP302)-CP304</f>
        <v>0</v>
      </c>
      <c r="CQ305" s="662"/>
      <c r="CR305" s="713">
        <f t="shared" ref="CR305" si="146">(CR289+CR290+CR291-CR295-CR296-CR297-CR302)-CR304</f>
        <v>0</v>
      </c>
      <c r="CS305" s="662"/>
      <c r="CT305" s="713">
        <f>(CT289+CT290+CT291-CT295-CT296-CT297-CT302)-CT304</f>
        <v>0</v>
      </c>
      <c r="CU305" s="662"/>
      <c r="CV305" s="713">
        <f t="shared" ref="CV305" si="147">(CV289+CV290+CV291-CV295-CV296-CV297-CV302)-CV304</f>
        <v>0</v>
      </c>
      <c r="CW305" s="662"/>
      <c r="CX305" s="713">
        <f t="shared" ref="CX305" si="148">(CX289+CX290+CX291-CX295-CX296-CX297-CX302)-CX304</f>
        <v>0</v>
      </c>
      <c r="CY305" s="662"/>
      <c r="CZ305" s="713">
        <f t="shared" ref="CZ305" si="149">(CZ289+CZ290+CZ291-CZ295-CZ296-CZ297-CZ302)-CZ304</f>
        <v>0</v>
      </c>
      <c r="DA305" s="662"/>
      <c r="DB305" s="714"/>
      <c r="DC305" s="713">
        <f>(DC289+DC290+DC291-DC295-DC296-DC297-DC302)-DC304</f>
        <v>0</v>
      </c>
      <c r="DD305" s="662"/>
      <c r="DE305" s="713">
        <f>(DE289+DE290+DE291-DE295-DE296-DE297-DE302)-DE304</f>
        <v>0</v>
      </c>
      <c r="DF305" s="662"/>
      <c r="DG305" s="713">
        <f>(DG289+DG290+DG291-DG295-DG296-DG297-DG302)-DG304</f>
        <v>0</v>
      </c>
      <c r="DH305" s="662"/>
      <c r="DI305" s="713">
        <f>(DI289+DI290+DI291-DI295-DI296-DI297-DI302)-DI304</f>
        <v>0</v>
      </c>
      <c r="DJ305" s="662"/>
      <c r="DK305" s="713">
        <f>(DK289+DK290+DK291-DK295-DK296-DK297-DK302)-DK304</f>
        <v>0</v>
      </c>
      <c r="DL305" s="662"/>
      <c r="DM305" s="713">
        <f>(DM289+DM290+DM291-DM295-DM296-DM297-DM302)-DM304</f>
        <v>0</v>
      </c>
      <c r="DN305" s="662"/>
      <c r="DO305" s="713">
        <f>(DO289+DO290+DO291-DO295-DO296-DO297-DO302)-DO304</f>
        <v>0</v>
      </c>
      <c r="DP305" s="662"/>
      <c r="DQ305" s="713">
        <f>(DQ289+DQ290+DQ291-DQ295-DQ296-DQ297-DQ302)-DQ304</f>
        <v>0</v>
      </c>
      <c r="DR305" s="662"/>
      <c r="DS305" s="713">
        <f>(DS289+DS290+DS291-DS295-DS296-DS297-DS302)-DS304</f>
        <v>0</v>
      </c>
      <c r="DT305" s="662"/>
      <c r="DU305" s="713">
        <f>(DU289+DU290+DU291-DU295-DU296-DU297-DU302)-DU304</f>
        <v>0</v>
      </c>
      <c r="DV305" s="662"/>
      <c r="DW305" s="713">
        <f>(DW289+DW290+DW291-DW295-DW296-DW297-DW302)-DW304</f>
        <v>0</v>
      </c>
      <c r="DX305" s="662"/>
      <c r="DY305" s="713">
        <f>(DY289+DY290+DY291-DY295-DY296-DY297-DY302)-DY304</f>
        <v>0</v>
      </c>
      <c r="DZ305" s="662"/>
      <c r="EA305" s="713">
        <f>(EA289+EA290+EA291-EA295-EA296-EA297-EA302)-EA304</f>
        <v>0</v>
      </c>
      <c r="EB305" s="662"/>
      <c r="EC305" s="713">
        <f>(EC289+EC290+EC291-EC295-EC296-EC297-EC302)-EC304</f>
        <v>0</v>
      </c>
      <c r="ED305" s="662"/>
      <c r="EE305" s="713">
        <f>(EE289+EE290+EE291-EE295-EE296-EE297-EE302)-EE304</f>
        <v>0</v>
      </c>
      <c r="EF305" s="662"/>
      <c r="EG305" s="713">
        <f>(EG289+EG290+EG291-EG295-EG296-EG297-EG302)-EG304</f>
        <v>0</v>
      </c>
      <c r="EH305" s="662"/>
      <c r="EI305" s="713">
        <f>(EI289+EI290+EI291-EI295-EI296-EI297-EI302)-EI304</f>
        <v>0</v>
      </c>
      <c r="EJ305" s="662"/>
      <c r="EK305" s="713">
        <f>(EK289+EK290+EK291-EK295-EK296-EK297-EK302)-EK304</f>
        <v>0</v>
      </c>
      <c r="EL305" s="662"/>
      <c r="EM305" s="662"/>
    </row>
    <row r="306" spans="1:143" ht="12.75" hidden="1" customHeight="1" outlineLevel="1" collapsed="1" x14ac:dyDescent="0.2">
      <c r="A306" s="701"/>
      <c r="B306" s="16"/>
      <c r="C306" s="687"/>
      <c r="D306" s="16"/>
      <c r="E306" s="687"/>
      <c r="F306" s="16"/>
      <c r="G306" s="687"/>
      <c r="H306" s="16"/>
      <c r="I306" s="687"/>
      <c r="J306" s="16"/>
      <c r="K306" s="687"/>
      <c r="L306" s="16"/>
      <c r="M306" s="687"/>
      <c r="N306" s="16"/>
      <c r="O306" s="687"/>
      <c r="P306" s="16"/>
      <c r="Q306" s="687"/>
      <c r="R306" s="16"/>
      <c r="S306" s="687"/>
      <c r="T306" s="16"/>
      <c r="U306" s="687"/>
      <c r="V306" s="16"/>
      <c r="W306" s="687"/>
      <c r="X306" s="16"/>
      <c r="Y306" s="687"/>
      <c r="Z306" s="16"/>
      <c r="AA306" s="687"/>
      <c r="AB306" s="16"/>
      <c r="AC306" s="687"/>
      <c r="AD306" s="16"/>
      <c r="AE306" s="687"/>
      <c r="AF306" s="16"/>
      <c r="AG306" s="687"/>
      <c r="AH306" s="16"/>
      <c r="AI306" s="687"/>
      <c r="AJ306" s="16"/>
      <c r="AK306" s="687"/>
      <c r="AL306" s="16"/>
      <c r="AM306" s="687"/>
      <c r="AN306" s="16"/>
      <c r="AO306" s="687"/>
      <c r="AP306" s="16"/>
      <c r="AQ306" s="687"/>
      <c r="AR306" s="16"/>
      <c r="AS306" s="687"/>
      <c r="AT306" s="16"/>
      <c r="AU306" s="687"/>
      <c r="AV306" s="16"/>
      <c r="AW306" s="687"/>
      <c r="AX306" s="16"/>
      <c r="AY306" s="687"/>
      <c r="AZ306" s="16"/>
      <c r="BA306" s="687"/>
      <c r="BB306" s="16"/>
      <c r="BC306" s="687"/>
      <c r="BD306" s="16"/>
      <c r="BE306" s="687"/>
      <c r="BF306" s="16"/>
      <c r="BG306" s="687"/>
      <c r="BH306" s="16"/>
      <c r="BI306" s="687"/>
      <c r="BJ306" s="16"/>
      <c r="BK306" s="687"/>
      <c r="BL306" s="16"/>
      <c r="BM306" s="687"/>
      <c r="BN306" s="16"/>
      <c r="BO306" s="687"/>
      <c r="BP306" s="16"/>
      <c r="BQ306" s="687"/>
      <c r="BR306" s="16"/>
      <c r="BS306" s="687"/>
      <c r="BT306" s="16"/>
      <c r="BU306" s="687"/>
      <c r="BV306" s="16"/>
      <c r="BW306" s="687"/>
      <c r="BX306" s="16"/>
      <c r="BY306" s="687"/>
      <c r="BZ306" s="16"/>
      <c r="CA306" s="687"/>
      <c r="CB306" s="16"/>
      <c r="CC306" s="687"/>
      <c r="CD306" s="16"/>
      <c r="CE306" s="687"/>
      <c r="CF306" s="16"/>
      <c r="CG306" s="687"/>
      <c r="CH306" s="16"/>
      <c r="CI306" s="687"/>
      <c r="CJ306" s="16"/>
      <c r="CK306" s="687"/>
      <c r="CL306" s="16"/>
      <c r="CM306" s="687"/>
      <c r="CN306" s="16"/>
      <c r="CO306" s="687"/>
      <c r="CP306" s="16"/>
      <c r="CQ306" s="687"/>
      <c r="CR306" s="16"/>
      <c r="CS306" s="687"/>
      <c r="CT306" s="16"/>
      <c r="CU306" s="687"/>
      <c r="CV306" s="16"/>
      <c r="CW306" s="687"/>
      <c r="CX306" s="16"/>
      <c r="CY306" s="687"/>
      <c r="CZ306" s="16"/>
      <c r="DA306" s="687"/>
      <c r="DB306" s="16"/>
      <c r="DC306" s="16"/>
      <c r="DD306" s="687"/>
      <c r="DE306" s="16"/>
      <c r="DF306" s="687"/>
      <c r="DG306" s="16"/>
      <c r="DH306" s="687"/>
      <c r="DI306" s="16"/>
      <c r="DJ306" s="687"/>
      <c r="DK306" s="16"/>
      <c r="DL306" s="687"/>
      <c r="DM306" s="16"/>
      <c r="DN306" s="687"/>
      <c r="DO306" s="16"/>
      <c r="DP306" s="687"/>
      <c r="DQ306" s="16"/>
      <c r="DR306" s="687"/>
      <c r="DS306" s="16"/>
      <c r="DT306" s="687"/>
      <c r="DU306" s="16"/>
      <c r="DV306" s="687"/>
      <c r="DW306" s="16"/>
      <c r="DX306" s="687"/>
      <c r="DY306" s="16"/>
      <c r="DZ306" s="687"/>
      <c r="EA306" s="16"/>
      <c r="EB306" s="687"/>
      <c r="EC306" s="16"/>
      <c r="ED306" s="687"/>
      <c r="EE306" s="16"/>
      <c r="EF306" s="687"/>
      <c r="EG306" s="16"/>
      <c r="EH306" s="687"/>
      <c r="EI306" s="16"/>
      <c r="EJ306" s="687"/>
      <c r="EK306" s="16"/>
      <c r="EL306" s="687"/>
      <c r="EM306" s="687"/>
    </row>
    <row r="307" spans="1:143" ht="12.75" hidden="1" customHeight="1" outlineLevel="1" x14ac:dyDescent="0.2">
      <c r="A307" s="715" t="s">
        <v>303</v>
      </c>
      <c r="B307" s="16"/>
      <c r="C307" s="687"/>
      <c r="D307" s="16"/>
      <c r="E307" s="687"/>
      <c r="F307" s="16"/>
      <c r="G307" s="687"/>
      <c r="H307" s="16"/>
      <c r="I307" s="687"/>
      <c r="J307" s="16"/>
      <c r="K307" s="687"/>
      <c r="L307" s="16"/>
      <c r="M307" s="687"/>
      <c r="N307" s="16"/>
      <c r="O307" s="687"/>
      <c r="P307" s="16"/>
      <c r="Q307" s="687"/>
      <c r="R307" s="16"/>
      <c r="S307" s="687"/>
      <c r="T307" s="16"/>
      <c r="U307" s="687"/>
      <c r="V307" s="16"/>
      <c r="W307" s="687"/>
      <c r="X307" s="16"/>
      <c r="Y307" s="687"/>
      <c r="Z307" s="16"/>
      <c r="AA307" s="687"/>
      <c r="AB307" s="16"/>
      <c r="AC307" s="687"/>
      <c r="AD307" s="16"/>
      <c r="AE307" s="687"/>
      <c r="AF307" s="16"/>
      <c r="AG307" s="687"/>
      <c r="AH307" s="16"/>
      <c r="AI307" s="687"/>
      <c r="AJ307" s="16"/>
      <c r="AK307" s="687"/>
      <c r="AL307" s="16"/>
      <c r="AM307" s="687"/>
      <c r="AN307" s="16"/>
      <c r="AO307" s="687"/>
      <c r="AP307" s="16"/>
      <c r="AQ307" s="687"/>
      <c r="AR307" s="16"/>
      <c r="AS307" s="687"/>
      <c r="AT307" s="16"/>
      <c r="AU307" s="687"/>
      <c r="AV307" s="16"/>
      <c r="AW307" s="687"/>
      <c r="AX307" s="16"/>
      <c r="AY307" s="687"/>
      <c r="AZ307" s="16"/>
      <c r="BA307" s="687"/>
      <c r="BB307" s="16"/>
      <c r="BC307" s="687"/>
      <c r="BD307" s="16"/>
      <c r="BE307" s="687"/>
      <c r="BF307" s="16"/>
      <c r="BG307" s="687"/>
      <c r="BH307" s="16"/>
      <c r="BI307" s="687"/>
      <c r="BJ307" s="16"/>
      <c r="BK307" s="687"/>
      <c r="BL307" s="16"/>
      <c r="BM307" s="687"/>
      <c r="BN307" s="16"/>
      <c r="BO307" s="687"/>
      <c r="BP307" s="16"/>
      <c r="BQ307" s="687"/>
      <c r="BR307" s="16"/>
      <c r="BS307" s="687"/>
      <c r="BT307" s="16"/>
      <c r="BU307" s="687"/>
      <c r="BV307" s="16"/>
      <c r="BW307" s="687"/>
      <c r="BX307" s="16"/>
      <c r="BY307" s="687"/>
      <c r="BZ307" s="16"/>
      <c r="CA307" s="687"/>
      <c r="CB307" s="16"/>
      <c r="CC307" s="687"/>
      <c r="CD307" s="16"/>
      <c r="CE307" s="687"/>
      <c r="CF307" s="16"/>
      <c r="CG307" s="687"/>
      <c r="CH307" s="16"/>
      <c r="CI307" s="687"/>
      <c r="CJ307" s="16"/>
      <c r="CK307" s="687"/>
      <c r="CL307" s="16"/>
      <c r="CM307" s="687"/>
      <c r="CN307" s="16"/>
      <c r="CO307" s="687"/>
      <c r="CP307" s="16"/>
      <c r="CQ307" s="687"/>
      <c r="CR307" s="16"/>
      <c r="CS307" s="687"/>
      <c r="CT307" s="16"/>
      <c r="CU307" s="687"/>
      <c r="CV307" s="16"/>
      <c r="CW307" s="687"/>
      <c r="CX307" s="16"/>
      <c r="CY307" s="687"/>
      <c r="CZ307" s="16"/>
      <c r="DA307" s="687"/>
      <c r="DB307" s="16"/>
      <c r="DC307" s="16"/>
      <c r="DD307" s="687"/>
      <c r="DE307" s="16"/>
      <c r="DF307" s="687"/>
      <c r="DG307" s="16"/>
      <c r="DH307" s="687"/>
      <c r="DI307" s="16"/>
      <c r="DJ307" s="687"/>
      <c r="DK307" s="16"/>
      <c r="DL307" s="687"/>
      <c r="DM307" s="16"/>
      <c r="DN307" s="687"/>
      <c r="DO307" s="16"/>
      <c r="DP307" s="687"/>
      <c r="DQ307" s="16"/>
      <c r="DR307" s="687"/>
      <c r="DS307" s="16"/>
      <c r="DT307" s="687"/>
      <c r="DU307" s="16"/>
      <c r="DV307" s="687"/>
      <c r="DW307" s="16"/>
      <c r="DX307" s="687"/>
      <c r="DY307" s="16"/>
      <c r="DZ307" s="687"/>
      <c r="EA307" s="16"/>
      <c r="EB307" s="687"/>
      <c r="EC307" s="16"/>
      <c r="ED307" s="687"/>
      <c r="EE307" s="16"/>
      <c r="EF307" s="687"/>
      <c r="EG307" s="16"/>
      <c r="EH307" s="687"/>
      <c r="EI307" s="16"/>
      <c r="EJ307" s="687"/>
      <c r="EK307" s="16"/>
      <c r="EL307" s="687"/>
      <c r="EM307" s="687"/>
    </row>
    <row r="308" spans="1:143" ht="12.75" hidden="1" customHeight="1" outlineLevel="1" x14ac:dyDescent="0.2">
      <c r="A308" s="522" t="s">
        <v>304</v>
      </c>
      <c r="B308" s="156">
        <f>INPUT!AY572</f>
        <v>21.258503401360542</v>
      </c>
      <c r="C308" s="687">
        <f>INPUT!AZ572</f>
        <v>5.8064633968145651</v>
      </c>
      <c r="D308" s="156">
        <f>INPUT!BA572</f>
        <v>17.761325816749306</v>
      </c>
      <c r="E308" s="687">
        <f>INPUT!BB572</f>
        <v>-23.597676983902392</v>
      </c>
      <c r="F308" s="156">
        <f>INPUT!BC572</f>
        <v>14.84269800465173</v>
      </c>
      <c r="G308" s="687">
        <f>INPUT!BD572</f>
        <v>52.549466658985807</v>
      </c>
      <c r="H308" s="156">
        <f>INPUT!BE572</f>
        <v>14.147298341556199</v>
      </c>
      <c r="I308" s="687">
        <f>INPUT!BF572</f>
        <v>-19.643658413286889</v>
      </c>
      <c r="J308" s="156">
        <f>INPUT!BG572</f>
        <v>15.320591861898889</v>
      </c>
      <c r="K308" s="687">
        <f>INPUT!BH572</f>
        <v>-27.931935881627624</v>
      </c>
      <c r="L308" s="156">
        <f>INPUT!BI572</f>
        <v>15.183246073298431</v>
      </c>
      <c r="M308" s="687">
        <f>INPUT!BJ572</f>
        <v>-14.515131190373697</v>
      </c>
      <c r="N308" s="156">
        <f>INPUT!BK572</f>
        <v>13.182224873247836</v>
      </c>
      <c r="O308" s="687">
        <f>INPUT!BL572</f>
        <v>-11.187138152938891</v>
      </c>
      <c r="P308" s="156">
        <f>INPUT!BM572</f>
        <v>12.0897615708275</v>
      </c>
      <c r="Q308" s="687">
        <f>INPUT!BN572</f>
        <v>-14.543672728558366</v>
      </c>
      <c r="R308" s="156">
        <f>INPUT!BO572</f>
        <v>13.924466338259437</v>
      </c>
      <c r="S308" s="687">
        <f>INPUT!BP572</f>
        <v>-9.1127388303548944</v>
      </c>
      <c r="T308" s="156">
        <f>INPUT!BQ572</f>
        <v>13.383020090732337</v>
      </c>
      <c r="U308" s="687">
        <f>INPUT!BR572</f>
        <v>-11.856660781728412</v>
      </c>
      <c r="V308" s="156">
        <f>INPUT!BS572</f>
        <v>13.36507936507936</v>
      </c>
      <c r="W308" s="687">
        <f>INPUT!BT572</f>
        <v>1.3871292106585997</v>
      </c>
      <c r="X308" s="156">
        <f>INPUT!BU572</f>
        <v>11.640953716690044</v>
      </c>
      <c r="Y308" s="687">
        <f>INPUT!BV572</f>
        <v>-3.7122969837587672</v>
      </c>
      <c r="Z308" s="156">
        <f>INPUT!BW572</f>
        <v>15.242966751918141</v>
      </c>
      <c r="AA308" s="687">
        <f>INPUT!BX572</f>
        <v>9.4689475462046211</v>
      </c>
      <c r="AB308" s="156">
        <f>INPUT!BY572</f>
        <v>13.362276893391215</v>
      </c>
      <c r="AC308" s="687">
        <f>INPUT!BZ572</f>
        <v>-0.15499638497507018</v>
      </c>
      <c r="AD308" s="156">
        <f>INPUT!CA572</f>
        <v>14.378035256777954</v>
      </c>
      <c r="AE308" s="687">
        <f>INPUT!CB572</f>
        <v>7.5791236552270158</v>
      </c>
      <c r="AF308" s="156">
        <f>INPUT!CC572</f>
        <v>12.112112112112104</v>
      </c>
      <c r="AG308" s="687">
        <f>INPUT!CD572</f>
        <v>4.0474209148907203</v>
      </c>
      <c r="AH308" s="156">
        <f>INPUT!CE572</f>
        <v>12.676553672316379</v>
      </c>
      <c r="AI308" s="687">
        <f>INPUT!CF572</f>
        <v>-16.83670325711897</v>
      </c>
      <c r="AJ308" s="156">
        <f>INPUT!CG572</f>
        <v>12.383900928792576</v>
      </c>
      <c r="AK308" s="687">
        <f>INPUT!CH572</f>
        <v>-7.3219255401190564</v>
      </c>
      <c r="AL308" s="156">
        <f>INPUT!CI572</f>
        <v>13.778409090909093</v>
      </c>
      <c r="AM308" s="687">
        <f>INPUT!CJ572</f>
        <v>-4.1704318786267454</v>
      </c>
      <c r="AN308" s="156">
        <f>INPUT!CK572</f>
        <v>11.962365591397859</v>
      </c>
      <c r="AO308" s="687">
        <f>INPUT!CL572</f>
        <v>-1.2363369768060406</v>
      </c>
      <c r="AP308" s="156">
        <f>INPUT!CM572</f>
        <v>14.026821312069583</v>
      </c>
      <c r="AQ308" s="687">
        <f>INPUT!CN572</f>
        <v>10.651693470142277</v>
      </c>
      <c r="AR308" s="156">
        <f>INPUT!CO572</f>
        <v>13.544173255414238</v>
      </c>
      <c r="AS308" s="687">
        <f>INPUT!CP572</f>
        <v>9.3691990374699117</v>
      </c>
      <c r="AT308" s="156">
        <f>INPUT!CQ572</f>
        <v>11.569191434963251</v>
      </c>
      <c r="AU308" s="687">
        <f>INPUT!CR572</f>
        <v>-16.03390958542137</v>
      </c>
      <c r="AV308" s="156">
        <f>INPUT!CS572</f>
        <v>11.785714285714285</v>
      </c>
      <c r="AW308" s="687">
        <f>INPUT!CT572</f>
        <v>-1.4767255216694308</v>
      </c>
      <c r="AX308" s="156">
        <f>INPUT!CU572</f>
        <v>11.945392491467576</v>
      </c>
      <c r="AY308" s="687">
        <f>INPUT!CV572</f>
        <v>-14.838920196488214</v>
      </c>
      <c r="AZ308" s="156">
        <f>INPUT!CW572</f>
        <v>11.525423728813559</v>
      </c>
      <c r="BA308" s="687">
        <f>INPUT!CX572</f>
        <v>-14.904929880409579</v>
      </c>
      <c r="BB308" s="156">
        <f>INPUT!CY572</f>
        <v>9.7560975609756095</v>
      </c>
      <c r="BC308" s="687">
        <f>INPUT!CZ572</f>
        <v>-15.67174235278268</v>
      </c>
      <c r="BD308" s="156">
        <f>INPUT!DA572</f>
        <v>10.596026490066226</v>
      </c>
      <c r="BE308" s="687">
        <f>INPUT!DB572</f>
        <v>-10.094320690347169</v>
      </c>
      <c r="BF308" s="156">
        <f>INPUT!DC572</f>
        <v>11.05535045460941</v>
      </c>
      <c r="BG308" s="687">
        <f>INPUT!DD572</f>
        <v>-7.450923337126925</v>
      </c>
      <c r="BH308" s="156">
        <f>INPUT!DE572</f>
        <v>10.240963855421686</v>
      </c>
      <c r="BI308" s="687">
        <f>INPUT!DF572</f>
        <v>-11.144578313253017</v>
      </c>
      <c r="BJ308" s="156">
        <f>INPUT!DG572</f>
        <v>9.7345132743362832</v>
      </c>
      <c r="BK308" s="687">
        <f>INPUT!DH572</f>
        <v>-0.22123893805309214</v>
      </c>
      <c r="BL308" s="156">
        <f>INPUT!DI572</f>
        <v>9.5238095238095237</v>
      </c>
      <c r="BM308" s="687">
        <f>INPUT!DJ572</f>
        <v>-10.119047619047628</v>
      </c>
      <c r="BN308" s="156">
        <f>INPUT!DK572</f>
        <v>10.714285714285714</v>
      </c>
      <c r="BO308" s="687">
        <f>INPUT!DL572</f>
        <v>-3.0850649350649406</v>
      </c>
      <c r="BP308" s="156">
        <f>INPUT!DM572</f>
        <v>10.15625</v>
      </c>
      <c r="BQ308" s="687">
        <f>INPUT!DN572</f>
        <v>-0.82720588235293269</v>
      </c>
      <c r="BR308" s="156">
        <f>INPUT!DO572</f>
        <v>9.9009900990099009</v>
      </c>
      <c r="BS308" s="687">
        <f>INPUT!DP572</f>
        <v>1.7101710171017137</v>
      </c>
      <c r="BT308" s="156">
        <f>INPUT!DQ572</f>
        <v>10.852713178294573</v>
      </c>
      <c r="BU308" s="687">
        <f>INPUT!DR572</f>
        <v>13.953488372093027</v>
      </c>
      <c r="BV308" s="156">
        <f>INPUT!DS572</f>
        <v>9.9431818181818183</v>
      </c>
      <c r="BW308" s="687">
        <f>INPUT!DT572</f>
        <v>-7.1969696969696901</v>
      </c>
      <c r="BX308" s="156">
        <f>INPUT!DU572</f>
        <v>7.9155672823219003</v>
      </c>
      <c r="BY308" s="687">
        <f>INPUT!DV572</f>
        <v>-22.06210675867667</v>
      </c>
      <c r="BZ308" s="156">
        <f>INPUT!DW572</f>
        <v>9.4899169632265714</v>
      </c>
      <c r="CA308" s="687">
        <f>INPUT!DX572</f>
        <v>9.4899169632265714</v>
      </c>
      <c r="CB308" s="156">
        <f>INPUT!DY572</f>
        <v>8.6387434554973819</v>
      </c>
      <c r="CC308" s="687">
        <f>INPUT!DZ572</f>
        <v>-20.400149588631265</v>
      </c>
      <c r="CD308" s="156">
        <f>INPUT!EA572</f>
        <v>9.6685082872928181</v>
      </c>
      <c r="CE308" s="687">
        <f>INPUT!EB572</f>
        <v>-2.7624309392265123</v>
      </c>
      <c r="CF308" s="156">
        <f>INPUT!EC572</f>
        <v>8.310991957104557</v>
      </c>
      <c r="CG308" s="687">
        <f>INPUT!ED572</f>
        <v>4.9955317247542208</v>
      </c>
      <c r="CH308" s="156">
        <f>INPUT!EE572</f>
        <v>7.5679647318148415</v>
      </c>
      <c r="CI308" s="687">
        <f>INPUT!EF572</f>
        <v>-20.252571638501106</v>
      </c>
      <c r="CJ308" s="156">
        <f>INPUT!EG572</f>
        <v>8.3129584352078236</v>
      </c>
      <c r="CK308" s="687">
        <f>INPUT!EH572</f>
        <v>-3.77120841668519</v>
      </c>
      <c r="CL308" s="156">
        <f>INPUT!EI572</f>
        <v>8.7939698492462313</v>
      </c>
      <c r="CM308" s="687">
        <f>INPUT!EJ572</f>
        <v>-9.0452261306532726</v>
      </c>
      <c r="CN308" s="156">
        <f>INPUT!EK572</f>
        <v>8.8305489260143197</v>
      </c>
      <c r="CO308" s="687">
        <f>INPUT!EL572</f>
        <v>6.2514435291400439</v>
      </c>
      <c r="CP308" s="156">
        <f>INPUT!EM572</f>
        <v>8.3044982698961931</v>
      </c>
      <c r="CQ308" s="687">
        <f>INPUT!EN572</f>
        <v>9.7322538381429133</v>
      </c>
      <c r="CR308" s="156">
        <f>INPUT!EO572</f>
        <v>9.3181818181818183</v>
      </c>
      <c r="CS308" s="687">
        <f>INPUT!EP572</f>
        <v>12.092245989304828</v>
      </c>
      <c r="CT308" s="156">
        <f>INPUT!EQ572</f>
        <v>10.347995248588795</v>
      </c>
      <c r="CU308" s="687">
        <f>INPUT!ER572</f>
        <v>17.671488826809735</v>
      </c>
      <c r="CV308" s="156">
        <f>INPUT!ES572</f>
        <v>9.7184358344554056</v>
      </c>
      <c r="CW308" s="687">
        <f>INPUT!ET572</f>
        <v>10.054719314508521</v>
      </c>
      <c r="CX308" s="156">
        <f>INPUT!EU572</f>
        <v>9.4359542693987919</v>
      </c>
      <c r="CY308" s="687">
        <f>INPUT!EV572</f>
        <v>13.624615994010458</v>
      </c>
      <c r="CZ308" s="156">
        <f>INPUT!EW572</f>
        <v>9.2423362118944965</v>
      </c>
      <c r="DA308" s="687">
        <f>INPUT!EX572</f>
        <v>-0.81395284796150769</v>
      </c>
      <c r="DB308" s="16"/>
      <c r="DC308" s="156">
        <f>INPUT!FP572</f>
        <v>17.567135660135701</v>
      </c>
      <c r="DD308" s="687" t="str">
        <f>INPUT!FQ572</f>
        <v>NA</v>
      </c>
      <c r="DE308" s="156">
        <f>INPUT!FR572</f>
        <v>16.677181564616813</v>
      </c>
      <c r="DF308" s="687">
        <f>INPUT!FS572</f>
        <v>-5.0660170942860123</v>
      </c>
      <c r="DG308" s="156">
        <f>INPUT!FT572</f>
        <v>13.893653516295029</v>
      </c>
      <c r="DH308" s="687">
        <f>INPUT!FU572</f>
        <v>-16.690638268443781</v>
      </c>
      <c r="DI308" s="156">
        <f>INPUT!FV572</f>
        <v>13.196147110332749</v>
      </c>
      <c r="DJ308" s="687">
        <f>INPUT!FW572</f>
        <v>-5.0203238848889997</v>
      </c>
      <c r="DK308" s="156">
        <f>INPUT!FX572</f>
        <v>13.630563998298781</v>
      </c>
      <c r="DL308" s="687">
        <f>INPUT!FY572</f>
        <v>3.2919979167697955</v>
      </c>
      <c r="DM308" s="156">
        <f>INPUT!FZ572</f>
        <v>12.687537941201988</v>
      </c>
      <c r="DN308" s="687">
        <f>INPUT!GA572</f>
        <v>-6.918466889664221</v>
      </c>
      <c r="DO308" s="156">
        <f>INPUT!GB572</f>
        <v>12.701560748469431</v>
      </c>
      <c r="DP308" s="687">
        <f>INPUT!GC572</f>
        <v>0.11052425878392835</v>
      </c>
      <c r="DQ308" s="156">
        <f>INPUT!GD572</f>
        <v>10.919540229885058</v>
      </c>
      <c r="DR308" s="687">
        <f>INPUT!GE572</f>
        <v>-14.029933437897469</v>
      </c>
      <c r="DS308" s="156">
        <f>INPUT!GF572</f>
        <v>10.101786810081885</v>
      </c>
      <c r="DT308" s="687">
        <f>INPUT!GG572</f>
        <v>-7.48889973925011</v>
      </c>
      <c r="DU308" s="156">
        <f>INPUT!GH572</f>
        <v>10.396361273554255</v>
      </c>
      <c r="DV308" s="687">
        <f>INPUT!GI572</f>
        <v>2.9160629600535337</v>
      </c>
      <c r="DW308" s="156">
        <f>INPUT!GJ572</f>
        <v>8.9931573802541553</v>
      </c>
      <c r="DX308" s="687">
        <f>INPUT!GK572</f>
        <v>-13.497067448680333</v>
      </c>
      <c r="DY308" s="156">
        <f>INPUT!GL572</f>
        <v>8.4326483282870583</v>
      </c>
      <c r="DZ308" s="687">
        <f>INPUT!GM572</f>
        <v>-6.2326169582863074</v>
      </c>
      <c r="EA308" s="156">
        <f>INPUT!GN572</f>
        <v>8.8139603667553974</v>
      </c>
      <c r="EB308" s="687">
        <f>INPUT!GO572</f>
        <v>4.5218539137845903</v>
      </c>
      <c r="EC308" s="156">
        <f>INPUT!GP572</f>
        <v>9.6662859322464154</v>
      </c>
      <c r="ED308" s="687">
        <f>INPUT!GQ572</f>
        <v>9.6701769695474162</v>
      </c>
      <c r="EE308" s="156">
        <f>INPUT!GR572</f>
        <v>9.2970651290485051</v>
      </c>
      <c r="EF308" s="687">
        <f>INPUT!GS572</f>
        <v>-3.8196759933016411</v>
      </c>
      <c r="EG308" s="156">
        <f>INPUT!GT572</f>
        <v>8.7446579610839628</v>
      </c>
      <c r="EH308" s="687">
        <f>INPUT!GU572</f>
        <v>-5.941737099792455</v>
      </c>
      <c r="EI308" s="156">
        <f>INPUT!GV572</f>
        <v>8.6005223130154569</v>
      </c>
      <c r="EJ308" s="687">
        <f>INPUT!GW572</f>
        <v>-1.6482708495855092</v>
      </c>
      <c r="EK308" s="156">
        <f>INPUT!GX572</f>
        <v>8.4584113598441846</v>
      </c>
      <c r="EL308" s="687">
        <f>INPUT!GY572</f>
        <v>-1.6523525897515712</v>
      </c>
      <c r="EM308" s="687">
        <f>INPUT!GZ572</f>
        <v>-0.82012837235250213</v>
      </c>
    </row>
    <row r="309" spans="1:143" ht="12.75" hidden="1" customHeight="1" outlineLevel="1" x14ac:dyDescent="0.2">
      <c r="A309" s="700"/>
      <c r="B309" s="16"/>
      <c r="C309" s="687"/>
      <c r="D309" s="16"/>
      <c r="E309" s="687"/>
      <c r="F309" s="16"/>
      <c r="G309" s="687"/>
      <c r="H309" s="16"/>
      <c r="I309" s="687"/>
      <c r="J309" s="16"/>
      <c r="K309" s="687"/>
      <c r="L309" s="16"/>
      <c r="M309" s="687"/>
      <c r="N309" s="16"/>
      <c r="O309" s="687"/>
      <c r="P309" s="16"/>
      <c r="Q309" s="687"/>
      <c r="R309" s="16"/>
      <c r="S309" s="687"/>
      <c r="T309" s="16"/>
      <c r="U309" s="687"/>
      <c r="V309" s="16"/>
      <c r="W309" s="687"/>
      <c r="X309" s="16"/>
      <c r="Y309" s="687"/>
      <c r="Z309" s="16"/>
      <c r="AA309" s="687"/>
      <c r="AB309" s="16"/>
      <c r="AC309" s="687"/>
      <c r="AD309" s="16"/>
      <c r="AE309" s="687"/>
      <c r="AF309" s="16"/>
      <c r="AG309" s="687"/>
      <c r="AH309" s="16"/>
      <c r="AI309" s="687"/>
      <c r="AJ309" s="16"/>
      <c r="AK309" s="687"/>
      <c r="AL309" s="16"/>
      <c r="AM309" s="687"/>
      <c r="AN309" s="16"/>
      <c r="AO309" s="687"/>
      <c r="AP309" s="16"/>
      <c r="AQ309" s="687"/>
      <c r="AR309" s="16"/>
      <c r="AS309" s="687"/>
      <c r="AT309" s="16"/>
      <c r="AU309" s="687"/>
      <c r="AV309" s="16"/>
      <c r="AW309" s="687"/>
      <c r="AX309" s="16"/>
      <c r="AY309" s="687"/>
      <c r="AZ309" s="16"/>
      <c r="BA309" s="687"/>
      <c r="BB309" s="16"/>
      <c r="BC309" s="687"/>
      <c r="BD309" s="16"/>
      <c r="BE309" s="687"/>
      <c r="BF309" s="16"/>
      <c r="BG309" s="687"/>
      <c r="BH309" s="16"/>
      <c r="BI309" s="687"/>
      <c r="BJ309" s="16"/>
      <c r="BK309" s="687"/>
      <c r="BL309" s="16"/>
      <c r="BM309" s="687"/>
      <c r="BN309" s="16"/>
      <c r="BO309" s="687"/>
      <c r="BP309" s="16"/>
      <c r="BQ309" s="687"/>
      <c r="BR309" s="16"/>
      <c r="BS309" s="687"/>
      <c r="BT309" s="16"/>
      <c r="BU309" s="687"/>
      <c r="BV309" s="16"/>
      <c r="BW309" s="687"/>
      <c r="BX309" s="16"/>
      <c r="BY309" s="687"/>
      <c r="BZ309" s="16"/>
      <c r="CA309" s="687"/>
      <c r="CB309" s="16"/>
      <c r="CC309" s="687"/>
      <c r="CD309" s="16"/>
      <c r="CE309" s="687"/>
      <c r="CF309" s="16"/>
      <c r="CG309" s="687"/>
      <c r="CH309" s="16"/>
      <c r="CI309" s="687"/>
      <c r="CJ309" s="16"/>
      <c r="CK309" s="687"/>
      <c r="CL309" s="16"/>
      <c r="CM309" s="687"/>
      <c r="CN309" s="16"/>
      <c r="CO309" s="687"/>
      <c r="CP309" s="16"/>
      <c r="CQ309" s="687"/>
      <c r="CR309" s="16"/>
      <c r="CS309" s="687"/>
      <c r="CT309" s="16"/>
      <c r="CU309" s="687"/>
      <c r="CV309" s="16"/>
      <c r="CW309" s="687"/>
      <c r="CX309" s="16"/>
      <c r="CY309" s="687"/>
      <c r="CZ309" s="16"/>
      <c r="DA309" s="687"/>
      <c r="DB309" s="16"/>
      <c r="DC309" s="16"/>
      <c r="DD309" s="687"/>
      <c r="DE309" s="16"/>
      <c r="DF309" s="687"/>
      <c r="DG309" s="16"/>
      <c r="DH309" s="687"/>
      <c r="DI309" s="16"/>
      <c r="DJ309" s="687"/>
      <c r="DK309" s="16"/>
      <c r="DL309" s="687"/>
      <c r="DM309" s="16"/>
      <c r="DN309" s="687"/>
      <c r="DO309" s="16"/>
      <c r="DP309" s="687"/>
      <c r="DQ309" s="16"/>
      <c r="DR309" s="687"/>
      <c r="DS309" s="16"/>
      <c r="DT309" s="687"/>
      <c r="DU309" s="16"/>
      <c r="DV309" s="687"/>
      <c r="DW309" s="16"/>
      <c r="DX309" s="687"/>
      <c r="DY309" s="16"/>
      <c r="DZ309" s="687"/>
      <c r="EA309" s="16"/>
      <c r="EB309" s="687"/>
      <c r="EC309" s="16"/>
      <c r="ED309" s="687"/>
      <c r="EE309" s="16"/>
      <c r="EF309" s="687"/>
      <c r="EG309" s="16"/>
      <c r="EH309" s="687"/>
      <c r="EI309" s="16"/>
      <c r="EJ309" s="687"/>
      <c r="EK309" s="16"/>
      <c r="EL309" s="687"/>
      <c r="EM309" s="687"/>
    </row>
    <row r="310" spans="1:143" ht="12.75" hidden="1" customHeight="1" outlineLevel="1" x14ac:dyDescent="0.2">
      <c r="A310" s="721" t="str">
        <f>INPUT!B128</f>
        <v>Total Account Value Roll Forwards</v>
      </c>
      <c r="B310" s="16"/>
      <c r="C310" s="687"/>
      <c r="D310" s="16"/>
      <c r="E310" s="687"/>
      <c r="F310" s="16"/>
      <c r="G310" s="687"/>
      <c r="H310" s="16"/>
      <c r="I310" s="687"/>
      <c r="J310" s="16">
        <f>INPUT!BG134</f>
        <v>34475</v>
      </c>
      <c r="K310" s="687" t="str">
        <f>INPUT!BH134</f>
        <v>NA</v>
      </c>
      <c r="L310" s="16">
        <f>INPUT!BI134</f>
        <v>35963</v>
      </c>
      <c r="M310" s="687" t="str">
        <f>INPUT!BJ134</f>
        <v>NA</v>
      </c>
      <c r="N310" s="16">
        <f>INPUT!BK134</f>
        <v>36637</v>
      </c>
      <c r="O310" s="687" t="str">
        <f>INPUT!BL134</f>
        <v>NA</v>
      </c>
      <c r="P310" s="16">
        <f>INPUT!BM134</f>
        <v>36058</v>
      </c>
      <c r="Q310" s="687" t="str">
        <f>INPUT!BN134</f>
        <v>NA</v>
      </c>
      <c r="R310" s="16">
        <f>INPUT!BO134</f>
        <v>34764</v>
      </c>
      <c r="S310" s="687">
        <f>INPUT!BP134</f>
        <v>0.83828861493835394</v>
      </c>
      <c r="T310" s="16">
        <f>INPUT!BQ134</f>
        <v>35042</v>
      </c>
      <c r="U310" s="687">
        <f>INPUT!BR134</f>
        <v>-2.5609654366988255</v>
      </c>
      <c r="V310" s="16">
        <f>INPUT!BS134</f>
        <v>32573</v>
      </c>
      <c r="W310" s="687">
        <f>INPUT!BT134</f>
        <v>-11.092611294592903</v>
      </c>
      <c r="X310" s="16">
        <f>INPUT!BU134</f>
        <v>28878</v>
      </c>
      <c r="Y310" s="687">
        <f>INPUT!BV134</f>
        <v>-19.91236341449887</v>
      </c>
      <c r="Z310" s="16">
        <f>INPUT!BW134</f>
        <v>28493</v>
      </c>
      <c r="AA310" s="687">
        <f>INPUT!BX134</f>
        <v>-18.038775745023582</v>
      </c>
      <c r="AB310" s="16">
        <f>INPUT!BY134</f>
        <v>31327</v>
      </c>
      <c r="AC310" s="687">
        <f>INPUT!BZ134</f>
        <v>-10.601563837680494</v>
      </c>
      <c r="AD310" s="16">
        <f>INPUT!CA134</f>
        <v>34322</v>
      </c>
      <c r="AE310" s="687">
        <f>INPUT!CB134</f>
        <v>5.3694777883523059</v>
      </c>
      <c r="AF310" s="16">
        <f>INPUT!CC134</f>
        <v>35302</v>
      </c>
      <c r="AG310" s="687">
        <f>INPUT!CD134</f>
        <v>22.245307846803787</v>
      </c>
      <c r="AH310" s="16">
        <f>INPUT!CE134</f>
        <v>36699</v>
      </c>
      <c r="AI310" s="687">
        <f>INPUT!CF134</f>
        <v>28.800056154143117</v>
      </c>
      <c r="AJ310" s="16">
        <f>INPUT!CG134</f>
        <v>35040</v>
      </c>
      <c r="AK310" s="687">
        <f>INPUT!CH134</f>
        <v>11.852395697002581</v>
      </c>
      <c r="AL310" s="16">
        <f>INPUT!CI134</f>
        <v>37088</v>
      </c>
      <c r="AM310" s="687">
        <f>INPUT!CJ134</f>
        <v>8.0589709224404125</v>
      </c>
      <c r="AN310" s="16">
        <f>INPUT!CK134</f>
        <v>38824</v>
      </c>
      <c r="AO310" s="687">
        <f>INPUT!CL134</f>
        <v>9.9767718542858717</v>
      </c>
      <c r="AP310" s="16">
        <f>INPUT!CM134</f>
        <v>40308</v>
      </c>
      <c r="AQ310" s="687">
        <f>INPUT!CN134</f>
        <v>9.8340554238535169</v>
      </c>
      <c r="AR310" s="16">
        <f>INPUT!CO134</f>
        <v>40287</v>
      </c>
      <c r="AS310" s="687">
        <f>INPUT!CP134</f>
        <v>14.97431506849316</v>
      </c>
      <c r="AT310" s="16">
        <f>INPUT!CQ134</f>
        <v>37020</v>
      </c>
      <c r="AU310" s="687">
        <f>INPUT!CR134</f>
        <v>-0.18334771354615587</v>
      </c>
      <c r="AV310" s="16">
        <f>INPUT!CS134</f>
        <v>39133</v>
      </c>
      <c r="AW310" s="687">
        <f>INPUT!CT134</f>
        <v>0.79589944364311105</v>
      </c>
      <c r="AX310" s="16">
        <f>INPUT!CU134</f>
        <v>42020</v>
      </c>
      <c r="AY310" s="687">
        <f>INPUT!CV134</f>
        <v>4.2472958221692947</v>
      </c>
      <c r="AZ310" s="16">
        <f>INPUT!CW134</f>
        <v>41397</v>
      </c>
      <c r="BA310" s="687">
        <f>INPUT!CX134</f>
        <v>2.7552312160250114</v>
      </c>
      <c r="BB310" s="16">
        <f>INPUT!CY134</f>
        <v>43103</v>
      </c>
      <c r="BC310" s="687">
        <f>INPUT!CZ134</f>
        <v>16.431658562938956</v>
      </c>
      <c r="BD310" s="16">
        <f>INPUT!DA134</f>
        <v>43931</v>
      </c>
      <c r="BE310" s="687">
        <f>INPUT!DB134</f>
        <v>12.260751795160086</v>
      </c>
      <c r="BF310" s="16">
        <f>INPUT!DC134</f>
        <v>46442</v>
      </c>
      <c r="BG310" s="687">
        <f>INPUT!DD134</f>
        <v>10.523560209424087</v>
      </c>
      <c r="BH310" s="16">
        <f>INPUT!DE134</f>
        <v>47097</v>
      </c>
      <c r="BI310" s="687">
        <f>INPUT!DF134</f>
        <v>13.769113703891577</v>
      </c>
      <c r="BJ310" s="16">
        <f>INPUT!DG134</f>
        <v>49309</v>
      </c>
      <c r="BK310" s="687">
        <f>INPUT!DH134</f>
        <v>14.398069739925301</v>
      </c>
      <c r="BL310" s="16">
        <f>INPUT!DI134</f>
        <v>51618</v>
      </c>
      <c r="BM310" s="687">
        <f>INPUT!DJ134</f>
        <v>17.497894425348836</v>
      </c>
      <c r="BN310" s="16">
        <f>INPUT!DK134</f>
        <v>51851</v>
      </c>
      <c r="BO310" s="687">
        <f>INPUT!DL134</f>
        <v>11.646785237500534</v>
      </c>
      <c r="BP310" s="16">
        <f>INPUT!DM134</f>
        <v>53748</v>
      </c>
      <c r="BQ310" s="687">
        <f>INPUT!DN134</f>
        <v>14.121918593540993</v>
      </c>
      <c r="BR310" s="16">
        <f>INPUT!DO134</f>
        <v>53362</v>
      </c>
      <c r="BS310" s="687">
        <f>INPUT!DP134</f>
        <v>8.219594800137898</v>
      </c>
      <c r="BT310" s="16">
        <f>INPUT!DQ134</f>
        <v>53539</v>
      </c>
      <c r="BU310" s="687">
        <f>INPUT!DR134</f>
        <v>3.7215699949630032</v>
      </c>
      <c r="BV310" s="16">
        <f>INPUT!DS134</f>
        <v>54632</v>
      </c>
      <c r="BW310" s="687">
        <f>INPUT!DT134</f>
        <v>5.3634452566006408</v>
      </c>
      <c r="BX310" s="16">
        <f>INPUT!DU134</f>
        <v>54989</v>
      </c>
      <c r="BY310" s="687">
        <f>INPUT!DV134</f>
        <v>2.3089231227208407</v>
      </c>
      <c r="BZ310" s="16">
        <f>INPUT!DW134</f>
        <v>52844</v>
      </c>
      <c r="CA310" s="687">
        <f>INPUT!DX134</f>
        <v>-2142.6910768772791</v>
      </c>
      <c r="CB310" s="16">
        <f>INPUT!DY134</f>
        <v>54100</v>
      </c>
      <c r="CC310" s="687">
        <f>INPUT!DZ134</f>
        <v>1.0478342890229531</v>
      </c>
      <c r="CD310" s="16">
        <f>INPUT!EA134</f>
        <v>54499</v>
      </c>
      <c r="CE310" s="687">
        <f>INPUT!EB134</f>
        <v>-0.24344706399179739</v>
      </c>
      <c r="CF310" s="16">
        <f>INPUT!EC134</f>
        <v>55430</v>
      </c>
      <c r="CG310" s="687">
        <f>INPUT!ED134</f>
        <v>0.80197857753367963</v>
      </c>
      <c r="CH310" s="16">
        <f>INPUT!EE134</f>
        <v>57268</v>
      </c>
      <c r="CI310" s="687">
        <f>INPUT!EF134</f>
        <v>8.3718113693134413</v>
      </c>
      <c r="CJ310" s="16">
        <f>INPUT!EG134</f>
        <v>58434</v>
      </c>
      <c r="CK310" s="687">
        <f>INPUT!EH134</f>
        <v>8.0110905730129467</v>
      </c>
      <c r="CL310" s="16">
        <f>INPUT!EI134</f>
        <v>60733</v>
      </c>
      <c r="CM310" s="687">
        <f>INPUT!EJ134</f>
        <v>11.438741995265978</v>
      </c>
      <c r="CN310" s="16">
        <f>INPUT!EK134</f>
        <v>62568</v>
      </c>
      <c r="CO310" s="687">
        <f>INPUT!EL134</f>
        <v>12.877503157135116</v>
      </c>
      <c r="CP310" s="16">
        <f>INPUT!EM134</f>
        <v>64829</v>
      </c>
      <c r="CQ310" s="687">
        <f>INPUT!EN134</f>
        <v>13.202835789620737</v>
      </c>
      <c r="CR310" s="16">
        <f>INPUT!EO134</f>
        <v>67369</v>
      </c>
      <c r="CS310" s="687">
        <f>INPUT!EP134</f>
        <v>15.290755382140532</v>
      </c>
      <c r="CT310" s="16">
        <f>INPUT!EQ134</f>
        <v>67201.521090355222</v>
      </c>
      <c r="CU310" s="687">
        <f>INPUT!ER134</f>
        <v>10.650751799442194</v>
      </c>
      <c r="CV310" s="16">
        <f>INPUT!ES134</f>
        <v>68576.228873239394</v>
      </c>
      <c r="CW310" s="687">
        <f>INPUT!ET134</f>
        <v>9.6027184395208298</v>
      </c>
      <c r="CX310" s="16">
        <f>INPUT!EU134</f>
        <v>70078.981563384164</v>
      </c>
      <c r="CY310" s="687">
        <f>INPUT!EV134</f>
        <v>8.0981992061950123</v>
      </c>
      <c r="CZ310" s="16">
        <f>INPUT!EW134</f>
        <v>71055.010561796807</v>
      </c>
      <c r="DA310" s="687">
        <f>INPUT!EX134</f>
        <v>5.4713749080390173</v>
      </c>
      <c r="DB310" s="16"/>
      <c r="DC310" s="16"/>
      <c r="DD310" s="687"/>
      <c r="DE310" s="16"/>
      <c r="DF310" s="687"/>
      <c r="DG310" s="16">
        <f>INPUT!FT134</f>
        <v>36058</v>
      </c>
      <c r="DH310" s="687" t="str">
        <f>INPUT!FU134</f>
        <v>NA</v>
      </c>
      <c r="DI310" s="16">
        <f>INPUT!FV134</f>
        <v>28878</v>
      </c>
      <c r="DJ310" s="687">
        <f>INPUT!FW134</f>
        <v>-19.91236341449887</v>
      </c>
      <c r="DK310" s="16">
        <f>INPUT!FX134</f>
        <v>35302</v>
      </c>
      <c r="DL310" s="687">
        <f>INPUT!FY134</f>
        <v>22.245307846803787</v>
      </c>
      <c r="DM310" s="16">
        <f>INPUT!FZ134</f>
        <v>38824</v>
      </c>
      <c r="DN310" s="687">
        <f>INPUT!GA134</f>
        <v>9.9767718542858717</v>
      </c>
      <c r="DO310" s="16">
        <f>INPUT!GB134</f>
        <v>39133</v>
      </c>
      <c r="DP310" s="687">
        <f>INPUT!GC134</f>
        <v>0.79589944364311105</v>
      </c>
      <c r="DQ310" s="16">
        <f>INPUT!GD134</f>
        <v>43931</v>
      </c>
      <c r="DR310" s="687">
        <f>INPUT!GE134</f>
        <v>12.260751795160086</v>
      </c>
      <c r="DS310" s="16">
        <f>INPUT!GF134</f>
        <v>51618</v>
      </c>
      <c r="DT310" s="687">
        <f>INPUT!GG134</f>
        <v>17.497894425348836</v>
      </c>
      <c r="DU310" s="16">
        <f>INPUT!GH134</f>
        <v>53539</v>
      </c>
      <c r="DV310" s="687">
        <f>INPUT!GI134</f>
        <v>3.7215699949630032</v>
      </c>
      <c r="DW310" s="16">
        <f>INPUT!GJ134</f>
        <v>54100</v>
      </c>
      <c r="DX310" s="687">
        <f>INPUT!GK134</f>
        <v>1.0478342890229531</v>
      </c>
      <c r="DY310" s="16">
        <f>INPUT!GL134</f>
        <v>58434</v>
      </c>
      <c r="DZ310" s="687">
        <f>INPUT!GM134</f>
        <v>8.0110905730129467</v>
      </c>
      <c r="EA310" s="16">
        <f>INPUT!GN134</f>
        <v>67369</v>
      </c>
      <c r="EB310" s="687">
        <f>INPUT!GO134</f>
        <v>15.290755382140532</v>
      </c>
      <c r="EC310" s="16">
        <f>INPUT!GP134</f>
        <v>71055.010561796822</v>
      </c>
      <c r="ED310" s="687">
        <f>INPUT!GQ134</f>
        <v>5.4713749080390395</v>
      </c>
      <c r="EE310" s="16">
        <f>INPUT!GR134</f>
        <v>73141.685661774143</v>
      </c>
      <c r="EF310" s="687">
        <f>INPUT!GS134</f>
        <v>2.936703665904794</v>
      </c>
      <c r="EG310" s="16">
        <f>INPUT!GT134</f>
        <v>75511.702493865028</v>
      </c>
      <c r="EH310" s="687">
        <f>INPUT!GU134</f>
        <v>3.2403092855289861</v>
      </c>
      <c r="EI310" s="16">
        <f>INPUT!GV134</f>
        <v>78157.371250236931</v>
      </c>
      <c r="EJ310" s="687">
        <f>INPUT!GW134</f>
        <v>3.5036539622277152</v>
      </c>
      <c r="EK310" s="16">
        <f>INPUT!GX134</f>
        <v>81073.286361971448</v>
      </c>
      <c r="EL310" s="687">
        <f>INPUT!GY134</f>
        <v>3.7308254680145536</v>
      </c>
      <c r="EM310" s="687">
        <f>INPUT!GZ134</f>
        <v>3.7728000825730357</v>
      </c>
    </row>
    <row r="311" spans="1:143" ht="12.75" hidden="1" customHeight="1" outlineLevel="1" x14ac:dyDescent="0.2">
      <c r="A311" s="701"/>
      <c r="B311" s="151"/>
      <c r="C311" s="687"/>
      <c r="D311" s="151"/>
      <c r="E311" s="687"/>
      <c r="F311" s="151"/>
      <c r="G311" s="687"/>
      <c r="H311" s="151"/>
      <c r="I311" s="687"/>
      <c r="J311" s="151"/>
      <c r="K311" s="687"/>
      <c r="L311" s="151"/>
      <c r="M311" s="687"/>
      <c r="N311" s="151"/>
      <c r="O311" s="687"/>
      <c r="P311" s="151"/>
      <c r="Q311" s="687"/>
      <c r="R311" s="151"/>
      <c r="S311" s="687"/>
      <c r="T311" s="151"/>
      <c r="U311" s="687"/>
      <c r="V311" s="151"/>
      <c r="W311" s="687"/>
      <c r="X311" s="151"/>
      <c r="Y311" s="687"/>
      <c r="Z311" s="151"/>
      <c r="AA311" s="687"/>
      <c r="AB311" s="151"/>
      <c r="AC311" s="687"/>
      <c r="AD311" s="151"/>
      <c r="AE311" s="687"/>
      <c r="AF311" s="151"/>
      <c r="AG311" s="687"/>
      <c r="AH311" s="151"/>
      <c r="AI311" s="687"/>
      <c r="AJ311" s="151"/>
      <c r="AK311" s="687"/>
      <c r="AL311" s="151"/>
      <c r="AM311" s="687"/>
      <c r="AN311" s="151"/>
      <c r="AO311" s="687"/>
      <c r="AP311" s="151"/>
      <c r="AQ311" s="687"/>
      <c r="AR311" s="151"/>
      <c r="AS311" s="687"/>
      <c r="AT311" s="151"/>
      <c r="AU311" s="687"/>
      <c r="AV311" s="151"/>
      <c r="AW311" s="687"/>
      <c r="AX311" s="151"/>
      <c r="AY311" s="687"/>
      <c r="AZ311" s="151"/>
      <c r="BA311" s="687"/>
      <c r="BB311" s="151"/>
      <c r="BC311" s="687"/>
      <c r="BD311" s="151"/>
      <c r="BE311" s="687"/>
      <c r="BF311" s="151"/>
      <c r="BG311" s="687"/>
      <c r="BH311" s="151"/>
      <c r="BI311" s="687"/>
      <c r="BJ311" s="151"/>
      <c r="BK311" s="687"/>
      <c r="BL311" s="151"/>
      <c r="BM311" s="687"/>
      <c r="BN311" s="151"/>
      <c r="BO311" s="687"/>
      <c r="BP311" s="151"/>
      <c r="BQ311" s="687"/>
      <c r="BR311" s="151"/>
      <c r="BS311" s="687"/>
      <c r="BT311" s="151"/>
      <c r="BU311" s="687"/>
      <c r="BV311" s="151"/>
      <c r="BW311" s="687"/>
      <c r="BX311" s="151"/>
      <c r="BY311" s="687"/>
      <c r="BZ311" s="151"/>
      <c r="CA311" s="687"/>
      <c r="CB311" s="151"/>
      <c r="CC311" s="687"/>
      <c r="CD311" s="151"/>
      <c r="CE311" s="687"/>
      <c r="CF311" s="151"/>
      <c r="CG311" s="687"/>
      <c r="CH311" s="151"/>
      <c r="CI311" s="687"/>
      <c r="CJ311" s="151"/>
      <c r="CK311" s="687"/>
      <c r="CL311" s="151"/>
      <c r="CM311" s="687"/>
      <c r="CN311" s="151"/>
      <c r="CO311" s="687"/>
      <c r="CP311" s="151"/>
      <c r="CQ311" s="687"/>
      <c r="CR311" s="151"/>
      <c r="CS311" s="687"/>
      <c r="CT311" s="151"/>
      <c r="CU311" s="687"/>
      <c r="CV311" s="151"/>
      <c r="CW311" s="687"/>
      <c r="CX311" s="151"/>
      <c r="CY311" s="687"/>
      <c r="CZ311" s="151"/>
      <c r="DA311" s="687"/>
      <c r="DB311" s="16"/>
      <c r="DC311" s="151"/>
      <c r="DD311" s="687"/>
      <c r="DE311" s="151"/>
      <c r="DF311" s="687"/>
      <c r="DG311" s="151"/>
      <c r="DH311" s="687"/>
      <c r="DI311" s="151"/>
      <c r="DJ311" s="687"/>
      <c r="DK311" s="151"/>
      <c r="DL311" s="687"/>
      <c r="DM311" s="151"/>
      <c r="DN311" s="687"/>
      <c r="DO311" s="151"/>
      <c r="DP311" s="687"/>
      <c r="DQ311" s="151"/>
      <c r="DR311" s="687"/>
      <c r="DS311" s="151"/>
      <c r="DT311" s="687"/>
      <c r="DU311" s="151"/>
      <c r="DV311" s="687"/>
      <c r="DW311" s="151"/>
      <c r="DX311" s="687"/>
      <c r="DY311" s="151"/>
      <c r="DZ311" s="687"/>
      <c r="EA311" s="151"/>
      <c r="EB311" s="687"/>
      <c r="EC311" s="151"/>
      <c r="ED311" s="687"/>
      <c r="EE311" s="151"/>
      <c r="EF311" s="687"/>
      <c r="EG311" s="151"/>
      <c r="EH311" s="687"/>
      <c r="EI311" s="151"/>
      <c r="EJ311" s="687"/>
      <c r="EK311" s="151"/>
      <c r="EL311" s="687"/>
      <c r="EM311" s="687"/>
    </row>
    <row r="312" spans="1:143" ht="12.75" hidden="1" customHeight="1" outlineLevel="1" x14ac:dyDescent="0.2">
      <c r="A312" s="700" t="str">
        <f>INPUT!B182</f>
        <v>Profitability Analysis</v>
      </c>
      <c r="B312" s="16"/>
      <c r="C312" s="687"/>
      <c r="D312" s="16"/>
      <c r="E312" s="687"/>
      <c r="F312" s="16"/>
      <c r="G312" s="687"/>
      <c r="H312" s="16"/>
      <c r="I312" s="687"/>
      <c r="J312" s="16"/>
      <c r="K312" s="687"/>
      <c r="L312" s="16"/>
      <c r="M312" s="687"/>
      <c r="N312" s="16"/>
      <c r="O312" s="687"/>
      <c r="P312" s="16"/>
      <c r="Q312" s="687"/>
      <c r="R312" s="16"/>
      <c r="S312" s="687"/>
      <c r="T312" s="16"/>
      <c r="U312" s="687"/>
      <c r="V312" s="16"/>
      <c r="W312" s="687"/>
      <c r="X312" s="16"/>
      <c r="Y312" s="687"/>
      <c r="Z312" s="16"/>
      <c r="AA312" s="687"/>
      <c r="AB312" s="16"/>
      <c r="AC312" s="687"/>
      <c r="AD312" s="16"/>
      <c r="AE312" s="687"/>
      <c r="AF312" s="16"/>
      <c r="AG312" s="687"/>
      <c r="AH312" s="16"/>
      <c r="AI312" s="687"/>
      <c r="AJ312" s="16"/>
      <c r="AK312" s="687"/>
      <c r="AL312" s="16"/>
      <c r="AM312" s="687"/>
      <c r="AN312" s="16"/>
      <c r="AO312" s="687"/>
      <c r="AP312" s="16"/>
      <c r="AQ312" s="687"/>
      <c r="AR312" s="16"/>
      <c r="AS312" s="687"/>
      <c r="AT312" s="16"/>
      <c r="AU312" s="687"/>
      <c r="AV312" s="16"/>
      <c r="AW312" s="687"/>
      <c r="AX312" s="16"/>
      <c r="AY312" s="687"/>
      <c r="AZ312" s="16"/>
      <c r="BA312" s="687"/>
      <c r="BB312" s="16"/>
      <c r="BC312" s="687"/>
      <c r="BD312" s="16"/>
      <c r="BE312" s="687"/>
      <c r="BF312" s="16"/>
      <c r="BG312" s="687"/>
      <c r="BH312" s="16"/>
      <c r="BI312" s="687"/>
      <c r="BJ312" s="16"/>
      <c r="BK312" s="687"/>
      <c r="BL312" s="16"/>
      <c r="BM312" s="687"/>
      <c r="BN312" s="16"/>
      <c r="BO312" s="687"/>
      <c r="BP312" s="16"/>
      <c r="BQ312" s="687"/>
      <c r="BR312" s="16"/>
      <c r="BS312" s="687"/>
      <c r="BT312" s="16"/>
      <c r="BU312" s="687"/>
      <c r="BV312" s="16"/>
      <c r="BW312" s="687"/>
      <c r="BX312" s="16"/>
      <c r="BY312" s="687"/>
      <c r="BZ312" s="16"/>
      <c r="CA312" s="687"/>
      <c r="CB312" s="16"/>
      <c r="CC312" s="687"/>
      <c r="CD312" s="16"/>
      <c r="CE312" s="687"/>
      <c r="CF312" s="16"/>
      <c r="CG312" s="687"/>
      <c r="CH312" s="16"/>
      <c r="CI312" s="687"/>
      <c r="CJ312" s="16"/>
      <c r="CK312" s="687"/>
      <c r="CL312" s="16"/>
      <c r="CM312" s="687"/>
      <c r="CN312" s="16"/>
      <c r="CO312" s="687"/>
      <c r="CP312" s="16"/>
      <c r="CQ312" s="687"/>
      <c r="CR312" s="16"/>
      <c r="CS312" s="687"/>
      <c r="CT312" s="16"/>
      <c r="CU312" s="687"/>
      <c r="CV312" s="16"/>
      <c r="CW312" s="687"/>
      <c r="CX312" s="16"/>
      <c r="CY312" s="687"/>
      <c r="CZ312" s="16"/>
      <c r="DA312" s="687"/>
      <c r="DB312" s="16"/>
      <c r="DC312" s="16"/>
      <c r="DD312" s="687"/>
      <c r="DE312" s="16"/>
      <c r="DF312" s="687"/>
      <c r="DG312" s="16"/>
      <c r="DH312" s="687"/>
      <c r="DI312" s="16"/>
      <c r="DJ312" s="687"/>
      <c r="DK312" s="16"/>
      <c r="DL312" s="687"/>
      <c r="DM312" s="16"/>
      <c r="DN312" s="687"/>
      <c r="DO312" s="16"/>
      <c r="DP312" s="687"/>
      <c r="DQ312" s="16"/>
      <c r="DR312" s="687"/>
      <c r="DS312" s="16"/>
      <c r="DT312" s="687"/>
      <c r="DU312" s="16"/>
      <c r="DV312" s="687"/>
      <c r="DW312" s="16"/>
      <c r="DX312" s="687"/>
      <c r="DY312" s="16"/>
      <c r="DZ312" s="687"/>
      <c r="EA312" s="16"/>
      <c r="EB312" s="687"/>
      <c r="EC312" s="16"/>
      <c r="ED312" s="687"/>
      <c r="EE312" s="16"/>
      <c r="EF312" s="687"/>
      <c r="EG312" s="16"/>
      <c r="EH312" s="687"/>
      <c r="EI312" s="16"/>
      <c r="EJ312" s="687"/>
      <c r="EK312" s="16"/>
      <c r="EL312" s="687"/>
      <c r="EM312" s="687"/>
    </row>
    <row r="313" spans="1:143" ht="12.75" hidden="1" customHeight="1" outlineLevel="1" x14ac:dyDescent="0.2">
      <c r="A313" s="701" t="str">
        <f>INPUT!B183</f>
        <v>Operating Margin (%)</v>
      </c>
      <c r="B313" s="156">
        <f>INPUT!AY183</f>
        <v>21.067415730337075</v>
      </c>
      <c r="C313" s="687">
        <f>INPUT!AZ183</f>
        <v>0</v>
      </c>
      <c r="D313" s="156">
        <f>INPUT!BA183</f>
        <v>21.81599035757332</v>
      </c>
      <c r="E313" s="687">
        <f>INPUT!BB183</f>
        <v>0</v>
      </c>
      <c r="F313" s="156">
        <f>INPUT!BC183</f>
        <v>21.41982864137087</v>
      </c>
      <c r="G313" s="687">
        <f>INPUT!BD183</f>
        <v>0</v>
      </c>
      <c r="H313" s="156">
        <f>INPUT!BE183</f>
        <v>18.20408163265305</v>
      </c>
      <c r="I313" s="687">
        <f>INPUT!BF183</f>
        <v>0</v>
      </c>
      <c r="J313" s="156">
        <f>INPUT!BG183</f>
        <v>20.145926226185658</v>
      </c>
      <c r="K313" s="687">
        <f>INPUT!BH183</f>
        <v>0</v>
      </c>
      <c r="L313" s="156">
        <f>INPUT!BI183</f>
        <v>18.769841269841276</v>
      </c>
      <c r="M313" s="687">
        <f>INPUT!BJ183</f>
        <v>0</v>
      </c>
      <c r="N313" s="156">
        <f>INPUT!BK183</f>
        <v>16.926869350862773</v>
      </c>
      <c r="O313" s="687">
        <f>INPUT!BL183</f>
        <v>0</v>
      </c>
      <c r="P313" s="156">
        <f>INPUT!BM183</f>
        <v>17.714755445951504</v>
      </c>
      <c r="Q313" s="687">
        <f>INPUT!BN183</f>
        <v>0</v>
      </c>
      <c r="R313" s="156">
        <f>INPUT!BO183</f>
        <v>16.996213714766512</v>
      </c>
      <c r="S313" s="687">
        <f>INPUT!BP183</f>
        <v>0</v>
      </c>
      <c r="T313" s="156">
        <f>INPUT!BQ183</f>
        <v>17.251461988304094</v>
      </c>
      <c r="U313" s="687">
        <f>INPUT!BR183</f>
        <v>0</v>
      </c>
      <c r="V313" s="156">
        <f>INPUT!BS183</f>
        <v>17.47613117476131</v>
      </c>
      <c r="W313" s="687">
        <f>INPUT!BT183</f>
        <v>0</v>
      </c>
      <c r="X313" s="156">
        <f>INPUT!BU183</f>
        <v>-0.51282051282051844</v>
      </c>
      <c r="Y313" s="687">
        <f>INPUT!BV183</f>
        <v>0</v>
      </c>
      <c r="Z313" s="156">
        <f>INPUT!BW183</f>
        <v>13.638443935926761</v>
      </c>
      <c r="AA313" s="687">
        <f>INPUT!BX183</f>
        <v>0</v>
      </c>
      <c r="AB313" s="156">
        <f>INPUT!BY183</f>
        <v>12.393736017897096</v>
      </c>
      <c r="AC313" s="687">
        <f>INPUT!BZ183</f>
        <v>0</v>
      </c>
      <c r="AD313" s="156">
        <f>INPUT!CA183</f>
        <v>17.705735660847886</v>
      </c>
      <c r="AE313" s="687">
        <f>INPUT!CB183</f>
        <v>0</v>
      </c>
      <c r="AF313" s="156">
        <f>INPUT!CC183</f>
        <v>13.664341403364782</v>
      </c>
      <c r="AG313" s="687">
        <f>INPUT!CD183</f>
        <v>0</v>
      </c>
      <c r="AH313" s="156">
        <f>INPUT!CE183</f>
        <v>14.927234927234922</v>
      </c>
      <c r="AI313" s="687">
        <f>INPUT!CF183</f>
        <v>0</v>
      </c>
      <c r="AJ313" s="156">
        <f>INPUT!CG183</f>
        <v>14.675907052588673</v>
      </c>
      <c r="AK313" s="687">
        <f>INPUT!CH183</f>
        <v>0</v>
      </c>
      <c r="AL313" s="156">
        <f>INPUT!CI183</f>
        <v>20.359771054783319</v>
      </c>
      <c r="AM313" s="687">
        <f>INPUT!CJ183</f>
        <v>0</v>
      </c>
      <c r="AN313" s="156">
        <f>INPUT!CK183</f>
        <v>12.670034978624173</v>
      </c>
      <c r="AO313" s="687">
        <f>INPUT!CL183</f>
        <v>0</v>
      </c>
      <c r="AP313" s="156">
        <f>INPUT!CM183</f>
        <v>18.136882129277566</v>
      </c>
      <c r="AQ313" s="687">
        <f>INPUT!CN183</f>
        <v>0</v>
      </c>
      <c r="AR313" s="156">
        <f>INPUT!CO183</f>
        <v>15.941470927993837</v>
      </c>
      <c r="AS313" s="687">
        <f>INPUT!CP183</f>
        <v>0</v>
      </c>
      <c r="AT313" s="156">
        <f>INPUT!CQ183</f>
        <v>15.819209039548024</v>
      </c>
      <c r="AU313" s="687">
        <f>INPUT!CR183</f>
        <v>0</v>
      </c>
      <c r="AV313" s="156">
        <f>INPUT!CS183</f>
        <v>13.414634146341465</v>
      </c>
      <c r="AW313" s="687">
        <f>INPUT!CT183</f>
        <v>0</v>
      </c>
      <c r="AX313" s="156">
        <f>INPUT!CU183</f>
        <v>13.888888888888889</v>
      </c>
      <c r="AY313" s="687">
        <f>INPUT!CV183</f>
        <v>0</v>
      </c>
      <c r="AZ313" s="156">
        <f>INPUT!CW183</f>
        <v>14.728682170542637</v>
      </c>
      <c r="BA313" s="687">
        <f>INPUT!CX183</f>
        <v>0</v>
      </c>
      <c r="BB313" s="156">
        <f>INPUT!CY183</f>
        <v>11.372549019607844</v>
      </c>
      <c r="BC313" s="687">
        <f>INPUT!CZ183</f>
        <v>0</v>
      </c>
      <c r="BD313" s="156">
        <f>INPUT!DA183</f>
        <v>10.810810810810811</v>
      </c>
      <c r="BE313" s="687">
        <f>INPUT!DB183</f>
        <v>0</v>
      </c>
      <c r="BF313" s="156">
        <f>INPUT!DC183</f>
        <v>13.461538461538462</v>
      </c>
      <c r="BG313" s="687">
        <f>INPUT!DD183</f>
        <v>0</v>
      </c>
      <c r="BH313" s="156">
        <f>INPUT!DE183</f>
        <v>14.391143911439114</v>
      </c>
      <c r="BI313" s="687">
        <f>INPUT!DF183</f>
        <v>0</v>
      </c>
      <c r="BJ313" s="156">
        <f>INPUT!DG183</f>
        <v>12.267657992565056</v>
      </c>
      <c r="BK313" s="687">
        <f>INPUT!DH183</f>
        <v>0</v>
      </c>
      <c r="BL313" s="156">
        <f>INPUT!DI183</f>
        <v>12.546125461254611</v>
      </c>
      <c r="BM313" s="687">
        <f>INPUT!DJ183</f>
        <v>0</v>
      </c>
      <c r="BN313" s="156">
        <f>INPUT!DK183</f>
        <v>14.391143911439114</v>
      </c>
      <c r="BO313" s="687">
        <f>INPUT!DL183</f>
        <v>0</v>
      </c>
      <c r="BP313" s="156">
        <f>INPUT!DM183</f>
        <v>14.444444444444443</v>
      </c>
      <c r="BQ313" s="687">
        <f>INPUT!DN183</f>
        <v>0.37037037037035425</v>
      </c>
      <c r="BR313" s="156">
        <f>INPUT!DO183</f>
        <v>14.705882352941178</v>
      </c>
      <c r="BS313" s="687">
        <f>INPUT!DP183</f>
        <v>19.875222816399287</v>
      </c>
      <c r="BT313" s="156">
        <f>INPUT!DQ183</f>
        <v>15.162454873646208</v>
      </c>
      <c r="BU313" s="687">
        <f>INPUT!DR183</f>
        <v>20.853684434062437</v>
      </c>
      <c r="BV313" s="156">
        <f>INPUT!DS183</f>
        <v>12.820512820512819</v>
      </c>
      <c r="BW313" s="687">
        <f>INPUT!DT183</f>
        <v>-10.913872452333994</v>
      </c>
      <c r="BX313" s="156">
        <f>INPUT!DU183</f>
        <v>11.111111111111111</v>
      </c>
      <c r="BY313" s="687">
        <f>INPUT!DV183</f>
        <v>-23.076923076923073</v>
      </c>
      <c r="BZ313" s="156">
        <f>INPUT!DW183</f>
        <v>14.893617021276595</v>
      </c>
      <c r="CA313" s="687">
        <f>INPUT!DX183</f>
        <v>14.893617021276595</v>
      </c>
      <c r="CB313" s="156">
        <f>INPUT!DY183</f>
        <v>11.956521739130435</v>
      </c>
      <c r="CC313" s="687">
        <f>INPUT!DZ183</f>
        <v>-21.1438923395445</v>
      </c>
      <c r="CD313" s="156">
        <f>INPUT!EA183</f>
        <v>11.610486891385769</v>
      </c>
      <c r="CE313" s="687">
        <f>INPUT!EB183</f>
        <v>-9.438202247190997</v>
      </c>
      <c r="CF313" s="156">
        <f>INPUT!EC183</f>
        <v>11.481481481481481</v>
      </c>
      <c r="CG313" s="687">
        <f>INPUT!ED183</f>
        <v>3.3333333333333215</v>
      </c>
      <c r="CH313" s="156">
        <f>INPUT!EE183</f>
        <v>11.347517730496454</v>
      </c>
      <c r="CI313" s="687">
        <f>INPUT!EF183</f>
        <v>-23.809523809523803</v>
      </c>
      <c r="CJ313" s="156">
        <f>INPUT!EG183</f>
        <v>11.971830985915492</v>
      </c>
      <c r="CK313" s="687">
        <f>INPUT!EH183</f>
        <v>0.1280409731113874</v>
      </c>
      <c r="CL313" s="156">
        <f>INPUT!EI183</f>
        <v>13.120567375886525</v>
      </c>
      <c r="CM313" s="687">
        <f>INPUT!EJ183</f>
        <v>13.006177076183922</v>
      </c>
      <c r="CN313" s="156">
        <f>INPUT!EK183</f>
        <v>12.758620689655173</v>
      </c>
      <c r="CO313" s="687">
        <f>INPUT!EL183</f>
        <v>11.123470522803114</v>
      </c>
      <c r="CP313" s="156">
        <f>INPUT!EM183</f>
        <v>12.027491408934708</v>
      </c>
      <c r="CQ313" s="687">
        <f>INPUT!EN183</f>
        <v>5.9922680412371143</v>
      </c>
      <c r="CR313" s="156">
        <f>INPUT!EO183</f>
        <v>13.576158940397351</v>
      </c>
      <c r="CS313" s="687">
        <f>INPUT!EP183</f>
        <v>13.400857031554359</v>
      </c>
      <c r="CT313" s="156">
        <f>INPUT!EQ183</f>
        <v>14.558361691062554</v>
      </c>
      <c r="CU313" s="687">
        <f>INPUT!ER183</f>
        <v>10.958324239990279</v>
      </c>
      <c r="CV313" s="156">
        <f>INPUT!ES183</f>
        <v>14.491220128850655</v>
      </c>
      <c r="CW313" s="687">
        <f>INPUT!ET183</f>
        <v>13.57983344234297</v>
      </c>
      <c r="CX313" s="156">
        <f>INPUT!EU183</f>
        <v>14.421007106141234</v>
      </c>
      <c r="CY313" s="687">
        <f>INPUT!EV183</f>
        <v>19.900373368202828</v>
      </c>
      <c r="CZ313" s="156">
        <f>INPUT!EW183</f>
        <v>14.350670444467839</v>
      </c>
      <c r="DA313" s="687">
        <f>INPUT!EX183</f>
        <v>5.7049383958362787</v>
      </c>
      <c r="DB313" s="16"/>
      <c r="DC313" s="156">
        <f>INPUT!FP183</f>
        <v>19.788471708090963</v>
      </c>
      <c r="DD313" s="687">
        <f>INPUT!FQ183</f>
        <v>0</v>
      </c>
      <c r="DE313" s="156">
        <f>INPUT!FR183</f>
        <v>20.633475005059708</v>
      </c>
      <c r="DF313" s="687">
        <f>INPUT!FS183</f>
        <v>0</v>
      </c>
      <c r="DG313" s="156">
        <f>INPUT!FT183</f>
        <v>18.398619849807183</v>
      </c>
      <c r="DH313" s="687">
        <f>INPUT!FU183</f>
        <v>0</v>
      </c>
      <c r="DI313" s="156">
        <f>INPUT!FV183</f>
        <v>13.158176943699736</v>
      </c>
      <c r="DJ313" s="687">
        <f>INPUT!FW183</f>
        <v>0</v>
      </c>
      <c r="DK313" s="156">
        <f>INPUT!FX183</f>
        <v>14.401381841735949</v>
      </c>
      <c r="DL313" s="687">
        <f>INPUT!FY183</f>
        <v>0</v>
      </c>
      <c r="DM313" s="156">
        <f>INPUT!FZ183</f>
        <v>15.622152475448015</v>
      </c>
      <c r="DN313" s="687">
        <f>INPUT!GA183</f>
        <v>0</v>
      </c>
      <c r="DO313" s="156">
        <f>INPUT!GB183</f>
        <v>15.868175110673885</v>
      </c>
      <c r="DP313" s="687">
        <f>INPUT!GC183</f>
        <v>0</v>
      </c>
      <c r="DQ313" s="156">
        <f>INPUT!GD183</f>
        <v>12.6953125</v>
      </c>
      <c r="DR313" s="687">
        <f>INPUT!GE183</f>
        <v>0</v>
      </c>
      <c r="DS313" s="156">
        <f>INPUT!GF183</f>
        <v>13.165266106442578</v>
      </c>
      <c r="DT313" s="687">
        <f>INPUT!GG183</f>
        <v>3.7017884076707697</v>
      </c>
      <c r="DU313" s="156">
        <f>INPUT!GH183</f>
        <v>14.678899082568808</v>
      </c>
      <c r="DV313" s="687">
        <f>INPUT!GI183</f>
        <v>11.497169627171576</v>
      </c>
      <c r="DW313" s="156">
        <f>INPUT!GJ183</f>
        <v>12.715712988192552</v>
      </c>
      <c r="DX313" s="687">
        <f>INPUT!GK183</f>
        <v>-13.374205267938244</v>
      </c>
      <c r="DY313" s="156">
        <f>INPUT!GL183</f>
        <v>11.604714415231188</v>
      </c>
      <c r="DZ313" s="687">
        <f>INPUT!GM183</f>
        <v>-8.7372102059318664</v>
      </c>
      <c r="EA313" s="156">
        <f>INPUT!GN183</f>
        <v>12.875536480686694</v>
      </c>
      <c r="EB313" s="687">
        <f>INPUT!GO183</f>
        <v>10.950912017167379</v>
      </c>
      <c r="EC313" s="156">
        <f>INPUT!GP183</f>
        <v>14.454391822617692</v>
      </c>
      <c r="ED313" s="687">
        <f>INPUT!GQ183</f>
        <v>12.262443155664094</v>
      </c>
      <c r="EE313" s="156">
        <f>INPUT!GR183</f>
        <v>14.379607158670558</v>
      </c>
      <c r="EF313" s="687">
        <f>INPUT!GS183</f>
        <v>-0.51738367732715451</v>
      </c>
      <c r="EG313" s="156">
        <f>INPUT!GT183</f>
        <v>14.373995223536307</v>
      </c>
      <c r="EH313" s="687">
        <f>INPUT!GU183</f>
        <v>-3.9027040671746338E-2</v>
      </c>
      <c r="EI313" s="156">
        <f>INPUT!GV183</f>
        <v>14.36806304810356</v>
      </c>
      <c r="EJ313" s="687">
        <f>INPUT!GW183</f>
        <v>-4.1270192041209519E-2</v>
      </c>
      <c r="EK313" s="156">
        <f>INPUT!GX183</f>
        <v>14.361916035149264</v>
      </c>
      <c r="EL313" s="687">
        <f>INPUT!GY183</f>
        <v>-4.2782474810387772E-2</v>
      </c>
      <c r="EM313" s="687">
        <f>INPUT!GZ183</f>
        <v>2.2090637096206622</v>
      </c>
    </row>
    <row r="314" spans="1:143" ht="12.75" hidden="1" customHeight="1" outlineLevel="1" x14ac:dyDescent="0.2">
      <c r="A314" s="701"/>
      <c r="B314" s="16"/>
      <c r="C314" s="687"/>
      <c r="D314" s="16"/>
      <c r="E314" s="687"/>
      <c r="F314" s="16"/>
      <c r="G314" s="687"/>
      <c r="H314" s="16"/>
      <c r="I314" s="687"/>
      <c r="J314" s="16"/>
      <c r="K314" s="687"/>
      <c r="L314" s="16"/>
      <c r="M314" s="687"/>
      <c r="N314" s="16"/>
      <c r="O314" s="687"/>
      <c r="P314" s="16"/>
      <c r="Q314" s="687"/>
      <c r="R314" s="16"/>
      <c r="S314" s="687"/>
      <c r="T314" s="16"/>
      <c r="U314" s="687"/>
      <c r="V314" s="16"/>
      <c r="W314" s="687"/>
      <c r="X314" s="16"/>
      <c r="Y314" s="687"/>
      <c r="Z314" s="16"/>
      <c r="AA314" s="687"/>
      <c r="AB314" s="16"/>
      <c r="AC314" s="687"/>
      <c r="AD314" s="16"/>
      <c r="AE314" s="687"/>
      <c r="AF314" s="16"/>
      <c r="AG314" s="687"/>
      <c r="AH314" s="16"/>
      <c r="AI314" s="687"/>
      <c r="AJ314" s="16"/>
      <c r="AK314" s="687"/>
      <c r="AL314" s="16"/>
      <c r="AM314" s="687"/>
      <c r="AN314" s="16"/>
      <c r="AO314" s="687"/>
      <c r="AP314" s="16"/>
      <c r="AQ314" s="687"/>
      <c r="AR314" s="16"/>
      <c r="AS314" s="687"/>
      <c r="AT314" s="16"/>
      <c r="AU314" s="687"/>
      <c r="AV314" s="16"/>
      <c r="AW314" s="687"/>
      <c r="AX314" s="16"/>
      <c r="AY314" s="687"/>
      <c r="AZ314" s="16"/>
      <c r="BA314" s="687"/>
      <c r="BB314" s="16"/>
      <c r="BC314" s="687"/>
      <c r="BD314" s="16"/>
      <c r="BE314" s="687"/>
      <c r="BF314" s="16"/>
      <c r="BG314" s="687"/>
      <c r="BH314" s="16"/>
      <c r="BI314" s="687"/>
      <c r="BJ314" s="16"/>
      <c r="BK314" s="687"/>
      <c r="BL314" s="16"/>
      <c r="BM314" s="687"/>
      <c r="BN314" s="16"/>
      <c r="BO314" s="687"/>
      <c r="BP314" s="16"/>
      <c r="BQ314" s="687"/>
      <c r="BR314" s="16"/>
      <c r="BS314" s="687"/>
      <c r="BT314" s="16"/>
      <c r="BU314" s="687"/>
      <c r="BV314" s="16"/>
      <c r="BW314" s="687"/>
      <c r="BX314" s="16"/>
      <c r="BY314" s="687"/>
      <c r="BZ314" s="16"/>
      <c r="CA314" s="687"/>
      <c r="CB314" s="16"/>
      <c r="CC314" s="687"/>
      <c r="CD314" s="16"/>
      <c r="CE314" s="687"/>
      <c r="CF314" s="16"/>
      <c r="CG314" s="687"/>
      <c r="CH314" s="16"/>
      <c r="CI314" s="687"/>
      <c r="CJ314" s="16"/>
      <c r="CK314" s="687"/>
      <c r="CL314" s="16"/>
      <c r="CM314" s="687"/>
      <c r="CN314" s="16"/>
      <c r="CO314" s="687"/>
      <c r="CP314" s="16"/>
      <c r="CQ314" s="687"/>
      <c r="CR314" s="16"/>
      <c r="CS314" s="687"/>
      <c r="CT314" s="16"/>
      <c r="CU314" s="687"/>
      <c r="CV314" s="16"/>
      <c r="CW314" s="687"/>
      <c r="CX314" s="16"/>
      <c r="CY314" s="687"/>
      <c r="CZ314" s="16"/>
      <c r="DA314" s="687"/>
      <c r="DB314" s="16"/>
      <c r="DC314" s="16"/>
      <c r="DD314" s="687"/>
      <c r="DE314" s="16"/>
      <c r="DF314" s="687"/>
      <c r="DG314" s="16"/>
      <c r="DH314" s="687"/>
      <c r="DI314" s="16"/>
      <c r="DJ314" s="687"/>
      <c r="DK314" s="16"/>
      <c r="DL314" s="687"/>
      <c r="DM314" s="16"/>
      <c r="DN314" s="687"/>
      <c r="DO314" s="16"/>
      <c r="DP314" s="687"/>
      <c r="DQ314" s="16"/>
      <c r="DR314" s="687"/>
      <c r="DS314" s="16"/>
      <c r="DT314" s="687"/>
      <c r="DU314" s="16"/>
      <c r="DV314" s="687"/>
      <c r="DW314" s="16"/>
      <c r="DX314" s="687"/>
      <c r="DY314" s="16"/>
      <c r="DZ314" s="687"/>
      <c r="EA314" s="16"/>
      <c r="EB314" s="687"/>
      <c r="EC314" s="16"/>
      <c r="ED314" s="687"/>
      <c r="EE314" s="16"/>
      <c r="EF314" s="687"/>
      <c r="EG314" s="16"/>
      <c r="EH314" s="687"/>
      <c r="EI314" s="16"/>
      <c r="EJ314" s="687"/>
      <c r="EK314" s="16"/>
      <c r="EL314" s="687"/>
      <c r="EM314" s="687"/>
    </row>
    <row r="315" spans="1:143" ht="12.75" hidden="1" customHeight="1" outlineLevel="1" x14ac:dyDescent="0.2">
      <c r="A315" s="700" t="str">
        <f>INPUT!B170</f>
        <v>Benefits and Expenses Analysis</v>
      </c>
      <c r="B315" s="16"/>
      <c r="C315" s="687"/>
      <c r="D315" s="16"/>
      <c r="E315" s="687"/>
      <c r="F315" s="16"/>
      <c r="G315" s="687"/>
      <c r="H315" s="16"/>
      <c r="I315" s="687"/>
      <c r="J315" s="16"/>
      <c r="K315" s="687"/>
      <c r="L315" s="16"/>
      <c r="M315" s="687"/>
      <c r="N315" s="16"/>
      <c r="O315" s="687"/>
      <c r="P315" s="16"/>
      <c r="Q315" s="687"/>
      <c r="R315" s="16"/>
      <c r="S315" s="687"/>
      <c r="T315" s="16"/>
      <c r="U315" s="687"/>
      <c r="V315" s="16"/>
      <c r="W315" s="687"/>
      <c r="X315" s="16"/>
      <c r="Y315" s="687"/>
      <c r="Z315" s="16"/>
      <c r="AA315" s="687"/>
      <c r="AB315" s="16"/>
      <c r="AC315" s="687"/>
      <c r="AD315" s="16"/>
      <c r="AE315" s="687"/>
      <c r="AF315" s="16"/>
      <c r="AG315" s="687"/>
      <c r="AH315" s="16"/>
      <c r="AI315" s="687"/>
      <c r="AJ315" s="16"/>
      <c r="AK315" s="687"/>
      <c r="AL315" s="16"/>
      <c r="AM315" s="687"/>
      <c r="AN315" s="16"/>
      <c r="AO315" s="687"/>
      <c r="AP315" s="16"/>
      <c r="AQ315" s="687"/>
      <c r="AR315" s="16"/>
      <c r="AS315" s="687"/>
      <c r="AT315" s="16"/>
      <c r="AU315" s="687"/>
      <c r="AV315" s="16"/>
      <c r="AW315" s="687"/>
      <c r="AX315" s="16"/>
      <c r="AY315" s="687"/>
      <c r="AZ315" s="16"/>
      <c r="BA315" s="687"/>
      <c r="BB315" s="16"/>
      <c r="BC315" s="687"/>
      <c r="BD315" s="16"/>
      <c r="BE315" s="687"/>
      <c r="BF315" s="16"/>
      <c r="BG315" s="687"/>
      <c r="BH315" s="16"/>
      <c r="BI315" s="687"/>
      <c r="BJ315" s="16"/>
      <c r="BK315" s="687"/>
      <c r="BL315" s="16"/>
      <c r="BM315" s="687"/>
      <c r="BN315" s="16"/>
      <c r="BO315" s="687"/>
      <c r="BP315" s="16"/>
      <c r="BQ315" s="687"/>
      <c r="BR315" s="16"/>
      <c r="BS315" s="687"/>
      <c r="BT315" s="16"/>
      <c r="BU315" s="687"/>
      <c r="BV315" s="16"/>
      <c r="BW315" s="687"/>
      <c r="BX315" s="16"/>
      <c r="BY315" s="687"/>
      <c r="BZ315" s="16"/>
      <c r="CA315" s="687"/>
      <c r="CB315" s="16"/>
      <c r="CC315" s="687"/>
      <c r="CD315" s="16"/>
      <c r="CE315" s="687"/>
      <c r="CF315" s="16"/>
      <c r="CG315" s="687"/>
      <c r="CH315" s="16"/>
      <c r="CI315" s="687"/>
      <c r="CJ315" s="16"/>
      <c r="CK315" s="687"/>
      <c r="CL315" s="16"/>
      <c r="CM315" s="687"/>
      <c r="CN315" s="16"/>
      <c r="CO315" s="687"/>
      <c r="CP315" s="16"/>
      <c r="CQ315" s="687"/>
      <c r="CR315" s="16"/>
      <c r="CS315" s="687"/>
      <c r="CT315" s="16"/>
      <c r="CU315" s="687"/>
      <c r="CV315" s="16"/>
      <c r="CW315" s="687"/>
      <c r="CX315" s="16"/>
      <c r="CY315" s="687"/>
      <c r="CZ315" s="16"/>
      <c r="DA315" s="687"/>
      <c r="DB315" s="16"/>
      <c r="DC315" s="16"/>
      <c r="DD315" s="687"/>
      <c r="DE315" s="16"/>
      <c r="DF315" s="687"/>
      <c r="DG315" s="16"/>
      <c r="DH315" s="687"/>
      <c r="DI315" s="16"/>
      <c r="DJ315" s="687"/>
      <c r="DK315" s="16"/>
      <c r="DL315" s="687"/>
      <c r="DM315" s="16"/>
      <c r="DN315" s="687"/>
      <c r="DO315" s="16"/>
      <c r="DP315" s="687"/>
      <c r="DQ315" s="16"/>
      <c r="DR315" s="687"/>
      <c r="DS315" s="16"/>
      <c r="DT315" s="687"/>
      <c r="DU315" s="16"/>
      <c r="DV315" s="687"/>
      <c r="DW315" s="16"/>
      <c r="DX315" s="687"/>
      <c r="DY315" s="16"/>
      <c r="DZ315" s="687"/>
      <c r="EA315" s="16"/>
      <c r="EB315" s="687"/>
      <c r="EC315" s="16"/>
      <c r="ED315" s="687"/>
      <c r="EE315" s="16"/>
      <c r="EF315" s="687"/>
      <c r="EG315" s="16"/>
      <c r="EH315" s="687"/>
      <c r="EI315" s="16"/>
      <c r="EJ315" s="687"/>
      <c r="EK315" s="16"/>
      <c r="EL315" s="687"/>
      <c r="EM315" s="687"/>
    </row>
    <row r="316" spans="1:143" ht="12.75" hidden="1" customHeight="1" outlineLevel="1" x14ac:dyDescent="0.2">
      <c r="A316" s="718" t="str">
        <f>INPUT!B171</f>
        <v>Other Op Exp (less DAC)/Net Rev (%)</v>
      </c>
      <c r="B316" s="156">
        <f>INPUT!AY171</f>
        <v>53.063973063973059</v>
      </c>
      <c r="C316" s="687">
        <f>INPUT!AZ171</f>
        <v>-9.8254806125773868</v>
      </c>
      <c r="D316" s="156">
        <f>INPUT!BA171</f>
        <v>49.351535836177476</v>
      </c>
      <c r="E316" s="687">
        <f>INPUT!BB171</f>
        <v>-13.956111348122867</v>
      </c>
      <c r="F316" s="156">
        <f>INPUT!BC171</f>
        <v>57.112676056338017</v>
      </c>
      <c r="G316" s="687">
        <f>INPUT!BD171</f>
        <v>-8.566713506094592</v>
      </c>
      <c r="H316" s="156">
        <f>INPUT!BE171</f>
        <v>56.401137980085359</v>
      </c>
      <c r="I316" s="687">
        <f>INPUT!BF171</f>
        <v>-5.5937941336922652</v>
      </c>
      <c r="J316" s="156">
        <f>INPUT!BG171</f>
        <v>52.106741573033709</v>
      </c>
      <c r="K316" s="687">
        <f>INPUT!BH171</f>
        <v>-1.8039197513260552</v>
      </c>
      <c r="L316" s="156">
        <f>INPUT!BI171</f>
        <v>54.681139755766615</v>
      </c>
      <c r="M316" s="687">
        <f>INPUT!BJ171</f>
        <v>10.799266586719348</v>
      </c>
      <c r="N316" s="156">
        <f>INPUT!BK171</f>
        <v>60.158501440922187</v>
      </c>
      <c r="O316" s="687">
        <f>INPUT!BL171</f>
        <v>5.3330111542657432</v>
      </c>
      <c r="P316" s="156">
        <f>INPUT!BM171</f>
        <v>54.945848375451256</v>
      </c>
      <c r="Q316" s="687">
        <f>INPUT!BN171</f>
        <v>-2.5802486558834214</v>
      </c>
      <c r="R316" s="156">
        <f>INPUT!BO171</f>
        <v>57.66312594840668</v>
      </c>
      <c r="S316" s="687">
        <f>INPUT!BP171</f>
        <v>10.663465431982623</v>
      </c>
      <c r="T316" s="156">
        <f>INPUT!BQ171</f>
        <v>56.19335347432024</v>
      </c>
      <c r="U316" s="687">
        <f>INPUT!BR171</f>
        <v>2.765512433186168</v>
      </c>
      <c r="V316" s="156">
        <f>INPUT!BS171</f>
        <v>54.660700969425804</v>
      </c>
      <c r="W316" s="687">
        <f>INPUT!BT171</f>
        <v>-9.1388587478287153</v>
      </c>
      <c r="X316" s="156">
        <f>INPUT!BU171</f>
        <v>87.201528175740208</v>
      </c>
      <c r="Y316" s="687">
        <f>INPUT!BV171</f>
        <v>58.704489518265703</v>
      </c>
      <c r="Z316" s="156">
        <f>INPUT!BW171</f>
        <v>64.859813084112147</v>
      </c>
      <c r="AA316" s="687">
        <f>INPUT!BX171</f>
        <v>12.480570585341844</v>
      </c>
      <c r="AB316" s="156">
        <f>INPUT!BY171</f>
        <v>64.125560538116588</v>
      </c>
      <c r="AC316" s="687">
        <f>INPUT!BZ171</f>
        <v>14.115916871594569</v>
      </c>
      <c r="AD316" s="156">
        <f>INPUT!CA171</f>
        <v>55.589822667694676</v>
      </c>
      <c r="AE316" s="687">
        <f>INPUT!CB171</f>
        <v>1.6997983593159072</v>
      </c>
      <c r="AF316" s="156">
        <f>INPUT!CC171</f>
        <v>60.331825037707397</v>
      </c>
      <c r="AG316" s="687">
        <f>INPUT!CD171</f>
        <v>-30.813339743176726</v>
      </c>
      <c r="AH316" s="156">
        <f>INPUT!CE171</f>
        <v>57.64796310530361</v>
      </c>
      <c r="AI316" s="687">
        <f>INPUT!CF171</f>
        <v>-11.119134693552068</v>
      </c>
      <c r="AJ316" s="156">
        <f>INPUT!CG171</f>
        <v>56.614929785661495</v>
      </c>
      <c r="AK316" s="687">
        <f>INPUT!CH171</f>
        <v>-11.712382222360041</v>
      </c>
      <c r="AL316" s="156">
        <f>INPUT!CI171</f>
        <v>58.184523809523824</v>
      </c>
      <c r="AM316" s="687">
        <f>INPUT!CJ171</f>
        <v>4.6675830526385687</v>
      </c>
      <c r="AN316" s="156">
        <f>INPUT!CK171</f>
        <v>62.001352265043948</v>
      </c>
      <c r="AO316" s="687">
        <f>INPUT!CL171</f>
        <v>2.7672413793103257</v>
      </c>
      <c r="AP316" s="156">
        <f>INPUT!CM171</f>
        <v>55.483870967741936</v>
      </c>
      <c r="AQ316" s="687">
        <f>INPUT!CN171</f>
        <v>-3.7539784946236554</v>
      </c>
      <c r="AR316" s="156">
        <f>INPUT!CO171</f>
        <v>60.953011250827274</v>
      </c>
      <c r="AS316" s="687">
        <f>INPUT!CP171</f>
        <v>7.6624337106648843</v>
      </c>
      <c r="AT316" s="156">
        <f>INPUT!CQ171</f>
        <v>62.400578452639188</v>
      </c>
      <c r="AU316" s="687">
        <f>INPUT!CR171</f>
        <v>7.2460069569655339</v>
      </c>
      <c r="AV316" s="156">
        <f>INPUT!CS171</f>
        <v>67.910447761194021</v>
      </c>
      <c r="AW316" s="687">
        <f>INPUT!CT171</f>
        <v>9.5305913182180504</v>
      </c>
      <c r="AX316" s="156">
        <f>INPUT!CU171</f>
        <v>66.666666666666657</v>
      </c>
      <c r="AY316" s="687">
        <f>INPUT!CV171</f>
        <v>20.155038759689916</v>
      </c>
      <c r="AZ316" s="156">
        <f>INPUT!CW171</f>
        <v>65.06849315068493</v>
      </c>
      <c r="BA316" s="687">
        <f>INPUT!CX171</f>
        <v>6.7518926717534455</v>
      </c>
      <c r="BB316" s="156">
        <f>INPUT!CY171</f>
        <v>69.503546099290787</v>
      </c>
      <c r="BC316" s="687">
        <f>INPUT!CZ171</f>
        <v>11.38285545228177</v>
      </c>
      <c r="BD316" s="156">
        <f>INPUT!DA171</f>
        <v>77.777777777777786</v>
      </c>
      <c r="BE316" s="687">
        <f>INPUT!DB171</f>
        <v>14.529914529914567</v>
      </c>
      <c r="BF316" s="156">
        <f>INPUT!DC171</f>
        <v>66.43356643356644</v>
      </c>
      <c r="BG316" s="687">
        <f>INPUT!DD171</f>
        <v>-0.34965034965032116</v>
      </c>
      <c r="BH316" s="156">
        <f>INPUT!DE171</f>
        <v>62.987012987012989</v>
      </c>
      <c r="BI316" s="687">
        <f>INPUT!DF171</f>
        <v>-3.19890635680109</v>
      </c>
      <c r="BJ316" s="156">
        <f>INPUT!DG171</f>
        <v>63.576158940397356</v>
      </c>
      <c r="BK316" s="687">
        <f>INPUT!DH171</f>
        <v>-8.5281794837140161</v>
      </c>
      <c r="BL316" s="156">
        <f>INPUT!DI171</f>
        <v>69.93464052287581</v>
      </c>
      <c r="BM316" s="687">
        <f>INPUT!DJ171</f>
        <v>-10.084033613445397</v>
      </c>
      <c r="BN316" s="156">
        <f>INPUT!DK171</f>
        <v>64.052287581699346</v>
      </c>
      <c r="BO316" s="687">
        <f>INPUT!DL171</f>
        <v>-3.5844513243894149</v>
      </c>
      <c r="BP316" s="156">
        <f>INPUT!DM171</f>
        <v>61.842105263157897</v>
      </c>
      <c r="BQ316" s="687">
        <f>INPUT!DN171</f>
        <v>-1.8176885512750984</v>
      </c>
      <c r="BR316" s="156">
        <f>INPUT!DO171</f>
        <v>63.636363636363633</v>
      </c>
      <c r="BS316" s="687">
        <f>INPUT!DP171</f>
        <v>9.4696969696950184E-2</v>
      </c>
      <c r="BT316" s="156">
        <f>INPUT!DQ171</f>
        <v>68.987341772151893</v>
      </c>
      <c r="BU316" s="687">
        <f>INPUT!DR171</f>
        <v>-1.3545486809416807</v>
      </c>
      <c r="BV316" s="156">
        <f>INPUT!DS171</f>
        <v>66.666666666666657</v>
      </c>
      <c r="BW316" s="687">
        <f>INPUT!DT171</f>
        <v>4.0816326530612068</v>
      </c>
      <c r="BX316" s="156">
        <f>INPUT!DU171</f>
        <v>72.10884353741497</v>
      </c>
      <c r="BY316" s="687">
        <f>INPUT!DV171</f>
        <v>16.601534230713554</v>
      </c>
      <c r="BZ316" s="156">
        <f>INPUT!DW171</f>
        <v>64.556962025316452</v>
      </c>
      <c r="CA316" s="687">
        <f>INPUT!DX171</f>
        <v>64.556962025316452</v>
      </c>
      <c r="CB316" s="156">
        <f>INPUT!DY171</f>
        <v>71.333333333333343</v>
      </c>
      <c r="CC316" s="687">
        <f>INPUT!DZ171</f>
        <v>3.4006116207951242</v>
      </c>
      <c r="CD316" s="156">
        <f>INPUT!EA171</f>
        <v>71.126760563380287</v>
      </c>
      <c r="CE316" s="687">
        <f>INPUT!EB171</f>
        <v>6.6901408450704469</v>
      </c>
      <c r="CF316" s="156">
        <f>INPUT!EC171</f>
        <v>72.027972027972027</v>
      </c>
      <c r="CG316" s="687">
        <f>INPUT!ED171</f>
        <v>-0.11215199894445416</v>
      </c>
      <c r="CH316" s="156">
        <f>INPUT!EE171</f>
        <v>68.181818181818173</v>
      </c>
      <c r="CI316" s="687">
        <f>INPUT!EF171</f>
        <v>5.6149732620320858</v>
      </c>
      <c r="CJ316" s="156">
        <f>INPUT!EG171</f>
        <v>71.333333333333343</v>
      </c>
      <c r="CK316" s="687">
        <f>INPUT!EH171</f>
        <v>0</v>
      </c>
      <c r="CL316" s="156">
        <f>INPUT!EI171</f>
        <v>69.333333333333343</v>
      </c>
      <c r="CM316" s="687">
        <f>INPUT!EJ171</f>
        <v>-2.52145214521452</v>
      </c>
      <c r="CN316" s="156">
        <f>INPUT!EK171</f>
        <v>69.230769230769226</v>
      </c>
      <c r="CO316" s="687">
        <f>INPUT!EL171</f>
        <v>-3.8834951456310773</v>
      </c>
      <c r="CP316" s="156">
        <f>INPUT!EM171</f>
        <v>70.322580645161295</v>
      </c>
      <c r="CQ316" s="687">
        <f>INPUT!EN171</f>
        <v>3.1397849462365901</v>
      </c>
      <c r="CR316" s="156">
        <f>INPUT!EO171</f>
        <v>65.662650602409627</v>
      </c>
      <c r="CS316" s="687">
        <f>INPUT!EP171</f>
        <v>-7.9495552302668919</v>
      </c>
      <c r="CT316" s="156">
        <f>INPUT!EQ171</f>
        <v>68.5</v>
      </c>
      <c r="CU316" s="687">
        <f>INPUT!ER171</f>
        <v>-1.2019230769230949</v>
      </c>
      <c r="CV316" s="156">
        <f>INPUT!ES171</f>
        <v>68.5</v>
      </c>
      <c r="CW316" s="687">
        <f>INPUT!ET171</f>
        <v>-1.055555555555554</v>
      </c>
      <c r="CX316" s="156">
        <f>INPUT!EU171</f>
        <v>68.5</v>
      </c>
      <c r="CY316" s="687">
        <f>INPUT!EV171</f>
        <v>-2.5917431192660656</v>
      </c>
      <c r="CZ316" s="156">
        <f>INPUT!EW171</f>
        <v>68.5</v>
      </c>
      <c r="DA316" s="687">
        <f>INPUT!EX171</f>
        <v>4.3211009174312087</v>
      </c>
      <c r="DB316" s="16"/>
      <c r="DC316" s="156">
        <f>INPUT!FP171</f>
        <v>59.628471583593893</v>
      </c>
      <c r="DD316" s="687" t="str">
        <f>INPUT!FQ171</f>
        <v>NA</v>
      </c>
      <c r="DE316" s="156">
        <f>INPUT!FR171</f>
        <v>53.930055401662045</v>
      </c>
      <c r="DF316" s="687">
        <f>INPUT!FS171</f>
        <v>-9.5565357128820079</v>
      </c>
      <c r="DG316" s="156">
        <f>INPUT!FT171</f>
        <v>55.439957679421624</v>
      </c>
      <c r="DH316" s="687">
        <f>INPUT!FU171</f>
        <v>2.7997417516338219</v>
      </c>
      <c r="DI316" s="156">
        <f>INPUT!FV171</f>
        <v>62.624254473161031</v>
      </c>
      <c r="DJ316" s="687">
        <f>INPUT!FW171</f>
        <v>12.958698192524221</v>
      </c>
      <c r="DK316" s="156">
        <f>INPUT!FX171</f>
        <v>60.940099833610638</v>
      </c>
      <c r="DL316" s="687">
        <f>INPUT!FY171</f>
        <v>-2.6893009006153878</v>
      </c>
      <c r="DM316" s="156">
        <f>INPUT!FZ171</f>
        <v>58.70001825817053</v>
      </c>
      <c r="DN316" s="687">
        <f>INPUT!GA171</f>
        <v>-3.6758744760122974</v>
      </c>
      <c r="DO316" s="156">
        <f>INPUT!GB171</f>
        <v>61.445366528354086</v>
      </c>
      <c r="DP316" s="687">
        <f>INPUT!GC171</f>
        <v>4.6769121231089672</v>
      </c>
      <c r="DQ316" s="156">
        <f>INPUT!GD171</f>
        <v>69.75524475524476</v>
      </c>
      <c r="DR316" s="687">
        <f>INPUT!GE171</f>
        <v>13.524011160477123</v>
      </c>
      <c r="DS316" s="156">
        <f>INPUT!GF171</f>
        <v>65.723793677204654</v>
      </c>
      <c r="DT316" s="687">
        <f>INPUT!GG171</f>
        <v>-5.7794236005988537</v>
      </c>
      <c r="DU316" s="156">
        <f>INPUT!GH171</f>
        <v>64.667747163695296</v>
      </c>
      <c r="DV316" s="687">
        <f>INPUT!GI171</f>
        <v>-1.6067948218205674</v>
      </c>
      <c r="DW316" s="156">
        <f>INPUT!GJ171</f>
        <v>68.59504132231406</v>
      </c>
      <c r="DX316" s="687">
        <f>INPUT!GK171</f>
        <v>6.0730338242300119</v>
      </c>
      <c r="DY316" s="156">
        <f>INPUT!GL171</f>
        <v>70.62818336162988</v>
      </c>
      <c r="DZ316" s="687">
        <f>INPUT!GM171</f>
        <v>2.9639781537013743</v>
      </c>
      <c r="EA316" s="156">
        <f>INPUT!GN171</f>
        <v>68.580542264752779</v>
      </c>
      <c r="EB316" s="687">
        <f>INPUT!GO171</f>
        <v>-2.8991841491841641</v>
      </c>
      <c r="EC316" s="156">
        <f>INPUT!GP171</f>
        <v>68.5</v>
      </c>
      <c r="ED316" s="687">
        <f>INPUT!GQ171</f>
        <v>-0.11744186046509508</v>
      </c>
      <c r="EE316" s="156">
        <f>INPUT!GR171</f>
        <v>68.5</v>
      </c>
      <c r="EF316" s="687">
        <f>INPUT!GS171</f>
        <v>0</v>
      </c>
      <c r="EG316" s="156">
        <f>INPUT!GT171</f>
        <v>68.5</v>
      </c>
      <c r="EH316" s="687">
        <f>INPUT!GU171</f>
        <v>0</v>
      </c>
      <c r="EI316" s="156">
        <f>INPUT!GV171</f>
        <v>68.5</v>
      </c>
      <c r="EJ316" s="687">
        <f>INPUT!GW171</f>
        <v>0</v>
      </c>
      <c r="EK316" s="156">
        <f>INPUT!GX171</f>
        <v>68.5</v>
      </c>
      <c r="EL316" s="687">
        <f>INPUT!GY171</f>
        <v>0</v>
      </c>
      <c r="EM316" s="687">
        <f>INPUT!GZ171</f>
        <v>-2.3499413947059011E-2</v>
      </c>
    </row>
    <row r="317" spans="1:143" ht="12.75" hidden="1" customHeight="1" outlineLevel="1" x14ac:dyDescent="0.2">
      <c r="A317" s="701"/>
      <c r="B317" s="464"/>
      <c r="C317" s="687"/>
      <c r="D317" s="464"/>
      <c r="E317" s="687"/>
      <c r="F317" s="464"/>
      <c r="G317" s="687"/>
      <c r="H317" s="464"/>
      <c r="I317" s="687"/>
      <c r="J317" s="464"/>
      <c r="K317" s="687"/>
      <c r="L317" s="464"/>
      <c r="M317" s="687"/>
      <c r="N317" s="464"/>
      <c r="O317" s="687"/>
      <c r="P317" s="464"/>
      <c r="Q317" s="687"/>
      <c r="R317" s="464"/>
      <c r="S317" s="687"/>
      <c r="T317" s="464"/>
      <c r="U317" s="687"/>
      <c r="V317" s="464"/>
      <c r="W317" s="687"/>
      <c r="X317" s="464"/>
      <c r="Y317" s="687"/>
      <c r="Z317" s="464"/>
      <c r="AA317" s="687"/>
      <c r="AB317" s="464"/>
      <c r="AC317" s="687"/>
      <c r="AD317" s="464"/>
      <c r="AE317" s="687"/>
      <c r="AF317" s="464"/>
      <c r="AG317" s="687"/>
      <c r="AH317" s="464"/>
      <c r="AI317" s="687"/>
      <c r="AJ317" s="464"/>
      <c r="AK317" s="687"/>
      <c r="AL317" s="464"/>
      <c r="AM317" s="687"/>
      <c r="AN317" s="464"/>
      <c r="AO317" s="687"/>
      <c r="AP317" s="464"/>
      <c r="AQ317" s="687"/>
      <c r="AR317" s="464"/>
      <c r="AS317" s="687"/>
      <c r="AT317" s="464"/>
      <c r="AU317" s="687"/>
      <c r="AV317" s="464"/>
      <c r="AW317" s="687"/>
      <c r="AX317" s="464"/>
      <c r="AY317" s="687"/>
      <c r="AZ317" s="464"/>
      <c r="BA317" s="687"/>
      <c r="BB317" s="464"/>
      <c r="BC317" s="687"/>
      <c r="BD317" s="464"/>
      <c r="BE317" s="687"/>
      <c r="BF317" s="464"/>
      <c r="BG317" s="687"/>
      <c r="BH317" s="464"/>
      <c r="BI317" s="687"/>
      <c r="BJ317" s="464"/>
      <c r="BK317" s="687"/>
      <c r="BL317" s="464"/>
      <c r="BM317" s="687"/>
      <c r="BN317" s="464"/>
      <c r="BO317" s="687"/>
      <c r="BP317" s="464"/>
      <c r="BQ317" s="687"/>
      <c r="BR317" s="464"/>
      <c r="BS317" s="687"/>
      <c r="BT317" s="464"/>
      <c r="BU317" s="687"/>
      <c r="BV317" s="464"/>
      <c r="BW317" s="687"/>
      <c r="BX317" s="464"/>
      <c r="BY317" s="687"/>
      <c r="BZ317" s="464"/>
      <c r="CA317" s="687"/>
      <c r="CB317" s="464"/>
      <c r="CC317" s="687"/>
      <c r="CD317" s="464"/>
      <c r="CE317" s="687"/>
      <c r="CF317" s="464"/>
      <c r="CG317" s="687"/>
      <c r="CH317" s="464"/>
      <c r="CI317" s="687"/>
      <c r="CJ317" s="464"/>
      <c r="CK317" s="687"/>
      <c r="CL317" s="464"/>
      <c r="CM317" s="687"/>
      <c r="CN317" s="464"/>
      <c r="CO317" s="687"/>
      <c r="CP317" s="464"/>
      <c r="CQ317" s="687"/>
      <c r="CR317" s="464"/>
      <c r="CS317" s="687"/>
      <c r="CT317" s="464"/>
      <c r="CU317" s="687"/>
      <c r="CV317" s="464"/>
      <c r="CW317" s="687"/>
      <c r="CX317" s="464"/>
      <c r="CY317" s="687"/>
      <c r="CZ317" s="464"/>
      <c r="DA317" s="687"/>
      <c r="DB317" s="16"/>
      <c r="DC317" s="464"/>
      <c r="DD317" s="687"/>
      <c r="DE317" s="464"/>
      <c r="DF317" s="687"/>
      <c r="DG317" s="464"/>
      <c r="DH317" s="687"/>
      <c r="DI317" s="464"/>
      <c r="DJ317" s="687"/>
      <c r="DK317" s="464"/>
      <c r="DL317" s="687"/>
      <c r="DM317" s="464"/>
      <c r="DN317" s="687"/>
      <c r="DO317" s="464"/>
      <c r="DP317" s="687"/>
      <c r="DQ317" s="464"/>
      <c r="DR317" s="687"/>
      <c r="DS317" s="464"/>
      <c r="DT317" s="687"/>
      <c r="DU317" s="464"/>
      <c r="DV317" s="687"/>
      <c r="DW317" s="464"/>
      <c r="DX317" s="687"/>
      <c r="DY317" s="464"/>
      <c r="DZ317" s="687"/>
      <c r="EA317" s="464"/>
      <c r="EB317" s="687"/>
      <c r="EC317" s="464"/>
      <c r="ED317" s="687"/>
      <c r="EE317" s="464"/>
      <c r="EF317" s="687"/>
      <c r="EG317" s="464"/>
      <c r="EH317" s="687"/>
      <c r="EI317" s="464"/>
      <c r="EJ317" s="687"/>
      <c r="EK317" s="464"/>
      <c r="EL317" s="687"/>
      <c r="EM317" s="687"/>
    </row>
    <row r="318" spans="1:143" ht="12.75" hidden="1" customHeight="1" outlineLevel="1" x14ac:dyDescent="0.2">
      <c r="A318" s="689" t="str">
        <f>+A60</f>
        <v>Quarterly income statement ratios are annualized where appropriate     NM = Not Meaningful       NA = Not Applicable  E=Morgan Stanley Estimates</v>
      </c>
      <c r="B318" s="16"/>
      <c r="C318" s="687"/>
      <c r="D318" s="16"/>
      <c r="E318" s="687"/>
      <c r="F318" s="16"/>
      <c r="G318" s="687"/>
      <c r="H318" s="16"/>
      <c r="I318" s="687"/>
      <c r="J318" s="16"/>
      <c r="K318" s="687"/>
      <c r="L318" s="16"/>
      <c r="M318" s="687"/>
      <c r="N318" s="16"/>
      <c r="O318" s="687"/>
      <c r="P318" s="16"/>
      <c r="Q318" s="687"/>
      <c r="R318" s="16"/>
      <c r="S318" s="687"/>
      <c r="T318" s="16"/>
      <c r="U318" s="687"/>
      <c r="V318" s="16"/>
      <c r="W318" s="687"/>
      <c r="X318" s="16"/>
      <c r="Y318" s="687"/>
      <c r="Z318" s="16"/>
      <c r="AA318" s="687"/>
      <c r="AB318" s="16"/>
      <c r="AC318" s="687"/>
      <c r="AD318" s="16"/>
      <c r="AE318" s="687"/>
      <c r="AF318" s="16"/>
      <c r="AG318" s="687"/>
      <c r="AH318" s="16"/>
      <c r="AI318" s="687"/>
      <c r="AJ318" s="16"/>
      <c r="AK318" s="687"/>
      <c r="AL318" s="16"/>
      <c r="AM318" s="687"/>
      <c r="AN318" s="16"/>
      <c r="AO318" s="687"/>
      <c r="AP318" s="16"/>
      <c r="AQ318" s="687"/>
      <c r="AR318" s="16"/>
      <c r="AS318" s="687"/>
      <c r="AT318" s="16"/>
      <c r="AU318" s="687"/>
      <c r="AV318" s="16"/>
      <c r="AW318" s="687"/>
      <c r="AX318" s="16"/>
      <c r="AY318" s="687"/>
      <c r="AZ318" s="16"/>
      <c r="BA318" s="687"/>
      <c r="BB318" s="16"/>
      <c r="BC318" s="687"/>
      <c r="BD318" s="16"/>
      <c r="BE318" s="687"/>
      <c r="BF318" s="16"/>
      <c r="BG318" s="687"/>
      <c r="BH318" s="16"/>
      <c r="BI318" s="687"/>
      <c r="BJ318" s="16"/>
      <c r="BK318" s="687"/>
      <c r="BL318" s="16"/>
      <c r="BM318" s="687"/>
      <c r="BN318" s="16"/>
      <c r="BO318" s="687"/>
      <c r="BP318" s="16"/>
      <c r="BQ318" s="687"/>
      <c r="BR318" s="16"/>
      <c r="BS318" s="687"/>
      <c r="BT318" s="16"/>
      <c r="BU318" s="687"/>
      <c r="BV318" s="16"/>
      <c r="BW318" s="687"/>
      <c r="BX318" s="16"/>
      <c r="BY318" s="687"/>
      <c r="BZ318" s="16"/>
      <c r="CA318" s="687"/>
      <c r="CB318" s="16"/>
      <c r="CC318" s="687"/>
      <c r="CD318" s="16"/>
      <c r="CE318" s="687"/>
      <c r="CF318" s="16"/>
      <c r="CG318" s="687"/>
      <c r="CH318" s="16"/>
      <c r="CI318" s="687"/>
      <c r="CJ318" s="16"/>
      <c r="CK318" s="687"/>
      <c r="CL318" s="16"/>
      <c r="CM318" s="687"/>
      <c r="CN318" s="16"/>
      <c r="CO318" s="687"/>
      <c r="CP318" s="16"/>
      <c r="CQ318" s="687"/>
      <c r="CR318" s="16"/>
      <c r="CS318" s="687"/>
      <c r="CT318" s="16"/>
      <c r="CU318" s="687"/>
      <c r="CV318" s="16"/>
      <c r="CW318" s="687"/>
      <c r="CX318" s="16"/>
      <c r="CY318" s="687"/>
      <c r="CZ318" s="16"/>
      <c r="DA318" s="687"/>
      <c r="DB318" s="16"/>
      <c r="DC318" s="16"/>
      <c r="DD318" s="687"/>
      <c r="DE318" s="16"/>
      <c r="DF318" s="687"/>
      <c r="DG318" s="16"/>
      <c r="DH318" s="687"/>
      <c r="DI318" s="16"/>
      <c r="DJ318" s="687"/>
      <c r="DK318" s="16"/>
      <c r="DL318" s="687"/>
      <c r="DM318" s="16"/>
      <c r="DN318" s="687"/>
      <c r="DO318" s="16"/>
      <c r="DP318" s="687"/>
      <c r="DQ318" s="16"/>
      <c r="DR318" s="687"/>
      <c r="DS318" s="16"/>
      <c r="DT318" s="687"/>
      <c r="DU318" s="16"/>
      <c r="DV318" s="687"/>
      <c r="DW318" s="16"/>
      <c r="DX318" s="687"/>
      <c r="DY318" s="16"/>
      <c r="DZ318" s="687"/>
      <c r="EA318" s="16"/>
      <c r="EB318" s="687"/>
      <c r="EC318" s="16"/>
      <c r="ED318" s="687"/>
      <c r="EE318" s="16"/>
      <c r="EF318" s="687"/>
      <c r="EG318" s="16"/>
      <c r="EH318" s="687"/>
      <c r="EI318" s="16"/>
      <c r="EJ318" s="687"/>
      <c r="EK318" s="16"/>
      <c r="EL318" s="687"/>
      <c r="EM318" s="687"/>
    </row>
    <row r="319" spans="1:143" ht="12.75" hidden="1" customHeight="1" outlineLevel="1" x14ac:dyDescent="0.2">
      <c r="A319" s="689" t="s">
        <v>15</v>
      </c>
      <c r="B319" s="16"/>
      <c r="C319" s="687"/>
      <c r="D319" s="16"/>
      <c r="E319" s="687"/>
      <c r="F319" s="16"/>
      <c r="G319" s="687"/>
      <c r="H319" s="16"/>
      <c r="I319" s="687"/>
      <c r="J319" s="16"/>
      <c r="K319" s="687"/>
      <c r="L319" s="16"/>
      <c r="M319" s="687"/>
      <c r="N319" s="16"/>
      <c r="O319" s="687"/>
      <c r="P319" s="16"/>
      <c r="Q319" s="687"/>
      <c r="R319" s="16"/>
      <c r="S319" s="687"/>
      <c r="T319" s="16"/>
      <c r="U319" s="687"/>
      <c r="V319" s="16"/>
      <c r="W319" s="687"/>
      <c r="X319" s="16"/>
      <c r="Y319" s="687"/>
      <c r="Z319" s="16"/>
      <c r="AA319" s="687"/>
      <c r="AB319" s="16"/>
      <c r="AC319" s="687"/>
      <c r="AD319" s="16"/>
      <c r="AE319" s="687"/>
      <c r="AF319" s="16"/>
      <c r="AG319" s="687"/>
      <c r="AH319" s="16"/>
      <c r="AI319" s="687"/>
      <c r="AJ319" s="16"/>
      <c r="AK319" s="687"/>
      <c r="AL319" s="16"/>
      <c r="AM319" s="687"/>
      <c r="AN319" s="16"/>
      <c r="AO319" s="687"/>
      <c r="AP319" s="16"/>
      <c r="AQ319" s="687"/>
      <c r="AR319" s="16"/>
      <c r="AS319" s="687"/>
      <c r="AT319" s="16"/>
      <c r="AU319" s="687"/>
      <c r="AV319" s="16"/>
      <c r="AW319" s="687"/>
      <c r="AX319" s="16"/>
      <c r="AY319" s="687"/>
      <c r="AZ319" s="16"/>
      <c r="BA319" s="687"/>
      <c r="BB319" s="16"/>
      <c r="BC319" s="687"/>
      <c r="BD319" s="16"/>
      <c r="BE319" s="687"/>
      <c r="BF319" s="16"/>
      <c r="BG319" s="687"/>
      <c r="BH319" s="16"/>
      <c r="BI319" s="687"/>
      <c r="BJ319" s="16"/>
      <c r="BK319" s="687"/>
      <c r="BL319" s="16"/>
      <c r="BM319" s="687"/>
      <c r="BN319" s="16"/>
      <c r="BO319" s="687"/>
      <c r="BP319" s="16"/>
      <c r="BQ319" s="687"/>
      <c r="BR319" s="16"/>
      <c r="BS319" s="687"/>
      <c r="BT319" s="16"/>
      <c r="BU319" s="687"/>
      <c r="BV319" s="16"/>
      <c r="BW319" s="687"/>
      <c r="BX319" s="16"/>
      <c r="BY319" s="687"/>
      <c r="BZ319" s="16"/>
      <c r="CA319" s="687"/>
      <c r="CB319" s="16"/>
      <c r="CC319" s="687"/>
      <c r="CD319" s="16"/>
      <c r="CE319" s="687"/>
      <c r="CF319" s="16"/>
      <c r="CG319" s="687"/>
      <c r="CH319" s="16"/>
      <c r="CI319" s="687"/>
      <c r="CJ319" s="16"/>
      <c r="CK319" s="687"/>
      <c r="CL319" s="16"/>
      <c r="CM319" s="687"/>
      <c r="CN319" s="16"/>
      <c r="CO319" s="687"/>
      <c r="CP319" s="16"/>
      <c r="CQ319" s="687"/>
      <c r="CR319" s="16"/>
      <c r="CS319" s="687"/>
      <c r="CT319" s="16"/>
      <c r="CU319" s="687"/>
      <c r="CV319" s="16"/>
      <c r="CW319" s="687"/>
      <c r="CX319" s="16"/>
      <c r="CY319" s="687"/>
      <c r="CZ319" s="16"/>
      <c r="DA319" s="687"/>
      <c r="DB319" s="16"/>
      <c r="DC319" s="16"/>
      <c r="DD319" s="687"/>
      <c r="DE319" s="16"/>
      <c r="DF319" s="687"/>
      <c r="DG319" s="16"/>
      <c r="DH319" s="687"/>
      <c r="DI319" s="16"/>
      <c r="DJ319" s="687"/>
      <c r="DK319" s="16"/>
      <c r="DL319" s="687"/>
      <c r="DM319" s="16"/>
      <c r="DN319" s="687"/>
      <c r="DO319" s="16"/>
      <c r="DP319" s="687"/>
      <c r="DQ319" s="16"/>
      <c r="DR319" s="687"/>
      <c r="DS319" s="16"/>
      <c r="DT319" s="687"/>
      <c r="DU319" s="16"/>
      <c r="DV319" s="687"/>
      <c r="DW319" s="16"/>
      <c r="DX319" s="687"/>
      <c r="DY319" s="16"/>
      <c r="DZ319" s="687"/>
      <c r="EA319" s="16"/>
      <c r="EB319" s="687"/>
      <c r="EC319" s="16"/>
      <c r="ED319" s="687"/>
      <c r="EE319" s="16"/>
      <c r="EF319" s="687"/>
      <c r="EG319" s="16"/>
      <c r="EH319" s="687"/>
      <c r="EI319" s="16"/>
      <c r="EJ319" s="687"/>
      <c r="EK319" s="16"/>
      <c r="EL319" s="687"/>
      <c r="EM319" s="687"/>
    </row>
    <row r="320" spans="1:143" ht="12.75" hidden="1" customHeight="1" outlineLevel="1" x14ac:dyDescent="0.2">
      <c r="A320" s="689"/>
      <c r="B320" s="16"/>
      <c r="C320" s="687"/>
      <c r="D320" s="16"/>
      <c r="E320" s="687"/>
      <c r="F320" s="16"/>
      <c r="G320" s="687"/>
      <c r="H320" s="16"/>
      <c r="I320" s="687"/>
      <c r="J320" s="16"/>
      <c r="K320" s="687"/>
      <c r="L320" s="16"/>
      <c r="M320" s="687"/>
      <c r="N320" s="16"/>
      <c r="O320" s="687"/>
      <c r="P320" s="16"/>
      <c r="Q320" s="687"/>
      <c r="R320" s="16"/>
      <c r="S320" s="687"/>
      <c r="T320" s="16"/>
      <c r="U320" s="687"/>
      <c r="V320" s="16"/>
      <c r="W320" s="687"/>
      <c r="X320" s="16"/>
      <c r="Y320" s="687"/>
      <c r="Z320" s="16"/>
      <c r="AA320" s="687"/>
      <c r="AB320" s="16"/>
      <c r="AC320" s="687"/>
      <c r="AD320" s="16"/>
      <c r="AE320" s="687"/>
      <c r="AF320" s="16"/>
      <c r="AG320" s="687"/>
      <c r="AH320" s="16"/>
      <c r="AI320" s="687"/>
      <c r="AJ320" s="16"/>
      <c r="AK320" s="687"/>
      <c r="AL320" s="16"/>
      <c r="AM320" s="687"/>
      <c r="AN320" s="16"/>
      <c r="AO320" s="687"/>
      <c r="AP320" s="16"/>
      <c r="AQ320" s="687"/>
      <c r="AR320" s="16"/>
      <c r="AS320" s="687"/>
      <c r="AT320" s="16"/>
      <c r="AU320" s="687"/>
      <c r="AV320" s="16"/>
      <c r="AW320" s="687"/>
      <c r="AX320" s="16"/>
      <c r="AY320" s="687"/>
      <c r="AZ320" s="16"/>
      <c r="BA320" s="687"/>
      <c r="BB320" s="16"/>
      <c r="BC320" s="687"/>
      <c r="BD320" s="16"/>
      <c r="BE320" s="687"/>
      <c r="BF320" s="16"/>
      <c r="BG320" s="687"/>
      <c r="BH320" s="16"/>
      <c r="BI320" s="687"/>
      <c r="BJ320" s="16"/>
      <c r="BK320" s="687"/>
      <c r="BL320" s="16"/>
      <c r="BM320" s="687"/>
      <c r="BN320" s="16"/>
      <c r="BO320" s="687"/>
      <c r="BP320" s="16"/>
      <c r="BQ320" s="687"/>
      <c r="BR320" s="16"/>
      <c r="BS320" s="687"/>
      <c r="BT320" s="16"/>
      <c r="BU320" s="687"/>
      <c r="BV320" s="16"/>
      <c r="BW320" s="687"/>
      <c r="BX320" s="16"/>
      <c r="BY320" s="687"/>
      <c r="BZ320" s="16"/>
      <c r="CA320" s="687"/>
      <c r="CB320" s="16"/>
      <c r="CC320" s="687"/>
      <c r="CD320" s="16"/>
      <c r="CE320" s="687"/>
      <c r="CF320" s="16"/>
      <c r="CG320" s="687"/>
      <c r="CH320" s="16"/>
      <c r="CI320" s="687"/>
      <c r="CJ320" s="16"/>
      <c r="CK320" s="687"/>
      <c r="CL320" s="16"/>
      <c r="CM320" s="687"/>
      <c r="CN320" s="16"/>
      <c r="CO320" s="687"/>
      <c r="CP320" s="16"/>
      <c r="CQ320" s="687"/>
      <c r="CR320" s="16"/>
      <c r="CS320" s="687"/>
      <c r="CT320" s="16"/>
      <c r="CU320" s="687"/>
      <c r="CV320" s="16"/>
      <c r="CW320" s="687"/>
      <c r="CX320" s="16"/>
      <c r="CY320" s="687"/>
      <c r="CZ320" s="16"/>
      <c r="DA320" s="687"/>
      <c r="DB320" s="16"/>
      <c r="DC320" s="16"/>
      <c r="DD320" s="687"/>
      <c r="DE320" s="16"/>
      <c r="DF320" s="687"/>
      <c r="DG320" s="16"/>
      <c r="DH320" s="687"/>
      <c r="DI320" s="16"/>
      <c r="DJ320" s="687"/>
      <c r="DK320" s="16"/>
      <c r="DL320" s="687"/>
      <c r="DM320" s="16"/>
      <c r="DN320" s="687"/>
      <c r="DO320" s="16"/>
      <c r="DP320" s="687"/>
      <c r="DQ320" s="16"/>
      <c r="DR320" s="687"/>
      <c r="DS320" s="16"/>
      <c r="DT320" s="687"/>
      <c r="DU320" s="16"/>
      <c r="DV320" s="687"/>
      <c r="DW320" s="16"/>
      <c r="DX320" s="687"/>
      <c r="DY320" s="16"/>
      <c r="DZ320" s="687"/>
      <c r="EA320" s="16"/>
      <c r="EB320" s="687"/>
      <c r="EC320" s="16"/>
      <c r="ED320" s="687"/>
      <c r="EE320" s="16"/>
      <c r="EF320" s="687"/>
      <c r="EG320" s="16"/>
      <c r="EH320" s="687"/>
      <c r="EI320" s="16"/>
      <c r="EJ320" s="687"/>
      <c r="EK320" s="16"/>
      <c r="EL320" s="687"/>
      <c r="EM320" s="687"/>
    </row>
    <row r="321" spans="1:152" ht="21.95" hidden="1" customHeight="1" outlineLevel="1" x14ac:dyDescent="0.3">
      <c r="A321" s="769" t="str">
        <f>$A$1</f>
        <v>Lincoln National</v>
      </c>
      <c r="B321" s="683"/>
      <c r="C321" s="684"/>
      <c r="D321" s="683"/>
      <c r="E321" s="684"/>
      <c r="F321" s="683"/>
      <c r="G321" s="684"/>
      <c r="H321" s="683"/>
      <c r="I321" s="684"/>
      <c r="J321" s="683"/>
      <c r="K321" s="684"/>
      <c r="L321" s="683"/>
      <c r="M321" s="684"/>
      <c r="N321" s="683"/>
      <c r="O321" s="684"/>
      <c r="P321" s="683"/>
      <c r="Q321" s="684"/>
      <c r="R321" s="683"/>
      <c r="S321" s="684"/>
      <c r="T321" s="683"/>
      <c r="U321" s="684"/>
      <c r="V321" s="683"/>
      <c r="W321" s="684"/>
      <c r="X321" s="683"/>
      <c r="Y321" s="684"/>
      <c r="Z321" s="683"/>
      <c r="AA321" s="684"/>
      <c r="AB321" s="683"/>
      <c r="AC321" s="684"/>
      <c r="AD321" s="683"/>
      <c r="AE321" s="684"/>
      <c r="AF321" s="683"/>
      <c r="AG321" s="684"/>
      <c r="AH321" s="683"/>
      <c r="AI321" s="684"/>
      <c r="AJ321" s="683"/>
      <c r="AK321" s="684"/>
      <c r="AL321" s="683"/>
      <c r="AM321" s="684"/>
      <c r="AN321" s="683"/>
      <c r="AO321" s="684"/>
      <c r="AP321" s="683"/>
      <c r="AQ321" s="684"/>
      <c r="AR321" s="683"/>
      <c r="AS321" s="684"/>
      <c r="AT321" s="683"/>
      <c r="AU321" s="684"/>
      <c r="AV321" s="683"/>
      <c r="AW321" s="684"/>
      <c r="AX321" s="683"/>
      <c r="AY321" s="684"/>
      <c r="AZ321" s="683"/>
      <c r="BA321" s="684"/>
      <c r="BB321" s="683"/>
      <c r="BC321" s="684"/>
      <c r="BD321" s="683"/>
      <c r="BE321" s="684"/>
      <c r="BF321" s="683"/>
      <c r="BG321" s="684"/>
      <c r="BH321" s="683"/>
      <c r="BI321" s="684"/>
      <c r="BJ321" s="683"/>
      <c r="BK321" s="684"/>
      <c r="BL321" s="683"/>
      <c r="BM321" s="684"/>
      <c r="BN321" s="683"/>
      <c r="BO321" s="684"/>
      <c r="BP321" s="683"/>
      <c r="BQ321" s="684"/>
      <c r="BR321" s="683"/>
      <c r="BS321" s="684"/>
      <c r="BT321" s="683"/>
      <c r="BU321" s="684"/>
      <c r="BV321" s="683"/>
      <c r="BW321" s="684"/>
      <c r="BX321" s="683"/>
      <c r="BY321" s="684"/>
      <c r="BZ321" s="683"/>
      <c r="CA321" s="684"/>
      <c r="CB321" s="683"/>
      <c r="CC321" s="684"/>
      <c r="CD321" s="683"/>
      <c r="CE321" s="684"/>
      <c r="CF321" s="683"/>
      <c r="CG321" s="684"/>
      <c r="CH321" s="683"/>
      <c r="CI321" s="684"/>
      <c r="CJ321" s="683"/>
      <c r="CK321" s="684"/>
      <c r="CL321" s="683"/>
      <c r="CM321" s="684"/>
      <c r="CN321" s="683"/>
      <c r="CO321" s="684"/>
      <c r="CP321" s="683"/>
      <c r="CQ321" s="684"/>
      <c r="CR321" s="683"/>
      <c r="CS321" s="684"/>
      <c r="CT321" s="683"/>
      <c r="CU321" s="684"/>
      <c r="CV321" s="683"/>
      <c r="CW321" s="684"/>
      <c r="CX321" s="683"/>
      <c r="CY321" s="684"/>
      <c r="CZ321" s="683"/>
      <c r="DA321" s="684"/>
      <c r="DB321" s="684"/>
      <c r="DC321" s="683"/>
      <c r="DD321" s="684"/>
      <c r="DE321" s="683"/>
      <c r="DF321" s="684"/>
      <c r="DG321" s="683"/>
      <c r="DH321" s="684"/>
      <c r="DI321" s="683"/>
      <c r="DJ321" s="684"/>
      <c r="DK321" s="683"/>
      <c r="DL321" s="684"/>
      <c r="DM321" s="683"/>
      <c r="DN321" s="684"/>
      <c r="DO321" s="683"/>
      <c r="DP321" s="684"/>
      <c r="DQ321" s="683"/>
      <c r="DR321" s="684"/>
      <c r="DS321" s="683"/>
      <c r="DT321" s="684"/>
      <c r="DU321" s="683"/>
      <c r="DV321" s="684"/>
      <c r="DW321" s="683"/>
      <c r="DX321" s="684"/>
      <c r="DY321" s="683"/>
      <c r="DZ321" s="684"/>
      <c r="EA321" s="683"/>
      <c r="EB321" s="684"/>
      <c r="EC321" s="683"/>
      <c r="ED321" s="684"/>
      <c r="EE321" s="683"/>
      <c r="EF321" s="684"/>
      <c r="EG321" s="683"/>
      <c r="EH321" s="684"/>
      <c r="EI321" s="683"/>
      <c r="EJ321" s="684"/>
      <c r="EK321" s="683"/>
      <c r="EL321" s="684"/>
      <c r="EM321" s="684"/>
    </row>
    <row r="322" spans="1:152" ht="12.75" hidden="1" customHeight="1" outlineLevel="1" x14ac:dyDescent="0.2">
      <c r="A322" s="685" t="s">
        <v>519</v>
      </c>
      <c r="B322" s="4"/>
      <c r="C322" s="686"/>
      <c r="D322" s="4"/>
      <c r="E322" s="686"/>
      <c r="F322" s="4"/>
      <c r="G322" s="686"/>
      <c r="H322" s="4"/>
      <c r="I322" s="686"/>
      <c r="J322" s="4"/>
      <c r="K322" s="686"/>
      <c r="L322" s="4"/>
      <c r="M322" s="686"/>
      <c r="N322" s="4"/>
      <c r="O322" s="686"/>
      <c r="P322" s="4"/>
      <c r="Q322" s="686"/>
      <c r="R322" s="4"/>
      <c r="S322" s="686"/>
      <c r="T322" s="4"/>
      <c r="U322" s="686"/>
      <c r="V322" s="4"/>
      <c r="W322" s="686"/>
      <c r="X322" s="4"/>
      <c r="Y322" s="686"/>
      <c r="Z322" s="4"/>
      <c r="AA322" s="686"/>
      <c r="AB322" s="4"/>
      <c r="AC322" s="686"/>
      <c r="AD322" s="4"/>
      <c r="AE322" s="686"/>
      <c r="AF322" s="4"/>
      <c r="AG322" s="686"/>
      <c r="AH322" s="4"/>
      <c r="AI322" s="686"/>
      <c r="AJ322" s="4"/>
      <c r="AK322" s="686"/>
      <c r="AL322" s="4"/>
      <c r="AM322" s="686"/>
      <c r="AN322" s="4"/>
      <c r="AO322" s="686"/>
      <c r="AP322" s="4"/>
      <c r="AQ322" s="686"/>
      <c r="AR322" s="4"/>
      <c r="AS322" s="686"/>
      <c r="AT322" s="4"/>
      <c r="AU322" s="686"/>
      <c r="AV322" s="4"/>
      <c r="AW322" s="686"/>
      <c r="AX322" s="4"/>
      <c r="AY322" s="686"/>
      <c r="AZ322" s="4"/>
      <c r="BA322" s="686"/>
      <c r="BB322" s="4"/>
      <c r="BC322" s="686"/>
      <c r="BD322" s="4"/>
      <c r="BE322" s="686"/>
      <c r="BF322" s="4"/>
      <c r="BG322" s="686"/>
      <c r="BH322" s="4"/>
      <c r="BI322" s="686"/>
      <c r="BJ322" s="4"/>
      <c r="BK322" s="686"/>
      <c r="BL322" s="4"/>
      <c r="BM322" s="686"/>
      <c r="BN322" s="4"/>
      <c r="BO322" s="686"/>
      <c r="BP322" s="4"/>
      <c r="BQ322" s="686"/>
      <c r="BR322" s="4"/>
      <c r="BS322" s="686"/>
      <c r="BT322" s="4"/>
      <c r="BU322" s="686"/>
      <c r="BV322" s="4"/>
      <c r="BW322" s="686"/>
      <c r="BX322" s="4"/>
      <c r="BY322" s="686"/>
      <c r="BZ322" s="4"/>
      <c r="CA322" s="686"/>
      <c r="CB322" s="4"/>
      <c r="CC322" s="686"/>
      <c r="CD322" s="4"/>
      <c r="CE322" s="686"/>
      <c r="CF322" s="4"/>
      <c r="CG322" s="686"/>
      <c r="CH322" s="4"/>
      <c r="CI322" s="686"/>
      <c r="CJ322" s="4"/>
      <c r="CK322" s="686"/>
      <c r="CL322" s="4"/>
      <c r="CM322" s="686"/>
      <c r="CN322" s="4"/>
      <c r="CO322" s="686"/>
      <c r="CP322" s="4"/>
      <c r="CQ322" s="686"/>
      <c r="CR322" s="4"/>
      <c r="CS322" s="686"/>
      <c r="CT322" s="4"/>
      <c r="CU322" s="686"/>
      <c r="CV322" s="4"/>
      <c r="CW322" s="686"/>
      <c r="CX322" s="4"/>
      <c r="CY322" s="686"/>
      <c r="CZ322" s="4"/>
      <c r="DA322" s="686"/>
      <c r="DB322" s="686"/>
      <c r="DC322" s="4"/>
      <c r="DD322" s="686"/>
      <c r="DE322" s="4"/>
      <c r="DF322" s="686"/>
      <c r="DG322" s="4"/>
      <c r="DH322" s="686"/>
      <c r="DI322" s="4"/>
      <c r="DJ322" s="686"/>
      <c r="DK322" s="4"/>
      <c r="DL322" s="686"/>
      <c r="DM322" s="4"/>
      <c r="DN322" s="686"/>
      <c r="DO322" s="4"/>
      <c r="DP322" s="686"/>
      <c r="DQ322" s="4"/>
      <c r="DR322" s="686"/>
      <c r="DS322" s="4"/>
      <c r="DT322" s="686"/>
      <c r="DU322" s="4"/>
      <c r="DV322" s="686"/>
      <c r="DW322" s="4"/>
      <c r="DX322" s="686"/>
      <c r="DY322" s="4"/>
      <c r="DZ322" s="686"/>
      <c r="EA322" s="4"/>
      <c r="EB322" s="686"/>
      <c r="EC322" s="4"/>
      <c r="ED322" s="686"/>
      <c r="EE322" s="4"/>
      <c r="EF322" s="686"/>
      <c r="EG322" s="4"/>
      <c r="EH322" s="686"/>
      <c r="EI322" s="4"/>
      <c r="EJ322" s="686"/>
      <c r="EK322" s="4"/>
      <c r="EL322" s="686"/>
      <c r="EM322" s="686"/>
    </row>
    <row r="323" spans="1:152" ht="12.75" hidden="1" customHeight="1" outlineLevel="1" x14ac:dyDescent="0.2">
      <c r="A323" s="637" t="str">
        <f>A$3</f>
        <v>($Millions Except Per Share Data)</v>
      </c>
      <c r="B323" s="640"/>
      <c r="C323" s="641" t="str">
        <f>C$3</f>
        <v>1Q06/</v>
      </c>
      <c r="D323" s="640"/>
      <c r="E323" s="641" t="str">
        <f>E$3</f>
        <v>2Q06/</v>
      </c>
      <c r="F323" s="640"/>
      <c r="G323" s="641" t="str">
        <f>G$3</f>
        <v>3Q06/</v>
      </c>
      <c r="H323" s="640"/>
      <c r="I323" s="641" t="str">
        <f>I$3</f>
        <v>4Q06/</v>
      </c>
      <c r="J323" s="640"/>
      <c r="K323" s="641" t="str">
        <f>K$3</f>
        <v>1Q07/</v>
      </c>
      <c r="L323" s="640"/>
      <c r="M323" s="641" t="str">
        <f>M$3</f>
        <v>2Q07/</v>
      </c>
      <c r="N323" s="640"/>
      <c r="O323" s="641" t="str">
        <f>O$3</f>
        <v>3Q07/</v>
      </c>
      <c r="P323" s="640"/>
      <c r="Q323" s="641" t="str">
        <f>Q$3</f>
        <v>4Q07/</v>
      </c>
      <c r="R323" s="640"/>
      <c r="S323" s="641" t="str">
        <f>S$3</f>
        <v>1Q08/</v>
      </c>
      <c r="T323" s="640"/>
      <c r="U323" s="641" t="str">
        <f>U$3</f>
        <v>2Q08/</v>
      </c>
      <c r="V323" s="640"/>
      <c r="W323" s="641" t="str">
        <f>W$3</f>
        <v>3Q08/</v>
      </c>
      <c r="X323" s="640"/>
      <c r="Y323" s="641" t="str">
        <f>Y$3</f>
        <v>4Q08/</v>
      </c>
      <c r="Z323" s="640"/>
      <c r="AA323" s="641" t="str">
        <f>AA$3</f>
        <v>1Q09/</v>
      </c>
      <c r="AB323" s="640"/>
      <c r="AC323" s="641" t="str">
        <f>AC$3</f>
        <v>2Q09/</v>
      </c>
      <c r="AD323" s="640"/>
      <c r="AE323" s="641" t="str">
        <f>AE$3</f>
        <v>3Q09/</v>
      </c>
      <c r="AF323" s="640"/>
      <c r="AG323" s="641" t="str">
        <f>AG$3</f>
        <v>4Q09/</v>
      </c>
      <c r="AH323" s="640"/>
      <c r="AI323" s="641" t="str">
        <f>AI$3</f>
        <v>1Q10/</v>
      </c>
      <c r="AJ323" s="640"/>
      <c r="AK323" s="641" t="str">
        <f>AK$3</f>
        <v>2Q10/</v>
      </c>
      <c r="AL323" s="640"/>
      <c r="AM323" s="641" t="str">
        <f>AM$3</f>
        <v>3Q10/</v>
      </c>
      <c r="AN323" s="640"/>
      <c r="AO323" s="641" t="str">
        <f>AO$3</f>
        <v>4Q10/</v>
      </c>
      <c r="AP323" s="640"/>
      <c r="AQ323" s="641" t="str">
        <f>AQ$3</f>
        <v>1Q11/</v>
      </c>
      <c r="AR323" s="640"/>
      <c r="AS323" s="641" t="str">
        <f>AS$3</f>
        <v>2Q11/</v>
      </c>
      <c r="AT323" s="640"/>
      <c r="AU323" s="641" t="str">
        <f>AU$3</f>
        <v>3Q11/</v>
      </c>
      <c r="AV323" s="640"/>
      <c r="AW323" s="641" t="str">
        <f>AW$3</f>
        <v>4Q11/</v>
      </c>
      <c r="AX323" s="640"/>
      <c r="AY323" s="641" t="str">
        <f>AY$3</f>
        <v>1Q12/</v>
      </c>
      <c r="AZ323" s="640"/>
      <c r="BA323" s="641" t="str">
        <f>BA$3</f>
        <v>2Q12/</v>
      </c>
      <c r="BB323" s="640"/>
      <c r="BC323" s="641" t="str">
        <f>BC$3</f>
        <v>3Q12/</v>
      </c>
      <c r="BD323" s="640"/>
      <c r="BE323" s="641" t="str">
        <f>BE$3</f>
        <v>4Q12/</v>
      </c>
      <c r="BF323" s="640"/>
      <c r="BG323" s="641" t="str">
        <f>BG$3</f>
        <v>1Q13/</v>
      </c>
      <c r="BH323" s="640"/>
      <c r="BI323" s="641" t="str">
        <f>BI$3</f>
        <v>2Q13/</v>
      </c>
      <c r="BJ323" s="640"/>
      <c r="BK323" s="641" t="str">
        <f>BK$3</f>
        <v>3Q13/</v>
      </c>
      <c r="BL323" s="640"/>
      <c r="BM323" s="641" t="str">
        <f>BM$3</f>
        <v>4Q13/</v>
      </c>
      <c r="BN323" s="640"/>
      <c r="BO323" s="641" t="str">
        <f>BO$3</f>
        <v>1Q14/</v>
      </c>
      <c r="BP323" s="640"/>
      <c r="BQ323" s="641" t="str">
        <f>BQ$3</f>
        <v>2Q14/</v>
      </c>
      <c r="BR323" s="640"/>
      <c r="BS323" s="641" t="str">
        <f>BS$3</f>
        <v>3Q14/</v>
      </c>
      <c r="BT323" s="640"/>
      <c r="BU323" s="641" t="str">
        <f>BU$3</f>
        <v>4Q14/</v>
      </c>
      <c r="BV323" s="640"/>
      <c r="BW323" s="641" t="str">
        <f>BW$3</f>
        <v>1Q15/</v>
      </c>
      <c r="BX323" s="640"/>
      <c r="BY323" s="641" t="str">
        <f>BY$3</f>
        <v>2Q15/</v>
      </c>
      <c r="BZ323" s="640"/>
      <c r="CA323" s="641" t="str">
        <f>CA$3</f>
        <v>3Q15/</v>
      </c>
      <c r="CB323" s="640"/>
      <c r="CC323" s="641" t="str">
        <f>CC$3</f>
        <v>4Q15/</v>
      </c>
      <c r="CD323" s="640"/>
      <c r="CE323" s="641" t="str">
        <f>CE$3</f>
        <v>1Q16/</v>
      </c>
      <c r="CF323" s="640"/>
      <c r="CG323" s="641" t="str">
        <f>CG$3</f>
        <v>2Q16/</v>
      </c>
      <c r="CH323" s="640"/>
      <c r="CI323" s="641" t="str">
        <f>CI$3</f>
        <v>3Q16/</v>
      </c>
      <c r="CJ323" s="640"/>
      <c r="CK323" s="641" t="str">
        <f>CK$3</f>
        <v>4Q16/</v>
      </c>
      <c r="CL323" s="640"/>
      <c r="CM323" s="641" t="str">
        <f>CM$3</f>
        <v>1Q17/</v>
      </c>
      <c r="CN323" s="640"/>
      <c r="CO323" s="641" t="str">
        <f t="shared" ref="CO323" si="150">CO$3</f>
        <v>2Q17/</v>
      </c>
      <c r="CP323" s="640"/>
      <c r="CQ323" s="641" t="str">
        <f t="shared" ref="CQ323" si="151">CQ$3</f>
        <v>3Q17/</v>
      </c>
      <c r="CR323" s="640"/>
      <c r="CS323" s="641" t="str">
        <f t="shared" ref="CS323" si="152">CS$3</f>
        <v>4Q17/</v>
      </c>
      <c r="CT323" s="640"/>
      <c r="CU323" s="641" t="str">
        <f>CU$3</f>
        <v>1Q18E/</v>
      </c>
      <c r="CV323" s="640"/>
      <c r="CW323" s="641" t="str">
        <f t="shared" ref="CW323" si="153">CW$3</f>
        <v>2Q18E/</v>
      </c>
      <c r="CX323" s="640"/>
      <c r="CY323" s="641" t="str">
        <f t="shared" ref="CY323" si="154">CY$3</f>
        <v>3Q18E/</v>
      </c>
      <c r="CZ323" s="640"/>
      <c r="DA323" s="641" t="str">
        <f t="shared" ref="DA323" si="155">DA$3</f>
        <v>4Q18E/</v>
      </c>
      <c r="DB323" s="640"/>
      <c r="DC323" s="640"/>
      <c r="DD323" s="641" t="str">
        <f>DD$3</f>
        <v>2005/</v>
      </c>
      <c r="DE323" s="640"/>
      <c r="DF323" s="641" t="str">
        <f>DF$3</f>
        <v>2006/</v>
      </c>
      <c r="DG323" s="640"/>
      <c r="DH323" s="641" t="str">
        <f>DH$3</f>
        <v>2007/</v>
      </c>
      <c r="DI323" s="640"/>
      <c r="DJ323" s="641" t="str">
        <f>DJ$3</f>
        <v>2008/</v>
      </c>
      <c r="DK323" s="640"/>
      <c r="DL323" s="641" t="str">
        <f>DL$3</f>
        <v>2009/</v>
      </c>
      <c r="DM323" s="640"/>
      <c r="DN323" s="641" t="str">
        <f>DN$3</f>
        <v>2010/</v>
      </c>
      <c r="DO323" s="640"/>
      <c r="DP323" s="641" t="str">
        <f>DP$3</f>
        <v>2011/</v>
      </c>
      <c r="DQ323" s="640"/>
      <c r="DR323" s="641" t="str">
        <f>DR$3</f>
        <v>2012/</v>
      </c>
      <c r="DS323" s="640"/>
      <c r="DT323" s="641" t="str">
        <f>DT$3</f>
        <v>2013/</v>
      </c>
      <c r="DU323" s="640"/>
      <c r="DV323" s="641" t="str">
        <f>DV$3</f>
        <v>2014/</v>
      </c>
      <c r="DW323" s="640"/>
      <c r="DX323" s="641" t="str">
        <f>DX$3</f>
        <v>2015/</v>
      </c>
      <c r="DY323" s="640"/>
      <c r="DZ323" s="641" t="str">
        <f>DZ$3</f>
        <v>2016/</v>
      </c>
      <c r="EA323" s="640"/>
      <c r="EB323" s="641" t="str">
        <f>EB$3</f>
        <v>2017/</v>
      </c>
      <c r="EC323" s="640"/>
      <c r="ED323" s="641" t="str">
        <f>ED$3</f>
        <v>2018E/</v>
      </c>
      <c r="EE323" s="640"/>
      <c r="EF323" s="641" t="str">
        <f>EF$3</f>
        <v>2019E/</v>
      </c>
      <c r="EG323" s="640"/>
      <c r="EH323" s="641" t="str">
        <f>EH$3</f>
        <v>2020E/</v>
      </c>
      <c r="EI323" s="640"/>
      <c r="EJ323" s="641" t="str">
        <f>EJ$3</f>
        <v>2021E/</v>
      </c>
      <c r="EK323" s="640"/>
      <c r="EL323" s="641" t="str">
        <f>EL$3</f>
        <v>2022E/</v>
      </c>
      <c r="EM323" s="641" t="str">
        <f>EM$3</f>
        <v>5-Yr</v>
      </c>
      <c r="EN323" s="638"/>
      <c r="EO323" s="638"/>
      <c r="EP323" s="638"/>
      <c r="EQ323" s="638"/>
      <c r="ER323" s="638"/>
      <c r="ES323" s="638"/>
      <c r="ET323" s="638"/>
      <c r="EU323" s="638"/>
      <c r="EV323" s="638"/>
    </row>
    <row r="324" spans="1:152" ht="12.75" hidden="1" customHeight="1" outlineLevel="1" x14ac:dyDescent="0.2">
      <c r="A324" s="693"/>
      <c r="B324" s="692"/>
      <c r="C324" s="686" t="str">
        <f>C$4</f>
        <v>1Q05</v>
      </c>
      <c r="D324" s="692"/>
      <c r="E324" s="686" t="str">
        <f>E$4</f>
        <v>2Q05</v>
      </c>
      <c r="F324" s="692"/>
      <c r="G324" s="686" t="str">
        <f>G$4</f>
        <v>3Q05</v>
      </c>
      <c r="H324" s="692"/>
      <c r="I324" s="686" t="str">
        <f>I$4</f>
        <v>4Q05</v>
      </c>
      <c r="J324" s="692"/>
      <c r="K324" s="686" t="str">
        <f>K$4</f>
        <v>1Q06</v>
      </c>
      <c r="L324" s="692"/>
      <c r="M324" s="686" t="str">
        <f>M$4</f>
        <v>2Q06</v>
      </c>
      <c r="N324" s="692"/>
      <c r="O324" s="686" t="str">
        <f>O$4</f>
        <v>3Q06</v>
      </c>
      <c r="P324" s="692"/>
      <c r="Q324" s="686" t="str">
        <f>Q$4</f>
        <v>4Q06</v>
      </c>
      <c r="R324" s="692"/>
      <c r="S324" s="686" t="str">
        <f>S$4</f>
        <v>1Q07</v>
      </c>
      <c r="T324" s="692"/>
      <c r="U324" s="686" t="str">
        <f>U$4</f>
        <v>2Q07</v>
      </c>
      <c r="V324" s="692"/>
      <c r="W324" s="686" t="str">
        <f>W$4</f>
        <v>3Q07</v>
      </c>
      <c r="X324" s="692"/>
      <c r="Y324" s="686" t="str">
        <f>Y$4</f>
        <v>4Q07</v>
      </c>
      <c r="Z324" s="692"/>
      <c r="AA324" s="686" t="str">
        <f>AA$4</f>
        <v>1Q08</v>
      </c>
      <c r="AB324" s="692"/>
      <c r="AC324" s="686" t="str">
        <f>AC$4</f>
        <v>2Q08</v>
      </c>
      <c r="AD324" s="692"/>
      <c r="AE324" s="686" t="str">
        <f>AE$4</f>
        <v>3Q08</v>
      </c>
      <c r="AF324" s="692"/>
      <c r="AG324" s="686" t="str">
        <f>AG$4</f>
        <v>4Q08</v>
      </c>
      <c r="AH324" s="692"/>
      <c r="AI324" s="686" t="str">
        <f>AI$4</f>
        <v>1Q09</v>
      </c>
      <c r="AJ324" s="692"/>
      <c r="AK324" s="686" t="str">
        <f>AK$4</f>
        <v>2Q09</v>
      </c>
      <c r="AL324" s="692"/>
      <c r="AM324" s="686" t="str">
        <f>AM$4</f>
        <v>3Q09</v>
      </c>
      <c r="AN324" s="692"/>
      <c r="AO324" s="686" t="str">
        <f>AO$4</f>
        <v>4Q09</v>
      </c>
      <c r="AP324" s="692"/>
      <c r="AQ324" s="686" t="str">
        <f>AQ$4</f>
        <v>1Q10</v>
      </c>
      <c r="AR324" s="692"/>
      <c r="AS324" s="686" t="str">
        <f>AS$4</f>
        <v>2Q10</v>
      </c>
      <c r="AT324" s="692"/>
      <c r="AU324" s="686" t="str">
        <f>AU$4</f>
        <v>3Q10</v>
      </c>
      <c r="AV324" s="692"/>
      <c r="AW324" s="686" t="str">
        <f>AW$4</f>
        <v>4Q10</v>
      </c>
      <c r="AX324" s="692"/>
      <c r="AY324" s="686" t="str">
        <f>AY$4</f>
        <v>1Q11</v>
      </c>
      <c r="AZ324" s="692"/>
      <c r="BA324" s="686" t="str">
        <f>BA$4</f>
        <v>2Q11</v>
      </c>
      <c r="BB324" s="692"/>
      <c r="BC324" s="686" t="str">
        <f>BC$4</f>
        <v>3Q11</v>
      </c>
      <c r="BD324" s="692"/>
      <c r="BE324" s="686" t="str">
        <f>BE$4</f>
        <v>4Q11</v>
      </c>
      <c r="BF324" s="692"/>
      <c r="BG324" s="686" t="str">
        <f>BG$4</f>
        <v>1Q12</v>
      </c>
      <c r="BH324" s="692"/>
      <c r="BI324" s="686" t="str">
        <f>BI$4</f>
        <v>2Q12</v>
      </c>
      <c r="BJ324" s="692"/>
      <c r="BK324" s="686" t="str">
        <f>BK$4</f>
        <v>3Q12</v>
      </c>
      <c r="BL324" s="692"/>
      <c r="BM324" s="686" t="str">
        <f>BM$4</f>
        <v>4Q12</v>
      </c>
      <c r="BN324" s="692"/>
      <c r="BO324" s="686" t="str">
        <f>BO$4</f>
        <v>1Q13</v>
      </c>
      <c r="BP324" s="692"/>
      <c r="BQ324" s="686" t="str">
        <f>BQ$4</f>
        <v>2Q13</v>
      </c>
      <c r="BR324" s="692"/>
      <c r="BS324" s="686" t="str">
        <f>BS$4</f>
        <v>3Q13</v>
      </c>
      <c r="BT324" s="692"/>
      <c r="BU324" s="686" t="str">
        <f>BU$4</f>
        <v>4Q13</v>
      </c>
      <c r="BV324" s="692"/>
      <c r="BW324" s="686" t="str">
        <f>BW$4</f>
        <v>1Q14</v>
      </c>
      <c r="BX324" s="692"/>
      <c r="BY324" s="686" t="str">
        <f>BY$4</f>
        <v>2Q14</v>
      </c>
      <c r="BZ324" s="692"/>
      <c r="CA324" s="686" t="str">
        <f>CA$4</f>
        <v>3Q14</v>
      </c>
      <c r="CB324" s="692"/>
      <c r="CC324" s="686" t="str">
        <f>CC$4</f>
        <v>4Q14</v>
      </c>
      <c r="CD324" s="692"/>
      <c r="CE324" s="686" t="str">
        <f>CE$4</f>
        <v>1Q15</v>
      </c>
      <c r="CF324" s="692"/>
      <c r="CG324" s="686" t="str">
        <f>CG$4</f>
        <v>2Q15</v>
      </c>
      <c r="CH324" s="692"/>
      <c r="CI324" s="686" t="str">
        <f>CI$4</f>
        <v>3Q15</v>
      </c>
      <c r="CJ324" s="692"/>
      <c r="CK324" s="686" t="str">
        <f>CK$4</f>
        <v>4Q15</v>
      </c>
      <c r="CL324" s="692"/>
      <c r="CM324" s="686" t="str">
        <f>CM$4</f>
        <v>1Q16</v>
      </c>
      <c r="CN324" s="692"/>
      <c r="CO324" s="686" t="str">
        <f t="shared" ref="CO324" si="156">CO$4</f>
        <v>2Q16</v>
      </c>
      <c r="CP324" s="692"/>
      <c r="CQ324" s="686" t="str">
        <f t="shared" ref="CQ324" si="157">CQ$4</f>
        <v>3Q16</v>
      </c>
      <c r="CR324" s="692"/>
      <c r="CS324" s="686" t="str">
        <f t="shared" ref="CS324" si="158">CS$4</f>
        <v>4Q16</v>
      </c>
      <c r="CT324" s="692"/>
      <c r="CU324" s="686" t="str">
        <f>CU$4</f>
        <v>1Q17</v>
      </c>
      <c r="CV324" s="692"/>
      <c r="CW324" s="686" t="str">
        <f t="shared" ref="CW324" si="159">CW$4</f>
        <v>2Q17</v>
      </c>
      <c r="CX324" s="692"/>
      <c r="CY324" s="686" t="str">
        <f t="shared" ref="CY324" si="160">CY$4</f>
        <v>3Q17</v>
      </c>
      <c r="CZ324" s="692"/>
      <c r="DA324" s="686" t="str">
        <f t="shared" ref="DA324" si="161">DA$4</f>
        <v>4Q17</v>
      </c>
      <c r="DB324" s="692"/>
      <c r="DC324" s="692"/>
      <c r="DD324" s="686">
        <f>DD$4</f>
        <v>2004</v>
      </c>
      <c r="DE324" s="692"/>
      <c r="DF324" s="686">
        <f>DF$4</f>
        <v>2005</v>
      </c>
      <c r="DG324" s="692"/>
      <c r="DH324" s="686">
        <f>DH$4</f>
        <v>2006</v>
      </c>
      <c r="DI324" s="692"/>
      <c r="DJ324" s="686">
        <f>DJ$4</f>
        <v>2007</v>
      </c>
      <c r="DK324" s="692"/>
      <c r="DL324" s="686">
        <f>DL$4</f>
        <v>2008</v>
      </c>
      <c r="DM324" s="692"/>
      <c r="DN324" s="686" t="str">
        <f>DN$4</f>
        <v>2009</v>
      </c>
      <c r="DO324" s="692"/>
      <c r="DP324" s="686" t="str">
        <f>DP$4</f>
        <v>2010</v>
      </c>
      <c r="DQ324" s="692"/>
      <c r="DR324" s="686" t="str">
        <f>DR$4</f>
        <v>2011</v>
      </c>
      <c r="DS324" s="692"/>
      <c r="DT324" s="686" t="str">
        <f>DT$4</f>
        <v>2012</v>
      </c>
      <c r="DU324" s="692"/>
      <c r="DV324" s="686" t="str">
        <f>DV$4</f>
        <v>2013</v>
      </c>
      <c r="DW324" s="692"/>
      <c r="DX324" s="686" t="str">
        <f>DX$4</f>
        <v>2014</v>
      </c>
      <c r="DY324" s="692"/>
      <c r="DZ324" s="686" t="str">
        <f>DZ$4</f>
        <v>2015</v>
      </c>
      <c r="EA324" s="692"/>
      <c r="EB324" s="686" t="str">
        <f>EB$4</f>
        <v>2016</v>
      </c>
      <c r="EC324" s="692"/>
      <c r="ED324" s="686" t="str">
        <f>ED$4</f>
        <v>2017</v>
      </c>
      <c r="EE324" s="692"/>
      <c r="EF324" s="686" t="str">
        <f>EF$4</f>
        <v>2018E</v>
      </c>
      <c r="EG324" s="692"/>
      <c r="EH324" s="686" t="str">
        <f>EH$4</f>
        <v>2019E</v>
      </c>
      <c r="EI324" s="692"/>
      <c r="EJ324" s="686" t="str">
        <f>EJ$4</f>
        <v>2020E</v>
      </c>
      <c r="EK324" s="692"/>
      <c r="EL324" s="686" t="str">
        <f>EL$4</f>
        <v>2021E</v>
      </c>
      <c r="EM324" s="686" t="str">
        <f>EM$4</f>
        <v>CAGR</v>
      </c>
    </row>
    <row r="325" spans="1:152" ht="12.75" hidden="1" customHeight="1" outlineLevel="1" x14ac:dyDescent="0.2">
      <c r="A325" s="694"/>
      <c r="B325" s="695" t="str">
        <f t="shared" ref="B325:BN325" si="162">B$5</f>
        <v>1Q06</v>
      </c>
      <c r="C325" s="696" t="str">
        <f t="shared" si="162"/>
        <v>% Chg</v>
      </c>
      <c r="D325" s="695" t="str">
        <f t="shared" si="162"/>
        <v>2Q06</v>
      </c>
      <c r="E325" s="696" t="str">
        <f t="shared" si="162"/>
        <v>% Chg</v>
      </c>
      <c r="F325" s="695" t="str">
        <f t="shared" si="162"/>
        <v>3Q06</v>
      </c>
      <c r="G325" s="696" t="str">
        <f t="shared" si="162"/>
        <v>% Chg</v>
      </c>
      <c r="H325" s="695" t="str">
        <f t="shared" si="162"/>
        <v>4Q06</v>
      </c>
      <c r="I325" s="696" t="str">
        <f t="shared" si="162"/>
        <v>% Chg</v>
      </c>
      <c r="J325" s="695" t="str">
        <f t="shared" si="162"/>
        <v>1Q07</v>
      </c>
      <c r="K325" s="696" t="str">
        <f t="shared" si="162"/>
        <v>% Chg</v>
      </c>
      <c r="L325" s="695" t="str">
        <f t="shared" si="162"/>
        <v>2Q07</v>
      </c>
      <c r="M325" s="696" t="str">
        <f t="shared" si="162"/>
        <v>% Chg</v>
      </c>
      <c r="N325" s="695" t="str">
        <f t="shared" si="162"/>
        <v>3Q07</v>
      </c>
      <c r="O325" s="696" t="str">
        <f t="shared" si="162"/>
        <v>% Chg</v>
      </c>
      <c r="P325" s="695" t="str">
        <f t="shared" si="162"/>
        <v>4Q07</v>
      </c>
      <c r="Q325" s="696" t="str">
        <f t="shared" si="162"/>
        <v>% Chg</v>
      </c>
      <c r="R325" s="695" t="str">
        <f t="shared" si="162"/>
        <v>1Q08</v>
      </c>
      <c r="S325" s="696" t="str">
        <f t="shared" si="162"/>
        <v>% Chg</v>
      </c>
      <c r="T325" s="695" t="str">
        <f t="shared" si="162"/>
        <v>2Q08</v>
      </c>
      <c r="U325" s="696" t="str">
        <f t="shared" si="162"/>
        <v>% Chg</v>
      </c>
      <c r="V325" s="695" t="str">
        <f t="shared" si="162"/>
        <v>3Q08</v>
      </c>
      <c r="W325" s="696" t="str">
        <f t="shared" si="162"/>
        <v>% Chg</v>
      </c>
      <c r="X325" s="695" t="str">
        <f t="shared" si="162"/>
        <v>4Q08</v>
      </c>
      <c r="Y325" s="696" t="str">
        <f t="shared" si="162"/>
        <v>% Chg</v>
      </c>
      <c r="Z325" s="695" t="str">
        <f t="shared" si="162"/>
        <v>1Q09</v>
      </c>
      <c r="AA325" s="696" t="str">
        <f t="shared" si="162"/>
        <v>% Chg</v>
      </c>
      <c r="AB325" s="695" t="str">
        <f t="shared" si="162"/>
        <v>2Q09</v>
      </c>
      <c r="AC325" s="696" t="str">
        <f t="shared" si="162"/>
        <v>% Chg</v>
      </c>
      <c r="AD325" s="695" t="str">
        <f t="shared" si="162"/>
        <v>3Q09</v>
      </c>
      <c r="AE325" s="696" t="str">
        <f t="shared" si="162"/>
        <v>% Chg</v>
      </c>
      <c r="AF325" s="695" t="str">
        <f t="shared" si="162"/>
        <v>4Q09</v>
      </c>
      <c r="AG325" s="696" t="str">
        <f t="shared" si="162"/>
        <v>% Chg</v>
      </c>
      <c r="AH325" s="695" t="str">
        <f t="shared" si="162"/>
        <v>1Q10</v>
      </c>
      <c r="AI325" s="696" t="str">
        <f t="shared" si="162"/>
        <v>% Chg</v>
      </c>
      <c r="AJ325" s="695" t="str">
        <f t="shared" si="162"/>
        <v>2Q10</v>
      </c>
      <c r="AK325" s="696" t="str">
        <f t="shared" si="162"/>
        <v>% Chg</v>
      </c>
      <c r="AL325" s="695" t="str">
        <f t="shared" si="162"/>
        <v>3Q10</v>
      </c>
      <c r="AM325" s="696" t="str">
        <f t="shared" si="162"/>
        <v>% Chg</v>
      </c>
      <c r="AN325" s="695" t="str">
        <f t="shared" si="162"/>
        <v>4Q10</v>
      </c>
      <c r="AO325" s="696" t="str">
        <f t="shared" si="162"/>
        <v>% Chg</v>
      </c>
      <c r="AP325" s="695" t="str">
        <f t="shared" si="162"/>
        <v>1Q11</v>
      </c>
      <c r="AQ325" s="696" t="str">
        <f t="shared" si="162"/>
        <v>% Chg</v>
      </c>
      <c r="AR325" s="695" t="str">
        <f t="shared" si="162"/>
        <v>2Q11</v>
      </c>
      <c r="AS325" s="696" t="str">
        <f t="shared" si="162"/>
        <v>% Chg</v>
      </c>
      <c r="AT325" s="695" t="str">
        <f t="shared" si="162"/>
        <v>3Q11</v>
      </c>
      <c r="AU325" s="696" t="str">
        <f t="shared" si="162"/>
        <v>% Chg</v>
      </c>
      <c r="AV325" s="695" t="str">
        <f t="shared" si="162"/>
        <v>4Q11</v>
      </c>
      <c r="AW325" s="696" t="str">
        <f t="shared" si="162"/>
        <v>% Chg</v>
      </c>
      <c r="AX325" s="695" t="str">
        <f t="shared" si="162"/>
        <v>1Q12</v>
      </c>
      <c r="AY325" s="696" t="str">
        <f t="shared" si="162"/>
        <v>% Chg</v>
      </c>
      <c r="AZ325" s="695" t="str">
        <f t="shared" si="162"/>
        <v>2Q12</v>
      </c>
      <c r="BA325" s="696" t="str">
        <f t="shared" si="162"/>
        <v>% Chg</v>
      </c>
      <c r="BB325" s="695" t="str">
        <f t="shared" si="162"/>
        <v>3Q12</v>
      </c>
      <c r="BC325" s="696" t="str">
        <f t="shared" si="162"/>
        <v>% Chg</v>
      </c>
      <c r="BD325" s="695" t="str">
        <f t="shared" si="162"/>
        <v>4Q12</v>
      </c>
      <c r="BE325" s="696" t="str">
        <f t="shared" si="162"/>
        <v>% Chg</v>
      </c>
      <c r="BF325" s="695" t="str">
        <f t="shared" si="162"/>
        <v>1Q13</v>
      </c>
      <c r="BG325" s="696" t="str">
        <f t="shared" si="162"/>
        <v>% Chg</v>
      </c>
      <c r="BH325" s="695" t="str">
        <f t="shared" si="162"/>
        <v>2Q13</v>
      </c>
      <c r="BI325" s="696" t="str">
        <f t="shared" si="162"/>
        <v>% Chg</v>
      </c>
      <c r="BJ325" s="695" t="str">
        <f t="shared" si="162"/>
        <v>3Q13</v>
      </c>
      <c r="BK325" s="696" t="str">
        <f t="shared" si="162"/>
        <v>% Chg</v>
      </c>
      <c r="BL325" s="695" t="str">
        <f t="shared" si="162"/>
        <v>4Q13</v>
      </c>
      <c r="BM325" s="696" t="str">
        <f t="shared" si="162"/>
        <v>% Chg</v>
      </c>
      <c r="BN325" s="695" t="str">
        <f t="shared" si="162"/>
        <v>1Q14</v>
      </c>
      <c r="BO325" s="696" t="str">
        <f t="shared" ref="BO325:DA325" si="163">BO$5</f>
        <v>% Chg</v>
      </c>
      <c r="BP325" s="695" t="str">
        <f t="shared" si="163"/>
        <v>2Q14</v>
      </c>
      <c r="BQ325" s="696" t="str">
        <f t="shared" si="163"/>
        <v>% Chg</v>
      </c>
      <c r="BR325" s="695" t="str">
        <f t="shared" si="163"/>
        <v>3Q14</v>
      </c>
      <c r="BS325" s="696" t="str">
        <f t="shared" si="163"/>
        <v>% Chg</v>
      </c>
      <c r="BT325" s="695" t="str">
        <f t="shared" si="163"/>
        <v>4Q14</v>
      </c>
      <c r="BU325" s="696" t="str">
        <f t="shared" si="163"/>
        <v>% Chg</v>
      </c>
      <c r="BV325" s="695" t="str">
        <f t="shared" si="163"/>
        <v>1Q15</v>
      </c>
      <c r="BW325" s="696" t="str">
        <f t="shared" si="163"/>
        <v>% Chg</v>
      </c>
      <c r="BX325" s="695" t="str">
        <f t="shared" si="163"/>
        <v>2Q15</v>
      </c>
      <c r="BY325" s="696" t="str">
        <f t="shared" si="163"/>
        <v>% Chg</v>
      </c>
      <c r="BZ325" s="695" t="str">
        <f t="shared" si="163"/>
        <v>3Q15</v>
      </c>
      <c r="CA325" s="696" t="str">
        <f t="shared" si="163"/>
        <v>% Chg</v>
      </c>
      <c r="CB325" s="695" t="str">
        <f t="shared" si="163"/>
        <v>4Q15</v>
      </c>
      <c r="CC325" s="696" t="str">
        <f t="shared" si="163"/>
        <v>% Chg</v>
      </c>
      <c r="CD325" s="695" t="str">
        <f t="shared" si="163"/>
        <v>1Q16</v>
      </c>
      <c r="CE325" s="696" t="str">
        <f t="shared" si="163"/>
        <v>% Chg</v>
      </c>
      <c r="CF325" s="695" t="str">
        <f t="shared" si="163"/>
        <v>2Q16</v>
      </c>
      <c r="CG325" s="696" t="str">
        <f t="shared" si="163"/>
        <v>% Chg</v>
      </c>
      <c r="CH325" s="695" t="str">
        <f t="shared" si="163"/>
        <v>3Q16</v>
      </c>
      <c r="CI325" s="696" t="str">
        <f t="shared" si="163"/>
        <v>% Chg</v>
      </c>
      <c r="CJ325" s="695" t="str">
        <f t="shared" si="163"/>
        <v>4Q16</v>
      </c>
      <c r="CK325" s="696" t="str">
        <f t="shared" si="163"/>
        <v>% Chg</v>
      </c>
      <c r="CL325" s="695" t="str">
        <f t="shared" si="163"/>
        <v>1Q17</v>
      </c>
      <c r="CM325" s="696" t="str">
        <f t="shared" si="163"/>
        <v>% Chg</v>
      </c>
      <c r="CN325" s="695" t="str">
        <f t="shared" si="163"/>
        <v>2Q17</v>
      </c>
      <c r="CO325" s="696" t="str">
        <f t="shared" si="163"/>
        <v>% Chg</v>
      </c>
      <c r="CP325" s="695" t="str">
        <f t="shared" si="163"/>
        <v>3Q17</v>
      </c>
      <c r="CQ325" s="696" t="str">
        <f t="shared" si="163"/>
        <v>% Chg</v>
      </c>
      <c r="CR325" s="695" t="str">
        <f t="shared" si="163"/>
        <v>4Q17</v>
      </c>
      <c r="CS325" s="696" t="str">
        <f t="shared" si="163"/>
        <v>% Chg</v>
      </c>
      <c r="CT325" s="695" t="str">
        <f t="shared" si="163"/>
        <v>1Q18E</v>
      </c>
      <c r="CU325" s="696" t="str">
        <f t="shared" si="163"/>
        <v>% Chg</v>
      </c>
      <c r="CV325" s="695" t="str">
        <f t="shared" si="163"/>
        <v>2Q18E</v>
      </c>
      <c r="CW325" s="696" t="str">
        <f t="shared" si="163"/>
        <v>% Chg</v>
      </c>
      <c r="CX325" s="695" t="str">
        <f t="shared" si="163"/>
        <v>3Q18E</v>
      </c>
      <c r="CY325" s="696" t="str">
        <f t="shared" si="163"/>
        <v>% Chg</v>
      </c>
      <c r="CZ325" s="695" t="str">
        <f t="shared" si="163"/>
        <v>4Q18E</v>
      </c>
      <c r="DA325" s="696" t="str">
        <f t="shared" si="163"/>
        <v>% Chg</v>
      </c>
      <c r="DB325" s="695"/>
      <c r="DC325" s="697">
        <f t="shared" ref="DC325:EM325" si="164">DC$5</f>
        <v>2005</v>
      </c>
      <c r="DD325" s="696" t="str">
        <f t="shared" si="164"/>
        <v>% Chg</v>
      </c>
      <c r="DE325" s="698">
        <f>$DE$5</f>
        <v>2006</v>
      </c>
      <c r="DF325" s="696" t="str">
        <f>INPUT!FS$6</f>
        <v>% Chg</v>
      </c>
      <c r="DG325" s="699">
        <f>$DG$5</f>
        <v>2007</v>
      </c>
      <c r="DH325" s="696" t="str">
        <f t="shared" si="164"/>
        <v>% Chg</v>
      </c>
      <c r="DI325" s="699">
        <f t="shared" si="164"/>
        <v>2008</v>
      </c>
      <c r="DJ325" s="696" t="str">
        <f t="shared" si="164"/>
        <v>% Chg</v>
      </c>
      <c r="DK325" s="695" t="str">
        <f t="shared" si="164"/>
        <v>2009</v>
      </c>
      <c r="DL325" s="696" t="str">
        <f t="shared" si="164"/>
        <v>% Chg</v>
      </c>
      <c r="DM325" s="695" t="str">
        <f t="shared" si="164"/>
        <v>2010</v>
      </c>
      <c r="DN325" s="696" t="str">
        <f t="shared" si="164"/>
        <v>% Chg</v>
      </c>
      <c r="DO325" s="695" t="str">
        <f t="shared" si="164"/>
        <v>2011</v>
      </c>
      <c r="DP325" s="696" t="str">
        <f t="shared" si="164"/>
        <v>% Chg</v>
      </c>
      <c r="DQ325" s="695" t="str">
        <f t="shared" si="164"/>
        <v>2012</v>
      </c>
      <c r="DR325" s="696" t="str">
        <f t="shared" si="164"/>
        <v>% Chg</v>
      </c>
      <c r="DS325" s="695" t="str">
        <f t="shared" si="164"/>
        <v>2013</v>
      </c>
      <c r="DT325" s="696" t="str">
        <f t="shared" si="164"/>
        <v>% Chg</v>
      </c>
      <c r="DU325" s="695" t="str">
        <f t="shared" si="164"/>
        <v>2014</v>
      </c>
      <c r="DV325" s="696" t="str">
        <f t="shared" si="164"/>
        <v>% Chg</v>
      </c>
      <c r="DW325" s="695" t="str">
        <f t="shared" si="164"/>
        <v>2015</v>
      </c>
      <c r="DX325" s="696" t="str">
        <f t="shared" si="164"/>
        <v>% Chg</v>
      </c>
      <c r="DY325" s="695" t="str">
        <f t="shared" si="164"/>
        <v>2016</v>
      </c>
      <c r="DZ325" s="696" t="str">
        <f t="shared" si="164"/>
        <v>% Chg</v>
      </c>
      <c r="EA325" s="695" t="str">
        <f t="shared" si="164"/>
        <v>2017</v>
      </c>
      <c r="EB325" s="696" t="str">
        <f t="shared" si="164"/>
        <v>% Chg</v>
      </c>
      <c r="EC325" s="695" t="str">
        <f t="shared" si="164"/>
        <v>2018E</v>
      </c>
      <c r="ED325" s="696" t="str">
        <f t="shared" si="164"/>
        <v>% Chg</v>
      </c>
      <c r="EE325" s="695" t="str">
        <f t="shared" si="164"/>
        <v>2019E</v>
      </c>
      <c r="EF325" s="696" t="str">
        <f t="shared" si="164"/>
        <v>% Chg</v>
      </c>
      <c r="EG325" s="695" t="str">
        <f t="shared" si="164"/>
        <v>2020E</v>
      </c>
      <c r="EH325" s="696" t="str">
        <f t="shared" si="164"/>
        <v>% Chg</v>
      </c>
      <c r="EI325" s="695" t="str">
        <f t="shared" si="164"/>
        <v>2021E</v>
      </c>
      <c r="EJ325" s="696" t="str">
        <f t="shared" si="164"/>
        <v>% Chg</v>
      </c>
      <c r="EK325" s="695" t="str">
        <f t="shared" si="164"/>
        <v>2022E</v>
      </c>
      <c r="EL325" s="696" t="str">
        <f t="shared" si="164"/>
        <v>% Chg</v>
      </c>
      <c r="EM325" s="696" t="str">
        <f t="shared" si="164"/>
        <v>(%)</v>
      </c>
    </row>
    <row r="326" spans="1:152" ht="12.75" hidden="1" customHeight="1" outlineLevel="1" x14ac:dyDescent="0.2">
      <c r="A326" s="700"/>
      <c r="B326" s="16"/>
      <c r="C326" s="687"/>
      <c r="D326" s="16"/>
      <c r="E326" s="687"/>
      <c r="F326" s="16"/>
      <c r="G326" s="687"/>
      <c r="H326" s="16"/>
      <c r="I326" s="687"/>
      <c r="J326" s="16"/>
      <c r="K326" s="687"/>
      <c r="L326" s="16"/>
      <c r="M326" s="687"/>
      <c r="N326" s="16"/>
      <c r="O326" s="687"/>
      <c r="P326" s="16"/>
      <c r="Q326" s="687"/>
      <c r="R326" s="16"/>
      <c r="S326" s="687"/>
      <c r="T326" s="16"/>
      <c r="U326" s="687"/>
      <c r="V326" s="16"/>
      <c r="W326" s="687"/>
      <c r="X326" s="16"/>
      <c r="Y326" s="687"/>
      <c r="Z326" s="16"/>
      <c r="AA326" s="687"/>
      <c r="AB326" s="16"/>
      <c r="AC326" s="687"/>
      <c r="AD326" s="16"/>
      <c r="AE326" s="687"/>
      <c r="AF326" s="16"/>
      <c r="AG326" s="687"/>
      <c r="AH326" s="16"/>
      <c r="AI326" s="687"/>
      <c r="AJ326" s="16"/>
      <c r="AK326" s="687"/>
      <c r="AL326" s="16"/>
      <c r="AM326" s="687"/>
      <c r="AN326" s="16"/>
      <c r="AO326" s="687"/>
      <c r="AP326" s="16"/>
      <c r="AQ326" s="687"/>
      <c r="AR326" s="16"/>
      <c r="AS326" s="687"/>
      <c r="AT326" s="16"/>
      <c r="AU326" s="687"/>
      <c r="AV326" s="16"/>
      <c r="AW326" s="687"/>
      <c r="AX326" s="16"/>
      <c r="AY326" s="687"/>
      <c r="AZ326" s="16"/>
      <c r="BA326" s="687"/>
      <c r="BB326" s="16"/>
      <c r="BC326" s="687"/>
      <c r="BD326" s="16"/>
      <c r="BE326" s="687"/>
      <c r="BF326" s="16"/>
      <c r="BG326" s="687"/>
      <c r="BH326" s="16"/>
      <c r="BI326" s="687"/>
      <c r="BJ326" s="16"/>
      <c r="BK326" s="687"/>
      <c r="BL326" s="16"/>
      <c r="BM326" s="687"/>
      <c r="BN326" s="16"/>
      <c r="BO326" s="687"/>
      <c r="BP326" s="16"/>
      <c r="BQ326" s="687"/>
      <c r="BR326" s="16"/>
      <c r="BS326" s="687"/>
      <c r="BT326" s="16"/>
      <c r="BU326" s="687"/>
      <c r="BV326" s="16"/>
      <c r="BW326" s="687"/>
      <c r="BX326" s="16"/>
      <c r="BY326" s="687"/>
      <c r="BZ326" s="16"/>
      <c r="CA326" s="687"/>
      <c r="CB326" s="16"/>
      <c r="CC326" s="687"/>
      <c r="CD326" s="16"/>
      <c r="CE326" s="687"/>
      <c r="CF326" s="16"/>
      <c r="CG326" s="687"/>
      <c r="CH326" s="16"/>
      <c r="CI326" s="687"/>
      <c r="CJ326" s="16"/>
      <c r="CK326" s="687"/>
      <c r="CL326" s="16"/>
      <c r="CM326" s="687"/>
      <c r="CN326" s="16"/>
      <c r="CO326" s="687"/>
      <c r="CP326" s="16"/>
      <c r="CQ326" s="687"/>
      <c r="CR326" s="16"/>
      <c r="CS326" s="687"/>
      <c r="CT326" s="16"/>
      <c r="CU326" s="687"/>
      <c r="CV326" s="16"/>
      <c r="CW326" s="687"/>
      <c r="CX326" s="16"/>
      <c r="CY326" s="687"/>
      <c r="CZ326" s="16"/>
      <c r="DA326" s="687"/>
      <c r="DB326" s="16"/>
      <c r="DC326" s="16"/>
      <c r="DD326" s="687"/>
      <c r="DE326" s="16"/>
      <c r="DF326" s="687"/>
      <c r="DG326" s="16"/>
      <c r="DH326" s="687"/>
      <c r="DI326" s="16"/>
      <c r="DJ326" s="687"/>
      <c r="DK326" s="16"/>
      <c r="DL326" s="687"/>
      <c r="DM326" s="16"/>
      <c r="DN326" s="687"/>
      <c r="DO326" s="16"/>
      <c r="DP326" s="687"/>
      <c r="DQ326" s="16"/>
      <c r="DR326" s="687"/>
      <c r="DS326" s="16"/>
      <c r="DT326" s="687"/>
      <c r="DU326" s="16"/>
      <c r="DV326" s="687"/>
      <c r="DW326" s="16"/>
      <c r="DX326" s="687"/>
      <c r="DY326" s="16"/>
      <c r="DZ326" s="687"/>
      <c r="EA326" s="16"/>
      <c r="EB326" s="687"/>
      <c r="EC326" s="16"/>
      <c r="ED326" s="687"/>
      <c r="EE326" s="16"/>
      <c r="EF326" s="687"/>
      <c r="EG326" s="16"/>
      <c r="EH326" s="687"/>
      <c r="EI326" s="16"/>
      <c r="EJ326" s="687"/>
      <c r="EK326" s="16"/>
      <c r="EL326" s="687"/>
      <c r="EM326" s="687"/>
    </row>
    <row r="327" spans="1:152" ht="12.75" hidden="1" customHeight="1" outlineLevel="1" x14ac:dyDescent="0.2">
      <c r="A327" s="700" t="str">
        <f>INPUT!B284</f>
        <v>REVENUES</v>
      </c>
      <c r="B327" s="16"/>
      <c r="C327" s="687"/>
      <c r="D327" s="16"/>
      <c r="E327" s="687"/>
      <c r="F327" s="16"/>
      <c r="G327" s="687"/>
      <c r="H327" s="16"/>
      <c r="I327" s="687"/>
      <c r="J327" s="16"/>
      <c r="K327" s="687"/>
      <c r="L327" s="16"/>
      <c r="M327" s="687"/>
      <c r="N327" s="16"/>
      <c r="O327" s="687"/>
      <c r="P327" s="16"/>
      <c r="Q327" s="687"/>
      <c r="R327" s="16"/>
      <c r="S327" s="687"/>
      <c r="T327" s="16"/>
      <c r="U327" s="687"/>
      <c r="V327" s="16"/>
      <c r="W327" s="687"/>
      <c r="X327" s="16"/>
      <c r="Y327" s="687"/>
      <c r="Z327" s="16"/>
      <c r="AA327" s="687"/>
      <c r="AB327" s="16"/>
      <c r="AC327" s="687"/>
      <c r="AD327" s="16"/>
      <c r="AE327" s="687"/>
      <c r="AF327" s="16"/>
      <c r="AG327" s="687"/>
      <c r="AH327" s="16"/>
      <c r="AI327" s="687"/>
      <c r="AJ327" s="16"/>
      <c r="AK327" s="687"/>
      <c r="AL327" s="16"/>
      <c r="AM327" s="687"/>
      <c r="AN327" s="16"/>
      <c r="AO327" s="687"/>
      <c r="AP327" s="16"/>
      <c r="AQ327" s="687"/>
      <c r="AR327" s="16"/>
      <c r="AS327" s="687"/>
      <c r="AT327" s="16"/>
      <c r="AU327" s="687"/>
      <c r="AV327" s="16"/>
      <c r="AW327" s="687"/>
      <c r="AX327" s="16"/>
      <c r="AY327" s="687"/>
      <c r="AZ327" s="16"/>
      <c r="BA327" s="687"/>
      <c r="BB327" s="16"/>
      <c r="BC327" s="687"/>
      <c r="BD327" s="16"/>
      <c r="BE327" s="687"/>
      <c r="BF327" s="16"/>
      <c r="BG327" s="687"/>
      <c r="BH327" s="16"/>
      <c r="BI327" s="687"/>
      <c r="BJ327" s="16"/>
      <c r="BK327" s="687"/>
      <c r="BL327" s="16"/>
      <c r="BM327" s="687"/>
      <c r="BN327" s="16"/>
      <c r="BO327" s="687"/>
      <c r="BP327" s="16"/>
      <c r="BQ327" s="687"/>
      <c r="BR327" s="16"/>
      <c r="BS327" s="687"/>
      <c r="BT327" s="16"/>
      <c r="BU327" s="687"/>
      <c r="BV327" s="16"/>
      <c r="BW327" s="687"/>
      <c r="BX327" s="16"/>
      <c r="BY327" s="687"/>
      <c r="BZ327" s="16"/>
      <c r="CA327" s="687"/>
      <c r="CB327" s="16"/>
      <c r="CC327" s="687"/>
      <c r="CD327" s="16"/>
      <c r="CE327" s="687"/>
      <c r="CF327" s="16"/>
      <c r="CG327" s="687"/>
      <c r="CH327" s="16"/>
      <c r="CI327" s="687"/>
      <c r="CJ327" s="16"/>
      <c r="CK327" s="687"/>
      <c r="CL327" s="16"/>
      <c r="CM327" s="687"/>
      <c r="CN327" s="16"/>
      <c r="CO327" s="687"/>
      <c r="CP327" s="16"/>
      <c r="CQ327" s="687"/>
      <c r="CR327" s="16"/>
      <c r="CS327" s="687"/>
      <c r="CT327" s="16"/>
      <c r="CU327" s="687"/>
      <c r="CV327" s="16"/>
      <c r="CW327" s="687"/>
      <c r="CX327" s="16"/>
      <c r="CY327" s="687"/>
      <c r="CZ327" s="16"/>
      <c r="DA327" s="687"/>
      <c r="DB327" s="16"/>
      <c r="DC327" s="16"/>
      <c r="DD327" s="687"/>
      <c r="DE327" s="16"/>
      <c r="DF327" s="687"/>
      <c r="DG327" s="16"/>
      <c r="DH327" s="687"/>
      <c r="DI327" s="16"/>
      <c r="DJ327" s="687"/>
      <c r="DK327" s="16"/>
      <c r="DL327" s="687"/>
      <c r="DM327" s="16"/>
      <c r="DN327" s="687"/>
      <c r="DO327" s="16"/>
      <c r="DP327" s="687"/>
      <c r="DQ327" s="16"/>
      <c r="DR327" s="687"/>
      <c r="DS327" s="16"/>
      <c r="DT327" s="687"/>
      <c r="DU327" s="16"/>
      <c r="DV327" s="687"/>
      <c r="DW327" s="16"/>
      <c r="DX327" s="687"/>
      <c r="DY327" s="16"/>
      <c r="DZ327" s="687"/>
      <c r="EA327" s="16"/>
      <c r="EB327" s="687"/>
      <c r="EC327" s="16"/>
      <c r="ED327" s="687"/>
      <c r="EE327" s="16"/>
      <c r="EF327" s="687"/>
      <c r="EG327" s="16"/>
      <c r="EH327" s="687"/>
      <c r="EI327" s="16"/>
      <c r="EJ327" s="687"/>
      <c r="EK327" s="16"/>
      <c r="EL327" s="687"/>
      <c r="EM327" s="687"/>
    </row>
    <row r="328" spans="1:152" ht="12.75" hidden="1" customHeight="1" outlineLevel="1" x14ac:dyDescent="0.2">
      <c r="A328" s="701" t="str">
        <f>INPUT!B285</f>
        <v xml:space="preserve">Premiums </v>
      </c>
      <c r="B328" s="151"/>
      <c r="C328" s="687"/>
      <c r="D328" s="151">
        <f>INPUT!BA285</f>
        <v>328.9</v>
      </c>
      <c r="E328" s="687">
        <f>INPUT!BB285</f>
        <v>5.9791715000128809</v>
      </c>
      <c r="F328" s="151">
        <f>INPUT!BC285</f>
        <v>304.10000000000002</v>
      </c>
      <c r="G328" s="687">
        <f>INPUT!BD285</f>
        <v>6.1253262978628431</v>
      </c>
      <c r="H328" s="151">
        <f>INPUT!BE285</f>
        <v>315.89999999999998</v>
      </c>
      <c r="I328" s="687">
        <f>INPUT!BF285</f>
        <v>6.8655807581062378</v>
      </c>
      <c r="J328" s="151">
        <f>INPUT!BG285</f>
        <v>331.3</v>
      </c>
      <c r="K328" s="687" t="str">
        <f>INPUT!BH285</f>
        <v>NA</v>
      </c>
      <c r="L328" s="151">
        <f>INPUT!BI285</f>
        <v>361.3</v>
      </c>
      <c r="M328" s="687">
        <f>INPUT!BJ285</f>
        <v>9.8510185466707423</v>
      </c>
      <c r="N328" s="151">
        <f>INPUT!BK285</f>
        <v>336.7</v>
      </c>
      <c r="O328" s="687">
        <f>INPUT!BL285</f>
        <v>10.72015784281486</v>
      </c>
      <c r="P328" s="151">
        <f>INPUT!BM285</f>
        <v>349.7</v>
      </c>
      <c r="Q328" s="687">
        <f>INPUT!BN285</f>
        <v>10.699588477366252</v>
      </c>
      <c r="R328" s="151">
        <f>INPUT!BO285</f>
        <v>370.4</v>
      </c>
      <c r="S328" s="687">
        <f>INPUT!BP285</f>
        <v>11.80199215212796</v>
      </c>
      <c r="T328" s="151">
        <f>INPUT!BQ285</f>
        <v>393</v>
      </c>
      <c r="U328" s="687">
        <f>INPUT!BR285</f>
        <v>8.7738721284251309</v>
      </c>
      <c r="V328" s="151">
        <f>INPUT!BS285</f>
        <v>370.6</v>
      </c>
      <c r="W328" s="687">
        <f>INPUT!BT285</f>
        <v>10.068310068310083</v>
      </c>
      <c r="X328" s="151">
        <f>INPUT!BU285</f>
        <v>382.9</v>
      </c>
      <c r="Y328" s="687">
        <f>INPUT!BV285</f>
        <v>9.4938518730340213</v>
      </c>
      <c r="Z328" s="151">
        <f>INPUT!BW285</f>
        <v>389.8</v>
      </c>
      <c r="AA328" s="687">
        <f>INPUT!BX285</f>
        <v>5.2375809935205186</v>
      </c>
      <c r="AB328" s="151">
        <f>INPUT!BY285</f>
        <v>413.3</v>
      </c>
      <c r="AC328" s="687">
        <f>INPUT!BZ285</f>
        <v>5.1653944020356279</v>
      </c>
      <c r="AD328" s="151">
        <f>INPUT!CA285</f>
        <v>379.5</v>
      </c>
      <c r="AE328" s="687">
        <f>INPUT!CB285</f>
        <v>2.4015110631408376</v>
      </c>
      <c r="AF328" s="151">
        <f>INPUT!CC285</f>
        <v>396.4</v>
      </c>
      <c r="AG328" s="687">
        <f>INPUT!CD285</f>
        <v>3.5257247323060792</v>
      </c>
      <c r="AH328" s="151">
        <f>INPUT!CE285</f>
        <v>409.9</v>
      </c>
      <c r="AI328" s="687">
        <f>INPUT!CF285</f>
        <v>5.1564905079527934</v>
      </c>
      <c r="AJ328" s="151">
        <f>INPUT!CG285</f>
        <v>433.7</v>
      </c>
      <c r="AK328" s="687">
        <f>INPUT!CH285</f>
        <v>4.9358819259617714</v>
      </c>
      <c r="AL328" s="151">
        <f>INPUT!CI285</f>
        <v>414.5</v>
      </c>
      <c r="AM328" s="687">
        <f>INPUT!CJ285</f>
        <v>9.2226613965744377</v>
      </c>
      <c r="AN328" s="151">
        <f>INPUT!CK285</f>
        <v>424.2</v>
      </c>
      <c r="AO328" s="687">
        <f>INPUT!CL285</f>
        <v>7.0131180625630618</v>
      </c>
      <c r="AP328" s="151">
        <f>INPUT!CM285</f>
        <v>436.6</v>
      </c>
      <c r="AQ328" s="687">
        <f>INPUT!CN285</f>
        <v>6.5137838497194567</v>
      </c>
      <c r="AR328" s="151">
        <f>INPUT!CO285</f>
        <v>460.2</v>
      </c>
      <c r="AS328" s="687">
        <f>INPUT!CP285</f>
        <v>6.1102144339405084</v>
      </c>
      <c r="AT328" s="151">
        <f>INPUT!CQ285</f>
        <v>439.7</v>
      </c>
      <c r="AU328" s="687">
        <f>INPUT!CR285</f>
        <v>6.079613992762356</v>
      </c>
      <c r="AV328" s="151">
        <f>INPUT!CS285</f>
        <v>442</v>
      </c>
      <c r="AW328" s="687">
        <f>INPUT!CT285</f>
        <v>4.1961338991042041</v>
      </c>
      <c r="AX328" s="151">
        <f>INPUT!CU285</f>
        <v>463</v>
      </c>
      <c r="AY328" s="687">
        <f>INPUT!CV285</f>
        <v>6.0467246907924821</v>
      </c>
      <c r="AZ328" s="151">
        <f>INPUT!CW285</f>
        <v>495</v>
      </c>
      <c r="BA328" s="687">
        <f>INPUT!CX285</f>
        <v>7.5619295958279098</v>
      </c>
      <c r="BB328" s="151">
        <f>INPUT!CY285</f>
        <v>473</v>
      </c>
      <c r="BC328" s="687">
        <f>INPUT!CZ285</f>
        <v>7.5733454628155616</v>
      </c>
      <c r="BD328" s="151">
        <f>INPUT!DA285</f>
        <v>487</v>
      </c>
      <c r="BE328" s="687">
        <f>INPUT!DB285</f>
        <v>10.18099547511313</v>
      </c>
      <c r="BF328" s="151">
        <f>INPUT!DC285</f>
        <v>508</v>
      </c>
      <c r="BG328" s="687">
        <f>INPUT!DD285</f>
        <v>9.7192224622030245</v>
      </c>
      <c r="BH328" s="151">
        <f>INPUT!DE285</f>
        <v>531</v>
      </c>
      <c r="BI328" s="687">
        <f>INPUT!DF285</f>
        <v>7.2727272727272751</v>
      </c>
      <c r="BJ328" s="151">
        <f>INPUT!DG285</f>
        <v>516</v>
      </c>
      <c r="BK328" s="687">
        <f>INPUT!DH285</f>
        <v>9.0909090909090828</v>
      </c>
      <c r="BL328" s="151">
        <f>INPUT!DI285</f>
        <v>529</v>
      </c>
      <c r="BM328" s="687">
        <f>INPUT!DJ285</f>
        <v>8.6242299794661257</v>
      </c>
      <c r="BN328" s="151">
        <f>INPUT!DK285</f>
        <v>562</v>
      </c>
      <c r="BO328" s="687">
        <f>INPUT!DL285</f>
        <v>10.629921259842522</v>
      </c>
      <c r="BP328" s="151">
        <f>INPUT!DM285</f>
        <v>574</v>
      </c>
      <c r="BQ328" s="687">
        <f>INPUT!DN285</f>
        <v>8.0979284369114843</v>
      </c>
      <c r="BR328" s="151">
        <f>INPUT!DO285</f>
        <v>550</v>
      </c>
      <c r="BS328" s="687">
        <f>INPUT!DP285</f>
        <v>6.5891472868216949</v>
      </c>
      <c r="BT328" s="151">
        <f>INPUT!DQ285</f>
        <v>567</v>
      </c>
      <c r="BU328" s="687">
        <f>INPUT!DR285</f>
        <v>7.1833648393194727</v>
      </c>
      <c r="BV328" s="151">
        <f>INPUT!DS285</f>
        <v>561</v>
      </c>
      <c r="BW328" s="687">
        <f>INPUT!DT285</f>
        <v>-0.1779359430605032</v>
      </c>
      <c r="BX328" s="151">
        <f>INPUT!DU285</f>
        <v>567</v>
      </c>
      <c r="BY328" s="687">
        <f>INPUT!DV285</f>
        <v>-1.2195121951219523</v>
      </c>
      <c r="BZ328" s="151">
        <f>INPUT!DW285</f>
        <v>519</v>
      </c>
      <c r="CA328" s="687">
        <f>INPUT!DX285</f>
        <v>519</v>
      </c>
      <c r="CB328" s="151">
        <f>INPUT!DY285</f>
        <v>516</v>
      </c>
      <c r="CC328" s="687">
        <f>INPUT!DZ285</f>
        <v>-8.9947089947090006</v>
      </c>
      <c r="CD328" s="151">
        <f>INPUT!EA285</f>
        <v>489</v>
      </c>
      <c r="CE328" s="687">
        <f>INPUT!EB285</f>
        <v>-12.834224598930478</v>
      </c>
      <c r="CF328" s="151">
        <f>INPUT!EC285</f>
        <v>478</v>
      </c>
      <c r="CG328" s="687">
        <f>INPUT!ED285</f>
        <v>-15.696649029982368</v>
      </c>
      <c r="CH328" s="151">
        <f>INPUT!EE285</f>
        <v>485</v>
      </c>
      <c r="CI328" s="687">
        <f>INPUT!EF285</f>
        <v>-6.5510597302504863</v>
      </c>
      <c r="CJ328" s="151">
        <f>INPUT!EG285</f>
        <v>487</v>
      </c>
      <c r="CK328" s="687">
        <f>INPUT!EH285</f>
        <v>-5.6201550387596892</v>
      </c>
      <c r="CL328" s="151">
        <f>INPUT!EI285</f>
        <v>495</v>
      </c>
      <c r="CM328" s="687">
        <f>INPUT!EJ285</f>
        <v>1.2269938650306678</v>
      </c>
      <c r="CN328" s="151">
        <f>INPUT!EK285</f>
        <v>494</v>
      </c>
      <c r="CO328" s="687">
        <f>INPUT!EL285</f>
        <v>3.3472803347280422</v>
      </c>
      <c r="CP328" s="151">
        <f>INPUT!EM285</f>
        <v>500</v>
      </c>
      <c r="CQ328" s="687">
        <f>INPUT!EN285</f>
        <v>3.0927835051546282</v>
      </c>
      <c r="CR328" s="151">
        <f>INPUT!EO285</f>
        <v>509</v>
      </c>
      <c r="CS328" s="687">
        <f>INPUT!EP285</f>
        <v>4.5174537987679564</v>
      </c>
      <c r="CT328" s="151">
        <f>INPUT!EQ285</f>
        <v>516.63499999999999</v>
      </c>
      <c r="CU328" s="687">
        <f>INPUT!ER285</f>
        <v>4.3707070707070583</v>
      </c>
      <c r="CV328" s="151">
        <f>INPUT!ES285</f>
        <v>524.38452499999994</v>
      </c>
      <c r="CW328" s="687">
        <f>INPUT!ET285</f>
        <v>6.1507135627530296</v>
      </c>
      <c r="CX328" s="151">
        <f>INPUT!EU285</f>
        <v>932.2502928749999</v>
      </c>
      <c r="CY328" s="687">
        <f>INPUT!EV285</f>
        <v>86.450058574999986</v>
      </c>
      <c r="CZ328" s="151">
        <f>INPUT!EW285</f>
        <v>946.23404726812475</v>
      </c>
      <c r="DA328" s="687">
        <f>INPUT!EX285</f>
        <v>85.900598677431191</v>
      </c>
      <c r="DB328" s="16"/>
      <c r="DC328" s="151"/>
      <c r="DD328" s="687"/>
      <c r="DE328" s="151">
        <f>INPUT!FR285</f>
        <v>948.9</v>
      </c>
      <c r="DF328" s="687">
        <f>INPUT!FS285</f>
        <v>-19.719317956848613</v>
      </c>
      <c r="DG328" s="151">
        <f>INPUT!FT285</f>
        <v>1379</v>
      </c>
      <c r="DH328" s="687">
        <f>INPUT!FU285</f>
        <v>45.326167140899983</v>
      </c>
      <c r="DI328" s="151">
        <f>INPUT!FV285</f>
        <v>1516.9</v>
      </c>
      <c r="DJ328" s="687">
        <f>INPUT!FW285</f>
        <v>10.000000000000009</v>
      </c>
      <c r="DK328" s="151">
        <f>INPUT!FX285</f>
        <v>1579</v>
      </c>
      <c r="DL328" s="687">
        <f>INPUT!FY285</f>
        <v>4.0938756674797183</v>
      </c>
      <c r="DM328" s="151">
        <f>INPUT!FZ285</f>
        <v>1682.3</v>
      </c>
      <c r="DN328" s="687">
        <f>INPUT!GA285</f>
        <v>6.5421152628245771</v>
      </c>
      <c r="DO328" s="151">
        <f>INPUT!GB285</f>
        <v>1778.5</v>
      </c>
      <c r="DP328" s="687">
        <f>INPUT!GC285</f>
        <v>5.7183617666290321</v>
      </c>
      <c r="DQ328" s="151">
        <f>INPUT!GD285</f>
        <v>1918</v>
      </c>
      <c r="DR328" s="687">
        <f>INPUT!GE285</f>
        <v>7.8436885015462421</v>
      </c>
      <c r="DS328" s="151">
        <f>INPUT!GF285</f>
        <v>2084</v>
      </c>
      <c r="DT328" s="687">
        <f>INPUT!GG285</f>
        <v>8.6548488008342019</v>
      </c>
      <c r="DU328" s="151">
        <f>INPUT!GH285</f>
        <v>2253</v>
      </c>
      <c r="DV328" s="687">
        <f>INPUT!GI285</f>
        <v>8.1094049904030676</v>
      </c>
      <c r="DW328" s="151">
        <f>INPUT!GJ285</f>
        <v>2163</v>
      </c>
      <c r="DX328" s="687">
        <f>INPUT!GK285</f>
        <v>-3.9946737683089206</v>
      </c>
      <c r="DY328" s="151">
        <f>INPUT!GL285</f>
        <v>1939</v>
      </c>
      <c r="DZ328" s="687">
        <f>INPUT!GM285</f>
        <v>-10.355987055016181</v>
      </c>
      <c r="EA328" s="151">
        <f>INPUT!GN285</f>
        <v>1998</v>
      </c>
      <c r="EB328" s="687">
        <f>INPUT!GO285</f>
        <v>3.0428055698813905</v>
      </c>
      <c r="EC328" s="151">
        <f>INPUT!GP285</f>
        <v>2919.5038651431246</v>
      </c>
      <c r="ED328" s="687">
        <f>INPUT!GQ285</f>
        <v>46.121314571727964</v>
      </c>
      <c r="EE328" s="151">
        <f>INPUT!GR285</f>
        <v>3784.936189072499</v>
      </c>
      <c r="EF328" s="687">
        <f>INPUT!GS285</f>
        <v>29.643129925671396</v>
      </c>
      <c r="EG328" s="151">
        <f>INPUT!GT285</f>
        <v>3784.936189072499</v>
      </c>
      <c r="EH328" s="687">
        <f>INPUT!GU285</f>
        <v>0</v>
      </c>
      <c r="EI328" s="151">
        <f>INPUT!GV285</f>
        <v>3803.8608700178611</v>
      </c>
      <c r="EJ328" s="687">
        <f>INPUT!GW285</f>
        <v>0.49999999999998934</v>
      </c>
      <c r="EK328" s="151">
        <f>INPUT!GX285</f>
        <v>3822.8801743679501</v>
      </c>
      <c r="EL328" s="687">
        <f>INPUT!GY285</f>
        <v>0.49999999999998934</v>
      </c>
      <c r="EM328" s="687">
        <f>INPUT!GZ285</f>
        <v>13.856817497417428</v>
      </c>
    </row>
    <row r="329" spans="1:152" ht="12.75" hidden="1" customHeight="1" outlineLevel="1" x14ac:dyDescent="0.2">
      <c r="A329" s="701" t="str">
        <f>INPUT!B286</f>
        <v>Investment Income</v>
      </c>
      <c r="B329" s="151"/>
      <c r="C329" s="687"/>
      <c r="D329" s="151">
        <f>INPUT!BA286</f>
        <v>25.1</v>
      </c>
      <c r="E329" s="687">
        <f>INPUT!BB286</f>
        <v>5.3603660328254144</v>
      </c>
      <c r="F329" s="151">
        <f>INPUT!BC286</f>
        <v>27.1</v>
      </c>
      <c r="G329" s="687">
        <f>INPUT!BD286</f>
        <v>11.394278197961217</v>
      </c>
      <c r="H329" s="151">
        <f>INPUT!BE286</f>
        <v>28</v>
      </c>
      <c r="I329" s="687">
        <f>INPUT!BF286</f>
        <v>12.753191318004276</v>
      </c>
      <c r="J329" s="151">
        <f>INPUT!BG286</f>
        <v>27.9</v>
      </c>
      <c r="K329" s="687" t="str">
        <f>INPUT!BH286</f>
        <v>NA</v>
      </c>
      <c r="L329" s="151">
        <f>INPUT!BI286</f>
        <v>28.5</v>
      </c>
      <c r="M329" s="687">
        <f>INPUT!BJ286</f>
        <v>13.545816733067717</v>
      </c>
      <c r="N329" s="151">
        <f>INPUT!BK286</f>
        <v>29.5</v>
      </c>
      <c r="O329" s="687">
        <f>INPUT!BL286</f>
        <v>8.856088560885599</v>
      </c>
      <c r="P329" s="151">
        <f>INPUT!BM286</f>
        <v>29.5</v>
      </c>
      <c r="Q329" s="687">
        <f>INPUT!BN286</f>
        <v>5.3571428571428603</v>
      </c>
      <c r="R329" s="151">
        <f>INPUT!BO286</f>
        <v>27.7</v>
      </c>
      <c r="S329" s="687">
        <f>INPUT!BP286</f>
        <v>-0.71684587813619638</v>
      </c>
      <c r="T329" s="151">
        <f>INPUT!BQ286</f>
        <v>30.5</v>
      </c>
      <c r="U329" s="687">
        <f>INPUT!BR286</f>
        <v>7.0175438596491224</v>
      </c>
      <c r="V329" s="151">
        <f>INPUT!BS286</f>
        <v>30.8</v>
      </c>
      <c r="W329" s="687">
        <f>INPUT!BT286</f>
        <v>4.4067796610169463</v>
      </c>
      <c r="X329" s="151">
        <f>INPUT!BU286</f>
        <v>28.3</v>
      </c>
      <c r="Y329" s="687">
        <f>INPUT!BV286</f>
        <v>-4.067796610169494</v>
      </c>
      <c r="Z329" s="151">
        <f>INPUT!BW286</f>
        <v>30.1</v>
      </c>
      <c r="AA329" s="687">
        <f>INPUT!BX286</f>
        <v>8.6642599277978469</v>
      </c>
      <c r="AB329" s="151">
        <f>INPUT!BY286</f>
        <v>28.1</v>
      </c>
      <c r="AC329" s="687">
        <f>INPUT!BZ286</f>
        <v>-7.8688524590163844</v>
      </c>
      <c r="AD329" s="151">
        <f>INPUT!CA286</f>
        <v>33.5</v>
      </c>
      <c r="AE329" s="687">
        <f>INPUT!CB286</f>
        <v>8.7662337662337553</v>
      </c>
      <c r="AF329" s="151">
        <f>INPUT!CC286</f>
        <v>35.700000000000003</v>
      </c>
      <c r="AG329" s="687">
        <f>INPUT!CD286</f>
        <v>26.148409893992941</v>
      </c>
      <c r="AH329" s="151">
        <f>INPUT!CE286</f>
        <v>33.6</v>
      </c>
      <c r="AI329" s="687">
        <f>INPUT!CF286</f>
        <v>11.627906976744185</v>
      </c>
      <c r="AJ329" s="151">
        <f>INPUT!CG286</f>
        <v>34.299999999999997</v>
      </c>
      <c r="AK329" s="687">
        <f>INPUT!CH286</f>
        <v>22.064056939501754</v>
      </c>
      <c r="AL329" s="151">
        <f>INPUT!CI286</f>
        <v>35</v>
      </c>
      <c r="AM329" s="687">
        <f>INPUT!CJ286</f>
        <v>4.4776119402984982</v>
      </c>
      <c r="AN329" s="151">
        <f>INPUT!CK286</f>
        <v>38.1</v>
      </c>
      <c r="AO329" s="687">
        <f>INPUT!CL286</f>
        <v>6.7226890756302504</v>
      </c>
      <c r="AP329" s="151">
        <f>INPUT!CM286</f>
        <v>39.1</v>
      </c>
      <c r="AQ329" s="687">
        <f>INPUT!CN286</f>
        <v>16.369047619047628</v>
      </c>
      <c r="AR329" s="151">
        <f>INPUT!CO286</f>
        <v>38.5</v>
      </c>
      <c r="AS329" s="687">
        <f>INPUT!CP286</f>
        <v>12.244897959183687</v>
      </c>
      <c r="AT329" s="151">
        <f>INPUT!CQ286</f>
        <v>37.799999999999997</v>
      </c>
      <c r="AU329" s="687">
        <f>INPUT!CR286</f>
        <v>7.9999999999999849</v>
      </c>
      <c r="AV329" s="151">
        <f>INPUT!CS286</f>
        <v>37</v>
      </c>
      <c r="AW329" s="687">
        <f>INPUT!CT286</f>
        <v>-2.8871391076115471</v>
      </c>
      <c r="AX329" s="151">
        <f>INPUT!CU286</f>
        <v>38</v>
      </c>
      <c r="AY329" s="687">
        <f>INPUT!CV286</f>
        <v>-2.8132992327365769</v>
      </c>
      <c r="AZ329" s="151">
        <f>INPUT!CW286</f>
        <v>42</v>
      </c>
      <c r="BA329" s="687">
        <f>INPUT!CX286</f>
        <v>9.0909090909090828</v>
      </c>
      <c r="BB329" s="151">
        <f>INPUT!CY286</f>
        <v>41</v>
      </c>
      <c r="BC329" s="687">
        <f>INPUT!CZ286</f>
        <v>8.4656084656084651</v>
      </c>
      <c r="BD329" s="151">
        <f>INPUT!DA286</f>
        <v>41</v>
      </c>
      <c r="BE329" s="687">
        <f>INPUT!DB286</f>
        <v>10.810810810810811</v>
      </c>
      <c r="BF329" s="151">
        <f>INPUT!DC286</f>
        <v>39</v>
      </c>
      <c r="BG329" s="687">
        <f>INPUT!DD286</f>
        <v>2.6315789473684292</v>
      </c>
      <c r="BH329" s="151">
        <f>INPUT!DE286</f>
        <v>42</v>
      </c>
      <c r="BI329" s="687">
        <f>INPUT!DF286</f>
        <v>0</v>
      </c>
      <c r="BJ329" s="151">
        <f>INPUT!DG286</f>
        <v>41</v>
      </c>
      <c r="BK329" s="687">
        <f>INPUT!DH286</f>
        <v>0</v>
      </c>
      <c r="BL329" s="151">
        <f>INPUT!DI286</f>
        <v>43</v>
      </c>
      <c r="BM329" s="687">
        <f>INPUT!DJ286</f>
        <v>4.8780487804878092</v>
      </c>
      <c r="BN329" s="151">
        <f>INPUT!DK286</f>
        <v>45</v>
      </c>
      <c r="BO329" s="687">
        <f>INPUT!DL286</f>
        <v>15.384615384615374</v>
      </c>
      <c r="BP329" s="151">
        <f>INPUT!DM286</f>
        <v>44</v>
      </c>
      <c r="BQ329" s="687">
        <f>INPUT!DN286</f>
        <v>4.7619047619047672</v>
      </c>
      <c r="BR329" s="151">
        <f>INPUT!DO286</f>
        <v>45</v>
      </c>
      <c r="BS329" s="687">
        <f>INPUT!DP286</f>
        <v>9.7560975609756184</v>
      </c>
      <c r="BT329" s="151">
        <f>INPUT!DQ286</f>
        <v>46</v>
      </c>
      <c r="BU329" s="687">
        <f>INPUT!DR286</f>
        <v>6.9767441860465018</v>
      </c>
      <c r="BV329" s="151">
        <f>INPUT!DS286</f>
        <v>43</v>
      </c>
      <c r="BW329" s="687">
        <f>INPUT!DT286</f>
        <v>-4.4444444444444393</v>
      </c>
      <c r="BX329" s="151">
        <f>INPUT!DU286</f>
        <v>47</v>
      </c>
      <c r="BY329" s="687">
        <f>INPUT!DV286</f>
        <v>6.8181818181818121</v>
      </c>
      <c r="BZ329" s="151">
        <f>INPUT!DW286</f>
        <v>48</v>
      </c>
      <c r="CA329" s="687">
        <f>INPUT!DX286</f>
        <v>48</v>
      </c>
      <c r="CB329" s="151">
        <f>INPUT!DY286</f>
        <v>45</v>
      </c>
      <c r="CC329" s="687">
        <f>INPUT!DZ286</f>
        <v>-2.1739130434782594</v>
      </c>
      <c r="CD329" s="151">
        <f>INPUT!EA286</f>
        <v>42</v>
      </c>
      <c r="CE329" s="687">
        <f>INPUT!EB286</f>
        <v>-2.3255813953488413</v>
      </c>
      <c r="CF329" s="151">
        <f>INPUT!EC286</f>
        <v>43</v>
      </c>
      <c r="CG329" s="687">
        <f>INPUT!ED286</f>
        <v>-8.5106382978723421</v>
      </c>
      <c r="CH329" s="151">
        <f>INPUT!EE286</f>
        <v>45</v>
      </c>
      <c r="CI329" s="687">
        <f>INPUT!EF286</f>
        <v>-6.25</v>
      </c>
      <c r="CJ329" s="151">
        <f>INPUT!EG286</f>
        <v>47</v>
      </c>
      <c r="CK329" s="687">
        <f>INPUT!EH286</f>
        <v>4.4444444444444509</v>
      </c>
      <c r="CL329" s="151">
        <f>INPUT!EI286</f>
        <v>43</v>
      </c>
      <c r="CM329" s="687">
        <f>INPUT!EJ286</f>
        <v>2.3809523809523725</v>
      </c>
      <c r="CN329" s="151">
        <f>INPUT!EK286</f>
        <v>43</v>
      </c>
      <c r="CO329" s="687">
        <f>INPUT!EL286</f>
        <v>0</v>
      </c>
      <c r="CP329" s="151">
        <f>INPUT!EM286</f>
        <v>41</v>
      </c>
      <c r="CQ329" s="687">
        <f>INPUT!EN286</f>
        <v>-8.8888888888888911</v>
      </c>
      <c r="CR329" s="151">
        <f>INPUT!EO286</f>
        <v>41</v>
      </c>
      <c r="CS329" s="687">
        <f>INPUT!EP286</f>
        <v>-12.765957446808507</v>
      </c>
      <c r="CT329" s="151">
        <f>INPUT!EQ286</f>
        <v>41.410000000000004</v>
      </c>
      <c r="CU329" s="687">
        <f>INPUT!ER286</f>
        <v>-3.6976744186046462</v>
      </c>
      <c r="CV329" s="151">
        <f>INPUT!ES286</f>
        <v>41.824100000000001</v>
      </c>
      <c r="CW329" s="687">
        <f>INPUT!ET286</f>
        <v>-2.7346511627906911</v>
      </c>
      <c r="CX329" s="151">
        <f>INPUT!EU286</f>
        <v>60.242341000000003</v>
      </c>
      <c r="CY329" s="687">
        <f>INPUT!EV286</f>
        <v>46.932539024390252</v>
      </c>
      <c r="CZ329" s="151">
        <f>INPUT!EW286</f>
        <v>60.844764410000003</v>
      </c>
      <c r="DA329" s="687">
        <f>INPUT!EX286</f>
        <v>48.401864414634147</v>
      </c>
      <c r="DB329" s="16"/>
      <c r="DC329" s="151"/>
      <c r="DD329" s="687"/>
      <c r="DE329" s="151">
        <f>INPUT!FR286</f>
        <v>80.2</v>
      </c>
      <c r="DF329" s="687">
        <f>INPUT!FS286</f>
        <v>-17.177850754900138</v>
      </c>
      <c r="DG329" s="151">
        <f>INPUT!FT286</f>
        <v>115.4</v>
      </c>
      <c r="DH329" s="687">
        <f>INPUT!FU286</f>
        <v>43.890274314214459</v>
      </c>
      <c r="DI329" s="151">
        <f>INPUT!FV286</f>
        <v>117.3</v>
      </c>
      <c r="DJ329" s="687">
        <f>INPUT!FW286</f>
        <v>1.6464471403812686</v>
      </c>
      <c r="DK329" s="151">
        <f>INPUT!FX286</f>
        <v>127.4</v>
      </c>
      <c r="DL329" s="687">
        <f>INPUT!FY286</f>
        <v>8.6104006820119317</v>
      </c>
      <c r="DM329" s="151">
        <f>INPUT!FZ286</f>
        <v>141</v>
      </c>
      <c r="DN329" s="687">
        <f>INPUT!GA286</f>
        <v>10.675039246467822</v>
      </c>
      <c r="DO329" s="151">
        <f>INPUT!GB286</f>
        <v>152.39999999999998</v>
      </c>
      <c r="DP329" s="687">
        <f>INPUT!GC286</f>
        <v>8.0851063829787009</v>
      </c>
      <c r="DQ329" s="151">
        <f>INPUT!GD286</f>
        <v>162</v>
      </c>
      <c r="DR329" s="687">
        <f>INPUT!GE286</f>
        <v>6.2992125984252079</v>
      </c>
      <c r="DS329" s="151">
        <f>INPUT!GF286</f>
        <v>165</v>
      </c>
      <c r="DT329" s="687">
        <f>INPUT!GG286</f>
        <v>1.8518518518518601</v>
      </c>
      <c r="DU329" s="151">
        <f>INPUT!GH286</f>
        <v>180</v>
      </c>
      <c r="DV329" s="687">
        <f>INPUT!GI286</f>
        <v>9.0909090909090828</v>
      </c>
      <c r="DW329" s="151">
        <f>INPUT!GJ286</f>
        <v>183</v>
      </c>
      <c r="DX329" s="687">
        <f>INPUT!GK286</f>
        <v>1.6666666666666607</v>
      </c>
      <c r="DY329" s="151">
        <f>INPUT!GL286</f>
        <v>177</v>
      </c>
      <c r="DZ329" s="687">
        <f>INPUT!GM286</f>
        <v>-3.2786885245901676</v>
      </c>
      <c r="EA329" s="151">
        <f>INPUT!GN286</f>
        <v>168</v>
      </c>
      <c r="EB329" s="687">
        <f>INPUT!GO286</f>
        <v>-5.0847457627118615</v>
      </c>
      <c r="EC329" s="151">
        <f>INPUT!GP286</f>
        <v>204.32120541000003</v>
      </c>
      <c r="ED329" s="687">
        <f>INPUT!GQ286</f>
        <v>21.619765125000011</v>
      </c>
      <c r="EE329" s="151">
        <f>INPUT!GR286</f>
        <v>248.24663879280001</v>
      </c>
      <c r="EF329" s="687">
        <f>INPUT!GS286</f>
        <v>21.498225450783369</v>
      </c>
      <c r="EG329" s="151">
        <f>INPUT!GT286</f>
        <v>253.21157156865601</v>
      </c>
      <c r="EH329" s="687">
        <f>INPUT!GU286</f>
        <v>2.0000000000000018</v>
      </c>
      <c r="EI329" s="151">
        <f>INPUT!GV286</f>
        <v>258.27580300002916</v>
      </c>
      <c r="EJ329" s="687">
        <f>INPUT!GW286</f>
        <v>2.0000000000000018</v>
      </c>
      <c r="EK329" s="151">
        <f>INPUT!GX286</f>
        <v>263.44131906002974</v>
      </c>
      <c r="EL329" s="687">
        <f>INPUT!GY286</f>
        <v>2.0000000000000018</v>
      </c>
      <c r="EM329" s="687">
        <f>INPUT!GZ286</f>
        <v>9.4145105904626991</v>
      </c>
    </row>
    <row r="330" spans="1:152" ht="12.75" hidden="1" customHeight="1" outlineLevel="1" x14ac:dyDescent="0.2">
      <c r="A330" s="701" t="str">
        <f>INPUT!B287</f>
        <v>Other Revenues</v>
      </c>
      <c r="B330" s="151"/>
      <c r="C330" s="687"/>
      <c r="D330" s="151">
        <f>INPUT!BA287</f>
        <v>0.8</v>
      </c>
      <c r="E330" s="687" t="str">
        <f>INPUT!BB287</f>
        <v>NA</v>
      </c>
      <c r="F330" s="151">
        <f>INPUT!BC287</f>
        <v>1</v>
      </c>
      <c r="G330" s="687" t="str">
        <f>INPUT!BD287</f>
        <v>NA</v>
      </c>
      <c r="H330" s="151">
        <f>INPUT!BE287</f>
        <v>0.8</v>
      </c>
      <c r="I330" s="687" t="str">
        <f>INPUT!BF287</f>
        <v>NA</v>
      </c>
      <c r="J330" s="151">
        <f>INPUT!BG287</f>
        <v>1.1000000000000001</v>
      </c>
      <c r="K330" s="687" t="str">
        <f>INPUT!BH287</f>
        <v>NA</v>
      </c>
      <c r="L330" s="151">
        <f>INPUT!BI287</f>
        <v>1.2</v>
      </c>
      <c r="M330" s="687">
        <f>INPUT!BJ287</f>
        <v>49.999999999999979</v>
      </c>
      <c r="N330" s="151">
        <f>INPUT!BK287</f>
        <v>1.3</v>
      </c>
      <c r="O330" s="687">
        <f>INPUT!BL287</f>
        <v>30.000000000000004</v>
      </c>
      <c r="P330" s="151">
        <f>INPUT!BM287</f>
        <v>1.4</v>
      </c>
      <c r="Q330" s="687">
        <f>INPUT!BN287</f>
        <v>74.999999999999972</v>
      </c>
      <c r="R330" s="151">
        <f>INPUT!BO287</f>
        <v>1.2</v>
      </c>
      <c r="S330" s="687">
        <f>INPUT!BP287</f>
        <v>9.0909090909090828</v>
      </c>
      <c r="T330" s="151">
        <f>INPUT!BQ287</f>
        <v>1.4</v>
      </c>
      <c r="U330" s="687">
        <f>INPUT!BR287</f>
        <v>16.666666666666675</v>
      </c>
      <c r="V330" s="151">
        <f>INPUT!BS287</f>
        <v>1.4</v>
      </c>
      <c r="W330" s="687">
        <f>INPUT!BT287</f>
        <v>7.6923076923076872</v>
      </c>
      <c r="X330" s="151">
        <f>INPUT!BU287</f>
        <v>1.3</v>
      </c>
      <c r="Y330" s="687">
        <f>INPUT!BV287</f>
        <v>-7.1428571428571281</v>
      </c>
      <c r="Z330" s="151">
        <f>INPUT!BW287</f>
        <v>1.5</v>
      </c>
      <c r="AA330" s="687">
        <f>INPUT!BX287</f>
        <v>25</v>
      </c>
      <c r="AB330" s="151">
        <f>INPUT!BY287</f>
        <v>1.5</v>
      </c>
      <c r="AC330" s="687">
        <f>INPUT!BZ287</f>
        <v>7.1428571428571397</v>
      </c>
      <c r="AD330" s="151">
        <f>INPUT!CA287</f>
        <v>1.61</v>
      </c>
      <c r="AE330" s="687">
        <f>INPUT!CB287</f>
        <v>15.000000000000014</v>
      </c>
      <c r="AF330" s="151">
        <f>INPUT!CC287</f>
        <v>1.5</v>
      </c>
      <c r="AG330" s="687">
        <f>INPUT!CD287</f>
        <v>15.384615384615374</v>
      </c>
      <c r="AH330" s="151">
        <f>INPUT!CE287</f>
        <v>1.7</v>
      </c>
      <c r="AI330" s="687">
        <f>INPUT!CF287</f>
        <v>13.33333333333333</v>
      </c>
      <c r="AJ330" s="151">
        <f>INPUT!CG287</f>
        <v>2.1</v>
      </c>
      <c r="AK330" s="687">
        <f>INPUT!CH287</f>
        <v>40.000000000000014</v>
      </c>
      <c r="AL330" s="151">
        <f>INPUT!CI287</f>
        <v>2</v>
      </c>
      <c r="AM330" s="687">
        <f>INPUT!CJ287</f>
        <v>24.223602484472039</v>
      </c>
      <c r="AN330" s="151">
        <f>INPUT!CK287</f>
        <v>2</v>
      </c>
      <c r="AO330" s="687">
        <f>INPUT!CL287</f>
        <v>33.333333333333329</v>
      </c>
      <c r="AP330" s="151">
        <f>INPUT!CM287</f>
        <v>2.2000000000000002</v>
      </c>
      <c r="AQ330" s="687">
        <f>INPUT!CN287</f>
        <v>29.411764705882359</v>
      </c>
      <c r="AR330" s="151">
        <f>INPUT!CO287</f>
        <v>1.9</v>
      </c>
      <c r="AS330" s="687">
        <f>INPUT!CP287</f>
        <v>-9.5238095238095344</v>
      </c>
      <c r="AT330" s="151">
        <f>INPUT!CQ287</f>
        <v>1.9</v>
      </c>
      <c r="AU330" s="687">
        <f>INPUT!CR287</f>
        <v>-5.0000000000000044</v>
      </c>
      <c r="AV330" s="151">
        <f>INPUT!CS287</f>
        <v>2</v>
      </c>
      <c r="AW330" s="687">
        <f>INPUT!CT287</f>
        <v>0</v>
      </c>
      <c r="AX330" s="151">
        <f>INPUT!CU287</f>
        <v>3</v>
      </c>
      <c r="AY330" s="687">
        <f>INPUT!CV287</f>
        <v>36.363636363636353</v>
      </c>
      <c r="AZ330" s="151">
        <f>INPUT!CW287</f>
        <v>3</v>
      </c>
      <c r="BA330" s="687">
        <f>INPUT!CX287</f>
        <v>57.894736842105267</v>
      </c>
      <c r="BB330" s="151">
        <f>INPUT!CY287</f>
        <v>3</v>
      </c>
      <c r="BC330" s="687">
        <f>INPUT!CZ287</f>
        <v>57.894736842105267</v>
      </c>
      <c r="BD330" s="151">
        <f>INPUT!DA287</f>
        <v>3</v>
      </c>
      <c r="BE330" s="687">
        <f>INPUT!DB287</f>
        <v>50</v>
      </c>
      <c r="BF330" s="151">
        <f>INPUT!DC287</f>
        <v>3</v>
      </c>
      <c r="BG330" s="687">
        <f>INPUT!DD287</f>
        <v>0</v>
      </c>
      <c r="BH330" s="151">
        <f>INPUT!DE287</f>
        <v>2</v>
      </c>
      <c r="BI330" s="687">
        <f>INPUT!DF287</f>
        <v>-33.333333333333336</v>
      </c>
      <c r="BJ330" s="151">
        <f>INPUT!DG287</f>
        <v>4</v>
      </c>
      <c r="BK330" s="687">
        <f>INPUT!DH287</f>
        <v>33.333333333333329</v>
      </c>
      <c r="BL330" s="151">
        <f>INPUT!DI287</f>
        <v>3</v>
      </c>
      <c r="BM330" s="687">
        <f>INPUT!DJ287</f>
        <v>0</v>
      </c>
      <c r="BN330" s="151">
        <f>INPUT!DK287</f>
        <v>3</v>
      </c>
      <c r="BO330" s="687">
        <f>INPUT!DL287</f>
        <v>0</v>
      </c>
      <c r="BP330" s="151">
        <f>INPUT!DM287</f>
        <v>3</v>
      </c>
      <c r="BQ330" s="687">
        <f>INPUT!DN287</f>
        <v>50</v>
      </c>
      <c r="BR330" s="151">
        <f>INPUT!DO287</f>
        <v>3</v>
      </c>
      <c r="BS330" s="687">
        <f>INPUT!DP287</f>
        <v>-25</v>
      </c>
      <c r="BT330" s="151">
        <f>INPUT!DQ287</f>
        <v>3</v>
      </c>
      <c r="BU330" s="687">
        <f>INPUT!DR287</f>
        <v>0</v>
      </c>
      <c r="BV330" s="151">
        <f>INPUT!DS287</f>
        <v>1</v>
      </c>
      <c r="BW330" s="687" t="str">
        <f>INPUT!DT287</f>
        <v>NM</v>
      </c>
      <c r="BX330" s="151">
        <f>INPUT!DU287</f>
        <v>3</v>
      </c>
      <c r="BY330" s="687">
        <f>INPUT!DV287</f>
        <v>0</v>
      </c>
      <c r="BZ330" s="151">
        <f>INPUT!DW287</f>
        <v>3</v>
      </c>
      <c r="CA330" s="687">
        <f>INPUT!DX287</f>
        <v>3</v>
      </c>
      <c r="CB330" s="151">
        <f>INPUT!DY287</f>
        <v>4</v>
      </c>
      <c r="CC330" s="687">
        <f>INPUT!DZ287</f>
        <v>33.333333333333329</v>
      </c>
      <c r="CD330" s="151">
        <f>INPUT!EA287</f>
        <v>3</v>
      </c>
      <c r="CE330" s="687" t="str">
        <f>INPUT!EB287</f>
        <v>NM</v>
      </c>
      <c r="CF330" s="151">
        <f>INPUT!EC287</f>
        <v>4</v>
      </c>
      <c r="CG330" s="687">
        <f>INPUT!ED287</f>
        <v>33.333333333333329</v>
      </c>
      <c r="CH330" s="151">
        <f>INPUT!EE287</f>
        <v>4</v>
      </c>
      <c r="CI330" s="687">
        <f>INPUT!EF287</f>
        <v>33.333333333333329</v>
      </c>
      <c r="CJ330" s="151">
        <f>INPUT!EG287</f>
        <v>3</v>
      </c>
      <c r="CK330" s="687">
        <f>INPUT!EH287</f>
        <v>-25</v>
      </c>
      <c r="CL330" s="151">
        <f>INPUT!EI287</f>
        <v>3</v>
      </c>
      <c r="CM330" s="687">
        <f>INPUT!EJ287</f>
        <v>0</v>
      </c>
      <c r="CN330" s="151">
        <f>INPUT!EK287</f>
        <v>4</v>
      </c>
      <c r="CO330" s="687">
        <f>INPUT!EL287</f>
        <v>0</v>
      </c>
      <c r="CP330" s="151">
        <f>INPUT!EM287</f>
        <v>23</v>
      </c>
      <c r="CQ330" s="687" t="str">
        <f>INPUT!EN287</f>
        <v>NM</v>
      </c>
      <c r="CR330" s="151">
        <f>INPUT!EO287</f>
        <v>4</v>
      </c>
      <c r="CS330" s="687">
        <f>INPUT!EP287</f>
        <v>33.333333333333329</v>
      </c>
      <c r="CT330" s="151">
        <f>INPUT!EQ287</f>
        <v>3.96</v>
      </c>
      <c r="CU330" s="687">
        <f>INPUT!ER287</f>
        <v>32.000000000000007</v>
      </c>
      <c r="CV330" s="151">
        <f>INPUT!ES287</f>
        <v>3.9203999999999999</v>
      </c>
      <c r="CW330" s="687">
        <f>INPUT!ET287</f>
        <v>-1.9900000000000029</v>
      </c>
      <c r="CX330" s="151">
        <f>INPUT!EU287</f>
        <v>10.881195999999999</v>
      </c>
      <c r="CY330" s="687" t="str">
        <f>INPUT!EV287</f>
        <v>NM</v>
      </c>
      <c r="CZ330" s="151">
        <f>INPUT!EW287</f>
        <v>10.772384039999999</v>
      </c>
      <c r="DA330" s="687" t="str">
        <f>INPUT!EX287</f>
        <v>NM</v>
      </c>
      <c r="DB330" s="16"/>
      <c r="DC330" s="151"/>
      <c r="DD330" s="687"/>
      <c r="DE330" s="151">
        <f>INPUT!FR287</f>
        <v>2.6</v>
      </c>
      <c r="DF330" s="687" t="str">
        <f>INPUT!FS287</f>
        <v>NA</v>
      </c>
      <c r="DG330" s="151">
        <f>INPUT!FT287</f>
        <v>5</v>
      </c>
      <c r="DH330" s="687">
        <f>INPUT!FU287</f>
        <v>92.307692307692292</v>
      </c>
      <c r="DI330" s="151">
        <f>INPUT!FV287</f>
        <v>5.3</v>
      </c>
      <c r="DJ330" s="687">
        <f>INPUT!FW287</f>
        <v>6.0000000000000053</v>
      </c>
      <c r="DK330" s="151">
        <f>INPUT!FX287</f>
        <v>6.11</v>
      </c>
      <c r="DL330" s="687">
        <f>INPUT!FY287</f>
        <v>15.283018867924536</v>
      </c>
      <c r="DM330" s="151">
        <f>INPUT!FZ287</f>
        <v>7.8</v>
      </c>
      <c r="DN330" s="687">
        <f>INPUT!GA287</f>
        <v>27.65957446808509</v>
      </c>
      <c r="DO330" s="151">
        <f>INPUT!GB287</f>
        <v>8</v>
      </c>
      <c r="DP330" s="687">
        <f>INPUT!GC287</f>
        <v>2.5641025641025772</v>
      </c>
      <c r="DQ330" s="151">
        <f>INPUT!GD287</f>
        <v>12</v>
      </c>
      <c r="DR330" s="687">
        <f>INPUT!GE287</f>
        <v>50</v>
      </c>
      <c r="DS330" s="151">
        <f>INPUT!GF287</f>
        <v>12</v>
      </c>
      <c r="DT330" s="687">
        <f>INPUT!GG287</f>
        <v>0</v>
      </c>
      <c r="DU330" s="151">
        <f>INPUT!GH287</f>
        <v>12</v>
      </c>
      <c r="DV330" s="687">
        <f>INPUT!GI287</f>
        <v>0</v>
      </c>
      <c r="DW330" s="151">
        <f>INPUT!GJ287</f>
        <v>11</v>
      </c>
      <c r="DX330" s="687">
        <f>INPUT!GK287</f>
        <v>-8.3333333333333375</v>
      </c>
      <c r="DY330" s="151">
        <f>INPUT!GL287</f>
        <v>14</v>
      </c>
      <c r="DZ330" s="687">
        <f>INPUT!GM287</f>
        <v>27.27272727272727</v>
      </c>
      <c r="EA330" s="151">
        <f>INPUT!GN287</f>
        <v>34</v>
      </c>
      <c r="EB330" s="687" t="str">
        <f>INPUT!GO287</f>
        <v>NM</v>
      </c>
      <c r="EC330" s="151">
        <f>INPUT!GP287</f>
        <v>29.533980039999996</v>
      </c>
      <c r="ED330" s="687">
        <f>INPUT!GQ287</f>
        <v>-13.135352823529423</v>
      </c>
      <c r="EE330" s="151">
        <f>INPUT!GR287</f>
        <v>43.951326883199997</v>
      </c>
      <c r="EF330" s="687">
        <f>INPUT!GS287</f>
        <v>48.816132548588278</v>
      </c>
      <c r="EG330" s="151">
        <f>INPUT!GT287</f>
        <v>44.830353420864</v>
      </c>
      <c r="EH330" s="687">
        <f>INPUT!GU287</f>
        <v>2.0000000000000018</v>
      </c>
      <c r="EI330" s="151">
        <f>INPUT!GV287</f>
        <v>45.726960489281282</v>
      </c>
      <c r="EJ330" s="687">
        <f>INPUT!GW287</f>
        <v>2.0000000000000018</v>
      </c>
      <c r="EK330" s="151">
        <f>INPUT!GX287</f>
        <v>46.641499699066905</v>
      </c>
      <c r="EL330" s="687">
        <f>INPUT!GY287</f>
        <v>2.0000000000000018</v>
      </c>
      <c r="EM330" s="687">
        <f>INPUT!GZ287</f>
        <v>6.5267599077230676</v>
      </c>
    </row>
    <row r="331" spans="1:152" ht="12.75" hidden="1" customHeight="1" outlineLevel="1" x14ac:dyDescent="0.2">
      <c r="A331" s="700" t="str">
        <f>INPUT!B288</f>
        <v xml:space="preserve"> Total Revenues</v>
      </c>
      <c r="B331" s="520"/>
      <c r="C331" s="687"/>
      <c r="D331" s="520">
        <f>INPUT!BA288</f>
        <v>354.8</v>
      </c>
      <c r="E331" s="687">
        <f>INPUT!BB288</f>
        <v>6.174457681338974</v>
      </c>
      <c r="F331" s="520">
        <f>INPUT!BC288</f>
        <v>332.20000000000005</v>
      </c>
      <c r="G331" s="687">
        <f>INPUT!BD288</f>
        <v>6.8593265482057353</v>
      </c>
      <c r="H331" s="520">
        <f>INPUT!BE288</f>
        <v>344.7</v>
      </c>
      <c r="I331" s="687">
        <f>INPUT!BF288</f>
        <v>7.5715114936430794</v>
      </c>
      <c r="J331" s="520">
        <f>INPUT!BG288</f>
        <v>360.3</v>
      </c>
      <c r="K331" s="687" t="str">
        <f>INPUT!BH288</f>
        <v>NA</v>
      </c>
      <c r="L331" s="520">
        <f>INPUT!BI288</f>
        <v>391</v>
      </c>
      <c r="M331" s="687">
        <f>INPUT!BJ288</f>
        <v>10.202931228861335</v>
      </c>
      <c r="N331" s="520">
        <f>INPUT!BK288</f>
        <v>367.5</v>
      </c>
      <c r="O331" s="687">
        <f>INPUT!BL288</f>
        <v>10.626128838049343</v>
      </c>
      <c r="P331" s="520">
        <f>INPUT!BM288</f>
        <v>380.59999999999997</v>
      </c>
      <c r="Q331" s="687">
        <f>INPUT!BN288</f>
        <v>10.41485349579343</v>
      </c>
      <c r="R331" s="520">
        <f>INPUT!BO288</f>
        <v>399.29999999999995</v>
      </c>
      <c r="S331" s="687">
        <f>INPUT!BP288</f>
        <v>10.824313072439629</v>
      </c>
      <c r="T331" s="520">
        <f>INPUT!BQ288</f>
        <v>424.9</v>
      </c>
      <c r="U331" s="687">
        <f>INPUT!BR288</f>
        <v>8.6700767263427014</v>
      </c>
      <c r="V331" s="520">
        <f>INPUT!BS288</f>
        <v>402.8</v>
      </c>
      <c r="W331" s="687">
        <f>INPUT!BT288</f>
        <v>9.6054421768707599</v>
      </c>
      <c r="X331" s="520">
        <f>INPUT!BU288</f>
        <v>412.5</v>
      </c>
      <c r="Y331" s="687">
        <f>INPUT!BV288</f>
        <v>8.3815028901734312</v>
      </c>
      <c r="Z331" s="520">
        <f>INPUT!BW288</f>
        <v>421.40000000000003</v>
      </c>
      <c r="AA331" s="687">
        <f>INPUT!BX288</f>
        <v>5.5346856999749727</v>
      </c>
      <c r="AB331" s="520">
        <f>INPUT!BY288</f>
        <v>442.90000000000003</v>
      </c>
      <c r="AC331" s="687">
        <f>INPUT!BZ288</f>
        <v>4.2362908919745923</v>
      </c>
      <c r="AD331" s="520">
        <f>INPUT!CA288</f>
        <v>414.61</v>
      </c>
      <c r="AE331" s="687">
        <f>INPUT!CB288</f>
        <v>2.9319761668321842</v>
      </c>
      <c r="AF331" s="520">
        <f>INPUT!CC288</f>
        <v>433.59999999999997</v>
      </c>
      <c r="AG331" s="687">
        <f>INPUT!CD288</f>
        <v>5.115151515151517</v>
      </c>
      <c r="AH331" s="520">
        <f>INPUT!CE288</f>
        <v>445.2</v>
      </c>
      <c r="AI331" s="687">
        <f>INPUT!CF288</f>
        <v>5.6478405315614433</v>
      </c>
      <c r="AJ331" s="520">
        <f>INPUT!CG288</f>
        <v>470.1</v>
      </c>
      <c r="AK331" s="687">
        <f>INPUT!CH288</f>
        <v>6.1413411605328427</v>
      </c>
      <c r="AL331" s="520">
        <f>INPUT!CI288</f>
        <v>451.5</v>
      </c>
      <c r="AM331" s="687">
        <f>INPUT!CJ288</f>
        <v>8.8975181495863467</v>
      </c>
      <c r="AN331" s="520">
        <f>INPUT!CK288</f>
        <v>464.3</v>
      </c>
      <c r="AO331" s="687">
        <f>INPUT!CL288</f>
        <v>7.0802583025830312</v>
      </c>
      <c r="AP331" s="520">
        <f>INPUT!CM288</f>
        <v>477.90000000000003</v>
      </c>
      <c r="AQ331" s="687">
        <f>INPUT!CN288</f>
        <v>7.3450134770889575</v>
      </c>
      <c r="AR331" s="706">
        <f>INPUT!CO288</f>
        <v>500.59999999999997</v>
      </c>
      <c r="AS331" s="687">
        <f>INPUT!CP288</f>
        <v>6.4879812805785919</v>
      </c>
      <c r="AT331" s="520">
        <f>INPUT!CQ288</f>
        <v>479.4</v>
      </c>
      <c r="AU331" s="687">
        <f>INPUT!CR288</f>
        <v>6.1794019933554711</v>
      </c>
      <c r="AV331" s="520">
        <f>INPUT!CS288</f>
        <v>481</v>
      </c>
      <c r="AW331" s="687">
        <f>INPUT!CT288</f>
        <v>3.5968124057721207</v>
      </c>
      <c r="AX331" s="520">
        <f>INPUT!CU288</f>
        <v>504</v>
      </c>
      <c r="AY331" s="687">
        <f>INPUT!CV288</f>
        <v>5.4613935969868077</v>
      </c>
      <c r="AZ331" s="520">
        <f>INPUT!CW288</f>
        <v>540</v>
      </c>
      <c r="BA331" s="687">
        <f>INPUT!CX288</f>
        <v>7.8705553335996825</v>
      </c>
      <c r="BB331" s="520">
        <f>INPUT!CY288</f>
        <v>517</v>
      </c>
      <c r="BC331" s="687">
        <f>INPUT!CZ288</f>
        <v>7.8431372549019551</v>
      </c>
      <c r="BD331" s="520">
        <f>INPUT!DA288</f>
        <v>531</v>
      </c>
      <c r="BE331" s="687">
        <f>INPUT!DB288</f>
        <v>10.395010395010384</v>
      </c>
      <c r="BF331" s="520">
        <f>INPUT!DC288</f>
        <v>550</v>
      </c>
      <c r="BG331" s="687">
        <f>INPUT!DD288</f>
        <v>9.1269841269841159</v>
      </c>
      <c r="BH331" s="520">
        <f>INPUT!DE288</f>
        <v>575</v>
      </c>
      <c r="BI331" s="687">
        <f>INPUT!DF288</f>
        <v>6.4814814814814881</v>
      </c>
      <c r="BJ331" s="520">
        <f>INPUT!DG288</f>
        <v>561</v>
      </c>
      <c r="BK331" s="687">
        <f>INPUT!DH288</f>
        <v>8.5106382978723296</v>
      </c>
      <c r="BL331" s="520">
        <f>INPUT!DI288</f>
        <v>575</v>
      </c>
      <c r="BM331" s="687">
        <f>INPUT!DJ288</f>
        <v>8.2862523540489619</v>
      </c>
      <c r="BN331" s="520">
        <f>INPUT!DK288</f>
        <v>610</v>
      </c>
      <c r="BO331" s="687">
        <f>INPUT!DL288</f>
        <v>10.909090909090914</v>
      </c>
      <c r="BP331" s="520">
        <f>INPUT!DM288</f>
        <v>621</v>
      </c>
      <c r="BQ331" s="687">
        <f>INPUT!DN288</f>
        <v>8.0000000000000071</v>
      </c>
      <c r="BR331" s="520">
        <f>INPUT!DO288</f>
        <v>598</v>
      </c>
      <c r="BS331" s="687">
        <f>INPUT!DP288</f>
        <v>6.5953654188948274</v>
      </c>
      <c r="BT331" s="520">
        <f>INPUT!DQ288</f>
        <v>616</v>
      </c>
      <c r="BU331" s="687">
        <f>INPUT!DR288</f>
        <v>7.1304347826086856</v>
      </c>
      <c r="BV331" s="520">
        <f>INPUT!DS288</f>
        <v>605</v>
      </c>
      <c r="BW331" s="687">
        <f>INPUT!DT288</f>
        <v>-0.81967213114754189</v>
      </c>
      <c r="BX331" s="520">
        <f>INPUT!DU288</f>
        <v>617</v>
      </c>
      <c r="BY331" s="687">
        <f>INPUT!DV288</f>
        <v>-0.6441223832528209</v>
      </c>
      <c r="BZ331" s="520">
        <f>INPUT!DW288</f>
        <v>570</v>
      </c>
      <c r="CA331" s="687">
        <f>INPUT!DX288</f>
        <v>570</v>
      </c>
      <c r="CB331" s="520">
        <f>INPUT!DY288</f>
        <v>565</v>
      </c>
      <c r="CC331" s="687">
        <f>INPUT!DZ288</f>
        <v>-8.2792207792207755</v>
      </c>
      <c r="CD331" s="520">
        <f>INPUT!EA288</f>
        <v>534</v>
      </c>
      <c r="CE331" s="687">
        <f>INPUT!EB288</f>
        <v>-11.735537190082646</v>
      </c>
      <c r="CF331" s="520">
        <f>INPUT!EC288</f>
        <v>525</v>
      </c>
      <c r="CG331" s="687">
        <f>INPUT!ED288</f>
        <v>-14.910858995137765</v>
      </c>
      <c r="CH331" s="520">
        <f>INPUT!EE288</f>
        <v>534</v>
      </c>
      <c r="CI331" s="687">
        <f>INPUT!EF288</f>
        <v>-6.315789473684208</v>
      </c>
      <c r="CJ331" s="520">
        <f>INPUT!EG288</f>
        <v>537</v>
      </c>
      <c r="CK331" s="687">
        <f>INPUT!EH288</f>
        <v>-4.9557522123893865</v>
      </c>
      <c r="CL331" s="520">
        <f>INPUT!EI288</f>
        <v>541</v>
      </c>
      <c r="CM331" s="687">
        <f>INPUT!EJ288</f>
        <v>1.3108614232209659</v>
      </c>
      <c r="CN331" s="520">
        <f>INPUT!EK288</f>
        <v>541</v>
      </c>
      <c r="CO331" s="687">
        <f>INPUT!EL288</f>
        <v>3.0476190476190546</v>
      </c>
      <c r="CP331" s="520">
        <f>INPUT!EM288</f>
        <v>564</v>
      </c>
      <c r="CQ331" s="687">
        <f>INPUT!EN288</f>
        <v>5.6179775280898792</v>
      </c>
      <c r="CR331" s="520">
        <f>INPUT!EO288</f>
        <v>554</v>
      </c>
      <c r="CS331" s="687">
        <f>INPUT!EP288</f>
        <v>3.165735567970196</v>
      </c>
      <c r="CT331" s="520">
        <f>INPUT!EQ288</f>
        <v>562.005</v>
      </c>
      <c r="CU331" s="687">
        <f>INPUT!ER288</f>
        <v>3.8826247689463855</v>
      </c>
      <c r="CV331" s="520">
        <f>INPUT!ES288</f>
        <v>570.12902499999996</v>
      </c>
      <c r="CW331" s="687">
        <f>INPUT!ET288</f>
        <v>5.3842929759704061</v>
      </c>
      <c r="CX331" s="520">
        <f>INPUT!EU288</f>
        <v>1003.373829875</v>
      </c>
      <c r="CY331" s="687">
        <f>INPUT!EV288</f>
        <v>77.903161325354603</v>
      </c>
      <c r="CZ331" s="520">
        <f>INPUT!EW288</f>
        <v>1017.8511957181248</v>
      </c>
      <c r="DA331" s="687">
        <f>INPUT!EX288</f>
        <v>83.727652656701238</v>
      </c>
      <c r="DB331" s="16"/>
      <c r="DC331" s="520"/>
      <c r="DD331" s="687"/>
      <c r="DE331" s="520">
        <f>INPUT!FR288</f>
        <v>1031.7</v>
      </c>
      <c r="DF331" s="687">
        <f>INPUT!FS288</f>
        <v>-19.323559678826918</v>
      </c>
      <c r="DG331" s="520">
        <f>INPUT!FT288</f>
        <v>1499.3999999999999</v>
      </c>
      <c r="DH331" s="687">
        <f>INPUT!FU288</f>
        <v>45.332945623727802</v>
      </c>
      <c r="DI331" s="520">
        <f>INPUT!FV288</f>
        <v>1639.5</v>
      </c>
      <c r="DJ331" s="687">
        <f>INPUT!FW288</f>
        <v>9.3437374949980168</v>
      </c>
      <c r="DK331" s="520">
        <f>INPUT!FX288</f>
        <v>1712.51</v>
      </c>
      <c r="DL331" s="687">
        <f>INPUT!FY288</f>
        <v>4.4531869472400176</v>
      </c>
      <c r="DM331" s="706">
        <f>INPUT!FZ288</f>
        <v>1831.1</v>
      </c>
      <c r="DN331" s="687">
        <f>INPUT!GA288</f>
        <v>6.9249230661426742</v>
      </c>
      <c r="DO331" s="520">
        <f>INPUT!GB288</f>
        <v>1938.9</v>
      </c>
      <c r="DP331" s="687">
        <f>INPUT!GC288</f>
        <v>5.8871716454590217</v>
      </c>
      <c r="DQ331" s="520">
        <f>INPUT!GD288</f>
        <v>2092</v>
      </c>
      <c r="DR331" s="687">
        <f>INPUT!GE288</f>
        <v>7.8962298210325299</v>
      </c>
      <c r="DS331" s="520">
        <f>INPUT!GF288</f>
        <v>2261</v>
      </c>
      <c r="DT331" s="687">
        <f>INPUT!GG288</f>
        <v>8.0783938814531489</v>
      </c>
      <c r="DU331" s="520">
        <f>INPUT!GH288</f>
        <v>2445</v>
      </c>
      <c r="DV331" s="687">
        <f>INPUT!GI288</f>
        <v>8.137992038920828</v>
      </c>
      <c r="DW331" s="520">
        <f>INPUT!GJ288</f>
        <v>2357</v>
      </c>
      <c r="DX331" s="687">
        <f>INPUT!GK288</f>
        <v>-3.5991820040899847</v>
      </c>
      <c r="DY331" s="520">
        <f>INPUT!GL288</f>
        <v>2130</v>
      </c>
      <c r="DZ331" s="687">
        <f>INPUT!GM288</f>
        <v>-9.630886720407295</v>
      </c>
      <c r="EA331" s="520">
        <f>INPUT!GN288</f>
        <v>2200</v>
      </c>
      <c r="EB331" s="687">
        <f>INPUT!GO288</f>
        <v>3.2863849765258246</v>
      </c>
      <c r="EC331" s="520">
        <f>INPUT!GP288</f>
        <v>3153.3590505931247</v>
      </c>
      <c r="ED331" s="687">
        <f>INPUT!GQ288</f>
        <v>43.334502299687493</v>
      </c>
      <c r="EE331" s="520">
        <f>INPUT!GR288</f>
        <v>4077.1341547484994</v>
      </c>
      <c r="EF331" s="687">
        <f>INPUT!GS288</f>
        <v>29.294954660542661</v>
      </c>
      <c r="EG331" s="520">
        <f>INPUT!GT288</f>
        <v>4082.9781140620189</v>
      </c>
      <c r="EH331" s="687">
        <f>INPUT!GU288</f>
        <v>0.14333497725880218</v>
      </c>
      <c r="EI331" s="520">
        <f>INPUT!GV288</f>
        <v>4107.8636335071715</v>
      </c>
      <c r="EJ331" s="687">
        <f>INPUT!GW288</f>
        <v>0.60949431395298515</v>
      </c>
      <c r="EK331" s="520">
        <f>INPUT!GX288</f>
        <v>4132.9629931270465</v>
      </c>
      <c r="EL331" s="687">
        <f>INPUT!GY288</f>
        <v>0.61100761512975499</v>
      </c>
      <c r="EM331" s="687">
        <f>INPUT!GZ288</f>
        <v>13.440404689953755</v>
      </c>
    </row>
    <row r="332" spans="1:152" ht="12.75" hidden="1" customHeight="1" outlineLevel="1" x14ac:dyDescent="0.2">
      <c r="A332" s="689"/>
      <c r="B332" s="16"/>
      <c r="C332" s="687"/>
      <c r="D332" s="16"/>
      <c r="E332" s="687"/>
      <c r="F332" s="16"/>
      <c r="G332" s="687"/>
      <c r="H332" s="16"/>
      <c r="I332" s="687"/>
      <c r="J332" s="16"/>
      <c r="K332" s="687"/>
      <c r="L332" s="16"/>
      <c r="M332" s="687"/>
      <c r="N332" s="16"/>
      <c r="O332" s="687"/>
      <c r="P332" s="16"/>
      <c r="Q332" s="687"/>
      <c r="R332" s="16"/>
      <c r="S332" s="687"/>
      <c r="T332" s="16"/>
      <c r="U332" s="687"/>
      <c r="V332" s="16"/>
      <c r="W332" s="687"/>
      <c r="X332" s="16"/>
      <c r="Y332" s="687"/>
      <c r="Z332" s="16"/>
      <c r="AA332" s="687"/>
      <c r="AB332" s="16"/>
      <c r="AC332" s="687"/>
      <c r="AD332" s="16"/>
      <c r="AE332" s="687"/>
      <c r="AF332" s="16"/>
      <c r="AG332" s="687"/>
      <c r="AH332" s="16"/>
      <c r="AI332" s="687"/>
      <c r="AJ332" s="16"/>
      <c r="AK332" s="687"/>
      <c r="AL332" s="16"/>
      <c r="AM332" s="687"/>
      <c r="AN332" s="16"/>
      <c r="AO332" s="687"/>
      <c r="AP332" s="16"/>
      <c r="AQ332" s="687"/>
      <c r="AR332" s="16"/>
      <c r="AS332" s="687"/>
      <c r="AT332" s="16"/>
      <c r="AU332" s="687"/>
      <c r="AV332" s="16"/>
      <c r="AW332" s="687"/>
      <c r="AX332" s="16"/>
      <c r="AY332" s="687"/>
      <c r="AZ332" s="16"/>
      <c r="BA332" s="687"/>
      <c r="BB332" s="16"/>
      <c r="BC332" s="687"/>
      <c r="BD332" s="16"/>
      <c r="BE332" s="687"/>
      <c r="BF332" s="16"/>
      <c r="BG332" s="687"/>
      <c r="BH332" s="16"/>
      <c r="BI332" s="687"/>
      <c r="BJ332" s="16"/>
      <c r="BK332" s="687"/>
      <c r="BL332" s="16"/>
      <c r="BM332" s="687"/>
      <c r="BN332" s="16"/>
      <c r="BO332" s="687"/>
      <c r="BP332" s="16"/>
      <c r="BQ332" s="687"/>
      <c r="BR332" s="16"/>
      <c r="BS332" s="687"/>
      <c r="BT332" s="16"/>
      <c r="BU332" s="687"/>
      <c r="BV332" s="16"/>
      <c r="BW332" s="687"/>
      <c r="BX332" s="16"/>
      <c r="BY332" s="687"/>
      <c r="BZ332" s="16"/>
      <c r="CA332" s="687"/>
      <c r="CB332" s="16"/>
      <c r="CC332" s="687"/>
      <c r="CD332" s="16"/>
      <c r="CE332" s="687"/>
      <c r="CF332" s="16"/>
      <c r="CG332" s="687"/>
      <c r="CH332" s="16"/>
      <c r="CI332" s="687"/>
      <c r="CJ332" s="16"/>
      <c r="CK332" s="687"/>
      <c r="CL332" s="16"/>
      <c r="CM332" s="687"/>
      <c r="CN332" s="16"/>
      <c r="CO332" s="687"/>
      <c r="CP332" s="16"/>
      <c r="CQ332" s="687"/>
      <c r="CR332" s="16"/>
      <c r="CS332" s="687"/>
      <c r="CT332" s="16"/>
      <c r="CU332" s="687"/>
      <c r="CV332" s="16"/>
      <c r="CW332" s="687"/>
      <c r="CX332" s="16"/>
      <c r="CY332" s="687"/>
      <c r="CZ332" s="16"/>
      <c r="DA332" s="687"/>
      <c r="DB332" s="16"/>
      <c r="DC332" s="16"/>
      <c r="DD332" s="687"/>
      <c r="DE332" s="16"/>
      <c r="DF332" s="687"/>
      <c r="DG332" s="16"/>
      <c r="DH332" s="687"/>
      <c r="DI332" s="16"/>
      <c r="DJ332" s="687"/>
      <c r="DK332" s="16"/>
      <c r="DL332" s="687"/>
      <c r="DM332" s="16"/>
      <c r="DN332" s="687"/>
      <c r="DO332" s="16"/>
      <c r="DP332" s="687"/>
      <c r="DQ332" s="16"/>
      <c r="DR332" s="687"/>
      <c r="DS332" s="16"/>
      <c r="DT332" s="687"/>
      <c r="DU332" s="16"/>
      <c r="DV332" s="687"/>
      <c r="DW332" s="16"/>
      <c r="DX332" s="687"/>
      <c r="DY332" s="16"/>
      <c r="DZ332" s="687"/>
      <c r="EA332" s="16"/>
      <c r="EB332" s="687"/>
      <c r="EC332" s="16"/>
      <c r="ED332" s="687"/>
      <c r="EE332" s="16"/>
      <c r="EF332" s="687"/>
      <c r="EG332" s="16"/>
      <c r="EH332" s="687"/>
      <c r="EI332" s="16"/>
      <c r="EJ332" s="687"/>
      <c r="EK332" s="16"/>
      <c r="EL332" s="687"/>
      <c r="EM332" s="687"/>
    </row>
    <row r="333" spans="1:152" ht="12.75" hidden="1" customHeight="1" outlineLevel="1" x14ac:dyDescent="0.2">
      <c r="A333" s="700" t="str">
        <f>INPUT!B292</f>
        <v>BENEFITS AND EXPENSES</v>
      </c>
      <c r="B333" s="16"/>
      <c r="C333" s="687"/>
      <c r="D333" s="16"/>
      <c r="E333" s="687"/>
      <c r="F333" s="16"/>
      <c r="G333" s="687"/>
      <c r="H333" s="16"/>
      <c r="I333" s="687"/>
      <c r="J333" s="16"/>
      <c r="K333" s="687"/>
      <c r="L333" s="16"/>
      <c r="M333" s="687"/>
      <c r="N333" s="16"/>
      <c r="O333" s="687"/>
      <c r="P333" s="16"/>
      <c r="Q333" s="687"/>
      <c r="R333" s="16"/>
      <c r="S333" s="687"/>
      <c r="T333" s="16"/>
      <c r="U333" s="687"/>
      <c r="V333" s="16"/>
      <c r="W333" s="687"/>
      <c r="X333" s="16"/>
      <c r="Y333" s="687"/>
      <c r="Z333" s="16"/>
      <c r="AA333" s="687"/>
      <c r="AB333" s="16"/>
      <c r="AC333" s="687"/>
      <c r="AD333" s="16"/>
      <c r="AE333" s="687"/>
      <c r="AF333" s="16"/>
      <c r="AG333" s="687"/>
      <c r="AH333" s="16"/>
      <c r="AI333" s="687"/>
      <c r="AJ333" s="16"/>
      <c r="AK333" s="687"/>
      <c r="AL333" s="16"/>
      <c r="AM333" s="687"/>
      <c r="AN333" s="16"/>
      <c r="AO333" s="687"/>
      <c r="AP333" s="16"/>
      <c r="AQ333" s="687"/>
      <c r="AR333" s="16"/>
      <c r="AS333" s="687"/>
      <c r="AT333" s="16"/>
      <c r="AU333" s="687"/>
      <c r="AV333" s="16"/>
      <c r="AW333" s="687"/>
      <c r="AX333" s="16"/>
      <c r="AY333" s="687"/>
      <c r="AZ333" s="16"/>
      <c r="BA333" s="687"/>
      <c r="BB333" s="16"/>
      <c r="BC333" s="687"/>
      <c r="BD333" s="16"/>
      <c r="BE333" s="687"/>
      <c r="BF333" s="16"/>
      <c r="BG333" s="687"/>
      <c r="BH333" s="16"/>
      <c r="BI333" s="687"/>
      <c r="BJ333" s="16"/>
      <c r="BK333" s="687"/>
      <c r="BL333" s="16"/>
      <c r="BM333" s="687"/>
      <c r="BN333" s="16"/>
      <c r="BO333" s="687"/>
      <c r="BP333" s="16"/>
      <c r="BQ333" s="687"/>
      <c r="BR333" s="16"/>
      <c r="BS333" s="687"/>
      <c r="BT333" s="16"/>
      <c r="BU333" s="687"/>
      <c r="BV333" s="16"/>
      <c r="BW333" s="687"/>
      <c r="BX333" s="16"/>
      <c r="BY333" s="687"/>
      <c r="BZ333" s="16"/>
      <c r="CA333" s="687"/>
      <c r="CB333" s="16"/>
      <c r="CC333" s="687"/>
      <c r="CD333" s="16"/>
      <c r="CE333" s="687"/>
      <c r="CF333" s="16"/>
      <c r="CG333" s="687"/>
      <c r="CH333" s="16"/>
      <c r="CI333" s="687"/>
      <c r="CJ333" s="16"/>
      <c r="CK333" s="687"/>
      <c r="CL333" s="16"/>
      <c r="CM333" s="687"/>
      <c r="CN333" s="16"/>
      <c r="CO333" s="687"/>
      <c r="CP333" s="16"/>
      <c r="CQ333" s="687"/>
      <c r="CR333" s="16"/>
      <c r="CS333" s="687"/>
      <c r="CT333" s="16"/>
      <c r="CU333" s="687"/>
      <c r="CV333" s="16"/>
      <c r="CW333" s="687"/>
      <c r="CX333" s="16"/>
      <c r="CY333" s="687"/>
      <c r="CZ333" s="16"/>
      <c r="DA333" s="687"/>
      <c r="DB333" s="16"/>
      <c r="DC333" s="16"/>
      <c r="DD333" s="687"/>
      <c r="DE333" s="16"/>
      <c r="DF333" s="687"/>
      <c r="DG333" s="16"/>
      <c r="DH333" s="687"/>
      <c r="DI333" s="16"/>
      <c r="DJ333" s="687"/>
      <c r="DK333" s="16"/>
      <c r="DL333" s="687"/>
      <c r="DM333" s="16"/>
      <c r="DN333" s="687"/>
      <c r="DO333" s="16"/>
      <c r="DP333" s="687"/>
      <c r="DQ333" s="16"/>
      <c r="DR333" s="687"/>
      <c r="DS333" s="16"/>
      <c r="DT333" s="687"/>
      <c r="DU333" s="16"/>
      <c r="DV333" s="687"/>
      <c r="DW333" s="16"/>
      <c r="DX333" s="687"/>
      <c r="DY333" s="16"/>
      <c r="DZ333" s="687"/>
      <c r="EA333" s="16"/>
      <c r="EB333" s="687"/>
      <c r="EC333" s="16"/>
      <c r="ED333" s="687"/>
      <c r="EE333" s="16"/>
      <c r="EF333" s="687"/>
      <c r="EG333" s="16"/>
      <c r="EH333" s="687"/>
      <c r="EI333" s="16"/>
      <c r="EJ333" s="687"/>
      <c r="EK333" s="16"/>
      <c r="EL333" s="687"/>
      <c r="EM333" s="687"/>
    </row>
    <row r="334" spans="1:152" ht="12.75" hidden="1" customHeight="1" outlineLevel="1" x14ac:dyDescent="0.2">
      <c r="A334" s="701" t="str">
        <f>INPUT!B293</f>
        <v>Insurance Benefits</v>
      </c>
      <c r="B334" s="151"/>
      <c r="C334" s="687"/>
      <c r="D334" s="151">
        <f>INPUT!BA293</f>
        <v>226</v>
      </c>
      <c r="E334" s="687">
        <f>INPUT!BB293</f>
        <v>-2.2271445134718904</v>
      </c>
      <c r="F334" s="151">
        <f>INPUT!BC293</f>
        <v>213.3</v>
      </c>
      <c r="G334" s="687">
        <f>INPUT!BD293</f>
        <v>-2.2371333892502121</v>
      </c>
      <c r="H334" s="151">
        <f>INPUT!BE293</f>
        <v>224</v>
      </c>
      <c r="I334" s="687">
        <f>INPUT!BF293</f>
        <v>0.17306686105011959</v>
      </c>
      <c r="J334" s="151">
        <f>INPUT!BG293</f>
        <v>246.6</v>
      </c>
      <c r="K334" s="687" t="str">
        <f>INPUT!BH293</f>
        <v>NA</v>
      </c>
      <c r="L334" s="151">
        <f>INPUT!BI293</f>
        <v>265.7</v>
      </c>
      <c r="M334" s="687">
        <f>INPUT!BJ293</f>
        <v>17.566371681415927</v>
      </c>
      <c r="N334" s="151">
        <f>INPUT!BK293</f>
        <v>235</v>
      </c>
      <c r="O334" s="687">
        <f>INPUT!BL293</f>
        <v>10.173464603844341</v>
      </c>
      <c r="P334" s="151">
        <f>INPUT!BM293</f>
        <v>252.1</v>
      </c>
      <c r="Q334" s="687">
        <f>INPUT!BN293</f>
        <v>12.544642857142851</v>
      </c>
      <c r="R334" s="151">
        <f>INPUT!BO293</f>
        <v>269.39999999999998</v>
      </c>
      <c r="S334" s="687">
        <f>INPUT!BP293</f>
        <v>9.2457420924574087</v>
      </c>
      <c r="T334" s="151">
        <f>INPUT!BQ293</f>
        <v>285.89999999999998</v>
      </c>
      <c r="U334" s="687">
        <f>INPUT!BR293</f>
        <v>7.602559277380494</v>
      </c>
      <c r="V334" s="151">
        <f>INPUT!BS293</f>
        <v>269</v>
      </c>
      <c r="W334" s="687">
        <f>INPUT!BT293</f>
        <v>14.468085106382977</v>
      </c>
      <c r="X334" s="151">
        <f>INPUT!BU293</f>
        <v>283.70000000000005</v>
      </c>
      <c r="Y334" s="687">
        <f>INPUT!BV293</f>
        <v>12.534708449028177</v>
      </c>
      <c r="Z334" s="151">
        <f>INPUT!BW293</f>
        <v>282</v>
      </c>
      <c r="AA334" s="687">
        <f>INPUT!BX293</f>
        <v>4.6770601336302953</v>
      </c>
      <c r="AB334" s="151">
        <f>INPUT!BY293</f>
        <v>292.7</v>
      </c>
      <c r="AC334" s="687">
        <f>INPUT!BZ293</f>
        <v>2.3784540048968239</v>
      </c>
      <c r="AD334" s="151">
        <f>INPUT!CA293</f>
        <v>261.60000000000002</v>
      </c>
      <c r="AE334" s="687">
        <f>INPUT!CB293</f>
        <v>-2.7509293680297309</v>
      </c>
      <c r="AF334" s="151">
        <f>INPUT!CC293</f>
        <v>281.10000000000002</v>
      </c>
      <c r="AG334" s="687">
        <f>INPUT!CD293</f>
        <v>-0.91646105040537051</v>
      </c>
      <c r="AH334" s="151">
        <f>INPUT!CE293</f>
        <v>310.7</v>
      </c>
      <c r="AI334" s="687">
        <f>INPUT!CF293</f>
        <v>10.177304964539013</v>
      </c>
      <c r="AJ334" s="151">
        <f>INPUT!CG293</f>
        <v>334.2</v>
      </c>
      <c r="AK334" s="687">
        <f>INPUT!CH293</f>
        <v>14.178339596856858</v>
      </c>
      <c r="AL334" s="151">
        <f>INPUT!CI293</f>
        <v>330.4</v>
      </c>
      <c r="AM334" s="687">
        <f>INPUT!CJ293</f>
        <v>26.29969418960243</v>
      </c>
      <c r="AN334" s="151">
        <f>INPUT!CK293</f>
        <v>323.8</v>
      </c>
      <c r="AO334" s="687">
        <f>INPUT!CL293</f>
        <v>15.190323728210586</v>
      </c>
      <c r="AP334" s="151">
        <f>INPUT!CM293</f>
        <v>327.59999999999997</v>
      </c>
      <c r="AQ334" s="687">
        <f>INPUT!CN293</f>
        <v>5.4393305439330408</v>
      </c>
      <c r="AR334" s="151">
        <f>INPUT!CO293</f>
        <v>345.90000000000003</v>
      </c>
      <c r="AS334" s="687">
        <f>INPUT!CP293</f>
        <v>3.5008976660682256</v>
      </c>
      <c r="AT334" s="151">
        <f>INPUT!CQ293</f>
        <v>320.10000000000002</v>
      </c>
      <c r="AU334" s="687">
        <f>INPUT!CR293</f>
        <v>-3.1174334140435689</v>
      </c>
      <c r="AV334" s="151">
        <f>INPUT!CS293</f>
        <v>323</v>
      </c>
      <c r="AW334" s="687">
        <f>INPUT!CT293</f>
        <v>-0.24706609017912662</v>
      </c>
      <c r="AX334" s="151">
        <f>INPUT!CU293</f>
        <v>350</v>
      </c>
      <c r="AY334" s="687">
        <f>INPUT!CV293</f>
        <v>6.8376068376068577</v>
      </c>
      <c r="AZ334" s="151">
        <f>INPUT!CW293</f>
        <v>368</v>
      </c>
      <c r="BA334" s="687">
        <f>INPUT!CX293</f>
        <v>6.389129806302396</v>
      </c>
      <c r="BB334" s="151">
        <f>INPUT!CY293</f>
        <v>360</v>
      </c>
      <c r="BC334" s="687">
        <f>INPUT!CZ293</f>
        <v>12.464854732895958</v>
      </c>
      <c r="BD334" s="151">
        <f>INPUT!DA293</f>
        <v>367</v>
      </c>
      <c r="BE334" s="687">
        <f>INPUT!DB293</f>
        <v>13.622291021671828</v>
      </c>
      <c r="BF334" s="151">
        <f>INPUT!DC293</f>
        <v>384</v>
      </c>
      <c r="BG334" s="687">
        <f>INPUT!DD293</f>
        <v>9.7142857142857189</v>
      </c>
      <c r="BH334" s="151">
        <f>INPUT!DE293</f>
        <v>397</v>
      </c>
      <c r="BI334" s="687">
        <f>INPUT!DF293</f>
        <v>7.8804347826086918</v>
      </c>
      <c r="BJ334" s="151">
        <f>INPUT!DG293</f>
        <v>382</v>
      </c>
      <c r="BK334" s="687">
        <f>INPUT!DH293</f>
        <v>6.1111111111111116</v>
      </c>
      <c r="BL334" s="151">
        <f>INPUT!DI293</f>
        <v>396</v>
      </c>
      <c r="BM334" s="687">
        <f>INPUT!DJ293</f>
        <v>7.9019073569482234</v>
      </c>
      <c r="BN334" s="151">
        <f>INPUT!DK293</f>
        <v>423</v>
      </c>
      <c r="BO334" s="687">
        <f>INPUT!DL293</f>
        <v>10.15625</v>
      </c>
      <c r="BP334" s="151">
        <f>INPUT!DM293</f>
        <v>463</v>
      </c>
      <c r="BQ334" s="687">
        <f>INPUT!DN293</f>
        <v>16.624685138539053</v>
      </c>
      <c r="BR334" s="151">
        <f>INPUT!DO293</f>
        <v>428</v>
      </c>
      <c r="BS334" s="687">
        <f>INPUT!DP293</f>
        <v>12.041884816753923</v>
      </c>
      <c r="BT334" s="151">
        <f>INPUT!DQ293</f>
        <v>460</v>
      </c>
      <c r="BU334" s="687">
        <f>INPUT!DR293</f>
        <v>16.161616161616156</v>
      </c>
      <c r="BV334" s="151">
        <f>INPUT!DS293</f>
        <v>440</v>
      </c>
      <c r="BW334" s="687">
        <f>INPUT!DT293</f>
        <v>4.0189125295508221</v>
      </c>
      <c r="BX334" s="151">
        <f>INPUT!DU293</f>
        <v>421</v>
      </c>
      <c r="BY334" s="687">
        <f>INPUT!DV293</f>
        <v>-9.0712742980561529</v>
      </c>
      <c r="BZ334" s="151">
        <f>INPUT!DW293</f>
        <v>386</v>
      </c>
      <c r="CA334" s="687">
        <f>INPUT!DX293</f>
        <v>386</v>
      </c>
      <c r="CB334" s="151">
        <f>INPUT!DY293</f>
        <v>387</v>
      </c>
      <c r="CC334" s="687">
        <f>INPUT!DZ293</f>
        <v>-15.869565217391301</v>
      </c>
      <c r="CD334" s="151">
        <f>INPUT!EA293</f>
        <v>340</v>
      </c>
      <c r="CE334" s="687">
        <f>INPUT!EB293</f>
        <v>-22.72727272727273</v>
      </c>
      <c r="CF334" s="151">
        <f>INPUT!EC293</f>
        <v>345</v>
      </c>
      <c r="CG334" s="687">
        <f>INPUT!ED293</f>
        <v>-18.052256532066512</v>
      </c>
      <c r="CH334" s="151">
        <f>INPUT!EE293</f>
        <v>291</v>
      </c>
      <c r="CI334" s="687">
        <f>INPUT!EF293</f>
        <v>-24.611398963730569</v>
      </c>
      <c r="CJ334" s="151">
        <f>INPUT!EG293</f>
        <v>345</v>
      </c>
      <c r="CK334" s="687">
        <f>INPUT!EH293</f>
        <v>-10.852713178294572</v>
      </c>
      <c r="CL334" s="151">
        <f>INPUT!EI293</f>
        <v>351</v>
      </c>
      <c r="CM334" s="687">
        <f>INPUT!EJ293</f>
        <v>3.2352941176470695</v>
      </c>
      <c r="CN334" s="151">
        <f>INPUT!EK293</f>
        <v>326</v>
      </c>
      <c r="CO334" s="687">
        <f>INPUT!EL293</f>
        <v>-5.507246376811592</v>
      </c>
      <c r="CP334" s="151">
        <f>INPUT!EM293</f>
        <v>334</v>
      </c>
      <c r="CQ334" s="687">
        <f>INPUT!EN293</f>
        <v>14.77663230240549</v>
      </c>
      <c r="CR334" s="151">
        <f>INPUT!EO293</f>
        <v>341</v>
      </c>
      <c r="CS334" s="687">
        <f>INPUT!EP293</f>
        <v>-1.1594202898550732</v>
      </c>
      <c r="CT334" s="151">
        <f>INPUT!EQ293</f>
        <v>354.06315000000001</v>
      </c>
      <c r="CU334" s="687">
        <f>INPUT!ER293</f>
        <v>0.87269230769231321</v>
      </c>
      <c r="CV334" s="151">
        <f>INPUT!ES293</f>
        <v>347.77870524999997</v>
      </c>
      <c r="CW334" s="687">
        <f>INPUT!ET293</f>
        <v>6.6805844325153352</v>
      </c>
      <c r="CX334" s="151">
        <f>INPUT!EU293</f>
        <v>622.09177452250003</v>
      </c>
      <c r="CY334" s="687">
        <f>INPUT!EV293</f>
        <v>86.25502231212576</v>
      </c>
      <c r="CZ334" s="151">
        <f>INPUT!EW293</f>
        <v>631.06774134523732</v>
      </c>
      <c r="DA334" s="687">
        <f>INPUT!EX293</f>
        <v>85.063853766931771</v>
      </c>
      <c r="DB334" s="16"/>
      <c r="DC334" s="151"/>
      <c r="DD334" s="687"/>
      <c r="DE334" s="151">
        <f>INPUT!FR293</f>
        <v>663.3</v>
      </c>
      <c r="DF334" s="687">
        <f>INPUT!FS293</f>
        <v>-22.984839635928346</v>
      </c>
      <c r="DG334" s="151">
        <f>INPUT!FT293</f>
        <v>999.4</v>
      </c>
      <c r="DH334" s="687">
        <f>INPUT!FU293</f>
        <v>50.670887984320821</v>
      </c>
      <c r="DI334" s="151">
        <f>INPUT!FV293</f>
        <v>1108</v>
      </c>
      <c r="DJ334" s="687">
        <f>INPUT!FW293</f>
        <v>10.866519911947181</v>
      </c>
      <c r="DK334" s="151">
        <f>INPUT!FX293</f>
        <v>1117.4000000000001</v>
      </c>
      <c r="DL334" s="687">
        <f>INPUT!FY293</f>
        <v>0.84837545126354996</v>
      </c>
      <c r="DM334" s="151">
        <f>INPUT!FZ293</f>
        <v>1299.0999999999999</v>
      </c>
      <c r="DN334" s="687">
        <f>INPUT!GA293</f>
        <v>16.260962949704648</v>
      </c>
      <c r="DO334" s="151">
        <f>INPUT!GB293</f>
        <v>1316.6</v>
      </c>
      <c r="DP334" s="687">
        <f>INPUT!GC293</f>
        <v>1.3470864444615538</v>
      </c>
      <c r="DQ334" s="151">
        <f>INPUT!GD293</f>
        <v>1445</v>
      </c>
      <c r="DR334" s="687">
        <f>INPUT!GE293</f>
        <v>9.752392526203856</v>
      </c>
      <c r="DS334" s="151">
        <f>INPUT!GF293</f>
        <v>1559</v>
      </c>
      <c r="DT334" s="687">
        <f>INPUT!GG293</f>
        <v>7.8892733564013939</v>
      </c>
      <c r="DU334" s="151">
        <f>INPUT!GH293</f>
        <v>1774</v>
      </c>
      <c r="DV334" s="687">
        <f>INPUT!GI293</f>
        <v>13.79089159717768</v>
      </c>
      <c r="DW334" s="151">
        <f>INPUT!GJ293</f>
        <v>1634</v>
      </c>
      <c r="DX334" s="687">
        <f>INPUT!GK293</f>
        <v>-7.8917700112739571</v>
      </c>
      <c r="DY334" s="151">
        <f>INPUT!GL293</f>
        <v>1321</v>
      </c>
      <c r="DZ334" s="687">
        <f>INPUT!GM293</f>
        <v>-19.155446756425953</v>
      </c>
      <c r="EA334" s="151">
        <f>INPUT!GN293</f>
        <v>1352</v>
      </c>
      <c r="EB334" s="687">
        <f>INPUT!GO293</f>
        <v>2.346707040121121</v>
      </c>
      <c r="EC334" s="151">
        <f>INPUT!GP293</f>
        <v>1955.0013711177371</v>
      </c>
      <c r="ED334" s="687">
        <f>INPUT!GQ293</f>
        <v>44.600693130010136</v>
      </c>
      <c r="EE334" s="151">
        <f>INPUT!GR293</f>
        <v>2552.2859808725607</v>
      </c>
      <c r="EF334" s="687">
        <f>INPUT!GS293</f>
        <v>30.55162101565876</v>
      </c>
      <c r="EG334" s="151">
        <f>INPUT!GT293</f>
        <v>2551.8613212887617</v>
      </c>
      <c r="EH334" s="687">
        <f>INPUT!GU293</f>
        <v>-1.6638401299129413E-2</v>
      </c>
      <c r="EI334" s="151">
        <f>INPUT!GV293</f>
        <v>2567.4147709419822</v>
      </c>
      <c r="EJ334" s="687">
        <f>INPUT!GW293</f>
        <v>0.60949431395298515</v>
      </c>
      <c r="EK334" s="151">
        <f>INPUT!GX293</f>
        <v>2583.1018707044041</v>
      </c>
      <c r="EL334" s="687">
        <f>INPUT!GY293</f>
        <v>0.61100761512975499</v>
      </c>
      <c r="EM334" s="687">
        <f>INPUT!GZ293</f>
        <v>13.823770661612777</v>
      </c>
    </row>
    <row r="335" spans="1:152" ht="12.75" hidden="1" customHeight="1" outlineLevel="1" x14ac:dyDescent="0.2">
      <c r="A335" s="701" t="str">
        <f>INPUT!B294</f>
        <v xml:space="preserve">   Other Expenses</v>
      </c>
      <c r="B335" s="151"/>
      <c r="C335" s="687"/>
      <c r="D335" s="151">
        <f>INPUT!BA294</f>
        <v>77.2</v>
      </c>
      <c r="E335" s="687" t="str">
        <f>INPUT!BB294</f>
        <v>NA</v>
      </c>
      <c r="F335" s="151">
        <f>INPUT!BC294</f>
        <v>79.3</v>
      </c>
      <c r="G335" s="687" t="str">
        <f>INPUT!BD294</f>
        <v>NA</v>
      </c>
      <c r="H335" s="151">
        <f>INPUT!BE294</f>
        <v>81.199999999999989</v>
      </c>
      <c r="I335" s="687" t="str">
        <f>INPUT!BF294</f>
        <v>NA</v>
      </c>
      <c r="J335" s="151">
        <f>INPUT!BG294</f>
        <v>81.899999999999991</v>
      </c>
      <c r="K335" s="687" t="str">
        <f>INPUT!BH294</f>
        <v>NA</v>
      </c>
      <c r="L335" s="151">
        <f>INPUT!BI294</f>
        <v>88.4</v>
      </c>
      <c r="M335" s="687">
        <f>INPUT!BJ294</f>
        <v>14.507772020725396</v>
      </c>
      <c r="N335" s="151">
        <f>INPUT!BK294</f>
        <v>86.300000000000011</v>
      </c>
      <c r="O335" s="687">
        <f>INPUT!BL294</f>
        <v>8.8272383354350836</v>
      </c>
      <c r="P335" s="151">
        <f>INPUT!BM294</f>
        <v>78.099999999999994</v>
      </c>
      <c r="Q335" s="687">
        <f>INPUT!BN294</f>
        <v>-3.8177339901477758</v>
      </c>
      <c r="R335" s="151">
        <f>INPUT!BO294</f>
        <v>83.899999999999991</v>
      </c>
      <c r="S335" s="687">
        <f>INPUT!BP294</f>
        <v>2.4420024420024333</v>
      </c>
      <c r="T335" s="151">
        <f>INPUT!BQ294</f>
        <v>85.1</v>
      </c>
      <c r="U335" s="687">
        <f>INPUT!BR294</f>
        <v>-3.7330316742081537</v>
      </c>
      <c r="V335" s="151">
        <f>INPUT!BS294</f>
        <v>87.899999999999991</v>
      </c>
      <c r="W335" s="687">
        <f>INPUT!BT294</f>
        <v>1.8539976825028726</v>
      </c>
      <c r="X335" s="151">
        <f>INPUT!BU294</f>
        <v>109.2</v>
      </c>
      <c r="Y335" s="687">
        <f>INPUT!BV294</f>
        <v>39.820742637644059</v>
      </c>
      <c r="Z335" s="151">
        <f>INPUT!BW294</f>
        <v>102.69999999999999</v>
      </c>
      <c r="AA335" s="687">
        <f>INPUT!BX294</f>
        <v>22.407628128724678</v>
      </c>
      <c r="AB335" s="151">
        <f>INPUT!BY294</f>
        <v>99.6</v>
      </c>
      <c r="AC335" s="687">
        <f>INPUT!BZ294</f>
        <v>17.038777908343118</v>
      </c>
      <c r="AD335" s="151">
        <f>INPUT!CA294</f>
        <v>101.2</v>
      </c>
      <c r="AE335" s="687">
        <f>INPUT!CB294</f>
        <v>15.130830489192281</v>
      </c>
      <c r="AF335" s="151">
        <f>INPUT!CC294</f>
        <v>114.30000000000001</v>
      </c>
      <c r="AG335" s="687">
        <f>INPUT!CD294</f>
        <v>4.6703296703296759</v>
      </c>
      <c r="AH335" s="151">
        <f>INPUT!CE294</f>
        <v>105.19999999999999</v>
      </c>
      <c r="AI335" s="687">
        <f>INPUT!CF294</f>
        <v>2.4342745861733128</v>
      </c>
      <c r="AJ335" s="151">
        <f>INPUT!CG294</f>
        <v>104.2</v>
      </c>
      <c r="AK335" s="687">
        <f>INPUT!CH294</f>
        <v>4.6184738955823423</v>
      </c>
      <c r="AL335" s="151">
        <f>INPUT!CI294</f>
        <v>104</v>
      </c>
      <c r="AM335" s="687">
        <f>INPUT!CJ294</f>
        <v>2.7667984189723382</v>
      </c>
      <c r="AN335" s="151">
        <f>INPUT!CK294</f>
        <v>119.6</v>
      </c>
      <c r="AO335" s="687">
        <f>INPUT!CL294</f>
        <v>4.6369203849518703</v>
      </c>
      <c r="AP335" s="151">
        <f>INPUT!CM294</f>
        <v>112.39999999999999</v>
      </c>
      <c r="AQ335" s="687">
        <f>INPUT!CN294</f>
        <v>6.8441064638783411</v>
      </c>
      <c r="AR335" s="151">
        <f>INPUT!CO294</f>
        <v>115.8</v>
      </c>
      <c r="AS335" s="687">
        <f>INPUT!CP294</f>
        <v>11.13243761996161</v>
      </c>
      <c r="AT335" s="151">
        <f>INPUT!CQ294</f>
        <v>121.8</v>
      </c>
      <c r="AU335" s="687">
        <f>INPUT!CR294</f>
        <v>17.11538461538462</v>
      </c>
      <c r="AV335" s="151">
        <f>INPUT!CS294</f>
        <v>137</v>
      </c>
      <c r="AW335" s="687">
        <f>INPUT!CT294</f>
        <v>14.548494983277592</v>
      </c>
      <c r="AX335" s="151">
        <f>INPUT!CU294</f>
        <v>128</v>
      </c>
      <c r="AY335" s="687">
        <f>INPUT!CV294</f>
        <v>13.879003558718871</v>
      </c>
      <c r="AZ335" s="151">
        <f>INPUT!CW294</f>
        <v>136</v>
      </c>
      <c r="BA335" s="687">
        <f>INPUT!CX294</f>
        <v>17.443868739205538</v>
      </c>
      <c r="BB335" s="151">
        <f>INPUT!CY294</f>
        <v>138</v>
      </c>
      <c r="BC335" s="687">
        <f>INPUT!CZ294</f>
        <v>13.300492610837434</v>
      </c>
      <c r="BD335" s="151">
        <f>INPUT!DA294</f>
        <v>161</v>
      </c>
      <c r="BE335" s="687">
        <f>INPUT!DB294</f>
        <v>17.518248175182482</v>
      </c>
      <c r="BF335" s="151">
        <f>INPUT!DC294</f>
        <v>144</v>
      </c>
      <c r="BG335" s="687">
        <f>INPUT!DD294</f>
        <v>12.5</v>
      </c>
      <c r="BH335" s="151">
        <f>INPUT!DE294</f>
        <v>153</v>
      </c>
      <c r="BI335" s="687">
        <f>INPUT!DF294</f>
        <v>12.5</v>
      </c>
      <c r="BJ335" s="151">
        <f>INPUT!DG294</f>
        <v>153</v>
      </c>
      <c r="BK335" s="687">
        <f>INPUT!DH294</f>
        <v>10.869565217391308</v>
      </c>
      <c r="BL335" s="151">
        <f>INPUT!DI294</f>
        <v>182</v>
      </c>
      <c r="BM335" s="687">
        <f>INPUT!DJ294</f>
        <v>13.043478260869556</v>
      </c>
      <c r="BN335" s="151">
        <f>INPUT!DK294</f>
        <v>154</v>
      </c>
      <c r="BO335" s="687">
        <f>INPUT!DL294</f>
        <v>6.944444444444442</v>
      </c>
      <c r="BP335" s="151">
        <f>INPUT!DM294</f>
        <v>162</v>
      </c>
      <c r="BQ335" s="687">
        <f>INPUT!DN294</f>
        <v>5.8823529411764719</v>
      </c>
      <c r="BR335" s="151">
        <f>INPUT!DO294</f>
        <v>156</v>
      </c>
      <c r="BS335" s="687">
        <f>INPUT!DP294</f>
        <v>1.9607843137254832</v>
      </c>
      <c r="BT335" s="151">
        <f>INPUT!DQ294</f>
        <v>182</v>
      </c>
      <c r="BU335" s="687">
        <f>INPUT!DR294</f>
        <v>0</v>
      </c>
      <c r="BV335" s="151">
        <f>INPUT!DS294</f>
        <v>161</v>
      </c>
      <c r="BW335" s="687">
        <f>INPUT!DT294</f>
        <v>4.5454545454545414</v>
      </c>
      <c r="BX335" s="151">
        <f>INPUT!DU294</f>
        <v>163</v>
      </c>
      <c r="BY335" s="687">
        <f>INPUT!DV294</f>
        <v>0.61728395061728669</v>
      </c>
      <c r="BZ335" s="151">
        <f>INPUT!DW294</f>
        <v>157</v>
      </c>
      <c r="CA335" s="687">
        <f>INPUT!DX294</f>
        <v>157</v>
      </c>
      <c r="CB335" s="151">
        <f>INPUT!DY294</f>
        <v>168</v>
      </c>
      <c r="CC335" s="687">
        <f>INPUT!DZ294</f>
        <v>-7.6923076923076872</v>
      </c>
      <c r="CD335" s="151">
        <f>INPUT!EA294</f>
        <v>156</v>
      </c>
      <c r="CE335" s="687">
        <f>INPUT!EB294</f>
        <v>-3.105590062111796</v>
      </c>
      <c r="CF335" s="151">
        <f>INPUT!EC294</f>
        <v>159</v>
      </c>
      <c r="CG335" s="687">
        <f>INPUT!ED294</f>
        <v>-2.4539877300613466</v>
      </c>
      <c r="CH335" s="151">
        <f>INPUT!EE294</f>
        <v>160</v>
      </c>
      <c r="CI335" s="687">
        <f>INPUT!EF294</f>
        <v>1.9108280254777066</v>
      </c>
      <c r="CJ335" s="151">
        <f>INPUT!EG294</f>
        <v>184</v>
      </c>
      <c r="CK335" s="687">
        <f>INPUT!EH294</f>
        <v>9.5238095238095344</v>
      </c>
      <c r="CL335" s="151">
        <f>INPUT!EI294</f>
        <v>159</v>
      </c>
      <c r="CM335" s="687">
        <f>INPUT!EJ294</f>
        <v>1.9230769230769162</v>
      </c>
      <c r="CN335" s="151">
        <f>INPUT!EK294</f>
        <v>161</v>
      </c>
      <c r="CO335" s="687">
        <f>INPUT!EL294</f>
        <v>1.2578616352201255</v>
      </c>
      <c r="CP335" s="151">
        <f>INPUT!EM294</f>
        <v>169</v>
      </c>
      <c r="CQ335" s="687">
        <f>INPUT!EN294</f>
        <v>5.6249999999999911</v>
      </c>
      <c r="CR335" s="151">
        <f>INPUT!EO294</f>
        <v>190</v>
      </c>
      <c r="CS335" s="687">
        <f>INPUT!EP294</f>
        <v>3.2608695652173836</v>
      </c>
      <c r="CT335" s="151">
        <f>INPUT!EQ294</f>
        <v>175.46165000000002</v>
      </c>
      <c r="CU335" s="687">
        <f>INPUT!ER294</f>
        <v>10.353238993710701</v>
      </c>
      <c r="CV335" s="151">
        <f>INPUT!ES294</f>
        <v>187.29193312499999</v>
      </c>
      <c r="CW335" s="687">
        <f>INPUT!ET294</f>
        <v>16.3303932453416</v>
      </c>
      <c r="CX335" s="151">
        <f>INPUT!EU294</f>
        <v>328.09649470937501</v>
      </c>
      <c r="CY335" s="687">
        <f>INPUT!EV294</f>
        <v>94.139937697855032</v>
      </c>
      <c r="CZ335" s="151">
        <f>INPUT!EW294</f>
        <v>332.80163860839059</v>
      </c>
      <c r="DA335" s="687">
        <f>INPUT!EX294</f>
        <v>75.158757162310835</v>
      </c>
      <c r="DB335" s="16"/>
      <c r="DC335" s="151"/>
      <c r="DD335" s="687"/>
      <c r="DE335" s="151">
        <f>INPUT!FR294</f>
        <v>237.7</v>
      </c>
      <c r="DF335" s="687" t="str">
        <f>INPUT!FS294</f>
        <v>NA</v>
      </c>
      <c r="DG335" s="151">
        <f>INPUT!FT294</f>
        <v>334.70000000000005</v>
      </c>
      <c r="DH335" s="687">
        <f>INPUT!FU294</f>
        <v>40.807740849810713</v>
      </c>
      <c r="DI335" s="151">
        <f>INPUT!FV294</f>
        <v>366.09999999999997</v>
      </c>
      <c r="DJ335" s="687">
        <f>INPUT!FW294</f>
        <v>9.3815357036151514</v>
      </c>
      <c r="DK335" s="151">
        <f>INPUT!FX294</f>
        <v>417.8</v>
      </c>
      <c r="DL335" s="687">
        <f>INPUT!FY294</f>
        <v>14.121824638077051</v>
      </c>
      <c r="DM335" s="151">
        <f>INPUT!FZ294</f>
        <v>433</v>
      </c>
      <c r="DN335" s="687">
        <f>INPUT!GA294</f>
        <v>3.6381043561512616</v>
      </c>
      <c r="DO335" s="151">
        <f>INPUT!GB294</f>
        <v>487</v>
      </c>
      <c r="DP335" s="687">
        <f>INPUT!GC294</f>
        <v>12.471131639722866</v>
      </c>
      <c r="DQ335" s="151">
        <f>INPUT!GD294</f>
        <v>563</v>
      </c>
      <c r="DR335" s="687">
        <f>INPUT!GE294</f>
        <v>15.605749486652986</v>
      </c>
      <c r="DS335" s="151">
        <f>INPUT!GF294</f>
        <v>632</v>
      </c>
      <c r="DT335" s="687">
        <f>INPUT!GG294</f>
        <v>12.255772646536411</v>
      </c>
      <c r="DU335" s="151">
        <f>INPUT!GH294</f>
        <v>654</v>
      </c>
      <c r="DV335" s="687">
        <f>INPUT!GI294</f>
        <v>3.4810126582278444</v>
      </c>
      <c r="DW335" s="151">
        <f>INPUT!GJ294</f>
        <v>649</v>
      </c>
      <c r="DX335" s="687">
        <f>INPUT!GK294</f>
        <v>-0.76452599388379117</v>
      </c>
      <c r="DY335" s="151">
        <f>INPUT!GL294</f>
        <v>659</v>
      </c>
      <c r="DZ335" s="687">
        <f>INPUT!GM294</f>
        <v>1.5408320493066174</v>
      </c>
      <c r="EA335" s="151">
        <f>INPUT!GN294</f>
        <v>679</v>
      </c>
      <c r="EB335" s="687">
        <f>INPUT!GO294</f>
        <v>3.0349013657056112</v>
      </c>
      <c r="EC335" s="151">
        <f>INPUT!GP294</f>
        <v>1023.6517164427656</v>
      </c>
      <c r="ED335" s="687">
        <f>INPUT!GQ294</f>
        <v>50.758721125591407</v>
      </c>
      <c r="EE335" s="151">
        <f>INPUT!GR294</f>
        <v>1290.2900941326484</v>
      </c>
      <c r="EF335" s="687">
        <f>INPUT!GS294</f>
        <v>26.047763453810525</v>
      </c>
      <c r="EG335" s="151">
        <f>INPUT!GT294</f>
        <v>1261.3132153592258</v>
      </c>
      <c r="EH335" s="687">
        <f>INPUT!GU294</f>
        <v>-2.2457646466627623</v>
      </c>
      <c r="EI335" s="151">
        <f>INPUT!GV294</f>
        <v>1268.8072263872232</v>
      </c>
      <c r="EJ335" s="687">
        <f>INPUT!GW294</f>
        <v>0.59414354315341367</v>
      </c>
      <c r="EK335" s="151">
        <f>INPUT!GX294</f>
        <v>1276.3565028693845</v>
      </c>
      <c r="EL335" s="687">
        <f>INPUT!GY294</f>
        <v>0.59499002883653951</v>
      </c>
      <c r="EM335" s="687">
        <f>INPUT!GZ294</f>
        <v>13.454165100465932</v>
      </c>
    </row>
    <row r="336" spans="1:152" ht="12.75" hidden="1" customHeight="1" outlineLevel="1" x14ac:dyDescent="0.2">
      <c r="A336" s="701" t="str">
        <f>INPUT!B295</f>
        <v xml:space="preserve">   Net DAC and VOBA Amortization</v>
      </c>
      <c r="B336" s="151"/>
      <c r="C336" s="687"/>
      <c r="D336" s="151">
        <f>INPUT!BA295</f>
        <v>-5.1999999999999993</v>
      </c>
      <c r="E336" s="687" t="str">
        <f>INPUT!BB295</f>
        <v>NA</v>
      </c>
      <c r="F336" s="151">
        <f>INPUT!BC295</f>
        <v>-4.7000000000000011</v>
      </c>
      <c r="G336" s="687" t="str">
        <f>INPUT!BD295</f>
        <v>NA</v>
      </c>
      <c r="H336" s="151">
        <f>INPUT!BE295</f>
        <v>-11.600000000000001</v>
      </c>
      <c r="I336" s="687" t="str">
        <f>INPUT!BF295</f>
        <v>NA</v>
      </c>
      <c r="J336" s="151">
        <f>INPUT!BG295</f>
        <v>-3.5999999999999996</v>
      </c>
      <c r="K336" s="687" t="str">
        <f>INPUT!BH295</f>
        <v>NA</v>
      </c>
      <c r="L336" s="151">
        <f>INPUT!BI295</f>
        <v>-7.7</v>
      </c>
      <c r="M336" s="687">
        <f>INPUT!BJ295</f>
        <v>48.076923076923109</v>
      </c>
      <c r="N336" s="151">
        <f>INPUT!BK295</f>
        <v>-4.9000000000000004</v>
      </c>
      <c r="O336" s="687">
        <f>INPUT!BL295</f>
        <v>4.2553191489361541</v>
      </c>
      <c r="P336" s="151">
        <f>INPUT!BM295</f>
        <v>7</v>
      </c>
      <c r="Q336" s="687" t="str">
        <f>INPUT!BN295</f>
        <v>NM</v>
      </c>
      <c r="R336" s="151">
        <f>INPUT!BO295</f>
        <v>5.7000000000000011</v>
      </c>
      <c r="S336" s="687" t="str">
        <f>INPUT!BP295</f>
        <v>NM</v>
      </c>
      <c r="T336" s="151">
        <f>INPUT!BQ295</f>
        <v>4.1999999999999993</v>
      </c>
      <c r="U336" s="687" t="str">
        <f>INPUT!BR295</f>
        <v>NM</v>
      </c>
      <c r="V336" s="151">
        <f>INPUT!BS295</f>
        <v>3.9000000000000004</v>
      </c>
      <c r="W336" s="687" t="str">
        <f>INPUT!BT295</f>
        <v>NM</v>
      </c>
      <c r="X336" s="151">
        <f>INPUT!BU295</f>
        <v>-8.8000000000000007</v>
      </c>
      <c r="Y336" s="687" t="str">
        <f>INPUT!BV295</f>
        <v>NM</v>
      </c>
      <c r="Z336" s="151">
        <f>INPUT!BW295</f>
        <v>-2.7999999999999989</v>
      </c>
      <c r="AA336" s="687" t="str">
        <f>INPUT!BX295</f>
        <v>NM</v>
      </c>
      <c r="AB336" s="151">
        <f>INPUT!BY295</f>
        <v>-1.0999999999999996</v>
      </c>
      <c r="AC336" s="687" t="str">
        <f>INPUT!BZ295</f>
        <v>NM</v>
      </c>
      <c r="AD336" s="151">
        <f>INPUT!CA295</f>
        <v>-1.4000000000000004</v>
      </c>
      <c r="AE336" s="687" t="str">
        <f>INPUT!CB295</f>
        <v>NM</v>
      </c>
      <c r="AF336" s="151">
        <f>INPUT!CC295</f>
        <v>-8.2000000000000011</v>
      </c>
      <c r="AG336" s="687">
        <f>INPUT!CD295</f>
        <v>-6.8181818181818121</v>
      </c>
      <c r="AH336" s="151">
        <f>INPUT!CE295</f>
        <v>-3.5999999999999996</v>
      </c>
      <c r="AI336" s="687">
        <f>INPUT!CF295</f>
        <v>28.571428571428605</v>
      </c>
      <c r="AJ336" s="151">
        <f>INPUT!CG295</f>
        <v>-2.9000000000000004</v>
      </c>
      <c r="AK336" s="687" t="str">
        <f>INPUT!CH295</f>
        <v>NM</v>
      </c>
      <c r="AL336" s="151">
        <f>INPUT!CI295</f>
        <v>2.3999999999999986</v>
      </c>
      <c r="AM336" s="687" t="str">
        <f>INPUT!CJ295</f>
        <v>NM</v>
      </c>
      <c r="AN336" s="151">
        <f>INPUT!CK295</f>
        <v>-6.8000000000000007</v>
      </c>
      <c r="AO336" s="687">
        <f>INPUT!CL295</f>
        <v>-17.073170731707322</v>
      </c>
      <c r="AP336" s="151">
        <f>INPUT!CM295</f>
        <v>0.69999999999999929</v>
      </c>
      <c r="AQ336" s="687" t="str">
        <f>INPUT!CN295</f>
        <v>NM</v>
      </c>
      <c r="AR336" s="151">
        <f>INPUT!CO295</f>
        <v>-0.5</v>
      </c>
      <c r="AS336" s="687" t="str">
        <f>INPUT!CP295</f>
        <v>NM</v>
      </c>
      <c r="AT336" s="151">
        <f>INPUT!CQ295</f>
        <v>-3.7999999999999989</v>
      </c>
      <c r="AU336" s="687" t="str">
        <f>INPUT!CR295</f>
        <v>NM</v>
      </c>
      <c r="AV336" s="151">
        <f>INPUT!CS295</f>
        <v>-10</v>
      </c>
      <c r="AW336" s="687">
        <f>INPUT!CT295</f>
        <v>47.058823529411754</v>
      </c>
      <c r="AX336" s="151">
        <f>INPUT!CU295</f>
        <v>1</v>
      </c>
      <c r="AY336" s="687">
        <f>INPUT!CV295</f>
        <v>42.857142857142996</v>
      </c>
      <c r="AZ336" s="151">
        <f>INPUT!CW295</f>
        <v>-6</v>
      </c>
      <c r="BA336" s="687" t="str">
        <f>INPUT!CX295</f>
        <v>NM</v>
      </c>
      <c r="BB336" s="151">
        <f>INPUT!CY295</f>
        <v>-5</v>
      </c>
      <c r="BC336" s="687">
        <f>INPUT!CZ295</f>
        <v>31.578947368421083</v>
      </c>
      <c r="BD336" s="151">
        <f>INPUT!DA295</f>
        <v>-17</v>
      </c>
      <c r="BE336" s="687">
        <f>INPUT!DB295</f>
        <v>70</v>
      </c>
      <c r="BF336" s="151">
        <f>INPUT!DC295</f>
        <v>0</v>
      </c>
      <c r="BG336" s="687" t="str">
        <f>INPUT!DD295</f>
        <v>NM</v>
      </c>
      <c r="BH336" s="151">
        <f>INPUT!DE295</f>
        <v>-9</v>
      </c>
      <c r="BI336" s="687">
        <f>INPUT!DF295</f>
        <v>50</v>
      </c>
      <c r="BJ336" s="151">
        <f>INPUT!DG295</f>
        <v>-10</v>
      </c>
      <c r="BK336" s="687">
        <f>INPUT!DH295</f>
        <v>100</v>
      </c>
      <c r="BL336" s="151">
        <f>INPUT!DI295</f>
        <v>-20</v>
      </c>
      <c r="BM336" s="687">
        <f>INPUT!DJ295</f>
        <v>17.647058823529417</v>
      </c>
      <c r="BN336" s="151">
        <f>INPUT!DK295</f>
        <v>3</v>
      </c>
      <c r="BO336" s="687" t="str">
        <f>INPUT!DL295</f>
        <v>NA</v>
      </c>
      <c r="BP336" s="151">
        <f>INPUT!DM295</f>
        <v>-7</v>
      </c>
      <c r="BQ336" s="687">
        <f>INPUT!DN295</f>
        <v>-22.222222222222221</v>
      </c>
      <c r="BR336" s="151">
        <f>INPUT!DO295</f>
        <v>2</v>
      </c>
      <c r="BS336" s="687" t="str">
        <f>INPUT!DP295</f>
        <v>NM</v>
      </c>
      <c r="BT336" s="151">
        <f>INPUT!DQ295</f>
        <v>-16</v>
      </c>
      <c r="BU336" s="687">
        <f>INPUT!DR295</f>
        <v>-19.999999999999996</v>
      </c>
      <c r="BV336" s="151">
        <f>INPUT!DS295</f>
        <v>14</v>
      </c>
      <c r="BW336" s="687" t="str">
        <f>INPUT!DT295</f>
        <v>NM</v>
      </c>
      <c r="BX336" s="151">
        <f>INPUT!DU295</f>
        <v>3</v>
      </c>
      <c r="BY336" s="687" t="str">
        <f>INPUT!DV295</f>
        <v>NM</v>
      </c>
      <c r="BZ336" s="151">
        <f>INPUT!DW295</f>
        <v>1</v>
      </c>
      <c r="CA336" s="687">
        <f>INPUT!DX295</f>
        <v>1</v>
      </c>
      <c r="CB336" s="151">
        <f>INPUT!DY295</f>
        <v>-10</v>
      </c>
      <c r="CC336" s="687">
        <f>INPUT!DZ295</f>
        <v>-37.5</v>
      </c>
      <c r="CD336" s="151">
        <f>INPUT!EA295</f>
        <v>30</v>
      </c>
      <c r="CE336" s="687" t="str">
        <f>INPUT!EB295</f>
        <v>NM</v>
      </c>
      <c r="CF336" s="151">
        <f>INPUT!EC295</f>
        <v>-2</v>
      </c>
      <c r="CG336" s="687" t="str">
        <f>INPUT!ED295</f>
        <v>NM</v>
      </c>
      <c r="CH336" s="151">
        <f>INPUT!EE295</f>
        <v>39</v>
      </c>
      <c r="CI336" s="687" t="str">
        <f>INPUT!EF295</f>
        <v>NM</v>
      </c>
      <c r="CJ336" s="151">
        <f>INPUT!EG295</f>
        <v>-17</v>
      </c>
      <c r="CK336" s="687">
        <f>INPUT!EH295</f>
        <v>70</v>
      </c>
      <c r="CL336" s="151">
        <f>INPUT!EI295</f>
        <v>20</v>
      </c>
      <c r="CM336" s="687">
        <f>INPUT!EJ295</f>
        <v>-33.333333333333336</v>
      </c>
      <c r="CN336" s="151">
        <f>INPUT!EK295</f>
        <v>1</v>
      </c>
      <c r="CO336" s="687" t="str">
        <f>INPUT!EL295</f>
        <v>NM</v>
      </c>
      <c r="CP336" s="151">
        <f>INPUT!EM295</f>
        <v>-2</v>
      </c>
      <c r="CQ336" s="687" t="str">
        <f>INPUT!EN295</f>
        <v>NM</v>
      </c>
      <c r="CR336" s="151">
        <f>INPUT!EO295</f>
        <v>-8</v>
      </c>
      <c r="CS336" s="687" t="str">
        <f>INPUT!EP295</f>
        <v>NM</v>
      </c>
      <c r="CT336" s="151">
        <f>INPUT!EQ295</f>
        <v>10</v>
      </c>
      <c r="CU336" s="687">
        <f>INPUT!ER295</f>
        <v>-50</v>
      </c>
      <c r="CV336" s="151">
        <f>INPUT!ES295</f>
        <v>-2</v>
      </c>
      <c r="CW336" s="687" t="str">
        <f>INPUT!ET295</f>
        <v>NM</v>
      </c>
      <c r="CX336" s="151">
        <f>INPUT!EU295</f>
        <v>-2</v>
      </c>
      <c r="CY336" s="687">
        <f>INPUT!EV295</f>
        <v>0</v>
      </c>
      <c r="CZ336" s="151">
        <f>INPUT!EW295</f>
        <v>-2</v>
      </c>
      <c r="DA336" s="687" t="str">
        <f>INPUT!EX295</f>
        <v>NM</v>
      </c>
      <c r="DB336" s="16"/>
      <c r="DC336" s="151"/>
      <c r="DD336" s="687"/>
      <c r="DE336" s="151">
        <f>INPUT!FR295</f>
        <v>-21.5</v>
      </c>
      <c r="DF336" s="687" t="str">
        <f>INPUT!FS295</f>
        <v>NA</v>
      </c>
      <c r="DG336" s="151">
        <f>INPUT!FT295</f>
        <v>-9.2000000000000028</v>
      </c>
      <c r="DH336" s="687" t="str">
        <f>INPUT!FU295</f>
        <v>NM</v>
      </c>
      <c r="DI336" s="151">
        <f>INPUT!FV295</f>
        <v>5</v>
      </c>
      <c r="DJ336" s="687" t="str">
        <f>INPUT!FW295</f>
        <v>NM</v>
      </c>
      <c r="DK336" s="151">
        <f>INPUT!FX295</f>
        <v>-13.5</v>
      </c>
      <c r="DL336" s="687" t="str">
        <f>INPUT!FY295</f>
        <v>NM</v>
      </c>
      <c r="DM336" s="151">
        <f>INPUT!FZ295</f>
        <v>-10.900000000000002</v>
      </c>
      <c r="DN336" s="687">
        <f>INPUT!GA295</f>
        <v>-19.259259259259242</v>
      </c>
      <c r="DO336" s="151">
        <f>INPUT!GB295</f>
        <v>-13.6</v>
      </c>
      <c r="DP336" s="687">
        <f>INPUT!GC295</f>
        <v>24.770642201834825</v>
      </c>
      <c r="DQ336" s="151">
        <f>INPUT!GD295</f>
        <v>-27</v>
      </c>
      <c r="DR336" s="687">
        <f>INPUT!GE295</f>
        <v>98.529411764705884</v>
      </c>
      <c r="DS336" s="151">
        <f>INPUT!GF295</f>
        <v>-39</v>
      </c>
      <c r="DT336" s="687">
        <f>INPUT!GG295</f>
        <v>44.444444444444443</v>
      </c>
      <c r="DU336" s="151">
        <f>INPUT!GH295</f>
        <v>-18</v>
      </c>
      <c r="DV336" s="687" t="str">
        <f>INPUT!GI295</f>
        <v>NM</v>
      </c>
      <c r="DW336" s="151">
        <f>INPUT!GJ295</f>
        <v>8</v>
      </c>
      <c r="DX336" s="687" t="str">
        <f>INPUT!GK295</f>
        <v>NM</v>
      </c>
      <c r="DY336" s="151">
        <f>INPUT!GL295</f>
        <v>50</v>
      </c>
      <c r="DZ336" s="687" t="str">
        <f>INPUT!GM295</f>
        <v>NM</v>
      </c>
      <c r="EA336" s="151">
        <f>INPUT!GN295</f>
        <v>11</v>
      </c>
      <c r="EB336" s="687" t="str">
        <f>INPUT!GO295</f>
        <v>NM</v>
      </c>
      <c r="EC336" s="151">
        <f>INPUT!GP295</f>
        <v>4</v>
      </c>
      <c r="ED336" s="687" t="str">
        <f>INPUT!GQ295</f>
        <v>NM</v>
      </c>
      <c r="EE336" s="151">
        <f>INPUT!GR295</f>
        <v>4.2</v>
      </c>
      <c r="EF336" s="687">
        <f>INPUT!GS295</f>
        <v>5.0000000000000044</v>
      </c>
      <c r="EG336" s="151">
        <f>INPUT!GT295</f>
        <v>4.41</v>
      </c>
      <c r="EH336" s="687">
        <f>INPUT!GU295</f>
        <v>5.0000000000000044</v>
      </c>
      <c r="EI336" s="151">
        <f>INPUT!GV295</f>
        <v>4.6305000000000005</v>
      </c>
      <c r="EJ336" s="687">
        <f>INPUT!GW295</f>
        <v>5.0000000000000044</v>
      </c>
      <c r="EK336" s="151">
        <f>INPUT!GX295</f>
        <v>4.8620250000000009</v>
      </c>
      <c r="EL336" s="687">
        <f>INPUT!GY295</f>
        <v>5.0000000000000044</v>
      </c>
      <c r="EM336" s="687">
        <f>INPUT!GZ295</f>
        <v>-15.065350193360983</v>
      </c>
    </row>
    <row r="337" spans="1:143" ht="12.75" hidden="1" customHeight="1" outlineLevel="1" x14ac:dyDescent="0.2">
      <c r="A337" s="701" t="str">
        <f>INPUT!B296</f>
        <v>Total Operating and Acquisition Exp</v>
      </c>
      <c r="B337" s="16"/>
      <c r="C337" s="687"/>
      <c r="D337" s="16">
        <f>INPUT!BA296</f>
        <v>72</v>
      </c>
      <c r="E337" s="687">
        <f>INPUT!BB296</f>
        <v>2.5801763809143896</v>
      </c>
      <c r="F337" s="16">
        <f>INPUT!BC296</f>
        <v>74.599999999999994</v>
      </c>
      <c r="G337" s="687">
        <f>INPUT!BD296</f>
        <v>7.0500954266936366</v>
      </c>
      <c r="H337" s="16">
        <f>INPUT!BE296</f>
        <v>69.599999999999994</v>
      </c>
      <c r="I337" s="687">
        <f>INPUT!BF296</f>
        <v>-2.2307130415238685</v>
      </c>
      <c r="J337" s="16">
        <f>INPUT!BG296</f>
        <v>78.3</v>
      </c>
      <c r="K337" s="687" t="str">
        <f>INPUT!BH296</f>
        <v>NA</v>
      </c>
      <c r="L337" s="16">
        <f>INPUT!BI296</f>
        <v>80.7</v>
      </c>
      <c r="M337" s="687">
        <f>INPUT!BJ296</f>
        <v>12.083333333333336</v>
      </c>
      <c r="N337" s="16">
        <f>INPUT!BK296</f>
        <v>81.400000000000006</v>
      </c>
      <c r="O337" s="687">
        <f>INPUT!BL296</f>
        <v>9.1152815013404886</v>
      </c>
      <c r="P337" s="16">
        <f>INPUT!BM296</f>
        <v>85.1</v>
      </c>
      <c r="Q337" s="687">
        <f>INPUT!BN296</f>
        <v>22.270114942528728</v>
      </c>
      <c r="R337" s="16">
        <f>INPUT!BO296</f>
        <v>89.6</v>
      </c>
      <c r="S337" s="687">
        <f>INPUT!BP296</f>
        <v>14.431673052362704</v>
      </c>
      <c r="T337" s="16">
        <f>INPUT!BQ296</f>
        <v>89.3</v>
      </c>
      <c r="U337" s="687">
        <f>INPUT!BR296</f>
        <v>10.656753407682773</v>
      </c>
      <c r="V337" s="16">
        <f>INPUT!BS296</f>
        <v>91.8</v>
      </c>
      <c r="W337" s="687">
        <f>INPUT!BT296</f>
        <v>12.776412776412771</v>
      </c>
      <c r="X337" s="16">
        <f>INPUT!BU296</f>
        <v>100.4</v>
      </c>
      <c r="Y337" s="687">
        <f>INPUT!BV296</f>
        <v>17.978848413631042</v>
      </c>
      <c r="Z337" s="16">
        <f>INPUT!BW296</f>
        <v>99.899999999999991</v>
      </c>
      <c r="AA337" s="687">
        <f>INPUT!BX296</f>
        <v>11.495535714285721</v>
      </c>
      <c r="AB337" s="16">
        <f>INPUT!BY296</f>
        <v>98.5</v>
      </c>
      <c r="AC337" s="687">
        <f>INPUT!BZ296</f>
        <v>10.302351623740202</v>
      </c>
      <c r="AD337" s="16">
        <f>INPUT!CA296</f>
        <v>99.8</v>
      </c>
      <c r="AE337" s="687">
        <f>INPUT!CB296</f>
        <v>8.7145969498910745</v>
      </c>
      <c r="AF337" s="16">
        <f>INPUT!CC296</f>
        <v>106.10000000000001</v>
      </c>
      <c r="AG337" s="687">
        <f>INPUT!CD296</f>
        <v>5.6772908366533814</v>
      </c>
      <c r="AH337" s="16">
        <f>INPUT!CE296</f>
        <v>101.6</v>
      </c>
      <c r="AI337" s="687">
        <f>INPUT!CF296</f>
        <v>1.7017017017016967</v>
      </c>
      <c r="AJ337" s="16">
        <f>INPUT!CG296</f>
        <v>101.3</v>
      </c>
      <c r="AK337" s="687">
        <f>INPUT!CH296</f>
        <v>2.8426395939086246</v>
      </c>
      <c r="AL337" s="16">
        <f>INPUT!CI296</f>
        <v>106.4</v>
      </c>
      <c r="AM337" s="687">
        <f>INPUT!CJ296</f>
        <v>6.6132264529058293</v>
      </c>
      <c r="AN337" s="16">
        <f>INPUT!CK296</f>
        <v>112.8</v>
      </c>
      <c r="AO337" s="687">
        <f>INPUT!CL296</f>
        <v>6.3147973609801955</v>
      </c>
      <c r="AP337" s="16">
        <f>INPUT!CM296</f>
        <v>113.1</v>
      </c>
      <c r="AQ337" s="687">
        <f>INPUT!CN296</f>
        <v>11.318897637795278</v>
      </c>
      <c r="AR337" s="16">
        <f>INPUT!CO296</f>
        <v>115.3</v>
      </c>
      <c r="AS337" s="687">
        <f>INPUT!CP296</f>
        <v>13.820335636722604</v>
      </c>
      <c r="AT337" s="16">
        <f>INPUT!CQ296</f>
        <v>118</v>
      </c>
      <c r="AU337" s="687">
        <f>INPUT!CR296</f>
        <v>10.902255639097746</v>
      </c>
      <c r="AV337" s="16">
        <f>INPUT!CS296</f>
        <v>127</v>
      </c>
      <c r="AW337" s="687">
        <f>INPUT!CT296</f>
        <v>12.588652482269502</v>
      </c>
      <c r="AX337" s="16">
        <f>INPUT!CU296</f>
        <v>129</v>
      </c>
      <c r="AY337" s="687">
        <f>INPUT!CV296</f>
        <v>14.058355437665782</v>
      </c>
      <c r="AZ337" s="16">
        <f>INPUT!CW296</f>
        <v>130</v>
      </c>
      <c r="BA337" s="687">
        <f>INPUT!CX296</f>
        <v>12.749349522983522</v>
      </c>
      <c r="BB337" s="16">
        <f>INPUT!CY296</f>
        <v>133</v>
      </c>
      <c r="BC337" s="687">
        <f>INPUT!CZ296</f>
        <v>12.711864406779672</v>
      </c>
      <c r="BD337" s="16">
        <f>INPUT!DA296</f>
        <v>144</v>
      </c>
      <c r="BE337" s="687">
        <f>INPUT!DB296</f>
        <v>13.385826771653541</v>
      </c>
      <c r="BF337" s="16">
        <f>INPUT!DC296</f>
        <v>144</v>
      </c>
      <c r="BG337" s="687">
        <f>INPUT!DD296</f>
        <v>11.627906976744185</v>
      </c>
      <c r="BH337" s="16">
        <f>INPUT!DE296</f>
        <v>144</v>
      </c>
      <c r="BI337" s="687">
        <f>INPUT!DF296</f>
        <v>10.769230769230775</v>
      </c>
      <c r="BJ337" s="16">
        <f>INPUT!DG296</f>
        <v>143</v>
      </c>
      <c r="BK337" s="687">
        <f>INPUT!DH296</f>
        <v>7.5187969924812137</v>
      </c>
      <c r="BL337" s="16">
        <f>INPUT!DI296</f>
        <v>162</v>
      </c>
      <c r="BM337" s="687">
        <f>INPUT!DJ296</f>
        <v>12.5</v>
      </c>
      <c r="BN337" s="16">
        <f>INPUT!DK296</f>
        <v>157</v>
      </c>
      <c r="BO337" s="687">
        <f>INPUT!DL296</f>
        <v>9.0277777777777679</v>
      </c>
      <c r="BP337" s="16">
        <f>INPUT!DM296</f>
        <v>155</v>
      </c>
      <c r="BQ337" s="687">
        <f>INPUT!DN296</f>
        <v>7.638888888888884</v>
      </c>
      <c r="BR337" s="16">
        <f>INPUT!DO296</f>
        <v>158</v>
      </c>
      <c r="BS337" s="687">
        <f>INPUT!DP296</f>
        <v>10.489510489510479</v>
      </c>
      <c r="BT337" s="16">
        <f>INPUT!DQ296</f>
        <v>166</v>
      </c>
      <c r="BU337" s="687">
        <f>INPUT!DR296</f>
        <v>2.4691358024691468</v>
      </c>
      <c r="BV337" s="16">
        <f>INPUT!DS296</f>
        <v>175</v>
      </c>
      <c r="BW337" s="687">
        <f>INPUT!DT296</f>
        <v>11.464968152866239</v>
      </c>
      <c r="BX337" s="16">
        <f>INPUT!DU296</f>
        <v>166</v>
      </c>
      <c r="BY337" s="687">
        <f>INPUT!DV296</f>
        <v>7.0967741935483941</v>
      </c>
      <c r="BZ337" s="16">
        <f>INPUT!DW296</f>
        <v>158</v>
      </c>
      <c r="CA337" s="687">
        <f>INPUT!DX296</f>
        <v>158</v>
      </c>
      <c r="CB337" s="16">
        <f>INPUT!DY296</f>
        <v>158</v>
      </c>
      <c r="CC337" s="687">
        <f>INPUT!DZ296</f>
        <v>-4.8192771084337398</v>
      </c>
      <c r="CD337" s="16">
        <f>INPUT!EA296</f>
        <v>186</v>
      </c>
      <c r="CE337" s="687">
        <f>INPUT!EB296</f>
        <v>6.2857142857142945</v>
      </c>
      <c r="CF337" s="16">
        <f>INPUT!EC296</f>
        <v>157</v>
      </c>
      <c r="CG337" s="687">
        <f>INPUT!ED296</f>
        <v>-5.4216867469879526</v>
      </c>
      <c r="CH337" s="16">
        <f>INPUT!EE296</f>
        <v>199</v>
      </c>
      <c r="CI337" s="687">
        <f>INPUT!EF296</f>
        <v>25.949367088607602</v>
      </c>
      <c r="CJ337" s="16">
        <f>INPUT!EG296</f>
        <v>167</v>
      </c>
      <c r="CK337" s="687">
        <f>INPUT!EH296</f>
        <v>5.6962025316455778</v>
      </c>
      <c r="CL337" s="16">
        <f>INPUT!EI296</f>
        <v>179</v>
      </c>
      <c r="CM337" s="687">
        <f>INPUT!EJ296</f>
        <v>-3.7634408602150504</v>
      </c>
      <c r="CN337" s="16">
        <f>INPUT!EK296</f>
        <v>162</v>
      </c>
      <c r="CO337" s="687">
        <f>INPUT!EL296</f>
        <v>3.1847133757961776</v>
      </c>
      <c r="CP337" s="16">
        <f>INPUT!EM296</f>
        <v>167</v>
      </c>
      <c r="CQ337" s="687">
        <f>INPUT!EN296</f>
        <v>-16.080402010050253</v>
      </c>
      <c r="CR337" s="16">
        <f>INPUT!EO296</f>
        <v>182</v>
      </c>
      <c r="CS337" s="687">
        <f>INPUT!EP296</f>
        <v>8.9820359281437057</v>
      </c>
      <c r="CT337" s="16">
        <f>INPUT!EQ296</f>
        <v>185.46165000000002</v>
      </c>
      <c r="CU337" s="687">
        <f>INPUT!ER296</f>
        <v>3.6098603351955472</v>
      </c>
      <c r="CV337" s="16">
        <f>INPUT!ES296</f>
        <v>185.29193312499999</v>
      </c>
      <c r="CW337" s="687">
        <f>INPUT!ET296</f>
        <v>14.377736496913563</v>
      </c>
      <c r="CX337" s="16">
        <f>INPUT!EU296</f>
        <v>326.09649470937501</v>
      </c>
      <c r="CY337" s="687">
        <f>INPUT!EV296</f>
        <v>95.267362101422165</v>
      </c>
      <c r="CZ337" s="16">
        <f>INPUT!EW296</f>
        <v>330.80163860839059</v>
      </c>
      <c r="DA337" s="687">
        <f>INPUT!EX296</f>
        <v>81.75914209252231</v>
      </c>
      <c r="DB337" s="16"/>
      <c r="DC337" s="16"/>
      <c r="DD337" s="687"/>
      <c r="DE337" s="16">
        <f>INPUT!FR296</f>
        <v>216.2</v>
      </c>
      <c r="DF337" s="687">
        <f>INPUT!FS296</f>
        <v>-23.909409259682903</v>
      </c>
      <c r="DG337" s="16">
        <f>INPUT!FT296</f>
        <v>325.5</v>
      </c>
      <c r="DH337" s="687">
        <f>INPUT!FU296</f>
        <v>50.555041628122119</v>
      </c>
      <c r="DI337" s="16">
        <f>INPUT!FV296</f>
        <v>371.1</v>
      </c>
      <c r="DJ337" s="687">
        <f>INPUT!FW296</f>
        <v>14.009216589861762</v>
      </c>
      <c r="DK337" s="16">
        <f>INPUT!FX296</f>
        <v>404.3</v>
      </c>
      <c r="DL337" s="687">
        <f>INPUT!FY296</f>
        <v>8.9463756399892134</v>
      </c>
      <c r="DM337" s="16">
        <f>INPUT!FZ296</f>
        <v>422.09999999999997</v>
      </c>
      <c r="DN337" s="687">
        <f>INPUT!GA296</f>
        <v>4.4026712837002213</v>
      </c>
      <c r="DO337" s="16">
        <f>INPUT!GB296</f>
        <v>473.4</v>
      </c>
      <c r="DP337" s="687">
        <f>INPUT!GC296</f>
        <v>12.153518123667384</v>
      </c>
      <c r="DQ337" s="16">
        <f>INPUT!GD296</f>
        <v>536</v>
      </c>
      <c r="DR337" s="687">
        <f>INPUT!GE296</f>
        <v>13.223489649345165</v>
      </c>
      <c r="DS337" s="16">
        <f>INPUT!GF296</f>
        <v>593</v>
      </c>
      <c r="DT337" s="687">
        <f>INPUT!GG296</f>
        <v>10.634328358208943</v>
      </c>
      <c r="DU337" s="16">
        <f>INPUT!GH296</f>
        <v>636</v>
      </c>
      <c r="DV337" s="687">
        <f>INPUT!GI296</f>
        <v>7.2512647554806131</v>
      </c>
      <c r="DW337" s="16">
        <f>INPUT!GJ296</f>
        <v>657</v>
      </c>
      <c r="DX337" s="687">
        <f>INPUT!GK296</f>
        <v>3.3018867924528239</v>
      </c>
      <c r="DY337" s="16">
        <f>INPUT!GL296</f>
        <v>709</v>
      </c>
      <c r="DZ337" s="687">
        <f>INPUT!GM296</f>
        <v>7.9147640791476404</v>
      </c>
      <c r="EA337" s="16">
        <f>INPUT!GN296</f>
        <v>690</v>
      </c>
      <c r="EB337" s="687">
        <f>INPUT!GO296</f>
        <v>-2.6798307475317307</v>
      </c>
      <c r="EC337" s="16">
        <f>INPUT!GP296</f>
        <v>1027.6517164427655</v>
      </c>
      <c r="ED337" s="687">
        <f>INPUT!GQ296</f>
        <v>48.935031368516732</v>
      </c>
      <c r="EE337" s="16">
        <f>INPUT!GR296</f>
        <v>1294.4900941326484</v>
      </c>
      <c r="EF337" s="687">
        <f>INPUT!GS296</f>
        <v>25.965837785348977</v>
      </c>
      <c r="EG337" s="16">
        <f>INPUT!GT296</f>
        <v>1265.7232153592258</v>
      </c>
      <c r="EH337" s="687">
        <f>INPUT!GU296</f>
        <v>-2.2222556127551862</v>
      </c>
      <c r="EI337" s="16">
        <f>INPUT!GV296</f>
        <v>1273.4377263872232</v>
      </c>
      <c r="EJ337" s="687">
        <f>INPUT!GW296</f>
        <v>0.60949431395298515</v>
      </c>
      <c r="EK337" s="16">
        <f>INPUT!GX296</f>
        <v>1281.2185278693844</v>
      </c>
      <c r="EL337" s="687">
        <f>INPUT!GY296</f>
        <v>0.61100761512975499</v>
      </c>
      <c r="EM337" s="687">
        <f>INPUT!GZ296</f>
        <v>13.176125977110376</v>
      </c>
    </row>
    <row r="338" spans="1:143" ht="12.75" hidden="1" customHeight="1" outlineLevel="1" x14ac:dyDescent="0.2">
      <c r="A338" s="700" t="str">
        <f>INPUT!B297</f>
        <v xml:space="preserve"> Total Benefits and Expenses</v>
      </c>
      <c r="B338" s="520"/>
      <c r="C338" s="687"/>
      <c r="D338" s="520">
        <f>INPUT!BA297</f>
        <v>298</v>
      </c>
      <c r="E338" s="687">
        <f>INPUT!BB297</f>
        <v>-1.1073980294487584</v>
      </c>
      <c r="F338" s="520">
        <f>INPUT!BC297</f>
        <v>287.89999999999998</v>
      </c>
      <c r="G338" s="687">
        <f>INPUT!BD297</f>
        <v>1.1116206038863652E-2</v>
      </c>
      <c r="H338" s="520">
        <f>INPUT!BE297</f>
        <v>293.60000000000002</v>
      </c>
      <c r="I338" s="687">
        <f>INPUT!BF297</f>
        <v>-0.40739346203030324</v>
      </c>
      <c r="J338" s="520">
        <f>INPUT!BG297</f>
        <v>324.89999999999998</v>
      </c>
      <c r="K338" s="687" t="str">
        <f>INPUT!BH297</f>
        <v>NA</v>
      </c>
      <c r="L338" s="520">
        <f>INPUT!BI297</f>
        <v>346.4</v>
      </c>
      <c r="M338" s="687">
        <f>INPUT!BJ297</f>
        <v>16.24161073825503</v>
      </c>
      <c r="N338" s="520">
        <f>INPUT!BK297</f>
        <v>316.39999999999998</v>
      </c>
      <c r="O338" s="687">
        <f>INPUT!BL297</f>
        <v>9.8992705800625238</v>
      </c>
      <c r="P338" s="520">
        <f>INPUT!BM297</f>
        <v>337.2</v>
      </c>
      <c r="Q338" s="687">
        <f>INPUT!BN297</f>
        <v>14.850136239781996</v>
      </c>
      <c r="R338" s="520">
        <f>INPUT!BO297</f>
        <v>359</v>
      </c>
      <c r="S338" s="687">
        <f>INPUT!BP297</f>
        <v>10.495537088334883</v>
      </c>
      <c r="T338" s="520">
        <f>INPUT!BQ297</f>
        <v>375.2</v>
      </c>
      <c r="U338" s="687">
        <f>INPUT!BR297</f>
        <v>8.3140877598152372</v>
      </c>
      <c r="V338" s="520">
        <f>INPUT!BS297</f>
        <v>360.8</v>
      </c>
      <c r="W338" s="687">
        <f>INPUT!BT297</f>
        <v>14.03286978508218</v>
      </c>
      <c r="X338" s="520">
        <f>INPUT!BU297</f>
        <v>384.1</v>
      </c>
      <c r="Y338" s="687">
        <f>INPUT!BV297</f>
        <v>13.908659549228952</v>
      </c>
      <c r="Z338" s="520">
        <f>INPUT!BW297</f>
        <v>381.9</v>
      </c>
      <c r="AA338" s="687">
        <f>INPUT!BX297</f>
        <v>6.3788300835654566</v>
      </c>
      <c r="AB338" s="520">
        <f>INPUT!BY297</f>
        <v>391.2</v>
      </c>
      <c r="AC338" s="687">
        <f>INPUT!BZ297</f>
        <v>4.2643923240938131</v>
      </c>
      <c r="AD338" s="520">
        <f>INPUT!CA297</f>
        <v>361.40000000000003</v>
      </c>
      <c r="AE338" s="687">
        <f>INPUT!CB297</f>
        <v>0.1662971175166339</v>
      </c>
      <c r="AF338" s="520">
        <f>INPUT!CC297</f>
        <v>387.20000000000005</v>
      </c>
      <c r="AG338" s="687">
        <f>INPUT!CD297</f>
        <v>0.80708148919552691</v>
      </c>
      <c r="AH338" s="520">
        <f>INPUT!CE297</f>
        <v>412.29999999999995</v>
      </c>
      <c r="AI338" s="687">
        <f>INPUT!CF297</f>
        <v>7.9601990049751103</v>
      </c>
      <c r="AJ338" s="520">
        <f>INPUT!CG297</f>
        <v>435.5</v>
      </c>
      <c r="AK338" s="687">
        <f>INPUT!CH297</f>
        <v>11.324130879345606</v>
      </c>
      <c r="AL338" s="520">
        <f>INPUT!CI297</f>
        <v>436.79999999999995</v>
      </c>
      <c r="AM338" s="687">
        <f>INPUT!CJ297</f>
        <v>20.863309352517966</v>
      </c>
      <c r="AN338" s="520">
        <f>INPUT!CK297</f>
        <v>436.6</v>
      </c>
      <c r="AO338" s="687">
        <f>INPUT!CL297</f>
        <v>12.758264462809921</v>
      </c>
      <c r="AP338" s="520">
        <f>INPUT!CM297</f>
        <v>440.69999999999993</v>
      </c>
      <c r="AQ338" s="687">
        <f>INPUT!CN297</f>
        <v>6.8881882124666394</v>
      </c>
      <c r="AR338" s="706">
        <f>INPUT!CO297</f>
        <v>461.20000000000005</v>
      </c>
      <c r="AS338" s="687">
        <f>INPUT!CP297</f>
        <v>5.9012629161883101</v>
      </c>
      <c r="AT338" s="520">
        <f>INPUT!CQ297</f>
        <v>438.1</v>
      </c>
      <c r="AU338" s="687">
        <f>INPUT!CR297</f>
        <v>0.29761904761906877</v>
      </c>
      <c r="AV338" s="520">
        <f>INPUT!CS297</f>
        <v>450</v>
      </c>
      <c r="AW338" s="687">
        <f>INPUT!CT297</f>
        <v>3.0691708657810235</v>
      </c>
      <c r="AX338" s="520">
        <f>INPUT!CU297</f>
        <v>479</v>
      </c>
      <c r="AY338" s="687">
        <f>INPUT!CV297</f>
        <v>8.690719310188344</v>
      </c>
      <c r="AZ338" s="520">
        <f>INPUT!CW297</f>
        <v>498</v>
      </c>
      <c r="BA338" s="687">
        <f>INPUT!CX297</f>
        <v>7.9791847354726775</v>
      </c>
      <c r="BB338" s="520">
        <f>INPUT!CY297</f>
        <v>493</v>
      </c>
      <c r="BC338" s="687">
        <f>INPUT!CZ297</f>
        <v>12.53138552841817</v>
      </c>
      <c r="BD338" s="520">
        <f>INPUT!DA297</f>
        <v>511</v>
      </c>
      <c r="BE338" s="687">
        <f>INPUT!DB297</f>
        <v>13.555555555555564</v>
      </c>
      <c r="BF338" s="520">
        <f>INPUT!DC297</f>
        <v>528</v>
      </c>
      <c r="BG338" s="687">
        <f>INPUT!DD297</f>
        <v>10.229645093945727</v>
      </c>
      <c r="BH338" s="520">
        <f>INPUT!DE297</f>
        <v>541</v>
      </c>
      <c r="BI338" s="687">
        <f>INPUT!DF297</f>
        <v>8.634538152610439</v>
      </c>
      <c r="BJ338" s="520">
        <f>INPUT!DG297</f>
        <v>525</v>
      </c>
      <c r="BK338" s="687">
        <f>INPUT!DH297</f>
        <v>6.4908722109533468</v>
      </c>
      <c r="BL338" s="520">
        <f>INPUT!DI297</f>
        <v>558</v>
      </c>
      <c r="BM338" s="687">
        <f>INPUT!DJ297</f>
        <v>9.1976516634050931</v>
      </c>
      <c r="BN338" s="520">
        <f>INPUT!DK297</f>
        <v>580</v>
      </c>
      <c r="BO338" s="687">
        <f>INPUT!DL297</f>
        <v>9.8484848484848406</v>
      </c>
      <c r="BP338" s="520">
        <f>INPUT!DM297</f>
        <v>618</v>
      </c>
      <c r="BQ338" s="687">
        <f>INPUT!DN297</f>
        <v>14.232902033271721</v>
      </c>
      <c r="BR338" s="520">
        <f>INPUT!DO297</f>
        <v>586</v>
      </c>
      <c r="BS338" s="687">
        <f>INPUT!DP297</f>
        <v>11.619047619047617</v>
      </c>
      <c r="BT338" s="520">
        <f>INPUT!DQ297</f>
        <v>626</v>
      </c>
      <c r="BU338" s="687">
        <f>INPUT!DR297</f>
        <v>12.186379928315416</v>
      </c>
      <c r="BV338" s="520">
        <f>INPUT!DS297</f>
        <v>615</v>
      </c>
      <c r="BW338" s="687">
        <f>INPUT!DT297</f>
        <v>6.0344827586206851</v>
      </c>
      <c r="BX338" s="520">
        <f>INPUT!DU297</f>
        <v>587</v>
      </c>
      <c r="BY338" s="687">
        <f>INPUT!DV297</f>
        <v>-5.0161812297734638</v>
      </c>
      <c r="BZ338" s="520">
        <f>INPUT!DW297</f>
        <v>544</v>
      </c>
      <c r="CA338" s="687">
        <f>INPUT!DX297</f>
        <v>544</v>
      </c>
      <c r="CB338" s="520">
        <f>INPUT!DY297</f>
        <v>545</v>
      </c>
      <c r="CC338" s="687">
        <f>INPUT!DZ297</f>
        <v>-12.939297124600635</v>
      </c>
      <c r="CD338" s="520">
        <f>INPUT!EA297</f>
        <v>526</v>
      </c>
      <c r="CE338" s="687">
        <f>INPUT!EB297</f>
        <v>-14.471544715447159</v>
      </c>
      <c r="CF338" s="520">
        <f>INPUT!EC297</f>
        <v>502</v>
      </c>
      <c r="CG338" s="687">
        <f>INPUT!ED297</f>
        <v>-14.480408858603067</v>
      </c>
      <c r="CH338" s="520">
        <f>INPUT!EE297</f>
        <v>490</v>
      </c>
      <c r="CI338" s="687">
        <f>INPUT!EF297</f>
        <v>-9.9264705882352917</v>
      </c>
      <c r="CJ338" s="520">
        <f>INPUT!EG297</f>
        <v>512</v>
      </c>
      <c r="CK338" s="687">
        <f>INPUT!EH297</f>
        <v>-6.0550458715596278</v>
      </c>
      <c r="CL338" s="520">
        <f>INPUT!EI297</f>
        <v>530</v>
      </c>
      <c r="CM338" s="687">
        <f>INPUT!EJ297</f>
        <v>0.76045627376426506</v>
      </c>
      <c r="CN338" s="520">
        <f>INPUT!EK297</f>
        <v>488</v>
      </c>
      <c r="CO338" s="687">
        <f>INPUT!EL297</f>
        <v>-2.7888446215139417</v>
      </c>
      <c r="CP338" s="520">
        <f>INPUT!EM297</f>
        <v>501</v>
      </c>
      <c r="CQ338" s="687">
        <f>INPUT!EN297</f>
        <v>2.2448979591836782</v>
      </c>
      <c r="CR338" s="520">
        <f>INPUT!EO297</f>
        <v>523</v>
      </c>
      <c r="CS338" s="687">
        <f>INPUT!EP297</f>
        <v>2.1484375</v>
      </c>
      <c r="CT338" s="520">
        <f>INPUT!EQ297</f>
        <v>539.52480000000003</v>
      </c>
      <c r="CU338" s="687">
        <f>INPUT!ER297</f>
        <v>1.7971320754716968</v>
      </c>
      <c r="CV338" s="520">
        <f>INPUT!ES297</f>
        <v>533.07063837499993</v>
      </c>
      <c r="CW338" s="687">
        <f>INPUT!ET297</f>
        <v>9.2357865522540763</v>
      </c>
      <c r="CX338" s="520">
        <f>INPUT!EU297</f>
        <v>948.18826923187498</v>
      </c>
      <c r="CY338" s="687">
        <f>INPUT!EV297</f>
        <v>89.259135575224562</v>
      </c>
      <c r="CZ338" s="520">
        <f>INPUT!EW297</f>
        <v>961.86937995362791</v>
      </c>
      <c r="DA338" s="687">
        <f>INPUT!EX297</f>
        <v>83.91383937927877</v>
      </c>
      <c r="DB338" s="16"/>
      <c r="DC338" s="520"/>
      <c r="DD338" s="687"/>
      <c r="DE338" s="520">
        <f>INPUT!FR297</f>
        <v>879.5</v>
      </c>
      <c r="DF338" s="687">
        <f>INPUT!FS297</f>
        <v>-23.214195290005012</v>
      </c>
      <c r="DG338" s="520">
        <f>INPUT!FT297</f>
        <v>1324.9</v>
      </c>
      <c r="DH338" s="687">
        <f>INPUT!FU297</f>
        <v>50.642410460488918</v>
      </c>
      <c r="DI338" s="520">
        <f>INPUT!FV297</f>
        <v>1479.1</v>
      </c>
      <c r="DJ338" s="687">
        <f>INPUT!FW297</f>
        <v>11.638614235036581</v>
      </c>
      <c r="DK338" s="520">
        <f>INPUT!FX297</f>
        <v>1521.7</v>
      </c>
      <c r="DL338" s="687">
        <f>INPUT!FY297</f>
        <v>2.8801298086674532</v>
      </c>
      <c r="DM338" s="706">
        <f>INPUT!FZ297</f>
        <v>1721.1999999999998</v>
      </c>
      <c r="DN338" s="687">
        <f>INPUT!GA297</f>
        <v>13.110337122954574</v>
      </c>
      <c r="DO338" s="520">
        <f>INPUT!GB297</f>
        <v>1790</v>
      </c>
      <c r="DP338" s="687">
        <f>INPUT!GC297</f>
        <v>3.9972112479665478</v>
      </c>
      <c r="DQ338" s="520">
        <f>INPUT!GD297</f>
        <v>1981</v>
      </c>
      <c r="DR338" s="687">
        <f>INPUT!GE297</f>
        <v>10.670391061452511</v>
      </c>
      <c r="DS338" s="520">
        <f>INPUT!GF297</f>
        <v>2152</v>
      </c>
      <c r="DT338" s="687">
        <f>INPUT!GG297</f>
        <v>8.6320040383644603</v>
      </c>
      <c r="DU338" s="520">
        <f>INPUT!GH297</f>
        <v>2410</v>
      </c>
      <c r="DV338" s="687">
        <f>INPUT!GI297</f>
        <v>11.988847583643114</v>
      </c>
      <c r="DW338" s="520">
        <f>INPUT!GJ297</f>
        <v>2291</v>
      </c>
      <c r="DX338" s="687">
        <f>INPUT!GK297</f>
        <v>-4.9377593360995897</v>
      </c>
      <c r="DY338" s="520">
        <f>INPUT!GL297</f>
        <v>2030</v>
      </c>
      <c r="DZ338" s="687">
        <f>INPUT!GM297</f>
        <v>-11.392405063291145</v>
      </c>
      <c r="EA338" s="520">
        <f>INPUT!GN297</f>
        <v>2042</v>
      </c>
      <c r="EB338" s="687">
        <f>INPUT!GO297</f>
        <v>0.59113300492610321</v>
      </c>
      <c r="EC338" s="520">
        <f>INPUT!GP297</f>
        <v>2982.6530875605026</v>
      </c>
      <c r="ED338" s="687">
        <f>INPUT!GQ297</f>
        <v>46.065283426077499</v>
      </c>
      <c r="EE338" s="520">
        <f>INPUT!GR297</f>
        <v>3846.7760750052093</v>
      </c>
      <c r="EF338" s="687">
        <f>INPUT!GS297</f>
        <v>28.971622313323351</v>
      </c>
      <c r="EG338" s="520">
        <f>INPUT!GT297</f>
        <v>3817.5845366479875</v>
      </c>
      <c r="EH338" s="687">
        <f>INPUT!GU297</f>
        <v>-0.75885722974353698</v>
      </c>
      <c r="EI338" s="520">
        <f>INPUT!GV297</f>
        <v>3840.8524973292051</v>
      </c>
      <c r="EJ338" s="687">
        <f>INPUT!GW297</f>
        <v>0.60949431395298515</v>
      </c>
      <c r="EK338" s="520">
        <f>INPUT!GX297</f>
        <v>3864.3203985737882</v>
      </c>
      <c r="EL338" s="687">
        <f>INPUT!GY297</f>
        <v>0.61100761512975499</v>
      </c>
      <c r="EM338" s="687">
        <f>INPUT!GZ297</f>
        <v>13.606577870379798</v>
      </c>
    </row>
    <row r="339" spans="1:143" ht="12.75" hidden="1" customHeight="1" outlineLevel="1" x14ac:dyDescent="0.2">
      <c r="A339" s="701"/>
      <c r="B339" s="151"/>
      <c r="C339" s="687"/>
      <c r="D339" s="151"/>
      <c r="E339" s="687"/>
      <c r="F339" s="151"/>
      <c r="G339" s="687"/>
      <c r="H339" s="151"/>
      <c r="I339" s="687"/>
      <c r="J339" s="151"/>
      <c r="K339" s="687"/>
      <c r="L339" s="151"/>
      <c r="M339" s="687"/>
      <c r="N339" s="151"/>
      <c r="O339" s="687"/>
      <c r="P339" s="151"/>
      <c r="Q339" s="687"/>
      <c r="R339" s="151"/>
      <c r="S339" s="687"/>
      <c r="T339" s="151"/>
      <c r="U339" s="687"/>
      <c r="V339" s="151"/>
      <c r="W339" s="687"/>
      <c r="X339" s="151"/>
      <c r="Y339" s="687"/>
      <c r="Z339" s="151"/>
      <c r="AA339" s="687"/>
      <c r="AB339" s="151"/>
      <c r="AC339" s="687"/>
      <c r="AD339" s="151"/>
      <c r="AE339" s="687"/>
      <c r="AF339" s="151"/>
      <c r="AG339" s="687"/>
      <c r="AH339" s="151"/>
      <c r="AI339" s="687"/>
      <c r="AJ339" s="151"/>
      <c r="AK339" s="687"/>
      <c r="AL339" s="151"/>
      <c r="AM339" s="687"/>
      <c r="AN339" s="151"/>
      <c r="AO339" s="687"/>
      <c r="AP339" s="151"/>
      <c r="AQ339" s="687"/>
      <c r="AR339" s="151"/>
      <c r="AS339" s="687"/>
      <c r="AT339" s="151"/>
      <c r="AU339" s="687"/>
      <c r="AV339" s="151"/>
      <c r="AW339" s="687"/>
      <c r="AX339" s="151"/>
      <c r="AY339" s="687"/>
      <c r="AZ339" s="151"/>
      <c r="BA339" s="687"/>
      <c r="BB339" s="151"/>
      <c r="BC339" s="687"/>
      <c r="BD339" s="151"/>
      <c r="BE339" s="687"/>
      <c r="BF339" s="151"/>
      <c r="BG339" s="687"/>
      <c r="BH339" s="151"/>
      <c r="BI339" s="687"/>
      <c r="BJ339" s="151"/>
      <c r="BK339" s="687"/>
      <c r="BL339" s="151"/>
      <c r="BM339" s="687"/>
      <c r="BN339" s="151"/>
      <c r="BO339" s="687"/>
      <c r="BP339" s="151"/>
      <c r="BQ339" s="687"/>
      <c r="BR339" s="151"/>
      <c r="BS339" s="687"/>
      <c r="BT339" s="151"/>
      <c r="BU339" s="687"/>
      <c r="BV339" s="151"/>
      <c r="BW339" s="687"/>
      <c r="BX339" s="151"/>
      <c r="BY339" s="687"/>
      <c r="BZ339" s="151"/>
      <c r="CA339" s="687"/>
      <c r="CB339" s="151"/>
      <c r="CC339" s="687"/>
      <c r="CD339" s="151"/>
      <c r="CE339" s="687"/>
      <c r="CF339" s="151"/>
      <c r="CG339" s="687"/>
      <c r="CH339" s="151"/>
      <c r="CI339" s="687"/>
      <c r="CJ339" s="151"/>
      <c r="CK339" s="687"/>
      <c r="CL339" s="151"/>
      <c r="CM339" s="687"/>
      <c r="CN339" s="151"/>
      <c r="CO339" s="687"/>
      <c r="CP339" s="151"/>
      <c r="CQ339" s="687"/>
      <c r="CR339" s="151"/>
      <c r="CS339" s="687"/>
      <c r="CT339" s="151"/>
      <c r="CU339" s="687"/>
      <c r="CV339" s="151"/>
      <c r="CW339" s="687"/>
      <c r="CX339" s="151"/>
      <c r="CY339" s="687"/>
      <c r="CZ339" s="151"/>
      <c r="DA339" s="687"/>
      <c r="DB339" s="16"/>
      <c r="DC339" s="151"/>
      <c r="DD339" s="687"/>
      <c r="DE339" s="151"/>
      <c r="DF339" s="687"/>
      <c r="DG339" s="151"/>
      <c r="DH339" s="687"/>
      <c r="DI339" s="151"/>
      <c r="DJ339" s="687"/>
      <c r="DK339" s="151"/>
      <c r="DL339" s="687"/>
      <c r="DM339" s="151"/>
      <c r="DN339" s="687"/>
      <c r="DO339" s="151"/>
      <c r="DP339" s="687"/>
      <c r="DQ339" s="151"/>
      <c r="DR339" s="687"/>
      <c r="DS339" s="151"/>
      <c r="DT339" s="687"/>
      <c r="DU339" s="151"/>
      <c r="DV339" s="687"/>
      <c r="DW339" s="151"/>
      <c r="DX339" s="687"/>
      <c r="DY339" s="151"/>
      <c r="DZ339" s="687"/>
      <c r="EA339" s="151"/>
      <c r="EB339" s="687"/>
      <c r="EC339" s="151"/>
      <c r="ED339" s="687"/>
      <c r="EE339" s="151"/>
      <c r="EF339" s="687"/>
      <c r="EG339" s="151"/>
      <c r="EH339" s="687"/>
      <c r="EI339" s="151"/>
      <c r="EJ339" s="687"/>
      <c r="EK339" s="151"/>
      <c r="EL339" s="687"/>
      <c r="EM339" s="687"/>
    </row>
    <row r="340" spans="1:143" ht="12.75" hidden="1" customHeight="1" outlineLevel="1" x14ac:dyDescent="0.2">
      <c r="A340" s="700" t="str">
        <f>INPUT!B306</f>
        <v>Pretax Earnings</v>
      </c>
      <c r="B340" s="520"/>
      <c r="C340" s="687"/>
      <c r="D340" s="520">
        <f>INPUT!BA306</f>
        <v>56.800000000000011</v>
      </c>
      <c r="E340" s="687">
        <f>INPUT!BB306</f>
        <v>73.012488577520671</v>
      </c>
      <c r="F340" s="520">
        <f>INPUT!BC306</f>
        <v>44.300000000000068</v>
      </c>
      <c r="G340" s="687">
        <f>INPUT!BD306</f>
        <v>92.541724617524793</v>
      </c>
      <c r="H340" s="520">
        <f>INPUT!BE306</f>
        <v>51.099999999999966</v>
      </c>
      <c r="I340" s="687">
        <f>INPUT!BF306</f>
        <v>99.321293443070431</v>
      </c>
      <c r="J340" s="520">
        <f>INPUT!BG306</f>
        <v>35.400000000000034</v>
      </c>
      <c r="K340" s="687" t="str">
        <f>INPUT!BH306</f>
        <v>NA</v>
      </c>
      <c r="L340" s="520">
        <f>INPUT!BI306</f>
        <v>44.600000000000023</v>
      </c>
      <c r="M340" s="687">
        <f>INPUT!BJ306</f>
        <v>-21.478873239436592</v>
      </c>
      <c r="N340" s="520">
        <f>INPUT!BK306</f>
        <v>51.100000000000023</v>
      </c>
      <c r="O340" s="687">
        <f>INPUT!BL306</f>
        <v>15.349887133182726</v>
      </c>
      <c r="P340" s="520">
        <f>INPUT!BM306</f>
        <v>43.399999999999977</v>
      </c>
      <c r="Q340" s="687">
        <f>INPUT!BN306</f>
        <v>-15.068493150684914</v>
      </c>
      <c r="R340" s="520">
        <f>INPUT!BO306</f>
        <v>40.299999999999955</v>
      </c>
      <c r="S340" s="687">
        <f>INPUT!BP306</f>
        <v>13.841807909604276</v>
      </c>
      <c r="T340" s="520">
        <f>INPUT!BQ306</f>
        <v>49.699999999999989</v>
      </c>
      <c r="U340" s="687">
        <f>INPUT!BR306</f>
        <v>11.434977578475248</v>
      </c>
      <c r="V340" s="520">
        <f>INPUT!BS306</f>
        <v>42</v>
      </c>
      <c r="W340" s="687">
        <f>INPUT!BT306</f>
        <v>-17.808219178082229</v>
      </c>
      <c r="X340" s="520">
        <f>INPUT!BU306</f>
        <v>28.399999999999977</v>
      </c>
      <c r="Y340" s="687">
        <f>INPUT!BV306</f>
        <v>-34.56221198156684</v>
      </c>
      <c r="Z340" s="520">
        <f>INPUT!BW306</f>
        <v>39.500000000000057</v>
      </c>
      <c r="AA340" s="687">
        <f>INPUT!BX306</f>
        <v>-1.9851116625307696</v>
      </c>
      <c r="AB340" s="520">
        <f>INPUT!BY306</f>
        <v>51.700000000000045</v>
      </c>
      <c r="AC340" s="687">
        <f>INPUT!BZ306</f>
        <v>4.0241448692154069</v>
      </c>
      <c r="AD340" s="520">
        <f>INPUT!CA306</f>
        <v>53.20999999999998</v>
      </c>
      <c r="AE340" s="687">
        <f>INPUT!CB306</f>
        <v>26.690476190476133</v>
      </c>
      <c r="AF340" s="520">
        <f>INPUT!CC306</f>
        <v>46.39999999999992</v>
      </c>
      <c r="AG340" s="687">
        <f>INPUT!CD306</f>
        <v>63.380281690140691</v>
      </c>
      <c r="AH340" s="520">
        <f>INPUT!CE306</f>
        <v>32.900000000000034</v>
      </c>
      <c r="AI340" s="687">
        <f>INPUT!CF306</f>
        <v>-16.708860759493703</v>
      </c>
      <c r="AJ340" s="520">
        <f>INPUT!CG306</f>
        <v>34.600000000000023</v>
      </c>
      <c r="AK340" s="687">
        <f>INPUT!CH306</f>
        <v>-33.075435203094791</v>
      </c>
      <c r="AL340" s="520">
        <f>INPUT!CI306</f>
        <v>14.700000000000045</v>
      </c>
      <c r="AM340" s="687" t="str">
        <f>INPUT!CJ306</f>
        <v>NM</v>
      </c>
      <c r="AN340" s="520">
        <f>INPUT!CK306</f>
        <v>27.699999999999989</v>
      </c>
      <c r="AO340" s="687">
        <f>INPUT!CL306</f>
        <v>-40.301724137930961</v>
      </c>
      <c r="AP340" s="520">
        <f>INPUT!CM306</f>
        <v>37.200000000000102</v>
      </c>
      <c r="AQ340" s="687">
        <f>INPUT!CN306</f>
        <v>13.069908814589869</v>
      </c>
      <c r="AR340" s="706">
        <f>INPUT!CO306</f>
        <v>39.39999999999992</v>
      </c>
      <c r="AS340" s="687">
        <f>INPUT!CP306</f>
        <v>13.8728323699419</v>
      </c>
      <c r="AT340" s="520">
        <f>INPUT!CQ306</f>
        <v>41.299999999999955</v>
      </c>
      <c r="AU340" s="687" t="str">
        <f>INPUT!CR306</f>
        <v>NM</v>
      </c>
      <c r="AV340" s="520">
        <f>INPUT!CS306</f>
        <v>31</v>
      </c>
      <c r="AW340" s="687">
        <f>INPUT!CT306</f>
        <v>11.913357400722058</v>
      </c>
      <c r="AX340" s="520">
        <f>INPUT!CU306</f>
        <v>25</v>
      </c>
      <c r="AY340" s="687">
        <f>INPUT!CV306</f>
        <v>-32.795698924731362</v>
      </c>
      <c r="AZ340" s="520">
        <f>INPUT!CW306</f>
        <v>42</v>
      </c>
      <c r="BA340" s="687">
        <f>INPUT!CX306</f>
        <v>6.5989847715738126</v>
      </c>
      <c r="BB340" s="520">
        <f>INPUT!CY306</f>
        <v>24</v>
      </c>
      <c r="BC340" s="687">
        <f>INPUT!CZ306</f>
        <v>-41.88861985472149</v>
      </c>
      <c r="BD340" s="520">
        <f>INPUT!DA306</f>
        <v>20</v>
      </c>
      <c r="BE340" s="687">
        <f>INPUT!DB306</f>
        <v>-35.483870967741936</v>
      </c>
      <c r="BF340" s="520">
        <f>INPUT!DC306</f>
        <v>22</v>
      </c>
      <c r="BG340" s="687">
        <f>INPUT!DD306</f>
        <v>-12</v>
      </c>
      <c r="BH340" s="520">
        <f>INPUT!DE306</f>
        <v>34</v>
      </c>
      <c r="BI340" s="687">
        <f>INPUT!DF306</f>
        <v>-19.047619047619047</v>
      </c>
      <c r="BJ340" s="520">
        <f>INPUT!DG306</f>
        <v>36</v>
      </c>
      <c r="BK340" s="687">
        <f>INPUT!DH306</f>
        <v>50</v>
      </c>
      <c r="BL340" s="520">
        <f>INPUT!DI306</f>
        <v>17</v>
      </c>
      <c r="BM340" s="687">
        <f>INPUT!DJ306</f>
        <v>-15.000000000000002</v>
      </c>
      <c r="BN340" s="520">
        <f>INPUT!DK306</f>
        <v>30</v>
      </c>
      <c r="BO340" s="687">
        <f>INPUT!DL306</f>
        <v>36.363636363636353</v>
      </c>
      <c r="BP340" s="520">
        <f>INPUT!DM306</f>
        <v>3</v>
      </c>
      <c r="BQ340" s="687" t="str">
        <f>INPUT!DN306</f>
        <v>NM</v>
      </c>
      <c r="BR340" s="520">
        <f>INPUT!DO306</f>
        <v>12</v>
      </c>
      <c r="BS340" s="687" t="str">
        <f>INPUT!DP306</f>
        <v>NM</v>
      </c>
      <c r="BT340" s="520">
        <f>INPUT!DQ306</f>
        <v>-10</v>
      </c>
      <c r="BU340" s="687" t="str">
        <f>INPUT!DR306</f>
        <v>NM</v>
      </c>
      <c r="BV340" s="520">
        <f>INPUT!DS306</f>
        <v>-10</v>
      </c>
      <c r="BW340" s="687" t="str">
        <f>INPUT!DT306</f>
        <v>NM</v>
      </c>
      <c r="BX340" s="520">
        <f>INPUT!DU306</f>
        <v>30</v>
      </c>
      <c r="BY340" s="687" t="str">
        <f>INPUT!DV306</f>
        <v>NM</v>
      </c>
      <c r="BZ340" s="520">
        <f>INPUT!DW306</f>
        <v>26</v>
      </c>
      <c r="CA340" s="687">
        <f>INPUT!DX306</f>
        <v>26</v>
      </c>
      <c r="CB340" s="520">
        <f>INPUT!DY306</f>
        <v>20</v>
      </c>
      <c r="CC340" s="687" t="str">
        <f>INPUT!DZ306</f>
        <v>NM</v>
      </c>
      <c r="CD340" s="520">
        <f>INPUT!EA306</f>
        <v>8</v>
      </c>
      <c r="CE340" s="687" t="str">
        <f>INPUT!EB306</f>
        <v>NM</v>
      </c>
      <c r="CF340" s="520">
        <f>INPUT!EC306</f>
        <v>23</v>
      </c>
      <c r="CG340" s="687">
        <f>INPUT!ED306</f>
        <v>-23.333333333333329</v>
      </c>
      <c r="CH340" s="520">
        <f>INPUT!EE306</f>
        <v>44</v>
      </c>
      <c r="CI340" s="687">
        <f>INPUT!EF306</f>
        <v>69.230769230769226</v>
      </c>
      <c r="CJ340" s="520">
        <f>INPUT!EG306</f>
        <v>25</v>
      </c>
      <c r="CK340" s="687">
        <f>INPUT!EH306</f>
        <v>25</v>
      </c>
      <c r="CL340" s="520">
        <f>INPUT!EI306</f>
        <v>11</v>
      </c>
      <c r="CM340" s="687">
        <f>INPUT!EJ306</f>
        <v>37.5</v>
      </c>
      <c r="CN340" s="520">
        <f>INPUT!EK306</f>
        <v>53</v>
      </c>
      <c r="CO340" s="687" t="str">
        <f>INPUT!EL306</f>
        <v>NM</v>
      </c>
      <c r="CP340" s="520">
        <f>INPUT!EM306</f>
        <v>63</v>
      </c>
      <c r="CQ340" s="687">
        <f>INPUT!EN306</f>
        <v>43.181818181818187</v>
      </c>
      <c r="CR340" s="520">
        <f>INPUT!EO306</f>
        <v>31</v>
      </c>
      <c r="CS340" s="687">
        <f>INPUT!EP306</f>
        <v>24</v>
      </c>
      <c r="CT340" s="520">
        <f>INPUT!EQ306</f>
        <v>22.480199999999968</v>
      </c>
      <c r="CU340" s="687" t="str">
        <f>INPUT!ER306</f>
        <v>NM</v>
      </c>
      <c r="CV340" s="520">
        <f>INPUT!ES306</f>
        <v>37.058386625000026</v>
      </c>
      <c r="CW340" s="687">
        <f>INPUT!ET306</f>
        <v>-30.078515801886741</v>
      </c>
      <c r="CX340" s="520">
        <f>INPUT!EU306</f>
        <v>55.185560643124973</v>
      </c>
      <c r="CY340" s="687">
        <f>INPUT!EV306</f>
        <v>-12.403871995039728</v>
      </c>
      <c r="CZ340" s="520">
        <f>INPUT!EW306</f>
        <v>55.981815764496901</v>
      </c>
      <c r="DA340" s="687">
        <f>INPUT!EX306</f>
        <v>80.586502466119029</v>
      </c>
      <c r="DB340" s="16"/>
      <c r="DC340" s="520"/>
      <c r="DD340" s="687"/>
      <c r="DE340" s="520">
        <f>INPUT!FR306</f>
        <v>152.20000000000005</v>
      </c>
      <c r="DF340" s="687">
        <f>INPUT!FS306</f>
        <v>14.077560748924366</v>
      </c>
      <c r="DG340" s="520">
        <f>INPUT!FT306</f>
        <v>174.49999999999977</v>
      </c>
      <c r="DH340" s="687">
        <f>INPUT!FU306</f>
        <v>14.651773981602979</v>
      </c>
      <c r="DI340" s="520">
        <f>INPUT!FV306</f>
        <v>160.40000000000009</v>
      </c>
      <c r="DJ340" s="687">
        <f>INPUT!FW306</f>
        <v>-8.0802292263608582</v>
      </c>
      <c r="DK340" s="520">
        <f>INPUT!FX306</f>
        <v>190.80999999999995</v>
      </c>
      <c r="DL340" s="687">
        <f>INPUT!FY306</f>
        <v>18.958852867830323</v>
      </c>
      <c r="DM340" s="706">
        <f>INPUT!FZ306</f>
        <v>109.90000000000009</v>
      </c>
      <c r="DN340" s="687">
        <f>INPUT!GA306</f>
        <v>-42.403437974948844</v>
      </c>
      <c r="DO340" s="520">
        <f>INPUT!GB306</f>
        <v>148.90000000000009</v>
      </c>
      <c r="DP340" s="687">
        <f>INPUT!GC306</f>
        <v>35.486806187443108</v>
      </c>
      <c r="DQ340" s="520">
        <f>INPUT!GD306</f>
        <v>111</v>
      </c>
      <c r="DR340" s="687">
        <f>INPUT!GE306</f>
        <v>-25.453324378777754</v>
      </c>
      <c r="DS340" s="520">
        <f>INPUT!GF306</f>
        <v>109</v>
      </c>
      <c r="DT340" s="687">
        <f>INPUT!GG306</f>
        <v>-1.8018018018018056</v>
      </c>
      <c r="DU340" s="520">
        <f>INPUT!GH306</f>
        <v>35</v>
      </c>
      <c r="DV340" s="687" t="str">
        <f>INPUT!GI306</f>
        <v>NM</v>
      </c>
      <c r="DW340" s="520">
        <f>INPUT!GJ306</f>
        <v>66</v>
      </c>
      <c r="DX340" s="687">
        <f>INPUT!GK306</f>
        <v>88.571428571428569</v>
      </c>
      <c r="DY340" s="520">
        <f>INPUT!GL306</f>
        <v>100</v>
      </c>
      <c r="DZ340" s="687">
        <f>INPUT!GM306</f>
        <v>51.515151515151516</v>
      </c>
      <c r="EA340" s="520">
        <f>INPUT!GN306</f>
        <v>158</v>
      </c>
      <c r="EB340" s="687">
        <f>INPUT!GO306</f>
        <v>58.000000000000007</v>
      </c>
      <c r="EC340" s="520">
        <f>INPUT!GP306</f>
        <v>170.70596303262209</v>
      </c>
      <c r="ED340" s="687">
        <f>INPUT!GQ306</f>
        <v>8.0417487548241073</v>
      </c>
      <c r="EE340" s="520">
        <f>INPUT!GR306</f>
        <v>230.35807974329009</v>
      </c>
      <c r="EF340" s="687">
        <f>INPUT!GS306</f>
        <v>34.94436611992775</v>
      </c>
      <c r="EG340" s="520">
        <f>INPUT!GT306</f>
        <v>265.39357741403137</v>
      </c>
      <c r="EH340" s="687">
        <f>INPUT!GU306</f>
        <v>15.209146434014675</v>
      </c>
      <c r="EI340" s="520">
        <f>INPUT!GV306</f>
        <v>267.01113617796636</v>
      </c>
      <c r="EJ340" s="687">
        <f>INPUT!GW306</f>
        <v>0.60949431395300735</v>
      </c>
      <c r="EK340" s="520">
        <f>INPUT!GX306</f>
        <v>268.64259455325828</v>
      </c>
      <c r="EL340" s="687">
        <f>INPUT!GY306</f>
        <v>0.61100761512977719</v>
      </c>
      <c r="EM340" s="687">
        <f>INPUT!GZ306</f>
        <v>11.199685064663534</v>
      </c>
    </row>
    <row r="341" spans="1:143" ht="12.75" hidden="1" customHeight="1" outlineLevel="1" x14ac:dyDescent="0.2">
      <c r="A341" s="701" t="str">
        <f>INPUT!B307</f>
        <v>Taxes</v>
      </c>
      <c r="B341" s="151"/>
      <c r="C341" s="687"/>
      <c r="D341" s="151">
        <f>INPUT!BA307</f>
        <v>19.899999999999999</v>
      </c>
      <c r="E341" s="687">
        <f>INPUT!BB307</f>
        <v>73.179009659733694</v>
      </c>
      <c r="F341" s="151">
        <f>INPUT!BC307</f>
        <v>15.5</v>
      </c>
      <c r="G341" s="687">
        <f>INPUT!BD307</f>
        <v>92.49875807252856</v>
      </c>
      <c r="H341" s="151">
        <f>INPUT!BE307</f>
        <v>17.899999999999999</v>
      </c>
      <c r="I341" s="687">
        <f>INPUT!BF307</f>
        <v>99.487350941713999</v>
      </c>
      <c r="J341" s="151">
        <f>INPUT!BG307</f>
        <v>12.4</v>
      </c>
      <c r="K341" s="687" t="str">
        <f>INPUT!BH307</f>
        <v>NA</v>
      </c>
      <c r="L341" s="151">
        <f>INPUT!BI307</f>
        <v>15.7</v>
      </c>
      <c r="M341" s="687">
        <f>INPUT!BJ307</f>
        <v>-21.105527638190956</v>
      </c>
      <c r="N341" s="151">
        <f>INPUT!BK307</f>
        <v>17.899999999999999</v>
      </c>
      <c r="O341" s="687">
        <f>INPUT!BL307</f>
        <v>15.483870967741931</v>
      </c>
      <c r="P341" s="151">
        <f>INPUT!BM307</f>
        <v>15.2</v>
      </c>
      <c r="Q341" s="687">
        <f>INPUT!BN307</f>
        <v>-15.083798882681565</v>
      </c>
      <c r="R341" s="151">
        <f>INPUT!BO307</f>
        <v>14.2</v>
      </c>
      <c r="S341" s="687">
        <f>INPUT!BP307</f>
        <v>14.516129032258052</v>
      </c>
      <c r="T341" s="151">
        <f>INPUT!BQ307</f>
        <v>17.399999999999999</v>
      </c>
      <c r="U341" s="687">
        <f>INPUT!BR307</f>
        <v>10.828025477707005</v>
      </c>
      <c r="V341" s="151">
        <f>INPUT!BS307</f>
        <v>14.5</v>
      </c>
      <c r="W341" s="687">
        <f>INPUT!BT307</f>
        <v>-18.99441340782122</v>
      </c>
      <c r="X341" s="151">
        <f>INPUT!BU307</f>
        <v>10</v>
      </c>
      <c r="Y341" s="687">
        <f>INPUT!BV307</f>
        <v>-34.210526315789465</v>
      </c>
      <c r="Z341" s="151">
        <f>INPUT!BW307</f>
        <v>13.8</v>
      </c>
      <c r="AA341" s="687">
        <f>INPUT!BX307</f>
        <v>-2.8169014084506894</v>
      </c>
      <c r="AB341" s="151">
        <f>INPUT!BY307</f>
        <v>18.100000000000001</v>
      </c>
      <c r="AC341" s="687">
        <f>INPUT!BZ307</f>
        <v>4.0229885057471382</v>
      </c>
      <c r="AD341" s="151">
        <f>INPUT!CA307</f>
        <v>18.7</v>
      </c>
      <c r="AE341" s="687">
        <f>INPUT!CB307</f>
        <v>28.965517241379303</v>
      </c>
      <c r="AF341" s="151">
        <f>INPUT!CC307</f>
        <v>16.3</v>
      </c>
      <c r="AG341" s="687">
        <f>INPUT!CD307</f>
        <v>63.000000000000014</v>
      </c>
      <c r="AH341" s="151">
        <f>INPUT!CE307</f>
        <v>11.6</v>
      </c>
      <c r="AI341" s="687">
        <f>INPUT!CF307</f>
        <v>-15.94202898550725</v>
      </c>
      <c r="AJ341" s="151">
        <f>INPUT!CG307</f>
        <v>11.9</v>
      </c>
      <c r="AK341" s="687">
        <f>INPUT!CH307</f>
        <v>-34.254143646408842</v>
      </c>
      <c r="AL341" s="151">
        <f>INPUT!CI307</f>
        <v>5.2</v>
      </c>
      <c r="AM341" s="687" t="str">
        <f>INPUT!CJ307</f>
        <v>NM</v>
      </c>
      <c r="AN341" s="151">
        <f>INPUT!CK307</f>
        <v>9.6999999999999993</v>
      </c>
      <c r="AO341" s="687">
        <f>INPUT!CL307</f>
        <v>-40.490797546012281</v>
      </c>
      <c r="AP341" s="151">
        <f>INPUT!CM307</f>
        <v>13.1</v>
      </c>
      <c r="AQ341" s="687">
        <f>INPUT!CN307</f>
        <v>12.93103448275863</v>
      </c>
      <c r="AR341" s="151">
        <f>INPUT!CO307</f>
        <v>13.8</v>
      </c>
      <c r="AS341" s="687">
        <f>INPUT!CP307</f>
        <v>15.96638655462186</v>
      </c>
      <c r="AT341" s="151">
        <f>INPUT!CQ307</f>
        <v>14.5</v>
      </c>
      <c r="AU341" s="687" t="str">
        <f>INPUT!CR307</f>
        <v>NM</v>
      </c>
      <c r="AV341" s="151">
        <f>INPUT!CS307</f>
        <v>11</v>
      </c>
      <c r="AW341" s="687">
        <f>INPUT!CT307</f>
        <v>13.402061855670123</v>
      </c>
      <c r="AX341" s="151">
        <f>INPUT!CU307</f>
        <v>9</v>
      </c>
      <c r="AY341" s="687">
        <f>INPUT!CV307</f>
        <v>-31.297709923664119</v>
      </c>
      <c r="AZ341" s="151">
        <f>INPUT!CW307</f>
        <v>15</v>
      </c>
      <c r="BA341" s="687">
        <f>INPUT!CX307</f>
        <v>8.6956521739130377</v>
      </c>
      <c r="BB341" s="151">
        <f>INPUT!CY307</f>
        <v>8</v>
      </c>
      <c r="BC341" s="687">
        <f>INPUT!CZ307</f>
        <v>-44.827586206896555</v>
      </c>
      <c r="BD341" s="151">
        <f>INPUT!DA307</f>
        <v>7</v>
      </c>
      <c r="BE341" s="687">
        <f>INPUT!DB307</f>
        <v>-36.363636363636367</v>
      </c>
      <c r="BF341" s="151">
        <f>INPUT!DC307</f>
        <v>8</v>
      </c>
      <c r="BG341" s="687">
        <f>INPUT!DD307</f>
        <v>-11.111111111111116</v>
      </c>
      <c r="BH341" s="151">
        <f>INPUT!DE307</f>
        <v>12</v>
      </c>
      <c r="BI341" s="687">
        <f>INPUT!DF307</f>
        <v>-19.999999999999996</v>
      </c>
      <c r="BJ341" s="151">
        <f>INPUT!DG307</f>
        <v>13</v>
      </c>
      <c r="BK341" s="687">
        <f>INPUT!DH307</f>
        <v>62.5</v>
      </c>
      <c r="BL341" s="151">
        <f>INPUT!DI307</f>
        <v>6</v>
      </c>
      <c r="BM341" s="687">
        <f>INPUT!DJ307</f>
        <v>-14.28571428571429</v>
      </c>
      <c r="BN341" s="151">
        <f>INPUT!DK307</f>
        <v>10</v>
      </c>
      <c r="BO341" s="687">
        <f>INPUT!DL307</f>
        <v>25</v>
      </c>
      <c r="BP341" s="151">
        <f>INPUT!DM307</f>
        <v>1</v>
      </c>
      <c r="BQ341" s="687" t="str">
        <f>INPUT!DN307</f>
        <v>NM</v>
      </c>
      <c r="BR341" s="151">
        <f>INPUT!DO307</f>
        <v>4</v>
      </c>
      <c r="BS341" s="687" t="str">
        <f>INPUT!DP307</f>
        <v>NM</v>
      </c>
      <c r="BT341" s="151">
        <f>INPUT!DQ307</f>
        <v>-3</v>
      </c>
      <c r="BU341" s="687" t="str">
        <f>INPUT!DR307</f>
        <v>NM</v>
      </c>
      <c r="BV341" s="151">
        <f>INPUT!DS307</f>
        <v>-4</v>
      </c>
      <c r="BW341" s="687" t="str">
        <f>INPUT!DT307</f>
        <v>NM</v>
      </c>
      <c r="BX341" s="151">
        <f>INPUT!DU307</f>
        <v>11</v>
      </c>
      <c r="BY341" s="687" t="str">
        <f>INPUT!DV307</f>
        <v>NM</v>
      </c>
      <c r="BZ341" s="151">
        <f>INPUT!DW307</f>
        <v>9</v>
      </c>
      <c r="CA341" s="687">
        <f>INPUT!DX307</f>
        <v>9</v>
      </c>
      <c r="CB341" s="151">
        <f>INPUT!DY307</f>
        <v>7</v>
      </c>
      <c r="CC341" s="687" t="str">
        <f>INPUT!DZ307</f>
        <v>NM</v>
      </c>
      <c r="CD341" s="151">
        <f>INPUT!EA307</f>
        <v>3</v>
      </c>
      <c r="CE341" s="687" t="str">
        <f>INPUT!EB307</f>
        <v>NM</v>
      </c>
      <c r="CF341" s="151">
        <f>INPUT!EC307</f>
        <v>8</v>
      </c>
      <c r="CG341" s="687">
        <f>INPUT!ED307</f>
        <v>-27.27272727272727</v>
      </c>
      <c r="CH341" s="151">
        <f>INPUT!EE307</f>
        <v>16</v>
      </c>
      <c r="CI341" s="687">
        <f>INPUT!EF307</f>
        <v>77.777777777777771</v>
      </c>
      <c r="CJ341" s="151">
        <f>INPUT!EG307</f>
        <v>9</v>
      </c>
      <c r="CK341" s="687">
        <f>INPUT!EH307</f>
        <v>28.57142857142858</v>
      </c>
      <c r="CL341" s="151">
        <f>INPUT!EI307</f>
        <v>4</v>
      </c>
      <c r="CM341" s="687">
        <f>INPUT!EJ307</f>
        <v>33.333333333333329</v>
      </c>
      <c r="CN341" s="151">
        <f>INPUT!EK307</f>
        <v>18</v>
      </c>
      <c r="CO341" s="687" t="str">
        <f>INPUT!EL307</f>
        <v>NM</v>
      </c>
      <c r="CP341" s="151">
        <f>INPUT!EM307</f>
        <v>22</v>
      </c>
      <c r="CQ341" s="687">
        <f>INPUT!EN307</f>
        <v>37.5</v>
      </c>
      <c r="CR341" s="151">
        <f>INPUT!EO307</f>
        <v>11</v>
      </c>
      <c r="CS341" s="687">
        <f>INPUT!EP307</f>
        <v>22.222222222222232</v>
      </c>
      <c r="CT341" s="151">
        <f>INPUT!EQ307</f>
        <v>4.7208419999999931</v>
      </c>
      <c r="CU341" s="687">
        <f>INPUT!ER307</f>
        <v>18.021049999999828</v>
      </c>
      <c r="CV341" s="151">
        <f>INPUT!ES307</f>
        <v>7.7822611912500053</v>
      </c>
      <c r="CW341" s="687" t="str">
        <f>INPUT!ET307</f>
        <v>NM</v>
      </c>
      <c r="CX341" s="151">
        <f>INPUT!EU307</f>
        <v>11.588967735056244</v>
      </c>
      <c r="CY341" s="687">
        <f>INPUT!EV307</f>
        <v>-47.322873931562526</v>
      </c>
      <c r="CZ341" s="151">
        <f>INPUT!EW307</f>
        <v>11.756181310544349</v>
      </c>
      <c r="DA341" s="687">
        <f>INPUT!EX307</f>
        <v>6.8743755504031778</v>
      </c>
      <c r="DB341" s="16"/>
      <c r="DC341" s="151"/>
      <c r="DD341" s="687"/>
      <c r="DE341" s="151">
        <f>INPUT!FR307</f>
        <v>53.3</v>
      </c>
      <c r="DF341" s="687">
        <f>INPUT!FS307</f>
        <v>14.142538975501108</v>
      </c>
      <c r="DG341" s="151">
        <f>INPUT!FT307</f>
        <v>61.2</v>
      </c>
      <c r="DH341" s="687">
        <f>INPUT!FU307</f>
        <v>14.821763602251426</v>
      </c>
      <c r="DI341" s="151">
        <f>INPUT!FV307</f>
        <v>56.099999999999994</v>
      </c>
      <c r="DJ341" s="687">
        <f>INPUT!FW307</f>
        <v>-8.3333333333333481</v>
      </c>
      <c r="DK341" s="151">
        <f>INPUT!FX307</f>
        <v>66.900000000000006</v>
      </c>
      <c r="DL341" s="687">
        <f>INPUT!FY307</f>
        <v>19.251336898395756</v>
      </c>
      <c r="DM341" s="151">
        <f>INPUT!FZ307</f>
        <v>38.4</v>
      </c>
      <c r="DN341" s="687">
        <f>INPUT!GA307</f>
        <v>-42.600896860986559</v>
      </c>
      <c r="DO341" s="151">
        <f>INPUT!GB307</f>
        <v>52.4</v>
      </c>
      <c r="DP341" s="687">
        <f>INPUT!GC307</f>
        <v>36.458333333333329</v>
      </c>
      <c r="DQ341" s="151">
        <f>INPUT!GD307</f>
        <v>39</v>
      </c>
      <c r="DR341" s="687">
        <f>INPUT!GE307</f>
        <v>-25.572519083969457</v>
      </c>
      <c r="DS341" s="151">
        <f>INPUT!GF307</f>
        <v>39</v>
      </c>
      <c r="DT341" s="687">
        <f>INPUT!GG307</f>
        <v>0</v>
      </c>
      <c r="DU341" s="151">
        <f>INPUT!GH307</f>
        <v>12</v>
      </c>
      <c r="DV341" s="687" t="str">
        <f>INPUT!GI307</f>
        <v>NM</v>
      </c>
      <c r="DW341" s="151">
        <f>INPUT!GJ307</f>
        <v>23</v>
      </c>
      <c r="DX341" s="687">
        <f>INPUT!GK307</f>
        <v>91.666666666666671</v>
      </c>
      <c r="DY341" s="151">
        <f>INPUT!GL307</f>
        <v>36</v>
      </c>
      <c r="DZ341" s="687">
        <f>INPUT!GM307</f>
        <v>56.521739130434788</v>
      </c>
      <c r="EA341" s="151">
        <f>INPUT!GN307</f>
        <v>55</v>
      </c>
      <c r="EB341" s="687">
        <f>INPUT!GO307</f>
        <v>52.777777777777771</v>
      </c>
      <c r="EC341" s="151">
        <f>INPUT!GP307</f>
        <v>35.848252236850591</v>
      </c>
      <c r="ED341" s="687">
        <f>INPUT!GQ307</f>
        <v>-34.821359569362563</v>
      </c>
      <c r="EE341" s="151">
        <f>INPUT!GR307</f>
        <v>48.37519674609085</v>
      </c>
      <c r="EF341" s="687">
        <f>INPUT!GS307</f>
        <v>34.94436611992775</v>
      </c>
      <c r="EG341" s="151">
        <f>INPUT!GT307</f>
        <v>55.732651256946511</v>
      </c>
      <c r="EH341" s="687">
        <f>INPUT!GU307</f>
        <v>15.209146434014675</v>
      </c>
      <c r="EI341" s="151">
        <f>INPUT!GV307</f>
        <v>56.072338597372863</v>
      </c>
      <c r="EJ341" s="687">
        <f>INPUT!GW307</f>
        <v>0.60949431395300735</v>
      </c>
      <c r="EK341" s="151">
        <f>INPUT!GX307</f>
        <v>56.414944856184164</v>
      </c>
      <c r="EL341" s="687">
        <f>INPUT!GY307</f>
        <v>0.61100761512977719</v>
      </c>
      <c r="EM341" s="687">
        <f>INPUT!GZ307</f>
        <v>0.50931095902007062</v>
      </c>
    </row>
    <row r="342" spans="1:143" ht="12.75" hidden="1" customHeight="1" outlineLevel="1" x14ac:dyDescent="0.2">
      <c r="A342" s="701" t="str">
        <f>INPUT!B308</f>
        <v>Tax Rate (%)</v>
      </c>
      <c r="B342" s="156"/>
      <c r="C342" s="687"/>
      <c r="D342" s="156">
        <f>INPUT!BA308</f>
        <v>35.035211267605625</v>
      </c>
      <c r="E342" s="687">
        <f>INPUT!BB308</f>
        <v>9.62480128354537E-2</v>
      </c>
      <c r="F342" s="156">
        <f>INPUT!BC308</f>
        <v>34.988713318284368</v>
      </c>
      <c r="G342" s="687">
        <f>INPUT!BD308</f>
        <v>-2.231544621383863E-2</v>
      </c>
      <c r="H342" s="156">
        <f>INPUT!BE308</f>
        <v>35.02935420743642</v>
      </c>
      <c r="I342" s="687">
        <f>INPUT!BF308</f>
        <v>8.331146952496038E-2</v>
      </c>
      <c r="J342" s="156">
        <f>INPUT!BG308</f>
        <v>35.028248587570587</v>
      </c>
      <c r="K342" s="687" t="str">
        <f>INPUT!BH308</f>
        <v>NA</v>
      </c>
      <c r="L342" s="156">
        <f>INPUT!BI308</f>
        <v>35.201793721973075</v>
      </c>
      <c r="M342" s="687">
        <f>INPUT!BJ308</f>
        <v>0.47547152804376935</v>
      </c>
      <c r="N342" s="156">
        <f>INPUT!BK308</f>
        <v>35.029354207436384</v>
      </c>
      <c r="O342" s="687">
        <f>INPUT!BL308</f>
        <v>0.11615428318931809</v>
      </c>
      <c r="P342" s="156">
        <f>INPUT!BM308</f>
        <v>35.023041474654391</v>
      </c>
      <c r="Q342" s="687">
        <f>INPUT!BN308</f>
        <v>-1.8021265092826866E-2</v>
      </c>
      <c r="R342" s="156">
        <f>INPUT!BO308</f>
        <v>35.235732009925599</v>
      </c>
      <c r="S342" s="687">
        <f>INPUT!BP308</f>
        <v>0.59233170575543337</v>
      </c>
      <c r="T342" s="156">
        <f>INPUT!BQ308</f>
        <v>35.010060362173043</v>
      </c>
      <c r="U342" s="687">
        <f>INPUT!BR308</f>
        <v>-0.54466928962302319</v>
      </c>
      <c r="V342" s="156">
        <f>INPUT!BS308</f>
        <v>34.523809523809526</v>
      </c>
      <c r="W342" s="687">
        <f>INPUT!BT308</f>
        <v>-1.4432029795157786</v>
      </c>
      <c r="X342" s="156">
        <f>INPUT!BU308</f>
        <v>35.211267605633836</v>
      </c>
      <c r="Y342" s="687">
        <f>INPUT!BV308</f>
        <v>0.53743513713868651</v>
      </c>
      <c r="Z342" s="156">
        <f>INPUT!BW308</f>
        <v>34.936708860759445</v>
      </c>
      <c r="AA342" s="687">
        <f>INPUT!BX308</f>
        <v>-0.84863612052084036</v>
      </c>
      <c r="AB342" s="156">
        <f>INPUT!BY308</f>
        <v>35.009671179883917</v>
      </c>
      <c r="AC342" s="687">
        <f>INPUT!BZ308</f>
        <v>-1.1116298718194528E-3</v>
      </c>
      <c r="AD342" s="156">
        <f>INPUT!CA308</f>
        <v>35.143769968051132</v>
      </c>
      <c r="AE342" s="687">
        <f>INPUT!CB308</f>
        <v>1.7957474936653339</v>
      </c>
      <c r="AF342" s="156">
        <f>INPUT!CC308</f>
        <v>35.129310344827644</v>
      </c>
      <c r="AG342" s="687">
        <f>INPUT!CD308</f>
        <v>-0.23275862068958819</v>
      </c>
      <c r="AH342" s="156">
        <f>INPUT!CE308</f>
        <v>35.258358662613944</v>
      </c>
      <c r="AI342" s="687">
        <f>INPUT!CF308</f>
        <v>0.92066428791686139</v>
      </c>
      <c r="AJ342" s="156">
        <f>INPUT!CG308</f>
        <v>34.393063583815007</v>
      </c>
      <c r="AK342" s="687">
        <f>INPUT!CH308</f>
        <v>-1.761249321368108</v>
      </c>
      <c r="AL342" s="156">
        <f>INPUT!CI308</f>
        <v>35.374149659863832</v>
      </c>
      <c r="AM342" s="687">
        <f>INPUT!CJ308</f>
        <v>0.65553494124885869</v>
      </c>
      <c r="AN342" s="156">
        <f>INPUT!CK308</f>
        <v>35.018050541516253</v>
      </c>
      <c r="AO342" s="687">
        <f>INPUT!CL308</f>
        <v>-0.31671502292321962</v>
      </c>
      <c r="AP342" s="156">
        <f>INPUT!CM308</f>
        <v>35.215053763440764</v>
      </c>
      <c r="AQ342" s="687">
        <f>INPUT!CN308</f>
        <v>-0.1228216536894533</v>
      </c>
      <c r="AR342" s="156">
        <f>INPUT!CO308</f>
        <v>35.025380710659974</v>
      </c>
      <c r="AS342" s="687">
        <f>INPUT!CP308</f>
        <v>1.8385018982215007</v>
      </c>
      <c r="AT342" s="156">
        <f>INPUT!CQ308</f>
        <v>35.108958837772434</v>
      </c>
      <c r="AU342" s="687">
        <f>INPUT!CR308</f>
        <v>-0.74967405475837579</v>
      </c>
      <c r="AV342" s="156">
        <f>INPUT!CS308</f>
        <v>35.483870967741936</v>
      </c>
      <c r="AW342" s="687">
        <f>INPUT!CT308</f>
        <v>1.3302294645826107</v>
      </c>
      <c r="AX342" s="156">
        <f>INPUT!CU308</f>
        <v>36</v>
      </c>
      <c r="AY342" s="687">
        <f>INPUT!CV308</f>
        <v>2.2290076335880649</v>
      </c>
      <c r="AZ342" s="156">
        <f>INPUT!CW308</f>
        <v>35.714285714285715</v>
      </c>
      <c r="BA342" s="687">
        <f>INPUT!CX308</f>
        <v>1.9668737060039243</v>
      </c>
      <c r="BB342" s="156">
        <f>INPUT!CY308</f>
        <v>33.333333333333329</v>
      </c>
      <c r="BC342" s="687">
        <f>INPUT!CZ308</f>
        <v>-5.0574712643679298</v>
      </c>
      <c r="BD342" s="156">
        <f>INPUT!DA308</f>
        <v>35</v>
      </c>
      <c r="BE342" s="687">
        <f>INPUT!DB308</f>
        <v>-1.3636363636363669</v>
      </c>
      <c r="BF342" s="156">
        <f>INPUT!DC308</f>
        <v>36.363636363636367</v>
      </c>
      <c r="BG342" s="687">
        <f>INPUT!DD308</f>
        <v>1.0101010101010166</v>
      </c>
      <c r="BH342" s="156">
        <f>INPUT!DE308</f>
        <v>35.294117647058826</v>
      </c>
      <c r="BI342" s="687">
        <f>INPUT!DF308</f>
        <v>-1.1764705882352899</v>
      </c>
      <c r="BJ342" s="156">
        <f>INPUT!DG308</f>
        <v>36.111111111111107</v>
      </c>
      <c r="BK342" s="687">
        <f>INPUT!DH308</f>
        <v>8.333333333333325</v>
      </c>
      <c r="BL342" s="156">
        <f>INPUT!DI308</f>
        <v>35.294117647058826</v>
      </c>
      <c r="BM342" s="687">
        <f>INPUT!DJ308</f>
        <v>0.84033613445377853</v>
      </c>
      <c r="BN342" s="156">
        <f>INPUT!DK308</f>
        <v>33.333333333333329</v>
      </c>
      <c r="BO342" s="687">
        <f>INPUT!DL308</f>
        <v>-8.3333333333333588</v>
      </c>
      <c r="BP342" s="156">
        <f>INPUT!DM308</f>
        <v>33.333333333333329</v>
      </c>
      <c r="BQ342" s="687">
        <f>INPUT!DN308</f>
        <v>-5.5555555555555802</v>
      </c>
      <c r="BR342" s="156">
        <f>INPUT!DO308</f>
        <v>33.333333333333329</v>
      </c>
      <c r="BS342" s="687">
        <f>INPUT!DP308</f>
        <v>-7.6923076923076987</v>
      </c>
      <c r="BT342" s="156">
        <f>INPUT!DQ308</f>
        <v>30</v>
      </c>
      <c r="BU342" s="687">
        <f>INPUT!DR308</f>
        <v>-15.000000000000002</v>
      </c>
      <c r="BV342" s="156">
        <f>INPUT!DS308</f>
        <v>40</v>
      </c>
      <c r="BW342" s="687">
        <f>INPUT!DT308</f>
        <v>20.000000000000018</v>
      </c>
      <c r="BX342" s="156">
        <f>INPUT!DU308</f>
        <v>36.666666666666664</v>
      </c>
      <c r="BY342" s="687">
        <f>INPUT!DV308</f>
        <v>10.000000000000009</v>
      </c>
      <c r="BZ342" s="156">
        <f>INPUT!DW308</f>
        <v>34.615384615384613</v>
      </c>
      <c r="CA342" s="687">
        <f>INPUT!DX308</f>
        <v>34.615384615384613</v>
      </c>
      <c r="CB342" s="156">
        <f>INPUT!DY308</f>
        <v>35</v>
      </c>
      <c r="CC342" s="687">
        <f>INPUT!DZ308</f>
        <v>16.666666666666675</v>
      </c>
      <c r="CD342" s="156">
        <f>INPUT!EA308</f>
        <v>37.5</v>
      </c>
      <c r="CE342" s="687">
        <f>INPUT!EB308</f>
        <v>-6.25</v>
      </c>
      <c r="CF342" s="156">
        <f>INPUT!EC308</f>
        <v>34.782608695652172</v>
      </c>
      <c r="CG342" s="687">
        <f>INPUT!ED308</f>
        <v>-5.1383399209486207</v>
      </c>
      <c r="CH342" s="156">
        <f>INPUT!EE308</f>
        <v>36.363636363636367</v>
      </c>
      <c r="CI342" s="687">
        <f>INPUT!EF308</f>
        <v>5.0505050505050608</v>
      </c>
      <c r="CJ342" s="156">
        <f>INPUT!EG308</f>
        <v>36</v>
      </c>
      <c r="CK342" s="687">
        <f>INPUT!EH308</f>
        <v>2.857142857142847</v>
      </c>
      <c r="CL342" s="156">
        <f>INPUT!EI308</f>
        <v>36.363636363636367</v>
      </c>
      <c r="CM342" s="687">
        <f>INPUT!EJ308</f>
        <v>-3.0303030303030165</v>
      </c>
      <c r="CN342" s="156">
        <f>INPUT!EK308</f>
        <v>33.962264150943398</v>
      </c>
      <c r="CO342" s="687">
        <f>INPUT!EL308</f>
        <v>-2.3584905660377298</v>
      </c>
      <c r="CP342" s="156">
        <f>INPUT!EM308</f>
        <v>34.920634920634917</v>
      </c>
      <c r="CQ342" s="687">
        <f>INPUT!EN308</f>
        <v>-3.9682539682539875</v>
      </c>
      <c r="CR342" s="156">
        <f>INPUT!EO308</f>
        <v>35.483870967741936</v>
      </c>
      <c r="CS342" s="687">
        <f>INPUT!EP308</f>
        <v>-1.4336917562724039</v>
      </c>
      <c r="CT342" s="156">
        <f>INPUT!EQ308</f>
        <v>21</v>
      </c>
      <c r="CU342" s="687">
        <f>INPUT!ER308</f>
        <v>-42.250000000000007</v>
      </c>
      <c r="CV342" s="156">
        <f>INPUT!ES308</f>
        <v>21</v>
      </c>
      <c r="CW342" s="687">
        <f>INPUT!ET308</f>
        <v>-38.166666666666671</v>
      </c>
      <c r="CX342" s="156">
        <f>INPUT!EU308</f>
        <v>21</v>
      </c>
      <c r="CY342" s="687">
        <f>INPUT!EV308</f>
        <v>-39.86363636363636</v>
      </c>
      <c r="CZ342" s="156">
        <f>INPUT!EW308</f>
        <v>21</v>
      </c>
      <c r="DA342" s="687">
        <f>INPUT!EX308</f>
        <v>-40.81818181818182</v>
      </c>
      <c r="DB342" s="16"/>
      <c r="DC342" s="156"/>
      <c r="DD342" s="687"/>
      <c r="DE342" s="156">
        <f>INPUT!FR308</f>
        <v>35.019710906701697</v>
      </c>
      <c r="DF342" s="687">
        <f>INPUT!FS308</f>
        <v>5.6959691415348068E-2</v>
      </c>
      <c r="DG342" s="156">
        <f>INPUT!FT308</f>
        <v>35.071633237822397</v>
      </c>
      <c r="DH342" s="687">
        <f>INPUT!FU308</f>
        <v>0.14826601869737388</v>
      </c>
      <c r="DI342" s="156">
        <f>INPUT!FV308</f>
        <v>34.97506234413963</v>
      </c>
      <c r="DJ342" s="687">
        <f>INPUT!FW308</f>
        <v>-0.27535328345821286</v>
      </c>
      <c r="DK342" s="156">
        <f>INPUT!FX308</f>
        <v>35.061055500235852</v>
      </c>
      <c r="DL342" s="687">
        <f>INPUT!FY308</f>
        <v>0.24586991511290623</v>
      </c>
      <c r="DM342" s="156">
        <f>INPUT!FZ308</f>
        <v>34.940855323020898</v>
      </c>
      <c r="DN342" s="687">
        <f>INPUT!GA308</f>
        <v>-0.34283102861563108</v>
      </c>
      <c r="DO342" s="156">
        <f>INPUT!GB308</f>
        <v>35.191403626595005</v>
      </c>
      <c r="DP342" s="687">
        <f>INPUT!GC308</f>
        <v>0.71706402507276668</v>
      </c>
      <c r="DQ342" s="156">
        <f>INPUT!GD308</f>
        <v>35.135135135135137</v>
      </c>
      <c r="DR342" s="687">
        <f>INPUT!GE308</f>
        <v>-0.15989271714454967</v>
      </c>
      <c r="DS342" s="156">
        <f>INPUT!GF308</f>
        <v>35.779816513761467</v>
      </c>
      <c r="DT342" s="687">
        <f>INPUT!GG308</f>
        <v>1.8348623853210899</v>
      </c>
      <c r="DU342" s="156">
        <f>INPUT!GH308</f>
        <v>34.285714285714285</v>
      </c>
      <c r="DV342" s="687">
        <f>INPUT!GI308</f>
        <v>-4.1758241758241716</v>
      </c>
      <c r="DW342" s="156">
        <f>INPUT!GJ308</f>
        <v>34.848484848484851</v>
      </c>
      <c r="DX342" s="687">
        <f>INPUT!GK308</f>
        <v>1.6414141414141437</v>
      </c>
      <c r="DY342" s="156">
        <f>INPUT!GL308</f>
        <v>36</v>
      </c>
      <c r="DZ342" s="687">
        <f>INPUT!GM308</f>
        <v>3.3043478260869508</v>
      </c>
      <c r="EA342" s="156">
        <f>INPUT!GN308</f>
        <v>34.810126582278485</v>
      </c>
      <c r="EB342" s="687">
        <f>INPUT!GO308</f>
        <v>-3.3052039381153198</v>
      </c>
      <c r="EC342" s="156">
        <f>INPUT!GP308</f>
        <v>20.999999999999972</v>
      </c>
      <c r="ED342" s="687">
        <f>INPUT!GQ308</f>
        <v>-39.672727272727357</v>
      </c>
      <c r="EE342" s="156">
        <f>INPUT!GR308</f>
        <v>20.999999999999972</v>
      </c>
      <c r="EF342" s="687">
        <f>INPUT!GS308</f>
        <v>0</v>
      </c>
      <c r="EG342" s="156">
        <f>INPUT!GT308</f>
        <v>20.999999999999972</v>
      </c>
      <c r="EH342" s="687">
        <f>INPUT!GU308</f>
        <v>0</v>
      </c>
      <c r="EI342" s="156">
        <f>INPUT!GV308</f>
        <v>20.999999999999972</v>
      </c>
      <c r="EJ342" s="687">
        <f>INPUT!GW308</f>
        <v>0</v>
      </c>
      <c r="EK342" s="156">
        <f>INPUT!GX308</f>
        <v>20.999999999999972</v>
      </c>
      <c r="EL342" s="687">
        <f>INPUT!GY308</f>
        <v>0</v>
      </c>
      <c r="EM342" s="687">
        <f>INPUT!GZ308</f>
        <v>-9.6136730058425268</v>
      </c>
    </row>
    <row r="343" spans="1:143" ht="12.75" hidden="1" customHeight="1" outlineLevel="1" x14ac:dyDescent="0.2">
      <c r="A343" s="707" t="str">
        <f>INPUT!B309</f>
        <v>Operating Earnings</v>
      </c>
      <c r="B343" s="708"/>
      <c r="C343" s="709"/>
      <c r="D343" s="708">
        <f>INPUT!BA309</f>
        <v>36.900000000000013</v>
      </c>
      <c r="E343" s="709">
        <f>INPUT!BB309</f>
        <v>72.922817376634512</v>
      </c>
      <c r="F343" s="708">
        <f>INPUT!BC309</f>
        <v>28.800000000000068</v>
      </c>
      <c r="G343" s="709">
        <f>INPUT!BD309</f>
        <v>92.564856913613951</v>
      </c>
      <c r="H343" s="708">
        <f>INPUT!BE309</f>
        <v>33.199999999999967</v>
      </c>
      <c r="I343" s="709">
        <f>INPUT!BF309</f>
        <v>99.231877100335836</v>
      </c>
      <c r="J343" s="708">
        <f>INPUT!BG309</f>
        <v>23.000000000000036</v>
      </c>
      <c r="K343" s="709">
        <f>INPUT!BH309</f>
        <v>-22.03389830508462</v>
      </c>
      <c r="L343" s="708">
        <f>INPUT!BI309</f>
        <v>28.900000000000023</v>
      </c>
      <c r="M343" s="709">
        <f>INPUT!BJ309</f>
        <v>-21.680216802167983</v>
      </c>
      <c r="N343" s="708">
        <f>INPUT!BK309</f>
        <v>33.200000000000024</v>
      </c>
      <c r="O343" s="709">
        <f>INPUT!BL309</f>
        <v>15.27777777777759</v>
      </c>
      <c r="P343" s="708">
        <f>INPUT!BM309</f>
        <v>28.199999999999978</v>
      </c>
      <c r="Q343" s="709">
        <f>INPUT!BN309</f>
        <v>-15.06024096385541</v>
      </c>
      <c r="R343" s="708">
        <f>INPUT!BO309</f>
        <v>26.099999999999955</v>
      </c>
      <c r="S343" s="709">
        <f>INPUT!BP309</f>
        <v>13.478260869564851</v>
      </c>
      <c r="T343" s="708">
        <f>INPUT!BQ309</f>
        <v>32.29999999999999</v>
      </c>
      <c r="U343" s="709">
        <f>INPUT!BR309</f>
        <v>11.764705882352811</v>
      </c>
      <c r="V343" s="708">
        <f>INPUT!BS309</f>
        <v>27.5</v>
      </c>
      <c r="W343" s="709">
        <f>INPUT!BT309</f>
        <v>-17.16867469879524</v>
      </c>
      <c r="X343" s="708">
        <f>INPUT!BU309</f>
        <v>18.399999999999977</v>
      </c>
      <c r="Y343" s="709">
        <f>INPUT!BV309</f>
        <v>-34.751773049645415</v>
      </c>
      <c r="Z343" s="708">
        <f>INPUT!BW309</f>
        <v>25.700000000000056</v>
      </c>
      <c r="AA343" s="709">
        <f>INPUT!BX309</f>
        <v>-1.5325670498080424</v>
      </c>
      <c r="AB343" s="708">
        <f>INPUT!BY309</f>
        <v>33.600000000000044</v>
      </c>
      <c r="AC343" s="709">
        <f>INPUT!BZ309</f>
        <v>4.0247678018577426</v>
      </c>
      <c r="AD343" s="708">
        <f>INPUT!CA309</f>
        <v>34.509999999999977</v>
      </c>
      <c r="AE343" s="709">
        <f>INPUT!CB309</f>
        <v>25.490909090909007</v>
      </c>
      <c r="AF343" s="708">
        <f>INPUT!CC309</f>
        <v>30.09999999999992</v>
      </c>
      <c r="AG343" s="709">
        <f>INPUT!CD309</f>
        <v>63.586956521738891</v>
      </c>
      <c r="AH343" s="708">
        <f>INPUT!CE309</f>
        <v>21.300000000000033</v>
      </c>
      <c r="AI343" s="709">
        <f>INPUT!CF309</f>
        <v>-17.120622568093435</v>
      </c>
      <c r="AJ343" s="708">
        <f>INPUT!CG309</f>
        <v>22.700000000000024</v>
      </c>
      <c r="AK343" s="709">
        <f>INPUT!CH309</f>
        <v>-32.440476190476211</v>
      </c>
      <c r="AL343" s="708">
        <f>INPUT!CI309</f>
        <v>9.5000000000000462</v>
      </c>
      <c r="AM343" s="709" t="str">
        <f>INPUT!CJ309</f>
        <v>NM</v>
      </c>
      <c r="AN343" s="708">
        <f>INPUT!CK309</f>
        <v>17.999999999999989</v>
      </c>
      <c r="AO343" s="709">
        <f>INPUT!CL309</f>
        <v>-40.199335548172634</v>
      </c>
      <c r="AP343" s="708">
        <f>INPUT!CM309</f>
        <v>24.100000000000101</v>
      </c>
      <c r="AQ343" s="709">
        <f>INPUT!CN309</f>
        <v>13.145539906103586</v>
      </c>
      <c r="AR343" s="708">
        <f>INPUT!CO309</f>
        <v>25.59999999999992</v>
      </c>
      <c r="AS343" s="709">
        <f>INPUT!CP309</f>
        <v>12.775330396475294</v>
      </c>
      <c r="AT343" s="708">
        <f>INPUT!CQ309</f>
        <v>26.799999999999955</v>
      </c>
      <c r="AU343" s="709" t="str">
        <f>INPUT!CR309</f>
        <v>NM</v>
      </c>
      <c r="AV343" s="708">
        <f>INPUT!CS309</f>
        <v>20</v>
      </c>
      <c r="AW343" s="709">
        <f>INPUT!CT309</f>
        <v>11.111111111111182</v>
      </c>
      <c r="AX343" s="708">
        <f>INPUT!CU309</f>
        <v>16</v>
      </c>
      <c r="AY343" s="709">
        <f>INPUT!CV309</f>
        <v>-33.609958506224345</v>
      </c>
      <c r="AZ343" s="708">
        <f>INPUT!CW309</f>
        <v>27</v>
      </c>
      <c r="BA343" s="709">
        <f>INPUT!CX309</f>
        <v>5.4687500000003331</v>
      </c>
      <c r="BB343" s="708">
        <f>INPUT!CY309</f>
        <v>16</v>
      </c>
      <c r="BC343" s="709">
        <f>INPUT!CZ309</f>
        <v>-40.298507462686459</v>
      </c>
      <c r="BD343" s="708">
        <f>INPUT!DA309</f>
        <v>13</v>
      </c>
      <c r="BE343" s="709">
        <f>INPUT!DB309</f>
        <v>-35</v>
      </c>
      <c r="BF343" s="708">
        <f>INPUT!DC309</f>
        <v>14</v>
      </c>
      <c r="BG343" s="709">
        <f>INPUT!DD309</f>
        <v>-12.5</v>
      </c>
      <c r="BH343" s="708">
        <f>INPUT!DE309</f>
        <v>22</v>
      </c>
      <c r="BI343" s="709">
        <f>INPUT!DF309</f>
        <v>-18.518518518518523</v>
      </c>
      <c r="BJ343" s="708">
        <f>INPUT!DG309</f>
        <v>23</v>
      </c>
      <c r="BK343" s="709">
        <f>INPUT!DH309</f>
        <v>43.75</v>
      </c>
      <c r="BL343" s="708">
        <f>INPUT!DI309</f>
        <v>11</v>
      </c>
      <c r="BM343" s="709">
        <f>INPUT!DJ309</f>
        <v>-15.384615384615385</v>
      </c>
      <c r="BN343" s="708">
        <f>INPUT!DK309</f>
        <v>20</v>
      </c>
      <c r="BO343" s="709">
        <f>INPUT!DL309</f>
        <v>42.857142857142861</v>
      </c>
      <c r="BP343" s="708">
        <f>INPUT!DM309</f>
        <v>2</v>
      </c>
      <c r="BQ343" s="709" t="str">
        <f>INPUT!DN309</f>
        <v>NM</v>
      </c>
      <c r="BR343" s="708">
        <f>INPUT!DO309</f>
        <v>8</v>
      </c>
      <c r="BS343" s="709" t="str">
        <f>INPUT!DP309</f>
        <v>NM</v>
      </c>
      <c r="BT343" s="708">
        <f>INPUT!DQ309</f>
        <v>-7</v>
      </c>
      <c r="BU343" s="709" t="str">
        <f>INPUT!DR309</f>
        <v>NM</v>
      </c>
      <c r="BV343" s="708">
        <f>INPUT!DS309</f>
        <v>-6</v>
      </c>
      <c r="BW343" s="709" t="str">
        <f>INPUT!DT309</f>
        <v>NM</v>
      </c>
      <c r="BX343" s="708">
        <f>INPUT!DU309</f>
        <v>19</v>
      </c>
      <c r="BY343" s="709" t="str">
        <f>INPUT!DV309</f>
        <v>NM</v>
      </c>
      <c r="BZ343" s="708">
        <f>INPUT!DW309</f>
        <v>17</v>
      </c>
      <c r="CA343" s="709">
        <f>INPUT!DX309</f>
        <v>17</v>
      </c>
      <c r="CB343" s="708">
        <f>INPUT!DY309</f>
        <v>13</v>
      </c>
      <c r="CC343" s="709" t="str">
        <f>INPUT!DZ309</f>
        <v>NM</v>
      </c>
      <c r="CD343" s="708">
        <f>INPUT!EA309</f>
        <v>5</v>
      </c>
      <c r="CE343" s="709" t="str">
        <f>INPUT!EB309</f>
        <v>NM</v>
      </c>
      <c r="CF343" s="708">
        <f>INPUT!EC309</f>
        <v>15</v>
      </c>
      <c r="CG343" s="709">
        <f>INPUT!ED309</f>
        <v>-21.052631578947366</v>
      </c>
      <c r="CH343" s="708">
        <f>INPUT!EE309</f>
        <v>28</v>
      </c>
      <c r="CI343" s="709">
        <f>INPUT!EF309</f>
        <v>64.705882352941174</v>
      </c>
      <c r="CJ343" s="708">
        <f>INPUT!EG309</f>
        <v>16</v>
      </c>
      <c r="CK343" s="709">
        <f>INPUT!EH309</f>
        <v>23.076923076923084</v>
      </c>
      <c r="CL343" s="708">
        <f>INPUT!EI309</f>
        <v>7</v>
      </c>
      <c r="CM343" s="709">
        <f>INPUT!EJ309</f>
        <v>39.999999999999993</v>
      </c>
      <c r="CN343" s="708">
        <f>INPUT!EK309</f>
        <v>35</v>
      </c>
      <c r="CO343" s="709" t="str">
        <f>INPUT!EL309</f>
        <v>NM</v>
      </c>
      <c r="CP343" s="708">
        <f>INPUT!EM309</f>
        <v>41</v>
      </c>
      <c r="CQ343" s="709">
        <f>INPUT!EN309</f>
        <v>46.428571428571416</v>
      </c>
      <c r="CR343" s="708">
        <f>INPUT!EO309</f>
        <v>20</v>
      </c>
      <c r="CS343" s="709">
        <f>INPUT!EP309</f>
        <v>25</v>
      </c>
      <c r="CT343" s="708">
        <f>INPUT!EQ309</f>
        <v>17.759357999999974</v>
      </c>
      <c r="CU343" s="709" t="str">
        <f>INPUT!ER309</f>
        <v>NM</v>
      </c>
      <c r="CV343" s="708">
        <f>INPUT!ES309</f>
        <v>29.276125433750021</v>
      </c>
      <c r="CW343" s="709">
        <f>INPUT!ET309</f>
        <v>-16.353927332142792</v>
      </c>
      <c r="CX343" s="708">
        <f>INPUT!EU309</f>
        <v>43.596592908068729</v>
      </c>
      <c r="CY343" s="709">
        <f>INPUT!EV309</f>
        <v>6.3331534343139761</v>
      </c>
      <c r="CZ343" s="708">
        <f>INPUT!EW309</f>
        <v>44.225634453952551</v>
      </c>
      <c r="DA343" s="709" t="str">
        <f>INPUT!EX309</f>
        <v>NM</v>
      </c>
      <c r="DB343" s="710"/>
      <c r="DC343" s="708"/>
      <c r="DD343" s="709"/>
      <c r="DE343" s="708">
        <f>INPUT!FR309</f>
        <v>128.40000000000003</v>
      </c>
      <c r="DF343" s="709">
        <f>INPUT!FS309</f>
        <v>48.059315975184916</v>
      </c>
      <c r="DG343" s="708">
        <f>INPUT!FT309</f>
        <v>113.29999999999977</v>
      </c>
      <c r="DH343" s="709">
        <f>INPUT!FU309</f>
        <v>-11.760124610592104</v>
      </c>
      <c r="DI343" s="708">
        <f>INPUT!FV309</f>
        <v>104.3000000000001</v>
      </c>
      <c r="DJ343" s="709">
        <f>INPUT!FW309</f>
        <v>-7.9435127978814579</v>
      </c>
      <c r="DK343" s="708">
        <f>INPUT!FX309</f>
        <v>123.90999999999994</v>
      </c>
      <c r="DL343" s="709">
        <f>INPUT!FY309</f>
        <v>18.801534036433189</v>
      </c>
      <c r="DM343" s="708">
        <f>INPUT!FZ309</f>
        <v>71.500000000000085</v>
      </c>
      <c r="DN343" s="709">
        <f>INPUT!GA309</f>
        <v>-42.296828343152193</v>
      </c>
      <c r="DO343" s="708">
        <f>INPUT!GB309</f>
        <v>96.500000000000085</v>
      </c>
      <c r="DP343" s="709">
        <f>INPUT!GC309</f>
        <v>34.965034965034917</v>
      </c>
      <c r="DQ343" s="708">
        <f>INPUT!GD309</f>
        <v>72</v>
      </c>
      <c r="DR343" s="709">
        <f>INPUT!GE309</f>
        <v>-25.388601036269499</v>
      </c>
      <c r="DS343" s="708">
        <f>INPUT!GF309</f>
        <v>70</v>
      </c>
      <c r="DT343" s="709">
        <f>INPUT!GG309</f>
        <v>-2.777777777777779</v>
      </c>
      <c r="DU343" s="708">
        <f>INPUT!GH309</f>
        <v>23</v>
      </c>
      <c r="DV343" s="709" t="str">
        <f>INPUT!GI309</f>
        <v>NM</v>
      </c>
      <c r="DW343" s="708">
        <f>INPUT!GJ309</f>
        <v>43</v>
      </c>
      <c r="DX343" s="709">
        <f>INPUT!GK309</f>
        <v>86.956521739130437</v>
      </c>
      <c r="DY343" s="708">
        <f>INPUT!GL309</f>
        <v>64</v>
      </c>
      <c r="DZ343" s="709">
        <f>INPUT!GM309</f>
        <v>48.837209302325576</v>
      </c>
      <c r="EA343" s="708">
        <f>INPUT!GN309</f>
        <v>103</v>
      </c>
      <c r="EB343" s="709">
        <f>INPUT!GO309</f>
        <v>60.9375</v>
      </c>
      <c r="EC343" s="708">
        <f>INPUT!GP309</f>
        <v>134.85771079577151</v>
      </c>
      <c r="ED343" s="709">
        <f>INPUT!GQ309</f>
        <v>30.929816306574274</v>
      </c>
      <c r="EE343" s="708">
        <f>INPUT!GR309</f>
        <v>181.98288299719923</v>
      </c>
      <c r="EF343" s="709">
        <f>INPUT!GS309</f>
        <v>34.94436611992775</v>
      </c>
      <c r="EG343" s="708">
        <f>INPUT!GT309</f>
        <v>209.66092615708487</v>
      </c>
      <c r="EH343" s="709">
        <f>INPUT!GU309</f>
        <v>15.209146434014698</v>
      </c>
      <c r="EI343" s="708">
        <f>INPUT!GV309</f>
        <v>210.9387975805935</v>
      </c>
      <c r="EJ343" s="709">
        <f>INPUT!GW309</f>
        <v>0.60949431395300735</v>
      </c>
      <c r="EK343" s="708">
        <f>INPUT!GX309</f>
        <v>212.22764969707413</v>
      </c>
      <c r="EL343" s="709">
        <f>INPUT!GY309</f>
        <v>0.61100761512977719</v>
      </c>
      <c r="EM343" s="711">
        <f>INPUT!GZ309</f>
        <v>15.556119134803993</v>
      </c>
    </row>
    <row r="344" spans="1:143" s="561" customFormat="1" ht="12.75" hidden="1" customHeight="1" outlineLevel="2" x14ac:dyDescent="0.2">
      <c r="A344" s="712" t="s">
        <v>50</v>
      </c>
      <c r="B344" s="713"/>
      <c r="C344" s="662"/>
      <c r="D344" s="713">
        <f>(D328+D329+D330-D334-D335-D336-D341)-D343</f>
        <v>0</v>
      </c>
      <c r="E344" s="662"/>
      <c r="F344" s="713">
        <f>(F328+F329+F330-F334-F335-F336-F341)-F343</f>
        <v>-2.8421709430404007E-14</v>
      </c>
      <c r="G344" s="662"/>
      <c r="H344" s="713">
        <f>(H328+H329+H330-H334-H335-H336-H341)-H343</f>
        <v>0</v>
      </c>
      <c r="I344" s="662"/>
      <c r="J344" s="713">
        <f>(J328+J329+J330-J334-J335-J336-J341)-J343</f>
        <v>0</v>
      </c>
      <c r="K344" s="662"/>
      <c r="L344" s="713">
        <f>(L328+L329+L330-L334-L335-L336-L341)-L343</f>
        <v>0</v>
      </c>
      <c r="M344" s="662"/>
      <c r="N344" s="713">
        <f>(N328+N329+N330-N334-N335-N336-N341)-N343</f>
        <v>0</v>
      </c>
      <c r="O344" s="662"/>
      <c r="P344" s="713">
        <f>(P328+P329+P330-P334-P335-P336-P341)-P343</f>
        <v>0</v>
      </c>
      <c r="Q344" s="662"/>
      <c r="R344" s="713">
        <f>(R328+R329+R330-R334-R335-R336-R341)-R343</f>
        <v>2.8421709430404007E-14</v>
      </c>
      <c r="S344" s="662"/>
      <c r="T344" s="713">
        <f>(T328+T329+T330-T334-T335-T336-T341)-T343</f>
        <v>0</v>
      </c>
      <c r="U344" s="662"/>
      <c r="V344" s="713">
        <f>(V328+V329+V330-V334-V335-V336-V341)-V343</f>
        <v>0</v>
      </c>
      <c r="W344" s="662"/>
      <c r="X344" s="713">
        <f>(X328+X329+X330-X334-X335-X336-X341)-X343</f>
        <v>0</v>
      </c>
      <c r="Y344" s="662"/>
      <c r="Z344" s="713">
        <f>(Z328+Z329+Z330-Z334-Z335-Z336-Z341)-Z343</f>
        <v>0</v>
      </c>
      <c r="AA344" s="662"/>
      <c r="AB344" s="713">
        <f>(AB328+AB329+AB330-AB334-AB335-AB336-AB341)-AB343</f>
        <v>0</v>
      </c>
      <c r="AC344" s="662"/>
      <c r="AD344" s="713">
        <f>(AD328+AD329+AD330-AD334-AD335-AD336-AD341)-AD343</f>
        <v>0</v>
      </c>
      <c r="AE344" s="662"/>
      <c r="AF344" s="713">
        <f>(AF328+AF329+AF330-AF334-AF335-AF336-AF341)-AF343</f>
        <v>0</v>
      </c>
      <c r="AG344" s="662"/>
      <c r="AH344" s="713">
        <f>(AH328+AH329+AH330-AH334-AH335-AH336-AH341)-AH343</f>
        <v>0</v>
      </c>
      <c r="AI344" s="662"/>
      <c r="AJ344" s="713">
        <f>(AJ328+AJ329+AJ330-AJ334-AJ335-AJ336-AJ341)-AJ343</f>
        <v>0</v>
      </c>
      <c r="AK344" s="662"/>
      <c r="AL344" s="713">
        <f>(AL328+AL329+AL330-AL334-AL335-AL336-AL341)-AL343</f>
        <v>-2.1316282072803006E-14</v>
      </c>
      <c r="AM344" s="662"/>
      <c r="AN344" s="713">
        <f>(AN328+AN329+AN330-AN334-AN335-AN336-AN341)-AN343</f>
        <v>0</v>
      </c>
      <c r="AO344" s="662"/>
      <c r="AP344" s="713">
        <f>(AP328+AP329+AP330-AP334-AP335-AP336-AP341)-AP343</f>
        <v>-2.8421709430404007E-14</v>
      </c>
      <c r="AQ344" s="662"/>
      <c r="AR344" s="713">
        <f>(AR328+AR329+AR330-AR334-AR335-AR336-AR341)-AR343</f>
        <v>0</v>
      </c>
      <c r="AS344" s="662"/>
      <c r="AT344" s="713">
        <f>(AT328+AT329+AT330-AT334-AT335-AT336-AT341)-AT343</f>
        <v>0</v>
      </c>
      <c r="AU344" s="662"/>
      <c r="AV344" s="713">
        <f>(AV328+AV329+AV330-AV334-AV335-AV336-AV341)-AV343</f>
        <v>0</v>
      </c>
      <c r="AW344" s="662"/>
      <c r="AX344" s="713">
        <f>(AX328+AX329+AX330-AX334-AX335-AX336-AX341)-AX343</f>
        <v>0</v>
      </c>
      <c r="AY344" s="662"/>
      <c r="AZ344" s="713">
        <f>(AZ328+AZ329+AZ330-AZ334-AZ335-AZ336-AZ341)-AZ343</f>
        <v>0</v>
      </c>
      <c r="BA344" s="662"/>
      <c r="BB344" s="713">
        <f>(BB328+BB329+BB330-BB334-BB335-BB336-BB341)-BB343</f>
        <v>0</v>
      </c>
      <c r="BC344" s="662"/>
      <c r="BD344" s="713">
        <f>(BD328+BD329+BD330-BD334-BD335-BD336-BD341)-BD343</f>
        <v>0</v>
      </c>
      <c r="BE344" s="662"/>
      <c r="BF344" s="713">
        <f>(BF328+BF329+BF330-BF334-BF335-BF336-BF341)-BF343</f>
        <v>0</v>
      </c>
      <c r="BG344" s="662"/>
      <c r="BH344" s="713">
        <f>(BH328+BH329+BH330-BH334-BH335-BH336-BH341)-BH343</f>
        <v>0</v>
      </c>
      <c r="BI344" s="662"/>
      <c r="BJ344" s="713">
        <f>(BJ328+BJ329+BJ330-BJ334-BJ335-BJ336-BJ341)-BJ343</f>
        <v>0</v>
      </c>
      <c r="BK344" s="662"/>
      <c r="BL344" s="713">
        <f>(BL328+BL329+BL330-BL334-BL335-BL336-BL341)-BL343</f>
        <v>0</v>
      </c>
      <c r="BM344" s="662"/>
      <c r="BN344" s="713">
        <f>(BN328+BN329+BN330-BN334-BN335-BN336-BN341)-BN343</f>
        <v>0</v>
      </c>
      <c r="BO344" s="662"/>
      <c r="BP344" s="713">
        <f>(BP328+BP329+BP330-BP334-BP335-BP336-BP341)-BP343</f>
        <v>0</v>
      </c>
      <c r="BQ344" s="662"/>
      <c r="BR344" s="713">
        <f>(BR328+BR329+BR330-BR334-BR335-BR336-BR341)-BR343</f>
        <v>0</v>
      </c>
      <c r="BS344" s="662"/>
      <c r="BT344" s="713">
        <f>(BT328+BT329+BT330-BT334-BT335-BT336-BT341)-BT343</f>
        <v>0</v>
      </c>
      <c r="BU344" s="662"/>
      <c r="BV344" s="713">
        <f>(BV328+BV329+BV330-BV334-BV335-BV336-BV341)-BV343</f>
        <v>0</v>
      </c>
      <c r="BW344" s="662"/>
      <c r="BX344" s="713">
        <f>(BX328+BX329+BX330-BX334-BX335-BX336-BX341)-BX343</f>
        <v>0</v>
      </c>
      <c r="BY344" s="662"/>
      <c r="BZ344" s="713">
        <f>(BZ328+BZ329+BZ330-BZ334-BZ335-BZ336-BZ341)-BZ343</f>
        <v>0</v>
      </c>
      <c r="CA344" s="662"/>
      <c r="CB344" s="713">
        <f>(CB328+CB329+CB330-CB334-CB335-CB336-CB341)-CB343</f>
        <v>0</v>
      </c>
      <c r="CC344" s="662"/>
      <c r="CD344" s="713">
        <f>(CD328+CD329+CD330-CD334-CD335-CD336-CD341)-CD343</f>
        <v>0</v>
      </c>
      <c r="CE344" s="662"/>
      <c r="CF344" s="713">
        <f>(CF328+CF329+CF330-CF334-CF335-CF336-CF341)-CF343</f>
        <v>0</v>
      </c>
      <c r="CG344" s="662"/>
      <c r="CH344" s="713">
        <f>(CH328+CH329+CH330-CH334-CH335-CH336-CH341)-CH343</f>
        <v>0</v>
      </c>
      <c r="CI344" s="662"/>
      <c r="CJ344" s="713">
        <f>(CJ328+CJ329+CJ330-CJ334-CJ335-CJ336-CJ341)-CJ343</f>
        <v>0</v>
      </c>
      <c r="CK344" s="662"/>
      <c r="CL344" s="713">
        <f>(CL328+CL329+CL330-CL334-CL335-CL336-CL341)-CL343</f>
        <v>0</v>
      </c>
      <c r="CM344" s="662"/>
      <c r="CN344" s="713">
        <f t="shared" ref="CN344" si="165">(CN328+CN329+CN330-CN334-CN335-CN336-CN341)-CN343</f>
        <v>0</v>
      </c>
      <c r="CO344" s="662"/>
      <c r="CP344" s="713">
        <f t="shared" ref="CP344" si="166">(CP328+CP329+CP330-CP334-CP335-CP336-CP341)-CP343</f>
        <v>0</v>
      </c>
      <c r="CQ344" s="662"/>
      <c r="CR344" s="713">
        <f t="shared" ref="CR344" si="167">(CR328+CR329+CR330-CR334-CR335-CR336-CR341)-CR343</f>
        <v>0</v>
      </c>
      <c r="CS344" s="662"/>
      <c r="CT344" s="713">
        <f>(CT328+CT329+CT330-CT334-CT335-CT336-CT341)-CT343</f>
        <v>0</v>
      </c>
      <c r="CU344" s="662"/>
      <c r="CV344" s="713">
        <f t="shared" ref="CV344" si="168">(CV328+CV329+CV330-CV334-CV335-CV336-CV341)-CV343</f>
        <v>-2.8421709430404007E-14</v>
      </c>
      <c r="CW344" s="662"/>
      <c r="CX344" s="713">
        <f t="shared" ref="CX344" si="169">(CX328+CX329+CX330-CX334-CX335-CX336-CX341)-CX343</f>
        <v>-5.6843418860808015E-14</v>
      </c>
      <c r="CY344" s="662"/>
      <c r="CZ344" s="713">
        <f t="shared" ref="CZ344" si="170">(CZ328+CZ329+CZ330-CZ334-CZ335-CZ336-CZ341)-CZ343</f>
        <v>0</v>
      </c>
      <c r="DA344" s="662"/>
      <c r="DB344" s="714"/>
      <c r="DC344" s="713"/>
      <c r="DD344" s="662"/>
      <c r="DE344" s="713">
        <f>(DE328+DE329+DE330-DE334-DE335-DE336-DE341)-DE343</f>
        <v>-29.500000000000156</v>
      </c>
      <c r="DF344" s="662"/>
      <c r="DG344" s="713">
        <f>(DG328+DG329+DG330-DG334-DG335-DG336-DG341)-DG343</f>
        <v>2.8421709430404007E-13</v>
      </c>
      <c r="DH344" s="662"/>
      <c r="DI344" s="713">
        <f>(DI328+DI329+DI330-DI334-DI335-DI336-DI341)-DI343</f>
        <v>0</v>
      </c>
      <c r="DJ344" s="662"/>
      <c r="DK344" s="713">
        <f>(DK328+DK329+DK330-DK334-DK335-DK336-DK341)-DK343</f>
        <v>0</v>
      </c>
      <c r="DL344" s="662"/>
      <c r="DM344" s="713">
        <f>(DM328+DM329+DM330-DM334-DM335-DM336-DM341)-DM343</f>
        <v>0</v>
      </c>
      <c r="DN344" s="662"/>
      <c r="DO344" s="713">
        <f>(DO328+DO329+DO330-DO334-DO335-DO336-DO341)-DO343</f>
        <v>0</v>
      </c>
      <c r="DP344" s="662"/>
      <c r="DQ344" s="713">
        <f>(DQ328+DQ329+DQ330-DQ334-DQ335-DQ336-DQ341)-DQ343</f>
        <v>0</v>
      </c>
      <c r="DR344" s="662"/>
      <c r="DS344" s="713">
        <f>(DS328+DS329+DS330-DS334-DS335-DS336-DS341)-DS343</f>
        <v>0</v>
      </c>
      <c r="DT344" s="662"/>
      <c r="DU344" s="713">
        <f>(DU328+DU329+DU330-DU334-DU335-DU336-DU341)-DU343</f>
        <v>0</v>
      </c>
      <c r="DV344" s="662"/>
      <c r="DW344" s="713">
        <f>(DW328+DW329+DW330-DW334-DW335-DW336-DW341)-DW343</f>
        <v>0</v>
      </c>
      <c r="DX344" s="662"/>
      <c r="DY344" s="713">
        <f>(DY328+DY329+DY330-DY334-DY335-DY336-DY341)-DY343</f>
        <v>0</v>
      </c>
      <c r="DZ344" s="662"/>
      <c r="EA344" s="713">
        <f>(EA328+EA329+EA330-EA334-EA335-EA336-EA341)-EA343</f>
        <v>0</v>
      </c>
      <c r="EB344" s="662"/>
      <c r="EC344" s="713">
        <f>(EC328+EC329+EC330-EC334-EC335-EC336-EC341)-EC343</f>
        <v>0</v>
      </c>
      <c r="ED344" s="662"/>
      <c r="EE344" s="713">
        <f>(EE328+EE329+EE330-EE334-EE335-EE336-EE341)-EE343</f>
        <v>2.8421709430404007E-13</v>
      </c>
      <c r="EF344" s="662"/>
      <c r="EG344" s="713">
        <f>(EG328+EG329+EG330-EG334-EG335-EG336-EG341)-EG343</f>
        <v>0</v>
      </c>
      <c r="EH344" s="662"/>
      <c r="EI344" s="713">
        <f>(EI328+EI329+EI330-EI334-EI335-EI336-EI341)-EI343</f>
        <v>-2.2737367544323206E-13</v>
      </c>
      <c r="EJ344" s="662"/>
      <c r="EK344" s="713">
        <f>(EK328+EK329+EK330-EK334-EK335-EK336-EK341)-EK343</f>
        <v>-3.4106051316484809E-13</v>
      </c>
      <c r="EL344" s="662"/>
      <c r="EM344" s="662"/>
    </row>
    <row r="345" spans="1:143" ht="12.75" hidden="1" customHeight="1" outlineLevel="1" collapsed="1" x14ac:dyDescent="0.2">
      <c r="A345" s="701"/>
      <c r="B345" s="16"/>
      <c r="C345" s="687"/>
      <c r="D345" s="16"/>
      <c r="E345" s="687"/>
      <c r="F345" s="16"/>
      <c r="G345" s="687"/>
      <c r="H345" s="16"/>
      <c r="I345" s="687"/>
      <c r="J345" s="16"/>
      <c r="K345" s="687"/>
      <c r="L345" s="16"/>
      <c r="M345" s="687"/>
      <c r="N345" s="16"/>
      <c r="O345" s="687"/>
      <c r="P345" s="16"/>
      <c r="Q345" s="687"/>
      <c r="R345" s="16"/>
      <c r="S345" s="687"/>
      <c r="T345" s="16"/>
      <c r="U345" s="687"/>
      <c r="V345" s="16"/>
      <c r="W345" s="687"/>
      <c r="X345" s="16"/>
      <c r="Y345" s="687"/>
      <c r="Z345" s="16"/>
      <c r="AA345" s="687"/>
      <c r="AB345" s="16"/>
      <c r="AC345" s="687"/>
      <c r="AD345" s="16"/>
      <c r="AE345" s="687"/>
      <c r="AF345" s="16"/>
      <c r="AG345" s="687"/>
      <c r="AH345" s="16"/>
      <c r="AI345" s="687"/>
      <c r="AJ345" s="16"/>
      <c r="AK345" s="687"/>
      <c r="AL345" s="16"/>
      <c r="AM345" s="687"/>
      <c r="AN345" s="16"/>
      <c r="AO345" s="687"/>
      <c r="AP345" s="16"/>
      <c r="AQ345" s="687"/>
      <c r="AR345" s="16"/>
      <c r="AS345" s="687"/>
      <c r="AT345" s="16"/>
      <c r="AU345" s="687"/>
      <c r="AV345" s="16"/>
      <c r="AW345" s="687"/>
      <c r="AX345" s="16"/>
      <c r="AY345" s="687"/>
      <c r="AZ345" s="16"/>
      <c r="BA345" s="687"/>
      <c r="BB345" s="16"/>
      <c r="BC345" s="687"/>
      <c r="BD345" s="16"/>
      <c r="BE345" s="687"/>
      <c r="BF345" s="16"/>
      <c r="BG345" s="687"/>
      <c r="BH345" s="16"/>
      <c r="BI345" s="687"/>
      <c r="BJ345" s="16"/>
      <c r="BK345" s="687"/>
      <c r="BL345" s="16"/>
      <c r="BM345" s="687"/>
      <c r="BN345" s="16"/>
      <c r="BO345" s="687"/>
      <c r="BP345" s="16"/>
      <c r="BQ345" s="687"/>
      <c r="BR345" s="16"/>
      <c r="BS345" s="687"/>
      <c r="BT345" s="16"/>
      <c r="BU345" s="687"/>
      <c r="BV345" s="16"/>
      <c r="BW345" s="687"/>
      <c r="BX345" s="16"/>
      <c r="BY345" s="687"/>
      <c r="BZ345" s="16"/>
      <c r="CA345" s="687"/>
      <c r="CB345" s="16"/>
      <c r="CC345" s="687"/>
      <c r="CD345" s="16"/>
      <c r="CE345" s="687"/>
      <c r="CF345" s="16"/>
      <c r="CG345" s="687"/>
      <c r="CH345" s="16"/>
      <c r="CI345" s="687"/>
      <c r="CJ345" s="16"/>
      <c r="CK345" s="687"/>
      <c r="CL345" s="16"/>
      <c r="CM345" s="687"/>
      <c r="CN345" s="16"/>
      <c r="CO345" s="687"/>
      <c r="CP345" s="16"/>
      <c r="CQ345" s="687"/>
      <c r="CR345" s="16"/>
      <c r="CS345" s="687"/>
      <c r="CT345" s="16"/>
      <c r="CU345" s="687"/>
      <c r="CV345" s="16"/>
      <c r="CW345" s="687"/>
      <c r="CX345" s="16"/>
      <c r="CY345" s="687"/>
      <c r="CZ345" s="16"/>
      <c r="DA345" s="687"/>
      <c r="DB345" s="16"/>
      <c r="DC345" s="16"/>
      <c r="DD345" s="687"/>
      <c r="DE345" s="16"/>
      <c r="DF345" s="687"/>
      <c r="DG345" s="16"/>
      <c r="DH345" s="687"/>
      <c r="DI345" s="16"/>
      <c r="DJ345" s="687"/>
      <c r="DK345" s="16"/>
      <c r="DL345" s="687"/>
      <c r="DM345" s="16"/>
      <c r="DN345" s="687"/>
      <c r="DO345" s="16"/>
      <c r="DP345" s="687"/>
      <c r="DQ345" s="16"/>
      <c r="DR345" s="687"/>
      <c r="DS345" s="16"/>
      <c r="DT345" s="687"/>
      <c r="DU345" s="16"/>
      <c r="DV345" s="687"/>
      <c r="DW345" s="16"/>
      <c r="DX345" s="687"/>
      <c r="DY345" s="16"/>
      <c r="DZ345" s="687"/>
      <c r="EA345" s="16"/>
      <c r="EB345" s="687"/>
      <c r="EC345" s="16"/>
      <c r="ED345" s="687"/>
      <c r="EE345" s="16"/>
      <c r="EF345" s="687"/>
      <c r="EG345" s="16"/>
      <c r="EH345" s="687"/>
      <c r="EI345" s="16"/>
      <c r="EJ345" s="687"/>
      <c r="EK345" s="16"/>
      <c r="EL345" s="687"/>
      <c r="EM345" s="687"/>
    </row>
    <row r="346" spans="1:143" ht="12.75" hidden="1" customHeight="1" outlineLevel="1" x14ac:dyDescent="0.2">
      <c r="A346" s="715" t="s">
        <v>303</v>
      </c>
      <c r="B346" s="16"/>
      <c r="C346" s="687"/>
      <c r="D346" s="16"/>
      <c r="E346" s="687"/>
      <c r="F346" s="16"/>
      <c r="G346" s="687"/>
      <c r="H346" s="16"/>
      <c r="I346" s="687"/>
      <c r="J346" s="16"/>
      <c r="K346" s="687"/>
      <c r="L346" s="16"/>
      <c r="M346" s="687"/>
      <c r="N346" s="16"/>
      <c r="O346" s="687"/>
      <c r="P346" s="16"/>
      <c r="Q346" s="687"/>
      <c r="R346" s="16"/>
      <c r="S346" s="687"/>
      <c r="T346" s="16"/>
      <c r="U346" s="687"/>
      <c r="V346" s="16"/>
      <c r="W346" s="687"/>
      <c r="X346" s="16"/>
      <c r="Y346" s="687"/>
      <c r="Z346" s="16"/>
      <c r="AA346" s="687"/>
      <c r="AB346" s="16"/>
      <c r="AC346" s="687"/>
      <c r="AD346" s="16"/>
      <c r="AE346" s="687"/>
      <c r="AF346" s="16"/>
      <c r="AG346" s="687"/>
      <c r="AH346" s="16"/>
      <c r="AI346" s="687"/>
      <c r="AJ346" s="16"/>
      <c r="AK346" s="687"/>
      <c r="AL346" s="16"/>
      <c r="AM346" s="687"/>
      <c r="AN346" s="16"/>
      <c r="AO346" s="687"/>
      <c r="AP346" s="16"/>
      <c r="AQ346" s="687"/>
      <c r="AR346" s="16"/>
      <c r="AS346" s="687"/>
      <c r="AT346" s="16"/>
      <c r="AU346" s="687"/>
      <c r="AV346" s="16"/>
      <c r="AW346" s="687"/>
      <c r="AX346" s="16"/>
      <c r="AY346" s="687"/>
      <c r="AZ346" s="16"/>
      <c r="BA346" s="687"/>
      <c r="BB346" s="16"/>
      <c r="BC346" s="687"/>
      <c r="BD346" s="16"/>
      <c r="BE346" s="687"/>
      <c r="BF346" s="16"/>
      <c r="BG346" s="687"/>
      <c r="BH346" s="16"/>
      <c r="BI346" s="687"/>
      <c r="BJ346" s="16"/>
      <c r="BK346" s="687"/>
      <c r="BL346" s="16"/>
      <c r="BM346" s="687"/>
      <c r="BN346" s="16"/>
      <c r="BO346" s="687"/>
      <c r="BP346" s="16"/>
      <c r="BQ346" s="687"/>
      <c r="BR346" s="16"/>
      <c r="BS346" s="687"/>
      <c r="BT346" s="16"/>
      <c r="BU346" s="687"/>
      <c r="BV346" s="16"/>
      <c r="BW346" s="687"/>
      <c r="BX346" s="16"/>
      <c r="BY346" s="687"/>
      <c r="BZ346" s="16"/>
      <c r="CA346" s="687"/>
      <c r="CB346" s="16"/>
      <c r="CC346" s="687"/>
      <c r="CD346" s="16"/>
      <c r="CE346" s="687"/>
      <c r="CF346" s="16"/>
      <c r="CG346" s="687"/>
      <c r="CH346" s="16"/>
      <c r="CI346" s="687"/>
      <c r="CJ346" s="16"/>
      <c r="CK346" s="687"/>
      <c r="CL346" s="16"/>
      <c r="CM346" s="687"/>
      <c r="CN346" s="16"/>
      <c r="CO346" s="687"/>
      <c r="CP346" s="16"/>
      <c r="CQ346" s="687"/>
      <c r="CR346" s="16"/>
      <c r="CS346" s="687"/>
      <c r="CT346" s="16"/>
      <c r="CU346" s="687"/>
      <c r="CV346" s="16"/>
      <c r="CW346" s="687"/>
      <c r="CX346" s="16"/>
      <c r="CY346" s="687"/>
      <c r="CZ346" s="16"/>
      <c r="DA346" s="687"/>
      <c r="DB346" s="16"/>
      <c r="DC346" s="16"/>
      <c r="DD346" s="687"/>
      <c r="DE346" s="16"/>
      <c r="DF346" s="687"/>
      <c r="DG346" s="16"/>
      <c r="DH346" s="687"/>
      <c r="DI346" s="16"/>
      <c r="DJ346" s="687"/>
      <c r="DK346" s="16"/>
      <c r="DL346" s="687"/>
      <c r="DM346" s="16"/>
      <c r="DN346" s="687"/>
      <c r="DO346" s="16"/>
      <c r="DP346" s="687"/>
      <c r="DQ346" s="16"/>
      <c r="DR346" s="687"/>
      <c r="DS346" s="16"/>
      <c r="DT346" s="687"/>
      <c r="DU346" s="16"/>
      <c r="DV346" s="687"/>
      <c r="DW346" s="16"/>
      <c r="DX346" s="687"/>
      <c r="DY346" s="16"/>
      <c r="DZ346" s="687"/>
      <c r="EA346" s="16"/>
      <c r="EB346" s="687"/>
      <c r="EC346" s="16"/>
      <c r="ED346" s="687"/>
      <c r="EE346" s="16"/>
      <c r="EF346" s="687"/>
      <c r="EG346" s="16"/>
      <c r="EH346" s="687"/>
      <c r="EI346" s="16"/>
      <c r="EJ346" s="687"/>
      <c r="EK346" s="16"/>
      <c r="EL346" s="687"/>
      <c r="EM346" s="687"/>
    </row>
    <row r="347" spans="1:143" ht="12.75" hidden="1" customHeight="1" outlineLevel="1" x14ac:dyDescent="0.2">
      <c r="A347" s="522" t="s">
        <v>304</v>
      </c>
      <c r="B347" s="464"/>
      <c r="C347" s="687"/>
      <c r="D347" s="464">
        <f>INPUT!BA575</f>
        <v>8.7957617333423936</v>
      </c>
      <c r="E347" s="687" t="str">
        <f>INPUT!BB575</f>
        <v>NA</v>
      </c>
      <c r="F347" s="464">
        <f>INPUT!BC575</f>
        <v>7.2836332476435501</v>
      </c>
      <c r="G347" s="687" t="str">
        <f>INPUT!BD575</f>
        <v>NA</v>
      </c>
      <c r="H347" s="464">
        <f>INPUT!BE575</f>
        <v>7.1925340307911698</v>
      </c>
      <c r="I347" s="687" t="str">
        <f>INPUT!BF575</f>
        <v>NA</v>
      </c>
      <c r="J347" s="464"/>
      <c r="K347" s="687"/>
      <c r="L347" s="464">
        <f>INPUT!BI575</f>
        <v>8.9005235602094306</v>
      </c>
      <c r="M347" s="687">
        <f>INPUT!BJ575</f>
        <v>1.1910489397400692</v>
      </c>
      <c r="N347" s="464">
        <f>INPUT!BK575</f>
        <v>7.5156576200417602</v>
      </c>
      <c r="O347" s="687">
        <f>INPUT!BL575</f>
        <v>3.1855581481024853</v>
      </c>
      <c r="P347" s="464">
        <f>INPUT!BM575</f>
        <v>7.0687237026647933</v>
      </c>
      <c r="Q347" s="687">
        <f>INPUT!BN575</f>
        <v>-1.7213728512975535</v>
      </c>
      <c r="R347" s="464">
        <f>INPUT!BO575</f>
        <v>8.5714285714285534</v>
      </c>
      <c r="S347" s="687">
        <f>INPUT!BP575</f>
        <v>20.894409937887804</v>
      </c>
      <c r="T347" s="464">
        <f>INPUT!BQ575</f>
        <v>10.466623460790661</v>
      </c>
      <c r="U347" s="687">
        <f>INPUT!BR575</f>
        <v>17.595593000647924</v>
      </c>
      <c r="V347" s="464">
        <f>INPUT!BS575</f>
        <v>8.7301587301587276</v>
      </c>
      <c r="W347" s="687">
        <f>INPUT!BT575</f>
        <v>16.159611992945202</v>
      </c>
      <c r="X347" s="464">
        <f>INPUT!BU575</f>
        <v>10.004675081813927</v>
      </c>
      <c r="Y347" s="687">
        <f>INPUT!BV575</f>
        <v>41.534391534391531</v>
      </c>
      <c r="Z347" s="464">
        <f>INPUT!BW575</f>
        <v>13.14578005115092</v>
      </c>
      <c r="AA347" s="687">
        <f>INPUT!BX575</f>
        <v>53.3674339300944</v>
      </c>
      <c r="AB347" s="464">
        <f>INPUT!BY575</f>
        <v>16.208393632416794</v>
      </c>
      <c r="AC347" s="687">
        <f>INPUT!BZ575</f>
        <v>54.857903249654051</v>
      </c>
      <c r="AD347" s="464">
        <f>INPUT!CA575</f>
        <v>13.196436082750179</v>
      </c>
      <c r="AE347" s="687">
        <f>INPUT!CB575</f>
        <v>51.159176947865738</v>
      </c>
      <c r="AF347" s="464">
        <f>INPUT!CC575</f>
        <v>11.044377711044353</v>
      </c>
      <c r="AG347" s="687">
        <f>INPUT!CD575</f>
        <v>10.392167868803192</v>
      </c>
      <c r="AH347" s="156">
        <f>INPUT!CE575</f>
        <v>11.052259887005659</v>
      </c>
      <c r="AI347" s="687">
        <f>INPUT!CF575</f>
        <v>-15.925416034645822</v>
      </c>
      <c r="AJ347" s="156">
        <f>INPUT!CG575</f>
        <v>12.968696250430003</v>
      </c>
      <c r="AK347" s="687">
        <f>INPUT!CH575</f>
        <v>-19.98777581207921</v>
      </c>
      <c r="AL347" s="156">
        <f>INPUT!CI575</f>
        <v>4.4389204545454719</v>
      </c>
      <c r="AM347" s="687" t="str">
        <f>INPUT!CJ575</f>
        <v>NM</v>
      </c>
      <c r="AN347" s="156">
        <f>INPUT!CK575</f>
        <v>6.0483870967741948</v>
      </c>
      <c r="AO347" s="687">
        <f>INPUT!CL575</f>
        <v>-45.235600818633529</v>
      </c>
      <c r="AP347" s="156">
        <f>INPUT!CM575</f>
        <v>6.9227981152591838</v>
      </c>
      <c r="AQ347" s="687">
        <f>INPUT!CN575</f>
        <v>-37.363053474715677</v>
      </c>
      <c r="AR347" s="156">
        <f>INPUT!CO575</f>
        <v>7.7689927810243846</v>
      </c>
      <c r="AS347" s="687">
        <f>INPUT!CP575</f>
        <v>-40.094265213692637</v>
      </c>
      <c r="AT347" s="156">
        <f>INPUT!CQ575</f>
        <v>8.5650367529562033</v>
      </c>
      <c r="AU347" s="687">
        <f>INPUT!CR575</f>
        <v>92.953147970596589</v>
      </c>
      <c r="AV347" s="156">
        <f>INPUT!CS575</f>
        <v>7.1428571428571423</v>
      </c>
      <c r="AW347" s="687">
        <f>INPUT!CT575</f>
        <v>18.095238095238052</v>
      </c>
      <c r="AX347" s="156">
        <f>INPUT!CU575</f>
        <v>5.4607508532423212</v>
      </c>
      <c r="AY347" s="687">
        <f>INPUT!CV575</f>
        <v>-21.119310973322015</v>
      </c>
      <c r="AZ347" s="156">
        <f>INPUT!CW575</f>
        <v>8.1355932203389827</v>
      </c>
      <c r="BA347" s="687">
        <f>INPUT!CX575</f>
        <v>4.7187640617972093</v>
      </c>
      <c r="BB347" s="156">
        <f>INPUT!CY575</f>
        <v>4.8780487804878048</v>
      </c>
      <c r="BC347" s="687">
        <f>INPUT!CZ575</f>
        <v>-43.046960320349392</v>
      </c>
      <c r="BD347" s="156">
        <f>INPUT!DA575</f>
        <v>4.3046357615894042</v>
      </c>
      <c r="BE347" s="687">
        <f>INPUT!DB575</f>
        <v>-39.735099337748338</v>
      </c>
      <c r="BF347" s="156">
        <f>INPUT!DC575</f>
        <v>4.6901486777130836</v>
      </c>
      <c r="BG347" s="687">
        <f>INPUT!DD575</f>
        <v>-14.111652339379166</v>
      </c>
      <c r="BH347" s="156">
        <f>INPUT!DE575</f>
        <v>6.6265060240963862</v>
      </c>
      <c r="BI347" s="687">
        <f>INPUT!DF575</f>
        <v>-18.549196787148581</v>
      </c>
      <c r="BJ347" s="156">
        <f>INPUT!DG575</f>
        <v>5.8997050147492622</v>
      </c>
      <c r="BK347" s="687">
        <f>INPUT!DH575</f>
        <v>20.943952802359878</v>
      </c>
      <c r="BL347" s="156">
        <f>INPUT!DI575</f>
        <v>0.84033613445378152</v>
      </c>
      <c r="BM347" s="687" t="str">
        <f>INPUT!DJ575</f>
        <v>NM</v>
      </c>
      <c r="BN347" s="156">
        <f>INPUT!DK575</f>
        <v>5.4945054945054945</v>
      </c>
      <c r="BO347" s="687">
        <f>INPUT!DL575</f>
        <v>17.149921507064359</v>
      </c>
      <c r="BP347" s="156">
        <f>INPUT!DM575</f>
        <v>0.52083333333333326</v>
      </c>
      <c r="BQ347" s="687" t="str">
        <f>INPUT!DN575</f>
        <v>NM</v>
      </c>
      <c r="BR347" s="156">
        <f>INPUT!DO575</f>
        <v>1.9801980198019802</v>
      </c>
      <c r="BS347" s="687" t="str">
        <f>INPUT!DP575</f>
        <v>NM</v>
      </c>
      <c r="BT347" s="156">
        <f>INPUT!DQ575</f>
        <v>-1.8087855297157622</v>
      </c>
      <c r="BU347" s="687" t="str">
        <f>INPUT!DR575</f>
        <v>NM</v>
      </c>
      <c r="BV347" s="156">
        <f>INPUT!DS575</f>
        <v>-1.7045454545454544</v>
      </c>
      <c r="BW347" s="687" t="str">
        <f>INPUT!DT575</f>
        <v>NM</v>
      </c>
      <c r="BX347" s="156">
        <f>INPUT!DU575</f>
        <v>5.0131926121372032</v>
      </c>
      <c r="BY347" s="687" t="str">
        <f>INPUT!DV575</f>
        <v>NM</v>
      </c>
      <c r="BZ347" s="156">
        <f>INPUT!DW575</f>
        <v>4.0332147093712933</v>
      </c>
      <c r="CA347" s="687">
        <f>INPUT!DX575</f>
        <v>4.0332147093712933</v>
      </c>
      <c r="CB347" s="156">
        <f>INPUT!DY575</f>
        <v>3.4031413612565444</v>
      </c>
      <c r="CC347" s="687" t="str">
        <f>INPUT!DZ575</f>
        <v>NM</v>
      </c>
      <c r="CD347" s="156">
        <f>INPUT!EA575</f>
        <v>1.3812154696132597</v>
      </c>
      <c r="CE347" s="687" t="str">
        <f>INPUT!EB575</f>
        <v>NM</v>
      </c>
      <c r="CF347" s="156">
        <f>INPUT!EC575</f>
        <v>4.0214477211796247</v>
      </c>
      <c r="CG347" s="687">
        <f>INPUT!ED575</f>
        <v>-19.782700719627488</v>
      </c>
      <c r="CH347" s="156">
        <f>INPUT!EE575</f>
        <v>5.6331129071760957</v>
      </c>
      <c r="CI347" s="687">
        <f>INPUT!EF575</f>
        <v>39.668064139689662</v>
      </c>
      <c r="CJ347" s="156">
        <f>INPUT!EG575</f>
        <v>3.9119804400977993</v>
      </c>
      <c r="CK347" s="687">
        <f>INPUT!EH575</f>
        <v>14.952040624412266</v>
      </c>
      <c r="CL347" s="156">
        <f>INPUT!EI575</f>
        <v>1.7587939698492463</v>
      </c>
      <c r="CM347" s="687">
        <f>INPUT!EJ575</f>
        <v>27.336683417085439</v>
      </c>
      <c r="CN347" s="156">
        <f>INPUT!EK575</f>
        <v>8.3532219570405726</v>
      </c>
      <c r="CO347" s="687" t="str">
        <f>INPUT!EL575</f>
        <v>NM</v>
      </c>
      <c r="CP347" s="156">
        <f>INPUT!EM575</f>
        <v>8.7658592848904267</v>
      </c>
      <c r="CQ347" s="687">
        <f>INPUT!EN575</f>
        <v>55.613058522641801</v>
      </c>
      <c r="CR347" s="156">
        <f>INPUT!EO575</f>
        <v>4.5454545454545459</v>
      </c>
      <c r="CS347" s="687">
        <f>INPUT!EP575</f>
        <v>16.193181818181834</v>
      </c>
      <c r="CT347" s="156">
        <f>INPUT!EQ575</f>
        <v>4.101322571601477</v>
      </c>
      <c r="CU347" s="687" t="str">
        <f>INPUT!ER575</f>
        <v>NM</v>
      </c>
      <c r="CV347" s="156">
        <f>INPUT!ES575</f>
        <v>6.3580278487440367</v>
      </c>
      <c r="CW347" s="687">
        <f>INPUT!ET575</f>
        <v>-23.885323753607103</v>
      </c>
      <c r="CX347" s="156">
        <f>INPUT!EU575</f>
        <v>9.0989837059036507</v>
      </c>
      <c r="CY347" s="687">
        <f>INPUT!EV575</f>
        <v>3.8002483291903255</v>
      </c>
      <c r="CZ347" s="156">
        <f>INPUT!EW575</f>
        <v>8.9777654049329421</v>
      </c>
      <c r="DA347" s="687">
        <f>INPUT!EX575</f>
        <v>97.510838908524704</v>
      </c>
      <c r="DB347" s="16"/>
      <c r="DC347" s="464"/>
      <c r="DD347" s="687"/>
      <c r="DE347" s="464">
        <f>INPUT!FR575</f>
        <v>8.5834772214105506</v>
      </c>
      <c r="DF347" s="687" t="str">
        <f>INPUT!FS575</f>
        <v>NA</v>
      </c>
      <c r="DG347" s="464">
        <f>INPUT!FT575</f>
        <v>7.6292042657916186</v>
      </c>
      <c r="DH347" s="687">
        <f>INPUT!FU575</f>
        <v>-11.117556801322914</v>
      </c>
      <c r="DI347" s="464">
        <f>INPUT!FV575</f>
        <v>9.3957968476357312</v>
      </c>
      <c r="DJ347" s="687">
        <f>INPUT!FW575</f>
        <v>23.155659755569658</v>
      </c>
      <c r="DK347" s="156">
        <f>INPUT!FX575</f>
        <v>13.164801195008341</v>
      </c>
      <c r="DL347" s="687">
        <f>INPUT!FY575</f>
        <v>40.113727536808177</v>
      </c>
      <c r="DM347" s="156">
        <f>INPUT!FZ575</f>
        <v>8.6289133639753821</v>
      </c>
      <c r="DN347" s="687">
        <f>INPUT!GA575</f>
        <v>-34.45466257973434</v>
      </c>
      <c r="DO347" s="156">
        <f>INPUT!GB575</f>
        <v>7.6312839527464051</v>
      </c>
      <c r="DP347" s="687">
        <f>INPUT!GC575</f>
        <v>-11.56147210138826</v>
      </c>
      <c r="DQ347" s="156">
        <f>INPUT!GD575</f>
        <v>5.6650246305418719</v>
      </c>
      <c r="DR347" s="687">
        <f>INPUT!GE575</f>
        <v>-25.76577328769034</v>
      </c>
      <c r="DS347" s="156">
        <f>INPUT!GF575</f>
        <v>4.447801655185307</v>
      </c>
      <c r="DT347" s="687">
        <f>INPUT!GG575</f>
        <v>-21.486631651946318</v>
      </c>
      <c r="DU347" s="156">
        <f>INPUT!GH575</f>
        <v>1.4944769330734242</v>
      </c>
      <c r="DV347" s="687" t="str">
        <f>INPUT!GI575</f>
        <v>NM</v>
      </c>
      <c r="DW347" s="156">
        <f>INPUT!GJ575</f>
        <v>2.8022157054415122</v>
      </c>
      <c r="DX347" s="687">
        <f>INPUT!GK575</f>
        <v>87.504781333673364</v>
      </c>
      <c r="DY347" s="156">
        <f>INPUT!GL575</f>
        <v>3.8008116987695675</v>
      </c>
      <c r="DZ347" s="687">
        <f>INPUT!GM575</f>
        <v>35.635943064230261</v>
      </c>
      <c r="EA347" s="156">
        <f>INPUT!GN575</f>
        <v>5.9154096421177167</v>
      </c>
      <c r="EB347" s="687">
        <f>INPUT!GO575</f>
        <v>55.635430295920884</v>
      </c>
      <c r="EC347" s="156">
        <f>INPUT!GP575</f>
        <v>7.2301061067037553</v>
      </c>
      <c r="ED347" s="687">
        <f>INPUT!GQ575</f>
        <v>22.224943733826976</v>
      </c>
      <c r="EE347" s="156">
        <f>INPUT!GR575</f>
        <v>9.1115334874916307</v>
      </c>
      <c r="EF347" s="687">
        <f>INPUT!GS575</f>
        <v>26.022126826650794</v>
      </c>
      <c r="EG347" s="156">
        <f>INPUT!GT575</f>
        <v>9.5857724634290271</v>
      </c>
      <c r="EH347" s="687">
        <f>INPUT!GU575</f>
        <v>5.2048206439501588</v>
      </c>
      <c r="EI347" s="156">
        <f>INPUT!GV575</f>
        <v>9.1839350629332923</v>
      </c>
      <c r="EJ347" s="687">
        <f>INPUT!GW575</f>
        <v>-4.1920189742537417</v>
      </c>
      <c r="EK347" s="156">
        <f>INPUT!GX575</f>
        <v>8.7781828920415226</v>
      </c>
      <c r="EL347" s="687">
        <f>INPUT!GY575</f>
        <v>-4.4180644583322497</v>
      </c>
      <c r="EM347" s="687">
        <f>INPUT!GZ575</f>
        <v>8.2141269596055277</v>
      </c>
    </row>
    <row r="348" spans="1:143" ht="12.75" hidden="1" customHeight="1" outlineLevel="1" x14ac:dyDescent="0.2">
      <c r="A348" s="700"/>
      <c r="B348" s="16"/>
      <c r="C348" s="687"/>
      <c r="D348" s="16"/>
      <c r="E348" s="687"/>
      <c r="F348" s="16"/>
      <c r="G348" s="687"/>
      <c r="H348" s="16"/>
      <c r="I348" s="687"/>
      <c r="J348" s="16"/>
      <c r="K348" s="687"/>
      <c r="L348" s="16"/>
      <c r="M348" s="687"/>
      <c r="N348" s="16"/>
      <c r="O348" s="687"/>
      <c r="P348" s="16"/>
      <c r="Q348" s="687"/>
      <c r="R348" s="16"/>
      <c r="S348" s="687"/>
      <c r="T348" s="16"/>
      <c r="U348" s="687"/>
      <c r="V348" s="16"/>
      <c r="W348" s="687"/>
      <c r="X348" s="16"/>
      <c r="Y348" s="687"/>
      <c r="Z348" s="16"/>
      <c r="AA348" s="687"/>
      <c r="AB348" s="16"/>
      <c r="AC348" s="687"/>
      <c r="AD348" s="16"/>
      <c r="AE348" s="687"/>
      <c r="AF348" s="16"/>
      <c r="AG348" s="687"/>
      <c r="AH348" s="16"/>
      <c r="AI348" s="687"/>
      <c r="AJ348" s="16"/>
      <c r="AK348" s="687"/>
      <c r="AL348" s="16"/>
      <c r="AM348" s="687"/>
      <c r="AN348" s="16"/>
      <c r="AO348" s="687"/>
      <c r="AP348" s="16"/>
      <c r="AQ348" s="687"/>
      <c r="AR348" s="16"/>
      <c r="AS348" s="687"/>
      <c r="AT348" s="16"/>
      <c r="AU348" s="687"/>
      <c r="AV348" s="16"/>
      <c r="AW348" s="687"/>
      <c r="AX348" s="16"/>
      <c r="AY348" s="687"/>
      <c r="AZ348" s="16"/>
      <c r="BA348" s="687"/>
      <c r="BB348" s="16"/>
      <c r="BC348" s="687"/>
      <c r="BD348" s="16"/>
      <c r="BE348" s="687"/>
      <c r="BF348" s="16"/>
      <c r="BG348" s="687"/>
      <c r="BH348" s="16"/>
      <c r="BI348" s="687"/>
      <c r="BJ348" s="16"/>
      <c r="BK348" s="687"/>
      <c r="BL348" s="16"/>
      <c r="BM348" s="687"/>
      <c r="BN348" s="16"/>
      <c r="BO348" s="687"/>
      <c r="BP348" s="16"/>
      <c r="BQ348" s="687"/>
      <c r="BR348" s="16"/>
      <c r="BS348" s="687"/>
      <c r="BT348" s="16"/>
      <c r="BU348" s="687"/>
      <c r="BV348" s="16"/>
      <c r="BW348" s="687"/>
      <c r="BX348" s="16"/>
      <c r="BY348" s="687"/>
      <c r="BZ348" s="16"/>
      <c r="CA348" s="687"/>
      <c r="CB348" s="16"/>
      <c r="CC348" s="687"/>
      <c r="CD348" s="16"/>
      <c r="CE348" s="687"/>
      <c r="CF348" s="16"/>
      <c r="CG348" s="687"/>
      <c r="CH348" s="16"/>
      <c r="CI348" s="687"/>
      <c r="CJ348" s="16"/>
      <c r="CK348" s="687"/>
      <c r="CL348" s="16"/>
      <c r="CM348" s="687"/>
      <c r="CN348" s="16"/>
      <c r="CO348" s="687"/>
      <c r="CP348" s="16"/>
      <c r="CQ348" s="687"/>
      <c r="CR348" s="16"/>
      <c r="CS348" s="687"/>
      <c r="CT348" s="16"/>
      <c r="CU348" s="687"/>
      <c r="CV348" s="16"/>
      <c r="CW348" s="687"/>
      <c r="CX348" s="16"/>
      <c r="CY348" s="687"/>
      <c r="CZ348" s="16"/>
      <c r="DA348" s="687"/>
      <c r="DB348" s="16"/>
      <c r="DC348" s="16"/>
      <c r="DD348" s="687"/>
      <c r="DE348" s="16"/>
      <c r="DF348" s="687"/>
      <c r="DG348" s="16"/>
      <c r="DH348" s="687"/>
      <c r="DI348" s="16"/>
      <c r="DJ348" s="687"/>
      <c r="DK348" s="16"/>
      <c r="DL348" s="687"/>
      <c r="DM348" s="16"/>
      <c r="DN348" s="687"/>
      <c r="DO348" s="16"/>
      <c r="DP348" s="687"/>
      <c r="DQ348" s="16"/>
      <c r="DR348" s="687"/>
      <c r="DS348" s="16"/>
      <c r="DT348" s="687"/>
      <c r="DU348" s="16"/>
      <c r="DV348" s="687"/>
      <c r="DW348" s="16"/>
      <c r="DX348" s="687"/>
      <c r="DY348" s="16"/>
      <c r="DZ348" s="687"/>
      <c r="EA348" s="16"/>
      <c r="EB348" s="687"/>
      <c r="EC348" s="16"/>
      <c r="ED348" s="687"/>
      <c r="EE348" s="16"/>
      <c r="EF348" s="687"/>
      <c r="EG348" s="16"/>
      <c r="EH348" s="687"/>
      <c r="EI348" s="16"/>
      <c r="EJ348" s="687"/>
      <c r="EK348" s="16"/>
      <c r="EL348" s="687"/>
      <c r="EM348" s="687"/>
    </row>
    <row r="349" spans="1:143" ht="12.75" hidden="1" customHeight="1" outlineLevel="1" x14ac:dyDescent="0.2">
      <c r="A349" s="700" t="str">
        <f>INPUT!B314</f>
        <v>Profitability Analysis</v>
      </c>
      <c r="B349" s="16"/>
      <c r="C349" s="687"/>
      <c r="D349" s="16"/>
      <c r="E349" s="687"/>
      <c r="F349" s="16"/>
      <c r="G349" s="687"/>
      <c r="H349" s="16"/>
      <c r="I349" s="687"/>
      <c r="J349" s="16"/>
      <c r="K349" s="687"/>
      <c r="L349" s="16"/>
      <c r="M349" s="687"/>
      <c r="N349" s="16"/>
      <c r="O349" s="687"/>
      <c r="P349" s="16"/>
      <c r="Q349" s="687"/>
      <c r="R349" s="16"/>
      <c r="S349" s="687"/>
      <c r="T349" s="16"/>
      <c r="U349" s="687"/>
      <c r="V349" s="16"/>
      <c r="W349" s="687"/>
      <c r="X349" s="16"/>
      <c r="Y349" s="687"/>
      <c r="Z349" s="16"/>
      <c r="AA349" s="687"/>
      <c r="AB349" s="16"/>
      <c r="AC349" s="687"/>
      <c r="AD349" s="16"/>
      <c r="AE349" s="687"/>
      <c r="AF349" s="16"/>
      <c r="AG349" s="687"/>
      <c r="AH349" s="16"/>
      <c r="AI349" s="687"/>
      <c r="AJ349" s="16"/>
      <c r="AK349" s="687"/>
      <c r="AL349" s="16"/>
      <c r="AM349" s="687"/>
      <c r="AN349" s="16"/>
      <c r="AO349" s="687"/>
      <c r="AP349" s="16"/>
      <c r="AQ349" s="687"/>
      <c r="AR349" s="16"/>
      <c r="AS349" s="687"/>
      <c r="AT349" s="16"/>
      <c r="AU349" s="687"/>
      <c r="AV349" s="16"/>
      <c r="AW349" s="687"/>
      <c r="AX349" s="16"/>
      <c r="AY349" s="687"/>
      <c r="AZ349" s="16"/>
      <c r="BA349" s="687"/>
      <c r="BB349" s="16"/>
      <c r="BC349" s="687"/>
      <c r="BD349" s="16"/>
      <c r="BE349" s="687"/>
      <c r="BF349" s="16"/>
      <c r="BG349" s="687"/>
      <c r="BH349" s="16"/>
      <c r="BI349" s="687"/>
      <c r="BJ349" s="16"/>
      <c r="BK349" s="687"/>
      <c r="BL349" s="16"/>
      <c r="BM349" s="687"/>
      <c r="BN349" s="16"/>
      <c r="BO349" s="687"/>
      <c r="BP349" s="16"/>
      <c r="BQ349" s="687"/>
      <c r="BR349" s="16"/>
      <c r="BS349" s="687"/>
      <c r="BT349" s="16"/>
      <c r="BU349" s="687"/>
      <c r="BV349" s="16"/>
      <c r="BW349" s="687"/>
      <c r="BX349" s="16"/>
      <c r="BY349" s="687"/>
      <c r="BZ349" s="16"/>
      <c r="CA349" s="687"/>
      <c r="CB349" s="16"/>
      <c r="CC349" s="687"/>
      <c r="CD349" s="16"/>
      <c r="CE349" s="687"/>
      <c r="CF349" s="16"/>
      <c r="CG349" s="687"/>
      <c r="CH349" s="16"/>
      <c r="CI349" s="687"/>
      <c r="CJ349" s="16"/>
      <c r="CK349" s="687"/>
      <c r="CL349" s="16"/>
      <c r="CM349" s="687"/>
      <c r="CN349" s="16"/>
      <c r="CO349" s="687"/>
      <c r="CP349" s="16"/>
      <c r="CQ349" s="687"/>
      <c r="CR349" s="16"/>
      <c r="CS349" s="687"/>
      <c r="CT349" s="16"/>
      <c r="CU349" s="687"/>
      <c r="CV349" s="16"/>
      <c r="CW349" s="687"/>
      <c r="CX349" s="16"/>
      <c r="CY349" s="687"/>
      <c r="CZ349" s="16"/>
      <c r="DA349" s="687"/>
      <c r="DB349" s="16"/>
      <c r="DC349" s="16"/>
      <c r="DD349" s="687"/>
      <c r="DE349" s="16"/>
      <c r="DF349" s="687"/>
      <c r="DG349" s="16"/>
      <c r="DH349" s="687"/>
      <c r="DI349" s="16"/>
      <c r="DJ349" s="687"/>
      <c r="DK349" s="16"/>
      <c r="DL349" s="687"/>
      <c r="DM349" s="16"/>
      <c r="DN349" s="687"/>
      <c r="DO349" s="16"/>
      <c r="DP349" s="687"/>
      <c r="DQ349" s="16"/>
      <c r="DR349" s="687"/>
      <c r="DS349" s="16"/>
      <c r="DT349" s="687"/>
      <c r="DU349" s="16"/>
      <c r="DV349" s="687"/>
      <c r="DW349" s="16"/>
      <c r="DX349" s="687"/>
      <c r="DY349" s="16"/>
      <c r="DZ349" s="687"/>
      <c r="EA349" s="16"/>
      <c r="EB349" s="687"/>
      <c r="EC349" s="16"/>
      <c r="ED349" s="687"/>
      <c r="EE349" s="16"/>
      <c r="EF349" s="687"/>
      <c r="EG349" s="16"/>
      <c r="EH349" s="687"/>
      <c r="EI349" s="16"/>
      <c r="EJ349" s="687"/>
      <c r="EK349" s="16"/>
      <c r="EL349" s="687"/>
      <c r="EM349" s="687"/>
    </row>
    <row r="350" spans="1:143" ht="12.75" hidden="1" customHeight="1" outlineLevel="1" x14ac:dyDescent="0.2">
      <c r="A350" s="701" t="str">
        <f>INPUT!B315</f>
        <v>Operating Margin (%)</v>
      </c>
      <c r="B350" s="156"/>
      <c r="C350" s="687"/>
      <c r="D350" s="156">
        <f>INPUT!BA315</f>
        <v>10.400225479143183</v>
      </c>
      <c r="E350" s="687">
        <f>INPUT!BB315</f>
        <v>62.866682960253151</v>
      </c>
      <c r="F350" s="156">
        <f>INPUT!BC315</f>
        <v>8.6694762191451122</v>
      </c>
      <c r="G350" s="687">
        <f>INPUT!BD315</f>
        <v>80.20407121576352</v>
      </c>
      <c r="H350" s="156">
        <f>INPUT!BE315</f>
        <v>9.6315636785610579</v>
      </c>
      <c r="I350" s="687">
        <f>INPUT!BF315</f>
        <v>85.208773525608962</v>
      </c>
      <c r="J350" s="156"/>
      <c r="K350" s="687"/>
      <c r="L350" s="156">
        <f>INPUT!BI315</f>
        <v>7.3913043478260931</v>
      </c>
      <c r="M350" s="687">
        <f>INPUT!BJ315</f>
        <v>-28.931306704371352</v>
      </c>
      <c r="N350" s="156">
        <f>INPUT!BK315</f>
        <v>9.0340136054421833</v>
      </c>
      <c r="O350" s="687">
        <f>INPUT!BL315</f>
        <v>4.2048374905516273</v>
      </c>
      <c r="P350" s="156">
        <f>INPUT!BM315</f>
        <v>7.4093536521282131</v>
      </c>
      <c r="Q350" s="687">
        <f>INPUT!BN315</f>
        <v>-23.072162533475971</v>
      </c>
      <c r="R350" s="156">
        <f>INPUT!BO315</f>
        <v>6.5364387678437161</v>
      </c>
      <c r="S350" s="687">
        <f>INPUT!BP315</f>
        <v>2.3947342632211877</v>
      </c>
      <c r="T350" s="156">
        <f>INPUT!BQ315</f>
        <v>7.6017886561543877</v>
      </c>
      <c r="U350" s="687">
        <f>INPUT!BR315</f>
        <v>2.8477288773828047</v>
      </c>
      <c r="V350" s="156">
        <f>INPUT!BS315</f>
        <v>6.8272095332671299</v>
      </c>
      <c r="W350" s="687">
        <f>INPUT!BT315</f>
        <v>-24.42772579892565</v>
      </c>
      <c r="X350" s="156">
        <f>INPUT!BU315</f>
        <v>4.4606060606060556</v>
      </c>
      <c r="Y350" s="687">
        <f>INPUT!BV315</f>
        <v>-39.797635933806177</v>
      </c>
      <c r="Z350" s="156">
        <f>INPUT!BW315</f>
        <v>6.0987185571903311</v>
      </c>
      <c r="AA350" s="687">
        <f>INPUT!BX315</f>
        <v>-6.6966160963178867</v>
      </c>
      <c r="AB350" s="156">
        <f>INPUT!BY315</f>
        <v>7.5863626100700019</v>
      </c>
      <c r="AC350" s="687">
        <f>INPUT!BZ315</f>
        <v>-0.2029265319274165</v>
      </c>
      <c r="AD350" s="156">
        <f>INPUT!CA315</f>
        <v>8.3234847205807796</v>
      </c>
      <c r="AE350" s="687">
        <f>INPUT!CB315</f>
        <v>21.916350743634116</v>
      </c>
      <c r="AF350" s="156">
        <f>INPUT!CC315</f>
        <v>6.9418819188191705</v>
      </c>
      <c r="AG350" s="687">
        <f>INPUT!CD315</f>
        <v>55.626428886571254</v>
      </c>
      <c r="AH350" s="156">
        <f>INPUT!CE315</f>
        <v>4.7843665768194148</v>
      </c>
      <c r="AI350" s="687">
        <f>INPUT!CF315</f>
        <v>-21.551281110050702</v>
      </c>
      <c r="AJ350" s="156">
        <f>INPUT!CG315</f>
        <v>4.8287598383322745</v>
      </c>
      <c r="AK350" s="687">
        <f>INPUT!CH315</f>
        <v>-36.34947225007852</v>
      </c>
      <c r="AL350" s="156">
        <f>INPUT!CI315</f>
        <v>2.1040974529346723</v>
      </c>
      <c r="AM350" s="687" t="str">
        <f>INPUT!CJ315</f>
        <v>NM</v>
      </c>
      <c r="AN350" s="156">
        <f>INPUT!CK315</f>
        <v>3.876803790652593</v>
      </c>
      <c r="AO350" s="687">
        <f>INPUT!CL315</f>
        <v>-44.153417819702042</v>
      </c>
      <c r="AP350" s="156">
        <f>INPUT!CM315</f>
        <v>5.0428960033480008</v>
      </c>
      <c r="AQ350" s="687">
        <f>INPUT!CN315</f>
        <v>5.4036291404002901</v>
      </c>
      <c r="AR350" s="156">
        <f>INPUT!CO315</f>
        <v>5.1138633639632287</v>
      </c>
      <c r="AS350" s="687">
        <f>INPUT!CP315</f>
        <v>5.9042805021634948</v>
      </c>
      <c r="AT350" s="156">
        <f>INPUT!CQ315</f>
        <v>5.59032123487692</v>
      </c>
      <c r="AU350" s="687" t="str">
        <f>INPUT!CR315</f>
        <v>NM</v>
      </c>
      <c r="AV350" s="156">
        <f>INPUT!CS315</f>
        <v>4.1580041580041582</v>
      </c>
      <c r="AW350" s="687">
        <f>INPUT!CT315</f>
        <v>7.2534072534073291</v>
      </c>
      <c r="AX350" s="156">
        <f>INPUT!CU315</f>
        <v>3.1746031746031744</v>
      </c>
      <c r="AY350" s="687">
        <f>INPUT!CV315</f>
        <v>-37.048014226437722</v>
      </c>
      <c r="AZ350" s="156">
        <f>INPUT!CW315</f>
        <v>5</v>
      </c>
      <c r="BA350" s="687">
        <f>INPUT!CX315</f>
        <v>-2.2265624999997069</v>
      </c>
      <c r="BB350" s="156">
        <f>INPUT!CY315</f>
        <v>3.0947775628626695</v>
      </c>
      <c r="BC350" s="687">
        <f>INPUT!CZ315</f>
        <v>-44.640434192672899</v>
      </c>
      <c r="BD350" s="156">
        <f>INPUT!DA315</f>
        <v>2.4482109227871938</v>
      </c>
      <c r="BE350" s="687">
        <f>INPUT!DB315</f>
        <v>-41.120527306967993</v>
      </c>
      <c r="BF350" s="156">
        <f>INPUT!DC315</f>
        <v>2.5454545454545454</v>
      </c>
      <c r="BG350" s="687">
        <f>INPUT!DD315</f>
        <v>-19.818181818181813</v>
      </c>
      <c r="BH350" s="156">
        <f>INPUT!DE315</f>
        <v>3.8260869565217388</v>
      </c>
      <c r="BI350" s="687">
        <f>INPUT!DF315</f>
        <v>-23.478260869565226</v>
      </c>
      <c r="BJ350" s="156">
        <f>INPUT!DG315</f>
        <v>4.0998217468805702</v>
      </c>
      <c r="BK350" s="687">
        <f>INPUT!DH315</f>
        <v>32.475490196078404</v>
      </c>
      <c r="BL350" s="156">
        <f>INPUT!DI315</f>
        <v>1.9130434782608694</v>
      </c>
      <c r="BM350" s="687">
        <f>INPUT!DJ315</f>
        <v>-21.859531772575245</v>
      </c>
      <c r="BN350" s="156">
        <f>INPUT!DK315</f>
        <v>3.278688524590164</v>
      </c>
      <c r="BO350" s="687">
        <f>INPUT!DL315</f>
        <v>28.805620608899307</v>
      </c>
      <c r="BP350" s="156">
        <f>INPUT!DM315</f>
        <v>0.322061191626409</v>
      </c>
      <c r="BQ350" s="687" t="str">
        <f>INPUT!DN315</f>
        <v>NM</v>
      </c>
      <c r="BR350" s="156">
        <f>INPUT!DO315</f>
        <v>1.3377926421404682</v>
      </c>
      <c r="BS350" s="687" t="str">
        <f>INPUT!DP315</f>
        <v>NM</v>
      </c>
      <c r="BT350" s="156">
        <f>INPUT!DQ315</f>
        <v>-1.1363636363636365</v>
      </c>
      <c r="BU350" s="687" t="str">
        <f>INPUT!DR315</f>
        <v>NM</v>
      </c>
      <c r="BV350" s="156">
        <f>INPUT!DS315</f>
        <v>-0.99173553719008267</v>
      </c>
      <c r="BW350" s="687" t="str">
        <f>INPUT!DT315</f>
        <v>NM</v>
      </c>
      <c r="BX350" s="156">
        <f>INPUT!DU315</f>
        <v>3.0794165316045379</v>
      </c>
      <c r="BY350" s="687" t="str">
        <f>INPUT!DV315</f>
        <v>NM</v>
      </c>
      <c r="BZ350" s="156">
        <f>INPUT!DW315</f>
        <v>2.9824561403508771</v>
      </c>
      <c r="CA350" s="687">
        <f>INPUT!DX315</f>
        <v>2.9824561403508771</v>
      </c>
      <c r="CB350" s="156">
        <f>INPUT!DY315</f>
        <v>2.3008849557522124</v>
      </c>
      <c r="CC350" s="687" t="str">
        <f>INPUT!DZ315</f>
        <v>NM</v>
      </c>
      <c r="CD350" s="156">
        <f>INPUT!EA315</f>
        <v>0.93632958801498134</v>
      </c>
      <c r="CE350" s="687" t="str">
        <f>INPUT!EB315</f>
        <v>NM</v>
      </c>
      <c r="CF350" s="156">
        <f>INPUT!EC315</f>
        <v>2.8571428571428572</v>
      </c>
      <c r="CG350" s="687">
        <f>INPUT!ED315</f>
        <v>-7.2180451127819456</v>
      </c>
      <c r="CH350" s="156">
        <f>INPUT!EE315</f>
        <v>5.2434456928838955</v>
      </c>
      <c r="CI350" s="687">
        <f>INPUT!EF315</f>
        <v>75.809649702577687</v>
      </c>
      <c r="CJ350" s="156">
        <f>INPUT!EG315</f>
        <v>2.9795158286778398</v>
      </c>
      <c r="CK350" s="687">
        <f>INPUT!EH315</f>
        <v>29.494341784844579</v>
      </c>
      <c r="CL350" s="156">
        <f>INPUT!EI315</f>
        <v>1.2939001848428837</v>
      </c>
      <c r="CM350" s="687">
        <f>INPUT!EJ315</f>
        <v>38.188539741219962</v>
      </c>
      <c r="CN350" s="156">
        <f>INPUT!EK315</f>
        <v>6.4695009242144179</v>
      </c>
      <c r="CO350" s="687" t="str">
        <f>INPUT!EL315</f>
        <v>NM</v>
      </c>
      <c r="CP350" s="156">
        <f>INPUT!EM315</f>
        <v>7.2695035460992905</v>
      </c>
      <c r="CQ350" s="687">
        <f>INPUT!EN315</f>
        <v>38.639817629179319</v>
      </c>
      <c r="CR350" s="156">
        <f>INPUT!EO315</f>
        <v>3.6101083032490973</v>
      </c>
      <c r="CS350" s="687">
        <f>INPUT!EP315</f>
        <v>21.164259927797822</v>
      </c>
      <c r="CT350" s="156">
        <f>INPUT!EQ315</f>
        <v>3.1599999999999953</v>
      </c>
      <c r="CU350" s="687" t="str">
        <f>INPUT!ER315</f>
        <v>NM</v>
      </c>
      <c r="CV350" s="156">
        <f>INPUT!ES315</f>
        <v>5.1350000000000042</v>
      </c>
      <c r="CW350" s="687">
        <f>INPUT!ET315</f>
        <v>-20.627571428571368</v>
      </c>
      <c r="CX350" s="156">
        <f>INPUT!EU315</f>
        <v>4.344999999999998</v>
      </c>
      <c r="CY350" s="687">
        <f>INPUT!EV315</f>
        <v>-40.229756097561001</v>
      </c>
      <c r="CZ350" s="156">
        <f>INPUT!EW315</f>
        <v>4.3450000000000033</v>
      </c>
      <c r="DA350" s="687">
        <f>INPUT!EX315</f>
        <v>20.356500000000089</v>
      </c>
      <c r="DB350" s="16"/>
      <c r="DC350" s="156"/>
      <c r="DD350" s="687"/>
      <c r="DE350" s="156">
        <f>INPUT!FR315</f>
        <v>12.445478336725795</v>
      </c>
      <c r="DF350" s="687">
        <f>INPUT!FS315</f>
        <v>83.522370825683993</v>
      </c>
      <c r="DG350" s="156">
        <f>INPUT!FT315</f>
        <v>7.5563558756835913</v>
      </c>
      <c r="DH350" s="687">
        <f>INPUT!FU315</f>
        <v>-39.284327438140501</v>
      </c>
      <c r="DI350" s="156">
        <f>INPUT!FV315</f>
        <v>6.3616956389143091</v>
      </c>
      <c r="DJ350" s="687">
        <f>INPUT!FW315</f>
        <v>-15.810004933908782</v>
      </c>
      <c r="DK350" s="156">
        <f>INPUT!FX315</f>
        <v>7.2355781864047479</v>
      </c>
      <c r="DL350" s="687">
        <f>INPUT!FY315</f>
        <v>13.736629305949876</v>
      </c>
      <c r="DM350" s="156">
        <f>INPUT!FZ315</f>
        <v>3.9047567036207793</v>
      </c>
      <c r="DN350" s="687">
        <f>INPUT!GA315</f>
        <v>-46.033936707952364</v>
      </c>
      <c r="DO350" s="156">
        <f>INPUT!GB315</f>
        <v>4.9770488421269832</v>
      </c>
      <c r="DP350" s="687">
        <f>INPUT!GC315</f>
        <v>27.461176710751147</v>
      </c>
      <c r="DQ350" s="156">
        <f>INPUT!GD315</f>
        <v>3.4416826003824093</v>
      </c>
      <c r="DR350" s="687">
        <f>INPUT!GE315</f>
        <v>-30.848928560814016</v>
      </c>
      <c r="DS350" s="156">
        <f>INPUT!GF315</f>
        <v>3.0959752321981426</v>
      </c>
      <c r="DT350" s="687">
        <f>INPUT!GG315</f>
        <v>-10.04471964224286</v>
      </c>
      <c r="DU350" s="156">
        <f>INPUT!GH315</f>
        <v>0.94069529652351747</v>
      </c>
      <c r="DV350" s="687" t="str">
        <f>INPUT!GI315</f>
        <v>NM</v>
      </c>
      <c r="DW350" s="156">
        <f>INPUT!GJ315</f>
        <v>1.8243529910903691</v>
      </c>
      <c r="DX350" s="687">
        <f>INPUT!GK315</f>
        <v>93.936654922432709</v>
      </c>
      <c r="DY350" s="156">
        <f>INPUT!GL315</f>
        <v>3.004694835680751</v>
      </c>
      <c r="DZ350" s="687">
        <f>INPUT!GM315</f>
        <v>64.699202969756513</v>
      </c>
      <c r="EA350" s="156">
        <f>INPUT!GN315</f>
        <v>4.6818181818181825</v>
      </c>
      <c r="EB350" s="687">
        <f>INPUT!GO315</f>
        <v>55.816761363636402</v>
      </c>
      <c r="EC350" s="156">
        <f>INPUT!GP315</f>
        <v>4.2766367112684396</v>
      </c>
      <c r="ED350" s="687">
        <f>INPUT!GQ315</f>
        <v>-8.6543615068877084</v>
      </c>
      <c r="EE350" s="156">
        <f>INPUT!GR315</f>
        <v>4.4634999999999989</v>
      </c>
      <c r="EF350" s="687">
        <f>INPUT!GS315</f>
        <v>4.3693982292018374</v>
      </c>
      <c r="EG350" s="156">
        <f>INPUT!GT315</f>
        <v>5.1350000000000051</v>
      </c>
      <c r="EH350" s="687">
        <f>INPUT!GU315</f>
        <v>15.044247787610754</v>
      </c>
      <c r="EI350" s="156">
        <f>INPUT!GV315</f>
        <v>5.135000000000006</v>
      </c>
      <c r="EJ350" s="687">
        <f>INPUT!GW315</f>
        <v>2.2204460492503131E-14</v>
      </c>
      <c r="EK350" s="156">
        <f>INPUT!GX315</f>
        <v>5.1350000000000069</v>
      </c>
      <c r="EL350" s="687">
        <f>INPUT!GY315</f>
        <v>2.2204460492503131E-14</v>
      </c>
      <c r="EM350" s="687">
        <f>INPUT!GZ315</f>
        <v>1.8650448670672004</v>
      </c>
    </row>
    <row r="351" spans="1:143" ht="12.75" hidden="1" customHeight="1" outlineLevel="1" x14ac:dyDescent="0.2">
      <c r="A351" s="701"/>
      <c r="B351" s="16"/>
      <c r="C351" s="687"/>
      <c r="D351" s="16"/>
      <c r="E351" s="687"/>
      <c r="F351" s="16"/>
      <c r="G351" s="687"/>
      <c r="H351" s="16"/>
      <c r="I351" s="687"/>
      <c r="J351" s="16"/>
      <c r="K351" s="687"/>
      <c r="L351" s="16"/>
      <c r="M351" s="687"/>
      <c r="N351" s="16"/>
      <c r="O351" s="687"/>
      <c r="P351" s="16"/>
      <c r="Q351" s="687"/>
      <c r="R351" s="16"/>
      <c r="S351" s="687"/>
      <c r="T351" s="16"/>
      <c r="U351" s="687"/>
      <c r="V351" s="16"/>
      <c r="W351" s="687"/>
      <c r="X351" s="16"/>
      <c r="Y351" s="687"/>
      <c r="Z351" s="16"/>
      <c r="AA351" s="687"/>
      <c r="AB351" s="16"/>
      <c r="AC351" s="687"/>
      <c r="AD351" s="16"/>
      <c r="AE351" s="687"/>
      <c r="AF351" s="16"/>
      <c r="AG351" s="687"/>
      <c r="AH351" s="16"/>
      <c r="AI351" s="687"/>
      <c r="AJ351" s="16"/>
      <c r="AK351" s="687"/>
      <c r="AL351" s="16"/>
      <c r="AM351" s="687"/>
      <c r="AN351" s="16"/>
      <c r="AO351" s="687"/>
      <c r="AP351" s="16"/>
      <c r="AQ351" s="687"/>
      <c r="AR351" s="16"/>
      <c r="AS351" s="687"/>
      <c r="AT351" s="16"/>
      <c r="AU351" s="687"/>
      <c r="AV351" s="16"/>
      <c r="AW351" s="687"/>
      <c r="AX351" s="16"/>
      <c r="AY351" s="687"/>
      <c r="AZ351" s="16"/>
      <c r="BA351" s="687"/>
      <c r="BB351" s="16"/>
      <c r="BC351" s="687"/>
      <c r="BD351" s="16"/>
      <c r="BE351" s="687"/>
      <c r="BF351" s="16"/>
      <c r="BG351" s="687"/>
      <c r="BH351" s="16"/>
      <c r="BI351" s="687"/>
      <c r="BJ351" s="16"/>
      <c r="BK351" s="687"/>
      <c r="BL351" s="16"/>
      <c r="BM351" s="687"/>
      <c r="BN351" s="16"/>
      <c r="BO351" s="687"/>
      <c r="BP351" s="16"/>
      <c r="BQ351" s="687"/>
      <c r="BR351" s="16"/>
      <c r="BS351" s="687"/>
      <c r="BT351" s="16"/>
      <c r="BU351" s="687"/>
      <c r="BV351" s="16"/>
      <c r="BW351" s="687"/>
      <c r="BX351" s="16"/>
      <c r="BY351" s="687"/>
      <c r="BZ351" s="16"/>
      <c r="CA351" s="687"/>
      <c r="CB351" s="16"/>
      <c r="CC351" s="687"/>
      <c r="CD351" s="16"/>
      <c r="CE351" s="687"/>
      <c r="CF351" s="16"/>
      <c r="CG351" s="687"/>
      <c r="CH351" s="16"/>
      <c r="CI351" s="687"/>
      <c r="CJ351" s="16"/>
      <c r="CK351" s="687"/>
      <c r="CL351" s="16"/>
      <c r="CM351" s="687"/>
      <c r="CN351" s="16"/>
      <c r="CO351" s="687"/>
      <c r="CP351" s="16"/>
      <c r="CQ351" s="687"/>
      <c r="CR351" s="16"/>
      <c r="CS351" s="687"/>
      <c r="CT351" s="16"/>
      <c r="CU351" s="687"/>
      <c r="CV351" s="16"/>
      <c r="CW351" s="687"/>
      <c r="CX351" s="16"/>
      <c r="CY351" s="687"/>
      <c r="CZ351" s="16"/>
      <c r="DA351" s="687"/>
      <c r="DB351" s="16"/>
      <c r="DC351" s="16"/>
      <c r="DD351" s="687"/>
      <c r="DE351" s="16"/>
      <c r="DF351" s="687"/>
      <c r="DG351" s="16"/>
      <c r="DH351" s="687"/>
      <c r="DI351" s="16"/>
      <c r="DJ351" s="687"/>
      <c r="DK351" s="16"/>
      <c r="DL351" s="687"/>
      <c r="DM351" s="16"/>
      <c r="DN351" s="687"/>
      <c r="DO351" s="16"/>
      <c r="DP351" s="687"/>
      <c r="DQ351" s="16"/>
      <c r="DR351" s="687"/>
      <c r="DS351" s="16"/>
      <c r="DT351" s="687"/>
      <c r="DU351" s="16"/>
      <c r="DV351" s="687"/>
      <c r="DW351" s="16"/>
      <c r="DX351" s="687"/>
      <c r="DY351" s="16"/>
      <c r="DZ351" s="687"/>
      <c r="EA351" s="16"/>
      <c r="EB351" s="687"/>
      <c r="EC351" s="16"/>
      <c r="ED351" s="687"/>
      <c r="EE351" s="16"/>
      <c r="EF351" s="687"/>
      <c r="EG351" s="16"/>
      <c r="EH351" s="687"/>
      <c r="EI351" s="16"/>
      <c r="EJ351" s="687"/>
      <c r="EK351" s="16"/>
      <c r="EL351" s="687"/>
      <c r="EM351" s="687"/>
    </row>
    <row r="352" spans="1:143" ht="12.75" hidden="1" customHeight="1" outlineLevel="1" x14ac:dyDescent="0.2">
      <c r="A352" s="701" t="str">
        <f>INPUT!$B$290</f>
        <v>Inv Inc/Total Revenues (%)</v>
      </c>
      <c r="B352" s="151"/>
      <c r="C352" s="687"/>
      <c r="D352" s="464">
        <f>INPUT!BA290</f>
        <v>7.0744081172491553</v>
      </c>
      <c r="E352" s="687">
        <f>INPUT!BB290</f>
        <v>-0.76674905273063088</v>
      </c>
      <c r="F352" s="464">
        <f>INPUT!BC290</f>
        <v>8.1577363034316672</v>
      </c>
      <c r="G352" s="687">
        <f>INPUT!BD290</f>
        <v>4.2438519839535838</v>
      </c>
      <c r="H352" s="464">
        <f>INPUT!BE290</f>
        <v>8.1230055120394553</v>
      </c>
      <c r="I352" s="687">
        <f>INPUT!BF290</f>
        <v>4.816962923001622</v>
      </c>
      <c r="J352" s="151"/>
      <c r="K352" s="687"/>
      <c r="L352" s="151">
        <f>INPUT!BI290</f>
        <v>7.2890025575447579</v>
      </c>
      <c r="M352" s="687">
        <f>INPUT!BJ290</f>
        <v>3.0333907337402266</v>
      </c>
      <c r="N352" s="151">
        <f>INPUT!BK290</f>
        <v>8.0272108843537424</v>
      </c>
      <c r="O352" s="687">
        <f>INPUT!BL290</f>
        <v>-1.6000200818334531</v>
      </c>
      <c r="P352" s="151">
        <f>INPUT!BM290</f>
        <v>7.7509196006305832</v>
      </c>
      <c r="Q352" s="687">
        <f>INPUT!BN290</f>
        <v>-4.5806433450942263</v>
      </c>
      <c r="R352" s="151">
        <f>INPUT!BO290</f>
        <v>6.9371399949912353</v>
      </c>
      <c r="S352" s="687">
        <f>INPUT!BP290</f>
        <v>-10.413923290489514</v>
      </c>
      <c r="T352" s="151">
        <f>INPUT!BQ290</f>
        <v>7.178159566956932</v>
      </c>
      <c r="U352" s="687">
        <f>INPUT!BR290</f>
        <v>-1.5206880463101702</v>
      </c>
      <c r="V352" s="151">
        <f>INPUT!BS290</f>
        <v>7.6464746772591852</v>
      </c>
      <c r="W352" s="687">
        <f>INPUT!BT290</f>
        <v>-4.7430696985508387</v>
      </c>
      <c r="X352" s="151">
        <f>INPUT!BU290</f>
        <v>6.8606060606060604</v>
      </c>
      <c r="Y352" s="687">
        <f>INPUT!BV290</f>
        <v>-11.48655367231639</v>
      </c>
      <c r="Z352" s="151">
        <f>INPUT!BW290</f>
        <v>7.1428571428571423</v>
      </c>
      <c r="AA352" s="687">
        <f>INPUT!BX290</f>
        <v>2.9654461062403215</v>
      </c>
      <c r="AB352" s="151">
        <f>INPUT!BY290</f>
        <v>6.3445473018740124</v>
      </c>
      <c r="AC352" s="687">
        <f>INPUT!BZ290</f>
        <v>-11.613175456843694</v>
      </c>
      <c r="AD352" s="151">
        <f>INPUT!CA290</f>
        <v>8.0798822990280019</v>
      </c>
      <c r="AE352" s="687">
        <f>INPUT!CB290</f>
        <v>5.6680711054701183</v>
      </c>
      <c r="AF352" s="151">
        <f>INPUT!CC290</f>
        <v>8.2333948339483403</v>
      </c>
      <c r="AG352" s="687">
        <f>INPUT!CD290</f>
        <v>20.009730353487299</v>
      </c>
      <c r="AH352" s="156">
        <f>INPUT!CE290</f>
        <v>7.5471698113207557</v>
      </c>
      <c r="AI352" s="687">
        <f>INPUT!CF290</f>
        <v>5.660377358490587</v>
      </c>
      <c r="AJ352" s="156">
        <f>INPUT!CG290</f>
        <v>7.2963199319293768</v>
      </c>
      <c r="AK352" s="687">
        <f>INPUT!CH290</f>
        <v>15.001426969805021</v>
      </c>
      <c r="AL352" s="156">
        <f>INPUT!CI290</f>
        <v>7.7519379844961236</v>
      </c>
      <c r="AM352" s="687">
        <f>INPUT!CJ290</f>
        <v>-4.0587758880018532</v>
      </c>
      <c r="AN352" s="156">
        <f>INPUT!CK290</f>
        <v>8.205901356881327</v>
      </c>
      <c r="AO352" s="687">
        <f>INPUT!CL290</f>
        <v>-0.33392637692596372</v>
      </c>
      <c r="AP352" s="156">
        <f>INPUT!CM290</f>
        <v>8.1816279556392555</v>
      </c>
      <c r="AQ352" s="687">
        <f>INPUT!CN290</f>
        <v>8.4065704122201268</v>
      </c>
      <c r="AR352" s="156">
        <f>INPUT!CO290</f>
        <v>7.6907710747103479</v>
      </c>
      <c r="AS352" s="687">
        <f>INPUT!CP290</f>
        <v>5.406165662429574</v>
      </c>
      <c r="AT352" s="156">
        <f>INPUT!CQ290</f>
        <v>7.8848560700876096</v>
      </c>
      <c r="AU352" s="687">
        <f>INPUT!CR290</f>
        <v>1.714643304130159</v>
      </c>
      <c r="AV352" s="156">
        <f>INPUT!CS290</f>
        <v>7.6923076923076925</v>
      </c>
      <c r="AW352" s="687">
        <f>INPUT!CT290</f>
        <v>-6.2588330304865769</v>
      </c>
      <c r="AX352" s="156">
        <f>INPUT!CU290</f>
        <v>7.5396825396825395</v>
      </c>
      <c r="AY352" s="687">
        <f>INPUT!CV290</f>
        <v>-7.8461819510412978</v>
      </c>
      <c r="AZ352" s="156">
        <f>INPUT!CW290</f>
        <v>7.7777777777777777</v>
      </c>
      <c r="BA352" s="687">
        <f>INPUT!CX290</f>
        <v>1.1313131313131164</v>
      </c>
      <c r="BB352" s="156">
        <f>INPUT!CY290</f>
        <v>7.9303675048355888</v>
      </c>
      <c r="BC352" s="687">
        <f>INPUT!CZ290</f>
        <v>0.57720057720056506</v>
      </c>
      <c r="BD352" s="156">
        <f>INPUT!DA290</f>
        <v>7.7212806026365346</v>
      </c>
      <c r="BE352" s="687">
        <f>INPUT!DB290</f>
        <v>0.37664783427495685</v>
      </c>
      <c r="BF352" s="156">
        <f>INPUT!DC290</f>
        <v>7.0909090909090908</v>
      </c>
      <c r="BG352" s="687">
        <f>INPUT!DD290</f>
        <v>-5.952153110047842</v>
      </c>
      <c r="BH352" s="156">
        <f>INPUT!DE290</f>
        <v>7.304347826086957</v>
      </c>
      <c r="BI352" s="687">
        <f>INPUT!DF290</f>
        <v>-6.086956521739129</v>
      </c>
      <c r="BJ352" s="156">
        <f>INPUT!DG290</f>
        <v>7.3083778966131909</v>
      </c>
      <c r="BK352" s="687">
        <f>INPUT!DH290</f>
        <v>-7.8431372549019436</v>
      </c>
      <c r="BL352" s="156">
        <f>INPUT!DI290</f>
        <v>7.4782608695652177</v>
      </c>
      <c r="BM352" s="687">
        <f>INPUT!DJ290</f>
        <v>-3.1474019088016947</v>
      </c>
      <c r="BN352" s="156">
        <f>INPUT!DK290</f>
        <v>7.3770491803278686</v>
      </c>
      <c r="BO352" s="687">
        <f>INPUT!DL290</f>
        <v>4.035308953341743</v>
      </c>
      <c r="BP352" s="156">
        <f>INPUT!DM290</f>
        <v>7.0853462157809979</v>
      </c>
      <c r="BQ352" s="687">
        <f>INPUT!DN290</f>
        <v>-2.9982363315696814</v>
      </c>
      <c r="BR352" s="156">
        <f>INPUT!DO290</f>
        <v>7.5250836120401345</v>
      </c>
      <c r="BS352" s="687">
        <f>INPUT!DP290</f>
        <v>2.965168447671096</v>
      </c>
      <c r="BT352" s="156">
        <f>INPUT!DQ290</f>
        <v>7.4675324675324672</v>
      </c>
      <c r="BU352" s="687">
        <f>INPUT!DR290</f>
        <v>-0.14346118997282664</v>
      </c>
      <c r="BV352" s="156">
        <f>INPUT!DS290</f>
        <v>7.1074380165289259</v>
      </c>
      <c r="BW352" s="687">
        <f>INPUT!DT290</f>
        <v>-3.6547291092745571</v>
      </c>
      <c r="BX352" s="156">
        <f>INPUT!DU290</f>
        <v>7.6175040518638575</v>
      </c>
      <c r="BY352" s="687">
        <f>INPUT!DV290</f>
        <v>7.5106821865330797</v>
      </c>
      <c r="BZ352" s="156">
        <f>INPUT!DW290</f>
        <v>8.4210526315789469</v>
      </c>
      <c r="CA352" s="687">
        <f>INPUT!DX290</f>
        <v>8.4210526315789469</v>
      </c>
      <c r="CB352" s="156">
        <f>INPUT!DY290</f>
        <v>7.9646017699115044</v>
      </c>
      <c r="CC352" s="687">
        <f>INPUT!DZ290</f>
        <v>6.6564063101192783</v>
      </c>
      <c r="CD352" s="156">
        <f>INPUT!EA290</f>
        <v>7.8651685393258424</v>
      </c>
      <c r="CE352" s="687">
        <f>INPUT!EB290</f>
        <v>10.661092239351966</v>
      </c>
      <c r="CF352" s="156">
        <f>INPUT!EC290</f>
        <v>8.1904761904761916</v>
      </c>
      <c r="CG352" s="687">
        <f>INPUT!ED290</f>
        <v>7.5217831813576552</v>
      </c>
      <c r="CH352" s="156">
        <f>INPUT!EE290</f>
        <v>8.4269662921348321</v>
      </c>
      <c r="CI352" s="687">
        <f>INPUT!EF290</f>
        <v>7.0224719101141808E-2</v>
      </c>
      <c r="CJ352" s="156">
        <f>INPUT!EG290</f>
        <v>8.7523277467411553</v>
      </c>
      <c r="CK352" s="687">
        <f>INPUT!EH290</f>
        <v>9.8903372646389478</v>
      </c>
      <c r="CL352" s="156">
        <f>INPUT!EI290</f>
        <v>7.9482439926062849</v>
      </c>
      <c r="CM352" s="687">
        <f>INPUT!EJ290</f>
        <v>1.0562450488513342</v>
      </c>
      <c r="CN352" s="156">
        <f>INPUT!EK290</f>
        <v>7.9482439926062849</v>
      </c>
      <c r="CO352" s="687">
        <f>INPUT!EL290</f>
        <v>-2.9574861367837491</v>
      </c>
      <c r="CP352" s="156">
        <f>INPUT!EM290</f>
        <v>7.2695035460992905</v>
      </c>
      <c r="CQ352" s="687">
        <f>INPUT!EN290</f>
        <v>-13.73522458628843</v>
      </c>
      <c r="CR352" s="156">
        <f>INPUT!EO290</f>
        <v>7.4007220216606493</v>
      </c>
      <c r="CS352" s="687">
        <f>INPUT!EP290</f>
        <v>-15.442814348260248</v>
      </c>
      <c r="CT352" s="156">
        <f>INPUT!EQ290</f>
        <v>7.3682618482041979</v>
      </c>
      <c r="CU352" s="687">
        <f>INPUT!ER290</f>
        <v>-7.2969846539890471</v>
      </c>
      <c r="CV352" s="156">
        <f>INPUT!ES290</f>
        <v>7.3359008515660129</v>
      </c>
      <c r="CW352" s="687">
        <f>INPUT!ET290</f>
        <v>-7.7041311465764428</v>
      </c>
      <c r="CX352" s="156">
        <f>INPUT!EU290</f>
        <v>6.0039777006646649</v>
      </c>
      <c r="CY352" s="687">
        <f>INPUT!EV290</f>
        <v>-17.40869699573485</v>
      </c>
      <c r="CZ352" s="156">
        <f>INPUT!EW290</f>
        <v>5.9777661671922662</v>
      </c>
      <c r="DA352" s="687">
        <f>INPUT!EX290</f>
        <v>-19.227257155499622</v>
      </c>
      <c r="DB352" s="16"/>
      <c r="DC352" s="151"/>
      <c r="DD352" s="687"/>
      <c r="DE352" s="151">
        <f>INPUT!FR290</f>
        <v>7.7735775903848019</v>
      </c>
      <c r="DF352" s="687">
        <f>INPUT!FS290</f>
        <v>2.6596474948382687</v>
      </c>
      <c r="DG352" s="151">
        <f>INPUT!FT290</f>
        <v>7.6964118980925713</v>
      </c>
      <c r="DH352" s="687">
        <f>INPUT!FU290</f>
        <v>-0.99266639324058215</v>
      </c>
      <c r="DI352" s="151">
        <f>INPUT!FV290</f>
        <v>7.1546203110704472</v>
      </c>
      <c r="DJ352" s="687">
        <f>INPUT!FW290</f>
        <v>-7.0395347104070467</v>
      </c>
      <c r="DK352" s="156">
        <f>INPUT!FX290</f>
        <v>7.4393726168022383</v>
      </c>
      <c r="DL352" s="687">
        <f>INPUT!FY290</f>
        <v>3.9799778793458751</v>
      </c>
      <c r="DM352" s="156">
        <f>INPUT!FZ290</f>
        <v>7.7002894435039053</v>
      </c>
      <c r="DN352" s="687">
        <f>INPUT!GA290</f>
        <v>3.5072423461135926</v>
      </c>
      <c r="DO352" s="156">
        <f>INPUT!GB290</f>
        <v>7.8601268760637462</v>
      </c>
      <c r="DP352" s="687">
        <f>INPUT!GC290</f>
        <v>2.0757327855342123</v>
      </c>
      <c r="DQ352" s="156">
        <f>INPUT!GD290</f>
        <v>7.7437858508604211</v>
      </c>
      <c r="DR352" s="687">
        <f>INPUT!GE290</f>
        <v>-1.480141822616321</v>
      </c>
      <c r="DS352" s="156">
        <f>INPUT!GF290</f>
        <v>7.2976559044670504</v>
      </c>
      <c r="DT352" s="687">
        <f>INPUT!GG290</f>
        <v>-5.7611348633020416</v>
      </c>
      <c r="DU352" s="156">
        <f>INPUT!GH290</f>
        <v>7.3619631901840492</v>
      </c>
      <c r="DV352" s="687">
        <f>INPUT!GI290</f>
        <v>0.88120468488566139</v>
      </c>
      <c r="DW352" s="156">
        <f>INPUT!GJ290</f>
        <v>7.7641069155706415</v>
      </c>
      <c r="DX352" s="687">
        <f>INPUT!GK290</f>
        <v>5.4624522698345501</v>
      </c>
      <c r="DY352" s="156">
        <f>INPUT!GL290</f>
        <v>8.3098591549295779</v>
      </c>
      <c r="DZ352" s="687">
        <f>INPUT!GM290</f>
        <v>7.0291695528361453</v>
      </c>
      <c r="EA352" s="156">
        <f>INPUT!GN290</f>
        <v>7.6363636363636367</v>
      </c>
      <c r="EB352" s="687">
        <f>INPUT!GO290</f>
        <v>-8.1047765793528566</v>
      </c>
      <c r="EC352" s="156">
        <f>INPUT!GP290</f>
        <v>6.479477983059641</v>
      </c>
      <c r="ED352" s="687">
        <f>INPUT!GQ290</f>
        <v>-15.149693078980897</v>
      </c>
      <c r="EE352" s="156">
        <f>INPUT!GR290</f>
        <v>6.0887532607597814</v>
      </c>
      <c r="EF352" s="687">
        <f>INPUT!GS290</f>
        <v>-6.0301882855593458</v>
      </c>
      <c r="EG352" s="156">
        <f>INPUT!GT290</f>
        <v>6.2016392078267657</v>
      </c>
      <c r="EH352" s="687">
        <f>INPUT!GU290</f>
        <v>1.8540075813960222</v>
      </c>
      <c r="EI352" s="156">
        <f>INPUT!GV290</f>
        <v>6.2873509454723795</v>
      </c>
      <c r="EJ352" s="687">
        <f>INPUT!GW290</f>
        <v>1.3820819749952751</v>
      </c>
      <c r="EK352" s="156">
        <f>INPUT!GX290</f>
        <v>6.3741514138433413</v>
      </c>
      <c r="EL352" s="687">
        <f>INPUT!GY290</f>
        <v>1.3805570760046182</v>
      </c>
      <c r="EM352" s="722">
        <f>INPUT!GZ290</f>
        <v>-3.5489066796740576</v>
      </c>
    </row>
    <row r="353" spans="1:143" ht="12.75" hidden="1" customHeight="1" outlineLevel="1" x14ac:dyDescent="0.2">
      <c r="A353" s="701"/>
      <c r="B353" s="16"/>
      <c r="C353" s="687"/>
      <c r="D353" s="16"/>
      <c r="E353" s="687"/>
      <c r="F353" s="16"/>
      <c r="G353" s="687"/>
      <c r="H353" s="16"/>
      <c r="I353" s="687"/>
      <c r="J353" s="16"/>
      <c r="K353" s="687"/>
      <c r="L353" s="16"/>
      <c r="M353" s="687"/>
      <c r="N353" s="16"/>
      <c r="O353" s="687"/>
      <c r="P353" s="16"/>
      <c r="Q353" s="687"/>
      <c r="R353" s="16"/>
      <c r="S353" s="687"/>
      <c r="T353" s="16"/>
      <c r="U353" s="687"/>
      <c r="V353" s="16"/>
      <c r="W353" s="687"/>
      <c r="X353" s="16"/>
      <c r="Y353" s="687"/>
      <c r="Z353" s="16"/>
      <c r="AA353" s="687"/>
      <c r="AB353" s="16"/>
      <c r="AC353" s="687"/>
      <c r="AD353" s="16"/>
      <c r="AE353" s="687"/>
      <c r="AF353" s="16"/>
      <c r="AG353" s="687"/>
      <c r="AH353" s="16"/>
      <c r="AI353" s="687"/>
      <c r="AJ353" s="16"/>
      <c r="AK353" s="687"/>
      <c r="AL353" s="16"/>
      <c r="AM353" s="687"/>
      <c r="AN353" s="16"/>
      <c r="AO353" s="687"/>
      <c r="AP353" s="16"/>
      <c r="AQ353" s="687"/>
      <c r="AR353" s="16"/>
      <c r="AS353" s="687"/>
      <c r="AT353" s="16"/>
      <c r="AU353" s="687"/>
      <c r="AV353" s="16"/>
      <c r="AW353" s="687"/>
      <c r="AX353" s="16"/>
      <c r="AY353" s="687"/>
      <c r="AZ353" s="16"/>
      <c r="BA353" s="687"/>
      <c r="BB353" s="16"/>
      <c r="BC353" s="687"/>
      <c r="BD353" s="16"/>
      <c r="BE353" s="687"/>
      <c r="BF353" s="16"/>
      <c r="BG353" s="687"/>
      <c r="BH353" s="16"/>
      <c r="BI353" s="687"/>
      <c r="BJ353" s="16"/>
      <c r="BK353" s="687"/>
      <c r="BL353" s="16"/>
      <c r="BM353" s="687"/>
      <c r="BN353" s="16"/>
      <c r="BO353" s="687"/>
      <c r="BP353" s="16"/>
      <c r="BQ353" s="687"/>
      <c r="BR353" s="16"/>
      <c r="BS353" s="687"/>
      <c r="BT353" s="16"/>
      <c r="BU353" s="687"/>
      <c r="BV353" s="16"/>
      <c r="BW353" s="687"/>
      <c r="BX353" s="16"/>
      <c r="BY353" s="687"/>
      <c r="BZ353" s="16"/>
      <c r="CA353" s="687"/>
      <c r="CB353" s="16"/>
      <c r="CC353" s="687"/>
      <c r="CD353" s="16"/>
      <c r="CE353" s="687"/>
      <c r="CF353" s="16"/>
      <c r="CG353" s="687"/>
      <c r="CH353" s="16"/>
      <c r="CI353" s="687"/>
      <c r="CJ353" s="16"/>
      <c r="CK353" s="687"/>
      <c r="CL353" s="16"/>
      <c r="CM353" s="687"/>
      <c r="CN353" s="16"/>
      <c r="CO353" s="687"/>
      <c r="CP353" s="16"/>
      <c r="CQ353" s="687"/>
      <c r="CR353" s="16"/>
      <c r="CS353" s="687"/>
      <c r="CT353" s="16"/>
      <c r="CU353" s="687"/>
      <c r="CV353" s="16"/>
      <c r="CW353" s="687"/>
      <c r="CX353" s="16"/>
      <c r="CY353" s="687"/>
      <c r="CZ353" s="16"/>
      <c r="DA353" s="687"/>
      <c r="DB353" s="16"/>
      <c r="DC353" s="16"/>
      <c r="DD353" s="687"/>
      <c r="DE353" s="16"/>
      <c r="DF353" s="687"/>
      <c r="DG353" s="16"/>
      <c r="DH353" s="687"/>
      <c r="DI353" s="16"/>
      <c r="DJ353" s="687"/>
      <c r="DK353" s="16"/>
      <c r="DL353" s="687"/>
      <c r="DM353" s="16"/>
      <c r="DN353" s="687"/>
      <c r="DO353" s="16"/>
      <c r="DP353" s="687"/>
      <c r="DQ353" s="16"/>
      <c r="DR353" s="687"/>
      <c r="DS353" s="16"/>
      <c r="DT353" s="687"/>
      <c r="DU353" s="16"/>
      <c r="DV353" s="687"/>
      <c r="DW353" s="16"/>
      <c r="DX353" s="687"/>
      <c r="DY353" s="16"/>
      <c r="DZ353" s="687"/>
      <c r="EA353" s="16"/>
      <c r="EB353" s="687"/>
      <c r="EC353" s="16"/>
      <c r="ED353" s="687"/>
      <c r="EE353" s="16"/>
      <c r="EF353" s="687"/>
      <c r="EG353" s="16"/>
      <c r="EH353" s="687"/>
      <c r="EI353" s="16"/>
      <c r="EJ353" s="687"/>
      <c r="EK353" s="16"/>
      <c r="EL353" s="687"/>
      <c r="EM353" s="687"/>
    </row>
    <row r="354" spans="1:143" ht="12.75" hidden="1" customHeight="1" outlineLevel="1" x14ac:dyDescent="0.2">
      <c r="A354" s="700" t="str">
        <f>INPUT!B299</f>
        <v>Benefits and Expenses Analysis</v>
      </c>
      <c r="B354" s="16"/>
      <c r="C354" s="687"/>
      <c r="D354" s="16"/>
      <c r="E354" s="687"/>
      <c r="F354" s="16"/>
      <c r="G354" s="687"/>
      <c r="H354" s="16"/>
      <c r="I354" s="687"/>
      <c r="J354" s="16"/>
      <c r="K354" s="687"/>
      <c r="L354" s="16"/>
      <c r="M354" s="687"/>
      <c r="N354" s="16"/>
      <c r="O354" s="687"/>
      <c r="P354" s="16"/>
      <c r="Q354" s="687"/>
      <c r="R354" s="16"/>
      <c r="S354" s="687"/>
      <c r="T354" s="16"/>
      <c r="U354" s="687"/>
      <c r="V354" s="16"/>
      <c r="W354" s="687"/>
      <c r="X354" s="16"/>
      <c r="Y354" s="687"/>
      <c r="Z354" s="16"/>
      <c r="AA354" s="687"/>
      <c r="AB354" s="16"/>
      <c r="AC354" s="687"/>
      <c r="AD354" s="16"/>
      <c r="AE354" s="687"/>
      <c r="AF354" s="16"/>
      <c r="AG354" s="687"/>
      <c r="AH354" s="16"/>
      <c r="AI354" s="687"/>
      <c r="AJ354" s="16"/>
      <c r="AK354" s="687"/>
      <c r="AL354" s="16"/>
      <c r="AM354" s="687"/>
      <c r="AN354" s="16"/>
      <c r="AO354" s="687"/>
      <c r="AP354" s="16"/>
      <c r="AQ354" s="687"/>
      <c r="AR354" s="16"/>
      <c r="AS354" s="687"/>
      <c r="AT354" s="16"/>
      <c r="AU354" s="687"/>
      <c r="AV354" s="16"/>
      <c r="AW354" s="687"/>
      <c r="AX354" s="16"/>
      <c r="AY354" s="687"/>
      <c r="AZ354" s="16"/>
      <c r="BA354" s="687"/>
      <c r="BB354" s="16"/>
      <c r="BC354" s="687"/>
      <c r="BD354" s="16"/>
      <c r="BE354" s="687"/>
      <c r="BF354" s="16"/>
      <c r="BG354" s="687"/>
      <c r="BH354" s="16"/>
      <c r="BI354" s="687"/>
      <c r="BJ354" s="16"/>
      <c r="BK354" s="687"/>
      <c r="BL354" s="16"/>
      <c r="BM354" s="687"/>
      <c r="BN354" s="16"/>
      <c r="BO354" s="687"/>
      <c r="BP354" s="16"/>
      <c r="BQ354" s="687"/>
      <c r="BR354" s="16"/>
      <c r="BS354" s="687"/>
      <c r="BT354" s="16"/>
      <c r="BU354" s="687"/>
      <c r="BV354" s="16"/>
      <c r="BW354" s="687"/>
      <c r="BX354" s="16"/>
      <c r="BY354" s="687"/>
      <c r="BZ354" s="16"/>
      <c r="CA354" s="687"/>
      <c r="CB354" s="16"/>
      <c r="CC354" s="687"/>
      <c r="CD354" s="16"/>
      <c r="CE354" s="687"/>
      <c r="CF354" s="16"/>
      <c r="CG354" s="687"/>
      <c r="CH354" s="16"/>
      <c r="CI354" s="687"/>
      <c r="CJ354" s="16"/>
      <c r="CK354" s="687"/>
      <c r="CL354" s="16"/>
      <c r="CM354" s="687"/>
      <c r="CN354" s="16"/>
      <c r="CO354" s="687"/>
      <c r="CP354" s="16"/>
      <c r="CQ354" s="687"/>
      <c r="CR354" s="16"/>
      <c r="CS354" s="687"/>
      <c r="CT354" s="16"/>
      <c r="CU354" s="687"/>
      <c r="CV354" s="16"/>
      <c r="CW354" s="687"/>
      <c r="CX354" s="16"/>
      <c r="CY354" s="687"/>
      <c r="CZ354" s="16"/>
      <c r="DA354" s="687"/>
      <c r="DB354" s="16"/>
      <c r="DC354" s="16"/>
      <c r="DD354" s="687"/>
      <c r="DE354" s="16"/>
      <c r="DF354" s="687"/>
      <c r="DG354" s="16"/>
      <c r="DH354" s="687"/>
      <c r="DI354" s="16"/>
      <c r="DJ354" s="687"/>
      <c r="DK354" s="16"/>
      <c r="DL354" s="687"/>
      <c r="DM354" s="16"/>
      <c r="DN354" s="687"/>
      <c r="DO354" s="16"/>
      <c r="DP354" s="687"/>
      <c r="DQ354" s="16"/>
      <c r="DR354" s="687"/>
      <c r="DS354" s="16"/>
      <c r="DT354" s="687"/>
      <c r="DU354" s="16"/>
      <c r="DV354" s="687"/>
      <c r="DW354" s="16"/>
      <c r="DX354" s="687"/>
      <c r="DY354" s="16"/>
      <c r="DZ354" s="687"/>
      <c r="EA354" s="16"/>
      <c r="EB354" s="687"/>
      <c r="EC354" s="16"/>
      <c r="ED354" s="687"/>
      <c r="EE354" s="16"/>
      <c r="EF354" s="687"/>
      <c r="EG354" s="16"/>
      <c r="EH354" s="687"/>
      <c r="EI354" s="16"/>
      <c r="EJ354" s="687"/>
      <c r="EK354" s="16"/>
      <c r="EL354" s="687"/>
      <c r="EM354" s="687"/>
    </row>
    <row r="355" spans="1:143" ht="12.75" hidden="1" customHeight="1" outlineLevel="1" x14ac:dyDescent="0.2">
      <c r="A355" s="701" t="str">
        <f>INPUT!B300</f>
        <v>Benefits / Revenues (%)</v>
      </c>
      <c r="B355" s="156"/>
      <c r="C355" s="687"/>
      <c r="D355" s="156">
        <f>INPUT!BA300</f>
        <v>63.697857948139792</v>
      </c>
      <c r="E355" s="687">
        <f>INPUT!BB300</f>
        <v>-7.9130163490230281</v>
      </c>
      <c r="F355" s="156">
        <f>INPUT!BC300</f>
        <v>64.208308248043338</v>
      </c>
      <c r="G355" s="687">
        <f>INPUT!BD300</f>
        <v>-8.5125559287072665</v>
      </c>
      <c r="H355" s="156">
        <f>INPUT!BE300</f>
        <v>64.984044096315642</v>
      </c>
      <c r="I355" s="687">
        <f>INPUT!BF300</f>
        <v>-6.8776988720012255</v>
      </c>
      <c r="J355" s="156"/>
      <c r="K355" s="687"/>
      <c r="L355" s="156">
        <f>INPUT!BI300</f>
        <v>67.953964194373398</v>
      </c>
      <c r="M355" s="687">
        <f>INPUT!BJ300</f>
        <v>6.6817101600163076</v>
      </c>
      <c r="N355" s="156">
        <f>INPUT!BK300</f>
        <v>63.945578231292522</v>
      </c>
      <c r="O355" s="687">
        <f>INPUT!BL300</f>
        <v>-0.40918383293305771</v>
      </c>
      <c r="P355" s="156">
        <f>INPUT!BM300</f>
        <v>66.237519705727806</v>
      </c>
      <c r="Q355" s="687">
        <f>INPUT!BN300</f>
        <v>1.9288975114480911</v>
      </c>
      <c r="R355" s="156">
        <f>INPUT!BO300</f>
        <v>67.468069120961687</v>
      </c>
      <c r="S355" s="687">
        <f>INPUT!BP300</f>
        <v>-1.4243904935827389</v>
      </c>
      <c r="T355" s="156">
        <f>INPUT!BQ300</f>
        <v>67.286420334196279</v>
      </c>
      <c r="U355" s="687">
        <f>INPUT!BR300</f>
        <v>-0.98234719356136146</v>
      </c>
      <c r="V355" s="156">
        <f>INPUT!BS300</f>
        <v>66.782522343594835</v>
      </c>
      <c r="W355" s="687">
        <f>INPUT!BT300</f>
        <v>4.4364977075366019</v>
      </c>
      <c r="X355" s="156">
        <f>INPUT!BU300</f>
        <v>68.775757575757595</v>
      </c>
      <c r="Y355" s="687">
        <f>INPUT!BV300</f>
        <v>3.8320243289700073</v>
      </c>
      <c r="Z355" s="156">
        <f>INPUT!BW300</f>
        <v>66.919791172282856</v>
      </c>
      <c r="AA355" s="687">
        <f>INPUT!BX300</f>
        <v>-0.812648050881426</v>
      </c>
      <c r="AB355" s="156">
        <f>INPUT!BY300</f>
        <v>66.087152856175209</v>
      </c>
      <c r="AC355" s="687">
        <f>INPUT!BZ300</f>
        <v>-1.7823321140648885</v>
      </c>
      <c r="AD355" s="156">
        <f>INPUT!CA300</f>
        <v>63.095439087335095</v>
      </c>
      <c r="AE355" s="687">
        <f>INPUT!CB300</f>
        <v>-5.5210302439458125</v>
      </c>
      <c r="AF355" s="156">
        <f>INPUT!CC300</f>
        <v>64.829335793357941</v>
      </c>
      <c r="AG355" s="687">
        <f>INPUT!CD300</f>
        <v>-5.7381000537182096</v>
      </c>
      <c r="AH355" s="156">
        <f>INPUT!CE300</f>
        <v>69.788858939802338</v>
      </c>
      <c r="AI355" s="687">
        <f>INPUT!CF300</f>
        <v>4.287323252598263</v>
      </c>
      <c r="AJ355" s="156">
        <f>INPUT!CG300</f>
        <v>71.091257179323549</v>
      </c>
      <c r="AK355" s="687">
        <f>INPUT!CH300</f>
        <v>7.5719774674492646</v>
      </c>
      <c r="AL355" s="156">
        <f>INPUT!CI300</f>
        <v>73.178294573643413</v>
      </c>
      <c r="AM355" s="687">
        <f>INPUT!CJ300</f>
        <v>15.980323827134146</v>
      </c>
      <c r="AN355" s="156">
        <f>INPUT!CK300</f>
        <v>69.7393926340728</v>
      </c>
      <c r="AO355" s="687">
        <f>INPUT!CL300</f>
        <v>7.5738194455139185</v>
      </c>
      <c r="AP355" s="156">
        <f>INPUT!CM300</f>
        <v>68.549905838041411</v>
      </c>
      <c r="AQ355" s="687">
        <f>INPUT!CN300</f>
        <v>-1.7752878046474518</v>
      </c>
      <c r="AR355" s="156">
        <f>INPUT!CO300</f>
        <v>69.097083499800249</v>
      </c>
      <c r="AS355" s="687">
        <f>INPUT!CP300</f>
        <v>-2.805089906474878</v>
      </c>
      <c r="AT355" s="156">
        <f>INPUT!CQ300</f>
        <v>66.770963704630788</v>
      </c>
      <c r="AU355" s="687">
        <f>INPUT!CR300</f>
        <v>-8.7557805307481811</v>
      </c>
      <c r="AV355" s="156">
        <f>INPUT!CS300</f>
        <v>67.151767151767146</v>
      </c>
      <c r="AW355" s="687">
        <f>INPUT!CT300</f>
        <v>-3.7104215918298822</v>
      </c>
      <c r="AX355" s="156">
        <f>INPUT!CU300</f>
        <v>69.444444444444443</v>
      </c>
      <c r="AY355" s="687">
        <f>INPUT!CV300</f>
        <v>1.3049450549450725</v>
      </c>
      <c r="AZ355" s="156">
        <f>INPUT!CW300</f>
        <v>68.148148148148152</v>
      </c>
      <c r="BA355" s="687">
        <f>INPUT!CX300</f>
        <v>-1.373336331416708</v>
      </c>
      <c r="BB355" s="156">
        <f>INPUT!CY300</f>
        <v>69.632495164410059</v>
      </c>
      <c r="BC355" s="687">
        <f>INPUT!CZ300</f>
        <v>4.285592570503538</v>
      </c>
      <c r="BD355" s="156">
        <f>INPUT!DA300</f>
        <v>69.114877589453855</v>
      </c>
      <c r="BE355" s="687">
        <f>INPUT!DB300</f>
        <v>2.9233935620040397</v>
      </c>
      <c r="BF355" s="156">
        <f>INPUT!DC300</f>
        <v>69.818181818181827</v>
      </c>
      <c r="BG355" s="687">
        <f>INPUT!DD300</f>
        <v>0.53818181818183763</v>
      </c>
      <c r="BH355" s="156">
        <f>INPUT!DE300</f>
        <v>69.043478260869563</v>
      </c>
      <c r="BI355" s="687">
        <f>INPUT!DF300</f>
        <v>1.3137996219281467</v>
      </c>
      <c r="BJ355" s="156">
        <f>INPUT!DG300</f>
        <v>68.092691622103388</v>
      </c>
      <c r="BK355" s="687">
        <f>INPUT!DH300</f>
        <v>-2.2113289760348542</v>
      </c>
      <c r="BL355" s="156">
        <f>INPUT!DI300</f>
        <v>68.869565217391298</v>
      </c>
      <c r="BM355" s="687">
        <f>INPUT!DJ300</f>
        <v>-0.35493424949650798</v>
      </c>
      <c r="BN355" s="156">
        <f>INPUT!DK300</f>
        <v>69.344262295081975</v>
      </c>
      <c r="BO355" s="687">
        <f>INPUT!DL300</f>
        <v>-0.67879098360655865</v>
      </c>
      <c r="BP355" s="156">
        <f>INPUT!DM300</f>
        <v>74.557165861513681</v>
      </c>
      <c r="BQ355" s="687">
        <f>INPUT!DN300</f>
        <v>7.985819572721331</v>
      </c>
      <c r="BR355" s="156">
        <f>INPUT!DO300</f>
        <v>71.57190635451505</v>
      </c>
      <c r="BS355" s="687">
        <f>INPUT!DP300</f>
        <v>5.1095273949815168</v>
      </c>
      <c r="BT355" s="156">
        <f>INPUT!DQ300</f>
        <v>74.675324675324674</v>
      </c>
      <c r="BU355" s="687">
        <f>INPUT!DR300</f>
        <v>8.4300800209891271</v>
      </c>
      <c r="BV355" s="156">
        <f>INPUT!DS300</f>
        <v>72.727272727272734</v>
      </c>
      <c r="BW355" s="687">
        <f>INPUT!DT300</f>
        <v>4.8785729636793507</v>
      </c>
      <c r="BX355" s="156">
        <f>INPUT!DU300</f>
        <v>68.233387358184757</v>
      </c>
      <c r="BY355" s="687">
        <f>INPUT!DV300</f>
        <v>-8.4817849904260552</v>
      </c>
      <c r="BZ355" s="156">
        <f>INPUT!DW300</f>
        <v>67.719298245614041</v>
      </c>
      <c r="CA355" s="687">
        <f>INPUT!DX300</f>
        <v>67.719298245614041</v>
      </c>
      <c r="CB355" s="156">
        <f>INPUT!DY300</f>
        <v>68.495575221238937</v>
      </c>
      <c r="CC355" s="687">
        <f>INPUT!DZ300</f>
        <v>-8.275490573297418</v>
      </c>
      <c r="CD355" s="156">
        <f>INPUT!EA300</f>
        <v>63.670411985018724</v>
      </c>
      <c r="CE355" s="687">
        <f>INPUT!EB300</f>
        <v>-12.453183520599264</v>
      </c>
      <c r="CF355" s="156">
        <f>INPUT!EC300</f>
        <v>65.714285714285708</v>
      </c>
      <c r="CG355" s="687">
        <f>INPUT!ED300</f>
        <v>-3.691890057685776</v>
      </c>
      <c r="CH355" s="156">
        <f>INPUT!EE300</f>
        <v>54.49438202247191</v>
      </c>
      <c r="CI355" s="687">
        <f>INPUT!EF300</f>
        <v>-19.52902136577983</v>
      </c>
      <c r="CJ355" s="156">
        <f>INPUT!EG300</f>
        <v>64.245810055865931</v>
      </c>
      <c r="CK355" s="687">
        <f>INPUT!EH300</f>
        <v>-6.2044375153378457</v>
      </c>
      <c r="CL355" s="156">
        <f>INPUT!EI300</f>
        <v>64.879852125693162</v>
      </c>
      <c r="CM355" s="687">
        <f>INPUT!EJ300</f>
        <v>1.8995324562357307</v>
      </c>
      <c r="CN355" s="156">
        <f>INPUT!EK300</f>
        <v>60.258780036968574</v>
      </c>
      <c r="CO355" s="687">
        <f>INPUT!EL300</f>
        <v>-8.3018564654825937</v>
      </c>
      <c r="CP355" s="156">
        <f>INPUT!EM300</f>
        <v>59.219858156028373</v>
      </c>
      <c r="CQ355" s="687">
        <f>INPUT!EN300</f>
        <v>8.6714922863201149</v>
      </c>
      <c r="CR355" s="156">
        <f>INPUT!EO300</f>
        <v>61.552346570397113</v>
      </c>
      <c r="CS355" s="687">
        <f>INPUT!EP300</f>
        <v>-4.1924344686862458</v>
      </c>
      <c r="CT355" s="156">
        <f>INPUT!EQ300</f>
        <v>63</v>
      </c>
      <c r="CU355" s="687">
        <f>INPUT!ER300</f>
        <v>-2.897435897435896</v>
      </c>
      <c r="CV355" s="156">
        <f>INPUT!ES300</f>
        <v>61</v>
      </c>
      <c r="CW355" s="687">
        <f>INPUT!ET300</f>
        <v>1.2300613496932566</v>
      </c>
      <c r="CX355" s="156">
        <f>INPUT!EU300</f>
        <v>62</v>
      </c>
      <c r="CY355" s="687">
        <f>INPUT!EV300</f>
        <v>4.694610778443109</v>
      </c>
      <c r="CZ355" s="156">
        <f>INPUT!EW300</f>
        <v>62</v>
      </c>
      <c r="DA355" s="687">
        <f>INPUT!EX300</f>
        <v>0.72727272727273196</v>
      </c>
      <c r="DB355" s="16"/>
      <c r="DC355" s="156"/>
      <c r="DD355" s="687"/>
      <c r="DE355" s="156">
        <f>INPUT!FR300</f>
        <v>64.291945332945616</v>
      </c>
      <c r="DF355" s="687">
        <f>INPUT!FS300</f>
        <v>-4.5382269501800803</v>
      </c>
      <c r="DG355" s="156">
        <f>INPUT!FT300</f>
        <v>66.653327997865816</v>
      </c>
      <c r="DH355" s="687">
        <f>INPUT!FU300</f>
        <v>3.6729059179830603</v>
      </c>
      <c r="DI355" s="156">
        <f>INPUT!FV300</f>
        <v>67.581579749923762</v>
      </c>
      <c r="DJ355" s="687">
        <f>INPUT!FW300</f>
        <v>1.3926562707981649</v>
      </c>
      <c r="DK355" s="156">
        <f>INPUT!FX300</f>
        <v>65.249254018954645</v>
      </c>
      <c r="DL355" s="687">
        <f>INPUT!FY300</f>
        <v>-3.4511263862128772</v>
      </c>
      <c r="DM355" s="156">
        <f>INPUT!FZ300</f>
        <v>70.946425645786675</v>
      </c>
      <c r="DN355" s="687">
        <f>INPUT!GA300</f>
        <v>8.7313973354806951</v>
      </c>
      <c r="DO355" s="156">
        <f>INPUT!GB300</f>
        <v>67.904481922739691</v>
      </c>
      <c r="DP355" s="687">
        <f>INPUT!GC300</f>
        <v>-4.287663113902962</v>
      </c>
      <c r="DQ355" s="156">
        <f>INPUT!GD300</f>
        <v>69.072657743785854</v>
      </c>
      <c r="DR355" s="687">
        <f>INPUT!GE300</f>
        <v>1.7203221171399052</v>
      </c>
      <c r="DS355" s="156">
        <f>INPUT!GF300</f>
        <v>68.951791242812916</v>
      </c>
      <c r="DT355" s="687">
        <f>INPUT!GG300</f>
        <v>-0.17498458133936579</v>
      </c>
      <c r="DU355" s="156">
        <f>INPUT!GH300</f>
        <v>72.556237218813905</v>
      </c>
      <c r="DV355" s="687">
        <f>INPUT!GI300</f>
        <v>5.2274870761630732</v>
      </c>
      <c r="DW355" s="156">
        <f>INPUT!GJ300</f>
        <v>69.325413661434027</v>
      </c>
      <c r="DX355" s="687">
        <f>INPUT!GK300</f>
        <v>-4.4528543392298729</v>
      </c>
      <c r="DY355" s="156">
        <f>INPUT!GL300</f>
        <v>62.018779342723008</v>
      </c>
      <c r="DZ355" s="687">
        <f>INPUT!GM300</f>
        <v>-10.539618781641291</v>
      </c>
      <c r="EA355" s="156">
        <f>INPUT!GN300</f>
        <v>61.454545454545453</v>
      </c>
      <c r="EB355" s="687">
        <f>INPUT!GO300</f>
        <v>-0.90977909297365045</v>
      </c>
      <c r="EC355" s="156">
        <f>INPUT!GP300</f>
        <v>61.997423691730091</v>
      </c>
      <c r="ED355" s="687">
        <f>INPUT!GQ300</f>
        <v>0.88338174689808202</v>
      </c>
      <c r="EE355" s="156">
        <f>INPUT!GR300</f>
        <v>62.6</v>
      </c>
      <c r="EF355" s="687">
        <f>INPUT!GS300</f>
        <v>0.97193765867773507</v>
      </c>
      <c r="EG355" s="156">
        <f>INPUT!GT300</f>
        <v>62.5</v>
      </c>
      <c r="EH355" s="687">
        <f>INPUT!GU300</f>
        <v>-0.15974440894569453</v>
      </c>
      <c r="EI355" s="156">
        <f>INPUT!GV300</f>
        <v>62.5</v>
      </c>
      <c r="EJ355" s="687">
        <f>INPUT!GW300</f>
        <v>0</v>
      </c>
      <c r="EK355" s="156">
        <f>INPUT!GX300</f>
        <v>62.5</v>
      </c>
      <c r="EL355" s="687">
        <f>INPUT!GY300</f>
        <v>0</v>
      </c>
      <c r="EM355" s="687">
        <f>INPUT!GZ300</f>
        <v>0.33794482019595673</v>
      </c>
    </row>
    <row r="356" spans="1:143" ht="12.75" hidden="1" customHeight="1" outlineLevel="1" x14ac:dyDescent="0.2">
      <c r="A356" s="701" t="str">
        <f>INPUT!B302</f>
        <v>Other Op Exp/Revenues (%)</v>
      </c>
      <c r="B356" s="156"/>
      <c r="C356" s="687"/>
      <c r="D356" s="156">
        <f>INPUT!BA302</f>
        <v>20.293122886133034</v>
      </c>
      <c r="E356" s="687">
        <f>INPUT!BB302</f>
        <v>-3.3852598627930552</v>
      </c>
      <c r="F356" s="156">
        <f>INPUT!BC302</f>
        <v>22.45635159542444</v>
      </c>
      <c r="G356" s="687">
        <f>INPUT!BD302</f>
        <v>0.17852337708852417</v>
      </c>
      <c r="H356" s="156">
        <f>INPUT!BE302</f>
        <v>20.191470844212358</v>
      </c>
      <c r="I356" s="687">
        <f>INPUT!BF302</f>
        <v>-9.1122867003185952</v>
      </c>
      <c r="J356" s="156"/>
      <c r="K356" s="687"/>
      <c r="L356" s="156">
        <f>INPUT!BI302</f>
        <v>20.639386189258314</v>
      </c>
      <c r="M356" s="687">
        <f>INPUT!BJ302</f>
        <v>1.7063086104006864</v>
      </c>
      <c r="N356" s="156">
        <f>INPUT!BK302</f>
        <v>22.14965986394558</v>
      </c>
      <c r="O356" s="687">
        <f>INPUT!BL302</f>
        <v>-1.3657237694005064</v>
      </c>
      <c r="P356" s="156">
        <f>INPUT!BM302</f>
        <v>22.359432475039412</v>
      </c>
      <c r="Q356" s="687">
        <f>INPUT!BN302</f>
        <v>10.737016869915017</v>
      </c>
      <c r="R356" s="156">
        <f>INPUT!BO302</f>
        <v>22.439268720260458</v>
      </c>
      <c r="S356" s="687">
        <f>INPUT!BP302</f>
        <v>3.2550257970605845</v>
      </c>
      <c r="T356" s="156">
        <f>INPUT!BQ302</f>
        <v>21.016709814073899</v>
      </c>
      <c r="U356" s="687">
        <f>INPUT!BR302</f>
        <v>1.8281727051163932</v>
      </c>
      <c r="V356" s="156">
        <f>INPUT!BS302</f>
        <v>22.790466732869909</v>
      </c>
      <c r="W356" s="687">
        <f>INPUT!BT302</f>
        <v>2.8930776944679382</v>
      </c>
      <c r="X356" s="156">
        <f>INPUT!BU302</f>
        <v>24.33939393939394</v>
      </c>
      <c r="Y356" s="687">
        <f>INPUT!BV302</f>
        <v>8.8551508029768975</v>
      </c>
      <c r="Z356" s="156">
        <f>INPUT!BW302</f>
        <v>23.706691979117224</v>
      </c>
      <c r="AA356" s="687">
        <f>INPUT!BX302</f>
        <v>5.648237804257894</v>
      </c>
      <c r="AB356" s="156">
        <f>INPUT!BY302</f>
        <v>22.239783246782569</v>
      </c>
      <c r="AC356" s="687">
        <f>INPUT!BZ302</f>
        <v>5.8195285728769752</v>
      </c>
      <c r="AD356" s="156">
        <f>INPUT!CA302</f>
        <v>24.07081353561178</v>
      </c>
      <c r="AE356" s="687">
        <f>INPUT!CB302</f>
        <v>5.6179051431854754</v>
      </c>
      <c r="AF356" s="156">
        <f>INPUT!CC302</f>
        <v>24.469557195571959</v>
      </c>
      <c r="AG356" s="687">
        <f>INPUT!CD302</f>
        <v>0.53478429455611209</v>
      </c>
      <c r="AH356" s="156">
        <f>INPUT!CE302</f>
        <v>22.821203953279422</v>
      </c>
      <c r="AI356" s="687">
        <f>INPUT!CF302</f>
        <v>-3.7351817226030981</v>
      </c>
      <c r="AJ356" s="156">
        <f>INPUT!CG302</f>
        <v>21.548606679429909</v>
      </c>
      <c r="AK356" s="687">
        <f>INPUT!CH302</f>
        <v>-3.1078385957410415</v>
      </c>
      <c r="AL356" s="156">
        <f>INPUT!CI302</f>
        <v>23.56589147286822</v>
      </c>
      <c r="AM356" s="687">
        <f>INPUT!CJ302</f>
        <v>-2.0976526696804387</v>
      </c>
      <c r="AN356" s="156">
        <f>INPUT!CK302</f>
        <v>24.294637088089598</v>
      </c>
      <c r="AO356" s="687">
        <f>INPUT!CL302</f>
        <v>-0.71484786620501506</v>
      </c>
      <c r="AP356" s="156">
        <f>INPUT!CM302</f>
        <v>23.666038920276204</v>
      </c>
      <c r="AQ356" s="687">
        <f>INPUT!CN302</f>
        <v>3.7019736939662096</v>
      </c>
      <c r="AR356" s="156">
        <f>INPUT!CO302</f>
        <v>23.032361166600083</v>
      </c>
      <c r="AS356" s="687">
        <f>INPUT!CP302</f>
        <v>6.8856168254560535</v>
      </c>
      <c r="AT356" s="156">
        <f>INPUT!CQ302</f>
        <v>24.614100959532749</v>
      </c>
      <c r="AU356" s="687">
        <f>INPUT!CR302</f>
        <v>4.4479942032803921</v>
      </c>
      <c r="AV356" s="156">
        <f>INPUT!CS302</f>
        <v>26.403326403326403</v>
      </c>
      <c r="AW356" s="687">
        <f>INPUT!CT302</f>
        <v>8.6796493711387193</v>
      </c>
      <c r="AX356" s="156">
        <f>INPUT!CU302</f>
        <v>25.595238095238095</v>
      </c>
      <c r="AY356" s="687">
        <f>INPUT!CV302</f>
        <v>8.1517620310723959</v>
      </c>
      <c r="AZ356" s="156">
        <f>INPUT!CW302</f>
        <v>24.074074074074073</v>
      </c>
      <c r="BA356" s="687">
        <f>INPUT!CX302</f>
        <v>4.5228229096398787</v>
      </c>
      <c r="BB356" s="156">
        <f>INPUT!CY302</f>
        <v>25.72533849129594</v>
      </c>
      <c r="BC356" s="687">
        <f>INPUT!CZ302</f>
        <v>4.5146379044684215</v>
      </c>
      <c r="BD356" s="156">
        <f>INPUT!DA302</f>
        <v>27.118644067796609</v>
      </c>
      <c r="BE356" s="687">
        <f>INPUT!DB302</f>
        <v>2.7091952488989657</v>
      </c>
      <c r="BF356" s="156">
        <f>INPUT!DC302</f>
        <v>26.181818181818183</v>
      </c>
      <c r="BG356" s="687">
        <f>INPUT!DD302</f>
        <v>2.291754756871045</v>
      </c>
      <c r="BH356" s="156">
        <f>INPUT!DE302</f>
        <v>25.043478260869566</v>
      </c>
      <c r="BI356" s="687">
        <f>INPUT!DF302</f>
        <v>4.0267558528428227</v>
      </c>
      <c r="BJ356" s="156">
        <f>INPUT!DG302</f>
        <v>25.490196078431371</v>
      </c>
      <c r="BK356" s="687">
        <f>INPUT!DH302</f>
        <v>-0.91404983045850763</v>
      </c>
      <c r="BL356" s="156">
        <f>INPUT!DI302</f>
        <v>28.173913043478262</v>
      </c>
      <c r="BM356" s="687">
        <f>INPUT!DJ302</f>
        <v>3.8913043478260967</v>
      </c>
      <c r="BN356" s="156">
        <f>INPUT!DK302</f>
        <v>25.73770491803279</v>
      </c>
      <c r="BO356" s="687">
        <f>INPUT!DL302</f>
        <v>-1.696265938069208</v>
      </c>
      <c r="BP356" s="156">
        <f>INPUT!DM302</f>
        <v>24.9597423510467</v>
      </c>
      <c r="BQ356" s="687">
        <f>INPUT!DN302</f>
        <v>-0.33436213991769881</v>
      </c>
      <c r="BR356" s="156">
        <f>INPUT!DO302</f>
        <v>26.421404682274247</v>
      </c>
      <c r="BS356" s="687">
        <f>INPUT!DP302</f>
        <v>3.6532029843066693</v>
      </c>
      <c r="BT356" s="156">
        <f>INPUT!DQ302</f>
        <v>26.948051948051948</v>
      </c>
      <c r="BU356" s="687">
        <f>INPUT!DR302</f>
        <v>-4.3510501843835208</v>
      </c>
      <c r="BV356" s="156">
        <f>INPUT!DS302</f>
        <v>28.925619834710741</v>
      </c>
      <c r="BW356" s="687">
        <f>INPUT!DT302</f>
        <v>12.386166236774198</v>
      </c>
      <c r="BX356" s="156">
        <f>INPUT!DU302</f>
        <v>26.904376012965965</v>
      </c>
      <c r="BY356" s="687">
        <f>INPUT!DV302</f>
        <v>7.7910806713023417</v>
      </c>
      <c r="BZ356" s="156">
        <f>INPUT!DW302</f>
        <v>27.719298245614034</v>
      </c>
      <c r="CA356" s="687">
        <f>INPUT!DX302</f>
        <v>27.719298245614034</v>
      </c>
      <c r="CB356" s="156">
        <f>INPUT!DY302</f>
        <v>27.964601769911507</v>
      </c>
      <c r="CC356" s="687">
        <f>INPUT!DZ302</f>
        <v>3.7722571702740293</v>
      </c>
      <c r="CD356" s="156">
        <f>INPUT!EA302</f>
        <v>34.831460674157306</v>
      </c>
      <c r="CE356" s="687">
        <f>INPUT!EB302</f>
        <v>20.417335473515273</v>
      </c>
      <c r="CF356" s="156">
        <f>INPUT!EC302</f>
        <v>29.904761904761905</v>
      </c>
      <c r="CG356" s="687">
        <f>INPUT!ED302</f>
        <v>20.417335473515273</v>
      </c>
      <c r="CH356" s="156">
        <f>INPUT!EE302</f>
        <v>37.265917602996254</v>
      </c>
      <c r="CI356" s="687">
        <f>INPUT!EF302</f>
        <v>20.417335473515273</v>
      </c>
      <c r="CJ356" s="156">
        <f>INPUT!EG302</f>
        <v>31.098696461824954</v>
      </c>
      <c r="CK356" s="687">
        <f>INPUT!EH302</f>
        <v>11.207363929943659</v>
      </c>
      <c r="CL356" s="156">
        <f>INPUT!EI302</f>
        <v>33.086876155268023</v>
      </c>
      <c r="CM356" s="687">
        <f>INPUT!EJ302</f>
        <v>-5.008645876811169</v>
      </c>
      <c r="CN356" s="156">
        <f>INPUT!EK302</f>
        <v>29.944547134935306</v>
      </c>
      <c r="CO356" s="687">
        <f>INPUT!EL302</f>
        <v>0.13303978242698022</v>
      </c>
      <c r="CP356" s="156">
        <f>INPUT!EM302</f>
        <v>29.609929078014186</v>
      </c>
      <c r="CQ356" s="687">
        <f>INPUT!EN302</f>
        <v>-20.54421041377098</v>
      </c>
      <c r="CR356" s="156">
        <f>INPUT!EO302</f>
        <v>32.851985559566785</v>
      </c>
      <c r="CS356" s="687">
        <f>INPUT!EP302</f>
        <v>5.6378218292656435</v>
      </c>
      <c r="CT356" s="156">
        <f>INPUT!EQ302</f>
        <v>33</v>
      </c>
      <c r="CU356" s="687">
        <f>INPUT!ER302</f>
        <v>-0.26256983240223741</v>
      </c>
      <c r="CV356" s="156">
        <f>INPUT!ES302</f>
        <v>32.5</v>
      </c>
      <c r="CW356" s="687">
        <f>INPUT!ET302</f>
        <v>8.5339506172839474</v>
      </c>
      <c r="CX356" s="156">
        <f>INPUT!EU302</f>
        <v>32.5</v>
      </c>
      <c r="CY356" s="687">
        <f>INPUT!EV302</f>
        <v>9.7604790419161702</v>
      </c>
      <c r="CZ356" s="156">
        <f>INPUT!EW302</f>
        <v>32.5</v>
      </c>
      <c r="DA356" s="687">
        <f>INPUT!EX302</f>
        <v>-1.0714285714285676</v>
      </c>
      <c r="DB356" s="16"/>
      <c r="DC356" s="156"/>
      <c r="DD356" s="687"/>
      <c r="DE356" s="156">
        <f>INPUT!FR302</f>
        <v>20.955704177570997</v>
      </c>
      <c r="DF356" s="687">
        <f>INPUT!FS302</f>
        <v>-5.6842487876258563</v>
      </c>
      <c r="DG356" s="156">
        <f>INPUT!FT302</f>
        <v>21.708683473389357</v>
      </c>
      <c r="DH356" s="687">
        <f>INPUT!FU302</f>
        <v>3.5931949097863125</v>
      </c>
      <c r="DI356" s="156">
        <f>INPUT!FV302</f>
        <v>22.634949679780423</v>
      </c>
      <c r="DJ356" s="687">
        <f>INPUT!FW302</f>
        <v>4.2668004604078824</v>
      </c>
      <c r="DK356" s="156">
        <f>INPUT!FX302</f>
        <v>23.608621263525471</v>
      </c>
      <c r="DL356" s="687">
        <f>INPUT!FY302</f>
        <v>4.3016291068445289</v>
      </c>
      <c r="DM356" s="156">
        <f>INPUT!FZ302</f>
        <v>23.051717546829771</v>
      </c>
      <c r="DN356" s="687">
        <f>INPUT!GA302</f>
        <v>-2.3588997869862793</v>
      </c>
      <c r="DO356" s="156">
        <f>INPUT!GB302</f>
        <v>24.415905926040534</v>
      </c>
      <c r="DP356" s="687">
        <f>INPUT!GC302</f>
        <v>5.917946792638773</v>
      </c>
      <c r="DQ356" s="156">
        <f>INPUT!GD302</f>
        <v>25.621414913957935</v>
      </c>
      <c r="DR356" s="687">
        <f>INPUT!GE302</f>
        <v>4.9373920081813516</v>
      </c>
      <c r="DS356" s="156">
        <f>INPUT!GF302</f>
        <v>26.227333038478552</v>
      </c>
      <c r="DT356" s="687">
        <f>INPUT!GG302</f>
        <v>2.3648893964498763</v>
      </c>
      <c r="DU356" s="156">
        <f>INPUT!GH302</f>
        <v>26.012269938650306</v>
      </c>
      <c r="DV356" s="687">
        <f>INPUT!GI302</f>
        <v>-0.81999606865373886</v>
      </c>
      <c r="DW356" s="156">
        <f>INPUT!GJ302</f>
        <v>27.874416631310989</v>
      </c>
      <c r="DX356" s="687">
        <f>INPUT!GK302</f>
        <v>7.1587243137663181</v>
      </c>
      <c r="DY356" s="156">
        <f>INPUT!GL302</f>
        <v>33.286384976525824</v>
      </c>
      <c r="DZ356" s="687">
        <f>INPUT!GM302</f>
        <v>19.415539405892488</v>
      </c>
      <c r="EA356" s="156">
        <f>INPUT!GN302</f>
        <v>31.363636363636367</v>
      </c>
      <c r="EB356" s="687">
        <f>INPUT!GO302</f>
        <v>-5.7763815873829945</v>
      </c>
      <c r="EC356" s="156">
        <f>INPUT!GP302</f>
        <v>32.589112116790872</v>
      </c>
      <c r="ED356" s="687">
        <f>INPUT!GQ302</f>
        <v>3.9073139955650982</v>
      </c>
      <c r="EE356" s="156">
        <f>INPUT!GR302</f>
        <v>31.75</v>
      </c>
      <c r="EF356" s="687">
        <f>INPUT!GS302</f>
        <v>-2.5748234986694762</v>
      </c>
      <c r="EG356" s="156">
        <f>INPUT!GT302</f>
        <v>31</v>
      </c>
      <c r="EH356" s="687">
        <f>INPUT!GU302</f>
        <v>-2.3622047244094446</v>
      </c>
      <c r="EI356" s="156">
        <f>INPUT!GV302</f>
        <v>31</v>
      </c>
      <c r="EJ356" s="687">
        <f>INPUT!GW302</f>
        <v>0</v>
      </c>
      <c r="EK356" s="156">
        <f>INPUT!GX302</f>
        <v>31</v>
      </c>
      <c r="EL356" s="687">
        <f>INPUT!GY302</f>
        <v>0</v>
      </c>
      <c r="EM356" s="687">
        <f>INPUT!GZ302</f>
        <v>-0.2329670046273935</v>
      </c>
    </row>
    <row r="357" spans="1:143" ht="12.75" hidden="1" customHeight="1" outlineLevel="1" x14ac:dyDescent="0.2">
      <c r="A357" s="701"/>
      <c r="B357" s="16"/>
      <c r="C357" s="687"/>
      <c r="D357" s="16"/>
      <c r="E357" s="687"/>
      <c r="F357" s="16"/>
      <c r="G357" s="687"/>
      <c r="H357" s="16"/>
      <c r="I357" s="687"/>
      <c r="J357" s="16"/>
      <c r="K357" s="687"/>
      <c r="L357" s="16"/>
      <c r="M357" s="687"/>
      <c r="N357" s="16"/>
      <c r="O357" s="687"/>
      <c r="P357" s="16"/>
      <c r="Q357" s="687"/>
      <c r="R357" s="16"/>
      <c r="S357" s="687"/>
      <c r="T357" s="16"/>
      <c r="U357" s="687"/>
      <c r="V357" s="16"/>
      <c r="W357" s="687"/>
      <c r="X357" s="16"/>
      <c r="Y357" s="687"/>
      <c r="Z357" s="16"/>
      <c r="AA357" s="687"/>
      <c r="AB357" s="16"/>
      <c r="AC357" s="687"/>
      <c r="AD357" s="16"/>
      <c r="AE357" s="687"/>
      <c r="AF357" s="16"/>
      <c r="AG357" s="687"/>
      <c r="AH357" s="16"/>
      <c r="AI357" s="687"/>
      <c r="AJ357" s="16"/>
      <c r="AK357" s="687"/>
      <c r="AL357" s="16"/>
      <c r="AM357" s="687"/>
      <c r="AN357" s="16"/>
      <c r="AO357" s="687"/>
      <c r="AP357" s="16"/>
      <c r="AQ357" s="687"/>
      <c r="AR357" s="16"/>
      <c r="AS357" s="687"/>
      <c r="AT357" s="16"/>
      <c r="AU357" s="687"/>
      <c r="AV357" s="16"/>
      <c r="AW357" s="687"/>
      <c r="AX357" s="16"/>
      <c r="AY357" s="687"/>
      <c r="AZ357" s="16"/>
      <c r="BA357" s="687"/>
      <c r="BB357" s="16"/>
      <c r="BC357" s="687"/>
      <c r="BD357" s="16"/>
      <c r="BE357" s="687"/>
      <c r="BF357" s="16"/>
      <c r="BG357" s="687"/>
      <c r="BH357" s="16"/>
      <c r="BI357" s="687"/>
      <c r="BJ357" s="16"/>
      <c r="BK357" s="687"/>
      <c r="BL357" s="16"/>
      <c r="BM357" s="687"/>
      <c r="BN357" s="16"/>
      <c r="BO357" s="687"/>
      <c r="BP357" s="16"/>
      <c r="BQ357" s="687"/>
      <c r="BR357" s="16"/>
      <c r="BS357" s="687"/>
      <c r="BT357" s="16"/>
      <c r="BU357" s="687"/>
      <c r="BV357" s="16"/>
      <c r="BW357" s="687"/>
      <c r="BX357" s="16"/>
      <c r="BY357" s="687"/>
      <c r="BZ357" s="16"/>
      <c r="CA357" s="687"/>
      <c r="CB357" s="16"/>
      <c r="CC357" s="687"/>
      <c r="CD357" s="16"/>
      <c r="CE357" s="687"/>
      <c r="CF357" s="16"/>
      <c r="CG357" s="687"/>
      <c r="CH357" s="16"/>
      <c r="CI357" s="687"/>
      <c r="CJ357" s="16"/>
      <c r="CK357" s="687"/>
      <c r="CL357" s="16"/>
      <c r="CM357" s="687"/>
      <c r="CN357" s="16"/>
      <c r="CO357" s="687"/>
      <c r="CP357" s="16"/>
      <c r="CQ357" s="687"/>
      <c r="CR357" s="16"/>
      <c r="CS357" s="687"/>
      <c r="CT357" s="16"/>
      <c r="CU357" s="687"/>
      <c r="CV357" s="16"/>
      <c r="CW357" s="687"/>
      <c r="CX357" s="16"/>
      <c r="CY357" s="687"/>
      <c r="CZ357" s="16"/>
      <c r="DA357" s="687"/>
      <c r="DB357" s="16"/>
      <c r="DC357" s="16"/>
      <c r="DD357" s="687"/>
      <c r="DE357" s="16"/>
      <c r="DF357" s="687"/>
      <c r="DG357" s="16"/>
      <c r="DH357" s="687"/>
      <c r="DI357" s="16"/>
      <c r="DJ357" s="687"/>
      <c r="DK357" s="16"/>
      <c r="DL357" s="687"/>
      <c r="DM357" s="16"/>
      <c r="DN357" s="687"/>
      <c r="DO357" s="16"/>
      <c r="DP357" s="687"/>
      <c r="DQ357" s="16"/>
      <c r="DR357" s="687"/>
      <c r="DS357" s="16"/>
      <c r="DT357" s="687"/>
      <c r="DU357" s="16"/>
      <c r="DV357" s="687"/>
      <c r="DW357" s="16"/>
      <c r="DX357" s="687"/>
      <c r="DY357" s="16"/>
      <c r="DZ357" s="687"/>
      <c r="EA357" s="16"/>
      <c r="EB357" s="687"/>
      <c r="EC357" s="16"/>
      <c r="ED357" s="687"/>
      <c r="EE357" s="16"/>
      <c r="EF357" s="687"/>
      <c r="EG357" s="16"/>
      <c r="EH357" s="687"/>
      <c r="EI357" s="16"/>
      <c r="EJ357" s="687"/>
      <c r="EK357" s="16"/>
      <c r="EL357" s="687"/>
      <c r="EM357" s="687"/>
    </row>
    <row r="358" spans="1:143" ht="12.75" hidden="1" customHeight="1" outlineLevel="1" x14ac:dyDescent="0.2">
      <c r="A358" s="689" t="str">
        <f>+A60</f>
        <v>Quarterly income statement ratios are annualized where appropriate     NM = Not Meaningful       NA = Not Applicable  E=Morgan Stanley Estimates</v>
      </c>
      <c r="B358" s="16"/>
      <c r="C358" s="687"/>
      <c r="D358" s="16"/>
      <c r="E358" s="687"/>
      <c r="F358" s="16"/>
      <c r="G358" s="687"/>
      <c r="H358" s="16"/>
      <c r="I358" s="687"/>
      <c r="J358" s="16"/>
      <c r="K358" s="687"/>
      <c r="L358" s="16"/>
      <c r="M358" s="687"/>
      <c r="N358" s="16"/>
      <c r="O358" s="687"/>
      <c r="P358" s="16"/>
      <c r="Q358" s="687"/>
      <c r="R358" s="16"/>
      <c r="S358" s="687"/>
      <c r="T358" s="16"/>
      <c r="U358" s="687"/>
      <c r="V358" s="16"/>
      <c r="W358" s="687"/>
      <c r="X358" s="16"/>
      <c r="Y358" s="687"/>
      <c r="Z358" s="16"/>
      <c r="AA358" s="687"/>
      <c r="AB358" s="16"/>
      <c r="AC358" s="687"/>
      <c r="AD358" s="16"/>
      <c r="AE358" s="687"/>
      <c r="AF358" s="16"/>
      <c r="AG358" s="687"/>
      <c r="AH358" s="16"/>
      <c r="AI358" s="687"/>
      <c r="AJ358" s="16"/>
      <c r="AK358" s="687"/>
      <c r="AL358" s="16"/>
      <c r="AM358" s="687"/>
      <c r="AN358" s="16"/>
      <c r="AO358" s="687"/>
      <c r="AP358" s="16"/>
      <c r="AQ358" s="687"/>
      <c r="AR358" s="16"/>
      <c r="AS358" s="687"/>
      <c r="AT358" s="16"/>
      <c r="AU358" s="687"/>
      <c r="AV358" s="16"/>
      <c r="AW358" s="687"/>
      <c r="AX358" s="16"/>
      <c r="AY358" s="687"/>
      <c r="AZ358" s="16"/>
      <c r="BA358" s="687"/>
      <c r="BB358" s="16"/>
      <c r="BC358" s="687"/>
      <c r="BD358" s="16"/>
      <c r="BE358" s="687"/>
      <c r="BF358" s="16"/>
      <c r="BG358" s="687"/>
      <c r="BH358" s="16"/>
      <c r="BI358" s="687"/>
      <c r="BJ358" s="16"/>
      <c r="BK358" s="687"/>
      <c r="BL358" s="16"/>
      <c r="BM358" s="687"/>
      <c r="BN358" s="16"/>
      <c r="BO358" s="687"/>
      <c r="BP358" s="16"/>
      <c r="BQ358" s="687"/>
      <c r="BR358" s="16"/>
      <c r="BS358" s="687"/>
      <c r="BT358" s="16"/>
      <c r="BU358" s="687"/>
      <c r="BV358" s="16"/>
      <c r="BW358" s="687"/>
      <c r="BX358" s="16"/>
      <c r="BY358" s="687"/>
      <c r="BZ358" s="16"/>
      <c r="CA358" s="687"/>
      <c r="CB358" s="16"/>
      <c r="CC358" s="687"/>
      <c r="CD358" s="16"/>
      <c r="CE358" s="687"/>
      <c r="CF358" s="16"/>
      <c r="CG358" s="687"/>
      <c r="CH358" s="16"/>
      <c r="CI358" s="687"/>
      <c r="CJ358" s="16"/>
      <c r="CK358" s="687"/>
      <c r="CL358" s="16"/>
      <c r="CM358" s="687"/>
      <c r="CN358" s="16"/>
      <c r="CO358" s="687"/>
      <c r="CP358" s="16"/>
      <c r="CQ358" s="687"/>
      <c r="CR358" s="16"/>
      <c r="CS358" s="687"/>
      <c r="CT358" s="16"/>
      <c r="CU358" s="687"/>
      <c r="CV358" s="16"/>
      <c r="CW358" s="687"/>
      <c r="CX358" s="16"/>
      <c r="CY358" s="687"/>
      <c r="CZ358" s="16"/>
      <c r="DA358" s="687"/>
      <c r="DB358" s="16"/>
      <c r="DC358" s="16"/>
      <c r="DD358" s="687"/>
      <c r="DE358" s="16"/>
      <c r="DF358" s="687"/>
      <c r="DG358" s="16"/>
      <c r="DH358" s="687"/>
      <c r="DI358" s="16"/>
      <c r="DJ358" s="687"/>
      <c r="DK358" s="16"/>
      <c r="DL358" s="687"/>
      <c r="DM358" s="16"/>
      <c r="DN358" s="687"/>
      <c r="DO358" s="16"/>
      <c r="DP358" s="687"/>
      <c r="DQ358" s="16"/>
      <c r="DR358" s="687"/>
      <c r="DS358" s="16"/>
      <c r="DT358" s="687"/>
      <c r="DU358" s="16"/>
      <c r="DV358" s="687"/>
      <c r="DW358" s="16"/>
      <c r="DX358" s="687"/>
      <c r="DY358" s="16"/>
      <c r="DZ358" s="687"/>
      <c r="EA358" s="16"/>
      <c r="EB358" s="687"/>
      <c r="EC358" s="16"/>
      <c r="ED358" s="687"/>
      <c r="EE358" s="16"/>
      <c r="EF358" s="687"/>
      <c r="EG358" s="16"/>
      <c r="EH358" s="687"/>
      <c r="EI358" s="16"/>
      <c r="EJ358" s="687"/>
      <c r="EK358" s="16"/>
      <c r="EL358" s="687"/>
      <c r="EM358" s="687"/>
    </row>
    <row r="359" spans="1:143" ht="12.75" hidden="1" customHeight="1" outlineLevel="1" x14ac:dyDescent="0.2">
      <c r="A359" s="689" t="s">
        <v>412</v>
      </c>
      <c r="B359" s="16"/>
      <c r="C359" s="687"/>
      <c r="D359" s="16"/>
      <c r="E359" s="687"/>
      <c r="F359" s="16"/>
      <c r="G359" s="687"/>
      <c r="H359" s="16"/>
      <c r="I359" s="687"/>
      <c r="J359" s="16"/>
      <c r="K359" s="687"/>
      <c r="L359" s="16"/>
      <c r="M359" s="687"/>
      <c r="N359" s="16"/>
      <c r="O359" s="687"/>
      <c r="P359" s="16"/>
      <c r="Q359" s="687"/>
      <c r="R359" s="16"/>
      <c r="S359" s="687"/>
      <c r="T359" s="16"/>
      <c r="U359" s="687"/>
      <c r="V359" s="16"/>
      <c r="W359" s="687"/>
      <c r="X359" s="16"/>
      <c r="Y359" s="687"/>
      <c r="Z359" s="16"/>
      <c r="AA359" s="687"/>
      <c r="AB359" s="16"/>
      <c r="AC359" s="687"/>
      <c r="AD359" s="16"/>
      <c r="AE359" s="687"/>
      <c r="AF359" s="16"/>
      <c r="AG359" s="687"/>
      <c r="AH359" s="16"/>
      <c r="AI359" s="687"/>
      <c r="AJ359" s="16"/>
      <c r="AK359" s="687"/>
      <c r="AL359" s="16"/>
      <c r="AM359" s="687"/>
      <c r="AN359" s="16"/>
      <c r="AO359" s="687"/>
      <c r="AP359" s="16"/>
      <c r="AQ359" s="687"/>
      <c r="AR359" s="16"/>
      <c r="AS359" s="687"/>
      <c r="AT359" s="16"/>
      <c r="AU359" s="687"/>
      <c r="AV359" s="16"/>
      <c r="AW359" s="687"/>
      <c r="AX359" s="16"/>
      <c r="AY359" s="687"/>
      <c r="AZ359" s="16"/>
      <c r="BA359" s="687"/>
      <c r="BB359" s="16"/>
      <c r="BC359" s="687"/>
      <c r="BD359" s="16"/>
      <c r="BE359" s="687"/>
      <c r="BF359" s="16"/>
      <c r="BG359" s="687"/>
      <c r="BH359" s="16"/>
      <c r="BI359" s="687"/>
      <c r="BJ359" s="16"/>
      <c r="BK359" s="687"/>
      <c r="BL359" s="16"/>
      <c r="BM359" s="687"/>
      <c r="BN359" s="16"/>
      <c r="BO359" s="687"/>
      <c r="BP359" s="16"/>
      <c r="BQ359" s="687"/>
      <c r="BR359" s="16"/>
      <c r="BS359" s="687"/>
      <c r="BT359" s="16"/>
      <c r="BU359" s="687"/>
      <c r="BV359" s="16"/>
      <c r="BW359" s="687"/>
      <c r="BX359" s="16"/>
      <c r="BY359" s="687"/>
      <c r="BZ359" s="16"/>
      <c r="CA359" s="687"/>
      <c r="CB359" s="16"/>
      <c r="CC359" s="687"/>
      <c r="CD359" s="16"/>
      <c r="CE359" s="687"/>
      <c r="CF359" s="16"/>
      <c r="CG359" s="687"/>
      <c r="CH359" s="16"/>
      <c r="CI359" s="687"/>
      <c r="CJ359" s="16"/>
      <c r="CK359" s="687"/>
      <c r="CL359" s="16"/>
      <c r="CM359" s="687"/>
      <c r="CN359" s="16"/>
      <c r="CO359" s="687"/>
      <c r="CP359" s="16"/>
      <c r="CQ359" s="687"/>
      <c r="CR359" s="16"/>
      <c r="CS359" s="687"/>
      <c r="CT359" s="16"/>
      <c r="CU359" s="687"/>
      <c r="CV359" s="16"/>
      <c r="CW359" s="687"/>
      <c r="CX359" s="16"/>
      <c r="CY359" s="687"/>
      <c r="CZ359" s="16"/>
      <c r="DA359" s="687"/>
      <c r="DB359" s="16"/>
      <c r="DC359" s="16"/>
      <c r="DD359" s="687"/>
      <c r="DE359" s="16"/>
      <c r="DF359" s="687"/>
      <c r="DG359" s="16"/>
      <c r="DH359" s="687"/>
      <c r="DI359" s="16"/>
      <c r="DJ359" s="687"/>
      <c r="DK359" s="16"/>
      <c r="DL359" s="687"/>
      <c r="DM359" s="16"/>
      <c r="DN359" s="687"/>
      <c r="DO359" s="16"/>
      <c r="DP359" s="687"/>
      <c r="DQ359" s="16"/>
      <c r="DR359" s="687"/>
      <c r="DS359" s="16"/>
      <c r="DT359" s="687"/>
      <c r="DU359" s="16"/>
      <c r="DV359" s="687"/>
      <c r="DW359" s="16"/>
      <c r="DX359" s="687"/>
      <c r="DY359" s="16"/>
      <c r="DZ359" s="687"/>
      <c r="EA359" s="16"/>
      <c r="EB359" s="687"/>
      <c r="EC359" s="16"/>
      <c r="ED359" s="687"/>
      <c r="EE359" s="16"/>
      <c r="EF359" s="687"/>
      <c r="EG359" s="16"/>
      <c r="EH359" s="687"/>
      <c r="EI359" s="16"/>
      <c r="EJ359" s="687"/>
      <c r="EK359" s="16"/>
      <c r="EL359" s="687"/>
      <c r="EM359" s="687"/>
    </row>
    <row r="360" spans="1:143" ht="12.75" hidden="1" customHeight="1" outlineLevel="1" x14ac:dyDescent="0.2">
      <c r="A360" s="701"/>
      <c r="B360" s="16"/>
      <c r="C360" s="687"/>
      <c r="D360" s="16"/>
      <c r="E360" s="687"/>
      <c r="F360" s="16"/>
      <c r="G360" s="687"/>
      <c r="H360" s="16"/>
      <c r="I360" s="687"/>
      <c r="J360" s="16"/>
      <c r="K360" s="687"/>
      <c r="L360" s="16"/>
      <c r="M360" s="687"/>
      <c r="N360" s="16"/>
      <c r="O360" s="687"/>
      <c r="P360" s="16"/>
      <c r="Q360" s="687"/>
      <c r="R360" s="16"/>
      <c r="S360" s="687"/>
      <c r="T360" s="16"/>
      <c r="U360" s="687"/>
      <c r="V360" s="16"/>
      <c r="W360" s="687"/>
      <c r="X360" s="16"/>
      <c r="Y360" s="687"/>
      <c r="Z360" s="16"/>
      <c r="AA360" s="687"/>
      <c r="AB360" s="16"/>
      <c r="AC360" s="687"/>
      <c r="AD360" s="16"/>
      <c r="AE360" s="687"/>
      <c r="AF360" s="16"/>
      <c r="AG360" s="687"/>
      <c r="AH360" s="16"/>
      <c r="AI360" s="687"/>
      <c r="AJ360" s="16"/>
      <c r="AK360" s="687"/>
      <c r="AL360" s="16"/>
      <c r="AM360" s="687"/>
      <c r="AN360" s="16"/>
      <c r="AO360" s="687"/>
      <c r="AP360" s="16"/>
      <c r="AQ360" s="687"/>
      <c r="AR360" s="16"/>
      <c r="AS360" s="687"/>
      <c r="AT360" s="16"/>
      <c r="AU360" s="687"/>
      <c r="AV360" s="16"/>
      <c r="AW360" s="687"/>
      <c r="AX360" s="16"/>
      <c r="AY360" s="687"/>
      <c r="AZ360" s="16"/>
      <c r="BA360" s="687"/>
      <c r="BB360" s="16"/>
      <c r="BC360" s="687"/>
      <c r="BD360" s="16"/>
      <c r="BE360" s="687"/>
      <c r="BF360" s="16"/>
      <c r="BG360" s="687"/>
      <c r="BH360" s="16"/>
      <c r="BI360" s="687"/>
      <c r="BJ360" s="16"/>
      <c r="BK360" s="687"/>
      <c r="BL360" s="16"/>
      <c r="BM360" s="687"/>
      <c r="BN360" s="16"/>
      <c r="BO360" s="687"/>
      <c r="BP360" s="16"/>
      <c r="BQ360" s="687"/>
      <c r="BR360" s="16"/>
      <c r="BS360" s="687"/>
      <c r="BT360" s="16"/>
      <c r="BU360" s="687"/>
      <c r="BV360" s="16"/>
      <c r="BW360" s="687"/>
      <c r="BX360" s="16"/>
      <c r="BY360" s="687"/>
      <c r="BZ360" s="16"/>
      <c r="CA360" s="687"/>
      <c r="CB360" s="16"/>
      <c r="CC360" s="687"/>
      <c r="CD360" s="16"/>
      <c r="CE360" s="687"/>
      <c r="CF360" s="16"/>
      <c r="CG360" s="687"/>
      <c r="CH360" s="16"/>
      <c r="CI360" s="687"/>
      <c r="CJ360" s="16"/>
      <c r="CK360" s="687"/>
      <c r="CL360" s="16"/>
      <c r="CM360" s="687"/>
      <c r="CN360" s="16"/>
      <c r="CO360" s="687"/>
      <c r="CP360" s="16"/>
      <c r="CQ360" s="687"/>
      <c r="CR360" s="16"/>
      <c r="CS360" s="687"/>
      <c r="CT360" s="16"/>
      <c r="CU360" s="687"/>
      <c r="CV360" s="16"/>
      <c r="CW360" s="687"/>
      <c r="CX360" s="16"/>
      <c r="CY360" s="687"/>
      <c r="CZ360" s="16"/>
      <c r="DA360" s="687"/>
      <c r="DB360" s="16"/>
      <c r="DC360" s="16"/>
      <c r="DD360" s="687"/>
      <c r="DE360" s="16"/>
      <c r="DF360" s="687"/>
      <c r="DG360" s="16"/>
      <c r="DH360" s="687"/>
      <c r="DI360" s="16"/>
      <c r="DJ360" s="687"/>
      <c r="DK360" s="16"/>
      <c r="DL360" s="687"/>
      <c r="DM360" s="16"/>
      <c r="DN360" s="687"/>
      <c r="DO360" s="16"/>
      <c r="DP360" s="687"/>
      <c r="DQ360" s="16"/>
      <c r="DR360" s="687"/>
      <c r="DS360" s="16"/>
      <c r="DT360" s="687"/>
      <c r="DU360" s="16"/>
      <c r="DV360" s="687"/>
      <c r="DW360" s="16"/>
      <c r="DX360" s="687"/>
      <c r="DY360" s="16"/>
      <c r="DZ360" s="687"/>
      <c r="EA360" s="16"/>
      <c r="EB360" s="687"/>
      <c r="EC360" s="16"/>
      <c r="ED360" s="687"/>
      <c r="EE360" s="16"/>
      <c r="EF360" s="687"/>
      <c r="EG360" s="16"/>
      <c r="EH360" s="687"/>
      <c r="EI360" s="16"/>
      <c r="EJ360" s="687"/>
      <c r="EK360" s="16"/>
      <c r="EL360" s="687"/>
      <c r="EM360" s="702"/>
    </row>
    <row r="361" spans="1:143" ht="21.95" hidden="1" customHeight="1" outlineLevel="2" x14ac:dyDescent="0.2">
      <c r="A361" s="691" t="str">
        <f>$A$1</f>
        <v>Lincoln National</v>
      </c>
      <c r="B361" s="683"/>
      <c r="C361" s="684"/>
      <c r="D361" s="683"/>
      <c r="E361" s="684"/>
      <c r="F361" s="683"/>
      <c r="G361" s="684"/>
      <c r="H361" s="683"/>
      <c r="I361" s="684"/>
      <c r="J361" s="683"/>
      <c r="K361" s="684"/>
      <c r="L361" s="683"/>
      <c r="M361" s="684"/>
      <c r="N361" s="683"/>
      <c r="O361" s="684"/>
      <c r="P361" s="683"/>
      <c r="Q361" s="684"/>
      <c r="R361" s="683"/>
      <c r="S361" s="684"/>
      <c r="T361" s="683"/>
      <c r="U361" s="684"/>
      <c r="V361" s="683"/>
      <c r="W361" s="684"/>
      <c r="X361" s="683"/>
      <c r="Y361" s="684"/>
      <c r="Z361" s="683"/>
      <c r="AA361" s="684"/>
      <c r="AB361" s="683"/>
      <c r="AC361" s="684"/>
      <c r="AD361" s="683"/>
      <c r="AE361" s="684"/>
      <c r="AF361" s="683"/>
      <c r="AG361" s="684"/>
      <c r="AH361" s="683"/>
      <c r="AI361" s="684"/>
      <c r="AJ361" s="683"/>
      <c r="AK361" s="684"/>
      <c r="AL361" s="683"/>
      <c r="AM361" s="684"/>
      <c r="AN361" s="683"/>
      <c r="AO361" s="684"/>
      <c r="AP361" s="683"/>
      <c r="AQ361" s="684"/>
      <c r="AR361" s="683"/>
      <c r="AS361" s="684"/>
      <c r="AT361" s="683"/>
      <c r="AU361" s="684"/>
      <c r="AV361" s="683"/>
      <c r="AW361" s="684"/>
      <c r="AX361" s="683"/>
      <c r="AY361" s="684"/>
      <c r="AZ361" s="683"/>
      <c r="BA361" s="684"/>
      <c r="BB361" s="683"/>
      <c r="BC361" s="684"/>
      <c r="BD361" s="683"/>
      <c r="BE361" s="684"/>
      <c r="BF361" s="683"/>
      <c r="BG361" s="684"/>
      <c r="BH361" s="683"/>
      <c r="BI361" s="684"/>
      <c r="BJ361" s="683"/>
      <c r="BK361" s="684"/>
      <c r="BL361" s="683"/>
      <c r="BM361" s="684"/>
      <c r="BN361" s="683"/>
      <c r="BO361" s="684"/>
      <c r="BP361" s="683"/>
      <c r="BQ361" s="684"/>
      <c r="BR361" s="683"/>
      <c r="BS361" s="684"/>
      <c r="BT361" s="683"/>
      <c r="BU361" s="684"/>
      <c r="BV361" s="683"/>
      <c r="BW361" s="684"/>
      <c r="BX361" s="683"/>
      <c r="BY361" s="684"/>
      <c r="BZ361" s="683"/>
      <c r="CA361" s="684"/>
      <c r="CB361" s="683"/>
      <c r="CC361" s="684"/>
      <c r="CD361" s="683"/>
      <c r="CE361" s="684"/>
      <c r="CF361" s="683"/>
      <c r="CG361" s="684"/>
      <c r="CH361" s="683"/>
      <c r="CI361" s="684"/>
      <c r="CJ361" s="683"/>
      <c r="CK361" s="684"/>
      <c r="CL361" s="683"/>
      <c r="CM361" s="684"/>
      <c r="CN361" s="683"/>
      <c r="CO361" s="684"/>
      <c r="CP361" s="683"/>
      <c r="CQ361" s="684"/>
      <c r="CR361" s="683"/>
      <c r="CS361" s="684"/>
      <c r="CT361" s="683"/>
      <c r="CU361" s="684"/>
      <c r="CV361" s="683"/>
      <c r="CW361" s="684"/>
      <c r="CX361" s="683"/>
      <c r="CY361" s="684"/>
      <c r="CZ361" s="683"/>
      <c r="DA361" s="684"/>
      <c r="DB361" s="684"/>
      <c r="DC361" s="683"/>
      <c r="DD361" s="684"/>
      <c r="DE361" s="683"/>
      <c r="DF361" s="684"/>
      <c r="DG361" s="683"/>
      <c r="DH361" s="684"/>
      <c r="DI361" s="683"/>
      <c r="DJ361" s="684"/>
      <c r="DK361" s="683"/>
      <c r="DL361" s="684"/>
      <c r="DM361" s="683"/>
      <c r="DN361" s="684"/>
      <c r="DO361" s="683"/>
      <c r="DP361" s="684"/>
      <c r="DQ361" s="683"/>
      <c r="DR361" s="684"/>
      <c r="DS361" s="683"/>
      <c r="DT361" s="684"/>
      <c r="DU361" s="683"/>
      <c r="DV361" s="684"/>
      <c r="DW361" s="683"/>
      <c r="DX361" s="684"/>
      <c r="DY361" s="683"/>
      <c r="DZ361" s="684"/>
      <c r="EA361" s="683"/>
      <c r="EB361" s="684"/>
      <c r="EC361" s="683"/>
      <c r="ED361" s="684"/>
      <c r="EE361" s="683"/>
      <c r="EF361" s="684"/>
      <c r="EG361" s="683"/>
      <c r="EH361" s="684"/>
      <c r="EI361" s="683"/>
      <c r="EJ361" s="684"/>
      <c r="EK361" s="683"/>
      <c r="EL361" s="684"/>
      <c r="EM361" s="684"/>
    </row>
    <row r="362" spans="1:143" ht="12.75" hidden="1" customHeight="1" outlineLevel="2" x14ac:dyDescent="0.2">
      <c r="A362" s="685" t="s">
        <v>439</v>
      </c>
      <c r="B362" s="4"/>
      <c r="C362" s="686"/>
      <c r="D362" s="4"/>
      <c r="E362" s="686"/>
      <c r="F362" s="4"/>
      <c r="G362" s="686"/>
      <c r="H362" s="4"/>
      <c r="I362" s="686"/>
      <c r="J362" s="4"/>
      <c r="K362" s="686"/>
      <c r="L362" s="4"/>
      <c r="M362" s="686"/>
      <c r="N362" s="4"/>
      <c r="O362" s="686"/>
      <c r="P362" s="4"/>
      <c r="Q362" s="686"/>
      <c r="R362" s="4"/>
      <c r="S362" s="686"/>
      <c r="T362" s="4"/>
      <c r="U362" s="686"/>
      <c r="V362" s="4"/>
      <c r="W362" s="686"/>
      <c r="X362" s="4"/>
      <c r="Y362" s="686"/>
      <c r="Z362" s="4"/>
      <c r="AA362" s="686"/>
      <c r="AB362" s="4"/>
      <c r="AC362" s="686"/>
      <c r="AD362" s="4"/>
      <c r="AE362" s="686"/>
      <c r="AF362" s="4"/>
      <c r="AG362" s="686"/>
      <c r="AH362" s="4"/>
      <c r="AI362" s="686"/>
      <c r="AJ362" s="4"/>
      <c r="AK362" s="686"/>
      <c r="AL362" s="4"/>
      <c r="AM362" s="686"/>
      <c r="AN362" s="4"/>
      <c r="AO362" s="686"/>
      <c r="AP362" s="4"/>
      <c r="AQ362" s="686"/>
      <c r="AR362" s="4"/>
      <c r="AS362" s="686"/>
      <c r="AT362" s="4"/>
      <c r="AU362" s="686"/>
      <c r="AV362" s="4"/>
      <c r="AW362" s="686"/>
      <c r="AX362" s="4"/>
      <c r="AY362" s="686"/>
      <c r="AZ362" s="4"/>
      <c r="BA362" s="686"/>
      <c r="BB362" s="4"/>
      <c r="BC362" s="686"/>
      <c r="BD362" s="4"/>
      <c r="BE362" s="686"/>
      <c r="BF362" s="4"/>
      <c r="BG362" s="686"/>
      <c r="BH362" s="4"/>
      <c r="BI362" s="686"/>
      <c r="BJ362" s="4"/>
      <c r="BK362" s="686"/>
      <c r="BL362" s="4"/>
      <c r="BM362" s="686"/>
      <c r="BN362" s="4"/>
      <c r="BO362" s="686"/>
      <c r="BP362" s="4"/>
      <c r="BQ362" s="686"/>
      <c r="BR362" s="4"/>
      <c r="BS362" s="686"/>
      <c r="BT362" s="4"/>
      <c r="BU362" s="686"/>
      <c r="BV362" s="4"/>
      <c r="BW362" s="686"/>
      <c r="BX362" s="4"/>
      <c r="BY362" s="686"/>
      <c r="BZ362" s="4"/>
      <c r="CA362" s="686"/>
      <c r="CB362" s="4"/>
      <c r="CC362" s="686"/>
      <c r="CD362" s="4"/>
      <c r="CE362" s="686"/>
      <c r="CF362" s="4"/>
      <c r="CG362" s="686"/>
      <c r="CH362" s="4"/>
      <c r="CI362" s="686"/>
      <c r="CJ362" s="4"/>
      <c r="CK362" s="686"/>
      <c r="CL362" s="4"/>
      <c r="CM362" s="686"/>
      <c r="CN362" s="4"/>
      <c r="CO362" s="686"/>
      <c r="CP362" s="4"/>
      <c r="CQ362" s="686"/>
      <c r="CR362" s="4"/>
      <c r="CS362" s="686"/>
      <c r="CT362" s="4"/>
      <c r="CU362" s="686"/>
      <c r="CV362" s="4"/>
      <c r="CW362" s="686"/>
      <c r="CX362" s="4"/>
      <c r="CY362" s="686"/>
      <c r="CZ362" s="4"/>
      <c r="DA362" s="686"/>
      <c r="DB362" s="686"/>
      <c r="DC362" s="4"/>
      <c r="DD362" s="686"/>
      <c r="DE362" s="4"/>
      <c r="DF362" s="686"/>
      <c r="DG362" s="4"/>
      <c r="DH362" s="686"/>
      <c r="DI362" s="4"/>
      <c r="DJ362" s="686"/>
      <c r="DK362" s="4"/>
      <c r="DL362" s="686"/>
      <c r="DM362" s="4"/>
      <c r="DN362" s="686"/>
      <c r="DO362" s="4"/>
      <c r="DP362" s="686"/>
      <c r="DQ362" s="4"/>
      <c r="DR362" s="686"/>
      <c r="DS362" s="4"/>
      <c r="DT362" s="686"/>
      <c r="DU362" s="4"/>
      <c r="DV362" s="686"/>
      <c r="DW362" s="4"/>
      <c r="DX362" s="686"/>
      <c r="DY362" s="4"/>
      <c r="DZ362" s="686"/>
      <c r="EA362" s="4"/>
      <c r="EB362" s="686"/>
      <c r="EC362" s="4"/>
      <c r="ED362" s="686"/>
      <c r="EE362" s="4"/>
      <c r="EF362" s="686"/>
      <c r="EG362" s="4"/>
      <c r="EH362" s="686"/>
      <c r="EI362" s="4"/>
      <c r="EJ362" s="686"/>
      <c r="EK362" s="4"/>
      <c r="EL362" s="686"/>
      <c r="EM362" s="686"/>
    </row>
    <row r="363" spans="1:143" ht="12.75" hidden="1" customHeight="1" outlineLevel="2" x14ac:dyDescent="0.2">
      <c r="A363" s="703" t="str">
        <f>A$3</f>
        <v>($Millions Except Per Share Data)</v>
      </c>
      <c r="B363" s="704"/>
      <c r="C363" s="705" t="str">
        <f>C$3</f>
        <v>1Q06/</v>
      </c>
      <c r="D363" s="704"/>
      <c r="E363" s="705" t="str">
        <f>E$3</f>
        <v>2Q06/</v>
      </c>
      <c r="F363" s="704"/>
      <c r="G363" s="705" t="str">
        <f>G$3</f>
        <v>3Q06/</v>
      </c>
      <c r="H363" s="704"/>
      <c r="I363" s="705" t="str">
        <f>I$3</f>
        <v>4Q06/</v>
      </c>
      <c r="J363" s="704"/>
      <c r="K363" s="705" t="str">
        <f>K$3</f>
        <v>1Q07/</v>
      </c>
      <c r="L363" s="704"/>
      <c r="M363" s="705" t="str">
        <f>M$3</f>
        <v>2Q07/</v>
      </c>
      <c r="N363" s="704"/>
      <c r="O363" s="705" t="str">
        <f>O$3</f>
        <v>3Q07/</v>
      </c>
      <c r="P363" s="704"/>
      <c r="Q363" s="705" t="str">
        <f>Q$3</f>
        <v>4Q07/</v>
      </c>
      <c r="R363" s="704"/>
      <c r="S363" s="705" t="str">
        <f>S$3</f>
        <v>1Q08/</v>
      </c>
      <c r="T363" s="704"/>
      <c r="U363" s="705" t="str">
        <f>U$3</f>
        <v>2Q08/</v>
      </c>
      <c r="V363" s="704"/>
      <c r="W363" s="705" t="str">
        <f>W$3</f>
        <v>3Q08/</v>
      </c>
      <c r="X363" s="704"/>
      <c r="Y363" s="705" t="str">
        <f>Y$3</f>
        <v>4Q08/</v>
      </c>
      <c r="Z363" s="704"/>
      <c r="AA363" s="705" t="str">
        <f>AA$3</f>
        <v>1Q09/</v>
      </c>
      <c r="AB363" s="704"/>
      <c r="AC363" s="705" t="str">
        <f>AC$3</f>
        <v>2Q09/</v>
      </c>
      <c r="AD363" s="704"/>
      <c r="AE363" s="705" t="str">
        <f>AE$3</f>
        <v>3Q09/</v>
      </c>
      <c r="AF363" s="704"/>
      <c r="AG363" s="705" t="str">
        <f>AG$3</f>
        <v>4Q09/</v>
      </c>
      <c r="AH363" s="704"/>
      <c r="AI363" s="705" t="str">
        <f>AI$3</f>
        <v>1Q10/</v>
      </c>
      <c r="AJ363" s="704"/>
      <c r="AK363" s="705" t="str">
        <f>AK$3</f>
        <v>2Q10/</v>
      </c>
      <c r="AL363" s="704"/>
      <c r="AM363" s="705" t="str">
        <f>AM$3</f>
        <v>3Q10/</v>
      </c>
      <c r="AN363" s="704"/>
      <c r="AO363" s="705" t="str">
        <f>AO$3</f>
        <v>4Q10/</v>
      </c>
      <c r="AP363" s="704"/>
      <c r="AQ363" s="705" t="str">
        <f>AQ$3</f>
        <v>1Q11/</v>
      </c>
      <c r="AR363" s="704"/>
      <c r="AS363" s="705" t="str">
        <f>AS$3</f>
        <v>2Q11/</v>
      </c>
      <c r="AT363" s="704"/>
      <c r="AU363" s="705" t="str">
        <f>AU$3</f>
        <v>3Q11/</v>
      </c>
      <c r="AV363" s="704"/>
      <c r="AW363" s="705" t="str">
        <f>AW$3</f>
        <v>4Q11/</v>
      </c>
      <c r="AX363" s="704"/>
      <c r="AY363" s="705" t="str">
        <f>AY$3</f>
        <v>1Q12/</v>
      </c>
      <c r="AZ363" s="704"/>
      <c r="BA363" s="705" t="str">
        <f>BA$3</f>
        <v>2Q12/</v>
      </c>
      <c r="BB363" s="704"/>
      <c r="BC363" s="705" t="str">
        <f>BC$3</f>
        <v>3Q12/</v>
      </c>
      <c r="BD363" s="704"/>
      <c r="BE363" s="705" t="str">
        <f>BE$3</f>
        <v>4Q12/</v>
      </c>
      <c r="BF363" s="704"/>
      <c r="BG363" s="705" t="str">
        <f>BG$3</f>
        <v>1Q13/</v>
      </c>
      <c r="BH363" s="704"/>
      <c r="BI363" s="705" t="str">
        <f>BI$3</f>
        <v>2Q13/</v>
      </c>
      <c r="BJ363" s="704"/>
      <c r="BK363" s="705" t="str">
        <f>BK$3</f>
        <v>3Q13/</v>
      </c>
      <c r="BL363" s="704"/>
      <c r="BM363" s="705" t="str">
        <f>BM$3</f>
        <v>4Q13/</v>
      </c>
      <c r="BN363" s="704"/>
      <c r="BO363" s="705" t="str">
        <f>BO$3</f>
        <v>1Q14/</v>
      </c>
      <c r="BP363" s="704"/>
      <c r="BQ363" s="705" t="str">
        <f>BQ$3</f>
        <v>2Q14/</v>
      </c>
      <c r="BR363" s="704"/>
      <c r="BS363" s="705" t="str">
        <f>BS$3</f>
        <v>3Q14/</v>
      </c>
      <c r="BT363" s="704"/>
      <c r="BU363" s="705" t="str">
        <f>BU$3</f>
        <v>4Q14/</v>
      </c>
      <c r="BV363" s="704"/>
      <c r="BW363" s="705" t="str">
        <f>BW$3</f>
        <v>1Q15/</v>
      </c>
      <c r="BX363" s="704"/>
      <c r="BY363" s="705" t="str">
        <f>BY$3</f>
        <v>2Q15/</v>
      </c>
      <c r="BZ363" s="704"/>
      <c r="CA363" s="705" t="str">
        <f>CA$3</f>
        <v>3Q15/</v>
      </c>
      <c r="CB363" s="704"/>
      <c r="CC363" s="705" t="str">
        <f>CC$3</f>
        <v>4Q15/</v>
      </c>
      <c r="CD363" s="704"/>
      <c r="CE363" s="705" t="str">
        <f>CE$3</f>
        <v>1Q16/</v>
      </c>
      <c r="CF363" s="704"/>
      <c r="CG363" s="705" t="str">
        <f>CG$3</f>
        <v>2Q16/</v>
      </c>
      <c r="CH363" s="704"/>
      <c r="CI363" s="705" t="str">
        <f>CI$3</f>
        <v>3Q16/</v>
      </c>
      <c r="CJ363" s="704"/>
      <c r="CK363" s="705" t="str">
        <f>CK$3</f>
        <v>4Q16/</v>
      </c>
      <c r="CL363" s="704"/>
      <c r="CM363" s="705" t="str">
        <f>CM$3</f>
        <v>1Q17/</v>
      </c>
      <c r="CN363" s="704"/>
      <c r="CO363" s="705" t="str">
        <f t="shared" ref="CO363" si="171">CO$3</f>
        <v>2Q17/</v>
      </c>
      <c r="CP363" s="704"/>
      <c r="CQ363" s="705" t="str">
        <f t="shared" ref="CQ363" si="172">CQ$3</f>
        <v>3Q17/</v>
      </c>
      <c r="CR363" s="704"/>
      <c r="CS363" s="705" t="str">
        <f t="shared" ref="CS363" si="173">CS$3</f>
        <v>4Q17/</v>
      </c>
      <c r="CT363" s="704"/>
      <c r="CU363" s="705" t="str">
        <f>CU$3</f>
        <v>1Q18E/</v>
      </c>
      <c r="CV363" s="704"/>
      <c r="CW363" s="705" t="str">
        <f t="shared" ref="CW363" si="174">CW$3</f>
        <v>2Q18E/</v>
      </c>
      <c r="CX363" s="704"/>
      <c r="CY363" s="705" t="str">
        <f t="shared" ref="CY363" si="175">CY$3</f>
        <v>3Q18E/</v>
      </c>
      <c r="CZ363" s="704"/>
      <c r="DA363" s="705" t="str">
        <f t="shared" ref="DA363" si="176">DA$3</f>
        <v>4Q18E/</v>
      </c>
      <c r="DB363" s="704"/>
      <c r="DC363" s="704"/>
      <c r="DD363" s="705" t="str">
        <f>DD$3</f>
        <v>2005/</v>
      </c>
      <c r="DE363" s="704"/>
      <c r="DF363" s="705" t="str">
        <f>DF$3</f>
        <v>2006/</v>
      </c>
      <c r="DG363" s="704"/>
      <c r="DH363" s="705" t="str">
        <f>DH$3</f>
        <v>2007/</v>
      </c>
      <c r="DI363" s="704"/>
      <c r="DJ363" s="705" t="str">
        <f>DJ$3</f>
        <v>2008/</v>
      </c>
      <c r="DK363" s="704"/>
      <c r="DL363" s="705" t="str">
        <f>DL$3</f>
        <v>2009/</v>
      </c>
      <c r="DM363" s="704"/>
      <c r="DN363" s="705" t="str">
        <f>DN$3</f>
        <v>2010/</v>
      </c>
      <c r="DO363" s="704"/>
      <c r="DP363" s="705" t="str">
        <f>DP$3</f>
        <v>2011/</v>
      </c>
      <c r="DQ363" s="704"/>
      <c r="DR363" s="705" t="str">
        <f>DR$3</f>
        <v>2012/</v>
      </c>
      <c r="DS363" s="704"/>
      <c r="DT363" s="705" t="str">
        <f>DT$3</f>
        <v>2013/</v>
      </c>
      <c r="DU363" s="704"/>
      <c r="DV363" s="705" t="str">
        <f>DV$3</f>
        <v>2014/</v>
      </c>
      <c r="DW363" s="704"/>
      <c r="DX363" s="705" t="str">
        <f>DX$3</f>
        <v>2015/</v>
      </c>
      <c r="DY363" s="704"/>
      <c r="DZ363" s="705" t="str">
        <f>DZ$3</f>
        <v>2016/</v>
      </c>
      <c r="EA363" s="704"/>
      <c r="EB363" s="705" t="str">
        <f>EB$3</f>
        <v>2017/</v>
      </c>
      <c r="EC363" s="704"/>
      <c r="ED363" s="705" t="str">
        <f>ED$3</f>
        <v>2018E/</v>
      </c>
      <c r="EE363" s="704"/>
      <c r="EF363" s="705" t="str">
        <f>EF$3</f>
        <v>2019E/</v>
      </c>
      <c r="EG363" s="704"/>
      <c r="EH363" s="705" t="str">
        <f>EH$3</f>
        <v>2020E/</v>
      </c>
      <c r="EI363" s="704"/>
      <c r="EJ363" s="705" t="str">
        <f>EJ$3</f>
        <v>2021E/</v>
      </c>
      <c r="EK363" s="704"/>
      <c r="EL363" s="705" t="str">
        <f>EL$3</f>
        <v>2022E/</v>
      </c>
      <c r="EM363" s="705" t="str">
        <f>EM$3</f>
        <v>5-Yr</v>
      </c>
    </row>
    <row r="364" spans="1:143" ht="12.75" hidden="1" customHeight="1" outlineLevel="2" x14ac:dyDescent="0.2">
      <c r="A364" s="693"/>
      <c r="B364" s="692"/>
      <c r="C364" s="686" t="str">
        <f>C$4</f>
        <v>1Q05</v>
      </c>
      <c r="D364" s="692"/>
      <c r="E364" s="686" t="str">
        <f>E$4</f>
        <v>2Q05</v>
      </c>
      <c r="F364" s="692"/>
      <c r="G364" s="686" t="str">
        <f>G$4</f>
        <v>3Q05</v>
      </c>
      <c r="H364" s="692"/>
      <c r="I364" s="686" t="str">
        <f>I$4</f>
        <v>4Q05</v>
      </c>
      <c r="J364" s="692"/>
      <c r="K364" s="686" t="str">
        <f>K$4</f>
        <v>1Q06</v>
      </c>
      <c r="L364" s="692"/>
      <c r="M364" s="686" t="str">
        <f>M$4</f>
        <v>2Q06</v>
      </c>
      <c r="N364" s="692"/>
      <c r="O364" s="686" t="str">
        <f>O$4</f>
        <v>3Q06</v>
      </c>
      <c r="P364" s="692"/>
      <c r="Q364" s="686" t="str">
        <f>Q$4</f>
        <v>4Q06</v>
      </c>
      <c r="R364" s="692"/>
      <c r="S364" s="686" t="str">
        <f>S$4</f>
        <v>1Q07</v>
      </c>
      <c r="T364" s="692"/>
      <c r="U364" s="686" t="str">
        <f>U$4</f>
        <v>2Q07</v>
      </c>
      <c r="V364" s="692"/>
      <c r="W364" s="686" t="str">
        <f>W$4</f>
        <v>3Q07</v>
      </c>
      <c r="X364" s="692"/>
      <c r="Y364" s="686" t="str">
        <f>Y$4</f>
        <v>4Q07</v>
      </c>
      <c r="Z364" s="692"/>
      <c r="AA364" s="686" t="str">
        <f>AA$4</f>
        <v>1Q08</v>
      </c>
      <c r="AB364" s="692"/>
      <c r="AC364" s="686" t="str">
        <f>AC$4</f>
        <v>2Q08</v>
      </c>
      <c r="AD364" s="692"/>
      <c r="AE364" s="686" t="str">
        <f>AE$4</f>
        <v>3Q08</v>
      </c>
      <c r="AF364" s="692"/>
      <c r="AG364" s="686" t="str">
        <f>AG$4</f>
        <v>4Q08</v>
      </c>
      <c r="AH364" s="692"/>
      <c r="AI364" s="686" t="str">
        <f>AI$4</f>
        <v>1Q09</v>
      </c>
      <c r="AJ364" s="692"/>
      <c r="AK364" s="686" t="str">
        <f>AK$4</f>
        <v>2Q09</v>
      </c>
      <c r="AL364" s="692"/>
      <c r="AM364" s="686" t="str">
        <f>AM$4</f>
        <v>3Q09</v>
      </c>
      <c r="AN364" s="692"/>
      <c r="AO364" s="686" t="str">
        <f>AO$4</f>
        <v>4Q09</v>
      </c>
      <c r="AP364" s="692"/>
      <c r="AQ364" s="686" t="str">
        <f>AQ$4</f>
        <v>1Q10</v>
      </c>
      <c r="AR364" s="692"/>
      <c r="AS364" s="686" t="str">
        <f>AS$4</f>
        <v>2Q10</v>
      </c>
      <c r="AT364" s="692"/>
      <c r="AU364" s="686" t="str">
        <f>AU$4</f>
        <v>3Q10</v>
      </c>
      <c r="AV364" s="692"/>
      <c r="AW364" s="686" t="str">
        <f>AW$4</f>
        <v>4Q10</v>
      </c>
      <c r="AX364" s="692"/>
      <c r="AY364" s="686" t="str">
        <f>AY$4</f>
        <v>1Q11</v>
      </c>
      <c r="AZ364" s="692"/>
      <c r="BA364" s="686" t="str">
        <f>BA$4</f>
        <v>2Q11</v>
      </c>
      <c r="BB364" s="692"/>
      <c r="BC364" s="686" t="str">
        <f>BC$4</f>
        <v>3Q11</v>
      </c>
      <c r="BD364" s="692"/>
      <c r="BE364" s="686" t="str">
        <f>BE$4</f>
        <v>4Q11</v>
      </c>
      <c r="BF364" s="692"/>
      <c r="BG364" s="686" t="str">
        <f>BG$4</f>
        <v>1Q12</v>
      </c>
      <c r="BH364" s="692"/>
      <c r="BI364" s="686" t="str">
        <f>BI$4</f>
        <v>2Q12</v>
      </c>
      <c r="BJ364" s="692"/>
      <c r="BK364" s="686" t="str">
        <f>BK$4</f>
        <v>3Q12</v>
      </c>
      <c r="BL364" s="692"/>
      <c r="BM364" s="686" t="str">
        <f>BM$4</f>
        <v>4Q12</v>
      </c>
      <c r="BN364" s="692"/>
      <c r="BO364" s="686" t="str">
        <f>BO$4</f>
        <v>1Q13</v>
      </c>
      <c r="BP364" s="692"/>
      <c r="BQ364" s="686" t="str">
        <f>BQ$4</f>
        <v>2Q13</v>
      </c>
      <c r="BR364" s="692"/>
      <c r="BS364" s="686" t="str">
        <f>BS$4</f>
        <v>3Q13</v>
      </c>
      <c r="BT364" s="692"/>
      <c r="BU364" s="686" t="str">
        <f>BU$4</f>
        <v>4Q13</v>
      </c>
      <c r="BV364" s="692"/>
      <c r="BW364" s="686" t="str">
        <f>BW$4</f>
        <v>1Q14</v>
      </c>
      <c r="BX364" s="692"/>
      <c r="BY364" s="686" t="str">
        <f>BY$4</f>
        <v>2Q14</v>
      </c>
      <c r="BZ364" s="692"/>
      <c r="CA364" s="686" t="str">
        <f>CA$4</f>
        <v>3Q14</v>
      </c>
      <c r="CB364" s="692"/>
      <c r="CC364" s="686" t="str">
        <f>CC$4</f>
        <v>4Q14</v>
      </c>
      <c r="CD364" s="692"/>
      <c r="CE364" s="686" t="str">
        <f>CE$4</f>
        <v>1Q15</v>
      </c>
      <c r="CF364" s="692"/>
      <c r="CG364" s="686" t="str">
        <f>CG$4</f>
        <v>2Q15</v>
      </c>
      <c r="CH364" s="692"/>
      <c r="CI364" s="686" t="str">
        <f>CI$4</f>
        <v>3Q15</v>
      </c>
      <c r="CJ364" s="692"/>
      <c r="CK364" s="686" t="str">
        <f>CK$4</f>
        <v>4Q15</v>
      </c>
      <c r="CL364" s="692"/>
      <c r="CM364" s="686" t="str">
        <f>CM$4</f>
        <v>1Q16</v>
      </c>
      <c r="CN364" s="692"/>
      <c r="CO364" s="686" t="str">
        <f t="shared" ref="CO364" si="177">CO$4</f>
        <v>2Q16</v>
      </c>
      <c r="CP364" s="692"/>
      <c r="CQ364" s="686" t="str">
        <f t="shared" ref="CQ364" si="178">CQ$4</f>
        <v>3Q16</v>
      </c>
      <c r="CR364" s="692"/>
      <c r="CS364" s="686" t="str">
        <f t="shared" ref="CS364" si="179">CS$4</f>
        <v>4Q16</v>
      </c>
      <c r="CT364" s="692"/>
      <c r="CU364" s="686" t="str">
        <f>CU$4</f>
        <v>1Q17</v>
      </c>
      <c r="CV364" s="692"/>
      <c r="CW364" s="686" t="str">
        <f t="shared" ref="CW364" si="180">CW$4</f>
        <v>2Q17</v>
      </c>
      <c r="CX364" s="692"/>
      <c r="CY364" s="686" t="str">
        <f t="shared" ref="CY364" si="181">CY$4</f>
        <v>3Q17</v>
      </c>
      <c r="CZ364" s="692"/>
      <c r="DA364" s="686" t="str">
        <f t="shared" ref="DA364" si="182">DA$4</f>
        <v>4Q17</v>
      </c>
      <c r="DB364" s="692"/>
      <c r="DC364" s="692"/>
      <c r="DD364" s="686">
        <f>DD$4</f>
        <v>2004</v>
      </c>
      <c r="DE364" s="692"/>
      <c r="DF364" s="686">
        <f>DF$4</f>
        <v>2005</v>
      </c>
      <c r="DG364" s="692"/>
      <c r="DH364" s="686">
        <f>DH$4</f>
        <v>2006</v>
      </c>
      <c r="DI364" s="692"/>
      <c r="DJ364" s="686">
        <f>DJ$4</f>
        <v>2007</v>
      </c>
      <c r="DK364" s="692"/>
      <c r="DL364" s="686">
        <f>DL$4</f>
        <v>2008</v>
      </c>
      <c r="DM364" s="692"/>
      <c r="DN364" s="686" t="str">
        <f>DN$4</f>
        <v>2009</v>
      </c>
      <c r="DO364" s="692"/>
      <c r="DP364" s="686" t="str">
        <f>DP$4</f>
        <v>2010</v>
      </c>
      <c r="DQ364" s="692"/>
      <c r="DR364" s="686" t="str">
        <f>DR$4</f>
        <v>2011</v>
      </c>
      <c r="DS364" s="692"/>
      <c r="DT364" s="686" t="str">
        <f>DT$4</f>
        <v>2012</v>
      </c>
      <c r="DU364" s="692"/>
      <c r="DV364" s="686" t="str">
        <f>DV$4</f>
        <v>2013</v>
      </c>
      <c r="DW364" s="692"/>
      <c r="DX364" s="686" t="str">
        <f>DX$4</f>
        <v>2014</v>
      </c>
      <c r="DY364" s="692"/>
      <c r="DZ364" s="686" t="str">
        <f>DZ$4</f>
        <v>2015</v>
      </c>
      <c r="EA364" s="692"/>
      <c r="EB364" s="686" t="str">
        <f>EB$4</f>
        <v>2016</v>
      </c>
      <c r="EC364" s="692"/>
      <c r="ED364" s="686" t="str">
        <f>ED$4</f>
        <v>2017</v>
      </c>
      <c r="EE364" s="692"/>
      <c r="EF364" s="686" t="str">
        <f>EF$4</f>
        <v>2018E</v>
      </c>
      <c r="EG364" s="692"/>
      <c r="EH364" s="686" t="str">
        <f>EH$4</f>
        <v>2019E</v>
      </c>
      <c r="EI364" s="692"/>
      <c r="EJ364" s="686" t="str">
        <f>EJ$4</f>
        <v>2020E</v>
      </c>
      <c r="EK364" s="692"/>
      <c r="EL364" s="686" t="str">
        <f>EL$4</f>
        <v>2021E</v>
      </c>
      <c r="EM364" s="686" t="str">
        <f>EM$4</f>
        <v>CAGR</v>
      </c>
    </row>
    <row r="365" spans="1:143" ht="12.75" hidden="1" customHeight="1" outlineLevel="2" x14ac:dyDescent="0.2">
      <c r="A365" s="694"/>
      <c r="B365" s="695" t="str">
        <f t="shared" ref="B365:BN365" si="183">B$5</f>
        <v>1Q06</v>
      </c>
      <c r="C365" s="696" t="str">
        <f t="shared" si="183"/>
        <v>% Chg</v>
      </c>
      <c r="D365" s="695" t="str">
        <f t="shared" si="183"/>
        <v>2Q06</v>
      </c>
      <c r="E365" s="696" t="str">
        <f t="shared" si="183"/>
        <v>% Chg</v>
      </c>
      <c r="F365" s="695" t="str">
        <f t="shared" si="183"/>
        <v>3Q06</v>
      </c>
      <c r="G365" s="696" t="str">
        <f t="shared" si="183"/>
        <v>% Chg</v>
      </c>
      <c r="H365" s="695" t="str">
        <f t="shared" si="183"/>
        <v>4Q06</v>
      </c>
      <c r="I365" s="696" t="str">
        <f t="shared" si="183"/>
        <v>% Chg</v>
      </c>
      <c r="J365" s="695" t="str">
        <f t="shared" si="183"/>
        <v>1Q07</v>
      </c>
      <c r="K365" s="696" t="str">
        <f t="shared" si="183"/>
        <v>% Chg</v>
      </c>
      <c r="L365" s="695" t="str">
        <f t="shared" si="183"/>
        <v>2Q07</v>
      </c>
      <c r="M365" s="696" t="str">
        <f t="shared" si="183"/>
        <v>% Chg</v>
      </c>
      <c r="N365" s="695" t="str">
        <f t="shared" si="183"/>
        <v>3Q07</v>
      </c>
      <c r="O365" s="696" t="str">
        <f t="shared" si="183"/>
        <v>% Chg</v>
      </c>
      <c r="P365" s="695" t="str">
        <f t="shared" si="183"/>
        <v>4Q07</v>
      </c>
      <c r="Q365" s="696" t="str">
        <f t="shared" si="183"/>
        <v>% Chg</v>
      </c>
      <c r="R365" s="695" t="str">
        <f t="shared" si="183"/>
        <v>1Q08</v>
      </c>
      <c r="S365" s="696" t="str">
        <f t="shared" si="183"/>
        <v>% Chg</v>
      </c>
      <c r="T365" s="695" t="str">
        <f t="shared" si="183"/>
        <v>2Q08</v>
      </c>
      <c r="U365" s="696" t="str">
        <f t="shared" si="183"/>
        <v>% Chg</v>
      </c>
      <c r="V365" s="695" t="str">
        <f t="shared" si="183"/>
        <v>3Q08</v>
      </c>
      <c r="W365" s="696" t="str">
        <f t="shared" si="183"/>
        <v>% Chg</v>
      </c>
      <c r="X365" s="695" t="str">
        <f t="shared" si="183"/>
        <v>4Q08</v>
      </c>
      <c r="Y365" s="696" t="str">
        <f t="shared" si="183"/>
        <v>% Chg</v>
      </c>
      <c r="Z365" s="695" t="str">
        <f t="shared" si="183"/>
        <v>1Q09</v>
      </c>
      <c r="AA365" s="696" t="str">
        <f t="shared" si="183"/>
        <v>% Chg</v>
      </c>
      <c r="AB365" s="695" t="str">
        <f t="shared" si="183"/>
        <v>2Q09</v>
      </c>
      <c r="AC365" s="696" t="str">
        <f t="shared" si="183"/>
        <v>% Chg</v>
      </c>
      <c r="AD365" s="695" t="str">
        <f t="shared" si="183"/>
        <v>3Q09</v>
      </c>
      <c r="AE365" s="696" t="str">
        <f t="shared" si="183"/>
        <v>% Chg</v>
      </c>
      <c r="AF365" s="695" t="str">
        <f t="shared" si="183"/>
        <v>4Q09</v>
      </c>
      <c r="AG365" s="696" t="str">
        <f t="shared" si="183"/>
        <v>% Chg</v>
      </c>
      <c r="AH365" s="695" t="str">
        <f t="shared" si="183"/>
        <v>1Q10</v>
      </c>
      <c r="AI365" s="696" t="str">
        <f t="shared" si="183"/>
        <v>% Chg</v>
      </c>
      <c r="AJ365" s="695" t="str">
        <f t="shared" si="183"/>
        <v>2Q10</v>
      </c>
      <c r="AK365" s="696" t="str">
        <f t="shared" si="183"/>
        <v>% Chg</v>
      </c>
      <c r="AL365" s="695" t="str">
        <f t="shared" si="183"/>
        <v>3Q10</v>
      </c>
      <c r="AM365" s="696" t="str">
        <f t="shared" si="183"/>
        <v>% Chg</v>
      </c>
      <c r="AN365" s="695" t="str">
        <f t="shared" si="183"/>
        <v>4Q10</v>
      </c>
      <c r="AO365" s="696" t="str">
        <f t="shared" si="183"/>
        <v>% Chg</v>
      </c>
      <c r="AP365" s="695" t="str">
        <f t="shared" si="183"/>
        <v>1Q11</v>
      </c>
      <c r="AQ365" s="696" t="str">
        <f t="shared" si="183"/>
        <v>% Chg</v>
      </c>
      <c r="AR365" s="695" t="str">
        <f t="shared" si="183"/>
        <v>2Q11</v>
      </c>
      <c r="AS365" s="696" t="str">
        <f t="shared" si="183"/>
        <v>% Chg</v>
      </c>
      <c r="AT365" s="695" t="str">
        <f t="shared" si="183"/>
        <v>3Q11</v>
      </c>
      <c r="AU365" s="696" t="str">
        <f t="shared" si="183"/>
        <v>% Chg</v>
      </c>
      <c r="AV365" s="695" t="str">
        <f t="shared" si="183"/>
        <v>4Q11</v>
      </c>
      <c r="AW365" s="696" t="str">
        <f t="shared" si="183"/>
        <v>% Chg</v>
      </c>
      <c r="AX365" s="695" t="str">
        <f t="shared" si="183"/>
        <v>1Q12</v>
      </c>
      <c r="AY365" s="696" t="str">
        <f t="shared" si="183"/>
        <v>% Chg</v>
      </c>
      <c r="AZ365" s="695" t="str">
        <f t="shared" si="183"/>
        <v>2Q12</v>
      </c>
      <c r="BA365" s="696" t="str">
        <f t="shared" si="183"/>
        <v>% Chg</v>
      </c>
      <c r="BB365" s="695" t="str">
        <f t="shared" si="183"/>
        <v>3Q12</v>
      </c>
      <c r="BC365" s="696" t="str">
        <f t="shared" si="183"/>
        <v>% Chg</v>
      </c>
      <c r="BD365" s="695" t="str">
        <f t="shared" si="183"/>
        <v>4Q12</v>
      </c>
      <c r="BE365" s="696" t="str">
        <f t="shared" si="183"/>
        <v>% Chg</v>
      </c>
      <c r="BF365" s="695" t="str">
        <f t="shared" si="183"/>
        <v>1Q13</v>
      </c>
      <c r="BG365" s="696" t="str">
        <f t="shared" si="183"/>
        <v>% Chg</v>
      </c>
      <c r="BH365" s="695" t="str">
        <f t="shared" si="183"/>
        <v>2Q13</v>
      </c>
      <c r="BI365" s="696" t="str">
        <f t="shared" si="183"/>
        <v>% Chg</v>
      </c>
      <c r="BJ365" s="695" t="str">
        <f t="shared" si="183"/>
        <v>3Q13</v>
      </c>
      <c r="BK365" s="696" t="str">
        <f t="shared" si="183"/>
        <v>% Chg</v>
      </c>
      <c r="BL365" s="695" t="str">
        <f t="shared" si="183"/>
        <v>4Q13</v>
      </c>
      <c r="BM365" s="696" t="str">
        <f t="shared" si="183"/>
        <v>% Chg</v>
      </c>
      <c r="BN365" s="695" t="str">
        <f t="shared" si="183"/>
        <v>1Q14</v>
      </c>
      <c r="BO365" s="696" t="str">
        <f t="shared" ref="BO365:DA365" si="184">BO$5</f>
        <v>% Chg</v>
      </c>
      <c r="BP365" s="695" t="str">
        <f t="shared" si="184"/>
        <v>2Q14</v>
      </c>
      <c r="BQ365" s="696" t="str">
        <f t="shared" si="184"/>
        <v>% Chg</v>
      </c>
      <c r="BR365" s="695" t="str">
        <f t="shared" si="184"/>
        <v>3Q14</v>
      </c>
      <c r="BS365" s="696" t="str">
        <f t="shared" si="184"/>
        <v>% Chg</v>
      </c>
      <c r="BT365" s="695" t="str">
        <f t="shared" si="184"/>
        <v>4Q14</v>
      </c>
      <c r="BU365" s="696" t="str">
        <f t="shared" si="184"/>
        <v>% Chg</v>
      </c>
      <c r="BV365" s="695" t="str">
        <f t="shared" si="184"/>
        <v>1Q15</v>
      </c>
      <c r="BW365" s="696" t="str">
        <f t="shared" si="184"/>
        <v>% Chg</v>
      </c>
      <c r="BX365" s="695" t="str">
        <f t="shared" si="184"/>
        <v>2Q15</v>
      </c>
      <c r="BY365" s="696" t="str">
        <f t="shared" si="184"/>
        <v>% Chg</v>
      </c>
      <c r="BZ365" s="695" t="str">
        <f t="shared" si="184"/>
        <v>3Q15</v>
      </c>
      <c r="CA365" s="696" t="str">
        <f t="shared" si="184"/>
        <v>% Chg</v>
      </c>
      <c r="CB365" s="695" t="str">
        <f t="shared" si="184"/>
        <v>4Q15</v>
      </c>
      <c r="CC365" s="696" t="str">
        <f t="shared" si="184"/>
        <v>% Chg</v>
      </c>
      <c r="CD365" s="695" t="str">
        <f t="shared" si="184"/>
        <v>1Q16</v>
      </c>
      <c r="CE365" s="696" t="str">
        <f t="shared" si="184"/>
        <v>% Chg</v>
      </c>
      <c r="CF365" s="695" t="str">
        <f t="shared" si="184"/>
        <v>2Q16</v>
      </c>
      <c r="CG365" s="696" t="str">
        <f t="shared" si="184"/>
        <v>% Chg</v>
      </c>
      <c r="CH365" s="695" t="str">
        <f t="shared" si="184"/>
        <v>3Q16</v>
      </c>
      <c r="CI365" s="696" t="str">
        <f t="shared" si="184"/>
        <v>% Chg</v>
      </c>
      <c r="CJ365" s="695" t="str">
        <f t="shared" si="184"/>
        <v>4Q16</v>
      </c>
      <c r="CK365" s="696" t="str">
        <f t="shared" si="184"/>
        <v>% Chg</v>
      </c>
      <c r="CL365" s="695" t="str">
        <f t="shared" si="184"/>
        <v>1Q17</v>
      </c>
      <c r="CM365" s="696" t="str">
        <f t="shared" si="184"/>
        <v>% Chg</v>
      </c>
      <c r="CN365" s="695" t="str">
        <f t="shared" si="184"/>
        <v>2Q17</v>
      </c>
      <c r="CO365" s="696" t="str">
        <f t="shared" si="184"/>
        <v>% Chg</v>
      </c>
      <c r="CP365" s="695" t="str">
        <f t="shared" si="184"/>
        <v>3Q17</v>
      </c>
      <c r="CQ365" s="696" t="str">
        <f t="shared" si="184"/>
        <v>% Chg</v>
      </c>
      <c r="CR365" s="695" t="str">
        <f t="shared" si="184"/>
        <v>4Q17</v>
      </c>
      <c r="CS365" s="696" t="str">
        <f t="shared" si="184"/>
        <v>% Chg</v>
      </c>
      <c r="CT365" s="695" t="str">
        <f t="shared" si="184"/>
        <v>1Q18E</v>
      </c>
      <c r="CU365" s="696" t="str">
        <f t="shared" si="184"/>
        <v>% Chg</v>
      </c>
      <c r="CV365" s="695" t="str">
        <f t="shared" si="184"/>
        <v>2Q18E</v>
      </c>
      <c r="CW365" s="696" t="str">
        <f t="shared" si="184"/>
        <v>% Chg</v>
      </c>
      <c r="CX365" s="695" t="str">
        <f t="shared" si="184"/>
        <v>3Q18E</v>
      </c>
      <c r="CY365" s="696" t="str">
        <f t="shared" si="184"/>
        <v>% Chg</v>
      </c>
      <c r="CZ365" s="695" t="str">
        <f t="shared" si="184"/>
        <v>4Q18E</v>
      </c>
      <c r="DA365" s="696" t="str">
        <f t="shared" si="184"/>
        <v>% Chg</v>
      </c>
      <c r="DB365" s="695"/>
      <c r="DC365" s="697">
        <f t="shared" ref="DC365:EM365" si="185">DC$5</f>
        <v>2005</v>
      </c>
      <c r="DD365" s="696" t="str">
        <f t="shared" si="185"/>
        <v>% Chg</v>
      </c>
      <c r="DE365" s="698">
        <f>$DE$5</f>
        <v>2006</v>
      </c>
      <c r="DF365" s="696" t="str">
        <f>INPUT!FS$6</f>
        <v>% Chg</v>
      </c>
      <c r="DG365" s="699">
        <f>$DG$5</f>
        <v>2007</v>
      </c>
      <c r="DH365" s="696" t="str">
        <f t="shared" si="185"/>
        <v>% Chg</v>
      </c>
      <c r="DI365" s="699">
        <f t="shared" si="185"/>
        <v>2008</v>
      </c>
      <c r="DJ365" s="696" t="str">
        <f t="shared" si="185"/>
        <v>% Chg</v>
      </c>
      <c r="DK365" s="695" t="str">
        <f t="shared" si="185"/>
        <v>2009</v>
      </c>
      <c r="DL365" s="696" t="str">
        <f t="shared" si="185"/>
        <v>% Chg</v>
      </c>
      <c r="DM365" s="695" t="str">
        <f t="shared" si="185"/>
        <v>2010</v>
      </c>
      <c r="DN365" s="696" t="str">
        <f t="shared" si="185"/>
        <v>% Chg</v>
      </c>
      <c r="DO365" s="695" t="str">
        <f t="shared" si="185"/>
        <v>2011</v>
      </c>
      <c r="DP365" s="696" t="str">
        <f t="shared" si="185"/>
        <v>% Chg</v>
      </c>
      <c r="DQ365" s="695" t="str">
        <f t="shared" si="185"/>
        <v>2012</v>
      </c>
      <c r="DR365" s="696" t="str">
        <f t="shared" si="185"/>
        <v>% Chg</v>
      </c>
      <c r="DS365" s="695" t="str">
        <f t="shared" si="185"/>
        <v>2013</v>
      </c>
      <c r="DT365" s="696" t="str">
        <f t="shared" si="185"/>
        <v>% Chg</v>
      </c>
      <c r="DU365" s="695" t="str">
        <f t="shared" si="185"/>
        <v>2014</v>
      </c>
      <c r="DV365" s="696" t="str">
        <f t="shared" si="185"/>
        <v>% Chg</v>
      </c>
      <c r="DW365" s="695" t="str">
        <f t="shared" si="185"/>
        <v>2015</v>
      </c>
      <c r="DX365" s="696" t="str">
        <f t="shared" si="185"/>
        <v>% Chg</v>
      </c>
      <c r="DY365" s="695" t="str">
        <f t="shared" si="185"/>
        <v>2016</v>
      </c>
      <c r="DZ365" s="696" t="str">
        <f t="shared" si="185"/>
        <v>% Chg</v>
      </c>
      <c r="EA365" s="695" t="str">
        <f t="shared" si="185"/>
        <v>2017</v>
      </c>
      <c r="EB365" s="696" t="str">
        <f t="shared" si="185"/>
        <v>% Chg</v>
      </c>
      <c r="EC365" s="695" t="str">
        <f t="shared" si="185"/>
        <v>2018E</v>
      </c>
      <c r="ED365" s="696" t="str">
        <f t="shared" si="185"/>
        <v>% Chg</v>
      </c>
      <c r="EE365" s="695" t="str">
        <f t="shared" si="185"/>
        <v>2019E</v>
      </c>
      <c r="EF365" s="696" t="str">
        <f t="shared" si="185"/>
        <v>% Chg</v>
      </c>
      <c r="EG365" s="695" t="str">
        <f t="shared" si="185"/>
        <v>2020E</v>
      </c>
      <c r="EH365" s="696" t="str">
        <f t="shared" si="185"/>
        <v>% Chg</v>
      </c>
      <c r="EI365" s="695" t="str">
        <f t="shared" si="185"/>
        <v>2021E</v>
      </c>
      <c r="EJ365" s="696" t="str">
        <f t="shared" si="185"/>
        <v>% Chg</v>
      </c>
      <c r="EK365" s="695" t="str">
        <f t="shared" si="185"/>
        <v>2022E</v>
      </c>
      <c r="EL365" s="696" t="str">
        <f t="shared" si="185"/>
        <v>% Chg</v>
      </c>
      <c r="EM365" s="696" t="str">
        <f t="shared" si="185"/>
        <v>(%)</v>
      </c>
    </row>
    <row r="366" spans="1:143" ht="12.75" hidden="1" customHeight="1" outlineLevel="2" x14ac:dyDescent="0.2">
      <c r="A366" s="700"/>
      <c r="B366" s="16"/>
      <c r="C366" s="687"/>
      <c r="D366" s="16"/>
      <c r="E366" s="687"/>
      <c r="F366" s="16"/>
      <c r="G366" s="687"/>
      <c r="H366" s="16"/>
      <c r="I366" s="687"/>
      <c r="J366" s="16"/>
      <c r="K366" s="687"/>
      <c r="L366" s="16"/>
      <c r="M366" s="687"/>
      <c r="N366" s="16"/>
      <c r="O366" s="687"/>
      <c r="P366" s="16"/>
      <c r="Q366" s="687"/>
      <c r="R366" s="16"/>
      <c r="S366" s="687"/>
      <c r="T366" s="16"/>
      <c r="U366" s="687"/>
      <c r="V366" s="16"/>
      <c r="W366" s="687"/>
      <c r="X366" s="16"/>
      <c r="Y366" s="687"/>
      <c r="Z366" s="16"/>
      <c r="AA366" s="687"/>
      <c r="AB366" s="16"/>
      <c r="AC366" s="687"/>
      <c r="AD366" s="16"/>
      <c r="AE366" s="687"/>
      <c r="AF366" s="16"/>
      <c r="AG366" s="687"/>
      <c r="AH366" s="16"/>
      <c r="AI366" s="687"/>
      <c r="AJ366" s="16"/>
      <c r="AK366" s="687"/>
      <c r="AL366" s="16"/>
      <c r="AM366" s="687"/>
      <c r="AN366" s="16"/>
      <c r="AO366" s="687"/>
      <c r="AP366" s="16"/>
      <c r="AQ366" s="687"/>
      <c r="AR366" s="16"/>
      <c r="AS366" s="687"/>
      <c r="AT366" s="16"/>
      <c r="AU366" s="687"/>
      <c r="AV366" s="16"/>
      <c r="AW366" s="687"/>
      <c r="AX366" s="16"/>
      <c r="AY366" s="687"/>
      <c r="AZ366" s="16"/>
      <c r="BA366" s="687"/>
      <c r="BB366" s="16"/>
      <c r="BC366" s="687"/>
      <c r="BD366" s="16"/>
      <c r="BE366" s="687"/>
      <c r="BF366" s="16"/>
      <c r="BG366" s="687"/>
      <c r="BH366" s="16"/>
      <c r="BI366" s="687"/>
      <c r="BJ366" s="16"/>
      <c r="BK366" s="687"/>
      <c r="BL366" s="16"/>
      <c r="BM366" s="687"/>
      <c r="BN366" s="16"/>
      <c r="BO366" s="687"/>
      <c r="BP366" s="16"/>
      <c r="BQ366" s="687"/>
      <c r="BR366" s="16"/>
      <c r="BS366" s="687"/>
      <c r="BT366" s="16"/>
      <c r="BU366" s="687"/>
      <c r="BV366" s="16"/>
      <c r="BW366" s="687"/>
      <c r="BX366" s="16"/>
      <c r="BY366" s="687"/>
      <c r="BZ366" s="16"/>
      <c r="CA366" s="687"/>
      <c r="CB366" s="16"/>
      <c r="CC366" s="687"/>
      <c r="CD366" s="16"/>
      <c r="CE366" s="687"/>
      <c r="CF366" s="16"/>
      <c r="CG366" s="687"/>
      <c r="CH366" s="16"/>
      <c r="CI366" s="687"/>
      <c r="CJ366" s="16"/>
      <c r="CK366" s="687"/>
      <c r="CL366" s="16"/>
      <c r="CM366" s="687"/>
      <c r="CN366" s="16"/>
      <c r="CO366" s="687"/>
      <c r="CP366" s="16"/>
      <c r="CQ366" s="687"/>
      <c r="CR366" s="16"/>
      <c r="CS366" s="687"/>
      <c r="CT366" s="16"/>
      <c r="CU366" s="687"/>
      <c r="CV366" s="16"/>
      <c r="CW366" s="687"/>
      <c r="CX366" s="16"/>
      <c r="CY366" s="687"/>
      <c r="CZ366" s="16"/>
      <c r="DA366" s="687"/>
      <c r="DB366" s="16"/>
      <c r="DC366" s="16"/>
      <c r="DD366" s="687"/>
      <c r="DE366" s="16"/>
      <c r="DF366" s="687"/>
      <c r="DG366" s="16"/>
      <c r="DH366" s="687"/>
      <c r="DI366" s="16"/>
      <c r="DJ366" s="687"/>
      <c r="DK366" s="16"/>
      <c r="DL366" s="687"/>
      <c r="DM366" s="16"/>
      <c r="DN366" s="687"/>
      <c r="DO366" s="16"/>
      <c r="DP366" s="687"/>
      <c r="DQ366" s="16"/>
      <c r="DR366" s="687"/>
      <c r="DS366" s="16"/>
      <c r="DT366" s="687"/>
      <c r="DU366" s="16"/>
      <c r="DV366" s="687"/>
      <c r="DW366" s="16"/>
      <c r="DX366" s="687"/>
      <c r="DY366" s="16"/>
      <c r="DZ366" s="687"/>
      <c r="EA366" s="16"/>
      <c r="EB366" s="687"/>
      <c r="EC366" s="16"/>
      <c r="ED366" s="687"/>
      <c r="EE366" s="16"/>
      <c r="EF366" s="687"/>
      <c r="EG366" s="16"/>
      <c r="EH366" s="687"/>
      <c r="EI366" s="16"/>
      <c r="EJ366" s="687"/>
      <c r="EK366" s="16"/>
      <c r="EL366" s="687"/>
      <c r="EM366" s="687"/>
    </row>
    <row r="367" spans="1:143" ht="12.75" hidden="1" customHeight="1" outlineLevel="2" x14ac:dyDescent="0.2">
      <c r="A367" s="700" t="str">
        <f>INPUT!B319</f>
        <v>REVENUES</v>
      </c>
      <c r="B367" s="16"/>
      <c r="C367" s="687"/>
      <c r="D367" s="16"/>
      <c r="E367" s="687"/>
      <c r="F367" s="16"/>
      <c r="G367" s="687"/>
      <c r="H367" s="16"/>
      <c r="I367" s="687"/>
      <c r="J367" s="16"/>
      <c r="K367" s="687"/>
      <c r="L367" s="16"/>
      <c r="M367" s="687"/>
      <c r="N367" s="16"/>
      <c r="O367" s="687"/>
      <c r="P367" s="16"/>
      <c r="Q367" s="687"/>
      <c r="R367" s="16"/>
      <c r="S367" s="687"/>
      <c r="T367" s="16"/>
      <c r="U367" s="687"/>
      <c r="V367" s="16"/>
      <c r="W367" s="687"/>
      <c r="X367" s="16"/>
      <c r="Y367" s="687"/>
      <c r="Z367" s="16"/>
      <c r="AA367" s="687"/>
      <c r="AB367" s="16"/>
      <c r="AC367" s="687"/>
      <c r="AD367" s="16"/>
      <c r="AE367" s="687"/>
      <c r="AF367" s="16"/>
      <c r="AG367" s="687"/>
      <c r="AH367" s="16"/>
      <c r="AI367" s="687"/>
      <c r="AJ367" s="16"/>
      <c r="AK367" s="687"/>
      <c r="AL367" s="16"/>
      <c r="AM367" s="687"/>
      <c r="AN367" s="16"/>
      <c r="AO367" s="687"/>
      <c r="AP367" s="16"/>
      <c r="AQ367" s="687"/>
      <c r="AR367" s="16"/>
      <c r="AS367" s="687"/>
      <c r="AT367" s="16"/>
      <c r="AU367" s="687"/>
      <c r="AV367" s="16"/>
      <c r="AW367" s="687"/>
      <c r="AX367" s="16"/>
      <c r="AY367" s="687"/>
      <c r="AZ367" s="16"/>
      <c r="BA367" s="687"/>
      <c r="BB367" s="16"/>
      <c r="BC367" s="687"/>
      <c r="BD367" s="16"/>
      <c r="BE367" s="687"/>
      <c r="BF367" s="16"/>
      <c r="BG367" s="687"/>
      <c r="BH367" s="16"/>
      <c r="BI367" s="687"/>
      <c r="BJ367" s="16"/>
      <c r="BK367" s="687"/>
      <c r="BL367" s="16"/>
      <c r="BM367" s="687"/>
      <c r="BN367" s="16"/>
      <c r="BO367" s="687"/>
      <c r="BP367" s="16"/>
      <c r="BQ367" s="687"/>
      <c r="BR367" s="16"/>
      <c r="BS367" s="687"/>
      <c r="BT367" s="16"/>
      <c r="BU367" s="687"/>
      <c r="BV367" s="16"/>
      <c r="BW367" s="687"/>
      <c r="BX367" s="16"/>
      <c r="BY367" s="687"/>
      <c r="BZ367" s="16"/>
      <c r="CA367" s="687"/>
      <c r="CB367" s="16"/>
      <c r="CC367" s="687"/>
      <c r="CD367" s="16"/>
      <c r="CE367" s="687"/>
      <c r="CF367" s="16"/>
      <c r="CG367" s="687"/>
      <c r="CH367" s="16"/>
      <c r="CI367" s="687"/>
      <c r="CJ367" s="16"/>
      <c r="CK367" s="687"/>
      <c r="CL367" s="16"/>
      <c r="CM367" s="687"/>
      <c r="CN367" s="16"/>
      <c r="CO367" s="687"/>
      <c r="CP367" s="16"/>
      <c r="CQ367" s="687"/>
      <c r="CR367" s="16"/>
      <c r="CS367" s="687"/>
      <c r="CT367" s="16"/>
      <c r="CU367" s="687"/>
      <c r="CV367" s="16"/>
      <c r="CW367" s="687"/>
      <c r="CX367" s="16"/>
      <c r="CY367" s="687"/>
      <c r="CZ367" s="16"/>
      <c r="DA367" s="687"/>
      <c r="DB367" s="16"/>
      <c r="DC367" s="16"/>
      <c r="DD367" s="687"/>
      <c r="DE367" s="16"/>
      <c r="DF367" s="687"/>
      <c r="DG367" s="16"/>
      <c r="DH367" s="687"/>
      <c r="DI367" s="16"/>
      <c r="DJ367" s="687"/>
      <c r="DK367" s="16"/>
      <c r="DL367" s="687"/>
      <c r="DM367" s="16"/>
      <c r="DN367" s="687"/>
      <c r="DO367" s="16"/>
      <c r="DP367" s="687"/>
      <c r="DQ367" s="16"/>
      <c r="DR367" s="687"/>
      <c r="DS367" s="16"/>
      <c r="DT367" s="687"/>
      <c r="DU367" s="16"/>
      <c r="DV367" s="687"/>
      <c r="DW367" s="16"/>
      <c r="DX367" s="687"/>
      <c r="DY367" s="16"/>
      <c r="DZ367" s="687"/>
      <c r="EA367" s="16"/>
      <c r="EB367" s="687"/>
      <c r="EC367" s="16"/>
      <c r="ED367" s="687"/>
      <c r="EE367" s="16"/>
      <c r="EF367" s="687"/>
      <c r="EG367" s="16"/>
      <c r="EH367" s="687"/>
      <c r="EI367" s="16"/>
      <c r="EJ367" s="687"/>
      <c r="EK367" s="16"/>
      <c r="EL367" s="687"/>
      <c r="EM367" s="687"/>
    </row>
    <row r="368" spans="1:143" ht="12.75" hidden="1" customHeight="1" outlineLevel="2" x14ac:dyDescent="0.2">
      <c r="A368" s="701" t="str">
        <f>INPUT!B320</f>
        <v xml:space="preserve">Premiums </v>
      </c>
      <c r="B368" s="151">
        <f>INPUT!AY320</f>
        <v>1.1000000000000001</v>
      </c>
      <c r="C368" s="687" t="str">
        <f>INPUT!AZ320</f>
        <v>NA</v>
      </c>
      <c r="D368" s="151">
        <f>INPUT!BA320</f>
        <v>0</v>
      </c>
      <c r="E368" s="687" t="str">
        <f>INPUT!BB320</f>
        <v>NM</v>
      </c>
      <c r="F368" s="151">
        <f>INPUT!BC320</f>
        <v>0.3</v>
      </c>
      <c r="G368" s="687" t="str">
        <f>INPUT!BD320</f>
        <v>NM</v>
      </c>
      <c r="H368" s="151">
        <f>INPUT!BE320</f>
        <v>3.3</v>
      </c>
      <c r="I368" s="687" t="str">
        <f>INPUT!BF320</f>
        <v>NM</v>
      </c>
      <c r="J368" s="151">
        <f>INPUT!BG320</f>
        <v>0.1</v>
      </c>
      <c r="K368" s="687" t="str">
        <f>INPUT!BH320</f>
        <v>NM</v>
      </c>
      <c r="L368" s="151">
        <f>INPUT!BI320</f>
        <v>0.1</v>
      </c>
      <c r="M368" s="687">
        <f>INPUT!BJ320</f>
        <v>0</v>
      </c>
      <c r="N368" s="151"/>
      <c r="O368" s="687"/>
      <c r="P368" s="151"/>
      <c r="Q368" s="687"/>
      <c r="R368" s="151"/>
      <c r="S368" s="687"/>
      <c r="T368" s="151"/>
      <c r="U368" s="687"/>
      <c r="V368" s="151"/>
      <c r="W368" s="687"/>
      <c r="X368" s="151"/>
      <c r="Y368" s="687"/>
      <c r="Z368" s="151"/>
      <c r="AA368" s="687"/>
      <c r="AB368" s="151"/>
      <c r="AC368" s="687"/>
      <c r="AD368" s="151"/>
      <c r="AE368" s="687"/>
      <c r="AF368" s="151"/>
      <c r="AG368" s="687"/>
      <c r="AH368" s="151"/>
      <c r="AI368" s="687"/>
      <c r="AJ368" s="151"/>
      <c r="AK368" s="687"/>
      <c r="AL368" s="151"/>
      <c r="AM368" s="687"/>
      <c r="AN368" s="151"/>
      <c r="AO368" s="687"/>
      <c r="AP368" s="151"/>
      <c r="AQ368" s="687"/>
      <c r="AR368" s="151"/>
      <c r="AS368" s="687"/>
      <c r="AT368" s="151"/>
      <c r="AU368" s="687"/>
      <c r="AV368" s="151"/>
      <c r="AW368" s="687"/>
      <c r="AX368" s="151"/>
      <c r="AY368" s="687"/>
      <c r="AZ368" s="151"/>
      <c r="BA368" s="687"/>
      <c r="BB368" s="151"/>
      <c r="BC368" s="687"/>
      <c r="BD368" s="151"/>
      <c r="BE368" s="687"/>
      <c r="BF368" s="151"/>
      <c r="BG368" s="687"/>
      <c r="BH368" s="151"/>
      <c r="BI368" s="687"/>
      <c r="BJ368" s="151"/>
      <c r="BK368" s="687"/>
      <c r="BL368" s="151"/>
      <c r="BM368" s="687"/>
      <c r="BN368" s="151"/>
      <c r="BO368" s="687"/>
      <c r="BP368" s="151"/>
      <c r="BQ368" s="687"/>
      <c r="BR368" s="151"/>
      <c r="BS368" s="687"/>
      <c r="BT368" s="151"/>
      <c r="BU368" s="687"/>
      <c r="BV368" s="151"/>
      <c r="BW368" s="687"/>
      <c r="BX368" s="151"/>
      <c r="BY368" s="687"/>
      <c r="BZ368" s="151"/>
      <c r="CA368" s="687"/>
      <c r="CB368" s="151"/>
      <c r="CC368" s="687"/>
      <c r="CD368" s="151"/>
      <c r="CE368" s="687"/>
      <c r="CF368" s="151"/>
      <c r="CG368" s="687"/>
      <c r="CH368" s="151"/>
      <c r="CI368" s="687"/>
      <c r="CJ368" s="151"/>
      <c r="CK368" s="687"/>
      <c r="CL368" s="151"/>
      <c r="CM368" s="687"/>
      <c r="CN368" s="151"/>
      <c r="CO368" s="687"/>
      <c r="CP368" s="151"/>
      <c r="CQ368" s="687"/>
      <c r="CR368" s="151"/>
      <c r="CS368" s="687"/>
      <c r="CT368" s="151"/>
      <c r="CU368" s="687"/>
      <c r="CV368" s="151"/>
      <c r="CW368" s="687"/>
      <c r="CX368" s="151"/>
      <c r="CY368" s="687"/>
      <c r="CZ368" s="151"/>
      <c r="DA368" s="687"/>
      <c r="DB368" s="16"/>
      <c r="DC368" s="151">
        <f>INPUT!FP320</f>
        <v>8.6</v>
      </c>
      <c r="DD368" s="687" t="str">
        <f>INPUT!FQ320</f>
        <v>NA</v>
      </c>
      <c r="DE368" s="151">
        <f>INPUT!FR320</f>
        <v>4.7</v>
      </c>
      <c r="DF368" s="687">
        <f>INPUT!FS320</f>
        <v>-45.348837209302317</v>
      </c>
      <c r="DG368" s="151">
        <f>INPUT!FT320</f>
        <v>0.2</v>
      </c>
      <c r="DH368" s="687"/>
      <c r="DI368" s="151"/>
      <c r="DJ368" s="687"/>
      <c r="DK368" s="151"/>
      <c r="DL368" s="687"/>
      <c r="DM368" s="151"/>
      <c r="DN368" s="687"/>
      <c r="DO368" s="151"/>
      <c r="DP368" s="687"/>
      <c r="DQ368" s="151"/>
      <c r="DR368" s="687"/>
      <c r="DS368" s="151"/>
      <c r="DT368" s="687"/>
      <c r="DU368" s="151"/>
      <c r="DV368" s="687"/>
      <c r="DW368" s="151"/>
      <c r="DX368" s="687"/>
      <c r="DY368" s="151"/>
      <c r="DZ368" s="687"/>
      <c r="EA368" s="151"/>
      <c r="EB368" s="687"/>
      <c r="EC368" s="151"/>
      <c r="ED368" s="687"/>
      <c r="EE368" s="151"/>
      <c r="EF368" s="687"/>
      <c r="EG368" s="151"/>
      <c r="EH368" s="687"/>
      <c r="EI368" s="151"/>
      <c r="EJ368" s="687"/>
      <c r="EK368" s="151"/>
      <c r="EL368" s="687"/>
      <c r="EM368" s="687"/>
    </row>
    <row r="369" spans="1:143" ht="12.75" hidden="1" customHeight="1" outlineLevel="2" x14ac:dyDescent="0.2">
      <c r="A369" s="701" t="str">
        <f>INPUT!B321</f>
        <v>Surrender Chrg, Mortality and Exp Assessments</v>
      </c>
      <c r="B369" s="151">
        <f>INPUT!AY321</f>
        <v>6.1</v>
      </c>
      <c r="C369" s="687">
        <f>INPUT!AZ321</f>
        <v>-7.5757575757575912</v>
      </c>
      <c r="D369" s="151">
        <f>INPUT!BA321</f>
        <v>13.4</v>
      </c>
      <c r="E369" s="687" t="str">
        <f>INPUT!BB321</f>
        <v>NM</v>
      </c>
      <c r="F369" s="151">
        <f>INPUT!BC321</f>
        <v>11.7</v>
      </c>
      <c r="G369" s="687" t="str">
        <f>INPUT!BD321</f>
        <v>NM</v>
      </c>
      <c r="H369" s="151">
        <f>INPUT!BE321</f>
        <v>14</v>
      </c>
      <c r="I369" s="687">
        <f>INPUT!BF321</f>
        <v>62.790697674418603</v>
      </c>
      <c r="J369" s="151">
        <f>INPUT!BG321</f>
        <v>13.5</v>
      </c>
      <c r="K369" s="687" t="str">
        <f>INPUT!BH321</f>
        <v>NM</v>
      </c>
      <c r="L369" s="151">
        <f>INPUT!BI321</f>
        <v>12.899999999999999</v>
      </c>
      <c r="M369" s="687">
        <f>INPUT!BJ321</f>
        <v>0</v>
      </c>
      <c r="N369" s="151"/>
      <c r="O369" s="687"/>
      <c r="P369" s="151"/>
      <c r="Q369" s="687"/>
      <c r="R369" s="151"/>
      <c r="S369" s="687"/>
      <c r="T369" s="151"/>
      <c r="U369" s="687"/>
      <c r="V369" s="151"/>
      <c r="W369" s="687"/>
      <c r="X369" s="151"/>
      <c r="Y369" s="687"/>
      <c r="Z369" s="151"/>
      <c r="AA369" s="687"/>
      <c r="AB369" s="151"/>
      <c r="AC369" s="687"/>
      <c r="AD369" s="151"/>
      <c r="AE369" s="687"/>
      <c r="AF369" s="151"/>
      <c r="AG369" s="687"/>
      <c r="AH369" s="151"/>
      <c r="AI369" s="687"/>
      <c r="AJ369" s="151"/>
      <c r="AK369" s="687"/>
      <c r="AL369" s="151"/>
      <c r="AM369" s="687"/>
      <c r="AN369" s="151"/>
      <c r="AO369" s="687"/>
      <c r="AP369" s="151"/>
      <c r="AQ369" s="687"/>
      <c r="AR369" s="151"/>
      <c r="AS369" s="687"/>
      <c r="AT369" s="151"/>
      <c r="AU369" s="687"/>
      <c r="AV369" s="151"/>
      <c r="AW369" s="687"/>
      <c r="AX369" s="151"/>
      <c r="AY369" s="687"/>
      <c r="AZ369" s="151"/>
      <c r="BA369" s="687"/>
      <c r="BB369" s="151"/>
      <c r="BC369" s="687"/>
      <c r="BD369" s="151"/>
      <c r="BE369" s="687"/>
      <c r="BF369" s="151"/>
      <c r="BG369" s="687"/>
      <c r="BH369" s="151"/>
      <c r="BI369" s="687"/>
      <c r="BJ369" s="151"/>
      <c r="BK369" s="687"/>
      <c r="BL369" s="151"/>
      <c r="BM369" s="687"/>
      <c r="BN369" s="151"/>
      <c r="BO369" s="687"/>
      <c r="BP369" s="151"/>
      <c r="BQ369" s="687"/>
      <c r="BR369" s="151"/>
      <c r="BS369" s="687"/>
      <c r="BT369" s="151"/>
      <c r="BU369" s="687"/>
      <c r="BV369" s="151"/>
      <c r="BW369" s="687"/>
      <c r="BX369" s="151"/>
      <c r="BY369" s="687"/>
      <c r="BZ369" s="151"/>
      <c r="CA369" s="687"/>
      <c r="CB369" s="151"/>
      <c r="CC369" s="687"/>
      <c r="CD369" s="151"/>
      <c r="CE369" s="687"/>
      <c r="CF369" s="151"/>
      <c r="CG369" s="687"/>
      <c r="CH369" s="151"/>
      <c r="CI369" s="687"/>
      <c r="CJ369" s="151"/>
      <c r="CK369" s="687"/>
      <c r="CL369" s="151"/>
      <c r="CM369" s="687"/>
      <c r="CN369" s="151"/>
      <c r="CO369" s="687"/>
      <c r="CP369" s="151"/>
      <c r="CQ369" s="687"/>
      <c r="CR369" s="151"/>
      <c r="CS369" s="687"/>
      <c r="CT369" s="151"/>
      <c r="CU369" s="687"/>
      <c r="CV369" s="151"/>
      <c r="CW369" s="687"/>
      <c r="CX369" s="151"/>
      <c r="CY369" s="687"/>
      <c r="CZ369" s="151"/>
      <c r="DA369" s="687"/>
      <c r="DB369" s="16"/>
      <c r="DC369" s="151">
        <f>INPUT!FP321</f>
        <v>27.1</v>
      </c>
      <c r="DD369" s="687" t="str">
        <f>INPUT!FQ321</f>
        <v>NA</v>
      </c>
      <c r="DE369" s="151">
        <f>INPUT!FR321</f>
        <v>45.2</v>
      </c>
      <c r="DF369" s="687">
        <f>INPUT!FS321</f>
        <v>66.789667896678978</v>
      </c>
      <c r="DG369" s="151">
        <f>INPUT!FT321</f>
        <v>26.4</v>
      </c>
      <c r="DH369" s="687"/>
      <c r="DI369" s="151"/>
      <c r="DJ369" s="687"/>
      <c r="DK369" s="151"/>
      <c r="DL369" s="687"/>
      <c r="DM369" s="151"/>
      <c r="DN369" s="687"/>
      <c r="DO369" s="151"/>
      <c r="DP369" s="687"/>
      <c r="DQ369" s="151"/>
      <c r="DR369" s="687"/>
      <c r="DS369" s="151"/>
      <c r="DT369" s="687"/>
      <c r="DU369" s="151"/>
      <c r="DV369" s="687"/>
      <c r="DW369" s="151"/>
      <c r="DX369" s="687"/>
      <c r="DY369" s="151"/>
      <c r="DZ369" s="687"/>
      <c r="EA369" s="151"/>
      <c r="EB369" s="687"/>
      <c r="EC369" s="151"/>
      <c r="ED369" s="687"/>
      <c r="EE369" s="151"/>
      <c r="EF369" s="687"/>
      <c r="EG369" s="151"/>
      <c r="EH369" s="687"/>
      <c r="EI369" s="151"/>
      <c r="EJ369" s="687"/>
      <c r="EK369" s="151"/>
      <c r="EL369" s="687"/>
      <c r="EM369" s="687"/>
    </row>
    <row r="370" spans="1:143" ht="12.75" hidden="1" customHeight="1" outlineLevel="2" x14ac:dyDescent="0.2">
      <c r="A370" s="701" t="str">
        <f>INPUT!B322</f>
        <v>Investment Income</v>
      </c>
      <c r="B370" s="151">
        <f>INPUT!AY322</f>
        <v>48.7</v>
      </c>
      <c r="C370" s="687">
        <f>INPUT!AZ322</f>
        <v>7.5055187637969256</v>
      </c>
      <c r="D370" s="151">
        <f>INPUT!BA322</f>
        <v>86.5</v>
      </c>
      <c r="E370" s="687">
        <f>INPUT!BB322</f>
        <v>91.371681415929203</v>
      </c>
      <c r="F370" s="151">
        <f>INPUT!BC322</f>
        <v>91</v>
      </c>
      <c r="G370" s="687" t="str">
        <f>INPUT!BD322</f>
        <v>NM</v>
      </c>
      <c r="H370" s="151">
        <f>INPUT!BE322</f>
        <v>90.5</v>
      </c>
      <c r="I370" s="687">
        <f>INPUT!BF322</f>
        <v>77.45098039215685</v>
      </c>
      <c r="J370" s="151">
        <f>INPUT!BG322</f>
        <v>55.8</v>
      </c>
      <c r="K370" s="687">
        <f>INPUT!BH322</f>
        <v>14.579055441478417</v>
      </c>
      <c r="L370" s="151">
        <f>INPUT!BI322</f>
        <v>53.1</v>
      </c>
      <c r="M370" s="687">
        <f>INPUT!BJ322</f>
        <v>0</v>
      </c>
      <c r="N370" s="151"/>
      <c r="O370" s="687"/>
      <c r="P370" s="151"/>
      <c r="Q370" s="687"/>
      <c r="R370" s="151"/>
      <c r="S370" s="687"/>
      <c r="T370" s="151"/>
      <c r="U370" s="687"/>
      <c r="V370" s="151"/>
      <c r="W370" s="687"/>
      <c r="X370" s="151"/>
      <c r="Y370" s="687"/>
      <c r="Z370" s="151"/>
      <c r="AA370" s="687"/>
      <c r="AB370" s="151"/>
      <c r="AC370" s="687"/>
      <c r="AD370" s="151"/>
      <c r="AE370" s="687"/>
      <c r="AF370" s="151"/>
      <c r="AG370" s="687"/>
      <c r="AH370" s="151"/>
      <c r="AI370" s="687"/>
      <c r="AJ370" s="151"/>
      <c r="AK370" s="687"/>
      <c r="AL370" s="151"/>
      <c r="AM370" s="687"/>
      <c r="AN370" s="151"/>
      <c r="AO370" s="687"/>
      <c r="AP370" s="151"/>
      <c r="AQ370" s="687"/>
      <c r="AR370" s="151"/>
      <c r="AS370" s="687"/>
      <c r="AT370" s="151"/>
      <c r="AU370" s="687"/>
      <c r="AV370" s="151"/>
      <c r="AW370" s="687"/>
      <c r="AX370" s="151"/>
      <c r="AY370" s="687"/>
      <c r="AZ370" s="151"/>
      <c r="BA370" s="687"/>
      <c r="BB370" s="151"/>
      <c r="BC370" s="687"/>
      <c r="BD370" s="151"/>
      <c r="BE370" s="687"/>
      <c r="BF370" s="151"/>
      <c r="BG370" s="687"/>
      <c r="BH370" s="151"/>
      <c r="BI370" s="687"/>
      <c r="BJ370" s="151"/>
      <c r="BK370" s="687"/>
      <c r="BL370" s="151"/>
      <c r="BM370" s="687"/>
      <c r="BN370" s="151"/>
      <c r="BO370" s="687"/>
      <c r="BP370" s="151"/>
      <c r="BQ370" s="687"/>
      <c r="BR370" s="151"/>
      <c r="BS370" s="687"/>
      <c r="BT370" s="151"/>
      <c r="BU370" s="687"/>
      <c r="BV370" s="151"/>
      <c r="BW370" s="687"/>
      <c r="BX370" s="151"/>
      <c r="BY370" s="687"/>
      <c r="BZ370" s="151"/>
      <c r="CA370" s="687"/>
      <c r="CB370" s="151"/>
      <c r="CC370" s="687"/>
      <c r="CD370" s="151"/>
      <c r="CE370" s="687"/>
      <c r="CF370" s="151"/>
      <c r="CG370" s="687"/>
      <c r="CH370" s="151"/>
      <c r="CI370" s="687"/>
      <c r="CJ370" s="151"/>
      <c r="CK370" s="687"/>
      <c r="CL370" s="151"/>
      <c r="CM370" s="687"/>
      <c r="CN370" s="151"/>
      <c r="CO370" s="687"/>
      <c r="CP370" s="151"/>
      <c r="CQ370" s="687"/>
      <c r="CR370" s="151"/>
      <c r="CS370" s="687"/>
      <c r="CT370" s="151"/>
      <c r="CU370" s="687"/>
      <c r="CV370" s="151"/>
      <c r="CW370" s="687"/>
      <c r="CX370" s="151"/>
      <c r="CY370" s="687"/>
      <c r="CZ370" s="151"/>
      <c r="DA370" s="687"/>
      <c r="DB370" s="16"/>
      <c r="DC370" s="151">
        <f>INPUT!FP322</f>
        <v>186.6</v>
      </c>
      <c r="DD370" s="687" t="str">
        <f>INPUT!FQ322</f>
        <v>NA</v>
      </c>
      <c r="DE370" s="151">
        <f>INPUT!FR322</f>
        <v>316.7</v>
      </c>
      <c r="DF370" s="687">
        <f>INPUT!FS322</f>
        <v>69.721329046087874</v>
      </c>
      <c r="DG370" s="151">
        <f>INPUT!FT322</f>
        <v>108.9</v>
      </c>
      <c r="DH370" s="687"/>
      <c r="DI370" s="151"/>
      <c r="DJ370" s="687"/>
      <c r="DK370" s="151"/>
      <c r="DL370" s="687"/>
      <c r="DM370" s="151"/>
      <c r="DN370" s="687"/>
      <c r="DO370" s="151"/>
      <c r="DP370" s="687"/>
      <c r="DQ370" s="151"/>
      <c r="DR370" s="687"/>
      <c r="DS370" s="151"/>
      <c r="DT370" s="687"/>
      <c r="DU370" s="151"/>
      <c r="DV370" s="687"/>
      <c r="DW370" s="151"/>
      <c r="DX370" s="687"/>
      <c r="DY370" s="151"/>
      <c r="DZ370" s="687"/>
      <c r="EA370" s="151"/>
      <c r="EB370" s="687"/>
      <c r="EC370" s="151"/>
      <c r="ED370" s="687"/>
      <c r="EE370" s="151"/>
      <c r="EF370" s="687"/>
      <c r="EG370" s="151"/>
      <c r="EH370" s="687"/>
      <c r="EI370" s="151"/>
      <c r="EJ370" s="687"/>
      <c r="EK370" s="151"/>
      <c r="EL370" s="687"/>
      <c r="EM370" s="687"/>
    </row>
    <row r="371" spans="1:143" ht="12.75" hidden="1" customHeight="1" outlineLevel="2" x14ac:dyDescent="0.2">
      <c r="A371" s="701" t="str">
        <f>INPUT!B323</f>
        <v>Other Revenues</v>
      </c>
      <c r="B371" s="151">
        <f>INPUT!AY323</f>
        <v>1.2999999999999998</v>
      </c>
      <c r="C371" s="687">
        <f>INPUT!AZ323</f>
        <v>8.333333333333325</v>
      </c>
      <c r="D371" s="151">
        <f>INPUT!BA323</f>
        <v>1.3</v>
      </c>
      <c r="E371" s="687">
        <f>INPUT!BB323</f>
        <v>8.3333333333333481</v>
      </c>
      <c r="F371" s="151">
        <f>INPUT!BC323</f>
        <v>1.3</v>
      </c>
      <c r="G371" s="687">
        <f>INPUT!BD323</f>
        <v>8.3333333333333481</v>
      </c>
      <c r="H371" s="151">
        <f>INPUT!BE323</f>
        <v>1.3</v>
      </c>
      <c r="I371" s="687">
        <f>INPUT!BF323</f>
        <v>0</v>
      </c>
      <c r="J371" s="151">
        <f>INPUT!BG323</f>
        <v>-0.1</v>
      </c>
      <c r="K371" s="687" t="str">
        <f>INPUT!BH323</f>
        <v>NM</v>
      </c>
      <c r="L371" s="151">
        <f>INPUT!BI323</f>
        <v>0</v>
      </c>
      <c r="M371" s="687">
        <f>INPUT!BJ323</f>
        <v>0</v>
      </c>
      <c r="N371" s="151"/>
      <c r="O371" s="687"/>
      <c r="P371" s="151"/>
      <c r="Q371" s="687"/>
      <c r="R371" s="151"/>
      <c r="S371" s="687"/>
      <c r="T371" s="151"/>
      <c r="U371" s="687"/>
      <c r="V371" s="151"/>
      <c r="W371" s="687"/>
      <c r="X371" s="151"/>
      <c r="Y371" s="687"/>
      <c r="Z371" s="151"/>
      <c r="AA371" s="687"/>
      <c r="AB371" s="151"/>
      <c r="AC371" s="687"/>
      <c r="AD371" s="151"/>
      <c r="AE371" s="687"/>
      <c r="AF371" s="151"/>
      <c r="AG371" s="687"/>
      <c r="AH371" s="151"/>
      <c r="AI371" s="687"/>
      <c r="AJ371" s="151"/>
      <c r="AK371" s="687"/>
      <c r="AL371" s="151"/>
      <c r="AM371" s="687"/>
      <c r="AN371" s="151"/>
      <c r="AO371" s="687"/>
      <c r="AP371" s="151"/>
      <c r="AQ371" s="687"/>
      <c r="AR371" s="151"/>
      <c r="AS371" s="687"/>
      <c r="AT371" s="151"/>
      <c r="AU371" s="687"/>
      <c r="AV371" s="151"/>
      <c r="AW371" s="687"/>
      <c r="AX371" s="151"/>
      <c r="AY371" s="687"/>
      <c r="AZ371" s="151"/>
      <c r="BA371" s="687"/>
      <c r="BB371" s="151"/>
      <c r="BC371" s="687"/>
      <c r="BD371" s="151"/>
      <c r="BE371" s="687"/>
      <c r="BF371" s="151"/>
      <c r="BG371" s="687"/>
      <c r="BH371" s="151"/>
      <c r="BI371" s="687"/>
      <c r="BJ371" s="151"/>
      <c r="BK371" s="687"/>
      <c r="BL371" s="151"/>
      <c r="BM371" s="687"/>
      <c r="BN371" s="151"/>
      <c r="BO371" s="687"/>
      <c r="BP371" s="151"/>
      <c r="BQ371" s="687"/>
      <c r="BR371" s="151"/>
      <c r="BS371" s="687"/>
      <c r="BT371" s="151"/>
      <c r="BU371" s="687"/>
      <c r="BV371" s="151"/>
      <c r="BW371" s="687"/>
      <c r="BX371" s="151"/>
      <c r="BY371" s="687"/>
      <c r="BZ371" s="151"/>
      <c r="CA371" s="687"/>
      <c r="CB371" s="151"/>
      <c r="CC371" s="687"/>
      <c r="CD371" s="151"/>
      <c r="CE371" s="687"/>
      <c r="CF371" s="151"/>
      <c r="CG371" s="687"/>
      <c r="CH371" s="151"/>
      <c r="CI371" s="687"/>
      <c r="CJ371" s="151"/>
      <c r="CK371" s="687"/>
      <c r="CL371" s="151"/>
      <c r="CM371" s="687"/>
      <c r="CN371" s="151"/>
      <c r="CO371" s="687"/>
      <c r="CP371" s="151"/>
      <c r="CQ371" s="687"/>
      <c r="CR371" s="151"/>
      <c r="CS371" s="687"/>
      <c r="CT371" s="151"/>
      <c r="CU371" s="687"/>
      <c r="CV371" s="151"/>
      <c r="CW371" s="687"/>
      <c r="CX371" s="151"/>
      <c r="CY371" s="687"/>
      <c r="CZ371" s="151"/>
      <c r="DA371" s="687"/>
      <c r="DB371" s="16"/>
      <c r="DC371" s="151">
        <f>INPUT!FP323</f>
        <v>4.8999999999999995</v>
      </c>
      <c r="DD371" s="687" t="str">
        <f>INPUT!FQ323</f>
        <v>NA</v>
      </c>
      <c r="DE371" s="151">
        <f>INPUT!FR323</f>
        <v>5.1999999999999993</v>
      </c>
      <c r="DF371" s="687">
        <f>INPUT!FS323</f>
        <v>6.1224489795918435</v>
      </c>
      <c r="DG371" s="151">
        <f>INPUT!FT323</f>
        <v>-0.1</v>
      </c>
      <c r="DH371" s="687"/>
      <c r="DI371" s="151"/>
      <c r="DJ371" s="687"/>
      <c r="DK371" s="151"/>
      <c r="DL371" s="687"/>
      <c r="DM371" s="151"/>
      <c r="DN371" s="687"/>
      <c r="DO371" s="151"/>
      <c r="DP371" s="687"/>
      <c r="DQ371" s="151"/>
      <c r="DR371" s="687"/>
      <c r="DS371" s="151"/>
      <c r="DT371" s="687"/>
      <c r="DU371" s="151"/>
      <c r="DV371" s="687"/>
      <c r="DW371" s="151"/>
      <c r="DX371" s="687"/>
      <c r="DY371" s="151"/>
      <c r="DZ371" s="687"/>
      <c r="EA371" s="151"/>
      <c r="EB371" s="687"/>
      <c r="EC371" s="151"/>
      <c r="ED371" s="687"/>
      <c r="EE371" s="151"/>
      <c r="EF371" s="687"/>
      <c r="EG371" s="151"/>
      <c r="EH371" s="687"/>
      <c r="EI371" s="151"/>
      <c r="EJ371" s="687"/>
      <c r="EK371" s="151"/>
      <c r="EL371" s="687"/>
      <c r="EM371" s="687"/>
    </row>
    <row r="372" spans="1:143" ht="12.75" hidden="1" customHeight="1" outlineLevel="2" x14ac:dyDescent="0.2">
      <c r="A372" s="701" t="str">
        <f>INPUT!B324</f>
        <v xml:space="preserve"> Total Revenues</v>
      </c>
      <c r="B372" s="151">
        <f>INPUT!AY324</f>
        <v>57.2</v>
      </c>
      <c r="C372" s="687">
        <f>INPUT!AZ324</f>
        <v>7.7212806026365266</v>
      </c>
      <c r="D372" s="151">
        <f>INPUT!BA324</f>
        <v>101.2</v>
      </c>
      <c r="E372" s="687">
        <f>INPUT!BB324</f>
        <v>90.225563909774436</v>
      </c>
      <c r="F372" s="151">
        <f>INPUT!BC324</f>
        <v>104.3</v>
      </c>
      <c r="G372" s="687">
        <f>INPUT!BD324</f>
        <v>75.885328836424932</v>
      </c>
      <c r="H372" s="151">
        <f>INPUT!BE324</f>
        <v>109.1</v>
      </c>
      <c r="I372" s="687">
        <f>INPUT!BF324</f>
        <v>77.110389610389603</v>
      </c>
      <c r="J372" s="151">
        <f>INPUT!BG324</f>
        <v>69.3</v>
      </c>
      <c r="K372" s="687">
        <f>INPUT!BH324</f>
        <v>21.153846153846146</v>
      </c>
      <c r="L372" s="151">
        <f>INPUT!BI324</f>
        <v>66.099999999999994</v>
      </c>
      <c r="M372" s="687">
        <f>INPUT!BJ324</f>
        <v>0</v>
      </c>
      <c r="N372" s="151"/>
      <c r="O372" s="687"/>
      <c r="P372" s="151"/>
      <c r="Q372" s="687"/>
      <c r="R372" s="151"/>
      <c r="S372" s="687"/>
      <c r="T372" s="151"/>
      <c r="U372" s="687"/>
      <c r="V372" s="151"/>
      <c r="W372" s="687"/>
      <c r="X372" s="151"/>
      <c r="Y372" s="687"/>
      <c r="Z372" s="151"/>
      <c r="AA372" s="687"/>
      <c r="AB372" s="151"/>
      <c r="AC372" s="687"/>
      <c r="AD372" s="151"/>
      <c r="AE372" s="687"/>
      <c r="AF372" s="151"/>
      <c r="AG372" s="687"/>
      <c r="AH372" s="151"/>
      <c r="AI372" s="687"/>
      <c r="AJ372" s="151"/>
      <c r="AK372" s="687"/>
      <c r="AL372" s="151"/>
      <c r="AM372" s="687"/>
      <c r="AN372" s="151"/>
      <c r="AO372" s="687"/>
      <c r="AP372" s="151"/>
      <c r="AQ372" s="687"/>
      <c r="AR372" s="151"/>
      <c r="AS372" s="687"/>
      <c r="AT372" s="151"/>
      <c r="AU372" s="687"/>
      <c r="AV372" s="151"/>
      <c r="AW372" s="687"/>
      <c r="AX372" s="151"/>
      <c r="AY372" s="687"/>
      <c r="AZ372" s="151"/>
      <c r="BA372" s="687"/>
      <c r="BB372" s="151"/>
      <c r="BC372" s="687"/>
      <c r="BD372" s="151"/>
      <c r="BE372" s="687"/>
      <c r="BF372" s="151"/>
      <c r="BG372" s="687"/>
      <c r="BH372" s="151"/>
      <c r="BI372" s="687"/>
      <c r="BJ372" s="151"/>
      <c r="BK372" s="687"/>
      <c r="BL372" s="151"/>
      <c r="BM372" s="687"/>
      <c r="BN372" s="151"/>
      <c r="BO372" s="687"/>
      <c r="BP372" s="151"/>
      <c r="BQ372" s="687"/>
      <c r="BR372" s="151"/>
      <c r="BS372" s="687"/>
      <c r="BT372" s="151"/>
      <c r="BU372" s="687"/>
      <c r="BV372" s="151"/>
      <c r="BW372" s="687"/>
      <c r="BX372" s="151"/>
      <c r="BY372" s="687"/>
      <c r="BZ372" s="151"/>
      <c r="CA372" s="687"/>
      <c r="CB372" s="151"/>
      <c r="CC372" s="687"/>
      <c r="CD372" s="151"/>
      <c r="CE372" s="687"/>
      <c r="CF372" s="151"/>
      <c r="CG372" s="687"/>
      <c r="CH372" s="151"/>
      <c r="CI372" s="687"/>
      <c r="CJ372" s="151"/>
      <c r="CK372" s="687"/>
      <c r="CL372" s="151"/>
      <c r="CM372" s="687"/>
      <c r="CN372" s="151"/>
      <c r="CO372" s="687"/>
      <c r="CP372" s="151"/>
      <c r="CQ372" s="687"/>
      <c r="CR372" s="151"/>
      <c r="CS372" s="687"/>
      <c r="CT372" s="151"/>
      <c r="CU372" s="687"/>
      <c r="CV372" s="151"/>
      <c r="CW372" s="687"/>
      <c r="CX372" s="151"/>
      <c r="CY372" s="687"/>
      <c r="CZ372" s="151"/>
      <c r="DA372" s="687"/>
      <c r="DB372" s="16"/>
      <c r="DC372" s="151">
        <f>INPUT!FP324</f>
        <v>227.20000000000002</v>
      </c>
      <c r="DD372" s="687">
        <f>INPUT!FQ324</f>
        <v>-47.937671860678265</v>
      </c>
      <c r="DE372" s="151">
        <f>INPUT!FR324</f>
        <v>371.79999999999995</v>
      </c>
      <c r="DF372" s="687">
        <f>INPUT!FS324</f>
        <v>63.644366197183054</v>
      </c>
      <c r="DG372" s="151">
        <f>INPUT!FT324</f>
        <v>135.39999999999998</v>
      </c>
      <c r="DH372" s="687"/>
      <c r="DI372" s="151"/>
      <c r="DJ372" s="687"/>
      <c r="DK372" s="151"/>
      <c r="DL372" s="687"/>
      <c r="DM372" s="151"/>
      <c r="DN372" s="687"/>
      <c r="DO372" s="151"/>
      <c r="DP372" s="687"/>
      <c r="DQ372" s="151"/>
      <c r="DR372" s="687"/>
      <c r="DS372" s="151"/>
      <c r="DT372" s="687"/>
      <c r="DU372" s="151"/>
      <c r="DV372" s="687"/>
      <c r="DW372" s="151"/>
      <c r="DX372" s="687"/>
      <c r="DY372" s="151"/>
      <c r="DZ372" s="687"/>
      <c r="EA372" s="151"/>
      <c r="EB372" s="687"/>
      <c r="EC372" s="151"/>
      <c r="ED372" s="687"/>
      <c r="EE372" s="151"/>
      <c r="EF372" s="687"/>
      <c r="EG372" s="151"/>
      <c r="EH372" s="687"/>
      <c r="EI372" s="151"/>
      <c r="EJ372" s="687"/>
      <c r="EK372" s="151"/>
      <c r="EL372" s="687"/>
      <c r="EM372" s="687"/>
    </row>
    <row r="373" spans="1:143" ht="12.75" hidden="1" customHeight="1" outlineLevel="2" x14ac:dyDescent="0.2">
      <c r="A373" s="689"/>
      <c r="B373" s="16"/>
      <c r="C373" s="687"/>
      <c r="D373" s="16"/>
      <c r="E373" s="687"/>
      <c r="F373" s="16"/>
      <c r="G373" s="687"/>
      <c r="H373" s="16"/>
      <c r="I373" s="687"/>
      <c r="J373" s="16"/>
      <c r="K373" s="687"/>
      <c r="L373" s="16"/>
      <c r="M373" s="687"/>
      <c r="N373" s="16"/>
      <c r="O373" s="687"/>
      <c r="P373" s="16"/>
      <c r="Q373" s="687"/>
      <c r="R373" s="16"/>
      <c r="S373" s="687"/>
      <c r="T373" s="16"/>
      <c r="U373" s="687"/>
      <c r="V373" s="16"/>
      <c r="W373" s="687"/>
      <c r="X373" s="16"/>
      <c r="Y373" s="687"/>
      <c r="Z373" s="16"/>
      <c r="AA373" s="687"/>
      <c r="AB373" s="16"/>
      <c r="AC373" s="687"/>
      <c r="AD373" s="16"/>
      <c r="AE373" s="687"/>
      <c r="AF373" s="16"/>
      <c r="AG373" s="687"/>
      <c r="AH373" s="16"/>
      <c r="AI373" s="687"/>
      <c r="AJ373" s="16"/>
      <c r="AK373" s="687"/>
      <c r="AL373" s="16"/>
      <c r="AM373" s="687"/>
      <c r="AN373" s="16"/>
      <c r="AO373" s="687"/>
      <c r="AP373" s="16"/>
      <c r="AQ373" s="687"/>
      <c r="AR373" s="16"/>
      <c r="AS373" s="687"/>
      <c r="AT373" s="16"/>
      <c r="AU373" s="687"/>
      <c r="AV373" s="16"/>
      <c r="AW373" s="687"/>
      <c r="AX373" s="16"/>
      <c r="AY373" s="687"/>
      <c r="AZ373" s="16"/>
      <c r="BA373" s="687"/>
      <c r="BB373" s="16"/>
      <c r="BC373" s="687"/>
      <c r="BD373" s="16"/>
      <c r="BE373" s="687"/>
      <c r="BF373" s="16"/>
      <c r="BG373" s="687"/>
      <c r="BH373" s="16"/>
      <c r="BI373" s="687"/>
      <c r="BJ373" s="16"/>
      <c r="BK373" s="687"/>
      <c r="BL373" s="16"/>
      <c r="BM373" s="687"/>
      <c r="BN373" s="16"/>
      <c r="BO373" s="687"/>
      <c r="BP373" s="16"/>
      <c r="BQ373" s="687"/>
      <c r="BR373" s="16"/>
      <c r="BS373" s="687"/>
      <c r="BT373" s="16"/>
      <c r="BU373" s="687"/>
      <c r="BV373" s="16"/>
      <c r="BW373" s="687"/>
      <c r="BX373" s="16"/>
      <c r="BY373" s="687"/>
      <c r="BZ373" s="16"/>
      <c r="CA373" s="687"/>
      <c r="CB373" s="16"/>
      <c r="CC373" s="687"/>
      <c r="CD373" s="16"/>
      <c r="CE373" s="687"/>
      <c r="CF373" s="16"/>
      <c r="CG373" s="687"/>
      <c r="CH373" s="16"/>
      <c r="CI373" s="687"/>
      <c r="CJ373" s="16"/>
      <c r="CK373" s="687"/>
      <c r="CL373" s="16"/>
      <c r="CM373" s="687"/>
      <c r="CN373" s="16"/>
      <c r="CO373" s="687"/>
      <c r="CP373" s="16"/>
      <c r="CQ373" s="687"/>
      <c r="CR373" s="16"/>
      <c r="CS373" s="687"/>
      <c r="CT373" s="16"/>
      <c r="CU373" s="687"/>
      <c r="CV373" s="16"/>
      <c r="CW373" s="687"/>
      <c r="CX373" s="16"/>
      <c r="CY373" s="687"/>
      <c r="CZ373" s="16"/>
      <c r="DA373" s="687"/>
      <c r="DB373" s="16"/>
      <c r="DC373" s="16"/>
      <c r="DD373" s="687"/>
      <c r="DE373" s="16"/>
      <c r="DF373" s="687"/>
      <c r="DG373" s="16"/>
      <c r="DH373" s="687"/>
      <c r="DI373" s="16"/>
      <c r="DJ373" s="687"/>
      <c r="DK373" s="16"/>
      <c r="DL373" s="687"/>
      <c r="DM373" s="16"/>
      <c r="DN373" s="687"/>
      <c r="DO373" s="16"/>
      <c r="DP373" s="687"/>
      <c r="DQ373" s="16"/>
      <c r="DR373" s="687"/>
      <c r="DS373" s="16"/>
      <c r="DT373" s="687"/>
      <c r="DU373" s="16"/>
      <c r="DV373" s="687"/>
      <c r="DW373" s="16"/>
      <c r="DX373" s="687"/>
      <c r="DY373" s="16"/>
      <c r="DZ373" s="687"/>
      <c r="EA373" s="16"/>
      <c r="EB373" s="687"/>
      <c r="EC373" s="16"/>
      <c r="ED373" s="687"/>
      <c r="EE373" s="16"/>
      <c r="EF373" s="687"/>
      <c r="EG373" s="16"/>
      <c r="EH373" s="687"/>
      <c r="EI373" s="16"/>
      <c r="EJ373" s="687"/>
      <c r="EK373" s="16"/>
      <c r="EL373" s="687"/>
      <c r="EM373" s="687"/>
    </row>
    <row r="374" spans="1:143" ht="12.75" hidden="1" customHeight="1" outlineLevel="2" x14ac:dyDescent="0.2">
      <c r="A374" s="700" t="str">
        <f>INPUT!B330</f>
        <v>BENEFITS AND EXPENSES</v>
      </c>
      <c r="B374" s="16"/>
      <c r="C374" s="687"/>
      <c r="D374" s="16"/>
      <c r="E374" s="687"/>
      <c r="F374" s="16"/>
      <c r="G374" s="687"/>
      <c r="H374" s="16"/>
      <c r="I374" s="687"/>
      <c r="J374" s="16"/>
      <c r="K374" s="687"/>
      <c r="L374" s="16"/>
      <c r="M374" s="687"/>
      <c r="N374" s="16"/>
      <c r="O374" s="687"/>
      <c r="P374" s="16"/>
      <c r="Q374" s="687"/>
      <c r="R374" s="16"/>
      <c r="S374" s="687"/>
      <c r="T374" s="16"/>
      <c r="U374" s="687"/>
      <c r="V374" s="16"/>
      <c r="W374" s="687"/>
      <c r="X374" s="16"/>
      <c r="Y374" s="687"/>
      <c r="Z374" s="16"/>
      <c r="AA374" s="687"/>
      <c r="AB374" s="16"/>
      <c r="AC374" s="687"/>
      <c r="AD374" s="16"/>
      <c r="AE374" s="687"/>
      <c r="AF374" s="16"/>
      <c r="AG374" s="687"/>
      <c r="AH374" s="16"/>
      <c r="AI374" s="687"/>
      <c r="AJ374" s="16"/>
      <c r="AK374" s="687"/>
      <c r="AL374" s="16"/>
      <c r="AM374" s="687"/>
      <c r="AN374" s="16"/>
      <c r="AO374" s="687"/>
      <c r="AP374" s="16"/>
      <c r="AQ374" s="687"/>
      <c r="AR374" s="16"/>
      <c r="AS374" s="687"/>
      <c r="AT374" s="16"/>
      <c r="AU374" s="687"/>
      <c r="AV374" s="16"/>
      <c r="AW374" s="687"/>
      <c r="AX374" s="16"/>
      <c r="AY374" s="687"/>
      <c r="AZ374" s="16"/>
      <c r="BA374" s="687"/>
      <c r="BB374" s="16"/>
      <c r="BC374" s="687"/>
      <c r="BD374" s="16"/>
      <c r="BE374" s="687"/>
      <c r="BF374" s="16"/>
      <c r="BG374" s="687"/>
      <c r="BH374" s="16"/>
      <c r="BI374" s="687"/>
      <c r="BJ374" s="16"/>
      <c r="BK374" s="687"/>
      <c r="BL374" s="16"/>
      <c r="BM374" s="687"/>
      <c r="BN374" s="16"/>
      <c r="BO374" s="687"/>
      <c r="BP374" s="16"/>
      <c r="BQ374" s="687"/>
      <c r="BR374" s="16"/>
      <c r="BS374" s="687"/>
      <c r="BT374" s="16"/>
      <c r="BU374" s="687"/>
      <c r="BV374" s="16"/>
      <c r="BW374" s="687"/>
      <c r="BX374" s="16"/>
      <c r="BY374" s="687"/>
      <c r="BZ374" s="16"/>
      <c r="CA374" s="687"/>
      <c r="CB374" s="16"/>
      <c r="CC374" s="687"/>
      <c r="CD374" s="16"/>
      <c r="CE374" s="687"/>
      <c r="CF374" s="16"/>
      <c r="CG374" s="687"/>
      <c r="CH374" s="16"/>
      <c r="CI374" s="687"/>
      <c r="CJ374" s="16"/>
      <c r="CK374" s="687"/>
      <c r="CL374" s="16"/>
      <c r="CM374" s="687"/>
      <c r="CN374" s="16"/>
      <c r="CO374" s="687"/>
      <c r="CP374" s="16"/>
      <c r="CQ374" s="687"/>
      <c r="CR374" s="16"/>
      <c r="CS374" s="687"/>
      <c r="CT374" s="16"/>
      <c r="CU374" s="687"/>
      <c r="CV374" s="16"/>
      <c r="CW374" s="687"/>
      <c r="CX374" s="16"/>
      <c r="CY374" s="687"/>
      <c r="CZ374" s="16"/>
      <c r="DA374" s="687"/>
      <c r="DB374" s="16"/>
      <c r="DC374" s="16"/>
      <c r="DD374" s="687"/>
      <c r="DE374" s="16"/>
      <c r="DF374" s="687"/>
      <c r="DG374" s="16"/>
      <c r="DH374" s="687"/>
      <c r="DI374" s="16"/>
      <c r="DJ374" s="687"/>
      <c r="DK374" s="16"/>
      <c r="DL374" s="687"/>
      <c r="DM374" s="16"/>
      <c r="DN374" s="687"/>
      <c r="DO374" s="16"/>
      <c r="DP374" s="687"/>
      <c r="DQ374" s="16"/>
      <c r="DR374" s="687"/>
      <c r="DS374" s="16"/>
      <c r="DT374" s="687"/>
      <c r="DU374" s="16"/>
      <c r="DV374" s="687"/>
      <c r="DW374" s="16"/>
      <c r="DX374" s="687"/>
      <c r="DY374" s="16"/>
      <c r="DZ374" s="687"/>
      <c r="EA374" s="16"/>
      <c r="EB374" s="687"/>
      <c r="EC374" s="16"/>
      <c r="ED374" s="687"/>
      <c r="EE374" s="16"/>
      <c r="EF374" s="687"/>
      <c r="EG374" s="16"/>
      <c r="EH374" s="687"/>
      <c r="EI374" s="16"/>
      <c r="EJ374" s="687"/>
      <c r="EK374" s="16"/>
      <c r="EL374" s="687"/>
      <c r="EM374" s="687"/>
    </row>
    <row r="375" spans="1:143" ht="12.75" hidden="1" customHeight="1" outlineLevel="2" x14ac:dyDescent="0.2">
      <c r="A375" s="701" t="str">
        <f>INPUT!B331</f>
        <v>Insurance Benefits</v>
      </c>
      <c r="B375" s="151">
        <f>INPUT!AY331</f>
        <v>32.799999999999997</v>
      </c>
      <c r="C375" s="687">
        <f>INPUT!AZ331</f>
        <v>3.1446540880503138</v>
      </c>
      <c r="D375" s="151">
        <f>INPUT!BA331</f>
        <v>30.4</v>
      </c>
      <c r="E375" s="687">
        <f>INPUT!BB331</f>
        <v>-0.97719869706840434</v>
      </c>
      <c r="F375" s="151">
        <f>INPUT!BC331</f>
        <v>35.6</v>
      </c>
      <c r="G375" s="687">
        <f>INPUT!BD331</f>
        <v>-10.776942355889718</v>
      </c>
      <c r="H375" s="151">
        <f>INPUT!BE331</f>
        <v>39.700000000000003</v>
      </c>
      <c r="I375" s="687">
        <f>INPUT!BF331</f>
        <v>27.243589743589759</v>
      </c>
      <c r="J375" s="151">
        <f>INPUT!BG331</f>
        <v>2.8</v>
      </c>
      <c r="K375" s="687" t="str">
        <f>INPUT!BH331</f>
        <v>NM</v>
      </c>
      <c r="L375" s="151">
        <f>INPUT!BI331</f>
        <v>2.7</v>
      </c>
      <c r="M375" s="687">
        <f>INPUT!BJ331</f>
        <v>0</v>
      </c>
      <c r="N375" s="151"/>
      <c r="O375" s="687"/>
      <c r="P375" s="151"/>
      <c r="Q375" s="687"/>
      <c r="R375" s="151"/>
      <c r="S375" s="687"/>
      <c r="T375" s="151"/>
      <c r="U375" s="687"/>
      <c r="V375" s="151"/>
      <c r="W375" s="687"/>
      <c r="X375" s="151"/>
      <c r="Y375" s="687"/>
      <c r="Z375" s="151"/>
      <c r="AA375" s="687"/>
      <c r="AB375" s="151"/>
      <c r="AC375" s="687"/>
      <c r="AD375" s="151"/>
      <c r="AE375" s="687"/>
      <c r="AF375" s="151"/>
      <c r="AG375" s="687"/>
      <c r="AH375" s="151"/>
      <c r="AI375" s="687"/>
      <c r="AJ375" s="151"/>
      <c r="AK375" s="687"/>
      <c r="AL375" s="151"/>
      <c r="AM375" s="687"/>
      <c r="AN375" s="151"/>
      <c r="AO375" s="687"/>
      <c r="AP375" s="151"/>
      <c r="AQ375" s="687"/>
      <c r="AR375" s="151"/>
      <c r="AS375" s="687"/>
      <c r="AT375" s="151"/>
      <c r="AU375" s="687"/>
      <c r="AV375" s="151"/>
      <c r="AW375" s="687"/>
      <c r="AX375" s="151"/>
      <c r="AY375" s="687"/>
      <c r="AZ375" s="151"/>
      <c r="BA375" s="687"/>
      <c r="BB375" s="151"/>
      <c r="BC375" s="687"/>
      <c r="BD375" s="151"/>
      <c r="BE375" s="687"/>
      <c r="BF375" s="151"/>
      <c r="BG375" s="687"/>
      <c r="BH375" s="151"/>
      <c r="BI375" s="687"/>
      <c r="BJ375" s="151"/>
      <c r="BK375" s="687"/>
      <c r="BL375" s="151"/>
      <c r="BM375" s="687"/>
      <c r="BN375" s="151"/>
      <c r="BO375" s="687"/>
      <c r="BP375" s="151"/>
      <c r="BQ375" s="687"/>
      <c r="BR375" s="151"/>
      <c r="BS375" s="687"/>
      <c r="BT375" s="151"/>
      <c r="BU375" s="687"/>
      <c r="BV375" s="151"/>
      <c r="BW375" s="687"/>
      <c r="BX375" s="151"/>
      <c r="BY375" s="687"/>
      <c r="BZ375" s="151"/>
      <c r="CA375" s="687"/>
      <c r="CB375" s="151"/>
      <c r="CC375" s="687"/>
      <c r="CD375" s="151"/>
      <c r="CE375" s="687"/>
      <c r="CF375" s="151"/>
      <c r="CG375" s="687"/>
      <c r="CH375" s="151"/>
      <c r="CI375" s="687"/>
      <c r="CJ375" s="151"/>
      <c r="CK375" s="687"/>
      <c r="CL375" s="151"/>
      <c r="CM375" s="687"/>
      <c r="CN375" s="151"/>
      <c r="CO375" s="687"/>
      <c r="CP375" s="151"/>
      <c r="CQ375" s="687"/>
      <c r="CR375" s="151"/>
      <c r="CS375" s="687"/>
      <c r="CT375" s="151"/>
      <c r="CU375" s="687"/>
      <c r="CV375" s="151"/>
      <c r="CW375" s="687"/>
      <c r="CX375" s="151"/>
      <c r="CY375" s="687"/>
      <c r="CZ375" s="151"/>
      <c r="DA375" s="687"/>
      <c r="DB375" s="16"/>
      <c r="DC375" s="151">
        <f>INPUT!FP331</f>
        <v>133.6</v>
      </c>
      <c r="DD375" s="687" t="str">
        <f>INPUT!FQ331</f>
        <v>NA</v>
      </c>
      <c r="DE375" s="151">
        <f>INPUT!FR331</f>
        <v>138.5</v>
      </c>
      <c r="DF375" s="687">
        <f>INPUT!FS331</f>
        <v>3.667664670658688</v>
      </c>
      <c r="DG375" s="151">
        <f>INPUT!FT331</f>
        <v>5.5</v>
      </c>
      <c r="DH375" s="687"/>
      <c r="DI375" s="151"/>
      <c r="DJ375" s="687"/>
      <c r="DK375" s="151"/>
      <c r="DL375" s="687"/>
      <c r="DM375" s="151"/>
      <c r="DN375" s="687"/>
      <c r="DO375" s="151"/>
      <c r="DP375" s="687"/>
      <c r="DQ375" s="151"/>
      <c r="DR375" s="687"/>
      <c r="DS375" s="151"/>
      <c r="DT375" s="687"/>
      <c r="DU375" s="151"/>
      <c r="DV375" s="687"/>
      <c r="DW375" s="151"/>
      <c r="DX375" s="687"/>
      <c r="DY375" s="151"/>
      <c r="DZ375" s="687"/>
      <c r="EA375" s="151"/>
      <c r="EB375" s="687"/>
      <c r="EC375" s="151"/>
      <c r="ED375" s="687"/>
      <c r="EE375" s="151"/>
      <c r="EF375" s="687"/>
      <c r="EG375" s="151"/>
      <c r="EH375" s="687"/>
      <c r="EI375" s="151"/>
      <c r="EJ375" s="687"/>
      <c r="EK375" s="151"/>
      <c r="EL375" s="687"/>
      <c r="EM375" s="687"/>
    </row>
    <row r="376" spans="1:143" ht="12.75" hidden="1" customHeight="1" outlineLevel="2" x14ac:dyDescent="0.2">
      <c r="A376" s="701" t="str">
        <f>INPUT!B332</f>
        <v>Interest Credited</v>
      </c>
      <c r="B376" s="151">
        <f>INPUT!AY332</f>
        <v>9.3000000000000007</v>
      </c>
      <c r="C376" s="687">
        <f>INPUT!AZ332</f>
        <v>0</v>
      </c>
      <c r="D376" s="151">
        <f>INPUT!BA332</f>
        <v>40.200000000000003</v>
      </c>
      <c r="E376" s="687" t="str">
        <f>INPUT!BB332</f>
        <v>NM</v>
      </c>
      <c r="F376" s="151">
        <f>INPUT!BC332</f>
        <v>39.9</v>
      </c>
      <c r="G376" s="687" t="str">
        <f>INPUT!BD332</f>
        <v>NM</v>
      </c>
      <c r="H376" s="151">
        <f>INPUT!BE332</f>
        <v>42</v>
      </c>
      <c r="I376" s="687" t="str">
        <f>INPUT!BF332</f>
        <v>NM</v>
      </c>
      <c r="J376" s="151">
        <f>INPUT!BG332</f>
        <v>38.200000000000003</v>
      </c>
      <c r="K376" s="687" t="str">
        <f>INPUT!BH332</f>
        <v>NM</v>
      </c>
      <c r="L376" s="151">
        <f>INPUT!BI332</f>
        <v>38.1</v>
      </c>
      <c r="M376" s="687">
        <f>INPUT!BJ332</f>
        <v>0</v>
      </c>
      <c r="N376" s="151"/>
      <c r="O376" s="687"/>
      <c r="P376" s="151"/>
      <c r="Q376" s="687"/>
      <c r="R376" s="151"/>
      <c r="S376" s="687"/>
      <c r="T376" s="151"/>
      <c r="U376" s="687"/>
      <c r="V376" s="151"/>
      <c r="W376" s="687"/>
      <c r="X376" s="151"/>
      <c r="Y376" s="687"/>
      <c r="Z376" s="151"/>
      <c r="AA376" s="687"/>
      <c r="AB376" s="151"/>
      <c r="AC376" s="687"/>
      <c r="AD376" s="151"/>
      <c r="AE376" s="687"/>
      <c r="AF376" s="151"/>
      <c r="AG376" s="687"/>
      <c r="AH376" s="151"/>
      <c r="AI376" s="687"/>
      <c r="AJ376" s="151"/>
      <c r="AK376" s="687"/>
      <c r="AL376" s="151"/>
      <c r="AM376" s="687"/>
      <c r="AN376" s="151"/>
      <c r="AO376" s="687"/>
      <c r="AP376" s="151"/>
      <c r="AQ376" s="687"/>
      <c r="AR376" s="151"/>
      <c r="AS376" s="687"/>
      <c r="AT376" s="151"/>
      <c r="AU376" s="687"/>
      <c r="AV376" s="151"/>
      <c r="AW376" s="687"/>
      <c r="AX376" s="151"/>
      <c r="AY376" s="687"/>
      <c r="AZ376" s="151"/>
      <c r="BA376" s="687"/>
      <c r="BB376" s="151"/>
      <c r="BC376" s="687"/>
      <c r="BD376" s="151"/>
      <c r="BE376" s="687"/>
      <c r="BF376" s="151"/>
      <c r="BG376" s="687"/>
      <c r="BH376" s="151"/>
      <c r="BI376" s="687"/>
      <c r="BJ376" s="151"/>
      <c r="BK376" s="687"/>
      <c r="BL376" s="151"/>
      <c r="BM376" s="687"/>
      <c r="BN376" s="151"/>
      <c r="BO376" s="687"/>
      <c r="BP376" s="151"/>
      <c r="BQ376" s="687"/>
      <c r="BR376" s="151"/>
      <c r="BS376" s="687"/>
      <c r="BT376" s="151"/>
      <c r="BU376" s="687"/>
      <c r="BV376" s="151"/>
      <c r="BW376" s="687"/>
      <c r="BX376" s="151"/>
      <c r="BY376" s="687"/>
      <c r="BZ376" s="151"/>
      <c r="CA376" s="687"/>
      <c r="CB376" s="151"/>
      <c r="CC376" s="687"/>
      <c r="CD376" s="151"/>
      <c r="CE376" s="687"/>
      <c r="CF376" s="151"/>
      <c r="CG376" s="687"/>
      <c r="CH376" s="151"/>
      <c r="CI376" s="687"/>
      <c r="CJ376" s="151"/>
      <c r="CK376" s="687"/>
      <c r="CL376" s="151"/>
      <c r="CM376" s="687"/>
      <c r="CN376" s="151"/>
      <c r="CO376" s="687"/>
      <c r="CP376" s="151"/>
      <c r="CQ376" s="687"/>
      <c r="CR376" s="151"/>
      <c r="CS376" s="687"/>
      <c r="CT376" s="151"/>
      <c r="CU376" s="687"/>
      <c r="CV376" s="151"/>
      <c r="CW376" s="687"/>
      <c r="CX376" s="151"/>
      <c r="CY376" s="687"/>
      <c r="CZ376" s="151"/>
      <c r="DA376" s="687"/>
      <c r="DB376" s="16"/>
      <c r="DC376" s="151">
        <f>INPUT!FP332</f>
        <v>38.799999999999997</v>
      </c>
      <c r="DD376" s="687" t="str">
        <f>INPUT!FQ332</f>
        <v>NA</v>
      </c>
      <c r="DE376" s="151">
        <f>INPUT!FR332</f>
        <v>131.4</v>
      </c>
      <c r="DF376" s="687" t="str">
        <f>INPUT!FS332</f>
        <v>NM</v>
      </c>
      <c r="DG376" s="151">
        <f>INPUT!FT332</f>
        <v>76.300000000000011</v>
      </c>
      <c r="DH376" s="687"/>
      <c r="DI376" s="151"/>
      <c r="DJ376" s="687"/>
      <c r="DK376" s="151"/>
      <c r="DL376" s="687"/>
      <c r="DM376" s="151"/>
      <c r="DN376" s="687"/>
      <c r="DO376" s="151"/>
      <c r="DP376" s="687"/>
      <c r="DQ376" s="151"/>
      <c r="DR376" s="687"/>
      <c r="DS376" s="151"/>
      <c r="DT376" s="687"/>
      <c r="DU376" s="151"/>
      <c r="DV376" s="687"/>
      <c r="DW376" s="151"/>
      <c r="DX376" s="687"/>
      <c r="DY376" s="151"/>
      <c r="DZ376" s="687"/>
      <c r="EA376" s="151"/>
      <c r="EB376" s="687"/>
      <c r="EC376" s="151"/>
      <c r="ED376" s="687"/>
      <c r="EE376" s="151"/>
      <c r="EF376" s="687"/>
      <c r="EG376" s="151"/>
      <c r="EH376" s="687"/>
      <c r="EI376" s="151"/>
      <c r="EJ376" s="687"/>
      <c r="EK376" s="151"/>
      <c r="EL376" s="687"/>
      <c r="EM376" s="687"/>
    </row>
    <row r="377" spans="1:143" ht="12.75" hidden="1" customHeight="1" outlineLevel="2" x14ac:dyDescent="0.2">
      <c r="A377" s="701" t="str">
        <f>INPUT!B333</f>
        <v>Other Expenses</v>
      </c>
      <c r="B377" s="151">
        <f>INPUT!AY333</f>
        <v>10</v>
      </c>
      <c r="C377" s="687">
        <f>INPUT!AZ333</f>
        <v>-1.9607843137254832</v>
      </c>
      <c r="D377" s="151">
        <f>INPUT!BA333</f>
        <v>12.3</v>
      </c>
      <c r="E377" s="687">
        <f>INPUT!BB333</f>
        <v>20.588235294117663</v>
      </c>
      <c r="F377" s="151">
        <f>INPUT!BC333</f>
        <v>14.6</v>
      </c>
      <c r="G377" s="687">
        <f>INPUT!BD333</f>
        <v>4.2857142857142927</v>
      </c>
      <c r="H377" s="151">
        <f>INPUT!BE333</f>
        <v>17.200000000000003</v>
      </c>
      <c r="I377" s="687">
        <f>INPUT!BF333</f>
        <v>54.954954954954992</v>
      </c>
      <c r="J377" s="151">
        <f>INPUT!BG333</f>
        <v>9.3999999999999986</v>
      </c>
      <c r="K377" s="687">
        <f>INPUT!BH333</f>
        <v>-6.000000000000016</v>
      </c>
      <c r="L377" s="151">
        <f>INPUT!BI333</f>
        <v>9.7000000000000011</v>
      </c>
      <c r="M377" s="687">
        <f>INPUT!BJ333</f>
        <v>0</v>
      </c>
      <c r="N377" s="151"/>
      <c r="O377" s="687"/>
      <c r="P377" s="151"/>
      <c r="Q377" s="687"/>
      <c r="R377" s="151"/>
      <c r="S377" s="687"/>
      <c r="T377" s="151"/>
      <c r="U377" s="687"/>
      <c r="V377" s="151"/>
      <c r="W377" s="687"/>
      <c r="X377" s="151"/>
      <c r="Y377" s="687"/>
      <c r="Z377" s="151"/>
      <c r="AA377" s="687"/>
      <c r="AB377" s="151"/>
      <c r="AC377" s="687"/>
      <c r="AD377" s="151"/>
      <c r="AE377" s="687"/>
      <c r="AF377" s="151"/>
      <c r="AG377" s="687"/>
      <c r="AH377" s="151"/>
      <c r="AI377" s="687"/>
      <c r="AJ377" s="151"/>
      <c r="AK377" s="687"/>
      <c r="AL377" s="151"/>
      <c r="AM377" s="687"/>
      <c r="AN377" s="151"/>
      <c r="AO377" s="687"/>
      <c r="AP377" s="151"/>
      <c r="AQ377" s="687"/>
      <c r="AR377" s="151"/>
      <c r="AS377" s="687"/>
      <c r="AT377" s="151"/>
      <c r="AU377" s="687"/>
      <c r="AV377" s="151"/>
      <c r="AW377" s="687"/>
      <c r="AX377" s="151"/>
      <c r="AY377" s="687"/>
      <c r="AZ377" s="151"/>
      <c r="BA377" s="687"/>
      <c r="BB377" s="151"/>
      <c r="BC377" s="687"/>
      <c r="BD377" s="151"/>
      <c r="BE377" s="687"/>
      <c r="BF377" s="151"/>
      <c r="BG377" s="687"/>
      <c r="BH377" s="151"/>
      <c r="BI377" s="687"/>
      <c r="BJ377" s="151"/>
      <c r="BK377" s="687"/>
      <c r="BL377" s="151"/>
      <c r="BM377" s="687"/>
      <c r="BN377" s="151"/>
      <c r="BO377" s="687"/>
      <c r="BP377" s="151"/>
      <c r="BQ377" s="687"/>
      <c r="BR377" s="151"/>
      <c r="BS377" s="687"/>
      <c r="BT377" s="151"/>
      <c r="BU377" s="687"/>
      <c r="BV377" s="151"/>
      <c r="BW377" s="687"/>
      <c r="BX377" s="151"/>
      <c r="BY377" s="687"/>
      <c r="BZ377" s="151"/>
      <c r="CA377" s="687"/>
      <c r="CB377" s="151"/>
      <c r="CC377" s="687"/>
      <c r="CD377" s="151"/>
      <c r="CE377" s="687"/>
      <c r="CF377" s="151"/>
      <c r="CG377" s="687"/>
      <c r="CH377" s="151"/>
      <c r="CI377" s="687"/>
      <c r="CJ377" s="151"/>
      <c r="CK377" s="687"/>
      <c r="CL377" s="151"/>
      <c r="CM377" s="687"/>
      <c r="CN377" s="151"/>
      <c r="CO377" s="687"/>
      <c r="CP377" s="151"/>
      <c r="CQ377" s="687"/>
      <c r="CR377" s="151"/>
      <c r="CS377" s="687"/>
      <c r="CT377" s="151"/>
      <c r="CU377" s="687"/>
      <c r="CV377" s="151"/>
      <c r="CW377" s="687"/>
      <c r="CX377" s="151"/>
      <c r="CY377" s="687"/>
      <c r="CZ377" s="151"/>
      <c r="DA377" s="687"/>
      <c r="DB377" s="16"/>
      <c r="DC377" s="151">
        <f>INPUT!FP333</f>
        <v>45.5</v>
      </c>
      <c r="DD377" s="687" t="str">
        <f>INPUT!FQ333</f>
        <v>NA</v>
      </c>
      <c r="DE377" s="151">
        <f>INPUT!FR333</f>
        <v>54.1</v>
      </c>
      <c r="DF377" s="687">
        <f>INPUT!FS333</f>
        <v>18.901098901098901</v>
      </c>
      <c r="DG377" s="151">
        <f>INPUT!FT333</f>
        <v>19.100000000000001</v>
      </c>
      <c r="DH377" s="687"/>
      <c r="DI377" s="151"/>
      <c r="DJ377" s="687"/>
      <c r="DK377" s="151"/>
      <c r="DL377" s="687"/>
      <c r="DM377" s="151"/>
      <c r="DN377" s="687"/>
      <c r="DO377" s="151"/>
      <c r="DP377" s="687"/>
      <c r="DQ377" s="151"/>
      <c r="DR377" s="687"/>
      <c r="DS377" s="151"/>
      <c r="DT377" s="687"/>
      <c r="DU377" s="151"/>
      <c r="DV377" s="687"/>
      <c r="DW377" s="151"/>
      <c r="DX377" s="687"/>
      <c r="DY377" s="151"/>
      <c r="DZ377" s="687"/>
      <c r="EA377" s="151"/>
      <c r="EB377" s="687"/>
      <c r="EC377" s="151"/>
      <c r="ED377" s="687"/>
      <c r="EE377" s="151"/>
      <c r="EF377" s="687"/>
      <c r="EG377" s="151"/>
      <c r="EH377" s="687"/>
      <c r="EI377" s="151"/>
      <c r="EJ377" s="687"/>
      <c r="EK377" s="151"/>
      <c r="EL377" s="687"/>
      <c r="EM377" s="687"/>
    </row>
    <row r="378" spans="1:143" ht="12.75" hidden="1" customHeight="1" outlineLevel="2" x14ac:dyDescent="0.2">
      <c r="A378" s="701" t="str">
        <f>INPUT!B334</f>
        <v>Net DAC and VOBA Amortization</v>
      </c>
      <c r="B378" s="151">
        <f>INPUT!AY334</f>
        <v>-5.4</v>
      </c>
      <c r="C378" s="687" t="str">
        <f>INPUT!AZ334</f>
        <v>NM</v>
      </c>
      <c r="D378" s="151">
        <f>INPUT!BA334</f>
        <v>-5.0999999999999996</v>
      </c>
      <c r="E378" s="687">
        <f>INPUT!BB334</f>
        <v>88.888888888888886</v>
      </c>
      <c r="F378" s="151">
        <f>INPUT!BC334</f>
        <v>-2.9000000000000004</v>
      </c>
      <c r="G378" s="687" t="str">
        <f>INPUT!BD334</f>
        <v>NM</v>
      </c>
      <c r="H378" s="151">
        <f>INPUT!BE334</f>
        <v>-8.1000000000000014</v>
      </c>
      <c r="I378" s="687" t="str">
        <f>INPUT!BF334</f>
        <v>NM</v>
      </c>
      <c r="J378" s="151">
        <f>INPUT!BG334</f>
        <v>0.79999999999999982</v>
      </c>
      <c r="K378" s="687" t="str">
        <f>INPUT!BH334</f>
        <v>NM</v>
      </c>
      <c r="L378" s="151">
        <f>INPUT!BI334</f>
        <v>-0.90000000000000036</v>
      </c>
      <c r="M378" s="687">
        <f>INPUT!BJ334</f>
        <v>0</v>
      </c>
      <c r="N378" s="151"/>
      <c r="O378" s="687"/>
      <c r="P378" s="151"/>
      <c r="Q378" s="687"/>
      <c r="R378" s="151"/>
      <c r="S378" s="687"/>
      <c r="T378" s="151"/>
      <c r="U378" s="687"/>
      <c r="V378" s="151"/>
      <c r="W378" s="687"/>
      <c r="X378" s="151"/>
      <c r="Y378" s="687"/>
      <c r="Z378" s="151"/>
      <c r="AA378" s="687"/>
      <c r="AB378" s="151"/>
      <c r="AC378" s="687"/>
      <c r="AD378" s="151"/>
      <c r="AE378" s="687"/>
      <c r="AF378" s="151"/>
      <c r="AG378" s="687"/>
      <c r="AH378" s="151"/>
      <c r="AI378" s="687"/>
      <c r="AJ378" s="151"/>
      <c r="AK378" s="687"/>
      <c r="AL378" s="151"/>
      <c r="AM378" s="687"/>
      <c r="AN378" s="151"/>
      <c r="AO378" s="687"/>
      <c r="AP378" s="151"/>
      <c r="AQ378" s="687"/>
      <c r="AR378" s="151"/>
      <c r="AS378" s="687"/>
      <c r="AT378" s="151"/>
      <c r="AU378" s="687"/>
      <c r="AV378" s="151"/>
      <c r="AW378" s="687"/>
      <c r="AX378" s="151"/>
      <c r="AY378" s="687"/>
      <c r="AZ378" s="151"/>
      <c r="BA378" s="687"/>
      <c r="BB378" s="151"/>
      <c r="BC378" s="687"/>
      <c r="BD378" s="151"/>
      <c r="BE378" s="687"/>
      <c r="BF378" s="151"/>
      <c r="BG378" s="687"/>
      <c r="BH378" s="151"/>
      <c r="BI378" s="687"/>
      <c r="BJ378" s="151"/>
      <c r="BK378" s="687"/>
      <c r="BL378" s="151"/>
      <c r="BM378" s="687"/>
      <c r="BN378" s="151"/>
      <c r="BO378" s="687"/>
      <c r="BP378" s="151"/>
      <c r="BQ378" s="687"/>
      <c r="BR378" s="151"/>
      <c r="BS378" s="687"/>
      <c r="BT378" s="151"/>
      <c r="BU378" s="687"/>
      <c r="BV378" s="151"/>
      <c r="BW378" s="687"/>
      <c r="BX378" s="151"/>
      <c r="BY378" s="687"/>
      <c r="BZ378" s="151"/>
      <c r="CA378" s="687"/>
      <c r="CB378" s="151"/>
      <c r="CC378" s="687"/>
      <c r="CD378" s="151"/>
      <c r="CE378" s="687"/>
      <c r="CF378" s="151"/>
      <c r="CG378" s="687"/>
      <c r="CH378" s="151"/>
      <c r="CI378" s="687"/>
      <c r="CJ378" s="151"/>
      <c r="CK378" s="687"/>
      <c r="CL378" s="151"/>
      <c r="CM378" s="687"/>
      <c r="CN378" s="151"/>
      <c r="CO378" s="687"/>
      <c r="CP378" s="151"/>
      <c r="CQ378" s="687"/>
      <c r="CR378" s="151"/>
      <c r="CS378" s="687"/>
      <c r="CT378" s="151"/>
      <c r="CU378" s="687"/>
      <c r="CV378" s="151"/>
      <c r="CW378" s="687"/>
      <c r="CX378" s="151"/>
      <c r="CY378" s="687"/>
      <c r="CZ378" s="151"/>
      <c r="DA378" s="687"/>
      <c r="DB378" s="16"/>
      <c r="DC378" s="151">
        <f>INPUT!FP334</f>
        <v>-16.3</v>
      </c>
      <c r="DD378" s="687" t="str">
        <f>INPUT!FQ334</f>
        <v>NA</v>
      </c>
      <c r="DE378" s="151">
        <f>INPUT!FR334</f>
        <v>-21.5</v>
      </c>
      <c r="DF378" s="687">
        <f>INPUT!FS334</f>
        <v>31.901840490797539</v>
      </c>
      <c r="DG378" s="151">
        <f>INPUT!FT334</f>
        <v>-0.10000000000000053</v>
      </c>
      <c r="DH378" s="687"/>
      <c r="DI378" s="151"/>
      <c r="DJ378" s="687"/>
      <c r="DK378" s="151"/>
      <c r="DL378" s="687"/>
      <c r="DM378" s="151"/>
      <c r="DN378" s="687"/>
      <c r="DO378" s="151"/>
      <c r="DP378" s="687"/>
      <c r="DQ378" s="151"/>
      <c r="DR378" s="687"/>
      <c r="DS378" s="151"/>
      <c r="DT378" s="687"/>
      <c r="DU378" s="151"/>
      <c r="DV378" s="687"/>
      <c r="DW378" s="151"/>
      <c r="DX378" s="687"/>
      <c r="DY378" s="151"/>
      <c r="DZ378" s="687"/>
      <c r="EA378" s="151"/>
      <c r="EB378" s="687"/>
      <c r="EC378" s="151"/>
      <c r="ED378" s="687"/>
      <c r="EE378" s="151"/>
      <c r="EF378" s="687"/>
      <c r="EG378" s="151"/>
      <c r="EH378" s="687"/>
      <c r="EI378" s="151"/>
      <c r="EJ378" s="687"/>
      <c r="EK378" s="151"/>
      <c r="EL378" s="687"/>
      <c r="EM378" s="687"/>
    </row>
    <row r="379" spans="1:143" ht="12.75" hidden="1" customHeight="1" outlineLevel="2" x14ac:dyDescent="0.2">
      <c r="A379" s="701" t="str">
        <f>INPUT!B335</f>
        <v>Total Operating and Acquisition Exp</v>
      </c>
      <c r="B379" s="151">
        <f>INPUT!AY335</f>
        <v>4.5999999999999996</v>
      </c>
      <c r="C379" s="687">
        <f>INPUT!AZ335</f>
        <v>-42.500000000000007</v>
      </c>
      <c r="D379" s="151">
        <f>INPUT!BA335</f>
        <v>7.2</v>
      </c>
      <c r="E379" s="687">
        <f>INPUT!BB335</f>
        <v>-3.9999999999999925</v>
      </c>
      <c r="F379" s="151">
        <f>INPUT!BC335</f>
        <v>11.7</v>
      </c>
      <c r="G379" s="687">
        <f>INPUT!BD335</f>
        <v>82.812499999999972</v>
      </c>
      <c r="H379" s="151">
        <f>INPUT!BE335</f>
        <v>9.1</v>
      </c>
      <c r="I379" s="687">
        <f>INPUT!BF335</f>
        <v>24.657534246575331</v>
      </c>
      <c r="J379" s="151">
        <f>INPUT!BG335</f>
        <v>10.199999999999999</v>
      </c>
      <c r="K379" s="687" t="str">
        <f>INPUT!BH335</f>
        <v>NM</v>
      </c>
      <c r="L379" s="151">
        <f>INPUT!BI335</f>
        <v>8.8000000000000007</v>
      </c>
      <c r="M379" s="687">
        <f>INPUT!BJ335</f>
        <v>0</v>
      </c>
      <c r="N379" s="151"/>
      <c r="O379" s="687"/>
      <c r="P379" s="151"/>
      <c r="Q379" s="687"/>
      <c r="R379" s="151"/>
      <c r="S379" s="687"/>
      <c r="T379" s="151"/>
      <c r="U379" s="687"/>
      <c r="V379" s="151"/>
      <c r="W379" s="687"/>
      <c r="X379" s="151"/>
      <c r="Y379" s="687"/>
      <c r="Z379" s="151"/>
      <c r="AA379" s="687"/>
      <c r="AB379" s="151"/>
      <c r="AC379" s="687"/>
      <c r="AD379" s="151"/>
      <c r="AE379" s="687"/>
      <c r="AF379" s="151"/>
      <c r="AG379" s="687"/>
      <c r="AH379" s="151"/>
      <c r="AI379" s="687"/>
      <c r="AJ379" s="151"/>
      <c r="AK379" s="687"/>
      <c r="AL379" s="151"/>
      <c r="AM379" s="687"/>
      <c r="AN379" s="151"/>
      <c r="AO379" s="687"/>
      <c r="AP379" s="151"/>
      <c r="AQ379" s="687"/>
      <c r="AR379" s="151"/>
      <c r="AS379" s="687"/>
      <c r="AT379" s="151"/>
      <c r="AU379" s="687"/>
      <c r="AV379" s="151"/>
      <c r="AW379" s="687"/>
      <c r="AX379" s="151"/>
      <c r="AY379" s="687"/>
      <c r="AZ379" s="151"/>
      <c r="BA379" s="687"/>
      <c r="BB379" s="151"/>
      <c r="BC379" s="687"/>
      <c r="BD379" s="151"/>
      <c r="BE379" s="687"/>
      <c r="BF379" s="151"/>
      <c r="BG379" s="687"/>
      <c r="BH379" s="151"/>
      <c r="BI379" s="687"/>
      <c r="BJ379" s="151"/>
      <c r="BK379" s="687"/>
      <c r="BL379" s="151"/>
      <c r="BM379" s="687"/>
      <c r="BN379" s="151"/>
      <c r="BO379" s="687"/>
      <c r="BP379" s="151"/>
      <c r="BQ379" s="687"/>
      <c r="BR379" s="151"/>
      <c r="BS379" s="687"/>
      <c r="BT379" s="151"/>
      <c r="BU379" s="687"/>
      <c r="BV379" s="151"/>
      <c r="BW379" s="687"/>
      <c r="BX379" s="151"/>
      <c r="BY379" s="687"/>
      <c r="BZ379" s="151"/>
      <c r="CA379" s="687"/>
      <c r="CB379" s="151"/>
      <c r="CC379" s="687"/>
      <c r="CD379" s="151"/>
      <c r="CE379" s="687"/>
      <c r="CF379" s="151"/>
      <c r="CG379" s="687"/>
      <c r="CH379" s="151"/>
      <c r="CI379" s="687"/>
      <c r="CJ379" s="151"/>
      <c r="CK379" s="687"/>
      <c r="CL379" s="151"/>
      <c r="CM379" s="687"/>
      <c r="CN379" s="151"/>
      <c r="CO379" s="687"/>
      <c r="CP379" s="151"/>
      <c r="CQ379" s="687"/>
      <c r="CR379" s="151"/>
      <c r="CS379" s="687"/>
      <c r="CT379" s="151"/>
      <c r="CU379" s="687"/>
      <c r="CV379" s="151"/>
      <c r="CW379" s="687"/>
      <c r="CX379" s="151"/>
      <c r="CY379" s="687"/>
      <c r="CZ379" s="151"/>
      <c r="DA379" s="687"/>
      <c r="DB379" s="16"/>
      <c r="DC379" s="151">
        <f>INPUT!FP335</f>
        <v>29.2</v>
      </c>
      <c r="DD379" s="687" t="str">
        <f>INPUT!FQ335</f>
        <v>NA</v>
      </c>
      <c r="DE379" s="151">
        <f>INPUT!FR335</f>
        <v>32.6</v>
      </c>
      <c r="DF379" s="687">
        <f>INPUT!FS335</f>
        <v>11.643835616438359</v>
      </c>
      <c r="DG379" s="151">
        <f>INPUT!FT335</f>
        <v>19</v>
      </c>
      <c r="DH379" s="687"/>
      <c r="DI379" s="151"/>
      <c r="DJ379" s="687"/>
      <c r="DK379" s="151"/>
      <c r="DL379" s="687"/>
      <c r="DM379" s="151"/>
      <c r="DN379" s="687"/>
      <c r="DO379" s="151"/>
      <c r="DP379" s="687"/>
      <c r="DQ379" s="151"/>
      <c r="DR379" s="687"/>
      <c r="DS379" s="151"/>
      <c r="DT379" s="687"/>
      <c r="DU379" s="151"/>
      <c r="DV379" s="687"/>
      <c r="DW379" s="151"/>
      <c r="DX379" s="687"/>
      <c r="DY379" s="151"/>
      <c r="DZ379" s="687"/>
      <c r="EA379" s="151"/>
      <c r="EB379" s="687"/>
      <c r="EC379" s="151"/>
      <c r="ED379" s="687"/>
      <c r="EE379" s="151"/>
      <c r="EF379" s="687"/>
      <c r="EG379" s="151"/>
      <c r="EH379" s="687"/>
      <c r="EI379" s="151"/>
      <c r="EJ379" s="687"/>
      <c r="EK379" s="151"/>
      <c r="EL379" s="687"/>
      <c r="EM379" s="687"/>
    </row>
    <row r="380" spans="1:143" ht="12.75" hidden="1" customHeight="1" outlineLevel="2" x14ac:dyDescent="0.2">
      <c r="A380" s="701" t="str">
        <f>INPUT!B336</f>
        <v xml:space="preserve"> Total Benefits and Expenses</v>
      </c>
      <c r="B380" s="151">
        <f>INPUT!AY336</f>
        <v>46.699999999999996</v>
      </c>
      <c r="C380" s="687">
        <f>INPUT!AZ336</f>
        <v>-4.8879837067209886</v>
      </c>
      <c r="D380" s="151">
        <f>INPUT!BA336</f>
        <v>77.800000000000011</v>
      </c>
      <c r="E380" s="687">
        <f>INPUT!BB336</f>
        <v>62.761506276150669</v>
      </c>
      <c r="F380" s="151">
        <f>INPUT!BC336</f>
        <v>87.199999999999989</v>
      </c>
      <c r="G380" s="687">
        <f>INPUT!BD336</f>
        <v>53.791887125220427</v>
      </c>
      <c r="H380" s="151">
        <f>INPUT!BE336</f>
        <v>90.800000000000011</v>
      </c>
      <c r="I380" s="687">
        <f>INPUT!BF336</f>
        <v>89.166666666666686</v>
      </c>
      <c r="J380" s="151">
        <f>INPUT!BG336</f>
        <v>51.2</v>
      </c>
      <c r="K380" s="687">
        <f>INPUT!BH336</f>
        <v>9.6359743040685295</v>
      </c>
      <c r="L380" s="151">
        <f>INPUT!BI336</f>
        <v>49.600000000000009</v>
      </c>
      <c r="M380" s="687">
        <f>INPUT!BJ336</f>
        <v>0</v>
      </c>
      <c r="N380" s="151"/>
      <c r="O380" s="687"/>
      <c r="P380" s="151"/>
      <c r="Q380" s="687"/>
      <c r="R380" s="151"/>
      <c r="S380" s="687"/>
      <c r="T380" s="151"/>
      <c r="U380" s="687"/>
      <c r="V380" s="151"/>
      <c r="W380" s="687"/>
      <c r="X380" s="151"/>
      <c r="Y380" s="687"/>
      <c r="Z380" s="151"/>
      <c r="AA380" s="687"/>
      <c r="AB380" s="151"/>
      <c r="AC380" s="687"/>
      <c r="AD380" s="151"/>
      <c r="AE380" s="687"/>
      <c r="AF380" s="151"/>
      <c r="AG380" s="687"/>
      <c r="AH380" s="151"/>
      <c r="AI380" s="687"/>
      <c r="AJ380" s="151"/>
      <c r="AK380" s="687"/>
      <c r="AL380" s="151"/>
      <c r="AM380" s="687"/>
      <c r="AN380" s="151"/>
      <c r="AO380" s="687"/>
      <c r="AP380" s="151"/>
      <c r="AQ380" s="687"/>
      <c r="AR380" s="151"/>
      <c r="AS380" s="687"/>
      <c r="AT380" s="151"/>
      <c r="AU380" s="687"/>
      <c r="AV380" s="151"/>
      <c r="AW380" s="687"/>
      <c r="AX380" s="151"/>
      <c r="AY380" s="687"/>
      <c r="AZ380" s="151"/>
      <c r="BA380" s="687"/>
      <c r="BB380" s="151"/>
      <c r="BC380" s="687"/>
      <c r="BD380" s="151"/>
      <c r="BE380" s="687"/>
      <c r="BF380" s="151"/>
      <c r="BG380" s="687"/>
      <c r="BH380" s="151"/>
      <c r="BI380" s="687"/>
      <c r="BJ380" s="151"/>
      <c r="BK380" s="687"/>
      <c r="BL380" s="151"/>
      <c r="BM380" s="687"/>
      <c r="BN380" s="151"/>
      <c r="BO380" s="687"/>
      <c r="BP380" s="151"/>
      <c r="BQ380" s="687"/>
      <c r="BR380" s="151"/>
      <c r="BS380" s="687"/>
      <c r="BT380" s="151"/>
      <c r="BU380" s="687"/>
      <c r="BV380" s="151"/>
      <c r="BW380" s="687"/>
      <c r="BX380" s="151"/>
      <c r="BY380" s="687"/>
      <c r="BZ380" s="151"/>
      <c r="CA380" s="687"/>
      <c r="CB380" s="151"/>
      <c r="CC380" s="687"/>
      <c r="CD380" s="151"/>
      <c r="CE380" s="687"/>
      <c r="CF380" s="151"/>
      <c r="CG380" s="687"/>
      <c r="CH380" s="151"/>
      <c r="CI380" s="687"/>
      <c r="CJ380" s="151"/>
      <c r="CK380" s="687"/>
      <c r="CL380" s="151"/>
      <c r="CM380" s="687"/>
      <c r="CN380" s="151"/>
      <c r="CO380" s="687"/>
      <c r="CP380" s="151"/>
      <c r="CQ380" s="687"/>
      <c r="CR380" s="151"/>
      <c r="CS380" s="687"/>
      <c r="CT380" s="151"/>
      <c r="CU380" s="687"/>
      <c r="CV380" s="151"/>
      <c r="CW380" s="687"/>
      <c r="CX380" s="151"/>
      <c r="CY380" s="687"/>
      <c r="CZ380" s="151"/>
      <c r="DA380" s="687"/>
      <c r="DB380" s="16"/>
      <c r="DC380" s="151">
        <f>INPUT!FP336</f>
        <v>201.6</v>
      </c>
      <c r="DD380" s="687" t="str">
        <f>INPUT!FQ336</f>
        <v>NA</v>
      </c>
      <c r="DE380" s="151">
        <f>INPUT!FR336</f>
        <v>302.5</v>
      </c>
      <c r="DF380" s="687">
        <f>INPUT!FS336</f>
        <v>50.049603174603185</v>
      </c>
      <c r="DG380" s="151">
        <f>INPUT!FT336</f>
        <v>100.80000000000001</v>
      </c>
      <c r="DH380" s="687"/>
      <c r="DI380" s="151"/>
      <c r="DJ380" s="687"/>
      <c r="DK380" s="151"/>
      <c r="DL380" s="687"/>
      <c r="DM380" s="151"/>
      <c r="DN380" s="687"/>
      <c r="DO380" s="151"/>
      <c r="DP380" s="687"/>
      <c r="DQ380" s="151"/>
      <c r="DR380" s="687"/>
      <c r="DS380" s="151"/>
      <c r="DT380" s="687"/>
      <c r="DU380" s="151"/>
      <c r="DV380" s="687"/>
      <c r="DW380" s="151"/>
      <c r="DX380" s="687"/>
      <c r="DY380" s="151"/>
      <c r="DZ380" s="687"/>
      <c r="EA380" s="151"/>
      <c r="EB380" s="687"/>
      <c r="EC380" s="151"/>
      <c r="ED380" s="687"/>
      <c r="EE380" s="151"/>
      <c r="EF380" s="687"/>
      <c r="EG380" s="151"/>
      <c r="EH380" s="687"/>
      <c r="EI380" s="151"/>
      <c r="EJ380" s="687"/>
      <c r="EK380" s="151"/>
      <c r="EL380" s="687"/>
      <c r="EM380" s="687"/>
    </row>
    <row r="381" spans="1:143" ht="12.75" hidden="1" customHeight="1" outlineLevel="2" x14ac:dyDescent="0.2">
      <c r="A381" s="701"/>
      <c r="B381" s="151"/>
      <c r="C381" s="687"/>
      <c r="D381" s="151"/>
      <c r="E381" s="687"/>
      <c r="F381" s="151"/>
      <c r="G381" s="687"/>
      <c r="H381" s="151"/>
      <c r="I381" s="687"/>
      <c r="J381" s="151"/>
      <c r="K381" s="687"/>
      <c r="L381" s="151"/>
      <c r="M381" s="687"/>
      <c r="N381" s="151"/>
      <c r="O381" s="687"/>
      <c r="P381" s="151"/>
      <c r="Q381" s="687"/>
      <c r="R381" s="151"/>
      <c r="S381" s="687"/>
      <c r="T381" s="151"/>
      <c r="U381" s="687"/>
      <c r="V381" s="151"/>
      <c r="W381" s="687"/>
      <c r="X381" s="151"/>
      <c r="Y381" s="687"/>
      <c r="Z381" s="151"/>
      <c r="AA381" s="687"/>
      <c r="AB381" s="151"/>
      <c r="AC381" s="687"/>
      <c r="AD381" s="151"/>
      <c r="AE381" s="687"/>
      <c r="AF381" s="151"/>
      <c r="AG381" s="687"/>
      <c r="AH381" s="151"/>
      <c r="AI381" s="687"/>
      <c r="AJ381" s="151"/>
      <c r="AK381" s="687"/>
      <c r="AL381" s="151"/>
      <c r="AM381" s="687"/>
      <c r="AN381" s="151"/>
      <c r="AO381" s="687"/>
      <c r="AP381" s="151"/>
      <c r="AQ381" s="687"/>
      <c r="AR381" s="151"/>
      <c r="AS381" s="687"/>
      <c r="AT381" s="151"/>
      <c r="AU381" s="687"/>
      <c r="AV381" s="151"/>
      <c r="AW381" s="687"/>
      <c r="AX381" s="151"/>
      <c r="AY381" s="687"/>
      <c r="AZ381" s="151"/>
      <c r="BA381" s="687"/>
      <c r="BB381" s="151"/>
      <c r="BC381" s="687"/>
      <c r="BD381" s="151"/>
      <c r="BE381" s="687"/>
      <c r="BF381" s="151"/>
      <c r="BG381" s="687"/>
      <c r="BH381" s="151"/>
      <c r="BI381" s="687"/>
      <c r="BJ381" s="151"/>
      <c r="BK381" s="687"/>
      <c r="BL381" s="151"/>
      <c r="BM381" s="687"/>
      <c r="BN381" s="151"/>
      <c r="BO381" s="687"/>
      <c r="BP381" s="151"/>
      <c r="BQ381" s="687"/>
      <c r="BR381" s="151"/>
      <c r="BS381" s="687"/>
      <c r="BT381" s="151"/>
      <c r="BU381" s="687"/>
      <c r="BV381" s="151"/>
      <c r="BW381" s="687"/>
      <c r="BX381" s="151"/>
      <c r="BY381" s="687"/>
      <c r="BZ381" s="151"/>
      <c r="CA381" s="687"/>
      <c r="CB381" s="151"/>
      <c r="CC381" s="687"/>
      <c r="CD381" s="151"/>
      <c r="CE381" s="687"/>
      <c r="CF381" s="151"/>
      <c r="CG381" s="687"/>
      <c r="CH381" s="151"/>
      <c r="CI381" s="687"/>
      <c r="CJ381" s="151"/>
      <c r="CK381" s="687"/>
      <c r="CL381" s="151"/>
      <c r="CM381" s="687"/>
      <c r="CN381" s="151"/>
      <c r="CO381" s="687"/>
      <c r="CP381" s="151"/>
      <c r="CQ381" s="687"/>
      <c r="CR381" s="151"/>
      <c r="CS381" s="687"/>
      <c r="CT381" s="151"/>
      <c r="CU381" s="687"/>
      <c r="CV381" s="151"/>
      <c r="CW381" s="687"/>
      <c r="CX381" s="151"/>
      <c r="CY381" s="687"/>
      <c r="CZ381" s="151"/>
      <c r="DA381" s="687"/>
      <c r="DB381" s="16"/>
      <c r="DC381" s="151"/>
      <c r="DD381" s="687"/>
      <c r="DE381" s="151"/>
      <c r="DF381" s="687"/>
      <c r="DG381" s="151"/>
      <c r="DH381" s="687"/>
      <c r="DI381" s="151"/>
      <c r="DJ381" s="687"/>
      <c r="DK381" s="151"/>
      <c r="DL381" s="687"/>
      <c r="DM381" s="151"/>
      <c r="DN381" s="687"/>
      <c r="DO381" s="151"/>
      <c r="DP381" s="687"/>
      <c r="DQ381" s="151"/>
      <c r="DR381" s="687"/>
      <c r="DS381" s="151"/>
      <c r="DT381" s="687"/>
      <c r="DU381" s="151"/>
      <c r="DV381" s="687"/>
      <c r="DW381" s="151"/>
      <c r="DX381" s="687"/>
      <c r="DY381" s="151"/>
      <c r="DZ381" s="687"/>
      <c r="EA381" s="151"/>
      <c r="EB381" s="687"/>
      <c r="EC381" s="151"/>
      <c r="ED381" s="687"/>
      <c r="EE381" s="151"/>
      <c r="EF381" s="687"/>
      <c r="EG381" s="151"/>
      <c r="EH381" s="687"/>
      <c r="EI381" s="151"/>
      <c r="EJ381" s="687"/>
      <c r="EK381" s="151"/>
      <c r="EL381" s="687"/>
      <c r="EM381" s="687"/>
    </row>
    <row r="382" spans="1:143" ht="12.75" hidden="1" customHeight="1" outlineLevel="2" x14ac:dyDescent="0.2">
      <c r="A382" s="701" t="str">
        <f>INPUT!B343</f>
        <v>Pretax Earnings</v>
      </c>
      <c r="B382" s="151">
        <f>INPUT!AY343</f>
        <v>10.500000000000007</v>
      </c>
      <c r="C382" s="687" t="str">
        <f>INPUT!AZ343</f>
        <v>NM</v>
      </c>
      <c r="D382" s="151">
        <f>INPUT!BA343</f>
        <v>23.399999999999991</v>
      </c>
      <c r="E382" s="687" t="str">
        <f>INPUT!BB343</f>
        <v>NM</v>
      </c>
      <c r="F382" s="151">
        <f>INPUT!BC343</f>
        <v>17.100000000000009</v>
      </c>
      <c r="G382" s="687" t="str">
        <f>INPUT!BD343</f>
        <v>NM</v>
      </c>
      <c r="H382" s="151">
        <f>INPUT!BE343</f>
        <v>18.299999999999983</v>
      </c>
      <c r="I382" s="687">
        <f>INPUT!BF343</f>
        <v>34.558823529411683</v>
      </c>
      <c r="J382" s="151">
        <f>INPUT!BG343</f>
        <v>18.099999999999994</v>
      </c>
      <c r="K382" s="687">
        <f>INPUT!BH343</f>
        <v>72.380952380952209</v>
      </c>
      <c r="L382" s="151">
        <f>INPUT!BI343</f>
        <v>16.499999999999986</v>
      </c>
      <c r="M382" s="687">
        <f>INPUT!BJ343</f>
        <v>0</v>
      </c>
      <c r="N382" s="151"/>
      <c r="O382" s="687"/>
      <c r="P382" s="151"/>
      <c r="Q382" s="687"/>
      <c r="R382" s="151"/>
      <c r="S382" s="687"/>
      <c r="T382" s="151"/>
      <c r="U382" s="687"/>
      <c r="V382" s="151"/>
      <c r="W382" s="687"/>
      <c r="X382" s="151"/>
      <c r="Y382" s="687"/>
      <c r="Z382" s="151"/>
      <c r="AA382" s="687"/>
      <c r="AB382" s="151"/>
      <c r="AC382" s="687"/>
      <c r="AD382" s="151"/>
      <c r="AE382" s="687"/>
      <c r="AF382" s="151"/>
      <c r="AG382" s="687"/>
      <c r="AH382" s="151"/>
      <c r="AI382" s="687"/>
      <c r="AJ382" s="151"/>
      <c r="AK382" s="687"/>
      <c r="AL382" s="151"/>
      <c r="AM382" s="687"/>
      <c r="AN382" s="151"/>
      <c r="AO382" s="687"/>
      <c r="AP382" s="151"/>
      <c r="AQ382" s="687"/>
      <c r="AR382" s="151"/>
      <c r="AS382" s="687"/>
      <c r="AT382" s="151"/>
      <c r="AU382" s="687"/>
      <c r="AV382" s="151"/>
      <c r="AW382" s="687"/>
      <c r="AX382" s="151"/>
      <c r="AY382" s="687"/>
      <c r="AZ382" s="151"/>
      <c r="BA382" s="687"/>
      <c r="BB382" s="151"/>
      <c r="BC382" s="687"/>
      <c r="BD382" s="151"/>
      <c r="BE382" s="687"/>
      <c r="BF382" s="151"/>
      <c r="BG382" s="687"/>
      <c r="BH382" s="151"/>
      <c r="BI382" s="687"/>
      <c r="BJ382" s="151"/>
      <c r="BK382" s="687"/>
      <c r="BL382" s="151"/>
      <c r="BM382" s="687"/>
      <c r="BN382" s="151"/>
      <c r="BO382" s="687"/>
      <c r="BP382" s="151"/>
      <c r="BQ382" s="687"/>
      <c r="BR382" s="151"/>
      <c r="BS382" s="687"/>
      <c r="BT382" s="151"/>
      <c r="BU382" s="687"/>
      <c r="BV382" s="151"/>
      <c r="BW382" s="687"/>
      <c r="BX382" s="151"/>
      <c r="BY382" s="687"/>
      <c r="BZ382" s="151"/>
      <c r="CA382" s="687"/>
      <c r="CB382" s="151"/>
      <c r="CC382" s="687"/>
      <c r="CD382" s="151"/>
      <c r="CE382" s="687"/>
      <c r="CF382" s="151"/>
      <c r="CG382" s="687"/>
      <c r="CH382" s="151"/>
      <c r="CI382" s="687"/>
      <c r="CJ382" s="151"/>
      <c r="CK382" s="687"/>
      <c r="CL382" s="151"/>
      <c r="CM382" s="687"/>
      <c r="CN382" s="151"/>
      <c r="CO382" s="687"/>
      <c r="CP382" s="151"/>
      <c r="CQ382" s="687"/>
      <c r="CR382" s="151"/>
      <c r="CS382" s="687"/>
      <c r="CT382" s="151"/>
      <c r="CU382" s="687"/>
      <c r="CV382" s="151"/>
      <c r="CW382" s="687"/>
      <c r="CX382" s="151"/>
      <c r="CY382" s="687"/>
      <c r="CZ382" s="151"/>
      <c r="DA382" s="687"/>
      <c r="DB382" s="16"/>
      <c r="DC382" s="151">
        <f>INPUT!FP343</f>
        <v>25.600000000000023</v>
      </c>
      <c r="DD382" s="687" t="str">
        <f>INPUT!FQ343</f>
        <v>NA</v>
      </c>
      <c r="DE382" s="151">
        <f>INPUT!FR343</f>
        <v>69.299999999999955</v>
      </c>
      <c r="DF382" s="687" t="str">
        <f>INPUT!FS343</f>
        <v>NM</v>
      </c>
      <c r="DG382" s="151">
        <f>INPUT!FT343</f>
        <v>34.599999999999966</v>
      </c>
      <c r="DH382" s="687"/>
      <c r="DI382" s="151"/>
      <c r="DJ382" s="687"/>
      <c r="DK382" s="151"/>
      <c r="DL382" s="687"/>
      <c r="DM382" s="151"/>
      <c r="DN382" s="687"/>
      <c r="DO382" s="151"/>
      <c r="DP382" s="687"/>
      <c r="DQ382" s="151"/>
      <c r="DR382" s="687"/>
      <c r="DS382" s="151"/>
      <c r="DT382" s="687"/>
      <c r="DU382" s="151"/>
      <c r="DV382" s="687"/>
      <c r="DW382" s="151"/>
      <c r="DX382" s="687"/>
      <c r="DY382" s="151"/>
      <c r="DZ382" s="687"/>
      <c r="EA382" s="151"/>
      <c r="EB382" s="687"/>
      <c r="EC382" s="151"/>
      <c r="ED382" s="687"/>
      <c r="EE382" s="151"/>
      <c r="EF382" s="687"/>
      <c r="EG382" s="151"/>
      <c r="EH382" s="687"/>
      <c r="EI382" s="151"/>
      <c r="EJ382" s="687"/>
      <c r="EK382" s="151"/>
      <c r="EL382" s="687"/>
      <c r="EM382" s="687"/>
    </row>
    <row r="383" spans="1:143" ht="12.75" hidden="1" customHeight="1" outlineLevel="2" x14ac:dyDescent="0.2">
      <c r="A383" s="701" t="str">
        <f>INPUT!B344</f>
        <v>Taxes</v>
      </c>
      <c r="B383" s="151">
        <f>INPUT!AY344</f>
        <v>3</v>
      </c>
      <c r="C383" s="687" t="str">
        <f>INPUT!AZ344</f>
        <v>NM</v>
      </c>
      <c r="D383" s="151">
        <f>INPUT!BA344</f>
        <v>7.3</v>
      </c>
      <c r="E383" s="687" t="str">
        <f>INPUT!BB344</f>
        <v>NM</v>
      </c>
      <c r="F383" s="151">
        <f>INPUT!BC344</f>
        <v>4.3</v>
      </c>
      <c r="G383" s="687" t="str">
        <f>INPUT!BD344</f>
        <v>NM</v>
      </c>
      <c r="H383" s="151">
        <f>INPUT!BE344</f>
        <v>5.6</v>
      </c>
      <c r="I383" s="687">
        <f>INPUT!BF344</f>
        <v>36.585365853658544</v>
      </c>
      <c r="J383" s="151">
        <f>INPUT!BG344</f>
        <v>6.6</v>
      </c>
      <c r="K383" s="687" t="str">
        <f>INPUT!BH344</f>
        <v>NM</v>
      </c>
      <c r="L383" s="151">
        <f>INPUT!BI344</f>
        <v>6</v>
      </c>
      <c r="M383" s="687">
        <f>INPUT!BJ344</f>
        <v>0</v>
      </c>
      <c r="N383" s="151"/>
      <c r="O383" s="687"/>
      <c r="P383" s="151"/>
      <c r="Q383" s="687"/>
      <c r="R383" s="151"/>
      <c r="S383" s="687"/>
      <c r="T383" s="151"/>
      <c r="U383" s="687"/>
      <c r="V383" s="151"/>
      <c r="W383" s="687"/>
      <c r="X383" s="151"/>
      <c r="Y383" s="687"/>
      <c r="Z383" s="151"/>
      <c r="AA383" s="687"/>
      <c r="AB383" s="151"/>
      <c r="AC383" s="687"/>
      <c r="AD383" s="151"/>
      <c r="AE383" s="687"/>
      <c r="AF383" s="151"/>
      <c r="AG383" s="687"/>
      <c r="AH383" s="151"/>
      <c r="AI383" s="687"/>
      <c r="AJ383" s="151"/>
      <c r="AK383" s="687"/>
      <c r="AL383" s="151"/>
      <c r="AM383" s="687"/>
      <c r="AN383" s="151"/>
      <c r="AO383" s="687"/>
      <c r="AP383" s="151"/>
      <c r="AQ383" s="687"/>
      <c r="AR383" s="151"/>
      <c r="AS383" s="687"/>
      <c r="AT383" s="151"/>
      <c r="AU383" s="687"/>
      <c r="AV383" s="151"/>
      <c r="AW383" s="687"/>
      <c r="AX383" s="151"/>
      <c r="AY383" s="687"/>
      <c r="AZ383" s="151"/>
      <c r="BA383" s="687"/>
      <c r="BB383" s="151"/>
      <c r="BC383" s="687"/>
      <c r="BD383" s="151"/>
      <c r="BE383" s="687"/>
      <c r="BF383" s="151"/>
      <c r="BG383" s="687"/>
      <c r="BH383" s="151"/>
      <c r="BI383" s="687"/>
      <c r="BJ383" s="151"/>
      <c r="BK383" s="687"/>
      <c r="BL383" s="151"/>
      <c r="BM383" s="687"/>
      <c r="BN383" s="151"/>
      <c r="BO383" s="687"/>
      <c r="BP383" s="151"/>
      <c r="BQ383" s="687"/>
      <c r="BR383" s="151"/>
      <c r="BS383" s="687"/>
      <c r="BT383" s="151"/>
      <c r="BU383" s="687"/>
      <c r="BV383" s="151"/>
      <c r="BW383" s="687"/>
      <c r="BX383" s="151"/>
      <c r="BY383" s="687"/>
      <c r="BZ383" s="151"/>
      <c r="CA383" s="687"/>
      <c r="CB383" s="151"/>
      <c r="CC383" s="687"/>
      <c r="CD383" s="151"/>
      <c r="CE383" s="687"/>
      <c r="CF383" s="151"/>
      <c r="CG383" s="687"/>
      <c r="CH383" s="151"/>
      <c r="CI383" s="687"/>
      <c r="CJ383" s="151"/>
      <c r="CK383" s="687"/>
      <c r="CL383" s="151"/>
      <c r="CM383" s="687"/>
      <c r="CN383" s="151"/>
      <c r="CO383" s="687"/>
      <c r="CP383" s="151"/>
      <c r="CQ383" s="687"/>
      <c r="CR383" s="151"/>
      <c r="CS383" s="687"/>
      <c r="CT383" s="151"/>
      <c r="CU383" s="687"/>
      <c r="CV383" s="151"/>
      <c r="CW383" s="687"/>
      <c r="CX383" s="151"/>
      <c r="CY383" s="687"/>
      <c r="CZ383" s="151"/>
      <c r="DA383" s="687"/>
      <c r="DB383" s="16"/>
      <c r="DC383" s="151">
        <f>INPUT!FP344</f>
        <v>6</v>
      </c>
      <c r="DD383" s="687" t="str">
        <f>INPUT!FQ344</f>
        <v>NA</v>
      </c>
      <c r="DE383" s="151">
        <f>INPUT!FR344</f>
        <v>20.200000000000003</v>
      </c>
      <c r="DF383" s="687" t="str">
        <f>INPUT!FS344</f>
        <v>NM</v>
      </c>
      <c r="DG383" s="151">
        <f>INPUT!FT344</f>
        <v>12.6</v>
      </c>
      <c r="DH383" s="687"/>
      <c r="DI383" s="151"/>
      <c r="DJ383" s="687"/>
      <c r="DK383" s="151"/>
      <c r="DL383" s="687"/>
      <c r="DM383" s="151"/>
      <c r="DN383" s="687"/>
      <c r="DO383" s="151"/>
      <c r="DP383" s="687"/>
      <c r="DQ383" s="151"/>
      <c r="DR383" s="687"/>
      <c r="DS383" s="151"/>
      <c r="DT383" s="687"/>
      <c r="DU383" s="151"/>
      <c r="DV383" s="687"/>
      <c r="DW383" s="151"/>
      <c r="DX383" s="687"/>
      <c r="DY383" s="151"/>
      <c r="DZ383" s="687"/>
      <c r="EA383" s="151"/>
      <c r="EB383" s="687"/>
      <c r="EC383" s="151"/>
      <c r="ED383" s="687"/>
      <c r="EE383" s="151"/>
      <c r="EF383" s="687"/>
      <c r="EG383" s="151"/>
      <c r="EH383" s="687"/>
      <c r="EI383" s="151"/>
      <c r="EJ383" s="687"/>
      <c r="EK383" s="151"/>
      <c r="EL383" s="687"/>
      <c r="EM383" s="687"/>
    </row>
    <row r="384" spans="1:143" ht="12.75" hidden="1" customHeight="1" outlineLevel="2" x14ac:dyDescent="0.2">
      <c r="A384" s="701" t="str">
        <f>INPUT!B345</f>
        <v>Tax Rate (%)</v>
      </c>
      <c r="B384" s="156">
        <f>INPUT!AY345</f>
        <v>28.571428571428552</v>
      </c>
      <c r="C384" s="687">
        <f>INPUT!AZ345</f>
        <v>63.26530612244887</v>
      </c>
      <c r="D384" s="156">
        <f>INPUT!BA345</f>
        <v>31.196581196581207</v>
      </c>
      <c r="E384" s="687">
        <f>INPUT!BB345</f>
        <v>68.461538461538709</v>
      </c>
      <c r="F384" s="156">
        <f>INPUT!BC345</f>
        <v>25.146198830409343</v>
      </c>
      <c r="G384" s="687" t="str">
        <f>INPUT!BD345</f>
        <v>NM</v>
      </c>
      <c r="H384" s="156">
        <f>INPUT!BE345</f>
        <v>30.60109289617489</v>
      </c>
      <c r="I384" s="687">
        <f>INPUT!BF345</f>
        <v>1.5060642409703284</v>
      </c>
      <c r="J384" s="156">
        <f>INPUT!BG345</f>
        <v>36.464088397790064</v>
      </c>
      <c r="K384" s="687">
        <f>INPUT!BH345</f>
        <v>27.624309392265324</v>
      </c>
      <c r="L384" s="156">
        <f>INPUT!BI345</f>
        <v>36.363636363636395</v>
      </c>
      <c r="M384" s="687">
        <f>INPUT!BJ345</f>
        <v>0</v>
      </c>
      <c r="N384" s="156"/>
      <c r="O384" s="687"/>
      <c r="P384" s="156"/>
      <c r="Q384" s="687"/>
      <c r="R384" s="156"/>
      <c r="S384" s="687"/>
      <c r="T384" s="156"/>
      <c r="U384" s="687"/>
      <c r="V384" s="156"/>
      <c r="W384" s="687"/>
      <c r="X384" s="156"/>
      <c r="Y384" s="687"/>
      <c r="Z384" s="156"/>
      <c r="AA384" s="687"/>
      <c r="AB384" s="156"/>
      <c r="AC384" s="687"/>
      <c r="AD384" s="156"/>
      <c r="AE384" s="687"/>
      <c r="AF384" s="156"/>
      <c r="AG384" s="687"/>
      <c r="AH384" s="156"/>
      <c r="AI384" s="687"/>
      <c r="AJ384" s="156"/>
      <c r="AK384" s="687"/>
      <c r="AL384" s="156"/>
      <c r="AM384" s="687"/>
      <c r="AN384" s="156"/>
      <c r="AO384" s="687"/>
      <c r="AP384" s="156"/>
      <c r="AQ384" s="687"/>
      <c r="AR384" s="156"/>
      <c r="AS384" s="687"/>
      <c r="AT384" s="156"/>
      <c r="AU384" s="687"/>
      <c r="AV384" s="156"/>
      <c r="AW384" s="687"/>
      <c r="AX384" s="156"/>
      <c r="AY384" s="687"/>
      <c r="AZ384" s="156"/>
      <c r="BA384" s="687"/>
      <c r="BB384" s="156"/>
      <c r="BC384" s="687"/>
      <c r="BD384" s="156"/>
      <c r="BE384" s="687"/>
      <c r="BF384" s="156"/>
      <c r="BG384" s="687"/>
      <c r="BH384" s="156"/>
      <c r="BI384" s="687"/>
      <c r="BJ384" s="156"/>
      <c r="BK384" s="687"/>
      <c r="BL384" s="156"/>
      <c r="BM384" s="687"/>
      <c r="BN384" s="156"/>
      <c r="BO384" s="687"/>
      <c r="BP384" s="156"/>
      <c r="BQ384" s="687"/>
      <c r="BR384" s="156"/>
      <c r="BS384" s="687"/>
      <c r="BT384" s="156"/>
      <c r="BU384" s="687"/>
      <c r="BV384" s="156"/>
      <c r="BW384" s="687"/>
      <c r="BX384" s="156"/>
      <c r="BY384" s="687"/>
      <c r="BZ384" s="156"/>
      <c r="CA384" s="687"/>
      <c r="CB384" s="156"/>
      <c r="CC384" s="687"/>
      <c r="CD384" s="156"/>
      <c r="CE384" s="687"/>
      <c r="CF384" s="156"/>
      <c r="CG384" s="687"/>
      <c r="CH384" s="156"/>
      <c r="CI384" s="687"/>
      <c r="CJ384" s="156"/>
      <c r="CK384" s="687"/>
      <c r="CL384" s="156"/>
      <c r="CM384" s="687"/>
      <c r="CN384" s="156"/>
      <c r="CO384" s="687"/>
      <c r="CP384" s="156"/>
      <c r="CQ384" s="687"/>
      <c r="CR384" s="156"/>
      <c r="CS384" s="687"/>
      <c r="CT384" s="156"/>
      <c r="CU384" s="687"/>
      <c r="CV384" s="156"/>
      <c r="CW384" s="687"/>
      <c r="CX384" s="156"/>
      <c r="CY384" s="687"/>
      <c r="CZ384" s="156"/>
      <c r="DA384" s="687"/>
      <c r="DB384" s="16"/>
      <c r="DC384" s="156">
        <f>INPUT!FP345</f>
        <v>23.437499999999979</v>
      </c>
      <c r="DD384" s="687" t="str">
        <f>INPUT!FQ345</f>
        <v>NA</v>
      </c>
      <c r="DE384" s="156">
        <f>INPUT!FR345</f>
        <v>29.148629148629173</v>
      </c>
      <c r="DF384" s="687">
        <f>INPUT!FS345</f>
        <v>24.367484367484593</v>
      </c>
      <c r="DG384" s="156">
        <f>INPUT!FT345</f>
        <v>36.416184971098303</v>
      </c>
      <c r="DH384" s="687"/>
      <c r="DI384" s="156"/>
      <c r="DJ384" s="687"/>
      <c r="DK384" s="156"/>
      <c r="DL384" s="687"/>
      <c r="DM384" s="156"/>
      <c r="DN384" s="687"/>
      <c r="DO384" s="156"/>
      <c r="DP384" s="687"/>
      <c r="DQ384" s="156"/>
      <c r="DR384" s="687"/>
      <c r="DS384" s="156"/>
      <c r="DT384" s="687"/>
      <c r="DU384" s="156"/>
      <c r="DV384" s="687"/>
      <c r="DW384" s="156"/>
      <c r="DX384" s="687"/>
      <c r="DY384" s="156"/>
      <c r="DZ384" s="687"/>
      <c r="EA384" s="156"/>
      <c r="EB384" s="687"/>
      <c r="EC384" s="156"/>
      <c r="ED384" s="687"/>
      <c r="EE384" s="156"/>
      <c r="EF384" s="687"/>
      <c r="EG384" s="156"/>
      <c r="EH384" s="687"/>
      <c r="EI384" s="156"/>
      <c r="EJ384" s="687"/>
      <c r="EK384" s="156"/>
      <c r="EL384" s="687"/>
      <c r="EM384" s="687"/>
    </row>
    <row r="385" spans="1:143" ht="12.75" hidden="1" customHeight="1" outlineLevel="2" x14ac:dyDescent="0.2">
      <c r="A385" s="707" t="str">
        <f>INPUT!B346</f>
        <v>Operating Earnings</v>
      </c>
      <c r="B385" s="708">
        <f>INPUT!AY346</f>
        <v>7.5000000000000071</v>
      </c>
      <c r="C385" s="709" t="str">
        <f>INPUT!AZ346</f>
        <v>NM</v>
      </c>
      <c r="D385" s="708">
        <f>INPUT!BA346</f>
        <v>16.099999999999991</v>
      </c>
      <c r="E385" s="709" t="str">
        <f>INPUT!BB346</f>
        <v>NM</v>
      </c>
      <c r="F385" s="708">
        <f>INPUT!BC346</f>
        <v>12.800000000000008</v>
      </c>
      <c r="G385" s="709" t="str">
        <f>INPUT!BD346</f>
        <v>NM</v>
      </c>
      <c r="H385" s="708">
        <f>INPUT!BE346</f>
        <v>12.699999999999983</v>
      </c>
      <c r="I385" s="709">
        <f>INPUT!BF346</f>
        <v>33.684210526315695</v>
      </c>
      <c r="J385" s="708">
        <f>INPUT!BG346</f>
        <v>11.499999999999995</v>
      </c>
      <c r="K385" s="709">
        <f>INPUT!BH346</f>
        <v>53.333333333333123</v>
      </c>
      <c r="L385" s="708">
        <f>INPUT!BI346</f>
        <v>10.499999999999986</v>
      </c>
      <c r="M385" s="709">
        <f>INPUT!BJ346</f>
        <v>0</v>
      </c>
      <c r="N385" s="708"/>
      <c r="O385" s="709"/>
      <c r="P385" s="708"/>
      <c r="Q385" s="709"/>
      <c r="R385" s="708"/>
      <c r="S385" s="709"/>
      <c r="T385" s="708"/>
      <c r="U385" s="709"/>
      <c r="V385" s="708"/>
      <c r="W385" s="709"/>
      <c r="X385" s="708"/>
      <c r="Y385" s="709"/>
      <c r="Z385" s="708"/>
      <c r="AA385" s="709"/>
      <c r="AB385" s="708"/>
      <c r="AC385" s="709"/>
      <c r="AD385" s="708"/>
      <c r="AE385" s="709"/>
      <c r="AF385" s="708"/>
      <c r="AG385" s="709"/>
      <c r="AH385" s="708"/>
      <c r="AI385" s="709"/>
      <c r="AJ385" s="708"/>
      <c r="AK385" s="709"/>
      <c r="AL385" s="708"/>
      <c r="AM385" s="709"/>
      <c r="AN385" s="708"/>
      <c r="AO385" s="709"/>
      <c r="AP385" s="708"/>
      <c r="AQ385" s="709"/>
      <c r="AR385" s="708"/>
      <c r="AS385" s="709"/>
      <c r="AT385" s="708"/>
      <c r="AU385" s="709"/>
      <c r="AV385" s="708"/>
      <c r="AW385" s="709"/>
      <c r="AX385" s="708"/>
      <c r="AY385" s="709"/>
      <c r="AZ385" s="708"/>
      <c r="BA385" s="709"/>
      <c r="BB385" s="708"/>
      <c r="BC385" s="709"/>
      <c r="BD385" s="708"/>
      <c r="BE385" s="709"/>
      <c r="BF385" s="708"/>
      <c r="BG385" s="709"/>
      <c r="BH385" s="708"/>
      <c r="BI385" s="709"/>
      <c r="BJ385" s="708"/>
      <c r="BK385" s="709"/>
      <c r="BL385" s="708"/>
      <c r="BM385" s="709"/>
      <c r="BN385" s="708"/>
      <c r="BO385" s="709"/>
      <c r="BP385" s="708"/>
      <c r="BQ385" s="709"/>
      <c r="BR385" s="708"/>
      <c r="BS385" s="709"/>
      <c r="BT385" s="708"/>
      <c r="BU385" s="709"/>
      <c r="BV385" s="708"/>
      <c r="BW385" s="709"/>
      <c r="BX385" s="708"/>
      <c r="BY385" s="709"/>
      <c r="BZ385" s="708"/>
      <c r="CA385" s="709"/>
      <c r="CB385" s="708"/>
      <c r="CC385" s="709"/>
      <c r="CD385" s="708"/>
      <c r="CE385" s="709"/>
      <c r="CF385" s="708"/>
      <c r="CG385" s="709"/>
      <c r="CH385" s="708"/>
      <c r="CI385" s="709"/>
      <c r="CJ385" s="708"/>
      <c r="CK385" s="709"/>
      <c r="CL385" s="708"/>
      <c r="CM385" s="709"/>
      <c r="CN385" s="708"/>
      <c r="CO385" s="709"/>
      <c r="CP385" s="708"/>
      <c r="CQ385" s="709"/>
      <c r="CR385" s="708"/>
      <c r="CS385" s="709"/>
      <c r="CT385" s="708"/>
      <c r="CU385" s="709"/>
      <c r="CV385" s="708"/>
      <c r="CW385" s="709"/>
      <c r="CX385" s="708"/>
      <c r="CY385" s="709"/>
      <c r="CZ385" s="708"/>
      <c r="DA385" s="709"/>
      <c r="DB385" s="710"/>
      <c r="DC385" s="708">
        <f>INPUT!FP346</f>
        <v>19.600000000000023</v>
      </c>
      <c r="DD385" s="709" t="str">
        <f>INPUT!FQ346</f>
        <v>NA</v>
      </c>
      <c r="DE385" s="708">
        <f>INPUT!FR346</f>
        <v>49.099999999999952</v>
      </c>
      <c r="DF385" s="709" t="str">
        <f>INPUT!FS346</f>
        <v>NM</v>
      </c>
      <c r="DG385" s="708">
        <f>INPUT!FT346</f>
        <v>21.999999999999964</v>
      </c>
      <c r="DH385" s="709"/>
      <c r="DI385" s="708"/>
      <c r="DJ385" s="709"/>
      <c r="DK385" s="708"/>
      <c r="DL385" s="709"/>
      <c r="DM385" s="708"/>
      <c r="DN385" s="709"/>
      <c r="DO385" s="708"/>
      <c r="DP385" s="709"/>
      <c r="DQ385" s="708"/>
      <c r="DR385" s="709"/>
      <c r="DS385" s="708"/>
      <c r="DT385" s="709"/>
      <c r="DU385" s="708"/>
      <c r="DV385" s="709"/>
      <c r="DW385" s="708"/>
      <c r="DX385" s="709"/>
      <c r="DY385" s="708"/>
      <c r="DZ385" s="709"/>
      <c r="EA385" s="708"/>
      <c r="EB385" s="709"/>
      <c r="EC385" s="708"/>
      <c r="ED385" s="709"/>
      <c r="EE385" s="708"/>
      <c r="EF385" s="709"/>
      <c r="EG385" s="708"/>
      <c r="EH385" s="709"/>
      <c r="EI385" s="708"/>
      <c r="EJ385" s="709"/>
      <c r="EK385" s="708"/>
      <c r="EL385" s="709"/>
      <c r="EM385" s="711"/>
    </row>
    <row r="386" spans="1:143" ht="12.75" hidden="1" customHeight="1" outlineLevel="2" x14ac:dyDescent="0.2">
      <c r="A386" s="701"/>
      <c r="B386" s="16"/>
      <c r="C386" s="687"/>
      <c r="D386" s="16"/>
      <c r="E386" s="687"/>
      <c r="F386" s="16"/>
      <c r="G386" s="687"/>
      <c r="H386" s="16"/>
      <c r="I386" s="687"/>
      <c r="J386" s="16"/>
      <c r="K386" s="687"/>
      <c r="L386" s="16"/>
      <c r="M386" s="687"/>
      <c r="N386" s="16"/>
      <c r="O386" s="687"/>
      <c r="P386" s="16"/>
      <c r="Q386" s="687"/>
      <c r="R386" s="16"/>
      <c r="S386" s="687"/>
      <c r="T386" s="16"/>
      <c r="U386" s="687"/>
      <c r="V386" s="16"/>
      <c r="W386" s="687"/>
      <c r="X386" s="16"/>
      <c r="Y386" s="687"/>
      <c r="Z386" s="16"/>
      <c r="AA386" s="687"/>
      <c r="AB386" s="16"/>
      <c r="AC386" s="687"/>
      <c r="AD386" s="16"/>
      <c r="AE386" s="687"/>
      <c r="AF386" s="16"/>
      <c r="AG386" s="687"/>
      <c r="AH386" s="16"/>
      <c r="AI386" s="687"/>
      <c r="AJ386" s="16"/>
      <c r="AK386" s="687"/>
      <c r="AL386" s="16"/>
      <c r="AM386" s="687"/>
      <c r="AN386" s="16"/>
      <c r="AO386" s="687"/>
      <c r="AP386" s="16"/>
      <c r="AQ386" s="687"/>
      <c r="AR386" s="16"/>
      <c r="AS386" s="687"/>
      <c r="AT386" s="16"/>
      <c r="AU386" s="687"/>
      <c r="AV386" s="16"/>
      <c r="AW386" s="687"/>
      <c r="AX386" s="16"/>
      <c r="AY386" s="687"/>
      <c r="AZ386" s="16"/>
      <c r="BA386" s="687"/>
      <c r="BB386" s="16"/>
      <c r="BC386" s="687"/>
      <c r="BD386" s="16"/>
      <c r="BE386" s="687"/>
      <c r="BF386" s="16"/>
      <c r="BG386" s="687"/>
      <c r="BH386" s="16"/>
      <c r="BI386" s="687"/>
      <c r="BJ386" s="16"/>
      <c r="BK386" s="687"/>
      <c r="BL386" s="16"/>
      <c r="BM386" s="687"/>
      <c r="BN386" s="16"/>
      <c r="BO386" s="687"/>
      <c r="BP386" s="16"/>
      <c r="BQ386" s="687"/>
      <c r="BR386" s="16"/>
      <c r="BS386" s="687"/>
      <c r="BT386" s="16"/>
      <c r="BU386" s="687"/>
      <c r="BV386" s="16"/>
      <c r="BW386" s="687"/>
      <c r="BX386" s="16"/>
      <c r="BY386" s="687"/>
      <c r="BZ386" s="16"/>
      <c r="CA386" s="687"/>
      <c r="CB386" s="16"/>
      <c r="CC386" s="687"/>
      <c r="CD386" s="16"/>
      <c r="CE386" s="687"/>
      <c r="CF386" s="16"/>
      <c r="CG386" s="687"/>
      <c r="CH386" s="16"/>
      <c r="CI386" s="687"/>
      <c r="CJ386" s="16"/>
      <c r="CK386" s="687"/>
      <c r="CL386" s="16"/>
      <c r="CM386" s="687"/>
      <c r="CN386" s="16"/>
      <c r="CO386" s="687"/>
      <c r="CP386" s="16"/>
      <c r="CQ386" s="687"/>
      <c r="CR386" s="16"/>
      <c r="CS386" s="687"/>
      <c r="CT386" s="16"/>
      <c r="CU386" s="687"/>
      <c r="CV386" s="16"/>
      <c r="CW386" s="687"/>
      <c r="CX386" s="16"/>
      <c r="CY386" s="687"/>
      <c r="CZ386" s="16"/>
      <c r="DA386" s="687"/>
      <c r="DB386" s="16"/>
      <c r="DC386" s="16"/>
      <c r="DD386" s="687"/>
      <c r="DE386" s="16"/>
      <c r="DF386" s="687"/>
      <c r="DG386" s="16"/>
      <c r="DH386" s="687"/>
      <c r="DI386" s="16"/>
      <c r="DJ386" s="687"/>
      <c r="DK386" s="16"/>
      <c r="DL386" s="687"/>
      <c r="DM386" s="16"/>
      <c r="DN386" s="687"/>
      <c r="DO386" s="16"/>
      <c r="DP386" s="687"/>
      <c r="DQ386" s="16"/>
      <c r="DR386" s="687"/>
      <c r="DS386" s="16"/>
      <c r="DT386" s="687"/>
      <c r="DU386" s="16"/>
      <c r="DV386" s="687"/>
      <c r="DW386" s="16"/>
      <c r="DX386" s="687"/>
      <c r="DY386" s="16"/>
      <c r="DZ386" s="687"/>
      <c r="EA386" s="16"/>
      <c r="EB386" s="687"/>
      <c r="EC386" s="16"/>
      <c r="ED386" s="687"/>
      <c r="EE386" s="16"/>
      <c r="EF386" s="687"/>
      <c r="EG386" s="16"/>
      <c r="EH386" s="687"/>
      <c r="EI386" s="16"/>
      <c r="EJ386" s="687"/>
      <c r="EK386" s="16"/>
      <c r="EL386" s="687"/>
      <c r="EM386" s="687"/>
    </row>
    <row r="387" spans="1:143" ht="12.75" hidden="1" customHeight="1" outlineLevel="2" x14ac:dyDescent="0.2">
      <c r="A387" s="715" t="s">
        <v>303</v>
      </c>
      <c r="B387" s="16"/>
      <c r="C387" s="687"/>
      <c r="D387" s="16"/>
      <c r="E387" s="687"/>
      <c r="F387" s="16"/>
      <c r="G387" s="687"/>
      <c r="H387" s="16"/>
      <c r="I387" s="687"/>
      <c r="J387" s="16"/>
      <c r="K387" s="687"/>
      <c r="L387" s="16"/>
      <c r="M387" s="687"/>
      <c r="N387" s="16"/>
      <c r="O387" s="687"/>
      <c r="P387" s="16"/>
      <c r="Q387" s="687"/>
      <c r="R387" s="16"/>
      <c r="S387" s="687"/>
      <c r="T387" s="16"/>
      <c r="U387" s="687"/>
      <c r="V387" s="16"/>
      <c r="W387" s="687"/>
      <c r="X387" s="16"/>
      <c r="Y387" s="687"/>
      <c r="Z387" s="16"/>
      <c r="AA387" s="687"/>
      <c r="AB387" s="16"/>
      <c r="AC387" s="687"/>
      <c r="AD387" s="16"/>
      <c r="AE387" s="687"/>
      <c r="AF387" s="16"/>
      <c r="AG387" s="687"/>
      <c r="AH387" s="16"/>
      <c r="AI387" s="687"/>
      <c r="AJ387" s="16"/>
      <c r="AK387" s="687"/>
      <c r="AL387" s="16"/>
      <c r="AM387" s="687"/>
      <c r="AN387" s="16"/>
      <c r="AO387" s="687"/>
      <c r="AP387" s="16"/>
      <c r="AQ387" s="687"/>
      <c r="AR387" s="16"/>
      <c r="AS387" s="687"/>
      <c r="AT387" s="16"/>
      <c r="AU387" s="687"/>
      <c r="AV387" s="16"/>
      <c r="AW387" s="687"/>
      <c r="AX387" s="16"/>
      <c r="AY387" s="687"/>
      <c r="AZ387" s="16"/>
      <c r="BA387" s="687"/>
      <c r="BB387" s="16"/>
      <c r="BC387" s="687"/>
      <c r="BD387" s="16"/>
      <c r="BE387" s="687"/>
      <c r="BF387" s="16"/>
      <c r="BG387" s="687"/>
      <c r="BH387" s="16"/>
      <c r="BI387" s="687"/>
      <c r="BJ387" s="16"/>
      <c r="BK387" s="687"/>
      <c r="BL387" s="16"/>
      <c r="BM387" s="687"/>
      <c r="BN387" s="16"/>
      <c r="BO387" s="687"/>
      <c r="BP387" s="16"/>
      <c r="BQ387" s="687"/>
      <c r="BR387" s="16"/>
      <c r="BS387" s="687"/>
      <c r="BT387" s="16"/>
      <c r="BU387" s="687"/>
      <c r="BV387" s="16"/>
      <c r="BW387" s="687"/>
      <c r="BX387" s="16"/>
      <c r="BY387" s="687"/>
      <c r="BZ387" s="16"/>
      <c r="CA387" s="687"/>
      <c r="CB387" s="16"/>
      <c r="CC387" s="687"/>
      <c r="CD387" s="16"/>
      <c r="CE387" s="687"/>
      <c r="CF387" s="16"/>
      <c r="CG387" s="687"/>
      <c r="CH387" s="16"/>
      <c r="CI387" s="687"/>
      <c r="CJ387" s="16"/>
      <c r="CK387" s="687"/>
      <c r="CL387" s="16"/>
      <c r="CM387" s="687"/>
      <c r="CN387" s="16"/>
      <c r="CO387" s="687"/>
      <c r="CP387" s="16"/>
      <c r="CQ387" s="687"/>
      <c r="CR387" s="16"/>
      <c r="CS387" s="687"/>
      <c r="CT387" s="16"/>
      <c r="CU387" s="687"/>
      <c r="CV387" s="16"/>
      <c r="CW387" s="687"/>
      <c r="CX387" s="16"/>
      <c r="CY387" s="687"/>
      <c r="CZ387" s="16"/>
      <c r="DA387" s="687"/>
      <c r="DB387" s="16"/>
      <c r="DC387" s="16"/>
      <c r="DD387" s="687"/>
      <c r="DE387" s="16"/>
      <c r="DF387" s="687"/>
      <c r="DG387" s="16"/>
      <c r="DH387" s="687"/>
      <c r="DI387" s="16"/>
      <c r="DJ387" s="687"/>
      <c r="DK387" s="16"/>
      <c r="DL387" s="687"/>
      <c r="DM387" s="16"/>
      <c r="DN387" s="687"/>
      <c r="DO387" s="16"/>
      <c r="DP387" s="687"/>
      <c r="DQ387" s="16"/>
      <c r="DR387" s="687"/>
      <c r="DS387" s="16"/>
      <c r="DT387" s="687"/>
      <c r="DU387" s="16"/>
      <c r="DV387" s="687"/>
      <c r="DW387" s="16"/>
      <c r="DX387" s="687"/>
      <c r="DY387" s="16"/>
      <c r="DZ387" s="687"/>
      <c r="EA387" s="16"/>
      <c r="EB387" s="687"/>
      <c r="EC387" s="16"/>
      <c r="ED387" s="687"/>
      <c r="EE387" s="16"/>
      <c r="EF387" s="687"/>
      <c r="EG387" s="16"/>
      <c r="EH387" s="687"/>
      <c r="EI387" s="16"/>
      <c r="EJ387" s="687"/>
      <c r="EK387" s="16"/>
      <c r="EL387" s="687"/>
      <c r="EM387" s="687"/>
    </row>
    <row r="388" spans="1:143" ht="12.75" hidden="1" customHeight="1" outlineLevel="2" x14ac:dyDescent="0.2">
      <c r="A388" s="522" t="s">
        <v>304</v>
      </c>
      <c r="B388" s="464">
        <f>INPUT!AY576</f>
        <v>3.0369290573372241</v>
      </c>
      <c r="C388" s="687">
        <f>INPUT!AZ576</f>
        <v>91.917351356127128</v>
      </c>
      <c r="D388" s="464">
        <f>INPUT!BA576</f>
        <v>5.4676356720776988</v>
      </c>
      <c r="E388" s="687" t="str">
        <f>INPUT!BB576</f>
        <v>NM</v>
      </c>
      <c r="F388" s="464">
        <f>INPUT!BC576</f>
        <v>3.9172481331864386</v>
      </c>
      <c r="G388" s="687" t="str">
        <f>INPUT!BD576</f>
        <v>NM</v>
      </c>
      <c r="H388" s="464">
        <f>INPUT!BE576</f>
        <v>3.7745943054152011</v>
      </c>
      <c r="I388" s="687">
        <f>INPUT!BF576</f>
        <v>2.0074177895549772</v>
      </c>
      <c r="J388" s="464">
        <f>INPUT!BG576</f>
        <v>3.5450061652281111</v>
      </c>
      <c r="K388" s="687">
        <f>INPUT!BH576</f>
        <v>16.729963008631099</v>
      </c>
      <c r="L388" s="464">
        <f>INPUT!BI576</f>
        <v>3.2337542346781594</v>
      </c>
      <c r="M388" s="687">
        <f>INPUT!BJ576</f>
        <v>-40.85644273643905</v>
      </c>
      <c r="N388" s="464"/>
      <c r="O388" s="687"/>
      <c r="P388" s="464"/>
      <c r="Q388" s="687"/>
      <c r="R388" s="464"/>
      <c r="S388" s="687"/>
      <c r="T388" s="464"/>
      <c r="U388" s="687"/>
      <c r="V388" s="464"/>
      <c r="W388" s="687"/>
      <c r="X388" s="464"/>
      <c r="Y388" s="687"/>
      <c r="Z388" s="464"/>
      <c r="AA388" s="687"/>
      <c r="AB388" s="464"/>
      <c r="AC388" s="687"/>
      <c r="AD388" s="464"/>
      <c r="AE388" s="687"/>
      <c r="AF388" s="464"/>
      <c r="AG388" s="687"/>
      <c r="AH388" s="464"/>
      <c r="AI388" s="687"/>
      <c r="AJ388" s="464"/>
      <c r="AK388" s="687"/>
      <c r="AL388" s="464"/>
      <c r="AM388" s="687"/>
      <c r="AN388" s="464"/>
      <c r="AO388" s="687"/>
      <c r="AP388" s="464"/>
      <c r="AQ388" s="687"/>
      <c r="AR388" s="464"/>
      <c r="AS388" s="687"/>
      <c r="AT388" s="464"/>
      <c r="AU388" s="687"/>
      <c r="AV388" s="464"/>
      <c r="AW388" s="687"/>
      <c r="AX388" s="464"/>
      <c r="AY388" s="687"/>
      <c r="AZ388" s="464"/>
      <c r="BA388" s="687"/>
      <c r="BB388" s="464"/>
      <c r="BC388" s="687"/>
      <c r="BD388" s="464"/>
      <c r="BE388" s="687"/>
      <c r="BF388" s="464"/>
      <c r="BG388" s="687"/>
      <c r="BH388" s="464"/>
      <c r="BI388" s="687"/>
      <c r="BJ388" s="464"/>
      <c r="BK388" s="687"/>
      <c r="BL388" s="464"/>
      <c r="BM388" s="687"/>
      <c r="BN388" s="464"/>
      <c r="BO388" s="687"/>
      <c r="BP388" s="464"/>
      <c r="BQ388" s="687"/>
      <c r="BR388" s="464"/>
      <c r="BS388" s="687"/>
      <c r="BT388" s="464"/>
      <c r="BU388" s="687"/>
      <c r="BV388" s="464"/>
      <c r="BW388" s="687"/>
      <c r="BX388" s="464"/>
      <c r="BY388" s="687"/>
      <c r="BZ388" s="464"/>
      <c r="CA388" s="687"/>
      <c r="CB388" s="464"/>
      <c r="CC388" s="687"/>
      <c r="CD388" s="464"/>
      <c r="CE388" s="687"/>
      <c r="CF388" s="464"/>
      <c r="CG388" s="687"/>
      <c r="CH388" s="464"/>
      <c r="CI388" s="687"/>
      <c r="CJ388" s="464"/>
      <c r="CK388" s="687"/>
      <c r="CL388" s="464"/>
      <c r="CM388" s="687"/>
      <c r="CN388" s="464"/>
      <c r="CO388" s="687"/>
      <c r="CP388" s="464"/>
      <c r="CQ388" s="687"/>
      <c r="CR388" s="464"/>
      <c r="CS388" s="687"/>
      <c r="CT388" s="464"/>
      <c r="CU388" s="687"/>
      <c r="CV388" s="464"/>
      <c r="CW388" s="687"/>
      <c r="CX388" s="464"/>
      <c r="CY388" s="687"/>
      <c r="CZ388" s="464"/>
      <c r="DA388" s="687"/>
      <c r="DB388" s="16"/>
      <c r="DC388" s="464">
        <f>INPUT!FP576</f>
        <v>2.241879223642973</v>
      </c>
      <c r="DD388" s="687" t="str">
        <f>INPUT!FQ576</f>
        <v>NA</v>
      </c>
      <c r="DE388" s="464">
        <f>INPUT!FR576</f>
        <v>4.0759064948864392</v>
      </c>
      <c r="DF388" s="687">
        <f>INPUT!FS576</f>
        <v>81.807585881599735</v>
      </c>
      <c r="DG388" s="464">
        <f>INPUT!FT576</f>
        <v>1.6406890894175536</v>
      </c>
      <c r="DH388" s="687"/>
      <c r="DI388" s="464"/>
      <c r="DJ388" s="687"/>
      <c r="DK388" s="464"/>
      <c r="DL388" s="687"/>
      <c r="DM388" s="464"/>
      <c r="DN388" s="687"/>
      <c r="DO388" s="464"/>
      <c r="DP388" s="687"/>
      <c r="DQ388" s="464"/>
      <c r="DR388" s="687"/>
      <c r="DS388" s="464"/>
      <c r="DT388" s="687"/>
      <c r="DU388" s="464"/>
      <c r="DV388" s="687"/>
      <c r="DW388" s="464"/>
      <c r="DX388" s="687"/>
      <c r="DY388" s="464"/>
      <c r="DZ388" s="687"/>
      <c r="EA388" s="464"/>
      <c r="EB388" s="687"/>
      <c r="EC388" s="464"/>
      <c r="ED388" s="687"/>
      <c r="EE388" s="464"/>
      <c r="EF388" s="687"/>
      <c r="EG388" s="464"/>
      <c r="EH388" s="687"/>
      <c r="EI388" s="464"/>
      <c r="EJ388" s="687"/>
      <c r="EK388" s="464"/>
      <c r="EL388" s="687"/>
      <c r="EM388" s="687"/>
    </row>
    <row r="389" spans="1:143" ht="12.75" hidden="1" customHeight="1" outlineLevel="2" x14ac:dyDescent="0.2">
      <c r="A389" s="700"/>
      <c r="B389" s="16"/>
      <c r="C389" s="687"/>
      <c r="D389" s="16"/>
      <c r="E389" s="687"/>
      <c r="F389" s="16"/>
      <c r="G389" s="687"/>
      <c r="H389" s="16"/>
      <c r="I389" s="687"/>
      <c r="J389" s="16"/>
      <c r="K389" s="687"/>
      <c r="L389" s="16"/>
      <c r="M389" s="687"/>
      <c r="N389" s="16"/>
      <c r="O389" s="687"/>
      <c r="P389" s="16"/>
      <c r="Q389" s="687"/>
      <c r="R389" s="16"/>
      <c r="S389" s="687"/>
      <c r="T389" s="16"/>
      <c r="U389" s="687"/>
      <c r="V389" s="16"/>
      <c r="W389" s="687"/>
      <c r="X389" s="16"/>
      <c r="Y389" s="687"/>
      <c r="Z389" s="16"/>
      <c r="AA389" s="687"/>
      <c r="AB389" s="16"/>
      <c r="AC389" s="687"/>
      <c r="AD389" s="16"/>
      <c r="AE389" s="687"/>
      <c r="AF389" s="16"/>
      <c r="AG389" s="687"/>
      <c r="AH389" s="16"/>
      <c r="AI389" s="687"/>
      <c r="AJ389" s="16"/>
      <c r="AK389" s="687"/>
      <c r="AL389" s="16"/>
      <c r="AM389" s="687"/>
      <c r="AN389" s="16"/>
      <c r="AO389" s="687"/>
      <c r="AP389" s="16"/>
      <c r="AQ389" s="687"/>
      <c r="AR389" s="16"/>
      <c r="AS389" s="687"/>
      <c r="AT389" s="16"/>
      <c r="AU389" s="687"/>
      <c r="AV389" s="16"/>
      <c r="AW389" s="687"/>
      <c r="AX389" s="16"/>
      <c r="AY389" s="687"/>
      <c r="AZ389" s="16"/>
      <c r="BA389" s="687"/>
      <c r="BB389" s="16"/>
      <c r="BC389" s="687"/>
      <c r="BD389" s="16"/>
      <c r="BE389" s="687"/>
      <c r="BF389" s="16"/>
      <c r="BG389" s="687"/>
      <c r="BH389" s="16"/>
      <c r="BI389" s="687"/>
      <c r="BJ389" s="16"/>
      <c r="BK389" s="687"/>
      <c r="BL389" s="16"/>
      <c r="BM389" s="687"/>
      <c r="BN389" s="16"/>
      <c r="BO389" s="687"/>
      <c r="BP389" s="16"/>
      <c r="BQ389" s="687"/>
      <c r="BR389" s="16"/>
      <c r="BS389" s="687"/>
      <c r="BT389" s="16"/>
      <c r="BU389" s="687"/>
      <c r="BV389" s="16"/>
      <c r="BW389" s="687"/>
      <c r="BX389" s="16"/>
      <c r="BY389" s="687"/>
      <c r="BZ389" s="16"/>
      <c r="CA389" s="687"/>
      <c r="CB389" s="16"/>
      <c r="CC389" s="687"/>
      <c r="CD389" s="16"/>
      <c r="CE389" s="687"/>
      <c r="CF389" s="16"/>
      <c r="CG389" s="687"/>
      <c r="CH389" s="16"/>
      <c r="CI389" s="687"/>
      <c r="CJ389" s="16"/>
      <c r="CK389" s="687"/>
      <c r="CL389" s="16"/>
      <c r="CM389" s="687"/>
      <c r="CN389" s="16"/>
      <c r="CO389" s="687"/>
      <c r="CP389" s="16"/>
      <c r="CQ389" s="687"/>
      <c r="CR389" s="16"/>
      <c r="CS389" s="687"/>
      <c r="CT389" s="16"/>
      <c r="CU389" s="687"/>
      <c r="CV389" s="16"/>
      <c r="CW389" s="687"/>
      <c r="CX389" s="16"/>
      <c r="CY389" s="687"/>
      <c r="CZ389" s="16"/>
      <c r="DA389" s="687"/>
      <c r="DB389" s="16"/>
      <c r="DC389" s="16"/>
      <c r="DD389" s="687"/>
      <c r="DE389" s="16"/>
      <c r="DF389" s="687"/>
      <c r="DG389" s="16"/>
      <c r="DH389" s="687"/>
      <c r="DI389" s="16"/>
      <c r="DJ389" s="687"/>
      <c r="DK389" s="16"/>
      <c r="DL389" s="687"/>
      <c r="DM389" s="16"/>
      <c r="DN389" s="687"/>
      <c r="DO389" s="16"/>
      <c r="DP389" s="687"/>
      <c r="DQ389" s="16"/>
      <c r="DR389" s="687"/>
      <c r="DS389" s="16"/>
      <c r="DT389" s="687"/>
      <c r="DU389" s="16"/>
      <c r="DV389" s="687"/>
      <c r="DW389" s="16"/>
      <c r="DX389" s="687"/>
      <c r="DY389" s="16"/>
      <c r="DZ389" s="687"/>
      <c r="EA389" s="16"/>
      <c r="EB389" s="687"/>
      <c r="EC389" s="16"/>
      <c r="ED389" s="687"/>
      <c r="EE389" s="16"/>
      <c r="EF389" s="687"/>
      <c r="EG389" s="16"/>
      <c r="EH389" s="687"/>
      <c r="EI389" s="16"/>
      <c r="EJ389" s="687"/>
      <c r="EK389" s="16"/>
      <c r="EL389" s="687"/>
      <c r="EM389" s="687"/>
    </row>
    <row r="390" spans="1:143" ht="12.75" hidden="1" customHeight="1" outlineLevel="2" x14ac:dyDescent="0.2">
      <c r="A390" s="700" t="str">
        <f>INPUT!B351</f>
        <v>Profitability Analysis</v>
      </c>
      <c r="B390" s="16"/>
      <c r="C390" s="687"/>
      <c r="D390" s="16"/>
      <c r="E390" s="687"/>
      <c r="F390" s="16"/>
      <c r="G390" s="687"/>
      <c r="H390" s="16"/>
      <c r="I390" s="687"/>
      <c r="J390" s="16"/>
      <c r="K390" s="687"/>
      <c r="L390" s="16"/>
      <c r="M390" s="687"/>
      <c r="N390" s="16"/>
      <c r="O390" s="687"/>
      <c r="P390" s="16"/>
      <c r="Q390" s="687"/>
      <c r="R390" s="16"/>
      <c r="S390" s="687"/>
      <c r="T390" s="16"/>
      <c r="U390" s="687"/>
      <c r="V390" s="16"/>
      <c r="W390" s="687"/>
      <c r="X390" s="16"/>
      <c r="Y390" s="687"/>
      <c r="Z390" s="16"/>
      <c r="AA390" s="687"/>
      <c r="AB390" s="16"/>
      <c r="AC390" s="687"/>
      <c r="AD390" s="16"/>
      <c r="AE390" s="687"/>
      <c r="AF390" s="16"/>
      <c r="AG390" s="687"/>
      <c r="AH390" s="16"/>
      <c r="AI390" s="687"/>
      <c r="AJ390" s="16"/>
      <c r="AK390" s="687"/>
      <c r="AL390" s="16"/>
      <c r="AM390" s="687"/>
      <c r="AN390" s="16"/>
      <c r="AO390" s="687"/>
      <c r="AP390" s="16"/>
      <c r="AQ390" s="687"/>
      <c r="AR390" s="16"/>
      <c r="AS390" s="687"/>
      <c r="AT390" s="16"/>
      <c r="AU390" s="687"/>
      <c r="AV390" s="16"/>
      <c r="AW390" s="687"/>
      <c r="AX390" s="16"/>
      <c r="AY390" s="687"/>
      <c r="AZ390" s="16"/>
      <c r="BA390" s="687"/>
      <c r="BB390" s="16"/>
      <c r="BC390" s="687"/>
      <c r="BD390" s="16"/>
      <c r="BE390" s="687"/>
      <c r="BF390" s="16"/>
      <c r="BG390" s="687"/>
      <c r="BH390" s="16"/>
      <c r="BI390" s="687"/>
      <c r="BJ390" s="16"/>
      <c r="BK390" s="687"/>
      <c r="BL390" s="16"/>
      <c r="BM390" s="687"/>
      <c r="BN390" s="16"/>
      <c r="BO390" s="687"/>
      <c r="BP390" s="16"/>
      <c r="BQ390" s="687"/>
      <c r="BR390" s="16"/>
      <c r="BS390" s="687"/>
      <c r="BT390" s="16"/>
      <c r="BU390" s="687"/>
      <c r="BV390" s="16"/>
      <c r="BW390" s="687"/>
      <c r="BX390" s="16"/>
      <c r="BY390" s="687"/>
      <c r="BZ390" s="16"/>
      <c r="CA390" s="687"/>
      <c r="CB390" s="16"/>
      <c r="CC390" s="687"/>
      <c r="CD390" s="16"/>
      <c r="CE390" s="687"/>
      <c r="CF390" s="16"/>
      <c r="CG390" s="687"/>
      <c r="CH390" s="16"/>
      <c r="CI390" s="687"/>
      <c r="CJ390" s="16"/>
      <c r="CK390" s="687"/>
      <c r="CL390" s="16"/>
      <c r="CM390" s="687"/>
      <c r="CN390" s="16"/>
      <c r="CO390" s="687"/>
      <c r="CP390" s="16"/>
      <c r="CQ390" s="687"/>
      <c r="CR390" s="16"/>
      <c r="CS390" s="687"/>
      <c r="CT390" s="16"/>
      <c r="CU390" s="687"/>
      <c r="CV390" s="16"/>
      <c r="CW390" s="687"/>
      <c r="CX390" s="16"/>
      <c r="CY390" s="687"/>
      <c r="CZ390" s="16"/>
      <c r="DA390" s="687"/>
      <c r="DB390" s="16"/>
      <c r="DC390" s="16"/>
      <c r="DD390" s="687"/>
      <c r="DE390" s="16"/>
      <c r="DF390" s="687"/>
      <c r="DG390" s="16"/>
      <c r="DH390" s="687"/>
      <c r="DI390" s="16"/>
      <c r="DJ390" s="687"/>
      <c r="DK390" s="16"/>
      <c r="DL390" s="687"/>
      <c r="DM390" s="16"/>
      <c r="DN390" s="687"/>
      <c r="DO390" s="16"/>
      <c r="DP390" s="687"/>
      <c r="DQ390" s="16"/>
      <c r="DR390" s="687"/>
      <c r="DS390" s="16"/>
      <c r="DT390" s="687"/>
      <c r="DU390" s="16"/>
      <c r="DV390" s="687"/>
      <c r="DW390" s="16"/>
      <c r="DX390" s="687"/>
      <c r="DY390" s="16"/>
      <c r="DZ390" s="687"/>
      <c r="EA390" s="16"/>
      <c r="EB390" s="687"/>
      <c r="EC390" s="16"/>
      <c r="ED390" s="687"/>
      <c r="EE390" s="16"/>
      <c r="EF390" s="687"/>
      <c r="EG390" s="16"/>
      <c r="EH390" s="687"/>
      <c r="EI390" s="16"/>
      <c r="EJ390" s="687"/>
      <c r="EK390" s="16"/>
      <c r="EL390" s="687"/>
      <c r="EM390" s="687"/>
    </row>
    <row r="391" spans="1:143" ht="12.75" hidden="1" customHeight="1" outlineLevel="2" x14ac:dyDescent="0.2">
      <c r="A391" s="701" t="str">
        <f>INPUT!B352</f>
        <v>Operating Margin (%)</v>
      </c>
      <c r="B391" s="156">
        <f>INPUT!AY352</f>
        <v>13.111888111888122</v>
      </c>
      <c r="C391" s="687" t="str">
        <f>INPUT!AZ352</f>
        <v>NM</v>
      </c>
      <c r="D391" s="156">
        <f>INPUT!BA352</f>
        <v>15.909090909090901</v>
      </c>
      <c r="E391" s="687">
        <f>INPUT!BB352</f>
        <v>96.828752642705766</v>
      </c>
      <c r="F391" s="156">
        <f>INPUT!BC352</f>
        <v>12.272291466922347</v>
      </c>
      <c r="G391" s="687" t="str">
        <f>INPUT!BD352</f>
        <v>NM</v>
      </c>
      <c r="H391" s="156">
        <f>INPUT!BE352</f>
        <v>11.640696608615935</v>
      </c>
      <c r="I391" s="687">
        <f>INPUT!BF352</f>
        <v>-24.519272516764001</v>
      </c>
      <c r="J391" s="156">
        <f>INPUT!BG352</f>
        <v>16.594516594516588</v>
      </c>
      <c r="K391" s="687">
        <f>INPUT!BH352</f>
        <v>26.560846560846407</v>
      </c>
      <c r="L391" s="156">
        <f>INPUT!BI352</f>
        <v>15.885022692889542</v>
      </c>
      <c r="M391" s="687">
        <f>INPUT!BJ352</f>
        <v>0</v>
      </c>
      <c r="N391" s="156"/>
      <c r="O391" s="687"/>
      <c r="P391" s="156"/>
      <c r="Q391" s="687"/>
      <c r="R391" s="156"/>
      <c r="S391" s="687"/>
      <c r="T391" s="156"/>
      <c r="U391" s="687"/>
      <c r="V391" s="156"/>
      <c r="W391" s="687"/>
      <c r="X391" s="156"/>
      <c r="Y391" s="687"/>
      <c r="Z391" s="156"/>
      <c r="AA391" s="687"/>
      <c r="AB391" s="156"/>
      <c r="AC391" s="687"/>
      <c r="AD391" s="156"/>
      <c r="AE391" s="687"/>
      <c r="AF391" s="156"/>
      <c r="AG391" s="687"/>
      <c r="AH391" s="156"/>
      <c r="AI391" s="687"/>
      <c r="AJ391" s="156"/>
      <c r="AK391" s="687"/>
      <c r="AL391" s="156"/>
      <c r="AM391" s="687"/>
      <c r="AN391" s="156"/>
      <c r="AO391" s="687"/>
      <c r="AP391" s="156"/>
      <c r="AQ391" s="687"/>
      <c r="AR391" s="156"/>
      <c r="AS391" s="687"/>
      <c r="AT391" s="156"/>
      <c r="AU391" s="687"/>
      <c r="AV391" s="156"/>
      <c r="AW391" s="687"/>
      <c r="AX391" s="156"/>
      <c r="AY391" s="687"/>
      <c r="AZ391" s="156"/>
      <c r="BA391" s="687"/>
      <c r="BB391" s="156"/>
      <c r="BC391" s="687"/>
      <c r="BD391" s="156"/>
      <c r="BE391" s="687"/>
      <c r="BF391" s="156"/>
      <c r="BG391" s="687"/>
      <c r="BH391" s="156"/>
      <c r="BI391" s="687"/>
      <c r="BJ391" s="156"/>
      <c r="BK391" s="687"/>
      <c r="BL391" s="156"/>
      <c r="BM391" s="687"/>
      <c r="BN391" s="156"/>
      <c r="BO391" s="687"/>
      <c r="BP391" s="156"/>
      <c r="BQ391" s="687"/>
      <c r="BR391" s="156"/>
      <c r="BS391" s="687"/>
      <c r="BT391" s="156"/>
      <c r="BU391" s="687"/>
      <c r="BV391" s="156"/>
      <c r="BW391" s="687"/>
      <c r="BX391" s="156"/>
      <c r="BY391" s="687"/>
      <c r="BZ391" s="156"/>
      <c r="CA391" s="687"/>
      <c r="CB391" s="156"/>
      <c r="CC391" s="687"/>
      <c r="CD391" s="156"/>
      <c r="CE391" s="687"/>
      <c r="CF391" s="156"/>
      <c r="CG391" s="687"/>
      <c r="CH391" s="156"/>
      <c r="CI391" s="687"/>
      <c r="CJ391" s="156"/>
      <c r="CK391" s="687"/>
      <c r="CL391" s="156"/>
      <c r="CM391" s="687"/>
      <c r="CN391" s="156"/>
      <c r="CO391" s="687"/>
      <c r="CP391" s="156"/>
      <c r="CQ391" s="687"/>
      <c r="CR391" s="156"/>
      <c r="CS391" s="687"/>
      <c r="CT391" s="156"/>
      <c r="CU391" s="687"/>
      <c r="CV391" s="156"/>
      <c r="CW391" s="687"/>
      <c r="CX391" s="156"/>
      <c r="CY391" s="687"/>
      <c r="CZ391" s="156"/>
      <c r="DA391" s="687"/>
      <c r="DB391" s="16"/>
      <c r="DC391" s="156">
        <f>INPUT!FP352</f>
        <v>8.6267605633802908</v>
      </c>
      <c r="DD391" s="687" t="str">
        <f>INPUT!FQ352</f>
        <v>NA</v>
      </c>
      <c r="DE391" s="156">
        <f>INPUT!FR352</f>
        <v>13.206024744486273</v>
      </c>
      <c r="DF391" s="687">
        <f>INPUT!FS352</f>
        <v>53.082082752412148</v>
      </c>
      <c r="DG391" s="156">
        <f>INPUT!FT352</f>
        <v>16.248153618906919</v>
      </c>
      <c r="DH391" s="687"/>
      <c r="DI391" s="156"/>
      <c r="DJ391" s="687"/>
      <c r="DK391" s="156"/>
      <c r="DL391" s="687"/>
      <c r="DM391" s="156"/>
      <c r="DN391" s="687"/>
      <c r="DO391" s="156"/>
      <c r="DP391" s="687"/>
      <c r="DQ391" s="156"/>
      <c r="DR391" s="687"/>
      <c r="DS391" s="156"/>
      <c r="DT391" s="687"/>
      <c r="DU391" s="156"/>
      <c r="DV391" s="687"/>
      <c r="DW391" s="156"/>
      <c r="DX391" s="687"/>
      <c r="DY391" s="156"/>
      <c r="DZ391" s="687"/>
      <c r="EA391" s="156"/>
      <c r="EB391" s="687"/>
      <c r="EC391" s="156"/>
      <c r="ED391" s="687"/>
      <c r="EE391" s="156"/>
      <c r="EF391" s="687"/>
      <c r="EG391" s="156"/>
      <c r="EH391" s="687"/>
      <c r="EI391" s="156"/>
      <c r="EJ391" s="687"/>
      <c r="EK391" s="156"/>
      <c r="EL391" s="687"/>
      <c r="EM391" s="687"/>
    </row>
    <row r="392" spans="1:143" ht="12.75" hidden="1" customHeight="1" outlineLevel="2" x14ac:dyDescent="0.2">
      <c r="A392" s="701"/>
      <c r="B392" s="16"/>
      <c r="C392" s="687"/>
      <c r="D392" s="16"/>
      <c r="E392" s="687"/>
      <c r="F392" s="16"/>
      <c r="G392" s="687"/>
      <c r="H392" s="16"/>
      <c r="I392" s="687"/>
      <c r="J392" s="16"/>
      <c r="K392" s="687"/>
      <c r="L392" s="16"/>
      <c r="M392" s="687"/>
      <c r="N392" s="16"/>
      <c r="O392" s="687"/>
      <c r="P392" s="16"/>
      <c r="Q392" s="687"/>
      <c r="R392" s="16"/>
      <c r="S392" s="687"/>
      <c r="T392" s="16"/>
      <c r="U392" s="687"/>
      <c r="V392" s="16"/>
      <c r="W392" s="687"/>
      <c r="X392" s="16"/>
      <c r="Y392" s="687"/>
      <c r="Z392" s="16"/>
      <c r="AA392" s="687"/>
      <c r="AB392" s="16"/>
      <c r="AC392" s="687"/>
      <c r="AD392" s="16"/>
      <c r="AE392" s="687"/>
      <c r="AF392" s="16"/>
      <c r="AG392" s="687"/>
      <c r="AH392" s="16"/>
      <c r="AI392" s="687"/>
      <c r="AJ392" s="16"/>
      <c r="AK392" s="687"/>
      <c r="AL392" s="16"/>
      <c r="AM392" s="687"/>
      <c r="AN392" s="16"/>
      <c r="AO392" s="687"/>
      <c r="AP392" s="16"/>
      <c r="AQ392" s="687"/>
      <c r="AR392" s="16"/>
      <c r="AS392" s="687"/>
      <c r="AT392" s="16"/>
      <c r="AU392" s="687"/>
      <c r="AV392" s="16"/>
      <c r="AW392" s="687"/>
      <c r="AX392" s="16"/>
      <c r="AY392" s="687"/>
      <c r="AZ392" s="16"/>
      <c r="BA392" s="687"/>
      <c r="BB392" s="16"/>
      <c r="BC392" s="687"/>
      <c r="BD392" s="16"/>
      <c r="BE392" s="687"/>
      <c r="BF392" s="16"/>
      <c r="BG392" s="687"/>
      <c r="BH392" s="16"/>
      <c r="BI392" s="687"/>
      <c r="BJ392" s="16"/>
      <c r="BK392" s="687"/>
      <c r="BL392" s="16"/>
      <c r="BM392" s="687"/>
      <c r="BN392" s="16"/>
      <c r="BO392" s="687"/>
      <c r="BP392" s="16"/>
      <c r="BQ392" s="687"/>
      <c r="BR392" s="16"/>
      <c r="BS392" s="687"/>
      <c r="BT392" s="16"/>
      <c r="BU392" s="687"/>
      <c r="BV392" s="16"/>
      <c r="BW392" s="687"/>
      <c r="BX392" s="16"/>
      <c r="BY392" s="687"/>
      <c r="BZ392" s="16"/>
      <c r="CA392" s="687"/>
      <c r="CB392" s="16"/>
      <c r="CC392" s="687"/>
      <c r="CD392" s="16"/>
      <c r="CE392" s="687"/>
      <c r="CF392" s="16"/>
      <c r="CG392" s="687"/>
      <c r="CH392" s="16"/>
      <c r="CI392" s="687"/>
      <c r="CJ392" s="16"/>
      <c r="CK392" s="687"/>
      <c r="CL392" s="16"/>
      <c r="CM392" s="687"/>
      <c r="CN392" s="16"/>
      <c r="CO392" s="687"/>
      <c r="CP392" s="16"/>
      <c r="CQ392" s="687"/>
      <c r="CR392" s="16"/>
      <c r="CS392" s="687"/>
      <c r="CT392" s="16"/>
      <c r="CU392" s="687"/>
      <c r="CV392" s="16"/>
      <c r="CW392" s="687"/>
      <c r="CX392" s="16"/>
      <c r="CY392" s="687"/>
      <c r="CZ392" s="16"/>
      <c r="DA392" s="687"/>
      <c r="DB392" s="16"/>
      <c r="DC392" s="16"/>
      <c r="DD392" s="687"/>
      <c r="DE392" s="16"/>
      <c r="DF392" s="687"/>
      <c r="DG392" s="16"/>
      <c r="DH392" s="687"/>
      <c r="DI392" s="16"/>
      <c r="DJ392" s="687"/>
      <c r="DK392" s="16"/>
      <c r="DL392" s="687"/>
      <c r="DM392" s="16"/>
      <c r="DN392" s="687"/>
      <c r="DO392" s="16"/>
      <c r="DP392" s="687"/>
      <c r="DQ392" s="16"/>
      <c r="DR392" s="687"/>
      <c r="DS392" s="16"/>
      <c r="DT392" s="687"/>
      <c r="DU392" s="16"/>
      <c r="DV392" s="687"/>
      <c r="DW392" s="16"/>
      <c r="DX392" s="687"/>
      <c r="DY392" s="16"/>
      <c r="DZ392" s="687"/>
      <c r="EA392" s="16"/>
      <c r="EB392" s="687"/>
      <c r="EC392" s="16"/>
      <c r="ED392" s="687"/>
      <c r="EE392" s="16"/>
      <c r="EF392" s="687"/>
      <c r="EG392" s="16"/>
      <c r="EH392" s="687"/>
      <c r="EI392" s="16"/>
      <c r="EJ392" s="687"/>
      <c r="EK392" s="16"/>
      <c r="EL392" s="687"/>
      <c r="EM392" s="687"/>
    </row>
    <row r="393" spans="1:143" ht="12.75" hidden="1" customHeight="1" outlineLevel="2" x14ac:dyDescent="0.2">
      <c r="A393" s="701" t="str">
        <f>INPUT!B327</f>
        <v>Inv Inc/Total Revenues (%)</v>
      </c>
      <c r="B393" s="156">
        <f>INPUT!AY327</f>
        <v>85.139860139860133</v>
      </c>
      <c r="C393" s="687">
        <f>INPUT!AZ327</f>
        <v>-0.20029639234937502</v>
      </c>
      <c r="D393" s="156">
        <f>INPUT!BA327</f>
        <v>85.474308300395251</v>
      </c>
      <c r="E393" s="687">
        <f>INPUT!BB327</f>
        <v>0.60250445975722489</v>
      </c>
      <c r="F393" s="156">
        <f>INPUT!BC327</f>
        <v>87.24832214765101</v>
      </c>
      <c r="G393" s="687">
        <f>INPUT!BD327</f>
        <v>14.718969032277274</v>
      </c>
      <c r="H393" s="156">
        <f>INPUT!BE327</f>
        <v>82.951420714940426</v>
      </c>
      <c r="I393" s="687">
        <f>INPUT!BF327</f>
        <v>0.19230423608491698</v>
      </c>
      <c r="J393" s="156">
        <f>INPUT!BG327</f>
        <v>80.519480519480524</v>
      </c>
      <c r="K393" s="687">
        <f>INPUT!BH327</f>
        <v>-5.4268113816368313</v>
      </c>
      <c r="L393" s="156">
        <f>INPUT!BI327</f>
        <v>80.332829046898652</v>
      </c>
      <c r="M393" s="687">
        <f>INPUT!BJ327</f>
        <v>0</v>
      </c>
      <c r="N393" s="156"/>
      <c r="O393" s="687"/>
      <c r="P393" s="156"/>
      <c r="Q393" s="687"/>
      <c r="R393" s="156"/>
      <c r="S393" s="687"/>
      <c r="T393" s="156"/>
      <c r="U393" s="687"/>
      <c r="V393" s="156"/>
      <c r="W393" s="687"/>
      <c r="X393" s="156"/>
      <c r="Y393" s="687"/>
      <c r="Z393" s="156"/>
      <c r="AA393" s="687"/>
      <c r="AB393" s="156"/>
      <c r="AC393" s="687"/>
      <c r="AD393" s="156"/>
      <c r="AE393" s="687"/>
      <c r="AF393" s="156"/>
      <c r="AG393" s="687"/>
      <c r="AH393" s="156"/>
      <c r="AI393" s="687"/>
      <c r="AJ393" s="156"/>
      <c r="AK393" s="687"/>
      <c r="AL393" s="156"/>
      <c r="AM393" s="687"/>
      <c r="AN393" s="156"/>
      <c r="AO393" s="687"/>
      <c r="AP393" s="156"/>
      <c r="AQ393" s="687"/>
      <c r="AR393" s="156"/>
      <c r="AS393" s="687"/>
      <c r="AT393" s="156"/>
      <c r="AU393" s="687"/>
      <c r="AV393" s="156"/>
      <c r="AW393" s="687"/>
      <c r="AX393" s="156"/>
      <c r="AY393" s="687"/>
      <c r="AZ393" s="156"/>
      <c r="BA393" s="687"/>
      <c r="BB393" s="156"/>
      <c r="BC393" s="687"/>
      <c r="BD393" s="156"/>
      <c r="BE393" s="687"/>
      <c r="BF393" s="156"/>
      <c r="BG393" s="687"/>
      <c r="BH393" s="156"/>
      <c r="BI393" s="687"/>
      <c r="BJ393" s="156"/>
      <c r="BK393" s="687"/>
      <c r="BL393" s="156"/>
      <c r="BM393" s="687"/>
      <c r="BN393" s="156"/>
      <c r="BO393" s="687"/>
      <c r="BP393" s="156"/>
      <c r="BQ393" s="687"/>
      <c r="BR393" s="156"/>
      <c r="BS393" s="687"/>
      <c r="BT393" s="156"/>
      <c r="BU393" s="687"/>
      <c r="BV393" s="156"/>
      <c r="BW393" s="687"/>
      <c r="BX393" s="156"/>
      <c r="BY393" s="687"/>
      <c r="BZ393" s="156"/>
      <c r="CA393" s="687"/>
      <c r="CB393" s="156"/>
      <c r="CC393" s="687"/>
      <c r="CD393" s="156"/>
      <c r="CE393" s="687"/>
      <c r="CF393" s="156"/>
      <c r="CG393" s="687"/>
      <c r="CH393" s="156"/>
      <c r="CI393" s="687"/>
      <c r="CJ393" s="156"/>
      <c r="CK393" s="687"/>
      <c r="CL393" s="156"/>
      <c r="CM393" s="687"/>
      <c r="CN393" s="156"/>
      <c r="CO393" s="687"/>
      <c r="CP393" s="156"/>
      <c r="CQ393" s="687"/>
      <c r="CR393" s="156"/>
      <c r="CS393" s="687"/>
      <c r="CT393" s="156"/>
      <c r="CU393" s="687"/>
      <c r="CV393" s="156"/>
      <c r="CW393" s="687"/>
      <c r="CX393" s="156"/>
      <c r="CY393" s="687"/>
      <c r="CZ393" s="156"/>
      <c r="DA393" s="687"/>
      <c r="DB393" s="16"/>
      <c r="DC393" s="156">
        <f>INPUT!FP327</f>
        <v>82.130281690140833</v>
      </c>
      <c r="DD393" s="687" t="str">
        <f>INPUT!FQ327</f>
        <v>NA</v>
      </c>
      <c r="DE393" s="156">
        <f>INPUT!FR327</f>
        <v>85.180204410973644</v>
      </c>
      <c r="DF393" s="687">
        <f>INPUT!FS327</f>
        <v>3.7135179108961136</v>
      </c>
      <c r="DG393" s="156">
        <f>INPUT!FT327</f>
        <v>80.428360413589388</v>
      </c>
      <c r="DH393" s="687"/>
      <c r="DI393" s="156"/>
      <c r="DJ393" s="687"/>
      <c r="DK393" s="156"/>
      <c r="DL393" s="687"/>
      <c r="DM393" s="156"/>
      <c r="DN393" s="687"/>
      <c r="DO393" s="156"/>
      <c r="DP393" s="687"/>
      <c r="DQ393" s="156"/>
      <c r="DR393" s="687"/>
      <c r="DS393" s="156"/>
      <c r="DT393" s="687"/>
      <c r="DU393" s="156"/>
      <c r="DV393" s="687"/>
      <c r="DW393" s="156"/>
      <c r="DX393" s="687"/>
      <c r="DY393" s="156"/>
      <c r="DZ393" s="687"/>
      <c r="EA393" s="156"/>
      <c r="EB393" s="687"/>
      <c r="EC393" s="156"/>
      <c r="ED393" s="687"/>
      <c r="EE393" s="156"/>
      <c r="EF393" s="687"/>
      <c r="EG393" s="156"/>
      <c r="EH393" s="687"/>
      <c r="EI393" s="156"/>
      <c r="EJ393" s="687"/>
      <c r="EK393" s="156"/>
      <c r="EL393" s="687"/>
      <c r="EM393" s="687"/>
    </row>
    <row r="394" spans="1:143" ht="12.75" hidden="1" customHeight="1" outlineLevel="2" x14ac:dyDescent="0.2">
      <c r="A394" s="701" t="str">
        <f>INPUT!B328</f>
        <v>Int Credited/Total Revenues (%)</v>
      </c>
      <c r="B394" s="156">
        <f>INPUT!AY328</f>
        <v>16.25874125874126</v>
      </c>
      <c r="C394" s="687">
        <f>INPUT!AZ328</f>
        <v>-7.1678321678321666</v>
      </c>
      <c r="D394" s="156">
        <f>INPUT!BA328</f>
        <v>39.723320158102773</v>
      </c>
      <c r="E394" s="687" t="str">
        <f>INPUT!BB328</f>
        <v>NM</v>
      </c>
      <c r="F394" s="156">
        <f>INPUT!BC328</f>
        <v>38.255033557046978</v>
      </c>
      <c r="G394" s="687" t="str">
        <f>INPUT!BD328</f>
        <v>NM</v>
      </c>
      <c r="H394" s="156">
        <f>INPUT!BE328</f>
        <v>38.4967919340055</v>
      </c>
      <c r="I394" s="687" t="str">
        <f>INPUT!BF328</f>
        <v>NM</v>
      </c>
      <c r="J394" s="156">
        <f>INPUT!BG328</f>
        <v>55.122655122655132</v>
      </c>
      <c r="K394" s="687" t="str">
        <f>INPUT!BH328</f>
        <v>NM</v>
      </c>
      <c r="L394" s="156">
        <f>INPUT!BI328</f>
        <v>57.639939485627842</v>
      </c>
      <c r="M394" s="687">
        <f>INPUT!BJ328</f>
        <v>0</v>
      </c>
      <c r="N394" s="156"/>
      <c r="O394" s="687"/>
      <c r="P394" s="156"/>
      <c r="Q394" s="687"/>
      <c r="R394" s="156"/>
      <c r="S394" s="687"/>
      <c r="T394" s="156"/>
      <c r="U394" s="687"/>
      <c r="V394" s="156"/>
      <c r="W394" s="687"/>
      <c r="X394" s="156"/>
      <c r="Y394" s="687"/>
      <c r="Z394" s="156"/>
      <c r="AA394" s="687"/>
      <c r="AB394" s="156"/>
      <c r="AC394" s="687"/>
      <c r="AD394" s="156"/>
      <c r="AE394" s="687"/>
      <c r="AF394" s="156"/>
      <c r="AG394" s="687"/>
      <c r="AH394" s="156"/>
      <c r="AI394" s="687"/>
      <c r="AJ394" s="156"/>
      <c r="AK394" s="687"/>
      <c r="AL394" s="156"/>
      <c r="AM394" s="687"/>
      <c r="AN394" s="156"/>
      <c r="AO394" s="687"/>
      <c r="AP394" s="156"/>
      <c r="AQ394" s="687"/>
      <c r="AR394" s="156"/>
      <c r="AS394" s="687"/>
      <c r="AT394" s="156"/>
      <c r="AU394" s="687"/>
      <c r="AV394" s="156"/>
      <c r="AW394" s="687"/>
      <c r="AX394" s="156"/>
      <c r="AY394" s="687"/>
      <c r="AZ394" s="156"/>
      <c r="BA394" s="687"/>
      <c r="BB394" s="156"/>
      <c r="BC394" s="687"/>
      <c r="BD394" s="156"/>
      <c r="BE394" s="687"/>
      <c r="BF394" s="156"/>
      <c r="BG394" s="687"/>
      <c r="BH394" s="156"/>
      <c r="BI394" s="687"/>
      <c r="BJ394" s="156"/>
      <c r="BK394" s="687"/>
      <c r="BL394" s="156"/>
      <c r="BM394" s="687"/>
      <c r="BN394" s="156"/>
      <c r="BO394" s="687"/>
      <c r="BP394" s="156"/>
      <c r="BQ394" s="687"/>
      <c r="BR394" s="156"/>
      <c r="BS394" s="687"/>
      <c r="BT394" s="156"/>
      <c r="BU394" s="687"/>
      <c r="BV394" s="156"/>
      <c r="BW394" s="687"/>
      <c r="BX394" s="156"/>
      <c r="BY394" s="687"/>
      <c r="BZ394" s="156"/>
      <c r="CA394" s="687"/>
      <c r="CB394" s="156"/>
      <c r="CC394" s="687"/>
      <c r="CD394" s="156"/>
      <c r="CE394" s="687"/>
      <c r="CF394" s="156"/>
      <c r="CG394" s="687"/>
      <c r="CH394" s="156"/>
      <c r="CI394" s="687"/>
      <c r="CJ394" s="156"/>
      <c r="CK394" s="687"/>
      <c r="CL394" s="156"/>
      <c r="CM394" s="687"/>
      <c r="CN394" s="156"/>
      <c r="CO394" s="687"/>
      <c r="CP394" s="156"/>
      <c r="CQ394" s="687"/>
      <c r="CR394" s="156"/>
      <c r="CS394" s="687"/>
      <c r="CT394" s="156"/>
      <c r="CU394" s="687"/>
      <c r="CV394" s="156"/>
      <c r="CW394" s="687"/>
      <c r="CX394" s="156"/>
      <c r="CY394" s="687"/>
      <c r="CZ394" s="156"/>
      <c r="DA394" s="687"/>
      <c r="DB394" s="16"/>
      <c r="DC394" s="156">
        <f>INPUT!FP328</f>
        <v>17.077464788732392</v>
      </c>
      <c r="DD394" s="687" t="str">
        <f>INPUT!FQ328</f>
        <v>NA</v>
      </c>
      <c r="DE394" s="156">
        <f>INPUT!FR328</f>
        <v>35.341581495427654</v>
      </c>
      <c r="DF394" s="687" t="str">
        <f>INPUT!FS328</f>
        <v>NM</v>
      </c>
      <c r="DG394" s="156">
        <f>INPUT!FT328</f>
        <v>56.351550960118189</v>
      </c>
      <c r="DH394" s="687"/>
      <c r="DI394" s="156"/>
      <c r="DJ394" s="687"/>
      <c r="DK394" s="156"/>
      <c r="DL394" s="687"/>
      <c r="DM394" s="156"/>
      <c r="DN394" s="687"/>
      <c r="DO394" s="156"/>
      <c r="DP394" s="687"/>
      <c r="DQ394" s="156"/>
      <c r="DR394" s="687"/>
      <c r="DS394" s="156"/>
      <c r="DT394" s="687"/>
      <c r="DU394" s="156"/>
      <c r="DV394" s="687"/>
      <c r="DW394" s="156"/>
      <c r="DX394" s="687"/>
      <c r="DY394" s="156"/>
      <c r="DZ394" s="687"/>
      <c r="EA394" s="156"/>
      <c r="EB394" s="687"/>
      <c r="EC394" s="156"/>
      <c r="ED394" s="687"/>
      <c r="EE394" s="156"/>
      <c r="EF394" s="687"/>
      <c r="EG394" s="156"/>
      <c r="EH394" s="687"/>
      <c r="EI394" s="156"/>
      <c r="EJ394" s="687"/>
      <c r="EK394" s="156"/>
      <c r="EL394" s="687"/>
      <c r="EM394" s="687"/>
    </row>
    <row r="395" spans="1:143" ht="12.75" hidden="1" customHeight="1" outlineLevel="2" x14ac:dyDescent="0.2">
      <c r="A395" s="701"/>
      <c r="B395" s="464"/>
      <c r="C395" s="687"/>
      <c r="D395" s="464"/>
      <c r="E395" s="687"/>
      <c r="F395" s="464"/>
      <c r="G395" s="687"/>
      <c r="H395" s="464"/>
      <c r="I395" s="687"/>
      <c r="J395" s="464"/>
      <c r="K395" s="687"/>
      <c r="L395" s="464"/>
      <c r="M395" s="687"/>
      <c r="N395" s="464"/>
      <c r="O395" s="687"/>
      <c r="P395" s="464"/>
      <c r="Q395" s="687"/>
      <c r="R395" s="464"/>
      <c r="S395" s="687"/>
      <c r="T395" s="464"/>
      <c r="U395" s="687"/>
      <c r="V395" s="464"/>
      <c r="W395" s="687"/>
      <c r="X395" s="464"/>
      <c r="Y395" s="687"/>
      <c r="Z395" s="464"/>
      <c r="AA395" s="687"/>
      <c r="AB395" s="464"/>
      <c r="AC395" s="687"/>
      <c r="AD395" s="464"/>
      <c r="AE395" s="687"/>
      <c r="AF395" s="464"/>
      <c r="AG395" s="687"/>
      <c r="AH395" s="464"/>
      <c r="AI395" s="687"/>
      <c r="AJ395" s="464"/>
      <c r="AK395" s="687"/>
      <c r="AL395" s="464"/>
      <c r="AM395" s="687"/>
      <c r="AN395" s="464"/>
      <c r="AO395" s="687"/>
      <c r="AP395" s="464"/>
      <c r="AQ395" s="687"/>
      <c r="AR395" s="464"/>
      <c r="AS395" s="687"/>
      <c r="AT395" s="464"/>
      <c r="AU395" s="687"/>
      <c r="AV395" s="464"/>
      <c r="AW395" s="687"/>
      <c r="AX395" s="464"/>
      <c r="AY395" s="687"/>
      <c r="AZ395" s="464"/>
      <c r="BA395" s="687"/>
      <c r="BB395" s="464"/>
      <c r="BC395" s="687"/>
      <c r="BD395" s="464"/>
      <c r="BE395" s="687"/>
      <c r="BF395" s="464"/>
      <c r="BG395" s="687"/>
      <c r="BH395" s="464"/>
      <c r="BI395" s="687"/>
      <c r="BJ395" s="464"/>
      <c r="BK395" s="687"/>
      <c r="BL395" s="464"/>
      <c r="BM395" s="687"/>
      <c r="BN395" s="464"/>
      <c r="BO395" s="687"/>
      <c r="BP395" s="464"/>
      <c r="BQ395" s="687"/>
      <c r="BR395" s="464"/>
      <c r="BS395" s="687"/>
      <c r="BT395" s="464"/>
      <c r="BU395" s="687"/>
      <c r="BV395" s="464"/>
      <c r="BW395" s="687"/>
      <c r="BX395" s="464"/>
      <c r="BY395" s="687"/>
      <c r="BZ395" s="464"/>
      <c r="CA395" s="687"/>
      <c r="CB395" s="464"/>
      <c r="CC395" s="687"/>
      <c r="CD395" s="464"/>
      <c r="CE395" s="687"/>
      <c r="CF395" s="464"/>
      <c r="CG395" s="687"/>
      <c r="CH395" s="464"/>
      <c r="CI395" s="687"/>
      <c r="CJ395" s="464"/>
      <c r="CK395" s="687"/>
      <c r="CL395" s="464"/>
      <c r="CM395" s="687"/>
      <c r="CN395" s="464"/>
      <c r="CO395" s="687"/>
      <c r="CP395" s="464"/>
      <c r="CQ395" s="687"/>
      <c r="CR395" s="464"/>
      <c r="CS395" s="687"/>
      <c r="CT395" s="464"/>
      <c r="CU395" s="687"/>
      <c r="CV395" s="464"/>
      <c r="CW395" s="687"/>
      <c r="CX395" s="464"/>
      <c r="CY395" s="687"/>
      <c r="CZ395" s="464"/>
      <c r="DA395" s="687"/>
      <c r="DB395" s="16"/>
      <c r="DC395" s="464"/>
      <c r="DD395" s="687"/>
      <c r="DE395" s="464"/>
      <c r="DF395" s="687"/>
      <c r="DG395" s="464"/>
      <c r="DH395" s="687"/>
      <c r="DI395" s="464"/>
      <c r="DJ395" s="687"/>
      <c r="DK395" s="464"/>
      <c r="DL395" s="687"/>
      <c r="DM395" s="464"/>
      <c r="DN395" s="687"/>
      <c r="DO395" s="464"/>
      <c r="DP395" s="687"/>
      <c r="DQ395" s="464"/>
      <c r="DR395" s="687"/>
      <c r="DS395" s="464"/>
      <c r="DT395" s="687"/>
      <c r="DU395" s="464"/>
      <c r="DV395" s="687"/>
      <c r="DW395" s="464"/>
      <c r="DX395" s="687"/>
      <c r="DY395" s="464"/>
      <c r="DZ395" s="687"/>
      <c r="EA395" s="464"/>
      <c r="EB395" s="687"/>
      <c r="EC395" s="464"/>
      <c r="ED395" s="687"/>
      <c r="EE395" s="464"/>
      <c r="EF395" s="687"/>
      <c r="EG395" s="464"/>
      <c r="EH395" s="687"/>
      <c r="EI395" s="464"/>
      <c r="EJ395" s="687"/>
      <c r="EK395" s="464"/>
      <c r="EL395" s="687"/>
      <c r="EM395" s="687"/>
    </row>
    <row r="396" spans="1:143" ht="12.75" hidden="1" customHeight="1" outlineLevel="2" x14ac:dyDescent="0.2">
      <c r="A396" s="700" t="str">
        <f>INPUT!B338</f>
        <v>Benefits and Expenses Analysis</v>
      </c>
      <c r="B396" s="16"/>
      <c r="C396" s="687"/>
      <c r="D396" s="16"/>
      <c r="E396" s="687"/>
      <c r="F396" s="16"/>
      <c r="G396" s="687"/>
      <c r="H396" s="16"/>
      <c r="I396" s="687"/>
      <c r="J396" s="16"/>
      <c r="K396" s="687"/>
      <c r="L396" s="16"/>
      <c r="M396" s="687"/>
      <c r="N396" s="16"/>
      <c r="O396" s="687"/>
      <c r="P396" s="16"/>
      <c r="Q396" s="687"/>
      <c r="R396" s="16"/>
      <c r="S396" s="687"/>
      <c r="T396" s="16"/>
      <c r="U396" s="687"/>
      <c r="V396" s="16"/>
      <c r="W396" s="687"/>
      <c r="X396" s="16"/>
      <c r="Y396" s="687"/>
      <c r="Z396" s="16"/>
      <c r="AA396" s="687"/>
      <c r="AB396" s="16"/>
      <c r="AC396" s="687"/>
      <c r="AD396" s="16"/>
      <c r="AE396" s="687"/>
      <c r="AF396" s="16"/>
      <c r="AG396" s="687"/>
      <c r="AH396" s="16"/>
      <c r="AI396" s="687"/>
      <c r="AJ396" s="16"/>
      <c r="AK396" s="687"/>
      <c r="AL396" s="16"/>
      <c r="AM396" s="687"/>
      <c r="AN396" s="16"/>
      <c r="AO396" s="687"/>
      <c r="AP396" s="16"/>
      <c r="AQ396" s="687"/>
      <c r="AR396" s="16"/>
      <c r="AS396" s="687"/>
      <c r="AT396" s="16"/>
      <c r="AU396" s="687"/>
      <c r="AV396" s="16"/>
      <c r="AW396" s="687"/>
      <c r="AX396" s="16"/>
      <c r="AY396" s="687"/>
      <c r="AZ396" s="16"/>
      <c r="BA396" s="687"/>
      <c r="BB396" s="16"/>
      <c r="BC396" s="687"/>
      <c r="BD396" s="16"/>
      <c r="BE396" s="687"/>
      <c r="BF396" s="16"/>
      <c r="BG396" s="687"/>
      <c r="BH396" s="16"/>
      <c r="BI396" s="687"/>
      <c r="BJ396" s="16"/>
      <c r="BK396" s="687"/>
      <c r="BL396" s="16"/>
      <c r="BM396" s="687"/>
      <c r="BN396" s="16"/>
      <c r="BO396" s="687"/>
      <c r="BP396" s="16"/>
      <c r="BQ396" s="687"/>
      <c r="BR396" s="16"/>
      <c r="BS396" s="687"/>
      <c r="BT396" s="16"/>
      <c r="BU396" s="687"/>
      <c r="BV396" s="16"/>
      <c r="BW396" s="687"/>
      <c r="BX396" s="16"/>
      <c r="BY396" s="687"/>
      <c r="BZ396" s="16"/>
      <c r="CA396" s="687"/>
      <c r="CB396" s="16"/>
      <c r="CC396" s="687"/>
      <c r="CD396" s="16"/>
      <c r="CE396" s="687"/>
      <c r="CF396" s="16"/>
      <c r="CG396" s="687"/>
      <c r="CH396" s="16"/>
      <c r="CI396" s="687"/>
      <c r="CJ396" s="16"/>
      <c r="CK396" s="687"/>
      <c r="CL396" s="16"/>
      <c r="CM396" s="687"/>
      <c r="CN396" s="16"/>
      <c r="CO396" s="687"/>
      <c r="CP396" s="16"/>
      <c r="CQ396" s="687"/>
      <c r="CR396" s="16"/>
      <c r="CS396" s="687"/>
      <c r="CT396" s="16"/>
      <c r="CU396" s="687"/>
      <c r="CV396" s="16"/>
      <c r="CW396" s="687"/>
      <c r="CX396" s="16"/>
      <c r="CY396" s="687"/>
      <c r="CZ396" s="16"/>
      <c r="DA396" s="687"/>
      <c r="DB396" s="16"/>
      <c r="DC396" s="16"/>
      <c r="DD396" s="687"/>
      <c r="DE396" s="16"/>
      <c r="DF396" s="687"/>
      <c r="DG396" s="16"/>
      <c r="DH396" s="687"/>
      <c r="DI396" s="16"/>
      <c r="DJ396" s="687"/>
      <c r="DK396" s="16"/>
      <c r="DL396" s="687"/>
      <c r="DM396" s="16"/>
      <c r="DN396" s="687"/>
      <c r="DO396" s="16"/>
      <c r="DP396" s="687"/>
      <c r="DQ396" s="16"/>
      <c r="DR396" s="687"/>
      <c r="DS396" s="16"/>
      <c r="DT396" s="687"/>
      <c r="DU396" s="16"/>
      <c r="DV396" s="687"/>
      <c r="DW396" s="16"/>
      <c r="DX396" s="687"/>
      <c r="DY396" s="16"/>
      <c r="DZ396" s="687"/>
      <c r="EA396" s="16"/>
      <c r="EB396" s="687"/>
      <c r="EC396" s="16"/>
      <c r="ED396" s="687"/>
      <c r="EE396" s="16"/>
      <c r="EF396" s="687"/>
      <c r="EG396" s="16"/>
      <c r="EH396" s="687"/>
      <c r="EI396" s="16"/>
      <c r="EJ396" s="687"/>
      <c r="EK396" s="16"/>
      <c r="EL396" s="687"/>
      <c r="EM396" s="687"/>
    </row>
    <row r="397" spans="1:143" ht="12.75" hidden="1" customHeight="1" outlineLevel="2" x14ac:dyDescent="0.2">
      <c r="A397" s="718" t="str">
        <f>INPUT!B339</f>
        <v>Benefits / Net Revenues (%)</v>
      </c>
      <c r="B397" s="156">
        <f>INPUT!AY339</f>
        <v>68.475991649269304</v>
      </c>
      <c r="C397" s="687">
        <f>INPUT!AZ339</f>
        <v>-5.6840115019498256</v>
      </c>
      <c r="D397" s="156">
        <f>INPUT!BA339</f>
        <v>49.83606557377049</v>
      </c>
      <c r="E397" s="687">
        <f>INPUT!BB339</f>
        <v>-29.223046937576758</v>
      </c>
      <c r="F397" s="156">
        <f>INPUT!BC339</f>
        <v>55.279503105590052</v>
      </c>
      <c r="G397" s="687">
        <f>INPUT!BD339</f>
        <v>-32.251436043524961</v>
      </c>
      <c r="H397" s="156">
        <f>INPUT!BE339</f>
        <v>59.165424739195238</v>
      </c>
      <c r="I397" s="687">
        <f>INPUT!BF339</f>
        <v>-1.2013259964079648</v>
      </c>
      <c r="J397" s="156">
        <f>INPUT!BG339</f>
        <v>9.0032154340836037</v>
      </c>
      <c r="K397" s="687" t="str">
        <f>INPUT!BH339</f>
        <v>NM</v>
      </c>
      <c r="L397" s="156">
        <f>INPUT!BI339</f>
        <v>9.6428571428571459</v>
      </c>
      <c r="M397" s="687">
        <f>INPUT!BJ339</f>
        <v>0</v>
      </c>
      <c r="N397" s="156"/>
      <c r="O397" s="687"/>
      <c r="P397" s="156"/>
      <c r="Q397" s="687"/>
      <c r="R397" s="156"/>
      <c r="S397" s="687"/>
      <c r="T397" s="156"/>
      <c r="U397" s="687"/>
      <c r="V397" s="156"/>
      <c r="W397" s="687"/>
      <c r="X397" s="156"/>
      <c r="Y397" s="687"/>
      <c r="Z397" s="156"/>
      <c r="AA397" s="687"/>
      <c r="AB397" s="156"/>
      <c r="AC397" s="687"/>
      <c r="AD397" s="156"/>
      <c r="AE397" s="687"/>
      <c r="AF397" s="156"/>
      <c r="AG397" s="687"/>
      <c r="AH397" s="156"/>
      <c r="AI397" s="687"/>
      <c r="AJ397" s="156"/>
      <c r="AK397" s="687"/>
      <c r="AL397" s="156"/>
      <c r="AM397" s="687"/>
      <c r="AN397" s="156"/>
      <c r="AO397" s="687"/>
      <c r="AP397" s="156"/>
      <c r="AQ397" s="687"/>
      <c r="AR397" s="156"/>
      <c r="AS397" s="687"/>
      <c r="AT397" s="156"/>
      <c r="AU397" s="687"/>
      <c r="AV397" s="156"/>
      <c r="AW397" s="687"/>
      <c r="AX397" s="156"/>
      <c r="AY397" s="687"/>
      <c r="AZ397" s="156"/>
      <c r="BA397" s="687"/>
      <c r="BB397" s="156"/>
      <c r="BC397" s="687"/>
      <c r="BD397" s="156"/>
      <c r="BE397" s="687"/>
      <c r="BF397" s="156"/>
      <c r="BG397" s="687"/>
      <c r="BH397" s="156"/>
      <c r="BI397" s="687"/>
      <c r="BJ397" s="156"/>
      <c r="BK397" s="687"/>
      <c r="BL397" s="156"/>
      <c r="BM397" s="687"/>
      <c r="BN397" s="156"/>
      <c r="BO397" s="687"/>
      <c r="BP397" s="156"/>
      <c r="BQ397" s="687"/>
      <c r="BR397" s="156"/>
      <c r="BS397" s="687"/>
      <c r="BT397" s="156"/>
      <c r="BU397" s="687"/>
      <c r="BV397" s="156"/>
      <c r="BW397" s="687"/>
      <c r="BX397" s="156"/>
      <c r="BY397" s="687"/>
      <c r="BZ397" s="156"/>
      <c r="CA397" s="687"/>
      <c r="CB397" s="156"/>
      <c r="CC397" s="687"/>
      <c r="CD397" s="156"/>
      <c r="CE397" s="687"/>
      <c r="CF397" s="156"/>
      <c r="CG397" s="687"/>
      <c r="CH397" s="156"/>
      <c r="CI397" s="687"/>
      <c r="CJ397" s="156"/>
      <c r="CK397" s="687"/>
      <c r="CL397" s="156"/>
      <c r="CM397" s="687"/>
      <c r="CN397" s="156"/>
      <c r="CO397" s="687"/>
      <c r="CP397" s="156"/>
      <c r="CQ397" s="687"/>
      <c r="CR397" s="156"/>
      <c r="CS397" s="687"/>
      <c r="CT397" s="156"/>
      <c r="CU397" s="687"/>
      <c r="CV397" s="156"/>
      <c r="CW397" s="687"/>
      <c r="CX397" s="156"/>
      <c r="CY397" s="687"/>
      <c r="CZ397" s="156"/>
      <c r="DA397" s="687"/>
      <c r="DB397" s="16"/>
      <c r="DC397" s="156">
        <f>INPUT!FP339</f>
        <v>70.912951167728224</v>
      </c>
      <c r="DD397" s="687" t="str">
        <f>INPUT!FQ339</f>
        <v>NA</v>
      </c>
      <c r="DE397" s="156">
        <f>INPUT!FR339</f>
        <v>57.612312811980047</v>
      </c>
      <c r="DF397" s="687">
        <f>INPUT!FS339</f>
        <v>-18.756289417836502</v>
      </c>
      <c r="DG397" s="156">
        <f>INPUT!FT339</f>
        <v>9.3062605752961129</v>
      </c>
      <c r="DH397" s="687"/>
      <c r="DI397" s="156"/>
      <c r="DJ397" s="687"/>
      <c r="DK397" s="156"/>
      <c r="DL397" s="687"/>
      <c r="DM397" s="156"/>
      <c r="DN397" s="687"/>
      <c r="DO397" s="156"/>
      <c r="DP397" s="687"/>
      <c r="DQ397" s="156"/>
      <c r="DR397" s="687"/>
      <c r="DS397" s="156"/>
      <c r="DT397" s="687"/>
      <c r="DU397" s="156"/>
      <c r="DV397" s="687"/>
      <c r="DW397" s="156"/>
      <c r="DX397" s="687"/>
      <c r="DY397" s="156"/>
      <c r="DZ397" s="687"/>
      <c r="EA397" s="156"/>
      <c r="EB397" s="687"/>
      <c r="EC397" s="156"/>
      <c r="ED397" s="687"/>
      <c r="EE397" s="156"/>
      <c r="EF397" s="687"/>
      <c r="EG397" s="156"/>
      <c r="EH397" s="687"/>
      <c r="EI397" s="156"/>
      <c r="EJ397" s="687"/>
      <c r="EK397" s="156"/>
      <c r="EL397" s="687"/>
      <c r="EM397" s="687"/>
    </row>
    <row r="398" spans="1:143" ht="12.75" hidden="1" customHeight="1" outlineLevel="2" x14ac:dyDescent="0.2">
      <c r="A398" s="718" t="str">
        <f>INPUT!B340</f>
        <v>Other Op Exp/Revenues (%)</v>
      </c>
      <c r="B398" s="156">
        <f>INPUT!AY340</f>
        <v>9.603340292275572</v>
      </c>
      <c r="C398" s="687">
        <f>INPUT!AZ340</f>
        <v>-47.421711899791241</v>
      </c>
      <c r="D398" s="156">
        <f>INPUT!BA340</f>
        <v>11.803278688524591</v>
      </c>
      <c r="E398" s="687">
        <f>INPUT!BB340</f>
        <v>-31.383606557377053</v>
      </c>
      <c r="F398" s="156">
        <f>INPUT!BC340</f>
        <v>18.167701863354036</v>
      </c>
      <c r="G398" s="687">
        <f>INPUT!BD340</f>
        <v>38.812597049689444</v>
      </c>
      <c r="H398" s="156">
        <f>INPUT!BE340</f>
        <v>13.561847988077497</v>
      </c>
      <c r="I398" s="687">
        <f>INPUT!BF340</f>
        <v>-3.2092766878304646</v>
      </c>
      <c r="J398" s="156">
        <f>INPUT!BG340</f>
        <v>32.797427652733127</v>
      </c>
      <c r="K398" s="687" t="str">
        <f>INPUT!BH340</f>
        <v>NM</v>
      </c>
      <c r="L398" s="156">
        <f>INPUT!BI340</f>
        <v>31.428571428571438</v>
      </c>
      <c r="M398" s="687">
        <f>INPUT!BJ340</f>
        <v>0</v>
      </c>
      <c r="N398" s="156"/>
      <c r="O398" s="687"/>
      <c r="P398" s="156"/>
      <c r="Q398" s="687"/>
      <c r="R398" s="156"/>
      <c r="S398" s="687"/>
      <c r="T398" s="156"/>
      <c r="U398" s="687"/>
      <c r="V398" s="156"/>
      <c r="W398" s="687"/>
      <c r="X398" s="156"/>
      <c r="Y398" s="687"/>
      <c r="Z398" s="156"/>
      <c r="AA398" s="687"/>
      <c r="AB398" s="156"/>
      <c r="AC398" s="687"/>
      <c r="AD398" s="156"/>
      <c r="AE398" s="687"/>
      <c r="AF398" s="156"/>
      <c r="AG398" s="687"/>
      <c r="AH398" s="156"/>
      <c r="AI398" s="687"/>
      <c r="AJ398" s="156"/>
      <c r="AK398" s="687"/>
      <c r="AL398" s="156"/>
      <c r="AM398" s="687"/>
      <c r="AN398" s="156"/>
      <c r="AO398" s="687"/>
      <c r="AP398" s="156"/>
      <c r="AQ398" s="687"/>
      <c r="AR398" s="156"/>
      <c r="AS398" s="687"/>
      <c r="AT398" s="156"/>
      <c r="AU398" s="687"/>
      <c r="AV398" s="156"/>
      <c r="AW398" s="687"/>
      <c r="AX398" s="156"/>
      <c r="AY398" s="687"/>
      <c r="AZ398" s="156"/>
      <c r="BA398" s="687"/>
      <c r="BB398" s="156"/>
      <c r="BC398" s="687"/>
      <c r="BD398" s="156"/>
      <c r="BE398" s="687"/>
      <c r="BF398" s="156"/>
      <c r="BG398" s="687"/>
      <c r="BH398" s="156"/>
      <c r="BI398" s="687"/>
      <c r="BJ398" s="156"/>
      <c r="BK398" s="687"/>
      <c r="BL398" s="156"/>
      <c r="BM398" s="687"/>
      <c r="BN398" s="156"/>
      <c r="BO398" s="687"/>
      <c r="BP398" s="156"/>
      <c r="BQ398" s="687"/>
      <c r="BR398" s="156"/>
      <c r="BS398" s="687"/>
      <c r="BT398" s="156"/>
      <c r="BU398" s="687"/>
      <c r="BV398" s="156"/>
      <c r="BW398" s="687"/>
      <c r="BX398" s="156"/>
      <c r="BY398" s="687"/>
      <c r="BZ398" s="156"/>
      <c r="CA398" s="687"/>
      <c r="CB398" s="156"/>
      <c r="CC398" s="687"/>
      <c r="CD398" s="156"/>
      <c r="CE398" s="687"/>
      <c r="CF398" s="156"/>
      <c r="CG398" s="687"/>
      <c r="CH398" s="156"/>
      <c r="CI398" s="687"/>
      <c r="CJ398" s="156"/>
      <c r="CK398" s="687"/>
      <c r="CL398" s="156"/>
      <c r="CM398" s="687"/>
      <c r="CN398" s="156"/>
      <c r="CO398" s="687"/>
      <c r="CP398" s="156"/>
      <c r="CQ398" s="687"/>
      <c r="CR398" s="156"/>
      <c r="CS398" s="687"/>
      <c r="CT398" s="156"/>
      <c r="CU398" s="687"/>
      <c r="CV398" s="156"/>
      <c r="CW398" s="687"/>
      <c r="CX398" s="156"/>
      <c r="CY398" s="687"/>
      <c r="CZ398" s="156"/>
      <c r="DA398" s="687"/>
      <c r="DB398" s="16"/>
      <c r="DC398" s="156">
        <f>INPUT!FP340</f>
        <v>15.49893842887473</v>
      </c>
      <c r="DD398" s="687" t="str">
        <f>INPUT!FQ340</f>
        <v>NA</v>
      </c>
      <c r="DE398" s="156">
        <f>INPUT!FR340</f>
        <v>13.560732113144763</v>
      </c>
      <c r="DF398" s="687">
        <f>INPUT!FS340</f>
        <v>-12.505413352175543</v>
      </c>
      <c r="DG398" s="156">
        <f>INPUT!FT340</f>
        <v>32.148900169204758</v>
      </c>
      <c r="DH398" s="687"/>
      <c r="DI398" s="156"/>
      <c r="DJ398" s="687"/>
      <c r="DK398" s="156"/>
      <c r="DL398" s="687"/>
      <c r="DM398" s="156"/>
      <c r="DN398" s="687"/>
      <c r="DO398" s="156"/>
      <c r="DP398" s="687"/>
      <c r="DQ398" s="156"/>
      <c r="DR398" s="687"/>
      <c r="DS398" s="156"/>
      <c r="DT398" s="687"/>
      <c r="DU398" s="156"/>
      <c r="DV398" s="687"/>
      <c r="DW398" s="156"/>
      <c r="DX398" s="687"/>
      <c r="DY398" s="156"/>
      <c r="DZ398" s="687"/>
      <c r="EA398" s="156"/>
      <c r="EB398" s="687"/>
      <c r="EC398" s="156"/>
      <c r="ED398" s="687"/>
      <c r="EE398" s="156"/>
      <c r="EF398" s="687"/>
      <c r="EG398" s="156"/>
      <c r="EH398" s="687"/>
      <c r="EI398" s="156"/>
      <c r="EJ398" s="687"/>
      <c r="EK398" s="156"/>
      <c r="EL398" s="687"/>
      <c r="EM398" s="687"/>
    </row>
    <row r="399" spans="1:143" ht="12.75" hidden="1" customHeight="1" outlineLevel="2" x14ac:dyDescent="0.2">
      <c r="A399" s="701"/>
      <c r="B399" s="16"/>
      <c r="C399" s="687"/>
      <c r="D399" s="16"/>
      <c r="E399" s="687"/>
      <c r="F399" s="16"/>
      <c r="G399" s="687"/>
      <c r="H399" s="16"/>
      <c r="I399" s="687"/>
      <c r="J399" s="16"/>
      <c r="K399" s="687"/>
      <c r="L399" s="16"/>
      <c r="M399" s="687"/>
      <c r="N399" s="16"/>
      <c r="O399" s="687"/>
      <c r="P399" s="16"/>
      <c r="Q399" s="687"/>
      <c r="R399" s="16"/>
      <c r="S399" s="687"/>
      <c r="T399" s="16"/>
      <c r="U399" s="687"/>
      <c r="V399" s="16"/>
      <c r="W399" s="687"/>
      <c r="X399" s="16"/>
      <c r="Y399" s="687"/>
      <c r="Z399" s="16"/>
      <c r="AA399" s="687"/>
      <c r="AB399" s="16"/>
      <c r="AC399" s="687"/>
      <c r="AD399" s="16"/>
      <c r="AE399" s="687"/>
      <c r="AF399" s="16"/>
      <c r="AG399" s="687"/>
      <c r="AH399" s="16"/>
      <c r="AI399" s="687"/>
      <c r="AJ399" s="16"/>
      <c r="AK399" s="687"/>
      <c r="AL399" s="16"/>
      <c r="AM399" s="687"/>
      <c r="AN399" s="16"/>
      <c r="AO399" s="687"/>
      <c r="AP399" s="16"/>
      <c r="AQ399" s="687"/>
      <c r="AR399" s="16"/>
      <c r="AS399" s="687"/>
      <c r="AT399" s="16"/>
      <c r="AU399" s="687"/>
      <c r="AV399" s="16"/>
      <c r="AW399" s="687"/>
      <c r="AX399" s="16"/>
      <c r="AY399" s="687"/>
      <c r="AZ399" s="16"/>
      <c r="BA399" s="687"/>
      <c r="BB399" s="16"/>
      <c r="BC399" s="687"/>
      <c r="BD399" s="16"/>
      <c r="BE399" s="687"/>
      <c r="BF399" s="16"/>
      <c r="BG399" s="687"/>
      <c r="BH399" s="16"/>
      <c r="BI399" s="687"/>
      <c r="BJ399" s="16"/>
      <c r="BK399" s="687"/>
      <c r="BL399" s="16"/>
      <c r="BM399" s="687"/>
      <c r="BN399" s="16"/>
      <c r="BO399" s="687"/>
      <c r="BP399" s="16"/>
      <c r="BQ399" s="687"/>
      <c r="BR399" s="16"/>
      <c r="BS399" s="687"/>
      <c r="BT399" s="16"/>
      <c r="BU399" s="687"/>
      <c r="BV399" s="16"/>
      <c r="BW399" s="687"/>
      <c r="BX399" s="16"/>
      <c r="BY399" s="687"/>
      <c r="BZ399" s="16"/>
      <c r="CA399" s="687"/>
      <c r="CB399" s="16"/>
      <c r="CC399" s="687"/>
      <c r="CD399" s="16"/>
      <c r="CE399" s="687"/>
      <c r="CF399" s="16"/>
      <c r="CG399" s="687"/>
      <c r="CH399" s="16"/>
      <c r="CI399" s="687"/>
      <c r="CJ399" s="16"/>
      <c r="CK399" s="687"/>
      <c r="CL399" s="16"/>
      <c r="CM399" s="687"/>
      <c r="CN399" s="16"/>
      <c r="CO399" s="687"/>
      <c r="CP399" s="16"/>
      <c r="CQ399" s="687"/>
      <c r="CR399" s="16"/>
      <c r="CS399" s="687"/>
      <c r="CT399" s="16"/>
      <c r="CU399" s="687"/>
      <c r="CV399" s="16"/>
      <c r="CW399" s="687"/>
      <c r="CX399" s="16"/>
      <c r="CY399" s="687"/>
      <c r="CZ399" s="16"/>
      <c r="DA399" s="687"/>
      <c r="DB399" s="16"/>
      <c r="DC399" s="16"/>
      <c r="DD399" s="687"/>
      <c r="DE399" s="16"/>
      <c r="DF399" s="687"/>
      <c r="DG399" s="16"/>
      <c r="DH399" s="687"/>
      <c r="DI399" s="16"/>
      <c r="DJ399" s="687"/>
      <c r="DK399" s="16"/>
      <c r="DL399" s="687"/>
      <c r="DM399" s="16"/>
      <c r="DN399" s="687"/>
      <c r="DO399" s="16"/>
      <c r="DP399" s="687"/>
      <c r="DQ399" s="16"/>
      <c r="DR399" s="687"/>
      <c r="DS399" s="16"/>
      <c r="DT399" s="687"/>
      <c r="DU399" s="16"/>
      <c r="DV399" s="687"/>
      <c r="DW399" s="16"/>
      <c r="DX399" s="687"/>
      <c r="DY399" s="16"/>
      <c r="DZ399" s="687"/>
      <c r="EA399" s="16"/>
      <c r="EB399" s="687"/>
      <c r="EC399" s="16"/>
      <c r="ED399" s="687"/>
      <c r="EE399" s="16"/>
      <c r="EF399" s="687"/>
      <c r="EG399" s="16"/>
      <c r="EH399" s="687"/>
      <c r="EI399" s="16"/>
      <c r="EJ399" s="687"/>
      <c r="EK399" s="16"/>
      <c r="EL399" s="687"/>
      <c r="EM399" s="687"/>
    </row>
    <row r="400" spans="1:143" ht="12.75" hidden="1" customHeight="1" outlineLevel="2" x14ac:dyDescent="0.2">
      <c r="A400" s="689" t="str">
        <f>+A60</f>
        <v>Quarterly income statement ratios are annualized where appropriate     NM = Not Meaningful       NA = Not Applicable  E=Morgan Stanley Estimates</v>
      </c>
      <c r="B400" s="16"/>
      <c r="C400" s="687"/>
      <c r="D400" s="16"/>
      <c r="E400" s="687"/>
      <c r="F400" s="16"/>
      <c r="G400" s="687"/>
      <c r="H400" s="16"/>
      <c r="I400" s="687"/>
      <c r="J400" s="16"/>
      <c r="K400" s="687"/>
      <c r="L400" s="16"/>
      <c r="M400" s="687"/>
      <c r="N400" s="16"/>
      <c r="O400" s="687"/>
      <c r="P400" s="16"/>
      <c r="Q400" s="687"/>
      <c r="R400" s="16"/>
      <c r="S400" s="687"/>
      <c r="T400" s="16"/>
      <c r="U400" s="687"/>
      <c r="V400" s="16"/>
      <c r="W400" s="687"/>
      <c r="X400" s="16"/>
      <c r="Y400" s="687"/>
      <c r="Z400" s="16"/>
      <c r="AA400" s="687"/>
      <c r="AB400" s="16"/>
      <c r="AC400" s="687"/>
      <c r="AD400" s="16"/>
      <c r="AE400" s="687"/>
      <c r="AF400" s="16"/>
      <c r="AG400" s="687"/>
      <c r="AH400" s="16"/>
      <c r="AI400" s="687"/>
      <c r="AJ400" s="16"/>
      <c r="AK400" s="687"/>
      <c r="AL400" s="16"/>
      <c r="AM400" s="687"/>
      <c r="AN400" s="16"/>
      <c r="AO400" s="687"/>
      <c r="AP400" s="16"/>
      <c r="AQ400" s="687"/>
      <c r="AR400" s="16"/>
      <c r="AS400" s="687"/>
      <c r="AT400" s="16"/>
      <c r="AU400" s="687"/>
      <c r="AV400" s="16"/>
      <c r="AW400" s="687"/>
      <c r="AX400" s="16"/>
      <c r="AY400" s="687"/>
      <c r="AZ400" s="16"/>
      <c r="BA400" s="687"/>
      <c r="BB400" s="16"/>
      <c r="BC400" s="687"/>
      <c r="BD400" s="16"/>
      <c r="BE400" s="687"/>
      <c r="BF400" s="16"/>
      <c r="BG400" s="687"/>
      <c r="BH400" s="16"/>
      <c r="BI400" s="687"/>
      <c r="BJ400" s="16"/>
      <c r="BK400" s="687"/>
      <c r="BL400" s="16"/>
      <c r="BM400" s="687"/>
      <c r="BN400" s="16"/>
      <c r="BO400" s="687"/>
      <c r="BP400" s="16"/>
      <c r="BQ400" s="687"/>
      <c r="BR400" s="16"/>
      <c r="BS400" s="687"/>
      <c r="BT400" s="16"/>
      <c r="BU400" s="687"/>
      <c r="BV400" s="16"/>
      <c r="BW400" s="687"/>
      <c r="BX400" s="16"/>
      <c r="BY400" s="687"/>
      <c r="BZ400" s="16"/>
      <c r="CA400" s="687"/>
      <c r="CB400" s="16"/>
      <c r="CC400" s="687"/>
      <c r="CD400" s="16"/>
      <c r="CE400" s="687"/>
      <c r="CF400" s="16"/>
      <c r="CG400" s="687"/>
      <c r="CH400" s="16"/>
      <c r="CI400" s="687"/>
      <c r="CJ400" s="16"/>
      <c r="CK400" s="687"/>
      <c r="CL400" s="16"/>
      <c r="CM400" s="687"/>
      <c r="CN400" s="16"/>
      <c r="CO400" s="687"/>
      <c r="CP400" s="16"/>
      <c r="CQ400" s="687"/>
      <c r="CR400" s="16"/>
      <c r="CS400" s="687"/>
      <c r="CT400" s="16"/>
      <c r="CU400" s="687"/>
      <c r="CV400" s="16"/>
      <c r="CW400" s="687"/>
      <c r="CX400" s="16"/>
      <c r="CY400" s="687"/>
      <c r="CZ400" s="16"/>
      <c r="DA400" s="687"/>
      <c r="DB400" s="16"/>
      <c r="DC400" s="16"/>
      <c r="DD400" s="687"/>
      <c r="DE400" s="16"/>
      <c r="DF400" s="687"/>
      <c r="DG400" s="16"/>
      <c r="DH400" s="687"/>
      <c r="DI400" s="16"/>
      <c r="DJ400" s="687"/>
      <c r="DK400" s="16"/>
      <c r="DL400" s="687"/>
      <c r="DM400" s="16"/>
      <c r="DN400" s="687"/>
      <c r="DO400" s="16"/>
      <c r="DP400" s="687"/>
      <c r="DQ400" s="16"/>
      <c r="DR400" s="687"/>
      <c r="DS400" s="16"/>
      <c r="DT400" s="687"/>
      <c r="DU400" s="16"/>
      <c r="DV400" s="687"/>
      <c r="DW400" s="16"/>
      <c r="DX400" s="687"/>
      <c r="DY400" s="16"/>
      <c r="DZ400" s="687"/>
      <c r="EA400" s="16"/>
      <c r="EB400" s="687"/>
      <c r="EC400" s="16"/>
      <c r="ED400" s="687"/>
      <c r="EE400" s="16"/>
      <c r="EF400" s="687"/>
      <c r="EG400" s="16"/>
      <c r="EH400" s="687"/>
      <c r="EI400" s="16"/>
      <c r="EJ400" s="687"/>
      <c r="EK400" s="16"/>
      <c r="EL400" s="687"/>
      <c r="EM400" s="687"/>
    </row>
    <row r="401" spans="1:143" ht="12.75" hidden="1" customHeight="1" outlineLevel="2" x14ac:dyDescent="0.2">
      <c r="A401" s="689" t="s">
        <v>412</v>
      </c>
      <c r="B401" s="16"/>
      <c r="C401" s="687"/>
      <c r="D401" s="16"/>
      <c r="E401" s="687"/>
      <c r="F401" s="16"/>
      <c r="G401" s="687"/>
      <c r="H401" s="16"/>
      <c r="I401" s="687"/>
      <c r="J401" s="16"/>
      <c r="K401" s="687"/>
      <c r="L401" s="16"/>
      <c r="M401" s="687"/>
      <c r="N401" s="16"/>
      <c r="O401" s="687"/>
      <c r="P401" s="16"/>
      <c r="Q401" s="687"/>
      <c r="R401" s="16"/>
      <c r="S401" s="687"/>
      <c r="T401" s="16"/>
      <c r="U401" s="687"/>
      <c r="V401" s="16"/>
      <c r="W401" s="687"/>
      <c r="X401" s="16"/>
      <c r="Y401" s="687"/>
      <c r="Z401" s="16"/>
      <c r="AA401" s="687"/>
      <c r="AB401" s="16"/>
      <c r="AC401" s="687"/>
      <c r="AD401" s="16"/>
      <c r="AE401" s="687"/>
      <c r="AF401" s="16"/>
      <c r="AG401" s="687"/>
      <c r="AH401" s="16"/>
      <c r="AI401" s="687"/>
      <c r="AJ401" s="16"/>
      <c r="AK401" s="687"/>
      <c r="AL401" s="16"/>
      <c r="AM401" s="687"/>
      <c r="AN401" s="16"/>
      <c r="AO401" s="687"/>
      <c r="AP401" s="16"/>
      <c r="AQ401" s="687"/>
      <c r="AR401" s="16"/>
      <c r="AS401" s="687"/>
      <c r="AT401" s="16"/>
      <c r="AU401" s="687"/>
      <c r="AV401" s="16"/>
      <c r="AW401" s="687"/>
      <c r="AX401" s="16"/>
      <c r="AY401" s="687"/>
      <c r="AZ401" s="16"/>
      <c r="BA401" s="687"/>
      <c r="BB401" s="16"/>
      <c r="BC401" s="687"/>
      <c r="BD401" s="16"/>
      <c r="BE401" s="687"/>
      <c r="BF401" s="16"/>
      <c r="BG401" s="687"/>
      <c r="BH401" s="16"/>
      <c r="BI401" s="687"/>
      <c r="BJ401" s="16"/>
      <c r="BK401" s="687"/>
      <c r="BL401" s="16"/>
      <c r="BM401" s="687"/>
      <c r="BN401" s="16"/>
      <c r="BO401" s="687"/>
      <c r="BP401" s="16"/>
      <c r="BQ401" s="687"/>
      <c r="BR401" s="16"/>
      <c r="BS401" s="687"/>
      <c r="BT401" s="16"/>
      <c r="BU401" s="687"/>
      <c r="BV401" s="16"/>
      <c r="BW401" s="687"/>
      <c r="BX401" s="16"/>
      <c r="BY401" s="687"/>
      <c r="BZ401" s="16"/>
      <c r="CA401" s="687"/>
      <c r="CB401" s="16"/>
      <c r="CC401" s="687"/>
      <c r="CD401" s="16"/>
      <c r="CE401" s="687"/>
      <c r="CF401" s="16"/>
      <c r="CG401" s="687"/>
      <c r="CH401" s="16"/>
      <c r="CI401" s="687"/>
      <c r="CJ401" s="16"/>
      <c r="CK401" s="687"/>
      <c r="CL401" s="16"/>
      <c r="CM401" s="687"/>
      <c r="CN401" s="16"/>
      <c r="CO401" s="687"/>
      <c r="CP401" s="16"/>
      <c r="CQ401" s="687"/>
      <c r="CR401" s="16"/>
      <c r="CS401" s="687"/>
      <c r="CT401" s="16"/>
      <c r="CU401" s="687"/>
      <c r="CV401" s="16"/>
      <c r="CW401" s="687"/>
      <c r="CX401" s="16"/>
      <c r="CY401" s="687"/>
      <c r="CZ401" s="16"/>
      <c r="DA401" s="687"/>
      <c r="DB401" s="16"/>
      <c r="DC401" s="16"/>
      <c r="DD401" s="687"/>
      <c r="DE401" s="16"/>
      <c r="DF401" s="687"/>
      <c r="DG401" s="16"/>
      <c r="DH401" s="687"/>
      <c r="DI401" s="16"/>
      <c r="DJ401" s="687"/>
      <c r="DK401" s="16"/>
      <c r="DL401" s="687"/>
      <c r="DM401" s="16"/>
      <c r="DN401" s="687"/>
      <c r="DO401" s="16"/>
      <c r="DP401" s="687"/>
      <c r="DQ401" s="16"/>
      <c r="DR401" s="687"/>
      <c r="DS401" s="16"/>
      <c r="DT401" s="687"/>
      <c r="DU401" s="16"/>
      <c r="DV401" s="687"/>
      <c r="DW401" s="16"/>
      <c r="DX401" s="687"/>
      <c r="DY401" s="16"/>
      <c r="DZ401" s="687"/>
      <c r="EA401" s="16"/>
      <c r="EB401" s="687"/>
      <c r="EC401" s="16"/>
      <c r="ED401" s="687"/>
      <c r="EE401" s="16"/>
      <c r="EF401" s="687"/>
      <c r="EG401" s="16"/>
      <c r="EH401" s="687"/>
      <c r="EI401" s="16"/>
      <c r="EJ401" s="687"/>
      <c r="EK401" s="16"/>
      <c r="EL401" s="687"/>
      <c r="EM401" s="687"/>
    </row>
    <row r="402" spans="1:143" ht="12.75" hidden="1" customHeight="1" outlineLevel="2" x14ac:dyDescent="0.2">
      <c r="A402" s="701"/>
      <c r="B402" s="16"/>
      <c r="C402" s="687"/>
      <c r="D402" s="16"/>
      <c r="E402" s="687"/>
      <c r="F402" s="16"/>
      <c r="G402" s="687"/>
      <c r="H402" s="16"/>
      <c r="I402" s="687"/>
      <c r="J402" s="16"/>
      <c r="K402" s="687"/>
      <c r="L402" s="16"/>
      <c r="M402" s="687"/>
      <c r="N402" s="16"/>
      <c r="O402" s="687"/>
      <c r="P402" s="16"/>
      <c r="Q402" s="687"/>
      <c r="R402" s="16"/>
      <c r="S402" s="687"/>
      <c r="T402" s="16"/>
      <c r="U402" s="687"/>
      <c r="V402" s="16"/>
      <c r="W402" s="687"/>
      <c r="X402" s="16"/>
      <c r="Y402" s="687"/>
      <c r="Z402" s="16"/>
      <c r="AA402" s="687"/>
      <c r="AB402" s="16"/>
      <c r="AC402" s="687"/>
      <c r="AD402" s="16"/>
      <c r="AE402" s="687"/>
      <c r="AF402" s="16"/>
      <c r="AG402" s="687"/>
      <c r="AH402" s="16"/>
      <c r="AI402" s="687"/>
      <c r="AJ402" s="16"/>
      <c r="AK402" s="687"/>
      <c r="AL402" s="16"/>
      <c r="AM402" s="687"/>
      <c r="AN402" s="16"/>
      <c r="AO402" s="687"/>
      <c r="AP402" s="16"/>
      <c r="AQ402" s="687"/>
      <c r="AR402" s="16"/>
      <c r="AS402" s="687"/>
      <c r="AT402" s="16"/>
      <c r="AU402" s="687"/>
      <c r="AV402" s="16"/>
      <c r="AW402" s="687"/>
      <c r="AX402" s="16"/>
      <c r="AY402" s="687"/>
      <c r="AZ402" s="16"/>
      <c r="BA402" s="687"/>
      <c r="BB402" s="16"/>
      <c r="BC402" s="687"/>
      <c r="BD402" s="16"/>
      <c r="BE402" s="687"/>
      <c r="BF402" s="16"/>
      <c r="BG402" s="687"/>
      <c r="BH402" s="16"/>
      <c r="BI402" s="687"/>
      <c r="BJ402" s="16"/>
      <c r="BK402" s="687"/>
      <c r="BL402" s="16"/>
      <c r="BM402" s="687"/>
      <c r="BN402" s="16"/>
      <c r="BO402" s="687"/>
      <c r="BP402" s="16"/>
      <c r="BQ402" s="687"/>
      <c r="BR402" s="16"/>
      <c r="BS402" s="687"/>
      <c r="BT402" s="16"/>
      <c r="BU402" s="687"/>
      <c r="BV402" s="16"/>
      <c r="BW402" s="687"/>
      <c r="BX402" s="16"/>
      <c r="BY402" s="687"/>
      <c r="BZ402" s="16"/>
      <c r="CA402" s="687"/>
      <c r="CB402" s="16"/>
      <c r="CC402" s="687"/>
      <c r="CD402" s="16"/>
      <c r="CE402" s="687"/>
      <c r="CF402" s="16"/>
      <c r="CG402" s="687"/>
      <c r="CH402" s="16"/>
      <c r="CI402" s="687"/>
      <c r="CJ402" s="16"/>
      <c r="CK402" s="687"/>
      <c r="CL402" s="16"/>
      <c r="CM402" s="687"/>
      <c r="CN402" s="16"/>
      <c r="CO402" s="687"/>
      <c r="CP402" s="16"/>
      <c r="CQ402" s="687"/>
      <c r="CR402" s="16"/>
      <c r="CS402" s="687"/>
      <c r="CT402" s="16"/>
      <c r="CU402" s="687"/>
      <c r="CV402" s="16"/>
      <c r="CW402" s="687"/>
      <c r="CX402" s="16"/>
      <c r="CY402" s="687"/>
      <c r="CZ402" s="16"/>
      <c r="DA402" s="687"/>
      <c r="DB402" s="16"/>
      <c r="DC402" s="16"/>
      <c r="DD402" s="687"/>
      <c r="DE402" s="16"/>
      <c r="DF402" s="687"/>
      <c r="DG402" s="16"/>
      <c r="DH402" s="687"/>
      <c r="DI402" s="16"/>
      <c r="DJ402" s="687"/>
      <c r="DK402" s="16"/>
      <c r="DL402" s="687"/>
      <c r="DM402" s="16"/>
      <c r="DN402" s="687"/>
      <c r="DO402" s="16"/>
      <c r="DP402" s="687"/>
      <c r="DQ402" s="16"/>
      <c r="DR402" s="687"/>
      <c r="DS402" s="16"/>
      <c r="DT402" s="687"/>
      <c r="DU402" s="16"/>
      <c r="DV402" s="687"/>
      <c r="DW402" s="16"/>
      <c r="DX402" s="687"/>
      <c r="DY402" s="16"/>
      <c r="DZ402" s="687"/>
      <c r="EA402" s="16"/>
      <c r="EB402" s="687"/>
      <c r="EC402" s="16"/>
      <c r="ED402" s="687"/>
      <c r="EE402" s="16"/>
      <c r="EF402" s="687"/>
      <c r="EG402" s="16"/>
      <c r="EH402" s="687"/>
      <c r="EI402" s="16"/>
      <c r="EJ402" s="687"/>
      <c r="EK402" s="16"/>
      <c r="EL402" s="687"/>
      <c r="EM402" s="702"/>
    </row>
    <row r="403" spans="1:143" ht="21.95" hidden="1" customHeight="1" outlineLevel="2" x14ac:dyDescent="0.2">
      <c r="A403" s="691" t="str">
        <f>$A$1</f>
        <v>Lincoln National</v>
      </c>
      <c r="B403" s="683"/>
      <c r="C403" s="684"/>
      <c r="D403" s="683"/>
      <c r="E403" s="684"/>
      <c r="F403" s="683"/>
      <c r="G403" s="684"/>
      <c r="H403" s="683"/>
      <c r="I403" s="684"/>
      <c r="J403" s="683"/>
      <c r="K403" s="684"/>
      <c r="L403" s="683"/>
      <c r="M403" s="684"/>
      <c r="N403" s="683"/>
      <c r="O403" s="684"/>
      <c r="P403" s="683"/>
      <c r="Q403" s="684"/>
      <c r="R403" s="683"/>
      <c r="S403" s="684"/>
      <c r="T403" s="683"/>
      <c r="U403" s="684"/>
      <c r="V403" s="683"/>
      <c r="W403" s="684"/>
      <c r="X403" s="683"/>
      <c r="Y403" s="684"/>
      <c r="Z403" s="683"/>
      <c r="AA403" s="684"/>
      <c r="AB403" s="683"/>
      <c r="AC403" s="684"/>
      <c r="AD403" s="683"/>
      <c r="AE403" s="684"/>
      <c r="AF403" s="683"/>
      <c r="AG403" s="684"/>
      <c r="AH403" s="683"/>
      <c r="AI403" s="684"/>
      <c r="AJ403" s="683"/>
      <c r="AK403" s="684"/>
      <c r="AL403" s="683"/>
      <c r="AM403" s="684"/>
      <c r="AN403" s="683"/>
      <c r="AO403" s="684"/>
      <c r="AP403" s="683"/>
      <c r="AQ403" s="684"/>
      <c r="AR403" s="683"/>
      <c r="AS403" s="684"/>
      <c r="AT403" s="683"/>
      <c r="AU403" s="684"/>
      <c r="AV403" s="683"/>
      <c r="AW403" s="684"/>
      <c r="AX403" s="683"/>
      <c r="AY403" s="684"/>
      <c r="AZ403" s="683"/>
      <c r="BA403" s="684"/>
      <c r="BB403" s="683"/>
      <c r="BC403" s="684"/>
      <c r="BD403" s="683"/>
      <c r="BE403" s="684"/>
      <c r="BF403" s="683"/>
      <c r="BG403" s="684"/>
      <c r="BH403" s="683"/>
      <c r="BI403" s="684"/>
      <c r="BJ403" s="683"/>
      <c r="BK403" s="684"/>
      <c r="BL403" s="683"/>
      <c r="BM403" s="684"/>
      <c r="BN403" s="683"/>
      <c r="BO403" s="684"/>
      <c r="BP403" s="683"/>
      <c r="BQ403" s="684"/>
      <c r="BR403" s="683"/>
      <c r="BS403" s="684"/>
      <c r="BT403" s="683"/>
      <c r="BU403" s="684"/>
      <c r="BV403" s="683"/>
      <c r="BW403" s="684"/>
      <c r="BX403" s="683"/>
      <c r="BY403" s="684"/>
      <c r="BZ403" s="683"/>
      <c r="CA403" s="684"/>
      <c r="CB403" s="683"/>
      <c r="CC403" s="684"/>
      <c r="CD403" s="683"/>
      <c r="CE403" s="684"/>
      <c r="CF403" s="683"/>
      <c r="CG403" s="684"/>
      <c r="CH403" s="683"/>
      <c r="CI403" s="684"/>
      <c r="CJ403" s="683"/>
      <c r="CK403" s="684"/>
      <c r="CL403" s="683"/>
      <c r="CM403" s="684"/>
      <c r="CN403" s="683"/>
      <c r="CO403" s="684"/>
      <c r="CP403" s="683"/>
      <c r="CQ403" s="684"/>
      <c r="CR403" s="683"/>
      <c r="CS403" s="684"/>
      <c r="CT403" s="683"/>
      <c r="CU403" s="684"/>
      <c r="CV403" s="683"/>
      <c r="CW403" s="684"/>
      <c r="CX403" s="683"/>
      <c r="CY403" s="684"/>
      <c r="CZ403" s="683"/>
      <c r="DA403" s="684"/>
      <c r="DB403" s="684"/>
      <c r="DC403" s="683"/>
      <c r="DD403" s="684"/>
      <c r="DE403" s="683"/>
      <c r="DF403" s="684"/>
      <c r="DG403" s="683"/>
      <c r="DH403" s="684"/>
      <c r="DI403" s="683"/>
      <c r="DJ403" s="684"/>
      <c r="DK403" s="683"/>
      <c r="DL403" s="684"/>
      <c r="DM403" s="683"/>
      <c r="DN403" s="684"/>
      <c r="DO403" s="683"/>
      <c r="DP403" s="684"/>
      <c r="DQ403" s="683"/>
      <c r="DR403" s="684"/>
      <c r="DS403" s="683"/>
      <c r="DT403" s="684"/>
      <c r="DU403" s="683"/>
      <c r="DV403" s="684"/>
      <c r="DW403" s="683"/>
      <c r="DX403" s="684"/>
      <c r="DY403" s="683"/>
      <c r="DZ403" s="684"/>
      <c r="EA403" s="683"/>
      <c r="EB403" s="684"/>
      <c r="EC403" s="683"/>
      <c r="ED403" s="684"/>
      <c r="EE403" s="683"/>
      <c r="EF403" s="684"/>
      <c r="EG403" s="683"/>
      <c r="EH403" s="684"/>
      <c r="EI403" s="683"/>
      <c r="EJ403" s="684"/>
      <c r="EK403" s="683"/>
      <c r="EL403" s="684"/>
      <c r="EM403" s="684"/>
    </row>
    <row r="404" spans="1:143" ht="12.75" hidden="1" customHeight="1" outlineLevel="2" x14ac:dyDescent="0.2">
      <c r="A404" s="685" t="s">
        <v>289</v>
      </c>
      <c r="B404" s="4"/>
      <c r="C404" s="686"/>
      <c r="D404" s="4"/>
      <c r="E404" s="686"/>
      <c r="F404" s="4"/>
      <c r="G404" s="686"/>
      <c r="H404" s="4"/>
      <c r="I404" s="686"/>
      <c r="J404" s="4"/>
      <c r="K404" s="686"/>
      <c r="L404" s="4"/>
      <c r="M404" s="686"/>
      <c r="N404" s="4"/>
      <c r="O404" s="686"/>
      <c r="P404" s="4"/>
      <c r="Q404" s="686"/>
      <c r="R404" s="4"/>
      <c r="S404" s="686"/>
      <c r="T404" s="4"/>
      <c r="U404" s="686"/>
      <c r="V404" s="4"/>
      <c r="W404" s="686"/>
      <c r="X404" s="4"/>
      <c r="Y404" s="686"/>
      <c r="Z404" s="4"/>
      <c r="AA404" s="686"/>
      <c r="AB404" s="4"/>
      <c r="AC404" s="686"/>
      <c r="AD404" s="4"/>
      <c r="AE404" s="686"/>
      <c r="AF404" s="4"/>
      <c r="AG404" s="686"/>
      <c r="AH404" s="4"/>
      <c r="AI404" s="686"/>
      <c r="AJ404" s="4"/>
      <c r="AK404" s="686"/>
      <c r="AL404" s="4"/>
      <c r="AM404" s="686"/>
      <c r="AN404" s="4"/>
      <c r="AO404" s="686"/>
      <c r="AP404" s="4"/>
      <c r="AQ404" s="686"/>
      <c r="AR404" s="4"/>
      <c r="AS404" s="686"/>
      <c r="AT404" s="4"/>
      <c r="AU404" s="686"/>
      <c r="AV404" s="4"/>
      <c r="AW404" s="686"/>
      <c r="AX404" s="4"/>
      <c r="AY404" s="686"/>
      <c r="AZ404" s="4"/>
      <c r="BA404" s="686"/>
      <c r="BB404" s="4"/>
      <c r="BC404" s="686"/>
      <c r="BD404" s="4"/>
      <c r="BE404" s="686"/>
      <c r="BF404" s="4"/>
      <c r="BG404" s="686"/>
      <c r="BH404" s="4"/>
      <c r="BI404" s="686"/>
      <c r="BJ404" s="4"/>
      <c r="BK404" s="686"/>
      <c r="BL404" s="4"/>
      <c r="BM404" s="686"/>
      <c r="BN404" s="4"/>
      <c r="BO404" s="686"/>
      <c r="BP404" s="4"/>
      <c r="BQ404" s="686"/>
      <c r="BR404" s="4"/>
      <c r="BS404" s="686"/>
      <c r="BT404" s="4"/>
      <c r="BU404" s="686"/>
      <c r="BV404" s="4"/>
      <c r="BW404" s="686"/>
      <c r="BX404" s="4"/>
      <c r="BY404" s="686"/>
      <c r="BZ404" s="4"/>
      <c r="CA404" s="686"/>
      <c r="CB404" s="4"/>
      <c r="CC404" s="686"/>
      <c r="CD404" s="4"/>
      <c r="CE404" s="686"/>
      <c r="CF404" s="4"/>
      <c r="CG404" s="686"/>
      <c r="CH404" s="4"/>
      <c r="CI404" s="686"/>
      <c r="CJ404" s="4"/>
      <c r="CK404" s="686"/>
      <c r="CL404" s="4"/>
      <c r="CM404" s="686"/>
      <c r="CN404" s="4"/>
      <c r="CO404" s="686"/>
      <c r="CP404" s="4"/>
      <c r="CQ404" s="686"/>
      <c r="CR404" s="4"/>
      <c r="CS404" s="686"/>
      <c r="CT404" s="4"/>
      <c r="CU404" s="686"/>
      <c r="CV404" s="4"/>
      <c r="CW404" s="686"/>
      <c r="CX404" s="4"/>
      <c r="CY404" s="686"/>
      <c r="CZ404" s="4"/>
      <c r="DA404" s="686"/>
      <c r="DB404" s="686"/>
      <c r="DC404" s="4"/>
      <c r="DD404" s="686"/>
      <c r="DE404" s="4"/>
      <c r="DF404" s="686"/>
      <c r="DG404" s="4"/>
      <c r="DH404" s="686"/>
      <c r="DI404" s="4"/>
      <c r="DJ404" s="686"/>
      <c r="DK404" s="4"/>
      <c r="DL404" s="686"/>
      <c r="DM404" s="4"/>
      <c r="DN404" s="686"/>
      <c r="DO404" s="4"/>
      <c r="DP404" s="686"/>
      <c r="DQ404" s="4"/>
      <c r="DR404" s="686"/>
      <c r="DS404" s="4"/>
      <c r="DT404" s="686"/>
      <c r="DU404" s="4"/>
      <c r="DV404" s="686"/>
      <c r="DW404" s="4"/>
      <c r="DX404" s="686"/>
      <c r="DY404" s="4"/>
      <c r="DZ404" s="686"/>
      <c r="EA404" s="4"/>
      <c r="EB404" s="686"/>
      <c r="EC404" s="4"/>
      <c r="ED404" s="686"/>
      <c r="EE404" s="4"/>
      <c r="EF404" s="686"/>
      <c r="EG404" s="4"/>
      <c r="EH404" s="686"/>
      <c r="EI404" s="4"/>
      <c r="EJ404" s="686"/>
      <c r="EK404" s="4"/>
      <c r="EL404" s="686"/>
      <c r="EM404" s="686"/>
    </row>
    <row r="405" spans="1:143" ht="12.75" hidden="1" customHeight="1" outlineLevel="2" x14ac:dyDescent="0.2">
      <c r="A405" s="703" t="str">
        <f>A$3</f>
        <v>($Millions Except Per Share Data)</v>
      </c>
      <c r="B405" s="704"/>
      <c r="C405" s="705" t="str">
        <f>C$3</f>
        <v>1Q06/</v>
      </c>
      <c r="D405" s="704"/>
      <c r="E405" s="705" t="str">
        <f>E$3</f>
        <v>2Q06/</v>
      </c>
      <c r="F405" s="704"/>
      <c r="G405" s="705" t="str">
        <f>G$3</f>
        <v>3Q06/</v>
      </c>
      <c r="H405" s="704"/>
      <c r="I405" s="705" t="str">
        <f>I$3</f>
        <v>4Q06/</v>
      </c>
      <c r="J405" s="704"/>
      <c r="K405" s="705" t="str">
        <f>K$3</f>
        <v>1Q07/</v>
      </c>
      <c r="L405" s="704"/>
      <c r="M405" s="705" t="str">
        <f>M$3</f>
        <v>2Q07/</v>
      </c>
      <c r="N405" s="704"/>
      <c r="O405" s="705" t="str">
        <f>O$3</f>
        <v>3Q07/</v>
      </c>
      <c r="P405" s="704"/>
      <c r="Q405" s="705" t="str">
        <f>Q$3</f>
        <v>4Q07/</v>
      </c>
      <c r="R405" s="704"/>
      <c r="S405" s="705" t="str">
        <f>S$3</f>
        <v>1Q08/</v>
      </c>
      <c r="T405" s="704"/>
      <c r="U405" s="705" t="str">
        <f>U$3</f>
        <v>2Q08/</v>
      </c>
      <c r="V405" s="704"/>
      <c r="W405" s="705" t="str">
        <f>W$3</f>
        <v>3Q08/</v>
      </c>
      <c r="X405" s="704"/>
      <c r="Y405" s="705" t="str">
        <f>Y$3</f>
        <v>4Q08/</v>
      </c>
      <c r="Z405" s="704"/>
      <c r="AA405" s="705" t="str">
        <f>AA$3</f>
        <v>1Q09/</v>
      </c>
      <c r="AB405" s="704"/>
      <c r="AC405" s="705" t="str">
        <f>AC$3</f>
        <v>2Q09/</v>
      </c>
      <c r="AD405" s="704"/>
      <c r="AE405" s="705" t="str">
        <f>AE$3</f>
        <v>3Q09/</v>
      </c>
      <c r="AF405" s="704"/>
      <c r="AG405" s="705" t="str">
        <f>AG$3</f>
        <v>4Q09/</v>
      </c>
      <c r="AH405" s="704"/>
      <c r="AI405" s="705" t="str">
        <f>AI$3</f>
        <v>1Q10/</v>
      </c>
      <c r="AJ405" s="704"/>
      <c r="AK405" s="705" t="str">
        <f>AK$3</f>
        <v>2Q10/</v>
      </c>
      <c r="AL405" s="704"/>
      <c r="AM405" s="705" t="str">
        <f>AM$3</f>
        <v>3Q10/</v>
      </c>
      <c r="AN405" s="704"/>
      <c r="AO405" s="705" t="str">
        <f>AO$3</f>
        <v>4Q10/</v>
      </c>
      <c r="AP405" s="704"/>
      <c r="AQ405" s="705" t="str">
        <f>AQ$3</f>
        <v>1Q11/</v>
      </c>
      <c r="AR405" s="704"/>
      <c r="AS405" s="705" t="str">
        <f>AS$3</f>
        <v>2Q11/</v>
      </c>
      <c r="AT405" s="704"/>
      <c r="AU405" s="705" t="str">
        <f>AU$3</f>
        <v>3Q11/</v>
      </c>
      <c r="AV405" s="704"/>
      <c r="AW405" s="705" t="str">
        <f>AW$3</f>
        <v>4Q11/</v>
      </c>
      <c r="AX405" s="704"/>
      <c r="AY405" s="705" t="str">
        <f>AY$3</f>
        <v>1Q12/</v>
      </c>
      <c r="AZ405" s="704"/>
      <c r="BA405" s="705" t="str">
        <f>BA$3</f>
        <v>2Q12/</v>
      </c>
      <c r="BB405" s="704"/>
      <c r="BC405" s="705" t="str">
        <f>BC$3</f>
        <v>3Q12/</v>
      </c>
      <c r="BD405" s="704"/>
      <c r="BE405" s="705" t="str">
        <f>BE$3</f>
        <v>4Q12/</v>
      </c>
      <c r="BF405" s="704"/>
      <c r="BG405" s="705" t="str">
        <f>BG$3</f>
        <v>1Q13/</v>
      </c>
      <c r="BH405" s="704"/>
      <c r="BI405" s="705" t="str">
        <f>BI$3</f>
        <v>2Q13/</v>
      </c>
      <c r="BJ405" s="704"/>
      <c r="BK405" s="705" t="str">
        <f>BK$3</f>
        <v>3Q13/</v>
      </c>
      <c r="BL405" s="704"/>
      <c r="BM405" s="705" t="str">
        <f>BM$3</f>
        <v>4Q13/</v>
      </c>
      <c r="BN405" s="704"/>
      <c r="BO405" s="705" t="str">
        <f>BO$3</f>
        <v>1Q14/</v>
      </c>
      <c r="BP405" s="704"/>
      <c r="BQ405" s="705" t="str">
        <f>BQ$3</f>
        <v>2Q14/</v>
      </c>
      <c r="BR405" s="704"/>
      <c r="BS405" s="705" t="str">
        <f>BS$3</f>
        <v>3Q14/</v>
      </c>
      <c r="BT405" s="704"/>
      <c r="BU405" s="705" t="str">
        <f>BU$3</f>
        <v>4Q14/</v>
      </c>
      <c r="BV405" s="704"/>
      <c r="BW405" s="705" t="str">
        <f>BW$3</f>
        <v>1Q15/</v>
      </c>
      <c r="BX405" s="704"/>
      <c r="BY405" s="705" t="str">
        <f>BY$3</f>
        <v>2Q15/</v>
      </c>
      <c r="BZ405" s="704"/>
      <c r="CA405" s="705" t="str">
        <f>CA$3</f>
        <v>3Q15/</v>
      </c>
      <c r="CB405" s="704"/>
      <c r="CC405" s="705" t="str">
        <f>CC$3</f>
        <v>4Q15/</v>
      </c>
      <c r="CD405" s="704"/>
      <c r="CE405" s="705" t="str">
        <f>CE$3</f>
        <v>1Q16/</v>
      </c>
      <c r="CF405" s="704"/>
      <c r="CG405" s="705" t="str">
        <f>CG$3</f>
        <v>2Q16/</v>
      </c>
      <c r="CH405" s="704"/>
      <c r="CI405" s="705" t="str">
        <f>CI$3</f>
        <v>3Q16/</v>
      </c>
      <c r="CJ405" s="704"/>
      <c r="CK405" s="705" t="str">
        <f>CK$3</f>
        <v>4Q16/</v>
      </c>
      <c r="CL405" s="704"/>
      <c r="CM405" s="705" t="str">
        <f>CM$3</f>
        <v>1Q17/</v>
      </c>
      <c r="CN405" s="704"/>
      <c r="CO405" s="705" t="str">
        <f t="shared" ref="CO405" si="186">CO$3</f>
        <v>2Q17/</v>
      </c>
      <c r="CP405" s="704"/>
      <c r="CQ405" s="705" t="str">
        <f t="shared" ref="CQ405" si="187">CQ$3</f>
        <v>3Q17/</v>
      </c>
      <c r="CR405" s="704"/>
      <c r="CS405" s="705" t="str">
        <f t="shared" ref="CS405" si="188">CS$3</f>
        <v>4Q17/</v>
      </c>
      <c r="CT405" s="704"/>
      <c r="CU405" s="705" t="str">
        <f>CU$3</f>
        <v>1Q18E/</v>
      </c>
      <c r="CV405" s="704"/>
      <c r="CW405" s="705" t="str">
        <f t="shared" ref="CW405" si="189">CW$3</f>
        <v>2Q18E/</v>
      </c>
      <c r="CX405" s="704"/>
      <c r="CY405" s="705" t="str">
        <f t="shared" ref="CY405" si="190">CY$3</f>
        <v>3Q18E/</v>
      </c>
      <c r="CZ405" s="704"/>
      <c r="DA405" s="705" t="str">
        <f t="shared" ref="DA405" si="191">DA$3</f>
        <v>4Q18E/</v>
      </c>
      <c r="DB405" s="704"/>
      <c r="DC405" s="704"/>
      <c r="DD405" s="705" t="str">
        <f>DD$3</f>
        <v>2005/</v>
      </c>
      <c r="DE405" s="704"/>
      <c r="DF405" s="705" t="str">
        <f>DF$3</f>
        <v>2006/</v>
      </c>
      <c r="DG405" s="704"/>
      <c r="DH405" s="705" t="str">
        <f>DH$3</f>
        <v>2007/</v>
      </c>
      <c r="DI405" s="704"/>
      <c r="DJ405" s="705" t="str">
        <f>DJ$3</f>
        <v>2008/</v>
      </c>
      <c r="DK405" s="704"/>
      <c r="DL405" s="705" t="str">
        <f>DL$3</f>
        <v>2009/</v>
      </c>
      <c r="DM405" s="704"/>
      <c r="DN405" s="705" t="str">
        <f>DN$3</f>
        <v>2010/</v>
      </c>
      <c r="DO405" s="704"/>
      <c r="DP405" s="705" t="str">
        <f>DP$3</f>
        <v>2011/</v>
      </c>
      <c r="DQ405" s="704"/>
      <c r="DR405" s="705" t="str">
        <f>DR$3</f>
        <v>2012/</v>
      </c>
      <c r="DS405" s="704"/>
      <c r="DT405" s="705" t="str">
        <f>DT$3</f>
        <v>2013/</v>
      </c>
      <c r="DU405" s="704"/>
      <c r="DV405" s="705" t="str">
        <f>DV$3</f>
        <v>2014/</v>
      </c>
      <c r="DW405" s="704"/>
      <c r="DX405" s="705" t="str">
        <f>DX$3</f>
        <v>2015/</v>
      </c>
      <c r="DY405" s="704"/>
      <c r="DZ405" s="705" t="str">
        <f>DZ$3</f>
        <v>2016/</v>
      </c>
      <c r="EA405" s="704"/>
      <c r="EB405" s="705" t="str">
        <f>EB$3</f>
        <v>2017/</v>
      </c>
      <c r="EC405" s="704"/>
      <c r="ED405" s="705" t="str">
        <f>ED$3</f>
        <v>2018E/</v>
      </c>
      <c r="EE405" s="704"/>
      <c r="EF405" s="705" t="str">
        <f>EF$3</f>
        <v>2019E/</v>
      </c>
      <c r="EG405" s="704"/>
      <c r="EH405" s="705" t="str">
        <f>EH$3</f>
        <v>2020E/</v>
      </c>
      <c r="EI405" s="704"/>
      <c r="EJ405" s="705" t="str">
        <f>EJ$3</f>
        <v>2021E/</v>
      </c>
      <c r="EK405" s="704"/>
      <c r="EL405" s="705" t="str">
        <f>EL$3</f>
        <v>2022E/</v>
      </c>
      <c r="EM405" s="705" t="str">
        <f>EM$3</f>
        <v>5-Yr</v>
      </c>
    </row>
    <row r="406" spans="1:143" ht="12.75" hidden="1" customHeight="1" outlineLevel="2" x14ac:dyDescent="0.2">
      <c r="A406" s="693"/>
      <c r="B406" s="692"/>
      <c r="C406" s="686" t="str">
        <f>C$4</f>
        <v>1Q05</v>
      </c>
      <c r="D406" s="692"/>
      <c r="E406" s="686" t="str">
        <f>E$4</f>
        <v>2Q05</v>
      </c>
      <c r="F406" s="692"/>
      <c r="G406" s="686" t="str">
        <f>G$4</f>
        <v>3Q05</v>
      </c>
      <c r="H406" s="692"/>
      <c r="I406" s="686" t="str">
        <f>I$4</f>
        <v>4Q05</v>
      </c>
      <c r="J406" s="692"/>
      <c r="K406" s="686" t="str">
        <f>K$4</f>
        <v>1Q06</v>
      </c>
      <c r="L406" s="692"/>
      <c r="M406" s="686" t="str">
        <f>M$4</f>
        <v>2Q06</v>
      </c>
      <c r="N406" s="692"/>
      <c r="O406" s="686" t="str">
        <f>O$4</f>
        <v>3Q06</v>
      </c>
      <c r="P406" s="692"/>
      <c r="Q406" s="686" t="str">
        <f>Q$4</f>
        <v>4Q06</v>
      </c>
      <c r="R406" s="692"/>
      <c r="S406" s="686" t="str">
        <f>S$4</f>
        <v>1Q07</v>
      </c>
      <c r="T406" s="692"/>
      <c r="U406" s="686" t="str">
        <f>U$4</f>
        <v>2Q07</v>
      </c>
      <c r="V406" s="692"/>
      <c r="W406" s="686" t="str">
        <f>W$4</f>
        <v>3Q07</v>
      </c>
      <c r="X406" s="692"/>
      <c r="Y406" s="686" t="str">
        <f>Y$4</f>
        <v>4Q07</v>
      </c>
      <c r="Z406" s="692"/>
      <c r="AA406" s="686" t="str">
        <f>AA$4</f>
        <v>1Q08</v>
      </c>
      <c r="AB406" s="692"/>
      <c r="AC406" s="686" t="str">
        <f>AC$4</f>
        <v>2Q08</v>
      </c>
      <c r="AD406" s="692"/>
      <c r="AE406" s="686" t="str">
        <f>AE$4</f>
        <v>3Q08</v>
      </c>
      <c r="AF406" s="692"/>
      <c r="AG406" s="686" t="str">
        <f>AG$4</f>
        <v>4Q08</v>
      </c>
      <c r="AH406" s="692"/>
      <c r="AI406" s="686" t="str">
        <f>AI$4</f>
        <v>1Q09</v>
      </c>
      <c r="AJ406" s="692"/>
      <c r="AK406" s="686" t="str">
        <f>AK$4</f>
        <v>2Q09</v>
      </c>
      <c r="AL406" s="692"/>
      <c r="AM406" s="686" t="str">
        <f>AM$4</f>
        <v>3Q09</v>
      </c>
      <c r="AN406" s="692"/>
      <c r="AO406" s="686" t="str">
        <f>AO$4</f>
        <v>4Q09</v>
      </c>
      <c r="AP406" s="692"/>
      <c r="AQ406" s="686" t="str">
        <f>AQ$4</f>
        <v>1Q10</v>
      </c>
      <c r="AR406" s="692"/>
      <c r="AS406" s="686" t="str">
        <f>AS$4</f>
        <v>2Q10</v>
      </c>
      <c r="AT406" s="692"/>
      <c r="AU406" s="686" t="str">
        <f>AU$4</f>
        <v>3Q10</v>
      </c>
      <c r="AV406" s="692"/>
      <c r="AW406" s="686" t="str">
        <f>AW$4</f>
        <v>4Q10</v>
      </c>
      <c r="AX406" s="692"/>
      <c r="AY406" s="686" t="str">
        <f>AY$4</f>
        <v>1Q11</v>
      </c>
      <c r="AZ406" s="692"/>
      <c r="BA406" s="686" t="str">
        <f>BA$4</f>
        <v>2Q11</v>
      </c>
      <c r="BB406" s="692"/>
      <c r="BC406" s="686" t="str">
        <f>BC$4</f>
        <v>3Q11</v>
      </c>
      <c r="BD406" s="692"/>
      <c r="BE406" s="686" t="str">
        <f>BE$4</f>
        <v>4Q11</v>
      </c>
      <c r="BF406" s="692"/>
      <c r="BG406" s="686" t="str">
        <f>BG$4</f>
        <v>1Q12</v>
      </c>
      <c r="BH406" s="692"/>
      <c r="BI406" s="686" t="str">
        <f>BI$4</f>
        <v>2Q12</v>
      </c>
      <c r="BJ406" s="692"/>
      <c r="BK406" s="686" t="str">
        <f>BK$4</f>
        <v>3Q12</v>
      </c>
      <c r="BL406" s="692"/>
      <c r="BM406" s="686" t="str">
        <f>BM$4</f>
        <v>4Q12</v>
      </c>
      <c r="BN406" s="692"/>
      <c r="BO406" s="686" t="str">
        <f>BO$4</f>
        <v>1Q13</v>
      </c>
      <c r="BP406" s="692"/>
      <c r="BQ406" s="686" t="str">
        <f>BQ$4</f>
        <v>2Q13</v>
      </c>
      <c r="BR406" s="692"/>
      <c r="BS406" s="686" t="str">
        <f>BS$4</f>
        <v>3Q13</v>
      </c>
      <c r="BT406" s="692"/>
      <c r="BU406" s="686" t="str">
        <f>BU$4</f>
        <v>4Q13</v>
      </c>
      <c r="BV406" s="692"/>
      <c r="BW406" s="686" t="str">
        <f>BW$4</f>
        <v>1Q14</v>
      </c>
      <c r="BX406" s="692"/>
      <c r="BY406" s="686" t="str">
        <f>BY$4</f>
        <v>2Q14</v>
      </c>
      <c r="BZ406" s="692"/>
      <c r="CA406" s="686" t="str">
        <f>CA$4</f>
        <v>3Q14</v>
      </c>
      <c r="CB406" s="692"/>
      <c r="CC406" s="686" t="str">
        <f>CC$4</f>
        <v>4Q14</v>
      </c>
      <c r="CD406" s="692"/>
      <c r="CE406" s="686" t="str">
        <f>CE$4</f>
        <v>1Q15</v>
      </c>
      <c r="CF406" s="692"/>
      <c r="CG406" s="686" t="str">
        <f>CG$4</f>
        <v>2Q15</v>
      </c>
      <c r="CH406" s="692"/>
      <c r="CI406" s="686" t="str">
        <f>CI$4</f>
        <v>3Q15</v>
      </c>
      <c r="CJ406" s="692"/>
      <c r="CK406" s="686" t="str">
        <f>CK$4</f>
        <v>4Q15</v>
      </c>
      <c r="CL406" s="692"/>
      <c r="CM406" s="686" t="str">
        <f>CM$4</f>
        <v>1Q16</v>
      </c>
      <c r="CN406" s="692"/>
      <c r="CO406" s="686" t="str">
        <f t="shared" ref="CO406" si="192">CO$4</f>
        <v>2Q16</v>
      </c>
      <c r="CP406" s="692"/>
      <c r="CQ406" s="686" t="str">
        <f t="shared" ref="CQ406" si="193">CQ$4</f>
        <v>3Q16</v>
      </c>
      <c r="CR406" s="692"/>
      <c r="CS406" s="686" t="str">
        <f t="shared" ref="CS406" si="194">CS$4</f>
        <v>4Q16</v>
      </c>
      <c r="CT406" s="692"/>
      <c r="CU406" s="686" t="str">
        <f>CU$4</f>
        <v>1Q17</v>
      </c>
      <c r="CV406" s="692"/>
      <c r="CW406" s="686" t="str">
        <f t="shared" ref="CW406" si="195">CW$4</f>
        <v>2Q17</v>
      </c>
      <c r="CX406" s="692"/>
      <c r="CY406" s="686" t="str">
        <f t="shared" ref="CY406" si="196">CY$4</f>
        <v>3Q17</v>
      </c>
      <c r="CZ406" s="692"/>
      <c r="DA406" s="686" t="str">
        <f t="shared" ref="DA406" si="197">DA$4</f>
        <v>4Q17</v>
      </c>
      <c r="DB406" s="692"/>
      <c r="DC406" s="692"/>
      <c r="DD406" s="686">
        <f>DD$4</f>
        <v>2004</v>
      </c>
      <c r="DE406" s="692"/>
      <c r="DF406" s="686">
        <f>DF$4</f>
        <v>2005</v>
      </c>
      <c r="DG406" s="692"/>
      <c r="DH406" s="686">
        <f>DH$4</f>
        <v>2006</v>
      </c>
      <c r="DI406" s="692"/>
      <c r="DJ406" s="686">
        <f>DJ$4</f>
        <v>2007</v>
      </c>
      <c r="DK406" s="692"/>
      <c r="DL406" s="686">
        <f>DL$4</f>
        <v>2008</v>
      </c>
      <c r="DM406" s="692"/>
      <c r="DN406" s="686" t="str">
        <f>DN$4</f>
        <v>2009</v>
      </c>
      <c r="DO406" s="692"/>
      <c r="DP406" s="686" t="str">
        <f>DP$4</f>
        <v>2010</v>
      </c>
      <c r="DQ406" s="692"/>
      <c r="DR406" s="686" t="str">
        <f>DR$4</f>
        <v>2011</v>
      </c>
      <c r="DS406" s="692"/>
      <c r="DT406" s="686" t="str">
        <f>DT$4</f>
        <v>2012</v>
      </c>
      <c r="DU406" s="692"/>
      <c r="DV406" s="686" t="str">
        <f>DV$4</f>
        <v>2013</v>
      </c>
      <c r="DW406" s="692"/>
      <c r="DX406" s="686" t="str">
        <f>DX$4</f>
        <v>2014</v>
      </c>
      <c r="DY406" s="692"/>
      <c r="DZ406" s="686" t="str">
        <f>DZ$4</f>
        <v>2015</v>
      </c>
      <c r="EA406" s="692"/>
      <c r="EB406" s="686" t="str">
        <f>EB$4</f>
        <v>2016</v>
      </c>
      <c r="EC406" s="692"/>
      <c r="ED406" s="686" t="str">
        <f>ED$4</f>
        <v>2017</v>
      </c>
      <c r="EE406" s="692"/>
      <c r="EF406" s="686" t="str">
        <f>EF$4</f>
        <v>2018E</v>
      </c>
      <c r="EG406" s="692"/>
      <c r="EH406" s="686" t="str">
        <f>EH$4</f>
        <v>2019E</v>
      </c>
      <c r="EI406" s="692"/>
      <c r="EJ406" s="686" t="str">
        <f>EJ$4</f>
        <v>2020E</v>
      </c>
      <c r="EK406" s="692"/>
      <c r="EL406" s="686" t="str">
        <f>EL$4</f>
        <v>2021E</v>
      </c>
      <c r="EM406" s="686" t="str">
        <f>EM$4</f>
        <v>CAGR</v>
      </c>
    </row>
    <row r="407" spans="1:143" ht="12.75" hidden="1" customHeight="1" outlineLevel="2" x14ac:dyDescent="0.2">
      <c r="A407" s="694"/>
      <c r="B407" s="695" t="str">
        <f t="shared" ref="B407:BN407" si="198">B$5</f>
        <v>1Q06</v>
      </c>
      <c r="C407" s="696" t="str">
        <f t="shared" si="198"/>
        <v>% Chg</v>
      </c>
      <c r="D407" s="695" t="str">
        <f t="shared" si="198"/>
        <v>2Q06</v>
      </c>
      <c r="E407" s="696" t="str">
        <f t="shared" si="198"/>
        <v>% Chg</v>
      </c>
      <c r="F407" s="695" t="str">
        <f t="shared" si="198"/>
        <v>3Q06</v>
      </c>
      <c r="G407" s="696" t="str">
        <f t="shared" si="198"/>
        <v>% Chg</v>
      </c>
      <c r="H407" s="695" t="str">
        <f t="shared" si="198"/>
        <v>4Q06</v>
      </c>
      <c r="I407" s="696" t="str">
        <f t="shared" si="198"/>
        <v>% Chg</v>
      </c>
      <c r="J407" s="695" t="str">
        <f t="shared" si="198"/>
        <v>1Q07</v>
      </c>
      <c r="K407" s="696" t="str">
        <f t="shared" si="198"/>
        <v>% Chg</v>
      </c>
      <c r="L407" s="695" t="str">
        <f t="shared" si="198"/>
        <v>2Q07</v>
      </c>
      <c r="M407" s="696" t="str">
        <f t="shared" si="198"/>
        <v>% Chg</v>
      </c>
      <c r="N407" s="695" t="str">
        <f t="shared" si="198"/>
        <v>3Q07</v>
      </c>
      <c r="O407" s="696" t="str">
        <f t="shared" si="198"/>
        <v>% Chg</v>
      </c>
      <c r="P407" s="695" t="str">
        <f t="shared" si="198"/>
        <v>4Q07</v>
      </c>
      <c r="Q407" s="696" t="str">
        <f t="shared" si="198"/>
        <v>% Chg</v>
      </c>
      <c r="R407" s="695" t="str">
        <f t="shared" si="198"/>
        <v>1Q08</v>
      </c>
      <c r="S407" s="696" t="str">
        <f t="shared" si="198"/>
        <v>% Chg</v>
      </c>
      <c r="T407" s="695" t="str">
        <f t="shared" si="198"/>
        <v>2Q08</v>
      </c>
      <c r="U407" s="696" t="str">
        <f t="shared" si="198"/>
        <v>% Chg</v>
      </c>
      <c r="V407" s="695" t="str">
        <f t="shared" si="198"/>
        <v>3Q08</v>
      </c>
      <c r="W407" s="696" t="str">
        <f t="shared" si="198"/>
        <v>% Chg</v>
      </c>
      <c r="X407" s="695" t="str">
        <f t="shared" si="198"/>
        <v>4Q08</v>
      </c>
      <c r="Y407" s="696" t="str">
        <f t="shared" si="198"/>
        <v>% Chg</v>
      </c>
      <c r="Z407" s="695" t="str">
        <f t="shared" si="198"/>
        <v>1Q09</v>
      </c>
      <c r="AA407" s="696" t="str">
        <f t="shared" si="198"/>
        <v>% Chg</v>
      </c>
      <c r="AB407" s="695" t="str">
        <f t="shared" si="198"/>
        <v>2Q09</v>
      </c>
      <c r="AC407" s="696" t="str">
        <f t="shared" si="198"/>
        <v>% Chg</v>
      </c>
      <c r="AD407" s="695" t="str">
        <f t="shared" si="198"/>
        <v>3Q09</v>
      </c>
      <c r="AE407" s="696" t="str">
        <f t="shared" si="198"/>
        <v>% Chg</v>
      </c>
      <c r="AF407" s="695" t="str">
        <f t="shared" si="198"/>
        <v>4Q09</v>
      </c>
      <c r="AG407" s="696" t="str">
        <f t="shared" si="198"/>
        <v>% Chg</v>
      </c>
      <c r="AH407" s="695" t="str">
        <f t="shared" si="198"/>
        <v>1Q10</v>
      </c>
      <c r="AI407" s="696" t="str">
        <f t="shared" si="198"/>
        <v>% Chg</v>
      </c>
      <c r="AJ407" s="695" t="str">
        <f t="shared" si="198"/>
        <v>2Q10</v>
      </c>
      <c r="AK407" s="696" t="str">
        <f t="shared" si="198"/>
        <v>% Chg</v>
      </c>
      <c r="AL407" s="695" t="str">
        <f t="shared" si="198"/>
        <v>3Q10</v>
      </c>
      <c r="AM407" s="696" t="str">
        <f t="shared" si="198"/>
        <v>% Chg</v>
      </c>
      <c r="AN407" s="695" t="str">
        <f t="shared" si="198"/>
        <v>4Q10</v>
      </c>
      <c r="AO407" s="696" t="str">
        <f t="shared" si="198"/>
        <v>% Chg</v>
      </c>
      <c r="AP407" s="695" t="str">
        <f t="shared" si="198"/>
        <v>1Q11</v>
      </c>
      <c r="AQ407" s="696" t="str">
        <f t="shared" si="198"/>
        <v>% Chg</v>
      </c>
      <c r="AR407" s="695" t="str">
        <f t="shared" si="198"/>
        <v>2Q11</v>
      </c>
      <c r="AS407" s="696" t="str">
        <f t="shared" si="198"/>
        <v>% Chg</v>
      </c>
      <c r="AT407" s="695" t="str">
        <f t="shared" si="198"/>
        <v>3Q11</v>
      </c>
      <c r="AU407" s="696" t="str">
        <f t="shared" si="198"/>
        <v>% Chg</v>
      </c>
      <c r="AV407" s="695" t="str">
        <f t="shared" si="198"/>
        <v>4Q11</v>
      </c>
      <c r="AW407" s="696" t="str">
        <f t="shared" si="198"/>
        <v>% Chg</v>
      </c>
      <c r="AX407" s="695" t="str">
        <f t="shared" si="198"/>
        <v>1Q12</v>
      </c>
      <c r="AY407" s="696" t="str">
        <f t="shared" si="198"/>
        <v>% Chg</v>
      </c>
      <c r="AZ407" s="695" t="str">
        <f t="shared" si="198"/>
        <v>2Q12</v>
      </c>
      <c r="BA407" s="696" t="str">
        <f t="shared" si="198"/>
        <v>% Chg</v>
      </c>
      <c r="BB407" s="695" t="str">
        <f t="shared" si="198"/>
        <v>3Q12</v>
      </c>
      <c r="BC407" s="696" t="str">
        <f t="shared" si="198"/>
        <v>% Chg</v>
      </c>
      <c r="BD407" s="695" t="str">
        <f t="shared" si="198"/>
        <v>4Q12</v>
      </c>
      <c r="BE407" s="696" t="str">
        <f t="shared" si="198"/>
        <v>% Chg</v>
      </c>
      <c r="BF407" s="695" t="str">
        <f t="shared" si="198"/>
        <v>1Q13</v>
      </c>
      <c r="BG407" s="696" t="str">
        <f t="shared" si="198"/>
        <v>% Chg</v>
      </c>
      <c r="BH407" s="695" t="str">
        <f t="shared" si="198"/>
        <v>2Q13</v>
      </c>
      <c r="BI407" s="696" t="str">
        <f t="shared" si="198"/>
        <v>% Chg</v>
      </c>
      <c r="BJ407" s="695" t="str">
        <f t="shared" si="198"/>
        <v>3Q13</v>
      </c>
      <c r="BK407" s="696" t="str">
        <f t="shared" si="198"/>
        <v>% Chg</v>
      </c>
      <c r="BL407" s="695" t="str">
        <f t="shared" si="198"/>
        <v>4Q13</v>
      </c>
      <c r="BM407" s="696" t="str">
        <f t="shared" si="198"/>
        <v>% Chg</v>
      </c>
      <c r="BN407" s="695" t="str">
        <f t="shared" si="198"/>
        <v>1Q14</v>
      </c>
      <c r="BO407" s="696" t="str">
        <f t="shared" ref="BO407:DA407" si="199">BO$5</f>
        <v>% Chg</v>
      </c>
      <c r="BP407" s="695" t="str">
        <f t="shared" si="199"/>
        <v>2Q14</v>
      </c>
      <c r="BQ407" s="696" t="str">
        <f t="shared" si="199"/>
        <v>% Chg</v>
      </c>
      <c r="BR407" s="695" t="str">
        <f t="shared" si="199"/>
        <v>3Q14</v>
      </c>
      <c r="BS407" s="696" t="str">
        <f t="shared" si="199"/>
        <v>% Chg</v>
      </c>
      <c r="BT407" s="695" t="str">
        <f t="shared" si="199"/>
        <v>4Q14</v>
      </c>
      <c r="BU407" s="696" t="str">
        <f t="shared" si="199"/>
        <v>% Chg</v>
      </c>
      <c r="BV407" s="695" t="str">
        <f t="shared" si="199"/>
        <v>1Q15</v>
      </c>
      <c r="BW407" s="696" t="str">
        <f t="shared" si="199"/>
        <v>% Chg</v>
      </c>
      <c r="BX407" s="695" t="str">
        <f t="shared" si="199"/>
        <v>2Q15</v>
      </c>
      <c r="BY407" s="696" t="str">
        <f t="shared" si="199"/>
        <v>% Chg</v>
      </c>
      <c r="BZ407" s="695" t="str">
        <f t="shared" si="199"/>
        <v>3Q15</v>
      </c>
      <c r="CA407" s="696" t="str">
        <f t="shared" si="199"/>
        <v>% Chg</v>
      </c>
      <c r="CB407" s="695" t="str">
        <f t="shared" si="199"/>
        <v>4Q15</v>
      </c>
      <c r="CC407" s="696" t="str">
        <f t="shared" si="199"/>
        <v>% Chg</v>
      </c>
      <c r="CD407" s="695" t="str">
        <f t="shared" si="199"/>
        <v>1Q16</v>
      </c>
      <c r="CE407" s="696" t="str">
        <f t="shared" si="199"/>
        <v>% Chg</v>
      </c>
      <c r="CF407" s="695" t="str">
        <f t="shared" si="199"/>
        <v>2Q16</v>
      </c>
      <c r="CG407" s="696" t="str">
        <f t="shared" si="199"/>
        <v>% Chg</v>
      </c>
      <c r="CH407" s="695" t="str">
        <f t="shared" si="199"/>
        <v>3Q16</v>
      </c>
      <c r="CI407" s="696" t="str">
        <f t="shared" si="199"/>
        <v>% Chg</v>
      </c>
      <c r="CJ407" s="695" t="str">
        <f t="shared" si="199"/>
        <v>4Q16</v>
      </c>
      <c r="CK407" s="696" t="str">
        <f t="shared" si="199"/>
        <v>% Chg</v>
      </c>
      <c r="CL407" s="695" t="str">
        <f t="shared" si="199"/>
        <v>1Q17</v>
      </c>
      <c r="CM407" s="696" t="str">
        <f t="shared" si="199"/>
        <v>% Chg</v>
      </c>
      <c r="CN407" s="695" t="str">
        <f t="shared" si="199"/>
        <v>2Q17</v>
      </c>
      <c r="CO407" s="696" t="str">
        <f t="shared" si="199"/>
        <v>% Chg</v>
      </c>
      <c r="CP407" s="695" t="str">
        <f t="shared" si="199"/>
        <v>3Q17</v>
      </c>
      <c r="CQ407" s="696" t="str">
        <f t="shared" si="199"/>
        <v>% Chg</v>
      </c>
      <c r="CR407" s="695" t="str">
        <f t="shared" si="199"/>
        <v>4Q17</v>
      </c>
      <c r="CS407" s="696" t="str">
        <f t="shared" si="199"/>
        <v>% Chg</v>
      </c>
      <c r="CT407" s="695" t="str">
        <f t="shared" si="199"/>
        <v>1Q18E</v>
      </c>
      <c r="CU407" s="696" t="str">
        <f t="shared" si="199"/>
        <v>% Chg</v>
      </c>
      <c r="CV407" s="695" t="str">
        <f t="shared" si="199"/>
        <v>2Q18E</v>
      </c>
      <c r="CW407" s="696" t="str">
        <f t="shared" si="199"/>
        <v>% Chg</v>
      </c>
      <c r="CX407" s="695" t="str">
        <f t="shared" si="199"/>
        <v>3Q18E</v>
      </c>
      <c r="CY407" s="696" t="str">
        <f t="shared" si="199"/>
        <v>% Chg</v>
      </c>
      <c r="CZ407" s="695" t="str">
        <f t="shared" si="199"/>
        <v>4Q18E</v>
      </c>
      <c r="DA407" s="696" t="str">
        <f t="shared" si="199"/>
        <v>% Chg</v>
      </c>
      <c r="DB407" s="695"/>
      <c r="DC407" s="697">
        <f t="shared" ref="DC407:EM407" si="200">DC$5</f>
        <v>2005</v>
      </c>
      <c r="DD407" s="696" t="str">
        <f t="shared" si="200"/>
        <v>% Chg</v>
      </c>
      <c r="DE407" s="698">
        <f>$DE$5</f>
        <v>2006</v>
      </c>
      <c r="DF407" s="696" t="str">
        <f>INPUT!FS$6</f>
        <v>% Chg</v>
      </c>
      <c r="DG407" s="699">
        <f>$DG$5</f>
        <v>2007</v>
      </c>
      <c r="DH407" s="696" t="str">
        <f t="shared" si="200"/>
        <v>% Chg</v>
      </c>
      <c r="DI407" s="699">
        <f t="shared" si="200"/>
        <v>2008</v>
      </c>
      <c r="DJ407" s="696" t="str">
        <f t="shared" si="200"/>
        <v>% Chg</v>
      </c>
      <c r="DK407" s="695" t="str">
        <f t="shared" si="200"/>
        <v>2009</v>
      </c>
      <c r="DL407" s="696" t="str">
        <f t="shared" si="200"/>
        <v>% Chg</v>
      </c>
      <c r="DM407" s="695" t="str">
        <f t="shared" si="200"/>
        <v>2010</v>
      </c>
      <c r="DN407" s="696" t="str">
        <f t="shared" si="200"/>
        <v>% Chg</v>
      </c>
      <c r="DO407" s="695" t="str">
        <f t="shared" si="200"/>
        <v>2011</v>
      </c>
      <c r="DP407" s="696" t="str">
        <f t="shared" si="200"/>
        <v>% Chg</v>
      </c>
      <c r="DQ407" s="695" t="str">
        <f t="shared" si="200"/>
        <v>2012</v>
      </c>
      <c r="DR407" s="696" t="str">
        <f t="shared" si="200"/>
        <v>% Chg</v>
      </c>
      <c r="DS407" s="695" t="str">
        <f t="shared" si="200"/>
        <v>2013</v>
      </c>
      <c r="DT407" s="696" t="str">
        <f t="shared" si="200"/>
        <v>% Chg</v>
      </c>
      <c r="DU407" s="695" t="str">
        <f t="shared" si="200"/>
        <v>2014</v>
      </c>
      <c r="DV407" s="696" t="str">
        <f t="shared" si="200"/>
        <v>% Chg</v>
      </c>
      <c r="DW407" s="695" t="str">
        <f t="shared" si="200"/>
        <v>2015</v>
      </c>
      <c r="DX407" s="696" t="str">
        <f t="shared" si="200"/>
        <v>% Chg</v>
      </c>
      <c r="DY407" s="695" t="str">
        <f t="shared" si="200"/>
        <v>2016</v>
      </c>
      <c r="DZ407" s="696" t="str">
        <f t="shared" si="200"/>
        <v>% Chg</v>
      </c>
      <c r="EA407" s="695" t="str">
        <f t="shared" si="200"/>
        <v>2017</v>
      </c>
      <c r="EB407" s="696" t="str">
        <f t="shared" si="200"/>
        <v>% Chg</v>
      </c>
      <c r="EC407" s="695" t="str">
        <f t="shared" si="200"/>
        <v>2018E</v>
      </c>
      <c r="ED407" s="696" t="str">
        <f t="shared" si="200"/>
        <v>% Chg</v>
      </c>
      <c r="EE407" s="695" t="str">
        <f t="shared" si="200"/>
        <v>2019E</v>
      </c>
      <c r="EF407" s="696" t="str">
        <f t="shared" si="200"/>
        <v>% Chg</v>
      </c>
      <c r="EG407" s="695" t="str">
        <f t="shared" si="200"/>
        <v>2020E</v>
      </c>
      <c r="EH407" s="696" t="str">
        <f t="shared" si="200"/>
        <v>% Chg</v>
      </c>
      <c r="EI407" s="695" t="str">
        <f t="shared" si="200"/>
        <v>2021E</v>
      </c>
      <c r="EJ407" s="696" t="str">
        <f t="shared" si="200"/>
        <v>% Chg</v>
      </c>
      <c r="EK407" s="695" t="str">
        <f t="shared" si="200"/>
        <v>2022E</v>
      </c>
      <c r="EL407" s="696" t="str">
        <f t="shared" si="200"/>
        <v>% Chg</v>
      </c>
      <c r="EM407" s="696" t="str">
        <f t="shared" si="200"/>
        <v>(%)</v>
      </c>
    </row>
    <row r="408" spans="1:143" ht="12.75" hidden="1" customHeight="1" outlineLevel="2" x14ac:dyDescent="0.2">
      <c r="A408" s="700"/>
      <c r="B408" s="16"/>
      <c r="C408" s="687"/>
      <c r="D408" s="16"/>
      <c r="E408" s="687"/>
      <c r="F408" s="16"/>
      <c r="G408" s="687"/>
      <c r="H408" s="16"/>
      <c r="I408" s="687"/>
      <c r="J408" s="16"/>
      <c r="K408" s="687"/>
      <c r="L408" s="16"/>
      <c r="M408" s="687"/>
      <c r="N408" s="16"/>
      <c r="O408" s="687"/>
      <c r="P408" s="16"/>
      <c r="Q408" s="687"/>
      <c r="R408" s="16"/>
      <c r="S408" s="687"/>
      <c r="T408" s="16"/>
      <c r="U408" s="687"/>
      <c r="V408" s="16"/>
      <c r="W408" s="687"/>
      <c r="X408" s="16"/>
      <c r="Y408" s="687"/>
      <c r="Z408" s="16"/>
      <c r="AA408" s="687"/>
      <c r="AB408" s="16"/>
      <c r="AC408" s="687"/>
      <c r="AD408" s="16"/>
      <c r="AE408" s="687"/>
      <c r="AF408" s="16"/>
      <c r="AG408" s="687"/>
      <c r="AH408" s="16"/>
      <c r="AI408" s="687"/>
      <c r="AJ408" s="16"/>
      <c r="AK408" s="687"/>
      <c r="AL408" s="16"/>
      <c r="AM408" s="687"/>
      <c r="AN408" s="16"/>
      <c r="AO408" s="687"/>
      <c r="AP408" s="16"/>
      <c r="AQ408" s="687"/>
      <c r="AR408" s="16"/>
      <c r="AS408" s="687"/>
      <c r="AT408" s="16"/>
      <c r="AU408" s="687"/>
      <c r="AV408" s="16"/>
      <c r="AW408" s="687"/>
      <c r="AX408" s="16"/>
      <c r="AY408" s="687"/>
      <c r="AZ408" s="16"/>
      <c r="BA408" s="687"/>
      <c r="BB408" s="16"/>
      <c r="BC408" s="687"/>
      <c r="BD408" s="16"/>
      <c r="BE408" s="687"/>
      <c r="BF408" s="16"/>
      <c r="BG408" s="687"/>
      <c r="BH408" s="16"/>
      <c r="BI408" s="687"/>
      <c r="BJ408" s="16"/>
      <c r="BK408" s="687"/>
      <c r="BL408" s="16"/>
      <c r="BM408" s="687"/>
      <c r="BN408" s="16"/>
      <c r="BO408" s="687"/>
      <c r="BP408" s="16"/>
      <c r="BQ408" s="687"/>
      <c r="BR408" s="16"/>
      <c r="BS408" s="687"/>
      <c r="BT408" s="16"/>
      <c r="BU408" s="687"/>
      <c r="BV408" s="16"/>
      <c r="BW408" s="687"/>
      <c r="BX408" s="16"/>
      <c r="BY408" s="687"/>
      <c r="BZ408" s="16"/>
      <c r="CA408" s="687"/>
      <c r="CB408" s="16"/>
      <c r="CC408" s="687"/>
      <c r="CD408" s="16"/>
      <c r="CE408" s="687"/>
      <c r="CF408" s="16"/>
      <c r="CG408" s="687"/>
      <c r="CH408" s="16"/>
      <c r="CI408" s="687"/>
      <c r="CJ408" s="16"/>
      <c r="CK408" s="687"/>
      <c r="CL408" s="16"/>
      <c r="CM408" s="687"/>
      <c r="CN408" s="16"/>
      <c r="CO408" s="687"/>
      <c r="CP408" s="16"/>
      <c r="CQ408" s="687"/>
      <c r="CR408" s="16"/>
      <c r="CS408" s="687"/>
      <c r="CT408" s="16"/>
      <c r="CU408" s="687"/>
      <c r="CV408" s="16"/>
      <c r="CW408" s="687"/>
      <c r="CX408" s="16"/>
      <c r="CY408" s="687"/>
      <c r="CZ408" s="16"/>
      <c r="DA408" s="687"/>
      <c r="DB408" s="16"/>
      <c r="DC408" s="16"/>
      <c r="DD408" s="687"/>
      <c r="DE408" s="16"/>
      <c r="DF408" s="687"/>
      <c r="DG408" s="16"/>
      <c r="DH408" s="687"/>
      <c r="DI408" s="16"/>
      <c r="DJ408" s="687"/>
      <c r="DK408" s="16"/>
      <c r="DL408" s="687"/>
      <c r="DM408" s="16"/>
      <c r="DN408" s="687"/>
      <c r="DO408" s="16"/>
      <c r="DP408" s="687"/>
      <c r="DQ408" s="16"/>
      <c r="DR408" s="687"/>
      <c r="DS408" s="16"/>
      <c r="DT408" s="687"/>
      <c r="DU408" s="16"/>
      <c r="DV408" s="687"/>
      <c r="DW408" s="16"/>
      <c r="DX408" s="687"/>
      <c r="DY408" s="16"/>
      <c r="DZ408" s="687"/>
      <c r="EA408" s="16"/>
      <c r="EB408" s="687"/>
      <c r="EC408" s="16"/>
      <c r="ED408" s="687"/>
      <c r="EE408" s="16"/>
      <c r="EF408" s="687"/>
      <c r="EG408" s="16"/>
      <c r="EH408" s="687"/>
      <c r="EI408" s="16"/>
      <c r="EJ408" s="687"/>
      <c r="EK408" s="16"/>
      <c r="EL408" s="687"/>
      <c r="EM408" s="687"/>
    </row>
    <row r="409" spans="1:143" ht="12.75" hidden="1" customHeight="1" outlineLevel="2" x14ac:dyDescent="0.2">
      <c r="A409" s="700" t="s">
        <v>7</v>
      </c>
      <c r="B409" s="16"/>
      <c r="C409" s="687"/>
      <c r="D409" s="16"/>
      <c r="E409" s="687"/>
      <c r="F409" s="16"/>
      <c r="G409" s="687"/>
      <c r="H409" s="16"/>
      <c r="I409" s="687"/>
      <c r="J409" s="16"/>
      <c r="K409" s="687"/>
      <c r="L409" s="16"/>
      <c r="M409" s="687"/>
      <c r="N409" s="16"/>
      <c r="O409" s="687"/>
      <c r="P409" s="16"/>
      <c r="Q409" s="687"/>
      <c r="R409" s="16"/>
      <c r="S409" s="687"/>
      <c r="T409" s="16"/>
      <c r="U409" s="687"/>
      <c r="V409" s="16"/>
      <c r="W409" s="687"/>
      <c r="X409" s="16"/>
      <c r="Y409" s="687"/>
      <c r="Z409" s="16"/>
      <c r="AA409" s="687"/>
      <c r="AB409" s="16"/>
      <c r="AC409" s="687"/>
      <c r="AD409" s="16"/>
      <c r="AE409" s="687"/>
      <c r="AF409" s="16"/>
      <c r="AG409" s="687"/>
      <c r="AH409" s="16"/>
      <c r="AI409" s="687"/>
      <c r="AJ409" s="16"/>
      <c r="AK409" s="687"/>
      <c r="AL409" s="16"/>
      <c r="AM409" s="687"/>
      <c r="AN409" s="16"/>
      <c r="AO409" s="687"/>
      <c r="AP409" s="16"/>
      <c r="AQ409" s="687"/>
      <c r="AR409" s="16"/>
      <c r="AS409" s="687"/>
      <c r="AT409" s="16"/>
      <c r="AU409" s="687"/>
      <c r="AV409" s="16"/>
      <c r="AW409" s="687"/>
      <c r="AX409" s="16"/>
      <c r="AY409" s="687"/>
      <c r="AZ409" s="16"/>
      <c r="BA409" s="687"/>
      <c r="BB409" s="16"/>
      <c r="BC409" s="687"/>
      <c r="BD409" s="16"/>
      <c r="BE409" s="687"/>
      <c r="BF409" s="16"/>
      <c r="BG409" s="687"/>
      <c r="BH409" s="16"/>
      <c r="BI409" s="687"/>
      <c r="BJ409" s="16"/>
      <c r="BK409" s="687"/>
      <c r="BL409" s="16"/>
      <c r="BM409" s="687"/>
      <c r="BN409" s="16"/>
      <c r="BO409" s="687"/>
      <c r="BP409" s="16"/>
      <c r="BQ409" s="687"/>
      <c r="BR409" s="16"/>
      <c r="BS409" s="687"/>
      <c r="BT409" s="16"/>
      <c r="BU409" s="687"/>
      <c r="BV409" s="16"/>
      <c r="BW409" s="687"/>
      <c r="BX409" s="16"/>
      <c r="BY409" s="687"/>
      <c r="BZ409" s="16"/>
      <c r="CA409" s="687"/>
      <c r="CB409" s="16"/>
      <c r="CC409" s="687"/>
      <c r="CD409" s="16"/>
      <c r="CE409" s="687"/>
      <c r="CF409" s="16"/>
      <c r="CG409" s="687"/>
      <c r="CH409" s="16"/>
      <c r="CI409" s="687"/>
      <c r="CJ409" s="16"/>
      <c r="CK409" s="687"/>
      <c r="CL409" s="16"/>
      <c r="CM409" s="687"/>
      <c r="CN409" s="16"/>
      <c r="CO409" s="687"/>
      <c r="CP409" s="16"/>
      <c r="CQ409" s="687"/>
      <c r="CR409" s="16"/>
      <c r="CS409" s="687"/>
      <c r="CT409" s="16"/>
      <c r="CU409" s="687"/>
      <c r="CV409" s="16"/>
      <c r="CW409" s="687"/>
      <c r="CX409" s="16"/>
      <c r="CY409" s="687"/>
      <c r="CZ409" s="16"/>
      <c r="DA409" s="687"/>
      <c r="DB409" s="16"/>
      <c r="DC409" s="16"/>
      <c r="DD409" s="687"/>
      <c r="DE409" s="16"/>
      <c r="DF409" s="687"/>
      <c r="DG409" s="16"/>
      <c r="DH409" s="687"/>
      <c r="DI409" s="16"/>
      <c r="DJ409" s="687"/>
      <c r="DK409" s="16"/>
      <c r="DL409" s="687"/>
      <c r="DM409" s="16"/>
      <c r="DN409" s="687"/>
      <c r="DO409" s="16"/>
      <c r="DP409" s="687"/>
      <c r="DQ409" s="16"/>
      <c r="DR409" s="687"/>
      <c r="DS409" s="16"/>
      <c r="DT409" s="687"/>
      <c r="DU409" s="16"/>
      <c r="DV409" s="687"/>
      <c r="DW409" s="16"/>
      <c r="DX409" s="687"/>
      <c r="DY409" s="16"/>
      <c r="DZ409" s="687"/>
      <c r="EA409" s="16"/>
      <c r="EB409" s="687"/>
      <c r="EC409" s="16"/>
      <c r="ED409" s="687"/>
      <c r="EE409" s="16"/>
      <c r="EF409" s="687"/>
      <c r="EG409" s="16"/>
      <c r="EH409" s="687"/>
      <c r="EI409" s="16"/>
      <c r="EJ409" s="687"/>
      <c r="EK409" s="16"/>
      <c r="EL409" s="687"/>
      <c r="EM409" s="687"/>
    </row>
    <row r="410" spans="1:143" ht="12.75" hidden="1" customHeight="1" outlineLevel="2" x14ac:dyDescent="0.2">
      <c r="A410" s="701" t="str">
        <f>INPUT!B374</f>
        <v>Investment Advisory Fees</v>
      </c>
      <c r="B410" s="151">
        <f>INPUT!AY374</f>
        <v>102.9</v>
      </c>
      <c r="C410" s="687">
        <f>INPUT!AZ374</f>
        <v>28.947368421052634</v>
      </c>
      <c r="D410" s="151">
        <f>INPUT!BA374</f>
        <v>104.7</v>
      </c>
      <c r="E410" s="687">
        <f>INPUT!BB374</f>
        <v>20.900692840646663</v>
      </c>
      <c r="F410" s="151">
        <f>INPUT!BC374</f>
        <v>106.10000000000001</v>
      </c>
      <c r="G410" s="687">
        <f>INPUT!BD374</f>
        <v>14.331896551724132</v>
      </c>
      <c r="H410" s="151">
        <f>INPUT!BE374</f>
        <v>111.2</v>
      </c>
      <c r="I410" s="687">
        <f>INPUT!BF374</f>
        <v>16.561844863731643</v>
      </c>
      <c r="J410" s="151">
        <f>INPUT!BG374</f>
        <v>114.80000000000001</v>
      </c>
      <c r="K410" s="687">
        <f>INPUT!BH374</f>
        <v>11.56462585034015</v>
      </c>
      <c r="L410" s="151">
        <f>INPUT!BI374</f>
        <v>112.3</v>
      </c>
      <c r="M410" s="687">
        <f>INPUT!BJ374</f>
        <v>7.2588347659980901</v>
      </c>
      <c r="N410" s="151">
        <f>INPUT!BK374</f>
        <v>111.6</v>
      </c>
      <c r="O410" s="687">
        <f>INPUT!BL374</f>
        <v>5.1837888784165731</v>
      </c>
      <c r="P410" s="151">
        <f>INPUT!BM374</f>
        <v>108</v>
      </c>
      <c r="Q410" s="687">
        <f>INPUT!BN374</f>
        <v>-2.877697841726623</v>
      </c>
      <c r="R410" s="151">
        <f>INPUT!BO374</f>
        <v>96.2</v>
      </c>
      <c r="S410" s="687">
        <f>INPUT!BP374</f>
        <v>-16.202090592334507</v>
      </c>
      <c r="T410" s="151">
        <f>INPUT!BQ374</f>
        <v>96.4</v>
      </c>
      <c r="U410" s="687">
        <f>INPUT!BR374</f>
        <v>-14.158504007123774</v>
      </c>
      <c r="V410" s="151">
        <f>INPUT!BS374</f>
        <v>88.300000000000011</v>
      </c>
      <c r="W410" s="687">
        <f>INPUT!BT374</f>
        <v>-20.878136200716835</v>
      </c>
      <c r="X410" s="151">
        <f>INPUT!BU374</f>
        <v>68.7</v>
      </c>
      <c r="Y410" s="687">
        <f>INPUT!BV374</f>
        <v>-36.388888888888879</v>
      </c>
      <c r="Z410" s="151">
        <f>INPUT!BW374</f>
        <v>63.6</v>
      </c>
      <c r="AA410" s="687">
        <f>INPUT!BX374</f>
        <v>-33.887733887733887</v>
      </c>
      <c r="AB410" s="151">
        <f>INPUT!BY374</f>
        <v>67.8</v>
      </c>
      <c r="AC410" s="687">
        <f>INPUT!BZ374</f>
        <v>-29.668049792531125</v>
      </c>
      <c r="AD410" s="151"/>
      <c r="AE410" s="687"/>
      <c r="AF410" s="151"/>
      <c r="AG410" s="687"/>
      <c r="AH410" s="151"/>
      <c r="AI410" s="687"/>
      <c r="AJ410" s="151"/>
      <c r="AK410" s="687"/>
      <c r="AL410" s="151"/>
      <c r="AM410" s="687"/>
      <c r="AN410" s="151"/>
      <c r="AO410" s="687"/>
      <c r="AP410" s="151"/>
      <c r="AQ410" s="687"/>
      <c r="AR410" s="151"/>
      <c r="AS410" s="687"/>
      <c r="AT410" s="151"/>
      <c r="AU410" s="687"/>
      <c r="AV410" s="151"/>
      <c r="AW410" s="687"/>
      <c r="AX410" s="151"/>
      <c r="AY410" s="687"/>
      <c r="AZ410" s="151"/>
      <c r="BA410" s="687"/>
      <c r="BB410" s="151"/>
      <c r="BC410" s="687"/>
      <c r="BD410" s="151"/>
      <c r="BE410" s="687"/>
      <c r="BF410" s="151"/>
      <c r="BG410" s="687"/>
      <c r="BH410" s="151"/>
      <c r="BI410" s="687"/>
      <c r="BJ410" s="151"/>
      <c r="BK410" s="687"/>
      <c r="BL410" s="151"/>
      <c r="BM410" s="687"/>
      <c r="BN410" s="151"/>
      <c r="BO410" s="687"/>
      <c r="BP410" s="151"/>
      <c r="BQ410" s="687"/>
      <c r="BR410" s="151"/>
      <c r="BS410" s="687"/>
      <c r="BT410" s="151"/>
      <c r="BU410" s="687"/>
      <c r="BV410" s="151"/>
      <c r="BW410" s="687"/>
      <c r="BX410" s="151"/>
      <c r="BY410" s="687"/>
      <c r="BZ410" s="151"/>
      <c r="CA410" s="687"/>
      <c r="CB410" s="151"/>
      <c r="CC410" s="687"/>
      <c r="CD410" s="151"/>
      <c r="CE410" s="687"/>
      <c r="CF410" s="151"/>
      <c r="CG410" s="687"/>
      <c r="CH410" s="151"/>
      <c r="CI410" s="687"/>
      <c r="CJ410" s="151"/>
      <c r="CK410" s="687"/>
      <c r="CL410" s="151"/>
      <c r="CM410" s="687"/>
      <c r="CN410" s="151"/>
      <c r="CO410" s="687"/>
      <c r="CP410" s="151"/>
      <c r="CQ410" s="687"/>
      <c r="CR410" s="151"/>
      <c r="CS410" s="687"/>
      <c r="CT410" s="151"/>
      <c r="CU410" s="687"/>
      <c r="CV410" s="151"/>
      <c r="CW410" s="687"/>
      <c r="CX410" s="151"/>
      <c r="CY410" s="687"/>
      <c r="CZ410" s="151"/>
      <c r="DA410" s="687"/>
      <c r="DB410" s="16"/>
      <c r="DC410" s="151">
        <f>INPUT!FP374</f>
        <v>354.6</v>
      </c>
      <c r="DD410" s="687" t="str">
        <f>INPUT!FQ374</f>
        <v>NA</v>
      </c>
      <c r="DE410" s="151">
        <f>INPUT!FR374</f>
        <v>424.90000000000003</v>
      </c>
      <c r="DF410" s="687">
        <f>INPUT!FS374</f>
        <v>19.825155104342929</v>
      </c>
      <c r="DG410" s="151">
        <f>INPUT!FT374</f>
        <v>446.70000000000005</v>
      </c>
      <c r="DH410" s="687">
        <f>INPUT!FU374</f>
        <v>5.1306189691692206</v>
      </c>
      <c r="DI410" s="151">
        <f>INPUT!FV374</f>
        <v>349.6</v>
      </c>
      <c r="DJ410" s="687">
        <f>INPUT!FW374</f>
        <v>-21.73718379225431</v>
      </c>
      <c r="DK410" s="151">
        <f>INPUT!FX374</f>
        <v>131.4</v>
      </c>
      <c r="DL410" s="687" t="str">
        <f>INPUT!FY374</f>
        <v>NM</v>
      </c>
      <c r="DM410" s="151"/>
      <c r="DN410" s="687"/>
      <c r="DO410" s="151"/>
      <c r="DP410" s="687"/>
      <c r="DQ410" s="151"/>
      <c r="DR410" s="687"/>
      <c r="DS410" s="151"/>
      <c r="DT410" s="687"/>
      <c r="DU410" s="151"/>
      <c r="DV410" s="687"/>
      <c r="DW410" s="151"/>
      <c r="DX410" s="687"/>
      <c r="DY410" s="151"/>
      <c r="DZ410" s="687"/>
      <c r="EA410" s="151"/>
      <c r="EB410" s="687"/>
      <c r="EC410" s="151"/>
      <c r="ED410" s="687"/>
      <c r="EE410" s="151"/>
      <c r="EF410" s="687"/>
      <c r="EG410" s="151"/>
      <c r="EH410" s="687"/>
      <c r="EI410" s="151"/>
      <c r="EJ410" s="687"/>
      <c r="EK410" s="151"/>
      <c r="EL410" s="687"/>
      <c r="EM410" s="687"/>
    </row>
    <row r="411" spans="1:143" ht="12.75" hidden="1" customHeight="1" outlineLevel="2" x14ac:dyDescent="0.2">
      <c r="A411" s="701" t="str">
        <f>INPUT!B375</f>
        <v>Other Revenue and Fees</v>
      </c>
      <c r="B411" s="151">
        <f>INPUT!AY375</f>
        <v>36.700000000000003</v>
      </c>
      <c r="C411" s="687">
        <f>INPUT!AZ375</f>
        <v>21.926910299003332</v>
      </c>
      <c r="D411" s="151">
        <f>INPUT!BA375</f>
        <v>30</v>
      </c>
      <c r="E411" s="687">
        <f>INPUT!BB375</f>
        <v>7.526881720430123</v>
      </c>
      <c r="F411" s="151">
        <f>INPUT!BC375</f>
        <v>34.299999999999997</v>
      </c>
      <c r="G411" s="687">
        <f>INPUT!BD375</f>
        <v>12.459016393442624</v>
      </c>
      <c r="H411" s="151">
        <f>INPUT!BE375</f>
        <v>37.700000000000003</v>
      </c>
      <c r="I411" s="687">
        <f>INPUT!BF375</f>
        <v>15.644171779141104</v>
      </c>
      <c r="J411" s="151">
        <f>INPUT!BG375</f>
        <v>35.299999999999997</v>
      </c>
      <c r="K411" s="687">
        <f>INPUT!BH375</f>
        <v>-3.8147138964577776</v>
      </c>
      <c r="L411" s="151">
        <f>INPUT!BI375</f>
        <v>38.700000000000003</v>
      </c>
      <c r="M411" s="687">
        <f>INPUT!BJ375</f>
        <v>29.000000000000004</v>
      </c>
      <c r="N411" s="151">
        <f>INPUT!BK375</f>
        <v>38.5</v>
      </c>
      <c r="O411" s="687">
        <f>INPUT!BL375</f>
        <v>12.244897959183687</v>
      </c>
      <c r="P411" s="151">
        <f>INPUT!BM375</f>
        <v>31</v>
      </c>
      <c r="Q411" s="687">
        <f>INPUT!BN375</f>
        <v>-17.771883289124681</v>
      </c>
      <c r="R411" s="151">
        <f>INPUT!BO375</f>
        <v>24.1</v>
      </c>
      <c r="S411" s="687">
        <f>INPUT!BP375</f>
        <v>-31.728045325779032</v>
      </c>
      <c r="T411" s="151">
        <f>INPUT!BQ375</f>
        <v>27.9</v>
      </c>
      <c r="U411" s="687">
        <f>INPUT!BR375</f>
        <v>-27.906976744186053</v>
      </c>
      <c r="V411" s="151">
        <f>INPUT!BS375</f>
        <v>21.6</v>
      </c>
      <c r="W411" s="687">
        <f>INPUT!BT375</f>
        <v>-43.896103896103888</v>
      </c>
      <c r="X411" s="151">
        <f>INPUT!BU375</f>
        <v>14.5</v>
      </c>
      <c r="Y411" s="687" t="str">
        <f>INPUT!BV375</f>
        <v>NM</v>
      </c>
      <c r="Z411" s="151">
        <f>INPUT!BW375</f>
        <v>18.3</v>
      </c>
      <c r="AA411" s="687">
        <f>INPUT!BX375</f>
        <v>-24.066390041493779</v>
      </c>
      <c r="AB411" s="151">
        <f>INPUT!BY375</f>
        <v>23.8</v>
      </c>
      <c r="AC411" s="687">
        <f>INPUT!BZ375</f>
        <v>-14.69534050179211</v>
      </c>
      <c r="AD411" s="151"/>
      <c r="AE411" s="687"/>
      <c r="AF411" s="151"/>
      <c r="AG411" s="687"/>
      <c r="AH411" s="151"/>
      <c r="AI411" s="687"/>
      <c r="AJ411" s="151"/>
      <c r="AK411" s="687"/>
      <c r="AL411" s="151"/>
      <c r="AM411" s="687"/>
      <c r="AN411" s="151"/>
      <c r="AO411" s="687"/>
      <c r="AP411" s="151"/>
      <c r="AQ411" s="687"/>
      <c r="AR411" s="151"/>
      <c r="AS411" s="687"/>
      <c r="AT411" s="151"/>
      <c r="AU411" s="687"/>
      <c r="AV411" s="151"/>
      <c r="AW411" s="687"/>
      <c r="AX411" s="151"/>
      <c r="AY411" s="687"/>
      <c r="AZ411" s="151"/>
      <c r="BA411" s="687"/>
      <c r="BB411" s="151"/>
      <c r="BC411" s="687"/>
      <c r="BD411" s="151"/>
      <c r="BE411" s="687"/>
      <c r="BF411" s="151"/>
      <c r="BG411" s="687"/>
      <c r="BH411" s="151"/>
      <c r="BI411" s="687"/>
      <c r="BJ411" s="151"/>
      <c r="BK411" s="687"/>
      <c r="BL411" s="151"/>
      <c r="BM411" s="687"/>
      <c r="BN411" s="151"/>
      <c r="BO411" s="687"/>
      <c r="BP411" s="151"/>
      <c r="BQ411" s="687"/>
      <c r="BR411" s="151"/>
      <c r="BS411" s="687"/>
      <c r="BT411" s="151"/>
      <c r="BU411" s="687"/>
      <c r="BV411" s="151"/>
      <c r="BW411" s="687"/>
      <c r="BX411" s="151"/>
      <c r="BY411" s="687"/>
      <c r="BZ411" s="151"/>
      <c r="CA411" s="687"/>
      <c r="CB411" s="151"/>
      <c r="CC411" s="687"/>
      <c r="CD411" s="151"/>
      <c r="CE411" s="687"/>
      <c r="CF411" s="151"/>
      <c r="CG411" s="687"/>
      <c r="CH411" s="151"/>
      <c r="CI411" s="687"/>
      <c r="CJ411" s="151"/>
      <c r="CK411" s="687"/>
      <c r="CL411" s="151"/>
      <c r="CM411" s="687"/>
      <c r="CN411" s="151"/>
      <c r="CO411" s="687"/>
      <c r="CP411" s="151"/>
      <c r="CQ411" s="687"/>
      <c r="CR411" s="151"/>
      <c r="CS411" s="687"/>
      <c r="CT411" s="151"/>
      <c r="CU411" s="687"/>
      <c r="CV411" s="151"/>
      <c r="CW411" s="687"/>
      <c r="CX411" s="151"/>
      <c r="CY411" s="687"/>
      <c r="CZ411" s="151"/>
      <c r="DA411" s="687"/>
      <c r="DB411" s="16"/>
      <c r="DC411" s="151">
        <f>INPUT!FP375</f>
        <v>121.1</v>
      </c>
      <c r="DD411" s="687" t="str">
        <f>INPUT!FQ375</f>
        <v>NA</v>
      </c>
      <c r="DE411" s="151">
        <f>INPUT!FR375</f>
        <v>138.69999999999999</v>
      </c>
      <c r="DF411" s="687">
        <f>INPUT!FS375</f>
        <v>14.533443435177528</v>
      </c>
      <c r="DG411" s="151">
        <f>INPUT!FT375</f>
        <v>143.5</v>
      </c>
      <c r="DH411" s="687">
        <f>INPUT!FU375</f>
        <v>3.4607065609228549</v>
      </c>
      <c r="DI411" s="151">
        <f>INPUT!FV375</f>
        <v>88.1</v>
      </c>
      <c r="DJ411" s="687">
        <f>INPUT!FW375</f>
        <v>-38.606271777003485</v>
      </c>
      <c r="DK411" s="151">
        <f>INPUT!FX375</f>
        <v>42.1</v>
      </c>
      <c r="DL411" s="687" t="str">
        <f>INPUT!FY375</f>
        <v>NM</v>
      </c>
      <c r="DM411" s="151"/>
      <c r="DN411" s="687"/>
      <c r="DO411" s="151"/>
      <c r="DP411" s="687"/>
      <c r="DQ411" s="151"/>
      <c r="DR411" s="687"/>
      <c r="DS411" s="151"/>
      <c r="DT411" s="687"/>
      <c r="DU411" s="151"/>
      <c r="DV411" s="687"/>
      <c r="DW411" s="151"/>
      <c r="DX411" s="687"/>
      <c r="DY411" s="151"/>
      <c r="DZ411" s="687"/>
      <c r="EA411" s="151"/>
      <c r="EB411" s="687"/>
      <c r="EC411" s="151"/>
      <c r="ED411" s="687"/>
      <c r="EE411" s="151"/>
      <c r="EF411" s="687"/>
      <c r="EG411" s="151"/>
      <c r="EH411" s="687"/>
      <c r="EI411" s="151"/>
      <c r="EJ411" s="687"/>
      <c r="EK411" s="151"/>
      <c r="EL411" s="687"/>
      <c r="EM411" s="687"/>
    </row>
    <row r="412" spans="1:143" ht="12.75" hidden="1" customHeight="1" outlineLevel="2" x14ac:dyDescent="0.2">
      <c r="A412" s="701" t="str">
        <f>INPUT!B376</f>
        <v xml:space="preserve"> Total Revenues</v>
      </c>
      <c r="B412" s="151">
        <f>INPUT!AY376</f>
        <v>139.60000000000002</v>
      </c>
      <c r="C412" s="687">
        <f>INPUT!AZ376</f>
        <v>27.024567788899013</v>
      </c>
      <c r="D412" s="151">
        <f>INPUT!BA376</f>
        <v>134.69999999999999</v>
      </c>
      <c r="E412" s="687">
        <f>INPUT!BB376</f>
        <v>17.6419213973799</v>
      </c>
      <c r="F412" s="151">
        <f>INPUT!BC376</f>
        <v>140.4</v>
      </c>
      <c r="G412" s="687">
        <f>INPUT!BD376</f>
        <v>13.868613138686126</v>
      </c>
      <c r="H412" s="151">
        <f>INPUT!BE376</f>
        <v>148.9</v>
      </c>
      <c r="I412" s="687">
        <f>INPUT!BF376</f>
        <v>16.328125000000004</v>
      </c>
      <c r="J412" s="151">
        <f>INPUT!BG376</f>
        <v>150.10000000000002</v>
      </c>
      <c r="K412" s="687">
        <f>INPUT!BH376</f>
        <v>7.5214899713466954</v>
      </c>
      <c r="L412" s="151">
        <f>INPUT!BI376</f>
        <v>151</v>
      </c>
      <c r="M412" s="687">
        <f>INPUT!BJ376</f>
        <v>12.100965107646623</v>
      </c>
      <c r="N412" s="151">
        <f>INPUT!BK376</f>
        <v>150.1</v>
      </c>
      <c r="O412" s="687">
        <f>INPUT!BL376</f>
        <v>6.9088319088318917</v>
      </c>
      <c r="P412" s="151">
        <f>INPUT!BM376</f>
        <v>139</v>
      </c>
      <c r="Q412" s="687">
        <f>INPUT!BN376</f>
        <v>-6.6487575554063145</v>
      </c>
      <c r="R412" s="151">
        <f>INPUT!BO376</f>
        <v>120.30000000000001</v>
      </c>
      <c r="S412" s="687">
        <f>INPUT!BP376</f>
        <v>-19.853431045969362</v>
      </c>
      <c r="T412" s="151">
        <f>INPUT!BQ376</f>
        <v>124.30000000000001</v>
      </c>
      <c r="U412" s="687">
        <f>INPUT!BR376</f>
        <v>-17.682119205298008</v>
      </c>
      <c r="V412" s="151">
        <f>INPUT!BS376</f>
        <v>109.9</v>
      </c>
      <c r="W412" s="687">
        <f>INPUT!BT376</f>
        <v>-26.782145236508992</v>
      </c>
      <c r="X412" s="151">
        <f>INPUT!BU376</f>
        <v>83.2</v>
      </c>
      <c r="Y412" s="687">
        <f>INPUT!BV376</f>
        <v>-40.143884892086326</v>
      </c>
      <c r="Z412" s="151">
        <f>INPUT!BW376</f>
        <v>81.900000000000006</v>
      </c>
      <c r="AA412" s="687">
        <f>INPUT!BX376</f>
        <v>-31.920199501246881</v>
      </c>
      <c r="AB412" s="151">
        <f>INPUT!BY376</f>
        <v>91.6</v>
      </c>
      <c r="AC412" s="687">
        <f>INPUT!BZ376</f>
        <v>-26.307320997586491</v>
      </c>
      <c r="AD412" s="151"/>
      <c r="AE412" s="687"/>
      <c r="AF412" s="151"/>
      <c r="AG412" s="687"/>
      <c r="AH412" s="151"/>
      <c r="AI412" s="687"/>
      <c r="AJ412" s="151"/>
      <c r="AK412" s="687"/>
      <c r="AL412" s="151"/>
      <c r="AM412" s="687"/>
      <c r="AN412" s="151"/>
      <c r="AO412" s="687"/>
      <c r="AP412" s="151"/>
      <c r="AQ412" s="687"/>
      <c r="AR412" s="151"/>
      <c r="AS412" s="687"/>
      <c r="AT412" s="151"/>
      <c r="AU412" s="687"/>
      <c r="AV412" s="151"/>
      <c r="AW412" s="687"/>
      <c r="AX412" s="151"/>
      <c r="AY412" s="687"/>
      <c r="AZ412" s="151"/>
      <c r="BA412" s="687"/>
      <c r="BB412" s="151"/>
      <c r="BC412" s="687"/>
      <c r="BD412" s="151"/>
      <c r="BE412" s="687"/>
      <c r="BF412" s="151"/>
      <c r="BG412" s="687"/>
      <c r="BH412" s="151"/>
      <c r="BI412" s="687"/>
      <c r="BJ412" s="151"/>
      <c r="BK412" s="687"/>
      <c r="BL412" s="151"/>
      <c r="BM412" s="687"/>
      <c r="BN412" s="151"/>
      <c r="BO412" s="687"/>
      <c r="BP412" s="151"/>
      <c r="BQ412" s="687"/>
      <c r="BR412" s="151"/>
      <c r="BS412" s="687"/>
      <c r="BT412" s="151"/>
      <c r="BU412" s="687"/>
      <c r="BV412" s="151"/>
      <c r="BW412" s="687"/>
      <c r="BX412" s="151"/>
      <c r="BY412" s="687"/>
      <c r="BZ412" s="151"/>
      <c r="CA412" s="687"/>
      <c r="CB412" s="151"/>
      <c r="CC412" s="687"/>
      <c r="CD412" s="151"/>
      <c r="CE412" s="687"/>
      <c r="CF412" s="151"/>
      <c r="CG412" s="687"/>
      <c r="CH412" s="151"/>
      <c r="CI412" s="687"/>
      <c r="CJ412" s="151"/>
      <c r="CK412" s="687"/>
      <c r="CL412" s="151"/>
      <c r="CM412" s="687"/>
      <c r="CN412" s="151"/>
      <c r="CO412" s="687"/>
      <c r="CP412" s="151"/>
      <c r="CQ412" s="687"/>
      <c r="CR412" s="151"/>
      <c r="CS412" s="687"/>
      <c r="CT412" s="151"/>
      <c r="CU412" s="687"/>
      <c r="CV412" s="151"/>
      <c r="CW412" s="687"/>
      <c r="CX412" s="151"/>
      <c r="CY412" s="687"/>
      <c r="CZ412" s="151"/>
      <c r="DA412" s="687"/>
      <c r="DB412" s="16"/>
      <c r="DC412" s="151">
        <f>INPUT!FP376</f>
        <v>475.70000000000005</v>
      </c>
      <c r="DD412" s="687" t="str">
        <f>INPUT!FQ376</f>
        <v>NA</v>
      </c>
      <c r="DE412" s="151">
        <f>INPUT!FR376</f>
        <v>563.6</v>
      </c>
      <c r="DF412" s="687">
        <f>INPUT!FS376</f>
        <v>18.478032373344533</v>
      </c>
      <c r="DG412" s="151">
        <f>INPUT!FT376</f>
        <v>590.20000000000005</v>
      </c>
      <c r="DH412" s="687">
        <f>INPUT!FU376</f>
        <v>4.7196593328601821</v>
      </c>
      <c r="DI412" s="151">
        <f>INPUT!FV376</f>
        <v>437.70000000000005</v>
      </c>
      <c r="DJ412" s="687">
        <f>INPUT!FW376</f>
        <v>-25.838698746187728</v>
      </c>
      <c r="DK412" s="151">
        <f>INPUT!FX376</f>
        <v>173.5</v>
      </c>
      <c r="DL412" s="687" t="str">
        <f>INPUT!FY376</f>
        <v>NM</v>
      </c>
      <c r="DM412" s="151"/>
      <c r="DN412" s="687"/>
      <c r="DO412" s="151"/>
      <c r="DP412" s="687"/>
      <c r="DQ412" s="151"/>
      <c r="DR412" s="687"/>
      <c r="DS412" s="151"/>
      <c r="DT412" s="687"/>
      <c r="DU412" s="151"/>
      <c r="DV412" s="687"/>
      <c r="DW412" s="151"/>
      <c r="DX412" s="687"/>
      <c r="DY412" s="151"/>
      <c r="DZ412" s="687"/>
      <c r="EA412" s="151"/>
      <c r="EB412" s="687"/>
      <c r="EC412" s="151"/>
      <c r="ED412" s="687"/>
      <c r="EE412" s="151"/>
      <c r="EF412" s="687"/>
      <c r="EG412" s="151"/>
      <c r="EH412" s="687"/>
      <c r="EI412" s="151"/>
      <c r="EJ412" s="687"/>
      <c r="EK412" s="151"/>
      <c r="EL412" s="687"/>
      <c r="EM412" s="687"/>
    </row>
    <row r="413" spans="1:143" ht="12.75" hidden="1" customHeight="1" outlineLevel="2" x14ac:dyDescent="0.2">
      <c r="A413" s="689"/>
      <c r="B413" s="16"/>
      <c r="C413" s="687"/>
      <c r="D413" s="16"/>
      <c r="E413" s="687"/>
      <c r="F413" s="16"/>
      <c r="G413" s="687"/>
      <c r="H413" s="16"/>
      <c r="I413" s="687"/>
      <c r="J413" s="16"/>
      <c r="K413" s="687"/>
      <c r="L413" s="16"/>
      <c r="M413" s="687"/>
      <c r="N413" s="16"/>
      <c r="O413" s="687"/>
      <c r="P413" s="16"/>
      <c r="Q413" s="687"/>
      <c r="R413" s="16"/>
      <c r="S413" s="687"/>
      <c r="T413" s="16"/>
      <c r="U413" s="687"/>
      <c r="V413" s="16"/>
      <c r="W413" s="687"/>
      <c r="X413" s="16"/>
      <c r="Y413" s="687"/>
      <c r="Z413" s="16"/>
      <c r="AA413" s="687"/>
      <c r="AB413" s="16"/>
      <c r="AC413" s="687"/>
      <c r="AD413" s="16"/>
      <c r="AE413" s="687"/>
      <c r="AF413" s="16"/>
      <c r="AG413" s="687"/>
      <c r="AH413" s="16"/>
      <c r="AI413" s="687"/>
      <c r="AJ413" s="16"/>
      <c r="AK413" s="687"/>
      <c r="AL413" s="16"/>
      <c r="AM413" s="687"/>
      <c r="AN413" s="16"/>
      <c r="AO413" s="687"/>
      <c r="AP413" s="16"/>
      <c r="AQ413" s="687"/>
      <c r="AR413" s="16"/>
      <c r="AS413" s="687"/>
      <c r="AT413" s="16"/>
      <c r="AU413" s="687"/>
      <c r="AV413" s="16"/>
      <c r="AW413" s="687"/>
      <c r="AX413" s="16"/>
      <c r="AY413" s="687"/>
      <c r="AZ413" s="16"/>
      <c r="BA413" s="687"/>
      <c r="BB413" s="16"/>
      <c r="BC413" s="687"/>
      <c r="BD413" s="16"/>
      <c r="BE413" s="687"/>
      <c r="BF413" s="16"/>
      <c r="BG413" s="687"/>
      <c r="BH413" s="16"/>
      <c r="BI413" s="687"/>
      <c r="BJ413" s="16"/>
      <c r="BK413" s="687"/>
      <c r="BL413" s="16"/>
      <c r="BM413" s="687"/>
      <c r="BN413" s="16"/>
      <c r="BO413" s="687"/>
      <c r="BP413" s="16"/>
      <c r="BQ413" s="687"/>
      <c r="BR413" s="16"/>
      <c r="BS413" s="687"/>
      <c r="BT413" s="16"/>
      <c r="BU413" s="687"/>
      <c r="BV413" s="16"/>
      <c r="BW413" s="687"/>
      <c r="BX413" s="16"/>
      <c r="BY413" s="687"/>
      <c r="BZ413" s="16"/>
      <c r="CA413" s="687"/>
      <c r="CB413" s="16"/>
      <c r="CC413" s="687"/>
      <c r="CD413" s="16"/>
      <c r="CE413" s="687"/>
      <c r="CF413" s="16"/>
      <c r="CG413" s="687"/>
      <c r="CH413" s="16"/>
      <c r="CI413" s="687"/>
      <c r="CJ413" s="16"/>
      <c r="CK413" s="687"/>
      <c r="CL413" s="16"/>
      <c r="CM413" s="687"/>
      <c r="CN413" s="16"/>
      <c r="CO413" s="687"/>
      <c r="CP413" s="16"/>
      <c r="CQ413" s="687"/>
      <c r="CR413" s="16"/>
      <c r="CS413" s="687"/>
      <c r="CT413" s="16"/>
      <c r="CU413" s="687"/>
      <c r="CV413" s="16"/>
      <c r="CW413" s="687"/>
      <c r="CX413" s="16"/>
      <c r="CY413" s="687"/>
      <c r="CZ413" s="16"/>
      <c r="DA413" s="687"/>
      <c r="DB413" s="16"/>
      <c r="DC413" s="16"/>
      <c r="DD413" s="687"/>
      <c r="DE413" s="16"/>
      <c r="DF413" s="687"/>
      <c r="DG413" s="16"/>
      <c r="DH413" s="687"/>
      <c r="DI413" s="16"/>
      <c r="DJ413" s="687"/>
      <c r="DK413" s="16"/>
      <c r="DL413" s="687"/>
      <c r="DM413" s="16"/>
      <c r="DN413" s="687"/>
      <c r="DO413" s="16"/>
      <c r="DP413" s="687"/>
      <c r="DQ413" s="16"/>
      <c r="DR413" s="687"/>
      <c r="DS413" s="16"/>
      <c r="DT413" s="687"/>
      <c r="DU413" s="16"/>
      <c r="DV413" s="687"/>
      <c r="DW413" s="16"/>
      <c r="DX413" s="687"/>
      <c r="DY413" s="16"/>
      <c r="DZ413" s="687"/>
      <c r="EA413" s="16"/>
      <c r="EB413" s="687"/>
      <c r="EC413" s="16"/>
      <c r="ED413" s="687"/>
      <c r="EE413" s="16"/>
      <c r="EF413" s="687"/>
      <c r="EG413" s="16"/>
      <c r="EH413" s="687"/>
      <c r="EI413" s="16"/>
      <c r="EJ413" s="687"/>
      <c r="EK413" s="16"/>
      <c r="EL413" s="687"/>
      <c r="EM413" s="687"/>
    </row>
    <row r="414" spans="1:143" ht="12.75" hidden="1" customHeight="1" outlineLevel="2" x14ac:dyDescent="0.2">
      <c r="A414" s="700" t="s">
        <v>113</v>
      </c>
      <c r="B414" s="16"/>
      <c r="C414" s="687"/>
      <c r="D414" s="16"/>
      <c r="E414" s="687"/>
      <c r="F414" s="16"/>
      <c r="G414" s="687"/>
      <c r="H414" s="16"/>
      <c r="I414" s="687"/>
      <c r="J414" s="16"/>
      <c r="K414" s="687"/>
      <c r="L414" s="16"/>
      <c r="M414" s="687"/>
      <c r="N414" s="16"/>
      <c r="O414" s="687"/>
      <c r="P414" s="16"/>
      <c r="Q414" s="687"/>
      <c r="R414" s="16"/>
      <c r="S414" s="687"/>
      <c r="T414" s="16"/>
      <c r="U414" s="687"/>
      <c r="V414" s="16"/>
      <c r="W414" s="687"/>
      <c r="X414" s="16"/>
      <c r="Y414" s="687"/>
      <c r="Z414" s="16"/>
      <c r="AA414" s="687"/>
      <c r="AB414" s="16"/>
      <c r="AC414" s="687"/>
      <c r="AD414" s="16"/>
      <c r="AE414" s="687"/>
      <c r="AF414" s="16"/>
      <c r="AG414" s="687"/>
      <c r="AH414" s="16"/>
      <c r="AI414" s="687"/>
      <c r="AJ414" s="16"/>
      <c r="AK414" s="687"/>
      <c r="AL414" s="16"/>
      <c r="AM414" s="687"/>
      <c r="AN414" s="16"/>
      <c r="AO414" s="687"/>
      <c r="AP414" s="16"/>
      <c r="AQ414" s="687"/>
      <c r="AR414" s="16"/>
      <c r="AS414" s="687"/>
      <c r="AT414" s="16"/>
      <c r="AU414" s="687"/>
      <c r="AV414" s="16"/>
      <c r="AW414" s="687"/>
      <c r="AX414" s="16"/>
      <c r="AY414" s="687"/>
      <c r="AZ414" s="16"/>
      <c r="BA414" s="687"/>
      <c r="BB414" s="16"/>
      <c r="BC414" s="687"/>
      <c r="BD414" s="16"/>
      <c r="BE414" s="687"/>
      <c r="BF414" s="16"/>
      <c r="BG414" s="687"/>
      <c r="BH414" s="16"/>
      <c r="BI414" s="687"/>
      <c r="BJ414" s="16"/>
      <c r="BK414" s="687"/>
      <c r="BL414" s="16"/>
      <c r="BM414" s="687"/>
      <c r="BN414" s="16"/>
      <c r="BO414" s="687"/>
      <c r="BP414" s="16"/>
      <c r="BQ414" s="687"/>
      <c r="BR414" s="16"/>
      <c r="BS414" s="687"/>
      <c r="BT414" s="16"/>
      <c r="BU414" s="687"/>
      <c r="BV414" s="16"/>
      <c r="BW414" s="687"/>
      <c r="BX414" s="16"/>
      <c r="BY414" s="687"/>
      <c r="BZ414" s="16"/>
      <c r="CA414" s="687"/>
      <c r="CB414" s="16"/>
      <c r="CC414" s="687"/>
      <c r="CD414" s="16"/>
      <c r="CE414" s="687"/>
      <c r="CF414" s="16"/>
      <c r="CG414" s="687"/>
      <c r="CH414" s="16"/>
      <c r="CI414" s="687"/>
      <c r="CJ414" s="16"/>
      <c r="CK414" s="687"/>
      <c r="CL414" s="16"/>
      <c r="CM414" s="687"/>
      <c r="CN414" s="16"/>
      <c r="CO414" s="687"/>
      <c r="CP414" s="16"/>
      <c r="CQ414" s="687"/>
      <c r="CR414" s="16"/>
      <c r="CS414" s="687"/>
      <c r="CT414" s="16"/>
      <c r="CU414" s="687"/>
      <c r="CV414" s="16"/>
      <c r="CW414" s="687"/>
      <c r="CX414" s="16"/>
      <c r="CY414" s="687"/>
      <c r="CZ414" s="16"/>
      <c r="DA414" s="687"/>
      <c r="DB414" s="16"/>
      <c r="DC414" s="16"/>
      <c r="DD414" s="687"/>
      <c r="DE414" s="16"/>
      <c r="DF414" s="687"/>
      <c r="DG414" s="16"/>
      <c r="DH414" s="687"/>
      <c r="DI414" s="16"/>
      <c r="DJ414" s="687"/>
      <c r="DK414" s="16"/>
      <c r="DL414" s="687"/>
      <c r="DM414" s="16"/>
      <c r="DN414" s="687"/>
      <c r="DO414" s="16"/>
      <c r="DP414" s="687"/>
      <c r="DQ414" s="16"/>
      <c r="DR414" s="687"/>
      <c r="DS414" s="16"/>
      <c r="DT414" s="687"/>
      <c r="DU414" s="16"/>
      <c r="DV414" s="687"/>
      <c r="DW414" s="16"/>
      <c r="DX414" s="687"/>
      <c r="DY414" s="16"/>
      <c r="DZ414" s="687"/>
      <c r="EA414" s="16"/>
      <c r="EB414" s="687"/>
      <c r="EC414" s="16"/>
      <c r="ED414" s="687"/>
      <c r="EE414" s="16"/>
      <c r="EF414" s="687"/>
      <c r="EG414" s="16"/>
      <c r="EH414" s="687"/>
      <c r="EI414" s="16"/>
      <c r="EJ414" s="687"/>
      <c r="EK414" s="16"/>
      <c r="EL414" s="687"/>
      <c r="EM414" s="687"/>
    </row>
    <row r="415" spans="1:143" ht="12.75" hidden="1" customHeight="1" outlineLevel="2" x14ac:dyDescent="0.2">
      <c r="A415" s="701" t="str">
        <f>INPUT!B385</f>
        <v>Total Operating Expenses</v>
      </c>
      <c r="B415" s="151">
        <f>INPUT!AY385</f>
        <v>116.1</v>
      </c>
      <c r="C415" s="687">
        <f>INPUT!AZ385</f>
        <v>12.718446601941746</v>
      </c>
      <c r="D415" s="151">
        <f>INPUT!BA385</f>
        <v>116.4</v>
      </c>
      <c r="E415" s="687">
        <f>INPUT!BB385</f>
        <v>-0.17152658662091813</v>
      </c>
      <c r="F415" s="151">
        <f>INPUT!BC385</f>
        <v>120.3</v>
      </c>
      <c r="G415" s="687">
        <f>INPUT!BD385</f>
        <v>4.6086956521738998</v>
      </c>
      <c r="H415" s="151">
        <f>INPUT!BE385</f>
        <v>126.2</v>
      </c>
      <c r="I415" s="687">
        <f>INPUT!BF385</f>
        <v>10.314685314685313</v>
      </c>
      <c r="J415" s="151">
        <f>INPUT!BG385</f>
        <v>124.6</v>
      </c>
      <c r="K415" s="687">
        <f>INPUT!BH385</f>
        <v>7.3212747631352215</v>
      </c>
      <c r="L415" s="151">
        <f>INPUT!BI385</f>
        <v>133.1</v>
      </c>
      <c r="M415" s="687">
        <f>INPUT!BJ385</f>
        <v>14.347079037800681</v>
      </c>
      <c r="N415" s="151">
        <f>INPUT!BK385</f>
        <v>116</v>
      </c>
      <c r="O415" s="687">
        <f>INPUT!BL385</f>
        <v>-3.5743973399833706</v>
      </c>
      <c r="P415" s="151">
        <f>INPUT!BM385</f>
        <v>96.8</v>
      </c>
      <c r="Q415" s="687">
        <f>INPUT!BN385</f>
        <v>-23.296354992076076</v>
      </c>
      <c r="R415" s="151">
        <f>INPUT!BO385</f>
        <v>101</v>
      </c>
      <c r="S415" s="687">
        <f>INPUT!BP385</f>
        <v>-18.9406099518459</v>
      </c>
      <c r="T415" s="151">
        <f>INPUT!BQ385</f>
        <v>100.8</v>
      </c>
      <c r="U415" s="687">
        <f>INPUT!BR385</f>
        <v>-24.267468069120955</v>
      </c>
      <c r="V415" s="151">
        <f>INPUT!BS385</f>
        <v>101.8</v>
      </c>
      <c r="W415" s="687">
        <f>INPUT!BT385</f>
        <v>-12.241379310344836</v>
      </c>
      <c r="X415" s="151">
        <f>INPUT!BU385</f>
        <v>89.5</v>
      </c>
      <c r="Y415" s="687">
        <f>INPUT!BV385</f>
        <v>-7.5413223140495811</v>
      </c>
      <c r="Z415" s="151">
        <f>INPUT!BW385</f>
        <v>78.400000000000006</v>
      </c>
      <c r="AA415" s="687">
        <f>INPUT!BX385</f>
        <v>-22.376237623762375</v>
      </c>
      <c r="AB415" s="151">
        <f>INPUT!BY385</f>
        <v>81.7</v>
      </c>
      <c r="AC415" s="687">
        <f>INPUT!BZ385</f>
        <v>-18.948412698412696</v>
      </c>
      <c r="AD415" s="151"/>
      <c r="AE415" s="687"/>
      <c r="AF415" s="151"/>
      <c r="AG415" s="687"/>
      <c r="AH415" s="151"/>
      <c r="AI415" s="687"/>
      <c r="AJ415" s="151"/>
      <c r="AK415" s="687"/>
      <c r="AL415" s="151"/>
      <c r="AM415" s="687"/>
      <c r="AN415" s="151"/>
      <c r="AO415" s="687"/>
      <c r="AP415" s="151"/>
      <c r="AQ415" s="687"/>
      <c r="AR415" s="151"/>
      <c r="AS415" s="687"/>
      <c r="AT415" s="151"/>
      <c r="AU415" s="687"/>
      <c r="AV415" s="151"/>
      <c r="AW415" s="687"/>
      <c r="AX415" s="151"/>
      <c r="AY415" s="687"/>
      <c r="AZ415" s="151"/>
      <c r="BA415" s="687"/>
      <c r="BB415" s="151"/>
      <c r="BC415" s="687"/>
      <c r="BD415" s="151"/>
      <c r="BE415" s="687"/>
      <c r="BF415" s="151"/>
      <c r="BG415" s="687"/>
      <c r="BH415" s="151"/>
      <c r="BI415" s="687"/>
      <c r="BJ415" s="151"/>
      <c r="BK415" s="687"/>
      <c r="BL415" s="151"/>
      <c r="BM415" s="687"/>
      <c r="BN415" s="151"/>
      <c r="BO415" s="687"/>
      <c r="BP415" s="151"/>
      <c r="BQ415" s="687"/>
      <c r="BR415" s="151"/>
      <c r="BS415" s="687"/>
      <c r="BT415" s="151"/>
      <c r="BU415" s="687"/>
      <c r="BV415" s="151"/>
      <c r="BW415" s="687"/>
      <c r="BX415" s="151"/>
      <c r="BY415" s="687"/>
      <c r="BZ415" s="151"/>
      <c r="CA415" s="687"/>
      <c r="CB415" s="151"/>
      <c r="CC415" s="687"/>
      <c r="CD415" s="151"/>
      <c r="CE415" s="687"/>
      <c r="CF415" s="151"/>
      <c r="CG415" s="687"/>
      <c r="CH415" s="151"/>
      <c r="CI415" s="687"/>
      <c r="CJ415" s="151"/>
      <c r="CK415" s="687"/>
      <c r="CL415" s="151"/>
      <c r="CM415" s="687"/>
      <c r="CN415" s="151"/>
      <c r="CO415" s="687"/>
      <c r="CP415" s="151"/>
      <c r="CQ415" s="687"/>
      <c r="CR415" s="151"/>
      <c r="CS415" s="687"/>
      <c r="CT415" s="151"/>
      <c r="CU415" s="687"/>
      <c r="CV415" s="151"/>
      <c r="CW415" s="687"/>
      <c r="CX415" s="151"/>
      <c r="CY415" s="687"/>
      <c r="CZ415" s="151"/>
      <c r="DA415" s="687"/>
      <c r="DB415" s="16"/>
      <c r="DC415" s="151">
        <f>INPUT!FP385</f>
        <v>449</v>
      </c>
      <c r="DD415" s="687" t="str">
        <f>INPUT!FQ385</f>
        <v>NA</v>
      </c>
      <c r="DE415" s="151">
        <f>INPUT!FR385</f>
        <v>479</v>
      </c>
      <c r="DF415" s="687">
        <f>INPUT!FS385</f>
        <v>6.6815144766146917</v>
      </c>
      <c r="DG415" s="151">
        <f>INPUT!FT385</f>
        <v>470.5</v>
      </c>
      <c r="DH415" s="687">
        <f>INPUT!FU385</f>
        <v>-1.7745302713987443</v>
      </c>
      <c r="DI415" s="151">
        <f>INPUT!FV385</f>
        <v>393.1</v>
      </c>
      <c r="DJ415" s="687">
        <f>INPUT!FW385</f>
        <v>-16.450584484590859</v>
      </c>
      <c r="DK415" s="151">
        <f>INPUT!FX385</f>
        <v>160.10000000000002</v>
      </c>
      <c r="DL415" s="687" t="str">
        <f>INPUT!FY385</f>
        <v>NM</v>
      </c>
      <c r="DM415" s="151"/>
      <c r="DN415" s="687"/>
      <c r="DO415" s="151"/>
      <c r="DP415" s="687"/>
      <c r="DQ415" s="151"/>
      <c r="DR415" s="687"/>
      <c r="DS415" s="151"/>
      <c r="DT415" s="687"/>
      <c r="DU415" s="151"/>
      <c r="DV415" s="687"/>
      <c r="DW415" s="151"/>
      <c r="DX415" s="687"/>
      <c r="DY415" s="151"/>
      <c r="DZ415" s="687"/>
      <c r="EA415" s="151"/>
      <c r="EB415" s="687"/>
      <c r="EC415" s="151"/>
      <c r="ED415" s="687"/>
      <c r="EE415" s="151"/>
      <c r="EF415" s="687"/>
      <c r="EG415" s="151"/>
      <c r="EH415" s="687"/>
      <c r="EI415" s="151"/>
      <c r="EJ415" s="687"/>
      <c r="EK415" s="151"/>
      <c r="EL415" s="687"/>
      <c r="EM415" s="687"/>
    </row>
    <row r="416" spans="1:143" ht="12.75" hidden="1" customHeight="1" outlineLevel="2" x14ac:dyDescent="0.2">
      <c r="A416" s="701"/>
      <c r="B416" s="16"/>
      <c r="C416" s="687"/>
      <c r="D416" s="16"/>
      <c r="E416" s="687"/>
      <c r="F416" s="16"/>
      <c r="G416" s="687"/>
      <c r="H416" s="16"/>
      <c r="I416" s="687"/>
      <c r="J416" s="16"/>
      <c r="K416" s="687"/>
      <c r="L416" s="16"/>
      <c r="M416" s="687"/>
      <c r="N416" s="16"/>
      <c r="O416" s="687"/>
      <c r="P416" s="16"/>
      <c r="Q416" s="687"/>
      <c r="R416" s="16"/>
      <c r="S416" s="687"/>
      <c r="T416" s="16"/>
      <c r="U416" s="687"/>
      <c r="V416" s="16"/>
      <c r="W416" s="687"/>
      <c r="X416" s="16"/>
      <c r="Y416" s="687"/>
      <c r="Z416" s="16"/>
      <c r="AA416" s="687"/>
      <c r="AB416" s="16"/>
      <c r="AC416" s="687"/>
      <c r="AD416" s="16"/>
      <c r="AE416" s="687"/>
      <c r="AF416" s="16"/>
      <c r="AG416" s="687"/>
      <c r="AH416" s="16"/>
      <c r="AI416" s="687"/>
      <c r="AJ416" s="16"/>
      <c r="AK416" s="687"/>
      <c r="AL416" s="16"/>
      <c r="AM416" s="687"/>
      <c r="AN416" s="16"/>
      <c r="AO416" s="687"/>
      <c r="AP416" s="16"/>
      <c r="AQ416" s="687"/>
      <c r="AR416" s="16"/>
      <c r="AS416" s="687"/>
      <c r="AT416" s="16"/>
      <c r="AU416" s="687"/>
      <c r="AV416" s="16"/>
      <c r="AW416" s="687"/>
      <c r="AX416" s="16"/>
      <c r="AY416" s="687"/>
      <c r="AZ416" s="16"/>
      <c r="BA416" s="687"/>
      <c r="BB416" s="16"/>
      <c r="BC416" s="687"/>
      <c r="BD416" s="16"/>
      <c r="BE416" s="687"/>
      <c r="BF416" s="16"/>
      <c r="BG416" s="687"/>
      <c r="BH416" s="16"/>
      <c r="BI416" s="687"/>
      <c r="BJ416" s="16"/>
      <c r="BK416" s="687"/>
      <c r="BL416" s="16"/>
      <c r="BM416" s="687"/>
      <c r="BN416" s="16"/>
      <c r="BO416" s="687"/>
      <c r="BP416" s="16"/>
      <c r="BQ416" s="687"/>
      <c r="BR416" s="16"/>
      <c r="BS416" s="687"/>
      <c r="BT416" s="16"/>
      <c r="BU416" s="687"/>
      <c r="BV416" s="16"/>
      <c r="BW416" s="687"/>
      <c r="BX416" s="16"/>
      <c r="BY416" s="687"/>
      <c r="BZ416" s="16"/>
      <c r="CA416" s="687"/>
      <c r="CB416" s="16"/>
      <c r="CC416" s="687"/>
      <c r="CD416" s="16"/>
      <c r="CE416" s="687"/>
      <c r="CF416" s="16"/>
      <c r="CG416" s="687"/>
      <c r="CH416" s="16"/>
      <c r="CI416" s="687"/>
      <c r="CJ416" s="16"/>
      <c r="CK416" s="687"/>
      <c r="CL416" s="16"/>
      <c r="CM416" s="687"/>
      <c r="CN416" s="16"/>
      <c r="CO416" s="687"/>
      <c r="CP416" s="16"/>
      <c r="CQ416" s="687"/>
      <c r="CR416" s="16"/>
      <c r="CS416" s="687"/>
      <c r="CT416" s="16"/>
      <c r="CU416" s="687"/>
      <c r="CV416" s="16"/>
      <c r="CW416" s="687"/>
      <c r="CX416" s="16"/>
      <c r="CY416" s="687"/>
      <c r="CZ416" s="16"/>
      <c r="DA416" s="687"/>
      <c r="DB416" s="16"/>
      <c r="DC416" s="16"/>
      <c r="DD416" s="687"/>
      <c r="DE416" s="16"/>
      <c r="DF416" s="687"/>
      <c r="DG416" s="16"/>
      <c r="DH416" s="687"/>
      <c r="DI416" s="16"/>
      <c r="DJ416" s="687"/>
      <c r="DK416" s="16"/>
      <c r="DL416" s="687"/>
      <c r="DM416" s="16"/>
      <c r="DN416" s="687"/>
      <c r="DO416" s="16"/>
      <c r="DP416" s="687"/>
      <c r="DQ416" s="16"/>
      <c r="DR416" s="687"/>
      <c r="DS416" s="16"/>
      <c r="DT416" s="687"/>
      <c r="DU416" s="16"/>
      <c r="DV416" s="687"/>
      <c r="DW416" s="16"/>
      <c r="DX416" s="687"/>
      <c r="DY416" s="16"/>
      <c r="DZ416" s="687"/>
      <c r="EA416" s="16"/>
      <c r="EB416" s="687"/>
      <c r="EC416" s="16"/>
      <c r="ED416" s="687"/>
      <c r="EE416" s="16"/>
      <c r="EF416" s="687"/>
      <c r="EG416" s="16"/>
      <c r="EH416" s="687"/>
      <c r="EI416" s="16"/>
      <c r="EJ416" s="687"/>
      <c r="EK416" s="16"/>
      <c r="EL416" s="687"/>
      <c r="EM416" s="687"/>
    </row>
    <row r="417" spans="1:143" ht="12.75" hidden="1" customHeight="1" outlineLevel="2" x14ac:dyDescent="0.2">
      <c r="A417" s="701" t="str">
        <f>INPUT!B391</f>
        <v>Pretax Earnings</v>
      </c>
      <c r="B417" s="151">
        <f>INPUT!AY391</f>
        <v>23.500000000000028</v>
      </c>
      <c r="C417" s="687" t="str">
        <f>INPUT!AZ391</f>
        <v>NM</v>
      </c>
      <c r="D417" s="151">
        <f>INPUT!BA391</f>
        <v>18.299999999999983</v>
      </c>
      <c r="E417" s="687" t="str">
        <f>INPUT!BB391</f>
        <v>NM</v>
      </c>
      <c r="F417" s="151">
        <f>INPUT!BC391</f>
        <v>20.100000000000009</v>
      </c>
      <c r="G417" s="687" t="str">
        <f>INPUT!BD391</f>
        <v>NM</v>
      </c>
      <c r="H417" s="151">
        <f>INPUT!BE391</f>
        <v>22.700000000000003</v>
      </c>
      <c r="I417" s="687">
        <f>INPUT!BF391</f>
        <v>66.911764705882447</v>
      </c>
      <c r="J417" s="151">
        <f>INPUT!BG391</f>
        <v>25.500000000000028</v>
      </c>
      <c r="K417" s="687">
        <f>INPUT!BH391</f>
        <v>8.5106382978723296</v>
      </c>
      <c r="L417" s="151">
        <f>INPUT!BI391</f>
        <v>17.900000000000006</v>
      </c>
      <c r="M417" s="687">
        <f>INPUT!BJ391</f>
        <v>-2.1857923497266563</v>
      </c>
      <c r="N417" s="151">
        <f>INPUT!BK391</f>
        <v>34.099999999999994</v>
      </c>
      <c r="O417" s="687">
        <f>INPUT!BL391</f>
        <v>69.65174129353224</v>
      </c>
      <c r="P417" s="151">
        <f>INPUT!BM391</f>
        <v>42.2</v>
      </c>
      <c r="Q417" s="687">
        <f>INPUT!BN391</f>
        <v>85.903083700440504</v>
      </c>
      <c r="R417" s="151">
        <f>INPUT!BO391</f>
        <v>19.300000000000011</v>
      </c>
      <c r="S417" s="687">
        <f>INPUT!BP391</f>
        <v>-24.313725490196113</v>
      </c>
      <c r="T417" s="151">
        <f>INPUT!BQ391</f>
        <v>23.500000000000014</v>
      </c>
      <c r="U417" s="687">
        <f>INPUT!BR391</f>
        <v>31.284916201117351</v>
      </c>
      <c r="V417" s="151">
        <f>INPUT!BS391</f>
        <v>8.1000000000000085</v>
      </c>
      <c r="W417" s="687" t="str">
        <f>INPUT!BT391</f>
        <v>NM</v>
      </c>
      <c r="X417" s="151">
        <f>INPUT!BU391</f>
        <v>-6.2999999999999972</v>
      </c>
      <c r="Y417" s="687" t="str">
        <f>INPUT!BV391</f>
        <v>NM</v>
      </c>
      <c r="Z417" s="151">
        <f>INPUT!BW391</f>
        <v>3.5</v>
      </c>
      <c r="AA417" s="687" t="str">
        <f>INPUT!BX391</f>
        <v>NM</v>
      </c>
      <c r="AB417" s="151">
        <f>INPUT!BY391</f>
        <v>9.8999999999999915</v>
      </c>
      <c r="AC417" s="687" t="str">
        <f>INPUT!BZ391</f>
        <v>NM</v>
      </c>
      <c r="AD417" s="151"/>
      <c r="AE417" s="687"/>
      <c r="AF417" s="151"/>
      <c r="AG417" s="687"/>
      <c r="AH417" s="151"/>
      <c r="AI417" s="687"/>
      <c r="AJ417" s="151"/>
      <c r="AK417" s="687"/>
      <c r="AL417" s="151"/>
      <c r="AM417" s="687"/>
      <c r="AN417" s="151"/>
      <c r="AO417" s="687"/>
      <c r="AP417" s="151"/>
      <c r="AQ417" s="687"/>
      <c r="AR417" s="151"/>
      <c r="AS417" s="687"/>
      <c r="AT417" s="151"/>
      <c r="AU417" s="687"/>
      <c r="AV417" s="151"/>
      <c r="AW417" s="687"/>
      <c r="AX417" s="151"/>
      <c r="AY417" s="687"/>
      <c r="AZ417" s="151"/>
      <c r="BA417" s="687"/>
      <c r="BB417" s="151"/>
      <c r="BC417" s="687"/>
      <c r="BD417" s="151"/>
      <c r="BE417" s="687"/>
      <c r="BF417" s="151"/>
      <c r="BG417" s="687"/>
      <c r="BH417" s="151"/>
      <c r="BI417" s="687"/>
      <c r="BJ417" s="151"/>
      <c r="BK417" s="687"/>
      <c r="BL417" s="151"/>
      <c r="BM417" s="687"/>
      <c r="BN417" s="151"/>
      <c r="BO417" s="687"/>
      <c r="BP417" s="151"/>
      <c r="BQ417" s="687"/>
      <c r="BR417" s="151"/>
      <c r="BS417" s="687"/>
      <c r="BT417" s="151"/>
      <c r="BU417" s="687"/>
      <c r="BV417" s="151"/>
      <c r="BW417" s="687"/>
      <c r="BX417" s="151"/>
      <c r="BY417" s="687"/>
      <c r="BZ417" s="151"/>
      <c r="CA417" s="687"/>
      <c r="CB417" s="151"/>
      <c r="CC417" s="687"/>
      <c r="CD417" s="151"/>
      <c r="CE417" s="687"/>
      <c r="CF417" s="151"/>
      <c r="CG417" s="687"/>
      <c r="CH417" s="151"/>
      <c r="CI417" s="687"/>
      <c r="CJ417" s="151"/>
      <c r="CK417" s="687"/>
      <c r="CL417" s="151"/>
      <c r="CM417" s="687"/>
      <c r="CN417" s="151"/>
      <c r="CO417" s="687"/>
      <c r="CP417" s="151"/>
      <c r="CQ417" s="687"/>
      <c r="CR417" s="151"/>
      <c r="CS417" s="687"/>
      <c r="CT417" s="151"/>
      <c r="CU417" s="687"/>
      <c r="CV417" s="151"/>
      <c r="CW417" s="687"/>
      <c r="CX417" s="151"/>
      <c r="CY417" s="687"/>
      <c r="CZ417" s="151"/>
      <c r="DA417" s="687"/>
      <c r="DB417" s="16"/>
      <c r="DC417" s="151">
        <f>INPUT!FP391</f>
        <v>26.700000000000017</v>
      </c>
      <c r="DD417" s="687" t="str">
        <f>INPUT!FQ391</f>
        <v>NA</v>
      </c>
      <c r="DE417" s="151">
        <f>INPUT!FR391</f>
        <v>84.600000000000023</v>
      </c>
      <c r="DF417" s="687" t="str">
        <f>INPUT!FS391</f>
        <v>NM</v>
      </c>
      <c r="DG417" s="151">
        <f>INPUT!FT391</f>
        <v>119.70000000000005</v>
      </c>
      <c r="DH417" s="687">
        <f>INPUT!FU391</f>
        <v>41.489361702127667</v>
      </c>
      <c r="DI417" s="151">
        <f>INPUT!FV391</f>
        <v>44.600000000000023</v>
      </c>
      <c r="DJ417" s="687" t="str">
        <f>INPUT!FW391</f>
        <v>NM</v>
      </c>
      <c r="DK417" s="151">
        <f>INPUT!FX391</f>
        <v>13.399999999999977</v>
      </c>
      <c r="DL417" s="687" t="str">
        <f>INPUT!FY391</f>
        <v>NM</v>
      </c>
      <c r="DM417" s="151"/>
      <c r="DN417" s="687"/>
      <c r="DO417" s="151"/>
      <c r="DP417" s="687"/>
      <c r="DQ417" s="151"/>
      <c r="DR417" s="687"/>
      <c r="DS417" s="151"/>
      <c r="DT417" s="687"/>
      <c r="DU417" s="151"/>
      <c r="DV417" s="687"/>
      <c r="DW417" s="151"/>
      <c r="DX417" s="687"/>
      <c r="DY417" s="151"/>
      <c r="DZ417" s="687"/>
      <c r="EA417" s="151"/>
      <c r="EB417" s="687"/>
      <c r="EC417" s="151"/>
      <c r="ED417" s="687"/>
      <c r="EE417" s="151"/>
      <c r="EF417" s="687"/>
      <c r="EG417" s="151"/>
      <c r="EH417" s="687"/>
      <c r="EI417" s="151"/>
      <c r="EJ417" s="687"/>
      <c r="EK417" s="151"/>
      <c r="EL417" s="687"/>
      <c r="EM417" s="687"/>
    </row>
    <row r="418" spans="1:143" ht="12.75" hidden="1" customHeight="1" outlineLevel="2" x14ac:dyDescent="0.2">
      <c r="A418" s="701" t="str">
        <f>INPUT!B392</f>
        <v>Taxes</v>
      </c>
      <c r="B418" s="151">
        <f>INPUT!AY392</f>
        <v>8.1999999999999993</v>
      </c>
      <c r="C418" s="687" t="str">
        <f>INPUT!AZ392</f>
        <v>NM</v>
      </c>
      <c r="D418" s="151">
        <f>INPUT!BA392</f>
        <v>6.3</v>
      </c>
      <c r="E418" s="687" t="str">
        <f>INPUT!BB392</f>
        <v>NM</v>
      </c>
      <c r="F418" s="151">
        <f>INPUT!BC392</f>
        <v>6.7</v>
      </c>
      <c r="G418" s="687">
        <f>INPUT!BD392</f>
        <v>97.058823529411768</v>
      </c>
      <c r="H418" s="151">
        <f>INPUT!BE392</f>
        <v>8.3000000000000007</v>
      </c>
      <c r="I418" s="687">
        <f>INPUT!BF392</f>
        <v>80.43478260869567</v>
      </c>
      <c r="J418" s="151">
        <f>INPUT!BG392</f>
        <v>9.3000000000000007</v>
      </c>
      <c r="K418" s="687">
        <f>INPUT!BH392</f>
        <v>13.414634146341475</v>
      </c>
      <c r="L418" s="151">
        <f>INPUT!BI392</f>
        <v>6.6</v>
      </c>
      <c r="M418" s="687">
        <f>INPUT!BJ392</f>
        <v>4.7619047619047672</v>
      </c>
      <c r="N418" s="151">
        <f>INPUT!BK392</f>
        <v>12.3</v>
      </c>
      <c r="O418" s="687">
        <f>INPUT!BL392</f>
        <v>83.582089552238799</v>
      </c>
      <c r="P418" s="151">
        <f>INPUT!BM392</f>
        <v>15.2</v>
      </c>
      <c r="Q418" s="687">
        <f>INPUT!BN392</f>
        <v>83.132530120481903</v>
      </c>
      <c r="R418" s="151">
        <f>INPUT!BO392</f>
        <v>7.1</v>
      </c>
      <c r="S418" s="687">
        <f>INPUT!BP392</f>
        <v>-23.655913978494635</v>
      </c>
      <c r="T418" s="151">
        <f>INPUT!BQ392</f>
        <v>8.5</v>
      </c>
      <c r="U418" s="687">
        <f>INPUT!BR392</f>
        <v>28.787878787878785</v>
      </c>
      <c r="V418" s="151">
        <f>INPUT!BS392</f>
        <v>2.8</v>
      </c>
      <c r="W418" s="687" t="str">
        <f>INPUT!BT392</f>
        <v>NM</v>
      </c>
      <c r="X418" s="151">
        <f>INPUT!BU392</f>
        <v>-2</v>
      </c>
      <c r="Y418" s="687" t="str">
        <f>INPUT!BV392</f>
        <v>NM</v>
      </c>
      <c r="Z418" s="151">
        <f>INPUT!BW392</f>
        <v>2.1</v>
      </c>
      <c r="AA418" s="687" t="str">
        <f>INPUT!BX392</f>
        <v>NM</v>
      </c>
      <c r="AB418" s="151">
        <f>INPUT!BY392</f>
        <v>4.8</v>
      </c>
      <c r="AC418" s="687">
        <f>INPUT!BZ392</f>
        <v>-43.529411764705884</v>
      </c>
      <c r="AD418" s="151"/>
      <c r="AE418" s="687"/>
      <c r="AF418" s="151"/>
      <c r="AG418" s="687"/>
      <c r="AH418" s="151"/>
      <c r="AI418" s="687"/>
      <c r="AJ418" s="151"/>
      <c r="AK418" s="687"/>
      <c r="AL418" s="151"/>
      <c r="AM418" s="687"/>
      <c r="AN418" s="151"/>
      <c r="AO418" s="687"/>
      <c r="AP418" s="151"/>
      <c r="AQ418" s="687"/>
      <c r="AR418" s="151"/>
      <c r="AS418" s="687"/>
      <c r="AT418" s="151"/>
      <c r="AU418" s="687"/>
      <c r="AV418" s="151"/>
      <c r="AW418" s="687"/>
      <c r="AX418" s="151"/>
      <c r="AY418" s="687"/>
      <c r="AZ418" s="151"/>
      <c r="BA418" s="687"/>
      <c r="BB418" s="151"/>
      <c r="BC418" s="687"/>
      <c r="BD418" s="151"/>
      <c r="BE418" s="687"/>
      <c r="BF418" s="151"/>
      <c r="BG418" s="687"/>
      <c r="BH418" s="151"/>
      <c r="BI418" s="687"/>
      <c r="BJ418" s="151"/>
      <c r="BK418" s="687"/>
      <c r="BL418" s="151"/>
      <c r="BM418" s="687"/>
      <c r="BN418" s="151"/>
      <c r="BO418" s="687"/>
      <c r="BP418" s="151"/>
      <c r="BQ418" s="687"/>
      <c r="BR418" s="151"/>
      <c r="BS418" s="687"/>
      <c r="BT418" s="151"/>
      <c r="BU418" s="687"/>
      <c r="BV418" s="151"/>
      <c r="BW418" s="687"/>
      <c r="BX418" s="151"/>
      <c r="BY418" s="687"/>
      <c r="BZ418" s="151"/>
      <c r="CA418" s="687"/>
      <c r="CB418" s="151"/>
      <c r="CC418" s="687"/>
      <c r="CD418" s="151"/>
      <c r="CE418" s="687"/>
      <c r="CF418" s="151"/>
      <c r="CG418" s="687"/>
      <c r="CH418" s="151"/>
      <c r="CI418" s="687"/>
      <c r="CJ418" s="151"/>
      <c r="CK418" s="687"/>
      <c r="CL418" s="151"/>
      <c r="CM418" s="687"/>
      <c r="CN418" s="151"/>
      <c r="CO418" s="687"/>
      <c r="CP418" s="151"/>
      <c r="CQ418" s="687"/>
      <c r="CR418" s="151"/>
      <c r="CS418" s="687"/>
      <c r="CT418" s="151"/>
      <c r="CU418" s="687"/>
      <c r="CV418" s="151"/>
      <c r="CW418" s="687"/>
      <c r="CX418" s="151"/>
      <c r="CY418" s="687"/>
      <c r="CZ418" s="151"/>
      <c r="DA418" s="687"/>
      <c r="DB418" s="16"/>
      <c r="DC418" s="151">
        <f>INPUT!FP392</f>
        <v>9.5</v>
      </c>
      <c r="DD418" s="687" t="str">
        <f>INPUT!FQ392</f>
        <v>NA</v>
      </c>
      <c r="DE418" s="151">
        <f>INPUT!FR392</f>
        <v>29.5</v>
      </c>
      <c r="DF418" s="687" t="str">
        <f>INPUT!FS392</f>
        <v>NM</v>
      </c>
      <c r="DG418" s="151">
        <f>INPUT!FT392</f>
        <v>43.400000000000006</v>
      </c>
      <c r="DH418" s="687">
        <f>INPUT!FU392</f>
        <v>47.118644067796623</v>
      </c>
      <c r="DI418" s="151">
        <f>INPUT!FV392</f>
        <v>16.399999999999999</v>
      </c>
      <c r="DJ418" s="687" t="str">
        <f>INPUT!FW392</f>
        <v>NM</v>
      </c>
      <c r="DK418" s="151">
        <f>INPUT!FX392</f>
        <v>6.9</v>
      </c>
      <c r="DL418" s="687" t="str">
        <f>INPUT!FY392</f>
        <v>NM</v>
      </c>
      <c r="DM418" s="151"/>
      <c r="DN418" s="687"/>
      <c r="DO418" s="151"/>
      <c r="DP418" s="687"/>
      <c r="DQ418" s="151"/>
      <c r="DR418" s="687"/>
      <c r="DS418" s="151"/>
      <c r="DT418" s="687"/>
      <c r="DU418" s="151"/>
      <c r="DV418" s="687"/>
      <c r="DW418" s="151"/>
      <c r="DX418" s="687"/>
      <c r="DY418" s="151"/>
      <c r="DZ418" s="687"/>
      <c r="EA418" s="151"/>
      <c r="EB418" s="687"/>
      <c r="EC418" s="151"/>
      <c r="ED418" s="687"/>
      <c r="EE418" s="151"/>
      <c r="EF418" s="687"/>
      <c r="EG418" s="151"/>
      <c r="EH418" s="687"/>
      <c r="EI418" s="151"/>
      <c r="EJ418" s="687"/>
      <c r="EK418" s="151"/>
      <c r="EL418" s="687"/>
      <c r="EM418" s="687"/>
    </row>
    <row r="419" spans="1:143" ht="12.75" hidden="1" customHeight="1" outlineLevel="2" x14ac:dyDescent="0.2">
      <c r="A419" s="701" t="str">
        <f>INPUT!B393</f>
        <v>Tax Rate (%)</v>
      </c>
      <c r="B419" s="156">
        <f>INPUT!AY393</f>
        <v>34.893617021276555</v>
      </c>
      <c r="C419" s="687">
        <f>INPUT!AZ393</f>
        <v>4.6808510638297607</v>
      </c>
      <c r="D419" s="156">
        <f>INPUT!BA393</f>
        <v>34.426229508196755</v>
      </c>
      <c r="E419" s="687">
        <f>INPUT!BB393</f>
        <v>-9.6311475409837755</v>
      </c>
      <c r="F419" s="156">
        <f>INPUT!BC393</f>
        <v>33.333333333333321</v>
      </c>
      <c r="G419" s="687">
        <f>INPUT!BD393</f>
        <v>-18.627450980392069</v>
      </c>
      <c r="H419" s="156">
        <f>INPUT!BE393</f>
        <v>36.563876651982383</v>
      </c>
      <c r="I419" s="687">
        <f>INPUT!BF393</f>
        <v>8.101896188469615</v>
      </c>
      <c r="J419" s="156">
        <f>INPUT!BG393</f>
        <v>36.47058823529408</v>
      </c>
      <c r="K419" s="687">
        <f>INPUT!BH393</f>
        <v>4.5193687230990154</v>
      </c>
      <c r="L419" s="156">
        <f>INPUT!BI393</f>
        <v>36.871508379888255</v>
      </c>
      <c r="M419" s="687">
        <f>INPUT!BJ393</f>
        <v>7.1029529130086422</v>
      </c>
      <c r="N419" s="156">
        <f>INPUT!BK393</f>
        <v>36.070381231671561</v>
      </c>
      <c r="O419" s="687">
        <f>INPUT!BL393</f>
        <v>8.211143695014723</v>
      </c>
      <c r="P419" s="156">
        <f>INPUT!BM393</f>
        <v>36.018957345971558</v>
      </c>
      <c r="Q419" s="687">
        <f>INPUT!BN393</f>
        <v>-1.4903214754753868</v>
      </c>
      <c r="R419" s="156">
        <f>INPUT!BO393</f>
        <v>36.787564766839353</v>
      </c>
      <c r="S419" s="687">
        <f>INPUT!BP393</f>
        <v>0.86912919939832189</v>
      </c>
      <c r="T419" s="156">
        <f>INPUT!BQ393</f>
        <v>36.17021276595743</v>
      </c>
      <c r="U419" s="687">
        <f>INPUT!BR393</f>
        <v>-1.9019987105093561</v>
      </c>
      <c r="V419" s="156">
        <f>INPUT!BS393</f>
        <v>34.567901234567863</v>
      </c>
      <c r="W419" s="687">
        <f>INPUT!BT393</f>
        <v>-4.1654120244907444</v>
      </c>
      <c r="X419" s="156">
        <f>INPUT!BU393</f>
        <v>31.746031746031761</v>
      </c>
      <c r="Y419" s="687">
        <f>INPUT!BV393</f>
        <v>-11.862990810359175</v>
      </c>
      <c r="Z419" s="156">
        <f>INPUT!BW393</f>
        <v>60</v>
      </c>
      <c r="AA419" s="687">
        <f>INPUT!BX393</f>
        <v>63.09859154929589</v>
      </c>
      <c r="AB419" s="156">
        <f>INPUT!BY393</f>
        <v>48.484848484848527</v>
      </c>
      <c r="AC419" s="687">
        <f>INPUT!BZ393</f>
        <v>34.046345811051879</v>
      </c>
      <c r="AD419" s="156"/>
      <c r="AE419" s="687"/>
      <c r="AF419" s="156"/>
      <c r="AG419" s="687"/>
      <c r="AH419" s="156"/>
      <c r="AI419" s="687"/>
      <c r="AJ419" s="156"/>
      <c r="AK419" s="687"/>
      <c r="AL419" s="156"/>
      <c r="AM419" s="687"/>
      <c r="AN419" s="156"/>
      <c r="AO419" s="687"/>
      <c r="AP419" s="156"/>
      <c r="AQ419" s="687"/>
      <c r="AR419" s="156"/>
      <c r="AS419" s="687"/>
      <c r="AT419" s="156"/>
      <c r="AU419" s="687"/>
      <c r="AV419" s="156"/>
      <c r="AW419" s="687"/>
      <c r="AX419" s="156"/>
      <c r="AY419" s="687"/>
      <c r="AZ419" s="156"/>
      <c r="BA419" s="687"/>
      <c r="BB419" s="156"/>
      <c r="BC419" s="687"/>
      <c r="BD419" s="156"/>
      <c r="BE419" s="687"/>
      <c r="BF419" s="156"/>
      <c r="BG419" s="687"/>
      <c r="BH419" s="156"/>
      <c r="BI419" s="687"/>
      <c r="BJ419" s="156"/>
      <c r="BK419" s="687"/>
      <c r="BL419" s="156"/>
      <c r="BM419" s="687"/>
      <c r="BN419" s="156"/>
      <c r="BO419" s="687"/>
      <c r="BP419" s="156"/>
      <c r="BQ419" s="687"/>
      <c r="BR419" s="156"/>
      <c r="BS419" s="687"/>
      <c r="BT419" s="156"/>
      <c r="BU419" s="687"/>
      <c r="BV419" s="156"/>
      <c r="BW419" s="687"/>
      <c r="BX419" s="156"/>
      <c r="BY419" s="687"/>
      <c r="BZ419" s="156"/>
      <c r="CA419" s="687"/>
      <c r="CB419" s="156"/>
      <c r="CC419" s="687"/>
      <c r="CD419" s="156"/>
      <c r="CE419" s="687"/>
      <c r="CF419" s="156"/>
      <c r="CG419" s="687"/>
      <c r="CH419" s="156"/>
      <c r="CI419" s="687"/>
      <c r="CJ419" s="156"/>
      <c r="CK419" s="687"/>
      <c r="CL419" s="156"/>
      <c r="CM419" s="687"/>
      <c r="CN419" s="156"/>
      <c r="CO419" s="687"/>
      <c r="CP419" s="156"/>
      <c r="CQ419" s="687"/>
      <c r="CR419" s="156"/>
      <c r="CS419" s="687"/>
      <c r="CT419" s="156"/>
      <c r="CU419" s="687"/>
      <c r="CV419" s="156"/>
      <c r="CW419" s="687"/>
      <c r="CX419" s="156"/>
      <c r="CY419" s="687"/>
      <c r="CZ419" s="156"/>
      <c r="DA419" s="687"/>
      <c r="DB419" s="16"/>
      <c r="DC419" s="156">
        <f>INPUT!FP393</f>
        <v>35.580524344569262</v>
      </c>
      <c r="DD419" s="687" t="str">
        <f>INPUT!FQ393</f>
        <v>NA</v>
      </c>
      <c r="DE419" s="156">
        <f>INPUT!FR393</f>
        <v>34.869976359338054</v>
      </c>
      <c r="DF419" s="687">
        <f>INPUT!FS393</f>
        <v>-1.9970138111235047</v>
      </c>
      <c r="DG419" s="156">
        <f>INPUT!FT393</f>
        <v>36.257309941520461</v>
      </c>
      <c r="DH419" s="687">
        <f>INPUT!FU393</f>
        <v>3.9785905441570124</v>
      </c>
      <c r="DI419" s="156">
        <f>INPUT!FV393</f>
        <v>36.771300448430473</v>
      </c>
      <c r="DJ419" s="687">
        <f>INPUT!FW393</f>
        <v>1.4176189787356686</v>
      </c>
      <c r="DK419" s="156">
        <f>INPUT!FX393</f>
        <v>51.492537313432926</v>
      </c>
      <c r="DL419" s="687">
        <f>INPUT!FY393</f>
        <v>40.034583181653026</v>
      </c>
      <c r="DM419" s="156"/>
      <c r="DN419" s="687"/>
      <c r="DO419" s="156"/>
      <c r="DP419" s="687"/>
      <c r="DQ419" s="156"/>
      <c r="DR419" s="687"/>
      <c r="DS419" s="156"/>
      <c r="DT419" s="687"/>
      <c r="DU419" s="156"/>
      <c r="DV419" s="687"/>
      <c r="DW419" s="156"/>
      <c r="DX419" s="687"/>
      <c r="DY419" s="156"/>
      <c r="DZ419" s="687"/>
      <c r="EA419" s="156"/>
      <c r="EB419" s="687"/>
      <c r="EC419" s="156"/>
      <c r="ED419" s="687"/>
      <c r="EE419" s="156"/>
      <c r="EF419" s="687"/>
      <c r="EG419" s="156"/>
      <c r="EH419" s="687"/>
      <c r="EI419" s="156"/>
      <c r="EJ419" s="687"/>
      <c r="EK419" s="156"/>
      <c r="EL419" s="687"/>
      <c r="EM419" s="687"/>
    </row>
    <row r="420" spans="1:143" ht="12.75" hidden="1" customHeight="1" outlineLevel="2" x14ac:dyDescent="0.2">
      <c r="A420" s="707" t="str">
        <f>INPUT!B394</f>
        <v>After-Tax Earnings</v>
      </c>
      <c r="B420" s="708">
        <f>INPUT!AY394</f>
        <v>15.300000000000029</v>
      </c>
      <c r="C420" s="709" t="str">
        <f>INPUT!AZ394</f>
        <v>NM</v>
      </c>
      <c r="D420" s="708">
        <f>INPUT!BA394</f>
        <v>11.999999999999982</v>
      </c>
      <c r="E420" s="709" t="str">
        <f>INPUT!BB394</f>
        <v>NM</v>
      </c>
      <c r="F420" s="708">
        <f>INPUT!BC394</f>
        <v>13.400000000000009</v>
      </c>
      <c r="G420" s="709" t="str">
        <f>INPUT!BD394</f>
        <v>NM</v>
      </c>
      <c r="H420" s="708">
        <f>INPUT!BE394</f>
        <v>14.400000000000002</v>
      </c>
      <c r="I420" s="709">
        <f>INPUT!BF394</f>
        <v>60.000000000000121</v>
      </c>
      <c r="J420" s="708">
        <f>INPUT!BG394</f>
        <v>16.200000000000028</v>
      </c>
      <c r="K420" s="709">
        <f>INPUT!BH394</f>
        <v>5.8823529411764497</v>
      </c>
      <c r="L420" s="708">
        <f>INPUT!BI394</f>
        <v>11.300000000000006</v>
      </c>
      <c r="M420" s="709">
        <f>INPUT!BJ394</f>
        <v>-5.8333333333331456</v>
      </c>
      <c r="N420" s="708">
        <f>INPUT!BK394</f>
        <v>21.799999999999994</v>
      </c>
      <c r="O420" s="709">
        <f>INPUT!BL394</f>
        <v>62.686567164178953</v>
      </c>
      <c r="P420" s="708">
        <f>INPUT!BM394</f>
        <v>27.000000000000004</v>
      </c>
      <c r="Q420" s="709">
        <f>INPUT!BN394</f>
        <v>87.5</v>
      </c>
      <c r="R420" s="708">
        <f>INPUT!BO394</f>
        <v>12.200000000000012</v>
      </c>
      <c r="S420" s="709">
        <f>INPUT!BP394</f>
        <v>-24.691358024691411</v>
      </c>
      <c r="T420" s="708">
        <f>INPUT!BQ394</f>
        <v>15.000000000000014</v>
      </c>
      <c r="U420" s="709">
        <f>INPUT!BR394</f>
        <v>32.743362831858455</v>
      </c>
      <c r="V420" s="708">
        <f>INPUT!BS394</f>
        <v>5.3000000000000087</v>
      </c>
      <c r="W420" s="709" t="str">
        <f>INPUT!BT394</f>
        <v>NM</v>
      </c>
      <c r="X420" s="708">
        <f>INPUT!BU394</f>
        <v>-4.2999999999999972</v>
      </c>
      <c r="Y420" s="709" t="str">
        <f>INPUT!BV394</f>
        <v>NM</v>
      </c>
      <c r="Z420" s="708">
        <f>INPUT!BW394</f>
        <v>1.4</v>
      </c>
      <c r="AA420" s="709" t="str">
        <f>INPUT!BX394</f>
        <v>NM</v>
      </c>
      <c r="AB420" s="708">
        <f>INPUT!BY394</f>
        <v>5.0999999999999917</v>
      </c>
      <c r="AC420" s="709" t="str">
        <f>INPUT!BZ394</f>
        <v>NM</v>
      </c>
      <c r="AD420" s="708"/>
      <c r="AE420" s="709"/>
      <c r="AF420" s="708"/>
      <c r="AG420" s="709"/>
      <c r="AH420" s="708"/>
      <c r="AI420" s="709"/>
      <c r="AJ420" s="708"/>
      <c r="AK420" s="709"/>
      <c r="AL420" s="708"/>
      <c r="AM420" s="709"/>
      <c r="AN420" s="708"/>
      <c r="AO420" s="709"/>
      <c r="AP420" s="708"/>
      <c r="AQ420" s="709"/>
      <c r="AR420" s="708"/>
      <c r="AS420" s="709"/>
      <c r="AT420" s="708"/>
      <c r="AU420" s="709"/>
      <c r="AV420" s="708"/>
      <c r="AW420" s="709"/>
      <c r="AX420" s="708"/>
      <c r="AY420" s="709"/>
      <c r="AZ420" s="708"/>
      <c r="BA420" s="709"/>
      <c r="BB420" s="708"/>
      <c r="BC420" s="709"/>
      <c r="BD420" s="708"/>
      <c r="BE420" s="709"/>
      <c r="BF420" s="708"/>
      <c r="BG420" s="709"/>
      <c r="BH420" s="708"/>
      <c r="BI420" s="709"/>
      <c r="BJ420" s="708"/>
      <c r="BK420" s="709"/>
      <c r="BL420" s="708"/>
      <c r="BM420" s="709"/>
      <c r="BN420" s="708"/>
      <c r="BO420" s="709"/>
      <c r="BP420" s="708"/>
      <c r="BQ420" s="709"/>
      <c r="BR420" s="708"/>
      <c r="BS420" s="709"/>
      <c r="BT420" s="708"/>
      <c r="BU420" s="709"/>
      <c r="BV420" s="708"/>
      <c r="BW420" s="709"/>
      <c r="BX420" s="708"/>
      <c r="BY420" s="709"/>
      <c r="BZ420" s="708"/>
      <c r="CA420" s="709"/>
      <c r="CB420" s="708"/>
      <c r="CC420" s="709"/>
      <c r="CD420" s="708"/>
      <c r="CE420" s="709"/>
      <c r="CF420" s="708"/>
      <c r="CG420" s="709"/>
      <c r="CH420" s="708"/>
      <c r="CI420" s="709"/>
      <c r="CJ420" s="708"/>
      <c r="CK420" s="709"/>
      <c r="CL420" s="708"/>
      <c r="CM420" s="709"/>
      <c r="CN420" s="708"/>
      <c r="CO420" s="709"/>
      <c r="CP420" s="708"/>
      <c r="CQ420" s="709"/>
      <c r="CR420" s="708"/>
      <c r="CS420" s="709"/>
      <c r="CT420" s="708"/>
      <c r="CU420" s="709"/>
      <c r="CV420" s="708"/>
      <c r="CW420" s="709"/>
      <c r="CX420" s="708"/>
      <c r="CY420" s="709"/>
      <c r="CZ420" s="708"/>
      <c r="DA420" s="709"/>
      <c r="DB420" s="710"/>
      <c r="DC420" s="708">
        <f>INPUT!FP394</f>
        <v>17.000000000000018</v>
      </c>
      <c r="DD420" s="709" t="str">
        <f>INPUT!FQ394</f>
        <v>NA</v>
      </c>
      <c r="DE420" s="708">
        <f>INPUT!FR394</f>
        <v>55.100000000000023</v>
      </c>
      <c r="DF420" s="709" t="str">
        <f>INPUT!FS394</f>
        <v>NM</v>
      </c>
      <c r="DG420" s="708">
        <f>INPUT!FT394</f>
        <v>76.30000000000004</v>
      </c>
      <c r="DH420" s="709">
        <f>INPUT!FU394</f>
        <v>38.475499092559005</v>
      </c>
      <c r="DI420" s="708">
        <f>INPUT!FV394</f>
        <v>28.200000000000024</v>
      </c>
      <c r="DJ420" s="709" t="str">
        <f>INPUT!FW394</f>
        <v>NM</v>
      </c>
      <c r="DK420" s="708">
        <f>INPUT!FX394</f>
        <v>6.4999999999999769</v>
      </c>
      <c r="DL420" s="709" t="str">
        <f>INPUT!FY394</f>
        <v>NM</v>
      </c>
      <c r="DM420" s="708"/>
      <c r="DN420" s="709"/>
      <c r="DO420" s="708"/>
      <c r="DP420" s="709"/>
      <c r="DQ420" s="708"/>
      <c r="DR420" s="709"/>
      <c r="DS420" s="708"/>
      <c r="DT420" s="709"/>
      <c r="DU420" s="708"/>
      <c r="DV420" s="709"/>
      <c r="DW420" s="708"/>
      <c r="DX420" s="709"/>
      <c r="DY420" s="708"/>
      <c r="DZ420" s="709"/>
      <c r="EA420" s="708"/>
      <c r="EB420" s="709"/>
      <c r="EC420" s="708"/>
      <c r="ED420" s="709"/>
      <c r="EE420" s="708"/>
      <c r="EF420" s="709"/>
      <c r="EG420" s="708"/>
      <c r="EH420" s="709"/>
      <c r="EI420" s="708"/>
      <c r="EJ420" s="709"/>
      <c r="EK420" s="708"/>
      <c r="EL420" s="709"/>
      <c r="EM420" s="711"/>
    </row>
    <row r="421" spans="1:143" ht="12.75" hidden="1" customHeight="1" outlineLevel="2" x14ac:dyDescent="0.2">
      <c r="A421" s="701"/>
      <c r="B421" s="16"/>
      <c r="C421" s="687"/>
      <c r="D421" s="16"/>
      <c r="E421" s="687"/>
      <c r="F421" s="16"/>
      <c r="G421" s="687"/>
      <c r="H421" s="16"/>
      <c r="I421" s="687"/>
      <c r="J421" s="16"/>
      <c r="K421" s="687"/>
      <c r="L421" s="16"/>
      <c r="M421" s="687"/>
      <c r="N421" s="16"/>
      <c r="O421" s="687"/>
      <c r="P421" s="16"/>
      <c r="Q421" s="687"/>
      <c r="R421" s="16"/>
      <c r="S421" s="687"/>
      <c r="T421" s="16"/>
      <c r="U421" s="687"/>
      <c r="V421" s="16"/>
      <c r="W421" s="687"/>
      <c r="X421" s="16"/>
      <c r="Y421" s="687"/>
      <c r="Z421" s="16"/>
      <c r="AA421" s="687"/>
      <c r="AB421" s="16"/>
      <c r="AC421" s="687"/>
      <c r="AD421" s="16"/>
      <c r="AE421" s="687"/>
      <c r="AF421" s="16"/>
      <c r="AG421" s="687"/>
      <c r="AH421" s="16"/>
      <c r="AI421" s="687"/>
      <c r="AJ421" s="16"/>
      <c r="AK421" s="687"/>
      <c r="AL421" s="16"/>
      <c r="AM421" s="687"/>
      <c r="AN421" s="16"/>
      <c r="AO421" s="687"/>
      <c r="AP421" s="16"/>
      <c r="AQ421" s="687"/>
      <c r="AR421" s="16"/>
      <c r="AS421" s="687"/>
      <c r="AT421" s="16"/>
      <c r="AU421" s="687"/>
      <c r="AV421" s="16"/>
      <c r="AW421" s="687"/>
      <c r="AX421" s="16"/>
      <c r="AY421" s="687"/>
      <c r="AZ421" s="16"/>
      <c r="BA421" s="687"/>
      <c r="BB421" s="16"/>
      <c r="BC421" s="687"/>
      <c r="BD421" s="16"/>
      <c r="BE421" s="687"/>
      <c r="BF421" s="16"/>
      <c r="BG421" s="687"/>
      <c r="BH421" s="16"/>
      <c r="BI421" s="687"/>
      <c r="BJ421" s="16"/>
      <c r="BK421" s="687"/>
      <c r="BL421" s="16"/>
      <c r="BM421" s="687"/>
      <c r="BN421" s="16"/>
      <c r="BO421" s="687"/>
      <c r="BP421" s="16"/>
      <c r="BQ421" s="687"/>
      <c r="BR421" s="16"/>
      <c r="BS421" s="687"/>
      <c r="BT421" s="16"/>
      <c r="BU421" s="687"/>
      <c r="BV421" s="16"/>
      <c r="BW421" s="687"/>
      <c r="BX421" s="16"/>
      <c r="BY421" s="687"/>
      <c r="BZ421" s="16"/>
      <c r="CA421" s="687"/>
      <c r="CB421" s="16"/>
      <c r="CC421" s="687"/>
      <c r="CD421" s="16"/>
      <c r="CE421" s="687"/>
      <c r="CF421" s="16"/>
      <c r="CG421" s="687"/>
      <c r="CH421" s="16"/>
      <c r="CI421" s="687"/>
      <c r="CJ421" s="16"/>
      <c r="CK421" s="687"/>
      <c r="CL421" s="16"/>
      <c r="CM421" s="687"/>
      <c r="CN421" s="16"/>
      <c r="CO421" s="687"/>
      <c r="CP421" s="16"/>
      <c r="CQ421" s="687"/>
      <c r="CR421" s="16"/>
      <c r="CS421" s="687"/>
      <c r="CT421" s="16"/>
      <c r="CU421" s="687"/>
      <c r="CV421" s="16"/>
      <c r="CW421" s="687"/>
      <c r="CX421" s="16"/>
      <c r="CY421" s="687"/>
      <c r="CZ421" s="16"/>
      <c r="DA421" s="687"/>
      <c r="DB421" s="16"/>
      <c r="DC421" s="16"/>
      <c r="DD421" s="687"/>
      <c r="DE421" s="16"/>
      <c r="DF421" s="687"/>
      <c r="DG421" s="16"/>
      <c r="DH421" s="687"/>
      <c r="DI421" s="16"/>
      <c r="DJ421" s="687"/>
      <c r="DK421" s="16"/>
      <c r="DL421" s="687"/>
      <c r="DM421" s="16"/>
      <c r="DN421" s="687"/>
      <c r="DO421" s="16"/>
      <c r="DP421" s="687"/>
      <c r="DQ421" s="16"/>
      <c r="DR421" s="687"/>
      <c r="DS421" s="16"/>
      <c r="DT421" s="687"/>
      <c r="DU421" s="16"/>
      <c r="DV421" s="687"/>
      <c r="DW421" s="16"/>
      <c r="DX421" s="687"/>
      <c r="DY421" s="16"/>
      <c r="DZ421" s="687"/>
      <c r="EA421" s="16"/>
      <c r="EB421" s="687"/>
      <c r="EC421" s="16"/>
      <c r="ED421" s="687"/>
      <c r="EE421" s="16"/>
      <c r="EF421" s="687"/>
      <c r="EG421" s="16"/>
      <c r="EH421" s="687"/>
      <c r="EI421" s="16"/>
      <c r="EJ421" s="687"/>
      <c r="EK421" s="16"/>
      <c r="EL421" s="687"/>
      <c r="EM421" s="687"/>
    </row>
    <row r="422" spans="1:143" ht="12.75" hidden="1" customHeight="1" outlineLevel="2" x14ac:dyDescent="0.2">
      <c r="A422" s="715" t="s">
        <v>303</v>
      </c>
      <c r="B422" s="16"/>
      <c r="C422" s="687"/>
      <c r="D422" s="16"/>
      <c r="E422" s="687"/>
      <c r="F422" s="16"/>
      <c r="G422" s="687"/>
      <c r="H422" s="16"/>
      <c r="I422" s="687"/>
      <c r="J422" s="16"/>
      <c r="K422" s="687"/>
      <c r="L422" s="16"/>
      <c r="M422" s="687"/>
      <c r="N422" s="16"/>
      <c r="O422" s="687"/>
      <c r="P422" s="16"/>
      <c r="Q422" s="687"/>
      <c r="R422" s="16"/>
      <c r="S422" s="687"/>
      <c r="T422" s="16"/>
      <c r="U422" s="687"/>
      <c r="V422" s="16"/>
      <c r="W422" s="687"/>
      <c r="X422" s="16"/>
      <c r="Y422" s="687"/>
      <c r="Z422" s="16"/>
      <c r="AA422" s="687"/>
      <c r="AB422" s="16"/>
      <c r="AC422" s="687"/>
      <c r="AD422" s="16"/>
      <c r="AE422" s="687"/>
      <c r="AF422" s="16"/>
      <c r="AG422" s="687"/>
      <c r="AH422" s="16"/>
      <c r="AI422" s="687"/>
      <c r="AJ422" s="16"/>
      <c r="AK422" s="687"/>
      <c r="AL422" s="16"/>
      <c r="AM422" s="687"/>
      <c r="AN422" s="16"/>
      <c r="AO422" s="687"/>
      <c r="AP422" s="16"/>
      <c r="AQ422" s="687"/>
      <c r="AR422" s="16"/>
      <c r="AS422" s="687"/>
      <c r="AT422" s="16"/>
      <c r="AU422" s="687"/>
      <c r="AV422" s="16"/>
      <c r="AW422" s="687"/>
      <c r="AX422" s="16"/>
      <c r="AY422" s="687"/>
      <c r="AZ422" s="16"/>
      <c r="BA422" s="687"/>
      <c r="BB422" s="16"/>
      <c r="BC422" s="687"/>
      <c r="BD422" s="16"/>
      <c r="BE422" s="687"/>
      <c r="BF422" s="16"/>
      <c r="BG422" s="687"/>
      <c r="BH422" s="16"/>
      <c r="BI422" s="687"/>
      <c r="BJ422" s="16"/>
      <c r="BK422" s="687"/>
      <c r="BL422" s="16"/>
      <c r="BM422" s="687"/>
      <c r="BN422" s="16"/>
      <c r="BO422" s="687"/>
      <c r="BP422" s="16"/>
      <c r="BQ422" s="687"/>
      <c r="BR422" s="16"/>
      <c r="BS422" s="687"/>
      <c r="BT422" s="16"/>
      <c r="BU422" s="687"/>
      <c r="BV422" s="16"/>
      <c r="BW422" s="687"/>
      <c r="BX422" s="16"/>
      <c r="BY422" s="687"/>
      <c r="BZ422" s="16"/>
      <c r="CA422" s="687"/>
      <c r="CB422" s="16"/>
      <c r="CC422" s="687"/>
      <c r="CD422" s="16"/>
      <c r="CE422" s="687"/>
      <c r="CF422" s="16"/>
      <c r="CG422" s="687"/>
      <c r="CH422" s="16"/>
      <c r="CI422" s="687"/>
      <c r="CJ422" s="16"/>
      <c r="CK422" s="687"/>
      <c r="CL422" s="16"/>
      <c r="CM422" s="687"/>
      <c r="CN422" s="16"/>
      <c r="CO422" s="687"/>
      <c r="CP422" s="16"/>
      <c r="CQ422" s="687"/>
      <c r="CR422" s="16"/>
      <c r="CS422" s="687"/>
      <c r="CT422" s="16"/>
      <c r="CU422" s="687"/>
      <c r="CV422" s="16"/>
      <c r="CW422" s="687"/>
      <c r="CX422" s="16"/>
      <c r="CY422" s="687"/>
      <c r="CZ422" s="16"/>
      <c r="DA422" s="687"/>
      <c r="DB422" s="16"/>
      <c r="DC422" s="16"/>
      <c r="DD422" s="687"/>
      <c r="DE422" s="16"/>
      <c r="DF422" s="687"/>
      <c r="DG422" s="16"/>
      <c r="DH422" s="687"/>
      <c r="DI422" s="16"/>
      <c r="DJ422" s="687"/>
      <c r="DK422" s="16"/>
      <c r="DL422" s="687"/>
      <c r="DM422" s="16"/>
      <c r="DN422" s="687"/>
      <c r="DO422" s="16"/>
      <c r="DP422" s="687"/>
      <c r="DQ422" s="16"/>
      <c r="DR422" s="687"/>
      <c r="DS422" s="16"/>
      <c r="DT422" s="687"/>
      <c r="DU422" s="16"/>
      <c r="DV422" s="687"/>
      <c r="DW422" s="16"/>
      <c r="DX422" s="687"/>
      <c r="DY422" s="16"/>
      <c r="DZ422" s="687"/>
      <c r="EA422" s="16"/>
      <c r="EB422" s="687"/>
      <c r="EC422" s="16"/>
      <c r="ED422" s="687"/>
      <c r="EE422" s="16"/>
      <c r="EF422" s="687"/>
      <c r="EG422" s="16"/>
      <c r="EH422" s="687"/>
      <c r="EI422" s="16"/>
      <c r="EJ422" s="687"/>
      <c r="EK422" s="16"/>
      <c r="EL422" s="687"/>
      <c r="EM422" s="687"/>
    </row>
    <row r="423" spans="1:143" ht="12.75" hidden="1" customHeight="1" outlineLevel="2" x14ac:dyDescent="0.2">
      <c r="A423" s="522" t="s">
        <v>304</v>
      </c>
      <c r="B423" s="464">
        <f>INPUT!AY578</f>
        <v>0</v>
      </c>
      <c r="C423" s="687" t="str">
        <f>INPUT!AZ578</f>
        <v>NA</v>
      </c>
      <c r="D423" s="464">
        <f>INPUT!BA578</f>
        <v>0</v>
      </c>
      <c r="E423" s="687" t="str">
        <f>INPUT!BB578</f>
        <v>NA</v>
      </c>
      <c r="F423" s="464">
        <f>INPUT!BC578</f>
        <v>0</v>
      </c>
      <c r="G423" s="687" t="str">
        <f>INPUT!BD578</f>
        <v>NA</v>
      </c>
      <c r="H423" s="464">
        <f>INPUT!BE578</f>
        <v>0</v>
      </c>
      <c r="I423" s="687" t="str">
        <f>INPUT!BF578</f>
        <v>NA</v>
      </c>
      <c r="J423" s="464">
        <f>INPUT!BG578</f>
        <v>0</v>
      </c>
      <c r="K423" s="687" t="str">
        <f>INPUT!BH578</f>
        <v>NA</v>
      </c>
      <c r="L423" s="464">
        <f>INPUT!BI578</f>
        <v>0</v>
      </c>
      <c r="M423" s="687" t="str">
        <f>INPUT!BJ578</f>
        <v>NA</v>
      </c>
      <c r="N423" s="464">
        <f>INPUT!BK578</f>
        <v>0</v>
      </c>
      <c r="O423" s="687" t="str">
        <f>INPUT!BL578</f>
        <v>NA</v>
      </c>
      <c r="P423" s="464">
        <f>INPUT!BM578</f>
        <v>0</v>
      </c>
      <c r="Q423" s="687" t="str">
        <f>INPUT!BN578</f>
        <v>NA</v>
      </c>
      <c r="R423" s="464">
        <f>INPUT!BO578</f>
        <v>0</v>
      </c>
      <c r="S423" s="687" t="str">
        <f>INPUT!BP578</f>
        <v>NA</v>
      </c>
      <c r="T423" s="464">
        <f>INPUT!BQ578</f>
        <v>0</v>
      </c>
      <c r="U423" s="687" t="str">
        <f>INPUT!BR578</f>
        <v>NA</v>
      </c>
      <c r="V423" s="464">
        <f>INPUT!BS578</f>
        <v>0</v>
      </c>
      <c r="W423" s="687" t="str">
        <f>INPUT!BT578</f>
        <v>NA</v>
      </c>
      <c r="X423" s="464">
        <f>INPUT!BU578</f>
        <v>0</v>
      </c>
      <c r="Y423" s="687" t="str">
        <f>INPUT!BV578</f>
        <v>NA</v>
      </c>
      <c r="Z423" s="464">
        <f>INPUT!BW578</f>
        <v>0</v>
      </c>
      <c r="AA423" s="687" t="str">
        <f>INPUT!BX578</f>
        <v>NA</v>
      </c>
      <c r="AB423" s="464">
        <f>INPUT!BY578</f>
        <v>0</v>
      </c>
      <c r="AC423" s="687" t="str">
        <f>INPUT!BZ578</f>
        <v>NA</v>
      </c>
      <c r="AD423" s="464"/>
      <c r="AE423" s="687"/>
      <c r="AF423" s="464"/>
      <c r="AG423" s="687"/>
      <c r="AH423" s="464"/>
      <c r="AI423" s="687"/>
      <c r="AJ423" s="464"/>
      <c r="AK423" s="687"/>
      <c r="AL423" s="464"/>
      <c r="AM423" s="687"/>
      <c r="AN423" s="464"/>
      <c r="AO423" s="687"/>
      <c r="AP423" s="464"/>
      <c r="AQ423" s="687"/>
      <c r="AR423" s="464"/>
      <c r="AS423" s="687"/>
      <c r="AT423" s="464"/>
      <c r="AU423" s="687"/>
      <c r="AV423" s="464"/>
      <c r="AW423" s="687"/>
      <c r="AX423" s="464"/>
      <c r="AY423" s="687"/>
      <c r="AZ423" s="464"/>
      <c r="BA423" s="687"/>
      <c r="BB423" s="464"/>
      <c r="BC423" s="687"/>
      <c r="BD423" s="464"/>
      <c r="BE423" s="687"/>
      <c r="BF423" s="464"/>
      <c r="BG423" s="687"/>
      <c r="BH423" s="464"/>
      <c r="BI423" s="687"/>
      <c r="BJ423" s="464"/>
      <c r="BK423" s="687"/>
      <c r="BL423" s="464"/>
      <c r="BM423" s="687"/>
      <c r="BN423" s="464"/>
      <c r="BO423" s="687"/>
      <c r="BP423" s="464"/>
      <c r="BQ423" s="687"/>
      <c r="BR423" s="464"/>
      <c r="BS423" s="687"/>
      <c r="BT423" s="464"/>
      <c r="BU423" s="687"/>
      <c r="BV423" s="464"/>
      <c r="BW423" s="687"/>
      <c r="BX423" s="464"/>
      <c r="BY423" s="687"/>
      <c r="BZ423" s="464"/>
      <c r="CA423" s="687"/>
      <c r="CB423" s="464"/>
      <c r="CC423" s="687"/>
      <c r="CD423" s="464"/>
      <c r="CE423" s="687"/>
      <c r="CF423" s="464"/>
      <c r="CG423" s="687"/>
      <c r="CH423" s="464"/>
      <c r="CI423" s="687"/>
      <c r="CJ423" s="464"/>
      <c r="CK423" s="687"/>
      <c r="CL423" s="464"/>
      <c r="CM423" s="687"/>
      <c r="CN423" s="464"/>
      <c r="CO423" s="687"/>
      <c r="CP423" s="464"/>
      <c r="CQ423" s="687"/>
      <c r="CR423" s="464"/>
      <c r="CS423" s="687"/>
      <c r="CT423" s="464"/>
      <c r="CU423" s="687"/>
      <c r="CV423" s="464"/>
      <c r="CW423" s="687"/>
      <c r="CX423" s="464"/>
      <c r="CY423" s="687"/>
      <c r="CZ423" s="464"/>
      <c r="DA423" s="687"/>
      <c r="DB423" s="16"/>
      <c r="DC423" s="464">
        <f>INPUT!FP578</f>
        <v>0</v>
      </c>
      <c r="DD423" s="687" t="str">
        <f>INPUT!FQ578</f>
        <v>NA</v>
      </c>
      <c r="DE423" s="464">
        <f>INPUT!FR578</f>
        <v>0</v>
      </c>
      <c r="DF423" s="687" t="str">
        <f>INPUT!FS578</f>
        <v>NA</v>
      </c>
      <c r="DG423" s="464">
        <f>INPUT!FT578</f>
        <v>0</v>
      </c>
      <c r="DH423" s="687" t="str">
        <f>INPUT!FU578</f>
        <v>NA</v>
      </c>
      <c r="DI423" s="464">
        <f>INPUT!FV578</f>
        <v>0</v>
      </c>
      <c r="DJ423" s="687" t="str">
        <f>INPUT!FW578</f>
        <v>NA</v>
      </c>
      <c r="DK423" s="464">
        <f>INPUT!FX578</f>
        <v>0</v>
      </c>
      <c r="DL423" s="687" t="str">
        <f>INPUT!FY578</f>
        <v>NA</v>
      </c>
      <c r="DM423" s="464"/>
      <c r="DN423" s="687"/>
      <c r="DO423" s="464"/>
      <c r="DP423" s="687"/>
      <c r="DQ423" s="464"/>
      <c r="DR423" s="687"/>
      <c r="DS423" s="464"/>
      <c r="DT423" s="687"/>
      <c r="DU423" s="464"/>
      <c r="DV423" s="687"/>
      <c r="DW423" s="464"/>
      <c r="DX423" s="687"/>
      <c r="DY423" s="464"/>
      <c r="DZ423" s="687"/>
      <c r="EA423" s="464"/>
      <c r="EB423" s="687"/>
      <c r="EC423" s="464"/>
      <c r="ED423" s="687"/>
      <c r="EE423" s="464"/>
      <c r="EF423" s="687"/>
      <c r="EG423" s="464"/>
      <c r="EH423" s="687"/>
      <c r="EI423" s="464"/>
      <c r="EJ423" s="687"/>
      <c r="EK423" s="464"/>
      <c r="EL423" s="687"/>
      <c r="EM423" s="687"/>
    </row>
    <row r="424" spans="1:143" ht="12.75" hidden="1" customHeight="1" outlineLevel="2" x14ac:dyDescent="0.2">
      <c r="A424" s="700"/>
      <c r="B424" s="16"/>
      <c r="C424" s="687"/>
      <c r="D424" s="16"/>
      <c r="E424" s="687"/>
      <c r="F424" s="16"/>
      <c r="G424" s="687"/>
      <c r="H424" s="16"/>
      <c r="I424" s="687"/>
      <c r="J424" s="16"/>
      <c r="K424" s="687"/>
      <c r="L424" s="16"/>
      <c r="M424" s="687"/>
      <c r="N424" s="16"/>
      <c r="O424" s="687"/>
      <c r="P424" s="16"/>
      <c r="Q424" s="687"/>
      <c r="R424" s="16"/>
      <c r="S424" s="687"/>
      <c r="T424" s="16"/>
      <c r="U424" s="687"/>
      <c r="V424" s="16"/>
      <c r="W424" s="687"/>
      <c r="X424" s="16"/>
      <c r="Y424" s="687"/>
      <c r="Z424" s="16"/>
      <c r="AA424" s="687"/>
      <c r="AB424" s="16"/>
      <c r="AC424" s="687"/>
      <c r="AD424" s="16"/>
      <c r="AE424" s="687"/>
      <c r="AF424" s="16"/>
      <c r="AG424" s="687"/>
      <c r="AH424" s="16"/>
      <c r="AI424" s="687"/>
      <c r="AJ424" s="16"/>
      <c r="AK424" s="687"/>
      <c r="AL424" s="16"/>
      <c r="AM424" s="687"/>
      <c r="AN424" s="16"/>
      <c r="AO424" s="687"/>
      <c r="AP424" s="16"/>
      <c r="AQ424" s="687"/>
      <c r="AR424" s="16"/>
      <c r="AS424" s="687"/>
      <c r="AT424" s="16"/>
      <c r="AU424" s="687"/>
      <c r="AV424" s="16"/>
      <c r="AW424" s="687"/>
      <c r="AX424" s="16"/>
      <c r="AY424" s="687"/>
      <c r="AZ424" s="16"/>
      <c r="BA424" s="687"/>
      <c r="BB424" s="16"/>
      <c r="BC424" s="687"/>
      <c r="BD424" s="16"/>
      <c r="BE424" s="687"/>
      <c r="BF424" s="16"/>
      <c r="BG424" s="687"/>
      <c r="BH424" s="16"/>
      <c r="BI424" s="687"/>
      <c r="BJ424" s="16"/>
      <c r="BK424" s="687"/>
      <c r="BL424" s="16"/>
      <c r="BM424" s="687"/>
      <c r="BN424" s="16"/>
      <c r="BO424" s="687"/>
      <c r="BP424" s="16"/>
      <c r="BQ424" s="687"/>
      <c r="BR424" s="16"/>
      <c r="BS424" s="687"/>
      <c r="BT424" s="16"/>
      <c r="BU424" s="687"/>
      <c r="BV424" s="16"/>
      <c r="BW424" s="687"/>
      <c r="BX424" s="16"/>
      <c r="BY424" s="687"/>
      <c r="BZ424" s="16"/>
      <c r="CA424" s="687"/>
      <c r="CB424" s="16"/>
      <c r="CC424" s="687"/>
      <c r="CD424" s="16"/>
      <c r="CE424" s="687"/>
      <c r="CF424" s="16"/>
      <c r="CG424" s="687"/>
      <c r="CH424" s="16"/>
      <c r="CI424" s="687"/>
      <c r="CJ424" s="16"/>
      <c r="CK424" s="687"/>
      <c r="CL424" s="16"/>
      <c r="CM424" s="687"/>
      <c r="CN424" s="16"/>
      <c r="CO424" s="687"/>
      <c r="CP424" s="16"/>
      <c r="CQ424" s="687"/>
      <c r="CR424" s="16"/>
      <c r="CS424" s="687"/>
      <c r="CT424" s="16"/>
      <c r="CU424" s="687"/>
      <c r="CV424" s="16"/>
      <c r="CW424" s="687"/>
      <c r="CX424" s="16"/>
      <c r="CY424" s="687"/>
      <c r="CZ424" s="16"/>
      <c r="DA424" s="687"/>
      <c r="DB424" s="16"/>
      <c r="DC424" s="16"/>
      <c r="DD424" s="687"/>
      <c r="DE424" s="16"/>
      <c r="DF424" s="687"/>
      <c r="DG424" s="16"/>
      <c r="DH424" s="687"/>
      <c r="DI424" s="16"/>
      <c r="DJ424" s="687"/>
      <c r="DK424" s="16"/>
      <c r="DL424" s="687"/>
      <c r="DM424" s="16"/>
      <c r="DN424" s="687"/>
      <c r="DO424" s="16"/>
      <c r="DP424" s="687"/>
      <c r="DQ424" s="16"/>
      <c r="DR424" s="687"/>
      <c r="DS424" s="16"/>
      <c r="DT424" s="687"/>
      <c r="DU424" s="16"/>
      <c r="DV424" s="687"/>
      <c r="DW424" s="16"/>
      <c r="DX424" s="687"/>
      <c r="DY424" s="16"/>
      <c r="DZ424" s="687"/>
      <c r="EA424" s="16"/>
      <c r="EB424" s="687"/>
      <c r="EC424" s="16"/>
      <c r="ED424" s="687"/>
      <c r="EE424" s="16"/>
      <c r="EF424" s="687"/>
      <c r="EG424" s="16"/>
      <c r="EH424" s="687"/>
      <c r="EI424" s="16"/>
      <c r="EJ424" s="687"/>
      <c r="EK424" s="16"/>
      <c r="EL424" s="687"/>
      <c r="EM424" s="687"/>
    </row>
    <row r="425" spans="1:143" ht="12.75" hidden="1" customHeight="1" outlineLevel="2" x14ac:dyDescent="0.2">
      <c r="A425" s="700" t="s">
        <v>161</v>
      </c>
      <c r="B425" s="16"/>
      <c r="C425" s="687"/>
      <c r="D425" s="16"/>
      <c r="E425" s="687"/>
      <c r="F425" s="16"/>
      <c r="G425" s="687"/>
      <c r="H425" s="16"/>
      <c r="I425" s="687"/>
      <c r="J425" s="16"/>
      <c r="K425" s="687"/>
      <c r="L425" s="16"/>
      <c r="M425" s="687"/>
      <c r="N425" s="16"/>
      <c r="O425" s="687"/>
      <c r="P425" s="16"/>
      <c r="Q425" s="687"/>
      <c r="R425" s="16"/>
      <c r="S425" s="687"/>
      <c r="T425" s="16"/>
      <c r="U425" s="687"/>
      <c r="V425" s="16"/>
      <c r="W425" s="687"/>
      <c r="X425" s="16"/>
      <c r="Y425" s="687"/>
      <c r="Z425" s="16"/>
      <c r="AA425" s="687"/>
      <c r="AB425" s="16"/>
      <c r="AC425" s="687"/>
      <c r="AD425" s="16"/>
      <c r="AE425" s="687"/>
      <c r="AF425" s="16"/>
      <c r="AG425" s="687"/>
      <c r="AH425" s="16"/>
      <c r="AI425" s="687"/>
      <c r="AJ425" s="16"/>
      <c r="AK425" s="687"/>
      <c r="AL425" s="16"/>
      <c r="AM425" s="687"/>
      <c r="AN425" s="16"/>
      <c r="AO425" s="687"/>
      <c r="AP425" s="16"/>
      <c r="AQ425" s="687"/>
      <c r="AR425" s="16"/>
      <c r="AS425" s="687"/>
      <c r="AT425" s="16"/>
      <c r="AU425" s="687"/>
      <c r="AV425" s="16"/>
      <c r="AW425" s="687"/>
      <c r="AX425" s="16"/>
      <c r="AY425" s="687"/>
      <c r="AZ425" s="16"/>
      <c r="BA425" s="687"/>
      <c r="BB425" s="16"/>
      <c r="BC425" s="687"/>
      <c r="BD425" s="16"/>
      <c r="BE425" s="687"/>
      <c r="BF425" s="16"/>
      <c r="BG425" s="687"/>
      <c r="BH425" s="16"/>
      <c r="BI425" s="687"/>
      <c r="BJ425" s="16"/>
      <c r="BK425" s="687"/>
      <c r="BL425" s="16"/>
      <c r="BM425" s="687"/>
      <c r="BN425" s="16"/>
      <c r="BO425" s="687"/>
      <c r="BP425" s="16"/>
      <c r="BQ425" s="687"/>
      <c r="BR425" s="16"/>
      <c r="BS425" s="687"/>
      <c r="BT425" s="16"/>
      <c r="BU425" s="687"/>
      <c r="BV425" s="16"/>
      <c r="BW425" s="687"/>
      <c r="BX425" s="16"/>
      <c r="BY425" s="687"/>
      <c r="BZ425" s="16"/>
      <c r="CA425" s="687"/>
      <c r="CB425" s="16"/>
      <c r="CC425" s="687"/>
      <c r="CD425" s="16"/>
      <c r="CE425" s="687"/>
      <c r="CF425" s="16"/>
      <c r="CG425" s="687"/>
      <c r="CH425" s="16"/>
      <c r="CI425" s="687"/>
      <c r="CJ425" s="16"/>
      <c r="CK425" s="687"/>
      <c r="CL425" s="16"/>
      <c r="CM425" s="687"/>
      <c r="CN425" s="16"/>
      <c r="CO425" s="687"/>
      <c r="CP425" s="16"/>
      <c r="CQ425" s="687"/>
      <c r="CR425" s="16"/>
      <c r="CS425" s="687"/>
      <c r="CT425" s="16"/>
      <c r="CU425" s="687"/>
      <c r="CV425" s="16"/>
      <c r="CW425" s="687"/>
      <c r="CX425" s="16"/>
      <c r="CY425" s="687"/>
      <c r="CZ425" s="16"/>
      <c r="DA425" s="687"/>
      <c r="DB425" s="16"/>
      <c r="DC425" s="16"/>
      <c r="DD425" s="687"/>
      <c r="DE425" s="16"/>
      <c r="DF425" s="687"/>
      <c r="DG425" s="16"/>
      <c r="DH425" s="687"/>
      <c r="DI425" s="16"/>
      <c r="DJ425" s="687"/>
      <c r="DK425" s="16"/>
      <c r="DL425" s="687"/>
      <c r="DM425" s="16"/>
      <c r="DN425" s="687"/>
      <c r="DO425" s="16"/>
      <c r="DP425" s="687"/>
      <c r="DQ425" s="16"/>
      <c r="DR425" s="687"/>
      <c r="DS425" s="16"/>
      <c r="DT425" s="687"/>
      <c r="DU425" s="16"/>
      <c r="DV425" s="687"/>
      <c r="DW425" s="16"/>
      <c r="DX425" s="687"/>
      <c r="DY425" s="16"/>
      <c r="DZ425" s="687"/>
      <c r="EA425" s="16"/>
      <c r="EB425" s="687"/>
      <c r="EC425" s="16"/>
      <c r="ED425" s="687"/>
      <c r="EE425" s="16"/>
      <c r="EF425" s="687"/>
      <c r="EG425" s="16"/>
      <c r="EH425" s="687"/>
      <c r="EI425" s="16"/>
      <c r="EJ425" s="687"/>
      <c r="EK425" s="16"/>
      <c r="EL425" s="687"/>
      <c r="EM425" s="687"/>
    </row>
    <row r="426" spans="1:143" ht="12.75" hidden="1" customHeight="1" outlineLevel="2" x14ac:dyDescent="0.2">
      <c r="A426" s="701" t="str">
        <f>INPUT!B400</f>
        <v>Pretax Margin (%)</v>
      </c>
      <c r="B426" s="464">
        <f>INPUT!AY400</f>
        <v>16.833810888252167</v>
      </c>
      <c r="C426" s="687" t="str">
        <f>INPUT!AZ400</f>
        <v>NM</v>
      </c>
      <c r="D426" s="464">
        <f>INPUT!BA400</f>
        <v>13.585746102449878</v>
      </c>
      <c r="E426" s="687" t="str">
        <f>INPUT!BB400</f>
        <v>NM</v>
      </c>
      <c r="F426" s="464">
        <f>INPUT!BC400</f>
        <v>14.31623931623932</v>
      </c>
      <c r="G426" s="687" t="str">
        <f>INPUT!BD400</f>
        <v>NM</v>
      </c>
      <c r="H426" s="464">
        <f>INPUT!BE400</f>
        <v>15.245130960376093</v>
      </c>
      <c r="I426" s="687">
        <f>INPUT!BF400</f>
        <v>43.483585509422106</v>
      </c>
      <c r="J426" s="156">
        <f>INPUT!BG400</f>
        <v>16.988674217188557</v>
      </c>
      <c r="K426" s="687">
        <f>INPUT!BH400</f>
        <v>0.91995407317106981</v>
      </c>
      <c r="L426" s="156">
        <f>INPUT!BI400</f>
        <v>11.854304635761594</v>
      </c>
      <c r="M426" s="687">
        <f>INPUT!BJ400</f>
        <v>-12.744544566279348</v>
      </c>
      <c r="N426" s="156">
        <f>INPUT!BK400</f>
        <v>22.718187874750164</v>
      </c>
      <c r="O426" s="687">
        <f>INPUT!BL400</f>
        <v>58.688237692284687</v>
      </c>
      <c r="P426" s="156">
        <f>INPUT!BM400</f>
        <v>30.35971223021583</v>
      </c>
      <c r="Q426" s="687">
        <f>INPUT!BN400</f>
        <v>99.143663043133785</v>
      </c>
      <c r="R426" s="156">
        <f>INPUT!BO400</f>
        <v>16.043225270157947</v>
      </c>
      <c r="S426" s="687">
        <f>INPUT!BP400</f>
        <v>-5.565172037227228</v>
      </c>
      <c r="T426" s="156">
        <f>INPUT!BQ400</f>
        <v>18.905872888173782</v>
      </c>
      <c r="U426" s="687">
        <f>INPUT!BR400</f>
        <v>59.485296430963139</v>
      </c>
      <c r="V426" s="156">
        <f>INPUT!BS400</f>
        <v>7.3703366696997339</v>
      </c>
      <c r="W426" s="687" t="str">
        <f>INPUT!BT400</f>
        <v>NM</v>
      </c>
      <c r="X426" s="156">
        <f>INPUT!BU400</f>
        <v>-7.5721153846153815</v>
      </c>
      <c r="Y426" s="687" t="str">
        <f>INPUT!BV400</f>
        <v>NM</v>
      </c>
      <c r="Z426" s="156">
        <f>INPUT!BW400</f>
        <v>4.2735042735042725</v>
      </c>
      <c r="AA426" s="687" t="str">
        <f>INPUT!BX400</f>
        <v>NM</v>
      </c>
      <c r="AB426" s="156">
        <f>INPUT!BY400</f>
        <v>10.807860262008726</v>
      </c>
      <c r="AC426" s="687">
        <f>INPUT!BZ400</f>
        <v>-42.833317848183661</v>
      </c>
      <c r="AD426" s="156"/>
      <c r="AE426" s="687"/>
      <c r="AF426" s="156"/>
      <c r="AG426" s="687"/>
      <c r="AH426" s="156"/>
      <c r="AI426" s="687"/>
      <c r="AJ426" s="156"/>
      <c r="AK426" s="687"/>
      <c r="AL426" s="156"/>
      <c r="AM426" s="687"/>
      <c r="AN426" s="156"/>
      <c r="AO426" s="687"/>
      <c r="AP426" s="156"/>
      <c r="AQ426" s="687"/>
      <c r="AR426" s="156"/>
      <c r="AS426" s="687"/>
      <c r="AT426" s="156"/>
      <c r="AU426" s="687"/>
      <c r="AV426" s="156"/>
      <c r="AW426" s="687"/>
      <c r="AX426" s="156"/>
      <c r="AY426" s="687"/>
      <c r="AZ426" s="156"/>
      <c r="BA426" s="687"/>
      <c r="BB426" s="156"/>
      <c r="BC426" s="687"/>
      <c r="BD426" s="156"/>
      <c r="BE426" s="687"/>
      <c r="BF426" s="156"/>
      <c r="BG426" s="687"/>
      <c r="BH426" s="156"/>
      <c r="BI426" s="687"/>
      <c r="BJ426" s="156"/>
      <c r="BK426" s="687"/>
      <c r="BL426" s="156"/>
      <c r="BM426" s="687"/>
      <c r="BN426" s="156"/>
      <c r="BO426" s="687"/>
      <c r="BP426" s="156"/>
      <c r="BQ426" s="687"/>
      <c r="BR426" s="156"/>
      <c r="BS426" s="687"/>
      <c r="BT426" s="156"/>
      <c r="BU426" s="687"/>
      <c r="BV426" s="156"/>
      <c r="BW426" s="687"/>
      <c r="BX426" s="156"/>
      <c r="BY426" s="687"/>
      <c r="BZ426" s="156"/>
      <c r="CA426" s="687"/>
      <c r="CB426" s="156"/>
      <c r="CC426" s="687"/>
      <c r="CD426" s="156"/>
      <c r="CE426" s="687"/>
      <c r="CF426" s="156"/>
      <c r="CG426" s="687"/>
      <c r="CH426" s="156"/>
      <c r="CI426" s="687"/>
      <c r="CJ426" s="156"/>
      <c r="CK426" s="687"/>
      <c r="CL426" s="156"/>
      <c r="CM426" s="687"/>
      <c r="CN426" s="156"/>
      <c r="CO426" s="687"/>
      <c r="CP426" s="156"/>
      <c r="CQ426" s="687"/>
      <c r="CR426" s="156"/>
      <c r="CS426" s="687"/>
      <c r="CT426" s="156"/>
      <c r="CU426" s="687"/>
      <c r="CV426" s="156"/>
      <c r="CW426" s="687"/>
      <c r="CX426" s="156"/>
      <c r="CY426" s="687"/>
      <c r="CZ426" s="156"/>
      <c r="DA426" s="687"/>
      <c r="DB426" s="16"/>
      <c r="DC426" s="464">
        <f>INPUT!FP400</f>
        <v>5.6127811645995402</v>
      </c>
      <c r="DD426" s="687" t="str">
        <f>INPUT!FQ400</f>
        <v>NA</v>
      </c>
      <c r="DE426" s="156">
        <f>INPUT!FR400</f>
        <v>15.010645848119236</v>
      </c>
      <c r="DF426" s="687" t="str">
        <f>INPUT!FS400</f>
        <v>NM</v>
      </c>
      <c r="DG426" s="156">
        <f>INPUT!FT400</f>
        <v>20.281260589630641</v>
      </c>
      <c r="DH426" s="687">
        <f>INPUT!FU400</f>
        <v>35.112511445813553</v>
      </c>
      <c r="DI426" s="156">
        <f>INPUT!FV400</f>
        <v>10.189627598811976</v>
      </c>
      <c r="DJ426" s="687">
        <f>INPUT!FW400</f>
        <v>-49.758410953894519</v>
      </c>
      <c r="DK426" s="156">
        <f>INPUT!FX400</f>
        <v>7.7233429394812552</v>
      </c>
      <c r="DL426" s="687">
        <f>INPUT!FY400</f>
        <v>-24.20387433607749</v>
      </c>
      <c r="DM426" s="156"/>
      <c r="DN426" s="687"/>
      <c r="DO426" s="156"/>
      <c r="DP426" s="687"/>
      <c r="DQ426" s="156"/>
      <c r="DR426" s="687"/>
      <c r="DS426" s="156"/>
      <c r="DT426" s="687"/>
      <c r="DU426" s="156"/>
      <c r="DV426" s="687"/>
      <c r="DW426" s="156"/>
      <c r="DX426" s="687"/>
      <c r="DY426" s="156"/>
      <c r="DZ426" s="687"/>
      <c r="EA426" s="156"/>
      <c r="EB426" s="687"/>
      <c r="EC426" s="156"/>
      <c r="ED426" s="687"/>
      <c r="EE426" s="156"/>
      <c r="EF426" s="687"/>
      <c r="EG426" s="156"/>
      <c r="EH426" s="687"/>
      <c r="EI426" s="156"/>
      <c r="EJ426" s="687"/>
      <c r="EK426" s="156"/>
      <c r="EL426" s="687"/>
      <c r="EM426" s="687"/>
    </row>
    <row r="427" spans="1:143" ht="12.75" hidden="1" customHeight="1" outlineLevel="2" x14ac:dyDescent="0.2">
      <c r="A427" s="701" t="str">
        <f>INPUT!B401</f>
        <v>After-tax Margin (%)</v>
      </c>
      <c r="B427" s="464">
        <f>INPUT!AY401</f>
        <v>10.959885386819504</v>
      </c>
      <c r="C427" s="687" t="str">
        <f>INPUT!AZ401</f>
        <v>NM</v>
      </c>
      <c r="D427" s="464">
        <f>INPUT!BA401</f>
        <v>8.9086859688195865</v>
      </c>
      <c r="E427" s="687" t="str">
        <f>INPUT!BB401</f>
        <v>NM</v>
      </c>
      <c r="F427" s="464">
        <f>INPUT!BC401</f>
        <v>9.5441595441595499</v>
      </c>
      <c r="G427" s="687" t="str">
        <f>INPUT!BD401</f>
        <v>NM</v>
      </c>
      <c r="H427" s="464">
        <f>INPUT!BE401</f>
        <v>9.6709200805910012</v>
      </c>
      <c r="I427" s="687">
        <f>INPUT!BF401</f>
        <v>37.541974479516547</v>
      </c>
      <c r="J427" s="156">
        <f>INPUT!BG401</f>
        <v>10.792804796802148</v>
      </c>
      <c r="K427" s="687">
        <f>INPUT!BH401</f>
        <v>-1.5244738801583613</v>
      </c>
      <c r="L427" s="156">
        <f>INPUT!BI401</f>
        <v>7.4834437086092764</v>
      </c>
      <c r="M427" s="687">
        <f>INPUT!BJ401</f>
        <v>-15.998344370860751</v>
      </c>
      <c r="N427" s="156">
        <f>INPUT!BK401</f>
        <v>14.523650899400394</v>
      </c>
      <c r="O427" s="687">
        <f>INPUT!BL401</f>
        <v>52.173178080284629</v>
      </c>
      <c r="P427" s="156">
        <f>INPUT!BM401</f>
        <v>19.424460431654676</v>
      </c>
      <c r="Q427" s="687" t="str">
        <f>INPUT!BN401</f>
        <v>NM</v>
      </c>
      <c r="R427" s="156">
        <f>INPUT!BO401</f>
        <v>10.141313383208654</v>
      </c>
      <c r="S427" s="687">
        <f>INPUT!BP401</f>
        <v>-6.0363494555792148</v>
      </c>
      <c r="T427" s="156">
        <f>INPUT!BQ401</f>
        <v>12.067578439259865</v>
      </c>
      <c r="U427" s="687">
        <f>INPUT!BR401</f>
        <v>61.257021621968001</v>
      </c>
      <c r="V427" s="156">
        <f>INPUT!BS401</f>
        <v>4.8225659690627918</v>
      </c>
      <c r="W427" s="687" t="str">
        <f>INPUT!BT401</f>
        <v>NM</v>
      </c>
      <c r="X427" s="156">
        <f>INPUT!BU401</f>
        <v>-5.1682692307692273</v>
      </c>
      <c r="Y427" s="687" t="str">
        <f>INPUT!BV401</f>
        <v>NM</v>
      </c>
      <c r="Z427" s="156">
        <f>INPUT!BW401</f>
        <v>1.7094017094017093</v>
      </c>
      <c r="AA427" s="687" t="str">
        <f>INPUT!BX401</f>
        <v>NM</v>
      </c>
      <c r="AB427" s="156">
        <f>INPUT!BY401</f>
        <v>5.567685589519642</v>
      </c>
      <c r="AC427" s="687" t="str">
        <f>INPUT!BZ401</f>
        <v>NM</v>
      </c>
      <c r="AD427" s="156"/>
      <c r="AE427" s="687"/>
      <c r="AF427" s="156"/>
      <c r="AG427" s="687"/>
      <c r="AH427" s="156"/>
      <c r="AI427" s="687"/>
      <c r="AJ427" s="156"/>
      <c r="AK427" s="687"/>
      <c r="AL427" s="156"/>
      <c r="AM427" s="687"/>
      <c r="AN427" s="156"/>
      <c r="AO427" s="687"/>
      <c r="AP427" s="156"/>
      <c r="AQ427" s="687"/>
      <c r="AR427" s="156"/>
      <c r="AS427" s="687"/>
      <c r="AT427" s="156"/>
      <c r="AU427" s="687"/>
      <c r="AV427" s="156"/>
      <c r="AW427" s="687"/>
      <c r="AX427" s="156"/>
      <c r="AY427" s="687"/>
      <c r="AZ427" s="156"/>
      <c r="BA427" s="687"/>
      <c r="BB427" s="156"/>
      <c r="BC427" s="687"/>
      <c r="BD427" s="156"/>
      <c r="BE427" s="687"/>
      <c r="BF427" s="156"/>
      <c r="BG427" s="687"/>
      <c r="BH427" s="156"/>
      <c r="BI427" s="687"/>
      <c r="BJ427" s="156"/>
      <c r="BK427" s="687"/>
      <c r="BL427" s="156"/>
      <c r="BM427" s="687"/>
      <c r="BN427" s="156"/>
      <c r="BO427" s="687"/>
      <c r="BP427" s="156"/>
      <c r="BQ427" s="687"/>
      <c r="BR427" s="156"/>
      <c r="BS427" s="687"/>
      <c r="BT427" s="156"/>
      <c r="BU427" s="687"/>
      <c r="BV427" s="156"/>
      <c r="BW427" s="687"/>
      <c r="BX427" s="156"/>
      <c r="BY427" s="687"/>
      <c r="BZ427" s="156"/>
      <c r="CA427" s="687"/>
      <c r="CB427" s="156"/>
      <c r="CC427" s="687"/>
      <c r="CD427" s="156"/>
      <c r="CE427" s="687"/>
      <c r="CF427" s="156"/>
      <c r="CG427" s="687"/>
      <c r="CH427" s="156"/>
      <c r="CI427" s="687"/>
      <c r="CJ427" s="156"/>
      <c r="CK427" s="687"/>
      <c r="CL427" s="156"/>
      <c r="CM427" s="687"/>
      <c r="CN427" s="156"/>
      <c r="CO427" s="687"/>
      <c r="CP427" s="156"/>
      <c r="CQ427" s="687"/>
      <c r="CR427" s="156"/>
      <c r="CS427" s="687"/>
      <c r="CT427" s="156"/>
      <c r="CU427" s="687"/>
      <c r="CV427" s="156"/>
      <c r="CW427" s="687"/>
      <c r="CX427" s="156"/>
      <c r="CY427" s="687"/>
      <c r="CZ427" s="156"/>
      <c r="DA427" s="687"/>
      <c r="DB427" s="16"/>
      <c r="DC427" s="464">
        <f>INPUT!FP401</f>
        <v>3.5736808913180611</v>
      </c>
      <c r="DD427" s="687" t="str">
        <f>INPUT!FQ401</f>
        <v>NA</v>
      </c>
      <c r="DE427" s="156">
        <f>INPUT!FR401</f>
        <v>9.7764371894961002</v>
      </c>
      <c r="DF427" s="687" t="str">
        <f>INPUT!FS401</f>
        <v>NM</v>
      </c>
      <c r="DG427" s="156">
        <f>INPUT!FT401</f>
        <v>12.927821077600818</v>
      </c>
      <c r="DH427" s="687">
        <f>INPUT!FU401</f>
        <v>32.234482020613761</v>
      </c>
      <c r="DI427" s="156">
        <f>INPUT!FV401</f>
        <v>6.442769019876633</v>
      </c>
      <c r="DJ427" s="687" t="str">
        <f>INPUT!FW401</f>
        <v>NM</v>
      </c>
      <c r="DK427" s="156">
        <f>INPUT!FX401</f>
        <v>3.7463976945244823</v>
      </c>
      <c r="DL427" s="687">
        <f>INPUT!FY401</f>
        <v>-41.851125145625367</v>
      </c>
      <c r="DM427" s="156"/>
      <c r="DN427" s="687"/>
      <c r="DO427" s="156"/>
      <c r="DP427" s="687"/>
      <c r="DQ427" s="156"/>
      <c r="DR427" s="687"/>
      <c r="DS427" s="156"/>
      <c r="DT427" s="687"/>
      <c r="DU427" s="156"/>
      <c r="DV427" s="687"/>
      <c r="DW427" s="156"/>
      <c r="DX427" s="687"/>
      <c r="DY427" s="156"/>
      <c r="DZ427" s="687"/>
      <c r="EA427" s="156"/>
      <c r="EB427" s="687"/>
      <c r="EC427" s="156"/>
      <c r="ED427" s="687"/>
      <c r="EE427" s="156"/>
      <c r="EF427" s="687"/>
      <c r="EG427" s="156"/>
      <c r="EH427" s="687"/>
      <c r="EI427" s="156"/>
      <c r="EJ427" s="687"/>
      <c r="EK427" s="156"/>
      <c r="EL427" s="687"/>
      <c r="EM427" s="687"/>
    </row>
    <row r="428" spans="1:143" ht="12.75" hidden="1" customHeight="1" outlineLevel="2" x14ac:dyDescent="0.2">
      <c r="A428" s="701" t="str">
        <f>INPUT!B402</f>
        <v>Pretax Op Income/Avg AUM (%)</v>
      </c>
      <c r="B428" s="464">
        <f>INPUT!AY402</f>
        <v>0.11459152388440899</v>
      </c>
      <c r="C428" s="687" t="str">
        <f>INPUT!AZ402</f>
        <v>NM</v>
      </c>
      <c r="D428" s="464">
        <f>INPUT!BA402</f>
        <v>8.494244337170434E-2</v>
      </c>
      <c r="E428" s="687" t="str">
        <f>INPUT!BB402</f>
        <v>NM</v>
      </c>
      <c r="F428" s="464">
        <f>INPUT!BC402</f>
        <v>9.1657878986519253E-2</v>
      </c>
      <c r="G428" s="687">
        <f>INPUT!BD402</f>
        <v>93.42711284617458</v>
      </c>
      <c r="H428" s="464">
        <f>INPUT!BE402</f>
        <v>9.720690725733068E-2</v>
      </c>
      <c r="I428" s="687">
        <f>INPUT!BF402</f>
        <v>34.827231190091993</v>
      </c>
      <c r="J428" s="464">
        <f>INPUT!BG402</f>
        <v>0.10767898992884754</v>
      </c>
      <c r="K428" s="687">
        <f>INPUT!BH402</f>
        <v>-6.0323257089540672</v>
      </c>
      <c r="L428" s="464">
        <f>INPUT!BI402</f>
        <v>7.4029653218635652E-2</v>
      </c>
      <c r="M428" s="687">
        <f>INPUT!BJ402</f>
        <v>-12.84727601408262</v>
      </c>
      <c r="N428" s="464">
        <f>INPUT!BK402</f>
        <v>0.13818255495897069</v>
      </c>
      <c r="O428" s="687">
        <f>INPUT!BL402</f>
        <v>50.759058017580941</v>
      </c>
      <c r="P428" s="464">
        <f>INPUT!BM402</f>
        <v>0.18242436359510006</v>
      </c>
      <c r="Q428" s="687">
        <f>INPUT!BN402</f>
        <v>87.666050430117835</v>
      </c>
      <c r="R428" s="464">
        <f>INPUT!BO402</f>
        <v>9.4206656700936628E-2</v>
      </c>
      <c r="S428" s="687">
        <f>INPUT!BP402</f>
        <v>-12.511570954383211</v>
      </c>
      <c r="T428" s="464">
        <f>INPUT!BQ402</f>
        <v>0.12189666016118895</v>
      </c>
      <c r="U428" s="687">
        <f>INPUT!BR402</f>
        <v>64.659234322204867</v>
      </c>
      <c r="V428" s="464">
        <f>INPUT!BS402</f>
        <v>4.5540796963946917E-2</v>
      </c>
      <c r="W428" s="687" t="str">
        <f>INPUT!BT402</f>
        <v>NM</v>
      </c>
      <c r="X428" s="464">
        <f>INPUT!BU402</f>
        <v>-4.1604411388382112E-2</v>
      </c>
      <c r="Y428" s="687" t="str">
        <f>INPUT!BV402</f>
        <v>NM</v>
      </c>
      <c r="Z428" s="464">
        <f>INPUT!BW402</f>
        <v>2.6327666616518731E-2</v>
      </c>
      <c r="AA428" s="687" t="str">
        <f>INPUT!BX402</f>
        <v>NM</v>
      </c>
      <c r="AB428" s="464">
        <f>INPUT!BY402</f>
        <v>7.2212040810744213E-2</v>
      </c>
      <c r="AC428" s="687">
        <f>INPUT!BZ402</f>
        <v>-40.759623179785841</v>
      </c>
      <c r="AD428" s="464"/>
      <c r="AE428" s="687"/>
      <c r="AF428" s="464"/>
      <c r="AG428" s="687"/>
      <c r="AH428" s="464"/>
      <c r="AI428" s="687"/>
      <c r="AJ428" s="464"/>
      <c r="AK428" s="687"/>
      <c r="AL428" s="464"/>
      <c r="AM428" s="687"/>
      <c r="AN428" s="464"/>
      <c r="AO428" s="687"/>
      <c r="AP428" s="464"/>
      <c r="AQ428" s="687"/>
      <c r="AR428" s="464"/>
      <c r="AS428" s="687"/>
      <c r="AT428" s="464"/>
      <c r="AU428" s="687"/>
      <c r="AV428" s="464"/>
      <c r="AW428" s="687"/>
      <c r="AX428" s="464"/>
      <c r="AY428" s="687"/>
      <c r="AZ428" s="464"/>
      <c r="BA428" s="687"/>
      <c r="BB428" s="464"/>
      <c r="BC428" s="687"/>
      <c r="BD428" s="464"/>
      <c r="BE428" s="687"/>
      <c r="BF428" s="464"/>
      <c r="BG428" s="687"/>
      <c r="BH428" s="464"/>
      <c r="BI428" s="687"/>
      <c r="BJ428" s="464"/>
      <c r="BK428" s="687"/>
      <c r="BL428" s="464"/>
      <c r="BM428" s="687"/>
      <c r="BN428" s="464"/>
      <c r="BO428" s="687"/>
      <c r="BP428" s="464"/>
      <c r="BQ428" s="687"/>
      <c r="BR428" s="464"/>
      <c r="BS428" s="687"/>
      <c r="BT428" s="464"/>
      <c r="BU428" s="687"/>
      <c r="BV428" s="464"/>
      <c r="BW428" s="687"/>
      <c r="BX428" s="464"/>
      <c r="BY428" s="687"/>
      <c r="BZ428" s="464"/>
      <c r="CA428" s="687"/>
      <c r="CB428" s="464"/>
      <c r="CC428" s="687"/>
      <c r="CD428" s="464"/>
      <c r="CE428" s="687"/>
      <c r="CF428" s="464"/>
      <c r="CG428" s="687"/>
      <c r="CH428" s="464"/>
      <c r="CI428" s="687"/>
      <c r="CJ428" s="464"/>
      <c r="CK428" s="687"/>
      <c r="CL428" s="464"/>
      <c r="CM428" s="687"/>
      <c r="CN428" s="464"/>
      <c r="CO428" s="687"/>
      <c r="CP428" s="464"/>
      <c r="CQ428" s="687"/>
      <c r="CR428" s="464"/>
      <c r="CS428" s="687"/>
      <c r="CT428" s="464"/>
      <c r="CU428" s="687"/>
      <c r="CV428" s="464"/>
      <c r="CW428" s="687"/>
      <c r="CX428" s="464"/>
      <c r="CY428" s="687"/>
      <c r="CZ428" s="464"/>
      <c r="DA428" s="687"/>
      <c r="DB428" s="16"/>
      <c r="DC428" s="464">
        <f>INPUT!FP402</f>
        <v>3.9624825621085775E-2</v>
      </c>
      <c r="DD428" s="687" t="str">
        <f>INPUT!FQ402</f>
        <v>NA</v>
      </c>
      <c r="DE428" s="464">
        <f>INPUT!FR402</f>
        <v>9.6718875042871869E-2</v>
      </c>
      <c r="DF428" s="687" t="str">
        <f>INPUT!FS402</f>
        <v>NM</v>
      </c>
      <c r="DG428" s="464">
        <f>INPUT!FT402</f>
        <v>0.13367804474920017</v>
      </c>
      <c r="DH428" s="687">
        <f>INPUT!FU402</f>
        <v>38.212985510786467</v>
      </c>
      <c r="DI428" s="464">
        <f>INPUT!FV402</f>
        <v>6.3760284205033657E-2</v>
      </c>
      <c r="DJ428" s="687" t="str">
        <f>INPUT!FW402</f>
        <v>NM</v>
      </c>
      <c r="DK428" s="464">
        <f>INPUT!FX402</f>
        <v>2.3841507352614071E-2</v>
      </c>
      <c r="DL428" s="687" t="str">
        <f>INPUT!FY402</f>
        <v>NM</v>
      </c>
      <c r="DM428" s="464"/>
      <c r="DN428" s="687"/>
      <c r="DO428" s="464"/>
      <c r="DP428" s="687"/>
      <c r="DQ428" s="464"/>
      <c r="DR428" s="687"/>
      <c r="DS428" s="464"/>
      <c r="DT428" s="687"/>
      <c r="DU428" s="464"/>
      <c r="DV428" s="687"/>
      <c r="DW428" s="464"/>
      <c r="DX428" s="687"/>
      <c r="DY428" s="464"/>
      <c r="DZ428" s="687"/>
      <c r="EA428" s="464"/>
      <c r="EB428" s="687"/>
      <c r="EC428" s="464"/>
      <c r="ED428" s="687"/>
      <c r="EE428" s="464"/>
      <c r="EF428" s="687"/>
      <c r="EG428" s="464"/>
      <c r="EH428" s="687"/>
      <c r="EI428" s="464"/>
      <c r="EJ428" s="687"/>
      <c r="EK428" s="464"/>
      <c r="EL428" s="687"/>
      <c r="EM428" s="687"/>
    </row>
    <row r="429" spans="1:143" ht="12.75" hidden="1" customHeight="1" outlineLevel="2" x14ac:dyDescent="0.2">
      <c r="A429" s="701" t="str">
        <f>INPUT!B403</f>
        <v>After-tax Op Income/Avg AUM (%)</v>
      </c>
      <c r="B429" s="464">
        <f>INPUT!AY403</f>
        <v>7.4606396401338676E-2</v>
      </c>
      <c r="C429" s="687" t="str">
        <f>INPUT!AZ403</f>
        <v>NM</v>
      </c>
      <c r="D429" s="464">
        <f>INPUT!BA403</f>
        <v>5.5699962866691342E-2</v>
      </c>
      <c r="E429" s="687" t="str">
        <f>INPUT!BB403</f>
        <v>NM</v>
      </c>
      <c r="F429" s="464">
        <f>INPUT!BC403</f>
        <v>6.1105252657679528E-2</v>
      </c>
      <c r="G429" s="687" t="str">
        <f>INPUT!BD403</f>
        <v>NM</v>
      </c>
      <c r="H429" s="464">
        <f>INPUT!BE403</f>
        <v>6.1664293590553379E-2</v>
      </c>
      <c r="I429" s="687">
        <f>INPUT!BF403</f>
        <v>29.244077123189506</v>
      </c>
      <c r="J429" s="464">
        <f>INPUT!BG403</f>
        <v>6.8407828895973771E-2</v>
      </c>
      <c r="K429" s="687">
        <f>INPUT!BH403</f>
        <v>-8.3083593423012196</v>
      </c>
      <c r="L429" s="464">
        <f>INPUT!BI403</f>
        <v>4.6733803428524186E-2</v>
      </c>
      <c r="M429" s="687">
        <f>INPUT!BJ403</f>
        <v>-16.097244911322793</v>
      </c>
      <c r="N429" s="464">
        <f>INPUT!BK403</f>
        <v>8.8339580589605893E-2</v>
      </c>
      <c r="O429" s="687">
        <f>INPUT!BL403</f>
        <v>44.569536574043831</v>
      </c>
      <c r="P429" s="464">
        <f>INPUT!BM403</f>
        <v>0.11671700988312089</v>
      </c>
      <c r="Q429" s="687">
        <f>INPUT!BN403</f>
        <v>89.278110697438166</v>
      </c>
      <c r="R429" s="464">
        <f>INPUT!BO403</f>
        <v>5.9550321852405559E-2</v>
      </c>
      <c r="S429" s="687">
        <f>INPUT!BP403</f>
        <v>-12.948089694583963</v>
      </c>
      <c r="T429" s="464">
        <f>INPUT!BQ403</f>
        <v>7.7806378826290851E-2</v>
      </c>
      <c r="U429" s="687">
        <f>INPUT!BR403</f>
        <v>66.488436887637064</v>
      </c>
      <c r="V429" s="464">
        <f>INPUT!BS403</f>
        <v>2.9798299248014665E-2</v>
      </c>
      <c r="W429" s="687" t="str">
        <f>INPUT!BT403</f>
        <v>NM</v>
      </c>
      <c r="X429" s="464">
        <f>INPUT!BU403</f>
        <v>-2.8396661741276676E-2</v>
      </c>
      <c r="Y429" s="687" t="str">
        <f>INPUT!BV403</f>
        <v>NM</v>
      </c>
      <c r="Z429" s="464">
        <f>INPUT!BW403</f>
        <v>1.0531066646607492E-2</v>
      </c>
      <c r="AA429" s="687" t="str">
        <f>INPUT!BX403</f>
        <v>NM</v>
      </c>
      <c r="AB429" s="464">
        <f>INPUT!BY403</f>
        <v>3.7200142235837903E-2</v>
      </c>
      <c r="AC429" s="687" t="str">
        <f>INPUT!BZ403</f>
        <v>NM</v>
      </c>
      <c r="AD429" s="464"/>
      <c r="AE429" s="687"/>
      <c r="AF429" s="464"/>
      <c r="AG429" s="687"/>
      <c r="AH429" s="464"/>
      <c r="AI429" s="687"/>
      <c r="AJ429" s="464"/>
      <c r="AK429" s="687"/>
      <c r="AL429" s="464"/>
      <c r="AM429" s="687"/>
      <c r="AN429" s="464"/>
      <c r="AO429" s="687"/>
      <c r="AP429" s="464"/>
      <c r="AQ429" s="687"/>
      <c r="AR429" s="464"/>
      <c r="AS429" s="687"/>
      <c r="AT429" s="464"/>
      <c r="AU429" s="687"/>
      <c r="AV429" s="464"/>
      <c r="AW429" s="687"/>
      <c r="AX429" s="464"/>
      <c r="AY429" s="687"/>
      <c r="AZ429" s="464"/>
      <c r="BA429" s="687"/>
      <c r="BB429" s="464"/>
      <c r="BC429" s="687"/>
      <c r="BD429" s="464"/>
      <c r="BE429" s="687"/>
      <c r="BF429" s="464"/>
      <c r="BG429" s="687"/>
      <c r="BH429" s="464"/>
      <c r="BI429" s="687"/>
      <c r="BJ429" s="464"/>
      <c r="BK429" s="687"/>
      <c r="BL429" s="464"/>
      <c r="BM429" s="687"/>
      <c r="BN429" s="464"/>
      <c r="BO429" s="687"/>
      <c r="BP429" s="464"/>
      <c r="BQ429" s="687"/>
      <c r="BR429" s="464"/>
      <c r="BS429" s="687"/>
      <c r="BT429" s="464"/>
      <c r="BU429" s="687"/>
      <c r="BV429" s="464"/>
      <c r="BW429" s="687"/>
      <c r="BX429" s="464"/>
      <c r="BY429" s="687"/>
      <c r="BZ429" s="464"/>
      <c r="CA429" s="687"/>
      <c r="CB429" s="464"/>
      <c r="CC429" s="687"/>
      <c r="CD429" s="464"/>
      <c r="CE429" s="687"/>
      <c r="CF429" s="464"/>
      <c r="CG429" s="687"/>
      <c r="CH429" s="464"/>
      <c r="CI429" s="687"/>
      <c r="CJ429" s="464"/>
      <c r="CK429" s="687"/>
      <c r="CL429" s="464"/>
      <c r="CM429" s="687"/>
      <c r="CN429" s="464"/>
      <c r="CO429" s="687"/>
      <c r="CP429" s="464"/>
      <c r="CQ429" s="687"/>
      <c r="CR429" s="464"/>
      <c r="CS429" s="687"/>
      <c r="CT429" s="464"/>
      <c r="CU429" s="687"/>
      <c r="CV429" s="464"/>
      <c r="CW429" s="687"/>
      <c r="CX429" s="464"/>
      <c r="CY429" s="687"/>
      <c r="CZ429" s="464"/>
      <c r="DA429" s="687"/>
      <c r="DB429" s="16"/>
      <c r="DC429" s="464">
        <f>INPUT!FP403</f>
        <v>2.5229289721290578E-2</v>
      </c>
      <c r="DD429" s="687" t="str">
        <f>INPUT!FQ403</f>
        <v>NA</v>
      </c>
      <c r="DE429" s="464">
        <f>INPUT!FR403</f>
        <v>6.2993026180404726E-2</v>
      </c>
      <c r="DF429" s="687" t="str">
        <f>INPUT!FS403</f>
        <v>NM</v>
      </c>
      <c r="DG429" s="464">
        <f>INPUT!FT403</f>
        <v>8.5209981740718241E-2</v>
      </c>
      <c r="DH429" s="687">
        <f>INPUT!FU403</f>
        <v>35.268912937579366</v>
      </c>
      <c r="DI429" s="464">
        <f>INPUT!FV403</f>
        <v>4.0314798533227572E-2</v>
      </c>
      <c r="DJ429" s="687" t="str">
        <f>INPUT!FW403</f>
        <v>NM</v>
      </c>
      <c r="DK429" s="464">
        <f>INPUT!FX403</f>
        <v>1.1564910282984417E-2</v>
      </c>
      <c r="DL429" s="687" t="str">
        <f>INPUT!FY403</f>
        <v>NM</v>
      </c>
      <c r="DM429" s="464"/>
      <c r="DN429" s="687"/>
      <c r="DO429" s="464"/>
      <c r="DP429" s="687"/>
      <c r="DQ429" s="464"/>
      <c r="DR429" s="687"/>
      <c r="DS429" s="464"/>
      <c r="DT429" s="687"/>
      <c r="DU429" s="464"/>
      <c r="DV429" s="687"/>
      <c r="DW429" s="464"/>
      <c r="DX429" s="687"/>
      <c r="DY429" s="464"/>
      <c r="DZ429" s="687"/>
      <c r="EA429" s="464"/>
      <c r="EB429" s="687"/>
      <c r="EC429" s="464"/>
      <c r="ED429" s="687"/>
      <c r="EE429" s="464"/>
      <c r="EF429" s="687"/>
      <c r="EG429" s="464"/>
      <c r="EH429" s="687"/>
      <c r="EI429" s="464"/>
      <c r="EJ429" s="687"/>
      <c r="EK429" s="464"/>
      <c r="EL429" s="687"/>
      <c r="EM429" s="687"/>
    </row>
    <row r="430" spans="1:143" ht="12.75" hidden="1" customHeight="1" outlineLevel="2" x14ac:dyDescent="0.2">
      <c r="A430" s="701"/>
      <c r="B430" s="16"/>
      <c r="C430" s="687"/>
      <c r="D430" s="16"/>
      <c r="E430" s="687"/>
      <c r="F430" s="16"/>
      <c r="G430" s="687"/>
      <c r="H430" s="16"/>
      <c r="I430" s="687"/>
      <c r="J430" s="16"/>
      <c r="K430" s="687"/>
      <c r="L430" s="16"/>
      <c r="M430" s="687"/>
      <c r="N430" s="16"/>
      <c r="O430" s="687"/>
      <c r="P430" s="16"/>
      <c r="Q430" s="687"/>
      <c r="R430" s="16"/>
      <c r="S430" s="687"/>
      <c r="T430" s="16"/>
      <c r="U430" s="687"/>
      <c r="V430" s="16"/>
      <c r="W430" s="687"/>
      <c r="X430" s="16"/>
      <c r="Y430" s="687"/>
      <c r="Z430" s="16"/>
      <c r="AA430" s="687"/>
      <c r="AB430" s="16"/>
      <c r="AC430" s="687"/>
      <c r="AD430" s="16"/>
      <c r="AE430" s="687"/>
      <c r="AF430" s="16"/>
      <c r="AG430" s="687"/>
      <c r="AH430" s="16"/>
      <c r="AI430" s="687"/>
      <c r="AJ430" s="16"/>
      <c r="AK430" s="687"/>
      <c r="AL430" s="16"/>
      <c r="AM430" s="687"/>
      <c r="AN430" s="16"/>
      <c r="AO430" s="687"/>
      <c r="AP430" s="16"/>
      <c r="AQ430" s="687"/>
      <c r="AR430" s="16"/>
      <c r="AS430" s="687"/>
      <c r="AT430" s="16"/>
      <c r="AU430" s="687"/>
      <c r="AV430" s="16"/>
      <c r="AW430" s="687"/>
      <c r="AX430" s="16"/>
      <c r="AY430" s="687"/>
      <c r="AZ430" s="16"/>
      <c r="BA430" s="687"/>
      <c r="BB430" s="16"/>
      <c r="BC430" s="687"/>
      <c r="BD430" s="16"/>
      <c r="BE430" s="687"/>
      <c r="BF430" s="16"/>
      <c r="BG430" s="687"/>
      <c r="BH430" s="16"/>
      <c r="BI430" s="687"/>
      <c r="BJ430" s="16"/>
      <c r="BK430" s="687"/>
      <c r="BL430" s="16"/>
      <c r="BM430" s="687"/>
      <c r="BN430" s="16"/>
      <c r="BO430" s="687"/>
      <c r="BP430" s="16"/>
      <c r="BQ430" s="687"/>
      <c r="BR430" s="16"/>
      <c r="BS430" s="687"/>
      <c r="BT430" s="16"/>
      <c r="BU430" s="687"/>
      <c r="BV430" s="16"/>
      <c r="BW430" s="687"/>
      <c r="BX430" s="16"/>
      <c r="BY430" s="687"/>
      <c r="BZ430" s="16"/>
      <c r="CA430" s="687"/>
      <c r="CB430" s="16"/>
      <c r="CC430" s="687"/>
      <c r="CD430" s="16"/>
      <c r="CE430" s="687"/>
      <c r="CF430" s="16"/>
      <c r="CG430" s="687"/>
      <c r="CH430" s="16"/>
      <c r="CI430" s="687"/>
      <c r="CJ430" s="16"/>
      <c r="CK430" s="687"/>
      <c r="CL430" s="16"/>
      <c r="CM430" s="687"/>
      <c r="CN430" s="16"/>
      <c r="CO430" s="687"/>
      <c r="CP430" s="16"/>
      <c r="CQ430" s="687"/>
      <c r="CR430" s="16"/>
      <c r="CS430" s="687"/>
      <c r="CT430" s="16"/>
      <c r="CU430" s="687"/>
      <c r="CV430" s="16"/>
      <c r="CW430" s="687"/>
      <c r="CX430" s="16"/>
      <c r="CY430" s="687"/>
      <c r="CZ430" s="16"/>
      <c r="DA430" s="687"/>
      <c r="DB430" s="16"/>
      <c r="DC430" s="16"/>
      <c r="DD430" s="687"/>
      <c r="DE430" s="16"/>
      <c r="DF430" s="687"/>
      <c r="DG430" s="16"/>
      <c r="DH430" s="687"/>
      <c r="DI430" s="16"/>
      <c r="DJ430" s="687"/>
      <c r="DK430" s="16"/>
      <c r="DL430" s="687"/>
      <c r="DM430" s="16"/>
      <c r="DN430" s="687"/>
      <c r="DO430" s="16"/>
      <c r="DP430" s="687"/>
      <c r="DQ430" s="16"/>
      <c r="DR430" s="687"/>
      <c r="DS430" s="16"/>
      <c r="DT430" s="687"/>
      <c r="DU430" s="16"/>
      <c r="DV430" s="687"/>
      <c r="DW430" s="16"/>
      <c r="DX430" s="687"/>
      <c r="DY430" s="16"/>
      <c r="DZ430" s="687"/>
      <c r="EA430" s="16"/>
      <c r="EB430" s="687"/>
      <c r="EC430" s="16"/>
      <c r="ED430" s="687"/>
      <c r="EE430" s="16"/>
      <c r="EF430" s="687"/>
      <c r="EG430" s="16"/>
      <c r="EH430" s="687"/>
      <c r="EI430" s="16"/>
      <c r="EJ430" s="687"/>
      <c r="EK430" s="16"/>
      <c r="EL430" s="687"/>
      <c r="EM430" s="687"/>
    </row>
    <row r="431" spans="1:143" ht="12.75" hidden="1" customHeight="1" outlineLevel="2" x14ac:dyDescent="0.2">
      <c r="A431" s="700" t="str">
        <f>INPUT!B378</f>
        <v>Revenue Analysis</v>
      </c>
      <c r="B431" s="16"/>
      <c r="C431" s="687"/>
      <c r="D431" s="16"/>
      <c r="E431" s="687"/>
      <c r="F431" s="16"/>
      <c r="G431" s="687"/>
      <c r="H431" s="16"/>
      <c r="I431" s="687"/>
      <c r="J431" s="16"/>
      <c r="K431" s="687"/>
      <c r="L431" s="16"/>
      <c r="M431" s="687"/>
      <c r="N431" s="16"/>
      <c r="O431" s="687"/>
      <c r="P431" s="16"/>
      <c r="Q431" s="687"/>
      <c r="R431" s="16"/>
      <c r="S431" s="687"/>
      <c r="T431" s="16"/>
      <c r="U431" s="687"/>
      <c r="V431" s="16"/>
      <c r="W431" s="687"/>
      <c r="X431" s="16"/>
      <c r="Y431" s="687"/>
      <c r="Z431" s="16"/>
      <c r="AA431" s="687"/>
      <c r="AB431" s="16"/>
      <c r="AC431" s="687"/>
      <c r="AD431" s="16"/>
      <c r="AE431" s="687"/>
      <c r="AF431" s="16"/>
      <c r="AG431" s="687"/>
      <c r="AH431" s="16"/>
      <c r="AI431" s="687"/>
      <c r="AJ431" s="16"/>
      <c r="AK431" s="687"/>
      <c r="AL431" s="16"/>
      <c r="AM431" s="687"/>
      <c r="AN431" s="16"/>
      <c r="AO431" s="687"/>
      <c r="AP431" s="16"/>
      <c r="AQ431" s="687"/>
      <c r="AR431" s="16"/>
      <c r="AS431" s="687"/>
      <c r="AT431" s="16"/>
      <c r="AU431" s="687"/>
      <c r="AV431" s="16"/>
      <c r="AW431" s="687"/>
      <c r="AX431" s="16"/>
      <c r="AY431" s="687"/>
      <c r="AZ431" s="16"/>
      <c r="BA431" s="687"/>
      <c r="BB431" s="16"/>
      <c r="BC431" s="687"/>
      <c r="BD431" s="16"/>
      <c r="BE431" s="687"/>
      <c r="BF431" s="16"/>
      <c r="BG431" s="687"/>
      <c r="BH431" s="16"/>
      <c r="BI431" s="687"/>
      <c r="BJ431" s="16"/>
      <c r="BK431" s="687"/>
      <c r="BL431" s="16"/>
      <c r="BM431" s="687"/>
      <c r="BN431" s="16"/>
      <c r="BO431" s="687"/>
      <c r="BP431" s="16"/>
      <c r="BQ431" s="687"/>
      <c r="BR431" s="16"/>
      <c r="BS431" s="687"/>
      <c r="BT431" s="16"/>
      <c r="BU431" s="687"/>
      <c r="BV431" s="16"/>
      <c r="BW431" s="687"/>
      <c r="BX431" s="16"/>
      <c r="BY431" s="687"/>
      <c r="BZ431" s="16"/>
      <c r="CA431" s="687"/>
      <c r="CB431" s="16"/>
      <c r="CC431" s="687"/>
      <c r="CD431" s="16"/>
      <c r="CE431" s="687"/>
      <c r="CF431" s="16"/>
      <c r="CG431" s="687"/>
      <c r="CH431" s="16"/>
      <c r="CI431" s="687"/>
      <c r="CJ431" s="16"/>
      <c r="CK431" s="687"/>
      <c r="CL431" s="16"/>
      <c r="CM431" s="687"/>
      <c r="CN431" s="16"/>
      <c r="CO431" s="687"/>
      <c r="CP431" s="16"/>
      <c r="CQ431" s="687"/>
      <c r="CR431" s="16"/>
      <c r="CS431" s="687"/>
      <c r="CT431" s="16"/>
      <c r="CU431" s="687"/>
      <c r="CV431" s="16"/>
      <c r="CW431" s="687"/>
      <c r="CX431" s="16"/>
      <c r="CY431" s="687"/>
      <c r="CZ431" s="16"/>
      <c r="DA431" s="687"/>
      <c r="DB431" s="16"/>
      <c r="DC431" s="16"/>
      <c r="DD431" s="687"/>
      <c r="DE431" s="16"/>
      <c r="DF431" s="687"/>
      <c r="DG431" s="16"/>
      <c r="DH431" s="687"/>
      <c r="DI431" s="16"/>
      <c r="DJ431" s="687"/>
      <c r="DK431" s="16"/>
      <c r="DL431" s="687"/>
      <c r="DM431" s="16"/>
      <c r="DN431" s="687"/>
      <c r="DO431" s="16"/>
      <c r="DP431" s="687"/>
      <c r="DQ431" s="16"/>
      <c r="DR431" s="687"/>
      <c r="DS431" s="16"/>
      <c r="DT431" s="687"/>
      <c r="DU431" s="16"/>
      <c r="DV431" s="687"/>
      <c r="DW431" s="16"/>
      <c r="DX431" s="687"/>
      <c r="DY431" s="16"/>
      <c r="DZ431" s="687"/>
      <c r="EA431" s="16"/>
      <c r="EB431" s="687"/>
      <c r="EC431" s="16"/>
      <c r="ED431" s="687"/>
      <c r="EE431" s="16"/>
      <c r="EF431" s="687"/>
      <c r="EG431" s="16"/>
      <c r="EH431" s="687"/>
      <c r="EI431" s="16"/>
      <c r="EJ431" s="687"/>
      <c r="EK431" s="16"/>
      <c r="EL431" s="687"/>
      <c r="EM431" s="687"/>
    </row>
    <row r="432" spans="1:143" ht="12.75" hidden="1" customHeight="1" outlineLevel="2" x14ac:dyDescent="0.2">
      <c r="A432" s="701" t="str">
        <f>INPUT!B379</f>
        <v>Invest Advisory Fees/Avg AUM (%)</v>
      </c>
      <c r="B432" s="464">
        <f>INPUT!AY379</f>
        <v>0.50176458756194353</v>
      </c>
      <c r="C432" s="687">
        <f>INPUT!AZ379</f>
        <v>-8.6613964831437578</v>
      </c>
      <c r="D432" s="464">
        <f>INPUT!BA379</f>
        <v>0.48598217601188265</v>
      </c>
      <c r="E432" s="687">
        <f>INPUT!BB379</f>
        <v>-11.662497968602182</v>
      </c>
      <c r="F432" s="464">
        <f>INPUT!BC379</f>
        <v>0.48382591843132794</v>
      </c>
      <c r="G432" s="687">
        <f>INPUT!BD379</f>
        <v>-8.6798130115977692</v>
      </c>
      <c r="H432" s="464">
        <f>INPUT!BE379</f>
        <v>0.4761853782826066</v>
      </c>
      <c r="I432" s="687">
        <f>INPUT!BF379</f>
        <v>-5.844199580066423</v>
      </c>
      <c r="J432" s="464">
        <f>INPUT!BG379</f>
        <v>0.4847665899541837</v>
      </c>
      <c r="K432" s="687">
        <f>INPUT!BH379</f>
        <v>-3.3876439328555441</v>
      </c>
      <c r="L432" s="464">
        <f>INPUT!BI379</f>
        <v>0.46444301991356313</v>
      </c>
      <c r="M432" s="687">
        <f>INPUT!BJ379</f>
        <v>-4.43208766936195</v>
      </c>
      <c r="N432" s="464">
        <f>INPUT!BK379</f>
        <v>0.45223381622935871</v>
      </c>
      <c r="O432" s="687">
        <f>INPUT!BL379</f>
        <v>-6.5296423772413625</v>
      </c>
      <c r="P432" s="464">
        <f>INPUT!BM379</f>
        <v>0.46686803953248351</v>
      </c>
      <c r="Q432" s="687">
        <f>INPUT!BN379</f>
        <v>-1.9566620847802363</v>
      </c>
      <c r="R432" s="464">
        <f>INPUT!BO379</f>
        <v>0.46956893132798444</v>
      </c>
      <c r="S432" s="687">
        <f>INPUT!BP379</f>
        <v>-3.1350466267973665</v>
      </c>
      <c r="T432" s="464">
        <f>INPUT!BQ379</f>
        <v>0.50003566125696208</v>
      </c>
      <c r="U432" s="687">
        <f>INPUT!BR379</f>
        <v>7.6635108758923876</v>
      </c>
      <c r="V432" s="464">
        <f>INPUT!BS379</f>
        <v>0.49645091011314929</v>
      </c>
      <c r="W432" s="687">
        <f>INPUT!BT379</f>
        <v>9.7774850745272701</v>
      </c>
      <c r="X432" s="464">
        <f>INPUT!BU379</f>
        <v>0.45368620037807189</v>
      </c>
      <c r="Y432" s="687">
        <f>INPUT!BV379</f>
        <v>-2.8234614576769457</v>
      </c>
      <c r="Z432" s="464">
        <f>INPUT!BW379</f>
        <v>0.47841131337445464</v>
      </c>
      <c r="AA432" s="687">
        <f>INPUT!BX379</f>
        <v>1.8830849863646471</v>
      </c>
      <c r="AB432" s="464">
        <f>INPUT!BY379</f>
        <v>0.49454306737055165</v>
      </c>
      <c r="AC432" s="687">
        <f>INPUT!BZ379</f>
        <v>-1.0984404337489595</v>
      </c>
      <c r="AD432" s="464"/>
      <c r="AE432" s="687"/>
      <c r="AF432" s="464"/>
      <c r="AG432" s="687"/>
      <c r="AH432" s="464"/>
      <c r="AI432" s="687"/>
      <c r="AJ432" s="464"/>
      <c r="AK432" s="687"/>
      <c r="AL432" s="464"/>
      <c r="AM432" s="687"/>
      <c r="AN432" s="464"/>
      <c r="AO432" s="687"/>
      <c r="AP432" s="464"/>
      <c r="AQ432" s="687"/>
      <c r="AR432" s="464"/>
      <c r="AS432" s="687"/>
      <c r="AT432" s="464"/>
      <c r="AU432" s="687"/>
      <c r="AV432" s="464"/>
      <c r="AW432" s="687"/>
      <c r="AX432" s="464"/>
      <c r="AY432" s="687"/>
      <c r="AZ432" s="464"/>
      <c r="BA432" s="687"/>
      <c r="BB432" s="464"/>
      <c r="BC432" s="687"/>
      <c r="BD432" s="464"/>
      <c r="BE432" s="687"/>
      <c r="BF432" s="464"/>
      <c r="BG432" s="687"/>
      <c r="BH432" s="464"/>
      <c r="BI432" s="687"/>
      <c r="BJ432" s="464"/>
      <c r="BK432" s="687"/>
      <c r="BL432" s="464"/>
      <c r="BM432" s="687"/>
      <c r="BN432" s="464"/>
      <c r="BO432" s="687"/>
      <c r="BP432" s="464"/>
      <c r="BQ432" s="687"/>
      <c r="BR432" s="464"/>
      <c r="BS432" s="687"/>
      <c r="BT432" s="464"/>
      <c r="BU432" s="687"/>
      <c r="BV432" s="464"/>
      <c r="BW432" s="687"/>
      <c r="BX432" s="464"/>
      <c r="BY432" s="687"/>
      <c r="BZ432" s="464"/>
      <c r="CA432" s="687"/>
      <c r="CB432" s="464"/>
      <c r="CC432" s="687"/>
      <c r="CD432" s="464"/>
      <c r="CE432" s="687"/>
      <c r="CF432" s="464"/>
      <c r="CG432" s="687"/>
      <c r="CH432" s="464"/>
      <c r="CI432" s="687"/>
      <c r="CJ432" s="464"/>
      <c r="CK432" s="687"/>
      <c r="CL432" s="464"/>
      <c r="CM432" s="687"/>
      <c r="CN432" s="464"/>
      <c r="CO432" s="687"/>
      <c r="CP432" s="464"/>
      <c r="CQ432" s="687"/>
      <c r="CR432" s="464"/>
      <c r="CS432" s="687"/>
      <c r="CT432" s="464"/>
      <c r="CU432" s="687"/>
      <c r="CV432" s="464"/>
      <c r="CW432" s="687"/>
      <c r="CX432" s="464"/>
      <c r="CY432" s="687"/>
      <c r="CZ432" s="464"/>
      <c r="DA432" s="687"/>
      <c r="DB432" s="16"/>
      <c r="DC432" s="464">
        <f>INPUT!FP379</f>
        <v>0.52625330206880183</v>
      </c>
      <c r="DD432" s="687" t="str">
        <f>INPUT!FQ379</f>
        <v>NA</v>
      </c>
      <c r="DE432" s="464">
        <f>INPUT!FR379</f>
        <v>0.48576654853092494</v>
      </c>
      <c r="DF432" s="687">
        <f>INPUT!FS379</f>
        <v>-7.6933965789318108</v>
      </c>
      <c r="DG432" s="464">
        <f>INPUT!FT379</f>
        <v>0.49886368078084958</v>
      </c>
      <c r="DH432" s="687">
        <f>INPUT!FU379</f>
        <v>2.69617829583646</v>
      </c>
      <c r="DI432" s="464">
        <f>INPUT!FV379</f>
        <v>0.49978913358923227</v>
      </c>
      <c r="DJ432" s="687">
        <f>INPUT!FW379</f>
        <v>0.18551216375064516</v>
      </c>
      <c r="DK432" s="464">
        <f>INPUT!FX379</f>
        <v>0.23378910941294737</v>
      </c>
      <c r="DL432" s="687" t="str">
        <f>INPUT!FY379</f>
        <v>NM</v>
      </c>
      <c r="DM432" s="464"/>
      <c r="DN432" s="687"/>
      <c r="DO432" s="464"/>
      <c r="DP432" s="687"/>
      <c r="DQ432" s="464"/>
      <c r="DR432" s="687"/>
      <c r="DS432" s="464"/>
      <c r="DT432" s="687"/>
      <c r="DU432" s="464"/>
      <c r="DV432" s="687"/>
      <c r="DW432" s="464"/>
      <c r="DX432" s="687"/>
      <c r="DY432" s="464"/>
      <c r="DZ432" s="687"/>
      <c r="EA432" s="464"/>
      <c r="EB432" s="687"/>
      <c r="EC432" s="464"/>
      <c r="ED432" s="687"/>
      <c r="EE432" s="464"/>
      <c r="EF432" s="687"/>
      <c r="EG432" s="464"/>
      <c r="EH432" s="687"/>
      <c r="EI432" s="464"/>
      <c r="EJ432" s="687"/>
      <c r="EK432" s="464"/>
      <c r="EL432" s="687"/>
      <c r="EM432" s="687"/>
    </row>
    <row r="433" spans="1:143" ht="12.75" hidden="1" customHeight="1" outlineLevel="2" x14ac:dyDescent="0.2">
      <c r="A433" s="701" t="str">
        <f>INPUT!B381</f>
        <v>Other Revenue and Fees/Avg AUM (%)</v>
      </c>
      <c r="B433" s="464">
        <f>INPUT!AY381</f>
        <v>0.17895782666203425</v>
      </c>
      <c r="C433" s="687">
        <f>INPUT!AZ381</f>
        <v>-13.634269126986453</v>
      </c>
      <c r="D433" s="464">
        <f>INPUT!BA381</f>
        <v>0.13924990716672855</v>
      </c>
      <c r="E433" s="687">
        <f>INPUT!BB381</f>
        <v>-21.434229124492411</v>
      </c>
      <c r="F433" s="464">
        <f>INPUT!BC381</f>
        <v>0.1564112064297318</v>
      </c>
      <c r="G433" s="687">
        <f>INPUT!BD381</f>
        <v>-10.175736471450126</v>
      </c>
      <c r="H433" s="464">
        <f>INPUT!BE381</f>
        <v>0.16144054641415712</v>
      </c>
      <c r="I433" s="687">
        <f>INPUT!BF381</f>
        <v>-6.5854733983082507</v>
      </c>
      <c r="J433" s="464">
        <f>INPUT!BG381</f>
        <v>0.14906150370542406</v>
      </c>
      <c r="K433" s="687">
        <f>INPUT!BH381</f>
        <v>-16.705792372562744</v>
      </c>
      <c r="L433" s="464">
        <f>INPUT!BI381</f>
        <v>0.16005293740565357</v>
      </c>
      <c r="M433" s="687">
        <f>INPUT!BJ381</f>
        <v>14.939349448913353</v>
      </c>
      <c r="N433" s="464">
        <f>INPUT!BK381</f>
        <v>0.1560125620504508</v>
      </c>
      <c r="O433" s="687">
        <f>INPUT!BL381</f>
        <v>-0.25486944853921889</v>
      </c>
      <c r="P433" s="464">
        <f>INPUT!BM381</f>
        <v>0.13400841875469435</v>
      </c>
      <c r="Q433" s="687">
        <f>INPUT!BN381</f>
        <v>-16.992092921371071</v>
      </c>
      <c r="R433" s="464">
        <f>INPUT!BO381</f>
        <v>0.11763629152811252</v>
      </c>
      <c r="S433" s="687">
        <f>INPUT!BP381</f>
        <v>-21.082044254306041</v>
      </c>
      <c r="T433" s="464">
        <f>INPUT!BQ381</f>
        <v>0.14471986461690084</v>
      </c>
      <c r="U433" s="687">
        <f>INPUT!BR381</f>
        <v>-9.5800008655205886</v>
      </c>
      <c r="V433" s="464">
        <f>INPUT!BS381</f>
        <v>0.12144212523719165</v>
      </c>
      <c r="W433" s="687">
        <f>INPUT!BT381</f>
        <v>-22.158752063875397</v>
      </c>
      <c r="X433" s="464">
        <f>INPUT!BU381</f>
        <v>9.575618494151443E-2</v>
      </c>
      <c r="Y433" s="687">
        <f>INPUT!BV381</f>
        <v>-28.544649782937558</v>
      </c>
      <c r="Z433" s="464">
        <f>INPUT!BW381</f>
        <v>0.13765608545208363</v>
      </c>
      <c r="AA433" s="687">
        <f>INPUT!BX381</f>
        <v>17.018382391956678</v>
      </c>
      <c r="AB433" s="464">
        <f>INPUT!BY381</f>
        <v>0.17360066376724384</v>
      </c>
      <c r="AC433" s="687">
        <f>INPUT!BZ381</f>
        <v>19.956347545511875</v>
      </c>
      <c r="AD433" s="464"/>
      <c r="AE433" s="687"/>
      <c r="AF433" s="464"/>
      <c r="AG433" s="687"/>
      <c r="AH433" s="464"/>
      <c r="AI433" s="687"/>
      <c r="AJ433" s="464"/>
      <c r="AK433" s="687"/>
      <c r="AL433" s="464"/>
      <c r="AM433" s="687"/>
      <c r="AN433" s="464"/>
      <c r="AO433" s="687"/>
      <c r="AP433" s="464"/>
      <c r="AQ433" s="687"/>
      <c r="AR433" s="464"/>
      <c r="AS433" s="687"/>
      <c r="AT433" s="464"/>
      <c r="AU433" s="687"/>
      <c r="AV433" s="464"/>
      <c r="AW433" s="687"/>
      <c r="AX433" s="464"/>
      <c r="AY433" s="687"/>
      <c r="AZ433" s="464"/>
      <c r="BA433" s="687"/>
      <c r="BB433" s="464"/>
      <c r="BC433" s="687"/>
      <c r="BD433" s="464"/>
      <c r="BE433" s="687"/>
      <c r="BF433" s="464"/>
      <c r="BG433" s="687"/>
      <c r="BH433" s="464"/>
      <c r="BI433" s="687"/>
      <c r="BJ433" s="464"/>
      <c r="BK433" s="687"/>
      <c r="BL433" s="464"/>
      <c r="BM433" s="687"/>
      <c r="BN433" s="464"/>
      <c r="BO433" s="687"/>
      <c r="BP433" s="464"/>
      <c r="BQ433" s="687"/>
      <c r="BR433" s="464"/>
      <c r="BS433" s="687"/>
      <c r="BT433" s="464"/>
      <c r="BU433" s="687"/>
      <c r="BV433" s="464"/>
      <c r="BW433" s="687"/>
      <c r="BX433" s="464"/>
      <c r="BY433" s="687"/>
      <c r="BZ433" s="464"/>
      <c r="CA433" s="687"/>
      <c r="CB433" s="464"/>
      <c r="CC433" s="687"/>
      <c r="CD433" s="464"/>
      <c r="CE433" s="687"/>
      <c r="CF433" s="464"/>
      <c r="CG433" s="687"/>
      <c r="CH433" s="464"/>
      <c r="CI433" s="687"/>
      <c r="CJ433" s="464"/>
      <c r="CK433" s="687"/>
      <c r="CL433" s="464"/>
      <c r="CM433" s="687"/>
      <c r="CN433" s="464"/>
      <c r="CO433" s="687"/>
      <c r="CP433" s="464"/>
      <c r="CQ433" s="687"/>
      <c r="CR433" s="464"/>
      <c r="CS433" s="687"/>
      <c r="CT433" s="464"/>
      <c r="CU433" s="687"/>
      <c r="CV433" s="464"/>
      <c r="CW433" s="687"/>
      <c r="CX433" s="464"/>
      <c r="CY433" s="687"/>
      <c r="CZ433" s="464"/>
      <c r="DA433" s="687"/>
      <c r="DB433" s="16"/>
      <c r="DC433" s="464">
        <f>INPUT!FP381</f>
        <v>0.17972158736754623</v>
      </c>
      <c r="DD433" s="687" t="str">
        <f>INPUT!FQ381</f>
        <v>NA</v>
      </c>
      <c r="DE433" s="464">
        <f>INPUT!FR381</f>
        <v>0.15856865210929461</v>
      </c>
      <c r="DF433" s="687">
        <f>INPUT!FS381</f>
        <v>-11.769835537337004</v>
      </c>
      <c r="DG433" s="464">
        <f>INPUT!FT381</f>
        <v>0.16025730510869021</v>
      </c>
      <c r="DH433" s="687">
        <f>INPUT!FU381</f>
        <v>1.0649349521062224</v>
      </c>
      <c r="DI433" s="464">
        <f>INPUT!FV381</f>
        <v>0.12594800534671441</v>
      </c>
      <c r="DJ433" s="687">
        <f>INPUT!FW381</f>
        <v>-21.408883506874421</v>
      </c>
      <c r="DK433" s="464">
        <f>INPUT!FX381</f>
        <v>7.4905034294407036E-2</v>
      </c>
      <c r="DL433" s="687">
        <f>INPUT!FY381</f>
        <v>-40.527018202308454</v>
      </c>
      <c r="DM433" s="464"/>
      <c r="DN433" s="687"/>
      <c r="DO433" s="464"/>
      <c r="DP433" s="687"/>
      <c r="DQ433" s="464"/>
      <c r="DR433" s="687"/>
      <c r="DS433" s="464"/>
      <c r="DT433" s="687"/>
      <c r="DU433" s="464"/>
      <c r="DV433" s="687"/>
      <c r="DW433" s="464"/>
      <c r="DX433" s="687"/>
      <c r="DY433" s="464"/>
      <c r="DZ433" s="687"/>
      <c r="EA433" s="464"/>
      <c r="EB433" s="687"/>
      <c r="EC433" s="464"/>
      <c r="ED433" s="687"/>
      <c r="EE433" s="464"/>
      <c r="EF433" s="687"/>
      <c r="EG433" s="464"/>
      <c r="EH433" s="687"/>
      <c r="EI433" s="464"/>
      <c r="EJ433" s="687"/>
      <c r="EK433" s="464"/>
      <c r="EL433" s="687"/>
      <c r="EM433" s="687"/>
    </row>
    <row r="434" spans="1:143" ht="12.75" hidden="1" customHeight="1" outlineLevel="2" x14ac:dyDescent="0.2">
      <c r="A434" s="701" t="str">
        <f>INPUT!B382</f>
        <v>Total Revenue/Avg AUM (%)</v>
      </c>
      <c r="B434" s="464">
        <f>INPUT!AY382</f>
        <v>0.68072241422397783</v>
      </c>
      <c r="C434" s="687">
        <f>INPUT!AZ382</f>
        <v>-10.023393449291762</v>
      </c>
      <c r="D434" s="464">
        <f>INPUT!BA382</f>
        <v>0.62523208317861123</v>
      </c>
      <c r="E434" s="687">
        <f>INPUT!BB382</f>
        <v>-14.04355735069247</v>
      </c>
      <c r="F434" s="464">
        <f>INPUT!BC382</f>
        <v>0.64023712486105966</v>
      </c>
      <c r="G434" s="687">
        <f>INPUT!BD382</f>
        <v>-9.0498508504095909</v>
      </c>
      <c r="H434" s="464">
        <f>INPUT!BE382</f>
        <v>0.63762592469676371</v>
      </c>
      <c r="I434" s="687">
        <f>INPUT!BF382</f>
        <v>-6.0329927556498797</v>
      </c>
      <c r="J434" s="464">
        <f>INPUT!BG382</f>
        <v>0.63382809365960779</v>
      </c>
      <c r="K434" s="687">
        <f>INPUT!BH382</f>
        <v>-6.8889050197986297</v>
      </c>
      <c r="L434" s="464">
        <f>INPUT!BI382</f>
        <v>0.6244959573192167</v>
      </c>
      <c r="M434" s="687">
        <f>INPUT!BJ382</f>
        <v>-0.1177364180756979</v>
      </c>
      <c r="N434" s="464">
        <f>INPUT!BK382</f>
        <v>0.60824637827980954</v>
      </c>
      <c r="O434" s="687">
        <f>INPUT!BL382</f>
        <v>-4.9967028369672484</v>
      </c>
      <c r="P434" s="464">
        <f>INPUT!BM382</f>
        <v>0.60087645828717784</v>
      </c>
      <c r="Q434" s="687">
        <f>INPUT!BN382</f>
        <v>-5.7634837270869816</v>
      </c>
      <c r="R434" s="464">
        <f>INPUT!BO382</f>
        <v>0.587205222856097</v>
      </c>
      <c r="S434" s="687">
        <f>INPUT!BP382</f>
        <v>-7.35575959316016</v>
      </c>
      <c r="T434" s="464">
        <f>INPUT!BQ382</f>
        <v>0.64475552587386298</v>
      </c>
      <c r="U434" s="687">
        <f>INPUT!BR382</f>
        <v>3.2441472706428387</v>
      </c>
      <c r="V434" s="464">
        <f>INPUT!BS382</f>
        <v>0.6178930353503409</v>
      </c>
      <c r="W434" s="687">
        <f>INPUT!BT382</f>
        <v>1.5859785466891152</v>
      </c>
      <c r="X434" s="464">
        <f>INPUT!BU382</f>
        <v>0.54944238531958633</v>
      </c>
      <c r="Y434" s="687">
        <f>INPUT!BV382</f>
        <v>-8.5598415877710323</v>
      </c>
      <c r="Z434" s="464">
        <f>INPUT!BW382</f>
        <v>0.61606739882653827</v>
      </c>
      <c r="AA434" s="687">
        <f>INPUT!BX382</f>
        <v>4.9151769853236438</v>
      </c>
      <c r="AB434" s="464">
        <f>INPUT!BY382</f>
        <v>0.66814373113779546</v>
      </c>
      <c r="AC434" s="687">
        <f>INPUT!BZ382</f>
        <v>3.6274532478389299</v>
      </c>
      <c r="AD434" s="464"/>
      <c r="AE434" s="687"/>
      <c r="AF434" s="464"/>
      <c r="AG434" s="687"/>
      <c r="AH434" s="464"/>
      <c r="AI434" s="687"/>
      <c r="AJ434" s="464"/>
      <c r="AK434" s="687"/>
      <c r="AL434" s="464"/>
      <c r="AM434" s="687"/>
      <c r="AN434" s="464"/>
      <c r="AO434" s="687"/>
      <c r="AP434" s="464"/>
      <c r="AQ434" s="687"/>
      <c r="AR434" s="464"/>
      <c r="AS434" s="687"/>
      <c r="AT434" s="464"/>
      <c r="AU434" s="687"/>
      <c r="AV434" s="464"/>
      <c r="AW434" s="687"/>
      <c r="AX434" s="464"/>
      <c r="AY434" s="687"/>
      <c r="AZ434" s="464"/>
      <c r="BA434" s="687"/>
      <c r="BB434" s="464"/>
      <c r="BC434" s="687"/>
      <c r="BD434" s="464"/>
      <c r="BE434" s="687"/>
      <c r="BF434" s="464"/>
      <c r="BG434" s="687"/>
      <c r="BH434" s="464"/>
      <c r="BI434" s="687"/>
      <c r="BJ434" s="464"/>
      <c r="BK434" s="687"/>
      <c r="BL434" s="464"/>
      <c r="BM434" s="687"/>
      <c r="BN434" s="464"/>
      <c r="BO434" s="687"/>
      <c r="BP434" s="464"/>
      <c r="BQ434" s="687"/>
      <c r="BR434" s="464"/>
      <c r="BS434" s="687"/>
      <c r="BT434" s="464"/>
      <c r="BU434" s="687"/>
      <c r="BV434" s="464"/>
      <c r="BW434" s="687"/>
      <c r="BX434" s="464"/>
      <c r="BY434" s="687"/>
      <c r="BZ434" s="464"/>
      <c r="CA434" s="687"/>
      <c r="CB434" s="464"/>
      <c r="CC434" s="687"/>
      <c r="CD434" s="464"/>
      <c r="CE434" s="687"/>
      <c r="CF434" s="464"/>
      <c r="CG434" s="687"/>
      <c r="CH434" s="464"/>
      <c r="CI434" s="687"/>
      <c r="CJ434" s="464"/>
      <c r="CK434" s="687"/>
      <c r="CL434" s="464"/>
      <c r="CM434" s="687"/>
      <c r="CN434" s="464"/>
      <c r="CO434" s="687"/>
      <c r="CP434" s="464"/>
      <c r="CQ434" s="687"/>
      <c r="CR434" s="464"/>
      <c r="CS434" s="687"/>
      <c r="CT434" s="464"/>
      <c r="CU434" s="687"/>
      <c r="CV434" s="464"/>
      <c r="CW434" s="687"/>
      <c r="CX434" s="464"/>
      <c r="CY434" s="687"/>
      <c r="CZ434" s="464"/>
      <c r="DA434" s="687"/>
      <c r="DB434" s="16"/>
      <c r="DC434" s="464">
        <f>INPUT!FP382</f>
        <v>0.70597488943634801</v>
      </c>
      <c r="DD434" s="687" t="str">
        <f>INPUT!FQ382</f>
        <v>NA</v>
      </c>
      <c r="DE434" s="464">
        <f>INPUT!FR382</f>
        <v>0.64433520064021954</v>
      </c>
      <c r="DF434" s="687">
        <f>INPUT!FS382</f>
        <v>-8.7311446509580115</v>
      </c>
      <c r="DG434" s="464">
        <f>INPUT!FT382</f>
        <v>0.65912098588953971</v>
      </c>
      <c r="DH434" s="687">
        <f>INPUT!FU382</f>
        <v>2.2947349818275953</v>
      </c>
      <c r="DI434" s="464">
        <f>INPUT!FV382</f>
        <v>0.62573713893594674</v>
      </c>
      <c r="DJ434" s="687">
        <f>INPUT!FW382</f>
        <v>-5.0649042692122226</v>
      </c>
      <c r="DK434" s="464">
        <f>INPUT!FX382</f>
        <v>0.30869414370735437</v>
      </c>
      <c r="DL434" s="687" t="str">
        <f>INPUT!FY382</f>
        <v>NM</v>
      </c>
      <c r="DM434" s="464"/>
      <c r="DN434" s="687"/>
      <c r="DO434" s="464"/>
      <c r="DP434" s="687"/>
      <c r="DQ434" s="464"/>
      <c r="DR434" s="687"/>
      <c r="DS434" s="464"/>
      <c r="DT434" s="687"/>
      <c r="DU434" s="464"/>
      <c r="DV434" s="687"/>
      <c r="DW434" s="464"/>
      <c r="DX434" s="687"/>
      <c r="DY434" s="464"/>
      <c r="DZ434" s="687"/>
      <c r="EA434" s="464"/>
      <c r="EB434" s="687"/>
      <c r="EC434" s="464"/>
      <c r="ED434" s="687"/>
      <c r="EE434" s="464"/>
      <c r="EF434" s="687"/>
      <c r="EG434" s="464"/>
      <c r="EH434" s="687"/>
      <c r="EI434" s="464"/>
      <c r="EJ434" s="687"/>
      <c r="EK434" s="464"/>
      <c r="EL434" s="687"/>
      <c r="EM434" s="687"/>
    </row>
    <row r="435" spans="1:143" ht="12.75" hidden="1" customHeight="1" outlineLevel="2" x14ac:dyDescent="0.2">
      <c r="A435" s="701"/>
      <c r="B435" s="16"/>
      <c r="C435" s="687"/>
      <c r="D435" s="16"/>
      <c r="E435" s="687"/>
      <c r="F435" s="16"/>
      <c r="G435" s="687"/>
      <c r="H435" s="16"/>
      <c r="I435" s="687"/>
      <c r="J435" s="16"/>
      <c r="K435" s="687"/>
      <c r="L435" s="16"/>
      <c r="M435" s="687"/>
      <c r="N435" s="16"/>
      <c r="O435" s="687"/>
      <c r="P435" s="16"/>
      <c r="Q435" s="687"/>
      <c r="R435" s="16"/>
      <c r="S435" s="687"/>
      <c r="T435" s="16"/>
      <c r="U435" s="687"/>
      <c r="V435" s="16"/>
      <c r="W435" s="687"/>
      <c r="X435" s="16"/>
      <c r="Y435" s="687"/>
      <c r="Z435" s="16"/>
      <c r="AA435" s="687"/>
      <c r="AB435" s="16"/>
      <c r="AC435" s="687"/>
      <c r="AD435" s="16"/>
      <c r="AE435" s="687"/>
      <c r="AF435" s="16"/>
      <c r="AG435" s="687"/>
      <c r="AH435" s="16"/>
      <c r="AI435" s="687"/>
      <c r="AJ435" s="16"/>
      <c r="AK435" s="687"/>
      <c r="AL435" s="16"/>
      <c r="AM435" s="687"/>
      <c r="AN435" s="16"/>
      <c r="AO435" s="687"/>
      <c r="AP435" s="16"/>
      <c r="AQ435" s="687"/>
      <c r="AR435" s="16"/>
      <c r="AS435" s="687"/>
      <c r="AT435" s="16"/>
      <c r="AU435" s="687"/>
      <c r="AV435" s="16"/>
      <c r="AW435" s="687"/>
      <c r="AX435" s="16"/>
      <c r="AY435" s="687"/>
      <c r="AZ435" s="16"/>
      <c r="BA435" s="687"/>
      <c r="BB435" s="16"/>
      <c r="BC435" s="687"/>
      <c r="BD435" s="16"/>
      <c r="BE435" s="687"/>
      <c r="BF435" s="16"/>
      <c r="BG435" s="687"/>
      <c r="BH435" s="16"/>
      <c r="BI435" s="687"/>
      <c r="BJ435" s="16"/>
      <c r="BK435" s="687"/>
      <c r="BL435" s="16"/>
      <c r="BM435" s="687"/>
      <c r="BN435" s="16"/>
      <c r="BO435" s="687"/>
      <c r="BP435" s="16"/>
      <c r="BQ435" s="687"/>
      <c r="BR435" s="16"/>
      <c r="BS435" s="687"/>
      <c r="BT435" s="16"/>
      <c r="BU435" s="687"/>
      <c r="BV435" s="16"/>
      <c r="BW435" s="687"/>
      <c r="BX435" s="16"/>
      <c r="BY435" s="687"/>
      <c r="BZ435" s="16"/>
      <c r="CA435" s="687"/>
      <c r="CB435" s="16"/>
      <c r="CC435" s="687"/>
      <c r="CD435" s="16"/>
      <c r="CE435" s="687"/>
      <c r="CF435" s="16"/>
      <c r="CG435" s="687"/>
      <c r="CH435" s="16"/>
      <c r="CI435" s="687"/>
      <c r="CJ435" s="16"/>
      <c r="CK435" s="687"/>
      <c r="CL435" s="16"/>
      <c r="CM435" s="687"/>
      <c r="CN435" s="16"/>
      <c r="CO435" s="687"/>
      <c r="CP435" s="16"/>
      <c r="CQ435" s="687"/>
      <c r="CR435" s="16"/>
      <c r="CS435" s="687"/>
      <c r="CT435" s="16"/>
      <c r="CU435" s="687"/>
      <c r="CV435" s="16"/>
      <c r="CW435" s="687"/>
      <c r="CX435" s="16"/>
      <c r="CY435" s="687"/>
      <c r="CZ435" s="16"/>
      <c r="DA435" s="687"/>
      <c r="DB435" s="16"/>
      <c r="DC435" s="16"/>
      <c r="DD435" s="687"/>
      <c r="DE435" s="16"/>
      <c r="DF435" s="687"/>
      <c r="DG435" s="16"/>
      <c r="DH435" s="687"/>
      <c r="DI435" s="16"/>
      <c r="DJ435" s="687"/>
      <c r="DK435" s="16"/>
      <c r="DL435" s="687"/>
      <c r="DM435" s="16"/>
      <c r="DN435" s="687"/>
      <c r="DO435" s="16"/>
      <c r="DP435" s="687"/>
      <c r="DQ435" s="16"/>
      <c r="DR435" s="687"/>
      <c r="DS435" s="16"/>
      <c r="DT435" s="687"/>
      <c r="DU435" s="16"/>
      <c r="DV435" s="687"/>
      <c r="DW435" s="16"/>
      <c r="DX435" s="687"/>
      <c r="DY435" s="16"/>
      <c r="DZ435" s="687"/>
      <c r="EA435" s="16"/>
      <c r="EB435" s="687"/>
      <c r="EC435" s="16"/>
      <c r="ED435" s="687"/>
      <c r="EE435" s="16"/>
      <c r="EF435" s="687"/>
      <c r="EG435" s="16"/>
      <c r="EH435" s="687"/>
      <c r="EI435" s="16"/>
      <c r="EJ435" s="687"/>
      <c r="EK435" s="16"/>
      <c r="EL435" s="687"/>
      <c r="EM435" s="687"/>
    </row>
    <row r="436" spans="1:143" ht="12.75" hidden="1" customHeight="1" outlineLevel="2" x14ac:dyDescent="0.2">
      <c r="A436" s="700" t="str">
        <f>INPUT!B387</f>
        <v>Benefits and Expenses Analysis</v>
      </c>
      <c r="B436" s="16"/>
      <c r="C436" s="687"/>
      <c r="D436" s="16"/>
      <c r="E436" s="687"/>
      <c r="F436" s="16"/>
      <c r="G436" s="687"/>
      <c r="H436" s="16"/>
      <c r="I436" s="687"/>
      <c r="J436" s="16"/>
      <c r="K436" s="687"/>
      <c r="L436" s="16"/>
      <c r="M436" s="687"/>
      <c r="N436" s="16"/>
      <c r="O436" s="687"/>
      <c r="P436" s="16"/>
      <c r="Q436" s="687"/>
      <c r="R436" s="16"/>
      <c r="S436" s="687"/>
      <c r="T436" s="16"/>
      <c r="U436" s="687"/>
      <c r="V436" s="16"/>
      <c r="W436" s="687"/>
      <c r="X436" s="16"/>
      <c r="Y436" s="687"/>
      <c r="Z436" s="16"/>
      <c r="AA436" s="687"/>
      <c r="AB436" s="16"/>
      <c r="AC436" s="687"/>
      <c r="AD436" s="16"/>
      <c r="AE436" s="687"/>
      <c r="AF436" s="16"/>
      <c r="AG436" s="687"/>
      <c r="AH436" s="16"/>
      <c r="AI436" s="687"/>
      <c r="AJ436" s="16"/>
      <c r="AK436" s="687"/>
      <c r="AL436" s="16"/>
      <c r="AM436" s="687"/>
      <c r="AN436" s="16"/>
      <c r="AO436" s="687"/>
      <c r="AP436" s="16"/>
      <c r="AQ436" s="687"/>
      <c r="AR436" s="16"/>
      <c r="AS436" s="687"/>
      <c r="AT436" s="16"/>
      <c r="AU436" s="687"/>
      <c r="AV436" s="16"/>
      <c r="AW436" s="687"/>
      <c r="AX436" s="16"/>
      <c r="AY436" s="687"/>
      <c r="AZ436" s="16"/>
      <c r="BA436" s="687"/>
      <c r="BB436" s="16"/>
      <c r="BC436" s="687"/>
      <c r="BD436" s="16"/>
      <c r="BE436" s="687"/>
      <c r="BF436" s="16"/>
      <c r="BG436" s="687"/>
      <c r="BH436" s="16"/>
      <c r="BI436" s="687"/>
      <c r="BJ436" s="16"/>
      <c r="BK436" s="687"/>
      <c r="BL436" s="16"/>
      <c r="BM436" s="687"/>
      <c r="BN436" s="16"/>
      <c r="BO436" s="687"/>
      <c r="BP436" s="16"/>
      <c r="BQ436" s="687"/>
      <c r="BR436" s="16"/>
      <c r="BS436" s="687"/>
      <c r="BT436" s="16"/>
      <c r="BU436" s="687"/>
      <c r="BV436" s="16"/>
      <c r="BW436" s="687"/>
      <c r="BX436" s="16"/>
      <c r="BY436" s="687"/>
      <c r="BZ436" s="16"/>
      <c r="CA436" s="687"/>
      <c r="CB436" s="16"/>
      <c r="CC436" s="687"/>
      <c r="CD436" s="16"/>
      <c r="CE436" s="687"/>
      <c r="CF436" s="16"/>
      <c r="CG436" s="687"/>
      <c r="CH436" s="16"/>
      <c r="CI436" s="687"/>
      <c r="CJ436" s="16"/>
      <c r="CK436" s="687"/>
      <c r="CL436" s="16"/>
      <c r="CM436" s="687"/>
      <c r="CN436" s="16"/>
      <c r="CO436" s="687"/>
      <c r="CP436" s="16"/>
      <c r="CQ436" s="687"/>
      <c r="CR436" s="16"/>
      <c r="CS436" s="687"/>
      <c r="CT436" s="16"/>
      <c r="CU436" s="687"/>
      <c r="CV436" s="16"/>
      <c r="CW436" s="687"/>
      <c r="CX436" s="16"/>
      <c r="CY436" s="687"/>
      <c r="CZ436" s="16"/>
      <c r="DA436" s="687"/>
      <c r="DB436" s="16"/>
      <c r="DC436" s="16"/>
      <c r="DD436" s="687"/>
      <c r="DE436" s="16"/>
      <c r="DF436" s="687"/>
      <c r="DG436" s="16"/>
      <c r="DH436" s="687"/>
      <c r="DI436" s="16"/>
      <c r="DJ436" s="687"/>
      <c r="DK436" s="16"/>
      <c r="DL436" s="687"/>
      <c r="DM436" s="16"/>
      <c r="DN436" s="687"/>
      <c r="DO436" s="16"/>
      <c r="DP436" s="687"/>
      <c r="DQ436" s="16"/>
      <c r="DR436" s="687"/>
      <c r="DS436" s="16"/>
      <c r="DT436" s="687"/>
      <c r="DU436" s="16"/>
      <c r="DV436" s="687"/>
      <c r="DW436" s="16"/>
      <c r="DX436" s="687"/>
      <c r="DY436" s="16"/>
      <c r="DZ436" s="687"/>
      <c r="EA436" s="16"/>
      <c r="EB436" s="687"/>
      <c r="EC436" s="16"/>
      <c r="ED436" s="687"/>
      <c r="EE436" s="16"/>
      <c r="EF436" s="687"/>
      <c r="EG436" s="16"/>
      <c r="EH436" s="687"/>
      <c r="EI436" s="16"/>
      <c r="EJ436" s="687"/>
      <c r="EK436" s="16"/>
      <c r="EL436" s="687"/>
      <c r="EM436" s="687"/>
    </row>
    <row r="437" spans="1:143" ht="12.75" hidden="1" customHeight="1" outlineLevel="2" x14ac:dyDescent="0.2">
      <c r="A437" s="701" t="str">
        <f>INPUT!B388</f>
        <v>Acquisition Costs/Revenues (%)</v>
      </c>
      <c r="B437" s="464">
        <f>INPUT!AY388</f>
        <v>83.16618911174784</v>
      </c>
      <c r="C437" s="687">
        <f>INPUT!AZ388</f>
        <v>-11.262483656494293</v>
      </c>
      <c r="D437" s="464">
        <f>INPUT!BA388</f>
        <v>86.414253897550125</v>
      </c>
      <c r="E437" s="687">
        <f>INPUT!BB388</f>
        <v>-15.142092013126163</v>
      </c>
      <c r="F437" s="464">
        <f>INPUT!BC388</f>
        <v>85.683760683760681</v>
      </c>
      <c r="G437" s="687">
        <f>INPUT!BD388</f>
        <v>-8.1321070234113613</v>
      </c>
      <c r="H437" s="464">
        <f>INPUT!BE388</f>
        <v>84.754869039623898</v>
      </c>
      <c r="I437" s="687">
        <f>INPUT!BF388</f>
        <v>-5.1693772983229085</v>
      </c>
      <c r="J437" s="464">
        <f>INPUT!BG388</f>
        <v>83.01132578281144</v>
      </c>
      <c r="K437" s="687">
        <f>INPUT!BH388</f>
        <v>-0.18620948078830191</v>
      </c>
      <c r="L437" s="464">
        <f>INPUT!BI388</f>
        <v>88.145695364238406</v>
      </c>
      <c r="M437" s="687">
        <f>INPUT!BJ388</f>
        <v>2.0036526251109299</v>
      </c>
      <c r="N437" s="464">
        <f>INPUT!BK388</f>
        <v>77.281812125249843</v>
      </c>
      <c r="O437" s="687">
        <f>INPUT!BL388</f>
        <v>-9.8057653999577887</v>
      </c>
      <c r="P437" s="464">
        <f>INPUT!BM388</f>
        <v>69.640287769784166</v>
      </c>
      <c r="Q437" s="687">
        <f>INPUT!BN388</f>
        <v>-17.833289628202355</v>
      </c>
      <c r="R437" s="464">
        <f>INPUT!BO388</f>
        <v>83.956774729842053</v>
      </c>
      <c r="S437" s="687">
        <f>INPUT!BP388</f>
        <v>1.1389397026428272</v>
      </c>
      <c r="T437" s="464">
        <f>INPUT!BQ388</f>
        <v>81.094127111826225</v>
      </c>
      <c r="U437" s="687">
        <f>INPUT!BR388</f>
        <v>-7.9999008723834697</v>
      </c>
      <c r="V437" s="464">
        <f>INPUT!BS388</f>
        <v>92.629663330300261</v>
      </c>
      <c r="W437" s="687">
        <f>INPUT!BT388</f>
        <v>19.859590223086787</v>
      </c>
      <c r="X437" s="464">
        <f>INPUT!BU388</f>
        <v>107.57211538461537</v>
      </c>
      <c r="Y437" s="687">
        <f>INPUT!BV388</f>
        <v>54.468223537825807</v>
      </c>
      <c r="Z437" s="464">
        <f>INPUT!BW388</f>
        <v>95.726495726495727</v>
      </c>
      <c r="AA437" s="687">
        <f>INPUT!BX388</f>
        <v>14.01878649403403</v>
      </c>
      <c r="AB437" s="464">
        <f>INPUT!BY388</f>
        <v>89.192139737991269</v>
      </c>
      <c r="AC437" s="687">
        <f>INPUT!BZ388</f>
        <v>9.9859421570666065</v>
      </c>
      <c r="AD437" s="464"/>
      <c r="AE437" s="687"/>
      <c r="AF437" s="464"/>
      <c r="AG437" s="687"/>
      <c r="AH437" s="464"/>
      <c r="AI437" s="687"/>
      <c r="AJ437" s="464"/>
      <c r="AK437" s="687"/>
      <c r="AL437" s="464"/>
      <c r="AM437" s="687"/>
      <c r="AN437" s="464"/>
      <c r="AO437" s="687"/>
      <c r="AP437" s="464"/>
      <c r="AQ437" s="687"/>
      <c r="AR437" s="464"/>
      <c r="AS437" s="687"/>
      <c r="AT437" s="464"/>
      <c r="AU437" s="687"/>
      <c r="AV437" s="464"/>
      <c r="AW437" s="687"/>
      <c r="AX437" s="464"/>
      <c r="AY437" s="687"/>
      <c r="AZ437" s="464"/>
      <c r="BA437" s="687"/>
      <c r="BB437" s="464"/>
      <c r="BC437" s="687"/>
      <c r="BD437" s="464"/>
      <c r="BE437" s="687"/>
      <c r="BF437" s="464"/>
      <c r="BG437" s="687"/>
      <c r="BH437" s="464"/>
      <c r="BI437" s="687"/>
      <c r="BJ437" s="464"/>
      <c r="BK437" s="687"/>
      <c r="BL437" s="464"/>
      <c r="BM437" s="687"/>
      <c r="BN437" s="464"/>
      <c r="BO437" s="687"/>
      <c r="BP437" s="464"/>
      <c r="BQ437" s="687"/>
      <c r="BR437" s="464"/>
      <c r="BS437" s="687"/>
      <c r="BT437" s="464"/>
      <c r="BU437" s="687"/>
      <c r="BV437" s="464"/>
      <c r="BW437" s="687"/>
      <c r="BX437" s="464"/>
      <c r="BY437" s="687"/>
      <c r="BZ437" s="464"/>
      <c r="CA437" s="687"/>
      <c r="CB437" s="464"/>
      <c r="CC437" s="687"/>
      <c r="CD437" s="464"/>
      <c r="CE437" s="687"/>
      <c r="CF437" s="464"/>
      <c r="CG437" s="687"/>
      <c r="CH437" s="464"/>
      <c r="CI437" s="687"/>
      <c r="CJ437" s="464"/>
      <c r="CK437" s="687"/>
      <c r="CL437" s="464"/>
      <c r="CM437" s="687"/>
      <c r="CN437" s="464"/>
      <c r="CO437" s="687"/>
      <c r="CP437" s="464"/>
      <c r="CQ437" s="687"/>
      <c r="CR437" s="464"/>
      <c r="CS437" s="687"/>
      <c r="CT437" s="464"/>
      <c r="CU437" s="687"/>
      <c r="CV437" s="464"/>
      <c r="CW437" s="687"/>
      <c r="CX437" s="464"/>
      <c r="CY437" s="687"/>
      <c r="CZ437" s="464"/>
      <c r="DA437" s="687"/>
      <c r="DB437" s="16"/>
      <c r="DC437" s="464">
        <f>INPUT!FP388</f>
        <v>94.387218835400461</v>
      </c>
      <c r="DD437" s="687" t="str">
        <f>INPUT!FQ388</f>
        <v>NA</v>
      </c>
      <c r="DE437" s="464">
        <f>INPUT!FR388</f>
        <v>84.989354151880761</v>
      </c>
      <c r="DF437" s="687">
        <f>INPUT!FS388</f>
        <v>-9.9567132070163105</v>
      </c>
      <c r="DG437" s="464">
        <f>INPUT!FT388</f>
        <v>79.718739410369352</v>
      </c>
      <c r="DH437" s="687">
        <f>INPUT!FU388</f>
        <v>-6.2014999338535048</v>
      </c>
      <c r="DI437" s="464">
        <f>INPUT!FV388</f>
        <v>89.810372401188019</v>
      </c>
      <c r="DJ437" s="687">
        <f>INPUT!FW388</f>
        <v>12.659047377643319</v>
      </c>
      <c r="DK437" s="464">
        <f>INPUT!FX388</f>
        <v>92.276657060518744</v>
      </c>
      <c r="DL437" s="687">
        <f>INPUT!FY388</f>
        <v>2.7461022523252554</v>
      </c>
      <c r="DM437" s="464"/>
      <c r="DN437" s="687"/>
      <c r="DO437" s="464"/>
      <c r="DP437" s="687"/>
      <c r="DQ437" s="464"/>
      <c r="DR437" s="687"/>
      <c r="DS437" s="464"/>
      <c r="DT437" s="687"/>
      <c r="DU437" s="464"/>
      <c r="DV437" s="687"/>
      <c r="DW437" s="464"/>
      <c r="DX437" s="687"/>
      <c r="DY437" s="464"/>
      <c r="DZ437" s="687"/>
      <c r="EA437" s="464"/>
      <c r="EB437" s="687"/>
      <c r="EC437" s="464"/>
      <c r="ED437" s="687"/>
      <c r="EE437" s="464"/>
      <c r="EF437" s="687"/>
      <c r="EG437" s="464"/>
      <c r="EH437" s="687"/>
      <c r="EI437" s="464"/>
      <c r="EJ437" s="687"/>
      <c r="EK437" s="464"/>
      <c r="EL437" s="687"/>
      <c r="EM437" s="687"/>
    </row>
    <row r="438" spans="1:143" ht="12.75" hidden="1" customHeight="1" outlineLevel="2" x14ac:dyDescent="0.2">
      <c r="A438" s="701"/>
      <c r="B438" s="16"/>
      <c r="C438" s="687"/>
      <c r="D438" s="16"/>
      <c r="E438" s="687"/>
      <c r="F438" s="16"/>
      <c r="G438" s="687"/>
      <c r="H438" s="16"/>
      <c r="I438" s="687"/>
      <c r="J438" s="16"/>
      <c r="K438" s="687"/>
      <c r="L438" s="16"/>
      <c r="M438" s="687"/>
      <c r="N438" s="16"/>
      <c r="O438" s="687"/>
      <c r="P438" s="16"/>
      <c r="Q438" s="687"/>
      <c r="R438" s="16"/>
      <c r="S438" s="687"/>
      <c r="T438" s="16"/>
      <c r="U438" s="687"/>
      <c r="V438" s="16"/>
      <c r="W438" s="687"/>
      <c r="X438" s="16"/>
      <c r="Y438" s="687"/>
      <c r="Z438" s="16"/>
      <c r="AA438" s="687"/>
      <c r="AB438" s="16"/>
      <c r="AC438" s="687"/>
      <c r="AD438" s="16"/>
      <c r="AE438" s="687"/>
      <c r="AF438" s="16"/>
      <c r="AG438" s="687"/>
      <c r="AH438" s="16"/>
      <c r="AI438" s="687"/>
      <c r="AJ438" s="16"/>
      <c r="AK438" s="687"/>
      <c r="AL438" s="16"/>
      <c r="AM438" s="687"/>
      <c r="AN438" s="16"/>
      <c r="AO438" s="687"/>
      <c r="AP438" s="16"/>
      <c r="AQ438" s="687"/>
      <c r="AR438" s="16"/>
      <c r="AS438" s="687"/>
      <c r="AT438" s="16"/>
      <c r="AU438" s="687"/>
      <c r="AV438" s="16"/>
      <c r="AW438" s="687"/>
      <c r="AX438" s="16"/>
      <c r="AY438" s="687"/>
      <c r="AZ438" s="16"/>
      <c r="BA438" s="687"/>
      <c r="BB438" s="16"/>
      <c r="BC438" s="687"/>
      <c r="BD438" s="16"/>
      <c r="BE438" s="687"/>
      <c r="BF438" s="16"/>
      <c r="BG438" s="687"/>
      <c r="BH438" s="16"/>
      <c r="BI438" s="687"/>
      <c r="BJ438" s="16"/>
      <c r="BK438" s="687"/>
      <c r="BL438" s="16"/>
      <c r="BM438" s="687"/>
      <c r="BN438" s="16"/>
      <c r="BO438" s="687"/>
      <c r="BP438" s="16"/>
      <c r="BQ438" s="687"/>
      <c r="BR438" s="16"/>
      <c r="BS438" s="687"/>
      <c r="BT438" s="16"/>
      <c r="BU438" s="687"/>
      <c r="BV438" s="16"/>
      <c r="BW438" s="687"/>
      <c r="BX438" s="16"/>
      <c r="BY438" s="687"/>
      <c r="BZ438" s="16"/>
      <c r="CA438" s="687"/>
      <c r="CB438" s="16"/>
      <c r="CC438" s="687"/>
      <c r="CD438" s="16"/>
      <c r="CE438" s="687"/>
      <c r="CF438" s="16"/>
      <c r="CG438" s="687"/>
      <c r="CH438" s="16"/>
      <c r="CI438" s="687"/>
      <c r="CJ438" s="16"/>
      <c r="CK438" s="687"/>
      <c r="CL438" s="16"/>
      <c r="CM438" s="687"/>
      <c r="CN438" s="16"/>
      <c r="CO438" s="687"/>
      <c r="CP438" s="16"/>
      <c r="CQ438" s="687"/>
      <c r="CR438" s="16"/>
      <c r="CS438" s="687"/>
      <c r="CT438" s="16"/>
      <c r="CU438" s="687"/>
      <c r="CV438" s="16"/>
      <c r="CW438" s="687"/>
      <c r="CX438" s="16"/>
      <c r="CY438" s="687"/>
      <c r="CZ438" s="16"/>
      <c r="DA438" s="687"/>
      <c r="DB438" s="16"/>
      <c r="DC438" s="16"/>
      <c r="DD438" s="687"/>
      <c r="DE438" s="16"/>
      <c r="DF438" s="687"/>
      <c r="DG438" s="16"/>
      <c r="DH438" s="687"/>
      <c r="DI438" s="16"/>
      <c r="DJ438" s="687"/>
      <c r="DK438" s="16"/>
      <c r="DL438" s="687"/>
      <c r="DM438" s="16"/>
      <c r="DN438" s="687"/>
      <c r="DO438" s="16"/>
      <c r="DP438" s="687"/>
      <c r="DQ438" s="16"/>
      <c r="DR438" s="687"/>
      <c r="DS438" s="16"/>
      <c r="DT438" s="687"/>
      <c r="DU438" s="16"/>
      <c r="DV438" s="687"/>
      <c r="DW438" s="16"/>
      <c r="DX438" s="687"/>
      <c r="DY438" s="16"/>
      <c r="DZ438" s="687"/>
      <c r="EA438" s="16"/>
      <c r="EB438" s="687"/>
      <c r="EC438" s="16"/>
      <c r="ED438" s="687"/>
      <c r="EE438" s="16"/>
      <c r="EF438" s="687"/>
      <c r="EG438" s="16"/>
      <c r="EH438" s="687"/>
      <c r="EI438" s="16"/>
      <c r="EJ438" s="687"/>
      <c r="EK438" s="16"/>
      <c r="EL438" s="687"/>
      <c r="EM438" s="687"/>
    </row>
    <row r="439" spans="1:143" ht="12.75" hidden="1" customHeight="1" outlineLevel="2" x14ac:dyDescent="0.2">
      <c r="A439" s="689" t="str">
        <f>+A60</f>
        <v>Quarterly income statement ratios are annualized where appropriate     NM = Not Meaningful       NA = Not Applicable  E=Morgan Stanley Estimates</v>
      </c>
      <c r="B439" s="16"/>
      <c r="C439" s="687"/>
      <c r="D439" s="16"/>
      <c r="E439" s="687"/>
      <c r="F439" s="16"/>
      <c r="G439" s="687"/>
      <c r="H439" s="16"/>
      <c r="I439" s="687"/>
      <c r="J439" s="16"/>
      <c r="K439" s="687"/>
      <c r="L439" s="16"/>
      <c r="M439" s="687"/>
      <c r="N439" s="16"/>
      <c r="O439" s="687"/>
      <c r="P439" s="16"/>
      <c r="Q439" s="687"/>
      <c r="R439" s="16"/>
      <c r="S439" s="687"/>
      <c r="T439" s="16"/>
      <c r="U439" s="687"/>
      <c r="V439" s="16"/>
      <c r="W439" s="687"/>
      <c r="X439" s="16"/>
      <c r="Y439" s="687"/>
      <c r="Z439" s="16"/>
      <c r="AA439" s="687"/>
      <c r="AB439" s="16"/>
      <c r="AC439" s="687"/>
      <c r="AD439" s="16"/>
      <c r="AE439" s="687"/>
      <c r="AF439" s="16"/>
      <c r="AG439" s="687"/>
      <c r="AH439" s="16"/>
      <c r="AI439" s="687"/>
      <c r="AJ439" s="16"/>
      <c r="AK439" s="687"/>
      <c r="AL439" s="16"/>
      <c r="AM439" s="687"/>
      <c r="AN439" s="16"/>
      <c r="AO439" s="687"/>
      <c r="AP439" s="16"/>
      <c r="AQ439" s="687"/>
      <c r="AR439" s="16"/>
      <c r="AS439" s="687"/>
      <c r="AT439" s="16"/>
      <c r="AU439" s="687"/>
      <c r="AV439" s="16"/>
      <c r="AW439" s="687"/>
      <c r="AX439" s="16"/>
      <c r="AY439" s="687"/>
      <c r="AZ439" s="16"/>
      <c r="BA439" s="687"/>
      <c r="BB439" s="16"/>
      <c r="BC439" s="687"/>
      <c r="BD439" s="16"/>
      <c r="BE439" s="687"/>
      <c r="BF439" s="16"/>
      <c r="BG439" s="687"/>
      <c r="BH439" s="16"/>
      <c r="BI439" s="687"/>
      <c r="BJ439" s="16"/>
      <c r="BK439" s="687"/>
      <c r="BL439" s="16"/>
      <c r="BM439" s="687"/>
      <c r="BN439" s="16"/>
      <c r="BO439" s="687"/>
      <c r="BP439" s="16"/>
      <c r="BQ439" s="687"/>
      <c r="BR439" s="16"/>
      <c r="BS439" s="687"/>
      <c r="BT439" s="16"/>
      <c r="BU439" s="687"/>
      <c r="BV439" s="16"/>
      <c r="BW439" s="687"/>
      <c r="BX439" s="16"/>
      <c r="BY439" s="687"/>
      <c r="BZ439" s="16"/>
      <c r="CA439" s="687"/>
      <c r="CB439" s="16"/>
      <c r="CC439" s="687"/>
      <c r="CD439" s="16"/>
      <c r="CE439" s="687"/>
      <c r="CF439" s="16"/>
      <c r="CG439" s="687"/>
      <c r="CH439" s="16"/>
      <c r="CI439" s="687"/>
      <c r="CJ439" s="16"/>
      <c r="CK439" s="687"/>
      <c r="CL439" s="16"/>
      <c r="CM439" s="687"/>
      <c r="CN439" s="16"/>
      <c r="CO439" s="687"/>
      <c r="CP439" s="16"/>
      <c r="CQ439" s="687"/>
      <c r="CR439" s="16"/>
      <c r="CS439" s="687"/>
      <c r="CT439" s="16"/>
      <c r="CU439" s="687"/>
      <c r="CV439" s="16"/>
      <c r="CW439" s="687"/>
      <c r="CX439" s="16"/>
      <c r="CY439" s="687"/>
      <c r="CZ439" s="16"/>
      <c r="DA439" s="687"/>
      <c r="DB439" s="16"/>
      <c r="DC439" s="16"/>
      <c r="DD439" s="687"/>
      <c r="DE439" s="16"/>
      <c r="DF439" s="687"/>
      <c r="DG439" s="16"/>
      <c r="DH439" s="687"/>
      <c r="DI439" s="16"/>
      <c r="DJ439" s="687"/>
      <c r="DK439" s="16"/>
      <c r="DL439" s="687"/>
      <c r="DM439" s="16"/>
      <c r="DN439" s="687"/>
      <c r="DO439" s="16"/>
      <c r="DP439" s="687"/>
      <c r="DQ439" s="16"/>
      <c r="DR439" s="687"/>
      <c r="DS439" s="16"/>
      <c r="DT439" s="687"/>
      <c r="DU439" s="16"/>
      <c r="DV439" s="687"/>
      <c r="DW439" s="16"/>
      <c r="DX439" s="687"/>
      <c r="DY439" s="16"/>
      <c r="DZ439" s="687"/>
      <c r="EA439" s="16"/>
      <c r="EB439" s="687"/>
      <c r="EC439" s="16"/>
      <c r="ED439" s="687"/>
      <c r="EE439" s="16"/>
      <c r="EF439" s="687"/>
      <c r="EG439" s="16"/>
      <c r="EH439" s="687"/>
      <c r="EI439" s="16"/>
      <c r="EJ439" s="687"/>
      <c r="EK439" s="16"/>
      <c r="EL439" s="687"/>
      <c r="EM439" s="687"/>
    </row>
    <row r="440" spans="1:143" ht="12.75" hidden="1" customHeight="1" outlineLevel="2" x14ac:dyDescent="0.2">
      <c r="A440" s="689" t="s">
        <v>0</v>
      </c>
      <c r="B440" s="16"/>
      <c r="C440" s="687"/>
      <c r="D440" s="16"/>
      <c r="E440" s="687"/>
      <c r="F440" s="16"/>
      <c r="G440" s="687"/>
      <c r="H440" s="16"/>
      <c r="I440" s="687"/>
      <c r="J440" s="16"/>
      <c r="K440" s="687"/>
      <c r="L440" s="16"/>
      <c r="M440" s="687"/>
      <c r="N440" s="16"/>
      <c r="O440" s="687"/>
      <c r="P440" s="16"/>
      <c r="Q440" s="687"/>
      <c r="R440" s="16"/>
      <c r="S440" s="687"/>
      <c r="T440" s="16"/>
      <c r="U440" s="687"/>
      <c r="V440" s="16"/>
      <c r="W440" s="687"/>
      <c r="X440" s="16"/>
      <c r="Y440" s="687"/>
      <c r="Z440" s="16"/>
      <c r="AA440" s="687"/>
      <c r="AB440" s="16"/>
      <c r="AC440" s="687"/>
      <c r="AD440" s="16"/>
      <c r="AE440" s="687"/>
      <c r="AF440" s="16"/>
      <c r="AG440" s="687"/>
      <c r="AH440" s="16"/>
      <c r="AI440" s="687"/>
      <c r="AJ440" s="16"/>
      <c r="AK440" s="687"/>
      <c r="AL440" s="16"/>
      <c r="AM440" s="687"/>
      <c r="AN440" s="16"/>
      <c r="AO440" s="687"/>
      <c r="AP440" s="16"/>
      <c r="AQ440" s="687"/>
      <c r="AR440" s="16"/>
      <c r="AS440" s="687"/>
      <c r="AT440" s="16"/>
      <c r="AU440" s="687"/>
      <c r="AV440" s="16"/>
      <c r="AW440" s="687"/>
      <c r="AX440" s="16"/>
      <c r="AY440" s="687"/>
      <c r="AZ440" s="16"/>
      <c r="BA440" s="687"/>
      <c r="BB440" s="16"/>
      <c r="BC440" s="687"/>
      <c r="BD440" s="16"/>
      <c r="BE440" s="687"/>
      <c r="BF440" s="16"/>
      <c r="BG440" s="687"/>
      <c r="BH440" s="16"/>
      <c r="BI440" s="687"/>
      <c r="BJ440" s="16"/>
      <c r="BK440" s="687"/>
      <c r="BL440" s="16"/>
      <c r="BM440" s="687"/>
      <c r="BN440" s="16"/>
      <c r="BO440" s="687"/>
      <c r="BP440" s="16"/>
      <c r="BQ440" s="687"/>
      <c r="BR440" s="16"/>
      <c r="BS440" s="687"/>
      <c r="BT440" s="16"/>
      <c r="BU440" s="687"/>
      <c r="BV440" s="16"/>
      <c r="BW440" s="687"/>
      <c r="BX440" s="16"/>
      <c r="BY440" s="687"/>
      <c r="BZ440" s="16"/>
      <c r="CA440" s="687"/>
      <c r="CB440" s="16"/>
      <c r="CC440" s="687"/>
      <c r="CD440" s="16"/>
      <c r="CE440" s="687"/>
      <c r="CF440" s="16"/>
      <c r="CG440" s="687"/>
      <c r="CH440" s="16"/>
      <c r="CI440" s="687"/>
      <c r="CJ440" s="16"/>
      <c r="CK440" s="687"/>
      <c r="CL440" s="16"/>
      <c r="CM440" s="687"/>
      <c r="CN440" s="16"/>
      <c r="CO440" s="687"/>
      <c r="CP440" s="16"/>
      <c r="CQ440" s="687"/>
      <c r="CR440" s="16"/>
      <c r="CS440" s="687"/>
      <c r="CT440" s="16"/>
      <c r="CU440" s="687"/>
      <c r="CV440" s="16"/>
      <c r="CW440" s="687"/>
      <c r="CX440" s="16"/>
      <c r="CY440" s="687"/>
      <c r="CZ440" s="16"/>
      <c r="DA440" s="687"/>
      <c r="DB440" s="16"/>
      <c r="DC440" s="16"/>
      <c r="DD440" s="687"/>
      <c r="DE440" s="16"/>
      <c r="DF440" s="687"/>
      <c r="DG440" s="16"/>
      <c r="DH440" s="687"/>
      <c r="DI440" s="16"/>
      <c r="DJ440" s="687"/>
      <c r="DK440" s="16"/>
      <c r="DL440" s="687"/>
      <c r="DM440" s="16"/>
      <c r="DN440" s="687"/>
      <c r="DO440" s="16"/>
      <c r="DP440" s="687"/>
      <c r="DQ440" s="16"/>
      <c r="DR440" s="687"/>
      <c r="DS440" s="16"/>
      <c r="DT440" s="687"/>
      <c r="DU440" s="16"/>
      <c r="DV440" s="687"/>
      <c r="DW440" s="16"/>
      <c r="DX440" s="687"/>
      <c r="DY440" s="16"/>
      <c r="DZ440" s="687"/>
      <c r="EA440" s="16"/>
      <c r="EB440" s="687"/>
      <c r="EC440" s="16"/>
      <c r="ED440" s="687"/>
      <c r="EE440" s="16"/>
      <c r="EF440" s="687"/>
      <c r="EG440" s="16"/>
      <c r="EH440" s="687"/>
      <c r="EI440" s="16"/>
      <c r="EJ440" s="687"/>
      <c r="EK440" s="16"/>
      <c r="EL440" s="687"/>
      <c r="EM440" s="687"/>
    </row>
    <row r="441" spans="1:143" ht="12.75" hidden="1" customHeight="1" outlineLevel="2" x14ac:dyDescent="0.2">
      <c r="A441" s="701"/>
      <c r="B441" s="16"/>
      <c r="C441" s="687"/>
      <c r="D441" s="16"/>
      <c r="E441" s="687"/>
      <c r="F441" s="16"/>
      <c r="G441" s="687"/>
      <c r="H441" s="16"/>
      <c r="I441" s="687"/>
      <c r="J441" s="16"/>
      <c r="K441" s="687"/>
      <c r="L441" s="16"/>
      <c r="M441" s="687"/>
      <c r="N441" s="16"/>
      <c r="O441" s="687"/>
      <c r="P441" s="16"/>
      <c r="Q441" s="687"/>
      <c r="R441" s="16"/>
      <c r="S441" s="687"/>
      <c r="T441" s="16"/>
      <c r="U441" s="687"/>
      <c r="V441" s="16"/>
      <c r="W441" s="687"/>
      <c r="X441" s="16"/>
      <c r="Y441" s="687"/>
      <c r="Z441" s="16"/>
      <c r="AA441" s="687"/>
      <c r="AB441" s="16"/>
      <c r="AC441" s="687"/>
      <c r="AD441" s="16"/>
      <c r="AE441" s="687"/>
      <c r="AF441" s="16"/>
      <c r="AG441" s="687"/>
      <c r="AH441" s="16"/>
      <c r="AI441" s="687"/>
      <c r="AJ441" s="16"/>
      <c r="AK441" s="687"/>
      <c r="AL441" s="16"/>
      <c r="AM441" s="687"/>
      <c r="AN441" s="16"/>
      <c r="AO441" s="687"/>
      <c r="AP441" s="16"/>
      <c r="AQ441" s="687"/>
      <c r="AR441" s="16"/>
      <c r="AS441" s="687"/>
      <c r="AT441" s="16"/>
      <c r="AU441" s="687"/>
      <c r="AV441" s="16"/>
      <c r="AW441" s="687"/>
      <c r="AX441" s="16"/>
      <c r="AY441" s="687"/>
      <c r="AZ441" s="16"/>
      <c r="BA441" s="687"/>
      <c r="BB441" s="16"/>
      <c r="BC441" s="687"/>
      <c r="BD441" s="16"/>
      <c r="BE441" s="687"/>
      <c r="BF441" s="16"/>
      <c r="BG441" s="687"/>
      <c r="BH441" s="16"/>
      <c r="BI441" s="687"/>
      <c r="BJ441" s="16"/>
      <c r="BK441" s="687"/>
      <c r="BL441" s="16"/>
      <c r="BM441" s="687"/>
      <c r="BN441" s="16"/>
      <c r="BO441" s="687"/>
      <c r="BP441" s="16"/>
      <c r="BQ441" s="687"/>
      <c r="BR441" s="16"/>
      <c r="BS441" s="687"/>
      <c r="BT441" s="16"/>
      <c r="BU441" s="687"/>
      <c r="BV441" s="16"/>
      <c r="BW441" s="687"/>
      <c r="BX441" s="16"/>
      <c r="BY441" s="687"/>
      <c r="BZ441" s="16"/>
      <c r="CA441" s="687"/>
      <c r="CB441" s="16"/>
      <c r="CC441" s="687"/>
      <c r="CD441" s="16"/>
      <c r="CE441" s="687"/>
      <c r="CF441" s="16"/>
      <c r="CG441" s="687"/>
      <c r="CH441" s="16"/>
      <c r="CI441" s="687"/>
      <c r="CJ441" s="16"/>
      <c r="CK441" s="687"/>
      <c r="CL441" s="16"/>
      <c r="CM441" s="687"/>
      <c r="CN441" s="16"/>
      <c r="CO441" s="687"/>
      <c r="CP441" s="16"/>
      <c r="CQ441" s="687"/>
      <c r="CR441" s="16"/>
      <c r="CS441" s="687"/>
      <c r="CT441" s="16"/>
      <c r="CU441" s="687"/>
      <c r="CV441" s="16"/>
      <c r="CW441" s="687"/>
      <c r="CX441" s="16"/>
      <c r="CY441" s="687"/>
      <c r="CZ441" s="16"/>
      <c r="DA441" s="687"/>
      <c r="DB441" s="16"/>
      <c r="DC441" s="16"/>
      <c r="DD441" s="687"/>
      <c r="DE441" s="16"/>
      <c r="DF441" s="687"/>
      <c r="DG441" s="16"/>
      <c r="DH441" s="687"/>
      <c r="DI441" s="16"/>
      <c r="DJ441" s="687"/>
      <c r="DK441" s="16"/>
      <c r="DL441" s="687"/>
      <c r="DM441" s="16"/>
      <c r="DN441" s="687"/>
      <c r="DO441" s="16"/>
      <c r="DP441" s="687"/>
      <c r="DQ441" s="16"/>
      <c r="DR441" s="687"/>
      <c r="DS441" s="16"/>
      <c r="DT441" s="687"/>
      <c r="DU441" s="16"/>
      <c r="DV441" s="687"/>
      <c r="DW441" s="16"/>
      <c r="DX441" s="687"/>
      <c r="DY441" s="16"/>
      <c r="DZ441" s="687"/>
      <c r="EA441" s="16"/>
      <c r="EB441" s="687"/>
      <c r="EC441" s="16"/>
      <c r="ED441" s="687"/>
      <c r="EE441" s="16"/>
      <c r="EF441" s="687"/>
      <c r="EG441" s="16"/>
      <c r="EH441" s="687"/>
      <c r="EI441" s="16"/>
      <c r="EJ441" s="687"/>
      <c r="EK441" s="16"/>
      <c r="EL441" s="687"/>
      <c r="EM441" s="702"/>
    </row>
    <row r="442" spans="1:143" ht="21.95" hidden="1" customHeight="1" outlineLevel="2" x14ac:dyDescent="0.2">
      <c r="A442" s="691" t="str">
        <f>$A$1</f>
        <v>Lincoln National</v>
      </c>
      <c r="B442" s="683"/>
      <c r="C442" s="684"/>
      <c r="D442" s="683"/>
      <c r="E442" s="684"/>
      <c r="F442" s="683"/>
      <c r="G442" s="684"/>
      <c r="H442" s="683"/>
      <c r="I442" s="684"/>
      <c r="J442" s="683"/>
      <c r="K442" s="684"/>
      <c r="L442" s="683"/>
      <c r="M442" s="684"/>
      <c r="N442" s="683"/>
      <c r="O442" s="684"/>
      <c r="P442" s="683"/>
      <c r="Q442" s="684"/>
      <c r="R442" s="683"/>
      <c r="S442" s="684"/>
      <c r="T442" s="683"/>
      <c r="U442" s="684"/>
      <c r="V442" s="683"/>
      <c r="W442" s="684"/>
      <c r="X442" s="683"/>
      <c r="Y442" s="684"/>
      <c r="Z442" s="683"/>
      <c r="AA442" s="684"/>
      <c r="AB442" s="683"/>
      <c r="AC442" s="684"/>
      <c r="AD442" s="683"/>
      <c r="AE442" s="684"/>
      <c r="AF442" s="683"/>
      <c r="AG442" s="684"/>
      <c r="AH442" s="683"/>
      <c r="AI442" s="684"/>
      <c r="AJ442" s="683"/>
      <c r="AK442" s="684"/>
      <c r="AL442" s="683"/>
      <c r="AM442" s="684"/>
      <c r="AN442" s="683"/>
      <c r="AO442" s="684"/>
      <c r="AP442" s="683"/>
      <c r="AQ442" s="684"/>
      <c r="AR442" s="683"/>
      <c r="AS442" s="684"/>
      <c r="AT442" s="683"/>
      <c r="AU442" s="684"/>
      <c r="AV442" s="683"/>
      <c r="AW442" s="684"/>
      <c r="AX442" s="683"/>
      <c r="AY442" s="684"/>
      <c r="AZ442" s="683"/>
      <c r="BA442" s="684"/>
      <c r="BB442" s="683"/>
      <c r="BC442" s="684"/>
      <c r="BD442" s="683"/>
      <c r="BE442" s="684"/>
      <c r="BF442" s="683"/>
      <c r="BG442" s="684"/>
      <c r="BH442" s="683"/>
      <c r="BI442" s="684"/>
      <c r="BJ442" s="683"/>
      <c r="BK442" s="684"/>
      <c r="BL442" s="683"/>
      <c r="BM442" s="684"/>
      <c r="BN442" s="683"/>
      <c r="BO442" s="684"/>
      <c r="BP442" s="683"/>
      <c r="BQ442" s="684"/>
      <c r="BR442" s="683"/>
      <c r="BS442" s="684"/>
      <c r="BT442" s="683"/>
      <c r="BU442" s="684"/>
      <c r="BV442" s="683"/>
      <c r="BW442" s="684"/>
      <c r="BX442" s="683"/>
      <c r="BY442" s="684"/>
      <c r="BZ442" s="683"/>
      <c r="CA442" s="684"/>
      <c r="CB442" s="683"/>
      <c r="CC442" s="684"/>
      <c r="CD442" s="683"/>
      <c r="CE442" s="684"/>
      <c r="CF442" s="683"/>
      <c r="CG442" s="684"/>
      <c r="CH442" s="683"/>
      <c r="CI442" s="684"/>
      <c r="CJ442" s="683"/>
      <c r="CK442" s="684"/>
      <c r="CL442" s="683"/>
      <c r="CM442" s="684"/>
      <c r="CN442" s="683"/>
      <c r="CO442" s="684"/>
      <c r="CP442" s="683"/>
      <c r="CQ442" s="684"/>
      <c r="CR442" s="683"/>
      <c r="CS442" s="684"/>
      <c r="CT442" s="683"/>
      <c r="CU442" s="684"/>
      <c r="CV442" s="683"/>
      <c r="CW442" s="684"/>
      <c r="CX442" s="683"/>
      <c r="CY442" s="684"/>
      <c r="CZ442" s="683"/>
      <c r="DA442" s="684"/>
      <c r="DB442" s="684"/>
      <c r="DC442" s="683"/>
      <c r="DD442" s="684"/>
      <c r="DE442" s="683"/>
      <c r="DF442" s="684"/>
      <c r="DG442" s="683"/>
      <c r="DH442" s="684"/>
      <c r="DI442" s="683"/>
      <c r="DJ442" s="684"/>
      <c r="DK442" s="683"/>
      <c r="DL442" s="684"/>
      <c r="DM442" s="683"/>
      <c r="DN442" s="684"/>
      <c r="DO442" s="683"/>
      <c r="DP442" s="684"/>
      <c r="DQ442" s="683"/>
      <c r="DR442" s="684"/>
      <c r="DS442" s="683"/>
      <c r="DT442" s="684"/>
      <c r="DU442" s="683"/>
      <c r="DV442" s="684"/>
      <c r="DW442" s="683"/>
      <c r="DX442" s="684"/>
      <c r="DY442" s="683"/>
      <c r="DZ442" s="684"/>
      <c r="EA442" s="683"/>
      <c r="EB442" s="684"/>
      <c r="EC442" s="683"/>
      <c r="ED442" s="684"/>
      <c r="EE442" s="683"/>
      <c r="EF442" s="684"/>
      <c r="EG442" s="683"/>
      <c r="EH442" s="684"/>
      <c r="EI442" s="683"/>
      <c r="EJ442" s="684"/>
      <c r="EK442" s="683"/>
      <c r="EL442" s="684"/>
      <c r="EM442" s="684"/>
    </row>
    <row r="443" spans="1:143" ht="12.75" hidden="1" customHeight="1" outlineLevel="2" x14ac:dyDescent="0.2">
      <c r="A443" s="685" t="s">
        <v>288</v>
      </c>
      <c r="B443" s="4"/>
      <c r="C443" s="686"/>
      <c r="D443" s="4"/>
      <c r="E443" s="686"/>
      <c r="F443" s="4"/>
      <c r="G443" s="686"/>
      <c r="H443" s="4"/>
      <c r="I443" s="686"/>
      <c r="J443" s="4"/>
      <c r="K443" s="686"/>
      <c r="L443" s="4"/>
      <c r="M443" s="686"/>
      <c r="N443" s="4"/>
      <c r="O443" s="686"/>
      <c r="P443" s="4"/>
      <c r="Q443" s="686"/>
      <c r="R443" s="4"/>
      <c r="S443" s="686"/>
      <c r="T443" s="4"/>
      <c r="U443" s="686"/>
      <c r="V443" s="4"/>
      <c r="W443" s="686"/>
      <c r="X443" s="4"/>
      <c r="Y443" s="686"/>
      <c r="Z443" s="4"/>
      <c r="AA443" s="686"/>
      <c r="AB443" s="4"/>
      <c r="AC443" s="686"/>
      <c r="AD443" s="4"/>
      <c r="AE443" s="686"/>
      <c r="AF443" s="4"/>
      <c r="AG443" s="686"/>
      <c r="AH443" s="4"/>
      <c r="AI443" s="686"/>
      <c r="AJ443" s="4"/>
      <c r="AK443" s="686"/>
      <c r="AL443" s="4"/>
      <c r="AM443" s="686"/>
      <c r="AN443" s="4"/>
      <c r="AO443" s="686"/>
      <c r="AP443" s="4"/>
      <c r="AQ443" s="686"/>
      <c r="AR443" s="4"/>
      <c r="AS443" s="686"/>
      <c r="AT443" s="4"/>
      <c r="AU443" s="686"/>
      <c r="AV443" s="4"/>
      <c r="AW443" s="686"/>
      <c r="AX443" s="4"/>
      <c r="AY443" s="686"/>
      <c r="AZ443" s="4"/>
      <c r="BA443" s="686"/>
      <c r="BB443" s="4"/>
      <c r="BC443" s="686"/>
      <c r="BD443" s="4"/>
      <c r="BE443" s="686"/>
      <c r="BF443" s="4"/>
      <c r="BG443" s="686"/>
      <c r="BH443" s="4"/>
      <c r="BI443" s="686"/>
      <c r="BJ443" s="4"/>
      <c r="BK443" s="686"/>
      <c r="BL443" s="4"/>
      <c r="BM443" s="686"/>
      <c r="BN443" s="4"/>
      <c r="BO443" s="686"/>
      <c r="BP443" s="4"/>
      <c r="BQ443" s="686"/>
      <c r="BR443" s="4"/>
      <c r="BS443" s="686"/>
      <c r="BT443" s="4"/>
      <c r="BU443" s="686"/>
      <c r="BV443" s="4"/>
      <c r="BW443" s="686"/>
      <c r="BX443" s="4"/>
      <c r="BY443" s="686"/>
      <c r="BZ443" s="4"/>
      <c r="CA443" s="686"/>
      <c r="CB443" s="4"/>
      <c r="CC443" s="686"/>
      <c r="CD443" s="4"/>
      <c r="CE443" s="686"/>
      <c r="CF443" s="4"/>
      <c r="CG443" s="686"/>
      <c r="CH443" s="4"/>
      <c r="CI443" s="686"/>
      <c r="CJ443" s="4"/>
      <c r="CK443" s="686"/>
      <c r="CL443" s="4"/>
      <c r="CM443" s="686"/>
      <c r="CN443" s="4"/>
      <c r="CO443" s="686"/>
      <c r="CP443" s="4"/>
      <c r="CQ443" s="686"/>
      <c r="CR443" s="4"/>
      <c r="CS443" s="686"/>
      <c r="CT443" s="4"/>
      <c r="CU443" s="686"/>
      <c r="CV443" s="4"/>
      <c r="CW443" s="686"/>
      <c r="CX443" s="4"/>
      <c r="CY443" s="686"/>
      <c r="CZ443" s="4"/>
      <c r="DA443" s="686"/>
      <c r="DB443" s="686"/>
      <c r="DC443" s="4"/>
      <c r="DD443" s="686"/>
      <c r="DE443" s="4"/>
      <c r="DF443" s="686"/>
      <c r="DG443" s="4"/>
      <c r="DH443" s="686"/>
      <c r="DI443" s="4"/>
      <c r="DJ443" s="686"/>
      <c r="DK443" s="4"/>
      <c r="DL443" s="686"/>
      <c r="DM443" s="4"/>
      <c r="DN443" s="686"/>
      <c r="DO443" s="4"/>
      <c r="DP443" s="686"/>
      <c r="DQ443" s="4"/>
      <c r="DR443" s="686"/>
      <c r="DS443" s="4"/>
      <c r="DT443" s="686"/>
      <c r="DU443" s="4"/>
      <c r="DV443" s="686"/>
      <c r="DW443" s="4"/>
      <c r="DX443" s="686"/>
      <c r="DY443" s="4"/>
      <c r="DZ443" s="686"/>
      <c r="EA443" s="4"/>
      <c r="EB443" s="686"/>
      <c r="EC443" s="4"/>
      <c r="ED443" s="686"/>
      <c r="EE443" s="4"/>
      <c r="EF443" s="686"/>
      <c r="EG443" s="4"/>
      <c r="EH443" s="686"/>
      <c r="EI443" s="4"/>
      <c r="EJ443" s="686"/>
      <c r="EK443" s="4"/>
      <c r="EL443" s="686"/>
      <c r="EM443" s="686"/>
    </row>
    <row r="444" spans="1:143" ht="12.75" hidden="1" customHeight="1" outlineLevel="2" x14ac:dyDescent="0.2">
      <c r="A444" s="703" t="str">
        <f>A$3</f>
        <v>($Millions Except Per Share Data)</v>
      </c>
      <c r="B444" s="704"/>
      <c r="C444" s="705" t="str">
        <f>C$3</f>
        <v>1Q06/</v>
      </c>
      <c r="D444" s="704"/>
      <c r="E444" s="705" t="str">
        <f>E$3</f>
        <v>2Q06/</v>
      </c>
      <c r="F444" s="704"/>
      <c r="G444" s="705" t="str">
        <f>G$3</f>
        <v>3Q06/</v>
      </c>
      <c r="H444" s="704"/>
      <c r="I444" s="705" t="str">
        <f>I$3</f>
        <v>4Q06/</v>
      </c>
      <c r="J444" s="704"/>
      <c r="K444" s="705" t="str">
        <f>K$3</f>
        <v>1Q07/</v>
      </c>
      <c r="L444" s="704"/>
      <c r="M444" s="705" t="str">
        <f>M$3</f>
        <v>2Q07/</v>
      </c>
      <c r="N444" s="704"/>
      <c r="O444" s="705" t="str">
        <f>O$3</f>
        <v>3Q07/</v>
      </c>
      <c r="P444" s="704"/>
      <c r="Q444" s="705" t="str">
        <f>Q$3</f>
        <v>4Q07/</v>
      </c>
      <c r="R444" s="704"/>
      <c r="S444" s="705" t="str">
        <f>S$3</f>
        <v>1Q08/</v>
      </c>
      <c r="T444" s="704"/>
      <c r="U444" s="705" t="str">
        <f>U$3</f>
        <v>2Q08/</v>
      </c>
      <c r="V444" s="704"/>
      <c r="W444" s="705" t="str">
        <f>W$3</f>
        <v>3Q08/</v>
      </c>
      <c r="X444" s="704"/>
      <c r="Y444" s="705" t="str">
        <f>Y$3</f>
        <v>4Q08/</v>
      </c>
      <c r="Z444" s="704"/>
      <c r="AA444" s="705" t="str">
        <f>AA$3</f>
        <v>1Q09/</v>
      </c>
      <c r="AB444" s="704"/>
      <c r="AC444" s="705" t="str">
        <f>AC$3</f>
        <v>2Q09/</v>
      </c>
      <c r="AD444" s="704"/>
      <c r="AE444" s="705" t="str">
        <f>AE$3</f>
        <v>3Q09/</v>
      </c>
      <c r="AF444" s="704"/>
      <c r="AG444" s="705" t="str">
        <f>AG$3</f>
        <v>4Q09/</v>
      </c>
      <c r="AH444" s="704"/>
      <c r="AI444" s="705" t="str">
        <f>AI$3</f>
        <v>1Q10/</v>
      </c>
      <c r="AJ444" s="704"/>
      <c r="AK444" s="705" t="str">
        <f>AK$3</f>
        <v>2Q10/</v>
      </c>
      <c r="AL444" s="704"/>
      <c r="AM444" s="705" t="str">
        <f>AM$3</f>
        <v>3Q10/</v>
      </c>
      <c r="AN444" s="704"/>
      <c r="AO444" s="705" t="str">
        <f>AO$3</f>
        <v>4Q10/</v>
      </c>
      <c r="AP444" s="704"/>
      <c r="AQ444" s="705" t="str">
        <f>AQ$3</f>
        <v>1Q11/</v>
      </c>
      <c r="AR444" s="704"/>
      <c r="AS444" s="705" t="str">
        <f>AS$3</f>
        <v>2Q11/</v>
      </c>
      <c r="AT444" s="704"/>
      <c r="AU444" s="705" t="str">
        <f>AU$3</f>
        <v>3Q11/</v>
      </c>
      <c r="AV444" s="704"/>
      <c r="AW444" s="705" t="str">
        <f>AW$3</f>
        <v>4Q11/</v>
      </c>
      <c r="AX444" s="704"/>
      <c r="AY444" s="705" t="str">
        <f>AY$3</f>
        <v>1Q12/</v>
      </c>
      <c r="AZ444" s="704"/>
      <c r="BA444" s="705" t="str">
        <f>BA$3</f>
        <v>2Q12/</v>
      </c>
      <c r="BB444" s="704"/>
      <c r="BC444" s="705" t="str">
        <f>BC$3</f>
        <v>3Q12/</v>
      </c>
      <c r="BD444" s="704"/>
      <c r="BE444" s="705" t="str">
        <f>BE$3</f>
        <v>4Q12/</v>
      </c>
      <c r="BF444" s="704"/>
      <c r="BG444" s="705" t="str">
        <f>BG$3</f>
        <v>1Q13/</v>
      </c>
      <c r="BH444" s="704"/>
      <c r="BI444" s="705" t="str">
        <f>BI$3</f>
        <v>2Q13/</v>
      </c>
      <c r="BJ444" s="704"/>
      <c r="BK444" s="705" t="str">
        <f>BK$3</f>
        <v>3Q13/</v>
      </c>
      <c r="BL444" s="704"/>
      <c r="BM444" s="705" t="str">
        <f>BM$3</f>
        <v>4Q13/</v>
      </c>
      <c r="BN444" s="704"/>
      <c r="BO444" s="705" t="str">
        <f>BO$3</f>
        <v>1Q14/</v>
      </c>
      <c r="BP444" s="704"/>
      <c r="BQ444" s="705" t="str">
        <f>BQ$3</f>
        <v>2Q14/</v>
      </c>
      <c r="BR444" s="704"/>
      <c r="BS444" s="705" t="str">
        <f>BS$3</f>
        <v>3Q14/</v>
      </c>
      <c r="BT444" s="704"/>
      <c r="BU444" s="705" t="str">
        <f>BU$3</f>
        <v>4Q14/</v>
      </c>
      <c r="BV444" s="704"/>
      <c r="BW444" s="705" t="str">
        <f>BW$3</f>
        <v>1Q15/</v>
      </c>
      <c r="BX444" s="704"/>
      <c r="BY444" s="705" t="str">
        <f>BY$3</f>
        <v>2Q15/</v>
      </c>
      <c r="BZ444" s="704"/>
      <c r="CA444" s="705" t="str">
        <f>CA$3</f>
        <v>3Q15/</v>
      </c>
      <c r="CB444" s="704"/>
      <c r="CC444" s="705" t="str">
        <f>CC$3</f>
        <v>4Q15/</v>
      </c>
      <c r="CD444" s="704"/>
      <c r="CE444" s="705" t="str">
        <f>CE$3</f>
        <v>1Q16/</v>
      </c>
      <c r="CF444" s="704"/>
      <c r="CG444" s="705" t="str">
        <f>CG$3</f>
        <v>2Q16/</v>
      </c>
      <c r="CH444" s="704"/>
      <c r="CI444" s="705" t="str">
        <f>CI$3</f>
        <v>3Q16/</v>
      </c>
      <c r="CJ444" s="704"/>
      <c r="CK444" s="705" t="str">
        <f>CK$3</f>
        <v>4Q16/</v>
      </c>
      <c r="CL444" s="704"/>
      <c r="CM444" s="705" t="str">
        <f>CM$3</f>
        <v>1Q17/</v>
      </c>
      <c r="CN444" s="704"/>
      <c r="CO444" s="705" t="str">
        <f t="shared" ref="CO444" si="201">CO$3</f>
        <v>2Q17/</v>
      </c>
      <c r="CP444" s="704"/>
      <c r="CQ444" s="705" t="str">
        <f t="shared" ref="CQ444" si="202">CQ$3</f>
        <v>3Q17/</v>
      </c>
      <c r="CR444" s="704"/>
      <c r="CS444" s="705" t="str">
        <f t="shared" ref="CS444" si="203">CS$3</f>
        <v>4Q17/</v>
      </c>
      <c r="CT444" s="704"/>
      <c r="CU444" s="705" t="str">
        <f>CU$3</f>
        <v>1Q18E/</v>
      </c>
      <c r="CV444" s="704"/>
      <c r="CW444" s="705" t="str">
        <f t="shared" ref="CW444" si="204">CW$3</f>
        <v>2Q18E/</v>
      </c>
      <c r="CX444" s="704"/>
      <c r="CY444" s="705" t="str">
        <f t="shared" ref="CY444" si="205">CY$3</f>
        <v>3Q18E/</v>
      </c>
      <c r="CZ444" s="704"/>
      <c r="DA444" s="705" t="str">
        <f t="shared" ref="DA444" si="206">DA$3</f>
        <v>4Q18E/</v>
      </c>
      <c r="DB444" s="704"/>
      <c r="DC444" s="704"/>
      <c r="DD444" s="705" t="str">
        <f>DD$3</f>
        <v>2005/</v>
      </c>
      <c r="DE444" s="704"/>
      <c r="DF444" s="705" t="str">
        <f>DF$3</f>
        <v>2006/</v>
      </c>
      <c r="DG444" s="704"/>
      <c r="DH444" s="705" t="str">
        <f>DH$3</f>
        <v>2007/</v>
      </c>
      <c r="DI444" s="704"/>
      <c r="DJ444" s="705" t="str">
        <f>DJ$3</f>
        <v>2008/</v>
      </c>
      <c r="DK444" s="704"/>
      <c r="DL444" s="705" t="str">
        <f>DL$3</f>
        <v>2009/</v>
      </c>
      <c r="DM444" s="704"/>
      <c r="DN444" s="705" t="str">
        <f>DN$3</f>
        <v>2010/</v>
      </c>
      <c r="DO444" s="704"/>
      <c r="DP444" s="705" t="str">
        <f>DP$3</f>
        <v>2011/</v>
      </c>
      <c r="DQ444" s="704"/>
      <c r="DR444" s="705" t="str">
        <f>DR$3</f>
        <v>2012/</v>
      </c>
      <c r="DS444" s="704"/>
      <c r="DT444" s="705" t="str">
        <f>DT$3</f>
        <v>2013/</v>
      </c>
      <c r="DU444" s="704"/>
      <c r="DV444" s="705" t="str">
        <f>DV$3</f>
        <v>2014/</v>
      </c>
      <c r="DW444" s="704"/>
      <c r="DX444" s="705" t="str">
        <f>DX$3</f>
        <v>2015/</v>
      </c>
      <c r="DY444" s="704"/>
      <c r="DZ444" s="705" t="str">
        <f>DZ$3</f>
        <v>2016/</v>
      </c>
      <c r="EA444" s="704"/>
      <c r="EB444" s="705" t="str">
        <f>EB$3</f>
        <v>2017/</v>
      </c>
      <c r="EC444" s="704"/>
      <c r="ED444" s="705" t="str">
        <f>ED$3</f>
        <v>2018E/</v>
      </c>
      <c r="EE444" s="704"/>
      <c r="EF444" s="705" t="str">
        <f>EF$3</f>
        <v>2019E/</v>
      </c>
      <c r="EG444" s="704"/>
      <c r="EH444" s="705" t="str">
        <f>EH$3</f>
        <v>2020E/</v>
      </c>
      <c r="EI444" s="704"/>
      <c r="EJ444" s="705" t="str">
        <f>EJ$3</f>
        <v>2021E/</v>
      </c>
      <c r="EK444" s="704"/>
      <c r="EL444" s="705" t="str">
        <f>EL$3</f>
        <v>2022E/</v>
      </c>
      <c r="EM444" s="705" t="str">
        <f>EM$3</f>
        <v>5-Yr</v>
      </c>
    </row>
    <row r="445" spans="1:143" ht="12.75" hidden="1" customHeight="1" outlineLevel="2" x14ac:dyDescent="0.2">
      <c r="A445" s="693"/>
      <c r="B445" s="692"/>
      <c r="C445" s="686" t="str">
        <f>C$4</f>
        <v>1Q05</v>
      </c>
      <c r="D445" s="692"/>
      <c r="E445" s="686" t="str">
        <f>E$4</f>
        <v>2Q05</v>
      </c>
      <c r="F445" s="692"/>
      <c r="G445" s="686" t="str">
        <f>G$4</f>
        <v>3Q05</v>
      </c>
      <c r="H445" s="692"/>
      <c r="I445" s="686" t="str">
        <f>I$4</f>
        <v>4Q05</v>
      </c>
      <c r="J445" s="692"/>
      <c r="K445" s="686" t="str">
        <f>K$4</f>
        <v>1Q06</v>
      </c>
      <c r="L445" s="692"/>
      <c r="M445" s="686" t="str">
        <f>M$4</f>
        <v>2Q06</v>
      </c>
      <c r="N445" s="692"/>
      <c r="O445" s="686" t="str">
        <f>O$4</f>
        <v>3Q06</v>
      </c>
      <c r="P445" s="692"/>
      <c r="Q445" s="686" t="str">
        <f>Q$4</f>
        <v>4Q06</v>
      </c>
      <c r="R445" s="692"/>
      <c r="S445" s="686" t="str">
        <f>S$4</f>
        <v>1Q07</v>
      </c>
      <c r="T445" s="692"/>
      <c r="U445" s="686" t="str">
        <f>U$4</f>
        <v>2Q07</v>
      </c>
      <c r="V445" s="692"/>
      <c r="W445" s="686" t="str">
        <f>W$4</f>
        <v>3Q07</v>
      </c>
      <c r="X445" s="692"/>
      <c r="Y445" s="686" t="str">
        <f>Y$4</f>
        <v>4Q07</v>
      </c>
      <c r="Z445" s="692"/>
      <c r="AA445" s="686" t="str">
        <f>AA$4</f>
        <v>1Q08</v>
      </c>
      <c r="AB445" s="692"/>
      <c r="AC445" s="686" t="str">
        <f>AC$4</f>
        <v>2Q08</v>
      </c>
      <c r="AD445" s="692"/>
      <c r="AE445" s="686" t="str">
        <f>AE$4</f>
        <v>3Q08</v>
      </c>
      <c r="AF445" s="692"/>
      <c r="AG445" s="686" t="str">
        <f>AG$4</f>
        <v>4Q08</v>
      </c>
      <c r="AH445" s="692"/>
      <c r="AI445" s="686" t="str">
        <f>AI$4</f>
        <v>1Q09</v>
      </c>
      <c r="AJ445" s="692"/>
      <c r="AK445" s="686" t="str">
        <f>AK$4</f>
        <v>2Q09</v>
      </c>
      <c r="AL445" s="692"/>
      <c r="AM445" s="686" t="str">
        <f>AM$4</f>
        <v>3Q09</v>
      </c>
      <c r="AN445" s="692"/>
      <c r="AO445" s="686" t="str">
        <f>AO$4</f>
        <v>4Q09</v>
      </c>
      <c r="AP445" s="692"/>
      <c r="AQ445" s="686" t="str">
        <f>AQ$4</f>
        <v>1Q10</v>
      </c>
      <c r="AR445" s="692"/>
      <c r="AS445" s="686" t="str">
        <f>AS$4</f>
        <v>2Q10</v>
      </c>
      <c r="AT445" s="692"/>
      <c r="AU445" s="686" t="str">
        <f>AU$4</f>
        <v>3Q10</v>
      </c>
      <c r="AV445" s="692"/>
      <c r="AW445" s="686" t="str">
        <f>AW$4</f>
        <v>4Q10</v>
      </c>
      <c r="AX445" s="692"/>
      <c r="AY445" s="686" t="str">
        <f>AY$4</f>
        <v>1Q11</v>
      </c>
      <c r="AZ445" s="692"/>
      <c r="BA445" s="686" t="str">
        <f>BA$4</f>
        <v>2Q11</v>
      </c>
      <c r="BB445" s="692"/>
      <c r="BC445" s="686" t="str">
        <f>BC$4</f>
        <v>3Q11</v>
      </c>
      <c r="BD445" s="692"/>
      <c r="BE445" s="686" t="str">
        <f>BE$4</f>
        <v>4Q11</v>
      </c>
      <c r="BF445" s="692"/>
      <c r="BG445" s="686" t="str">
        <f>BG$4</f>
        <v>1Q12</v>
      </c>
      <c r="BH445" s="692"/>
      <c r="BI445" s="686" t="str">
        <f>BI$4</f>
        <v>2Q12</v>
      </c>
      <c r="BJ445" s="692"/>
      <c r="BK445" s="686" t="str">
        <f>BK$4</f>
        <v>3Q12</v>
      </c>
      <c r="BL445" s="692"/>
      <c r="BM445" s="686" t="str">
        <f>BM$4</f>
        <v>4Q12</v>
      </c>
      <c r="BN445" s="692"/>
      <c r="BO445" s="686" t="str">
        <f>BO$4</f>
        <v>1Q13</v>
      </c>
      <c r="BP445" s="692"/>
      <c r="BQ445" s="686" t="str">
        <f>BQ$4</f>
        <v>2Q13</v>
      </c>
      <c r="BR445" s="692"/>
      <c r="BS445" s="686" t="str">
        <f>BS$4</f>
        <v>3Q13</v>
      </c>
      <c r="BT445" s="692"/>
      <c r="BU445" s="686" t="str">
        <f>BU$4</f>
        <v>4Q13</v>
      </c>
      <c r="BV445" s="692"/>
      <c r="BW445" s="686" t="str">
        <f>BW$4</f>
        <v>1Q14</v>
      </c>
      <c r="BX445" s="692"/>
      <c r="BY445" s="686" t="str">
        <f>BY$4</f>
        <v>2Q14</v>
      </c>
      <c r="BZ445" s="692"/>
      <c r="CA445" s="686" t="str">
        <f>CA$4</f>
        <v>3Q14</v>
      </c>
      <c r="CB445" s="692"/>
      <c r="CC445" s="686" t="str">
        <f>CC$4</f>
        <v>4Q14</v>
      </c>
      <c r="CD445" s="692"/>
      <c r="CE445" s="686" t="str">
        <f>CE$4</f>
        <v>1Q15</v>
      </c>
      <c r="CF445" s="692"/>
      <c r="CG445" s="686" t="str">
        <f>CG$4</f>
        <v>2Q15</v>
      </c>
      <c r="CH445" s="692"/>
      <c r="CI445" s="686" t="str">
        <f>CI$4</f>
        <v>3Q15</v>
      </c>
      <c r="CJ445" s="692"/>
      <c r="CK445" s="686" t="str">
        <f>CK$4</f>
        <v>4Q15</v>
      </c>
      <c r="CL445" s="692"/>
      <c r="CM445" s="686" t="str">
        <f>CM$4</f>
        <v>1Q16</v>
      </c>
      <c r="CN445" s="692"/>
      <c r="CO445" s="686" t="str">
        <f t="shared" ref="CO445" si="207">CO$4</f>
        <v>2Q16</v>
      </c>
      <c r="CP445" s="692"/>
      <c r="CQ445" s="686" t="str">
        <f t="shared" ref="CQ445" si="208">CQ$4</f>
        <v>3Q16</v>
      </c>
      <c r="CR445" s="692"/>
      <c r="CS445" s="686" t="str">
        <f t="shared" ref="CS445" si="209">CS$4</f>
        <v>4Q16</v>
      </c>
      <c r="CT445" s="692"/>
      <c r="CU445" s="686" t="str">
        <f>CU$4</f>
        <v>1Q17</v>
      </c>
      <c r="CV445" s="692"/>
      <c r="CW445" s="686" t="str">
        <f t="shared" ref="CW445" si="210">CW$4</f>
        <v>2Q17</v>
      </c>
      <c r="CX445" s="692"/>
      <c r="CY445" s="686" t="str">
        <f t="shared" ref="CY445" si="211">CY$4</f>
        <v>3Q17</v>
      </c>
      <c r="CZ445" s="692"/>
      <c r="DA445" s="686" t="str">
        <f t="shared" ref="DA445" si="212">DA$4</f>
        <v>4Q17</v>
      </c>
      <c r="DB445" s="692"/>
      <c r="DC445" s="692"/>
      <c r="DD445" s="686">
        <f>DD$4</f>
        <v>2004</v>
      </c>
      <c r="DE445" s="692"/>
      <c r="DF445" s="686">
        <f>DF$4</f>
        <v>2005</v>
      </c>
      <c r="DG445" s="692"/>
      <c r="DH445" s="686">
        <f>DH$4</f>
        <v>2006</v>
      </c>
      <c r="DI445" s="692"/>
      <c r="DJ445" s="686">
        <f>DJ$4</f>
        <v>2007</v>
      </c>
      <c r="DK445" s="692"/>
      <c r="DL445" s="686">
        <f>DL$4</f>
        <v>2008</v>
      </c>
      <c r="DM445" s="692"/>
      <c r="DN445" s="686" t="str">
        <f>DN$4</f>
        <v>2009</v>
      </c>
      <c r="DO445" s="692"/>
      <c r="DP445" s="686" t="str">
        <f>DP$4</f>
        <v>2010</v>
      </c>
      <c r="DQ445" s="692"/>
      <c r="DR445" s="686" t="str">
        <f>DR$4</f>
        <v>2011</v>
      </c>
      <c r="DS445" s="692"/>
      <c r="DT445" s="686" t="str">
        <f>DT$4</f>
        <v>2012</v>
      </c>
      <c r="DU445" s="692"/>
      <c r="DV445" s="686" t="str">
        <f>DV$4</f>
        <v>2013</v>
      </c>
      <c r="DW445" s="692"/>
      <c r="DX445" s="686" t="str">
        <f>DX$4</f>
        <v>2014</v>
      </c>
      <c r="DY445" s="692"/>
      <c r="DZ445" s="686" t="str">
        <f>DZ$4</f>
        <v>2015</v>
      </c>
      <c r="EA445" s="692"/>
      <c r="EB445" s="686" t="str">
        <f>EB$4</f>
        <v>2016</v>
      </c>
      <c r="EC445" s="692"/>
      <c r="ED445" s="686" t="str">
        <f>ED$4</f>
        <v>2017</v>
      </c>
      <c r="EE445" s="692"/>
      <c r="EF445" s="686" t="str">
        <f>EF$4</f>
        <v>2018E</v>
      </c>
      <c r="EG445" s="692"/>
      <c r="EH445" s="686" t="str">
        <f>EH$4</f>
        <v>2019E</v>
      </c>
      <c r="EI445" s="692"/>
      <c r="EJ445" s="686" t="str">
        <f>EJ$4</f>
        <v>2020E</v>
      </c>
      <c r="EK445" s="692"/>
      <c r="EL445" s="686" t="str">
        <f>EL$4</f>
        <v>2021E</v>
      </c>
      <c r="EM445" s="686" t="str">
        <f>EM$4</f>
        <v>CAGR</v>
      </c>
    </row>
    <row r="446" spans="1:143" ht="12.75" hidden="1" customHeight="1" outlineLevel="2" x14ac:dyDescent="0.2">
      <c r="A446" s="694"/>
      <c r="B446" s="695" t="str">
        <f t="shared" ref="B446:BN446" si="213">B$5</f>
        <v>1Q06</v>
      </c>
      <c r="C446" s="696" t="str">
        <f t="shared" si="213"/>
        <v>% Chg</v>
      </c>
      <c r="D446" s="695" t="str">
        <f t="shared" si="213"/>
        <v>2Q06</v>
      </c>
      <c r="E446" s="696" t="str">
        <f t="shared" si="213"/>
        <v>% Chg</v>
      </c>
      <c r="F446" s="695" t="str">
        <f t="shared" si="213"/>
        <v>3Q06</v>
      </c>
      <c r="G446" s="696" t="str">
        <f t="shared" si="213"/>
        <v>% Chg</v>
      </c>
      <c r="H446" s="695" t="str">
        <f t="shared" si="213"/>
        <v>4Q06</v>
      </c>
      <c r="I446" s="696" t="str">
        <f t="shared" si="213"/>
        <v>% Chg</v>
      </c>
      <c r="J446" s="695" t="str">
        <f t="shared" si="213"/>
        <v>1Q07</v>
      </c>
      <c r="K446" s="696" t="str">
        <f t="shared" si="213"/>
        <v>% Chg</v>
      </c>
      <c r="L446" s="695" t="str">
        <f t="shared" si="213"/>
        <v>2Q07</v>
      </c>
      <c r="M446" s="696" t="str">
        <f t="shared" si="213"/>
        <v>% Chg</v>
      </c>
      <c r="N446" s="695" t="str">
        <f t="shared" si="213"/>
        <v>3Q07</v>
      </c>
      <c r="O446" s="696" t="str">
        <f t="shared" si="213"/>
        <v>% Chg</v>
      </c>
      <c r="P446" s="695" t="str">
        <f t="shared" si="213"/>
        <v>4Q07</v>
      </c>
      <c r="Q446" s="696" t="str">
        <f t="shared" si="213"/>
        <v>% Chg</v>
      </c>
      <c r="R446" s="695" t="str">
        <f t="shared" si="213"/>
        <v>1Q08</v>
      </c>
      <c r="S446" s="696" t="str">
        <f t="shared" si="213"/>
        <v>% Chg</v>
      </c>
      <c r="T446" s="695" t="str">
        <f t="shared" si="213"/>
        <v>2Q08</v>
      </c>
      <c r="U446" s="696" t="str">
        <f t="shared" si="213"/>
        <v>% Chg</v>
      </c>
      <c r="V446" s="695" t="str">
        <f t="shared" si="213"/>
        <v>3Q08</v>
      </c>
      <c r="W446" s="696" t="str">
        <f t="shared" si="213"/>
        <v>% Chg</v>
      </c>
      <c r="X446" s="695" t="str">
        <f t="shared" si="213"/>
        <v>4Q08</v>
      </c>
      <c r="Y446" s="696" t="str">
        <f t="shared" si="213"/>
        <v>% Chg</v>
      </c>
      <c r="Z446" s="695" t="str">
        <f t="shared" si="213"/>
        <v>1Q09</v>
      </c>
      <c r="AA446" s="696" t="str">
        <f t="shared" si="213"/>
        <v>% Chg</v>
      </c>
      <c r="AB446" s="695" t="str">
        <f t="shared" si="213"/>
        <v>2Q09</v>
      </c>
      <c r="AC446" s="696" t="str">
        <f t="shared" si="213"/>
        <v>% Chg</v>
      </c>
      <c r="AD446" s="695" t="str">
        <f t="shared" si="213"/>
        <v>3Q09</v>
      </c>
      <c r="AE446" s="696" t="str">
        <f t="shared" si="213"/>
        <v>% Chg</v>
      </c>
      <c r="AF446" s="695" t="str">
        <f t="shared" si="213"/>
        <v>4Q09</v>
      </c>
      <c r="AG446" s="696" t="str">
        <f t="shared" si="213"/>
        <v>% Chg</v>
      </c>
      <c r="AH446" s="695" t="str">
        <f t="shared" si="213"/>
        <v>1Q10</v>
      </c>
      <c r="AI446" s="696" t="str">
        <f t="shared" si="213"/>
        <v>% Chg</v>
      </c>
      <c r="AJ446" s="695" t="str">
        <f t="shared" si="213"/>
        <v>2Q10</v>
      </c>
      <c r="AK446" s="696" t="str">
        <f t="shared" si="213"/>
        <v>% Chg</v>
      </c>
      <c r="AL446" s="695" t="str">
        <f t="shared" si="213"/>
        <v>3Q10</v>
      </c>
      <c r="AM446" s="696" t="str">
        <f t="shared" si="213"/>
        <v>% Chg</v>
      </c>
      <c r="AN446" s="695" t="str">
        <f t="shared" si="213"/>
        <v>4Q10</v>
      </c>
      <c r="AO446" s="696" t="str">
        <f t="shared" si="213"/>
        <v>% Chg</v>
      </c>
      <c r="AP446" s="695" t="str">
        <f t="shared" si="213"/>
        <v>1Q11</v>
      </c>
      <c r="AQ446" s="696" t="str">
        <f t="shared" si="213"/>
        <v>% Chg</v>
      </c>
      <c r="AR446" s="695" t="str">
        <f t="shared" si="213"/>
        <v>2Q11</v>
      </c>
      <c r="AS446" s="696" t="str">
        <f t="shared" si="213"/>
        <v>% Chg</v>
      </c>
      <c r="AT446" s="695" t="str">
        <f t="shared" si="213"/>
        <v>3Q11</v>
      </c>
      <c r="AU446" s="696" t="str">
        <f t="shared" si="213"/>
        <v>% Chg</v>
      </c>
      <c r="AV446" s="695" t="str">
        <f t="shared" si="213"/>
        <v>4Q11</v>
      </c>
      <c r="AW446" s="696" t="str">
        <f t="shared" si="213"/>
        <v>% Chg</v>
      </c>
      <c r="AX446" s="695" t="str">
        <f t="shared" si="213"/>
        <v>1Q12</v>
      </c>
      <c r="AY446" s="696" t="str">
        <f t="shared" si="213"/>
        <v>% Chg</v>
      </c>
      <c r="AZ446" s="695" t="str">
        <f t="shared" si="213"/>
        <v>2Q12</v>
      </c>
      <c r="BA446" s="696" t="str">
        <f t="shared" si="213"/>
        <v>% Chg</v>
      </c>
      <c r="BB446" s="695" t="str">
        <f t="shared" si="213"/>
        <v>3Q12</v>
      </c>
      <c r="BC446" s="696" t="str">
        <f t="shared" si="213"/>
        <v>% Chg</v>
      </c>
      <c r="BD446" s="695" t="str">
        <f t="shared" si="213"/>
        <v>4Q12</v>
      </c>
      <c r="BE446" s="696" t="str">
        <f t="shared" si="213"/>
        <v>% Chg</v>
      </c>
      <c r="BF446" s="695" t="str">
        <f t="shared" si="213"/>
        <v>1Q13</v>
      </c>
      <c r="BG446" s="696" t="str">
        <f t="shared" si="213"/>
        <v>% Chg</v>
      </c>
      <c r="BH446" s="695" t="str">
        <f t="shared" si="213"/>
        <v>2Q13</v>
      </c>
      <c r="BI446" s="696" t="str">
        <f t="shared" si="213"/>
        <v>% Chg</v>
      </c>
      <c r="BJ446" s="695" t="str">
        <f t="shared" si="213"/>
        <v>3Q13</v>
      </c>
      <c r="BK446" s="696" t="str">
        <f t="shared" si="213"/>
        <v>% Chg</v>
      </c>
      <c r="BL446" s="695" t="str">
        <f t="shared" si="213"/>
        <v>4Q13</v>
      </c>
      <c r="BM446" s="696" t="str">
        <f t="shared" si="213"/>
        <v>% Chg</v>
      </c>
      <c r="BN446" s="695" t="str">
        <f t="shared" si="213"/>
        <v>1Q14</v>
      </c>
      <c r="BO446" s="696" t="str">
        <f t="shared" ref="BO446:DA446" si="214">BO$5</f>
        <v>% Chg</v>
      </c>
      <c r="BP446" s="695" t="str">
        <f t="shared" si="214"/>
        <v>2Q14</v>
      </c>
      <c r="BQ446" s="696" t="str">
        <f t="shared" si="214"/>
        <v>% Chg</v>
      </c>
      <c r="BR446" s="695" t="str">
        <f t="shared" si="214"/>
        <v>3Q14</v>
      </c>
      <c r="BS446" s="696" t="str">
        <f t="shared" si="214"/>
        <v>% Chg</v>
      </c>
      <c r="BT446" s="695" t="str">
        <f t="shared" si="214"/>
        <v>4Q14</v>
      </c>
      <c r="BU446" s="696" t="str">
        <f t="shared" si="214"/>
        <v>% Chg</v>
      </c>
      <c r="BV446" s="695" t="str">
        <f t="shared" si="214"/>
        <v>1Q15</v>
      </c>
      <c r="BW446" s="696" t="str">
        <f t="shared" si="214"/>
        <v>% Chg</v>
      </c>
      <c r="BX446" s="695" t="str">
        <f t="shared" si="214"/>
        <v>2Q15</v>
      </c>
      <c r="BY446" s="696" t="str">
        <f t="shared" si="214"/>
        <v>% Chg</v>
      </c>
      <c r="BZ446" s="695" t="str">
        <f t="shared" si="214"/>
        <v>3Q15</v>
      </c>
      <c r="CA446" s="696" t="str">
        <f t="shared" si="214"/>
        <v>% Chg</v>
      </c>
      <c r="CB446" s="695" t="str">
        <f t="shared" si="214"/>
        <v>4Q15</v>
      </c>
      <c r="CC446" s="696" t="str">
        <f t="shared" si="214"/>
        <v>% Chg</v>
      </c>
      <c r="CD446" s="695" t="str">
        <f t="shared" si="214"/>
        <v>1Q16</v>
      </c>
      <c r="CE446" s="696" t="str">
        <f t="shared" si="214"/>
        <v>% Chg</v>
      </c>
      <c r="CF446" s="695" t="str">
        <f t="shared" si="214"/>
        <v>2Q16</v>
      </c>
      <c r="CG446" s="696" t="str">
        <f t="shared" si="214"/>
        <v>% Chg</v>
      </c>
      <c r="CH446" s="695" t="str">
        <f t="shared" si="214"/>
        <v>3Q16</v>
      </c>
      <c r="CI446" s="696" t="str">
        <f t="shared" si="214"/>
        <v>% Chg</v>
      </c>
      <c r="CJ446" s="695" t="str">
        <f t="shared" si="214"/>
        <v>4Q16</v>
      </c>
      <c r="CK446" s="696" t="str">
        <f t="shared" si="214"/>
        <v>% Chg</v>
      </c>
      <c r="CL446" s="695" t="str">
        <f t="shared" si="214"/>
        <v>1Q17</v>
      </c>
      <c r="CM446" s="696" t="str">
        <f t="shared" si="214"/>
        <v>% Chg</v>
      </c>
      <c r="CN446" s="695" t="str">
        <f t="shared" si="214"/>
        <v>2Q17</v>
      </c>
      <c r="CO446" s="696" t="str">
        <f t="shared" si="214"/>
        <v>% Chg</v>
      </c>
      <c r="CP446" s="695" t="str">
        <f t="shared" si="214"/>
        <v>3Q17</v>
      </c>
      <c r="CQ446" s="696" t="str">
        <f t="shared" si="214"/>
        <v>% Chg</v>
      </c>
      <c r="CR446" s="695" t="str">
        <f t="shared" si="214"/>
        <v>4Q17</v>
      </c>
      <c r="CS446" s="696" t="str">
        <f t="shared" si="214"/>
        <v>% Chg</v>
      </c>
      <c r="CT446" s="695" t="str">
        <f t="shared" si="214"/>
        <v>1Q18E</v>
      </c>
      <c r="CU446" s="696" t="str">
        <f t="shared" si="214"/>
        <v>% Chg</v>
      </c>
      <c r="CV446" s="695" t="str">
        <f t="shared" si="214"/>
        <v>2Q18E</v>
      </c>
      <c r="CW446" s="696" t="str">
        <f t="shared" si="214"/>
        <v>% Chg</v>
      </c>
      <c r="CX446" s="695" t="str">
        <f t="shared" si="214"/>
        <v>3Q18E</v>
      </c>
      <c r="CY446" s="696" t="str">
        <f t="shared" si="214"/>
        <v>% Chg</v>
      </c>
      <c r="CZ446" s="695" t="str">
        <f t="shared" si="214"/>
        <v>4Q18E</v>
      </c>
      <c r="DA446" s="696" t="str">
        <f t="shared" si="214"/>
        <v>% Chg</v>
      </c>
      <c r="DB446" s="695"/>
      <c r="DC446" s="697">
        <f t="shared" ref="DC446:EM446" si="215">DC$5</f>
        <v>2005</v>
      </c>
      <c r="DD446" s="696" t="str">
        <f t="shared" si="215"/>
        <v>% Chg</v>
      </c>
      <c r="DE446" s="698">
        <f>$DE$5</f>
        <v>2006</v>
      </c>
      <c r="DF446" s="696" t="str">
        <f>INPUT!FS$6</f>
        <v>% Chg</v>
      </c>
      <c r="DG446" s="699">
        <f>$DG$5</f>
        <v>2007</v>
      </c>
      <c r="DH446" s="696" t="str">
        <f t="shared" si="215"/>
        <v>% Chg</v>
      </c>
      <c r="DI446" s="699">
        <f t="shared" si="215"/>
        <v>2008</v>
      </c>
      <c r="DJ446" s="696" t="str">
        <f t="shared" si="215"/>
        <v>% Chg</v>
      </c>
      <c r="DK446" s="695" t="str">
        <f t="shared" si="215"/>
        <v>2009</v>
      </c>
      <c r="DL446" s="696" t="str">
        <f t="shared" si="215"/>
        <v>% Chg</v>
      </c>
      <c r="DM446" s="695" t="str">
        <f t="shared" si="215"/>
        <v>2010</v>
      </c>
      <c r="DN446" s="696" t="str">
        <f t="shared" si="215"/>
        <v>% Chg</v>
      </c>
      <c r="DO446" s="695" t="str">
        <f t="shared" si="215"/>
        <v>2011</v>
      </c>
      <c r="DP446" s="696" t="str">
        <f t="shared" si="215"/>
        <v>% Chg</v>
      </c>
      <c r="DQ446" s="695" t="str">
        <f t="shared" si="215"/>
        <v>2012</v>
      </c>
      <c r="DR446" s="696" t="str">
        <f t="shared" si="215"/>
        <v>% Chg</v>
      </c>
      <c r="DS446" s="695" t="str">
        <f t="shared" si="215"/>
        <v>2013</v>
      </c>
      <c r="DT446" s="696" t="str">
        <f t="shared" si="215"/>
        <v>% Chg</v>
      </c>
      <c r="DU446" s="695" t="str">
        <f t="shared" si="215"/>
        <v>2014</v>
      </c>
      <c r="DV446" s="696" t="str">
        <f t="shared" si="215"/>
        <v>% Chg</v>
      </c>
      <c r="DW446" s="695" t="str">
        <f t="shared" si="215"/>
        <v>2015</v>
      </c>
      <c r="DX446" s="696" t="str">
        <f t="shared" si="215"/>
        <v>% Chg</v>
      </c>
      <c r="DY446" s="695" t="str">
        <f t="shared" si="215"/>
        <v>2016</v>
      </c>
      <c r="DZ446" s="696" t="str">
        <f t="shared" si="215"/>
        <v>% Chg</v>
      </c>
      <c r="EA446" s="695" t="str">
        <f t="shared" si="215"/>
        <v>2017</v>
      </c>
      <c r="EB446" s="696" t="str">
        <f t="shared" si="215"/>
        <v>% Chg</v>
      </c>
      <c r="EC446" s="695" t="str">
        <f t="shared" si="215"/>
        <v>2018E</v>
      </c>
      <c r="ED446" s="696" t="str">
        <f t="shared" si="215"/>
        <v>% Chg</v>
      </c>
      <c r="EE446" s="695" t="str">
        <f t="shared" si="215"/>
        <v>2019E</v>
      </c>
      <c r="EF446" s="696" t="str">
        <f t="shared" si="215"/>
        <v>% Chg</v>
      </c>
      <c r="EG446" s="695" t="str">
        <f t="shared" si="215"/>
        <v>2020E</v>
      </c>
      <c r="EH446" s="696" t="str">
        <f t="shared" si="215"/>
        <v>% Chg</v>
      </c>
      <c r="EI446" s="695" t="str">
        <f t="shared" si="215"/>
        <v>2021E</v>
      </c>
      <c r="EJ446" s="696" t="str">
        <f t="shared" si="215"/>
        <v>% Chg</v>
      </c>
      <c r="EK446" s="695" t="str">
        <f t="shared" si="215"/>
        <v>2022E</v>
      </c>
      <c r="EL446" s="696" t="str">
        <f t="shared" si="215"/>
        <v>% Chg</v>
      </c>
      <c r="EM446" s="696" t="str">
        <f t="shared" si="215"/>
        <v>(%)</v>
      </c>
    </row>
    <row r="447" spans="1:143" ht="12.75" hidden="1" customHeight="1" outlineLevel="2" x14ac:dyDescent="0.2">
      <c r="A447" s="701"/>
      <c r="B447" s="16"/>
      <c r="C447" s="687"/>
      <c r="D447" s="16"/>
      <c r="E447" s="687"/>
      <c r="F447" s="16"/>
      <c r="G447" s="687"/>
      <c r="H447" s="16"/>
      <c r="I447" s="687"/>
      <c r="J447" s="16"/>
      <c r="K447" s="687"/>
      <c r="L447" s="16"/>
      <c r="M447" s="687"/>
      <c r="N447" s="16"/>
      <c r="O447" s="687"/>
      <c r="P447" s="16"/>
      <c r="Q447" s="687"/>
      <c r="R447" s="16"/>
      <c r="S447" s="687"/>
      <c r="T447" s="16"/>
      <c r="U447" s="687"/>
      <c r="V447" s="16"/>
      <c r="W447" s="687"/>
      <c r="X447" s="16"/>
      <c r="Y447" s="687"/>
      <c r="Z447" s="16"/>
      <c r="AA447" s="687"/>
      <c r="AB447" s="16"/>
      <c r="AC447" s="687"/>
      <c r="AD447" s="16"/>
      <c r="AE447" s="687"/>
      <c r="AF447" s="16"/>
      <c r="AG447" s="687"/>
      <c r="AH447" s="16"/>
      <c r="AI447" s="687"/>
      <c r="AJ447" s="16"/>
      <c r="AK447" s="687"/>
      <c r="AL447" s="16"/>
      <c r="AM447" s="687"/>
      <c r="AN447" s="16"/>
      <c r="AO447" s="687"/>
      <c r="AP447" s="16"/>
      <c r="AQ447" s="687"/>
      <c r="AR447" s="16"/>
      <c r="AS447" s="687"/>
      <c r="AT447" s="16"/>
      <c r="AU447" s="687"/>
      <c r="AV447" s="16"/>
      <c r="AW447" s="687"/>
      <c r="AX447" s="16"/>
      <c r="AY447" s="687"/>
      <c r="AZ447" s="16"/>
      <c r="BA447" s="687"/>
      <c r="BB447" s="16"/>
      <c r="BC447" s="687"/>
      <c r="BD447" s="16"/>
      <c r="BE447" s="687"/>
      <c r="BF447" s="16"/>
      <c r="BG447" s="687"/>
      <c r="BH447" s="16"/>
      <c r="BI447" s="687"/>
      <c r="BJ447" s="16"/>
      <c r="BK447" s="687"/>
      <c r="BL447" s="16"/>
      <c r="BM447" s="687"/>
      <c r="BN447" s="16"/>
      <c r="BO447" s="687"/>
      <c r="BP447" s="16"/>
      <c r="BQ447" s="687"/>
      <c r="BR447" s="16"/>
      <c r="BS447" s="687"/>
      <c r="BT447" s="16"/>
      <c r="BU447" s="687"/>
      <c r="BV447" s="16"/>
      <c r="BW447" s="687"/>
      <c r="BX447" s="16"/>
      <c r="BY447" s="687"/>
      <c r="BZ447" s="16"/>
      <c r="CA447" s="687"/>
      <c r="CB447" s="16"/>
      <c r="CC447" s="687"/>
      <c r="CD447" s="16"/>
      <c r="CE447" s="687"/>
      <c r="CF447" s="16"/>
      <c r="CG447" s="687"/>
      <c r="CH447" s="16"/>
      <c r="CI447" s="687"/>
      <c r="CJ447" s="16"/>
      <c r="CK447" s="687"/>
      <c r="CL447" s="16"/>
      <c r="CM447" s="687"/>
      <c r="CN447" s="16"/>
      <c r="CO447" s="687"/>
      <c r="CP447" s="16"/>
      <c r="CQ447" s="687"/>
      <c r="CR447" s="16"/>
      <c r="CS447" s="687"/>
      <c r="CT447" s="16"/>
      <c r="CU447" s="687"/>
      <c r="CV447" s="16"/>
      <c r="CW447" s="687"/>
      <c r="CX447" s="16"/>
      <c r="CY447" s="687"/>
      <c r="CZ447" s="16"/>
      <c r="DA447" s="687"/>
      <c r="DB447" s="16"/>
      <c r="DC447" s="16"/>
      <c r="DD447" s="687"/>
      <c r="DE447" s="16"/>
      <c r="DF447" s="687"/>
      <c r="DG447" s="16"/>
      <c r="DH447" s="687"/>
      <c r="DI447" s="16"/>
      <c r="DJ447" s="687"/>
      <c r="DK447" s="16"/>
      <c r="DL447" s="687"/>
      <c r="DM447" s="16"/>
      <c r="DN447" s="687"/>
      <c r="DO447" s="16"/>
      <c r="DP447" s="687"/>
      <c r="DQ447" s="16"/>
      <c r="DR447" s="687"/>
      <c r="DS447" s="16"/>
      <c r="DT447" s="687"/>
      <c r="DU447" s="16"/>
      <c r="DV447" s="687"/>
      <c r="DW447" s="16"/>
      <c r="DX447" s="687"/>
      <c r="DY447" s="16"/>
      <c r="DZ447" s="687"/>
      <c r="EA447" s="16"/>
      <c r="EB447" s="687"/>
      <c r="EC447" s="16"/>
      <c r="ED447" s="687"/>
      <c r="EE447" s="16"/>
      <c r="EF447" s="687"/>
      <c r="EG447" s="16"/>
      <c r="EH447" s="687"/>
      <c r="EI447" s="16"/>
      <c r="EJ447" s="687"/>
      <c r="EK447" s="16"/>
      <c r="EL447" s="687"/>
      <c r="EM447" s="687"/>
    </row>
    <row r="448" spans="1:143" ht="12.75" hidden="1" customHeight="1" outlineLevel="2" x14ac:dyDescent="0.2">
      <c r="A448" s="700" t="s">
        <v>359</v>
      </c>
      <c r="B448" s="16"/>
      <c r="C448" s="687"/>
      <c r="D448" s="16"/>
      <c r="E448" s="687"/>
      <c r="F448" s="16"/>
      <c r="G448" s="687"/>
      <c r="H448" s="16"/>
      <c r="I448" s="687"/>
      <c r="J448" s="16"/>
      <c r="K448" s="687"/>
      <c r="L448" s="16"/>
      <c r="M448" s="687"/>
      <c r="N448" s="16"/>
      <c r="O448" s="687"/>
      <c r="P448" s="16"/>
      <c r="Q448" s="687"/>
      <c r="R448" s="16"/>
      <c r="S448" s="687"/>
      <c r="T448" s="16"/>
      <c r="U448" s="687"/>
      <c r="V448" s="16"/>
      <c r="W448" s="687"/>
      <c r="X448" s="16"/>
      <c r="Y448" s="687"/>
      <c r="Z448" s="16"/>
      <c r="AA448" s="687"/>
      <c r="AB448" s="16"/>
      <c r="AC448" s="687"/>
      <c r="AD448" s="16"/>
      <c r="AE448" s="687"/>
      <c r="AF448" s="16"/>
      <c r="AG448" s="687"/>
      <c r="AH448" s="16"/>
      <c r="AI448" s="687"/>
      <c r="AJ448" s="16"/>
      <c r="AK448" s="687"/>
      <c r="AL448" s="16"/>
      <c r="AM448" s="687"/>
      <c r="AN448" s="16"/>
      <c r="AO448" s="687"/>
      <c r="AP448" s="16"/>
      <c r="AQ448" s="687"/>
      <c r="AR448" s="16"/>
      <c r="AS448" s="687"/>
      <c r="AT448" s="16"/>
      <c r="AU448" s="687"/>
      <c r="AV448" s="16"/>
      <c r="AW448" s="687"/>
      <c r="AX448" s="16"/>
      <c r="AY448" s="687"/>
      <c r="AZ448" s="16"/>
      <c r="BA448" s="687"/>
      <c r="BB448" s="16"/>
      <c r="BC448" s="687"/>
      <c r="BD448" s="16"/>
      <c r="BE448" s="687"/>
      <c r="BF448" s="16"/>
      <c r="BG448" s="687"/>
      <c r="BH448" s="16"/>
      <c r="BI448" s="687"/>
      <c r="BJ448" s="16"/>
      <c r="BK448" s="687"/>
      <c r="BL448" s="16"/>
      <c r="BM448" s="687"/>
      <c r="BN448" s="16"/>
      <c r="BO448" s="687"/>
      <c r="BP448" s="16"/>
      <c r="BQ448" s="687"/>
      <c r="BR448" s="16"/>
      <c r="BS448" s="687"/>
      <c r="BT448" s="16"/>
      <c r="BU448" s="687"/>
      <c r="BV448" s="16"/>
      <c r="BW448" s="687"/>
      <c r="BX448" s="16"/>
      <c r="BY448" s="687"/>
      <c r="BZ448" s="16"/>
      <c r="CA448" s="687"/>
      <c r="CB448" s="16"/>
      <c r="CC448" s="687"/>
      <c r="CD448" s="16"/>
      <c r="CE448" s="687"/>
      <c r="CF448" s="16"/>
      <c r="CG448" s="687"/>
      <c r="CH448" s="16"/>
      <c r="CI448" s="687"/>
      <c r="CJ448" s="16"/>
      <c r="CK448" s="687"/>
      <c r="CL448" s="16"/>
      <c r="CM448" s="687"/>
      <c r="CN448" s="16"/>
      <c r="CO448" s="687"/>
      <c r="CP448" s="16"/>
      <c r="CQ448" s="687"/>
      <c r="CR448" s="16"/>
      <c r="CS448" s="687"/>
      <c r="CT448" s="16"/>
      <c r="CU448" s="687"/>
      <c r="CV448" s="16"/>
      <c r="CW448" s="687"/>
      <c r="CX448" s="16"/>
      <c r="CY448" s="687"/>
      <c r="CZ448" s="16"/>
      <c r="DA448" s="687"/>
      <c r="DB448" s="16"/>
      <c r="DC448" s="16"/>
      <c r="DD448" s="687"/>
      <c r="DE448" s="16"/>
      <c r="DF448" s="687"/>
      <c r="DG448" s="16"/>
      <c r="DH448" s="687"/>
      <c r="DI448" s="16"/>
      <c r="DJ448" s="687"/>
      <c r="DK448" s="16"/>
      <c r="DL448" s="687"/>
      <c r="DM448" s="16"/>
      <c r="DN448" s="687"/>
      <c r="DO448" s="16"/>
      <c r="DP448" s="687"/>
      <c r="DQ448" s="16"/>
      <c r="DR448" s="687"/>
      <c r="DS448" s="16"/>
      <c r="DT448" s="687"/>
      <c r="DU448" s="16"/>
      <c r="DV448" s="687"/>
      <c r="DW448" s="16"/>
      <c r="DX448" s="687"/>
      <c r="DY448" s="16"/>
      <c r="DZ448" s="687"/>
      <c r="EA448" s="16"/>
      <c r="EB448" s="687"/>
      <c r="EC448" s="16"/>
      <c r="ED448" s="687"/>
      <c r="EE448" s="16"/>
      <c r="EF448" s="687"/>
      <c r="EG448" s="16"/>
      <c r="EH448" s="687"/>
      <c r="EI448" s="16"/>
      <c r="EJ448" s="687"/>
      <c r="EK448" s="16"/>
      <c r="EL448" s="687"/>
      <c r="EM448" s="687"/>
    </row>
    <row r="449" spans="1:143" ht="12.75" hidden="1" customHeight="1" outlineLevel="2" x14ac:dyDescent="0.2">
      <c r="A449" s="701" t="str">
        <f>INPUT!B357</f>
        <v>Beginning Assets Under Management</v>
      </c>
      <c r="B449" s="151">
        <f>INPUT!AY357</f>
        <v>77633</v>
      </c>
      <c r="C449" s="687">
        <f>INPUT!AZ357</f>
        <v>35.885946333864283</v>
      </c>
      <c r="D449" s="151">
        <f>INPUT!BA357</f>
        <v>86428</v>
      </c>
      <c r="E449" s="687">
        <f>INPUT!BB357</f>
        <v>46.289776574136752</v>
      </c>
      <c r="F449" s="151">
        <f>INPUT!BC357</f>
        <v>85924</v>
      </c>
      <c r="G449" s="687">
        <f>INPUT!BD357</f>
        <v>28.530612855454663</v>
      </c>
      <c r="H449" s="151">
        <f>INPUT!BE357</f>
        <v>89511</v>
      </c>
      <c r="I449" s="687">
        <f>INPUT!BF357</f>
        <v>22.159292518492222</v>
      </c>
      <c r="J449" s="151">
        <f>INPUT!BG357</f>
        <v>93730</v>
      </c>
      <c r="K449" s="687">
        <f>INPUT!BH357</f>
        <v>20.734739092911525</v>
      </c>
      <c r="L449" s="151">
        <f>INPUT!BI357</f>
        <v>95722</v>
      </c>
      <c r="M449" s="687">
        <f>INPUT!BJ357</f>
        <v>10.753459527005127</v>
      </c>
      <c r="N449" s="151">
        <f>INPUT!BK357</f>
        <v>97714</v>
      </c>
      <c r="O449" s="687">
        <f>INPUT!BL357</f>
        <v>13.721428238908807</v>
      </c>
      <c r="P449" s="151">
        <f>INPUT!BM357</f>
        <v>99706</v>
      </c>
      <c r="Q449" s="687">
        <f>INPUT!BN357</f>
        <v>11.389661605836142</v>
      </c>
      <c r="R449" s="151">
        <f>INPUT!BO357</f>
        <v>85357</v>
      </c>
      <c r="S449" s="687">
        <f>INPUT!BP357</f>
        <v>-8.933105729222234</v>
      </c>
      <c r="T449" s="151">
        <f>INPUT!BQ357</f>
        <v>78538</v>
      </c>
      <c r="U449" s="687">
        <f>INPUT!BR357</f>
        <v>-17.95198595934059</v>
      </c>
      <c r="V449" s="151">
        <f>INPUT!BS357</f>
        <v>75691</v>
      </c>
      <c r="W449" s="687">
        <f>INPUT!BT357</f>
        <v>-22.538223795976009</v>
      </c>
      <c r="X449" s="151">
        <f>INPUT!BU357</f>
        <v>66599</v>
      </c>
      <c r="Y449" s="687">
        <f>INPUT!BV357</f>
        <v>-33.204621587467152</v>
      </c>
      <c r="Z449" s="151">
        <f>INPUT!BW357</f>
        <v>54542</v>
      </c>
      <c r="AA449" s="687">
        <f>INPUT!BX357</f>
        <v>-36.10131565073749</v>
      </c>
      <c r="AB449" s="151">
        <f>INPUT!BY357</f>
        <v>51810</v>
      </c>
      <c r="AC449" s="687">
        <f>INPUT!BZ357</f>
        <v>-34.031933586289441</v>
      </c>
      <c r="AD449" s="151"/>
      <c r="AE449" s="687"/>
      <c r="AF449" s="151"/>
      <c r="AG449" s="687"/>
      <c r="AH449" s="151"/>
      <c r="AI449" s="687"/>
      <c r="AJ449" s="151"/>
      <c r="AK449" s="687"/>
      <c r="AL449" s="151"/>
      <c r="AM449" s="687"/>
      <c r="AN449" s="151"/>
      <c r="AO449" s="687"/>
      <c r="AP449" s="151"/>
      <c r="AQ449" s="687"/>
      <c r="AR449" s="151"/>
      <c r="AS449" s="687"/>
      <c r="AT449" s="151"/>
      <c r="AU449" s="687"/>
      <c r="AV449" s="151"/>
      <c r="AW449" s="687"/>
      <c r="AX449" s="151"/>
      <c r="AY449" s="687"/>
      <c r="AZ449" s="151"/>
      <c r="BA449" s="687"/>
      <c r="BB449" s="151"/>
      <c r="BC449" s="687"/>
      <c r="BD449" s="151"/>
      <c r="BE449" s="687"/>
      <c r="BF449" s="151"/>
      <c r="BG449" s="687"/>
      <c r="BH449" s="151"/>
      <c r="BI449" s="687"/>
      <c r="BJ449" s="151"/>
      <c r="BK449" s="687"/>
      <c r="BL449" s="151"/>
      <c r="BM449" s="687"/>
      <c r="BN449" s="151"/>
      <c r="BO449" s="687"/>
      <c r="BP449" s="151"/>
      <c r="BQ449" s="687"/>
      <c r="BR449" s="151"/>
      <c r="BS449" s="687"/>
      <c r="BT449" s="151"/>
      <c r="BU449" s="687"/>
      <c r="BV449" s="151"/>
      <c r="BW449" s="687"/>
      <c r="BX449" s="151"/>
      <c r="BY449" s="687"/>
      <c r="BZ449" s="151"/>
      <c r="CA449" s="687"/>
      <c r="CB449" s="151"/>
      <c r="CC449" s="687"/>
      <c r="CD449" s="151"/>
      <c r="CE449" s="687"/>
      <c r="CF449" s="151"/>
      <c r="CG449" s="687"/>
      <c r="CH449" s="151"/>
      <c r="CI449" s="687"/>
      <c r="CJ449" s="151"/>
      <c r="CK449" s="687"/>
      <c r="CL449" s="151"/>
      <c r="CM449" s="687"/>
      <c r="CN449" s="151"/>
      <c r="CO449" s="687"/>
      <c r="CP449" s="151"/>
      <c r="CQ449" s="687"/>
      <c r="CR449" s="151"/>
      <c r="CS449" s="687"/>
      <c r="CT449" s="151"/>
      <c r="CU449" s="687"/>
      <c r="CV449" s="151"/>
      <c r="CW449" s="687"/>
      <c r="CX449" s="151"/>
      <c r="CY449" s="687"/>
      <c r="CZ449" s="151"/>
      <c r="DA449" s="687"/>
      <c r="DB449" s="16"/>
      <c r="DC449" s="151">
        <f>INPUT!FP357</f>
        <v>57131</v>
      </c>
      <c r="DD449" s="687" t="str">
        <f>INPUT!FQ357</f>
        <v>NA</v>
      </c>
      <c r="DE449" s="151">
        <f>INPUT!FR357</f>
        <v>77633</v>
      </c>
      <c r="DF449" s="687">
        <f>INPUT!FS357</f>
        <v>35.885946333864283</v>
      </c>
      <c r="DG449" s="151">
        <f>INPUT!FT357</f>
        <v>93730</v>
      </c>
      <c r="DH449" s="687">
        <f>INPUT!FU357</f>
        <v>20.734739092911525</v>
      </c>
      <c r="DI449" s="151">
        <f>INPUT!FV357</f>
        <v>85357</v>
      </c>
      <c r="DJ449" s="687">
        <f>INPUT!FW357</f>
        <v>-8.933105729222234</v>
      </c>
      <c r="DK449" s="151">
        <f>INPUT!FX357</f>
        <v>54542</v>
      </c>
      <c r="DL449" s="687">
        <f>INPUT!FY357</f>
        <v>-36.10131565073749</v>
      </c>
      <c r="DM449" s="151"/>
      <c r="DN449" s="687"/>
      <c r="DO449" s="151"/>
      <c r="DP449" s="687"/>
      <c r="DQ449" s="151"/>
      <c r="DR449" s="687"/>
      <c r="DS449" s="151"/>
      <c r="DT449" s="687"/>
      <c r="DU449" s="151"/>
      <c r="DV449" s="687"/>
      <c r="DW449" s="151"/>
      <c r="DX449" s="687"/>
      <c r="DY449" s="151"/>
      <c r="DZ449" s="687"/>
      <c r="EA449" s="151"/>
      <c r="EB449" s="687"/>
      <c r="EC449" s="151"/>
      <c r="ED449" s="687"/>
      <c r="EE449" s="151"/>
      <c r="EF449" s="687"/>
      <c r="EG449" s="151"/>
      <c r="EH449" s="687"/>
      <c r="EI449" s="151"/>
      <c r="EJ449" s="687"/>
      <c r="EK449" s="151"/>
      <c r="EL449" s="687"/>
      <c r="EM449" s="687"/>
    </row>
    <row r="450" spans="1:143" ht="12.75" hidden="1" customHeight="1" outlineLevel="2" x14ac:dyDescent="0.2">
      <c r="A450" s="701" t="str">
        <f>INPUT!B358</f>
        <v>Sales</v>
      </c>
      <c r="B450" s="151">
        <f>INPUT!AY358</f>
        <v>9063</v>
      </c>
      <c r="C450" s="687">
        <f>INPUT!AZ358</f>
        <v>57.371071366556706</v>
      </c>
      <c r="D450" s="151">
        <f>INPUT!BA358</f>
        <v>6046</v>
      </c>
      <c r="E450" s="687">
        <f>INPUT!BB358</f>
        <v>-42.110302566066636</v>
      </c>
      <c r="F450" s="151">
        <f>INPUT!BC358</f>
        <v>4903</v>
      </c>
      <c r="G450" s="687">
        <f>INPUT!BD358</f>
        <v>-27.233600474918372</v>
      </c>
      <c r="H450" s="151">
        <f>INPUT!BE358</f>
        <v>8080</v>
      </c>
      <c r="I450" s="687">
        <f>INPUT!BF358</f>
        <v>-4.5142992200425391</v>
      </c>
      <c r="J450" s="151">
        <f>INPUT!BG358</f>
        <v>5745</v>
      </c>
      <c r="K450" s="687">
        <f>INPUT!BH358</f>
        <v>-36.61039390930155</v>
      </c>
      <c r="L450" s="151">
        <f>INPUT!BI358</f>
        <v>5745</v>
      </c>
      <c r="M450" s="687">
        <f>INPUT!BJ358</f>
        <v>-4.9784981806152873</v>
      </c>
      <c r="N450" s="151">
        <f>INPUT!BK358</f>
        <v>5745</v>
      </c>
      <c r="O450" s="687">
        <f>INPUT!BL358</f>
        <v>17.173159290230466</v>
      </c>
      <c r="P450" s="151">
        <f>INPUT!BM358</f>
        <v>5822</v>
      </c>
      <c r="Q450" s="687">
        <f>INPUT!BN358</f>
        <v>-27.945544554455449</v>
      </c>
      <c r="R450" s="151">
        <f>INPUT!BO358</f>
        <v>4723</v>
      </c>
      <c r="S450" s="687">
        <f>INPUT!BP358</f>
        <v>-17.789382071366411</v>
      </c>
      <c r="T450" s="151">
        <f>INPUT!BQ358</f>
        <v>3506</v>
      </c>
      <c r="U450" s="687">
        <f>INPUT!BR358</f>
        <v>-38.973020017406448</v>
      </c>
      <c r="V450" s="151">
        <f>INPUT!BS358</f>
        <v>3988</v>
      </c>
      <c r="W450" s="687">
        <f>INPUT!BT358</f>
        <v>-30.583115752828547</v>
      </c>
      <c r="X450" s="151">
        <f>INPUT!BU358</f>
        <v>3780</v>
      </c>
      <c r="Y450" s="687">
        <f>INPUT!BV358</f>
        <v>-35.073857780831332</v>
      </c>
      <c r="Z450" s="151">
        <f>INPUT!BW358</f>
        <v>5130</v>
      </c>
      <c r="AA450" s="687">
        <f>INPUT!BX358</f>
        <v>8.6174041922506781</v>
      </c>
      <c r="AB450" s="151">
        <f>INPUT!BY358</f>
        <v>3867</v>
      </c>
      <c r="AC450" s="687">
        <f>INPUT!BZ358</f>
        <v>10.296634341129485</v>
      </c>
      <c r="AD450" s="151"/>
      <c r="AE450" s="687"/>
      <c r="AF450" s="151"/>
      <c r="AG450" s="687"/>
      <c r="AH450" s="151"/>
      <c r="AI450" s="687"/>
      <c r="AJ450" s="151"/>
      <c r="AK450" s="687"/>
      <c r="AL450" s="151"/>
      <c r="AM450" s="687"/>
      <c r="AN450" s="151"/>
      <c r="AO450" s="687"/>
      <c r="AP450" s="151"/>
      <c r="AQ450" s="687"/>
      <c r="AR450" s="151"/>
      <c r="AS450" s="687"/>
      <c r="AT450" s="151"/>
      <c r="AU450" s="687"/>
      <c r="AV450" s="151"/>
      <c r="AW450" s="687"/>
      <c r="AX450" s="151"/>
      <c r="AY450" s="687"/>
      <c r="AZ450" s="151"/>
      <c r="BA450" s="687"/>
      <c r="BB450" s="151"/>
      <c r="BC450" s="687"/>
      <c r="BD450" s="151"/>
      <c r="BE450" s="687"/>
      <c r="BF450" s="151"/>
      <c r="BG450" s="687"/>
      <c r="BH450" s="151"/>
      <c r="BI450" s="687"/>
      <c r="BJ450" s="151"/>
      <c r="BK450" s="687"/>
      <c r="BL450" s="151"/>
      <c r="BM450" s="687"/>
      <c r="BN450" s="151"/>
      <c r="BO450" s="687"/>
      <c r="BP450" s="151"/>
      <c r="BQ450" s="687"/>
      <c r="BR450" s="151"/>
      <c r="BS450" s="687"/>
      <c r="BT450" s="151"/>
      <c r="BU450" s="687"/>
      <c r="BV450" s="151"/>
      <c r="BW450" s="687"/>
      <c r="BX450" s="151"/>
      <c r="BY450" s="687"/>
      <c r="BZ450" s="151"/>
      <c r="CA450" s="687"/>
      <c r="CB450" s="151"/>
      <c r="CC450" s="687"/>
      <c r="CD450" s="151"/>
      <c r="CE450" s="687"/>
      <c r="CF450" s="151"/>
      <c r="CG450" s="687"/>
      <c r="CH450" s="151"/>
      <c r="CI450" s="687"/>
      <c r="CJ450" s="151"/>
      <c r="CK450" s="687"/>
      <c r="CL450" s="151"/>
      <c r="CM450" s="687"/>
      <c r="CN450" s="151"/>
      <c r="CO450" s="687"/>
      <c r="CP450" s="151"/>
      <c r="CQ450" s="687"/>
      <c r="CR450" s="151"/>
      <c r="CS450" s="687"/>
      <c r="CT450" s="151"/>
      <c r="CU450" s="687"/>
      <c r="CV450" s="151"/>
      <c r="CW450" s="687"/>
      <c r="CX450" s="151"/>
      <c r="CY450" s="687"/>
      <c r="CZ450" s="151"/>
      <c r="DA450" s="687"/>
      <c r="DB450" s="16"/>
      <c r="DC450" s="151">
        <f>INPUT!FP358</f>
        <v>31403</v>
      </c>
      <c r="DD450" s="687" t="str">
        <f>INPUT!FQ358</f>
        <v>NA</v>
      </c>
      <c r="DE450" s="151">
        <f>INPUT!FR358</f>
        <v>28092</v>
      </c>
      <c r="DF450" s="687">
        <f>INPUT!FS358</f>
        <v>-10.543578638983542</v>
      </c>
      <c r="DG450" s="151">
        <f>INPUT!FT358</f>
        <v>23057</v>
      </c>
      <c r="DH450" s="687">
        <f>INPUT!FU358</f>
        <v>-17.923252171436708</v>
      </c>
      <c r="DI450" s="151">
        <f>INPUT!FV358</f>
        <v>15997</v>
      </c>
      <c r="DJ450" s="687">
        <f>INPUT!FW358</f>
        <v>-30.619768400052049</v>
      </c>
      <c r="DK450" s="151">
        <f>INPUT!FX358</f>
        <v>8997</v>
      </c>
      <c r="DL450" s="687">
        <f>INPUT!FY358</f>
        <v>-43.758204663374379</v>
      </c>
      <c r="DM450" s="151"/>
      <c r="DN450" s="687"/>
      <c r="DO450" s="151"/>
      <c r="DP450" s="687"/>
      <c r="DQ450" s="151"/>
      <c r="DR450" s="687"/>
      <c r="DS450" s="151"/>
      <c r="DT450" s="687"/>
      <c r="DU450" s="151"/>
      <c r="DV450" s="687"/>
      <c r="DW450" s="151"/>
      <c r="DX450" s="687"/>
      <c r="DY450" s="151"/>
      <c r="DZ450" s="687"/>
      <c r="EA450" s="151"/>
      <c r="EB450" s="687"/>
      <c r="EC450" s="151"/>
      <c r="ED450" s="687"/>
      <c r="EE450" s="151"/>
      <c r="EF450" s="687"/>
      <c r="EG450" s="151"/>
      <c r="EH450" s="687"/>
      <c r="EI450" s="151"/>
      <c r="EJ450" s="687"/>
      <c r="EK450" s="151"/>
      <c r="EL450" s="687"/>
      <c r="EM450" s="687"/>
    </row>
    <row r="451" spans="1:143" ht="12.75" hidden="1" customHeight="1" outlineLevel="2" x14ac:dyDescent="0.2">
      <c r="A451" s="701" t="str">
        <f>INPUT!B359</f>
        <v>Redemptions</v>
      </c>
      <c r="B451" s="151">
        <f>INPUT!AY359</f>
        <v>-4099</v>
      </c>
      <c r="C451" s="687">
        <f>INPUT!AZ359</f>
        <v>36.815754339118833</v>
      </c>
      <c r="D451" s="151">
        <f>INPUT!BA359</f>
        <v>-5037</v>
      </c>
      <c r="E451" s="687">
        <f>INPUT!BB359</f>
        <v>23.39539441450269</v>
      </c>
      <c r="F451" s="151">
        <f>INPUT!BC359</f>
        <v>-4154</v>
      </c>
      <c r="G451" s="687">
        <f>INPUT!BD359</f>
        <v>30.13784461152882</v>
      </c>
      <c r="H451" s="151">
        <f>INPUT!BE359</f>
        <v>-5551</v>
      </c>
      <c r="I451" s="687">
        <f>INPUT!BF359</f>
        <v>-0.50188205771644068</v>
      </c>
      <c r="J451" s="151">
        <f>INPUT!BG359</f>
        <v>-5652</v>
      </c>
      <c r="K451" s="687">
        <f>INPUT!BH359</f>
        <v>37.887289582825076</v>
      </c>
      <c r="L451" s="151">
        <f>INPUT!BI359</f>
        <v>-5652</v>
      </c>
      <c r="M451" s="687">
        <f>INPUT!BJ359</f>
        <v>12.209648600357358</v>
      </c>
      <c r="N451" s="151">
        <f>INPUT!BK359</f>
        <v>-5652</v>
      </c>
      <c r="O451" s="687">
        <f>INPUT!BL359</f>
        <v>36.061627347135293</v>
      </c>
      <c r="P451" s="151">
        <f>INPUT!BM359</f>
        <v>-6892</v>
      </c>
      <c r="Q451" s="687">
        <f>INPUT!BN359</f>
        <v>24.157809403711038</v>
      </c>
      <c r="R451" s="151">
        <f>INPUT!BO359</f>
        <v>-5885</v>
      </c>
      <c r="S451" s="687">
        <f>INPUT!BP359</f>
        <v>4.1224345364472725</v>
      </c>
      <c r="T451" s="151">
        <f>INPUT!BQ359</f>
        <v>-4975</v>
      </c>
      <c r="U451" s="687">
        <f>INPUT!BR359</f>
        <v>-11.978060863411176</v>
      </c>
      <c r="V451" s="151">
        <f>INPUT!BS359</f>
        <v>-7260</v>
      </c>
      <c r="W451" s="687">
        <f>INPUT!BT359</f>
        <v>28.450106157112522</v>
      </c>
      <c r="X451" s="151">
        <f>INPUT!BU359</f>
        <v>-7080</v>
      </c>
      <c r="Y451" s="687">
        <f>INPUT!BV359</f>
        <v>2.7278003482298363</v>
      </c>
      <c r="Z451" s="151">
        <f>INPUT!BW359</f>
        <v>-4919</v>
      </c>
      <c r="AA451" s="687">
        <f>INPUT!BX359</f>
        <v>-16.414613423959224</v>
      </c>
      <c r="AB451" s="151">
        <f>INPUT!BY359</f>
        <v>-3793</v>
      </c>
      <c r="AC451" s="687">
        <f>INPUT!BZ359</f>
        <v>-23.758793969849247</v>
      </c>
      <c r="AD451" s="151"/>
      <c r="AE451" s="687"/>
      <c r="AF451" s="151"/>
      <c r="AG451" s="687"/>
      <c r="AH451" s="151"/>
      <c r="AI451" s="687"/>
      <c r="AJ451" s="151"/>
      <c r="AK451" s="687"/>
      <c r="AL451" s="151"/>
      <c r="AM451" s="687"/>
      <c r="AN451" s="151"/>
      <c r="AO451" s="687"/>
      <c r="AP451" s="151"/>
      <c r="AQ451" s="687"/>
      <c r="AR451" s="151"/>
      <c r="AS451" s="687"/>
      <c r="AT451" s="151"/>
      <c r="AU451" s="687"/>
      <c r="AV451" s="151"/>
      <c r="AW451" s="687"/>
      <c r="AX451" s="151"/>
      <c r="AY451" s="687"/>
      <c r="AZ451" s="151"/>
      <c r="BA451" s="687"/>
      <c r="BB451" s="151"/>
      <c r="BC451" s="687"/>
      <c r="BD451" s="151"/>
      <c r="BE451" s="687"/>
      <c r="BF451" s="151"/>
      <c r="BG451" s="687"/>
      <c r="BH451" s="151"/>
      <c r="BI451" s="687"/>
      <c r="BJ451" s="151"/>
      <c r="BK451" s="687"/>
      <c r="BL451" s="151"/>
      <c r="BM451" s="687"/>
      <c r="BN451" s="151"/>
      <c r="BO451" s="687"/>
      <c r="BP451" s="151"/>
      <c r="BQ451" s="687"/>
      <c r="BR451" s="151"/>
      <c r="BS451" s="687"/>
      <c r="BT451" s="151"/>
      <c r="BU451" s="687"/>
      <c r="BV451" s="151"/>
      <c r="BW451" s="687"/>
      <c r="BX451" s="151"/>
      <c r="BY451" s="687"/>
      <c r="BZ451" s="151"/>
      <c r="CA451" s="687"/>
      <c r="CB451" s="151"/>
      <c r="CC451" s="687"/>
      <c r="CD451" s="151"/>
      <c r="CE451" s="687"/>
      <c r="CF451" s="151"/>
      <c r="CG451" s="687"/>
      <c r="CH451" s="151"/>
      <c r="CI451" s="687"/>
      <c r="CJ451" s="151"/>
      <c r="CK451" s="687"/>
      <c r="CL451" s="151"/>
      <c r="CM451" s="687"/>
      <c r="CN451" s="151"/>
      <c r="CO451" s="687"/>
      <c r="CP451" s="151"/>
      <c r="CQ451" s="687"/>
      <c r="CR451" s="151"/>
      <c r="CS451" s="687"/>
      <c r="CT451" s="151"/>
      <c r="CU451" s="687"/>
      <c r="CV451" s="151"/>
      <c r="CW451" s="687"/>
      <c r="CX451" s="151"/>
      <c r="CY451" s="687"/>
      <c r="CZ451" s="151"/>
      <c r="DA451" s="687"/>
      <c r="DB451" s="16"/>
      <c r="DC451" s="151">
        <f>INPUT!FP359</f>
        <v>-15849</v>
      </c>
      <c r="DD451" s="687" t="str">
        <f>INPUT!FQ359</f>
        <v>NA</v>
      </c>
      <c r="DE451" s="151">
        <f>INPUT!FR359</f>
        <v>-18841</v>
      </c>
      <c r="DF451" s="687">
        <f>INPUT!FS359</f>
        <v>18.878162660104735</v>
      </c>
      <c r="DG451" s="151">
        <f>INPUT!FT359</f>
        <v>-23848</v>
      </c>
      <c r="DH451" s="687">
        <f>INPUT!FU359</f>
        <v>26.575022557189108</v>
      </c>
      <c r="DI451" s="151">
        <f>INPUT!FV359</f>
        <v>-25200</v>
      </c>
      <c r="DJ451" s="687">
        <f>INPUT!FW359</f>
        <v>5.6692385105669318</v>
      </c>
      <c r="DK451" s="151">
        <f>INPUT!FX359</f>
        <v>-8712</v>
      </c>
      <c r="DL451" s="687" t="str">
        <f>INPUT!FY359</f>
        <v>NM</v>
      </c>
      <c r="DM451" s="151"/>
      <c r="DN451" s="687"/>
      <c r="DO451" s="151"/>
      <c r="DP451" s="687"/>
      <c r="DQ451" s="151"/>
      <c r="DR451" s="687"/>
      <c r="DS451" s="151"/>
      <c r="DT451" s="687"/>
      <c r="DU451" s="151"/>
      <c r="DV451" s="687"/>
      <c r="DW451" s="151"/>
      <c r="DX451" s="687"/>
      <c r="DY451" s="151"/>
      <c r="DZ451" s="687"/>
      <c r="EA451" s="151"/>
      <c r="EB451" s="687"/>
      <c r="EC451" s="151"/>
      <c r="ED451" s="687"/>
      <c r="EE451" s="151"/>
      <c r="EF451" s="687"/>
      <c r="EG451" s="151"/>
      <c r="EH451" s="687"/>
      <c r="EI451" s="151"/>
      <c r="EJ451" s="687"/>
      <c r="EK451" s="151"/>
      <c r="EL451" s="687"/>
      <c r="EM451" s="687"/>
    </row>
    <row r="452" spans="1:143" ht="12.75" hidden="1" customHeight="1" outlineLevel="2" x14ac:dyDescent="0.2">
      <c r="A452" s="701" t="str">
        <f>INPUT!B360</f>
        <v>Transfers/Net Money Market Flows</v>
      </c>
      <c r="B452" s="151">
        <f>INPUT!AY360</f>
        <v>-66</v>
      </c>
      <c r="C452" s="687" t="str">
        <f>INPUT!AZ360</f>
        <v>NM</v>
      </c>
      <c r="D452" s="151">
        <f>INPUT!BA360</f>
        <v>-2</v>
      </c>
      <c r="E452" s="687" t="str">
        <f>INPUT!BB360</f>
        <v>NM</v>
      </c>
      <c r="F452" s="151">
        <f>INPUT!BC360</f>
        <v>-3</v>
      </c>
      <c r="G452" s="687">
        <f>INPUT!BD360</f>
        <v>50</v>
      </c>
      <c r="H452" s="151">
        <f>INPUT!BE360</f>
        <v>-2</v>
      </c>
      <c r="I452" s="687">
        <f>INPUT!BF360</f>
        <v>-33.333333333333336</v>
      </c>
      <c r="J452" s="151">
        <f>INPUT!BG360</f>
        <v>-1</v>
      </c>
      <c r="K452" s="687" t="str">
        <f>INPUT!BH360</f>
        <v>NM</v>
      </c>
      <c r="L452" s="151">
        <f>INPUT!BI360</f>
        <v>-1</v>
      </c>
      <c r="M452" s="687">
        <f>INPUT!BJ360</f>
        <v>-50</v>
      </c>
      <c r="N452" s="151">
        <f>INPUT!BK360</f>
        <v>-1</v>
      </c>
      <c r="O452" s="687" t="str">
        <f>INPUT!BL360</f>
        <v>NM</v>
      </c>
      <c r="P452" s="151">
        <f>INPUT!BM360</f>
        <v>-12232</v>
      </c>
      <c r="Q452" s="687" t="str">
        <f>INPUT!BN360</f>
        <v>NM</v>
      </c>
      <c r="R452" s="151">
        <f>INPUT!BO360</f>
        <v>-3</v>
      </c>
      <c r="S452" s="687" t="str">
        <f>INPUT!BP360</f>
        <v>NM</v>
      </c>
      <c r="T452" s="151">
        <f>INPUT!BQ360</f>
        <v>-3</v>
      </c>
      <c r="U452" s="687" t="str">
        <f>INPUT!BR360</f>
        <v>NM</v>
      </c>
      <c r="V452" s="151">
        <f>INPUT!BS360</f>
        <v>674</v>
      </c>
      <c r="W452" s="687" t="str">
        <f>INPUT!BT360</f>
        <v>NM</v>
      </c>
      <c r="X452" s="151">
        <f>INPUT!BU360</f>
        <v>0</v>
      </c>
      <c r="Y452" s="687" t="str">
        <f>INPUT!BV360</f>
        <v>NM</v>
      </c>
      <c r="Z452" s="151">
        <f>INPUT!BW360</f>
        <v>0</v>
      </c>
      <c r="AA452" s="687" t="str">
        <f>INPUT!BX360</f>
        <v>NM</v>
      </c>
      <c r="AB452" s="151">
        <f>INPUT!BY360</f>
        <v>285</v>
      </c>
      <c r="AC452" s="687" t="str">
        <f>INPUT!BZ360</f>
        <v>NM</v>
      </c>
      <c r="AD452" s="151"/>
      <c r="AE452" s="687"/>
      <c r="AF452" s="151"/>
      <c r="AG452" s="687"/>
      <c r="AH452" s="151"/>
      <c r="AI452" s="687"/>
      <c r="AJ452" s="151"/>
      <c r="AK452" s="687"/>
      <c r="AL452" s="151"/>
      <c r="AM452" s="687"/>
      <c r="AN452" s="151"/>
      <c r="AO452" s="687"/>
      <c r="AP452" s="151"/>
      <c r="AQ452" s="687"/>
      <c r="AR452" s="151"/>
      <c r="AS452" s="687"/>
      <c r="AT452" s="151"/>
      <c r="AU452" s="687"/>
      <c r="AV452" s="151"/>
      <c r="AW452" s="687"/>
      <c r="AX452" s="151"/>
      <c r="AY452" s="687"/>
      <c r="AZ452" s="151"/>
      <c r="BA452" s="687"/>
      <c r="BB452" s="151"/>
      <c r="BC452" s="687"/>
      <c r="BD452" s="151"/>
      <c r="BE452" s="687"/>
      <c r="BF452" s="151"/>
      <c r="BG452" s="687"/>
      <c r="BH452" s="151"/>
      <c r="BI452" s="687"/>
      <c r="BJ452" s="151"/>
      <c r="BK452" s="687"/>
      <c r="BL452" s="151"/>
      <c r="BM452" s="687"/>
      <c r="BN452" s="151"/>
      <c r="BO452" s="687"/>
      <c r="BP452" s="151"/>
      <c r="BQ452" s="687"/>
      <c r="BR452" s="151"/>
      <c r="BS452" s="687"/>
      <c r="BT452" s="151"/>
      <c r="BU452" s="687"/>
      <c r="BV452" s="151"/>
      <c r="BW452" s="687"/>
      <c r="BX452" s="151"/>
      <c r="BY452" s="687"/>
      <c r="BZ452" s="151"/>
      <c r="CA452" s="687"/>
      <c r="CB452" s="151"/>
      <c r="CC452" s="687"/>
      <c r="CD452" s="151"/>
      <c r="CE452" s="687"/>
      <c r="CF452" s="151"/>
      <c r="CG452" s="687"/>
      <c r="CH452" s="151"/>
      <c r="CI452" s="687"/>
      <c r="CJ452" s="151"/>
      <c r="CK452" s="687"/>
      <c r="CL452" s="151"/>
      <c r="CM452" s="687"/>
      <c r="CN452" s="151"/>
      <c r="CO452" s="687"/>
      <c r="CP452" s="151"/>
      <c r="CQ452" s="687"/>
      <c r="CR452" s="151"/>
      <c r="CS452" s="687"/>
      <c r="CT452" s="151"/>
      <c r="CU452" s="687"/>
      <c r="CV452" s="151"/>
      <c r="CW452" s="687"/>
      <c r="CX452" s="151"/>
      <c r="CY452" s="687"/>
      <c r="CZ452" s="151"/>
      <c r="DA452" s="687"/>
      <c r="DB452" s="16"/>
      <c r="DC452" s="151">
        <f>INPUT!FP360</f>
        <v>-338</v>
      </c>
      <c r="DD452" s="687" t="str">
        <f>INPUT!FQ360</f>
        <v>NA</v>
      </c>
      <c r="DE452" s="151">
        <f>INPUT!FR360</f>
        <v>-73</v>
      </c>
      <c r="DF452" s="687" t="str">
        <f>INPUT!FS360</f>
        <v>NM</v>
      </c>
      <c r="DG452" s="151">
        <f>INPUT!FT360</f>
        <v>-12235</v>
      </c>
      <c r="DH452" s="687" t="str">
        <f>INPUT!FU360</f>
        <v>NM</v>
      </c>
      <c r="DI452" s="151">
        <f>INPUT!FV360</f>
        <v>668</v>
      </c>
      <c r="DJ452" s="687" t="str">
        <f>INPUT!FW360</f>
        <v>NM</v>
      </c>
      <c r="DK452" s="151">
        <f>INPUT!FX360</f>
        <v>285</v>
      </c>
      <c r="DL452" s="687" t="str">
        <f>INPUT!FY360</f>
        <v>NM</v>
      </c>
      <c r="DM452" s="151"/>
      <c r="DN452" s="687"/>
      <c r="DO452" s="151"/>
      <c r="DP452" s="687"/>
      <c r="DQ452" s="151"/>
      <c r="DR452" s="687"/>
      <c r="DS452" s="151"/>
      <c r="DT452" s="687"/>
      <c r="DU452" s="151"/>
      <c r="DV452" s="687"/>
      <c r="DW452" s="151"/>
      <c r="DX452" s="687"/>
      <c r="DY452" s="151"/>
      <c r="DZ452" s="687"/>
      <c r="EA452" s="151"/>
      <c r="EB452" s="687"/>
      <c r="EC452" s="151"/>
      <c r="ED452" s="687"/>
      <c r="EE452" s="151"/>
      <c r="EF452" s="687"/>
      <c r="EG452" s="151"/>
      <c r="EH452" s="687"/>
      <c r="EI452" s="151"/>
      <c r="EJ452" s="687"/>
      <c r="EK452" s="151"/>
      <c r="EL452" s="687"/>
      <c r="EM452" s="687"/>
    </row>
    <row r="453" spans="1:143" ht="12.75" hidden="1" customHeight="1" outlineLevel="2" x14ac:dyDescent="0.2">
      <c r="A453" s="701" t="str">
        <f>INPUT!B361</f>
        <v xml:space="preserve">Market Appreciation </v>
      </c>
      <c r="B453" s="151">
        <f>INPUT!AY361</f>
        <v>3897</v>
      </c>
      <c r="C453" s="687" t="str">
        <f>INPUT!AZ361</f>
        <v>NM</v>
      </c>
      <c r="D453" s="151">
        <f>INPUT!BA361</f>
        <v>-1511</v>
      </c>
      <c r="E453" s="687" t="str">
        <f>INPUT!BB361</f>
        <v>NM</v>
      </c>
      <c r="F453" s="151">
        <f>INPUT!BC361</f>
        <v>2841</v>
      </c>
      <c r="G453" s="687">
        <f>INPUT!BD361</f>
        <v>-1.2513034410844615</v>
      </c>
      <c r="H453" s="151">
        <f>INPUT!BE361</f>
        <v>5269</v>
      </c>
      <c r="I453" s="687" t="str">
        <f>INPUT!BF361</f>
        <v>NM</v>
      </c>
      <c r="J453" s="151">
        <f>INPUT!BG361</f>
        <v>1900</v>
      </c>
      <c r="K453" s="687" t="str">
        <f>INPUT!BH361</f>
        <v>NM</v>
      </c>
      <c r="L453" s="151">
        <f>INPUT!BI361</f>
        <v>1900</v>
      </c>
      <c r="M453" s="687" t="str">
        <f>INPUT!BJ361</f>
        <v>NM</v>
      </c>
      <c r="N453" s="151">
        <f>INPUT!BK361</f>
        <v>1900</v>
      </c>
      <c r="O453" s="687">
        <f>INPUT!BL361</f>
        <v>-33.122140091517075</v>
      </c>
      <c r="P453" s="151">
        <f>INPUT!BM361</f>
        <v>-1047</v>
      </c>
      <c r="Q453" s="687" t="str">
        <f>INPUT!BN361</f>
        <v>NM</v>
      </c>
      <c r="R453" s="151">
        <f>INPUT!BO361</f>
        <v>-5654</v>
      </c>
      <c r="S453" s="687" t="str">
        <f>INPUT!BP361</f>
        <v>NM</v>
      </c>
      <c r="T453" s="151">
        <f>INPUT!BQ361</f>
        <v>-1375</v>
      </c>
      <c r="U453" s="687" t="str">
        <f>INPUT!BR361</f>
        <v>NM</v>
      </c>
      <c r="V453" s="151">
        <f>INPUT!BS361</f>
        <v>-6494</v>
      </c>
      <c r="W453" s="687" t="str">
        <f>INPUT!BT361</f>
        <v>NM</v>
      </c>
      <c r="X453" s="151">
        <f>INPUT!BU361</f>
        <v>-8757</v>
      </c>
      <c r="Y453" s="687" t="str">
        <f>INPUT!BV361</f>
        <v>NM</v>
      </c>
      <c r="Z453" s="151">
        <f>INPUT!BW361</f>
        <v>-2943</v>
      </c>
      <c r="AA453" s="687">
        <f>INPUT!BX361</f>
        <v>-47.948355146798725</v>
      </c>
      <c r="AB453" s="151">
        <f>INPUT!BY361</f>
        <v>5698</v>
      </c>
      <c r="AC453" s="687" t="str">
        <f>INPUT!BZ361</f>
        <v>NM</v>
      </c>
      <c r="AD453" s="151"/>
      <c r="AE453" s="687"/>
      <c r="AF453" s="151"/>
      <c r="AG453" s="687"/>
      <c r="AH453" s="151"/>
      <c r="AI453" s="687"/>
      <c r="AJ453" s="151"/>
      <c r="AK453" s="687"/>
      <c r="AL453" s="151"/>
      <c r="AM453" s="687"/>
      <c r="AN453" s="151"/>
      <c r="AO453" s="687"/>
      <c r="AP453" s="151"/>
      <c r="AQ453" s="687"/>
      <c r="AR453" s="151"/>
      <c r="AS453" s="687"/>
      <c r="AT453" s="151"/>
      <c r="AU453" s="687"/>
      <c r="AV453" s="151"/>
      <c r="AW453" s="687"/>
      <c r="AX453" s="151"/>
      <c r="AY453" s="687"/>
      <c r="AZ453" s="151"/>
      <c r="BA453" s="687"/>
      <c r="BB453" s="151"/>
      <c r="BC453" s="687"/>
      <c r="BD453" s="151"/>
      <c r="BE453" s="687"/>
      <c r="BF453" s="151"/>
      <c r="BG453" s="687"/>
      <c r="BH453" s="151"/>
      <c r="BI453" s="687"/>
      <c r="BJ453" s="151"/>
      <c r="BK453" s="687"/>
      <c r="BL453" s="151"/>
      <c r="BM453" s="687"/>
      <c r="BN453" s="151"/>
      <c r="BO453" s="687"/>
      <c r="BP453" s="151"/>
      <c r="BQ453" s="687"/>
      <c r="BR453" s="151"/>
      <c r="BS453" s="687"/>
      <c r="BT453" s="151"/>
      <c r="BU453" s="687"/>
      <c r="BV453" s="151"/>
      <c r="BW453" s="687"/>
      <c r="BX453" s="151"/>
      <c r="BY453" s="687"/>
      <c r="BZ453" s="151"/>
      <c r="CA453" s="687"/>
      <c r="CB453" s="151"/>
      <c r="CC453" s="687"/>
      <c r="CD453" s="151"/>
      <c r="CE453" s="687"/>
      <c r="CF453" s="151"/>
      <c r="CG453" s="687"/>
      <c r="CH453" s="151"/>
      <c r="CI453" s="687"/>
      <c r="CJ453" s="151"/>
      <c r="CK453" s="687"/>
      <c r="CL453" s="151"/>
      <c r="CM453" s="687"/>
      <c r="CN453" s="151"/>
      <c r="CO453" s="687"/>
      <c r="CP453" s="151"/>
      <c r="CQ453" s="687"/>
      <c r="CR453" s="151"/>
      <c r="CS453" s="687"/>
      <c r="CT453" s="151"/>
      <c r="CU453" s="687"/>
      <c r="CV453" s="151"/>
      <c r="CW453" s="687"/>
      <c r="CX453" s="151"/>
      <c r="CY453" s="687"/>
      <c r="CZ453" s="151"/>
      <c r="DA453" s="687"/>
      <c r="DB453" s="16"/>
      <c r="DC453" s="151">
        <f>INPUT!FP361</f>
        <v>5281</v>
      </c>
      <c r="DD453" s="687" t="str">
        <f>INPUT!FQ361</f>
        <v>NA</v>
      </c>
      <c r="DE453" s="151">
        <f>INPUT!FR361</f>
        <v>10496</v>
      </c>
      <c r="DF453" s="687">
        <f>INPUT!FS361</f>
        <v>98.750236697595156</v>
      </c>
      <c r="DG453" s="151">
        <f>INPUT!FT361</f>
        <v>4653</v>
      </c>
      <c r="DH453" s="687" t="str">
        <f>INPUT!FU361</f>
        <v>NM</v>
      </c>
      <c r="DI453" s="151">
        <f>INPUT!FV361</f>
        <v>-22280</v>
      </c>
      <c r="DJ453" s="687" t="str">
        <f>INPUT!FW361</f>
        <v>NM</v>
      </c>
      <c r="DK453" s="151">
        <f>INPUT!FX361</f>
        <v>2755</v>
      </c>
      <c r="DL453" s="687" t="str">
        <f>INPUT!FY361</f>
        <v>NM</v>
      </c>
      <c r="DM453" s="151"/>
      <c r="DN453" s="687"/>
      <c r="DO453" s="151"/>
      <c r="DP453" s="687"/>
      <c r="DQ453" s="151"/>
      <c r="DR453" s="687"/>
      <c r="DS453" s="151"/>
      <c r="DT453" s="687"/>
      <c r="DU453" s="151"/>
      <c r="DV453" s="687"/>
      <c r="DW453" s="151"/>
      <c r="DX453" s="687"/>
      <c r="DY453" s="151"/>
      <c r="DZ453" s="687"/>
      <c r="EA453" s="151"/>
      <c r="EB453" s="687"/>
      <c r="EC453" s="151"/>
      <c r="ED453" s="687"/>
      <c r="EE453" s="151"/>
      <c r="EF453" s="687"/>
      <c r="EG453" s="151"/>
      <c r="EH453" s="687"/>
      <c r="EI453" s="151"/>
      <c r="EJ453" s="687"/>
      <c r="EK453" s="151"/>
      <c r="EL453" s="687"/>
      <c r="EM453" s="687"/>
    </row>
    <row r="454" spans="1:143" ht="12.75" hidden="1" customHeight="1" outlineLevel="2" x14ac:dyDescent="0.2">
      <c r="A454" s="701" t="str">
        <f>INPUT!B362</f>
        <v>Acquisitions/Disposals</v>
      </c>
      <c r="B454" s="153">
        <f>INPUT!AY362</f>
        <v>0</v>
      </c>
      <c r="C454" s="687" t="str">
        <f>INPUT!AZ362</f>
        <v>NA</v>
      </c>
      <c r="D454" s="153">
        <f>INPUT!BA362</f>
        <v>0</v>
      </c>
      <c r="E454" s="687" t="str">
        <f>INPUT!BB362</f>
        <v>NA</v>
      </c>
      <c r="F454" s="153">
        <f>INPUT!BC362</f>
        <v>0</v>
      </c>
      <c r="G454" s="687" t="str">
        <f>INPUT!BD362</f>
        <v>NA</v>
      </c>
      <c r="H454" s="153">
        <f>INPUT!BE362</f>
        <v>0</v>
      </c>
      <c r="I454" s="687" t="str">
        <f>INPUT!BF362</f>
        <v>NA</v>
      </c>
      <c r="J454" s="151">
        <f>INPUT!BG362</f>
        <v>0</v>
      </c>
      <c r="K454" s="687" t="str">
        <f>INPUT!BH362</f>
        <v>NA</v>
      </c>
      <c r="L454" s="151">
        <f>INPUT!BI362</f>
        <v>0</v>
      </c>
      <c r="M454" s="687" t="str">
        <f>INPUT!BJ362</f>
        <v>NA</v>
      </c>
      <c r="N454" s="151">
        <f>INPUT!BK362</f>
        <v>0</v>
      </c>
      <c r="O454" s="687" t="str">
        <f>INPUT!BL362</f>
        <v>NA</v>
      </c>
      <c r="P454" s="151">
        <f>INPUT!BM362</f>
        <v>0</v>
      </c>
      <c r="Q454" s="687" t="str">
        <f>INPUT!BN362</f>
        <v>NA</v>
      </c>
      <c r="R454" s="151">
        <f>INPUT!BO362</f>
        <v>0</v>
      </c>
      <c r="S454" s="687" t="str">
        <f>INPUT!BP362</f>
        <v>NA</v>
      </c>
      <c r="T454" s="151">
        <f>INPUT!BQ362</f>
        <v>0</v>
      </c>
      <c r="U454" s="687" t="str">
        <f>INPUT!BR362</f>
        <v>NA</v>
      </c>
      <c r="V454" s="151">
        <f>INPUT!BS362</f>
        <v>0</v>
      </c>
      <c r="W454" s="687" t="str">
        <f>INPUT!BT362</f>
        <v>NA</v>
      </c>
      <c r="X454" s="151">
        <f>INPUT!BU362</f>
        <v>0</v>
      </c>
      <c r="Y454" s="687" t="str">
        <f>INPUT!BV362</f>
        <v>NA</v>
      </c>
      <c r="Z454" s="151">
        <f>INPUT!BW362</f>
        <v>0</v>
      </c>
      <c r="AA454" s="687" t="str">
        <f>INPUT!BX362</f>
        <v>NA</v>
      </c>
      <c r="AB454" s="151">
        <f>INPUT!BY362</f>
        <v>0</v>
      </c>
      <c r="AC454" s="687" t="str">
        <f>INPUT!BZ362</f>
        <v>NA</v>
      </c>
      <c r="AD454" s="151"/>
      <c r="AE454" s="687"/>
      <c r="AF454" s="151"/>
      <c r="AG454" s="687"/>
      <c r="AH454" s="151"/>
      <c r="AI454" s="687"/>
      <c r="AJ454" s="151"/>
      <c r="AK454" s="687"/>
      <c r="AL454" s="151"/>
      <c r="AM454" s="687"/>
      <c r="AN454" s="151"/>
      <c r="AO454" s="687"/>
      <c r="AP454" s="151"/>
      <c r="AQ454" s="687"/>
      <c r="AR454" s="151"/>
      <c r="AS454" s="687"/>
      <c r="AT454" s="151"/>
      <c r="AU454" s="687"/>
      <c r="AV454" s="151"/>
      <c r="AW454" s="687"/>
      <c r="AX454" s="151"/>
      <c r="AY454" s="687"/>
      <c r="AZ454" s="151"/>
      <c r="BA454" s="687"/>
      <c r="BB454" s="151"/>
      <c r="BC454" s="687"/>
      <c r="BD454" s="151"/>
      <c r="BE454" s="687"/>
      <c r="BF454" s="151"/>
      <c r="BG454" s="687"/>
      <c r="BH454" s="151"/>
      <c r="BI454" s="687"/>
      <c r="BJ454" s="151"/>
      <c r="BK454" s="687"/>
      <c r="BL454" s="151"/>
      <c r="BM454" s="687"/>
      <c r="BN454" s="151"/>
      <c r="BO454" s="687"/>
      <c r="BP454" s="151"/>
      <c r="BQ454" s="687"/>
      <c r="BR454" s="151"/>
      <c r="BS454" s="687"/>
      <c r="BT454" s="151"/>
      <c r="BU454" s="687"/>
      <c r="BV454" s="151"/>
      <c r="BW454" s="687"/>
      <c r="BX454" s="151"/>
      <c r="BY454" s="687"/>
      <c r="BZ454" s="151"/>
      <c r="CA454" s="687"/>
      <c r="CB454" s="151"/>
      <c r="CC454" s="687"/>
      <c r="CD454" s="151"/>
      <c r="CE454" s="687"/>
      <c r="CF454" s="151"/>
      <c r="CG454" s="687"/>
      <c r="CH454" s="151"/>
      <c r="CI454" s="687"/>
      <c r="CJ454" s="151"/>
      <c r="CK454" s="687"/>
      <c r="CL454" s="151"/>
      <c r="CM454" s="687"/>
      <c r="CN454" s="151"/>
      <c r="CO454" s="687"/>
      <c r="CP454" s="151"/>
      <c r="CQ454" s="687"/>
      <c r="CR454" s="151"/>
      <c r="CS454" s="687"/>
      <c r="CT454" s="151"/>
      <c r="CU454" s="687"/>
      <c r="CV454" s="151"/>
      <c r="CW454" s="687"/>
      <c r="CX454" s="151"/>
      <c r="CY454" s="687"/>
      <c r="CZ454" s="151"/>
      <c r="DA454" s="687"/>
      <c r="DB454" s="16"/>
      <c r="DC454" s="151">
        <f>INPUT!FP362</f>
        <v>0</v>
      </c>
      <c r="DD454" s="687" t="str">
        <f>INPUT!FQ362</f>
        <v>NA</v>
      </c>
      <c r="DE454" s="151">
        <f>INPUT!FR362</f>
        <v>0</v>
      </c>
      <c r="DF454" s="687" t="str">
        <f>INPUT!FS362</f>
        <v>NA</v>
      </c>
      <c r="DG454" s="151">
        <f>INPUT!FT362</f>
        <v>0</v>
      </c>
      <c r="DH454" s="687" t="str">
        <f>INPUT!FU362</f>
        <v>NA</v>
      </c>
      <c r="DI454" s="151">
        <f>INPUT!FV362</f>
        <v>0</v>
      </c>
      <c r="DJ454" s="687" t="str">
        <f>INPUT!FW362</f>
        <v>NA</v>
      </c>
      <c r="DK454" s="151">
        <f>INPUT!FX362</f>
        <v>0</v>
      </c>
      <c r="DL454" s="687" t="str">
        <f>INPUT!FY362</f>
        <v>NA</v>
      </c>
      <c r="DM454" s="151"/>
      <c r="DN454" s="687"/>
      <c r="DO454" s="151"/>
      <c r="DP454" s="687"/>
      <c r="DQ454" s="151"/>
      <c r="DR454" s="687"/>
      <c r="DS454" s="151"/>
      <c r="DT454" s="687"/>
      <c r="DU454" s="151"/>
      <c r="DV454" s="687"/>
      <c r="DW454" s="151"/>
      <c r="DX454" s="687"/>
      <c r="DY454" s="151"/>
      <c r="DZ454" s="687"/>
      <c r="EA454" s="151"/>
      <c r="EB454" s="687"/>
      <c r="EC454" s="151"/>
      <c r="ED454" s="687"/>
      <c r="EE454" s="151"/>
      <c r="EF454" s="687"/>
      <c r="EG454" s="151"/>
      <c r="EH454" s="687"/>
      <c r="EI454" s="151"/>
      <c r="EJ454" s="687"/>
      <c r="EK454" s="151"/>
      <c r="EL454" s="687"/>
      <c r="EM454" s="687"/>
    </row>
    <row r="455" spans="1:143" ht="12.75" hidden="1" customHeight="1" outlineLevel="2" x14ac:dyDescent="0.2">
      <c r="A455" s="701" t="str">
        <f>INPUT!B363</f>
        <v xml:space="preserve">Ending Assets Under Management </v>
      </c>
      <c r="B455" s="151">
        <f>INPUT!AY363</f>
        <v>86428</v>
      </c>
      <c r="C455" s="687">
        <f>INPUT!AZ363</f>
        <v>46.289776574136752</v>
      </c>
      <c r="D455" s="151">
        <f>INPUT!BA363</f>
        <v>85924</v>
      </c>
      <c r="E455" s="687">
        <f>INPUT!BB363</f>
        <v>28.530612855454663</v>
      </c>
      <c r="F455" s="151">
        <f>INPUT!BC363</f>
        <v>89511</v>
      </c>
      <c r="G455" s="687">
        <f>INPUT!BD363</f>
        <v>22.159292518492222</v>
      </c>
      <c r="H455" s="151">
        <f>INPUT!BE363</f>
        <v>97307</v>
      </c>
      <c r="I455" s="687">
        <f>INPUT!BF363</f>
        <v>25.342315767779166</v>
      </c>
      <c r="J455" s="151">
        <f>INPUT!BG363</f>
        <v>95722</v>
      </c>
      <c r="K455" s="687">
        <f>INPUT!BH363</f>
        <v>10.753459527005127</v>
      </c>
      <c r="L455" s="151">
        <f>INPUT!BI363</f>
        <v>97714</v>
      </c>
      <c r="M455" s="687">
        <f>INPUT!BJ363</f>
        <v>13.721428238908807</v>
      </c>
      <c r="N455" s="151">
        <f>INPUT!BK363</f>
        <v>99706</v>
      </c>
      <c r="O455" s="687">
        <f>INPUT!BL363</f>
        <v>11.389661605836142</v>
      </c>
      <c r="P455" s="151">
        <f>INPUT!BM363</f>
        <v>85357</v>
      </c>
      <c r="Q455" s="687">
        <f>INPUT!BN363</f>
        <v>-12.280719783777116</v>
      </c>
      <c r="R455" s="151">
        <f>INPUT!BO363</f>
        <v>78538</v>
      </c>
      <c r="S455" s="687">
        <f>INPUT!BP363</f>
        <v>-17.95198595934059</v>
      </c>
      <c r="T455" s="151">
        <f>INPUT!BQ363</f>
        <v>75691</v>
      </c>
      <c r="U455" s="687">
        <f>INPUT!BR363</f>
        <v>-22.538223795976009</v>
      </c>
      <c r="V455" s="151">
        <f>INPUT!BS363</f>
        <v>66599</v>
      </c>
      <c r="W455" s="687">
        <f>INPUT!BT363</f>
        <v>-33.204621587467152</v>
      </c>
      <c r="X455" s="151">
        <f>INPUT!BU363</f>
        <v>54542</v>
      </c>
      <c r="Y455" s="687">
        <f>INPUT!BV363</f>
        <v>-36.10131565073749</v>
      </c>
      <c r="Z455" s="151">
        <f>INPUT!BW363</f>
        <v>51810</v>
      </c>
      <c r="AA455" s="687">
        <f>INPUT!BX363</f>
        <v>-34.031933586289441</v>
      </c>
      <c r="AB455" s="151">
        <f>INPUT!BY363</f>
        <v>57867</v>
      </c>
      <c r="AC455" s="687">
        <f>INPUT!BZ363</f>
        <v>-23.548374311344812</v>
      </c>
      <c r="AD455" s="151"/>
      <c r="AE455" s="687"/>
      <c r="AF455" s="151"/>
      <c r="AG455" s="687"/>
      <c r="AH455" s="151"/>
      <c r="AI455" s="687"/>
      <c r="AJ455" s="151"/>
      <c r="AK455" s="687"/>
      <c r="AL455" s="151"/>
      <c r="AM455" s="687"/>
      <c r="AN455" s="151"/>
      <c r="AO455" s="687"/>
      <c r="AP455" s="151"/>
      <c r="AQ455" s="687"/>
      <c r="AR455" s="151"/>
      <c r="AS455" s="687"/>
      <c r="AT455" s="151"/>
      <c r="AU455" s="687"/>
      <c r="AV455" s="151"/>
      <c r="AW455" s="687"/>
      <c r="AX455" s="151"/>
      <c r="AY455" s="687"/>
      <c r="AZ455" s="151"/>
      <c r="BA455" s="687"/>
      <c r="BB455" s="151"/>
      <c r="BC455" s="687"/>
      <c r="BD455" s="151"/>
      <c r="BE455" s="687"/>
      <c r="BF455" s="151"/>
      <c r="BG455" s="687"/>
      <c r="BH455" s="151"/>
      <c r="BI455" s="687"/>
      <c r="BJ455" s="151"/>
      <c r="BK455" s="687"/>
      <c r="BL455" s="151"/>
      <c r="BM455" s="687"/>
      <c r="BN455" s="151"/>
      <c r="BO455" s="687"/>
      <c r="BP455" s="151"/>
      <c r="BQ455" s="687"/>
      <c r="BR455" s="151"/>
      <c r="BS455" s="687"/>
      <c r="BT455" s="151"/>
      <c r="BU455" s="687"/>
      <c r="BV455" s="151"/>
      <c r="BW455" s="687"/>
      <c r="BX455" s="151"/>
      <c r="BY455" s="687"/>
      <c r="BZ455" s="151"/>
      <c r="CA455" s="687"/>
      <c r="CB455" s="151"/>
      <c r="CC455" s="687"/>
      <c r="CD455" s="151"/>
      <c r="CE455" s="687"/>
      <c r="CF455" s="151"/>
      <c r="CG455" s="687"/>
      <c r="CH455" s="151"/>
      <c r="CI455" s="687"/>
      <c r="CJ455" s="151"/>
      <c r="CK455" s="687"/>
      <c r="CL455" s="151"/>
      <c r="CM455" s="687"/>
      <c r="CN455" s="151"/>
      <c r="CO455" s="687"/>
      <c r="CP455" s="151"/>
      <c r="CQ455" s="687"/>
      <c r="CR455" s="151"/>
      <c r="CS455" s="687"/>
      <c r="CT455" s="151"/>
      <c r="CU455" s="687"/>
      <c r="CV455" s="151"/>
      <c r="CW455" s="687"/>
      <c r="CX455" s="151"/>
      <c r="CY455" s="687"/>
      <c r="CZ455" s="151"/>
      <c r="DA455" s="687"/>
      <c r="DB455" s="16"/>
      <c r="DC455" s="151">
        <f>INPUT!FP363</f>
        <v>77633</v>
      </c>
      <c r="DD455" s="687" t="str">
        <f>INPUT!FQ363</f>
        <v>NA</v>
      </c>
      <c r="DE455" s="151">
        <f>INPUT!FR363</f>
        <v>97307</v>
      </c>
      <c r="DF455" s="687">
        <f>INPUT!FS363</f>
        <v>25.342315767779166</v>
      </c>
      <c r="DG455" s="151">
        <f>INPUT!FT363</f>
        <v>85357</v>
      </c>
      <c r="DH455" s="687">
        <f>INPUT!FU363</f>
        <v>-12.280719783777116</v>
      </c>
      <c r="DI455" s="151">
        <f>INPUT!FV363</f>
        <v>54542</v>
      </c>
      <c r="DJ455" s="687">
        <f>INPUT!FW363</f>
        <v>-36.10131565073749</v>
      </c>
      <c r="DK455" s="151">
        <f>INPUT!FX363</f>
        <v>57867</v>
      </c>
      <c r="DL455" s="687">
        <f>INPUT!FY363</f>
        <v>6.0962194272303982</v>
      </c>
      <c r="DM455" s="151"/>
      <c r="DN455" s="687"/>
      <c r="DO455" s="151"/>
      <c r="DP455" s="687"/>
      <c r="DQ455" s="151"/>
      <c r="DR455" s="687"/>
      <c r="DS455" s="151"/>
      <c r="DT455" s="687"/>
      <c r="DU455" s="151"/>
      <c r="DV455" s="687"/>
      <c r="DW455" s="151"/>
      <c r="DX455" s="687"/>
      <c r="DY455" s="151"/>
      <c r="DZ455" s="687"/>
      <c r="EA455" s="151"/>
      <c r="EB455" s="687"/>
      <c r="EC455" s="151"/>
      <c r="ED455" s="687"/>
      <c r="EE455" s="151"/>
      <c r="EF455" s="687"/>
      <c r="EG455" s="151"/>
      <c r="EH455" s="687"/>
      <c r="EI455" s="151"/>
      <c r="EJ455" s="687"/>
      <c r="EK455" s="151"/>
      <c r="EL455" s="687"/>
      <c r="EM455" s="687"/>
    </row>
    <row r="456" spans="1:143" ht="12.75" hidden="1" customHeight="1" outlineLevel="2" x14ac:dyDescent="0.2">
      <c r="A456" s="701"/>
      <c r="B456" s="16"/>
      <c r="C456" s="687"/>
      <c r="D456" s="16"/>
      <c r="E456" s="687"/>
      <c r="F456" s="16"/>
      <c r="G456" s="687"/>
      <c r="H456" s="16"/>
      <c r="I456" s="687"/>
      <c r="J456" s="16"/>
      <c r="K456" s="687"/>
      <c r="L456" s="16"/>
      <c r="M456" s="687"/>
      <c r="N456" s="16"/>
      <c r="O456" s="687"/>
      <c r="P456" s="16"/>
      <c r="Q456" s="687"/>
      <c r="R456" s="16"/>
      <c r="S456" s="687"/>
      <c r="T456" s="16"/>
      <c r="U456" s="687"/>
      <c r="V456" s="16"/>
      <c r="W456" s="687"/>
      <c r="X456" s="16"/>
      <c r="Y456" s="687"/>
      <c r="Z456" s="16"/>
      <c r="AA456" s="687"/>
      <c r="AB456" s="16"/>
      <c r="AC456" s="687"/>
      <c r="AD456" s="16"/>
      <c r="AE456" s="687"/>
      <c r="AF456" s="16"/>
      <c r="AG456" s="687"/>
      <c r="AH456" s="16"/>
      <c r="AI456" s="687"/>
      <c r="AJ456" s="16"/>
      <c r="AK456" s="687"/>
      <c r="AL456" s="16"/>
      <c r="AM456" s="687"/>
      <c r="AN456" s="16"/>
      <c r="AO456" s="687"/>
      <c r="AP456" s="16"/>
      <c r="AQ456" s="687"/>
      <c r="AR456" s="16"/>
      <c r="AS456" s="687"/>
      <c r="AT456" s="16"/>
      <c r="AU456" s="687"/>
      <c r="AV456" s="16"/>
      <c r="AW456" s="687"/>
      <c r="AX456" s="16"/>
      <c r="AY456" s="687"/>
      <c r="AZ456" s="16"/>
      <c r="BA456" s="687"/>
      <c r="BB456" s="16"/>
      <c r="BC456" s="687"/>
      <c r="BD456" s="16"/>
      <c r="BE456" s="687"/>
      <c r="BF456" s="16"/>
      <c r="BG456" s="687"/>
      <c r="BH456" s="16"/>
      <c r="BI456" s="687"/>
      <c r="BJ456" s="16"/>
      <c r="BK456" s="687"/>
      <c r="BL456" s="16"/>
      <c r="BM456" s="687"/>
      <c r="BN456" s="16"/>
      <c r="BO456" s="687"/>
      <c r="BP456" s="16"/>
      <c r="BQ456" s="687"/>
      <c r="BR456" s="16"/>
      <c r="BS456" s="687"/>
      <c r="BT456" s="16"/>
      <c r="BU456" s="687"/>
      <c r="BV456" s="16"/>
      <c r="BW456" s="687"/>
      <c r="BX456" s="16"/>
      <c r="BY456" s="687"/>
      <c r="BZ456" s="16"/>
      <c r="CA456" s="687"/>
      <c r="CB456" s="16"/>
      <c r="CC456" s="687"/>
      <c r="CD456" s="16"/>
      <c r="CE456" s="687"/>
      <c r="CF456" s="16"/>
      <c r="CG456" s="687"/>
      <c r="CH456" s="16"/>
      <c r="CI456" s="687"/>
      <c r="CJ456" s="16"/>
      <c r="CK456" s="687"/>
      <c r="CL456" s="16"/>
      <c r="CM456" s="687"/>
      <c r="CN456" s="16"/>
      <c r="CO456" s="687"/>
      <c r="CP456" s="16"/>
      <c r="CQ456" s="687"/>
      <c r="CR456" s="16"/>
      <c r="CS456" s="687"/>
      <c r="CT456" s="16"/>
      <c r="CU456" s="687"/>
      <c r="CV456" s="16"/>
      <c r="CW456" s="687"/>
      <c r="CX456" s="16"/>
      <c r="CY456" s="687"/>
      <c r="CZ456" s="16"/>
      <c r="DA456" s="687"/>
      <c r="DB456" s="16"/>
      <c r="DC456" s="16"/>
      <c r="DD456" s="687"/>
      <c r="DE456" s="16"/>
      <c r="DF456" s="687"/>
      <c r="DG456" s="16"/>
      <c r="DH456" s="687"/>
      <c r="DI456" s="16"/>
      <c r="DJ456" s="687"/>
      <c r="DK456" s="16"/>
      <c r="DL456" s="687"/>
      <c r="DM456" s="16"/>
      <c r="DN456" s="687"/>
      <c r="DO456" s="16"/>
      <c r="DP456" s="687"/>
      <c r="DQ456" s="16"/>
      <c r="DR456" s="687"/>
      <c r="DS456" s="16"/>
      <c r="DT456" s="687"/>
      <c r="DU456" s="16"/>
      <c r="DV456" s="687"/>
      <c r="DW456" s="16"/>
      <c r="DX456" s="687"/>
      <c r="DY456" s="16"/>
      <c r="DZ456" s="687"/>
      <c r="EA456" s="16"/>
      <c r="EB456" s="687"/>
      <c r="EC456" s="16"/>
      <c r="ED456" s="687"/>
      <c r="EE456" s="16"/>
      <c r="EF456" s="687"/>
      <c r="EG456" s="16"/>
      <c r="EH456" s="687"/>
      <c r="EI456" s="16"/>
      <c r="EJ456" s="687"/>
      <c r="EK456" s="16"/>
      <c r="EL456" s="687"/>
      <c r="EM456" s="687"/>
    </row>
    <row r="457" spans="1:143" ht="12.75" hidden="1" customHeight="1" outlineLevel="2" x14ac:dyDescent="0.2">
      <c r="A457" s="700" t="str">
        <f>INPUT!B366</f>
        <v>Total AUM Analysis</v>
      </c>
      <c r="B457" s="16"/>
      <c r="C457" s="687"/>
      <c r="D457" s="16"/>
      <c r="E457" s="687"/>
      <c r="F457" s="16"/>
      <c r="G457" s="687"/>
      <c r="H457" s="16"/>
      <c r="I457" s="687"/>
      <c r="J457" s="16"/>
      <c r="K457" s="687"/>
      <c r="L457" s="16"/>
      <c r="M457" s="687"/>
      <c r="N457" s="16"/>
      <c r="O457" s="687"/>
      <c r="P457" s="16"/>
      <c r="Q457" s="687"/>
      <c r="R457" s="16"/>
      <c r="S457" s="687"/>
      <c r="T457" s="16"/>
      <c r="U457" s="687"/>
      <c r="V457" s="16"/>
      <c r="W457" s="687"/>
      <c r="X457" s="16"/>
      <c r="Y457" s="687"/>
      <c r="Z457" s="16"/>
      <c r="AA457" s="687"/>
      <c r="AB457" s="16"/>
      <c r="AC457" s="687"/>
      <c r="AD457" s="16"/>
      <c r="AE457" s="687"/>
      <c r="AF457" s="16"/>
      <c r="AG457" s="687"/>
      <c r="AH457" s="16"/>
      <c r="AI457" s="687"/>
      <c r="AJ457" s="16"/>
      <c r="AK457" s="687"/>
      <c r="AL457" s="16"/>
      <c r="AM457" s="687"/>
      <c r="AN457" s="16"/>
      <c r="AO457" s="687"/>
      <c r="AP457" s="16"/>
      <c r="AQ457" s="687"/>
      <c r="AR457" s="16"/>
      <c r="AS457" s="687"/>
      <c r="AT457" s="16"/>
      <c r="AU457" s="687"/>
      <c r="AV457" s="16"/>
      <c r="AW457" s="687"/>
      <c r="AX457" s="16"/>
      <c r="AY457" s="687"/>
      <c r="AZ457" s="16"/>
      <c r="BA457" s="687"/>
      <c r="BB457" s="16"/>
      <c r="BC457" s="687"/>
      <c r="BD457" s="16"/>
      <c r="BE457" s="687"/>
      <c r="BF457" s="16"/>
      <c r="BG457" s="687"/>
      <c r="BH457" s="16"/>
      <c r="BI457" s="687"/>
      <c r="BJ457" s="16"/>
      <c r="BK457" s="687"/>
      <c r="BL457" s="16"/>
      <c r="BM457" s="687"/>
      <c r="BN457" s="16"/>
      <c r="BO457" s="687"/>
      <c r="BP457" s="16"/>
      <c r="BQ457" s="687"/>
      <c r="BR457" s="16"/>
      <c r="BS457" s="687"/>
      <c r="BT457" s="16"/>
      <c r="BU457" s="687"/>
      <c r="BV457" s="16"/>
      <c r="BW457" s="687"/>
      <c r="BX457" s="16"/>
      <c r="BY457" s="687"/>
      <c r="BZ457" s="16"/>
      <c r="CA457" s="687"/>
      <c r="CB457" s="16"/>
      <c r="CC457" s="687"/>
      <c r="CD457" s="16"/>
      <c r="CE457" s="687"/>
      <c r="CF457" s="16"/>
      <c r="CG457" s="687"/>
      <c r="CH457" s="16"/>
      <c r="CI457" s="687"/>
      <c r="CJ457" s="16"/>
      <c r="CK457" s="687"/>
      <c r="CL457" s="16"/>
      <c r="CM457" s="687"/>
      <c r="CN457" s="16"/>
      <c r="CO457" s="687"/>
      <c r="CP457" s="16"/>
      <c r="CQ457" s="687"/>
      <c r="CR457" s="16"/>
      <c r="CS457" s="687"/>
      <c r="CT457" s="16"/>
      <c r="CU457" s="687"/>
      <c r="CV457" s="16"/>
      <c r="CW457" s="687"/>
      <c r="CX457" s="16"/>
      <c r="CY457" s="687"/>
      <c r="CZ457" s="16"/>
      <c r="DA457" s="687"/>
      <c r="DB457" s="16"/>
      <c r="DC457" s="16"/>
      <c r="DD457" s="687"/>
      <c r="DE457" s="16"/>
      <c r="DF457" s="687"/>
      <c r="DG457" s="16"/>
      <c r="DH457" s="687"/>
      <c r="DI457" s="16"/>
      <c r="DJ457" s="687"/>
      <c r="DK457" s="16"/>
      <c r="DL457" s="687"/>
      <c r="DM457" s="16"/>
      <c r="DN457" s="687"/>
      <c r="DO457" s="16"/>
      <c r="DP457" s="687"/>
      <c r="DQ457" s="16"/>
      <c r="DR457" s="687"/>
      <c r="DS457" s="16"/>
      <c r="DT457" s="687"/>
      <c r="DU457" s="16"/>
      <c r="DV457" s="687"/>
      <c r="DW457" s="16"/>
      <c r="DX457" s="687"/>
      <c r="DY457" s="16"/>
      <c r="DZ457" s="687"/>
      <c r="EA457" s="16"/>
      <c r="EB457" s="687"/>
      <c r="EC457" s="16"/>
      <c r="ED457" s="687"/>
      <c r="EE457" s="16"/>
      <c r="EF457" s="687"/>
      <c r="EG457" s="16"/>
      <c r="EH457" s="687"/>
      <c r="EI457" s="16"/>
      <c r="EJ457" s="687"/>
      <c r="EK457" s="16"/>
      <c r="EL457" s="687"/>
      <c r="EM457" s="687"/>
    </row>
    <row r="458" spans="1:143" ht="12.75" hidden="1" customHeight="1" outlineLevel="2" x14ac:dyDescent="0.2">
      <c r="A458" s="701" t="str">
        <f>INPUT!B367</f>
        <v>Net Flows</v>
      </c>
      <c r="B458" s="151">
        <f>INPUT!AY367</f>
        <v>4964</v>
      </c>
      <c r="C458" s="687">
        <f>INPUT!AZ367</f>
        <v>79.659790083242839</v>
      </c>
      <c r="D458" s="151">
        <f>INPUT!BA367</f>
        <v>1009</v>
      </c>
      <c r="E458" s="687" t="str">
        <f>INPUT!BB367</f>
        <v>NM</v>
      </c>
      <c r="F458" s="151">
        <f>INPUT!BC367</f>
        <v>749</v>
      </c>
      <c r="G458" s="687" t="str">
        <f>INPUT!BD367</f>
        <v>NM</v>
      </c>
      <c r="H458" s="151">
        <f>INPUT!BE367</f>
        <v>2529</v>
      </c>
      <c r="I458" s="687">
        <f>INPUT!BF367</f>
        <v>-12.278876170655561</v>
      </c>
      <c r="J458" s="151">
        <f>INPUT!BG367</f>
        <v>93</v>
      </c>
      <c r="K458" s="687" t="str">
        <f>INPUT!BH367</f>
        <v>NM</v>
      </c>
      <c r="L458" s="151">
        <f>INPUT!BI367</f>
        <v>93</v>
      </c>
      <c r="M458" s="687" t="str">
        <f>INPUT!BJ367</f>
        <v>NM</v>
      </c>
      <c r="N458" s="151">
        <f>INPUT!BK367</f>
        <v>93</v>
      </c>
      <c r="O458" s="687" t="str">
        <f>INPUT!BL367</f>
        <v>NM</v>
      </c>
      <c r="P458" s="151">
        <f>INPUT!BM367</f>
        <v>-1070</v>
      </c>
      <c r="Q458" s="687" t="str">
        <f>INPUT!BN367</f>
        <v>NM</v>
      </c>
      <c r="R458" s="151">
        <f>INPUT!BO367</f>
        <v>-1162</v>
      </c>
      <c r="S458" s="687" t="str">
        <f>INPUT!BP367</f>
        <v>NM</v>
      </c>
      <c r="T458" s="151">
        <f>INPUT!BQ367</f>
        <v>-1469</v>
      </c>
      <c r="U458" s="687" t="str">
        <f>INPUT!BR367</f>
        <v>NM</v>
      </c>
      <c r="V458" s="151">
        <f>INPUT!BS367</f>
        <v>-3272</v>
      </c>
      <c r="W458" s="687" t="str">
        <f>INPUT!BT367</f>
        <v>NM</v>
      </c>
      <c r="X458" s="151">
        <f>INPUT!BU367</f>
        <v>-3300</v>
      </c>
      <c r="Y458" s="687" t="str">
        <f>INPUT!BV367</f>
        <v>NM</v>
      </c>
      <c r="Z458" s="151">
        <f>INPUT!BW367</f>
        <v>211</v>
      </c>
      <c r="AA458" s="687" t="str">
        <f>INPUT!BX367</f>
        <v>NM</v>
      </c>
      <c r="AB458" s="151">
        <f>INPUT!BY367</f>
        <v>74</v>
      </c>
      <c r="AC458" s="687" t="str">
        <f>INPUT!BZ367</f>
        <v>NM</v>
      </c>
      <c r="AD458" s="151"/>
      <c r="AE458" s="687"/>
      <c r="AF458" s="151"/>
      <c r="AG458" s="687"/>
      <c r="AH458" s="151"/>
      <c r="AI458" s="687"/>
      <c r="AJ458" s="151"/>
      <c r="AK458" s="687"/>
      <c r="AL458" s="151"/>
      <c r="AM458" s="687"/>
      <c r="AN458" s="151"/>
      <c r="AO458" s="687"/>
      <c r="AP458" s="151"/>
      <c r="AQ458" s="687"/>
      <c r="AR458" s="151"/>
      <c r="AS458" s="687"/>
      <c r="AT458" s="151"/>
      <c r="AU458" s="687"/>
      <c r="AV458" s="151"/>
      <c r="AW458" s="687"/>
      <c r="AX458" s="151"/>
      <c r="AY458" s="687"/>
      <c r="AZ458" s="151"/>
      <c r="BA458" s="687"/>
      <c r="BB458" s="151"/>
      <c r="BC458" s="687"/>
      <c r="BD458" s="151"/>
      <c r="BE458" s="687"/>
      <c r="BF458" s="151"/>
      <c r="BG458" s="687"/>
      <c r="BH458" s="151"/>
      <c r="BI458" s="687"/>
      <c r="BJ458" s="151"/>
      <c r="BK458" s="687"/>
      <c r="BL458" s="151"/>
      <c r="BM458" s="687"/>
      <c r="BN458" s="151"/>
      <c r="BO458" s="687"/>
      <c r="BP458" s="151"/>
      <c r="BQ458" s="687"/>
      <c r="BR458" s="151"/>
      <c r="BS458" s="687"/>
      <c r="BT458" s="151"/>
      <c r="BU458" s="687"/>
      <c r="BV458" s="151"/>
      <c r="BW458" s="687"/>
      <c r="BX458" s="151"/>
      <c r="BY458" s="687"/>
      <c r="BZ458" s="151"/>
      <c r="CA458" s="687"/>
      <c r="CB458" s="151"/>
      <c r="CC458" s="687"/>
      <c r="CD458" s="151"/>
      <c r="CE458" s="687"/>
      <c r="CF458" s="151"/>
      <c r="CG458" s="687"/>
      <c r="CH458" s="151"/>
      <c r="CI458" s="687"/>
      <c r="CJ458" s="151"/>
      <c r="CK458" s="687"/>
      <c r="CL458" s="151"/>
      <c r="CM458" s="687"/>
      <c r="CN458" s="151"/>
      <c r="CO458" s="687"/>
      <c r="CP458" s="151"/>
      <c r="CQ458" s="687"/>
      <c r="CR458" s="151"/>
      <c r="CS458" s="687"/>
      <c r="CT458" s="151"/>
      <c r="CU458" s="687"/>
      <c r="CV458" s="151"/>
      <c r="CW458" s="687"/>
      <c r="CX458" s="151"/>
      <c r="CY458" s="687"/>
      <c r="CZ458" s="151"/>
      <c r="DA458" s="687"/>
      <c r="DB458" s="16"/>
      <c r="DC458" s="151">
        <f>INPUT!FP367</f>
        <v>15554</v>
      </c>
      <c r="DD458" s="687" t="str">
        <f>INPUT!FQ367</f>
        <v>NA</v>
      </c>
      <c r="DE458" s="151">
        <f>INPUT!FR367</f>
        <v>9251</v>
      </c>
      <c r="DF458" s="687">
        <f>INPUT!FS367</f>
        <v>-40.523338048090515</v>
      </c>
      <c r="DG458" s="151">
        <f>INPUT!FT367</f>
        <v>-791</v>
      </c>
      <c r="DH458" s="687" t="str">
        <f>INPUT!FU367</f>
        <v>NM</v>
      </c>
      <c r="DI458" s="151">
        <f>INPUT!FV367</f>
        <v>-9203</v>
      </c>
      <c r="DJ458" s="687" t="str">
        <f>INPUT!FW367</f>
        <v>NM</v>
      </c>
      <c r="DK458" s="151">
        <f>INPUT!FX367</f>
        <v>285</v>
      </c>
      <c r="DL458" s="687" t="str">
        <f>INPUT!FY367</f>
        <v>NM</v>
      </c>
      <c r="DM458" s="151"/>
      <c r="DN458" s="687"/>
      <c r="DO458" s="151"/>
      <c r="DP458" s="687"/>
      <c r="DQ458" s="151"/>
      <c r="DR458" s="687"/>
      <c r="DS458" s="151"/>
      <c r="DT458" s="687"/>
      <c r="DU458" s="151"/>
      <c r="DV458" s="687"/>
      <c r="DW458" s="151"/>
      <c r="DX458" s="687"/>
      <c r="DY458" s="151"/>
      <c r="DZ458" s="687"/>
      <c r="EA458" s="151"/>
      <c r="EB458" s="687"/>
      <c r="EC458" s="151"/>
      <c r="ED458" s="687"/>
      <c r="EE458" s="151"/>
      <c r="EF458" s="687"/>
      <c r="EG458" s="151"/>
      <c r="EH458" s="687"/>
      <c r="EI458" s="151"/>
      <c r="EJ458" s="687"/>
      <c r="EK458" s="151"/>
      <c r="EL458" s="687"/>
      <c r="EM458" s="687"/>
    </row>
    <row r="459" spans="1:143" ht="12.75" hidden="1" customHeight="1" outlineLevel="2" x14ac:dyDescent="0.2">
      <c r="A459" s="701" t="str">
        <f>INPUT!B368</f>
        <v>Assets Added</v>
      </c>
      <c r="B459" s="151">
        <f>INPUT!AY368</f>
        <v>8795</v>
      </c>
      <c r="C459" s="687" t="str">
        <f>INPUT!AZ368</f>
        <v>NM</v>
      </c>
      <c r="D459" s="151">
        <f>INPUT!BA368</f>
        <v>-504</v>
      </c>
      <c r="E459" s="687" t="str">
        <f>INPUT!BB368</f>
        <v>NM</v>
      </c>
      <c r="F459" s="151">
        <f>INPUT!BC368</f>
        <v>3587</v>
      </c>
      <c r="G459" s="687">
        <f>INPUT!BD368</f>
        <v>-44.153822201463491</v>
      </c>
      <c r="H459" s="151">
        <f>INPUT!BE368</f>
        <v>7796</v>
      </c>
      <c r="I459" s="687">
        <f>INPUT!BF368</f>
        <v>78.848359715531075</v>
      </c>
      <c r="J459" s="151">
        <f>INPUT!BG368</f>
        <v>1992</v>
      </c>
      <c r="K459" s="687" t="str">
        <f>INPUT!BH368</f>
        <v>NM</v>
      </c>
      <c r="L459" s="151">
        <f>INPUT!BI368</f>
        <v>1992</v>
      </c>
      <c r="M459" s="687" t="str">
        <f>INPUT!BJ368</f>
        <v>NM</v>
      </c>
      <c r="N459" s="151">
        <f>INPUT!BK368</f>
        <v>1992</v>
      </c>
      <c r="O459" s="687">
        <f>INPUT!BL368</f>
        <v>-44.466127683300805</v>
      </c>
      <c r="P459" s="151">
        <f>INPUT!BM368</f>
        <v>-14349</v>
      </c>
      <c r="Q459" s="687" t="str">
        <f>INPUT!BN368</f>
        <v>NM</v>
      </c>
      <c r="R459" s="151">
        <f>INPUT!BO368</f>
        <v>-6819</v>
      </c>
      <c r="S459" s="687" t="str">
        <f>INPUT!BP368</f>
        <v>NM</v>
      </c>
      <c r="T459" s="151">
        <f>INPUT!BQ368</f>
        <v>-2847</v>
      </c>
      <c r="U459" s="687" t="str">
        <f>INPUT!BR368</f>
        <v>NM</v>
      </c>
      <c r="V459" s="151">
        <f>INPUT!BS368</f>
        <v>-9092</v>
      </c>
      <c r="W459" s="687" t="str">
        <f>INPUT!BT368</f>
        <v>NM</v>
      </c>
      <c r="X459" s="151">
        <f>INPUT!BU368</f>
        <v>-12057</v>
      </c>
      <c r="Y459" s="687">
        <f>INPUT!BV368</f>
        <v>-15.97323855320928</v>
      </c>
      <c r="Z459" s="151">
        <f>INPUT!BW368</f>
        <v>-2732</v>
      </c>
      <c r="AA459" s="687" t="str">
        <f>INPUT!BX368</f>
        <v>NM</v>
      </c>
      <c r="AB459" s="151">
        <f>INPUT!BY368</f>
        <v>6057</v>
      </c>
      <c r="AC459" s="687" t="str">
        <f>INPUT!BZ368</f>
        <v>NM</v>
      </c>
      <c r="AD459" s="151"/>
      <c r="AE459" s="687"/>
      <c r="AF459" s="151"/>
      <c r="AG459" s="687"/>
      <c r="AH459" s="151"/>
      <c r="AI459" s="687"/>
      <c r="AJ459" s="151"/>
      <c r="AK459" s="687"/>
      <c r="AL459" s="151"/>
      <c r="AM459" s="687"/>
      <c r="AN459" s="151"/>
      <c r="AO459" s="687"/>
      <c r="AP459" s="151"/>
      <c r="AQ459" s="687"/>
      <c r="AR459" s="151"/>
      <c r="AS459" s="687"/>
      <c r="AT459" s="151"/>
      <c r="AU459" s="687"/>
      <c r="AV459" s="151"/>
      <c r="AW459" s="687"/>
      <c r="AX459" s="151"/>
      <c r="AY459" s="687"/>
      <c r="AZ459" s="151"/>
      <c r="BA459" s="687"/>
      <c r="BB459" s="151"/>
      <c r="BC459" s="687"/>
      <c r="BD459" s="151"/>
      <c r="BE459" s="687"/>
      <c r="BF459" s="151"/>
      <c r="BG459" s="687"/>
      <c r="BH459" s="151"/>
      <c r="BI459" s="687"/>
      <c r="BJ459" s="151"/>
      <c r="BK459" s="687"/>
      <c r="BL459" s="151"/>
      <c r="BM459" s="687"/>
      <c r="BN459" s="151"/>
      <c r="BO459" s="687"/>
      <c r="BP459" s="151"/>
      <c r="BQ459" s="687"/>
      <c r="BR459" s="151"/>
      <c r="BS459" s="687"/>
      <c r="BT459" s="151"/>
      <c r="BU459" s="687"/>
      <c r="BV459" s="151"/>
      <c r="BW459" s="687"/>
      <c r="BX459" s="151"/>
      <c r="BY459" s="687"/>
      <c r="BZ459" s="151"/>
      <c r="CA459" s="687"/>
      <c r="CB459" s="151"/>
      <c r="CC459" s="687"/>
      <c r="CD459" s="151"/>
      <c r="CE459" s="687"/>
      <c r="CF459" s="151"/>
      <c r="CG459" s="687"/>
      <c r="CH459" s="151"/>
      <c r="CI459" s="687"/>
      <c r="CJ459" s="151"/>
      <c r="CK459" s="687"/>
      <c r="CL459" s="151"/>
      <c r="CM459" s="687"/>
      <c r="CN459" s="151"/>
      <c r="CO459" s="687"/>
      <c r="CP459" s="151"/>
      <c r="CQ459" s="687"/>
      <c r="CR459" s="151"/>
      <c r="CS459" s="687"/>
      <c r="CT459" s="151"/>
      <c r="CU459" s="687"/>
      <c r="CV459" s="151"/>
      <c r="CW459" s="687"/>
      <c r="CX459" s="151"/>
      <c r="CY459" s="687"/>
      <c r="CZ459" s="151"/>
      <c r="DA459" s="687"/>
      <c r="DB459" s="16"/>
      <c r="DC459" s="151">
        <f>INPUT!FP368</f>
        <v>20502</v>
      </c>
      <c r="DD459" s="687" t="str">
        <f>INPUT!FQ368</f>
        <v>NA</v>
      </c>
      <c r="DE459" s="151">
        <f>INPUT!FR368</f>
        <v>19674</v>
      </c>
      <c r="DF459" s="687">
        <f>INPUT!FS368</f>
        <v>-4.0386303775241439</v>
      </c>
      <c r="DG459" s="151">
        <f>INPUT!FT368</f>
        <v>-8373</v>
      </c>
      <c r="DH459" s="687" t="str">
        <f>INPUT!FU368</f>
        <v>NM</v>
      </c>
      <c r="DI459" s="151">
        <f>INPUT!FV368</f>
        <v>-30815</v>
      </c>
      <c r="DJ459" s="687" t="str">
        <f>INPUT!FW368</f>
        <v>NM</v>
      </c>
      <c r="DK459" s="151">
        <f>INPUT!FX368</f>
        <v>3325</v>
      </c>
      <c r="DL459" s="687" t="str">
        <f>INPUT!FY368</f>
        <v>NM</v>
      </c>
      <c r="DM459" s="151"/>
      <c r="DN459" s="687"/>
      <c r="DO459" s="151"/>
      <c r="DP459" s="687"/>
      <c r="DQ459" s="151"/>
      <c r="DR459" s="687"/>
      <c r="DS459" s="151"/>
      <c r="DT459" s="687"/>
      <c r="DU459" s="151"/>
      <c r="DV459" s="687"/>
      <c r="DW459" s="151"/>
      <c r="DX459" s="687"/>
      <c r="DY459" s="151"/>
      <c r="DZ459" s="687"/>
      <c r="EA459" s="151"/>
      <c r="EB459" s="687"/>
      <c r="EC459" s="151"/>
      <c r="ED459" s="687"/>
      <c r="EE459" s="151"/>
      <c r="EF459" s="687"/>
      <c r="EG459" s="151"/>
      <c r="EH459" s="687"/>
      <c r="EI459" s="151"/>
      <c r="EJ459" s="687"/>
      <c r="EK459" s="151"/>
      <c r="EL459" s="687"/>
      <c r="EM459" s="687"/>
    </row>
    <row r="460" spans="1:143" ht="12.75" hidden="1" customHeight="1" outlineLevel="2" x14ac:dyDescent="0.2">
      <c r="A460" s="701" t="str">
        <f>INPUT!B369</f>
        <v>Sales/Beginning AUM (%)</v>
      </c>
      <c r="B460" s="156">
        <f>INPUT!AY369</f>
        <v>46.696636739530874</v>
      </c>
      <c r="C460" s="687">
        <f>INPUT!AZ369</f>
        <v>15.811145753001309</v>
      </c>
      <c r="D460" s="156">
        <f>INPUT!BA369</f>
        <v>27.981672606099877</v>
      </c>
      <c r="E460" s="687" t="str">
        <f>INPUT!BB369</f>
        <v>NM</v>
      </c>
      <c r="F460" s="156">
        <f>INPUT!BC369</f>
        <v>22.824821935664076</v>
      </c>
      <c r="G460" s="687">
        <f>INPUT!BD369</f>
        <v>-43.385939031571709</v>
      </c>
      <c r="H460" s="156">
        <f>INPUT!BE369</f>
        <v>36.107294075588477</v>
      </c>
      <c r="I460" s="687">
        <f>INPUT!BF369</f>
        <v>-21.835090224099808</v>
      </c>
      <c r="J460" s="464">
        <f>INPUT!BG369</f>
        <v>24.517230342473063</v>
      </c>
      <c r="K460" s="687">
        <f>INPUT!BH369</f>
        <v>-47.496796227043717</v>
      </c>
      <c r="L460" s="464">
        <f>INPUT!BI369</f>
        <v>24.007020329704769</v>
      </c>
      <c r="M460" s="687">
        <f>INPUT!BJ369</f>
        <v>-14.204484243478188</v>
      </c>
      <c r="N460" s="464">
        <f>INPUT!BK369</f>
        <v>23.517612624598318</v>
      </c>
      <c r="O460" s="687">
        <f>INPUT!BL369</f>
        <v>3.0352512316941471</v>
      </c>
      <c r="P460" s="464">
        <f>INPUT!BM369</f>
        <v>23.356668605700758</v>
      </c>
      <c r="Q460" s="687">
        <f>INPUT!BN369</f>
        <v>-35.313157067918297</v>
      </c>
      <c r="R460" s="464">
        <f>INPUT!BO369</f>
        <v>22.132924071839451</v>
      </c>
      <c r="S460" s="687">
        <f>INPUT!BP369</f>
        <v>-9.725022921953375</v>
      </c>
      <c r="T460" s="464">
        <f>INPUT!BQ369</f>
        <v>17.856324327077338</v>
      </c>
      <c r="U460" s="687">
        <f>INPUT!BR369</f>
        <v>-25.620405690317792</v>
      </c>
      <c r="V460" s="464">
        <f>INPUT!BS369</f>
        <v>21.075160851356173</v>
      </c>
      <c r="W460" s="687">
        <f>INPUT!BT369</f>
        <v>-10.385628049198559</v>
      </c>
      <c r="X460" s="464">
        <f>INPUT!BU369</f>
        <v>22.703043589243084</v>
      </c>
      <c r="Y460" s="687">
        <f>INPUT!BV369</f>
        <v>-2.7984513865908944</v>
      </c>
      <c r="Z460" s="464">
        <f>INPUT!BW369</f>
        <v>37.622382750907555</v>
      </c>
      <c r="AA460" s="687">
        <f>INPUT!BX369</f>
        <v>69.983788083274192</v>
      </c>
      <c r="AB460" s="464">
        <f>INPUT!BY369</f>
        <v>29.855240301100171</v>
      </c>
      <c r="AC460" s="687">
        <f>INPUT!BZ369</f>
        <v>67.19700960979786</v>
      </c>
      <c r="AD460" s="464"/>
      <c r="AE460" s="687"/>
      <c r="AF460" s="464"/>
      <c r="AG460" s="687"/>
      <c r="AH460" s="464"/>
      <c r="AI460" s="687"/>
      <c r="AJ460" s="464"/>
      <c r="AK460" s="687"/>
      <c r="AL460" s="464"/>
      <c r="AM460" s="687"/>
      <c r="AN460" s="464"/>
      <c r="AO460" s="687"/>
      <c r="AP460" s="464"/>
      <c r="AQ460" s="687"/>
      <c r="AR460" s="464"/>
      <c r="AS460" s="687"/>
      <c r="AT460" s="464"/>
      <c r="AU460" s="687"/>
      <c r="AV460" s="464"/>
      <c r="AW460" s="687"/>
      <c r="AX460" s="464"/>
      <c r="AY460" s="687"/>
      <c r="AZ460" s="464"/>
      <c r="BA460" s="687"/>
      <c r="BB460" s="464"/>
      <c r="BC460" s="687"/>
      <c r="BD460" s="464"/>
      <c r="BE460" s="687"/>
      <c r="BF460" s="464"/>
      <c r="BG460" s="687"/>
      <c r="BH460" s="464"/>
      <c r="BI460" s="687"/>
      <c r="BJ460" s="464"/>
      <c r="BK460" s="687"/>
      <c r="BL460" s="464"/>
      <c r="BM460" s="687"/>
      <c r="BN460" s="464"/>
      <c r="BO460" s="687"/>
      <c r="BP460" s="464"/>
      <c r="BQ460" s="687"/>
      <c r="BR460" s="464"/>
      <c r="BS460" s="687"/>
      <c r="BT460" s="464"/>
      <c r="BU460" s="687"/>
      <c r="BV460" s="464"/>
      <c r="BW460" s="687"/>
      <c r="BX460" s="464"/>
      <c r="BY460" s="687"/>
      <c r="BZ460" s="464"/>
      <c r="CA460" s="687"/>
      <c r="CB460" s="464"/>
      <c r="CC460" s="687"/>
      <c r="CD460" s="464"/>
      <c r="CE460" s="687"/>
      <c r="CF460" s="464"/>
      <c r="CG460" s="687"/>
      <c r="CH460" s="464"/>
      <c r="CI460" s="687"/>
      <c r="CJ460" s="464"/>
      <c r="CK460" s="687"/>
      <c r="CL460" s="464"/>
      <c r="CM460" s="687"/>
      <c r="CN460" s="464"/>
      <c r="CO460" s="687"/>
      <c r="CP460" s="464"/>
      <c r="CQ460" s="687"/>
      <c r="CR460" s="464"/>
      <c r="CS460" s="687"/>
      <c r="CT460" s="464"/>
      <c r="CU460" s="687"/>
      <c r="CV460" s="464"/>
      <c r="CW460" s="687"/>
      <c r="CX460" s="464"/>
      <c r="CY460" s="687"/>
      <c r="CZ460" s="464"/>
      <c r="DA460" s="687"/>
      <c r="DB460" s="16"/>
      <c r="DC460" s="156">
        <f>INPUT!FP369</f>
        <v>54.966655581033066</v>
      </c>
      <c r="DD460" s="687" t="str">
        <f>INPUT!FQ369</f>
        <v>NA</v>
      </c>
      <c r="DE460" s="464">
        <f>INPUT!FR369</f>
        <v>36.185642703489492</v>
      </c>
      <c r="DF460" s="687">
        <f>INPUT!FS369</f>
        <v>-34.168010913191161</v>
      </c>
      <c r="DG460" s="464">
        <f>INPUT!FT369</f>
        <v>24.599381201322949</v>
      </c>
      <c r="DH460" s="687">
        <f>INPUT!FU369</f>
        <v>-32.018946290676894</v>
      </c>
      <c r="DI460" s="464">
        <f>INPUT!FV369</f>
        <v>18.741286596295559</v>
      </c>
      <c r="DJ460" s="687">
        <f>INPUT!FW369</f>
        <v>-23.813991730460039</v>
      </c>
      <c r="DK460" s="464">
        <f>INPUT!FX369</f>
        <v>16.495544717832132</v>
      </c>
      <c r="DL460" s="687">
        <f>INPUT!FY369</f>
        <v>-11.982858630993487</v>
      </c>
      <c r="DM460" s="464"/>
      <c r="DN460" s="687"/>
      <c r="DO460" s="464"/>
      <c r="DP460" s="687"/>
      <c r="DQ460" s="464"/>
      <c r="DR460" s="687"/>
      <c r="DS460" s="464"/>
      <c r="DT460" s="687"/>
      <c r="DU460" s="464"/>
      <c r="DV460" s="687"/>
      <c r="DW460" s="464"/>
      <c r="DX460" s="687"/>
      <c r="DY460" s="464"/>
      <c r="DZ460" s="687"/>
      <c r="EA460" s="464"/>
      <c r="EB460" s="687"/>
      <c r="EC460" s="464"/>
      <c r="ED460" s="687"/>
      <c r="EE460" s="464"/>
      <c r="EF460" s="687"/>
      <c r="EG460" s="464"/>
      <c r="EH460" s="687"/>
      <c r="EI460" s="464"/>
      <c r="EJ460" s="687"/>
      <c r="EK460" s="464"/>
      <c r="EL460" s="687"/>
      <c r="EM460" s="687"/>
    </row>
    <row r="461" spans="1:143" ht="12.75" hidden="1" customHeight="1" outlineLevel="2" x14ac:dyDescent="0.2">
      <c r="A461" s="701" t="str">
        <f>INPUT!B370</f>
        <v>Redemptions as % of Beg Assets</v>
      </c>
      <c r="B461" s="156">
        <f>INPUT!AY370</f>
        <v>-21.119884585163526</v>
      </c>
      <c r="C461" s="687">
        <f>INPUT!AZ370</f>
        <v>0.68425619450744879</v>
      </c>
      <c r="D461" s="156">
        <f>INPUT!BA370</f>
        <v>-23.311889665386218</v>
      </c>
      <c r="E461" s="687">
        <f>INPUT!BB370</f>
        <v>-15.650021960373728</v>
      </c>
      <c r="F461" s="156">
        <f>INPUT!BC370</f>
        <v>-19.338019645267913</v>
      </c>
      <c r="G461" s="687">
        <f>INPUT!BD370</f>
        <v>1.2504661110436244</v>
      </c>
      <c r="H461" s="156">
        <f>INPUT!BE370</f>
        <v>-24.805889778909854</v>
      </c>
      <c r="I461" s="687">
        <f>INPUT!BF370</f>
        <v>-18.550512293428902</v>
      </c>
      <c r="J461" s="464">
        <f>INPUT!BG370</f>
        <v>-24.120345673743731</v>
      </c>
      <c r="K461" s="687">
        <f>INPUT!BH370</f>
        <v>14.206806275295625</v>
      </c>
      <c r="L461" s="464">
        <f>INPUT!BI370</f>
        <v>-23.618394935333569</v>
      </c>
      <c r="M461" s="687">
        <f>INPUT!BJ370</f>
        <v>1.3148023362621331</v>
      </c>
      <c r="N461" s="464">
        <f>INPUT!BK370</f>
        <v>-23.136909757046073</v>
      </c>
      <c r="O461" s="687">
        <f>INPUT!BL370</f>
        <v>19.644669834161444</v>
      </c>
      <c r="P461" s="464">
        <f>INPUT!BM370</f>
        <v>-27.649288909393615</v>
      </c>
      <c r="Q461" s="687">
        <f>INPUT!BN370</f>
        <v>11.462596809977121</v>
      </c>
      <c r="R461" s="464">
        <f>INPUT!BO370</f>
        <v>-27.578288833956204</v>
      </c>
      <c r="S461" s="687">
        <f>INPUT!BP370</f>
        <v>14.33620897057304</v>
      </c>
      <c r="T461" s="464">
        <f>INPUT!BQ370</f>
        <v>-25.338052917059255</v>
      </c>
      <c r="U461" s="687">
        <f>INPUT!BR370</f>
        <v>7.2810112051816089</v>
      </c>
      <c r="V461" s="464">
        <f>INPUT!BS370</f>
        <v>-38.366516494695539</v>
      </c>
      <c r="W461" s="687">
        <f>INPUT!BT370</f>
        <v>65.823858490918255</v>
      </c>
      <c r="X461" s="464">
        <f>INPUT!BU370</f>
        <v>-42.52316100842355</v>
      </c>
      <c r="Y461" s="687">
        <f>INPUT!BV370</f>
        <v>53.794772617015326</v>
      </c>
      <c r="Z461" s="464">
        <f>INPUT!BW370</f>
        <v>-36.074951413589531</v>
      </c>
      <c r="AA461" s="687">
        <f>INPUT!BX370</f>
        <v>30.809245021655141</v>
      </c>
      <c r="AB461" s="464">
        <f>INPUT!BY370</f>
        <v>-29.283922022775528</v>
      </c>
      <c r="AC461" s="687">
        <f>INPUT!BZ370</f>
        <v>15.572897880640447</v>
      </c>
      <c r="AD461" s="464"/>
      <c r="AE461" s="687"/>
      <c r="AF461" s="464"/>
      <c r="AG461" s="687"/>
      <c r="AH461" s="464"/>
      <c r="AI461" s="687"/>
      <c r="AJ461" s="464"/>
      <c r="AK461" s="687"/>
      <c r="AL461" s="464"/>
      <c r="AM461" s="687"/>
      <c r="AN461" s="464"/>
      <c r="AO461" s="687"/>
      <c r="AP461" s="464"/>
      <c r="AQ461" s="687"/>
      <c r="AR461" s="464"/>
      <c r="AS461" s="687"/>
      <c r="AT461" s="464"/>
      <c r="AU461" s="687"/>
      <c r="AV461" s="464"/>
      <c r="AW461" s="687"/>
      <c r="AX461" s="464"/>
      <c r="AY461" s="687"/>
      <c r="AZ461" s="464"/>
      <c r="BA461" s="687"/>
      <c r="BB461" s="464"/>
      <c r="BC461" s="687"/>
      <c r="BD461" s="464"/>
      <c r="BE461" s="687"/>
      <c r="BF461" s="464"/>
      <c r="BG461" s="687"/>
      <c r="BH461" s="464"/>
      <c r="BI461" s="687"/>
      <c r="BJ461" s="464"/>
      <c r="BK461" s="687"/>
      <c r="BL461" s="464"/>
      <c r="BM461" s="687"/>
      <c r="BN461" s="464"/>
      <c r="BO461" s="687"/>
      <c r="BP461" s="464"/>
      <c r="BQ461" s="687"/>
      <c r="BR461" s="464"/>
      <c r="BS461" s="687"/>
      <c r="BT461" s="464"/>
      <c r="BU461" s="687"/>
      <c r="BV461" s="464"/>
      <c r="BW461" s="687"/>
      <c r="BX461" s="464"/>
      <c r="BY461" s="687"/>
      <c r="BZ461" s="464"/>
      <c r="CA461" s="687"/>
      <c r="CB461" s="464"/>
      <c r="CC461" s="687"/>
      <c r="CD461" s="464"/>
      <c r="CE461" s="687"/>
      <c r="CF461" s="464"/>
      <c r="CG461" s="687"/>
      <c r="CH461" s="464"/>
      <c r="CI461" s="687"/>
      <c r="CJ461" s="464"/>
      <c r="CK461" s="687"/>
      <c r="CL461" s="464"/>
      <c r="CM461" s="687"/>
      <c r="CN461" s="464"/>
      <c r="CO461" s="687"/>
      <c r="CP461" s="464"/>
      <c r="CQ461" s="687"/>
      <c r="CR461" s="464"/>
      <c r="CS461" s="687"/>
      <c r="CT461" s="464"/>
      <c r="CU461" s="687"/>
      <c r="CV461" s="464"/>
      <c r="CW461" s="687"/>
      <c r="CX461" s="464"/>
      <c r="CY461" s="687"/>
      <c r="CZ461" s="464"/>
      <c r="DA461" s="687"/>
      <c r="DB461" s="16"/>
      <c r="DC461" s="156">
        <f>INPUT!FP370</f>
        <v>-27.741506362570235</v>
      </c>
      <c r="DD461" s="687" t="str">
        <f>INPUT!FQ370</f>
        <v>NA</v>
      </c>
      <c r="DE461" s="464">
        <f>INPUT!FR370</f>
        <v>-24.269318459933274</v>
      </c>
      <c r="DF461" s="687">
        <f>INPUT!FS370</f>
        <v>-12.516219765635196</v>
      </c>
      <c r="DG461" s="464">
        <f>INPUT!FT370</f>
        <v>-25.443294569508161</v>
      </c>
      <c r="DH461" s="687">
        <f>INPUT!FU370</f>
        <v>4.8372850334179374</v>
      </c>
      <c r="DI461" s="464">
        <f>INPUT!FV370</f>
        <v>-29.52306196328362</v>
      </c>
      <c r="DJ461" s="687">
        <f>INPUT!FW370</f>
        <v>16.034744960523884</v>
      </c>
      <c r="DK461" s="464">
        <f>INPUT!FX370</f>
        <v>-15.973011624069525</v>
      </c>
      <c r="DL461" s="687">
        <f>INPUT!FY370</f>
        <v>-45.896493920805462</v>
      </c>
      <c r="DM461" s="464"/>
      <c r="DN461" s="687"/>
      <c r="DO461" s="464"/>
      <c r="DP461" s="687"/>
      <c r="DQ461" s="464"/>
      <c r="DR461" s="687"/>
      <c r="DS461" s="464"/>
      <c r="DT461" s="687"/>
      <c r="DU461" s="464"/>
      <c r="DV461" s="687"/>
      <c r="DW461" s="464"/>
      <c r="DX461" s="687"/>
      <c r="DY461" s="464"/>
      <c r="DZ461" s="687"/>
      <c r="EA461" s="464"/>
      <c r="EB461" s="687"/>
      <c r="EC461" s="464"/>
      <c r="ED461" s="687"/>
      <c r="EE461" s="464"/>
      <c r="EF461" s="687"/>
      <c r="EG461" s="464"/>
      <c r="EH461" s="687"/>
      <c r="EI461" s="464"/>
      <c r="EJ461" s="687"/>
      <c r="EK461" s="464"/>
      <c r="EL461" s="687"/>
      <c r="EM461" s="687"/>
    </row>
    <row r="462" spans="1:143" ht="12.75" hidden="1" customHeight="1" outlineLevel="2" x14ac:dyDescent="0.2">
      <c r="A462" s="701" t="str">
        <f>INPUT!B371</f>
        <v>Market Apprec/Avg Assets (%)</v>
      </c>
      <c r="B462" s="464">
        <f>INPUT!AY371</f>
        <v>19.002688024576226</v>
      </c>
      <c r="C462" s="687" t="str">
        <f>INPUT!AZ371</f>
        <v>NM</v>
      </c>
      <c r="D462" s="464">
        <f>INPUT!BA371</f>
        <v>-7.0135536576308946</v>
      </c>
      <c r="E462" s="687" t="str">
        <f>INPUT!BB371</f>
        <v>NM</v>
      </c>
      <c r="F462" s="464">
        <f>INPUT!BC371</f>
        <v>12.955225582124433</v>
      </c>
      <c r="G462" s="687">
        <f>INPUT!BD371</f>
        <v>-21.12656479426547</v>
      </c>
      <c r="H462" s="464">
        <f>INPUT!BE371</f>
        <v>22.563136314487899</v>
      </c>
      <c r="I462" s="687" t="str">
        <f>INPUT!BF371</f>
        <v>NM</v>
      </c>
      <c r="J462" s="464">
        <f>INPUT!BG371</f>
        <v>8.0231404260709827</v>
      </c>
      <c r="K462" s="687" t="str">
        <f>INPUT!BH371</f>
        <v>NM</v>
      </c>
      <c r="L462" s="464">
        <f>INPUT!BI371</f>
        <v>7.8578961516987524</v>
      </c>
      <c r="M462" s="687" t="str">
        <f>INPUT!BJ371</f>
        <v>NM</v>
      </c>
      <c r="N462" s="464">
        <f>INPUT!BK371</f>
        <v>7.6993212440482228</v>
      </c>
      <c r="O462" s="687">
        <f>INPUT!BL371</f>
        <v>-40.569763179795849</v>
      </c>
      <c r="P462" s="464">
        <f>INPUT!BM371</f>
        <v>-4.526026272134354</v>
      </c>
      <c r="Q462" s="687" t="str">
        <f>INPUT!BN371</f>
        <v>NM</v>
      </c>
      <c r="R462" s="464">
        <f>INPUT!BO371</f>
        <v>-27.598157356844322</v>
      </c>
      <c r="S462" s="687" t="str">
        <f>INPUT!BP371</f>
        <v>NM</v>
      </c>
      <c r="T462" s="464">
        <f>INPUT!BQ371</f>
        <v>-7.1322513924099882</v>
      </c>
      <c r="U462" s="687" t="str">
        <f>INPUT!BR371</f>
        <v>NM</v>
      </c>
      <c r="V462" s="464">
        <f>INPUT!BS371</f>
        <v>-36.511350059737154</v>
      </c>
      <c r="W462" s="687" t="str">
        <f>INPUT!BT371</f>
        <v>NM</v>
      </c>
      <c r="X462" s="464">
        <f>INPUT!BU371</f>
        <v>-57.830131829851162</v>
      </c>
      <c r="Y462" s="687" t="str">
        <f>INPUT!BV371</f>
        <v>NM</v>
      </c>
      <c r="Z462" s="464">
        <f>INPUT!BW371</f>
        <v>-22.137806529261319</v>
      </c>
      <c r="AA462" s="687">
        <f>INPUT!BX371</f>
        <v>-19.785200718224182</v>
      </c>
      <c r="AB462" s="464">
        <f>INPUT!BY371</f>
        <v>41.562041266628377</v>
      </c>
      <c r="AC462" s="687" t="str">
        <f>INPUT!BZ371</f>
        <v>NM</v>
      </c>
      <c r="AD462" s="464"/>
      <c r="AE462" s="687"/>
      <c r="AF462" s="464"/>
      <c r="AG462" s="687"/>
      <c r="AH462" s="464"/>
      <c r="AI462" s="687"/>
      <c r="AJ462" s="464"/>
      <c r="AK462" s="687"/>
      <c r="AL462" s="464"/>
      <c r="AM462" s="687"/>
      <c r="AN462" s="464"/>
      <c r="AO462" s="687"/>
      <c r="AP462" s="464"/>
      <c r="AQ462" s="687"/>
      <c r="AR462" s="464"/>
      <c r="AS462" s="687"/>
      <c r="AT462" s="464"/>
      <c r="AU462" s="687"/>
      <c r="AV462" s="464"/>
      <c r="AW462" s="687"/>
      <c r="AX462" s="464"/>
      <c r="AY462" s="687"/>
      <c r="AZ462" s="464"/>
      <c r="BA462" s="687"/>
      <c r="BB462" s="464"/>
      <c r="BC462" s="687"/>
      <c r="BD462" s="464"/>
      <c r="BE462" s="687"/>
      <c r="BF462" s="464"/>
      <c r="BG462" s="687"/>
      <c r="BH462" s="464"/>
      <c r="BI462" s="687"/>
      <c r="BJ462" s="464"/>
      <c r="BK462" s="687"/>
      <c r="BL462" s="464"/>
      <c r="BM462" s="687"/>
      <c r="BN462" s="464"/>
      <c r="BO462" s="687"/>
      <c r="BP462" s="464"/>
      <c r="BQ462" s="687"/>
      <c r="BR462" s="464"/>
      <c r="BS462" s="687"/>
      <c r="BT462" s="464"/>
      <c r="BU462" s="687"/>
      <c r="BV462" s="464"/>
      <c r="BW462" s="687"/>
      <c r="BX462" s="464"/>
      <c r="BY462" s="687"/>
      <c r="BZ462" s="464"/>
      <c r="CA462" s="687"/>
      <c r="CB462" s="464"/>
      <c r="CC462" s="687"/>
      <c r="CD462" s="464"/>
      <c r="CE462" s="687"/>
      <c r="CF462" s="464"/>
      <c r="CG462" s="687"/>
      <c r="CH462" s="464"/>
      <c r="CI462" s="687"/>
      <c r="CJ462" s="464"/>
      <c r="CK462" s="687"/>
      <c r="CL462" s="464"/>
      <c r="CM462" s="687"/>
      <c r="CN462" s="464"/>
      <c r="CO462" s="687"/>
      <c r="CP462" s="464"/>
      <c r="CQ462" s="687"/>
      <c r="CR462" s="464"/>
      <c r="CS462" s="687"/>
      <c r="CT462" s="464"/>
      <c r="CU462" s="687"/>
      <c r="CV462" s="464"/>
      <c r="CW462" s="687"/>
      <c r="CX462" s="464"/>
      <c r="CY462" s="687"/>
      <c r="CZ462" s="464"/>
      <c r="DA462" s="687"/>
      <c r="DB462" s="16"/>
      <c r="DC462" s="464">
        <f>INPUT!FP371</f>
        <v>7.8374046481256121</v>
      </c>
      <c r="DD462" s="687" t="str">
        <f>INPUT!FQ371</f>
        <v>NA</v>
      </c>
      <c r="DE462" s="464">
        <f>INPUT!FR371</f>
        <v>11.999542700354407</v>
      </c>
      <c r="DF462" s="687">
        <f>INPUT!FS371</f>
        <v>53.10607578778275</v>
      </c>
      <c r="DG462" s="464">
        <f>INPUT!FT371</f>
        <v>5.1963570778448469</v>
      </c>
      <c r="DH462" s="687" t="str">
        <f>INPUT!FU371</f>
        <v>NM</v>
      </c>
      <c r="DI462" s="464">
        <f>INPUT!FV371</f>
        <v>-31.851550046819494</v>
      </c>
      <c r="DJ462" s="687" t="str">
        <f>INPUT!FW371</f>
        <v>NM</v>
      </c>
      <c r="DK462" s="464">
        <f>INPUT!FX371</f>
        <v>4.9017427430187972</v>
      </c>
      <c r="DL462" s="687" t="str">
        <f>INPUT!FY371</f>
        <v>NM</v>
      </c>
      <c r="DM462" s="464"/>
      <c r="DN462" s="687"/>
      <c r="DO462" s="464"/>
      <c r="DP462" s="687"/>
      <c r="DQ462" s="464"/>
      <c r="DR462" s="687"/>
      <c r="DS462" s="464"/>
      <c r="DT462" s="687"/>
      <c r="DU462" s="464"/>
      <c r="DV462" s="687"/>
      <c r="DW462" s="464"/>
      <c r="DX462" s="687"/>
      <c r="DY462" s="464"/>
      <c r="DZ462" s="687"/>
      <c r="EA462" s="464"/>
      <c r="EB462" s="687"/>
      <c r="EC462" s="464"/>
      <c r="ED462" s="687"/>
      <c r="EE462" s="464"/>
      <c r="EF462" s="687"/>
      <c r="EG462" s="464"/>
      <c r="EH462" s="687"/>
      <c r="EI462" s="464"/>
      <c r="EJ462" s="687"/>
      <c r="EK462" s="464"/>
      <c r="EL462" s="687"/>
      <c r="EM462" s="687"/>
    </row>
    <row r="463" spans="1:143" ht="12.75" hidden="1" customHeight="1" outlineLevel="2" x14ac:dyDescent="0.2">
      <c r="A463" s="701"/>
      <c r="B463" s="16"/>
      <c r="C463" s="687"/>
      <c r="D463" s="16"/>
      <c r="E463" s="687"/>
      <c r="F463" s="16"/>
      <c r="G463" s="687"/>
      <c r="H463" s="16"/>
      <c r="I463" s="687"/>
      <c r="J463" s="16"/>
      <c r="K463" s="687"/>
      <c r="L463" s="16"/>
      <c r="M463" s="687"/>
      <c r="N463" s="16"/>
      <c r="O463" s="687"/>
      <c r="P463" s="16"/>
      <c r="Q463" s="687"/>
      <c r="R463" s="16"/>
      <c r="S463" s="687"/>
      <c r="T463" s="16"/>
      <c r="U463" s="687"/>
      <c r="V463" s="16"/>
      <c r="W463" s="687"/>
      <c r="X463" s="16"/>
      <c r="Y463" s="687"/>
      <c r="Z463" s="16"/>
      <c r="AA463" s="687"/>
      <c r="AB463" s="16"/>
      <c r="AC463" s="687"/>
      <c r="AD463" s="16"/>
      <c r="AE463" s="687"/>
      <c r="AF463" s="16"/>
      <c r="AG463" s="687"/>
      <c r="AH463" s="16"/>
      <c r="AI463" s="687"/>
      <c r="AJ463" s="16"/>
      <c r="AK463" s="687"/>
      <c r="AL463" s="16"/>
      <c r="AM463" s="687"/>
      <c r="AN463" s="16"/>
      <c r="AO463" s="687"/>
      <c r="AP463" s="16"/>
      <c r="AQ463" s="687"/>
      <c r="AR463" s="16"/>
      <c r="AS463" s="687"/>
      <c r="AT463" s="16"/>
      <c r="AU463" s="687"/>
      <c r="AV463" s="16"/>
      <c r="AW463" s="687"/>
      <c r="AX463" s="16"/>
      <c r="AY463" s="687"/>
      <c r="AZ463" s="16"/>
      <c r="BA463" s="687"/>
      <c r="BB463" s="16"/>
      <c r="BC463" s="687"/>
      <c r="BD463" s="16"/>
      <c r="BE463" s="687"/>
      <c r="BF463" s="16"/>
      <c r="BG463" s="687"/>
      <c r="BH463" s="16"/>
      <c r="BI463" s="687"/>
      <c r="BJ463" s="16"/>
      <c r="BK463" s="687"/>
      <c r="BL463" s="16"/>
      <c r="BM463" s="687"/>
      <c r="BN463" s="16"/>
      <c r="BO463" s="687"/>
      <c r="BP463" s="16"/>
      <c r="BQ463" s="687"/>
      <c r="BR463" s="16"/>
      <c r="BS463" s="687"/>
      <c r="BT463" s="16"/>
      <c r="BU463" s="687"/>
      <c r="BV463" s="16"/>
      <c r="BW463" s="687"/>
      <c r="BX463" s="16"/>
      <c r="BY463" s="687"/>
      <c r="BZ463" s="16"/>
      <c r="CA463" s="687"/>
      <c r="CB463" s="16"/>
      <c r="CC463" s="687"/>
      <c r="CD463" s="16"/>
      <c r="CE463" s="687"/>
      <c r="CF463" s="16"/>
      <c r="CG463" s="687"/>
      <c r="CH463" s="16"/>
      <c r="CI463" s="687"/>
      <c r="CJ463" s="16"/>
      <c r="CK463" s="687"/>
      <c r="CL463" s="16"/>
      <c r="CM463" s="687"/>
      <c r="CN463" s="16"/>
      <c r="CO463" s="687"/>
      <c r="CP463" s="16"/>
      <c r="CQ463" s="687"/>
      <c r="CR463" s="16"/>
      <c r="CS463" s="687"/>
      <c r="CT463" s="16"/>
      <c r="CU463" s="687"/>
      <c r="CV463" s="16"/>
      <c r="CW463" s="687"/>
      <c r="CX463" s="16"/>
      <c r="CY463" s="687"/>
      <c r="CZ463" s="16"/>
      <c r="DA463" s="687"/>
      <c r="DB463" s="16"/>
      <c r="DC463" s="16"/>
      <c r="DD463" s="687"/>
      <c r="DE463" s="16"/>
      <c r="DF463" s="687"/>
      <c r="DG463" s="16"/>
      <c r="DH463" s="687"/>
      <c r="DI463" s="16"/>
      <c r="DJ463" s="687"/>
      <c r="DK463" s="16"/>
      <c r="DL463" s="687"/>
      <c r="DM463" s="16"/>
      <c r="DN463" s="687"/>
      <c r="DO463" s="16"/>
      <c r="DP463" s="687"/>
      <c r="DQ463" s="16"/>
      <c r="DR463" s="687"/>
      <c r="DS463" s="16"/>
      <c r="DT463" s="687"/>
      <c r="DU463" s="16"/>
      <c r="DV463" s="687"/>
      <c r="DW463" s="16"/>
      <c r="DX463" s="687"/>
      <c r="DY463" s="16"/>
      <c r="DZ463" s="687"/>
      <c r="EA463" s="16"/>
      <c r="EB463" s="687"/>
      <c r="EC463" s="16"/>
      <c r="ED463" s="687"/>
      <c r="EE463" s="16"/>
      <c r="EF463" s="687"/>
      <c r="EG463" s="16"/>
      <c r="EH463" s="687"/>
      <c r="EI463" s="16"/>
      <c r="EJ463" s="687"/>
      <c r="EK463" s="16"/>
      <c r="EL463" s="687"/>
      <c r="EM463" s="687"/>
    </row>
    <row r="464" spans="1:143" ht="12.75" hidden="1" customHeight="1" outlineLevel="2" x14ac:dyDescent="0.2">
      <c r="A464" s="689" t="str">
        <f>+A60</f>
        <v>Quarterly income statement ratios are annualized where appropriate     NM = Not Meaningful       NA = Not Applicable  E=Morgan Stanley Estimates</v>
      </c>
      <c r="B464" s="16"/>
      <c r="C464" s="687"/>
      <c r="D464" s="16"/>
      <c r="E464" s="687"/>
      <c r="F464" s="16"/>
      <c r="G464" s="687"/>
      <c r="H464" s="16"/>
      <c r="I464" s="687"/>
      <c r="J464" s="16"/>
      <c r="K464" s="687"/>
      <c r="L464" s="16"/>
      <c r="M464" s="687"/>
      <c r="N464" s="16"/>
      <c r="O464" s="687"/>
      <c r="P464" s="16"/>
      <c r="Q464" s="687"/>
      <c r="R464" s="16"/>
      <c r="S464" s="687"/>
      <c r="T464" s="16"/>
      <c r="U464" s="687"/>
      <c r="V464" s="16"/>
      <c r="W464" s="687"/>
      <c r="X464" s="16"/>
      <c r="Y464" s="687"/>
      <c r="Z464" s="16"/>
      <c r="AA464" s="687"/>
      <c r="AB464" s="16"/>
      <c r="AC464" s="687"/>
      <c r="AD464" s="16"/>
      <c r="AE464" s="687"/>
      <c r="AF464" s="16"/>
      <c r="AG464" s="687"/>
      <c r="AH464" s="16"/>
      <c r="AI464" s="687"/>
      <c r="AJ464" s="16"/>
      <c r="AK464" s="687"/>
      <c r="AL464" s="16"/>
      <c r="AM464" s="687"/>
      <c r="AN464" s="16"/>
      <c r="AO464" s="687"/>
      <c r="AP464" s="16"/>
      <c r="AQ464" s="687"/>
      <c r="AR464" s="16"/>
      <c r="AS464" s="687"/>
      <c r="AT464" s="16"/>
      <c r="AU464" s="687"/>
      <c r="AV464" s="16"/>
      <c r="AW464" s="687"/>
      <c r="AX464" s="16"/>
      <c r="AY464" s="687"/>
      <c r="AZ464" s="16"/>
      <c r="BA464" s="687"/>
      <c r="BB464" s="16"/>
      <c r="BC464" s="687"/>
      <c r="BD464" s="16"/>
      <c r="BE464" s="687"/>
      <c r="BF464" s="16"/>
      <c r="BG464" s="687"/>
      <c r="BH464" s="16"/>
      <c r="BI464" s="687"/>
      <c r="BJ464" s="16"/>
      <c r="BK464" s="687"/>
      <c r="BL464" s="16"/>
      <c r="BM464" s="687"/>
      <c r="BN464" s="16"/>
      <c r="BO464" s="687"/>
      <c r="BP464" s="16"/>
      <c r="BQ464" s="687"/>
      <c r="BR464" s="16"/>
      <c r="BS464" s="687"/>
      <c r="BT464" s="16"/>
      <c r="BU464" s="687"/>
      <c r="BV464" s="16"/>
      <c r="BW464" s="687"/>
      <c r="BX464" s="16"/>
      <c r="BY464" s="687"/>
      <c r="BZ464" s="16"/>
      <c r="CA464" s="687"/>
      <c r="CB464" s="16"/>
      <c r="CC464" s="687"/>
      <c r="CD464" s="16"/>
      <c r="CE464" s="687"/>
      <c r="CF464" s="16"/>
      <c r="CG464" s="687"/>
      <c r="CH464" s="16"/>
      <c r="CI464" s="687"/>
      <c r="CJ464" s="16"/>
      <c r="CK464" s="687"/>
      <c r="CL464" s="16"/>
      <c r="CM464" s="687"/>
      <c r="CN464" s="16"/>
      <c r="CO464" s="687"/>
      <c r="CP464" s="16"/>
      <c r="CQ464" s="687"/>
      <c r="CR464" s="16"/>
      <c r="CS464" s="687"/>
      <c r="CT464" s="16"/>
      <c r="CU464" s="687"/>
      <c r="CV464" s="16"/>
      <c r="CW464" s="687"/>
      <c r="CX464" s="16"/>
      <c r="CY464" s="687"/>
      <c r="CZ464" s="16"/>
      <c r="DA464" s="687"/>
      <c r="DB464" s="16"/>
      <c r="DC464" s="16"/>
      <c r="DD464" s="687"/>
      <c r="DE464" s="16"/>
      <c r="DF464" s="687"/>
      <c r="DG464" s="16"/>
      <c r="DH464" s="687"/>
      <c r="DI464" s="16"/>
      <c r="DJ464" s="687"/>
      <c r="DK464" s="16"/>
      <c r="DL464" s="687"/>
      <c r="DM464" s="16"/>
      <c r="DN464" s="687"/>
      <c r="DO464" s="16"/>
      <c r="DP464" s="687"/>
      <c r="DQ464" s="16"/>
      <c r="DR464" s="687"/>
      <c r="DS464" s="16"/>
      <c r="DT464" s="687"/>
      <c r="DU464" s="16"/>
      <c r="DV464" s="687"/>
      <c r="DW464" s="16"/>
      <c r="DX464" s="687"/>
      <c r="DY464" s="16"/>
      <c r="DZ464" s="687"/>
      <c r="EA464" s="16"/>
      <c r="EB464" s="687"/>
      <c r="EC464" s="16"/>
      <c r="ED464" s="687"/>
      <c r="EE464" s="16"/>
      <c r="EF464" s="687"/>
      <c r="EG464" s="16"/>
      <c r="EH464" s="687"/>
      <c r="EI464" s="16"/>
      <c r="EJ464" s="687"/>
      <c r="EK464" s="16"/>
      <c r="EL464" s="687"/>
      <c r="EM464" s="687"/>
    </row>
    <row r="465" spans="1:143" ht="12.75" hidden="1" customHeight="1" outlineLevel="2" x14ac:dyDescent="0.2">
      <c r="A465" s="689" t="s">
        <v>76</v>
      </c>
      <c r="B465" s="16"/>
      <c r="C465" s="687"/>
      <c r="D465" s="16"/>
      <c r="E465" s="687"/>
      <c r="F465" s="16"/>
      <c r="G465" s="687"/>
      <c r="H465" s="16"/>
      <c r="I465" s="687"/>
      <c r="J465" s="16"/>
      <c r="K465" s="687"/>
      <c r="L465" s="16"/>
      <c r="M465" s="687"/>
      <c r="N465" s="16"/>
      <c r="O465" s="687"/>
      <c r="P465" s="16"/>
      <c r="Q465" s="687"/>
      <c r="R465" s="16"/>
      <c r="S465" s="687"/>
      <c r="T465" s="16"/>
      <c r="U465" s="687"/>
      <c r="V465" s="16"/>
      <c r="W465" s="687"/>
      <c r="X465" s="16"/>
      <c r="Y465" s="687"/>
      <c r="Z465" s="16"/>
      <c r="AA465" s="687"/>
      <c r="AB465" s="16"/>
      <c r="AC465" s="687"/>
      <c r="AD465" s="16"/>
      <c r="AE465" s="687"/>
      <c r="AF465" s="16"/>
      <c r="AG465" s="687"/>
      <c r="AH465" s="16"/>
      <c r="AI465" s="687"/>
      <c r="AJ465" s="16"/>
      <c r="AK465" s="687"/>
      <c r="AL465" s="16"/>
      <c r="AM465" s="687"/>
      <c r="AN465" s="16"/>
      <c r="AO465" s="687"/>
      <c r="AP465" s="16"/>
      <c r="AQ465" s="687"/>
      <c r="AR465" s="16"/>
      <c r="AS465" s="687"/>
      <c r="AT465" s="16"/>
      <c r="AU465" s="687"/>
      <c r="AV465" s="16"/>
      <c r="AW465" s="687"/>
      <c r="AX465" s="16"/>
      <c r="AY465" s="687"/>
      <c r="AZ465" s="16"/>
      <c r="BA465" s="687"/>
      <c r="BB465" s="16"/>
      <c r="BC465" s="687"/>
      <c r="BD465" s="16"/>
      <c r="BE465" s="687"/>
      <c r="BF465" s="16"/>
      <c r="BG465" s="687"/>
      <c r="BH465" s="16"/>
      <c r="BI465" s="687"/>
      <c r="BJ465" s="16"/>
      <c r="BK465" s="687"/>
      <c r="BL465" s="16"/>
      <c r="BM465" s="687"/>
      <c r="BN465" s="16"/>
      <c r="BO465" s="687"/>
      <c r="BP465" s="16"/>
      <c r="BQ465" s="687"/>
      <c r="BR465" s="16"/>
      <c r="BS465" s="687"/>
      <c r="BT465" s="16"/>
      <c r="BU465" s="687"/>
      <c r="BV465" s="16"/>
      <c r="BW465" s="687"/>
      <c r="BX465" s="16"/>
      <c r="BY465" s="687"/>
      <c r="BZ465" s="16"/>
      <c r="CA465" s="687"/>
      <c r="CB465" s="16"/>
      <c r="CC465" s="687"/>
      <c r="CD465" s="16"/>
      <c r="CE465" s="687"/>
      <c r="CF465" s="16"/>
      <c r="CG465" s="687"/>
      <c r="CH465" s="16"/>
      <c r="CI465" s="687"/>
      <c r="CJ465" s="16"/>
      <c r="CK465" s="687"/>
      <c r="CL465" s="16"/>
      <c r="CM465" s="687"/>
      <c r="CN465" s="16"/>
      <c r="CO465" s="687"/>
      <c r="CP465" s="16"/>
      <c r="CQ465" s="687"/>
      <c r="CR465" s="16"/>
      <c r="CS465" s="687"/>
      <c r="CT465" s="16"/>
      <c r="CU465" s="687"/>
      <c r="CV465" s="16"/>
      <c r="CW465" s="687"/>
      <c r="CX465" s="16"/>
      <c r="CY465" s="687"/>
      <c r="CZ465" s="16"/>
      <c r="DA465" s="687"/>
      <c r="DB465" s="16"/>
      <c r="DC465" s="16"/>
      <c r="DD465" s="687"/>
      <c r="DE465" s="16"/>
      <c r="DF465" s="687"/>
      <c r="DG465" s="16"/>
      <c r="DH465" s="687"/>
      <c r="DI465" s="16"/>
      <c r="DJ465" s="687"/>
      <c r="DK465" s="16"/>
      <c r="DL465" s="687"/>
      <c r="DM465" s="16"/>
      <c r="DN465" s="687"/>
      <c r="DO465" s="16"/>
      <c r="DP465" s="687"/>
      <c r="DQ465" s="16"/>
      <c r="DR465" s="687"/>
      <c r="DS465" s="16"/>
      <c r="DT465" s="687"/>
      <c r="DU465" s="16"/>
      <c r="DV465" s="687"/>
      <c r="DW465" s="16"/>
      <c r="DX465" s="687"/>
      <c r="DY465" s="16"/>
      <c r="DZ465" s="687"/>
      <c r="EA465" s="16"/>
      <c r="EB465" s="687"/>
      <c r="EC465" s="16"/>
      <c r="ED465" s="687"/>
      <c r="EE465" s="16"/>
      <c r="EF465" s="687"/>
      <c r="EG465" s="16"/>
      <c r="EH465" s="687"/>
      <c r="EI465" s="16"/>
      <c r="EJ465" s="687"/>
      <c r="EK465" s="16"/>
      <c r="EL465" s="687"/>
      <c r="EM465" s="687"/>
    </row>
    <row r="466" spans="1:143" ht="12.75" hidden="1" customHeight="1" outlineLevel="2" x14ac:dyDescent="0.2">
      <c r="A466" s="701"/>
      <c r="B466" s="16"/>
      <c r="C466" s="687"/>
      <c r="D466" s="16"/>
      <c r="E466" s="687"/>
      <c r="F466" s="16"/>
      <c r="G466" s="687"/>
      <c r="H466" s="16"/>
      <c r="I466" s="687"/>
      <c r="J466" s="16"/>
      <c r="K466" s="687"/>
      <c r="L466" s="16"/>
      <c r="M466" s="687"/>
      <c r="N466" s="16"/>
      <c r="O466" s="687"/>
      <c r="P466" s="16"/>
      <c r="Q466" s="687"/>
      <c r="R466" s="16"/>
      <c r="S466" s="687"/>
      <c r="T466" s="16"/>
      <c r="U466" s="687"/>
      <c r="V466" s="16"/>
      <c r="W466" s="687"/>
      <c r="X466" s="16"/>
      <c r="Y466" s="687"/>
      <c r="Z466" s="16"/>
      <c r="AA466" s="687"/>
      <c r="AB466" s="16"/>
      <c r="AC466" s="687"/>
      <c r="AD466" s="16"/>
      <c r="AE466" s="687"/>
      <c r="AF466" s="16"/>
      <c r="AG466" s="687"/>
      <c r="AH466" s="16"/>
      <c r="AI466" s="687"/>
      <c r="AJ466" s="16"/>
      <c r="AK466" s="687"/>
      <c r="AL466" s="16"/>
      <c r="AM466" s="687"/>
      <c r="AN466" s="16"/>
      <c r="AO466" s="687"/>
      <c r="AP466" s="16"/>
      <c r="AQ466" s="687"/>
      <c r="AR466" s="16"/>
      <c r="AS466" s="687"/>
      <c r="AT466" s="16"/>
      <c r="AU466" s="687"/>
      <c r="AV466" s="16"/>
      <c r="AW466" s="687"/>
      <c r="AX466" s="16"/>
      <c r="AY466" s="687"/>
      <c r="AZ466" s="16"/>
      <c r="BA466" s="687"/>
      <c r="BB466" s="16"/>
      <c r="BC466" s="687"/>
      <c r="BD466" s="16"/>
      <c r="BE466" s="687"/>
      <c r="BF466" s="16"/>
      <c r="BG466" s="687"/>
      <c r="BH466" s="16"/>
      <c r="BI466" s="687"/>
      <c r="BJ466" s="16"/>
      <c r="BK466" s="687"/>
      <c r="BL466" s="16"/>
      <c r="BM466" s="687"/>
      <c r="BN466" s="16"/>
      <c r="BO466" s="687"/>
      <c r="BP466" s="16"/>
      <c r="BQ466" s="687"/>
      <c r="BR466" s="16"/>
      <c r="BS466" s="687"/>
      <c r="BT466" s="16"/>
      <c r="BU466" s="687"/>
      <c r="BV466" s="16"/>
      <c r="BW466" s="687"/>
      <c r="BX466" s="16"/>
      <c r="BY466" s="687"/>
      <c r="BZ466" s="16"/>
      <c r="CA466" s="687"/>
      <c r="CB466" s="16"/>
      <c r="CC466" s="687"/>
      <c r="CD466" s="16"/>
      <c r="CE466" s="687"/>
      <c r="CF466" s="16"/>
      <c r="CG466" s="687"/>
      <c r="CH466" s="16"/>
      <c r="CI466" s="687"/>
      <c r="CJ466" s="16"/>
      <c r="CK466" s="687"/>
      <c r="CL466" s="16"/>
      <c r="CM466" s="687"/>
      <c r="CN466" s="16"/>
      <c r="CO466" s="687"/>
      <c r="CP466" s="16"/>
      <c r="CQ466" s="687"/>
      <c r="CR466" s="16"/>
      <c r="CS466" s="687"/>
      <c r="CT466" s="16"/>
      <c r="CU466" s="687"/>
      <c r="CV466" s="16"/>
      <c r="CW466" s="687"/>
      <c r="CX466" s="16"/>
      <c r="CY466" s="687"/>
      <c r="CZ466" s="16"/>
      <c r="DA466" s="687"/>
      <c r="DB466" s="16"/>
      <c r="DC466" s="16"/>
      <c r="DD466" s="687"/>
      <c r="DE466" s="16"/>
      <c r="DF466" s="687"/>
      <c r="DG466" s="16"/>
      <c r="DH466" s="687"/>
      <c r="DI466" s="16"/>
      <c r="DJ466" s="687"/>
      <c r="DK466" s="16"/>
      <c r="DL466" s="687"/>
      <c r="DM466" s="16"/>
      <c r="DN466" s="687"/>
      <c r="DO466" s="16"/>
      <c r="DP466" s="687"/>
      <c r="DQ466" s="16"/>
      <c r="DR466" s="687"/>
      <c r="DS466" s="16"/>
      <c r="DT466" s="687"/>
      <c r="DU466" s="16"/>
      <c r="DV466" s="687"/>
      <c r="DW466" s="16"/>
      <c r="DX466" s="687"/>
      <c r="DY466" s="16"/>
      <c r="DZ466" s="687"/>
      <c r="EA466" s="16"/>
      <c r="EB466" s="687"/>
      <c r="EC466" s="16"/>
      <c r="ED466" s="687"/>
      <c r="EE466" s="16"/>
      <c r="EF466" s="687"/>
      <c r="EG466" s="16"/>
      <c r="EH466" s="687"/>
      <c r="EI466" s="16"/>
      <c r="EJ466" s="687"/>
      <c r="EK466" s="16"/>
      <c r="EL466" s="687"/>
      <c r="EM466" s="702"/>
    </row>
    <row r="467" spans="1:143" ht="21.95" hidden="1" customHeight="1" outlineLevel="2" x14ac:dyDescent="0.2">
      <c r="A467" s="691" t="str">
        <f>$A$1</f>
        <v>Lincoln National</v>
      </c>
      <c r="B467" s="683"/>
      <c r="C467" s="684"/>
      <c r="D467" s="683"/>
      <c r="E467" s="684"/>
      <c r="F467" s="683"/>
      <c r="G467" s="684"/>
      <c r="H467" s="683"/>
      <c r="I467" s="684"/>
      <c r="J467" s="683"/>
      <c r="K467" s="684"/>
      <c r="L467" s="683"/>
      <c r="M467" s="684"/>
      <c r="N467" s="683"/>
      <c r="O467" s="684"/>
      <c r="P467" s="683"/>
      <c r="Q467" s="684"/>
      <c r="R467" s="683"/>
      <c r="S467" s="684"/>
      <c r="T467" s="683"/>
      <c r="U467" s="684"/>
      <c r="V467" s="683"/>
      <c r="W467" s="684"/>
      <c r="X467" s="683"/>
      <c r="Y467" s="684"/>
      <c r="Z467" s="683"/>
      <c r="AA467" s="684"/>
      <c r="AB467" s="683"/>
      <c r="AC467" s="684"/>
      <c r="AD467" s="683"/>
      <c r="AE467" s="684"/>
      <c r="AF467" s="683"/>
      <c r="AG467" s="684"/>
      <c r="AH467" s="683"/>
      <c r="AI467" s="684"/>
      <c r="AJ467" s="683"/>
      <c r="AK467" s="684"/>
      <c r="AL467" s="683"/>
      <c r="AM467" s="684"/>
      <c r="AN467" s="683"/>
      <c r="AO467" s="684"/>
      <c r="AP467" s="683"/>
      <c r="AQ467" s="684"/>
      <c r="AR467" s="683"/>
      <c r="AS467" s="684"/>
      <c r="AT467" s="683"/>
      <c r="AU467" s="684"/>
      <c r="AV467" s="683"/>
      <c r="AW467" s="684"/>
      <c r="AX467" s="683"/>
      <c r="AY467" s="684"/>
      <c r="AZ467" s="683"/>
      <c r="BA467" s="684"/>
      <c r="BB467" s="683"/>
      <c r="BC467" s="684"/>
      <c r="BD467" s="683"/>
      <c r="BE467" s="684"/>
      <c r="BF467" s="683"/>
      <c r="BG467" s="684"/>
      <c r="BH467" s="683"/>
      <c r="BI467" s="684"/>
      <c r="BJ467" s="683"/>
      <c r="BK467" s="684"/>
      <c r="BL467" s="683"/>
      <c r="BM467" s="684"/>
      <c r="BN467" s="683"/>
      <c r="BO467" s="684"/>
      <c r="BP467" s="683"/>
      <c r="BQ467" s="684"/>
      <c r="BR467" s="683"/>
      <c r="BS467" s="684"/>
      <c r="BT467" s="683"/>
      <c r="BU467" s="684"/>
      <c r="BV467" s="683"/>
      <c r="BW467" s="684"/>
      <c r="BX467" s="683"/>
      <c r="BY467" s="684"/>
      <c r="BZ467" s="683"/>
      <c r="CA467" s="684"/>
      <c r="CB467" s="683"/>
      <c r="CC467" s="684"/>
      <c r="CD467" s="683"/>
      <c r="CE467" s="684"/>
      <c r="CF467" s="683"/>
      <c r="CG467" s="684"/>
      <c r="CH467" s="683"/>
      <c r="CI467" s="684"/>
      <c r="CJ467" s="683"/>
      <c r="CK467" s="684"/>
      <c r="CL467" s="683"/>
      <c r="CM467" s="684"/>
      <c r="CN467" s="683"/>
      <c r="CO467" s="684"/>
      <c r="CP467" s="683"/>
      <c r="CQ467" s="684"/>
      <c r="CR467" s="683"/>
      <c r="CS467" s="684"/>
      <c r="CT467" s="683"/>
      <c r="CU467" s="684"/>
      <c r="CV467" s="683"/>
      <c r="CW467" s="684"/>
      <c r="CX467" s="683"/>
      <c r="CY467" s="684"/>
      <c r="CZ467" s="683"/>
      <c r="DA467" s="684"/>
      <c r="DB467" s="684"/>
      <c r="DC467" s="683"/>
      <c r="DD467" s="684"/>
      <c r="DE467" s="683"/>
      <c r="DF467" s="684"/>
      <c r="DG467" s="683"/>
      <c r="DH467" s="684"/>
      <c r="DI467" s="683"/>
      <c r="DJ467" s="684"/>
      <c r="DK467" s="683"/>
      <c r="DL467" s="684"/>
      <c r="DM467" s="683"/>
      <c r="DN467" s="684"/>
      <c r="DO467" s="683"/>
      <c r="DP467" s="684"/>
      <c r="DQ467" s="683"/>
      <c r="DR467" s="684"/>
      <c r="DS467" s="683"/>
      <c r="DT467" s="684"/>
      <c r="DU467" s="683"/>
      <c r="DV467" s="684"/>
      <c r="DW467" s="683"/>
      <c r="DX467" s="684"/>
      <c r="DY467" s="683"/>
      <c r="DZ467" s="684"/>
      <c r="EA467" s="683"/>
      <c r="EB467" s="684"/>
      <c r="EC467" s="683"/>
      <c r="ED467" s="684"/>
      <c r="EE467" s="683"/>
      <c r="EF467" s="684"/>
      <c r="EG467" s="683"/>
      <c r="EH467" s="684"/>
      <c r="EI467" s="683"/>
      <c r="EJ467" s="684"/>
      <c r="EK467" s="683"/>
      <c r="EL467" s="684"/>
      <c r="EM467" s="684"/>
    </row>
    <row r="468" spans="1:143" ht="12.75" hidden="1" customHeight="1" outlineLevel="2" x14ac:dyDescent="0.2">
      <c r="A468" s="685" t="s">
        <v>287</v>
      </c>
      <c r="B468" s="4"/>
      <c r="C468" s="686"/>
      <c r="D468" s="4"/>
      <c r="E468" s="686"/>
      <c r="F468" s="4"/>
      <c r="G468" s="686"/>
      <c r="H468" s="4"/>
      <c r="I468" s="686"/>
      <c r="J468" s="4"/>
      <c r="K468" s="686"/>
      <c r="L468" s="4"/>
      <c r="M468" s="686"/>
      <c r="N468" s="4"/>
      <c r="O468" s="686"/>
      <c r="P468" s="4"/>
      <c r="Q468" s="686"/>
      <c r="R468" s="4"/>
      <c r="S468" s="686"/>
      <c r="T468" s="4"/>
      <c r="U468" s="686"/>
      <c r="V468" s="4"/>
      <c r="W468" s="686"/>
      <c r="X468" s="4"/>
      <c r="Y468" s="686"/>
      <c r="Z468" s="4"/>
      <c r="AA468" s="686"/>
      <c r="AB468" s="4"/>
      <c r="AC468" s="686"/>
      <c r="AD468" s="4"/>
      <c r="AE468" s="686"/>
      <c r="AF468" s="4"/>
      <c r="AG468" s="686"/>
      <c r="AH468" s="4"/>
      <c r="AI468" s="686"/>
      <c r="AJ468" s="4"/>
      <c r="AK468" s="686"/>
      <c r="AL468" s="4"/>
      <c r="AM468" s="686"/>
      <c r="AN468" s="4"/>
      <c r="AO468" s="686"/>
      <c r="AP468" s="4"/>
      <c r="AQ468" s="686"/>
      <c r="AR468" s="4"/>
      <c r="AS468" s="686"/>
      <c r="AT468" s="4"/>
      <c r="AU468" s="686"/>
      <c r="AV468" s="4"/>
      <c r="AW468" s="686"/>
      <c r="AX468" s="4"/>
      <c r="AY468" s="686"/>
      <c r="AZ468" s="4"/>
      <c r="BA468" s="686"/>
      <c r="BB468" s="4"/>
      <c r="BC468" s="686"/>
      <c r="BD468" s="4"/>
      <c r="BE468" s="686"/>
      <c r="BF468" s="4"/>
      <c r="BG468" s="686"/>
      <c r="BH468" s="4"/>
      <c r="BI468" s="686"/>
      <c r="BJ468" s="4"/>
      <c r="BK468" s="686"/>
      <c r="BL468" s="4"/>
      <c r="BM468" s="686"/>
      <c r="BN468" s="4"/>
      <c r="BO468" s="686"/>
      <c r="BP468" s="4"/>
      <c r="BQ468" s="686"/>
      <c r="BR468" s="4"/>
      <c r="BS468" s="686"/>
      <c r="BT468" s="4"/>
      <c r="BU468" s="686"/>
      <c r="BV468" s="4"/>
      <c r="BW468" s="686"/>
      <c r="BX468" s="4"/>
      <c r="BY468" s="686"/>
      <c r="BZ468" s="4"/>
      <c r="CA468" s="686"/>
      <c r="CB468" s="4"/>
      <c r="CC468" s="686"/>
      <c r="CD468" s="4"/>
      <c r="CE468" s="686"/>
      <c r="CF468" s="4"/>
      <c r="CG468" s="686"/>
      <c r="CH468" s="4"/>
      <c r="CI468" s="686"/>
      <c r="CJ468" s="4"/>
      <c r="CK468" s="686"/>
      <c r="CL468" s="4"/>
      <c r="CM468" s="686"/>
      <c r="CN468" s="4"/>
      <c r="CO468" s="686"/>
      <c r="CP468" s="4"/>
      <c r="CQ468" s="686"/>
      <c r="CR468" s="4"/>
      <c r="CS468" s="686"/>
      <c r="CT468" s="4"/>
      <c r="CU468" s="686"/>
      <c r="CV468" s="4"/>
      <c r="CW468" s="686"/>
      <c r="CX468" s="4"/>
      <c r="CY468" s="686"/>
      <c r="CZ468" s="4"/>
      <c r="DA468" s="686"/>
      <c r="DB468" s="686"/>
      <c r="DC468" s="4"/>
      <c r="DD468" s="686"/>
      <c r="DE468" s="4"/>
      <c r="DF468" s="686"/>
      <c r="DG468" s="4"/>
      <c r="DH468" s="686"/>
      <c r="DI468" s="4"/>
      <c r="DJ468" s="686"/>
      <c r="DK468" s="4"/>
      <c r="DL468" s="686"/>
      <c r="DM468" s="4"/>
      <c r="DN468" s="686"/>
      <c r="DO468" s="4"/>
      <c r="DP468" s="686"/>
      <c r="DQ468" s="4"/>
      <c r="DR468" s="686"/>
      <c r="DS468" s="4"/>
      <c r="DT468" s="686"/>
      <c r="DU468" s="4"/>
      <c r="DV468" s="686"/>
      <c r="DW468" s="4"/>
      <c r="DX468" s="686"/>
      <c r="DY468" s="4"/>
      <c r="DZ468" s="686"/>
      <c r="EA468" s="4"/>
      <c r="EB468" s="686"/>
      <c r="EC468" s="4"/>
      <c r="ED468" s="686"/>
      <c r="EE468" s="4"/>
      <c r="EF468" s="686"/>
      <c r="EG468" s="4"/>
      <c r="EH468" s="686"/>
      <c r="EI468" s="4"/>
      <c r="EJ468" s="686"/>
      <c r="EK468" s="4"/>
      <c r="EL468" s="686"/>
      <c r="EM468" s="686"/>
    </row>
    <row r="469" spans="1:143" ht="12.75" hidden="1" customHeight="1" outlineLevel="2" x14ac:dyDescent="0.2">
      <c r="A469" s="703" t="str">
        <f>A$3</f>
        <v>($Millions Except Per Share Data)</v>
      </c>
      <c r="B469" s="704"/>
      <c r="C469" s="705" t="str">
        <f>C$3</f>
        <v>1Q06/</v>
      </c>
      <c r="D469" s="704"/>
      <c r="E469" s="705" t="str">
        <f>E$3</f>
        <v>2Q06/</v>
      </c>
      <c r="F469" s="704"/>
      <c r="G469" s="705" t="str">
        <f>G$3</f>
        <v>3Q06/</v>
      </c>
      <c r="H469" s="704"/>
      <c r="I469" s="705" t="str">
        <f>I$3</f>
        <v>4Q06/</v>
      </c>
      <c r="J469" s="704"/>
      <c r="K469" s="705" t="str">
        <f>K$3</f>
        <v>1Q07/</v>
      </c>
      <c r="L469" s="704"/>
      <c r="M469" s="705" t="str">
        <f>M$3</f>
        <v>2Q07/</v>
      </c>
      <c r="N469" s="704"/>
      <c r="O469" s="705" t="str">
        <f>O$3</f>
        <v>3Q07/</v>
      </c>
      <c r="P469" s="704"/>
      <c r="Q469" s="705" t="str">
        <f>Q$3</f>
        <v>4Q07/</v>
      </c>
      <c r="R469" s="704"/>
      <c r="S469" s="705" t="str">
        <f>S$3</f>
        <v>1Q08/</v>
      </c>
      <c r="T469" s="704"/>
      <c r="U469" s="705" t="str">
        <f>U$3</f>
        <v>2Q08/</v>
      </c>
      <c r="V469" s="704"/>
      <c r="W469" s="705" t="str">
        <f>W$3</f>
        <v>3Q08/</v>
      </c>
      <c r="X469" s="704"/>
      <c r="Y469" s="705" t="str">
        <f>Y$3</f>
        <v>4Q08/</v>
      </c>
      <c r="Z469" s="704"/>
      <c r="AA469" s="705" t="str">
        <f>AA$3</f>
        <v>1Q09/</v>
      </c>
      <c r="AB469" s="704"/>
      <c r="AC469" s="705" t="str">
        <f>AC$3</f>
        <v>2Q09/</v>
      </c>
      <c r="AD469" s="704"/>
      <c r="AE469" s="705" t="str">
        <f>AE$3</f>
        <v>3Q09/</v>
      </c>
      <c r="AF469" s="704"/>
      <c r="AG469" s="705" t="str">
        <f>AG$3</f>
        <v>4Q09/</v>
      </c>
      <c r="AH469" s="704"/>
      <c r="AI469" s="705" t="str">
        <f>AI$3</f>
        <v>1Q10/</v>
      </c>
      <c r="AJ469" s="704"/>
      <c r="AK469" s="705" t="str">
        <f>AK$3</f>
        <v>2Q10/</v>
      </c>
      <c r="AL469" s="704"/>
      <c r="AM469" s="705" t="str">
        <f>AM$3</f>
        <v>3Q10/</v>
      </c>
      <c r="AN469" s="704"/>
      <c r="AO469" s="705" t="str">
        <f>AO$3</f>
        <v>4Q10/</v>
      </c>
      <c r="AP469" s="704"/>
      <c r="AQ469" s="705" t="str">
        <f>AQ$3</f>
        <v>1Q11/</v>
      </c>
      <c r="AR469" s="704"/>
      <c r="AS469" s="705" t="str">
        <f>AS$3</f>
        <v>2Q11/</v>
      </c>
      <c r="AT469" s="704"/>
      <c r="AU469" s="705" t="str">
        <f>AU$3</f>
        <v>3Q11/</v>
      </c>
      <c r="AV469" s="704"/>
      <c r="AW469" s="705" t="str">
        <f>AW$3</f>
        <v>4Q11/</v>
      </c>
      <c r="AX469" s="704"/>
      <c r="AY469" s="705" t="str">
        <f>AY$3</f>
        <v>1Q12/</v>
      </c>
      <c r="AZ469" s="704"/>
      <c r="BA469" s="705" t="str">
        <f>BA$3</f>
        <v>2Q12/</v>
      </c>
      <c r="BB469" s="704"/>
      <c r="BC469" s="705" t="str">
        <f>BC$3</f>
        <v>3Q12/</v>
      </c>
      <c r="BD469" s="704"/>
      <c r="BE469" s="705" t="str">
        <f>BE$3</f>
        <v>4Q12/</v>
      </c>
      <c r="BF469" s="704"/>
      <c r="BG469" s="705" t="str">
        <f>BG$3</f>
        <v>1Q13/</v>
      </c>
      <c r="BH469" s="704"/>
      <c r="BI469" s="705" t="str">
        <f>BI$3</f>
        <v>2Q13/</v>
      </c>
      <c r="BJ469" s="704"/>
      <c r="BK469" s="705" t="str">
        <f>BK$3</f>
        <v>3Q13/</v>
      </c>
      <c r="BL469" s="704"/>
      <c r="BM469" s="705" t="str">
        <f>BM$3</f>
        <v>4Q13/</v>
      </c>
      <c r="BN469" s="704"/>
      <c r="BO469" s="705" t="str">
        <f>BO$3</f>
        <v>1Q14/</v>
      </c>
      <c r="BP469" s="704"/>
      <c r="BQ469" s="705" t="str">
        <f>BQ$3</f>
        <v>2Q14/</v>
      </c>
      <c r="BR469" s="704"/>
      <c r="BS469" s="705" t="str">
        <f>BS$3</f>
        <v>3Q14/</v>
      </c>
      <c r="BT469" s="704"/>
      <c r="BU469" s="705" t="str">
        <f>BU$3</f>
        <v>4Q14/</v>
      </c>
      <c r="BV469" s="704"/>
      <c r="BW469" s="705" t="str">
        <f>BW$3</f>
        <v>1Q15/</v>
      </c>
      <c r="BX469" s="704"/>
      <c r="BY469" s="705" t="str">
        <f>BY$3</f>
        <v>2Q15/</v>
      </c>
      <c r="BZ469" s="704"/>
      <c r="CA469" s="705" t="str">
        <f>CA$3</f>
        <v>3Q15/</v>
      </c>
      <c r="CB469" s="704"/>
      <c r="CC469" s="705" t="str">
        <f>CC$3</f>
        <v>4Q15/</v>
      </c>
      <c r="CD469" s="704"/>
      <c r="CE469" s="705" t="str">
        <f>CE$3</f>
        <v>1Q16/</v>
      </c>
      <c r="CF469" s="704"/>
      <c r="CG469" s="705" t="str">
        <f>CG$3</f>
        <v>2Q16/</v>
      </c>
      <c r="CH469" s="704"/>
      <c r="CI469" s="705" t="str">
        <f>CI$3</f>
        <v>3Q16/</v>
      </c>
      <c r="CJ469" s="704"/>
      <c r="CK469" s="705" t="str">
        <f>CK$3</f>
        <v>4Q16/</v>
      </c>
      <c r="CL469" s="704"/>
      <c r="CM469" s="705" t="str">
        <f>CM$3</f>
        <v>1Q17/</v>
      </c>
      <c r="CN469" s="704"/>
      <c r="CO469" s="705" t="str">
        <f t="shared" ref="CO469" si="216">CO$3</f>
        <v>2Q17/</v>
      </c>
      <c r="CP469" s="704"/>
      <c r="CQ469" s="705" t="str">
        <f t="shared" ref="CQ469" si="217">CQ$3</f>
        <v>3Q17/</v>
      </c>
      <c r="CR469" s="704"/>
      <c r="CS469" s="705" t="str">
        <f t="shared" ref="CS469" si="218">CS$3</f>
        <v>4Q17/</v>
      </c>
      <c r="CT469" s="704"/>
      <c r="CU469" s="705" t="str">
        <f>CU$3</f>
        <v>1Q18E/</v>
      </c>
      <c r="CV469" s="704"/>
      <c r="CW469" s="705" t="str">
        <f t="shared" ref="CW469" si="219">CW$3</f>
        <v>2Q18E/</v>
      </c>
      <c r="CX469" s="704"/>
      <c r="CY469" s="705" t="str">
        <f t="shared" ref="CY469" si="220">CY$3</f>
        <v>3Q18E/</v>
      </c>
      <c r="CZ469" s="704"/>
      <c r="DA469" s="705" t="str">
        <f t="shared" ref="DA469" si="221">DA$3</f>
        <v>4Q18E/</v>
      </c>
      <c r="DB469" s="704"/>
      <c r="DC469" s="704"/>
      <c r="DD469" s="705" t="str">
        <f>DD$3</f>
        <v>2005/</v>
      </c>
      <c r="DE469" s="704"/>
      <c r="DF469" s="705" t="str">
        <f>DF$3</f>
        <v>2006/</v>
      </c>
      <c r="DG469" s="704"/>
      <c r="DH469" s="705" t="str">
        <f>DH$3</f>
        <v>2007/</v>
      </c>
      <c r="DI469" s="704"/>
      <c r="DJ469" s="705" t="str">
        <f>DJ$3</f>
        <v>2008/</v>
      </c>
      <c r="DK469" s="704"/>
      <c r="DL469" s="705" t="str">
        <f>DL$3</f>
        <v>2009/</v>
      </c>
      <c r="DM469" s="704"/>
      <c r="DN469" s="705" t="str">
        <f>DN$3</f>
        <v>2010/</v>
      </c>
      <c r="DO469" s="704"/>
      <c r="DP469" s="705" t="str">
        <f>DP$3</f>
        <v>2011/</v>
      </c>
      <c r="DQ469" s="704"/>
      <c r="DR469" s="705" t="str">
        <f>DR$3</f>
        <v>2012/</v>
      </c>
      <c r="DS469" s="704"/>
      <c r="DT469" s="705" t="str">
        <f>DT$3</f>
        <v>2013/</v>
      </c>
      <c r="DU469" s="704"/>
      <c r="DV469" s="705" t="str">
        <f>DV$3</f>
        <v>2014/</v>
      </c>
      <c r="DW469" s="704"/>
      <c r="DX469" s="705" t="str">
        <f>DX$3</f>
        <v>2015/</v>
      </c>
      <c r="DY469" s="704"/>
      <c r="DZ469" s="705" t="str">
        <f>DZ$3</f>
        <v>2016/</v>
      </c>
      <c r="EA469" s="704"/>
      <c r="EB469" s="705" t="str">
        <f>EB$3</f>
        <v>2017/</v>
      </c>
      <c r="EC469" s="704"/>
      <c r="ED469" s="705" t="str">
        <f>ED$3</f>
        <v>2018E/</v>
      </c>
      <c r="EE469" s="704"/>
      <c r="EF469" s="705" t="str">
        <f>EF$3</f>
        <v>2019E/</v>
      </c>
      <c r="EG469" s="704"/>
      <c r="EH469" s="705" t="str">
        <f>EH$3</f>
        <v>2020E/</v>
      </c>
      <c r="EI469" s="704"/>
      <c r="EJ469" s="705" t="str">
        <f>EJ$3</f>
        <v>2021E/</v>
      </c>
      <c r="EK469" s="704"/>
      <c r="EL469" s="705" t="str">
        <f>EL$3</f>
        <v>2022E/</v>
      </c>
      <c r="EM469" s="705" t="str">
        <f>EM$3</f>
        <v>5-Yr</v>
      </c>
    </row>
    <row r="470" spans="1:143" ht="12.75" hidden="1" customHeight="1" outlineLevel="2" x14ac:dyDescent="0.2">
      <c r="A470" s="693"/>
      <c r="B470" s="692"/>
      <c r="C470" s="686" t="str">
        <f>C$4</f>
        <v>1Q05</v>
      </c>
      <c r="D470" s="692"/>
      <c r="E470" s="686" t="str">
        <f>E$4</f>
        <v>2Q05</v>
      </c>
      <c r="F470" s="692"/>
      <c r="G470" s="686" t="str">
        <f>G$4</f>
        <v>3Q05</v>
      </c>
      <c r="H470" s="692"/>
      <c r="I470" s="686" t="str">
        <f>I$4</f>
        <v>4Q05</v>
      </c>
      <c r="J470" s="692"/>
      <c r="K470" s="686" t="str">
        <f>K$4</f>
        <v>1Q06</v>
      </c>
      <c r="L470" s="692"/>
      <c r="M470" s="686" t="str">
        <f>M$4</f>
        <v>2Q06</v>
      </c>
      <c r="N470" s="692"/>
      <c r="O470" s="686" t="str">
        <f>O$4</f>
        <v>3Q06</v>
      </c>
      <c r="P470" s="692"/>
      <c r="Q470" s="686" t="str">
        <f>Q$4</f>
        <v>4Q06</v>
      </c>
      <c r="R470" s="692"/>
      <c r="S470" s="686" t="str">
        <f>S$4</f>
        <v>1Q07</v>
      </c>
      <c r="T470" s="692"/>
      <c r="U470" s="686" t="str">
        <f>U$4</f>
        <v>2Q07</v>
      </c>
      <c r="V470" s="692"/>
      <c r="W470" s="686" t="str">
        <f>W$4</f>
        <v>3Q07</v>
      </c>
      <c r="X470" s="692"/>
      <c r="Y470" s="686" t="str">
        <f>Y$4</f>
        <v>4Q07</v>
      </c>
      <c r="Z470" s="692"/>
      <c r="AA470" s="686" t="str">
        <f>AA$4</f>
        <v>1Q08</v>
      </c>
      <c r="AB470" s="692"/>
      <c r="AC470" s="686" t="str">
        <f>AC$4</f>
        <v>2Q08</v>
      </c>
      <c r="AD470" s="692"/>
      <c r="AE470" s="686" t="str">
        <f>AE$4</f>
        <v>3Q08</v>
      </c>
      <c r="AF470" s="692"/>
      <c r="AG470" s="686" t="str">
        <f>AG$4</f>
        <v>4Q08</v>
      </c>
      <c r="AH470" s="692"/>
      <c r="AI470" s="686" t="str">
        <f>AI$4</f>
        <v>1Q09</v>
      </c>
      <c r="AJ470" s="692"/>
      <c r="AK470" s="686" t="str">
        <f>AK$4</f>
        <v>2Q09</v>
      </c>
      <c r="AL470" s="692"/>
      <c r="AM470" s="686" t="str">
        <f>AM$4</f>
        <v>3Q09</v>
      </c>
      <c r="AN470" s="692"/>
      <c r="AO470" s="686" t="str">
        <f>AO$4</f>
        <v>4Q09</v>
      </c>
      <c r="AP470" s="692"/>
      <c r="AQ470" s="686" t="str">
        <f>AQ$4</f>
        <v>1Q10</v>
      </c>
      <c r="AR470" s="692"/>
      <c r="AS470" s="686" t="str">
        <f>AS$4</f>
        <v>2Q10</v>
      </c>
      <c r="AT470" s="692"/>
      <c r="AU470" s="686" t="str">
        <f>AU$4</f>
        <v>3Q10</v>
      </c>
      <c r="AV470" s="692"/>
      <c r="AW470" s="686" t="str">
        <f>AW$4</f>
        <v>4Q10</v>
      </c>
      <c r="AX470" s="692"/>
      <c r="AY470" s="686" t="str">
        <f>AY$4</f>
        <v>1Q11</v>
      </c>
      <c r="AZ470" s="692"/>
      <c r="BA470" s="686" t="str">
        <f>BA$4</f>
        <v>2Q11</v>
      </c>
      <c r="BB470" s="692"/>
      <c r="BC470" s="686" t="str">
        <f>BC$4</f>
        <v>3Q11</v>
      </c>
      <c r="BD470" s="692"/>
      <c r="BE470" s="686" t="str">
        <f>BE$4</f>
        <v>4Q11</v>
      </c>
      <c r="BF470" s="692"/>
      <c r="BG470" s="686" t="str">
        <f>BG$4</f>
        <v>1Q12</v>
      </c>
      <c r="BH470" s="692"/>
      <c r="BI470" s="686" t="str">
        <f>BI$4</f>
        <v>2Q12</v>
      </c>
      <c r="BJ470" s="692"/>
      <c r="BK470" s="686" t="str">
        <f>BK$4</f>
        <v>3Q12</v>
      </c>
      <c r="BL470" s="692"/>
      <c r="BM470" s="686" t="str">
        <f>BM$4</f>
        <v>4Q12</v>
      </c>
      <c r="BN470" s="692"/>
      <c r="BO470" s="686" t="str">
        <f>BO$4</f>
        <v>1Q13</v>
      </c>
      <c r="BP470" s="692"/>
      <c r="BQ470" s="686" t="str">
        <f>BQ$4</f>
        <v>2Q13</v>
      </c>
      <c r="BR470" s="692"/>
      <c r="BS470" s="686" t="str">
        <f>BS$4</f>
        <v>3Q13</v>
      </c>
      <c r="BT470" s="692"/>
      <c r="BU470" s="686" t="str">
        <f>BU$4</f>
        <v>4Q13</v>
      </c>
      <c r="BV470" s="692"/>
      <c r="BW470" s="686" t="str">
        <f>BW$4</f>
        <v>1Q14</v>
      </c>
      <c r="BX470" s="692"/>
      <c r="BY470" s="686" t="str">
        <f>BY$4</f>
        <v>2Q14</v>
      </c>
      <c r="BZ470" s="692"/>
      <c r="CA470" s="686" t="str">
        <f>CA$4</f>
        <v>3Q14</v>
      </c>
      <c r="CB470" s="692"/>
      <c r="CC470" s="686" t="str">
        <f>CC$4</f>
        <v>4Q14</v>
      </c>
      <c r="CD470" s="692"/>
      <c r="CE470" s="686" t="str">
        <f>CE$4</f>
        <v>1Q15</v>
      </c>
      <c r="CF470" s="692"/>
      <c r="CG470" s="686" t="str">
        <f>CG$4</f>
        <v>2Q15</v>
      </c>
      <c r="CH470" s="692"/>
      <c r="CI470" s="686" t="str">
        <f>CI$4</f>
        <v>3Q15</v>
      </c>
      <c r="CJ470" s="692"/>
      <c r="CK470" s="686" t="str">
        <f>CK$4</f>
        <v>4Q15</v>
      </c>
      <c r="CL470" s="692"/>
      <c r="CM470" s="686" t="str">
        <f>CM$4</f>
        <v>1Q16</v>
      </c>
      <c r="CN470" s="692"/>
      <c r="CO470" s="686" t="str">
        <f t="shared" ref="CO470" si="222">CO$4</f>
        <v>2Q16</v>
      </c>
      <c r="CP470" s="692"/>
      <c r="CQ470" s="686" t="str">
        <f t="shared" ref="CQ470" si="223">CQ$4</f>
        <v>3Q16</v>
      </c>
      <c r="CR470" s="692"/>
      <c r="CS470" s="686" t="str">
        <f t="shared" ref="CS470" si="224">CS$4</f>
        <v>4Q16</v>
      </c>
      <c r="CT470" s="692"/>
      <c r="CU470" s="686" t="str">
        <f>CU$4</f>
        <v>1Q17</v>
      </c>
      <c r="CV470" s="692"/>
      <c r="CW470" s="686" t="str">
        <f t="shared" ref="CW470" si="225">CW$4</f>
        <v>2Q17</v>
      </c>
      <c r="CX470" s="692"/>
      <c r="CY470" s="686" t="str">
        <f t="shared" ref="CY470" si="226">CY$4</f>
        <v>3Q17</v>
      </c>
      <c r="CZ470" s="692"/>
      <c r="DA470" s="686" t="str">
        <f t="shared" ref="DA470" si="227">DA$4</f>
        <v>4Q17</v>
      </c>
      <c r="DB470" s="692"/>
      <c r="DC470" s="692"/>
      <c r="DD470" s="686">
        <f>DD$4</f>
        <v>2004</v>
      </c>
      <c r="DE470" s="692"/>
      <c r="DF470" s="686">
        <f>DF$4</f>
        <v>2005</v>
      </c>
      <c r="DG470" s="692"/>
      <c r="DH470" s="686">
        <f>DH$4</f>
        <v>2006</v>
      </c>
      <c r="DI470" s="692"/>
      <c r="DJ470" s="686">
        <f>DJ$4</f>
        <v>2007</v>
      </c>
      <c r="DK470" s="692"/>
      <c r="DL470" s="686">
        <f>DL$4</f>
        <v>2008</v>
      </c>
      <c r="DM470" s="692"/>
      <c r="DN470" s="686" t="str">
        <f>DN$4</f>
        <v>2009</v>
      </c>
      <c r="DO470" s="692"/>
      <c r="DP470" s="686" t="str">
        <f>DP$4</f>
        <v>2010</v>
      </c>
      <c r="DQ470" s="692"/>
      <c r="DR470" s="686" t="str">
        <f>DR$4</f>
        <v>2011</v>
      </c>
      <c r="DS470" s="692"/>
      <c r="DT470" s="686" t="str">
        <f>DT$4</f>
        <v>2012</v>
      </c>
      <c r="DU470" s="692"/>
      <c r="DV470" s="686" t="str">
        <f>DV$4</f>
        <v>2013</v>
      </c>
      <c r="DW470" s="692"/>
      <c r="DX470" s="686" t="str">
        <f>DX$4</f>
        <v>2014</v>
      </c>
      <c r="DY470" s="692"/>
      <c r="DZ470" s="686" t="str">
        <f>DZ$4</f>
        <v>2015</v>
      </c>
      <c r="EA470" s="692"/>
      <c r="EB470" s="686" t="str">
        <f>EB$4</f>
        <v>2016</v>
      </c>
      <c r="EC470" s="692"/>
      <c r="ED470" s="686" t="str">
        <f>ED$4</f>
        <v>2017</v>
      </c>
      <c r="EE470" s="692"/>
      <c r="EF470" s="686" t="str">
        <f>EF$4</f>
        <v>2018E</v>
      </c>
      <c r="EG470" s="692"/>
      <c r="EH470" s="686" t="str">
        <f>EH$4</f>
        <v>2019E</v>
      </c>
      <c r="EI470" s="692"/>
      <c r="EJ470" s="686" t="str">
        <f>EJ$4</f>
        <v>2020E</v>
      </c>
      <c r="EK470" s="692"/>
      <c r="EL470" s="686" t="str">
        <f>EL$4</f>
        <v>2021E</v>
      </c>
      <c r="EM470" s="686" t="str">
        <f>EM$4</f>
        <v>CAGR</v>
      </c>
    </row>
    <row r="471" spans="1:143" ht="12.75" hidden="1" customHeight="1" outlineLevel="2" x14ac:dyDescent="0.2">
      <c r="A471" s="694"/>
      <c r="B471" s="695" t="str">
        <f t="shared" ref="B471:BN471" si="228">B$5</f>
        <v>1Q06</v>
      </c>
      <c r="C471" s="696" t="str">
        <f t="shared" si="228"/>
        <v>% Chg</v>
      </c>
      <c r="D471" s="695" t="str">
        <f t="shared" si="228"/>
        <v>2Q06</v>
      </c>
      <c r="E471" s="696" t="str">
        <f t="shared" si="228"/>
        <v>% Chg</v>
      </c>
      <c r="F471" s="695" t="str">
        <f t="shared" si="228"/>
        <v>3Q06</v>
      </c>
      <c r="G471" s="696" t="str">
        <f t="shared" si="228"/>
        <v>% Chg</v>
      </c>
      <c r="H471" s="695" t="str">
        <f t="shared" si="228"/>
        <v>4Q06</v>
      </c>
      <c r="I471" s="696" t="str">
        <f t="shared" si="228"/>
        <v>% Chg</v>
      </c>
      <c r="J471" s="695" t="str">
        <f t="shared" si="228"/>
        <v>1Q07</v>
      </c>
      <c r="K471" s="696" t="str">
        <f t="shared" si="228"/>
        <v>% Chg</v>
      </c>
      <c r="L471" s="695" t="str">
        <f t="shared" si="228"/>
        <v>2Q07</v>
      </c>
      <c r="M471" s="696" t="str">
        <f t="shared" si="228"/>
        <v>% Chg</v>
      </c>
      <c r="N471" s="695" t="str">
        <f t="shared" si="228"/>
        <v>3Q07</v>
      </c>
      <c r="O471" s="696" t="str">
        <f t="shared" si="228"/>
        <v>% Chg</v>
      </c>
      <c r="P471" s="695" t="str">
        <f t="shared" si="228"/>
        <v>4Q07</v>
      </c>
      <c r="Q471" s="696" t="str">
        <f t="shared" si="228"/>
        <v>% Chg</v>
      </c>
      <c r="R471" s="695" t="str">
        <f t="shared" si="228"/>
        <v>1Q08</v>
      </c>
      <c r="S471" s="696" t="str">
        <f t="shared" si="228"/>
        <v>% Chg</v>
      </c>
      <c r="T471" s="695" t="str">
        <f t="shared" si="228"/>
        <v>2Q08</v>
      </c>
      <c r="U471" s="696" t="str">
        <f t="shared" si="228"/>
        <v>% Chg</v>
      </c>
      <c r="V471" s="695" t="str">
        <f t="shared" si="228"/>
        <v>3Q08</v>
      </c>
      <c r="W471" s="696" t="str">
        <f t="shared" si="228"/>
        <v>% Chg</v>
      </c>
      <c r="X471" s="695" t="str">
        <f t="shared" si="228"/>
        <v>4Q08</v>
      </c>
      <c r="Y471" s="696" t="str">
        <f t="shared" si="228"/>
        <v>% Chg</v>
      </c>
      <c r="Z471" s="695" t="str">
        <f t="shared" si="228"/>
        <v>1Q09</v>
      </c>
      <c r="AA471" s="696" t="str">
        <f t="shared" si="228"/>
        <v>% Chg</v>
      </c>
      <c r="AB471" s="695" t="str">
        <f t="shared" si="228"/>
        <v>2Q09</v>
      </c>
      <c r="AC471" s="696" t="str">
        <f t="shared" si="228"/>
        <v>% Chg</v>
      </c>
      <c r="AD471" s="695" t="str">
        <f t="shared" si="228"/>
        <v>3Q09</v>
      </c>
      <c r="AE471" s="696" t="str">
        <f t="shared" si="228"/>
        <v>% Chg</v>
      </c>
      <c r="AF471" s="695" t="str">
        <f t="shared" si="228"/>
        <v>4Q09</v>
      </c>
      <c r="AG471" s="696" t="str">
        <f t="shared" si="228"/>
        <v>% Chg</v>
      </c>
      <c r="AH471" s="695" t="str">
        <f t="shared" si="228"/>
        <v>1Q10</v>
      </c>
      <c r="AI471" s="696" t="str">
        <f t="shared" si="228"/>
        <v>% Chg</v>
      </c>
      <c r="AJ471" s="695" t="str">
        <f t="shared" si="228"/>
        <v>2Q10</v>
      </c>
      <c r="AK471" s="696" t="str">
        <f t="shared" si="228"/>
        <v>% Chg</v>
      </c>
      <c r="AL471" s="695" t="str">
        <f t="shared" si="228"/>
        <v>3Q10</v>
      </c>
      <c r="AM471" s="696" t="str">
        <f t="shared" si="228"/>
        <v>% Chg</v>
      </c>
      <c r="AN471" s="695" t="str">
        <f t="shared" si="228"/>
        <v>4Q10</v>
      </c>
      <c r="AO471" s="696" t="str">
        <f t="shared" si="228"/>
        <v>% Chg</v>
      </c>
      <c r="AP471" s="695" t="str">
        <f t="shared" si="228"/>
        <v>1Q11</v>
      </c>
      <c r="AQ471" s="696" t="str">
        <f t="shared" si="228"/>
        <v>% Chg</v>
      </c>
      <c r="AR471" s="695" t="str">
        <f t="shared" si="228"/>
        <v>2Q11</v>
      </c>
      <c r="AS471" s="696" t="str">
        <f t="shared" si="228"/>
        <v>% Chg</v>
      </c>
      <c r="AT471" s="695" t="str">
        <f t="shared" si="228"/>
        <v>3Q11</v>
      </c>
      <c r="AU471" s="696" t="str">
        <f t="shared" si="228"/>
        <v>% Chg</v>
      </c>
      <c r="AV471" s="695" t="str">
        <f t="shared" si="228"/>
        <v>4Q11</v>
      </c>
      <c r="AW471" s="696" t="str">
        <f t="shared" si="228"/>
        <v>% Chg</v>
      </c>
      <c r="AX471" s="695" t="str">
        <f t="shared" si="228"/>
        <v>1Q12</v>
      </c>
      <c r="AY471" s="696" t="str">
        <f t="shared" si="228"/>
        <v>% Chg</v>
      </c>
      <c r="AZ471" s="695" t="str">
        <f t="shared" si="228"/>
        <v>2Q12</v>
      </c>
      <c r="BA471" s="696" t="str">
        <f t="shared" si="228"/>
        <v>% Chg</v>
      </c>
      <c r="BB471" s="695" t="str">
        <f t="shared" si="228"/>
        <v>3Q12</v>
      </c>
      <c r="BC471" s="696" t="str">
        <f t="shared" si="228"/>
        <v>% Chg</v>
      </c>
      <c r="BD471" s="695" t="str">
        <f t="shared" si="228"/>
        <v>4Q12</v>
      </c>
      <c r="BE471" s="696" t="str">
        <f t="shared" si="228"/>
        <v>% Chg</v>
      </c>
      <c r="BF471" s="695" t="str">
        <f t="shared" si="228"/>
        <v>1Q13</v>
      </c>
      <c r="BG471" s="696" t="str">
        <f t="shared" si="228"/>
        <v>% Chg</v>
      </c>
      <c r="BH471" s="695" t="str">
        <f t="shared" si="228"/>
        <v>2Q13</v>
      </c>
      <c r="BI471" s="696" t="str">
        <f t="shared" si="228"/>
        <v>% Chg</v>
      </c>
      <c r="BJ471" s="695" t="str">
        <f t="shared" si="228"/>
        <v>3Q13</v>
      </c>
      <c r="BK471" s="696" t="str">
        <f t="shared" si="228"/>
        <v>% Chg</v>
      </c>
      <c r="BL471" s="695" t="str">
        <f t="shared" si="228"/>
        <v>4Q13</v>
      </c>
      <c r="BM471" s="696" t="str">
        <f t="shared" si="228"/>
        <v>% Chg</v>
      </c>
      <c r="BN471" s="695" t="str">
        <f t="shared" si="228"/>
        <v>1Q14</v>
      </c>
      <c r="BO471" s="696" t="str">
        <f t="shared" ref="BO471:DA471" si="229">BO$5</f>
        <v>% Chg</v>
      </c>
      <c r="BP471" s="695" t="str">
        <f t="shared" si="229"/>
        <v>2Q14</v>
      </c>
      <c r="BQ471" s="696" t="str">
        <f t="shared" si="229"/>
        <v>% Chg</v>
      </c>
      <c r="BR471" s="695" t="str">
        <f t="shared" si="229"/>
        <v>3Q14</v>
      </c>
      <c r="BS471" s="696" t="str">
        <f t="shared" si="229"/>
        <v>% Chg</v>
      </c>
      <c r="BT471" s="695" t="str">
        <f t="shared" si="229"/>
        <v>4Q14</v>
      </c>
      <c r="BU471" s="696" t="str">
        <f t="shared" si="229"/>
        <v>% Chg</v>
      </c>
      <c r="BV471" s="695" t="str">
        <f t="shared" si="229"/>
        <v>1Q15</v>
      </c>
      <c r="BW471" s="696" t="str">
        <f t="shared" si="229"/>
        <v>% Chg</v>
      </c>
      <c r="BX471" s="695" t="str">
        <f t="shared" si="229"/>
        <v>2Q15</v>
      </c>
      <c r="BY471" s="696" t="str">
        <f t="shared" si="229"/>
        <v>% Chg</v>
      </c>
      <c r="BZ471" s="695" t="str">
        <f t="shared" si="229"/>
        <v>3Q15</v>
      </c>
      <c r="CA471" s="696" t="str">
        <f t="shared" si="229"/>
        <v>% Chg</v>
      </c>
      <c r="CB471" s="695" t="str">
        <f t="shared" si="229"/>
        <v>4Q15</v>
      </c>
      <c r="CC471" s="696" t="str">
        <f t="shared" si="229"/>
        <v>% Chg</v>
      </c>
      <c r="CD471" s="695" t="str">
        <f t="shared" si="229"/>
        <v>1Q16</v>
      </c>
      <c r="CE471" s="696" t="str">
        <f t="shared" si="229"/>
        <v>% Chg</v>
      </c>
      <c r="CF471" s="695" t="str">
        <f t="shared" si="229"/>
        <v>2Q16</v>
      </c>
      <c r="CG471" s="696" t="str">
        <f t="shared" si="229"/>
        <v>% Chg</v>
      </c>
      <c r="CH471" s="695" t="str">
        <f t="shared" si="229"/>
        <v>3Q16</v>
      </c>
      <c r="CI471" s="696" t="str">
        <f t="shared" si="229"/>
        <v>% Chg</v>
      </c>
      <c r="CJ471" s="695" t="str">
        <f t="shared" si="229"/>
        <v>4Q16</v>
      </c>
      <c r="CK471" s="696" t="str">
        <f t="shared" si="229"/>
        <v>% Chg</v>
      </c>
      <c r="CL471" s="695" t="str">
        <f t="shared" si="229"/>
        <v>1Q17</v>
      </c>
      <c r="CM471" s="696" t="str">
        <f t="shared" si="229"/>
        <v>% Chg</v>
      </c>
      <c r="CN471" s="695" t="str">
        <f t="shared" si="229"/>
        <v>2Q17</v>
      </c>
      <c r="CO471" s="696" t="str">
        <f t="shared" si="229"/>
        <v>% Chg</v>
      </c>
      <c r="CP471" s="695" t="str">
        <f t="shared" si="229"/>
        <v>3Q17</v>
      </c>
      <c r="CQ471" s="696" t="str">
        <f t="shared" si="229"/>
        <v>% Chg</v>
      </c>
      <c r="CR471" s="695" t="str">
        <f t="shared" si="229"/>
        <v>4Q17</v>
      </c>
      <c r="CS471" s="696" t="str">
        <f t="shared" si="229"/>
        <v>% Chg</v>
      </c>
      <c r="CT471" s="695" t="str">
        <f t="shared" si="229"/>
        <v>1Q18E</v>
      </c>
      <c r="CU471" s="696" t="str">
        <f t="shared" si="229"/>
        <v>% Chg</v>
      </c>
      <c r="CV471" s="695" t="str">
        <f t="shared" si="229"/>
        <v>2Q18E</v>
      </c>
      <c r="CW471" s="696" t="str">
        <f t="shared" si="229"/>
        <v>% Chg</v>
      </c>
      <c r="CX471" s="695" t="str">
        <f t="shared" si="229"/>
        <v>3Q18E</v>
      </c>
      <c r="CY471" s="696" t="str">
        <f t="shared" si="229"/>
        <v>% Chg</v>
      </c>
      <c r="CZ471" s="695" t="str">
        <f t="shared" si="229"/>
        <v>4Q18E</v>
      </c>
      <c r="DA471" s="696" t="str">
        <f t="shared" si="229"/>
        <v>% Chg</v>
      </c>
      <c r="DB471" s="695"/>
      <c r="DC471" s="697">
        <f t="shared" ref="DC471:EM471" si="230">DC$5</f>
        <v>2005</v>
      </c>
      <c r="DD471" s="696" t="str">
        <f t="shared" si="230"/>
        <v>% Chg</v>
      </c>
      <c r="DE471" s="698">
        <f>$DE$5</f>
        <v>2006</v>
      </c>
      <c r="DF471" s="696" t="str">
        <f>INPUT!FS$6</f>
        <v>% Chg</v>
      </c>
      <c r="DG471" s="699">
        <f>$DG$5</f>
        <v>2007</v>
      </c>
      <c r="DH471" s="696" t="str">
        <f t="shared" si="230"/>
        <v>% Chg</v>
      </c>
      <c r="DI471" s="699">
        <f t="shared" si="230"/>
        <v>2008</v>
      </c>
      <c r="DJ471" s="696" t="str">
        <f t="shared" si="230"/>
        <v>% Chg</v>
      </c>
      <c r="DK471" s="695" t="str">
        <f t="shared" si="230"/>
        <v>2009</v>
      </c>
      <c r="DL471" s="696" t="str">
        <f t="shared" si="230"/>
        <v>% Chg</v>
      </c>
      <c r="DM471" s="695" t="str">
        <f t="shared" si="230"/>
        <v>2010</v>
      </c>
      <c r="DN471" s="696" t="str">
        <f t="shared" si="230"/>
        <v>% Chg</v>
      </c>
      <c r="DO471" s="695" t="str">
        <f t="shared" si="230"/>
        <v>2011</v>
      </c>
      <c r="DP471" s="696" t="str">
        <f t="shared" si="230"/>
        <v>% Chg</v>
      </c>
      <c r="DQ471" s="695" t="str">
        <f t="shared" si="230"/>
        <v>2012</v>
      </c>
      <c r="DR471" s="696" t="str">
        <f t="shared" si="230"/>
        <v>% Chg</v>
      </c>
      <c r="DS471" s="695" t="str">
        <f t="shared" si="230"/>
        <v>2013</v>
      </c>
      <c r="DT471" s="696" t="str">
        <f t="shared" si="230"/>
        <v>% Chg</v>
      </c>
      <c r="DU471" s="695" t="str">
        <f t="shared" si="230"/>
        <v>2014</v>
      </c>
      <c r="DV471" s="696" t="str">
        <f t="shared" si="230"/>
        <v>% Chg</v>
      </c>
      <c r="DW471" s="695" t="str">
        <f t="shared" si="230"/>
        <v>2015</v>
      </c>
      <c r="DX471" s="696" t="str">
        <f t="shared" si="230"/>
        <v>% Chg</v>
      </c>
      <c r="DY471" s="695" t="str">
        <f t="shared" si="230"/>
        <v>2016</v>
      </c>
      <c r="DZ471" s="696" t="str">
        <f t="shared" si="230"/>
        <v>% Chg</v>
      </c>
      <c r="EA471" s="695" t="str">
        <f t="shared" si="230"/>
        <v>2017</v>
      </c>
      <c r="EB471" s="696" t="str">
        <f t="shared" si="230"/>
        <v>% Chg</v>
      </c>
      <c r="EC471" s="695" t="str">
        <f t="shared" si="230"/>
        <v>2018E</v>
      </c>
      <c r="ED471" s="696" t="str">
        <f t="shared" si="230"/>
        <v>% Chg</v>
      </c>
      <c r="EE471" s="695" t="str">
        <f t="shared" si="230"/>
        <v>2019E</v>
      </c>
      <c r="EF471" s="696" t="str">
        <f t="shared" si="230"/>
        <v>% Chg</v>
      </c>
      <c r="EG471" s="695" t="str">
        <f t="shared" si="230"/>
        <v>2020E</v>
      </c>
      <c r="EH471" s="696" t="str">
        <f t="shared" si="230"/>
        <v>% Chg</v>
      </c>
      <c r="EI471" s="695" t="str">
        <f t="shared" si="230"/>
        <v>2021E</v>
      </c>
      <c r="EJ471" s="696" t="str">
        <f t="shared" si="230"/>
        <v>% Chg</v>
      </c>
      <c r="EK471" s="695" t="str">
        <f t="shared" si="230"/>
        <v>2022E</v>
      </c>
      <c r="EL471" s="696" t="str">
        <f t="shared" si="230"/>
        <v>% Chg</v>
      </c>
      <c r="EM471" s="696" t="str">
        <f t="shared" si="230"/>
        <v>(%)</v>
      </c>
    </row>
    <row r="472" spans="1:143" ht="12.75" hidden="1" customHeight="1" outlineLevel="2" x14ac:dyDescent="0.2">
      <c r="A472" s="700"/>
      <c r="B472" s="16"/>
      <c r="C472" s="687"/>
      <c r="D472" s="16"/>
      <c r="E472" s="687"/>
      <c r="F472" s="16"/>
      <c r="G472" s="687"/>
      <c r="H472" s="16"/>
      <c r="I472" s="687"/>
      <c r="J472" s="16"/>
      <c r="K472" s="687"/>
      <c r="L472" s="16"/>
      <c r="M472" s="687"/>
      <c r="N472" s="16"/>
      <c r="O472" s="687"/>
      <c r="P472" s="16"/>
      <c r="Q472" s="687"/>
      <c r="R472" s="16"/>
      <c r="S472" s="687"/>
      <c r="T472" s="16"/>
      <c r="U472" s="687"/>
      <c r="V472" s="16"/>
      <c r="W472" s="687"/>
      <c r="X472" s="16"/>
      <c r="Y472" s="687"/>
      <c r="Z472" s="16"/>
      <c r="AA472" s="687"/>
      <c r="AB472" s="16"/>
      <c r="AC472" s="687"/>
      <c r="AD472" s="16"/>
      <c r="AE472" s="687"/>
      <c r="AF472" s="16"/>
      <c r="AG472" s="687"/>
      <c r="AH472" s="16"/>
      <c r="AI472" s="687"/>
      <c r="AJ472" s="16"/>
      <c r="AK472" s="687"/>
      <c r="AL472" s="16"/>
      <c r="AM472" s="687"/>
      <c r="AN472" s="16"/>
      <c r="AO472" s="687"/>
      <c r="AP472" s="16"/>
      <c r="AQ472" s="687"/>
      <c r="AR472" s="16"/>
      <c r="AS472" s="687"/>
      <c r="AT472" s="16"/>
      <c r="AU472" s="687"/>
      <c r="AV472" s="16"/>
      <c r="AW472" s="687"/>
      <c r="AX472" s="16"/>
      <c r="AY472" s="687"/>
      <c r="AZ472" s="16"/>
      <c r="BA472" s="687"/>
      <c r="BB472" s="16"/>
      <c r="BC472" s="687"/>
      <c r="BD472" s="16"/>
      <c r="BE472" s="687"/>
      <c r="BF472" s="16"/>
      <c r="BG472" s="687"/>
      <c r="BH472" s="16"/>
      <c r="BI472" s="687"/>
      <c r="BJ472" s="16"/>
      <c r="BK472" s="687"/>
      <c r="BL472" s="16"/>
      <c r="BM472" s="687"/>
      <c r="BN472" s="16"/>
      <c r="BO472" s="687"/>
      <c r="BP472" s="16"/>
      <c r="BQ472" s="687"/>
      <c r="BR472" s="16"/>
      <c r="BS472" s="687"/>
      <c r="BT472" s="16"/>
      <c r="BU472" s="687"/>
      <c r="BV472" s="16"/>
      <c r="BW472" s="687"/>
      <c r="BX472" s="16"/>
      <c r="BY472" s="687"/>
      <c r="BZ472" s="16"/>
      <c r="CA472" s="687"/>
      <c r="CB472" s="16"/>
      <c r="CC472" s="687"/>
      <c r="CD472" s="16"/>
      <c r="CE472" s="687"/>
      <c r="CF472" s="16"/>
      <c r="CG472" s="687"/>
      <c r="CH472" s="16"/>
      <c r="CI472" s="687"/>
      <c r="CJ472" s="16"/>
      <c r="CK472" s="687"/>
      <c r="CL472" s="16"/>
      <c r="CM472" s="687"/>
      <c r="CN472" s="16"/>
      <c r="CO472" s="687"/>
      <c r="CP472" s="16"/>
      <c r="CQ472" s="687"/>
      <c r="CR472" s="16"/>
      <c r="CS472" s="687"/>
      <c r="CT472" s="16"/>
      <c r="CU472" s="687"/>
      <c r="CV472" s="16"/>
      <c r="CW472" s="687"/>
      <c r="CX472" s="16"/>
      <c r="CY472" s="687"/>
      <c r="CZ472" s="16"/>
      <c r="DA472" s="687"/>
      <c r="DB472" s="16"/>
      <c r="DC472" s="16"/>
      <c r="DD472" s="687"/>
      <c r="DE472" s="16"/>
      <c r="DF472" s="687"/>
      <c r="DG472" s="16"/>
      <c r="DH472" s="687"/>
      <c r="DI472" s="16"/>
      <c r="DJ472" s="687"/>
      <c r="DK472" s="16"/>
      <c r="DL472" s="687"/>
      <c r="DM472" s="16"/>
      <c r="DN472" s="687"/>
      <c r="DO472" s="16"/>
      <c r="DP472" s="687"/>
      <c r="DQ472" s="16"/>
      <c r="DR472" s="687"/>
      <c r="DS472" s="16"/>
      <c r="DT472" s="687"/>
      <c r="DU472" s="16"/>
      <c r="DV472" s="687"/>
      <c r="DW472" s="16"/>
      <c r="DX472" s="687"/>
      <c r="DY472" s="16"/>
      <c r="DZ472" s="687"/>
      <c r="EA472" s="16"/>
      <c r="EB472" s="687"/>
      <c r="EC472" s="16"/>
      <c r="ED472" s="687"/>
      <c r="EE472" s="16"/>
      <c r="EF472" s="687"/>
      <c r="EG472" s="16"/>
      <c r="EH472" s="687"/>
      <c r="EI472" s="16"/>
      <c r="EJ472" s="687"/>
      <c r="EK472" s="16"/>
      <c r="EL472" s="687"/>
      <c r="EM472" s="687"/>
    </row>
    <row r="473" spans="1:143" ht="12.75" hidden="1" customHeight="1" outlineLevel="2" x14ac:dyDescent="0.2">
      <c r="A473" s="700" t="s">
        <v>7</v>
      </c>
      <c r="B473" s="16"/>
      <c r="C473" s="687"/>
      <c r="D473" s="16"/>
      <c r="E473" s="687"/>
      <c r="F473" s="16"/>
      <c r="G473" s="687"/>
      <c r="H473" s="16"/>
      <c r="I473" s="687"/>
      <c r="J473" s="16"/>
      <c r="K473" s="687"/>
      <c r="L473" s="16"/>
      <c r="M473" s="687"/>
      <c r="N473" s="16"/>
      <c r="O473" s="687"/>
      <c r="P473" s="16"/>
      <c r="Q473" s="687"/>
      <c r="R473" s="16"/>
      <c r="S473" s="687"/>
      <c r="T473" s="16"/>
      <c r="U473" s="687"/>
      <c r="V473" s="16"/>
      <c r="W473" s="687"/>
      <c r="X473" s="16"/>
      <c r="Y473" s="687"/>
      <c r="Z473" s="16"/>
      <c r="AA473" s="687"/>
      <c r="AB473" s="16"/>
      <c r="AC473" s="687"/>
      <c r="AD473" s="16"/>
      <c r="AE473" s="687"/>
      <c r="AF473" s="16"/>
      <c r="AG473" s="687"/>
      <c r="AH473" s="16"/>
      <c r="AI473" s="687"/>
      <c r="AJ473" s="16"/>
      <c r="AK473" s="687"/>
      <c r="AL473" s="16"/>
      <c r="AM473" s="687"/>
      <c r="AN473" s="16"/>
      <c r="AO473" s="687"/>
      <c r="AP473" s="16"/>
      <c r="AQ473" s="687"/>
      <c r="AR473" s="16"/>
      <c r="AS473" s="687"/>
      <c r="AT473" s="16"/>
      <c r="AU473" s="687"/>
      <c r="AV473" s="16"/>
      <c r="AW473" s="687"/>
      <c r="AX473" s="16"/>
      <c r="AY473" s="687"/>
      <c r="AZ473" s="16"/>
      <c r="BA473" s="687"/>
      <c r="BB473" s="16"/>
      <c r="BC473" s="687"/>
      <c r="BD473" s="16"/>
      <c r="BE473" s="687"/>
      <c r="BF473" s="16"/>
      <c r="BG473" s="687"/>
      <c r="BH473" s="16"/>
      <c r="BI473" s="687"/>
      <c r="BJ473" s="16"/>
      <c r="BK473" s="687"/>
      <c r="BL473" s="16"/>
      <c r="BM473" s="687"/>
      <c r="BN473" s="16"/>
      <c r="BO473" s="687"/>
      <c r="BP473" s="16"/>
      <c r="BQ473" s="687"/>
      <c r="BR473" s="16"/>
      <c r="BS473" s="687"/>
      <c r="BT473" s="16"/>
      <c r="BU473" s="687"/>
      <c r="BV473" s="16"/>
      <c r="BW473" s="687"/>
      <c r="BX473" s="16"/>
      <c r="BY473" s="687"/>
      <c r="BZ473" s="16"/>
      <c r="CA473" s="687"/>
      <c r="CB473" s="16"/>
      <c r="CC473" s="687"/>
      <c r="CD473" s="16"/>
      <c r="CE473" s="687"/>
      <c r="CF473" s="16"/>
      <c r="CG473" s="687"/>
      <c r="CH473" s="16"/>
      <c r="CI473" s="687"/>
      <c r="CJ473" s="16"/>
      <c r="CK473" s="687"/>
      <c r="CL473" s="16"/>
      <c r="CM473" s="687"/>
      <c r="CN473" s="16"/>
      <c r="CO473" s="687"/>
      <c r="CP473" s="16"/>
      <c r="CQ473" s="687"/>
      <c r="CR473" s="16"/>
      <c r="CS473" s="687"/>
      <c r="CT473" s="16"/>
      <c r="CU473" s="687"/>
      <c r="CV473" s="16"/>
      <c r="CW473" s="687"/>
      <c r="CX473" s="16"/>
      <c r="CY473" s="687"/>
      <c r="CZ473" s="16"/>
      <c r="DA473" s="687"/>
      <c r="DB473" s="16"/>
      <c r="DC473" s="16"/>
      <c r="DD473" s="687"/>
      <c r="DE473" s="16"/>
      <c r="DF473" s="687"/>
      <c r="DG473" s="16"/>
      <c r="DH473" s="687"/>
      <c r="DI473" s="16"/>
      <c r="DJ473" s="687"/>
      <c r="DK473" s="16"/>
      <c r="DL473" s="687"/>
      <c r="DM473" s="16"/>
      <c r="DN473" s="687"/>
      <c r="DO473" s="16"/>
      <c r="DP473" s="687"/>
      <c r="DQ473" s="16"/>
      <c r="DR473" s="687"/>
      <c r="DS473" s="16"/>
      <c r="DT473" s="687"/>
      <c r="DU473" s="16"/>
      <c r="DV473" s="687"/>
      <c r="DW473" s="16"/>
      <c r="DX473" s="687"/>
      <c r="DY473" s="16"/>
      <c r="DZ473" s="687"/>
      <c r="EA473" s="16"/>
      <c r="EB473" s="687"/>
      <c r="EC473" s="16"/>
      <c r="ED473" s="687"/>
      <c r="EE473" s="16"/>
      <c r="EF473" s="687"/>
      <c r="EG473" s="16"/>
      <c r="EH473" s="687"/>
      <c r="EI473" s="16"/>
      <c r="EJ473" s="687"/>
      <c r="EK473" s="16"/>
      <c r="EL473" s="687"/>
      <c r="EM473" s="687"/>
    </row>
    <row r="474" spans="1:143" ht="12.75" hidden="1" customHeight="1" outlineLevel="2" x14ac:dyDescent="0.2">
      <c r="A474" s="701" t="str">
        <f>INPUT!B408</f>
        <v>Premiums</v>
      </c>
      <c r="B474" s="151">
        <f>INPUT!AY408</f>
        <v>16.600000000000001</v>
      </c>
      <c r="C474" s="687">
        <f>INPUT!AZ408</f>
        <v>13.932738503774878</v>
      </c>
      <c r="D474" s="151">
        <f>INPUT!BA408</f>
        <v>19.899999999999999</v>
      </c>
      <c r="E474" s="687">
        <f>INPUT!BB408</f>
        <v>21.341463414634141</v>
      </c>
      <c r="F474" s="151">
        <f>INPUT!BC408</f>
        <v>21.1</v>
      </c>
      <c r="G474" s="687">
        <f>INPUT!BD408</f>
        <v>24.852071005917175</v>
      </c>
      <c r="H474" s="151">
        <f>INPUT!BE408</f>
        <v>21</v>
      </c>
      <c r="I474" s="687">
        <f>INPUT!BF408</f>
        <v>36.363636363636353</v>
      </c>
      <c r="J474" s="151">
        <f>INPUT!BG408</f>
        <v>24.2</v>
      </c>
      <c r="K474" s="687">
        <f>INPUT!BH408</f>
        <v>45.783132530120476</v>
      </c>
      <c r="L474" s="151">
        <f>INPUT!BI408</f>
        <v>24.3</v>
      </c>
      <c r="M474" s="687">
        <f>INPUT!BJ408</f>
        <v>22.110552763819101</v>
      </c>
      <c r="N474" s="151">
        <f>INPUT!BK408</f>
        <v>25.6</v>
      </c>
      <c r="O474" s="687">
        <f>INPUT!BL408</f>
        <v>21.327014218009488</v>
      </c>
      <c r="P474" s="151">
        <f>INPUT!BM408</f>
        <v>21.2</v>
      </c>
      <c r="Q474" s="687">
        <f>INPUT!BN408</f>
        <v>0.952380952380949</v>
      </c>
      <c r="R474" s="151">
        <f>INPUT!BO408</f>
        <v>19.100000000000001</v>
      </c>
      <c r="S474" s="687">
        <f>INPUT!BP408</f>
        <v>-21.074380165289252</v>
      </c>
      <c r="T474" s="151">
        <f>INPUT!BQ408</f>
        <v>26.4</v>
      </c>
      <c r="U474" s="687">
        <f>INPUT!BR408</f>
        <v>8.6419753086419693</v>
      </c>
      <c r="V474" s="151">
        <f>INPUT!BS408</f>
        <v>18.899999999999999</v>
      </c>
      <c r="W474" s="687">
        <f>INPUT!BT408</f>
        <v>-26.171875000000011</v>
      </c>
      <c r="X474" s="151">
        <f>INPUT!BU408</f>
        <v>14</v>
      </c>
      <c r="Y474" s="687">
        <f>INPUT!BV408</f>
        <v>-33.96226415094339</v>
      </c>
      <c r="Z474" s="151">
        <f>INPUT!BW408</f>
        <v>10.3</v>
      </c>
      <c r="AA474" s="687">
        <f>INPUT!BX408</f>
        <v>-46.073298429319379</v>
      </c>
      <c r="AB474" s="151"/>
      <c r="AC474" s="687"/>
      <c r="AD474" s="151"/>
      <c r="AE474" s="687"/>
      <c r="AF474" s="151"/>
      <c r="AG474" s="687"/>
      <c r="AH474" s="151"/>
      <c r="AI474" s="687"/>
      <c r="AJ474" s="151"/>
      <c r="AK474" s="687"/>
      <c r="AL474" s="151"/>
      <c r="AM474" s="687"/>
      <c r="AN474" s="151"/>
      <c r="AO474" s="687"/>
      <c r="AP474" s="151"/>
      <c r="AQ474" s="687"/>
      <c r="AR474" s="151"/>
      <c r="AS474" s="687"/>
      <c r="AT474" s="151"/>
      <c r="AU474" s="687"/>
      <c r="AV474" s="151"/>
      <c r="AW474" s="687"/>
      <c r="AX474" s="151"/>
      <c r="AY474" s="687"/>
      <c r="AZ474" s="151"/>
      <c r="BA474" s="687"/>
      <c r="BB474" s="151"/>
      <c r="BC474" s="687"/>
      <c r="BD474" s="151"/>
      <c r="BE474" s="687"/>
      <c r="BF474" s="151"/>
      <c r="BG474" s="687"/>
      <c r="BH474" s="151"/>
      <c r="BI474" s="687"/>
      <c r="BJ474" s="151"/>
      <c r="BK474" s="687"/>
      <c r="BL474" s="151"/>
      <c r="BM474" s="687"/>
      <c r="BN474" s="151"/>
      <c r="BO474" s="687"/>
      <c r="BP474" s="151"/>
      <c r="BQ474" s="687"/>
      <c r="BR474" s="151"/>
      <c r="BS474" s="687"/>
      <c r="BT474" s="151"/>
      <c r="BU474" s="687"/>
      <c r="BV474" s="151"/>
      <c r="BW474" s="687"/>
      <c r="BX474" s="151"/>
      <c r="BY474" s="687"/>
      <c r="BZ474" s="151"/>
      <c r="CA474" s="687"/>
      <c r="CB474" s="151"/>
      <c r="CC474" s="687"/>
      <c r="CD474" s="151"/>
      <c r="CE474" s="687"/>
      <c r="CF474" s="151"/>
      <c r="CG474" s="687"/>
      <c r="CH474" s="151"/>
      <c r="CI474" s="687"/>
      <c r="CJ474" s="151"/>
      <c r="CK474" s="687"/>
      <c r="CL474" s="151"/>
      <c r="CM474" s="687"/>
      <c r="CN474" s="151"/>
      <c r="CO474" s="687"/>
      <c r="CP474" s="151"/>
      <c r="CQ474" s="687"/>
      <c r="CR474" s="151"/>
      <c r="CS474" s="687"/>
      <c r="CT474" s="151"/>
      <c r="CU474" s="687"/>
      <c r="CV474" s="151"/>
      <c r="CW474" s="687"/>
      <c r="CX474" s="151"/>
      <c r="CY474" s="687"/>
      <c r="CZ474" s="151"/>
      <c r="DA474" s="687"/>
      <c r="DB474" s="16"/>
      <c r="DC474" s="151">
        <f>INPUT!FP408</f>
        <v>63.269999999999996</v>
      </c>
      <c r="DD474" s="687">
        <f>INPUT!FQ408</f>
        <v>-10.00000000000002</v>
      </c>
      <c r="DE474" s="151">
        <f>INPUT!FR408</f>
        <v>78.599999999999994</v>
      </c>
      <c r="DF474" s="687">
        <f>INPUT!FS408</f>
        <v>24.229492650545282</v>
      </c>
      <c r="DG474" s="151">
        <f>INPUT!FT408</f>
        <v>95.3</v>
      </c>
      <c r="DH474" s="687">
        <f>INPUT!FU408</f>
        <v>21.246819338422405</v>
      </c>
      <c r="DI474" s="151">
        <f>INPUT!FV408</f>
        <v>78.400000000000006</v>
      </c>
      <c r="DJ474" s="687">
        <f>INPUT!FW408</f>
        <v>-17.733473242392439</v>
      </c>
      <c r="DK474" s="151"/>
      <c r="DL474" s="687"/>
      <c r="DM474" s="151"/>
      <c r="DN474" s="687"/>
      <c r="DO474" s="151"/>
      <c r="DP474" s="687"/>
      <c r="DQ474" s="151"/>
      <c r="DR474" s="687"/>
      <c r="DS474" s="151"/>
      <c r="DT474" s="687"/>
      <c r="DU474" s="151"/>
      <c r="DV474" s="687"/>
      <c r="DW474" s="151"/>
      <c r="DX474" s="687"/>
      <c r="DY474" s="151"/>
      <c r="DZ474" s="687"/>
      <c r="EA474" s="151"/>
      <c r="EB474" s="687"/>
      <c r="EC474" s="151"/>
      <c r="ED474" s="687"/>
      <c r="EE474" s="151"/>
      <c r="EF474" s="687"/>
      <c r="EG474" s="151"/>
      <c r="EH474" s="687"/>
      <c r="EI474" s="151"/>
      <c r="EJ474" s="687"/>
      <c r="EK474" s="151"/>
      <c r="EL474" s="687"/>
      <c r="EM474" s="687"/>
    </row>
    <row r="475" spans="1:143" ht="12.75" hidden="1" customHeight="1" outlineLevel="2" x14ac:dyDescent="0.2">
      <c r="A475" s="701" t="str">
        <f>INPUT!B409</f>
        <v>Mortality and Expense Fees</v>
      </c>
      <c r="B475" s="151">
        <f>INPUT!AY409</f>
        <v>35.9</v>
      </c>
      <c r="C475" s="687">
        <f>INPUT!AZ409</f>
        <v>-9.5717884130982469</v>
      </c>
      <c r="D475" s="151">
        <f>INPUT!BA409</f>
        <v>43.6</v>
      </c>
      <c r="E475" s="687">
        <f>INPUT!BB409</f>
        <v>2.8301886792452935</v>
      </c>
      <c r="F475" s="151">
        <f>INPUT!BC409</f>
        <v>32.599999999999994</v>
      </c>
      <c r="G475" s="687">
        <f>INPUT!BD409</f>
        <v>-49.846153846153854</v>
      </c>
      <c r="H475" s="151">
        <f>INPUT!BE409</f>
        <v>45.8</v>
      </c>
      <c r="I475" s="687">
        <f>INPUT!BF409</f>
        <v>56.31399317406143</v>
      </c>
      <c r="J475" s="151">
        <f>INPUT!BG409</f>
        <v>47.2</v>
      </c>
      <c r="K475" s="687">
        <f>INPUT!BH409</f>
        <v>31.47632311977717</v>
      </c>
      <c r="L475" s="151">
        <f>INPUT!BI409</f>
        <v>48.8</v>
      </c>
      <c r="M475" s="687">
        <f>INPUT!BJ409</f>
        <v>11.926605504587151</v>
      </c>
      <c r="N475" s="151">
        <f>INPUT!BK409</f>
        <v>42.2</v>
      </c>
      <c r="O475" s="687">
        <f>INPUT!BL409</f>
        <v>29.447852760736225</v>
      </c>
      <c r="P475" s="151">
        <f>INPUT!BM409</f>
        <v>55.7</v>
      </c>
      <c r="Q475" s="687">
        <f>INPUT!BN409</f>
        <v>21.61572052401748</v>
      </c>
      <c r="R475" s="151">
        <f>INPUT!BO409</f>
        <v>46.2</v>
      </c>
      <c r="S475" s="687">
        <f>INPUT!BP409</f>
        <v>-2.1186440677966045</v>
      </c>
      <c r="T475" s="151">
        <f>INPUT!BQ409</f>
        <v>51.7</v>
      </c>
      <c r="U475" s="687">
        <f>INPUT!BR409</f>
        <v>5.9426229508196871</v>
      </c>
      <c r="V475" s="151">
        <f>INPUT!BS409</f>
        <v>39.799999999999997</v>
      </c>
      <c r="W475" s="687">
        <f>INPUT!BT409</f>
        <v>-5.6872037914692086</v>
      </c>
      <c r="X475" s="151">
        <f>INPUT!BU409</f>
        <v>33.6</v>
      </c>
      <c r="Y475" s="687">
        <f>INPUT!BV409</f>
        <v>-39.67684021543986</v>
      </c>
      <c r="Z475" s="151">
        <f>INPUT!BW409</f>
        <v>23.7</v>
      </c>
      <c r="AA475" s="687">
        <f>INPUT!BX409</f>
        <v>-48.701298701298704</v>
      </c>
      <c r="AB475" s="151"/>
      <c r="AC475" s="687"/>
      <c r="AD475" s="151"/>
      <c r="AE475" s="687"/>
      <c r="AF475" s="151"/>
      <c r="AG475" s="687"/>
      <c r="AH475" s="151"/>
      <c r="AI475" s="687"/>
      <c r="AJ475" s="151"/>
      <c r="AK475" s="687"/>
      <c r="AL475" s="151"/>
      <c r="AM475" s="687"/>
      <c r="AN475" s="151"/>
      <c r="AO475" s="687"/>
      <c r="AP475" s="151"/>
      <c r="AQ475" s="687"/>
      <c r="AR475" s="151"/>
      <c r="AS475" s="687"/>
      <c r="AT475" s="151"/>
      <c r="AU475" s="687"/>
      <c r="AV475" s="151"/>
      <c r="AW475" s="687"/>
      <c r="AX475" s="151"/>
      <c r="AY475" s="687"/>
      <c r="AZ475" s="151"/>
      <c r="BA475" s="687"/>
      <c r="BB475" s="151"/>
      <c r="BC475" s="687"/>
      <c r="BD475" s="151"/>
      <c r="BE475" s="687"/>
      <c r="BF475" s="151"/>
      <c r="BG475" s="687"/>
      <c r="BH475" s="151"/>
      <c r="BI475" s="687"/>
      <c r="BJ475" s="151"/>
      <c r="BK475" s="687"/>
      <c r="BL475" s="151"/>
      <c r="BM475" s="687"/>
      <c r="BN475" s="151"/>
      <c r="BO475" s="687"/>
      <c r="BP475" s="151"/>
      <c r="BQ475" s="687"/>
      <c r="BR475" s="151"/>
      <c r="BS475" s="687"/>
      <c r="BT475" s="151"/>
      <c r="BU475" s="687"/>
      <c r="BV475" s="151"/>
      <c r="BW475" s="687"/>
      <c r="BX475" s="151"/>
      <c r="BY475" s="687"/>
      <c r="BZ475" s="151"/>
      <c r="CA475" s="687"/>
      <c r="CB475" s="151"/>
      <c r="CC475" s="687"/>
      <c r="CD475" s="151"/>
      <c r="CE475" s="687"/>
      <c r="CF475" s="151"/>
      <c r="CG475" s="687"/>
      <c r="CH475" s="151"/>
      <c r="CI475" s="687"/>
      <c r="CJ475" s="151"/>
      <c r="CK475" s="687"/>
      <c r="CL475" s="151"/>
      <c r="CM475" s="687"/>
      <c r="CN475" s="151"/>
      <c r="CO475" s="687"/>
      <c r="CP475" s="151"/>
      <c r="CQ475" s="687"/>
      <c r="CR475" s="151"/>
      <c r="CS475" s="687"/>
      <c r="CT475" s="151"/>
      <c r="CU475" s="687"/>
      <c r="CV475" s="151"/>
      <c r="CW475" s="687"/>
      <c r="CX475" s="151"/>
      <c r="CY475" s="687"/>
      <c r="CZ475" s="151"/>
      <c r="DA475" s="687"/>
      <c r="DB475" s="16"/>
      <c r="DC475" s="151">
        <f>INPUT!FP409</f>
        <v>176.4</v>
      </c>
      <c r="DD475" s="687">
        <f>INPUT!FQ409</f>
        <v>-10.137544574630653</v>
      </c>
      <c r="DE475" s="151">
        <f>INPUT!FR409</f>
        <v>157.89999999999998</v>
      </c>
      <c r="DF475" s="687">
        <f>INPUT!FS409</f>
        <v>-10.487528344671215</v>
      </c>
      <c r="DG475" s="151">
        <f>INPUT!FT409</f>
        <v>193.89999999999998</v>
      </c>
      <c r="DH475" s="687">
        <f>INPUT!FU409</f>
        <v>22.799240025332491</v>
      </c>
      <c r="DI475" s="151">
        <f>INPUT!FV409</f>
        <v>171.29999999999998</v>
      </c>
      <c r="DJ475" s="687">
        <f>INPUT!FW409</f>
        <v>-11.655492521918509</v>
      </c>
      <c r="DK475" s="151"/>
      <c r="DL475" s="687"/>
      <c r="DM475" s="151"/>
      <c r="DN475" s="687"/>
      <c r="DO475" s="151"/>
      <c r="DP475" s="687"/>
      <c r="DQ475" s="151"/>
      <c r="DR475" s="687"/>
      <c r="DS475" s="151"/>
      <c r="DT475" s="687"/>
      <c r="DU475" s="151"/>
      <c r="DV475" s="687"/>
      <c r="DW475" s="151"/>
      <c r="DX475" s="687"/>
      <c r="DY475" s="151"/>
      <c r="DZ475" s="687"/>
      <c r="EA475" s="151"/>
      <c r="EB475" s="687"/>
      <c r="EC475" s="151"/>
      <c r="ED475" s="687"/>
      <c r="EE475" s="151"/>
      <c r="EF475" s="687"/>
      <c r="EG475" s="151"/>
      <c r="EH475" s="687"/>
      <c r="EI475" s="151"/>
      <c r="EJ475" s="687"/>
      <c r="EK475" s="151"/>
      <c r="EL475" s="687"/>
      <c r="EM475" s="687"/>
    </row>
    <row r="476" spans="1:143" ht="12.75" hidden="1" customHeight="1" outlineLevel="2" x14ac:dyDescent="0.2">
      <c r="A476" s="701" t="str">
        <f>INPUT!B410</f>
        <v>Investment Income</v>
      </c>
      <c r="B476" s="151">
        <f>INPUT!AY410</f>
        <v>17</v>
      </c>
      <c r="C476" s="687">
        <f>INPUT!AZ410</f>
        <v>-16.256157635467982</v>
      </c>
      <c r="D476" s="151">
        <f>INPUT!BA410</f>
        <v>17.8</v>
      </c>
      <c r="E476" s="687">
        <f>INPUT!BB410</f>
        <v>-9.1836734693877542</v>
      </c>
      <c r="F476" s="151">
        <f>INPUT!BC410</f>
        <v>18.600000000000001</v>
      </c>
      <c r="G476" s="687">
        <f>INPUT!BD410</f>
        <v>-11.004784688995207</v>
      </c>
      <c r="H476" s="151">
        <f>INPUT!BE410</f>
        <v>18</v>
      </c>
      <c r="I476" s="687">
        <f>INPUT!BF410</f>
        <v>1.1235955056179803</v>
      </c>
      <c r="J476" s="151">
        <f>INPUT!BG410</f>
        <v>19.3</v>
      </c>
      <c r="K476" s="687">
        <f>INPUT!BH410</f>
        <v>13.529411764705879</v>
      </c>
      <c r="L476" s="151">
        <f>INPUT!BI410</f>
        <v>19.399999999999999</v>
      </c>
      <c r="M476" s="687">
        <f>INPUT!BJ410</f>
        <v>8.9887640449437978</v>
      </c>
      <c r="N476" s="151">
        <f>INPUT!BK410</f>
        <v>20.9</v>
      </c>
      <c r="O476" s="687">
        <f>INPUT!BL410</f>
        <v>12.365591397849451</v>
      </c>
      <c r="P476" s="151">
        <f>INPUT!BM410</f>
        <v>21.5</v>
      </c>
      <c r="Q476" s="687">
        <f>INPUT!BN410</f>
        <v>19.444444444444443</v>
      </c>
      <c r="R476" s="151">
        <f>INPUT!BO410</f>
        <v>20.400000000000002</v>
      </c>
      <c r="S476" s="687">
        <f>INPUT!BP410</f>
        <v>5.6994818652849721</v>
      </c>
      <c r="T476" s="151">
        <f>INPUT!BQ410</f>
        <v>19.8</v>
      </c>
      <c r="U476" s="687">
        <f>INPUT!BR410</f>
        <v>2.0618556701031077</v>
      </c>
      <c r="V476" s="151">
        <f>INPUT!BS410</f>
        <v>21.1</v>
      </c>
      <c r="W476" s="687">
        <f>INPUT!BT410</f>
        <v>0.95693779904306719</v>
      </c>
      <c r="X476" s="151">
        <f>INPUT!BU410</f>
        <v>16.8</v>
      </c>
      <c r="Y476" s="687">
        <f>INPUT!BV410</f>
        <v>-21.86046511627907</v>
      </c>
      <c r="Z476" s="151">
        <f>INPUT!BW410</f>
        <v>13.4</v>
      </c>
      <c r="AA476" s="687">
        <f>INPUT!BX410</f>
        <v>-34.313725490196077</v>
      </c>
      <c r="AB476" s="151"/>
      <c r="AC476" s="687"/>
      <c r="AD476" s="151"/>
      <c r="AE476" s="687"/>
      <c r="AF476" s="151"/>
      <c r="AG476" s="687"/>
      <c r="AH476" s="151"/>
      <c r="AI476" s="687"/>
      <c r="AJ476" s="151"/>
      <c r="AK476" s="687"/>
      <c r="AL476" s="151"/>
      <c r="AM476" s="687"/>
      <c r="AN476" s="151"/>
      <c r="AO476" s="687"/>
      <c r="AP476" s="151"/>
      <c r="AQ476" s="687"/>
      <c r="AR476" s="151"/>
      <c r="AS476" s="687"/>
      <c r="AT476" s="151"/>
      <c r="AU476" s="687"/>
      <c r="AV476" s="151"/>
      <c r="AW476" s="687"/>
      <c r="AX476" s="151"/>
      <c r="AY476" s="687"/>
      <c r="AZ476" s="151"/>
      <c r="BA476" s="687"/>
      <c r="BB476" s="151"/>
      <c r="BC476" s="687"/>
      <c r="BD476" s="151"/>
      <c r="BE476" s="687"/>
      <c r="BF476" s="151"/>
      <c r="BG476" s="687"/>
      <c r="BH476" s="151"/>
      <c r="BI476" s="687"/>
      <c r="BJ476" s="151"/>
      <c r="BK476" s="687"/>
      <c r="BL476" s="151"/>
      <c r="BM476" s="687"/>
      <c r="BN476" s="151"/>
      <c r="BO476" s="687"/>
      <c r="BP476" s="151"/>
      <c r="BQ476" s="687"/>
      <c r="BR476" s="151"/>
      <c r="BS476" s="687"/>
      <c r="BT476" s="151"/>
      <c r="BU476" s="687"/>
      <c r="BV476" s="151"/>
      <c r="BW476" s="687"/>
      <c r="BX476" s="151"/>
      <c r="BY476" s="687"/>
      <c r="BZ476" s="151"/>
      <c r="CA476" s="687"/>
      <c r="CB476" s="151"/>
      <c r="CC476" s="687"/>
      <c r="CD476" s="151"/>
      <c r="CE476" s="687"/>
      <c r="CF476" s="151"/>
      <c r="CG476" s="687"/>
      <c r="CH476" s="151"/>
      <c r="CI476" s="687"/>
      <c r="CJ476" s="151"/>
      <c r="CK476" s="687"/>
      <c r="CL476" s="151"/>
      <c r="CM476" s="687"/>
      <c r="CN476" s="151"/>
      <c r="CO476" s="687"/>
      <c r="CP476" s="151"/>
      <c r="CQ476" s="687"/>
      <c r="CR476" s="151"/>
      <c r="CS476" s="687"/>
      <c r="CT476" s="151"/>
      <c r="CU476" s="687"/>
      <c r="CV476" s="151"/>
      <c r="CW476" s="687"/>
      <c r="CX476" s="151"/>
      <c r="CY476" s="687"/>
      <c r="CZ476" s="151"/>
      <c r="DA476" s="687"/>
      <c r="DB476" s="16"/>
      <c r="DC476" s="151">
        <f>INPUT!FP410</f>
        <v>78.600000000000009</v>
      </c>
      <c r="DD476" s="687">
        <f>INPUT!FQ410</f>
        <v>3.8309114927344901</v>
      </c>
      <c r="DE476" s="151">
        <f>INPUT!FR410</f>
        <v>71.400000000000006</v>
      </c>
      <c r="DF476" s="687">
        <f>INPUT!FS410</f>
        <v>-9.160305343511455</v>
      </c>
      <c r="DG476" s="151">
        <f>INPUT!FT410</f>
        <v>81.099999999999994</v>
      </c>
      <c r="DH476" s="687">
        <f>INPUT!FU410</f>
        <v>13.585434173669441</v>
      </c>
      <c r="DI476" s="151">
        <f>INPUT!FV410</f>
        <v>78.100000000000009</v>
      </c>
      <c r="DJ476" s="687">
        <f>INPUT!FW410</f>
        <v>-3.6991368680641012</v>
      </c>
      <c r="DK476" s="151"/>
      <c r="DL476" s="687"/>
      <c r="DM476" s="151"/>
      <c r="DN476" s="687"/>
      <c r="DO476" s="151"/>
      <c r="DP476" s="687"/>
      <c r="DQ476" s="151"/>
      <c r="DR476" s="687"/>
      <c r="DS476" s="151"/>
      <c r="DT476" s="687"/>
      <c r="DU476" s="151"/>
      <c r="DV476" s="687"/>
      <c r="DW476" s="151"/>
      <c r="DX476" s="687"/>
      <c r="DY476" s="151"/>
      <c r="DZ476" s="687"/>
      <c r="EA476" s="151"/>
      <c r="EB476" s="687"/>
      <c r="EC476" s="151"/>
      <c r="ED476" s="687"/>
      <c r="EE476" s="151"/>
      <c r="EF476" s="687"/>
      <c r="EG476" s="151"/>
      <c r="EH476" s="687"/>
      <c r="EI476" s="151"/>
      <c r="EJ476" s="687"/>
      <c r="EK476" s="151"/>
      <c r="EL476" s="687"/>
      <c r="EM476" s="687"/>
    </row>
    <row r="477" spans="1:143" ht="12.75" hidden="1" customHeight="1" outlineLevel="2" x14ac:dyDescent="0.2">
      <c r="A477" s="701" t="str">
        <f>INPUT!B413</f>
        <v xml:space="preserve"> Total Revenues</v>
      </c>
      <c r="B477" s="151">
        <f>INPUT!AY413</f>
        <v>69.5</v>
      </c>
      <c r="C477" s="687">
        <f>INPUT!AZ413</f>
        <v>-6.7989808233874349</v>
      </c>
      <c r="D477" s="151">
        <f>INPUT!BA413</f>
        <v>81.3</v>
      </c>
      <c r="E477" s="687">
        <f>INPUT!BB413</f>
        <v>3.6989795918367152</v>
      </c>
      <c r="F477" s="151">
        <f>INPUT!BC413</f>
        <v>72.3</v>
      </c>
      <c r="G477" s="687">
        <f>INPUT!BD413</f>
        <v>-29.66926070038911</v>
      </c>
      <c r="H477" s="151">
        <f>INPUT!BE413</f>
        <v>84.8</v>
      </c>
      <c r="I477" s="687">
        <f>INPUT!BF413</f>
        <v>35.68</v>
      </c>
      <c r="J477" s="151">
        <f>INPUT!BG413</f>
        <v>90.7</v>
      </c>
      <c r="K477" s="687">
        <f>INPUT!BH413</f>
        <v>30.503597122302175</v>
      </c>
      <c r="L477" s="151">
        <f>INPUT!BI413</f>
        <v>92.5</v>
      </c>
      <c r="M477" s="687">
        <f>INPUT!BJ413</f>
        <v>13.776137761377626</v>
      </c>
      <c r="N477" s="151">
        <f>INPUT!BK413</f>
        <v>88.700000000000017</v>
      </c>
      <c r="O477" s="687">
        <f>INPUT!BL413</f>
        <v>22.68326417704014</v>
      </c>
      <c r="P477" s="151">
        <f>INPUT!BM413</f>
        <v>98.4</v>
      </c>
      <c r="Q477" s="687">
        <f>INPUT!BN413</f>
        <v>16.03773584905661</v>
      </c>
      <c r="R477" s="151">
        <f>INPUT!BO413</f>
        <v>85.700000000000017</v>
      </c>
      <c r="S477" s="687">
        <f>INPUT!BP413</f>
        <v>-5.5126791620727538</v>
      </c>
      <c r="T477" s="151">
        <f>INPUT!BQ413</f>
        <v>97.899999999999991</v>
      </c>
      <c r="U477" s="687">
        <f>INPUT!BR413</f>
        <v>5.8378378378378226</v>
      </c>
      <c r="V477" s="151">
        <f>INPUT!BS413</f>
        <v>79.8</v>
      </c>
      <c r="W477" s="687">
        <f>INPUT!BT413</f>
        <v>-10.033821871476912</v>
      </c>
      <c r="X477" s="151">
        <f>INPUT!BU413</f>
        <v>64.400000000000006</v>
      </c>
      <c r="Y477" s="687">
        <f>INPUT!BV413</f>
        <v>-34.552845528455279</v>
      </c>
      <c r="Z477" s="151">
        <f>INPUT!BW413</f>
        <v>47.4</v>
      </c>
      <c r="AA477" s="687">
        <f>INPUT!BX413</f>
        <v>-44.690781796966171</v>
      </c>
      <c r="AB477" s="151"/>
      <c r="AC477" s="687"/>
      <c r="AD477" s="151"/>
      <c r="AE477" s="687"/>
      <c r="AF477" s="151"/>
      <c r="AG477" s="687"/>
      <c r="AH477" s="151"/>
      <c r="AI477" s="687"/>
      <c r="AJ477" s="151"/>
      <c r="AK477" s="687"/>
      <c r="AL477" s="151"/>
      <c r="AM477" s="687"/>
      <c r="AN477" s="151"/>
      <c r="AO477" s="687"/>
      <c r="AP477" s="151"/>
      <c r="AQ477" s="687"/>
      <c r="AR477" s="151"/>
      <c r="AS477" s="687"/>
      <c r="AT477" s="151"/>
      <c r="AU477" s="687"/>
      <c r="AV477" s="151"/>
      <c r="AW477" s="687"/>
      <c r="AX477" s="151"/>
      <c r="AY477" s="687"/>
      <c r="AZ477" s="151"/>
      <c r="BA477" s="687"/>
      <c r="BB477" s="151"/>
      <c r="BC477" s="687"/>
      <c r="BD477" s="151"/>
      <c r="BE477" s="687"/>
      <c r="BF477" s="151"/>
      <c r="BG477" s="687"/>
      <c r="BH477" s="151"/>
      <c r="BI477" s="687"/>
      <c r="BJ477" s="151"/>
      <c r="BK477" s="687"/>
      <c r="BL477" s="151"/>
      <c r="BM477" s="687"/>
      <c r="BN477" s="151"/>
      <c r="BO477" s="687"/>
      <c r="BP477" s="151"/>
      <c r="BQ477" s="687"/>
      <c r="BR477" s="151"/>
      <c r="BS477" s="687"/>
      <c r="BT477" s="151"/>
      <c r="BU477" s="687"/>
      <c r="BV477" s="151"/>
      <c r="BW477" s="687"/>
      <c r="BX477" s="151"/>
      <c r="BY477" s="687"/>
      <c r="BZ477" s="151"/>
      <c r="CA477" s="687"/>
      <c r="CB477" s="151"/>
      <c r="CC477" s="687"/>
      <c r="CD477" s="151"/>
      <c r="CE477" s="687"/>
      <c r="CF477" s="151"/>
      <c r="CG477" s="687"/>
      <c r="CH477" s="151"/>
      <c r="CI477" s="687"/>
      <c r="CJ477" s="151"/>
      <c r="CK477" s="687"/>
      <c r="CL477" s="151"/>
      <c r="CM477" s="687"/>
      <c r="CN477" s="151"/>
      <c r="CO477" s="687"/>
      <c r="CP477" s="151"/>
      <c r="CQ477" s="687"/>
      <c r="CR477" s="151"/>
      <c r="CS477" s="687"/>
      <c r="CT477" s="151"/>
      <c r="CU477" s="687"/>
      <c r="CV477" s="151"/>
      <c r="CW477" s="687"/>
      <c r="CX477" s="151"/>
      <c r="CY477" s="687"/>
      <c r="CZ477" s="151"/>
      <c r="DA477" s="687"/>
      <c r="DB477" s="16"/>
      <c r="DC477" s="151">
        <f>INPUT!FP413</f>
        <v>318.27000000000004</v>
      </c>
      <c r="DD477" s="687">
        <f>INPUT!FQ413</f>
        <v>-7.0201577563540614</v>
      </c>
      <c r="DE477" s="151">
        <f>INPUT!FR413</f>
        <v>307.89999999999998</v>
      </c>
      <c r="DF477" s="687">
        <f>INPUT!FS413</f>
        <v>-3.2582398592390316</v>
      </c>
      <c r="DG477" s="151">
        <f>INPUT!FT413</f>
        <v>370.29999999999995</v>
      </c>
      <c r="DH477" s="687">
        <f>INPUT!FU413</f>
        <v>20.266320233842162</v>
      </c>
      <c r="DI477" s="151">
        <f>INPUT!FV413</f>
        <v>327.8</v>
      </c>
      <c r="DJ477" s="687">
        <f>INPUT!FW413</f>
        <v>-11.477180664326204</v>
      </c>
      <c r="DK477" s="151"/>
      <c r="DL477" s="687"/>
      <c r="DM477" s="151"/>
      <c r="DN477" s="687"/>
      <c r="DO477" s="151"/>
      <c r="DP477" s="687"/>
      <c r="DQ477" s="151"/>
      <c r="DR477" s="687"/>
      <c r="DS477" s="151"/>
      <c r="DT477" s="687"/>
      <c r="DU477" s="151"/>
      <c r="DV477" s="687"/>
      <c r="DW477" s="151"/>
      <c r="DX477" s="687"/>
      <c r="DY477" s="151"/>
      <c r="DZ477" s="687"/>
      <c r="EA477" s="151"/>
      <c r="EB477" s="687"/>
      <c r="EC477" s="151"/>
      <c r="ED477" s="687"/>
      <c r="EE477" s="151"/>
      <c r="EF477" s="687"/>
      <c r="EG477" s="151"/>
      <c r="EH477" s="687"/>
      <c r="EI477" s="151"/>
      <c r="EJ477" s="687"/>
      <c r="EK477" s="151"/>
      <c r="EL477" s="687"/>
      <c r="EM477" s="687"/>
    </row>
    <row r="478" spans="1:143" ht="12.75" hidden="1" customHeight="1" outlineLevel="2" x14ac:dyDescent="0.2">
      <c r="A478" s="689"/>
      <c r="B478" s="16"/>
      <c r="C478" s="687"/>
      <c r="D478" s="16"/>
      <c r="E478" s="687"/>
      <c r="F478" s="16"/>
      <c r="G478" s="687"/>
      <c r="H478" s="16"/>
      <c r="I478" s="687"/>
      <c r="J478" s="16"/>
      <c r="K478" s="687"/>
      <c r="L478" s="16"/>
      <c r="M478" s="687"/>
      <c r="N478" s="16"/>
      <c r="O478" s="687"/>
      <c r="P478" s="16"/>
      <c r="Q478" s="687"/>
      <c r="R478" s="16"/>
      <c r="S478" s="687"/>
      <c r="T478" s="16"/>
      <c r="U478" s="687"/>
      <c r="V478" s="16"/>
      <c r="W478" s="687"/>
      <c r="X478" s="16"/>
      <c r="Y478" s="687"/>
      <c r="Z478" s="16"/>
      <c r="AA478" s="687"/>
      <c r="AB478" s="16"/>
      <c r="AC478" s="687"/>
      <c r="AD478" s="16"/>
      <c r="AE478" s="687"/>
      <c r="AF478" s="16"/>
      <c r="AG478" s="687"/>
      <c r="AH478" s="16"/>
      <c r="AI478" s="687"/>
      <c r="AJ478" s="16"/>
      <c r="AK478" s="687"/>
      <c r="AL478" s="16"/>
      <c r="AM478" s="687"/>
      <c r="AN478" s="16"/>
      <c r="AO478" s="687"/>
      <c r="AP478" s="16"/>
      <c r="AQ478" s="687"/>
      <c r="AR478" s="16"/>
      <c r="AS478" s="687"/>
      <c r="AT478" s="16"/>
      <c r="AU478" s="687"/>
      <c r="AV478" s="16"/>
      <c r="AW478" s="687"/>
      <c r="AX478" s="16"/>
      <c r="AY478" s="687"/>
      <c r="AZ478" s="16"/>
      <c r="BA478" s="687"/>
      <c r="BB478" s="16"/>
      <c r="BC478" s="687"/>
      <c r="BD478" s="16"/>
      <c r="BE478" s="687"/>
      <c r="BF478" s="16"/>
      <c r="BG478" s="687"/>
      <c r="BH478" s="16"/>
      <c r="BI478" s="687"/>
      <c r="BJ478" s="16"/>
      <c r="BK478" s="687"/>
      <c r="BL478" s="16"/>
      <c r="BM478" s="687"/>
      <c r="BN478" s="16"/>
      <c r="BO478" s="687"/>
      <c r="BP478" s="16"/>
      <c r="BQ478" s="687"/>
      <c r="BR478" s="16"/>
      <c r="BS478" s="687"/>
      <c r="BT478" s="16"/>
      <c r="BU478" s="687"/>
      <c r="BV478" s="16"/>
      <c r="BW478" s="687"/>
      <c r="BX478" s="16"/>
      <c r="BY478" s="687"/>
      <c r="BZ478" s="16"/>
      <c r="CA478" s="687"/>
      <c r="CB478" s="16"/>
      <c r="CC478" s="687"/>
      <c r="CD478" s="16"/>
      <c r="CE478" s="687"/>
      <c r="CF478" s="16"/>
      <c r="CG478" s="687"/>
      <c r="CH478" s="16"/>
      <c r="CI478" s="687"/>
      <c r="CJ478" s="16"/>
      <c r="CK478" s="687"/>
      <c r="CL478" s="16"/>
      <c r="CM478" s="687"/>
      <c r="CN478" s="16"/>
      <c r="CO478" s="687"/>
      <c r="CP478" s="16"/>
      <c r="CQ478" s="687"/>
      <c r="CR478" s="16"/>
      <c r="CS478" s="687"/>
      <c r="CT478" s="16"/>
      <c r="CU478" s="687"/>
      <c r="CV478" s="16"/>
      <c r="CW478" s="687"/>
      <c r="CX478" s="16"/>
      <c r="CY478" s="687"/>
      <c r="CZ478" s="16"/>
      <c r="DA478" s="687"/>
      <c r="DB478" s="16"/>
      <c r="DC478" s="16"/>
      <c r="DD478" s="687"/>
      <c r="DE478" s="16"/>
      <c r="DF478" s="687"/>
      <c r="DG478" s="16"/>
      <c r="DH478" s="687"/>
      <c r="DI478" s="16"/>
      <c r="DJ478" s="687"/>
      <c r="DK478" s="16"/>
      <c r="DL478" s="687"/>
      <c r="DM478" s="16"/>
      <c r="DN478" s="687"/>
      <c r="DO478" s="16"/>
      <c r="DP478" s="687"/>
      <c r="DQ478" s="16"/>
      <c r="DR478" s="687"/>
      <c r="DS478" s="16"/>
      <c r="DT478" s="687"/>
      <c r="DU478" s="16"/>
      <c r="DV478" s="687"/>
      <c r="DW478" s="16"/>
      <c r="DX478" s="687"/>
      <c r="DY478" s="16"/>
      <c r="DZ478" s="687"/>
      <c r="EA478" s="16"/>
      <c r="EB478" s="687"/>
      <c r="EC478" s="16"/>
      <c r="ED478" s="687"/>
      <c r="EE478" s="16"/>
      <c r="EF478" s="687"/>
      <c r="EG478" s="16"/>
      <c r="EH478" s="687"/>
      <c r="EI478" s="16"/>
      <c r="EJ478" s="687"/>
      <c r="EK478" s="16"/>
      <c r="EL478" s="687"/>
      <c r="EM478" s="687"/>
    </row>
    <row r="479" spans="1:143" ht="12.75" hidden="1" customHeight="1" outlineLevel="2" x14ac:dyDescent="0.2">
      <c r="A479" s="700" t="s">
        <v>113</v>
      </c>
      <c r="B479" s="16"/>
      <c r="C479" s="687"/>
      <c r="D479" s="16"/>
      <c r="E479" s="687"/>
      <c r="F479" s="16"/>
      <c r="G479" s="687"/>
      <c r="H479" s="16"/>
      <c r="I479" s="687"/>
      <c r="J479" s="16"/>
      <c r="K479" s="687"/>
      <c r="L479" s="16"/>
      <c r="M479" s="687"/>
      <c r="N479" s="16"/>
      <c r="O479" s="687"/>
      <c r="P479" s="16"/>
      <c r="Q479" s="687"/>
      <c r="R479" s="16"/>
      <c r="S479" s="687"/>
      <c r="T479" s="16"/>
      <c r="U479" s="687"/>
      <c r="V479" s="16"/>
      <c r="W479" s="687"/>
      <c r="X479" s="16"/>
      <c r="Y479" s="687"/>
      <c r="Z479" s="16"/>
      <c r="AA479" s="687"/>
      <c r="AB479" s="16"/>
      <c r="AC479" s="687"/>
      <c r="AD479" s="16"/>
      <c r="AE479" s="687"/>
      <c r="AF479" s="16"/>
      <c r="AG479" s="687"/>
      <c r="AH479" s="16"/>
      <c r="AI479" s="687"/>
      <c r="AJ479" s="16"/>
      <c r="AK479" s="687"/>
      <c r="AL479" s="16"/>
      <c r="AM479" s="687"/>
      <c r="AN479" s="16"/>
      <c r="AO479" s="687"/>
      <c r="AP479" s="16"/>
      <c r="AQ479" s="687"/>
      <c r="AR479" s="16"/>
      <c r="AS479" s="687"/>
      <c r="AT479" s="16"/>
      <c r="AU479" s="687"/>
      <c r="AV479" s="16"/>
      <c r="AW479" s="687"/>
      <c r="AX479" s="16"/>
      <c r="AY479" s="687"/>
      <c r="AZ479" s="16"/>
      <c r="BA479" s="687"/>
      <c r="BB479" s="16"/>
      <c r="BC479" s="687"/>
      <c r="BD479" s="16"/>
      <c r="BE479" s="687"/>
      <c r="BF479" s="16"/>
      <c r="BG479" s="687"/>
      <c r="BH479" s="16"/>
      <c r="BI479" s="687"/>
      <c r="BJ479" s="16"/>
      <c r="BK479" s="687"/>
      <c r="BL479" s="16"/>
      <c r="BM479" s="687"/>
      <c r="BN479" s="16"/>
      <c r="BO479" s="687"/>
      <c r="BP479" s="16"/>
      <c r="BQ479" s="687"/>
      <c r="BR479" s="16"/>
      <c r="BS479" s="687"/>
      <c r="BT479" s="16"/>
      <c r="BU479" s="687"/>
      <c r="BV479" s="16"/>
      <c r="BW479" s="687"/>
      <c r="BX479" s="16"/>
      <c r="BY479" s="687"/>
      <c r="BZ479" s="16"/>
      <c r="CA479" s="687"/>
      <c r="CB479" s="16"/>
      <c r="CC479" s="687"/>
      <c r="CD479" s="16"/>
      <c r="CE479" s="687"/>
      <c r="CF479" s="16"/>
      <c r="CG479" s="687"/>
      <c r="CH479" s="16"/>
      <c r="CI479" s="687"/>
      <c r="CJ479" s="16"/>
      <c r="CK479" s="687"/>
      <c r="CL479" s="16"/>
      <c r="CM479" s="687"/>
      <c r="CN479" s="16"/>
      <c r="CO479" s="687"/>
      <c r="CP479" s="16"/>
      <c r="CQ479" s="687"/>
      <c r="CR479" s="16"/>
      <c r="CS479" s="687"/>
      <c r="CT479" s="16"/>
      <c r="CU479" s="687"/>
      <c r="CV479" s="16"/>
      <c r="CW479" s="687"/>
      <c r="CX479" s="16"/>
      <c r="CY479" s="687"/>
      <c r="CZ479" s="16"/>
      <c r="DA479" s="687"/>
      <c r="DB479" s="16"/>
      <c r="DC479" s="16"/>
      <c r="DD479" s="687"/>
      <c r="DE479" s="16"/>
      <c r="DF479" s="687"/>
      <c r="DG479" s="16"/>
      <c r="DH479" s="687"/>
      <c r="DI479" s="16"/>
      <c r="DJ479" s="687"/>
      <c r="DK479" s="16"/>
      <c r="DL479" s="687"/>
      <c r="DM479" s="16"/>
      <c r="DN479" s="687"/>
      <c r="DO479" s="16"/>
      <c r="DP479" s="687"/>
      <c r="DQ479" s="16"/>
      <c r="DR479" s="687"/>
      <c r="DS479" s="16"/>
      <c r="DT479" s="687"/>
      <c r="DU479" s="16"/>
      <c r="DV479" s="687"/>
      <c r="DW479" s="16"/>
      <c r="DX479" s="687"/>
      <c r="DY479" s="16"/>
      <c r="DZ479" s="687"/>
      <c r="EA479" s="16"/>
      <c r="EB479" s="687"/>
      <c r="EC479" s="16"/>
      <c r="ED479" s="687"/>
      <c r="EE479" s="16"/>
      <c r="EF479" s="687"/>
      <c r="EG479" s="16"/>
      <c r="EH479" s="687"/>
      <c r="EI479" s="16"/>
      <c r="EJ479" s="687"/>
      <c r="EK479" s="16"/>
      <c r="EL479" s="687"/>
      <c r="EM479" s="687"/>
    </row>
    <row r="480" spans="1:143" ht="12.75" hidden="1" customHeight="1" outlineLevel="2" x14ac:dyDescent="0.2">
      <c r="A480" s="701" t="str">
        <f>INPUT!B416</f>
        <v>Benefits</v>
      </c>
      <c r="B480" s="151">
        <f>INPUT!AY416</f>
        <v>25.4</v>
      </c>
      <c r="C480" s="687">
        <f>INPUT!AZ416</f>
        <v>1.195219123505975</v>
      </c>
      <c r="D480" s="151">
        <f>INPUT!BA416</f>
        <v>27.5</v>
      </c>
      <c r="E480" s="687">
        <f>INPUT!BB416</f>
        <v>-1.4336917562723928</v>
      </c>
      <c r="F480" s="151">
        <f>INPUT!BC416</f>
        <v>25</v>
      </c>
      <c r="G480" s="687">
        <f>INPUT!BD416</f>
        <v>-29.577464788732399</v>
      </c>
      <c r="H480" s="151">
        <f>INPUT!BE416</f>
        <v>30.4</v>
      </c>
      <c r="I480" s="687">
        <f>INPUT!BF416</f>
        <v>10.545454545454547</v>
      </c>
      <c r="J480" s="151">
        <f>INPUT!BG416</f>
        <v>36</v>
      </c>
      <c r="K480" s="687">
        <f>INPUT!BH416</f>
        <v>41.732283464566947</v>
      </c>
      <c r="L480" s="151">
        <f>INPUT!BI416</f>
        <v>34.4</v>
      </c>
      <c r="M480" s="687">
        <f>INPUT!BJ416</f>
        <v>25.090909090909076</v>
      </c>
      <c r="N480" s="151">
        <f>INPUT!BK416</f>
        <v>30.2</v>
      </c>
      <c r="O480" s="687">
        <f>INPUT!BL416</f>
        <v>20.799999999999997</v>
      </c>
      <c r="P480" s="151">
        <f>INPUT!BM416</f>
        <v>36.9</v>
      </c>
      <c r="Q480" s="687">
        <f>INPUT!BN416</f>
        <v>21.381578947368428</v>
      </c>
      <c r="R480" s="151">
        <f>INPUT!BO416</f>
        <v>30.7</v>
      </c>
      <c r="S480" s="687">
        <f>INPUT!BP416</f>
        <v>-14.722222222222225</v>
      </c>
      <c r="T480" s="151">
        <f>INPUT!BQ416</f>
        <v>30.2</v>
      </c>
      <c r="U480" s="687">
        <f>INPUT!BR416</f>
        <v>-12.209302325581394</v>
      </c>
      <c r="V480" s="151">
        <f>INPUT!BS416</f>
        <v>26.5</v>
      </c>
      <c r="W480" s="687">
        <f>INPUT!BT416</f>
        <v>-12.251655629139069</v>
      </c>
      <c r="X480" s="151">
        <f>INPUT!BU416</f>
        <v>19.899999999999999</v>
      </c>
      <c r="Y480" s="687">
        <f>INPUT!BV416</f>
        <v>-46.070460704607051</v>
      </c>
      <c r="Z480" s="151">
        <f>INPUT!BW416</f>
        <v>18.399999999999999</v>
      </c>
      <c r="AA480" s="687">
        <f>INPUT!BX416</f>
        <v>-40.065146579804569</v>
      </c>
      <c r="AB480" s="151"/>
      <c r="AC480" s="687"/>
      <c r="AD480" s="151"/>
      <c r="AE480" s="687"/>
      <c r="AF480" s="151"/>
      <c r="AG480" s="687"/>
      <c r="AH480" s="151"/>
      <c r="AI480" s="687"/>
      <c r="AJ480" s="151"/>
      <c r="AK480" s="687"/>
      <c r="AL480" s="151"/>
      <c r="AM480" s="687"/>
      <c r="AN480" s="151"/>
      <c r="AO480" s="687"/>
      <c r="AP480" s="151"/>
      <c r="AQ480" s="687"/>
      <c r="AR480" s="151"/>
      <c r="AS480" s="687"/>
      <c r="AT480" s="151"/>
      <c r="AU480" s="687"/>
      <c r="AV480" s="151"/>
      <c r="AW480" s="687"/>
      <c r="AX480" s="151"/>
      <c r="AY480" s="687"/>
      <c r="AZ480" s="151"/>
      <c r="BA480" s="687"/>
      <c r="BB480" s="151"/>
      <c r="BC480" s="687"/>
      <c r="BD480" s="151"/>
      <c r="BE480" s="687"/>
      <c r="BF480" s="151"/>
      <c r="BG480" s="687"/>
      <c r="BH480" s="151"/>
      <c r="BI480" s="687"/>
      <c r="BJ480" s="151"/>
      <c r="BK480" s="687"/>
      <c r="BL480" s="151"/>
      <c r="BM480" s="687"/>
      <c r="BN480" s="151"/>
      <c r="BO480" s="687"/>
      <c r="BP480" s="151"/>
      <c r="BQ480" s="687"/>
      <c r="BR480" s="151"/>
      <c r="BS480" s="687"/>
      <c r="BT480" s="151"/>
      <c r="BU480" s="687"/>
      <c r="BV480" s="151"/>
      <c r="BW480" s="687"/>
      <c r="BX480" s="151"/>
      <c r="BY480" s="687"/>
      <c r="BZ480" s="151"/>
      <c r="CA480" s="687"/>
      <c r="CB480" s="151"/>
      <c r="CC480" s="687"/>
      <c r="CD480" s="151"/>
      <c r="CE480" s="687"/>
      <c r="CF480" s="151"/>
      <c r="CG480" s="687"/>
      <c r="CH480" s="151"/>
      <c r="CI480" s="687"/>
      <c r="CJ480" s="151"/>
      <c r="CK480" s="687"/>
      <c r="CL480" s="151"/>
      <c r="CM480" s="687"/>
      <c r="CN480" s="151"/>
      <c r="CO480" s="687"/>
      <c r="CP480" s="151"/>
      <c r="CQ480" s="687"/>
      <c r="CR480" s="151"/>
      <c r="CS480" s="687"/>
      <c r="CT480" s="151"/>
      <c r="CU480" s="687"/>
      <c r="CV480" s="151"/>
      <c r="CW480" s="687"/>
      <c r="CX480" s="151"/>
      <c r="CY480" s="687"/>
      <c r="CZ480" s="151"/>
      <c r="DA480" s="687"/>
      <c r="DB480" s="16"/>
      <c r="DC480" s="151">
        <f>INPUT!FP416</f>
        <v>116</v>
      </c>
      <c r="DD480" s="687">
        <f>INPUT!FQ416</f>
        <v>15.422885572139311</v>
      </c>
      <c r="DE480" s="151">
        <f>INPUT!FR416</f>
        <v>108.30000000000001</v>
      </c>
      <c r="DF480" s="687">
        <f>INPUT!FS416</f>
        <v>-6.6379310344827474</v>
      </c>
      <c r="DG480" s="151">
        <f>INPUT!FT416</f>
        <v>137.5</v>
      </c>
      <c r="DH480" s="687">
        <f>INPUT!FU416</f>
        <v>26.962142197599249</v>
      </c>
      <c r="DI480" s="151">
        <f>INPUT!FV416</f>
        <v>107.30000000000001</v>
      </c>
      <c r="DJ480" s="687">
        <f>INPUT!FW416</f>
        <v>-21.963636363636351</v>
      </c>
      <c r="DK480" s="151"/>
      <c r="DL480" s="687"/>
      <c r="DM480" s="151"/>
      <c r="DN480" s="687"/>
      <c r="DO480" s="151"/>
      <c r="DP480" s="687"/>
      <c r="DQ480" s="151"/>
      <c r="DR480" s="687"/>
      <c r="DS480" s="151"/>
      <c r="DT480" s="687"/>
      <c r="DU480" s="151"/>
      <c r="DV480" s="687"/>
      <c r="DW480" s="151"/>
      <c r="DX480" s="687"/>
      <c r="DY480" s="151"/>
      <c r="DZ480" s="687"/>
      <c r="EA480" s="151"/>
      <c r="EB480" s="687"/>
      <c r="EC480" s="151"/>
      <c r="ED480" s="687"/>
      <c r="EE480" s="151"/>
      <c r="EF480" s="687"/>
      <c r="EG480" s="151"/>
      <c r="EH480" s="687"/>
      <c r="EI480" s="151"/>
      <c r="EJ480" s="687"/>
      <c r="EK480" s="151"/>
      <c r="EL480" s="687"/>
      <c r="EM480" s="687"/>
    </row>
    <row r="481" spans="1:143" ht="12.75" hidden="1" customHeight="1" outlineLevel="2" x14ac:dyDescent="0.2">
      <c r="A481" s="701" t="str">
        <f>INPUT!B417</f>
        <v xml:space="preserve"> Operating Expenses (incl DAC Exp)</v>
      </c>
      <c r="B481" s="151">
        <f>INPUT!AY417</f>
        <v>27.6</v>
      </c>
      <c r="C481" s="687">
        <f>INPUT!AZ417</f>
        <v>-18.823529411764707</v>
      </c>
      <c r="D481" s="151">
        <f>INPUT!BA417</f>
        <v>38.9</v>
      </c>
      <c r="E481" s="687">
        <f>INPUT!BB417</f>
        <v>12.427745664739875</v>
      </c>
      <c r="F481" s="151">
        <f>INPUT!BC417</f>
        <v>34.5</v>
      </c>
      <c r="G481" s="687">
        <f>INPUT!BD417</f>
        <v>-34.535104364326372</v>
      </c>
      <c r="H481" s="151">
        <f>INPUT!BE417</f>
        <v>39.1</v>
      </c>
      <c r="I481" s="687" t="str">
        <f>INPUT!BF417</f>
        <v>NM</v>
      </c>
      <c r="J481" s="151">
        <f>INPUT!BG417</f>
        <v>38</v>
      </c>
      <c r="K481" s="687">
        <f>INPUT!BH417</f>
        <v>37.681159420289845</v>
      </c>
      <c r="L481" s="151">
        <f>INPUT!BI417</f>
        <v>40.1</v>
      </c>
      <c r="M481" s="687">
        <f>INPUT!BJ417</f>
        <v>3.084832904884327</v>
      </c>
      <c r="N481" s="151">
        <f>INPUT!BK417</f>
        <v>42.5</v>
      </c>
      <c r="O481" s="687">
        <f>INPUT!BL417</f>
        <v>23.188405797101442</v>
      </c>
      <c r="P481" s="151">
        <f>INPUT!BM417</f>
        <v>41.9</v>
      </c>
      <c r="Q481" s="687">
        <f>INPUT!BN417</f>
        <v>7.1611253196930846</v>
      </c>
      <c r="R481" s="151">
        <f>INPUT!BO417</f>
        <v>38.5</v>
      </c>
      <c r="S481" s="687">
        <f>INPUT!BP417</f>
        <v>1.3157894736842035</v>
      </c>
      <c r="T481" s="151">
        <f>INPUT!BQ417</f>
        <v>40</v>
      </c>
      <c r="U481" s="687">
        <f>INPUT!BR417</f>
        <v>-0.24937655860349794</v>
      </c>
      <c r="V481" s="151">
        <f>INPUT!BS417</f>
        <v>34.4</v>
      </c>
      <c r="W481" s="687">
        <f>INPUT!BT417</f>
        <v>-19.058823529411772</v>
      </c>
      <c r="X481" s="151">
        <f>INPUT!BU417</f>
        <v>30</v>
      </c>
      <c r="Y481" s="687">
        <f>INPUT!BV417</f>
        <v>-28.400954653937948</v>
      </c>
      <c r="Z481" s="151">
        <f>INPUT!BW417</f>
        <v>19.5</v>
      </c>
      <c r="AA481" s="687">
        <f>INPUT!BX417</f>
        <v>-49.350649350649356</v>
      </c>
      <c r="AB481" s="151"/>
      <c r="AC481" s="687"/>
      <c r="AD481" s="151"/>
      <c r="AE481" s="687"/>
      <c r="AF481" s="151"/>
      <c r="AG481" s="687"/>
      <c r="AH481" s="151"/>
      <c r="AI481" s="687"/>
      <c r="AJ481" s="151"/>
      <c r="AK481" s="687"/>
      <c r="AL481" s="151"/>
      <c r="AM481" s="687"/>
      <c r="AN481" s="151"/>
      <c r="AO481" s="687"/>
      <c r="AP481" s="151"/>
      <c r="AQ481" s="687"/>
      <c r="AR481" s="151"/>
      <c r="AS481" s="687"/>
      <c r="AT481" s="151"/>
      <c r="AU481" s="687"/>
      <c r="AV481" s="151"/>
      <c r="AW481" s="687"/>
      <c r="AX481" s="151"/>
      <c r="AY481" s="687"/>
      <c r="AZ481" s="151"/>
      <c r="BA481" s="687"/>
      <c r="BB481" s="151"/>
      <c r="BC481" s="687"/>
      <c r="BD481" s="151"/>
      <c r="BE481" s="687"/>
      <c r="BF481" s="151"/>
      <c r="BG481" s="687"/>
      <c r="BH481" s="151"/>
      <c r="BI481" s="687"/>
      <c r="BJ481" s="151"/>
      <c r="BK481" s="687"/>
      <c r="BL481" s="151"/>
      <c r="BM481" s="687"/>
      <c r="BN481" s="151"/>
      <c r="BO481" s="687"/>
      <c r="BP481" s="151"/>
      <c r="BQ481" s="687"/>
      <c r="BR481" s="151"/>
      <c r="BS481" s="687"/>
      <c r="BT481" s="151"/>
      <c r="BU481" s="687"/>
      <c r="BV481" s="151"/>
      <c r="BW481" s="687"/>
      <c r="BX481" s="151"/>
      <c r="BY481" s="687"/>
      <c r="BZ481" s="151"/>
      <c r="CA481" s="687"/>
      <c r="CB481" s="151"/>
      <c r="CC481" s="687"/>
      <c r="CD481" s="151"/>
      <c r="CE481" s="687"/>
      <c r="CF481" s="151"/>
      <c r="CG481" s="687"/>
      <c r="CH481" s="151"/>
      <c r="CI481" s="687"/>
      <c r="CJ481" s="151"/>
      <c r="CK481" s="687"/>
      <c r="CL481" s="151"/>
      <c r="CM481" s="687"/>
      <c r="CN481" s="151"/>
      <c r="CO481" s="687"/>
      <c r="CP481" s="151"/>
      <c r="CQ481" s="687"/>
      <c r="CR481" s="151"/>
      <c r="CS481" s="687"/>
      <c r="CT481" s="151"/>
      <c r="CU481" s="687"/>
      <c r="CV481" s="151"/>
      <c r="CW481" s="687"/>
      <c r="CX481" s="151"/>
      <c r="CY481" s="687"/>
      <c r="CZ481" s="151"/>
      <c r="DA481" s="687"/>
      <c r="DB481" s="16"/>
      <c r="DC481" s="151">
        <f>INPUT!FP417</f>
        <v>135.69999999999999</v>
      </c>
      <c r="DD481" s="687">
        <f>INPUT!FQ417</f>
        <v>-22.368421052631593</v>
      </c>
      <c r="DE481" s="151">
        <f>INPUT!FR417</f>
        <v>140.1</v>
      </c>
      <c r="DF481" s="687">
        <f>INPUT!FS417</f>
        <v>3.2424465733235097</v>
      </c>
      <c r="DG481" s="151">
        <f>INPUT!FT417</f>
        <v>162.5</v>
      </c>
      <c r="DH481" s="687">
        <f>INPUT!FU417</f>
        <v>15.988579586009987</v>
      </c>
      <c r="DI481" s="151">
        <f>INPUT!FV417</f>
        <v>142.9</v>
      </c>
      <c r="DJ481" s="687">
        <f>INPUT!FW417</f>
        <v>-12.061538461538458</v>
      </c>
      <c r="DK481" s="151"/>
      <c r="DL481" s="687"/>
      <c r="DM481" s="151"/>
      <c r="DN481" s="687"/>
      <c r="DO481" s="151"/>
      <c r="DP481" s="687"/>
      <c r="DQ481" s="151"/>
      <c r="DR481" s="687"/>
      <c r="DS481" s="151"/>
      <c r="DT481" s="687"/>
      <c r="DU481" s="151"/>
      <c r="DV481" s="687"/>
      <c r="DW481" s="151"/>
      <c r="DX481" s="687"/>
      <c r="DY481" s="151"/>
      <c r="DZ481" s="687"/>
      <c r="EA481" s="151"/>
      <c r="EB481" s="687"/>
      <c r="EC481" s="151"/>
      <c r="ED481" s="687"/>
      <c r="EE481" s="151"/>
      <c r="EF481" s="687"/>
      <c r="EG481" s="151"/>
      <c r="EH481" s="687"/>
      <c r="EI481" s="151"/>
      <c r="EJ481" s="687"/>
      <c r="EK481" s="151"/>
      <c r="EL481" s="687"/>
      <c r="EM481" s="687"/>
    </row>
    <row r="482" spans="1:143" ht="12.75" hidden="1" customHeight="1" outlineLevel="2" x14ac:dyDescent="0.2">
      <c r="A482" s="701" t="str">
        <f>INPUT!B418</f>
        <v>Total Benefits and Operating Expenses</v>
      </c>
      <c r="B482" s="151">
        <f>INPUT!AY418</f>
        <v>53</v>
      </c>
      <c r="C482" s="687">
        <f>INPUT!AZ418</f>
        <v>-10.321489001692052</v>
      </c>
      <c r="D482" s="151">
        <f>INPUT!BA418</f>
        <v>66.400000000000006</v>
      </c>
      <c r="E482" s="687">
        <f>INPUT!BB418</f>
        <v>6.2400000000000011</v>
      </c>
      <c r="F482" s="151">
        <f>INPUT!BC418</f>
        <v>59.5</v>
      </c>
      <c r="G482" s="687">
        <f>INPUT!BD418</f>
        <v>-32.539682539682545</v>
      </c>
      <c r="H482" s="151">
        <f>INPUT!BE418</f>
        <v>69.5</v>
      </c>
      <c r="I482" s="687">
        <f>INPUT!BF418</f>
        <v>65.871121718377097</v>
      </c>
      <c r="J482" s="151">
        <f>INPUT!BG418</f>
        <v>74</v>
      </c>
      <c r="K482" s="687">
        <f>INPUT!BH418</f>
        <v>39.622641509433954</v>
      </c>
      <c r="L482" s="151">
        <f>INPUT!BI418</f>
        <v>74.5</v>
      </c>
      <c r="M482" s="687">
        <f>INPUT!BJ418</f>
        <v>12.198795180722888</v>
      </c>
      <c r="N482" s="151">
        <f>INPUT!BK418</f>
        <v>72.7</v>
      </c>
      <c r="O482" s="687">
        <f>INPUT!BL418</f>
        <v>22.184873949579842</v>
      </c>
      <c r="P482" s="151">
        <f>INPUT!BM418</f>
        <v>78.8</v>
      </c>
      <c r="Q482" s="687">
        <f>INPUT!BN418</f>
        <v>13.381294964028779</v>
      </c>
      <c r="R482" s="151">
        <f>INPUT!BO418</f>
        <v>69.2</v>
      </c>
      <c r="S482" s="687">
        <f>INPUT!BP418</f>
        <v>-6.4864864864864868</v>
      </c>
      <c r="T482" s="151">
        <f>INPUT!BQ418</f>
        <v>70.2</v>
      </c>
      <c r="U482" s="687">
        <f>INPUT!BR418</f>
        <v>-5.7718120805369093</v>
      </c>
      <c r="V482" s="151">
        <f>INPUT!BS418</f>
        <v>60.9</v>
      </c>
      <c r="W482" s="687">
        <f>INPUT!BT418</f>
        <v>-16.231086657496562</v>
      </c>
      <c r="X482" s="151">
        <f>INPUT!BU418</f>
        <v>49.9</v>
      </c>
      <c r="Y482" s="687">
        <f>INPUT!BV418</f>
        <v>-36.675126903553299</v>
      </c>
      <c r="Z482" s="151">
        <f>INPUT!BW418</f>
        <v>37.9</v>
      </c>
      <c r="AA482" s="687">
        <f>INPUT!BX418</f>
        <v>-45.231213872832377</v>
      </c>
      <c r="AB482" s="151"/>
      <c r="AC482" s="687"/>
      <c r="AD482" s="151"/>
      <c r="AE482" s="687"/>
      <c r="AF482" s="151"/>
      <c r="AG482" s="687"/>
      <c r="AH482" s="151"/>
      <c r="AI482" s="687"/>
      <c r="AJ482" s="151"/>
      <c r="AK482" s="687"/>
      <c r="AL482" s="151"/>
      <c r="AM482" s="687"/>
      <c r="AN482" s="151"/>
      <c r="AO482" s="687"/>
      <c r="AP482" s="151"/>
      <c r="AQ482" s="687"/>
      <c r="AR482" s="151"/>
      <c r="AS482" s="687"/>
      <c r="AT482" s="151"/>
      <c r="AU482" s="687"/>
      <c r="AV482" s="151"/>
      <c r="AW482" s="687"/>
      <c r="AX482" s="151"/>
      <c r="AY482" s="687"/>
      <c r="AZ482" s="151"/>
      <c r="BA482" s="687"/>
      <c r="BB482" s="151"/>
      <c r="BC482" s="687"/>
      <c r="BD482" s="151"/>
      <c r="BE482" s="687"/>
      <c r="BF482" s="151"/>
      <c r="BG482" s="687"/>
      <c r="BH482" s="151"/>
      <c r="BI482" s="687"/>
      <c r="BJ482" s="151"/>
      <c r="BK482" s="687"/>
      <c r="BL482" s="151"/>
      <c r="BM482" s="687"/>
      <c r="BN482" s="151"/>
      <c r="BO482" s="687"/>
      <c r="BP482" s="151"/>
      <c r="BQ482" s="687"/>
      <c r="BR482" s="151"/>
      <c r="BS482" s="687"/>
      <c r="BT482" s="151"/>
      <c r="BU482" s="687"/>
      <c r="BV482" s="151"/>
      <c r="BW482" s="687"/>
      <c r="BX482" s="151"/>
      <c r="BY482" s="687"/>
      <c r="BZ482" s="151"/>
      <c r="CA482" s="687"/>
      <c r="CB482" s="151"/>
      <c r="CC482" s="687"/>
      <c r="CD482" s="151"/>
      <c r="CE482" s="687"/>
      <c r="CF482" s="151"/>
      <c r="CG482" s="687"/>
      <c r="CH482" s="151"/>
      <c r="CI482" s="687"/>
      <c r="CJ482" s="151"/>
      <c r="CK482" s="687"/>
      <c r="CL482" s="151"/>
      <c r="CM482" s="687"/>
      <c r="CN482" s="151"/>
      <c r="CO482" s="687"/>
      <c r="CP482" s="151"/>
      <c r="CQ482" s="687"/>
      <c r="CR482" s="151"/>
      <c r="CS482" s="687"/>
      <c r="CT482" s="151"/>
      <c r="CU482" s="687"/>
      <c r="CV482" s="151"/>
      <c r="CW482" s="687"/>
      <c r="CX482" s="151"/>
      <c r="CY482" s="687"/>
      <c r="CZ482" s="151"/>
      <c r="DA482" s="687"/>
      <c r="DB482" s="16"/>
      <c r="DC482" s="151">
        <f>INPUT!FP418</f>
        <v>251.7</v>
      </c>
      <c r="DD482" s="687">
        <f>INPUT!FQ418</f>
        <v>-8.572466400290601</v>
      </c>
      <c r="DE482" s="151">
        <f>INPUT!FR418</f>
        <v>248.4</v>
      </c>
      <c r="DF482" s="687">
        <f>INPUT!FS418</f>
        <v>-1.3110846245530272</v>
      </c>
      <c r="DG482" s="151">
        <f>INPUT!FT418</f>
        <v>300</v>
      </c>
      <c r="DH482" s="687">
        <f>INPUT!FU418</f>
        <v>20.772946859903385</v>
      </c>
      <c r="DI482" s="151">
        <f>INPUT!FV418</f>
        <v>250.20000000000002</v>
      </c>
      <c r="DJ482" s="687">
        <f>INPUT!FW418</f>
        <v>-16.599999999999994</v>
      </c>
      <c r="DK482" s="151"/>
      <c r="DL482" s="687"/>
      <c r="DM482" s="151"/>
      <c r="DN482" s="687"/>
      <c r="DO482" s="151"/>
      <c r="DP482" s="687"/>
      <c r="DQ482" s="151"/>
      <c r="DR482" s="687"/>
      <c r="DS482" s="151"/>
      <c r="DT482" s="687"/>
      <c r="DU482" s="151"/>
      <c r="DV482" s="687"/>
      <c r="DW482" s="151"/>
      <c r="DX482" s="687"/>
      <c r="DY482" s="151"/>
      <c r="DZ482" s="687"/>
      <c r="EA482" s="151"/>
      <c r="EB482" s="687"/>
      <c r="EC482" s="151"/>
      <c r="ED482" s="687"/>
      <c r="EE482" s="151"/>
      <c r="EF482" s="687"/>
      <c r="EG482" s="151"/>
      <c r="EH482" s="687"/>
      <c r="EI482" s="151"/>
      <c r="EJ482" s="687"/>
      <c r="EK482" s="151"/>
      <c r="EL482" s="687"/>
      <c r="EM482" s="687"/>
    </row>
    <row r="483" spans="1:143" ht="12.75" hidden="1" customHeight="1" outlineLevel="2" x14ac:dyDescent="0.2">
      <c r="A483" s="701"/>
      <c r="B483" s="16"/>
      <c r="C483" s="687"/>
      <c r="D483" s="16"/>
      <c r="E483" s="687"/>
      <c r="F483" s="16"/>
      <c r="G483" s="687"/>
      <c r="H483" s="16"/>
      <c r="I483" s="687"/>
      <c r="J483" s="16"/>
      <c r="K483" s="687"/>
      <c r="L483" s="16"/>
      <c r="M483" s="687"/>
      <c r="N483" s="16"/>
      <c r="O483" s="687"/>
      <c r="P483" s="16"/>
      <c r="Q483" s="687"/>
      <c r="R483" s="16"/>
      <c r="S483" s="687"/>
      <c r="T483" s="16"/>
      <c r="U483" s="687"/>
      <c r="V483" s="16"/>
      <c r="W483" s="687"/>
      <c r="X483" s="16"/>
      <c r="Y483" s="687"/>
      <c r="Z483" s="16"/>
      <c r="AA483" s="687"/>
      <c r="AB483" s="16"/>
      <c r="AC483" s="687"/>
      <c r="AD483" s="16"/>
      <c r="AE483" s="687"/>
      <c r="AF483" s="16"/>
      <c r="AG483" s="687"/>
      <c r="AH483" s="16"/>
      <c r="AI483" s="687"/>
      <c r="AJ483" s="16"/>
      <c r="AK483" s="687"/>
      <c r="AL483" s="16"/>
      <c r="AM483" s="687"/>
      <c r="AN483" s="16"/>
      <c r="AO483" s="687"/>
      <c r="AP483" s="16"/>
      <c r="AQ483" s="687"/>
      <c r="AR483" s="16"/>
      <c r="AS483" s="687"/>
      <c r="AT483" s="16"/>
      <c r="AU483" s="687"/>
      <c r="AV483" s="16"/>
      <c r="AW483" s="687"/>
      <c r="AX483" s="16"/>
      <c r="AY483" s="687"/>
      <c r="AZ483" s="16"/>
      <c r="BA483" s="687"/>
      <c r="BB483" s="16"/>
      <c r="BC483" s="687"/>
      <c r="BD483" s="16"/>
      <c r="BE483" s="687"/>
      <c r="BF483" s="16"/>
      <c r="BG483" s="687"/>
      <c r="BH483" s="16"/>
      <c r="BI483" s="687"/>
      <c r="BJ483" s="16"/>
      <c r="BK483" s="687"/>
      <c r="BL483" s="16"/>
      <c r="BM483" s="687"/>
      <c r="BN483" s="16"/>
      <c r="BO483" s="687"/>
      <c r="BP483" s="16"/>
      <c r="BQ483" s="687"/>
      <c r="BR483" s="16"/>
      <c r="BS483" s="687"/>
      <c r="BT483" s="16"/>
      <c r="BU483" s="687"/>
      <c r="BV483" s="16"/>
      <c r="BW483" s="687"/>
      <c r="BX483" s="16"/>
      <c r="BY483" s="687"/>
      <c r="BZ483" s="16"/>
      <c r="CA483" s="687"/>
      <c r="CB483" s="16"/>
      <c r="CC483" s="687"/>
      <c r="CD483" s="16"/>
      <c r="CE483" s="687"/>
      <c r="CF483" s="16"/>
      <c r="CG483" s="687"/>
      <c r="CH483" s="16"/>
      <c r="CI483" s="687"/>
      <c r="CJ483" s="16"/>
      <c r="CK483" s="687"/>
      <c r="CL483" s="16"/>
      <c r="CM483" s="687"/>
      <c r="CN483" s="16"/>
      <c r="CO483" s="687"/>
      <c r="CP483" s="16"/>
      <c r="CQ483" s="687"/>
      <c r="CR483" s="16"/>
      <c r="CS483" s="687"/>
      <c r="CT483" s="16"/>
      <c r="CU483" s="687"/>
      <c r="CV483" s="16"/>
      <c r="CW483" s="687"/>
      <c r="CX483" s="16"/>
      <c r="CY483" s="687"/>
      <c r="CZ483" s="16"/>
      <c r="DA483" s="687"/>
      <c r="DB483" s="16"/>
      <c r="DC483" s="16"/>
      <c r="DD483" s="687"/>
      <c r="DE483" s="16"/>
      <c r="DF483" s="687"/>
      <c r="DG483" s="16"/>
      <c r="DH483" s="687"/>
      <c r="DI483" s="16"/>
      <c r="DJ483" s="687"/>
      <c r="DK483" s="16"/>
      <c r="DL483" s="687"/>
      <c r="DM483" s="16"/>
      <c r="DN483" s="687"/>
      <c r="DO483" s="16"/>
      <c r="DP483" s="687"/>
      <c r="DQ483" s="16"/>
      <c r="DR483" s="687"/>
      <c r="DS483" s="16"/>
      <c r="DT483" s="687"/>
      <c r="DU483" s="16"/>
      <c r="DV483" s="687"/>
      <c r="DW483" s="16"/>
      <c r="DX483" s="687"/>
      <c r="DY483" s="16"/>
      <c r="DZ483" s="687"/>
      <c r="EA483" s="16"/>
      <c r="EB483" s="687"/>
      <c r="EC483" s="16"/>
      <c r="ED483" s="687"/>
      <c r="EE483" s="16"/>
      <c r="EF483" s="687"/>
      <c r="EG483" s="16"/>
      <c r="EH483" s="687"/>
      <c r="EI483" s="16"/>
      <c r="EJ483" s="687"/>
      <c r="EK483" s="16"/>
      <c r="EL483" s="687"/>
      <c r="EM483" s="687"/>
    </row>
    <row r="484" spans="1:143" ht="12.75" hidden="1" customHeight="1" outlineLevel="2" x14ac:dyDescent="0.2">
      <c r="A484" s="701" t="str">
        <f>INPUT!B425</f>
        <v>Pretax Earnings</v>
      </c>
      <c r="B484" s="151">
        <f>INPUT!AY425</f>
        <v>16.46</v>
      </c>
      <c r="C484" s="687">
        <f>INPUT!AZ425</f>
        <v>6.6753078418664513</v>
      </c>
      <c r="D484" s="151">
        <f>INPUT!BA425</f>
        <v>14.859999999999992</v>
      </c>
      <c r="E484" s="687">
        <f>INPUT!BB425</f>
        <v>-6.3051702395965581</v>
      </c>
      <c r="F484" s="151">
        <f>INPUT!BC425</f>
        <v>12.759999999999998</v>
      </c>
      <c r="G484" s="687">
        <f>INPUT!BD425</f>
        <v>-12.362637362637429</v>
      </c>
      <c r="H484" s="151">
        <f>INPUT!BE425</f>
        <v>15.259999999999998</v>
      </c>
      <c r="I484" s="687">
        <f>INPUT!BF425</f>
        <v>-25.778210116731536</v>
      </c>
      <c r="J484" s="151">
        <f>INPUT!BG425</f>
        <v>16.700000000000003</v>
      </c>
      <c r="K484" s="687">
        <f>INPUT!BH425</f>
        <v>1.4580801944106936</v>
      </c>
      <c r="L484" s="151">
        <f>INPUT!BI425</f>
        <v>18</v>
      </c>
      <c r="M484" s="687">
        <f>INPUT!BJ425</f>
        <v>21.130551816958331</v>
      </c>
      <c r="N484" s="151">
        <f>INPUT!BK425</f>
        <v>16.000000000000014</v>
      </c>
      <c r="O484" s="687">
        <f>INPUT!BL425</f>
        <v>25.391849529780686</v>
      </c>
      <c r="P484" s="151">
        <f>INPUT!BM425</f>
        <v>19.600000000000009</v>
      </c>
      <c r="Q484" s="687">
        <f>INPUT!BN425</f>
        <v>28.440366972477136</v>
      </c>
      <c r="R484" s="151">
        <f>INPUT!BO425</f>
        <v>16.500000000000014</v>
      </c>
      <c r="S484" s="687">
        <f>INPUT!BP425</f>
        <v>-1.1976047904190934</v>
      </c>
      <c r="T484" s="151">
        <f>INPUT!BQ425</f>
        <v>27.699999999999989</v>
      </c>
      <c r="U484" s="687">
        <f>INPUT!BR425</f>
        <v>53.888888888888829</v>
      </c>
      <c r="V484" s="151">
        <f>INPUT!BS425</f>
        <v>18.899999999999999</v>
      </c>
      <c r="W484" s="687">
        <f>INPUT!BT425</f>
        <v>18.124999999999879</v>
      </c>
      <c r="X484" s="151">
        <f>INPUT!BU425</f>
        <v>14.500000000000007</v>
      </c>
      <c r="Y484" s="687">
        <f>INPUT!BV425</f>
        <v>-26.020408163265309</v>
      </c>
      <c r="Z484" s="151">
        <f>INPUT!BW425</f>
        <v>9.5</v>
      </c>
      <c r="AA484" s="687">
        <f>INPUT!BX425</f>
        <v>-42.424242424242479</v>
      </c>
      <c r="AB484" s="151"/>
      <c r="AC484" s="687"/>
      <c r="AD484" s="151"/>
      <c r="AE484" s="687"/>
      <c r="AF484" s="151"/>
      <c r="AG484" s="687"/>
      <c r="AH484" s="151"/>
      <c r="AI484" s="687"/>
      <c r="AJ484" s="151"/>
      <c r="AK484" s="687"/>
      <c r="AL484" s="151"/>
      <c r="AM484" s="687"/>
      <c r="AN484" s="151"/>
      <c r="AO484" s="687"/>
      <c r="AP484" s="151"/>
      <c r="AQ484" s="687"/>
      <c r="AR484" s="151"/>
      <c r="AS484" s="687"/>
      <c r="AT484" s="151"/>
      <c r="AU484" s="687"/>
      <c r="AV484" s="151"/>
      <c r="AW484" s="687"/>
      <c r="AX484" s="151"/>
      <c r="AY484" s="687"/>
      <c r="AZ484" s="151"/>
      <c r="BA484" s="687"/>
      <c r="BB484" s="151"/>
      <c r="BC484" s="687"/>
      <c r="BD484" s="151"/>
      <c r="BE484" s="687"/>
      <c r="BF484" s="151"/>
      <c r="BG484" s="687"/>
      <c r="BH484" s="151"/>
      <c r="BI484" s="687"/>
      <c r="BJ484" s="151"/>
      <c r="BK484" s="687"/>
      <c r="BL484" s="151"/>
      <c r="BM484" s="687"/>
      <c r="BN484" s="151"/>
      <c r="BO484" s="687"/>
      <c r="BP484" s="151"/>
      <c r="BQ484" s="687"/>
      <c r="BR484" s="151"/>
      <c r="BS484" s="687"/>
      <c r="BT484" s="151"/>
      <c r="BU484" s="687"/>
      <c r="BV484" s="151"/>
      <c r="BW484" s="687"/>
      <c r="BX484" s="151"/>
      <c r="BY484" s="687"/>
      <c r="BZ484" s="151"/>
      <c r="CA484" s="687"/>
      <c r="CB484" s="151"/>
      <c r="CC484" s="687"/>
      <c r="CD484" s="151"/>
      <c r="CE484" s="687"/>
      <c r="CF484" s="151"/>
      <c r="CG484" s="687"/>
      <c r="CH484" s="151"/>
      <c r="CI484" s="687"/>
      <c r="CJ484" s="151"/>
      <c r="CK484" s="687"/>
      <c r="CL484" s="151"/>
      <c r="CM484" s="687"/>
      <c r="CN484" s="151"/>
      <c r="CO484" s="687"/>
      <c r="CP484" s="151"/>
      <c r="CQ484" s="687"/>
      <c r="CR484" s="151"/>
      <c r="CS484" s="687"/>
      <c r="CT484" s="151"/>
      <c r="CU484" s="687"/>
      <c r="CV484" s="151"/>
      <c r="CW484" s="687"/>
      <c r="CX484" s="151"/>
      <c r="CY484" s="687"/>
      <c r="CZ484" s="151"/>
      <c r="DA484" s="687"/>
      <c r="DB484" s="16"/>
      <c r="DC484" s="151">
        <f>INPUT!FP425</f>
        <v>66.57000000000005</v>
      </c>
      <c r="DD484" s="687">
        <f>INPUT!FQ425</f>
        <v>-0.6417910447760411</v>
      </c>
      <c r="DE484" s="151">
        <f>INPUT!FR425</f>
        <v>59.499999999999972</v>
      </c>
      <c r="DF484" s="687">
        <f>INPUT!FS425</f>
        <v>-10.620399579390227</v>
      </c>
      <c r="DG484" s="151">
        <f>INPUT!FT425</f>
        <v>70.299999999999955</v>
      </c>
      <c r="DH484" s="687">
        <f>INPUT!FU425</f>
        <v>18.151260504201659</v>
      </c>
      <c r="DI484" s="151">
        <f>INPUT!FV425</f>
        <v>77.599999999999994</v>
      </c>
      <c r="DJ484" s="687">
        <f>INPUT!FW425</f>
        <v>10.384068278805181</v>
      </c>
      <c r="DK484" s="151"/>
      <c r="DL484" s="687"/>
      <c r="DM484" s="151"/>
      <c r="DN484" s="687"/>
      <c r="DO484" s="151"/>
      <c r="DP484" s="687"/>
      <c r="DQ484" s="151"/>
      <c r="DR484" s="687"/>
      <c r="DS484" s="151"/>
      <c r="DT484" s="687"/>
      <c r="DU484" s="151"/>
      <c r="DV484" s="687"/>
      <c r="DW484" s="151"/>
      <c r="DX484" s="687"/>
      <c r="DY484" s="151"/>
      <c r="DZ484" s="687"/>
      <c r="EA484" s="151"/>
      <c r="EB484" s="687"/>
      <c r="EC484" s="151"/>
      <c r="ED484" s="687"/>
      <c r="EE484" s="151"/>
      <c r="EF484" s="687"/>
      <c r="EG484" s="151"/>
      <c r="EH484" s="687"/>
      <c r="EI484" s="151"/>
      <c r="EJ484" s="687"/>
      <c r="EK484" s="151"/>
      <c r="EL484" s="687"/>
      <c r="EM484" s="687"/>
    </row>
    <row r="485" spans="1:143" ht="12.75" hidden="1" customHeight="1" outlineLevel="2" x14ac:dyDescent="0.2">
      <c r="A485" s="701" t="str">
        <f>INPUT!B426</f>
        <v>Taxes</v>
      </c>
      <c r="B485" s="151">
        <f>INPUT!AY426</f>
        <v>5.8</v>
      </c>
      <c r="C485" s="687">
        <f>INPUT!AZ426</f>
        <v>7.4074074074073959</v>
      </c>
      <c r="D485" s="151">
        <f>INPUT!BA426</f>
        <v>5.2</v>
      </c>
      <c r="E485" s="687">
        <f>INPUT!BB426</f>
        <v>-7.1428571428571281</v>
      </c>
      <c r="F485" s="151">
        <f>INPUT!BC426</f>
        <v>4.5</v>
      </c>
      <c r="G485" s="687">
        <f>INPUT!BD426</f>
        <v>-11.764705882352933</v>
      </c>
      <c r="H485" s="151">
        <f>INPUT!BE426</f>
        <v>5.4</v>
      </c>
      <c r="I485" s="687">
        <f>INPUT!BF426</f>
        <v>-25</v>
      </c>
      <c r="J485" s="151">
        <f>INPUT!BG426</f>
        <v>5.9</v>
      </c>
      <c r="K485" s="687">
        <f>INPUT!BH426</f>
        <v>1.7241379310344973</v>
      </c>
      <c r="L485" s="151">
        <f>INPUT!BI426</f>
        <v>6.3</v>
      </c>
      <c r="M485" s="687">
        <f>INPUT!BJ426</f>
        <v>21.153846153846146</v>
      </c>
      <c r="N485" s="151">
        <f>INPUT!BK426</f>
        <v>5.6</v>
      </c>
      <c r="O485" s="687">
        <f>INPUT!BL426</f>
        <v>24.444444444444446</v>
      </c>
      <c r="P485" s="151">
        <f>INPUT!BM426</f>
        <v>6.8</v>
      </c>
      <c r="Q485" s="687">
        <f>INPUT!BN426</f>
        <v>25.92592592592591</v>
      </c>
      <c r="R485" s="151">
        <f>INPUT!BO426</f>
        <v>5.7</v>
      </c>
      <c r="S485" s="687">
        <f>INPUT!BP426</f>
        <v>-3.3898305084745783</v>
      </c>
      <c r="T485" s="151">
        <f>INPUT!BQ426</f>
        <v>9.6999999999999993</v>
      </c>
      <c r="U485" s="687">
        <f>INPUT!BR426</f>
        <v>53.968253968253954</v>
      </c>
      <c r="V485" s="151">
        <f>INPUT!BS426</f>
        <v>6.6</v>
      </c>
      <c r="W485" s="687">
        <f>INPUT!BT426</f>
        <v>17.857142857142861</v>
      </c>
      <c r="X485" s="151">
        <f>INPUT!BU426</f>
        <v>5.0999999999999996</v>
      </c>
      <c r="Y485" s="687">
        <f>INPUT!BV426</f>
        <v>-25</v>
      </c>
      <c r="Z485" s="151">
        <f>INPUT!BW426</f>
        <v>3.3</v>
      </c>
      <c r="AA485" s="687">
        <f>INPUT!BX426</f>
        <v>-42.105263157894747</v>
      </c>
      <c r="AB485" s="151"/>
      <c r="AC485" s="687"/>
      <c r="AD485" s="151"/>
      <c r="AE485" s="687"/>
      <c r="AF485" s="151"/>
      <c r="AG485" s="687"/>
      <c r="AH485" s="151"/>
      <c r="AI485" s="687"/>
      <c r="AJ485" s="151"/>
      <c r="AK485" s="687"/>
      <c r="AL485" s="151"/>
      <c r="AM485" s="687"/>
      <c r="AN485" s="151"/>
      <c r="AO485" s="687"/>
      <c r="AP485" s="151"/>
      <c r="AQ485" s="687"/>
      <c r="AR485" s="151"/>
      <c r="AS485" s="687"/>
      <c r="AT485" s="151"/>
      <c r="AU485" s="687"/>
      <c r="AV485" s="151"/>
      <c r="AW485" s="687"/>
      <c r="AX485" s="151"/>
      <c r="AY485" s="687"/>
      <c r="AZ485" s="151"/>
      <c r="BA485" s="687"/>
      <c r="BB485" s="151"/>
      <c r="BC485" s="687"/>
      <c r="BD485" s="151"/>
      <c r="BE485" s="687"/>
      <c r="BF485" s="151"/>
      <c r="BG485" s="687"/>
      <c r="BH485" s="151"/>
      <c r="BI485" s="687"/>
      <c r="BJ485" s="151"/>
      <c r="BK485" s="687"/>
      <c r="BL485" s="151"/>
      <c r="BM485" s="687"/>
      <c r="BN485" s="151"/>
      <c r="BO485" s="687"/>
      <c r="BP485" s="151"/>
      <c r="BQ485" s="687"/>
      <c r="BR485" s="151"/>
      <c r="BS485" s="687"/>
      <c r="BT485" s="151"/>
      <c r="BU485" s="687"/>
      <c r="BV485" s="151"/>
      <c r="BW485" s="687"/>
      <c r="BX485" s="151"/>
      <c r="BY485" s="687"/>
      <c r="BZ485" s="151"/>
      <c r="CA485" s="687"/>
      <c r="CB485" s="151"/>
      <c r="CC485" s="687"/>
      <c r="CD485" s="151"/>
      <c r="CE485" s="687"/>
      <c r="CF485" s="151"/>
      <c r="CG485" s="687"/>
      <c r="CH485" s="151"/>
      <c r="CI485" s="687"/>
      <c r="CJ485" s="151"/>
      <c r="CK485" s="687"/>
      <c r="CL485" s="151"/>
      <c r="CM485" s="687"/>
      <c r="CN485" s="151"/>
      <c r="CO485" s="687"/>
      <c r="CP485" s="151"/>
      <c r="CQ485" s="687"/>
      <c r="CR485" s="151"/>
      <c r="CS485" s="687"/>
      <c r="CT485" s="151"/>
      <c r="CU485" s="687"/>
      <c r="CV485" s="151"/>
      <c r="CW485" s="687"/>
      <c r="CX485" s="151"/>
      <c r="CY485" s="687"/>
      <c r="CZ485" s="151"/>
      <c r="DA485" s="687"/>
      <c r="DB485" s="16"/>
      <c r="DC485" s="151">
        <f>INPUT!FP426</f>
        <v>23.3</v>
      </c>
      <c r="DD485" s="687">
        <f>INPUT!FQ426</f>
        <v>-0.42735042735041473</v>
      </c>
      <c r="DE485" s="151">
        <f>INPUT!FR426</f>
        <v>20.9</v>
      </c>
      <c r="DF485" s="687">
        <f>INPUT!FS426</f>
        <v>-10.300429184549365</v>
      </c>
      <c r="DG485" s="151">
        <f>INPUT!FT426</f>
        <v>24.599999999999998</v>
      </c>
      <c r="DH485" s="687">
        <f>INPUT!FU426</f>
        <v>17.703349282296642</v>
      </c>
      <c r="DI485" s="151">
        <f>INPUT!FV426</f>
        <v>27.1</v>
      </c>
      <c r="DJ485" s="687">
        <f>INPUT!FW426</f>
        <v>10.162601626016276</v>
      </c>
      <c r="DK485" s="151"/>
      <c r="DL485" s="687"/>
      <c r="DM485" s="151"/>
      <c r="DN485" s="687"/>
      <c r="DO485" s="151"/>
      <c r="DP485" s="687"/>
      <c r="DQ485" s="151"/>
      <c r="DR485" s="687"/>
      <c r="DS485" s="151"/>
      <c r="DT485" s="687"/>
      <c r="DU485" s="151"/>
      <c r="DV485" s="687"/>
      <c r="DW485" s="151"/>
      <c r="DX485" s="687"/>
      <c r="DY485" s="151"/>
      <c r="DZ485" s="687"/>
      <c r="EA485" s="151"/>
      <c r="EB485" s="687"/>
      <c r="EC485" s="151"/>
      <c r="ED485" s="687"/>
      <c r="EE485" s="151"/>
      <c r="EF485" s="687"/>
      <c r="EG485" s="151"/>
      <c r="EH485" s="687"/>
      <c r="EI485" s="151"/>
      <c r="EJ485" s="687"/>
      <c r="EK485" s="151"/>
      <c r="EL485" s="687"/>
      <c r="EM485" s="687"/>
    </row>
    <row r="486" spans="1:143" ht="12.75" hidden="1" customHeight="1" outlineLevel="2" x14ac:dyDescent="0.2">
      <c r="A486" s="701" t="str">
        <f>INPUT!B427</f>
        <v>Tax Rate (%)</v>
      </c>
      <c r="B486" s="156">
        <f>INPUT!AY427</f>
        <v>35.236938031591734</v>
      </c>
      <c r="C486" s="687">
        <f>INPUT!AZ427</f>
        <v>0.68628774582604191</v>
      </c>
      <c r="D486" s="156">
        <f>INPUT!BA427</f>
        <v>34.993270524899081</v>
      </c>
      <c r="E486" s="687">
        <f>INPUT!BB427</f>
        <v>-0.89405883483935078</v>
      </c>
      <c r="F486" s="156">
        <f>INPUT!BC427</f>
        <v>35.266457680250788</v>
      </c>
      <c r="G486" s="687">
        <f>INPUT!BD427</f>
        <v>0.68227918126506637</v>
      </c>
      <c r="H486" s="156">
        <f>INPUT!BE427</f>
        <v>35.386631716906955</v>
      </c>
      <c r="I486" s="687">
        <f>INPUT!BF427</f>
        <v>1.048492791612099</v>
      </c>
      <c r="J486" s="156">
        <f>INPUT!BG427</f>
        <v>35.329341317365262</v>
      </c>
      <c r="K486" s="687">
        <f>INPUT!BH427</f>
        <v>0.26223415238486592</v>
      </c>
      <c r="L486" s="156">
        <f>INPUT!BI427</f>
        <v>35</v>
      </c>
      <c r="M486" s="687">
        <f>INPUT!BJ427</f>
        <v>1.9230769230693667E-2</v>
      </c>
      <c r="N486" s="156">
        <f>INPUT!BK427</f>
        <v>34.999999999999964</v>
      </c>
      <c r="O486" s="687">
        <f>INPUT!BL427</f>
        <v>-0.75555555555566478</v>
      </c>
      <c r="P486" s="156">
        <f>INPUT!BM427</f>
        <v>34.693877551020393</v>
      </c>
      <c r="Q486" s="687">
        <f>INPUT!BN427</f>
        <v>-1.9576719576720247</v>
      </c>
      <c r="R486" s="156">
        <f>INPUT!BO427</f>
        <v>34.545454545454518</v>
      </c>
      <c r="S486" s="687">
        <f>INPUT!BP427</f>
        <v>-2.2187981510015997</v>
      </c>
      <c r="T486" s="156">
        <f>INPUT!BQ427</f>
        <v>35.018050541516253</v>
      </c>
      <c r="U486" s="687">
        <f>INPUT!BR427</f>
        <v>5.1572975760727502E-2</v>
      </c>
      <c r="V486" s="156">
        <f>INPUT!BS427</f>
        <v>34.920634920634917</v>
      </c>
      <c r="W486" s="687">
        <f>INPUT!BT427</f>
        <v>-0.2267573696144165</v>
      </c>
      <c r="X486" s="156">
        <f>INPUT!BU427</f>
        <v>35.172413793103431</v>
      </c>
      <c r="Y486" s="687">
        <f>INPUT!BV427</f>
        <v>1.379310344827589</v>
      </c>
      <c r="Z486" s="156">
        <f>INPUT!BW427</f>
        <v>34.736842105263158</v>
      </c>
      <c r="AA486" s="687">
        <f>INPUT!BX427</f>
        <v>0.55401662049869849</v>
      </c>
      <c r="AB486" s="156"/>
      <c r="AC486" s="687"/>
      <c r="AD486" s="156"/>
      <c r="AE486" s="687"/>
      <c r="AF486" s="156"/>
      <c r="AG486" s="687"/>
      <c r="AH486" s="156"/>
      <c r="AI486" s="687"/>
      <c r="AJ486" s="156"/>
      <c r="AK486" s="687"/>
      <c r="AL486" s="156"/>
      <c r="AM486" s="687"/>
      <c r="AN486" s="156"/>
      <c r="AO486" s="687"/>
      <c r="AP486" s="156"/>
      <c r="AQ486" s="687"/>
      <c r="AR486" s="156"/>
      <c r="AS486" s="687"/>
      <c r="AT486" s="156"/>
      <c r="AU486" s="687"/>
      <c r="AV486" s="156"/>
      <c r="AW486" s="687"/>
      <c r="AX486" s="156"/>
      <c r="AY486" s="687"/>
      <c r="AZ486" s="156"/>
      <c r="BA486" s="687"/>
      <c r="BB486" s="156"/>
      <c r="BC486" s="687"/>
      <c r="BD486" s="156"/>
      <c r="BE486" s="687"/>
      <c r="BF486" s="156"/>
      <c r="BG486" s="687"/>
      <c r="BH486" s="156"/>
      <c r="BI486" s="687"/>
      <c r="BJ486" s="156"/>
      <c r="BK486" s="687"/>
      <c r="BL486" s="156"/>
      <c r="BM486" s="687"/>
      <c r="BN486" s="156"/>
      <c r="BO486" s="687"/>
      <c r="BP486" s="156"/>
      <c r="BQ486" s="687"/>
      <c r="BR486" s="156"/>
      <c r="BS486" s="687"/>
      <c r="BT486" s="156"/>
      <c r="BU486" s="687"/>
      <c r="BV486" s="156"/>
      <c r="BW486" s="687"/>
      <c r="BX486" s="156"/>
      <c r="BY486" s="687"/>
      <c r="BZ486" s="156"/>
      <c r="CA486" s="687"/>
      <c r="CB486" s="156"/>
      <c r="CC486" s="687"/>
      <c r="CD486" s="156"/>
      <c r="CE486" s="687"/>
      <c r="CF486" s="156"/>
      <c r="CG486" s="687"/>
      <c r="CH486" s="156"/>
      <c r="CI486" s="687"/>
      <c r="CJ486" s="156"/>
      <c r="CK486" s="687"/>
      <c r="CL486" s="156"/>
      <c r="CM486" s="687"/>
      <c r="CN486" s="156"/>
      <c r="CO486" s="687"/>
      <c r="CP486" s="156"/>
      <c r="CQ486" s="687"/>
      <c r="CR486" s="156"/>
      <c r="CS486" s="687"/>
      <c r="CT486" s="156"/>
      <c r="CU486" s="687"/>
      <c r="CV486" s="156"/>
      <c r="CW486" s="687"/>
      <c r="CX486" s="156"/>
      <c r="CY486" s="687"/>
      <c r="CZ486" s="156"/>
      <c r="DA486" s="687"/>
      <c r="DB486" s="16"/>
      <c r="DC486" s="156">
        <f>INPUT!FP427</f>
        <v>35.000751089079138</v>
      </c>
      <c r="DD486" s="687">
        <f>INPUT!FQ427</f>
        <v>0.21582576787615437</v>
      </c>
      <c r="DE486" s="156">
        <f>INPUT!FR427</f>
        <v>35.126050420168085</v>
      </c>
      <c r="DF486" s="687">
        <f>INPUT!FS427</f>
        <v>0.35799040646313784</v>
      </c>
      <c r="DG486" s="156">
        <f>INPUT!FT427</f>
        <v>34.99288762446659</v>
      </c>
      <c r="DH486" s="687">
        <f>INPUT!FU427</f>
        <v>-0.37909982508320672</v>
      </c>
      <c r="DI486" s="156">
        <f>INPUT!FV427</f>
        <v>34.922680412371136</v>
      </c>
      <c r="DJ486" s="687">
        <f>INPUT!FW427</f>
        <v>-0.20063280529717398</v>
      </c>
      <c r="DK486" s="156"/>
      <c r="DL486" s="687"/>
      <c r="DM486" s="156"/>
      <c r="DN486" s="687"/>
      <c r="DO486" s="156"/>
      <c r="DP486" s="687"/>
      <c r="DQ486" s="156"/>
      <c r="DR486" s="687"/>
      <c r="DS486" s="156"/>
      <c r="DT486" s="687"/>
      <c r="DU486" s="156"/>
      <c r="DV486" s="687"/>
      <c r="DW486" s="156"/>
      <c r="DX486" s="687"/>
      <c r="DY486" s="156"/>
      <c r="DZ486" s="687"/>
      <c r="EA486" s="156"/>
      <c r="EB486" s="687"/>
      <c r="EC486" s="156"/>
      <c r="ED486" s="687"/>
      <c r="EE486" s="156"/>
      <c r="EF486" s="687"/>
      <c r="EG486" s="156"/>
      <c r="EH486" s="687"/>
      <c r="EI486" s="156"/>
      <c r="EJ486" s="687"/>
      <c r="EK486" s="156"/>
      <c r="EL486" s="687"/>
      <c r="EM486" s="687"/>
    </row>
    <row r="487" spans="1:143" ht="12.75" hidden="1" customHeight="1" outlineLevel="2" x14ac:dyDescent="0.2">
      <c r="A487" s="707" t="str">
        <f>INPUT!B428</f>
        <v>After-Tax Earnings</v>
      </c>
      <c r="B487" s="708">
        <f>INPUT!AY428</f>
        <v>10.66</v>
      </c>
      <c r="C487" s="709">
        <f>INPUT!AZ428</f>
        <v>6.2811565304087047</v>
      </c>
      <c r="D487" s="708">
        <f>INPUT!BA428</f>
        <v>9.659999999999993</v>
      </c>
      <c r="E487" s="709">
        <f>INPUT!BB428</f>
        <v>-5.8479532163744015</v>
      </c>
      <c r="F487" s="708">
        <f>INPUT!BC428</f>
        <v>8.259999999999998</v>
      </c>
      <c r="G487" s="709">
        <f>INPUT!BD428</f>
        <v>-13.598326359832747</v>
      </c>
      <c r="H487" s="708">
        <f>INPUT!BE428</f>
        <v>9.8599999999999977</v>
      </c>
      <c r="I487" s="709">
        <f>INPUT!BF428</f>
        <v>-26.745913818722165</v>
      </c>
      <c r="J487" s="708">
        <f>INPUT!BG428</f>
        <v>10.800000000000002</v>
      </c>
      <c r="K487" s="709">
        <f>INPUT!BH428</f>
        <v>1.3133208255159623</v>
      </c>
      <c r="L487" s="708">
        <f>INPUT!BI428</f>
        <v>11.7</v>
      </c>
      <c r="M487" s="709">
        <f>INPUT!BJ428</f>
        <v>21.118012422360334</v>
      </c>
      <c r="N487" s="708">
        <f>INPUT!BK428</f>
        <v>10.400000000000015</v>
      </c>
      <c r="O487" s="709">
        <f>INPUT!BL428</f>
        <v>25.907990314770181</v>
      </c>
      <c r="P487" s="708">
        <f>INPUT!BM428</f>
        <v>12.800000000000008</v>
      </c>
      <c r="Q487" s="709">
        <f>INPUT!BN428</f>
        <v>29.817444219067045</v>
      </c>
      <c r="R487" s="708">
        <f>INPUT!BO428</f>
        <v>10.800000000000015</v>
      </c>
      <c r="S487" s="709">
        <f>INPUT!BP428</f>
        <v>1.1102230246251565E-13</v>
      </c>
      <c r="T487" s="708">
        <f>INPUT!BQ428</f>
        <v>17.999999999999989</v>
      </c>
      <c r="U487" s="709">
        <f>INPUT!BR428</f>
        <v>53.846153846153769</v>
      </c>
      <c r="V487" s="708">
        <f>INPUT!BS428</f>
        <v>12.299999999999999</v>
      </c>
      <c r="W487" s="709">
        <f>INPUT!BT428</f>
        <v>18.269230769230592</v>
      </c>
      <c r="X487" s="708">
        <f>INPUT!BU428</f>
        <v>9.4000000000000075</v>
      </c>
      <c r="Y487" s="709">
        <f>INPUT!BV428</f>
        <v>-26.562499999999989</v>
      </c>
      <c r="Z487" s="708">
        <f>INPUT!BW428</f>
        <v>6.2</v>
      </c>
      <c r="AA487" s="709">
        <f>INPUT!BX428</f>
        <v>-42.592592592592673</v>
      </c>
      <c r="AB487" s="708"/>
      <c r="AC487" s="709"/>
      <c r="AD487" s="708"/>
      <c r="AE487" s="709"/>
      <c r="AF487" s="708"/>
      <c r="AG487" s="709"/>
      <c r="AH487" s="708"/>
      <c r="AI487" s="709"/>
      <c r="AJ487" s="708"/>
      <c r="AK487" s="709"/>
      <c r="AL487" s="708"/>
      <c r="AM487" s="709"/>
      <c r="AN487" s="708"/>
      <c r="AO487" s="709"/>
      <c r="AP487" s="708"/>
      <c r="AQ487" s="709"/>
      <c r="AR487" s="708"/>
      <c r="AS487" s="709"/>
      <c r="AT487" s="708"/>
      <c r="AU487" s="709"/>
      <c r="AV487" s="708"/>
      <c r="AW487" s="709"/>
      <c r="AX487" s="708"/>
      <c r="AY487" s="709"/>
      <c r="AZ487" s="708"/>
      <c r="BA487" s="709"/>
      <c r="BB487" s="708"/>
      <c r="BC487" s="709"/>
      <c r="BD487" s="708"/>
      <c r="BE487" s="709"/>
      <c r="BF487" s="708"/>
      <c r="BG487" s="709"/>
      <c r="BH487" s="708"/>
      <c r="BI487" s="709"/>
      <c r="BJ487" s="708"/>
      <c r="BK487" s="709"/>
      <c r="BL487" s="708"/>
      <c r="BM487" s="709"/>
      <c r="BN487" s="708"/>
      <c r="BO487" s="709"/>
      <c r="BP487" s="708"/>
      <c r="BQ487" s="709"/>
      <c r="BR487" s="708"/>
      <c r="BS487" s="709"/>
      <c r="BT487" s="708"/>
      <c r="BU487" s="709"/>
      <c r="BV487" s="708"/>
      <c r="BW487" s="709"/>
      <c r="BX487" s="708"/>
      <c r="BY487" s="709"/>
      <c r="BZ487" s="708"/>
      <c r="CA487" s="709"/>
      <c r="CB487" s="708"/>
      <c r="CC487" s="709"/>
      <c r="CD487" s="708"/>
      <c r="CE487" s="709"/>
      <c r="CF487" s="708"/>
      <c r="CG487" s="709"/>
      <c r="CH487" s="708"/>
      <c r="CI487" s="709"/>
      <c r="CJ487" s="708"/>
      <c r="CK487" s="709"/>
      <c r="CL487" s="708"/>
      <c r="CM487" s="709"/>
      <c r="CN487" s="708"/>
      <c r="CO487" s="709"/>
      <c r="CP487" s="708"/>
      <c r="CQ487" s="709"/>
      <c r="CR487" s="708"/>
      <c r="CS487" s="709"/>
      <c r="CT487" s="708"/>
      <c r="CU487" s="709"/>
      <c r="CV487" s="708"/>
      <c r="CW487" s="709"/>
      <c r="CX487" s="708"/>
      <c r="CY487" s="709"/>
      <c r="CZ487" s="708"/>
      <c r="DA487" s="709"/>
      <c r="DB487" s="710"/>
      <c r="DC487" s="708">
        <f>INPUT!FP428</f>
        <v>43.270000000000053</v>
      </c>
      <c r="DD487" s="709">
        <f>INPUT!FQ428</f>
        <v>-0.75688073394483135</v>
      </c>
      <c r="DE487" s="708">
        <f>INPUT!FR428</f>
        <v>38.599999999999973</v>
      </c>
      <c r="DF487" s="709">
        <f>INPUT!FS428</f>
        <v>-10.792697018719844</v>
      </c>
      <c r="DG487" s="708">
        <f>INPUT!FT428</f>
        <v>45.69999999999996</v>
      </c>
      <c r="DH487" s="709">
        <f>INPUT!FU428</f>
        <v>18.393782383419666</v>
      </c>
      <c r="DI487" s="708">
        <f>INPUT!FV428</f>
        <v>50.499999999999993</v>
      </c>
      <c r="DJ487" s="709">
        <f>INPUT!FW428</f>
        <v>10.503282275711246</v>
      </c>
      <c r="DK487" s="708"/>
      <c r="DL487" s="709"/>
      <c r="DM487" s="708"/>
      <c r="DN487" s="709"/>
      <c r="DO487" s="708"/>
      <c r="DP487" s="709"/>
      <c r="DQ487" s="708"/>
      <c r="DR487" s="709"/>
      <c r="DS487" s="708"/>
      <c r="DT487" s="709"/>
      <c r="DU487" s="708"/>
      <c r="DV487" s="709"/>
      <c r="DW487" s="708"/>
      <c r="DX487" s="709"/>
      <c r="DY487" s="708"/>
      <c r="DZ487" s="709"/>
      <c r="EA487" s="708"/>
      <c r="EB487" s="709"/>
      <c r="EC487" s="708"/>
      <c r="ED487" s="709"/>
      <c r="EE487" s="708"/>
      <c r="EF487" s="709"/>
      <c r="EG487" s="708"/>
      <c r="EH487" s="709"/>
      <c r="EI487" s="708"/>
      <c r="EJ487" s="709"/>
      <c r="EK487" s="708"/>
      <c r="EL487" s="709"/>
      <c r="EM487" s="711"/>
    </row>
    <row r="488" spans="1:143" ht="12.75" hidden="1" customHeight="1" outlineLevel="2" x14ac:dyDescent="0.2">
      <c r="A488" s="701"/>
      <c r="B488" s="16"/>
      <c r="C488" s="687"/>
      <c r="D488" s="16"/>
      <c r="E488" s="687"/>
      <c r="F488" s="16"/>
      <c r="G488" s="687"/>
      <c r="H488" s="16"/>
      <c r="I488" s="687"/>
      <c r="J488" s="16"/>
      <c r="K488" s="687"/>
      <c r="L488" s="16"/>
      <c r="M488" s="687"/>
      <c r="N488" s="16"/>
      <c r="O488" s="687"/>
      <c r="P488" s="16"/>
      <c r="Q488" s="687"/>
      <c r="R488" s="16"/>
      <c r="S488" s="687"/>
      <c r="T488" s="16"/>
      <c r="U488" s="687"/>
      <c r="V488" s="16"/>
      <c r="W488" s="687"/>
      <c r="X488" s="16"/>
      <c r="Y488" s="687"/>
      <c r="Z488" s="16"/>
      <c r="AA488" s="687"/>
      <c r="AB488" s="16"/>
      <c r="AC488" s="687"/>
      <c r="AD488" s="16"/>
      <c r="AE488" s="687"/>
      <c r="AF488" s="16"/>
      <c r="AG488" s="687"/>
      <c r="AH488" s="16"/>
      <c r="AI488" s="687"/>
      <c r="AJ488" s="16"/>
      <c r="AK488" s="687"/>
      <c r="AL488" s="16"/>
      <c r="AM488" s="687"/>
      <c r="AN488" s="16"/>
      <c r="AO488" s="687"/>
      <c r="AP488" s="16"/>
      <c r="AQ488" s="687"/>
      <c r="AR488" s="16"/>
      <c r="AS488" s="687"/>
      <c r="AT488" s="16"/>
      <c r="AU488" s="687"/>
      <c r="AV488" s="16"/>
      <c r="AW488" s="687"/>
      <c r="AX488" s="16"/>
      <c r="AY488" s="687"/>
      <c r="AZ488" s="16"/>
      <c r="BA488" s="687"/>
      <c r="BB488" s="16"/>
      <c r="BC488" s="687"/>
      <c r="BD488" s="16"/>
      <c r="BE488" s="687"/>
      <c r="BF488" s="16"/>
      <c r="BG488" s="687"/>
      <c r="BH488" s="16"/>
      <c r="BI488" s="687"/>
      <c r="BJ488" s="16"/>
      <c r="BK488" s="687"/>
      <c r="BL488" s="16"/>
      <c r="BM488" s="687"/>
      <c r="BN488" s="16"/>
      <c r="BO488" s="687"/>
      <c r="BP488" s="16"/>
      <c r="BQ488" s="687"/>
      <c r="BR488" s="16"/>
      <c r="BS488" s="687"/>
      <c r="BT488" s="16"/>
      <c r="BU488" s="687"/>
      <c r="BV488" s="16"/>
      <c r="BW488" s="687"/>
      <c r="BX488" s="16"/>
      <c r="BY488" s="687"/>
      <c r="BZ488" s="16"/>
      <c r="CA488" s="687"/>
      <c r="CB488" s="16"/>
      <c r="CC488" s="687"/>
      <c r="CD488" s="16"/>
      <c r="CE488" s="687"/>
      <c r="CF488" s="16"/>
      <c r="CG488" s="687"/>
      <c r="CH488" s="16"/>
      <c r="CI488" s="687"/>
      <c r="CJ488" s="16"/>
      <c r="CK488" s="687"/>
      <c r="CL488" s="16"/>
      <c r="CM488" s="687"/>
      <c r="CN488" s="16"/>
      <c r="CO488" s="687"/>
      <c r="CP488" s="16"/>
      <c r="CQ488" s="687"/>
      <c r="CR488" s="16"/>
      <c r="CS488" s="687"/>
      <c r="CT488" s="16"/>
      <c r="CU488" s="687"/>
      <c r="CV488" s="16"/>
      <c r="CW488" s="687"/>
      <c r="CX488" s="16"/>
      <c r="CY488" s="687"/>
      <c r="CZ488" s="16"/>
      <c r="DA488" s="687"/>
      <c r="DB488" s="16"/>
      <c r="DC488" s="16"/>
      <c r="DD488" s="687"/>
      <c r="DE488" s="16"/>
      <c r="DF488" s="687"/>
      <c r="DG488" s="16"/>
      <c r="DH488" s="687"/>
      <c r="DI488" s="16"/>
      <c r="DJ488" s="687"/>
      <c r="DK488" s="16"/>
      <c r="DL488" s="687"/>
      <c r="DM488" s="16"/>
      <c r="DN488" s="687"/>
      <c r="DO488" s="16"/>
      <c r="DP488" s="687"/>
      <c r="DQ488" s="16"/>
      <c r="DR488" s="687"/>
      <c r="DS488" s="16"/>
      <c r="DT488" s="687"/>
      <c r="DU488" s="16"/>
      <c r="DV488" s="687"/>
      <c r="DW488" s="16"/>
      <c r="DX488" s="687"/>
      <c r="DY488" s="16"/>
      <c r="DZ488" s="687"/>
      <c r="EA488" s="16"/>
      <c r="EB488" s="687"/>
      <c r="EC488" s="16"/>
      <c r="ED488" s="687"/>
      <c r="EE488" s="16"/>
      <c r="EF488" s="687"/>
      <c r="EG488" s="16"/>
      <c r="EH488" s="687"/>
      <c r="EI488" s="16"/>
      <c r="EJ488" s="687"/>
      <c r="EK488" s="16"/>
      <c r="EL488" s="687"/>
      <c r="EM488" s="687"/>
    </row>
    <row r="489" spans="1:143" ht="12.75" hidden="1" customHeight="1" outlineLevel="2" x14ac:dyDescent="0.2">
      <c r="A489" s="715" t="s">
        <v>303</v>
      </c>
      <c r="B489" s="16"/>
      <c r="C489" s="687"/>
      <c r="D489" s="16"/>
      <c r="E489" s="687"/>
      <c r="F489" s="16"/>
      <c r="G489" s="687"/>
      <c r="H489" s="16"/>
      <c r="I489" s="687"/>
      <c r="J489" s="16"/>
      <c r="K489" s="687"/>
      <c r="L489" s="16"/>
      <c r="M489" s="687"/>
      <c r="N489" s="16"/>
      <c r="O489" s="687"/>
      <c r="P489" s="16"/>
      <c r="Q489" s="687"/>
      <c r="R489" s="16"/>
      <c r="S489" s="687"/>
      <c r="T489" s="16"/>
      <c r="U489" s="687"/>
      <c r="V489" s="16"/>
      <c r="W489" s="687"/>
      <c r="X489" s="16"/>
      <c r="Y489" s="687"/>
      <c r="Z489" s="16"/>
      <c r="AA489" s="687"/>
      <c r="AB489" s="16"/>
      <c r="AC489" s="687"/>
      <c r="AD489" s="16"/>
      <c r="AE489" s="687"/>
      <c r="AF489" s="16"/>
      <c r="AG489" s="687"/>
      <c r="AH489" s="16"/>
      <c r="AI489" s="687"/>
      <c r="AJ489" s="16"/>
      <c r="AK489" s="687"/>
      <c r="AL489" s="16"/>
      <c r="AM489" s="687"/>
      <c r="AN489" s="16"/>
      <c r="AO489" s="687"/>
      <c r="AP489" s="16"/>
      <c r="AQ489" s="687"/>
      <c r="AR489" s="16"/>
      <c r="AS489" s="687"/>
      <c r="AT489" s="16"/>
      <c r="AU489" s="687"/>
      <c r="AV489" s="16"/>
      <c r="AW489" s="687"/>
      <c r="AX489" s="16"/>
      <c r="AY489" s="687"/>
      <c r="AZ489" s="16"/>
      <c r="BA489" s="687"/>
      <c r="BB489" s="16"/>
      <c r="BC489" s="687"/>
      <c r="BD489" s="16"/>
      <c r="BE489" s="687"/>
      <c r="BF489" s="16"/>
      <c r="BG489" s="687"/>
      <c r="BH489" s="16"/>
      <c r="BI489" s="687"/>
      <c r="BJ489" s="16"/>
      <c r="BK489" s="687"/>
      <c r="BL489" s="16"/>
      <c r="BM489" s="687"/>
      <c r="BN489" s="16"/>
      <c r="BO489" s="687"/>
      <c r="BP489" s="16"/>
      <c r="BQ489" s="687"/>
      <c r="BR489" s="16"/>
      <c r="BS489" s="687"/>
      <c r="BT489" s="16"/>
      <c r="BU489" s="687"/>
      <c r="BV489" s="16"/>
      <c r="BW489" s="687"/>
      <c r="BX489" s="16"/>
      <c r="BY489" s="687"/>
      <c r="BZ489" s="16"/>
      <c r="CA489" s="687"/>
      <c r="CB489" s="16"/>
      <c r="CC489" s="687"/>
      <c r="CD489" s="16"/>
      <c r="CE489" s="687"/>
      <c r="CF489" s="16"/>
      <c r="CG489" s="687"/>
      <c r="CH489" s="16"/>
      <c r="CI489" s="687"/>
      <c r="CJ489" s="16"/>
      <c r="CK489" s="687"/>
      <c r="CL489" s="16"/>
      <c r="CM489" s="687"/>
      <c r="CN489" s="16"/>
      <c r="CO489" s="687"/>
      <c r="CP489" s="16"/>
      <c r="CQ489" s="687"/>
      <c r="CR489" s="16"/>
      <c r="CS489" s="687"/>
      <c r="CT489" s="16"/>
      <c r="CU489" s="687"/>
      <c r="CV489" s="16"/>
      <c r="CW489" s="687"/>
      <c r="CX489" s="16"/>
      <c r="CY489" s="687"/>
      <c r="CZ489" s="16"/>
      <c r="DA489" s="687"/>
      <c r="DB489" s="16"/>
      <c r="DC489" s="16"/>
      <c r="DD489" s="687"/>
      <c r="DE489" s="16"/>
      <c r="DF489" s="687"/>
      <c r="DG489" s="16"/>
      <c r="DH489" s="687"/>
      <c r="DI489" s="16"/>
      <c r="DJ489" s="687"/>
      <c r="DK489" s="16"/>
      <c r="DL489" s="687"/>
      <c r="DM489" s="16"/>
      <c r="DN489" s="687"/>
      <c r="DO489" s="16"/>
      <c r="DP489" s="687"/>
      <c r="DQ489" s="16"/>
      <c r="DR489" s="687"/>
      <c r="DS489" s="16"/>
      <c r="DT489" s="687"/>
      <c r="DU489" s="16"/>
      <c r="DV489" s="687"/>
      <c r="DW489" s="16"/>
      <c r="DX489" s="687"/>
      <c r="DY489" s="16"/>
      <c r="DZ489" s="687"/>
      <c r="EA489" s="16"/>
      <c r="EB489" s="687"/>
      <c r="EC489" s="16"/>
      <c r="ED489" s="687"/>
      <c r="EE489" s="16"/>
      <c r="EF489" s="687"/>
      <c r="EG489" s="16"/>
      <c r="EH489" s="687"/>
      <c r="EI489" s="16"/>
      <c r="EJ489" s="687"/>
      <c r="EK489" s="16"/>
      <c r="EL489" s="687"/>
      <c r="EM489" s="687"/>
    </row>
    <row r="490" spans="1:143" ht="12.75" hidden="1" customHeight="1" outlineLevel="2" x14ac:dyDescent="0.2">
      <c r="A490" s="522" t="s">
        <v>304</v>
      </c>
      <c r="B490" s="464">
        <f>INPUT!AY577</f>
        <v>42.921930677032726</v>
      </c>
      <c r="C490" s="687">
        <f>INPUT!AZ577</f>
        <v>85.592765940886181</v>
      </c>
      <c r="D490" s="464">
        <f>INPUT!BA577</f>
        <v>63.200434694016167</v>
      </c>
      <c r="E490" s="687">
        <f>INPUT!BB577</f>
        <v>60.0003002880485</v>
      </c>
      <c r="F490" s="464">
        <f>INPUT!BC577</f>
        <v>53.984575835475567</v>
      </c>
      <c r="G490" s="687">
        <f>INPUT!BD577</f>
        <v>44.915768683808089</v>
      </c>
      <c r="H490" s="464">
        <f>INPUT!BE577</f>
        <v>54.746478036022111</v>
      </c>
      <c r="I490" s="687">
        <f>INPUT!BF577</f>
        <v>54.306758510180941</v>
      </c>
      <c r="J490" s="156">
        <f>INPUT!BG577</f>
        <v>58.600493218249106</v>
      </c>
      <c r="K490" s="687">
        <f>INPUT!BH577</f>
        <v>47.758871885923625</v>
      </c>
      <c r="L490" s="156">
        <f>INPUT!BI577</f>
        <v>61.564521096396668</v>
      </c>
      <c r="M490" s="687">
        <f>INPUT!BJ577</f>
        <v>-38.657555888563216</v>
      </c>
      <c r="N490" s="156">
        <f>INPUT!BK577</f>
        <v>56.963912913808535</v>
      </c>
      <c r="O490" s="687">
        <f>INPUT!BL577</f>
        <v>18.762896487095659</v>
      </c>
      <c r="P490" s="156">
        <f>INPUT!BM577</f>
        <v>56.044880785413717</v>
      </c>
      <c r="Q490" s="687">
        <f>INPUT!BN577</f>
        <v>10.149080726853843</v>
      </c>
      <c r="R490" s="156">
        <f>INPUT!BO577</f>
        <v>63.218390804597703</v>
      </c>
      <c r="S490" s="687">
        <f>INPUT!BP577</f>
        <v>34.824194953569453</v>
      </c>
      <c r="T490" s="156">
        <f>INPUT!BQ577</f>
        <v>63.44782890473104</v>
      </c>
      <c r="U490" s="687">
        <f>INPUT!BR577</f>
        <v>24.779377471971564</v>
      </c>
      <c r="V490" s="156">
        <f>INPUT!BS577</f>
        <v>61.873015873015873</v>
      </c>
      <c r="W490" s="687">
        <f>INPUT!BT577</f>
        <v>23.631264586431325</v>
      </c>
      <c r="X490" s="156">
        <f>INPUT!BU577</f>
        <v>72.417017297802744</v>
      </c>
      <c r="Y490" s="687">
        <f>INPUT!BV577</f>
        <v>68.968526700485583</v>
      </c>
      <c r="Z490" s="156">
        <f>INPUT!BW577</f>
        <v>85.882352941176492</v>
      </c>
      <c r="AA490" s="687">
        <f>INPUT!BX577</f>
        <v>35.850267379679181</v>
      </c>
      <c r="AB490" s="156"/>
      <c r="AC490" s="687"/>
      <c r="AD490" s="156"/>
      <c r="AE490" s="687"/>
      <c r="AF490" s="156"/>
      <c r="AG490" s="687"/>
      <c r="AH490" s="156"/>
      <c r="AI490" s="687"/>
      <c r="AJ490" s="156"/>
      <c r="AK490" s="687"/>
      <c r="AL490" s="156"/>
      <c r="AM490" s="687"/>
      <c r="AN490" s="156"/>
      <c r="AO490" s="687"/>
      <c r="AP490" s="156"/>
      <c r="AQ490" s="687"/>
      <c r="AR490" s="156"/>
      <c r="AS490" s="687"/>
      <c r="AT490" s="156"/>
      <c r="AU490" s="687"/>
      <c r="AV490" s="156"/>
      <c r="AW490" s="687"/>
      <c r="AX490" s="156"/>
      <c r="AY490" s="687"/>
      <c r="AZ490" s="156"/>
      <c r="BA490" s="687"/>
      <c r="BB490" s="156"/>
      <c r="BC490" s="687"/>
      <c r="BD490" s="156"/>
      <c r="BE490" s="687"/>
      <c r="BF490" s="156"/>
      <c r="BG490" s="687"/>
      <c r="BH490" s="156"/>
      <c r="BI490" s="687"/>
      <c r="BJ490" s="156"/>
      <c r="BK490" s="687"/>
      <c r="BL490" s="156"/>
      <c r="BM490" s="687"/>
      <c r="BN490" s="156"/>
      <c r="BO490" s="687"/>
      <c r="BP490" s="156"/>
      <c r="BQ490" s="687"/>
      <c r="BR490" s="156"/>
      <c r="BS490" s="687"/>
      <c r="BT490" s="156"/>
      <c r="BU490" s="687"/>
      <c r="BV490" s="156"/>
      <c r="BW490" s="687"/>
      <c r="BX490" s="156"/>
      <c r="BY490" s="687"/>
      <c r="BZ490" s="156"/>
      <c r="CA490" s="687"/>
      <c r="CB490" s="156"/>
      <c r="CC490" s="687"/>
      <c r="CD490" s="156"/>
      <c r="CE490" s="687"/>
      <c r="CF490" s="156"/>
      <c r="CG490" s="687"/>
      <c r="CH490" s="156"/>
      <c r="CI490" s="687"/>
      <c r="CJ490" s="156"/>
      <c r="CK490" s="687"/>
      <c r="CL490" s="156"/>
      <c r="CM490" s="687"/>
      <c r="CN490" s="156"/>
      <c r="CO490" s="687"/>
      <c r="CP490" s="156"/>
      <c r="CQ490" s="687"/>
      <c r="CR490" s="156"/>
      <c r="CS490" s="687"/>
      <c r="CT490" s="156"/>
      <c r="CU490" s="687"/>
      <c r="CV490" s="156"/>
      <c r="CW490" s="687"/>
      <c r="CX490" s="156"/>
      <c r="CY490" s="687"/>
      <c r="CZ490" s="156"/>
      <c r="DA490" s="687"/>
      <c r="DB490" s="16"/>
      <c r="DC490" s="464">
        <f>INPUT!FP577</f>
        <v>31.846181792261717</v>
      </c>
      <c r="DD490" s="687">
        <f>INPUT!FQ577</f>
        <v>0</v>
      </c>
      <c r="DE490" s="156">
        <f>INPUT!FR577</f>
        <v>54.182162305751092</v>
      </c>
      <c r="DF490" s="687">
        <f>INPUT!FS577</f>
        <v>70.137075330383183</v>
      </c>
      <c r="DG490" s="156">
        <f>INPUT!FT577</f>
        <v>58.229547318964883</v>
      </c>
      <c r="DH490" s="687">
        <f>INPUT!FU577</f>
        <v>7.4699584530685703</v>
      </c>
      <c r="DI490" s="156">
        <f>INPUT!FV577</f>
        <v>64.632224168126072</v>
      </c>
      <c r="DJ490" s="687">
        <f>INPUT!FW577</f>
        <v>10.995580669877359</v>
      </c>
      <c r="DK490" s="156"/>
      <c r="DL490" s="687"/>
      <c r="DM490" s="156"/>
      <c r="DN490" s="687"/>
      <c r="DO490" s="156"/>
      <c r="DP490" s="687"/>
      <c r="DQ490" s="156"/>
      <c r="DR490" s="687"/>
      <c r="DS490" s="156"/>
      <c r="DT490" s="687"/>
      <c r="DU490" s="156"/>
      <c r="DV490" s="687"/>
      <c r="DW490" s="156"/>
      <c r="DX490" s="687"/>
      <c r="DY490" s="156"/>
      <c r="DZ490" s="687"/>
      <c r="EA490" s="156"/>
      <c r="EB490" s="687"/>
      <c r="EC490" s="156"/>
      <c r="ED490" s="687"/>
      <c r="EE490" s="156"/>
      <c r="EF490" s="687"/>
      <c r="EG490" s="156"/>
      <c r="EH490" s="687"/>
      <c r="EI490" s="156"/>
      <c r="EJ490" s="687"/>
      <c r="EK490" s="156"/>
      <c r="EL490" s="687"/>
      <c r="EM490" s="687"/>
    </row>
    <row r="491" spans="1:143" ht="12.75" hidden="1" customHeight="1" outlineLevel="2" x14ac:dyDescent="0.2">
      <c r="A491" s="700"/>
      <c r="B491" s="16"/>
      <c r="C491" s="687"/>
      <c r="D491" s="16"/>
      <c r="E491" s="687"/>
      <c r="F491" s="16"/>
      <c r="G491" s="687"/>
      <c r="H491" s="16"/>
      <c r="I491" s="687"/>
      <c r="J491" s="16"/>
      <c r="K491" s="687"/>
      <c r="L491" s="16"/>
      <c r="M491" s="687"/>
      <c r="N491" s="16"/>
      <c r="O491" s="687"/>
      <c r="P491" s="16"/>
      <c r="Q491" s="687"/>
      <c r="R491" s="16"/>
      <c r="S491" s="687"/>
      <c r="T491" s="16"/>
      <c r="U491" s="687"/>
      <c r="V491" s="16"/>
      <c r="W491" s="687"/>
      <c r="X491" s="16"/>
      <c r="Y491" s="687"/>
      <c r="Z491" s="16"/>
      <c r="AA491" s="687"/>
      <c r="AB491" s="16"/>
      <c r="AC491" s="687"/>
      <c r="AD491" s="16"/>
      <c r="AE491" s="687"/>
      <c r="AF491" s="16"/>
      <c r="AG491" s="687"/>
      <c r="AH491" s="16"/>
      <c r="AI491" s="687"/>
      <c r="AJ491" s="16"/>
      <c r="AK491" s="687"/>
      <c r="AL491" s="16"/>
      <c r="AM491" s="687"/>
      <c r="AN491" s="16"/>
      <c r="AO491" s="687"/>
      <c r="AP491" s="16"/>
      <c r="AQ491" s="687"/>
      <c r="AR491" s="16"/>
      <c r="AS491" s="687"/>
      <c r="AT491" s="16"/>
      <c r="AU491" s="687"/>
      <c r="AV491" s="16"/>
      <c r="AW491" s="687"/>
      <c r="AX491" s="16"/>
      <c r="AY491" s="687"/>
      <c r="AZ491" s="16"/>
      <c r="BA491" s="687"/>
      <c r="BB491" s="16"/>
      <c r="BC491" s="687"/>
      <c r="BD491" s="16"/>
      <c r="BE491" s="687"/>
      <c r="BF491" s="16"/>
      <c r="BG491" s="687"/>
      <c r="BH491" s="16"/>
      <c r="BI491" s="687"/>
      <c r="BJ491" s="16"/>
      <c r="BK491" s="687"/>
      <c r="BL491" s="16"/>
      <c r="BM491" s="687"/>
      <c r="BN491" s="16"/>
      <c r="BO491" s="687"/>
      <c r="BP491" s="16"/>
      <c r="BQ491" s="687"/>
      <c r="BR491" s="16"/>
      <c r="BS491" s="687"/>
      <c r="BT491" s="16"/>
      <c r="BU491" s="687"/>
      <c r="BV491" s="16"/>
      <c r="BW491" s="687"/>
      <c r="BX491" s="16"/>
      <c r="BY491" s="687"/>
      <c r="BZ491" s="16"/>
      <c r="CA491" s="687"/>
      <c r="CB491" s="16"/>
      <c r="CC491" s="687"/>
      <c r="CD491" s="16"/>
      <c r="CE491" s="687"/>
      <c r="CF491" s="16"/>
      <c r="CG491" s="687"/>
      <c r="CH491" s="16"/>
      <c r="CI491" s="687"/>
      <c r="CJ491" s="16"/>
      <c r="CK491" s="687"/>
      <c r="CL491" s="16"/>
      <c r="CM491" s="687"/>
      <c r="CN491" s="16"/>
      <c r="CO491" s="687"/>
      <c r="CP491" s="16"/>
      <c r="CQ491" s="687"/>
      <c r="CR491" s="16"/>
      <c r="CS491" s="687"/>
      <c r="CT491" s="16"/>
      <c r="CU491" s="687"/>
      <c r="CV491" s="16"/>
      <c r="CW491" s="687"/>
      <c r="CX491" s="16"/>
      <c r="CY491" s="687"/>
      <c r="CZ491" s="16"/>
      <c r="DA491" s="687"/>
      <c r="DB491" s="16"/>
      <c r="DC491" s="16"/>
      <c r="DD491" s="687"/>
      <c r="DE491" s="16"/>
      <c r="DF491" s="687"/>
      <c r="DG491" s="16"/>
      <c r="DH491" s="687"/>
      <c r="DI491" s="16"/>
      <c r="DJ491" s="687"/>
      <c r="DK491" s="16"/>
      <c r="DL491" s="687"/>
      <c r="DM491" s="16"/>
      <c r="DN491" s="687"/>
      <c r="DO491" s="16"/>
      <c r="DP491" s="687"/>
      <c r="DQ491" s="16"/>
      <c r="DR491" s="687"/>
      <c r="DS491" s="16"/>
      <c r="DT491" s="687"/>
      <c r="DU491" s="16"/>
      <c r="DV491" s="687"/>
      <c r="DW491" s="16"/>
      <c r="DX491" s="687"/>
      <c r="DY491" s="16"/>
      <c r="DZ491" s="687"/>
      <c r="EA491" s="16"/>
      <c r="EB491" s="687"/>
      <c r="EC491" s="16"/>
      <c r="ED491" s="687"/>
      <c r="EE491" s="16"/>
      <c r="EF491" s="687"/>
      <c r="EG491" s="16"/>
      <c r="EH491" s="687"/>
      <c r="EI491" s="16"/>
      <c r="EJ491" s="687"/>
      <c r="EK491" s="16"/>
      <c r="EL491" s="687"/>
      <c r="EM491" s="687"/>
    </row>
    <row r="492" spans="1:143" ht="12.75" hidden="1" customHeight="1" outlineLevel="2" x14ac:dyDescent="0.2">
      <c r="A492" s="700" t="s">
        <v>636</v>
      </c>
      <c r="B492" s="16"/>
      <c r="C492" s="687"/>
      <c r="D492" s="16"/>
      <c r="E492" s="687"/>
      <c r="F492" s="16"/>
      <c r="G492" s="687"/>
      <c r="H492" s="16"/>
      <c r="I492" s="687"/>
      <c r="J492" s="16"/>
      <c r="K492" s="687"/>
      <c r="L492" s="16"/>
      <c r="M492" s="687"/>
      <c r="N492" s="16"/>
      <c r="O492" s="687"/>
      <c r="P492" s="16"/>
      <c r="Q492" s="687"/>
      <c r="R492" s="16"/>
      <c r="S492" s="687"/>
      <c r="T492" s="16"/>
      <c r="U492" s="687"/>
      <c r="V492" s="16"/>
      <c r="W492" s="687"/>
      <c r="X492" s="16"/>
      <c r="Y492" s="687"/>
      <c r="Z492" s="16"/>
      <c r="AA492" s="687"/>
      <c r="AB492" s="16"/>
      <c r="AC492" s="687"/>
      <c r="AD492" s="16"/>
      <c r="AE492" s="687"/>
      <c r="AF492" s="16"/>
      <c r="AG492" s="687"/>
      <c r="AH492" s="16"/>
      <c r="AI492" s="687"/>
      <c r="AJ492" s="16"/>
      <c r="AK492" s="687"/>
      <c r="AL492" s="16"/>
      <c r="AM492" s="687"/>
      <c r="AN492" s="16"/>
      <c r="AO492" s="687"/>
      <c r="AP492" s="16"/>
      <c r="AQ492" s="687"/>
      <c r="AR492" s="16"/>
      <c r="AS492" s="687"/>
      <c r="AT492" s="16"/>
      <c r="AU492" s="687"/>
      <c r="AV492" s="16"/>
      <c r="AW492" s="687"/>
      <c r="AX492" s="16"/>
      <c r="AY492" s="687"/>
      <c r="AZ492" s="16"/>
      <c r="BA492" s="687"/>
      <c r="BB492" s="16"/>
      <c r="BC492" s="687"/>
      <c r="BD492" s="16"/>
      <c r="BE492" s="687"/>
      <c r="BF492" s="16"/>
      <c r="BG492" s="687"/>
      <c r="BH492" s="16"/>
      <c r="BI492" s="687"/>
      <c r="BJ492" s="16"/>
      <c r="BK492" s="687"/>
      <c r="BL492" s="16"/>
      <c r="BM492" s="687"/>
      <c r="BN492" s="16"/>
      <c r="BO492" s="687"/>
      <c r="BP492" s="16"/>
      <c r="BQ492" s="687"/>
      <c r="BR492" s="16"/>
      <c r="BS492" s="687"/>
      <c r="BT492" s="16"/>
      <c r="BU492" s="687"/>
      <c r="BV492" s="16"/>
      <c r="BW492" s="687"/>
      <c r="BX492" s="16"/>
      <c r="BY492" s="687"/>
      <c r="BZ492" s="16"/>
      <c r="CA492" s="687"/>
      <c r="CB492" s="16"/>
      <c r="CC492" s="687"/>
      <c r="CD492" s="16"/>
      <c r="CE492" s="687"/>
      <c r="CF492" s="16"/>
      <c r="CG492" s="687"/>
      <c r="CH492" s="16"/>
      <c r="CI492" s="687"/>
      <c r="CJ492" s="16"/>
      <c r="CK492" s="687"/>
      <c r="CL492" s="16"/>
      <c r="CM492" s="687"/>
      <c r="CN492" s="16"/>
      <c r="CO492" s="687"/>
      <c r="CP492" s="16"/>
      <c r="CQ492" s="687"/>
      <c r="CR492" s="16"/>
      <c r="CS492" s="687"/>
      <c r="CT492" s="16"/>
      <c r="CU492" s="687"/>
      <c r="CV492" s="16"/>
      <c r="CW492" s="687"/>
      <c r="CX492" s="16"/>
      <c r="CY492" s="687"/>
      <c r="CZ492" s="16"/>
      <c r="DA492" s="687"/>
      <c r="DB492" s="16"/>
      <c r="DC492" s="16"/>
      <c r="DD492" s="687"/>
      <c r="DE492" s="16"/>
      <c r="DF492" s="687"/>
      <c r="DG492" s="16"/>
      <c r="DH492" s="687"/>
      <c r="DI492" s="16"/>
      <c r="DJ492" s="687"/>
      <c r="DK492" s="16"/>
      <c r="DL492" s="687"/>
      <c r="DM492" s="16"/>
      <c r="DN492" s="687"/>
      <c r="DO492" s="16"/>
      <c r="DP492" s="687"/>
      <c r="DQ492" s="16"/>
      <c r="DR492" s="687"/>
      <c r="DS492" s="16"/>
      <c r="DT492" s="687"/>
      <c r="DU492" s="16"/>
      <c r="DV492" s="687"/>
      <c r="DW492" s="16"/>
      <c r="DX492" s="687"/>
      <c r="DY492" s="16"/>
      <c r="DZ492" s="687"/>
      <c r="EA492" s="16"/>
      <c r="EB492" s="687"/>
      <c r="EC492" s="16"/>
      <c r="ED492" s="687"/>
      <c r="EE492" s="16"/>
      <c r="EF492" s="687"/>
      <c r="EG492" s="16"/>
      <c r="EH492" s="687"/>
      <c r="EI492" s="16"/>
      <c r="EJ492" s="687"/>
      <c r="EK492" s="16"/>
      <c r="EL492" s="687"/>
      <c r="EM492" s="687"/>
    </row>
    <row r="493" spans="1:143" ht="12.75" hidden="1" customHeight="1" outlineLevel="2" x14ac:dyDescent="0.2">
      <c r="A493" s="701" t="str">
        <f>INPUT!B434</f>
        <v>After-Tax Operating Margin (%)</v>
      </c>
      <c r="B493" s="156">
        <f>INPUT!AY434</f>
        <v>15.338129496402878</v>
      </c>
      <c r="C493" s="687">
        <f>INPUT!AZ434</f>
        <v>14.034328668670181</v>
      </c>
      <c r="D493" s="156">
        <f>INPUT!BA434</f>
        <v>11.881918819188183</v>
      </c>
      <c r="E493" s="687">
        <f>INPUT!BB434</f>
        <v>-9.2063903095172428</v>
      </c>
      <c r="F493" s="156">
        <f>INPUT!BC434</f>
        <v>11.424619640387274</v>
      </c>
      <c r="G493" s="687">
        <f>INPUT!BD434</f>
        <v>22.850512451026226</v>
      </c>
      <c r="H493" s="156">
        <f>INPUT!BE434</f>
        <v>11.627358490566035</v>
      </c>
      <c r="I493" s="687">
        <f>INPUT!BF434</f>
        <v>-46.00966525554405</v>
      </c>
      <c r="J493" s="156">
        <f>INPUT!BG434</f>
        <v>11.90738699007718</v>
      </c>
      <c r="K493" s="687">
        <f>INPUT!BH434</f>
        <v>-22.367411274825145</v>
      </c>
      <c r="L493" s="156">
        <f>INPUT!BI434</f>
        <v>12.648648648648647</v>
      </c>
      <c r="M493" s="687">
        <f>INPUT!BJ434</f>
        <v>6.4529125398691267</v>
      </c>
      <c r="N493" s="156">
        <f>INPUT!BK434</f>
        <v>11.724915445321322</v>
      </c>
      <c r="O493" s="687">
        <f>INPUT!BL434</f>
        <v>2.6284971787810862</v>
      </c>
      <c r="P493" s="156">
        <f>INPUT!BM434</f>
        <v>13.00813008130082</v>
      </c>
      <c r="Q493" s="687">
        <f>INPUT!BN434</f>
        <v>11.875195831065909</v>
      </c>
      <c r="R493" s="156">
        <f>INPUT!BO434</f>
        <v>12.602100350058357</v>
      </c>
      <c r="S493" s="687">
        <f>INPUT!BP434</f>
        <v>5.8343057176196922</v>
      </c>
      <c r="T493" s="156">
        <f>INPUT!BQ434</f>
        <v>18.386108273748714</v>
      </c>
      <c r="U493" s="687">
        <f>INPUT!BR434</f>
        <v>45.360257719808232</v>
      </c>
      <c r="V493" s="156">
        <f>INPUT!BS434</f>
        <v>15.413533834586465</v>
      </c>
      <c r="W493" s="687">
        <f>INPUT!BT434</f>
        <v>31.459658762290175</v>
      </c>
      <c r="X493" s="156">
        <f>INPUT!BU434</f>
        <v>14.596273291925478</v>
      </c>
      <c r="Y493" s="687">
        <f>INPUT!BV434</f>
        <v>12.208850931677052</v>
      </c>
      <c r="Z493" s="156">
        <f>INPUT!BW434</f>
        <v>13.080168776371309</v>
      </c>
      <c r="AA493" s="687">
        <f>INPUT!BX434</f>
        <v>3.7935614939833329</v>
      </c>
      <c r="AB493" s="156"/>
      <c r="AC493" s="687"/>
      <c r="AD493" s="156"/>
      <c r="AE493" s="687"/>
      <c r="AF493" s="156"/>
      <c r="AG493" s="687"/>
      <c r="AH493" s="156"/>
      <c r="AI493" s="687"/>
      <c r="AJ493" s="156"/>
      <c r="AK493" s="687"/>
      <c r="AL493" s="156"/>
      <c r="AM493" s="687"/>
      <c r="AN493" s="156"/>
      <c r="AO493" s="687"/>
      <c r="AP493" s="156"/>
      <c r="AQ493" s="687"/>
      <c r="AR493" s="156"/>
      <c r="AS493" s="687"/>
      <c r="AT493" s="156"/>
      <c r="AU493" s="687"/>
      <c r="AV493" s="156"/>
      <c r="AW493" s="687"/>
      <c r="AX493" s="156"/>
      <c r="AY493" s="687"/>
      <c r="AZ493" s="156"/>
      <c r="BA493" s="687"/>
      <c r="BB493" s="156"/>
      <c r="BC493" s="687"/>
      <c r="BD493" s="156"/>
      <c r="BE493" s="687"/>
      <c r="BF493" s="156"/>
      <c r="BG493" s="687"/>
      <c r="BH493" s="156"/>
      <c r="BI493" s="687"/>
      <c r="BJ493" s="156"/>
      <c r="BK493" s="687"/>
      <c r="BL493" s="156"/>
      <c r="BM493" s="687"/>
      <c r="BN493" s="156"/>
      <c r="BO493" s="687"/>
      <c r="BP493" s="156"/>
      <c r="BQ493" s="687"/>
      <c r="BR493" s="156"/>
      <c r="BS493" s="687"/>
      <c r="BT493" s="156"/>
      <c r="BU493" s="687"/>
      <c r="BV493" s="156"/>
      <c r="BW493" s="687"/>
      <c r="BX493" s="156"/>
      <c r="BY493" s="687"/>
      <c r="BZ493" s="156"/>
      <c r="CA493" s="687"/>
      <c r="CB493" s="156"/>
      <c r="CC493" s="687"/>
      <c r="CD493" s="156"/>
      <c r="CE493" s="687"/>
      <c r="CF493" s="156"/>
      <c r="CG493" s="687"/>
      <c r="CH493" s="156"/>
      <c r="CI493" s="687"/>
      <c r="CJ493" s="156"/>
      <c r="CK493" s="687"/>
      <c r="CL493" s="156"/>
      <c r="CM493" s="687"/>
      <c r="CN493" s="156"/>
      <c r="CO493" s="687"/>
      <c r="CP493" s="156"/>
      <c r="CQ493" s="687"/>
      <c r="CR493" s="156"/>
      <c r="CS493" s="687"/>
      <c r="CT493" s="156"/>
      <c r="CU493" s="687"/>
      <c r="CV493" s="156"/>
      <c r="CW493" s="687"/>
      <c r="CX493" s="156"/>
      <c r="CY493" s="687"/>
      <c r="CZ493" s="156"/>
      <c r="DA493" s="687"/>
      <c r="DB493" s="16"/>
      <c r="DC493" s="156">
        <f>INPUT!FP434</f>
        <v>13.595374996072533</v>
      </c>
      <c r="DD493" s="687">
        <f>INPUT!FQ434</f>
        <v>6.736166540266697</v>
      </c>
      <c r="DE493" s="156">
        <f>INPUT!FR434</f>
        <v>12.536537836960044</v>
      </c>
      <c r="DF493" s="687">
        <f>INPUT!FS434</f>
        <v>-7.7882159147384167</v>
      </c>
      <c r="DG493" s="156">
        <f>INPUT!FT434</f>
        <v>12.341344855522539</v>
      </c>
      <c r="DH493" s="687">
        <f>INPUT!FU434</f>
        <v>-1.556992719808481</v>
      </c>
      <c r="DI493" s="156">
        <f>INPUT!FV434</f>
        <v>15.40573520439292</v>
      </c>
      <c r="DJ493" s="687">
        <f>INPUT!FW434</f>
        <v>24.830278909993496</v>
      </c>
      <c r="DK493" s="156"/>
      <c r="DL493" s="687"/>
      <c r="DM493" s="156"/>
      <c r="DN493" s="687"/>
      <c r="DO493" s="156"/>
      <c r="DP493" s="687"/>
      <c r="DQ493" s="156"/>
      <c r="DR493" s="687"/>
      <c r="DS493" s="156"/>
      <c r="DT493" s="687"/>
      <c r="DU493" s="156"/>
      <c r="DV493" s="687"/>
      <c r="DW493" s="156"/>
      <c r="DX493" s="687"/>
      <c r="DY493" s="156"/>
      <c r="DZ493" s="687"/>
      <c r="EA493" s="156"/>
      <c r="EB493" s="687"/>
      <c r="EC493" s="156"/>
      <c r="ED493" s="687"/>
      <c r="EE493" s="156"/>
      <c r="EF493" s="687"/>
      <c r="EG493" s="156"/>
      <c r="EH493" s="687"/>
      <c r="EI493" s="156"/>
      <c r="EJ493" s="687"/>
      <c r="EK493" s="156"/>
      <c r="EL493" s="687"/>
      <c r="EM493" s="687"/>
    </row>
    <row r="494" spans="1:143" ht="12.75" hidden="1" customHeight="1" outlineLevel="2" x14ac:dyDescent="0.2">
      <c r="A494" s="701"/>
      <c r="B494" s="16"/>
      <c r="C494" s="687"/>
      <c r="D494" s="16"/>
      <c r="E494" s="687"/>
      <c r="F494" s="16"/>
      <c r="G494" s="687"/>
      <c r="H494" s="16"/>
      <c r="I494" s="687"/>
      <c r="J494" s="16"/>
      <c r="K494" s="687"/>
      <c r="L494" s="16"/>
      <c r="M494" s="687"/>
      <c r="N494" s="16"/>
      <c r="O494" s="687"/>
      <c r="P494" s="16"/>
      <c r="Q494" s="687"/>
      <c r="R494" s="16"/>
      <c r="S494" s="687"/>
      <c r="T494" s="16"/>
      <c r="U494" s="687"/>
      <c r="V494" s="16"/>
      <c r="W494" s="687"/>
      <c r="X494" s="16"/>
      <c r="Y494" s="687"/>
      <c r="Z494" s="16"/>
      <c r="AA494" s="687"/>
      <c r="AB494" s="16"/>
      <c r="AC494" s="687"/>
      <c r="AD494" s="16"/>
      <c r="AE494" s="687"/>
      <c r="AF494" s="16"/>
      <c r="AG494" s="687"/>
      <c r="AH494" s="16"/>
      <c r="AI494" s="687"/>
      <c r="AJ494" s="16"/>
      <c r="AK494" s="687"/>
      <c r="AL494" s="16"/>
      <c r="AM494" s="687"/>
      <c r="AN494" s="16"/>
      <c r="AO494" s="687"/>
      <c r="AP494" s="16"/>
      <c r="AQ494" s="687"/>
      <c r="AR494" s="16"/>
      <c r="AS494" s="687"/>
      <c r="AT494" s="16"/>
      <c r="AU494" s="687"/>
      <c r="AV494" s="16"/>
      <c r="AW494" s="687"/>
      <c r="AX494" s="16"/>
      <c r="AY494" s="687"/>
      <c r="AZ494" s="16"/>
      <c r="BA494" s="687"/>
      <c r="BB494" s="16"/>
      <c r="BC494" s="687"/>
      <c r="BD494" s="16"/>
      <c r="BE494" s="687"/>
      <c r="BF494" s="16"/>
      <c r="BG494" s="687"/>
      <c r="BH494" s="16"/>
      <c r="BI494" s="687"/>
      <c r="BJ494" s="16"/>
      <c r="BK494" s="687"/>
      <c r="BL494" s="16"/>
      <c r="BM494" s="687"/>
      <c r="BN494" s="16"/>
      <c r="BO494" s="687"/>
      <c r="BP494" s="16"/>
      <c r="BQ494" s="687"/>
      <c r="BR494" s="16"/>
      <c r="BS494" s="687"/>
      <c r="BT494" s="16"/>
      <c r="BU494" s="687"/>
      <c r="BV494" s="16"/>
      <c r="BW494" s="687"/>
      <c r="BX494" s="16"/>
      <c r="BY494" s="687"/>
      <c r="BZ494" s="16"/>
      <c r="CA494" s="687"/>
      <c r="CB494" s="16"/>
      <c r="CC494" s="687"/>
      <c r="CD494" s="16"/>
      <c r="CE494" s="687"/>
      <c r="CF494" s="16"/>
      <c r="CG494" s="687"/>
      <c r="CH494" s="16"/>
      <c r="CI494" s="687"/>
      <c r="CJ494" s="16"/>
      <c r="CK494" s="687"/>
      <c r="CL494" s="16"/>
      <c r="CM494" s="687"/>
      <c r="CN494" s="16"/>
      <c r="CO494" s="687"/>
      <c r="CP494" s="16"/>
      <c r="CQ494" s="687"/>
      <c r="CR494" s="16"/>
      <c r="CS494" s="687"/>
      <c r="CT494" s="16"/>
      <c r="CU494" s="687"/>
      <c r="CV494" s="16"/>
      <c r="CW494" s="687"/>
      <c r="CX494" s="16"/>
      <c r="CY494" s="687"/>
      <c r="CZ494" s="16"/>
      <c r="DA494" s="687"/>
      <c r="DB494" s="16"/>
      <c r="DC494" s="16"/>
      <c r="DD494" s="687"/>
      <c r="DE494" s="16"/>
      <c r="DF494" s="687"/>
      <c r="DG494" s="16"/>
      <c r="DH494" s="687"/>
      <c r="DI494" s="16"/>
      <c r="DJ494" s="687"/>
      <c r="DK494" s="16"/>
      <c r="DL494" s="687"/>
      <c r="DM494" s="16"/>
      <c r="DN494" s="687"/>
      <c r="DO494" s="16"/>
      <c r="DP494" s="687"/>
      <c r="DQ494" s="16"/>
      <c r="DR494" s="687"/>
      <c r="DS494" s="16"/>
      <c r="DT494" s="687"/>
      <c r="DU494" s="16"/>
      <c r="DV494" s="687"/>
      <c r="DW494" s="16"/>
      <c r="DX494" s="687"/>
      <c r="DY494" s="16"/>
      <c r="DZ494" s="687"/>
      <c r="EA494" s="16"/>
      <c r="EB494" s="687"/>
      <c r="EC494" s="16"/>
      <c r="ED494" s="687"/>
      <c r="EE494" s="16"/>
      <c r="EF494" s="687"/>
      <c r="EG494" s="16"/>
      <c r="EH494" s="687"/>
      <c r="EI494" s="16"/>
      <c r="EJ494" s="687"/>
      <c r="EK494" s="16"/>
      <c r="EL494" s="687"/>
      <c r="EM494" s="687"/>
    </row>
    <row r="495" spans="1:143" ht="12.75" hidden="1" customHeight="1" outlineLevel="2" x14ac:dyDescent="0.2">
      <c r="A495" s="701" t="str">
        <f>INPUT!B409</f>
        <v>Mortality and Expense Fees</v>
      </c>
      <c r="B495" s="151">
        <f>INPUT!AY409</f>
        <v>35.9</v>
      </c>
      <c r="C495" s="687">
        <f>INPUT!AZ409</f>
        <v>-9.5717884130982469</v>
      </c>
      <c r="D495" s="151">
        <f>INPUT!BA409</f>
        <v>43.6</v>
      </c>
      <c r="E495" s="687">
        <f>INPUT!BB409</f>
        <v>2.8301886792452935</v>
      </c>
      <c r="F495" s="151">
        <f>INPUT!BC409</f>
        <v>32.599999999999994</v>
      </c>
      <c r="G495" s="687">
        <f>INPUT!BD409</f>
        <v>-49.846153846153854</v>
      </c>
      <c r="H495" s="151">
        <f>INPUT!BE409</f>
        <v>45.8</v>
      </c>
      <c r="I495" s="687">
        <f>INPUT!BF409</f>
        <v>56.31399317406143</v>
      </c>
      <c r="J495" s="151">
        <f>INPUT!BG409</f>
        <v>47.2</v>
      </c>
      <c r="K495" s="687">
        <f>INPUT!BH409</f>
        <v>31.47632311977717</v>
      </c>
      <c r="L495" s="151">
        <f>INPUT!BI409</f>
        <v>48.8</v>
      </c>
      <c r="M495" s="687">
        <f>INPUT!BJ409</f>
        <v>11.926605504587151</v>
      </c>
      <c r="N495" s="151">
        <f>INPUT!BK409</f>
        <v>42.2</v>
      </c>
      <c r="O495" s="687">
        <f>INPUT!BL409</f>
        <v>29.447852760736225</v>
      </c>
      <c r="P495" s="151">
        <f>INPUT!BM409</f>
        <v>55.7</v>
      </c>
      <c r="Q495" s="687">
        <f>INPUT!BN409</f>
        <v>21.61572052401748</v>
      </c>
      <c r="R495" s="151">
        <f>INPUT!BO409</f>
        <v>46.2</v>
      </c>
      <c r="S495" s="687">
        <f>INPUT!BP409</f>
        <v>-2.1186440677966045</v>
      </c>
      <c r="T495" s="151">
        <f>INPUT!BQ409</f>
        <v>51.7</v>
      </c>
      <c r="U495" s="687">
        <f>INPUT!BR409</f>
        <v>5.9426229508196871</v>
      </c>
      <c r="V495" s="151">
        <f>INPUT!BS409</f>
        <v>39.799999999999997</v>
      </c>
      <c r="W495" s="687">
        <f>INPUT!BT409</f>
        <v>-5.6872037914692086</v>
      </c>
      <c r="X495" s="151">
        <f>INPUT!BU409</f>
        <v>33.6</v>
      </c>
      <c r="Y495" s="687">
        <f>INPUT!BV409</f>
        <v>-39.67684021543986</v>
      </c>
      <c r="Z495" s="151">
        <f>INPUT!BW409</f>
        <v>23.7</v>
      </c>
      <c r="AA495" s="687">
        <f>INPUT!BX409</f>
        <v>-48.701298701298704</v>
      </c>
      <c r="AB495" s="151"/>
      <c r="AC495" s="687"/>
      <c r="AD495" s="151"/>
      <c r="AE495" s="687"/>
      <c r="AF495" s="151"/>
      <c r="AG495" s="687"/>
      <c r="AH495" s="151"/>
      <c r="AI495" s="687"/>
      <c r="AJ495" s="151"/>
      <c r="AK495" s="687"/>
      <c r="AL495" s="151"/>
      <c r="AM495" s="687"/>
      <c r="AN495" s="151"/>
      <c r="AO495" s="687"/>
      <c r="AP495" s="151"/>
      <c r="AQ495" s="687"/>
      <c r="AR495" s="151"/>
      <c r="AS495" s="687"/>
      <c r="AT495" s="151"/>
      <c r="AU495" s="687"/>
      <c r="AV495" s="151"/>
      <c r="AW495" s="687"/>
      <c r="AX495" s="151"/>
      <c r="AY495" s="687"/>
      <c r="AZ495" s="151"/>
      <c r="BA495" s="687"/>
      <c r="BB495" s="151"/>
      <c r="BC495" s="687"/>
      <c r="BD495" s="151"/>
      <c r="BE495" s="687"/>
      <c r="BF495" s="151"/>
      <c r="BG495" s="687"/>
      <c r="BH495" s="151"/>
      <c r="BI495" s="687"/>
      <c r="BJ495" s="151"/>
      <c r="BK495" s="687"/>
      <c r="BL495" s="151"/>
      <c r="BM495" s="687"/>
      <c r="BN495" s="151"/>
      <c r="BO495" s="687"/>
      <c r="BP495" s="151"/>
      <c r="BQ495" s="687"/>
      <c r="BR495" s="151"/>
      <c r="BS495" s="687"/>
      <c r="BT495" s="151"/>
      <c r="BU495" s="687"/>
      <c r="BV495" s="151"/>
      <c r="BW495" s="687"/>
      <c r="BX495" s="151"/>
      <c r="BY495" s="687"/>
      <c r="BZ495" s="151"/>
      <c r="CA495" s="687"/>
      <c r="CB495" s="151"/>
      <c r="CC495" s="687"/>
      <c r="CD495" s="151"/>
      <c r="CE495" s="687"/>
      <c r="CF495" s="151"/>
      <c r="CG495" s="687"/>
      <c r="CH495" s="151"/>
      <c r="CI495" s="687"/>
      <c r="CJ495" s="151"/>
      <c r="CK495" s="687"/>
      <c r="CL495" s="151"/>
      <c r="CM495" s="687"/>
      <c r="CN495" s="151"/>
      <c r="CO495" s="687"/>
      <c r="CP495" s="151"/>
      <c r="CQ495" s="687"/>
      <c r="CR495" s="151"/>
      <c r="CS495" s="687"/>
      <c r="CT495" s="151"/>
      <c r="CU495" s="687"/>
      <c r="CV495" s="151"/>
      <c r="CW495" s="687"/>
      <c r="CX495" s="151"/>
      <c r="CY495" s="687"/>
      <c r="CZ495" s="151"/>
      <c r="DA495" s="687"/>
      <c r="DB495" s="16"/>
      <c r="DC495" s="151">
        <f>INPUT!FP409</f>
        <v>176.4</v>
      </c>
      <c r="DD495" s="687">
        <f>INPUT!FQ409</f>
        <v>-10.137544574630653</v>
      </c>
      <c r="DE495" s="151">
        <f>INPUT!FR409</f>
        <v>157.89999999999998</v>
      </c>
      <c r="DF495" s="687">
        <f>INPUT!FS409</f>
        <v>-10.487528344671215</v>
      </c>
      <c r="DG495" s="151">
        <f>INPUT!FT409</f>
        <v>193.89999999999998</v>
      </c>
      <c r="DH495" s="687">
        <f>INPUT!FU409</f>
        <v>22.799240025332491</v>
      </c>
      <c r="DI495" s="151">
        <f>INPUT!FV409</f>
        <v>171.29999999999998</v>
      </c>
      <c r="DJ495" s="687">
        <f>INPUT!FW409</f>
        <v>-11.655492521918509</v>
      </c>
      <c r="DK495" s="151"/>
      <c r="DL495" s="687"/>
      <c r="DM495" s="151"/>
      <c r="DN495" s="687"/>
      <c r="DO495" s="151"/>
      <c r="DP495" s="687"/>
      <c r="DQ495" s="151"/>
      <c r="DR495" s="687"/>
      <c r="DS495" s="151"/>
      <c r="DT495" s="687"/>
      <c r="DU495" s="151"/>
      <c r="DV495" s="687"/>
      <c r="DW495" s="151"/>
      <c r="DX495" s="687"/>
      <c r="DY495" s="151"/>
      <c r="DZ495" s="687"/>
      <c r="EA495" s="151"/>
      <c r="EB495" s="687"/>
      <c r="EC495" s="151"/>
      <c r="ED495" s="687"/>
      <c r="EE495" s="151"/>
      <c r="EF495" s="687"/>
      <c r="EG495" s="151"/>
      <c r="EH495" s="687"/>
      <c r="EI495" s="151"/>
      <c r="EJ495" s="687"/>
      <c r="EK495" s="151"/>
      <c r="EL495" s="687"/>
      <c r="EM495" s="687"/>
    </row>
    <row r="496" spans="1:143" ht="12.75" hidden="1" customHeight="1" outlineLevel="2" x14ac:dyDescent="0.2">
      <c r="A496" s="701"/>
      <c r="B496" s="16"/>
      <c r="C496" s="687"/>
      <c r="D496" s="16"/>
      <c r="E496" s="687"/>
      <c r="F496" s="16"/>
      <c r="G496" s="687"/>
      <c r="H496" s="16"/>
      <c r="I496" s="687"/>
      <c r="J496" s="16"/>
      <c r="K496" s="687"/>
      <c r="L496" s="16"/>
      <c r="M496" s="687"/>
      <c r="N496" s="16"/>
      <c r="O496" s="687"/>
      <c r="P496" s="16"/>
      <c r="Q496" s="687"/>
      <c r="R496" s="16"/>
      <c r="S496" s="687"/>
      <c r="T496" s="16"/>
      <c r="U496" s="687"/>
      <c r="V496" s="16"/>
      <c r="W496" s="687"/>
      <c r="X496" s="16"/>
      <c r="Y496" s="687"/>
      <c r="Z496" s="16"/>
      <c r="AA496" s="687"/>
      <c r="AB496" s="16"/>
      <c r="AC496" s="687"/>
      <c r="AD496" s="16"/>
      <c r="AE496" s="687"/>
      <c r="AF496" s="16"/>
      <c r="AG496" s="687"/>
      <c r="AH496" s="16"/>
      <c r="AI496" s="687"/>
      <c r="AJ496" s="16"/>
      <c r="AK496" s="687"/>
      <c r="AL496" s="16"/>
      <c r="AM496" s="687"/>
      <c r="AN496" s="16"/>
      <c r="AO496" s="687"/>
      <c r="AP496" s="16"/>
      <c r="AQ496" s="687"/>
      <c r="AR496" s="16"/>
      <c r="AS496" s="687"/>
      <c r="AT496" s="16"/>
      <c r="AU496" s="687"/>
      <c r="AV496" s="16"/>
      <c r="AW496" s="687"/>
      <c r="AX496" s="16"/>
      <c r="AY496" s="687"/>
      <c r="AZ496" s="16"/>
      <c r="BA496" s="687"/>
      <c r="BB496" s="16"/>
      <c r="BC496" s="687"/>
      <c r="BD496" s="16"/>
      <c r="BE496" s="687"/>
      <c r="BF496" s="16"/>
      <c r="BG496" s="687"/>
      <c r="BH496" s="16"/>
      <c r="BI496" s="687"/>
      <c r="BJ496" s="16"/>
      <c r="BK496" s="687"/>
      <c r="BL496" s="16"/>
      <c r="BM496" s="687"/>
      <c r="BN496" s="16"/>
      <c r="BO496" s="687"/>
      <c r="BP496" s="16"/>
      <c r="BQ496" s="687"/>
      <c r="BR496" s="16"/>
      <c r="BS496" s="687"/>
      <c r="BT496" s="16"/>
      <c r="BU496" s="687"/>
      <c r="BV496" s="16"/>
      <c r="BW496" s="687"/>
      <c r="BX496" s="16"/>
      <c r="BY496" s="687"/>
      <c r="BZ496" s="16"/>
      <c r="CA496" s="687"/>
      <c r="CB496" s="16"/>
      <c r="CC496" s="687"/>
      <c r="CD496" s="16"/>
      <c r="CE496" s="687"/>
      <c r="CF496" s="16"/>
      <c r="CG496" s="687"/>
      <c r="CH496" s="16"/>
      <c r="CI496" s="687"/>
      <c r="CJ496" s="16"/>
      <c r="CK496" s="687"/>
      <c r="CL496" s="16"/>
      <c r="CM496" s="687"/>
      <c r="CN496" s="16"/>
      <c r="CO496" s="687"/>
      <c r="CP496" s="16"/>
      <c r="CQ496" s="687"/>
      <c r="CR496" s="16"/>
      <c r="CS496" s="687"/>
      <c r="CT496" s="16"/>
      <c r="CU496" s="687"/>
      <c r="CV496" s="16"/>
      <c r="CW496" s="687"/>
      <c r="CX496" s="16"/>
      <c r="CY496" s="687"/>
      <c r="CZ496" s="16"/>
      <c r="DA496" s="687"/>
      <c r="DB496" s="16"/>
      <c r="DC496" s="16"/>
      <c r="DD496" s="687"/>
      <c r="DE496" s="16"/>
      <c r="DF496" s="687"/>
      <c r="DG496" s="16"/>
      <c r="DH496" s="687"/>
      <c r="DI496" s="16"/>
      <c r="DJ496" s="687"/>
      <c r="DK496" s="16"/>
      <c r="DL496" s="687"/>
      <c r="DM496" s="16"/>
      <c r="DN496" s="687"/>
      <c r="DO496" s="16"/>
      <c r="DP496" s="687"/>
      <c r="DQ496" s="16"/>
      <c r="DR496" s="687"/>
      <c r="DS496" s="16"/>
      <c r="DT496" s="687"/>
      <c r="DU496" s="16"/>
      <c r="DV496" s="687"/>
      <c r="DW496" s="16"/>
      <c r="DX496" s="687"/>
      <c r="DY496" s="16"/>
      <c r="DZ496" s="687"/>
      <c r="EA496" s="16"/>
      <c r="EB496" s="687"/>
      <c r="EC496" s="16"/>
      <c r="ED496" s="687"/>
      <c r="EE496" s="16"/>
      <c r="EF496" s="687"/>
      <c r="EG496" s="16"/>
      <c r="EH496" s="687"/>
      <c r="EI496" s="16"/>
      <c r="EJ496" s="687"/>
      <c r="EK496" s="16"/>
      <c r="EL496" s="687"/>
      <c r="EM496" s="687"/>
    </row>
    <row r="497" spans="1:143" ht="12.75" hidden="1" customHeight="1" outlineLevel="2" x14ac:dyDescent="0.2">
      <c r="A497" s="700" t="str">
        <f>INPUT!B420</f>
        <v>Benefits and Expenses Analysis</v>
      </c>
      <c r="B497" s="16"/>
      <c r="C497" s="687"/>
      <c r="D497" s="16"/>
      <c r="E497" s="687"/>
      <c r="F497" s="16"/>
      <c r="G497" s="687"/>
      <c r="H497" s="16"/>
      <c r="I497" s="687"/>
      <c r="J497" s="16"/>
      <c r="K497" s="687"/>
      <c r="L497" s="16"/>
      <c r="M497" s="687"/>
      <c r="N497" s="16"/>
      <c r="O497" s="687"/>
      <c r="P497" s="16"/>
      <c r="Q497" s="687"/>
      <c r="R497" s="16"/>
      <c r="S497" s="687"/>
      <c r="T497" s="16"/>
      <c r="U497" s="687"/>
      <c r="V497" s="16"/>
      <c r="W497" s="687"/>
      <c r="X497" s="16"/>
      <c r="Y497" s="687"/>
      <c r="Z497" s="16"/>
      <c r="AA497" s="687"/>
      <c r="AB497" s="16"/>
      <c r="AC497" s="687"/>
      <c r="AD497" s="16"/>
      <c r="AE497" s="687"/>
      <c r="AF497" s="16"/>
      <c r="AG497" s="687"/>
      <c r="AH497" s="16"/>
      <c r="AI497" s="687"/>
      <c r="AJ497" s="16"/>
      <c r="AK497" s="687"/>
      <c r="AL497" s="16"/>
      <c r="AM497" s="687"/>
      <c r="AN497" s="16"/>
      <c r="AO497" s="687"/>
      <c r="AP497" s="16"/>
      <c r="AQ497" s="687"/>
      <c r="AR497" s="16"/>
      <c r="AS497" s="687"/>
      <c r="AT497" s="16"/>
      <c r="AU497" s="687"/>
      <c r="AV497" s="16"/>
      <c r="AW497" s="687"/>
      <c r="AX497" s="16"/>
      <c r="AY497" s="687"/>
      <c r="AZ497" s="16"/>
      <c r="BA497" s="687"/>
      <c r="BB497" s="16"/>
      <c r="BC497" s="687"/>
      <c r="BD497" s="16"/>
      <c r="BE497" s="687"/>
      <c r="BF497" s="16"/>
      <c r="BG497" s="687"/>
      <c r="BH497" s="16"/>
      <c r="BI497" s="687"/>
      <c r="BJ497" s="16"/>
      <c r="BK497" s="687"/>
      <c r="BL497" s="16"/>
      <c r="BM497" s="687"/>
      <c r="BN497" s="16"/>
      <c r="BO497" s="687"/>
      <c r="BP497" s="16"/>
      <c r="BQ497" s="687"/>
      <c r="BR497" s="16"/>
      <c r="BS497" s="687"/>
      <c r="BT497" s="16"/>
      <c r="BU497" s="687"/>
      <c r="BV497" s="16"/>
      <c r="BW497" s="687"/>
      <c r="BX497" s="16"/>
      <c r="BY497" s="687"/>
      <c r="BZ497" s="16"/>
      <c r="CA497" s="687"/>
      <c r="CB497" s="16"/>
      <c r="CC497" s="687"/>
      <c r="CD497" s="16"/>
      <c r="CE497" s="687"/>
      <c r="CF497" s="16"/>
      <c r="CG497" s="687"/>
      <c r="CH497" s="16"/>
      <c r="CI497" s="687"/>
      <c r="CJ497" s="16"/>
      <c r="CK497" s="687"/>
      <c r="CL497" s="16"/>
      <c r="CM497" s="687"/>
      <c r="CN497" s="16"/>
      <c r="CO497" s="687"/>
      <c r="CP497" s="16"/>
      <c r="CQ497" s="687"/>
      <c r="CR497" s="16"/>
      <c r="CS497" s="687"/>
      <c r="CT497" s="16"/>
      <c r="CU497" s="687"/>
      <c r="CV497" s="16"/>
      <c r="CW497" s="687"/>
      <c r="CX497" s="16"/>
      <c r="CY497" s="687"/>
      <c r="CZ497" s="16"/>
      <c r="DA497" s="687"/>
      <c r="DB497" s="16"/>
      <c r="DC497" s="16"/>
      <c r="DD497" s="687"/>
      <c r="DE497" s="16"/>
      <c r="DF497" s="687"/>
      <c r="DG497" s="16"/>
      <c r="DH497" s="687"/>
      <c r="DI497" s="16"/>
      <c r="DJ497" s="687"/>
      <c r="DK497" s="16"/>
      <c r="DL497" s="687"/>
      <c r="DM497" s="16"/>
      <c r="DN497" s="687"/>
      <c r="DO497" s="16"/>
      <c r="DP497" s="687"/>
      <c r="DQ497" s="16"/>
      <c r="DR497" s="687"/>
      <c r="DS497" s="16"/>
      <c r="DT497" s="687"/>
      <c r="DU497" s="16"/>
      <c r="DV497" s="687"/>
      <c r="DW497" s="16"/>
      <c r="DX497" s="687"/>
      <c r="DY497" s="16"/>
      <c r="DZ497" s="687"/>
      <c r="EA497" s="16"/>
      <c r="EB497" s="687"/>
      <c r="EC497" s="16"/>
      <c r="ED497" s="687"/>
      <c r="EE497" s="16"/>
      <c r="EF497" s="687"/>
      <c r="EG497" s="16"/>
      <c r="EH497" s="687"/>
      <c r="EI497" s="16"/>
      <c r="EJ497" s="687"/>
      <c r="EK497" s="16"/>
      <c r="EL497" s="687"/>
      <c r="EM497" s="687"/>
    </row>
    <row r="498" spans="1:143" ht="12.75" hidden="1" customHeight="1" outlineLevel="2" x14ac:dyDescent="0.2">
      <c r="A498" s="701" t="str">
        <f>INPUT!B421</f>
        <v>Benefits/Total Revenues (%)</v>
      </c>
      <c r="B498" s="156">
        <f>INPUT!AY421</f>
        <v>36.546762589928058</v>
      </c>
      <c r="C498" s="687">
        <f>INPUT!AZ421</f>
        <v>8.5773739574077634</v>
      </c>
      <c r="D498" s="156">
        <f>INPUT!BA421</f>
        <v>33.825338253382533</v>
      </c>
      <c r="E498" s="687">
        <f>INPUT!BB421</f>
        <v>-4.9495871302798982</v>
      </c>
      <c r="F498" s="156">
        <f>INPUT!BC421</f>
        <v>34.57814661134163</v>
      </c>
      <c r="G498" s="687">
        <f>INPUT!BD421</f>
        <v>0.13052032805409564</v>
      </c>
      <c r="H498" s="156">
        <f>INPUT!BE421</f>
        <v>35.849056603773583</v>
      </c>
      <c r="I498" s="687">
        <f>INPUT!BF421</f>
        <v>-18.524871355060036</v>
      </c>
      <c r="J498" s="156">
        <f>INPUT!BG421</f>
        <v>39.691289966923925</v>
      </c>
      <c r="K498" s="687">
        <f>INPUT!BH421</f>
        <v>8.6041201850871154</v>
      </c>
      <c r="L498" s="156">
        <f>INPUT!BI421</f>
        <v>37.189189189189186</v>
      </c>
      <c r="M498" s="687">
        <f>INPUT!BJ421</f>
        <v>9.9447665847665725</v>
      </c>
      <c r="N498" s="156">
        <f>INPUT!BK421</f>
        <v>34.047350620067633</v>
      </c>
      <c r="O498" s="687">
        <f>INPUT!BL421</f>
        <v>-1.5350620067643983</v>
      </c>
      <c r="P498" s="156">
        <f>INPUT!BM421</f>
        <v>37.499999999999993</v>
      </c>
      <c r="Q498" s="687">
        <f>INPUT!BN421</f>
        <v>4.6052631578947123</v>
      </c>
      <c r="R498" s="156">
        <f>INPUT!BO421</f>
        <v>35.822637106184359</v>
      </c>
      <c r="S498" s="687">
        <f>INPUT!BP421</f>
        <v>-9.7468559574744091</v>
      </c>
      <c r="T498" s="156">
        <f>INPUT!BQ421</f>
        <v>30.847803881511748</v>
      </c>
      <c r="U498" s="687">
        <f>INPUT!BR421</f>
        <v>-17.05169014419079</v>
      </c>
      <c r="V498" s="156">
        <f>INPUT!BS421</f>
        <v>33.208020050125313</v>
      </c>
      <c r="W498" s="687">
        <f>INPUT!BT421</f>
        <v>-2.4651861441683409</v>
      </c>
      <c r="X498" s="156">
        <f>INPUT!BU421</f>
        <v>30.900621118012417</v>
      </c>
      <c r="Y498" s="687">
        <f>INPUT!BV421</f>
        <v>-17.598343685300211</v>
      </c>
      <c r="Z498" s="156">
        <f>INPUT!BW421</f>
        <v>38.81856540084388</v>
      </c>
      <c r="AA498" s="687">
        <f>INPUT!BX421</f>
        <v>8.3632265424208754</v>
      </c>
      <c r="AB498" s="156"/>
      <c r="AC498" s="687"/>
      <c r="AD498" s="156"/>
      <c r="AE498" s="687"/>
      <c r="AF498" s="156"/>
      <c r="AG498" s="687"/>
      <c r="AH498" s="156"/>
      <c r="AI498" s="687"/>
      <c r="AJ498" s="156"/>
      <c r="AK498" s="687"/>
      <c r="AL498" s="156"/>
      <c r="AM498" s="687"/>
      <c r="AN498" s="156"/>
      <c r="AO498" s="687"/>
      <c r="AP498" s="156"/>
      <c r="AQ498" s="687"/>
      <c r="AR498" s="156"/>
      <c r="AS498" s="687"/>
      <c r="AT498" s="156"/>
      <c r="AU498" s="687"/>
      <c r="AV498" s="156"/>
      <c r="AW498" s="687"/>
      <c r="AX498" s="156"/>
      <c r="AY498" s="687"/>
      <c r="AZ498" s="156"/>
      <c r="BA498" s="687"/>
      <c r="BB498" s="156"/>
      <c r="BC498" s="687"/>
      <c r="BD498" s="156"/>
      <c r="BE498" s="687"/>
      <c r="BF498" s="156"/>
      <c r="BG498" s="687"/>
      <c r="BH498" s="156"/>
      <c r="BI498" s="687"/>
      <c r="BJ498" s="156"/>
      <c r="BK498" s="687"/>
      <c r="BL498" s="156"/>
      <c r="BM498" s="687"/>
      <c r="BN498" s="156"/>
      <c r="BO498" s="687"/>
      <c r="BP498" s="156"/>
      <c r="BQ498" s="687"/>
      <c r="BR498" s="156"/>
      <c r="BS498" s="687"/>
      <c r="BT498" s="156"/>
      <c r="BU498" s="687"/>
      <c r="BV498" s="156"/>
      <c r="BW498" s="687"/>
      <c r="BX498" s="156"/>
      <c r="BY498" s="687"/>
      <c r="BZ498" s="156"/>
      <c r="CA498" s="687"/>
      <c r="CB498" s="156"/>
      <c r="CC498" s="687"/>
      <c r="CD498" s="156"/>
      <c r="CE498" s="687"/>
      <c r="CF498" s="156"/>
      <c r="CG498" s="687"/>
      <c r="CH498" s="156"/>
      <c r="CI498" s="687"/>
      <c r="CJ498" s="156"/>
      <c r="CK498" s="687"/>
      <c r="CL498" s="156"/>
      <c r="CM498" s="687"/>
      <c r="CN498" s="156"/>
      <c r="CO498" s="687"/>
      <c r="CP498" s="156"/>
      <c r="CQ498" s="687"/>
      <c r="CR498" s="156"/>
      <c r="CS498" s="687"/>
      <c r="CT498" s="156"/>
      <c r="CU498" s="687"/>
      <c r="CV498" s="156"/>
      <c r="CW498" s="687"/>
      <c r="CX498" s="156"/>
      <c r="CY498" s="687"/>
      <c r="CZ498" s="156"/>
      <c r="DA498" s="687"/>
      <c r="DB498" s="16"/>
      <c r="DC498" s="156">
        <f>INPUT!FP421</f>
        <v>36.447041819838496</v>
      </c>
      <c r="DD498" s="687">
        <f>INPUT!FQ421</f>
        <v>24.137536466972342</v>
      </c>
      <c r="DE498" s="156">
        <f>INPUT!FR421</f>
        <v>35.173757713543367</v>
      </c>
      <c r="DF498" s="687">
        <f>INPUT!FS421</f>
        <v>-3.4935183837116468</v>
      </c>
      <c r="DG498" s="156">
        <f>INPUT!FT421</f>
        <v>37.13205509046719</v>
      </c>
      <c r="DH498" s="687">
        <f>INPUT!FU421</f>
        <v>5.567495497274666</v>
      </c>
      <c r="DI498" s="156">
        <f>INPUT!FV421</f>
        <v>32.733374008541794</v>
      </c>
      <c r="DJ498" s="687">
        <f>INPUT!FW421</f>
        <v>-11.846048033723445</v>
      </c>
      <c r="DK498" s="156"/>
      <c r="DL498" s="687"/>
      <c r="DM498" s="156"/>
      <c r="DN498" s="687"/>
      <c r="DO498" s="156"/>
      <c r="DP498" s="687"/>
      <c r="DQ498" s="156"/>
      <c r="DR498" s="687"/>
      <c r="DS498" s="156"/>
      <c r="DT498" s="687"/>
      <c r="DU498" s="156"/>
      <c r="DV498" s="687"/>
      <c r="DW498" s="156"/>
      <c r="DX498" s="687"/>
      <c r="DY498" s="156"/>
      <c r="DZ498" s="687"/>
      <c r="EA498" s="156"/>
      <c r="EB498" s="687"/>
      <c r="EC498" s="156"/>
      <c r="ED498" s="687"/>
      <c r="EE498" s="156"/>
      <c r="EF498" s="687"/>
      <c r="EG498" s="156"/>
      <c r="EH498" s="687"/>
      <c r="EI498" s="156"/>
      <c r="EJ498" s="687"/>
      <c r="EK498" s="156"/>
      <c r="EL498" s="687"/>
      <c r="EM498" s="687"/>
    </row>
    <row r="499" spans="1:143" ht="12.75" hidden="1" customHeight="1" outlineLevel="2" x14ac:dyDescent="0.2">
      <c r="A499" s="701" t="str">
        <f>INPUT!B422</f>
        <v>Operating Expense/Revenues (%)</v>
      </c>
      <c r="B499" s="156">
        <f>INPUT!AY422</f>
        <v>39.71223021582734</v>
      </c>
      <c r="C499" s="687">
        <f>INPUT!AZ422</f>
        <v>-12.901735082522203</v>
      </c>
      <c r="D499" s="156">
        <f>INPUT!BA422</f>
        <v>47.847478474784751</v>
      </c>
      <c r="E499" s="687">
        <f>INPUT!BB422</f>
        <v>8.4174078735007143</v>
      </c>
      <c r="F499" s="156">
        <f>INPUT!BC422</f>
        <v>47.717842323651453</v>
      </c>
      <c r="G499" s="687">
        <f>INPUT!BD422</f>
        <v>-6.9185163022510547</v>
      </c>
      <c r="H499" s="156">
        <f>INPUT!BE422</f>
        <v>46.108490566037744</v>
      </c>
      <c r="I499" s="687" t="str">
        <f>INPUT!BF422</f>
        <v>NM</v>
      </c>
      <c r="J499" s="156">
        <f>INPUT!BG422</f>
        <v>41.896361631753031</v>
      </c>
      <c r="K499" s="687">
        <f>INPUT!BH422</f>
        <v>5.499896137928828</v>
      </c>
      <c r="L499" s="156">
        <f>INPUT!BI422</f>
        <v>43.351351351351354</v>
      </c>
      <c r="M499" s="687">
        <f>INPUT!BJ422</f>
        <v>-9.3967901063016779</v>
      </c>
      <c r="N499" s="156">
        <f>INPUT!BK422</f>
        <v>47.914317925591874</v>
      </c>
      <c r="O499" s="687">
        <f>INPUT!BL422</f>
        <v>0.41174452232730641</v>
      </c>
      <c r="P499" s="156">
        <f>INPUT!BM422</f>
        <v>42.581300813008127</v>
      </c>
      <c r="Q499" s="687">
        <f>INPUT!BN422</f>
        <v>-7.6497619196141065</v>
      </c>
      <c r="R499" s="156">
        <f>INPUT!BO422</f>
        <v>44.924154025670937</v>
      </c>
      <c r="S499" s="687">
        <f>INPUT!BP422</f>
        <v>7.2268623717987923</v>
      </c>
      <c r="T499" s="156">
        <f>INPUT!BQ422</f>
        <v>40.858018386108277</v>
      </c>
      <c r="U499" s="687">
        <f>INPUT!BR422</f>
        <v>-5.7514538475058501</v>
      </c>
      <c r="V499" s="156">
        <f>INPUT!BS422</f>
        <v>43.107769423558892</v>
      </c>
      <c r="W499" s="687">
        <f>INPUT!BT422</f>
        <v>-10.031549461890011</v>
      </c>
      <c r="X499" s="156">
        <f>INPUT!BU422</f>
        <v>46.583850931677013</v>
      </c>
      <c r="Y499" s="687">
        <f>INPUT!BV422</f>
        <v>9.3997835722438694</v>
      </c>
      <c r="Z499" s="156">
        <f>INPUT!BW422</f>
        <v>41.139240506329116</v>
      </c>
      <c r="AA499" s="687">
        <f>INPUT!BX422</f>
        <v>-8.4251191846128286</v>
      </c>
      <c r="AB499" s="156"/>
      <c r="AC499" s="687"/>
      <c r="AD499" s="156"/>
      <c r="AE499" s="687"/>
      <c r="AF499" s="156"/>
      <c r="AG499" s="687"/>
      <c r="AH499" s="156"/>
      <c r="AI499" s="687"/>
      <c r="AJ499" s="156"/>
      <c r="AK499" s="687"/>
      <c r="AL499" s="156"/>
      <c r="AM499" s="687"/>
      <c r="AN499" s="156"/>
      <c r="AO499" s="687"/>
      <c r="AP499" s="156"/>
      <c r="AQ499" s="687"/>
      <c r="AR499" s="156"/>
      <c r="AS499" s="687"/>
      <c r="AT499" s="156"/>
      <c r="AU499" s="687"/>
      <c r="AV499" s="156"/>
      <c r="AW499" s="687"/>
      <c r="AX499" s="156"/>
      <c r="AY499" s="687"/>
      <c r="AZ499" s="156"/>
      <c r="BA499" s="687"/>
      <c r="BB499" s="156"/>
      <c r="BC499" s="687"/>
      <c r="BD499" s="156"/>
      <c r="BE499" s="687"/>
      <c r="BF499" s="156"/>
      <c r="BG499" s="687"/>
      <c r="BH499" s="156"/>
      <c r="BI499" s="687"/>
      <c r="BJ499" s="156"/>
      <c r="BK499" s="687"/>
      <c r="BL499" s="156"/>
      <c r="BM499" s="687"/>
      <c r="BN499" s="156"/>
      <c r="BO499" s="687"/>
      <c r="BP499" s="156"/>
      <c r="BQ499" s="687"/>
      <c r="BR499" s="156"/>
      <c r="BS499" s="687"/>
      <c r="BT499" s="156"/>
      <c r="BU499" s="687"/>
      <c r="BV499" s="156"/>
      <c r="BW499" s="687"/>
      <c r="BX499" s="156"/>
      <c r="BY499" s="687"/>
      <c r="BZ499" s="156"/>
      <c r="CA499" s="687"/>
      <c r="CB499" s="156"/>
      <c r="CC499" s="687"/>
      <c r="CD499" s="156"/>
      <c r="CE499" s="687"/>
      <c r="CF499" s="156"/>
      <c r="CG499" s="687"/>
      <c r="CH499" s="156"/>
      <c r="CI499" s="687"/>
      <c r="CJ499" s="156"/>
      <c r="CK499" s="687"/>
      <c r="CL499" s="156"/>
      <c r="CM499" s="687"/>
      <c r="CN499" s="156"/>
      <c r="CO499" s="687"/>
      <c r="CP499" s="156"/>
      <c r="CQ499" s="687"/>
      <c r="CR499" s="156"/>
      <c r="CS499" s="687"/>
      <c r="CT499" s="156"/>
      <c r="CU499" s="687"/>
      <c r="CV499" s="156"/>
      <c r="CW499" s="687"/>
      <c r="CX499" s="156"/>
      <c r="CY499" s="687"/>
      <c r="CZ499" s="156"/>
      <c r="DA499" s="687"/>
      <c r="DB499" s="16"/>
      <c r="DC499" s="156">
        <f>INPUT!FP422</f>
        <v>42.636754956483479</v>
      </c>
      <c r="DD499" s="687">
        <f>INPUT!FQ422</f>
        <v>-16.507086832927374</v>
      </c>
      <c r="DE499" s="156">
        <f>INPUT!FR422</f>
        <v>45.501786294251382</v>
      </c>
      <c r="DF499" s="687">
        <f>INPUT!FS422</f>
        <v>6.7196280314767209</v>
      </c>
      <c r="DG499" s="156">
        <f>INPUT!FT422</f>
        <v>43.883337834188502</v>
      </c>
      <c r="DH499" s="687">
        <f>INPUT!FU422</f>
        <v>-3.556889941851249</v>
      </c>
      <c r="DI499" s="156">
        <f>INPUT!FV422</f>
        <v>43.593654667480166</v>
      </c>
      <c r="DJ499" s="687">
        <f>INPUT!FW422</f>
        <v>-0.66012108696674732</v>
      </c>
      <c r="DK499" s="156"/>
      <c r="DL499" s="687"/>
      <c r="DM499" s="156"/>
      <c r="DN499" s="687"/>
      <c r="DO499" s="156"/>
      <c r="DP499" s="687"/>
      <c r="DQ499" s="156"/>
      <c r="DR499" s="687"/>
      <c r="DS499" s="156"/>
      <c r="DT499" s="687"/>
      <c r="DU499" s="156"/>
      <c r="DV499" s="687"/>
      <c r="DW499" s="156"/>
      <c r="DX499" s="687"/>
      <c r="DY499" s="156"/>
      <c r="DZ499" s="687"/>
      <c r="EA499" s="156"/>
      <c r="EB499" s="687"/>
      <c r="EC499" s="156"/>
      <c r="ED499" s="687"/>
      <c r="EE499" s="156"/>
      <c r="EF499" s="687"/>
      <c r="EG499" s="156"/>
      <c r="EH499" s="687"/>
      <c r="EI499" s="156"/>
      <c r="EJ499" s="687"/>
      <c r="EK499" s="156"/>
      <c r="EL499" s="687"/>
      <c r="EM499" s="687"/>
    </row>
    <row r="500" spans="1:143" ht="12.75" hidden="1" customHeight="1" outlineLevel="2" x14ac:dyDescent="0.2">
      <c r="A500" s="701"/>
      <c r="B500" s="16"/>
      <c r="C500" s="687"/>
      <c r="D500" s="16"/>
      <c r="E500" s="687"/>
      <c r="F500" s="16"/>
      <c r="G500" s="687"/>
      <c r="H500" s="16"/>
      <c r="I500" s="687"/>
      <c r="J500" s="16"/>
      <c r="K500" s="687"/>
      <c r="L500" s="16"/>
      <c r="M500" s="687"/>
      <c r="N500" s="16"/>
      <c r="O500" s="687"/>
      <c r="P500" s="16"/>
      <c r="Q500" s="687"/>
      <c r="R500" s="16"/>
      <c r="S500" s="687"/>
      <c r="T500" s="16"/>
      <c r="U500" s="687"/>
      <c r="V500" s="16"/>
      <c r="W500" s="687"/>
      <c r="X500" s="16"/>
      <c r="Y500" s="687"/>
      <c r="Z500" s="16"/>
      <c r="AA500" s="687"/>
      <c r="AB500" s="16"/>
      <c r="AC500" s="687"/>
      <c r="AD500" s="16"/>
      <c r="AE500" s="687"/>
      <c r="AF500" s="16"/>
      <c r="AG500" s="687"/>
      <c r="AH500" s="16"/>
      <c r="AI500" s="687"/>
      <c r="AJ500" s="16"/>
      <c r="AK500" s="687"/>
      <c r="AL500" s="16"/>
      <c r="AM500" s="687"/>
      <c r="AN500" s="16"/>
      <c r="AO500" s="687"/>
      <c r="AP500" s="16"/>
      <c r="AQ500" s="687"/>
      <c r="AR500" s="16"/>
      <c r="AS500" s="687"/>
      <c r="AT500" s="16"/>
      <c r="AU500" s="687"/>
      <c r="AV500" s="16"/>
      <c r="AW500" s="687"/>
      <c r="AX500" s="16"/>
      <c r="AY500" s="687"/>
      <c r="AZ500" s="16"/>
      <c r="BA500" s="687"/>
      <c r="BB500" s="16"/>
      <c r="BC500" s="687"/>
      <c r="BD500" s="16"/>
      <c r="BE500" s="687"/>
      <c r="BF500" s="16"/>
      <c r="BG500" s="687"/>
      <c r="BH500" s="16"/>
      <c r="BI500" s="687"/>
      <c r="BJ500" s="16"/>
      <c r="BK500" s="687"/>
      <c r="BL500" s="16"/>
      <c r="BM500" s="687"/>
      <c r="BN500" s="16"/>
      <c r="BO500" s="687"/>
      <c r="BP500" s="16"/>
      <c r="BQ500" s="687"/>
      <c r="BR500" s="16"/>
      <c r="BS500" s="687"/>
      <c r="BT500" s="16"/>
      <c r="BU500" s="687"/>
      <c r="BV500" s="16"/>
      <c r="BW500" s="687"/>
      <c r="BX500" s="16"/>
      <c r="BY500" s="687"/>
      <c r="BZ500" s="16"/>
      <c r="CA500" s="687"/>
      <c r="CB500" s="16"/>
      <c r="CC500" s="687"/>
      <c r="CD500" s="16"/>
      <c r="CE500" s="687"/>
      <c r="CF500" s="16"/>
      <c r="CG500" s="687"/>
      <c r="CH500" s="16"/>
      <c r="CI500" s="687"/>
      <c r="CJ500" s="16"/>
      <c r="CK500" s="687"/>
      <c r="CL500" s="16"/>
      <c r="CM500" s="687"/>
      <c r="CN500" s="16"/>
      <c r="CO500" s="687"/>
      <c r="CP500" s="16"/>
      <c r="CQ500" s="687"/>
      <c r="CR500" s="16"/>
      <c r="CS500" s="687"/>
      <c r="CT500" s="16"/>
      <c r="CU500" s="687"/>
      <c r="CV500" s="16"/>
      <c r="CW500" s="687"/>
      <c r="CX500" s="16"/>
      <c r="CY500" s="687"/>
      <c r="CZ500" s="16"/>
      <c r="DA500" s="687"/>
      <c r="DB500" s="16"/>
      <c r="DC500" s="16"/>
      <c r="DD500" s="687"/>
      <c r="DE500" s="16"/>
      <c r="DF500" s="687"/>
      <c r="DG500" s="16"/>
      <c r="DH500" s="687"/>
      <c r="DI500" s="16"/>
      <c r="DJ500" s="687"/>
      <c r="DK500" s="16"/>
      <c r="DL500" s="687"/>
      <c r="DM500" s="16"/>
      <c r="DN500" s="687"/>
      <c r="DO500" s="16"/>
      <c r="DP500" s="687"/>
      <c r="DQ500" s="16"/>
      <c r="DR500" s="687"/>
      <c r="DS500" s="16"/>
      <c r="DT500" s="687"/>
      <c r="DU500" s="16"/>
      <c r="DV500" s="687"/>
      <c r="DW500" s="16"/>
      <c r="DX500" s="687"/>
      <c r="DY500" s="16"/>
      <c r="DZ500" s="687"/>
      <c r="EA500" s="16"/>
      <c r="EB500" s="687"/>
      <c r="EC500" s="16"/>
      <c r="ED500" s="687"/>
      <c r="EE500" s="16"/>
      <c r="EF500" s="687"/>
      <c r="EG500" s="16"/>
      <c r="EH500" s="687"/>
      <c r="EI500" s="16"/>
      <c r="EJ500" s="687"/>
      <c r="EK500" s="16"/>
      <c r="EL500" s="687"/>
      <c r="EM500" s="687"/>
    </row>
    <row r="501" spans="1:143" ht="12.75" hidden="1" customHeight="1" outlineLevel="2" x14ac:dyDescent="0.2">
      <c r="A501" s="689" t="str">
        <f>+A60</f>
        <v>Quarterly income statement ratios are annualized where appropriate     NM = Not Meaningful       NA = Not Applicable  E=Morgan Stanley Estimates</v>
      </c>
      <c r="B501" s="16"/>
      <c r="C501" s="687"/>
      <c r="D501" s="16"/>
      <c r="E501" s="687"/>
      <c r="F501" s="16"/>
      <c r="G501" s="687"/>
      <c r="H501" s="16"/>
      <c r="I501" s="687"/>
      <c r="J501" s="16"/>
      <c r="K501" s="687"/>
      <c r="L501" s="16"/>
      <c r="M501" s="687"/>
      <c r="N501" s="16"/>
      <c r="O501" s="687"/>
      <c r="P501" s="16"/>
      <c r="Q501" s="687"/>
      <c r="R501" s="16"/>
      <c r="S501" s="687"/>
      <c r="T501" s="16"/>
      <c r="U501" s="687"/>
      <c r="V501" s="16"/>
      <c r="W501" s="687"/>
      <c r="X501" s="16"/>
      <c r="Y501" s="687"/>
      <c r="Z501" s="16"/>
      <c r="AA501" s="687"/>
      <c r="AB501" s="16"/>
      <c r="AC501" s="687"/>
      <c r="AD501" s="16"/>
      <c r="AE501" s="687"/>
      <c r="AF501" s="16"/>
      <c r="AG501" s="687"/>
      <c r="AH501" s="16"/>
      <c r="AI501" s="687"/>
      <c r="AJ501" s="16"/>
      <c r="AK501" s="687"/>
      <c r="AL501" s="16"/>
      <c r="AM501" s="687"/>
      <c r="AN501" s="16"/>
      <c r="AO501" s="687"/>
      <c r="AP501" s="16"/>
      <c r="AQ501" s="687"/>
      <c r="AR501" s="16"/>
      <c r="AS501" s="687"/>
      <c r="AT501" s="16"/>
      <c r="AU501" s="687"/>
      <c r="AV501" s="16"/>
      <c r="AW501" s="687"/>
      <c r="AX501" s="16"/>
      <c r="AY501" s="687"/>
      <c r="AZ501" s="16"/>
      <c r="BA501" s="687"/>
      <c r="BB501" s="16"/>
      <c r="BC501" s="687"/>
      <c r="BD501" s="16"/>
      <c r="BE501" s="687"/>
      <c r="BF501" s="16"/>
      <c r="BG501" s="687"/>
      <c r="BH501" s="16"/>
      <c r="BI501" s="687"/>
      <c r="BJ501" s="16"/>
      <c r="BK501" s="687"/>
      <c r="BL501" s="16"/>
      <c r="BM501" s="687"/>
      <c r="BN501" s="16"/>
      <c r="BO501" s="687"/>
      <c r="BP501" s="16"/>
      <c r="BQ501" s="687"/>
      <c r="BR501" s="16"/>
      <c r="BS501" s="687"/>
      <c r="BT501" s="16"/>
      <c r="BU501" s="687"/>
      <c r="BV501" s="16"/>
      <c r="BW501" s="687"/>
      <c r="BX501" s="16"/>
      <c r="BY501" s="687"/>
      <c r="BZ501" s="16"/>
      <c r="CA501" s="687"/>
      <c r="CB501" s="16"/>
      <c r="CC501" s="687"/>
      <c r="CD501" s="16"/>
      <c r="CE501" s="687"/>
      <c r="CF501" s="16"/>
      <c r="CG501" s="687"/>
      <c r="CH501" s="16"/>
      <c r="CI501" s="687"/>
      <c r="CJ501" s="16"/>
      <c r="CK501" s="687"/>
      <c r="CL501" s="16"/>
      <c r="CM501" s="687"/>
      <c r="CN501" s="16"/>
      <c r="CO501" s="687"/>
      <c r="CP501" s="16"/>
      <c r="CQ501" s="687"/>
      <c r="CR501" s="16"/>
      <c r="CS501" s="687"/>
      <c r="CT501" s="16"/>
      <c r="CU501" s="687"/>
      <c r="CV501" s="16"/>
      <c r="CW501" s="687"/>
      <c r="CX501" s="16"/>
      <c r="CY501" s="687"/>
      <c r="CZ501" s="16"/>
      <c r="DA501" s="687"/>
      <c r="DB501" s="16"/>
      <c r="DC501" s="16"/>
      <c r="DD501" s="687"/>
      <c r="DE501" s="16"/>
      <c r="DF501" s="687"/>
      <c r="DG501" s="16"/>
      <c r="DH501" s="687"/>
      <c r="DI501" s="16"/>
      <c r="DJ501" s="687"/>
      <c r="DK501" s="16"/>
      <c r="DL501" s="687"/>
      <c r="DM501" s="16"/>
      <c r="DN501" s="687"/>
      <c r="DO501" s="16"/>
      <c r="DP501" s="687"/>
      <c r="DQ501" s="16"/>
      <c r="DR501" s="687"/>
      <c r="DS501" s="16"/>
      <c r="DT501" s="687"/>
      <c r="DU501" s="16"/>
      <c r="DV501" s="687"/>
      <c r="DW501" s="16"/>
      <c r="DX501" s="687"/>
      <c r="DY501" s="16"/>
      <c r="DZ501" s="687"/>
      <c r="EA501" s="16"/>
      <c r="EB501" s="687"/>
      <c r="EC501" s="16"/>
      <c r="ED501" s="687"/>
      <c r="EE501" s="16"/>
      <c r="EF501" s="687"/>
      <c r="EG501" s="16"/>
      <c r="EH501" s="687"/>
      <c r="EI501" s="16"/>
      <c r="EJ501" s="687"/>
      <c r="EK501" s="16"/>
      <c r="EL501" s="687"/>
      <c r="EM501" s="687"/>
    </row>
    <row r="502" spans="1:143" ht="12.75" hidden="1" customHeight="1" outlineLevel="2" x14ac:dyDescent="0.2">
      <c r="A502" s="689" t="s">
        <v>412</v>
      </c>
      <c r="B502" s="16"/>
      <c r="C502" s="687"/>
      <c r="D502" s="16"/>
      <c r="E502" s="687"/>
      <c r="F502" s="16"/>
      <c r="G502" s="687"/>
      <c r="H502" s="16"/>
      <c r="I502" s="687"/>
      <c r="J502" s="16"/>
      <c r="K502" s="687"/>
      <c r="L502" s="16"/>
      <c r="M502" s="687"/>
      <c r="N502" s="16"/>
      <c r="O502" s="687"/>
      <c r="P502" s="16"/>
      <c r="Q502" s="687"/>
      <c r="R502" s="16"/>
      <c r="S502" s="687"/>
      <c r="T502" s="16"/>
      <c r="U502" s="687"/>
      <c r="V502" s="16"/>
      <c r="W502" s="687"/>
      <c r="X502" s="16"/>
      <c r="Y502" s="687"/>
      <c r="Z502" s="16"/>
      <c r="AA502" s="687"/>
      <c r="AB502" s="16"/>
      <c r="AC502" s="687"/>
      <c r="AD502" s="16"/>
      <c r="AE502" s="687"/>
      <c r="AF502" s="16"/>
      <c r="AG502" s="687"/>
      <c r="AH502" s="16"/>
      <c r="AI502" s="687"/>
      <c r="AJ502" s="16"/>
      <c r="AK502" s="687"/>
      <c r="AL502" s="16"/>
      <c r="AM502" s="687"/>
      <c r="AN502" s="16"/>
      <c r="AO502" s="687"/>
      <c r="AP502" s="16"/>
      <c r="AQ502" s="687"/>
      <c r="AR502" s="16"/>
      <c r="AS502" s="687"/>
      <c r="AT502" s="16"/>
      <c r="AU502" s="687"/>
      <c r="AV502" s="16"/>
      <c r="AW502" s="687"/>
      <c r="AX502" s="16"/>
      <c r="AY502" s="687"/>
      <c r="AZ502" s="16"/>
      <c r="BA502" s="687"/>
      <c r="BB502" s="16"/>
      <c r="BC502" s="687"/>
      <c r="BD502" s="16"/>
      <c r="BE502" s="687"/>
      <c r="BF502" s="16"/>
      <c r="BG502" s="687"/>
      <c r="BH502" s="16"/>
      <c r="BI502" s="687"/>
      <c r="BJ502" s="16"/>
      <c r="BK502" s="687"/>
      <c r="BL502" s="16"/>
      <c r="BM502" s="687"/>
      <c r="BN502" s="16"/>
      <c r="BO502" s="687"/>
      <c r="BP502" s="16"/>
      <c r="BQ502" s="687"/>
      <c r="BR502" s="16"/>
      <c r="BS502" s="687"/>
      <c r="BT502" s="16"/>
      <c r="BU502" s="687"/>
      <c r="BV502" s="16"/>
      <c r="BW502" s="687"/>
      <c r="BX502" s="16"/>
      <c r="BY502" s="687"/>
      <c r="BZ502" s="16"/>
      <c r="CA502" s="687"/>
      <c r="CB502" s="16"/>
      <c r="CC502" s="687"/>
      <c r="CD502" s="16"/>
      <c r="CE502" s="687"/>
      <c r="CF502" s="16"/>
      <c r="CG502" s="687"/>
      <c r="CH502" s="16"/>
      <c r="CI502" s="687"/>
      <c r="CJ502" s="16"/>
      <c r="CK502" s="687"/>
      <c r="CL502" s="16"/>
      <c r="CM502" s="687"/>
      <c r="CN502" s="16"/>
      <c r="CO502" s="687"/>
      <c r="CP502" s="16"/>
      <c r="CQ502" s="687"/>
      <c r="CR502" s="16"/>
      <c r="CS502" s="687"/>
      <c r="CT502" s="16"/>
      <c r="CU502" s="687"/>
      <c r="CV502" s="16"/>
      <c r="CW502" s="687"/>
      <c r="CX502" s="16"/>
      <c r="CY502" s="687"/>
      <c r="CZ502" s="16"/>
      <c r="DA502" s="687"/>
      <c r="DB502" s="16"/>
      <c r="DC502" s="16"/>
      <c r="DD502" s="687"/>
      <c r="DE502" s="16"/>
      <c r="DF502" s="687"/>
      <c r="DG502" s="16"/>
      <c r="DH502" s="687"/>
      <c r="DI502" s="16"/>
      <c r="DJ502" s="687"/>
      <c r="DK502" s="16"/>
      <c r="DL502" s="687"/>
      <c r="DM502" s="16"/>
      <c r="DN502" s="687"/>
      <c r="DO502" s="16"/>
      <c r="DP502" s="687"/>
      <c r="DQ502" s="16"/>
      <c r="DR502" s="687"/>
      <c r="DS502" s="16"/>
      <c r="DT502" s="687"/>
      <c r="DU502" s="16"/>
      <c r="DV502" s="687"/>
      <c r="DW502" s="16"/>
      <c r="DX502" s="687"/>
      <c r="DY502" s="16"/>
      <c r="DZ502" s="687"/>
      <c r="EA502" s="16"/>
      <c r="EB502" s="687"/>
      <c r="EC502" s="16"/>
      <c r="ED502" s="687"/>
      <c r="EE502" s="16"/>
      <c r="EF502" s="687"/>
      <c r="EG502" s="16"/>
      <c r="EH502" s="687"/>
      <c r="EI502" s="16"/>
      <c r="EJ502" s="687"/>
      <c r="EK502" s="16"/>
      <c r="EL502" s="687"/>
      <c r="EM502" s="687"/>
    </row>
    <row r="503" spans="1:143" ht="12.75" hidden="1" customHeight="1" outlineLevel="2" x14ac:dyDescent="0.2">
      <c r="A503" s="701"/>
      <c r="B503" s="16"/>
      <c r="C503" s="687"/>
      <c r="D503" s="16"/>
      <c r="E503" s="687"/>
      <c r="F503" s="16"/>
      <c r="G503" s="687"/>
      <c r="H503" s="16"/>
      <c r="I503" s="687"/>
      <c r="J503" s="16"/>
      <c r="K503" s="687"/>
      <c r="L503" s="16"/>
      <c r="M503" s="687"/>
      <c r="N503" s="16"/>
      <c r="O503" s="687"/>
      <c r="P503" s="16"/>
      <c r="Q503" s="687"/>
      <c r="R503" s="16"/>
      <c r="S503" s="687"/>
      <c r="T503" s="16"/>
      <c r="U503" s="687"/>
      <c r="V503" s="16"/>
      <c r="W503" s="687"/>
      <c r="X503" s="16"/>
      <c r="Y503" s="687"/>
      <c r="Z503" s="16"/>
      <c r="AA503" s="687"/>
      <c r="AB503" s="16"/>
      <c r="AC503" s="687"/>
      <c r="AD503" s="16"/>
      <c r="AE503" s="687"/>
      <c r="AF503" s="16"/>
      <c r="AG503" s="687"/>
      <c r="AH503" s="16"/>
      <c r="AI503" s="687"/>
      <c r="AJ503" s="16"/>
      <c r="AK503" s="687"/>
      <c r="AL503" s="16"/>
      <c r="AM503" s="687"/>
      <c r="AN503" s="16"/>
      <c r="AO503" s="687"/>
      <c r="AP503" s="16"/>
      <c r="AQ503" s="687"/>
      <c r="AR503" s="16"/>
      <c r="AS503" s="687"/>
      <c r="AT503" s="16"/>
      <c r="AU503" s="687"/>
      <c r="AV503" s="16"/>
      <c r="AW503" s="687"/>
      <c r="AX503" s="16"/>
      <c r="AY503" s="687"/>
      <c r="AZ503" s="16"/>
      <c r="BA503" s="687"/>
      <c r="BB503" s="16"/>
      <c r="BC503" s="687"/>
      <c r="BD503" s="16"/>
      <c r="BE503" s="687"/>
      <c r="BF503" s="16"/>
      <c r="BG503" s="687"/>
      <c r="BH503" s="16"/>
      <c r="BI503" s="687"/>
      <c r="BJ503" s="16"/>
      <c r="BK503" s="687"/>
      <c r="BL503" s="16"/>
      <c r="BM503" s="687"/>
      <c r="BN503" s="16"/>
      <c r="BO503" s="687"/>
      <c r="BP503" s="16"/>
      <c r="BQ503" s="687"/>
      <c r="BR503" s="16"/>
      <c r="BS503" s="687"/>
      <c r="BT503" s="16"/>
      <c r="BU503" s="687"/>
      <c r="BV503" s="16"/>
      <c r="BW503" s="687"/>
      <c r="BX503" s="16"/>
      <c r="BY503" s="687"/>
      <c r="BZ503" s="16"/>
      <c r="CA503" s="687"/>
      <c r="CB503" s="16"/>
      <c r="CC503" s="687"/>
      <c r="CD503" s="16"/>
      <c r="CE503" s="687"/>
      <c r="CF503" s="16"/>
      <c r="CG503" s="687"/>
      <c r="CH503" s="16"/>
      <c r="CI503" s="687"/>
      <c r="CJ503" s="16"/>
      <c r="CK503" s="687"/>
      <c r="CL503" s="16"/>
      <c r="CM503" s="687"/>
      <c r="CN503" s="16"/>
      <c r="CO503" s="687"/>
      <c r="CP503" s="16"/>
      <c r="CQ503" s="687"/>
      <c r="CR503" s="16"/>
      <c r="CS503" s="687"/>
      <c r="CT503" s="16"/>
      <c r="CU503" s="687"/>
      <c r="CV503" s="16"/>
      <c r="CW503" s="687"/>
      <c r="CX503" s="16"/>
      <c r="CY503" s="687"/>
      <c r="CZ503" s="16"/>
      <c r="DA503" s="687"/>
      <c r="DB503" s="16"/>
      <c r="DC503" s="16"/>
      <c r="DD503" s="687"/>
      <c r="DE503" s="16"/>
      <c r="DF503" s="687"/>
      <c r="DG503" s="16"/>
      <c r="DH503" s="687"/>
      <c r="DI503" s="16"/>
      <c r="DJ503" s="687"/>
      <c r="DK503" s="16"/>
      <c r="DL503" s="687"/>
      <c r="DM503" s="16"/>
      <c r="DN503" s="687"/>
      <c r="DO503" s="16"/>
      <c r="DP503" s="687"/>
      <c r="DQ503" s="16"/>
      <c r="DR503" s="687"/>
      <c r="DS503" s="16"/>
      <c r="DT503" s="687"/>
      <c r="DU503" s="16"/>
      <c r="DV503" s="687"/>
      <c r="DW503" s="16"/>
      <c r="DX503" s="687"/>
      <c r="DY503" s="16"/>
      <c r="DZ503" s="687"/>
      <c r="EA503" s="16"/>
      <c r="EB503" s="687"/>
      <c r="EC503" s="16"/>
      <c r="ED503" s="687"/>
      <c r="EE503" s="16"/>
      <c r="EF503" s="687"/>
      <c r="EG503" s="16"/>
      <c r="EH503" s="687"/>
      <c r="EI503" s="16"/>
      <c r="EJ503" s="687"/>
      <c r="EK503" s="16"/>
      <c r="EL503" s="687"/>
      <c r="EM503" s="702"/>
    </row>
    <row r="504" spans="1:143" ht="21.95" hidden="1" customHeight="1" outlineLevel="2" x14ac:dyDescent="0.2">
      <c r="A504" s="691" t="str">
        <f>$A$1</f>
        <v>Lincoln National</v>
      </c>
      <c r="B504" s="683"/>
      <c r="C504" s="684"/>
      <c r="D504" s="683"/>
      <c r="E504" s="684"/>
      <c r="F504" s="683"/>
      <c r="G504" s="684"/>
      <c r="H504" s="683"/>
      <c r="I504" s="684"/>
      <c r="J504" s="683"/>
      <c r="K504" s="684"/>
      <c r="L504" s="683"/>
      <c r="M504" s="684"/>
      <c r="N504" s="683"/>
      <c r="O504" s="684"/>
      <c r="P504" s="683"/>
      <c r="Q504" s="684"/>
      <c r="R504" s="683"/>
      <c r="S504" s="684"/>
      <c r="T504" s="683"/>
      <c r="U504" s="684"/>
      <c r="V504" s="683"/>
      <c r="W504" s="684"/>
      <c r="X504" s="683"/>
      <c r="Y504" s="684"/>
      <c r="Z504" s="683"/>
      <c r="AA504" s="684"/>
      <c r="AB504" s="683"/>
      <c r="AC504" s="684"/>
      <c r="AD504" s="683"/>
      <c r="AE504" s="684"/>
      <c r="AF504" s="683"/>
      <c r="AG504" s="684"/>
      <c r="AH504" s="683"/>
      <c r="AI504" s="684"/>
      <c r="AJ504" s="683"/>
      <c r="AK504" s="684"/>
      <c r="AL504" s="683"/>
      <c r="AM504" s="684"/>
      <c r="AN504" s="683"/>
      <c r="AO504" s="684"/>
      <c r="AP504" s="683"/>
      <c r="AQ504" s="684"/>
      <c r="AR504" s="683"/>
      <c r="AS504" s="684"/>
      <c r="AT504" s="683"/>
      <c r="AU504" s="684"/>
      <c r="AV504" s="683"/>
      <c r="AW504" s="684"/>
      <c r="AX504" s="683"/>
      <c r="AY504" s="684"/>
      <c r="AZ504" s="683"/>
      <c r="BA504" s="684"/>
      <c r="BB504" s="683"/>
      <c r="BC504" s="684"/>
      <c r="BD504" s="683"/>
      <c r="BE504" s="684"/>
      <c r="BF504" s="683"/>
      <c r="BG504" s="684"/>
      <c r="BH504" s="683"/>
      <c r="BI504" s="684"/>
      <c r="BJ504" s="683"/>
      <c r="BK504" s="684"/>
      <c r="BL504" s="683"/>
      <c r="BM504" s="684"/>
      <c r="BN504" s="683"/>
      <c r="BO504" s="684"/>
      <c r="BP504" s="683"/>
      <c r="BQ504" s="684"/>
      <c r="BR504" s="683"/>
      <c r="BS504" s="684"/>
      <c r="BT504" s="683"/>
      <c r="BU504" s="684"/>
      <c r="BV504" s="683"/>
      <c r="BW504" s="684"/>
      <c r="BX504" s="683"/>
      <c r="BY504" s="684"/>
      <c r="BZ504" s="683"/>
      <c r="CA504" s="684"/>
      <c r="CB504" s="683"/>
      <c r="CC504" s="684"/>
      <c r="CD504" s="683"/>
      <c r="CE504" s="684"/>
      <c r="CF504" s="683"/>
      <c r="CG504" s="684"/>
      <c r="CH504" s="683"/>
      <c r="CI504" s="684"/>
      <c r="CJ504" s="683"/>
      <c r="CK504" s="684"/>
      <c r="CL504" s="683"/>
      <c r="CM504" s="684"/>
      <c r="CN504" s="683"/>
      <c r="CO504" s="684"/>
      <c r="CP504" s="683"/>
      <c r="CQ504" s="684"/>
      <c r="CR504" s="683"/>
      <c r="CS504" s="684"/>
      <c r="CT504" s="683"/>
      <c r="CU504" s="684"/>
      <c r="CV504" s="683"/>
      <c r="CW504" s="684"/>
      <c r="CX504" s="683"/>
      <c r="CY504" s="684"/>
      <c r="CZ504" s="683"/>
      <c r="DA504" s="684"/>
      <c r="DB504" s="684"/>
      <c r="DC504" s="683"/>
      <c r="DD504" s="684"/>
      <c r="DE504" s="683"/>
      <c r="DF504" s="684"/>
      <c r="DG504" s="683"/>
      <c r="DH504" s="684"/>
      <c r="DI504" s="683"/>
      <c r="DJ504" s="684"/>
      <c r="DK504" s="683"/>
      <c r="DL504" s="684"/>
      <c r="DM504" s="683"/>
      <c r="DN504" s="684"/>
      <c r="DO504" s="683"/>
      <c r="DP504" s="684"/>
      <c r="DQ504" s="683"/>
      <c r="DR504" s="684"/>
      <c r="DS504" s="683"/>
      <c r="DT504" s="684"/>
      <c r="DU504" s="683"/>
      <c r="DV504" s="684"/>
      <c r="DW504" s="683"/>
      <c r="DX504" s="684"/>
      <c r="DY504" s="683"/>
      <c r="DZ504" s="684"/>
      <c r="EA504" s="683"/>
      <c r="EB504" s="684"/>
      <c r="EC504" s="683"/>
      <c r="ED504" s="684"/>
      <c r="EE504" s="683"/>
      <c r="EF504" s="684"/>
      <c r="EG504" s="683"/>
      <c r="EH504" s="684"/>
      <c r="EI504" s="683"/>
      <c r="EJ504" s="684"/>
      <c r="EK504" s="683"/>
      <c r="EL504" s="684"/>
      <c r="EM504" s="684"/>
    </row>
    <row r="505" spans="1:143" ht="12.75" hidden="1" customHeight="1" outlineLevel="2" x14ac:dyDescent="0.2">
      <c r="A505" s="685" t="s">
        <v>180</v>
      </c>
      <c r="B505" s="4"/>
      <c r="C505" s="686"/>
      <c r="D505" s="4"/>
      <c r="E505" s="686"/>
      <c r="F505" s="4"/>
      <c r="G505" s="686"/>
      <c r="H505" s="4"/>
      <c r="I505" s="686"/>
      <c r="J505" s="4"/>
      <c r="K505" s="686"/>
      <c r="L505" s="4"/>
      <c r="M505" s="686"/>
      <c r="N505" s="4"/>
      <c r="O505" s="686"/>
      <c r="P505" s="4"/>
      <c r="Q505" s="686"/>
      <c r="R505" s="4"/>
      <c r="S505" s="686"/>
      <c r="T505" s="4"/>
      <c r="U505" s="686"/>
      <c r="V505" s="4"/>
      <c r="W505" s="686"/>
      <c r="X505" s="4"/>
      <c r="Y505" s="686"/>
      <c r="Z505" s="4"/>
      <c r="AA505" s="686"/>
      <c r="AB505" s="4"/>
      <c r="AC505" s="686"/>
      <c r="AD505" s="4"/>
      <c r="AE505" s="686"/>
      <c r="AF505" s="4"/>
      <c r="AG505" s="686"/>
      <c r="AH505" s="4"/>
      <c r="AI505" s="686"/>
      <c r="AJ505" s="4"/>
      <c r="AK505" s="686"/>
      <c r="AL505" s="4"/>
      <c r="AM505" s="686"/>
      <c r="AN505" s="4"/>
      <c r="AO505" s="686"/>
      <c r="AP505" s="4"/>
      <c r="AQ505" s="686"/>
      <c r="AR505" s="4"/>
      <c r="AS505" s="686"/>
      <c r="AT505" s="4"/>
      <c r="AU505" s="686"/>
      <c r="AV505" s="4"/>
      <c r="AW505" s="686"/>
      <c r="AX505" s="4"/>
      <c r="AY505" s="686"/>
      <c r="AZ505" s="4"/>
      <c r="BA505" s="686"/>
      <c r="BB505" s="4"/>
      <c r="BC505" s="686"/>
      <c r="BD505" s="4"/>
      <c r="BE505" s="686"/>
      <c r="BF505" s="4"/>
      <c r="BG505" s="686"/>
      <c r="BH505" s="4"/>
      <c r="BI505" s="686"/>
      <c r="BJ505" s="4"/>
      <c r="BK505" s="686"/>
      <c r="BL505" s="4"/>
      <c r="BM505" s="686"/>
      <c r="BN505" s="4"/>
      <c r="BO505" s="686"/>
      <c r="BP505" s="4"/>
      <c r="BQ505" s="686"/>
      <c r="BR505" s="4"/>
      <c r="BS505" s="686"/>
      <c r="BT505" s="4"/>
      <c r="BU505" s="686"/>
      <c r="BV505" s="4"/>
      <c r="BW505" s="686"/>
      <c r="BX505" s="4"/>
      <c r="BY505" s="686"/>
      <c r="BZ505" s="4"/>
      <c r="CA505" s="686"/>
      <c r="CB505" s="4"/>
      <c r="CC505" s="686"/>
      <c r="CD505" s="4"/>
      <c r="CE505" s="686"/>
      <c r="CF505" s="4"/>
      <c r="CG505" s="686"/>
      <c r="CH505" s="4"/>
      <c r="CI505" s="686"/>
      <c r="CJ505" s="4"/>
      <c r="CK505" s="686"/>
      <c r="CL505" s="4"/>
      <c r="CM505" s="686"/>
      <c r="CN505" s="4"/>
      <c r="CO505" s="686"/>
      <c r="CP505" s="4"/>
      <c r="CQ505" s="686"/>
      <c r="CR505" s="4"/>
      <c r="CS505" s="686"/>
      <c r="CT505" s="4"/>
      <c r="CU505" s="686"/>
      <c r="CV505" s="4"/>
      <c r="CW505" s="686"/>
      <c r="CX505" s="4"/>
      <c r="CY505" s="686"/>
      <c r="CZ505" s="4"/>
      <c r="DA505" s="686"/>
      <c r="DB505" s="686"/>
      <c r="DC505" s="4"/>
      <c r="DD505" s="686"/>
      <c r="DE505" s="4"/>
      <c r="DF505" s="686"/>
      <c r="DG505" s="4"/>
      <c r="DH505" s="686"/>
      <c r="DI505" s="4"/>
      <c r="DJ505" s="686"/>
      <c r="DK505" s="4"/>
      <c r="DL505" s="686"/>
      <c r="DM505" s="4"/>
      <c r="DN505" s="686"/>
      <c r="DO505" s="4"/>
      <c r="DP505" s="686"/>
      <c r="DQ505" s="4"/>
      <c r="DR505" s="686"/>
      <c r="DS505" s="4"/>
      <c r="DT505" s="686"/>
      <c r="DU505" s="4"/>
      <c r="DV505" s="686"/>
      <c r="DW505" s="4"/>
      <c r="DX505" s="686"/>
      <c r="DY505" s="4"/>
      <c r="DZ505" s="686"/>
      <c r="EA505" s="4"/>
      <c r="EB505" s="686"/>
      <c r="EC505" s="4"/>
      <c r="ED505" s="686"/>
      <c r="EE505" s="4"/>
      <c r="EF505" s="686"/>
      <c r="EG505" s="4"/>
      <c r="EH505" s="686"/>
      <c r="EI505" s="4"/>
      <c r="EJ505" s="686"/>
      <c r="EK505" s="4"/>
      <c r="EL505" s="686"/>
      <c r="EM505" s="686"/>
    </row>
    <row r="506" spans="1:143" ht="12.75" hidden="1" customHeight="1" outlineLevel="2" x14ac:dyDescent="0.2">
      <c r="A506" s="703" t="str">
        <f>A$3</f>
        <v>($Millions Except Per Share Data)</v>
      </c>
      <c r="B506" s="704"/>
      <c r="C506" s="705" t="str">
        <f>C$3</f>
        <v>1Q06/</v>
      </c>
      <c r="D506" s="704"/>
      <c r="E506" s="705" t="str">
        <f>E$3</f>
        <v>2Q06/</v>
      </c>
      <c r="F506" s="704"/>
      <c r="G506" s="705" t="str">
        <f>G$3</f>
        <v>3Q06/</v>
      </c>
      <c r="H506" s="704"/>
      <c r="I506" s="705" t="str">
        <f>I$3</f>
        <v>4Q06/</v>
      </c>
      <c r="J506" s="704"/>
      <c r="K506" s="705" t="str">
        <f>K$3</f>
        <v>1Q07/</v>
      </c>
      <c r="L506" s="704"/>
      <c r="M506" s="705" t="str">
        <f>M$3</f>
        <v>2Q07/</v>
      </c>
      <c r="N506" s="704"/>
      <c r="O506" s="705" t="str">
        <f>O$3</f>
        <v>3Q07/</v>
      </c>
      <c r="P506" s="704"/>
      <c r="Q506" s="705" t="str">
        <f>Q$3</f>
        <v>4Q07/</v>
      </c>
      <c r="R506" s="704"/>
      <c r="S506" s="705" t="str">
        <f>S$3</f>
        <v>1Q08/</v>
      </c>
      <c r="T506" s="704"/>
      <c r="U506" s="705" t="str">
        <f>U$3</f>
        <v>2Q08/</v>
      </c>
      <c r="V506" s="704"/>
      <c r="W506" s="705" t="str">
        <f>W$3</f>
        <v>3Q08/</v>
      </c>
      <c r="X506" s="704"/>
      <c r="Y506" s="705" t="str">
        <f>Y$3</f>
        <v>4Q08/</v>
      </c>
      <c r="Z506" s="704"/>
      <c r="AA506" s="705" t="str">
        <f>AA$3</f>
        <v>1Q09/</v>
      </c>
      <c r="AB506" s="704"/>
      <c r="AC506" s="705" t="str">
        <f>AC$3</f>
        <v>2Q09/</v>
      </c>
      <c r="AD506" s="704"/>
      <c r="AE506" s="705" t="str">
        <f>AE$3</f>
        <v>3Q09/</v>
      </c>
      <c r="AF506" s="704"/>
      <c r="AG506" s="705" t="str">
        <f>AG$3</f>
        <v>4Q09/</v>
      </c>
      <c r="AH506" s="704"/>
      <c r="AI506" s="705" t="str">
        <f>AI$3</f>
        <v>1Q10/</v>
      </c>
      <c r="AJ506" s="704"/>
      <c r="AK506" s="705" t="str">
        <f>AK$3</f>
        <v>2Q10/</v>
      </c>
      <c r="AL506" s="704"/>
      <c r="AM506" s="705" t="str">
        <f>AM$3</f>
        <v>3Q10/</v>
      </c>
      <c r="AN506" s="704"/>
      <c r="AO506" s="705" t="str">
        <f>AO$3</f>
        <v>4Q10/</v>
      </c>
      <c r="AP506" s="704"/>
      <c r="AQ506" s="705" t="str">
        <f>AQ$3</f>
        <v>1Q11/</v>
      </c>
      <c r="AR506" s="704"/>
      <c r="AS506" s="705" t="str">
        <f>AS$3</f>
        <v>2Q11/</v>
      </c>
      <c r="AT506" s="704"/>
      <c r="AU506" s="705" t="str">
        <f>AU$3</f>
        <v>3Q11/</v>
      </c>
      <c r="AV506" s="704"/>
      <c r="AW506" s="705" t="str">
        <f>AW$3</f>
        <v>4Q11/</v>
      </c>
      <c r="AX506" s="704"/>
      <c r="AY506" s="705" t="str">
        <f>AY$3</f>
        <v>1Q12/</v>
      </c>
      <c r="AZ506" s="704"/>
      <c r="BA506" s="705" t="str">
        <f>BA$3</f>
        <v>2Q12/</v>
      </c>
      <c r="BB506" s="704"/>
      <c r="BC506" s="705" t="str">
        <f>BC$3</f>
        <v>3Q12/</v>
      </c>
      <c r="BD506" s="704"/>
      <c r="BE506" s="705" t="str">
        <f>BE$3</f>
        <v>4Q12/</v>
      </c>
      <c r="BF506" s="704"/>
      <c r="BG506" s="705" t="str">
        <f>BG$3</f>
        <v>1Q13/</v>
      </c>
      <c r="BH506" s="704"/>
      <c r="BI506" s="705" t="str">
        <f>BI$3</f>
        <v>2Q13/</v>
      </c>
      <c r="BJ506" s="704"/>
      <c r="BK506" s="705" t="str">
        <f>BK$3</f>
        <v>3Q13/</v>
      </c>
      <c r="BL506" s="704"/>
      <c r="BM506" s="705" t="str">
        <f>BM$3</f>
        <v>4Q13/</v>
      </c>
      <c r="BN506" s="704"/>
      <c r="BO506" s="705" t="str">
        <f>BO$3</f>
        <v>1Q14/</v>
      </c>
      <c r="BP506" s="704"/>
      <c r="BQ506" s="705" t="str">
        <f>BQ$3</f>
        <v>2Q14/</v>
      </c>
      <c r="BR506" s="704"/>
      <c r="BS506" s="705" t="str">
        <f>BS$3</f>
        <v>3Q14/</v>
      </c>
      <c r="BT506" s="704"/>
      <c r="BU506" s="705" t="str">
        <f>BU$3</f>
        <v>4Q14/</v>
      </c>
      <c r="BV506" s="704"/>
      <c r="BW506" s="705" t="str">
        <f>BW$3</f>
        <v>1Q15/</v>
      </c>
      <c r="BX506" s="704"/>
      <c r="BY506" s="705" t="str">
        <f>BY$3</f>
        <v>2Q15/</v>
      </c>
      <c r="BZ506" s="704"/>
      <c r="CA506" s="705" t="str">
        <f>CA$3</f>
        <v>3Q15/</v>
      </c>
      <c r="CB506" s="704"/>
      <c r="CC506" s="705" t="str">
        <f>CC$3</f>
        <v>4Q15/</v>
      </c>
      <c r="CD506" s="704"/>
      <c r="CE506" s="705" t="str">
        <f>CE$3</f>
        <v>1Q16/</v>
      </c>
      <c r="CF506" s="704"/>
      <c r="CG506" s="705" t="str">
        <f>CG$3</f>
        <v>2Q16/</v>
      </c>
      <c r="CH506" s="704"/>
      <c r="CI506" s="705" t="str">
        <f>CI$3</f>
        <v>3Q16/</v>
      </c>
      <c r="CJ506" s="704"/>
      <c r="CK506" s="705" t="str">
        <f>CK$3</f>
        <v>4Q16/</v>
      </c>
      <c r="CL506" s="704"/>
      <c r="CM506" s="705" t="str">
        <f>CM$3</f>
        <v>1Q17/</v>
      </c>
      <c r="CN506" s="704"/>
      <c r="CO506" s="705" t="str">
        <f t="shared" ref="CO506" si="231">CO$3</f>
        <v>2Q17/</v>
      </c>
      <c r="CP506" s="704"/>
      <c r="CQ506" s="705" t="str">
        <f t="shared" ref="CQ506" si="232">CQ$3</f>
        <v>3Q17/</v>
      </c>
      <c r="CR506" s="704"/>
      <c r="CS506" s="705" t="str">
        <f t="shared" ref="CS506" si="233">CS$3</f>
        <v>4Q17/</v>
      </c>
      <c r="CT506" s="704"/>
      <c r="CU506" s="705" t="str">
        <f>CU$3</f>
        <v>1Q18E/</v>
      </c>
      <c r="CV506" s="704"/>
      <c r="CW506" s="705" t="str">
        <f t="shared" ref="CW506" si="234">CW$3</f>
        <v>2Q18E/</v>
      </c>
      <c r="CX506" s="704"/>
      <c r="CY506" s="705" t="str">
        <f t="shared" ref="CY506" si="235">CY$3</f>
        <v>3Q18E/</v>
      </c>
      <c r="CZ506" s="704"/>
      <c r="DA506" s="705" t="str">
        <f t="shared" ref="DA506" si="236">DA$3</f>
        <v>4Q18E/</v>
      </c>
      <c r="DB506" s="704"/>
      <c r="DC506" s="704"/>
      <c r="DD506" s="705" t="str">
        <f>DD$3</f>
        <v>2005/</v>
      </c>
      <c r="DE506" s="704"/>
      <c r="DF506" s="705" t="str">
        <f>DF$3</f>
        <v>2006/</v>
      </c>
      <c r="DG506" s="704"/>
      <c r="DH506" s="705" t="str">
        <f>DH$3</f>
        <v>2007/</v>
      </c>
      <c r="DI506" s="704"/>
      <c r="DJ506" s="705" t="str">
        <f>DJ$3</f>
        <v>2008/</v>
      </c>
      <c r="DK506" s="704"/>
      <c r="DL506" s="705" t="str">
        <f>DL$3</f>
        <v>2009/</v>
      </c>
      <c r="DM506" s="704"/>
      <c r="DN506" s="705" t="str">
        <f>DN$3</f>
        <v>2010/</v>
      </c>
      <c r="DO506" s="704"/>
      <c r="DP506" s="705" t="str">
        <f>DP$3</f>
        <v>2011/</v>
      </c>
      <c r="DQ506" s="704"/>
      <c r="DR506" s="705" t="str">
        <f>DR$3</f>
        <v>2012/</v>
      </c>
      <c r="DS506" s="704"/>
      <c r="DT506" s="705" t="str">
        <f>DT$3</f>
        <v>2013/</v>
      </c>
      <c r="DU506" s="704"/>
      <c r="DV506" s="705" t="str">
        <f>DV$3</f>
        <v>2014/</v>
      </c>
      <c r="DW506" s="704"/>
      <c r="DX506" s="705" t="str">
        <f>DX$3</f>
        <v>2015/</v>
      </c>
      <c r="DY506" s="704"/>
      <c r="DZ506" s="705" t="str">
        <f>DZ$3</f>
        <v>2016/</v>
      </c>
      <c r="EA506" s="704"/>
      <c r="EB506" s="705" t="str">
        <f>EB$3</f>
        <v>2017/</v>
      </c>
      <c r="EC506" s="704"/>
      <c r="ED506" s="705" t="str">
        <f>ED$3</f>
        <v>2018E/</v>
      </c>
      <c r="EE506" s="704"/>
      <c r="EF506" s="705" t="str">
        <f>EF$3</f>
        <v>2019E/</v>
      </c>
      <c r="EG506" s="704"/>
      <c r="EH506" s="705" t="str">
        <f>EH$3</f>
        <v>2020E/</v>
      </c>
      <c r="EI506" s="704"/>
      <c r="EJ506" s="705" t="str">
        <f>EJ$3</f>
        <v>2021E/</v>
      </c>
      <c r="EK506" s="704"/>
      <c r="EL506" s="705" t="str">
        <f>EL$3</f>
        <v>2022E/</v>
      </c>
      <c r="EM506" s="705" t="str">
        <f>EM$3</f>
        <v>5-Yr</v>
      </c>
    </row>
    <row r="507" spans="1:143" ht="12.75" hidden="1" customHeight="1" outlineLevel="2" x14ac:dyDescent="0.2">
      <c r="A507" s="693"/>
      <c r="B507" s="692"/>
      <c r="C507" s="686" t="str">
        <f>C$4</f>
        <v>1Q05</v>
      </c>
      <c r="D507" s="692"/>
      <c r="E507" s="686" t="str">
        <f>E$4</f>
        <v>2Q05</v>
      </c>
      <c r="F507" s="692"/>
      <c r="G507" s="686" t="str">
        <f>G$4</f>
        <v>3Q05</v>
      </c>
      <c r="H507" s="692"/>
      <c r="I507" s="686" t="str">
        <f>I$4</f>
        <v>4Q05</v>
      </c>
      <c r="J507" s="692"/>
      <c r="K507" s="686" t="str">
        <f>K$4</f>
        <v>1Q06</v>
      </c>
      <c r="L507" s="692"/>
      <c r="M507" s="686" t="str">
        <f>M$4</f>
        <v>2Q06</v>
      </c>
      <c r="N507" s="692"/>
      <c r="O507" s="686" t="str">
        <f>O$4</f>
        <v>3Q06</v>
      </c>
      <c r="P507" s="692"/>
      <c r="Q507" s="686" t="str">
        <f>Q$4</f>
        <v>4Q06</v>
      </c>
      <c r="R507" s="692"/>
      <c r="S507" s="686" t="str">
        <f>S$4</f>
        <v>1Q07</v>
      </c>
      <c r="T507" s="692"/>
      <c r="U507" s="686" t="str">
        <f>U$4</f>
        <v>2Q07</v>
      </c>
      <c r="V507" s="692"/>
      <c r="W507" s="686" t="str">
        <f>W$4</f>
        <v>3Q07</v>
      </c>
      <c r="X507" s="692"/>
      <c r="Y507" s="686" t="str">
        <f>Y$4</f>
        <v>4Q07</v>
      </c>
      <c r="Z507" s="692"/>
      <c r="AA507" s="686" t="str">
        <f>AA$4</f>
        <v>1Q08</v>
      </c>
      <c r="AB507" s="692"/>
      <c r="AC507" s="686" t="str">
        <f>AC$4</f>
        <v>2Q08</v>
      </c>
      <c r="AD507" s="692"/>
      <c r="AE507" s="686" t="str">
        <f>AE$4</f>
        <v>3Q08</v>
      </c>
      <c r="AF507" s="692"/>
      <c r="AG507" s="686" t="str">
        <f>AG$4</f>
        <v>4Q08</v>
      </c>
      <c r="AH507" s="692"/>
      <c r="AI507" s="686" t="str">
        <f>AI$4</f>
        <v>1Q09</v>
      </c>
      <c r="AJ507" s="692"/>
      <c r="AK507" s="686" t="str">
        <f>AK$4</f>
        <v>2Q09</v>
      </c>
      <c r="AL507" s="692"/>
      <c r="AM507" s="686" t="str">
        <f>AM$4</f>
        <v>3Q09</v>
      </c>
      <c r="AN507" s="692"/>
      <c r="AO507" s="686" t="str">
        <f>AO$4</f>
        <v>4Q09</v>
      </c>
      <c r="AP507" s="692"/>
      <c r="AQ507" s="686" t="str">
        <f>AQ$4</f>
        <v>1Q10</v>
      </c>
      <c r="AR507" s="692"/>
      <c r="AS507" s="686" t="str">
        <f>AS$4</f>
        <v>2Q10</v>
      </c>
      <c r="AT507" s="692"/>
      <c r="AU507" s="686" t="str">
        <f>AU$4</f>
        <v>3Q10</v>
      </c>
      <c r="AV507" s="692"/>
      <c r="AW507" s="686" t="str">
        <f>AW$4</f>
        <v>4Q10</v>
      </c>
      <c r="AX507" s="692"/>
      <c r="AY507" s="686" t="str">
        <f>AY$4</f>
        <v>1Q11</v>
      </c>
      <c r="AZ507" s="692"/>
      <c r="BA507" s="686" t="str">
        <f>BA$4</f>
        <v>2Q11</v>
      </c>
      <c r="BB507" s="692"/>
      <c r="BC507" s="686" t="str">
        <f>BC$4</f>
        <v>3Q11</v>
      </c>
      <c r="BD507" s="692"/>
      <c r="BE507" s="686" t="str">
        <f>BE$4</f>
        <v>4Q11</v>
      </c>
      <c r="BF507" s="692"/>
      <c r="BG507" s="686" t="str">
        <f>BG$4</f>
        <v>1Q12</v>
      </c>
      <c r="BH507" s="692"/>
      <c r="BI507" s="686" t="str">
        <f>BI$4</f>
        <v>2Q12</v>
      </c>
      <c r="BJ507" s="692"/>
      <c r="BK507" s="686" t="str">
        <f>BK$4</f>
        <v>3Q12</v>
      </c>
      <c r="BL507" s="692"/>
      <c r="BM507" s="686" t="str">
        <f>BM$4</f>
        <v>4Q12</v>
      </c>
      <c r="BN507" s="692"/>
      <c r="BO507" s="686" t="str">
        <f>BO$4</f>
        <v>1Q13</v>
      </c>
      <c r="BP507" s="692"/>
      <c r="BQ507" s="686" t="str">
        <f>BQ$4</f>
        <v>2Q13</v>
      </c>
      <c r="BR507" s="692"/>
      <c r="BS507" s="686" t="str">
        <f>BS$4</f>
        <v>3Q13</v>
      </c>
      <c r="BT507" s="692"/>
      <c r="BU507" s="686" t="str">
        <f>BU$4</f>
        <v>4Q13</v>
      </c>
      <c r="BV507" s="692"/>
      <c r="BW507" s="686" t="str">
        <f>BW$4</f>
        <v>1Q14</v>
      </c>
      <c r="BX507" s="692"/>
      <c r="BY507" s="686" t="str">
        <f>BY$4</f>
        <v>2Q14</v>
      </c>
      <c r="BZ507" s="692"/>
      <c r="CA507" s="686" t="str">
        <f>CA$4</f>
        <v>3Q14</v>
      </c>
      <c r="CB507" s="692"/>
      <c r="CC507" s="686" t="str">
        <f>CC$4</f>
        <v>4Q14</v>
      </c>
      <c r="CD507" s="692"/>
      <c r="CE507" s="686" t="str">
        <f>CE$4</f>
        <v>1Q15</v>
      </c>
      <c r="CF507" s="692"/>
      <c r="CG507" s="686" t="str">
        <f>CG$4</f>
        <v>2Q15</v>
      </c>
      <c r="CH507" s="692"/>
      <c r="CI507" s="686" t="str">
        <f>CI$4</f>
        <v>3Q15</v>
      </c>
      <c r="CJ507" s="692"/>
      <c r="CK507" s="686" t="str">
        <f>CK$4</f>
        <v>4Q15</v>
      </c>
      <c r="CL507" s="692"/>
      <c r="CM507" s="686" t="str">
        <f>CM$4</f>
        <v>1Q16</v>
      </c>
      <c r="CN507" s="692"/>
      <c r="CO507" s="686" t="str">
        <f t="shared" ref="CO507" si="237">CO$4</f>
        <v>2Q16</v>
      </c>
      <c r="CP507" s="692"/>
      <c r="CQ507" s="686" t="str">
        <f t="shared" ref="CQ507" si="238">CQ$4</f>
        <v>3Q16</v>
      </c>
      <c r="CR507" s="692"/>
      <c r="CS507" s="686" t="str">
        <f t="shared" ref="CS507" si="239">CS$4</f>
        <v>4Q16</v>
      </c>
      <c r="CT507" s="692"/>
      <c r="CU507" s="686" t="str">
        <f>CU$4</f>
        <v>1Q17</v>
      </c>
      <c r="CV507" s="692"/>
      <c r="CW507" s="686" t="str">
        <f t="shared" ref="CW507" si="240">CW$4</f>
        <v>2Q17</v>
      </c>
      <c r="CX507" s="692"/>
      <c r="CY507" s="686" t="str">
        <f t="shared" ref="CY507" si="241">CY$4</f>
        <v>3Q17</v>
      </c>
      <c r="CZ507" s="692"/>
      <c r="DA507" s="686" t="str">
        <f t="shared" ref="DA507" si="242">DA$4</f>
        <v>4Q17</v>
      </c>
      <c r="DB507" s="692"/>
      <c r="DC507" s="692"/>
      <c r="DD507" s="686">
        <f>DD$4</f>
        <v>2004</v>
      </c>
      <c r="DE507" s="692"/>
      <c r="DF507" s="686">
        <f>DF$4</f>
        <v>2005</v>
      </c>
      <c r="DG507" s="692"/>
      <c r="DH507" s="686">
        <f>DH$4</f>
        <v>2006</v>
      </c>
      <c r="DI507" s="692"/>
      <c r="DJ507" s="686">
        <f>DJ$4</f>
        <v>2007</v>
      </c>
      <c r="DK507" s="692"/>
      <c r="DL507" s="686">
        <f>DL$4</f>
        <v>2008</v>
      </c>
      <c r="DM507" s="692"/>
      <c r="DN507" s="686" t="str">
        <f>DN$4</f>
        <v>2009</v>
      </c>
      <c r="DO507" s="692"/>
      <c r="DP507" s="686" t="str">
        <f>DP$4</f>
        <v>2010</v>
      </c>
      <c r="DQ507" s="692"/>
      <c r="DR507" s="686" t="str">
        <f>DR$4</f>
        <v>2011</v>
      </c>
      <c r="DS507" s="692"/>
      <c r="DT507" s="686" t="str">
        <f>DT$4</f>
        <v>2012</v>
      </c>
      <c r="DU507" s="692"/>
      <c r="DV507" s="686" t="str">
        <f>DV$4</f>
        <v>2013</v>
      </c>
      <c r="DW507" s="692"/>
      <c r="DX507" s="686" t="str">
        <f>DX$4</f>
        <v>2014</v>
      </c>
      <c r="DY507" s="692"/>
      <c r="DZ507" s="686" t="str">
        <f>DZ$4</f>
        <v>2015</v>
      </c>
      <c r="EA507" s="692"/>
      <c r="EB507" s="686" t="str">
        <f>EB$4</f>
        <v>2016</v>
      </c>
      <c r="EC507" s="692"/>
      <c r="ED507" s="686" t="str">
        <f>ED$4</f>
        <v>2017</v>
      </c>
      <c r="EE507" s="692"/>
      <c r="EF507" s="686" t="str">
        <f>EF$4</f>
        <v>2018E</v>
      </c>
      <c r="EG507" s="692"/>
      <c r="EH507" s="686" t="str">
        <f>EH$4</f>
        <v>2019E</v>
      </c>
      <c r="EI507" s="692"/>
      <c r="EJ507" s="686" t="str">
        <f>EJ$4</f>
        <v>2020E</v>
      </c>
      <c r="EK507" s="692"/>
      <c r="EL507" s="686" t="str">
        <f>EL$4</f>
        <v>2021E</v>
      </c>
      <c r="EM507" s="686" t="str">
        <f>EM$4</f>
        <v>CAGR</v>
      </c>
    </row>
    <row r="508" spans="1:143" ht="12.75" hidden="1" customHeight="1" outlineLevel="2" x14ac:dyDescent="0.2">
      <c r="A508" s="694"/>
      <c r="B508" s="695" t="str">
        <f t="shared" ref="B508:BN508" si="243">B$5</f>
        <v>1Q06</v>
      </c>
      <c r="C508" s="696" t="str">
        <f t="shared" si="243"/>
        <v>% Chg</v>
      </c>
      <c r="D508" s="695" t="str">
        <f t="shared" si="243"/>
        <v>2Q06</v>
      </c>
      <c r="E508" s="696" t="str">
        <f t="shared" si="243"/>
        <v>% Chg</v>
      </c>
      <c r="F508" s="695" t="str">
        <f t="shared" si="243"/>
        <v>3Q06</v>
      </c>
      <c r="G508" s="696" t="str">
        <f t="shared" si="243"/>
        <v>% Chg</v>
      </c>
      <c r="H508" s="695" t="str">
        <f t="shared" si="243"/>
        <v>4Q06</v>
      </c>
      <c r="I508" s="696" t="str">
        <f t="shared" si="243"/>
        <v>% Chg</v>
      </c>
      <c r="J508" s="695" t="str">
        <f t="shared" si="243"/>
        <v>1Q07</v>
      </c>
      <c r="K508" s="696" t="str">
        <f t="shared" si="243"/>
        <v>% Chg</v>
      </c>
      <c r="L508" s="695" t="str">
        <f t="shared" si="243"/>
        <v>2Q07</v>
      </c>
      <c r="M508" s="696" t="str">
        <f t="shared" si="243"/>
        <v>% Chg</v>
      </c>
      <c r="N508" s="695" t="str">
        <f t="shared" si="243"/>
        <v>3Q07</v>
      </c>
      <c r="O508" s="696" t="str">
        <f t="shared" si="243"/>
        <v>% Chg</v>
      </c>
      <c r="P508" s="695" t="str">
        <f t="shared" si="243"/>
        <v>4Q07</v>
      </c>
      <c r="Q508" s="696" t="str">
        <f t="shared" si="243"/>
        <v>% Chg</v>
      </c>
      <c r="R508" s="695" t="str">
        <f t="shared" si="243"/>
        <v>1Q08</v>
      </c>
      <c r="S508" s="696" t="str">
        <f t="shared" si="243"/>
        <v>% Chg</v>
      </c>
      <c r="T508" s="695" t="str">
        <f t="shared" si="243"/>
        <v>2Q08</v>
      </c>
      <c r="U508" s="696" t="str">
        <f t="shared" si="243"/>
        <v>% Chg</v>
      </c>
      <c r="V508" s="695" t="str">
        <f t="shared" si="243"/>
        <v>3Q08</v>
      </c>
      <c r="W508" s="696" t="str">
        <f t="shared" si="243"/>
        <v>% Chg</v>
      </c>
      <c r="X508" s="695" t="str">
        <f t="shared" si="243"/>
        <v>4Q08</v>
      </c>
      <c r="Y508" s="696" t="str">
        <f t="shared" si="243"/>
        <v>% Chg</v>
      </c>
      <c r="Z508" s="695" t="str">
        <f t="shared" si="243"/>
        <v>1Q09</v>
      </c>
      <c r="AA508" s="696" t="str">
        <f t="shared" si="243"/>
        <v>% Chg</v>
      </c>
      <c r="AB508" s="695" t="str">
        <f t="shared" si="243"/>
        <v>2Q09</v>
      </c>
      <c r="AC508" s="696" t="str">
        <f t="shared" si="243"/>
        <v>% Chg</v>
      </c>
      <c r="AD508" s="695" t="str">
        <f t="shared" si="243"/>
        <v>3Q09</v>
      </c>
      <c r="AE508" s="696" t="str">
        <f t="shared" si="243"/>
        <v>% Chg</v>
      </c>
      <c r="AF508" s="695" t="str">
        <f t="shared" si="243"/>
        <v>4Q09</v>
      </c>
      <c r="AG508" s="696" t="str">
        <f t="shared" si="243"/>
        <v>% Chg</v>
      </c>
      <c r="AH508" s="695" t="str">
        <f t="shared" si="243"/>
        <v>1Q10</v>
      </c>
      <c r="AI508" s="696" t="str">
        <f t="shared" si="243"/>
        <v>% Chg</v>
      </c>
      <c r="AJ508" s="695" t="str">
        <f t="shared" si="243"/>
        <v>2Q10</v>
      </c>
      <c r="AK508" s="696" t="str">
        <f t="shared" si="243"/>
        <v>% Chg</v>
      </c>
      <c r="AL508" s="695" t="str">
        <f t="shared" si="243"/>
        <v>3Q10</v>
      </c>
      <c r="AM508" s="696" t="str">
        <f t="shared" si="243"/>
        <v>% Chg</v>
      </c>
      <c r="AN508" s="695" t="str">
        <f t="shared" si="243"/>
        <v>4Q10</v>
      </c>
      <c r="AO508" s="696" t="str">
        <f t="shared" si="243"/>
        <v>% Chg</v>
      </c>
      <c r="AP508" s="695" t="str">
        <f t="shared" si="243"/>
        <v>1Q11</v>
      </c>
      <c r="AQ508" s="696" t="str">
        <f t="shared" si="243"/>
        <v>% Chg</v>
      </c>
      <c r="AR508" s="695" t="str">
        <f t="shared" si="243"/>
        <v>2Q11</v>
      </c>
      <c r="AS508" s="696" t="str">
        <f t="shared" si="243"/>
        <v>% Chg</v>
      </c>
      <c r="AT508" s="695" t="str">
        <f t="shared" si="243"/>
        <v>3Q11</v>
      </c>
      <c r="AU508" s="696" t="str">
        <f t="shared" si="243"/>
        <v>% Chg</v>
      </c>
      <c r="AV508" s="695" t="str">
        <f t="shared" si="243"/>
        <v>4Q11</v>
      </c>
      <c r="AW508" s="696" t="str">
        <f t="shared" si="243"/>
        <v>% Chg</v>
      </c>
      <c r="AX508" s="695" t="str">
        <f t="shared" si="243"/>
        <v>1Q12</v>
      </c>
      <c r="AY508" s="696" t="str">
        <f t="shared" si="243"/>
        <v>% Chg</v>
      </c>
      <c r="AZ508" s="695" t="str">
        <f t="shared" si="243"/>
        <v>2Q12</v>
      </c>
      <c r="BA508" s="696" t="str">
        <f t="shared" si="243"/>
        <v>% Chg</v>
      </c>
      <c r="BB508" s="695" t="str">
        <f t="shared" si="243"/>
        <v>3Q12</v>
      </c>
      <c r="BC508" s="696" t="str">
        <f t="shared" si="243"/>
        <v>% Chg</v>
      </c>
      <c r="BD508" s="695" t="str">
        <f t="shared" si="243"/>
        <v>4Q12</v>
      </c>
      <c r="BE508" s="696" t="str">
        <f t="shared" si="243"/>
        <v>% Chg</v>
      </c>
      <c r="BF508" s="695" t="str">
        <f t="shared" si="243"/>
        <v>1Q13</v>
      </c>
      <c r="BG508" s="696" t="str">
        <f t="shared" si="243"/>
        <v>% Chg</v>
      </c>
      <c r="BH508" s="695" t="str">
        <f t="shared" si="243"/>
        <v>2Q13</v>
      </c>
      <c r="BI508" s="696" t="str">
        <f t="shared" si="243"/>
        <v>% Chg</v>
      </c>
      <c r="BJ508" s="695" t="str">
        <f t="shared" si="243"/>
        <v>3Q13</v>
      </c>
      <c r="BK508" s="696" t="str">
        <f t="shared" si="243"/>
        <v>% Chg</v>
      </c>
      <c r="BL508" s="695" t="str">
        <f t="shared" si="243"/>
        <v>4Q13</v>
      </c>
      <c r="BM508" s="696" t="str">
        <f t="shared" si="243"/>
        <v>% Chg</v>
      </c>
      <c r="BN508" s="695" t="str">
        <f t="shared" si="243"/>
        <v>1Q14</v>
      </c>
      <c r="BO508" s="696" t="str">
        <f t="shared" ref="BO508:DA508" si="244">BO$5</f>
        <v>% Chg</v>
      </c>
      <c r="BP508" s="695" t="str">
        <f t="shared" si="244"/>
        <v>2Q14</v>
      </c>
      <c r="BQ508" s="696" t="str">
        <f t="shared" si="244"/>
        <v>% Chg</v>
      </c>
      <c r="BR508" s="695" t="str">
        <f t="shared" si="244"/>
        <v>3Q14</v>
      </c>
      <c r="BS508" s="696" t="str">
        <f t="shared" si="244"/>
        <v>% Chg</v>
      </c>
      <c r="BT508" s="695" t="str">
        <f t="shared" si="244"/>
        <v>4Q14</v>
      </c>
      <c r="BU508" s="696" t="str">
        <f t="shared" si="244"/>
        <v>% Chg</v>
      </c>
      <c r="BV508" s="695" t="str">
        <f t="shared" si="244"/>
        <v>1Q15</v>
      </c>
      <c r="BW508" s="696" t="str">
        <f t="shared" si="244"/>
        <v>% Chg</v>
      </c>
      <c r="BX508" s="695" t="str">
        <f t="shared" si="244"/>
        <v>2Q15</v>
      </c>
      <c r="BY508" s="696" t="str">
        <f t="shared" si="244"/>
        <v>% Chg</v>
      </c>
      <c r="BZ508" s="695" t="str">
        <f t="shared" si="244"/>
        <v>3Q15</v>
      </c>
      <c r="CA508" s="696" t="str">
        <f t="shared" si="244"/>
        <v>% Chg</v>
      </c>
      <c r="CB508" s="695" t="str">
        <f t="shared" si="244"/>
        <v>4Q15</v>
      </c>
      <c r="CC508" s="696" t="str">
        <f t="shared" si="244"/>
        <v>% Chg</v>
      </c>
      <c r="CD508" s="695" t="str">
        <f t="shared" si="244"/>
        <v>1Q16</v>
      </c>
      <c r="CE508" s="696" t="str">
        <f t="shared" si="244"/>
        <v>% Chg</v>
      </c>
      <c r="CF508" s="695" t="str">
        <f t="shared" si="244"/>
        <v>2Q16</v>
      </c>
      <c r="CG508" s="696" t="str">
        <f t="shared" si="244"/>
        <v>% Chg</v>
      </c>
      <c r="CH508" s="695" t="str">
        <f t="shared" si="244"/>
        <v>3Q16</v>
      </c>
      <c r="CI508" s="696" t="str">
        <f t="shared" si="244"/>
        <v>% Chg</v>
      </c>
      <c r="CJ508" s="695" t="str">
        <f t="shared" si="244"/>
        <v>4Q16</v>
      </c>
      <c r="CK508" s="696" t="str">
        <f t="shared" si="244"/>
        <v>% Chg</v>
      </c>
      <c r="CL508" s="695" t="str">
        <f t="shared" si="244"/>
        <v>1Q17</v>
      </c>
      <c r="CM508" s="696" t="str">
        <f t="shared" si="244"/>
        <v>% Chg</v>
      </c>
      <c r="CN508" s="695" t="str">
        <f t="shared" si="244"/>
        <v>2Q17</v>
      </c>
      <c r="CO508" s="696" t="str">
        <f t="shared" si="244"/>
        <v>% Chg</v>
      </c>
      <c r="CP508" s="695" t="str">
        <f t="shared" si="244"/>
        <v>3Q17</v>
      </c>
      <c r="CQ508" s="696" t="str">
        <f t="shared" si="244"/>
        <v>% Chg</v>
      </c>
      <c r="CR508" s="695" t="str">
        <f t="shared" si="244"/>
        <v>4Q17</v>
      </c>
      <c r="CS508" s="696" t="str">
        <f t="shared" si="244"/>
        <v>% Chg</v>
      </c>
      <c r="CT508" s="695" t="str">
        <f t="shared" si="244"/>
        <v>1Q18E</v>
      </c>
      <c r="CU508" s="696" t="str">
        <f t="shared" si="244"/>
        <v>% Chg</v>
      </c>
      <c r="CV508" s="695" t="str">
        <f t="shared" si="244"/>
        <v>2Q18E</v>
      </c>
      <c r="CW508" s="696" t="str">
        <f t="shared" si="244"/>
        <v>% Chg</v>
      </c>
      <c r="CX508" s="695" t="str">
        <f t="shared" si="244"/>
        <v>3Q18E</v>
      </c>
      <c r="CY508" s="696" t="str">
        <f t="shared" si="244"/>
        <v>% Chg</v>
      </c>
      <c r="CZ508" s="695" t="str">
        <f t="shared" si="244"/>
        <v>4Q18E</v>
      </c>
      <c r="DA508" s="696" t="str">
        <f t="shared" si="244"/>
        <v>% Chg</v>
      </c>
      <c r="DB508" s="695"/>
      <c r="DC508" s="697">
        <f t="shared" ref="DC508:EM508" si="245">DC$5</f>
        <v>2005</v>
      </c>
      <c r="DD508" s="696" t="str">
        <f t="shared" si="245"/>
        <v>% Chg</v>
      </c>
      <c r="DE508" s="698">
        <f>$DE$5</f>
        <v>2006</v>
      </c>
      <c r="DF508" s="696" t="str">
        <f>INPUT!FS$6</f>
        <v>% Chg</v>
      </c>
      <c r="DG508" s="699">
        <f>$DG$5</f>
        <v>2007</v>
      </c>
      <c r="DH508" s="696" t="str">
        <f t="shared" si="245"/>
        <v>% Chg</v>
      </c>
      <c r="DI508" s="699">
        <f t="shared" si="245"/>
        <v>2008</v>
      </c>
      <c r="DJ508" s="696" t="str">
        <f t="shared" si="245"/>
        <v>% Chg</v>
      </c>
      <c r="DK508" s="695" t="str">
        <f t="shared" si="245"/>
        <v>2009</v>
      </c>
      <c r="DL508" s="696" t="str">
        <f t="shared" si="245"/>
        <v>% Chg</v>
      </c>
      <c r="DM508" s="695" t="str">
        <f t="shared" si="245"/>
        <v>2010</v>
      </c>
      <c r="DN508" s="696" t="str">
        <f t="shared" si="245"/>
        <v>% Chg</v>
      </c>
      <c r="DO508" s="695" t="str">
        <f t="shared" si="245"/>
        <v>2011</v>
      </c>
      <c r="DP508" s="696" t="str">
        <f t="shared" si="245"/>
        <v>% Chg</v>
      </c>
      <c r="DQ508" s="695" t="str">
        <f t="shared" si="245"/>
        <v>2012</v>
      </c>
      <c r="DR508" s="696" t="str">
        <f t="shared" si="245"/>
        <v>% Chg</v>
      </c>
      <c r="DS508" s="695" t="str">
        <f t="shared" si="245"/>
        <v>2013</v>
      </c>
      <c r="DT508" s="696" t="str">
        <f t="shared" si="245"/>
        <v>% Chg</v>
      </c>
      <c r="DU508" s="695" t="str">
        <f t="shared" si="245"/>
        <v>2014</v>
      </c>
      <c r="DV508" s="696" t="str">
        <f t="shared" si="245"/>
        <v>% Chg</v>
      </c>
      <c r="DW508" s="695" t="str">
        <f t="shared" si="245"/>
        <v>2015</v>
      </c>
      <c r="DX508" s="696" t="str">
        <f t="shared" si="245"/>
        <v>% Chg</v>
      </c>
      <c r="DY508" s="695" t="str">
        <f t="shared" si="245"/>
        <v>2016</v>
      </c>
      <c r="DZ508" s="696" t="str">
        <f t="shared" si="245"/>
        <v>% Chg</v>
      </c>
      <c r="EA508" s="695" t="str">
        <f t="shared" si="245"/>
        <v>2017</v>
      </c>
      <c r="EB508" s="696" t="str">
        <f t="shared" si="245"/>
        <v>% Chg</v>
      </c>
      <c r="EC508" s="695" t="str">
        <f t="shared" si="245"/>
        <v>2018E</v>
      </c>
      <c r="ED508" s="696" t="str">
        <f t="shared" si="245"/>
        <v>% Chg</v>
      </c>
      <c r="EE508" s="695" t="str">
        <f t="shared" si="245"/>
        <v>2019E</v>
      </c>
      <c r="EF508" s="696" t="str">
        <f t="shared" si="245"/>
        <v>% Chg</v>
      </c>
      <c r="EG508" s="695" t="str">
        <f t="shared" si="245"/>
        <v>2020E</v>
      </c>
      <c r="EH508" s="696" t="str">
        <f t="shared" si="245"/>
        <v>% Chg</v>
      </c>
      <c r="EI508" s="695" t="str">
        <f t="shared" si="245"/>
        <v>2021E</v>
      </c>
      <c r="EJ508" s="696" t="str">
        <f t="shared" si="245"/>
        <v>% Chg</v>
      </c>
      <c r="EK508" s="695" t="str">
        <f t="shared" si="245"/>
        <v>2022E</v>
      </c>
      <c r="EL508" s="696" t="str">
        <f t="shared" si="245"/>
        <v>% Chg</v>
      </c>
      <c r="EM508" s="696" t="str">
        <f t="shared" si="245"/>
        <v>(%)</v>
      </c>
    </row>
    <row r="509" spans="1:143" ht="12.75" hidden="1" customHeight="1" outlineLevel="2" x14ac:dyDescent="0.2">
      <c r="A509" s="700"/>
      <c r="B509" s="16"/>
      <c r="C509" s="687"/>
      <c r="D509" s="16"/>
      <c r="E509" s="687"/>
      <c r="F509" s="16"/>
      <c r="G509" s="687"/>
      <c r="H509" s="16"/>
      <c r="I509" s="687"/>
      <c r="J509" s="16"/>
      <c r="K509" s="687"/>
      <c r="L509" s="16"/>
      <c r="M509" s="687"/>
      <c r="N509" s="16"/>
      <c r="O509" s="687"/>
      <c r="P509" s="16"/>
      <c r="Q509" s="687"/>
      <c r="R509" s="16"/>
      <c r="S509" s="687"/>
      <c r="T509" s="16"/>
      <c r="U509" s="687"/>
      <c r="V509" s="16"/>
      <c r="W509" s="687"/>
      <c r="X509" s="16"/>
      <c r="Y509" s="687"/>
      <c r="Z509" s="16"/>
      <c r="AA509" s="687"/>
      <c r="AB509" s="16"/>
      <c r="AC509" s="687"/>
      <c r="AD509" s="16"/>
      <c r="AE509" s="687"/>
      <c r="AF509" s="16"/>
      <c r="AG509" s="687"/>
      <c r="AH509" s="16"/>
      <c r="AI509" s="687"/>
      <c r="AJ509" s="16"/>
      <c r="AK509" s="687"/>
      <c r="AL509" s="16"/>
      <c r="AM509" s="687"/>
      <c r="AN509" s="16"/>
      <c r="AO509" s="687"/>
      <c r="AP509" s="16"/>
      <c r="AQ509" s="687"/>
      <c r="AR509" s="16"/>
      <c r="AS509" s="687"/>
      <c r="AT509" s="16"/>
      <c r="AU509" s="687"/>
      <c r="AV509" s="16"/>
      <c r="AW509" s="687"/>
      <c r="AX509" s="16"/>
      <c r="AY509" s="687"/>
      <c r="AZ509" s="16"/>
      <c r="BA509" s="687"/>
      <c r="BB509" s="16"/>
      <c r="BC509" s="687"/>
      <c r="BD509" s="16"/>
      <c r="BE509" s="687"/>
      <c r="BF509" s="16"/>
      <c r="BG509" s="687"/>
      <c r="BH509" s="16"/>
      <c r="BI509" s="687"/>
      <c r="BJ509" s="16"/>
      <c r="BK509" s="687"/>
      <c r="BL509" s="16"/>
      <c r="BM509" s="687"/>
      <c r="BN509" s="16"/>
      <c r="BO509" s="687"/>
      <c r="BP509" s="16"/>
      <c r="BQ509" s="687"/>
      <c r="BR509" s="16"/>
      <c r="BS509" s="687"/>
      <c r="BT509" s="16"/>
      <c r="BU509" s="687"/>
      <c r="BV509" s="16"/>
      <c r="BW509" s="687"/>
      <c r="BX509" s="16"/>
      <c r="BY509" s="687"/>
      <c r="BZ509" s="16"/>
      <c r="CA509" s="687"/>
      <c r="CB509" s="16"/>
      <c r="CC509" s="687"/>
      <c r="CD509" s="16"/>
      <c r="CE509" s="687"/>
      <c r="CF509" s="16"/>
      <c r="CG509" s="687"/>
      <c r="CH509" s="16"/>
      <c r="CI509" s="687"/>
      <c r="CJ509" s="16"/>
      <c r="CK509" s="687"/>
      <c r="CL509" s="16"/>
      <c r="CM509" s="687"/>
      <c r="CN509" s="16"/>
      <c r="CO509" s="687"/>
      <c r="CP509" s="16"/>
      <c r="CQ509" s="687"/>
      <c r="CR509" s="16"/>
      <c r="CS509" s="687"/>
      <c r="CT509" s="16"/>
      <c r="CU509" s="687"/>
      <c r="CV509" s="16"/>
      <c r="CW509" s="687"/>
      <c r="CX509" s="16"/>
      <c r="CY509" s="687"/>
      <c r="CZ509" s="16"/>
      <c r="DA509" s="687"/>
      <c r="DB509" s="16"/>
      <c r="DC509" s="16"/>
      <c r="DD509" s="687"/>
      <c r="DE509" s="16"/>
      <c r="DF509" s="687"/>
      <c r="DG509" s="16"/>
      <c r="DH509" s="687"/>
      <c r="DI509" s="16"/>
      <c r="DJ509" s="687"/>
      <c r="DK509" s="16"/>
      <c r="DL509" s="687"/>
      <c r="DM509" s="16"/>
      <c r="DN509" s="687"/>
      <c r="DO509" s="16"/>
      <c r="DP509" s="687"/>
      <c r="DQ509" s="16"/>
      <c r="DR509" s="687"/>
      <c r="DS509" s="16"/>
      <c r="DT509" s="687"/>
      <c r="DU509" s="16"/>
      <c r="DV509" s="687"/>
      <c r="DW509" s="16"/>
      <c r="DX509" s="687"/>
      <c r="DY509" s="16"/>
      <c r="DZ509" s="687"/>
      <c r="EA509" s="16"/>
      <c r="EB509" s="687"/>
      <c r="EC509" s="16"/>
      <c r="ED509" s="687"/>
      <c r="EE509" s="16"/>
      <c r="EF509" s="687"/>
      <c r="EG509" s="16"/>
      <c r="EH509" s="687"/>
      <c r="EI509" s="16"/>
      <c r="EJ509" s="687"/>
      <c r="EK509" s="16"/>
      <c r="EL509" s="687"/>
      <c r="EM509" s="687"/>
    </row>
    <row r="510" spans="1:143" ht="12.75" hidden="1" customHeight="1" outlineLevel="2" x14ac:dyDescent="0.2">
      <c r="A510" s="700" t="str">
        <f>INPUT!B438</f>
        <v>REVENUES</v>
      </c>
      <c r="B510" s="16"/>
      <c r="C510" s="687"/>
      <c r="D510" s="16"/>
      <c r="E510" s="687"/>
      <c r="F510" s="16"/>
      <c r="G510" s="687"/>
      <c r="H510" s="16"/>
      <c r="I510" s="687"/>
      <c r="J510" s="16"/>
      <c r="K510" s="687"/>
      <c r="L510" s="16"/>
      <c r="M510" s="687"/>
      <c r="N510" s="16"/>
      <c r="O510" s="687"/>
      <c r="P510" s="16"/>
      <c r="Q510" s="687"/>
      <c r="R510" s="16"/>
      <c r="S510" s="687"/>
      <c r="T510" s="16"/>
      <c r="U510" s="687"/>
      <c r="V510" s="16"/>
      <c r="W510" s="687"/>
      <c r="X510" s="16"/>
      <c r="Y510" s="687"/>
      <c r="Z510" s="16"/>
      <c r="AA510" s="687"/>
      <c r="AB510" s="16"/>
      <c r="AC510" s="687"/>
      <c r="AD510" s="16"/>
      <c r="AE510" s="687"/>
      <c r="AF510" s="16"/>
      <c r="AG510" s="687"/>
      <c r="AH510" s="16"/>
      <c r="AI510" s="687"/>
      <c r="AJ510" s="16"/>
      <c r="AK510" s="687"/>
      <c r="AL510" s="16"/>
      <c r="AM510" s="687"/>
      <c r="AN510" s="16"/>
      <c r="AO510" s="687"/>
      <c r="AP510" s="16"/>
      <c r="AQ510" s="687"/>
      <c r="AR510" s="16"/>
      <c r="AS510" s="687"/>
      <c r="AT510" s="16"/>
      <c r="AU510" s="687"/>
      <c r="AV510" s="16"/>
      <c r="AW510" s="687"/>
      <c r="AX510" s="16"/>
      <c r="AY510" s="687"/>
      <c r="AZ510" s="16"/>
      <c r="BA510" s="687"/>
      <c r="BB510" s="16"/>
      <c r="BC510" s="687"/>
      <c r="BD510" s="16"/>
      <c r="BE510" s="687"/>
      <c r="BF510" s="16"/>
      <c r="BG510" s="687"/>
      <c r="BH510" s="16"/>
      <c r="BI510" s="687"/>
      <c r="BJ510" s="16"/>
      <c r="BK510" s="687"/>
      <c r="BL510" s="16"/>
      <c r="BM510" s="687"/>
      <c r="BN510" s="16"/>
      <c r="BO510" s="687"/>
      <c r="BP510" s="16"/>
      <c r="BQ510" s="687"/>
      <c r="BR510" s="16"/>
      <c r="BS510" s="687"/>
      <c r="BT510" s="16"/>
      <c r="BU510" s="687"/>
      <c r="BV510" s="16"/>
      <c r="BW510" s="687"/>
      <c r="BX510" s="16"/>
      <c r="BY510" s="687"/>
      <c r="BZ510" s="16"/>
      <c r="CA510" s="687"/>
      <c r="CB510" s="16"/>
      <c r="CC510" s="687"/>
      <c r="CD510" s="16"/>
      <c r="CE510" s="687"/>
      <c r="CF510" s="16"/>
      <c r="CG510" s="687"/>
      <c r="CH510" s="16"/>
      <c r="CI510" s="687"/>
      <c r="CJ510" s="16"/>
      <c r="CK510" s="687"/>
      <c r="CL510" s="16"/>
      <c r="CM510" s="687"/>
      <c r="CN510" s="16"/>
      <c r="CO510" s="687"/>
      <c r="CP510" s="16"/>
      <c r="CQ510" s="687"/>
      <c r="CR510" s="16"/>
      <c r="CS510" s="687"/>
      <c r="CT510" s="16"/>
      <c r="CU510" s="687"/>
      <c r="CV510" s="16"/>
      <c r="CW510" s="687"/>
      <c r="CX510" s="16"/>
      <c r="CY510" s="687"/>
      <c r="CZ510" s="16"/>
      <c r="DA510" s="687"/>
      <c r="DB510" s="16"/>
      <c r="DC510" s="16"/>
      <c r="DD510" s="687"/>
      <c r="DE510" s="16"/>
      <c r="DF510" s="687"/>
      <c r="DG510" s="16"/>
      <c r="DH510" s="687"/>
      <c r="DI510" s="16"/>
      <c r="DJ510" s="687"/>
      <c r="DK510" s="16"/>
      <c r="DL510" s="687"/>
      <c r="DM510" s="16"/>
      <c r="DN510" s="687"/>
      <c r="DO510" s="16"/>
      <c r="DP510" s="687"/>
      <c r="DQ510" s="16"/>
      <c r="DR510" s="687"/>
      <c r="DS510" s="16"/>
      <c r="DT510" s="687"/>
      <c r="DU510" s="16"/>
      <c r="DV510" s="687"/>
      <c r="DW510" s="16"/>
      <c r="DX510" s="687"/>
      <c r="DY510" s="16"/>
      <c r="DZ510" s="687"/>
      <c r="EA510" s="16"/>
      <c r="EB510" s="687"/>
      <c r="EC510" s="16"/>
      <c r="ED510" s="687"/>
      <c r="EE510" s="16"/>
      <c r="EF510" s="687"/>
      <c r="EG510" s="16"/>
      <c r="EH510" s="687"/>
      <c r="EI510" s="16"/>
      <c r="EJ510" s="687"/>
      <c r="EK510" s="16"/>
      <c r="EL510" s="687"/>
      <c r="EM510" s="687"/>
    </row>
    <row r="511" spans="1:143" ht="12.75" hidden="1" customHeight="1" outlineLevel="2" x14ac:dyDescent="0.2">
      <c r="A511" s="701" t="str">
        <f>INPUT!B439</f>
        <v>Communication Revenues</v>
      </c>
      <c r="B511" s="151"/>
      <c r="C511" s="687"/>
      <c r="D511" s="151">
        <f>INPUT!BA439</f>
        <v>57.5</v>
      </c>
      <c r="E511" s="687">
        <f>INPUT!BB439</f>
        <v>0.5279904891779319</v>
      </c>
      <c r="F511" s="151">
        <f>INPUT!BC439</f>
        <v>59.8</v>
      </c>
      <c r="G511" s="687">
        <f>INPUT!BD439</f>
        <v>1.0203392121089339</v>
      </c>
      <c r="H511" s="151">
        <f>INPUT!BE439</f>
        <v>70</v>
      </c>
      <c r="I511" s="687">
        <f>INPUT!BF439</f>
        <v>1.0071859397997152</v>
      </c>
      <c r="J511" s="151"/>
      <c r="K511" s="687"/>
      <c r="L511" s="151"/>
      <c r="M511" s="687"/>
      <c r="N511" s="151"/>
      <c r="O511" s="687"/>
      <c r="P511" s="151"/>
      <c r="Q511" s="687"/>
      <c r="R511" s="151"/>
      <c r="S511" s="687"/>
      <c r="T511" s="151"/>
      <c r="U511" s="687"/>
      <c r="V511" s="151"/>
      <c r="W511" s="687"/>
      <c r="X511" s="151"/>
      <c r="Y511" s="687"/>
      <c r="Z511" s="151"/>
      <c r="AA511" s="687"/>
      <c r="AB511" s="151"/>
      <c r="AC511" s="687"/>
      <c r="AD511" s="151"/>
      <c r="AE511" s="687"/>
      <c r="AF511" s="151"/>
      <c r="AG511" s="687"/>
      <c r="AH511" s="151"/>
      <c r="AI511" s="687"/>
      <c r="AJ511" s="151"/>
      <c r="AK511" s="687"/>
      <c r="AL511" s="151"/>
      <c r="AM511" s="687"/>
      <c r="AN511" s="151"/>
      <c r="AO511" s="687"/>
      <c r="AP511" s="151"/>
      <c r="AQ511" s="687"/>
      <c r="AR511" s="151"/>
      <c r="AS511" s="687"/>
      <c r="AT511" s="151"/>
      <c r="AU511" s="687"/>
      <c r="AV511" s="151"/>
      <c r="AW511" s="687"/>
      <c r="AX511" s="151"/>
      <c r="AY511" s="687"/>
      <c r="AZ511" s="151"/>
      <c r="BA511" s="687"/>
      <c r="BB511" s="151"/>
      <c r="BC511" s="687"/>
      <c r="BD511" s="151"/>
      <c r="BE511" s="687"/>
      <c r="BF511" s="151"/>
      <c r="BG511" s="687"/>
      <c r="BH511" s="151"/>
      <c r="BI511" s="687"/>
      <c r="BJ511" s="151"/>
      <c r="BK511" s="687"/>
      <c r="BL511" s="151"/>
      <c r="BM511" s="687"/>
      <c r="BN511" s="151"/>
      <c r="BO511" s="687"/>
      <c r="BP511" s="151"/>
      <c r="BQ511" s="687"/>
      <c r="BR511" s="151"/>
      <c r="BS511" s="687"/>
      <c r="BT511" s="151"/>
      <c r="BU511" s="687"/>
      <c r="BV511" s="151"/>
      <c r="BW511" s="687"/>
      <c r="BX511" s="151"/>
      <c r="BY511" s="687"/>
      <c r="BZ511" s="151"/>
      <c r="CA511" s="687"/>
      <c r="CB511" s="151"/>
      <c r="CC511" s="687"/>
      <c r="CD511" s="151"/>
      <c r="CE511" s="687"/>
      <c r="CF511" s="151"/>
      <c r="CG511" s="687"/>
      <c r="CH511" s="151"/>
      <c r="CI511" s="687"/>
      <c r="CJ511" s="151"/>
      <c r="CK511" s="687"/>
      <c r="CL511" s="151"/>
      <c r="CM511" s="687"/>
      <c r="CN511" s="151"/>
      <c r="CO511" s="687"/>
      <c r="CP511" s="151"/>
      <c r="CQ511" s="687"/>
      <c r="CR511" s="151"/>
      <c r="CS511" s="687"/>
      <c r="CT511" s="151"/>
      <c r="CU511" s="687"/>
      <c r="CV511" s="151"/>
      <c r="CW511" s="687"/>
      <c r="CX511" s="151"/>
      <c r="CY511" s="687"/>
      <c r="CZ511" s="151"/>
      <c r="DA511" s="687"/>
      <c r="DB511" s="16"/>
      <c r="DC511" s="151"/>
      <c r="DD511" s="687"/>
      <c r="DE511" s="151">
        <f>INPUT!FR439</f>
        <v>187.3</v>
      </c>
      <c r="DF511" s="687"/>
      <c r="DG511" s="151"/>
      <c r="DH511" s="687"/>
      <c r="DI511" s="151"/>
      <c r="DJ511" s="687"/>
      <c r="DK511" s="151"/>
      <c r="DL511" s="687"/>
      <c r="DM511" s="151"/>
      <c r="DN511" s="687"/>
      <c r="DO511" s="151"/>
      <c r="DP511" s="687"/>
      <c r="DQ511" s="151"/>
      <c r="DR511" s="687"/>
      <c r="DS511" s="151"/>
      <c r="DT511" s="687"/>
      <c r="DU511" s="151"/>
      <c r="DV511" s="687"/>
      <c r="DW511" s="151"/>
      <c r="DX511" s="687"/>
      <c r="DY511" s="151"/>
      <c r="DZ511" s="687"/>
      <c r="EA511" s="151"/>
      <c r="EB511" s="687"/>
      <c r="EC511" s="151"/>
      <c r="ED511" s="687"/>
      <c r="EE511" s="151"/>
      <c r="EF511" s="687"/>
      <c r="EG511" s="151"/>
      <c r="EH511" s="687"/>
      <c r="EI511" s="151"/>
      <c r="EJ511" s="687"/>
      <c r="EK511" s="151"/>
      <c r="EL511" s="687"/>
      <c r="EM511" s="687"/>
    </row>
    <row r="512" spans="1:143" ht="12.75" hidden="1" customHeight="1" outlineLevel="2" x14ac:dyDescent="0.2">
      <c r="A512" s="689"/>
      <c r="B512" s="16"/>
      <c r="C512" s="687"/>
      <c r="D512" s="16"/>
      <c r="E512" s="687"/>
      <c r="F512" s="16"/>
      <c r="G512" s="687"/>
      <c r="H512" s="16"/>
      <c r="I512" s="687"/>
      <c r="J512" s="16"/>
      <c r="K512" s="687"/>
      <c r="L512" s="16"/>
      <c r="M512" s="687"/>
      <c r="N512" s="16"/>
      <c r="O512" s="687"/>
      <c r="P512" s="16"/>
      <c r="Q512" s="687"/>
      <c r="R512" s="16"/>
      <c r="S512" s="687"/>
      <c r="T512" s="16"/>
      <c r="U512" s="687"/>
      <c r="V512" s="16"/>
      <c r="W512" s="687"/>
      <c r="X512" s="16"/>
      <c r="Y512" s="687"/>
      <c r="Z512" s="16"/>
      <c r="AA512" s="687"/>
      <c r="AB512" s="16"/>
      <c r="AC512" s="687"/>
      <c r="AD512" s="16"/>
      <c r="AE512" s="687"/>
      <c r="AF512" s="16"/>
      <c r="AG512" s="687"/>
      <c r="AH512" s="16"/>
      <c r="AI512" s="687"/>
      <c r="AJ512" s="16"/>
      <c r="AK512" s="687"/>
      <c r="AL512" s="16"/>
      <c r="AM512" s="687"/>
      <c r="AN512" s="16"/>
      <c r="AO512" s="687"/>
      <c r="AP512" s="16"/>
      <c r="AQ512" s="687"/>
      <c r="AR512" s="16"/>
      <c r="AS512" s="687"/>
      <c r="AT512" s="16"/>
      <c r="AU512" s="687"/>
      <c r="AV512" s="16"/>
      <c r="AW512" s="687"/>
      <c r="AX512" s="16"/>
      <c r="AY512" s="687"/>
      <c r="AZ512" s="16"/>
      <c r="BA512" s="687"/>
      <c r="BB512" s="16"/>
      <c r="BC512" s="687"/>
      <c r="BD512" s="16"/>
      <c r="BE512" s="687"/>
      <c r="BF512" s="16"/>
      <c r="BG512" s="687"/>
      <c r="BH512" s="16"/>
      <c r="BI512" s="687"/>
      <c r="BJ512" s="16"/>
      <c r="BK512" s="687"/>
      <c r="BL512" s="16"/>
      <c r="BM512" s="687"/>
      <c r="BN512" s="16"/>
      <c r="BO512" s="687"/>
      <c r="BP512" s="16"/>
      <c r="BQ512" s="687"/>
      <c r="BR512" s="16"/>
      <c r="BS512" s="687"/>
      <c r="BT512" s="16"/>
      <c r="BU512" s="687"/>
      <c r="BV512" s="16"/>
      <c r="BW512" s="687"/>
      <c r="BX512" s="16"/>
      <c r="BY512" s="687"/>
      <c r="BZ512" s="16"/>
      <c r="CA512" s="687"/>
      <c r="CB512" s="16"/>
      <c r="CC512" s="687"/>
      <c r="CD512" s="16"/>
      <c r="CE512" s="687"/>
      <c r="CF512" s="16"/>
      <c r="CG512" s="687"/>
      <c r="CH512" s="16"/>
      <c r="CI512" s="687"/>
      <c r="CJ512" s="16"/>
      <c r="CK512" s="687"/>
      <c r="CL512" s="16"/>
      <c r="CM512" s="687"/>
      <c r="CN512" s="16"/>
      <c r="CO512" s="687"/>
      <c r="CP512" s="16"/>
      <c r="CQ512" s="687"/>
      <c r="CR512" s="16"/>
      <c r="CS512" s="687"/>
      <c r="CT512" s="16"/>
      <c r="CU512" s="687"/>
      <c r="CV512" s="16"/>
      <c r="CW512" s="687"/>
      <c r="CX512" s="16"/>
      <c r="CY512" s="687"/>
      <c r="CZ512" s="16"/>
      <c r="DA512" s="687"/>
      <c r="DB512" s="16"/>
      <c r="DC512" s="16"/>
      <c r="DD512" s="687"/>
      <c r="DE512" s="16"/>
      <c r="DF512" s="687"/>
      <c r="DG512" s="16"/>
      <c r="DH512" s="687"/>
      <c r="DI512" s="16"/>
      <c r="DJ512" s="687"/>
      <c r="DK512" s="16"/>
      <c r="DL512" s="687"/>
      <c r="DM512" s="16"/>
      <c r="DN512" s="687"/>
      <c r="DO512" s="16"/>
      <c r="DP512" s="687"/>
      <c r="DQ512" s="16"/>
      <c r="DR512" s="687"/>
      <c r="DS512" s="16"/>
      <c r="DT512" s="687"/>
      <c r="DU512" s="16"/>
      <c r="DV512" s="687"/>
      <c r="DW512" s="16"/>
      <c r="DX512" s="687"/>
      <c r="DY512" s="16"/>
      <c r="DZ512" s="687"/>
      <c r="EA512" s="16"/>
      <c r="EB512" s="687"/>
      <c r="EC512" s="16"/>
      <c r="ED512" s="687"/>
      <c r="EE512" s="16"/>
      <c r="EF512" s="687"/>
      <c r="EG512" s="16"/>
      <c r="EH512" s="687"/>
      <c r="EI512" s="16"/>
      <c r="EJ512" s="687"/>
      <c r="EK512" s="16"/>
      <c r="EL512" s="687"/>
      <c r="EM512" s="687"/>
    </row>
    <row r="513" spans="1:143" ht="12.75" hidden="1" customHeight="1" outlineLevel="2" x14ac:dyDescent="0.2">
      <c r="A513" s="700" t="str">
        <f>INPUT!B441</f>
        <v>EXPENSES</v>
      </c>
      <c r="B513" s="16"/>
      <c r="C513" s="687"/>
      <c r="D513" s="16"/>
      <c r="E513" s="687"/>
      <c r="F513" s="16"/>
      <c r="G513" s="687"/>
      <c r="H513" s="16"/>
      <c r="I513" s="687"/>
      <c r="J513" s="16"/>
      <c r="K513" s="687"/>
      <c r="L513" s="16"/>
      <c r="M513" s="687"/>
      <c r="N513" s="16"/>
      <c r="O513" s="687"/>
      <c r="P513" s="16"/>
      <c r="Q513" s="687"/>
      <c r="R513" s="16"/>
      <c r="S513" s="687"/>
      <c r="T513" s="16"/>
      <c r="U513" s="687"/>
      <c r="V513" s="16"/>
      <c r="W513" s="687"/>
      <c r="X513" s="16"/>
      <c r="Y513" s="687"/>
      <c r="Z513" s="16"/>
      <c r="AA513" s="687"/>
      <c r="AB513" s="16"/>
      <c r="AC513" s="687"/>
      <c r="AD513" s="16"/>
      <c r="AE513" s="687"/>
      <c r="AF513" s="16"/>
      <c r="AG513" s="687"/>
      <c r="AH513" s="16"/>
      <c r="AI513" s="687"/>
      <c r="AJ513" s="16"/>
      <c r="AK513" s="687"/>
      <c r="AL513" s="16"/>
      <c r="AM513" s="687"/>
      <c r="AN513" s="16"/>
      <c r="AO513" s="687"/>
      <c r="AP513" s="16"/>
      <c r="AQ513" s="687"/>
      <c r="AR513" s="16"/>
      <c r="AS513" s="687"/>
      <c r="AT513" s="16"/>
      <c r="AU513" s="687"/>
      <c r="AV513" s="16"/>
      <c r="AW513" s="687"/>
      <c r="AX513" s="16"/>
      <c r="AY513" s="687"/>
      <c r="AZ513" s="16"/>
      <c r="BA513" s="687"/>
      <c r="BB513" s="16"/>
      <c r="BC513" s="687"/>
      <c r="BD513" s="16"/>
      <c r="BE513" s="687"/>
      <c r="BF513" s="16"/>
      <c r="BG513" s="687"/>
      <c r="BH513" s="16"/>
      <c r="BI513" s="687"/>
      <c r="BJ513" s="16"/>
      <c r="BK513" s="687"/>
      <c r="BL513" s="16"/>
      <c r="BM513" s="687"/>
      <c r="BN513" s="16"/>
      <c r="BO513" s="687"/>
      <c r="BP513" s="16"/>
      <c r="BQ513" s="687"/>
      <c r="BR513" s="16"/>
      <c r="BS513" s="687"/>
      <c r="BT513" s="16"/>
      <c r="BU513" s="687"/>
      <c r="BV513" s="16"/>
      <c r="BW513" s="687"/>
      <c r="BX513" s="16"/>
      <c r="BY513" s="687"/>
      <c r="BZ513" s="16"/>
      <c r="CA513" s="687"/>
      <c r="CB513" s="16"/>
      <c r="CC513" s="687"/>
      <c r="CD513" s="16"/>
      <c r="CE513" s="687"/>
      <c r="CF513" s="16"/>
      <c r="CG513" s="687"/>
      <c r="CH513" s="16"/>
      <c r="CI513" s="687"/>
      <c r="CJ513" s="16"/>
      <c r="CK513" s="687"/>
      <c r="CL513" s="16"/>
      <c r="CM513" s="687"/>
      <c r="CN513" s="16"/>
      <c r="CO513" s="687"/>
      <c r="CP513" s="16"/>
      <c r="CQ513" s="687"/>
      <c r="CR513" s="16"/>
      <c r="CS513" s="687"/>
      <c r="CT513" s="16"/>
      <c r="CU513" s="687"/>
      <c r="CV513" s="16"/>
      <c r="CW513" s="687"/>
      <c r="CX513" s="16"/>
      <c r="CY513" s="687"/>
      <c r="CZ513" s="16"/>
      <c r="DA513" s="687"/>
      <c r="DB513" s="16"/>
      <c r="DC513" s="16"/>
      <c r="DD513" s="687"/>
      <c r="DE513" s="16"/>
      <c r="DF513" s="687"/>
      <c r="DG513" s="16"/>
      <c r="DH513" s="687"/>
      <c r="DI513" s="16"/>
      <c r="DJ513" s="687"/>
      <c r="DK513" s="16"/>
      <c r="DL513" s="687"/>
      <c r="DM513" s="16"/>
      <c r="DN513" s="687"/>
      <c r="DO513" s="16"/>
      <c r="DP513" s="687"/>
      <c r="DQ513" s="16"/>
      <c r="DR513" s="687"/>
      <c r="DS513" s="16"/>
      <c r="DT513" s="687"/>
      <c r="DU513" s="16"/>
      <c r="DV513" s="687"/>
      <c r="DW513" s="16"/>
      <c r="DX513" s="687"/>
      <c r="DY513" s="16"/>
      <c r="DZ513" s="687"/>
      <c r="EA513" s="16"/>
      <c r="EB513" s="687"/>
      <c r="EC513" s="16"/>
      <c r="ED513" s="687"/>
      <c r="EE513" s="16"/>
      <c r="EF513" s="687"/>
      <c r="EG513" s="16"/>
      <c r="EH513" s="687"/>
      <c r="EI513" s="16"/>
      <c r="EJ513" s="687"/>
      <c r="EK513" s="16"/>
      <c r="EL513" s="687"/>
      <c r="EM513" s="687"/>
    </row>
    <row r="514" spans="1:143" ht="12.75" hidden="1" customHeight="1" outlineLevel="2" x14ac:dyDescent="0.2">
      <c r="A514" s="701" t="str">
        <f>INPUT!B442</f>
        <v>Cost of Sales</v>
      </c>
      <c r="B514" s="151"/>
      <c r="C514" s="687"/>
      <c r="D514" s="151">
        <f>INPUT!BA442</f>
        <v>7.6</v>
      </c>
      <c r="E514" s="687" t="str">
        <f>INPUT!BB442</f>
        <v>NA</v>
      </c>
      <c r="F514" s="151">
        <f>INPUT!BC442</f>
        <v>10.3</v>
      </c>
      <c r="G514" s="687" t="str">
        <f>INPUT!BD442</f>
        <v>NA</v>
      </c>
      <c r="H514" s="151">
        <f>INPUT!BE442</f>
        <v>15.2</v>
      </c>
      <c r="I514" s="687" t="str">
        <f>INPUT!BF442</f>
        <v>NA</v>
      </c>
      <c r="J514" s="151"/>
      <c r="K514" s="687"/>
      <c r="L514" s="151"/>
      <c r="M514" s="687"/>
      <c r="N514" s="151"/>
      <c r="O514" s="687"/>
      <c r="P514" s="151"/>
      <c r="Q514" s="687"/>
      <c r="R514" s="151"/>
      <c r="S514" s="687"/>
      <c r="T514" s="151"/>
      <c r="U514" s="687"/>
      <c r="V514" s="151"/>
      <c r="W514" s="687"/>
      <c r="X514" s="151"/>
      <c r="Y514" s="687"/>
      <c r="Z514" s="151"/>
      <c r="AA514" s="687"/>
      <c r="AB514" s="151"/>
      <c r="AC514" s="687"/>
      <c r="AD514" s="151"/>
      <c r="AE514" s="687"/>
      <c r="AF514" s="151"/>
      <c r="AG514" s="687"/>
      <c r="AH514" s="151"/>
      <c r="AI514" s="687"/>
      <c r="AJ514" s="151"/>
      <c r="AK514" s="687"/>
      <c r="AL514" s="151"/>
      <c r="AM514" s="687"/>
      <c r="AN514" s="151"/>
      <c r="AO514" s="687"/>
      <c r="AP514" s="151"/>
      <c r="AQ514" s="687"/>
      <c r="AR514" s="151"/>
      <c r="AS514" s="687"/>
      <c r="AT514" s="151"/>
      <c r="AU514" s="687"/>
      <c r="AV514" s="151"/>
      <c r="AW514" s="687"/>
      <c r="AX514" s="151"/>
      <c r="AY514" s="687"/>
      <c r="AZ514" s="151"/>
      <c r="BA514" s="687"/>
      <c r="BB514" s="151"/>
      <c r="BC514" s="687"/>
      <c r="BD514" s="151"/>
      <c r="BE514" s="687"/>
      <c r="BF514" s="151"/>
      <c r="BG514" s="687"/>
      <c r="BH514" s="151"/>
      <c r="BI514" s="687"/>
      <c r="BJ514" s="151"/>
      <c r="BK514" s="687"/>
      <c r="BL514" s="151"/>
      <c r="BM514" s="687"/>
      <c r="BN514" s="151"/>
      <c r="BO514" s="687"/>
      <c r="BP514" s="151"/>
      <c r="BQ514" s="687"/>
      <c r="BR514" s="151"/>
      <c r="BS514" s="687"/>
      <c r="BT514" s="151"/>
      <c r="BU514" s="687"/>
      <c r="BV514" s="151"/>
      <c r="BW514" s="687"/>
      <c r="BX514" s="151"/>
      <c r="BY514" s="687"/>
      <c r="BZ514" s="151"/>
      <c r="CA514" s="687"/>
      <c r="CB514" s="151"/>
      <c r="CC514" s="687"/>
      <c r="CD514" s="151"/>
      <c r="CE514" s="687"/>
      <c r="CF514" s="151"/>
      <c r="CG514" s="687"/>
      <c r="CH514" s="151"/>
      <c r="CI514" s="687"/>
      <c r="CJ514" s="151"/>
      <c r="CK514" s="687"/>
      <c r="CL514" s="151"/>
      <c r="CM514" s="687"/>
      <c r="CN514" s="151"/>
      <c r="CO514" s="687"/>
      <c r="CP514" s="151"/>
      <c r="CQ514" s="687"/>
      <c r="CR514" s="151"/>
      <c r="CS514" s="687"/>
      <c r="CT514" s="151"/>
      <c r="CU514" s="687"/>
      <c r="CV514" s="151"/>
      <c r="CW514" s="687"/>
      <c r="CX514" s="151"/>
      <c r="CY514" s="687"/>
      <c r="CZ514" s="151"/>
      <c r="DA514" s="687"/>
      <c r="DB514" s="16"/>
      <c r="DC514" s="151"/>
      <c r="DD514" s="687"/>
      <c r="DE514" s="151">
        <f>INPUT!FR442</f>
        <v>33.099999999999994</v>
      </c>
      <c r="DF514" s="687"/>
      <c r="DG514" s="151"/>
      <c r="DH514" s="687"/>
      <c r="DI514" s="151"/>
      <c r="DJ514" s="687"/>
      <c r="DK514" s="151"/>
      <c r="DL514" s="687"/>
      <c r="DM514" s="151"/>
      <c r="DN514" s="687"/>
      <c r="DO514" s="151"/>
      <c r="DP514" s="687"/>
      <c r="DQ514" s="151"/>
      <c r="DR514" s="687"/>
      <c r="DS514" s="151"/>
      <c r="DT514" s="687"/>
      <c r="DU514" s="151"/>
      <c r="DV514" s="687"/>
      <c r="DW514" s="151"/>
      <c r="DX514" s="687"/>
      <c r="DY514" s="151"/>
      <c r="DZ514" s="687"/>
      <c r="EA514" s="151"/>
      <c r="EB514" s="687"/>
      <c r="EC514" s="151"/>
      <c r="ED514" s="687"/>
      <c r="EE514" s="151"/>
      <c r="EF514" s="687"/>
      <c r="EG514" s="151"/>
      <c r="EH514" s="687"/>
      <c r="EI514" s="151"/>
      <c r="EJ514" s="687"/>
      <c r="EK514" s="151"/>
      <c r="EL514" s="687"/>
      <c r="EM514" s="687"/>
    </row>
    <row r="515" spans="1:143" ht="12.75" hidden="1" customHeight="1" outlineLevel="2" x14ac:dyDescent="0.2">
      <c r="A515" s="701" t="str">
        <f>INPUT!B443</f>
        <v>Depreciation and Amortization</v>
      </c>
      <c r="B515" s="151"/>
      <c r="C515" s="687"/>
      <c r="D515" s="151">
        <f>INPUT!BA443</f>
        <v>6</v>
      </c>
      <c r="E515" s="687" t="str">
        <f>INPUT!BB443</f>
        <v>NA</v>
      </c>
      <c r="F515" s="151">
        <f>INPUT!BC443</f>
        <v>2.7</v>
      </c>
      <c r="G515" s="687" t="str">
        <f>INPUT!BD443</f>
        <v>NA</v>
      </c>
      <c r="H515" s="151">
        <f>INPUT!BE443</f>
        <v>2.6</v>
      </c>
      <c r="I515" s="687" t="str">
        <f>INPUT!BF443</f>
        <v>NA</v>
      </c>
      <c r="J515" s="151"/>
      <c r="K515" s="687"/>
      <c r="L515" s="151"/>
      <c r="M515" s="687"/>
      <c r="N515" s="151"/>
      <c r="O515" s="687"/>
      <c r="P515" s="151"/>
      <c r="Q515" s="687"/>
      <c r="R515" s="151"/>
      <c r="S515" s="687"/>
      <c r="T515" s="151"/>
      <c r="U515" s="687"/>
      <c r="V515" s="151"/>
      <c r="W515" s="687"/>
      <c r="X515" s="151"/>
      <c r="Y515" s="687"/>
      <c r="Z515" s="151"/>
      <c r="AA515" s="687"/>
      <c r="AB515" s="151"/>
      <c r="AC515" s="687"/>
      <c r="AD515" s="151"/>
      <c r="AE515" s="687"/>
      <c r="AF515" s="151"/>
      <c r="AG515" s="687"/>
      <c r="AH515" s="151"/>
      <c r="AI515" s="687"/>
      <c r="AJ515" s="151"/>
      <c r="AK515" s="687"/>
      <c r="AL515" s="151"/>
      <c r="AM515" s="687"/>
      <c r="AN515" s="151"/>
      <c r="AO515" s="687"/>
      <c r="AP515" s="151"/>
      <c r="AQ515" s="687"/>
      <c r="AR515" s="151"/>
      <c r="AS515" s="687"/>
      <c r="AT515" s="151"/>
      <c r="AU515" s="687"/>
      <c r="AV515" s="151"/>
      <c r="AW515" s="687"/>
      <c r="AX515" s="151"/>
      <c r="AY515" s="687"/>
      <c r="AZ515" s="151"/>
      <c r="BA515" s="687"/>
      <c r="BB515" s="151"/>
      <c r="BC515" s="687"/>
      <c r="BD515" s="151"/>
      <c r="BE515" s="687"/>
      <c r="BF515" s="151"/>
      <c r="BG515" s="687"/>
      <c r="BH515" s="151"/>
      <c r="BI515" s="687"/>
      <c r="BJ515" s="151"/>
      <c r="BK515" s="687"/>
      <c r="BL515" s="151"/>
      <c r="BM515" s="687"/>
      <c r="BN515" s="151"/>
      <c r="BO515" s="687"/>
      <c r="BP515" s="151"/>
      <c r="BQ515" s="687"/>
      <c r="BR515" s="151"/>
      <c r="BS515" s="687"/>
      <c r="BT515" s="151"/>
      <c r="BU515" s="687"/>
      <c r="BV515" s="151"/>
      <c r="BW515" s="687"/>
      <c r="BX515" s="151"/>
      <c r="BY515" s="687"/>
      <c r="BZ515" s="151"/>
      <c r="CA515" s="687"/>
      <c r="CB515" s="151"/>
      <c r="CC515" s="687"/>
      <c r="CD515" s="151"/>
      <c r="CE515" s="687"/>
      <c r="CF515" s="151"/>
      <c r="CG515" s="687"/>
      <c r="CH515" s="151"/>
      <c r="CI515" s="687"/>
      <c r="CJ515" s="151"/>
      <c r="CK515" s="687"/>
      <c r="CL515" s="151"/>
      <c r="CM515" s="687"/>
      <c r="CN515" s="151"/>
      <c r="CO515" s="687"/>
      <c r="CP515" s="151"/>
      <c r="CQ515" s="687"/>
      <c r="CR515" s="151"/>
      <c r="CS515" s="687"/>
      <c r="CT515" s="151"/>
      <c r="CU515" s="687"/>
      <c r="CV515" s="151"/>
      <c r="CW515" s="687"/>
      <c r="CX515" s="151"/>
      <c r="CY515" s="687"/>
      <c r="CZ515" s="151"/>
      <c r="DA515" s="687"/>
      <c r="DB515" s="16"/>
      <c r="DC515" s="151"/>
      <c r="DD515" s="687"/>
      <c r="DE515" s="151">
        <f>INPUT!FR443</f>
        <v>11.299999999999999</v>
      </c>
      <c r="DF515" s="687"/>
      <c r="DG515" s="151"/>
      <c r="DH515" s="687"/>
      <c r="DI515" s="151"/>
      <c r="DJ515" s="687"/>
      <c r="DK515" s="151"/>
      <c r="DL515" s="687"/>
      <c r="DM515" s="151"/>
      <c r="DN515" s="687"/>
      <c r="DO515" s="151"/>
      <c r="DP515" s="687"/>
      <c r="DQ515" s="151"/>
      <c r="DR515" s="687"/>
      <c r="DS515" s="151"/>
      <c r="DT515" s="687"/>
      <c r="DU515" s="151"/>
      <c r="DV515" s="687"/>
      <c r="DW515" s="151"/>
      <c r="DX515" s="687"/>
      <c r="DY515" s="151"/>
      <c r="DZ515" s="687"/>
      <c r="EA515" s="151"/>
      <c r="EB515" s="687"/>
      <c r="EC515" s="151"/>
      <c r="ED515" s="687"/>
      <c r="EE515" s="151"/>
      <c r="EF515" s="687"/>
      <c r="EG515" s="151"/>
      <c r="EH515" s="687"/>
      <c r="EI515" s="151"/>
      <c r="EJ515" s="687"/>
      <c r="EK515" s="151"/>
      <c r="EL515" s="687"/>
      <c r="EM515" s="687"/>
    </row>
    <row r="516" spans="1:143" ht="12.75" hidden="1" customHeight="1" outlineLevel="2" x14ac:dyDescent="0.2">
      <c r="A516" s="701" t="str">
        <f>INPUT!B444</f>
        <v>Operating and Administrative Expenses</v>
      </c>
      <c r="B516" s="16"/>
      <c r="C516" s="687"/>
      <c r="D516" s="16">
        <f>INPUT!BA444</f>
        <v>24</v>
      </c>
      <c r="E516" s="687" t="str">
        <f>INPUT!BB444</f>
        <v>NA</v>
      </c>
      <c r="F516" s="16">
        <f>INPUT!BC444</f>
        <v>23.9</v>
      </c>
      <c r="G516" s="687" t="str">
        <f>INPUT!BD444</f>
        <v>NA</v>
      </c>
      <c r="H516" s="16">
        <f>INPUT!BE444</f>
        <v>24.7</v>
      </c>
      <c r="I516" s="687" t="str">
        <f>INPUT!BF444</f>
        <v>NA</v>
      </c>
      <c r="J516" s="16"/>
      <c r="K516" s="687"/>
      <c r="L516" s="16"/>
      <c r="M516" s="687"/>
      <c r="N516" s="16"/>
      <c r="O516" s="687"/>
      <c r="P516" s="16"/>
      <c r="Q516" s="687"/>
      <c r="R516" s="16"/>
      <c r="S516" s="687"/>
      <c r="T516" s="16"/>
      <c r="U516" s="687"/>
      <c r="V516" s="16"/>
      <c r="W516" s="687"/>
      <c r="X516" s="16"/>
      <c r="Y516" s="687"/>
      <c r="Z516" s="16"/>
      <c r="AA516" s="687"/>
      <c r="AB516" s="16"/>
      <c r="AC516" s="687"/>
      <c r="AD516" s="16"/>
      <c r="AE516" s="687"/>
      <c r="AF516" s="16"/>
      <c r="AG516" s="687"/>
      <c r="AH516" s="16"/>
      <c r="AI516" s="687"/>
      <c r="AJ516" s="16"/>
      <c r="AK516" s="687"/>
      <c r="AL516" s="16"/>
      <c r="AM516" s="687"/>
      <c r="AN516" s="16"/>
      <c r="AO516" s="687"/>
      <c r="AP516" s="16"/>
      <c r="AQ516" s="687"/>
      <c r="AR516" s="16"/>
      <c r="AS516" s="687"/>
      <c r="AT516" s="16"/>
      <c r="AU516" s="687"/>
      <c r="AV516" s="16"/>
      <c r="AW516" s="687"/>
      <c r="AX516" s="16"/>
      <c r="AY516" s="687"/>
      <c r="AZ516" s="16"/>
      <c r="BA516" s="687"/>
      <c r="BB516" s="16"/>
      <c r="BC516" s="687"/>
      <c r="BD516" s="16"/>
      <c r="BE516" s="687"/>
      <c r="BF516" s="16"/>
      <c r="BG516" s="687"/>
      <c r="BH516" s="16"/>
      <c r="BI516" s="687"/>
      <c r="BJ516" s="16"/>
      <c r="BK516" s="687"/>
      <c r="BL516" s="16"/>
      <c r="BM516" s="687"/>
      <c r="BN516" s="16"/>
      <c r="BO516" s="687"/>
      <c r="BP516" s="16"/>
      <c r="BQ516" s="687"/>
      <c r="BR516" s="16"/>
      <c r="BS516" s="687"/>
      <c r="BT516" s="16"/>
      <c r="BU516" s="687"/>
      <c r="BV516" s="16"/>
      <c r="BW516" s="687"/>
      <c r="BX516" s="16"/>
      <c r="BY516" s="687"/>
      <c r="BZ516" s="16"/>
      <c r="CA516" s="687"/>
      <c r="CB516" s="16"/>
      <c r="CC516" s="687"/>
      <c r="CD516" s="16"/>
      <c r="CE516" s="687"/>
      <c r="CF516" s="16"/>
      <c r="CG516" s="687"/>
      <c r="CH516" s="16"/>
      <c r="CI516" s="687"/>
      <c r="CJ516" s="16"/>
      <c r="CK516" s="687"/>
      <c r="CL516" s="16"/>
      <c r="CM516" s="687"/>
      <c r="CN516" s="16"/>
      <c r="CO516" s="687"/>
      <c r="CP516" s="16"/>
      <c r="CQ516" s="687"/>
      <c r="CR516" s="16"/>
      <c r="CS516" s="687"/>
      <c r="CT516" s="16"/>
      <c r="CU516" s="687"/>
      <c r="CV516" s="16"/>
      <c r="CW516" s="687"/>
      <c r="CX516" s="16"/>
      <c r="CY516" s="687"/>
      <c r="CZ516" s="16"/>
      <c r="DA516" s="687"/>
      <c r="DB516" s="16"/>
      <c r="DC516" s="16"/>
      <c r="DD516" s="687"/>
      <c r="DE516" s="16">
        <f>INPUT!FR444</f>
        <v>72.599999999999994</v>
      </c>
      <c r="DF516" s="687"/>
      <c r="DG516" s="16"/>
      <c r="DH516" s="687"/>
      <c r="DI516" s="16"/>
      <c r="DJ516" s="687"/>
      <c r="DK516" s="16"/>
      <c r="DL516" s="687"/>
      <c r="DM516" s="16"/>
      <c r="DN516" s="687"/>
      <c r="DO516" s="16"/>
      <c r="DP516" s="687"/>
      <c r="DQ516" s="16"/>
      <c r="DR516" s="687"/>
      <c r="DS516" s="16"/>
      <c r="DT516" s="687"/>
      <c r="DU516" s="16"/>
      <c r="DV516" s="687"/>
      <c r="DW516" s="16"/>
      <c r="DX516" s="687"/>
      <c r="DY516" s="16"/>
      <c r="DZ516" s="687"/>
      <c r="EA516" s="16"/>
      <c r="EB516" s="687"/>
      <c r="EC516" s="16"/>
      <c r="ED516" s="687"/>
      <c r="EE516" s="16"/>
      <c r="EF516" s="687"/>
      <c r="EG516" s="16"/>
      <c r="EH516" s="687"/>
      <c r="EI516" s="16"/>
      <c r="EJ516" s="687"/>
      <c r="EK516" s="16"/>
      <c r="EL516" s="687"/>
      <c r="EM516" s="687"/>
    </row>
    <row r="517" spans="1:143" ht="12.75" hidden="1" customHeight="1" outlineLevel="2" x14ac:dyDescent="0.2">
      <c r="A517" s="701" t="str">
        <f>INPUT!B445</f>
        <v>Net Interest Expense/(Income)</v>
      </c>
      <c r="B517" s="151"/>
      <c r="C517" s="687"/>
      <c r="D517" s="151">
        <f>INPUT!BA445</f>
        <v>0.3</v>
      </c>
      <c r="E517" s="687" t="str">
        <f>INPUT!BB445</f>
        <v>NA</v>
      </c>
      <c r="F517" s="151">
        <f>INPUT!BC445</f>
        <v>0.3</v>
      </c>
      <c r="G517" s="687" t="str">
        <f>INPUT!BD445</f>
        <v>NA</v>
      </c>
      <c r="H517" s="151">
        <f>INPUT!BE445</f>
        <v>0.3</v>
      </c>
      <c r="I517" s="687" t="str">
        <f>INPUT!BF445</f>
        <v>NA</v>
      </c>
      <c r="J517" s="151"/>
      <c r="K517" s="687"/>
      <c r="L517" s="151"/>
      <c r="M517" s="687"/>
      <c r="N517" s="151"/>
      <c r="O517" s="687"/>
      <c r="P517" s="151"/>
      <c r="Q517" s="687"/>
      <c r="R517" s="151"/>
      <c r="S517" s="687"/>
      <c r="T517" s="151"/>
      <c r="U517" s="687"/>
      <c r="V517" s="151"/>
      <c r="W517" s="687"/>
      <c r="X517" s="151"/>
      <c r="Y517" s="687"/>
      <c r="Z517" s="151"/>
      <c r="AA517" s="687"/>
      <c r="AB517" s="151"/>
      <c r="AC517" s="687"/>
      <c r="AD517" s="151"/>
      <c r="AE517" s="687"/>
      <c r="AF517" s="151"/>
      <c r="AG517" s="687"/>
      <c r="AH517" s="151"/>
      <c r="AI517" s="687"/>
      <c r="AJ517" s="151"/>
      <c r="AK517" s="687"/>
      <c r="AL517" s="151"/>
      <c r="AM517" s="687"/>
      <c r="AN517" s="151"/>
      <c r="AO517" s="687"/>
      <c r="AP517" s="151"/>
      <c r="AQ517" s="687"/>
      <c r="AR517" s="151"/>
      <c r="AS517" s="687"/>
      <c r="AT517" s="151"/>
      <c r="AU517" s="687"/>
      <c r="AV517" s="151"/>
      <c r="AW517" s="687"/>
      <c r="AX517" s="151"/>
      <c r="AY517" s="687"/>
      <c r="AZ517" s="151"/>
      <c r="BA517" s="687"/>
      <c r="BB517" s="151"/>
      <c r="BC517" s="687"/>
      <c r="BD517" s="151"/>
      <c r="BE517" s="687"/>
      <c r="BF517" s="151"/>
      <c r="BG517" s="687"/>
      <c r="BH517" s="151"/>
      <c r="BI517" s="687"/>
      <c r="BJ517" s="151"/>
      <c r="BK517" s="687"/>
      <c r="BL517" s="151"/>
      <c r="BM517" s="687"/>
      <c r="BN517" s="151"/>
      <c r="BO517" s="687"/>
      <c r="BP517" s="151"/>
      <c r="BQ517" s="687"/>
      <c r="BR517" s="151"/>
      <c r="BS517" s="687"/>
      <c r="BT517" s="151"/>
      <c r="BU517" s="687"/>
      <c r="BV517" s="151"/>
      <c r="BW517" s="687"/>
      <c r="BX517" s="151"/>
      <c r="BY517" s="687"/>
      <c r="BZ517" s="151"/>
      <c r="CA517" s="687"/>
      <c r="CB517" s="151"/>
      <c r="CC517" s="687"/>
      <c r="CD517" s="151"/>
      <c r="CE517" s="687"/>
      <c r="CF517" s="151"/>
      <c r="CG517" s="687"/>
      <c r="CH517" s="151"/>
      <c r="CI517" s="687"/>
      <c r="CJ517" s="151"/>
      <c r="CK517" s="687"/>
      <c r="CL517" s="151"/>
      <c r="CM517" s="687"/>
      <c r="CN517" s="151"/>
      <c r="CO517" s="687"/>
      <c r="CP517" s="151"/>
      <c r="CQ517" s="687"/>
      <c r="CR517" s="151"/>
      <c r="CS517" s="687"/>
      <c r="CT517" s="151"/>
      <c r="CU517" s="687"/>
      <c r="CV517" s="151"/>
      <c r="CW517" s="687"/>
      <c r="CX517" s="151"/>
      <c r="CY517" s="687"/>
      <c r="CZ517" s="151"/>
      <c r="DA517" s="687"/>
      <c r="DB517" s="16"/>
      <c r="DC517" s="151"/>
      <c r="DD517" s="687"/>
      <c r="DE517" s="151">
        <f>INPUT!FR445</f>
        <v>0.89999999999999991</v>
      </c>
      <c r="DF517" s="687"/>
      <c r="DG517" s="151"/>
      <c r="DH517" s="687"/>
      <c r="DI517" s="151"/>
      <c r="DJ517" s="687"/>
      <c r="DK517" s="151"/>
      <c r="DL517" s="687"/>
      <c r="DM517" s="151"/>
      <c r="DN517" s="687"/>
      <c r="DO517" s="151"/>
      <c r="DP517" s="687"/>
      <c r="DQ517" s="151"/>
      <c r="DR517" s="687"/>
      <c r="DS517" s="151"/>
      <c r="DT517" s="687"/>
      <c r="DU517" s="151"/>
      <c r="DV517" s="687"/>
      <c r="DW517" s="151"/>
      <c r="DX517" s="687"/>
      <c r="DY517" s="151"/>
      <c r="DZ517" s="687"/>
      <c r="EA517" s="151"/>
      <c r="EB517" s="687"/>
      <c r="EC517" s="151"/>
      <c r="ED517" s="687"/>
      <c r="EE517" s="151"/>
      <c r="EF517" s="687"/>
      <c r="EG517" s="151"/>
      <c r="EH517" s="687"/>
      <c r="EI517" s="151"/>
      <c r="EJ517" s="687"/>
      <c r="EK517" s="151"/>
      <c r="EL517" s="687"/>
      <c r="EM517" s="687"/>
    </row>
    <row r="518" spans="1:143" ht="12.75" hidden="1" customHeight="1" outlineLevel="2" x14ac:dyDescent="0.2">
      <c r="A518" s="700" t="str">
        <f>INPUT!B446</f>
        <v xml:space="preserve"> Total Expenses</v>
      </c>
      <c r="B518" s="151"/>
      <c r="C518" s="687"/>
      <c r="D518" s="151">
        <f>INPUT!BA446</f>
        <v>37.9</v>
      </c>
      <c r="E518" s="687">
        <f>INPUT!BB446</f>
        <v>12.289642095283227</v>
      </c>
      <c r="F518" s="151">
        <f>INPUT!BC446</f>
        <v>37.199999999999996</v>
      </c>
      <c r="G518" s="687">
        <f>INPUT!BD446</f>
        <v>3.586544887502785</v>
      </c>
      <c r="H518" s="151">
        <f>INPUT!BE446</f>
        <v>42.8</v>
      </c>
      <c r="I518" s="687">
        <f>INPUT!BF446</f>
        <v>7.4647851959725564</v>
      </c>
      <c r="J518" s="151"/>
      <c r="K518" s="687"/>
      <c r="L518" s="151"/>
      <c r="M518" s="687"/>
      <c r="N518" s="151"/>
      <c r="O518" s="687"/>
      <c r="P518" s="151"/>
      <c r="Q518" s="687"/>
      <c r="R518" s="151"/>
      <c r="S518" s="687"/>
      <c r="T518" s="151"/>
      <c r="U518" s="687"/>
      <c r="V518" s="151"/>
      <c r="W518" s="687"/>
      <c r="X518" s="151"/>
      <c r="Y518" s="687"/>
      <c r="Z518" s="151"/>
      <c r="AA518" s="687"/>
      <c r="AB518" s="151"/>
      <c r="AC518" s="687"/>
      <c r="AD518" s="151"/>
      <c r="AE518" s="687"/>
      <c r="AF518" s="151"/>
      <c r="AG518" s="687"/>
      <c r="AH518" s="151"/>
      <c r="AI518" s="687"/>
      <c r="AJ518" s="151"/>
      <c r="AK518" s="687"/>
      <c r="AL518" s="151"/>
      <c r="AM518" s="687"/>
      <c r="AN518" s="151"/>
      <c r="AO518" s="687"/>
      <c r="AP518" s="151"/>
      <c r="AQ518" s="687"/>
      <c r="AR518" s="151"/>
      <c r="AS518" s="687"/>
      <c r="AT518" s="151"/>
      <c r="AU518" s="687"/>
      <c r="AV518" s="151"/>
      <c r="AW518" s="687"/>
      <c r="AX518" s="151"/>
      <c r="AY518" s="687"/>
      <c r="AZ518" s="151"/>
      <c r="BA518" s="687"/>
      <c r="BB518" s="151"/>
      <c r="BC518" s="687"/>
      <c r="BD518" s="151"/>
      <c r="BE518" s="687"/>
      <c r="BF518" s="151"/>
      <c r="BG518" s="687"/>
      <c r="BH518" s="151"/>
      <c r="BI518" s="687"/>
      <c r="BJ518" s="151"/>
      <c r="BK518" s="687"/>
      <c r="BL518" s="151"/>
      <c r="BM518" s="687"/>
      <c r="BN518" s="151"/>
      <c r="BO518" s="687"/>
      <c r="BP518" s="151"/>
      <c r="BQ518" s="687"/>
      <c r="BR518" s="151"/>
      <c r="BS518" s="687"/>
      <c r="BT518" s="151"/>
      <c r="BU518" s="687"/>
      <c r="BV518" s="151"/>
      <c r="BW518" s="687"/>
      <c r="BX518" s="151"/>
      <c r="BY518" s="687"/>
      <c r="BZ518" s="151"/>
      <c r="CA518" s="687"/>
      <c r="CB518" s="151"/>
      <c r="CC518" s="687"/>
      <c r="CD518" s="151"/>
      <c r="CE518" s="687"/>
      <c r="CF518" s="151"/>
      <c r="CG518" s="687"/>
      <c r="CH518" s="151"/>
      <c r="CI518" s="687"/>
      <c r="CJ518" s="151"/>
      <c r="CK518" s="687"/>
      <c r="CL518" s="151"/>
      <c r="CM518" s="687"/>
      <c r="CN518" s="151"/>
      <c r="CO518" s="687"/>
      <c r="CP518" s="151"/>
      <c r="CQ518" s="687"/>
      <c r="CR518" s="151"/>
      <c r="CS518" s="687"/>
      <c r="CT518" s="151"/>
      <c r="CU518" s="687"/>
      <c r="CV518" s="151"/>
      <c r="CW518" s="687"/>
      <c r="CX518" s="151"/>
      <c r="CY518" s="687"/>
      <c r="CZ518" s="151"/>
      <c r="DA518" s="687"/>
      <c r="DB518" s="16"/>
      <c r="DC518" s="151"/>
      <c r="DD518" s="687"/>
      <c r="DE518" s="151">
        <f>INPUT!FR446</f>
        <v>117.89999999999999</v>
      </c>
      <c r="DF518" s="687"/>
      <c r="DG518" s="151"/>
      <c r="DH518" s="687"/>
      <c r="DI518" s="151"/>
      <c r="DJ518" s="687"/>
      <c r="DK518" s="151"/>
      <c r="DL518" s="687"/>
      <c r="DM518" s="151"/>
      <c r="DN518" s="687"/>
      <c r="DO518" s="151"/>
      <c r="DP518" s="687"/>
      <c r="DQ518" s="151"/>
      <c r="DR518" s="687"/>
      <c r="DS518" s="151"/>
      <c r="DT518" s="687"/>
      <c r="DU518" s="151"/>
      <c r="DV518" s="687"/>
      <c r="DW518" s="151"/>
      <c r="DX518" s="687"/>
      <c r="DY518" s="151"/>
      <c r="DZ518" s="687"/>
      <c r="EA518" s="151"/>
      <c r="EB518" s="687"/>
      <c r="EC518" s="151"/>
      <c r="ED518" s="687"/>
      <c r="EE518" s="151"/>
      <c r="EF518" s="687"/>
      <c r="EG518" s="151"/>
      <c r="EH518" s="687"/>
      <c r="EI518" s="151"/>
      <c r="EJ518" s="687"/>
      <c r="EK518" s="151"/>
      <c r="EL518" s="687"/>
      <c r="EM518" s="687"/>
    </row>
    <row r="519" spans="1:143" ht="12.75" hidden="1" customHeight="1" outlineLevel="2" x14ac:dyDescent="0.2">
      <c r="A519" s="700"/>
      <c r="B519" s="151"/>
      <c r="C519" s="687"/>
      <c r="D519" s="151"/>
      <c r="E519" s="687"/>
      <c r="F519" s="151"/>
      <c r="G519" s="687"/>
      <c r="H519" s="151"/>
      <c r="I519" s="687"/>
      <c r="J519" s="151"/>
      <c r="K519" s="687"/>
      <c r="L519" s="151"/>
      <c r="M519" s="687"/>
      <c r="N519" s="151"/>
      <c r="O519" s="687"/>
      <c r="P519" s="151"/>
      <c r="Q519" s="687"/>
      <c r="R519" s="151"/>
      <c r="S519" s="687"/>
      <c r="T519" s="151"/>
      <c r="U519" s="687"/>
      <c r="V519" s="151"/>
      <c r="W519" s="687"/>
      <c r="X519" s="151"/>
      <c r="Y519" s="687"/>
      <c r="Z519" s="151"/>
      <c r="AA519" s="687"/>
      <c r="AB519" s="151"/>
      <c r="AC519" s="687"/>
      <c r="AD519" s="151"/>
      <c r="AE519" s="687"/>
      <c r="AF519" s="151"/>
      <c r="AG519" s="687"/>
      <c r="AH519" s="151"/>
      <c r="AI519" s="687"/>
      <c r="AJ519" s="151"/>
      <c r="AK519" s="687"/>
      <c r="AL519" s="151"/>
      <c r="AM519" s="687"/>
      <c r="AN519" s="151"/>
      <c r="AO519" s="687"/>
      <c r="AP519" s="151"/>
      <c r="AQ519" s="687"/>
      <c r="AR519" s="151"/>
      <c r="AS519" s="687"/>
      <c r="AT519" s="151"/>
      <c r="AU519" s="687"/>
      <c r="AV519" s="151"/>
      <c r="AW519" s="687"/>
      <c r="AX519" s="151"/>
      <c r="AY519" s="687"/>
      <c r="AZ519" s="151"/>
      <c r="BA519" s="687"/>
      <c r="BB519" s="151"/>
      <c r="BC519" s="687"/>
      <c r="BD519" s="151"/>
      <c r="BE519" s="687"/>
      <c r="BF519" s="151"/>
      <c r="BG519" s="687"/>
      <c r="BH519" s="151"/>
      <c r="BI519" s="687"/>
      <c r="BJ519" s="151"/>
      <c r="BK519" s="687"/>
      <c r="BL519" s="151"/>
      <c r="BM519" s="687"/>
      <c r="BN519" s="151"/>
      <c r="BO519" s="687"/>
      <c r="BP519" s="151"/>
      <c r="BQ519" s="687"/>
      <c r="BR519" s="151"/>
      <c r="BS519" s="687"/>
      <c r="BT519" s="151"/>
      <c r="BU519" s="687"/>
      <c r="BV519" s="151"/>
      <c r="BW519" s="687"/>
      <c r="BX519" s="151"/>
      <c r="BY519" s="687"/>
      <c r="BZ519" s="151"/>
      <c r="CA519" s="687"/>
      <c r="CB519" s="151"/>
      <c r="CC519" s="687"/>
      <c r="CD519" s="151"/>
      <c r="CE519" s="687"/>
      <c r="CF519" s="151"/>
      <c r="CG519" s="687"/>
      <c r="CH519" s="151"/>
      <c r="CI519" s="687"/>
      <c r="CJ519" s="151"/>
      <c r="CK519" s="687"/>
      <c r="CL519" s="151"/>
      <c r="CM519" s="687"/>
      <c r="CN519" s="151"/>
      <c r="CO519" s="687"/>
      <c r="CP519" s="151"/>
      <c r="CQ519" s="687"/>
      <c r="CR519" s="151"/>
      <c r="CS519" s="687"/>
      <c r="CT519" s="151"/>
      <c r="CU519" s="687"/>
      <c r="CV519" s="151"/>
      <c r="CW519" s="687"/>
      <c r="CX519" s="151"/>
      <c r="CY519" s="687"/>
      <c r="CZ519" s="151"/>
      <c r="DA519" s="687"/>
      <c r="DB519" s="16"/>
      <c r="DC519" s="151"/>
      <c r="DD519" s="687"/>
      <c r="DE519" s="151"/>
      <c r="DF519" s="687"/>
      <c r="DG519" s="151"/>
      <c r="DH519" s="687"/>
      <c r="DI519" s="151"/>
      <c r="DJ519" s="687"/>
      <c r="DK519" s="151"/>
      <c r="DL519" s="687"/>
      <c r="DM519" s="151"/>
      <c r="DN519" s="687"/>
      <c r="DO519" s="151"/>
      <c r="DP519" s="687"/>
      <c r="DQ519" s="151"/>
      <c r="DR519" s="687"/>
      <c r="DS519" s="151"/>
      <c r="DT519" s="687"/>
      <c r="DU519" s="151"/>
      <c r="DV519" s="687"/>
      <c r="DW519" s="151"/>
      <c r="DX519" s="687"/>
      <c r="DY519" s="151"/>
      <c r="DZ519" s="687"/>
      <c r="EA519" s="151"/>
      <c r="EB519" s="687"/>
      <c r="EC519" s="151"/>
      <c r="ED519" s="687"/>
      <c r="EE519" s="151"/>
      <c r="EF519" s="687"/>
      <c r="EG519" s="151"/>
      <c r="EH519" s="687"/>
      <c r="EI519" s="151"/>
      <c r="EJ519" s="687"/>
      <c r="EK519" s="151"/>
      <c r="EL519" s="687"/>
      <c r="EM519" s="687"/>
    </row>
    <row r="520" spans="1:143" ht="12.75" hidden="1" customHeight="1" outlineLevel="2" x14ac:dyDescent="0.2">
      <c r="A520" s="701" t="str">
        <f>INPUT!B456</f>
        <v>Pretax Operating Earnings</v>
      </c>
      <c r="B520" s="151"/>
      <c r="C520" s="687"/>
      <c r="D520" s="151">
        <f>INPUT!BA456</f>
        <v>4</v>
      </c>
      <c r="E520" s="687" t="str">
        <f>INPUT!BB456</f>
        <v>NM</v>
      </c>
      <c r="F520" s="151">
        <f>INPUT!BC456</f>
        <v>22.6</v>
      </c>
      <c r="G520" s="687">
        <f>INPUT!BD456</f>
        <v>-2.937639580828022</v>
      </c>
      <c r="H520" s="151">
        <f>INPUT!BE456</f>
        <v>27.200000000000003</v>
      </c>
      <c r="I520" s="687">
        <f>INPUT!BF456</f>
        <v>-7.7184054283290893</v>
      </c>
      <c r="J520" s="151"/>
      <c r="K520" s="687"/>
      <c r="L520" s="151"/>
      <c r="M520" s="687"/>
      <c r="N520" s="151"/>
      <c r="O520" s="687"/>
      <c r="P520" s="151"/>
      <c r="Q520" s="687"/>
      <c r="R520" s="151"/>
      <c r="S520" s="687"/>
      <c r="T520" s="151"/>
      <c r="U520" s="687"/>
      <c r="V520" s="151"/>
      <c r="W520" s="687"/>
      <c r="X520" s="151"/>
      <c r="Y520" s="687"/>
      <c r="Z520" s="151"/>
      <c r="AA520" s="687"/>
      <c r="AB520" s="151"/>
      <c r="AC520" s="687"/>
      <c r="AD520" s="151"/>
      <c r="AE520" s="687"/>
      <c r="AF520" s="151"/>
      <c r="AG520" s="687"/>
      <c r="AH520" s="151"/>
      <c r="AI520" s="687"/>
      <c r="AJ520" s="151"/>
      <c r="AK520" s="687"/>
      <c r="AL520" s="151"/>
      <c r="AM520" s="687"/>
      <c r="AN520" s="151"/>
      <c r="AO520" s="687"/>
      <c r="AP520" s="151"/>
      <c r="AQ520" s="687"/>
      <c r="AR520" s="151"/>
      <c r="AS520" s="687"/>
      <c r="AT520" s="151"/>
      <c r="AU520" s="687"/>
      <c r="AV520" s="151"/>
      <c r="AW520" s="687"/>
      <c r="AX520" s="151"/>
      <c r="AY520" s="687"/>
      <c r="AZ520" s="151"/>
      <c r="BA520" s="687"/>
      <c r="BB520" s="151"/>
      <c r="BC520" s="687"/>
      <c r="BD520" s="151"/>
      <c r="BE520" s="687"/>
      <c r="BF520" s="151"/>
      <c r="BG520" s="687"/>
      <c r="BH520" s="151"/>
      <c r="BI520" s="687"/>
      <c r="BJ520" s="151"/>
      <c r="BK520" s="687"/>
      <c r="BL520" s="151"/>
      <c r="BM520" s="687"/>
      <c r="BN520" s="151"/>
      <c r="BO520" s="687"/>
      <c r="BP520" s="151"/>
      <c r="BQ520" s="687"/>
      <c r="BR520" s="151"/>
      <c r="BS520" s="687"/>
      <c r="BT520" s="151"/>
      <c r="BU520" s="687"/>
      <c r="BV520" s="151"/>
      <c r="BW520" s="687"/>
      <c r="BX520" s="151"/>
      <c r="BY520" s="687"/>
      <c r="BZ520" s="151"/>
      <c r="CA520" s="687"/>
      <c r="CB520" s="151"/>
      <c r="CC520" s="687"/>
      <c r="CD520" s="151"/>
      <c r="CE520" s="687"/>
      <c r="CF520" s="151"/>
      <c r="CG520" s="687"/>
      <c r="CH520" s="151"/>
      <c r="CI520" s="687"/>
      <c r="CJ520" s="151"/>
      <c r="CK520" s="687"/>
      <c r="CL520" s="151"/>
      <c r="CM520" s="687"/>
      <c r="CN520" s="151"/>
      <c r="CO520" s="687"/>
      <c r="CP520" s="151"/>
      <c r="CQ520" s="687"/>
      <c r="CR520" s="151"/>
      <c r="CS520" s="687"/>
      <c r="CT520" s="151"/>
      <c r="CU520" s="687"/>
      <c r="CV520" s="151"/>
      <c r="CW520" s="687"/>
      <c r="CX520" s="151"/>
      <c r="CY520" s="687"/>
      <c r="CZ520" s="151"/>
      <c r="DA520" s="687"/>
      <c r="DB520" s="16"/>
      <c r="DC520" s="151"/>
      <c r="DD520" s="687"/>
      <c r="DE520" s="151">
        <f>INPUT!FR456</f>
        <v>69.40000000000002</v>
      </c>
      <c r="DF520" s="687"/>
      <c r="DG520" s="151"/>
      <c r="DH520" s="687"/>
      <c r="DI520" s="151"/>
      <c r="DJ520" s="687"/>
      <c r="DK520" s="151"/>
      <c r="DL520" s="687"/>
      <c r="DM520" s="151"/>
      <c r="DN520" s="687"/>
      <c r="DO520" s="151"/>
      <c r="DP520" s="687"/>
      <c r="DQ520" s="151"/>
      <c r="DR520" s="687"/>
      <c r="DS520" s="151"/>
      <c r="DT520" s="687"/>
      <c r="DU520" s="151"/>
      <c r="DV520" s="687"/>
      <c r="DW520" s="151"/>
      <c r="DX520" s="687"/>
      <c r="DY520" s="151"/>
      <c r="DZ520" s="687"/>
      <c r="EA520" s="151"/>
      <c r="EB520" s="687"/>
      <c r="EC520" s="151"/>
      <c r="ED520" s="687"/>
      <c r="EE520" s="151"/>
      <c r="EF520" s="687"/>
      <c r="EG520" s="151"/>
      <c r="EH520" s="687"/>
      <c r="EI520" s="151"/>
      <c r="EJ520" s="687"/>
      <c r="EK520" s="151"/>
      <c r="EL520" s="687"/>
      <c r="EM520" s="687"/>
    </row>
    <row r="521" spans="1:143" ht="12.75" hidden="1" customHeight="1" outlineLevel="2" x14ac:dyDescent="0.2">
      <c r="A521" s="701" t="str">
        <f>INPUT!B457</f>
        <v>Taxes</v>
      </c>
      <c r="B521" s="151"/>
      <c r="C521" s="687"/>
      <c r="D521" s="151">
        <f>INPUT!BA457</f>
        <v>7.7</v>
      </c>
      <c r="E521" s="687">
        <f>INPUT!BB457</f>
        <v>-9.2195236972412058</v>
      </c>
      <c r="F521" s="151">
        <f>INPUT!BC457</f>
        <v>8</v>
      </c>
      <c r="G521" s="687">
        <f>INPUT!BD457</f>
        <v>-14.748508098891733</v>
      </c>
      <c r="H521" s="151">
        <f>INPUT!BE457</f>
        <v>9.6</v>
      </c>
      <c r="I521" s="687">
        <f>INPUT!BF457</f>
        <v>-18.395103706222372</v>
      </c>
      <c r="J521" s="151"/>
      <c r="K521" s="687"/>
      <c r="L521" s="151"/>
      <c r="M521" s="687"/>
      <c r="N521" s="151"/>
      <c r="O521" s="687"/>
      <c r="P521" s="151"/>
      <c r="Q521" s="687"/>
      <c r="R521" s="151"/>
      <c r="S521" s="687"/>
      <c r="T521" s="151"/>
      <c r="U521" s="687"/>
      <c r="V521" s="151"/>
      <c r="W521" s="687"/>
      <c r="X521" s="151"/>
      <c r="Y521" s="687"/>
      <c r="Z521" s="151"/>
      <c r="AA521" s="687"/>
      <c r="AB521" s="151"/>
      <c r="AC521" s="687"/>
      <c r="AD521" s="151"/>
      <c r="AE521" s="687"/>
      <c r="AF521" s="151"/>
      <c r="AG521" s="687"/>
      <c r="AH521" s="151"/>
      <c r="AI521" s="687"/>
      <c r="AJ521" s="151"/>
      <c r="AK521" s="687"/>
      <c r="AL521" s="151"/>
      <c r="AM521" s="687"/>
      <c r="AN521" s="151"/>
      <c r="AO521" s="687"/>
      <c r="AP521" s="151"/>
      <c r="AQ521" s="687"/>
      <c r="AR521" s="151"/>
      <c r="AS521" s="687"/>
      <c r="AT521" s="151"/>
      <c r="AU521" s="687"/>
      <c r="AV521" s="151"/>
      <c r="AW521" s="687"/>
      <c r="AX521" s="151"/>
      <c r="AY521" s="687"/>
      <c r="AZ521" s="151"/>
      <c r="BA521" s="687"/>
      <c r="BB521" s="151"/>
      <c r="BC521" s="687"/>
      <c r="BD521" s="151"/>
      <c r="BE521" s="687"/>
      <c r="BF521" s="151"/>
      <c r="BG521" s="687"/>
      <c r="BH521" s="151"/>
      <c r="BI521" s="687"/>
      <c r="BJ521" s="151"/>
      <c r="BK521" s="687"/>
      <c r="BL521" s="151"/>
      <c r="BM521" s="687"/>
      <c r="BN521" s="151"/>
      <c r="BO521" s="687"/>
      <c r="BP521" s="151"/>
      <c r="BQ521" s="687"/>
      <c r="BR521" s="151"/>
      <c r="BS521" s="687"/>
      <c r="BT521" s="151"/>
      <c r="BU521" s="687"/>
      <c r="BV521" s="151"/>
      <c r="BW521" s="687"/>
      <c r="BX521" s="151"/>
      <c r="BY521" s="687"/>
      <c r="BZ521" s="151"/>
      <c r="CA521" s="687"/>
      <c r="CB521" s="151"/>
      <c r="CC521" s="687"/>
      <c r="CD521" s="151"/>
      <c r="CE521" s="687"/>
      <c r="CF521" s="151"/>
      <c r="CG521" s="687"/>
      <c r="CH521" s="151"/>
      <c r="CI521" s="687"/>
      <c r="CJ521" s="151"/>
      <c r="CK521" s="687"/>
      <c r="CL521" s="151"/>
      <c r="CM521" s="687"/>
      <c r="CN521" s="151"/>
      <c r="CO521" s="687"/>
      <c r="CP521" s="151"/>
      <c r="CQ521" s="687"/>
      <c r="CR521" s="151"/>
      <c r="CS521" s="687"/>
      <c r="CT521" s="151"/>
      <c r="CU521" s="687"/>
      <c r="CV521" s="151"/>
      <c r="CW521" s="687"/>
      <c r="CX521" s="151"/>
      <c r="CY521" s="687"/>
      <c r="CZ521" s="151"/>
      <c r="DA521" s="687"/>
      <c r="DB521" s="16"/>
      <c r="DC521" s="151"/>
      <c r="DD521" s="687"/>
      <c r="DE521" s="151">
        <f>INPUT!FR457</f>
        <v>25.299999999999997</v>
      </c>
      <c r="DF521" s="687"/>
      <c r="DG521" s="151"/>
      <c r="DH521" s="687"/>
      <c r="DI521" s="151"/>
      <c r="DJ521" s="687"/>
      <c r="DK521" s="151"/>
      <c r="DL521" s="687"/>
      <c r="DM521" s="151"/>
      <c r="DN521" s="687"/>
      <c r="DO521" s="151"/>
      <c r="DP521" s="687"/>
      <c r="DQ521" s="151"/>
      <c r="DR521" s="687"/>
      <c r="DS521" s="151"/>
      <c r="DT521" s="687"/>
      <c r="DU521" s="151"/>
      <c r="DV521" s="687"/>
      <c r="DW521" s="151"/>
      <c r="DX521" s="687"/>
      <c r="DY521" s="151"/>
      <c r="DZ521" s="687"/>
      <c r="EA521" s="151"/>
      <c r="EB521" s="687"/>
      <c r="EC521" s="151"/>
      <c r="ED521" s="687"/>
      <c r="EE521" s="151"/>
      <c r="EF521" s="687"/>
      <c r="EG521" s="151"/>
      <c r="EH521" s="687"/>
      <c r="EI521" s="151"/>
      <c r="EJ521" s="687"/>
      <c r="EK521" s="151"/>
      <c r="EL521" s="687"/>
      <c r="EM521" s="687"/>
    </row>
    <row r="522" spans="1:143" ht="12.75" hidden="1" customHeight="1" outlineLevel="2" x14ac:dyDescent="0.2">
      <c r="A522" s="701" t="str">
        <f>INPUT!B458</f>
        <v>Tax Rate (%)</v>
      </c>
      <c r="B522" s="156"/>
      <c r="C522" s="687"/>
      <c r="D522" s="156">
        <f>INPUT!BA458</f>
        <v>192.5</v>
      </c>
      <c r="E522" s="687" t="str">
        <f>INPUT!BB458</f>
        <v>NM</v>
      </c>
      <c r="F522" s="156">
        <f>INPUT!BC458</f>
        <v>35.398230088495573</v>
      </c>
      <c r="G522" s="687">
        <f>INPUT!BD458</f>
        <v>-12.168330202415722</v>
      </c>
      <c r="H522" s="156">
        <f>INPUT!BE458</f>
        <v>35.294117647058819</v>
      </c>
      <c r="I522" s="687">
        <f>INPUT!BF458</f>
        <v>-11.569694181650902</v>
      </c>
      <c r="J522" s="156"/>
      <c r="K522" s="687"/>
      <c r="L522" s="156"/>
      <c r="M522" s="687"/>
      <c r="N522" s="156"/>
      <c r="O522" s="687"/>
      <c r="P522" s="156"/>
      <c r="Q522" s="687"/>
      <c r="R522" s="156"/>
      <c r="S522" s="687"/>
      <c r="T522" s="156"/>
      <c r="U522" s="687"/>
      <c r="V522" s="156"/>
      <c r="W522" s="687"/>
      <c r="X522" s="156"/>
      <c r="Y522" s="687"/>
      <c r="Z522" s="156"/>
      <c r="AA522" s="687"/>
      <c r="AB522" s="156"/>
      <c r="AC522" s="687"/>
      <c r="AD522" s="156"/>
      <c r="AE522" s="687"/>
      <c r="AF522" s="156"/>
      <c r="AG522" s="687"/>
      <c r="AH522" s="156"/>
      <c r="AI522" s="687"/>
      <c r="AJ522" s="156"/>
      <c r="AK522" s="687"/>
      <c r="AL522" s="156"/>
      <c r="AM522" s="687"/>
      <c r="AN522" s="156"/>
      <c r="AO522" s="687"/>
      <c r="AP522" s="156"/>
      <c r="AQ522" s="687"/>
      <c r="AR522" s="156"/>
      <c r="AS522" s="687"/>
      <c r="AT522" s="156"/>
      <c r="AU522" s="687"/>
      <c r="AV522" s="156"/>
      <c r="AW522" s="687"/>
      <c r="AX522" s="156"/>
      <c r="AY522" s="687"/>
      <c r="AZ522" s="156"/>
      <c r="BA522" s="687"/>
      <c r="BB522" s="156"/>
      <c r="BC522" s="687"/>
      <c r="BD522" s="156"/>
      <c r="BE522" s="687"/>
      <c r="BF522" s="156"/>
      <c r="BG522" s="687"/>
      <c r="BH522" s="156"/>
      <c r="BI522" s="687"/>
      <c r="BJ522" s="156"/>
      <c r="BK522" s="687"/>
      <c r="BL522" s="156"/>
      <c r="BM522" s="687"/>
      <c r="BN522" s="156"/>
      <c r="BO522" s="687"/>
      <c r="BP522" s="156"/>
      <c r="BQ522" s="687"/>
      <c r="BR522" s="156"/>
      <c r="BS522" s="687"/>
      <c r="BT522" s="156"/>
      <c r="BU522" s="687"/>
      <c r="BV522" s="156"/>
      <c r="BW522" s="687"/>
      <c r="BX522" s="156"/>
      <c r="BY522" s="687"/>
      <c r="BZ522" s="156"/>
      <c r="CA522" s="687"/>
      <c r="CB522" s="156"/>
      <c r="CC522" s="687"/>
      <c r="CD522" s="156"/>
      <c r="CE522" s="687"/>
      <c r="CF522" s="156"/>
      <c r="CG522" s="687"/>
      <c r="CH522" s="156"/>
      <c r="CI522" s="687"/>
      <c r="CJ522" s="156"/>
      <c r="CK522" s="687"/>
      <c r="CL522" s="156"/>
      <c r="CM522" s="687"/>
      <c r="CN522" s="156"/>
      <c r="CO522" s="687"/>
      <c r="CP522" s="156"/>
      <c r="CQ522" s="687"/>
      <c r="CR522" s="156"/>
      <c r="CS522" s="687"/>
      <c r="CT522" s="156"/>
      <c r="CU522" s="687"/>
      <c r="CV522" s="156"/>
      <c r="CW522" s="687"/>
      <c r="CX522" s="156"/>
      <c r="CY522" s="687"/>
      <c r="CZ522" s="156"/>
      <c r="DA522" s="687"/>
      <c r="DB522" s="16"/>
      <c r="DC522" s="156"/>
      <c r="DD522" s="687"/>
      <c r="DE522" s="156">
        <f>INPUT!FR458</f>
        <v>36.455331412103732</v>
      </c>
      <c r="DF522" s="687"/>
      <c r="DG522" s="156"/>
      <c r="DH522" s="687"/>
      <c r="DI522" s="156"/>
      <c r="DJ522" s="687"/>
      <c r="DK522" s="156"/>
      <c r="DL522" s="687"/>
      <c r="DM522" s="156"/>
      <c r="DN522" s="687"/>
      <c r="DO522" s="156"/>
      <c r="DP522" s="687"/>
      <c r="DQ522" s="156"/>
      <c r="DR522" s="687"/>
      <c r="DS522" s="156"/>
      <c r="DT522" s="687"/>
      <c r="DU522" s="156"/>
      <c r="DV522" s="687"/>
      <c r="DW522" s="156"/>
      <c r="DX522" s="687"/>
      <c r="DY522" s="156"/>
      <c r="DZ522" s="687"/>
      <c r="EA522" s="156"/>
      <c r="EB522" s="687"/>
      <c r="EC522" s="156"/>
      <c r="ED522" s="687"/>
      <c r="EE522" s="156"/>
      <c r="EF522" s="687"/>
      <c r="EG522" s="156"/>
      <c r="EH522" s="687"/>
      <c r="EI522" s="156"/>
      <c r="EJ522" s="687"/>
      <c r="EK522" s="156"/>
      <c r="EL522" s="687"/>
      <c r="EM522" s="687"/>
    </row>
    <row r="523" spans="1:143" ht="12.75" hidden="1" customHeight="1" outlineLevel="2" x14ac:dyDescent="0.2">
      <c r="A523" s="708" t="str">
        <f>INPUT!B459</f>
        <v>After-Tax Operating Earnings</v>
      </c>
      <c r="B523" s="708"/>
      <c r="C523" s="709"/>
      <c r="D523" s="708">
        <f>INPUT!BA459</f>
        <v>-3.7</v>
      </c>
      <c r="E523" s="709" t="str">
        <f>INPUT!BB459</f>
        <v>NM</v>
      </c>
      <c r="F523" s="708">
        <f>INPUT!BC459</f>
        <v>14.600000000000001</v>
      </c>
      <c r="G523" s="709">
        <f>INPUT!BD459</f>
        <v>5.0359712230215958</v>
      </c>
      <c r="H523" s="708">
        <f>INPUT!BE459</f>
        <v>17.5</v>
      </c>
      <c r="I523" s="709">
        <f>INPUT!BF459</f>
        <v>-1.1913500084693274</v>
      </c>
      <c r="J523" s="708"/>
      <c r="K523" s="709"/>
      <c r="L523" s="708"/>
      <c r="M523" s="709"/>
      <c r="N523" s="708"/>
      <c r="O523" s="709"/>
      <c r="P523" s="708"/>
      <c r="Q523" s="709"/>
      <c r="R523" s="708"/>
      <c r="S523" s="709"/>
      <c r="T523" s="708"/>
      <c r="U523" s="709"/>
      <c r="V523" s="708"/>
      <c r="W523" s="709"/>
      <c r="X523" s="708"/>
      <c r="Y523" s="709"/>
      <c r="Z523" s="708"/>
      <c r="AA523" s="709"/>
      <c r="AB523" s="708"/>
      <c r="AC523" s="709"/>
      <c r="AD523" s="708"/>
      <c r="AE523" s="709"/>
      <c r="AF523" s="708"/>
      <c r="AG523" s="709"/>
      <c r="AH523" s="708"/>
      <c r="AI523" s="709"/>
      <c r="AJ523" s="708"/>
      <c r="AK523" s="709"/>
      <c r="AL523" s="708"/>
      <c r="AM523" s="709"/>
      <c r="AN523" s="708"/>
      <c r="AO523" s="709"/>
      <c r="AP523" s="708"/>
      <c r="AQ523" s="709"/>
      <c r="AR523" s="708"/>
      <c r="AS523" s="709"/>
      <c r="AT523" s="708"/>
      <c r="AU523" s="709"/>
      <c r="AV523" s="708"/>
      <c r="AW523" s="709"/>
      <c r="AX523" s="708"/>
      <c r="AY523" s="709"/>
      <c r="AZ523" s="708"/>
      <c r="BA523" s="709"/>
      <c r="BB523" s="708"/>
      <c r="BC523" s="709"/>
      <c r="BD523" s="708"/>
      <c r="BE523" s="709"/>
      <c r="BF523" s="708"/>
      <c r="BG523" s="709"/>
      <c r="BH523" s="708"/>
      <c r="BI523" s="709"/>
      <c r="BJ523" s="708"/>
      <c r="BK523" s="709"/>
      <c r="BL523" s="708"/>
      <c r="BM523" s="709"/>
      <c r="BN523" s="708"/>
      <c r="BO523" s="709"/>
      <c r="BP523" s="708"/>
      <c r="BQ523" s="709"/>
      <c r="BR523" s="708"/>
      <c r="BS523" s="709"/>
      <c r="BT523" s="708"/>
      <c r="BU523" s="709"/>
      <c r="BV523" s="708"/>
      <c r="BW523" s="709"/>
      <c r="BX523" s="708"/>
      <c r="BY523" s="709"/>
      <c r="BZ523" s="708"/>
      <c r="CA523" s="709"/>
      <c r="CB523" s="708"/>
      <c r="CC523" s="709"/>
      <c r="CD523" s="708"/>
      <c r="CE523" s="709"/>
      <c r="CF523" s="708"/>
      <c r="CG523" s="709"/>
      <c r="CH523" s="708"/>
      <c r="CI523" s="709"/>
      <c r="CJ523" s="708"/>
      <c r="CK523" s="709"/>
      <c r="CL523" s="708"/>
      <c r="CM523" s="709"/>
      <c r="CN523" s="708"/>
      <c r="CO523" s="709"/>
      <c r="CP523" s="708"/>
      <c r="CQ523" s="709"/>
      <c r="CR523" s="708"/>
      <c r="CS523" s="709"/>
      <c r="CT523" s="708"/>
      <c r="CU523" s="709"/>
      <c r="CV523" s="708"/>
      <c r="CW523" s="709"/>
      <c r="CX523" s="708"/>
      <c r="CY523" s="709"/>
      <c r="CZ523" s="708"/>
      <c r="DA523" s="709"/>
      <c r="DB523" s="710"/>
      <c r="DC523" s="708"/>
      <c r="DD523" s="709"/>
      <c r="DE523" s="708">
        <f>INPUT!FR459</f>
        <v>39.6</v>
      </c>
      <c r="DF523" s="709"/>
      <c r="DG523" s="708"/>
      <c r="DH523" s="709"/>
      <c r="DI523" s="708"/>
      <c r="DJ523" s="709"/>
      <c r="DK523" s="708"/>
      <c r="DL523" s="709"/>
      <c r="DM523" s="708"/>
      <c r="DN523" s="709"/>
      <c r="DO523" s="708"/>
      <c r="DP523" s="709"/>
      <c r="DQ523" s="708"/>
      <c r="DR523" s="709"/>
      <c r="DS523" s="708"/>
      <c r="DT523" s="709"/>
      <c r="DU523" s="708"/>
      <c r="DV523" s="709"/>
      <c r="DW523" s="708"/>
      <c r="DX523" s="709"/>
      <c r="DY523" s="708"/>
      <c r="DZ523" s="709"/>
      <c r="EA523" s="708"/>
      <c r="EB523" s="709"/>
      <c r="EC523" s="708"/>
      <c r="ED523" s="709"/>
      <c r="EE523" s="708"/>
      <c r="EF523" s="709"/>
      <c r="EG523" s="708"/>
      <c r="EH523" s="709"/>
      <c r="EI523" s="708"/>
      <c r="EJ523" s="709"/>
      <c r="EK523" s="708"/>
      <c r="EL523" s="709"/>
      <c r="EM523" s="711"/>
    </row>
    <row r="524" spans="1:143" ht="12.75" hidden="1" customHeight="1" outlineLevel="2" x14ac:dyDescent="0.2">
      <c r="A524" s="701"/>
      <c r="B524" s="16"/>
      <c r="C524" s="687"/>
      <c r="D524" s="16"/>
      <c r="E524" s="687"/>
      <c r="F524" s="16"/>
      <c r="G524" s="687"/>
      <c r="H524" s="16"/>
      <c r="I524" s="687"/>
      <c r="J524" s="16"/>
      <c r="K524" s="687"/>
      <c r="L524" s="16"/>
      <c r="M524" s="687"/>
      <c r="N524" s="16"/>
      <c r="O524" s="687"/>
      <c r="P524" s="16"/>
      <c r="Q524" s="687"/>
      <c r="R524" s="16"/>
      <c r="S524" s="687"/>
      <c r="T524" s="16"/>
      <c r="U524" s="687"/>
      <c r="V524" s="16"/>
      <c r="W524" s="687"/>
      <c r="X524" s="16"/>
      <c r="Y524" s="687"/>
      <c r="Z524" s="16"/>
      <c r="AA524" s="687"/>
      <c r="AB524" s="16"/>
      <c r="AC524" s="687"/>
      <c r="AD524" s="16"/>
      <c r="AE524" s="687"/>
      <c r="AF524" s="16"/>
      <c r="AG524" s="687"/>
      <c r="AH524" s="16"/>
      <c r="AI524" s="687"/>
      <c r="AJ524" s="16"/>
      <c r="AK524" s="687"/>
      <c r="AL524" s="16"/>
      <c r="AM524" s="687"/>
      <c r="AN524" s="16"/>
      <c r="AO524" s="687"/>
      <c r="AP524" s="16"/>
      <c r="AQ524" s="687"/>
      <c r="AR524" s="16"/>
      <c r="AS524" s="687"/>
      <c r="AT524" s="16"/>
      <c r="AU524" s="687"/>
      <c r="AV524" s="16"/>
      <c r="AW524" s="687"/>
      <c r="AX524" s="16"/>
      <c r="AY524" s="687"/>
      <c r="AZ524" s="16"/>
      <c r="BA524" s="687"/>
      <c r="BB524" s="16"/>
      <c r="BC524" s="687"/>
      <c r="BD524" s="16"/>
      <c r="BE524" s="687"/>
      <c r="BF524" s="16"/>
      <c r="BG524" s="687"/>
      <c r="BH524" s="16"/>
      <c r="BI524" s="687"/>
      <c r="BJ524" s="16"/>
      <c r="BK524" s="687"/>
      <c r="BL524" s="16"/>
      <c r="BM524" s="687"/>
      <c r="BN524" s="16"/>
      <c r="BO524" s="687"/>
      <c r="BP524" s="16"/>
      <c r="BQ524" s="687"/>
      <c r="BR524" s="16"/>
      <c r="BS524" s="687"/>
      <c r="BT524" s="16"/>
      <c r="BU524" s="687"/>
      <c r="BV524" s="16"/>
      <c r="BW524" s="687"/>
      <c r="BX524" s="16"/>
      <c r="BY524" s="687"/>
      <c r="BZ524" s="16"/>
      <c r="CA524" s="687"/>
      <c r="CB524" s="16"/>
      <c r="CC524" s="687"/>
      <c r="CD524" s="16"/>
      <c r="CE524" s="687"/>
      <c r="CF524" s="16"/>
      <c r="CG524" s="687"/>
      <c r="CH524" s="16"/>
      <c r="CI524" s="687"/>
      <c r="CJ524" s="16"/>
      <c r="CK524" s="687"/>
      <c r="CL524" s="16"/>
      <c r="CM524" s="687"/>
      <c r="CN524" s="16"/>
      <c r="CO524" s="687"/>
      <c r="CP524" s="16"/>
      <c r="CQ524" s="687"/>
      <c r="CR524" s="16"/>
      <c r="CS524" s="687"/>
      <c r="CT524" s="16"/>
      <c r="CU524" s="687"/>
      <c r="CV524" s="16"/>
      <c r="CW524" s="687"/>
      <c r="CX524" s="16"/>
      <c r="CY524" s="687"/>
      <c r="CZ524" s="16"/>
      <c r="DA524" s="687"/>
      <c r="DB524" s="16"/>
      <c r="DC524" s="16"/>
      <c r="DD524" s="687"/>
      <c r="DE524" s="16"/>
      <c r="DF524" s="687"/>
      <c r="DG524" s="16"/>
      <c r="DH524" s="687"/>
      <c r="DI524" s="16"/>
      <c r="DJ524" s="687"/>
      <c r="DK524" s="16"/>
      <c r="DL524" s="687"/>
      <c r="DM524" s="16"/>
      <c r="DN524" s="687"/>
      <c r="DO524" s="16"/>
      <c r="DP524" s="687"/>
      <c r="DQ524" s="16"/>
      <c r="DR524" s="687"/>
      <c r="DS524" s="16"/>
      <c r="DT524" s="687"/>
      <c r="DU524" s="16"/>
      <c r="DV524" s="687"/>
      <c r="DW524" s="16"/>
      <c r="DX524" s="687"/>
      <c r="DY524" s="16"/>
      <c r="DZ524" s="687"/>
      <c r="EA524" s="16"/>
      <c r="EB524" s="687"/>
      <c r="EC524" s="16"/>
      <c r="ED524" s="687"/>
      <c r="EE524" s="16"/>
      <c r="EF524" s="687"/>
      <c r="EG524" s="16"/>
      <c r="EH524" s="687"/>
      <c r="EI524" s="16"/>
      <c r="EJ524" s="687"/>
      <c r="EK524" s="16"/>
      <c r="EL524" s="687"/>
      <c r="EM524" s="687"/>
    </row>
    <row r="525" spans="1:143" ht="12.75" hidden="1" customHeight="1" outlineLevel="2" x14ac:dyDescent="0.2">
      <c r="A525" s="715" t="s">
        <v>303</v>
      </c>
      <c r="B525" s="16"/>
      <c r="C525" s="687"/>
      <c r="D525" s="16"/>
      <c r="E525" s="687"/>
      <c r="F525" s="16"/>
      <c r="G525" s="687"/>
      <c r="H525" s="16"/>
      <c r="I525" s="687"/>
      <c r="J525" s="16"/>
      <c r="K525" s="687"/>
      <c r="L525" s="16"/>
      <c r="M525" s="687"/>
      <c r="N525" s="16"/>
      <c r="O525" s="687"/>
      <c r="P525" s="16"/>
      <c r="Q525" s="687"/>
      <c r="R525" s="16"/>
      <c r="S525" s="687"/>
      <c r="T525" s="16"/>
      <c r="U525" s="687"/>
      <c r="V525" s="16"/>
      <c r="W525" s="687"/>
      <c r="X525" s="16"/>
      <c r="Y525" s="687"/>
      <c r="Z525" s="16"/>
      <c r="AA525" s="687"/>
      <c r="AB525" s="16"/>
      <c r="AC525" s="687"/>
      <c r="AD525" s="16"/>
      <c r="AE525" s="687"/>
      <c r="AF525" s="16"/>
      <c r="AG525" s="687"/>
      <c r="AH525" s="16"/>
      <c r="AI525" s="687"/>
      <c r="AJ525" s="16"/>
      <c r="AK525" s="687"/>
      <c r="AL525" s="16"/>
      <c r="AM525" s="687"/>
      <c r="AN525" s="16"/>
      <c r="AO525" s="687"/>
      <c r="AP525" s="16"/>
      <c r="AQ525" s="687"/>
      <c r="AR525" s="16"/>
      <c r="AS525" s="687"/>
      <c r="AT525" s="16"/>
      <c r="AU525" s="687"/>
      <c r="AV525" s="16"/>
      <c r="AW525" s="687"/>
      <c r="AX525" s="16"/>
      <c r="AY525" s="687"/>
      <c r="AZ525" s="16"/>
      <c r="BA525" s="687"/>
      <c r="BB525" s="16"/>
      <c r="BC525" s="687"/>
      <c r="BD525" s="16"/>
      <c r="BE525" s="687"/>
      <c r="BF525" s="16"/>
      <c r="BG525" s="687"/>
      <c r="BH525" s="16"/>
      <c r="BI525" s="687"/>
      <c r="BJ525" s="16"/>
      <c r="BK525" s="687"/>
      <c r="BL525" s="16"/>
      <c r="BM525" s="687"/>
      <c r="BN525" s="16"/>
      <c r="BO525" s="687"/>
      <c r="BP525" s="16"/>
      <c r="BQ525" s="687"/>
      <c r="BR525" s="16"/>
      <c r="BS525" s="687"/>
      <c r="BT525" s="16"/>
      <c r="BU525" s="687"/>
      <c r="BV525" s="16"/>
      <c r="BW525" s="687"/>
      <c r="BX525" s="16"/>
      <c r="BY525" s="687"/>
      <c r="BZ525" s="16"/>
      <c r="CA525" s="687"/>
      <c r="CB525" s="16"/>
      <c r="CC525" s="687"/>
      <c r="CD525" s="16"/>
      <c r="CE525" s="687"/>
      <c r="CF525" s="16"/>
      <c r="CG525" s="687"/>
      <c r="CH525" s="16"/>
      <c r="CI525" s="687"/>
      <c r="CJ525" s="16"/>
      <c r="CK525" s="687"/>
      <c r="CL525" s="16"/>
      <c r="CM525" s="687"/>
      <c r="CN525" s="16"/>
      <c r="CO525" s="687"/>
      <c r="CP525" s="16"/>
      <c r="CQ525" s="687"/>
      <c r="CR525" s="16"/>
      <c r="CS525" s="687"/>
      <c r="CT525" s="16"/>
      <c r="CU525" s="687"/>
      <c r="CV525" s="16"/>
      <c r="CW525" s="687"/>
      <c r="CX525" s="16"/>
      <c r="CY525" s="687"/>
      <c r="CZ525" s="16"/>
      <c r="DA525" s="687"/>
      <c r="DB525" s="16"/>
      <c r="DC525" s="16"/>
      <c r="DD525" s="687"/>
      <c r="DE525" s="16"/>
      <c r="DF525" s="687"/>
      <c r="DG525" s="16"/>
      <c r="DH525" s="687"/>
      <c r="DI525" s="16"/>
      <c r="DJ525" s="687"/>
      <c r="DK525" s="16"/>
      <c r="DL525" s="687"/>
      <c r="DM525" s="16"/>
      <c r="DN525" s="687"/>
      <c r="DO525" s="16"/>
      <c r="DP525" s="687"/>
      <c r="DQ525" s="16"/>
      <c r="DR525" s="687"/>
      <c r="DS525" s="16"/>
      <c r="DT525" s="687"/>
      <c r="DU525" s="16"/>
      <c r="DV525" s="687"/>
      <c r="DW525" s="16"/>
      <c r="DX525" s="687"/>
      <c r="DY525" s="16"/>
      <c r="DZ525" s="687"/>
      <c r="EA525" s="16"/>
      <c r="EB525" s="687"/>
      <c r="EC525" s="16"/>
      <c r="ED525" s="687"/>
      <c r="EE525" s="16"/>
      <c r="EF525" s="687"/>
      <c r="EG525" s="16"/>
      <c r="EH525" s="687"/>
      <c r="EI525" s="16"/>
      <c r="EJ525" s="687"/>
      <c r="EK525" s="16"/>
      <c r="EL525" s="687"/>
      <c r="EM525" s="687"/>
    </row>
    <row r="526" spans="1:143" ht="12.75" hidden="1" customHeight="1" outlineLevel="2" x14ac:dyDescent="0.2">
      <c r="A526" s="522" t="s">
        <v>304</v>
      </c>
      <c r="B526" s="464"/>
      <c r="C526" s="687"/>
      <c r="D526" s="464">
        <f>INPUT!BA580</f>
        <v>0</v>
      </c>
      <c r="E526" s="687">
        <f>INPUT!BB580</f>
        <v>0</v>
      </c>
      <c r="F526" s="464">
        <f>INPUT!BC580</f>
        <v>0</v>
      </c>
      <c r="G526" s="687">
        <f>INPUT!BD580</f>
        <v>0</v>
      </c>
      <c r="H526" s="464">
        <f>INPUT!BE580</f>
        <v>0</v>
      </c>
      <c r="I526" s="687">
        <f>INPUT!BF580</f>
        <v>0</v>
      </c>
      <c r="J526" s="464"/>
      <c r="K526" s="687"/>
      <c r="L526" s="464"/>
      <c r="M526" s="687"/>
      <c r="N526" s="464"/>
      <c r="O526" s="687"/>
      <c r="P526" s="464"/>
      <c r="Q526" s="687"/>
      <c r="R526" s="464"/>
      <c r="S526" s="687"/>
      <c r="T526" s="464"/>
      <c r="U526" s="687"/>
      <c r="V526" s="464"/>
      <c r="W526" s="687"/>
      <c r="X526" s="464"/>
      <c r="Y526" s="687"/>
      <c r="Z526" s="464"/>
      <c r="AA526" s="687"/>
      <c r="AB526" s="464"/>
      <c r="AC526" s="687"/>
      <c r="AD526" s="464"/>
      <c r="AE526" s="687"/>
      <c r="AF526" s="464"/>
      <c r="AG526" s="687"/>
      <c r="AH526" s="464"/>
      <c r="AI526" s="687"/>
      <c r="AJ526" s="464"/>
      <c r="AK526" s="687"/>
      <c r="AL526" s="464"/>
      <c r="AM526" s="687"/>
      <c r="AN526" s="464"/>
      <c r="AO526" s="687"/>
      <c r="AP526" s="464"/>
      <c r="AQ526" s="687"/>
      <c r="AR526" s="464"/>
      <c r="AS526" s="687"/>
      <c r="AT526" s="464"/>
      <c r="AU526" s="687"/>
      <c r="AV526" s="464"/>
      <c r="AW526" s="687"/>
      <c r="AX526" s="464"/>
      <c r="AY526" s="687"/>
      <c r="AZ526" s="464"/>
      <c r="BA526" s="687"/>
      <c r="BB526" s="464"/>
      <c r="BC526" s="687"/>
      <c r="BD526" s="464"/>
      <c r="BE526" s="687"/>
      <c r="BF526" s="464"/>
      <c r="BG526" s="687"/>
      <c r="BH526" s="464"/>
      <c r="BI526" s="687"/>
      <c r="BJ526" s="464"/>
      <c r="BK526" s="687"/>
      <c r="BL526" s="464"/>
      <c r="BM526" s="687"/>
      <c r="BN526" s="464"/>
      <c r="BO526" s="687"/>
      <c r="BP526" s="464"/>
      <c r="BQ526" s="687"/>
      <c r="BR526" s="464"/>
      <c r="BS526" s="687"/>
      <c r="BT526" s="464"/>
      <c r="BU526" s="687"/>
      <c r="BV526" s="464"/>
      <c r="BW526" s="687"/>
      <c r="BX526" s="464"/>
      <c r="BY526" s="687"/>
      <c r="BZ526" s="464"/>
      <c r="CA526" s="687"/>
      <c r="CB526" s="464"/>
      <c r="CC526" s="687"/>
      <c r="CD526" s="464"/>
      <c r="CE526" s="687"/>
      <c r="CF526" s="464"/>
      <c r="CG526" s="687"/>
      <c r="CH526" s="464"/>
      <c r="CI526" s="687"/>
      <c r="CJ526" s="464"/>
      <c r="CK526" s="687"/>
      <c r="CL526" s="464"/>
      <c r="CM526" s="687"/>
      <c r="CN526" s="464"/>
      <c r="CO526" s="687"/>
      <c r="CP526" s="464"/>
      <c r="CQ526" s="687"/>
      <c r="CR526" s="464"/>
      <c r="CS526" s="687"/>
      <c r="CT526" s="464"/>
      <c r="CU526" s="687"/>
      <c r="CV526" s="464"/>
      <c r="CW526" s="687"/>
      <c r="CX526" s="464"/>
      <c r="CY526" s="687"/>
      <c r="CZ526" s="464"/>
      <c r="DA526" s="687"/>
      <c r="DB526" s="16"/>
      <c r="DC526" s="464"/>
      <c r="DD526" s="687"/>
      <c r="DE526" s="464">
        <f>INPUT!FR580</f>
        <v>3.2872891486253155</v>
      </c>
      <c r="DF526" s="687"/>
      <c r="DG526" s="464"/>
      <c r="DH526" s="687"/>
      <c r="DI526" s="464"/>
      <c r="DJ526" s="687"/>
      <c r="DK526" s="464"/>
      <c r="DL526" s="687"/>
      <c r="DM526" s="464"/>
      <c r="DN526" s="687"/>
      <c r="DO526" s="464"/>
      <c r="DP526" s="687"/>
      <c r="DQ526" s="464"/>
      <c r="DR526" s="687"/>
      <c r="DS526" s="464"/>
      <c r="DT526" s="687"/>
      <c r="DU526" s="464"/>
      <c r="DV526" s="687"/>
      <c r="DW526" s="464"/>
      <c r="DX526" s="687"/>
      <c r="DY526" s="464"/>
      <c r="DZ526" s="687"/>
      <c r="EA526" s="464"/>
      <c r="EB526" s="687"/>
      <c r="EC526" s="464"/>
      <c r="ED526" s="687"/>
      <c r="EE526" s="464"/>
      <c r="EF526" s="687"/>
      <c r="EG526" s="464"/>
      <c r="EH526" s="687"/>
      <c r="EI526" s="464"/>
      <c r="EJ526" s="687"/>
      <c r="EK526" s="464"/>
      <c r="EL526" s="687"/>
      <c r="EM526" s="687"/>
    </row>
    <row r="527" spans="1:143" ht="12.75" hidden="1" customHeight="1" outlineLevel="2" x14ac:dyDescent="0.2">
      <c r="A527" s="700"/>
      <c r="B527" s="16"/>
      <c r="C527" s="687"/>
      <c r="D527" s="16"/>
      <c r="E527" s="687"/>
      <c r="F527" s="16"/>
      <c r="G527" s="687"/>
      <c r="H527" s="16"/>
      <c r="I527" s="687"/>
      <c r="J527" s="16"/>
      <c r="K527" s="687"/>
      <c r="L527" s="16"/>
      <c r="M527" s="687"/>
      <c r="N527" s="16"/>
      <c r="O527" s="687"/>
      <c r="P527" s="16"/>
      <c r="Q527" s="687"/>
      <c r="R527" s="16"/>
      <c r="S527" s="687"/>
      <c r="T527" s="16"/>
      <c r="U527" s="687"/>
      <c r="V527" s="16"/>
      <c r="W527" s="687"/>
      <c r="X527" s="16"/>
      <c r="Y527" s="687"/>
      <c r="Z527" s="16"/>
      <c r="AA527" s="687"/>
      <c r="AB527" s="16"/>
      <c r="AC527" s="687"/>
      <c r="AD527" s="16"/>
      <c r="AE527" s="687"/>
      <c r="AF527" s="16"/>
      <c r="AG527" s="687"/>
      <c r="AH527" s="16"/>
      <c r="AI527" s="687"/>
      <c r="AJ527" s="16"/>
      <c r="AK527" s="687"/>
      <c r="AL527" s="16"/>
      <c r="AM527" s="687"/>
      <c r="AN527" s="16"/>
      <c r="AO527" s="687"/>
      <c r="AP527" s="16"/>
      <c r="AQ527" s="687"/>
      <c r="AR527" s="16"/>
      <c r="AS527" s="687"/>
      <c r="AT527" s="16"/>
      <c r="AU527" s="687"/>
      <c r="AV527" s="16"/>
      <c r="AW527" s="687"/>
      <c r="AX527" s="16"/>
      <c r="AY527" s="687"/>
      <c r="AZ527" s="16"/>
      <c r="BA527" s="687"/>
      <c r="BB527" s="16"/>
      <c r="BC527" s="687"/>
      <c r="BD527" s="16"/>
      <c r="BE527" s="687"/>
      <c r="BF527" s="16"/>
      <c r="BG527" s="687"/>
      <c r="BH527" s="16"/>
      <c r="BI527" s="687"/>
      <c r="BJ527" s="16"/>
      <c r="BK527" s="687"/>
      <c r="BL527" s="16"/>
      <c r="BM527" s="687"/>
      <c r="BN527" s="16"/>
      <c r="BO527" s="687"/>
      <c r="BP527" s="16"/>
      <c r="BQ527" s="687"/>
      <c r="BR527" s="16"/>
      <c r="BS527" s="687"/>
      <c r="BT527" s="16"/>
      <c r="BU527" s="687"/>
      <c r="BV527" s="16"/>
      <c r="BW527" s="687"/>
      <c r="BX527" s="16"/>
      <c r="BY527" s="687"/>
      <c r="BZ527" s="16"/>
      <c r="CA527" s="687"/>
      <c r="CB527" s="16"/>
      <c r="CC527" s="687"/>
      <c r="CD527" s="16"/>
      <c r="CE527" s="687"/>
      <c r="CF527" s="16"/>
      <c r="CG527" s="687"/>
      <c r="CH527" s="16"/>
      <c r="CI527" s="687"/>
      <c r="CJ527" s="16"/>
      <c r="CK527" s="687"/>
      <c r="CL527" s="16"/>
      <c r="CM527" s="687"/>
      <c r="CN527" s="16"/>
      <c r="CO527" s="687"/>
      <c r="CP527" s="16"/>
      <c r="CQ527" s="687"/>
      <c r="CR527" s="16"/>
      <c r="CS527" s="687"/>
      <c r="CT527" s="16"/>
      <c r="CU527" s="687"/>
      <c r="CV527" s="16"/>
      <c r="CW527" s="687"/>
      <c r="CX527" s="16"/>
      <c r="CY527" s="687"/>
      <c r="CZ527" s="16"/>
      <c r="DA527" s="687"/>
      <c r="DB527" s="16"/>
      <c r="DC527" s="16"/>
      <c r="DD527" s="687"/>
      <c r="DE527" s="16"/>
      <c r="DF527" s="687"/>
      <c r="DG527" s="16"/>
      <c r="DH527" s="687"/>
      <c r="DI527" s="16"/>
      <c r="DJ527" s="687"/>
      <c r="DK527" s="16"/>
      <c r="DL527" s="687"/>
      <c r="DM527" s="16"/>
      <c r="DN527" s="687"/>
      <c r="DO527" s="16"/>
      <c r="DP527" s="687"/>
      <c r="DQ527" s="16"/>
      <c r="DR527" s="687"/>
      <c r="DS527" s="16"/>
      <c r="DT527" s="687"/>
      <c r="DU527" s="16"/>
      <c r="DV527" s="687"/>
      <c r="DW527" s="16"/>
      <c r="DX527" s="687"/>
      <c r="DY527" s="16"/>
      <c r="DZ527" s="687"/>
      <c r="EA527" s="16"/>
      <c r="EB527" s="687"/>
      <c r="EC527" s="16"/>
      <c r="ED527" s="687"/>
      <c r="EE527" s="16"/>
      <c r="EF527" s="687"/>
      <c r="EG527" s="16"/>
      <c r="EH527" s="687"/>
      <c r="EI527" s="16"/>
      <c r="EJ527" s="687"/>
      <c r="EK527" s="16"/>
      <c r="EL527" s="687"/>
      <c r="EM527" s="687"/>
    </row>
    <row r="528" spans="1:143" ht="12.75" hidden="1" customHeight="1" outlineLevel="2" x14ac:dyDescent="0.2">
      <c r="A528" s="700" t="str">
        <f>INPUT!B464</f>
        <v>Profitability Analysis</v>
      </c>
      <c r="B528" s="16"/>
      <c r="C528" s="687"/>
      <c r="D528" s="16"/>
      <c r="E528" s="687"/>
      <c r="F528" s="16"/>
      <c r="G528" s="687"/>
      <c r="H528" s="16"/>
      <c r="I528" s="687"/>
      <c r="J528" s="16"/>
      <c r="K528" s="687"/>
      <c r="L528" s="16"/>
      <c r="M528" s="687"/>
      <c r="N528" s="16"/>
      <c r="O528" s="687"/>
      <c r="P528" s="16"/>
      <c r="Q528" s="687"/>
      <c r="R528" s="16"/>
      <c r="S528" s="687"/>
      <c r="T528" s="16"/>
      <c r="U528" s="687"/>
      <c r="V528" s="16"/>
      <c r="W528" s="687"/>
      <c r="X528" s="16"/>
      <c r="Y528" s="687"/>
      <c r="Z528" s="16"/>
      <c r="AA528" s="687"/>
      <c r="AB528" s="16"/>
      <c r="AC528" s="687"/>
      <c r="AD528" s="16"/>
      <c r="AE528" s="687"/>
      <c r="AF528" s="16"/>
      <c r="AG528" s="687"/>
      <c r="AH528" s="16"/>
      <c r="AI528" s="687"/>
      <c r="AJ528" s="16"/>
      <c r="AK528" s="687"/>
      <c r="AL528" s="16"/>
      <c r="AM528" s="687"/>
      <c r="AN528" s="16"/>
      <c r="AO528" s="687"/>
      <c r="AP528" s="16"/>
      <c r="AQ528" s="687"/>
      <c r="AR528" s="16"/>
      <c r="AS528" s="687"/>
      <c r="AT528" s="16"/>
      <c r="AU528" s="687"/>
      <c r="AV528" s="16"/>
      <c r="AW528" s="687"/>
      <c r="AX528" s="16"/>
      <c r="AY528" s="687"/>
      <c r="AZ528" s="16"/>
      <c r="BA528" s="687"/>
      <c r="BB528" s="16"/>
      <c r="BC528" s="687"/>
      <c r="BD528" s="16"/>
      <c r="BE528" s="687"/>
      <c r="BF528" s="16"/>
      <c r="BG528" s="687"/>
      <c r="BH528" s="16"/>
      <c r="BI528" s="687"/>
      <c r="BJ528" s="16"/>
      <c r="BK528" s="687"/>
      <c r="BL528" s="16"/>
      <c r="BM528" s="687"/>
      <c r="BN528" s="16"/>
      <c r="BO528" s="687"/>
      <c r="BP528" s="16"/>
      <c r="BQ528" s="687"/>
      <c r="BR528" s="16"/>
      <c r="BS528" s="687"/>
      <c r="BT528" s="16"/>
      <c r="BU528" s="687"/>
      <c r="BV528" s="16"/>
      <c r="BW528" s="687"/>
      <c r="BX528" s="16"/>
      <c r="BY528" s="687"/>
      <c r="BZ528" s="16"/>
      <c r="CA528" s="687"/>
      <c r="CB528" s="16"/>
      <c r="CC528" s="687"/>
      <c r="CD528" s="16"/>
      <c r="CE528" s="687"/>
      <c r="CF528" s="16"/>
      <c r="CG528" s="687"/>
      <c r="CH528" s="16"/>
      <c r="CI528" s="687"/>
      <c r="CJ528" s="16"/>
      <c r="CK528" s="687"/>
      <c r="CL528" s="16"/>
      <c r="CM528" s="687"/>
      <c r="CN528" s="16"/>
      <c r="CO528" s="687"/>
      <c r="CP528" s="16"/>
      <c r="CQ528" s="687"/>
      <c r="CR528" s="16"/>
      <c r="CS528" s="687"/>
      <c r="CT528" s="16"/>
      <c r="CU528" s="687"/>
      <c r="CV528" s="16"/>
      <c r="CW528" s="687"/>
      <c r="CX528" s="16"/>
      <c r="CY528" s="687"/>
      <c r="CZ528" s="16"/>
      <c r="DA528" s="687"/>
      <c r="DB528" s="16"/>
      <c r="DC528" s="16"/>
      <c r="DD528" s="687"/>
      <c r="DE528" s="16"/>
      <c r="DF528" s="687"/>
      <c r="DG528" s="16"/>
      <c r="DH528" s="687"/>
      <c r="DI528" s="16"/>
      <c r="DJ528" s="687"/>
      <c r="DK528" s="16"/>
      <c r="DL528" s="687"/>
      <c r="DM528" s="16"/>
      <c r="DN528" s="687"/>
      <c r="DO528" s="16"/>
      <c r="DP528" s="687"/>
      <c r="DQ528" s="16"/>
      <c r="DR528" s="687"/>
      <c r="DS528" s="16"/>
      <c r="DT528" s="687"/>
      <c r="DU528" s="16"/>
      <c r="DV528" s="687"/>
      <c r="DW528" s="16"/>
      <c r="DX528" s="687"/>
      <c r="DY528" s="16"/>
      <c r="DZ528" s="687"/>
      <c r="EA528" s="16"/>
      <c r="EB528" s="687"/>
      <c r="EC528" s="16"/>
      <c r="ED528" s="687"/>
      <c r="EE528" s="16"/>
      <c r="EF528" s="687"/>
      <c r="EG528" s="16"/>
      <c r="EH528" s="687"/>
      <c r="EI528" s="16"/>
      <c r="EJ528" s="687"/>
      <c r="EK528" s="16"/>
      <c r="EL528" s="687"/>
      <c r="EM528" s="687"/>
    </row>
    <row r="529" spans="1:152" ht="12.75" hidden="1" customHeight="1" outlineLevel="2" x14ac:dyDescent="0.2">
      <c r="A529" s="701" t="str">
        <f>INPUT!B465</f>
        <v>Pretax Margin on Revenues (%)</v>
      </c>
      <c r="B529" s="156"/>
      <c r="C529" s="687"/>
      <c r="D529" s="156">
        <f>INPUT!BA465</f>
        <v>6.9565217391304346</v>
      </c>
      <c r="E529" s="687" t="str">
        <f>INPUT!BB465</f>
        <v>NM</v>
      </c>
      <c r="F529" s="156">
        <f>INPUT!BC465</f>
        <v>37.792642140468232</v>
      </c>
      <c r="G529" s="687">
        <f>INPUT!BD465</f>
        <v>-3.9180018833895658</v>
      </c>
      <c r="H529" s="156">
        <f>INPUT!BE465</f>
        <v>38.857142857142861</v>
      </c>
      <c r="I529" s="687">
        <f>INPUT!BF465</f>
        <v>-8.6385847570580214</v>
      </c>
      <c r="J529" s="156"/>
      <c r="K529" s="687"/>
      <c r="L529" s="156"/>
      <c r="M529" s="687"/>
      <c r="N529" s="156"/>
      <c r="O529" s="687"/>
      <c r="P529" s="156"/>
      <c r="Q529" s="687"/>
      <c r="R529" s="156"/>
      <c r="S529" s="687"/>
      <c r="T529" s="156"/>
      <c r="U529" s="687"/>
      <c r="V529" s="156"/>
      <c r="W529" s="687"/>
      <c r="X529" s="156"/>
      <c r="Y529" s="687"/>
      <c r="Z529" s="156"/>
      <c r="AA529" s="687"/>
      <c r="AB529" s="156"/>
      <c r="AC529" s="687"/>
      <c r="AD529" s="156"/>
      <c r="AE529" s="687"/>
      <c r="AF529" s="156"/>
      <c r="AG529" s="687"/>
      <c r="AH529" s="156"/>
      <c r="AI529" s="687"/>
      <c r="AJ529" s="156"/>
      <c r="AK529" s="687"/>
      <c r="AL529" s="156"/>
      <c r="AM529" s="687"/>
      <c r="AN529" s="156"/>
      <c r="AO529" s="687"/>
      <c r="AP529" s="156"/>
      <c r="AQ529" s="687"/>
      <c r="AR529" s="156"/>
      <c r="AS529" s="687"/>
      <c r="AT529" s="156"/>
      <c r="AU529" s="687"/>
      <c r="AV529" s="156"/>
      <c r="AW529" s="687"/>
      <c r="AX529" s="156"/>
      <c r="AY529" s="687"/>
      <c r="AZ529" s="156"/>
      <c r="BA529" s="687"/>
      <c r="BB529" s="156"/>
      <c r="BC529" s="687"/>
      <c r="BD529" s="156"/>
      <c r="BE529" s="687"/>
      <c r="BF529" s="156"/>
      <c r="BG529" s="687"/>
      <c r="BH529" s="156"/>
      <c r="BI529" s="687"/>
      <c r="BJ529" s="156"/>
      <c r="BK529" s="687"/>
      <c r="BL529" s="156"/>
      <c r="BM529" s="687"/>
      <c r="BN529" s="156"/>
      <c r="BO529" s="687"/>
      <c r="BP529" s="156"/>
      <c r="BQ529" s="687"/>
      <c r="BR529" s="156"/>
      <c r="BS529" s="687"/>
      <c r="BT529" s="156"/>
      <c r="BU529" s="687"/>
      <c r="BV529" s="156"/>
      <c r="BW529" s="687"/>
      <c r="BX529" s="156"/>
      <c r="BY529" s="687"/>
      <c r="BZ529" s="156"/>
      <c r="CA529" s="687"/>
      <c r="CB529" s="156"/>
      <c r="CC529" s="687"/>
      <c r="CD529" s="156"/>
      <c r="CE529" s="687"/>
      <c r="CF529" s="156"/>
      <c r="CG529" s="687"/>
      <c r="CH529" s="156"/>
      <c r="CI529" s="687"/>
      <c r="CJ529" s="156"/>
      <c r="CK529" s="687"/>
      <c r="CL529" s="156"/>
      <c r="CM529" s="687"/>
      <c r="CN529" s="156"/>
      <c r="CO529" s="687"/>
      <c r="CP529" s="156"/>
      <c r="CQ529" s="687"/>
      <c r="CR529" s="156"/>
      <c r="CS529" s="687"/>
      <c r="CT529" s="156"/>
      <c r="CU529" s="687"/>
      <c r="CV529" s="156"/>
      <c r="CW529" s="687"/>
      <c r="CX529" s="156"/>
      <c r="CY529" s="687"/>
      <c r="CZ529" s="156"/>
      <c r="DA529" s="687"/>
      <c r="DB529" s="16"/>
      <c r="DC529" s="156"/>
      <c r="DD529" s="687"/>
      <c r="DE529" s="156">
        <f>INPUT!FR465</f>
        <v>37.05285638013882</v>
      </c>
      <c r="DF529" s="687"/>
      <c r="DG529" s="156"/>
      <c r="DH529" s="687"/>
      <c r="DI529" s="156"/>
      <c r="DJ529" s="687"/>
      <c r="DK529" s="156"/>
      <c r="DL529" s="687"/>
      <c r="DM529" s="156"/>
      <c r="DN529" s="687"/>
      <c r="DO529" s="156"/>
      <c r="DP529" s="687"/>
      <c r="DQ529" s="156"/>
      <c r="DR529" s="687"/>
      <c r="DS529" s="156"/>
      <c r="DT529" s="687"/>
      <c r="DU529" s="156"/>
      <c r="DV529" s="687"/>
      <c r="DW529" s="156"/>
      <c r="DX529" s="687"/>
      <c r="DY529" s="156"/>
      <c r="DZ529" s="687"/>
      <c r="EA529" s="156"/>
      <c r="EB529" s="687"/>
      <c r="EC529" s="156"/>
      <c r="ED529" s="687"/>
      <c r="EE529" s="156"/>
      <c r="EF529" s="687"/>
      <c r="EG529" s="156"/>
      <c r="EH529" s="687"/>
      <c r="EI529" s="156"/>
      <c r="EJ529" s="687"/>
      <c r="EK529" s="156"/>
      <c r="EL529" s="687"/>
      <c r="EM529" s="687"/>
    </row>
    <row r="530" spans="1:152" ht="12.75" hidden="1" customHeight="1" outlineLevel="2" x14ac:dyDescent="0.2">
      <c r="A530" s="701" t="str">
        <f>INPUT!B466</f>
        <v>After-Tax Margin on Revenues (%)</v>
      </c>
      <c r="B530" s="156"/>
      <c r="C530" s="687"/>
      <c r="D530" s="156">
        <f>INPUT!BA466</f>
        <v>-6.4347826086956523</v>
      </c>
      <c r="E530" s="687" t="str">
        <f>INPUT!BB466</f>
        <v>NM</v>
      </c>
      <c r="F530" s="156">
        <f>INPUT!BC466</f>
        <v>24.414715719063548</v>
      </c>
      <c r="G530" s="687">
        <f>INPUT!BD466</f>
        <v>3.9750727845817124</v>
      </c>
      <c r="H530" s="156">
        <f>INPUT!BE466</f>
        <v>25</v>
      </c>
      <c r="I530" s="687">
        <f>INPUT!BF466</f>
        <v>-2.1766134040991481</v>
      </c>
      <c r="J530" s="156"/>
      <c r="K530" s="687"/>
      <c r="L530" s="156"/>
      <c r="M530" s="687"/>
      <c r="N530" s="156"/>
      <c r="O530" s="687"/>
      <c r="P530" s="156"/>
      <c r="Q530" s="687"/>
      <c r="R530" s="156"/>
      <c r="S530" s="687"/>
      <c r="T530" s="156"/>
      <c r="U530" s="687"/>
      <c r="V530" s="156"/>
      <c r="W530" s="687"/>
      <c r="X530" s="156"/>
      <c r="Y530" s="687"/>
      <c r="Z530" s="156"/>
      <c r="AA530" s="687"/>
      <c r="AB530" s="156"/>
      <c r="AC530" s="687"/>
      <c r="AD530" s="156"/>
      <c r="AE530" s="687"/>
      <c r="AF530" s="156"/>
      <c r="AG530" s="687"/>
      <c r="AH530" s="156"/>
      <c r="AI530" s="687"/>
      <c r="AJ530" s="156"/>
      <c r="AK530" s="687"/>
      <c r="AL530" s="156"/>
      <c r="AM530" s="687"/>
      <c r="AN530" s="156"/>
      <c r="AO530" s="687"/>
      <c r="AP530" s="156"/>
      <c r="AQ530" s="687"/>
      <c r="AR530" s="156"/>
      <c r="AS530" s="687"/>
      <c r="AT530" s="156"/>
      <c r="AU530" s="687"/>
      <c r="AV530" s="156"/>
      <c r="AW530" s="687"/>
      <c r="AX530" s="156"/>
      <c r="AY530" s="687"/>
      <c r="AZ530" s="156"/>
      <c r="BA530" s="687"/>
      <c r="BB530" s="156"/>
      <c r="BC530" s="687"/>
      <c r="BD530" s="156"/>
      <c r="BE530" s="687"/>
      <c r="BF530" s="156"/>
      <c r="BG530" s="687"/>
      <c r="BH530" s="156"/>
      <c r="BI530" s="687"/>
      <c r="BJ530" s="156"/>
      <c r="BK530" s="687"/>
      <c r="BL530" s="156"/>
      <c r="BM530" s="687"/>
      <c r="BN530" s="156"/>
      <c r="BO530" s="687"/>
      <c r="BP530" s="156"/>
      <c r="BQ530" s="687"/>
      <c r="BR530" s="156"/>
      <c r="BS530" s="687"/>
      <c r="BT530" s="156"/>
      <c r="BU530" s="687"/>
      <c r="BV530" s="156"/>
      <c r="BW530" s="687"/>
      <c r="BX530" s="156"/>
      <c r="BY530" s="687"/>
      <c r="BZ530" s="156"/>
      <c r="CA530" s="687"/>
      <c r="CB530" s="156"/>
      <c r="CC530" s="687"/>
      <c r="CD530" s="156"/>
      <c r="CE530" s="687"/>
      <c r="CF530" s="156"/>
      <c r="CG530" s="687"/>
      <c r="CH530" s="156"/>
      <c r="CI530" s="687"/>
      <c r="CJ530" s="156"/>
      <c r="CK530" s="687"/>
      <c r="CL530" s="156"/>
      <c r="CM530" s="687"/>
      <c r="CN530" s="156"/>
      <c r="CO530" s="687"/>
      <c r="CP530" s="156"/>
      <c r="CQ530" s="687"/>
      <c r="CR530" s="156"/>
      <c r="CS530" s="687"/>
      <c r="CT530" s="156"/>
      <c r="CU530" s="687"/>
      <c r="CV530" s="156"/>
      <c r="CW530" s="687"/>
      <c r="CX530" s="156"/>
      <c r="CY530" s="687"/>
      <c r="CZ530" s="156"/>
      <c r="DA530" s="687"/>
      <c r="DB530" s="16"/>
      <c r="DC530" s="156"/>
      <c r="DD530" s="687"/>
      <c r="DE530" s="156">
        <f>INPUT!FR466</f>
        <v>21.142552055525893</v>
      </c>
      <c r="DF530" s="687"/>
      <c r="DG530" s="156"/>
      <c r="DH530" s="687"/>
      <c r="DI530" s="156"/>
      <c r="DJ530" s="687"/>
      <c r="DK530" s="156"/>
      <c r="DL530" s="687"/>
      <c r="DM530" s="156"/>
      <c r="DN530" s="687"/>
      <c r="DO530" s="156"/>
      <c r="DP530" s="687"/>
      <c r="DQ530" s="156"/>
      <c r="DR530" s="687"/>
      <c r="DS530" s="156"/>
      <c r="DT530" s="687"/>
      <c r="DU530" s="156"/>
      <c r="DV530" s="687"/>
      <c r="DW530" s="156"/>
      <c r="DX530" s="687"/>
      <c r="DY530" s="156"/>
      <c r="DZ530" s="687"/>
      <c r="EA530" s="156"/>
      <c r="EB530" s="687"/>
      <c r="EC530" s="156"/>
      <c r="ED530" s="687"/>
      <c r="EE530" s="156"/>
      <c r="EF530" s="687"/>
      <c r="EG530" s="156"/>
      <c r="EH530" s="687"/>
      <c r="EI530" s="156"/>
      <c r="EJ530" s="687"/>
      <c r="EK530" s="156"/>
      <c r="EL530" s="687"/>
      <c r="EM530" s="687"/>
    </row>
    <row r="531" spans="1:152" ht="12.75" hidden="1" customHeight="1" outlineLevel="2" x14ac:dyDescent="0.2">
      <c r="A531" s="701"/>
      <c r="B531" s="16"/>
      <c r="C531" s="687"/>
      <c r="D531" s="16"/>
      <c r="E531" s="687"/>
      <c r="F531" s="16"/>
      <c r="G531" s="687"/>
      <c r="H531" s="16"/>
      <c r="I531" s="687"/>
      <c r="J531" s="16"/>
      <c r="K531" s="687"/>
      <c r="L531" s="16"/>
      <c r="M531" s="687"/>
      <c r="N531" s="16"/>
      <c r="O531" s="687"/>
      <c r="P531" s="16"/>
      <c r="Q531" s="687"/>
      <c r="R531" s="16"/>
      <c r="S531" s="687"/>
      <c r="T531" s="16"/>
      <c r="U531" s="687"/>
      <c r="V531" s="16"/>
      <c r="W531" s="687"/>
      <c r="X531" s="16"/>
      <c r="Y531" s="687"/>
      <c r="Z531" s="16"/>
      <c r="AA531" s="687"/>
      <c r="AB531" s="16"/>
      <c r="AC531" s="687"/>
      <c r="AD531" s="16"/>
      <c r="AE531" s="687"/>
      <c r="AF531" s="16"/>
      <c r="AG531" s="687"/>
      <c r="AH531" s="16"/>
      <c r="AI531" s="687"/>
      <c r="AJ531" s="16"/>
      <c r="AK531" s="687"/>
      <c r="AL531" s="16"/>
      <c r="AM531" s="687"/>
      <c r="AN531" s="16"/>
      <c r="AO531" s="687"/>
      <c r="AP531" s="16"/>
      <c r="AQ531" s="687"/>
      <c r="AR531" s="16"/>
      <c r="AS531" s="687"/>
      <c r="AT531" s="16"/>
      <c r="AU531" s="687"/>
      <c r="AV531" s="16"/>
      <c r="AW531" s="687"/>
      <c r="AX531" s="16"/>
      <c r="AY531" s="687"/>
      <c r="AZ531" s="16"/>
      <c r="BA531" s="687"/>
      <c r="BB531" s="16"/>
      <c r="BC531" s="687"/>
      <c r="BD531" s="16"/>
      <c r="BE531" s="687"/>
      <c r="BF531" s="16"/>
      <c r="BG531" s="687"/>
      <c r="BH531" s="16"/>
      <c r="BI531" s="687"/>
      <c r="BJ531" s="16"/>
      <c r="BK531" s="687"/>
      <c r="BL531" s="16"/>
      <c r="BM531" s="687"/>
      <c r="BN531" s="16"/>
      <c r="BO531" s="687"/>
      <c r="BP531" s="16"/>
      <c r="BQ531" s="687"/>
      <c r="BR531" s="16"/>
      <c r="BS531" s="687"/>
      <c r="BT531" s="16"/>
      <c r="BU531" s="687"/>
      <c r="BV531" s="16"/>
      <c r="BW531" s="687"/>
      <c r="BX531" s="16"/>
      <c r="BY531" s="687"/>
      <c r="BZ531" s="16"/>
      <c r="CA531" s="687"/>
      <c r="CB531" s="16"/>
      <c r="CC531" s="687"/>
      <c r="CD531" s="16"/>
      <c r="CE531" s="687"/>
      <c r="CF531" s="16"/>
      <c r="CG531" s="687"/>
      <c r="CH531" s="16"/>
      <c r="CI531" s="687"/>
      <c r="CJ531" s="16"/>
      <c r="CK531" s="687"/>
      <c r="CL531" s="16"/>
      <c r="CM531" s="687"/>
      <c r="CN531" s="16"/>
      <c r="CO531" s="687"/>
      <c r="CP531" s="16"/>
      <c r="CQ531" s="687"/>
      <c r="CR531" s="16"/>
      <c r="CS531" s="687"/>
      <c r="CT531" s="16"/>
      <c r="CU531" s="687"/>
      <c r="CV531" s="16"/>
      <c r="CW531" s="687"/>
      <c r="CX531" s="16"/>
      <c r="CY531" s="687"/>
      <c r="CZ531" s="16"/>
      <c r="DA531" s="687"/>
      <c r="DB531" s="16"/>
      <c r="DC531" s="16"/>
      <c r="DD531" s="687"/>
      <c r="DE531" s="16"/>
      <c r="DF531" s="687"/>
      <c r="DG531" s="16"/>
      <c r="DH531" s="687"/>
      <c r="DI531" s="16"/>
      <c r="DJ531" s="687"/>
      <c r="DK531" s="16"/>
      <c r="DL531" s="687"/>
      <c r="DM531" s="16"/>
      <c r="DN531" s="687"/>
      <c r="DO531" s="16"/>
      <c r="DP531" s="687"/>
      <c r="DQ531" s="16"/>
      <c r="DR531" s="687"/>
      <c r="DS531" s="16"/>
      <c r="DT531" s="687"/>
      <c r="DU531" s="16"/>
      <c r="DV531" s="687"/>
      <c r="DW531" s="16"/>
      <c r="DX531" s="687"/>
      <c r="DY531" s="16"/>
      <c r="DZ531" s="687"/>
      <c r="EA531" s="16"/>
      <c r="EB531" s="687"/>
      <c r="EC531" s="16"/>
      <c r="ED531" s="687"/>
      <c r="EE531" s="16"/>
      <c r="EF531" s="687"/>
      <c r="EG531" s="16"/>
      <c r="EH531" s="687"/>
      <c r="EI531" s="16"/>
      <c r="EJ531" s="687"/>
      <c r="EK531" s="16"/>
      <c r="EL531" s="687"/>
      <c r="EM531" s="687"/>
    </row>
    <row r="532" spans="1:152" ht="12.75" hidden="1" customHeight="1" outlineLevel="2" x14ac:dyDescent="0.2">
      <c r="A532" s="700" t="str">
        <f>INPUT!B448</f>
        <v>Expense Analysis</v>
      </c>
      <c r="B532" s="16"/>
      <c r="C532" s="687"/>
      <c r="D532" s="16"/>
      <c r="E532" s="687"/>
      <c r="F532" s="16"/>
      <c r="G532" s="687"/>
      <c r="H532" s="16"/>
      <c r="I532" s="687"/>
      <c r="J532" s="16"/>
      <c r="K532" s="687"/>
      <c r="L532" s="16"/>
      <c r="M532" s="687"/>
      <c r="N532" s="16"/>
      <c r="O532" s="687"/>
      <c r="P532" s="16"/>
      <c r="Q532" s="687"/>
      <c r="R532" s="16"/>
      <c r="S532" s="687"/>
      <c r="T532" s="16"/>
      <c r="U532" s="687"/>
      <c r="V532" s="16"/>
      <c r="W532" s="687"/>
      <c r="X532" s="16"/>
      <c r="Y532" s="687"/>
      <c r="Z532" s="16"/>
      <c r="AA532" s="687"/>
      <c r="AB532" s="16"/>
      <c r="AC532" s="687"/>
      <c r="AD532" s="16"/>
      <c r="AE532" s="687"/>
      <c r="AF532" s="16"/>
      <c r="AG532" s="687"/>
      <c r="AH532" s="16"/>
      <c r="AI532" s="687"/>
      <c r="AJ532" s="16"/>
      <c r="AK532" s="687"/>
      <c r="AL532" s="16"/>
      <c r="AM532" s="687"/>
      <c r="AN532" s="16"/>
      <c r="AO532" s="687"/>
      <c r="AP532" s="16"/>
      <c r="AQ532" s="687"/>
      <c r="AR532" s="16"/>
      <c r="AS532" s="687"/>
      <c r="AT532" s="16"/>
      <c r="AU532" s="687"/>
      <c r="AV532" s="16"/>
      <c r="AW532" s="687"/>
      <c r="AX532" s="16"/>
      <c r="AY532" s="687"/>
      <c r="AZ532" s="16"/>
      <c r="BA532" s="687"/>
      <c r="BB532" s="16"/>
      <c r="BC532" s="687"/>
      <c r="BD532" s="16"/>
      <c r="BE532" s="687"/>
      <c r="BF532" s="16"/>
      <c r="BG532" s="687"/>
      <c r="BH532" s="16"/>
      <c r="BI532" s="687"/>
      <c r="BJ532" s="16"/>
      <c r="BK532" s="687"/>
      <c r="BL532" s="16"/>
      <c r="BM532" s="687"/>
      <c r="BN532" s="16"/>
      <c r="BO532" s="687"/>
      <c r="BP532" s="16"/>
      <c r="BQ532" s="687"/>
      <c r="BR532" s="16"/>
      <c r="BS532" s="687"/>
      <c r="BT532" s="16"/>
      <c r="BU532" s="687"/>
      <c r="BV532" s="16"/>
      <c r="BW532" s="687"/>
      <c r="BX532" s="16"/>
      <c r="BY532" s="687"/>
      <c r="BZ532" s="16"/>
      <c r="CA532" s="687"/>
      <c r="CB532" s="16"/>
      <c r="CC532" s="687"/>
      <c r="CD532" s="16"/>
      <c r="CE532" s="687"/>
      <c r="CF532" s="16"/>
      <c r="CG532" s="687"/>
      <c r="CH532" s="16"/>
      <c r="CI532" s="687"/>
      <c r="CJ532" s="16"/>
      <c r="CK532" s="687"/>
      <c r="CL532" s="16"/>
      <c r="CM532" s="687"/>
      <c r="CN532" s="16"/>
      <c r="CO532" s="687"/>
      <c r="CP532" s="16"/>
      <c r="CQ532" s="687"/>
      <c r="CR532" s="16"/>
      <c r="CS532" s="687"/>
      <c r="CT532" s="16"/>
      <c r="CU532" s="687"/>
      <c r="CV532" s="16"/>
      <c r="CW532" s="687"/>
      <c r="CX532" s="16"/>
      <c r="CY532" s="687"/>
      <c r="CZ532" s="16"/>
      <c r="DA532" s="687"/>
      <c r="DB532" s="16"/>
      <c r="DC532" s="16"/>
      <c r="DD532" s="687"/>
      <c r="DE532" s="16"/>
      <c r="DF532" s="687"/>
      <c r="DG532" s="16"/>
      <c r="DH532" s="687"/>
      <c r="DI532" s="16"/>
      <c r="DJ532" s="687"/>
      <c r="DK532" s="16"/>
      <c r="DL532" s="687"/>
      <c r="DM532" s="16"/>
      <c r="DN532" s="687"/>
      <c r="DO532" s="16"/>
      <c r="DP532" s="687"/>
      <c r="DQ532" s="16"/>
      <c r="DR532" s="687"/>
      <c r="DS532" s="16"/>
      <c r="DT532" s="687"/>
      <c r="DU532" s="16"/>
      <c r="DV532" s="687"/>
      <c r="DW532" s="16"/>
      <c r="DX532" s="687"/>
      <c r="DY532" s="16"/>
      <c r="DZ532" s="687"/>
      <c r="EA532" s="16"/>
      <c r="EB532" s="687"/>
      <c r="EC532" s="16"/>
      <c r="ED532" s="687"/>
      <c r="EE532" s="16"/>
      <c r="EF532" s="687"/>
      <c r="EG532" s="16"/>
      <c r="EH532" s="687"/>
      <c r="EI532" s="16"/>
      <c r="EJ532" s="687"/>
      <c r="EK532" s="16"/>
      <c r="EL532" s="687"/>
      <c r="EM532" s="687"/>
    </row>
    <row r="533" spans="1:152" ht="12.75" hidden="1" customHeight="1" outlineLevel="2" x14ac:dyDescent="0.2">
      <c r="A533" s="701" t="str">
        <f>INPUT!B449</f>
        <v>Cost of Sales/Revenues (%)</v>
      </c>
      <c r="B533" s="156"/>
      <c r="C533" s="687"/>
      <c r="D533" s="156">
        <f>INPUT!BA449</f>
        <v>13.217391304347824</v>
      </c>
      <c r="E533" s="687" t="str">
        <f>INPUT!BB449</f>
        <v>NA</v>
      </c>
      <c r="F533" s="156">
        <f>INPUT!BC449</f>
        <v>17.224080267558531</v>
      </c>
      <c r="G533" s="687" t="str">
        <f>INPUT!BD449</f>
        <v>NA</v>
      </c>
      <c r="H533" s="156">
        <f>INPUT!BE449</f>
        <v>21.714285714285715</v>
      </c>
      <c r="I533" s="687" t="str">
        <f>INPUT!BF449</f>
        <v>NA</v>
      </c>
      <c r="J533" s="156"/>
      <c r="K533" s="687"/>
      <c r="L533" s="156"/>
      <c r="M533" s="687"/>
      <c r="N533" s="156"/>
      <c r="O533" s="687"/>
      <c r="P533" s="156"/>
      <c r="Q533" s="687"/>
      <c r="R533" s="156"/>
      <c r="S533" s="687"/>
      <c r="T533" s="156"/>
      <c r="U533" s="687"/>
      <c r="V533" s="156"/>
      <c r="W533" s="687"/>
      <c r="X533" s="156"/>
      <c r="Y533" s="687"/>
      <c r="Z533" s="156"/>
      <c r="AA533" s="687"/>
      <c r="AB533" s="156"/>
      <c r="AC533" s="687"/>
      <c r="AD533" s="156"/>
      <c r="AE533" s="687"/>
      <c r="AF533" s="156"/>
      <c r="AG533" s="687"/>
      <c r="AH533" s="156"/>
      <c r="AI533" s="687"/>
      <c r="AJ533" s="156"/>
      <c r="AK533" s="687"/>
      <c r="AL533" s="156"/>
      <c r="AM533" s="687"/>
      <c r="AN533" s="156"/>
      <c r="AO533" s="687"/>
      <c r="AP533" s="156"/>
      <c r="AQ533" s="687"/>
      <c r="AR533" s="156"/>
      <c r="AS533" s="687"/>
      <c r="AT533" s="156"/>
      <c r="AU533" s="687"/>
      <c r="AV533" s="156"/>
      <c r="AW533" s="687"/>
      <c r="AX533" s="156"/>
      <c r="AY533" s="687"/>
      <c r="AZ533" s="156"/>
      <c r="BA533" s="687"/>
      <c r="BB533" s="156"/>
      <c r="BC533" s="687"/>
      <c r="BD533" s="156"/>
      <c r="BE533" s="687"/>
      <c r="BF533" s="156"/>
      <c r="BG533" s="687"/>
      <c r="BH533" s="156"/>
      <c r="BI533" s="687"/>
      <c r="BJ533" s="156"/>
      <c r="BK533" s="687"/>
      <c r="BL533" s="156"/>
      <c r="BM533" s="687"/>
      <c r="BN533" s="156"/>
      <c r="BO533" s="687"/>
      <c r="BP533" s="156"/>
      <c r="BQ533" s="687"/>
      <c r="BR533" s="156"/>
      <c r="BS533" s="687"/>
      <c r="BT533" s="156"/>
      <c r="BU533" s="687"/>
      <c r="BV533" s="156"/>
      <c r="BW533" s="687"/>
      <c r="BX533" s="156"/>
      <c r="BY533" s="687"/>
      <c r="BZ533" s="156"/>
      <c r="CA533" s="687"/>
      <c r="CB533" s="156"/>
      <c r="CC533" s="687"/>
      <c r="CD533" s="156"/>
      <c r="CE533" s="687"/>
      <c r="CF533" s="156"/>
      <c r="CG533" s="687"/>
      <c r="CH533" s="156"/>
      <c r="CI533" s="687"/>
      <c r="CJ533" s="156"/>
      <c r="CK533" s="687"/>
      <c r="CL533" s="156"/>
      <c r="CM533" s="687"/>
      <c r="CN533" s="156"/>
      <c r="CO533" s="687"/>
      <c r="CP533" s="156"/>
      <c r="CQ533" s="687"/>
      <c r="CR533" s="156"/>
      <c r="CS533" s="687"/>
      <c r="CT533" s="156"/>
      <c r="CU533" s="687"/>
      <c r="CV533" s="156"/>
      <c r="CW533" s="687"/>
      <c r="CX533" s="156"/>
      <c r="CY533" s="687"/>
      <c r="CZ533" s="156"/>
      <c r="DA533" s="687"/>
      <c r="DB533" s="16"/>
      <c r="DC533" s="156"/>
      <c r="DD533" s="687"/>
      <c r="DE533" s="156">
        <f>INPUT!FR449</f>
        <v>17.672183662573406</v>
      </c>
      <c r="DF533" s="687"/>
      <c r="DG533" s="156"/>
      <c r="DH533" s="687"/>
      <c r="DI533" s="156"/>
      <c r="DJ533" s="687"/>
      <c r="DK533" s="156"/>
      <c r="DL533" s="687"/>
      <c r="DM533" s="156"/>
      <c r="DN533" s="687"/>
      <c r="DO533" s="156"/>
      <c r="DP533" s="687"/>
      <c r="DQ533" s="156"/>
      <c r="DR533" s="687"/>
      <c r="DS533" s="156"/>
      <c r="DT533" s="687"/>
      <c r="DU533" s="156"/>
      <c r="DV533" s="687"/>
      <c r="DW533" s="156"/>
      <c r="DX533" s="687"/>
      <c r="DY533" s="156"/>
      <c r="DZ533" s="687"/>
      <c r="EA533" s="156"/>
      <c r="EB533" s="687"/>
      <c r="EC533" s="156"/>
      <c r="ED533" s="687"/>
      <c r="EE533" s="156"/>
      <c r="EF533" s="687"/>
      <c r="EG533" s="156"/>
      <c r="EH533" s="687"/>
      <c r="EI533" s="156"/>
      <c r="EJ533" s="687"/>
      <c r="EK533" s="156"/>
      <c r="EL533" s="687"/>
      <c r="EM533" s="687"/>
    </row>
    <row r="534" spans="1:152" ht="12.75" hidden="1" customHeight="1" outlineLevel="2" x14ac:dyDescent="0.2">
      <c r="A534" s="701" t="str">
        <f>INPUT!B450</f>
        <v>Depreciation and Amort/Rev (%)</v>
      </c>
      <c r="B534" s="16"/>
      <c r="C534" s="687"/>
      <c r="D534" s="156">
        <f>INPUT!BA450</f>
        <v>10.434782608695652</v>
      </c>
      <c r="E534" s="687" t="str">
        <f>INPUT!BB450</f>
        <v>NA</v>
      </c>
      <c r="F534" s="156">
        <f>INPUT!BC450</f>
        <v>4.5150501672240804</v>
      </c>
      <c r="G534" s="687" t="str">
        <f>INPUT!BD450</f>
        <v>NA</v>
      </c>
      <c r="H534" s="156">
        <f>INPUT!BE450</f>
        <v>3.7142857142857144</v>
      </c>
      <c r="I534" s="687" t="str">
        <f>INPUT!BF450</f>
        <v>NA</v>
      </c>
      <c r="J534" s="16"/>
      <c r="K534" s="687"/>
      <c r="L534" s="16"/>
      <c r="M534" s="687"/>
      <c r="N534" s="16"/>
      <c r="O534" s="687"/>
      <c r="P534" s="16"/>
      <c r="Q534" s="687"/>
      <c r="R534" s="16"/>
      <c r="S534" s="687"/>
      <c r="T534" s="16"/>
      <c r="U534" s="687"/>
      <c r="V534" s="16"/>
      <c r="W534" s="687"/>
      <c r="X534" s="16"/>
      <c r="Y534" s="687"/>
      <c r="Z534" s="16"/>
      <c r="AA534" s="687"/>
      <c r="AB534" s="16"/>
      <c r="AC534" s="687"/>
      <c r="AD534" s="16"/>
      <c r="AE534" s="687"/>
      <c r="AF534" s="16"/>
      <c r="AG534" s="687"/>
      <c r="AH534" s="16"/>
      <c r="AI534" s="687"/>
      <c r="AJ534" s="16"/>
      <c r="AK534" s="687"/>
      <c r="AL534" s="16"/>
      <c r="AM534" s="687"/>
      <c r="AN534" s="16"/>
      <c r="AO534" s="687"/>
      <c r="AP534" s="16"/>
      <c r="AQ534" s="687"/>
      <c r="AR534" s="16"/>
      <c r="AS534" s="687"/>
      <c r="AT534" s="16"/>
      <c r="AU534" s="687"/>
      <c r="AV534" s="16"/>
      <c r="AW534" s="687"/>
      <c r="AX534" s="16"/>
      <c r="AY534" s="687"/>
      <c r="AZ534" s="16"/>
      <c r="BA534" s="687"/>
      <c r="BB534" s="16"/>
      <c r="BC534" s="687"/>
      <c r="BD534" s="16"/>
      <c r="BE534" s="687"/>
      <c r="BF534" s="16"/>
      <c r="BG534" s="687"/>
      <c r="BH534" s="16"/>
      <c r="BI534" s="687"/>
      <c r="BJ534" s="16"/>
      <c r="BK534" s="687"/>
      <c r="BL534" s="16"/>
      <c r="BM534" s="687"/>
      <c r="BN534" s="16"/>
      <c r="BO534" s="687"/>
      <c r="BP534" s="16"/>
      <c r="BQ534" s="687"/>
      <c r="BR534" s="16"/>
      <c r="BS534" s="687"/>
      <c r="BT534" s="16"/>
      <c r="BU534" s="687"/>
      <c r="BV534" s="16"/>
      <c r="BW534" s="687"/>
      <c r="BX534" s="16"/>
      <c r="BY534" s="687"/>
      <c r="BZ534" s="16"/>
      <c r="CA534" s="687"/>
      <c r="CB534" s="16"/>
      <c r="CC534" s="687"/>
      <c r="CD534" s="16"/>
      <c r="CE534" s="687"/>
      <c r="CF534" s="16"/>
      <c r="CG534" s="687"/>
      <c r="CH534" s="16"/>
      <c r="CI534" s="687"/>
      <c r="CJ534" s="16"/>
      <c r="CK534" s="687"/>
      <c r="CL534" s="16"/>
      <c r="CM534" s="687"/>
      <c r="CN534" s="16"/>
      <c r="CO534" s="687"/>
      <c r="CP534" s="16"/>
      <c r="CQ534" s="687"/>
      <c r="CR534" s="16"/>
      <c r="CS534" s="687"/>
      <c r="CT534" s="16"/>
      <c r="CU534" s="687"/>
      <c r="CV534" s="16"/>
      <c r="CW534" s="687"/>
      <c r="CX534" s="16"/>
      <c r="CY534" s="687"/>
      <c r="CZ534" s="16"/>
      <c r="DA534" s="687"/>
      <c r="DB534" s="16"/>
      <c r="DC534" s="16"/>
      <c r="DD534" s="687"/>
      <c r="DE534" s="16">
        <f>INPUT!FR450</f>
        <v>6.0331019754404691</v>
      </c>
      <c r="DF534" s="687"/>
      <c r="DG534" s="16"/>
      <c r="DH534" s="687"/>
      <c r="DI534" s="16"/>
      <c r="DJ534" s="687"/>
      <c r="DK534" s="16"/>
      <c r="DL534" s="687"/>
      <c r="DM534" s="16"/>
      <c r="DN534" s="687"/>
      <c r="DO534" s="16"/>
      <c r="DP534" s="687"/>
      <c r="DQ534" s="16"/>
      <c r="DR534" s="687"/>
      <c r="DS534" s="16"/>
      <c r="DT534" s="687"/>
      <c r="DU534" s="16"/>
      <c r="DV534" s="687"/>
      <c r="DW534" s="16"/>
      <c r="DX534" s="687"/>
      <c r="DY534" s="16"/>
      <c r="DZ534" s="687"/>
      <c r="EA534" s="16"/>
      <c r="EB534" s="687"/>
      <c r="EC534" s="16"/>
      <c r="ED534" s="687"/>
      <c r="EE534" s="16"/>
      <c r="EF534" s="687"/>
      <c r="EG534" s="16"/>
      <c r="EH534" s="687"/>
      <c r="EI534" s="16"/>
      <c r="EJ534" s="687"/>
      <c r="EK534" s="16"/>
      <c r="EL534" s="687"/>
      <c r="EM534" s="687"/>
    </row>
    <row r="535" spans="1:152" ht="12.75" hidden="1" customHeight="1" outlineLevel="2" x14ac:dyDescent="0.2">
      <c r="A535" s="701" t="str">
        <f>INPUT!B451</f>
        <v>(Op Costs, Deprec &amp; Amort)/Rev (%)</v>
      </c>
      <c r="B535" s="151"/>
      <c r="C535" s="687"/>
      <c r="D535" s="156">
        <f>INPUT!BA451</f>
        <v>23.652173913043477</v>
      </c>
      <c r="E535" s="687" t="str">
        <f>INPUT!BB451</f>
        <v>NA</v>
      </c>
      <c r="F535" s="156">
        <f>INPUT!BC451</f>
        <v>21.739130434782609</v>
      </c>
      <c r="G535" s="687" t="str">
        <f>INPUT!BD451</f>
        <v>NA</v>
      </c>
      <c r="H535" s="156">
        <f>INPUT!BE451</f>
        <v>25.428571428571431</v>
      </c>
      <c r="I535" s="687" t="str">
        <f>INPUT!BF451</f>
        <v>NA</v>
      </c>
      <c r="J535" s="151"/>
      <c r="K535" s="687"/>
      <c r="L535" s="151"/>
      <c r="M535" s="687"/>
      <c r="N535" s="151"/>
      <c r="O535" s="687"/>
      <c r="P535" s="151"/>
      <c r="Q535" s="687"/>
      <c r="R535" s="151"/>
      <c r="S535" s="687"/>
      <c r="T535" s="151"/>
      <c r="U535" s="687"/>
      <c r="V535" s="151"/>
      <c r="W535" s="687"/>
      <c r="X535" s="151"/>
      <c r="Y535" s="687"/>
      <c r="Z535" s="151"/>
      <c r="AA535" s="687"/>
      <c r="AB535" s="151"/>
      <c r="AC535" s="687"/>
      <c r="AD535" s="151"/>
      <c r="AE535" s="687"/>
      <c r="AF535" s="151"/>
      <c r="AG535" s="687"/>
      <c r="AH535" s="151"/>
      <c r="AI535" s="687"/>
      <c r="AJ535" s="151"/>
      <c r="AK535" s="687"/>
      <c r="AL535" s="151"/>
      <c r="AM535" s="687"/>
      <c r="AN535" s="151"/>
      <c r="AO535" s="687"/>
      <c r="AP535" s="151"/>
      <c r="AQ535" s="687"/>
      <c r="AR535" s="151"/>
      <c r="AS535" s="687"/>
      <c r="AT535" s="151"/>
      <c r="AU535" s="687"/>
      <c r="AV535" s="151"/>
      <c r="AW535" s="687"/>
      <c r="AX535" s="151"/>
      <c r="AY535" s="687"/>
      <c r="AZ535" s="151"/>
      <c r="BA535" s="687"/>
      <c r="BB535" s="151"/>
      <c r="BC535" s="687"/>
      <c r="BD535" s="151"/>
      <c r="BE535" s="687"/>
      <c r="BF535" s="151"/>
      <c r="BG535" s="687"/>
      <c r="BH535" s="151"/>
      <c r="BI535" s="687"/>
      <c r="BJ535" s="151"/>
      <c r="BK535" s="687"/>
      <c r="BL535" s="151"/>
      <c r="BM535" s="687"/>
      <c r="BN535" s="151"/>
      <c r="BO535" s="687"/>
      <c r="BP535" s="151"/>
      <c r="BQ535" s="687"/>
      <c r="BR535" s="151"/>
      <c r="BS535" s="687"/>
      <c r="BT535" s="151"/>
      <c r="BU535" s="687"/>
      <c r="BV535" s="151"/>
      <c r="BW535" s="687"/>
      <c r="BX535" s="151"/>
      <c r="BY535" s="687"/>
      <c r="BZ535" s="151"/>
      <c r="CA535" s="687"/>
      <c r="CB535" s="151"/>
      <c r="CC535" s="687"/>
      <c r="CD535" s="151"/>
      <c r="CE535" s="687"/>
      <c r="CF535" s="151"/>
      <c r="CG535" s="687"/>
      <c r="CH535" s="151"/>
      <c r="CI535" s="687"/>
      <c r="CJ535" s="151"/>
      <c r="CK535" s="687"/>
      <c r="CL535" s="151"/>
      <c r="CM535" s="687"/>
      <c r="CN535" s="151"/>
      <c r="CO535" s="687"/>
      <c r="CP535" s="151"/>
      <c r="CQ535" s="687"/>
      <c r="CR535" s="151"/>
      <c r="CS535" s="687"/>
      <c r="CT535" s="151"/>
      <c r="CU535" s="687"/>
      <c r="CV535" s="151"/>
      <c r="CW535" s="687"/>
      <c r="CX535" s="151"/>
      <c r="CY535" s="687"/>
      <c r="CZ535" s="151"/>
      <c r="DA535" s="687"/>
      <c r="DB535" s="16"/>
      <c r="DC535" s="151"/>
      <c r="DD535" s="687"/>
      <c r="DE535" s="151">
        <f>INPUT!FR451</f>
        <v>23.705285638013876</v>
      </c>
      <c r="DF535" s="687"/>
      <c r="DG535" s="151"/>
      <c r="DH535" s="687"/>
      <c r="DI535" s="151"/>
      <c r="DJ535" s="687"/>
      <c r="DK535" s="151"/>
      <c r="DL535" s="687"/>
      <c r="DM535" s="151"/>
      <c r="DN535" s="687"/>
      <c r="DO535" s="151"/>
      <c r="DP535" s="687"/>
      <c r="DQ535" s="151"/>
      <c r="DR535" s="687"/>
      <c r="DS535" s="151"/>
      <c r="DT535" s="687"/>
      <c r="DU535" s="151"/>
      <c r="DV535" s="687"/>
      <c r="DW535" s="151"/>
      <c r="DX535" s="687"/>
      <c r="DY535" s="151"/>
      <c r="DZ535" s="687"/>
      <c r="EA535" s="151"/>
      <c r="EB535" s="687"/>
      <c r="EC535" s="151"/>
      <c r="ED535" s="687"/>
      <c r="EE535" s="151"/>
      <c r="EF535" s="687"/>
      <c r="EG535" s="151"/>
      <c r="EH535" s="687"/>
      <c r="EI535" s="151"/>
      <c r="EJ535" s="687"/>
      <c r="EK535" s="151"/>
      <c r="EL535" s="687"/>
      <c r="EM535" s="687"/>
    </row>
    <row r="536" spans="1:152" ht="12.75" hidden="1" customHeight="1" outlineLevel="2" x14ac:dyDescent="0.2">
      <c r="A536" s="701"/>
      <c r="B536" s="16"/>
      <c r="C536" s="687"/>
      <c r="D536" s="16"/>
      <c r="E536" s="687"/>
      <c r="F536" s="16"/>
      <c r="G536" s="687"/>
      <c r="H536" s="16"/>
      <c r="I536" s="687"/>
      <c r="J536" s="16"/>
      <c r="K536" s="687"/>
      <c r="L536" s="16"/>
      <c r="M536" s="687"/>
      <c r="N536" s="16"/>
      <c r="O536" s="687"/>
      <c r="P536" s="16"/>
      <c r="Q536" s="687"/>
      <c r="R536" s="16"/>
      <c r="S536" s="687"/>
      <c r="T536" s="16"/>
      <c r="U536" s="687"/>
      <c r="V536" s="16"/>
      <c r="W536" s="687"/>
      <c r="X536" s="16"/>
      <c r="Y536" s="687"/>
      <c r="Z536" s="16"/>
      <c r="AA536" s="687"/>
      <c r="AB536" s="16"/>
      <c r="AC536" s="687"/>
      <c r="AD536" s="16"/>
      <c r="AE536" s="687"/>
      <c r="AF536" s="16"/>
      <c r="AG536" s="687"/>
      <c r="AH536" s="16"/>
      <c r="AI536" s="687"/>
      <c r="AJ536" s="16"/>
      <c r="AK536" s="687"/>
      <c r="AL536" s="16"/>
      <c r="AM536" s="687"/>
      <c r="AN536" s="16"/>
      <c r="AO536" s="687"/>
      <c r="AP536" s="16"/>
      <c r="AQ536" s="687"/>
      <c r="AR536" s="16"/>
      <c r="AS536" s="687"/>
      <c r="AT536" s="16"/>
      <c r="AU536" s="687"/>
      <c r="AV536" s="16"/>
      <c r="AW536" s="687"/>
      <c r="AX536" s="16"/>
      <c r="AY536" s="687"/>
      <c r="AZ536" s="16"/>
      <c r="BA536" s="687"/>
      <c r="BB536" s="16"/>
      <c r="BC536" s="687"/>
      <c r="BD536" s="16"/>
      <c r="BE536" s="687"/>
      <c r="BF536" s="16"/>
      <c r="BG536" s="687"/>
      <c r="BH536" s="16"/>
      <c r="BI536" s="687"/>
      <c r="BJ536" s="16"/>
      <c r="BK536" s="687"/>
      <c r="BL536" s="16"/>
      <c r="BM536" s="687"/>
      <c r="BN536" s="16"/>
      <c r="BO536" s="687"/>
      <c r="BP536" s="16"/>
      <c r="BQ536" s="687"/>
      <c r="BR536" s="16"/>
      <c r="BS536" s="687"/>
      <c r="BT536" s="16"/>
      <c r="BU536" s="687"/>
      <c r="BV536" s="16"/>
      <c r="BW536" s="687"/>
      <c r="BX536" s="16"/>
      <c r="BY536" s="687"/>
      <c r="BZ536" s="16"/>
      <c r="CA536" s="687"/>
      <c r="CB536" s="16"/>
      <c r="CC536" s="687"/>
      <c r="CD536" s="16"/>
      <c r="CE536" s="687"/>
      <c r="CF536" s="16"/>
      <c r="CG536" s="687"/>
      <c r="CH536" s="16"/>
      <c r="CI536" s="687"/>
      <c r="CJ536" s="16"/>
      <c r="CK536" s="687"/>
      <c r="CL536" s="16"/>
      <c r="CM536" s="687"/>
      <c r="CN536" s="16"/>
      <c r="CO536" s="687"/>
      <c r="CP536" s="16"/>
      <c r="CQ536" s="687"/>
      <c r="CR536" s="16"/>
      <c r="CS536" s="687"/>
      <c r="CT536" s="16"/>
      <c r="CU536" s="687"/>
      <c r="CV536" s="16"/>
      <c r="CW536" s="687"/>
      <c r="CX536" s="16"/>
      <c r="CY536" s="687"/>
      <c r="CZ536" s="16"/>
      <c r="DA536" s="687"/>
      <c r="DB536" s="16"/>
      <c r="DC536" s="16"/>
      <c r="DD536" s="687"/>
      <c r="DE536" s="16"/>
      <c r="DF536" s="687"/>
      <c r="DG536" s="16"/>
      <c r="DH536" s="687"/>
      <c r="DI536" s="16"/>
      <c r="DJ536" s="687"/>
      <c r="DK536" s="16"/>
      <c r="DL536" s="687"/>
      <c r="DM536" s="16"/>
      <c r="DN536" s="687"/>
      <c r="DO536" s="16"/>
      <c r="DP536" s="687"/>
      <c r="DQ536" s="16"/>
      <c r="DR536" s="687"/>
      <c r="DS536" s="16"/>
      <c r="DT536" s="687"/>
      <c r="DU536" s="16"/>
      <c r="DV536" s="687"/>
      <c r="DW536" s="16"/>
      <c r="DX536" s="687"/>
      <c r="DY536" s="16"/>
      <c r="DZ536" s="687"/>
      <c r="EA536" s="16"/>
      <c r="EB536" s="687"/>
      <c r="EC536" s="16"/>
      <c r="ED536" s="687"/>
      <c r="EE536" s="16"/>
      <c r="EF536" s="687"/>
      <c r="EG536" s="16"/>
      <c r="EH536" s="687"/>
      <c r="EI536" s="16"/>
      <c r="EJ536" s="687"/>
      <c r="EK536" s="16"/>
      <c r="EL536" s="687"/>
      <c r="EM536" s="687"/>
    </row>
    <row r="537" spans="1:152" ht="12.75" hidden="1" customHeight="1" outlineLevel="2" x14ac:dyDescent="0.2">
      <c r="A537" s="689" t="str">
        <f>+A60</f>
        <v>Quarterly income statement ratios are annualized where appropriate     NM = Not Meaningful       NA = Not Applicable  E=Morgan Stanley Estimates</v>
      </c>
      <c r="B537" s="16"/>
      <c r="C537" s="687"/>
      <c r="D537" s="16"/>
      <c r="E537" s="687"/>
      <c r="F537" s="16"/>
      <c r="G537" s="687"/>
      <c r="H537" s="16"/>
      <c r="I537" s="687"/>
      <c r="J537" s="16"/>
      <c r="K537" s="687"/>
      <c r="L537" s="16"/>
      <c r="M537" s="687"/>
      <c r="N537" s="16"/>
      <c r="O537" s="687"/>
      <c r="P537" s="16"/>
      <c r="Q537" s="687"/>
      <c r="R537" s="16"/>
      <c r="S537" s="687"/>
      <c r="T537" s="16"/>
      <c r="U537" s="687"/>
      <c r="V537" s="16"/>
      <c r="W537" s="687"/>
      <c r="X537" s="16"/>
      <c r="Y537" s="687"/>
      <c r="Z537" s="16"/>
      <c r="AA537" s="687"/>
      <c r="AB537" s="16"/>
      <c r="AC537" s="687"/>
      <c r="AD537" s="16"/>
      <c r="AE537" s="687"/>
      <c r="AF537" s="16"/>
      <c r="AG537" s="687"/>
      <c r="AH537" s="16"/>
      <c r="AI537" s="687"/>
      <c r="AJ537" s="16"/>
      <c r="AK537" s="687"/>
      <c r="AL537" s="16"/>
      <c r="AM537" s="687"/>
      <c r="AN537" s="16"/>
      <c r="AO537" s="687"/>
      <c r="AP537" s="16"/>
      <c r="AQ537" s="687"/>
      <c r="AR537" s="16"/>
      <c r="AS537" s="687"/>
      <c r="AT537" s="16"/>
      <c r="AU537" s="687"/>
      <c r="AV537" s="16"/>
      <c r="AW537" s="687"/>
      <c r="AX537" s="16"/>
      <c r="AY537" s="687"/>
      <c r="AZ537" s="16"/>
      <c r="BA537" s="687"/>
      <c r="BB537" s="16"/>
      <c r="BC537" s="687"/>
      <c r="BD537" s="16"/>
      <c r="BE537" s="687"/>
      <c r="BF537" s="16"/>
      <c r="BG537" s="687"/>
      <c r="BH537" s="16"/>
      <c r="BI537" s="687"/>
      <c r="BJ537" s="16"/>
      <c r="BK537" s="687"/>
      <c r="BL537" s="16"/>
      <c r="BM537" s="687"/>
      <c r="BN537" s="16"/>
      <c r="BO537" s="687"/>
      <c r="BP537" s="16"/>
      <c r="BQ537" s="687"/>
      <c r="BR537" s="16"/>
      <c r="BS537" s="687"/>
      <c r="BT537" s="16"/>
      <c r="BU537" s="687"/>
      <c r="BV537" s="16"/>
      <c r="BW537" s="687"/>
      <c r="BX537" s="16"/>
      <c r="BY537" s="687"/>
      <c r="BZ537" s="16"/>
      <c r="CA537" s="687"/>
      <c r="CB537" s="16"/>
      <c r="CC537" s="687"/>
      <c r="CD537" s="16"/>
      <c r="CE537" s="687"/>
      <c r="CF537" s="16"/>
      <c r="CG537" s="687"/>
      <c r="CH537" s="16"/>
      <c r="CI537" s="687"/>
      <c r="CJ537" s="16"/>
      <c r="CK537" s="687"/>
      <c r="CL537" s="16"/>
      <c r="CM537" s="687"/>
      <c r="CN537" s="16"/>
      <c r="CO537" s="687"/>
      <c r="CP537" s="16"/>
      <c r="CQ537" s="687"/>
      <c r="CR537" s="16"/>
      <c r="CS537" s="687"/>
      <c r="CT537" s="16"/>
      <c r="CU537" s="687"/>
      <c r="CV537" s="16"/>
      <c r="CW537" s="687"/>
      <c r="CX537" s="16"/>
      <c r="CY537" s="687"/>
      <c r="CZ537" s="16"/>
      <c r="DA537" s="687"/>
      <c r="DB537" s="16"/>
      <c r="DC537" s="16"/>
      <c r="DD537" s="687"/>
      <c r="DE537" s="16"/>
      <c r="DF537" s="687"/>
      <c r="DG537" s="16"/>
      <c r="DH537" s="687"/>
      <c r="DI537" s="16"/>
      <c r="DJ537" s="687"/>
      <c r="DK537" s="16"/>
      <c r="DL537" s="687"/>
      <c r="DM537" s="16"/>
      <c r="DN537" s="687"/>
      <c r="DO537" s="16"/>
      <c r="DP537" s="687"/>
      <c r="DQ537" s="16"/>
      <c r="DR537" s="687"/>
      <c r="DS537" s="16"/>
      <c r="DT537" s="687"/>
      <c r="DU537" s="16"/>
      <c r="DV537" s="687"/>
      <c r="DW537" s="16"/>
      <c r="DX537" s="687"/>
      <c r="DY537" s="16"/>
      <c r="DZ537" s="687"/>
      <c r="EA537" s="16"/>
      <c r="EB537" s="687"/>
      <c r="EC537" s="16"/>
      <c r="ED537" s="687"/>
      <c r="EE537" s="16"/>
      <c r="EF537" s="687"/>
      <c r="EG537" s="16"/>
      <c r="EH537" s="687"/>
      <c r="EI537" s="16"/>
      <c r="EJ537" s="687"/>
      <c r="EK537" s="16"/>
      <c r="EL537" s="687"/>
      <c r="EM537" s="687"/>
    </row>
    <row r="538" spans="1:152" ht="12.75" hidden="1" customHeight="1" outlineLevel="2" x14ac:dyDescent="0.2">
      <c r="A538" s="689" t="s">
        <v>412</v>
      </c>
      <c r="B538" s="16"/>
      <c r="C538" s="687"/>
      <c r="D538" s="16"/>
      <c r="E538" s="687"/>
      <c r="F538" s="16"/>
      <c r="G538" s="687"/>
      <c r="H538" s="16"/>
      <c r="I538" s="687"/>
      <c r="J538" s="16"/>
      <c r="K538" s="687"/>
      <c r="L538" s="16"/>
      <c r="M538" s="687"/>
      <c r="N538" s="16"/>
      <c r="O538" s="687"/>
      <c r="P538" s="16"/>
      <c r="Q538" s="687"/>
      <c r="R538" s="16"/>
      <c r="S538" s="687"/>
      <c r="T538" s="16"/>
      <c r="U538" s="687"/>
      <c r="V538" s="16"/>
      <c r="W538" s="687"/>
      <c r="X538" s="16"/>
      <c r="Y538" s="687"/>
      <c r="Z538" s="16"/>
      <c r="AA538" s="687"/>
      <c r="AB538" s="16"/>
      <c r="AC538" s="687"/>
      <c r="AD538" s="16"/>
      <c r="AE538" s="687"/>
      <c r="AF538" s="16"/>
      <c r="AG538" s="687"/>
      <c r="AH538" s="16"/>
      <c r="AI538" s="687"/>
      <c r="AJ538" s="16"/>
      <c r="AK538" s="687"/>
      <c r="AL538" s="16"/>
      <c r="AM538" s="687"/>
      <c r="AN538" s="16"/>
      <c r="AO538" s="687"/>
      <c r="AP538" s="16"/>
      <c r="AQ538" s="687"/>
      <c r="AR538" s="16"/>
      <c r="AS538" s="687"/>
      <c r="AT538" s="16"/>
      <c r="AU538" s="687"/>
      <c r="AV538" s="16"/>
      <c r="AW538" s="687"/>
      <c r="AX538" s="16"/>
      <c r="AY538" s="687"/>
      <c r="AZ538" s="16"/>
      <c r="BA538" s="687"/>
      <c r="BB538" s="16"/>
      <c r="BC538" s="687"/>
      <c r="BD538" s="16"/>
      <c r="BE538" s="687"/>
      <c r="BF538" s="16"/>
      <c r="BG538" s="687"/>
      <c r="BH538" s="16"/>
      <c r="BI538" s="687"/>
      <c r="BJ538" s="16"/>
      <c r="BK538" s="687"/>
      <c r="BL538" s="16"/>
      <c r="BM538" s="687"/>
      <c r="BN538" s="16"/>
      <c r="BO538" s="687"/>
      <c r="BP538" s="16"/>
      <c r="BQ538" s="687"/>
      <c r="BR538" s="16"/>
      <c r="BS538" s="687"/>
      <c r="BT538" s="16"/>
      <c r="BU538" s="687"/>
      <c r="BV538" s="16"/>
      <c r="BW538" s="687"/>
      <c r="BX538" s="16"/>
      <c r="BY538" s="687"/>
      <c r="BZ538" s="16"/>
      <c r="CA538" s="687"/>
      <c r="CB538" s="16"/>
      <c r="CC538" s="687"/>
      <c r="CD538" s="16"/>
      <c r="CE538" s="687"/>
      <c r="CF538" s="16"/>
      <c r="CG538" s="687"/>
      <c r="CH538" s="16"/>
      <c r="CI538" s="687"/>
      <c r="CJ538" s="16"/>
      <c r="CK538" s="687"/>
      <c r="CL538" s="16"/>
      <c r="CM538" s="687"/>
      <c r="CN538" s="16"/>
      <c r="CO538" s="687"/>
      <c r="CP538" s="16"/>
      <c r="CQ538" s="687"/>
      <c r="CR538" s="16"/>
      <c r="CS538" s="687"/>
      <c r="CT538" s="16"/>
      <c r="CU538" s="687"/>
      <c r="CV538" s="16"/>
      <c r="CW538" s="687"/>
      <c r="CX538" s="16"/>
      <c r="CY538" s="687"/>
      <c r="CZ538" s="16"/>
      <c r="DA538" s="687"/>
      <c r="DB538" s="16"/>
      <c r="DC538" s="16"/>
      <c r="DD538" s="687"/>
      <c r="DE538" s="16"/>
      <c r="DF538" s="687"/>
      <c r="DG538" s="16"/>
      <c r="DH538" s="687"/>
      <c r="DI538" s="16"/>
      <c r="DJ538" s="687"/>
      <c r="DK538" s="16"/>
      <c r="DL538" s="687"/>
      <c r="DM538" s="16"/>
      <c r="DN538" s="687"/>
      <c r="DO538" s="16"/>
      <c r="DP538" s="687"/>
      <c r="DQ538" s="16"/>
      <c r="DR538" s="687"/>
      <c r="DS538" s="16"/>
      <c r="DT538" s="687"/>
      <c r="DU538" s="16"/>
      <c r="DV538" s="687"/>
      <c r="DW538" s="16"/>
      <c r="DX538" s="687"/>
      <c r="DY538" s="16"/>
      <c r="DZ538" s="687"/>
      <c r="EA538" s="16"/>
      <c r="EB538" s="687"/>
      <c r="EC538" s="16"/>
      <c r="ED538" s="687"/>
      <c r="EE538" s="16"/>
      <c r="EF538" s="687"/>
      <c r="EG538" s="16"/>
      <c r="EH538" s="687"/>
      <c r="EI538" s="16"/>
      <c r="EJ538" s="687"/>
      <c r="EK538" s="16"/>
      <c r="EL538" s="687"/>
      <c r="EM538" s="687"/>
    </row>
    <row r="539" spans="1:152" ht="12.75" hidden="1" customHeight="1" outlineLevel="2" x14ac:dyDescent="0.2">
      <c r="A539" s="701"/>
      <c r="B539" s="16"/>
      <c r="C539" s="687"/>
      <c r="D539" s="16"/>
      <c r="E539" s="687"/>
      <c r="F539" s="16"/>
      <c r="G539" s="687"/>
      <c r="H539" s="16"/>
      <c r="I539" s="687"/>
      <c r="J539" s="16"/>
      <c r="K539" s="687"/>
      <c r="L539" s="16"/>
      <c r="M539" s="687"/>
      <c r="N539" s="16"/>
      <c r="O539" s="687"/>
      <c r="P539" s="16"/>
      <c r="Q539" s="687"/>
      <c r="R539" s="16"/>
      <c r="S539" s="687"/>
      <c r="T539" s="16"/>
      <c r="U539" s="687"/>
      <c r="V539" s="16"/>
      <c r="W539" s="687"/>
      <c r="X539" s="16"/>
      <c r="Y539" s="687"/>
      <c r="Z539" s="16"/>
      <c r="AA539" s="687"/>
      <c r="AB539" s="16"/>
      <c r="AC539" s="687"/>
      <c r="AD539" s="16"/>
      <c r="AE539" s="687"/>
      <c r="AF539" s="16"/>
      <c r="AG539" s="687"/>
      <c r="AH539" s="16"/>
      <c r="AI539" s="687"/>
      <c r="AJ539" s="16"/>
      <c r="AK539" s="687"/>
      <c r="AL539" s="16"/>
      <c r="AM539" s="687"/>
      <c r="AN539" s="16"/>
      <c r="AO539" s="687"/>
      <c r="AP539" s="16"/>
      <c r="AQ539" s="687"/>
      <c r="AR539" s="16"/>
      <c r="AS539" s="687"/>
      <c r="AT539" s="16"/>
      <c r="AU539" s="687"/>
      <c r="AV539" s="16"/>
      <c r="AW539" s="687"/>
      <c r="AX539" s="16"/>
      <c r="AY539" s="687"/>
      <c r="AZ539" s="16"/>
      <c r="BA539" s="687"/>
      <c r="BB539" s="16"/>
      <c r="BC539" s="687"/>
      <c r="BD539" s="16"/>
      <c r="BE539" s="687"/>
      <c r="BF539" s="16"/>
      <c r="BG539" s="687"/>
      <c r="BH539" s="16"/>
      <c r="BI539" s="687"/>
      <c r="BJ539" s="16"/>
      <c r="BK539" s="687"/>
      <c r="BL539" s="16"/>
      <c r="BM539" s="687"/>
      <c r="BN539" s="16"/>
      <c r="BO539" s="687"/>
      <c r="BP539" s="16"/>
      <c r="BQ539" s="687"/>
      <c r="BR539" s="16"/>
      <c r="BS539" s="687"/>
      <c r="BT539" s="16"/>
      <c r="BU539" s="687"/>
      <c r="BV539" s="16"/>
      <c r="BW539" s="687"/>
      <c r="BX539" s="16"/>
      <c r="BY539" s="687"/>
      <c r="BZ539" s="16"/>
      <c r="CA539" s="687"/>
      <c r="CB539" s="16"/>
      <c r="CC539" s="687"/>
      <c r="CD539" s="16"/>
      <c r="CE539" s="687"/>
      <c r="CF539" s="16"/>
      <c r="CG539" s="687"/>
      <c r="CH539" s="16"/>
      <c r="CI539" s="687"/>
      <c r="CJ539" s="16"/>
      <c r="CK539" s="687"/>
      <c r="CL539" s="16"/>
      <c r="CM539" s="687"/>
      <c r="CN539" s="16"/>
      <c r="CO539" s="687"/>
      <c r="CP539" s="16"/>
      <c r="CQ539" s="687"/>
      <c r="CR539" s="16"/>
      <c r="CS539" s="687"/>
      <c r="CT539" s="16"/>
      <c r="CU539" s="687"/>
      <c r="CV539" s="16"/>
      <c r="CW539" s="687"/>
      <c r="CX539" s="16"/>
      <c r="CY539" s="687"/>
      <c r="CZ539" s="16"/>
      <c r="DA539" s="687"/>
      <c r="DB539" s="16"/>
      <c r="DC539" s="16"/>
      <c r="DD539" s="687"/>
      <c r="DE539" s="16"/>
      <c r="DF539" s="687"/>
      <c r="DG539" s="16"/>
      <c r="DH539" s="687"/>
      <c r="DI539" s="16"/>
      <c r="DJ539" s="687"/>
      <c r="DK539" s="16"/>
      <c r="DL539" s="687"/>
      <c r="DM539" s="16"/>
      <c r="DN539" s="687"/>
      <c r="DO539" s="16"/>
      <c r="DP539" s="687"/>
      <c r="DQ539" s="16"/>
      <c r="DR539" s="687"/>
      <c r="DS539" s="16"/>
      <c r="DT539" s="687"/>
      <c r="DU539" s="16"/>
      <c r="DV539" s="687"/>
      <c r="DW539" s="16"/>
      <c r="DX539" s="687"/>
      <c r="DY539" s="16"/>
      <c r="DZ539" s="687"/>
      <c r="EA539" s="16"/>
      <c r="EB539" s="687"/>
      <c r="EC539" s="16"/>
      <c r="ED539" s="687"/>
      <c r="EE539" s="16"/>
      <c r="EF539" s="687"/>
      <c r="EG539" s="16"/>
      <c r="EH539" s="687"/>
      <c r="EI539" s="16"/>
      <c r="EJ539" s="687"/>
      <c r="EK539" s="16"/>
      <c r="EL539" s="687"/>
      <c r="EM539" s="702"/>
    </row>
    <row r="540" spans="1:152" ht="21.95" hidden="1" customHeight="1" outlineLevel="1" collapsed="1" x14ac:dyDescent="0.3">
      <c r="A540" s="769" t="str">
        <f>$A$1</f>
        <v>Lincoln National</v>
      </c>
      <c r="B540" s="683"/>
      <c r="C540" s="684"/>
      <c r="D540" s="683"/>
      <c r="E540" s="684"/>
      <c r="F540" s="683"/>
      <c r="G540" s="684"/>
      <c r="H540" s="683"/>
      <c r="I540" s="684"/>
      <c r="J540" s="683"/>
      <c r="K540" s="684"/>
      <c r="L540" s="683"/>
      <c r="M540" s="684"/>
      <c r="N540" s="683"/>
      <c r="O540" s="684"/>
      <c r="P540" s="683"/>
      <c r="Q540" s="684"/>
      <c r="R540" s="683"/>
      <c r="S540" s="684"/>
      <c r="T540" s="683"/>
      <c r="U540" s="684"/>
      <c r="V540" s="683"/>
      <c r="W540" s="684"/>
      <c r="X540" s="683"/>
      <c r="Y540" s="684"/>
      <c r="Z540" s="683"/>
      <c r="AA540" s="684"/>
      <c r="AB540" s="683"/>
      <c r="AC540" s="684"/>
      <c r="AD540" s="683"/>
      <c r="AE540" s="684"/>
      <c r="AF540" s="683"/>
      <c r="AG540" s="684"/>
      <c r="AH540" s="683"/>
      <c r="AI540" s="684"/>
      <c r="AJ540" s="683"/>
      <c r="AK540" s="684"/>
      <c r="AL540" s="683"/>
      <c r="AM540" s="684"/>
      <c r="AN540" s="683"/>
      <c r="AO540" s="684"/>
      <c r="AP540" s="683"/>
      <c r="AQ540" s="684"/>
      <c r="AR540" s="683"/>
      <c r="AS540" s="684"/>
      <c r="AT540" s="683"/>
      <c r="AU540" s="684"/>
      <c r="AV540" s="683"/>
      <c r="AW540" s="684"/>
      <c r="AX540" s="683"/>
      <c r="AY540" s="684"/>
      <c r="AZ540" s="683"/>
      <c r="BA540" s="684"/>
      <c r="BB540" s="683"/>
      <c r="BC540" s="684"/>
      <c r="BD540" s="683"/>
      <c r="BE540" s="684"/>
      <c r="BF540" s="683"/>
      <c r="BG540" s="684"/>
      <c r="BH540" s="683"/>
      <c r="BI540" s="684"/>
      <c r="BJ540" s="683"/>
      <c r="BK540" s="684"/>
      <c r="BL540" s="683"/>
      <c r="BM540" s="684"/>
      <c r="BN540" s="683"/>
      <c r="BO540" s="684"/>
      <c r="BP540" s="683"/>
      <c r="BQ540" s="684"/>
      <c r="BR540" s="683"/>
      <c r="BS540" s="684"/>
      <c r="BT540" s="683"/>
      <c r="BU540" s="684"/>
      <c r="BV540" s="683"/>
      <c r="BW540" s="684"/>
      <c r="BX540" s="683"/>
      <c r="BY540" s="684"/>
      <c r="BZ540" s="683"/>
      <c r="CA540" s="684"/>
      <c r="CB540" s="683"/>
      <c r="CC540" s="684"/>
      <c r="CD540" s="683"/>
      <c r="CE540" s="684"/>
      <c r="CF540" s="683"/>
      <c r="CG540" s="684"/>
      <c r="CH540" s="683"/>
      <c r="CI540" s="684"/>
      <c r="CJ540" s="683"/>
      <c r="CK540" s="684"/>
      <c r="CL540" s="683"/>
      <c r="CM540" s="684"/>
      <c r="CN540" s="683"/>
      <c r="CO540" s="684"/>
      <c r="CP540" s="683"/>
      <c r="CQ540" s="684"/>
      <c r="CR540" s="683"/>
      <c r="CS540" s="684"/>
      <c r="CT540" s="683"/>
      <c r="CU540" s="684"/>
      <c r="CV540" s="683"/>
      <c r="CW540" s="684"/>
      <c r="CX540" s="683"/>
      <c r="CY540" s="684"/>
      <c r="CZ540" s="683"/>
      <c r="DA540" s="684"/>
      <c r="DB540" s="684"/>
      <c r="DC540" s="683"/>
      <c r="DD540" s="684"/>
      <c r="DE540" s="683"/>
      <c r="DF540" s="684"/>
      <c r="DG540" s="683"/>
      <c r="DH540" s="684"/>
      <c r="DI540" s="683"/>
      <c r="DJ540" s="684"/>
      <c r="DK540" s="683"/>
      <c r="DL540" s="684"/>
      <c r="DM540" s="683"/>
      <c r="DN540" s="684"/>
      <c r="DO540" s="683"/>
      <c r="DP540" s="684"/>
      <c r="DQ540" s="683"/>
      <c r="DR540" s="684"/>
      <c r="DS540" s="683"/>
      <c r="DT540" s="684"/>
      <c r="DU540" s="683"/>
      <c r="DV540" s="684"/>
      <c r="DW540" s="683"/>
      <c r="DX540" s="684"/>
      <c r="DY540" s="683"/>
      <c r="DZ540" s="684"/>
      <c r="EA540" s="683"/>
      <c r="EB540" s="684"/>
      <c r="EC540" s="683"/>
      <c r="ED540" s="684"/>
      <c r="EE540" s="683"/>
      <c r="EF540" s="684"/>
      <c r="EG540" s="683"/>
      <c r="EH540" s="684"/>
      <c r="EI540" s="683"/>
      <c r="EJ540" s="684"/>
      <c r="EK540" s="683"/>
      <c r="EL540" s="684"/>
      <c r="EM540" s="684"/>
    </row>
    <row r="541" spans="1:152" ht="12.75" hidden="1" customHeight="1" outlineLevel="1" x14ac:dyDescent="0.2">
      <c r="A541" s="685" t="s">
        <v>45</v>
      </c>
      <c r="B541" s="4"/>
      <c r="C541" s="686"/>
      <c r="D541" s="4"/>
      <c r="E541" s="686"/>
      <c r="F541" s="4"/>
      <c r="G541" s="686"/>
      <c r="H541" s="4"/>
      <c r="I541" s="686"/>
      <c r="J541" s="4"/>
      <c r="K541" s="686"/>
      <c r="L541" s="4"/>
      <c r="M541" s="686"/>
      <c r="N541" s="4"/>
      <c r="O541" s="686"/>
      <c r="P541" s="4"/>
      <c r="Q541" s="686"/>
      <c r="R541" s="4"/>
      <c r="S541" s="686"/>
      <c r="T541" s="4"/>
      <c r="U541" s="686"/>
      <c r="V541" s="4"/>
      <c r="W541" s="686"/>
      <c r="X541" s="4"/>
      <c r="Y541" s="686"/>
      <c r="Z541" s="4"/>
      <c r="AA541" s="686"/>
      <c r="AB541" s="4"/>
      <c r="AC541" s="686"/>
      <c r="AD541" s="4"/>
      <c r="AE541" s="686"/>
      <c r="AF541" s="4"/>
      <c r="AG541" s="686"/>
      <c r="AH541" s="4"/>
      <c r="AI541" s="686"/>
      <c r="AJ541" s="4"/>
      <c r="AK541" s="686"/>
      <c r="AL541" s="4"/>
      <c r="AM541" s="686"/>
      <c r="AN541" s="4"/>
      <c r="AO541" s="686"/>
      <c r="AP541" s="4"/>
      <c r="AQ541" s="686"/>
      <c r="AR541" s="4"/>
      <c r="AS541" s="686"/>
      <c r="AT541" s="4"/>
      <c r="AU541" s="686"/>
      <c r="AV541" s="4"/>
      <c r="AW541" s="686"/>
      <c r="AX541" s="4"/>
      <c r="AY541" s="686"/>
      <c r="AZ541" s="4"/>
      <c r="BA541" s="686"/>
      <c r="BB541" s="4"/>
      <c r="BC541" s="686"/>
      <c r="BD541" s="4"/>
      <c r="BE541" s="686"/>
      <c r="BF541" s="4"/>
      <c r="BG541" s="686"/>
      <c r="BH541" s="4"/>
      <c r="BI541" s="686"/>
      <c r="BJ541" s="4"/>
      <c r="BK541" s="686"/>
      <c r="BL541" s="4"/>
      <c r="BM541" s="686"/>
      <c r="BN541" s="4"/>
      <c r="BO541" s="686"/>
      <c r="BP541" s="4"/>
      <c r="BQ541" s="686"/>
      <c r="BR541" s="4"/>
      <c r="BS541" s="686"/>
      <c r="BT541" s="4"/>
      <c r="BU541" s="686"/>
      <c r="BV541" s="4"/>
      <c r="BW541" s="686"/>
      <c r="BX541" s="4"/>
      <c r="BY541" s="686"/>
      <c r="BZ541" s="4"/>
      <c r="CA541" s="686"/>
      <c r="CB541" s="4"/>
      <c r="CC541" s="686"/>
      <c r="CD541" s="4"/>
      <c r="CE541" s="686"/>
      <c r="CF541" s="4"/>
      <c r="CG541" s="686"/>
      <c r="CH541" s="4"/>
      <c r="CI541" s="686"/>
      <c r="CJ541" s="4"/>
      <c r="CK541" s="686"/>
      <c r="CL541" s="4"/>
      <c r="CM541" s="686"/>
      <c r="CN541" s="4"/>
      <c r="CO541" s="686"/>
      <c r="CP541" s="4"/>
      <c r="CQ541" s="686"/>
      <c r="CR541" s="4"/>
      <c r="CS541" s="686"/>
      <c r="CT541" s="4"/>
      <c r="CU541" s="686"/>
      <c r="CV541" s="4"/>
      <c r="CW541" s="686"/>
      <c r="CX541" s="4"/>
      <c r="CY541" s="686"/>
      <c r="CZ541" s="4"/>
      <c r="DA541" s="686"/>
      <c r="DB541" s="686"/>
      <c r="DC541" s="4"/>
      <c r="DD541" s="686"/>
      <c r="DE541" s="4"/>
      <c r="DF541" s="686"/>
      <c r="DG541" s="4"/>
      <c r="DH541" s="686"/>
      <c r="DI541" s="4"/>
      <c r="DJ541" s="686"/>
      <c r="DK541" s="4"/>
      <c r="DL541" s="686"/>
      <c r="DM541" s="4"/>
      <c r="DN541" s="686"/>
      <c r="DO541" s="4"/>
      <c r="DP541" s="686"/>
      <c r="DQ541" s="4"/>
      <c r="DR541" s="686"/>
      <c r="DS541" s="4"/>
      <c r="DT541" s="686"/>
      <c r="DU541" s="4"/>
      <c r="DV541" s="686"/>
      <c r="DW541" s="4"/>
      <c r="DX541" s="686"/>
      <c r="DY541" s="4"/>
      <c r="DZ541" s="686"/>
      <c r="EA541" s="4"/>
      <c r="EB541" s="686"/>
      <c r="EC541" s="4"/>
      <c r="ED541" s="686"/>
      <c r="EE541" s="4"/>
      <c r="EF541" s="686"/>
      <c r="EG541" s="4"/>
      <c r="EH541" s="686"/>
      <c r="EI541" s="4"/>
      <c r="EJ541" s="686"/>
      <c r="EK541" s="4"/>
      <c r="EL541" s="686"/>
      <c r="EM541" s="686"/>
    </row>
    <row r="542" spans="1:152" ht="12.75" hidden="1" customHeight="1" outlineLevel="1" x14ac:dyDescent="0.2">
      <c r="A542" s="637" t="str">
        <f>A$3</f>
        <v>($Millions Except Per Share Data)</v>
      </c>
      <c r="B542" s="640"/>
      <c r="C542" s="641" t="str">
        <f>C$3</f>
        <v>1Q06/</v>
      </c>
      <c r="D542" s="640"/>
      <c r="E542" s="641" t="str">
        <f>E$3</f>
        <v>2Q06/</v>
      </c>
      <c r="F542" s="640"/>
      <c r="G542" s="641" t="str">
        <f>G$3</f>
        <v>3Q06/</v>
      </c>
      <c r="H542" s="640"/>
      <c r="I542" s="641" t="str">
        <f>I$3</f>
        <v>4Q06/</v>
      </c>
      <c r="J542" s="640"/>
      <c r="K542" s="641" t="str">
        <f>K$3</f>
        <v>1Q07/</v>
      </c>
      <c r="L542" s="640"/>
      <c r="M542" s="641" t="str">
        <f>M$3</f>
        <v>2Q07/</v>
      </c>
      <c r="N542" s="640"/>
      <c r="O542" s="641" t="str">
        <f>O$3</f>
        <v>3Q07/</v>
      </c>
      <c r="P542" s="640"/>
      <c r="Q542" s="641" t="str">
        <f>Q$3</f>
        <v>4Q07/</v>
      </c>
      <c r="R542" s="640"/>
      <c r="S542" s="641" t="str">
        <f>S$3</f>
        <v>1Q08/</v>
      </c>
      <c r="T542" s="640"/>
      <c r="U542" s="641" t="str">
        <f>U$3</f>
        <v>2Q08/</v>
      </c>
      <c r="V542" s="640"/>
      <c r="W542" s="641" t="str">
        <f>W$3</f>
        <v>3Q08/</v>
      </c>
      <c r="X542" s="640"/>
      <c r="Y542" s="641" t="str">
        <f>Y$3</f>
        <v>4Q08/</v>
      </c>
      <c r="Z542" s="640"/>
      <c r="AA542" s="641" t="str">
        <f>AA$3</f>
        <v>1Q09/</v>
      </c>
      <c r="AB542" s="640"/>
      <c r="AC542" s="641" t="str">
        <f>AC$3</f>
        <v>2Q09/</v>
      </c>
      <c r="AD542" s="640"/>
      <c r="AE542" s="641" t="str">
        <f>AE$3</f>
        <v>3Q09/</v>
      </c>
      <c r="AF542" s="640"/>
      <c r="AG542" s="641" t="str">
        <f>AG$3</f>
        <v>4Q09/</v>
      </c>
      <c r="AH542" s="640"/>
      <c r="AI542" s="641" t="str">
        <f>AI$3</f>
        <v>1Q10/</v>
      </c>
      <c r="AJ542" s="640"/>
      <c r="AK542" s="641" t="str">
        <f>AK$3</f>
        <v>2Q10/</v>
      </c>
      <c r="AL542" s="640"/>
      <c r="AM542" s="641" t="str">
        <f>AM$3</f>
        <v>3Q10/</v>
      </c>
      <c r="AN542" s="640"/>
      <c r="AO542" s="641" t="str">
        <f>AO$3</f>
        <v>4Q10/</v>
      </c>
      <c r="AP542" s="640"/>
      <c r="AQ542" s="641" t="str">
        <f>AQ$3</f>
        <v>1Q11/</v>
      </c>
      <c r="AR542" s="640"/>
      <c r="AS542" s="641" t="str">
        <f>AS$3</f>
        <v>2Q11/</v>
      </c>
      <c r="AT542" s="640"/>
      <c r="AU542" s="641" t="str">
        <f>AU$3</f>
        <v>3Q11/</v>
      </c>
      <c r="AV542" s="640"/>
      <c r="AW542" s="641" t="str">
        <f>AW$3</f>
        <v>4Q11/</v>
      </c>
      <c r="AX542" s="640"/>
      <c r="AY542" s="641" t="str">
        <f>AY$3</f>
        <v>1Q12/</v>
      </c>
      <c r="AZ542" s="640"/>
      <c r="BA542" s="641" t="str">
        <f>BA$3</f>
        <v>2Q12/</v>
      </c>
      <c r="BB542" s="640"/>
      <c r="BC542" s="641" t="str">
        <f>BC$3</f>
        <v>3Q12/</v>
      </c>
      <c r="BD542" s="640"/>
      <c r="BE542" s="641" t="str">
        <f>BE$3</f>
        <v>4Q12/</v>
      </c>
      <c r="BF542" s="640"/>
      <c r="BG542" s="641" t="str">
        <f>BG$3</f>
        <v>1Q13/</v>
      </c>
      <c r="BH542" s="640"/>
      <c r="BI542" s="641" t="str">
        <f>BI$3</f>
        <v>2Q13/</v>
      </c>
      <c r="BJ542" s="640"/>
      <c r="BK542" s="641" t="str">
        <f>BK$3</f>
        <v>3Q13/</v>
      </c>
      <c r="BL542" s="640"/>
      <c r="BM542" s="641" t="str">
        <f>BM$3</f>
        <v>4Q13/</v>
      </c>
      <c r="BN542" s="640"/>
      <c r="BO542" s="641" t="str">
        <f>BO$3</f>
        <v>1Q14/</v>
      </c>
      <c r="BP542" s="640"/>
      <c r="BQ542" s="641" t="str">
        <f>BQ$3</f>
        <v>2Q14/</v>
      </c>
      <c r="BR542" s="640"/>
      <c r="BS542" s="641" t="str">
        <f>BS$3</f>
        <v>3Q14/</v>
      </c>
      <c r="BT542" s="640"/>
      <c r="BU542" s="641" t="str">
        <f>BU$3</f>
        <v>4Q14/</v>
      </c>
      <c r="BV542" s="640"/>
      <c r="BW542" s="641" t="str">
        <f>BW$3</f>
        <v>1Q15/</v>
      </c>
      <c r="BX542" s="640"/>
      <c r="BY542" s="641" t="str">
        <f>BY$3</f>
        <v>2Q15/</v>
      </c>
      <c r="BZ542" s="640"/>
      <c r="CA542" s="641" t="str">
        <f>CA$3</f>
        <v>3Q15/</v>
      </c>
      <c r="CB542" s="640"/>
      <c r="CC542" s="641" t="str">
        <f>CC$3</f>
        <v>4Q15/</v>
      </c>
      <c r="CD542" s="640"/>
      <c r="CE542" s="641" t="str">
        <f>CE$3</f>
        <v>1Q16/</v>
      </c>
      <c r="CF542" s="640"/>
      <c r="CG542" s="641" t="str">
        <f>CG$3</f>
        <v>2Q16/</v>
      </c>
      <c r="CH542" s="640"/>
      <c r="CI542" s="641" t="str">
        <f>CI$3</f>
        <v>3Q16/</v>
      </c>
      <c r="CJ542" s="640"/>
      <c r="CK542" s="641" t="str">
        <f>CK$3</f>
        <v>4Q16/</v>
      </c>
      <c r="CL542" s="640"/>
      <c r="CM542" s="641" t="str">
        <f>CM$3</f>
        <v>1Q17/</v>
      </c>
      <c r="CN542" s="640"/>
      <c r="CO542" s="641" t="str">
        <f t="shared" ref="CO542" si="246">CO$3</f>
        <v>2Q17/</v>
      </c>
      <c r="CP542" s="640"/>
      <c r="CQ542" s="641" t="str">
        <f t="shared" ref="CQ542" si="247">CQ$3</f>
        <v>3Q17/</v>
      </c>
      <c r="CR542" s="640"/>
      <c r="CS542" s="641" t="str">
        <f t="shared" ref="CS542" si="248">CS$3</f>
        <v>4Q17/</v>
      </c>
      <c r="CT542" s="640"/>
      <c r="CU542" s="641" t="str">
        <f>CU$3</f>
        <v>1Q18E/</v>
      </c>
      <c r="CV542" s="640"/>
      <c r="CW542" s="641" t="str">
        <f t="shared" ref="CW542" si="249">CW$3</f>
        <v>2Q18E/</v>
      </c>
      <c r="CX542" s="640"/>
      <c r="CY542" s="641" t="str">
        <f t="shared" ref="CY542" si="250">CY$3</f>
        <v>3Q18E/</v>
      </c>
      <c r="CZ542" s="640"/>
      <c r="DA542" s="641" t="str">
        <f t="shared" ref="DA542" si="251">DA$3</f>
        <v>4Q18E/</v>
      </c>
      <c r="DB542" s="640"/>
      <c r="DC542" s="640"/>
      <c r="DD542" s="641" t="str">
        <f>DD$3</f>
        <v>2005/</v>
      </c>
      <c r="DE542" s="640"/>
      <c r="DF542" s="641" t="str">
        <f>DF$3</f>
        <v>2006/</v>
      </c>
      <c r="DG542" s="640"/>
      <c r="DH542" s="641" t="str">
        <f>DH$3</f>
        <v>2007/</v>
      </c>
      <c r="DI542" s="640"/>
      <c r="DJ542" s="641" t="str">
        <f>DJ$3</f>
        <v>2008/</v>
      </c>
      <c r="DK542" s="640"/>
      <c r="DL542" s="641" t="str">
        <f>DL$3</f>
        <v>2009/</v>
      </c>
      <c r="DM542" s="640"/>
      <c r="DN542" s="641" t="str">
        <f>DN$3</f>
        <v>2010/</v>
      </c>
      <c r="DO542" s="640"/>
      <c r="DP542" s="641" t="str">
        <f>DP$3</f>
        <v>2011/</v>
      </c>
      <c r="DQ542" s="640"/>
      <c r="DR542" s="641" t="str">
        <f>DR$3</f>
        <v>2012/</v>
      </c>
      <c r="DS542" s="640"/>
      <c r="DT542" s="641" t="str">
        <f>DT$3</f>
        <v>2013/</v>
      </c>
      <c r="DU542" s="640"/>
      <c r="DV542" s="641" t="str">
        <f>DV$3</f>
        <v>2014/</v>
      </c>
      <c r="DW542" s="640"/>
      <c r="DX542" s="641" t="str">
        <f>DX$3</f>
        <v>2015/</v>
      </c>
      <c r="DY542" s="640"/>
      <c r="DZ542" s="641" t="str">
        <f>DZ$3</f>
        <v>2016/</v>
      </c>
      <c r="EA542" s="640"/>
      <c r="EB542" s="641" t="str">
        <f>EB$3</f>
        <v>2017/</v>
      </c>
      <c r="EC542" s="640"/>
      <c r="ED542" s="641" t="str">
        <f>ED$3</f>
        <v>2018E/</v>
      </c>
      <c r="EE542" s="640"/>
      <c r="EF542" s="641" t="str">
        <f>EF$3</f>
        <v>2019E/</v>
      </c>
      <c r="EG542" s="640"/>
      <c r="EH542" s="641" t="str">
        <f>EH$3</f>
        <v>2020E/</v>
      </c>
      <c r="EI542" s="640"/>
      <c r="EJ542" s="641" t="str">
        <f>EJ$3</f>
        <v>2021E/</v>
      </c>
      <c r="EK542" s="640"/>
      <c r="EL542" s="641" t="str">
        <f>EL$3</f>
        <v>2022E/</v>
      </c>
      <c r="EM542" s="641" t="str">
        <f>EM$3</f>
        <v>5-Yr</v>
      </c>
      <c r="EN542" s="638"/>
      <c r="EO542" s="638"/>
      <c r="EP542" s="638"/>
      <c r="EQ542" s="638"/>
      <c r="ER542" s="638"/>
      <c r="ES542" s="638"/>
      <c r="ET542" s="638"/>
      <c r="EU542" s="638"/>
      <c r="EV542" s="638"/>
    </row>
    <row r="543" spans="1:152" ht="12.75" hidden="1" customHeight="1" outlineLevel="1" x14ac:dyDescent="0.2">
      <c r="A543" s="693"/>
      <c r="B543" s="692"/>
      <c r="C543" s="686" t="str">
        <f>C$4</f>
        <v>1Q05</v>
      </c>
      <c r="D543" s="692"/>
      <c r="E543" s="686" t="str">
        <f>E$4</f>
        <v>2Q05</v>
      </c>
      <c r="F543" s="692"/>
      <c r="G543" s="686" t="str">
        <f>G$4</f>
        <v>3Q05</v>
      </c>
      <c r="H543" s="692"/>
      <c r="I543" s="686" t="str">
        <f>I$4</f>
        <v>4Q05</v>
      </c>
      <c r="J543" s="692"/>
      <c r="K543" s="686" t="str">
        <f>K$4</f>
        <v>1Q06</v>
      </c>
      <c r="L543" s="692"/>
      <c r="M543" s="686" t="str">
        <f>M$4</f>
        <v>2Q06</v>
      </c>
      <c r="N543" s="692"/>
      <c r="O543" s="686" t="str">
        <f>O$4</f>
        <v>3Q06</v>
      </c>
      <c r="P543" s="692"/>
      <c r="Q543" s="686" t="str">
        <f>Q$4</f>
        <v>4Q06</v>
      </c>
      <c r="R543" s="692"/>
      <c r="S543" s="686" t="str">
        <f>S$4</f>
        <v>1Q07</v>
      </c>
      <c r="T543" s="692"/>
      <c r="U543" s="686" t="str">
        <f>U$4</f>
        <v>2Q07</v>
      </c>
      <c r="V543" s="692"/>
      <c r="W543" s="686" t="str">
        <f>W$4</f>
        <v>3Q07</v>
      </c>
      <c r="X543" s="692"/>
      <c r="Y543" s="686" t="str">
        <f>Y$4</f>
        <v>4Q07</v>
      </c>
      <c r="Z543" s="692"/>
      <c r="AA543" s="686" t="str">
        <f>AA$4</f>
        <v>1Q08</v>
      </c>
      <c r="AB543" s="692"/>
      <c r="AC543" s="686" t="str">
        <f>AC$4</f>
        <v>2Q08</v>
      </c>
      <c r="AD543" s="692"/>
      <c r="AE543" s="686" t="str">
        <f>AE$4</f>
        <v>3Q08</v>
      </c>
      <c r="AF543" s="692"/>
      <c r="AG543" s="686" t="str">
        <f>AG$4</f>
        <v>4Q08</v>
      </c>
      <c r="AH543" s="692"/>
      <c r="AI543" s="686" t="str">
        <f>AI$4</f>
        <v>1Q09</v>
      </c>
      <c r="AJ543" s="692"/>
      <c r="AK543" s="686" t="str">
        <f>AK$4</f>
        <v>2Q09</v>
      </c>
      <c r="AL543" s="692"/>
      <c r="AM543" s="686" t="str">
        <f>AM$4</f>
        <v>3Q09</v>
      </c>
      <c r="AN543" s="692"/>
      <c r="AO543" s="686" t="str">
        <f>AO$4</f>
        <v>4Q09</v>
      </c>
      <c r="AP543" s="692"/>
      <c r="AQ543" s="686" t="str">
        <f>AQ$4</f>
        <v>1Q10</v>
      </c>
      <c r="AR543" s="692"/>
      <c r="AS543" s="686" t="str">
        <f>AS$4</f>
        <v>2Q10</v>
      </c>
      <c r="AT543" s="692"/>
      <c r="AU543" s="686" t="str">
        <f>AU$4</f>
        <v>3Q10</v>
      </c>
      <c r="AV543" s="692"/>
      <c r="AW543" s="686" t="str">
        <f>AW$4</f>
        <v>4Q10</v>
      </c>
      <c r="AX543" s="692"/>
      <c r="AY543" s="686" t="str">
        <f>AY$4</f>
        <v>1Q11</v>
      </c>
      <c r="AZ543" s="692"/>
      <c r="BA543" s="686" t="str">
        <f>BA$4</f>
        <v>2Q11</v>
      </c>
      <c r="BB543" s="692"/>
      <c r="BC543" s="686" t="str">
        <f>BC$4</f>
        <v>3Q11</v>
      </c>
      <c r="BD543" s="692"/>
      <c r="BE543" s="686" t="str">
        <f>BE$4</f>
        <v>4Q11</v>
      </c>
      <c r="BF543" s="692"/>
      <c r="BG543" s="686" t="str">
        <f>BG$4</f>
        <v>1Q12</v>
      </c>
      <c r="BH543" s="692"/>
      <c r="BI543" s="686" t="str">
        <f>BI$4</f>
        <v>2Q12</v>
      </c>
      <c r="BJ543" s="692"/>
      <c r="BK543" s="686" t="str">
        <f>BK$4</f>
        <v>3Q12</v>
      </c>
      <c r="BL543" s="692"/>
      <c r="BM543" s="686" t="str">
        <f>BM$4</f>
        <v>4Q12</v>
      </c>
      <c r="BN543" s="692"/>
      <c r="BO543" s="686" t="str">
        <f>BO$4</f>
        <v>1Q13</v>
      </c>
      <c r="BP543" s="692"/>
      <c r="BQ543" s="686" t="str">
        <f>BQ$4</f>
        <v>2Q13</v>
      </c>
      <c r="BR543" s="692"/>
      <c r="BS543" s="686" t="str">
        <f>BS$4</f>
        <v>3Q13</v>
      </c>
      <c r="BT543" s="692"/>
      <c r="BU543" s="686" t="str">
        <f>BU$4</f>
        <v>4Q13</v>
      </c>
      <c r="BV543" s="692"/>
      <c r="BW543" s="686" t="str">
        <f>BW$4</f>
        <v>1Q14</v>
      </c>
      <c r="BX543" s="692"/>
      <c r="BY543" s="686" t="str">
        <f>BY$4</f>
        <v>2Q14</v>
      </c>
      <c r="BZ543" s="692"/>
      <c r="CA543" s="686" t="str">
        <f>CA$4</f>
        <v>3Q14</v>
      </c>
      <c r="CB543" s="692"/>
      <c r="CC543" s="686" t="str">
        <f>CC$4</f>
        <v>4Q14</v>
      </c>
      <c r="CD543" s="692"/>
      <c r="CE543" s="686" t="str">
        <f>CE$4</f>
        <v>1Q15</v>
      </c>
      <c r="CF543" s="692"/>
      <c r="CG543" s="686" t="str">
        <f>CG$4</f>
        <v>2Q15</v>
      </c>
      <c r="CH543" s="692"/>
      <c r="CI543" s="686" t="str">
        <f>CI$4</f>
        <v>3Q15</v>
      </c>
      <c r="CJ543" s="692"/>
      <c r="CK543" s="686" t="str">
        <f>CK$4</f>
        <v>4Q15</v>
      </c>
      <c r="CL543" s="692"/>
      <c r="CM543" s="686" t="str">
        <f>CM$4</f>
        <v>1Q16</v>
      </c>
      <c r="CN543" s="692"/>
      <c r="CO543" s="686" t="str">
        <f t="shared" ref="CO543" si="252">CO$4</f>
        <v>2Q16</v>
      </c>
      <c r="CP543" s="692"/>
      <c r="CQ543" s="686" t="str">
        <f t="shared" ref="CQ543" si="253">CQ$4</f>
        <v>3Q16</v>
      </c>
      <c r="CR543" s="692"/>
      <c r="CS543" s="686" t="str">
        <f t="shared" ref="CS543" si="254">CS$4</f>
        <v>4Q16</v>
      </c>
      <c r="CT543" s="692"/>
      <c r="CU543" s="686" t="str">
        <f>CU$4</f>
        <v>1Q17</v>
      </c>
      <c r="CV543" s="692"/>
      <c r="CW543" s="686" t="str">
        <f t="shared" ref="CW543" si="255">CW$4</f>
        <v>2Q17</v>
      </c>
      <c r="CX543" s="692"/>
      <c r="CY543" s="686" t="str">
        <f t="shared" ref="CY543" si="256">CY$4</f>
        <v>3Q17</v>
      </c>
      <c r="CZ543" s="692"/>
      <c r="DA543" s="686" t="str">
        <f t="shared" ref="DA543" si="257">DA$4</f>
        <v>4Q17</v>
      </c>
      <c r="DB543" s="692"/>
      <c r="DC543" s="692"/>
      <c r="DD543" s="686">
        <f>DD$4</f>
        <v>2004</v>
      </c>
      <c r="DE543" s="692"/>
      <c r="DF543" s="686">
        <f>DF$4</f>
        <v>2005</v>
      </c>
      <c r="DG543" s="692"/>
      <c r="DH543" s="686">
        <f>DH$4</f>
        <v>2006</v>
      </c>
      <c r="DI543" s="692"/>
      <c r="DJ543" s="686">
        <f>DJ$4</f>
        <v>2007</v>
      </c>
      <c r="DK543" s="692"/>
      <c r="DL543" s="686">
        <f>DL$4</f>
        <v>2008</v>
      </c>
      <c r="DM543" s="692"/>
      <c r="DN543" s="686" t="str">
        <f>DN$4</f>
        <v>2009</v>
      </c>
      <c r="DO543" s="692"/>
      <c r="DP543" s="686" t="str">
        <f>DP$4</f>
        <v>2010</v>
      </c>
      <c r="DQ543" s="692"/>
      <c r="DR543" s="686" t="str">
        <f>DR$4</f>
        <v>2011</v>
      </c>
      <c r="DS543" s="692"/>
      <c r="DT543" s="686" t="str">
        <f>DT$4</f>
        <v>2012</v>
      </c>
      <c r="DU543" s="692"/>
      <c r="DV543" s="686" t="str">
        <f>DV$4</f>
        <v>2013</v>
      </c>
      <c r="DW543" s="692"/>
      <c r="DX543" s="686" t="str">
        <f>DX$4</f>
        <v>2014</v>
      </c>
      <c r="DY543" s="692"/>
      <c r="DZ543" s="686" t="str">
        <f>DZ$4</f>
        <v>2015</v>
      </c>
      <c r="EA543" s="692"/>
      <c r="EB543" s="686" t="str">
        <f>EB$4</f>
        <v>2016</v>
      </c>
      <c r="EC543" s="692"/>
      <c r="ED543" s="686" t="str">
        <f>ED$4</f>
        <v>2017</v>
      </c>
      <c r="EE543" s="692"/>
      <c r="EF543" s="686" t="str">
        <f>EF$4</f>
        <v>2018E</v>
      </c>
      <c r="EG543" s="692"/>
      <c r="EH543" s="686" t="str">
        <f>EH$4</f>
        <v>2019E</v>
      </c>
      <c r="EI543" s="692"/>
      <c r="EJ543" s="686" t="str">
        <f>EJ$4</f>
        <v>2020E</v>
      </c>
      <c r="EK543" s="692"/>
      <c r="EL543" s="686" t="str">
        <f>EL$4</f>
        <v>2021E</v>
      </c>
      <c r="EM543" s="686" t="str">
        <f>EM$4</f>
        <v>CAGR</v>
      </c>
    </row>
    <row r="544" spans="1:152" ht="12.75" hidden="1" customHeight="1" outlineLevel="1" x14ac:dyDescent="0.2">
      <c r="A544" s="694"/>
      <c r="B544" s="695" t="str">
        <f t="shared" ref="B544:BN544" si="258">B$5</f>
        <v>1Q06</v>
      </c>
      <c r="C544" s="696" t="str">
        <f t="shared" si="258"/>
        <v>% Chg</v>
      </c>
      <c r="D544" s="695" t="str">
        <f t="shared" si="258"/>
        <v>2Q06</v>
      </c>
      <c r="E544" s="696" t="str">
        <f t="shared" si="258"/>
        <v>% Chg</v>
      </c>
      <c r="F544" s="695" t="str">
        <f t="shared" si="258"/>
        <v>3Q06</v>
      </c>
      <c r="G544" s="696" t="str">
        <f t="shared" si="258"/>
        <v>% Chg</v>
      </c>
      <c r="H544" s="695" t="str">
        <f t="shared" si="258"/>
        <v>4Q06</v>
      </c>
      <c r="I544" s="696" t="str">
        <f t="shared" si="258"/>
        <v>% Chg</v>
      </c>
      <c r="J544" s="695" t="str">
        <f t="shared" si="258"/>
        <v>1Q07</v>
      </c>
      <c r="K544" s="696" t="str">
        <f t="shared" si="258"/>
        <v>% Chg</v>
      </c>
      <c r="L544" s="695" t="str">
        <f t="shared" si="258"/>
        <v>2Q07</v>
      </c>
      <c r="M544" s="696" t="str">
        <f t="shared" si="258"/>
        <v>% Chg</v>
      </c>
      <c r="N544" s="695" t="str">
        <f t="shared" si="258"/>
        <v>3Q07</v>
      </c>
      <c r="O544" s="696" t="str">
        <f t="shared" si="258"/>
        <v>% Chg</v>
      </c>
      <c r="P544" s="695" t="str">
        <f t="shared" si="258"/>
        <v>4Q07</v>
      </c>
      <c r="Q544" s="696" t="str">
        <f t="shared" si="258"/>
        <v>% Chg</v>
      </c>
      <c r="R544" s="695" t="str">
        <f t="shared" si="258"/>
        <v>1Q08</v>
      </c>
      <c r="S544" s="696" t="str">
        <f t="shared" si="258"/>
        <v>% Chg</v>
      </c>
      <c r="T544" s="695" t="str">
        <f t="shared" si="258"/>
        <v>2Q08</v>
      </c>
      <c r="U544" s="696" t="str">
        <f t="shared" si="258"/>
        <v>% Chg</v>
      </c>
      <c r="V544" s="695" t="str">
        <f t="shared" si="258"/>
        <v>3Q08</v>
      </c>
      <c r="W544" s="696" t="str">
        <f t="shared" si="258"/>
        <v>% Chg</v>
      </c>
      <c r="X544" s="695" t="str">
        <f t="shared" si="258"/>
        <v>4Q08</v>
      </c>
      <c r="Y544" s="696" t="str">
        <f t="shared" si="258"/>
        <v>% Chg</v>
      </c>
      <c r="Z544" s="695" t="str">
        <f t="shared" si="258"/>
        <v>1Q09</v>
      </c>
      <c r="AA544" s="696" t="str">
        <f t="shared" si="258"/>
        <v>% Chg</v>
      </c>
      <c r="AB544" s="695" t="str">
        <f t="shared" si="258"/>
        <v>2Q09</v>
      </c>
      <c r="AC544" s="696" t="str">
        <f t="shared" si="258"/>
        <v>% Chg</v>
      </c>
      <c r="AD544" s="695" t="str">
        <f t="shared" si="258"/>
        <v>3Q09</v>
      </c>
      <c r="AE544" s="696" t="str">
        <f t="shared" si="258"/>
        <v>% Chg</v>
      </c>
      <c r="AF544" s="695" t="str">
        <f t="shared" si="258"/>
        <v>4Q09</v>
      </c>
      <c r="AG544" s="696" t="str">
        <f t="shared" si="258"/>
        <v>% Chg</v>
      </c>
      <c r="AH544" s="695" t="str">
        <f t="shared" si="258"/>
        <v>1Q10</v>
      </c>
      <c r="AI544" s="696" t="str">
        <f t="shared" si="258"/>
        <v>% Chg</v>
      </c>
      <c r="AJ544" s="695" t="str">
        <f t="shared" si="258"/>
        <v>2Q10</v>
      </c>
      <c r="AK544" s="696" t="str">
        <f t="shared" si="258"/>
        <v>% Chg</v>
      </c>
      <c r="AL544" s="695" t="str">
        <f t="shared" si="258"/>
        <v>3Q10</v>
      </c>
      <c r="AM544" s="696" t="str">
        <f t="shared" si="258"/>
        <v>% Chg</v>
      </c>
      <c r="AN544" s="695" t="str">
        <f t="shared" si="258"/>
        <v>4Q10</v>
      </c>
      <c r="AO544" s="696" t="str">
        <f t="shared" si="258"/>
        <v>% Chg</v>
      </c>
      <c r="AP544" s="695" t="str">
        <f t="shared" si="258"/>
        <v>1Q11</v>
      </c>
      <c r="AQ544" s="696" t="str">
        <f t="shared" si="258"/>
        <v>% Chg</v>
      </c>
      <c r="AR544" s="695" t="str">
        <f t="shared" si="258"/>
        <v>2Q11</v>
      </c>
      <c r="AS544" s="696" t="str">
        <f t="shared" si="258"/>
        <v>% Chg</v>
      </c>
      <c r="AT544" s="695" t="str">
        <f t="shared" si="258"/>
        <v>3Q11</v>
      </c>
      <c r="AU544" s="696" t="str">
        <f t="shared" si="258"/>
        <v>% Chg</v>
      </c>
      <c r="AV544" s="695" t="str">
        <f t="shared" si="258"/>
        <v>4Q11</v>
      </c>
      <c r="AW544" s="696" t="str">
        <f t="shared" si="258"/>
        <v>% Chg</v>
      </c>
      <c r="AX544" s="695" t="str">
        <f t="shared" si="258"/>
        <v>1Q12</v>
      </c>
      <c r="AY544" s="696" t="str">
        <f t="shared" si="258"/>
        <v>% Chg</v>
      </c>
      <c r="AZ544" s="695" t="str">
        <f t="shared" si="258"/>
        <v>2Q12</v>
      </c>
      <c r="BA544" s="696" t="str">
        <f t="shared" si="258"/>
        <v>% Chg</v>
      </c>
      <c r="BB544" s="695" t="str">
        <f t="shared" si="258"/>
        <v>3Q12</v>
      </c>
      <c r="BC544" s="696" t="str">
        <f t="shared" si="258"/>
        <v>% Chg</v>
      </c>
      <c r="BD544" s="695" t="str">
        <f t="shared" si="258"/>
        <v>4Q12</v>
      </c>
      <c r="BE544" s="696" t="str">
        <f t="shared" si="258"/>
        <v>% Chg</v>
      </c>
      <c r="BF544" s="695" t="str">
        <f t="shared" si="258"/>
        <v>1Q13</v>
      </c>
      <c r="BG544" s="696" t="str">
        <f t="shared" si="258"/>
        <v>% Chg</v>
      </c>
      <c r="BH544" s="695" t="str">
        <f t="shared" si="258"/>
        <v>2Q13</v>
      </c>
      <c r="BI544" s="696" t="str">
        <f t="shared" si="258"/>
        <v>% Chg</v>
      </c>
      <c r="BJ544" s="695" t="str">
        <f t="shared" si="258"/>
        <v>3Q13</v>
      </c>
      <c r="BK544" s="696" t="str">
        <f t="shared" si="258"/>
        <v>% Chg</v>
      </c>
      <c r="BL544" s="695" t="str">
        <f t="shared" si="258"/>
        <v>4Q13</v>
      </c>
      <c r="BM544" s="696" t="str">
        <f t="shared" si="258"/>
        <v>% Chg</v>
      </c>
      <c r="BN544" s="695" t="str">
        <f t="shared" si="258"/>
        <v>1Q14</v>
      </c>
      <c r="BO544" s="696" t="str">
        <f t="shared" ref="BO544:DA544" si="259">BO$5</f>
        <v>% Chg</v>
      </c>
      <c r="BP544" s="695" t="str">
        <f t="shared" si="259"/>
        <v>2Q14</v>
      </c>
      <c r="BQ544" s="696" t="str">
        <f t="shared" si="259"/>
        <v>% Chg</v>
      </c>
      <c r="BR544" s="695" t="str">
        <f t="shared" si="259"/>
        <v>3Q14</v>
      </c>
      <c r="BS544" s="696" t="str">
        <f t="shared" si="259"/>
        <v>% Chg</v>
      </c>
      <c r="BT544" s="695" t="str">
        <f t="shared" si="259"/>
        <v>4Q14</v>
      </c>
      <c r="BU544" s="696" t="str">
        <f t="shared" si="259"/>
        <v>% Chg</v>
      </c>
      <c r="BV544" s="695" t="str">
        <f t="shared" si="259"/>
        <v>1Q15</v>
      </c>
      <c r="BW544" s="696" t="str">
        <f t="shared" si="259"/>
        <v>% Chg</v>
      </c>
      <c r="BX544" s="695" t="str">
        <f t="shared" si="259"/>
        <v>2Q15</v>
      </c>
      <c r="BY544" s="696" t="str">
        <f t="shared" si="259"/>
        <v>% Chg</v>
      </c>
      <c r="BZ544" s="695" t="str">
        <f t="shared" si="259"/>
        <v>3Q15</v>
      </c>
      <c r="CA544" s="696" t="str">
        <f t="shared" si="259"/>
        <v>% Chg</v>
      </c>
      <c r="CB544" s="695" t="str">
        <f t="shared" si="259"/>
        <v>4Q15</v>
      </c>
      <c r="CC544" s="696" t="str">
        <f t="shared" si="259"/>
        <v>% Chg</v>
      </c>
      <c r="CD544" s="695" t="str">
        <f t="shared" si="259"/>
        <v>1Q16</v>
      </c>
      <c r="CE544" s="696" t="str">
        <f t="shared" si="259"/>
        <v>% Chg</v>
      </c>
      <c r="CF544" s="695" t="str">
        <f t="shared" si="259"/>
        <v>2Q16</v>
      </c>
      <c r="CG544" s="696" t="str">
        <f t="shared" si="259"/>
        <v>% Chg</v>
      </c>
      <c r="CH544" s="695" t="str">
        <f t="shared" si="259"/>
        <v>3Q16</v>
      </c>
      <c r="CI544" s="696" t="str">
        <f t="shared" si="259"/>
        <v>% Chg</v>
      </c>
      <c r="CJ544" s="695" t="str">
        <f t="shared" si="259"/>
        <v>4Q16</v>
      </c>
      <c r="CK544" s="696" t="str">
        <f t="shared" si="259"/>
        <v>% Chg</v>
      </c>
      <c r="CL544" s="695" t="str">
        <f t="shared" si="259"/>
        <v>1Q17</v>
      </c>
      <c r="CM544" s="696" t="str">
        <f t="shared" si="259"/>
        <v>% Chg</v>
      </c>
      <c r="CN544" s="695" t="str">
        <f t="shared" si="259"/>
        <v>2Q17</v>
      </c>
      <c r="CO544" s="696" t="str">
        <f t="shared" si="259"/>
        <v>% Chg</v>
      </c>
      <c r="CP544" s="695" t="str">
        <f t="shared" si="259"/>
        <v>3Q17</v>
      </c>
      <c r="CQ544" s="696" t="str">
        <f t="shared" si="259"/>
        <v>% Chg</v>
      </c>
      <c r="CR544" s="695" t="str">
        <f t="shared" si="259"/>
        <v>4Q17</v>
      </c>
      <c r="CS544" s="696" t="str">
        <f t="shared" si="259"/>
        <v>% Chg</v>
      </c>
      <c r="CT544" s="695" t="str">
        <f t="shared" si="259"/>
        <v>1Q18E</v>
      </c>
      <c r="CU544" s="696" t="str">
        <f t="shared" si="259"/>
        <v>% Chg</v>
      </c>
      <c r="CV544" s="695" t="str">
        <f t="shared" si="259"/>
        <v>2Q18E</v>
      </c>
      <c r="CW544" s="696" t="str">
        <f t="shared" si="259"/>
        <v>% Chg</v>
      </c>
      <c r="CX544" s="695" t="str">
        <f t="shared" si="259"/>
        <v>3Q18E</v>
      </c>
      <c r="CY544" s="696" t="str">
        <f t="shared" si="259"/>
        <v>% Chg</v>
      </c>
      <c r="CZ544" s="695" t="str">
        <f t="shared" si="259"/>
        <v>4Q18E</v>
      </c>
      <c r="DA544" s="696" t="str">
        <f t="shared" si="259"/>
        <v>% Chg</v>
      </c>
      <c r="DB544" s="695"/>
      <c r="DC544" s="697">
        <f t="shared" ref="DC544:EM544" si="260">DC$5</f>
        <v>2005</v>
      </c>
      <c r="DD544" s="696" t="str">
        <f t="shared" si="260"/>
        <v>% Chg</v>
      </c>
      <c r="DE544" s="698">
        <f>$DE$5</f>
        <v>2006</v>
      </c>
      <c r="DF544" s="696" t="str">
        <f>INPUT!FS$6</f>
        <v>% Chg</v>
      </c>
      <c r="DG544" s="699">
        <f>$DG$5</f>
        <v>2007</v>
      </c>
      <c r="DH544" s="696" t="str">
        <f t="shared" si="260"/>
        <v>% Chg</v>
      </c>
      <c r="DI544" s="699">
        <f t="shared" si="260"/>
        <v>2008</v>
      </c>
      <c r="DJ544" s="696" t="str">
        <f t="shared" si="260"/>
        <v>% Chg</v>
      </c>
      <c r="DK544" s="695" t="str">
        <f t="shared" si="260"/>
        <v>2009</v>
      </c>
      <c r="DL544" s="696" t="str">
        <f t="shared" si="260"/>
        <v>% Chg</v>
      </c>
      <c r="DM544" s="695" t="str">
        <f t="shared" si="260"/>
        <v>2010</v>
      </c>
      <c r="DN544" s="696" t="str">
        <f t="shared" si="260"/>
        <v>% Chg</v>
      </c>
      <c r="DO544" s="695" t="str">
        <f t="shared" si="260"/>
        <v>2011</v>
      </c>
      <c r="DP544" s="696" t="str">
        <f t="shared" si="260"/>
        <v>% Chg</v>
      </c>
      <c r="DQ544" s="695" t="str">
        <f t="shared" si="260"/>
        <v>2012</v>
      </c>
      <c r="DR544" s="696" t="str">
        <f t="shared" si="260"/>
        <v>% Chg</v>
      </c>
      <c r="DS544" s="695" t="str">
        <f t="shared" si="260"/>
        <v>2013</v>
      </c>
      <c r="DT544" s="696" t="str">
        <f t="shared" si="260"/>
        <v>% Chg</v>
      </c>
      <c r="DU544" s="695" t="str">
        <f t="shared" si="260"/>
        <v>2014</v>
      </c>
      <c r="DV544" s="696" t="str">
        <f t="shared" si="260"/>
        <v>% Chg</v>
      </c>
      <c r="DW544" s="695" t="str">
        <f t="shared" si="260"/>
        <v>2015</v>
      </c>
      <c r="DX544" s="696" t="str">
        <f t="shared" si="260"/>
        <v>% Chg</v>
      </c>
      <c r="DY544" s="695" t="str">
        <f t="shared" si="260"/>
        <v>2016</v>
      </c>
      <c r="DZ544" s="696" t="str">
        <f t="shared" si="260"/>
        <v>% Chg</v>
      </c>
      <c r="EA544" s="695" t="str">
        <f t="shared" si="260"/>
        <v>2017</v>
      </c>
      <c r="EB544" s="696" t="str">
        <f t="shared" si="260"/>
        <v>% Chg</v>
      </c>
      <c r="EC544" s="695" t="str">
        <f t="shared" si="260"/>
        <v>2018E</v>
      </c>
      <c r="ED544" s="696" t="str">
        <f t="shared" si="260"/>
        <v>% Chg</v>
      </c>
      <c r="EE544" s="695" t="str">
        <f t="shared" si="260"/>
        <v>2019E</v>
      </c>
      <c r="EF544" s="696" t="str">
        <f t="shared" si="260"/>
        <v>% Chg</v>
      </c>
      <c r="EG544" s="695" t="str">
        <f t="shared" si="260"/>
        <v>2020E</v>
      </c>
      <c r="EH544" s="696" t="str">
        <f t="shared" si="260"/>
        <v>% Chg</v>
      </c>
      <c r="EI544" s="695" t="str">
        <f t="shared" si="260"/>
        <v>2021E</v>
      </c>
      <c r="EJ544" s="696" t="str">
        <f t="shared" si="260"/>
        <v>% Chg</v>
      </c>
      <c r="EK544" s="695" t="str">
        <f t="shared" si="260"/>
        <v>2022E</v>
      </c>
      <c r="EL544" s="696" t="str">
        <f t="shared" si="260"/>
        <v>% Chg</v>
      </c>
      <c r="EM544" s="696" t="str">
        <f t="shared" si="260"/>
        <v>(%)</v>
      </c>
    </row>
    <row r="545" spans="1:143" ht="12.75" hidden="1" customHeight="1" outlineLevel="1" x14ac:dyDescent="0.2">
      <c r="A545" s="700"/>
      <c r="B545" s="16"/>
      <c r="C545" s="687"/>
      <c r="D545" s="16"/>
      <c r="E545" s="687"/>
      <c r="F545" s="16"/>
      <c r="G545" s="687"/>
      <c r="H545" s="16"/>
      <c r="I545" s="687"/>
      <c r="J545" s="16"/>
      <c r="K545" s="687"/>
      <c r="L545" s="16"/>
      <c r="M545" s="687"/>
      <c r="N545" s="16"/>
      <c r="O545" s="687"/>
      <c r="P545" s="16"/>
      <c r="Q545" s="687"/>
      <c r="R545" s="16"/>
      <c r="S545" s="687"/>
      <c r="T545" s="16"/>
      <c r="U545" s="687"/>
      <c r="V545" s="16"/>
      <c r="W545" s="687"/>
      <c r="X545" s="16"/>
      <c r="Y545" s="687"/>
      <c r="Z545" s="16"/>
      <c r="AA545" s="687"/>
      <c r="AB545" s="16"/>
      <c r="AC545" s="687"/>
      <c r="AD545" s="16"/>
      <c r="AE545" s="687"/>
      <c r="AF545" s="16"/>
      <c r="AG545" s="687"/>
      <c r="AH545" s="16"/>
      <c r="AI545" s="687"/>
      <c r="AJ545" s="16"/>
      <c r="AK545" s="687"/>
      <c r="AL545" s="16"/>
      <c r="AM545" s="687"/>
      <c r="AN545" s="16"/>
      <c r="AO545" s="687"/>
      <c r="AP545" s="16"/>
      <c r="AQ545" s="687"/>
      <c r="AR545" s="16"/>
      <c r="AS545" s="687"/>
      <c r="AT545" s="16"/>
      <c r="AU545" s="687"/>
      <c r="AV545" s="16"/>
      <c r="AW545" s="687"/>
      <c r="AX545" s="16"/>
      <c r="AY545" s="687"/>
      <c r="AZ545" s="16"/>
      <c r="BA545" s="687"/>
      <c r="BB545" s="16"/>
      <c r="BC545" s="687"/>
      <c r="BD545" s="16"/>
      <c r="BE545" s="687"/>
      <c r="BF545" s="16"/>
      <c r="BG545" s="687"/>
      <c r="BH545" s="16"/>
      <c r="BI545" s="687"/>
      <c r="BJ545" s="16"/>
      <c r="BK545" s="687"/>
      <c r="BL545" s="16"/>
      <c r="BM545" s="687"/>
      <c r="BN545" s="16"/>
      <c r="BO545" s="687"/>
      <c r="BP545" s="16"/>
      <c r="BQ545" s="687"/>
      <c r="BR545" s="16"/>
      <c r="BS545" s="687"/>
      <c r="BT545" s="16"/>
      <c r="BU545" s="687"/>
      <c r="BV545" s="16"/>
      <c r="BW545" s="687"/>
      <c r="BX545" s="16"/>
      <c r="BY545" s="687"/>
      <c r="BZ545" s="16"/>
      <c r="CA545" s="687"/>
      <c r="CB545" s="16"/>
      <c r="CC545" s="687"/>
      <c r="CD545" s="16"/>
      <c r="CE545" s="687"/>
      <c r="CF545" s="16"/>
      <c r="CG545" s="687"/>
      <c r="CH545" s="16"/>
      <c r="CI545" s="687"/>
      <c r="CJ545" s="16"/>
      <c r="CK545" s="687"/>
      <c r="CL545" s="16"/>
      <c r="CM545" s="687"/>
      <c r="CN545" s="16"/>
      <c r="CO545" s="687"/>
      <c r="CP545" s="16"/>
      <c r="CQ545" s="687"/>
      <c r="CR545" s="16"/>
      <c r="CS545" s="687"/>
      <c r="CT545" s="16"/>
      <c r="CU545" s="687"/>
      <c r="CV545" s="16"/>
      <c r="CW545" s="687"/>
      <c r="CX545" s="16"/>
      <c r="CY545" s="687"/>
      <c r="CZ545" s="16"/>
      <c r="DA545" s="687"/>
      <c r="DB545" s="16"/>
      <c r="DC545" s="16"/>
      <c r="DD545" s="687"/>
      <c r="DE545" s="16"/>
      <c r="DF545" s="687"/>
      <c r="DG545" s="16"/>
      <c r="DH545" s="687"/>
      <c r="DI545" s="16"/>
      <c r="DJ545" s="687"/>
      <c r="DK545" s="16"/>
      <c r="DL545" s="687"/>
      <c r="DM545" s="16"/>
      <c r="DN545" s="687"/>
      <c r="DO545" s="16"/>
      <c r="DP545" s="687"/>
      <c r="DQ545" s="16"/>
      <c r="DR545" s="687"/>
      <c r="DS545" s="16"/>
      <c r="DT545" s="687"/>
      <c r="DU545" s="16"/>
      <c r="DV545" s="687"/>
      <c r="DW545" s="16"/>
      <c r="DX545" s="687"/>
      <c r="DY545" s="16"/>
      <c r="DZ545" s="687"/>
      <c r="EA545" s="16"/>
      <c r="EB545" s="687"/>
      <c r="EC545" s="16"/>
      <c r="ED545" s="687"/>
      <c r="EE545" s="16"/>
      <c r="EF545" s="687"/>
      <c r="EG545" s="16"/>
      <c r="EH545" s="687"/>
      <c r="EI545" s="16"/>
      <c r="EJ545" s="687"/>
      <c r="EK545" s="16"/>
      <c r="EL545" s="687"/>
      <c r="EM545" s="687"/>
    </row>
    <row r="546" spans="1:143" ht="12.75" hidden="1" customHeight="1" outlineLevel="1" x14ac:dyDescent="0.2">
      <c r="A546" s="700" t="str">
        <f>INPUT!B470</f>
        <v>REVENUES</v>
      </c>
      <c r="B546" s="16"/>
      <c r="C546" s="687"/>
      <c r="D546" s="16"/>
      <c r="E546" s="687"/>
      <c r="F546" s="16"/>
      <c r="G546" s="687"/>
      <c r="H546" s="16"/>
      <c r="I546" s="687"/>
      <c r="J546" s="16"/>
      <c r="K546" s="687"/>
      <c r="L546" s="16"/>
      <c r="M546" s="687"/>
      <c r="N546" s="16"/>
      <c r="O546" s="687"/>
      <c r="P546" s="16"/>
      <c r="Q546" s="687"/>
      <c r="R546" s="16"/>
      <c r="S546" s="687"/>
      <c r="T546" s="16"/>
      <c r="U546" s="687"/>
      <c r="V546" s="16"/>
      <c r="W546" s="687"/>
      <c r="X546" s="16"/>
      <c r="Y546" s="687"/>
      <c r="Z546" s="16"/>
      <c r="AA546" s="687"/>
      <c r="AB546" s="16"/>
      <c r="AC546" s="687"/>
      <c r="AD546" s="16"/>
      <c r="AE546" s="687"/>
      <c r="AF546" s="16"/>
      <c r="AG546" s="687"/>
      <c r="AH546" s="16"/>
      <c r="AI546" s="687"/>
      <c r="AJ546" s="16"/>
      <c r="AK546" s="687"/>
      <c r="AL546" s="16"/>
      <c r="AM546" s="687"/>
      <c r="AN546" s="16"/>
      <c r="AO546" s="687"/>
      <c r="AP546" s="16"/>
      <c r="AQ546" s="687"/>
      <c r="AR546" s="16"/>
      <c r="AS546" s="687"/>
      <c r="AT546" s="16"/>
      <c r="AU546" s="687"/>
      <c r="AV546" s="16"/>
      <c r="AW546" s="687"/>
      <c r="AX546" s="16"/>
      <c r="AY546" s="687"/>
      <c r="AZ546" s="16"/>
      <c r="BA546" s="687"/>
      <c r="BB546" s="16"/>
      <c r="BC546" s="687"/>
      <c r="BD546" s="16"/>
      <c r="BE546" s="687"/>
      <c r="BF546" s="16"/>
      <c r="BG546" s="687"/>
      <c r="BH546" s="16"/>
      <c r="BI546" s="687"/>
      <c r="BJ546" s="16"/>
      <c r="BK546" s="687"/>
      <c r="BL546" s="16"/>
      <c r="BM546" s="687"/>
      <c r="BN546" s="16"/>
      <c r="BO546" s="687"/>
      <c r="BP546" s="16"/>
      <c r="BQ546" s="687"/>
      <c r="BR546" s="16"/>
      <c r="BS546" s="687"/>
      <c r="BT546" s="16"/>
      <c r="BU546" s="687"/>
      <c r="BV546" s="16"/>
      <c r="BW546" s="687"/>
      <c r="BX546" s="16"/>
      <c r="BY546" s="687"/>
      <c r="BZ546" s="16"/>
      <c r="CA546" s="687"/>
      <c r="CB546" s="16"/>
      <c r="CC546" s="687"/>
      <c r="CD546" s="16"/>
      <c r="CE546" s="687"/>
      <c r="CF546" s="16"/>
      <c r="CG546" s="687"/>
      <c r="CH546" s="16"/>
      <c r="CI546" s="687"/>
      <c r="CJ546" s="16"/>
      <c r="CK546" s="687"/>
      <c r="CL546" s="16"/>
      <c r="CM546" s="687"/>
      <c r="CN546" s="16"/>
      <c r="CO546" s="687"/>
      <c r="CP546" s="16"/>
      <c r="CQ546" s="687"/>
      <c r="CR546" s="16"/>
      <c r="CS546" s="687"/>
      <c r="CT546" s="16"/>
      <c r="CU546" s="687"/>
      <c r="CV546" s="16"/>
      <c r="CW546" s="687"/>
      <c r="CX546" s="16"/>
      <c r="CY546" s="687"/>
      <c r="CZ546" s="16"/>
      <c r="DA546" s="687"/>
      <c r="DB546" s="16"/>
      <c r="DC546" s="16"/>
      <c r="DD546" s="687"/>
      <c r="DE546" s="16"/>
      <c r="DF546" s="687"/>
      <c r="DG546" s="16"/>
      <c r="DH546" s="687"/>
      <c r="DI546" s="16"/>
      <c r="DJ546" s="687"/>
      <c r="DK546" s="16"/>
      <c r="DL546" s="687"/>
      <c r="DM546" s="16"/>
      <c r="DN546" s="687"/>
      <c r="DO546" s="16"/>
      <c r="DP546" s="687"/>
      <c r="DQ546" s="16"/>
      <c r="DR546" s="687"/>
      <c r="DS546" s="16"/>
      <c r="DT546" s="687"/>
      <c r="DU546" s="16"/>
      <c r="DV546" s="687"/>
      <c r="DW546" s="16"/>
      <c r="DX546" s="687"/>
      <c r="DY546" s="16"/>
      <c r="DZ546" s="687"/>
      <c r="EA546" s="16"/>
      <c r="EB546" s="687"/>
      <c r="EC546" s="16"/>
      <c r="ED546" s="687"/>
      <c r="EE546" s="16"/>
      <c r="EF546" s="687"/>
      <c r="EG546" s="16"/>
      <c r="EH546" s="687"/>
      <c r="EI546" s="16"/>
      <c r="EJ546" s="687"/>
      <c r="EK546" s="16"/>
      <c r="EL546" s="687"/>
      <c r="EM546" s="687"/>
    </row>
    <row r="547" spans="1:143" ht="12.75" hidden="1" customHeight="1" outlineLevel="1" x14ac:dyDescent="0.2">
      <c r="A547" s="701" t="str">
        <f>INPUT!B471</f>
        <v>Earnings on Investments and Other</v>
      </c>
      <c r="B547" s="151">
        <f>INPUT!AY471</f>
        <v>12.9</v>
      </c>
      <c r="C547" s="687" t="str">
        <f>INPUT!AZ471</f>
        <v>NM</v>
      </c>
      <c r="D547" s="151">
        <f>INPUT!BA471</f>
        <v>48.8</v>
      </c>
      <c r="E547" s="687">
        <f>INPUT!BB471</f>
        <v>-19.071310116086238</v>
      </c>
      <c r="F547" s="151">
        <f>INPUT!BC471</f>
        <v>32.700000000000003</v>
      </c>
      <c r="G547" s="687">
        <f>INPUT!BD471</f>
        <v>21.111111111111125</v>
      </c>
      <c r="H547" s="151">
        <f>INPUT!BE471</f>
        <v>26.8</v>
      </c>
      <c r="I547" s="687" t="str">
        <f>INPUT!BF471</f>
        <v>NM</v>
      </c>
      <c r="J547" s="151">
        <f>INPUT!BG471</f>
        <v>90.199999999999989</v>
      </c>
      <c r="K547" s="687" t="str">
        <f>INPUT!BH471</f>
        <v>NM</v>
      </c>
      <c r="L547" s="151">
        <f>INPUT!BI471</f>
        <v>105</v>
      </c>
      <c r="M547" s="687" t="str">
        <f>INPUT!BJ471</f>
        <v>NM</v>
      </c>
      <c r="N547" s="151">
        <f>INPUT!BK471</f>
        <v>94.300000000000011</v>
      </c>
      <c r="O547" s="687" t="str">
        <f>INPUT!BL471</f>
        <v>NM</v>
      </c>
      <c r="P547" s="151">
        <f>INPUT!BM471</f>
        <v>109.30000000000001</v>
      </c>
      <c r="Q547" s="687" t="str">
        <f>INPUT!BN471</f>
        <v>NM</v>
      </c>
      <c r="R547" s="151">
        <f>INPUT!BO471</f>
        <v>99.5</v>
      </c>
      <c r="S547" s="687">
        <f>INPUT!BP471</f>
        <v>10.310421286031058</v>
      </c>
      <c r="T547" s="151">
        <f>INPUT!BQ471</f>
        <v>91.699999999999989</v>
      </c>
      <c r="U547" s="687">
        <f>INPUT!BR471</f>
        <v>-12.666666666666682</v>
      </c>
      <c r="V547" s="151">
        <f>INPUT!BS471</f>
        <v>117.79999999999998</v>
      </c>
      <c r="W547" s="687">
        <f>INPUT!BT471</f>
        <v>24.920466595970268</v>
      </c>
      <c r="X547" s="151">
        <f>INPUT!BU471</f>
        <v>103.19999999999999</v>
      </c>
      <c r="Y547" s="687">
        <f>INPUT!BV471</f>
        <v>-5.580969807868275</v>
      </c>
      <c r="Z547" s="151">
        <f>INPUT!BW471</f>
        <v>87</v>
      </c>
      <c r="AA547" s="687">
        <f>INPUT!BX471</f>
        <v>-12.562814070351758</v>
      </c>
      <c r="AB547" s="151">
        <f>INPUT!BY471</f>
        <v>97</v>
      </c>
      <c r="AC547" s="687">
        <f>INPUT!BZ471</f>
        <v>5.7797164667393819</v>
      </c>
      <c r="AD547" s="151">
        <f>INPUT!CA471</f>
        <v>101.3</v>
      </c>
      <c r="AE547" s="687">
        <f>INPUT!CB471</f>
        <v>-14.006791171477072</v>
      </c>
      <c r="AF547" s="151">
        <f>INPUT!CC471</f>
        <v>108.10000000000001</v>
      </c>
      <c r="AG547" s="687">
        <f>INPUT!CD471</f>
        <v>4.7480620155039066</v>
      </c>
      <c r="AH547" s="151">
        <f>INPUT!CE471</f>
        <v>105.7</v>
      </c>
      <c r="AI547" s="687">
        <f>INPUT!CF471</f>
        <v>21.494252873563212</v>
      </c>
      <c r="AJ547" s="151">
        <f>INPUT!CG471</f>
        <v>102.6</v>
      </c>
      <c r="AK547" s="687">
        <f>INPUT!CH471</f>
        <v>5.7731958762886615</v>
      </c>
      <c r="AL547" s="151">
        <f>INPUT!CI471</f>
        <v>103.5</v>
      </c>
      <c r="AM547" s="687">
        <f>INPUT!CJ471</f>
        <v>2.1717670286278468</v>
      </c>
      <c r="AN547" s="151">
        <f>INPUT!CK471</f>
        <v>103.39999999999999</v>
      </c>
      <c r="AO547" s="687">
        <f>INPUT!CL471</f>
        <v>-4.347826086956541</v>
      </c>
      <c r="AP547" s="151">
        <f>INPUT!CM471</f>
        <v>100</v>
      </c>
      <c r="AQ547" s="687">
        <f>INPUT!CN471</f>
        <v>-5.392620624408706</v>
      </c>
      <c r="AR547" s="151">
        <f>INPUT!CO471</f>
        <v>96</v>
      </c>
      <c r="AS547" s="687">
        <f>INPUT!CP471</f>
        <v>-6.4327485380116904</v>
      </c>
      <c r="AT547" s="151">
        <f>INPUT!CQ471</f>
        <v>103.9</v>
      </c>
      <c r="AU547" s="687">
        <f>INPUT!CR471</f>
        <v>0.38647342995170586</v>
      </c>
      <c r="AV547" s="151">
        <f>INPUT!CS471</f>
        <v>91</v>
      </c>
      <c r="AW547" s="687">
        <f>INPUT!CT471</f>
        <v>-11.992263056092833</v>
      </c>
      <c r="AX547" s="151">
        <f>INPUT!CU471</f>
        <v>88</v>
      </c>
      <c r="AY547" s="687">
        <f>INPUT!CV471</f>
        <v>-12</v>
      </c>
      <c r="AZ547" s="151">
        <f>INPUT!CW471</f>
        <v>95</v>
      </c>
      <c r="BA547" s="687">
        <f>INPUT!CX471</f>
        <v>-1.041666666666663</v>
      </c>
      <c r="BB547" s="151">
        <f>INPUT!CY471</f>
        <v>83</v>
      </c>
      <c r="BC547" s="687">
        <f>INPUT!CZ471</f>
        <v>-20.11549566891242</v>
      </c>
      <c r="BD547" s="151">
        <f>INPUT!DA471</f>
        <v>85</v>
      </c>
      <c r="BE547" s="687">
        <f>INPUT!DB471</f>
        <v>-6.5934065934065922</v>
      </c>
      <c r="BF547" s="151">
        <f>INPUT!DC471</f>
        <v>84</v>
      </c>
      <c r="BG547" s="687">
        <f>INPUT!DD471</f>
        <v>-4.5454545454545414</v>
      </c>
      <c r="BH547" s="151">
        <f>INPUT!DE471</f>
        <v>84</v>
      </c>
      <c r="BI547" s="687">
        <f>INPUT!DF471</f>
        <v>-11.578947368421055</v>
      </c>
      <c r="BJ547" s="151">
        <f>INPUT!DG471</f>
        <v>82</v>
      </c>
      <c r="BK547" s="687">
        <f>INPUT!DH471</f>
        <v>-1.2048192771084376</v>
      </c>
      <c r="BL547" s="151">
        <f>INPUT!DI471</f>
        <v>93</v>
      </c>
      <c r="BM547" s="687">
        <f>INPUT!DJ471</f>
        <v>9.4117647058823639</v>
      </c>
      <c r="BN547" s="151">
        <f>INPUT!DK471</f>
        <v>88</v>
      </c>
      <c r="BO547" s="687">
        <f>INPUT!DL471</f>
        <v>4.7619047619047672</v>
      </c>
      <c r="BP547" s="151">
        <f>INPUT!DM471</f>
        <v>88</v>
      </c>
      <c r="BQ547" s="687">
        <f>INPUT!DN471</f>
        <v>4.7619047619047672</v>
      </c>
      <c r="BR547" s="151">
        <f>INPUT!DO471</f>
        <v>85</v>
      </c>
      <c r="BS547" s="687">
        <f>INPUT!DP471</f>
        <v>3.6585365853658569</v>
      </c>
      <c r="BT547" s="151">
        <f>INPUT!DQ471</f>
        <v>99</v>
      </c>
      <c r="BU547" s="687">
        <f>INPUT!DR471</f>
        <v>6.4516129032258007</v>
      </c>
      <c r="BV547" s="151">
        <f>INPUT!DS471</f>
        <v>77</v>
      </c>
      <c r="BW547" s="687">
        <f>INPUT!DT471</f>
        <v>-12.5</v>
      </c>
      <c r="BX547" s="151">
        <f>INPUT!DU471</f>
        <v>78</v>
      </c>
      <c r="BY547" s="687">
        <f>INPUT!DV471</f>
        <v>-11.363636363636365</v>
      </c>
      <c r="BZ547" s="151">
        <f>INPUT!DW471</f>
        <v>78</v>
      </c>
      <c r="CA547" s="687">
        <f>INPUT!DX471</f>
        <v>78</v>
      </c>
      <c r="CB547" s="151">
        <f>INPUT!DY471</f>
        <v>68</v>
      </c>
      <c r="CC547" s="687">
        <f>INPUT!DZ471</f>
        <v>-31.313131313131315</v>
      </c>
      <c r="CD547" s="151">
        <f>INPUT!EA471</f>
        <v>64</v>
      </c>
      <c r="CE547" s="687">
        <f>INPUT!EB471</f>
        <v>-16.883116883116877</v>
      </c>
      <c r="CF547" s="151">
        <f>INPUT!EC471</f>
        <v>61</v>
      </c>
      <c r="CG547" s="687">
        <f>INPUT!ED471</f>
        <v>-21.794871794871796</v>
      </c>
      <c r="CH547" s="151">
        <f>INPUT!EE471</f>
        <v>66</v>
      </c>
      <c r="CI547" s="687">
        <f>INPUT!EF471</f>
        <v>-15.384615384615385</v>
      </c>
      <c r="CJ547" s="151">
        <f>INPUT!EG471</f>
        <v>69</v>
      </c>
      <c r="CK547" s="687">
        <f>INPUT!EH471</f>
        <v>1.4705882352941124</v>
      </c>
      <c r="CL547" s="151">
        <f>INPUT!EI471</f>
        <v>70</v>
      </c>
      <c r="CM547" s="687">
        <f>INPUT!EJ471</f>
        <v>9.375</v>
      </c>
      <c r="CN547" s="151">
        <f>INPUT!EK471</f>
        <v>63</v>
      </c>
      <c r="CO547" s="687">
        <f>INPUT!EL471</f>
        <v>3.2786885245901676</v>
      </c>
      <c r="CP547" s="151">
        <f>INPUT!EM471</f>
        <v>65</v>
      </c>
      <c r="CQ547" s="687">
        <f>INPUT!EN471</f>
        <v>-1.5151515151515138</v>
      </c>
      <c r="CR547" s="151">
        <f>INPUT!EO471</f>
        <v>68</v>
      </c>
      <c r="CS547" s="687">
        <f>INPUT!EP471</f>
        <v>-1.4492753623188359</v>
      </c>
      <c r="CT547" s="151">
        <f>INPUT!EQ471</f>
        <v>68.339999999999989</v>
      </c>
      <c r="CU547" s="687">
        <f>INPUT!ER471</f>
        <v>-2.371428571428591</v>
      </c>
      <c r="CV547" s="151">
        <f>INPUT!ES471</f>
        <v>68.681699999999978</v>
      </c>
      <c r="CW547" s="687">
        <f>INPUT!ET471</f>
        <v>9.0185714285713878</v>
      </c>
      <c r="CX547" s="151">
        <f>INPUT!EU471</f>
        <v>69.025108499999973</v>
      </c>
      <c r="CY547" s="687">
        <f>INPUT!EV471</f>
        <v>6.1924746153845689</v>
      </c>
      <c r="CZ547" s="151">
        <f>INPUT!EW471</f>
        <v>69.370234042499959</v>
      </c>
      <c r="DA547" s="687">
        <f>INPUT!EX471</f>
        <v>2.0150500624999346</v>
      </c>
      <c r="DB547" s="16"/>
      <c r="DC547" s="151">
        <f>INPUT!FP471</f>
        <v>99.6</v>
      </c>
      <c r="DD547" s="687" t="str">
        <f>INPUT!FQ471</f>
        <v>NA</v>
      </c>
      <c r="DE547" s="151">
        <f>INPUT!FR471</f>
        <v>121.2</v>
      </c>
      <c r="DF547" s="687">
        <f>INPUT!FS471</f>
        <v>21.68674698795181</v>
      </c>
      <c r="DG547" s="151">
        <f>INPUT!FT471</f>
        <v>398.8</v>
      </c>
      <c r="DH547" s="687" t="str">
        <f>INPUT!FU471</f>
        <v>NM</v>
      </c>
      <c r="DI547" s="151">
        <f>INPUT!FV471</f>
        <v>412.2</v>
      </c>
      <c r="DJ547" s="687">
        <f>INPUT!FW471</f>
        <v>3.360080240722163</v>
      </c>
      <c r="DK547" s="151">
        <f>INPUT!FX471</f>
        <v>393.40000000000003</v>
      </c>
      <c r="DL547" s="687">
        <f>INPUT!FY471</f>
        <v>-4.5608927704997466</v>
      </c>
      <c r="DM547" s="151">
        <f>INPUT!FZ471</f>
        <v>415.2</v>
      </c>
      <c r="DN547" s="687">
        <f>INPUT!GA471</f>
        <v>5.5414336553126553</v>
      </c>
      <c r="DO547" s="151">
        <f>INPUT!GB471</f>
        <v>390.9</v>
      </c>
      <c r="DP547" s="687">
        <f>INPUT!GC471</f>
        <v>-5.8526011560693707</v>
      </c>
      <c r="DQ547" s="151">
        <f>INPUT!GD471</f>
        <v>351</v>
      </c>
      <c r="DR547" s="687">
        <f>INPUT!GE471</f>
        <v>-10.207214121258623</v>
      </c>
      <c r="DS547" s="151">
        <f>INPUT!GF471</f>
        <v>343</v>
      </c>
      <c r="DT547" s="687">
        <f>INPUT!GG471</f>
        <v>-2.2792022792022748</v>
      </c>
      <c r="DU547" s="151">
        <f>INPUT!GH471</f>
        <v>360</v>
      </c>
      <c r="DV547" s="687">
        <f>INPUT!GI471</f>
        <v>4.9562682215743337</v>
      </c>
      <c r="DW547" s="151">
        <f>INPUT!GJ471</f>
        <v>301</v>
      </c>
      <c r="DX547" s="687">
        <f>INPUT!GK471</f>
        <v>-16.388888888888886</v>
      </c>
      <c r="DY547" s="151">
        <f>INPUT!GL471</f>
        <v>260</v>
      </c>
      <c r="DZ547" s="687">
        <f>INPUT!GM471</f>
        <v>-13.621262458471762</v>
      </c>
      <c r="EA547" s="151">
        <f>INPUT!GN471</f>
        <v>266</v>
      </c>
      <c r="EB547" s="687">
        <f>INPUT!GO471</f>
        <v>2.3076923076922995</v>
      </c>
      <c r="EC547" s="151">
        <f>INPUT!GP471</f>
        <v>275.41704254249987</v>
      </c>
      <c r="ED547" s="687">
        <f>INPUT!GQ471</f>
        <v>3.54024155733077</v>
      </c>
      <c r="EE547" s="151">
        <f>INPUT!GR471</f>
        <v>278.17121296792487</v>
      </c>
      <c r="EF547" s="687">
        <f>INPUT!GS471</f>
        <v>1.0000000000000009</v>
      </c>
      <c r="EG547" s="151">
        <f>INPUT!GT471</f>
        <v>286.51634935696262</v>
      </c>
      <c r="EH547" s="687">
        <f>INPUT!GU471</f>
        <v>3.0000000000000027</v>
      </c>
      <c r="EI547" s="151">
        <f>INPUT!GV471</f>
        <v>295.11183983767148</v>
      </c>
      <c r="EJ547" s="687">
        <f>INPUT!GW471</f>
        <v>3.0000000000000027</v>
      </c>
      <c r="EK547" s="151">
        <f>INPUT!GX471</f>
        <v>303.96519503280166</v>
      </c>
      <c r="EL547" s="687">
        <f>INPUT!GY471</f>
        <v>3.0000000000000027</v>
      </c>
      <c r="EM547" s="687">
        <f>INPUT!GZ471</f>
        <v>2.7042568248131893</v>
      </c>
    </row>
    <row r="548" spans="1:143" ht="12.75" hidden="1" customHeight="1" outlineLevel="1" x14ac:dyDescent="0.2">
      <c r="A548" s="701" t="str">
        <f>INPUT!B472</f>
        <v>Amort of Deferred Gain on Reinsurance</v>
      </c>
      <c r="B548" s="151">
        <f>INPUT!AY472</f>
        <v>18.8</v>
      </c>
      <c r="C548" s="687">
        <f>INPUT!AZ472</f>
        <v>-0.52910052910051242</v>
      </c>
      <c r="D548" s="151">
        <f>INPUT!BA472</f>
        <v>18.8</v>
      </c>
      <c r="E548" s="687">
        <f>INPUT!BB472</f>
        <v>-0.52910052910051242</v>
      </c>
      <c r="F548" s="151">
        <f>INPUT!BC472</f>
        <v>18.8</v>
      </c>
      <c r="G548" s="687">
        <f>INPUT!BD472</f>
        <v>-0.52910052910051242</v>
      </c>
      <c r="H548" s="151">
        <f>INPUT!BE472</f>
        <v>18.8</v>
      </c>
      <c r="I548" s="687">
        <f>INPUT!BF472</f>
        <v>-0.52910052910051242</v>
      </c>
      <c r="J548" s="151">
        <f>INPUT!BG472</f>
        <v>18.600000000000001</v>
      </c>
      <c r="K548" s="687">
        <f>INPUT!BH472</f>
        <v>-1.0638297872340385</v>
      </c>
      <c r="L548" s="151">
        <f>INPUT!BI472</f>
        <v>18.600000000000001</v>
      </c>
      <c r="M548" s="687">
        <f>INPUT!BJ472</f>
        <v>-1.0638297872340385</v>
      </c>
      <c r="N548" s="151">
        <f>INPUT!BK472</f>
        <v>18.600000000000001</v>
      </c>
      <c r="O548" s="687">
        <f>INPUT!BL472</f>
        <v>-1.0638297872340385</v>
      </c>
      <c r="P548" s="151">
        <f>INPUT!BM472</f>
        <v>18.600000000000001</v>
      </c>
      <c r="Q548" s="687">
        <f>INPUT!BN472</f>
        <v>-1.0638297872340385</v>
      </c>
      <c r="R548" s="151">
        <f>INPUT!BO472</f>
        <v>18.5</v>
      </c>
      <c r="S548" s="687">
        <f>INPUT!BP472</f>
        <v>-0.53763440860216116</v>
      </c>
      <c r="T548" s="151">
        <f>INPUT!BQ472</f>
        <v>18.399999999999999</v>
      </c>
      <c r="U548" s="687">
        <f>INPUT!BR472</f>
        <v>-1.0752688172043112</v>
      </c>
      <c r="V548" s="151">
        <f>INPUT!BS472</f>
        <v>18.399999999999999</v>
      </c>
      <c r="W548" s="687">
        <f>INPUT!BT472</f>
        <v>-1.0752688172043112</v>
      </c>
      <c r="X548" s="151">
        <f>INPUT!BU472</f>
        <v>18.399999999999999</v>
      </c>
      <c r="Y548" s="687">
        <f>INPUT!BV472</f>
        <v>-1.0752688172043112</v>
      </c>
      <c r="Z548" s="151">
        <f>INPUT!BW472</f>
        <v>18.399999999999999</v>
      </c>
      <c r="AA548" s="687">
        <f>INPUT!BX472</f>
        <v>-0.54054054054054612</v>
      </c>
      <c r="AB548" s="151">
        <f>INPUT!BY472</f>
        <v>18.399999999999999</v>
      </c>
      <c r="AC548" s="687">
        <f>INPUT!BZ472</f>
        <v>0</v>
      </c>
      <c r="AD548" s="151">
        <f>INPUT!CA472</f>
        <v>18.3</v>
      </c>
      <c r="AE548" s="687">
        <f>INPUT!CB472</f>
        <v>-0.54347826086955653</v>
      </c>
      <c r="AF548" s="151">
        <f>INPUT!CC472</f>
        <v>18.3</v>
      </c>
      <c r="AG548" s="687">
        <f>INPUT!CD472</f>
        <v>-0.54347826086955653</v>
      </c>
      <c r="AH548" s="151">
        <f>INPUT!CE472</f>
        <v>18.2</v>
      </c>
      <c r="AI548" s="687">
        <f>INPUT!CF472</f>
        <v>-1.0869565217391242</v>
      </c>
      <c r="AJ548" s="151">
        <f>INPUT!CG472</f>
        <v>18</v>
      </c>
      <c r="AK548" s="687">
        <f>INPUT!CH472</f>
        <v>-2.1739130434782483</v>
      </c>
      <c r="AL548" s="151">
        <f>INPUT!CI472</f>
        <v>18.100000000000001</v>
      </c>
      <c r="AM548" s="687">
        <f>INPUT!CJ472</f>
        <v>-1.0928961748633892</v>
      </c>
      <c r="AN548" s="151">
        <f>INPUT!CK472</f>
        <v>18.2</v>
      </c>
      <c r="AO548" s="687">
        <f>INPUT!CL472</f>
        <v>-0.5464480874317057</v>
      </c>
      <c r="AP548" s="151">
        <f>INPUT!CM472</f>
        <v>18</v>
      </c>
      <c r="AQ548" s="687">
        <f>INPUT!CN472</f>
        <v>-1.098901098901095</v>
      </c>
      <c r="AR548" s="151">
        <f>INPUT!CO472</f>
        <v>18</v>
      </c>
      <c r="AS548" s="687">
        <f>INPUT!CP472</f>
        <v>0</v>
      </c>
      <c r="AT548" s="151">
        <f>INPUT!CQ472</f>
        <v>18.100000000000001</v>
      </c>
      <c r="AU548" s="687">
        <f>INPUT!CR472</f>
        <v>0</v>
      </c>
      <c r="AV548" s="151">
        <f>INPUT!CS472</f>
        <v>18</v>
      </c>
      <c r="AW548" s="687">
        <f>INPUT!CT472</f>
        <v>-1.098901098901095</v>
      </c>
      <c r="AX548" s="151">
        <f>INPUT!CU472</f>
        <v>18</v>
      </c>
      <c r="AY548" s="687">
        <f>INPUT!CV472</f>
        <v>0</v>
      </c>
      <c r="AZ548" s="151">
        <f>INPUT!CW472</f>
        <v>18</v>
      </c>
      <c r="BA548" s="687">
        <f>INPUT!CX472</f>
        <v>0</v>
      </c>
      <c r="BB548" s="151">
        <f>INPUT!CY472</f>
        <v>18</v>
      </c>
      <c r="BC548" s="687">
        <f>INPUT!CZ472</f>
        <v>-0.55248618784531356</v>
      </c>
      <c r="BD548" s="151">
        <f>INPUT!DA472</f>
        <v>18</v>
      </c>
      <c r="BE548" s="687">
        <f>INPUT!DB472</f>
        <v>0</v>
      </c>
      <c r="BF548" s="151">
        <f>INPUT!DC472</f>
        <v>18</v>
      </c>
      <c r="BG548" s="687">
        <f>INPUT!DD472</f>
        <v>0</v>
      </c>
      <c r="BH548" s="151">
        <f>INPUT!DE472</f>
        <v>18</v>
      </c>
      <c r="BI548" s="687">
        <f>INPUT!DF472</f>
        <v>0</v>
      </c>
      <c r="BJ548" s="151">
        <f>INPUT!DG472</f>
        <v>18</v>
      </c>
      <c r="BK548" s="687">
        <f>INPUT!DH472</f>
        <v>0</v>
      </c>
      <c r="BL548" s="151">
        <f>INPUT!DI472</f>
        <v>18</v>
      </c>
      <c r="BM548" s="687">
        <f>INPUT!DJ472</f>
        <v>0</v>
      </c>
      <c r="BN548" s="151">
        <f>INPUT!DK472</f>
        <v>18</v>
      </c>
      <c r="BO548" s="687">
        <f>INPUT!DL472</f>
        <v>0</v>
      </c>
      <c r="BP548" s="151">
        <f>INPUT!DM472</f>
        <v>18</v>
      </c>
      <c r="BQ548" s="687">
        <f>INPUT!DN472</f>
        <v>0</v>
      </c>
      <c r="BR548" s="151">
        <f>INPUT!DO472</f>
        <v>18</v>
      </c>
      <c r="BS548" s="687">
        <f>INPUT!DP472</f>
        <v>0</v>
      </c>
      <c r="BT548" s="151">
        <f>INPUT!DQ472</f>
        <v>18</v>
      </c>
      <c r="BU548" s="687">
        <f>INPUT!DR472</f>
        <v>0</v>
      </c>
      <c r="BV548" s="151">
        <f>INPUT!DS472</f>
        <v>18</v>
      </c>
      <c r="BW548" s="687">
        <f>INPUT!DT472</f>
        <v>0</v>
      </c>
      <c r="BX548" s="151">
        <f>INPUT!DU472</f>
        <v>18</v>
      </c>
      <c r="BY548" s="687">
        <f>INPUT!DV472</f>
        <v>0</v>
      </c>
      <c r="BZ548" s="151">
        <f>INPUT!DW472</f>
        <v>18</v>
      </c>
      <c r="CA548" s="687">
        <f>INPUT!DX472</f>
        <v>18</v>
      </c>
      <c r="CB548" s="151">
        <f>INPUT!DY472</f>
        <v>18</v>
      </c>
      <c r="CC548" s="687">
        <f>INPUT!DZ472</f>
        <v>0</v>
      </c>
      <c r="CD548" s="151">
        <f>INPUT!EA472</f>
        <v>18</v>
      </c>
      <c r="CE548" s="687">
        <f>INPUT!EB472</f>
        <v>0</v>
      </c>
      <c r="CF548" s="151">
        <f>INPUT!EC472</f>
        <v>18</v>
      </c>
      <c r="CG548" s="687">
        <f>INPUT!ED472</f>
        <v>0</v>
      </c>
      <c r="CH548" s="151">
        <f>INPUT!EE472</f>
        <v>18</v>
      </c>
      <c r="CI548" s="687">
        <f>INPUT!EF472</f>
        <v>0</v>
      </c>
      <c r="CJ548" s="151">
        <f>INPUT!EG472</f>
        <v>18</v>
      </c>
      <c r="CK548" s="687">
        <f>INPUT!EH472</f>
        <v>0</v>
      </c>
      <c r="CL548" s="151">
        <f>INPUT!EI472</f>
        <v>18</v>
      </c>
      <c r="CM548" s="687">
        <f>INPUT!EJ472</f>
        <v>0</v>
      </c>
      <c r="CN548" s="151">
        <f>INPUT!EK472</f>
        <v>4</v>
      </c>
      <c r="CO548" s="687" t="str">
        <f>INPUT!EL472</f>
        <v>NM</v>
      </c>
      <c r="CP548" s="151">
        <f>INPUT!EM472</f>
        <v>0</v>
      </c>
      <c r="CQ548" s="687" t="str">
        <f>INPUT!EN472</f>
        <v>NM</v>
      </c>
      <c r="CR548" s="151">
        <f>INPUT!EO472</f>
        <v>0</v>
      </c>
      <c r="CS548" s="687" t="str">
        <f>INPUT!EP472</f>
        <v>NM</v>
      </c>
      <c r="CT548" s="151">
        <f>INPUT!EQ472</f>
        <v>0</v>
      </c>
      <c r="CU548" s="687" t="str">
        <f>INPUT!ER472</f>
        <v>NM</v>
      </c>
      <c r="CV548" s="151">
        <f>INPUT!ES472</f>
        <v>0</v>
      </c>
      <c r="CW548" s="687" t="str">
        <f>INPUT!ET472</f>
        <v>NM</v>
      </c>
      <c r="CX548" s="151">
        <f>INPUT!EU472</f>
        <v>0</v>
      </c>
      <c r="CY548" s="687" t="str">
        <f>INPUT!EV472</f>
        <v>NA</v>
      </c>
      <c r="CZ548" s="151">
        <f>INPUT!EW472</f>
        <v>0</v>
      </c>
      <c r="DA548" s="687" t="str">
        <f>INPUT!EX472</f>
        <v>NA</v>
      </c>
      <c r="DB548" s="16"/>
      <c r="DC548" s="151">
        <f>INPUT!FP472</f>
        <v>75.599999999999994</v>
      </c>
      <c r="DD548" s="687" t="str">
        <f>INPUT!FQ472</f>
        <v>NA</v>
      </c>
      <c r="DE548" s="151">
        <f>INPUT!FR472</f>
        <v>75.2</v>
      </c>
      <c r="DF548" s="687">
        <f>INPUT!FS472</f>
        <v>-0.52910052910051242</v>
      </c>
      <c r="DG548" s="151">
        <f>INPUT!FT472</f>
        <v>74.400000000000006</v>
      </c>
      <c r="DH548" s="687">
        <f>INPUT!FU472</f>
        <v>-1.0638297872340385</v>
      </c>
      <c r="DI548" s="151">
        <f>INPUT!FV472</f>
        <v>73.699999999999989</v>
      </c>
      <c r="DJ548" s="687">
        <f>INPUT!FW472</f>
        <v>-0.94086021505378481</v>
      </c>
      <c r="DK548" s="151">
        <f>INPUT!FX472</f>
        <v>73.399999999999991</v>
      </c>
      <c r="DL548" s="687">
        <f>INPUT!FY472</f>
        <v>-0.4070556309362261</v>
      </c>
      <c r="DM548" s="151">
        <f>INPUT!FZ472</f>
        <v>72.5</v>
      </c>
      <c r="DN548" s="687">
        <f>INPUT!GA472</f>
        <v>-1.2261580381471293</v>
      </c>
      <c r="DO548" s="151">
        <f>INPUT!GB472</f>
        <v>72.099999999999994</v>
      </c>
      <c r="DP548" s="687">
        <f>INPUT!GC472</f>
        <v>-0.55172413793104225</v>
      </c>
      <c r="DQ548" s="151">
        <f>INPUT!GD472</f>
        <v>72</v>
      </c>
      <c r="DR548" s="687">
        <f>INPUT!GE472</f>
        <v>-0.13869625520109841</v>
      </c>
      <c r="DS548" s="151">
        <f>INPUT!GF472</f>
        <v>72</v>
      </c>
      <c r="DT548" s="687">
        <f>INPUT!GG472</f>
        <v>0</v>
      </c>
      <c r="DU548" s="151">
        <f>INPUT!GH472</f>
        <v>72</v>
      </c>
      <c r="DV548" s="687">
        <f>INPUT!GI472</f>
        <v>0</v>
      </c>
      <c r="DW548" s="151">
        <f>INPUT!GJ472</f>
        <v>72</v>
      </c>
      <c r="DX548" s="687">
        <f>INPUT!GK472</f>
        <v>0</v>
      </c>
      <c r="DY548" s="151">
        <f>INPUT!GL472</f>
        <v>72</v>
      </c>
      <c r="DZ548" s="687">
        <f>INPUT!GM472</f>
        <v>0</v>
      </c>
      <c r="EA548" s="151">
        <f>INPUT!GN472</f>
        <v>22</v>
      </c>
      <c r="EB548" s="687" t="str">
        <f>INPUT!GO472</f>
        <v>NM</v>
      </c>
      <c r="EC548" s="151">
        <f>INPUT!GP472</f>
        <v>0</v>
      </c>
      <c r="ED548" s="687" t="str">
        <f>INPUT!GQ472</f>
        <v>NM</v>
      </c>
      <c r="EE548" s="151">
        <f>INPUT!GR472</f>
        <v>0</v>
      </c>
      <c r="EF548" s="687" t="str">
        <f>INPUT!GS472</f>
        <v>NA</v>
      </c>
      <c r="EG548" s="151">
        <f>INPUT!GT472</f>
        <v>0</v>
      </c>
      <c r="EH548" s="687" t="str">
        <f>INPUT!GU472</f>
        <v>NA</v>
      </c>
      <c r="EI548" s="151">
        <f>INPUT!GV472</f>
        <v>0</v>
      </c>
      <c r="EJ548" s="687" t="str">
        <f>INPUT!GW472</f>
        <v>NA</v>
      </c>
      <c r="EK548" s="151">
        <f>INPUT!GX472</f>
        <v>0</v>
      </c>
      <c r="EL548" s="687" t="str">
        <f>INPUT!GY472</f>
        <v>NA</v>
      </c>
      <c r="EM548" s="687" t="str">
        <f>INPUT!GZ472</f>
        <v>NM</v>
      </c>
    </row>
    <row r="549" spans="1:143" ht="12.75" hidden="1" customHeight="1" outlineLevel="1" x14ac:dyDescent="0.2">
      <c r="A549" s="700" t="str">
        <f>INPUT!B473</f>
        <v>Total Revenue</v>
      </c>
      <c r="B549" s="520">
        <f>INPUT!AY473</f>
        <v>31.700000000000003</v>
      </c>
      <c r="C549" s="687">
        <f>INPUT!AZ473</f>
        <v>49.52830188679247</v>
      </c>
      <c r="D549" s="520">
        <f>INPUT!BA473</f>
        <v>67.599999999999994</v>
      </c>
      <c r="E549" s="687">
        <f>INPUT!BB473</f>
        <v>-14.64646464646464</v>
      </c>
      <c r="F549" s="520">
        <f>INPUT!BC473</f>
        <v>51.5</v>
      </c>
      <c r="G549" s="687">
        <f>INPUT!BD473</f>
        <v>12.200435729847502</v>
      </c>
      <c r="H549" s="520">
        <f>INPUT!BE473</f>
        <v>45.6</v>
      </c>
      <c r="I549" s="687">
        <f>INPUT!BF473</f>
        <v>57.785467128027705</v>
      </c>
      <c r="J549" s="520">
        <f>INPUT!BG473</f>
        <v>108.79999999999998</v>
      </c>
      <c r="K549" s="687" t="str">
        <f>INPUT!BH473</f>
        <v>NM</v>
      </c>
      <c r="L549" s="520">
        <f>INPUT!BI473</f>
        <v>123.6</v>
      </c>
      <c r="M549" s="687">
        <f>INPUT!BJ473</f>
        <v>82.84023668639054</v>
      </c>
      <c r="N549" s="520">
        <f>INPUT!BK473</f>
        <v>112.9</v>
      </c>
      <c r="O549" s="687" t="str">
        <f>INPUT!BL473</f>
        <v>NM</v>
      </c>
      <c r="P549" s="520">
        <f>INPUT!BM473</f>
        <v>127.9</v>
      </c>
      <c r="Q549" s="687" t="str">
        <f>INPUT!BN473</f>
        <v>NM</v>
      </c>
      <c r="R549" s="520">
        <f>INPUT!BO473</f>
        <v>118</v>
      </c>
      <c r="S549" s="687">
        <f>INPUT!BP473</f>
        <v>8.4558823529411917</v>
      </c>
      <c r="T549" s="520">
        <f>INPUT!BQ473</f>
        <v>110.1</v>
      </c>
      <c r="U549" s="687">
        <f>INPUT!BR473</f>
        <v>-10.922330097087373</v>
      </c>
      <c r="V549" s="520">
        <f>INPUT!BS473</f>
        <v>136.19999999999999</v>
      </c>
      <c r="W549" s="687">
        <f>INPUT!BT473</f>
        <v>20.637732506643026</v>
      </c>
      <c r="X549" s="520">
        <f>INPUT!BU473</f>
        <v>121.6</v>
      </c>
      <c r="Y549" s="687">
        <f>INPUT!BV473</f>
        <v>-4.9257232212666207</v>
      </c>
      <c r="Z549" s="520">
        <f>INPUT!BW473</f>
        <v>105.4</v>
      </c>
      <c r="AA549" s="687">
        <f>INPUT!BX473</f>
        <v>-10.677966101694913</v>
      </c>
      <c r="AB549" s="520">
        <f>INPUT!BY473</f>
        <v>115.4</v>
      </c>
      <c r="AC549" s="687">
        <f>INPUT!BZ473</f>
        <v>4.8138056312443389</v>
      </c>
      <c r="AD549" s="520">
        <f>INPUT!CA473</f>
        <v>119.6</v>
      </c>
      <c r="AE549" s="687">
        <f>INPUT!CB473</f>
        <v>-12.187958883994121</v>
      </c>
      <c r="AF549" s="520">
        <f>INPUT!CC473</f>
        <v>126.4</v>
      </c>
      <c r="AG549" s="687">
        <f>INPUT!CD473</f>
        <v>3.9473684210526327</v>
      </c>
      <c r="AH549" s="520">
        <f>INPUT!CE473</f>
        <v>123.9</v>
      </c>
      <c r="AI549" s="687">
        <f>INPUT!CF473</f>
        <v>17.552182163187858</v>
      </c>
      <c r="AJ549" s="520">
        <f>INPUT!CG473</f>
        <v>120.6</v>
      </c>
      <c r="AK549" s="687">
        <f>INPUT!CH473</f>
        <v>4.5060658578855994</v>
      </c>
      <c r="AL549" s="520">
        <f>INPUT!CI473</f>
        <v>121.6</v>
      </c>
      <c r="AM549" s="687">
        <f>INPUT!CJ473</f>
        <v>1.6722408026755842</v>
      </c>
      <c r="AN549" s="520">
        <f>INPUT!CK473</f>
        <v>121.6</v>
      </c>
      <c r="AO549" s="687">
        <f>INPUT!CL473</f>
        <v>-3.7974683544303889</v>
      </c>
      <c r="AP549" s="520">
        <f>INPUT!CM473</f>
        <v>118</v>
      </c>
      <c r="AQ549" s="687">
        <f>INPUT!CN473</f>
        <v>-4.7619047619047672</v>
      </c>
      <c r="AR549" s="706">
        <f>INPUT!CO473</f>
        <v>114</v>
      </c>
      <c r="AS549" s="687">
        <f>INPUT!CP473</f>
        <v>-5.4726368159203957</v>
      </c>
      <c r="AT549" s="520">
        <f>INPUT!CQ473</f>
        <v>122</v>
      </c>
      <c r="AU549" s="687">
        <f>INPUT!CR473</f>
        <v>0.32894736842106198</v>
      </c>
      <c r="AV549" s="520">
        <f>INPUT!CS473</f>
        <v>109</v>
      </c>
      <c r="AW549" s="687">
        <f>INPUT!CT473</f>
        <v>-10.361842105263152</v>
      </c>
      <c r="AX549" s="520">
        <f>INPUT!CU473</f>
        <v>106</v>
      </c>
      <c r="AY549" s="687">
        <f>INPUT!CV473</f>
        <v>-10.169491525423723</v>
      </c>
      <c r="AZ549" s="520">
        <f>INPUT!CW473</f>
        <v>113</v>
      </c>
      <c r="BA549" s="687">
        <f>INPUT!CX473</f>
        <v>-0.87719298245614308</v>
      </c>
      <c r="BB549" s="520">
        <f>INPUT!CY473</f>
        <v>101</v>
      </c>
      <c r="BC549" s="687">
        <f>INPUT!CZ473</f>
        <v>-17.213114754098356</v>
      </c>
      <c r="BD549" s="520">
        <f>INPUT!DA473</f>
        <v>103</v>
      </c>
      <c r="BE549" s="687">
        <f>INPUT!DB473</f>
        <v>-5.5045871559633035</v>
      </c>
      <c r="BF549" s="520">
        <f>INPUT!DC473</f>
        <v>102</v>
      </c>
      <c r="BG549" s="687">
        <f>INPUT!DD473</f>
        <v>-3.7735849056603765</v>
      </c>
      <c r="BH549" s="520">
        <f>INPUT!DE473</f>
        <v>102</v>
      </c>
      <c r="BI549" s="687">
        <f>INPUT!DF473</f>
        <v>-9.7345132743362868</v>
      </c>
      <c r="BJ549" s="520">
        <f>INPUT!DG473</f>
        <v>100</v>
      </c>
      <c r="BK549" s="687">
        <f>INPUT!DH473</f>
        <v>-0.99009900990099098</v>
      </c>
      <c r="BL549" s="520">
        <f>INPUT!DI473</f>
        <v>111</v>
      </c>
      <c r="BM549" s="687">
        <f>INPUT!DJ473</f>
        <v>7.7669902912621325</v>
      </c>
      <c r="BN549" s="520">
        <f>INPUT!DK473</f>
        <v>106</v>
      </c>
      <c r="BO549" s="687">
        <f>INPUT!DL473</f>
        <v>3.9215686274509887</v>
      </c>
      <c r="BP549" s="520">
        <f>INPUT!DM473</f>
        <v>106</v>
      </c>
      <c r="BQ549" s="687">
        <f>INPUT!DN473</f>
        <v>3.9215686274509887</v>
      </c>
      <c r="BR549" s="520">
        <f>INPUT!DO473</f>
        <v>103</v>
      </c>
      <c r="BS549" s="687">
        <f>INPUT!DP473</f>
        <v>3.0000000000000027</v>
      </c>
      <c r="BT549" s="520">
        <f>INPUT!DQ473</f>
        <v>117</v>
      </c>
      <c r="BU549" s="687">
        <f>INPUT!DR473</f>
        <v>5.4054054054053946</v>
      </c>
      <c r="BV549" s="520">
        <f>INPUT!DS473</f>
        <v>95</v>
      </c>
      <c r="BW549" s="687">
        <f>INPUT!DT473</f>
        <v>-10.377358490566035</v>
      </c>
      <c r="BX549" s="520">
        <f>INPUT!DU473</f>
        <v>96</v>
      </c>
      <c r="BY549" s="687">
        <f>INPUT!DV473</f>
        <v>-9.4339622641509422</v>
      </c>
      <c r="BZ549" s="520">
        <f>INPUT!DW473</f>
        <v>96</v>
      </c>
      <c r="CA549" s="687">
        <f>INPUT!DX473</f>
        <v>96</v>
      </c>
      <c r="CB549" s="520">
        <f>INPUT!DY473</f>
        <v>86</v>
      </c>
      <c r="CC549" s="687">
        <f>INPUT!DZ473</f>
        <v>-26.49572649572649</v>
      </c>
      <c r="CD549" s="520">
        <f>INPUT!EA473</f>
        <v>82</v>
      </c>
      <c r="CE549" s="687">
        <f>INPUT!EB473</f>
        <v>-13.684210526315788</v>
      </c>
      <c r="CF549" s="520">
        <f>INPUT!EC473</f>
        <v>79</v>
      </c>
      <c r="CG549" s="687">
        <f>INPUT!ED473</f>
        <v>-17.708333333333336</v>
      </c>
      <c r="CH549" s="520">
        <f>INPUT!EE473</f>
        <v>84</v>
      </c>
      <c r="CI549" s="687">
        <f>INPUT!EF473</f>
        <v>-12.5</v>
      </c>
      <c r="CJ549" s="520">
        <f>INPUT!EG473</f>
        <v>87</v>
      </c>
      <c r="CK549" s="687">
        <f>INPUT!EH473</f>
        <v>1.1627906976744207</v>
      </c>
      <c r="CL549" s="520">
        <f>INPUT!EI473</f>
        <v>88</v>
      </c>
      <c r="CM549" s="687">
        <f>INPUT!EJ473</f>
        <v>7.3170731707317138</v>
      </c>
      <c r="CN549" s="520">
        <f>INPUT!EK473</f>
        <v>67</v>
      </c>
      <c r="CO549" s="687">
        <f>INPUT!EL473</f>
        <v>-15.189873417721522</v>
      </c>
      <c r="CP549" s="520">
        <f>INPUT!EM473</f>
        <v>65</v>
      </c>
      <c r="CQ549" s="687">
        <f>INPUT!EN473</f>
        <v>-22.619047619047617</v>
      </c>
      <c r="CR549" s="520">
        <f>INPUT!EO473</f>
        <v>68</v>
      </c>
      <c r="CS549" s="687">
        <f>INPUT!EP473</f>
        <v>-21.839080459770109</v>
      </c>
      <c r="CT549" s="520">
        <f>INPUT!EQ473</f>
        <v>68.339999999999989</v>
      </c>
      <c r="CU549" s="687">
        <f>INPUT!ER473</f>
        <v>-22.340909090909101</v>
      </c>
      <c r="CV549" s="520">
        <f>INPUT!ES473</f>
        <v>68.681699999999978</v>
      </c>
      <c r="CW549" s="687">
        <f>INPUT!ET473</f>
        <v>2.5099999999999678</v>
      </c>
      <c r="CX549" s="520">
        <f>INPUT!EU473</f>
        <v>69.025108499999973</v>
      </c>
      <c r="CY549" s="687">
        <f>INPUT!EV473</f>
        <v>6.1924746153845689</v>
      </c>
      <c r="CZ549" s="520">
        <f>INPUT!EW473</f>
        <v>69.370234042499959</v>
      </c>
      <c r="DA549" s="687">
        <f>INPUT!EX473</f>
        <v>2.0150500624999346</v>
      </c>
      <c r="DB549" s="16"/>
      <c r="DC549" s="520">
        <f>INPUT!FP473</f>
        <v>175.2</v>
      </c>
      <c r="DD549" s="687" t="str">
        <f>INPUT!FQ473</f>
        <v>NA</v>
      </c>
      <c r="DE549" s="520">
        <f>INPUT!FR473</f>
        <v>196.4</v>
      </c>
      <c r="DF549" s="687">
        <f>INPUT!FS473</f>
        <v>12.100456621004586</v>
      </c>
      <c r="DG549" s="520">
        <f>INPUT!FT473</f>
        <v>473.20000000000005</v>
      </c>
      <c r="DH549" s="687" t="str">
        <f>INPUT!FU473</f>
        <v>NM</v>
      </c>
      <c r="DI549" s="520">
        <f>INPUT!FV473</f>
        <v>485.9</v>
      </c>
      <c r="DJ549" s="687">
        <f>INPUT!FW473</f>
        <v>2.6838546069315239</v>
      </c>
      <c r="DK549" s="520">
        <f>INPUT!FX473</f>
        <v>466.8</v>
      </c>
      <c r="DL549" s="687">
        <f>INPUT!FY473</f>
        <v>-3.9308499691294463</v>
      </c>
      <c r="DM549" s="706">
        <f>INPUT!FZ473</f>
        <v>487.7</v>
      </c>
      <c r="DN549" s="687">
        <f>INPUT!GA473</f>
        <v>4.4772922022279227</v>
      </c>
      <c r="DO549" s="520">
        <f>INPUT!GB473</f>
        <v>463</v>
      </c>
      <c r="DP549" s="687">
        <f>INPUT!GC473</f>
        <v>-5.0645888866106219</v>
      </c>
      <c r="DQ549" s="520">
        <f>INPUT!GD473</f>
        <v>423</v>
      </c>
      <c r="DR549" s="687">
        <f>INPUT!GE473</f>
        <v>-8.6393088552915724</v>
      </c>
      <c r="DS549" s="520">
        <f>INPUT!GF473</f>
        <v>415</v>
      </c>
      <c r="DT549" s="687">
        <f>INPUT!GG473</f>
        <v>-1.891252955082745</v>
      </c>
      <c r="DU549" s="520">
        <f>INPUT!GH473</f>
        <v>432</v>
      </c>
      <c r="DV549" s="687">
        <f>INPUT!GI473</f>
        <v>4.0963855421686679</v>
      </c>
      <c r="DW549" s="520">
        <f>INPUT!GJ473</f>
        <v>373</v>
      </c>
      <c r="DX549" s="687">
        <f>INPUT!GK473</f>
        <v>-13.657407407407407</v>
      </c>
      <c r="DY549" s="520">
        <f>INPUT!GL473</f>
        <v>332</v>
      </c>
      <c r="DZ549" s="687">
        <f>INPUT!GM473</f>
        <v>-10.991957104557637</v>
      </c>
      <c r="EA549" s="520">
        <f>INPUT!GN473</f>
        <v>288</v>
      </c>
      <c r="EB549" s="687">
        <f>INPUT!GO473</f>
        <v>-13.253012048192769</v>
      </c>
      <c r="EC549" s="520">
        <f>INPUT!GP473</f>
        <v>275.41704254249987</v>
      </c>
      <c r="ED549" s="687">
        <f>INPUT!GQ473</f>
        <v>-4.3690824505208781</v>
      </c>
      <c r="EE549" s="520">
        <f>INPUT!GR473</f>
        <v>278.17121296792487</v>
      </c>
      <c r="EF549" s="687">
        <f>INPUT!GS473</f>
        <v>1.0000000000000009</v>
      </c>
      <c r="EG549" s="520">
        <f>INPUT!GT473</f>
        <v>286.51634935696262</v>
      </c>
      <c r="EH549" s="687">
        <f>INPUT!GU473</f>
        <v>3.0000000000000027</v>
      </c>
      <c r="EI549" s="520">
        <f>INPUT!GV473</f>
        <v>295.11183983767148</v>
      </c>
      <c r="EJ549" s="687">
        <f>INPUT!GW473</f>
        <v>3.0000000000000027</v>
      </c>
      <c r="EK549" s="520">
        <f>INPUT!GX473</f>
        <v>303.96519503280166</v>
      </c>
      <c r="EL549" s="687">
        <f>INPUT!GY473</f>
        <v>3.0000000000000027</v>
      </c>
      <c r="EM549" s="687">
        <f>INPUT!GZ473</f>
        <v>1.0848972835629356</v>
      </c>
    </row>
    <row r="550" spans="1:143" ht="12.75" hidden="1" customHeight="1" outlineLevel="1" x14ac:dyDescent="0.2">
      <c r="A550" s="715"/>
      <c r="B550" s="16"/>
      <c r="C550" s="687"/>
      <c r="D550" s="16"/>
      <c r="E550" s="687"/>
      <c r="F550" s="16"/>
      <c r="G550" s="687"/>
      <c r="H550" s="16"/>
      <c r="I550" s="687"/>
      <c r="J550" s="151"/>
      <c r="K550" s="687"/>
      <c r="L550" s="151"/>
      <c r="M550" s="687"/>
      <c r="N550" s="151"/>
      <c r="O550" s="687"/>
      <c r="P550" s="151"/>
      <c r="Q550" s="687"/>
      <c r="R550" s="151"/>
      <c r="S550" s="687"/>
      <c r="T550" s="151"/>
      <c r="U550" s="687"/>
      <c r="V550" s="151"/>
      <c r="W550" s="687"/>
      <c r="X550" s="151"/>
      <c r="Y550" s="687"/>
      <c r="Z550" s="151"/>
      <c r="AA550" s="687"/>
      <c r="AB550" s="151"/>
      <c r="AC550" s="687"/>
      <c r="AD550" s="151"/>
      <c r="AE550" s="687"/>
      <c r="AF550" s="151"/>
      <c r="AG550" s="687"/>
      <c r="AH550" s="151"/>
      <c r="AI550" s="687"/>
      <c r="AJ550" s="151"/>
      <c r="AK550" s="687"/>
      <c r="AL550" s="151"/>
      <c r="AM550" s="687"/>
      <c r="AN550" s="151"/>
      <c r="AO550" s="687"/>
      <c r="AP550" s="151"/>
      <c r="AQ550" s="687"/>
      <c r="AR550" s="151"/>
      <c r="AS550" s="687"/>
      <c r="AT550" s="151"/>
      <c r="AU550" s="687"/>
      <c r="AV550" s="151"/>
      <c r="AW550" s="687"/>
      <c r="AX550" s="151"/>
      <c r="AY550" s="687"/>
      <c r="AZ550" s="151"/>
      <c r="BA550" s="687"/>
      <c r="BB550" s="151"/>
      <c r="BC550" s="687"/>
      <c r="BD550" s="151"/>
      <c r="BE550" s="687"/>
      <c r="BF550" s="151"/>
      <c r="BG550" s="687"/>
      <c r="BH550" s="151"/>
      <c r="BI550" s="687"/>
      <c r="BJ550" s="151"/>
      <c r="BK550" s="687"/>
      <c r="BL550" s="151"/>
      <c r="BM550" s="687"/>
      <c r="BN550" s="151"/>
      <c r="BO550" s="687"/>
      <c r="BP550" s="151"/>
      <c r="BQ550" s="687"/>
      <c r="BR550" s="151"/>
      <c r="BS550" s="687"/>
      <c r="BT550" s="151"/>
      <c r="BU550" s="687"/>
      <c r="BV550" s="151"/>
      <c r="BW550" s="687"/>
      <c r="BX550" s="151"/>
      <c r="BY550" s="687"/>
      <c r="BZ550" s="151"/>
      <c r="CA550" s="687"/>
      <c r="CB550" s="151"/>
      <c r="CC550" s="687"/>
      <c r="CD550" s="151"/>
      <c r="CE550" s="687"/>
      <c r="CF550" s="151"/>
      <c r="CG550" s="687"/>
      <c r="CH550" s="151"/>
      <c r="CI550" s="687"/>
      <c r="CJ550" s="151"/>
      <c r="CK550" s="687"/>
      <c r="CL550" s="151"/>
      <c r="CM550" s="687"/>
      <c r="CN550" s="151"/>
      <c r="CO550" s="687"/>
      <c r="CP550" s="151"/>
      <c r="CQ550" s="687"/>
      <c r="CR550" s="151"/>
      <c r="CS550" s="687"/>
      <c r="CT550" s="151"/>
      <c r="CU550" s="687"/>
      <c r="CV550" s="151"/>
      <c r="CW550" s="687"/>
      <c r="CX550" s="151"/>
      <c r="CY550" s="687"/>
      <c r="CZ550" s="151"/>
      <c r="DA550" s="687"/>
      <c r="DB550" s="16"/>
      <c r="DC550" s="16"/>
      <c r="DD550" s="687"/>
      <c r="DE550" s="151"/>
      <c r="DF550" s="687"/>
      <c r="DG550" s="151"/>
      <c r="DH550" s="687"/>
      <c r="DI550" s="151"/>
      <c r="DJ550" s="687"/>
      <c r="DK550" s="151"/>
      <c r="DL550" s="687"/>
      <c r="DM550" s="151"/>
      <c r="DN550" s="687"/>
      <c r="DO550" s="151"/>
      <c r="DP550" s="687"/>
      <c r="DQ550" s="151"/>
      <c r="DR550" s="687"/>
      <c r="DS550" s="151"/>
      <c r="DT550" s="687"/>
      <c r="DU550" s="151"/>
      <c r="DV550" s="687"/>
      <c r="DW550" s="151"/>
      <c r="DX550" s="687"/>
      <c r="DY550" s="151"/>
      <c r="DZ550" s="687"/>
      <c r="EA550" s="151"/>
      <c r="EB550" s="687"/>
      <c r="EC550" s="151"/>
      <c r="ED550" s="687"/>
      <c r="EE550" s="151"/>
      <c r="EF550" s="687"/>
      <c r="EG550" s="151"/>
      <c r="EH550" s="687"/>
      <c r="EI550" s="151"/>
      <c r="EJ550" s="687"/>
      <c r="EK550" s="151"/>
      <c r="EL550" s="687"/>
      <c r="EM550" s="687"/>
    </row>
    <row r="551" spans="1:143" ht="12.75" hidden="1" customHeight="1" outlineLevel="1" x14ac:dyDescent="0.2">
      <c r="A551" s="715" t="str">
        <f>INPUT!B475</f>
        <v>EXPENSES</v>
      </c>
      <c r="B551" s="156"/>
      <c r="C551" s="687"/>
      <c r="D551" s="156"/>
      <c r="E551" s="687"/>
      <c r="F551" s="156"/>
      <c r="G551" s="687"/>
      <c r="H551" s="156"/>
      <c r="I551" s="687"/>
      <c r="J551" s="151"/>
      <c r="K551" s="687"/>
      <c r="L551" s="151"/>
      <c r="M551" s="687"/>
      <c r="N551" s="151"/>
      <c r="O551" s="687"/>
      <c r="P551" s="151"/>
      <c r="Q551" s="687"/>
      <c r="R551" s="151"/>
      <c r="S551" s="687"/>
      <c r="T551" s="151"/>
      <c r="U551" s="687"/>
      <c r="V551" s="151"/>
      <c r="W551" s="687"/>
      <c r="X551" s="151"/>
      <c r="Y551" s="687"/>
      <c r="Z551" s="151"/>
      <c r="AA551" s="687"/>
      <c r="AB551" s="151"/>
      <c r="AC551" s="687"/>
      <c r="AD551" s="151"/>
      <c r="AE551" s="687"/>
      <c r="AF551" s="151"/>
      <c r="AG551" s="687"/>
      <c r="AH551" s="151"/>
      <c r="AI551" s="687"/>
      <c r="AJ551" s="151"/>
      <c r="AK551" s="687"/>
      <c r="AL551" s="151"/>
      <c r="AM551" s="687"/>
      <c r="AN551" s="151"/>
      <c r="AO551" s="687"/>
      <c r="AP551" s="151"/>
      <c r="AQ551" s="687"/>
      <c r="AR551" s="151"/>
      <c r="AS551" s="687"/>
      <c r="AT551" s="151"/>
      <c r="AU551" s="687"/>
      <c r="AV551" s="151"/>
      <c r="AW551" s="687"/>
      <c r="AX551" s="151"/>
      <c r="AY551" s="687"/>
      <c r="AZ551" s="151"/>
      <c r="BA551" s="687"/>
      <c r="BB551" s="151"/>
      <c r="BC551" s="687"/>
      <c r="BD551" s="151"/>
      <c r="BE551" s="687"/>
      <c r="BF551" s="151"/>
      <c r="BG551" s="687"/>
      <c r="BH551" s="151"/>
      <c r="BI551" s="687"/>
      <c r="BJ551" s="151"/>
      <c r="BK551" s="687"/>
      <c r="BL551" s="151"/>
      <c r="BM551" s="687"/>
      <c r="BN551" s="151"/>
      <c r="BO551" s="687"/>
      <c r="BP551" s="151"/>
      <c r="BQ551" s="687"/>
      <c r="BR551" s="151"/>
      <c r="BS551" s="687"/>
      <c r="BT551" s="151"/>
      <c r="BU551" s="687"/>
      <c r="BV551" s="151"/>
      <c r="BW551" s="687"/>
      <c r="BX551" s="151"/>
      <c r="BY551" s="687"/>
      <c r="BZ551" s="151"/>
      <c r="CA551" s="687"/>
      <c r="CB551" s="151"/>
      <c r="CC551" s="687"/>
      <c r="CD551" s="151"/>
      <c r="CE551" s="687"/>
      <c r="CF551" s="151"/>
      <c r="CG551" s="687"/>
      <c r="CH551" s="151"/>
      <c r="CI551" s="687"/>
      <c r="CJ551" s="151"/>
      <c r="CK551" s="687"/>
      <c r="CL551" s="151"/>
      <c r="CM551" s="687"/>
      <c r="CN551" s="151"/>
      <c r="CO551" s="687"/>
      <c r="CP551" s="151"/>
      <c r="CQ551" s="687"/>
      <c r="CR551" s="151"/>
      <c r="CS551" s="687"/>
      <c r="CT551" s="151"/>
      <c r="CU551" s="687"/>
      <c r="CV551" s="151"/>
      <c r="CW551" s="687"/>
      <c r="CX551" s="151"/>
      <c r="CY551" s="687"/>
      <c r="CZ551" s="151"/>
      <c r="DA551" s="687"/>
      <c r="DB551" s="16"/>
      <c r="DC551" s="156"/>
      <c r="DD551" s="687"/>
      <c r="DE551" s="151"/>
      <c r="DF551" s="687"/>
      <c r="DG551" s="151"/>
      <c r="DH551" s="687"/>
      <c r="DI551" s="151"/>
      <c r="DJ551" s="687"/>
      <c r="DK551" s="151"/>
      <c r="DL551" s="687"/>
      <c r="DM551" s="151"/>
      <c r="DN551" s="687"/>
      <c r="DO551" s="151"/>
      <c r="DP551" s="687"/>
      <c r="DQ551" s="151"/>
      <c r="DR551" s="687"/>
      <c r="DS551" s="151"/>
      <c r="DT551" s="687"/>
      <c r="DU551" s="151"/>
      <c r="DV551" s="687"/>
      <c r="DW551" s="151"/>
      <c r="DX551" s="687"/>
      <c r="DY551" s="151"/>
      <c r="DZ551" s="687"/>
      <c r="EA551" s="151"/>
      <c r="EB551" s="687"/>
      <c r="EC551" s="151"/>
      <c r="ED551" s="687"/>
      <c r="EE551" s="151"/>
      <c r="EF551" s="687"/>
      <c r="EG551" s="151"/>
      <c r="EH551" s="687"/>
      <c r="EI551" s="151"/>
      <c r="EJ551" s="687"/>
      <c r="EK551" s="151"/>
      <c r="EL551" s="687"/>
      <c r="EM551" s="687"/>
    </row>
    <row r="552" spans="1:143" ht="12.75" hidden="1" customHeight="1" outlineLevel="1" x14ac:dyDescent="0.2">
      <c r="A552" s="701" t="str">
        <f>INPUT!B476</f>
        <v>Interest on Debt</v>
      </c>
      <c r="B552" s="16">
        <f>INPUT!AY476</f>
        <v>21.5</v>
      </c>
      <c r="C552" s="687">
        <f>INPUT!AZ476</f>
        <v>-3.1531531531531543</v>
      </c>
      <c r="D552" s="16">
        <f>INPUT!BA476</f>
        <v>64.3</v>
      </c>
      <c r="E552" s="687" t="str">
        <f>INPUT!BB476</f>
        <v>NM</v>
      </c>
      <c r="F552" s="16">
        <f>INPUT!BC476</f>
        <v>66.7</v>
      </c>
      <c r="G552" s="687" t="str">
        <f>INPUT!BD476</f>
        <v>NM</v>
      </c>
      <c r="H552" s="16">
        <f>INPUT!BE476</f>
        <v>64.3</v>
      </c>
      <c r="I552" s="687" t="str">
        <f>INPUT!BF476</f>
        <v>NM</v>
      </c>
      <c r="J552" s="151">
        <f>INPUT!BG476</f>
        <v>62.4</v>
      </c>
      <c r="K552" s="687" t="str">
        <f>INPUT!BH476</f>
        <v>NM</v>
      </c>
      <c r="L552" s="151">
        <f>INPUT!BI476</f>
        <v>73.099999999999994</v>
      </c>
      <c r="M552" s="687">
        <f>INPUT!BJ476</f>
        <v>13.685847589424572</v>
      </c>
      <c r="N552" s="151">
        <f>INPUT!BK476</f>
        <v>68.2</v>
      </c>
      <c r="O552" s="687">
        <f>INPUT!BL476</f>
        <v>2.2488755622188883</v>
      </c>
      <c r="P552" s="151">
        <f>INPUT!BM476</f>
        <v>80.3</v>
      </c>
      <c r="Q552" s="687">
        <f>INPUT!BN476</f>
        <v>24.883359253499226</v>
      </c>
      <c r="R552" s="151">
        <f>INPUT!BO476</f>
        <v>75.400000000000006</v>
      </c>
      <c r="S552" s="687">
        <f>INPUT!BP476</f>
        <v>20.83333333333335</v>
      </c>
      <c r="T552" s="151">
        <f>INPUT!BQ476</f>
        <v>64.8</v>
      </c>
      <c r="U552" s="687">
        <f>INPUT!BR476</f>
        <v>-11.354309165526677</v>
      </c>
      <c r="V552" s="151">
        <f>INPUT!BS476</f>
        <v>68.3</v>
      </c>
      <c r="W552" s="687">
        <f>INPUT!BT476</f>
        <v>0.14662756598240456</v>
      </c>
      <c r="X552" s="151">
        <f>INPUT!BU476</f>
        <v>72.3</v>
      </c>
      <c r="Y552" s="687">
        <f>INPUT!BV476</f>
        <v>-9.9626400996263964</v>
      </c>
      <c r="Z552" s="151">
        <f>INPUT!BW476</f>
        <v>64.7</v>
      </c>
      <c r="AA552" s="687">
        <f>INPUT!BX476</f>
        <v>-14.190981432360751</v>
      </c>
      <c r="AB552" s="151">
        <f>INPUT!BY476</f>
        <v>60.9</v>
      </c>
      <c r="AC552" s="687">
        <f>INPUT!BZ476</f>
        <v>-6.0185185185185119</v>
      </c>
      <c r="AD552" s="151">
        <f>INPUT!CA476</f>
        <v>68</v>
      </c>
      <c r="AE552" s="687">
        <f>INPUT!CB476</f>
        <v>-0.43923865300146137</v>
      </c>
      <c r="AF552" s="151">
        <f>INPUT!CC476</f>
        <v>68.099999999999994</v>
      </c>
      <c r="AG552" s="687">
        <f>INPUT!CD476</f>
        <v>-5.8091286307053958</v>
      </c>
      <c r="AH552" s="151">
        <f>INPUT!CE476</f>
        <v>68.099999999999994</v>
      </c>
      <c r="AI552" s="687">
        <f>INPUT!CF476</f>
        <v>5.2550231839257888</v>
      </c>
      <c r="AJ552" s="151">
        <f>INPUT!CG476</f>
        <v>69</v>
      </c>
      <c r="AK552" s="687">
        <f>INPUT!CH476</f>
        <v>13.300492610837434</v>
      </c>
      <c r="AL552" s="151">
        <f>INPUT!CI476</f>
        <v>74.5</v>
      </c>
      <c r="AM552" s="687">
        <f>INPUT!CJ476</f>
        <v>9.5588235294117752</v>
      </c>
      <c r="AN552" s="151">
        <f>INPUT!CK476</f>
        <v>74.3</v>
      </c>
      <c r="AO552" s="687">
        <f>INPUT!CL476</f>
        <v>9.104258443465497</v>
      </c>
      <c r="AP552" s="151">
        <f>INPUT!CM476</f>
        <v>71.599999999999994</v>
      </c>
      <c r="AQ552" s="687">
        <f>INPUT!CN476</f>
        <v>5.1395007342143861</v>
      </c>
      <c r="AR552" s="151">
        <f>INPUT!CO476</f>
        <v>72</v>
      </c>
      <c r="AS552" s="687">
        <f>INPUT!CP476</f>
        <v>4.3478260869565188</v>
      </c>
      <c r="AT552" s="151">
        <f>INPUT!CQ476</f>
        <v>71</v>
      </c>
      <c r="AU552" s="687">
        <f>INPUT!CR476</f>
        <v>-4.6979865771812124</v>
      </c>
      <c r="AV552" s="151">
        <f>INPUT!CS476</f>
        <v>70</v>
      </c>
      <c r="AW552" s="687">
        <f>INPUT!CT476</f>
        <v>-5.7873485868102259</v>
      </c>
      <c r="AX552" s="151">
        <f>INPUT!CU476</f>
        <v>68</v>
      </c>
      <c r="AY552" s="687">
        <f>INPUT!CV476</f>
        <v>-5.0279329608938443</v>
      </c>
      <c r="AZ552" s="151">
        <f>INPUT!CW476</f>
        <v>68</v>
      </c>
      <c r="BA552" s="687">
        <f>INPUT!CX476</f>
        <v>-5.555555555555558</v>
      </c>
      <c r="BB552" s="151">
        <f>INPUT!CY476</f>
        <v>68</v>
      </c>
      <c r="BC552" s="687">
        <f>INPUT!CZ476</f>
        <v>-4.2253521126760614</v>
      </c>
      <c r="BD552" s="151">
        <f>INPUT!DA476</f>
        <v>65</v>
      </c>
      <c r="BE552" s="687">
        <f>INPUT!DB476</f>
        <v>-7.1428571428571397</v>
      </c>
      <c r="BF552" s="151">
        <f>INPUT!DC476</f>
        <v>64</v>
      </c>
      <c r="BG552" s="687">
        <f>INPUT!DD476</f>
        <v>-5.8823529411764719</v>
      </c>
      <c r="BH552" s="151">
        <f>INPUT!DE476</f>
        <v>65</v>
      </c>
      <c r="BI552" s="687">
        <f>INPUT!DF476</f>
        <v>-4.4117647058823479</v>
      </c>
      <c r="BJ552" s="151">
        <f>INPUT!DG476</f>
        <v>67</v>
      </c>
      <c r="BK552" s="687">
        <f>INPUT!DH476</f>
        <v>-1.4705882352941124</v>
      </c>
      <c r="BL552" s="151">
        <f>INPUT!DI476</f>
        <v>68</v>
      </c>
      <c r="BM552" s="687">
        <f>INPUT!DJ476</f>
        <v>4.6153846153846212</v>
      </c>
      <c r="BN552" s="151">
        <f>INPUT!DK476</f>
        <v>67</v>
      </c>
      <c r="BO552" s="687">
        <f>INPUT!DL476</f>
        <v>4.6875</v>
      </c>
      <c r="BP552" s="151">
        <f>INPUT!DM476</f>
        <v>67</v>
      </c>
      <c r="BQ552" s="687">
        <f>INPUT!DN476</f>
        <v>3.076923076923066</v>
      </c>
      <c r="BR552" s="151">
        <f>INPUT!DO476</f>
        <v>67</v>
      </c>
      <c r="BS552" s="687">
        <f>INPUT!DP476</f>
        <v>0</v>
      </c>
      <c r="BT552" s="151">
        <f>INPUT!DQ476</f>
        <v>67</v>
      </c>
      <c r="BU552" s="687">
        <f>INPUT!DR476</f>
        <v>-1.4705882352941124</v>
      </c>
      <c r="BV552" s="151">
        <f>INPUT!DS476</f>
        <v>68</v>
      </c>
      <c r="BW552" s="687">
        <f>INPUT!DT476</f>
        <v>1.4925373134328401</v>
      </c>
      <c r="BX552" s="151">
        <f>INPUT!DU476</f>
        <v>69</v>
      </c>
      <c r="BY552" s="687">
        <f>INPUT!DV476</f>
        <v>2.9850746268656803</v>
      </c>
      <c r="BZ552" s="151">
        <f>INPUT!DW476</f>
        <v>67</v>
      </c>
      <c r="CA552" s="687">
        <f>INPUT!DX476</f>
        <v>67</v>
      </c>
      <c r="CB552" s="151">
        <f>INPUT!DY476</f>
        <v>68</v>
      </c>
      <c r="CC552" s="687">
        <f>INPUT!DZ476</f>
        <v>1.4925373134328401</v>
      </c>
      <c r="CD552" s="151">
        <f>INPUT!EA476</f>
        <v>68</v>
      </c>
      <c r="CE552" s="687">
        <f>INPUT!EB476</f>
        <v>0</v>
      </c>
      <c r="CF552" s="151">
        <f>INPUT!EC476</f>
        <v>68</v>
      </c>
      <c r="CG552" s="687">
        <f>INPUT!ED476</f>
        <v>-1.4492753623188359</v>
      </c>
      <c r="CH552" s="151">
        <f>INPUT!EE476</f>
        <v>66</v>
      </c>
      <c r="CI552" s="687">
        <f>INPUT!EF476</f>
        <v>-1.4925373134328401</v>
      </c>
      <c r="CJ552" s="151">
        <f>INPUT!EG476</f>
        <v>67</v>
      </c>
      <c r="CK552" s="687">
        <f>INPUT!EH476</f>
        <v>-1.4705882352941124</v>
      </c>
      <c r="CL552" s="151">
        <f>INPUT!EI476</f>
        <v>64</v>
      </c>
      <c r="CM552" s="687">
        <f>INPUT!EJ476</f>
        <v>-5.8823529411764719</v>
      </c>
      <c r="CN552" s="151">
        <f>INPUT!EK476</f>
        <v>63</v>
      </c>
      <c r="CO552" s="687">
        <f>INPUT!EL476</f>
        <v>-7.3529411764705843</v>
      </c>
      <c r="CP552" s="151">
        <f>INPUT!EM476</f>
        <v>63</v>
      </c>
      <c r="CQ552" s="687">
        <f>INPUT!EN476</f>
        <v>-4.5454545454545414</v>
      </c>
      <c r="CR552" s="151">
        <f>INPUT!EO476</f>
        <v>63</v>
      </c>
      <c r="CS552" s="687">
        <f>INPUT!EP476</f>
        <v>-5.9701492537313383</v>
      </c>
      <c r="CT552" s="151">
        <f>INPUT!EQ476</f>
        <v>67.375</v>
      </c>
      <c r="CU552" s="687">
        <f>INPUT!ER476</f>
        <v>5.2734375</v>
      </c>
      <c r="CV552" s="151">
        <f>INPUT!ES476</f>
        <v>67.375</v>
      </c>
      <c r="CW552" s="687">
        <f>INPUT!ET476</f>
        <v>6.944444444444442</v>
      </c>
      <c r="CX552" s="151">
        <f>INPUT!EU476</f>
        <v>67.375</v>
      </c>
      <c r="CY552" s="687">
        <f>INPUT!EV476</f>
        <v>6.944444444444442</v>
      </c>
      <c r="CZ552" s="151">
        <f>INPUT!EW476</f>
        <v>67.375</v>
      </c>
      <c r="DA552" s="687">
        <f>INPUT!EX476</f>
        <v>6.944444444444442</v>
      </c>
      <c r="DB552" s="16"/>
      <c r="DC552" s="16">
        <f>INPUT!FP476</f>
        <v>87.2</v>
      </c>
      <c r="DD552" s="687" t="str">
        <f>INPUT!FQ476</f>
        <v>NA</v>
      </c>
      <c r="DE552" s="151">
        <f>INPUT!FR476</f>
        <v>216.8</v>
      </c>
      <c r="DF552" s="687" t="str">
        <f>INPUT!FS476</f>
        <v>NM</v>
      </c>
      <c r="DG552" s="151">
        <f>INPUT!FT476</f>
        <v>284</v>
      </c>
      <c r="DH552" s="687">
        <f>INPUT!FU476</f>
        <v>30.996309963099634</v>
      </c>
      <c r="DI552" s="151">
        <f>INPUT!FV476</f>
        <v>280.8</v>
      </c>
      <c r="DJ552" s="687">
        <f>INPUT!FW476</f>
        <v>-1.1267605633802802</v>
      </c>
      <c r="DK552" s="151">
        <f>INPUT!FX476</f>
        <v>261.7</v>
      </c>
      <c r="DL552" s="687">
        <f>INPUT!FY476</f>
        <v>-6.8019943019943074</v>
      </c>
      <c r="DM552" s="151">
        <f>INPUT!FZ476</f>
        <v>285.89999999999998</v>
      </c>
      <c r="DN552" s="687">
        <f>INPUT!GA476</f>
        <v>9.2472296522735817</v>
      </c>
      <c r="DO552" s="151">
        <f>INPUT!GB476</f>
        <v>284.60000000000002</v>
      </c>
      <c r="DP552" s="687">
        <f>INPUT!GC476</f>
        <v>-0.45470444211260785</v>
      </c>
      <c r="DQ552" s="151">
        <f>INPUT!GD476</f>
        <v>269</v>
      </c>
      <c r="DR552" s="687">
        <f>INPUT!GE476</f>
        <v>-5.4813773717498293</v>
      </c>
      <c r="DS552" s="151">
        <f>INPUT!GF476</f>
        <v>264</v>
      </c>
      <c r="DT552" s="687">
        <f>INPUT!GG476</f>
        <v>-1.8587360594795488</v>
      </c>
      <c r="DU552" s="151">
        <f>INPUT!GH476</f>
        <v>268</v>
      </c>
      <c r="DV552" s="687">
        <f>INPUT!GI476</f>
        <v>1.5151515151515138</v>
      </c>
      <c r="DW552" s="151">
        <f>INPUT!GJ476</f>
        <v>272</v>
      </c>
      <c r="DX552" s="687">
        <f>INPUT!GK476</f>
        <v>1.4925373134328401</v>
      </c>
      <c r="DY552" s="151">
        <f>INPUT!GL476</f>
        <v>269</v>
      </c>
      <c r="DZ552" s="687">
        <f>INPUT!GM476</f>
        <v>-1.1029411764705843</v>
      </c>
      <c r="EA552" s="151">
        <f>INPUT!GN476</f>
        <v>253</v>
      </c>
      <c r="EB552" s="687">
        <f>INPUT!GO476</f>
        <v>-5.9479553903345694</v>
      </c>
      <c r="EC552" s="151">
        <f>INPUT!GP476</f>
        <v>269.5</v>
      </c>
      <c r="ED552" s="687">
        <f>INPUT!GQ476</f>
        <v>6.5217391304347894</v>
      </c>
      <c r="EE552" s="151">
        <f>INPUT!GR476</f>
        <v>269.5</v>
      </c>
      <c r="EF552" s="687">
        <f>INPUT!GS476</f>
        <v>0</v>
      </c>
      <c r="EG552" s="151">
        <f>INPUT!GT476</f>
        <v>269.5</v>
      </c>
      <c r="EH552" s="687">
        <f>INPUT!GU476</f>
        <v>0</v>
      </c>
      <c r="EI552" s="151">
        <f>INPUT!GV476</f>
        <v>269.5</v>
      </c>
      <c r="EJ552" s="687">
        <f>INPUT!GW476</f>
        <v>0</v>
      </c>
      <c r="EK552" s="151">
        <f>INPUT!GX476</f>
        <v>269.5</v>
      </c>
      <c r="EL552" s="687">
        <f>INPUT!GY476</f>
        <v>0</v>
      </c>
      <c r="EM552" s="687">
        <f>INPUT!GZ476</f>
        <v>1.271594910569096</v>
      </c>
    </row>
    <row r="553" spans="1:143" ht="12.75" hidden="1" customHeight="1" outlineLevel="1" x14ac:dyDescent="0.2">
      <c r="A553" s="701" t="str">
        <f>INPUT!B477</f>
        <v>Operating Expenses</v>
      </c>
      <c r="B553" s="16">
        <f>INPUT!AY477</f>
        <v>12.2</v>
      </c>
      <c r="C553" s="687">
        <f>INPUT!AZ477</f>
        <v>84.848484848484844</v>
      </c>
      <c r="D553" s="16">
        <f>INPUT!BA477</f>
        <v>29.376923076923074</v>
      </c>
      <c r="E553" s="687">
        <f>INPUT!BB477</f>
        <v>-41.480232914495865</v>
      </c>
      <c r="F553" s="16">
        <f>INPUT!BC477</f>
        <v>-1.7461538461538453</v>
      </c>
      <c r="G553" s="687" t="str">
        <f>INPUT!BD477</f>
        <v>NM</v>
      </c>
      <c r="H553" s="16">
        <f>INPUT!BE477</f>
        <v>35.223076923076917</v>
      </c>
      <c r="I553" s="687" t="str">
        <f>INPUT!BF477</f>
        <v>NM</v>
      </c>
      <c r="J553" s="151">
        <f>INPUT!BG477</f>
        <v>80.799999999999983</v>
      </c>
      <c r="K553" s="687" t="str">
        <f>INPUT!BH477</f>
        <v>NM</v>
      </c>
      <c r="L553" s="151">
        <f>INPUT!BI477</f>
        <v>87.200000000000017</v>
      </c>
      <c r="M553" s="687" t="str">
        <f>INPUT!BJ477</f>
        <v>NM</v>
      </c>
      <c r="N553" s="151">
        <f>INPUT!BK477</f>
        <v>97.6</v>
      </c>
      <c r="O553" s="687" t="str">
        <f>INPUT!BL477</f>
        <v>NM</v>
      </c>
      <c r="P553" s="151">
        <f>INPUT!BM477</f>
        <v>109.79999999999998</v>
      </c>
      <c r="Q553" s="687" t="str">
        <f>INPUT!BN477</f>
        <v>NM</v>
      </c>
      <c r="R553" s="151">
        <f>INPUT!BO477</f>
        <v>91.399999999999991</v>
      </c>
      <c r="S553" s="687">
        <f>INPUT!BP477</f>
        <v>13.11881188118813</v>
      </c>
      <c r="T553" s="151">
        <f>INPUT!BQ477</f>
        <v>97.200000000000017</v>
      </c>
      <c r="U553" s="687">
        <f>INPUT!BR477</f>
        <v>11.467889908256868</v>
      </c>
      <c r="V553" s="151">
        <f>INPUT!BS477</f>
        <v>126.39999999999999</v>
      </c>
      <c r="W553" s="687">
        <f>INPUT!BT477</f>
        <v>29.508196721311464</v>
      </c>
      <c r="X553" s="151">
        <f>INPUT!BU477</f>
        <v>129.69999999999999</v>
      </c>
      <c r="Y553" s="687">
        <f>INPUT!BV477</f>
        <v>18.123861566484536</v>
      </c>
      <c r="Z553" s="151">
        <f>INPUT!BW477</f>
        <v>206.90000000000003</v>
      </c>
      <c r="AA553" s="687" t="str">
        <f>INPUT!BX477</f>
        <v>NM</v>
      </c>
      <c r="AB553" s="151">
        <f>INPUT!BY477</f>
        <v>140.79999999999998</v>
      </c>
      <c r="AC553" s="687">
        <f>INPUT!BZ477</f>
        <v>44.855967078189266</v>
      </c>
      <c r="AD553" s="151">
        <f>INPUT!CA477</f>
        <v>105.6</v>
      </c>
      <c r="AE553" s="687">
        <f>INPUT!CB477</f>
        <v>-16.455696202531644</v>
      </c>
      <c r="AF553" s="151">
        <f>INPUT!CC477</f>
        <v>132</v>
      </c>
      <c r="AG553" s="687">
        <f>INPUT!CD477</f>
        <v>1.7733230531997046</v>
      </c>
      <c r="AH553" s="151">
        <f>INPUT!CE477</f>
        <v>110.80000000000001</v>
      </c>
      <c r="AI553" s="687">
        <f>INPUT!CF477</f>
        <v>-46.447559207346544</v>
      </c>
      <c r="AJ553" s="151">
        <f>INPUT!CG477</f>
        <v>114.1</v>
      </c>
      <c r="AK553" s="687">
        <f>INPUT!CH477</f>
        <v>-18.963068181818176</v>
      </c>
      <c r="AL553" s="151">
        <f>INPUT!CI477</f>
        <v>108.6</v>
      </c>
      <c r="AM553" s="687">
        <f>INPUT!CJ477</f>
        <v>2.8409090909090828</v>
      </c>
      <c r="AN553" s="151">
        <f>INPUT!CK477</f>
        <v>161</v>
      </c>
      <c r="AO553" s="687">
        <f>INPUT!CL477</f>
        <v>21.969696969696972</v>
      </c>
      <c r="AP553" s="151">
        <f>INPUT!CM477</f>
        <v>104.30000000000001</v>
      </c>
      <c r="AQ553" s="687">
        <f>INPUT!CN477</f>
        <v>-5.8664259927797779</v>
      </c>
      <c r="AR553" s="151">
        <f>INPUT!CO477</f>
        <v>77</v>
      </c>
      <c r="AS553" s="687">
        <f>INPUT!CP477</f>
        <v>-32.515337423312886</v>
      </c>
      <c r="AT553" s="151">
        <f>INPUT!CQ477</f>
        <v>112</v>
      </c>
      <c r="AU553" s="687">
        <f>INPUT!CR477</f>
        <v>3.130755064456725</v>
      </c>
      <c r="AV553" s="151">
        <f>INPUT!CS477</f>
        <v>105</v>
      </c>
      <c r="AW553" s="687">
        <f>INPUT!CT477</f>
        <v>-34.782608695652172</v>
      </c>
      <c r="AX553" s="151">
        <f>INPUT!CU477</f>
        <v>95</v>
      </c>
      <c r="AY553" s="687">
        <f>INPUT!CV477</f>
        <v>-8.9165867689357743</v>
      </c>
      <c r="AZ553" s="151">
        <f>INPUT!CW477</f>
        <v>96</v>
      </c>
      <c r="BA553" s="687">
        <f>INPUT!CX477</f>
        <v>24.675324675324674</v>
      </c>
      <c r="BB553" s="151">
        <f>INPUT!CY477</f>
        <v>122</v>
      </c>
      <c r="BC553" s="687">
        <f>INPUT!CZ477</f>
        <v>8.9285714285714199</v>
      </c>
      <c r="BD553" s="151">
        <f>INPUT!DA477</f>
        <v>105</v>
      </c>
      <c r="BE553" s="687">
        <f>INPUT!DB477</f>
        <v>0</v>
      </c>
      <c r="BF553" s="151">
        <f>INPUT!DC477</f>
        <v>94</v>
      </c>
      <c r="BG553" s="687">
        <f>INPUT!DD477</f>
        <v>-1.0526315789473717</v>
      </c>
      <c r="BH553" s="151">
        <f>INPUT!DE477</f>
        <v>98</v>
      </c>
      <c r="BI553" s="687">
        <f>INPUT!DF477</f>
        <v>2.0833333333333259</v>
      </c>
      <c r="BJ553" s="151">
        <f>INPUT!DG477</f>
        <v>75</v>
      </c>
      <c r="BK553" s="687">
        <f>INPUT!DH477</f>
        <v>-38.524590163934427</v>
      </c>
      <c r="BL553" s="151">
        <f>INPUT!DI477</f>
        <v>77</v>
      </c>
      <c r="BM553" s="687">
        <f>INPUT!DJ477</f>
        <v>-26.666666666666671</v>
      </c>
      <c r="BN553" s="151">
        <f>INPUT!DK477</f>
        <v>85</v>
      </c>
      <c r="BO553" s="687">
        <f>INPUT!DL477</f>
        <v>-9.5744680851063801</v>
      </c>
      <c r="BP553" s="151">
        <f>INPUT!DM477</f>
        <v>73</v>
      </c>
      <c r="BQ553" s="687">
        <f>INPUT!DN477</f>
        <v>-25.510204081632647</v>
      </c>
      <c r="BR553" s="151">
        <f>INPUT!DO477</f>
        <v>81</v>
      </c>
      <c r="BS553" s="687">
        <f>INPUT!DP477</f>
        <v>8.0000000000000071</v>
      </c>
      <c r="BT553" s="151">
        <f>INPUT!DQ477</f>
        <v>90</v>
      </c>
      <c r="BU553" s="687">
        <f>INPUT!DR477</f>
        <v>16.883116883116877</v>
      </c>
      <c r="BV553" s="151">
        <f>INPUT!DS477</f>
        <v>71</v>
      </c>
      <c r="BW553" s="687">
        <f>INPUT!DT477</f>
        <v>-16.470588235294116</v>
      </c>
      <c r="BX553" s="151">
        <f>INPUT!DU477</f>
        <v>86</v>
      </c>
      <c r="BY553" s="687">
        <f>INPUT!DV477</f>
        <v>17.808219178082197</v>
      </c>
      <c r="BZ553" s="151">
        <f>INPUT!DW477</f>
        <v>122</v>
      </c>
      <c r="CA553" s="687">
        <f>INPUT!DX477</f>
        <v>122</v>
      </c>
      <c r="CB553" s="151">
        <f>INPUT!DY477</f>
        <v>63</v>
      </c>
      <c r="CC553" s="687">
        <f>INPUT!DZ477</f>
        <v>-30.000000000000004</v>
      </c>
      <c r="CD553" s="151">
        <f>INPUT!EA477</f>
        <v>41</v>
      </c>
      <c r="CE553" s="687">
        <f>INPUT!EB477</f>
        <v>-42.25352112676056</v>
      </c>
      <c r="CF553" s="151">
        <f>INPUT!EC477</f>
        <v>57</v>
      </c>
      <c r="CG553" s="687">
        <f>INPUT!ED477</f>
        <v>-33.720930232558146</v>
      </c>
      <c r="CH553" s="151">
        <f>INPUT!EE477</f>
        <v>85</v>
      </c>
      <c r="CI553" s="687">
        <f>INPUT!EF477</f>
        <v>-30.327868852459016</v>
      </c>
      <c r="CJ553" s="151">
        <f>INPUT!EG477</f>
        <v>84</v>
      </c>
      <c r="CK553" s="687">
        <f>INPUT!EH477</f>
        <v>33.333333333333329</v>
      </c>
      <c r="CL553" s="151">
        <f>INPUT!EI477</f>
        <v>56</v>
      </c>
      <c r="CM553" s="687">
        <f>INPUT!EJ477</f>
        <v>36.585365853658544</v>
      </c>
      <c r="CN553" s="151">
        <f>INPUT!EK477</f>
        <v>53</v>
      </c>
      <c r="CO553" s="687">
        <f>INPUT!EL477</f>
        <v>-7.0175438596491224</v>
      </c>
      <c r="CP553" s="151">
        <f>INPUT!EM477</f>
        <v>62</v>
      </c>
      <c r="CQ553" s="687">
        <f>INPUT!EN477</f>
        <v>-27.058823529411768</v>
      </c>
      <c r="CR553" s="151">
        <f>INPUT!EO477</f>
        <v>58</v>
      </c>
      <c r="CS553" s="687">
        <f>INPUT!EP477</f>
        <v>-30.952380952380953</v>
      </c>
      <c r="CT553" s="151">
        <f>INPUT!EQ477</f>
        <v>63</v>
      </c>
      <c r="CU553" s="687">
        <f>INPUT!ER477</f>
        <v>12.5</v>
      </c>
      <c r="CV553" s="151">
        <f>INPUT!ES477</f>
        <v>63</v>
      </c>
      <c r="CW553" s="687">
        <f>INPUT!ET477</f>
        <v>18.867924528301884</v>
      </c>
      <c r="CX553" s="151">
        <f>INPUT!EU477</f>
        <v>63</v>
      </c>
      <c r="CY553" s="687">
        <f>INPUT!EV477</f>
        <v>1.6129032258064502</v>
      </c>
      <c r="CZ553" s="151">
        <f>INPUT!EW477</f>
        <v>63</v>
      </c>
      <c r="DA553" s="687">
        <f>INPUT!EX477</f>
        <v>8.6206896551724199</v>
      </c>
      <c r="DB553" s="16"/>
      <c r="DC553" s="16">
        <f>INPUT!FP477</f>
        <v>98.5</v>
      </c>
      <c r="DD553" s="687" t="str">
        <f>INPUT!FQ477</f>
        <v>NA</v>
      </c>
      <c r="DE553" s="151">
        <f>INPUT!FR477</f>
        <v>75.053846153846138</v>
      </c>
      <c r="DF553" s="687">
        <f>INPUT!FS477</f>
        <v>-23.803201874267877</v>
      </c>
      <c r="DG553" s="151">
        <f>INPUT!FT477</f>
        <v>375.4</v>
      </c>
      <c r="DH553" s="687" t="str">
        <f>INPUT!FU477</f>
        <v>NM</v>
      </c>
      <c r="DI553" s="151">
        <f>INPUT!FV477</f>
        <v>444.7</v>
      </c>
      <c r="DJ553" s="687">
        <f>INPUT!FW477</f>
        <v>18.460309003729371</v>
      </c>
      <c r="DK553" s="151">
        <f>INPUT!FX477</f>
        <v>585.30000000000007</v>
      </c>
      <c r="DL553" s="687">
        <f>INPUT!FY477</f>
        <v>31.616820328311235</v>
      </c>
      <c r="DM553" s="151">
        <f>INPUT!FZ477</f>
        <v>494.5</v>
      </c>
      <c r="DN553" s="687">
        <f>INPUT!GA477</f>
        <v>-15.513411925508292</v>
      </c>
      <c r="DO553" s="151">
        <f>INPUT!GB477</f>
        <v>398.3</v>
      </c>
      <c r="DP553" s="687">
        <f>INPUT!GC477</f>
        <v>-19.453993933265924</v>
      </c>
      <c r="DQ553" s="151">
        <f>INPUT!GD477</f>
        <v>418</v>
      </c>
      <c r="DR553" s="687">
        <f>INPUT!GE477</f>
        <v>4.9460205874968688</v>
      </c>
      <c r="DS553" s="151">
        <f>INPUT!GF477</f>
        <v>344</v>
      </c>
      <c r="DT553" s="687">
        <f>INPUT!GG477</f>
        <v>-17.703349282296653</v>
      </c>
      <c r="DU553" s="151">
        <f>INPUT!GH477</f>
        <v>329</v>
      </c>
      <c r="DV553" s="687">
        <f>INPUT!GI477</f>
        <v>-4.360465116279066</v>
      </c>
      <c r="DW553" s="151">
        <f>INPUT!GJ477</f>
        <v>342</v>
      </c>
      <c r="DX553" s="687">
        <f>INPUT!GK477</f>
        <v>3.951367781155013</v>
      </c>
      <c r="DY553" s="151">
        <f>INPUT!GL477</f>
        <v>267</v>
      </c>
      <c r="DZ553" s="687">
        <f>INPUT!GM477</f>
        <v>-21.92982456140351</v>
      </c>
      <c r="EA553" s="151">
        <f>INPUT!GN477</f>
        <v>229</v>
      </c>
      <c r="EB553" s="687">
        <f>INPUT!GO477</f>
        <v>-14.232209737827716</v>
      </c>
      <c r="EC553" s="151">
        <f>INPUT!GP477</f>
        <v>252</v>
      </c>
      <c r="ED553" s="687">
        <f>INPUT!GQ477</f>
        <v>10.043668122270732</v>
      </c>
      <c r="EE553" s="151">
        <f>INPUT!GR477</f>
        <v>259.56</v>
      </c>
      <c r="EF553" s="687">
        <f>INPUT!GS477</f>
        <v>3.0000000000000027</v>
      </c>
      <c r="EG553" s="151">
        <f>INPUT!GT477</f>
        <v>264.75119999999998</v>
      </c>
      <c r="EH553" s="687">
        <f>INPUT!GU477</f>
        <v>2.0000000000000018</v>
      </c>
      <c r="EI553" s="151">
        <f>INPUT!GV477</f>
        <v>270.046224</v>
      </c>
      <c r="EJ553" s="687">
        <f>INPUT!GW477</f>
        <v>2.0000000000000018</v>
      </c>
      <c r="EK553" s="151">
        <f>INPUT!GX477</f>
        <v>275.44714848000001</v>
      </c>
      <c r="EL553" s="687">
        <f>INPUT!GY477</f>
        <v>2.0000000000000018</v>
      </c>
      <c r="EM553" s="687">
        <f>INPUT!GZ477</f>
        <v>3.7625317331082098</v>
      </c>
    </row>
    <row r="554" spans="1:143" ht="12.75" hidden="1" customHeight="1" outlineLevel="1" x14ac:dyDescent="0.2">
      <c r="A554" s="701" t="str">
        <f>INPUT!B478</f>
        <v>Strategic digitization expense</v>
      </c>
      <c r="B554" s="16">
        <f>INPUT!AY478</f>
        <v>0</v>
      </c>
      <c r="C554" s="687">
        <f>INPUT!AZ478</f>
        <v>0</v>
      </c>
      <c r="D554" s="16">
        <f>INPUT!BA478</f>
        <v>16.923076923076923</v>
      </c>
      <c r="E554" s="687">
        <f>INPUT!BB478</f>
        <v>0</v>
      </c>
      <c r="F554" s="16">
        <f>INPUT!BC478</f>
        <v>13.846153846153845</v>
      </c>
      <c r="G554" s="687">
        <f>INPUT!BD478</f>
        <v>0</v>
      </c>
      <c r="H554" s="16">
        <f>INPUT!BE478</f>
        <v>19.076923076923077</v>
      </c>
      <c r="I554" s="687">
        <f>INPUT!BF478</f>
        <v>0</v>
      </c>
      <c r="J554" s="151">
        <f>INPUT!BG478</f>
        <v>14</v>
      </c>
      <c r="K554" s="687">
        <f>INPUT!BH478</f>
        <v>0</v>
      </c>
      <c r="L554" s="151">
        <f>INPUT!BI478</f>
        <v>30</v>
      </c>
      <c r="M554" s="687">
        <f>INPUT!BJ478</f>
        <v>0</v>
      </c>
      <c r="N554" s="151">
        <f>INPUT!BK478</f>
        <v>29.3</v>
      </c>
      <c r="O554" s="687">
        <f>INPUT!BL478</f>
        <v>0</v>
      </c>
      <c r="P554" s="151">
        <f>INPUT!BM478</f>
        <v>27.9</v>
      </c>
      <c r="Q554" s="687">
        <f>INPUT!BN478</f>
        <v>0</v>
      </c>
      <c r="R554" s="151">
        <f>INPUT!BO478</f>
        <v>14.7</v>
      </c>
      <c r="S554" s="687">
        <f>INPUT!BP478</f>
        <v>0</v>
      </c>
      <c r="T554" s="151">
        <f>INPUT!BQ478</f>
        <v>16.399999999999999</v>
      </c>
      <c r="U554" s="687">
        <f>INPUT!BR478</f>
        <v>0</v>
      </c>
      <c r="V554" s="151">
        <f>INPUT!BS478</f>
        <v>0</v>
      </c>
      <c r="W554" s="687">
        <f>INPUT!BT478</f>
        <v>0</v>
      </c>
      <c r="X554" s="151">
        <f>INPUT!BU478</f>
        <v>0</v>
      </c>
      <c r="Y554" s="687">
        <f>INPUT!BV478</f>
        <v>0</v>
      </c>
      <c r="Z554" s="151">
        <f>INPUT!BW478</f>
        <v>0</v>
      </c>
      <c r="AA554" s="687" t="str">
        <f>INPUT!BX478</f>
        <v>NM</v>
      </c>
      <c r="AB554" s="151">
        <f>INPUT!BY478</f>
        <v>0</v>
      </c>
      <c r="AC554" s="687" t="str">
        <f>INPUT!BZ478</f>
        <v>NM</v>
      </c>
      <c r="AD554" s="151">
        <f>INPUT!CA478</f>
        <v>0</v>
      </c>
      <c r="AE554" s="687" t="str">
        <f>INPUT!CB478</f>
        <v>NA</v>
      </c>
      <c r="AF554" s="151">
        <f>INPUT!CC478</f>
        <v>0</v>
      </c>
      <c r="AG554" s="687" t="str">
        <f>INPUT!CD478</f>
        <v>NA</v>
      </c>
      <c r="AH554" s="151">
        <f>INPUT!CE478</f>
        <v>0</v>
      </c>
      <c r="AI554" s="687" t="str">
        <f>INPUT!CF478</f>
        <v>NA</v>
      </c>
      <c r="AJ554" s="151">
        <f>INPUT!CG478</f>
        <v>0</v>
      </c>
      <c r="AK554" s="687" t="str">
        <f>INPUT!CH478</f>
        <v>NA</v>
      </c>
      <c r="AL554" s="151">
        <f>INPUT!CI478</f>
        <v>0</v>
      </c>
      <c r="AM554" s="687" t="str">
        <f>INPUT!CJ478</f>
        <v>NA</v>
      </c>
      <c r="AN554" s="151">
        <f>INPUT!CK478</f>
        <v>0</v>
      </c>
      <c r="AO554" s="687" t="str">
        <f>INPUT!CL478</f>
        <v>NA</v>
      </c>
      <c r="AP554" s="151">
        <f>INPUT!CM478</f>
        <v>0</v>
      </c>
      <c r="AQ554" s="687" t="str">
        <f>INPUT!CN478</f>
        <v>NA</v>
      </c>
      <c r="AR554" s="151">
        <f>INPUT!CO478</f>
        <v>0</v>
      </c>
      <c r="AS554" s="687" t="str">
        <f>INPUT!CP478</f>
        <v>NA</v>
      </c>
      <c r="AT554" s="151">
        <f>INPUT!CQ478</f>
        <v>0</v>
      </c>
      <c r="AU554" s="687" t="str">
        <f>INPUT!CR478</f>
        <v>NA</v>
      </c>
      <c r="AV554" s="151">
        <f>INPUT!CS478</f>
        <v>0</v>
      </c>
      <c r="AW554" s="687" t="str">
        <f>INPUT!CT478</f>
        <v>NA</v>
      </c>
      <c r="AX554" s="151">
        <f>INPUT!CU478</f>
        <v>0</v>
      </c>
      <c r="AY554" s="687" t="str">
        <f>INPUT!CV478</f>
        <v>NA</v>
      </c>
      <c r="AZ554" s="151">
        <f>INPUT!CW478</f>
        <v>0</v>
      </c>
      <c r="BA554" s="687" t="str">
        <f>INPUT!CX478</f>
        <v>NA</v>
      </c>
      <c r="BB554" s="151">
        <f>INPUT!CY478</f>
        <v>0</v>
      </c>
      <c r="BC554" s="687" t="str">
        <f>INPUT!CZ478</f>
        <v>NA</v>
      </c>
      <c r="BD554" s="151">
        <f>INPUT!DA478</f>
        <v>0</v>
      </c>
      <c r="BE554" s="687" t="str">
        <f>INPUT!DB478</f>
        <v>NA</v>
      </c>
      <c r="BF554" s="151">
        <f>INPUT!DC478</f>
        <v>0</v>
      </c>
      <c r="BG554" s="687" t="str">
        <f>INPUT!DD478</f>
        <v>NA</v>
      </c>
      <c r="BH554" s="151">
        <f>INPUT!DE478</f>
        <v>0</v>
      </c>
      <c r="BI554" s="687" t="str">
        <f>INPUT!DF478</f>
        <v>NA</v>
      </c>
      <c r="BJ554" s="151">
        <f>INPUT!DG478</f>
        <v>0</v>
      </c>
      <c r="BK554" s="687" t="str">
        <f>INPUT!DH478</f>
        <v>NA</v>
      </c>
      <c r="BL554" s="151">
        <f>INPUT!DI478</f>
        <v>0</v>
      </c>
      <c r="BM554" s="687" t="str">
        <f>INPUT!DJ478</f>
        <v>NA</v>
      </c>
      <c r="BN554" s="151">
        <f>INPUT!DK478</f>
        <v>0</v>
      </c>
      <c r="BO554" s="687" t="str">
        <f>INPUT!DL478</f>
        <v>NA</v>
      </c>
      <c r="BP554" s="151">
        <f>INPUT!DM478</f>
        <v>0</v>
      </c>
      <c r="BQ554" s="687" t="str">
        <f>INPUT!DN478</f>
        <v>NA</v>
      </c>
      <c r="BR554" s="151">
        <f>INPUT!DO478</f>
        <v>0</v>
      </c>
      <c r="BS554" s="687" t="str">
        <f>INPUT!DP478</f>
        <v>NA</v>
      </c>
      <c r="BT554" s="151">
        <f>INPUT!DQ478</f>
        <v>0</v>
      </c>
      <c r="BU554" s="687" t="str">
        <f>INPUT!DR478</f>
        <v>NA</v>
      </c>
      <c r="BV554" s="151">
        <f>INPUT!DS478</f>
        <v>0</v>
      </c>
      <c r="BW554" s="687" t="str">
        <f>INPUT!DT478</f>
        <v>NA</v>
      </c>
      <c r="BX554" s="151">
        <f>INPUT!DU478</f>
        <v>0</v>
      </c>
      <c r="BY554" s="687" t="str">
        <f>INPUT!DV478</f>
        <v>NA</v>
      </c>
      <c r="BZ554" s="151">
        <f>INPUT!DW478</f>
        <v>0</v>
      </c>
      <c r="CA554" s="687">
        <f>INPUT!DX478</f>
        <v>0</v>
      </c>
      <c r="CB554" s="151">
        <f>INPUT!DY478</f>
        <v>0</v>
      </c>
      <c r="CC554" s="687" t="str">
        <f>INPUT!DZ478</f>
        <v>NA</v>
      </c>
      <c r="CD554" s="151">
        <f>INPUT!EA478</f>
        <v>0</v>
      </c>
      <c r="CE554" s="687" t="str">
        <f>INPUT!EB478</f>
        <v>NA</v>
      </c>
      <c r="CF554" s="151">
        <f>INPUT!EC478</f>
        <v>0</v>
      </c>
      <c r="CG554" s="687" t="str">
        <f>INPUT!ED478</f>
        <v>NA</v>
      </c>
      <c r="CH554" s="151">
        <f>INPUT!EE478</f>
        <v>0</v>
      </c>
      <c r="CI554" s="687" t="str">
        <f>INPUT!EF478</f>
        <v>NA</v>
      </c>
      <c r="CJ554" s="151">
        <f>INPUT!EG478</f>
        <v>8</v>
      </c>
      <c r="CK554" s="687" t="str">
        <f>INPUT!EH478</f>
        <v>NA</v>
      </c>
      <c r="CL554" s="151">
        <f>INPUT!EI478</f>
        <v>9</v>
      </c>
      <c r="CM554" s="687" t="str">
        <f>INPUT!EJ478</f>
        <v>NA</v>
      </c>
      <c r="CN554" s="151">
        <f>INPUT!EK478</f>
        <v>14</v>
      </c>
      <c r="CO554" s="687" t="str">
        <f>INPUT!EL478</f>
        <v>NA</v>
      </c>
      <c r="CP554" s="151">
        <f>INPUT!EM478</f>
        <v>10</v>
      </c>
      <c r="CQ554" s="687" t="str">
        <f>INPUT!EN478</f>
        <v>NA</v>
      </c>
      <c r="CR554" s="151">
        <f>INPUT!EO478</f>
        <v>10</v>
      </c>
      <c r="CS554" s="687">
        <f>INPUT!EP478</f>
        <v>25</v>
      </c>
      <c r="CT554" s="151">
        <f>INPUT!EQ478</f>
        <v>10</v>
      </c>
      <c r="CU554" s="687">
        <f>INPUT!ER478</f>
        <v>11.111111111111116</v>
      </c>
      <c r="CV554" s="151">
        <f>INPUT!ES478</f>
        <v>10</v>
      </c>
      <c r="CW554" s="687">
        <f>INPUT!ET478</f>
        <v>-28.571428571428569</v>
      </c>
      <c r="CX554" s="151">
        <f>INPUT!EU478</f>
        <v>10</v>
      </c>
      <c r="CY554" s="687">
        <f>INPUT!EV478</f>
        <v>0</v>
      </c>
      <c r="CZ554" s="151">
        <f>INPUT!EW478</f>
        <v>10</v>
      </c>
      <c r="DA554" s="687">
        <f>INPUT!EX478</f>
        <v>0</v>
      </c>
      <c r="DB554" s="16"/>
      <c r="DC554" s="16">
        <f>INPUT!FP478</f>
        <v>0</v>
      </c>
      <c r="DD554" s="687">
        <f>INPUT!FQ478</f>
        <v>0</v>
      </c>
      <c r="DE554" s="151">
        <f>INPUT!FR478</f>
        <v>49.84615384615384</v>
      </c>
      <c r="DF554" s="687" t="str">
        <f>INPUT!FS478</f>
        <v>NA</v>
      </c>
      <c r="DG554" s="151">
        <f>INPUT!FT478</f>
        <v>101.19999999999999</v>
      </c>
      <c r="DH554" s="687" t="str">
        <f>INPUT!FU478</f>
        <v>NM</v>
      </c>
      <c r="DI554" s="151">
        <f>INPUT!FV478</f>
        <v>31.099999999999998</v>
      </c>
      <c r="DJ554" s="687" t="str">
        <f>INPUT!FW478</f>
        <v>NM</v>
      </c>
      <c r="DK554" s="151">
        <f>INPUT!FX478</f>
        <v>0</v>
      </c>
      <c r="DL554" s="687" t="str">
        <f>INPUT!FY478</f>
        <v>NM</v>
      </c>
      <c r="DM554" s="151">
        <f>INPUT!FZ478</f>
        <v>0</v>
      </c>
      <c r="DN554" s="687" t="str">
        <f>INPUT!GA478</f>
        <v>NA</v>
      </c>
      <c r="DO554" s="151">
        <f>INPUT!GB478</f>
        <v>0</v>
      </c>
      <c r="DP554" s="687" t="str">
        <f>INPUT!GC478</f>
        <v>NA</v>
      </c>
      <c r="DQ554" s="151">
        <f>INPUT!GD478</f>
        <v>0</v>
      </c>
      <c r="DR554" s="687" t="str">
        <f>INPUT!GE478</f>
        <v>NA</v>
      </c>
      <c r="DS554" s="151">
        <f>INPUT!GF478</f>
        <v>0</v>
      </c>
      <c r="DT554" s="687" t="str">
        <f>INPUT!GG478</f>
        <v>NA</v>
      </c>
      <c r="DU554" s="151">
        <f>INPUT!GH478</f>
        <v>0</v>
      </c>
      <c r="DV554" s="687" t="str">
        <f>INPUT!GI478</f>
        <v>NA</v>
      </c>
      <c r="DW554" s="151">
        <f>INPUT!GJ478</f>
        <v>0</v>
      </c>
      <c r="DX554" s="687" t="str">
        <f>INPUT!GK478</f>
        <v>NA</v>
      </c>
      <c r="DY554" s="151">
        <f>INPUT!GL478</f>
        <v>8</v>
      </c>
      <c r="DZ554" s="687" t="str">
        <f>INPUT!GM478</f>
        <v>NA</v>
      </c>
      <c r="EA554" s="151">
        <f>INPUT!GN478</f>
        <v>43</v>
      </c>
      <c r="EB554" s="687" t="str">
        <f>INPUT!GO478</f>
        <v>NM</v>
      </c>
      <c r="EC554" s="151">
        <f>INPUT!GP478</f>
        <v>40</v>
      </c>
      <c r="ED554" s="687">
        <f>INPUT!GQ478</f>
        <v>-6.9767441860465134</v>
      </c>
      <c r="EE554" s="151">
        <f>INPUT!GR478</f>
        <v>0</v>
      </c>
      <c r="EF554" s="687" t="str">
        <f>INPUT!GS478</f>
        <v>NM</v>
      </c>
      <c r="EG554" s="151">
        <f>INPUT!GT478</f>
        <v>-90</v>
      </c>
      <c r="EH554" s="687" t="str">
        <f>INPUT!GU478</f>
        <v>NA</v>
      </c>
      <c r="EI554" s="151">
        <f>INPUT!GV478</f>
        <v>-90</v>
      </c>
      <c r="EJ554" s="687">
        <f>INPUT!GW478</f>
        <v>0</v>
      </c>
      <c r="EK554" s="151">
        <f>INPUT!GX478</f>
        <v>-90</v>
      </c>
      <c r="EL554" s="687">
        <f>INPUT!GY478</f>
        <v>0</v>
      </c>
      <c r="EM554" s="687" t="str">
        <f>INPUT!GZ478</f>
        <v>NM</v>
      </c>
    </row>
    <row r="555" spans="1:143" ht="12.75" hidden="1" customHeight="1" outlineLevel="1" x14ac:dyDescent="0.2">
      <c r="A555" s="700" t="str">
        <f>INPUT!B480</f>
        <v>Total Expenses</v>
      </c>
      <c r="B555" s="520">
        <f>INPUT!AY480</f>
        <v>33.700000000000003</v>
      </c>
      <c r="C555" s="687">
        <f>INPUT!AZ480</f>
        <v>17.013888888888907</v>
      </c>
      <c r="D555" s="520">
        <f>INPUT!BA480</f>
        <v>110.6</v>
      </c>
      <c r="E555" s="687">
        <f>INPUT!BB480</f>
        <v>53.6111111111111</v>
      </c>
      <c r="F555" s="520">
        <f>INPUT!BC480</f>
        <v>78.8</v>
      </c>
      <c r="G555" s="687">
        <f>INPUT!BD480</f>
        <v>57.28542914171657</v>
      </c>
      <c r="H555" s="520">
        <f>INPUT!BE480</f>
        <v>118.6</v>
      </c>
      <c r="I555" s="687" t="str">
        <f>INPUT!BF480</f>
        <v>NM</v>
      </c>
      <c r="J555" s="520">
        <f>INPUT!BG480</f>
        <v>157.19999999999999</v>
      </c>
      <c r="K555" s="687" t="str">
        <f>INPUT!BH480</f>
        <v>NM</v>
      </c>
      <c r="L555" s="520">
        <f>INPUT!BI480</f>
        <v>190.3</v>
      </c>
      <c r="M555" s="687">
        <f>INPUT!BJ480</f>
        <v>72.061482820976508</v>
      </c>
      <c r="N555" s="520">
        <f>INPUT!BK480</f>
        <v>195.10000000000002</v>
      </c>
      <c r="O555" s="687" t="str">
        <f>INPUT!BL480</f>
        <v>NM</v>
      </c>
      <c r="P555" s="520">
        <f>INPUT!BM480</f>
        <v>217.99999999999997</v>
      </c>
      <c r="Q555" s="687">
        <f>INPUT!BN480</f>
        <v>83.811129848229342</v>
      </c>
      <c r="R555" s="520">
        <f>INPUT!BO480</f>
        <v>181.5</v>
      </c>
      <c r="S555" s="687">
        <f>INPUT!BP480</f>
        <v>15.458015267175584</v>
      </c>
      <c r="T555" s="520">
        <f>INPUT!BQ480</f>
        <v>178.4</v>
      </c>
      <c r="U555" s="687">
        <f>INPUT!BR480</f>
        <v>-6.2532842879663768</v>
      </c>
      <c r="V555" s="520">
        <f>INPUT!BS480</f>
        <v>194.7</v>
      </c>
      <c r="W555" s="687">
        <f>INPUT!BT480</f>
        <v>-0.2050230650948448</v>
      </c>
      <c r="X555" s="520">
        <f>INPUT!BU480</f>
        <v>202</v>
      </c>
      <c r="Y555" s="687">
        <f>INPUT!BV480</f>
        <v>-7.3394495412843934</v>
      </c>
      <c r="Z555" s="520">
        <f>INPUT!BW480</f>
        <v>271.60000000000002</v>
      </c>
      <c r="AA555" s="687">
        <f>INPUT!BX480</f>
        <v>49.641873278236929</v>
      </c>
      <c r="AB555" s="520">
        <f>INPUT!BY480</f>
        <v>201.7</v>
      </c>
      <c r="AC555" s="687">
        <f>INPUT!BZ480</f>
        <v>13.060538116591914</v>
      </c>
      <c r="AD555" s="520">
        <f>INPUT!CA480</f>
        <v>173.6</v>
      </c>
      <c r="AE555" s="687">
        <f>INPUT!CB480</f>
        <v>-10.837185413456595</v>
      </c>
      <c r="AF555" s="520">
        <f>INPUT!CC480</f>
        <v>200.1</v>
      </c>
      <c r="AG555" s="687">
        <f>INPUT!CD480</f>
        <v>-0.94059405940594143</v>
      </c>
      <c r="AH555" s="520">
        <f>INPUT!CE480</f>
        <v>178.9</v>
      </c>
      <c r="AI555" s="687">
        <f>INPUT!CF480</f>
        <v>-34.131075110456557</v>
      </c>
      <c r="AJ555" s="520">
        <f>INPUT!CG480</f>
        <v>183.1</v>
      </c>
      <c r="AK555" s="687">
        <f>INPUT!CH480</f>
        <v>-9.221616261774912</v>
      </c>
      <c r="AL555" s="520">
        <f>INPUT!CI480</f>
        <v>183.1</v>
      </c>
      <c r="AM555" s="687">
        <f>INPUT!CJ480</f>
        <v>5.4723502304147464</v>
      </c>
      <c r="AN555" s="520">
        <f>INPUT!CK480</f>
        <v>235.3</v>
      </c>
      <c r="AO555" s="687">
        <f>INPUT!CL480</f>
        <v>17.591204397801107</v>
      </c>
      <c r="AP555" s="520">
        <f>INPUT!CM480</f>
        <v>175.9</v>
      </c>
      <c r="AQ555" s="687">
        <f>INPUT!CN480</f>
        <v>-1.6769144773616573</v>
      </c>
      <c r="AR555" s="706">
        <f>INPUT!CO480</f>
        <v>149</v>
      </c>
      <c r="AS555" s="687">
        <f>INPUT!CP480</f>
        <v>-18.623702894593119</v>
      </c>
      <c r="AT555" s="520">
        <f>INPUT!CQ480</f>
        <v>183</v>
      </c>
      <c r="AU555" s="687">
        <f>INPUT!CR480</f>
        <v>-5.4614964500265817E-2</v>
      </c>
      <c r="AV555" s="520">
        <f>INPUT!CS480</f>
        <v>175</v>
      </c>
      <c r="AW555" s="687">
        <f>INPUT!CT480</f>
        <v>-25.626859328516794</v>
      </c>
      <c r="AX555" s="520">
        <f>INPUT!CU480</f>
        <v>163</v>
      </c>
      <c r="AY555" s="687">
        <f>INPUT!CV480</f>
        <v>-7.3337123365548651</v>
      </c>
      <c r="AZ555" s="520">
        <f>INPUT!CW480</f>
        <v>164</v>
      </c>
      <c r="BA555" s="687">
        <f>INPUT!CX480</f>
        <v>10.067114093959727</v>
      </c>
      <c r="BB555" s="520">
        <f>INPUT!CY480</f>
        <v>190</v>
      </c>
      <c r="BC555" s="687">
        <f>INPUT!CZ480</f>
        <v>3.8251366120218622</v>
      </c>
      <c r="BD555" s="520">
        <f>INPUT!DA480</f>
        <v>170</v>
      </c>
      <c r="BE555" s="687">
        <f>INPUT!DB480</f>
        <v>-2.8571428571428581</v>
      </c>
      <c r="BF555" s="520">
        <f>INPUT!DC480</f>
        <v>158</v>
      </c>
      <c r="BG555" s="687">
        <f>INPUT!DD480</f>
        <v>-3.0674846625766916</v>
      </c>
      <c r="BH555" s="520">
        <f>INPUT!DE480</f>
        <v>163</v>
      </c>
      <c r="BI555" s="687">
        <f>INPUT!DF480</f>
        <v>-0.60975609756097615</v>
      </c>
      <c r="BJ555" s="520">
        <f>INPUT!DG480</f>
        <v>142</v>
      </c>
      <c r="BK555" s="687">
        <f>INPUT!DH480</f>
        <v>-25.263157894736842</v>
      </c>
      <c r="BL555" s="520">
        <f>INPUT!DI480</f>
        <v>145</v>
      </c>
      <c r="BM555" s="687">
        <f>INPUT!DJ480</f>
        <v>-14.705882352941179</v>
      </c>
      <c r="BN555" s="520">
        <f>INPUT!DK480</f>
        <v>152</v>
      </c>
      <c r="BO555" s="687">
        <f>INPUT!DL480</f>
        <v>-3.7974683544303778</v>
      </c>
      <c r="BP555" s="520">
        <f>INPUT!DM480</f>
        <v>140</v>
      </c>
      <c r="BQ555" s="687">
        <f>INPUT!DN480</f>
        <v>-14.110429447852757</v>
      </c>
      <c r="BR555" s="520">
        <f>INPUT!DO480</f>
        <v>148</v>
      </c>
      <c r="BS555" s="687">
        <f>INPUT!DP480</f>
        <v>4.2253521126760507</v>
      </c>
      <c r="BT555" s="520">
        <f>INPUT!DQ480</f>
        <v>157</v>
      </c>
      <c r="BU555" s="687">
        <f>INPUT!DR480</f>
        <v>8.2758620689655125</v>
      </c>
      <c r="BV555" s="520">
        <f>INPUT!DS480</f>
        <v>139</v>
      </c>
      <c r="BW555" s="687">
        <f>INPUT!DT480</f>
        <v>-8.5526315789473664</v>
      </c>
      <c r="BX555" s="520">
        <f>INPUT!DU480</f>
        <v>155</v>
      </c>
      <c r="BY555" s="687">
        <f>INPUT!DV480</f>
        <v>10.714285714285721</v>
      </c>
      <c r="BZ555" s="520">
        <f>INPUT!DW480</f>
        <v>189</v>
      </c>
      <c r="CA555" s="687">
        <f>INPUT!DX480</f>
        <v>189</v>
      </c>
      <c r="CB555" s="520">
        <f>INPUT!DY480</f>
        <v>131</v>
      </c>
      <c r="CC555" s="687">
        <f>INPUT!DZ480</f>
        <v>-16.560509554140125</v>
      </c>
      <c r="CD555" s="520">
        <f>INPUT!EA480</f>
        <v>109</v>
      </c>
      <c r="CE555" s="687">
        <f>INPUT!EB480</f>
        <v>-21.582733812949641</v>
      </c>
      <c r="CF555" s="520">
        <f>INPUT!EC480</f>
        <v>125</v>
      </c>
      <c r="CG555" s="687">
        <f>INPUT!ED480</f>
        <v>-19.354838709677423</v>
      </c>
      <c r="CH555" s="520">
        <f>INPUT!EE480</f>
        <v>151</v>
      </c>
      <c r="CI555" s="687">
        <f>INPUT!EF480</f>
        <v>-20.105820105820104</v>
      </c>
      <c r="CJ555" s="520">
        <f>INPUT!EG480</f>
        <v>159</v>
      </c>
      <c r="CK555" s="687">
        <f>INPUT!EH480</f>
        <v>21.374045801526709</v>
      </c>
      <c r="CL555" s="520">
        <f>INPUT!EI480</f>
        <v>129</v>
      </c>
      <c r="CM555" s="687">
        <f>INPUT!EJ480</f>
        <v>18.348623853211009</v>
      </c>
      <c r="CN555" s="520">
        <f>INPUT!EK480</f>
        <v>130</v>
      </c>
      <c r="CO555" s="687">
        <f>INPUT!EL480</f>
        <v>4.0000000000000036</v>
      </c>
      <c r="CP555" s="520">
        <f>INPUT!EM480</f>
        <v>135</v>
      </c>
      <c r="CQ555" s="687">
        <f>INPUT!EN480</f>
        <v>-10.596026490066224</v>
      </c>
      <c r="CR555" s="520">
        <f>INPUT!EO480</f>
        <v>131</v>
      </c>
      <c r="CS555" s="687">
        <f>INPUT!EP480</f>
        <v>-17.610062893081757</v>
      </c>
      <c r="CT555" s="520">
        <f>INPUT!EQ480</f>
        <v>140.375</v>
      </c>
      <c r="CU555" s="687">
        <f>INPUT!ER480</f>
        <v>8.8178294573643345</v>
      </c>
      <c r="CV555" s="520">
        <f>INPUT!ES480</f>
        <v>140.375</v>
      </c>
      <c r="CW555" s="687">
        <f>INPUT!ET480</f>
        <v>7.9807692307692246</v>
      </c>
      <c r="CX555" s="520">
        <f>INPUT!EU480</f>
        <v>140.375</v>
      </c>
      <c r="CY555" s="687">
        <f>INPUT!EV480</f>
        <v>3.9814814814814747</v>
      </c>
      <c r="CZ555" s="520">
        <f>INPUT!EW480</f>
        <v>140.375</v>
      </c>
      <c r="DA555" s="687">
        <f>INPUT!EX480</f>
        <v>7.1564885496183228</v>
      </c>
      <c r="DB555" s="16"/>
      <c r="DC555" s="520">
        <f>INPUT!FP480</f>
        <v>185.7</v>
      </c>
      <c r="DD555" s="687" t="str">
        <f>INPUT!FQ480</f>
        <v>NA</v>
      </c>
      <c r="DE555" s="520">
        <f>INPUT!FR480</f>
        <v>341.69999999999993</v>
      </c>
      <c r="DF555" s="687">
        <f>INPUT!FS480</f>
        <v>84.006462035541162</v>
      </c>
      <c r="DG555" s="520">
        <f>INPUT!FT480</f>
        <v>760.59999999999991</v>
      </c>
      <c r="DH555" s="687" t="str">
        <f>INPUT!FU480</f>
        <v>NM</v>
      </c>
      <c r="DI555" s="520">
        <f>INPUT!FV480</f>
        <v>756.6</v>
      </c>
      <c r="DJ555" s="687">
        <f>INPUT!FW480</f>
        <v>-0.52590060478567846</v>
      </c>
      <c r="DK555" s="520">
        <f>INPUT!FX480</f>
        <v>847</v>
      </c>
      <c r="DL555" s="687">
        <f>INPUT!FY480</f>
        <v>11.948189267776899</v>
      </c>
      <c r="DM555" s="706">
        <f>INPUT!FZ480</f>
        <v>780.4</v>
      </c>
      <c r="DN555" s="687">
        <f>INPUT!GA480</f>
        <v>-7.8630460448642303</v>
      </c>
      <c r="DO555" s="520">
        <f>INPUT!GB480</f>
        <v>682.90000000000009</v>
      </c>
      <c r="DP555" s="687">
        <f>INPUT!GC480</f>
        <v>-12.493593029215777</v>
      </c>
      <c r="DQ555" s="520">
        <f>INPUT!GD480</f>
        <v>687</v>
      </c>
      <c r="DR555" s="687">
        <f>INPUT!GE480</f>
        <v>0.60038072924291086</v>
      </c>
      <c r="DS555" s="520">
        <f>INPUT!GF480</f>
        <v>608</v>
      </c>
      <c r="DT555" s="687">
        <f>INPUT!GG480</f>
        <v>-11.499272197962151</v>
      </c>
      <c r="DU555" s="520">
        <f>INPUT!GH480</f>
        <v>597</v>
      </c>
      <c r="DV555" s="687">
        <f>INPUT!GI480</f>
        <v>-1.8092105263157854</v>
      </c>
      <c r="DW555" s="520">
        <f>INPUT!GJ480</f>
        <v>614</v>
      </c>
      <c r="DX555" s="687">
        <f>INPUT!GK480</f>
        <v>2.8475711892797406</v>
      </c>
      <c r="DY555" s="520">
        <f>INPUT!GL480</f>
        <v>544</v>
      </c>
      <c r="DZ555" s="687">
        <f>INPUT!GM480</f>
        <v>-11.400651465798051</v>
      </c>
      <c r="EA555" s="520">
        <f>INPUT!GN480</f>
        <v>525</v>
      </c>
      <c r="EB555" s="687">
        <f>INPUT!GO480</f>
        <v>-3.4926470588235281</v>
      </c>
      <c r="EC555" s="520">
        <f>INPUT!GP480</f>
        <v>561.5</v>
      </c>
      <c r="ED555" s="687">
        <f>INPUT!GQ480</f>
        <v>6.9523809523809543</v>
      </c>
      <c r="EE555" s="520">
        <f>INPUT!GR480</f>
        <v>529.05999999999995</v>
      </c>
      <c r="EF555" s="687">
        <f>INPUT!GS480</f>
        <v>-5.7773820124666138</v>
      </c>
      <c r="EG555" s="520">
        <f>INPUT!GT480</f>
        <v>444.25119999999993</v>
      </c>
      <c r="EH555" s="687">
        <f>INPUT!GU480</f>
        <v>-16.030091104978649</v>
      </c>
      <c r="EI555" s="520">
        <f>INPUT!GV480</f>
        <v>449.54622399999994</v>
      </c>
      <c r="EJ555" s="687">
        <f>INPUT!GW480</f>
        <v>1.1918986375275997</v>
      </c>
      <c r="EK555" s="520">
        <f>INPUT!GX480</f>
        <v>454.94714848000001</v>
      </c>
      <c r="EL555" s="687">
        <f>INPUT!GY480</f>
        <v>1.2014169381612039</v>
      </c>
      <c r="EM555" s="687">
        <f>INPUT!GZ480</f>
        <v>-2.8237068122512143</v>
      </c>
    </row>
    <row r="556" spans="1:143" ht="12.75" hidden="1" customHeight="1" outlineLevel="1" x14ac:dyDescent="0.2">
      <c r="A556" s="701"/>
      <c r="B556" s="16"/>
      <c r="C556" s="687"/>
      <c r="D556" s="16"/>
      <c r="E556" s="687"/>
      <c r="F556" s="16"/>
      <c r="G556" s="687"/>
      <c r="H556" s="16"/>
      <c r="I556" s="687"/>
      <c r="J556" s="151"/>
      <c r="K556" s="687"/>
      <c r="L556" s="151"/>
      <c r="M556" s="687"/>
      <c r="N556" s="151"/>
      <c r="O556" s="687"/>
      <c r="P556" s="151"/>
      <c r="Q556" s="687"/>
      <c r="R556" s="151"/>
      <c r="S556" s="687"/>
      <c r="T556" s="151"/>
      <c r="U556" s="687"/>
      <c r="V556" s="151"/>
      <c r="W556" s="687"/>
      <c r="X556" s="151"/>
      <c r="Y556" s="687"/>
      <c r="Z556" s="151"/>
      <c r="AA556" s="687"/>
      <c r="AB556" s="151"/>
      <c r="AC556" s="687"/>
      <c r="AD556" s="151"/>
      <c r="AE556" s="687"/>
      <c r="AF556" s="151"/>
      <c r="AG556" s="687"/>
      <c r="AH556" s="151"/>
      <c r="AI556" s="687"/>
      <c r="AJ556" s="151"/>
      <c r="AK556" s="687"/>
      <c r="AL556" s="151"/>
      <c r="AM556" s="687"/>
      <c r="AN556" s="151"/>
      <c r="AO556" s="687"/>
      <c r="AP556" s="151"/>
      <c r="AQ556" s="687"/>
      <c r="AR556" s="151"/>
      <c r="AS556" s="687"/>
      <c r="AT556" s="151"/>
      <c r="AU556" s="687"/>
      <c r="AV556" s="151"/>
      <c r="AW556" s="687"/>
      <c r="AX556" s="151"/>
      <c r="AY556" s="687"/>
      <c r="AZ556" s="151"/>
      <c r="BA556" s="687"/>
      <c r="BB556" s="151"/>
      <c r="BC556" s="687"/>
      <c r="BD556" s="151"/>
      <c r="BE556" s="687"/>
      <c r="BF556" s="151"/>
      <c r="BG556" s="687"/>
      <c r="BH556" s="151"/>
      <c r="BI556" s="687"/>
      <c r="BJ556" s="151"/>
      <c r="BK556" s="687"/>
      <c r="BL556" s="151"/>
      <c r="BM556" s="687"/>
      <c r="BN556" s="151"/>
      <c r="BO556" s="687"/>
      <c r="BP556" s="151"/>
      <c r="BQ556" s="687"/>
      <c r="BR556" s="151"/>
      <c r="BS556" s="687"/>
      <c r="BT556" s="151"/>
      <c r="BU556" s="687"/>
      <c r="BV556" s="151"/>
      <c r="BW556" s="687"/>
      <c r="BX556" s="151"/>
      <c r="BY556" s="687"/>
      <c r="BZ556" s="151"/>
      <c r="CA556" s="687"/>
      <c r="CB556" s="151"/>
      <c r="CC556" s="687"/>
      <c r="CD556" s="151"/>
      <c r="CE556" s="687"/>
      <c r="CF556" s="151"/>
      <c r="CG556" s="687"/>
      <c r="CH556" s="151"/>
      <c r="CI556" s="687"/>
      <c r="CJ556" s="151"/>
      <c r="CK556" s="687"/>
      <c r="CL556" s="151"/>
      <c r="CM556" s="687"/>
      <c r="CN556" s="151"/>
      <c r="CO556" s="687"/>
      <c r="CP556" s="151"/>
      <c r="CQ556" s="687"/>
      <c r="CR556" s="151"/>
      <c r="CS556" s="687"/>
      <c r="CT556" s="151"/>
      <c r="CU556" s="687"/>
      <c r="CV556" s="151"/>
      <c r="CW556" s="687"/>
      <c r="CX556" s="151"/>
      <c r="CY556" s="687"/>
      <c r="CZ556" s="151"/>
      <c r="DA556" s="687"/>
      <c r="DB556" s="16"/>
      <c r="DC556" s="16"/>
      <c r="DD556" s="687"/>
      <c r="DE556" s="151"/>
      <c r="DF556" s="687"/>
      <c r="DG556" s="151"/>
      <c r="DH556" s="687"/>
      <c r="DI556" s="151"/>
      <c r="DJ556" s="687"/>
      <c r="DK556" s="151"/>
      <c r="DL556" s="687"/>
      <c r="DM556" s="151"/>
      <c r="DN556" s="687"/>
      <c r="DO556" s="151"/>
      <c r="DP556" s="687"/>
      <c r="DQ556" s="151"/>
      <c r="DR556" s="687"/>
      <c r="DS556" s="151"/>
      <c r="DT556" s="687"/>
      <c r="DU556" s="151"/>
      <c r="DV556" s="687"/>
      <c r="DW556" s="151"/>
      <c r="DX556" s="687"/>
      <c r="DY556" s="151"/>
      <c r="DZ556" s="687"/>
      <c r="EA556" s="151"/>
      <c r="EB556" s="687"/>
      <c r="EC556" s="151"/>
      <c r="ED556" s="687"/>
      <c r="EE556" s="151"/>
      <c r="EF556" s="687"/>
      <c r="EG556" s="151"/>
      <c r="EH556" s="687"/>
      <c r="EI556" s="151"/>
      <c r="EJ556" s="687"/>
      <c r="EK556" s="151"/>
      <c r="EL556" s="687"/>
      <c r="EM556" s="687"/>
    </row>
    <row r="557" spans="1:143" ht="12.75" hidden="1" customHeight="1" outlineLevel="1" x14ac:dyDescent="0.2">
      <c r="A557" s="700" t="str">
        <f>INPUT!B482</f>
        <v>Pretax Operating Earnings</v>
      </c>
      <c r="B557" s="520">
        <f>INPUT!AY482</f>
        <v>-2</v>
      </c>
      <c r="C557" s="687" t="str">
        <f>INPUT!AZ482</f>
        <v>NM</v>
      </c>
      <c r="D557" s="520">
        <f>INPUT!BA482</f>
        <v>-43</v>
      </c>
      <c r="E557" s="687" t="str">
        <f>INPUT!BB482</f>
        <v>NM</v>
      </c>
      <c r="F557" s="520">
        <f>INPUT!BC482</f>
        <v>-27.299999999999997</v>
      </c>
      <c r="G557" s="687" t="str">
        <f>INPUT!BD482</f>
        <v>NM</v>
      </c>
      <c r="H557" s="520">
        <f>INPUT!BE482</f>
        <v>-73</v>
      </c>
      <c r="I557" s="687" t="str">
        <f>INPUT!BF482</f>
        <v>NM</v>
      </c>
      <c r="J557" s="520">
        <f>INPUT!BG482</f>
        <v>-48.400000000000006</v>
      </c>
      <c r="K557" s="687" t="str">
        <f>INPUT!BH482</f>
        <v>NM</v>
      </c>
      <c r="L557" s="520">
        <f>INPUT!BI482</f>
        <v>-66.700000000000017</v>
      </c>
      <c r="M557" s="687">
        <f>INPUT!BJ482</f>
        <v>55.116279069767479</v>
      </c>
      <c r="N557" s="520">
        <f>INPUT!BK482</f>
        <v>-82.200000000000017</v>
      </c>
      <c r="O557" s="687" t="str">
        <f>INPUT!BL482</f>
        <v>NM</v>
      </c>
      <c r="P557" s="520">
        <f>INPUT!BM482</f>
        <v>-90.099999999999966</v>
      </c>
      <c r="Q557" s="687">
        <f>INPUT!BN482</f>
        <v>23.424657534246517</v>
      </c>
      <c r="R557" s="520">
        <f>INPUT!BO482</f>
        <v>-63.5</v>
      </c>
      <c r="S557" s="687">
        <f>INPUT!BP482</f>
        <v>31.198347107438007</v>
      </c>
      <c r="T557" s="520">
        <f>INPUT!BQ482</f>
        <v>-68.300000000000011</v>
      </c>
      <c r="U557" s="687">
        <f>INPUT!BR482</f>
        <v>2.398800599700146</v>
      </c>
      <c r="V557" s="520">
        <f>INPUT!BS482</f>
        <v>-58.5</v>
      </c>
      <c r="W557" s="687">
        <f>INPUT!BT482</f>
        <v>-28.832116788321184</v>
      </c>
      <c r="X557" s="520">
        <f>INPUT!BU482</f>
        <v>-80.400000000000006</v>
      </c>
      <c r="Y557" s="687">
        <f>INPUT!BV482</f>
        <v>-10.765815760266328</v>
      </c>
      <c r="Z557" s="520">
        <f>INPUT!BW482</f>
        <v>-166.20000000000002</v>
      </c>
      <c r="AA557" s="687" t="str">
        <f>INPUT!BX482</f>
        <v>NM</v>
      </c>
      <c r="AB557" s="520">
        <f>INPUT!BY482</f>
        <v>-86.299999999999983</v>
      </c>
      <c r="AC557" s="687">
        <f>INPUT!BZ482</f>
        <v>26.354319180087792</v>
      </c>
      <c r="AD557" s="520">
        <f>INPUT!CA482</f>
        <v>-54</v>
      </c>
      <c r="AE557" s="687">
        <f>INPUT!CB482</f>
        <v>-7.6923076923076872</v>
      </c>
      <c r="AF557" s="520">
        <f>INPUT!CC482</f>
        <v>-73.699999999999989</v>
      </c>
      <c r="AG557" s="687">
        <f>INPUT!CD482</f>
        <v>-8.3333333333333588</v>
      </c>
      <c r="AH557" s="520">
        <f>INPUT!CE482</f>
        <v>-55</v>
      </c>
      <c r="AI557" s="687" t="str">
        <f>INPUT!CF482</f>
        <v>NM</v>
      </c>
      <c r="AJ557" s="520">
        <f>INPUT!CG482</f>
        <v>-62.5</v>
      </c>
      <c r="AK557" s="687">
        <f>INPUT!CH482</f>
        <v>-27.578215527230576</v>
      </c>
      <c r="AL557" s="520">
        <f>INPUT!CI482</f>
        <v>-61.5</v>
      </c>
      <c r="AM557" s="687">
        <f>INPUT!CJ482</f>
        <v>13.888888888888884</v>
      </c>
      <c r="AN557" s="520">
        <f>INPUT!CK482</f>
        <v>-113.70000000000002</v>
      </c>
      <c r="AO557" s="687">
        <f>INPUT!CL482</f>
        <v>54.274084124830438</v>
      </c>
      <c r="AP557" s="520">
        <f>INPUT!CM482</f>
        <v>-57.900000000000006</v>
      </c>
      <c r="AQ557" s="687">
        <f>INPUT!CN482</f>
        <v>5.2727272727272734</v>
      </c>
      <c r="AR557" s="706">
        <f>INPUT!CO482</f>
        <v>-35</v>
      </c>
      <c r="AS557" s="687">
        <f>INPUT!CP482</f>
        <v>-43.999999999999993</v>
      </c>
      <c r="AT557" s="520">
        <f>INPUT!CQ482</f>
        <v>-61</v>
      </c>
      <c r="AU557" s="687">
        <f>INPUT!CR482</f>
        <v>-0.81300813008130524</v>
      </c>
      <c r="AV557" s="520">
        <f>INPUT!CS482</f>
        <v>-66</v>
      </c>
      <c r="AW557" s="687">
        <f>INPUT!CT482</f>
        <v>-41.95250659630608</v>
      </c>
      <c r="AX557" s="520">
        <f>INPUT!CU482</f>
        <v>-57</v>
      </c>
      <c r="AY557" s="687">
        <f>INPUT!CV482</f>
        <v>-1.5544041450777257</v>
      </c>
      <c r="AZ557" s="520">
        <f>INPUT!CW482</f>
        <v>-51</v>
      </c>
      <c r="BA557" s="687">
        <f>INPUT!CX482</f>
        <v>45.714285714285708</v>
      </c>
      <c r="BB557" s="520">
        <f>INPUT!CY482</f>
        <v>-89</v>
      </c>
      <c r="BC557" s="687">
        <f>INPUT!CZ482</f>
        <v>45.9016393442623</v>
      </c>
      <c r="BD557" s="520">
        <f>INPUT!DA482</f>
        <v>-67</v>
      </c>
      <c r="BE557" s="687">
        <f>INPUT!DB482</f>
        <v>1.5151515151515138</v>
      </c>
      <c r="BF557" s="520">
        <f>INPUT!DC482</f>
        <v>-56</v>
      </c>
      <c r="BG557" s="687">
        <f>INPUT!DD482</f>
        <v>-1.7543859649122862</v>
      </c>
      <c r="BH557" s="520">
        <f>INPUT!DE482</f>
        <v>-61</v>
      </c>
      <c r="BI557" s="687">
        <f>INPUT!DF482</f>
        <v>19.6078431372549</v>
      </c>
      <c r="BJ557" s="520">
        <f>INPUT!DG482</f>
        <v>-42</v>
      </c>
      <c r="BK557" s="687" t="str">
        <f>INPUT!DH482</f>
        <v>NM</v>
      </c>
      <c r="BL557" s="520">
        <f>INPUT!DI482</f>
        <v>-34</v>
      </c>
      <c r="BM557" s="687">
        <f>INPUT!DJ482</f>
        <v>-49.253731343283583</v>
      </c>
      <c r="BN557" s="520">
        <f>INPUT!DK482</f>
        <v>-46</v>
      </c>
      <c r="BO557" s="687">
        <f>INPUT!DL482</f>
        <v>-17.857142857142861</v>
      </c>
      <c r="BP557" s="520">
        <f>INPUT!DM482</f>
        <v>-34</v>
      </c>
      <c r="BQ557" s="687">
        <f>INPUT!DN482</f>
        <v>-44.262295081967217</v>
      </c>
      <c r="BR557" s="520">
        <f>INPUT!DO482</f>
        <v>-45</v>
      </c>
      <c r="BS557" s="687">
        <f>INPUT!DP482</f>
        <v>7.1428571428571397</v>
      </c>
      <c r="BT557" s="520">
        <f>INPUT!DQ482</f>
        <v>-40</v>
      </c>
      <c r="BU557" s="687">
        <f>INPUT!DR482</f>
        <v>17.647058823529417</v>
      </c>
      <c r="BV557" s="520">
        <f>INPUT!DS482</f>
        <v>-44</v>
      </c>
      <c r="BW557" s="687">
        <f>INPUT!DT482</f>
        <v>-4.3478260869565188</v>
      </c>
      <c r="BX557" s="520">
        <f>INPUT!DU482</f>
        <v>-59</v>
      </c>
      <c r="BY557" s="687">
        <f>INPUT!DV482</f>
        <v>73.529411764705884</v>
      </c>
      <c r="BZ557" s="520">
        <f>INPUT!DW482</f>
        <v>-93</v>
      </c>
      <c r="CA557" s="687">
        <f>INPUT!DX482</f>
        <v>-93</v>
      </c>
      <c r="CB557" s="520">
        <f>INPUT!DY482</f>
        <v>-45</v>
      </c>
      <c r="CC557" s="687">
        <f>INPUT!DZ482</f>
        <v>12.5</v>
      </c>
      <c r="CD557" s="520">
        <f>INPUT!EA482</f>
        <v>-27</v>
      </c>
      <c r="CE557" s="687">
        <f>INPUT!EB482</f>
        <v>-38.636363636363633</v>
      </c>
      <c r="CF557" s="520">
        <f>INPUT!EC482</f>
        <v>-46</v>
      </c>
      <c r="CG557" s="687">
        <f>INPUT!ED482</f>
        <v>-22.033898305084744</v>
      </c>
      <c r="CH557" s="520">
        <f>INPUT!EE482</f>
        <v>-67</v>
      </c>
      <c r="CI557" s="687">
        <f>INPUT!EF482</f>
        <v>-27.956989247311824</v>
      </c>
      <c r="CJ557" s="520">
        <f>INPUT!EG482</f>
        <v>-72</v>
      </c>
      <c r="CK557" s="687">
        <f>INPUT!EH482</f>
        <v>60.000000000000007</v>
      </c>
      <c r="CL557" s="520">
        <f>INPUT!EI482</f>
        <v>-41</v>
      </c>
      <c r="CM557" s="687">
        <f>INPUT!EJ482</f>
        <v>51.851851851851862</v>
      </c>
      <c r="CN557" s="520">
        <f>INPUT!EK482</f>
        <v>-63</v>
      </c>
      <c r="CO557" s="687">
        <f>INPUT!EL482</f>
        <v>36.956521739130444</v>
      </c>
      <c r="CP557" s="520">
        <f>INPUT!EM482</f>
        <v>-70</v>
      </c>
      <c r="CQ557" s="687">
        <f>INPUT!EN482</f>
        <v>4.4776119402984982</v>
      </c>
      <c r="CR557" s="520">
        <f>INPUT!EO482</f>
        <v>-63</v>
      </c>
      <c r="CS557" s="687">
        <f>INPUT!EP482</f>
        <v>-12.5</v>
      </c>
      <c r="CT557" s="520">
        <f>INPUT!EQ482</f>
        <v>-72.035000000000011</v>
      </c>
      <c r="CU557" s="687">
        <f>INPUT!ER482</f>
        <v>75.695121951219548</v>
      </c>
      <c r="CV557" s="520">
        <f>INPUT!ES482</f>
        <v>-71.693300000000022</v>
      </c>
      <c r="CW557" s="687">
        <f>INPUT!ET482</f>
        <v>13.798888888888916</v>
      </c>
      <c r="CX557" s="520">
        <f>INPUT!EU482</f>
        <v>-71.349891500000027</v>
      </c>
      <c r="CY557" s="687">
        <f>INPUT!EV482</f>
        <v>1.9284164285714667</v>
      </c>
      <c r="CZ557" s="520">
        <f>INPUT!EW482</f>
        <v>-71.004765957500041</v>
      </c>
      <c r="DA557" s="687">
        <f>INPUT!EX482</f>
        <v>12.705977710317518</v>
      </c>
      <c r="DB557" s="16"/>
      <c r="DC557" s="520">
        <f>INPUT!FP482</f>
        <v>-10.5</v>
      </c>
      <c r="DD557" s="687" t="str">
        <f>INPUT!FQ482</f>
        <v>NA</v>
      </c>
      <c r="DE557" s="520">
        <f>INPUT!FR482</f>
        <v>-145.29999999999993</v>
      </c>
      <c r="DF557" s="687" t="str">
        <f>INPUT!FS482</f>
        <v>NM</v>
      </c>
      <c r="DG557" s="520">
        <f>INPUT!FT482</f>
        <v>-287.39999999999986</v>
      </c>
      <c r="DH557" s="687">
        <f>INPUT!FU482</f>
        <v>97.797660013764641</v>
      </c>
      <c r="DI557" s="520">
        <f>INPUT!FV482</f>
        <v>-270.70000000000005</v>
      </c>
      <c r="DJ557" s="687">
        <f>INPUT!FW482</f>
        <v>-5.810716771050739</v>
      </c>
      <c r="DK557" s="520">
        <f>INPUT!FX482</f>
        <v>-380.2</v>
      </c>
      <c r="DL557" s="687">
        <f>INPUT!FY482</f>
        <v>40.450683413372701</v>
      </c>
      <c r="DM557" s="706">
        <f>INPUT!FZ482</f>
        <v>-292.7</v>
      </c>
      <c r="DN557" s="687">
        <f>INPUT!GA482</f>
        <v>-23.014203051025774</v>
      </c>
      <c r="DO557" s="520">
        <f>INPUT!GB482</f>
        <v>-219.90000000000009</v>
      </c>
      <c r="DP557" s="687">
        <f>INPUT!GC482</f>
        <v>-24.871882473522344</v>
      </c>
      <c r="DQ557" s="520">
        <f>INPUT!GD482</f>
        <v>-264</v>
      </c>
      <c r="DR557" s="687">
        <f>INPUT!GE482</f>
        <v>20.054570259208671</v>
      </c>
      <c r="DS557" s="520">
        <f>INPUT!GF482</f>
        <v>-193</v>
      </c>
      <c r="DT557" s="687">
        <f>INPUT!GG482</f>
        <v>-26.893939393939391</v>
      </c>
      <c r="DU557" s="520">
        <f>INPUT!GH482</f>
        <v>-165</v>
      </c>
      <c r="DV557" s="687">
        <f>INPUT!GI482</f>
        <v>-14.507772020725385</v>
      </c>
      <c r="DW557" s="520">
        <f>INPUT!GJ482</f>
        <v>-241</v>
      </c>
      <c r="DX557" s="687">
        <f>INPUT!GK482</f>
        <v>46.060606060606069</v>
      </c>
      <c r="DY557" s="520">
        <f>INPUT!GL482</f>
        <v>-212</v>
      </c>
      <c r="DZ557" s="687">
        <f>INPUT!GM482</f>
        <v>-12.03319502074689</v>
      </c>
      <c r="EA557" s="520">
        <f>INPUT!GN482</f>
        <v>-237</v>
      </c>
      <c r="EB557" s="687">
        <f>INPUT!GO482</f>
        <v>11.792452830188683</v>
      </c>
      <c r="EC557" s="520">
        <f>INPUT!GP482</f>
        <v>-286.08295745750013</v>
      </c>
      <c r="ED557" s="687">
        <f>INPUT!GQ482</f>
        <v>20.710108631856606</v>
      </c>
      <c r="EE557" s="520">
        <f>INPUT!GR482</f>
        <v>-250.88878703207507</v>
      </c>
      <c r="EF557" s="687">
        <f>INPUT!GS482</f>
        <v>-12.30208563914662</v>
      </c>
      <c r="EG557" s="520">
        <f>INPUT!GT482</f>
        <v>-157.7348506430373</v>
      </c>
      <c r="EH557" s="687">
        <f>INPUT!GU482</f>
        <v>-37.129573422158735</v>
      </c>
      <c r="EI557" s="520">
        <f>INPUT!GV482</f>
        <v>-154.43438416232846</v>
      </c>
      <c r="EJ557" s="687">
        <f>INPUT!GW482</f>
        <v>-2.0924142427965919</v>
      </c>
      <c r="EK557" s="520">
        <f>INPUT!GX482</f>
        <v>-150.98195344719835</v>
      </c>
      <c r="EL557" s="687">
        <f>INPUT!GY482</f>
        <v>-2.2355324132359078</v>
      </c>
      <c r="EM557" s="687">
        <f>INPUT!GZ482</f>
        <v>-8.6233275565949512</v>
      </c>
    </row>
    <row r="558" spans="1:143" ht="12.75" hidden="1" customHeight="1" outlineLevel="1" x14ac:dyDescent="0.2">
      <c r="A558" s="701" t="str">
        <f>INPUT!B483</f>
        <v>Taxes</v>
      </c>
      <c r="B558" s="16">
        <f>INPUT!AY483</f>
        <v>-2.2000000000000002</v>
      </c>
      <c r="C558" s="687" t="str">
        <f>INPUT!AZ483</f>
        <v>NM</v>
      </c>
      <c r="D558" s="16">
        <f>INPUT!BA483</f>
        <v>-17</v>
      </c>
      <c r="E558" s="687">
        <f>INPUT!BB483</f>
        <v>-25.764192139737986</v>
      </c>
      <c r="F558" s="16">
        <f>INPUT!BC483</f>
        <v>-15.9</v>
      </c>
      <c r="G558" s="687">
        <f>INPUT!BD483</f>
        <v>-2.4539877300613466</v>
      </c>
      <c r="H558" s="16">
        <f>INPUT!BE483</f>
        <v>-34.5</v>
      </c>
      <c r="I558" s="687" t="str">
        <f>INPUT!BF483</f>
        <v>NM</v>
      </c>
      <c r="J558" s="151">
        <f>INPUT!BG483</f>
        <v>-20.3</v>
      </c>
      <c r="K558" s="687" t="str">
        <f>INPUT!BH483</f>
        <v>NM</v>
      </c>
      <c r="L558" s="151">
        <f>INPUT!BI483</f>
        <v>-30.6</v>
      </c>
      <c r="M558" s="687">
        <f>INPUT!BJ483</f>
        <v>80</v>
      </c>
      <c r="N558" s="151">
        <f>INPUT!BK483</f>
        <v>-32.4</v>
      </c>
      <c r="O558" s="687" t="str">
        <f>INPUT!BL483</f>
        <v>NM</v>
      </c>
      <c r="P558" s="151">
        <f>INPUT!BM483</f>
        <v>-30.8</v>
      </c>
      <c r="Q558" s="687">
        <f>INPUT!BN483</f>
        <v>-10.724637681159422</v>
      </c>
      <c r="R558" s="151">
        <f>INPUT!BO483</f>
        <v>-21.2</v>
      </c>
      <c r="S558" s="687">
        <f>INPUT!BP483</f>
        <v>4.4334975369457963</v>
      </c>
      <c r="T558" s="151">
        <f>INPUT!BQ483</f>
        <v>-23.6</v>
      </c>
      <c r="U558" s="687">
        <f>INPUT!BR483</f>
        <v>-22.875816993464049</v>
      </c>
      <c r="V558" s="151">
        <f>INPUT!BS483</f>
        <v>-18.600000000000001</v>
      </c>
      <c r="W558" s="687">
        <f>INPUT!BT483</f>
        <v>-42.592592592592581</v>
      </c>
      <c r="X558" s="151">
        <f>INPUT!BU483</f>
        <v>-25.2</v>
      </c>
      <c r="Y558" s="687">
        <f>INPUT!BV483</f>
        <v>-18.181818181818187</v>
      </c>
      <c r="Z558" s="151">
        <f>INPUT!BW483</f>
        <v>-57.7</v>
      </c>
      <c r="AA558" s="687" t="str">
        <f>INPUT!BX483</f>
        <v>NM</v>
      </c>
      <c r="AB558" s="151">
        <f>INPUT!BY483</f>
        <v>-34</v>
      </c>
      <c r="AC558" s="687">
        <f>INPUT!BZ483</f>
        <v>44.067796610169488</v>
      </c>
      <c r="AD558" s="151">
        <f>INPUT!CA483</f>
        <v>-21.4</v>
      </c>
      <c r="AE558" s="687">
        <f>INPUT!CB483</f>
        <v>15.053763440860202</v>
      </c>
      <c r="AF558" s="151">
        <f>INPUT!CC483</f>
        <v>-30.2</v>
      </c>
      <c r="AG558" s="687">
        <f>INPUT!CD483</f>
        <v>19.841269841269838</v>
      </c>
      <c r="AH558" s="151">
        <f>INPUT!CE483</f>
        <v>-18.399999999999999</v>
      </c>
      <c r="AI558" s="687" t="str">
        <f>INPUT!CF483</f>
        <v>NM</v>
      </c>
      <c r="AJ558" s="151">
        <f>INPUT!CG483</f>
        <v>-26.4</v>
      </c>
      <c r="AK558" s="687">
        <f>INPUT!CH483</f>
        <v>-22.352941176470598</v>
      </c>
      <c r="AL558" s="151">
        <f>INPUT!CI483</f>
        <v>-21.8</v>
      </c>
      <c r="AM558" s="687">
        <f>INPUT!CJ483</f>
        <v>1.8691588785046731</v>
      </c>
      <c r="AN558" s="151">
        <f>INPUT!CK483</f>
        <v>-40</v>
      </c>
      <c r="AO558" s="687">
        <f>INPUT!CL483</f>
        <v>32.450331125827823</v>
      </c>
      <c r="AP558" s="151">
        <f>INPUT!CM483</f>
        <v>-22</v>
      </c>
      <c r="AQ558" s="687">
        <f>INPUT!CN483</f>
        <v>19.565217391304369</v>
      </c>
      <c r="AR558" s="151">
        <f>INPUT!CO483</f>
        <v>-13</v>
      </c>
      <c r="AS558" s="687" t="str">
        <f>INPUT!CP483</f>
        <v>NM</v>
      </c>
      <c r="AT558" s="151">
        <f>INPUT!CQ483</f>
        <v>-17.100000000000001</v>
      </c>
      <c r="AU558" s="687">
        <f>INPUT!CR483</f>
        <v>-21.559633027522928</v>
      </c>
      <c r="AV558" s="151">
        <f>INPUT!CS483</f>
        <v>-24</v>
      </c>
      <c r="AW558" s="687">
        <f>INPUT!CT483</f>
        <v>-40</v>
      </c>
      <c r="AX558" s="151">
        <f>INPUT!CU483</f>
        <v>-23</v>
      </c>
      <c r="AY558" s="687">
        <f>INPUT!CV483</f>
        <v>4.5454545454545414</v>
      </c>
      <c r="AZ558" s="151">
        <f>INPUT!CW483</f>
        <v>-12</v>
      </c>
      <c r="BA558" s="687">
        <f>INPUT!CX483</f>
        <v>-7.6923076923076872</v>
      </c>
      <c r="BB558" s="151">
        <f>INPUT!CY483</f>
        <v>-115</v>
      </c>
      <c r="BC558" s="687" t="str">
        <f>INPUT!CZ483</f>
        <v>NM</v>
      </c>
      <c r="BD558" s="151">
        <f>INPUT!DA483</f>
        <v>-27</v>
      </c>
      <c r="BE558" s="687">
        <f>INPUT!DB483</f>
        <v>12.5</v>
      </c>
      <c r="BF558" s="151">
        <f>INPUT!DC483</f>
        <v>-21</v>
      </c>
      <c r="BG558" s="687">
        <f>INPUT!DD483</f>
        <v>-8.6956521739130483</v>
      </c>
      <c r="BH558" s="151">
        <f>INPUT!DE483</f>
        <v>-21</v>
      </c>
      <c r="BI558" s="687">
        <f>INPUT!DF483</f>
        <v>75</v>
      </c>
      <c r="BJ558" s="151">
        <f>INPUT!DG483</f>
        <v>-15</v>
      </c>
      <c r="BK558" s="687" t="str">
        <f>INPUT!DH483</f>
        <v>NM</v>
      </c>
      <c r="BL558" s="151">
        <f>INPUT!DI483</f>
        <v>-15</v>
      </c>
      <c r="BM558" s="687">
        <f>INPUT!DJ483</f>
        <v>-44.444444444444443</v>
      </c>
      <c r="BN558" s="151">
        <f>INPUT!DK483</f>
        <v>-16</v>
      </c>
      <c r="BO558" s="687">
        <f>INPUT!DL483</f>
        <v>-23.809523809523814</v>
      </c>
      <c r="BP558" s="151">
        <f>INPUT!DM483</f>
        <v>-12</v>
      </c>
      <c r="BQ558" s="687">
        <f>INPUT!DN483</f>
        <v>-42.857142857142861</v>
      </c>
      <c r="BR558" s="151">
        <f>INPUT!DO483</f>
        <v>-16</v>
      </c>
      <c r="BS558" s="687">
        <f>INPUT!DP483</f>
        <v>6.6666666666666652</v>
      </c>
      <c r="BT558" s="151">
        <f>INPUT!DQ483</f>
        <v>-14</v>
      </c>
      <c r="BU558" s="687">
        <f>INPUT!DR483</f>
        <v>-6.6666666666666652</v>
      </c>
      <c r="BV558" s="151">
        <f>INPUT!DS483</f>
        <v>-17</v>
      </c>
      <c r="BW558" s="687">
        <f>INPUT!DT483</f>
        <v>6.25</v>
      </c>
      <c r="BX558" s="151">
        <f>INPUT!DU483</f>
        <v>-21</v>
      </c>
      <c r="BY558" s="687">
        <f>INPUT!DV483</f>
        <v>75</v>
      </c>
      <c r="BZ558" s="151">
        <f>INPUT!DW483</f>
        <v>-28</v>
      </c>
      <c r="CA558" s="687">
        <f>INPUT!DX483</f>
        <v>-28</v>
      </c>
      <c r="CB558" s="151">
        <f>INPUT!DY483</f>
        <v>-19</v>
      </c>
      <c r="CC558" s="687">
        <f>INPUT!DZ483</f>
        <v>35.714285714285722</v>
      </c>
      <c r="CD558" s="151">
        <f>INPUT!EA483</f>
        <v>-12</v>
      </c>
      <c r="CE558" s="687">
        <f>INPUT!EB483</f>
        <v>-29.411764705882348</v>
      </c>
      <c r="CF558" s="151">
        <f>INPUT!EC483</f>
        <v>-18</v>
      </c>
      <c r="CG558" s="687">
        <f>INPUT!ED483</f>
        <v>-14.28571428571429</v>
      </c>
      <c r="CH558" s="151">
        <f>INPUT!EE483</f>
        <v>-41</v>
      </c>
      <c r="CI558" s="687">
        <f>INPUT!EF483</f>
        <v>46.428571428571416</v>
      </c>
      <c r="CJ558" s="151">
        <f>INPUT!EG483</f>
        <v>-35</v>
      </c>
      <c r="CK558" s="687">
        <f>INPUT!EH483</f>
        <v>84.210526315789465</v>
      </c>
      <c r="CL558" s="151">
        <f>INPUT!EI483</f>
        <v>-28</v>
      </c>
      <c r="CM558" s="687" t="str">
        <f>INPUT!EJ483</f>
        <v>NM</v>
      </c>
      <c r="CN558" s="151">
        <f>INPUT!EK483</f>
        <v>-26</v>
      </c>
      <c r="CO558" s="687">
        <f>INPUT!EL483</f>
        <v>44.444444444444443</v>
      </c>
      <c r="CP558" s="151">
        <f>INPUT!EM483</f>
        <v>-50</v>
      </c>
      <c r="CQ558" s="687">
        <f>INPUT!EN483</f>
        <v>21.95121951219512</v>
      </c>
      <c r="CR558" s="151">
        <f>INPUT!EO483</f>
        <v>-25</v>
      </c>
      <c r="CS558" s="687">
        <f>INPUT!EP483</f>
        <v>-28.571428571428569</v>
      </c>
      <c r="CT558" s="151">
        <f>INPUT!EQ483</f>
        <v>-18.368925000000004</v>
      </c>
      <c r="CU558" s="687">
        <f>INPUT!ER483</f>
        <v>-34.396696428571417</v>
      </c>
      <c r="CV558" s="151">
        <f>INPUT!ES483</f>
        <v>-18.281791500000008</v>
      </c>
      <c r="CW558" s="687">
        <f>INPUT!ET483</f>
        <v>-29.685417307692276</v>
      </c>
      <c r="CX558" s="151">
        <f>INPUT!EU483</f>
        <v>-18.194222332500008</v>
      </c>
      <c r="CY558" s="687" t="str">
        <f>INPUT!EV483</f>
        <v>NM</v>
      </c>
      <c r="CZ558" s="151">
        <f>INPUT!EW483</f>
        <v>-18.106215319162512</v>
      </c>
      <c r="DA558" s="687">
        <f>INPUT!EX483</f>
        <v>-27.575138723349959</v>
      </c>
      <c r="DB558" s="16"/>
      <c r="DC558" s="16">
        <f>INPUT!FP483</f>
        <v>-64.600000000000009</v>
      </c>
      <c r="DD558" s="687" t="str">
        <f>INPUT!FQ483</f>
        <v>NA</v>
      </c>
      <c r="DE558" s="151">
        <f>INPUT!FR483</f>
        <v>-69.599999999999994</v>
      </c>
      <c r="DF558" s="687">
        <f>INPUT!FS483</f>
        <v>7.7399380804953344</v>
      </c>
      <c r="DG558" s="151">
        <f>INPUT!FT483</f>
        <v>-114.10000000000001</v>
      </c>
      <c r="DH558" s="687">
        <f>INPUT!FU483</f>
        <v>63.936781609195428</v>
      </c>
      <c r="DI558" s="151">
        <f>INPUT!FV483</f>
        <v>-88.6</v>
      </c>
      <c r="DJ558" s="687">
        <f>INPUT!FW483</f>
        <v>-22.348816827344443</v>
      </c>
      <c r="DK558" s="151">
        <f>INPUT!FX483</f>
        <v>-143.29999999999998</v>
      </c>
      <c r="DL558" s="687">
        <f>INPUT!FY483</f>
        <v>61.738148984198624</v>
      </c>
      <c r="DM558" s="151">
        <f>INPUT!FZ483</f>
        <v>-106.6</v>
      </c>
      <c r="DN558" s="687">
        <f>INPUT!GA483</f>
        <v>-25.610607117934403</v>
      </c>
      <c r="DO558" s="151">
        <f>INPUT!GB483</f>
        <v>-76.099999999999994</v>
      </c>
      <c r="DP558" s="687">
        <f>INPUT!GC483</f>
        <v>-28.611632270168851</v>
      </c>
      <c r="DQ558" s="151">
        <f>INPUT!GD483</f>
        <v>-177</v>
      </c>
      <c r="DR558" s="687" t="str">
        <f>INPUT!GE483</f>
        <v>NM</v>
      </c>
      <c r="DS558" s="151">
        <f>INPUT!GF483</f>
        <v>-72</v>
      </c>
      <c r="DT558" s="687" t="str">
        <f>INPUT!GG483</f>
        <v>NM</v>
      </c>
      <c r="DU558" s="151">
        <f>INPUT!GH483</f>
        <v>-58</v>
      </c>
      <c r="DV558" s="687">
        <f>INPUT!GI483</f>
        <v>-19.444444444444443</v>
      </c>
      <c r="DW558" s="151">
        <f>INPUT!GJ483</f>
        <v>-85</v>
      </c>
      <c r="DX558" s="687">
        <f>INPUT!GK483</f>
        <v>46.551724137931025</v>
      </c>
      <c r="DY558" s="151">
        <f>INPUT!GL483</f>
        <v>-106</v>
      </c>
      <c r="DZ558" s="687">
        <f>INPUT!GM483</f>
        <v>24.705882352941178</v>
      </c>
      <c r="EA558" s="151">
        <f>INPUT!GN483</f>
        <v>-129</v>
      </c>
      <c r="EB558" s="687">
        <f>INPUT!GO483</f>
        <v>21.698113207547177</v>
      </c>
      <c r="EC558" s="151">
        <f>INPUT!GP483</f>
        <v>-72.951154151662536</v>
      </c>
      <c r="ED558" s="687">
        <f>INPUT!GQ483</f>
        <v>-43.448717711889508</v>
      </c>
      <c r="EE558" s="151">
        <f>INPUT!GR483</f>
        <v>-60.21330888769802</v>
      </c>
      <c r="EF558" s="687">
        <f>INPUT!GS483</f>
        <v>-17.460786483902702</v>
      </c>
      <c r="EG558" s="151">
        <f>INPUT!GT483</f>
        <v>-37.856364154328951</v>
      </c>
      <c r="EH558" s="687">
        <f>INPUT!GU483</f>
        <v>-37.129573422158735</v>
      </c>
      <c r="EI558" s="151">
        <f>INPUT!GV483</f>
        <v>-37.064252198958826</v>
      </c>
      <c r="EJ558" s="687">
        <f>INPUT!GW483</f>
        <v>-2.0924142427965919</v>
      </c>
      <c r="EK558" s="151">
        <f>INPUT!GX483</f>
        <v>-36.235668827327601</v>
      </c>
      <c r="EL558" s="687">
        <f>INPUT!GY483</f>
        <v>-2.2355324132359078</v>
      </c>
      <c r="EM558" s="687">
        <f>INPUT!GZ483</f>
        <v>-22.427227389170191</v>
      </c>
    </row>
    <row r="559" spans="1:143" ht="12.75" hidden="1" customHeight="1" outlineLevel="1" x14ac:dyDescent="0.2">
      <c r="A559" s="701" t="str">
        <f>INPUT!B484</f>
        <v>Tax Rate (%)</v>
      </c>
      <c r="B559" s="16">
        <f>INPUT!AY484</f>
        <v>110.00000000000001</v>
      </c>
      <c r="C559" s="687">
        <f>INPUT!AZ484</f>
        <v>-16.400000000000013</v>
      </c>
      <c r="D559" s="16">
        <f>INPUT!BA484</f>
        <v>39.534883720930232</v>
      </c>
      <c r="E559" s="687" t="str">
        <f>INPUT!BB484</f>
        <v>NM</v>
      </c>
      <c r="F559" s="16">
        <f>INPUT!BC484</f>
        <v>58.241758241758248</v>
      </c>
      <c r="G559" s="687" t="str">
        <f>INPUT!BD484</f>
        <v>NM</v>
      </c>
      <c r="H559" s="16">
        <f>INPUT!BE484</f>
        <v>47.260273972602739</v>
      </c>
      <c r="I559" s="687" t="str">
        <f>INPUT!BF484</f>
        <v>NM</v>
      </c>
      <c r="J559" s="156">
        <f>INPUT!BG484</f>
        <v>41.942148760330575</v>
      </c>
      <c r="K559" s="687" t="str">
        <f>INPUT!BH484</f>
        <v>NM</v>
      </c>
      <c r="L559" s="156">
        <f>INPUT!BI484</f>
        <v>45.877061469265357</v>
      </c>
      <c r="M559" s="687">
        <f>INPUT!BJ484</f>
        <v>16.041979010494735</v>
      </c>
      <c r="N559" s="156">
        <f>INPUT!BK484</f>
        <v>39.416058394160572</v>
      </c>
      <c r="O559" s="687">
        <f>INPUT!BL484</f>
        <v>-32.323371436441285</v>
      </c>
      <c r="P559" s="156">
        <f>INPUT!BM484</f>
        <v>34.184239733629312</v>
      </c>
      <c r="Q559" s="687">
        <f>INPUT!BN484</f>
        <v>-27.668130418697402</v>
      </c>
      <c r="R559" s="156">
        <f>INPUT!BO484</f>
        <v>33.385826771653541</v>
      </c>
      <c r="S559" s="687">
        <f>INPUT!BP484</f>
        <v>-20.400294790737362</v>
      </c>
      <c r="T559" s="156">
        <f>INPUT!BQ484</f>
        <v>34.553440702781842</v>
      </c>
      <c r="U559" s="687">
        <f>INPUT!BR484</f>
        <v>-24.682532847204264</v>
      </c>
      <c r="V559" s="156">
        <f>INPUT!BS484</f>
        <v>31.794871794871799</v>
      </c>
      <c r="W559" s="687">
        <f>INPUT!BT484</f>
        <v>-19.335232668565972</v>
      </c>
      <c r="X559" s="156">
        <f>INPUT!BU484</f>
        <v>31.343283582089548</v>
      </c>
      <c r="Y559" s="687">
        <f>INPUT!BV484</f>
        <v>-8.3107191316146967</v>
      </c>
      <c r="Z559" s="156">
        <f>INPUT!BW484</f>
        <v>34.717208182912152</v>
      </c>
      <c r="AA559" s="687">
        <f>INPUT!BX484</f>
        <v>3.9878641327793396</v>
      </c>
      <c r="AB559" s="156">
        <f>INPUT!BY484</f>
        <v>39.397450753186561</v>
      </c>
      <c r="AC559" s="687">
        <f>INPUT!BZ484</f>
        <v>14.018893493332296</v>
      </c>
      <c r="AD559" s="156">
        <f>INPUT!CA484</f>
        <v>39.629629629629626</v>
      </c>
      <c r="AE559" s="687">
        <f>INPUT!CB484</f>
        <v>24.641577060931862</v>
      </c>
      <c r="AF559" s="156">
        <f>INPUT!CC484</f>
        <v>40.976933514246952</v>
      </c>
      <c r="AG559" s="687">
        <f>INPUT!CD484</f>
        <v>30.735930735930772</v>
      </c>
      <c r="AH559" s="156">
        <f>INPUT!CE484</f>
        <v>33.454545454545453</v>
      </c>
      <c r="AI559" s="687">
        <f>INPUT!CF484</f>
        <v>-3.6369938553647341</v>
      </c>
      <c r="AJ559" s="156">
        <f>INPUT!CG484</f>
        <v>42.24</v>
      </c>
      <c r="AK559" s="687">
        <f>INPUT!CH484</f>
        <v>7.2150588235294189</v>
      </c>
      <c r="AL559" s="156">
        <f>INPUT!CI484</f>
        <v>35.447154471544721</v>
      </c>
      <c r="AM559" s="687">
        <f>INPUT!CJ484</f>
        <v>-10.553909277410511</v>
      </c>
      <c r="AN559" s="156">
        <f>INPUT!CK484</f>
        <v>35.180299032541775</v>
      </c>
      <c r="AO559" s="687">
        <f>INPUT!CL484</f>
        <v>-14.146091433830177</v>
      </c>
      <c r="AP559" s="156">
        <f>INPUT!CM484</f>
        <v>37.996545768566492</v>
      </c>
      <c r="AQ559" s="687">
        <f>INPUT!CN484</f>
        <v>13.576631373432457</v>
      </c>
      <c r="AR559" s="156">
        <f>INPUT!CO484</f>
        <v>37.142857142857146</v>
      </c>
      <c r="AS559" s="687">
        <f>INPUT!CP484</f>
        <v>-12.067099567099559</v>
      </c>
      <c r="AT559" s="156">
        <f>INPUT!CQ484</f>
        <v>28.032786885245901</v>
      </c>
      <c r="AU559" s="687">
        <f>INPUT!CR484</f>
        <v>-20.916679199879695</v>
      </c>
      <c r="AV559" s="156">
        <f>INPUT!CS484</f>
        <v>36.363636363636367</v>
      </c>
      <c r="AW559" s="687">
        <f>INPUT!CT484</f>
        <v>3.3636363636363686</v>
      </c>
      <c r="AX559" s="156">
        <f>INPUT!CU484</f>
        <v>40.350877192982452</v>
      </c>
      <c r="AY559" s="687">
        <f>INPUT!CV484</f>
        <v>6.1961722488038218</v>
      </c>
      <c r="AZ559" s="156">
        <f>INPUT!CW484</f>
        <v>23.52941176470588</v>
      </c>
      <c r="BA559" s="687">
        <f>INPUT!CX484</f>
        <v>-36.651583710407252</v>
      </c>
      <c r="BB559" s="156">
        <f>INPUT!CY484</f>
        <v>129.21348314606743</v>
      </c>
      <c r="BC559" s="687" t="str">
        <f>INPUT!CZ484</f>
        <v>NM</v>
      </c>
      <c r="BD559" s="156">
        <f>INPUT!DA484</f>
        <v>40.298507462686565</v>
      </c>
      <c r="BE559" s="687">
        <f>INPUT!DB484</f>
        <v>10.820895522388053</v>
      </c>
      <c r="BF559" s="156">
        <f>INPUT!DC484</f>
        <v>37.5</v>
      </c>
      <c r="BG559" s="687">
        <f>INPUT!DD484</f>
        <v>-7.0652173913043352</v>
      </c>
      <c r="BH559" s="156">
        <f>INPUT!DE484</f>
        <v>34.42622950819672</v>
      </c>
      <c r="BI559" s="687">
        <f>INPUT!DF484</f>
        <v>46.311475409836063</v>
      </c>
      <c r="BJ559" s="156">
        <f>INPUT!DG484</f>
        <v>35.714285714285715</v>
      </c>
      <c r="BK559" s="687" t="str">
        <f>INPUT!DH484</f>
        <v>NM</v>
      </c>
      <c r="BL559" s="156">
        <f>INPUT!DI484</f>
        <v>44.117647058823529</v>
      </c>
      <c r="BM559" s="687">
        <f>INPUT!DJ484</f>
        <v>9.4771241830065467</v>
      </c>
      <c r="BN559" s="156">
        <f>INPUT!DK484</f>
        <v>34.782608695652172</v>
      </c>
      <c r="BO559" s="687">
        <f>INPUT!DL484</f>
        <v>-7.2463768115942129</v>
      </c>
      <c r="BP559" s="156">
        <f>INPUT!DM484</f>
        <v>35.294117647058826</v>
      </c>
      <c r="BQ559" s="687">
        <f>INPUT!DN484</f>
        <v>2.5210084033613578</v>
      </c>
      <c r="BR559" s="156">
        <f>INPUT!DO484</f>
        <v>35.555555555555557</v>
      </c>
      <c r="BS559" s="687">
        <f>INPUT!DP484</f>
        <v>-0.44444444444444731</v>
      </c>
      <c r="BT559" s="156">
        <f>INPUT!DQ484</f>
        <v>35</v>
      </c>
      <c r="BU559" s="687">
        <f>INPUT!DR484</f>
        <v>-20.666666666666668</v>
      </c>
      <c r="BV559" s="156">
        <f>INPUT!DS484</f>
        <v>38.636363636363633</v>
      </c>
      <c r="BW559" s="687">
        <f>INPUT!DT484</f>
        <v>11.079545454545459</v>
      </c>
      <c r="BX559" s="156">
        <f>INPUT!DU484</f>
        <v>35.593220338983052</v>
      </c>
      <c r="BY559" s="687">
        <f>INPUT!DV484</f>
        <v>0.84745762711864181</v>
      </c>
      <c r="BZ559" s="156">
        <f>INPUT!DW484</f>
        <v>30.107526881720432</v>
      </c>
      <c r="CA559" s="687">
        <f>INPUT!DX484</f>
        <v>30.107526881720432</v>
      </c>
      <c r="CB559" s="156">
        <f>INPUT!DY484</f>
        <v>42.222222222222221</v>
      </c>
      <c r="CC559" s="687">
        <f>INPUT!DZ484</f>
        <v>20.634920634920629</v>
      </c>
      <c r="CD559" s="156">
        <f>INPUT!EA484</f>
        <v>44.444444444444443</v>
      </c>
      <c r="CE559" s="687">
        <f>INPUT!EB484</f>
        <v>15.032679738562106</v>
      </c>
      <c r="CF559" s="156">
        <f>INPUT!EC484</f>
        <v>39.130434782608695</v>
      </c>
      <c r="CG559" s="687">
        <f>INPUT!ED484</f>
        <v>9.9378881987577614</v>
      </c>
      <c r="CH559" s="156">
        <f>INPUT!EE484</f>
        <v>61.194029850746269</v>
      </c>
      <c r="CI559" s="687" t="str">
        <f>INPUT!EF484</f>
        <v>NM</v>
      </c>
      <c r="CJ559" s="156">
        <f>INPUT!EG484</f>
        <v>48.611111111111107</v>
      </c>
      <c r="CK559" s="687">
        <f>INPUT!EH484</f>
        <v>15.131578947368407</v>
      </c>
      <c r="CL559" s="156">
        <f>INPUT!EI484</f>
        <v>68.292682926829272</v>
      </c>
      <c r="CM559" s="687">
        <f>INPUT!EJ484</f>
        <v>53.658536585365859</v>
      </c>
      <c r="CN559" s="156">
        <f>INPUT!EK484</f>
        <v>41.269841269841265</v>
      </c>
      <c r="CO559" s="687">
        <f>INPUT!EL484</f>
        <v>5.4673721340387837</v>
      </c>
      <c r="CP559" s="156">
        <f>INPUT!EM484</f>
        <v>71.428571428571431</v>
      </c>
      <c r="CQ559" s="687">
        <f>INPUT!EN484</f>
        <v>16.724738675958186</v>
      </c>
      <c r="CR559" s="156">
        <f>INPUT!EO484</f>
        <v>39.682539682539684</v>
      </c>
      <c r="CS559" s="687">
        <f>INPUT!EP484</f>
        <v>-18.367346938775498</v>
      </c>
      <c r="CT559" s="156">
        <f>INPUT!EQ484</f>
        <v>25.5</v>
      </c>
      <c r="CU559" s="687" t="str">
        <f>INPUT!ER484</f>
        <v>NM</v>
      </c>
      <c r="CV559" s="156">
        <f>INPUT!ES484</f>
        <v>25.5</v>
      </c>
      <c r="CW559" s="687">
        <f>INPUT!ET484</f>
        <v>-38.211538461538453</v>
      </c>
      <c r="CX559" s="156">
        <f>INPUT!EU484</f>
        <v>25.5</v>
      </c>
      <c r="CY559" s="687" t="str">
        <f>INPUT!EV484</f>
        <v>NM</v>
      </c>
      <c r="CZ559" s="156">
        <f>INPUT!EW484</f>
        <v>25.5</v>
      </c>
      <c r="DA559" s="687">
        <f>INPUT!EX484</f>
        <v>-35.74</v>
      </c>
      <c r="DB559" s="16"/>
      <c r="DC559" s="16">
        <f>INPUT!FP484</f>
        <v>615.23809523809541</v>
      </c>
      <c r="DD559" s="687" t="str">
        <f>INPUT!FQ484</f>
        <v>NA</v>
      </c>
      <c r="DE559" s="156">
        <f>INPUT!FR484</f>
        <v>47.900894700619432</v>
      </c>
      <c r="DF559" s="687" t="str">
        <f>INPUT!FS484</f>
        <v>NM</v>
      </c>
      <c r="DG559" s="156">
        <f>INPUT!FT484</f>
        <v>39.700765483646506</v>
      </c>
      <c r="DH559" s="687">
        <f>INPUT!FU484</f>
        <v>-17.118947919916174</v>
      </c>
      <c r="DI559" s="156">
        <f>INPUT!FV484</f>
        <v>32.729959364610259</v>
      </c>
      <c r="DJ559" s="687">
        <f>INPUT!FW484</f>
        <v>-17.55836703427709</v>
      </c>
      <c r="DK559" s="156">
        <f>INPUT!FX484</f>
        <v>37.690689110994207</v>
      </c>
      <c r="DL559" s="687">
        <f>INPUT!FY484</f>
        <v>15.15654111000153</v>
      </c>
      <c r="DM559" s="156">
        <f>INPUT!FZ484</f>
        <v>36.419542193372052</v>
      </c>
      <c r="DN559" s="687">
        <f>INPUT!GA484</f>
        <v>-3.3725754227490801</v>
      </c>
      <c r="DO559" s="156">
        <f>INPUT!GB484</f>
        <v>34.606639381537043</v>
      </c>
      <c r="DP559" s="687">
        <f>INPUT!GC484</f>
        <v>-4.9778297657045663</v>
      </c>
      <c r="DQ559" s="156">
        <f>INPUT!GD484</f>
        <v>67.045454545454547</v>
      </c>
      <c r="DR559" s="687">
        <f>INPUT!GE484</f>
        <v>93.735814120176912</v>
      </c>
      <c r="DS559" s="156">
        <f>INPUT!GF484</f>
        <v>37.305699481865283</v>
      </c>
      <c r="DT559" s="687">
        <f>INPUT!GG484</f>
        <v>-44.357600772811104</v>
      </c>
      <c r="DU559" s="156">
        <f>INPUT!GH484</f>
        <v>35.151515151515149</v>
      </c>
      <c r="DV559" s="687">
        <f>INPUT!GI484</f>
        <v>-5.7744107744107769</v>
      </c>
      <c r="DW559" s="156">
        <f>INPUT!GJ484</f>
        <v>35.269709543568467</v>
      </c>
      <c r="DX559" s="687">
        <f>INPUT!GK484</f>
        <v>0.33624266704823658</v>
      </c>
      <c r="DY559" s="156">
        <f>INPUT!GL484</f>
        <v>50</v>
      </c>
      <c r="DZ559" s="687">
        <f>INPUT!GM484</f>
        <v>41.764705882352928</v>
      </c>
      <c r="EA559" s="156">
        <f>INPUT!GN484</f>
        <v>54.430379746835442</v>
      </c>
      <c r="EB559" s="687">
        <f>INPUT!GO484</f>
        <v>8.8607594936708889</v>
      </c>
      <c r="EC559" s="156">
        <f>INPUT!GP484</f>
        <v>25.5</v>
      </c>
      <c r="ED559" s="687" t="str">
        <f>INPUT!GQ484</f>
        <v>NM</v>
      </c>
      <c r="EE559" s="156">
        <f>INPUT!GR484</f>
        <v>24</v>
      </c>
      <c r="EF559" s="687">
        <f>INPUT!GS484</f>
        <v>-5.8823529411764719</v>
      </c>
      <c r="EG559" s="156">
        <f>INPUT!GT484</f>
        <v>24</v>
      </c>
      <c r="EH559" s="687">
        <f>INPUT!GU484</f>
        <v>0</v>
      </c>
      <c r="EI559" s="156">
        <f>INPUT!GV484</f>
        <v>24</v>
      </c>
      <c r="EJ559" s="687">
        <f>INPUT!GW484</f>
        <v>0</v>
      </c>
      <c r="EK559" s="156">
        <f>INPUT!GX484</f>
        <v>24</v>
      </c>
      <c r="EL559" s="687">
        <f>INPUT!GY484</f>
        <v>0</v>
      </c>
      <c r="EM559" s="687">
        <f>INPUT!GZ484</f>
        <v>-15.106590624784245</v>
      </c>
    </row>
    <row r="560" spans="1:143" ht="12.75" hidden="1" customHeight="1" outlineLevel="1" x14ac:dyDescent="0.2">
      <c r="A560" s="708" t="str">
        <f>INPUT!B485</f>
        <v>After-Tax Operating Earnings</v>
      </c>
      <c r="B560" s="708">
        <f>INPUT!AY485</f>
        <v>0.20000000000000018</v>
      </c>
      <c r="C560" s="709" t="str">
        <f>INPUT!AZ485</f>
        <v>NM</v>
      </c>
      <c r="D560" s="708">
        <f>INPUT!BA485</f>
        <v>-26</v>
      </c>
      <c r="E560" s="709" t="str">
        <f>INPUT!BB485</f>
        <v>NM</v>
      </c>
      <c r="F560" s="708">
        <f>INPUT!BC485</f>
        <v>-11.399999999999997</v>
      </c>
      <c r="G560" s="709" t="str">
        <f>INPUT!BD485</f>
        <v>NM</v>
      </c>
      <c r="H560" s="708">
        <f>INPUT!BE485</f>
        <v>-38.4</v>
      </c>
      <c r="I560" s="709" t="str">
        <f>INPUT!BF485</f>
        <v>NM</v>
      </c>
      <c r="J560" s="708">
        <f>INPUT!BG485</f>
        <v>-28.100000000000005</v>
      </c>
      <c r="K560" s="709" t="str">
        <f>INPUT!BH485</f>
        <v>NM</v>
      </c>
      <c r="L560" s="708">
        <f>INPUT!BI485</f>
        <v>-36.100000000000016</v>
      </c>
      <c r="M560" s="709">
        <f>INPUT!BJ485</f>
        <v>38.846153846153911</v>
      </c>
      <c r="N560" s="708">
        <f>INPUT!BK485</f>
        <v>-49.800000000000018</v>
      </c>
      <c r="O560" s="709" t="str">
        <f>INPUT!BL485</f>
        <v>NM</v>
      </c>
      <c r="P560" s="708">
        <f>INPUT!BM485</f>
        <v>-59.299999999999969</v>
      </c>
      <c r="Q560" s="709">
        <f>INPUT!BN485</f>
        <v>54.427083333333258</v>
      </c>
      <c r="R560" s="708">
        <f>INPUT!BO485</f>
        <v>-42.3</v>
      </c>
      <c r="S560" s="709">
        <f>INPUT!BP485</f>
        <v>50.533807829181463</v>
      </c>
      <c r="T560" s="708">
        <f>INPUT!BQ485</f>
        <v>-44.70000000000001</v>
      </c>
      <c r="U560" s="709">
        <f>INPUT!BR485</f>
        <v>23.822714681440416</v>
      </c>
      <c r="V560" s="708">
        <f>INPUT!BS485</f>
        <v>-39.9</v>
      </c>
      <c r="W560" s="709">
        <f>INPUT!BT485</f>
        <v>-19.879518072289194</v>
      </c>
      <c r="X560" s="708">
        <f>INPUT!BU485</f>
        <v>-55.2</v>
      </c>
      <c r="Y560" s="709">
        <f>INPUT!BV485</f>
        <v>-6.9139966273186637</v>
      </c>
      <c r="Z560" s="708">
        <f>INPUT!BW485</f>
        <v>-108.50000000000001</v>
      </c>
      <c r="AA560" s="709" t="str">
        <f>INPUT!BX485</f>
        <v>NM</v>
      </c>
      <c r="AB560" s="708">
        <f>INPUT!BY485</f>
        <v>-52.299999999999983</v>
      </c>
      <c r="AC560" s="709">
        <f>INPUT!BZ485</f>
        <v>17.002237136465268</v>
      </c>
      <c r="AD560" s="708">
        <f>INPUT!CA485</f>
        <v>-32.6</v>
      </c>
      <c r="AE560" s="709">
        <f>INPUT!CB485</f>
        <v>-18.295739348370923</v>
      </c>
      <c r="AF560" s="708">
        <f>INPUT!CC485</f>
        <v>-43.499999999999986</v>
      </c>
      <c r="AG560" s="709">
        <f>INPUT!CD485</f>
        <v>-21.195652173913071</v>
      </c>
      <c r="AH560" s="708">
        <f>INPUT!CE485</f>
        <v>-36.6</v>
      </c>
      <c r="AI560" s="709" t="str">
        <f>INPUT!CF485</f>
        <v>NM</v>
      </c>
      <c r="AJ560" s="708">
        <f>INPUT!CG485</f>
        <v>-36.1</v>
      </c>
      <c r="AK560" s="709">
        <f>INPUT!CH485</f>
        <v>-30.975143403441663</v>
      </c>
      <c r="AL560" s="708">
        <f>INPUT!CI485</f>
        <v>-39.700000000000003</v>
      </c>
      <c r="AM560" s="709">
        <f>INPUT!CJ485</f>
        <v>21.779141104294485</v>
      </c>
      <c r="AN560" s="708">
        <f>INPUT!CK485</f>
        <v>-73.700000000000017</v>
      </c>
      <c r="AO560" s="709">
        <f>INPUT!CL485</f>
        <v>69.425287356321945</v>
      </c>
      <c r="AP560" s="708">
        <f>INPUT!CM485</f>
        <v>-35.900000000000006</v>
      </c>
      <c r="AQ560" s="709">
        <f>INPUT!CN485</f>
        <v>-1.91256830601092</v>
      </c>
      <c r="AR560" s="708">
        <f>INPUT!CO485</f>
        <v>-22</v>
      </c>
      <c r="AS560" s="709">
        <f>INPUT!CP485</f>
        <v>-39.058171745152357</v>
      </c>
      <c r="AT560" s="708">
        <f>INPUT!CQ485</f>
        <v>-43.9</v>
      </c>
      <c r="AU560" s="709">
        <f>INPUT!CR485</f>
        <v>10.579345088161208</v>
      </c>
      <c r="AV560" s="708">
        <f>INPUT!CS485</f>
        <v>-42</v>
      </c>
      <c r="AW560" s="709">
        <f>INPUT!CT485</f>
        <v>-43.012211668928103</v>
      </c>
      <c r="AX560" s="708">
        <f>INPUT!CU485</f>
        <v>-34</v>
      </c>
      <c r="AY560" s="709">
        <f>INPUT!CV485</f>
        <v>-5.2924791086351171</v>
      </c>
      <c r="AZ560" s="708">
        <f>INPUT!CW485</f>
        <v>-39</v>
      </c>
      <c r="BA560" s="709">
        <f>INPUT!CX485</f>
        <v>77.272727272727266</v>
      </c>
      <c r="BB560" s="708">
        <f>INPUT!CY485</f>
        <v>26</v>
      </c>
      <c r="BC560" s="709" t="str">
        <f>INPUT!CZ485</f>
        <v>NM</v>
      </c>
      <c r="BD560" s="708">
        <f>INPUT!DA485</f>
        <v>-40</v>
      </c>
      <c r="BE560" s="709">
        <f>INPUT!DB485</f>
        <v>-4.7619047619047672</v>
      </c>
      <c r="BF560" s="708">
        <f>INPUT!DC485</f>
        <v>-35</v>
      </c>
      <c r="BG560" s="709">
        <f>INPUT!DD485</f>
        <v>2.9411764705882248</v>
      </c>
      <c r="BH560" s="708">
        <f>INPUT!DE485</f>
        <v>-40</v>
      </c>
      <c r="BI560" s="709">
        <f>INPUT!DF485</f>
        <v>2.564102564102555</v>
      </c>
      <c r="BJ560" s="708">
        <f>INPUT!DG485</f>
        <v>-27</v>
      </c>
      <c r="BK560" s="709" t="str">
        <f>INPUT!DH485</f>
        <v>NM</v>
      </c>
      <c r="BL560" s="708">
        <f>INPUT!DI485</f>
        <v>-19</v>
      </c>
      <c r="BM560" s="709" t="str">
        <f>INPUT!DJ485</f>
        <v>NM</v>
      </c>
      <c r="BN560" s="708">
        <f>INPUT!DK485</f>
        <v>-30</v>
      </c>
      <c r="BO560" s="709">
        <f>INPUT!DL485</f>
        <v>-14.28571428571429</v>
      </c>
      <c r="BP560" s="708">
        <f>INPUT!DM485</f>
        <v>-22</v>
      </c>
      <c r="BQ560" s="709">
        <f>INPUT!DN485</f>
        <v>-44.999999999999993</v>
      </c>
      <c r="BR560" s="708">
        <f>INPUT!DO485</f>
        <v>-29</v>
      </c>
      <c r="BS560" s="709">
        <f>INPUT!DP485</f>
        <v>7.4074074074074181</v>
      </c>
      <c r="BT560" s="708">
        <f>INPUT!DQ485</f>
        <v>-26</v>
      </c>
      <c r="BU560" s="709">
        <f>INPUT!DR485</f>
        <v>36.842105263157897</v>
      </c>
      <c r="BV560" s="708">
        <f>INPUT!DS485</f>
        <v>-27</v>
      </c>
      <c r="BW560" s="709">
        <f>INPUT!DT485</f>
        <v>-9.9999999999999982</v>
      </c>
      <c r="BX560" s="708">
        <f>INPUT!DU485</f>
        <v>-38</v>
      </c>
      <c r="BY560" s="709">
        <f>INPUT!DV485</f>
        <v>72.727272727272734</v>
      </c>
      <c r="BZ560" s="708">
        <f>INPUT!DW485</f>
        <v>-65</v>
      </c>
      <c r="CA560" s="709">
        <f>INPUT!DX485</f>
        <v>-65</v>
      </c>
      <c r="CB560" s="708">
        <f>INPUT!DY485</f>
        <v>-26</v>
      </c>
      <c r="CC560" s="709">
        <f>INPUT!DZ485</f>
        <v>0</v>
      </c>
      <c r="CD560" s="708">
        <f>INPUT!EA485</f>
        <v>-15</v>
      </c>
      <c r="CE560" s="709">
        <f>INPUT!EB485</f>
        <v>-44.444444444444443</v>
      </c>
      <c r="CF560" s="708">
        <f>INPUT!EC485</f>
        <v>-28</v>
      </c>
      <c r="CG560" s="709">
        <f>INPUT!ED485</f>
        <v>-26.315789473684216</v>
      </c>
      <c r="CH560" s="708">
        <f>INPUT!EE485</f>
        <v>-26</v>
      </c>
      <c r="CI560" s="709" t="str">
        <f>INPUT!EF485</f>
        <v>NM</v>
      </c>
      <c r="CJ560" s="708">
        <f>INPUT!EG485</f>
        <v>-37</v>
      </c>
      <c r="CK560" s="709">
        <f>INPUT!EH485</f>
        <v>42.307692307692314</v>
      </c>
      <c r="CL560" s="708">
        <f>INPUT!EI485</f>
        <v>-13</v>
      </c>
      <c r="CM560" s="709">
        <f>INPUT!EJ485</f>
        <v>-13.33333333333333</v>
      </c>
      <c r="CN560" s="708">
        <f>INPUT!EK485</f>
        <v>-37</v>
      </c>
      <c r="CO560" s="709">
        <f>INPUT!EL485</f>
        <v>32.142857142857139</v>
      </c>
      <c r="CP560" s="708">
        <f>INPUT!EM485</f>
        <v>-20</v>
      </c>
      <c r="CQ560" s="709">
        <f>INPUT!EN485</f>
        <v>-23.076923076923073</v>
      </c>
      <c r="CR560" s="708">
        <f>INPUT!EO485</f>
        <v>-38</v>
      </c>
      <c r="CS560" s="709">
        <f>INPUT!EP485</f>
        <v>2.7027027027026973</v>
      </c>
      <c r="CT560" s="708">
        <f>INPUT!EQ485</f>
        <v>-53.666075000000006</v>
      </c>
      <c r="CU560" s="709" t="str">
        <f>INPUT!ER485</f>
        <v>NM</v>
      </c>
      <c r="CV560" s="708">
        <f>INPUT!ES485</f>
        <v>-53.411508500000011</v>
      </c>
      <c r="CW560" s="709">
        <f>INPUT!ET485</f>
        <v>44.355428378378406</v>
      </c>
      <c r="CX560" s="708">
        <f>INPUT!EU485</f>
        <v>-53.155669167500022</v>
      </c>
      <c r="CY560" s="709" t="str">
        <f>INPUT!EV485</f>
        <v>NM</v>
      </c>
      <c r="CZ560" s="708">
        <f>INPUT!EW485</f>
        <v>-52.898550638337525</v>
      </c>
      <c r="DA560" s="709">
        <f>INPUT!EX485</f>
        <v>39.206712206151373</v>
      </c>
      <c r="DB560" s="710"/>
      <c r="DC560" s="708">
        <f>INPUT!FP485</f>
        <v>54.100000000000009</v>
      </c>
      <c r="DD560" s="709" t="str">
        <f>INPUT!FQ485</f>
        <v>NA</v>
      </c>
      <c r="DE560" s="708">
        <f>INPUT!FR485</f>
        <v>-75.699999999999932</v>
      </c>
      <c r="DF560" s="709" t="str">
        <f>INPUT!FS485</f>
        <v>NM</v>
      </c>
      <c r="DG560" s="708">
        <f>INPUT!FT485</f>
        <v>-173.29999999999984</v>
      </c>
      <c r="DH560" s="709" t="str">
        <f>INPUT!FU485</f>
        <v>NM</v>
      </c>
      <c r="DI560" s="708">
        <f>INPUT!FV485</f>
        <v>-182.10000000000005</v>
      </c>
      <c r="DJ560" s="709">
        <f>INPUT!FW485</f>
        <v>5.0778995960762963</v>
      </c>
      <c r="DK560" s="708">
        <f>INPUT!FX485</f>
        <v>-236.9</v>
      </c>
      <c r="DL560" s="709">
        <f>INPUT!FY485</f>
        <v>30.093355299286074</v>
      </c>
      <c r="DM560" s="708">
        <f>INPUT!FZ485</f>
        <v>-186.1</v>
      </c>
      <c r="DN560" s="709">
        <f>INPUT!GA485</f>
        <v>-21.443647108484598</v>
      </c>
      <c r="DO560" s="708">
        <f>INPUT!GB485</f>
        <v>-143.8000000000001</v>
      </c>
      <c r="DP560" s="709">
        <f>INPUT!GC485</f>
        <v>-22.729715206877966</v>
      </c>
      <c r="DQ560" s="708">
        <f>INPUT!GD485</f>
        <v>-87</v>
      </c>
      <c r="DR560" s="709">
        <f>INPUT!GE485</f>
        <v>-39.499304589707975</v>
      </c>
      <c r="DS560" s="708">
        <f>INPUT!GF485</f>
        <v>-121</v>
      </c>
      <c r="DT560" s="709">
        <f>INPUT!GG485</f>
        <v>39.080459770114942</v>
      </c>
      <c r="DU560" s="708">
        <f>INPUT!GH485</f>
        <v>-107</v>
      </c>
      <c r="DV560" s="709">
        <f>INPUT!GI485</f>
        <v>-11.570247933884293</v>
      </c>
      <c r="DW560" s="708">
        <f>INPUT!GJ485</f>
        <v>-156</v>
      </c>
      <c r="DX560" s="709">
        <f>INPUT!GK485</f>
        <v>45.794392523364479</v>
      </c>
      <c r="DY560" s="708">
        <f>INPUT!GL485</f>
        <v>-106</v>
      </c>
      <c r="DZ560" s="709">
        <f>INPUT!GM485</f>
        <v>-32.051282051282051</v>
      </c>
      <c r="EA560" s="708">
        <f>INPUT!GN485</f>
        <v>-108</v>
      </c>
      <c r="EB560" s="709">
        <f>INPUT!GO485</f>
        <v>1.8867924528301883</v>
      </c>
      <c r="EC560" s="708">
        <f>INPUT!GP485</f>
        <v>-213.13180330583759</v>
      </c>
      <c r="ED560" s="709">
        <f>INPUT!GQ485</f>
        <v>97.344262320219997</v>
      </c>
      <c r="EE560" s="708">
        <f>INPUT!GR485</f>
        <v>-190.67547814437705</v>
      </c>
      <c r="EF560" s="709">
        <f>INPUT!GS485</f>
        <v>-10.53635581980058</v>
      </c>
      <c r="EG560" s="708">
        <f>INPUT!GT485</f>
        <v>-119.87848648870835</v>
      </c>
      <c r="EH560" s="709">
        <f>INPUT!GU485</f>
        <v>-37.129573422158735</v>
      </c>
      <c r="EI560" s="708">
        <f>INPUT!GV485</f>
        <v>-117.37013196336963</v>
      </c>
      <c r="EJ560" s="709">
        <f>INPUT!GW485</f>
        <v>-2.0924142427965919</v>
      </c>
      <c r="EK560" s="708">
        <f>INPUT!GX485</f>
        <v>-114.74628461987075</v>
      </c>
      <c r="EL560" s="709">
        <f>INPUT!GY485</f>
        <v>-2.2355324132359078</v>
      </c>
      <c r="EM560" s="711">
        <f>INPUT!GZ485</f>
        <v>1.2192174562792868</v>
      </c>
    </row>
    <row r="561" spans="1:143" s="561" customFormat="1" ht="12.75" hidden="1" customHeight="1" outlineLevel="2" x14ac:dyDescent="0.2">
      <c r="A561" s="712" t="s">
        <v>50</v>
      </c>
      <c r="B561" s="713">
        <f>(B547+B548-B552-B553-B554-B558)-B560</f>
        <v>3.5527136788005009E-15</v>
      </c>
      <c r="C561" s="662"/>
      <c r="D561" s="713">
        <f>(D547+D548-D552-D553-D554-D558)-D560</f>
        <v>0</v>
      </c>
      <c r="E561" s="662"/>
      <c r="F561" s="713">
        <f>(F547+F548-F552-F553-F554-F558)-F560</f>
        <v>0</v>
      </c>
      <c r="G561" s="662"/>
      <c r="H561" s="713">
        <f>(H547+H548-H552-H553-H554-H558)-H560</f>
        <v>-9.999999999998721E-2</v>
      </c>
      <c r="I561" s="662"/>
      <c r="J561" s="713">
        <f>(J547+J548-J552-J553-J554-J558)-J560</f>
        <v>0</v>
      </c>
      <c r="K561" s="662"/>
      <c r="L561" s="713">
        <f>(L547+L548-L552-L553-L554-L558)-L560</f>
        <v>0</v>
      </c>
      <c r="M561" s="662"/>
      <c r="N561" s="713">
        <f>(N547+N548-N552-N553-N554-N558)-N560</f>
        <v>0</v>
      </c>
      <c r="O561" s="662"/>
      <c r="P561" s="713">
        <f>(P547+P548-P552-P553-P554-P558)-P560</f>
        <v>0</v>
      </c>
      <c r="Q561" s="662"/>
      <c r="R561" s="713">
        <f>(R547+R548-R552-R553-R554-R558)-R560</f>
        <v>0</v>
      </c>
      <c r="S561" s="662"/>
      <c r="T561" s="713">
        <f>(T547+T548-T552-T553-T554-T558)-T560</f>
        <v>0</v>
      </c>
      <c r="U561" s="662"/>
      <c r="V561" s="713">
        <f>(V547+V548-V552-V553-V554-V558)-V560</f>
        <v>0</v>
      </c>
      <c r="W561" s="662"/>
      <c r="X561" s="713">
        <f>(X547+X548-X552-X553-X554-X558)-X560</f>
        <v>0</v>
      </c>
      <c r="Y561" s="662"/>
      <c r="Z561" s="713">
        <f>(Z547+Z548-Z552-Z553-Z554-Z558)-Z560</f>
        <v>0</v>
      </c>
      <c r="AA561" s="662"/>
      <c r="AB561" s="713">
        <f>(AB547+AB548-AB552-AB553-AB554-AB558)-AB560</f>
        <v>0</v>
      </c>
      <c r="AC561" s="662"/>
      <c r="AD561" s="713">
        <f>(AD547+AD548-AD552-AD553-AD554-AD558)-AD560</f>
        <v>0</v>
      </c>
      <c r="AE561" s="662"/>
      <c r="AF561" s="713">
        <f>(AF547+AF548-AF552-AF553-AF554-AF558)-AF560</f>
        <v>0</v>
      </c>
      <c r="AG561" s="662"/>
      <c r="AH561" s="713">
        <f>(AH547+AH548-AH552-AH553-AH554-AH558)-AH560</f>
        <v>0</v>
      </c>
      <c r="AI561" s="662"/>
      <c r="AJ561" s="713">
        <f>(AJ547+AJ548-AJ552-AJ553-AJ554-AJ558)-AJ560</f>
        <v>0</v>
      </c>
      <c r="AK561" s="662"/>
      <c r="AL561" s="713">
        <f>(AL547+AL548-AL552-AL553-AL554-AL558)-AL560</f>
        <v>0</v>
      </c>
      <c r="AM561" s="662"/>
      <c r="AN561" s="713">
        <f>(AN547+AN548-AN552-AN553-AN554-AN558)-AN560</f>
        <v>0</v>
      </c>
      <c r="AO561" s="662"/>
      <c r="AP561" s="713">
        <f>(AP547+AP548-AP552-AP553-AP554-AP558)-AP560</f>
        <v>0</v>
      </c>
      <c r="AQ561" s="662"/>
      <c r="AR561" s="713">
        <f>(AR547+AR548-AR552-AR553-AR554-AR558)-AR560</f>
        <v>0</v>
      </c>
      <c r="AS561" s="662"/>
      <c r="AT561" s="713">
        <f>(AT547+AT548-AT552-AT553-AT554-AT558)-AT560</f>
        <v>0</v>
      </c>
      <c r="AU561" s="662"/>
      <c r="AV561" s="713">
        <f>(AV547+AV548-AV552-AV553-AV554-AV558)-AV560</f>
        <v>0</v>
      </c>
      <c r="AW561" s="662"/>
      <c r="AX561" s="713">
        <f>(AX547+AX548-AX552-AX553-AX554-AX558)-AX560</f>
        <v>0</v>
      </c>
      <c r="AY561" s="662"/>
      <c r="AZ561" s="713">
        <f>(AZ547+AZ548-AZ552-AZ553-AZ554-AZ558)-AZ560</f>
        <v>0</v>
      </c>
      <c r="BA561" s="662"/>
      <c r="BB561" s="713">
        <f>(BB547+BB548-BB552-BB553-BB554-BB558)-BB560</f>
        <v>0</v>
      </c>
      <c r="BC561" s="662"/>
      <c r="BD561" s="713">
        <f>(BD547+BD548-BD552-BD553-BD554-BD558)-BD560</f>
        <v>0</v>
      </c>
      <c r="BE561" s="662"/>
      <c r="BF561" s="713">
        <f>(BF547+BF548-BF552-BF553-BF554-BF558)-BF560</f>
        <v>0</v>
      </c>
      <c r="BG561" s="662"/>
      <c r="BH561" s="713">
        <f>(BH547+BH548-BH552-BH553-BH554-BH558)-BH560</f>
        <v>0</v>
      </c>
      <c r="BI561" s="662"/>
      <c r="BJ561" s="713">
        <f>(BJ547+BJ548-BJ552-BJ553-BJ554-BJ558)-BJ560</f>
        <v>0</v>
      </c>
      <c r="BK561" s="662"/>
      <c r="BL561" s="713">
        <f>(BL547+BL548-BL552-BL553-BL554-BL558)-BL560</f>
        <v>0</v>
      </c>
      <c r="BM561" s="662"/>
      <c r="BN561" s="713">
        <f>(BN547+BN548-BN552-BN553-BN554-BN558)-BN560</f>
        <v>0</v>
      </c>
      <c r="BO561" s="662"/>
      <c r="BP561" s="713">
        <f>(BP547+BP548-BP552-BP553-BP554-BP558)-BP560</f>
        <v>0</v>
      </c>
      <c r="BQ561" s="662"/>
      <c r="BR561" s="713">
        <f>(BR547+BR548-BR552-BR553-BR554-BR558)-BR560</f>
        <v>0</v>
      </c>
      <c r="BS561" s="662"/>
      <c r="BT561" s="713">
        <f>(BT547+BT548-BT552-BT553-BT554-BT558)-BT560</f>
        <v>0</v>
      </c>
      <c r="BU561" s="662"/>
      <c r="BV561" s="713">
        <f>(BV547+BV548-BV552-BV553-BV554-BV558)-BV560</f>
        <v>0</v>
      </c>
      <c r="BW561" s="662"/>
      <c r="BX561" s="713">
        <f>(BX547+BX548-BX552-BX553-BX554-BX558)-BX560</f>
        <v>0</v>
      </c>
      <c r="BY561" s="662"/>
      <c r="BZ561" s="713">
        <f>(BZ547+BZ548-BZ552-BZ553-BZ554-BZ558)-BZ560</f>
        <v>0</v>
      </c>
      <c r="CA561" s="662"/>
      <c r="CB561" s="713">
        <f>(CB547+CB548-CB552-CB553-CB554-CB558)-CB560</f>
        <v>0</v>
      </c>
      <c r="CC561" s="662"/>
      <c r="CD561" s="713">
        <f>(CD547+CD548-CD552-CD553-CD554-CD558)-CD560</f>
        <v>0</v>
      </c>
      <c r="CE561" s="662"/>
      <c r="CF561" s="713">
        <f>(CF547+CF548-CF552-CF553-CF554-CF558)-CF560</f>
        <v>0</v>
      </c>
      <c r="CG561" s="662"/>
      <c r="CH561" s="713">
        <f>(CH547+CH548-CH552-CH553-CH554-CH558)-CH560</f>
        <v>0</v>
      </c>
      <c r="CI561" s="662"/>
      <c r="CJ561" s="713">
        <f>(CJ547+CJ548-CJ552-CJ553-CJ554-CJ558)-CJ560</f>
        <v>0</v>
      </c>
      <c r="CK561" s="662"/>
      <c r="CL561" s="713">
        <f>(CL547+CL548-CL552-CL553-CL554-CL558)-CL560</f>
        <v>0</v>
      </c>
      <c r="CM561" s="662"/>
      <c r="CN561" s="713">
        <f t="shared" ref="CN561" si="261">(CN547+CN548-CN552-CN553-CN554-CN558)-CN560</f>
        <v>0</v>
      </c>
      <c r="CO561" s="662"/>
      <c r="CP561" s="713">
        <f t="shared" ref="CP561" si="262">(CP547+CP548-CP552-CP553-CP554-CP558)-CP560</f>
        <v>0</v>
      </c>
      <c r="CQ561" s="662"/>
      <c r="CR561" s="713">
        <f t="shared" ref="CR561" si="263">(CR547+CR548-CR552-CR553-CR554-CR558)-CR560</f>
        <v>0</v>
      </c>
      <c r="CS561" s="662"/>
      <c r="CT561" s="713">
        <f>(CT547+CT548-CT552-CT553-CT554-CT558)-CT560</f>
        <v>0</v>
      </c>
      <c r="CU561" s="662"/>
      <c r="CV561" s="713">
        <f t="shared" ref="CV561" si="264">(CV547+CV548-CV552-CV553-CV554-CV558)-CV560</f>
        <v>0</v>
      </c>
      <c r="CW561" s="662"/>
      <c r="CX561" s="713">
        <f t="shared" ref="CX561" si="265">(CX547+CX548-CX552-CX553-CX554-CX558)-CX560</f>
        <v>0</v>
      </c>
      <c r="CY561" s="662"/>
      <c r="CZ561" s="713">
        <f t="shared" ref="CZ561" si="266">(CZ547+CZ548-CZ552-CZ553-CZ554-CZ558)-CZ560</f>
        <v>0</v>
      </c>
      <c r="DA561" s="662"/>
      <c r="DB561" s="714"/>
      <c r="DC561" s="713">
        <f>(DC547+DC548-DC552-DC553-DC554-DC558)-DC560</f>
        <v>0</v>
      </c>
      <c r="DD561" s="662"/>
      <c r="DE561" s="713">
        <f>(DE547+DE548-DE552-DE553-DE554-DE558)-DE560</f>
        <v>0</v>
      </c>
      <c r="DF561" s="662"/>
      <c r="DG561" s="713">
        <f>(DG547+DG548-DG552-DG553-DG554-DG558)-DG560</f>
        <v>0</v>
      </c>
      <c r="DH561" s="662"/>
      <c r="DI561" s="713">
        <f>(DI547+DI548-DI552-DI553-DI554-DI558)-DI560</f>
        <v>0</v>
      </c>
      <c r="DJ561" s="662"/>
      <c r="DK561" s="713">
        <f>(DK547+DK548-DK552-DK553-DK554-DK558)-DK560</f>
        <v>0</v>
      </c>
      <c r="DL561" s="662"/>
      <c r="DM561" s="713">
        <f>(DM547+DM548-DM552-DM553-DM554-DM558)-DM560</f>
        <v>0</v>
      </c>
      <c r="DN561" s="662"/>
      <c r="DO561" s="713">
        <f>(DO547+DO548-DO552-DO553-DO554-DO558)-DO560</f>
        <v>0</v>
      </c>
      <c r="DP561" s="662"/>
      <c r="DQ561" s="713">
        <f>(DQ547+DQ548-DQ552-DQ553-DQ554-DQ558)-DQ560</f>
        <v>0</v>
      </c>
      <c r="DR561" s="662"/>
      <c r="DS561" s="713">
        <f>(DS547+DS548-DS552-DS553-DS554-DS558)-DS560</f>
        <v>0</v>
      </c>
      <c r="DT561" s="662"/>
      <c r="DU561" s="713">
        <f>(DU547+DU548-DU552-DU553-DU554-DU558)-DU560</f>
        <v>0</v>
      </c>
      <c r="DV561" s="662"/>
      <c r="DW561" s="713">
        <f>(DW547+DW548-DW552-DW553-DW554-DW558)-DW560</f>
        <v>0</v>
      </c>
      <c r="DX561" s="662"/>
      <c r="DY561" s="713">
        <f>(DY547+DY548-DY552-DY553-DY554-DY558)-DY560</f>
        <v>0</v>
      </c>
      <c r="DZ561" s="662"/>
      <c r="EA561" s="713">
        <f>(EA547+EA548-EA552-EA553-EA554-EA558)-EA560</f>
        <v>0</v>
      </c>
      <c r="EB561" s="662"/>
      <c r="EC561" s="713">
        <f>(EC547+EC548-EC552-EC553-EC554-EC558)-EC560</f>
        <v>0</v>
      </c>
      <c r="ED561" s="662"/>
      <c r="EE561" s="713">
        <f>(EE547+EE548-EE552-EE553-EE554-EE558)-EE560</f>
        <v>0</v>
      </c>
      <c r="EF561" s="662"/>
      <c r="EG561" s="713">
        <f>(EG547+EG548-EG552-EG553-EG554-EG558)-EG560</f>
        <v>0</v>
      </c>
      <c r="EH561" s="662"/>
      <c r="EI561" s="713">
        <f>(EI547+EI548-EI552-EI553-EI554-EI558)-EI560</f>
        <v>0</v>
      </c>
      <c r="EJ561" s="662"/>
      <c r="EK561" s="713">
        <f>(EK547+EK548-EK552-EK553-EK554-EK558)-EK560</f>
        <v>0</v>
      </c>
      <c r="EL561" s="662"/>
      <c r="EM561" s="662"/>
    </row>
    <row r="562" spans="1:143" ht="12.75" hidden="1" customHeight="1" outlineLevel="1" collapsed="1" x14ac:dyDescent="0.2">
      <c r="A562" s="701"/>
      <c r="B562" s="16"/>
      <c r="C562" s="687"/>
      <c r="D562" s="16"/>
      <c r="E562" s="687"/>
      <c r="F562" s="16"/>
      <c r="G562" s="687"/>
      <c r="H562" s="16"/>
      <c r="I562" s="687"/>
      <c r="J562" s="16"/>
      <c r="K562" s="687"/>
      <c r="L562" s="16"/>
      <c r="M562" s="687"/>
      <c r="N562" s="16"/>
      <c r="O562" s="687"/>
      <c r="P562" s="16"/>
      <c r="Q562" s="687"/>
      <c r="R562" s="16"/>
      <c r="S562" s="687"/>
      <c r="T562" s="16"/>
      <c r="U562" s="687"/>
      <c r="V562" s="16"/>
      <c r="W562" s="687"/>
      <c r="X562" s="16"/>
      <c r="Y562" s="687"/>
      <c r="Z562" s="16"/>
      <c r="AA562" s="687"/>
      <c r="AB562" s="16"/>
      <c r="AC562" s="687"/>
      <c r="AD562" s="16"/>
      <c r="AE562" s="687"/>
      <c r="AF562" s="16"/>
      <c r="AG562" s="687"/>
      <c r="AH562" s="16"/>
      <c r="AI562" s="687"/>
      <c r="AJ562" s="16"/>
      <c r="AK562" s="687"/>
      <c r="AL562" s="16"/>
      <c r="AM562" s="687"/>
      <c r="AN562" s="16"/>
      <c r="AO562" s="687"/>
      <c r="AP562" s="16"/>
      <c r="AQ562" s="687"/>
      <c r="AR562" s="16"/>
      <c r="AS562" s="687"/>
      <c r="AT562" s="16"/>
      <c r="AU562" s="687"/>
      <c r="AV562" s="16"/>
      <c r="AW562" s="687"/>
      <c r="AX562" s="16"/>
      <c r="AY562" s="687"/>
      <c r="AZ562" s="16"/>
      <c r="BA562" s="687"/>
      <c r="BB562" s="16"/>
      <c r="BC562" s="687"/>
      <c r="BD562" s="16"/>
      <c r="BE562" s="687"/>
      <c r="BF562" s="16"/>
      <c r="BG562" s="687"/>
      <c r="BH562" s="16"/>
      <c r="BI562" s="687"/>
      <c r="BJ562" s="16"/>
      <c r="BK562" s="687"/>
      <c r="BL562" s="16"/>
      <c r="BM562" s="687"/>
      <c r="BN562" s="16"/>
      <c r="BO562" s="687"/>
      <c r="BP562" s="16"/>
      <c r="BQ562" s="687"/>
      <c r="BR562" s="16"/>
      <c r="BS562" s="687"/>
      <c r="BT562" s="16"/>
      <c r="BU562" s="687"/>
      <c r="BV562" s="16"/>
      <c r="BW562" s="687"/>
      <c r="BX562" s="16"/>
      <c r="BY562" s="687"/>
      <c r="BZ562" s="16"/>
      <c r="CA562" s="687"/>
      <c r="CB562" s="16"/>
      <c r="CC562" s="687"/>
      <c r="CD562" s="16"/>
      <c r="CE562" s="687"/>
      <c r="CF562" s="16"/>
      <c r="CG562" s="687"/>
      <c r="CH562" s="16"/>
      <c r="CI562" s="687"/>
      <c r="CJ562" s="16"/>
      <c r="CK562" s="687"/>
      <c r="CL562" s="16"/>
      <c r="CM562" s="687"/>
      <c r="CN562" s="16"/>
      <c r="CO562" s="687"/>
      <c r="CP562" s="16"/>
      <c r="CQ562" s="687"/>
      <c r="CR562" s="16"/>
      <c r="CS562" s="687"/>
      <c r="CT562" s="16"/>
      <c r="CU562" s="687"/>
      <c r="CV562" s="16"/>
      <c r="CW562" s="687"/>
      <c r="CX562" s="16"/>
      <c r="CY562" s="687"/>
      <c r="CZ562" s="16"/>
      <c r="DA562" s="687"/>
      <c r="DB562" s="16"/>
      <c r="DC562" s="16"/>
      <c r="DD562" s="687"/>
      <c r="DE562" s="16"/>
      <c r="DF562" s="687"/>
      <c r="DG562" s="16"/>
      <c r="DH562" s="687"/>
      <c r="DI562" s="16"/>
      <c r="DJ562" s="687"/>
      <c r="DK562" s="16"/>
      <c r="DL562" s="687"/>
      <c r="DM562" s="16"/>
      <c r="DN562" s="687"/>
      <c r="DO562" s="16"/>
      <c r="DP562" s="687"/>
      <c r="DQ562" s="16"/>
      <c r="DR562" s="687"/>
      <c r="DS562" s="16"/>
      <c r="DT562" s="687"/>
      <c r="DU562" s="16"/>
      <c r="DV562" s="687"/>
      <c r="DW562" s="16"/>
      <c r="DX562" s="687"/>
      <c r="DY562" s="16"/>
      <c r="DZ562" s="687"/>
      <c r="EA562" s="16"/>
      <c r="EB562" s="687"/>
      <c r="EC562" s="16"/>
      <c r="ED562" s="687"/>
      <c r="EE562" s="16"/>
      <c r="EF562" s="687"/>
      <c r="EG562" s="16"/>
      <c r="EH562" s="687"/>
      <c r="EI562" s="16"/>
      <c r="EJ562" s="687"/>
      <c r="EK562" s="16"/>
      <c r="EL562" s="687"/>
      <c r="EM562" s="687"/>
    </row>
    <row r="563" spans="1:143" ht="12.75" hidden="1" customHeight="1" outlineLevel="1" x14ac:dyDescent="0.2">
      <c r="A563" s="689" t="str">
        <f>+A60</f>
        <v>Quarterly income statement ratios are annualized where appropriate     NM = Not Meaningful       NA = Not Applicable  E=Morgan Stanley Estimates</v>
      </c>
      <c r="B563" s="16"/>
      <c r="C563" s="687"/>
      <c r="D563" s="16"/>
      <c r="E563" s="687"/>
      <c r="F563" s="16"/>
      <c r="G563" s="687"/>
      <c r="H563" s="16"/>
      <c r="I563" s="687"/>
      <c r="J563" s="16"/>
      <c r="K563" s="687"/>
      <c r="L563" s="16"/>
      <c r="M563" s="687"/>
      <c r="N563" s="16"/>
      <c r="O563" s="687"/>
      <c r="P563" s="16"/>
      <c r="Q563" s="687"/>
      <c r="R563" s="16"/>
      <c r="S563" s="687"/>
      <c r="T563" s="16"/>
      <c r="U563" s="687"/>
      <c r="V563" s="16"/>
      <c r="W563" s="687"/>
      <c r="X563" s="16"/>
      <c r="Y563" s="687"/>
      <c r="Z563" s="16"/>
      <c r="AA563" s="687"/>
      <c r="AB563" s="16"/>
      <c r="AC563" s="687"/>
      <c r="AD563" s="16"/>
      <c r="AE563" s="687"/>
      <c r="AF563" s="16"/>
      <c r="AG563" s="687"/>
      <c r="AH563" s="16"/>
      <c r="AI563" s="687"/>
      <c r="AJ563" s="16"/>
      <c r="AK563" s="687"/>
      <c r="AL563" s="16"/>
      <c r="AM563" s="687"/>
      <c r="AN563" s="16"/>
      <c r="AO563" s="687"/>
      <c r="AP563" s="16"/>
      <c r="AQ563" s="687"/>
      <c r="AR563" s="16"/>
      <c r="AS563" s="687"/>
      <c r="AT563" s="16"/>
      <c r="AU563" s="687"/>
      <c r="AV563" s="16"/>
      <c r="AW563" s="687"/>
      <c r="AX563" s="16"/>
      <c r="AY563" s="687"/>
      <c r="AZ563" s="16"/>
      <c r="BA563" s="687"/>
      <c r="BB563" s="16"/>
      <c r="BC563" s="687"/>
      <c r="BD563" s="16"/>
      <c r="BE563" s="687"/>
      <c r="BF563" s="16"/>
      <c r="BG563" s="687"/>
      <c r="BH563" s="16"/>
      <c r="BI563" s="687"/>
      <c r="BJ563" s="16"/>
      <c r="BK563" s="687"/>
      <c r="BL563" s="16"/>
      <c r="BM563" s="687"/>
      <c r="BN563" s="16"/>
      <c r="BO563" s="687"/>
      <c r="BP563" s="16"/>
      <c r="BQ563" s="687"/>
      <c r="BR563" s="16"/>
      <c r="BS563" s="687"/>
      <c r="BT563" s="16"/>
      <c r="BU563" s="687"/>
      <c r="BV563" s="16"/>
      <c r="BW563" s="687"/>
      <c r="BX563" s="16"/>
      <c r="BY563" s="687"/>
      <c r="BZ563" s="16"/>
      <c r="CA563" s="687"/>
      <c r="CB563" s="16"/>
      <c r="CC563" s="687"/>
      <c r="CD563" s="16"/>
      <c r="CE563" s="687"/>
      <c r="CF563" s="16"/>
      <c r="CG563" s="687"/>
      <c r="CH563" s="16"/>
      <c r="CI563" s="687"/>
      <c r="CJ563" s="16"/>
      <c r="CK563" s="687"/>
      <c r="CL563" s="16"/>
      <c r="CM563" s="687"/>
      <c r="CN563" s="16"/>
      <c r="CO563" s="687"/>
      <c r="CP563" s="16"/>
      <c r="CQ563" s="687"/>
      <c r="CR563" s="16"/>
      <c r="CS563" s="687"/>
      <c r="CT563" s="16"/>
      <c r="CU563" s="687"/>
      <c r="CV563" s="16"/>
      <c r="CW563" s="687"/>
      <c r="CX563" s="16"/>
      <c r="CY563" s="687"/>
      <c r="CZ563" s="16"/>
      <c r="DA563" s="687"/>
      <c r="DB563" s="16"/>
      <c r="DC563" s="16"/>
      <c r="DD563" s="687"/>
      <c r="DE563" s="16"/>
      <c r="DF563" s="687"/>
      <c r="DG563" s="16"/>
      <c r="DH563" s="687"/>
      <c r="DI563" s="16"/>
      <c r="DJ563" s="687"/>
      <c r="DK563" s="16"/>
      <c r="DL563" s="687"/>
      <c r="DM563" s="16"/>
      <c r="DN563" s="687"/>
      <c r="DO563" s="16"/>
      <c r="DP563" s="687"/>
      <c r="DQ563" s="16"/>
      <c r="DR563" s="687"/>
      <c r="DS563" s="16"/>
      <c r="DT563" s="687"/>
      <c r="DU563" s="16"/>
      <c r="DV563" s="687"/>
      <c r="DW563" s="16"/>
      <c r="DX563" s="687"/>
      <c r="DY563" s="16"/>
      <c r="DZ563" s="687"/>
      <c r="EA563" s="16"/>
      <c r="EB563" s="687"/>
      <c r="EC563" s="16"/>
      <c r="ED563" s="687"/>
      <c r="EE563" s="16"/>
      <c r="EF563" s="687"/>
      <c r="EG563" s="16"/>
      <c r="EH563" s="687"/>
      <c r="EI563" s="16"/>
      <c r="EJ563" s="687"/>
      <c r="EK563" s="16"/>
      <c r="EL563" s="687"/>
      <c r="EM563" s="687"/>
    </row>
    <row r="564" spans="1:143" ht="12.75" hidden="1" customHeight="1" outlineLevel="1" x14ac:dyDescent="0.2">
      <c r="A564" s="689" t="s">
        <v>1</v>
      </c>
      <c r="B564" s="16"/>
      <c r="C564" s="687"/>
      <c r="D564" s="16"/>
      <c r="E564" s="687"/>
      <c r="F564" s="16"/>
      <c r="G564" s="687"/>
      <c r="H564" s="16"/>
      <c r="I564" s="687"/>
      <c r="J564" s="16"/>
      <c r="K564" s="687"/>
      <c r="L564" s="16"/>
      <c r="M564" s="687"/>
      <c r="N564" s="16"/>
      <c r="O564" s="687"/>
      <c r="P564" s="16"/>
      <c r="Q564" s="687"/>
      <c r="R564" s="16"/>
      <c r="S564" s="687"/>
      <c r="T564" s="16"/>
      <c r="U564" s="687"/>
      <c r="V564" s="16"/>
      <c r="W564" s="687"/>
      <c r="X564" s="16"/>
      <c r="Y564" s="687"/>
      <c r="Z564" s="16"/>
      <c r="AA564" s="687"/>
      <c r="AB564" s="16"/>
      <c r="AC564" s="687"/>
      <c r="AD564" s="16"/>
      <c r="AE564" s="687"/>
      <c r="AF564" s="16"/>
      <c r="AG564" s="687"/>
      <c r="AH564" s="16"/>
      <c r="AI564" s="687"/>
      <c r="AJ564" s="16"/>
      <c r="AK564" s="687"/>
      <c r="AL564" s="16"/>
      <c r="AM564" s="687"/>
      <c r="AN564" s="16"/>
      <c r="AO564" s="687"/>
      <c r="AP564" s="16"/>
      <c r="AQ564" s="687"/>
      <c r="AR564" s="16"/>
      <c r="AS564" s="687"/>
      <c r="AT564" s="16"/>
      <c r="AU564" s="687"/>
      <c r="AV564" s="16"/>
      <c r="AW564" s="687"/>
      <c r="AX564" s="16"/>
      <c r="AY564" s="687"/>
      <c r="AZ564" s="16"/>
      <c r="BA564" s="687"/>
      <c r="BB564" s="16"/>
      <c r="BC564" s="687"/>
      <c r="BD564" s="16"/>
      <c r="BE564" s="687"/>
      <c r="BF564" s="16"/>
      <c r="BG564" s="687"/>
      <c r="BH564" s="16"/>
      <c r="BI564" s="687"/>
      <c r="BJ564" s="16"/>
      <c r="BK564" s="687"/>
      <c r="BL564" s="16"/>
      <c r="BM564" s="687"/>
      <c r="BN564" s="16"/>
      <c r="BO564" s="687"/>
      <c r="BP564" s="16"/>
      <c r="BQ564" s="687"/>
      <c r="BR564" s="16"/>
      <c r="BS564" s="687"/>
      <c r="BT564" s="16"/>
      <c r="BU564" s="687"/>
      <c r="BV564" s="16"/>
      <c r="BW564" s="687"/>
      <c r="BX564" s="16"/>
      <c r="BY564" s="687"/>
      <c r="BZ564" s="16"/>
      <c r="CA564" s="687"/>
      <c r="CB564" s="16"/>
      <c r="CC564" s="687"/>
      <c r="CD564" s="16"/>
      <c r="CE564" s="687"/>
      <c r="CF564" s="16"/>
      <c r="CG564" s="687"/>
      <c r="CH564" s="16"/>
      <c r="CI564" s="687"/>
      <c r="CJ564" s="16"/>
      <c r="CK564" s="687"/>
      <c r="CL564" s="16"/>
      <c r="CM564" s="687"/>
      <c r="CN564" s="16"/>
      <c r="CO564" s="687"/>
      <c r="CP564" s="16"/>
      <c r="CQ564" s="687"/>
      <c r="CR564" s="16"/>
      <c r="CS564" s="687"/>
      <c r="CT564" s="16"/>
      <c r="CU564" s="687"/>
      <c r="CV564" s="16"/>
      <c r="CW564" s="687"/>
      <c r="CX564" s="16"/>
      <c r="CY564" s="687"/>
      <c r="CZ564" s="16"/>
      <c r="DA564" s="687"/>
      <c r="DB564" s="16"/>
      <c r="DC564" s="16"/>
      <c r="DD564" s="687"/>
      <c r="DE564" s="16"/>
      <c r="DF564" s="687"/>
      <c r="DG564" s="16"/>
      <c r="DH564" s="687"/>
      <c r="DI564" s="16"/>
      <c r="DJ564" s="687"/>
      <c r="DK564" s="16"/>
      <c r="DL564" s="687"/>
      <c r="DM564" s="16"/>
      <c r="DN564" s="687"/>
      <c r="DO564" s="16"/>
      <c r="DP564" s="687"/>
      <c r="DQ564" s="16"/>
      <c r="DR564" s="687"/>
      <c r="DS564" s="16"/>
      <c r="DT564" s="687"/>
      <c r="DU564" s="16"/>
      <c r="DV564" s="687"/>
      <c r="DW564" s="16"/>
      <c r="DX564" s="687"/>
      <c r="DY564" s="16"/>
      <c r="DZ564" s="687"/>
      <c r="EA564" s="16"/>
      <c r="EB564" s="687"/>
      <c r="EC564" s="16"/>
      <c r="ED564" s="687"/>
      <c r="EE564" s="16"/>
      <c r="EF564" s="687"/>
      <c r="EG564" s="16"/>
      <c r="EH564" s="687"/>
      <c r="EI564" s="16"/>
      <c r="EJ564" s="687"/>
      <c r="EK564" s="16"/>
      <c r="EL564" s="687"/>
      <c r="EM564" s="687"/>
    </row>
    <row r="565" spans="1:143" ht="12.75" customHeight="1" collapsed="1" x14ac:dyDescent="0.2">
      <c r="A565" s="701"/>
      <c r="B565" s="16"/>
      <c r="C565" s="687"/>
      <c r="D565" s="16"/>
      <c r="E565" s="687"/>
      <c r="F565" s="16"/>
      <c r="G565" s="687"/>
      <c r="H565" s="16"/>
      <c r="I565" s="687"/>
      <c r="J565" s="16"/>
      <c r="K565" s="687"/>
      <c r="L565" s="16"/>
      <c r="M565" s="687"/>
      <c r="N565" s="16"/>
      <c r="O565" s="687"/>
      <c r="P565" s="16"/>
      <c r="Q565" s="687"/>
      <c r="R565" s="16"/>
      <c r="S565" s="687"/>
      <c r="T565" s="16"/>
      <c r="U565" s="687"/>
      <c r="V565" s="16"/>
      <c r="W565" s="687"/>
      <c r="X565" s="16"/>
      <c r="Y565" s="687"/>
      <c r="Z565" s="16"/>
      <c r="AA565" s="687"/>
      <c r="AB565" s="16"/>
      <c r="AC565" s="687"/>
      <c r="AD565" s="16"/>
      <c r="AE565" s="687"/>
      <c r="AF565" s="16"/>
      <c r="AG565" s="687"/>
      <c r="AH565" s="16"/>
      <c r="AI565" s="687"/>
      <c r="AJ565" s="16"/>
      <c r="AK565" s="687"/>
      <c r="AL565" s="16"/>
      <c r="AM565" s="687"/>
      <c r="AN565" s="16"/>
      <c r="AO565" s="687"/>
      <c r="AP565" s="16"/>
      <c r="AQ565" s="687"/>
      <c r="AR565" s="16"/>
      <c r="AS565" s="687"/>
      <c r="AT565" s="16"/>
      <c r="AU565" s="687"/>
      <c r="AV565" s="16"/>
      <c r="AW565" s="687"/>
      <c r="AX565" s="16"/>
      <c r="AY565" s="687"/>
      <c r="AZ565" s="16"/>
      <c r="BA565" s="687"/>
      <c r="BB565" s="16"/>
      <c r="BC565" s="687"/>
      <c r="BD565" s="16"/>
      <c r="BE565" s="687"/>
      <c r="BF565" s="16"/>
      <c r="BG565" s="687"/>
      <c r="BH565" s="16"/>
      <c r="BI565" s="687"/>
      <c r="BJ565" s="16"/>
      <c r="BK565" s="687"/>
      <c r="BL565" s="16"/>
      <c r="BM565" s="687"/>
      <c r="BN565" s="16"/>
      <c r="BO565" s="687"/>
      <c r="BP565" s="16"/>
      <c r="BQ565" s="687"/>
      <c r="BR565" s="16"/>
      <c r="BS565" s="687"/>
      <c r="BT565" s="16"/>
      <c r="BU565" s="687"/>
      <c r="BV565" s="16"/>
      <c r="BW565" s="687"/>
      <c r="BX565" s="16"/>
      <c r="BY565" s="687"/>
      <c r="BZ565" s="16"/>
      <c r="CA565" s="687"/>
      <c r="CB565" s="16"/>
      <c r="CC565" s="687"/>
      <c r="CD565" s="16"/>
      <c r="CE565" s="687"/>
      <c r="CF565" s="16"/>
      <c r="CG565" s="687"/>
      <c r="CH565" s="16"/>
      <c r="CI565" s="687"/>
      <c r="CJ565" s="16"/>
      <c r="CK565" s="687"/>
      <c r="CL565" s="16"/>
      <c r="CM565" s="687"/>
      <c r="CN565" s="16"/>
      <c r="CO565" s="687"/>
      <c r="CP565" s="16"/>
      <c r="CQ565" s="687"/>
      <c r="CR565" s="16"/>
      <c r="CS565" s="687"/>
      <c r="CT565" s="16"/>
      <c r="CU565" s="687"/>
      <c r="CV565" s="16"/>
      <c r="CW565" s="687"/>
      <c r="CX565" s="16"/>
      <c r="CY565" s="687"/>
      <c r="CZ565" s="16"/>
      <c r="DA565" s="687"/>
      <c r="DB565" s="16"/>
      <c r="DC565" s="16"/>
      <c r="DD565" s="687"/>
      <c r="DE565" s="16"/>
      <c r="DF565" s="687"/>
      <c r="DG565" s="16"/>
      <c r="DH565" s="687"/>
      <c r="DI565" s="16"/>
      <c r="DJ565" s="687"/>
      <c r="DK565" s="16"/>
      <c r="DL565" s="687"/>
      <c r="DM565" s="16"/>
      <c r="DN565" s="687"/>
      <c r="DO565" s="16"/>
      <c r="DP565" s="687"/>
      <c r="DQ565" s="16"/>
      <c r="DR565" s="687"/>
      <c r="DS565" s="16"/>
      <c r="DT565" s="687"/>
      <c r="DU565" s="16"/>
      <c r="DV565" s="687"/>
      <c r="DW565" s="16"/>
      <c r="DX565" s="687"/>
      <c r="DY565" s="16"/>
      <c r="DZ565" s="687"/>
      <c r="EA565" s="16"/>
      <c r="EB565" s="687"/>
      <c r="EC565" s="16"/>
      <c r="ED565" s="687"/>
      <c r="EE565" s="16"/>
      <c r="EF565" s="687"/>
      <c r="EG565" s="16"/>
      <c r="EH565" s="687"/>
      <c r="EI565" s="16"/>
      <c r="EJ565" s="687"/>
      <c r="EK565" s="16"/>
      <c r="EL565" s="687"/>
      <c r="EM565" s="687"/>
    </row>
  </sheetData>
  <phoneticPr fontId="5" type="noConversion"/>
  <pageMargins left="0" right="0" top="0" bottom="0" header="0" footer="0"/>
  <pageSetup paperSize="5" scale="98" orientation="landscape" r:id="rId1"/>
  <headerFooter alignWithMargins="0"/>
  <rowBreaks count="9" manualBreakCount="9">
    <brk id="62" max="16383" man="1"/>
    <brk id="103" max="16383" man="1"/>
    <brk id="156" max="16383" man="1"/>
    <brk id="189" max="16383" man="1"/>
    <brk id="232" max="16383" man="1"/>
    <brk id="402" max="16383" man="1"/>
    <brk id="441" max="16383" man="1"/>
    <brk id="466" max="16383" man="1"/>
    <brk id="539"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EM499"/>
  <sheetViews>
    <sheetView showGridLines="0" zoomScaleNormal="100" zoomScaleSheetLayoutView="90" workbookViewId="0">
      <pane xSplit="1" ySplit="5" topLeftCell="CD49" activePane="bottomRight" state="frozen"/>
      <selection pane="topRight" activeCell="B1" sqref="B1"/>
      <selection pane="bottomLeft" activeCell="A6" sqref="A6"/>
      <selection pane="bottomRight" activeCell="EA91" sqref="EA91"/>
    </sheetView>
  </sheetViews>
  <sheetFormatPr defaultRowHeight="12.75" customHeight="1" outlineLevelRow="2" outlineLevelCol="1" x14ac:dyDescent="0.2"/>
  <cols>
    <col min="1" max="1" width="30.7109375" style="690" customWidth="1"/>
    <col min="2" max="2" width="7.42578125" style="683" hidden="1" customWidth="1" outlineLevel="1"/>
    <col min="3" max="3" width="7.42578125" style="723" hidden="1" customWidth="1" outlineLevel="1"/>
    <col min="4" max="4" width="7.42578125" style="683" hidden="1" customWidth="1" outlineLevel="1"/>
    <col min="5" max="5" width="7.42578125" style="684" hidden="1" customWidth="1" outlineLevel="1"/>
    <col min="6" max="6" width="7.42578125" style="683" hidden="1" customWidth="1" outlineLevel="1"/>
    <col min="7" max="7" width="7.42578125" style="684" hidden="1" customWidth="1" outlineLevel="1"/>
    <col min="8" max="8" width="7.42578125" style="683" hidden="1" customWidth="1" outlineLevel="1"/>
    <col min="9" max="9" width="7.42578125" style="684" hidden="1" customWidth="1" outlineLevel="1"/>
    <col min="10" max="10" width="7.42578125" style="683" hidden="1" customWidth="1" outlineLevel="1" collapsed="1"/>
    <col min="11" max="11" width="7.42578125" style="723" hidden="1" customWidth="1" outlineLevel="1"/>
    <col min="12" max="12" width="7.42578125" style="683" hidden="1" customWidth="1" outlineLevel="1"/>
    <col min="13" max="13" width="7.42578125" style="723" hidden="1" customWidth="1" outlineLevel="1"/>
    <col min="14" max="14" width="7.42578125" style="683" hidden="1" customWidth="1" outlineLevel="1"/>
    <col min="15" max="15" width="7.42578125" style="723" hidden="1" customWidth="1" outlineLevel="1"/>
    <col min="16" max="16" width="7.42578125" style="683" hidden="1" customWidth="1" outlineLevel="1"/>
    <col min="17" max="17" width="7.42578125" style="723" hidden="1" customWidth="1" outlineLevel="1"/>
    <col min="18" max="18" width="7.42578125" style="683" hidden="1" customWidth="1" outlineLevel="1"/>
    <col min="19" max="19" width="7.42578125" style="723" hidden="1" customWidth="1" outlineLevel="1"/>
    <col min="20" max="20" width="7.42578125" style="683" hidden="1" customWidth="1" outlineLevel="1"/>
    <col min="21" max="21" width="7.42578125" style="723" hidden="1" customWidth="1" outlineLevel="1"/>
    <col min="22" max="22" width="7.42578125" style="683" hidden="1" customWidth="1" outlineLevel="1"/>
    <col min="23" max="23" width="7.42578125" style="723" hidden="1" customWidth="1" outlineLevel="1"/>
    <col min="24" max="24" width="7.42578125" style="683" hidden="1" customWidth="1" outlineLevel="1"/>
    <col min="25" max="25" width="7.42578125" style="723" hidden="1" customWidth="1" outlineLevel="1"/>
    <col min="26" max="26" width="7.42578125" style="683" hidden="1" customWidth="1" outlineLevel="1"/>
    <col min="27" max="27" width="7.42578125" style="723" hidden="1" customWidth="1" outlineLevel="1"/>
    <col min="28" max="28" width="7.42578125" style="683" hidden="1" customWidth="1" outlineLevel="1"/>
    <col min="29" max="29" width="7.42578125" style="723" hidden="1" customWidth="1" outlineLevel="1"/>
    <col min="30" max="30" width="7.42578125" style="683" hidden="1" customWidth="1" outlineLevel="1"/>
    <col min="31" max="31" width="7.42578125" style="723" hidden="1" customWidth="1" outlineLevel="1"/>
    <col min="32" max="32" width="7.42578125" style="683" hidden="1" customWidth="1" outlineLevel="1"/>
    <col min="33" max="33" width="7.42578125" style="723" hidden="1" customWidth="1" outlineLevel="1"/>
    <col min="34" max="34" width="7.42578125" style="683" hidden="1" customWidth="1" outlineLevel="1" collapsed="1"/>
    <col min="35" max="35" width="7.42578125" style="723" hidden="1" customWidth="1" outlineLevel="1"/>
    <col min="36" max="36" width="7.42578125" style="683" hidden="1" customWidth="1" outlineLevel="1"/>
    <col min="37" max="37" width="7.42578125" style="723" hidden="1" customWidth="1" outlineLevel="1"/>
    <col min="38" max="38" width="7.42578125" style="683" hidden="1" customWidth="1" outlineLevel="1"/>
    <col min="39" max="39" width="7.42578125" style="723" hidden="1" customWidth="1" outlineLevel="1"/>
    <col min="40" max="40" width="7.42578125" style="683" hidden="1" customWidth="1" outlineLevel="1"/>
    <col min="41" max="41" width="7.42578125" style="723" hidden="1" customWidth="1" outlineLevel="1"/>
    <col min="42" max="42" width="7.42578125" style="683" hidden="1" customWidth="1" outlineLevel="1" collapsed="1"/>
    <col min="43" max="43" width="7.42578125" style="723" hidden="1" customWidth="1" outlineLevel="1"/>
    <col min="44" max="44" width="7.42578125" style="683" hidden="1" customWidth="1" outlineLevel="1" collapsed="1"/>
    <col min="45" max="45" width="7.42578125" style="723" hidden="1" customWidth="1" outlineLevel="1"/>
    <col min="46" max="46" width="7.42578125" style="683" hidden="1" customWidth="1" outlineLevel="1" collapsed="1"/>
    <col min="47" max="47" width="7.42578125" style="723" hidden="1" customWidth="1" outlineLevel="1"/>
    <col min="48" max="48" width="7.42578125" style="683" hidden="1" customWidth="1" outlineLevel="1" collapsed="1"/>
    <col min="49" max="49" width="7.42578125" style="723" hidden="1" customWidth="1" outlineLevel="1"/>
    <col min="50" max="50" width="7.42578125" style="683" hidden="1" customWidth="1" outlineLevel="1" collapsed="1"/>
    <col min="51" max="51" width="7.42578125" style="723" hidden="1" customWidth="1" outlineLevel="1"/>
    <col min="52" max="52" width="7.42578125" style="683" hidden="1" customWidth="1" outlineLevel="1" collapsed="1"/>
    <col min="53" max="53" width="7.42578125" style="723" hidden="1" customWidth="1" outlineLevel="1"/>
    <col min="54" max="54" width="7.42578125" style="683" hidden="1" customWidth="1" outlineLevel="1" collapsed="1"/>
    <col min="55" max="55" width="7.42578125" style="723" hidden="1" customWidth="1" outlineLevel="1"/>
    <col min="56" max="56" width="7.42578125" style="683" hidden="1" customWidth="1" outlineLevel="1" collapsed="1"/>
    <col min="57" max="57" width="7.42578125" style="723" hidden="1" customWidth="1" outlineLevel="1"/>
    <col min="58" max="58" width="7.42578125" style="683" hidden="1" customWidth="1" outlineLevel="1" collapsed="1"/>
    <col min="59" max="59" width="7.42578125" style="723" hidden="1" customWidth="1" outlineLevel="1"/>
    <col min="60" max="60" width="7.42578125" style="683" hidden="1" customWidth="1" outlineLevel="1" collapsed="1"/>
    <col min="61" max="61" width="7.42578125" style="723" hidden="1" customWidth="1" outlineLevel="1"/>
    <col min="62" max="62" width="7.42578125" style="683" hidden="1" customWidth="1" outlineLevel="1" collapsed="1"/>
    <col min="63" max="63" width="7.42578125" style="723" hidden="1" customWidth="1" outlineLevel="1"/>
    <col min="64" max="64" width="7.42578125" style="683" hidden="1" customWidth="1" outlineLevel="1" collapsed="1"/>
    <col min="65" max="65" width="7.42578125" style="723" hidden="1" customWidth="1" outlineLevel="1"/>
    <col min="66" max="66" width="7.42578125" style="683" hidden="1" customWidth="1" outlineLevel="1"/>
    <col min="67" max="67" width="7.42578125" style="723" hidden="1" customWidth="1" outlineLevel="1"/>
    <col min="68" max="68" width="7.42578125" style="683" hidden="1" customWidth="1" outlineLevel="1"/>
    <col min="69" max="69" width="7.42578125" style="723" hidden="1" customWidth="1" outlineLevel="1"/>
    <col min="70" max="70" width="7.42578125" style="683" hidden="1" customWidth="1" outlineLevel="1"/>
    <col min="71" max="71" width="7.42578125" style="723" hidden="1" customWidth="1" outlineLevel="1"/>
    <col min="72" max="72" width="7.42578125" style="683" hidden="1" customWidth="1" outlineLevel="1"/>
    <col min="73" max="73" width="7.42578125" style="723" hidden="1" customWidth="1" outlineLevel="1"/>
    <col min="74" max="74" width="7.42578125" style="683" hidden="1" customWidth="1" outlineLevel="1"/>
    <col min="75" max="75" width="7.42578125" style="723" hidden="1" customWidth="1" outlineLevel="1"/>
    <col min="76" max="76" width="7.42578125" style="683" hidden="1" customWidth="1" outlineLevel="1"/>
    <col min="77" max="77" width="7.42578125" style="723" hidden="1" customWidth="1" outlineLevel="1"/>
    <col min="78" max="78" width="7.42578125" style="683" hidden="1" customWidth="1" outlineLevel="1"/>
    <col min="79" max="79" width="7.42578125" style="723" hidden="1" customWidth="1" outlineLevel="1"/>
    <col min="80" max="80" width="7.42578125" style="683" hidden="1" customWidth="1" outlineLevel="1"/>
    <col min="81" max="81" width="7.42578125" style="723" hidden="1" customWidth="1" outlineLevel="1"/>
    <col min="82" max="82" width="7.42578125" style="683" customWidth="1" collapsed="1"/>
    <col min="83" max="83" width="7.42578125" style="723" hidden="1" customWidth="1" outlineLevel="1"/>
    <col min="84" max="84" width="7.42578125" style="683" customWidth="1" collapsed="1"/>
    <col min="85" max="85" width="7.42578125" style="723" hidden="1" customWidth="1" outlineLevel="1"/>
    <col min="86" max="86" width="7.42578125" style="683" customWidth="1" collapsed="1"/>
    <col min="87" max="87" width="7.42578125" style="723" hidden="1" customWidth="1" outlineLevel="1"/>
    <col min="88" max="88" width="7.42578125" style="683" customWidth="1" collapsed="1"/>
    <col min="89" max="89" width="7.42578125" style="723" hidden="1" customWidth="1" outlineLevel="1"/>
    <col min="90" max="90" width="7.42578125" style="683" customWidth="1" collapsed="1"/>
    <col min="91" max="91" width="7.42578125" style="723" hidden="1" customWidth="1" outlineLevel="1"/>
    <col min="92" max="92" width="7.42578125" style="683" customWidth="1" collapsed="1"/>
    <col min="93" max="93" width="7.42578125" style="723" hidden="1" customWidth="1" outlineLevel="1"/>
    <col min="94" max="94" width="7.42578125" style="683" customWidth="1" collapsed="1"/>
    <col min="95" max="95" width="7.42578125" style="723" hidden="1" customWidth="1" outlineLevel="1"/>
    <col min="96" max="96" width="7.42578125" style="683" customWidth="1" collapsed="1"/>
    <col min="97" max="97" width="7.42578125" style="723" hidden="1" customWidth="1" outlineLevel="1"/>
    <col min="98" max="98" width="7.42578125" style="683" customWidth="1" collapsed="1"/>
    <col min="99" max="99" width="7.42578125" style="723" hidden="1" customWidth="1" outlineLevel="1"/>
    <col min="100" max="100" width="7.42578125" style="683" customWidth="1" collapsed="1"/>
    <col min="101" max="101" width="7.42578125" style="723" hidden="1" customWidth="1" outlineLevel="1"/>
    <col min="102" max="102" width="7.42578125" style="683" customWidth="1" collapsed="1"/>
    <col min="103" max="103" width="7.42578125" style="723" hidden="1" customWidth="1" outlineLevel="1"/>
    <col min="104" max="104" width="7.42578125" style="683" customWidth="1" collapsed="1"/>
    <col min="105" max="105" width="7.42578125" style="723" hidden="1" customWidth="1" outlineLevel="1"/>
    <col min="106" max="106" width="0.85546875" style="723" customWidth="1" collapsed="1"/>
    <col min="107" max="107" width="7.42578125" style="683" hidden="1" customWidth="1" outlineLevel="1"/>
    <col min="108" max="108" width="7.42578125" style="723" hidden="1" customWidth="1" outlineLevel="1"/>
    <col min="109" max="109" width="7.42578125" style="683" hidden="1" customWidth="1" outlineLevel="1"/>
    <col min="110" max="110" width="7.42578125" style="723" hidden="1" customWidth="1" outlineLevel="1"/>
    <col min="111" max="111" width="7.42578125" style="683" hidden="1" customWidth="1" outlineLevel="1"/>
    <col min="112" max="112" width="7.42578125" style="723" hidden="1" customWidth="1" outlineLevel="1"/>
    <col min="113" max="113" width="7.42578125" style="683" hidden="1" customWidth="1" outlineLevel="1"/>
    <col min="114" max="114" width="7.42578125" style="723" hidden="1" customWidth="1" outlineLevel="1"/>
    <col min="115" max="115" width="7.42578125" style="683" hidden="1" customWidth="1" outlineLevel="1"/>
    <col min="116" max="116" width="7.42578125" style="723" hidden="1" customWidth="1" outlineLevel="1"/>
    <col min="117" max="117" width="7.42578125" style="683" hidden="1" customWidth="1" outlineLevel="1" collapsed="1"/>
    <col min="118" max="118" width="7.42578125" style="723" hidden="1" customWidth="1" outlineLevel="1"/>
    <col min="119" max="119" width="7.42578125" style="683" hidden="1" customWidth="1" outlineLevel="1" collapsed="1"/>
    <col min="120" max="120" width="7.42578125" style="723" hidden="1" customWidth="1" outlineLevel="1"/>
    <col min="121" max="121" width="7.42578125" style="683" hidden="1" customWidth="1" outlineLevel="1" collapsed="1"/>
    <col min="122" max="122" width="7.42578125" style="723" hidden="1" customWidth="1" outlineLevel="1"/>
    <col min="123" max="123" width="7.42578125" style="683" hidden="1" customWidth="1" outlineLevel="1"/>
    <col min="124" max="124" width="7.42578125" style="723" hidden="1" customWidth="1" outlineLevel="1"/>
    <col min="125" max="125" width="7.42578125" style="683" customWidth="1" collapsed="1"/>
    <col min="126" max="126" width="7.42578125" style="723" hidden="1" customWidth="1" outlineLevel="1"/>
    <col min="127" max="127" width="7.42578125" style="683" customWidth="1" collapsed="1"/>
    <col min="128" max="128" width="7.42578125" style="723" hidden="1" customWidth="1" outlineLevel="1"/>
    <col min="129" max="129" width="7.42578125" style="683" customWidth="1" collapsed="1"/>
    <col min="130" max="130" width="7.42578125" style="723" hidden="1" customWidth="1" outlineLevel="1"/>
    <col min="131" max="131" width="7.42578125" style="683" customWidth="1" collapsed="1"/>
    <col min="132" max="132" width="7.42578125" style="723" hidden="1" customWidth="1" outlineLevel="1"/>
    <col min="133" max="133" width="7.42578125" style="683" customWidth="1" collapsed="1"/>
    <col min="134" max="134" width="7.42578125" style="723" hidden="1" customWidth="1" outlineLevel="1"/>
    <col min="135" max="135" width="7.42578125" style="683" customWidth="1" collapsed="1"/>
    <col min="136" max="136" width="7.42578125" style="723" hidden="1" customWidth="1" outlineLevel="1"/>
    <col min="137" max="137" width="7.42578125" style="683" customWidth="1" collapsed="1"/>
    <col min="138" max="138" width="7.42578125" style="723" hidden="1" customWidth="1" outlineLevel="1"/>
    <col min="139" max="139" width="7.42578125" style="683" customWidth="1" collapsed="1"/>
    <col min="140" max="140" width="7.42578125" style="723" hidden="1" customWidth="1" outlineLevel="1"/>
    <col min="141" max="141" width="7.42578125" style="683" customWidth="1" collapsed="1"/>
    <col min="142" max="142" width="7.42578125" style="723" hidden="1" customWidth="1" outlineLevel="1"/>
    <col min="143" max="143" width="7.42578125" style="684" customWidth="1" collapsed="1"/>
    <col min="144" max="16384" width="9.140625" style="5"/>
  </cols>
  <sheetData>
    <row r="1" spans="1:143" s="774" customFormat="1" ht="21.95" customHeight="1" x14ac:dyDescent="0.3">
      <c r="A1" s="770" t="str">
        <f>INPUT!B4</f>
        <v>Lincoln National</v>
      </c>
      <c r="B1" s="771"/>
      <c r="C1" s="772"/>
      <c r="D1" s="771"/>
      <c r="E1" s="773"/>
      <c r="F1" s="771"/>
      <c r="G1" s="773"/>
      <c r="H1" s="771"/>
      <c r="I1" s="773"/>
      <c r="J1" s="771"/>
      <c r="K1" s="772"/>
      <c r="L1" s="771"/>
      <c r="M1" s="772"/>
      <c r="N1" s="771"/>
      <c r="O1" s="772"/>
      <c r="P1" s="771"/>
      <c r="Q1" s="772"/>
      <c r="R1" s="771"/>
      <c r="S1" s="772"/>
      <c r="T1" s="771"/>
      <c r="U1" s="772"/>
      <c r="V1" s="771"/>
      <c r="W1" s="772"/>
      <c r="X1" s="771"/>
      <c r="Y1" s="772"/>
      <c r="Z1" s="771"/>
      <c r="AA1" s="772"/>
      <c r="AB1" s="771"/>
      <c r="AC1" s="772"/>
      <c r="AD1" s="771"/>
      <c r="AE1" s="772"/>
      <c r="AF1" s="771"/>
      <c r="AG1" s="772"/>
      <c r="AH1" s="771"/>
      <c r="AI1" s="772"/>
      <c r="AJ1" s="771"/>
      <c r="AK1" s="772"/>
      <c r="AL1" s="771"/>
      <c r="AM1" s="772"/>
      <c r="AN1" s="771"/>
      <c r="AO1" s="772"/>
      <c r="AP1" s="771"/>
      <c r="AQ1" s="772"/>
      <c r="AR1" s="771"/>
      <c r="AS1" s="772"/>
      <c r="AT1" s="771"/>
      <c r="AU1" s="772"/>
      <c r="AV1" s="771"/>
      <c r="AW1" s="772"/>
      <c r="AX1" s="771"/>
      <c r="AY1" s="772"/>
      <c r="AZ1" s="771"/>
      <c r="BA1" s="772"/>
      <c r="BB1" s="771"/>
      <c r="BC1" s="772"/>
      <c r="BD1" s="771"/>
      <c r="BE1" s="772"/>
      <c r="BF1" s="771"/>
      <c r="BG1" s="772"/>
      <c r="BH1" s="771"/>
      <c r="BI1" s="772"/>
      <c r="BJ1" s="771"/>
      <c r="BK1" s="772"/>
      <c r="BL1" s="771"/>
      <c r="BM1" s="772"/>
      <c r="BN1" s="771"/>
      <c r="BO1" s="772"/>
      <c r="BP1" s="771"/>
      <c r="BQ1" s="772"/>
      <c r="BR1" s="771"/>
      <c r="BS1" s="772"/>
      <c r="BT1" s="771"/>
      <c r="BU1" s="772"/>
      <c r="BV1" s="771"/>
      <c r="BW1" s="772"/>
      <c r="BX1" s="771"/>
      <c r="BY1" s="772"/>
      <c r="BZ1" s="771"/>
      <c r="CA1" s="772"/>
      <c r="CB1" s="771"/>
      <c r="CC1" s="772"/>
      <c r="CD1" s="771"/>
      <c r="CE1" s="772"/>
      <c r="CF1" s="771"/>
      <c r="CG1" s="772"/>
      <c r="CH1" s="771"/>
      <c r="CI1" s="772"/>
      <c r="CJ1" s="771"/>
      <c r="CK1" s="772"/>
      <c r="CL1" s="771"/>
      <c r="CM1" s="772"/>
      <c r="CN1" s="771"/>
      <c r="CO1" s="772"/>
      <c r="CP1" s="771"/>
      <c r="CQ1" s="772"/>
      <c r="CR1" s="771"/>
      <c r="CS1" s="772"/>
      <c r="CT1" s="771"/>
      <c r="CU1" s="772"/>
      <c r="CV1" s="771"/>
      <c r="CW1" s="772"/>
      <c r="CX1" s="771"/>
      <c r="CY1" s="772"/>
      <c r="CZ1" s="771"/>
      <c r="DA1" s="772"/>
      <c r="DB1" s="772"/>
      <c r="DC1" s="771"/>
      <c r="DD1" s="772"/>
      <c r="DE1" s="771"/>
      <c r="DF1" s="772"/>
      <c r="DG1" s="771"/>
      <c r="DH1" s="772"/>
      <c r="DI1" s="771"/>
      <c r="DJ1" s="772"/>
      <c r="DK1" s="771"/>
      <c r="DL1" s="772"/>
      <c r="DM1" s="771"/>
      <c r="DN1" s="772"/>
      <c r="DO1" s="771"/>
      <c r="DP1" s="772"/>
      <c r="DQ1" s="771"/>
      <c r="DR1" s="772"/>
      <c r="DS1" s="771"/>
      <c r="DT1" s="772"/>
      <c r="DU1" s="771"/>
      <c r="DV1" s="772"/>
      <c r="DW1" s="771"/>
      <c r="DX1" s="772"/>
      <c r="DY1" s="771"/>
      <c r="DZ1" s="772"/>
      <c r="EA1" s="771"/>
      <c r="EB1" s="772"/>
      <c r="EC1" s="771"/>
      <c r="ED1" s="772"/>
      <c r="EE1" s="771"/>
      <c r="EF1" s="772"/>
      <c r="EG1" s="771"/>
      <c r="EH1" s="772"/>
      <c r="EI1" s="771"/>
      <c r="EJ1" s="772"/>
      <c r="EK1" s="771"/>
      <c r="EL1" s="772"/>
      <c r="EM1" s="773"/>
    </row>
    <row r="2" spans="1:143" ht="12.75" customHeight="1" x14ac:dyDescent="0.2">
      <c r="A2" s="685" t="s">
        <v>556</v>
      </c>
      <c r="B2" s="4"/>
      <c r="C2" s="496"/>
      <c r="D2" s="4"/>
      <c r="E2" s="686"/>
      <c r="F2" s="4"/>
      <c r="G2" s="686"/>
      <c r="H2" s="4"/>
      <c r="I2" s="686"/>
      <c r="J2" s="4"/>
      <c r="K2" s="496"/>
      <c r="L2" s="4"/>
      <c r="M2" s="496"/>
      <c r="N2" s="4"/>
      <c r="O2" s="496"/>
      <c r="P2" s="4"/>
      <c r="Q2" s="496"/>
      <c r="R2" s="4"/>
      <c r="S2" s="496"/>
      <c r="T2" s="4"/>
      <c r="U2" s="496"/>
      <c r="V2" s="4"/>
      <c r="W2" s="496"/>
      <c r="X2" s="4"/>
      <c r="Y2" s="496"/>
      <c r="Z2" s="4"/>
      <c r="AA2" s="496"/>
      <c r="AB2" s="4"/>
      <c r="AC2" s="496"/>
      <c r="AD2" s="4"/>
      <c r="AE2" s="496"/>
      <c r="AF2" s="4"/>
      <c r="AG2" s="496"/>
      <c r="AH2" s="4"/>
      <c r="AI2" s="496"/>
      <c r="AJ2" s="4"/>
      <c r="AK2" s="496"/>
      <c r="AL2" s="4"/>
      <c r="AM2" s="496"/>
      <c r="AN2" s="4"/>
      <c r="AO2" s="496"/>
      <c r="AP2" s="4"/>
      <c r="AQ2" s="496"/>
      <c r="AR2" s="4"/>
      <c r="AS2" s="496"/>
      <c r="AT2" s="4"/>
      <c r="AU2" s="496"/>
      <c r="AV2" s="4"/>
      <c r="AW2" s="496"/>
      <c r="AX2" s="4"/>
      <c r="AY2" s="496"/>
      <c r="AZ2" s="4"/>
      <c r="BA2" s="496"/>
      <c r="BB2" s="4"/>
      <c r="BC2" s="496"/>
      <c r="BD2" s="4"/>
      <c r="BE2" s="496"/>
      <c r="BF2" s="4"/>
      <c r="BG2" s="496"/>
      <c r="BH2" s="4"/>
      <c r="BI2" s="496"/>
      <c r="BJ2" s="4"/>
      <c r="BK2" s="496"/>
      <c r="BL2" s="4"/>
      <c r="BM2" s="496"/>
      <c r="BN2" s="4"/>
      <c r="BO2" s="496"/>
      <c r="BP2" s="4"/>
      <c r="BQ2" s="496"/>
      <c r="BR2" s="4"/>
      <c r="BS2" s="496"/>
      <c r="BT2" s="4"/>
      <c r="BU2" s="496"/>
      <c r="BV2" s="4"/>
      <c r="BW2" s="496"/>
      <c r="BX2" s="4"/>
      <c r="BY2" s="496"/>
      <c r="BZ2" s="4"/>
      <c r="CA2" s="496"/>
      <c r="CB2" s="4"/>
      <c r="CC2" s="496"/>
      <c r="CD2" s="4"/>
      <c r="CE2" s="496"/>
      <c r="CF2" s="4"/>
      <c r="CG2" s="496"/>
      <c r="CH2" s="4"/>
      <c r="CI2" s="496"/>
      <c r="CJ2" s="4"/>
      <c r="CK2" s="496"/>
      <c r="CL2" s="4"/>
      <c r="CM2" s="496"/>
      <c r="CN2" s="4"/>
      <c r="CO2" s="496"/>
      <c r="CP2" s="4"/>
      <c r="CQ2" s="496"/>
      <c r="CR2" s="4"/>
      <c r="CS2" s="496"/>
      <c r="CT2" s="4"/>
      <c r="CU2" s="496"/>
      <c r="CV2" s="4"/>
      <c r="CW2" s="496"/>
      <c r="CX2" s="4"/>
      <c r="CY2" s="496"/>
      <c r="CZ2" s="4"/>
      <c r="DA2" s="496"/>
      <c r="DB2" s="496"/>
      <c r="DC2" s="4"/>
      <c r="DD2" s="496"/>
      <c r="DE2" s="4"/>
      <c r="DF2" s="496"/>
      <c r="DG2" s="4"/>
      <c r="DH2" s="496"/>
      <c r="DI2" s="4"/>
      <c r="DJ2" s="496"/>
      <c r="DK2" s="4"/>
      <c r="DL2" s="496"/>
      <c r="DM2" s="4"/>
      <c r="DN2" s="496"/>
      <c r="DO2" s="4"/>
      <c r="DP2" s="496"/>
      <c r="DQ2" s="4"/>
      <c r="DR2" s="496"/>
      <c r="DS2" s="4"/>
      <c r="DT2" s="496"/>
      <c r="DU2" s="4"/>
      <c r="DV2" s="496"/>
      <c r="DW2" s="4"/>
      <c r="DX2" s="496"/>
      <c r="DY2" s="4"/>
      <c r="DZ2" s="496"/>
      <c r="EA2" s="4"/>
      <c r="EB2" s="496"/>
      <c r="EC2" s="4"/>
      <c r="ED2" s="496"/>
      <c r="EE2" s="4"/>
      <c r="EF2" s="496"/>
      <c r="EG2" s="4"/>
      <c r="EH2" s="496"/>
      <c r="EI2" s="4"/>
      <c r="EJ2" s="496"/>
      <c r="EK2" s="4"/>
      <c r="EL2" s="496"/>
      <c r="EM2" s="686"/>
    </row>
    <row r="3" spans="1:143" s="3" customFormat="1" ht="12.75" customHeight="1" x14ac:dyDescent="0.2">
      <c r="A3" s="560" t="s">
        <v>391</v>
      </c>
      <c r="B3" s="704"/>
      <c r="C3" s="724" t="str">
        <f>INPUT!AZ$4</f>
        <v>1Q06/</v>
      </c>
      <c r="D3" s="704"/>
      <c r="E3" s="724" t="str">
        <f>INPUT!BB$4</f>
        <v>2Q06/</v>
      </c>
      <c r="F3" s="704"/>
      <c r="G3" s="724" t="str">
        <f>INPUT!BD$4</f>
        <v>3Q06/</v>
      </c>
      <c r="H3" s="704"/>
      <c r="I3" s="724" t="str">
        <f>INPUT!BF$4</f>
        <v>4Q06/</v>
      </c>
      <c r="J3" s="724"/>
      <c r="K3" s="724" t="str">
        <f>INPUT!BH$4</f>
        <v>1Q07/</v>
      </c>
      <c r="L3" s="704"/>
      <c r="M3" s="724" t="str">
        <f>INPUT!BJ$4</f>
        <v>2Q07/</v>
      </c>
      <c r="N3" s="704"/>
      <c r="O3" s="724" t="str">
        <f>INPUT!BL$4</f>
        <v>3Q07/</v>
      </c>
      <c r="P3" s="704"/>
      <c r="Q3" s="724" t="str">
        <f>INPUT!BN$4</f>
        <v>4Q07/</v>
      </c>
      <c r="R3" s="704"/>
      <c r="S3" s="724" t="str">
        <f>INPUT!BP$4</f>
        <v>1Q08/</v>
      </c>
      <c r="T3" s="704"/>
      <c r="U3" s="724" t="str">
        <f>INPUT!BR$4</f>
        <v>2Q08/</v>
      </c>
      <c r="V3" s="704"/>
      <c r="W3" s="724" t="str">
        <f>INPUT!BT$4</f>
        <v>3Q08/</v>
      </c>
      <c r="X3" s="704"/>
      <c r="Y3" s="724" t="str">
        <f>INPUT!BV$4</f>
        <v>4Q08/</v>
      </c>
      <c r="Z3" s="704"/>
      <c r="AA3" s="724" t="str">
        <f>INPUT!BX$4</f>
        <v>1Q09/</v>
      </c>
      <c r="AB3" s="704"/>
      <c r="AC3" s="724" t="str">
        <f>INPUT!BZ$4</f>
        <v>2Q09/</v>
      </c>
      <c r="AD3" s="704"/>
      <c r="AE3" s="724" t="str">
        <f>INPUT!CB$4</f>
        <v>3Q09/</v>
      </c>
      <c r="AF3" s="704"/>
      <c r="AG3" s="724" t="str">
        <f>INPUT!CD$4</f>
        <v>4Q09/</v>
      </c>
      <c r="AH3" s="704"/>
      <c r="AI3" s="724" t="str">
        <f>INPUT!CF$4</f>
        <v>1Q10/</v>
      </c>
      <c r="AJ3" s="704"/>
      <c r="AK3" s="724" t="str">
        <f>INPUT!CH$4</f>
        <v>2Q10/</v>
      </c>
      <c r="AL3" s="704"/>
      <c r="AM3" s="724" t="str">
        <f>INPUT!CJ$4</f>
        <v>3Q10/</v>
      </c>
      <c r="AN3" s="704"/>
      <c r="AO3" s="724" t="str">
        <f>INPUT!CL$4</f>
        <v>4Q10/</v>
      </c>
      <c r="AP3" s="704"/>
      <c r="AQ3" s="724" t="str">
        <f>INPUT!CN$4</f>
        <v>1Q11/</v>
      </c>
      <c r="AR3" s="704"/>
      <c r="AS3" s="724" t="str">
        <f>INPUT!CP$4</f>
        <v>2Q11/</v>
      </c>
      <c r="AT3" s="704"/>
      <c r="AU3" s="724" t="str">
        <f>INPUT!CR$4</f>
        <v>3Q11/</v>
      </c>
      <c r="AV3" s="704"/>
      <c r="AW3" s="724" t="str">
        <f>INPUT!CT$4</f>
        <v>4Q11/</v>
      </c>
      <c r="AX3" s="704"/>
      <c r="AY3" s="724" t="str">
        <f>INPUT!CV$4</f>
        <v>1Q12/</v>
      </c>
      <c r="AZ3" s="704"/>
      <c r="BA3" s="724" t="str">
        <f>INPUT!CX$4</f>
        <v>2Q12/</v>
      </c>
      <c r="BB3" s="704"/>
      <c r="BC3" s="724" t="str">
        <f>INPUT!CZ$4</f>
        <v>3Q12/</v>
      </c>
      <c r="BD3" s="704"/>
      <c r="BE3" s="724" t="str">
        <f>INPUT!DB$4</f>
        <v>4Q12/</v>
      </c>
      <c r="BF3" s="704"/>
      <c r="BG3" s="724" t="str">
        <f>INPUT!DD$4</f>
        <v>1Q13/</v>
      </c>
      <c r="BH3" s="704"/>
      <c r="BI3" s="724" t="str">
        <f>INPUT!DF$4</f>
        <v>2Q13/</v>
      </c>
      <c r="BJ3" s="704"/>
      <c r="BK3" s="724" t="str">
        <f>INPUT!DH$4</f>
        <v>3Q13/</v>
      </c>
      <c r="BL3" s="704"/>
      <c r="BM3" s="724" t="str">
        <f>INPUT!DJ$4</f>
        <v>4Q13/</v>
      </c>
      <c r="BN3" s="704"/>
      <c r="BO3" s="724" t="str">
        <f>INPUT!DL$4</f>
        <v>1Q14/</v>
      </c>
      <c r="BP3" s="704"/>
      <c r="BQ3" s="724" t="str">
        <f>INPUT!DN$4</f>
        <v>2Q14/</v>
      </c>
      <c r="BR3" s="704"/>
      <c r="BS3" s="724" t="str">
        <f>INPUT!DP$4</f>
        <v>3Q14/</v>
      </c>
      <c r="BT3" s="704"/>
      <c r="BU3" s="724" t="str">
        <f>INPUT!DR$4</f>
        <v>4Q14/</v>
      </c>
      <c r="BV3" s="704"/>
      <c r="BW3" s="724" t="str">
        <f>INPUT!DT$4</f>
        <v>1Q15/</v>
      </c>
      <c r="BX3" s="704"/>
      <c r="BY3" s="724" t="str">
        <f>INPUT!DV$4</f>
        <v>2Q15/</v>
      </c>
      <c r="BZ3" s="704"/>
      <c r="CA3" s="724" t="str">
        <f>INPUT!DX$4</f>
        <v>3Q15/</v>
      </c>
      <c r="CB3" s="704"/>
      <c r="CC3" s="724" t="str">
        <f>INPUT!DZ$4</f>
        <v>4Q15/</v>
      </c>
      <c r="CD3" s="704"/>
      <c r="CE3" s="724" t="str">
        <f>INPUT!EB$4</f>
        <v>1Q16/</v>
      </c>
      <c r="CF3" s="704"/>
      <c r="CG3" s="724" t="str">
        <f>INPUT!ED$4</f>
        <v>2Q16/</v>
      </c>
      <c r="CH3" s="704"/>
      <c r="CI3" s="724" t="str">
        <f>INPUT!EF$4</f>
        <v>3Q16/</v>
      </c>
      <c r="CJ3" s="704"/>
      <c r="CK3" s="724" t="str">
        <f>INPUT!EH$4</f>
        <v>4Q16/</v>
      </c>
      <c r="CL3" s="704"/>
      <c r="CM3" s="724" t="str">
        <f>INPUT!EJ$4</f>
        <v>1Q17/</v>
      </c>
      <c r="CN3" s="704"/>
      <c r="CO3" s="724" t="str">
        <f>INPUT!EL$4</f>
        <v>2Q17/</v>
      </c>
      <c r="CP3" s="704"/>
      <c r="CQ3" s="724" t="str">
        <f>INPUT!EN$4</f>
        <v>3Q17/</v>
      </c>
      <c r="CR3" s="704"/>
      <c r="CS3" s="724" t="str">
        <f>INPUT!EP$4</f>
        <v>4Q17/</v>
      </c>
      <c r="CT3" s="704"/>
      <c r="CU3" s="724" t="str">
        <f>INPUT!ER$4</f>
        <v>1Q18E/</v>
      </c>
      <c r="CV3" s="704"/>
      <c r="CW3" s="724" t="str">
        <f>INPUT!ET$4</f>
        <v>2Q18E/</v>
      </c>
      <c r="CX3" s="704"/>
      <c r="CY3" s="724" t="str">
        <f>INPUT!EV$4</f>
        <v>3Q18E/</v>
      </c>
      <c r="CZ3" s="704"/>
      <c r="DA3" s="724" t="str">
        <f>INPUT!EX$4</f>
        <v>4Q18E/</v>
      </c>
      <c r="DB3" s="724"/>
      <c r="DC3" s="704"/>
      <c r="DD3" s="724" t="str">
        <f>INPUT!FQ$4</f>
        <v>2005/</v>
      </c>
      <c r="DE3" s="704"/>
      <c r="DF3" s="724" t="str">
        <f>INPUT!FS$4</f>
        <v>2006/</v>
      </c>
      <c r="DG3" s="704"/>
      <c r="DH3" s="724" t="str">
        <f>INPUT!FU$4</f>
        <v>2007/</v>
      </c>
      <c r="DI3" s="704"/>
      <c r="DJ3" s="724" t="str">
        <f>INPUT!FW$4</f>
        <v>2008/</v>
      </c>
      <c r="DK3" s="704"/>
      <c r="DL3" s="724" t="str">
        <f>INPUT!FY$4</f>
        <v>2009/</v>
      </c>
      <c r="DM3" s="704"/>
      <c r="DN3" s="724" t="str">
        <f>INPUT!GA$4</f>
        <v>2010/</v>
      </c>
      <c r="DO3" s="704"/>
      <c r="DP3" s="724" t="str">
        <f>INPUT!GC$4</f>
        <v>2011/</v>
      </c>
      <c r="DQ3" s="704"/>
      <c r="DR3" s="724" t="str">
        <f>INPUT!GE$4</f>
        <v>2012/</v>
      </c>
      <c r="DS3" s="704"/>
      <c r="DT3" s="724" t="str">
        <f>INPUT!GG$4</f>
        <v>2013/</v>
      </c>
      <c r="DU3" s="704"/>
      <c r="DV3" s="724" t="str">
        <f>INPUT!GI$4</f>
        <v>2014/</v>
      </c>
      <c r="DW3" s="704"/>
      <c r="DX3" s="724" t="str">
        <f>INPUT!GK$4</f>
        <v>2015/</v>
      </c>
      <c r="DY3" s="704"/>
      <c r="DZ3" s="724" t="str">
        <f>INPUT!GM$4</f>
        <v>2016/</v>
      </c>
      <c r="EA3" s="704"/>
      <c r="EB3" s="724" t="str">
        <f>INPUT!GO$4</f>
        <v>2017/</v>
      </c>
      <c r="EC3" s="704"/>
      <c r="ED3" s="724" t="str">
        <f>INPUT!GQ$4</f>
        <v>2018E/</v>
      </c>
      <c r="EE3" s="704"/>
      <c r="EF3" s="724" t="str">
        <f>INPUT!GS$4</f>
        <v>2019E/</v>
      </c>
      <c r="EG3" s="704"/>
      <c r="EH3" s="724" t="str">
        <f>INPUT!GU$4</f>
        <v>2020E/</v>
      </c>
      <c r="EI3" s="704"/>
      <c r="EJ3" s="724" t="str">
        <f>INPUT!GW$4</f>
        <v>2021E/</v>
      </c>
      <c r="EK3" s="704"/>
      <c r="EL3" s="724" t="str">
        <f>INPUT!GY$4</f>
        <v>2022E/</v>
      </c>
      <c r="EM3" s="705" t="str">
        <f>INPUT!GZ$4</f>
        <v>5-Yr</v>
      </c>
    </row>
    <row r="4" spans="1:143" s="3" customFormat="1" ht="12.75" customHeight="1" x14ac:dyDescent="0.2">
      <c r="A4" s="693"/>
      <c r="B4" s="692"/>
      <c r="C4" s="496" t="str">
        <f>INPUT!AZ$5</f>
        <v>1Q05</v>
      </c>
      <c r="D4" s="692"/>
      <c r="E4" s="496" t="str">
        <f>INPUT!BB$5</f>
        <v>2Q05</v>
      </c>
      <c r="F4" s="692"/>
      <c r="G4" s="496" t="str">
        <f>INPUT!BD$5</f>
        <v>3Q05</v>
      </c>
      <c r="H4" s="692"/>
      <c r="I4" s="496" t="str">
        <f>INPUT!BF$5</f>
        <v>4Q05</v>
      </c>
      <c r="J4" s="496"/>
      <c r="K4" s="496" t="str">
        <f>INPUT!BH$5</f>
        <v>1Q06</v>
      </c>
      <c r="L4" s="692"/>
      <c r="M4" s="496" t="str">
        <f>INPUT!BJ$5</f>
        <v>2Q06</v>
      </c>
      <c r="N4" s="692"/>
      <c r="O4" s="496" t="str">
        <f>INPUT!BL$5</f>
        <v>3Q06</v>
      </c>
      <c r="P4" s="692"/>
      <c r="Q4" s="496" t="str">
        <f>INPUT!BN$5</f>
        <v>4Q06</v>
      </c>
      <c r="R4" s="692"/>
      <c r="S4" s="496" t="str">
        <f>INPUT!BP$5</f>
        <v>1Q07</v>
      </c>
      <c r="T4" s="692"/>
      <c r="U4" s="496" t="str">
        <f>INPUT!BR$5</f>
        <v>2Q07</v>
      </c>
      <c r="V4" s="692"/>
      <c r="W4" s="496" t="str">
        <f>INPUT!BT$5</f>
        <v>3Q07</v>
      </c>
      <c r="X4" s="692"/>
      <c r="Y4" s="496" t="str">
        <f>INPUT!BV$5</f>
        <v>4Q07</v>
      </c>
      <c r="Z4" s="692"/>
      <c r="AA4" s="496" t="str">
        <f>INPUT!BX$5</f>
        <v>1Q08</v>
      </c>
      <c r="AB4" s="692"/>
      <c r="AC4" s="496" t="str">
        <f>INPUT!BZ$5</f>
        <v>2Q08</v>
      </c>
      <c r="AD4" s="692"/>
      <c r="AE4" s="496" t="str">
        <f>INPUT!CB$5</f>
        <v>3Q08</v>
      </c>
      <c r="AF4" s="692"/>
      <c r="AG4" s="496" t="str">
        <f>INPUT!CD$5</f>
        <v>4Q08</v>
      </c>
      <c r="AH4" s="692"/>
      <c r="AI4" s="496" t="str">
        <f>INPUT!CF$5</f>
        <v>1Q09</v>
      </c>
      <c r="AJ4" s="692"/>
      <c r="AK4" s="496" t="str">
        <f>INPUT!CH$5</f>
        <v>2Q09</v>
      </c>
      <c r="AL4" s="692"/>
      <c r="AM4" s="496" t="str">
        <f>INPUT!CJ$5</f>
        <v>3Q09</v>
      </c>
      <c r="AN4" s="692"/>
      <c r="AO4" s="496" t="str">
        <f>INPUT!CL$5</f>
        <v>4Q09</v>
      </c>
      <c r="AP4" s="692"/>
      <c r="AQ4" s="496" t="str">
        <f>INPUT!CN$5</f>
        <v>1Q10</v>
      </c>
      <c r="AR4" s="692"/>
      <c r="AS4" s="496" t="str">
        <f>INPUT!CP$5</f>
        <v>2Q10</v>
      </c>
      <c r="AT4" s="692"/>
      <c r="AU4" s="496" t="str">
        <f>INPUT!CR$5</f>
        <v>3Q10</v>
      </c>
      <c r="AV4" s="692"/>
      <c r="AW4" s="496" t="str">
        <f>INPUT!CT$5</f>
        <v>4Q10</v>
      </c>
      <c r="AX4" s="692"/>
      <c r="AY4" s="496" t="str">
        <f>INPUT!CV$5</f>
        <v>1Q11</v>
      </c>
      <c r="AZ4" s="692"/>
      <c r="BA4" s="496" t="str">
        <f>INPUT!CX$5</f>
        <v>2Q11</v>
      </c>
      <c r="BB4" s="692"/>
      <c r="BC4" s="496" t="str">
        <f>INPUT!CZ$5</f>
        <v>3Q11</v>
      </c>
      <c r="BD4" s="692"/>
      <c r="BE4" s="496" t="str">
        <f>INPUT!DB$5</f>
        <v>4Q11</v>
      </c>
      <c r="BF4" s="692"/>
      <c r="BG4" s="496" t="str">
        <f>INPUT!DD$5</f>
        <v>1Q12</v>
      </c>
      <c r="BH4" s="692"/>
      <c r="BI4" s="496" t="str">
        <f>INPUT!DF$5</f>
        <v>2Q12</v>
      </c>
      <c r="BJ4" s="692"/>
      <c r="BK4" s="496" t="str">
        <f>INPUT!DH$5</f>
        <v>3Q12</v>
      </c>
      <c r="BL4" s="692"/>
      <c r="BM4" s="496" t="str">
        <f>INPUT!DJ$5</f>
        <v>4Q12</v>
      </c>
      <c r="BN4" s="692"/>
      <c r="BO4" s="496" t="str">
        <f>INPUT!DL$5</f>
        <v>1Q13</v>
      </c>
      <c r="BP4" s="692"/>
      <c r="BQ4" s="496" t="str">
        <f>INPUT!DN$5</f>
        <v>2Q13</v>
      </c>
      <c r="BR4" s="692"/>
      <c r="BS4" s="496" t="str">
        <f>INPUT!DP$5</f>
        <v>3Q13</v>
      </c>
      <c r="BT4" s="692"/>
      <c r="BU4" s="496" t="str">
        <f>INPUT!DR$5</f>
        <v>4Q13</v>
      </c>
      <c r="BV4" s="692"/>
      <c r="BW4" s="496" t="str">
        <f>INPUT!DT$5</f>
        <v>1Q14</v>
      </c>
      <c r="BX4" s="692"/>
      <c r="BY4" s="496" t="str">
        <f>INPUT!DV$5</f>
        <v>2Q14</v>
      </c>
      <c r="BZ4" s="692"/>
      <c r="CA4" s="496" t="str">
        <f>INPUT!DX$5</f>
        <v>3Q14</v>
      </c>
      <c r="CB4" s="692"/>
      <c r="CC4" s="496" t="str">
        <f>INPUT!DZ$5</f>
        <v>4Q14</v>
      </c>
      <c r="CD4" s="692"/>
      <c r="CE4" s="496" t="str">
        <f>INPUT!EB$5</f>
        <v>1Q15</v>
      </c>
      <c r="CF4" s="692"/>
      <c r="CG4" s="496" t="str">
        <f>INPUT!ED$5</f>
        <v>2Q15</v>
      </c>
      <c r="CH4" s="692"/>
      <c r="CI4" s="496" t="str">
        <f>INPUT!EF$5</f>
        <v>3Q15</v>
      </c>
      <c r="CJ4" s="692"/>
      <c r="CK4" s="496" t="str">
        <f>INPUT!EH$5</f>
        <v>4Q15</v>
      </c>
      <c r="CL4" s="692"/>
      <c r="CM4" s="496" t="str">
        <f>INPUT!EJ$5</f>
        <v>1Q16</v>
      </c>
      <c r="CN4" s="692"/>
      <c r="CO4" s="496" t="str">
        <f>INPUT!EL$5</f>
        <v>2Q16</v>
      </c>
      <c r="CP4" s="692"/>
      <c r="CQ4" s="496" t="str">
        <f>INPUT!EN$5</f>
        <v>3Q16</v>
      </c>
      <c r="CR4" s="692"/>
      <c r="CS4" s="496" t="str">
        <f>INPUT!EP$5</f>
        <v>4Q16</v>
      </c>
      <c r="CT4" s="692"/>
      <c r="CU4" s="496" t="str">
        <f>INPUT!ER$5</f>
        <v>1Q17</v>
      </c>
      <c r="CV4" s="692"/>
      <c r="CW4" s="496" t="str">
        <f>INPUT!ET$5</f>
        <v>2Q17</v>
      </c>
      <c r="CX4" s="692"/>
      <c r="CY4" s="496" t="str">
        <f>INPUT!EV$5</f>
        <v>3Q17</v>
      </c>
      <c r="CZ4" s="692"/>
      <c r="DA4" s="496" t="str">
        <f>INPUT!EX$5</f>
        <v>4Q17</v>
      </c>
      <c r="DB4" s="496"/>
      <c r="DC4" s="692"/>
      <c r="DD4" s="686">
        <f>INPUT!FQ$5</f>
        <v>2004</v>
      </c>
      <c r="DE4" s="692"/>
      <c r="DF4" s="686">
        <f>INPUT!FS$5</f>
        <v>2005</v>
      </c>
      <c r="DG4" s="692"/>
      <c r="DH4" s="686">
        <f>INPUT!FU$5</f>
        <v>2006</v>
      </c>
      <c r="DI4" s="692"/>
      <c r="DJ4" s="686">
        <f>INPUT!FW$5</f>
        <v>2007</v>
      </c>
      <c r="DK4" s="692"/>
      <c r="DL4" s="725">
        <f>INPUT!FY$5</f>
        <v>2008</v>
      </c>
      <c r="DM4" s="692"/>
      <c r="DN4" s="725" t="str">
        <f>INPUT!GA$5</f>
        <v>2009</v>
      </c>
      <c r="DO4" s="692"/>
      <c r="DP4" s="725" t="str">
        <f>INPUT!GC$5</f>
        <v>2010</v>
      </c>
      <c r="DQ4" s="692"/>
      <c r="DR4" s="725" t="str">
        <f>INPUT!GE$5</f>
        <v>2011</v>
      </c>
      <c r="DS4" s="692"/>
      <c r="DT4" s="725" t="str">
        <f>INPUT!GG$5</f>
        <v>2012</v>
      </c>
      <c r="DU4" s="692"/>
      <c r="DV4" s="725" t="str">
        <f>INPUT!GI$5</f>
        <v>2013</v>
      </c>
      <c r="DW4" s="692"/>
      <c r="DX4" s="725" t="str">
        <f>INPUT!GK$5</f>
        <v>2014</v>
      </c>
      <c r="DY4" s="692"/>
      <c r="DZ4" s="725" t="str">
        <f>INPUT!GM$5</f>
        <v>2015</v>
      </c>
      <c r="EA4" s="692"/>
      <c r="EB4" s="725" t="str">
        <f>INPUT!GO$5</f>
        <v>2016</v>
      </c>
      <c r="EC4" s="692"/>
      <c r="ED4" s="725" t="str">
        <f>INPUT!GQ$5</f>
        <v>2017</v>
      </c>
      <c r="EE4" s="692"/>
      <c r="EF4" s="725" t="str">
        <f>INPUT!GS$5</f>
        <v>2018E</v>
      </c>
      <c r="EG4" s="692"/>
      <c r="EH4" s="725" t="str">
        <f>INPUT!GU$5</f>
        <v>2019E</v>
      </c>
      <c r="EI4" s="692"/>
      <c r="EJ4" s="725" t="str">
        <f>INPUT!GW$5</f>
        <v>2020E</v>
      </c>
      <c r="EK4" s="692"/>
      <c r="EL4" s="725" t="str">
        <f>INPUT!GY$5</f>
        <v>2021E</v>
      </c>
      <c r="EM4" s="686" t="str">
        <f>INPUT!GZ$5</f>
        <v>CAGR</v>
      </c>
    </row>
    <row r="5" spans="1:143" s="3" customFormat="1" ht="12.75" customHeight="1" x14ac:dyDescent="0.2">
      <c r="A5" s="694"/>
      <c r="B5" s="695" t="str">
        <f>INPUT!AY$6</f>
        <v>1Q06</v>
      </c>
      <c r="C5" s="726" t="str">
        <f>INPUT!AZ$6</f>
        <v>% Chg</v>
      </c>
      <c r="D5" s="695" t="str">
        <f>INPUT!BA$6</f>
        <v>2Q06</v>
      </c>
      <c r="E5" s="726" t="str">
        <f>INPUT!BB$6</f>
        <v>% Chg</v>
      </c>
      <c r="F5" s="695" t="str">
        <f>INPUT!BC$6</f>
        <v>3Q06</v>
      </c>
      <c r="G5" s="726" t="str">
        <f>INPUT!BD$6</f>
        <v>% Chg</v>
      </c>
      <c r="H5" s="695" t="str">
        <f>INPUT!BE$6</f>
        <v>4Q06</v>
      </c>
      <c r="I5" s="726" t="str">
        <f>INPUT!BF$6</f>
        <v>% Chg</v>
      </c>
      <c r="J5" s="695" t="str">
        <f>INPUT!BG$6</f>
        <v>1Q07</v>
      </c>
      <c r="K5" s="726" t="str">
        <f>INPUT!BH$6</f>
        <v>% Chg</v>
      </c>
      <c r="L5" s="695" t="str">
        <f>INPUT!BI$6</f>
        <v>2Q07</v>
      </c>
      <c r="M5" s="726" t="str">
        <f>INPUT!BJ$6</f>
        <v>% Chg</v>
      </c>
      <c r="N5" s="695" t="str">
        <f>INPUT!BK$6</f>
        <v>3Q07</v>
      </c>
      <c r="O5" s="726" t="str">
        <f>INPUT!BL$6</f>
        <v>% Chg</v>
      </c>
      <c r="P5" s="695" t="str">
        <f>INPUT!BM$6</f>
        <v>4Q07</v>
      </c>
      <c r="Q5" s="726" t="str">
        <f>INPUT!BN$6</f>
        <v>% Chg</v>
      </c>
      <c r="R5" s="695" t="str">
        <f>INPUT!BO$6</f>
        <v>1Q08</v>
      </c>
      <c r="S5" s="726" t="str">
        <f>INPUT!BP$6</f>
        <v>% Chg</v>
      </c>
      <c r="T5" s="695" t="str">
        <f>INPUT!BQ$6</f>
        <v>2Q08</v>
      </c>
      <c r="U5" s="726" t="str">
        <f>INPUT!BR$6</f>
        <v>% Chg</v>
      </c>
      <c r="V5" s="695" t="str">
        <f>INPUT!BS$6</f>
        <v>3Q08</v>
      </c>
      <c r="W5" s="726" t="str">
        <f>INPUT!BT$6</f>
        <v>% Chg</v>
      </c>
      <c r="X5" s="695" t="str">
        <f>INPUT!BU$6</f>
        <v>4Q08</v>
      </c>
      <c r="Y5" s="726" t="str">
        <f>INPUT!BV$6</f>
        <v>% Chg</v>
      </c>
      <c r="Z5" s="695" t="str">
        <f>INPUT!BW$6</f>
        <v>1Q09</v>
      </c>
      <c r="AA5" s="726" t="str">
        <f>INPUT!BX$6</f>
        <v>% Chg</v>
      </c>
      <c r="AB5" s="695" t="str">
        <f>INPUT!BY$6</f>
        <v>2Q09</v>
      </c>
      <c r="AC5" s="726" t="str">
        <f>INPUT!BZ$6</f>
        <v>% Chg</v>
      </c>
      <c r="AD5" s="695" t="str">
        <f>INPUT!CA$6</f>
        <v>3Q09</v>
      </c>
      <c r="AE5" s="726" t="str">
        <f>INPUT!CB$6</f>
        <v>% Chg</v>
      </c>
      <c r="AF5" s="695" t="str">
        <f>INPUT!CC$6</f>
        <v>4Q09</v>
      </c>
      <c r="AG5" s="726" t="str">
        <f>INPUT!CD$6</f>
        <v>% Chg</v>
      </c>
      <c r="AH5" s="695" t="str">
        <f>INPUT!CE$6</f>
        <v>1Q10</v>
      </c>
      <c r="AI5" s="726" t="str">
        <f>INPUT!CF$6</f>
        <v>% Chg</v>
      </c>
      <c r="AJ5" s="695" t="str">
        <f>INPUT!CG$6</f>
        <v>2Q10</v>
      </c>
      <c r="AK5" s="726" t="str">
        <f>INPUT!CH$6</f>
        <v>% Chg</v>
      </c>
      <c r="AL5" s="695" t="str">
        <f>INPUT!CI$6</f>
        <v>3Q10</v>
      </c>
      <c r="AM5" s="726" t="str">
        <f>INPUT!CJ$6</f>
        <v>% Chg</v>
      </c>
      <c r="AN5" s="695" t="str">
        <f>INPUT!CK$6</f>
        <v>4Q10</v>
      </c>
      <c r="AO5" s="726" t="str">
        <f>INPUT!CL$6</f>
        <v>% Chg</v>
      </c>
      <c r="AP5" s="695" t="str">
        <f>INPUT!CM$6</f>
        <v>1Q11</v>
      </c>
      <c r="AQ5" s="726" t="str">
        <f>INPUT!CN$6</f>
        <v>% Chg</v>
      </c>
      <c r="AR5" s="695" t="str">
        <f>INPUT!CO$6</f>
        <v>2Q11</v>
      </c>
      <c r="AS5" s="726" t="str">
        <f>INPUT!CP$6</f>
        <v>% Chg</v>
      </c>
      <c r="AT5" s="695" t="str">
        <f>INPUT!CQ$6</f>
        <v>3Q11</v>
      </c>
      <c r="AU5" s="726" t="str">
        <f>INPUT!CR$6</f>
        <v>% Chg</v>
      </c>
      <c r="AV5" s="695" t="str">
        <f>INPUT!CS$6</f>
        <v>4Q11</v>
      </c>
      <c r="AW5" s="726" t="str">
        <f>INPUT!CT$6</f>
        <v>% Chg</v>
      </c>
      <c r="AX5" s="695" t="str">
        <f>INPUT!CU$6</f>
        <v>1Q12</v>
      </c>
      <c r="AY5" s="726" t="str">
        <f>INPUT!CV$6</f>
        <v>% Chg</v>
      </c>
      <c r="AZ5" s="695" t="str">
        <f>INPUT!CW$6</f>
        <v>2Q12</v>
      </c>
      <c r="BA5" s="726" t="str">
        <f>INPUT!CX$6</f>
        <v>% Chg</v>
      </c>
      <c r="BB5" s="695" t="str">
        <f>INPUT!CY$6</f>
        <v>3Q12</v>
      </c>
      <c r="BC5" s="726" t="str">
        <f>INPUT!CZ$6</f>
        <v>% Chg</v>
      </c>
      <c r="BD5" s="695" t="str">
        <f>INPUT!DA$6</f>
        <v>4Q12</v>
      </c>
      <c r="BE5" s="726" t="str">
        <f>INPUT!DB$6</f>
        <v>% Chg</v>
      </c>
      <c r="BF5" s="695" t="str">
        <f>INPUT!DC$6</f>
        <v>1Q13</v>
      </c>
      <c r="BG5" s="726" t="str">
        <f>INPUT!DD$6</f>
        <v>% Chg</v>
      </c>
      <c r="BH5" s="695" t="str">
        <f>INPUT!DE$6</f>
        <v>2Q13</v>
      </c>
      <c r="BI5" s="726" t="str">
        <f>INPUT!DF$6</f>
        <v>% Chg</v>
      </c>
      <c r="BJ5" s="695" t="str">
        <f>INPUT!DG$6</f>
        <v>3Q13</v>
      </c>
      <c r="BK5" s="726" t="str">
        <f>INPUT!DH$6</f>
        <v>% Chg</v>
      </c>
      <c r="BL5" s="695" t="str">
        <f>INPUT!DI$6</f>
        <v>4Q13</v>
      </c>
      <c r="BM5" s="726" t="str">
        <f>INPUT!DJ$6</f>
        <v>% Chg</v>
      </c>
      <c r="BN5" s="695" t="str">
        <f>INPUT!DK$6</f>
        <v>1Q14</v>
      </c>
      <c r="BO5" s="726" t="str">
        <f>INPUT!DL$6</f>
        <v>% Chg</v>
      </c>
      <c r="BP5" s="695" t="str">
        <f>INPUT!DM$6</f>
        <v>2Q14</v>
      </c>
      <c r="BQ5" s="726" t="str">
        <f>INPUT!DN$6</f>
        <v>% Chg</v>
      </c>
      <c r="BR5" s="695" t="str">
        <f>INPUT!DO$6</f>
        <v>3Q14</v>
      </c>
      <c r="BS5" s="726" t="str">
        <f>INPUT!DP$6</f>
        <v>% Chg</v>
      </c>
      <c r="BT5" s="695" t="str">
        <f>INPUT!DQ$6</f>
        <v>4Q14</v>
      </c>
      <c r="BU5" s="726" t="str">
        <f>INPUT!DR$6</f>
        <v>% Chg</v>
      </c>
      <c r="BV5" s="695" t="str">
        <f>INPUT!DS$6</f>
        <v>1Q15</v>
      </c>
      <c r="BW5" s="726" t="str">
        <f>INPUT!DT$6</f>
        <v>% Chg</v>
      </c>
      <c r="BX5" s="695" t="str">
        <f>INPUT!DU$6</f>
        <v>2Q15</v>
      </c>
      <c r="BY5" s="726" t="str">
        <f>INPUT!DV$6</f>
        <v>% Chg</v>
      </c>
      <c r="BZ5" s="695" t="str">
        <f>INPUT!DW$6</f>
        <v>3Q15</v>
      </c>
      <c r="CA5" s="726" t="str">
        <f>INPUT!DX$6</f>
        <v>% Chg</v>
      </c>
      <c r="CB5" s="695" t="str">
        <f>INPUT!DY$6</f>
        <v>4Q15</v>
      </c>
      <c r="CC5" s="726" t="str">
        <f>INPUT!DZ$6</f>
        <v>% Chg</v>
      </c>
      <c r="CD5" s="695" t="str">
        <f>INPUT!EA$6</f>
        <v>1Q16</v>
      </c>
      <c r="CE5" s="726" t="str">
        <f>INPUT!EB$6</f>
        <v>% Chg</v>
      </c>
      <c r="CF5" s="695" t="str">
        <f>INPUT!EC$6</f>
        <v>2Q16</v>
      </c>
      <c r="CG5" s="726" t="str">
        <f>INPUT!ED$6</f>
        <v>% Chg</v>
      </c>
      <c r="CH5" s="695" t="str">
        <f>INPUT!EE$6</f>
        <v>3Q16</v>
      </c>
      <c r="CI5" s="726" t="str">
        <f>INPUT!EF$6</f>
        <v>% Chg</v>
      </c>
      <c r="CJ5" s="695" t="str">
        <f>INPUT!EG$6</f>
        <v>4Q16</v>
      </c>
      <c r="CK5" s="726" t="str">
        <f>INPUT!EH$6</f>
        <v>% Chg</v>
      </c>
      <c r="CL5" s="695" t="str">
        <f>INPUT!EI$6</f>
        <v>1Q17</v>
      </c>
      <c r="CM5" s="726" t="str">
        <f>INPUT!EJ$6</f>
        <v>% Chg</v>
      </c>
      <c r="CN5" s="695" t="str">
        <f>INPUT!EK$6</f>
        <v>2Q17</v>
      </c>
      <c r="CO5" s="726" t="str">
        <f>INPUT!EL$6</f>
        <v>% Chg</v>
      </c>
      <c r="CP5" s="695" t="str">
        <f>INPUT!EM$6</f>
        <v>3Q17</v>
      </c>
      <c r="CQ5" s="726" t="str">
        <f>INPUT!EN$6</f>
        <v>% Chg</v>
      </c>
      <c r="CR5" s="695" t="str">
        <f>INPUT!EO$6</f>
        <v>4Q17</v>
      </c>
      <c r="CS5" s="726" t="str">
        <f>INPUT!EP$6</f>
        <v>% Chg</v>
      </c>
      <c r="CT5" s="695" t="str">
        <f>INPUT!EQ$6</f>
        <v>1Q18E</v>
      </c>
      <c r="CU5" s="726" t="str">
        <f>INPUT!ER$6</f>
        <v>% Chg</v>
      </c>
      <c r="CV5" s="695" t="str">
        <f>INPUT!ES$6</f>
        <v>2Q18E</v>
      </c>
      <c r="CW5" s="726" t="str">
        <f>INPUT!ET$6</f>
        <v>% Chg</v>
      </c>
      <c r="CX5" s="695" t="str">
        <f>INPUT!EU$6</f>
        <v>3Q18E</v>
      </c>
      <c r="CY5" s="726" t="str">
        <f>INPUT!EV$6</f>
        <v>% Chg</v>
      </c>
      <c r="CZ5" s="695" t="str">
        <f>INPUT!EW$6</f>
        <v>4Q18E</v>
      </c>
      <c r="DA5" s="726" t="str">
        <f>INPUT!EX$6</f>
        <v>% Chg</v>
      </c>
      <c r="DB5" s="726"/>
      <c r="DC5" s="699">
        <f>INPUT!FP$6</f>
        <v>2005</v>
      </c>
      <c r="DD5" s="726" t="str">
        <f>INPUT!FQ$6</f>
        <v>% Chg</v>
      </c>
      <c r="DE5" s="699">
        <f>INPUT!FR$6</f>
        <v>2006</v>
      </c>
      <c r="DF5" s="726" t="str">
        <f>INPUT!FS$6</f>
        <v>% Chg</v>
      </c>
      <c r="DG5" s="699">
        <f>INPUT!FT$6</f>
        <v>2007</v>
      </c>
      <c r="DH5" s="726" t="str">
        <f>INPUT!FU$6</f>
        <v>% Chg</v>
      </c>
      <c r="DI5" s="699">
        <f>INPUT!FV$6</f>
        <v>2008</v>
      </c>
      <c r="DJ5" s="726" t="str">
        <f>INPUT!FW$6</f>
        <v>% Chg</v>
      </c>
      <c r="DK5" s="695" t="str">
        <f>INPUT!FX$6</f>
        <v>2009</v>
      </c>
      <c r="DL5" s="726" t="str">
        <f>INPUT!FY$6</f>
        <v>% Chg</v>
      </c>
      <c r="DM5" s="695" t="str">
        <f>INPUT!FZ$6</f>
        <v>2010</v>
      </c>
      <c r="DN5" s="726" t="str">
        <f>INPUT!GA$6</f>
        <v>% Chg</v>
      </c>
      <c r="DO5" s="695" t="str">
        <f>INPUT!GB$6</f>
        <v>2011</v>
      </c>
      <c r="DP5" s="726" t="str">
        <f>INPUT!GC$6</f>
        <v>% Chg</v>
      </c>
      <c r="DQ5" s="695" t="str">
        <f>INPUT!GD$6</f>
        <v>2012</v>
      </c>
      <c r="DR5" s="726" t="str">
        <f>INPUT!GE$6</f>
        <v>% Chg</v>
      </c>
      <c r="DS5" s="695" t="str">
        <f>INPUT!GF$6</f>
        <v>2013</v>
      </c>
      <c r="DT5" s="726" t="str">
        <f>INPUT!GG$6</f>
        <v>% Chg</v>
      </c>
      <c r="DU5" s="695" t="str">
        <f>INPUT!GH$6</f>
        <v>2014</v>
      </c>
      <c r="DV5" s="726" t="str">
        <f>INPUT!GI$6</f>
        <v>% Chg</v>
      </c>
      <c r="DW5" s="695" t="str">
        <f>INPUT!GJ$6</f>
        <v>2015</v>
      </c>
      <c r="DX5" s="726" t="str">
        <f>INPUT!GK$6</f>
        <v>% Chg</v>
      </c>
      <c r="DY5" s="695" t="str">
        <f>INPUT!GL$6</f>
        <v>2016</v>
      </c>
      <c r="DZ5" s="726" t="str">
        <f>INPUT!GM$6</f>
        <v>% Chg</v>
      </c>
      <c r="EA5" s="695" t="str">
        <f>INPUT!GN$6</f>
        <v>2017</v>
      </c>
      <c r="EB5" s="726" t="str">
        <f>INPUT!GO$6</f>
        <v>% Chg</v>
      </c>
      <c r="EC5" s="695" t="str">
        <f>INPUT!GP$6</f>
        <v>2018E</v>
      </c>
      <c r="ED5" s="726" t="str">
        <f>INPUT!GQ$6</f>
        <v>% Chg</v>
      </c>
      <c r="EE5" s="695" t="str">
        <f>INPUT!GR$6</f>
        <v>2019E</v>
      </c>
      <c r="EF5" s="726" t="str">
        <f>INPUT!GS$6</f>
        <v>% Chg</v>
      </c>
      <c r="EG5" s="695" t="str">
        <f>INPUT!GT$6</f>
        <v>2020E</v>
      </c>
      <c r="EH5" s="726" t="str">
        <f>INPUT!GU$6</f>
        <v>% Chg</v>
      </c>
      <c r="EI5" s="695" t="str">
        <f>INPUT!GV$6</f>
        <v>2021E</v>
      </c>
      <c r="EJ5" s="726" t="str">
        <f>INPUT!GW$6</f>
        <v>% Chg</v>
      </c>
      <c r="EK5" s="695" t="str">
        <f>INPUT!GX$6</f>
        <v>2022E</v>
      </c>
      <c r="EL5" s="726" t="str">
        <f>INPUT!GY$6</f>
        <v>% Chg</v>
      </c>
      <c r="EM5" s="696" t="str">
        <f>INPUT!GZ$6</f>
        <v>(%)</v>
      </c>
    </row>
    <row r="6" spans="1:143" ht="12.75" customHeight="1" x14ac:dyDescent="0.2">
      <c r="A6" s="700"/>
      <c r="B6" s="16"/>
      <c r="C6" s="507"/>
      <c r="D6" s="16"/>
      <c r="E6" s="507"/>
      <c r="F6" s="16"/>
      <c r="G6" s="507"/>
      <c r="H6" s="16"/>
      <c r="I6" s="507"/>
      <c r="J6" s="16"/>
      <c r="K6" s="507"/>
      <c r="L6" s="16"/>
      <c r="M6" s="507"/>
      <c r="N6" s="16"/>
      <c r="O6" s="507"/>
      <c r="P6" s="16"/>
      <c r="Q6" s="507"/>
      <c r="R6" s="16"/>
      <c r="S6" s="507"/>
      <c r="T6" s="16"/>
      <c r="U6" s="507"/>
      <c r="V6" s="16"/>
      <c r="W6" s="507"/>
      <c r="X6" s="16"/>
      <c r="Y6" s="507"/>
      <c r="Z6" s="16"/>
      <c r="AA6" s="507"/>
      <c r="AB6" s="16"/>
      <c r="AC6" s="507"/>
      <c r="AD6" s="16"/>
      <c r="AE6" s="507"/>
      <c r="AF6" s="16"/>
      <c r="AG6" s="507"/>
      <c r="AH6" s="16"/>
      <c r="AI6" s="507"/>
      <c r="AJ6" s="16"/>
      <c r="AK6" s="507"/>
      <c r="AL6" s="16"/>
      <c r="AM6" s="507"/>
      <c r="AN6" s="16"/>
      <c r="AO6" s="507"/>
      <c r="AP6" s="16"/>
      <c r="AQ6" s="507"/>
      <c r="AR6" s="16"/>
      <c r="AS6" s="507"/>
      <c r="AT6" s="16"/>
      <c r="AU6" s="507"/>
      <c r="AV6" s="16"/>
      <c r="AW6" s="507"/>
      <c r="AX6" s="16"/>
      <c r="AY6" s="507"/>
      <c r="AZ6" s="16"/>
      <c r="BA6" s="507"/>
      <c r="BB6" s="16"/>
      <c r="BC6" s="507"/>
      <c r="BD6" s="16"/>
      <c r="BE6" s="507"/>
      <c r="BF6" s="16"/>
      <c r="BG6" s="507"/>
      <c r="BH6" s="16"/>
      <c r="BI6" s="507"/>
      <c r="BJ6" s="16"/>
      <c r="BK6" s="507"/>
      <c r="BL6" s="16"/>
      <c r="BM6" s="507"/>
      <c r="BN6" s="16"/>
      <c r="BO6" s="507"/>
      <c r="BP6" s="16"/>
      <c r="BQ6" s="507"/>
      <c r="BR6" s="16"/>
      <c r="BS6" s="507"/>
      <c r="BT6" s="16"/>
      <c r="BU6" s="507"/>
      <c r="BV6" s="16"/>
      <c r="BW6" s="507"/>
      <c r="BX6" s="16"/>
      <c r="BY6" s="507"/>
      <c r="BZ6" s="16"/>
      <c r="CA6" s="507"/>
      <c r="CB6" s="16"/>
      <c r="CC6" s="507"/>
      <c r="CD6" s="16"/>
      <c r="CE6" s="507"/>
      <c r="CF6" s="16"/>
      <c r="CG6" s="507"/>
      <c r="CH6" s="16"/>
      <c r="CI6" s="507"/>
      <c r="CJ6" s="16"/>
      <c r="CK6" s="507"/>
      <c r="CL6" s="16"/>
      <c r="CM6" s="507"/>
      <c r="CN6" s="16"/>
      <c r="CO6" s="507"/>
      <c r="CP6" s="16"/>
      <c r="CQ6" s="507"/>
      <c r="CR6" s="16"/>
      <c r="CS6" s="507"/>
      <c r="CT6" s="16"/>
      <c r="CU6" s="507"/>
      <c r="CV6" s="16"/>
      <c r="CW6" s="507"/>
      <c r="CX6" s="16"/>
      <c r="CY6" s="507"/>
      <c r="CZ6" s="16"/>
      <c r="DA6" s="507"/>
      <c r="DB6" s="507"/>
      <c r="DC6" s="16"/>
      <c r="DD6" s="507"/>
      <c r="DE6" s="16"/>
      <c r="DF6" s="507"/>
      <c r="DG6" s="16"/>
      <c r="DH6" s="507"/>
      <c r="DI6" s="16"/>
      <c r="DJ6" s="507"/>
      <c r="DK6" s="16"/>
      <c r="DL6" s="507"/>
      <c r="DM6" s="16"/>
      <c r="DN6" s="507"/>
      <c r="DO6" s="16"/>
      <c r="DP6" s="507"/>
      <c r="DQ6" s="16"/>
      <c r="DR6" s="507"/>
      <c r="DS6" s="16"/>
      <c r="DT6" s="507"/>
      <c r="DU6" s="16"/>
      <c r="DV6" s="507"/>
      <c r="DW6" s="16"/>
      <c r="DX6" s="507"/>
      <c r="DY6" s="16"/>
      <c r="DZ6" s="507"/>
      <c r="EA6" s="16"/>
      <c r="EB6" s="507"/>
      <c r="EC6" s="16"/>
      <c r="ED6" s="507"/>
      <c r="EE6" s="16"/>
      <c r="EF6" s="507"/>
      <c r="EG6" s="16"/>
      <c r="EH6" s="507"/>
      <c r="EI6" s="16"/>
      <c r="EJ6" s="507"/>
      <c r="EK6" s="16"/>
      <c r="EL6" s="507"/>
      <c r="EM6" s="687"/>
    </row>
    <row r="7" spans="1:143" ht="12.75" customHeight="1" x14ac:dyDescent="0.2">
      <c r="A7" s="691" t="s">
        <v>256</v>
      </c>
      <c r="B7" s="16"/>
      <c r="C7" s="507"/>
      <c r="D7" s="16"/>
      <c r="E7" s="507"/>
      <c r="F7" s="16"/>
      <c r="G7" s="507"/>
      <c r="H7" s="16"/>
      <c r="I7" s="507"/>
      <c r="J7" s="16"/>
      <c r="K7" s="507"/>
      <c r="L7" s="16"/>
      <c r="M7" s="507"/>
      <c r="N7" s="16"/>
      <c r="O7" s="507"/>
      <c r="P7" s="16"/>
      <c r="Q7" s="507"/>
      <c r="R7" s="16"/>
      <c r="S7" s="507"/>
      <c r="T7" s="16"/>
      <c r="U7" s="507"/>
      <c r="V7" s="16"/>
      <c r="W7" s="507"/>
      <c r="X7" s="16"/>
      <c r="Y7" s="507"/>
      <c r="Z7" s="16"/>
      <c r="AA7" s="507"/>
      <c r="AB7" s="16"/>
      <c r="AC7" s="507"/>
      <c r="AD7" s="16"/>
      <c r="AE7" s="507"/>
      <c r="AF7" s="16"/>
      <c r="AG7" s="507"/>
      <c r="AH7" s="16"/>
      <c r="AI7" s="507"/>
      <c r="AJ7" s="16"/>
      <c r="AK7" s="507"/>
      <c r="AL7" s="16"/>
      <c r="AM7" s="507"/>
      <c r="AN7" s="16"/>
      <c r="AO7" s="507"/>
      <c r="AP7" s="16"/>
      <c r="AQ7" s="507"/>
      <c r="AR7" s="16"/>
      <c r="AS7" s="507"/>
      <c r="AT7" s="16"/>
      <c r="AU7" s="507"/>
      <c r="AV7" s="16"/>
      <c r="AW7" s="507"/>
      <c r="AX7" s="16"/>
      <c r="AY7" s="507"/>
      <c r="AZ7" s="16"/>
      <c r="BA7" s="507"/>
      <c r="BB7" s="16"/>
      <c r="BC7" s="507"/>
      <c r="BD7" s="16"/>
      <c r="BE7" s="507"/>
      <c r="BF7" s="16"/>
      <c r="BG7" s="507"/>
      <c r="BH7" s="16"/>
      <c r="BI7" s="507"/>
      <c r="BJ7" s="16"/>
      <c r="BK7" s="507"/>
      <c r="BL7" s="16"/>
      <c r="BM7" s="507"/>
      <c r="BN7" s="16"/>
      <c r="BO7" s="507"/>
      <c r="BP7" s="16"/>
      <c r="BQ7" s="507"/>
      <c r="BR7" s="16"/>
      <c r="BS7" s="507"/>
      <c r="BT7" s="16"/>
      <c r="BU7" s="507"/>
      <c r="BV7" s="16"/>
      <c r="BW7" s="507"/>
      <c r="BX7" s="16"/>
      <c r="BY7" s="507"/>
      <c r="BZ7" s="16"/>
      <c r="CA7" s="507"/>
      <c r="CB7" s="16"/>
      <c r="CC7" s="507"/>
      <c r="CD7" s="16"/>
      <c r="CE7" s="507"/>
      <c r="CF7" s="16"/>
      <c r="CG7" s="507"/>
      <c r="CH7" s="16"/>
      <c r="CI7" s="507"/>
      <c r="CJ7" s="16"/>
      <c r="CK7" s="507"/>
      <c r="CL7" s="16"/>
      <c r="CM7" s="507"/>
      <c r="CN7" s="16"/>
      <c r="CO7" s="507"/>
      <c r="CP7" s="16"/>
      <c r="CQ7" s="507"/>
      <c r="CR7" s="16"/>
      <c r="CS7" s="507"/>
      <c r="CT7" s="16"/>
      <c r="CU7" s="507"/>
      <c r="CV7" s="16"/>
      <c r="CW7" s="507"/>
      <c r="CX7" s="16"/>
      <c r="CY7" s="507"/>
      <c r="CZ7" s="16"/>
      <c r="DA7" s="507"/>
      <c r="DB7" s="507"/>
      <c r="DC7" s="16"/>
      <c r="DD7" s="507"/>
      <c r="DE7" s="16"/>
      <c r="DF7" s="507"/>
      <c r="DG7" s="16"/>
      <c r="DH7" s="507"/>
      <c r="DI7" s="16"/>
      <c r="DJ7" s="507"/>
      <c r="DK7" s="16"/>
      <c r="DL7" s="507"/>
      <c r="DM7" s="16"/>
      <c r="DN7" s="507"/>
      <c r="DO7" s="16"/>
      <c r="DP7" s="507"/>
      <c r="DQ7" s="16"/>
      <c r="DR7" s="507"/>
      <c r="DS7" s="16"/>
      <c r="DT7" s="507"/>
      <c r="DU7" s="16"/>
      <c r="DV7" s="507"/>
      <c r="DW7" s="16"/>
      <c r="DX7" s="507"/>
      <c r="DY7" s="16"/>
      <c r="DZ7" s="507"/>
      <c r="EA7" s="16"/>
      <c r="EB7" s="507"/>
      <c r="EC7" s="16"/>
      <c r="ED7" s="507"/>
      <c r="EE7" s="16"/>
      <c r="EF7" s="507"/>
      <c r="EG7" s="16"/>
      <c r="EH7" s="507"/>
      <c r="EI7" s="16"/>
      <c r="EJ7" s="507"/>
      <c r="EK7" s="16"/>
      <c r="EL7" s="507"/>
      <c r="EM7" s="687"/>
    </row>
    <row r="8" spans="1:143" ht="12.75" customHeight="1" x14ac:dyDescent="0.2">
      <c r="A8" s="690" t="s">
        <v>109</v>
      </c>
      <c r="B8" s="151">
        <f>INPUT!AY116</f>
        <v>66.399999999999991</v>
      </c>
      <c r="C8" s="507"/>
      <c r="D8" s="151">
        <f>INPUT!BA116</f>
        <v>89.100000000000023</v>
      </c>
      <c r="E8" s="507"/>
      <c r="F8" s="151">
        <f>INPUT!BC116</f>
        <v>129.40000000000003</v>
      </c>
      <c r="G8" s="507"/>
      <c r="H8" s="151">
        <f>INPUT!BE116</f>
        <v>123.69999999999996</v>
      </c>
      <c r="I8" s="507"/>
      <c r="J8" s="151">
        <f>INPUT!BG116</f>
        <v>116.69999999999997</v>
      </c>
      <c r="K8" s="507">
        <f>INPUT!BH116</f>
        <v>75.753012048192758</v>
      </c>
      <c r="L8" s="151">
        <f>INPUT!BI116</f>
        <v>123.5</v>
      </c>
      <c r="M8" s="507">
        <f>INPUT!BJ116</f>
        <v>38.608305274971897</v>
      </c>
      <c r="N8" s="151">
        <f>INPUT!BK116</f>
        <v>125.9</v>
      </c>
      <c r="O8" s="507">
        <f>INPUT!BL116</f>
        <v>-2.704791344667723</v>
      </c>
      <c r="P8" s="151">
        <f>INPUT!BM116</f>
        <v>118.89999999999991</v>
      </c>
      <c r="Q8" s="507">
        <f>INPUT!BN116</f>
        <v>-3.8803556992724753</v>
      </c>
      <c r="R8" s="151">
        <f>INPUT!BO116</f>
        <v>117.90000000000003</v>
      </c>
      <c r="S8" s="507">
        <f>INPUT!BP116</f>
        <v>1.0282776349614942</v>
      </c>
      <c r="T8" s="151">
        <f>INPUT!BQ116</f>
        <v>116.20000000000007</v>
      </c>
      <c r="U8" s="507">
        <f>INPUT!BR116</f>
        <v>-5.9109311740890069</v>
      </c>
      <c r="V8" s="151">
        <f>INPUT!BS116</f>
        <v>130.90000000000003</v>
      </c>
      <c r="W8" s="507">
        <f>INPUT!BT116</f>
        <v>3.9714058776807226</v>
      </c>
      <c r="X8" s="151">
        <f>INPUT!BU116</f>
        <v>-171.7000000000001</v>
      </c>
      <c r="Y8" s="507" t="str">
        <f>INPUT!BV116</f>
        <v>NM</v>
      </c>
      <c r="Z8" s="151">
        <f>INPUT!BW116</f>
        <v>73.90000000000002</v>
      </c>
      <c r="AA8" s="507">
        <f>INPUT!BX116</f>
        <v>-37.319762510602203</v>
      </c>
      <c r="AB8" s="151">
        <f>INPUT!BY116</f>
        <v>65.40000000000002</v>
      </c>
      <c r="AC8" s="507">
        <f>INPUT!BZ116</f>
        <v>-43.717728055077473</v>
      </c>
      <c r="AD8" s="151">
        <f>INPUT!CA116</f>
        <v>94.5</v>
      </c>
      <c r="AE8" s="507">
        <f>INPUT!CB116</f>
        <v>-27.807486631016065</v>
      </c>
      <c r="AF8" s="151">
        <f>INPUT!CC116</f>
        <v>119.69999999999997</v>
      </c>
      <c r="AG8" s="507" t="str">
        <f>INPUT!CD116</f>
        <v>NM</v>
      </c>
      <c r="AH8" s="151">
        <f>INPUT!CE116</f>
        <v>118.69999999999996</v>
      </c>
      <c r="AI8" s="507">
        <f>INPUT!CF116</f>
        <v>60.62246278755066</v>
      </c>
      <c r="AJ8" s="151">
        <f>INPUT!CG116</f>
        <v>116.4</v>
      </c>
      <c r="AK8" s="507">
        <f>INPUT!CH116</f>
        <v>77.981651376146743</v>
      </c>
      <c r="AL8" s="151">
        <f>INPUT!CI116</f>
        <v>126.09999999999995</v>
      </c>
      <c r="AM8" s="507">
        <f>INPUT!CJ116</f>
        <v>33.43915343915338</v>
      </c>
      <c r="AN8" s="151">
        <f>INPUT!CK116</f>
        <v>123.19999999999997</v>
      </c>
      <c r="AO8" s="507">
        <f>INPUT!CL116</f>
        <v>2.9239766081871288</v>
      </c>
      <c r="AP8" s="151">
        <f>INPUT!CM116</f>
        <v>144.00000000000009</v>
      </c>
      <c r="AQ8" s="507">
        <f>INPUT!CN116</f>
        <v>21.314237573715356</v>
      </c>
      <c r="AR8" s="151">
        <f>INPUT!CO116</f>
        <v>144.79999999999993</v>
      </c>
      <c r="AS8" s="507">
        <f>INPUT!CP116</f>
        <v>24.398625429553199</v>
      </c>
      <c r="AT8" s="151">
        <f>INPUT!CQ116</f>
        <v>153.30000000000001</v>
      </c>
      <c r="AU8" s="507">
        <f>INPUT!CR116</f>
        <v>21.570182394924721</v>
      </c>
      <c r="AV8" s="151">
        <f>INPUT!CS116</f>
        <v>131</v>
      </c>
      <c r="AW8" s="507">
        <f>INPUT!CT116</f>
        <v>6.331168831168843</v>
      </c>
      <c r="AX8" s="151">
        <f>INPUT!CU116</f>
        <v>137</v>
      </c>
      <c r="AY8" s="507">
        <f>INPUT!CV116</f>
        <v>-4.8611111111111711</v>
      </c>
      <c r="AZ8" s="151">
        <f>INPUT!CW116</f>
        <v>158</v>
      </c>
      <c r="BA8" s="507">
        <f>INPUT!CX116</f>
        <v>9.1160220994475729</v>
      </c>
      <c r="BB8" s="151">
        <f>INPUT!CY116</f>
        <v>139</v>
      </c>
      <c r="BC8" s="507">
        <f>INPUT!CZ116</f>
        <v>-9.3281148075668678</v>
      </c>
      <c r="BD8" s="151">
        <f>INPUT!DA116</f>
        <v>162</v>
      </c>
      <c r="BE8" s="507">
        <f>INPUT!DB116</f>
        <v>23.664122137404586</v>
      </c>
      <c r="BF8" s="151">
        <f>INPUT!DC116</f>
        <v>159</v>
      </c>
      <c r="BG8" s="507">
        <f>INPUT!DD116</f>
        <v>16.058394160583944</v>
      </c>
      <c r="BH8" s="151">
        <f>INPUT!DE116</f>
        <v>195</v>
      </c>
      <c r="BI8" s="507">
        <f>INPUT!DF116</f>
        <v>23.417721518987335</v>
      </c>
      <c r="BJ8" s="151">
        <f>INPUT!DG116</f>
        <v>198</v>
      </c>
      <c r="BK8" s="507">
        <f>INPUT!DH116</f>
        <v>42.446043165467628</v>
      </c>
      <c r="BL8" s="151">
        <f>INPUT!DI116</f>
        <v>199</v>
      </c>
      <c r="BM8" s="507">
        <f>INPUT!DJ116</f>
        <v>22.839506172839496</v>
      </c>
      <c r="BN8" s="151">
        <f>INPUT!DK116</f>
        <v>216</v>
      </c>
      <c r="BO8" s="507">
        <f>INPUT!DL116</f>
        <v>35.849056603773576</v>
      </c>
      <c r="BP8" s="151">
        <f>INPUT!DM116</f>
        <v>227</v>
      </c>
      <c r="BQ8" s="507">
        <f>INPUT!DN116</f>
        <v>16.410256410256419</v>
      </c>
      <c r="BR8" s="151">
        <f>INPUT!DO116</f>
        <v>245</v>
      </c>
      <c r="BS8" s="507">
        <f>INPUT!DP116</f>
        <v>23.737373737373744</v>
      </c>
      <c r="BT8" s="151">
        <f>INPUT!DQ116</f>
        <v>237</v>
      </c>
      <c r="BU8" s="507">
        <f>INPUT!DR116</f>
        <v>19.095477386934668</v>
      </c>
      <c r="BV8" s="151">
        <f>INPUT!DS116</f>
        <v>239</v>
      </c>
      <c r="BW8" s="507">
        <f>INPUT!DT116</f>
        <v>10.64814814814814</v>
      </c>
      <c r="BX8" s="151">
        <f>INPUT!DU116</f>
        <v>255</v>
      </c>
      <c r="BY8" s="507">
        <f>INPUT!DV116</f>
        <v>12.334801762114544</v>
      </c>
      <c r="BZ8" s="151">
        <f>INPUT!DW116</f>
        <v>259</v>
      </c>
      <c r="CA8" s="507">
        <f>INPUT!DX116</f>
        <v>259</v>
      </c>
      <c r="CB8" s="151">
        <f>INPUT!DY116</f>
        <v>243</v>
      </c>
      <c r="CC8" s="507">
        <f>INPUT!DZ116</f>
        <v>2.5316455696202445</v>
      </c>
      <c r="CD8" s="151">
        <f>INPUT!EA116</f>
        <v>218</v>
      </c>
      <c r="CE8" s="507">
        <f>INPUT!EB116</f>
        <v>-8.786610878661083</v>
      </c>
      <c r="CF8" s="151">
        <f>INPUT!EC116</f>
        <v>235</v>
      </c>
      <c r="CG8" s="507">
        <f>INPUT!ED116</f>
        <v>-7.8431372549019667</v>
      </c>
      <c r="CH8" s="151">
        <f>INPUT!EE116</f>
        <v>240</v>
      </c>
      <c r="CI8" s="507">
        <f>INPUT!EF116</f>
        <v>-7.3359073359073328</v>
      </c>
      <c r="CJ8" s="151">
        <f>INPUT!EG116</f>
        <v>242</v>
      </c>
      <c r="CK8" s="507">
        <f>INPUT!EH116</f>
        <v>-0.41152263374485409</v>
      </c>
      <c r="CL8" s="151">
        <f>INPUT!EI116</f>
        <v>281</v>
      </c>
      <c r="CM8" s="507">
        <f>INPUT!EJ116</f>
        <v>28.899082568807334</v>
      </c>
      <c r="CN8" s="151">
        <f>INPUT!EK116</f>
        <v>251</v>
      </c>
      <c r="CO8" s="507">
        <f>INPUT!EL116</f>
        <v>6.8085106382978822</v>
      </c>
      <c r="CP8" s="151">
        <f>INPUT!EM116</f>
        <v>277</v>
      </c>
      <c r="CQ8" s="507">
        <f>INPUT!EN116</f>
        <v>15.416666666666657</v>
      </c>
      <c r="CR8" s="151">
        <f>INPUT!EO116</f>
        <v>265</v>
      </c>
      <c r="CS8" s="507">
        <f>INPUT!EP116</f>
        <v>9.5041322314049594</v>
      </c>
      <c r="CT8" s="151">
        <f>INPUT!EQ116</f>
        <v>280.45693245994198</v>
      </c>
      <c r="CU8" s="507">
        <f>INPUT!ER116</f>
        <v>-0.19326246977153794</v>
      </c>
      <c r="CV8" s="151">
        <f>INPUT!ES116</f>
        <v>279.8327531685664</v>
      </c>
      <c r="CW8" s="507">
        <f>INPUT!ET116</f>
        <v>11.48715265679936</v>
      </c>
      <c r="CX8" s="151">
        <f>INPUT!EU116</f>
        <v>283.56092073159573</v>
      </c>
      <c r="CY8" s="507">
        <f>INPUT!EV116</f>
        <v>2.368563441009286</v>
      </c>
      <c r="CZ8" s="151">
        <f>INPUT!EW116</f>
        <v>287.84454086704801</v>
      </c>
      <c r="DA8" s="507">
        <f>INPUT!EX116</f>
        <v>8.6205814592634091</v>
      </c>
      <c r="DB8" s="507"/>
      <c r="DC8" s="151">
        <f>INPUT!FP116</f>
        <v>252.2000000000001</v>
      </c>
      <c r="DD8" s="507">
        <f>INPUT!FQ116</f>
        <v>20.669856459330195</v>
      </c>
      <c r="DE8" s="151">
        <f>INPUT!FR116</f>
        <v>408.5999999999998</v>
      </c>
      <c r="DF8" s="507">
        <f>INPUT!FS116</f>
        <v>62.01427438540825</v>
      </c>
      <c r="DG8" s="151">
        <f>INPUT!FT116</f>
        <v>484.99999999999955</v>
      </c>
      <c r="DH8" s="507">
        <f>INPUT!FU116</f>
        <v>18.697993147332291</v>
      </c>
      <c r="DI8" s="151">
        <f>INPUT!FV116</f>
        <v>193.30000000000052</v>
      </c>
      <c r="DJ8" s="507" t="str">
        <f>INPUT!FW116</f>
        <v>NM</v>
      </c>
      <c r="DK8" s="151">
        <f>INPUT!FX116</f>
        <v>353.50000000000034</v>
      </c>
      <c r="DL8" s="507">
        <f>INPUT!FY116</f>
        <v>82.87635799275705</v>
      </c>
      <c r="DM8" s="151">
        <f>INPUT!FZ116</f>
        <v>484.4000000000002</v>
      </c>
      <c r="DN8" s="507">
        <f>INPUT!GA116</f>
        <v>37.029702970296952</v>
      </c>
      <c r="DO8" s="151">
        <f>INPUT!GB116</f>
        <v>573.10000000000036</v>
      </c>
      <c r="DP8" s="507">
        <f>INPUT!GC116</f>
        <v>18.311312964492178</v>
      </c>
      <c r="DQ8" s="151">
        <f>INPUT!GD116</f>
        <v>596</v>
      </c>
      <c r="DR8" s="507">
        <f>INPUT!GE116</f>
        <v>3.9958122491711157</v>
      </c>
      <c r="DS8" s="151">
        <f>INPUT!GF116</f>
        <v>751</v>
      </c>
      <c r="DT8" s="507">
        <f>INPUT!GG116</f>
        <v>26.006711409395965</v>
      </c>
      <c r="DU8" s="151">
        <f>INPUT!GH116</f>
        <v>925</v>
      </c>
      <c r="DV8" s="507">
        <f>INPUT!GI116</f>
        <v>23.169107856191751</v>
      </c>
      <c r="DW8" s="151">
        <f>INPUT!GJ116</f>
        <v>996</v>
      </c>
      <c r="DX8" s="507">
        <f>INPUT!GK116</f>
        <v>7.6756756756756861</v>
      </c>
      <c r="DY8" s="151">
        <f>INPUT!GL116</f>
        <v>935</v>
      </c>
      <c r="DZ8" s="507">
        <f>INPUT!GM116</f>
        <v>-6.1244979919678695</v>
      </c>
      <c r="EA8" s="151">
        <f>INPUT!GN116</f>
        <v>1074</v>
      </c>
      <c r="EB8" s="507">
        <f>INPUT!GO116</f>
        <v>14.866310160427808</v>
      </c>
      <c r="EC8" s="151">
        <f>INPUT!GP116</f>
        <v>1131.6951472271512</v>
      </c>
      <c r="ED8" s="507">
        <f>INPUT!GQ116</f>
        <v>5.3719876375373676</v>
      </c>
      <c r="EE8" s="151">
        <f>INPUT!GR116</f>
        <v>1181.3693742008841</v>
      </c>
      <c r="EF8" s="507">
        <f>INPUT!GS116</f>
        <v>4.3893646708164535</v>
      </c>
      <c r="EG8" s="151">
        <f>INPUT!GT116</f>
        <v>1250.6590838620441</v>
      </c>
      <c r="EH8" s="507">
        <f>INPUT!GU116</f>
        <v>5.8652028039942961</v>
      </c>
      <c r="EI8" s="151">
        <f>INPUT!GV116</f>
        <v>1328.680673140525</v>
      </c>
      <c r="EJ8" s="507">
        <f>INPUT!GW116</f>
        <v>6.238437819325604</v>
      </c>
      <c r="EK8" s="151">
        <f>INPUT!GX116</f>
        <v>1416.4678818113136</v>
      </c>
      <c r="EL8" s="507">
        <f>INPUT!GY116</f>
        <v>6.6070960800002521</v>
      </c>
      <c r="EM8" s="507">
        <f>INPUT!GZ116</f>
        <v>5.6916042690321245</v>
      </c>
    </row>
    <row r="9" spans="1:143" ht="12.75" customHeight="1" x14ac:dyDescent="0.2">
      <c r="A9" s="690" t="s">
        <v>129</v>
      </c>
      <c r="B9" s="151">
        <f>INPUT!AY177</f>
        <v>52.499999999999986</v>
      </c>
      <c r="C9" s="507"/>
      <c r="D9" s="151">
        <f>INPUT!BA177</f>
        <v>54.3</v>
      </c>
      <c r="E9" s="507"/>
      <c r="F9" s="151">
        <f>INPUT!BC177</f>
        <v>52.5</v>
      </c>
      <c r="G9" s="507"/>
      <c r="H9" s="151">
        <f>INPUT!BE177</f>
        <v>44.59999999999998</v>
      </c>
      <c r="I9" s="507"/>
      <c r="J9" s="151">
        <f>INPUT!BG177</f>
        <v>49.70000000000001</v>
      </c>
      <c r="K9" s="507">
        <f>INPUT!BH177</f>
        <v>-5.3333333333332895</v>
      </c>
      <c r="L9" s="151">
        <f>INPUT!BI177</f>
        <v>47.300000000000011</v>
      </c>
      <c r="M9" s="507">
        <f>INPUT!BJ177</f>
        <v>-12.891344383057069</v>
      </c>
      <c r="N9" s="151">
        <f>INPUT!BK177</f>
        <v>41.199999999999996</v>
      </c>
      <c r="O9" s="507">
        <f>INPUT!BL177</f>
        <v>-21.523809523809533</v>
      </c>
      <c r="P9" s="151">
        <f>INPUT!BM177</f>
        <v>43.100000000000016</v>
      </c>
      <c r="Q9" s="507">
        <f>INPUT!BN177</f>
        <v>-3.3632286995514904</v>
      </c>
      <c r="R9" s="151">
        <f>INPUT!BO177</f>
        <v>40.4</v>
      </c>
      <c r="S9" s="507">
        <f>INPUT!BP177</f>
        <v>-18.71227364185113</v>
      </c>
      <c r="T9" s="151">
        <f>INPUT!BQ177</f>
        <v>41.3</v>
      </c>
      <c r="U9" s="507">
        <f>INPUT!BR177</f>
        <v>-12.684989429175497</v>
      </c>
      <c r="V9" s="151">
        <f>INPUT!BS177</f>
        <v>42.1</v>
      </c>
      <c r="W9" s="507">
        <f>INPUT!BT177</f>
        <v>2.1844660194174859</v>
      </c>
      <c r="X9" s="151">
        <f>INPUT!BU177</f>
        <v>-1.1000000000000121</v>
      </c>
      <c r="Y9" s="507" t="str">
        <f>INPUT!BV177</f>
        <v>NM</v>
      </c>
      <c r="Z9" s="151">
        <f>INPUT!BW177</f>
        <v>29.799999999999976</v>
      </c>
      <c r="AA9" s="507">
        <f>INPUT!BX177</f>
        <v>-26.237623762376295</v>
      </c>
      <c r="AB9" s="151">
        <f>INPUT!BY177</f>
        <v>27.70000000000001</v>
      </c>
      <c r="AC9" s="507">
        <f>INPUT!BZ177</f>
        <v>-32.929782082324422</v>
      </c>
      <c r="AD9" s="151">
        <f>INPUT!CA177</f>
        <v>42.600000000000009</v>
      </c>
      <c r="AE9" s="507">
        <f>INPUT!CB177</f>
        <v>1.1876484560570333</v>
      </c>
      <c r="AF9" s="151">
        <f>INPUT!CC177</f>
        <v>33.299999999999976</v>
      </c>
      <c r="AG9" s="507" t="str">
        <f>INPUT!CD177</f>
        <v>NM</v>
      </c>
      <c r="AH9" s="151">
        <f>INPUT!CE177</f>
        <v>35.899999999999991</v>
      </c>
      <c r="AI9" s="507">
        <f>INPUT!CF177</f>
        <v>20.469798657718187</v>
      </c>
      <c r="AJ9" s="151">
        <f>INPUT!CG177</f>
        <v>36.000000000000021</v>
      </c>
      <c r="AK9" s="507">
        <f>INPUT!CH177</f>
        <v>29.963898916967537</v>
      </c>
      <c r="AL9" s="151">
        <f>INPUT!CI177</f>
        <v>49.800000000000004</v>
      </c>
      <c r="AM9" s="507">
        <f>INPUT!CJ177</f>
        <v>16.901408450704203</v>
      </c>
      <c r="AN9" s="151">
        <f>INPUT!CK177</f>
        <v>32.6</v>
      </c>
      <c r="AO9" s="507">
        <f>INPUT!CL177</f>
        <v>-2.1021021021020214</v>
      </c>
      <c r="AP9" s="151">
        <f>INPUT!CM177</f>
        <v>47.7</v>
      </c>
      <c r="AQ9" s="507">
        <f>INPUT!CN177</f>
        <v>32.869080779944326</v>
      </c>
      <c r="AR9" s="151">
        <f>INPUT!CO177</f>
        <v>41.399999999999991</v>
      </c>
      <c r="AS9" s="507">
        <f>INPUT!CP177</f>
        <v>14.999999999999902</v>
      </c>
      <c r="AT9" s="151">
        <f>INPUT!CQ177</f>
        <v>39.200000000000003</v>
      </c>
      <c r="AU9" s="507">
        <f>INPUT!CR177</f>
        <v>-21.285140562248994</v>
      </c>
      <c r="AV9" s="151">
        <f>INPUT!CS177</f>
        <v>33</v>
      </c>
      <c r="AW9" s="507">
        <f>INPUT!CT177</f>
        <v>1.2269938650306678</v>
      </c>
      <c r="AX9" s="151">
        <f>INPUT!CU177</f>
        <v>35</v>
      </c>
      <c r="AY9" s="507">
        <f>INPUT!CV177</f>
        <v>-26.624737945492672</v>
      </c>
      <c r="AZ9" s="151">
        <f>INPUT!CW177</f>
        <v>38</v>
      </c>
      <c r="BA9" s="507">
        <f>INPUT!CX177</f>
        <v>-8.2125603864734114</v>
      </c>
      <c r="BB9" s="151">
        <f>INPUT!CY177</f>
        <v>29</v>
      </c>
      <c r="BC9" s="507">
        <f>INPUT!CZ177</f>
        <v>-26.020408163265309</v>
      </c>
      <c r="BD9" s="151">
        <f>INPUT!DA177</f>
        <v>28</v>
      </c>
      <c r="BE9" s="507">
        <f>INPUT!DB177</f>
        <v>-15.151515151515149</v>
      </c>
      <c r="BF9" s="151">
        <f>INPUT!DC177</f>
        <v>35</v>
      </c>
      <c r="BG9" s="507">
        <f>INPUT!DD177</f>
        <v>0</v>
      </c>
      <c r="BH9" s="151">
        <f>INPUT!DE177</f>
        <v>39</v>
      </c>
      <c r="BI9" s="507">
        <f>INPUT!DF177</f>
        <v>2.6315789473684292</v>
      </c>
      <c r="BJ9" s="151">
        <f>INPUT!DG177</f>
        <v>33</v>
      </c>
      <c r="BK9" s="507">
        <f>INPUT!DH177</f>
        <v>13.793103448275868</v>
      </c>
      <c r="BL9" s="151">
        <f>INPUT!DI177</f>
        <v>34</v>
      </c>
      <c r="BM9" s="507">
        <f>INPUT!DJ177</f>
        <v>21.42857142857142</v>
      </c>
      <c r="BN9" s="151">
        <f>INPUT!DK177</f>
        <v>39</v>
      </c>
      <c r="BO9" s="507">
        <f>INPUT!DL177</f>
        <v>11.428571428571432</v>
      </c>
      <c r="BP9" s="151">
        <f>INPUT!DM177</f>
        <v>39</v>
      </c>
      <c r="BQ9" s="507">
        <f>INPUT!DN177</f>
        <v>0</v>
      </c>
      <c r="BR9" s="151">
        <f>INPUT!DO177</f>
        <v>40</v>
      </c>
      <c r="BS9" s="507">
        <f>INPUT!DP177</f>
        <v>21.212121212121215</v>
      </c>
      <c r="BT9" s="151">
        <f>INPUT!DQ177</f>
        <v>42</v>
      </c>
      <c r="BU9" s="507">
        <f>INPUT!DR177</f>
        <v>23.529411764705888</v>
      </c>
      <c r="BV9" s="151">
        <f>INPUT!DS177</f>
        <v>35</v>
      </c>
      <c r="BW9" s="507">
        <f>INPUT!DT177</f>
        <v>-10.256410256410254</v>
      </c>
      <c r="BX9" s="151">
        <f>INPUT!DU177</f>
        <v>30</v>
      </c>
      <c r="BY9" s="507">
        <f>INPUT!DV177</f>
        <v>-23.076923076923073</v>
      </c>
      <c r="BZ9" s="151">
        <f>INPUT!DW177</f>
        <v>42</v>
      </c>
      <c r="CA9" s="507">
        <f>INPUT!DX177</f>
        <v>42</v>
      </c>
      <c r="CB9" s="151">
        <f>INPUT!DY177</f>
        <v>33</v>
      </c>
      <c r="CC9" s="507">
        <f>INPUT!DZ177</f>
        <v>-21.428571428571431</v>
      </c>
      <c r="CD9" s="151">
        <f>INPUT!EA177</f>
        <v>31</v>
      </c>
      <c r="CE9" s="507">
        <f>INPUT!EB177</f>
        <v>-11.428571428571432</v>
      </c>
      <c r="CF9" s="151">
        <f>INPUT!EC177</f>
        <v>31</v>
      </c>
      <c r="CG9" s="507">
        <f>INPUT!ED177</f>
        <v>3.3333333333333437</v>
      </c>
      <c r="CH9" s="151">
        <f>INPUT!EE177</f>
        <v>32</v>
      </c>
      <c r="CI9" s="507">
        <f>INPUT!EF177</f>
        <v>-23.809523809523814</v>
      </c>
      <c r="CJ9" s="151">
        <f>INPUT!EG177</f>
        <v>34</v>
      </c>
      <c r="CK9" s="507">
        <f>INPUT!EH177</f>
        <v>3.0303030303030276</v>
      </c>
      <c r="CL9" s="151">
        <f>INPUT!EI177</f>
        <v>37</v>
      </c>
      <c r="CM9" s="507">
        <f>INPUT!EJ177</f>
        <v>19.354838709677423</v>
      </c>
      <c r="CN9" s="151">
        <f>INPUT!EK177</f>
        <v>37</v>
      </c>
      <c r="CO9" s="507">
        <f>INPUT!EL177</f>
        <v>19.354838709677423</v>
      </c>
      <c r="CP9" s="151">
        <f>INPUT!EM177</f>
        <v>35</v>
      </c>
      <c r="CQ9" s="507">
        <f>INPUT!EN177</f>
        <v>9.375</v>
      </c>
      <c r="CR9" s="151">
        <f>INPUT!EO177</f>
        <v>41</v>
      </c>
      <c r="CS9" s="507">
        <f>INPUT!EP177</f>
        <v>20.588235294117641</v>
      </c>
      <c r="CT9" s="151">
        <f>INPUT!EQ177</f>
        <v>44.808412163061703</v>
      </c>
      <c r="CU9" s="507">
        <f>INPUT!ER177</f>
        <v>21.103816656923513</v>
      </c>
      <c r="CV9" s="151">
        <f>INPUT!ES177</f>
        <v>44.749433830424493</v>
      </c>
      <c r="CW9" s="507">
        <f>INPUT!ET177</f>
        <v>20.944415757904046</v>
      </c>
      <c r="CX9" s="151">
        <f>INPUT!EU177</f>
        <v>45.211143384642121</v>
      </c>
      <c r="CY9" s="507">
        <f>INPUT!EV177</f>
        <v>29.174695384691773</v>
      </c>
      <c r="CZ9" s="151">
        <f>INPUT!EW177</f>
        <v>45.528944494716114</v>
      </c>
      <c r="DA9" s="507">
        <f>INPUT!EX177</f>
        <v>11.046206084673461</v>
      </c>
      <c r="DB9" s="507"/>
      <c r="DC9" s="151">
        <f>INPUT!FP177</f>
        <v>187.10000000000005</v>
      </c>
      <c r="DD9" s="507">
        <f>INPUT!FQ177</f>
        <v>4.5251396648045006</v>
      </c>
      <c r="DE9" s="151">
        <f>INPUT!FR177</f>
        <v>203.90000000000003</v>
      </c>
      <c r="DF9" s="507">
        <f>INPUT!FS177</f>
        <v>8.979155531801176</v>
      </c>
      <c r="DG9" s="151">
        <f>INPUT!FT177</f>
        <v>181.29999999999998</v>
      </c>
      <c r="DH9" s="507">
        <f>INPUT!FU177</f>
        <v>-11.083864639529207</v>
      </c>
      <c r="DI9" s="151">
        <f>INPUT!FV177</f>
        <v>122.70000000000005</v>
      </c>
      <c r="DJ9" s="507">
        <f>INPUT!FW177</f>
        <v>-32.322118036403722</v>
      </c>
      <c r="DK9" s="151">
        <f>INPUT!FX177</f>
        <v>133.40000000000012</v>
      </c>
      <c r="DL9" s="507">
        <f>INPUT!FY177</f>
        <v>8.7204563977180793</v>
      </c>
      <c r="DM9" s="151">
        <f>INPUT!FZ177</f>
        <v>154.30000000000004</v>
      </c>
      <c r="DN9" s="507">
        <f>INPUT!GA177</f>
        <v>15.667166416791535</v>
      </c>
      <c r="DO9" s="151">
        <f>INPUT!GB177</f>
        <v>161.30000000000004</v>
      </c>
      <c r="DP9" s="507">
        <f>INPUT!GC177</f>
        <v>4.5366169799092582</v>
      </c>
      <c r="DQ9" s="151">
        <f>INPUT!GD177</f>
        <v>130</v>
      </c>
      <c r="DR9" s="507">
        <f>INPUT!GE177</f>
        <v>-19.404835709857426</v>
      </c>
      <c r="DS9" s="151">
        <f>INPUT!GF177</f>
        <v>141</v>
      </c>
      <c r="DT9" s="507">
        <f>INPUT!GG177</f>
        <v>8.4615384615384528</v>
      </c>
      <c r="DU9" s="151">
        <f>INPUT!GH177</f>
        <v>160</v>
      </c>
      <c r="DV9" s="507">
        <f>INPUT!GI177</f>
        <v>13.475177304964546</v>
      </c>
      <c r="DW9" s="151">
        <f>INPUT!GJ177</f>
        <v>140</v>
      </c>
      <c r="DX9" s="507">
        <f>INPUT!GK177</f>
        <v>-12.5</v>
      </c>
      <c r="DY9" s="151">
        <f>INPUT!GL177</f>
        <v>128</v>
      </c>
      <c r="DZ9" s="507">
        <f>INPUT!GM177</f>
        <v>-8.5714285714285747</v>
      </c>
      <c r="EA9" s="151">
        <f>INPUT!GN177</f>
        <v>150</v>
      </c>
      <c r="EB9" s="507">
        <f>INPUT!GO177</f>
        <v>17.1875</v>
      </c>
      <c r="EC9" s="151">
        <f>INPUT!GP177</f>
        <v>180.29793387284434</v>
      </c>
      <c r="ED9" s="507">
        <f>INPUT!GQ177</f>
        <v>20.19862258189622</v>
      </c>
      <c r="EE9" s="151">
        <f>INPUT!GR177</f>
        <v>185.68847032386316</v>
      </c>
      <c r="EF9" s="507">
        <f>INPUT!GS177</f>
        <v>2.9897938014201042</v>
      </c>
      <c r="EG9" s="151">
        <f>INPUT!GT177</f>
        <v>191.26398983936861</v>
      </c>
      <c r="EH9" s="507">
        <f>INPUT!GU177</f>
        <v>3.0026201981097955</v>
      </c>
      <c r="EI9" s="151">
        <f>INPUT!GV177</f>
        <v>197.53883524227643</v>
      </c>
      <c r="EJ9" s="507">
        <f>INPUT!GW177</f>
        <v>3.2807249332076127</v>
      </c>
      <c r="EK9" s="151">
        <f>INPUT!GX177</f>
        <v>204.49662363474403</v>
      </c>
      <c r="EL9" s="507">
        <f>INPUT!GY177</f>
        <v>3.5222382393487628</v>
      </c>
      <c r="EM9" s="507">
        <f>INPUT!GZ177</f>
        <v>6.3944506677847457</v>
      </c>
    </row>
    <row r="10" spans="1:143" ht="12.75" customHeight="1" x14ac:dyDescent="0.2">
      <c r="A10" s="691" t="s">
        <v>125</v>
      </c>
      <c r="B10" s="151">
        <f>INPUT!AY116+INPUT!AY177</f>
        <v>118.89999999999998</v>
      </c>
      <c r="C10" s="61"/>
      <c r="D10" s="151">
        <f>INPUT!BA116+INPUT!BA177</f>
        <v>143.40000000000003</v>
      </c>
      <c r="E10" s="61"/>
      <c r="F10" s="151">
        <f>INPUT!BC116+INPUT!BC177</f>
        <v>181.90000000000003</v>
      </c>
      <c r="G10" s="61"/>
      <c r="H10" s="151">
        <f>INPUT!BE116+INPUT!BE177</f>
        <v>168.29999999999995</v>
      </c>
      <c r="I10" s="61"/>
      <c r="J10" s="151">
        <f>INPUT!BG116+INPUT!BG177</f>
        <v>166.39999999999998</v>
      </c>
      <c r="K10" s="61">
        <f>IF(ISERROR((J10/B10-1)*100),"NA",IF(((J10/B10-1)*100)&gt;100,"NM",IF(((J10/B10-1)*100)&lt;-50,"NM",(J10/B10-1)*100)))</f>
        <v>39.949537426408767</v>
      </c>
      <c r="L10" s="151">
        <f>INPUT!BI116+INPUT!BI177</f>
        <v>170.8</v>
      </c>
      <c r="M10" s="61">
        <f>IF(ISERROR((L10/D10-1)*100),"NA",IF(((L10/D10-1)*100)&gt;100,"NM",IF(((L10/D10-1)*100)&lt;-50,"NM",(L10/D10-1)*100)))</f>
        <v>19.107391910739182</v>
      </c>
      <c r="N10" s="151">
        <f>INPUT!BK116+INPUT!BK177</f>
        <v>167.1</v>
      </c>
      <c r="O10" s="61">
        <f>IF(ISERROR((N10/F10-1)*100),"NA",IF(((N10/F10-1)*100)&gt;100,"NM",IF(((N10/F10-1)*100)&lt;-50,"NM",(N10/F10-1)*100)))</f>
        <v>-8.1363386476085982</v>
      </c>
      <c r="P10" s="151">
        <f>INPUT!BM116+INPUT!BM177</f>
        <v>161.99999999999991</v>
      </c>
      <c r="Q10" s="61">
        <f>IF(ISERROR((P10/H10-1)*100),"NA",IF(((P10/H10-1)*100)&gt;100,"NM",IF(((P10/H10-1)*100)&lt;-50,"NM",(P10/H10-1)*100)))</f>
        <v>-3.7433155080214164</v>
      </c>
      <c r="R10" s="151">
        <f>INPUT!BO116+INPUT!BO177</f>
        <v>158.30000000000004</v>
      </c>
      <c r="S10" s="61">
        <f>IF(ISERROR((R10/J10-1)*100),"NA",IF(((R10/J10-1)*100)&gt;100,"NM",IF(((R10/J10-1)*100)&lt;-50,"NM",(R10/J10-1)*100)))</f>
        <v>-4.8677884615384244</v>
      </c>
      <c r="T10" s="151">
        <f>INPUT!BQ116+INPUT!BQ177</f>
        <v>157.50000000000006</v>
      </c>
      <c r="U10" s="61">
        <f>IF(ISERROR((T10/L10-1)*100),"NA",IF(((T10/L10-1)*100)&gt;100,"NM",IF(((T10/L10-1)*100)&lt;-50,"NM",(T10/L10-1)*100)))</f>
        <v>-7.7868852459016091</v>
      </c>
      <c r="V10" s="151">
        <f>INPUT!BS116+INPUT!BS177</f>
        <v>173.00000000000003</v>
      </c>
      <c r="W10" s="61">
        <f>IF(ISERROR((V10/N10-1)*100),"NA",IF(((V10/N10-1)*100)&gt;100,"NM",IF(((V10/N10-1)*100)&lt;-50,"NM",(V10/N10-1)*100)))</f>
        <v>3.5308198683423386</v>
      </c>
      <c r="X10" s="151">
        <f>INPUT!BU116+INPUT!BU177</f>
        <v>-172.80000000000013</v>
      </c>
      <c r="Y10" s="61" t="str">
        <f>IF(ISERROR((X10/P10-1)*100),"NA",IF(((X10/P10-1)*100)&gt;100,"NM",IF(((X10/P10-1)*100)&lt;-50,"NM",(X10/P10-1)*100)))</f>
        <v>NM</v>
      </c>
      <c r="Z10" s="151">
        <f>INPUT!BW116+INPUT!BW177</f>
        <v>103.69999999999999</v>
      </c>
      <c r="AA10" s="61">
        <f>IF(ISERROR((Z10/R10-1)*100),"NA",IF(((Z10/R10-1)*100)&gt;100,"NM",IF(((Z10/R10-1)*100)&lt;-50,"NM",(Z10/R10-1)*100)))</f>
        <v>-34.491471888818722</v>
      </c>
      <c r="AB10" s="151">
        <f>INPUT!BY116+INPUT!BY177</f>
        <v>93.100000000000023</v>
      </c>
      <c r="AC10" s="61">
        <f>IF(ISERROR((AB10/T10-1)*100),"NA",IF(((AB10/T10-1)*100)&gt;100,"NM",IF(((AB10/T10-1)*100)&lt;-50,"NM",(AB10/T10-1)*100)))</f>
        <v>-40.8888888888889</v>
      </c>
      <c r="AD10" s="151">
        <f>INPUT!CA116+INPUT!CA177</f>
        <v>137.10000000000002</v>
      </c>
      <c r="AE10" s="61">
        <f>IF(ISERROR((AD10/V10-1)*100),"NA",IF(((AD10/V10-1)*100)&gt;100,"NM",IF(((AD10/V10-1)*100)&lt;-50,"NM",(AD10/V10-1)*100)))</f>
        <v>-20.7514450867052</v>
      </c>
      <c r="AF10" s="151">
        <f>INPUT!CC116+INPUT!CC177</f>
        <v>152.99999999999994</v>
      </c>
      <c r="AG10" s="61" t="str">
        <f>IF(ISERROR((AF10/X10-1)*100),"NA",IF(((AF10/X10-1)*100)&gt;100,"NM",IF(((AF10/X10-1)*100)&lt;-50,"NM",(AF10/X10-1)*100)))</f>
        <v>NM</v>
      </c>
      <c r="AH10" s="151">
        <f>INPUT!CE116+INPUT!CE177</f>
        <v>154.59999999999997</v>
      </c>
      <c r="AI10" s="61">
        <f>IF(ISERROR((AH10/Z10-1)*100),"NA",IF(((AH10/Z10-1)*100)&gt;100,"NM",IF(((AH10/Z10-1)*100)&lt;-50,"NM",(AH10/Z10-1)*100)))</f>
        <v>49.083895853423321</v>
      </c>
      <c r="AJ10" s="151">
        <f>INPUT!CG116+INPUT!CG177</f>
        <v>152.40000000000003</v>
      </c>
      <c r="AK10" s="61">
        <f>IF(ISERROR((AJ10/AB10-1)*100),"NA",IF(((AJ10/AB10-1)*100)&gt;100,"NM",IF(((AJ10/AB10-1)*100)&lt;-50,"NM",(AJ10/AB10-1)*100)))</f>
        <v>63.694951664876463</v>
      </c>
      <c r="AL10" s="151">
        <f>INPUT!CI116+INPUT!CI177</f>
        <v>175.89999999999995</v>
      </c>
      <c r="AM10" s="61">
        <f>IF(ISERROR((AL10/AD10-1)*100),"NA",IF(((AL10/AD10-1)*100)&gt;100,"NM",IF(((AL10/AD10-1)*100)&lt;-50,"NM",(AL10/AD10-1)*100)))</f>
        <v>28.300510576221672</v>
      </c>
      <c r="AN10" s="151">
        <f>INPUT!CK116+INPUT!CK177</f>
        <v>155.79999999999998</v>
      </c>
      <c r="AO10" s="61">
        <f>IF(ISERROR((AN10/AF10-1)*100),"NA",IF(((AN10/AF10-1)*100)&gt;100,"NM",IF(((AN10/AF10-1)*100)&lt;-50,"NM",(AN10/AF10-1)*100)))</f>
        <v>1.8300653594771399</v>
      </c>
      <c r="AP10" s="151">
        <f>INPUT!CM116+INPUT!CM177</f>
        <v>191.7000000000001</v>
      </c>
      <c r="AQ10" s="61">
        <f>IF(ISERROR((AP10/AH10-1)*100),"NA",IF(((AP10/AH10-1)*100)&gt;100,"NM",IF(((AP10/AH10-1)*100)&lt;-50,"NM",(AP10/AH10-1)*100)))</f>
        <v>23.997412677878494</v>
      </c>
      <c r="AR10" s="151">
        <f>INPUT!CO116+INPUT!CO177</f>
        <v>186.19999999999993</v>
      </c>
      <c r="AS10" s="61">
        <f>IF(ISERROR((AR10/AJ10-1)*100),"NA",IF(((AR10/AJ10-1)*100)&gt;100,"NM",IF(((AR10/AJ10-1)*100)&lt;-50,"NM",(AR10/AJ10-1)*100)))</f>
        <v>22.178477690288645</v>
      </c>
      <c r="AT10" s="151">
        <f>INPUT!CQ116+INPUT!CQ177</f>
        <v>192.5</v>
      </c>
      <c r="AU10" s="61">
        <f>IF(ISERROR((AT10/AL10-1)*100),"NA",IF(((AT10/AL10-1)*100)&gt;100,"NM",IF(((AT10/AL10-1)*100)&lt;-50,"NM",(AT10/AL10-1)*100)))</f>
        <v>9.4371802160318587</v>
      </c>
      <c r="AV10" s="151">
        <f>INPUT!CS116+INPUT!CS177</f>
        <v>164</v>
      </c>
      <c r="AW10" s="61">
        <f>IF(ISERROR((AV10/AN10-1)*100),"NA",IF(((AV10/AN10-1)*100)&gt;100,"NM",IF(((AV10/AN10-1)*100)&lt;-50,"NM",(AV10/AN10-1)*100)))</f>
        <v>5.2631578947368585</v>
      </c>
      <c r="AX10" s="151">
        <f>INPUT!CU116+INPUT!CU177</f>
        <v>172</v>
      </c>
      <c r="AY10" s="61">
        <f>IF(ISERROR((AX10/AP10-1)*100),"NA",IF(((AX10/AP10-1)*100)&gt;100,"NM",IF(((AX10/AP10-1)*100)&lt;-50,"NM",(AX10/AP10-1)*100)))</f>
        <v>-10.276473656755392</v>
      </c>
      <c r="AZ10" s="151">
        <f>INPUT!CW116+INPUT!CW177</f>
        <v>196</v>
      </c>
      <c r="BA10" s="61">
        <f>IF(ISERROR((AZ10/AR10-1)*100),"NA",IF(((AZ10/AR10-1)*100)&gt;100,"NM",IF(((AZ10/AR10-1)*100)&lt;-50,"NM",(AZ10/AR10-1)*100)))</f>
        <v>5.2631578947368807</v>
      </c>
      <c r="BB10" s="151">
        <f>INPUT!CY116+INPUT!CY177</f>
        <v>168</v>
      </c>
      <c r="BC10" s="61">
        <f>IF(ISERROR((BB10/AT10-1)*100),"NA",IF(((BB10/AT10-1)*100)&gt;100,"NM",IF(((BB10/AT10-1)*100)&lt;-50,"NM",(BB10/AT10-1)*100)))</f>
        <v>-12.727272727272732</v>
      </c>
      <c r="BD10" s="151">
        <f>INPUT!DA116+INPUT!DA177</f>
        <v>190</v>
      </c>
      <c r="BE10" s="61">
        <f>IF(ISERROR((BD10/AV10-1)*100),"NA",IF(((BD10/AV10-1)*100)&gt;100,"NM",IF(((BD10/AV10-1)*100)&lt;-50,"NM",(BD10/AV10-1)*100)))</f>
        <v>15.853658536585357</v>
      </c>
      <c r="BF10" s="151">
        <f>INPUT!DC116+INPUT!DC177</f>
        <v>194</v>
      </c>
      <c r="BG10" s="61">
        <f>IF(ISERROR((BF10/AX10-1)*100),"NA",IF(((BF10/AX10-1)*100)&gt;100,"NM",IF(((BF10/AX10-1)*100)&lt;-50,"NM",(BF10/AX10-1)*100)))</f>
        <v>12.790697674418606</v>
      </c>
      <c r="BH10" s="151">
        <f>INPUT!DE116+INPUT!DE177</f>
        <v>234</v>
      </c>
      <c r="BI10" s="61">
        <f>IF(ISERROR((BH10/AZ10-1)*100),"NA",IF(((BH10/AZ10-1)*100)&gt;100,"NM",IF(((BH10/AZ10-1)*100)&lt;-50,"NM",(BH10/AZ10-1)*100)))</f>
        <v>19.387755102040828</v>
      </c>
      <c r="BJ10" s="151">
        <f>INPUT!DG116+INPUT!DG177</f>
        <v>231</v>
      </c>
      <c r="BK10" s="61">
        <f>IF(ISERROR((BJ10/BB10-1)*100),"NA",IF(((BJ10/BB10-1)*100)&gt;100,"NM",IF(((BJ10/BB10-1)*100)&lt;-50,"NM",(BJ10/BB10-1)*100)))</f>
        <v>37.5</v>
      </c>
      <c r="BL10" s="151">
        <f>INPUT!DI116+INPUT!DI177</f>
        <v>233</v>
      </c>
      <c r="BM10" s="61">
        <f>IF(ISERROR((BL10/BD10-1)*100),"NA",IF(((BL10/BD10-1)*100)&gt;100,"NM",IF(((BL10/BD10-1)*100)&lt;-50,"NM",(BL10/BD10-1)*100)))</f>
        <v>22.631578947368425</v>
      </c>
      <c r="BN10" s="151">
        <f>INPUT!DK116+INPUT!DK177</f>
        <v>255</v>
      </c>
      <c r="BO10" s="61">
        <f>IF(ISERROR((BN10/BF10-1)*100),"NA",IF(((BN10/BF10-1)*100)&gt;100,"NM",IF(((BN10/BF10-1)*100)&lt;-50,"NM",(BN10/BF10-1)*100)))</f>
        <v>31.443298969072163</v>
      </c>
      <c r="BP10" s="151">
        <f>INPUT!DM116+INPUT!DM177</f>
        <v>266</v>
      </c>
      <c r="BQ10" s="61">
        <f>IF(ISERROR((BP10/BH10-1)*100),"NA",IF(((BP10/BH10-1)*100)&gt;100,"NM",IF(((BP10/BH10-1)*100)&lt;-50,"NM",(BP10/BH10-1)*100)))</f>
        <v>13.675213675213671</v>
      </c>
      <c r="BR10" s="151">
        <f>INPUT!DO116+INPUT!DO177</f>
        <v>285</v>
      </c>
      <c r="BS10" s="61">
        <f>IF(ISERROR((BR10/BJ10-1)*100),"NA",IF(((BR10/BJ10-1)*100)&gt;100,"NM",IF(((BR10/BJ10-1)*100)&lt;-50,"NM",(BR10/BJ10-1)*100)))</f>
        <v>23.376623376623385</v>
      </c>
      <c r="BT10" s="151">
        <f>INPUT!DQ116+INPUT!DQ177</f>
        <v>279</v>
      </c>
      <c r="BU10" s="61">
        <f>IF(ISERROR((BT10/BL10-1)*100),"NA",IF(((BT10/BL10-1)*100)&gt;100,"NM",IF(((BT10/BL10-1)*100)&lt;-50,"NM",(BT10/BL10-1)*100)))</f>
        <v>19.742489270386265</v>
      </c>
      <c r="BV10" s="151">
        <f>INPUT!DS116+INPUT!DS177</f>
        <v>274</v>
      </c>
      <c r="BW10" s="61">
        <f>IF(ISERROR((BV10/BN10-1)*100),"NA",IF(((BV10/BN10-1)*100)&gt;100,"NM",IF(((BV10/BN10-1)*100)&lt;-50,"NM",(BV10/BN10-1)*100)))</f>
        <v>7.4509803921568585</v>
      </c>
      <c r="BX10" s="151">
        <f>INPUT!DU116+INPUT!DU177</f>
        <v>285</v>
      </c>
      <c r="BY10" s="61">
        <f>IF(ISERROR((BX10/BP10-1)*100),"NA",IF(((BX10/BP10-1)*100)&gt;100,"NM",IF(((BX10/BP10-1)*100)&lt;-50,"NM",(BX10/BP10-1)*100)))</f>
        <v>7.1428571428571397</v>
      </c>
      <c r="BZ10" s="151">
        <f>INPUT!DW116+INPUT!DW177</f>
        <v>301</v>
      </c>
      <c r="CA10" s="61">
        <f>IF(ISERROR((BZ10/BR10-1)*100),"NA",IF(((BZ10/BR10-1)*100)&gt;100,"NM",IF(((BZ10/BR10-1)*100)&lt;-50,"NM",(BZ10/BR10-1)*100)))</f>
        <v>5.6140350877192935</v>
      </c>
      <c r="CB10" s="151">
        <f>INPUT!DY116+INPUT!DY177</f>
        <v>276</v>
      </c>
      <c r="CC10" s="61">
        <f>IF(ISERROR((CB10/BT10-1)*100),"NA",IF(((CB10/BT10-1)*100)&gt;100,"NM",IF(((CB10/BT10-1)*100)&lt;-50,"NM",(CB10/BT10-1)*100)))</f>
        <v>-1.0752688172043001</v>
      </c>
      <c r="CD10" s="151">
        <f>INPUT!EA116+INPUT!EA177</f>
        <v>249</v>
      </c>
      <c r="CE10" s="61">
        <f>IF(ISERROR((CD10/BV10-1)*100),"NA",IF(((CD10/BV10-1)*100)&gt;100,"NM",IF(((CD10/BV10-1)*100)&lt;-50,"NM",(CD10/BV10-1)*100)))</f>
        <v>-9.1240875912408814</v>
      </c>
      <c r="CF10" s="151">
        <f>INPUT!EC116+INPUT!EC177</f>
        <v>266</v>
      </c>
      <c r="CG10" s="61">
        <f>IF(ISERROR((CF10/BX10-1)*100),"NA",IF(((CF10/BX10-1)*100)&gt;100,"NM",IF(((CF10/BX10-1)*100)&lt;-50,"NM",(CF10/BX10-1)*100)))</f>
        <v>-6.6666666666666652</v>
      </c>
      <c r="CH10" s="151">
        <f>INPUT!EE116+INPUT!EE177</f>
        <v>272</v>
      </c>
      <c r="CI10" s="61">
        <f>IF(ISERROR((CH10/BZ10-1)*100),"NA",IF(((CH10/BZ10-1)*100)&gt;100,"NM",IF(((CH10/BZ10-1)*100)&lt;-50,"NM",(CH10/BZ10-1)*100)))</f>
        <v>-9.6345514950166073</v>
      </c>
      <c r="CJ10" s="151">
        <f>INPUT!EG116+INPUT!EG177</f>
        <v>276</v>
      </c>
      <c r="CK10" s="61">
        <f>IF(ISERROR((CJ10/CB10-1)*100),"NA",IF(((CJ10/CB10-1)*100)&gt;100,"NM",IF(((CJ10/CB10-1)*100)&lt;-50,"NM",(CJ10/CB10-1)*100)))</f>
        <v>0</v>
      </c>
      <c r="CL10" s="151">
        <f>INPUT!EI116+INPUT!EI177</f>
        <v>318</v>
      </c>
      <c r="CM10" s="61">
        <f t="shared" ref="CM10" si="0">IF(ISERROR((CL10/CD10-1)*100),"NA",IF(((CL10/CD10-1)*100)&gt;100,"NM",IF(((CL10/CD10-1)*100)&lt;-50,"NM",(CL10/CD10-1)*100)))</f>
        <v>27.710843373493965</v>
      </c>
      <c r="CN10" s="151">
        <f>INPUT!EK116+INPUT!EK177</f>
        <v>288</v>
      </c>
      <c r="CO10" s="61">
        <f t="shared" ref="CO10" si="1">IF(ISERROR((CN10/CF10-1)*100),"NA",IF(((CN10/CF10-1)*100)&gt;100,"NM",IF(((CN10/CF10-1)*100)&lt;-50,"NM",(CN10/CF10-1)*100)))</f>
        <v>8.2706766917293173</v>
      </c>
      <c r="CP10" s="151">
        <f>INPUT!EM116+INPUT!EM177</f>
        <v>312</v>
      </c>
      <c r="CQ10" s="61">
        <f t="shared" ref="CQ10" si="2">IF(ISERROR((CP10/CH10-1)*100),"NA",IF(((CP10/CH10-1)*100)&gt;100,"NM",IF(((CP10/CH10-1)*100)&lt;-50,"NM",(CP10/CH10-1)*100)))</f>
        <v>14.705882352941169</v>
      </c>
      <c r="CR10" s="151">
        <f>INPUT!EO116+INPUT!EO177</f>
        <v>306</v>
      </c>
      <c r="CS10" s="61">
        <f t="shared" ref="CS10" si="3">IF(ISERROR((CR10/CJ10-1)*100),"NA",IF(((CR10/CJ10-1)*100)&gt;100,"NM",IF(((CR10/CJ10-1)*100)&lt;-50,"NM",(CR10/CJ10-1)*100)))</f>
        <v>10.869565217391308</v>
      </c>
      <c r="CT10" s="151">
        <f>INPUT!EQ116+INPUT!EQ177</f>
        <v>325.26534462300367</v>
      </c>
      <c r="CU10" s="61">
        <f t="shared" ref="CU10" si="4">IF(ISERROR((CT10/CL10-1)*100),"NA",IF(((CT10/CL10-1)*100)&gt;100,"NM",IF(((CT10/CL10-1)*100)&lt;-50,"NM",(CT10/CL10-1)*100)))</f>
        <v>2.2846995669822956</v>
      </c>
      <c r="CV10" s="151">
        <f>INPUT!ES116+INPUT!ES177</f>
        <v>324.58218699899089</v>
      </c>
      <c r="CW10" s="61">
        <f t="shared" ref="CW10" si="5">IF(ISERROR((CV10/CN10-1)*100),"NA",IF(((CV10/CN10-1)*100)&gt;100,"NM",IF(((CV10/CN10-1)*100)&lt;-50,"NM",(CV10/CN10-1)*100)))</f>
        <v>12.702148263538504</v>
      </c>
      <c r="CX10" s="151">
        <f>INPUT!EU116+INPUT!EU177</f>
        <v>328.77206411623786</v>
      </c>
      <c r="CY10" s="61">
        <f t="shared" ref="CY10" si="6">IF(ISERROR((CX10/CP10-1)*100),"NA",IF(((CX10/CP10-1)*100)&gt;100,"NM",IF(((CX10/CP10-1)*100)&lt;-50,"NM",(CX10/CP10-1)*100)))</f>
        <v>5.3756615757172721</v>
      </c>
      <c r="CZ10" s="151">
        <f>INPUT!EW116+INPUT!EW177</f>
        <v>333.3734853617641</v>
      </c>
      <c r="DA10" s="61">
        <f t="shared" ref="DA10" si="7">IF(ISERROR((CZ10/CR10-1)*100),"NA",IF(((CZ10/CR10-1)*100)&gt;100,"NM",IF(((CZ10/CR10-1)*100)&lt;-50,"NM",(CZ10/CR10-1)*100)))</f>
        <v>8.9455834515568924</v>
      </c>
      <c r="DB10" s="507"/>
      <c r="DC10" s="151">
        <f>INPUT!FP116+INPUT!FP177</f>
        <v>439.30000000000018</v>
      </c>
      <c r="DD10" s="257" t="str">
        <f>IF(ISERROR((DC10/DB10-1)*100),"NA",IF(((DC10/DB10-1)*100)&gt;100,"NM",IF(((DC10/DB10-1)*100)&lt;-50,"NM",(DC10/DB10-1)*100)))</f>
        <v>NA</v>
      </c>
      <c r="DE10" s="151">
        <f>INPUT!FR116+INPUT!FR177</f>
        <v>612.49999999999977</v>
      </c>
      <c r="DF10" s="257" t="str">
        <f>IF(ISERROR((DE10/DD10-1)*100),"NA",IF(((DE10/DD10-1)*100)&gt;100,"NM",IF(((DE10/DD10-1)*100)&lt;-50,"NM",(DE10/DD10-1)*100)))</f>
        <v>NA</v>
      </c>
      <c r="DG10" s="151">
        <f>INPUT!FT116+INPUT!FT177</f>
        <v>666.2999999999995</v>
      </c>
      <c r="DH10" s="257" t="str">
        <f>IF(ISERROR((DG10/DF10-1)*100),"NA",IF(((DG10/DF10-1)*100)&gt;100,"NM",IF(((DG10/DF10-1)*100)&lt;-50,"NM",(DG10/DF10-1)*100)))</f>
        <v>NA</v>
      </c>
      <c r="DI10" s="151">
        <f>INPUT!FV116+INPUT!FV177</f>
        <v>316.00000000000057</v>
      </c>
      <c r="DJ10" s="257" t="str">
        <f>IF(ISERROR((DI10/DG10-1)*100),"NA",IF(((DI10/DG10-1)*100)&gt;100,"NM",IF(((DI10/DG10-1)*100)&lt;-50,"NM",(DI10/DG10-1)*100)))</f>
        <v>NM</v>
      </c>
      <c r="DK10" s="151">
        <f>INPUT!FX116+INPUT!FX177</f>
        <v>486.90000000000043</v>
      </c>
      <c r="DL10" s="257">
        <f>IF(ISERROR((DK10/DI10-1)*100),"NA",IF(((DK10/DI10-1)*100)&gt;100,"NM",IF(((DK10/DI10-1)*100)&lt;-50,"NM",(DK10/DI10-1)*100)))</f>
        <v>54.082278481012523</v>
      </c>
      <c r="DM10" s="151">
        <f>INPUT!FZ116+INPUT!FZ177</f>
        <v>638.70000000000027</v>
      </c>
      <c r="DN10" s="257">
        <f>IF(ISERROR((DM10/DK10-1)*100),"NA",IF(((DM10/DK10-1)*100)&gt;100,"NM",IF(((DM10/DK10-1)*100)&lt;-50,"NM",(DM10/DK10-1)*100)))</f>
        <v>31.176833025261796</v>
      </c>
      <c r="DO10" s="151">
        <f>INPUT!GB116+INPUT!GB177</f>
        <v>734.40000000000043</v>
      </c>
      <c r="DP10" s="257">
        <f>IF(ISERROR((DO10/DM10-1)*100),"NA",IF(((DO10/DM10-1)*100)&gt;100,"NM",IF(((DO10/DM10-1)*100)&lt;-50,"NM",(DO10/DM10-1)*100)))</f>
        <v>14.983560356975122</v>
      </c>
      <c r="DQ10" s="151">
        <f>INPUT!GD116+INPUT!GD177</f>
        <v>726</v>
      </c>
      <c r="DR10" s="257">
        <f>IF(ISERROR((DQ10/DO10-1)*100),"NA",IF(((DQ10/DO10-1)*100)&gt;100,"NM",IF(((DQ10/DO10-1)*100)&lt;-50,"NM",(DQ10/DO10-1)*100)))</f>
        <v>-1.1437908496732652</v>
      </c>
      <c r="DS10" s="151">
        <f>INPUT!GF116+INPUT!GF177</f>
        <v>892</v>
      </c>
      <c r="DT10" s="257">
        <f>IF(ISERROR((DS10/DQ10-1)*100),"NA",IF(((DS10/DQ10-1)*100)&gt;100,"NM",IF(((DS10/DQ10-1)*100)&lt;-50,"NM",(DS10/DQ10-1)*100)))</f>
        <v>22.865013774104682</v>
      </c>
      <c r="DU10" s="151">
        <f>INPUT!GH116+INPUT!GH177</f>
        <v>1085</v>
      </c>
      <c r="DV10" s="257">
        <f>IF(ISERROR((DU10/DS10-1)*100),"NA",IF(((DU10/DS10-1)*100)&gt;100,"NM",IF(((DU10/DS10-1)*100)&lt;-50,"NM",(DU10/DS10-1)*100)))</f>
        <v>21.63677130044843</v>
      </c>
      <c r="DW10" s="151">
        <f>INPUT!GJ116+INPUT!GJ177</f>
        <v>1136</v>
      </c>
      <c r="DX10" s="257">
        <f>IF(ISERROR((DW10/DU10-1)*100),"NA",IF(((DW10/DU10-1)*100)&gt;100,"NM",IF(((DW10/DU10-1)*100)&lt;-50,"NM",(DW10/DU10-1)*100)))</f>
        <v>4.7004608294930916</v>
      </c>
      <c r="DY10" s="151">
        <f>INPUT!GL116+INPUT!GL177</f>
        <v>1063</v>
      </c>
      <c r="DZ10" s="257">
        <f>IF(ISERROR((DY10/DW10-1)*100),"NA",IF(((DY10/DW10-1)*100)&gt;100,"NM",IF(((DY10/DW10-1)*100)&lt;-50,"NM",(DY10/DW10-1)*100)))</f>
        <v>-6.4260563380281743</v>
      </c>
      <c r="EA10" s="151">
        <f>INPUT!GN116+INPUT!GN177</f>
        <v>1224</v>
      </c>
      <c r="EB10" s="257">
        <f>IF(ISERROR((EA10/DY10-1)*100),"NA",IF(((EA10/DY10-1)*100)&gt;100,"NM",IF(((EA10/DY10-1)*100)&lt;-50,"NM",(EA10/DY10-1)*100)))</f>
        <v>15.145813734713087</v>
      </c>
      <c r="EC10" s="151">
        <f>INPUT!GP116+INPUT!GP177</f>
        <v>1311.9930810999956</v>
      </c>
      <c r="ED10" s="257">
        <f>IF(ISERROR((EC10/EA10-1)*100),"NA",IF(((EC10/EA10-1)*100)&gt;100,"NM",IF(((EC10/EA10-1)*100)&lt;-50,"NM",(EC10/EA10-1)*100)))</f>
        <v>7.1889772140519392</v>
      </c>
      <c r="EE10" s="151">
        <f>INPUT!GR116+INPUT!GR177</f>
        <v>1367.0578445247472</v>
      </c>
      <c r="EF10" s="257">
        <f>IF(ISERROR((EE10/EC10-1)*100),"NA",IF(((EE10/EC10-1)*100)&gt;100,"NM",IF(((EE10/EC10-1)*100)&lt;-50,"NM",(EE10/EC10-1)*100)))</f>
        <v>4.1970315406377301</v>
      </c>
      <c r="EG10" s="151">
        <f>INPUT!GT116+INPUT!GT177</f>
        <v>1441.9230737014127</v>
      </c>
      <c r="EH10" s="257">
        <f>IF(ISERROR((EG10/EE10-1)*100),"NA",IF(((EG10/EE10-1)*100)&gt;100,"NM",IF(((EG10/EE10-1)*100)&lt;-50,"NM",(EG10/EE10-1)*100)))</f>
        <v>5.4763761077492701</v>
      </c>
      <c r="EI10" s="151">
        <f>INPUT!GV116+INPUT!GV177</f>
        <v>1526.2195083828015</v>
      </c>
      <c r="EJ10" s="257">
        <f>IF(ISERROR((EI10/EG10-1)*100),"NA",IF(((EI10/EG10-1)*100)&gt;100,"NM",IF(((EI10/EG10-1)*100)&lt;-50,"NM",(EI10/EG10-1)*100)))</f>
        <v>5.8461117807762086</v>
      </c>
      <c r="EK10" s="151">
        <f>INPUT!GX116+INPUT!GX177</f>
        <v>1620.9645054460577</v>
      </c>
      <c r="EL10" s="257">
        <f>IF(ISERROR((EK10/EI10-1)*100),"NA",IF(((EK10/EI10-1)*100)&gt;100,"NM",IF(((EK10/EI10-1)*100)&lt;-50,"NM",(EK10/EI10-1)*100)))</f>
        <v>6.2078224359515044</v>
      </c>
      <c r="EM10" s="61">
        <f>IF(ISERROR((EA10/DQ10)^0.2),"",IF(OR((EA10/DQ10)^0.2&lt;0.5,(EA10/DQ10)^0.2&gt;2),"NM",((EA10/DQ10)^0.2-1)*100))</f>
        <v>11.011752672245144</v>
      </c>
    </row>
    <row r="11" spans="1:143" ht="12.75" customHeight="1" x14ac:dyDescent="0.2">
      <c r="A11" s="690" t="s">
        <v>396</v>
      </c>
      <c r="B11" s="151">
        <f>INPUT!AY273</f>
        <v>69</v>
      </c>
      <c r="C11" s="507"/>
      <c r="D11" s="151">
        <f>INPUT!BA273</f>
        <v>147.1</v>
      </c>
      <c r="E11" s="507"/>
      <c r="F11" s="151">
        <f>INPUT!BC273</f>
        <v>122.79999999999991</v>
      </c>
      <c r="G11" s="507"/>
      <c r="H11" s="151">
        <f>INPUT!BE273</f>
        <v>157.30000000000001</v>
      </c>
      <c r="I11" s="507"/>
      <c r="J11" s="151">
        <f>INPUT!BG273</f>
        <v>166.60000000000011</v>
      </c>
      <c r="K11" s="507" t="str">
        <f>INPUT!BH273</f>
        <v>NM</v>
      </c>
      <c r="L11" s="151">
        <f>INPUT!BI273</f>
        <v>176.5</v>
      </c>
      <c r="M11" s="507">
        <f>INPUT!BJ273</f>
        <v>19.98640380693406</v>
      </c>
      <c r="N11" s="151">
        <f>INPUT!BK273</f>
        <v>181.8</v>
      </c>
      <c r="O11" s="507">
        <f>INPUT!BL273</f>
        <v>48.045602605863301</v>
      </c>
      <c r="P11" s="151">
        <f>INPUT!BM273</f>
        <v>170.59999999999985</v>
      </c>
      <c r="Q11" s="507">
        <f>INPUT!BN273</f>
        <v>8.4551811824538081</v>
      </c>
      <c r="R11" s="151">
        <f>INPUT!BO273</f>
        <v>157.40000000000012</v>
      </c>
      <c r="S11" s="507">
        <f>INPUT!BP273</f>
        <v>-5.5222088835534144</v>
      </c>
      <c r="T11" s="151">
        <f>INPUT!BQ273</f>
        <v>163.50000000000006</v>
      </c>
      <c r="U11" s="507">
        <f>INPUT!BR273</f>
        <v>-7.3654390934843832</v>
      </c>
      <c r="V11" s="151">
        <f>INPUT!BS273</f>
        <v>137.40000000000009</v>
      </c>
      <c r="W11" s="507">
        <f>INPUT!BT273</f>
        <v>-24.422442244224374</v>
      </c>
      <c r="X11" s="151">
        <f>INPUT!BU273</f>
        <v>82.5</v>
      </c>
      <c r="Y11" s="507" t="str">
        <f>INPUT!BV273</f>
        <v>NM</v>
      </c>
      <c r="Z11" s="151">
        <f>INPUT!BW273</f>
        <v>142.20000000000005</v>
      </c>
      <c r="AA11" s="507">
        <f>INPUT!BX273</f>
        <v>-9.6569250317662387</v>
      </c>
      <c r="AB11" s="151">
        <f>INPUT!BY273</f>
        <v>132.90000000000003</v>
      </c>
      <c r="AC11" s="507">
        <f>INPUT!BZ273</f>
        <v>-18.71559633027524</v>
      </c>
      <c r="AD11" s="151">
        <f>INPUT!CA273</f>
        <v>136.49999999999991</v>
      </c>
      <c r="AE11" s="507">
        <f>INPUT!CB273</f>
        <v>-0.65502183406126457</v>
      </c>
      <c r="AF11" s="151">
        <f>INPUT!CC273</f>
        <v>157.60000000000014</v>
      </c>
      <c r="AG11" s="507">
        <f>INPUT!CD273</f>
        <v>91.030303030303202</v>
      </c>
      <c r="AH11" s="151">
        <f>INPUT!CE273</f>
        <v>136.90000000000003</v>
      </c>
      <c r="AI11" s="507">
        <f>INPUT!CF273</f>
        <v>-3.727144866385379</v>
      </c>
      <c r="AJ11" s="151">
        <f>INPUT!CG273</f>
        <v>151.70000000000005</v>
      </c>
      <c r="AK11" s="507">
        <f>INPUT!CH273</f>
        <v>14.14597441685479</v>
      </c>
      <c r="AL11" s="151">
        <f>INPUT!CI273</f>
        <v>59.899999999999956</v>
      </c>
      <c r="AM11" s="507" t="str">
        <f>INPUT!CJ273</f>
        <v>NM</v>
      </c>
      <c r="AN11" s="151">
        <f>INPUT!CK273</f>
        <v>165.49999999999989</v>
      </c>
      <c r="AO11" s="507">
        <f>INPUT!CL273</f>
        <v>5.0126903553297852</v>
      </c>
      <c r="AP11" s="151">
        <f>INPUT!CM273</f>
        <v>142</v>
      </c>
      <c r="AQ11" s="507">
        <f>INPUT!CN273</f>
        <v>3.725346968590193</v>
      </c>
      <c r="AR11" s="151">
        <f>INPUT!CO273</f>
        <v>136.4</v>
      </c>
      <c r="AS11" s="507">
        <f>INPUT!CP273</f>
        <v>-10.085695451549137</v>
      </c>
      <c r="AT11" s="151">
        <f>INPUT!CQ273</f>
        <v>153.79999999999993</v>
      </c>
      <c r="AU11" s="507" t="str">
        <f>INPUT!CR273</f>
        <v>NM</v>
      </c>
      <c r="AV11" s="151">
        <f>INPUT!CS273</f>
        <v>135</v>
      </c>
      <c r="AW11" s="507">
        <f>INPUT!CT273</f>
        <v>-18.429003021147984</v>
      </c>
      <c r="AX11" s="151">
        <f>INPUT!CU273</f>
        <v>139</v>
      </c>
      <c r="AY11" s="507">
        <f>INPUT!CV273</f>
        <v>-2.1126760563380254</v>
      </c>
      <c r="AZ11" s="151">
        <f>INPUT!CW273</f>
        <v>135</v>
      </c>
      <c r="BA11" s="507">
        <f>INPUT!CX273</f>
        <v>-1.0263929618768319</v>
      </c>
      <c r="BB11" s="151">
        <f>INPUT!CY273</f>
        <v>152</v>
      </c>
      <c r="BC11" s="507">
        <f>INPUT!CZ273</f>
        <v>-1.1703511053315574</v>
      </c>
      <c r="BD11" s="151">
        <f>INPUT!DA273</f>
        <v>147</v>
      </c>
      <c r="BE11" s="507">
        <f>INPUT!DB273</f>
        <v>8.8888888888888786</v>
      </c>
      <c r="BF11" s="151">
        <f>INPUT!DC273</f>
        <v>112</v>
      </c>
      <c r="BG11" s="507">
        <f>INPUT!DD273</f>
        <v>-19.424460431654676</v>
      </c>
      <c r="BH11" s="151">
        <f>INPUT!DE273</f>
        <v>135</v>
      </c>
      <c r="BI11" s="507">
        <f>INPUT!DF273</f>
        <v>0</v>
      </c>
      <c r="BJ11" s="151">
        <f>INPUT!DG273</f>
        <v>140</v>
      </c>
      <c r="BK11" s="507">
        <f>INPUT!DH273</f>
        <v>-7.8947368421052655</v>
      </c>
      <c r="BL11" s="151">
        <f>INPUT!DI273</f>
        <v>157</v>
      </c>
      <c r="BM11" s="507">
        <f>INPUT!DJ273</f>
        <v>6.8027210884353817</v>
      </c>
      <c r="BN11" s="151">
        <f>INPUT!DK273</f>
        <v>120</v>
      </c>
      <c r="BO11" s="507">
        <f>INPUT!DL273</f>
        <v>7.1428571428571397</v>
      </c>
      <c r="BP11" s="151">
        <f>INPUT!DM273</f>
        <v>148</v>
      </c>
      <c r="BQ11" s="507">
        <f>INPUT!DN273</f>
        <v>9.6296296296296333</v>
      </c>
      <c r="BR11" s="151">
        <f>INPUT!DO273</f>
        <v>150</v>
      </c>
      <c r="BS11" s="507">
        <f>INPUT!DP273</f>
        <v>7.1428571428571397</v>
      </c>
      <c r="BT11" s="151">
        <f>INPUT!DQ273</f>
        <v>194</v>
      </c>
      <c r="BU11" s="507">
        <f>INPUT!DR273</f>
        <v>23.566878980891715</v>
      </c>
      <c r="BV11" s="151">
        <f>INPUT!DS273</f>
        <v>111</v>
      </c>
      <c r="BW11" s="507">
        <f>INPUT!DT273</f>
        <v>-7.4999999999999956</v>
      </c>
      <c r="BX11" s="151">
        <f>INPUT!DU273</f>
        <v>105</v>
      </c>
      <c r="BY11" s="507">
        <f>INPUT!DV273</f>
        <v>-29.054054054054056</v>
      </c>
      <c r="BZ11" s="151">
        <f>INPUT!DW273</f>
        <v>36</v>
      </c>
      <c r="CA11" s="507">
        <f>INPUT!DX273</f>
        <v>36</v>
      </c>
      <c r="CB11" s="151">
        <f>INPUT!DY273</f>
        <v>119</v>
      </c>
      <c r="CC11" s="507">
        <f>INPUT!DZ273</f>
        <v>-38.659793814432987</v>
      </c>
      <c r="CD11" s="151">
        <f>INPUT!EA273</f>
        <v>75</v>
      </c>
      <c r="CE11" s="507">
        <f>INPUT!EB273</f>
        <v>-32.432432432432435</v>
      </c>
      <c r="CF11" s="151">
        <f>INPUT!EC273</f>
        <v>120</v>
      </c>
      <c r="CG11" s="507">
        <f>INPUT!ED273</f>
        <v>14.285714285714279</v>
      </c>
      <c r="CH11" s="151">
        <f>INPUT!EE273</f>
        <v>167</v>
      </c>
      <c r="CI11" s="507" t="str">
        <f>INPUT!EF273</f>
        <v>NM</v>
      </c>
      <c r="CJ11" s="151">
        <f>INPUT!EG273</f>
        <v>154</v>
      </c>
      <c r="CK11" s="507">
        <f>INPUT!EH273</f>
        <v>29.411764705882359</v>
      </c>
      <c r="CL11" s="151">
        <f>INPUT!EI273</f>
        <v>130</v>
      </c>
      <c r="CM11" s="507">
        <f>INPUT!EJ273</f>
        <v>73.333333333333343</v>
      </c>
      <c r="CN11" s="151">
        <f>INPUT!EK273</f>
        <v>133</v>
      </c>
      <c r="CO11" s="507">
        <f>INPUT!EL273</f>
        <v>10.833333333333339</v>
      </c>
      <c r="CP11" s="151">
        <f>INPUT!EM273</f>
        <v>121</v>
      </c>
      <c r="CQ11" s="507">
        <f>INPUT!EN273</f>
        <v>-27.544910179640713</v>
      </c>
      <c r="CR11" s="151">
        <f>INPUT!EO273</f>
        <v>152</v>
      </c>
      <c r="CS11" s="507">
        <f>INPUT!EP273</f>
        <v>-1.2987012987012991</v>
      </c>
      <c r="CT11" s="151">
        <f>INPUT!EQ273</f>
        <v>143.65676411842998</v>
      </c>
      <c r="CU11" s="507">
        <f>INPUT!ER273</f>
        <v>10.505203168023058</v>
      </c>
      <c r="CV11" s="151">
        <f>INPUT!ES273</f>
        <v>160.01241597352637</v>
      </c>
      <c r="CW11" s="507">
        <f>INPUT!ET273</f>
        <v>20.310087198140138</v>
      </c>
      <c r="CX11" s="151">
        <f>INPUT!EU273</f>
        <v>159.92396102883831</v>
      </c>
      <c r="CY11" s="507">
        <f>INPUT!EV273</f>
        <v>32.16856283375067</v>
      </c>
      <c r="CZ11" s="151">
        <f>INPUT!EW273</f>
        <v>167.91237468114758</v>
      </c>
      <c r="DA11" s="507">
        <f>INPUT!EX273</f>
        <v>10.468667553386556</v>
      </c>
      <c r="DB11" s="507"/>
      <c r="DC11" s="151">
        <f>INPUT!FP273</f>
        <v>259.49999999999983</v>
      </c>
      <c r="DD11" s="507">
        <f>INPUT!FQ273</f>
        <v>0.97276264591432682</v>
      </c>
      <c r="DE11" s="151">
        <f>INPUT!FR273</f>
        <v>496.19999999999976</v>
      </c>
      <c r="DF11" s="507">
        <f>INPUT!FS273</f>
        <v>91.213872832369972</v>
      </c>
      <c r="DG11" s="151">
        <f>INPUT!FT273</f>
        <v>695.5</v>
      </c>
      <c r="DH11" s="507">
        <f>INPUT!FU273</f>
        <v>40.165255945183453</v>
      </c>
      <c r="DI11" s="151">
        <f>INPUT!FV273</f>
        <v>540.79999999999995</v>
      </c>
      <c r="DJ11" s="507">
        <f>INPUT!FW273</f>
        <v>-22.24299065420562</v>
      </c>
      <c r="DK11" s="151">
        <f>INPUT!FX273</f>
        <v>569.19999999999993</v>
      </c>
      <c r="DL11" s="507">
        <f>INPUT!FY273</f>
        <v>5.2514792899408302</v>
      </c>
      <c r="DM11" s="151">
        <f>INPUT!FZ273</f>
        <v>513.99999999999886</v>
      </c>
      <c r="DN11" s="507">
        <f>INPUT!GA273</f>
        <v>-9.6978215038652671</v>
      </c>
      <c r="DO11" s="151">
        <f>INPUT!GB273</f>
        <v>567.19999999999982</v>
      </c>
      <c r="DP11" s="507">
        <f>INPUT!GC273</f>
        <v>10.350194552529391</v>
      </c>
      <c r="DQ11" s="151">
        <f>INPUT!GD273</f>
        <v>573</v>
      </c>
      <c r="DR11" s="507">
        <f>INPUT!GE273</f>
        <v>1.0225669957687256</v>
      </c>
      <c r="DS11" s="151">
        <f>INPUT!GF273</f>
        <v>544</v>
      </c>
      <c r="DT11" s="507">
        <f>INPUT!GG273</f>
        <v>-5.0610820244328059</v>
      </c>
      <c r="DU11" s="151">
        <f>INPUT!GH273</f>
        <v>612</v>
      </c>
      <c r="DV11" s="507">
        <f>INPUT!GI273</f>
        <v>12.5</v>
      </c>
      <c r="DW11" s="151">
        <f>INPUT!GJ273</f>
        <v>371</v>
      </c>
      <c r="DX11" s="507">
        <f>INPUT!GK273</f>
        <v>-39.379084967320267</v>
      </c>
      <c r="DY11" s="151">
        <f>INPUT!GL273</f>
        <v>516</v>
      </c>
      <c r="DZ11" s="507">
        <f>INPUT!GM273</f>
        <v>39.083557951482483</v>
      </c>
      <c r="EA11" s="151">
        <f>INPUT!GN273</f>
        <v>536</v>
      </c>
      <c r="EB11" s="507">
        <f>INPUT!GO273</f>
        <v>3.8759689922480689</v>
      </c>
      <c r="EC11" s="151">
        <f>INPUT!GP273</f>
        <v>631.50551580194133</v>
      </c>
      <c r="ED11" s="507">
        <f>INPUT!GQ273</f>
        <v>17.818193246630855</v>
      </c>
      <c r="EE11" s="151">
        <f>INPUT!GR273</f>
        <v>638.91526599370604</v>
      </c>
      <c r="EF11" s="507">
        <f>INPUT!GS273</f>
        <v>1.1733468681354609</v>
      </c>
      <c r="EG11" s="151">
        <f>INPUT!GT273</f>
        <v>655.5039885975134</v>
      </c>
      <c r="EH11" s="507">
        <f>INPUT!GU273</f>
        <v>2.5963885176552903</v>
      </c>
      <c r="EI11" s="151">
        <f>INPUT!GV273</f>
        <v>677.03553103628781</v>
      </c>
      <c r="EJ11" s="507">
        <f>INPUT!GW273</f>
        <v>3.2847309571437222</v>
      </c>
      <c r="EK11" s="151">
        <f>INPUT!GX273</f>
        <v>699.2258994450317</v>
      </c>
      <c r="EL11" s="507">
        <f>INPUT!GY273</f>
        <v>3.2775781168794316</v>
      </c>
      <c r="EM11" s="507">
        <f>INPUT!GZ273</f>
        <v>5.460674177429925</v>
      </c>
    </row>
    <row r="12" spans="1:143" ht="12.75" customHeight="1" x14ac:dyDescent="0.2">
      <c r="A12" s="690" t="s">
        <v>130</v>
      </c>
      <c r="B12" s="151">
        <f>INPUT!AY309</f>
        <v>29.5</v>
      </c>
      <c r="C12" s="507"/>
      <c r="D12" s="151">
        <f>INPUT!BA309</f>
        <v>36.900000000000013</v>
      </c>
      <c r="E12" s="507"/>
      <c r="F12" s="151">
        <f>INPUT!BC309</f>
        <v>28.800000000000068</v>
      </c>
      <c r="G12" s="507"/>
      <c r="H12" s="151">
        <f>INPUT!BE309</f>
        <v>33.199999999999967</v>
      </c>
      <c r="I12" s="507"/>
      <c r="J12" s="151">
        <f>INPUT!BG309</f>
        <v>23.000000000000036</v>
      </c>
      <c r="K12" s="507">
        <f>INPUT!BH309</f>
        <v>-22.03389830508462</v>
      </c>
      <c r="L12" s="151">
        <f>INPUT!BI309</f>
        <v>28.900000000000023</v>
      </c>
      <c r="M12" s="507">
        <f>INPUT!BJ309</f>
        <v>-21.680216802167983</v>
      </c>
      <c r="N12" s="151">
        <f>INPUT!BK309</f>
        <v>33.200000000000024</v>
      </c>
      <c r="O12" s="507">
        <f>INPUT!BL309</f>
        <v>15.27777777777759</v>
      </c>
      <c r="P12" s="151">
        <f>INPUT!BM309</f>
        <v>28.199999999999978</v>
      </c>
      <c r="Q12" s="507">
        <f>INPUT!BN309</f>
        <v>-15.06024096385541</v>
      </c>
      <c r="R12" s="151">
        <f>INPUT!BO309</f>
        <v>26.099999999999955</v>
      </c>
      <c r="S12" s="507">
        <f>INPUT!BP309</f>
        <v>13.478260869564851</v>
      </c>
      <c r="T12" s="151">
        <f>INPUT!BQ309</f>
        <v>32.29999999999999</v>
      </c>
      <c r="U12" s="507">
        <f>INPUT!BR309</f>
        <v>11.764705882352811</v>
      </c>
      <c r="V12" s="151">
        <f>INPUT!BS309</f>
        <v>27.5</v>
      </c>
      <c r="W12" s="507">
        <f>INPUT!BT309</f>
        <v>-17.16867469879524</v>
      </c>
      <c r="X12" s="151">
        <f>INPUT!BU309</f>
        <v>18.399999999999977</v>
      </c>
      <c r="Y12" s="507">
        <f>INPUT!BV309</f>
        <v>-34.751773049645415</v>
      </c>
      <c r="Z12" s="151">
        <f>INPUT!BW309</f>
        <v>25.700000000000056</v>
      </c>
      <c r="AA12" s="507">
        <f>INPUT!BX309</f>
        <v>-1.5325670498080424</v>
      </c>
      <c r="AB12" s="151">
        <f>INPUT!BY309</f>
        <v>33.600000000000044</v>
      </c>
      <c r="AC12" s="507">
        <f>INPUT!BZ309</f>
        <v>4.0247678018577426</v>
      </c>
      <c r="AD12" s="151">
        <f>INPUT!CA309</f>
        <v>34.509999999999977</v>
      </c>
      <c r="AE12" s="507">
        <f>INPUT!CB309</f>
        <v>25.490909090909007</v>
      </c>
      <c r="AF12" s="151">
        <f>INPUT!CC309</f>
        <v>30.09999999999992</v>
      </c>
      <c r="AG12" s="507">
        <f>INPUT!CD309</f>
        <v>63.586956521738891</v>
      </c>
      <c r="AH12" s="151">
        <f>INPUT!CE309</f>
        <v>21.300000000000033</v>
      </c>
      <c r="AI12" s="507">
        <f>INPUT!CF309</f>
        <v>-17.120622568093435</v>
      </c>
      <c r="AJ12" s="151">
        <f>INPUT!CG309</f>
        <v>22.700000000000024</v>
      </c>
      <c r="AK12" s="507">
        <f>INPUT!CH309</f>
        <v>-32.440476190476211</v>
      </c>
      <c r="AL12" s="151">
        <f>INPUT!CI309</f>
        <v>9.5000000000000462</v>
      </c>
      <c r="AM12" s="507" t="str">
        <f>INPUT!CJ309</f>
        <v>NM</v>
      </c>
      <c r="AN12" s="151">
        <f>INPUT!CK309</f>
        <v>17.999999999999989</v>
      </c>
      <c r="AO12" s="507">
        <f>INPUT!CL309</f>
        <v>-40.199335548172634</v>
      </c>
      <c r="AP12" s="151">
        <f>INPUT!CM309</f>
        <v>24.100000000000101</v>
      </c>
      <c r="AQ12" s="507">
        <f>INPUT!CN309</f>
        <v>13.145539906103586</v>
      </c>
      <c r="AR12" s="151">
        <f>INPUT!CO309</f>
        <v>25.59999999999992</v>
      </c>
      <c r="AS12" s="507">
        <f>INPUT!CP309</f>
        <v>12.775330396475294</v>
      </c>
      <c r="AT12" s="151">
        <f>INPUT!CQ309</f>
        <v>26.799999999999955</v>
      </c>
      <c r="AU12" s="507" t="str">
        <f>INPUT!CR309</f>
        <v>NM</v>
      </c>
      <c r="AV12" s="151">
        <f>INPUT!CS309</f>
        <v>20</v>
      </c>
      <c r="AW12" s="507">
        <f>INPUT!CT309</f>
        <v>11.111111111111182</v>
      </c>
      <c r="AX12" s="151">
        <f>INPUT!CU309</f>
        <v>16</v>
      </c>
      <c r="AY12" s="507">
        <f>INPUT!CV309</f>
        <v>-33.609958506224345</v>
      </c>
      <c r="AZ12" s="151">
        <f>INPUT!CW309</f>
        <v>27</v>
      </c>
      <c r="BA12" s="507">
        <f>INPUT!CX309</f>
        <v>5.4687500000003331</v>
      </c>
      <c r="BB12" s="151">
        <f>INPUT!CY309</f>
        <v>16</v>
      </c>
      <c r="BC12" s="507">
        <f>INPUT!CZ309</f>
        <v>-40.298507462686459</v>
      </c>
      <c r="BD12" s="151">
        <f>INPUT!DA309</f>
        <v>13</v>
      </c>
      <c r="BE12" s="507">
        <f>INPUT!DB309</f>
        <v>-35</v>
      </c>
      <c r="BF12" s="151">
        <f>INPUT!DC309</f>
        <v>14</v>
      </c>
      <c r="BG12" s="507">
        <f>INPUT!DD309</f>
        <v>-12.5</v>
      </c>
      <c r="BH12" s="151">
        <f>INPUT!DE309</f>
        <v>22</v>
      </c>
      <c r="BI12" s="507">
        <f>INPUT!DF309</f>
        <v>-18.518518518518523</v>
      </c>
      <c r="BJ12" s="151">
        <f>INPUT!DG309</f>
        <v>23</v>
      </c>
      <c r="BK12" s="507">
        <f>INPUT!DH309</f>
        <v>43.75</v>
      </c>
      <c r="BL12" s="151">
        <f>INPUT!DI309</f>
        <v>11</v>
      </c>
      <c r="BM12" s="507">
        <f>INPUT!DJ309</f>
        <v>-15.384615384615385</v>
      </c>
      <c r="BN12" s="151">
        <f>INPUT!DK309</f>
        <v>20</v>
      </c>
      <c r="BO12" s="507">
        <f>INPUT!DL309</f>
        <v>42.857142857142861</v>
      </c>
      <c r="BP12" s="151">
        <f>INPUT!DM309</f>
        <v>2</v>
      </c>
      <c r="BQ12" s="507" t="str">
        <f>INPUT!DN309</f>
        <v>NM</v>
      </c>
      <c r="BR12" s="151">
        <f>INPUT!DO309</f>
        <v>8</v>
      </c>
      <c r="BS12" s="507" t="str">
        <f>INPUT!DP309</f>
        <v>NM</v>
      </c>
      <c r="BT12" s="151">
        <f>INPUT!DQ309</f>
        <v>-7</v>
      </c>
      <c r="BU12" s="507" t="str">
        <f>INPUT!DR309</f>
        <v>NM</v>
      </c>
      <c r="BV12" s="151">
        <f>INPUT!DS309</f>
        <v>-6</v>
      </c>
      <c r="BW12" s="507" t="str">
        <f>INPUT!DT309</f>
        <v>NM</v>
      </c>
      <c r="BX12" s="151">
        <f>INPUT!DU309</f>
        <v>19</v>
      </c>
      <c r="BY12" s="507" t="str">
        <f>INPUT!DV309</f>
        <v>NM</v>
      </c>
      <c r="BZ12" s="151">
        <f>INPUT!DW309</f>
        <v>17</v>
      </c>
      <c r="CA12" s="507">
        <f>INPUT!DX309</f>
        <v>17</v>
      </c>
      <c r="CB12" s="151">
        <f>INPUT!DY309</f>
        <v>13</v>
      </c>
      <c r="CC12" s="507" t="str">
        <f>INPUT!DZ309</f>
        <v>NM</v>
      </c>
      <c r="CD12" s="151">
        <f>INPUT!EA309</f>
        <v>5</v>
      </c>
      <c r="CE12" s="507" t="str">
        <f>INPUT!EB309</f>
        <v>NM</v>
      </c>
      <c r="CF12" s="151">
        <f>INPUT!EC309</f>
        <v>15</v>
      </c>
      <c r="CG12" s="507">
        <f>INPUT!ED309</f>
        <v>-21.052631578947366</v>
      </c>
      <c r="CH12" s="151">
        <f>INPUT!EE309</f>
        <v>28</v>
      </c>
      <c r="CI12" s="507">
        <f>INPUT!EF309</f>
        <v>64.705882352941174</v>
      </c>
      <c r="CJ12" s="151">
        <f>INPUT!EG309</f>
        <v>16</v>
      </c>
      <c r="CK12" s="507">
        <f>INPUT!EH309</f>
        <v>23.076923076923084</v>
      </c>
      <c r="CL12" s="151">
        <f>INPUT!EI309</f>
        <v>7</v>
      </c>
      <c r="CM12" s="507">
        <f>INPUT!EJ309</f>
        <v>39.999999999999993</v>
      </c>
      <c r="CN12" s="151">
        <f>INPUT!EK309</f>
        <v>35</v>
      </c>
      <c r="CO12" s="507" t="str">
        <f>INPUT!EL309</f>
        <v>NM</v>
      </c>
      <c r="CP12" s="151">
        <f>INPUT!EM309</f>
        <v>41</v>
      </c>
      <c r="CQ12" s="507">
        <f>INPUT!EN309</f>
        <v>46.428571428571416</v>
      </c>
      <c r="CR12" s="151">
        <f>INPUT!EO309</f>
        <v>20</v>
      </c>
      <c r="CS12" s="507">
        <f>INPUT!EP309</f>
        <v>25</v>
      </c>
      <c r="CT12" s="151">
        <f>INPUT!EQ309</f>
        <v>17.759357999999974</v>
      </c>
      <c r="CU12" s="507" t="str">
        <f>INPUT!ER309</f>
        <v>NM</v>
      </c>
      <c r="CV12" s="151">
        <f>INPUT!ES309</f>
        <v>29.276125433750021</v>
      </c>
      <c r="CW12" s="507">
        <f>INPUT!ET309</f>
        <v>-16.353927332142792</v>
      </c>
      <c r="CX12" s="151">
        <f>INPUT!EU309</f>
        <v>43.596592908068729</v>
      </c>
      <c r="CY12" s="507">
        <f>INPUT!EV309</f>
        <v>6.3331534343139761</v>
      </c>
      <c r="CZ12" s="151">
        <f>INPUT!EW309</f>
        <v>44.225634453952551</v>
      </c>
      <c r="DA12" s="507" t="str">
        <f>INPUT!EX309</f>
        <v>NM</v>
      </c>
      <c r="DB12" s="507"/>
      <c r="DC12" s="151">
        <f>INPUT!FP309</f>
        <v>86.722000000000122</v>
      </c>
      <c r="DD12" s="507">
        <f>INPUT!FQ309</f>
        <v>21.228472377544726</v>
      </c>
      <c r="DE12" s="151">
        <f>INPUT!FR309</f>
        <v>128.40000000000003</v>
      </c>
      <c r="DF12" s="507">
        <f>INPUT!FS309</f>
        <v>48.059315975184916</v>
      </c>
      <c r="DG12" s="151">
        <f>INPUT!FT309</f>
        <v>113.29999999999977</v>
      </c>
      <c r="DH12" s="507">
        <f>INPUT!FU309</f>
        <v>-11.760124610592104</v>
      </c>
      <c r="DI12" s="151">
        <f>INPUT!FV309</f>
        <v>104.3000000000001</v>
      </c>
      <c r="DJ12" s="507">
        <f>INPUT!FW309</f>
        <v>-7.9435127978814579</v>
      </c>
      <c r="DK12" s="151">
        <f>INPUT!FX309</f>
        <v>123.90999999999994</v>
      </c>
      <c r="DL12" s="507">
        <f>INPUT!FY309</f>
        <v>18.801534036433189</v>
      </c>
      <c r="DM12" s="151">
        <f>INPUT!FZ309</f>
        <v>71.500000000000085</v>
      </c>
      <c r="DN12" s="507">
        <f>INPUT!GA309</f>
        <v>-42.296828343152193</v>
      </c>
      <c r="DO12" s="151">
        <f>INPUT!GB309</f>
        <v>96.500000000000085</v>
      </c>
      <c r="DP12" s="507">
        <f>INPUT!GC309</f>
        <v>34.965034965034917</v>
      </c>
      <c r="DQ12" s="151">
        <f>INPUT!GD309</f>
        <v>72</v>
      </c>
      <c r="DR12" s="507">
        <f>INPUT!GE309</f>
        <v>-25.388601036269499</v>
      </c>
      <c r="DS12" s="151">
        <f>INPUT!GF309</f>
        <v>70</v>
      </c>
      <c r="DT12" s="507">
        <f>INPUT!GG309</f>
        <v>-2.777777777777779</v>
      </c>
      <c r="DU12" s="151">
        <f>INPUT!GH309</f>
        <v>23</v>
      </c>
      <c r="DV12" s="507" t="str">
        <f>INPUT!GI309</f>
        <v>NM</v>
      </c>
      <c r="DW12" s="151">
        <f>INPUT!GJ309</f>
        <v>43</v>
      </c>
      <c r="DX12" s="507">
        <f>INPUT!GK309</f>
        <v>86.956521739130437</v>
      </c>
      <c r="DY12" s="151">
        <f>INPUT!GL309</f>
        <v>64</v>
      </c>
      <c r="DZ12" s="507">
        <f>INPUT!GM309</f>
        <v>48.837209302325576</v>
      </c>
      <c r="EA12" s="151">
        <f>INPUT!GN309</f>
        <v>103</v>
      </c>
      <c r="EB12" s="507">
        <f>INPUT!GO309</f>
        <v>60.9375</v>
      </c>
      <c r="EC12" s="151">
        <f>INPUT!GP309</f>
        <v>134.85771079577151</v>
      </c>
      <c r="ED12" s="507">
        <f>INPUT!GQ309</f>
        <v>30.929816306574274</v>
      </c>
      <c r="EE12" s="151">
        <f>INPUT!GR309</f>
        <v>181.98288299719923</v>
      </c>
      <c r="EF12" s="507">
        <f>INPUT!GS309</f>
        <v>34.94436611992775</v>
      </c>
      <c r="EG12" s="151">
        <f>INPUT!GT309</f>
        <v>209.66092615708487</v>
      </c>
      <c r="EH12" s="507">
        <f>INPUT!GU309</f>
        <v>15.209146434014698</v>
      </c>
      <c r="EI12" s="151">
        <f>INPUT!GV309</f>
        <v>210.9387975805935</v>
      </c>
      <c r="EJ12" s="507">
        <f>INPUT!GW309</f>
        <v>0.60949431395300735</v>
      </c>
      <c r="EK12" s="151">
        <f>INPUT!GX309</f>
        <v>212.22764969707413</v>
      </c>
      <c r="EL12" s="507">
        <f>INPUT!GY309</f>
        <v>0.61100761512977719</v>
      </c>
      <c r="EM12" s="507">
        <f>INPUT!GZ309</f>
        <v>15.556119134803993</v>
      </c>
    </row>
    <row r="13" spans="1:143" ht="12.75" hidden="1" customHeight="1" outlineLevel="1" x14ac:dyDescent="0.2">
      <c r="A13" s="690" t="s">
        <v>313</v>
      </c>
      <c r="B13" s="151">
        <f>INPUT!AY346</f>
        <v>7.5000000000000071</v>
      </c>
      <c r="C13" s="507"/>
      <c r="D13" s="151">
        <f>INPUT!BA346</f>
        <v>16.099999999999991</v>
      </c>
      <c r="E13" s="507"/>
      <c r="F13" s="151">
        <f>INPUT!BC346</f>
        <v>12.800000000000008</v>
      </c>
      <c r="G13" s="507"/>
      <c r="H13" s="151">
        <f>INPUT!BE346</f>
        <v>12.699999999999983</v>
      </c>
      <c r="I13" s="507"/>
      <c r="J13" s="151">
        <f>INPUT!BG346</f>
        <v>11.499999999999995</v>
      </c>
      <c r="K13" s="507">
        <f>INPUT!BH346</f>
        <v>53.333333333333123</v>
      </c>
      <c r="L13" s="151">
        <f>INPUT!BI346</f>
        <v>10.499999999999986</v>
      </c>
      <c r="M13" s="507">
        <f>INPUT!BJ346</f>
        <v>0</v>
      </c>
      <c r="N13" s="151">
        <f>INPUT!BK346</f>
        <v>0</v>
      </c>
      <c r="O13" s="507">
        <f>INPUT!BL346</f>
        <v>0</v>
      </c>
      <c r="P13" s="151">
        <f>INPUT!BM346</f>
        <v>0</v>
      </c>
      <c r="Q13" s="507">
        <f>INPUT!BN346</f>
        <v>0</v>
      </c>
      <c r="R13" s="151">
        <f>INPUT!BO346</f>
        <v>0</v>
      </c>
      <c r="S13" s="507">
        <f>INPUT!BP346</f>
        <v>0</v>
      </c>
      <c r="T13" s="151">
        <f>INPUT!BQ346</f>
        <v>0</v>
      </c>
      <c r="U13" s="507">
        <f>INPUT!BR346</f>
        <v>0</v>
      </c>
      <c r="V13" s="151">
        <f>INPUT!BS346</f>
        <v>0</v>
      </c>
      <c r="W13" s="507">
        <f>INPUT!BT346</f>
        <v>0</v>
      </c>
      <c r="X13" s="151">
        <f>INPUT!BU346</f>
        <v>0</v>
      </c>
      <c r="Y13" s="507">
        <f>INPUT!BV346</f>
        <v>0</v>
      </c>
      <c r="Z13" s="151">
        <f>INPUT!BW346</f>
        <v>0</v>
      </c>
      <c r="AA13" s="507">
        <f>INPUT!BX346</f>
        <v>0</v>
      </c>
      <c r="AB13" s="151">
        <f>INPUT!BY346</f>
        <v>0</v>
      </c>
      <c r="AC13" s="507">
        <f>INPUT!BZ346</f>
        <v>0</v>
      </c>
      <c r="AD13" s="151">
        <f>INPUT!CA346</f>
        <v>0</v>
      </c>
      <c r="AE13" s="507">
        <f>INPUT!CB346</f>
        <v>0</v>
      </c>
      <c r="AF13" s="151">
        <f>INPUT!CC346</f>
        <v>0</v>
      </c>
      <c r="AG13" s="507">
        <f>INPUT!CD346</f>
        <v>0</v>
      </c>
      <c r="AH13" s="151">
        <f>INPUT!CE346</f>
        <v>0</v>
      </c>
      <c r="AI13" s="507">
        <f>INPUT!CF346</f>
        <v>0</v>
      </c>
      <c r="AJ13" s="151">
        <f>INPUT!CG346</f>
        <v>0</v>
      </c>
      <c r="AK13" s="507">
        <f>INPUT!CH346</f>
        <v>0</v>
      </c>
      <c r="AL13" s="151">
        <f>INPUT!CI346</f>
        <v>0</v>
      </c>
      <c r="AM13" s="507">
        <f>INPUT!CJ346</f>
        <v>0</v>
      </c>
      <c r="AN13" s="151">
        <f>INPUT!CK346</f>
        <v>0</v>
      </c>
      <c r="AO13" s="507">
        <f>INPUT!CL346</f>
        <v>0</v>
      </c>
      <c r="AP13" s="151">
        <f>INPUT!CM346</f>
        <v>0</v>
      </c>
      <c r="AQ13" s="507">
        <f>INPUT!CN346</f>
        <v>0</v>
      </c>
      <c r="AR13" s="151">
        <f>INPUT!CO346</f>
        <v>0</v>
      </c>
      <c r="AS13" s="507">
        <f>INPUT!CP346</f>
        <v>0</v>
      </c>
      <c r="AT13" s="151">
        <f>INPUT!CQ346</f>
        <v>0</v>
      </c>
      <c r="AU13" s="507">
        <f>INPUT!CR346</f>
        <v>0</v>
      </c>
      <c r="AV13" s="151">
        <f>INPUT!CS346</f>
        <v>0</v>
      </c>
      <c r="AW13" s="507">
        <f>INPUT!CT346</f>
        <v>0</v>
      </c>
      <c r="AX13" s="151">
        <f>INPUT!CU346</f>
        <v>0</v>
      </c>
      <c r="AY13" s="507">
        <f>INPUT!CV346</f>
        <v>0</v>
      </c>
      <c r="AZ13" s="151">
        <f>INPUT!CW346</f>
        <v>0</v>
      </c>
      <c r="BA13" s="507">
        <f>INPUT!CX346</f>
        <v>0</v>
      </c>
      <c r="BB13" s="151">
        <f>INPUT!CY346</f>
        <v>0</v>
      </c>
      <c r="BC13" s="507">
        <f>INPUT!CZ346</f>
        <v>0</v>
      </c>
      <c r="BD13" s="151">
        <f>INPUT!DA346</f>
        <v>0</v>
      </c>
      <c r="BE13" s="507">
        <f>INPUT!DB346</f>
        <v>0</v>
      </c>
      <c r="BF13" s="151">
        <f>INPUT!DC346</f>
        <v>0</v>
      </c>
      <c r="BG13" s="507">
        <f>INPUT!DD346</f>
        <v>0</v>
      </c>
      <c r="BH13" s="151">
        <f>INPUT!DE346</f>
        <v>0</v>
      </c>
      <c r="BI13" s="507">
        <f>INPUT!DF346</f>
        <v>0</v>
      </c>
      <c r="BJ13" s="151">
        <f>INPUT!DG346</f>
        <v>0</v>
      </c>
      <c r="BK13" s="507">
        <f>INPUT!DH346</f>
        <v>0</v>
      </c>
      <c r="BL13" s="151">
        <f>INPUT!DI346</f>
        <v>0</v>
      </c>
      <c r="BM13" s="507">
        <f>INPUT!DJ346</f>
        <v>0</v>
      </c>
      <c r="BN13" s="151">
        <f>INPUT!DK346</f>
        <v>0</v>
      </c>
      <c r="BO13" s="507">
        <f>INPUT!DL346</f>
        <v>0</v>
      </c>
      <c r="BP13" s="151">
        <f>INPUT!DM346</f>
        <v>0</v>
      </c>
      <c r="BQ13" s="507">
        <f>INPUT!DN346</f>
        <v>0</v>
      </c>
      <c r="BR13" s="151">
        <f>INPUT!DO346</f>
        <v>0</v>
      </c>
      <c r="BS13" s="507">
        <f>INPUT!DP346</f>
        <v>0</v>
      </c>
      <c r="BT13" s="151">
        <f>INPUT!DQ346</f>
        <v>0</v>
      </c>
      <c r="BU13" s="507">
        <f>INPUT!DR346</f>
        <v>0</v>
      </c>
      <c r="BV13" s="151">
        <f>INPUT!DS346</f>
        <v>0</v>
      </c>
      <c r="BW13" s="507">
        <f>INPUT!DT346</f>
        <v>0</v>
      </c>
      <c r="BX13" s="151">
        <f>INPUT!DU346</f>
        <v>0</v>
      </c>
      <c r="BY13" s="507">
        <f>INPUT!DV346</f>
        <v>0</v>
      </c>
      <c r="BZ13" s="151">
        <f>INPUT!DW346</f>
        <v>0</v>
      </c>
      <c r="CA13" s="507">
        <f>INPUT!DX346</f>
        <v>0</v>
      </c>
      <c r="CB13" s="151">
        <f>INPUT!DY346</f>
        <v>0</v>
      </c>
      <c r="CC13" s="507">
        <f>INPUT!DZ346</f>
        <v>0</v>
      </c>
      <c r="CD13" s="151">
        <f>INPUT!EA346</f>
        <v>0</v>
      </c>
      <c r="CE13" s="507">
        <f>INPUT!EB346</f>
        <v>0</v>
      </c>
      <c r="CF13" s="151">
        <f>INPUT!EC346</f>
        <v>0</v>
      </c>
      <c r="CG13" s="507">
        <f>INPUT!ED346</f>
        <v>0</v>
      </c>
      <c r="CH13" s="151">
        <f>INPUT!EE346</f>
        <v>0</v>
      </c>
      <c r="CI13" s="507">
        <f>INPUT!EF346</f>
        <v>0</v>
      </c>
      <c r="CJ13" s="151">
        <f>INPUT!EG346</f>
        <v>0</v>
      </c>
      <c r="CK13" s="507">
        <f>INPUT!EH346</f>
        <v>0</v>
      </c>
      <c r="CL13" s="151">
        <f>INPUT!EI346</f>
        <v>0</v>
      </c>
      <c r="CM13" s="507">
        <f>INPUT!EJ346</f>
        <v>0</v>
      </c>
      <c r="CN13" s="151">
        <f>INPUT!EK346</f>
        <v>0</v>
      </c>
      <c r="CO13" s="507">
        <f>INPUT!EL346</f>
        <v>0</v>
      </c>
      <c r="CP13" s="151">
        <f>INPUT!EM346</f>
        <v>0</v>
      </c>
      <c r="CQ13" s="507">
        <f>INPUT!EN346</f>
        <v>0</v>
      </c>
      <c r="CR13" s="151">
        <f>INPUT!EO346</f>
        <v>0</v>
      </c>
      <c r="CS13" s="507">
        <f>INPUT!EP346</f>
        <v>0</v>
      </c>
      <c r="CT13" s="151">
        <f>INPUT!EQ346</f>
        <v>0</v>
      </c>
      <c r="CU13" s="507">
        <f>INPUT!ER346</f>
        <v>0</v>
      </c>
      <c r="CV13" s="151">
        <f>INPUT!ES346</f>
        <v>0</v>
      </c>
      <c r="CW13" s="507">
        <f>INPUT!ET346</f>
        <v>0</v>
      </c>
      <c r="CX13" s="151">
        <f>INPUT!EU346</f>
        <v>0</v>
      </c>
      <c r="CY13" s="507">
        <f>INPUT!EV346</f>
        <v>0</v>
      </c>
      <c r="CZ13" s="151">
        <f>INPUT!EW346</f>
        <v>0</v>
      </c>
      <c r="DA13" s="507">
        <f>INPUT!EX346</f>
        <v>0</v>
      </c>
      <c r="DB13" s="507"/>
      <c r="DC13" s="151">
        <f>INPUT!FP346</f>
        <v>19.600000000000023</v>
      </c>
      <c r="DD13" s="507" t="str">
        <f>INPUT!FQ346</f>
        <v>NA</v>
      </c>
      <c r="DE13" s="151">
        <f>INPUT!FR346</f>
        <v>49.099999999999952</v>
      </c>
      <c r="DF13" s="507" t="str">
        <f>INPUT!FS346</f>
        <v>NM</v>
      </c>
      <c r="DG13" s="151">
        <f>INPUT!FT346</f>
        <v>21.999999999999964</v>
      </c>
      <c r="DH13" s="507">
        <f>INPUT!FU346</f>
        <v>0</v>
      </c>
      <c r="DI13" s="151">
        <f>INPUT!FV346</f>
        <v>0</v>
      </c>
      <c r="DJ13" s="507">
        <f>INPUT!FW346</f>
        <v>0</v>
      </c>
      <c r="DK13" s="151">
        <f>INPUT!FX346</f>
        <v>0</v>
      </c>
      <c r="DL13" s="507">
        <f>INPUT!FY346</f>
        <v>0</v>
      </c>
      <c r="DM13" s="151">
        <f>INPUT!FZ346</f>
        <v>0</v>
      </c>
      <c r="DN13" s="507">
        <f>INPUT!GA346</f>
        <v>0</v>
      </c>
      <c r="DO13" s="151">
        <f>INPUT!GB346</f>
        <v>0</v>
      </c>
      <c r="DP13" s="507">
        <f>INPUT!GC346</f>
        <v>0</v>
      </c>
      <c r="DQ13" s="151">
        <f>INPUT!GD346</f>
        <v>0</v>
      </c>
      <c r="DR13" s="507">
        <f>INPUT!GE346</f>
        <v>0</v>
      </c>
      <c r="DS13" s="151">
        <f>INPUT!GF346</f>
        <v>0</v>
      </c>
      <c r="DT13" s="507">
        <f>INPUT!GG346</f>
        <v>0</v>
      </c>
      <c r="DU13" s="151">
        <f>INPUT!GH346</f>
        <v>0</v>
      </c>
      <c r="DV13" s="507">
        <f>INPUT!GI346</f>
        <v>0</v>
      </c>
      <c r="DW13" s="151">
        <f>INPUT!GJ346</f>
        <v>0</v>
      </c>
      <c r="DX13" s="507">
        <f>INPUT!GK346</f>
        <v>0</v>
      </c>
      <c r="DY13" s="151">
        <f>INPUT!GL346</f>
        <v>0</v>
      </c>
      <c r="DZ13" s="507">
        <f>INPUT!GM346</f>
        <v>0</v>
      </c>
      <c r="EA13" s="151">
        <f>INPUT!GN346</f>
        <v>0</v>
      </c>
      <c r="EB13" s="507">
        <f>INPUT!GO346</f>
        <v>0</v>
      </c>
      <c r="EC13" s="151">
        <f>INPUT!GP346</f>
        <v>0</v>
      </c>
      <c r="ED13" s="507">
        <f>INPUT!GQ346</f>
        <v>0</v>
      </c>
      <c r="EE13" s="151">
        <f>INPUT!GR346</f>
        <v>0</v>
      </c>
      <c r="EF13" s="507">
        <f>INPUT!GS346</f>
        <v>0</v>
      </c>
      <c r="EG13" s="151">
        <f>INPUT!GT346</f>
        <v>0</v>
      </c>
      <c r="EH13" s="507">
        <f>INPUT!GU346</f>
        <v>0</v>
      </c>
      <c r="EI13" s="151">
        <f>INPUT!GV346</f>
        <v>0</v>
      </c>
      <c r="EJ13" s="507">
        <f>INPUT!GW346</f>
        <v>0</v>
      </c>
      <c r="EK13" s="151">
        <f>INPUT!GX346</f>
        <v>0</v>
      </c>
      <c r="EL13" s="507">
        <f>INPUT!GY346</f>
        <v>0</v>
      </c>
      <c r="EM13" s="507" t="str">
        <f>INPUT!GZ346</f>
        <v/>
      </c>
    </row>
    <row r="14" spans="1:143" ht="12.75" customHeight="1" collapsed="1" x14ac:dyDescent="0.2">
      <c r="A14" s="691" t="s">
        <v>263</v>
      </c>
      <c r="B14" s="151">
        <f>INPUT!AY273+INPUT!AY309</f>
        <v>98.5</v>
      </c>
      <c r="C14" s="61"/>
      <c r="D14" s="151">
        <f>INPUT!BA273+INPUT!BA309</f>
        <v>184</v>
      </c>
      <c r="E14" s="61"/>
      <c r="F14" s="151">
        <f>INPUT!BC273+INPUT!BC309</f>
        <v>151.59999999999997</v>
      </c>
      <c r="G14" s="61"/>
      <c r="H14" s="151">
        <f>INPUT!BE273+INPUT!BE309</f>
        <v>190.49999999999997</v>
      </c>
      <c r="I14" s="61"/>
      <c r="J14" s="151">
        <f>INPUT!BG273+INPUT!BG309</f>
        <v>189.60000000000014</v>
      </c>
      <c r="K14" s="61">
        <f>IF(ISERROR((J14/B14-1)*100),"NA",IF(((J14/B14-1)*100)&gt;100,"NM",IF(((J14/B14-1)*100)&lt;-50,"NM",(J14/B14-1)*100)))</f>
        <v>92.487309644670177</v>
      </c>
      <c r="L14" s="151">
        <f>INPUT!BI273+INPUT!BI309</f>
        <v>205.40000000000003</v>
      </c>
      <c r="M14" s="61">
        <f>IF(ISERROR((L14/D14-1)*100),"NA",IF(((L14/D14-1)*100)&gt;100,"NM",IF(((L14/D14-1)*100)&lt;-50,"NM",(L14/D14-1)*100)))</f>
        <v>11.630434782608724</v>
      </c>
      <c r="N14" s="151">
        <f>INPUT!BK273+INPUT!BK309</f>
        <v>215.00000000000003</v>
      </c>
      <c r="O14" s="61">
        <f>IF(ISERROR((N14/F14-1)*100),"NA",IF(((N14/F14-1)*100)&gt;100,"NM",IF(((N14/F14-1)*100)&lt;-50,"NM",(N14/F14-1)*100)))</f>
        <v>41.82058047493409</v>
      </c>
      <c r="P14" s="151">
        <f>INPUT!BM273+INPUT!BM309</f>
        <v>198.79999999999984</v>
      </c>
      <c r="Q14" s="61">
        <f>IF(ISERROR((P14/H14-1)*100),"NA",IF(((P14/H14-1)*100)&gt;100,"NM",IF(((P14/H14-1)*100)&lt;-50,"NM",(P14/H14-1)*100)))</f>
        <v>4.3569553805773653</v>
      </c>
      <c r="R14" s="151">
        <f>INPUT!BO273+INPUT!BO309</f>
        <v>183.50000000000009</v>
      </c>
      <c r="S14" s="61">
        <f>IF(ISERROR((R14/J14-1)*100),"NA",IF(((R14/J14-1)*100)&gt;100,"NM",IF(((R14/J14-1)*100)&lt;-50,"NM",(R14/J14-1)*100)))</f>
        <v>-3.2172995780590963</v>
      </c>
      <c r="T14" s="151">
        <f>INPUT!BQ273+INPUT!BQ309</f>
        <v>195.80000000000004</v>
      </c>
      <c r="U14" s="61">
        <f>IF(ISERROR((T14/L14-1)*100),"NA",IF(((T14/L14-1)*100)&gt;100,"NM",IF(((T14/L14-1)*100)&lt;-50,"NM",(T14/L14-1)*100)))</f>
        <v>-4.6738072054527731</v>
      </c>
      <c r="V14" s="151">
        <f>INPUT!BS273+INPUT!BS309</f>
        <v>164.90000000000009</v>
      </c>
      <c r="W14" s="61">
        <f>IF(ISERROR((V14/N14-1)*100),"NA",IF(((V14/N14-1)*100)&gt;100,"NM",IF(((V14/N14-1)*100)&lt;-50,"NM",(V14/N14-1)*100)))</f>
        <v>-23.302325581395312</v>
      </c>
      <c r="X14" s="151">
        <f>INPUT!BU273+INPUT!BU309</f>
        <v>100.89999999999998</v>
      </c>
      <c r="Y14" s="61">
        <f>IF(ISERROR((X14/P14-1)*100),"NA",IF(((X14/P14-1)*100)&gt;100,"NM",IF(((X14/P14-1)*100)&lt;-50,"NM",(X14/P14-1)*100)))</f>
        <v>-49.245472837022106</v>
      </c>
      <c r="Z14" s="151">
        <f>INPUT!BW273+INPUT!BW309</f>
        <v>167.90000000000009</v>
      </c>
      <c r="AA14" s="61">
        <f>IF(ISERROR((Z14/R14-1)*100),"NA",IF(((Z14/R14-1)*100)&gt;100,"NM",IF(((Z14/R14-1)*100)&lt;-50,"NM",(Z14/R14-1)*100)))</f>
        <v>-8.5013623978201558</v>
      </c>
      <c r="AB14" s="151">
        <f>INPUT!BY273+INPUT!BY309</f>
        <v>166.50000000000009</v>
      </c>
      <c r="AC14" s="61">
        <f>IF(ISERROR((AB14/T14-1)*100),"NA",IF(((AB14/T14-1)*100)&gt;100,"NM",IF(((AB14/T14-1)*100)&lt;-50,"NM",(AB14/T14-1)*100)))</f>
        <v>-14.964249233912131</v>
      </c>
      <c r="AD14" s="151">
        <f>INPUT!CA273+INPUT!CA309</f>
        <v>171.00999999999988</v>
      </c>
      <c r="AE14" s="61">
        <f>IF(ISERROR((AD14/V14-1)*100),"NA",IF(((AD14/V14-1)*100)&gt;100,"NM",IF(((AD14/V14-1)*100)&lt;-50,"NM",(AD14/V14-1)*100)))</f>
        <v>3.7052759248027867</v>
      </c>
      <c r="AF14" s="151">
        <f>INPUT!CC273+INPUT!CC309</f>
        <v>187.70000000000005</v>
      </c>
      <c r="AG14" s="61">
        <f>IF(ISERROR((AF14/X14-1)*100),"NA",IF(((AF14/X14-1)*100)&gt;100,"NM",IF(((AF14/X14-1)*100)&lt;-50,"NM",(AF14/X14-1)*100)))</f>
        <v>86.025768087215155</v>
      </c>
      <c r="AH14" s="151">
        <f>INPUT!CE273+INPUT!CE309</f>
        <v>158.20000000000007</v>
      </c>
      <c r="AI14" s="61">
        <f>IF(ISERROR((AH14/Z14-1)*100),"NA",IF(((AH14/Z14-1)*100)&gt;100,"NM",IF(((AH14/Z14-1)*100)&lt;-50,"NM",(AH14/Z14-1)*100)))</f>
        <v>-5.7772483621203126</v>
      </c>
      <c r="AJ14" s="151">
        <f>INPUT!CG273+INPUT!CG309</f>
        <v>174.40000000000006</v>
      </c>
      <c r="AK14" s="61">
        <f>IF(ISERROR((AJ14/AB14-1)*100),"NA",IF(((AJ14/AB14-1)*100)&gt;100,"NM",IF(((AJ14/AB14-1)*100)&lt;-50,"NM",(AJ14/AB14-1)*100)))</f>
        <v>4.7447447447447333</v>
      </c>
      <c r="AL14" s="151">
        <f>INPUT!CI273+INPUT!CI309</f>
        <v>69.400000000000006</v>
      </c>
      <c r="AM14" s="61" t="str">
        <f>IF(ISERROR((AL14/AD14-1)*100),"NA",IF(((AL14/AD14-1)*100)&gt;100,"NM",IF(((AL14/AD14-1)*100)&lt;-50,"NM",(AL14/AD14-1)*100)))</f>
        <v>NM</v>
      </c>
      <c r="AN14" s="151">
        <f>INPUT!CK273+INPUT!CK309</f>
        <v>183.49999999999989</v>
      </c>
      <c r="AO14" s="61">
        <f>IF(ISERROR((AN14/AF14-1)*100),"NA",IF(((AN14/AF14-1)*100)&gt;100,"NM",IF(((AN14/AF14-1)*100)&lt;-50,"NM",(AN14/AF14-1)*100)))</f>
        <v>-2.2376132125733417</v>
      </c>
      <c r="AP14" s="151">
        <f>INPUT!CM273+INPUT!CM309</f>
        <v>166.10000000000011</v>
      </c>
      <c r="AQ14" s="61">
        <f>IF(ISERROR((AP14/AH14-1)*100),"NA",IF(((AP14/AH14-1)*100)&gt;100,"NM",IF(((AP14/AH14-1)*100)&lt;-50,"NM",(AP14/AH14-1)*100)))</f>
        <v>4.9936788874842097</v>
      </c>
      <c r="AR14" s="151">
        <f>INPUT!CO273+INPUT!CO309</f>
        <v>161.99999999999991</v>
      </c>
      <c r="AS14" s="61">
        <f>IF(ISERROR((AR14/AJ14-1)*100),"NA",IF(((AR14/AJ14-1)*100)&gt;100,"NM",IF(((AR14/AJ14-1)*100)&lt;-50,"NM",(AR14/AJ14-1)*100)))</f>
        <v>-7.1100917431193515</v>
      </c>
      <c r="AT14" s="151">
        <f>INPUT!CQ273+INPUT!CQ309</f>
        <v>180.59999999999988</v>
      </c>
      <c r="AU14" s="61" t="str">
        <f>IF(ISERROR((AT14/AL14-1)*100),"NA",IF(((AT14/AL14-1)*100)&gt;100,"NM",IF(((AT14/AL14-1)*100)&lt;-50,"NM",(AT14/AL14-1)*100)))</f>
        <v>NM</v>
      </c>
      <c r="AV14" s="151">
        <f>INPUT!CS273+INPUT!CS309</f>
        <v>155</v>
      </c>
      <c r="AW14" s="61">
        <f>IF(ISERROR((AV14/AN14-1)*100),"NA",IF(((AV14/AN14-1)*100)&gt;100,"NM",IF(((AV14/AN14-1)*100)&lt;-50,"NM",(AV14/AN14-1)*100)))</f>
        <v>-15.531335149863711</v>
      </c>
      <c r="AX14" s="151">
        <f>INPUT!CU273+INPUT!CU309</f>
        <v>155</v>
      </c>
      <c r="AY14" s="61">
        <f>IF(ISERROR((AX14/AP14-1)*100),"NA",IF(((AX14/AP14-1)*100)&gt;100,"NM",IF(((AX14/AP14-1)*100)&lt;-50,"NM",(AX14/AP14-1)*100)))</f>
        <v>-6.6827212522577391</v>
      </c>
      <c r="AZ14" s="151">
        <f>INPUT!CW273+INPUT!CW309</f>
        <v>162</v>
      </c>
      <c r="BA14" s="61">
        <f>IF(ISERROR((AZ14/AR14-1)*100),"NA",IF(((AZ14/AR14-1)*100)&gt;100,"NM",IF(((AZ14/AR14-1)*100)&lt;-50,"NM",(AZ14/AR14-1)*100)))</f>
        <v>4.4408920985006262E-14</v>
      </c>
      <c r="BB14" s="151">
        <f>INPUT!CY273+INPUT!CY309</f>
        <v>168</v>
      </c>
      <c r="BC14" s="61">
        <f>IF(ISERROR((BB14/AT14-1)*100),"NA",IF(((BB14/AT14-1)*100)&gt;100,"NM",IF(((BB14/AT14-1)*100)&lt;-50,"NM",(BB14/AT14-1)*100)))</f>
        <v>-6.9767441860464459</v>
      </c>
      <c r="BD14" s="151">
        <f>INPUT!DA273+INPUT!DA309</f>
        <v>160</v>
      </c>
      <c r="BE14" s="61">
        <f>IF(ISERROR((BD14/AV14-1)*100),"NA",IF(((BD14/AV14-1)*100)&gt;100,"NM",IF(((BD14/AV14-1)*100)&lt;-50,"NM",(BD14/AV14-1)*100)))</f>
        <v>3.2258064516129004</v>
      </c>
      <c r="BF14" s="151">
        <f>INPUT!DC273+INPUT!DC309</f>
        <v>126</v>
      </c>
      <c r="BG14" s="61">
        <f>IF(ISERROR((BF14/AX14-1)*100),"NA",IF(((BF14/AX14-1)*100)&gt;100,"NM",IF(((BF14/AX14-1)*100)&lt;-50,"NM",(BF14/AX14-1)*100)))</f>
        <v>-18.709677419354843</v>
      </c>
      <c r="BH14" s="151">
        <f>INPUT!DE273+INPUT!DE309</f>
        <v>157</v>
      </c>
      <c r="BI14" s="61">
        <f>IF(ISERROR((BH14/AZ14-1)*100),"NA",IF(((BH14/AZ14-1)*100)&gt;100,"NM",IF(((BH14/AZ14-1)*100)&lt;-50,"NM",(BH14/AZ14-1)*100)))</f>
        <v>-3.0864197530864224</v>
      </c>
      <c r="BJ14" s="151">
        <f>INPUT!DG273+INPUT!DG309</f>
        <v>163</v>
      </c>
      <c r="BK14" s="61">
        <f>IF(ISERROR((BJ14/BB14-1)*100),"NA",IF(((BJ14/BB14-1)*100)&gt;100,"NM",IF(((BJ14/BB14-1)*100)&lt;-50,"NM",(BJ14/BB14-1)*100)))</f>
        <v>-2.9761904761904767</v>
      </c>
      <c r="BL14" s="151">
        <f>INPUT!DI273+INPUT!DI309</f>
        <v>168</v>
      </c>
      <c r="BM14" s="61">
        <f>IF(ISERROR((BL14/BD14-1)*100),"NA",IF(((BL14/BD14-1)*100)&gt;100,"NM",IF(((BL14/BD14-1)*100)&lt;-50,"NM",(BL14/BD14-1)*100)))</f>
        <v>5.0000000000000044</v>
      </c>
      <c r="BN14" s="151">
        <f>INPUT!DK273+INPUT!DK309</f>
        <v>140</v>
      </c>
      <c r="BO14" s="61">
        <f>IF(ISERROR((BN14/BF14-1)*100),"NA",IF(((BN14/BF14-1)*100)&gt;100,"NM",IF(((BN14/BF14-1)*100)&lt;-50,"NM",(BN14/BF14-1)*100)))</f>
        <v>11.111111111111116</v>
      </c>
      <c r="BP14" s="151">
        <f>INPUT!DM273+INPUT!DM309</f>
        <v>150</v>
      </c>
      <c r="BQ14" s="61">
        <f>IF(ISERROR((BP14/BH14-1)*100),"NA",IF(((BP14/BH14-1)*100)&gt;100,"NM",IF(((BP14/BH14-1)*100)&lt;-50,"NM",(BP14/BH14-1)*100)))</f>
        <v>-4.4585987261146487</v>
      </c>
      <c r="BR14" s="151">
        <f>INPUT!DO273+INPUT!DO309</f>
        <v>158</v>
      </c>
      <c r="BS14" s="61">
        <f>IF(ISERROR((BR14/BJ14-1)*100),"NA",IF(((BR14/BJ14-1)*100)&gt;100,"NM",IF(((BR14/BJ14-1)*100)&lt;-50,"NM",(BR14/BJ14-1)*100)))</f>
        <v>-3.0674846625766916</v>
      </c>
      <c r="BT14" s="151">
        <f>INPUT!DQ273+INPUT!DQ309</f>
        <v>187</v>
      </c>
      <c r="BU14" s="61">
        <f>IF(ISERROR((BT14/BL14-1)*100),"NA",IF(((BT14/BL14-1)*100)&gt;100,"NM",IF(((BT14/BL14-1)*100)&lt;-50,"NM",(BT14/BL14-1)*100)))</f>
        <v>11.309523809523814</v>
      </c>
      <c r="BV14" s="151">
        <f>INPUT!DS273+INPUT!DS309</f>
        <v>105</v>
      </c>
      <c r="BW14" s="61">
        <f>IF(ISERROR((BV14/BN14-1)*100),"NA",IF(((BV14/BN14-1)*100)&gt;100,"NM",IF(((BV14/BN14-1)*100)&lt;-50,"NM",(BV14/BN14-1)*100)))</f>
        <v>-25</v>
      </c>
      <c r="BX14" s="151">
        <f>INPUT!DU273+INPUT!DU309</f>
        <v>124</v>
      </c>
      <c r="BY14" s="61">
        <f>IF(ISERROR((BX14/BP14-1)*100),"NA",IF(((BX14/BP14-1)*100)&gt;100,"NM",IF(((BX14/BP14-1)*100)&lt;-50,"NM",(BX14/BP14-1)*100)))</f>
        <v>-17.333333333333336</v>
      </c>
      <c r="BZ14" s="151">
        <f>INPUT!DW273+INPUT!DW309</f>
        <v>53</v>
      </c>
      <c r="CA14" s="61" t="str">
        <f>IF(ISERROR((BZ14/BR14-1)*100),"NA",IF(((BZ14/BR14-1)*100)&gt;100,"NM",IF(((BZ14/BR14-1)*100)&lt;-50,"NM",(BZ14/BR14-1)*100)))</f>
        <v>NM</v>
      </c>
      <c r="CB14" s="151">
        <f>INPUT!DY273+INPUT!DY309</f>
        <v>132</v>
      </c>
      <c r="CC14" s="61">
        <f>IF(ISERROR((CB14/BT14-1)*100),"NA",IF(((CB14/BT14-1)*100)&gt;100,"NM",IF(((CB14/BT14-1)*100)&lt;-50,"NM",(CB14/BT14-1)*100)))</f>
        <v>-29.411764705882348</v>
      </c>
      <c r="CD14" s="151">
        <f>INPUT!EA273+INPUT!EA309</f>
        <v>80</v>
      </c>
      <c r="CE14" s="61">
        <f>IF(ISERROR((CD14/BV14-1)*100),"NA",IF(((CD14/BV14-1)*100)&gt;100,"NM",IF(((CD14/BV14-1)*100)&lt;-50,"NM",(CD14/BV14-1)*100)))</f>
        <v>-23.809523809523814</v>
      </c>
      <c r="CF14" s="151">
        <f>INPUT!EC273+INPUT!EC309</f>
        <v>135</v>
      </c>
      <c r="CG14" s="61">
        <f>IF(ISERROR((CF14/BX14-1)*100),"NA",IF(((CF14/BX14-1)*100)&gt;100,"NM",IF(((CF14/BX14-1)*100)&lt;-50,"NM",(CF14/BX14-1)*100)))</f>
        <v>8.8709677419354769</v>
      </c>
      <c r="CH14" s="151">
        <f>INPUT!EE273+INPUT!EE309</f>
        <v>195</v>
      </c>
      <c r="CI14" s="61" t="str">
        <f>IF(ISERROR((CH14/BZ14-1)*100),"NA",IF(((CH14/BZ14-1)*100)&gt;100,"NM",IF(((CH14/BZ14-1)*100)&lt;-50,"NM",(CH14/BZ14-1)*100)))</f>
        <v>NM</v>
      </c>
      <c r="CJ14" s="151">
        <f>INPUT!EG273+INPUT!EG309</f>
        <v>170</v>
      </c>
      <c r="CK14" s="61">
        <f>IF(ISERROR((CJ14/CB14-1)*100),"NA",IF(((CJ14/CB14-1)*100)&gt;100,"NM",IF(((CJ14/CB14-1)*100)&lt;-50,"NM",(CJ14/CB14-1)*100)))</f>
        <v>28.787878787878785</v>
      </c>
      <c r="CL14" s="151">
        <f>INPUT!EI273+INPUT!EI309</f>
        <v>137</v>
      </c>
      <c r="CM14" s="61">
        <f t="shared" ref="CM14" si="8">IF(ISERROR((CL14/CD14-1)*100),"NA",IF(((CL14/CD14-1)*100)&gt;100,"NM",IF(((CL14/CD14-1)*100)&lt;-50,"NM",(CL14/CD14-1)*100)))</f>
        <v>71.249999999999986</v>
      </c>
      <c r="CN14" s="151">
        <f>INPUT!EK273+INPUT!EK309</f>
        <v>168</v>
      </c>
      <c r="CO14" s="61">
        <f t="shared" ref="CO14" si="9">IF(ISERROR((CN14/CF14-1)*100),"NA",IF(((CN14/CF14-1)*100)&gt;100,"NM",IF(((CN14/CF14-1)*100)&lt;-50,"NM",(CN14/CF14-1)*100)))</f>
        <v>24.444444444444446</v>
      </c>
      <c r="CP14" s="151">
        <f>INPUT!EM273+INPUT!EM309</f>
        <v>162</v>
      </c>
      <c r="CQ14" s="61">
        <f t="shared" ref="CQ14" si="10">IF(ISERROR((CP14/CH14-1)*100),"NA",IF(((CP14/CH14-1)*100)&gt;100,"NM",IF(((CP14/CH14-1)*100)&lt;-50,"NM",(CP14/CH14-1)*100)))</f>
        <v>-16.92307692307692</v>
      </c>
      <c r="CR14" s="151">
        <f>INPUT!EO273+INPUT!EO309</f>
        <v>172</v>
      </c>
      <c r="CS14" s="61">
        <f t="shared" ref="CS14" si="11">IF(ISERROR((CR14/CJ14-1)*100),"NA",IF(((CR14/CJ14-1)*100)&gt;100,"NM",IF(((CR14/CJ14-1)*100)&lt;-50,"NM",(CR14/CJ14-1)*100)))</f>
        <v>1.1764705882352899</v>
      </c>
      <c r="CT14" s="151">
        <f>INPUT!EQ273+INPUT!EQ309</f>
        <v>161.41612211842994</v>
      </c>
      <c r="CU14" s="61">
        <f t="shared" ref="CU14" si="12">IF(ISERROR((CT14/CL14-1)*100),"NA",IF(((CT14/CL14-1)*100)&gt;100,"NM",IF(((CT14/CL14-1)*100)&lt;-50,"NM",(CT14/CL14-1)*100)))</f>
        <v>17.821986947759072</v>
      </c>
      <c r="CV14" s="151">
        <f>INPUT!ES273+INPUT!ES309</f>
        <v>189.2885414072764</v>
      </c>
      <c r="CW14" s="61">
        <f t="shared" ref="CW14" si="13">IF(ISERROR((CV14/CN14-1)*100),"NA",IF(((CV14/CN14-1)*100)&gt;100,"NM",IF(((CV14/CN14-1)*100)&lt;-50,"NM",(CV14/CN14-1)*100)))</f>
        <v>12.671750837664518</v>
      </c>
      <c r="CX14" s="151">
        <f>INPUT!EU273+INPUT!EU309</f>
        <v>203.52055393690705</v>
      </c>
      <c r="CY14" s="61">
        <f t="shared" ref="CY14" si="14">IF(ISERROR((CX14/CP14-1)*100),"NA",IF(((CX14/CP14-1)*100)&gt;100,"NM",IF(((CX14/CP14-1)*100)&lt;-50,"NM",(CX14/CP14-1)*100)))</f>
        <v>25.629971565992005</v>
      </c>
      <c r="CZ14" s="151">
        <f>INPUT!EW273+INPUT!EW309</f>
        <v>212.13800913510013</v>
      </c>
      <c r="DA14" s="61">
        <f t="shared" ref="DA14" si="15">IF(ISERROR((CZ14/CR14-1)*100),"NA",IF(((CZ14/CR14-1)*100)&gt;100,"NM",IF(((CZ14/CR14-1)*100)&lt;-50,"NM",(CZ14/CR14-1)*100)))</f>
        <v>23.336051822732639</v>
      </c>
      <c r="DB14" s="507"/>
      <c r="DC14" s="151">
        <f>INPUT!FP273+INPUT!FP309</f>
        <v>346.22199999999998</v>
      </c>
      <c r="DD14" s="257" t="str">
        <f>IF(ISERROR((DC14/DB14-1)*100),"NA",IF(((DC14/DB14-1)*100)&gt;100,"NM",IF(((DC14/DB14-1)*100)&lt;-50,"NM",(DC14/DB14-1)*100)))</f>
        <v>NA</v>
      </c>
      <c r="DE14" s="151">
        <f>INPUT!FR273+INPUT!FR309</f>
        <v>624.5999999999998</v>
      </c>
      <c r="DF14" s="257" t="str">
        <f>IF(ISERROR((DE14/DD14-1)*100),"NA",IF(((DE14/DD14-1)*100)&gt;100,"NM",IF(((DE14/DD14-1)*100)&lt;-50,"NM",(DE14/DD14-1)*100)))</f>
        <v>NA</v>
      </c>
      <c r="DG14" s="151">
        <f>INPUT!FT273+INPUT!FT309</f>
        <v>808.79999999999973</v>
      </c>
      <c r="DH14" s="257" t="str">
        <f>IF(ISERROR((DG14/DF14-1)*100),"NA",IF(((DG14/DF14-1)*100)&gt;100,"NM",IF(((DG14/DF14-1)*100)&lt;-50,"NM",(DG14/DF14-1)*100)))</f>
        <v>NA</v>
      </c>
      <c r="DI14" s="151">
        <f>INPUT!FV273+INPUT!FV309</f>
        <v>645.1</v>
      </c>
      <c r="DJ14" s="257">
        <f>IF(ISERROR((DI14/DG14-1)*100),"NA",IF(((DI14/DG14-1)*100)&gt;100,"NM",IF(((DI14/DG14-1)*100)&lt;-50,"NM",(DI14/DG14-1)*100)))</f>
        <v>-20.239861523244286</v>
      </c>
      <c r="DK14" s="151">
        <f>INPUT!FX273+INPUT!FX309</f>
        <v>693.1099999999999</v>
      </c>
      <c r="DL14" s="257">
        <f>IF(ISERROR((DK14/DI14-1)*100),"NA",IF(((DK14/DI14-1)*100)&gt;100,"NM",IF(((DK14/DI14-1)*100)&lt;-50,"NM",(DK14/DI14-1)*100)))</f>
        <v>7.4422570144163425</v>
      </c>
      <c r="DM14" s="151">
        <f>INPUT!FZ273+INPUT!FZ309</f>
        <v>585.49999999999898</v>
      </c>
      <c r="DN14" s="257">
        <f>IF(ISERROR((DM14/DK14-1)*100),"NA",IF(((DM14/DK14-1)*100)&gt;100,"NM",IF(((DM14/DK14-1)*100)&lt;-50,"NM",(DM14/DK14-1)*100)))</f>
        <v>-15.525674135418754</v>
      </c>
      <c r="DO14" s="151">
        <f>INPUT!GB273+INPUT!GB309</f>
        <v>663.69999999999993</v>
      </c>
      <c r="DP14" s="257">
        <f>IF(ISERROR((DO14/DM14-1)*100),"NA",IF(((DO14/DM14-1)*100)&gt;100,"NM",IF(((DO14/DM14-1)*100)&lt;-50,"NM",(DO14/DM14-1)*100)))</f>
        <v>13.356105892399839</v>
      </c>
      <c r="DQ14" s="151">
        <f>INPUT!GD273+INPUT!GD309</f>
        <v>645</v>
      </c>
      <c r="DR14" s="257">
        <f>IF(ISERROR((DQ14/DO14-1)*100),"NA",IF(((DQ14/DO14-1)*100)&gt;100,"NM",IF(((DQ14/DO14-1)*100)&lt;-50,"NM",(DQ14/DO14-1)*100)))</f>
        <v>-2.8175380442971076</v>
      </c>
      <c r="DS14" s="151">
        <f>INPUT!GF273+INPUT!GF309</f>
        <v>614</v>
      </c>
      <c r="DT14" s="257">
        <f>IF(ISERROR((DS14/DQ14-1)*100),"NA",IF(((DS14/DQ14-1)*100)&gt;100,"NM",IF(((DS14/DQ14-1)*100)&lt;-50,"NM",(DS14/DQ14-1)*100)))</f>
        <v>-4.806201550387601</v>
      </c>
      <c r="DU14" s="151">
        <f>INPUT!GH273+INPUT!GH309</f>
        <v>635</v>
      </c>
      <c r="DV14" s="257">
        <f>IF(ISERROR((DU14/DS14-1)*100),"NA",IF(((DU14/DS14-1)*100)&gt;100,"NM",IF(((DU14/DS14-1)*100)&lt;-50,"NM",(DU14/DS14-1)*100)))</f>
        <v>3.4201954397394152</v>
      </c>
      <c r="DW14" s="151">
        <f>INPUT!GJ273+INPUT!GJ309</f>
        <v>414</v>
      </c>
      <c r="DX14" s="257">
        <f>IF(ISERROR((DW14/DU14-1)*100),"NA",IF(((DW14/DU14-1)*100)&gt;100,"NM",IF(((DW14/DU14-1)*100)&lt;-50,"NM",(DW14/DU14-1)*100)))</f>
        <v>-34.803149606299208</v>
      </c>
      <c r="DY14" s="151">
        <f>INPUT!GL273+INPUT!GL309</f>
        <v>580</v>
      </c>
      <c r="DZ14" s="257">
        <f>IF(ISERROR((DY14/DW14-1)*100),"NA",IF(((DY14/DW14-1)*100)&gt;100,"NM",IF(((DY14/DW14-1)*100)&lt;-50,"NM",(DY14/DW14-1)*100)))</f>
        <v>40.096618357487927</v>
      </c>
      <c r="EA14" s="151">
        <f>INPUT!GN273+INPUT!GN309</f>
        <v>639</v>
      </c>
      <c r="EB14" s="257">
        <f>IF(ISERROR((EA14/DY14-1)*100),"NA",IF(((EA14/DY14-1)*100)&gt;100,"NM",IF(((EA14/DY14-1)*100)&lt;-50,"NM",(EA14/DY14-1)*100)))</f>
        <v>10.172413793103452</v>
      </c>
      <c r="EC14" s="151">
        <f>INPUT!GP273+INPUT!GP309</f>
        <v>766.36322659771281</v>
      </c>
      <c r="ED14" s="257">
        <f>IF(ISERROR((EC14/EA14-1)*100),"NA",IF(((EC14/EA14-1)*100)&gt;100,"NM",IF(((EC14/EA14-1)*100)&lt;-50,"NM",(EC14/EA14-1)*100)))</f>
        <v>19.931647354884639</v>
      </c>
      <c r="EE14" s="151">
        <f>INPUT!GR273+INPUT!GR309</f>
        <v>820.89814899090527</v>
      </c>
      <c r="EF14" s="257">
        <f>IF(ISERROR((EE14/EC14-1)*100),"NA",IF(((EE14/EC14-1)*100)&gt;100,"NM",IF(((EE14/EC14-1)*100)&lt;-50,"NM",(EE14/EC14-1)*100)))</f>
        <v>7.1160672251070256</v>
      </c>
      <c r="EG14" s="151">
        <f>INPUT!GT273+INPUT!GT309</f>
        <v>865.16491475459827</v>
      </c>
      <c r="EH14" s="257">
        <f>IF(ISERROR((EG14/EE14-1)*100),"NA",IF(((EG14/EE14-1)*100)&gt;100,"NM",IF(((EG14/EE14-1)*100)&lt;-50,"NM",(EG14/EE14-1)*100)))</f>
        <v>5.3924796660959951</v>
      </c>
      <c r="EI14" s="151">
        <f>INPUT!GV273+INPUT!GV309</f>
        <v>887.97432861688128</v>
      </c>
      <c r="EJ14" s="257">
        <f>IF(ISERROR((EI14/EG14-1)*100),"NA",IF(((EI14/EG14-1)*100)&gt;100,"NM",IF(((EI14/EG14-1)*100)&lt;-50,"NM",(EI14/EG14-1)*100)))</f>
        <v>2.6364238162331022</v>
      </c>
      <c r="EK14" s="151">
        <f>INPUT!GX273+INPUT!GX309</f>
        <v>911.45354914210589</v>
      </c>
      <c r="EL14" s="257">
        <f>IF(ISERROR((EK14/EI14-1)*100),"NA",IF(((EK14/EI14-1)*100)&gt;100,"NM",IF(((EK14/EI14-1)*100)&lt;-50,"NM",(EK14/EI14-1)*100)))</f>
        <v>2.6441328052575708</v>
      </c>
      <c r="EM14" s="61">
        <f>IF(ISERROR((EA14/DQ14)^0.2),"",IF(OR((EA14/DQ14)^0.2&lt;0.5,(EA14/DQ14)^0.2&gt;2),"NM",((EA14/DQ14)^0.2-1)*100))</f>
        <v>-0.18674266686732333</v>
      </c>
    </row>
    <row r="15" spans="1:143" ht="12.75" hidden="1" customHeight="1" outlineLevel="1" x14ac:dyDescent="0.2">
      <c r="A15" s="690" t="str">
        <f>INPUT!B529</f>
        <v>UK Life</v>
      </c>
      <c r="B15" s="151">
        <f>INPUT!AY529</f>
        <v>10.66</v>
      </c>
      <c r="C15" s="507"/>
      <c r="D15" s="151">
        <f>INPUT!BA529</f>
        <v>9.659999999999993</v>
      </c>
      <c r="E15" s="507"/>
      <c r="F15" s="151">
        <f>INPUT!BC529</f>
        <v>11.259999999999998</v>
      </c>
      <c r="G15" s="507"/>
      <c r="H15" s="151">
        <f>INPUT!BE529</f>
        <v>9.8599999999999977</v>
      </c>
      <c r="I15" s="507"/>
      <c r="J15" s="151">
        <f>INPUT!BG529</f>
        <v>0</v>
      </c>
      <c r="K15" s="507">
        <f>INPUT!BH529</f>
        <v>0</v>
      </c>
      <c r="L15" s="151">
        <f>INPUT!BI529</f>
        <v>0</v>
      </c>
      <c r="M15" s="507">
        <f>INPUT!BJ529</f>
        <v>0</v>
      </c>
      <c r="N15" s="151">
        <f>INPUT!BK529</f>
        <v>0</v>
      </c>
      <c r="O15" s="507">
        <f>INPUT!BL529</f>
        <v>0</v>
      </c>
      <c r="P15" s="151">
        <f>INPUT!BM529</f>
        <v>0</v>
      </c>
      <c r="Q15" s="507">
        <f>INPUT!BN529</f>
        <v>0</v>
      </c>
      <c r="R15" s="151">
        <f>INPUT!BO529</f>
        <v>0</v>
      </c>
      <c r="S15" s="507">
        <f>INPUT!BP529</f>
        <v>0</v>
      </c>
      <c r="T15" s="151">
        <f>INPUT!BQ529</f>
        <v>0</v>
      </c>
      <c r="U15" s="507">
        <f>INPUT!BR529</f>
        <v>0</v>
      </c>
      <c r="V15" s="151">
        <f>INPUT!BS529</f>
        <v>0</v>
      </c>
      <c r="W15" s="507">
        <f>INPUT!BT529</f>
        <v>0</v>
      </c>
      <c r="X15" s="151">
        <f>INPUT!BU529</f>
        <v>0</v>
      </c>
      <c r="Y15" s="507">
        <f>INPUT!BV529</f>
        <v>0</v>
      </c>
      <c r="Z15" s="151">
        <f>INPUT!BW529</f>
        <v>0</v>
      </c>
      <c r="AA15" s="507">
        <f>INPUT!BX529</f>
        <v>0</v>
      </c>
      <c r="AB15" s="151">
        <f>INPUT!BY529</f>
        <v>0</v>
      </c>
      <c r="AC15" s="507">
        <f>INPUT!BZ529</f>
        <v>0</v>
      </c>
      <c r="AD15" s="151">
        <f>INPUT!CA529</f>
        <v>0</v>
      </c>
      <c r="AE15" s="507">
        <f>INPUT!CB529</f>
        <v>0</v>
      </c>
      <c r="AF15" s="151">
        <f>INPUT!CC529</f>
        <v>0</v>
      </c>
      <c r="AG15" s="507">
        <f>INPUT!CD529</f>
        <v>0</v>
      </c>
      <c r="AH15" s="151">
        <f>INPUT!CE529</f>
        <v>0</v>
      </c>
      <c r="AI15" s="507">
        <f>INPUT!CF529</f>
        <v>0</v>
      </c>
      <c r="AJ15" s="151">
        <f>INPUT!CG529</f>
        <v>0</v>
      </c>
      <c r="AK15" s="507">
        <f>INPUT!CH529</f>
        <v>0</v>
      </c>
      <c r="AL15" s="151">
        <f>INPUT!CI529</f>
        <v>0</v>
      </c>
      <c r="AM15" s="507">
        <f>INPUT!CJ529</f>
        <v>0</v>
      </c>
      <c r="AN15" s="151">
        <f>INPUT!CK529</f>
        <v>0</v>
      </c>
      <c r="AO15" s="507">
        <f>INPUT!CL529</f>
        <v>0</v>
      </c>
      <c r="AP15" s="151">
        <f>INPUT!CM529</f>
        <v>0</v>
      </c>
      <c r="AQ15" s="507">
        <f>INPUT!CN529</f>
        <v>0</v>
      </c>
      <c r="AR15" s="151">
        <f>INPUT!CO529</f>
        <v>0</v>
      </c>
      <c r="AS15" s="507">
        <f>INPUT!CP529</f>
        <v>0</v>
      </c>
      <c r="AT15" s="151">
        <f>INPUT!CQ529</f>
        <v>0</v>
      </c>
      <c r="AU15" s="507">
        <f>INPUT!CR529</f>
        <v>0</v>
      </c>
      <c r="AV15" s="151">
        <f>INPUT!CS529</f>
        <v>0</v>
      </c>
      <c r="AW15" s="507">
        <f>INPUT!CT529</f>
        <v>0</v>
      </c>
      <c r="AX15" s="151">
        <f>INPUT!CU529</f>
        <v>0</v>
      </c>
      <c r="AY15" s="507">
        <f>INPUT!CV529</f>
        <v>0</v>
      </c>
      <c r="AZ15" s="151">
        <f>INPUT!CW529</f>
        <v>0</v>
      </c>
      <c r="BA15" s="507">
        <f>INPUT!CX529</f>
        <v>0</v>
      </c>
      <c r="BB15" s="151">
        <f>INPUT!CY529</f>
        <v>0</v>
      </c>
      <c r="BC15" s="507">
        <f>INPUT!CZ529</f>
        <v>0</v>
      </c>
      <c r="BD15" s="151">
        <f>INPUT!DA529</f>
        <v>0</v>
      </c>
      <c r="BE15" s="507">
        <f>INPUT!DB529</f>
        <v>0</v>
      </c>
      <c r="BF15" s="151">
        <f>INPUT!DC529</f>
        <v>0</v>
      </c>
      <c r="BG15" s="507">
        <f>INPUT!DD529</f>
        <v>0</v>
      </c>
      <c r="BH15" s="151">
        <f>INPUT!DE529</f>
        <v>0</v>
      </c>
      <c r="BI15" s="507">
        <f>INPUT!DF529</f>
        <v>0</v>
      </c>
      <c r="BJ15" s="151">
        <f>INPUT!DG529</f>
        <v>0</v>
      </c>
      <c r="BK15" s="507">
        <f>INPUT!DH529</f>
        <v>0</v>
      </c>
      <c r="BL15" s="151">
        <f>INPUT!DI529</f>
        <v>0</v>
      </c>
      <c r="BM15" s="507">
        <f>INPUT!DJ529</f>
        <v>0</v>
      </c>
      <c r="BN15" s="151">
        <f>INPUT!DK529</f>
        <v>0</v>
      </c>
      <c r="BO15" s="507">
        <f>INPUT!DL529</f>
        <v>0</v>
      </c>
      <c r="BP15" s="151">
        <f>INPUT!DM529</f>
        <v>0</v>
      </c>
      <c r="BQ15" s="507">
        <f>INPUT!DN529</f>
        <v>0</v>
      </c>
      <c r="BR15" s="151">
        <f>INPUT!DO529</f>
        <v>0</v>
      </c>
      <c r="BS15" s="507">
        <f>INPUT!DP529</f>
        <v>0</v>
      </c>
      <c r="BT15" s="151">
        <f>INPUT!DQ529</f>
        <v>0</v>
      </c>
      <c r="BU15" s="507">
        <f>INPUT!DR529</f>
        <v>0</v>
      </c>
      <c r="BV15" s="151">
        <f>INPUT!DS529</f>
        <v>0</v>
      </c>
      <c r="BW15" s="507">
        <f>INPUT!DT529</f>
        <v>0</v>
      </c>
      <c r="BX15" s="151">
        <f>INPUT!DU529</f>
        <v>0</v>
      </c>
      <c r="BY15" s="507">
        <f>INPUT!DV529</f>
        <v>0</v>
      </c>
      <c r="BZ15" s="151">
        <f>INPUT!DW529</f>
        <v>0</v>
      </c>
      <c r="CA15" s="507">
        <f>INPUT!DX529</f>
        <v>0</v>
      </c>
      <c r="CB15" s="151">
        <f>INPUT!DY529</f>
        <v>0</v>
      </c>
      <c r="CC15" s="507">
        <f>INPUT!DZ529</f>
        <v>0</v>
      </c>
      <c r="CD15" s="151">
        <f>INPUT!EA529</f>
        <v>0</v>
      </c>
      <c r="CE15" s="507">
        <f>INPUT!EB529</f>
        <v>0</v>
      </c>
      <c r="CF15" s="151">
        <f>INPUT!EC529</f>
        <v>0</v>
      </c>
      <c r="CG15" s="507">
        <f>INPUT!ED529</f>
        <v>0</v>
      </c>
      <c r="CH15" s="151">
        <f>INPUT!EE529</f>
        <v>0</v>
      </c>
      <c r="CI15" s="507">
        <f>INPUT!EF529</f>
        <v>0</v>
      </c>
      <c r="CJ15" s="151">
        <f>INPUT!EG529</f>
        <v>0</v>
      </c>
      <c r="CK15" s="507">
        <f>INPUT!EH529</f>
        <v>0</v>
      </c>
      <c r="CL15" s="151">
        <f>INPUT!EI529</f>
        <v>0</v>
      </c>
      <c r="CM15" s="507">
        <f>INPUT!EJ529</f>
        <v>0</v>
      </c>
      <c r="CN15" s="151">
        <f>INPUT!EK529</f>
        <v>0</v>
      </c>
      <c r="CO15" s="507">
        <f>INPUT!EL529</f>
        <v>0</v>
      </c>
      <c r="CP15" s="151">
        <f>INPUT!EM529</f>
        <v>0</v>
      </c>
      <c r="CQ15" s="507">
        <f>INPUT!EN529</f>
        <v>0</v>
      </c>
      <c r="CR15" s="151">
        <f>INPUT!EO529</f>
        <v>0</v>
      </c>
      <c r="CS15" s="507">
        <f>INPUT!EP529</f>
        <v>0</v>
      </c>
      <c r="CT15" s="151">
        <f>INPUT!EQ529</f>
        <v>0</v>
      </c>
      <c r="CU15" s="507">
        <f>INPUT!ER529</f>
        <v>0</v>
      </c>
      <c r="CV15" s="151">
        <f>INPUT!ES529</f>
        <v>0</v>
      </c>
      <c r="CW15" s="507">
        <f>INPUT!ET529</f>
        <v>0</v>
      </c>
      <c r="CX15" s="151">
        <f>INPUT!EU529</f>
        <v>0</v>
      </c>
      <c r="CY15" s="507">
        <f>INPUT!EV529</f>
        <v>0</v>
      </c>
      <c r="CZ15" s="151">
        <f>INPUT!EW529</f>
        <v>0</v>
      </c>
      <c r="DA15" s="507">
        <f>INPUT!EX529</f>
        <v>0</v>
      </c>
      <c r="DB15" s="507"/>
      <c r="DC15" s="151">
        <f>INPUT!FP529</f>
        <v>43.310000000000024</v>
      </c>
      <c r="DD15" s="507" t="str">
        <f>INPUT!FQ529</f>
        <v>NA</v>
      </c>
      <c r="DE15" s="151">
        <f>INPUT!FR529</f>
        <v>41.439999999999991</v>
      </c>
      <c r="DF15" s="507" t="str">
        <f>INPUT!FS529</f>
        <v>NA</v>
      </c>
      <c r="DG15" s="151">
        <f>INPUT!FT529</f>
        <v>0</v>
      </c>
      <c r="DH15" s="507">
        <f>INPUT!FU529</f>
        <v>0</v>
      </c>
      <c r="DI15" s="151">
        <f>INPUT!FV529</f>
        <v>0</v>
      </c>
      <c r="DJ15" s="507">
        <f>INPUT!FW529</f>
        <v>0</v>
      </c>
      <c r="DK15" s="151">
        <f>INPUT!FX529</f>
        <v>0</v>
      </c>
      <c r="DL15" s="507">
        <f>INPUT!FY529</f>
        <v>0</v>
      </c>
      <c r="DM15" s="151">
        <f>INPUT!FZ529</f>
        <v>0</v>
      </c>
      <c r="DN15" s="507">
        <f>INPUT!GA529</f>
        <v>0</v>
      </c>
      <c r="DO15" s="151">
        <f>INPUT!GB529</f>
        <v>0</v>
      </c>
      <c r="DP15" s="507">
        <f>INPUT!GC529</f>
        <v>0</v>
      </c>
      <c r="DQ15" s="151">
        <f>INPUT!GD529</f>
        <v>0</v>
      </c>
      <c r="DR15" s="507">
        <f>INPUT!GE529</f>
        <v>0</v>
      </c>
      <c r="DS15" s="151">
        <f>INPUT!GF529</f>
        <v>0</v>
      </c>
      <c r="DT15" s="507">
        <f>INPUT!GG529</f>
        <v>0</v>
      </c>
      <c r="DU15" s="151">
        <f>INPUT!GH529</f>
        <v>0</v>
      </c>
      <c r="DV15" s="507">
        <f>INPUT!GI529</f>
        <v>0</v>
      </c>
      <c r="DW15" s="151">
        <f>INPUT!GJ529</f>
        <v>0</v>
      </c>
      <c r="DX15" s="507">
        <f>INPUT!GK529</f>
        <v>0</v>
      </c>
      <c r="DY15" s="151">
        <f>INPUT!GL529</f>
        <v>0</v>
      </c>
      <c r="DZ15" s="507">
        <f>INPUT!GM529</f>
        <v>0</v>
      </c>
      <c r="EA15" s="151">
        <f>INPUT!GN529</f>
        <v>0</v>
      </c>
      <c r="EB15" s="507">
        <f>INPUT!GO529</f>
        <v>0</v>
      </c>
      <c r="EC15" s="151">
        <f>INPUT!GP529</f>
        <v>0</v>
      </c>
      <c r="ED15" s="507">
        <f>INPUT!GQ529</f>
        <v>0</v>
      </c>
      <c r="EE15" s="151">
        <f>INPUT!GR529</f>
        <v>0</v>
      </c>
      <c r="EF15" s="507">
        <f>INPUT!GS529</f>
        <v>0</v>
      </c>
      <c r="EG15" s="151">
        <f>INPUT!GT529</f>
        <v>0</v>
      </c>
      <c r="EH15" s="507">
        <f>INPUT!GU529</f>
        <v>0</v>
      </c>
      <c r="EI15" s="151">
        <f>INPUT!GV529</f>
        <v>0</v>
      </c>
      <c r="EJ15" s="507">
        <f>INPUT!GW529</f>
        <v>0</v>
      </c>
      <c r="EK15" s="151">
        <f>INPUT!GX529</f>
        <v>0</v>
      </c>
      <c r="EL15" s="507">
        <f>INPUT!GY529</f>
        <v>0</v>
      </c>
      <c r="EM15" s="507">
        <f>INPUT!GZ529</f>
        <v>0</v>
      </c>
    </row>
    <row r="16" spans="1:143" ht="12.75" hidden="1" customHeight="1" outlineLevel="1" x14ac:dyDescent="0.2">
      <c r="A16" s="690" t="str">
        <f>INPUT!B530</f>
        <v>Lincoln Financial Media</v>
      </c>
      <c r="B16" s="151">
        <f>INPUT!AY530</f>
        <v>11.2</v>
      </c>
      <c r="C16" s="507"/>
      <c r="D16" s="151">
        <f>INPUT!BA530</f>
        <v>-3.7</v>
      </c>
      <c r="E16" s="507"/>
      <c r="F16" s="151">
        <f>INPUT!BC530</f>
        <v>14.600000000000001</v>
      </c>
      <c r="G16" s="507"/>
      <c r="H16" s="151">
        <f>INPUT!BE530</f>
        <v>17.5</v>
      </c>
      <c r="I16" s="507"/>
      <c r="J16" s="151">
        <f>INPUT!BG530</f>
        <v>0</v>
      </c>
      <c r="K16" s="507">
        <f>INPUT!BH530</f>
        <v>0</v>
      </c>
      <c r="L16" s="151">
        <f>INPUT!BI530</f>
        <v>0</v>
      </c>
      <c r="M16" s="507">
        <f>INPUT!BJ530</f>
        <v>0</v>
      </c>
      <c r="N16" s="151">
        <f>INPUT!BK530</f>
        <v>0</v>
      </c>
      <c r="O16" s="507">
        <f>INPUT!BL530</f>
        <v>0</v>
      </c>
      <c r="P16" s="151">
        <f>INPUT!BM530</f>
        <v>0</v>
      </c>
      <c r="Q16" s="507">
        <f>INPUT!BN530</f>
        <v>0</v>
      </c>
      <c r="R16" s="151">
        <f>INPUT!BO530</f>
        <v>0</v>
      </c>
      <c r="S16" s="507">
        <f>INPUT!BP530</f>
        <v>0</v>
      </c>
      <c r="T16" s="151">
        <f>INPUT!BQ530</f>
        <v>0</v>
      </c>
      <c r="U16" s="507">
        <f>INPUT!BR530</f>
        <v>0</v>
      </c>
      <c r="V16" s="151">
        <f>INPUT!BS530</f>
        <v>0</v>
      </c>
      <c r="W16" s="507">
        <f>INPUT!BT530</f>
        <v>0</v>
      </c>
      <c r="X16" s="151">
        <f>INPUT!BU530</f>
        <v>0</v>
      </c>
      <c r="Y16" s="507">
        <f>INPUT!BV530</f>
        <v>0</v>
      </c>
      <c r="Z16" s="151">
        <f>INPUT!BW530</f>
        <v>0</v>
      </c>
      <c r="AA16" s="507">
        <f>INPUT!BX530</f>
        <v>0</v>
      </c>
      <c r="AB16" s="151">
        <f>INPUT!BY530</f>
        <v>0</v>
      </c>
      <c r="AC16" s="507">
        <f>INPUT!BZ530</f>
        <v>0</v>
      </c>
      <c r="AD16" s="151">
        <f>INPUT!CA530</f>
        <v>0</v>
      </c>
      <c r="AE16" s="507">
        <f>INPUT!CB530</f>
        <v>0</v>
      </c>
      <c r="AF16" s="151">
        <f>INPUT!CC530</f>
        <v>0</v>
      </c>
      <c r="AG16" s="507">
        <f>INPUT!CD530</f>
        <v>0</v>
      </c>
      <c r="AH16" s="151">
        <f>INPUT!CE530</f>
        <v>0</v>
      </c>
      <c r="AI16" s="507">
        <f>INPUT!CF530</f>
        <v>0</v>
      </c>
      <c r="AJ16" s="151">
        <f>INPUT!CG530</f>
        <v>0</v>
      </c>
      <c r="AK16" s="507">
        <f>INPUT!CH530</f>
        <v>0</v>
      </c>
      <c r="AL16" s="151">
        <f>INPUT!CI530</f>
        <v>0</v>
      </c>
      <c r="AM16" s="507">
        <f>INPUT!CJ530</f>
        <v>0</v>
      </c>
      <c r="AN16" s="151">
        <f>INPUT!CK530</f>
        <v>0</v>
      </c>
      <c r="AO16" s="507">
        <f>INPUT!CL530</f>
        <v>0</v>
      </c>
      <c r="AP16" s="151">
        <f>INPUT!CM530</f>
        <v>0</v>
      </c>
      <c r="AQ16" s="507">
        <f>INPUT!CN530</f>
        <v>0</v>
      </c>
      <c r="AR16" s="151">
        <f>INPUT!CO530</f>
        <v>0</v>
      </c>
      <c r="AS16" s="507">
        <f>INPUT!CP530</f>
        <v>0</v>
      </c>
      <c r="AT16" s="151">
        <f>INPUT!CQ530</f>
        <v>0</v>
      </c>
      <c r="AU16" s="507">
        <f>INPUT!CR530</f>
        <v>0</v>
      </c>
      <c r="AV16" s="151">
        <f>INPUT!CS530</f>
        <v>0</v>
      </c>
      <c r="AW16" s="507">
        <f>INPUT!CT530</f>
        <v>0</v>
      </c>
      <c r="AX16" s="151">
        <f>INPUT!CU530</f>
        <v>0</v>
      </c>
      <c r="AY16" s="507">
        <f>INPUT!CV530</f>
        <v>0</v>
      </c>
      <c r="AZ16" s="151">
        <f>INPUT!CW530</f>
        <v>0</v>
      </c>
      <c r="BA16" s="507">
        <f>INPUT!CX530</f>
        <v>0</v>
      </c>
      <c r="BB16" s="151">
        <f>INPUT!CY530</f>
        <v>0</v>
      </c>
      <c r="BC16" s="507">
        <f>INPUT!CZ530</f>
        <v>0</v>
      </c>
      <c r="BD16" s="151">
        <f>INPUT!DA530</f>
        <v>0</v>
      </c>
      <c r="BE16" s="507">
        <f>INPUT!DB530</f>
        <v>0</v>
      </c>
      <c r="BF16" s="151">
        <f>INPUT!DC530</f>
        <v>0</v>
      </c>
      <c r="BG16" s="507">
        <f>INPUT!DD530</f>
        <v>0</v>
      </c>
      <c r="BH16" s="151">
        <f>INPUT!DE530</f>
        <v>0</v>
      </c>
      <c r="BI16" s="507">
        <f>INPUT!DF530</f>
        <v>0</v>
      </c>
      <c r="BJ16" s="151">
        <f>INPUT!DG530</f>
        <v>0</v>
      </c>
      <c r="BK16" s="507">
        <f>INPUT!DH530</f>
        <v>0</v>
      </c>
      <c r="BL16" s="151">
        <f>INPUT!DI530</f>
        <v>0</v>
      </c>
      <c r="BM16" s="507">
        <f>INPUT!DJ530</f>
        <v>0</v>
      </c>
      <c r="BN16" s="151">
        <f>INPUT!DK530</f>
        <v>0</v>
      </c>
      <c r="BO16" s="507">
        <f>INPUT!DL530</f>
        <v>0</v>
      </c>
      <c r="BP16" s="151">
        <f>INPUT!DM530</f>
        <v>0</v>
      </c>
      <c r="BQ16" s="507">
        <f>INPUT!DN530</f>
        <v>0</v>
      </c>
      <c r="BR16" s="151">
        <f>INPUT!DO530</f>
        <v>0</v>
      </c>
      <c r="BS16" s="507">
        <f>INPUT!DP530</f>
        <v>0</v>
      </c>
      <c r="BT16" s="151">
        <f>INPUT!DQ530</f>
        <v>0</v>
      </c>
      <c r="BU16" s="507">
        <f>INPUT!DR530</f>
        <v>0</v>
      </c>
      <c r="BV16" s="151">
        <f>INPUT!DS530</f>
        <v>0</v>
      </c>
      <c r="BW16" s="507">
        <f>INPUT!DT530</f>
        <v>0</v>
      </c>
      <c r="BX16" s="151">
        <f>INPUT!DU530</f>
        <v>0</v>
      </c>
      <c r="BY16" s="507">
        <f>INPUT!DV530</f>
        <v>0</v>
      </c>
      <c r="BZ16" s="151">
        <f>INPUT!DW530</f>
        <v>0</v>
      </c>
      <c r="CA16" s="507">
        <f>INPUT!DX530</f>
        <v>0</v>
      </c>
      <c r="CB16" s="151">
        <f>INPUT!DY530</f>
        <v>0</v>
      </c>
      <c r="CC16" s="507">
        <f>INPUT!DZ530</f>
        <v>0</v>
      </c>
      <c r="CD16" s="151">
        <f>INPUT!EA530</f>
        <v>0</v>
      </c>
      <c r="CE16" s="507">
        <f>INPUT!EB530</f>
        <v>0</v>
      </c>
      <c r="CF16" s="151">
        <f>INPUT!EC530</f>
        <v>0</v>
      </c>
      <c r="CG16" s="507">
        <f>INPUT!ED530</f>
        <v>0</v>
      </c>
      <c r="CH16" s="151">
        <f>INPUT!EE530</f>
        <v>0</v>
      </c>
      <c r="CI16" s="507">
        <f>INPUT!EF530</f>
        <v>0</v>
      </c>
      <c r="CJ16" s="151">
        <f>INPUT!EG530</f>
        <v>0</v>
      </c>
      <c r="CK16" s="507">
        <f>INPUT!EH530</f>
        <v>0</v>
      </c>
      <c r="CL16" s="151">
        <f>INPUT!EI530</f>
        <v>0</v>
      </c>
      <c r="CM16" s="507">
        <f>INPUT!EJ530</f>
        <v>0</v>
      </c>
      <c r="CN16" s="151">
        <f>INPUT!EK530</f>
        <v>0</v>
      </c>
      <c r="CO16" s="507">
        <f>INPUT!EL530</f>
        <v>0</v>
      </c>
      <c r="CP16" s="151">
        <f>INPUT!EM530</f>
        <v>0</v>
      </c>
      <c r="CQ16" s="507">
        <f>INPUT!EN530</f>
        <v>0</v>
      </c>
      <c r="CR16" s="151">
        <f>INPUT!EO530</f>
        <v>0</v>
      </c>
      <c r="CS16" s="507">
        <f>INPUT!EP530</f>
        <v>0</v>
      </c>
      <c r="CT16" s="151">
        <f>INPUT!EQ530</f>
        <v>0</v>
      </c>
      <c r="CU16" s="507">
        <f>INPUT!ER530</f>
        <v>0</v>
      </c>
      <c r="CV16" s="151">
        <f>INPUT!ES530</f>
        <v>0</v>
      </c>
      <c r="CW16" s="507">
        <f>INPUT!ET530</f>
        <v>0</v>
      </c>
      <c r="CX16" s="151">
        <f>INPUT!EU530</f>
        <v>0</v>
      </c>
      <c r="CY16" s="507">
        <f>INPUT!EV530</f>
        <v>0</v>
      </c>
      <c r="CZ16" s="151">
        <f>INPUT!EW530</f>
        <v>0</v>
      </c>
      <c r="DA16" s="507">
        <f>INPUT!EX530</f>
        <v>0</v>
      </c>
      <c r="DB16" s="507"/>
      <c r="DC16" s="151">
        <f>INPUT!FP530</f>
        <v>57.623999999999995</v>
      </c>
      <c r="DD16" s="507" t="str">
        <f>INPUT!FQ530</f>
        <v>NA</v>
      </c>
      <c r="DE16" s="151">
        <f>INPUT!FR530</f>
        <v>39.6</v>
      </c>
      <c r="DF16" s="507" t="str">
        <f>INPUT!FS530</f>
        <v>NA</v>
      </c>
      <c r="DG16" s="151">
        <f>INPUT!FT530</f>
        <v>0</v>
      </c>
      <c r="DH16" s="507">
        <f>INPUT!FU530</f>
        <v>0</v>
      </c>
      <c r="DI16" s="151">
        <f>INPUT!FV530</f>
        <v>0</v>
      </c>
      <c r="DJ16" s="507">
        <f>INPUT!FW530</f>
        <v>0</v>
      </c>
      <c r="DK16" s="151">
        <f>INPUT!FX530</f>
        <v>0</v>
      </c>
      <c r="DL16" s="507">
        <f>INPUT!FY530</f>
        <v>0</v>
      </c>
      <c r="DM16" s="151">
        <f>INPUT!FZ530</f>
        <v>0</v>
      </c>
      <c r="DN16" s="507">
        <f>INPUT!GA530</f>
        <v>0</v>
      </c>
      <c r="DO16" s="151">
        <f>INPUT!GB530</f>
        <v>0</v>
      </c>
      <c r="DP16" s="507">
        <f>INPUT!GC530</f>
        <v>0</v>
      </c>
      <c r="DQ16" s="151">
        <f>INPUT!GD530</f>
        <v>0</v>
      </c>
      <c r="DR16" s="507">
        <f>INPUT!GE530</f>
        <v>0</v>
      </c>
      <c r="DS16" s="151">
        <f>INPUT!GF530</f>
        <v>0</v>
      </c>
      <c r="DT16" s="507">
        <f>INPUT!GG530</f>
        <v>0</v>
      </c>
      <c r="DU16" s="151">
        <f>INPUT!GH530</f>
        <v>0</v>
      </c>
      <c r="DV16" s="507">
        <f>INPUT!GI530</f>
        <v>0</v>
      </c>
      <c r="DW16" s="151">
        <f>INPUT!GJ530</f>
        <v>0</v>
      </c>
      <c r="DX16" s="507">
        <f>INPUT!GK530</f>
        <v>0</v>
      </c>
      <c r="DY16" s="151">
        <f>INPUT!GL530</f>
        <v>0</v>
      </c>
      <c r="DZ16" s="507">
        <f>INPUT!GM530</f>
        <v>0</v>
      </c>
      <c r="EA16" s="151">
        <f>INPUT!GN530</f>
        <v>0</v>
      </c>
      <c r="EB16" s="507">
        <f>INPUT!GO530</f>
        <v>0</v>
      </c>
      <c r="EC16" s="151">
        <f>INPUT!GP530</f>
        <v>0</v>
      </c>
      <c r="ED16" s="507">
        <f>INPUT!GQ530</f>
        <v>0</v>
      </c>
      <c r="EE16" s="151">
        <f>INPUT!GR530</f>
        <v>0</v>
      </c>
      <c r="EF16" s="507">
        <f>INPUT!GS530</f>
        <v>0</v>
      </c>
      <c r="EG16" s="151">
        <f>INPUT!GT530</f>
        <v>0</v>
      </c>
      <c r="EH16" s="507">
        <f>INPUT!GU530</f>
        <v>0</v>
      </c>
      <c r="EI16" s="151">
        <f>INPUT!GV530</f>
        <v>0</v>
      </c>
      <c r="EJ16" s="507">
        <f>INPUT!GW530</f>
        <v>0</v>
      </c>
      <c r="EK16" s="151">
        <f>INPUT!GX530</f>
        <v>0</v>
      </c>
      <c r="EL16" s="507">
        <f>INPUT!GY530</f>
        <v>0</v>
      </c>
      <c r="EM16" s="507">
        <f>INPUT!GZ530</f>
        <v>0</v>
      </c>
    </row>
    <row r="17" spans="1:143" ht="12.75" customHeight="1" collapsed="1" x14ac:dyDescent="0.2">
      <c r="A17" s="690" t="s">
        <v>609</v>
      </c>
      <c r="B17" s="151">
        <f>INPUT!AY485</f>
        <v>0.20000000000000018</v>
      </c>
      <c r="C17" s="507"/>
      <c r="D17" s="151">
        <f>INPUT!BA485</f>
        <v>-26</v>
      </c>
      <c r="E17" s="507"/>
      <c r="F17" s="151">
        <f>INPUT!BC485</f>
        <v>-11.399999999999997</v>
      </c>
      <c r="G17" s="507"/>
      <c r="H17" s="151">
        <f>INPUT!BE485</f>
        <v>-38.4</v>
      </c>
      <c r="I17" s="507"/>
      <c r="J17" s="151">
        <f>INPUT!BG485</f>
        <v>-28.100000000000005</v>
      </c>
      <c r="K17" s="507" t="str">
        <f>INPUT!BH485</f>
        <v>NM</v>
      </c>
      <c r="L17" s="151">
        <f>INPUT!BI485</f>
        <v>-36.100000000000016</v>
      </c>
      <c r="M17" s="507">
        <f>INPUT!BJ485</f>
        <v>38.846153846153911</v>
      </c>
      <c r="N17" s="151">
        <f>INPUT!BK485</f>
        <v>-49.800000000000018</v>
      </c>
      <c r="O17" s="507" t="str">
        <f>INPUT!BL485</f>
        <v>NM</v>
      </c>
      <c r="P17" s="151">
        <f>INPUT!BM485</f>
        <v>-59.299999999999969</v>
      </c>
      <c r="Q17" s="507">
        <f>INPUT!BN485</f>
        <v>54.427083333333258</v>
      </c>
      <c r="R17" s="151">
        <f>INPUT!BO485</f>
        <v>-42.3</v>
      </c>
      <c r="S17" s="507">
        <f>INPUT!BP485</f>
        <v>50.533807829181463</v>
      </c>
      <c r="T17" s="151">
        <f>INPUT!BQ485</f>
        <v>-44.70000000000001</v>
      </c>
      <c r="U17" s="507">
        <f>INPUT!BR485</f>
        <v>23.822714681440416</v>
      </c>
      <c r="V17" s="151">
        <f>INPUT!BS485</f>
        <v>-39.9</v>
      </c>
      <c r="W17" s="507">
        <f>INPUT!BT485</f>
        <v>-19.879518072289194</v>
      </c>
      <c r="X17" s="151">
        <f>INPUT!BU485</f>
        <v>-55.2</v>
      </c>
      <c r="Y17" s="507">
        <f>INPUT!BV485</f>
        <v>-6.9139966273186637</v>
      </c>
      <c r="Z17" s="151">
        <f>INPUT!BW485</f>
        <v>-108.50000000000001</v>
      </c>
      <c r="AA17" s="507" t="str">
        <f>INPUT!BX485</f>
        <v>NM</v>
      </c>
      <c r="AB17" s="151">
        <f>INPUT!BY485</f>
        <v>-52.299999999999983</v>
      </c>
      <c r="AC17" s="507">
        <f>INPUT!BZ485</f>
        <v>17.002237136465268</v>
      </c>
      <c r="AD17" s="151">
        <f>INPUT!CA485</f>
        <v>-32.6</v>
      </c>
      <c r="AE17" s="507">
        <f>INPUT!CB485</f>
        <v>-18.295739348370923</v>
      </c>
      <c r="AF17" s="151">
        <f>INPUT!CC485</f>
        <v>-43.499999999999986</v>
      </c>
      <c r="AG17" s="507">
        <f>INPUT!CD485</f>
        <v>-21.195652173913071</v>
      </c>
      <c r="AH17" s="151">
        <f>INPUT!CE485</f>
        <v>-36.6</v>
      </c>
      <c r="AI17" s="507" t="str">
        <f>INPUT!CF485</f>
        <v>NM</v>
      </c>
      <c r="AJ17" s="151">
        <f>INPUT!CG485</f>
        <v>-36.1</v>
      </c>
      <c r="AK17" s="507">
        <f>INPUT!CH485</f>
        <v>-30.975143403441663</v>
      </c>
      <c r="AL17" s="151">
        <f>INPUT!CI485</f>
        <v>-39.700000000000003</v>
      </c>
      <c r="AM17" s="507">
        <f>INPUT!CJ485</f>
        <v>21.779141104294485</v>
      </c>
      <c r="AN17" s="151">
        <f>INPUT!CK485</f>
        <v>-73.700000000000017</v>
      </c>
      <c r="AO17" s="507">
        <f>INPUT!CL485</f>
        <v>69.425287356321945</v>
      </c>
      <c r="AP17" s="151">
        <f>INPUT!CM485</f>
        <v>-35.900000000000006</v>
      </c>
      <c r="AQ17" s="507">
        <f>INPUT!CN485</f>
        <v>-1.91256830601092</v>
      </c>
      <c r="AR17" s="151">
        <f>INPUT!CO485</f>
        <v>-22</v>
      </c>
      <c r="AS17" s="507">
        <f>INPUT!CP485</f>
        <v>-39.058171745152357</v>
      </c>
      <c r="AT17" s="151">
        <f>INPUT!CQ485</f>
        <v>-43.9</v>
      </c>
      <c r="AU17" s="507">
        <f>INPUT!CR485</f>
        <v>10.579345088161208</v>
      </c>
      <c r="AV17" s="151">
        <f>INPUT!CS485</f>
        <v>-42</v>
      </c>
      <c r="AW17" s="507">
        <f>INPUT!CT485</f>
        <v>-43.012211668928103</v>
      </c>
      <c r="AX17" s="151">
        <f>INPUT!CU485</f>
        <v>-34</v>
      </c>
      <c r="AY17" s="507">
        <f>INPUT!CV485</f>
        <v>-5.2924791086351171</v>
      </c>
      <c r="AZ17" s="151">
        <f>INPUT!CW485</f>
        <v>-39</v>
      </c>
      <c r="BA17" s="507">
        <f>INPUT!CX485</f>
        <v>77.272727272727266</v>
      </c>
      <c r="BB17" s="151">
        <f>INPUT!CY485</f>
        <v>26</v>
      </c>
      <c r="BC17" s="507" t="str">
        <f>INPUT!CZ485</f>
        <v>NM</v>
      </c>
      <c r="BD17" s="151">
        <f>INPUT!DA485</f>
        <v>-40</v>
      </c>
      <c r="BE17" s="507">
        <f>INPUT!DB485</f>
        <v>-4.7619047619047672</v>
      </c>
      <c r="BF17" s="151">
        <f>INPUT!DC485</f>
        <v>-35</v>
      </c>
      <c r="BG17" s="507">
        <f>INPUT!DD485</f>
        <v>2.9411764705882248</v>
      </c>
      <c r="BH17" s="151">
        <f>INPUT!DE485</f>
        <v>-40</v>
      </c>
      <c r="BI17" s="507">
        <f>INPUT!DF485</f>
        <v>2.564102564102555</v>
      </c>
      <c r="BJ17" s="151">
        <f>INPUT!DG485</f>
        <v>-27</v>
      </c>
      <c r="BK17" s="507" t="str">
        <f>INPUT!DH485</f>
        <v>NM</v>
      </c>
      <c r="BL17" s="151">
        <f>INPUT!DI485</f>
        <v>-19</v>
      </c>
      <c r="BM17" s="507" t="str">
        <f>INPUT!DJ485</f>
        <v>NM</v>
      </c>
      <c r="BN17" s="151">
        <f>INPUT!DK485</f>
        <v>-30</v>
      </c>
      <c r="BO17" s="507">
        <f>INPUT!DL485</f>
        <v>-14.28571428571429</v>
      </c>
      <c r="BP17" s="151">
        <f>INPUT!DM485</f>
        <v>-22</v>
      </c>
      <c r="BQ17" s="507">
        <f>INPUT!DN485</f>
        <v>-44.999999999999993</v>
      </c>
      <c r="BR17" s="151">
        <f>INPUT!DO485</f>
        <v>-29</v>
      </c>
      <c r="BS17" s="507">
        <f>INPUT!DP485</f>
        <v>7.4074074074074181</v>
      </c>
      <c r="BT17" s="151">
        <f>INPUT!DQ485</f>
        <v>-26</v>
      </c>
      <c r="BU17" s="507">
        <f>INPUT!DR485</f>
        <v>36.842105263157897</v>
      </c>
      <c r="BV17" s="151">
        <f>INPUT!DS485</f>
        <v>-27</v>
      </c>
      <c r="BW17" s="507">
        <f>INPUT!DT485</f>
        <v>-9.9999999999999982</v>
      </c>
      <c r="BX17" s="151">
        <f>INPUT!DU485</f>
        <v>-38</v>
      </c>
      <c r="BY17" s="507">
        <f>INPUT!DV485</f>
        <v>72.727272727272734</v>
      </c>
      <c r="BZ17" s="151">
        <f>INPUT!DW485</f>
        <v>-65</v>
      </c>
      <c r="CA17" s="507">
        <f>INPUT!DX485</f>
        <v>-65</v>
      </c>
      <c r="CB17" s="151">
        <f>INPUT!DY485</f>
        <v>-26</v>
      </c>
      <c r="CC17" s="507">
        <f>INPUT!DZ485</f>
        <v>0</v>
      </c>
      <c r="CD17" s="151">
        <f>INPUT!EA485</f>
        <v>-15</v>
      </c>
      <c r="CE17" s="507">
        <f>INPUT!EB485</f>
        <v>-44.444444444444443</v>
      </c>
      <c r="CF17" s="151">
        <f>INPUT!EC485</f>
        <v>-28</v>
      </c>
      <c r="CG17" s="507">
        <f>INPUT!ED485</f>
        <v>-26.315789473684216</v>
      </c>
      <c r="CH17" s="151">
        <f>INPUT!EE485</f>
        <v>-26</v>
      </c>
      <c r="CI17" s="507" t="str">
        <f>INPUT!EF485</f>
        <v>NM</v>
      </c>
      <c r="CJ17" s="151">
        <f>INPUT!EG485</f>
        <v>-37</v>
      </c>
      <c r="CK17" s="507">
        <f>INPUT!EH485</f>
        <v>42.307692307692314</v>
      </c>
      <c r="CL17" s="151">
        <f>INPUT!EI485</f>
        <v>-13</v>
      </c>
      <c r="CM17" s="507">
        <f>INPUT!EJ485</f>
        <v>-13.33333333333333</v>
      </c>
      <c r="CN17" s="151">
        <f>INPUT!EK485</f>
        <v>-37</v>
      </c>
      <c r="CO17" s="507">
        <f>INPUT!EL485</f>
        <v>32.142857142857139</v>
      </c>
      <c r="CP17" s="151">
        <f>INPUT!EM485</f>
        <v>-20</v>
      </c>
      <c r="CQ17" s="507">
        <f>INPUT!EN485</f>
        <v>-23.076923076923073</v>
      </c>
      <c r="CR17" s="151">
        <f>INPUT!EO485</f>
        <v>-38</v>
      </c>
      <c r="CS17" s="507">
        <f>INPUT!EP485</f>
        <v>2.7027027027026973</v>
      </c>
      <c r="CT17" s="151">
        <f>INPUT!EQ485</f>
        <v>-53.666075000000006</v>
      </c>
      <c r="CU17" s="507" t="str">
        <f>INPUT!ER485</f>
        <v>NM</v>
      </c>
      <c r="CV17" s="151">
        <f>INPUT!ES485</f>
        <v>-53.411508500000011</v>
      </c>
      <c r="CW17" s="507">
        <f>INPUT!ET485</f>
        <v>44.355428378378406</v>
      </c>
      <c r="CX17" s="151">
        <f>INPUT!EU485</f>
        <v>-53.155669167500022</v>
      </c>
      <c r="CY17" s="507" t="str">
        <f>INPUT!EV485</f>
        <v>NM</v>
      </c>
      <c r="CZ17" s="151">
        <f>INPUT!EW485</f>
        <v>-52.898550638337525</v>
      </c>
      <c r="DA17" s="507">
        <f>INPUT!EX485</f>
        <v>39.206712206151373</v>
      </c>
      <c r="DB17" s="507"/>
      <c r="DC17" s="151">
        <f>INPUT!FP485</f>
        <v>54.100000000000009</v>
      </c>
      <c r="DD17" s="507" t="str">
        <f>INPUT!FQ485</f>
        <v>NA</v>
      </c>
      <c r="DE17" s="151">
        <f>INPUT!FR485</f>
        <v>-75.699999999999932</v>
      </c>
      <c r="DF17" s="507" t="str">
        <f>INPUT!FS485</f>
        <v>NM</v>
      </c>
      <c r="DG17" s="151">
        <f>INPUT!FT485</f>
        <v>-173.29999999999984</v>
      </c>
      <c r="DH17" s="507" t="str">
        <f>INPUT!FU485</f>
        <v>NM</v>
      </c>
      <c r="DI17" s="151">
        <f>INPUT!FV485</f>
        <v>-182.10000000000005</v>
      </c>
      <c r="DJ17" s="507">
        <f>INPUT!FW485</f>
        <v>5.0778995960762963</v>
      </c>
      <c r="DK17" s="151">
        <f>INPUT!FX485</f>
        <v>-236.9</v>
      </c>
      <c r="DL17" s="507">
        <f>INPUT!FY485</f>
        <v>30.093355299286074</v>
      </c>
      <c r="DM17" s="151">
        <f>INPUT!FZ485</f>
        <v>-186.1</v>
      </c>
      <c r="DN17" s="507">
        <f>INPUT!GA485</f>
        <v>-21.443647108484598</v>
      </c>
      <c r="DO17" s="151">
        <f>INPUT!GB485</f>
        <v>-143.8000000000001</v>
      </c>
      <c r="DP17" s="507">
        <f>INPUT!GC485</f>
        <v>-22.729715206877966</v>
      </c>
      <c r="DQ17" s="151">
        <f>INPUT!GD485</f>
        <v>-87</v>
      </c>
      <c r="DR17" s="507">
        <f>INPUT!GE485</f>
        <v>-39.499304589707975</v>
      </c>
      <c r="DS17" s="151">
        <f>INPUT!GF485</f>
        <v>-121</v>
      </c>
      <c r="DT17" s="507">
        <f>INPUT!GG485</f>
        <v>39.080459770114942</v>
      </c>
      <c r="DU17" s="151">
        <f>INPUT!GH485</f>
        <v>-107</v>
      </c>
      <c r="DV17" s="507">
        <f>INPUT!GI485</f>
        <v>-11.570247933884293</v>
      </c>
      <c r="DW17" s="151">
        <f>INPUT!GJ485</f>
        <v>-156</v>
      </c>
      <c r="DX17" s="507">
        <f>INPUT!GK485</f>
        <v>45.794392523364479</v>
      </c>
      <c r="DY17" s="151">
        <f>INPUT!GL485</f>
        <v>-106</v>
      </c>
      <c r="DZ17" s="507">
        <f>INPUT!GM485</f>
        <v>-32.051282051282051</v>
      </c>
      <c r="EA17" s="151">
        <f>INPUT!GN485</f>
        <v>-108</v>
      </c>
      <c r="EB17" s="507">
        <f>INPUT!GO485</f>
        <v>1.8867924528301883</v>
      </c>
      <c r="EC17" s="151">
        <f>INPUT!GP485</f>
        <v>-213.13180330583759</v>
      </c>
      <c r="ED17" s="507">
        <f>INPUT!GQ485</f>
        <v>97.344262320219997</v>
      </c>
      <c r="EE17" s="151">
        <f>INPUT!GR485</f>
        <v>-190.67547814437705</v>
      </c>
      <c r="EF17" s="507">
        <f>INPUT!GS485</f>
        <v>-10.53635581980058</v>
      </c>
      <c r="EG17" s="151">
        <f>INPUT!GT485</f>
        <v>-119.87848648870835</v>
      </c>
      <c r="EH17" s="507">
        <f>INPUT!GU485</f>
        <v>-37.129573422158735</v>
      </c>
      <c r="EI17" s="151">
        <f>INPUT!GV485</f>
        <v>-117.37013196336963</v>
      </c>
      <c r="EJ17" s="507">
        <f>INPUT!GW485</f>
        <v>-2.0924142427965919</v>
      </c>
      <c r="EK17" s="151">
        <f>INPUT!GX485</f>
        <v>-114.74628461987075</v>
      </c>
      <c r="EL17" s="507">
        <f>INPUT!GY485</f>
        <v>-2.2355324132359078</v>
      </c>
      <c r="EM17" s="507">
        <f>INPUT!GZ485</f>
        <v>1.2192174562792868</v>
      </c>
    </row>
    <row r="18" spans="1:143" ht="12.75" customHeight="1" x14ac:dyDescent="0.2">
      <c r="A18" s="556" t="str">
        <f>INPUT!B532</f>
        <v>Adjs in deferred compensation plans</v>
      </c>
      <c r="B18" s="151"/>
      <c r="C18" s="507"/>
      <c r="D18" s="151"/>
      <c r="E18" s="507"/>
      <c r="F18" s="151"/>
      <c r="G18" s="507"/>
      <c r="H18" s="151"/>
      <c r="I18" s="507"/>
      <c r="J18" s="151"/>
      <c r="K18" s="507"/>
      <c r="L18" s="151"/>
      <c r="M18" s="507"/>
      <c r="N18" s="151"/>
      <c r="O18" s="507"/>
      <c r="P18" s="151"/>
      <c r="Q18" s="507"/>
      <c r="R18" s="151"/>
      <c r="S18" s="507"/>
      <c r="T18" s="151"/>
      <c r="U18" s="507"/>
      <c r="V18" s="151"/>
      <c r="W18" s="507"/>
      <c r="X18" s="151"/>
      <c r="Y18" s="507"/>
      <c r="Z18" s="151"/>
      <c r="AA18" s="507"/>
      <c r="AB18" s="151"/>
      <c r="AC18" s="507"/>
      <c r="AD18" s="151"/>
      <c r="AE18" s="507"/>
      <c r="AF18" s="151"/>
      <c r="AG18" s="507"/>
      <c r="AH18" s="151"/>
      <c r="AI18" s="507"/>
      <c r="AJ18" s="151"/>
      <c r="AK18" s="507"/>
      <c r="AL18" s="151"/>
      <c r="AM18" s="507"/>
      <c r="AN18" s="151"/>
      <c r="AO18" s="507"/>
      <c r="AP18" s="151">
        <f>INPUT!CM532</f>
        <v>0</v>
      </c>
      <c r="AQ18" s="507">
        <f>INPUT!CN532</f>
        <v>0</v>
      </c>
      <c r="AR18" s="151">
        <f>INPUT!CO532</f>
        <v>-1.3</v>
      </c>
      <c r="AS18" s="507" t="str">
        <f>INPUT!CP532</f>
        <v>NA</v>
      </c>
      <c r="AT18" s="151">
        <f>INPUT!CQ532</f>
        <v>-6.3</v>
      </c>
      <c r="AU18" s="507" t="str">
        <f>INPUT!CR532</f>
        <v>NA</v>
      </c>
      <c r="AV18" s="151">
        <f>INPUT!CS532</f>
        <v>0</v>
      </c>
      <c r="AW18" s="507" t="str">
        <f>INPUT!CT532</f>
        <v>NA</v>
      </c>
      <c r="AX18" s="151">
        <f>INPUT!CU532</f>
        <v>0</v>
      </c>
      <c r="AY18" s="507" t="str">
        <f>INPUT!CV532</f>
        <v>NA</v>
      </c>
      <c r="AZ18" s="151">
        <f>INPUT!CW532</f>
        <v>-4</v>
      </c>
      <c r="BA18" s="507" t="str">
        <f>INPUT!CX532</f>
        <v>NM</v>
      </c>
      <c r="BB18" s="151">
        <f>INPUT!CY532</f>
        <v>0</v>
      </c>
      <c r="BC18" s="507" t="str">
        <f>INPUT!CZ532</f>
        <v>NM</v>
      </c>
      <c r="BD18" s="151">
        <f>INPUT!DA532</f>
        <v>0</v>
      </c>
      <c r="BE18" s="507" t="str">
        <f>INPUT!DB532</f>
        <v>NA</v>
      </c>
      <c r="BF18" s="151">
        <f>INPUT!DC532</f>
        <v>0</v>
      </c>
      <c r="BG18" s="507" t="str">
        <f>INPUT!DD532</f>
        <v>NA</v>
      </c>
      <c r="BH18" s="151">
        <f>INPUT!DE532</f>
        <v>0</v>
      </c>
      <c r="BI18" s="507" t="str">
        <f>INPUT!DF532</f>
        <v>NM</v>
      </c>
      <c r="BJ18" s="151">
        <f>INPUT!DG532</f>
        <v>0</v>
      </c>
      <c r="BK18" s="507" t="str">
        <f>INPUT!DH532</f>
        <v>NA</v>
      </c>
      <c r="BL18" s="151">
        <f>INPUT!DI532</f>
        <v>0</v>
      </c>
      <c r="BM18" s="507" t="str">
        <f>INPUT!DJ532</f>
        <v>NA</v>
      </c>
      <c r="BN18" s="151">
        <f>INPUT!DK532</f>
        <v>-1</v>
      </c>
      <c r="BO18" s="507" t="str">
        <f>INPUT!DL532</f>
        <v>NA</v>
      </c>
      <c r="BP18" s="151">
        <f>INPUT!DM532</f>
        <v>1</v>
      </c>
      <c r="BQ18" s="507" t="str">
        <f>INPUT!DN532</f>
        <v>NA</v>
      </c>
      <c r="BR18" s="151">
        <f>INPUT!DO532</f>
        <v>2</v>
      </c>
      <c r="BS18" s="507" t="str">
        <f>INPUT!DP532</f>
        <v>NA</v>
      </c>
      <c r="BT18" s="151">
        <f>INPUT!DQ532</f>
        <v>0</v>
      </c>
      <c r="BU18" s="507" t="str">
        <f>INPUT!DR532</f>
        <v>NA</v>
      </c>
      <c r="BV18" s="151">
        <f>INPUT!DS532</f>
        <v>0</v>
      </c>
      <c r="BW18" s="507" t="str">
        <f>INPUT!DT532</f>
        <v>NM</v>
      </c>
      <c r="BX18" s="151">
        <f>INPUT!DU532</f>
        <v>0</v>
      </c>
      <c r="BY18" s="507" t="str">
        <f>INPUT!DV532</f>
        <v>NM</v>
      </c>
      <c r="BZ18" s="151">
        <f>INPUT!DW532</f>
        <v>-7</v>
      </c>
      <c r="CA18" s="507">
        <f>INPUT!DX532</f>
        <v>-7</v>
      </c>
      <c r="CB18" s="151">
        <f>INPUT!DY532</f>
        <v>0</v>
      </c>
      <c r="CC18" s="507" t="str">
        <f>INPUT!DZ532</f>
        <v>NA</v>
      </c>
      <c r="CD18" s="151">
        <f>INPUT!EA532</f>
        <v>-7</v>
      </c>
      <c r="CE18" s="507" t="str">
        <f>INPUT!EB532</f>
        <v>NA</v>
      </c>
      <c r="CF18" s="151">
        <f>INPUT!EC532</f>
        <v>0</v>
      </c>
      <c r="CG18" s="507" t="str">
        <f>INPUT!ED532</f>
        <v>NA</v>
      </c>
      <c r="CH18" s="151">
        <f>INPUT!EE532</f>
        <v>0</v>
      </c>
      <c r="CI18" s="507" t="str">
        <f>INPUT!EF532</f>
        <v>NM</v>
      </c>
      <c r="CJ18" s="151">
        <f>INPUT!EG532</f>
        <v>0</v>
      </c>
      <c r="CK18" s="507" t="str">
        <f>INPUT!EH532</f>
        <v>NA</v>
      </c>
      <c r="CL18" s="151">
        <f>INPUT!EI532</f>
        <v>0</v>
      </c>
      <c r="CM18" s="507" t="str">
        <f>INPUT!EJ532</f>
        <v>NM</v>
      </c>
      <c r="CN18" s="151">
        <f>INPUT!EK532</f>
        <v>0</v>
      </c>
      <c r="CO18" s="507" t="str">
        <f>INPUT!EL532</f>
        <v>NA</v>
      </c>
      <c r="CP18" s="151">
        <f>INPUT!EM532</f>
        <v>0</v>
      </c>
      <c r="CQ18" s="507" t="str">
        <f>INPUT!EN532</f>
        <v>NA</v>
      </c>
      <c r="CR18" s="151">
        <f>INPUT!EO532</f>
        <v>0</v>
      </c>
      <c r="CS18" s="507" t="str">
        <f>INPUT!EP532</f>
        <v>NA</v>
      </c>
      <c r="CT18" s="151">
        <f>INPUT!EQ532</f>
        <v>0</v>
      </c>
      <c r="CU18" s="507" t="str">
        <f>INPUT!ER532</f>
        <v>NA</v>
      </c>
      <c r="CV18" s="151">
        <f>INPUT!ES532</f>
        <v>0</v>
      </c>
      <c r="CW18" s="507" t="str">
        <f>INPUT!ET532</f>
        <v>NA</v>
      </c>
      <c r="CX18" s="151">
        <f>INPUT!EU532</f>
        <v>0</v>
      </c>
      <c r="CY18" s="507" t="str">
        <f>INPUT!EV532</f>
        <v>NA</v>
      </c>
      <c r="CZ18" s="151">
        <f>INPUT!EW532</f>
        <v>0</v>
      </c>
      <c r="DA18" s="507" t="str">
        <f>INPUT!EX532</f>
        <v>NA</v>
      </c>
      <c r="DB18" s="507"/>
      <c r="DC18" s="151"/>
      <c r="DD18" s="507"/>
      <c r="DE18" s="151"/>
      <c r="DF18" s="507"/>
      <c r="DG18" s="151"/>
      <c r="DH18" s="507"/>
      <c r="DI18" s="151"/>
      <c r="DJ18" s="507"/>
      <c r="DK18" s="151"/>
      <c r="DL18" s="507"/>
      <c r="DM18" s="151"/>
      <c r="DN18" s="507"/>
      <c r="DO18" s="151">
        <f>INPUT!GB532</f>
        <v>-7.6</v>
      </c>
      <c r="DP18" s="507" t="str">
        <f>INPUT!GC532</f>
        <v>NA</v>
      </c>
      <c r="DQ18" s="151">
        <f>INPUT!GD532</f>
        <v>-4</v>
      </c>
      <c r="DR18" s="507">
        <f>INPUT!GE532</f>
        <v>-47.368421052631582</v>
      </c>
      <c r="DS18" s="151">
        <f>INPUT!GF532</f>
        <v>0</v>
      </c>
      <c r="DT18" s="507" t="str">
        <f>INPUT!GG532</f>
        <v>NM</v>
      </c>
      <c r="DU18" s="151">
        <f>INPUT!GH532</f>
        <v>2</v>
      </c>
      <c r="DV18" s="507" t="str">
        <f>INPUT!GI532</f>
        <v>NA</v>
      </c>
      <c r="DW18" s="151">
        <f>INPUT!GJ532</f>
        <v>-7</v>
      </c>
      <c r="DX18" s="507" t="str">
        <f>INPUT!GK532</f>
        <v>NM</v>
      </c>
      <c r="DY18" s="151">
        <f>INPUT!GL532</f>
        <v>-7</v>
      </c>
      <c r="DZ18" s="507">
        <f>INPUT!GM532</f>
        <v>0</v>
      </c>
      <c r="EA18" s="151">
        <f>INPUT!GN532</f>
        <v>0</v>
      </c>
      <c r="EB18" s="507" t="str">
        <f>INPUT!GO532</f>
        <v>NM</v>
      </c>
      <c r="EC18" s="151">
        <f>INPUT!GP532</f>
        <v>0</v>
      </c>
      <c r="ED18" s="507" t="str">
        <f>INPUT!GQ532</f>
        <v>NA</v>
      </c>
      <c r="EE18" s="151">
        <f>INPUT!GR532</f>
        <v>0</v>
      </c>
      <c r="EF18" s="723" t="str">
        <f>INPUT!GS532</f>
        <v>NA</v>
      </c>
      <c r="EG18" s="151">
        <f>INPUT!GT532</f>
        <v>0</v>
      </c>
      <c r="EH18" s="723" t="str">
        <f>INPUT!GU532</f>
        <v>NA</v>
      </c>
      <c r="EI18" s="151">
        <f>INPUT!GV532</f>
        <v>0</v>
      </c>
      <c r="EJ18" s="723" t="str">
        <f>INPUT!GW532</f>
        <v>NA</v>
      </c>
      <c r="EK18" s="151">
        <f>INPUT!GX532</f>
        <v>0</v>
      </c>
      <c r="EL18" s="723" t="str">
        <f>INPUT!GY532</f>
        <v>NA</v>
      </c>
      <c r="EM18" s="507" t="str">
        <f>INPUT!GZ532</f>
        <v/>
      </c>
    </row>
    <row r="19" spans="1:143" ht="12.75" customHeight="1" x14ac:dyDescent="0.2">
      <c r="A19" s="691" t="s">
        <v>47</v>
      </c>
      <c r="B19" s="706">
        <f>INPUT!AY511</f>
        <v>246.95999999999995</v>
      </c>
      <c r="C19" s="507"/>
      <c r="D19" s="706">
        <f>INPUT!BA511</f>
        <v>323.45999999999998</v>
      </c>
      <c r="E19" s="507"/>
      <c r="F19" s="706">
        <f>INPUT!BC511</f>
        <v>357.76000000000005</v>
      </c>
      <c r="G19" s="507"/>
      <c r="H19" s="706">
        <f>INPUT!BE511</f>
        <v>360.45999999999992</v>
      </c>
      <c r="I19" s="507"/>
      <c r="J19" s="706">
        <f>INPUT!BG511</f>
        <v>339.40000000000009</v>
      </c>
      <c r="K19" s="507">
        <f>INPUT!BH511</f>
        <v>37.431162941367077</v>
      </c>
      <c r="L19" s="706">
        <f>INPUT!BI511</f>
        <v>350.6</v>
      </c>
      <c r="M19" s="507">
        <f>INPUT!BJ511</f>
        <v>8.3905274222469739</v>
      </c>
      <c r="N19" s="706">
        <f>INPUT!BK511</f>
        <v>332.3</v>
      </c>
      <c r="O19" s="507">
        <f>INPUT!BL511</f>
        <v>-7.1165026833631568</v>
      </c>
      <c r="P19" s="706">
        <f>INPUT!BM511</f>
        <v>301.49999999999983</v>
      </c>
      <c r="Q19" s="507">
        <f>INPUT!BN511</f>
        <v>-16.356877323420104</v>
      </c>
      <c r="R19" s="706">
        <f>INPUT!BO511</f>
        <v>299.50000000000011</v>
      </c>
      <c r="S19" s="507">
        <f>INPUT!BP511</f>
        <v>-11.756040070713015</v>
      </c>
      <c r="T19" s="706">
        <f>INPUT!BQ511</f>
        <v>308.60000000000008</v>
      </c>
      <c r="U19" s="507">
        <f>INPUT!BR511</f>
        <v>-11.979463776383326</v>
      </c>
      <c r="V19" s="706">
        <f>INPUT!BS511</f>
        <v>298</v>
      </c>
      <c r="W19" s="507">
        <f>INPUT!BT511</f>
        <v>-10.321998194402649</v>
      </c>
      <c r="X19" s="706">
        <f>INPUT!BU511</f>
        <v>-127.10000000000014</v>
      </c>
      <c r="Y19" s="507" t="str">
        <f>INPUT!BV511</f>
        <v>NM</v>
      </c>
      <c r="Z19" s="706">
        <f>INPUT!BW511</f>
        <v>163.10000000000005</v>
      </c>
      <c r="AA19" s="507">
        <f>INPUT!BX511</f>
        <v>-45.542570951585979</v>
      </c>
      <c r="AB19" s="706">
        <f>INPUT!BY511</f>
        <v>207.30000000000015</v>
      </c>
      <c r="AC19" s="507">
        <f>INPUT!BZ511</f>
        <v>-32.825664290343461</v>
      </c>
      <c r="AD19" s="706">
        <f>INPUT!CA511</f>
        <v>275.50999999999988</v>
      </c>
      <c r="AE19" s="507">
        <f>INPUT!CB511</f>
        <v>-7.5469798657718528</v>
      </c>
      <c r="AF19" s="706">
        <f>INPUT!CC511</f>
        <v>297.2</v>
      </c>
      <c r="AG19" s="507" t="str">
        <f>INPUT!CD511</f>
        <v>NM</v>
      </c>
      <c r="AH19" s="706">
        <f>INPUT!CE511</f>
        <v>276.20000000000005</v>
      </c>
      <c r="AI19" s="507">
        <f>INPUT!CF511</f>
        <v>69.343960760269738</v>
      </c>
      <c r="AJ19" s="706">
        <f>INPUT!CG511</f>
        <v>290.70000000000005</v>
      </c>
      <c r="AK19" s="507">
        <f>INPUT!CH511</f>
        <v>40.231548480463019</v>
      </c>
      <c r="AL19" s="706">
        <f>INPUT!CI511</f>
        <v>205.59999999999997</v>
      </c>
      <c r="AM19" s="507">
        <f>INPUT!CJ511</f>
        <v>-25.374759536858893</v>
      </c>
      <c r="AN19" s="706">
        <f>INPUT!CK511</f>
        <v>265.5999999999998</v>
      </c>
      <c r="AO19" s="507">
        <f>INPUT!CL511</f>
        <v>-10.632570659488627</v>
      </c>
      <c r="AP19" s="706">
        <f>INPUT!CM511</f>
        <v>321.9000000000002</v>
      </c>
      <c r="AQ19" s="507">
        <f>INPUT!CN511</f>
        <v>16.545981173063051</v>
      </c>
      <c r="AR19" s="706">
        <f>INPUT!CO511</f>
        <v>324.89999999999981</v>
      </c>
      <c r="AS19" s="507">
        <f>INPUT!CP511</f>
        <v>11.764705882352855</v>
      </c>
      <c r="AT19" s="706">
        <f>INPUT!CQ511</f>
        <v>322.89999999999992</v>
      </c>
      <c r="AU19" s="507">
        <f>INPUT!CR511</f>
        <v>57.052529182879375</v>
      </c>
      <c r="AV19" s="706">
        <f>INPUT!CS511</f>
        <v>277</v>
      </c>
      <c r="AW19" s="507">
        <f>INPUT!CT511</f>
        <v>4.2921686746988819</v>
      </c>
      <c r="AX19" s="706">
        <f>INPUT!CU511</f>
        <v>293</v>
      </c>
      <c r="AY19" s="507">
        <f>INPUT!CV511</f>
        <v>-8.9779434607021429</v>
      </c>
      <c r="AZ19" s="706">
        <f>INPUT!CW511</f>
        <v>315</v>
      </c>
      <c r="BA19" s="507">
        <f>INPUT!CX511</f>
        <v>-3.0470914127423199</v>
      </c>
      <c r="BB19" s="706">
        <f>INPUT!CY511</f>
        <v>362</v>
      </c>
      <c r="BC19" s="507">
        <f>INPUT!CZ511</f>
        <v>12.109012078042758</v>
      </c>
      <c r="BD19" s="706">
        <f>INPUT!DA511</f>
        <v>310</v>
      </c>
      <c r="BE19" s="507">
        <f>INPUT!DB511</f>
        <v>11.913357400722013</v>
      </c>
      <c r="BF19" s="706">
        <f>INPUT!DC511</f>
        <v>285</v>
      </c>
      <c r="BG19" s="507">
        <f>INPUT!DD511</f>
        <v>-2.7303754266211566</v>
      </c>
      <c r="BH19" s="706">
        <f>INPUT!DE511</f>
        <v>351</v>
      </c>
      <c r="BI19" s="507">
        <f>INPUT!DF511</f>
        <v>11.428571428571432</v>
      </c>
      <c r="BJ19" s="706">
        <f>INPUT!DG511</f>
        <v>367</v>
      </c>
      <c r="BK19" s="507">
        <f>INPUT!DH511</f>
        <v>1.3812154696132506</v>
      </c>
      <c r="BL19" s="706">
        <f>INPUT!DI511</f>
        <v>382</v>
      </c>
      <c r="BM19" s="507">
        <f>INPUT!DJ511</f>
        <v>23.225806451612897</v>
      </c>
      <c r="BN19" s="706">
        <f>INPUT!DK511</f>
        <v>364</v>
      </c>
      <c r="BO19" s="507">
        <f>INPUT!DL511</f>
        <v>27.719298245614034</v>
      </c>
      <c r="BP19" s="706">
        <f>INPUT!DM511</f>
        <v>395</v>
      </c>
      <c r="BQ19" s="507">
        <f>INPUT!DN511</f>
        <v>12.535612535612529</v>
      </c>
      <c r="BR19" s="706">
        <f>INPUT!DO511</f>
        <v>416</v>
      </c>
      <c r="BS19" s="507">
        <f>INPUT!DP511</f>
        <v>13.351498637602187</v>
      </c>
      <c r="BT19" s="706">
        <f>INPUT!DQ511</f>
        <v>440</v>
      </c>
      <c r="BU19" s="507">
        <f>INPUT!DR511</f>
        <v>15.18324607329844</v>
      </c>
      <c r="BV19" s="706">
        <f>INPUT!DS511</f>
        <v>352</v>
      </c>
      <c r="BW19" s="507">
        <f>INPUT!DT511</f>
        <v>-3.2967032967032961</v>
      </c>
      <c r="BX19" s="706">
        <f>INPUT!DU511</f>
        <v>371</v>
      </c>
      <c r="BY19" s="507">
        <f>INPUT!DV511</f>
        <v>-6.0759493670886062</v>
      </c>
      <c r="BZ19" s="706">
        <f>INPUT!DW511</f>
        <v>282</v>
      </c>
      <c r="CA19" s="507">
        <f>INPUT!DX511</f>
        <v>282</v>
      </c>
      <c r="CB19" s="706">
        <f>INPUT!DY511</f>
        <v>382</v>
      </c>
      <c r="CC19" s="507">
        <f>INPUT!DZ511</f>
        <v>-13.181818181818183</v>
      </c>
      <c r="CD19" s="706">
        <f>INPUT!EA511</f>
        <v>307</v>
      </c>
      <c r="CE19" s="507">
        <f>INPUT!EB511</f>
        <v>-12.784090909090907</v>
      </c>
      <c r="CF19" s="706">
        <f>INPUT!EC511</f>
        <v>373</v>
      </c>
      <c r="CG19" s="507">
        <f>INPUT!ED511</f>
        <v>0.53908355795149188</v>
      </c>
      <c r="CH19" s="706">
        <f>INPUT!EE511</f>
        <v>441</v>
      </c>
      <c r="CI19" s="507">
        <f>INPUT!EF511</f>
        <v>56.38297872340425</v>
      </c>
      <c r="CJ19" s="706">
        <f>INPUT!EG511</f>
        <v>409</v>
      </c>
      <c r="CK19" s="507">
        <f>INPUT!EH511</f>
        <v>7.0680628272251411</v>
      </c>
      <c r="CL19" s="706">
        <f>INPUT!EI511</f>
        <v>442</v>
      </c>
      <c r="CM19" s="507">
        <f>INPUT!EJ511</f>
        <v>43.973941368078172</v>
      </c>
      <c r="CN19" s="706">
        <f>INPUT!EK511</f>
        <v>419</v>
      </c>
      <c r="CO19" s="507">
        <f>INPUT!EL511</f>
        <v>12.332439678284191</v>
      </c>
      <c r="CP19" s="706">
        <f>INPUT!EM511</f>
        <v>454</v>
      </c>
      <c r="CQ19" s="507">
        <f>INPUT!EN511</f>
        <v>2.947845804988658</v>
      </c>
      <c r="CR19" s="706">
        <f>INPUT!EO511</f>
        <v>440</v>
      </c>
      <c r="CS19" s="507">
        <f>INPUT!EP511</f>
        <v>7.5794621026894937</v>
      </c>
      <c r="CT19" s="706">
        <f>INPUT!EQ511</f>
        <v>433.01539174143363</v>
      </c>
      <c r="CU19" s="507">
        <f>INPUT!ER511</f>
        <v>-2.0327168005806251</v>
      </c>
      <c r="CV19" s="706">
        <f>INPUT!ES511</f>
        <v>460.45921990626726</v>
      </c>
      <c r="CW19" s="507">
        <f>INPUT!ET511</f>
        <v>9.894801886937298</v>
      </c>
      <c r="CX19" s="706">
        <f>INPUT!EU511</f>
        <v>479.13694888564487</v>
      </c>
      <c r="CY19" s="507">
        <f>INPUT!EV511</f>
        <v>5.5367728823006335</v>
      </c>
      <c r="CZ19" s="706">
        <f>INPUT!EW511</f>
        <v>492.61294385852671</v>
      </c>
      <c r="DA19" s="507">
        <f>INPUT!EX511</f>
        <v>11.95748724057426</v>
      </c>
      <c r="DB19" s="727"/>
      <c r="DC19" s="706">
        <f>INPUT!FP511</f>
        <v>959.95600000000002</v>
      </c>
      <c r="DD19" s="507">
        <f>INPUT!FQ511</f>
        <v>32.42233625779398</v>
      </c>
      <c r="DE19" s="706">
        <f>INPUT!FR511</f>
        <v>1288.6399999999999</v>
      </c>
      <c r="DF19" s="507">
        <f>INPUT!FS511</f>
        <v>34.239485976440577</v>
      </c>
      <c r="DG19" s="706">
        <f>INPUT!FT511</f>
        <v>1323.7999999999995</v>
      </c>
      <c r="DH19" s="507">
        <f>INPUT!FU511</f>
        <v>2.7284579091134464</v>
      </c>
      <c r="DI19" s="706">
        <f>INPUT!FV511</f>
        <v>779.00000000000045</v>
      </c>
      <c r="DJ19" s="507">
        <f>INPUT!FW511</f>
        <v>-41.154252908294254</v>
      </c>
      <c r="DK19" s="706">
        <f>INPUT!FX511</f>
        <v>943.11000000000024</v>
      </c>
      <c r="DL19" s="507">
        <f>INPUT!FY511</f>
        <v>21.06675224646979</v>
      </c>
      <c r="DM19" s="706">
        <f>INPUT!FZ511</f>
        <v>1038.0999999999995</v>
      </c>
      <c r="DN19" s="507">
        <f>INPUT!GA511</f>
        <v>10.07199584353884</v>
      </c>
      <c r="DO19" s="706">
        <f>INPUT!GB511</f>
        <v>1246.7000000000003</v>
      </c>
      <c r="DP19" s="507">
        <f>INPUT!GC511</f>
        <v>20.094403236682503</v>
      </c>
      <c r="DQ19" s="706">
        <f>INPUT!GD511</f>
        <v>1280</v>
      </c>
      <c r="DR19" s="507">
        <f>INPUT!GE511</f>
        <v>2.6710515761610321</v>
      </c>
      <c r="DS19" s="706">
        <f>INPUT!GF511</f>
        <v>1385</v>
      </c>
      <c r="DT19" s="507">
        <f>INPUT!GG511</f>
        <v>8.203125</v>
      </c>
      <c r="DU19" s="706">
        <f>INPUT!GH511</f>
        <v>1615</v>
      </c>
      <c r="DV19" s="507">
        <f>INPUT!GI511</f>
        <v>16.606498194945839</v>
      </c>
      <c r="DW19" s="706">
        <f>INPUT!GJ511</f>
        <v>1387</v>
      </c>
      <c r="DX19" s="507">
        <f>INPUT!GK511</f>
        <v>-14.117647058823534</v>
      </c>
      <c r="DY19" s="706">
        <f>INPUT!GL511</f>
        <v>1530</v>
      </c>
      <c r="DZ19" s="507">
        <f>INPUT!GM511</f>
        <v>10.31002162941601</v>
      </c>
      <c r="EA19" s="706">
        <f>INPUT!GN511</f>
        <v>1755</v>
      </c>
      <c r="EB19" s="507">
        <f>INPUT!GO511</f>
        <v>14.705882352941169</v>
      </c>
      <c r="EC19" s="706">
        <f>INPUT!GP511</f>
        <v>1865.2245043918708</v>
      </c>
      <c r="ED19" s="507">
        <f>INPUT!GQ511</f>
        <v>6.2805985408473486</v>
      </c>
      <c r="EE19" s="706">
        <f>INPUT!GR511</f>
        <v>1997.2805153712757</v>
      </c>
      <c r="EF19" s="507">
        <f>INPUT!GS511</f>
        <v>7.0798989970625392</v>
      </c>
      <c r="EG19" s="706">
        <f>INPUT!GT511</f>
        <v>2187.2095019673025</v>
      </c>
      <c r="EH19" s="507">
        <f>INPUT!GU511</f>
        <v>9.5093796356753089</v>
      </c>
      <c r="EI19" s="706">
        <f>INPUT!GV511</f>
        <v>2296.8237050363132</v>
      </c>
      <c r="EJ19" s="507">
        <f>INPUT!GW511</f>
        <v>5.0116005334842173</v>
      </c>
      <c r="EK19" s="706">
        <f>INPUT!GX511</f>
        <v>2417.6717699682927</v>
      </c>
      <c r="EL19" s="507">
        <f>INPUT!GY511</f>
        <v>5.2615298539018251</v>
      </c>
      <c r="EM19" s="507">
        <f>INPUT!GZ511</f>
        <v>6.6164072778214678</v>
      </c>
    </row>
    <row r="20" spans="1:143" s="561" customFormat="1" ht="12.75" hidden="1" customHeight="1" outlineLevel="1" x14ac:dyDescent="0.2">
      <c r="A20" s="712" t="s">
        <v>50</v>
      </c>
      <c r="B20" s="713">
        <f>(B8+B9+B11+B12+B13+B15+B16+B17)-B19</f>
        <v>0</v>
      </c>
      <c r="C20" s="662"/>
      <c r="D20" s="713">
        <f>(D8+D9+D11+D12+D13+D15+D16+D17)-D19</f>
        <v>0</v>
      </c>
      <c r="E20" s="662"/>
      <c r="F20" s="713">
        <f>(F8+F9+F11+F12+F13+F15+F16+F17)-F19</f>
        <v>3</v>
      </c>
      <c r="G20" s="662"/>
      <c r="H20" s="713">
        <f>(H8+H9+H11+H12+H13+H15+H16+H17)-H19</f>
        <v>0</v>
      </c>
      <c r="I20" s="662"/>
      <c r="J20" s="713">
        <f>(J8+J9+J11+J12+J13+J15+J16+J17)-J19</f>
        <v>0</v>
      </c>
      <c r="K20" s="662"/>
      <c r="L20" s="713">
        <f>(L8+L9+L11+L12+L13+L15+L16+L17)-L19</f>
        <v>0</v>
      </c>
      <c r="M20" s="662"/>
      <c r="N20" s="713">
        <f>(N8+N9+N11+N12+N13+N15+N16+N17)-N19</f>
        <v>0</v>
      </c>
      <c r="O20" s="662"/>
      <c r="P20" s="713">
        <f>(P8+P9+P11+P12+P13+P15+P16+P17)-P19</f>
        <v>0</v>
      </c>
      <c r="Q20" s="662"/>
      <c r="R20" s="713">
        <f>(R8+R9+R11+R12+R13+R15+R16+R17)-R19</f>
        <v>0</v>
      </c>
      <c r="S20" s="662"/>
      <c r="T20" s="713">
        <f>(T8+T9+T11+T12+T13+T15+T16+T17)-T19</f>
        <v>0</v>
      </c>
      <c r="U20" s="662"/>
      <c r="V20" s="713">
        <f>(V8+V9+V11+V12+V13+V15+V16+V17)-V19</f>
        <v>0</v>
      </c>
      <c r="W20" s="662"/>
      <c r="X20" s="713">
        <f>(X8+X9+X11+X12+X13+X15+X16+X17)-X19</f>
        <v>0</v>
      </c>
      <c r="Y20" s="662"/>
      <c r="Z20" s="713">
        <f>(Z8+Z9+Z11+Z12+Z13+Z15+Z16+Z17)-Z19</f>
        <v>0</v>
      </c>
      <c r="AA20" s="662"/>
      <c r="AB20" s="713">
        <f>(AB8+AB9+AB11+AB12+AB13+AB15+AB16+AB17)-AB19</f>
        <v>0</v>
      </c>
      <c r="AC20" s="662"/>
      <c r="AD20" s="713">
        <f>(AD8+AD9+AD11+AD12+AD13+AD15+AD16+AD17)-AD19</f>
        <v>0</v>
      </c>
      <c r="AE20" s="662"/>
      <c r="AF20" s="713">
        <f>(AF8+AF9+AF11+AF12+AF13+AF15+AF16+AF17)-AF19</f>
        <v>0</v>
      </c>
      <c r="AG20" s="662"/>
      <c r="AH20" s="713">
        <f>(AH8+AH9+AH11+AH12+AH13+AH15+AH16+AH17)-AH19</f>
        <v>0</v>
      </c>
      <c r="AI20" s="662"/>
      <c r="AJ20" s="713">
        <f>(AJ8+AJ9+AJ11+AJ12+AJ13+AJ15+AJ16+AJ17)-AJ19</f>
        <v>0</v>
      </c>
      <c r="AK20" s="662"/>
      <c r="AL20" s="713">
        <f>(AL8+AL9+AL11+AL12+AL13+AL15+AL16+AL17)-AL19</f>
        <v>0</v>
      </c>
      <c r="AM20" s="662"/>
      <c r="AN20" s="713">
        <f>(AN8+AN9+AN11+AN12+AN13+AN15+AN16+AN17)-AN19</f>
        <v>0</v>
      </c>
      <c r="AO20" s="662"/>
      <c r="AP20" s="713">
        <f>(AP8+AP9+AP11+AP12+AP13+AP15+AP16+AP17+AP18)-AP19</f>
        <v>0</v>
      </c>
      <c r="AQ20" s="662"/>
      <c r="AR20" s="713">
        <f>(AR8+AR9+AR11+AR12+AR13+AR15+AR16+AR17+AR18)-AR19</f>
        <v>0</v>
      </c>
      <c r="AS20" s="662"/>
      <c r="AT20" s="713">
        <f>(AT8+AT9+AT11+AT12+AT13+AT15+AT16+AT17+AT18)-AT19</f>
        <v>0</v>
      </c>
      <c r="AU20" s="662"/>
      <c r="AV20" s="713">
        <f>(AV8+AV9+AV11+AV12+AV13+AV15+AV16+AV17+AV18)-AV19</f>
        <v>0</v>
      </c>
      <c r="AW20" s="662"/>
      <c r="AX20" s="713">
        <f>(AX8+AX9+AX11+AX12+AX13+AX15+AX16+AX17+AX18)-AX19</f>
        <v>0</v>
      </c>
      <c r="AY20" s="662"/>
      <c r="AZ20" s="713">
        <f>(AZ8+AZ9+AZ11+AZ12+AZ13+AZ15+AZ16+AZ17+AZ18)-AZ19</f>
        <v>0</v>
      </c>
      <c r="BA20" s="662"/>
      <c r="BB20" s="713">
        <f>(BB8+BB9+BB11+BB12+BB13+BB15+BB16+BB17+BB18)-BB19</f>
        <v>0</v>
      </c>
      <c r="BC20" s="662"/>
      <c r="BD20" s="713">
        <f>(BD8+BD9+BD11+BD12+BD13+BD15+BD16+BD17+BD18)-BD19</f>
        <v>0</v>
      </c>
      <c r="BE20" s="662"/>
      <c r="BF20" s="713">
        <f>(BF8+BF9+BF11+BF12+BF13+BF15+BF16+BF17+BF18)-BF19</f>
        <v>0</v>
      </c>
      <c r="BG20" s="662"/>
      <c r="BH20" s="713">
        <f>(BH8+BH9+BH11+BH12+BH13+BH15+BH16+BH17+BH18)-BH19</f>
        <v>0</v>
      </c>
      <c r="BI20" s="662"/>
      <c r="BJ20" s="713">
        <f>(BJ8+BJ9+BJ11+BJ12+BJ13+BJ15+BJ16+BJ17+BJ18)-BJ19</f>
        <v>0</v>
      </c>
      <c r="BK20" s="662"/>
      <c r="BL20" s="713">
        <f>(BL8+BL9+BL11+BL12+BL13+BL15+BL16+BL17+BL18)-BL19</f>
        <v>0</v>
      </c>
      <c r="BM20" s="662"/>
      <c r="BN20" s="713">
        <f>(BN8+BN9+BN11+BN12+BN13+BN15+BN16+BN17+BN18)-BN19</f>
        <v>0</v>
      </c>
      <c r="BO20" s="662"/>
      <c r="BP20" s="713">
        <f>(BP8+BP9+BP11+BP12+BP13+BP15+BP16+BP17+BP18)-BP19</f>
        <v>0</v>
      </c>
      <c r="BQ20" s="662"/>
      <c r="BR20" s="713">
        <f>(BR8+BR9+BR11+BR12+BR13+BR15+BR16+BR17+BR18)-BR19</f>
        <v>0</v>
      </c>
      <c r="BS20" s="662"/>
      <c r="BT20" s="713">
        <f>(BT8+BT9+BT11+BT12+BT13+BT15+BT16+BT17+BT18)-BT19</f>
        <v>0</v>
      </c>
      <c r="BU20" s="662"/>
      <c r="BV20" s="713">
        <f>(BV8+BV9+BV11+BV12+BV13+BV15+BV16+BV17+BV18)-BV19</f>
        <v>0</v>
      </c>
      <c r="BW20" s="662"/>
      <c r="BX20" s="713">
        <f>(BX8+BX9+BX11+BX12+BX13+BX15+BX16+BX17+BX18)-BX19</f>
        <v>0</v>
      </c>
      <c r="BY20" s="662"/>
      <c r="BZ20" s="713">
        <f>(BZ8+BZ9+BZ11+BZ12+BZ13+BZ15+BZ16+BZ17+BZ18)-BZ19</f>
        <v>0</v>
      </c>
      <c r="CA20" s="662"/>
      <c r="CB20" s="713">
        <f>(CB8+CB9+CB11+CB12+CB13+CB15+CB16+CB17+CB18)-CB19</f>
        <v>0</v>
      </c>
      <c r="CC20" s="662"/>
      <c r="CD20" s="713">
        <f>(CD8+CD9+CD11+CD12+CD13+CD15+CD16+CD17+CD18)-CD19</f>
        <v>0</v>
      </c>
      <c r="CE20" s="662"/>
      <c r="CF20" s="713">
        <f>(CF8+CF9+CF11+CF12+CF13+CF15+CF16+CF17+CF18)-CF19</f>
        <v>0</v>
      </c>
      <c r="CG20" s="662"/>
      <c r="CH20" s="713">
        <f>(CH8+CH9+CH11+CH12+CH13+CH15+CH16+CH17+CH18)-CH19</f>
        <v>0</v>
      </c>
      <c r="CI20" s="662"/>
      <c r="CJ20" s="713">
        <f>(CJ8+CJ9+CJ11+CJ12+CJ13+CJ15+CJ16+CJ17+CJ18)-CJ19</f>
        <v>0</v>
      </c>
      <c r="CK20" s="662"/>
      <c r="CL20" s="713">
        <f t="shared" ref="CL20" si="16">(CL8+CL9+CL11+CL12+CL13+CL15+CL16+CL17+CL18)-CL19</f>
        <v>0</v>
      </c>
      <c r="CM20" s="662"/>
      <c r="CN20" s="713">
        <f t="shared" ref="CN20" si="17">(CN8+CN9+CN11+CN12+CN13+CN15+CN16+CN17+CN18)-CN19</f>
        <v>0</v>
      </c>
      <c r="CO20" s="662"/>
      <c r="CP20" s="713">
        <f t="shared" ref="CP20" si="18">(CP8+CP9+CP11+CP12+CP13+CP15+CP16+CP17+CP18)-CP19</f>
        <v>0</v>
      </c>
      <c r="CQ20" s="662"/>
      <c r="CR20" s="713">
        <f t="shared" ref="CR20" si="19">(CR8+CR9+CR11+CR12+CR13+CR15+CR16+CR17+CR18)-CR19</f>
        <v>0</v>
      </c>
      <c r="CS20" s="662"/>
      <c r="CT20" s="713">
        <f t="shared" ref="CT20" si="20">(CT8+CT9+CT11+CT12+CT13+CT15+CT16+CT17+CT18)-CT19</f>
        <v>0</v>
      </c>
      <c r="CU20" s="662"/>
      <c r="CV20" s="713">
        <f t="shared" ref="CV20" si="21">(CV8+CV9+CV11+CV12+CV13+CV15+CV16+CV17+CV18)-CV19</f>
        <v>0</v>
      </c>
      <c r="CW20" s="662"/>
      <c r="CX20" s="713">
        <f t="shared" ref="CX20" si="22">(CX8+CX9+CX11+CX12+CX13+CX15+CX16+CX17+CX18)-CX19</f>
        <v>0</v>
      </c>
      <c r="CY20" s="662"/>
      <c r="CZ20" s="713">
        <f t="shared" ref="CZ20" si="23">(CZ8+CZ9+CZ11+CZ12+CZ13+CZ15+CZ16+CZ17+CZ18)-CZ19</f>
        <v>0</v>
      </c>
      <c r="DA20" s="662"/>
      <c r="DB20" s="714"/>
      <c r="DC20" s="713">
        <f>(DC8+DC9+DC11+DC12+DC13+DC15+DC16+DC17)-DC19</f>
        <v>0.20000000000015916</v>
      </c>
      <c r="DD20" s="662"/>
      <c r="DE20" s="713">
        <f>(DE8+DE9+DE11+DE12+DE13+DE15+DE16+DE17)-DE19</f>
        <v>2.8999999999996362</v>
      </c>
      <c r="DF20" s="662"/>
      <c r="DG20" s="713">
        <f>(DG8+DG9+DG11+DG12+DG13+DG15+DG16+DG17)-DG19</f>
        <v>0</v>
      </c>
      <c r="DH20" s="662"/>
      <c r="DI20" s="713">
        <f>(DI8+DI9+DI11+DI12+DI13+DI15+DI16+DI17)-DI19</f>
        <v>0</v>
      </c>
      <c r="DJ20" s="662"/>
      <c r="DK20" s="713">
        <f>(DK8+DK9+DK11+DK12+DK13+DK15+DK16+DK17)-DK19</f>
        <v>0</v>
      </c>
      <c r="DL20" s="662"/>
      <c r="DM20" s="713">
        <f>(DM8+DM9+DM11+DM12+DM13+DM15+DM16+DM17)-DM19</f>
        <v>0</v>
      </c>
      <c r="DN20" s="662"/>
      <c r="DO20" s="713">
        <f>(DO8+DO9+DO11+DO12+DO13+DO15+DO16+DO17+DO18)-DO19</f>
        <v>0</v>
      </c>
      <c r="DP20" s="662"/>
      <c r="DQ20" s="713">
        <f>(DQ8+DQ9+DQ11+DQ12+DQ13+DQ15+DQ16+DQ17+DQ18)-DQ19</f>
        <v>0</v>
      </c>
      <c r="DR20" s="662"/>
      <c r="DS20" s="713">
        <f>(DS8+DS9+DS11+DS12+DS13+DS15+DS16+DS17+DS18)-DS19</f>
        <v>0</v>
      </c>
      <c r="DT20" s="662"/>
      <c r="DU20" s="713">
        <f>(DU8+DU9+DU11+DU12+DU13+DU15+DU16+DU17+DU18)-DU19</f>
        <v>0</v>
      </c>
      <c r="DV20" s="662"/>
      <c r="DW20" s="713">
        <f>(DW8+DW9+DW11+DW12+DW13+DW15+DW16+DW17+DW18)-DW19</f>
        <v>0</v>
      </c>
      <c r="DX20" s="662"/>
      <c r="DY20" s="713">
        <f>(DY8+DY9+DY11+DY12+DY13+DY15+DY16+DY17+DY18)-DY19</f>
        <v>0</v>
      </c>
      <c r="DZ20" s="662"/>
      <c r="EA20" s="713">
        <f>(EA8+EA9+EA11+EA12+EA13+EA15+EA16+EA17+EA18)-EA19</f>
        <v>0</v>
      </c>
      <c r="EB20" s="662"/>
      <c r="EC20" s="713">
        <f>(EC8+EC9+EC11+EC12+EC13+EC15+EC16+EC17+EC18)-EC19</f>
        <v>0</v>
      </c>
      <c r="ED20" s="662"/>
      <c r="EE20" s="713">
        <f>(EE8+EE9+EE11+EE12+EE13+EE15+EE16+EE17+EE18)-EE19</f>
        <v>0</v>
      </c>
      <c r="EF20" s="662"/>
      <c r="EG20" s="713">
        <f>(EG8+EG9+EG11+EG12+EG13+EG15+EG16+EG17+EG18)-EG19</f>
        <v>0</v>
      </c>
      <c r="EH20" s="662"/>
      <c r="EI20" s="713">
        <f>(EI8+EI9+EI11+EI12+EI13+EI15+EI16+EI17+EI18)-EI19</f>
        <v>0</v>
      </c>
      <c r="EJ20" s="662"/>
      <c r="EK20" s="713">
        <f>(EK8+EK9+EK11+EK12+EK13+EK15+EK16+EK17+EK18)-EK19</f>
        <v>0</v>
      </c>
      <c r="EL20" s="662"/>
      <c r="EM20" s="662"/>
    </row>
    <row r="21" spans="1:143" ht="12.75" customHeight="1" collapsed="1" x14ac:dyDescent="0.2">
      <c r="B21" s="318"/>
      <c r="C21" s="702"/>
      <c r="D21" s="318"/>
      <c r="E21" s="702"/>
      <c r="F21" s="318"/>
      <c r="G21" s="702"/>
      <c r="H21" s="318"/>
      <c r="I21" s="702"/>
      <c r="J21" s="318"/>
      <c r="K21" s="702"/>
      <c r="L21" s="318"/>
      <c r="M21" s="702"/>
      <c r="N21" s="318"/>
      <c r="O21" s="702"/>
      <c r="P21" s="318"/>
      <c r="Q21" s="702"/>
      <c r="R21" s="318"/>
      <c r="S21" s="702"/>
      <c r="T21" s="318"/>
      <c r="U21" s="702"/>
      <c r="V21" s="318"/>
      <c r="W21" s="702"/>
      <c r="X21" s="318"/>
      <c r="Y21" s="702"/>
      <c r="Z21" s="318"/>
      <c r="AA21" s="702"/>
      <c r="AB21" s="318"/>
      <c r="AC21" s="702"/>
      <c r="AD21" s="318"/>
      <c r="AE21" s="702"/>
      <c r="AF21" s="318"/>
      <c r="AG21" s="702"/>
      <c r="AH21" s="318"/>
      <c r="AI21" s="702"/>
      <c r="AJ21" s="318"/>
      <c r="AK21" s="702"/>
      <c r="AL21" s="318"/>
      <c r="AM21" s="702"/>
      <c r="AN21" s="318"/>
      <c r="AO21" s="702"/>
      <c r="AP21" s="318"/>
      <c r="AQ21" s="702"/>
      <c r="AR21" s="318"/>
      <c r="AS21" s="702"/>
      <c r="AT21" s="318"/>
      <c r="AU21" s="702"/>
      <c r="AV21" s="318"/>
      <c r="AW21" s="702"/>
      <c r="AX21" s="318"/>
      <c r="AY21" s="702"/>
      <c r="AZ21" s="318"/>
      <c r="BA21" s="702"/>
      <c r="BB21" s="318"/>
      <c r="BC21" s="702"/>
      <c r="BD21" s="318"/>
      <c r="BE21" s="702"/>
      <c r="BF21" s="318"/>
      <c r="BG21" s="702"/>
      <c r="BH21" s="318"/>
      <c r="BI21" s="702"/>
      <c r="BJ21" s="318"/>
      <c r="BK21" s="702"/>
      <c r="BL21" s="318"/>
      <c r="BM21" s="702"/>
      <c r="BN21" s="318"/>
      <c r="BO21" s="702"/>
      <c r="BP21" s="318"/>
      <c r="BQ21" s="702"/>
      <c r="BR21" s="318"/>
      <c r="BS21" s="702"/>
      <c r="BT21" s="318"/>
      <c r="BU21" s="702"/>
      <c r="BV21" s="318"/>
      <c r="BW21" s="702"/>
      <c r="BX21" s="318"/>
      <c r="BY21" s="702"/>
      <c r="BZ21" s="318"/>
      <c r="CA21" s="702"/>
      <c r="CB21" s="318"/>
      <c r="CC21" s="702"/>
      <c r="CD21" s="318"/>
      <c r="CE21" s="702"/>
      <c r="CF21" s="318"/>
      <c r="CG21" s="702"/>
      <c r="CH21" s="318"/>
      <c r="CI21" s="702"/>
      <c r="CJ21" s="318"/>
      <c r="CK21" s="702"/>
      <c r="CL21" s="318"/>
      <c r="CM21" s="702"/>
      <c r="CN21" s="318"/>
      <c r="CO21" s="702"/>
      <c r="CP21" s="318"/>
      <c r="CQ21" s="702"/>
      <c r="CR21" s="318"/>
      <c r="CS21" s="702"/>
      <c r="CT21" s="318"/>
      <c r="CU21" s="702"/>
      <c r="CV21" s="318"/>
      <c r="CW21" s="702"/>
      <c r="CX21" s="318"/>
      <c r="CY21" s="702"/>
      <c r="CZ21" s="318"/>
      <c r="DA21" s="702"/>
      <c r="DB21" s="16"/>
      <c r="DC21" s="318"/>
      <c r="DD21" s="702"/>
      <c r="DE21" s="318"/>
      <c r="DF21" s="702"/>
      <c r="DG21" s="318"/>
      <c r="DH21" s="702"/>
      <c r="DI21" s="318"/>
      <c r="DJ21" s="702"/>
      <c r="DK21" s="318"/>
      <c r="DL21" s="702"/>
      <c r="DM21" s="318"/>
      <c r="DN21" s="702"/>
      <c r="DO21" s="318"/>
      <c r="DP21" s="702"/>
      <c r="DQ21" s="318"/>
      <c r="DR21" s="702"/>
      <c r="DS21" s="318"/>
      <c r="DT21" s="702"/>
      <c r="DU21" s="318"/>
      <c r="DV21" s="702"/>
      <c r="DW21" s="318"/>
      <c r="DX21" s="702"/>
      <c r="DY21" s="318"/>
      <c r="DZ21" s="702"/>
      <c r="EA21" s="318"/>
      <c r="EB21" s="702"/>
      <c r="EC21" s="318"/>
      <c r="ED21" s="702"/>
      <c r="EE21" s="318"/>
      <c r="EF21" s="702"/>
      <c r="EG21" s="318"/>
      <c r="EH21" s="702"/>
      <c r="EI21" s="318"/>
      <c r="EJ21" s="702"/>
      <c r="EK21" s="318"/>
      <c r="EL21" s="702"/>
      <c r="EM21" s="702"/>
    </row>
    <row r="22" spans="1:143" ht="12.75" hidden="1" customHeight="1" outlineLevel="1" x14ac:dyDescent="0.2">
      <c r="A22" s="690" t="s">
        <v>183</v>
      </c>
      <c r="B22" s="151">
        <f>INPUT!AY539</f>
        <v>0</v>
      </c>
      <c r="C22" s="507"/>
      <c r="D22" s="151">
        <f>INPUT!BA539</f>
        <v>0</v>
      </c>
      <c r="E22" s="507"/>
      <c r="F22" s="151">
        <f>INPUT!BC539</f>
        <v>0</v>
      </c>
      <c r="G22" s="507"/>
      <c r="H22" s="151">
        <f>INPUT!BE539</f>
        <v>0</v>
      </c>
      <c r="I22" s="507"/>
      <c r="J22" s="151">
        <f>INPUT!BG539</f>
        <v>0</v>
      </c>
      <c r="K22" s="507">
        <f>INPUT!BH539</f>
        <v>0</v>
      </c>
      <c r="L22" s="151">
        <f>INPUT!BI539</f>
        <v>0</v>
      </c>
      <c r="M22" s="507">
        <f>INPUT!BJ539</f>
        <v>0</v>
      </c>
      <c r="N22" s="151">
        <f>INPUT!BK539</f>
        <v>0</v>
      </c>
      <c r="O22" s="507">
        <f>INPUT!BL539</f>
        <v>0</v>
      </c>
      <c r="P22" s="151">
        <f>INPUT!BM539</f>
        <v>0</v>
      </c>
      <c r="Q22" s="507">
        <f>INPUT!BN539</f>
        <v>0</v>
      </c>
      <c r="R22" s="151">
        <f>INPUT!BO539</f>
        <v>0</v>
      </c>
      <c r="S22" s="507">
        <f>INPUT!BP539</f>
        <v>0</v>
      </c>
      <c r="T22" s="151">
        <f>INPUT!BQ539</f>
        <v>0</v>
      </c>
      <c r="U22" s="507">
        <f>INPUT!BR539</f>
        <v>0</v>
      </c>
      <c r="V22" s="151">
        <f>INPUT!BS539</f>
        <v>0</v>
      </c>
      <c r="W22" s="507">
        <f>INPUT!BT539</f>
        <v>0</v>
      </c>
      <c r="X22" s="151">
        <f>INPUT!BU539</f>
        <v>0</v>
      </c>
      <c r="Y22" s="507">
        <f>INPUT!BV539</f>
        <v>0</v>
      </c>
      <c r="Z22" s="151">
        <f>INPUT!BW539</f>
        <v>0</v>
      </c>
      <c r="AA22" s="507">
        <f>INPUT!BX539</f>
        <v>0</v>
      </c>
      <c r="AB22" s="151">
        <f>INPUT!BY539</f>
        <v>0</v>
      </c>
      <c r="AC22" s="507">
        <f>INPUT!BZ539</f>
        <v>0</v>
      </c>
      <c r="AD22" s="151">
        <f>INPUT!CA539</f>
        <v>16.3</v>
      </c>
      <c r="AE22" s="507" t="str">
        <f>INPUT!CB539</f>
        <v>NA</v>
      </c>
      <c r="AF22" s="151">
        <f>INPUT!CC539</f>
        <v>18.2</v>
      </c>
      <c r="AG22" s="507" t="str">
        <f>INPUT!CD539</f>
        <v>NA</v>
      </c>
      <c r="AH22" s="151">
        <f>INPUT!CE539</f>
        <v>18.399999999999999</v>
      </c>
      <c r="AI22" s="507" t="str">
        <f>INPUT!CF539</f>
        <v>NA</v>
      </c>
      <c r="AJ22" s="151">
        <f>INPUT!CG539</f>
        <v>18.3</v>
      </c>
      <c r="AK22" s="507" t="str">
        <f>INPUT!CH539</f>
        <v>NA</v>
      </c>
      <c r="AL22" s="151">
        <f>INPUT!CI539</f>
        <v>1</v>
      </c>
      <c r="AM22" s="507" t="str">
        <f>INPUT!CJ539</f>
        <v>NM</v>
      </c>
      <c r="AN22" s="151">
        <f>INPUT!CK539</f>
        <v>0</v>
      </c>
      <c r="AO22" s="507" t="str">
        <f>INPUT!CL539</f>
        <v>NM</v>
      </c>
      <c r="AP22" s="151">
        <f>INPUT!CM539</f>
        <v>0</v>
      </c>
      <c r="AQ22" s="507" t="str">
        <f>INPUT!CN539</f>
        <v>NM</v>
      </c>
      <c r="AR22" s="151">
        <f>INPUT!CO539</f>
        <v>0</v>
      </c>
      <c r="AS22" s="507" t="str">
        <f>INPUT!CP539</f>
        <v>NM</v>
      </c>
      <c r="AT22" s="151">
        <f>INPUT!CQ539</f>
        <v>0</v>
      </c>
      <c r="AU22" s="507" t="str">
        <f>INPUT!CR539</f>
        <v>NM</v>
      </c>
      <c r="AV22" s="151">
        <f>INPUT!CS539</f>
        <v>0</v>
      </c>
      <c r="AW22" s="507" t="str">
        <f>INPUT!CT539</f>
        <v>NA</v>
      </c>
      <c r="AX22" s="151">
        <f>INPUT!CU539</f>
        <v>0</v>
      </c>
      <c r="AY22" s="507" t="str">
        <f>INPUT!CV539</f>
        <v>NA</v>
      </c>
      <c r="AZ22" s="151">
        <f>INPUT!CW539</f>
        <v>0</v>
      </c>
      <c r="BA22" s="507" t="str">
        <f>INPUT!CX539</f>
        <v>NA</v>
      </c>
      <c r="BB22" s="151">
        <f>INPUT!CY539</f>
        <v>0</v>
      </c>
      <c r="BC22" s="507" t="str">
        <f>INPUT!CZ539</f>
        <v>NA</v>
      </c>
      <c r="BD22" s="151">
        <f>INPUT!DA539</f>
        <v>0</v>
      </c>
      <c r="BE22" s="507" t="str">
        <f>INPUT!DB539</f>
        <v>NA</v>
      </c>
      <c r="BF22" s="151">
        <f>INPUT!DC539</f>
        <v>0</v>
      </c>
      <c r="BG22" s="507" t="str">
        <f>INPUT!DD539</f>
        <v>NA</v>
      </c>
      <c r="BH22" s="151">
        <f>INPUT!DE539</f>
        <v>0</v>
      </c>
      <c r="BI22" s="507" t="str">
        <f>INPUT!DF539</f>
        <v>NA</v>
      </c>
      <c r="BJ22" s="151">
        <f>INPUT!DG539</f>
        <v>0</v>
      </c>
      <c r="BK22" s="507" t="str">
        <f>INPUT!DH539</f>
        <v>NA</v>
      </c>
      <c r="BL22" s="151">
        <f>INPUT!DI539</f>
        <v>0</v>
      </c>
      <c r="BM22" s="507" t="str">
        <f>INPUT!DJ539</f>
        <v>NA</v>
      </c>
      <c r="BN22" s="151">
        <f>INPUT!DK539</f>
        <v>0</v>
      </c>
      <c r="BO22" s="507" t="str">
        <f>INPUT!DL539</f>
        <v>NA</v>
      </c>
      <c r="BP22" s="151">
        <f>INPUT!DM539</f>
        <v>0</v>
      </c>
      <c r="BQ22" s="507" t="str">
        <f>INPUT!DN539</f>
        <v>NA</v>
      </c>
      <c r="BR22" s="151">
        <f>INPUT!DO539</f>
        <v>0</v>
      </c>
      <c r="BS22" s="507" t="str">
        <f>INPUT!DP539</f>
        <v>NA</v>
      </c>
      <c r="BT22" s="151">
        <f>INPUT!DQ539</f>
        <v>0</v>
      </c>
      <c r="BU22" s="507" t="str">
        <f>INPUT!DR539</f>
        <v>NA</v>
      </c>
      <c r="BV22" s="151">
        <f>INPUT!DS539</f>
        <v>0</v>
      </c>
      <c r="BW22" s="507" t="str">
        <f>INPUT!DT539</f>
        <v>NA</v>
      </c>
      <c r="BX22" s="151">
        <f>INPUT!DU539</f>
        <v>0</v>
      </c>
      <c r="BY22" s="507" t="str">
        <f>INPUT!DV539</f>
        <v>NA</v>
      </c>
      <c r="BZ22" s="151">
        <f>INPUT!DW539</f>
        <v>0</v>
      </c>
      <c r="CA22" s="507">
        <f>INPUT!DX539</f>
        <v>0</v>
      </c>
      <c r="CB22" s="151">
        <f>INPUT!DY539</f>
        <v>0</v>
      </c>
      <c r="CC22" s="507" t="str">
        <f>INPUT!DZ539</f>
        <v>NA</v>
      </c>
      <c r="CD22" s="151">
        <f>INPUT!EA539</f>
        <v>0</v>
      </c>
      <c r="CE22" s="507" t="str">
        <f>INPUT!EB539</f>
        <v>NA</v>
      </c>
      <c r="CF22" s="151">
        <f>INPUT!EC539</f>
        <v>0</v>
      </c>
      <c r="CG22" s="507" t="str">
        <f>INPUT!ED539</f>
        <v>NA</v>
      </c>
      <c r="CH22" s="151">
        <f>INPUT!EE539</f>
        <v>0</v>
      </c>
      <c r="CI22" s="507" t="str">
        <f>INPUT!EF539</f>
        <v>NA</v>
      </c>
      <c r="CJ22" s="151">
        <f>INPUT!EG539</f>
        <v>0</v>
      </c>
      <c r="CK22" s="507" t="str">
        <f>INPUT!EH539</f>
        <v>NA</v>
      </c>
      <c r="CL22" s="151">
        <f>INPUT!EI539</f>
        <v>0</v>
      </c>
      <c r="CM22" s="507" t="str">
        <f>INPUT!EJ539</f>
        <v>NA</v>
      </c>
      <c r="CN22" s="151">
        <f>INPUT!EK539</f>
        <v>0</v>
      </c>
      <c r="CO22" s="507" t="str">
        <f>INPUT!EL539</f>
        <v>NA</v>
      </c>
      <c r="CP22" s="151">
        <f>INPUT!EM539</f>
        <v>0</v>
      </c>
      <c r="CQ22" s="507" t="str">
        <f>INPUT!EN539</f>
        <v>NA</v>
      </c>
      <c r="CR22" s="151">
        <f>INPUT!EO539</f>
        <v>0</v>
      </c>
      <c r="CS22" s="507" t="str">
        <f>INPUT!EP539</f>
        <v>NA</v>
      </c>
      <c r="CT22" s="151">
        <f>INPUT!EQ539</f>
        <v>0</v>
      </c>
      <c r="CU22" s="507" t="str">
        <f>INPUT!ER539</f>
        <v>NA</v>
      </c>
      <c r="CV22" s="151">
        <f>INPUT!ES539</f>
        <v>0</v>
      </c>
      <c r="CW22" s="507" t="str">
        <f>INPUT!ET539</f>
        <v>NA</v>
      </c>
      <c r="CX22" s="151">
        <f>INPUT!EU539</f>
        <v>0</v>
      </c>
      <c r="CY22" s="507" t="str">
        <f>INPUT!EV539</f>
        <v>NA</v>
      </c>
      <c r="CZ22" s="151">
        <f>INPUT!EW539</f>
        <v>0</v>
      </c>
      <c r="DA22" s="507" t="str">
        <f>INPUT!EX539</f>
        <v>NA</v>
      </c>
      <c r="DB22" s="507"/>
      <c r="DC22" s="151">
        <f>INPUT!FP539</f>
        <v>0</v>
      </c>
      <c r="DD22" s="507">
        <f>INPUT!FQ539</f>
        <v>0</v>
      </c>
      <c r="DE22" s="151">
        <f>INPUT!FR539</f>
        <v>0</v>
      </c>
      <c r="DF22" s="507">
        <f>INPUT!FS539</f>
        <v>0</v>
      </c>
      <c r="DG22" s="151">
        <f>INPUT!FT539</f>
        <v>0</v>
      </c>
      <c r="DH22" s="507">
        <f>INPUT!FU539</f>
        <v>0</v>
      </c>
      <c r="DI22" s="151">
        <f>INPUT!FV539</f>
        <v>0</v>
      </c>
      <c r="DJ22" s="507">
        <f>INPUT!FW539</f>
        <v>0</v>
      </c>
      <c r="DK22" s="151">
        <f>INPUT!FX539</f>
        <v>34.5</v>
      </c>
      <c r="DL22" s="507" t="str">
        <f>INPUT!FY539</f>
        <v>NA</v>
      </c>
      <c r="DM22" s="151">
        <f>INPUT!FZ539</f>
        <v>37.700000000000003</v>
      </c>
      <c r="DN22" s="507">
        <f>INPUT!GA539</f>
        <v>9.2753623188405854</v>
      </c>
      <c r="DO22" s="151">
        <f>INPUT!GB539</f>
        <v>0</v>
      </c>
      <c r="DP22" s="507" t="str">
        <f>INPUT!GC539</f>
        <v>NM</v>
      </c>
      <c r="DQ22" s="151">
        <f>INPUT!GD539</f>
        <v>0</v>
      </c>
      <c r="DR22" s="507" t="str">
        <f>INPUT!GE539</f>
        <v>NA</v>
      </c>
      <c r="DS22" s="151">
        <f>INPUT!GF539</f>
        <v>0</v>
      </c>
      <c r="DT22" s="507" t="str">
        <f>INPUT!GG539</f>
        <v>NA</v>
      </c>
      <c r="DU22" s="151">
        <f>INPUT!GH539</f>
        <v>0</v>
      </c>
      <c r="DV22" s="507" t="str">
        <f>INPUT!GI539</f>
        <v>NA</v>
      </c>
      <c r="DW22" s="151">
        <f>INPUT!GJ539</f>
        <v>0</v>
      </c>
      <c r="DX22" s="507" t="str">
        <f>INPUT!GK539</f>
        <v>NA</v>
      </c>
      <c r="DY22" s="151">
        <f>INPUT!GL539</f>
        <v>0</v>
      </c>
      <c r="DZ22" s="507" t="str">
        <f>INPUT!GM539</f>
        <v>NA</v>
      </c>
      <c r="EA22" s="151">
        <f>INPUT!GN539</f>
        <v>0</v>
      </c>
      <c r="EB22" s="507" t="str">
        <f>INPUT!GO539</f>
        <v>NA</v>
      </c>
      <c r="EC22" s="151">
        <f>INPUT!GP539</f>
        <v>0</v>
      </c>
      <c r="ED22" s="507" t="str">
        <f>INPUT!GQ539</f>
        <v>NA</v>
      </c>
      <c r="EE22" s="151">
        <f>INPUT!GR539</f>
        <v>0</v>
      </c>
      <c r="EF22" s="507" t="str">
        <f>INPUT!GS539</f>
        <v>NA</v>
      </c>
      <c r="EG22" s="151">
        <f>INPUT!GT539</f>
        <v>0</v>
      </c>
      <c r="EH22" s="507" t="str">
        <f>INPUT!GU539</f>
        <v>NA</v>
      </c>
      <c r="EI22" s="151">
        <f>INPUT!GV539</f>
        <v>0</v>
      </c>
      <c r="EJ22" s="507" t="str">
        <f>INPUT!GW539</f>
        <v>NA</v>
      </c>
      <c r="EK22" s="151">
        <f>INPUT!GX539</f>
        <v>0</v>
      </c>
      <c r="EL22" s="507" t="str">
        <f>INPUT!GY539</f>
        <v>NA</v>
      </c>
      <c r="EM22" s="507" t="str">
        <f>INPUT!GZ539</f>
        <v/>
      </c>
    </row>
    <row r="23" spans="1:143" ht="12.75" customHeight="1" collapsed="1" x14ac:dyDescent="0.2">
      <c r="A23" s="691" t="s">
        <v>184</v>
      </c>
      <c r="B23" s="706">
        <f>INPUT!AY541</f>
        <v>246.95999999999995</v>
      </c>
      <c r="C23" s="61"/>
      <c r="D23" s="706">
        <f>INPUT!BA541</f>
        <v>323.45999999999998</v>
      </c>
      <c r="E23" s="61"/>
      <c r="F23" s="706">
        <f>INPUT!BC541</f>
        <v>357.76000000000005</v>
      </c>
      <c r="G23" s="61"/>
      <c r="H23" s="706">
        <f>INPUT!BE541</f>
        <v>360.45999999999992</v>
      </c>
      <c r="I23" s="61"/>
      <c r="J23" s="706">
        <f>INPUT!BG541</f>
        <v>339.40000000000009</v>
      </c>
      <c r="K23" s="61">
        <f>IF(ISERROR((J23/B23-1)*100),"NA",IF(((J23/B23-1)*100)&gt;100,"NM",IF(((J23/B23-1)*100)&lt;-50,"NM",(J23/B23-1)*100)))</f>
        <v>37.431162941367077</v>
      </c>
      <c r="L23" s="706">
        <f>INPUT!BI541</f>
        <v>350.6</v>
      </c>
      <c r="M23" s="61">
        <f>IF(ISERROR((L23/D23-1)*100),"NA",IF(((L23/D23-1)*100)&gt;100,"NM",IF(((L23/D23-1)*100)&lt;-50,"NM",(L23/D23-1)*100)))</f>
        <v>8.3905274222469739</v>
      </c>
      <c r="N23" s="706">
        <f>INPUT!BK541</f>
        <v>332.3</v>
      </c>
      <c r="O23" s="61">
        <f>IF(ISERROR((N23/F23-1)*100),"NA",IF(((N23/F23-1)*100)&gt;100,"NM",IF(((N23/F23-1)*100)&lt;-50,"NM",(N23/F23-1)*100)))</f>
        <v>-7.1165026833631568</v>
      </c>
      <c r="P23" s="706">
        <f>INPUT!BM541</f>
        <v>301.49999999999983</v>
      </c>
      <c r="Q23" s="61">
        <f>IF(ISERROR((P23/H23-1)*100),"NA",IF(((P23/H23-1)*100)&gt;100,"NM",IF(((P23/H23-1)*100)&lt;-50,"NM",(P23/H23-1)*100)))</f>
        <v>-16.356877323420104</v>
      </c>
      <c r="R23" s="706">
        <f>INPUT!BO541</f>
        <v>299.50000000000011</v>
      </c>
      <c r="S23" s="61">
        <f>IF(ISERROR((R23/J23-1)*100),"NA",IF(((R23/J23-1)*100)&gt;100,"NM",IF(((R23/J23-1)*100)&lt;-50,"NM",(R23/J23-1)*100)))</f>
        <v>-11.756040070713015</v>
      </c>
      <c r="T23" s="706">
        <f>INPUT!BQ541</f>
        <v>308.60000000000008</v>
      </c>
      <c r="U23" s="61">
        <f>IF(ISERROR((T23/L23-1)*100),"NA",IF(((T23/L23-1)*100)&gt;100,"NM",IF(((T23/L23-1)*100)&lt;-50,"NM",(T23/L23-1)*100)))</f>
        <v>-11.979463776383326</v>
      </c>
      <c r="V23" s="706">
        <f>INPUT!BS541</f>
        <v>298.00000000000011</v>
      </c>
      <c r="W23" s="61">
        <f>IF(ISERROR((V23/N23-1)*100),"NA",IF(((V23/N23-1)*100)&gt;100,"NM",IF(((V23/N23-1)*100)&lt;-50,"NM",(V23/N23-1)*100)))</f>
        <v>-10.321998194402616</v>
      </c>
      <c r="X23" s="706">
        <f>INPUT!BU541</f>
        <v>-127.10000000000014</v>
      </c>
      <c r="Y23" s="61" t="str">
        <f>IF(ISERROR((X23/P23-1)*100),"NA",IF(((X23/P23-1)*100)&gt;100,"NM",IF(((X23/P23-1)*100)&lt;-50,"NM",(X23/P23-1)*100)))</f>
        <v>NM</v>
      </c>
      <c r="Z23" s="706">
        <f>INPUT!BW541</f>
        <v>163.10000000000005</v>
      </c>
      <c r="AA23" s="61">
        <f>IF(ISERROR((Z23/R23-1)*100),"NA",IF(((Z23/R23-1)*100)&gt;100,"NM",IF(((Z23/R23-1)*100)&lt;-50,"NM",(Z23/R23-1)*100)))</f>
        <v>-45.542570951585979</v>
      </c>
      <c r="AB23" s="706">
        <f>INPUT!BY541</f>
        <v>207.30000000000015</v>
      </c>
      <c r="AC23" s="61">
        <f>IF(ISERROR((AB23/T23-1)*100),"NA",IF(((AB23/T23-1)*100)&gt;100,"NM",IF(((AB23/T23-1)*100)&lt;-50,"NM",(AB23/T23-1)*100)))</f>
        <v>-32.825664290343461</v>
      </c>
      <c r="AD23" s="706">
        <f>INPUT!CA541</f>
        <v>259.20999999999987</v>
      </c>
      <c r="AE23" s="61">
        <f>IF(ISERROR((AD23/V23-1)*100),"NA",IF(((AD23/V23-1)*100)&gt;100,"NM",IF(((AD23/V23-1)*100)&lt;-50,"NM",(AD23/V23-1)*100)))</f>
        <v>-13.016778523490014</v>
      </c>
      <c r="AF23" s="706">
        <f>INPUT!CC541</f>
        <v>279</v>
      </c>
      <c r="AG23" s="61" t="str">
        <f>IF(ISERROR((AF23/X23-1)*100),"NA",IF(((AF23/X23-1)*100)&gt;100,"NM",IF(((AF23/X23-1)*100)&lt;-50,"NM",(AF23/X23-1)*100)))</f>
        <v>NM</v>
      </c>
      <c r="AH23" s="706">
        <f>INPUT!CE541</f>
        <v>257.80000000000007</v>
      </c>
      <c r="AI23" s="61">
        <f>IF(ISERROR((AH23/Z23-1)*100),"NA",IF(((AH23/Z23-1)*100)&gt;100,"NM",IF(((AH23/Z23-1)*100)&lt;-50,"NM",(AH23/Z23-1)*100)))</f>
        <v>58.062538320049043</v>
      </c>
      <c r="AJ23" s="706">
        <f>INPUT!CG541</f>
        <v>272.40000000000003</v>
      </c>
      <c r="AK23" s="61">
        <f>IF(ISERROR((AJ23/AB23-1)*100),"NA",IF(((AJ23/AB23-1)*100)&gt;100,"NM",IF(((AJ23/AB23-1)*100)&lt;-50,"NM",(AJ23/AB23-1)*100)))</f>
        <v>31.403762662807445</v>
      </c>
      <c r="AL23" s="706">
        <f>INPUT!CI541</f>
        <v>204.59999999999997</v>
      </c>
      <c r="AM23" s="61">
        <f>IF(ISERROR((AL23/AD23-1)*100),"NA",IF(((AL23/AD23-1)*100)&gt;100,"NM",IF(((AL23/AD23-1)*100)&lt;-50,"NM",(AL23/AD23-1)*100)))</f>
        <v>-21.067860036264008</v>
      </c>
      <c r="AN23" s="706">
        <f>INPUT!CK541</f>
        <v>265.5999999999998</v>
      </c>
      <c r="AO23" s="61">
        <f>IF(ISERROR((AN23/AF23-1)*100),"NA",IF(((AN23/AF23-1)*100)&gt;100,"NM",IF(((AN23/AF23-1)*100)&lt;-50,"NM",(AN23/AF23-1)*100)))</f>
        <v>-4.8028673835126217</v>
      </c>
      <c r="AP23" s="706">
        <f>INPUT!CM541</f>
        <v>321.9000000000002</v>
      </c>
      <c r="AQ23" s="61">
        <f>IF(ISERROR((AP23/AH23-1)*100),"NA",IF(((AP23/AH23-1)*100)&gt;100,"NM",IF(((AP23/AH23-1)*100)&lt;-50,"NM",(AP23/AH23-1)*100)))</f>
        <v>24.864235841737823</v>
      </c>
      <c r="AR23" s="706">
        <f>INPUT!CO541</f>
        <v>324.89999999999981</v>
      </c>
      <c r="AS23" s="61">
        <f>IF(ISERROR((AR23/AJ23-1)*100),"NA",IF(((AR23/AJ23-1)*100)&gt;100,"NM",IF(((AR23/AJ23-1)*100)&lt;-50,"NM",(AR23/AJ23-1)*100)))</f>
        <v>19.273127753303875</v>
      </c>
      <c r="AT23" s="706">
        <f>INPUT!CQ541</f>
        <v>322.89999999999992</v>
      </c>
      <c r="AU23" s="61">
        <f>IF(ISERROR((AT23/AL23-1)*100),"NA",IF(((AT23/AL23-1)*100)&gt;100,"NM",IF(((AT23/AL23-1)*100)&lt;-50,"NM",(AT23/AL23-1)*100)))</f>
        <v>57.82013685239491</v>
      </c>
      <c r="AV23" s="706">
        <f>INPUT!CS541</f>
        <v>277</v>
      </c>
      <c r="AW23" s="507">
        <f>INPUT!CT541</f>
        <v>4.2921686746988819</v>
      </c>
      <c r="AX23" s="706">
        <f>INPUT!CU541</f>
        <v>293</v>
      </c>
      <c r="AY23" s="507">
        <f>INPUT!CV541</f>
        <v>-8.9779434607021429</v>
      </c>
      <c r="AZ23" s="706">
        <f>INPUT!CW541</f>
        <v>315</v>
      </c>
      <c r="BA23" s="507">
        <f>INPUT!CX541</f>
        <v>-3.0470914127423199</v>
      </c>
      <c r="BB23" s="706">
        <f>INPUT!CY541</f>
        <v>362</v>
      </c>
      <c r="BC23" s="507">
        <f>INPUT!CZ541</f>
        <v>12.109012078042758</v>
      </c>
      <c r="BD23" s="706">
        <f>INPUT!DA541</f>
        <v>310</v>
      </c>
      <c r="BE23" s="507">
        <f>INPUT!DB541</f>
        <v>11.913357400722013</v>
      </c>
      <c r="BF23" s="706">
        <f>INPUT!DC541</f>
        <v>285</v>
      </c>
      <c r="BG23" s="507">
        <f>INPUT!DD541</f>
        <v>-2.7303754266211566</v>
      </c>
      <c r="BH23" s="706">
        <f>INPUT!DE541</f>
        <v>351</v>
      </c>
      <c r="BI23" s="507">
        <f>INPUT!DF541</f>
        <v>11.428571428571432</v>
      </c>
      <c r="BJ23" s="706">
        <f>INPUT!DG541</f>
        <v>367</v>
      </c>
      <c r="BK23" s="507">
        <f>INPUT!DH541</f>
        <v>1.3812154696132506</v>
      </c>
      <c r="BL23" s="706">
        <f>INPUT!DI541</f>
        <v>382</v>
      </c>
      <c r="BM23" s="507">
        <f>INPUT!DJ541</f>
        <v>23.225806451612897</v>
      </c>
      <c r="BN23" s="706">
        <f>INPUT!DK541</f>
        <v>364</v>
      </c>
      <c r="BO23" s="507">
        <f>INPUT!DL541</f>
        <v>27.719298245614034</v>
      </c>
      <c r="BP23" s="706">
        <f>INPUT!DM541</f>
        <v>395</v>
      </c>
      <c r="BQ23" s="507">
        <f>INPUT!DN541</f>
        <v>12.535612535612529</v>
      </c>
      <c r="BR23" s="706">
        <f>INPUT!DO541</f>
        <v>416</v>
      </c>
      <c r="BS23" s="507">
        <f>INPUT!DP541</f>
        <v>13.351498637602187</v>
      </c>
      <c r="BT23" s="706">
        <f>INPUT!DQ541</f>
        <v>440</v>
      </c>
      <c r="BU23" s="507">
        <f>INPUT!DR541</f>
        <v>15.18324607329844</v>
      </c>
      <c r="BV23" s="706">
        <f>INPUT!DS541</f>
        <v>352</v>
      </c>
      <c r="BW23" s="507">
        <f>INPUT!DT541</f>
        <v>-3.2967032967032961</v>
      </c>
      <c r="BX23" s="706">
        <f>INPUT!DU541</f>
        <v>371</v>
      </c>
      <c r="BY23" s="507">
        <f>INPUT!DV541</f>
        <v>-6.0759493670886062</v>
      </c>
      <c r="BZ23" s="706">
        <f>INPUT!DW541</f>
        <v>282</v>
      </c>
      <c r="CA23" s="507">
        <f>INPUT!DX541</f>
        <v>282</v>
      </c>
      <c r="CB23" s="706">
        <f>INPUT!DY541</f>
        <v>382</v>
      </c>
      <c r="CC23" s="507">
        <f>INPUT!DZ541</f>
        <v>-13.181818181818183</v>
      </c>
      <c r="CD23" s="706">
        <f>INPUT!EA541</f>
        <v>307</v>
      </c>
      <c r="CE23" s="507">
        <f>INPUT!EB541</f>
        <v>-12.784090909090907</v>
      </c>
      <c r="CF23" s="706">
        <f>INPUT!EC541</f>
        <v>373</v>
      </c>
      <c r="CG23" s="507">
        <f>INPUT!ED541</f>
        <v>0.53908355795149188</v>
      </c>
      <c r="CH23" s="706">
        <f>INPUT!EE541</f>
        <v>441</v>
      </c>
      <c r="CI23" s="507">
        <f>INPUT!EF541</f>
        <v>56.38297872340425</v>
      </c>
      <c r="CJ23" s="706">
        <f>INPUT!EG541</f>
        <v>409</v>
      </c>
      <c r="CK23" s="507">
        <f>INPUT!EH541</f>
        <v>7.0680628272251411</v>
      </c>
      <c r="CL23" s="706">
        <f>INPUT!EI541</f>
        <v>442</v>
      </c>
      <c r="CM23" s="507">
        <f>INPUT!EJ541</f>
        <v>43.973941368078172</v>
      </c>
      <c r="CN23" s="706">
        <f>INPUT!EK541</f>
        <v>419</v>
      </c>
      <c r="CO23" s="507">
        <f>INPUT!EL541</f>
        <v>12.332439678284191</v>
      </c>
      <c r="CP23" s="706">
        <f>INPUT!EM541</f>
        <v>454</v>
      </c>
      <c r="CQ23" s="507">
        <f>INPUT!EN541</f>
        <v>2.947845804988658</v>
      </c>
      <c r="CR23" s="706">
        <f>INPUT!EO541</f>
        <v>440</v>
      </c>
      <c r="CS23" s="507">
        <f>INPUT!EP541</f>
        <v>7.5794621026894937</v>
      </c>
      <c r="CT23" s="706">
        <f>INPUT!EQ541</f>
        <v>433.01539174143363</v>
      </c>
      <c r="CU23" s="507">
        <f>INPUT!ER541</f>
        <v>-2.0327168005806251</v>
      </c>
      <c r="CV23" s="706">
        <f>INPUT!ES541</f>
        <v>460.45921990626726</v>
      </c>
      <c r="CW23" s="507">
        <f>INPUT!ET541</f>
        <v>9.894801886937298</v>
      </c>
      <c r="CX23" s="706">
        <f>INPUT!EU541</f>
        <v>479.13694888564487</v>
      </c>
      <c r="CY23" s="507">
        <f>INPUT!EV541</f>
        <v>5.5367728823006335</v>
      </c>
      <c r="CZ23" s="706">
        <f>INPUT!EW541</f>
        <v>492.61294385852671</v>
      </c>
      <c r="DA23" s="507">
        <f>INPUT!EX541</f>
        <v>11.95748724057426</v>
      </c>
      <c r="DB23" s="727"/>
      <c r="DC23" s="706">
        <f>INPUT!FP541</f>
        <v>959.95600000000002</v>
      </c>
      <c r="DD23" s="507">
        <f>INPUT!FQ541</f>
        <v>32.42233625779398</v>
      </c>
      <c r="DE23" s="706">
        <f>INPUT!FR541</f>
        <v>1288.6399999999999</v>
      </c>
      <c r="DF23" s="507">
        <f>INPUT!FS541</f>
        <v>34.239485976440577</v>
      </c>
      <c r="DG23" s="706">
        <f>INPUT!FT541</f>
        <v>1323.7999999999995</v>
      </c>
      <c r="DH23" s="507">
        <f>INPUT!FU541</f>
        <v>2.7284579091134464</v>
      </c>
      <c r="DI23" s="706">
        <f>INPUT!FV541</f>
        <v>779.00000000000045</v>
      </c>
      <c r="DJ23" s="507">
        <f>INPUT!FW541</f>
        <v>-41.154252908294254</v>
      </c>
      <c r="DK23" s="706">
        <f>INPUT!FX541</f>
        <v>908.61000000000024</v>
      </c>
      <c r="DL23" s="507">
        <f>INPUT!FY541</f>
        <v>16.637997432605879</v>
      </c>
      <c r="DM23" s="706">
        <f>INPUT!FZ541</f>
        <v>1000.3999999999994</v>
      </c>
      <c r="DN23" s="507">
        <f>INPUT!GA541</f>
        <v>10.102244087121992</v>
      </c>
      <c r="DO23" s="706">
        <f>INPUT!GB541</f>
        <v>1246.7000000000003</v>
      </c>
      <c r="DP23" s="507">
        <f>INPUT!GC541</f>
        <v>24.620151939224421</v>
      </c>
      <c r="DQ23" s="706">
        <f>INPUT!GD541</f>
        <v>1280</v>
      </c>
      <c r="DR23" s="507">
        <f>INPUT!GE541</f>
        <v>2.6710515761610321</v>
      </c>
      <c r="DS23" s="706">
        <f>INPUT!GF541</f>
        <v>1385</v>
      </c>
      <c r="DT23" s="507">
        <f>INPUT!GG541</f>
        <v>8.203125</v>
      </c>
      <c r="DU23" s="706">
        <f>INPUT!GH541</f>
        <v>1615</v>
      </c>
      <c r="DV23" s="507">
        <f>INPUT!GI541</f>
        <v>16.606498194945839</v>
      </c>
      <c r="DW23" s="706">
        <f>INPUT!GJ541</f>
        <v>1387</v>
      </c>
      <c r="DX23" s="507">
        <f>INPUT!GK541</f>
        <v>-14.117647058823534</v>
      </c>
      <c r="DY23" s="706">
        <f>INPUT!GL541</f>
        <v>1530</v>
      </c>
      <c r="DZ23" s="507">
        <f>INPUT!GM541</f>
        <v>10.31002162941601</v>
      </c>
      <c r="EA23" s="706">
        <f>INPUT!GN541</f>
        <v>1755</v>
      </c>
      <c r="EB23" s="507">
        <f>INPUT!GO541</f>
        <v>14.705882352941169</v>
      </c>
      <c r="EC23" s="706">
        <f>INPUT!GP541</f>
        <v>1865.2245043918708</v>
      </c>
      <c r="ED23" s="507">
        <f>INPUT!GQ541</f>
        <v>6.2805985408473486</v>
      </c>
      <c r="EE23" s="706">
        <f>INPUT!GR541</f>
        <v>1997.2805153712757</v>
      </c>
      <c r="EF23" s="507">
        <f>INPUT!GS541</f>
        <v>7.0798989970625392</v>
      </c>
      <c r="EG23" s="706">
        <f>INPUT!GT541</f>
        <v>2187.2095019673025</v>
      </c>
      <c r="EH23" s="507">
        <f>INPUT!GU541</f>
        <v>9.5093796356753089</v>
      </c>
      <c r="EI23" s="706">
        <f>INPUT!GV541</f>
        <v>2296.8237050363132</v>
      </c>
      <c r="EJ23" s="507">
        <f>INPUT!GW541</f>
        <v>5.0116005334842173</v>
      </c>
      <c r="EK23" s="706">
        <f>INPUT!GX541</f>
        <v>2417.6717699682927</v>
      </c>
      <c r="EL23" s="507">
        <f>INPUT!GY541</f>
        <v>5.2615298539018251</v>
      </c>
      <c r="EM23" s="507">
        <f>INPUT!GZ541</f>
        <v>6.6164072778214678</v>
      </c>
    </row>
    <row r="24" spans="1:143" ht="12.75" customHeight="1" x14ac:dyDescent="0.2">
      <c r="A24" s="691"/>
      <c r="B24" s="16"/>
      <c r="C24" s="507"/>
      <c r="D24" s="16"/>
      <c r="E24" s="507"/>
      <c r="F24" s="16"/>
      <c r="G24" s="507"/>
      <c r="H24" s="16"/>
      <c r="I24" s="507"/>
      <c r="J24" s="16"/>
      <c r="K24" s="507"/>
      <c r="L24" s="16"/>
      <c r="M24" s="507"/>
      <c r="N24" s="16"/>
      <c r="O24" s="507"/>
      <c r="P24" s="16"/>
      <c r="Q24" s="507"/>
      <c r="R24" s="16"/>
      <c r="S24" s="507"/>
      <c r="T24" s="16"/>
      <c r="U24" s="507"/>
      <c r="V24" s="16"/>
      <c r="W24" s="507"/>
      <c r="X24" s="16"/>
      <c r="Y24" s="507"/>
      <c r="Z24" s="16"/>
      <c r="AA24" s="507"/>
      <c r="AB24" s="16"/>
      <c r="AC24" s="507"/>
      <c r="AD24" s="16"/>
      <c r="AE24" s="507"/>
      <c r="AF24" s="16"/>
      <c r="AG24" s="507"/>
      <c r="AH24" s="16"/>
      <c r="AI24" s="507"/>
      <c r="AJ24" s="16"/>
      <c r="AK24" s="507"/>
      <c r="AL24" s="16"/>
      <c r="AM24" s="507"/>
      <c r="AN24" s="16"/>
      <c r="AO24" s="507"/>
      <c r="AP24" s="16"/>
      <c r="AQ24" s="507"/>
      <c r="AR24" s="16"/>
      <c r="AS24" s="507"/>
      <c r="AT24" s="16"/>
      <c r="AU24" s="507"/>
      <c r="AV24" s="16"/>
      <c r="AW24" s="507"/>
      <c r="AX24" s="16"/>
      <c r="AY24" s="507"/>
      <c r="AZ24" s="16"/>
      <c r="BA24" s="507"/>
      <c r="BB24" s="16"/>
      <c r="BC24" s="507"/>
      <c r="BD24" s="151"/>
      <c r="BE24" s="507"/>
      <c r="BF24" s="151"/>
      <c r="BG24" s="507"/>
      <c r="BH24" s="151"/>
      <c r="BI24" s="507"/>
      <c r="BJ24" s="151"/>
      <c r="BK24" s="507"/>
      <c r="BL24" s="151"/>
      <c r="BM24" s="507"/>
      <c r="BN24" s="151"/>
      <c r="BO24" s="507"/>
      <c r="BP24" s="151"/>
      <c r="BQ24" s="507"/>
      <c r="BR24" s="151"/>
      <c r="BS24" s="507"/>
      <c r="BT24" s="151"/>
      <c r="BU24" s="507"/>
      <c r="BV24" s="151"/>
      <c r="BW24" s="507"/>
      <c r="BX24" s="151"/>
      <c r="BY24" s="507"/>
      <c r="BZ24" s="151"/>
      <c r="CA24" s="507"/>
      <c r="CB24" s="151"/>
      <c r="CC24" s="507"/>
      <c r="CD24" s="151"/>
      <c r="CE24" s="507"/>
      <c r="CF24" s="151"/>
      <c r="CG24" s="507"/>
      <c r="CH24" s="151"/>
      <c r="CI24" s="507"/>
      <c r="CJ24" s="151"/>
      <c r="CK24" s="507"/>
      <c r="CL24" s="151"/>
      <c r="CM24" s="507"/>
      <c r="CN24" s="151"/>
      <c r="CO24" s="507"/>
      <c r="CP24" s="151"/>
      <c r="CQ24" s="507"/>
      <c r="CR24" s="151"/>
      <c r="CS24" s="507"/>
      <c r="CT24" s="151"/>
      <c r="CU24" s="507"/>
      <c r="CV24" s="151"/>
      <c r="CW24" s="507"/>
      <c r="CX24" s="151"/>
      <c r="CY24" s="507"/>
      <c r="CZ24" s="151"/>
      <c r="DA24" s="507"/>
      <c r="DB24" s="507"/>
      <c r="DC24" s="16"/>
      <c r="DD24" s="507"/>
      <c r="DE24" s="16"/>
      <c r="DF24" s="507"/>
      <c r="DG24" s="16"/>
      <c r="DH24" s="507"/>
      <c r="DI24" s="16"/>
      <c r="DJ24" s="507"/>
      <c r="DK24" s="16"/>
      <c r="DL24" s="507"/>
      <c r="DM24" s="16"/>
      <c r="DN24" s="507"/>
      <c r="DO24" s="16"/>
      <c r="DP24" s="507"/>
      <c r="DQ24" s="16"/>
      <c r="DR24" s="507"/>
      <c r="DS24" s="16"/>
      <c r="DT24" s="507"/>
      <c r="DU24" s="16"/>
      <c r="DV24" s="507"/>
      <c r="DW24" s="16"/>
      <c r="DX24" s="507"/>
      <c r="DY24" s="16"/>
      <c r="DZ24" s="507"/>
      <c r="EA24" s="16"/>
      <c r="EB24" s="507"/>
      <c r="EC24" s="16"/>
      <c r="ED24" s="507"/>
      <c r="EE24" s="16"/>
      <c r="EF24" s="507"/>
      <c r="EG24" s="16"/>
      <c r="EH24" s="507"/>
      <c r="EI24" s="16"/>
      <c r="EJ24" s="507"/>
      <c r="EK24" s="16"/>
      <c r="EL24" s="507"/>
      <c r="EM24" s="507"/>
    </row>
    <row r="25" spans="1:143" ht="12.75" customHeight="1" x14ac:dyDescent="0.2">
      <c r="A25" s="701" t="str">
        <f>INPUT!B611</f>
        <v>Average Shares (FD)</v>
      </c>
      <c r="B25" s="151">
        <f>INPUT!AY611</f>
        <v>177.9</v>
      </c>
      <c r="C25" s="507">
        <f>INPUT!AZ611</f>
        <v>0.7361268403170973</v>
      </c>
      <c r="D25" s="151">
        <f>INPUT!BA611</f>
        <v>282.60000000000002</v>
      </c>
      <c r="E25" s="687">
        <f>INPUT!BB611</f>
        <v>61.117445838084386</v>
      </c>
      <c r="F25" s="151">
        <f>INPUT!BC611</f>
        <v>282.39999999999998</v>
      </c>
      <c r="G25" s="687">
        <f>INPUT!BD611</f>
        <v>60.637087599544913</v>
      </c>
      <c r="H25" s="151">
        <f>INPUT!BE611</f>
        <v>280.39999999999998</v>
      </c>
      <c r="I25" s="687">
        <f>INPUT!BF611</f>
        <v>58.776896942242352</v>
      </c>
      <c r="J25" s="151">
        <f>INPUT!BG611</f>
        <v>279.5</v>
      </c>
      <c r="K25" s="687">
        <f>INPUT!BH611</f>
        <v>57.110736368746487</v>
      </c>
      <c r="L25" s="151">
        <f>INPUT!BI611</f>
        <v>274.39999999999998</v>
      </c>
      <c r="M25" s="687">
        <f>INPUT!BJ611</f>
        <v>-2.9016277423920878</v>
      </c>
      <c r="N25" s="151">
        <f>INPUT!BK611</f>
        <v>272.5</v>
      </c>
      <c r="O25" s="687">
        <f>INPUT!BL611</f>
        <v>-3.5056657223795917</v>
      </c>
      <c r="P25" s="151">
        <f>INPUT!BM611</f>
        <v>269.39999999999998</v>
      </c>
      <c r="Q25" s="687">
        <f>INPUT!BN611</f>
        <v>-3.9229671897289542</v>
      </c>
      <c r="R25" s="151">
        <f>INPUT!BO611</f>
        <v>262.8</v>
      </c>
      <c r="S25" s="687">
        <f>INPUT!BP611</f>
        <v>-5.9749552772808574</v>
      </c>
      <c r="T25" s="151">
        <f>INPUT!BQ611</f>
        <v>259.60000000000002</v>
      </c>
      <c r="U25" s="687">
        <f>INPUT!BR611</f>
        <v>-5.393586005830886</v>
      </c>
      <c r="V25" s="151">
        <f>INPUT!BS611</f>
        <v>257.64499999999998</v>
      </c>
      <c r="W25" s="687">
        <f>INPUT!BT611</f>
        <v>-5.4513761467890003</v>
      </c>
      <c r="X25" s="151">
        <f>INPUT!BU611</f>
        <v>257.60000000000002</v>
      </c>
      <c r="Y25" s="687">
        <f>INPUT!BV611</f>
        <v>-4.3801039346696218</v>
      </c>
      <c r="Z25" s="151">
        <f>INPUT!BW611</f>
        <v>257.8</v>
      </c>
      <c r="AA25" s="122">
        <f>INPUT!BX611</f>
        <v>-1.9025875190258779</v>
      </c>
      <c r="AB25" s="151">
        <f>INPUT!BY611</f>
        <v>262.39999999999998</v>
      </c>
      <c r="AC25" s="687">
        <f>INPUT!BZ611</f>
        <v>1.0785824345146189</v>
      </c>
      <c r="AD25" s="151">
        <f>INPUT!CA611</f>
        <v>310</v>
      </c>
      <c r="AE25" s="687">
        <f>INPUT!CB611</f>
        <v>20.320596169147475</v>
      </c>
      <c r="AF25" s="151">
        <f>INPUT!CC611</f>
        <v>311.60000000000002</v>
      </c>
      <c r="AG25" s="687">
        <f>INPUT!CD611</f>
        <v>20.962732919254655</v>
      </c>
      <c r="AH25" s="151">
        <f>INPUT!CE611</f>
        <v>312.08</v>
      </c>
      <c r="AI25" s="507">
        <f>INPUT!CF611</f>
        <v>21.05508145849495</v>
      </c>
      <c r="AJ25" s="151">
        <f>INPUT!CG611</f>
        <v>314.60000000000002</v>
      </c>
      <c r="AK25" s="507">
        <f>INPUT!CH611</f>
        <v>19.893292682926855</v>
      </c>
      <c r="AL25" s="151">
        <f>INPUT!CI611</f>
        <v>325.7</v>
      </c>
      <c r="AM25" s="507">
        <f>INPUT!CJ611</f>
        <v>5.0645161290322482</v>
      </c>
      <c r="AN25" s="151">
        <f>INPUT!CK611</f>
        <v>323.39999999999998</v>
      </c>
      <c r="AO25" s="507">
        <f>INPUT!CL611</f>
        <v>3.7869062901155104</v>
      </c>
      <c r="AP25" s="151">
        <f>INPUT!CM611</f>
        <v>322.89999999999998</v>
      </c>
      <c r="AQ25" s="507">
        <f>INPUT!CN611</f>
        <v>3.4670597282747906</v>
      </c>
      <c r="AR25" s="151">
        <f>INPUT!CO611</f>
        <v>320.09999999999997</v>
      </c>
      <c r="AS25" s="507">
        <f>INPUT!CP611</f>
        <v>1.7482517482517279</v>
      </c>
      <c r="AT25" s="151">
        <f>INPUT!CQ611</f>
        <v>312</v>
      </c>
      <c r="AU25" s="507">
        <f>INPUT!CR611</f>
        <v>-4.2063248388087171</v>
      </c>
      <c r="AV25" s="151">
        <f>INPUT!CS611</f>
        <v>303.39999999999998</v>
      </c>
      <c r="AW25" s="507">
        <f>INPUT!CT611</f>
        <v>-6.1842918985776096</v>
      </c>
      <c r="AX25" s="151">
        <f>INPUT!CU611</f>
        <v>295.89999999999998</v>
      </c>
      <c r="AY25" s="507">
        <f>INPUT!CV611</f>
        <v>-8.3617218953236261</v>
      </c>
      <c r="AZ25" s="151">
        <f>INPUT!CW611</f>
        <v>290</v>
      </c>
      <c r="BA25" s="507">
        <f>INPUT!CX611</f>
        <v>-9.4033114651671301</v>
      </c>
      <c r="BB25" s="151">
        <f>INPUT!CY611</f>
        <v>284.7</v>
      </c>
      <c r="BC25" s="507">
        <f>INPUT!CZ611</f>
        <v>-8.7500000000000018</v>
      </c>
      <c r="BD25" s="151">
        <f>INPUT!DA611</f>
        <v>281.10000000000002</v>
      </c>
      <c r="BE25" s="507">
        <f>INPUT!DB611</f>
        <v>-7.3500329597890435</v>
      </c>
      <c r="BF25" s="151">
        <f>INPUT!DC611</f>
        <v>278.60000000000002</v>
      </c>
      <c r="BG25" s="507">
        <f>INPUT!DD611</f>
        <v>-5.8465697870902167</v>
      </c>
      <c r="BH25" s="151">
        <f>INPUT!DE611</f>
        <v>275.7</v>
      </c>
      <c r="BI25" s="507">
        <f>INPUT!DF611</f>
        <v>-4.9310344827586228</v>
      </c>
      <c r="BJ25" s="151">
        <f>INPUT!DG611</f>
        <v>273.7</v>
      </c>
      <c r="BK25" s="507">
        <f>INPUT!DH611</f>
        <v>-3.863716192483313</v>
      </c>
      <c r="BL25" s="151">
        <f>INPUT!DI611</f>
        <v>272.8</v>
      </c>
      <c r="BM25" s="507">
        <f>INPUT!DJ611</f>
        <v>-2.9526858769121311</v>
      </c>
      <c r="BN25" s="151">
        <f>INPUT!DK611</f>
        <v>272.10000000000002</v>
      </c>
      <c r="BO25" s="507">
        <f>INPUT!DL611</f>
        <v>-2.3330940416367518</v>
      </c>
      <c r="BP25" s="151">
        <f>INPUT!DM611</f>
        <v>268.89999999999998</v>
      </c>
      <c r="BQ25" s="507">
        <f>INPUT!DN611</f>
        <v>-2.4664490388103033</v>
      </c>
      <c r="BR25" s="151">
        <f>INPUT!DO611</f>
        <v>266.8</v>
      </c>
      <c r="BS25" s="507">
        <f>INPUT!DP611</f>
        <v>-2.5210084033613356</v>
      </c>
      <c r="BT25" s="151">
        <f>INPUT!DQ611</f>
        <v>263</v>
      </c>
      <c r="BU25" s="507">
        <f>INPUT!DR611</f>
        <v>-3.5923753665689229</v>
      </c>
      <c r="BV25" s="151">
        <f>INPUT!DS611</f>
        <v>260.60000000000002</v>
      </c>
      <c r="BW25" s="507">
        <f>INPUT!DT611</f>
        <v>-4.2263873575891235</v>
      </c>
      <c r="BX25" s="151">
        <f>INPUT!DU611</f>
        <v>254.9</v>
      </c>
      <c r="BY25" s="507">
        <f>INPUT!DV611</f>
        <v>-5.2063964298995842</v>
      </c>
      <c r="BZ25" s="151">
        <f>INPUT!DW611</f>
        <v>253.2</v>
      </c>
      <c r="CA25" s="507">
        <f>INPUT!DX611</f>
        <v>253.2</v>
      </c>
      <c r="CB25" s="151">
        <f>INPUT!DY611</f>
        <v>248.9</v>
      </c>
      <c r="CC25" s="507">
        <f>INPUT!DZ611</f>
        <v>-5.3612167300380209</v>
      </c>
      <c r="CD25" s="151">
        <f>INPUT!EA611</f>
        <v>245.1</v>
      </c>
      <c r="CE25" s="507">
        <f>INPUT!EB611</f>
        <v>-5.9478127398311713</v>
      </c>
      <c r="CF25" s="151">
        <f>INPUT!EC611</f>
        <v>239.9</v>
      </c>
      <c r="CG25" s="507">
        <f>INPUT!ED611</f>
        <v>-5.8846606512357731</v>
      </c>
      <c r="CH25" s="151">
        <f>INPUT!EE611</f>
        <v>233.6</v>
      </c>
      <c r="CI25" s="507">
        <f>INPUT!EF611</f>
        <v>-7.7409162717219537</v>
      </c>
      <c r="CJ25" s="151">
        <f>INPUT!EG611</f>
        <v>230.9</v>
      </c>
      <c r="CK25" s="507">
        <f>INPUT!EH611</f>
        <v>-7.2318200080353501</v>
      </c>
      <c r="CL25" s="151">
        <f>INPUT!EI611</f>
        <v>230.1</v>
      </c>
      <c r="CM25" s="507">
        <f>INPUT!EJ611</f>
        <v>-6.1199510403916797</v>
      </c>
      <c r="CN25" s="151">
        <f>INPUT!EK611</f>
        <v>227.15</v>
      </c>
      <c r="CO25" s="507">
        <f>INPUT!EL611</f>
        <v>-5.3147144643601489</v>
      </c>
      <c r="CP25" s="151">
        <f>INPUT!EM611</f>
        <v>223.9</v>
      </c>
      <c r="CQ25" s="507">
        <f>INPUT!EN611</f>
        <v>-4.1523972602739656</v>
      </c>
      <c r="CR25" s="151">
        <f>INPUT!EO611</f>
        <v>221.9</v>
      </c>
      <c r="CS25" s="507">
        <f>INPUT!EP611</f>
        <v>-3.8977912516240831</v>
      </c>
      <c r="CT25" s="151">
        <f>INPUT!EQ611</f>
        <v>221.3</v>
      </c>
      <c r="CU25" s="507">
        <f>INPUT!ER611</f>
        <v>-3.8244241634072029</v>
      </c>
      <c r="CV25" s="151">
        <f>INPUT!ES611</f>
        <v>221.3</v>
      </c>
      <c r="CW25" s="507">
        <f>INPUT!ET611</f>
        <v>-2.5753907109839269</v>
      </c>
      <c r="CX25" s="151">
        <f>INPUT!EU611</f>
        <v>220.80731694359022</v>
      </c>
      <c r="CY25" s="507">
        <f>INPUT!EV611</f>
        <v>-1.3812787210405464</v>
      </c>
      <c r="CZ25" s="151">
        <f>INPUT!EW611</f>
        <v>219.8316322187685</v>
      </c>
      <c r="DA25" s="507">
        <f>INPUT!EX611</f>
        <v>-0.93211707130756993</v>
      </c>
      <c r="DB25" s="507"/>
      <c r="DC25" s="151">
        <f>INPUT!FP611</f>
        <v>176.1</v>
      </c>
      <c r="DD25" s="687">
        <f>INPUT!FQ611</f>
        <v>-8.909866804603638</v>
      </c>
      <c r="DE25" s="151">
        <f>INPUT!FR611</f>
        <v>255.82499999999999</v>
      </c>
      <c r="DF25" s="687">
        <f>INPUT!FS611</f>
        <v>45.272572402044297</v>
      </c>
      <c r="DG25" s="151">
        <f>INPUT!FT611</f>
        <v>273.95</v>
      </c>
      <c r="DH25" s="687">
        <f>INPUT!FU611</f>
        <v>7.084921332942451</v>
      </c>
      <c r="DI25" s="151">
        <f>INPUT!FV611</f>
        <v>259.41125</v>
      </c>
      <c r="DJ25" s="687">
        <f>INPUT!FW611</f>
        <v>-5.3070815842306995</v>
      </c>
      <c r="DK25" s="151">
        <f>INPUT!FX611</f>
        <v>285.45000000000005</v>
      </c>
      <c r="DL25" s="507">
        <f>INPUT!FY611</f>
        <v>10.037633294623905</v>
      </c>
      <c r="DM25" s="151">
        <f>INPUT!FZ611</f>
        <v>318.94500000000005</v>
      </c>
      <c r="DN25" s="507">
        <f>INPUT!GA611</f>
        <v>11.734104046242777</v>
      </c>
      <c r="DO25" s="151">
        <f>INPUT!GB611</f>
        <v>315</v>
      </c>
      <c r="DP25" s="507">
        <f>INPUT!GC611</f>
        <v>-1.2368903729483294</v>
      </c>
      <c r="DQ25" s="151">
        <f>INPUT!GD611</f>
        <v>287.60000000000002</v>
      </c>
      <c r="DR25" s="507">
        <f>INPUT!GE611</f>
        <v>-8.6984126984126942</v>
      </c>
      <c r="DS25" s="151">
        <f>INPUT!GF611</f>
        <v>275.2</v>
      </c>
      <c r="DT25" s="507">
        <f>INPUT!GG611</f>
        <v>-4.3115438108484172</v>
      </c>
      <c r="DU25" s="151">
        <f>INPUT!GH611</f>
        <v>268</v>
      </c>
      <c r="DV25" s="507">
        <f>INPUT!GI611</f>
        <v>-2.6162790697674354</v>
      </c>
      <c r="DW25" s="151">
        <f>INPUT!GJ611</f>
        <v>254.4</v>
      </c>
      <c r="DX25" s="507">
        <f>INPUT!GK611</f>
        <v>-5.0746268656716387</v>
      </c>
      <c r="DY25" s="151">
        <f>INPUT!GL611</f>
        <v>237.375</v>
      </c>
      <c r="DZ25" s="507">
        <f>INPUT!GM611</f>
        <v>-6.6922169811320824</v>
      </c>
      <c r="EA25" s="151">
        <f>INPUT!GN611</f>
        <v>225.76249999999999</v>
      </c>
      <c r="EB25" s="507">
        <f>INPUT!GO611</f>
        <v>-4.8920484465508229</v>
      </c>
      <c r="EC25" s="151">
        <f>INPUT!GP611</f>
        <v>220.80973729058968</v>
      </c>
      <c r="ED25" s="507">
        <f>INPUT!GQ611</f>
        <v>-2.1937933489442729</v>
      </c>
      <c r="EE25" s="151">
        <f>INPUT!GR611</f>
        <v>217.02037471840566</v>
      </c>
      <c r="EF25" s="507">
        <f>INPUT!GS611</f>
        <v>-1.7161211360879225</v>
      </c>
      <c r="EG25" s="151">
        <f>INPUT!GT611</f>
        <v>212.37609765889641</v>
      </c>
      <c r="EH25" s="507">
        <f>INPUT!GU611</f>
        <v>-2.1400189109135104</v>
      </c>
      <c r="EI25" s="151">
        <f>INPUT!GV611</f>
        <v>206.96280534855109</v>
      </c>
      <c r="EJ25" s="507">
        <f>INPUT!GW611</f>
        <v>-2.5489178725940143</v>
      </c>
      <c r="EK25" s="151">
        <f>INPUT!GX611</f>
        <v>201.47313616672798</v>
      </c>
      <c r="EL25" s="507">
        <f>INPUT!GY611</f>
        <v>-2.6524907084525706</v>
      </c>
      <c r="EM25" s="257">
        <f>INPUT!GZ611</f>
        <v>-2.2508322968391226</v>
      </c>
    </row>
    <row r="26" spans="1:143" s="562" customFormat="1" ht="12.75" customHeight="1" x14ac:dyDescent="0.2">
      <c r="A26" s="670" t="s">
        <v>69</v>
      </c>
      <c r="B26" s="671">
        <f>INPUT!AY614</f>
        <v>1.3881956155143336</v>
      </c>
      <c r="C26" s="728"/>
      <c r="D26" s="671">
        <f>INPUT!BA614</f>
        <v>1.1445859872611464</v>
      </c>
      <c r="E26" s="728"/>
      <c r="F26" s="671">
        <f>INPUT!BC614</f>
        <v>1.2668555240793204</v>
      </c>
      <c r="G26" s="728"/>
      <c r="H26" s="671">
        <f>INPUT!BE614</f>
        <v>1.2855206847360912</v>
      </c>
      <c r="I26" s="728"/>
      <c r="J26" s="671">
        <f>INPUT!BG614</f>
        <v>1.2143112701252239</v>
      </c>
      <c r="K26" s="728">
        <f>INPUT!BH614</f>
        <v>-12.525925269162064</v>
      </c>
      <c r="L26" s="671">
        <f>INPUT!BI614</f>
        <v>1.2776967930029157</v>
      </c>
      <c r="M26" s="728">
        <f>INPUT!BJ614</f>
        <v>11.629602950171281</v>
      </c>
      <c r="N26" s="671">
        <f>INPUT!BK614</f>
        <v>1.2194495412844037</v>
      </c>
      <c r="O26" s="728">
        <f>INPUT!BL614</f>
        <v>-3.7420196615844392</v>
      </c>
      <c r="P26" s="671">
        <f>INPUT!BM614</f>
        <v>1.1191536748329616</v>
      </c>
      <c r="Q26" s="728">
        <f>INPUT!BN614</f>
        <v>-12.941605053775051</v>
      </c>
      <c r="R26" s="671">
        <f>INPUT!BO614</f>
        <v>1.1396499238964997</v>
      </c>
      <c r="S26" s="728">
        <f>INPUT!BP614</f>
        <v>-6.1484520538975911</v>
      </c>
      <c r="T26" s="671">
        <f>INPUT!BQ614</f>
        <v>1.1887519260400619</v>
      </c>
      <c r="U26" s="728">
        <f>INPUT!BR614</f>
        <v>-6.9613438375947245</v>
      </c>
      <c r="V26" s="671">
        <f>INPUT!BS614</f>
        <v>1.1566302470453536</v>
      </c>
      <c r="W26" s="728">
        <f>INPUT!BT614</f>
        <v>-5.1514467890885314</v>
      </c>
      <c r="X26" s="671">
        <f>INPUT!BU614</f>
        <v>-0.49340062111801292</v>
      </c>
      <c r="Y26" s="728" t="str">
        <f>INPUT!BV614</f>
        <v>NM</v>
      </c>
      <c r="Z26" s="671">
        <f>INPUT!BW614</f>
        <v>0.63266097750193961</v>
      </c>
      <c r="AA26" s="728">
        <f>INPUT!BX614</f>
        <v>-44.486375663602786</v>
      </c>
      <c r="AB26" s="671">
        <f>INPUT!BY614</f>
        <v>0.79001524390243971</v>
      </c>
      <c r="AC26" s="728">
        <f>INPUT!BZ614</f>
        <v>-33.542463604318442</v>
      </c>
      <c r="AD26" s="671">
        <f>INPUT!CA614</f>
        <v>0.83616129032258024</v>
      </c>
      <c r="AE26" s="728">
        <f>INPUT!CB614</f>
        <v>-27.707122266724461</v>
      </c>
      <c r="AF26" s="671">
        <f>INPUT!CC614</f>
        <v>0.89537869062901154</v>
      </c>
      <c r="AG26" s="728" t="str">
        <f>INPUT!CD614</f>
        <v>NM</v>
      </c>
      <c r="AH26" s="671">
        <f>INPUT!CE614</f>
        <v>0.82607023840041038</v>
      </c>
      <c r="AI26" s="728">
        <f>INPUT!CF614</f>
        <v>30.570758712216882</v>
      </c>
      <c r="AJ26" s="671">
        <f>INPUT!CG614</f>
        <v>0.86586141131595684</v>
      </c>
      <c r="AK26" s="728">
        <f>INPUT!CH614</f>
        <v>9.6005954314070774</v>
      </c>
      <c r="AL26" s="671">
        <f>INPUT!CI614</f>
        <v>0.62818544673011967</v>
      </c>
      <c r="AM26" s="728">
        <f>INPUT!CJ614</f>
        <v>-24.872694538660856</v>
      </c>
      <c r="AN26" s="671">
        <f>INPUT!CK614</f>
        <v>0.82127396413110643</v>
      </c>
      <c r="AO26" s="728">
        <f>INPUT!CL614</f>
        <v>-8.2763558339595811</v>
      </c>
      <c r="AP26" s="671">
        <f>INPUT!CM614</f>
        <v>0.99690306596469569</v>
      </c>
      <c r="AQ26" s="728">
        <f>INPUT!CN614</f>
        <v>20.680181856579583</v>
      </c>
      <c r="AR26" s="671">
        <f>INPUT!CO614</f>
        <v>1.0149953139643857</v>
      </c>
      <c r="AS26" s="728">
        <f>INPUT!CP614</f>
        <v>17.223761297061579</v>
      </c>
      <c r="AT26" s="671">
        <f>INPUT!CQ614</f>
        <v>1.0349358974358971</v>
      </c>
      <c r="AU26" s="728">
        <f>INPUT!CR614</f>
        <v>64.750059528285291</v>
      </c>
      <c r="AV26" s="671">
        <f>INPUT!CS614</f>
        <v>0.91298615688859597</v>
      </c>
      <c r="AW26" s="728">
        <f>INPUT!CT614</f>
        <v>11.167064434402164</v>
      </c>
      <c r="AX26" s="671">
        <f>INPUT!CU614</f>
        <v>0.9901993916863806</v>
      </c>
      <c r="AY26" s="728">
        <f>INPUT!CV614</f>
        <v>-0.67244996100277454</v>
      </c>
      <c r="AZ26" s="671">
        <f>INPUT!CW614</f>
        <v>1.0862068965517242</v>
      </c>
      <c r="BA26" s="728">
        <f>INPUT!CX614</f>
        <v>7.0159518578661428</v>
      </c>
      <c r="BB26" s="671">
        <f>INPUT!CY614</f>
        <v>1.2715138742536003</v>
      </c>
      <c r="BC26" s="728">
        <f>INPUT!CZ614</f>
        <v>22.859191318403038</v>
      </c>
      <c r="BD26" s="671">
        <f>INPUT!DA614</f>
        <v>1.1028103877623621</v>
      </c>
      <c r="BE26" s="728">
        <f>INPUT!DB614</f>
        <v>20.79157821194968</v>
      </c>
      <c r="BF26" s="671">
        <f>INPUT!DC614</f>
        <v>1.0229720028715004</v>
      </c>
      <c r="BG26" s="728">
        <f>INPUT!DD614</f>
        <v>3.3096981739511699</v>
      </c>
      <c r="BH26" s="671">
        <f>INPUT!DE614</f>
        <v>1.2731229597388467</v>
      </c>
      <c r="BI26" s="728">
        <f>INPUT!DF614</f>
        <v>17.208145499766836</v>
      </c>
      <c r="BJ26" s="671">
        <f>INPUT!DG614</f>
        <v>1.3408841797588602</v>
      </c>
      <c r="BK26" s="728">
        <f>INPUT!DH614</f>
        <v>5.4557254081070372</v>
      </c>
      <c r="BL26" s="671">
        <f>INPUT!DI614</f>
        <v>1.4002932551319647</v>
      </c>
      <c r="BM26" s="728">
        <f>INPUT!DJ614</f>
        <v>26.974978715353327</v>
      </c>
      <c r="BN26" s="671">
        <f>INPUT!DK614</f>
        <v>1.3377434766629914</v>
      </c>
      <c r="BO26" s="728">
        <f>INPUT!DL614</f>
        <v>30.770292139757682</v>
      </c>
      <c r="BP26" s="671">
        <f>INPUT!DM614</f>
        <v>1.4689475641502419</v>
      </c>
      <c r="BQ26" s="728">
        <f>INPUT!DN614</f>
        <v>15.381436876416421</v>
      </c>
      <c r="BR26" s="671">
        <f>INPUT!DO614</f>
        <v>1.5592203898050974</v>
      </c>
      <c r="BS26" s="728">
        <f>INPUT!DP614</f>
        <v>16.283002912712561</v>
      </c>
      <c r="BT26" s="671">
        <f>INPUT!DQ614</f>
        <v>1.6730038022813689</v>
      </c>
      <c r="BU26" s="728">
        <f>INPUT!DR614</f>
        <v>19.475245356638094</v>
      </c>
      <c r="BV26" s="671">
        <f>INPUT!DS614</f>
        <v>1.3507290867229469</v>
      </c>
      <c r="BW26" s="728">
        <f>INPUT!DT614</f>
        <v>0.97071002673458917</v>
      </c>
      <c r="BX26" s="671">
        <f>INPUT!DU614</f>
        <v>1.4554727344056493</v>
      </c>
      <c r="BY26" s="728">
        <f>INPUT!DV614</f>
        <v>-0.91731182742302853</v>
      </c>
      <c r="BZ26" s="671">
        <f>INPUT!DW614</f>
        <v>1.113744075829384</v>
      </c>
      <c r="CA26" s="728">
        <f>INPUT!DX614</f>
        <v>1.113744075829384</v>
      </c>
      <c r="CB26" s="671">
        <f>INPUT!DY614</f>
        <v>1.5349999999999999</v>
      </c>
      <c r="CC26" s="728">
        <f>INPUT!DZ614</f>
        <v>-8.2488636363636463</v>
      </c>
      <c r="CD26" s="671">
        <f>INPUT!EA614</f>
        <v>1.2529999999999999</v>
      </c>
      <c r="CE26" s="728">
        <f>INPUT!EB614</f>
        <v>-7.2352840909090883</v>
      </c>
      <c r="CF26" s="671">
        <f>INPUT!EC614</f>
        <v>1.5549999999999999</v>
      </c>
      <c r="CG26" s="728">
        <f>INPUT!ED614</f>
        <v>6.8381401617250592</v>
      </c>
      <c r="CH26" s="671">
        <f>INPUT!EE614</f>
        <v>1.8879999999999999</v>
      </c>
      <c r="CI26" s="728">
        <f>INPUT!EF614</f>
        <v>69.518297872340412</v>
      </c>
      <c r="CJ26" s="671">
        <f>INPUT!EG614</f>
        <v>1.7709999999999999</v>
      </c>
      <c r="CK26" s="728">
        <f>INPUT!EH614</f>
        <v>15.374592833876211</v>
      </c>
      <c r="CL26" s="671">
        <f>INPUT!EI614</f>
        <v>1.921</v>
      </c>
      <c r="CM26" s="728">
        <f>INPUT!EJ614</f>
        <v>53.31205107741421</v>
      </c>
      <c r="CN26" s="671">
        <f>INPUT!EK614</f>
        <v>1.845</v>
      </c>
      <c r="CO26" s="728">
        <f>INPUT!EL614</f>
        <v>18.649517684887474</v>
      </c>
      <c r="CP26" s="671">
        <f>INPUT!EM614</f>
        <v>2.028</v>
      </c>
      <c r="CQ26" s="728">
        <f>INPUT!EN614</f>
        <v>7.4152542372881491</v>
      </c>
      <c r="CR26" s="671">
        <f>INPUT!EO614</f>
        <v>1.9830000000000001</v>
      </c>
      <c r="CS26" s="728">
        <f>INPUT!EP614</f>
        <v>11.970638057594595</v>
      </c>
      <c r="CT26" s="671">
        <f>INPUT!EQ614</f>
        <v>1.9566895243625559</v>
      </c>
      <c r="CU26" s="728">
        <f>INPUT!ER614</f>
        <v>1.8578617575510714</v>
      </c>
      <c r="CV26" s="671">
        <f>INPUT!ES614</f>
        <v>2.0807014003898203</v>
      </c>
      <c r="CW26" s="728">
        <f>INPUT!ET614</f>
        <v>12.775143652564779</v>
      </c>
      <c r="CX26" s="671">
        <f>INPUT!EU614</f>
        <v>2.1699323895505249</v>
      </c>
      <c r="CY26" s="728">
        <f>INPUT!EV614</f>
        <v>6.9986385379943172</v>
      </c>
      <c r="CZ26" s="671">
        <f>INPUT!EW614</f>
        <v>2.2408646967070514</v>
      </c>
      <c r="DA26" s="728">
        <f>INPUT!EX614</f>
        <v>13.003766853608223</v>
      </c>
      <c r="DB26" s="729"/>
      <c r="DC26" s="671">
        <f>INPUT!FP614</f>
        <v>5.4511981828506535</v>
      </c>
      <c r="DD26" s="728">
        <f>INPUT!FQ614</f>
        <v>63.247591834135555</v>
      </c>
      <c r="DE26" s="671">
        <f>INPUT!FR614</f>
        <v>5.0371933939216262</v>
      </c>
      <c r="DF26" s="728">
        <f>INPUT!FS614</f>
        <v>-7.5947484395536557</v>
      </c>
      <c r="DG26" s="671">
        <f>INPUT!FT614</f>
        <v>4.8322686621646271</v>
      </c>
      <c r="DH26" s="728">
        <f>INPUT!FU614</f>
        <v>-4.0682323613836502</v>
      </c>
      <c r="DI26" s="671">
        <f>INPUT!FV614</f>
        <v>3.002953804046665</v>
      </c>
      <c r="DJ26" s="728">
        <f>INPUT!FW614</f>
        <v>-37.856232465736205</v>
      </c>
      <c r="DK26" s="671">
        <f>INPUT!FX614</f>
        <v>3.1830793483972677</v>
      </c>
      <c r="DL26" s="728">
        <f>INPUT!FY614</f>
        <v>5.9982788981925772</v>
      </c>
      <c r="DM26" s="671">
        <f>INPUT!FZ614</f>
        <v>3.1365909482826169</v>
      </c>
      <c r="DN26" s="728">
        <f>INPUT!GA614</f>
        <v>-1.4604851160263554</v>
      </c>
      <c r="DO26" s="671">
        <f>INPUT!GB614</f>
        <v>3.9577777777777787</v>
      </c>
      <c r="DP26" s="728">
        <f>INPUT!GC614</f>
        <v>26.180870984939485</v>
      </c>
      <c r="DQ26" s="671">
        <f>INPUT!GD614</f>
        <v>4.4506258692628649</v>
      </c>
      <c r="DR26" s="728">
        <f>INPUT!GE614</f>
        <v>12.452646893222274</v>
      </c>
      <c r="DS26" s="671">
        <f>INPUT!GF614</f>
        <v>5.0327034883720936</v>
      </c>
      <c r="DT26" s="728">
        <f>INPUT!GG614</f>
        <v>13.078556504360495</v>
      </c>
      <c r="DU26" s="671">
        <f>INPUT!GH614</f>
        <v>6.0261194029850742</v>
      </c>
      <c r="DV26" s="728">
        <f>INPUT!GI614</f>
        <v>19.739210086750347</v>
      </c>
      <c r="DW26" s="671">
        <f>INPUT!GJ614</f>
        <v>5.4520440251572326</v>
      </c>
      <c r="DX26" s="728">
        <f>INPUT!GK614</f>
        <v>-9.526452090270066</v>
      </c>
      <c r="DY26" s="671">
        <f>INPUT!GL614</f>
        <v>6.4454976303317535</v>
      </c>
      <c r="DZ26" s="728">
        <f>INPUT!GM614</f>
        <v>18.221672469819627</v>
      </c>
      <c r="EA26" s="671">
        <f>INPUT!GN614</f>
        <v>7.7736559437461938</v>
      </c>
      <c r="EB26" s="728">
        <f>INPUT!GO614</f>
        <v>20.605985597826979</v>
      </c>
      <c r="EC26" s="671">
        <f>INPUT!GP614</f>
        <v>8.4472022261282849</v>
      </c>
      <c r="ED26" s="728">
        <f>INPUT!GQ614</f>
        <v>8.6644725114693344</v>
      </c>
      <c r="EE26" s="671">
        <f>INPUT!GR614</f>
        <v>9.2031935617236069</v>
      </c>
      <c r="EF26" s="728">
        <f>INPUT!GS614</f>
        <v>8.9496062170376867</v>
      </c>
      <c r="EG26" s="671">
        <f>INPUT!GT614</f>
        <v>10.298755491214671</v>
      </c>
      <c r="EH26" s="728">
        <f>INPUT!GU614</f>
        <v>11.904149599195035</v>
      </c>
      <c r="EI26" s="671">
        <f>INPUT!GV614</f>
        <v>11.097760784447122</v>
      </c>
      <c r="EJ26" s="728">
        <f>INPUT!GW614</f>
        <v>7.7582703455193247</v>
      </c>
      <c r="EK26" s="671">
        <f>INPUT!GX614</f>
        <v>11.999970894221658</v>
      </c>
      <c r="EL26" s="728">
        <f>INPUT!GY614</f>
        <v>8.1296590122841081</v>
      </c>
      <c r="EM26" s="728">
        <f>INPUT!GZ614</f>
        <v>9.0714220724498862</v>
      </c>
    </row>
    <row r="27" spans="1:143" s="564" customFormat="1" ht="12.75" hidden="1" customHeight="1" outlineLevel="1" x14ac:dyDescent="0.2">
      <c r="A27" s="660" t="s">
        <v>50</v>
      </c>
      <c r="B27" s="661"/>
      <c r="C27" s="730"/>
      <c r="D27" s="661"/>
      <c r="E27" s="730"/>
      <c r="F27" s="661"/>
      <c r="G27" s="730"/>
      <c r="H27" s="661"/>
      <c r="I27" s="730"/>
      <c r="J27" s="661"/>
      <c r="K27" s="730"/>
      <c r="L27" s="661"/>
      <c r="M27" s="730"/>
      <c r="N27" s="661"/>
      <c r="O27" s="730"/>
      <c r="P27" s="661"/>
      <c r="Q27" s="730"/>
      <c r="R27" s="661"/>
      <c r="S27" s="730"/>
      <c r="T27" s="661"/>
      <c r="U27" s="730"/>
      <c r="V27" s="661"/>
      <c r="W27" s="730"/>
      <c r="X27" s="661"/>
      <c r="Y27" s="730"/>
      <c r="Z27" s="661"/>
      <c r="AA27" s="730"/>
      <c r="AB27" s="661"/>
      <c r="AC27" s="730"/>
      <c r="AD27" s="661"/>
      <c r="AE27" s="730"/>
      <c r="AF27" s="661"/>
      <c r="AG27" s="730"/>
      <c r="AH27" s="661"/>
      <c r="AI27" s="730"/>
      <c r="AJ27" s="661"/>
      <c r="AK27" s="730"/>
      <c r="AL27" s="661"/>
      <c r="AM27" s="730"/>
      <c r="AN27" s="661"/>
      <c r="AO27" s="730"/>
      <c r="AP27" s="663">
        <f>(AP23/AP62)-AP26</f>
        <v>0</v>
      </c>
      <c r="AQ27" s="730"/>
      <c r="AR27" s="663">
        <f>(AR23/AR62)-AR26</f>
        <v>0</v>
      </c>
      <c r="AS27" s="730"/>
      <c r="AT27" s="663">
        <f>(AT23/AT62)-AT26</f>
        <v>0</v>
      </c>
      <c r="AU27" s="730"/>
      <c r="AV27" s="663">
        <f>(AV23/AV62)-AV26</f>
        <v>0</v>
      </c>
      <c r="AW27" s="730"/>
      <c r="AX27" s="663">
        <f>(AX23/AX62)-AX26</f>
        <v>0</v>
      </c>
      <c r="AY27" s="730"/>
      <c r="AZ27" s="663">
        <f>(AZ23/AZ62)-AZ26</f>
        <v>0</v>
      </c>
      <c r="BA27" s="730"/>
      <c r="BB27" s="663">
        <f>(BB23/BB62)-BB26</f>
        <v>0</v>
      </c>
      <c r="BC27" s="730"/>
      <c r="BD27" s="663">
        <f>(BD23/BD62)-BD26</f>
        <v>0</v>
      </c>
      <c r="BE27" s="730"/>
      <c r="BF27" s="663">
        <f>(BF23/BF62)-BF26</f>
        <v>0</v>
      </c>
      <c r="BG27" s="730"/>
      <c r="BH27" s="663">
        <f>(BH23/BH62)-BH26</f>
        <v>0</v>
      </c>
      <c r="BI27" s="730"/>
      <c r="BJ27" s="663">
        <f>(BJ23/BJ62)-BJ26</f>
        <v>0</v>
      </c>
      <c r="BK27" s="730"/>
      <c r="BL27" s="663">
        <f>(BL23/BL62)-BL26</f>
        <v>0</v>
      </c>
      <c r="BM27" s="730"/>
      <c r="BN27" s="663">
        <f>(BN23/BN62)-BN26</f>
        <v>0</v>
      </c>
      <c r="BO27" s="730"/>
      <c r="BP27" s="663">
        <f>(BP23/BP62)-BP26</f>
        <v>0</v>
      </c>
      <c r="BQ27" s="730"/>
      <c r="BR27" s="663">
        <f>(BR23/BR62)-BR26</f>
        <v>0</v>
      </c>
      <c r="BS27" s="730"/>
      <c r="BT27" s="663">
        <f>(BT23/BT62)-BT26</f>
        <v>0</v>
      </c>
      <c r="BU27" s="730"/>
      <c r="BV27" s="663">
        <f>(BV23/BV62)-BV26</f>
        <v>0</v>
      </c>
      <c r="BW27" s="730"/>
      <c r="BX27" s="663">
        <f>(BX23/BX62)-BX26</f>
        <v>0</v>
      </c>
      <c r="BY27" s="730"/>
      <c r="BZ27" s="663">
        <f>(BZ23/BZ62)-BZ26</f>
        <v>0</v>
      </c>
      <c r="CA27" s="730"/>
      <c r="CB27" s="663">
        <f>(CB23/CB62)-CB26</f>
        <v>-2.4708718360777482E-4</v>
      </c>
      <c r="CC27" s="730"/>
      <c r="CD27" s="663">
        <f>(CD23/CD62)-CD26</f>
        <v>-4.5002039983677022E-4</v>
      </c>
      <c r="CE27" s="730"/>
      <c r="CF27" s="663">
        <f>(CF23/CF62)-CF26</f>
        <v>-1.8549395581479722E-4</v>
      </c>
      <c r="CG27" s="730"/>
      <c r="CH27" s="663">
        <f>(CH23/CH62)-CH26</f>
        <v>-1.5753424657516391E-4</v>
      </c>
      <c r="CI27" s="730"/>
      <c r="CJ27" s="663">
        <f>(CJ23/CJ62)-CJ26</f>
        <v>3.2957990472071153E-4</v>
      </c>
      <c r="CK27" s="730"/>
      <c r="CL27" s="663">
        <f t="shared" ref="CL27" si="24">(CL23/CL62)-CL26</f>
        <v>-9.6045197740091126E-5</v>
      </c>
      <c r="CM27" s="730"/>
      <c r="CN27" s="663">
        <f t="shared" ref="CN27" si="25">(CN23/CN62)-CN26</f>
        <v>-4.039181157824423E-4</v>
      </c>
      <c r="CO27" s="730"/>
      <c r="CP27" s="663">
        <f t="shared" ref="CP27" si="26">(CP23/CP62)-CP26</f>
        <v>-3.0906654756579499E-4</v>
      </c>
      <c r="CQ27" s="730"/>
      <c r="CR27" s="663">
        <f t="shared" ref="CR27" si="27">(CR23/CR62)-CR26</f>
        <v>-1.2483100495730426E-4</v>
      </c>
      <c r="CS27" s="730"/>
      <c r="CT27" s="663">
        <f t="shared" ref="CT27" si="28">(CT23/CT62)-CT26</f>
        <v>0</v>
      </c>
      <c r="CU27" s="730"/>
      <c r="CV27" s="663">
        <f t="shared" ref="CV27" si="29">(CV23/CV62)-CV26</f>
        <v>0</v>
      </c>
      <c r="CW27" s="730"/>
      <c r="CX27" s="663">
        <f t="shared" ref="CX27" si="30">(CX23/CX62)-CX26</f>
        <v>0</v>
      </c>
      <c r="CY27" s="730"/>
      <c r="CZ27" s="663">
        <f t="shared" ref="CZ27" si="31">(CZ23/CZ62)-CZ26</f>
        <v>0</v>
      </c>
      <c r="DA27" s="730"/>
      <c r="DB27" s="730"/>
      <c r="DC27" s="661"/>
      <c r="DD27" s="730"/>
      <c r="DE27" s="661"/>
      <c r="DF27" s="730"/>
      <c r="DG27" s="661"/>
      <c r="DH27" s="730"/>
      <c r="DI27" s="661"/>
      <c r="DJ27" s="730"/>
      <c r="DK27" s="661"/>
      <c r="DL27" s="730"/>
      <c r="DM27" s="661"/>
      <c r="DN27" s="730"/>
      <c r="DO27" s="663">
        <f>(DO23/DO62)-DO26</f>
        <v>0</v>
      </c>
      <c r="DP27" s="730"/>
      <c r="DQ27" s="663">
        <f>(DQ23/DQ62)-DQ26</f>
        <v>0</v>
      </c>
      <c r="DR27" s="730"/>
      <c r="DS27" s="663">
        <f>(DS23/DS62)-DS26</f>
        <v>0</v>
      </c>
      <c r="DT27" s="730"/>
      <c r="DU27" s="663">
        <f>(DU23/DU62)-DU26</f>
        <v>0</v>
      </c>
      <c r="DV27" s="730"/>
      <c r="DW27" s="663">
        <f>(DW23/DW62)-DW26</f>
        <v>0</v>
      </c>
      <c r="DX27" s="730"/>
      <c r="DY27" s="663">
        <f>(DY23/DY62)-DY26</f>
        <v>0</v>
      </c>
      <c r="DZ27" s="730"/>
      <c r="EA27" s="663">
        <f>(EA23/EA62)-EA26</f>
        <v>0</v>
      </c>
      <c r="EB27" s="730"/>
      <c r="EC27" s="663">
        <f>(EC23/EC62)-EC26</f>
        <v>0</v>
      </c>
      <c r="ED27" s="730"/>
      <c r="EE27" s="663">
        <f>(EE23/EE62)-EE26</f>
        <v>0</v>
      </c>
      <c r="EF27" s="730"/>
      <c r="EG27" s="663">
        <f>(EG23/EG62)-EG26</f>
        <v>0</v>
      </c>
      <c r="EH27" s="730"/>
      <c r="EI27" s="663">
        <f>(EI23/EI62)-EI26</f>
        <v>0</v>
      </c>
      <c r="EJ27" s="730"/>
      <c r="EK27" s="663">
        <f>(EK23/EK62)-EK26</f>
        <v>0</v>
      </c>
      <c r="EL27" s="730"/>
      <c r="EM27" s="730"/>
    </row>
    <row r="28" spans="1:143" s="564" customFormat="1" ht="12.75" customHeight="1" collapsed="1" x14ac:dyDescent="0.2">
      <c r="A28" s="660"/>
      <c r="B28" s="661"/>
      <c r="C28" s="730"/>
      <c r="D28" s="661"/>
      <c r="E28" s="730"/>
      <c r="F28" s="661"/>
      <c r="G28" s="730"/>
      <c r="H28" s="661"/>
      <c r="I28" s="730"/>
      <c r="J28" s="661"/>
      <c r="K28" s="730"/>
      <c r="L28" s="661"/>
      <c r="M28" s="730"/>
      <c r="N28" s="661"/>
      <c r="O28" s="730"/>
      <c r="P28" s="661"/>
      <c r="Q28" s="730"/>
      <c r="R28" s="661"/>
      <c r="S28" s="730"/>
      <c r="T28" s="661"/>
      <c r="U28" s="730"/>
      <c r="V28" s="661"/>
      <c r="W28" s="730"/>
      <c r="X28" s="661"/>
      <c r="Y28" s="730"/>
      <c r="Z28" s="661"/>
      <c r="AA28" s="730"/>
      <c r="AB28" s="661"/>
      <c r="AC28" s="730"/>
      <c r="AD28" s="661"/>
      <c r="AE28" s="730"/>
      <c r="AF28" s="661"/>
      <c r="AG28" s="730"/>
      <c r="AH28" s="661"/>
      <c r="AI28" s="730"/>
      <c r="AJ28" s="661"/>
      <c r="AK28" s="730"/>
      <c r="AL28" s="661"/>
      <c r="AM28" s="730"/>
      <c r="AN28" s="661"/>
      <c r="AO28" s="730"/>
      <c r="AP28" s="663"/>
      <c r="AQ28" s="730"/>
      <c r="AR28" s="663"/>
      <c r="AS28" s="730"/>
      <c r="AT28" s="663"/>
      <c r="AU28" s="730"/>
      <c r="AV28" s="663"/>
      <c r="AW28" s="730"/>
      <c r="AX28" s="663"/>
      <c r="AY28" s="730"/>
      <c r="AZ28" s="663"/>
      <c r="BA28" s="730"/>
      <c r="BB28" s="663"/>
      <c r="BC28" s="730"/>
      <c r="BD28" s="663"/>
      <c r="BE28" s="730"/>
      <c r="BF28" s="663"/>
      <c r="BG28" s="730"/>
      <c r="BH28" s="663"/>
      <c r="BI28" s="730"/>
      <c r="BJ28" s="663"/>
      <c r="BK28" s="730"/>
      <c r="BL28" s="663"/>
      <c r="BM28" s="730"/>
      <c r="BN28" s="663"/>
      <c r="BO28" s="730"/>
      <c r="BP28" s="663"/>
      <c r="BQ28" s="730"/>
      <c r="BR28" s="663"/>
      <c r="BS28" s="730"/>
      <c r="BT28" s="663"/>
      <c r="BU28" s="730"/>
      <c r="BV28" s="663"/>
      <c r="BW28" s="730"/>
      <c r="BX28" s="663"/>
      <c r="BY28" s="730"/>
      <c r="BZ28" s="663"/>
      <c r="CA28" s="730"/>
      <c r="CB28" s="663"/>
      <c r="CC28" s="730"/>
      <c r="CD28" s="663"/>
      <c r="CE28" s="730"/>
      <c r="CF28" s="663"/>
      <c r="CG28" s="730"/>
      <c r="CH28" s="663"/>
      <c r="CI28" s="730"/>
      <c r="CJ28" s="663"/>
      <c r="CK28" s="730"/>
      <c r="CL28" s="663"/>
      <c r="CM28" s="730"/>
      <c r="CN28" s="663"/>
      <c r="CO28" s="730"/>
      <c r="CP28" s="663"/>
      <c r="CQ28" s="730"/>
      <c r="CR28" s="663"/>
      <c r="CS28" s="730"/>
      <c r="CT28" s="663"/>
      <c r="CU28" s="730"/>
      <c r="CV28" s="663"/>
      <c r="CW28" s="730"/>
      <c r="CX28" s="663"/>
      <c r="CY28" s="730"/>
      <c r="CZ28" s="663"/>
      <c r="DA28" s="730"/>
      <c r="DB28" s="730"/>
      <c r="DC28" s="661"/>
      <c r="DD28" s="730"/>
      <c r="DE28" s="661"/>
      <c r="DF28" s="730"/>
      <c r="DG28" s="661"/>
      <c r="DH28" s="730"/>
      <c r="DI28" s="661"/>
      <c r="DJ28" s="730"/>
      <c r="DK28" s="661"/>
      <c r="DL28" s="730"/>
      <c r="DM28" s="661"/>
      <c r="DN28" s="730"/>
      <c r="DO28" s="663"/>
      <c r="DP28" s="730"/>
      <c r="DQ28" s="663"/>
      <c r="DR28" s="730"/>
      <c r="DS28" s="663"/>
      <c r="DT28" s="730"/>
      <c r="DU28" s="663"/>
      <c r="DV28" s="730"/>
      <c r="DW28" s="663"/>
      <c r="DX28" s="730"/>
      <c r="DY28" s="663"/>
      <c r="DZ28" s="730"/>
      <c r="EA28" s="663"/>
      <c r="EB28" s="730"/>
      <c r="EC28" s="663"/>
      <c r="ED28" s="730"/>
      <c r="EE28" s="663"/>
      <c r="EF28" s="730"/>
      <c r="EG28" s="663"/>
      <c r="EH28" s="730"/>
      <c r="EI28" s="663"/>
      <c r="EJ28" s="730"/>
      <c r="EK28" s="663"/>
      <c r="EL28" s="730"/>
      <c r="EM28" s="730"/>
    </row>
    <row r="29" spans="1:143" s="321" customFormat="1" ht="12.75" customHeight="1" x14ac:dyDescent="0.2">
      <c r="A29" s="731" t="s">
        <v>505</v>
      </c>
      <c r="B29" s="732">
        <f>INPUT!AY622</f>
        <v>1.3881956155143336</v>
      </c>
      <c r="C29" s="733" t="str">
        <f>INPUT!AZ622</f>
        <v>NA</v>
      </c>
      <c r="D29" s="732">
        <f>INPUT!BA622</f>
        <v>1.1445859872611464</v>
      </c>
      <c r="E29" s="733" t="str">
        <f>INPUT!BB622</f>
        <v>NA</v>
      </c>
      <c r="F29" s="732">
        <f>INPUT!BC622</f>
        <v>1.2668555240793204</v>
      </c>
      <c r="G29" s="733" t="str">
        <f>INPUT!BD622</f>
        <v>NA</v>
      </c>
      <c r="H29" s="732">
        <f>INPUT!BE622</f>
        <v>1.2855206847360912</v>
      </c>
      <c r="I29" s="733" t="str">
        <f>INPUT!BF622</f>
        <v>NA</v>
      </c>
      <c r="J29" s="732">
        <f>INPUT!BG622</f>
        <v>1.2143112701252239</v>
      </c>
      <c r="K29" s="733">
        <f>INPUT!BH622</f>
        <v>-12.525925269162064</v>
      </c>
      <c r="L29" s="732">
        <f>INPUT!BI622</f>
        <v>1.2776967930029157</v>
      </c>
      <c r="M29" s="733">
        <f>INPUT!BJ622</f>
        <v>11.629602950171281</v>
      </c>
      <c r="N29" s="732">
        <f>INPUT!BK622</f>
        <v>1.2194495412844037</v>
      </c>
      <c r="O29" s="733">
        <f>INPUT!BL622</f>
        <v>-3.7420196615844392</v>
      </c>
      <c r="P29" s="732">
        <f>INPUT!BM622</f>
        <v>1.1191536748329616</v>
      </c>
      <c r="Q29" s="733">
        <f>INPUT!BN622</f>
        <v>-12.941605053775051</v>
      </c>
      <c r="R29" s="732">
        <f>INPUT!BO622</f>
        <v>1.1396499238964997</v>
      </c>
      <c r="S29" s="733">
        <f>INPUT!BP622</f>
        <v>-6.1484520538975911</v>
      </c>
      <c r="T29" s="732">
        <f>INPUT!BQ622</f>
        <v>1.1887519260400619</v>
      </c>
      <c r="U29" s="733">
        <f>INPUT!BR622</f>
        <v>-6.9613438375947245</v>
      </c>
      <c r="V29" s="732">
        <f>INPUT!BS622</f>
        <v>1.1566302470453536</v>
      </c>
      <c r="W29" s="733">
        <f>INPUT!BT622</f>
        <v>-5.1514467890885314</v>
      </c>
      <c r="X29" s="732">
        <f>INPUT!BU622</f>
        <v>-0.49340062111801292</v>
      </c>
      <c r="Y29" s="733" t="str">
        <f>INPUT!BV622</f>
        <v>NM</v>
      </c>
      <c r="Z29" s="732">
        <f>INPUT!BW622</f>
        <v>0.63266097750193961</v>
      </c>
      <c r="AA29" s="733">
        <f>INPUT!BX622</f>
        <v>-44.486375663602786</v>
      </c>
      <c r="AB29" s="732">
        <f>INPUT!BY622</f>
        <v>0.79001524390243971</v>
      </c>
      <c r="AC29" s="733">
        <f>INPUT!BZ622</f>
        <v>-33.542463604318442</v>
      </c>
      <c r="AD29" s="732">
        <f>INPUT!CA622</f>
        <v>0.83616129032258024</v>
      </c>
      <c r="AE29" s="733">
        <f>INPUT!CB622</f>
        <v>-27.707122266724461</v>
      </c>
      <c r="AF29" s="732">
        <f>INPUT!CC622</f>
        <v>0.89537869062901154</v>
      </c>
      <c r="AG29" s="733" t="str">
        <f>INPUT!CD622</f>
        <v>NM</v>
      </c>
      <c r="AH29" s="732">
        <f>INPUT!CE622</f>
        <v>0.82607023840041038</v>
      </c>
      <c r="AI29" s="733">
        <f>INPUT!CF622</f>
        <v>30.570758712216882</v>
      </c>
      <c r="AJ29" s="732">
        <f>INPUT!CG622</f>
        <v>0.86586141131595684</v>
      </c>
      <c r="AK29" s="733">
        <f>INPUT!CH622</f>
        <v>9.6005954314070774</v>
      </c>
      <c r="AL29" s="732">
        <f>INPUT!CI622</f>
        <v>0.62818544673011967</v>
      </c>
      <c r="AM29" s="733">
        <f>INPUT!CJ622</f>
        <v>-24.872694538660856</v>
      </c>
      <c r="AN29" s="732">
        <f>INPUT!CK622</f>
        <v>0.82127396413110643</v>
      </c>
      <c r="AO29" s="733">
        <f>INPUT!CL622</f>
        <v>-8.2763558339595811</v>
      </c>
      <c r="AP29" s="732">
        <f>INPUT!CM622</f>
        <v>0.99690306596469569</v>
      </c>
      <c r="AQ29" s="733">
        <f>INPUT!CN622</f>
        <v>20.680181856579583</v>
      </c>
      <c r="AR29" s="732">
        <f>INPUT!CO622</f>
        <v>1.0149953139643857</v>
      </c>
      <c r="AS29" s="733">
        <f>INPUT!CP622</f>
        <v>17.223761297061579</v>
      </c>
      <c r="AT29" s="732">
        <f>INPUT!CQ622</f>
        <v>1.0349358974358971</v>
      </c>
      <c r="AU29" s="733">
        <f>INPUT!CR622</f>
        <v>64.750059528285291</v>
      </c>
      <c r="AV29" s="732">
        <f>INPUT!CS622</f>
        <v>0.91298615688859597</v>
      </c>
      <c r="AW29" s="733">
        <f>INPUT!CT622</f>
        <v>11.167064434402164</v>
      </c>
      <c r="AX29" s="732">
        <f>INPUT!CU622</f>
        <v>0.9901993916863806</v>
      </c>
      <c r="AY29" s="733">
        <f>INPUT!CV622</f>
        <v>-0.67244996100277454</v>
      </c>
      <c r="AZ29" s="732">
        <f>INPUT!CW622</f>
        <v>1.0862068965517242</v>
      </c>
      <c r="BA29" s="733">
        <f>INPUT!CX622</f>
        <v>7.0159518578661428</v>
      </c>
      <c r="BB29" s="732">
        <f>INPUT!CY622</f>
        <v>1.2715138742536003</v>
      </c>
      <c r="BC29" s="733">
        <f>INPUT!CZ622</f>
        <v>22.859191318403038</v>
      </c>
      <c r="BD29" s="732">
        <f>INPUT!DA622</f>
        <v>1.1028103877623621</v>
      </c>
      <c r="BE29" s="733">
        <f>INPUT!DB622</f>
        <v>20.79157821194968</v>
      </c>
      <c r="BF29" s="732">
        <f>INPUT!DC622</f>
        <v>1.0229720028715004</v>
      </c>
      <c r="BG29" s="733">
        <f>INPUT!DD622</f>
        <v>3.3096981739511699</v>
      </c>
      <c r="BH29" s="732">
        <f>INPUT!DE622</f>
        <v>1.2731229597388467</v>
      </c>
      <c r="BI29" s="733">
        <f>INPUT!DF622</f>
        <v>17.208145499766836</v>
      </c>
      <c r="BJ29" s="732">
        <f>INPUT!DG622</f>
        <v>1.3408841797588602</v>
      </c>
      <c r="BK29" s="733">
        <f>INPUT!DH622</f>
        <v>5.4557254081070372</v>
      </c>
      <c r="BL29" s="732">
        <f>INPUT!DI622</f>
        <v>1.4002932551319647</v>
      </c>
      <c r="BM29" s="733">
        <f>INPUT!DJ622</f>
        <v>26.974978715353327</v>
      </c>
      <c r="BN29" s="732">
        <f>INPUT!DK622</f>
        <v>1.3377434766629914</v>
      </c>
      <c r="BO29" s="733">
        <f>INPUT!DL622</f>
        <v>30.770292139757682</v>
      </c>
      <c r="BP29" s="732">
        <f>INPUT!DM622</f>
        <v>1.4689475641502419</v>
      </c>
      <c r="BQ29" s="733">
        <f>INPUT!DN622</f>
        <v>15.381436876416421</v>
      </c>
      <c r="BR29" s="732">
        <f>INPUT!DO622</f>
        <v>1.5592203898050974</v>
      </c>
      <c r="BS29" s="733">
        <f>INPUT!DP622</f>
        <v>16.283002912712561</v>
      </c>
      <c r="BT29" s="732">
        <f>INPUT!DQ622</f>
        <v>1.6730038022813689</v>
      </c>
      <c r="BU29" s="733">
        <f>INPUT!DR622</f>
        <v>19.475245356638094</v>
      </c>
      <c r="BV29" s="732">
        <f>INPUT!DS622</f>
        <v>1.3507290867229469</v>
      </c>
      <c r="BW29" s="733">
        <f>INPUT!DT622</f>
        <v>0.97071002673458917</v>
      </c>
      <c r="BX29" s="732">
        <f>INPUT!DU622</f>
        <v>1.4554727344056493</v>
      </c>
      <c r="BY29" s="733">
        <f>INPUT!DV622</f>
        <v>-0.91731182742302853</v>
      </c>
      <c r="BZ29" s="732">
        <f>INPUT!DW622</f>
        <v>1.113744075829384</v>
      </c>
      <c r="CA29" s="733">
        <f>INPUT!DX622</f>
        <v>1.113744075829384</v>
      </c>
      <c r="CB29" s="732">
        <f>INPUT!DY622</f>
        <v>1.5349999999999999</v>
      </c>
      <c r="CC29" s="733">
        <f>INPUT!DZ622</f>
        <v>-8.2488636363636463</v>
      </c>
      <c r="CD29" s="732">
        <f>INPUT!EA622</f>
        <v>1.2529999999999999</v>
      </c>
      <c r="CE29" s="733">
        <f>INPUT!EB622</f>
        <v>-7.2352840909090883</v>
      </c>
      <c r="CF29" s="732">
        <f>INPUT!EC622</f>
        <v>1.5549999999999999</v>
      </c>
      <c r="CG29" s="733">
        <f>INPUT!ED622</f>
        <v>6.8381401617250592</v>
      </c>
      <c r="CH29" s="732">
        <f>INPUT!EE622</f>
        <v>1.8879999999999999</v>
      </c>
      <c r="CI29" s="733">
        <f>INPUT!EF622</f>
        <v>69.518297872340412</v>
      </c>
      <c r="CJ29" s="732">
        <f>INPUT!EG622</f>
        <v>1.7709999999999999</v>
      </c>
      <c r="CK29" s="733">
        <f>INPUT!EH622</f>
        <v>15.374592833876211</v>
      </c>
      <c r="CL29" s="732">
        <f>INPUT!EI622</f>
        <v>1.921</v>
      </c>
      <c r="CM29" s="733">
        <f>INPUT!EJ622</f>
        <v>53.31205107741421</v>
      </c>
      <c r="CN29" s="732">
        <f>INPUT!EK622</f>
        <v>1.845</v>
      </c>
      <c r="CO29" s="733">
        <f>INPUT!EL622</f>
        <v>18.649517684887474</v>
      </c>
      <c r="CP29" s="732">
        <f>INPUT!EM622</f>
        <v>2.028</v>
      </c>
      <c r="CQ29" s="733">
        <f>INPUT!EN622</f>
        <v>7.4152542372881491</v>
      </c>
      <c r="CR29" s="732">
        <f>INPUT!EO622</f>
        <v>1.9830000000000001</v>
      </c>
      <c r="CS29" s="733">
        <f>INPUT!EP622</f>
        <v>11.970638057594595</v>
      </c>
      <c r="CT29" s="732">
        <f>INPUT!EQ622</f>
        <v>1.9566895243625559</v>
      </c>
      <c r="CU29" s="733">
        <f>INPUT!ER622</f>
        <v>1.8578617575510714</v>
      </c>
      <c r="CV29" s="732">
        <f>INPUT!ES622</f>
        <v>2.0807014003898203</v>
      </c>
      <c r="CW29" s="733">
        <f>INPUT!ET622</f>
        <v>12.775143652564779</v>
      </c>
      <c r="CX29" s="732">
        <f>INPUT!EU622</f>
        <v>2.1699323895505249</v>
      </c>
      <c r="CY29" s="733">
        <f>INPUT!EV622</f>
        <v>6.9986385379943172</v>
      </c>
      <c r="CZ29" s="732">
        <f>INPUT!EW622</f>
        <v>2.2408646967070514</v>
      </c>
      <c r="DA29" s="733">
        <f>INPUT!EX622</f>
        <v>13.003766853608223</v>
      </c>
      <c r="DB29" s="734"/>
      <c r="DC29" s="732"/>
      <c r="DD29" s="733"/>
      <c r="DE29" s="732">
        <f>INPUT!FR622</f>
        <v>5.0371933939216262</v>
      </c>
      <c r="DF29" s="733" t="str">
        <f>INPUT!FS622</f>
        <v>NA</v>
      </c>
      <c r="DG29" s="732">
        <f>INPUT!FT622</f>
        <v>4.8322686621646289</v>
      </c>
      <c r="DH29" s="733">
        <f>INPUT!FU622</f>
        <v>-4.0682323613836164</v>
      </c>
      <c r="DI29" s="732">
        <f>INPUT!FV622</f>
        <v>3.0029538040466637</v>
      </c>
      <c r="DJ29" s="733">
        <f>INPUT!FW622</f>
        <v>-37.856232465736248</v>
      </c>
      <c r="DK29" s="732">
        <f>INPUT!FX622</f>
        <v>3.1830793483972672</v>
      </c>
      <c r="DL29" s="733">
        <f>INPUT!FY622</f>
        <v>5.9982788981926216</v>
      </c>
      <c r="DM29" s="732">
        <f>INPUT!FZ622</f>
        <v>3.1365909482826182</v>
      </c>
      <c r="DN29" s="733">
        <f>INPUT!GA622</f>
        <v>-1.4604851160262999</v>
      </c>
      <c r="DO29" s="732">
        <f>INPUT!GB622</f>
        <v>3.9577777777777774</v>
      </c>
      <c r="DP29" s="733">
        <f>INPUT!GC622</f>
        <v>26.180870984939396</v>
      </c>
      <c r="DQ29" s="732">
        <f>INPUT!GD622</f>
        <v>4.4506258692628649</v>
      </c>
      <c r="DR29" s="733">
        <f>INPUT!GE622</f>
        <v>12.452646893222319</v>
      </c>
      <c r="DS29" s="732">
        <f>INPUT!GF622</f>
        <v>5.0327034883720936</v>
      </c>
      <c r="DT29" s="733">
        <f>INPUT!GG622</f>
        <v>13.078556504360495</v>
      </c>
      <c r="DU29" s="732">
        <f>INPUT!GH622</f>
        <v>6.0261194029850742</v>
      </c>
      <c r="DV29" s="733">
        <f>INPUT!GI622</f>
        <v>19.739210086750347</v>
      </c>
      <c r="DW29" s="732">
        <f>INPUT!GJ622</f>
        <v>5.4522857704402519</v>
      </c>
      <c r="DX29" s="733">
        <f>INPUT!GK622</f>
        <v>-9.5224404657592849</v>
      </c>
      <c r="DY29" s="732">
        <f>INPUT!GL622</f>
        <v>6.4459842022116902</v>
      </c>
      <c r="DZ29" s="733">
        <f>INPUT!GM622</f>
        <v>18.225354899018818</v>
      </c>
      <c r="EA29" s="732">
        <f>INPUT!GN622</f>
        <v>7.7745894468744821</v>
      </c>
      <c r="EB29" s="733">
        <f>INPUT!GO622</f>
        <v>20.611363648811487</v>
      </c>
      <c r="EC29" s="732">
        <f>INPUT!GP622</f>
        <v>8.447202226128292</v>
      </c>
      <c r="ED29" s="733">
        <f>INPUT!GQ622</f>
        <v>8.6514250540163484</v>
      </c>
      <c r="EE29" s="732">
        <f>INPUT!GR622</f>
        <v>9.2031935617236069</v>
      </c>
      <c r="EF29" s="733">
        <f>INPUT!GS622</f>
        <v>8.9496062170375765</v>
      </c>
      <c r="EG29" s="732">
        <f>INPUT!GT622</f>
        <v>10.298755491214671</v>
      </c>
      <c r="EH29" s="733">
        <f>INPUT!GU622</f>
        <v>11.904149599195035</v>
      </c>
      <c r="EI29" s="732">
        <f>INPUT!GV622</f>
        <v>11.097760784447122</v>
      </c>
      <c r="EJ29" s="733">
        <f>INPUT!GW622</f>
        <v>7.7582703455193247</v>
      </c>
      <c r="EK29" s="732">
        <f>INPUT!GX622</f>
        <v>11.999970894221658</v>
      </c>
      <c r="EL29" s="733">
        <f>INPUT!GY622</f>
        <v>8.1296590122841081</v>
      </c>
      <c r="EM29" s="733">
        <f>INPUT!GZ622</f>
        <v>9.0688026825787702</v>
      </c>
    </row>
    <row r="30" spans="1:143" s="7" customFormat="1" ht="12.75" customHeight="1" x14ac:dyDescent="0.2">
      <c r="A30" s="700"/>
      <c r="B30" s="735"/>
      <c r="C30" s="507"/>
      <c r="D30" s="735"/>
      <c r="E30" s="507"/>
      <c r="F30" s="735"/>
      <c r="G30" s="507"/>
      <c r="H30" s="735"/>
      <c r="I30" s="507"/>
      <c r="J30" s="735"/>
      <c r="K30" s="507"/>
      <c r="L30" s="735"/>
      <c r="M30" s="507"/>
      <c r="N30" s="735"/>
      <c r="O30" s="507"/>
      <c r="P30" s="735"/>
      <c r="Q30" s="507"/>
      <c r="R30" s="735"/>
      <c r="S30" s="507"/>
      <c r="T30" s="735"/>
      <c r="U30" s="507"/>
      <c r="V30" s="735"/>
      <c r="W30" s="507"/>
      <c r="X30" s="735"/>
      <c r="Y30" s="507"/>
      <c r="Z30" s="735"/>
      <c r="AA30" s="507"/>
      <c r="AB30" s="735"/>
      <c r="AC30" s="507"/>
      <c r="AD30" s="735"/>
      <c r="AE30" s="507"/>
      <c r="AF30" s="735"/>
      <c r="AG30" s="507"/>
      <c r="AH30" s="735"/>
      <c r="AI30" s="507"/>
      <c r="AJ30" s="735"/>
      <c r="AK30" s="507"/>
      <c r="AL30" s="735"/>
      <c r="AM30" s="507"/>
      <c r="AN30" s="735"/>
      <c r="AO30" s="507"/>
      <c r="AP30" s="735"/>
      <c r="AQ30" s="507"/>
      <c r="AR30" s="735"/>
      <c r="AS30" s="507"/>
      <c r="AT30" s="735"/>
      <c r="AU30" s="507"/>
      <c r="AV30" s="735"/>
      <c r="AW30" s="507"/>
      <c r="AX30" s="735"/>
      <c r="AY30" s="507"/>
      <c r="AZ30" s="735"/>
      <c r="BA30" s="507"/>
      <c r="BB30" s="735"/>
      <c r="BC30" s="507"/>
      <c r="BD30" s="735"/>
      <c r="BE30" s="507"/>
      <c r="BF30" s="735"/>
      <c r="BG30" s="507"/>
      <c r="BH30" s="735"/>
      <c r="BI30" s="507"/>
      <c r="BJ30" s="735"/>
      <c r="BK30" s="507"/>
      <c r="BL30" s="735"/>
      <c r="BM30" s="507"/>
      <c r="BN30" s="735"/>
      <c r="BO30" s="507"/>
      <c r="BP30" s="735"/>
      <c r="BQ30" s="507"/>
      <c r="BR30" s="735"/>
      <c r="BS30" s="507"/>
      <c r="BT30" s="735"/>
      <c r="BU30" s="507"/>
      <c r="BV30" s="735"/>
      <c r="BW30" s="507"/>
      <c r="BX30" s="735"/>
      <c r="BY30" s="507"/>
      <c r="BZ30" s="735"/>
      <c r="CA30" s="507"/>
      <c r="CB30" s="735"/>
      <c r="CC30" s="507"/>
      <c r="CD30" s="735"/>
      <c r="CE30" s="507"/>
      <c r="CF30" s="735"/>
      <c r="CG30" s="507"/>
      <c r="CH30" s="735"/>
      <c r="CI30" s="507"/>
      <c r="CJ30" s="735"/>
      <c r="CK30" s="507"/>
      <c r="CL30" s="735"/>
      <c r="CM30" s="507"/>
      <c r="CN30" s="735"/>
      <c r="CO30" s="507"/>
      <c r="CP30" s="735"/>
      <c r="CQ30" s="507"/>
      <c r="CR30" s="735"/>
      <c r="CS30" s="507"/>
      <c r="CT30" s="735"/>
      <c r="CU30" s="507"/>
      <c r="CV30" s="735"/>
      <c r="CW30" s="507"/>
      <c r="CX30" s="735"/>
      <c r="CY30" s="507"/>
      <c r="CZ30" s="735"/>
      <c r="DA30" s="507"/>
      <c r="DB30" s="727"/>
      <c r="DC30" s="735"/>
      <c r="DD30" s="507"/>
      <c r="DE30" s="735"/>
      <c r="DF30" s="507"/>
      <c r="DG30" s="735"/>
      <c r="DH30" s="507"/>
      <c r="DI30" s="735"/>
      <c r="DJ30" s="507"/>
      <c r="DK30" s="735"/>
      <c r="DL30" s="507"/>
      <c r="DM30" s="735"/>
      <c r="DN30" s="507"/>
      <c r="DO30" s="735"/>
      <c r="DP30" s="507"/>
      <c r="DQ30" s="735"/>
      <c r="DR30" s="507"/>
      <c r="DS30" s="735"/>
      <c r="DT30" s="507"/>
      <c r="DU30" s="735"/>
      <c r="DV30" s="507"/>
      <c r="DW30" s="735"/>
      <c r="DX30" s="507"/>
      <c r="DY30" s="735"/>
      <c r="DZ30" s="507"/>
      <c r="EA30" s="735"/>
      <c r="EB30" s="507"/>
      <c r="EC30" s="735"/>
      <c r="ED30" s="507"/>
      <c r="EE30" s="735"/>
      <c r="EF30" s="507"/>
      <c r="EG30" s="735"/>
      <c r="EH30" s="507"/>
      <c r="EI30" s="735"/>
      <c r="EJ30" s="507"/>
      <c r="EK30" s="735"/>
      <c r="EL30" s="507"/>
      <c r="EM30" s="507"/>
    </row>
    <row r="31" spans="1:143" s="6" customFormat="1" ht="12.75" hidden="1" customHeight="1" outlineLevel="1" x14ac:dyDescent="0.2">
      <c r="A31" s="736" t="s">
        <v>99</v>
      </c>
      <c r="B31" s="737">
        <f>INPUT!AY620</f>
        <v>1.3881956155143336</v>
      </c>
      <c r="C31" s="738">
        <f>INPUT!AZ620</f>
        <v>15.834922038079036</v>
      </c>
      <c r="D31" s="737">
        <f>INPUT!BA620</f>
        <v>1.1835102618542108</v>
      </c>
      <c r="E31" s="738">
        <f>INPUT!BB620</f>
        <v>-13.993569880541534</v>
      </c>
      <c r="F31" s="737">
        <f>INPUT!BC620</f>
        <v>1.2987252124645896</v>
      </c>
      <c r="G31" s="738">
        <f>INPUT!BD620</f>
        <v>-8.7524809159786106</v>
      </c>
      <c r="H31" s="737">
        <f>INPUT!BE620</f>
        <v>1.3297432239657632</v>
      </c>
      <c r="I31" s="738">
        <f>INPUT!BF620</f>
        <v>-8.5311105410817554</v>
      </c>
      <c r="J31" s="737">
        <f>INPUT!BG620</f>
        <v>1.2468694096601076</v>
      </c>
      <c r="K31" s="738">
        <f>INPUT!BH620</f>
        <v>-10.180568521811949</v>
      </c>
      <c r="L31" s="737">
        <f>INPUT!BI620</f>
        <v>1.3487609329446066</v>
      </c>
      <c r="M31" s="738">
        <f>INPUT!BJ620</f>
        <v>13.962757773768431</v>
      </c>
      <c r="N31" s="737">
        <f>INPUT!BK620</f>
        <v>1.2893394495412844</v>
      </c>
      <c r="O31" s="738">
        <f>INPUT!BL620</f>
        <v>-0.72269043776349573</v>
      </c>
      <c r="P31" s="737">
        <f>INPUT!BM620</f>
        <v>1.1864699331848547</v>
      </c>
      <c r="Q31" s="738">
        <f>INPUT!BN620</f>
        <v>-10.77450805529333</v>
      </c>
      <c r="R31" s="737">
        <f>INPUT!BO620</f>
        <v>1.1760083713850842</v>
      </c>
      <c r="S31" s="738">
        <f>INPUT!BP620</f>
        <v>-5.6831162691159403</v>
      </c>
      <c r="T31" s="737">
        <f>INPUT!BQ620</f>
        <v>1.2298151001540834</v>
      </c>
      <c r="U31" s="738">
        <f>INPUT!BR620</f>
        <v>-8.8188966543419571</v>
      </c>
      <c r="V31" s="737">
        <f>INPUT!BS620</f>
        <v>1.1566302470453536</v>
      </c>
      <c r="W31" s="738">
        <f>INPUT!BT620</f>
        <v>-10.292805555832917</v>
      </c>
      <c r="X31" s="737">
        <f>INPUT!BU620</f>
        <v>-0.49340062111801292</v>
      </c>
      <c r="Y31" s="738" t="str">
        <f>INPUT!BV620</f>
        <v>NM</v>
      </c>
      <c r="Z31" s="737">
        <f>INPUT!BW620</f>
        <v>0.63266097750193961</v>
      </c>
      <c r="AA31" s="738">
        <f>INPUT!BX620</f>
        <v>-46.202680789015005</v>
      </c>
      <c r="AB31" s="737">
        <f>INPUT!BY620</f>
        <v>0.79001524390243971</v>
      </c>
      <c r="AC31" s="738">
        <f>INPUT!BZ620</f>
        <v>-35.761461718638941</v>
      </c>
      <c r="AD31" s="737">
        <f>INPUT!CA620</f>
        <v>0.83616129032258024</v>
      </c>
      <c r="AE31" s="738">
        <f>INPUT!CB620</f>
        <v>-27.707122266724461</v>
      </c>
      <c r="AF31" s="737">
        <f>INPUT!CC620</f>
        <v>0.89537869062901154</v>
      </c>
      <c r="AG31" s="738" t="str">
        <f>INPUT!CD620</f>
        <v>NM</v>
      </c>
      <c r="AH31" s="737">
        <f>INPUT!CE620</f>
        <v>0.82607023840041038</v>
      </c>
      <c r="AI31" s="738">
        <f>INPUT!CF620</f>
        <v>30.570758712216882</v>
      </c>
      <c r="AJ31" s="737">
        <f>INPUT!CG620</f>
        <v>0.86586141131595684</v>
      </c>
      <c r="AK31" s="738">
        <f>INPUT!CH620</f>
        <v>9.6005954314070774</v>
      </c>
      <c r="AL31" s="737">
        <f>INPUT!CI620</f>
        <v>0.62818544673011967</v>
      </c>
      <c r="AM31" s="738">
        <f>INPUT!CJ620</f>
        <v>-24.872694538660856</v>
      </c>
      <c r="AN31" s="737">
        <f>INPUT!CK620</f>
        <v>0.82127396413110643</v>
      </c>
      <c r="AO31" s="738">
        <f>INPUT!CL620</f>
        <v>-8.2763558339595811</v>
      </c>
      <c r="AP31" s="737">
        <f>INPUT!CM620</f>
        <v>0.99690306596469569</v>
      </c>
      <c r="AQ31" s="738">
        <f>INPUT!CN620</f>
        <v>20.680181856579583</v>
      </c>
      <c r="AR31" s="737">
        <f>INPUT!CO620</f>
        <v>1.0149953139643857</v>
      </c>
      <c r="AS31" s="738">
        <f>INPUT!CP620</f>
        <v>17.223761297061579</v>
      </c>
      <c r="AT31" s="737">
        <f>INPUT!CQ620</f>
        <v>1.0349358974358971</v>
      </c>
      <c r="AU31" s="738">
        <f>INPUT!CR620</f>
        <v>64.750059528285291</v>
      </c>
      <c r="AV31" s="737">
        <f>INPUT!CS620</f>
        <v>0.91298615688859597</v>
      </c>
      <c r="AW31" s="738">
        <f>INPUT!CT620</f>
        <v>11.167064434402164</v>
      </c>
      <c r="AX31" s="737">
        <f>INPUT!CU620</f>
        <v>0.9901993916863806</v>
      </c>
      <c r="AY31" s="738">
        <f>INPUT!CV620</f>
        <v>-0.67244996100277454</v>
      </c>
      <c r="AZ31" s="737">
        <f>INPUT!CW620</f>
        <v>1.0862068965517242</v>
      </c>
      <c r="BA31" s="738">
        <f>INPUT!CX620</f>
        <v>7.0159518578661428</v>
      </c>
      <c r="BB31" s="737">
        <f>INPUT!CY620</f>
        <v>1.2715138742536003</v>
      </c>
      <c r="BC31" s="738">
        <f>INPUT!CZ620</f>
        <v>22.859191318403038</v>
      </c>
      <c r="BD31" s="737">
        <f>INPUT!DA620</f>
        <v>1.1028103877623621</v>
      </c>
      <c r="BE31" s="738">
        <f>INPUT!DB620</f>
        <v>20.79157821194968</v>
      </c>
      <c r="BF31" s="737">
        <f>INPUT!DC620</f>
        <v>1.0229720028715004</v>
      </c>
      <c r="BG31" s="738">
        <f>INPUT!DD620</f>
        <v>3.3096981739511699</v>
      </c>
      <c r="BH31" s="737">
        <f>INPUT!DE620</f>
        <v>1.2731229597388467</v>
      </c>
      <c r="BI31" s="738">
        <f>INPUT!DF620</f>
        <v>17.208145499766836</v>
      </c>
      <c r="BJ31" s="737">
        <f>INPUT!DG620</f>
        <v>1.3408841797588602</v>
      </c>
      <c r="BK31" s="738">
        <f>INPUT!DH620</f>
        <v>5.4557254081070372</v>
      </c>
      <c r="BL31" s="737">
        <f>INPUT!DI620</f>
        <v>1.4002932551319647</v>
      </c>
      <c r="BM31" s="738">
        <f>INPUT!DJ620</f>
        <v>26.974978715353327</v>
      </c>
      <c r="BN31" s="737">
        <f>INPUT!DK620</f>
        <v>1.3377434766629914</v>
      </c>
      <c r="BO31" s="738">
        <f>INPUT!DL620</f>
        <v>30.770292139757682</v>
      </c>
      <c r="BP31" s="737">
        <f>INPUT!DM620</f>
        <v>1.4689475641502419</v>
      </c>
      <c r="BQ31" s="738">
        <f>INPUT!DN620</f>
        <v>15.381436876416421</v>
      </c>
      <c r="BR31" s="737">
        <f>INPUT!DO620</f>
        <v>1.5592203898050974</v>
      </c>
      <c r="BS31" s="738">
        <f>INPUT!DP620</f>
        <v>16.283002912712561</v>
      </c>
      <c r="BT31" s="737">
        <f>INPUT!DQ620</f>
        <v>1.6730038022813689</v>
      </c>
      <c r="BU31" s="738">
        <f>INPUT!DR620</f>
        <v>19.475245356638094</v>
      </c>
      <c r="BV31" s="737">
        <f>INPUT!DS620</f>
        <v>1.3507290867229469</v>
      </c>
      <c r="BW31" s="738">
        <f>INPUT!DT620</f>
        <v>0.97071002673458917</v>
      </c>
      <c r="BX31" s="737">
        <f>INPUT!DU620</f>
        <v>1.4554727344056493</v>
      </c>
      <c r="BY31" s="738">
        <f>INPUT!DV620</f>
        <v>-0.91731182742302853</v>
      </c>
      <c r="BZ31" s="737">
        <f>INPUT!DW620</f>
        <v>1.113744075829384</v>
      </c>
      <c r="CA31" s="738">
        <f>INPUT!DX620</f>
        <v>1.113744075829384</v>
      </c>
      <c r="CB31" s="737">
        <f>INPUT!DY620</f>
        <v>1.5349999999999999</v>
      </c>
      <c r="CC31" s="738">
        <f>INPUT!DZ620</f>
        <v>-8.2488636363636463</v>
      </c>
      <c r="CD31" s="737">
        <f>INPUT!EA620</f>
        <v>1.2529999999999999</v>
      </c>
      <c r="CE31" s="738">
        <f>INPUT!EB620</f>
        <v>-7.2352840909090883</v>
      </c>
      <c r="CF31" s="737">
        <f>INPUT!EC620</f>
        <v>1.5549999999999999</v>
      </c>
      <c r="CG31" s="738">
        <f>INPUT!ED620</f>
        <v>6.8381401617250592</v>
      </c>
      <c r="CH31" s="737">
        <f>INPUT!EE620</f>
        <v>1.8879999999999999</v>
      </c>
      <c r="CI31" s="738">
        <f>INPUT!EF620</f>
        <v>69.518297872340412</v>
      </c>
      <c r="CJ31" s="737">
        <f>INPUT!EG620</f>
        <v>1.7935205716760501</v>
      </c>
      <c r="CK31" s="738">
        <f>INPUT!EH620</f>
        <v>16.841731053814346</v>
      </c>
      <c r="CL31" s="737">
        <f>INPUT!EI620</f>
        <v>1.9464237288135593</v>
      </c>
      <c r="CM31" s="738">
        <f>INPUT!EJ620</f>
        <v>55.341079713771713</v>
      </c>
      <c r="CN31" s="737">
        <f>INPUT!EK620</f>
        <v>1.8850616332819723</v>
      </c>
      <c r="CO31" s="738">
        <f>INPUT!EL620</f>
        <v>21.225828506879264</v>
      </c>
      <c r="CP31" s="737">
        <f>INPUT!EM620</f>
        <v>2.0570308173291649</v>
      </c>
      <c r="CQ31" s="738">
        <f>INPUT!EN620</f>
        <v>8.9529034602312088</v>
      </c>
      <c r="CR31" s="737">
        <f>INPUT!EO620</f>
        <v>2.0122924740874271</v>
      </c>
      <c r="CS31" s="738">
        <f>INPUT!EP620</f>
        <v>12.197903155743228</v>
      </c>
      <c r="CT31" s="737">
        <f>INPUT!EQ620</f>
        <v>1.9860614177199893</v>
      </c>
      <c r="CU31" s="738">
        <f>INPUT!ER620</f>
        <v>2.0364367901839708</v>
      </c>
      <c r="CV31" s="737">
        <f>INPUT!ES620</f>
        <v>2.1100732937472535</v>
      </c>
      <c r="CW31" s="738">
        <f>INPUT!ET620</f>
        <v>11.936567828476052</v>
      </c>
      <c r="CX31" s="737">
        <f>INPUT!EU620</f>
        <v>2.1993698198403036</v>
      </c>
      <c r="CY31" s="738">
        <f>INPUT!EV620</f>
        <v>6.9196339360608539</v>
      </c>
      <c r="CZ31" s="737">
        <f>INPUT!EW620</f>
        <v>2.2704327799460069</v>
      </c>
      <c r="DA31" s="738">
        <f>INPUT!EX620</f>
        <v>12.828170317321597</v>
      </c>
      <c r="DB31" s="739"/>
      <c r="DC31" s="737">
        <f>INPUT!FP620</f>
        <v>5.4511981828506535</v>
      </c>
      <c r="DD31" s="738">
        <f>INPUT!FQ620</f>
        <v>63.247591834135555</v>
      </c>
      <c r="DE31" s="737">
        <f>INPUT!FR620</f>
        <v>5.2001743137988976</v>
      </c>
      <c r="DF31" s="738">
        <f>INPUT!FS620</f>
        <v>-4.6049301572170247</v>
      </c>
      <c r="DG31" s="737">
        <f>INPUT!FT620</f>
        <v>5.0723854718014225</v>
      </c>
      <c r="DH31" s="738">
        <f>INPUT!FU620</f>
        <v>-2.4573953541976779</v>
      </c>
      <c r="DI31" s="737">
        <f>INPUT!FV620</f>
        <v>3.0808802625175291</v>
      </c>
      <c r="DJ31" s="738">
        <f>INPUT!FW620</f>
        <v>-39.261708723738309</v>
      </c>
      <c r="DK31" s="737">
        <f>INPUT!FX620</f>
        <v>3.1830793483972677</v>
      </c>
      <c r="DL31" s="738">
        <f>INPUT!FY620</f>
        <v>3.3172040836221051</v>
      </c>
      <c r="DM31" s="737">
        <f>INPUT!FZ620</f>
        <v>3.1365909482826169</v>
      </c>
      <c r="DN31" s="738">
        <f>INPUT!GA620</f>
        <v>-1.4604851160263554</v>
      </c>
      <c r="DO31" s="737">
        <f>INPUT!GB620</f>
        <v>3.9577777777777787</v>
      </c>
      <c r="DP31" s="738">
        <f>INPUT!GC620</f>
        <v>26.180870984939485</v>
      </c>
      <c r="DQ31" s="737">
        <f>INPUT!GD620</f>
        <v>4.4506258692628649</v>
      </c>
      <c r="DR31" s="738">
        <f>INPUT!GE620</f>
        <v>12.452646893222274</v>
      </c>
      <c r="DS31" s="737">
        <f>INPUT!GF620</f>
        <v>5.0327034883720936</v>
      </c>
      <c r="DT31" s="738">
        <f>INPUT!GG620</f>
        <v>13.078556504360495</v>
      </c>
      <c r="DU31" s="737">
        <f>INPUT!GH620</f>
        <v>6.0261194029850742</v>
      </c>
      <c r="DV31" s="738">
        <f>INPUT!GI620</f>
        <v>19.739210086750347</v>
      </c>
      <c r="DW31" s="737">
        <f>INPUT!GJ620</f>
        <v>5.4520440251572326</v>
      </c>
      <c r="DX31" s="738">
        <f>INPUT!GK620</f>
        <v>-9.526452090270066</v>
      </c>
      <c r="DY31" s="737">
        <f>INPUT!GL620</f>
        <v>6.4674038967877827</v>
      </c>
      <c r="DZ31" s="738">
        <f>INPUT!GM620</f>
        <v>18.623471618083045</v>
      </c>
      <c r="EA31" s="737">
        <f>INPUT!GN620</f>
        <v>7.8974586124799293</v>
      </c>
      <c r="EB31" s="738">
        <f>INPUT!GO620</f>
        <v>22.111727340895214</v>
      </c>
      <c r="EC31" s="737">
        <f>INPUT!GP620</f>
        <v>8.5649506566052587</v>
      </c>
      <c r="ED31" s="738">
        <f>INPUT!GQ620</f>
        <v>8.4519853395689459</v>
      </c>
      <c r="EE31" s="737">
        <f>INPUT!GR620</f>
        <v>9.2031935617236069</v>
      </c>
      <c r="EF31" s="738">
        <f>INPUT!GS620</f>
        <v>7.4517989736010648</v>
      </c>
      <c r="EG31" s="737">
        <f>INPUT!GT620</f>
        <v>10.023300764223883</v>
      </c>
      <c r="EH31" s="738">
        <f>INPUT!GU620</f>
        <v>8.9111154405263182</v>
      </c>
      <c r="EI31" s="737">
        <f>INPUT!GV620</f>
        <v>10.815101299321382</v>
      </c>
      <c r="EJ31" s="738">
        <f>INPUT!GW620</f>
        <v>7.8995986823389375</v>
      </c>
      <c r="EK31" s="737">
        <f>INPUT!GX620</f>
        <v>11.709609602820562</v>
      </c>
      <c r="EL31" s="738">
        <f>INPUT!GY620</f>
        <v>8.2709193260659397</v>
      </c>
      <c r="EM31" s="738">
        <f>INPUT!GZ620</f>
        <v>8.1959517305677529</v>
      </c>
    </row>
    <row r="32" spans="1:143" ht="12.75" hidden="1" customHeight="1" outlineLevel="1" x14ac:dyDescent="0.2">
      <c r="A32" s="740"/>
      <c r="B32" s="120"/>
      <c r="C32" s="741"/>
      <c r="D32" s="120"/>
      <c r="E32" s="741"/>
      <c r="F32" s="120"/>
      <c r="G32" s="741"/>
      <c r="H32" s="120"/>
      <c r="I32" s="741"/>
      <c r="J32" s="120"/>
      <c r="K32" s="741"/>
      <c r="L32" s="120"/>
      <c r="M32" s="741"/>
      <c r="N32" s="120"/>
      <c r="O32" s="741"/>
      <c r="P32" s="120"/>
      <c r="Q32" s="741"/>
      <c r="R32" s="120"/>
      <c r="S32" s="741"/>
      <c r="T32" s="120"/>
      <c r="U32" s="741"/>
      <c r="V32" s="120"/>
      <c r="W32" s="741"/>
      <c r="X32" s="120"/>
      <c r="Y32" s="741"/>
      <c r="Z32" s="120"/>
      <c r="AA32" s="741"/>
      <c r="AB32" s="120"/>
      <c r="AC32" s="741"/>
      <c r="AD32" s="120"/>
      <c r="AE32" s="741"/>
      <c r="AF32" s="120"/>
      <c r="AG32" s="741"/>
      <c r="AH32" s="120"/>
      <c r="AI32" s="741"/>
      <c r="AJ32" s="120"/>
      <c r="AK32" s="741"/>
      <c r="AL32" s="120"/>
      <c r="AM32" s="741"/>
      <c r="AN32" s="120"/>
      <c r="AO32" s="741"/>
      <c r="AP32" s="120"/>
      <c r="AQ32" s="741"/>
      <c r="AR32" s="120"/>
      <c r="AS32" s="741"/>
      <c r="AT32" s="120"/>
      <c r="AU32" s="741"/>
      <c r="AV32" s="120"/>
      <c r="AW32" s="741"/>
      <c r="AX32" s="120"/>
      <c r="AY32" s="741"/>
      <c r="AZ32" s="120"/>
      <c r="BA32" s="741"/>
      <c r="BB32" s="120"/>
      <c r="BC32" s="741"/>
      <c r="BD32" s="120"/>
      <c r="BE32" s="741"/>
      <c r="BF32" s="120"/>
      <c r="BG32" s="741"/>
      <c r="BH32" s="120"/>
      <c r="BI32" s="741"/>
      <c r="BJ32" s="120"/>
      <c r="BK32" s="741"/>
      <c r="BL32" s="120"/>
      <c r="BM32" s="741"/>
      <c r="BN32" s="120"/>
      <c r="BO32" s="741"/>
      <c r="BP32" s="120"/>
      <c r="BQ32" s="741"/>
      <c r="BR32" s="120"/>
      <c r="BS32" s="741"/>
      <c r="BT32" s="120"/>
      <c r="BU32" s="741"/>
      <c r="BV32" s="120"/>
      <c r="BW32" s="741"/>
      <c r="BX32" s="120"/>
      <c r="BY32" s="741"/>
      <c r="BZ32" s="120"/>
      <c r="CA32" s="741"/>
      <c r="CB32" s="120"/>
      <c r="CC32" s="741"/>
      <c r="CD32" s="120"/>
      <c r="CE32" s="741"/>
      <c r="CF32" s="120"/>
      <c r="CG32" s="741"/>
      <c r="CH32" s="120"/>
      <c r="CI32" s="741"/>
      <c r="CJ32" s="120"/>
      <c r="CK32" s="741"/>
      <c r="CL32" s="120"/>
      <c r="CM32" s="741"/>
      <c r="CN32" s="120"/>
      <c r="CO32" s="741"/>
      <c r="CP32" s="120"/>
      <c r="CQ32" s="741"/>
      <c r="CR32" s="120"/>
      <c r="CS32" s="741"/>
      <c r="CT32" s="120"/>
      <c r="CU32" s="741"/>
      <c r="CV32" s="120"/>
      <c r="CW32" s="741"/>
      <c r="CX32" s="120"/>
      <c r="CY32" s="741"/>
      <c r="CZ32" s="120"/>
      <c r="DA32" s="741"/>
      <c r="DB32" s="741"/>
      <c r="DC32" s="120"/>
      <c r="DD32" s="741"/>
      <c r="DE32" s="120"/>
      <c r="DF32" s="741"/>
      <c r="DG32" s="120"/>
      <c r="DH32" s="741"/>
      <c r="DI32" s="120"/>
      <c r="DJ32" s="741"/>
      <c r="DK32" s="120"/>
      <c r="DL32" s="741"/>
      <c r="DM32" s="120"/>
      <c r="DN32" s="741"/>
      <c r="DO32" s="120"/>
      <c r="DP32" s="741"/>
      <c r="DQ32" s="120"/>
      <c r="DR32" s="741"/>
      <c r="DS32" s="120"/>
      <c r="DT32" s="741"/>
      <c r="DU32" s="120"/>
      <c r="DV32" s="741"/>
      <c r="DW32" s="120"/>
      <c r="DX32" s="741"/>
      <c r="DY32" s="120"/>
      <c r="DZ32" s="741"/>
      <c r="EA32" s="120"/>
      <c r="EB32" s="741"/>
      <c r="EC32" s="120"/>
      <c r="ED32" s="741"/>
      <c r="EE32" s="120"/>
      <c r="EF32" s="741"/>
      <c r="EG32" s="120"/>
      <c r="EH32" s="741"/>
      <c r="EI32" s="120"/>
      <c r="EJ32" s="741"/>
      <c r="EK32" s="120"/>
      <c r="EL32" s="741"/>
      <c r="EM32" s="741"/>
    </row>
    <row r="33" spans="1:143" ht="12.75" customHeight="1" collapsed="1" x14ac:dyDescent="0.2">
      <c r="A33" s="701" t="s">
        <v>12</v>
      </c>
      <c r="B33" s="153">
        <f>INPUT!AY546</f>
        <v>-4.4000000000000004</v>
      </c>
      <c r="C33" s="507">
        <f>INPUT!AZ546</f>
        <v>-6.3829787234042534</v>
      </c>
      <c r="D33" s="153">
        <f>INPUT!BA546</f>
        <v>-3.8</v>
      </c>
      <c r="E33" s="507">
        <f>INPUT!BB546</f>
        <v>40.740740740740719</v>
      </c>
      <c r="F33" s="153">
        <f>INPUT!BC546</f>
        <v>-5</v>
      </c>
      <c r="G33" s="507" t="str">
        <f>INPUT!BD546</f>
        <v>NM</v>
      </c>
      <c r="H33" s="153">
        <f>INPUT!BE546</f>
        <v>9.4</v>
      </c>
      <c r="I33" s="507" t="str">
        <f>INPUT!BF546</f>
        <v>NM</v>
      </c>
      <c r="J33" s="153">
        <f>INPUT!BG546</f>
        <v>21.5</v>
      </c>
      <c r="K33" s="507" t="str">
        <f>INPUT!BH546</f>
        <v>NM</v>
      </c>
      <c r="L33" s="153">
        <f>INPUT!BI546</f>
        <v>4</v>
      </c>
      <c r="M33" s="507" t="str">
        <f>INPUT!BJ546</f>
        <v>NM</v>
      </c>
      <c r="N33" s="153">
        <f>INPUT!BK546</f>
        <v>-42.7</v>
      </c>
      <c r="O33" s="507" t="str">
        <f>INPUT!BL546</f>
        <v>NM</v>
      </c>
      <c r="P33" s="153">
        <f>INPUT!BM546</f>
        <v>-102.4</v>
      </c>
      <c r="Q33" s="507" t="str">
        <f>INPUT!BN546</f>
        <v>NM</v>
      </c>
      <c r="R33" s="153">
        <f>INPUT!BO546</f>
        <v>-29.481999999999999</v>
      </c>
      <c r="S33" s="507" t="str">
        <f>INPUT!BP546</f>
        <v>NM</v>
      </c>
      <c r="T33" s="153">
        <f>INPUT!BQ546</f>
        <v>-73.2</v>
      </c>
      <c r="U33" s="507" t="str">
        <f>INPUT!BR546</f>
        <v>NM</v>
      </c>
      <c r="V33" s="153">
        <f>INPUT!BS546</f>
        <v>-168.7</v>
      </c>
      <c r="W33" s="507" t="str">
        <f>INPUT!BT546</f>
        <v>NM</v>
      </c>
      <c r="X33" s="153">
        <f>INPUT!BU546</f>
        <v>-218.7</v>
      </c>
      <c r="Y33" s="507" t="str">
        <f>INPUT!BV546</f>
        <v>NM</v>
      </c>
      <c r="Z33" s="153">
        <f>INPUT!BW546</f>
        <v>-188.4</v>
      </c>
      <c r="AA33" s="507" t="str">
        <f>INPUT!BX546</f>
        <v>NM</v>
      </c>
      <c r="AB33" s="153">
        <f>INPUT!BY546</f>
        <v>-214.5</v>
      </c>
      <c r="AC33" s="507" t="str">
        <f>INPUT!BZ546</f>
        <v>NM</v>
      </c>
      <c r="AD33" s="153">
        <f>INPUT!CA546</f>
        <v>-196</v>
      </c>
      <c r="AE33" s="507">
        <f>INPUT!CB546</f>
        <v>16.182572614107894</v>
      </c>
      <c r="AF33" s="153">
        <f>INPUT!CC546</f>
        <v>-90.7</v>
      </c>
      <c r="AG33" s="507" t="str">
        <f>INPUT!CD546</f>
        <v>NM</v>
      </c>
      <c r="AH33" s="153">
        <f>INPUT!CE546</f>
        <v>-26.5</v>
      </c>
      <c r="AI33" s="507" t="str">
        <f>INPUT!CF546</f>
        <v>NM</v>
      </c>
      <c r="AJ33" s="153">
        <f>INPUT!CG546</f>
        <v>-7.3</v>
      </c>
      <c r="AK33" s="507" t="str">
        <f>INPUT!CH546</f>
        <v>NM</v>
      </c>
      <c r="AL33" s="153">
        <f>INPUT!CI546</f>
        <v>16.5</v>
      </c>
      <c r="AM33" s="507" t="str">
        <f>INPUT!CJ546</f>
        <v>NM</v>
      </c>
      <c r="AN33" s="153">
        <f>INPUT!CK546</f>
        <v>-77.8</v>
      </c>
      <c r="AO33" s="507">
        <f>INPUT!CL546</f>
        <v>-14.22271223814775</v>
      </c>
      <c r="AP33" s="153">
        <f>INPUT!CM546</f>
        <v>-13.5</v>
      </c>
      <c r="AQ33" s="507">
        <f>INPUT!CN546</f>
        <v>-49.056603773584904</v>
      </c>
      <c r="AR33" s="153">
        <f>INPUT!CO546</f>
        <v>-21.2</v>
      </c>
      <c r="AS33" s="507" t="str">
        <f>INPUT!CP546</f>
        <v>NM</v>
      </c>
      <c r="AT33" s="153">
        <f>INPUT!CQ546</f>
        <v>-121</v>
      </c>
      <c r="AU33" s="507" t="str">
        <f>INPUT!CR546</f>
        <v>NM</v>
      </c>
      <c r="AV33" s="153">
        <f>INPUT!CS546</f>
        <v>-97</v>
      </c>
      <c r="AW33" s="507">
        <f>INPUT!CT546</f>
        <v>24.678663239074549</v>
      </c>
      <c r="AX33" s="153">
        <f>INPUT!CU546</f>
        <v>-73</v>
      </c>
      <c r="AY33" s="507" t="str">
        <f>INPUT!CV546</f>
        <v>NM</v>
      </c>
      <c r="AZ33" s="153">
        <f>INPUT!CW546</f>
        <v>12</v>
      </c>
      <c r="BA33" s="507" t="str">
        <f>INPUT!CX546</f>
        <v>NM</v>
      </c>
      <c r="BB33" s="153">
        <f>INPUT!CY546</f>
        <v>25</v>
      </c>
      <c r="BC33" s="507" t="str">
        <f>INPUT!CZ546</f>
        <v>NM</v>
      </c>
      <c r="BD33" s="153">
        <f>INPUT!DA546</f>
        <v>11</v>
      </c>
      <c r="BE33" s="507" t="str">
        <f>INPUT!DB546</f>
        <v>NM</v>
      </c>
      <c r="BF33" s="153">
        <f>INPUT!DC546</f>
        <v>-60</v>
      </c>
      <c r="BG33" s="507">
        <f>INPUT!DD546</f>
        <v>-17.808219178082197</v>
      </c>
      <c r="BH33" s="153">
        <f>INPUT!DE546</f>
        <v>-33</v>
      </c>
      <c r="BI33" s="507" t="str">
        <f>INPUT!DF546</f>
        <v>NM</v>
      </c>
      <c r="BJ33" s="153">
        <f>INPUT!DG546</f>
        <v>-43</v>
      </c>
      <c r="BK33" s="507" t="str">
        <f>INPUT!DH546</f>
        <v>NM</v>
      </c>
      <c r="BL33" s="153">
        <f>INPUT!DI546</f>
        <v>-43</v>
      </c>
      <c r="BM33" s="507" t="str">
        <f>INPUT!DJ546</f>
        <v>NM</v>
      </c>
      <c r="BN33" s="153">
        <f>INPUT!DK546</f>
        <v>-38</v>
      </c>
      <c r="BO33" s="507">
        <f>INPUT!DL546</f>
        <v>-36.666666666666671</v>
      </c>
      <c r="BP33" s="153">
        <f>INPUT!DM546</f>
        <v>-3</v>
      </c>
      <c r="BQ33" s="507" t="str">
        <f>INPUT!DN546</f>
        <v>NM</v>
      </c>
      <c r="BR33" s="153">
        <f>INPUT!DO546</f>
        <v>31</v>
      </c>
      <c r="BS33" s="507" t="str">
        <f>INPUT!DP546</f>
        <v>NM</v>
      </c>
      <c r="BT33" s="153">
        <f>INPUT!DQ546</f>
        <v>-96</v>
      </c>
      <c r="BU33" s="507" t="str">
        <f>INPUT!DR546</f>
        <v>NM</v>
      </c>
      <c r="BV33" s="153">
        <f>INPUT!DS546</f>
        <v>-60</v>
      </c>
      <c r="BW33" s="507">
        <f>INPUT!DT546</f>
        <v>57.894736842105267</v>
      </c>
      <c r="BX33" s="153">
        <f>INPUT!DU546</f>
        <v>-23</v>
      </c>
      <c r="BY33" s="507" t="str">
        <f>INPUT!DV546</f>
        <v>NM</v>
      </c>
      <c r="BZ33" s="153">
        <f>INPUT!DW546</f>
        <v>-11</v>
      </c>
      <c r="CA33" s="507">
        <f>INPUT!DX546</f>
        <v>-11</v>
      </c>
      <c r="CB33" s="153">
        <f>INPUT!DY546</f>
        <v>-118</v>
      </c>
      <c r="CC33" s="507">
        <f>INPUT!DZ546</f>
        <v>22.916666666666675</v>
      </c>
      <c r="CD33" s="153">
        <f>INPUT!EA546</f>
        <v>-102</v>
      </c>
      <c r="CE33" s="507">
        <f>INPUT!EB546</f>
        <v>70</v>
      </c>
      <c r="CF33" s="153">
        <f>INPUT!EC546</f>
        <v>-57</v>
      </c>
      <c r="CG33" s="507" t="str">
        <f>INPUT!ED546</f>
        <v>NM</v>
      </c>
      <c r="CH33" s="153">
        <f>INPUT!EE546</f>
        <v>-4</v>
      </c>
      <c r="CI33" s="507" t="str">
        <f>INPUT!EF546</f>
        <v>NM</v>
      </c>
      <c r="CJ33" s="153">
        <f>INPUT!EG546</f>
        <v>-172</v>
      </c>
      <c r="CK33" s="507">
        <f>INPUT!EH546</f>
        <v>45.762711864406768</v>
      </c>
      <c r="CL33" s="153">
        <f>INPUT!EI546</f>
        <v>-52</v>
      </c>
      <c r="CM33" s="507">
        <f>INPUT!EJ546</f>
        <v>-49.019607843137258</v>
      </c>
      <c r="CN33" s="153">
        <f>INPUT!EK546</f>
        <v>-34</v>
      </c>
      <c r="CO33" s="507">
        <f>INPUT!EL546</f>
        <v>-40.350877192982459</v>
      </c>
      <c r="CP33" s="153">
        <f>INPUT!EM546</f>
        <v>-66</v>
      </c>
      <c r="CQ33" s="507" t="str">
        <f>INPUT!EN546</f>
        <v>NM</v>
      </c>
      <c r="CR33" s="153">
        <f>INPUT!EO546</f>
        <v>-69</v>
      </c>
      <c r="CS33" s="507" t="str">
        <f>INPUT!EP546</f>
        <v>NM</v>
      </c>
      <c r="CT33" s="153">
        <f>INPUT!EQ546</f>
        <v>-68.792999999999992</v>
      </c>
      <c r="CU33" s="507">
        <f>INPUT!ER546</f>
        <v>32.294230769230751</v>
      </c>
      <c r="CV33" s="153">
        <f>INPUT!ES546</f>
        <v>-68.586620999999994</v>
      </c>
      <c r="CW33" s="507" t="str">
        <f>INPUT!ET546</f>
        <v>NM</v>
      </c>
      <c r="CX33" s="153">
        <f>INPUT!EU546</f>
        <v>-68.380861136999997</v>
      </c>
      <c r="CY33" s="507">
        <f>INPUT!EV546</f>
        <v>3.6073653590908972</v>
      </c>
      <c r="CZ33" s="153">
        <f>INPUT!EW546</f>
        <v>-68.175718553588993</v>
      </c>
      <c r="DA33" s="507">
        <f>INPUT!EX546</f>
        <v>-1.1946107919000082</v>
      </c>
      <c r="DB33" s="507"/>
      <c r="DC33" s="153">
        <f>INPUT!FP546</f>
        <v>-14.6</v>
      </c>
      <c r="DD33" s="507" t="str">
        <f>INPUT!FQ546</f>
        <v>NM</v>
      </c>
      <c r="DE33" s="153">
        <f>INPUT!FR546</f>
        <v>-3.7999999999999989</v>
      </c>
      <c r="DF33" s="507" t="str">
        <f>INPUT!FS546</f>
        <v>NM</v>
      </c>
      <c r="DG33" s="153">
        <f>INPUT!FT546</f>
        <v>-119.60000000000001</v>
      </c>
      <c r="DH33" s="507" t="str">
        <f>INPUT!FU546</f>
        <v>NM</v>
      </c>
      <c r="DI33" s="153">
        <f>INPUT!FV546</f>
        <v>-490.08199999999999</v>
      </c>
      <c r="DJ33" s="507" t="str">
        <f>INPUT!FW546</f>
        <v>NM</v>
      </c>
      <c r="DK33" s="153">
        <f>INPUT!FX546</f>
        <v>-689.6</v>
      </c>
      <c r="DL33" s="507">
        <f>INPUT!FY546</f>
        <v>40.711146297966458</v>
      </c>
      <c r="DM33" s="153">
        <f>INPUT!FZ546</f>
        <v>-95.1</v>
      </c>
      <c r="DN33" s="507" t="str">
        <f>INPUT!GA546</f>
        <v>NM</v>
      </c>
      <c r="DO33" s="153">
        <f>INPUT!GB546</f>
        <v>-252.7</v>
      </c>
      <c r="DP33" s="507" t="str">
        <f>INPUT!GC546</f>
        <v>NM</v>
      </c>
      <c r="DQ33" s="153">
        <f>INPUT!GD546</f>
        <v>-25</v>
      </c>
      <c r="DR33" s="507" t="str">
        <f>INPUT!GE546</f>
        <v>NM</v>
      </c>
      <c r="DS33" s="153">
        <f>INPUT!GF546</f>
        <v>-179</v>
      </c>
      <c r="DT33" s="507" t="str">
        <f>INPUT!GG546</f>
        <v>NM</v>
      </c>
      <c r="DU33" s="153">
        <f>INPUT!GH546</f>
        <v>-106</v>
      </c>
      <c r="DV33" s="507">
        <f>INPUT!GI546</f>
        <v>-40.782122905027926</v>
      </c>
      <c r="DW33" s="153">
        <f>INPUT!GJ546</f>
        <v>-212</v>
      </c>
      <c r="DX33" s="507">
        <f>INPUT!GK546</f>
        <v>100</v>
      </c>
      <c r="DY33" s="153">
        <f>INPUT!GL546</f>
        <v>-335</v>
      </c>
      <c r="DZ33" s="507">
        <f>INPUT!GM546</f>
        <v>58.018867924528308</v>
      </c>
      <c r="EA33" s="153">
        <f>INPUT!GN546</f>
        <v>-221</v>
      </c>
      <c r="EB33" s="507">
        <f>INPUT!GO546</f>
        <v>-34.02985074626865</v>
      </c>
      <c r="EC33" s="153">
        <f>INPUT!GP546</f>
        <v>-273.93620069058898</v>
      </c>
      <c r="ED33" s="507">
        <f>INPUT!GQ546</f>
        <v>23.953031986691855</v>
      </c>
      <c r="EE33" s="153">
        <f>INPUT!GR546</f>
        <v>-271.1968386836831</v>
      </c>
      <c r="EF33" s="507">
        <f>INPUT!GS546</f>
        <v>-1.0000000000000009</v>
      </c>
      <c r="EG33" s="153">
        <f>INPUT!GT546</f>
        <v>-268.48487029684628</v>
      </c>
      <c r="EH33" s="507">
        <f>INPUT!GU546</f>
        <v>-0.99999999999998979</v>
      </c>
      <c r="EI33" s="153">
        <f>INPUT!GV546</f>
        <v>-265.80002159387777</v>
      </c>
      <c r="EJ33" s="507">
        <f>INPUT!GW546</f>
        <v>-1.000000000000012</v>
      </c>
      <c r="EK33" s="153">
        <f>INPUT!GX546</f>
        <v>-263.14202137793905</v>
      </c>
      <c r="EL33" s="507">
        <f>INPUT!GY546</f>
        <v>-0.99999999999997868</v>
      </c>
      <c r="EM33" s="507">
        <f>INPUT!GZ546</f>
        <v>3.5522611607423649</v>
      </c>
    </row>
    <row r="34" spans="1:143" ht="12.75" customHeight="1" x14ac:dyDescent="0.2">
      <c r="A34" s="701" t="s">
        <v>13</v>
      </c>
      <c r="B34" s="151">
        <f>INPUT!AY552-B33</f>
        <v>4</v>
      </c>
      <c r="C34" s="507"/>
      <c r="D34" s="151">
        <f>INPUT!BA552-D33</f>
        <v>1.4000000000000004</v>
      </c>
      <c r="E34" s="507"/>
      <c r="F34" s="151">
        <f>INPUT!BC552-F33</f>
        <v>-2</v>
      </c>
      <c r="G34" s="507"/>
      <c r="H34" s="151">
        <f>INPUT!BE552-H33</f>
        <v>-3.3000000000000007</v>
      </c>
      <c r="I34" s="507"/>
      <c r="J34" s="151">
        <f>INPUT!BG552-J33</f>
        <v>0.19999999999999929</v>
      </c>
      <c r="K34" s="507"/>
      <c r="L34" s="151">
        <f>INPUT!BI552-L33</f>
        <v>-7.9</v>
      </c>
      <c r="M34" s="507"/>
      <c r="N34" s="151">
        <f>INPUT!BK552-N33</f>
        <v>0.39999999999999858</v>
      </c>
      <c r="O34" s="507"/>
      <c r="P34" s="151">
        <f>INPUT!BM552-P33</f>
        <v>0.40000000000000568</v>
      </c>
      <c r="Q34" s="507"/>
      <c r="R34" s="151">
        <f>INPUT!BO552-R33</f>
        <v>19.399999999999999</v>
      </c>
      <c r="S34" s="507"/>
      <c r="T34" s="151">
        <f>INPUT!BQ552-T33</f>
        <v>-110.60000000000001</v>
      </c>
      <c r="U34" s="507"/>
      <c r="V34" s="151">
        <f>INPUT!BS552-V33</f>
        <v>18.400000000000006</v>
      </c>
      <c r="W34" s="507"/>
      <c r="X34" s="151">
        <f>INPUT!BU552-X33</f>
        <v>-160.09999999999997</v>
      </c>
      <c r="Y34" s="507"/>
      <c r="Z34" s="151">
        <f>INPUT!BW552-Z33</f>
        <v>-553.59999999999991</v>
      </c>
      <c r="AA34" s="507"/>
      <c r="AB34" s="151">
        <f>INPUT!BY552-AB33</f>
        <v>-153.80000000000001</v>
      </c>
      <c r="AC34" s="507"/>
      <c r="AD34" s="151">
        <f>INPUT!CA552-AD33</f>
        <v>73.800000000000011</v>
      </c>
      <c r="AE34" s="507"/>
      <c r="AF34" s="151">
        <f>INPUT!CC552-AF33</f>
        <v>-104.2</v>
      </c>
      <c r="AG34" s="507"/>
      <c r="AH34" s="151">
        <f>INPUT!CE552-AH33</f>
        <v>15.399999999999999</v>
      </c>
      <c r="AI34" s="507"/>
      <c r="AJ34" s="151">
        <f>INPUT!CG552-AJ33</f>
        <v>-178.50000000000003</v>
      </c>
      <c r="AK34" s="507"/>
      <c r="AL34" s="151">
        <f>INPUT!CI552-AL33</f>
        <v>22.9</v>
      </c>
      <c r="AM34" s="507"/>
      <c r="AN34" s="151">
        <f>INPUT!CK552-AN33</f>
        <v>7.9000000000000057</v>
      </c>
      <c r="AO34" s="507"/>
      <c r="AP34" s="151">
        <f>INPUT!CM552-AP33</f>
        <v>5.3000000000000007</v>
      </c>
      <c r="AQ34" s="507"/>
      <c r="AR34" s="151">
        <f>INPUT!CO552-AR33</f>
        <v>-0.89999999999999858</v>
      </c>
      <c r="AS34" s="507"/>
      <c r="AT34" s="151">
        <f>INPUT!CQ552-AT33</f>
        <v>-55</v>
      </c>
      <c r="AU34" s="507"/>
      <c r="AV34" s="151">
        <f>INPUT!CS552-AV33</f>
        <v>-721</v>
      </c>
      <c r="AW34" s="507"/>
      <c r="AX34" s="151">
        <f>INPUT!CU552-AX33</f>
        <v>23</v>
      </c>
      <c r="AY34" s="507"/>
      <c r="AZ34" s="151">
        <f>INPUT!CW552-AZ33</f>
        <v>-10</v>
      </c>
      <c r="BA34" s="507"/>
      <c r="BB34" s="151">
        <f>INPUT!CY552-BB33</f>
        <v>41</v>
      </c>
      <c r="BC34" s="507"/>
      <c r="BD34" s="151">
        <f>INPUT!DA552-BD33</f>
        <v>-1</v>
      </c>
      <c r="BE34" s="507"/>
      <c r="BF34" s="151">
        <f>INPUT!DC552-BF33</f>
        <v>14</v>
      </c>
      <c r="BG34" s="507"/>
      <c r="BH34" s="151">
        <f>INPUT!DE552-BH33</f>
        <v>-1</v>
      </c>
      <c r="BI34" s="507"/>
      <c r="BJ34" s="151">
        <f>INPUT!DG552-BJ33</f>
        <v>13</v>
      </c>
      <c r="BK34" s="507"/>
      <c r="BL34" s="151">
        <f>INPUT!DI552-BL33</f>
        <v>12</v>
      </c>
      <c r="BM34" s="507"/>
      <c r="BN34" s="151">
        <f>INPUT!DK552-BN33</f>
        <v>2</v>
      </c>
      <c r="BO34" s="507"/>
      <c r="BP34" s="151">
        <f>INPUT!DM552-BP33</f>
        <v>7</v>
      </c>
      <c r="BQ34" s="507"/>
      <c r="BR34" s="151">
        <f>INPUT!DO552-BR33</f>
        <v>-6</v>
      </c>
      <c r="BS34" s="507"/>
      <c r="BT34" s="151">
        <f>INPUT!DQ552-BT33</f>
        <v>5</v>
      </c>
      <c r="BU34" s="507"/>
      <c r="BV34" s="151">
        <f>INPUT!DS552-BV33</f>
        <v>8</v>
      </c>
      <c r="BW34" s="507"/>
      <c r="BX34" s="151">
        <f>INPUT!DU552-BX33</f>
        <v>-4</v>
      </c>
      <c r="BY34" s="507"/>
      <c r="BZ34" s="151">
        <f>INPUT!DW552-BZ33</f>
        <v>-51</v>
      </c>
      <c r="CA34" s="507"/>
      <c r="CB34" s="151">
        <f>INPUT!DY552-CB33</f>
        <v>19</v>
      </c>
      <c r="CC34" s="507"/>
      <c r="CD34" s="151">
        <f>INPUT!EA552-CD33</f>
        <v>-4</v>
      </c>
      <c r="CE34" s="507"/>
      <c r="CF34" s="151">
        <f>INPUT!EC552-CF33</f>
        <v>9</v>
      </c>
      <c r="CG34" s="507"/>
      <c r="CH34" s="151">
        <f>INPUT!EE552-CH33</f>
        <v>30</v>
      </c>
      <c r="CI34" s="507"/>
      <c r="CJ34" s="151">
        <f>INPUT!EG552-CJ33</f>
        <v>-47</v>
      </c>
      <c r="CK34" s="507"/>
      <c r="CL34" s="151">
        <f>INPUT!EI552-CL33</f>
        <v>45</v>
      </c>
      <c r="CM34" s="507"/>
      <c r="CN34" s="151">
        <f>INPUT!EK552-CN33</f>
        <v>26</v>
      </c>
      <c r="CO34" s="507"/>
      <c r="CP34" s="151">
        <f>INPUT!EM552-CP33</f>
        <v>30</v>
      </c>
      <c r="CQ34" s="507"/>
      <c r="CR34" s="151">
        <f>INPUT!EO552-CR33</f>
        <v>445</v>
      </c>
      <c r="CS34" s="507"/>
      <c r="CT34" s="151">
        <f>INPUT!EQ552-CT33</f>
        <v>0</v>
      </c>
      <c r="CU34" s="507"/>
      <c r="CV34" s="151">
        <f>INPUT!ES552-CV33</f>
        <v>0</v>
      </c>
      <c r="CW34" s="507"/>
      <c r="CX34" s="151">
        <f>INPUT!EU552-CX33</f>
        <v>-20.971933411198236</v>
      </c>
      <c r="CY34" s="507"/>
      <c r="CZ34" s="151">
        <f>INPUT!EW552-CZ33</f>
        <v>-20.954788428931238</v>
      </c>
      <c r="DA34" s="507"/>
      <c r="DB34" s="507"/>
      <c r="DC34" s="151">
        <f>INPUT!FP552-DC33</f>
        <v>13.099999999999998</v>
      </c>
      <c r="DD34" s="507"/>
      <c r="DE34" s="151">
        <f>INPUT!FR552-DE33</f>
        <v>0.10000000000000009</v>
      </c>
      <c r="DF34" s="507"/>
      <c r="DG34" s="151">
        <f>INPUT!FT552-DG33</f>
        <v>-6.9000000000000057</v>
      </c>
      <c r="DH34" s="507"/>
      <c r="DI34" s="151">
        <f>INPUT!FV552-DI33</f>
        <v>-232.89999999999998</v>
      </c>
      <c r="DJ34" s="507"/>
      <c r="DK34" s="151">
        <f>INPUT!FX552-DK33</f>
        <v>-737.80000000000007</v>
      </c>
      <c r="DL34" s="507"/>
      <c r="DM34" s="151">
        <f>INPUT!FZ552-DM33</f>
        <v>-132.30000000000001</v>
      </c>
      <c r="DN34" s="507"/>
      <c r="DO34" s="151">
        <f>INPUT!GB552-DO33</f>
        <v>-771.60000000000014</v>
      </c>
      <c r="DP34" s="507"/>
      <c r="DQ34" s="151">
        <f>INPUT!GD552-DQ33</f>
        <v>54</v>
      </c>
      <c r="DR34" s="507"/>
      <c r="DS34" s="151">
        <f>INPUT!GF552-DS33</f>
        <v>38</v>
      </c>
      <c r="DT34" s="507"/>
      <c r="DU34" s="151">
        <f>INPUT!GH552-DU33</f>
        <v>8</v>
      </c>
      <c r="DV34" s="507"/>
      <c r="DW34" s="151">
        <f>INPUT!GJ552-DW33</f>
        <v>-28</v>
      </c>
      <c r="DX34" s="507"/>
      <c r="DY34" s="151">
        <f>INPUT!GL552-DY33</f>
        <v>-12</v>
      </c>
      <c r="DZ34" s="507"/>
      <c r="EA34" s="151">
        <f>INPUT!GN552-EA33</f>
        <v>546</v>
      </c>
      <c r="EB34" s="507"/>
      <c r="EC34" s="151">
        <f>INPUT!GP552-EC33</f>
        <v>-41.92672184012946</v>
      </c>
      <c r="ED34" s="507"/>
      <c r="EE34" s="151">
        <f>INPUT!GR552-EE33</f>
        <v>-62.701945418140269</v>
      </c>
      <c r="EF34" s="507"/>
      <c r="EG34" s="151">
        <f>INPUT!GT552-EG33</f>
        <v>-20.821860636420467</v>
      </c>
      <c r="EH34" s="507"/>
      <c r="EI34" s="151">
        <f>INPUT!GV552-EI33</f>
        <v>0</v>
      </c>
      <c r="EJ34" s="507"/>
      <c r="EK34" s="151">
        <f>INPUT!GX552-EK33</f>
        <v>0</v>
      </c>
      <c r="EL34" s="507"/>
      <c r="EM34" s="507"/>
    </row>
    <row r="35" spans="1:143" ht="12.75" customHeight="1" x14ac:dyDescent="0.2">
      <c r="A35" s="691" t="s">
        <v>64</v>
      </c>
      <c r="B35" s="706">
        <f>INPUT!AY566</f>
        <v>246.55999999999995</v>
      </c>
      <c r="C35" s="61">
        <f>INPUT!AZ566</f>
        <v>12.460203793068803</v>
      </c>
      <c r="D35" s="706">
        <f>INPUT!BA566</f>
        <v>321.06</v>
      </c>
      <c r="E35" s="61">
        <f>INPUT!BB566</f>
        <v>36.294749175379827</v>
      </c>
      <c r="F35" s="706">
        <f>INPUT!BC566</f>
        <v>350.76000000000005</v>
      </c>
      <c r="G35" s="61">
        <f>INPUT!BD566</f>
        <v>38.741218910195641</v>
      </c>
      <c r="H35" s="706">
        <f>INPUT!BE566</f>
        <v>366.55999999999995</v>
      </c>
      <c r="I35" s="61">
        <f>INPUT!BF566</f>
        <v>46.135906073713763</v>
      </c>
      <c r="J35" s="706">
        <f>INPUT!BG566</f>
        <v>361.10000000000008</v>
      </c>
      <c r="K35" s="61">
        <f>INPUT!BH566</f>
        <v>46.455223880597089</v>
      </c>
      <c r="L35" s="706">
        <f>INPUT!BI566</f>
        <v>346.70000000000005</v>
      </c>
      <c r="M35" s="61">
        <f>INPUT!BJ566</f>
        <v>7.9860462218900086</v>
      </c>
      <c r="N35" s="706">
        <f>INPUT!BK566</f>
        <v>290</v>
      </c>
      <c r="O35" s="61">
        <f>INPUT!BL566</f>
        <v>-17.322385676816065</v>
      </c>
      <c r="P35" s="706">
        <f>INPUT!BM566</f>
        <v>199.49999999999983</v>
      </c>
      <c r="Q35" s="61">
        <f>INPUT!BN566</f>
        <v>-45.575076385857741</v>
      </c>
      <c r="R35" s="706">
        <f>INPUT!BO566</f>
        <v>289.41800000000012</v>
      </c>
      <c r="S35" s="61">
        <f>INPUT!BP566</f>
        <v>-19.851010800332304</v>
      </c>
      <c r="T35" s="706">
        <f>INPUT!BQ566</f>
        <v>124.80000000000007</v>
      </c>
      <c r="U35" s="61" t="str">
        <f>INPUT!BR566</f>
        <v>NM</v>
      </c>
      <c r="V35" s="706">
        <f>INPUT!BS566</f>
        <v>147.70000000000013</v>
      </c>
      <c r="W35" s="61">
        <f>INPUT!BT566</f>
        <v>-49.068965517241338</v>
      </c>
      <c r="X35" s="706">
        <f>INPUT!BU566</f>
        <v>-505.90000000000009</v>
      </c>
      <c r="Y35" s="61" t="str">
        <f>INPUT!BV566</f>
        <v>NM</v>
      </c>
      <c r="Z35" s="706">
        <f>INPUT!BW566</f>
        <v>-578.89999999999986</v>
      </c>
      <c r="AA35" s="61" t="str">
        <f>INPUT!BX566</f>
        <v>NM</v>
      </c>
      <c r="AB35" s="706">
        <f>INPUT!BY566</f>
        <v>-160.99999999999986</v>
      </c>
      <c r="AC35" s="61" t="str">
        <f>INPUT!BZ566</f>
        <v>NM</v>
      </c>
      <c r="AD35" s="706">
        <f>INPUT!CA566</f>
        <v>137.00999999999988</v>
      </c>
      <c r="AE35" s="61">
        <f>INPUT!CB566</f>
        <v>-7.2376438727151271</v>
      </c>
      <c r="AF35" s="706">
        <f>INPUT!CC566</f>
        <v>84.1</v>
      </c>
      <c r="AG35" s="61" t="str">
        <f>INPUT!CD566</f>
        <v>NM</v>
      </c>
      <c r="AH35" s="706">
        <f>INPUT!CE566</f>
        <v>246.70000000000007</v>
      </c>
      <c r="AI35" s="61" t="str">
        <f>INPUT!CF566</f>
        <v>NM</v>
      </c>
      <c r="AJ35" s="706">
        <f>INPUT!CG566</f>
        <v>86.6</v>
      </c>
      <c r="AK35" s="61" t="str">
        <f>INPUT!CH566</f>
        <v>NM</v>
      </c>
      <c r="AL35" s="706">
        <f>INPUT!CI566</f>
        <v>243.99999999999997</v>
      </c>
      <c r="AM35" s="61">
        <f>INPUT!CJ566</f>
        <v>78.089190570031519</v>
      </c>
      <c r="AN35" s="706">
        <f>INPUT!CK566</f>
        <v>195.69999999999982</v>
      </c>
      <c r="AO35" s="61" t="str">
        <f>INPUT!CL566</f>
        <v>NM</v>
      </c>
      <c r="AP35" s="706">
        <f>INPUT!CM566</f>
        <v>313.70000000000022</v>
      </c>
      <c r="AQ35" s="61">
        <f>INPUT!CN566</f>
        <v>27.15849209566279</v>
      </c>
      <c r="AR35" s="706">
        <f>INPUT!CO566</f>
        <v>302.79999999999978</v>
      </c>
      <c r="AS35" s="61" t="str">
        <f>INPUT!CP566</f>
        <v>NM</v>
      </c>
      <c r="AT35" s="706">
        <f>INPUT!CQ566</f>
        <v>146.89999999999992</v>
      </c>
      <c r="AU35" s="61">
        <f>INPUT!CR566</f>
        <v>-39.795081967213143</v>
      </c>
      <c r="AV35" s="706">
        <f>INPUT!CS566</f>
        <v>-541</v>
      </c>
      <c r="AW35" s="507" t="str">
        <f>INPUT!CT566</f>
        <v>NM</v>
      </c>
      <c r="AX35" s="706">
        <f>INPUT!CU566</f>
        <v>243</v>
      </c>
      <c r="AY35" s="507">
        <f>INPUT!CV566</f>
        <v>-22.537456168313732</v>
      </c>
      <c r="AZ35" s="706">
        <f>INPUT!CW566</f>
        <v>317</v>
      </c>
      <c r="BA35" s="507">
        <f>INPUT!CX566</f>
        <v>4.6895640686922757</v>
      </c>
      <c r="BB35" s="706">
        <f>INPUT!CY566</f>
        <v>428</v>
      </c>
      <c r="BC35" s="507" t="str">
        <f>INPUT!CZ566</f>
        <v>NM</v>
      </c>
      <c r="BD35" s="706">
        <f>INPUT!DA566</f>
        <v>320</v>
      </c>
      <c r="BE35" s="507" t="str">
        <f>INPUT!DB566</f>
        <v>NM</v>
      </c>
      <c r="BF35" s="706">
        <f>INPUT!DC566</f>
        <v>239</v>
      </c>
      <c r="BG35" s="507">
        <f>INPUT!DD566</f>
        <v>-1.6460905349794275</v>
      </c>
      <c r="BH35" s="706">
        <f>INPUT!DE566</f>
        <v>317</v>
      </c>
      <c r="BI35" s="507">
        <f>INPUT!DF566</f>
        <v>0</v>
      </c>
      <c r="BJ35" s="706">
        <f>INPUT!DG566</f>
        <v>337</v>
      </c>
      <c r="BK35" s="507">
        <f>INPUT!DH566</f>
        <v>-21.261682242990652</v>
      </c>
      <c r="BL35" s="706">
        <f>INPUT!DI566</f>
        <v>351</v>
      </c>
      <c r="BM35" s="507">
        <f>INPUT!DJ566</f>
        <v>9.6875000000000036</v>
      </c>
      <c r="BN35" s="706">
        <f>INPUT!DK566</f>
        <v>328</v>
      </c>
      <c r="BO35" s="507">
        <f>INPUT!DL566</f>
        <v>37.238493723849373</v>
      </c>
      <c r="BP35" s="706">
        <f>INPUT!DM566</f>
        <v>399</v>
      </c>
      <c r="BQ35" s="507">
        <f>INPUT!DN566</f>
        <v>25.867507886435327</v>
      </c>
      <c r="BR35" s="706">
        <f>INPUT!DO566</f>
        <v>441</v>
      </c>
      <c r="BS35" s="507">
        <f>INPUT!DP566</f>
        <v>30.86053412462908</v>
      </c>
      <c r="BT35" s="706">
        <f>INPUT!DQ566</f>
        <v>349</v>
      </c>
      <c r="BU35" s="507">
        <f>INPUT!DR566</f>
        <v>-0.56980056980057148</v>
      </c>
      <c r="BV35" s="706">
        <f>INPUT!DS566</f>
        <v>300</v>
      </c>
      <c r="BW35" s="507">
        <f>INPUT!DT566</f>
        <v>-8.5365853658536555</v>
      </c>
      <c r="BX35" s="706">
        <f>INPUT!DU566</f>
        <v>344</v>
      </c>
      <c r="BY35" s="507">
        <f>INPUT!DV566</f>
        <v>-13.78446115288221</v>
      </c>
      <c r="BZ35" s="706">
        <f>INPUT!DW566</f>
        <v>220</v>
      </c>
      <c r="CA35" s="507">
        <f>INPUT!DX566</f>
        <v>220</v>
      </c>
      <c r="CB35" s="706">
        <f>INPUT!DY566</f>
        <v>283</v>
      </c>
      <c r="CC35" s="507">
        <f>INPUT!DZ566</f>
        <v>-18.911174785100282</v>
      </c>
      <c r="CD35" s="706">
        <f>INPUT!EA566</f>
        <v>201</v>
      </c>
      <c r="CE35" s="507">
        <f>INPUT!EB566</f>
        <v>-32.999999999999993</v>
      </c>
      <c r="CF35" s="706">
        <f>INPUT!EC566</f>
        <v>325</v>
      </c>
      <c r="CG35" s="507">
        <f>INPUT!ED566</f>
        <v>-5.5232558139534866</v>
      </c>
      <c r="CH35" s="706">
        <f>INPUT!EE566</f>
        <v>467</v>
      </c>
      <c r="CI35" s="507" t="str">
        <f>INPUT!EF566</f>
        <v>NM</v>
      </c>
      <c r="CJ35" s="706">
        <f>INPUT!EG566</f>
        <v>190</v>
      </c>
      <c r="CK35" s="507">
        <f>INPUT!EH566</f>
        <v>-32.862190812720847</v>
      </c>
      <c r="CL35" s="706">
        <f>INPUT!EI566</f>
        <v>435</v>
      </c>
      <c r="CM35" s="507" t="str">
        <f>INPUT!EJ566</f>
        <v>NM</v>
      </c>
      <c r="CN35" s="706">
        <f>INPUT!EK566</f>
        <v>411</v>
      </c>
      <c r="CO35" s="507">
        <f>INPUT!EL566</f>
        <v>26.461538461538471</v>
      </c>
      <c r="CP35" s="706">
        <f>INPUT!EM566</f>
        <v>418</v>
      </c>
      <c r="CQ35" s="507">
        <f>INPUT!EN566</f>
        <v>-10.492505353319059</v>
      </c>
      <c r="CR35" s="706">
        <f>INPUT!EO566</f>
        <v>816</v>
      </c>
      <c r="CS35" s="507" t="str">
        <f>INPUT!EP566</f>
        <v>NM</v>
      </c>
      <c r="CT35" s="706">
        <f>INPUT!EQ566</f>
        <v>364.22239174143363</v>
      </c>
      <c r="CU35" s="507">
        <f>INPUT!ER566</f>
        <v>-16.270714542199173</v>
      </c>
      <c r="CV35" s="706">
        <f>INPUT!ES566</f>
        <v>391.87259890626729</v>
      </c>
      <c r="CW35" s="507">
        <f>INPUT!ET566</f>
        <v>-4.6538688792536975</v>
      </c>
      <c r="CX35" s="706">
        <f>INPUT!EU566</f>
        <v>389.78415433744664</v>
      </c>
      <c r="CY35" s="507">
        <f>INPUT!EV566</f>
        <v>-6.750202311615638</v>
      </c>
      <c r="CZ35" s="706">
        <f>INPUT!EW566</f>
        <v>403.48243687600649</v>
      </c>
      <c r="DA35" s="507" t="str">
        <f>INPUT!EX566</f>
        <v>NM</v>
      </c>
      <c r="DB35" s="727"/>
      <c r="DC35" s="706">
        <f>INPUT!FP566</f>
        <v>958.45600000000002</v>
      </c>
      <c r="DD35" s="507">
        <f>INPUT!FQ566</f>
        <v>75.637896280007325</v>
      </c>
      <c r="DE35" s="706">
        <f>INPUT!FR566</f>
        <v>1284.9399999999998</v>
      </c>
      <c r="DF35" s="507">
        <f>INPUT!FS566</f>
        <v>34.063535519627372</v>
      </c>
      <c r="DG35" s="706">
        <f>INPUT!FT566</f>
        <v>1197.2999999999995</v>
      </c>
      <c r="DH35" s="507">
        <f>INPUT!FU566</f>
        <v>-6.8205519323859765</v>
      </c>
      <c r="DI35" s="706">
        <f>INPUT!FV566</f>
        <v>56.018000000000484</v>
      </c>
      <c r="DJ35" s="507" t="str">
        <f>INPUT!FW566</f>
        <v>NM</v>
      </c>
      <c r="DK35" s="706">
        <f>INPUT!FX566</f>
        <v>-518.78999999999985</v>
      </c>
      <c r="DL35" s="507" t="str">
        <f>INPUT!FY566</f>
        <v>NM</v>
      </c>
      <c r="DM35" s="706">
        <f>INPUT!FZ566</f>
        <v>772.99999999999943</v>
      </c>
      <c r="DN35" s="507" t="str">
        <f>INPUT!GA566</f>
        <v>NM</v>
      </c>
      <c r="DO35" s="706">
        <f>INPUT!GB566</f>
        <v>222.40000000000009</v>
      </c>
      <c r="DP35" s="507" t="str">
        <f>INPUT!GC566</f>
        <v>NM</v>
      </c>
      <c r="DQ35" s="706">
        <f>INPUT!GD566</f>
        <v>1309</v>
      </c>
      <c r="DR35" s="507" t="str">
        <f>INPUT!GE566</f>
        <v>NM</v>
      </c>
      <c r="DS35" s="706">
        <f>INPUT!GF566</f>
        <v>1244</v>
      </c>
      <c r="DT35" s="507">
        <f>INPUT!GG566</f>
        <v>-4.9656226126814307</v>
      </c>
      <c r="DU35" s="706">
        <f>INPUT!GH566</f>
        <v>1517</v>
      </c>
      <c r="DV35" s="507">
        <f>INPUT!GI566</f>
        <v>21.945337620578776</v>
      </c>
      <c r="DW35" s="706">
        <f>INPUT!GJ566</f>
        <v>1147</v>
      </c>
      <c r="DX35" s="507">
        <f>INPUT!GK566</f>
        <v>-24.390243902439025</v>
      </c>
      <c r="DY35" s="706">
        <f>INPUT!GL566</f>
        <v>1183</v>
      </c>
      <c r="DZ35" s="507">
        <f>INPUT!GM566</f>
        <v>3.1386224934611962</v>
      </c>
      <c r="EA35" s="706">
        <f>INPUT!GN566</f>
        <v>2080</v>
      </c>
      <c r="EB35" s="507">
        <f>INPUT!GO566</f>
        <v>75.824175824175825</v>
      </c>
      <c r="EC35" s="706">
        <f>INPUT!GP566</f>
        <v>1549.3615818611524</v>
      </c>
      <c r="ED35" s="507">
        <f>INPUT!GQ566</f>
        <v>-25.511462410521514</v>
      </c>
      <c r="EE35" s="706">
        <f>INPUT!GR566</f>
        <v>1663.3817312694523</v>
      </c>
      <c r="EF35" s="507">
        <f>INPUT!GS566</f>
        <v>7.359169786005304</v>
      </c>
      <c r="EG35" s="706">
        <f>INPUT!GT566</f>
        <v>1897.9027710340356</v>
      </c>
      <c r="EH35" s="507">
        <f>INPUT!GU566</f>
        <v>14.099051069029267</v>
      </c>
      <c r="EI35" s="706">
        <f>INPUT!GV566</f>
        <v>2031.0236834424354</v>
      </c>
      <c r="EJ35" s="507">
        <f>INPUT!GW566</f>
        <v>7.0141060142860479</v>
      </c>
      <c r="EK35" s="706">
        <f>INPUT!GX566</f>
        <v>2154.5297485903538</v>
      </c>
      <c r="EL35" s="507">
        <f>INPUT!GY566</f>
        <v>6.0809761183377553</v>
      </c>
      <c r="EM35" s="507">
        <f>INPUT!GZ566</f>
        <v>0.7065763927251556</v>
      </c>
    </row>
    <row r="36" spans="1:143" s="561" customFormat="1" ht="12.75" hidden="1" customHeight="1" outlineLevel="1" x14ac:dyDescent="0.2">
      <c r="A36" s="712" t="s">
        <v>50</v>
      </c>
      <c r="B36" s="713">
        <f>(B23+B33+B34)-B35</f>
        <v>0</v>
      </c>
      <c r="C36" s="662"/>
      <c r="D36" s="713">
        <f>(D23+D33+D34)-D35</f>
        <v>0</v>
      </c>
      <c r="E36" s="662"/>
      <c r="F36" s="713">
        <f>(F23+F33+F34)-F35</f>
        <v>0</v>
      </c>
      <c r="G36" s="662"/>
      <c r="H36" s="713">
        <f>(H23+H33+H34)-H35</f>
        <v>0</v>
      </c>
      <c r="I36" s="662"/>
      <c r="J36" s="713">
        <f>(J23+J33+J34)-J35</f>
        <v>0</v>
      </c>
      <c r="K36" s="662"/>
      <c r="L36" s="713">
        <f>(L23+L33+L34)-L35</f>
        <v>0</v>
      </c>
      <c r="M36" s="662"/>
      <c r="N36" s="713">
        <f>(N23+N33+N34)-N35</f>
        <v>0</v>
      </c>
      <c r="O36" s="662"/>
      <c r="P36" s="713">
        <f>(P23+P33+P34)-P35</f>
        <v>0</v>
      </c>
      <c r="Q36" s="662"/>
      <c r="R36" s="713">
        <f>(R23+R33+R34)-R35</f>
        <v>0</v>
      </c>
      <c r="S36" s="662"/>
      <c r="T36" s="713">
        <f>(T23+T33+T34)-T35</f>
        <v>0</v>
      </c>
      <c r="U36" s="662"/>
      <c r="V36" s="713">
        <f>(V23+V33+V34)-V35</f>
        <v>0</v>
      </c>
      <c r="W36" s="662"/>
      <c r="X36" s="713">
        <f>(X23+X33+X34)-X35</f>
        <v>0</v>
      </c>
      <c r="Y36" s="662"/>
      <c r="Z36" s="713">
        <f>(Z23+Z33+Z34)-Z35</f>
        <v>0</v>
      </c>
      <c r="AA36" s="662"/>
      <c r="AB36" s="713">
        <f>(AB23+AB33+AB34)-AB35</f>
        <v>0</v>
      </c>
      <c r="AC36" s="662"/>
      <c r="AD36" s="713">
        <f>(AD23+AD33+AD34)-AD35</f>
        <v>0</v>
      </c>
      <c r="AE36" s="662"/>
      <c r="AF36" s="713">
        <f>(AF23+AF33+AF34)-AF35</f>
        <v>0</v>
      </c>
      <c r="AG36" s="662"/>
      <c r="AH36" s="713">
        <f>(AH23+AH33+AH34)-AH35</f>
        <v>0</v>
      </c>
      <c r="AI36" s="662"/>
      <c r="AJ36" s="713">
        <f>(AJ23+AJ33+AJ34)-AJ35</f>
        <v>0</v>
      </c>
      <c r="AK36" s="662"/>
      <c r="AL36" s="713">
        <f>(AL23+AL33+AL34)-AL35</f>
        <v>0</v>
      </c>
      <c r="AM36" s="662"/>
      <c r="AN36" s="713">
        <f>(AN23+AN33+AN34)-AN35</f>
        <v>0</v>
      </c>
      <c r="AO36" s="662"/>
      <c r="AP36" s="713">
        <f>(AP23+AP33+AP34)-AP35</f>
        <v>0</v>
      </c>
      <c r="AQ36" s="662"/>
      <c r="AR36" s="713">
        <f>(AR23+AR33+AR34)-AR35</f>
        <v>0</v>
      </c>
      <c r="AS36" s="662"/>
      <c r="AT36" s="713">
        <f>(AT23+AT33+AT34)-AT35</f>
        <v>0</v>
      </c>
      <c r="AU36" s="662"/>
      <c r="AV36" s="713">
        <f>(AV23+AV33+AV34)-AV35</f>
        <v>0</v>
      </c>
      <c r="AW36" s="662"/>
      <c r="AX36" s="713">
        <f>(AX23+AX33+AX34)-AX35</f>
        <v>0</v>
      </c>
      <c r="AY36" s="662"/>
      <c r="AZ36" s="713">
        <f>(AZ23+AZ33+AZ34)-AZ35</f>
        <v>0</v>
      </c>
      <c r="BA36" s="662"/>
      <c r="BB36" s="713">
        <f>(BB23+BB33+BB34)-BB35</f>
        <v>0</v>
      </c>
      <c r="BC36" s="662"/>
      <c r="BD36" s="713">
        <f>(BD23+BD33+BD34)-BD35</f>
        <v>0</v>
      </c>
      <c r="BE36" s="662"/>
      <c r="BF36" s="713">
        <f>(BF23+BF33+BF34)-BF35</f>
        <v>0</v>
      </c>
      <c r="BG36" s="662"/>
      <c r="BH36" s="713">
        <f>(BH23+BH33+BH34)-BH35</f>
        <v>0</v>
      </c>
      <c r="BI36" s="662"/>
      <c r="BJ36" s="713">
        <f>(BJ23+BJ33+BJ34)-BJ35</f>
        <v>0</v>
      </c>
      <c r="BK36" s="662"/>
      <c r="BL36" s="713">
        <f>(BL23+BL33+BL34)-BL35</f>
        <v>0</v>
      </c>
      <c r="BM36" s="662"/>
      <c r="BN36" s="713">
        <f>(BN23+BN33+BN34)-BN35</f>
        <v>0</v>
      </c>
      <c r="BO36" s="662"/>
      <c r="BP36" s="713">
        <f>(BP23+BP33+BP34)-BP35</f>
        <v>0</v>
      </c>
      <c r="BQ36" s="662"/>
      <c r="BR36" s="713">
        <f>(BR23+BR33+BR34)-BR35</f>
        <v>0</v>
      </c>
      <c r="BS36" s="662"/>
      <c r="BT36" s="713">
        <f>(BT23+BT33+BT34)-BT35</f>
        <v>0</v>
      </c>
      <c r="BU36" s="662"/>
      <c r="BV36" s="713">
        <f>(BV23+BV33+BV34)-BV35</f>
        <v>0</v>
      </c>
      <c r="BW36" s="662"/>
      <c r="BX36" s="713">
        <f>(BX23+BX33+BX34)-BX35</f>
        <v>0</v>
      </c>
      <c r="BY36" s="662"/>
      <c r="BZ36" s="713">
        <f>(BZ23+BZ33+BZ34)-BZ35</f>
        <v>0</v>
      </c>
      <c r="CA36" s="662"/>
      <c r="CB36" s="713">
        <f>(CB23+CB33+CB34)-CB35</f>
        <v>0</v>
      </c>
      <c r="CC36" s="662"/>
      <c r="CD36" s="713">
        <f>(CD23+CD33+CD34)-CD35</f>
        <v>0</v>
      </c>
      <c r="CE36" s="662"/>
      <c r="CF36" s="713">
        <f>(CF23+CF33+CF34)-CF35</f>
        <v>0</v>
      </c>
      <c r="CG36" s="662"/>
      <c r="CH36" s="713">
        <f>(CH23+CH33+CH34)-CH35</f>
        <v>0</v>
      </c>
      <c r="CI36" s="662"/>
      <c r="CJ36" s="713">
        <f>(CJ23+CJ33+CJ34)-CJ35</f>
        <v>0</v>
      </c>
      <c r="CK36" s="662"/>
      <c r="CL36" s="713">
        <f t="shared" ref="CL36" si="32">(CL23+CL33+CL34)-CL35</f>
        <v>0</v>
      </c>
      <c r="CM36" s="662"/>
      <c r="CN36" s="713">
        <f t="shared" ref="CN36" si="33">(CN23+CN33+CN34)-CN35</f>
        <v>0</v>
      </c>
      <c r="CO36" s="662"/>
      <c r="CP36" s="713">
        <f t="shared" ref="CP36" si="34">(CP23+CP33+CP34)-CP35</f>
        <v>0</v>
      </c>
      <c r="CQ36" s="662"/>
      <c r="CR36" s="713">
        <f t="shared" ref="CR36" si="35">(CR23+CR33+CR34)-CR35</f>
        <v>0</v>
      </c>
      <c r="CS36" s="662"/>
      <c r="CT36" s="713">
        <f t="shared" ref="CT36" si="36">(CT23+CT33+CT34)-CT35</f>
        <v>0</v>
      </c>
      <c r="CU36" s="662"/>
      <c r="CV36" s="713">
        <f t="shared" ref="CV36" si="37">(CV23+CV33+CV34)-CV35</f>
        <v>0</v>
      </c>
      <c r="CW36" s="662"/>
      <c r="CX36" s="713">
        <f t="shared" ref="CX36" si="38">(CX23+CX33+CX34)-CX35</f>
        <v>0</v>
      </c>
      <c r="CY36" s="662"/>
      <c r="CZ36" s="713">
        <f t="shared" ref="CZ36" si="39">(CZ23+CZ33+CZ34)-CZ35</f>
        <v>0</v>
      </c>
      <c r="DA36" s="662"/>
      <c r="DB36" s="714"/>
      <c r="DC36" s="713">
        <f>(DC23+DC33+DC34)-DC35</f>
        <v>0</v>
      </c>
      <c r="DD36" s="662"/>
      <c r="DE36" s="713">
        <f>(DE23+DE33+DE34)-DE35</f>
        <v>0</v>
      </c>
      <c r="DF36" s="662"/>
      <c r="DG36" s="713">
        <f>(DG23+DG33+DG34)-DG35</f>
        <v>0</v>
      </c>
      <c r="DH36" s="662"/>
      <c r="DI36" s="713">
        <f>(DI23+DI33+DI34)-DI35</f>
        <v>0</v>
      </c>
      <c r="DJ36" s="662"/>
      <c r="DK36" s="713">
        <f>(DK23+DK33+DK34)-DK35</f>
        <v>0</v>
      </c>
      <c r="DL36" s="662"/>
      <c r="DM36" s="713">
        <f>(DM23+DM33+DM34)-DM35</f>
        <v>0</v>
      </c>
      <c r="DN36" s="662"/>
      <c r="DO36" s="713">
        <f>(DO23+DO33+DO34)-DO35</f>
        <v>0</v>
      </c>
      <c r="DP36" s="662"/>
      <c r="DQ36" s="713">
        <f>(DQ23+DQ33+DQ34)-DQ35</f>
        <v>0</v>
      </c>
      <c r="DR36" s="662"/>
      <c r="DS36" s="713">
        <f>(DS23+DS33+DS34)-DS35</f>
        <v>0</v>
      </c>
      <c r="DT36" s="662"/>
      <c r="DU36" s="713">
        <f>(DU23+DU33+DU34)-DU35</f>
        <v>0</v>
      </c>
      <c r="DV36" s="662"/>
      <c r="DW36" s="713">
        <f>(DW23+DW33+DW34)-DW35</f>
        <v>0</v>
      </c>
      <c r="DX36" s="662"/>
      <c r="DY36" s="713">
        <f>(DY23+DY33+DY34)-DY35</f>
        <v>0</v>
      </c>
      <c r="DZ36" s="662"/>
      <c r="EA36" s="713">
        <f>(EA23+EA33+EA34)-EA35</f>
        <v>0</v>
      </c>
      <c r="EB36" s="662"/>
      <c r="EC36" s="713">
        <f>(EC23+EC33+EC34)-EC35</f>
        <v>0</v>
      </c>
      <c r="ED36" s="662"/>
      <c r="EE36" s="713">
        <f>(EE23+EE33+EE34)-EE35</f>
        <v>0</v>
      </c>
      <c r="EF36" s="662"/>
      <c r="EG36" s="713">
        <f>(EG23+EG33+EG34)-EG35</f>
        <v>0</v>
      </c>
      <c r="EH36" s="662"/>
      <c r="EI36" s="713">
        <f>(EI23+EI33+EI34)-EI35</f>
        <v>0</v>
      </c>
      <c r="EJ36" s="662"/>
      <c r="EK36" s="713">
        <f>(EK23+EK33+EK34)-EK35</f>
        <v>0</v>
      </c>
      <c r="EL36" s="662"/>
      <c r="EM36" s="662"/>
    </row>
    <row r="37" spans="1:143" s="7" customFormat="1" ht="12.75" customHeight="1" collapsed="1" x14ac:dyDescent="0.2">
      <c r="A37" s="700"/>
      <c r="B37" s="735"/>
      <c r="C37" s="507"/>
      <c r="D37" s="735"/>
      <c r="E37" s="507"/>
      <c r="F37" s="735"/>
      <c r="G37" s="507"/>
      <c r="H37" s="735"/>
      <c r="I37" s="507"/>
      <c r="J37" s="735"/>
      <c r="K37" s="507"/>
      <c r="L37" s="735"/>
      <c r="M37" s="507"/>
      <c r="N37" s="735"/>
      <c r="O37" s="507"/>
      <c r="P37" s="735"/>
      <c r="Q37" s="507"/>
      <c r="R37" s="735"/>
      <c r="S37" s="507"/>
      <c r="T37" s="735"/>
      <c r="U37" s="507"/>
      <c r="V37" s="735"/>
      <c r="W37" s="507"/>
      <c r="X37" s="735"/>
      <c r="Y37" s="507"/>
      <c r="Z37" s="735"/>
      <c r="AA37" s="507"/>
      <c r="AB37" s="735"/>
      <c r="AC37" s="507"/>
      <c r="AD37" s="735"/>
      <c r="AE37" s="507"/>
      <c r="AF37" s="735"/>
      <c r="AG37" s="507"/>
      <c r="AH37" s="735"/>
      <c r="AI37" s="507"/>
      <c r="AJ37" s="735"/>
      <c r="AK37" s="507"/>
      <c r="AL37" s="735"/>
      <c r="AM37" s="507"/>
      <c r="AN37" s="735"/>
      <c r="AO37" s="507"/>
      <c r="AP37" s="735"/>
      <c r="AQ37" s="507"/>
      <c r="AR37" s="735"/>
      <c r="AS37" s="507"/>
      <c r="AT37" s="735"/>
      <c r="AU37" s="507"/>
      <c r="AV37" s="735"/>
      <c r="AW37" s="507"/>
      <c r="AX37" s="735"/>
      <c r="AY37" s="507"/>
      <c r="AZ37" s="735"/>
      <c r="BA37" s="507"/>
      <c r="BB37" s="735"/>
      <c r="BC37" s="507"/>
      <c r="BD37" s="735"/>
      <c r="BE37" s="507"/>
      <c r="BF37" s="735"/>
      <c r="BG37" s="507"/>
      <c r="BH37" s="735"/>
      <c r="BI37" s="507"/>
      <c r="BJ37" s="735"/>
      <c r="BK37" s="507"/>
      <c r="BL37" s="735"/>
      <c r="BM37" s="507"/>
      <c r="BN37" s="735"/>
      <c r="BO37" s="507"/>
      <c r="BP37" s="735"/>
      <c r="BQ37" s="507"/>
      <c r="BR37" s="735"/>
      <c r="BS37" s="507"/>
      <c r="BT37" s="735"/>
      <c r="BU37" s="507"/>
      <c r="BV37" s="735"/>
      <c r="BW37" s="507"/>
      <c r="BX37" s="735"/>
      <c r="BY37" s="507"/>
      <c r="BZ37" s="735"/>
      <c r="CA37" s="507"/>
      <c r="CB37" s="735"/>
      <c r="CC37" s="507"/>
      <c r="CD37" s="735"/>
      <c r="CE37" s="507"/>
      <c r="CF37" s="735"/>
      <c r="CG37" s="507"/>
      <c r="CH37" s="735"/>
      <c r="CI37" s="507"/>
      <c r="CJ37" s="735"/>
      <c r="CK37" s="507"/>
      <c r="CL37" s="735"/>
      <c r="CM37" s="507"/>
      <c r="CN37" s="735"/>
      <c r="CO37" s="507"/>
      <c r="CP37" s="735"/>
      <c r="CQ37" s="507"/>
      <c r="CR37" s="735"/>
      <c r="CS37" s="507"/>
      <c r="CT37" s="735"/>
      <c r="CU37" s="507"/>
      <c r="CV37" s="735"/>
      <c r="CW37" s="507"/>
      <c r="CX37" s="735"/>
      <c r="CY37" s="507"/>
      <c r="CZ37" s="735"/>
      <c r="DA37" s="507"/>
      <c r="DB37" s="727"/>
      <c r="DC37" s="735"/>
      <c r="DD37" s="507"/>
      <c r="DE37" s="735"/>
      <c r="DF37" s="507"/>
      <c r="DG37" s="735"/>
      <c r="DH37" s="507"/>
      <c r="DI37" s="735"/>
      <c r="DJ37" s="507"/>
      <c r="DK37" s="735"/>
      <c r="DL37" s="507"/>
      <c r="DM37" s="735"/>
      <c r="DN37" s="507"/>
      <c r="DO37" s="735"/>
      <c r="DP37" s="507"/>
      <c r="DQ37" s="735"/>
      <c r="DR37" s="507"/>
      <c r="DS37" s="735"/>
      <c r="DT37" s="507"/>
      <c r="DU37" s="735"/>
      <c r="DV37" s="507"/>
      <c r="DW37" s="735"/>
      <c r="DX37" s="507"/>
      <c r="DY37" s="735"/>
      <c r="DZ37" s="507"/>
      <c r="EA37" s="735"/>
      <c r="EB37" s="507"/>
      <c r="EC37" s="735"/>
      <c r="ED37" s="507"/>
      <c r="EE37" s="735"/>
      <c r="EF37" s="507"/>
      <c r="EG37" s="735"/>
      <c r="EH37" s="507"/>
      <c r="EI37" s="735"/>
      <c r="EJ37" s="507"/>
      <c r="EK37" s="735"/>
      <c r="EL37" s="507"/>
      <c r="EM37" s="507"/>
    </row>
    <row r="38" spans="1:143" s="559" customFormat="1" ht="12.75" customHeight="1" x14ac:dyDescent="0.2">
      <c r="A38" s="676" t="s">
        <v>14</v>
      </c>
      <c r="B38" s="677">
        <f>INPUT!AY617</f>
        <v>1.39</v>
      </c>
      <c r="C38" s="742">
        <f>INPUT!AZ617</f>
        <v>12.096774193548377</v>
      </c>
      <c r="D38" s="677">
        <f>INPUT!BA617</f>
        <v>1.1399999999999999</v>
      </c>
      <c r="E38" s="742">
        <f>INPUT!BB617</f>
        <v>-14.925373134328368</v>
      </c>
      <c r="F38" s="677">
        <f>INPUT!BC617</f>
        <v>1.24</v>
      </c>
      <c r="G38" s="742">
        <f>INPUT!BD617</f>
        <v>-13.888888888888884</v>
      </c>
      <c r="H38" s="677">
        <f>INPUT!BE617</f>
        <v>1.31</v>
      </c>
      <c r="I38" s="742">
        <f>INPUT!BF617</f>
        <v>-7.7464788732394263</v>
      </c>
      <c r="J38" s="677">
        <f>INPUT!BG617</f>
        <v>1.29</v>
      </c>
      <c r="K38" s="742">
        <f>INPUT!BH617</f>
        <v>-7.1942446043165358</v>
      </c>
      <c r="L38" s="677">
        <f>INPUT!BI617</f>
        <v>1.26</v>
      </c>
      <c r="M38" s="742">
        <f>INPUT!BJ617</f>
        <v>10.526315789473696</v>
      </c>
      <c r="N38" s="677">
        <f>INPUT!BK617</f>
        <v>1.06</v>
      </c>
      <c r="O38" s="742">
        <f>INPUT!BL617</f>
        <v>-14.516129032258062</v>
      </c>
      <c r="P38" s="677">
        <f>INPUT!BM617</f>
        <v>0.74</v>
      </c>
      <c r="Q38" s="742">
        <f>INPUT!BN617</f>
        <v>-43.511450381679396</v>
      </c>
      <c r="R38" s="677">
        <f>INPUT!BO617</f>
        <v>1.1000000000000001</v>
      </c>
      <c r="S38" s="742">
        <f>INPUT!BP617</f>
        <v>-14.728682170542628</v>
      </c>
      <c r="T38" s="677">
        <f>INPUT!BQ617</f>
        <v>0.48</v>
      </c>
      <c r="U38" s="742" t="str">
        <f>INPUT!BR617</f>
        <v>NM</v>
      </c>
      <c r="V38" s="677">
        <f>INPUT!BS617</f>
        <v>0.57695312500000051</v>
      </c>
      <c r="W38" s="742">
        <f>INPUT!BT617</f>
        <v>-45.570459905660329</v>
      </c>
      <c r="X38" s="677">
        <f>INPUT!BU617</f>
        <v>-1.96</v>
      </c>
      <c r="Y38" s="742" t="str">
        <f>INPUT!BV617</f>
        <v>NM</v>
      </c>
      <c r="Z38" s="677">
        <f>INPUT!BW617</f>
        <v>-2.25</v>
      </c>
      <c r="AA38" s="742" t="str">
        <f>INPUT!BX617</f>
        <v>NM</v>
      </c>
      <c r="AB38" s="677">
        <f>INPUT!BY617</f>
        <v>-0.61</v>
      </c>
      <c r="AC38" s="742" t="str">
        <f>INPUT!BZ617</f>
        <v>NM</v>
      </c>
      <c r="AD38" s="677">
        <f>INPUT!CA617</f>
        <v>0.44</v>
      </c>
      <c r="AE38" s="742">
        <f>INPUT!CB617</f>
        <v>-23.737305348679826</v>
      </c>
      <c r="AF38" s="677">
        <f>INPUT!CC617</f>
        <v>0.27</v>
      </c>
      <c r="AG38" s="742" t="str">
        <f>INPUT!CD617</f>
        <v>NM</v>
      </c>
      <c r="AH38" s="677">
        <f>INPUT!CE617</f>
        <v>0.79</v>
      </c>
      <c r="AI38" s="742" t="str">
        <f>INPUT!CF617</f>
        <v>NM</v>
      </c>
      <c r="AJ38" s="677">
        <f>INPUT!CG617</f>
        <v>0.28000000000000003</v>
      </c>
      <c r="AK38" s="742" t="str">
        <f>INPUT!CH617</f>
        <v>NM</v>
      </c>
      <c r="AL38" s="677">
        <f>INPUT!CI617</f>
        <v>0.75</v>
      </c>
      <c r="AM38" s="742">
        <f>INPUT!CJ617</f>
        <v>70.454545454545453</v>
      </c>
      <c r="AN38" s="677">
        <f>INPUT!CK617</f>
        <v>0.61</v>
      </c>
      <c r="AO38" s="742" t="str">
        <f>INPUT!CL617</f>
        <v>NM</v>
      </c>
      <c r="AP38" s="677">
        <f>INPUT!CM617</f>
        <v>0.97</v>
      </c>
      <c r="AQ38" s="742">
        <f>INPUT!CN617</f>
        <v>22.784810126582265</v>
      </c>
      <c r="AR38" s="677">
        <f>INPUT!CO617</f>
        <v>0.94595438925335773</v>
      </c>
      <c r="AS38" s="742" t="str">
        <f>INPUT!CP617</f>
        <v>NM</v>
      </c>
      <c r="AT38" s="677">
        <f>INPUT!CQ617</f>
        <v>0.4708333333333331</v>
      </c>
      <c r="AU38" s="742">
        <f>INPUT!CR617</f>
        <v>-37.222222222222257</v>
      </c>
      <c r="AV38" s="677">
        <f>INPUT!CS617</f>
        <v>-1.816045652903659</v>
      </c>
      <c r="AW38" s="742" t="str">
        <f>INPUT!CT617</f>
        <v>NM</v>
      </c>
      <c r="AX38" s="677">
        <f>INPUT!CU617</f>
        <v>0.82122338627914837</v>
      </c>
      <c r="AY38" s="742">
        <f>INPUT!CV617</f>
        <v>-15.337795228953777</v>
      </c>
      <c r="AZ38" s="677">
        <f>INPUT!CW617</f>
        <v>1.0931034482758621</v>
      </c>
      <c r="BA38" s="742">
        <f>INPUT!CX617</f>
        <v>15.555618822028961</v>
      </c>
      <c r="BB38" s="677">
        <f>INPUT!CY617</f>
        <v>1.5033368458025993</v>
      </c>
      <c r="BC38" s="742" t="str">
        <f>INPUT!CZ617</f>
        <v>NM</v>
      </c>
      <c r="BD38" s="677">
        <f>INPUT!DA617</f>
        <v>1.1383849163998576</v>
      </c>
      <c r="BE38" s="742" t="str">
        <f>INPUT!DB617</f>
        <v>NM</v>
      </c>
      <c r="BF38" s="677">
        <f>INPUT!DC617</f>
        <v>0.85786073223259141</v>
      </c>
      <c r="BG38" s="742">
        <f>INPUT!DD617</f>
        <v>4.4613130319439476</v>
      </c>
      <c r="BH38" s="677">
        <f>INPUT!DE617</f>
        <v>1.1498005077983315</v>
      </c>
      <c r="BI38" s="742">
        <f>INPUT!DF617</f>
        <v>5.1867972433804699</v>
      </c>
      <c r="BJ38" s="677">
        <f>INPUT!DG617</f>
        <v>1.2312751187431494</v>
      </c>
      <c r="BK38" s="742">
        <f>INPUT!DH617</f>
        <v>-18.097190115379757</v>
      </c>
      <c r="BL38" s="677">
        <f>INPUT!DI617</f>
        <v>1.2866568914956011</v>
      </c>
      <c r="BM38" s="742">
        <f>INPUT!DJ617</f>
        <v>13.024766312316727</v>
      </c>
      <c r="BN38" s="677">
        <f>INPUT!DK617</f>
        <v>1.2054391767732451</v>
      </c>
      <c r="BO38" s="742">
        <f>INPUT!DL617</f>
        <v>40.516884790387508</v>
      </c>
      <c r="BP38" s="677">
        <f>INPUT!DM617</f>
        <v>1.4838229825213836</v>
      </c>
      <c r="BQ38" s="742">
        <f>INPUT!DN617</f>
        <v>29.050472012979633</v>
      </c>
      <c r="BR38" s="677">
        <f>INPUT!DO617</f>
        <v>1.6529235382308844</v>
      </c>
      <c r="BS38" s="742">
        <f>INPUT!DP617</f>
        <v>34.244858283024662</v>
      </c>
      <c r="BT38" s="677">
        <f>INPUT!DQ617</f>
        <v>1.3269961977186311</v>
      </c>
      <c r="BU38" s="742">
        <f>INPUT!DR617</f>
        <v>3.1352030591574209</v>
      </c>
      <c r="BV38" s="677">
        <f>INPUT!DS617</f>
        <v>1.1511895625479662</v>
      </c>
      <c r="BW38" s="742">
        <f>INPUT!DT617</f>
        <v>-4.5004024483836558</v>
      </c>
      <c r="BX38" s="677">
        <f>INPUT!DU617</f>
        <v>1.3495488426834052</v>
      </c>
      <c r="BY38" s="742">
        <f>INPUT!DV617</f>
        <v>-9.0492020557474628</v>
      </c>
      <c r="BZ38" s="677">
        <f>INPUT!DW617</f>
        <v>0.86887835703001581</v>
      </c>
      <c r="CA38" s="742">
        <f>INPUT!DX617</f>
        <v>0.86887835703001581</v>
      </c>
      <c r="CB38" s="677">
        <f>INPUT!DY617</f>
        <v>1.1370028123744476</v>
      </c>
      <c r="CC38" s="742">
        <f>INPUT!DZ617</f>
        <v>-14.317553107598934</v>
      </c>
      <c r="CD38" s="677">
        <f>INPUT!EA617</f>
        <v>0.82007343941248467</v>
      </c>
      <c r="CE38" s="742">
        <f>INPUT!EB617</f>
        <v>-28.762953896368828</v>
      </c>
      <c r="CF38" s="677">
        <f>INPUT!EC617</f>
        <v>1.3547311379741558</v>
      </c>
      <c r="CG38" s="742">
        <f>INPUT!ED617</f>
        <v>0.38400205511985863</v>
      </c>
      <c r="CH38" s="677">
        <f>INPUT!EE617</f>
        <v>1.9991438356164384</v>
      </c>
      <c r="CI38" s="742" t="str">
        <f>INPUT!EF617</f>
        <v>NM</v>
      </c>
      <c r="CJ38" s="677">
        <f>INPUT!EG617</f>
        <v>0.82286704200952787</v>
      </c>
      <c r="CK38" s="742">
        <f>INPUT!EH617</f>
        <v>-27.628407506653186</v>
      </c>
      <c r="CL38" s="677">
        <f>INPUT!EI617</f>
        <v>1.8904823989569752</v>
      </c>
      <c r="CM38" s="742" t="str">
        <f>INPUT!EJ617</f>
        <v>NM</v>
      </c>
      <c r="CN38" s="677">
        <f>INPUT!EK617</f>
        <v>1.8093770636143518</v>
      </c>
      <c r="CO38" s="742">
        <f>INPUT!EL617</f>
        <v>33.559863864948625</v>
      </c>
      <c r="CP38" s="677">
        <f>INPUT!EM617</f>
        <v>1.866904868244752</v>
      </c>
      <c r="CQ38" s="742">
        <f>INPUT!EN617</f>
        <v>-6.6147800381211823</v>
      </c>
      <c r="CR38" s="677">
        <f>INPUT!EO617</f>
        <v>3.6773321315908065</v>
      </c>
      <c r="CS38" s="742" t="str">
        <f>INPUT!EP617</f>
        <v>NM</v>
      </c>
      <c r="CT38" s="677">
        <f>INPUT!EQ617</f>
        <v>1.65</v>
      </c>
      <c r="CU38" s="742">
        <f>INPUT!ER617</f>
        <v>-12.720689655172423</v>
      </c>
      <c r="CV38" s="677">
        <f>INPUT!ES617</f>
        <v>1.77</v>
      </c>
      <c r="CW38" s="742">
        <f>INPUT!ET617</f>
        <v>-2.1762773722627804</v>
      </c>
      <c r="CX38" s="677">
        <f>INPUT!EU617</f>
        <v>1.77</v>
      </c>
      <c r="CY38" s="742">
        <f>INPUT!EV617</f>
        <v>-5.1906698564593174</v>
      </c>
      <c r="CZ38" s="677">
        <f>INPUT!EW617</f>
        <v>1.84</v>
      </c>
      <c r="DA38" s="742">
        <f>INPUT!EX617</f>
        <v>-49.963725490196076</v>
      </c>
      <c r="DB38" s="743"/>
      <c r="DC38" s="677">
        <f>INPUT!FP617</f>
        <v>5.4399999999999995</v>
      </c>
      <c r="DD38" s="742">
        <f>INPUT!FQ617</f>
        <v>85.66552901023887</v>
      </c>
      <c r="DE38" s="677">
        <f>INPUT!FR617</f>
        <v>5.08</v>
      </c>
      <c r="DF38" s="742">
        <f>INPUT!FS617</f>
        <v>-6.6176470588235166</v>
      </c>
      <c r="DG38" s="677">
        <f>INPUT!FT617</f>
        <v>4.3499999999999996</v>
      </c>
      <c r="DH38" s="742">
        <f>INPUT!FU617</f>
        <v>-14.370078740157489</v>
      </c>
      <c r="DI38" s="677">
        <f>INPUT!FV617</f>
        <v>0.22</v>
      </c>
      <c r="DJ38" s="742" t="str">
        <f>INPUT!FW617</f>
        <v>NM</v>
      </c>
      <c r="DK38" s="677">
        <f>INPUT!FX617</f>
        <v>-1.82</v>
      </c>
      <c r="DL38" s="742" t="str">
        <f>INPUT!FY617</f>
        <v>NM</v>
      </c>
      <c r="DM38" s="677">
        <f>INPUT!FZ617</f>
        <v>2.42</v>
      </c>
      <c r="DN38" s="742" t="str">
        <f>INPUT!GA617</f>
        <v>NM</v>
      </c>
      <c r="DO38" s="677">
        <f>INPUT!GB617</f>
        <v>0.71</v>
      </c>
      <c r="DP38" s="742" t="str">
        <f>INPUT!GC617</f>
        <v>NM</v>
      </c>
      <c r="DQ38" s="677">
        <f>INPUT!GD617</f>
        <v>4.55</v>
      </c>
      <c r="DR38" s="742" t="str">
        <f>INPUT!GE617</f>
        <v>NM</v>
      </c>
      <c r="DS38" s="677">
        <f>INPUT!GF617</f>
        <v>4.5199999999999996</v>
      </c>
      <c r="DT38" s="742">
        <f>INPUT!GG617</f>
        <v>-0.6593406593406681</v>
      </c>
      <c r="DU38" s="677">
        <f>INPUT!GH617</f>
        <v>5.66</v>
      </c>
      <c r="DV38" s="742">
        <f>INPUT!GI617</f>
        <v>25.221238938053105</v>
      </c>
      <c r="DW38" s="677">
        <f>INPUT!GJ617</f>
        <v>4.51</v>
      </c>
      <c r="DX38" s="742">
        <f>INPUT!GK617</f>
        <v>-20.318021201413437</v>
      </c>
      <c r="DY38" s="677">
        <f>INPUT!GL617</f>
        <v>4.9800000000000004</v>
      </c>
      <c r="DZ38" s="742">
        <f>INPUT!GM617</f>
        <v>10.421286031042154</v>
      </c>
      <c r="EA38" s="677">
        <f>INPUT!GN617</f>
        <v>9.2100000000000009</v>
      </c>
      <c r="EB38" s="742">
        <f>INPUT!GO617</f>
        <v>84.939759036144565</v>
      </c>
      <c r="EC38" s="677">
        <f>INPUT!GP617</f>
        <v>7.02</v>
      </c>
      <c r="ED38" s="742">
        <f>INPUT!GQ617</f>
        <v>-23.778501628664507</v>
      </c>
      <c r="EE38" s="677">
        <f>INPUT!GR617</f>
        <v>7.6646339470557541</v>
      </c>
      <c r="EF38" s="742">
        <f>INPUT!GS617</f>
        <v>9.1828197586289804</v>
      </c>
      <c r="EG38" s="677">
        <f>INPUT!GT617</f>
        <v>8.9365177717989432</v>
      </c>
      <c r="EH38" s="742">
        <f>INPUT!GU617</f>
        <v>16.594188757465233</v>
      </c>
      <c r="EI38" s="677">
        <f>INPUT!GV617</f>
        <v>9.8134719425644583</v>
      </c>
      <c r="EJ38" s="742">
        <f>INPUT!GW617</f>
        <v>9.8131531001138796</v>
      </c>
      <c r="EK38" s="677">
        <f>INPUT!GX617</f>
        <v>10.693881028423485</v>
      </c>
      <c r="EL38" s="742">
        <f>INPUT!GY617</f>
        <v>8.9714332604384772</v>
      </c>
      <c r="EM38" s="742">
        <f>INPUT!GZ617</f>
        <v>3.0327149025566325</v>
      </c>
    </row>
    <row r="39" spans="1:143" s="564" customFormat="1" ht="12.75" hidden="1" customHeight="1" outlineLevel="1" x14ac:dyDescent="0.2">
      <c r="A39" s="660" t="s">
        <v>50</v>
      </c>
      <c r="B39" s="661"/>
      <c r="C39" s="730"/>
      <c r="D39" s="661"/>
      <c r="E39" s="730"/>
      <c r="F39" s="661"/>
      <c r="G39" s="730"/>
      <c r="H39" s="661"/>
      <c r="I39" s="730"/>
      <c r="J39" s="661"/>
      <c r="K39" s="730"/>
      <c r="L39" s="661"/>
      <c r="M39" s="730"/>
      <c r="N39" s="661"/>
      <c r="O39" s="730"/>
      <c r="P39" s="661"/>
      <c r="Q39" s="730"/>
      <c r="R39" s="661"/>
      <c r="S39" s="730"/>
      <c r="T39" s="661"/>
      <c r="U39" s="730"/>
      <c r="V39" s="661"/>
      <c r="W39" s="730"/>
      <c r="X39" s="661"/>
      <c r="Y39" s="730"/>
      <c r="Z39" s="661"/>
      <c r="AA39" s="730"/>
      <c r="AB39" s="661"/>
      <c r="AC39" s="730"/>
      <c r="AD39" s="661"/>
      <c r="AE39" s="730"/>
      <c r="AF39" s="661"/>
      <c r="AG39" s="730"/>
      <c r="AH39" s="661"/>
      <c r="AI39" s="730"/>
      <c r="AJ39" s="661"/>
      <c r="AK39" s="730"/>
      <c r="AL39" s="661"/>
      <c r="AM39" s="730"/>
      <c r="AN39" s="661"/>
      <c r="AO39" s="730"/>
      <c r="AP39" s="663">
        <f>(AP35/AP62)-AP38</f>
        <v>1.5082068751943734E-3</v>
      </c>
      <c r="AQ39" s="730"/>
      <c r="AR39" s="663">
        <f>(AR35/AR62)-AR38</f>
        <v>0</v>
      </c>
      <c r="AS39" s="730"/>
      <c r="AT39" s="663">
        <f>(AT35/AT62)-AT38</f>
        <v>0</v>
      </c>
      <c r="AU39" s="730"/>
      <c r="AV39" s="663">
        <f>(AV35/AV62)-AV38</f>
        <v>3.292106490102209E-2</v>
      </c>
      <c r="AW39" s="730"/>
      <c r="AX39" s="663">
        <f>(AX35/AX62)-AX38</f>
        <v>0</v>
      </c>
      <c r="AY39" s="730"/>
      <c r="AZ39" s="663">
        <f>(AZ35/AZ62)-AZ38</f>
        <v>0</v>
      </c>
      <c r="BA39" s="730"/>
      <c r="BB39" s="663">
        <f>(BB35/BB62)-BB38</f>
        <v>0</v>
      </c>
      <c r="BC39" s="730"/>
      <c r="BD39" s="663">
        <f>(BD35/BD62)-BD38</f>
        <v>0</v>
      </c>
      <c r="BE39" s="730"/>
      <c r="BF39" s="663">
        <f>(BF35/BF62)-BF38</f>
        <v>0</v>
      </c>
      <c r="BG39" s="730"/>
      <c r="BH39" s="663">
        <f>(BH35/BH62)-BH38</f>
        <v>0</v>
      </c>
      <c r="BI39" s="730"/>
      <c r="BJ39" s="663">
        <f>(BJ35/BJ62)-BJ38</f>
        <v>0</v>
      </c>
      <c r="BK39" s="730"/>
      <c r="BL39" s="663">
        <f>(BL35/BL62)-BL38</f>
        <v>0</v>
      </c>
      <c r="BM39" s="730"/>
      <c r="BN39" s="663">
        <f>(BN35/BN62)-BN38</f>
        <v>0</v>
      </c>
      <c r="BO39" s="730"/>
      <c r="BP39" s="663">
        <f>(BP35/BP62)-BP38</f>
        <v>0</v>
      </c>
      <c r="BQ39" s="730"/>
      <c r="BR39" s="663">
        <f>(BR35/BR62)-BR38</f>
        <v>0</v>
      </c>
      <c r="BS39" s="730"/>
      <c r="BT39" s="663">
        <f>(BT35/BT62)-BT38</f>
        <v>0</v>
      </c>
      <c r="BU39" s="730"/>
      <c r="BV39" s="663">
        <f>(BV35/BV62)-BV38</f>
        <v>0</v>
      </c>
      <c r="BW39" s="730"/>
      <c r="BX39" s="663">
        <f>(BX35/BX62)-BX38</f>
        <v>0</v>
      </c>
      <c r="BY39" s="730"/>
      <c r="BZ39" s="663">
        <f>(BZ35/BZ62)-BZ38</f>
        <v>0</v>
      </c>
      <c r="CA39" s="730"/>
      <c r="CB39" s="663">
        <f>(CB35/CB62)-CB38</f>
        <v>0</v>
      </c>
      <c r="CC39" s="730"/>
      <c r="CD39" s="663">
        <f>(CD35/CD62)-CD38</f>
        <v>0</v>
      </c>
      <c r="CE39" s="730"/>
      <c r="CF39" s="663">
        <f>(CF35/CF62)-CF38</f>
        <v>0</v>
      </c>
      <c r="CG39" s="730"/>
      <c r="CH39" s="663">
        <f>(CH35/CH62)-CH38</f>
        <v>0</v>
      </c>
      <c r="CI39" s="730"/>
      <c r="CJ39" s="663">
        <f>(CJ35/CJ62)-CJ38</f>
        <v>0</v>
      </c>
      <c r="CK39" s="730"/>
      <c r="CL39" s="663">
        <f t="shared" ref="CL39" si="40">(CL35/CL62)-CL38</f>
        <v>0</v>
      </c>
      <c r="CM39" s="730"/>
      <c r="CN39" s="663">
        <f t="shared" ref="CN39" si="41">(CN35/CN62)-CN38</f>
        <v>0</v>
      </c>
      <c r="CO39" s="730"/>
      <c r="CP39" s="663">
        <f t="shared" ref="CP39" si="42">(CP35/CP62)-CP38</f>
        <v>0</v>
      </c>
      <c r="CQ39" s="730"/>
      <c r="CR39" s="663">
        <f t="shared" ref="CR39" si="43">(CR35/CR62)-CR38</f>
        <v>0</v>
      </c>
      <c r="CS39" s="730"/>
      <c r="CT39" s="663">
        <f t="shared" ref="CT39" si="44">(CT35/CT62)-CT38</f>
        <v>-4.169038674046055E-3</v>
      </c>
      <c r="CU39" s="730"/>
      <c r="CV39" s="663">
        <f t="shared" ref="CV39" si="45">(CV35/CV62)-CV38</f>
        <v>7.754130423283101E-4</v>
      </c>
      <c r="CW39" s="730"/>
      <c r="CX39" s="663">
        <f t="shared" ref="CX39" si="46">(CX35/CX62)-CX38</f>
        <v>-4.7317120970904458E-3</v>
      </c>
      <c r="CY39" s="730"/>
      <c r="CZ39" s="663">
        <f t="shared" ref="CZ39" si="47">(CZ35/CZ62)-CZ38</f>
        <v>-4.5842647682508009E-3</v>
      </c>
      <c r="DA39" s="730"/>
      <c r="DB39" s="730"/>
      <c r="DC39" s="661"/>
      <c r="DD39" s="730"/>
      <c r="DE39" s="661"/>
      <c r="DF39" s="730"/>
      <c r="DG39" s="661"/>
      <c r="DH39" s="730"/>
      <c r="DI39" s="661"/>
      <c r="DJ39" s="730"/>
      <c r="DK39" s="661"/>
      <c r="DL39" s="730"/>
      <c r="DM39" s="661"/>
      <c r="DN39" s="730"/>
      <c r="DO39" s="663">
        <f>(DO35/DO62)-DO38</f>
        <v>-3.9682539682536211E-3</v>
      </c>
      <c r="DP39" s="730"/>
      <c r="DQ39" s="663">
        <f>(DQ35/DQ62)-DQ38</f>
        <v>1.4603616133515018E-3</v>
      </c>
      <c r="DR39" s="730"/>
      <c r="DS39" s="663">
        <f>(DS35/DS62)-DS38</f>
        <v>3.4883720930256601E-4</v>
      </c>
      <c r="DT39" s="730"/>
      <c r="DU39" s="663">
        <f>(DU35/DU62)-DU38</f>
        <v>4.4776119402989423E-4</v>
      </c>
      <c r="DV39" s="730"/>
      <c r="DW39" s="663">
        <f>(DW35/DW62)-DW38</f>
        <v>-1.3522012578617293E-3</v>
      </c>
      <c r="DX39" s="730"/>
      <c r="DY39" s="663">
        <f>(DY35/DY62)-DY38</f>
        <v>3.6756187467084089E-3</v>
      </c>
      <c r="DZ39" s="730"/>
      <c r="EA39" s="663">
        <f>(EA35/EA62)-EA38</f>
        <v>3.2218592547472724E-3</v>
      </c>
      <c r="EB39" s="730"/>
      <c r="EC39" s="663">
        <f>(EC35/EC62)-EC38</f>
        <v>-3.273288251032902E-3</v>
      </c>
      <c r="ED39" s="730"/>
      <c r="EE39" s="663">
        <f>(EE35/EE62)-EE38</f>
        <v>0</v>
      </c>
      <c r="EF39" s="730"/>
      <c r="EG39" s="663">
        <f>(EG35/EG62)-EG38</f>
        <v>0</v>
      </c>
      <c r="EH39" s="730"/>
      <c r="EI39" s="663">
        <f>(EI35/EI62)-EI38</f>
        <v>0</v>
      </c>
      <c r="EJ39" s="730"/>
      <c r="EK39" s="663">
        <f>(EK35/EK62)-EK38</f>
        <v>0</v>
      </c>
      <c r="EL39" s="730"/>
      <c r="EM39" s="730"/>
    </row>
    <row r="40" spans="1:143" ht="12.75" customHeight="1" collapsed="1" x14ac:dyDescent="0.2">
      <c r="A40" s="700"/>
      <c r="B40" s="735"/>
      <c r="C40" s="507"/>
      <c r="D40" s="735"/>
      <c r="E40" s="507"/>
      <c r="F40" s="735"/>
      <c r="G40" s="507"/>
      <c r="H40" s="735"/>
      <c r="I40" s="507"/>
      <c r="J40" s="735"/>
      <c r="K40" s="507"/>
      <c r="L40" s="735"/>
      <c r="M40" s="507"/>
      <c r="N40" s="735"/>
      <c r="O40" s="507"/>
      <c r="P40" s="735"/>
      <c r="Q40" s="507"/>
      <c r="R40" s="735"/>
      <c r="S40" s="507"/>
      <c r="T40" s="735"/>
      <c r="U40" s="507"/>
      <c r="V40" s="735"/>
      <c r="W40" s="507"/>
      <c r="X40" s="735"/>
      <c r="Y40" s="507"/>
      <c r="Z40" s="735"/>
      <c r="AA40" s="507"/>
      <c r="AB40" s="735"/>
      <c r="AC40" s="507"/>
      <c r="AD40" s="735"/>
      <c r="AE40" s="507"/>
      <c r="AF40" s="735"/>
      <c r="AG40" s="507"/>
      <c r="AH40" s="735"/>
      <c r="AI40" s="507"/>
      <c r="AJ40" s="735"/>
      <c r="AK40" s="507"/>
      <c r="AL40" s="735"/>
      <c r="AM40" s="507"/>
      <c r="AN40" s="735"/>
      <c r="AO40" s="507"/>
      <c r="AP40" s="735"/>
      <c r="AQ40" s="507"/>
      <c r="AR40" s="735"/>
      <c r="AS40" s="507"/>
      <c r="AT40" s="735"/>
      <c r="AU40" s="507"/>
      <c r="AV40" s="735"/>
      <c r="AW40" s="507"/>
      <c r="AX40" s="735"/>
      <c r="AY40" s="507"/>
      <c r="AZ40" s="735"/>
      <c r="BA40" s="507"/>
      <c r="BB40" s="735"/>
      <c r="BC40" s="507"/>
      <c r="BD40" s="735"/>
      <c r="BE40" s="507"/>
      <c r="BF40" s="735"/>
      <c r="BG40" s="507"/>
      <c r="BH40" s="735"/>
      <c r="BI40" s="507"/>
      <c r="BJ40" s="735"/>
      <c r="BK40" s="507"/>
      <c r="BL40" s="735"/>
      <c r="BM40" s="507"/>
      <c r="BN40" s="735"/>
      <c r="BO40" s="507"/>
      <c r="BP40" s="735"/>
      <c r="BQ40" s="507"/>
      <c r="BR40" s="735"/>
      <c r="BS40" s="507"/>
      <c r="BT40" s="735"/>
      <c r="BU40" s="507"/>
      <c r="BV40" s="735"/>
      <c r="BW40" s="507"/>
      <c r="BX40" s="735"/>
      <c r="BY40" s="507"/>
      <c r="BZ40" s="735"/>
      <c r="CA40" s="507"/>
      <c r="CB40" s="735"/>
      <c r="CC40" s="507"/>
      <c r="CD40" s="735"/>
      <c r="CE40" s="507"/>
      <c r="CF40" s="735"/>
      <c r="CG40" s="507"/>
      <c r="CH40" s="735"/>
      <c r="CI40" s="507"/>
      <c r="CJ40" s="735"/>
      <c r="CK40" s="507"/>
      <c r="CL40" s="735"/>
      <c r="CM40" s="507"/>
      <c r="CN40" s="735"/>
      <c r="CO40" s="507"/>
      <c r="CP40" s="735"/>
      <c r="CQ40" s="507"/>
      <c r="CR40" s="735"/>
      <c r="CS40" s="507"/>
      <c r="CT40" s="735"/>
      <c r="CU40" s="507"/>
      <c r="CV40" s="735"/>
      <c r="CW40" s="507"/>
      <c r="CX40" s="735"/>
      <c r="CY40" s="507"/>
      <c r="CZ40" s="735"/>
      <c r="DA40" s="507"/>
      <c r="DB40" s="727"/>
      <c r="DC40" s="735"/>
      <c r="DD40" s="507"/>
      <c r="DE40" s="735"/>
      <c r="DF40" s="507"/>
      <c r="DG40" s="735"/>
      <c r="DH40" s="507"/>
      <c r="DI40" s="735"/>
      <c r="DJ40" s="507"/>
      <c r="DK40" s="735"/>
      <c r="DL40" s="507"/>
      <c r="DM40" s="735"/>
      <c r="DN40" s="507"/>
      <c r="DO40" s="735"/>
      <c r="DP40" s="507"/>
      <c r="DQ40" s="735"/>
      <c r="DR40" s="507"/>
      <c r="DS40" s="735"/>
      <c r="DT40" s="507"/>
      <c r="DU40" s="735"/>
      <c r="DV40" s="507"/>
      <c r="DW40" s="735"/>
      <c r="DX40" s="507"/>
      <c r="DY40" s="735"/>
      <c r="DZ40" s="507"/>
      <c r="EA40" s="735"/>
      <c r="EB40" s="507"/>
      <c r="EC40" s="735"/>
      <c r="ED40" s="507"/>
      <c r="EE40" s="735"/>
      <c r="EF40" s="507"/>
      <c r="EG40" s="735"/>
      <c r="EH40" s="507"/>
      <c r="EI40" s="735"/>
      <c r="EJ40" s="507"/>
      <c r="EK40" s="735"/>
      <c r="EL40" s="507"/>
      <c r="EM40" s="507"/>
    </row>
    <row r="41" spans="1:143" ht="12.75" customHeight="1" x14ac:dyDescent="0.2">
      <c r="A41" s="700" t="s">
        <v>192</v>
      </c>
      <c r="B41" s="121"/>
      <c r="C41" s="507"/>
      <c r="D41" s="121"/>
      <c r="E41" s="507"/>
      <c r="F41" s="121"/>
      <c r="G41" s="507"/>
      <c r="H41" s="121"/>
      <c r="I41" s="507"/>
      <c r="J41" s="121"/>
      <c r="K41" s="507"/>
      <c r="L41" s="121"/>
      <c r="M41" s="507"/>
      <c r="N41" s="121"/>
      <c r="O41" s="507"/>
      <c r="P41" s="121"/>
      <c r="Q41" s="507"/>
      <c r="R41" s="121"/>
      <c r="S41" s="507"/>
      <c r="T41" s="121"/>
      <c r="U41" s="507"/>
      <c r="V41" s="121"/>
      <c r="W41" s="507"/>
      <c r="X41" s="121"/>
      <c r="Y41" s="507"/>
      <c r="Z41" s="121"/>
      <c r="AA41" s="507"/>
      <c r="AB41" s="121"/>
      <c r="AC41" s="507"/>
      <c r="AD41" s="121"/>
      <c r="AE41" s="507"/>
      <c r="AF41" s="121"/>
      <c r="AG41" s="507"/>
      <c r="AH41" s="121"/>
      <c r="AI41" s="507"/>
      <c r="AJ41" s="121"/>
      <c r="AK41" s="507"/>
      <c r="AL41" s="121"/>
      <c r="AM41" s="507"/>
      <c r="AN41" s="121"/>
      <c r="AO41" s="507"/>
      <c r="AP41" s="121"/>
      <c r="AQ41" s="507"/>
      <c r="AR41" s="121"/>
      <c r="AS41" s="507"/>
      <c r="AT41" s="121"/>
      <c r="AU41" s="507"/>
      <c r="AV41" s="121"/>
      <c r="AW41" s="507"/>
      <c r="AX41" s="121"/>
      <c r="AY41" s="507"/>
      <c r="AZ41" s="121"/>
      <c r="BA41" s="507"/>
      <c r="BB41" s="121"/>
      <c r="BC41" s="507"/>
      <c r="BD41" s="121"/>
      <c r="BE41" s="507"/>
      <c r="BF41" s="121"/>
      <c r="BG41" s="507"/>
      <c r="BH41" s="121"/>
      <c r="BI41" s="507"/>
      <c r="BJ41" s="121"/>
      <c r="BK41" s="507"/>
      <c r="BL41" s="121"/>
      <c r="BM41" s="507"/>
      <c r="BN41" s="121"/>
      <c r="BO41" s="507"/>
      <c r="BP41" s="121"/>
      <c r="BQ41" s="507"/>
      <c r="BR41" s="121"/>
      <c r="BS41" s="507"/>
      <c r="BT41" s="121"/>
      <c r="BU41" s="507"/>
      <c r="BV41" s="121"/>
      <c r="BW41" s="507"/>
      <c r="BX41" s="121"/>
      <c r="BY41" s="507"/>
      <c r="BZ41" s="121"/>
      <c r="CA41" s="507"/>
      <c r="CB41" s="121"/>
      <c r="CC41" s="507"/>
      <c r="CD41" s="121"/>
      <c r="CE41" s="507"/>
      <c r="CF41" s="121"/>
      <c r="CG41" s="507"/>
      <c r="CH41" s="121"/>
      <c r="CI41" s="507"/>
      <c r="CJ41" s="121"/>
      <c r="CK41" s="507"/>
      <c r="CL41" s="121"/>
      <c r="CM41" s="507"/>
      <c r="CN41" s="121"/>
      <c r="CO41" s="507"/>
      <c r="CP41" s="121"/>
      <c r="CQ41" s="507"/>
      <c r="CR41" s="121"/>
      <c r="CS41" s="507"/>
      <c r="CT41" s="121"/>
      <c r="CU41" s="507"/>
      <c r="CV41" s="121"/>
      <c r="CW41" s="507"/>
      <c r="CX41" s="121"/>
      <c r="CY41" s="507"/>
      <c r="CZ41" s="121"/>
      <c r="DA41" s="507"/>
      <c r="DB41" s="507"/>
      <c r="DC41" s="121"/>
      <c r="DD41" s="507"/>
      <c r="DE41" s="121"/>
      <c r="DF41" s="507"/>
      <c r="DG41" s="121"/>
      <c r="DH41" s="507"/>
      <c r="DI41" s="121"/>
      <c r="DJ41" s="507"/>
      <c r="DK41" s="121"/>
      <c r="DL41" s="507"/>
      <c r="DM41" s="121"/>
      <c r="DN41" s="507"/>
      <c r="DO41" s="121"/>
      <c r="DP41" s="507"/>
      <c r="DQ41" s="121"/>
      <c r="DR41" s="507"/>
      <c r="DS41" s="121"/>
      <c r="DT41" s="507"/>
      <c r="DU41" s="121"/>
      <c r="DV41" s="507"/>
      <c r="DW41" s="121"/>
      <c r="DX41" s="507"/>
      <c r="DY41" s="121"/>
      <c r="DZ41" s="507"/>
      <c r="EA41" s="121"/>
      <c r="EB41" s="507"/>
      <c r="EC41" s="121"/>
      <c r="ED41" s="507"/>
      <c r="EE41" s="121"/>
      <c r="EF41" s="507"/>
      <c r="EG41" s="121"/>
      <c r="EH41" s="507"/>
      <c r="EI41" s="121"/>
      <c r="EJ41" s="507"/>
      <c r="EK41" s="121"/>
      <c r="EL41" s="507"/>
      <c r="EM41" s="507"/>
    </row>
    <row r="42" spans="1:143" ht="12.75" customHeight="1" x14ac:dyDescent="0.2">
      <c r="A42" s="744" t="str">
        <f>INPUT!B666</f>
        <v>Operating ROE (Excl FAS 115)</v>
      </c>
      <c r="B42" s="156">
        <f>INPUT!AY666</f>
        <v>16.514506866834399</v>
      </c>
      <c r="C42" s="507">
        <f>INPUT!AZ666</f>
        <v>5.2532363614086197</v>
      </c>
      <c r="D42" s="156">
        <f>INPUT!BA666</f>
        <v>14.713093315745185</v>
      </c>
      <c r="E42" s="507">
        <f>INPUT!BB666</f>
        <v>-16.542667497005414</v>
      </c>
      <c r="F42" s="156">
        <f>INPUT!BC666</f>
        <v>12.406068487212831</v>
      </c>
      <c r="G42" s="507">
        <f>INPUT!BD666</f>
        <v>-30.543226187900885</v>
      </c>
      <c r="H42" s="156">
        <f>INPUT!BE666</f>
        <v>12.378115261454459</v>
      </c>
      <c r="I42" s="507">
        <f>INPUT!BF666</f>
        <v>-30.168645911897084</v>
      </c>
      <c r="J42" s="156">
        <f>INPUT!BG666</f>
        <v>11.801010074669033</v>
      </c>
      <c r="K42" s="507">
        <f>INPUT!BH666</f>
        <v>-28.541553375906993</v>
      </c>
      <c r="L42" s="156">
        <f>INPUT!BI666</f>
        <v>12.025794059134252</v>
      </c>
      <c r="M42" s="507">
        <f>INPUT!BJ666</f>
        <v>-18.264678942361666</v>
      </c>
      <c r="N42" s="156">
        <f>INPUT!BK666</f>
        <v>11.271523122649471</v>
      </c>
      <c r="O42" s="507">
        <f>INPUT!BL666</f>
        <v>-9.1450838412891038</v>
      </c>
      <c r="P42" s="156">
        <f>INPUT!BM666</f>
        <v>10.308397155361043</v>
      </c>
      <c r="Q42" s="507">
        <f>INPUT!BN666</f>
        <v>-16.720785534600203</v>
      </c>
      <c r="R42" s="156">
        <f>INPUT!BO666</f>
        <v>10.399125015190712</v>
      </c>
      <c r="S42" s="507">
        <f>INPUT!BP666</f>
        <v>-11.879364991709307</v>
      </c>
      <c r="T42" s="156">
        <f>INPUT!BQ666</f>
        <v>10.869067535440701</v>
      </c>
      <c r="U42" s="507">
        <f>INPUT!BR666</f>
        <v>-9.6187122281123258</v>
      </c>
      <c r="V42" s="156">
        <f>INPUT!BS666</f>
        <v>10.541023328204316</v>
      </c>
      <c r="W42" s="507">
        <f>INPUT!BT666</f>
        <v>-6.4809324036895983</v>
      </c>
      <c r="X42" s="156">
        <f>INPUT!BU666</f>
        <v>-4.6028419199029509</v>
      </c>
      <c r="Y42" s="507" t="str">
        <f>INPUT!BV666</f>
        <v>NM</v>
      </c>
      <c r="Z42" s="156">
        <f>INPUT!BW666</f>
        <v>6.1901937993690277</v>
      </c>
      <c r="AA42" s="507">
        <f>INPUT!BX666</f>
        <v>-40.473897656518318</v>
      </c>
      <c r="AB42" s="156">
        <f>INPUT!BY666</f>
        <v>7.86713535514538</v>
      </c>
      <c r="AC42" s="507">
        <f>INPUT!BZ666</f>
        <v>-27.619040644534955</v>
      </c>
      <c r="AD42" s="156">
        <f>INPUT!CA666</f>
        <v>10.153494628609332</v>
      </c>
      <c r="AE42" s="507">
        <f>INPUT!CB666</f>
        <v>-3.6763859402348942</v>
      </c>
      <c r="AF42" s="156">
        <f>INPUT!CC666</f>
        <v>10.838359111816162</v>
      </c>
      <c r="AG42" s="507" t="str">
        <f>INPUT!CD666</f>
        <v>NM</v>
      </c>
      <c r="AH42" s="156">
        <f>INPUT!CE666</f>
        <v>9.9859448368742427</v>
      </c>
      <c r="AI42" s="507">
        <f>INPUT!CF666</f>
        <v>61.318775478275334</v>
      </c>
      <c r="AJ42" s="156">
        <f>INPUT!CG666</f>
        <v>10.193338563833287</v>
      </c>
      <c r="AK42" s="507">
        <f>INPUT!CH666</f>
        <v>29.568618101460387</v>
      </c>
      <c r="AL42" s="156">
        <f>INPUT!CI666</f>
        <v>6.9710866045620605</v>
      </c>
      <c r="AM42" s="507">
        <f>INPUT!CJ666</f>
        <v>-31.342982297742626</v>
      </c>
      <c r="AN42" s="156">
        <f>INPUT!CK666</f>
        <v>8.8705940308850906</v>
      </c>
      <c r="AO42" s="507">
        <f>INPUT!CL666</f>
        <v>-18.155562669867443</v>
      </c>
      <c r="AP42" s="156">
        <f>INPUT!CM666</f>
        <v>11.079274116523406</v>
      </c>
      <c r="AQ42" s="507">
        <f>INPUT!CN666</f>
        <v>10.948681346725643</v>
      </c>
      <c r="AR42" s="156">
        <f>INPUT!CO666</f>
        <v>11.54343220809443</v>
      </c>
      <c r="AS42" s="507">
        <f>INPUT!CP666</f>
        <v>13.244862179417582</v>
      </c>
      <c r="AT42" s="156">
        <f>INPUT!CQ666</f>
        <v>11.402842765074597</v>
      </c>
      <c r="AU42" s="507">
        <f>INPUT!CR666</f>
        <v>63.573391235912638</v>
      </c>
      <c r="AV42" s="156">
        <f>INPUT!CS666</f>
        <v>10.191317144959529</v>
      </c>
      <c r="AW42" s="507">
        <f>INPUT!CT666</f>
        <v>14.888778693693183</v>
      </c>
      <c r="AX42" s="156">
        <f>INPUT!CU666</f>
        <v>11.205124527941106</v>
      </c>
      <c r="AY42" s="507">
        <f>INPUT!CV666</f>
        <v>1.1359084547787113</v>
      </c>
      <c r="AZ42" s="156">
        <f>INPUT!CW666</f>
        <v>11.910388505529824</v>
      </c>
      <c r="BA42" s="507">
        <f>INPUT!CX666</f>
        <v>3.178918460473823</v>
      </c>
      <c r="BB42" s="156">
        <f>INPUT!CY666</f>
        <v>13.388811835413778</v>
      </c>
      <c r="BC42" s="507">
        <f>INPUT!CZ666</f>
        <v>17.416438262412438</v>
      </c>
      <c r="BD42" s="156">
        <f>INPUT!DA666</f>
        <v>11.203975604246668</v>
      </c>
      <c r="BE42" s="507">
        <f>INPUT!DB666</f>
        <v>9.9364826438355536</v>
      </c>
      <c r="BF42" s="156">
        <f>INPUT!DC666</f>
        <v>10.157711841753542</v>
      </c>
      <c r="BG42" s="507">
        <f>INPUT!DD666</f>
        <v>-9.3476220061252668</v>
      </c>
      <c r="BH42" s="156">
        <f>INPUT!DE666</f>
        <v>12.367319973574102</v>
      </c>
      <c r="BI42" s="507">
        <f>INPUT!DF666</f>
        <v>3.8364111114606469</v>
      </c>
      <c r="BJ42" s="156">
        <f>INPUT!DG666</f>
        <v>12.730347309543424</v>
      </c>
      <c r="BK42" s="507">
        <f>INPUT!DH666</f>
        <v>-4.9180206127678705</v>
      </c>
      <c r="BL42" s="156">
        <f>INPUT!DI666</f>
        <v>12.988227293977644</v>
      </c>
      <c r="BM42" s="507">
        <f>INPUT!DJ666</f>
        <v>15.925165787175466</v>
      </c>
      <c r="BN42" s="156">
        <f>INPUT!DK666</f>
        <v>12.172386406387158</v>
      </c>
      <c r="BO42" s="507">
        <f>INPUT!DL666</f>
        <v>19.833940911300928</v>
      </c>
      <c r="BP42" s="156">
        <f>INPUT!DM666</f>
        <v>13.012147416100472</v>
      </c>
      <c r="BQ42" s="507">
        <f>INPUT!DN666</f>
        <v>5.2139626362397662</v>
      </c>
      <c r="BR42" s="156">
        <f>INPUT!DO666</f>
        <v>13.429101767411829</v>
      </c>
      <c r="BS42" s="507">
        <f>INPUT!DP666</f>
        <v>5.4888876232353612</v>
      </c>
      <c r="BT42" s="156">
        <f>INPUT!DQ666</f>
        <v>13.982680543417811</v>
      </c>
      <c r="BU42" s="507">
        <f>INPUT!DR666</f>
        <v>7.6565741184809077</v>
      </c>
      <c r="BV42" s="156">
        <f>INPUT!DS666</f>
        <v>11.168398508764971</v>
      </c>
      <c r="BW42" s="507">
        <f>INPUT!DT666</f>
        <v>-8.2480777729449066</v>
      </c>
      <c r="BX42" s="156">
        <f>INPUT!DU666</f>
        <v>11.71964461994077</v>
      </c>
      <c r="BY42" s="507">
        <f>INPUT!DV666</f>
        <v>-9.9330475964361948</v>
      </c>
      <c r="BZ42" s="156">
        <f>INPUT!DW666</f>
        <v>8.8494880947711128</v>
      </c>
      <c r="CA42" s="507">
        <f>INPUT!DX666</f>
        <v>17.705080282596544</v>
      </c>
      <c r="CB42" s="156">
        <f>INPUT!DY666</f>
        <v>11.979615836926696</v>
      </c>
      <c r="CC42" s="507">
        <f>INPUT!DZ666</f>
        <v>-14.325326966252083</v>
      </c>
      <c r="CD42" s="156">
        <f>INPUT!EA666</f>
        <v>9.6317502647162634</v>
      </c>
      <c r="CE42" s="507">
        <f>INPUT!EB666</f>
        <v>-13.758895179490105</v>
      </c>
      <c r="CF42" s="156">
        <f>INPUT!EC666</f>
        <v>11.724029545811725</v>
      </c>
      <c r="CG42" s="507">
        <f>INPUT!ED666</f>
        <v>3.7415177790411924E-2</v>
      </c>
      <c r="CH42" s="156">
        <f>INPUT!EE666</f>
        <v>13.743134276031318</v>
      </c>
      <c r="CI42" s="507">
        <f>INPUT!EF666</f>
        <v>55.298635682121656</v>
      </c>
      <c r="CJ42" s="156">
        <f>INPUT!EG666</f>
        <v>12.653724185938589</v>
      </c>
      <c r="CK42" s="507">
        <f>INPUT!EH666</f>
        <v>5.6271282667844869</v>
      </c>
      <c r="CL42" s="156">
        <f>INPUT!EI666</f>
        <v>13.580152085413626</v>
      </c>
      <c r="CM42" s="507">
        <f>INPUT!EJ666</f>
        <v>40.993606688095305</v>
      </c>
      <c r="CN42" s="156">
        <f>INPUT!EK666</f>
        <v>12.691681496346218</v>
      </c>
      <c r="CO42" s="507">
        <f>INPUT!EL666</f>
        <v>8.2535782322399331</v>
      </c>
      <c r="CP42" s="156">
        <f>INPUT!EM666</f>
        <v>13.582647718773371</v>
      </c>
      <c r="CQ42" s="507">
        <f>INPUT!EN666</f>
        <v>-1.1677580531090581</v>
      </c>
      <c r="CR42" s="156">
        <f>INPUT!EO666</f>
        <v>12.778160961266199</v>
      </c>
      <c r="CS42" s="507">
        <f>INPUT!EP666</f>
        <v>0.98340040844171472</v>
      </c>
      <c r="CT42" s="156">
        <f>INPUT!EQ666</f>
        <v>12.165406872833239</v>
      </c>
      <c r="CU42" s="507">
        <f>INPUT!ER666</f>
        <v>-10.417742037660672</v>
      </c>
      <c r="CV42" s="156">
        <f>INPUT!ES666</f>
        <v>12.665100846100128</v>
      </c>
      <c r="CW42" s="507">
        <f>INPUT!ET666</f>
        <v>-0.20943363772359946</v>
      </c>
      <c r="CX42" s="156">
        <f>INPUT!EU666</f>
        <v>12.93384289423404</v>
      </c>
      <c r="CY42" s="507">
        <f>INPUT!EV666</f>
        <v>-4.77671833925708</v>
      </c>
      <c r="CZ42" s="156">
        <f>INPUT!EW666</f>
        <v>13.086345646036476</v>
      </c>
      <c r="DA42" s="507">
        <f>INPUT!EX666</f>
        <v>2.4118078157292056</v>
      </c>
      <c r="DB42" s="507"/>
      <c r="DC42" s="156">
        <f>INPUT!FP666</f>
        <v>17.112735310895609</v>
      </c>
      <c r="DD42" s="507">
        <f>INPUT!FQ666</f>
        <v>33.38483978715918</v>
      </c>
      <c r="DE42" s="156">
        <f>INPUT!FR666</f>
        <v>14.633741958562105</v>
      </c>
      <c r="DF42" s="507">
        <f>INPUT!FS666</f>
        <v>-14.486248441855686</v>
      </c>
      <c r="DG42" s="156">
        <f>INPUT!FT666</f>
        <v>11.332060709302421</v>
      </c>
      <c r="DH42" s="507">
        <f>INPUT!FU666</f>
        <v>-22.562111991648802</v>
      </c>
      <c r="DI42" s="156">
        <f>INPUT!FV666</f>
        <v>6.9514159382849954</v>
      </c>
      <c r="DJ42" s="507">
        <f>INPUT!FW666</f>
        <v>-38.657088797815753</v>
      </c>
      <c r="DK42" s="156">
        <f>INPUT!FX666</f>
        <v>8.5990553995404682</v>
      </c>
      <c r="DL42" s="507">
        <f>INPUT!FY666</f>
        <v>23.702213705571573</v>
      </c>
      <c r="DM42" s="156">
        <f>INPUT!FZ666</f>
        <v>8.9442802615820671</v>
      </c>
      <c r="DN42" s="507">
        <f>INPUT!GA666</f>
        <v>4.0146835437302464</v>
      </c>
      <c r="DO42" s="156">
        <f>INPUT!GB666</f>
        <v>11.092278468060877</v>
      </c>
      <c r="DP42" s="507">
        <f>INPUT!GC666</f>
        <v>24.015327602210789</v>
      </c>
      <c r="DQ42" s="156">
        <f>INPUT!GD666</f>
        <v>11.859538589826739</v>
      </c>
      <c r="DR42" s="507">
        <f>INPUT!GE666</f>
        <v>6.9170650914968546</v>
      </c>
      <c r="DS42" s="156">
        <f>INPUT!GF666</f>
        <v>12.014747343309477</v>
      </c>
      <c r="DT42" s="507">
        <f>INPUT!GG666</f>
        <v>1.3087250596399924</v>
      </c>
      <c r="DU42" s="156">
        <f>INPUT!GH666</f>
        <v>13.165403114045816</v>
      </c>
      <c r="DV42" s="507">
        <f>INPUT!GI666</f>
        <v>9.5770284456051726</v>
      </c>
      <c r="DW42" s="156">
        <f>INPUT!GJ666</f>
        <v>10.914384639597104</v>
      </c>
      <c r="DX42" s="507">
        <f>INPUT!GK666</f>
        <v>-17.097983669388451</v>
      </c>
      <c r="DY42" s="156">
        <f>INPUT!GL666</f>
        <v>11.914032082230182</v>
      </c>
      <c r="DZ42" s="507">
        <f>INPUT!GM666</f>
        <v>9.1589904116663021</v>
      </c>
      <c r="EA42" s="156">
        <f>INPUT!GN666</f>
        <v>12.99807435935417</v>
      </c>
      <c r="EB42" s="507">
        <f>INPUT!GO666</f>
        <v>9.0988698842001661</v>
      </c>
      <c r="EC42" s="156">
        <f>INPUT!GP666</f>
        <v>12.743873297708742</v>
      </c>
      <c r="ED42" s="507">
        <f>INPUT!GQ666</f>
        <v>-1.9556824697074537</v>
      </c>
      <c r="EE42" s="156">
        <f>INPUT!GR666</f>
        <v>12.74305089020776</v>
      </c>
      <c r="EF42" s="507">
        <f>INPUT!GS666</f>
        <v>-6.4533559128387985E-3</v>
      </c>
      <c r="EG42" s="156">
        <f>INPUT!GT666</f>
        <v>13.0822296352371</v>
      </c>
      <c r="EH42" s="507">
        <f>INPUT!GU666</f>
        <v>2.6616761398165378</v>
      </c>
      <c r="EI42" s="156">
        <f>INPUT!GV666</f>
        <v>12.879724468966602</v>
      </c>
      <c r="EJ42" s="507">
        <f>INPUT!GW666</f>
        <v>-1.5479407709298121</v>
      </c>
      <c r="EK42" s="156">
        <f>INPUT!GX666</f>
        <v>12.726367108632225</v>
      </c>
      <c r="EL42" s="507">
        <f>INPUT!GY666</f>
        <v>-1.1906882069091518</v>
      </c>
      <c r="EM42" s="507">
        <f>INPUT!GZ666</f>
        <v>-0.42161328026210088</v>
      </c>
    </row>
    <row r="43" spans="1:143" ht="12.75" customHeight="1" x14ac:dyDescent="0.2">
      <c r="A43" s="744" t="str">
        <f>INPUT!B667</f>
        <v>Op ROE incl TARP (Ex-FAS115)</v>
      </c>
      <c r="B43" s="156">
        <f>INPUT!AY667</f>
        <v>0</v>
      </c>
      <c r="C43" s="507">
        <f>INPUT!AZ667</f>
        <v>0</v>
      </c>
      <c r="D43" s="156">
        <f>INPUT!BA667</f>
        <v>0</v>
      </c>
      <c r="E43" s="507">
        <f>INPUT!BB667</f>
        <v>0</v>
      </c>
      <c r="F43" s="156">
        <f>INPUT!BC667</f>
        <v>0</v>
      </c>
      <c r="G43" s="507">
        <f>INPUT!BD667</f>
        <v>0</v>
      </c>
      <c r="H43" s="156">
        <f>INPUT!BE667</f>
        <v>0</v>
      </c>
      <c r="I43" s="507">
        <f>INPUT!BF667</f>
        <v>0</v>
      </c>
      <c r="J43" s="156">
        <f>INPUT!BG667</f>
        <v>11.801010074669033</v>
      </c>
      <c r="K43" s="507">
        <f>INPUT!BH667</f>
        <v>0</v>
      </c>
      <c r="L43" s="156">
        <f>INPUT!BI667</f>
        <v>12.025794059134252</v>
      </c>
      <c r="M43" s="507">
        <f>INPUT!BJ667</f>
        <v>0</v>
      </c>
      <c r="N43" s="156">
        <f>INPUT!BK667</f>
        <v>11.271523122649471</v>
      </c>
      <c r="O43" s="507">
        <f>INPUT!BL667</f>
        <v>0</v>
      </c>
      <c r="P43" s="156">
        <f>INPUT!BM667</f>
        <v>10.308397155361043</v>
      </c>
      <c r="Q43" s="507">
        <f>INPUT!BN667</f>
        <v>0</v>
      </c>
      <c r="R43" s="156">
        <f>INPUT!BO667</f>
        <v>10.399125015190712</v>
      </c>
      <c r="S43" s="507">
        <f>INPUT!BP667</f>
        <v>0</v>
      </c>
      <c r="T43" s="156">
        <f>INPUT!BQ667</f>
        <v>10.869067535440701</v>
      </c>
      <c r="U43" s="507">
        <f>INPUT!BR667</f>
        <v>0</v>
      </c>
      <c r="V43" s="156">
        <f>INPUT!BS667</f>
        <v>10.541023328204316</v>
      </c>
      <c r="W43" s="507">
        <f>INPUT!BT667</f>
        <v>0</v>
      </c>
      <c r="X43" s="156">
        <f>INPUT!BU667</f>
        <v>-4.6028419199029509</v>
      </c>
      <c r="Y43" s="507">
        <f>INPUT!BV667</f>
        <v>0</v>
      </c>
      <c r="Z43" s="156">
        <f>INPUT!BW667</f>
        <v>6.1901937993690277</v>
      </c>
      <c r="AA43" s="507">
        <f>INPUT!BX667</f>
        <v>-40.473897656518318</v>
      </c>
      <c r="AB43" s="156">
        <f>INPUT!BY667</f>
        <v>7.86713535514538</v>
      </c>
      <c r="AC43" s="507">
        <f>INPUT!BZ667</f>
        <v>-27.619040644534955</v>
      </c>
      <c r="AD43" s="156">
        <f>INPUT!CA667</f>
        <v>9.5527833569809601</v>
      </c>
      <c r="AE43" s="507">
        <f>INPUT!CB667</f>
        <v>-9.375180572640895</v>
      </c>
      <c r="AF43" s="156">
        <f>INPUT!CC667</f>
        <v>10.174637255036034</v>
      </c>
      <c r="AG43" s="507" t="str">
        <f>INPUT!CD667</f>
        <v>NM</v>
      </c>
      <c r="AH43" s="156">
        <f>INPUT!CE667</f>
        <v>9.3206972445553227</v>
      </c>
      <c r="AI43" s="507">
        <f>INPUT!CF667</f>
        <v>50.571977980808768</v>
      </c>
      <c r="AJ43" s="156">
        <f>INPUT!CG667</f>
        <v>9.5516526480501778</v>
      </c>
      <c r="AK43" s="507">
        <f>INPUT!CH667</f>
        <v>21.412079707044374</v>
      </c>
      <c r="AL43" s="156">
        <f>INPUT!CI667</f>
        <v>6.9371805413102994</v>
      </c>
      <c r="AM43" s="507">
        <f>INPUT!CJ667</f>
        <v>-27.380531075890424</v>
      </c>
      <c r="AN43" s="156">
        <f>INPUT!CK667</f>
        <v>8.8705940308850906</v>
      </c>
      <c r="AO43" s="507">
        <f>INPUT!CL667</f>
        <v>-12.816606542955567</v>
      </c>
      <c r="AP43" s="156">
        <f>INPUT!CM667</f>
        <v>11.079274116523406</v>
      </c>
      <c r="AQ43" s="507">
        <f>INPUT!CN667</f>
        <v>18.867439053396517</v>
      </c>
      <c r="AR43" s="156">
        <f>INPUT!CO667</f>
        <v>11.54343220809443</v>
      </c>
      <c r="AS43" s="507">
        <f>INPUT!CP667</f>
        <v>20.852721863277178</v>
      </c>
      <c r="AT43" s="156">
        <f>INPUT!CQ667</f>
        <v>11.402842765074597</v>
      </c>
      <c r="AU43" s="507">
        <f>INPUT!CR667</f>
        <v>64.372870176459628</v>
      </c>
      <c r="AV43" s="156">
        <f>INPUT!CS667</f>
        <v>10.191317144959529</v>
      </c>
      <c r="AW43" s="507">
        <f>INPUT!CT667</f>
        <v>14.888778693693183</v>
      </c>
      <c r="AX43" s="156">
        <f>INPUT!CU667</f>
        <v>11.205124527941106</v>
      </c>
      <c r="AY43" s="507">
        <f>INPUT!CV667</f>
        <v>1.1359084547787113</v>
      </c>
      <c r="AZ43" s="156">
        <f>INPUT!CW667</f>
        <v>11.910388505529824</v>
      </c>
      <c r="BA43" s="507">
        <f>INPUT!CX667</f>
        <v>3.178918460473823</v>
      </c>
      <c r="BB43" s="156">
        <f>INPUT!CY667</f>
        <v>13.388811835413778</v>
      </c>
      <c r="BC43" s="507">
        <f>INPUT!CZ667</f>
        <v>17.416438262412438</v>
      </c>
      <c r="BD43" s="156">
        <f>INPUT!DA667</f>
        <v>11.203975604246668</v>
      </c>
      <c r="BE43" s="507">
        <f>INPUT!DB667</f>
        <v>9.9364826438355536</v>
      </c>
      <c r="BF43" s="156">
        <f>INPUT!DC667</f>
        <v>10.157711841753542</v>
      </c>
      <c r="BG43" s="507">
        <f>INPUT!DD667</f>
        <v>-9.3476220061252668</v>
      </c>
      <c r="BH43" s="156">
        <f>INPUT!DE667</f>
        <v>12.367319973574102</v>
      </c>
      <c r="BI43" s="507">
        <f>INPUT!DF667</f>
        <v>3.8364111114606469</v>
      </c>
      <c r="BJ43" s="156">
        <f>INPUT!DG667</f>
        <v>12.730347309543424</v>
      </c>
      <c r="BK43" s="507">
        <f>INPUT!DH667</f>
        <v>-4.9180206127678705</v>
      </c>
      <c r="BL43" s="156">
        <f>INPUT!DI667</f>
        <v>12.988227293977644</v>
      </c>
      <c r="BM43" s="507">
        <f>INPUT!DJ667</f>
        <v>15.925165787175466</v>
      </c>
      <c r="BN43" s="156">
        <f>INPUT!DK667</f>
        <v>12.172386406387158</v>
      </c>
      <c r="BO43" s="507">
        <f>INPUT!DL667</f>
        <v>19.833940911300928</v>
      </c>
      <c r="BP43" s="156">
        <f>INPUT!DM667</f>
        <v>13.012147416100472</v>
      </c>
      <c r="BQ43" s="507">
        <f>INPUT!DN667</f>
        <v>5.2139626362397662</v>
      </c>
      <c r="BR43" s="156">
        <f>INPUT!DO667</f>
        <v>13.429101767411829</v>
      </c>
      <c r="BS43" s="507">
        <f>INPUT!DP667</f>
        <v>5.4888876232353612</v>
      </c>
      <c r="BT43" s="156">
        <f>INPUT!DQ667</f>
        <v>13.982680543417811</v>
      </c>
      <c r="BU43" s="507">
        <f>INPUT!DR667</f>
        <v>7.6565741184809077</v>
      </c>
      <c r="BV43" s="156">
        <f>INPUT!DS667</f>
        <v>11.168398508764971</v>
      </c>
      <c r="BW43" s="507">
        <f>INPUT!DT667</f>
        <v>-8.2480777729449066</v>
      </c>
      <c r="BX43" s="156">
        <f>INPUT!DU667</f>
        <v>11.71964461994077</v>
      </c>
      <c r="BY43" s="507">
        <f>INPUT!DV667</f>
        <v>-9.9330475964361948</v>
      </c>
      <c r="BZ43" s="156">
        <f>INPUT!DW667</f>
        <v>8.8494880947711128</v>
      </c>
      <c r="CA43" s="507">
        <f>INPUT!DX667</f>
        <v>17.705080282596544</v>
      </c>
      <c r="CB43" s="156">
        <f>INPUT!DY667</f>
        <v>11.979615836926696</v>
      </c>
      <c r="CC43" s="507">
        <f>INPUT!DZ667</f>
        <v>-14.325326966252083</v>
      </c>
      <c r="CD43" s="156">
        <f>INPUT!EA667</f>
        <v>9.6317502647162634</v>
      </c>
      <c r="CE43" s="507">
        <f>INPUT!EB667</f>
        <v>-13.758895179490105</v>
      </c>
      <c r="CF43" s="156">
        <f>INPUT!EC667</f>
        <v>11.724029545811725</v>
      </c>
      <c r="CG43" s="507">
        <f>INPUT!ED667</f>
        <v>3.7415177790411924E-2</v>
      </c>
      <c r="CH43" s="156">
        <f>INPUT!EE667</f>
        <v>13.743134276031318</v>
      </c>
      <c r="CI43" s="507">
        <f>INPUT!EF667</f>
        <v>55.298635682121656</v>
      </c>
      <c r="CJ43" s="156">
        <f>INPUT!EG667</f>
        <v>12.653724185938589</v>
      </c>
      <c r="CK43" s="507">
        <f>INPUT!EH667</f>
        <v>5.6271282667844869</v>
      </c>
      <c r="CL43" s="156">
        <f>INPUT!EI667</f>
        <v>13.580152085413626</v>
      </c>
      <c r="CM43" s="507">
        <f>INPUT!EJ667</f>
        <v>40.993606688095305</v>
      </c>
      <c r="CN43" s="156">
        <f>INPUT!EK667</f>
        <v>12.691681496346218</v>
      </c>
      <c r="CO43" s="507">
        <f>INPUT!EL667</f>
        <v>8.2535782322399331</v>
      </c>
      <c r="CP43" s="156">
        <f>INPUT!EM667</f>
        <v>13.582647718773371</v>
      </c>
      <c r="CQ43" s="507">
        <f>INPUT!EN667</f>
        <v>-1.1677580531090581</v>
      </c>
      <c r="CR43" s="156">
        <f>INPUT!EO667</f>
        <v>12.778160961266199</v>
      </c>
      <c r="CS43" s="507">
        <f>INPUT!EP667</f>
        <v>0.98340040844171472</v>
      </c>
      <c r="CT43" s="156">
        <f>INPUT!EQ667</f>
        <v>12.165406872833239</v>
      </c>
      <c r="CU43" s="507">
        <f>INPUT!ER667</f>
        <v>-10.417742037660672</v>
      </c>
      <c r="CV43" s="156">
        <f>INPUT!ES667</f>
        <v>12.665100846100128</v>
      </c>
      <c r="CW43" s="507">
        <f>INPUT!ET667</f>
        <v>-0.20943363772359946</v>
      </c>
      <c r="CX43" s="156">
        <f>INPUT!EU667</f>
        <v>12.93384289423404</v>
      </c>
      <c r="CY43" s="507">
        <f>INPUT!EV667</f>
        <v>-4.77671833925708</v>
      </c>
      <c r="CZ43" s="156">
        <f>INPUT!EW667</f>
        <v>13.086345646036476</v>
      </c>
      <c r="DA43" s="507">
        <f>INPUT!EX667</f>
        <v>2.4118078157292056</v>
      </c>
      <c r="DB43" s="507"/>
      <c r="DC43" s="156">
        <f>INPUT!FP667</f>
        <v>0</v>
      </c>
      <c r="DD43" s="507">
        <f>INPUT!FQ667</f>
        <v>0</v>
      </c>
      <c r="DE43" s="156">
        <f>INPUT!FR667</f>
        <v>0</v>
      </c>
      <c r="DF43" s="507" t="str">
        <f>INPUT!FS667</f>
        <v>NA</v>
      </c>
      <c r="DG43" s="156">
        <f>INPUT!FT667</f>
        <v>0</v>
      </c>
      <c r="DH43" s="507" t="str">
        <f>INPUT!FU667</f>
        <v>NA</v>
      </c>
      <c r="DI43" s="156">
        <f>INPUT!FV667</f>
        <v>6.9514159382849954</v>
      </c>
      <c r="DJ43" s="507" t="str">
        <f>INPUT!FW667</f>
        <v>NA</v>
      </c>
      <c r="DK43" s="156">
        <f>INPUT!FX667</f>
        <v>8.2844925051971288</v>
      </c>
      <c r="DL43" s="507">
        <f>INPUT!FY667</f>
        <v>19.177050815938102</v>
      </c>
      <c r="DM43" s="156">
        <f>INPUT!FZ667</f>
        <v>8.6194566743923513</v>
      </c>
      <c r="DN43" s="507">
        <f>INPUT!GA667</f>
        <v>4.0432672126275548</v>
      </c>
      <c r="DO43" s="156">
        <f>INPUT!GB667</f>
        <v>11.092278468060877</v>
      </c>
      <c r="DP43" s="507">
        <f>INPUT!GC667</f>
        <v>28.688836049435263</v>
      </c>
      <c r="DQ43" s="156">
        <f>INPUT!GD667</f>
        <v>11.859538589826739</v>
      </c>
      <c r="DR43" s="507">
        <f>INPUT!GE667</f>
        <v>6.9170650914968546</v>
      </c>
      <c r="DS43" s="156">
        <f>INPUT!GF667</f>
        <v>12.014747343309477</v>
      </c>
      <c r="DT43" s="507">
        <f>INPUT!GG667</f>
        <v>1.3087250596399924</v>
      </c>
      <c r="DU43" s="156">
        <f>INPUT!GH667</f>
        <v>13.165403114045816</v>
      </c>
      <c r="DV43" s="507">
        <f>INPUT!GI667</f>
        <v>9.5770284456051726</v>
      </c>
      <c r="DW43" s="156">
        <f>INPUT!GJ667</f>
        <v>10.914384639597104</v>
      </c>
      <c r="DX43" s="507">
        <f>INPUT!GK667</f>
        <v>-17.097983669388451</v>
      </c>
      <c r="DY43" s="156">
        <f>INPUT!GL667</f>
        <v>11.914032082230182</v>
      </c>
      <c r="DZ43" s="507">
        <f>INPUT!GM667</f>
        <v>9.1589904116663021</v>
      </c>
      <c r="EA43" s="156">
        <f>INPUT!GN667</f>
        <v>12.99807435935417</v>
      </c>
      <c r="EB43" s="507">
        <f>INPUT!GO667</f>
        <v>9.0988698842001661</v>
      </c>
      <c r="EC43" s="156">
        <f>INPUT!GP667</f>
        <v>12.743873297708742</v>
      </c>
      <c r="ED43" s="507">
        <f>INPUT!GQ667</f>
        <v>-1.9556824697074537</v>
      </c>
      <c r="EE43" s="156">
        <f>INPUT!GR667</f>
        <v>12.74305089020776</v>
      </c>
      <c r="EF43" s="507">
        <f>INPUT!GS667</f>
        <v>-6.4533559128387985E-3</v>
      </c>
      <c r="EG43" s="156">
        <f>INPUT!GT667</f>
        <v>13.0822296352371</v>
      </c>
      <c r="EH43" s="507">
        <f>INPUT!GU667</f>
        <v>2.6616761398165378</v>
      </c>
      <c r="EI43" s="156">
        <f>INPUT!GV667</f>
        <v>12.879724468966602</v>
      </c>
      <c r="EJ43" s="507">
        <f>INPUT!GW667</f>
        <v>-1.5479407709298121</v>
      </c>
      <c r="EK43" s="156">
        <f>INPUT!GX667</f>
        <v>12.726367108632225</v>
      </c>
      <c r="EL43" s="507">
        <f>INPUT!GY667</f>
        <v>-1.1906882069091518</v>
      </c>
      <c r="EM43" s="507">
        <f>INPUT!GZ667</f>
        <v>-0.42161328026210088</v>
      </c>
    </row>
    <row r="44" spans="1:143" ht="12.75" customHeight="1" x14ac:dyDescent="0.2">
      <c r="A44" s="744" t="str">
        <f>INPUT!B668</f>
        <v>Reported ROE (Ex-FAS115)</v>
      </c>
      <c r="B44" s="156">
        <f>INPUT!AY668</f>
        <v>16.48775839442294</v>
      </c>
      <c r="C44" s="507">
        <f>INPUT!AZ668</f>
        <v>1.4400758261521096</v>
      </c>
      <c r="D44" s="156">
        <f>INPUT!BA668</f>
        <v>14.603925492960951</v>
      </c>
      <c r="E44" s="507">
        <f>INPUT!BB668</f>
        <v>-15.122273687530829</v>
      </c>
      <c r="F44" s="156">
        <f>INPUT!BC668</f>
        <v>12.163328998699612</v>
      </c>
      <c r="G44" s="507">
        <f>INPUT!BD668</f>
        <v>-32.602558898800538</v>
      </c>
      <c r="H44" s="156">
        <f>INPUT!BE668</f>
        <v>12.587587888361391</v>
      </c>
      <c r="I44" s="507">
        <f>INPUT!BF668</f>
        <v>-27.316572217571601</v>
      </c>
      <c r="J44" s="156">
        <f>INPUT!BG668</f>
        <v>12.555523682860894</v>
      </c>
      <c r="K44" s="507">
        <f>INPUT!BH668</f>
        <v>-23.849419778568215</v>
      </c>
      <c r="L44" s="156">
        <f>INPUT!BI668</f>
        <v>11.892021677985868</v>
      </c>
      <c r="M44" s="507">
        <f>INPUT!BJ668</f>
        <v>-18.569690842932694</v>
      </c>
      <c r="N44" s="156">
        <f>INPUT!BK668</f>
        <v>9.8367189454358908</v>
      </c>
      <c r="O44" s="507">
        <f>INPUT!BL668</f>
        <v>-19.128069737425179</v>
      </c>
      <c r="P44" s="156">
        <f>INPUT!BM668</f>
        <v>6.8209792122538238</v>
      </c>
      <c r="Q44" s="507">
        <f>INPUT!BN668</f>
        <v>-45.811864252717008</v>
      </c>
      <c r="R44" s="156">
        <f>INPUT!BO668</f>
        <v>10.049061648235277</v>
      </c>
      <c r="S44" s="507">
        <f>INPUT!BP668</f>
        <v>-19.963022633990967</v>
      </c>
      <c r="T44" s="156">
        <f>INPUT!BQ668</f>
        <v>4.3955269877608547</v>
      </c>
      <c r="U44" s="507" t="str">
        <f>INPUT!BR668</f>
        <v>NM</v>
      </c>
      <c r="V44" s="156">
        <f>INPUT!BS668</f>
        <v>5.2245273341469067</v>
      </c>
      <c r="W44" s="507">
        <f>INPUT!BT668</f>
        <v>-46.8875001600913</v>
      </c>
      <c r="X44" s="156">
        <f>INPUT!BU668</f>
        <v>-18.320831843264365</v>
      </c>
      <c r="Y44" s="507" t="str">
        <f>INPUT!BV668</f>
        <v>NM</v>
      </c>
      <c r="Z44" s="156">
        <f>INPUT!BW668</f>
        <v>-21.971202884455721</v>
      </c>
      <c r="AA44" s="507" t="str">
        <f>INPUT!BX668</f>
        <v>NM</v>
      </c>
      <c r="AB44" s="156">
        <f>INPUT!BY668</f>
        <v>-6.110027941043918</v>
      </c>
      <c r="AC44" s="507" t="str">
        <f>INPUT!BZ668</f>
        <v>NM</v>
      </c>
      <c r="AD44" s="156">
        <f>INPUT!CA668</f>
        <v>5.0492914923805445</v>
      </c>
      <c r="AE44" s="507">
        <f>INPUT!CB668</f>
        <v>-3.3540994344319119</v>
      </c>
      <c r="AF44" s="156">
        <f>INPUT!CC668</f>
        <v>3.0669784700664176</v>
      </c>
      <c r="AG44" s="507" t="str">
        <f>INPUT!CD668</f>
        <v>NM</v>
      </c>
      <c r="AH44" s="156">
        <f>INPUT!CE668</f>
        <v>8.9193794035368423</v>
      </c>
      <c r="AI44" s="507" t="str">
        <f>INPUT!CF668</f>
        <v>NM</v>
      </c>
      <c r="AJ44" s="156">
        <f>INPUT!CG668</f>
        <v>3.0366120386238817</v>
      </c>
      <c r="AK44" s="507" t="str">
        <f>INPUT!CH668</f>
        <v>NM</v>
      </c>
      <c r="AL44" s="156">
        <f>INPUT!CI668</f>
        <v>8.2730794334296824</v>
      </c>
      <c r="AM44" s="507">
        <f>INPUT!CJ668</f>
        <v>63.846342519814534</v>
      </c>
      <c r="AN44" s="156">
        <f>INPUT!CK668</f>
        <v>6.5360514000158592</v>
      </c>
      <c r="AO44" s="507" t="str">
        <f>INPUT!CL668</f>
        <v>NM</v>
      </c>
      <c r="AP44" s="156">
        <f>INPUT!CM668</f>
        <v>10.797043461799916</v>
      </c>
      <c r="AQ44" s="507">
        <f>INPUT!CN668</f>
        <v>21.051510125452388</v>
      </c>
      <c r="AR44" s="156">
        <f>INPUT!CO668</f>
        <v>10.758237219485974</v>
      </c>
      <c r="AS44" s="507" t="str">
        <f>INPUT!CP668</f>
        <v>NM</v>
      </c>
      <c r="AT44" s="156">
        <f>INPUT!CQ668</f>
        <v>5.1876048379977018</v>
      </c>
      <c r="AU44" s="507">
        <f>INPUT!CR668</f>
        <v>-37.295358037591917</v>
      </c>
      <c r="AV44" s="156">
        <f>INPUT!CS668</f>
        <v>-19.904341427520237</v>
      </c>
      <c r="AW44" s="507" t="str">
        <f>INPUT!CT668</f>
        <v>NM</v>
      </c>
      <c r="AX44" s="156">
        <f>INPUT!CU668</f>
        <v>9.2929872364835795</v>
      </c>
      <c r="AY44" s="507">
        <f>INPUT!CV668</f>
        <v>-13.930259988650661</v>
      </c>
      <c r="AZ44" s="156">
        <f>INPUT!CW668</f>
        <v>11.986010019850648</v>
      </c>
      <c r="BA44" s="507">
        <f>INPUT!CX668</f>
        <v>11.412397545397646</v>
      </c>
      <c r="BB44" s="156">
        <f>INPUT!CY668</f>
        <v>15.829865926953305</v>
      </c>
      <c r="BC44" s="507" t="str">
        <f>INPUT!CZ668</f>
        <v>NM</v>
      </c>
      <c r="BD44" s="156">
        <f>INPUT!DA668</f>
        <v>11.565394172125593</v>
      </c>
      <c r="BE44" s="507" t="str">
        <f>INPUT!DB668</f>
        <v>NM</v>
      </c>
      <c r="BF44" s="156">
        <f>INPUT!DC668</f>
        <v>8.5182215094003375</v>
      </c>
      <c r="BG44" s="507">
        <f>INPUT!DD668</f>
        <v>-8.3371009489991437</v>
      </c>
      <c r="BH44" s="156">
        <f>INPUT!DE668</f>
        <v>11.169345959039859</v>
      </c>
      <c r="BI44" s="507">
        <f>INPUT!DF668</f>
        <v>-6.8134772076635102</v>
      </c>
      <c r="BJ44" s="156">
        <f>INPUT!DG668</f>
        <v>11.68971946407666</v>
      </c>
      <c r="BK44" s="507">
        <f>INPUT!DH668</f>
        <v>-26.154021025707308</v>
      </c>
      <c r="BL44" s="156">
        <f>INPUT!DI668</f>
        <v>11.934208848654851</v>
      </c>
      <c r="BM44" s="507">
        <f>INPUT!DJ668</f>
        <v>3.1889503378809136</v>
      </c>
      <c r="BN44" s="156">
        <f>INPUT!DK668</f>
        <v>10.968524014546672</v>
      </c>
      <c r="BO44" s="507">
        <f>INPUT!DL668</f>
        <v>28.765423656126888</v>
      </c>
      <c r="BP44" s="156">
        <f>INPUT!DM668</f>
        <v>13.143915997529341</v>
      </c>
      <c r="BQ44" s="507">
        <f>INPUT!DN668</f>
        <v>17.678475048857912</v>
      </c>
      <c r="BR44" s="156">
        <f>INPUT!DO668</f>
        <v>14.236139133241869</v>
      </c>
      <c r="BS44" s="507">
        <f>INPUT!DP668</f>
        <v>21.783411287076127</v>
      </c>
      <c r="BT44" s="156">
        <f>INPUT!DQ668</f>
        <v>11.090807976483674</v>
      </c>
      <c r="BU44" s="507">
        <f>INPUT!DR668</f>
        <v>-7.0670865816651052</v>
      </c>
      <c r="BV44" s="156">
        <f>INPUT!DS668</f>
        <v>9.518521456333783</v>
      </c>
      <c r="BW44" s="507">
        <f>INPUT!DT668</f>
        <v>-13.219668902487403</v>
      </c>
      <c r="BX44" s="156">
        <f>INPUT!DU668</f>
        <v>10.866732477788746</v>
      </c>
      <c r="BY44" s="507">
        <f>INPUT!DV668</f>
        <v>-17.325000556673032</v>
      </c>
      <c r="BZ44" s="156">
        <f>INPUT!DW668</f>
        <v>6.903855960459734</v>
      </c>
      <c r="CA44" s="507">
        <f>INPUT!DX668</f>
        <v>13.812473979330637</v>
      </c>
      <c r="CB44" s="156">
        <f>INPUT!DY668</f>
        <v>8.8749509996079965</v>
      </c>
      <c r="CC44" s="507">
        <f>INPUT!DZ668</f>
        <v>-19.979220464136215</v>
      </c>
      <c r="CD44" s="156">
        <f>INPUT!EA668</f>
        <v>6.3061296521432215</v>
      </c>
      <c r="CE44" s="507">
        <f>INPUT!EB668</f>
        <v>-33.748852896192005</v>
      </c>
      <c r="CF44" s="156">
        <f>INPUT!EC668</f>
        <v>10.215307245010214</v>
      </c>
      <c r="CG44" s="507">
        <f>INPUT!ED668</f>
        <v>-5.9946744259143596</v>
      </c>
      <c r="CH44" s="156">
        <f>INPUT!EE668</f>
        <v>14.553387090491215</v>
      </c>
      <c r="CI44" s="507" t="str">
        <f>INPUT!EF668</f>
        <v>NM</v>
      </c>
      <c r="CJ44" s="156">
        <f>INPUT!EG668</f>
        <v>5.878258179286874</v>
      </c>
      <c r="CK44" s="507">
        <f>INPUT!EH668</f>
        <v>-33.765739331445154</v>
      </c>
      <c r="CL44" s="156">
        <f>INPUT!EI668</f>
        <v>13.365081803517937</v>
      </c>
      <c r="CM44" s="507" t="str">
        <f>INPUT!EJ668</f>
        <v>NM</v>
      </c>
      <c r="CN44" s="156">
        <f>INPUT!EK668</f>
        <v>12.449358221952975</v>
      </c>
      <c r="CO44" s="507">
        <f>INPUT!EL668</f>
        <v>21.869640563518146</v>
      </c>
      <c r="CP44" s="156">
        <f>INPUT!EM668</f>
        <v>12.505609573672402</v>
      </c>
      <c r="CQ44" s="507">
        <f>INPUT!EN668</f>
        <v>-14.070796743644475</v>
      </c>
      <c r="CR44" s="156">
        <f>INPUT!EO668</f>
        <v>23.697680328166406</v>
      </c>
      <c r="CS44" s="507" t="str">
        <f>INPUT!EP668</f>
        <v>NM</v>
      </c>
      <c r="CT44" s="156">
        <f>INPUT!EQ668</f>
        <v>10.232693045647734</v>
      </c>
      <c r="CU44" s="507">
        <f>INPUT!ER668</f>
        <v>-23.437108757880555</v>
      </c>
      <c r="CV44" s="156">
        <f>INPUT!ES668</f>
        <v>10.778600513160599</v>
      </c>
      <c r="CW44" s="507">
        <f>INPUT!ET668</f>
        <v>-13.420432435193263</v>
      </c>
      <c r="CX44" s="156">
        <f>INPUT!EU668</f>
        <v>10.521849810555176</v>
      </c>
      <c r="CY44" s="507">
        <f>INPUT!EV668</f>
        <v>-15.862959349807005</v>
      </c>
      <c r="CZ44" s="156">
        <f>INPUT!EW668</f>
        <v>10.718578748066571</v>
      </c>
      <c r="DA44" s="507" t="str">
        <f>INPUT!EX668</f>
        <v>NM</v>
      </c>
      <c r="DB44" s="507"/>
      <c r="DC44" s="156">
        <f>INPUT!FP668</f>
        <v>17.085995436394754</v>
      </c>
      <c r="DD44" s="507">
        <f>INPUT!FQ668</f>
        <v>57.337063711613112</v>
      </c>
      <c r="DE44" s="156">
        <f>INPUT!FR668</f>
        <v>14.591724913268866</v>
      </c>
      <c r="DF44" s="507">
        <f>INPUT!FS668</f>
        <v>-14.598333075829228</v>
      </c>
      <c r="DG44" s="156">
        <f>INPUT!FT668</f>
        <v>10.249188916186576</v>
      </c>
      <c r="DH44" s="507">
        <f>INPUT!FU668</f>
        <v>-29.760264964517258</v>
      </c>
      <c r="DI44" s="156">
        <f>INPUT!FV668</f>
        <v>0.49987730170841083</v>
      </c>
      <c r="DJ44" s="507" t="str">
        <f>INPUT!FW668</f>
        <v>NM</v>
      </c>
      <c r="DK44" s="156">
        <f>INPUT!FX668</f>
        <v>-4.7302053320690023</v>
      </c>
      <c r="DL44" s="507" t="str">
        <f>INPUT!FY668</f>
        <v>NM</v>
      </c>
      <c r="DM44" s="156">
        <f>INPUT!FZ668</f>
        <v>6.660175938929715</v>
      </c>
      <c r="DN44" s="507" t="str">
        <f>INPUT!GA668</f>
        <v>NM</v>
      </c>
      <c r="DO44" s="156">
        <f>INPUT!GB668</f>
        <v>1.9787621170263412</v>
      </c>
      <c r="DP44" s="507" t="str">
        <f>INPUT!GC668</f>
        <v>NM</v>
      </c>
      <c r="DQ44" s="156">
        <f>INPUT!GD668</f>
        <v>12.128231261002503</v>
      </c>
      <c r="DR44" s="507" t="str">
        <f>INPUT!GE668</f>
        <v>NM</v>
      </c>
      <c r="DS44" s="156">
        <f>INPUT!GF668</f>
        <v>10.791585339405769</v>
      </c>
      <c r="DT44" s="507">
        <f>INPUT!GG668</f>
        <v>-11.02094685392937</v>
      </c>
      <c r="DU44" s="156">
        <f>INPUT!GH668</f>
        <v>12.366511779571207</v>
      </c>
      <c r="DV44" s="507">
        <f>INPUT!GI668</f>
        <v>14.594022941324013</v>
      </c>
      <c r="DW44" s="156">
        <f>INPUT!GJ668</f>
        <v>9.0258105130626376</v>
      </c>
      <c r="DX44" s="507">
        <f>INPUT!GK668</f>
        <v>-27.014095211773647</v>
      </c>
      <c r="DY44" s="156">
        <f>INPUT!GL668</f>
        <v>9.211960753776669</v>
      </c>
      <c r="DZ44" s="507">
        <f>INPUT!GM668</f>
        <v>2.0624213243190193</v>
      </c>
      <c r="EA44" s="156">
        <f>INPUT!GN668</f>
        <v>15.405125166641978</v>
      </c>
      <c r="EB44" s="507">
        <f>INPUT!GO668</f>
        <v>67.229600498745825</v>
      </c>
      <c r="EC44" s="156">
        <f>INPUT!GP668</f>
        <v>10.585786131956079</v>
      </c>
      <c r="ED44" s="507">
        <f>INPUT!GQ668</f>
        <v>-31.283997906888949</v>
      </c>
      <c r="EE44" s="156">
        <f>INPUT!GR668</f>
        <v>10.612709575984763</v>
      </c>
      <c r="EF44" s="507">
        <f>INPUT!GS668</f>
        <v>0.25433580173519488</v>
      </c>
      <c r="EG44" s="156">
        <f>INPUT!GT668</f>
        <v>11.351816025711123</v>
      </c>
      <c r="EH44" s="507">
        <f>INPUT!GU668</f>
        <v>6.9643519822578215</v>
      </c>
      <c r="EI44" s="156">
        <f>INPUT!GV668</f>
        <v>11.38921780340587</v>
      </c>
      <c r="EJ44" s="507">
        <f>INPUT!GW668</f>
        <v>0.32947836372643202</v>
      </c>
      <c r="EK44" s="156">
        <f>INPUT!GX668</f>
        <v>11.341215489888247</v>
      </c>
      <c r="EL44" s="507">
        <f>INPUT!GY668</f>
        <v>-0.42147155622282995</v>
      </c>
      <c r="EM44" s="507">
        <f>INPUT!GZ668</f>
        <v>-5.9413211784177573</v>
      </c>
    </row>
    <row r="45" spans="1:143" ht="12.75" customHeight="1" x14ac:dyDescent="0.2">
      <c r="A45" s="744" t="str">
        <f>INPUT!B669</f>
        <v>Reported ROE (Incl-FAS115)</v>
      </c>
      <c r="B45" s="156">
        <f>INPUT!AY669</f>
        <v>15.503749233647209</v>
      </c>
      <c r="C45" s="507">
        <f>INPUT!AZ669</f>
        <v>8.0042601390919454</v>
      </c>
      <c r="D45" s="156">
        <f>INPUT!BA669</f>
        <v>14.476018711604578</v>
      </c>
      <c r="E45" s="507">
        <f>INPUT!BB669</f>
        <v>-4.6989135901802204</v>
      </c>
      <c r="F45" s="156">
        <f>INPUT!BC669</f>
        <v>11.967246673490278</v>
      </c>
      <c r="G45" s="507">
        <f>INPUT!BD669</f>
        <v>-25.162697771483135</v>
      </c>
      <c r="H45" s="156">
        <f>INPUT!BE669</f>
        <v>12.095593997739664</v>
      </c>
      <c r="I45" s="507">
        <f>INPUT!BF669</f>
        <v>-23.636722726810333</v>
      </c>
      <c r="J45" s="156">
        <f>INPUT!BG669</f>
        <v>12.004454713186286</v>
      </c>
      <c r="K45" s="507">
        <f>INPUT!BH669</f>
        <v>-22.570634159036416</v>
      </c>
      <c r="L45" s="156">
        <f>INPUT!BI669</f>
        <v>11.620628542938425</v>
      </c>
      <c r="M45" s="507">
        <f>INPUT!BJ669</f>
        <v>-19.724968760762607</v>
      </c>
      <c r="N45" s="156">
        <f>INPUT!BK669</f>
        <v>9.7484725992285259</v>
      </c>
      <c r="O45" s="507">
        <f>INPUT!BL669</f>
        <v>-18.540388903128047</v>
      </c>
      <c r="P45" s="156">
        <f>INPUT!BM669</f>
        <v>6.7394948757036079</v>
      </c>
      <c r="Q45" s="507">
        <f>INPUT!BN669</f>
        <v>-44.281406295854218</v>
      </c>
      <c r="R45" s="156">
        <f>INPUT!BO669</f>
        <v>10.152924616416797</v>
      </c>
      <c r="S45" s="507">
        <f>INPUT!BP669</f>
        <v>-15.423691796143613</v>
      </c>
      <c r="T45" s="156">
        <f>INPUT!BQ669</f>
        <v>4.6256486286137903</v>
      </c>
      <c r="U45" s="507" t="str">
        <f>INPUT!BR669</f>
        <v>NM</v>
      </c>
      <c r="V45" s="156">
        <f>INPUT!BS669</f>
        <v>5.9086499514946693</v>
      </c>
      <c r="W45" s="507">
        <f>INPUT!BT669</f>
        <v>-39.38896692429266</v>
      </c>
      <c r="X45" s="156">
        <f>INPUT!BU669</f>
        <v>-23.157424943782939</v>
      </c>
      <c r="Y45" s="507" t="str">
        <f>INPUT!BV669</f>
        <v>NM</v>
      </c>
      <c r="Z45" s="156">
        <f>INPUT!BW669</f>
        <v>-30.269478885482904</v>
      </c>
      <c r="AA45" s="507" t="str">
        <f>INPUT!BX669</f>
        <v>NM</v>
      </c>
      <c r="AB45" s="156">
        <f>INPUT!BY669</f>
        <v>-7.8548080206859483</v>
      </c>
      <c r="AC45" s="507" t="str">
        <f>INPUT!BZ669</f>
        <v>NM</v>
      </c>
      <c r="AD45" s="156">
        <f>INPUT!CA669</f>
        <v>5.5412988746322025</v>
      </c>
      <c r="AE45" s="507">
        <f>INPUT!CB669</f>
        <v>-6.2171744794179311</v>
      </c>
      <c r="AF45" s="156">
        <f>INPUT!CC669</f>
        <v>3.1357926871897646</v>
      </c>
      <c r="AG45" s="507" t="str">
        <f>INPUT!CD669</f>
        <v>NM</v>
      </c>
      <c r="AH45" s="156">
        <f>INPUT!CE669</f>
        <v>8.9029632937716272</v>
      </c>
      <c r="AI45" s="507" t="str">
        <f>INPUT!CF669</f>
        <v>NM</v>
      </c>
      <c r="AJ45" s="156">
        <f>INPUT!CG669</f>
        <v>2.8800665142382038</v>
      </c>
      <c r="AK45" s="507" t="str">
        <f>INPUT!CH669</f>
        <v>NM</v>
      </c>
      <c r="AL45" s="156">
        <f>INPUT!CI669</f>
        <v>7.4520882644880491</v>
      </c>
      <c r="AM45" s="507">
        <f>INPUT!CJ669</f>
        <v>34.4826986070603</v>
      </c>
      <c r="AN45" s="156">
        <f>INPUT!CK669</f>
        <v>5.9387387387387331</v>
      </c>
      <c r="AO45" s="507">
        <f>INPUT!CL669</f>
        <v>89.385566303520974</v>
      </c>
      <c r="AP45" s="156">
        <f>INPUT!CM669</f>
        <v>10.093226405836509</v>
      </c>
      <c r="AQ45" s="507">
        <f>INPUT!CN669</f>
        <v>13.369291468353817</v>
      </c>
      <c r="AR45" s="156">
        <f>INPUT!CO669</f>
        <v>9.8408339359273231</v>
      </c>
      <c r="AS45" s="507" t="str">
        <f>INPUT!CP669</f>
        <v>NM</v>
      </c>
      <c r="AT45" s="156">
        <f>INPUT!CQ669</f>
        <v>4.42753268281656</v>
      </c>
      <c r="AU45" s="507">
        <f>INPUT!CR669</f>
        <v>-40.586684890524083</v>
      </c>
      <c r="AV45" s="156">
        <f>INPUT!CS669</f>
        <v>-15.978734401535849</v>
      </c>
      <c r="AW45" s="507" t="str">
        <f>INPUT!CT669</f>
        <v>NM</v>
      </c>
      <c r="AX45" s="156">
        <f>INPUT!CU669</f>
        <v>7.4141876430205951</v>
      </c>
      <c r="AY45" s="507">
        <f>INPUT!CV669</f>
        <v>-26.542937363088704</v>
      </c>
      <c r="AZ45" s="156">
        <f>INPUT!CW669</f>
        <v>9.3376044773371625</v>
      </c>
      <c r="BA45" s="507">
        <f>INPUT!CX669</f>
        <v>-5.1136871312597805</v>
      </c>
      <c r="BB45" s="156">
        <f>INPUT!CY669</f>
        <v>11.742515175417537</v>
      </c>
      <c r="BC45" s="507" t="str">
        <f>INPUT!CZ669</f>
        <v>NM</v>
      </c>
      <c r="BD45" s="156">
        <f>INPUT!DA669</f>
        <v>8.5063964113640154</v>
      </c>
      <c r="BE45" s="507" t="str">
        <f>INPUT!DB669</f>
        <v>NM</v>
      </c>
      <c r="BF45" s="156">
        <f>INPUT!DC669</f>
        <v>6.4081509535140926</v>
      </c>
      <c r="BG45" s="507">
        <f>INPUT!DD669</f>
        <v>-13.569075102294493</v>
      </c>
      <c r="BH45" s="156">
        <f>INPUT!DE669</f>
        <v>8.9996096383831929</v>
      </c>
      <c r="BI45" s="507">
        <f>INPUT!DF669</f>
        <v>-3.6197168103907162</v>
      </c>
      <c r="BJ45" s="156">
        <f>INPUT!DG669</f>
        <v>10.09510971317307</v>
      </c>
      <c r="BK45" s="507">
        <f>INPUT!DH669</f>
        <v>-14.029408841584823</v>
      </c>
      <c r="BL45" s="156">
        <f>INPUT!DI669</f>
        <v>10.461217494970569</v>
      </c>
      <c r="BM45" s="507">
        <f>INPUT!DJ669</f>
        <v>22.980601762163765</v>
      </c>
      <c r="BN45" s="156">
        <f>INPUT!DK669</f>
        <v>9.3915533285612032</v>
      </c>
      <c r="BO45" s="507">
        <f>INPUT!DL669</f>
        <v>46.556368548263926</v>
      </c>
      <c r="BP45" s="156">
        <f>INPUT!DM669</f>
        <v>10.662034872068944</v>
      </c>
      <c r="BQ45" s="507">
        <f>INPUT!DN669</f>
        <v>18.472192689286572</v>
      </c>
      <c r="BR45" s="156">
        <f>INPUT!DO669</f>
        <v>11.416367342976411</v>
      </c>
      <c r="BS45" s="507">
        <f>INPUT!DP669</f>
        <v>13.08809579433532</v>
      </c>
      <c r="BT45" s="156">
        <f>INPUT!DQ669</f>
        <v>8.9510130802769936</v>
      </c>
      <c r="BU45" s="507">
        <f>INPUT!DR669</f>
        <v>-14.436220405699762</v>
      </c>
      <c r="BV45" s="156">
        <f>INPUT!DS669</f>
        <v>7.508681913462441</v>
      </c>
      <c r="BW45" s="507">
        <f>INPUT!DT669</f>
        <v>-20.048562247659842</v>
      </c>
      <c r="BX45" s="156">
        <f>INPUT!DU669</f>
        <v>8.8998124312787024</v>
      </c>
      <c r="BY45" s="507">
        <f>INPUT!DV669</f>
        <v>-16.528012353501953</v>
      </c>
      <c r="BZ45" s="156">
        <f>INPUT!DW669</f>
        <v>6.0481099656357387</v>
      </c>
      <c r="CA45" s="507">
        <f>INPUT!DX669</f>
        <v>12.225505278851541</v>
      </c>
      <c r="CB45" s="156">
        <f>INPUT!DY669</f>
        <v>8.0805196659290459</v>
      </c>
      <c r="CC45" s="507">
        <f>INPUT!DZ669</f>
        <v>-9.72508258608209</v>
      </c>
      <c r="CD45" s="156">
        <f>INPUT!EA669</f>
        <v>5.6870026525198938</v>
      </c>
      <c r="CE45" s="507">
        <f>INPUT!EB669</f>
        <v>-24.260972590627759</v>
      </c>
      <c r="CF45" s="156">
        <f>INPUT!EC669</f>
        <v>8.5028451828111713</v>
      </c>
      <c r="CG45" s="507">
        <f>INPUT!ED669</f>
        <v>-4.460400166102108</v>
      </c>
      <c r="CH45" s="156">
        <f>INPUT!EE669</f>
        <v>11.58701113419967</v>
      </c>
      <c r="CI45" s="507">
        <f>INPUT!EF669</f>
        <v>91.580695457505911</v>
      </c>
      <c r="CJ45" s="156">
        <f>INPUT!EG669</f>
        <v>4.93490471088601</v>
      </c>
      <c r="CK45" s="507">
        <f>INPUT!EH669</f>
        <v>-38.928374474556435</v>
      </c>
      <c r="CL45" s="156">
        <f>INPUT!EI669</f>
        <v>11.8162371396557</v>
      </c>
      <c r="CM45" s="507" t="str">
        <f>INPUT!EJ669</f>
        <v>NM</v>
      </c>
      <c r="CN45" s="156">
        <f>INPUT!EK669</f>
        <v>10.617068681584811</v>
      </c>
      <c r="CO45" s="507">
        <f>INPUT!EL669</f>
        <v>24.864894671346292</v>
      </c>
      <c r="CP45" s="156">
        <f>INPUT!EM669</f>
        <v>10.349736923553079</v>
      </c>
      <c r="CQ45" s="507">
        <f>INPUT!EN669</f>
        <v>-10.678113590438443</v>
      </c>
      <c r="CR45" s="156">
        <f>INPUT!EO669</f>
        <v>19.407777381377095</v>
      </c>
      <c r="CS45" s="507" t="str">
        <f>INPUT!EP669</f>
        <v>NM</v>
      </c>
      <c r="CT45" s="156">
        <f>INPUT!EQ669</f>
        <v>8.3405267039977993</v>
      </c>
      <c r="CU45" s="507">
        <f>INPUT!ER669</f>
        <v>-29.414697712804838</v>
      </c>
      <c r="CV45" s="156">
        <f>INPUT!ES669</f>
        <v>8.8196946749946008</v>
      </c>
      <c r="CW45" s="507">
        <f>INPUT!ET669</f>
        <v>-16.929098421560894</v>
      </c>
      <c r="CX45" s="156">
        <f>INPUT!EU669</f>
        <v>8.6387926637396273</v>
      </c>
      <c r="CY45" s="507">
        <f>INPUT!EV669</f>
        <v>-16.531282606032484</v>
      </c>
      <c r="CZ45" s="156">
        <f>INPUT!EW669</f>
        <v>8.8254076214562982</v>
      </c>
      <c r="DA45" s="507" t="str">
        <f>INPUT!EX669</f>
        <v>NM</v>
      </c>
      <c r="DB45" s="507"/>
      <c r="DC45" s="156">
        <f>INPUT!FP669</f>
        <v>15.26203821656051</v>
      </c>
      <c r="DD45" s="507">
        <f>INPUT!FQ669</f>
        <v>43.445539510405041</v>
      </c>
      <c r="DE45" s="156">
        <f>INPUT!FR669</f>
        <v>13.827412915514326</v>
      </c>
      <c r="DF45" s="507">
        <f>INPUT!FS669</f>
        <v>-9.3999587780451481</v>
      </c>
      <c r="DG45" s="156">
        <f>INPUT!FT669</f>
        <v>10.011120680284618</v>
      </c>
      <c r="DH45" s="507">
        <f>INPUT!FU669</f>
        <v>-27.59946678780263</v>
      </c>
      <c r="DI45" s="156">
        <f>INPUT!FV669</f>
        <v>0.5688492627645364</v>
      </c>
      <c r="DJ45" s="507" t="str">
        <f>INPUT!FW669</f>
        <v>NM</v>
      </c>
      <c r="DK45" s="156">
        <f>INPUT!FX669</f>
        <v>-5.4984817411487876</v>
      </c>
      <c r="DL45" s="507" t="str">
        <f>INPUT!FY669</f>
        <v>NM</v>
      </c>
      <c r="DM45" s="156">
        <f>INPUT!FZ669</f>
        <v>6.5235095299781793</v>
      </c>
      <c r="DN45" s="507" t="str">
        <f>INPUT!GA669</f>
        <v>NM</v>
      </c>
      <c r="DO45" s="156">
        <f>INPUT!GB669</f>
        <v>1.717016529372255</v>
      </c>
      <c r="DP45" s="507" t="str">
        <f>INPUT!GC669</f>
        <v>NM</v>
      </c>
      <c r="DQ45" s="156">
        <f>INPUT!GD669</f>
        <v>9.3256866027855949</v>
      </c>
      <c r="DR45" s="507" t="str">
        <f>INPUT!GE669</f>
        <v>NM</v>
      </c>
      <c r="DS45" s="156">
        <f>INPUT!GF669</f>
        <v>8.7525504819531417</v>
      </c>
      <c r="DT45" s="507">
        <f>INPUT!GG669</f>
        <v>-6.1457793430593766</v>
      </c>
      <c r="DU45" s="156">
        <f>INPUT!GH669</f>
        <v>10.392902408111533</v>
      </c>
      <c r="DV45" s="507">
        <f>INPUT!GI669</f>
        <v>18.741416339621566</v>
      </c>
      <c r="DW45" s="156">
        <f>INPUT!GJ669</f>
        <v>7.81414994720169</v>
      </c>
      <c r="DX45" s="507">
        <f>INPUT!GK669</f>
        <v>-24.812630386071543</v>
      </c>
      <c r="DY45" s="156">
        <f>INPUT!GL669</f>
        <v>8.4214273002313575</v>
      </c>
      <c r="DZ45" s="507">
        <f>INPUT!GM669</f>
        <v>7.7715088286364198</v>
      </c>
      <c r="EA45" s="156">
        <f>INPUT!GN669</f>
        <v>13.081761006289309</v>
      </c>
      <c r="EB45" s="507">
        <f>INPUT!GO669</f>
        <v>55.339000622019505</v>
      </c>
      <c r="EC45" s="156">
        <f>INPUT!GP669</f>
        <v>8.6720046173896765</v>
      </c>
      <c r="ED45" s="507">
        <f>INPUT!GQ669</f>
        <v>-33.709195472838537</v>
      </c>
      <c r="EE45" s="156">
        <f>INPUT!GR669</f>
        <v>8.799337755226512</v>
      </c>
      <c r="EF45" s="507">
        <f>INPUT!GS669</f>
        <v>1.468324147123945</v>
      </c>
      <c r="EG45" s="156">
        <f>INPUT!GT669</f>
        <v>9.5138048585182613</v>
      </c>
      <c r="EH45" s="507">
        <f>INPUT!GU669</f>
        <v>8.1195553934428677</v>
      </c>
      <c r="EI45" s="156">
        <f>INPUT!GV669</f>
        <v>9.6426759233791106</v>
      </c>
      <c r="EJ45" s="507">
        <f>INPUT!GW669</f>
        <v>1.354569142181461</v>
      </c>
      <c r="EK45" s="156">
        <f>INPUT!GX669</f>
        <v>9.6931496830775377</v>
      </c>
      <c r="EL45" s="507">
        <f>INPUT!GY669</f>
        <v>0.52344141916094156</v>
      </c>
      <c r="EM45" s="507">
        <f>INPUT!GZ669</f>
        <v>-5.8197710826376703</v>
      </c>
    </row>
    <row r="46" spans="1:143" ht="12.75" customHeight="1" x14ac:dyDescent="0.2">
      <c r="A46" s="701"/>
      <c r="B46" s="16"/>
      <c r="C46" s="507"/>
      <c r="D46" s="16"/>
      <c r="E46" s="507"/>
      <c r="F46" s="16"/>
      <c r="G46" s="507"/>
      <c r="H46" s="16"/>
      <c r="I46" s="507"/>
      <c r="J46" s="16"/>
      <c r="K46" s="507"/>
      <c r="L46" s="16"/>
      <c r="M46" s="507"/>
      <c r="N46" s="16"/>
      <c r="O46" s="507"/>
      <c r="P46" s="16"/>
      <c r="Q46" s="507"/>
      <c r="R46" s="16"/>
      <c r="S46" s="507"/>
      <c r="T46" s="16"/>
      <c r="U46" s="507"/>
      <c r="V46" s="16"/>
      <c r="W46" s="507"/>
      <c r="X46" s="16"/>
      <c r="Y46" s="507"/>
      <c r="Z46" s="16"/>
      <c r="AA46" s="507"/>
      <c r="AB46" s="16"/>
      <c r="AC46" s="507"/>
      <c r="AD46" s="16"/>
      <c r="AE46" s="507"/>
      <c r="AF46" s="16"/>
      <c r="AG46" s="507"/>
      <c r="AH46" s="16"/>
      <c r="AI46" s="507"/>
      <c r="AJ46" s="16"/>
      <c r="AK46" s="507"/>
      <c r="AL46" s="16"/>
      <c r="AM46" s="507"/>
      <c r="AN46" s="16"/>
      <c r="AO46" s="507"/>
      <c r="AP46" s="16"/>
      <c r="AQ46" s="507"/>
      <c r="AR46" s="16"/>
      <c r="AS46" s="507"/>
      <c r="AT46" s="16"/>
      <c r="AU46" s="507"/>
      <c r="AV46" s="16"/>
      <c r="AW46" s="507"/>
      <c r="AX46" s="16"/>
      <c r="AY46" s="507"/>
      <c r="AZ46" s="16"/>
      <c r="BA46" s="507"/>
      <c r="BB46" s="16"/>
      <c r="BC46" s="507"/>
      <c r="BD46" s="16"/>
      <c r="BE46" s="507"/>
      <c r="BF46" s="16"/>
      <c r="BG46" s="507"/>
      <c r="BH46" s="16"/>
      <c r="BI46" s="507"/>
      <c r="BJ46" s="16"/>
      <c r="BK46" s="507"/>
      <c r="BL46" s="16"/>
      <c r="BM46" s="507"/>
      <c r="BN46" s="16"/>
      <c r="BO46" s="507"/>
      <c r="BP46" s="16"/>
      <c r="BQ46" s="507"/>
      <c r="BR46" s="16"/>
      <c r="BS46" s="507"/>
      <c r="BT46" s="16"/>
      <c r="BU46" s="507"/>
      <c r="BV46" s="16"/>
      <c r="BW46" s="507"/>
      <c r="BX46" s="16"/>
      <c r="BY46" s="507"/>
      <c r="BZ46" s="16"/>
      <c r="CA46" s="507"/>
      <c r="CB46" s="16"/>
      <c r="CC46" s="507"/>
      <c r="CD46" s="16"/>
      <c r="CE46" s="507"/>
      <c r="CF46" s="16"/>
      <c r="CG46" s="507"/>
      <c r="CH46" s="16"/>
      <c r="CI46" s="507"/>
      <c r="CJ46" s="16"/>
      <c r="CK46" s="507"/>
      <c r="CL46" s="16"/>
      <c r="CM46" s="507"/>
      <c r="CN46" s="16"/>
      <c r="CO46" s="507"/>
      <c r="CP46" s="16"/>
      <c r="CQ46" s="507"/>
      <c r="CR46" s="16"/>
      <c r="CS46" s="507"/>
      <c r="CT46" s="16"/>
      <c r="CU46" s="507"/>
      <c r="CV46" s="16"/>
      <c r="CW46" s="507"/>
      <c r="CX46" s="16"/>
      <c r="CY46" s="507"/>
      <c r="CZ46" s="16"/>
      <c r="DA46" s="507"/>
      <c r="DB46" s="507"/>
      <c r="DC46" s="16"/>
      <c r="DD46" s="507"/>
      <c r="DE46" s="16"/>
      <c r="DF46" s="507"/>
      <c r="DG46" s="16"/>
      <c r="DH46" s="507"/>
      <c r="DI46" s="16"/>
      <c r="DJ46" s="507"/>
      <c r="DK46" s="16"/>
      <c r="DL46" s="507"/>
      <c r="DM46" s="16"/>
      <c r="DN46" s="507"/>
      <c r="DO46" s="16"/>
      <c r="DP46" s="507"/>
      <c r="DQ46" s="16"/>
      <c r="DR46" s="507"/>
      <c r="DS46" s="16"/>
      <c r="DT46" s="507"/>
      <c r="DU46" s="16"/>
      <c r="DV46" s="507"/>
      <c r="DW46" s="16"/>
      <c r="DX46" s="507"/>
      <c r="DY46" s="16"/>
      <c r="DZ46" s="507"/>
      <c r="EA46" s="16"/>
      <c r="EB46" s="507"/>
      <c r="EC46" s="16"/>
      <c r="ED46" s="507"/>
      <c r="EE46" s="16"/>
      <c r="EF46" s="507"/>
      <c r="EG46" s="16"/>
      <c r="EH46" s="507"/>
      <c r="EI46" s="16"/>
      <c r="EJ46" s="507"/>
      <c r="EK46" s="16"/>
      <c r="EL46" s="507"/>
      <c r="EM46" s="507"/>
    </row>
    <row r="47" spans="1:143" ht="12.75" customHeight="1" x14ac:dyDescent="0.2">
      <c r="A47" s="700" t="s">
        <v>299</v>
      </c>
      <c r="B47" s="16"/>
      <c r="C47" s="507"/>
      <c r="D47" s="16"/>
      <c r="E47" s="507"/>
      <c r="F47" s="16"/>
      <c r="G47" s="507"/>
      <c r="H47" s="16"/>
      <c r="I47" s="507"/>
      <c r="J47" s="16"/>
      <c r="K47" s="507"/>
      <c r="L47" s="16"/>
      <c r="M47" s="507"/>
      <c r="N47" s="16"/>
      <c r="O47" s="507"/>
      <c r="P47" s="16"/>
      <c r="Q47" s="507"/>
      <c r="R47" s="16"/>
      <c r="S47" s="507"/>
      <c r="T47" s="16"/>
      <c r="U47" s="507"/>
      <c r="V47" s="16"/>
      <c r="W47" s="507"/>
      <c r="X47" s="16"/>
      <c r="Y47" s="507"/>
      <c r="Z47" s="16"/>
      <c r="AA47" s="507"/>
      <c r="AB47" s="16"/>
      <c r="AC47" s="507"/>
      <c r="AD47" s="16"/>
      <c r="AE47" s="507"/>
      <c r="AF47" s="16"/>
      <c r="AG47" s="507"/>
      <c r="AH47" s="16"/>
      <c r="AI47" s="507"/>
      <c r="AJ47" s="16"/>
      <c r="AK47" s="507"/>
      <c r="AL47" s="16"/>
      <c r="AM47" s="507"/>
      <c r="AN47" s="16"/>
      <c r="AO47" s="507"/>
      <c r="AP47" s="16"/>
      <c r="AQ47" s="507"/>
      <c r="AR47" s="16"/>
      <c r="AS47" s="507"/>
      <c r="AT47" s="16"/>
      <c r="AU47" s="507"/>
      <c r="AV47" s="16"/>
      <c r="AW47" s="507"/>
      <c r="AX47" s="16"/>
      <c r="AY47" s="507"/>
      <c r="AZ47" s="16"/>
      <c r="BA47" s="507"/>
      <c r="BB47" s="16"/>
      <c r="BC47" s="507"/>
      <c r="BD47" s="16"/>
      <c r="BE47" s="507"/>
      <c r="BF47" s="16"/>
      <c r="BG47" s="507"/>
      <c r="BH47" s="16"/>
      <c r="BI47" s="507"/>
      <c r="BJ47" s="16"/>
      <c r="BK47" s="507"/>
      <c r="BL47" s="16"/>
      <c r="BM47" s="507"/>
      <c r="BN47" s="16"/>
      <c r="BO47" s="507"/>
      <c r="BP47" s="16"/>
      <c r="BQ47" s="507"/>
      <c r="BR47" s="16"/>
      <c r="BS47" s="507"/>
      <c r="BT47" s="16"/>
      <c r="BU47" s="507"/>
      <c r="BV47" s="16"/>
      <c r="BW47" s="507"/>
      <c r="BX47" s="16"/>
      <c r="BY47" s="507"/>
      <c r="BZ47" s="16"/>
      <c r="CA47" s="507"/>
      <c r="CB47" s="16"/>
      <c r="CC47" s="507"/>
      <c r="CD47" s="16"/>
      <c r="CE47" s="507"/>
      <c r="CF47" s="16"/>
      <c r="CG47" s="507"/>
      <c r="CH47" s="16"/>
      <c r="CI47" s="507"/>
      <c r="CJ47" s="16"/>
      <c r="CK47" s="507"/>
      <c r="CL47" s="16"/>
      <c r="CM47" s="507"/>
      <c r="CN47" s="16"/>
      <c r="CO47" s="507"/>
      <c r="CP47" s="16"/>
      <c r="CQ47" s="507"/>
      <c r="CR47" s="16"/>
      <c r="CS47" s="507"/>
      <c r="CT47" s="16"/>
      <c r="CU47" s="507"/>
      <c r="CV47" s="16"/>
      <c r="CW47" s="507"/>
      <c r="CX47" s="16"/>
      <c r="CY47" s="507"/>
      <c r="CZ47" s="16"/>
      <c r="DA47" s="507"/>
      <c r="DB47" s="507"/>
      <c r="DC47" s="16"/>
      <c r="DD47" s="507"/>
      <c r="DE47" s="16"/>
      <c r="DF47" s="507"/>
      <c r="DG47" s="16"/>
      <c r="DH47" s="507"/>
      <c r="DI47" s="16"/>
      <c r="DJ47" s="507"/>
      <c r="DK47" s="16"/>
      <c r="DL47" s="507"/>
      <c r="DM47" s="16"/>
      <c r="DN47" s="507"/>
      <c r="DO47" s="16"/>
      <c r="DP47" s="507"/>
      <c r="DQ47" s="16"/>
      <c r="DR47" s="507"/>
      <c r="DS47" s="16"/>
      <c r="DT47" s="507"/>
      <c r="DU47" s="16"/>
      <c r="DV47" s="507"/>
      <c r="DW47" s="16"/>
      <c r="DX47" s="507"/>
      <c r="DY47" s="16"/>
      <c r="DZ47" s="507"/>
      <c r="EA47" s="16"/>
      <c r="EB47" s="507"/>
      <c r="EC47" s="16"/>
      <c r="ED47" s="507"/>
      <c r="EE47" s="16"/>
      <c r="EF47" s="507"/>
      <c r="EG47" s="16"/>
      <c r="EH47" s="507"/>
      <c r="EI47" s="16"/>
      <c r="EJ47" s="507"/>
      <c r="EK47" s="16"/>
      <c r="EL47" s="507"/>
      <c r="EM47" s="507"/>
    </row>
    <row r="48" spans="1:143" ht="12.75" customHeight="1" x14ac:dyDescent="0.2">
      <c r="A48" s="701" t="s">
        <v>362</v>
      </c>
      <c r="B48" s="464">
        <f>INPUT!AY588</f>
        <v>0.38</v>
      </c>
      <c r="C48" s="507">
        <f>INPUT!AZ588</f>
        <v>4.1095890410958846</v>
      </c>
      <c r="D48" s="464">
        <f>INPUT!BA588</f>
        <v>0.38</v>
      </c>
      <c r="E48" s="507">
        <f>INPUT!BB588</f>
        <v>4.1095890410958846</v>
      </c>
      <c r="F48" s="464">
        <f>INPUT!BC588</f>
        <v>0.38</v>
      </c>
      <c r="G48" s="507">
        <f>INPUT!BD588</f>
        <v>4.1095890410958846</v>
      </c>
      <c r="H48" s="464">
        <f>INPUT!BE588</f>
        <v>0.38</v>
      </c>
      <c r="I48" s="507">
        <f>INPUT!BF588</f>
        <v>4.1095890410958846</v>
      </c>
      <c r="J48" s="464">
        <f>INPUT!BG588</f>
        <v>0.39500000000000002</v>
      </c>
      <c r="K48" s="507">
        <f>INPUT!BH588</f>
        <v>3.9473684210526327</v>
      </c>
      <c r="L48" s="464">
        <f>INPUT!BI588</f>
        <v>0.39500000000000002</v>
      </c>
      <c r="M48" s="507">
        <f>INPUT!BJ588</f>
        <v>3.9473684210526327</v>
      </c>
      <c r="N48" s="464">
        <f>INPUT!BK588</f>
        <v>0.39500000000000002</v>
      </c>
      <c r="O48" s="507">
        <f>INPUT!BL588</f>
        <v>3.9473684210526327</v>
      </c>
      <c r="P48" s="464">
        <f>INPUT!BM588</f>
        <v>0.41499999999999998</v>
      </c>
      <c r="Q48" s="507">
        <f>INPUT!BN588</f>
        <v>9.210526315789469</v>
      </c>
      <c r="R48" s="464">
        <f>INPUT!BO588</f>
        <v>0.41499999999999998</v>
      </c>
      <c r="S48" s="507">
        <f>INPUT!BP588</f>
        <v>5.0632911392404889</v>
      </c>
      <c r="T48" s="464">
        <f>INPUT!BQ588</f>
        <v>0.41499999999999998</v>
      </c>
      <c r="U48" s="507">
        <f>INPUT!BR588</f>
        <v>5.0632911392404889</v>
      </c>
      <c r="V48" s="464">
        <f>INPUT!BS588</f>
        <v>0.41499999999999998</v>
      </c>
      <c r="W48" s="507">
        <f>INPUT!BT588</f>
        <v>5.0632911392404889</v>
      </c>
      <c r="X48" s="464">
        <f>INPUT!BU588</f>
        <v>0.21</v>
      </c>
      <c r="Y48" s="507">
        <f>INPUT!BV588</f>
        <v>-49.397590361445786</v>
      </c>
      <c r="Z48" s="464">
        <f>INPUT!BW588</f>
        <v>0.01</v>
      </c>
      <c r="AA48" s="507" t="str">
        <f>INPUT!BX588</f>
        <v>NM</v>
      </c>
      <c r="AB48" s="464">
        <f>INPUT!BY588</f>
        <v>0.01</v>
      </c>
      <c r="AC48" s="507" t="str">
        <f>INPUT!BZ588</f>
        <v>NM</v>
      </c>
      <c r="AD48" s="464">
        <f>INPUT!CA588</f>
        <v>0.01</v>
      </c>
      <c r="AE48" s="507" t="str">
        <f>INPUT!CB588</f>
        <v>NM</v>
      </c>
      <c r="AF48" s="464">
        <f>INPUT!CC588</f>
        <v>0.01</v>
      </c>
      <c r="AG48" s="507" t="str">
        <f>INPUT!CD588</f>
        <v>NM</v>
      </c>
      <c r="AH48" s="464">
        <f>INPUT!CE588</f>
        <v>0.01</v>
      </c>
      <c r="AI48" s="507">
        <f>INPUT!CF588</f>
        <v>0</v>
      </c>
      <c r="AJ48" s="464">
        <f>INPUT!CG588</f>
        <v>0.01</v>
      </c>
      <c r="AK48" s="507">
        <f>INPUT!CH588</f>
        <v>0</v>
      </c>
      <c r="AL48" s="464">
        <f>INPUT!CI588</f>
        <v>0.01</v>
      </c>
      <c r="AM48" s="507">
        <f>INPUT!CJ588</f>
        <v>0</v>
      </c>
      <c r="AN48" s="464">
        <f>INPUT!CK588</f>
        <v>0.01</v>
      </c>
      <c r="AO48" s="507">
        <f>INPUT!CL588</f>
        <v>0</v>
      </c>
      <c r="AP48" s="464">
        <f>INPUT!CM588</f>
        <v>0.05</v>
      </c>
      <c r="AQ48" s="507" t="str">
        <f>INPUT!CN588</f>
        <v>NM</v>
      </c>
      <c r="AR48" s="464">
        <f>INPUT!CO588</f>
        <v>0.05</v>
      </c>
      <c r="AS48" s="507" t="str">
        <f>INPUT!CP588</f>
        <v>NM</v>
      </c>
      <c r="AT48" s="464">
        <f>INPUT!CQ588</f>
        <v>0.05</v>
      </c>
      <c r="AU48" s="507" t="str">
        <f>INPUT!CR588</f>
        <v>NM</v>
      </c>
      <c r="AV48" s="464">
        <f>INPUT!CS588</f>
        <v>0.08</v>
      </c>
      <c r="AW48" s="507" t="str">
        <f>INPUT!CT588</f>
        <v>NM</v>
      </c>
      <c r="AX48" s="464">
        <f>INPUT!CU588</f>
        <v>0.08</v>
      </c>
      <c r="AY48" s="507">
        <f>INPUT!CV588</f>
        <v>59.999999999999986</v>
      </c>
      <c r="AZ48" s="464">
        <f>INPUT!CW588</f>
        <v>0.08</v>
      </c>
      <c r="BA48" s="507">
        <f>INPUT!CX588</f>
        <v>59.999999999999986</v>
      </c>
      <c r="BB48" s="464">
        <f>INPUT!CY588</f>
        <v>0.08</v>
      </c>
      <c r="BC48" s="507">
        <f>INPUT!CZ588</f>
        <v>59.999999999999986</v>
      </c>
      <c r="BD48" s="464">
        <f>INPUT!DA588</f>
        <v>0.12</v>
      </c>
      <c r="BE48" s="507">
        <f>INPUT!DB588</f>
        <v>50</v>
      </c>
      <c r="BF48" s="464">
        <f>INPUT!DC588</f>
        <v>0.12</v>
      </c>
      <c r="BG48" s="507">
        <f>INPUT!DD588</f>
        <v>50</v>
      </c>
      <c r="BH48" s="464">
        <f>INPUT!DE588</f>
        <v>0.12</v>
      </c>
      <c r="BI48" s="507">
        <f>INPUT!DF588</f>
        <v>50</v>
      </c>
      <c r="BJ48" s="464">
        <f>INPUT!DG588</f>
        <v>0.12</v>
      </c>
      <c r="BK48" s="507">
        <f>INPUT!DH588</f>
        <v>50</v>
      </c>
      <c r="BL48" s="464">
        <f>INPUT!DI588</f>
        <v>0.16</v>
      </c>
      <c r="BM48" s="507">
        <f>INPUT!DJ588</f>
        <v>33.33333333333335</v>
      </c>
      <c r="BN48" s="464">
        <f>INPUT!DK588</f>
        <v>0.16</v>
      </c>
      <c r="BO48" s="507">
        <f>INPUT!DL588</f>
        <v>33.33333333333335</v>
      </c>
      <c r="BP48" s="464">
        <f>INPUT!DM588</f>
        <v>0.16</v>
      </c>
      <c r="BQ48" s="507">
        <f>INPUT!DN588</f>
        <v>33.33333333333335</v>
      </c>
      <c r="BR48" s="464">
        <f>INPUT!DO588</f>
        <v>0.16</v>
      </c>
      <c r="BS48" s="507">
        <f>INPUT!DP588</f>
        <v>33.33333333333335</v>
      </c>
      <c r="BT48" s="464">
        <f>INPUT!DQ588</f>
        <v>0.2</v>
      </c>
      <c r="BU48" s="507">
        <f>INPUT!DR588</f>
        <v>25</v>
      </c>
      <c r="BV48" s="464">
        <f>INPUT!DS588</f>
        <v>0.2</v>
      </c>
      <c r="BW48" s="507">
        <f>INPUT!DT588</f>
        <v>25</v>
      </c>
      <c r="BX48" s="464">
        <f>INPUT!DU588</f>
        <v>0.2</v>
      </c>
      <c r="BY48" s="507">
        <f>INPUT!DV588</f>
        <v>25</v>
      </c>
      <c r="BZ48" s="464">
        <f>INPUT!DW588</f>
        <v>0.2</v>
      </c>
      <c r="CA48" s="507">
        <f>INPUT!DX588</f>
        <v>0.2</v>
      </c>
      <c r="CB48" s="464">
        <f>INPUT!DY588</f>
        <v>0.2</v>
      </c>
      <c r="CC48" s="507">
        <f>INPUT!DZ588</f>
        <v>0</v>
      </c>
      <c r="CD48" s="464">
        <f>INPUT!EA588</f>
        <v>0.25</v>
      </c>
      <c r="CE48" s="507">
        <f>INPUT!EB588</f>
        <v>25</v>
      </c>
      <c r="CF48" s="464">
        <f>INPUT!EC588</f>
        <v>0.25</v>
      </c>
      <c r="CG48" s="507">
        <f>INPUT!ED588</f>
        <v>25</v>
      </c>
      <c r="CH48" s="464">
        <f>INPUT!EE588</f>
        <v>0.25</v>
      </c>
      <c r="CI48" s="507">
        <f>INPUT!EF588</f>
        <v>25</v>
      </c>
      <c r="CJ48" s="464">
        <f>INPUT!EG588</f>
        <v>0.25</v>
      </c>
      <c r="CK48" s="507">
        <f>INPUT!EH588</f>
        <v>25</v>
      </c>
      <c r="CL48" s="464">
        <f>INPUT!EI588</f>
        <v>0.28999999999999998</v>
      </c>
      <c r="CM48" s="507">
        <f>INPUT!EJ588</f>
        <v>15.999999999999993</v>
      </c>
      <c r="CN48" s="464">
        <f>INPUT!EK588</f>
        <v>0.28999999999999998</v>
      </c>
      <c r="CO48" s="507">
        <f>INPUT!EL588</f>
        <v>15.999999999999993</v>
      </c>
      <c r="CP48" s="464">
        <f>INPUT!EM588</f>
        <v>0.28999999999999998</v>
      </c>
      <c r="CQ48" s="507">
        <f>INPUT!EN588</f>
        <v>15.999999999999993</v>
      </c>
      <c r="CR48" s="464">
        <f>INPUT!EO588</f>
        <v>0.28999999999999998</v>
      </c>
      <c r="CS48" s="507">
        <f>INPUT!EP588</f>
        <v>15.999999999999993</v>
      </c>
      <c r="CT48" s="464">
        <f>INPUT!EQ588</f>
        <v>0.33</v>
      </c>
      <c r="CU48" s="507">
        <f>INPUT!ER588</f>
        <v>13.793103448275868</v>
      </c>
      <c r="CV48" s="464">
        <f>INPUT!ES588</f>
        <v>0.33</v>
      </c>
      <c r="CW48" s="507">
        <f>INPUT!ET588</f>
        <v>13.793103448275868</v>
      </c>
      <c r="CX48" s="464">
        <f>INPUT!EU588</f>
        <v>0.33</v>
      </c>
      <c r="CY48" s="507">
        <f>INPUT!EV588</f>
        <v>13.793103448275868</v>
      </c>
      <c r="CZ48" s="464">
        <f>INPUT!EW588</f>
        <v>0.33</v>
      </c>
      <c r="DA48" s="507">
        <f>INPUT!EX588</f>
        <v>13.793103448275868</v>
      </c>
      <c r="DB48" s="507"/>
      <c r="DC48" s="464">
        <f>INPUT!FP588</f>
        <v>1.46</v>
      </c>
      <c r="DD48" s="507">
        <f>INPUT!FQ588</f>
        <v>18.218623481781361</v>
      </c>
      <c r="DE48" s="464">
        <f>INPUT!FR588</f>
        <v>1.52</v>
      </c>
      <c r="DF48" s="507">
        <f>INPUT!FS588</f>
        <v>4.1095890410958846</v>
      </c>
      <c r="DG48" s="464">
        <f>INPUT!FT588</f>
        <v>1.6</v>
      </c>
      <c r="DH48" s="507">
        <f>INPUT!FU588</f>
        <v>5.2631578947368363</v>
      </c>
      <c r="DI48" s="464">
        <f>INPUT!FV588</f>
        <v>1.4549999999999998</v>
      </c>
      <c r="DJ48" s="507">
        <f>INPUT!FW588</f>
        <v>-9.0625000000000178</v>
      </c>
      <c r="DK48" s="464">
        <f>INPUT!FX588</f>
        <v>0.04</v>
      </c>
      <c r="DL48" s="507" t="str">
        <f>INPUT!FY588</f>
        <v>NM</v>
      </c>
      <c r="DM48" s="464">
        <f>INPUT!FZ588</f>
        <v>0.04</v>
      </c>
      <c r="DN48" s="507">
        <f>INPUT!GA588</f>
        <v>0</v>
      </c>
      <c r="DO48" s="464">
        <f>INPUT!GB588</f>
        <v>0.23000000000000004</v>
      </c>
      <c r="DP48" s="507" t="str">
        <f>INPUT!GC588</f>
        <v>NM</v>
      </c>
      <c r="DQ48" s="464">
        <f>INPUT!GD588</f>
        <v>0.36</v>
      </c>
      <c r="DR48" s="507">
        <f>INPUT!GE588</f>
        <v>56.521739130434746</v>
      </c>
      <c r="DS48" s="464">
        <f>INPUT!GF588</f>
        <v>0.52</v>
      </c>
      <c r="DT48" s="507">
        <f>INPUT!GG588</f>
        <v>44.444444444444464</v>
      </c>
      <c r="DU48" s="464">
        <f>INPUT!GH588</f>
        <v>0.67999999999999994</v>
      </c>
      <c r="DV48" s="507">
        <f>INPUT!GI588</f>
        <v>30.769230769230749</v>
      </c>
      <c r="DW48" s="464">
        <f>INPUT!GJ588</f>
        <v>0.8</v>
      </c>
      <c r="DX48" s="507">
        <f>INPUT!GK588</f>
        <v>17.647058823529438</v>
      </c>
      <c r="DY48" s="464">
        <f>INPUT!GL588</f>
        <v>1</v>
      </c>
      <c r="DZ48" s="507">
        <f>INPUT!GM588</f>
        <v>25</v>
      </c>
      <c r="EA48" s="464">
        <f>INPUT!GN588</f>
        <v>1.1599999999999999</v>
      </c>
      <c r="EB48" s="507">
        <f>INPUT!GO588</f>
        <v>15.999999999999993</v>
      </c>
      <c r="EC48" s="464">
        <f>INPUT!GP588</f>
        <v>1.32</v>
      </c>
      <c r="ED48" s="507">
        <f>INPUT!GQ588</f>
        <v>13.793103448275868</v>
      </c>
      <c r="EE48" s="464">
        <f>INPUT!GR588</f>
        <v>1.4256000000000002</v>
      </c>
      <c r="EF48" s="507">
        <f>INPUT!GS588</f>
        <v>8.0000000000000071</v>
      </c>
      <c r="EG48" s="464">
        <f>INPUT!GT588</f>
        <v>1.5396480000000003</v>
      </c>
      <c r="EH48" s="507">
        <f>INPUT!GU588</f>
        <v>8.0000000000000071</v>
      </c>
      <c r="EI48" s="464">
        <f>INPUT!GV588</f>
        <v>1.6628198400000005</v>
      </c>
      <c r="EJ48" s="507">
        <f>INPUT!GW588</f>
        <v>8.0000000000000071</v>
      </c>
      <c r="EK48" s="464">
        <f>INPUT!GX588</f>
        <v>1.7958454272000006</v>
      </c>
      <c r="EL48" s="507">
        <f>INPUT!GY588</f>
        <v>8.0000000000000071</v>
      </c>
      <c r="EM48" s="507">
        <f>INPUT!GZ588</f>
        <v>9.1345325978362091</v>
      </c>
    </row>
    <row r="49" spans="1:143" ht="12.75" customHeight="1" x14ac:dyDescent="0.2">
      <c r="A49" s="701" t="s">
        <v>154</v>
      </c>
      <c r="B49" s="156">
        <f>INPUT!AY589</f>
        <v>27.373663751214778</v>
      </c>
      <c r="C49" s="507">
        <f>INPUT!AZ589</f>
        <v>-10.122450803850501</v>
      </c>
      <c r="D49" s="156">
        <f>INPUT!BA589</f>
        <v>33.199777406789096</v>
      </c>
      <c r="E49" s="507">
        <f>INPUT!BB589</f>
        <v>25.16514697106944</v>
      </c>
      <c r="F49" s="156">
        <f>INPUT!BC589</f>
        <v>29.995527728085857</v>
      </c>
      <c r="G49" s="507">
        <f>INPUT!BD589</f>
        <v>16.966056789482575</v>
      </c>
      <c r="H49" s="156">
        <f>INPUT!BE589</f>
        <v>29.560006658159022</v>
      </c>
      <c r="I49" s="507">
        <f>INPUT!BF589</f>
        <v>17.735123247063346</v>
      </c>
      <c r="J49" s="156">
        <f>INPUT!BG589</f>
        <v>32.528727165586325</v>
      </c>
      <c r="K49" s="507">
        <f>INPUT!BH589</f>
        <v>18.8322011303393</v>
      </c>
      <c r="L49" s="156">
        <f>INPUT!BI589</f>
        <v>30.915002852253277</v>
      </c>
      <c r="M49" s="507">
        <f>INPUT!BJ589</f>
        <v>-6.8818972083487528</v>
      </c>
      <c r="N49" s="156">
        <f>INPUT!BK589</f>
        <v>32.391664158892567</v>
      </c>
      <c r="O49" s="507">
        <f>INPUT!BL589</f>
        <v>7.9883122995136446</v>
      </c>
      <c r="P49" s="156">
        <f>INPUT!BM589</f>
        <v>37.081592039801016</v>
      </c>
      <c r="Q49" s="507">
        <f>INPUT!BN589</f>
        <v>25.445141026603668</v>
      </c>
      <c r="R49" s="156">
        <f>INPUT!BO589</f>
        <v>36.414691151919854</v>
      </c>
      <c r="S49" s="507">
        <f>INPUT!BP589</f>
        <v>11.946252820014047</v>
      </c>
      <c r="T49" s="156">
        <f>INPUT!BQ589</f>
        <v>34.910563836681781</v>
      </c>
      <c r="U49" s="507">
        <f>INPUT!BR589</f>
        <v>12.924342926713607</v>
      </c>
      <c r="V49" s="156">
        <f>INPUT!BS589</f>
        <v>35.880092281879179</v>
      </c>
      <c r="W49" s="507">
        <f>INPUT!BT589</f>
        <v>10.76952423893578</v>
      </c>
      <c r="X49" s="156">
        <f>INPUT!BU589</f>
        <v>-42.561762391817417</v>
      </c>
      <c r="Y49" s="507" t="str">
        <f>INPUT!BV589</f>
        <v>NM</v>
      </c>
      <c r="Z49" s="156">
        <f>INPUT!BW589</f>
        <v>1.5806253832004902</v>
      </c>
      <c r="AA49" s="507" t="str">
        <f>INPUT!BX589</f>
        <v>NM</v>
      </c>
      <c r="AB49" s="156">
        <f>INPUT!BY589</f>
        <v>1.2657983598649289</v>
      </c>
      <c r="AC49" s="507" t="str">
        <f>INPUT!BZ589</f>
        <v>NM</v>
      </c>
      <c r="AD49" s="156">
        <f>INPUT!CA589</f>
        <v>1.1959415146020607</v>
      </c>
      <c r="AE49" s="507" t="str">
        <f>INPUT!CB589</f>
        <v>NM</v>
      </c>
      <c r="AF49" s="156">
        <f>INPUT!CC589</f>
        <v>1.1168458781362007</v>
      </c>
      <c r="AG49" s="507" t="str">
        <f>INPUT!CD589</f>
        <v>NM</v>
      </c>
      <c r="AH49" s="156">
        <f>INPUT!CE589</f>
        <v>1.2105508145849493</v>
      </c>
      <c r="AI49" s="507">
        <f>INPUT!CF589</f>
        <v>-23.413173832891676</v>
      </c>
      <c r="AJ49" s="156">
        <f>INPUT!CG589</f>
        <v>1.1549192364170338</v>
      </c>
      <c r="AK49" s="507">
        <f>INPUT!CH589</f>
        <v>-8.7596197754377663</v>
      </c>
      <c r="AL49" s="156">
        <f>INPUT!CI589</f>
        <v>1.5918866080156406</v>
      </c>
      <c r="AM49" s="507">
        <f>INPUT!CJ589</f>
        <v>33.107396020559364</v>
      </c>
      <c r="AN49" s="156">
        <f>INPUT!CK589</f>
        <v>1.2176204819277119</v>
      </c>
      <c r="AO49" s="507">
        <f>INPUT!CL589</f>
        <v>9.0231432791500588</v>
      </c>
      <c r="AP49" s="156">
        <f>INPUT!CM589</f>
        <v>5.0155327741534608</v>
      </c>
      <c r="AQ49" s="507" t="str">
        <f>INPUT!CN589</f>
        <v>NM</v>
      </c>
      <c r="AR49" s="156">
        <f>INPUT!CO589</f>
        <v>4.9261311172668538</v>
      </c>
      <c r="AS49" s="507" t="str">
        <f>INPUT!CP589</f>
        <v>NM</v>
      </c>
      <c r="AT49" s="156">
        <f>INPUT!CQ589</f>
        <v>4.8312170950758766</v>
      </c>
      <c r="AU49" s="507" t="str">
        <f>INPUT!CR589</f>
        <v>NM</v>
      </c>
      <c r="AV49" s="156">
        <f>INPUT!CS589</f>
        <v>8.7624548736462096</v>
      </c>
      <c r="AW49" s="507" t="str">
        <f>INPUT!CT589</f>
        <v>NM</v>
      </c>
      <c r="AX49" s="156">
        <f>INPUT!CU589</f>
        <v>8.0791808873720132</v>
      </c>
      <c r="AY49" s="507">
        <f>INPUT!CV589</f>
        <v>61.083203942090591</v>
      </c>
      <c r="AZ49" s="156">
        <f>INPUT!CW589</f>
        <v>7.3650793650793647</v>
      </c>
      <c r="BA49" s="507">
        <f>INPUT!CX589</f>
        <v>49.510420850626957</v>
      </c>
      <c r="BB49" s="156">
        <f>INPUT!CY589</f>
        <v>6.2917127071823202</v>
      </c>
      <c r="BC49" s="507">
        <f>INPUT!CZ589</f>
        <v>30.230386740331451</v>
      </c>
      <c r="BD49" s="156">
        <f>INPUT!DA589</f>
        <v>10.881290322580647</v>
      </c>
      <c r="BE49" s="507">
        <f>INPUT!DB589</f>
        <v>24.18084292002467</v>
      </c>
      <c r="BF49" s="156">
        <f>INPUT!DC589</f>
        <v>11.730526315789474</v>
      </c>
      <c r="BG49" s="507">
        <f>INPUT!DD589</f>
        <v>45.194500275697713</v>
      </c>
      <c r="BH49" s="156">
        <f>INPUT!DE589</f>
        <v>9.4256410256410241</v>
      </c>
      <c r="BI49" s="507">
        <f>INPUT!DF589</f>
        <v>27.977453580901845</v>
      </c>
      <c r="BJ49" s="156">
        <f>INPUT!DG589</f>
        <v>8.9493188010899178</v>
      </c>
      <c r="BK49" s="507">
        <f>INPUT!DH589</f>
        <v>42.239787758805349</v>
      </c>
      <c r="BL49" s="156">
        <f>INPUT!DI589</f>
        <v>11.426178010471205</v>
      </c>
      <c r="BM49" s="507">
        <f>INPUT!DJ589</f>
        <v>5.0075650197460186</v>
      </c>
      <c r="BN49" s="156">
        <f>INPUT!DK589</f>
        <v>11.960439560439562</v>
      </c>
      <c r="BO49" s="507">
        <f>INPUT!DL589</f>
        <v>1.959956769719895</v>
      </c>
      <c r="BP49" s="156">
        <f>INPUT!DM589</f>
        <v>10.892151898734175</v>
      </c>
      <c r="BQ49" s="507">
        <f>INPUT!DN589</f>
        <v>15.558738860346267</v>
      </c>
      <c r="BR49" s="156">
        <f>INPUT!DO589</f>
        <v>10.261538461538462</v>
      </c>
      <c r="BS49" s="507">
        <f>INPUT!DP589</f>
        <v>14.662788192199972</v>
      </c>
      <c r="BT49" s="156">
        <f>INPUT!DQ589</f>
        <v>11.954545454545455</v>
      </c>
      <c r="BU49" s="507">
        <f>INPUT!DR589</f>
        <v>4.6241835510530516</v>
      </c>
      <c r="BV49" s="156">
        <f>INPUT!DS589</f>
        <v>14.806818181818185</v>
      </c>
      <c r="BW49" s="507">
        <f>INPUT!DT589</f>
        <v>23.798277705389069</v>
      </c>
      <c r="BX49" s="156">
        <f>INPUT!DU589</f>
        <v>13.741239892183287</v>
      </c>
      <c r="BY49" s="507">
        <f>INPUT!DV589</f>
        <v>26.157255425167335</v>
      </c>
      <c r="BZ49" s="156">
        <f>INPUT!DW589</f>
        <v>17.957446808510639</v>
      </c>
      <c r="CA49" s="507">
        <f>INPUT!DX589</f>
        <v>17.957446808510639</v>
      </c>
      <c r="CB49" s="156">
        <f>INPUT!DY589</f>
        <v>13.029315960912053</v>
      </c>
      <c r="CC49" s="507">
        <f>INPUT!DZ589</f>
        <v>8.9904757186559436</v>
      </c>
      <c r="CD49" s="156">
        <f>INPUT!EA589</f>
        <v>19.952114924181966</v>
      </c>
      <c r="CE49" s="507">
        <f>INPUT!EB589</f>
        <v>34.749509848657922</v>
      </c>
      <c r="CF49" s="156">
        <f>INPUT!EC589</f>
        <v>16.077170418006432</v>
      </c>
      <c r="CG49" s="507">
        <f>INPUT!ED589</f>
        <v>16.999415949007201</v>
      </c>
      <c r="CH49" s="156">
        <f>INPUT!EE589</f>
        <v>13.241525423728815</v>
      </c>
      <c r="CI49" s="507">
        <f>INPUT!EF589</f>
        <v>-26.261647521889309</v>
      </c>
      <c r="CJ49" s="156">
        <f>INPUT!EG589</f>
        <v>14.11631846414455</v>
      </c>
      <c r="CK49" s="507">
        <f>INPUT!EH589</f>
        <v>8.3427442123094266</v>
      </c>
      <c r="CL49" s="156">
        <f>INPUT!EI589</f>
        <v>15.096304008328994</v>
      </c>
      <c r="CM49" s="507">
        <f>INPUT!EJ589</f>
        <v>-24.337324310255092</v>
      </c>
      <c r="CN49" s="156">
        <f>INPUT!EK589</f>
        <v>15.718157181571815</v>
      </c>
      <c r="CO49" s="507">
        <f>INPUT!EL589</f>
        <v>-2.2330623306233144</v>
      </c>
      <c r="CP49" s="156">
        <f>INPUT!EM589</f>
        <v>14.299802761341221</v>
      </c>
      <c r="CQ49" s="507">
        <f>INPUT!EN589</f>
        <v>7.9921104536488929</v>
      </c>
      <c r="CR49" s="156">
        <f>INPUT!EO589</f>
        <v>14.624306606152293</v>
      </c>
      <c r="CS49" s="507">
        <f>INPUT!EP589</f>
        <v>3.5985879979828495</v>
      </c>
      <c r="CT49" s="156">
        <f>INPUT!EQ589</f>
        <v>16.865220357711394</v>
      </c>
      <c r="CU49" s="507">
        <f>INPUT!ER589</f>
        <v>11.717545886771008</v>
      </c>
      <c r="CV49" s="156">
        <f>INPUT!ES589</f>
        <v>15.860036425129257</v>
      </c>
      <c r="CW49" s="507">
        <f>INPUT!ET589</f>
        <v>0.90264553228787126</v>
      </c>
      <c r="CX49" s="156">
        <f>INPUT!EU589</f>
        <v>15.207847101095878</v>
      </c>
      <c r="CY49" s="507">
        <f>INPUT!EV589</f>
        <v>6.3500480035256768</v>
      </c>
      <c r="CZ49" s="156">
        <f>INPUT!EW589</f>
        <v>14.726458071517424</v>
      </c>
      <c r="DA49" s="507">
        <f>INPUT!EX589</f>
        <v>0.69850467523810966</v>
      </c>
      <c r="DB49" s="507"/>
      <c r="DC49" s="156">
        <f>INPUT!FP589</f>
        <v>26.783102558867277</v>
      </c>
      <c r="DD49" s="507">
        <f>INPUT!FQ589</f>
        <v>-27.583235897350932</v>
      </c>
      <c r="DE49" s="156">
        <f>INPUT!FR589</f>
        <v>30.175533896200648</v>
      </c>
      <c r="DF49" s="507">
        <f>INPUT!FS589</f>
        <v>12.666312014737869</v>
      </c>
      <c r="DG49" s="156">
        <f>INPUT!FT589</f>
        <v>33.110741803897881</v>
      </c>
      <c r="DH49" s="507">
        <f>INPUT!FU589</f>
        <v>9.7271117647625083</v>
      </c>
      <c r="DI49" s="156">
        <f>INPUT!FV589</f>
        <v>48.452293806161713</v>
      </c>
      <c r="DJ49" s="507">
        <f>INPUT!FW589</f>
        <v>46.334063105942811</v>
      </c>
      <c r="DK49" s="156">
        <f>INPUT!FX589</f>
        <v>1.2566447650807275</v>
      </c>
      <c r="DL49" s="507" t="str">
        <f>INPUT!FY589</f>
        <v>NM</v>
      </c>
      <c r="DM49" s="156">
        <f>INPUT!FZ589</f>
        <v>1.2752698920431838</v>
      </c>
      <c r="DN49" s="507">
        <f>INPUT!GA589</f>
        <v>1.482131424886779</v>
      </c>
      <c r="DO49" s="156">
        <f>INPUT!GB589</f>
        <v>5.811341942728804</v>
      </c>
      <c r="DP49" s="507" t="str">
        <f>INPUT!GC589</f>
        <v>NM</v>
      </c>
      <c r="DQ49" s="156">
        <f>INPUT!GD589</f>
        <v>8.088750000000001</v>
      </c>
      <c r="DR49" s="507">
        <f>INPUT!GE589</f>
        <v>39.18902173913046</v>
      </c>
      <c r="DS49" s="156">
        <f>INPUT!GF589</f>
        <v>10.332418772563177</v>
      </c>
      <c r="DT49" s="507">
        <f>INPUT!GG589</f>
        <v>27.738139670074791</v>
      </c>
      <c r="DU49" s="156">
        <f>INPUT!GH589</f>
        <v>11.284210526315789</v>
      </c>
      <c r="DV49" s="507">
        <f>INPUT!GI589</f>
        <v>9.2117032294510857</v>
      </c>
      <c r="DW49" s="156">
        <f>INPUT!GJ589</f>
        <v>14.673395818312907</v>
      </c>
      <c r="DX49" s="507">
        <f>INPUT!GK589</f>
        <v>30.034757718258032</v>
      </c>
      <c r="DY49" s="156">
        <f>INPUT!GL589</f>
        <v>15.514705882352942</v>
      </c>
      <c r="DZ49" s="507">
        <f>INPUT!GM589</f>
        <v>5.7335743849426635</v>
      </c>
      <c r="EA49" s="156">
        <f>INPUT!GN589</f>
        <v>14.922193732193731</v>
      </c>
      <c r="EB49" s="507">
        <f>INPUT!GO589</f>
        <v>-3.8190356597939679</v>
      </c>
      <c r="EC49" s="156">
        <f>INPUT!GP589</f>
        <v>15.62647566216741</v>
      </c>
      <c r="ED49" s="507">
        <f>INPUT!GQ589</f>
        <v>4.7196943198387187</v>
      </c>
      <c r="EE49" s="156">
        <f>INPUT!GR589</f>
        <v>15.490275092432249</v>
      </c>
      <c r="EF49" s="507">
        <f>INPUT!GS589</f>
        <v>-0.87160133020210973</v>
      </c>
      <c r="EG49" s="156">
        <f>INPUT!GT589</f>
        <v>14.949845166373679</v>
      </c>
      <c r="EH49" s="507">
        <f>INPUT!GU589</f>
        <v>-3.4888336251858831</v>
      </c>
      <c r="EI49" s="156">
        <f>INPUT!GV589</f>
        <v>14.983381533420214</v>
      </c>
      <c r="EJ49" s="507">
        <f>INPUT!GW589</f>
        <v>0.22432584868483652</v>
      </c>
      <c r="EK49" s="156">
        <f>INPUT!GX589</f>
        <v>14.965414858337311</v>
      </c>
      <c r="EL49" s="507">
        <f>INPUT!GY589</f>
        <v>-0.11991068266418159</v>
      </c>
      <c r="EM49" s="507">
        <f>INPUT!GZ589</f>
        <v>5.7861650822155219E-2</v>
      </c>
    </row>
    <row r="50" spans="1:143" ht="12.75" customHeight="1" x14ac:dyDescent="0.2">
      <c r="A50" s="411"/>
      <c r="B50" s="16"/>
      <c r="C50" s="507"/>
      <c r="D50" s="16"/>
      <c r="E50" s="687"/>
      <c r="F50" s="16"/>
      <c r="G50" s="687"/>
      <c r="H50" s="16"/>
      <c r="I50" s="687"/>
      <c r="J50" s="16"/>
      <c r="K50" s="507"/>
      <c r="L50" s="16"/>
      <c r="M50" s="507"/>
      <c r="N50" s="16"/>
      <c r="O50" s="507"/>
      <c r="P50" s="16"/>
      <c r="Q50" s="507"/>
      <c r="R50" s="16"/>
      <c r="S50" s="507"/>
      <c r="T50" s="16"/>
      <c r="U50" s="507"/>
      <c r="V50" s="16"/>
      <c r="W50" s="507"/>
      <c r="X50" s="16"/>
      <c r="Y50" s="507"/>
      <c r="Z50" s="16"/>
      <c r="AA50" s="507"/>
      <c r="AB50" s="16"/>
      <c r="AC50" s="507"/>
      <c r="AD50" s="16"/>
      <c r="AE50" s="507"/>
      <c r="AF50" s="16"/>
      <c r="AG50" s="507"/>
      <c r="AH50" s="16"/>
      <c r="AI50" s="507"/>
      <c r="AJ50" s="16"/>
      <c r="AK50" s="507"/>
      <c r="AL50" s="16"/>
      <c r="AM50" s="507"/>
      <c r="AN50" s="16"/>
      <c r="AO50" s="507"/>
      <c r="AP50" s="16"/>
      <c r="AQ50" s="507"/>
      <c r="AR50" s="16"/>
      <c r="AS50" s="507"/>
      <c r="AT50" s="16"/>
      <c r="AU50" s="507"/>
      <c r="AV50" s="16"/>
      <c r="AW50" s="507"/>
      <c r="AX50" s="16"/>
      <c r="AY50" s="507"/>
      <c r="AZ50" s="16"/>
      <c r="BA50" s="507"/>
      <c r="BB50" s="16"/>
      <c r="BC50" s="507"/>
      <c r="BD50" s="16"/>
      <c r="BE50" s="507"/>
      <c r="BF50" s="16"/>
      <c r="BG50" s="507"/>
      <c r="BH50" s="16"/>
      <c r="BI50" s="507"/>
      <c r="BJ50" s="16"/>
      <c r="BK50" s="507"/>
      <c r="BL50" s="16"/>
      <c r="BM50" s="507"/>
      <c r="BN50" s="16"/>
      <c r="BO50" s="507"/>
      <c r="BP50" s="16"/>
      <c r="BQ50" s="507"/>
      <c r="BR50" s="16"/>
      <c r="BS50" s="507"/>
      <c r="BT50" s="16"/>
      <c r="BU50" s="507"/>
      <c r="BV50" s="16"/>
      <c r="BW50" s="507"/>
      <c r="BX50" s="16"/>
      <c r="BY50" s="507"/>
      <c r="BZ50" s="16"/>
      <c r="CA50" s="507"/>
      <c r="CB50" s="16"/>
      <c r="CC50" s="507"/>
      <c r="CD50" s="16"/>
      <c r="CE50" s="507"/>
      <c r="CF50" s="16"/>
      <c r="CG50" s="507"/>
      <c r="CH50" s="16"/>
      <c r="CI50" s="507"/>
      <c r="CJ50" s="16"/>
      <c r="CK50" s="507"/>
      <c r="CL50" s="16"/>
      <c r="CM50" s="507"/>
      <c r="CN50" s="16"/>
      <c r="CO50" s="507"/>
      <c r="CP50" s="16"/>
      <c r="CQ50" s="507"/>
      <c r="CR50" s="16"/>
      <c r="CS50" s="507"/>
      <c r="CT50" s="16"/>
      <c r="CU50" s="507"/>
      <c r="CV50" s="16"/>
      <c r="CW50" s="507"/>
      <c r="CX50" s="16"/>
      <c r="CY50" s="507"/>
      <c r="CZ50" s="16"/>
      <c r="DA50" s="507"/>
      <c r="DB50" s="507"/>
      <c r="DC50" s="16"/>
      <c r="DD50" s="507"/>
      <c r="DE50" s="16"/>
      <c r="DF50" s="507"/>
      <c r="DG50" s="16"/>
      <c r="DH50" s="507"/>
      <c r="DI50" s="16"/>
      <c r="DJ50" s="507"/>
      <c r="DK50" s="16"/>
      <c r="DL50" s="122"/>
      <c r="DM50" s="16"/>
      <c r="DN50" s="507"/>
      <c r="DO50" s="151"/>
      <c r="DP50" s="507"/>
      <c r="DQ50" s="151"/>
      <c r="DR50" s="507"/>
      <c r="DS50" s="151"/>
      <c r="DT50" s="507"/>
      <c r="DU50" s="151"/>
      <c r="DV50" s="507"/>
      <c r="DW50" s="151"/>
      <c r="DX50" s="507"/>
      <c r="DY50" s="151"/>
      <c r="DZ50" s="507"/>
      <c r="EA50" s="151"/>
      <c r="EB50" s="507"/>
      <c r="EC50" s="151"/>
      <c r="ED50" s="507"/>
      <c r="EE50" s="16"/>
      <c r="EF50" s="507"/>
      <c r="EG50" s="16"/>
      <c r="EH50" s="507"/>
      <c r="EI50" s="16"/>
      <c r="EJ50" s="507"/>
      <c r="EK50" s="16"/>
      <c r="EL50" s="507"/>
      <c r="EM50" s="687"/>
    </row>
    <row r="51" spans="1:143" ht="12.75" customHeight="1" x14ac:dyDescent="0.2">
      <c r="A51" s="688" t="s">
        <v>374</v>
      </c>
      <c r="B51" s="16"/>
      <c r="C51" s="507"/>
      <c r="D51" s="16"/>
      <c r="E51" s="687"/>
      <c r="F51" s="16"/>
      <c r="G51" s="687"/>
      <c r="H51" s="16"/>
      <c r="I51" s="687"/>
      <c r="J51" s="16"/>
      <c r="K51" s="507"/>
      <c r="L51" s="16"/>
      <c r="M51" s="507"/>
      <c r="N51" s="16"/>
      <c r="O51" s="507"/>
      <c r="P51" s="16"/>
      <c r="Q51" s="507"/>
      <c r="R51" s="16"/>
      <c r="S51" s="507"/>
      <c r="T51" s="16"/>
      <c r="U51" s="507"/>
      <c r="V51" s="16"/>
      <c r="W51" s="507"/>
      <c r="X51" s="16"/>
      <c r="Y51" s="507"/>
      <c r="Z51" s="16"/>
      <c r="AA51" s="507"/>
      <c r="AB51" s="16"/>
      <c r="AC51" s="507"/>
      <c r="AD51" s="16"/>
      <c r="AE51" s="507"/>
      <c r="AF51" s="16"/>
      <c r="AG51" s="507"/>
      <c r="AH51" s="16"/>
      <c r="AI51" s="507"/>
      <c r="AJ51" s="16"/>
      <c r="AK51" s="507"/>
      <c r="AL51" s="16"/>
      <c r="AM51" s="507"/>
      <c r="AN51" s="16"/>
      <c r="AO51" s="507"/>
      <c r="AP51" s="16"/>
      <c r="AQ51" s="507"/>
      <c r="AR51" s="16"/>
      <c r="AS51" s="507"/>
      <c r="AT51" s="16"/>
      <c r="AU51" s="507"/>
      <c r="AV51" s="16"/>
      <c r="AW51" s="507"/>
      <c r="AX51" s="16"/>
      <c r="AY51" s="507"/>
      <c r="AZ51" s="16"/>
      <c r="BA51" s="507"/>
      <c r="BB51" s="16"/>
      <c r="BC51" s="507"/>
      <c r="BD51" s="16"/>
      <c r="BE51" s="507"/>
      <c r="BF51" s="16"/>
      <c r="BG51" s="507"/>
      <c r="BH51" s="16"/>
      <c r="BI51" s="507"/>
      <c r="BJ51" s="16"/>
      <c r="BK51" s="507"/>
      <c r="BL51" s="16"/>
      <c r="BM51" s="507"/>
      <c r="BN51" s="16"/>
      <c r="BO51" s="507"/>
      <c r="BP51" s="16"/>
      <c r="BQ51" s="507"/>
      <c r="BR51" s="16"/>
      <c r="BS51" s="507"/>
      <c r="BT51" s="16"/>
      <c r="BU51" s="507"/>
      <c r="BV51" s="16"/>
      <c r="BW51" s="507"/>
      <c r="BX51" s="16"/>
      <c r="BY51" s="507"/>
      <c r="BZ51" s="16"/>
      <c r="CA51" s="507"/>
      <c r="CB51" s="16"/>
      <c r="CC51" s="507"/>
      <c r="CD51" s="16"/>
      <c r="CE51" s="507"/>
      <c r="CF51" s="16"/>
      <c r="CG51" s="507"/>
      <c r="CH51" s="16"/>
      <c r="CI51" s="507"/>
      <c r="CJ51" s="16"/>
      <c r="CK51" s="507"/>
      <c r="CL51" s="16"/>
      <c r="CM51" s="507"/>
      <c r="CN51" s="16"/>
      <c r="CO51" s="507"/>
      <c r="CP51" s="16"/>
      <c r="CQ51" s="507"/>
      <c r="CR51" s="16"/>
      <c r="CS51" s="507"/>
      <c r="CT51" s="16"/>
      <c r="CU51" s="507"/>
      <c r="CV51" s="16"/>
      <c r="CW51" s="507"/>
      <c r="CX51" s="16"/>
      <c r="CY51" s="507"/>
      <c r="CZ51" s="16"/>
      <c r="DA51" s="507"/>
      <c r="DB51" s="507"/>
      <c r="DC51" s="16"/>
      <c r="DD51" s="507"/>
      <c r="DE51" s="16"/>
      <c r="DF51" s="507"/>
      <c r="DG51" s="16"/>
      <c r="DH51" s="507"/>
      <c r="DI51" s="16"/>
      <c r="DJ51" s="507"/>
      <c r="DK51" s="16"/>
      <c r="DL51" s="507"/>
      <c r="DM51" s="16"/>
      <c r="DN51" s="507"/>
      <c r="DO51" s="16"/>
      <c r="DP51" s="507"/>
      <c r="DQ51" s="16"/>
      <c r="DR51" s="507"/>
      <c r="DS51" s="16"/>
      <c r="DT51" s="507"/>
      <c r="DU51" s="16"/>
      <c r="DV51" s="507"/>
      <c r="DW51" s="16"/>
      <c r="DX51" s="507"/>
      <c r="DY51" s="16"/>
      <c r="DZ51" s="507"/>
      <c r="EA51" s="16"/>
      <c r="EB51" s="507"/>
      <c r="EC51" s="16"/>
      <c r="ED51" s="507"/>
      <c r="EE51" s="16"/>
      <c r="EF51" s="507"/>
      <c r="EG51" s="16"/>
      <c r="EH51" s="507"/>
      <c r="EI51" s="16"/>
      <c r="EJ51" s="507"/>
      <c r="EK51" s="16"/>
      <c r="EL51" s="507"/>
      <c r="EM51" s="687"/>
    </row>
    <row r="52" spans="1:143" ht="12.75" customHeight="1" x14ac:dyDescent="0.2">
      <c r="A52" s="689" t="s">
        <v>174</v>
      </c>
      <c r="B52" s="16"/>
      <c r="C52" s="507"/>
      <c r="D52" s="16"/>
      <c r="E52" s="687"/>
      <c r="F52" s="16"/>
      <c r="G52" s="687"/>
      <c r="H52" s="16"/>
      <c r="I52" s="687"/>
      <c r="J52" s="16"/>
      <c r="K52" s="507"/>
      <c r="L52" s="16"/>
      <c r="M52" s="507"/>
      <c r="N52" s="16"/>
      <c r="O52" s="507"/>
      <c r="P52" s="16"/>
      <c r="Q52" s="507"/>
      <c r="R52" s="16"/>
      <c r="S52" s="507"/>
      <c r="T52" s="16"/>
      <c r="U52" s="507"/>
      <c r="V52" s="16"/>
      <c r="W52" s="507"/>
      <c r="X52" s="16"/>
      <c r="Y52" s="507"/>
      <c r="Z52" s="16"/>
      <c r="AA52" s="507"/>
      <c r="AB52" s="16"/>
      <c r="AC52" s="507"/>
      <c r="AD52" s="16"/>
      <c r="AE52" s="507"/>
      <c r="AF52" s="16"/>
      <c r="AG52" s="507"/>
      <c r="AH52" s="16"/>
      <c r="AI52" s="507"/>
      <c r="AJ52" s="16"/>
      <c r="AK52" s="507"/>
      <c r="AL52" s="16"/>
      <c r="AM52" s="507"/>
      <c r="AN52" s="16"/>
      <c r="AO52" s="507"/>
      <c r="AP52" s="16"/>
      <c r="AQ52" s="507"/>
      <c r="AR52" s="16"/>
      <c r="AS52" s="507"/>
      <c r="AT52" s="16"/>
      <c r="AU52" s="507"/>
      <c r="AV52" s="16"/>
      <c r="AW52" s="507"/>
      <c r="AX52" s="16"/>
      <c r="AY52" s="507"/>
      <c r="AZ52" s="16"/>
      <c r="BA52" s="507"/>
      <c r="BB52" s="16"/>
      <c r="BC52" s="507"/>
      <c r="BD52" s="16"/>
      <c r="BE52" s="507"/>
      <c r="BF52" s="16"/>
      <c r="BG52" s="507"/>
      <c r="BH52" s="16"/>
      <c r="BI52" s="507"/>
      <c r="BJ52" s="16"/>
      <c r="BK52" s="507"/>
      <c r="BL52" s="16"/>
      <c r="BM52" s="507"/>
      <c r="BN52" s="16"/>
      <c r="BO52" s="507"/>
      <c r="BP52" s="16"/>
      <c r="BQ52" s="507"/>
      <c r="BR52" s="16"/>
      <c r="BS52" s="507"/>
      <c r="BT52" s="16"/>
      <c r="BU52" s="507"/>
      <c r="BV52" s="16"/>
      <c r="BW52" s="507"/>
      <c r="BX52" s="16"/>
      <c r="BY52" s="507"/>
      <c r="BZ52" s="16"/>
      <c r="CA52" s="507"/>
      <c r="CB52" s="16"/>
      <c r="CC52" s="507"/>
      <c r="CD52" s="16"/>
      <c r="CE52" s="507"/>
      <c r="CF52" s="16"/>
      <c r="CG52" s="507"/>
      <c r="CH52" s="16"/>
      <c r="CI52" s="507"/>
      <c r="CJ52" s="16"/>
      <c r="CK52" s="507"/>
      <c r="CL52" s="16"/>
      <c r="CM52" s="507"/>
      <c r="CN52" s="16"/>
      <c r="CO52" s="507"/>
      <c r="CP52" s="16"/>
      <c r="CQ52" s="507"/>
      <c r="CR52" s="16"/>
      <c r="CS52" s="507"/>
      <c r="CT52" s="16"/>
      <c r="CU52" s="507"/>
      <c r="CV52" s="16"/>
      <c r="CW52" s="507"/>
      <c r="CX52" s="16"/>
      <c r="CY52" s="507"/>
      <c r="CZ52" s="16"/>
      <c r="DA52" s="507"/>
      <c r="DB52" s="507"/>
      <c r="DC52" s="16"/>
      <c r="DD52" s="507"/>
      <c r="DE52" s="16"/>
      <c r="DF52" s="507"/>
      <c r="DG52" s="16"/>
      <c r="DH52" s="507"/>
      <c r="DI52" s="16"/>
      <c r="DJ52" s="507"/>
      <c r="DK52" s="16"/>
      <c r="DL52" s="507"/>
      <c r="DM52" s="16"/>
      <c r="DN52" s="507"/>
      <c r="DO52" s="16"/>
      <c r="DP52" s="507"/>
      <c r="DQ52" s="16"/>
      <c r="DR52" s="507"/>
      <c r="DS52" s="16"/>
      <c r="DT52" s="507"/>
      <c r="DU52" s="16"/>
      <c r="DV52" s="507"/>
      <c r="DW52" s="16"/>
      <c r="DX52" s="507"/>
      <c r="DY52" s="16"/>
      <c r="DZ52" s="507"/>
      <c r="EA52" s="16"/>
      <c r="EB52" s="507"/>
      <c r="EC52" s="16"/>
      <c r="ED52" s="507"/>
      <c r="EE52" s="16"/>
      <c r="EF52" s="507"/>
      <c r="EG52" s="16"/>
      <c r="EH52" s="507"/>
      <c r="EI52" s="16"/>
      <c r="EJ52" s="507"/>
      <c r="EK52" s="16"/>
      <c r="EL52" s="507"/>
      <c r="EM52" s="687"/>
    </row>
    <row r="53" spans="1:143" ht="12.75" customHeight="1" x14ac:dyDescent="0.2">
      <c r="B53" s="16"/>
      <c r="C53" s="507"/>
      <c r="D53" s="16"/>
      <c r="E53" s="687"/>
      <c r="F53" s="16"/>
      <c r="G53" s="687"/>
      <c r="H53" s="16"/>
      <c r="I53" s="687"/>
      <c r="J53" s="16"/>
      <c r="K53" s="507"/>
      <c r="L53" s="16"/>
      <c r="M53" s="507"/>
      <c r="N53" s="16"/>
      <c r="O53" s="507"/>
      <c r="P53" s="16"/>
      <c r="Q53" s="507"/>
      <c r="R53" s="16"/>
      <c r="S53" s="507"/>
      <c r="T53" s="16"/>
      <c r="U53" s="507"/>
      <c r="V53" s="16"/>
      <c r="W53" s="507"/>
      <c r="X53" s="16"/>
      <c r="Y53" s="507"/>
      <c r="Z53" s="16"/>
      <c r="AA53" s="507"/>
      <c r="AB53" s="16"/>
      <c r="AC53" s="507"/>
      <c r="AD53" s="16"/>
      <c r="AE53" s="507"/>
      <c r="AF53" s="16"/>
      <c r="AG53" s="507"/>
      <c r="AH53" s="16"/>
      <c r="AI53" s="507"/>
      <c r="AJ53" s="16"/>
      <c r="AK53" s="507"/>
      <c r="AL53" s="16"/>
      <c r="AM53" s="507"/>
      <c r="AN53" s="16"/>
      <c r="AO53" s="507"/>
      <c r="AP53" s="16"/>
      <c r="AQ53" s="507"/>
      <c r="AR53" s="16"/>
      <c r="AS53" s="507"/>
      <c r="AT53" s="16"/>
      <c r="AU53" s="507"/>
      <c r="AV53" s="16"/>
      <c r="AW53" s="507"/>
      <c r="AX53" s="16"/>
      <c r="AY53" s="507"/>
      <c r="AZ53" s="16"/>
      <c r="BA53" s="507"/>
      <c r="BB53" s="16"/>
      <c r="BC53" s="507"/>
      <c r="BD53" s="16"/>
      <c r="BE53" s="507"/>
      <c r="BF53" s="16"/>
      <c r="BG53" s="507"/>
      <c r="BH53" s="16"/>
      <c r="BI53" s="507"/>
      <c r="BJ53" s="16"/>
      <c r="BK53" s="507"/>
      <c r="BL53" s="16"/>
      <c r="BM53" s="507"/>
      <c r="BN53" s="16"/>
      <c r="BO53" s="507"/>
      <c r="BP53" s="16"/>
      <c r="BQ53" s="507"/>
      <c r="BR53" s="16"/>
      <c r="BS53" s="507"/>
      <c r="BT53" s="16"/>
      <c r="BU53" s="507"/>
      <c r="BV53" s="16"/>
      <c r="BW53" s="507"/>
      <c r="BX53" s="16"/>
      <c r="BY53" s="507"/>
      <c r="BZ53" s="16"/>
      <c r="CA53" s="507"/>
      <c r="CB53" s="16"/>
      <c r="CC53" s="507"/>
      <c r="CD53" s="16"/>
      <c r="CE53" s="507"/>
      <c r="CF53" s="16"/>
      <c r="CG53" s="507"/>
      <c r="CH53" s="16"/>
      <c r="CI53" s="507"/>
      <c r="CJ53" s="16"/>
      <c r="CK53" s="507"/>
      <c r="CL53" s="16"/>
      <c r="CM53" s="507"/>
      <c r="CN53" s="16"/>
      <c r="CO53" s="507"/>
      <c r="CP53" s="16"/>
      <c r="CQ53" s="507"/>
      <c r="CR53" s="16"/>
      <c r="CS53" s="507"/>
      <c r="CT53" s="16"/>
      <c r="CU53" s="507"/>
      <c r="CV53" s="16"/>
      <c r="CW53" s="507"/>
      <c r="CX53" s="16"/>
      <c r="CY53" s="507"/>
      <c r="CZ53" s="16"/>
      <c r="DA53" s="507"/>
      <c r="DB53" s="507"/>
      <c r="DC53" s="16"/>
      <c r="DD53" s="507"/>
      <c r="DE53" s="16"/>
      <c r="DF53" s="507"/>
      <c r="DG53" s="16"/>
      <c r="DH53" s="507"/>
      <c r="DI53" s="16"/>
      <c r="DJ53" s="507"/>
      <c r="DK53" s="16"/>
      <c r="DL53" s="507"/>
      <c r="DM53" s="16"/>
      <c r="DN53" s="507"/>
      <c r="DO53" s="16"/>
      <c r="DP53" s="507"/>
      <c r="DQ53" s="16"/>
      <c r="DR53" s="507"/>
      <c r="DS53" s="16"/>
      <c r="DT53" s="507"/>
      <c r="DU53" s="16"/>
      <c r="DV53" s="507"/>
      <c r="DW53" s="16"/>
      <c r="DX53" s="507"/>
      <c r="DY53" s="16"/>
      <c r="DZ53" s="507"/>
      <c r="EA53" s="16"/>
      <c r="EB53" s="507"/>
      <c r="EC53" s="16"/>
      <c r="ED53" s="507"/>
      <c r="EE53" s="16"/>
      <c r="EF53" s="507"/>
      <c r="EG53" s="16"/>
      <c r="EH53" s="507"/>
      <c r="EI53" s="16"/>
      <c r="EJ53" s="507"/>
      <c r="EK53" s="16"/>
      <c r="EL53" s="507"/>
      <c r="EM53" s="687"/>
    </row>
    <row r="54" spans="1:143" s="774" customFormat="1" ht="21.95" customHeight="1" x14ac:dyDescent="0.3">
      <c r="A54" s="770" t="str">
        <f>$A$1</f>
        <v>Lincoln National</v>
      </c>
      <c r="B54" s="771"/>
      <c r="C54" s="772"/>
      <c r="D54" s="771"/>
      <c r="E54" s="773"/>
      <c r="F54" s="771"/>
      <c r="G54" s="773"/>
      <c r="H54" s="771"/>
      <c r="I54" s="773"/>
      <c r="J54" s="771"/>
      <c r="K54" s="772"/>
      <c r="L54" s="771"/>
      <c r="M54" s="772"/>
      <c r="N54" s="771"/>
      <c r="O54" s="772"/>
      <c r="P54" s="771"/>
      <c r="Q54" s="772"/>
      <c r="R54" s="771"/>
      <c r="S54" s="772"/>
      <c r="T54" s="771"/>
      <c r="U54" s="772"/>
      <c r="V54" s="771"/>
      <c r="W54" s="772"/>
      <c r="X54" s="771"/>
      <c r="Y54" s="772"/>
      <c r="Z54" s="771"/>
      <c r="AA54" s="772"/>
      <c r="AB54" s="771"/>
      <c r="AC54" s="772"/>
      <c r="AD54" s="771"/>
      <c r="AE54" s="772"/>
      <c r="AF54" s="771"/>
      <c r="AG54" s="772"/>
      <c r="AH54" s="771"/>
      <c r="AI54" s="772"/>
      <c r="AJ54" s="771"/>
      <c r="AK54" s="772"/>
      <c r="AL54" s="771"/>
      <c r="AM54" s="772"/>
      <c r="AN54" s="771"/>
      <c r="AO54" s="772"/>
      <c r="AP54" s="771"/>
      <c r="AQ54" s="772"/>
      <c r="AR54" s="771"/>
      <c r="AS54" s="772"/>
      <c r="AT54" s="771"/>
      <c r="AU54" s="772"/>
      <c r="AV54" s="771"/>
      <c r="AW54" s="772"/>
      <c r="AX54" s="771"/>
      <c r="AY54" s="772"/>
      <c r="AZ54" s="771"/>
      <c r="BA54" s="772"/>
      <c r="BB54" s="771"/>
      <c r="BC54" s="772"/>
      <c r="BD54" s="771"/>
      <c r="BE54" s="772"/>
      <c r="BF54" s="771"/>
      <c r="BG54" s="772"/>
      <c r="BH54" s="771"/>
      <c r="BI54" s="772"/>
      <c r="BJ54" s="771"/>
      <c r="BK54" s="772"/>
      <c r="BL54" s="771"/>
      <c r="BM54" s="772"/>
      <c r="BN54" s="771"/>
      <c r="BO54" s="772"/>
      <c r="BP54" s="771"/>
      <c r="BQ54" s="772"/>
      <c r="BR54" s="771"/>
      <c r="BS54" s="772"/>
      <c r="BT54" s="771"/>
      <c r="BU54" s="772"/>
      <c r="BV54" s="771"/>
      <c r="BW54" s="772"/>
      <c r="BX54" s="771"/>
      <c r="BY54" s="772"/>
      <c r="BZ54" s="771"/>
      <c r="CA54" s="772"/>
      <c r="CB54" s="771"/>
      <c r="CC54" s="772"/>
      <c r="CD54" s="771"/>
      <c r="CE54" s="772"/>
      <c r="CF54" s="771"/>
      <c r="CG54" s="772"/>
      <c r="CH54" s="771"/>
      <c r="CI54" s="772"/>
      <c r="CJ54" s="771"/>
      <c r="CK54" s="772"/>
      <c r="CL54" s="771"/>
      <c r="CM54" s="772"/>
      <c r="CN54" s="771"/>
      <c r="CO54" s="772"/>
      <c r="CP54" s="771"/>
      <c r="CQ54" s="772"/>
      <c r="CR54" s="771"/>
      <c r="CS54" s="772"/>
      <c r="CT54" s="771"/>
      <c r="CU54" s="772"/>
      <c r="CV54" s="771"/>
      <c r="CW54" s="772"/>
      <c r="CX54" s="771"/>
      <c r="CY54" s="772"/>
      <c r="CZ54" s="771"/>
      <c r="DA54" s="772"/>
      <c r="DB54" s="772"/>
      <c r="DC54" s="771"/>
      <c r="DD54" s="772"/>
      <c r="DE54" s="771"/>
      <c r="DF54" s="772"/>
      <c r="DG54" s="771"/>
      <c r="DH54" s="772"/>
      <c r="DI54" s="771"/>
      <c r="DJ54" s="772"/>
      <c r="DK54" s="771"/>
      <c r="DL54" s="772"/>
      <c r="DM54" s="771"/>
      <c r="DN54" s="772"/>
      <c r="DO54" s="771"/>
      <c r="DP54" s="772"/>
      <c r="DQ54" s="771"/>
      <c r="DR54" s="772"/>
      <c r="DS54" s="771"/>
      <c r="DT54" s="772"/>
      <c r="DU54" s="771"/>
      <c r="DV54" s="772"/>
      <c r="DW54" s="771"/>
      <c r="DX54" s="772"/>
      <c r="DY54" s="771"/>
      <c r="DZ54" s="772"/>
      <c r="EA54" s="771"/>
      <c r="EB54" s="772"/>
      <c r="EC54" s="771"/>
      <c r="ED54" s="772"/>
      <c r="EE54" s="771"/>
      <c r="EF54" s="772"/>
      <c r="EG54" s="771"/>
      <c r="EH54" s="772"/>
      <c r="EI54" s="771"/>
      <c r="EJ54" s="772"/>
      <c r="EK54" s="771"/>
      <c r="EL54" s="772"/>
      <c r="EM54" s="773"/>
    </row>
    <row r="55" spans="1:143" ht="12.75" customHeight="1" x14ac:dyDescent="0.2">
      <c r="A55" s="685" t="s">
        <v>555</v>
      </c>
      <c r="B55" s="4"/>
      <c r="C55" s="496"/>
      <c r="D55" s="4"/>
      <c r="E55" s="686"/>
      <c r="F55" s="4"/>
      <c r="G55" s="686"/>
      <c r="H55" s="4"/>
      <c r="I55" s="686"/>
      <c r="J55" s="4"/>
      <c r="K55" s="496"/>
      <c r="L55" s="4"/>
      <c r="M55" s="496"/>
      <c r="N55" s="4"/>
      <c r="O55" s="496"/>
      <c r="P55" s="4"/>
      <c r="Q55" s="496"/>
      <c r="R55" s="4"/>
      <c r="S55" s="496"/>
      <c r="T55" s="4"/>
      <c r="U55" s="496"/>
      <c r="V55" s="4"/>
      <c r="W55" s="496"/>
      <c r="X55" s="4"/>
      <c r="Y55" s="496"/>
      <c r="Z55" s="4"/>
      <c r="AA55" s="496"/>
      <c r="AB55" s="4"/>
      <c r="AC55" s="496"/>
      <c r="AD55" s="4"/>
      <c r="AE55" s="496"/>
      <c r="AF55" s="4"/>
      <c r="AG55" s="496"/>
      <c r="AH55" s="4"/>
      <c r="AI55" s="496"/>
      <c r="AJ55" s="4"/>
      <c r="AK55" s="496"/>
      <c r="AL55" s="4"/>
      <c r="AM55" s="496"/>
      <c r="AN55" s="4"/>
      <c r="AO55" s="496"/>
      <c r="AP55" s="4"/>
      <c r="AQ55" s="496"/>
      <c r="AR55" s="4"/>
      <c r="AS55" s="496"/>
      <c r="AT55" s="4"/>
      <c r="AU55" s="496"/>
      <c r="AV55" s="4"/>
      <c r="AW55" s="496"/>
      <c r="AX55" s="4"/>
      <c r="AY55" s="496"/>
      <c r="AZ55" s="4"/>
      <c r="BA55" s="496"/>
      <c r="BB55" s="4"/>
      <c r="BC55" s="496"/>
      <c r="BD55" s="4"/>
      <c r="BE55" s="496"/>
      <c r="BF55" s="4"/>
      <c r="BG55" s="496"/>
      <c r="BH55" s="4"/>
      <c r="BI55" s="496"/>
      <c r="BJ55" s="4"/>
      <c r="BK55" s="496"/>
      <c r="BL55" s="4"/>
      <c r="BM55" s="496"/>
      <c r="BN55" s="4"/>
      <c r="BO55" s="496"/>
      <c r="BP55" s="4"/>
      <c r="BQ55" s="496"/>
      <c r="BR55" s="4"/>
      <c r="BS55" s="496"/>
      <c r="BT55" s="4"/>
      <c r="BU55" s="496"/>
      <c r="BV55" s="4"/>
      <c r="BW55" s="496"/>
      <c r="BX55" s="4"/>
      <c r="BY55" s="496"/>
      <c r="BZ55" s="4"/>
      <c r="CA55" s="496"/>
      <c r="CB55" s="4"/>
      <c r="CC55" s="496"/>
      <c r="CD55" s="4"/>
      <c r="CE55" s="496"/>
      <c r="CF55" s="4"/>
      <c r="CG55" s="496"/>
      <c r="CH55" s="4"/>
      <c r="CI55" s="496"/>
      <c r="CJ55" s="4"/>
      <c r="CK55" s="496"/>
      <c r="CL55" s="4"/>
      <c r="CM55" s="496"/>
      <c r="CN55" s="4"/>
      <c r="CO55" s="496"/>
      <c r="CP55" s="4"/>
      <c r="CQ55" s="496"/>
      <c r="CR55" s="4"/>
      <c r="CS55" s="496"/>
      <c r="CT55" s="4"/>
      <c r="CU55" s="496"/>
      <c r="CV55" s="4"/>
      <c r="CW55" s="496"/>
      <c r="CX55" s="4"/>
      <c r="CY55" s="496"/>
      <c r="CZ55" s="4"/>
      <c r="DA55" s="496"/>
      <c r="DB55" s="496"/>
      <c r="DC55" s="4"/>
      <c r="DD55" s="496"/>
      <c r="DE55" s="4"/>
      <c r="DF55" s="496"/>
      <c r="DG55" s="4"/>
      <c r="DH55" s="496"/>
      <c r="DI55" s="4"/>
      <c r="DJ55" s="496"/>
      <c r="DK55" s="4"/>
      <c r="DL55" s="496"/>
      <c r="DM55" s="4"/>
      <c r="DN55" s="496"/>
      <c r="DO55" s="4"/>
      <c r="DP55" s="496"/>
      <c r="DQ55" s="4"/>
      <c r="DR55" s="496"/>
      <c r="DS55" s="4"/>
      <c r="DT55" s="496"/>
      <c r="DU55" s="4"/>
      <c r="DV55" s="496"/>
      <c r="DW55" s="4"/>
      <c r="DX55" s="496"/>
      <c r="DY55" s="4"/>
      <c r="DZ55" s="496"/>
      <c r="EA55" s="4"/>
      <c r="EB55" s="496"/>
      <c r="EC55" s="4"/>
      <c r="ED55" s="496"/>
      <c r="EE55" s="4"/>
      <c r="EF55" s="496"/>
      <c r="EG55" s="4"/>
      <c r="EH55" s="496"/>
      <c r="EI55" s="4"/>
      <c r="EJ55" s="496"/>
      <c r="EK55" s="4"/>
      <c r="EL55" s="496"/>
      <c r="EM55" s="686"/>
    </row>
    <row r="56" spans="1:143" s="3" customFormat="1" ht="12.75" customHeight="1" x14ac:dyDescent="0.2">
      <c r="A56" s="560" t="str">
        <f>A$3</f>
        <v>($Millions Except Per Share Data)</v>
      </c>
      <c r="B56" s="704"/>
      <c r="C56" s="724"/>
      <c r="D56" s="704"/>
      <c r="E56" s="724" t="str">
        <f>E$3</f>
        <v>2Q06/</v>
      </c>
      <c r="F56" s="704"/>
      <c r="G56" s="724" t="str">
        <f>G$3</f>
        <v>3Q06/</v>
      </c>
      <c r="H56" s="704"/>
      <c r="I56" s="724" t="str">
        <f>I$3</f>
        <v>4Q06/</v>
      </c>
      <c r="J56" s="724"/>
      <c r="K56" s="724" t="str">
        <f>K$3</f>
        <v>1Q07/</v>
      </c>
      <c r="L56" s="704"/>
      <c r="M56" s="724" t="str">
        <f>M$3</f>
        <v>2Q07/</v>
      </c>
      <c r="N56" s="704"/>
      <c r="O56" s="724" t="str">
        <f>O$3</f>
        <v>3Q07/</v>
      </c>
      <c r="P56" s="704"/>
      <c r="Q56" s="724" t="str">
        <f>Q$3</f>
        <v>4Q07/</v>
      </c>
      <c r="R56" s="704"/>
      <c r="S56" s="724" t="str">
        <f>S$3</f>
        <v>1Q08/</v>
      </c>
      <c r="T56" s="704"/>
      <c r="U56" s="724" t="str">
        <f>U$3</f>
        <v>2Q08/</v>
      </c>
      <c r="V56" s="704"/>
      <c r="W56" s="724" t="str">
        <f>W$3</f>
        <v>3Q08/</v>
      </c>
      <c r="X56" s="704"/>
      <c r="Y56" s="724" t="str">
        <f>Y$3</f>
        <v>4Q08/</v>
      </c>
      <c r="Z56" s="704"/>
      <c r="AA56" s="724" t="str">
        <f>AA$3</f>
        <v>1Q09/</v>
      </c>
      <c r="AB56" s="704"/>
      <c r="AC56" s="724" t="str">
        <f>AC$3</f>
        <v>2Q09/</v>
      </c>
      <c r="AD56" s="704"/>
      <c r="AE56" s="724" t="str">
        <f>AE$3</f>
        <v>3Q09/</v>
      </c>
      <c r="AF56" s="704"/>
      <c r="AG56" s="724" t="str">
        <f>AG$3</f>
        <v>4Q09/</v>
      </c>
      <c r="AH56" s="704"/>
      <c r="AI56" s="724" t="str">
        <f>AI$3</f>
        <v>1Q10/</v>
      </c>
      <c r="AJ56" s="704"/>
      <c r="AK56" s="724" t="str">
        <f>AK$3</f>
        <v>2Q10/</v>
      </c>
      <c r="AL56" s="704"/>
      <c r="AM56" s="724" t="str">
        <f>AM$3</f>
        <v>3Q10/</v>
      </c>
      <c r="AN56" s="704"/>
      <c r="AO56" s="724" t="str">
        <f>AO$3</f>
        <v>4Q10/</v>
      </c>
      <c r="AP56" s="704"/>
      <c r="AQ56" s="724" t="str">
        <f>AQ$3</f>
        <v>1Q11/</v>
      </c>
      <c r="AR56" s="704"/>
      <c r="AS56" s="724" t="str">
        <f>AS$3</f>
        <v>2Q11/</v>
      </c>
      <c r="AT56" s="704"/>
      <c r="AU56" s="724" t="str">
        <f>AU$3</f>
        <v>3Q11/</v>
      </c>
      <c r="AV56" s="704"/>
      <c r="AW56" s="724" t="str">
        <f>AW$3</f>
        <v>4Q11/</v>
      </c>
      <c r="AX56" s="704"/>
      <c r="AY56" s="724" t="str">
        <f>AY$3</f>
        <v>1Q12/</v>
      </c>
      <c r="AZ56" s="704"/>
      <c r="BA56" s="724" t="str">
        <f>BA$3</f>
        <v>2Q12/</v>
      </c>
      <c r="BB56" s="704"/>
      <c r="BC56" s="724" t="str">
        <f>BC$3</f>
        <v>3Q12/</v>
      </c>
      <c r="BD56" s="704"/>
      <c r="BE56" s="724" t="str">
        <f>BE$3</f>
        <v>4Q12/</v>
      </c>
      <c r="BF56" s="704"/>
      <c r="BG56" s="724" t="str">
        <f>BG$3</f>
        <v>1Q13/</v>
      </c>
      <c r="BH56" s="704"/>
      <c r="BI56" s="724" t="str">
        <f>BI$3</f>
        <v>2Q13/</v>
      </c>
      <c r="BJ56" s="704"/>
      <c r="BK56" s="724" t="str">
        <f>BK$3</f>
        <v>3Q13/</v>
      </c>
      <c r="BL56" s="704"/>
      <c r="BM56" s="724" t="str">
        <f>BM$3</f>
        <v>4Q13/</v>
      </c>
      <c r="BN56" s="704"/>
      <c r="BO56" s="724" t="str">
        <f>BO$3</f>
        <v>1Q14/</v>
      </c>
      <c r="BP56" s="704"/>
      <c r="BQ56" s="724" t="str">
        <f>BQ$3</f>
        <v>2Q14/</v>
      </c>
      <c r="BR56" s="704"/>
      <c r="BS56" s="724" t="str">
        <f>BS$3</f>
        <v>3Q14/</v>
      </c>
      <c r="BT56" s="704"/>
      <c r="BU56" s="724" t="str">
        <f>BU$3</f>
        <v>4Q14/</v>
      </c>
      <c r="BV56" s="704"/>
      <c r="BW56" s="724" t="str">
        <f>BW$3</f>
        <v>1Q15/</v>
      </c>
      <c r="BX56" s="704"/>
      <c r="BY56" s="724" t="str">
        <f>BY$3</f>
        <v>2Q15/</v>
      </c>
      <c r="BZ56" s="704"/>
      <c r="CA56" s="724" t="str">
        <f>CA$3</f>
        <v>3Q15/</v>
      </c>
      <c r="CB56" s="704"/>
      <c r="CC56" s="724" t="str">
        <f>CC$3</f>
        <v>4Q15/</v>
      </c>
      <c r="CD56" s="704"/>
      <c r="CE56" s="724" t="str">
        <f>CE$3</f>
        <v>1Q16/</v>
      </c>
      <c r="CF56" s="704"/>
      <c r="CG56" s="724" t="str">
        <f>CG$3</f>
        <v>2Q16/</v>
      </c>
      <c r="CH56" s="704"/>
      <c r="CI56" s="724" t="str">
        <f>CI$3</f>
        <v>3Q16/</v>
      </c>
      <c r="CJ56" s="704"/>
      <c r="CK56" s="724" t="str">
        <f>CK$3</f>
        <v>4Q16/</v>
      </c>
      <c r="CL56" s="704"/>
      <c r="CM56" s="724" t="str">
        <f t="shared" ref="CM56" si="48">CM$3</f>
        <v>1Q17/</v>
      </c>
      <c r="CN56" s="704"/>
      <c r="CO56" s="724" t="str">
        <f t="shared" ref="CO56" si="49">CO$3</f>
        <v>2Q17/</v>
      </c>
      <c r="CP56" s="704"/>
      <c r="CQ56" s="724" t="str">
        <f t="shared" ref="CQ56" si="50">CQ$3</f>
        <v>3Q17/</v>
      </c>
      <c r="CR56" s="704"/>
      <c r="CS56" s="724" t="str">
        <f t="shared" ref="CS56" si="51">CS$3</f>
        <v>4Q17/</v>
      </c>
      <c r="CT56" s="704"/>
      <c r="CU56" s="724" t="str">
        <f t="shared" ref="CU56" si="52">CU$3</f>
        <v>1Q18E/</v>
      </c>
      <c r="CV56" s="704"/>
      <c r="CW56" s="724" t="str">
        <f t="shared" ref="CW56" si="53">CW$3</f>
        <v>2Q18E/</v>
      </c>
      <c r="CX56" s="704"/>
      <c r="CY56" s="724" t="str">
        <f t="shared" ref="CY56" si="54">CY$3</f>
        <v>3Q18E/</v>
      </c>
      <c r="CZ56" s="704"/>
      <c r="DA56" s="724" t="str">
        <f t="shared" ref="DA56" si="55">DA$3</f>
        <v>4Q18E/</v>
      </c>
      <c r="DB56" s="724"/>
      <c r="DC56" s="704"/>
      <c r="DD56" s="724" t="str">
        <f>DD$3</f>
        <v>2005/</v>
      </c>
      <c r="DE56" s="704"/>
      <c r="DF56" s="724" t="str">
        <f>DF$3</f>
        <v>2006/</v>
      </c>
      <c r="DG56" s="704"/>
      <c r="DH56" s="724" t="str">
        <f>DH$3</f>
        <v>2007/</v>
      </c>
      <c r="DI56" s="704"/>
      <c r="DJ56" s="724" t="str">
        <f>DJ$3</f>
        <v>2008/</v>
      </c>
      <c r="DK56" s="704"/>
      <c r="DL56" s="724" t="str">
        <f>DL$3</f>
        <v>2009/</v>
      </c>
      <c r="DM56" s="704"/>
      <c r="DN56" s="724" t="str">
        <f>DN$3</f>
        <v>2010/</v>
      </c>
      <c r="DO56" s="704"/>
      <c r="DP56" s="724" t="str">
        <f>DP$3</f>
        <v>2011/</v>
      </c>
      <c r="DQ56" s="704"/>
      <c r="DR56" s="724" t="str">
        <f>DR$3</f>
        <v>2012/</v>
      </c>
      <c r="DS56" s="704"/>
      <c r="DT56" s="724" t="str">
        <f>DT$3</f>
        <v>2013/</v>
      </c>
      <c r="DU56" s="704"/>
      <c r="DV56" s="724" t="str">
        <f>DV$3</f>
        <v>2014/</v>
      </c>
      <c r="DW56" s="704"/>
      <c r="DX56" s="724" t="str">
        <f>DX$3</f>
        <v>2015/</v>
      </c>
      <c r="DY56" s="704"/>
      <c r="DZ56" s="724" t="str">
        <f>DZ$3</f>
        <v>2016/</v>
      </c>
      <c r="EA56" s="704"/>
      <c r="EB56" s="724" t="str">
        <f>EB$3</f>
        <v>2017/</v>
      </c>
      <c r="EC56" s="704"/>
      <c r="ED56" s="724" t="str">
        <f>ED$3</f>
        <v>2018E/</v>
      </c>
      <c r="EE56" s="704"/>
      <c r="EF56" s="724" t="str">
        <f>EF$3</f>
        <v>2019E/</v>
      </c>
      <c r="EG56" s="704"/>
      <c r="EH56" s="724" t="str">
        <f>EH$3</f>
        <v>2020E/</v>
      </c>
      <c r="EI56" s="704"/>
      <c r="EJ56" s="724" t="str">
        <f>EJ$3</f>
        <v>2021E/</v>
      </c>
      <c r="EK56" s="704"/>
      <c r="EL56" s="724" t="str">
        <f>EL$3</f>
        <v>2022E/</v>
      </c>
      <c r="EM56" s="705" t="str">
        <f>EM$3</f>
        <v>5-Yr</v>
      </c>
    </row>
    <row r="57" spans="1:143" s="3" customFormat="1" ht="12.75" customHeight="1" x14ac:dyDescent="0.2">
      <c r="A57" s="693"/>
      <c r="B57" s="692"/>
      <c r="C57" s="496"/>
      <c r="D57" s="692"/>
      <c r="E57" s="496" t="str">
        <f>E$4</f>
        <v>2Q05</v>
      </c>
      <c r="F57" s="692"/>
      <c r="G57" s="496" t="str">
        <f>G$4</f>
        <v>3Q05</v>
      </c>
      <c r="H57" s="692"/>
      <c r="I57" s="496" t="str">
        <f>I$4</f>
        <v>4Q05</v>
      </c>
      <c r="J57" s="496"/>
      <c r="K57" s="496" t="str">
        <f>K$4</f>
        <v>1Q06</v>
      </c>
      <c r="L57" s="692"/>
      <c r="M57" s="496" t="str">
        <f>M$4</f>
        <v>2Q06</v>
      </c>
      <c r="N57" s="692"/>
      <c r="O57" s="496" t="str">
        <f>O$4</f>
        <v>3Q06</v>
      </c>
      <c r="P57" s="692"/>
      <c r="Q57" s="496" t="str">
        <f>Q$4</f>
        <v>4Q06</v>
      </c>
      <c r="R57" s="692"/>
      <c r="S57" s="496" t="str">
        <f>S$4</f>
        <v>1Q07</v>
      </c>
      <c r="T57" s="692"/>
      <c r="U57" s="496" t="str">
        <f>U$4</f>
        <v>2Q07</v>
      </c>
      <c r="V57" s="692"/>
      <c r="W57" s="496" t="str">
        <f>W$4</f>
        <v>3Q07</v>
      </c>
      <c r="X57" s="692"/>
      <c r="Y57" s="496" t="str">
        <f>Y$4</f>
        <v>4Q07</v>
      </c>
      <c r="Z57" s="692"/>
      <c r="AA57" s="496" t="str">
        <f>AA$4</f>
        <v>1Q08</v>
      </c>
      <c r="AB57" s="692"/>
      <c r="AC57" s="496" t="str">
        <f>AC$4</f>
        <v>2Q08</v>
      </c>
      <c r="AD57" s="692"/>
      <c r="AE57" s="496" t="str">
        <f>AE$4</f>
        <v>3Q08</v>
      </c>
      <c r="AF57" s="692"/>
      <c r="AG57" s="496" t="str">
        <f>AG$4</f>
        <v>4Q08</v>
      </c>
      <c r="AH57" s="692"/>
      <c r="AI57" s="496" t="str">
        <f>AI$4</f>
        <v>1Q09</v>
      </c>
      <c r="AJ57" s="692"/>
      <c r="AK57" s="496" t="str">
        <f>AK$4</f>
        <v>2Q09</v>
      </c>
      <c r="AL57" s="692"/>
      <c r="AM57" s="496" t="str">
        <f>AM$4</f>
        <v>3Q09</v>
      </c>
      <c r="AN57" s="692"/>
      <c r="AO57" s="496" t="str">
        <f>AO$4</f>
        <v>4Q09</v>
      </c>
      <c r="AP57" s="692"/>
      <c r="AQ57" s="496" t="str">
        <f>AQ$4</f>
        <v>1Q10</v>
      </c>
      <c r="AR57" s="692"/>
      <c r="AS57" s="496" t="str">
        <f>AS$4</f>
        <v>2Q10</v>
      </c>
      <c r="AT57" s="692"/>
      <c r="AU57" s="496" t="str">
        <f>AU$4</f>
        <v>3Q10</v>
      </c>
      <c r="AV57" s="692"/>
      <c r="AW57" s="496" t="str">
        <f>AW$4</f>
        <v>4Q10</v>
      </c>
      <c r="AX57" s="692"/>
      <c r="AY57" s="496" t="str">
        <f>AY$4</f>
        <v>1Q11</v>
      </c>
      <c r="AZ57" s="692"/>
      <c r="BA57" s="496" t="str">
        <f>BA$4</f>
        <v>2Q11</v>
      </c>
      <c r="BB57" s="692"/>
      <c r="BC57" s="496" t="str">
        <f>BC$4</f>
        <v>3Q11</v>
      </c>
      <c r="BD57" s="692"/>
      <c r="BE57" s="496" t="str">
        <f>BE$4</f>
        <v>4Q11</v>
      </c>
      <c r="BF57" s="692"/>
      <c r="BG57" s="496" t="str">
        <f>BG$4</f>
        <v>1Q12</v>
      </c>
      <c r="BH57" s="692"/>
      <c r="BI57" s="496" t="str">
        <f>BI$4</f>
        <v>2Q12</v>
      </c>
      <c r="BJ57" s="692"/>
      <c r="BK57" s="496" t="str">
        <f>BK$4</f>
        <v>3Q12</v>
      </c>
      <c r="BL57" s="692"/>
      <c r="BM57" s="496" t="str">
        <f>BM$4</f>
        <v>4Q12</v>
      </c>
      <c r="BN57" s="692"/>
      <c r="BO57" s="496" t="str">
        <f>BO$4</f>
        <v>1Q13</v>
      </c>
      <c r="BP57" s="692"/>
      <c r="BQ57" s="496" t="str">
        <f>BQ$4</f>
        <v>2Q13</v>
      </c>
      <c r="BR57" s="692"/>
      <c r="BS57" s="496" t="str">
        <f>BS$4</f>
        <v>3Q13</v>
      </c>
      <c r="BT57" s="692"/>
      <c r="BU57" s="496" t="str">
        <f>BU$4</f>
        <v>4Q13</v>
      </c>
      <c r="BV57" s="692"/>
      <c r="BW57" s="496" t="str">
        <f>BW$4</f>
        <v>1Q14</v>
      </c>
      <c r="BX57" s="692"/>
      <c r="BY57" s="496" t="str">
        <f>BY$4</f>
        <v>2Q14</v>
      </c>
      <c r="BZ57" s="692"/>
      <c r="CA57" s="496" t="str">
        <f>CA$4</f>
        <v>3Q14</v>
      </c>
      <c r="CB57" s="692"/>
      <c r="CC57" s="496" t="str">
        <f>CC$4</f>
        <v>4Q14</v>
      </c>
      <c r="CD57" s="692"/>
      <c r="CE57" s="496" t="str">
        <f>CE$4</f>
        <v>1Q15</v>
      </c>
      <c r="CF57" s="692"/>
      <c r="CG57" s="496" t="str">
        <f>CG$4</f>
        <v>2Q15</v>
      </c>
      <c r="CH57" s="692"/>
      <c r="CI57" s="496" t="str">
        <f>CI$4</f>
        <v>3Q15</v>
      </c>
      <c r="CJ57" s="692"/>
      <c r="CK57" s="496" t="str">
        <f>CK$4</f>
        <v>4Q15</v>
      </c>
      <c r="CL57" s="692"/>
      <c r="CM57" s="496" t="str">
        <f t="shared" ref="CM57" si="56">CM$4</f>
        <v>1Q16</v>
      </c>
      <c r="CN57" s="692"/>
      <c r="CO57" s="496" t="str">
        <f t="shared" ref="CO57" si="57">CO$4</f>
        <v>2Q16</v>
      </c>
      <c r="CP57" s="692"/>
      <c r="CQ57" s="496" t="str">
        <f t="shared" ref="CQ57" si="58">CQ$4</f>
        <v>3Q16</v>
      </c>
      <c r="CR57" s="692"/>
      <c r="CS57" s="496" t="str">
        <f t="shared" ref="CS57" si="59">CS$4</f>
        <v>4Q16</v>
      </c>
      <c r="CT57" s="692"/>
      <c r="CU57" s="496" t="str">
        <f t="shared" ref="CU57" si="60">CU$4</f>
        <v>1Q17</v>
      </c>
      <c r="CV57" s="692"/>
      <c r="CW57" s="496" t="str">
        <f t="shared" ref="CW57" si="61">CW$4</f>
        <v>2Q17</v>
      </c>
      <c r="CX57" s="692"/>
      <c r="CY57" s="496" t="str">
        <f t="shared" ref="CY57" si="62">CY$4</f>
        <v>3Q17</v>
      </c>
      <c r="CZ57" s="692"/>
      <c r="DA57" s="496" t="str">
        <f t="shared" ref="DA57" si="63">DA$4</f>
        <v>4Q17</v>
      </c>
      <c r="DB57" s="496"/>
      <c r="DC57" s="692"/>
      <c r="DD57" s="686">
        <f>DD$4</f>
        <v>2004</v>
      </c>
      <c r="DE57" s="692"/>
      <c r="DF57" s="686">
        <f>DF$4</f>
        <v>2005</v>
      </c>
      <c r="DG57" s="692"/>
      <c r="DH57" s="686">
        <f>DH$4</f>
        <v>2006</v>
      </c>
      <c r="DI57" s="692"/>
      <c r="DJ57" s="686">
        <f>DJ$4</f>
        <v>2007</v>
      </c>
      <c r="DK57" s="692"/>
      <c r="DL57" s="725">
        <f>DL$4</f>
        <v>2008</v>
      </c>
      <c r="DM57" s="692"/>
      <c r="DN57" s="725" t="str">
        <f>DN$4</f>
        <v>2009</v>
      </c>
      <c r="DO57" s="692"/>
      <c r="DP57" s="725" t="str">
        <f>DP$4</f>
        <v>2010</v>
      </c>
      <c r="DQ57" s="692"/>
      <c r="DR57" s="725" t="str">
        <f>DR$4</f>
        <v>2011</v>
      </c>
      <c r="DS57" s="692"/>
      <c r="DT57" s="725" t="str">
        <f>DT$4</f>
        <v>2012</v>
      </c>
      <c r="DU57" s="692"/>
      <c r="DV57" s="725" t="str">
        <f>DV$4</f>
        <v>2013</v>
      </c>
      <c r="DW57" s="692"/>
      <c r="DX57" s="725" t="str">
        <f>DX$4</f>
        <v>2014</v>
      </c>
      <c r="DY57" s="692"/>
      <c r="DZ57" s="725" t="str">
        <f>DZ$4</f>
        <v>2015</v>
      </c>
      <c r="EA57" s="692"/>
      <c r="EB57" s="725" t="str">
        <f>EB$4</f>
        <v>2016</v>
      </c>
      <c r="EC57" s="692"/>
      <c r="ED57" s="725" t="str">
        <f>ED$4</f>
        <v>2017</v>
      </c>
      <c r="EE57" s="692"/>
      <c r="EF57" s="725" t="str">
        <f>EF$4</f>
        <v>2018E</v>
      </c>
      <c r="EG57" s="692"/>
      <c r="EH57" s="725" t="str">
        <f>EH$4</f>
        <v>2019E</v>
      </c>
      <c r="EI57" s="692"/>
      <c r="EJ57" s="725" t="str">
        <f>EJ$4</f>
        <v>2020E</v>
      </c>
      <c r="EK57" s="692"/>
      <c r="EL57" s="725" t="str">
        <f>EL$4</f>
        <v>2021E</v>
      </c>
      <c r="EM57" s="686" t="str">
        <f>EM$4</f>
        <v>CAGR</v>
      </c>
    </row>
    <row r="58" spans="1:143" s="3" customFormat="1" ht="12.75" customHeight="1" x14ac:dyDescent="0.2">
      <c r="A58" s="694"/>
      <c r="B58" s="695" t="str">
        <f t="shared" ref="B58:BN58" si="64">B$5</f>
        <v>1Q06</v>
      </c>
      <c r="C58" s="726" t="str">
        <f t="shared" si="64"/>
        <v>% Chg</v>
      </c>
      <c r="D58" s="695" t="str">
        <f t="shared" si="64"/>
        <v>2Q06</v>
      </c>
      <c r="E58" s="726" t="str">
        <f t="shared" si="64"/>
        <v>% Chg</v>
      </c>
      <c r="F58" s="695" t="str">
        <f t="shared" si="64"/>
        <v>3Q06</v>
      </c>
      <c r="G58" s="726" t="str">
        <f t="shared" si="64"/>
        <v>% Chg</v>
      </c>
      <c r="H58" s="695" t="str">
        <f t="shared" si="64"/>
        <v>4Q06</v>
      </c>
      <c r="I58" s="726" t="str">
        <f t="shared" si="64"/>
        <v>% Chg</v>
      </c>
      <c r="J58" s="695" t="str">
        <f t="shared" si="64"/>
        <v>1Q07</v>
      </c>
      <c r="K58" s="726" t="str">
        <f t="shared" si="64"/>
        <v>% Chg</v>
      </c>
      <c r="L58" s="695" t="str">
        <f t="shared" si="64"/>
        <v>2Q07</v>
      </c>
      <c r="M58" s="726" t="str">
        <f t="shared" si="64"/>
        <v>% Chg</v>
      </c>
      <c r="N58" s="695" t="str">
        <f t="shared" si="64"/>
        <v>3Q07</v>
      </c>
      <c r="O58" s="726" t="str">
        <f t="shared" si="64"/>
        <v>% Chg</v>
      </c>
      <c r="P58" s="695" t="str">
        <f t="shared" si="64"/>
        <v>4Q07</v>
      </c>
      <c r="Q58" s="726" t="str">
        <f t="shared" si="64"/>
        <v>% Chg</v>
      </c>
      <c r="R58" s="695" t="str">
        <f t="shared" si="64"/>
        <v>1Q08</v>
      </c>
      <c r="S58" s="726" t="str">
        <f t="shared" si="64"/>
        <v>% Chg</v>
      </c>
      <c r="T58" s="695" t="str">
        <f t="shared" si="64"/>
        <v>2Q08</v>
      </c>
      <c r="U58" s="726" t="str">
        <f t="shared" si="64"/>
        <v>% Chg</v>
      </c>
      <c r="V58" s="695" t="str">
        <f t="shared" si="64"/>
        <v>3Q08</v>
      </c>
      <c r="W58" s="726" t="str">
        <f t="shared" si="64"/>
        <v>% Chg</v>
      </c>
      <c r="X58" s="695" t="str">
        <f t="shared" si="64"/>
        <v>4Q08</v>
      </c>
      <c r="Y58" s="726" t="str">
        <f t="shared" si="64"/>
        <v>% Chg</v>
      </c>
      <c r="Z58" s="695" t="str">
        <f t="shared" si="64"/>
        <v>1Q09</v>
      </c>
      <c r="AA58" s="726" t="str">
        <f t="shared" si="64"/>
        <v>% Chg</v>
      </c>
      <c r="AB58" s="695" t="str">
        <f t="shared" si="64"/>
        <v>2Q09</v>
      </c>
      <c r="AC58" s="726" t="str">
        <f t="shared" si="64"/>
        <v>% Chg</v>
      </c>
      <c r="AD58" s="695" t="str">
        <f t="shared" si="64"/>
        <v>3Q09</v>
      </c>
      <c r="AE58" s="726" t="str">
        <f t="shared" si="64"/>
        <v>% Chg</v>
      </c>
      <c r="AF58" s="695" t="str">
        <f t="shared" si="64"/>
        <v>4Q09</v>
      </c>
      <c r="AG58" s="726" t="str">
        <f t="shared" si="64"/>
        <v>% Chg</v>
      </c>
      <c r="AH58" s="695" t="str">
        <f t="shared" si="64"/>
        <v>1Q10</v>
      </c>
      <c r="AI58" s="726" t="str">
        <f t="shared" si="64"/>
        <v>% Chg</v>
      </c>
      <c r="AJ58" s="695" t="str">
        <f t="shared" si="64"/>
        <v>2Q10</v>
      </c>
      <c r="AK58" s="726" t="str">
        <f t="shared" si="64"/>
        <v>% Chg</v>
      </c>
      <c r="AL58" s="695" t="str">
        <f t="shared" si="64"/>
        <v>3Q10</v>
      </c>
      <c r="AM58" s="726" t="str">
        <f t="shared" si="64"/>
        <v>% Chg</v>
      </c>
      <c r="AN58" s="695" t="str">
        <f t="shared" si="64"/>
        <v>4Q10</v>
      </c>
      <c r="AO58" s="726" t="str">
        <f t="shared" si="64"/>
        <v>% Chg</v>
      </c>
      <c r="AP58" s="695" t="str">
        <f t="shared" si="64"/>
        <v>1Q11</v>
      </c>
      <c r="AQ58" s="726" t="str">
        <f t="shared" si="64"/>
        <v>% Chg</v>
      </c>
      <c r="AR58" s="695" t="str">
        <f t="shared" si="64"/>
        <v>2Q11</v>
      </c>
      <c r="AS58" s="726" t="str">
        <f t="shared" si="64"/>
        <v>% Chg</v>
      </c>
      <c r="AT58" s="695" t="str">
        <f t="shared" si="64"/>
        <v>3Q11</v>
      </c>
      <c r="AU58" s="726" t="str">
        <f t="shared" si="64"/>
        <v>% Chg</v>
      </c>
      <c r="AV58" s="695" t="str">
        <f t="shared" si="64"/>
        <v>4Q11</v>
      </c>
      <c r="AW58" s="726" t="str">
        <f t="shared" si="64"/>
        <v>% Chg</v>
      </c>
      <c r="AX58" s="695" t="str">
        <f t="shared" si="64"/>
        <v>1Q12</v>
      </c>
      <c r="AY58" s="726" t="str">
        <f t="shared" si="64"/>
        <v>% Chg</v>
      </c>
      <c r="AZ58" s="695" t="str">
        <f t="shared" si="64"/>
        <v>2Q12</v>
      </c>
      <c r="BA58" s="726" t="str">
        <f t="shared" si="64"/>
        <v>% Chg</v>
      </c>
      <c r="BB58" s="695" t="str">
        <f t="shared" si="64"/>
        <v>3Q12</v>
      </c>
      <c r="BC58" s="726" t="str">
        <f t="shared" si="64"/>
        <v>% Chg</v>
      </c>
      <c r="BD58" s="695" t="str">
        <f t="shared" si="64"/>
        <v>4Q12</v>
      </c>
      <c r="BE58" s="726" t="str">
        <f t="shared" si="64"/>
        <v>% Chg</v>
      </c>
      <c r="BF58" s="695" t="str">
        <f t="shared" si="64"/>
        <v>1Q13</v>
      </c>
      <c r="BG58" s="726" t="str">
        <f t="shared" si="64"/>
        <v>% Chg</v>
      </c>
      <c r="BH58" s="695" t="str">
        <f t="shared" si="64"/>
        <v>2Q13</v>
      </c>
      <c r="BI58" s="726" t="str">
        <f t="shared" si="64"/>
        <v>% Chg</v>
      </c>
      <c r="BJ58" s="695" t="str">
        <f t="shared" si="64"/>
        <v>3Q13</v>
      </c>
      <c r="BK58" s="726" t="str">
        <f t="shared" si="64"/>
        <v>% Chg</v>
      </c>
      <c r="BL58" s="695" t="str">
        <f t="shared" si="64"/>
        <v>4Q13</v>
      </c>
      <c r="BM58" s="726" t="str">
        <f t="shared" si="64"/>
        <v>% Chg</v>
      </c>
      <c r="BN58" s="695" t="str">
        <f t="shared" si="64"/>
        <v>1Q14</v>
      </c>
      <c r="BO58" s="726" t="str">
        <f t="shared" ref="BO58:DA58" si="65">BO$5</f>
        <v>% Chg</v>
      </c>
      <c r="BP58" s="695" t="str">
        <f t="shared" si="65"/>
        <v>2Q14</v>
      </c>
      <c r="BQ58" s="726" t="str">
        <f t="shared" si="65"/>
        <v>% Chg</v>
      </c>
      <c r="BR58" s="695" t="str">
        <f t="shared" si="65"/>
        <v>3Q14</v>
      </c>
      <c r="BS58" s="726" t="str">
        <f t="shared" si="65"/>
        <v>% Chg</v>
      </c>
      <c r="BT58" s="695" t="str">
        <f t="shared" si="65"/>
        <v>4Q14</v>
      </c>
      <c r="BU58" s="726" t="str">
        <f t="shared" si="65"/>
        <v>% Chg</v>
      </c>
      <c r="BV58" s="695" t="str">
        <f t="shared" si="65"/>
        <v>1Q15</v>
      </c>
      <c r="BW58" s="726" t="str">
        <f t="shared" si="65"/>
        <v>% Chg</v>
      </c>
      <c r="BX58" s="695" t="str">
        <f t="shared" si="65"/>
        <v>2Q15</v>
      </c>
      <c r="BY58" s="726" t="str">
        <f t="shared" si="65"/>
        <v>% Chg</v>
      </c>
      <c r="BZ58" s="695" t="str">
        <f t="shared" si="65"/>
        <v>3Q15</v>
      </c>
      <c r="CA58" s="726" t="str">
        <f t="shared" si="65"/>
        <v>% Chg</v>
      </c>
      <c r="CB58" s="695" t="str">
        <f t="shared" si="65"/>
        <v>4Q15</v>
      </c>
      <c r="CC58" s="726" t="str">
        <f t="shared" si="65"/>
        <v>% Chg</v>
      </c>
      <c r="CD58" s="695" t="str">
        <f t="shared" si="65"/>
        <v>1Q16</v>
      </c>
      <c r="CE58" s="726" t="str">
        <f t="shared" si="65"/>
        <v>% Chg</v>
      </c>
      <c r="CF58" s="695" t="str">
        <f t="shared" si="65"/>
        <v>2Q16</v>
      </c>
      <c r="CG58" s="726" t="str">
        <f t="shared" si="65"/>
        <v>% Chg</v>
      </c>
      <c r="CH58" s="695" t="str">
        <f t="shared" si="65"/>
        <v>3Q16</v>
      </c>
      <c r="CI58" s="726" t="str">
        <f t="shared" si="65"/>
        <v>% Chg</v>
      </c>
      <c r="CJ58" s="695" t="str">
        <f t="shared" si="65"/>
        <v>4Q16</v>
      </c>
      <c r="CK58" s="726" t="str">
        <f t="shared" si="65"/>
        <v>% Chg</v>
      </c>
      <c r="CL58" s="695" t="str">
        <f t="shared" si="65"/>
        <v>1Q17</v>
      </c>
      <c r="CM58" s="726" t="str">
        <f t="shared" si="65"/>
        <v>% Chg</v>
      </c>
      <c r="CN58" s="695" t="str">
        <f t="shared" si="65"/>
        <v>2Q17</v>
      </c>
      <c r="CO58" s="726" t="str">
        <f t="shared" si="65"/>
        <v>% Chg</v>
      </c>
      <c r="CP58" s="695" t="str">
        <f t="shared" si="65"/>
        <v>3Q17</v>
      </c>
      <c r="CQ58" s="726" t="str">
        <f t="shared" si="65"/>
        <v>% Chg</v>
      </c>
      <c r="CR58" s="695" t="str">
        <f t="shared" si="65"/>
        <v>4Q17</v>
      </c>
      <c r="CS58" s="726" t="str">
        <f t="shared" si="65"/>
        <v>% Chg</v>
      </c>
      <c r="CT58" s="695" t="str">
        <f t="shared" si="65"/>
        <v>1Q18E</v>
      </c>
      <c r="CU58" s="726" t="str">
        <f t="shared" si="65"/>
        <v>% Chg</v>
      </c>
      <c r="CV58" s="695" t="str">
        <f t="shared" si="65"/>
        <v>2Q18E</v>
      </c>
      <c r="CW58" s="726" t="str">
        <f t="shared" si="65"/>
        <v>% Chg</v>
      </c>
      <c r="CX58" s="695" t="str">
        <f t="shared" si="65"/>
        <v>3Q18E</v>
      </c>
      <c r="CY58" s="726" t="str">
        <f t="shared" si="65"/>
        <v>% Chg</v>
      </c>
      <c r="CZ58" s="695" t="str">
        <f t="shared" si="65"/>
        <v>4Q18E</v>
      </c>
      <c r="DA58" s="726" t="str">
        <f t="shared" si="65"/>
        <v>% Chg</v>
      </c>
      <c r="DB58" s="726"/>
      <c r="DC58" s="699">
        <f t="shared" ref="DC58:EM58" si="66">DC$5</f>
        <v>2005</v>
      </c>
      <c r="DD58" s="726" t="str">
        <f t="shared" si="66"/>
        <v>% Chg</v>
      </c>
      <c r="DE58" s="699">
        <f t="shared" si="66"/>
        <v>2006</v>
      </c>
      <c r="DF58" s="726" t="str">
        <f t="shared" si="66"/>
        <v>% Chg</v>
      </c>
      <c r="DG58" s="699">
        <f t="shared" si="66"/>
        <v>2007</v>
      </c>
      <c r="DH58" s="726" t="str">
        <f t="shared" si="66"/>
        <v>% Chg</v>
      </c>
      <c r="DI58" s="699">
        <f t="shared" si="66"/>
        <v>2008</v>
      </c>
      <c r="DJ58" s="726" t="str">
        <f t="shared" si="66"/>
        <v>% Chg</v>
      </c>
      <c r="DK58" s="695" t="str">
        <f t="shared" si="66"/>
        <v>2009</v>
      </c>
      <c r="DL58" s="726" t="str">
        <f t="shared" si="66"/>
        <v>% Chg</v>
      </c>
      <c r="DM58" s="695" t="str">
        <f t="shared" si="66"/>
        <v>2010</v>
      </c>
      <c r="DN58" s="726" t="str">
        <f t="shared" si="66"/>
        <v>% Chg</v>
      </c>
      <c r="DO58" s="695" t="str">
        <f t="shared" si="66"/>
        <v>2011</v>
      </c>
      <c r="DP58" s="726" t="str">
        <f t="shared" si="66"/>
        <v>% Chg</v>
      </c>
      <c r="DQ58" s="695" t="str">
        <f t="shared" si="66"/>
        <v>2012</v>
      </c>
      <c r="DR58" s="726" t="str">
        <f t="shared" si="66"/>
        <v>% Chg</v>
      </c>
      <c r="DS58" s="695" t="str">
        <f t="shared" si="66"/>
        <v>2013</v>
      </c>
      <c r="DT58" s="726" t="str">
        <f t="shared" si="66"/>
        <v>% Chg</v>
      </c>
      <c r="DU58" s="695" t="str">
        <f t="shared" si="66"/>
        <v>2014</v>
      </c>
      <c r="DV58" s="726" t="str">
        <f t="shared" si="66"/>
        <v>% Chg</v>
      </c>
      <c r="DW58" s="695" t="str">
        <f t="shared" si="66"/>
        <v>2015</v>
      </c>
      <c r="DX58" s="726" t="str">
        <f t="shared" si="66"/>
        <v>% Chg</v>
      </c>
      <c r="DY58" s="695" t="str">
        <f t="shared" si="66"/>
        <v>2016</v>
      </c>
      <c r="DZ58" s="726" t="str">
        <f t="shared" si="66"/>
        <v>% Chg</v>
      </c>
      <c r="EA58" s="695" t="str">
        <f t="shared" si="66"/>
        <v>2017</v>
      </c>
      <c r="EB58" s="726" t="str">
        <f t="shared" si="66"/>
        <v>% Chg</v>
      </c>
      <c r="EC58" s="695" t="str">
        <f t="shared" si="66"/>
        <v>2018E</v>
      </c>
      <c r="ED58" s="726" t="str">
        <f t="shared" si="66"/>
        <v>% Chg</v>
      </c>
      <c r="EE58" s="695" t="str">
        <f t="shared" si="66"/>
        <v>2019E</v>
      </c>
      <c r="EF58" s="726" t="str">
        <f t="shared" si="66"/>
        <v>% Chg</v>
      </c>
      <c r="EG58" s="695" t="str">
        <f t="shared" si="66"/>
        <v>2020E</v>
      </c>
      <c r="EH58" s="726" t="str">
        <f t="shared" si="66"/>
        <v>% Chg</v>
      </c>
      <c r="EI58" s="695" t="str">
        <f t="shared" si="66"/>
        <v>2021E</v>
      </c>
      <c r="EJ58" s="726" t="str">
        <f t="shared" si="66"/>
        <v>% Chg</v>
      </c>
      <c r="EK58" s="695" t="str">
        <f t="shared" si="66"/>
        <v>2022E</v>
      </c>
      <c r="EL58" s="726" t="str">
        <f t="shared" si="66"/>
        <v>% Chg</v>
      </c>
      <c r="EM58" s="696" t="str">
        <f t="shared" si="66"/>
        <v>(%)</v>
      </c>
    </row>
    <row r="59" spans="1:143" ht="12.75" customHeight="1" x14ac:dyDescent="0.2">
      <c r="A59" s="700"/>
      <c r="B59" s="16"/>
      <c r="C59" s="507"/>
      <c r="D59" s="16"/>
      <c r="E59" s="687"/>
      <c r="F59" s="16"/>
      <c r="G59" s="687"/>
      <c r="H59" s="16"/>
      <c r="I59" s="687"/>
      <c r="J59" s="16"/>
      <c r="K59" s="507"/>
      <c r="L59" s="16"/>
      <c r="M59" s="507"/>
      <c r="N59" s="16"/>
      <c r="O59" s="507"/>
      <c r="P59" s="16"/>
      <c r="Q59" s="507"/>
      <c r="R59" s="16"/>
      <c r="S59" s="507"/>
      <c r="T59" s="16"/>
      <c r="U59" s="507"/>
      <c r="V59" s="16"/>
      <c r="W59" s="507"/>
      <c r="X59" s="16"/>
      <c r="Y59" s="507"/>
      <c r="Z59" s="16"/>
      <c r="AA59" s="507"/>
      <c r="AB59" s="16"/>
      <c r="AC59" s="507"/>
      <c r="AD59" s="16"/>
      <c r="AE59" s="507"/>
      <c r="AF59" s="16"/>
      <c r="AG59" s="507"/>
      <c r="AH59" s="16"/>
      <c r="AI59" s="507"/>
      <c r="AJ59" s="16"/>
      <c r="AK59" s="507"/>
      <c r="AL59" s="16"/>
      <c r="AM59" s="507"/>
      <c r="AN59" s="16"/>
      <c r="AO59" s="507"/>
      <c r="AP59" s="16"/>
      <c r="AQ59" s="507"/>
      <c r="AR59" s="16"/>
      <c r="AS59" s="507"/>
      <c r="AT59" s="16"/>
      <c r="AU59" s="507"/>
      <c r="AV59" s="16"/>
      <c r="AW59" s="507"/>
      <c r="AX59" s="16"/>
      <c r="AY59" s="507"/>
      <c r="AZ59" s="16"/>
      <c r="BA59" s="507"/>
      <c r="BB59" s="16"/>
      <c r="BC59" s="507"/>
      <c r="BD59" s="16"/>
      <c r="BE59" s="507"/>
      <c r="BF59" s="16"/>
      <c r="BG59" s="507"/>
      <c r="BH59" s="16"/>
      <c r="BI59" s="507"/>
      <c r="BJ59" s="16"/>
      <c r="BK59" s="507"/>
      <c r="BL59" s="16"/>
      <c r="BM59" s="507"/>
      <c r="BN59" s="16"/>
      <c r="BO59" s="507"/>
      <c r="BP59" s="16"/>
      <c r="BQ59" s="507"/>
      <c r="BR59" s="16"/>
      <c r="BS59" s="507"/>
      <c r="BT59" s="16"/>
      <c r="BU59" s="507"/>
      <c r="BV59" s="16"/>
      <c r="BW59" s="507"/>
      <c r="BX59" s="16"/>
      <c r="BY59" s="507"/>
      <c r="BZ59" s="16"/>
      <c r="CA59" s="507"/>
      <c r="CB59" s="16"/>
      <c r="CC59" s="507"/>
      <c r="CD59" s="16"/>
      <c r="CE59" s="507"/>
      <c r="CF59" s="16"/>
      <c r="CG59" s="507"/>
      <c r="CH59" s="16"/>
      <c r="CI59" s="507"/>
      <c r="CJ59" s="16"/>
      <c r="CK59" s="507"/>
      <c r="CL59" s="16"/>
      <c r="CM59" s="507"/>
      <c r="CN59" s="16"/>
      <c r="CO59" s="507"/>
      <c r="CP59" s="16"/>
      <c r="CQ59" s="507"/>
      <c r="CR59" s="16"/>
      <c r="CS59" s="507"/>
      <c r="CT59" s="16"/>
      <c r="CU59" s="507"/>
      <c r="CV59" s="16"/>
      <c r="CW59" s="507"/>
      <c r="CX59" s="16"/>
      <c r="CY59" s="507"/>
      <c r="CZ59" s="16"/>
      <c r="DA59" s="507"/>
      <c r="DB59" s="507"/>
      <c r="DC59" s="16"/>
      <c r="DD59" s="507"/>
      <c r="DE59" s="16"/>
      <c r="DF59" s="507"/>
      <c r="DG59" s="16"/>
      <c r="DH59" s="507"/>
      <c r="DI59" s="16"/>
      <c r="DJ59" s="507"/>
      <c r="DK59" s="16"/>
      <c r="DL59" s="507"/>
      <c r="DM59" s="16"/>
      <c r="DN59" s="507"/>
      <c r="DO59" s="16"/>
      <c r="DP59" s="507"/>
      <c r="DQ59" s="16"/>
      <c r="DR59" s="507"/>
      <c r="DS59" s="16"/>
      <c r="DT59" s="507"/>
      <c r="DU59" s="16"/>
      <c r="DV59" s="507"/>
      <c r="DW59" s="16"/>
      <c r="DX59" s="507"/>
      <c r="DY59" s="16"/>
      <c r="DZ59" s="507"/>
      <c r="EA59" s="16"/>
      <c r="EB59" s="507"/>
      <c r="EC59" s="16"/>
      <c r="ED59" s="507"/>
      <c r="EE59" s="16"/>
      <c r="EF59" s="507"/>
      <c r="EG59" s="16"/>
      <c r="EH59" s="507"/>
      <c r="EI59" s="16"/>
      <c r="EJ59" s="507"/>
      <c r="EK59" s="16"/>
      <c r="EL59" s="507"/>
      <c r="EM59" s="687"/>
    </row>
    <row r="60" spans="1:143" ht="12.75" customHeight="1" x14ac:dyDescent="0.2">
      <c r="A60" s="700" t="s">
        <v>302</v>
      </c>
      <c r="B60" s="16"/>
      <c r="C60" s="507"/>
      <c r="D60" s="16"/>
      <c r="E60" s="687"/>
      <c r="F60" s="16"/>
      <c r="G60" s="687"/>
      <c r="H60" s="16"/>
      <c r="I60" s="687"/>
      <c r="J60" s="16"/>
      <c r="K60" s="507"/>
      <c r="L60" s="16"/>
      <c r="M60" s="507"/>
      <c r="N60" s="16"/>
      <c r="O60" s="507"/>
      <c r="P60" s="16"/>
      <c r="Q60" s="507"/>
      <c r="R60" s="16"/>
      <c r="S60" s="507"/>
      <c r="T60" s="16"/>
      <c r="U60" s="507"/>
      <c r="V60" s="16"/>
      <c r="W60" s="507"/>
      <c r="X60" s="16"/>
      <c r="Y60" s="507"/>
      <c r="Z60" s="16"/>
      <c r="AA60" s="122"/>
      <c r="AB60" s="16"/>
      <c r="AC60" s="507"/>
      <c r="AD60" s="16"/>
      <c r="AE60" s="507"/>
      <c r="AF60" s="16"/>
      <c r="AG60" s="507"/>
      <c r="AH60" s="16"/>
      <c r="AI60" s="507"/>
      <c r="AJ60" s="16"/>
      <c r="AK60" s="507"/>
      <c r="AL60" s="16"/>
      <c r="AM60" s="507"/>
      <c r="AN60" s="16"/>
      <c r="AO60" s="507"/>
      <c r="AP60" s="16"/>
      <c r="AQ60" s="507"/>
      <c r="AR60" s="16"/>
      <c r="AS60" s="507"/>
      <c r="AT60" s="16"/>
      <c r="AU60" s="507"/>
      <c r="AV60" s="16"/>
      <c r="AW60" s="507"/>
      <c r="AX60" s="16"/>
      <c r="AY60" s="507"/>
      <c r="AZ60" s="16"/>
      <c r="BA60" s="507"/>
      <c r="BB60" s="16"/>
      <c r="BC60" s="507"/>
      <c r="BD60" s="16"/>
      <c r="BE60" s="507"/>
      <c r="BF60" s="16"/>
      <c r="BG60" s="507"/>
      <c r="BH60" s="16"/>
      <c r="BI60" s="507"/>
      <c r="BJ60" s="16"/>
      <c r="BK60" s="507"/>
      <c r="BL60" s="16"/>
      <c r="BM60" s="507"/>
      <c r="BN60" s="16"/>
      <c r="BO60" s="507"/>
      <c r="BP60" s="16"/>
      <c r="BQ60" s="507"/>
      <c r="BR60" s="16"/>
      <c r="BS60" s="507"/>
      <c r="BT60" s="16"/>
      <c r="BU60" s="507"/>
      <c r="BV60" s="16"/>
      <c r="BW60" s="507"/>
      <c r="BX60" s="16"/>
      <c r="BY60" s="507"/>
      <c r="BZ60" s="16"/>
      <c r="CA60" s="507"/>
      <c r="CB60" s="16"/>
      <c r="CC60" s="507"/>
      <c r="CD60" s="16"/>
      <c r="CE60" s="507"/>
      <c r="CF60" s="16"/>
      <c r="CG60" s="507"/>
      <c r="CH60" s="16"/>
      <c r="CI60" s="507"/>
      <c r="CJ60" s="16"/>
      <c r="CK60" s="507"/>
      <c r="CL60" s="16"/>
      <c r="CM60" s="507"/>
      <c r="CN60" s="16"/>
      <c r="CO60" s="507"/>
      <c r="CP60" s="16"/>
      <c r="CQ60" s="507"/>
      <c r="CR60" s="16"/>
      <c r="CS60" s="507"/>
      <c r="CT60" s="16"/>
      <c r="CU60" s="507"/>
      <c r="CV60" s="16"/>
      <c r="CW60" s="507"/>
      <c r="CX60" s="16"/>
      <c r="CY60" s="507"/>
      <c r="CZ60" s="16"/>
      <c r="DA60" s="507"/>
      <c r="DB60" s="507"/>
      <c r="DC60" s="16"/>
      <c r="DD60" s="507"/>
      <c r="DE60" s="16"/>
      <c r="DF60" s="507"/>
      <c r="DG60" s="16"/>
      <c r="DH60" s="507"/>
      <c r="DI60" s="16"/>
      <c r="DJ60" s="507"/>
      <c r="DK60" s="16"/>
      <c r="DL60" s="507"/>
      <c r="DM60" s="16"/>
      <c r="DN60" s="507"/>
      <c r="DO60" s="16"/>
      <c r="DP60" s="507"/>
      <c r="DQ60" s="16"/>
      <c r="DR60" s="507"/>
      <c r="DS60" s="16"/>
      <c r="DT60" s="507"/>
      <c r="DU60" s="16"/>
      <c r="DV60" s="507"/>
      <c r="DW60" s="16"/>
      <c r="DX60" s="507"/>
      <c r="DY60" s="16"/>
      <c r="DZ60" s="507"/>
      <c r="EA60" s="16"/>
      <c r="EB60" s="507"/>
      <c r="EC60" s="16"/>
      <c r="ED60" s="507"/>
      <c r="EE60" s="16"/>
      <c r="EF60" s="507"/>
      <c r="EG60" s="16"/>
      <c r="EH60" s="507"/>
      <c r="EI60" s="16"/>
      <c r="EJ60" s="507"/>
      <c r="EK60" s="16"/>
      <c r="EL60" s="507"/>
      <c r="EM60" s="687"/>
    </row>
    <row r="61" spans="1:143" ht="12.75" customHeight="1" x14ac:dyDescent="0.2">
      <c r="A61" s="701" t="str">
        <f>INPUT!B609</f>
        <v>Outstanding Shares (EOP)-Diluted</v>
      </c>
      <c r="B61" s="151">
        <f>INPUT!AY609</f>
        <v>178.5</v>
      </c>
      <c r="C61" s="507">
        <f>INPUT!AZ609</f>
        <v>1.1331444759206777</v>
      </c>
      <c r="D61" s="151">
        <f>INPUT!BA609</f>
        <v>285</v>
      </c>
      <c r="E61" s="687">
        <f>INPUT!BB609</f>
        <v>63.043478260869556</v>
      </c>
      <c r="F61" s="151">
        <f>INPUT!BC609</f>
        <v>281.3</v>
      </c>
      <c r="G61" s="687">
        <f>INPUT!BD609</f>
        <v>59.557572319909234</v>
      </c>
      <c r="H61" s="151">
        <f>INPUT!BE609</f>
        <v>280.2</v>
      </c>
      <c r="I61" s="687">
        <f>INPUT!BF609</f>
        <v>58.394573205200672</v>
      </c>
      <c r="J61" s="151">
        <f>INPUT!BG609</f>
        <v>274</v>
      </c>
      <c r="K61" s="687">
        <f>INPUT!BH609</f>
        <v>53.501400560224099</v>
      </c>
      <c r="L61" s="151">
        <f>INPUT!BI609</f>
        <v>274.5</v>
      </c>
      <c r="M61" s="687">
        <f>INPUT!BJ609</f>
        <v>-3.6842105263157898</v>
      </c>
      <c r="N61" s="151">
        <f>INPUT!BK609</f>
        <v>271.7</v>
      </c>
      <c r="O61" s="687">
        <f>INPUT!BL609</f>
        <v>-3.412726626377538</v>
      </c>
      <c r="P61" s="151">
        <f>INPUT!BM609</f>
        <v>266.2</v>
      </c>
      <c r="Q61" s="687">
        <f>INPUT!BN609</f>
        <v>-4.9964311206281202</v>
      </c>
      <c r="R61" s="151">
        <f>INPUT!BO609</f>
        <v>260.49049000000002</v>
      </c>
      <c r="S61" s="687">
        <f>INPUT!BP609</f>
        <v>-4.9304781021897721</v>
      </c>
      <c r="T61" s="151">
        <f>INPUT!BQ609</f>
        <v>257.8</v>
      </c>
      <c r="U61" s="687">
        <f>INPUT!BR609</f>
        <v>-6.083788706739524</v>
      </c>
      <c r="V61" s="151">
        <f>INPUT!BS609</f>
        <v>256.89999999999998</v>
      </c>
      <c r="W61" s="687">
        <f>INPUT!BT609</f>
        <v>-5.4471843945528171</v>
      </c>
      <c r="X61" s="151">
        <f>INPUT!BU609</f>
        <v>257.7</v>
      </c>
      <c r="Y61" s="687">
        <f>INPUT!BV609</f>
        <v>-3.1930879038317039</v>
      </c>
      <c r="Z61" s="151">
        <f>INPUT!BW609</f>
        <v>258.10000000000002</v>
      </c>
      <c r="AA61" s="122">
        <f>INPUT!BX609</f>
        <v>-0.91768801233396147</v>
      </c>
      <c r="AB61" s="151">
        <f>INPUT!BY609</f>
        <v>304.2</v>
      </c>
      <c r="AC61" s="687">
        <f>INPUT!BZ609</f>
        <v>17.998448409619861</v>
      </c>
      <c r="AD61" s="151">
        <f>INPUT!CA609</f>
        <v>311.8</v>
      </c>
      <c r="AE61" s="687">
        <f>INPUT!CB609</f>
        <v>21.370182950564431</v>
      </c>
      <c r="AF61" s="151">
        <f>INPUT!CC609</f>
        <v>311.8</v>
      </c>
      <c r="AG61" s="687">
        <f>INPUT!CD609</f>
        <v>20.993403181994587</v>
      </c>
      <c r="AH61" s="151">
        <f>INPUT!CE609</f>
        <v>313</v>
      </c>
      <c r="AI61" s="507">
        <f>INPUT!CF609</f>
        <v>21.270825261526525</v>
      </c>
      <c r="AJ61" s="151">
        <f>INPUT!CG609</f>
        <v>325.89999999999998</v>
      </c>
      <c r="AK61" s="507">
        <f>INPUT!CH609</f>
        <v>7.1334648257725064</v>
      </c>
      <c r="AL61" s="151">
        <f>INPUT!CI609</f>
        <v>324.3</v>
      </c>
      <c r="AM61" s="507">
        <f>INPUT!CJ609</f>
        <v>4.0089801154586269</v>
      </c>
      <c r="AN61" s="151">
        <f>INPUT!CK609</f>
        <v>324</v>
      </c>
      <c r="AO61" s="507">
        <f>INPUT!CL609</f>
        <v>3.912764592687612</v>
      </c>
      <c r="AP61" s="151">
        <f>INPUT!CM609</f>
        <v>321.3</v>
      </c>
      <c r="AQ61" s="507">
        <f>INPUT!CN609</f>
        <v>2.6517571884984159</v>
      </c>
      <c r="AR61" s="151">
        <f>INPUT!CO609</f>
        <v>316.8</v>
      </c>
      <c r="AS61" s="507">
        <f>INPUT!CP609</f>
        <v>-2.7922675667382491</v>
      </c>
      <c r="AT61" s="151">
        <f>INPUT!CQ609</f>
        <v>306.89999999999998</v>
      </c>
      <c r="AU61" s="507">
        <f>INPUT!CR609</f>
        <v>-5.3654024051803972</v>
      </c>
      <c r="AV61" s="151">
        <f>INPUT!CS609</f>
        <v>297</v>
      </c>
      <c r="AW61" s="507">
        <f>INPUT!CT609</f>
        <v>-8.3333333333333375</v>
      </c>
      <c r="AX61" s="151">
        <f>INPUT!CU609</f>
        <v>293</v>
      </c>
      <c r="AY61" s="507">
        <f>INPUT!CV609</f>
        <v>-8.8079676314970499</v>
      </c>
      <c r="AZ61" s="151">
        <f>INPUT!CW609</f>
        <v>286.8</v>
      </c>
      <c r="BA61" s="507">
        <f>INPUT!CX609</f>
        <v>-9.4696969696969724</v>
      </c>
      <c r="BB61" s="151">
        <f>INPUT!CY609</f>
        <v>282.39999999999998</v>
      </c>
      <c r="BC61" s="507">
        <f>INPUT!CZ609</f>
        <v>-7.9830563701531414</v>
      </c>
      <c r="BD61" s="151">
        <f>INPUT!DA609</f>
        <v>279.10000000000002</v>
      </c>
      <c r="BE61" s="507">
        <f>INPUT!DB609</f>
        <v>-6.0269360269360135</v>
      </c>
      <c r="BF61" s="151">
        <f>INPUT!DC609</f>
        <v>277.2</v>
      </c>
      <c r="BG61" s="507">
        <f>INPUT!DD609</f>
        <v>-5.3924914675767983</v>
      </c>
      <c r="BH61" s="151">
        <f>INPUT!DE609</f>
        <v>273.89999999999998</v>
      </c>
      <c r="BI61" s="507">
        <f>INPUT!DF609</f>
        <v>-4.4979079497908021</v>
      </c>
      <c r="BJ61" s="151">
        <f>INPUT!DG609</f>
        <v>272.5</v>
      </c>
      <c r="BK61" s="507">
        <f>INPUT!DH609</f>
        <v>-3.5056657223795917</v>
      </c>
      <c r="BL61" s="151">
        <f>INPUT!DI609</f>
        <v>272.2</v>
      </c>
      <c r="BM61" s="507">
        <f>INPUT!DJ609</f>
        <v>-2.4722321748477327</v>
      </c>
      <c r="BN61" s="151">
        <f>INPUT!DK609</f>
        <v>270.39999999999998</v>
      </c>
      <c r="BO61" s="507">
        <f>INPUT!DL609</f>
        <v>-2.4531024531024626</v>
      </c>
      <c r="BP61" s="151">
        <f>INPUT!DM609</f>
        <v>267.60000000000002</v>
      </c>
      <c r="BQ61" s="507">
        <f>INPUT!DN609</f>
        <v>-2.3001095290251738</v>
      </c>
      <c r="BR61" s="151">
        <f>INPUT!DO609</f>
        <v>265.5</v>
      </c>
      <c r="BS61" s="507">
        <f>INPUT!DP609</f>
        <v>-2.5688073394495414</v>
      </c>
      <c r="BT61" s="151">
        <f>INPUT!DQ609</f>
        <v>261.5</v>
      </c>
      <c r="BU61" s="507">
        <f>INPUT!DR609</f>
        <v>-3.930933137398962</v>
      </c>
      <c r="BV61" s="151">
        <f>INPUT!DS609</f>
        <v>257.2</v>
      </c>
      <c r="BW61" s="507">
        <f>INPUT!DT609</f>
        <v>-4.8816568047337245</v>
      </c>
      <c r="BX61" s="151">
        <f>INPUT!DU609</f>
        <v>254.1</v>
      </c>
      <c r="BY61" s="507">
        <f>INPUT!DV609</f>
        <v>-5.0448430493273637</v>
      </c>
      <c r="BZ61" s="151">
        <f>INPUT!DW609</f>
        <v>251.2</v>
      </c>
      <c r="CA61" s="507">
        <f>INPUT!DX609</f>
        <v>251.2</v>
      </c>
      <c r="CB61" s="151">
        <f>INPUT!DY609</f>
        <v>246.7</v>
      </c>
      <c r="CC61" s="507">
        <f>INPUT!DZ609</f>
        <v>-5.659655831739963</v>
      </c>
      <c r="CD61" s="151">
        <f>INPUT!EA609</f>
        <v>242.2</v>
      </c>
      <c r="CE61" s="507">
        <f>INPUT!EB609</f>
        <v>-5.8320373250388862</v>
      </c>
      <c r="CF61" s="151">
        <f>INPUT!EC609</f>
        <v>236.3</v>
      </c>
      <c r="CG61" s="507">
        <f>INPUT!ED609</f>
        <v>-7.0051160960251764</v>
      </c>
      <c r="CH61" s="151">
        <f>INPUT!EE609</f>
        <v>231.3</v>
      </c>
      <c r="CI61" s="507">
        <f>INPUT!EF609</f>
        <v>-7.9219745222929845</v>
      </c>
      <c r="CJ61" s="151">
        <f>INPUT!EG609</f>
        <v>230.1</v>
      </c>
      <c r="CK61" s="507">
        <f>INPUT!EH609</f>
        <v>-6.7288204296716669</v>
      </c>
      <c r="CL61" s="151">
        <f>INPUT!EI609</f>
        <v>228.9</v>
      </c>
      <c r="CM61" s="507">
        <f>INPUT!EJ609</f>
        <v>-5.4913294797687806</v>
      </c>
      <c r="CN61" s="151">
        <f>INPUT!EK609</f>
        <v>226</v>
      </c>
      <c r="CO61" s="507">
        <f>INPUT!EL609</f>
        <v>-4.3588658484976728</v>
      </c>
      <c r="CP61" s="151">
        <f>INPUT!EM609</f>
        <v>222.7</v>
      </c>
      <c r="CQ61" s="507">
        <f>INPUT!EN609</f>
        <v>-3.7181150021617038</v>
      </c>
      <c r="CR61" s="151">
        <f>INPUT!EO609</f>
        <v>221.3</v>
      </c>
      <c r="CS61" s="507">
        <f>INPUT!EP609</f>
        <v>-3.8244241634072029</v>
      </c>
      <c r="CT61" s="151">
        <f>INPUT!EQ609</f>
        <v>221.3</v>
      </c>
      <c r="CU61" s="507">
        <f>INPUT!ER609</f>
        <v>-3.3202271734381839</v>
      </c>
      <c r="CV61" s="151">
        <f>INPUT!ES609</f>
        <v>221.3</v>
      </c>
      <c r="CW61" s="507">
        <f>INPUT!ET609</f>
        <v>-2.0796460176991105</v>
      </c>
      <c r="CX61" s="151">
        <f>INPUT!EU609</f>
        <v>220.31463388718043</v>
      </c>
      <c r="CY61" s="507">
        <f>INPUT!EV609</f>
        <v>-1.0711118602692249</v>
      </c>
      <c r="CZ61" s="151">
        <f>INPUT!EW609</f>
        <v>219.34863055035657</v>
      </c>
      <c r="DA61" s="507">
        <f>INPUT!EX609</f>
        <v>-0.88177562116739105</v>
      </c>
      <c r="DB61" s="507"/>
      <c r="DC61" s="151">
        <f>INPUT!FP609</f>
        <v>176.9</v>
      </c>
      <c r="DD61" s="687">
        <f>INPUT!FQ609</f>
        <v>-7.4306645735217058</v>
      </c>
      <c r="DE61" s="151">
        <f>INPUT!FR609</f>
        <v>280.2</v>
      </c>
      <c r="DF61" s="687">
        <f>INPUT!FS609</f>
        <v>58.394573205200672</v>
      </c>
      <c r="DG61" s="151">
        <f>INPUT!FT609</f>
        <v>266.2</v>
      </c>
      <c r="DH61" s="687">
        <f>INPUT!FU609</f>
        <v>-4.9964311206281202</v>
      </c>
      <c r="DI61" s="151">
        <f>INPUT!FV609</f>
        <v>257.7</v>
      </c>
      <c r="DJ61" s="687">
        <f>INPUT!FW609</f>
        <v>-3.1930879038317039</v>
      </c>
      <c r="DK61" s="151">
        <f>INPUT!FX609</f>
        <v>311.8</v>
      </c>
      <c r="DL61" s="507">
        <f>INPUT!FY609</f>
        <v>20.993403181994587</v>
      </c>
      <c r="DM61" s="151">
        <f>INPUT!FZ609</f>
        <v>324</v>
      </c>
      <c r="DN61" s="507">
        <f>INPUT!GA609</f>
        <v>3.912764592687612</v>
      </c>
      <c r="DO61" s="151">
        <f>INPUT!GB609</f>
        <v>297</v>
      </c>
      <c r="DP61" s="507">
        <f>INPUT!GC609</f>
        <v>-8.3333333333333375</v>
      </c>
      <c r="DQ61" s="151">
        <f>INPUT!GD609</f>
        <v>279.10000000000002</v>
      </c>
      <c r="DR61" s="507">
        <f>INPUT!GE609</f>
        <v>-6.0269360269360135</v>
      </c>
      <c r="DS61" s="151">
        <f>INPUT!GF609</f>
        <v>272.2</v>
      </c>
      <c r="DT61" s="507">
        <f>INPUT!GG609</f>
        <v>-2.4722321748477327</v>
      </c>
      <c r="DU61" s="151">
        <f>INPUT!GH609</f>
        <v>261.5</v>
      </c>
      <c r="DV61" s="507">
        <f>INPUT!GI609</f>
        <v>-3.930933137398962</v>
      </c>
      <c r="DW61" s="151">
        <f>INPUT!GJ609</f>
        <v>246.7</v>
      </c>
      <c r="DX61" s="507">
        <f>INPUT!GK609</f>
        <v>-5.659655831739963</v>
      </c>
      <c r="DY61" s="151">
        <f>INPUT!GL609</f>
        <v>230.1</v>
      </c>
      <c r="DZ61" s="507">
        <f>INPUT!GM609</f>
        <v>-6.7288204296716669</v>
      </c>
      <c r="EA61" s="151">
        <f>INPUT!GN609</f>
        <v>221.3</v>
      </c>
      <c r="EB61" s="507">
        <f>INPUT!GO609</f>
        <v>-3.8244241634072029</v>
      </c>
      <c r="EC61" s="151">
        <f>INPUT!GP609</f>
        <v>219.34863055035657</v>
      </c>
      <c r="ED61" s="507">
        <f>INPUT!GQ609</f>
        <v>-0.88177562116739105</v>
      </c>
      <c r="EE61" s="151">
        <f>INPUT!GR609</f>
        <v>215.16089267408222</v>
      </c>
      <c r="EF61" s="507">
        <f>INPUT!GS609</f>
        <v>-1.9091698296757609</v>
      </c>
      <c r="EG61" s="151">
        <f>INPUT!GT609</f>
        <v>210.14308355556258</v>
      </c>
      <c r="EH61" s="507">
        <f>INPUT!GU609</f>
        <v>-2.3321194926070654</v>
      </c>
      <c r="EI61" s="151">
        <f>INPUT!GV609</f>
        <v>204.40621408826894</v>
      </c>
      <c r="EJ61" s="507">
        <f>INPUT!GW609</f>
        <v>-2.7299825291546176</v>
      </c>
      <c r="EK61" s="151">
        <f>INPUT!GX609</f>
        <v>198.78491039299786</v>
      </c>
      <c r="EL61" s="507">
        <f>INPUT!GY609</f>
        <v>-2.7500649725079485</v>
      </c>
      <c r="EM61" s="257">
        <f>INPUT!GZ609</f>
        <v>-2.1230561985737917</v>
      </c>
    </row>
    <row r="62" spans="1:143" ht="12.75" customHeight="1" x14ac:dyDescent="0.2">
      <c r="A62" s="701" t="str">
        <f>INPUT!B611</f>
        <v>Average Shares (FD)</v>
      </c>
      <c r="B62" s="151">
        <f>INPUT!AY611</f>
        <v>177.9</v>
      </c>
      <c r="C62" s="507">
        <f>INPUT!AZ611</f>
        <v>0.7361268403170973</v>
      </c>
      <c r="D62" s="151">
        <f>INPUT!BA611</f>
        <v>282.60000000000002</v>
      </c>
      <c r="E62" s="687">
        <f>INPUT!BB611</f>
        <v>61.117445838084386</v>
      </c>
      <c r="F62" s="151">
        <f>INPUT!BC611</f>
        <v>282.39999999999998</v>
      </c>
      <c r="G62" s="687">
        <f>INPUT!BD611</f>
        <v>60.637087599544913</v>
      </c>
      <c r="H62" s="151">
        <f>INPUT!BE611</f>
        <v>280.39999999999998</v>
      </c>
      <c r="I62" s="687">
        <f>INPUT!BF611</f>
        <v>58.776896942242352</v>
      </c>
      <c r="J62" s="151">
        <f>INPUT!BG611</f>
        <v>279.5</v>
      </c>
      <c r="K62" s="687">
        <f>INPUT!BH611</f>
        <v>57.110736368746487</v>
      </c>
      <c r="L62" s="151">
        <f>INPUT!BI611</f>
        <v>274.39999999999998</v>
      </c>
      <c r="M62" s="687">
        <f>INPUT!BJ611</f>
        <v>-2.9016277423920878</v>
      </c>
      <c r="N62" s="151">
        <f>INPUT!BK611</f>
        <v>272.5</v>
      </c>
      <c r="O62" s="687">
        <f>INPUT!BL611</f>
        <v>-3.5056657223795917</v>
      </c>
      <c r="P62" s="151">
        <f>INPUT!BM611</f>
        <v>269.39999999999998</v>
      </c>
      <c r="Q62" s="687">
        <f>INPUT!BN611</f>
        <v>-3.9229671897289542</v>
      </c>
      <c r="R62" s="151">
        <f>INPUT!BO611</f>
        <v>262.8</v>
      </c>
      <c r="S62" s="687">
        <f>INPUT!BP611</f>
        <v>-5.9749552772808574</v>
      </c>
      <c r="T62" s="151">
        <f>INPUT!BQ611</f>
        <v>259.60000000000002</v>
      </c>
      <c r="U62" s="687">
        <f>INPUT!BR611</f>
        <v>-5.393586005830886</v>
      </c>
      <c r="V62" s="151">
        <f>INPUT!BS611</f>
        <v>257.64499999999998</v>
      </c>
      <c r="W62" s="687">
        <f>INPUT!BT611</f>
        <v>-5.4513761467890003</v>
      </c>
      <c r="X62" s="151">
        <f>INPUT!BU611</f>
        <v>257.60000000000002</v>
      </c>
      <c r="Y62" s="687">
        <f>INPUT!BV611</f>
        <v>-4.3801039346696218</v>
      </c>
      <c r="Z62" s="151">
        <f>INPUT!BW611</f>
        <v>257.8</v>
      </c>
      <c r="AA62" s="122">
        <f>INPUT!BX611</f>
        <v>-1.9025875190258779</v>
      </c>
      <c r="AB62" s="151">
        <f>INPUT!BY611</f>
        <v>262.39999999999998</v>
      </c>
      <c r="AC62" s="687">
        <f>INPUT!BZ611</f>
        <v>1.0785824345146189</v>
      </c>
      <c r="AD62" s="151">
        <f>INPUT!CA611</f>
        <v>310</v>
      </c>
      <c r="AE62" s="687">
        <f>INPUT!CB611</f>
        <v>20.320596169147475</v>
      </c>
      <c r="AF62" s="151">
        <f>INPUT!CC611</f>
        <v>311.60000000000002</v>
      </c>
      <c r="AG62" s="687">
        <f>INPUT!CD611</f>
        <v>20.962732919254655</v>
      </c>
      <c r="AH62" s="151">
        <f>INPUT!CE611</f>
        <v>312.08</v>
      </c>
      <c r="AI62" s="507">
        <f>INPUT!CF611</f>
        <v>21.05508145849495</v>
      </c>
      <c r="AJ62" s="151">
        <f>INPUT!CG611</f>
        <v>314.60000000000002</v>
      </c>
      <c r="AK62" s="507">
        <f>INPUT!CH611</f>
        <v>19.893292682926855</v>
      </c>
      <c r="AL62" s="151">
        <f>INPUT!CI611</f>
        <v>325.7</v>
      </c>
      <c r="AM62" s="507">
        <f>INPUT!CJ611</f>
        <v>5.0645161290322482</v>
      </c>
      <c r="AN62" s="151">
        <f>INPUT!CK611</f>
        <v>323.39999999999998</v>
      </c>
      <c r="AO62" s="507">
        <f>INPUT!CL611</f>
        <v>3.7869062901155104</v>
      </c>
      <c r="AP62" s="151">
        <f>INPUT!CM611</f>
        <v>322.89999999999998</v>
      </c>
      <c r="AQ62" s="507">
        <f>INPUT!CN611</f>
        <v>3.4670597282747906</v>
      </c>
      <c r="AR62" s="151">
        <f>INPUT!CO611</f>
        <v>320.09999999999997</v>
      </c>
      <c r="AS62" s="507">
        <f>INPUT!CP611</f>
        <v>1.7482517482517279</v>
      </c>
      <c r="AT62" s="151">
        <f>INPUT!CQ611</f>
        <v>312</v>
      </c>
      <c r="AU62" s="507">
        <f>INPUT!CR611</f>
        <v>-4.2063248388087171</v>
      </c>
      <c r="AV62" s="151">
        <f>INPUT!CS611</f>
        <v>303.39999999999998</v>
      </c>
      <c r="AW62" s="507">
        <f>INPUT!CT611</f>
        <v>-6.1842918985776096</v>
      </c>
      <c r="AX62" s="151">
        <f>INPUT!CU611</f>
        <v>295.89999999999998</v>
      </c>
      <c r="AY62" s="507">
        <f>INPUT!CV611</f>
        <v>-8.3617218953236261</v>
      </c>
      <c r="AZ62" s="151">
        <f>INPUT!CW611</f>
        <v>290</v>
      </c>
      <c r="BA62" s="507">
        <f>INPUT!CX611</f>
        <v>-9.4033114651671301</v>
      </c>
      <c r="BB62" s="151">
        <f>INPUT!CY611</f>
        <v>284.7</v>
      </c>
      <c r="BC62" s="507">
        <f>INPUT!CZ611</f>
        <v>-8.7500000000000018</v>
      </c>
      <c r="BD62" s="151">
        <f>INPUT!DA611</f>
        <v>281.10000000000002</v>
      </c>
      <c r="BE62" s="507">
        <f>INPUT!DB611</f>
        <v>-7.3500329597890435</v>
      </c>
      <c r="BF62" s="151">
        <f>INPUT!DC611</f>
        <v>278.60000000000002</v>
      </c>
      <c r="BG62" s="507">
        <f>INPUT!DD611</f>
        <v>-5.8465697870902167</v>
      </c>
      <c r="BH62" s="151">
        <f>INPUT!DE611</f>
        <v>275.7</v>
      </c>
      <c r="BI62" s="507">
        <f>INPUT!DF611</f>
        <v>-4.9310344827586228</v>
      </c>
      <c r="BJ62" s="151">
        <f>INPUT!DG611</f>
        <v>273.7</v>
      </c>
      <c r="BK62" s="507">
        <f>INPUT!DH611</f>
        <v>-3.863716192483313</v>
      </c>
      <c r="BL62" s="151">
        <f>INPUT!DI611</f>
        <v>272.8</v>
      </c>
      <c r="BM62" s="507">
        <f>INPUT!DJ611</f>
        <v>-2.9526858769121311</v>
      </c>
      <c r="BN62" s="151">
        <f>INPUT!DK611</f>
        <v>272.10000000000002</v>
      </c>
      <c r="BO62" s="507">
        <f>INPUT!DL611</f>
        <v>-2.3330940416367518</v>
      </c>
      <c r="BP62" s="151">
        <f>INPUT!DM611</f>
        <v>268.89999999999998</v>
      </c>
      <c r="BQ62" s="507">
        <f>INPUT!DN611</f>
        <v>-2.4664490388103033</v>
      </c>
      <c r="BR62" s="151">
        <f>INPUT!DO611</f>
        <v>266.8</v>
      </c>
      <c r="BS62" s="507">
        <f>INPUT!DP611</f>
        <v>-2.5210084033613356</v>
      </c>
      <c r="BT62" s="151">
        <f>INPUT!DQ611</f>
        <v>263</v>
      </c>
      <c r="BU62" s="507">
        <f>INPUT!DR611</f>
        <v>-3.5923753665689229</v>
      </c>
      <c r="BV62" s="151">
        <f>INPUT!DS611</f>
        <v>260.60000000000002</v>
      </c>
      <c r="BW62" s="507">
        <f>INPUT!DT611</f>
        <v>-4.2263873575891235</v>
      </c>
      <c r="BX62" s="151">
        <f>INPUT!DU611</f>
        <v>254.9</v>
      </c>
      <c r="BY62" s="507">
        <f>INPUT!DV611</f>
        <v>-5.2063964298995842</v>
      </c>
      <c r="BZ62" s="151">
        <f>INPUT!DW611</f>
        <v>253.2</v>
      </c>
      <c r="CA62" s="507">
        <f>INPUT!DX611</f>
        <v>253.2</v>
      </c>
      <c r="CB62" s="151">
        <f>INPUT!DY611</f>
        <v>248.9</v>
      </c>
      <c r="CC62" s="507">
        <f>INPUT!DZ611</f>
        <v>-5.3612167300380209</v>
      </c>
      <c r="CD62" s="151">
        <f>INPUT!EA611</f>
        <v>245.1</v>
      </c>
      <c r="CE62" s="507">
        <f>INPUT!EB611</f>
        <v>-5.9478127398311713</v>
      </c>
      <c r="CF62" s="151">
        <f>INPUT!EC611</f>
        <v>239.9</v>
      </c>
      <c r="CG62" s="507">
        <f>INPUT!ED611</f>
        <v>-5.8846606512357731</v>
      </c>
      <c r="CH62" s="151">
        <f>INPUT!EE611</f>
        <v>233.6</v>
      </c>
      <c r="CI62" s="507">
        <f>INPUT!EF611</f>
        <v>-7.7409162717219537</v>
      </c>
      <c r="CJ62" s="151">
        <f>INPUT!EG611</f>
        <v>230.9</v>
      </c>
      <c r="CK62" s="507">
        <f>INPUT!EH611</f>
        <v>-7.2318200080353501</v>
      </c>
      <c r="CL62" s="151">
        <f>INPUT!EI611</f>
        <v>230.1</v>
      </c>
      <c r="CM62" s="507">
        <f>INPUT!EJ611</f>
        <v>-6.1199510403916797</v>
      </c>
      <c r="CN62" s="151">
        <f>INPUT!EK611</f>
        <v>227.15</v>
      </c>
      <c r="CO62" s="507">
        <f>INPUT!EL611</f>
        <v>-5.3147144643601489</v>
      </c>
      <c r="CP62" s="151">
        <f>INPUT!EM611</f>
        <v>223.9</v>
      </c>
      <c r="CQ62" s="507">
        <f>INPUT!EN611</f>
        <v>-4.1523972602739656</v>
      </c>
      <c r="CR62" s="151">
        <f>INPUT!EO611</f>
        <v>221.9</v>
      </c>
      <c r="CS62" s="507">
        <f>INPUT!EP611</f>
        <v>-3.8977912516240831</v>
      </c>
      <c r="CT62" s="151">
        <f>INPUT!EQ611</f>
        <v>221.3</v>
      </c>
      <c r="CU62" s="507">
        <f>INPUT!ER611</f>
        <v>-3.8244241634072029</v>
      </c>
      <c r="CV62" s="151">
        <f>INPUT!ES611</f>
        <v>221.3</v>
      </c>
      <c r="CW62" s="507">
        <f>INPUT!ET611</f>
        <v>-2.5753907109839269</v>
      </c>
      <c r="CX62" s="151">
        <f>INPUT!EU611</f>
        <v>220.80731694359022</v>
      </c>
      <c r="CY62" s="507">
        <f>INPUT!EV611</f>
        <v>-1.3812787210405464</v>
      </c>
      <c r="CZ62" s="151">
        <f>INPUT!EW611</f>
        <v>219.8316322187685</v>
      </c>
      <c r="DA62" s="507">
        <f>INPUT!EX611</f>
        <v>-0.93211707130756993</v>
      </c>
      <c r="DB62" s="507"/>
      <c r="DC62" s="151">
        <f>INPUT!FP611</f>
        <v>176.1</v>
      </c>
      <c r="DD62" s="687">
        <f>INPUT!FQ611</f>
        <v>-8.909866804603638</v>
      </c>
      <c r="DE62" s="151">
        <f>INPUT!FR611</f>
        <v>255.82499999999999</v>
      </c>
      <c r="DF62" s="687">
        <f>INPUT!FS611</f>
        <v>45.272572402044297</v>
      </c>
      <c r="DG62" s="151">
        <f>INPUT!FT611</f>
        <v>273.95</v>
      </c>
      <c r="DH62" s="687">
        <f>INPUT!FU611</f>
        <v>7.084921332942451</v>
      </c>
      <c r="DI62" s="151">
        <f>INPUT!FV611</f>
        <v>259.41125</v>
      </c>
      <c r="DJ62" s="687">
        <f>INPUT!FW611</f>
        <v>-5.3070815842306995</v>
      </c>
      <c r="DK62" s="151">
        <f>INPUT!FX611</f>
        <v>285.45000000000005</v>
      </c>
      <c r="DL62" s="507">
        <f>INPUT!FY611</f>
        <v>10.037633294623905</v>
      </c>
      <c r="DM62" s="151">
        <f>INPUT!FZ611</f>
        <v>318.94500000000005</v>
      </c>
      <c r="DN62" s="507">
        <f>INPUT!GA611</f>
        <v>11.734104046242777</v>
      </c>
      <c r="DO62" s="151">
        <f>INPUT!GB611</f>
        <v>315</v>
      </c>
      <c r="DP62" s="507">
        <f>INPUT!GC611</f>
        <v>-1.2368903729483294</v>
      </c>
      <c r="DQ62" s="151">
        <f>INPUT!GD611</f>
        <v>287.60000000000002</v>
      </c>
      <c r="DR62" s="507">
        <f>INPUT!GE611</f>
        <v>-8.6984126984126942</v>
      </c>
      <c r="DS62" s="151">
        <f>INPUT!GF611</f>
        <v>275.2</v>
      </c>
      <c r="DT62" s="507">
        <f>INPUT!GG611</f>
        <v>-4.3115438108484172</v>
      </c>
      <c r="DU62" s="151">
        <f>INPUT!GH611</f>
        <v>268</v>
      </c>
      <c r="DV62" s="507">
        <f>INPUT!GI611</f>
        <v>-2.6162790697674354</v>
      </c>
      <c r="DW62" s="151">
        <f>INPUT!GJ611</f>
        <v>254.4</v>
      </c>
      <c r="DX62" s="507">
        <f>INPUT!GK611</f>
        <v>-5.0746268656716387</v>
      </c>
      <c r="DY62" s="151">
        <f>INPUT!GL611</f>
        <v>237.375</v>
      </c>
      <c r="DZ62" s="507">
        <f>INPUT!GM611</f>
        <v>-6.6922169811320824</v>
      </c>
      <c r="EA62" s="151">
        <f>INPUT!GN611</f>
        <v>225.76249999999999</v>
      </c>
      <c r="EB62" s="507">
        <f>INPUT!GO611</f>
        <v>-4.8920484465508229</v>
      </c>
      <c r="EC62" s="151">
        <f>INPUT!GP611</f>
        <v>220.80973729058968</v>
      </c>
      <c r="ED62" s="507">
        <f>INPUT!GQ611</f>
        <v>-2.1937933489442729</v>
      </c>
      <c r="EE62" s="151">
        <f>INPUT!GR611</f>
        <v>217.02037471840566</v>
      </c>
      <c r="EF62" s="507">
        <f>INPUT!GS611</f>
        <v>-1.7161211360879225</v>
      </c>
      <c r="EG62" s="151">
        <f>INPUT!GT611</f>
        <v>212.37609765889641</v>
      </c>
      <c r="EH62" s="507">
        <f>INPUT!GU611</f>
        <v>-2.1400189109135104</v>
      </c>
      <c r="EI62" s="151">
        <f>INPUT!GV611</f>
        <v>206.96280534855109</v>
      </c>
      <c r="EJ62" s="507">
        <f>INPUT!GW611</f>
        <v>-2.5489178725940143</v>
      </c>
      <c r="EK62" s="151">
        <f>INPUT!GX611</f>
        <v>201.47313616672798</v>
      </c>
      <c r="EL62" s="507">
        <f>INPUT!GY611</f>
        <v>-2.6524907084525706</v>
      </c>
      <c r="EM62" s="257">
        <f>INPUT!GZ611</f>
        <v>-2.2508322968391226</v>
      </c>
    </row>
    <row r="63" spans="1:143" ht="12.75" customHeight="1" x14ac:dyDescent="0.2">
      <c r="A63" s="701"/>
      <c r="B63" s="16"/>
      <c r="C63" s="507"/>
      <c r="D63" s="16"/>
      <c r="E63" s="687"/>
      <c r="F63" s="16"/>
      <c r="G63" s="687"/>
      <c r="H63" s="16"/>
      <c r="I63" s="687"/>
      <c r="J63" s="16"/>
      <c r="K63" s="507"/>
      <c r="L63" s="16"/>
      <c r="M63" s="507"/>
      <c r="N63" s="16"/>
      <c r="O63" s="507"/>
      <c r="P63" s="16"/>
      <c r="Q63" s="507"/>
      <c r="R63" s="16"/>
      <c r="S63" s="507"/>
      <c r="T63" s="16"/>
      <c r="U63" s="507"/>
      <c r="V63" s="16"/>
      <c r="W63" s="507"/>
      <c r="X63" s="16"/>
      <c r="Y63" s="507"/>
      <c r="Z63" s="16"/>
      <c r="AA63" s="507"/>
      <c r="AB63" s="16"/>
      <c r="AC63" s="507"/>
      <c r="AD63" s="16"/>
      <c r="AE63" s="507"/>
      <c r="AF63" s="16"/>
      <c r="AG63" s="507"/>
      <c r="AH63" s="16"/>
      <c r="AI63" s="507"/>
      <c r="AJ63" s="16"/>
      <c r="AK63" s="507"/>
      <c r="AL63" s="16"/>
      <c r="AM63" s="507"/>
      <c r="AN63" s="16"/>
      <c r="AO63" s="507"/>
      <c r="AP63" s="16"/>
      <c r="AQ63" s="507"/>
      <c r="AR63" s="16"/>
      <c r="AS63" s="507"/>
      <c r="AT63" s="16"/>
      <c r="AU63" s="507"/>
      <c r="AV63" s="16"/>
      <c r="AW63" s="507"/>
      <c r="AX63" s="16"/>
      <c r="AY63" s="507"/>
      <c r="AZ63" s="16"/>
      <c r="BA63" s="507"/>
      <c r="BB63" s="16"/>
      <c r="BC63" s="507"/>
      <c r="BD63" s="16"/>
      <c r="BE63" s="507"/>
      <c r="BF63" s="16"/>
      <c r="BG63" s="507"/>
      <c r="BH63" s="16"/>
      <c r="BI63" s="507"/>
      <c r="BJ63" s="16"/>
      <c r="BK63" s="507"/>
      <c r="BL63" s="16"/>
      <c r="BM63" s="507"/>
      <c r="BN63" s="16"/>
      <c r="BO63" s="507"/>
      <c r="BP63" s="16"/>
      <c r="BQ63" s="507"/>
      <c r="BR63" s="16"/>
      <c r="BS63" s="507"/>
      <c r="BT63" s="16"/>
      <c r="BU63" s="507"/>
      <c r="BV63" s="16"/>
      <c r="BW63" s="507"/>
      <c r="BX63" s="16"/>
      <c r="BY63" s="507"/>
      <c r="BZ63" s="16"/>
      <c r="CA63" s="507"/>
      <c r="CB63" s="16"/>
      <c r="CC63" s="507"/>
      <c r="CD63" s="16"/>
      <c r="CE63" s="507"/>
      <c r="CF63" s="16"/>
      <c r="CG63" s="507"/>
      <c r="CH63" s="16"/>
      <c r="CI63" s="507"/>
      <c r="CJ63" s="16"/>
      <c r="CK63" s="507"/>
      <c r="CL63" s="16"/>
      <c r="CM63" s="507"/>
      <c r="CN63" s="16"/>
      <c r="CO63" s="507"/>
      <c r="CP63" s="16"/>
      <c r="CQ63" s="507"/>
      <c r="CR63" s="16"/>
      <c r="CS63" s="507"/>
      <c r="CT63" s="16"/>
      <c r="CU63" s="507"/>
      <c r="CV63" s="16"/>
      <c r="CW63" s="507"/>
      <c r="CX63" s="16"/>
      <c r="CY63" s="507"/>
      <c r="CZ63" s="16"/>
      <c r="DA63" s="507"/>
      <c r="DB63" s="507"/>
      <c r="DC63" s="16"/>
      <c r="DD63" s="507"/>
      <c r="DE63" s="16"/>
      <c r="DF63" s="507"/>
      <c r="DG63" s="16"/>
      <c r="DH63" s="507"/>
      <c r="DI63" s="16"/>
      <c r="DJ63" s="507"/>
      <c r="DK63" s="16"/>
      <c r="DL63" s="507"/>
      <c r="DM63" s="16"/>
      <c r="DN63" s="507"/>
      <c r="DO63" s="16"/>
      <c r="DP63" s="507"/>
      <c r="DQ63" s="16"/>
      <c r="DR63" s="507"/>
      <c r="DS63" s="16"/>
      <c r="DT63" s="507"/>
      <c r="DU63" s="16"/>
      <c r="DV63" s="507"/>
      <c r="DW63" s="16"/>
      <c r="DX63" s="507"/>
      <c r="DY63" s="16"/>
      <c r="DZ63" s="507"/>
      <c r="EA63" s="16"/>
      <c r="EB63" s="507"/>
      <c r="EC63" s="16"/>
      <c r="ED63" s="507"/>
      <c r="EE63" s="16"/>
      <c r="EF63" s="507"/>
      <c r="EG63" s="16"/>
      <c r="EH63" s="507"/>
      <c r="EI63" s="16"/>
      <c r="EJ63" s="507"/>
      <c r="EK63" s="16"/>
      <c r="EL63" s="507"/>
      <c r="EM63" s="687"/>
    </row>
    <row r="64" spans="1:143" s="321" customFormat="1" ht="12.75" hidden="1" customHeight="1" outlineLevel="1" x14ac:dyDescent="0.2">
      <c r="A64" s="745" t="s">
        <v>257</v>
      </c>
      <c r="B64" s="327"/>
      <c r="C64" s="746"/>
      <c r="D64" s="327"/>
      <c r="E64" s="733"/>
      <c r="F64" s="327"/>
      <c r="G64" s="733"/>
      <c r="H64" s="327"/>
      <c r="I64" s="733"/>
      <c r="J64" s="327"/>
      <c r="K64" s="746"/>
      <c r="L64" s="327"/>
      <c r="M64" s="746"/>
      <c r="N64" s="327"/>
      <c r="O64" s="746"/>
      <c r="P64" s="327"/>
      <c r="Q64" s="746"/>
      <c r="R64" s="327"/>
      <c r="S64" s="746"/>
      <c r="T64" s="327"/>
      <c r="U64" s="746"/>
      <c r="V64" s="327"/>
      <c r="W64" s="746"/>
      <c r="X64" s="327"/>
      <c r="Y64" s="746"/>
      <c r="Z64" s="327"/>
      <c r="AA64" s="746"/>
      <c r="AB64" s="327"/>
      <c r="AC64" s="746"/>
      <c r="AD64" s="327"/>
      <c r="AE64" s="746"/>
      <c r="AF64" s="327"/>
      <c r="AG64" s="746"/>
      <c r="AH64" s="327"/>
      <c r="AI64" s="746"/>
      <c r="AJ64" s="327"/>
      <c r="AK64" s="746"/>
      <c r="AL64" s="327"/>
      <c r="AM64" s="746"/>
      <c r="AN64" s="327"/>
      <c r="AO64" s="746"/>
      <c r="AP64" s="327"/>
      <c r="AQ64" s="746"/>
      <c r="AR64" s="327"/>
      <c r="AS64" s="746"/>
      <c r="AT64" s="327"/>
      <c r="AU64" s="746"/>
      <c r="AV64" s="327"/>
      <c r="AW64" s="746"/>
      <c r="AX64" s="327"/>
      <c r="AY64" s="746"/>
      <c r="AZ64" s="327"/>
      <c r="BA64" s="746"/>
      <c r="BB64" s="327"/>
      <c r="BC64" s="746"/>
      <c r="BD64" s="327"/>
      <c r="BE64" s="746"/>
      <c r="BF64" s="327"/>
      <c r="BG64" s="746"/>
      <c r="BH64" s="327"/>
      <c r="BI64" s="746"/>
      <c r="BJ64" s="327"/>
      <c r="BK64" s="746"/>
      <c r="BL64" s="327"/>
      <c r="BM64" s="746"/>
      <c r="BN64" s="327"/>
      <c r="BO64" s="746"/>
      <c r="BP64" s="327"/>
      <c r="BQ64" s="746"/>
      <c r="BR64" s="327"/>
      <c r="BS64" s="746"/>
      <c r="BT64" s="327"/>
      <c r="BU64" s="746"/>
      <c r="BV64" s="327"/>
      <c r="BW64" s="746"/>
      <c r="BX64" s="327"/>
      <c r="BY64" s="746"/>
      <c r="BZ64" s="327"/>
      <c r="CA64" s="746"/>
      <c r="CB64" s="327"/>
      <c r="CC64" s="746"/>
      <c r="CD64" s="327"/>
      <c r="CE64" s="746"/>
      <c r="CF64" s="327"/>
      <c r="CG64" s="746"/>
      <c r="CH64" s="327"/>
      <c r="CI64" s="746"/>
      <c r="CJ64" s="327"/>
      <c r="CK64" s="746"/>
      <c r="CL64" s="327"/>
      <c r="CM64" s="746"/>
      <c r="CN64" s="327"/>
      <c r="CO64" s="746"/>
      <c r="CP64" s="327"/>
      <c r="CQ64" s="746"/>
      <c r="CR64" s="327"/>
      <c r="CS64" s="746"/>
      <c r="CT64" s="327"/>
      <c r="CU64" s="746"/>
      <c r="CV64" s="327"/>
      <c r="CW64" s="746"/>
      <c r="CX64" s="327"/>
      <c r="CY64" s="746"/>
      <c r="CZ64" s="327"/>
      <c r="DA64" s="746"/>
      <c r="DB64" s="746"/>
      <c r="DC64" s="327"/>
      <c r="DD64" s="746"/>
      <c r="DE64" s="327"/>
      <c r="DF64" s="746"/>
      <c r="DG64" s="327"/>
      <c r="DH64" s="746"/>
      <c r="DI64" s="327"/>
      <c r="DJ64" s="746"/>
      <c r="DK64" s="327"/>
      <c r="DL64" s="746"/>
      <c r="DM64" s="327"/>
      <c r="DN64" s="746"/>
      <c r="DO64" s="327"/>
      <c r="DP64" s="746"/>
      <c r="DQ64" s="327"/>
      <c r="DR64" s="746"/>
      <c r="DS64" s="327"/>
      <c r="DT64" s="746"/>
      <c r="DU64" s="327"/>
      <c r="DV64" s="746"/>
      <c r="DW64" s="327"/>
      <c r="DX64" s="746"/>
      <c r="DY64" s="327"/>
      <c r="DZ64" s="746"/>
      <c r="EA64" s="327"/>
      <c r="EB64" s="746"/>
      <c r="EC64" s="327"/>
      <c r="ED64" s="746"/>
      <c r="EE64" s="327"/>
      <c r="EF64" s="746"/>
      <c r="EG64" s="327"/>
      <c r="EH64" s="746"/>
      <c r="EI64" s="327"/>
      <c r="EJ64" s="746"/>
      <c r="EK64" s="327"/>
      <c r="EL64" s="746"/>
      <c r="EM64" s="733"/>
    </row>
    <row r="65" spans="1:143" s="321" customFormat="1" ht="12.75" hidden="1" customHeight="1" outlineLevel="1" x14ac:dyDescent="0.2">
      <c r="A65" s="731" t="s">
        <v>155</v>
      </c>
      <c r="B65" s="327"/>
      <c r="C65" s="746"/>
      <c r="D65" s="327"/>
      <c r="E65" s="733"/>
      <c r="F65" s="327"/>
      <c r="G65" s="733"/>
      <c r="H65" s="327"/>
      <c r="I65" s="733"/>
      <c r="J65" s="327"/>
      <c r="K65" s="746"/>
      <c r="L65" s="327"/>
      <c r="M65" s="746"/>
      <c r="N65" s="327"/>
      <c r="O65" s="746"/>
      <c r="P65" s="327"/>
      <c r="Q65" s="746"/>
      <c r="R65" s="327"/>
      <c r="S65" s="746"/>
      <c r="T65" s="327"/>
      <c r="U65" s="746"/>
      <c r="V65" s="327"/>
      <c r="W65" s="746"/>
      <c r="X65" s="327"/>
      <c r="Y65" s="746"/>
      <c r="Z65" s="327"/>
      <c r="AA65" s="746"/>
      <c r="AB65" s="327"/>
      <c r="AC65" s="746"/>
      <c r="AD65" s="327"/>
      <c r="AE65" s="746"/>
      <c r="AF65" s="327"/>
      <c r="AG65" s="746"/>
      <c r="AH65" s="327"/>
      <c r="AI65" s="746"/>
      <c r="AJ65" s="327"/>
      <c r="AK65" s="746"/>
      <c r="AL65" s="327"/>
      <c r="AM65" s="746"/>
      <c r="AN65" s="327"/>
      <c r="AO65" s="746"/>
      <c r="AP65" s="327"/>
      <c r="AQ65" s="746"/>
      <c r="AR65" s="327"/>
      <c r="AS65" s="746"/>
      <c r="AT65" s="327"/>
      <c r="AU65" s="746"/>
      <c r="AV65" s="327"/>
      <c r="AW65" s="746"/>
      <c r="AX65" s="327"/>
      <c r="AY65" s="746"/>
      <c r="AZ65" s="327"/>
      <c r="BA65" s="746"/>
      <c r="BB65" s="327"/>
      <c r="BC65" s="746"/>
      <c r="BD65" s="327"/>
      <c r="BE65" s="746"/>
      <c r="BF65" s="327"/>
      <c r="BG65" s="746"/>
      <c r="BH65" s="327"/>
      <c r="BI65" s="746"/>
      <c r="BJ65" s="327"/>
      <c r="BK65" s="746"/>
      <c r="BL65" s="327"/>
      <c r="BM65" s="746"/>
      <c r="BN65" s="327"/>
      <c r="BO65" s="746"/>
      <c r="BP65" s="327"/>
      <c r="BQ65" s="746"/>
      <c r="BR65" s="327"/>
      <c r="BS65" s="746"/>
      <c r="BT65" s="327"/>
      <c r="BU65" s="746"/>
      <c r="BV65" s="327"/>
      <c r="BW65" s="746"/>
      <c r="BX65" s="327"/>
      <c r="BY65" s="746"/>
      <c r="BZ65" s="327"/>
      <c r="CA65" s="746"/>
      <c r="CB65" s="327"/>
      <c r="CC65" s="746"/>
      <c r="CD65" s="327"/>
      <c r="CE65" s="746"/>
      <c r="CF65" s="327"/>
      <c r="CG65" s="746"/>
      <c r="CH65" s="327"/>
      <c r="CI65" s="746"/>
      <c r="CJ65" s="327"/>
      <c r="CK65" s="746"/>
      <c r="CL65" s="327"/>
      <c r="CM65" s="746"/>
      <c r="CN65" s="327"/>
      <c r="CO65" s="746"/>
      <c r="CP65" s="327"/>
      <c r="CQ65" s="746"/>
      <c r="CR65" s="327"/>
      <c r="CS65" s="746"/>
      <c r="CT65" s="327"/>
      <c r="CU65" s="746"/>
      <c r="CV65" s="327"/>
      <c r="CW65" s="746"/>
      <c r="CX65" s="327"/>
      <c r="CY65" s="746"/>
      <c r="CZ65" s="327"/>
      <c r="DA65" s="746"/>
      <c r="DB65" s="746"/>
      <c r="DC65" s="327"/>
      <c r="DD65" s="746"/>
      <c r="DE65" s="327"/>
      <c r="DF65" s="746"/>
      <c r="DG65" s="327"/>
      <c r="DH65" s="746"/>
      <c r="DI65" s="327"/>
      <c r="DJ65" s="746"/>
      <c r="DK65" s="327"/>
      <c r="DL65" s="746"/>
      <c r="DM65" s="327"/>
      <c r="DN65" s="746"/>
      <c r="DO65" s="327"/>
      <c r="DP65" s="746"/>
      <c r="DQ65" s="327"/>
      <c r="DR65" s="746"/>
      <c r="DS65" s="327"/>
      <c r="DT65" s="746"/>
      <c r="DU65" s="327"/>
      <c r="DV65" s="746"/>
      <c r="DW65" s="327"/>
      <c r="DX65" s="746"/>
      <c r="DY65" s="327"/>
      <c r="DZ65" s="746"/>
      <c r="EA65" s="327"/>
      <c r="EB65" s="746"/>
      <c r="EC65" s="327"/>
      <c r="ED65" s="746"/>
      <c r="EE65" s="327"/>
      <c r="EF65" s="746"/>
      <c r="EG65" s="327"/>
      <c r="EH65" s="746"/>
      <c r="EI65" s="327"/>
      <c r="EJ65" s="746"/>
      <c r="EK65" s="327"/>
      <c r="EL65" s="746"/>
      <c r="EM65" s="733"/>
    </row>
    <row r="66" spans="1:143" s="321" customFormat="1" ht="12.75" hidden="1" customHeight="1" outlineLevel="1" x14ac:dyDescent="0.2">
      <c r="A66" s="747" t="str">
        <f>INPUT!B571</f>
        <v>Annuities</v>
      </c>
      <c r="B66" s="748">
        <f>INPUT!AY571</f>
        <v>26.886945254292193</v>
      </c>
      <c r="C66" s="746">
        <f>INPUT!AZ571</f>
        <v>12.818055074861201</v>
      </c>
      <c r="D66" s="748">
        <f>INPUT!BA571</f>
        <v>26.862731780207849</v>
      </c>
      <c r="E66" s="733">
        <f>INPUT!BB571</f>
        <v>61.063153934973698</v>
      </c>
      <c r="F66" s="748">
        <f>INPUT!BC571</f>
        <v>30.725915044681116</v>
      </c>
      <c r="G66" s="733">
        <f>INPUT!BD571</f>
        <v>-18.453421471416299</v>
      </c>
      <c r="H66" s="748">
        <f>INPUT!BE571</f>
        <v>33.495809308684535</v>
      </c>
      <c r="I66" s="733">
        <f>INPUT!BF571</f>
        <v>21.291207374684372</v>
      </c>
      <c r="J66" s="748">
        <f>INPUT!BG571</f>
        <v>34.741060419235495</v>
      </c>
      <c r="K66" s="733">
        <f>INPUT!BH571</f>
        <v>29.211630739975881</v>
      </c>
      <c r="L66" s="748">
        <f>INPUT!BI571</f>
        <v>35.571296581459805</v>
      </c>
      <c r="M66" s="733">
        <f>INPUT!BJ571</f>
        <v>32.418760952928572</v>
      </c>
      <c r="N66" s="748">
        <f>INPUT!BK571</f>
        <v>42.320310169997015</v>
      </c>
      <c r="O66" s="733">
        <f>INPUT!BL571</f>
        <v>37.734905887930495</v>
      </c>
      <c r="P66" s="748">
        <f>INPUT!BM571</f>
        <v>43.450210378681625</v>
      </c>
      <c r="Q66" s="733">
        <f>INPUT!BN571</f>
        <v>29.718347684216685</v>
      </c>
      <c r="R66" s="748">
        <f>INPUT!BO571</f>
        <v>35.435139573070607</v>
      </c>
      <c r="S66" s="733">
        <f>INPUT!BP571</f>
        <v>1.9978640417401161</v>
      </c>
      <c r="T66" s="748">
        <f>INPUT!BQ571</f>
        <v>37.653920933246937</v>
      </c>
      <c r="U66" s="733">
        <f>INPUT!BR571</f>
        <v>5.8547889785738771</v>
      </c>
      <c r="V66" s="748">
        <f>INPUT!BS571</f>
        <v>37.428571428571431</v>
      </c>
      <c r="W66" s="733">
        <f>INPUT!BT571</f>
        <v>-11.558844256518663</v>
      </c>
      <c r="X66" s="748">
        <f>INPUT!BU571</f>
        <v>35.203366058906006</v>
      </c>
      <c r="Y66" s="733">
        <f>INPUT!BV571</f>
        <v>-18.979987088444204</v>
      </c>
      <c r="Z66" s="748">
        <f>INPUT!BW571</f>
        <v>37.800511508951409</v>
      </c>
      <c r="AA66" s="749">
        <f>INPUT!BX571</f>
        <v>6.6752155187739026</v>
      </c>
      <c r="AB66" s="748">
        <f>INPUT!BY571</f>
        <v>31.548480463096944</v>
      </c>
      <c r="AC66" s="733">
        <f>INPUT!BZ571</f>
        <v>-16.214620732257202</v>
      </c>
      <c r="AD66" s="748">
        <f>INPUT!CA571</f>
        <v>30.400367098772531</v>
      </c>
      <c r="AE66" s="733">
        <f>INPUT!CB571</f>
        <v>-18.777645155951262</v>
      </c>
      <c r="AF66" s="748">
        <f>INPUT!CC571</f>
        <v>33.767100433767098</v>
      </c>
      <c r="AG66" s="733">
        <f>INPUT!CD571</f>
        <v>-4.0799099232033509</v>
      </c>
      <c r="AH66" s="748">
        <f>INPUT!CE571</f>
        <v>34.498587570621446</v>
      </c>
      <c r="AI66" s="746">
        <f>INPUT!CF571</f>
        <v>-8.7351303104669533</v>
      </c>
      <c r="AJ66" s="748">
        <f>INPUT!CG571</f>
        <v>34.8813209494324</v>
      </c>
      <c r="AK66" s="746">
        <f>INPUT!CH571</f>
        <v>10.564187046136709</v>
      </c>
      <c r="AL66" s="748">
        <f>INPUT!CI571</f>
        <v>40.518465909090892</v>
      </c>
      <c r="AM66" s="746">
        <f>INPUT!CJ571</f>
        <v>33.282817860205704</v>
      </c>
      <c r="AN66" s="748">
        <f>INPUT!CK571</f>
        <v>40.725806451612925</v>
      </c>
      <c r="AO66" s="746">
        <f>INPUT!CL571</f>
        <v>20.607946576565173</v>
      </c>
      <c r="AP66" s="748">
        <f>INPUT!CM571</f>
        <v>45.668720550924249</v>
      </c>
      <c r="AQ66" s="746">
        <f>INPUT!CN571</f>
        <v>32.378522620488795</v>
      </c>
      <c r="AR66" s="748">
        <f>INPUT!CO571</f>
        <v>44.963905122035072</v>
      </c>
      <c r="AS66" s="746">
        <f>INPUT!CP571</f>
        <v>28.905396636840219</v>
      </c>
      <c r="AT66" s="748">
        <f>INPUT!CQ571</f>
        <v>39.405560882070958</v>
      </c>
      <c r="AU66" s="746">
        <f>INPUT!CR571</f>
        <v>-2.746661311207832</v>
      </c>
      <c r="AV66" s="748">
        <f>INPUT!CS571</f>
        <v>46.785714285714285</v>
      </c>
      <c r="AW66" s="746">
        <f>INPUT!CT571</f>
        <v>14.879773691654808</v>
      </c>
      <c r="AX66" s="748">
        <f>INPUT!CU571</f>
        <v>46.757679180887372</v>
      </c>
      <c r="AY66" s="746">
        <f>INPUT!CV571</f>
        <v>2.3844736984668602</v>
      </c>
      <c r="AZ66" s="748">
        <f>INPUT!CW571</f>
        <v>49.491525423728817</v>
      </c>
      <c r="BA66" s="746">
        <f>INPUT!CX571</f>
        <v>10.069455242834181</v>
      </c>
      <c r="BB66" s="748">
        <f>INPUT!CY571</f>
        <v>45.121951219512198</v>
      </c>
      <c r="BC66" s="746">
        <f>INPUT!CZ571</f>
        <v>14.506557474333848</v>
      </c>
      <c r="BD66" s="748">
        <f>INPUT!DA571</f>
        <v>50.993377483443716</v>
      </c>
      <c r="BE66" s="746">
        <f>INPUT!DB571</f>
        <v>8.9934785905667169</v>
      </c>
      <c r="BF66" s="748">
        <f>INPUT!DC571</f>
        <v>53.266688554027162</v>
      </c>
      <c r="BG66" s="746">
        <f>INPUT!DD571</f>
        <v>13.920728075401168</v>
      </c>
      <c r="BH66" s="748">
        <f>INPUT!DE571</f>
        <v>56.024096385542165</v>
      </c>
      <c r="BI66" s="746">
        <f>INPUT!DF571</f>
        <v>13.199372833800949</v>
      </c>
      <c r="BJ66" s="748">
        <f>INPUT!DG571</f>
        <v>57.227138643067846</v>
      </c>
      <c r="BK66" s="746">
        <f>INPUT!DH571</f>
        <v>26.827712668420634</v>
      </c>
      <c r="BL66" s="748">
        <f>INPUT!DI571</f>
        <v>56.582633053221286</v>
      </c>
      <c r="BM66" s="746">
        <f>INPUT!DJ571</f>
        <v>10.960747935537828</v>
      </c>
      <c r="BN66" s="748">
        <f>INPUT!DK571</f>
        <v>59.340659340659343</v>
      </c>
      <c r="BO66" s="746">
        <f>INPUT!DL571</f>
        <v>11.402944225585742</v>
      </c>
      <c r="BP66" s="748">
        <f>INPUT!DM571</f>
        <v>59.114583333333336</v>
      </c>
      <c r="BQ66" s="746">
        <f>INPUT!DN571</f>
        <v>5.5163530465949906</v>
      </c>
      <c r="BR66" s="748">
        <f>INPUT!DO571</f>
        <v>57.67326732673267</v>
      </c>
      <c r="BS66" s="746">
        <f>INPUT!DP571</f>
        <v>0.77957538021842243</v>
      </c>
      <c r="BT66" s="748">
        <f>INPUT!DQ571</f>
        <v>61.240310077519375</v>
      </c>
      <c r="BU66" s="746">
        <f>INPUT!DR571</f>
        <v>8.2316371172000977</v>
      </c>
      <c r="BV66" s="748">
        <f>INPUT!DS571</f>
        <v>67.897727272727266</v>
      </c>
      <c r="BW66" s="746">
        <f>INPUT!DT571</f>
        <v>14.420244107744097</v>
      </c>
      <c r="BX66" s="748">
        <f>INPUT!DU571</f>
        <v>67.282321899736147</v>
      </c>
      <c r="BY66" s="746">
        <f>INPUT!DV571</f>
        <v>13.816791231271708</v>
      </c>
      <c r="BZ66" s="748">
        <f>INPUT!DW571</f>
        <v>60.260972716488723</v>
      </c>
      <c r="CA66" s="746">
        <f>INPUT!DX571</f>
        <v>60.260972716488723</v>
      </c>
      <c r="CB66" s="748">
        <f>INPUT!DY571</f>
        <v>63.612565445026178</v>
      </c>
      <c r="CC66" s="746">
        <f>INPUT!DZ571</f>
        <v>3.8736828152959202</v>
      </c>
      <c r="CD66" s="748">
        <f>INPUT!EA571</f>
        <v>61.325966850828728</v>
      </c>
      <c r="CE66" s="746">
        <f>INPUT!EB571</f>
        <v>-9.6789107468965963</v>
      </c>
      <c r="CF66" s="748">
        <f>INPUT!EC571</f>
        <v>63.002680965147448</v>
      </c>
      <c r="CG66" s="746">
        <f>INPUT!ED571</f>
        <v>-6.3607212321926117</v>
      </c>
      <c r="CH66" s="748">
        <f>INPUT!EE571</f>
        <v>60.470242468772959</v>
      </c>
      <c r="CI66" s="746">
        <f>INPUT!EF571</f>
        <v>0.34727244325907236</v>
      </c>
      <c r="CJ66" s="748">
        <f>INPUT!EG571</f>
        <v>59.168704156479215</v>
      </c>
      <c r="CK66" s="746">
        <f>INPUT!EH571</f>
        <v>-6.9858230955758831</v>
      </c>
      <c r="CL66" s="748">
        <f>INPUT!EI571</f>
        <v>60.301507537688437</v>
      </c>
      <c r="CM66" s="746">
        <f>INPUT!EJ571</f>
        <v>-1.6705147358413774</v>
      </c>
      <c r="CN66" s="748">
        <f>INPUT!EK571</f>
        <v>59.904534606205253</v>
      </c>
      <c r="CO66" s="746">
        <f>INPUT!EL571</f>
        <v>-4.9174833697252733</v>
      </c>
      <c r="CP66" s="748">
        <f>INPUT!EM571</f>
        <v>60.438292964244525</v>
      </c>
      <c r="CQ66" s="746">
        <f>INPUT!EN571</f>
        <v>-5.2835085860514219E-2</v>
      </c>
      <c r="CR66" s="748">
        <f>INPUT!EO571</f>
        <v>60.227272727272727</v>
      </c>
      <c r="CS66" s="746">
        <f>INPUT!EP571</f>
        <v>1.7890683696468956</v>
      </c>
      <c r="CT66" s="748">
        <f>INPUT!EQ571</f>
        <v>64.768351843578614</v>
      </c>
      <c r="CU66" s="746">
        <f>INPUT!ER571</f>
        <v>7.4075168072678776</v>
      </c>
      <c r="CV66" s="748">
        <f>INPUT!ES571</f>
        <v>60.772537734292776</v>
      </c>
      <c r="CW66" s="746">
        <f>INPUT!ET571</f>
        <v>1.4489773333413281</v>
      </c>
      <c r="CX66" s="748">
        <f>INPUT!EU571</f>
        <v>59.181601709300224</v>
      </c>
      <c r="CY66" s="746">
        <f>INPUT!EV571</f>
        <v>-2.0792964084670018</v>
      </c>
      <c r="CZ66" s="748">
        <f>INPUT!EW571</f>
        <v>58.432191938040901</v>
      </c>
      <c r="DA66" s="746">
        <f>INPUT!EX571</f>
        <v>-2.9805114991019011</v>
      </c>
      <c r="DB66" s="746"/>
      <c r="DC66" s="748">
        <f>INPUT!FP571</f>
        <v>26.684111169617136</v>
      </c>
      <c r="DD66" s="746" t="str">
        <f>INPUT!FQ571</f>
        <v>NA</v>
      </c>
      <c r="DE66" s="748">
        <f>INPUT!FR571</f>
        <v>29.768229512551475</v>
      </c>
      <c r="DF66" s="746">
        <f>INPUT!FS571</f>
        <v>11.557882978864043</v>
      </c>
      <c r="DG66" s="748">
        <f>INPUT!FT571</f>
        <v>39.152807815646192</v>
      </c>
      <c r="DH66" s="746">
        <f>INPUT!FU571</f>
        <v>31.525483566759661</v>
      </c>
      <c r="DI66" s="748">
        <f>INPUT!FV571</f>
        <v>36.541155866900205</v>
      </c>
      <c r="DJ66" s="746">
        <f>INPUT!FW571</f>
        <v>-6.6704078058542731</v>
      </c>
      <c r="DK66" s="748">
        <f>INPUT!FX571</f>
        <v>33.194676403771773</v>
      </c>
      <c r="DL66" s="746">
        <f>INPUT!FY571</f>
        <v>-9.1581105844540271</v>
      </c>
      <c r="DM66" s="748">
        <f>INPUT!FZ571</f>
        <v>37.672361460411103</v>
      </c>
      <c r="DN66" s="746">
        <f>INPUT!GA571</f>
        <v>13.489166160783995</v>
      </c>
      <c r="DO66" s="748">
        <f>INPUT!GB571</f>
        <v>44.071742692075553</v>
      </c>
      <c r="DP66" s="746">
        <f>INPUT!GC571</f>
        <v>16.98693945265255</v>
      </c>
      <c r="DQ66" s="748">
        <f>INPUT!GD571</f>
        <v>48.029556650246306</v>
      </c>
      <c r="DR66" s="746">
        <f>INPUT!GE571</f>
        <v>8.9803890575046452</v>
      </c>
      <c r="DS66" s="748">
        <f>INPUT!GF571</f>
        <v>55.861373330378186</v>
      </c>
      <c r="DT66" s="746">
        <f>INPUT!GG571</f>
        <v>16.306243959659206</v>
      </c>
      <c r="DU66" s="748">
        <f>INPUT!GH571</f>
        <v>59.324236517218978</v>
      </c>
      <c r="DV66" s="746">
        <f>INPUT!GI571</f>
        <v>6.1990298132495791</v>
      </c>
      <c r="DW66" s="748">
        <f>INPUT!GJ571</f>
        <v>64.581296839361357</v>
      </c>
      <c r="DX66" s="746">
        <f>INPUT!GK571</f>
        <v>8.8615726569300399</v>
      </c>
      <c r="DY66" s="748">
        <f>INPUT!GL571</f>
        <v>60.93538620112092</v>
      </c>
      <c r="DZ66" s="746">
        <f>INPUT!GM571</f>
        <v>-5.6454590054288101</v>
      </c>
      <c r="EA66" s="748">
        <f>INPUT!GN571</f>
        <v>60.218870156758356</v>
      </c>
      <c r="EB66" s="746">
        <f>INPUT!GO571</f>
        <v>-1.1758619892842881</v>
      </c>
      <c r="EC66" s="748">
        <f>INPUT!GP571</f>
        <v>60.673401221271426</v>
      </c>
      <c r="ED66" s="746">
        <f>INPUT!GQ571</f>
        <v>0.75479839347676325</v>
      </c>
      <c r="EE66" s="748">
        <f>INPUT!GR571</f>
        <v>59.148895966737982</v>
      </c>
      <c r="EF66" s="746">
        <f>INPUT!GS571</f>
        <v>-2.5126418230184355</v>
      </c>
      <c r="EG66" s="748">
        <f>INPUT!GT571</f>
        <v>57.180580220464897</v>
      </c>
      <c r="EH66" s="746">
        <f>INPUT!GU571</f>
        <v>-3.3277303221009524</v>
      </c>
      <c r="EI66" s="748">
        <f>INPUT!GV571</f>
        <v>57.848613728040498</v>
      </c>
      <c r="EJ66" s="746">
        <f>INPUT!GW571</f>
        <v>1.168287388830147</v>
      </c>
      <c r="EK66" s="748">
        <f>INPUT!GX571</f>
        <v>58.588097003336827</v>
      </c>
      <c r="EL66" s="746">
        <f>INPUT!GY571</f>
        <v>1.2783076855960696</v>
      </c>
      <c r="EM66" s="750">
        <f>INPUT!GZ571</f>
        <v>-0.54757944444808748</v>
      </c>
    </row>
    <row r="67" spans="1:143" s="321" customFormat="1" ht="12.75" hidden="1" customHeight="1" outlineLevel="1" x14ac:dyDescent="0.2">
      <c r="A67" s="747" t="str">
        <f>INPUT!B572</f>
        <v>Defined Contributions</v>
      </c>
      <c r="B67" s="748">
        <f>INPUT!AY572</f>
        <v>21.258503401360542</v>
      </c>
      <c r="C67" s="746">
        <f>INPUT!AZ572</f>
        <v>5.8064633968145651</v>
      </c>
      <c r="D67" s="748">
        <f>INPUT!BA572</f>
        <v>17.761325816749306</v>
      </c>
      <c r="E67" s="733">
        <f>INPUT!BB572</f>
        <v>-23.597676983902392</v>
      </c>
      <c r="F67" s="748">
        <f>INPUT!BC572</f>
        <v>14.84269800465173</v>
      </c>
      <c r="G67" s="733">
        <f>INPUT!BD572</f>
        <v>52.549466658985807</v>
      </c>
      <c r="H67" s="748">
        <f>INPUT!BE572</f>
        <v>14.147298341556199</v>
      </c>
      <c r="I67" s="733">
        <f>INPUT!BF572</f>
        <v>-19.643658413286889</v>
      </c>
      <c r="J67" s="748">
        <f>INPUT!BG572</f>
        <v>15.320591861898889</v>
      </c>
      <c r="K67" s="733">
        <f>INPUT!BH572</f>
        <v>-27.931935881627624</v>
      </c>
      <c r="L67" s="748">
        <f>INPUT!BI572</f>
        <v>15.183246073298431</v>
      </c>
      <c r="M67" s="733">
        <f>INPUT!BJ572</f>
        <v>-14.515131190373697</v>
      </c>
      <c r="N67" s="748">
        <f>INPUT!BK572</f>
        <v>13.182224873247836</v>
      </c>
      <c r="O67" s="733">
        <f>INPUT!BL572</f>
        <v>-11.187138152938891</v>
      </c>
      <c r="P67" s="748">
        <f>INPUT!BM572</f>
        <v>12.0897615708275</v>
      </c>
      <c r="Q67" s="733">
        <f>INPUT!BN572</f>
        <v>-14.543672728558366</v>
      </c>
      <c r="R67" s="748">
        <f>INPUT!BO572</f>
        <v>13.924466338259437</v>
      </c>
      <c r="S67" s="733">
        <f>INPUT!BP572</f>
        <v>-9.1127388303548944</v>
      </c>
      <c r="T67" s="748">
        <f>INPUT!BQ572</f>
        <v>13.383020090732337</v>
      </c>
      <c r="U67" s="733">
        <f>INPUT!BR572</f>
        <v>-11.856660781728412</v>
      </c>
      <c r="V67" s="748">
        <f>INPUT!BS572</f>
        <v>13.36507936507936</v>
      </c>
      <c r="W67" s="733">
        <f>INPUT!BT572</f>
        <v>1.3871292106585997</v>
      </c>
      <c r="X67" s="748">
        <f>INPUT!BU572</f>
        <v>11.640953716690044</v>
      </c>
      <c r="Y67" s="733">
        <f>INPUT!BV572</f>
        <v>-3.7122969837587672</v>
      </c>
      <c r="Z67" s="748">
        <f>INPUT!BW572</f>
        <v>15.242966751918141</v>
      </c>
      <c r="AA67" s="749">
        <f>INPUT!BX572</f>
        <v>9.4689475462046211</v>
      </c>
      <c r="AB67" s="748">
        <f>INPUT!BY572</f>
        <v>13.362276893391215</v>
      </c>
      <c r="AC67" s="733">
        <f>INPUT!BZ572</f>
        <v>-0.15499638497507018</v>
      </c>
      <c r="AD67" s="748">
        <f>INPUT!CA572</f>
        <v>14.378035256777954</v>
      </c>
      <c r="AE67" s="733">
        <f>INPUT!CB572</f>
        <v>7.5791236552270158</v>
      </c>
      <c r="AF67" s="748">
        <f>INPUT!CC572</f>
        <v>12.112112112112104</v>
      </c>
      <c r="AG67" s="733">
        <f>INPUT!CD572</f>
        <v>4.0474209148907203</v>
      </c>
      <c r="AH67" s="748">
        <f>INPUT!CE572</f>
        <v>12.676553672316379</v>
      </c>
      <c r="AI67" s="746">
        <f>INPUT!CF572</f>
        <v>-16.83670325711897</v>
      </c>
      <c r="AJ67" s="748">
        <f>INPUT!CG572</f>
        <v>12.383900928792576</v>
      </c>
      <c r="AK67" s="746">
        <f>INPUT!CH572</f>
        <v>-7.3219255401190564</v>
      </c>
      <c r="AL67" s="748">
        <f>INPUT!CI572</f>
        <v>13.778409090909093</v>
      </c>
      <c r="AM67" s="746">
        <f>INPUT!CJ572</f>
        <v>-4.1704318786267454</v>
      </c>
      <c r="AN67" s="748">
        <f>INPUT!CK572</f>
        <v>11.962365591397859</v>
      </c>
      <c r="AO67" s="746">
        <f>INPUT!CL572</f>
        <v>-1.2363369768060406</v>
      </c>
      <c r="AP67" s="748">
        <f>INPUT!CM572</f>
        <v>14.026821312069583</v>
      </c>
      <c r="AQ67" s="746">
        <f>INPUT!CN572</f>
        <v>10.651693470142277</v>
      </c>
      <c r="AR67" s="748">
        <f>INPUT!CO572</f>
        <v>13.544173255414238</v>
      </c>
      <c r="AS67" s="746">
        <f>INPUT!CP572</f>
        <v>9.3691990374699117</v>
      </c>
      <c r="AT67" s="748">
        <f>INPUT!CQ572</f>
        <v>11.569191434963251</v>
      </c>
      <c r="AU67" s="746">
        <f>INPUT!CR572</f>
        <v>-16.03390958542137</v>
      </c>
      <c r="AV67" s="748">
        <f>INPUT!CS572</f>
        <v>11.785714285714285</v>
      </c>
      <c r="AW67" s="746">
        <f>INPUT!CT572</f>
        <v>-1.4767255216694308</v>
      </c>
      <c r="AX67" s="748">
        <f>INPUT!CU572</f>
        <v>11.945392491467576</v>
      </c>
      <c r="AY67" s="746">
        <f>INPUT!CV572</f>
        <v>-14.838920196488214</v>
      </c>
      <c r="AZ67" s="748">
        <f>INPUT!CW572</f>
        <v>11.525423728813559</v>
      </c>
      <c r="BA67" s="746">
        <f>INPUT!CX572</f>
        <v>-14.904929880409579</v>
      </c>
      <c r="BB67" s="748">
        <f>INPUT!CY572</f>
        <v>9.7560975609756095</v>
      </c>
      <c r="BC67" s="746">
        <f>INPUT!CZ572</f>
        <v>-15.67174235278268</v>
      </c>
      <c r="BD67" s="748">
        <f>INPUT!DA572</f>
        <v>10.596026490066226</v>
      </c>
      <c r="BE67" s="746">
        <f>INPUT!DB572</f>
        <v>-10.094320690347169</v>
      </c>
      <c r="BF67" s="748">
        <f>INPUT!DC572</f>
        <v>11.05535045460941</v>
      </c>
      <c r="BG67" s="746">
        <f>INPUT!DD572</f>
        <v>-7.450923337126925</v>
      </c>
      <c r="BH67" s="748">
        <f>INPUT!DE572</f>
        <v>10.240963855421686</v>
      </c>
      <c r="BI67" s="746">
        <f>INPUT!DF572</f>
        <v>-11.144578313253017</v>
      </c>
      <c r="BJ67" s="748">
        <f>INPUT!DG572</f>
        <v>9.7345132743362832</v>
      </c>
      <c r="BK67" s="746">
        <f>INPUT!DH572</f>
        <v>-0.22123893805309214</v>
      </c>
      <c r="BL67" s="748">
        <f>INPUT!DI572</f>
        <v>9.5238095238095237</v>
      </c>
      <c r="BM67" s="746">
        <f>INPUT!DJ572</f>
        <v>-10.119047619047628</v>
      </c>
      <c r="BN67" s="748">
        <f>INPUT!DK572</f>
        <v>10.714285714285714</v>
      </c>
      <c r="BO67" s="746">
        <f>INPUT!DL572</f>
        <v>-3.0850649350649406</v>
      </c>
      <c r="BP67" s="748">
        <f>INPUT!DM572</f>
        <v>10.15625</v>
      </c>
      <c r="BQ67" s="746">
        <f>INPUT!DN572</f>
        <v>-0.82720588235293269</v>
      </c>
      <c r="BR67" s="748">
        <f>INPUT!DO572</f>
        <v>9.9009900990099009</v>
      </c>
      <c r="BS67" s="746">
        <f>INPUT!DP572</f>
        <v>1.7101710171017137</v>
      </c>
      <c r="BT67" s="748">
        <f>INPUT!DQ572</f>
        <v>10.852713178294573</v>
      </c>
      <c r="BU67" s="746">
        <f>INPUT!DR572</f>
        <v>13.953488372093027</v>
      </c>
      <c r="BV67" s="748">
        <f>INPUT!DS572</f>
        <v>9.9431818181818183</v>
      </c>
      <c r="BW67" s="746">
        <f>INPUT!DT572</f>
        <v>-7.1969696969696901</v>
      </c>
      <c r="BX67" s="748">
        <f>INPUT!DU572</f>
        <v>7.9155672823219003</v>
      </c>
      <c r="BY67" s="746">
        <f>INPUT!DV572</f>
        <v>-22.06210675867667</v>
      </c>
      <c r="BZ67" s="748">
        <f>INPUT!DW572</f>
        <v>9.4899169632265714</v>
      </c>
      <c r="CA67" s="746">
        <f>INPUT!DX572</f>
        <v>9.4899169632265714</v>
      </c>
      <c r="CB67" s="748">
        <f>INPUT!DY572</f>
        <v>8.6387434554973819</v>
      </c>
      <c r="CC67" s="746">
        <f>INPUT!DZ572</f>
        <v>-20.400149588631265</v>
      </c>
      <c r="CD67" s="748">
        <f>INPUT!EA572</f>
        <v>9.6685082872928181</v>
      </c>
      <c r="CE67" s="746">
        <f>INPUT!EB572</f>
        <v>-2.7624309392265123</v>
      </c>
      <c r="CF67" s="748">
        <f>INPUT!EC572</f>
        <v>8.310991957104557</v>
      </c>
      <c r="CG67" s="746">
        <f>INPUT!ED572</f>
        <v>4.9955317247542208</v>
      </c>
      <c r="CH67" s="748">
        <f>INPUT!EE572</f>
        <v>7.5679647318148415</v>
      </c>
      <c r="CI67" s="746">
        <f>INPUT!EF572</f>
        <v>-20.252571638501106</v>
      </c>
      <c r="CJ67" s="748">
        <f>INPUT!EG572</f>
        <v>8.3129584352078236</v>
      </c>
      <c r="CK67" s="746">
        <f>INPUT!EH572</f>
        <v>-3.77120841668519</v>
      </c>
      <c r="CL67" s="748">
        <f>INPUT!EI572</f>
        <v>8.7939698492462313</v>
      </c>
      <c r="CM67" s="746">
        <f>INPUT!EJ572</f>
        <v>-9.0452261306532726</v>
      </c>
      <c r="CN67" s="748">
        <f>INPUT!EK572</f>
        <v>8.8305489260143197</v>
      </c>
      <c r="CO67" s="746">
        <f>INPUT!EL572</f>
        <v>6.2514435291400439</v>
      </c>
      <c r="CP67" s="748">
        <f>INPUT!EM572</f>
        <v>8.3044982698961931</v>
      </c>
      <c r="CQ67" s="746">
        <f>INPUT!EN572</f>
        <v>9.7322538381429133</v>
      </c>
      <c r="CR67" s="748">
        <f>INPUT!EO572</f>
        <v>9.3181818181818183</v>
      </c>
      <c r="CS67" s="746">
        <f>INPUT!EP572</f>
        <v>12.092245989304828</v>
      </c>
      <c r="CT67" s="748">
        <f>INPUT!EQ572</f>
        <v>10.347995248588795</v>
      </c>
      <c r="CU67" s="746">
        <f>INPUT!ER572</f>
        <v>17.671488826809735</v>
      </c>
      <c r="CV67" s="748">
        <f>INPUT!ES572</f>
        <v>9.7184358344554056</v>
      </c>
      <c r="CW67" s="746">
        <f>INPUT!ET572</f>
        <v>10.054719314508521</v>
      </c>
      <c r="CX67" s="748">
        <f>INPUT!EU572</f>
        <v>9.4359542693987919</v>
      </c>
      <c r="CY67" s="746">
        <f>INPUT!EV572</f>
        <v>13.624615994010458</v>
      </c>
      <c r="CZ67" s="748">
        <f>INPUT!EW572</f>
        <v>9.2423362118944965</v>
      </c>
      <c r="DA67" s="746">
        <f>INPUT!EX572</f>
        <v>-0.81395284796150769</v>
      </c>
      <c r="DB67" s="746"/>
      <c r="DC67" s="748">
        <f>INPUT!FP572</f>
        <v>17.567135660135701</v>
      </c>
      <c r="DD67" s="746" t="str">
        <f>INPUT!FQ572</f>
        <v>NA</v>
      </c>
      <c r="DE67" s="748">
        <f>INPUT!FR572</f>
        <v>16.677181564616813</v>
      </c>
      <c r="DF67" s="746">
        <f>INPUT!FS572</f>
        <v>-5.0660170942860123</v>
      </c>
      <c r="DG67" s="748">
        <f>INPUT!FT572</f>
        <v>13.893653516295029</v>
      </c>
      <c r="DH67" s="746">
        <f>INPUT!FU572</f>
        <v>-16.690638268443781</v>
      </c>
      <c r="DI67" s="748">
        <f>INPUT!FV572</f>
        <v>13.196147110332749</v>
      </c>
      <c r="DJ67" s="746">
        <f>INPUT!FW572</f>
        <v>-5.0203238848889997</v>
      </c>
      <c r="DK67" s="748">
        <f>INPUT!FX572</f>
        <v>13.630563998298781</v>
      </c>
      <c r="DL67" s="746">
        <f>INPUT!FY572</f>
        <v>3.2919979167697955</v>
      </c>
      <c r="DM67" s="748">
        <f>INPUT!FZ572</f>
        <v>12.687537941201988</v>
      </c>
      <c r="DN67" s="746">
        <f>INPUT!GA572</f>
        <v>-6.918466889664221</v>
      </c>
      <c r="DO67" s="748">
        <f>INPUT!GB572</f>
        <v>12.701560748469431</v>
      </c>
      <c r="DP67" s="746">
        <f>INPUT!GC572</f>
        <v>0.11052425878392835</v>
      </c>
      <c r="DQ67" s="748">
        <f>INPUT!GD572</f>
        <v>10.919540229885058</v>
      </c>
      <c r="DR67" s="746">
        <f>INPUT!GE572</f>
        <v>-14.029933437897469</v>
      </c>
      <c r="DS67" s="748">
        <f>INPUT!GF572</f>
        <v>10.101786810081885</v>
      </c>
      <c r="DT67" s="746">
        <f>INPUT!GG572</f>
        <v>-7.48889973925011</v>
      </c>
      <c r="DU67" s="748">
        <f>INPUT!GH572</f>
        <v>10.396361273554255</v>
      </c>
      <c r="DV67" s="746">
        <f>INPUT!GI572</f>
        <v>2.9160629600535337</v>
      </c>
      <c r="DW67" s="748">
        <f>INPUT!GJ572</f>
        <v>8.9931573802541553</v>
      </c>
      <c r="DX67" s="746">
        <f>INPUT!GK572</f>
        <v>-13.497067448680333</v>
      </c>
      <c r="DY67" s="748">
        <f>INPUT!GL572</f>
        <v>8.4326483282870583</v>
      </c>
      <c r="DZ67" s="746">
        <f>INPUT!GM572</f>
        <v>-6.2326169582863074</v>
      </c>
      <c r="EA67" s="748">
        <f>INPUT!GN572</f>
        <v>8.8139603667553974</v>
      </c>
      <c r="EB67" s="746">
        <f>INPUT!GO572</f>
        <v>4.5218539137845903</v>
      </c>
      <c r="EC67" s="748">
        <f>INPUT!GP572</f>
        <v>9.6662859322464154</v>
      </c>
      <c r="ED67" s="746">
        <f>INPUT!GQ572</f>
        <v>9.6701769695474162</v>
      </c>
      <c r="EE67" s="748">
        <f>INPUT!GR572</f>
        <v>9.2970651290485051</v>
      </c>
      <c r="EF67" s="746">
        <f>INPUT!GS572</f>
        <v>-3.8196759933016411</v>
      </c>
      <c r="EG67" s="748">
        <f>INPUT!GT572</f>
        <v>8.7446579610839628</v>
      </c>
      <c r="EH67" s="746">
        <f>INPUT!GU572</f>
        <v>-5.941737099792455</v>
      </c>
      <c r="EI67" s="748">
        <f>INPUT!GV572</f>
        <v>8.6005223130154569</v>
      </c>
      <c r="EJ67" s="746">
        <f>INPUT!GW572</f>
        <v>-1.6482708495855092</v>
      </c>
      <c r="EK67" s="748">
        <f>INPUT!GX572</f>
        <v>8.4584113598441846</v>
      </c>
      <c r="EL67" s="746">
        <f>INPUT!GY572</f>
        <v>-1.6523525897515712</v>
      </c>
      <c r="EM67" s="750">
        <f>INPUT!GZ572</f>
        <v>-0.82012837235250213</v>
      </c>
    </row>
    <row r="68" spans="1:143" s="321" customFormat="1" ht="12.75" hidden="1" customHeight="1" outlineLevel="1" x14ac:dyDescent="0.2">
      <c r="A68" s="731" t="str">
        <f>INPUT!B573</f>
        <v>Total Retirement Solutions</v>
      </c>
      <c r="B68" s="748">
        <f>INPUT!AY573</f>
        <v>48.145448655652743</v>
      </c>
      <c r="C68" s="746">
        <f>INPUT!AZ573</f>
        <v>9.6107877024796053</v>
      </c>
      <c r="D68" s="748">
        <f>INPUT!BA573</f>
        <v>44.624057596957158</v>
      </c>
      <c r="E68" s="733">
        <f>INPUT!BB573</f>
        <v>11.768351356245077</v>
      </c>
      <c r="F68" s="748">
        <f>INPUT!BC573</f>
        <v>45.568613049332846</v>
      </c>
      <c r="G68" s="733">
        <f>INPUT!BD573</f>
        <v>-3.8814001649756347</v>
      </c>
      <c r="H68" s="748">
        <f>INPUT!BE573</f>
        <v>47.643107650240744</v>
      </c>
      <c r="I68" s="733">
        <f>INPUT!BF573</f>
        <v>5.3544637604182377</v>
      </c>
      <c r="J68" s="748">
        <f>INPUT!BG573</f>
        <v>50.061652281134386</v>
      </c>
      <c r="K68" s="733">
        <f>INPUT!BH573</f>
        <v>3.9800306757691084</v>
      </c>
      <c r="L68" s="748">
        <f>INPUT!BI573</f>
        <v>50.754542654758239</v>
      </c>
      <c r="M68" s="733">
        <f>INPUT!BJ573</f>
        <v>13.738071766515269</v>
      </c>
      <c r="N68" s="748">
        <f>INPUT!BK573</f>
        <v>55.502535043244848</v>
      </c>
      <c r="O68" s="733">
        <f>INPUT!BL573</f>
        <v>21.799921764477403</v>
      </c>
      <c r="P68" s="748">
        <f>INPUT!BM573</f>
        <v>55.539971949509123</v>
      </c>
      <c r="Q68" s="733">
        <f>INPUT!BN573</f>
        <v>16.57504031273762</v>
      </c>
      <c r="R68" s="748">
        <f>INPUT!BO573</f>
        <v>49.359605911330043</v>
      </c>
      <c r="S68" s="733">
        <f>INPUT!BP573</f>
        <v>-1.4023635613579333</v>
      </c>
      <c r="T68" s="748">
        <f>INPUT!BQ573</f>
        <v>51.036941023979267</v>
      </c>
      <c r="U68" s="733">
        <f>INPUT!BR573</f>
        <v>0.55640018498828159</v>
      </c>
      <c r="V68" s="748">
        <f>INPUT!BS573</f>
        <v>50.793650793650777</v>
      </c>
      <c r="W68" s="733">
        <f>INPUT!BT573</f>
        <v>-8.4840886023046291</v>
      </c>
      <c r="X68" s="748">
        <f>INPUT!BU573</f>
        <v>46.844319775596048</v>
      </c>
      <c r="Y68" s="733">
        <f>INPUT!BV573</f>
        <v>-15.656565656565713</v>
      </c>
      <c r="Z68" s="748">
        <f>INPUT!BW573</f>
        <v>53.043478260869549</v>
      </c>
      <c r="AA68" s="749">
        <f>INPUT!BX573</f>
        <v>7.4633342011628745</v>
      </c>
      <c r="AB68" s="748">
        <f>INPUT!BY573</f>
        <v>44.910757356488155</v>
      </c>
      <c r="AC68" s="733">
        <f>INPUT!BZ573</f>
        <v>-12.003430347858778</v>
      </c>
      <c r="AD68" s="748">
        <f>INPUT!CA573</f>
        <v>44.778402355550483</v>
      </c>
      <c r="AE68" s="733">
        <f>INPUT!CB573</f>
        <v>-11.842520362509957</v>
      </c>
      <c r="AF68" s="748">
        <f>INPUT!CC573</f>
        <v>45.879212545879192</v>
      </c>
      <c r="AG68" s="733">
        <f>INPUT!CD573</f>
        <v>-2.0602438766111342</v>
      </c>
      <c r="AH68" s="748">
        <f>INPUT!CE573</f>
        <v>47.175141242937833</v>
      </c>
      <c r="AI68" s="746">
        <f>INPUT!CF573</f>
        <v>-11.063258312494217</v>
      </c>
      <c r="AJ68" s="748">
        <f>INPUT!CG573</f>
        <v>47.265221878224978</v>
      </c>
      <c r="AK68" s="746">
        <f>INPUT!CH573</f>
        <v>5.2425402293882151</v>
      </c>
      <c r="AL68" s="748">
        <f>INPUT!CI573</f>
        <v>54.296874999999986</v>
      </c>
      <c r="AM68" s="746">
        <f>INPUT!CJ573</f>
        <v>21.256838439367964</v>
      </c>
      <c r="AN68" s="748">
        <f>INPUT!CK573</f>
        <v>52.68817204301078</v>
      </c>
      <c r="AO68" s="746">
        <f>INPUT!CL573</f>
        <v>14.841055718475182</v>
      </c>
      <c r="AP68" s="748">
        <f>INPUT!CM573</f>
        <v>59.695541862993828</v>
      </c>
      <c r="AQ68" s="746">
        <f>INPUT!CN573</f>
        <v>26.540250416166611</v>
      </c>
      <c r="AR68" s="748">
        <f>INPUT!CO573</f>
        <v>58.508078377449316</v>
      </c>
      <c r="AS68" s="746">
        <f>INPUT!CP573</f>
        <v>23.786742243992109</v>
      </c>
      <c r="AT68" s="748">
        <f>INPUT!CQ573</f>
        <v>50.974752317034209</v>
      </c>
      <c r="AU68" s="746">
        <f>INPUT!CR573</f>
        <v>-6.118441775821859</v>
      </c>
      <c r="AV68" s="748">
        <f>INPUT!CS573</f>
        <v>58.571428571428577</v>
      </c>
      <c r="AW68" s="746">
        <f>INPUT!CT573</f>
        <v>11.166180758017452</v>
      </c>
      <c r="AX68" s="748">
        <f>INPUT!CU573</f>
        <v>58.703071672354945</v>
      </c>
      <c r="AY68" s="746">
        <f>INPUT!CV573</f>
        <v>-1.6625532823149269</v>
      </c>
      <c r="AZ68" s="748">
        <f>INPUT!CW573</f>
        <v>61.016949152542374</v>
      </c>
      <c r="BA68" s="746">
        <f>INPUT!CX573</f>
        <v>4.2880758429763244</v>
      </c>
      <c r="BB68" s="748">
        <f>INPUT!CY573</f>
        <v>54.878048780487809</v>
      </c>
      <c r="BC68" s="746">
        <f>INPUT!CZ573</f>
        <v>7.6573132502484764</v>
      </c>
      <c r="BD68" s="748">
        <f>INPUT!DA573</f>
        <v>61.589403973509938</v>
      </c>
      <c r="BE68" s="746">
        <f>INPUT!DB573</f>
        <v>5.1526409303828125</v>
      </c>
      <c r="BF68" s="748">
        <f>INPUT!DC573</f>
        <v>64.32203900863658</v>
      </c>
      <c r="BG68" s="746">
        <f>INPUT!DD573</f>
        <v>9.5718455205262778</v>
      </c>
      <c r="BH68" s="748">
        <f>INPUT!DE573</f>
        <v>66.265060240963862</v>
      </c>
      <c r="BI68" s="746">
        <f>INPUT!DF573</f>
        <v>8.601070950468559</v>
      </c>
      <c r="BJ68" s="748">
        <f>INPUT!DG573</f>
        <v>66.961651917404126</v>
      </c>
      <c r="BK68" s="746">
        <f>INPUT!DH573</f>
        <v>22.019010160603059</v>
      </c>
      <c r="BL68" s="748">
        <f>INPUT!DI573</f>
        <v>66.106442577030805</v>
      </c>
      <c r="BM68" s="746">
        <f>INPUT!DJ573</f>
        <v>7.3341164422758176</v>
      </c>
      <c r="BN68" s="748">
        <f>INPUT!DK573</f>
        <v>70.054945054945051</v>
      </c>
      <c r="BO68" s="746">
        <f>INPUT!DL573</f>
        <v>8.9128176510988801</v>
      </c>
      <c r="BP68" s="748">
        <f>INPUT!DM573</f>
        <v>69.270833333333343</v>
      </c>
      <c r="BQ68" s="746">
        <f>INPUT!DN573</f>
        <v>4.5359848484848531</v>
      </c>
      <c r="BR68" s="748">
        <f>INPUT!DO573</f>
        <v>67.574257425742573</v>
      </c>
      <c r="BS68" s="746">
        <f>INPUT!DP573</f>
        <v>0.91486020848781102</v>
      </c>
      <c r="BT68" s="748">
        <f>INPUT!DQ573</f>
        <v>72.093023255813947</v>
      </c>
      <c r="BU68" s="746">
        <f>INPUT!DR573</f>
        <v>9.0559716200236515</v>
      </c>
      <c r="BV68" s="748">
        <f>INPUT!DS573</f>
        <v>77.840909090909093</v>
      </c>
      <c r="BW68" s="746">
        <f>INPUT!DT573</f>
        <v>11.114081996434955</v>
      </c>
      <c r="BX68" s="748">
        <f>INPUT!DU573</f>
        <v>75.197889182058049</v>
      </c>
      <c r="BY68" s="746">
        <f>INPUT!DV573</f>
        <v>8.5563513004146117</v>
      </c>
      <c r="BZ68" s="748">
        <f>INPUT!DW573</f>
        <v>69.7508896797153</v>
      </c>
      <c r="CA68" s="746">
        <f>INPUT!DX573</f>
        <v>69.7508896797153</v>
      </c>
      <c r="CB68" s="748">
        <f>INPUT!DY573</f>
        <v>72.251308900523554</v>
      </c>
      <c r="CC68" s="746">
        <f>INPUT!DZ573</f>
        <v>0.21955750717783662</v>
      </c>
      <c r="CD68" s="748">
        <f>INPUT!EA573</f>
        <v>70.994475138121544</v>
      </c>
      <c r="CE68" s="746">
        <f>INPUT!EB573</f>
        <v>-8.7954188006613805</v>
      </c>
      <c r="CF68" s="748">
        <f>INPUT!EC573</f>
        <v>71.31367292225201</v>
      </c>
      <c r="CG68" s="746">
        <f>INPUT!ED573</f>
        <v>-5.1653261840929439</v>
      </c>
      <c r="CH68" s="748">
        <f>INPUT!EE573</f>
        <v>68.038207200587806</v>
      </c>
      <c r="CI68" s="746">
        <f>INPUT!EF573</f>
        <v>-2.4554274318103309</v>
      </c>
      <c r="CJ68" s="748">
        <f>INPUT!EG573</f>
        <v>67.481662591687041</v>
      </c>
      <c r="CK68" s="746">
        <f>INPUT!EH573</f>
        <v>-6.6014669926650278</v>
      </c>
      <c r="CL68" s="748">
        <f>INPUT!EI573</f>
        <v>69.095477386934675</v>
      </c>
      <c r="CM68" s="746">
        <f>INPUT!EJ573</f>
        <v>-2.6748528635394786</v>
      </c>
      <c r="CN68" s="748">
        <f>INPUT!EK573</f>
        <v>68.735083532219562</v>
      </c>
      <c r="CO68" s="746">
        <f>INPUT!EL573</f>
        <v>-3.6158415130906119</v>
      </c>
      <c r="CP68" s="748">
        <f>INPUT!EM573</f>
        <v>68.742791234140711</v>
      </c>
      <c r="CQ68" s="746">
        <f>INPUT!EN573</f>
        <v>1.0355711335480633</v>
      </c>
      <c r="CR68" s="748">
        <f>INPUT!EO573</f>
        <v>69.545454545454547</v>
      </c>
      <c r="CS68" s="746">
        <f>INPUT!EP573</f>
        <v>3.0583003952569188</v>
      </c>
      <c r="CT68" s="748">
        <f>INPUT!EQ573</f>
        <v>75.116347092167402</v>
      </c>
      <c r="CU68" s="746">
        <f>INPUT!ER573</f>
        <v>8.7138405188459167</v>
      </c>
      <c r="CV68" s="748">
        <f>INPUT!ES573</f>
        <v>70.490973568748174</v>
      </c>
      <c r="CW68" s="746">
        <f>INPUT!ET573</f>
        <v>2.5545761295329372</v>
      </c>
      <c r="CX68" s="748">
        <f>INPUT!EU573</f>
        <v>68.617555978699016</v>
      </c>
      <c r="CY68" s="746">
        <f>INPUT!EV573</f>
        <v>-0.18217947393951439</v>
      </c>
      <c r="CZ68" s="748">
        <f>INPUT!EW573</f>
        <v>67.674528149935398</v>
      </c>
      <c r="DA68" s="746">
        <f>INPUT!EX573</f>
        <v>-2.6902209608772099</v>
      </c>
      <c r="DB68" s="746"/>
      <c r="DC68" s="748">
        <f>INPUT!FP573</f>
        <v>44.251246829752837</v>
      </c>
      <c r="DD68" s="746" t="str">
        <f>INPUT!FQ573</f>
        <v>NA</v>
      </c>
      <c r="DE68" s="748">
        <f>INPUT!FR573</f>
        <v>46.445411077168288</v>
      </c>
      <c r="DF68" s="746">
        <f>INPUT!FS573</f>
        <v>4.958423557774605</v>
      </c>
      <c r="DG68" s="748">
        <f>INPUT!FT573</f>
        <v>53.046461331941217</v>
      </c>
      <c r="DH68" s="746">
        <f>INPUT!FU573</f>
        <v>14.212491830044073</v>
      </c>
      <c r="DI68" s="748">
        <f>INPUT!FV573</f>
        <v>49.737302977232957</v>
      </c>
      <c r="DJ68" s="746">
        <f>INPUT!FW573</f>
        <v>-6.2382263993087435</v>
      </c>
      <c r="DK68" s="748">
        <f>INPUT!FX573</f>
        <v>46.825240402070548</v>
      </c>
      <c r="DL68" s="746">
        <f>INPUT!FY573</f>
        <v>-5.8548863747103326</v>
      </c>
      <c r="DM68" s="748">
        <f>INPUT!FZ573</f>
        <v>50.359899401613092</v>
      </c>
      <c r="DN68" s="746">
        <f>INPUT!GA573</f>
        <v>7.5486190122928676</v>
      </c>
      <c r="DO68" s="748">
        <f>INPUT!GB573</f>
        <v>56.773303440545</v>
      </c>
      <c r="DP68" s="746">
        <f>INPUT!GC573</f>
        <v>12.735140687605263</v>
      </c>
      <c r="DQ68" s="748">
        <f>INPUT!GD573</f>
        <v>58.949096880131357</v>
      </c>
      <c r="DR68" s="746">
        <f>INPUT!GE573</f>
        <v>3.8324235295994713</v>
      </c>
      <c r="DS68" s="748">
        <f>INPUT!GF573</f>
        <v>65.963160140460062</v>
      </c>
      <c r="DT68" s="746">
        <f>INPUT!GG573</f>
        <v>11.898508427688537</v>
      </c>
      <c r="DU68" s="748">
        <f>INPUT!GH573</f>
        <v>69.720597790773226</v>
      </c>
      <c r="DV68" s="746">
        <f>INPUT!GI573</f>
        <v>5.6962668894458446</v>
      </c>
      <c r="DW68" s="748">
        <f>INPUT!GJ573</f>
        <v>73.574454219615518</v>
      </c>
      <c r="DX68" s="746">
        <f>INPUT!GK573</f>
        <v>5.5275722683954198</v>
      </c>
      <c r="DY68" s="748">
        <f>INPUT!GL573</f>
        <v>69.368034529407979</v>
      </c>
      <c r="DZ68" s="746">
        <f>INPUT!GM573</f>
        <v>-5.7172285337674715</v>
      </c>
      <c r="EA68" s="748">
        <f>INPUT!GN573</f>
        <v>69.032830523513752</v>
      </c>
      <c r="EB68" s="746">
        <f>INPUT!GO573</f>
        <v>-0.48322546280610279</v>
      </c>
      <c r="EC68" s="748">
        <f>INPUT!GP573</f>
        <v>70.339687153517843</v>
      </c>
      <c r="ED68" s="746">
        <f>INPUT!GQ573</f>
        <v>1.8930943727694327</v>
      </c>
      <c r="EE68" s="748">
        <f>INPUT!GR573</f>
        <v>68.445961095786487</v>
      </c>
      <c r="EF68" s="746">
        <f>INPUT!GS573</f>
        <v>-2.6922582888352364</v>
      </c>
      <c r="EG68" s="748">
        <f>INPUT!GT573</f>
        <v>65.925238181548863</v>
      </c>
      <c r="EH68" s="746">
        <f>INPUT!GU573</f>
        <v>-3.682792781169375</v>
      </c>
      <c r="EI68" s="748">
        <f>INPUT!GV573</f>
        <v>66.449136041055951</v>
      </c>
      <c r="EJ68" s="746">
        <f>INPUT!GW573</f>
        <v>0.79468481867952523</v>
      </c>
      <c r="EK68" s="748">
        <f>INPUT!GX573</f>
        <v>67.046508363181019</v>
      </c>
      <c r="EL68" s="746">
        <f>INPUT!GY573</f>
        <v>0.89899185710402563</v>
      </c>
      <c r="EM68" s="750">
        <f>INPUT!GZ573</f>
        <v>-0.58221179733954909</v>
      </c>
    </row>
    <row r="69" spans="1:143" s="321" customFormat="1" ht="12.75" hidden="1" customHeight="1" outlineLevel="1" x14ac:dyDescent="0.2">
      <c r="A69" s="747" t="str">
        <f>INPUT!B574</f>
        <v xml:space="preserve">Life </v>
      </c>
      <c r="B69" s="748">
        <f>INPUT!AY574</f>
        <v>27.939747327502435</v>
      </c>
      <c r="C69" s="746">
        <f>INPUT!AZ574</f>
        <v>-6.3245854152409464</v>
      </c>
      <c r="D69" s="748">
        <f>INPUT!BA574</f>
        <v>48.937037288596073</v>
      </c>
      <c r="E69" s="733">
        <f>INPUT!BB574</f>
        <v>60.0003002880485</v>
      </c>
      <c r="F69" s="748">
        <f>INPUT!BC574</f>
        <v>42.783694454645577</v>
      </c>
      <c r="G69" s="733">
        <f>INPUT!BD574</f>
        <v>44.915768683808089</v>
      </c>
      <c r="H69" s="748">
        <f>INPUT!BE574</f>
        <v>43.779349699815739</v>
      </c>
      <c r="I69" s="733">
        <f>INPUT!BF574</f>
        <v>52.299340720625963</v>
      </c>
      <c r="J69" s="748">
        <f>INPUT!BG574</f>
        <v>47.965474722564757</v>
      </c>
      <c r="K69" s="733">
        <f>INPUT!BH574</f>
        <v>71.674690398327385</v>
      </c>
      <c r="L69" s="748">
        <f>INPUT!BI574</f>
        <v>49.43024330150908</v>
      </c>
      <c r="M69" s="733">
        <f>INPUT!BJ574</f>
        <v>1.0078379081357669</v>
      </c>
      <c r="N69" s="748">
        <f>INPUT!BK574</f>
        <v>49.448255293766778</v>
      </c>
      <c r="O69" s="733">
        <f>INPUT!BL574</f>
        <v>15.577338338993174</v>
      </c>
      <c r="P69" s="748">
        <f>INPUT!BM574</f>
        <v>48.976157082748927</v>
      </c>
      <c r="Q69" s="733">
        <f>INPUT!BN574</f>
        <v>11.870453578151396</v>
      </c>
      <c r="R69" s="748">
        <f>INPUT!BO574</f>
        <v>54.646962233169148</v>
      </c>
      <c r="S69" s="733">
        <f>INPUT!BP574</f>
        <v>13.929785015681651</v>
      </c>
      <c r="T69" s="748">
        <f>INPUT!BQ574</f>
        <v>52.981205443940382</v>
      </c>
      <c r="U69" s="733">
        <f>INPUT!BR574</f>
        <v>7.1837844713236398</v>
      </c>
      <c r="V69" s="748">
        <f>INPUT!BS574</f>
        <v>53.142857142857146</v>
      </c>
      <c r="W69" s="733">
        <f>INPUT!BT574</f>
        <v>7.4716525934861222</v>
      </c>
      <c r="X69" s="748">
        <f>INPUT!BU574</f>
        <v>62.412342215988815</v>
      </c>
      <c r="Y69" s="733">
        <f>INPUT!BV574</f>
        <v>27.434135166094052</v>
      </c>
      <c r="Z69" s="748">
        <f>INPUT!BW574</f>
        <v>72.73657289002557</v>
      </c>
      <c r="AA69" s="749">
        <f>INPUT!BX574</f>
        <v>33.102682962817177</v>
      </c>
      <c r="AB69" s="748">
        <f>INPUT!BY574</f>
        <v>64.109985528219937</v>
      </c>
      <c r="AC69" s="733">
        <f>INPUT!BZ574</f>
        <v>21.005146996994917</v>
      </c>
      <c r="AD69" s="748">
        <f>INPUT!CA574</f>
        <v>54.491224044969591</v>
      </c>
      <c r="AE69" s="733">
        <f>INPUT!CB574</f>
        <v>2.5372495469857759</v>
      </c>
      <c r="AF69" s="748">
        <f>INPUT!CC574</f>
        <v>52.585919252585967</v>
      </c>
      <c r="AG69" s="733">
        <f>INPUT!CD574</f>
        <v>-15.744358590800511</v>
      </c>
      <c r="AH69" s="748">
        <f>INPUT!CE574</f>
        <v>53.283898305084755</v>
      </c>
      <c r="AI69" s="746">
        <f>INPUT!CF574</f>
        <v>-26.744007604472074</v>
      </c>
      <c r="AJ69" s="748">
        <f>INPUT!CG574</f>
        <v>52.184382524939807</v>
      </c>
      <c r="AK69" s="746">
        <f>INPUT!CH574</f>
        <v>-18.601787077351183</v>
      </c>
      <c r="AL69" s="748">
        <f>INPUT!CI574</f>
        <v>53.941761363636353</v>
      </c>
      <c r="AM69" s="746">
        <f>INPUT!CJ574</f>
        <v>-1.0083507775119682</v>
      </c>
      <c r="AN69" s="748">
        <f>INPUT!CK574</f>
        <v>52.251344086021504</v>
      </c>
      <c r="AO69" s="746">
        <f>INPUT!CL574</f>
        <v>-0.63624478057975331</v>
      </c>
      <c r="AP69" s="748">
        <f>INPUT!CM574</f>
        <v>46.393620877129358</v>
      </c>
      <c r="AQ69" s="746">
        <f>INPUT!CN574</f>
        <v>-12.931256246500777</v>
      </c>
      <c r="AR69" s="748">
        <f>INPUT!CO574</f>
        <v>46.54520453764183</v>
      </c>
      <c r="AS69" s="746">
        <f>INPUT!CP574</f>
        <v>-10.80625603762374</v>
      </c>
      <c r="AT69" s="748">
        <f>INPUT!CQ574</f>
        <v>52.668584212208359</v>
      </c>
      <c r="AU69" s="746">
        <f>INPUT!CR574</f>
        <v>-2.3602810127855367</v>
      </c>
      <c r="AV69" s="748">
        <f>INPUT!CS574</f>
        <v>46.785714285714285</v>
      </c>
      <c r="AW69" s="746">
        <f>INPUT!CT574</f>
        <v>-10.460266421681208</v>
      </c>
      <c r="AX69" s="748">
        <f>INPUT!CU574</f>
        <v>47.44027303754266</v>
      </c>
      <c r="AY69" s="746">
        <f>INPUT!CV574</f>
        <v>2.2560260238908558</v>
      </c>
      <c r="AZ69" s="748">
        <f>INPUT!CW574</f>
        <v>43.728813559322035</v>
      </c>
      <c r="BA69" s="746">
        <f>INPUT!CX574</f>
        <v>-6.0508724933030162</v>
      </c>
      <c r="BB69" s="748">
        <f>INPUT!CY574</f>
        <v>41.158536585365852</v>
      </c>
      <c r="BC69" s="746">
        <f>INPUT!CZ574</f>
        <v>-21.853725136159106</v>
      </c>
      <c r="BD69" s="748">
        <f>INPUT!DA574</f>
        <v>45.695364238410598</v>
      </c>
      <c r="BE69" s="746">
        <f>INPUT!DB574</f>
        <v>-2.330519185076585</v>
      </c>
      <c r="BF69" s="748">
        <f>INPUT!DC574</f>
        <v>40.033099049239866</v>
      </c>
      <c r="BG69" s="746">
        <f>INPUT!DD574</f>
        <v>-15.613683299084313</v>
      </c>
      <c r="BH69" s="748">
        <f>INPUT!DE574</f>
        <v>39.156626506024097</v>
      </c>
      <c r="BI69" s="746">
        <f>INPUT!DF574</f>
        <v>-10.455776594751098</v>
      </c>
      <c r="BJ69" s="748">
        <f>INPUT!DG574</f>
        <v>36.873156342182888</v>
      </c>
      <c r="BK69" s="746">
        <f>INPUT!DH574</f>
        <v>-10.411886813066751</v>
      </c>
      <c r="BL69" s="748">
        <f>INPUT!DI574</f>
        <v>40.896358543417364</v>
      </c>
      <c r="BM69" s="746">
        <f>INPUT!DJ574</f>
        <v>-10.502171883246058</v>
      </c>
      <c r="BN69" s="748">
        <f>INPUT!DK574</f>
        <v>32.967032967032964</v>
      </c>
      <c r="BO69" s="746">
        <f>INPUT!DL574</f>
        <v>-17.650559786829866</v>
      </c>
      <c r="BP69" s="748">
        <f>INPUT!DM574</f>
        <v>37.239583333333329</v>
      </c>
      <c r="BQ69" s="746">
        <f>INPUT!DN574</f>
        <v>-4.8958333333333437</v>
      </c>
      <c r="BR69" s="748">
        <f>INPUT!DO574</f>
        <v>37.128712871287128</v>
      </c>
      <c r="BS69" s="746">
        <f>INPUT!DP574</f>
        <v>0.69306930693069368</v>
      </c>
      <c r="BT69" s="748">
        <f>INPUT!DQ574</f>
        <v>36.434108527131784</v>
      </c>
      <c r="BU69" s="746">
        <f>INPUT!DR574</f>
        <v>-10.911118190506519</v>
      </c>
      <c r="BV69" s="748">
        <f>INPUT!DS574</f>
        <v>31.53409090909091</v>
      </c>
      <c r="BW69" s="746">
        <f>INPUT!DT574</f>
        <v>-4.3465909090908976</v>
      </c>
      <c r="BX69" s="748">
        <f>INPUT!DU574</f>
        <v>27.70448548812665</v>
      </c>
      <c r="BY69" s="746">
        <f>INPUT!DV574</f>
        <v>-25.60473826964591</v>
      </c>
      <c r="BZ69" s="748">
        <f>INPUT!DW574</f>
        <v>36.29893238434164</v>
      </c>
      <c r="CA69" s="746">
        <f>INPUT!DX574</f>
        <v>36.29893238434164</v>
      </c>
      <c r="CB69" s="748">
        <f>INPUT!DY574</f>
        <v>31.151832460732987</v>
      </c>
      <c r="CC69" s="746">
        <f>INPUT!DZ574</f>
        <v>-14.498161969477552</v>
      </c>
      <c r="CD69" s="748">
        <f>INPUT!EA574</f>
        <v>33.701657458563538</v>
      </c>
      <c r="CE69" s="746">
        <f>INPUT!EB574</f>
        <v>6.8737245532825675</v>
      </c>
      <c r="CF69" s="748">
        <f>INPUT!EC574</f>
        <v>32.171581769436997</v>
      </c>
      <c r="CG69" s="746">
        <f>INPUT!ED574</f>
        <v>16.124090386824964</v>
      </c>
      <c r="CH69" s="748">
        <f>INPUT!EE574</f>
        <v>33.676218466813616</v>
      </c>
      <c r="CI69" s="746">
        <f>INPUT!EF574</f>
        <v>-7.2253197139742653</v>
      </c>
      <c r="CJ69" s="748">
        <f>INPUT!EG574</f>
        <v>37.65281173594132</v>
      </c>
      <c r="CK69" s="746">
        <f>INPUT!EH574</f>
        <v>20.868689774198181</v>
      </c>
      <c r="CL69" s="748">
        <f>INPUT!EI574</f>
        <v>32.412060301507537</v>
      </c>
      <c r="CM69" s="746">
        <f>INPUT!EJ574</f>
        <v>-3.8265095971661611</v>
      </c>
      <c r="CN69" s="748">
        <f>INPUT!EK574</f>
        <v>31.742243436754176</v>
      </c>
      <c r="CO69" s="746">
        <f>INPUT!EL574</f>
        <v>-1.334526650755774</v>
      </c>
      <c r="CP69" s="748">
        <f>INPUT!EM574</f>
        <v>31.603229527104958</v>
      </c>
      <c r="CQ69" s="746">
        <f>INPUT!EN574</f>
        <v>-6.1556464296948725</v>
      </c>
      <c r="CR69" s="748">
        <f>INPUT!EO574</f>
        <v>34.545454545454547</v>
      </c>
      <c r="CS69" s="746">
        <f>INPUT!EP574</f>
        <v>-8.2526564344746145</v>
      </c>
      <c r="CT69" s="748">
        <f>INPUT!EQ574</f>
        <v>33.175902487136462</v>
      </c>
      <c r="CU69" s="746">
        <f>INPUT!ER574</f>
        <v>2.356660386669085</v>
      </c>
      <c r="CV69" s="748">
        <f>INPUT!ES574</f>
        <v>34.750616136234399</v>
      </c>
      <c r="CW69" s="746">
        <f>INPUT!ET574</f>
        <v>9.4775049705429595</v>
      </c>
      <c r="CX69" s="748">
        <f>INPUT!EU574</f>
        <v>33.377505408585634</v>
      </c>
      <c r="CY69" s="746">
        <f>INPUT!EV574</f>
        <v>5.6142233184078405</v>
      </c>
      <c r="CZ69" s="748">
        <f>INPUT!EW574</f>
        <v>34.086066307135091</v>
      </c>
      <c r="DA69" s="746">
        <f>INPUT!EX574</f>
        <v>-1.3298080582931582</v>
      </c>
      <c r="DB69" s="746"/>
      <c r="DC69" s="748">
        <f>INPUT!FP574</f>
        <v>29.604302568618746</v>
      </c>
      <c r="DD69" s="746" t="str">
        <f>INPUT!FQ574</f>
        <v>NA</v>
      </c>
      <c r="DE69" s="748">
        <f>INPUT!FR574</f>
        <v>41.522778589454106</v>
      </c>
      <c r="DF69" s="746">
        <f>INPUT!FS574</f>
        <v>40.259269723412515</v>
      </c>
      <c r="DG69" s="748">
        <f>INPUT!FT574</f>
        <v>48.959653963755706</v>
      </c>
      <c r="DH69" s="746">
        <f>INPUT!FU574</f>
        <v>17.910350961412803</v>
      </c>
      <c r="DI69" s="748">
        <f>INPUT!FV574</f>
        <v>55.236427320490343</v>
      </c>
      <c r="DJ69" s="746">
        <f>INPUT!FW574</f>
        <v>12.820297629924561</v>
      </c>
      <c r="DK69" s="748">
        <f>INPUT!FX574</f>
        <v>59.66743083577969</v>
      </c>
      <c r="DL69" s="746">
        <f>INPUT!FY574</f>
        <v>8.0218865162657629</v>
      </c>
      <c r="DM69" s="748">
        <f>INPUT!FZ574</f>
        <v>52.900875899748435</v>
      </c>
      <c r="DN69" s="746">
        <f>INPUT!GA574</f>
        <v>-11.340449624275895</v>
      </c>
      <c r="DO69" s="748">
        <f>INPUT!GB574</f>
        <v>48.219367077692482</v>
      </c>
      <c r="DP69" s="746">
        <f>INPUT!GC574</f>
        <v>-8.8495865946110257</v>
      </c>
      <c r="DQ69" s="748">
        <f>INPUT!GD574</f>
        <v>44.41707717569787</v>
      </c>
      <c r="DR69" s="746">
        <f>INPUT!GE574</f>
        <v>-7.8853998557638638</v>
      </c>
      <c r="DS69" s="748">
        <f>INPUT!GF574</f>
        <v>39.238506202044789</v>
      </c>
      <c r="DT69" s="746">
        <f>INPUT!GG574</f>
        <v>-11.65896385565518</v>
      </c>
      <c r="DU69" s="748">
        <f>INPUT!GH574</f>
        <v>35.997400909681609</v>
      </c>
      <c r="DV69" s="746">
        <f>INPUT!GI574</f>
        <v>-8.2600119272488559</v>
      </c>
      <c r="DW69" s="748">
        <f>INPUT!GJ574</f>
        <v>31.801889866405997</v>
      </c>
      <c r="DX69" s="746">
        <f>INPUT!GK574</f>
        <v>-11.655038800724126</v>
      </c>
      <c r="DY69" s="748">
        <f>INPUT!GL574</f>
        <v>34.368356632094311</v>
      </c>
      <c r="DZ69" s="746">
        <f>INPUT!GM574</f>
        <v>8.0701705982555652</v>
      </c>
      <c r="EA69" s="748">
        <f>INPUT!GN574</f>
        <v>32.593907128068615</v>
      </c>
      <c r="EB69" s="746">
        <f>INPUT!GO574</f>
        <v>-5.1630327368305302</v>
      </c>
      <c r="EC69" s="748">
        <f>INPUT!GP574</f>
        <v>33.856809961213465</v>
      </c>
      <c r="ED69" s="746">
        <f>INPUT!GQ574</f>
        <v>3.8746592367175481</v>
      </c>
      <c r="EE69" s="748">
        <f>INPUT!GR574</f>
        <v>31.989260450725304</v>
      </c>
      <c r="EF69" s="746">
        <f>INPUT!GS574</f>
        <v>-5.5160232538967291</v>
      </c>
      <c r="EG69" s="748">
        <f>INPUT!GT574</f>
        <v>29.969876594259276</v>
      </c>
      <c r="EH69" s="746">
        <f>INPUT!GU574</f>
        <v>-6.3126931601828922</v>
      </c>
      <c r="EI69" s="748">
        <f>INPUT!GV574</f>
        <v>29.47703515736676</v>
      </c>
      <c r="EJ69" s="746">
        <f>INPUT!GW574</f>
        <v>-1.6444560101622763</v>
      </c>
      <c r="EK69" s="748">
        <f>INPUT!GX574</f>
        <v>28.921456921102319</v>
      </c>
      <c r="EL69" s="746">
        <f>INPUT!GY574</f>
        <v>-1.8847833009609682</v>
      </c>
      <c r="EM69" s="750">
        <f>INPUT!GZ574</f>
        <v>-2.3624780136251022</v>
      </c>
    </row>
    <row r="70" spans="1:143" s="321" customFormat="1" ht="12.75" hidden="1" customHeight="1" outlineLevel="1" x14ac:dyDescent="0.2">
      <c r="A70" s="747" t="str">
        <f>INPUT!B575</f>
        <v>Group Protection</v>
      </c>
      <c r="B70" s="748">
        <f>INPUT!AY575</f>
        <v>11.94525429219307</v>
      </c>
      <c r="C70" s="746" t="str">
        <f>INPUT!AZ575</f>
        <v>NA</v>
      </c>
      <c r="D70" s="748">
        <f>INPUT!BA575</f>
        <v>8.7957617333423936</v>
      </c>
      <c r="E70" s="733" t="str">
        <f>INPUT!BB575</f>
        <v>NA</v>
      </c>
      <c r="F70" s="748">
        <f>INPUT!BC575</f>
        <v>7.2836332476435501</v>
      </c>
      <c r="G70" s="733" t="str">
        <f>INPUT!BD575</f>
        <v>NA</v>
      </c>
      <c r="H70" s="748">
        <f>INPUT!BE575</f>
        <v>7.1925340307911698</v>
      </c>
      <c r="I70" s="733" t="str">
        <f>INPUT!BF575</f>
        <v>NA</v>
      </c>
      <c r="J70" s="748">
        <f>INPUT!BG575</f>
        <v>7.0900123304562355</v>
      </c>
      <c r="K70" s="733">
        <f>INPUT!BH575</f>
        <v>-40.645781521034863</v>
      </c>
      <c r="L70" s="748">
        <f>INPUT!BI575</f>
        <v>8.9005235602094306</v>
      </c>
      <c r="M70" s="733">
        <f>INPUT!BJ575</f>
        <v>1.1910489397400692</v>
      </c>
      <c r="N70" s="748">
        <f>INPUT!BK575</f>
        <v>7.5156576200417602</v>
      </c>
      <c r="O70" s="733">
        <f>INPUT!BL575</f>
        <v>3.1855581481024853</v>
      </c>
      <c r="P70" s="748">
        <f>INPUT!BM575</f>
        <v>7.0687237026647933</v>
      </c>
      <c r="Q70" s="733">
        <f>INPUT!BN575</f>
        <v>-1.7213728512975535</v>
      </c>
      <c r="R70" s="748">
        <f>INPUT!BO575</f>
        <v>8.5714285714285534</v>
      </c>
      <c r="S70" s="733">
        <f>INPUT!BP575</f>
        <v>20.894409937887804</v>
      </c>
      <c r="T70" s="748">
        <f>INPUT!BQ575</f>
        <v>10.466623460790661</v>
      </c>
      <c r="U70" s="733">
        <f>INPUT!BR575</f>
        <v>17.595593000647924</v>
      </c>
      <c r="V70" s="748">
        <f>INPUT!BS575</f>
        <v>8.7301587301587276</v>
      </c>
      <c r="W70" s="733">
        <f>INPUT!BT575</f>
        <v>16.159611992945202</v>
      </c>
      <c r="X70" s="748">
        <f>INPUT!BU575</f>
        <v>10.004675081813927</v>
      </c>
      <c r="Y70" s="733">
        <f>INPUT!BV575</f>
        <v>41.534391534391531</v>
      </c>
      <c r="Z70" s="748">
        <f>INPUT!BW575</f>
        <v>13.14578005115092</v>
      </c>
      <c r="AA70" s="749">
        <f>INPUT!BX575</f>
        <v>53.3674339300944</v>
      </c>
      <c r="AB70" s="748">
        <f>INPUT!BY575</f>
        <v>16.208393632416794</v>
      </c>
      <c r="AC70" s="733">
        <f>INPUT!BZ575</f>
        <v>54.857903249654051</v>
      </c>
      <c r="AD70" s="748">
        <f>INPUT!CA575</f>
        <v>13.196436082750179</v>
      </c>
      <c r="AE70" s="733">
        <f>INPUT!CB575</f>
        <v>51.159176947865738</v>
      </c>
      <c r="AF70" s="748">
        <f>INPUT!CC575</f>
        <v>11.044377711044353</v>
      </c>
      <c r="AG70" s="733">
        <f>INPUT!CD575</f>
        <v>10.392167868803192</v>
      </c>
      <c r="AH70" s="748">
        <f>INPUT!CE575</f>
        <v>11.052259887005659</v>
      </c>
      <c r="AI70" s="746">
        <f>INPUT!CF575</f>
        <v>-15.925416034645822</v>
      </c>
      <c r="AJ70" s="748">
        <f>INPUT!CG575</f>
        <v>12.968696250430003</v>
      </c>
      <c r="AK70" s="746">
        <f>INPUT!CH575</f>
        <v>-19.98777581207921</v>
      </c>
      <c r="AL70" s="748">
        <f>INPUT!CI575</f>
        <v>4.4389204545454719</v>
      </c>
      <c r="AM70" s="746" t="str">
        <f>INPUT!CJ575</f>
        <v>NM</v>
      </c>
      <c r="AN70" s="748">
        <f>INPUT!CK575</f>
        <v>6.0483870967741948</v>
      </c>
      <c r="AO70" s="746">
        <f>INPUT!CL575</f>
        <v>-45.235600818633529</v>
      </c>
      <c r="AP70" s="748">
        <f>INPUT!CM575</f>
        <v>6.9227981152591838</v>
      </c>
      <c r="AQ70" s="746">
        <f>INPUT!CN575</f>
        <v>-37.363053474715677</v>
      </c>
      <c r="AR70" s="748">
        <f>INPUT!CO575</f>
        <v>7.7689927810243846</v>
      </c>
      <c r="AS70" s="746">
        <f>INPUT!CP575</f>
        <v>-40.094265213692637</v>
      </c>
      <c r="AT70" s="748">
        <f>INPUT!CQ575</f>
        <v>8.5650367529562033</v>
      </c>
      <c r="AU70" s="746">
        <f>INPUT!CR575</f>
        <v>92.953147970596589</v>
      </c>
      <c r="AV70" s="748">
        <f>INPUT!CS575</f>
        <v>7.1428571428571423</v>
      </c>
      <c r="AW70" s="746">
        <f>INPUT!CT575</f>
        <v>18.095238095238052</v>
      </c>
      <c r="AX70" s="748">
        <f>INPUT!CU575</f>
        <v>5.4607508532423212</v>
      </c>
      <c r="AY70" s="746">
        <f>INPUT!CV575</f>
        <v>-21.119310973322015</v>
      </c>
      <c r="AZ70" s="748">
        <f>INPUT!CW575</f>
        <v>8.1355932203389827</v>
      </c>
      <c r="BA70" s="746">
        <f>INPUT!CX575</f>
        <v>4.7187640617972093</v>
      </c>
      <c r="BB70" s="748">
        <f>INPUT!CY575</f>
        <v>4.8780487804878048</v>
      </c>
      <c r="BC70" s="746">
        <f>INPUT!CZ575</f>
        <v>-43.046960320349392</v>
      </c>
      <c r="BD70" s="748">
        <f>INPUT!DA575</f>
        <v>4.3046357615894042</v>
      </c>
      <c r="BE70" s="746">
        <f>INPUT!DB575</f>
        <v>-39.735099337748338</v>
      </c>
      <c r="BF70" s="748">
        <f>INPUT!DC575</f>
        <v>4.6901486777130836</v>
      </c>
      <c r="BG70" s="746">
        <f>INPUT!DD575</f>
        <v>-14.111652339379166</v>
      </c>
      <c r="BH70" s="748">
        <f>INPUT!DE575</f>
        <v>6.6265060240963862</v>
      </c>
      <c r="BI70" s="746">
        <f>INPUT!DF575</f>
        <v>-18.549196787148581</v>
      </c>
      <c r="BJ70" s="748">
        <f>INPUT!DG575</f>
        <v>5.8997050147492622</v>
      </c>
      <c r="BK70" s="746">
        <f>INPUT!DH575</f>
        <v>20.943952802359878</v>
      </c>
      <c r="BL70" s="748">
        <f>INPUT!DI575</f>
        <v>0.84033613445378152</v>
      </c>
      <c r="BM70" s="746" t="str">
        <f>INPUT!DJ575</f>
        <v>NM</v>
      </c>
      <c r="BN70" s="748">
        <f>INPUT!DK575</f>
        <v>5.4945054945054945</v>
      </c>
      <c r="BO70" s="746">
        <f>INPUT!DL575</f>
        <v>17.149921507064359</v>
      </c>
      <c r="BP70" s="748">
        <f>INPUT!DM575</f>
        <v>0.52083333333333326</v>
      </c>
      <c r="BQ70" s="746" t="str">
        <f>INPUT!DN575</f>
        <v>NM</v>
      </c>
      <c r="BR70" s="748">
        <f>INPUT!DO575</f>
        <v>1.9801980198019802</v>
      </c>
      <c r="BS70" s="746" t="str">
        <f>INPUT!DP575</f>
        <v>NM</v>
      </c>
      <c r="BT70" s="748">
        <f>INPUT!DQ575</f>
        <v>-1.8087855297157622</v>
      </c>
      <c r="BU70" s="746" t="str">
        <f>INPUT!DR575</f>
        <v>NM</v>
      </c>
      <c r="BV70" s="748">
        <f>INPUT!DS575</f>
        <v>-1.7045454545454544</v>
      </c>
      <c r="BW70" s="746" t="str">
        <f>INPUT!DT575</f>
        <v>NM</v>
      </c>
      <c r="BX70" s="748">
        <f>INPUT!DU575</f>
        <v>5.0131926121372032</v>
      </c>
      <c r="BY70" s="746" t="str">
        <f>INPUT!DV575</f>
        <v>NM</v>
      </c>
      <c r="BZ70" s="748">
        <f>INPUT!DW575</f>
        <v>4.0332147093712933</v>
      </c>
      <c r="CA70" s="746">
        <f>INPUT!DX575</f>
        <v>4.0332147093712933</v>
      </c>
      <c r="CB70" s="748">
        <f>INPUT!DY575</f>
        <v>3.4031413612565444</v>
      </c>
      <c r="CC70" s="746" t="str">
        <f>INPUT!DZ575</f>
        <v>NM</v>
      </c>
      <c r="CD70" s="748">
        <f>INPUT!EA575</f>
        <v>1.3812154696132597</v>
      </c>
      <c r="CE70" s="746" t="str">
        <f>INPUT!EB575</f>
        <v>NM</v>
      </c>
      <c r="CF70" s="748">
        <f>INPUT!EC575</f>
        <v>4.0214477211796247</v>
      </c>
      <c r="CG70" s="746">
        <f>INPUT!ED575</f>
        <v>-19.782700719627488</v>
      </c>
      <c r="CH70" s="748">
        <f>INPUT!EE575</f>
        <v>5.6331129071760957</v>
      </c>
      <c r="CI70" s="746">
        <f>INPUT!EF575</f>
        <v>39.668064139689662</v>
      </c>
      <c r="CJ70" s="748">
        <f>INPUT!EG575</f>
        <v>3.9119804400977993</v>
      </c>
      <c r="CK70" s="746">
        <f>INPUT!EH575</f>
        <v>14.952040624412266</v>
      </c>
      <c r="CL70" s="748">
        <f>INPUT!EI575</f>
        <v>1.7587939698492463</v>
      </c>
      <c r="CM70" s="746">
        <f>INPUT!EJ575</f>
        <v>27.336683417085439</v>
      </c>
      <c r="CN70" s="748">
        <f>INPUT!EK575</f>
        <v>8.3532219570405726</v>
      </c>
      <c r="CO70" s="746" t="str">
        <f>INPUT!EL575</f>
        <v>NM</v>
      </c>
      <c r="CP70" s="748">
        <f>INPUT!EM575</f>
        <v>8.7658592848904267</v>
      </c>
      <c r="CQ70" s="746">
        <f>INPUT!EN575</f>
        <v>55.613058522641801</v>
      </c>
      <c r="CR70" s="748">
        <f>INPUT!EO575</f>
        <v>4.5454545454545459</v>
      </c>
      <c r="CS70" s="746">
        <f>INPUT!EP575</f>
        <v>16.193181818181834</v>
      </c>
      <c r="CT70" s="748">
        <f>INPUT!EQ575</f>
        <v>4.101322571601477</v>
      </c>
      <c r="CU70" s="746" t="str">
        <f>INPUT!ER575</f>
        <v>NM</v>
      </c>
      <c r="CV70" s="748">
        <f>INPUT!ES575</f>
        <v>6.3580278487440367</v>
      </c>
      <c r="CW70" s="746">
        <f>INPUT!ET575</f>
        <v>-23.885323753607103</v>
      </c>
      <c r="CX70" s="748">
        <f>INPUT!EU575</f>
        <v>9.0989837059036507</v>
      </c>
      <c r="CY70" s="746">
        <f>INPUT!EV575</f>
        <v>3.8002483291903255</v>
      </c>
      <c r="CZ70" s="748">
        <f>INPUT!EW575</f>
        <v>8.9777654049329421</v>
      </c>
      <c r="DA70" s="746">
        <f>INPUT!EX575</f>
        <v>97.510838908524704</v>
      </c>
      <c r="DB70" s="746"/>
      <c r="DC70" s="748">
        <f>INPUT!FP575</f>
        <v>0</v>
      </c>
      <c r="DD70" s="746" t="str">
        <f>INPUT!FQ575</f>
        <v>NA</v>
      </c>
      <c r="DE70" s="748">
        <f>INPUT!FR575</f>
        <v>8.5834772214105506</v>
      </c>
      <c r="DF70" s="746" t="str">
        <f>INPUT!FS575</f>
        <v>NA</v>
      </c>
      <c r="DG70" s="748">
        <f>INPUT!FT575</f>
        <v>7.6292042657916186</v>
      </c>
      <c r="DH70" s="746">
        <f>INPUT!FU575</f>
        <v>-11.117556801322914</v>
      </c>
      <c r="DI70" s="748">
        <f>INPUT!FV575</f>
        <v>9.3957968476357312</v>
      </c>
      <c r="DJ70" s="746">
        <f>INPUT!FW575</f>
        <v>23.155659755569658</v>
      </c>
      <c r="DK70" s="748">
        <f>INPUT!FX575</f>
        <v>13.164801195008341</v>
      </c>
      <c r="DL70" s="746">
        <f>INPUT!FY575</f>
        <v>40.113727536808177</v>
      </c>
      <c r="DM70" s="748">
        <f>INPUT!FZ575</f>
        <v>8.6289133639753821</v>
      </c>
      <c r="DN70" s="746">
        <f>INPUT!GA575</f>
        <v>-34.45466257973434</v>
      </c>
      <c r="DO70" s="748">
        <f>INPUT!GB575</f>
        <v>7.6312839527464051</v>
      </c>
      <c r="DP70" s="746">
        <f>INPUT!GC575</f>
        <v>-11.56147210138826</v>
      </c>
      <c r="DQ70" s="748">
        <f>INPUT!GD575</f>
        <v>5.6650246305418719</v>
      </c>
      <c r="DR70" s="746">
        <f>INPUT!GE575</f>
        <v>-25.76577328769034</v>
      </c>
      <c r="DS70" s="748">
        <f>INPUT!GF575</f>
        <v>4.447801655185307</v>
      </c>
      <c r="DT70" s="746">
        <f>INPUT!GG575</f>
        <v>-21.486631651946318</v>
      </c>
      <c r="DU70" s="748">
        <f>INPUT!GH575</f>
        <v>1.4944769330734242</v>
      </c>
      <c r="DV70" s="746" t="str">
        <f>INPUT!GI575</f>
        <v>NM</v>
      </c>
      <c r="DW70" s="748">
        <f>INPUT!GJ575</f>
        <v>2.8022157054415122</v>
      </c>
      <c r="DX70" s="746">
        <f>INPUT!GK575</f>
        <v>87.504781333673364</v>
      </c>
      <c r="DY70" s="748">
        <f>INPUT!GL575</f>
        <v>3.8008116987695675</v>
      </c>
      <c r="DZ70" s="746">
        <f>INPUT!GM575</f>
        <v>35.635943064230261</v>
      </c>
      <c r="EA70" s="748">
        <f>INPUT!GN575</f>
        <v>5.9154096421177167</v>
      </c>
      <c r="EB70" s="746">
        <f>INPUT!GO575</f>
        <v>55.635430295920884</v>
      </c>
      <c r="EC70" s="748">
        <f>INPUT!GP575</f>
        <v>7.2301061067037553</v>
      </c>
      <c r="ED70" s="746">
        <f>INPUT!GQ575</f>
        <v>22.224943733826976</v>
      </c>
      <c r="EE70" s="748">
        <f>INPUT!GR575</f>
        <v>9.1115334874916307</v>
      </c>
      <c r="EF70" s="746">
        <f>INPUT!GS575</f>
        <v>26.022126826650794</v>
      </c>
      <c r="EG70" s="748">
        <f>INPUT!GT575</f>
        <v>9.5857724634290271</v>
      </c>
      <c r="EH70" s="746">
        <f>INPUT!GU575</f>
        <v>5.2048206439501588</v>
      </c>
      <c r="EI70" s="748">
        <f>INPUT!GV575</f>
        <v>9.1839350629332923</v>
      </c>
      <c r="EJ70" s="746">
        <f>INPUT!GW575</f>
        <v>-4.1920189742537417</v>
      </c>
      <c r="EK70" s="748">
        <f>INPUT!GX575</f>
        <v>8.7781828920415226</v>
      </c>
      <c r="EL70" s="746">
        <f>INPUT!GY575</f>
        <v>-4.4180644583322497</v>
      </c>
      <c r="EM70" s="750">
        <f>INPUT!GZ575</f>
        <v>8.2141269596055277</v>
      </c>
    </row>
    <row r="71" spans="1:143" s="321" customFormat="1" ht="12.75" hidden="1" customHeight="1" outlineLevel="1" x14ac:dyDescent="0.2">
      <c r="A71" s="747" t="str">
        <f>INPUT!B576</f>
        <v>Executive Benefits and Other</v>
      </c>
      <c r="B71" s="748">
        <f>INPUT!AY576</f>
        <v>3.0369290573372241</v>
      </c>
      <c r="C71" s="746">
        <f>INPUT!AZ576</f>
        <v>91.917351356127128</v>
      </c>
      <c r="D71" s="748">
        <f>INPUT!BA576</f>
        <v>5.4676356720776988</v>
      </c>
      <c r="E71" s="733" t="str">
        <f>INPUT!BB576</f>
        <v>NM</v>
      </c>
      <c r="F71" s="748">
        <f>INPUT!BC576</f>
        <v>3.9172481331864386</v>
      </c>
      <c r="G71" s="733" t="str">
        <f>INPUT!BD576</f>
        <v>NM</v>
      </c>
      <c r="H71" s="748">
        <f>INPUT!BE576</f>
        <v>3.7745943054152011</v>
      </c>
      <c r="I71" s="733">
        <f>INPUT!BF576</f>
        <v>2.0074177895549772</v>
      </c>
      <c r="J71" s="748">
        <f>INPUT!BG576</f>
        <v>3.5450061652281111</v>
      </c>
      <c r="K71" s="733">
        <f>INPUT!BH576</f>
        <v>16.729963008631099</v>
      </c>
      <c r="L71" s="748">
        <f>INPUT!BI576</f>
        <v>3.2337542346781594</v>
      </c>
      <c r="M71" s="733">
        <f>INPUT!BJ576</f>
        <v>-40.85644273643905</v>
      </c>
      <c r="N71" s="748">
        <f>INPUT!BK576</f>
        <v>0</v>
      </c>
      <c r="O71" s="733" t="str">
        <f>INPUT!BL576</f>
        <v>NM</v>
      </c>
      <c r="P71" s="748">
        <f>INPUT!BM576</f>
        <v>0</v>
      </c>
      <c r="Q71" s="733" t="str">
        <f>INPUT!BN576</f>
        <v>NM</v>
      </c>
      <c r="R71" s="748">
        <f>INPUT!BO576</f>
        <v>0</v>
      </c>
      <c r="S71" s="733" t="str">
        <f>INPUT!BP576</f>
        <v>NM</v>
      </c>
      <c r="T71" s="748">
        <f>INPUT!BQ576</f>
        <v>0</v>
      </c>
      <c r="U71" s="733" t="str">
        <f>INPUT!BR576</f>
        <v>NM</v>
      </c>
      <c r="V71" s="748">
        <f>INPUT!BS576</f>
        <v>0</v>
      </c>
      <c r="W71" s="733" t="str">
        <f>INPUT!BT576</f>
        <v>NA</v>
      </c>
      <c r="X71" s="748">
        <f>INPUT!BU576</f>
        <v>0</v>
      </c>
      <c r="Y71" s="733" t="str">
        <f>INPUT!BV576</f>
        <v>NA</v>
      </c>
      <c r="Z71" s="748">
        <f>INPUT!BW576</f>
        <v>0</v>
      </c>
      <c r="AA71" s="749" t="str">
        <f>INPUT!BX576</f>
        <v>NA</v>
      </c>
      <c r="AB71" s="748">
        <f>INPUT!BY576</f>
        <v>0</v>
      </c>
      <c r="AC71" s="733" t="str">
        <f>INPUT!BZ576</f>
        <v>NA</v>
      </c>
      <c r="AD71" s="748">
        <f>INPUT!CA576</f>
        <v>0</v>
      </c>
      <c r="AE71" s="733" t="str">
        <f>INPUT!CB576</f>
        <v>NA</v>
      </c>
      <c r="AF71" s="748">
        <f>INPUT!CC576</f>
        <v>0</v>
      </c>
      <c r="AG71" s="733" t="str">
        <f>INPUT!CD576</f>
        <v>NA</v>
      </c>
      <c r="AH71" s="748">
        <f>INPUT!CE576</f>
        <v>0</v>
      </c>
      <c r="AI71" s="746" t="str">
        <f>INPUT!CF576</f>
        <v>NA</v>
      </c>
      <c r="AJ71" s="748">
        <f>INPUT!CG576</f>
        <v>0</v>
      </c>
      <c r="AK71" s="746" t="str">
        <f>INPUT!CH576</f>
        <v>NA</v>
      </c>
      <c r="AL71" s="748">
        <f>INPUT!CI576</f>
        <v>0</v>
      </c>
      <c r="AM71" s="746" t="str">
        <f>INPUT!CJ576</f>
        <v>NA</v>
      </c>
      <c r="AN71" s="748">
        <f>INPUT!CK576</f>
        <v>0</v>
      </c>
      <c r="AO71" s="746" t="str">
        <f>INPUT!CL576</f>
        <v>NA</v>
      </c>
      <c r="AP71" s="748">
        <f>INPUT!CM576</f>
        <v>0</v>
      </c>
      <c r="AQ71" s="746" t="str">
        <f>INPUT!CN576</f>
        <v>NA</v>
      </c>
      <c r="AR71" s="748">
        <f>INPUT!CO576</f>
        <v>0</v>
      </c>
      <c r="AS71" s="746" t="str">
        <f>INPUT!CP576</f>
        <v>NA</v>
      </c>
      <c r="AT71" s="748">
        <f>INPUT!CQ576</f>
        <v>0</v>
      </c>
      <c r="AU71" s="746" t="str">
        <f>INPUT!CR576</f>
        <v>NA</v>
      </c>
      <c r="AV71" s="748">
        <f>INPUT!CS576</f>
        <v>0</v>
      </c>
      <c r="AW71" s="746" t="str">
        <f>INPUT!CT576</f>
        <v>NA</v>
      </c>
      <c r="AX71" s="748">
        <f>INPUT!CU576</f>
        <v>0</v>
      </c>
      <c r="AY71" s="746" t="str">
        <f>INPUT!CV576</f>
        <v>NA</v>
      </c>
      <c r="AZ71" s="748">
        <f>INPUT!CW576</f>
        <v>0</v>
      </c>
      <c r="BA71" s="746" t="str">
        <f>INPUT!CX576</f>
        <v>NA</v>
      </c>
      <c r="BB71" s="748">
        <f>INPUT!CY576</f>
        <v>0</v>
      </c>
      <c r="BC71" s="746" t="str">
        <f>INPUT!CZ576</f>
        <v>NA</v>
      </c>
      <c r="BD71" s="748">
        <f>INPUT!DA576</f>
        <v>0</v>
      </c>
      <c r="BE71" s="746" t="str">
        <f>INPUT!DB576</f>
        <v>NA</v>
      </c>
      <c r="BF71" s="748">
        <f>INPUT!DC576</f>
        <v>0</v>
      </c>
      <c r="BG71" s="746" t="str">
        <f>INPUT!DD576</f>
        <v>NA</v>
      </c>
      <c r="BH71" s="748">
        <f>INPUT!DE576</f>
        <v>0</v>
      </c>
      <c r="BI71" s="746" t="str">
        <f>INPUT!DF576</f>
        <v>NA</v>
      </c>
      <c r="BJ71" s="748">
        <f>INPUT!DG576</f>
        <v>0</v>
      </c>
      <c r="BK71" s="746" t="str">
        <f>INPUT!DH576</f>
        <v>NA</v>
      </c>
      <c r="BL71" s="748">
        <f>INPUT!DI576</f>
        <v>0</v>
      </c>
      <c r="BM71" s="746" t="str">
        <f>INPUT!DJ576</f>
        <v>NA</v>
      </c>
      <c r="BN71" s="748">
        <f>INPUT!DK576</f>
        <v>0</v>
      </c>
      <c r="BO71" s="746" t="str">
        <f>INPUT!DL576</f>
        <v>NA</v>
      </c>
      <c r="BP71" s="748">
        <f>INPUT!DM576</f>
        <v>0</v>
      </c>
      <c r="BQ71" s="746" t="str">
        <f>INPUT!DN576</f>
        <v>NA</v>
      </c>
      <c r="BR71" s="748">
        <f>INPUT!DO576</f>
        <v>0</v>
      </c>
      <c r="BS71" s="746" t="str">
        <f>INPUT!DP576</f>
        <v>NA</v>
      </c>
      <c r="BT71" s="748">
        <f>INPUT!DQ576</f>
        <v>0</v>
      </c>
      <c r="BU71" s="746" t="str">
        <f>INPUT!DR576</f>
        <v>NA</v>
      </c>
      <c r="BV71" s="748">
        <f>INPUT!DS576</f>
        <v>0</v>
      </c>
      <c r="BW71" s="746" t="str">
        <f>INPUT!DT576</f>
        <v>NA</v>
      </c>
      <c r="BX71" s="748">
        <f>INPUT!DU576</f>
        <v>0</v>
      </c>
      <c r="BY71" s="746" t="str">
        <f>INPUT!DV576</f>
        <v>NA</v>
      </c>
      <c r="BZ71" s="748">
        <f>INPUT!DW576</f>
        <v>0</v>
      </c>
      <c r="CA71" s="746">
        <f>INPUT!DX576</f>
        <v>0</v>
      </c>
      <c r="CB71" s="748">
        <f>INPUT!DY576</f>
        <v>0</v>
      </c>
      <c r="CC71" s="746" t="str">
        <f>INPUT!DZ576</f>
        <v>NA</v>
      </c>
      <c r="CD71" s="748">
        <f>INPUT!EA576</f>
        <v>0</v>
      </c>
      <c r="CE71" s="746" t="str">
        <f>INPUT!EB576</f>
        <v>NA</v>
      </c>
      <c r="CF71" s="748">
        <f>INPUT!EC576</f>
        <v>0</v>
      </c>
      <c r="CG71" s="746" t="str">
        <f>INPUT!ED576</f>
        <v>NA</v>
      </c>
      <c r="CH71" s="748">
        <f>INPUT!EE576</f>
        <v>0</v>
      </c>
      <c r="CI71" s="746" t="str">
        <f>INPUT!EF576</f>
        <v>NA</v>
      </c>
      <c r="CJ71" s="748">
        <f>INPUT!EG576</f>
        <v>0</v>
      </c>
      <c r="CK71" s="746" t="str">
        <f>INPUT!EH576</f>
        <v>NA</v>
      </c>
      <c r="CL71" s="748">
        <f>INPUT!EI576</f>
        <v>0</v>
      </c>
      <c r="CM71" s="746" t="str">
        <f>INPUT!EJ576</f>
        <v>NA</v>
      </c>
      <c r="CN71" s="748">
        <f>INPUT!EK576</f>
        <v>0</v>
      </c>
      <c r="CO71" s="746" t="str">
        <f>INPUT!EL576</f>
        <v>NA</v>
      </c>
      <c r="CP71" s="748">
        <f>INPUT!EM576</f>
        <v>0</v>
      </c>
      <c r="CQ71" s="746" t="str">
        <f>INPUT!EN576</f>
        <v>NA</v>
      </c>
      <c r="CR71" s="748">
        <f>INPUT!EO576</f>
        <v>0</v>
      </c>
      <c r="CS71" s="746" t="str">
        <f>INPUT!EP576</f>
        <v>NA</v>
      </c>
      <c r="CT71" s="748">
        <f>INPUT!EQ576</f>
        <v>0</v>
      </c>
      <c r="CU71" s="746" t="str">
        <f>INPUT!ER576</f>
        <v>NA</v>
      </c>
      <c r="CV71" s="748">
        <f>INPUT!ES576</f>
        <v>0</v>
      </c>
      <c r="CW71" s="746" t="str">
        <f>INPUT!ET576</f>
        <v>NA</v>
      </c>
      <c r="CX71" s="748">
        <f>INPUT!EU576</f>
        <v>0</v>
      </c>
      <c r="CY71" s="746" t="str">
        <f>INPUT!EV576</f>
        <v>NA</v>
      </c>
      <c r="CZ71" s="748">
        <f>INPUT!EW576</f>
        <v>0</v>
      </c>
      <c r="DA71" s="746" t="str">
        <f>INPUT!EX576</f>
        <v>NA</v>
      </c>
      <c r="DB71" s="746"/>
      <c r="DC71" s="748">
        <f>INPUT!FP576</f>
        <v>2.241879223642973</v>
      </c>
      <c r="DD71" s="746" t="str">
        <f>INPUT!FQ576</f>
        <v>NA</v>
      </c>
      <c r="DE71" s="748">
        <f>INPUT!FR576</f>
        <v>4.0759064948864392</v>
      </c>
      <c r="DF71" s="746">
        <f>INPUT!FS576</f>
        <v>81.807585881599735</v>
      </c>
      <c r="DG71" s="748">
        <f>INPUT!FT576</f>
        <v>1.6406890894175536</v>
      </c>
      <c r="DH71" s="746" t="str">
        <f>INPUT!FU576</f>
        <v>NM</v>
      </c>
      <c r="DI71" s="748">
        <f>INPUT!FV576</f>
        <v>0</v>
      </c>
      <c r="DJ71" s="746" t="str">
        <f>INPUT!FW576</f>
        <v>NM</v>
      </c>
      <c r="DK71" s="748">
        <f>INPUT!FX576</f>
        <v>0</v>
      </c>
      <c r="DL71" s="746" t="str">
        <f>INPUT!FY576</f>
        <v>NA</v>
      </c>
      <c r="DM71" s="748">
        <f>INPUT!FZ576</f>
        <v>0</v>
      </c>
      <c r="DN71" s="746" t="str">
        <f>INPUT!GA576</f>
        <v>NA</v>
      </c>
      <c r="DO71" s="748">
        <f>INPUT!GB576</f>
        <v>0</v>
      </c>
      <c r="DP71" s="746" t="str">
        <f>INPUT!GC576</f>
        <v>NA</v>
      </c>
      <c r="DQ71" s="748">
        <f>INPUT!GD576</f>
        <v>0</v>
      </c>
      <c r="DR71" s="746" t="str">
        <f>INPUT!GE576</f>
        <v>NA</v>
      </c>
      <c r="DS71" s="748">
        <f>INPUT!GF576</f>
        <v>0</v>
      </c>
      <c r="DT71" s="746" t="str">
        <f>INPUT!GG576</f>
        <v>NA</v>
      </c>
      <c r="DU71" s="748">
        <f>INPUT!GH576</f>
        <v>0</v>
      </c>
      <c r="DV71" s="746" t="str">
        <f>INPUT!GI576</f>
        <v>NA</v>
      </c>
      <c r="DW71" s="748">
        <f>INPUT!GJ576</f>
        <v>0</v>
      </c>
      <c r="DX71" s="746" t="str">
        <f>INPUT!GK576</f>
        <v>NA</v>
      </c>
      <c r="DY71" s="748">
        <f>INPUT!GL576</f>
        <v>0</v>
      </c>
      <c r="DZ71" s="746" t="str">
        <f>INPUT!GM576</f>
        <v>NA</v>
      </c>
      <c r="EA71" s="748">
        <f>INPUT!GN576</f>
        <v>0</v>
      </c>
      <c r="EB71" s="746" t="str">
        <f>INPUT!GO576</f>
        <v>NA</v>
      </c>
      <c r="EC71" s="748">
        <f>INPUT!GP576</f>
        <v>0</v>
      </c>
      <c r="ED71" s="746" t="str">
        <f>INPUT!GQ576</f>
        <v>NA</v>
      </c>
      <c r="EE71" s="748">
        <f>INPUT!GR576</f>
        <v>0</v>
      </c>
      <c r="EF71" s="746" t="str">
        <f>INPUT!GS576</f>
        <v>NA</v>
      </c>
      <c r="EG71" s="748">
        <f>INPUT!GT576</f>
        <v>0</v>
      </c>
      <c r="EH71" s="746" t="str">
        <f>INPUT!GU576</f>
        <v>NA</v>
      </c>
      <c r="EI71" s="748">
        <f>INPUT!GV576</f>
        <v>0</v>
      </c>
      <c r="EJ71" s="746" t="str">
        <f>INPUT!GW576</f>
        <v>NA</v>
      </c>
      <c r="EK71" s="748">
        <f>INPUT!GX576</f>
        <v>0</v>
      </c>
      <c r="EL71" s="746" t="str">
        <f>INPUT!GY576</f>
        <v>NA</v>
      </c>
      <c r="EM71" s="750" t="str">
        <f>INPUT!GZ576</f>
        <v/>
      </c>
    </row>
    <row r="72" spans="1:143" s="321" customFormat="1" ht="12.75" hidden="1" customHeight="1" outlineLevel="1" x14ac:dyDescent="0.2">
      <c r="A72" s="731" t="str">
        <f>INPUT!B577</f>
        <v>Total Insurance Solutions</v>
      </c>
      <c r="B72" s="748">
        <f>INPUT!AY577</f>
        <v>42.921930677032726</v>
      </c>
      <c r="C72" s="746">
        <f>INPUT!AZ577</f>
        <v>85.592765940886181</v>
      </c>
      <c r="D72" s="748">
        <f>INPUT!BA577</f>
        <v>63.200434694016167</v>
      </c>
      <c r="E72" s="733">
        <f>INPUT!BB577</f>
        <v>60.0003002880485</v>
      </c>
      <c r="F72" s="748">
        <f>INPUT!BC577</f>
        <v>53.984575835475567</v>
      </c>
      <c r="G72" s="733">
        <f>INPUT!BD577</f>
        <v>44.915768683808089</v>
      </c>
      <c r="H72" s="748">
        <f>INPUT!BE577</f>
        <v>54.746478036022111</v>
      </c>
      <c r="I72" s="733">
        <f>INPUT!BF577</f>
        <v>54.306758510180941</v>
      </c>
      <c r="J72" s="748">
        <f>INPUT!BG577</f>
        <v>58.600493218249106</v>
      </c>
      <c r="K72" s="733">
        <f>INPUT!BH577</f>
        <v>47.758871885923625</v>
      </c>
      <c r="L72" s="748">
        <f>INPUT!BI577</f>
        <v>61.564521096396668</v>
      </c>
      <c r="M72" s="733">
        <f>INPUT!BJ577</f>
        <v>-38.657555888563216</v>
      </c>
      <c r="N72" s="748">
        <f>INPUT!BK577</f>
        <v>56.963912913808535</v>
      </c>
      <c r="O72" s="733">
        <f>INPUT!BL577</f>
        <v>18.762896487095659</v>
      </c>
      <c r="P72" s="748">
        <f>INPUT!BM577</f>
        <v>56.044880785413717</v>
      </c>
      <c r="Q72" s="733">
        <f>INPUT!BN577</f>
        <v>10.149080726853843</v>
      </c>
      <c r="R72" s="748">
        <f>INPUT!BO577</f>
        <v>63.218390804597703</v>
      </c>
      <c r="S72" s="733">
        <f>INPUT!BP577</f>
        <v>34.824194953569453</v>
      </c>
      <c r="T72" s="748">
        <f>INPUT!BQ577</f>
        <v>63.44782890473104</v>
      </c>
      <c r="U72" s="733">
        <f>INPUT!BR577</f>
        <v>24.779377471971564</v>
      </c>
      <c r="V72" s="748">
        <f>INPUT!BS577</f>
        <v>61.873015873015873</v>
      </c>
      <c r="W72" s="733">
        <f>INPUT!BT577</f>
        <v>23.631264586431325</v>
      </c>
      <c r="X72" s="748">
        <f>INPUT!BU577</f>
        <v>72.417017297802744</v>
      </c>
      <c r="Y72" s="733">
        <f>INPUT!BV577</f>
        <v>68.968526700485583</v>
      </c>
      <c r="Z72" s="748">
        <f>INPUT!BW577</f>
        <v>85.882352941176492</v>
      </c>
      <c r="AA72" s="749">
        <f>INPUT!BX577</f>
        <v>35.850267379679181</v>
      </c>
      <c r="AB72" s="748">
        <f>INPUT!BY577</f>
        <v>80.318379160636738</v>
      </c>
      <c r="AC72" s="733">
        <f>INPUT!BZ577</f>
        <v>26.589641516713481</v>
      </c>
      <c r="AD72" s="748">
        <f>INPUT!CA577</f>
        <v>67.687660127719766</v>
      </c>
      <c r="AE72" s="733">
        <f>INPUT!CB577</f>
        <v>9.3977062095009103</v>
      </c>
      <c r="AF72" s="748">
        <f>INPUT!CC577</f>
        <v>63.630296963630322</v>
      </c>
      <c r="AG72" s="733">
        <f>INPUT!CD577</f>
        <v>-12.133502127046359</v>
      </c>
      <c r="AH72" s="748">
        <f>INPUT!CE577</f>
        <v>64.336158192090409</v>
      </c>
      <c r="AI72" s="746">
        <f>INPUT!CF577</f>
        <v>-25.088034981812555</v>
      </c>
      <c r="AJ72" s="748">
        <f>INPUT!CG577</f>
        <v>65.153078775369806</v>
      </c>
      <c r="AK72" s="746">
        <f>INPUT!CH577</f>
        <v>-18.88148210129631</v>
      </c>
      <c r="AL72" s="748">
        <f>INPUT!CI577</f>
        <v>58.380681818181827</v>
      </c>
      <c r="AM72" s="746">
        <f>INPUT!CJ577</f>
        <v>-13.749889258952985</v>
      </c>
      <c r="AN72" s="748">
        <f>INPUT!CK577</f>
        <v>58.299731182795696</v>
      </c>
      <c r="AO72" s="746">
        <f>INPUT!CL577</f>
        <v>-8.3774020163405183</v>
      </c>
      <c r="AP72" s="748">
        <f>INPUT!CM577</f>
        <v>53.316418992388542</v>
      </c>
      <c r="AQ72" s="746">
        <f>INPUT!CN577</f>
        <v>-17.128376187461956</v>
      </c>
      <c r="AR72" s="748">
        <f>INPUT!CO577</f>
        <v>54.314197318666217</v>
      </c>
      <c r="AS72" s="746">
        <f>INPUT!CP577</f>
        <v>-16.636023439618441</v>
      </c>
      <c r="AT72" s="748">
        <f>INPUT!CQ577</f>
        <v>61.233620965164562</v>
      </c>
      <c r="AU72" s="746">
        <f>INPUT!CR577</f>
        <v>4.8867862760969549</v>
      </c>
      <c r="AV72" s="748">
        <f>INPUT!CS577</f>
        <v>53.928571428571431</v>
      </c>
      <c r="AW72" s="746">
        <f>INPUT!CT577</f>
        <v>-7.4977356937011024</v>
      </c>
      <c r="AX72" s="748">
        <f>INPUT!CU577</f>
        <v>52.901023890784984</v>
      </c>
      <c r="AY72" s="746">
        <f>INPUT!CV577</f>
        <v>-0.77911290640667596</v>
      </c>
      <c r="AZ72" s="748">
        <f>INPUT!CW577</f>
        <v>51.864406779661017</v>
      </c>
      <c r="BA72" s="746">
        <f>INPUT!CX577</f>
        <v>-4.5104054923836179</v>
      </c>
      <c r="BB72" s="748">
        <f>INPUT!CY577</f>
        <v>46.036585365853654</v>
      </c>
      <c r="BC72" s="746">
        <f>INPUT!CZ577</f>
        <v>-24.818123376953992</v>
      </c>
      <c r="BD72" s="748">
        <f>INPUT!DA577</f>
        <v>50</v>
      </c>
      <c r="BE72" s="746">
        <f>INPUT!DB577</f>
        <v>-7.2847682119205341</v>
      </c>
      <c r="BF72" s="748">
        <f>INPUT!DC577</f>
        <v>44.723247726952948</v>
      </c>
      <c r="BG72" s="746">
        <f>INPUT!DD577</f>
        <v>-15.458634941953465</v>
      </c>
      <c r="BH72" s="748">
        <f>INPUT!DE577</f>
        <v>45.783132530120483</v>
      </c>
      <c r="BI72" s="746">
        <f>INPUT!DF577</f>
        <v>-11.725332703362469</v>
      </c>
      <c r="BJ72" s="748">
        <f>INPUT!DG577</f>
        <v>42.772861356932154</v>
      </c>
      <c r="BK72" s="746">
        <f>INPUT!DH577</f>
        <v>-7.0894137412334519</v>
      </c>
      <c r="BL72" s="748">
        <f>INPUT!DI577</f>
        <v>41.736694677871142</v>
      </c>
      <c r="BM72" s="746">
        <f>INPUT!DJ577</f>
        <v>-16.526610644257712</v>
      </c>
      <c r="BN72" s="748">
        <f>INPUT!DK577</f>
        <v>38.46153846153846</v>
      </c>
      <c r="BO72" s="746">
        <f>INPUT!DL577</f>
        <v>-14.001016437007996</v>
      </c>
      <c r="BP72" s="748">
        <f>INPUT!DM577</f>
        <v>37.760416666666664</v>
      </c>
      <c r="BQ72" s="746">
        <f>INPUT!DN577</f>
        <v>-17.5233004385965</v>
      </c>
      <c r="BR72" s="748">
        <f>INPUT!DO577</f>
        <v>39.10891089108911</v>
      </c>
      <c r="BS72" s="746">
        <f>INPUT!DP577</f>
        <v>-8.5660635029020114</v>
      </c>
      <c r="BT72" s="748">
        <f>INPUT!DQ577</f>
        <v>34.625322997416021</v>
      </c>
      <c r="BU72" s="746">
        <f>INPUT!DR577</f>
        <v>-17.038655637063616</v>
      </c>
      <c r="BV72" s="748">
        <f>INPUT!DS577</f>
        <v>29.829545454545457</v>
      </c>
      <c r="BW72" s="746">
        <f>INPUT!DT577</f>
        <v>-22.443181818181813</v>
      </c>
      <c r="BX72" s="748">
        <f>INPUT!DU577</f>
        <v>32.717678100263853</v>
      </c>
      <c r="BY72" s="746">
        <f>INPUT!DV577</f>
        <v>-13.354562824128823</v>
      </c>
      <c r="BZ72" s="748">
        <f>INPUT!DW577</f>
        <v>40.332147093712933</v>
      </c>
      <c r="CA72" s="746">
        <f>INPUT!DX577</f>
        <v>40.332147093712933</v>
      </c>
      <c r="CB72" s="748">
        <f>INPUT!DY577</f>
        <v>34.554973821989535</v>
      </c>
      <c r="CC72" s="746">
        <f>INPUT!DZ577</f>
        <v>-0.20317261858245894</v>
      </c>
      <c r="CD72" s="748">
        <f>INPUT!EA577</f>
        <v>35.082872928176798</v>
      </c>
      <c r="CE72" s="746">
        <f>INPUT!EB577</f>
        <v>17.611154959221253</v>
      </c>
      <c r="CF72" s="748">
        <f>INPUT!EC577</f>
        <v>36.193029490616624</v>
      </c>
      <c r="CG72" s="746">
        <f>INPUT!ED577</f>
        <v>10.62224336244919</v>
      </c>
      <c r="CH72" s="748">
        <f>INPUT!EE577</f>
        <v>39.309331373989714</v>
      </c>
      <c r="CI72" s="746">
        <f>INPUT!EF577</f>
        <v>-2.5359813286078614</v>
      </c>
      <c r="CJ72" s="748">
        <f>INPUT!EG577</f>
        <v>41.56479217603912</v>
      </c>
      <c r="CK72" s="746">
        <f>INPUT!EH577</f>
        <v>20.285989479143485</v>
      </c>
      <c r="CL72" s="748">
        <f>INPUT!EI577</f>
        <v>34.170854271356781</v>
      </c>
      <c r="CM72" s="746">
        <f>INPUT!EJ577</f>
        <v>-2.5996122344003614</v>
      </c>
      <c r="CN72" s="748">
        <f>INPUT!EK577</f>
        <v>40.095465393794747</v>
      </c>
      <c r="CO72" s="746">
        <f>INPUT!EL577</f>
        <v>10.782285865818064</v>
      </c>
      <c r="CP72" s="748">
        <f>INPUT!EM577</f>
        <v>40.369088811995383</v>
      </c>
      <c r="CQ72" s="746">
        <f>INPUT!EN577</f>
        <v>2.6959436880854559</v>
      </c>
      <c r="CR72" s="748">
        <f>INPUT!EO577</f>
        <v>39.090909090909093</v>
      </c>
      <c r="CS72" s="746">
        <f>INPUT!EP577</f>
        <v>-5.9518716577540047</v>
      </c>
      <c r="CT72" s="748">
        <f>INPUT!EQ577</f>
        <v>37.27722505873794</v>
      </c>
      <c r="CU72" s="746">
        <f>INPUT!ER577</f>
        <v>9.0907027454242737</v>
      </c>
      <c r="CV72" s="748">
        <f>INPUT!ES577</f>
        <v>41.108643984978436</v>
      </c>
      <c r="CW72" s="746">
        <f>INPUT!ET577</f>
        <v>2.5269156530117076</v>
      </c>
      <c r="CX72" s="748">
        <f>INPUT!EU577</f>
        <v>42.476489114489283</v>
      </c>
      <c r="CY72" s="746">
        <f>INPUT!EV577</f>
        <v>5.2203316064634686</v>
      </c>
      <c r="CZ72" s="748">
        <f>INPUT!EW577</f>
        <v>43.063831712068037</v>
      </c>
      <c r="DA72" s="746">
        <f>INPUT!EX577</f>
        <v>10.16329042622055</v>
      </c>
      <c r="DB72" s="746"/>
      <c r="DC72" s="748">
        <f>INPUT!FP577</f>
        <v>31.846181792261717</v>
      </c>
      <c r="DD72" s="746">
        <f>INPUT!FQ577</f>
        <v>0</v>
      </c>
      <c r="DE72" s="748">
        <f>INPUT!FR577</f>
        <v>54.182162305751092</v>
      </c>
      <c r="DF72" s="746">
        <f>INPUT!FS577</f>
        <v>70.137075330383183</v>
      </c>
      <c r="DG72" s="748">
        <f>INPUT!FT577</f>
        <v>58.229547318964883</v>
      </c>
      <c r="DH72" s="746">
        <f>INPUT!FU577</f>
        <v>7.4699584530685703</v>
      </c>
      <c r="DI72" s="748">
        <f>INPUT!FV577</f>
        <v>64.632224168126072</v>
      </c>
      <c r="DJ72" s="746">
        <f>INPUT!FW577</f>
        <v>10.995580669877359</v>
      </c>
      <c r="DK72" s="748">
        <f>INPUT!FX577</f>
        <v>72.832232030788035</v>
      </c>
      <c r="DL72" s="746">
        <f>INPUT!FY577</f>
        <v>12.687181925430103</v>
      </c>
      <c r="DM72" s="748">
        <f>INPUT!FZ577</f>
        <v>61.529789263723814</v>
      </c>
      <c r="DN72" s="746">
        <f>INPUT!GA577</f>
        <v>-15.518462707948299</v>
      </c>
      <c r="DO72" s="748">
        <f>INPUT!GB577</f>
        <v>55.85065103043889</v>
      </c>
      <c r="DP72" s="746">
        <f>INPUT!GC577</f>
        <v>-9.2299003478518049</v>
      </c>
      <c r="DQ72" s="748">
        <f>INPUT!GD577</f>
        <v>50.082101806239741</v>
      </c>
      <c r="DR72" s="746">
        <f>INPUT!GE577</f>
        <v>-10.328526378421731</v>
      </c>
      <c r="DS72" s="748">
        <f>INPUT!GF577</f>
        <v>43.686307857230098</v>
      </c>
      <c r="DT72" s="746">
        <f>INPUT!GG577</f>
        <v>-12.770618081793028</v>
      </c>
      <c r="DU72" s="748">
        <f>INPUT!GH577</f>
        <v>37.491877842755031</v>
      </c>
      <c r="DV72" s="746">
        <f>INPUT!GI577</f>
        <v>-14.179339748094289</v>
      </c>
      <c r="DW72" s="748">
        <f>INPUT!GJ577</f>
        <v>34.604105571847512</v>
      </c>
      <c r="DX72" s="746">
        <f>INPUT!GK577</f>
        <v>-7.7023943239630359</v>
      </c>
      <c r="DY72" s="748">
        <f>INPUT!GL577</f>
        <v>38.169168330863876</v>
      </c>
      <c r="DZ72" s="746">
        <f>INPUT!GM577</f>
        <v>10.302427125632029</v>
      </c>
      <c r="EA72" s="748">
        <f>INPUT!GN577</f>
        <v>38.509316770186331</v>
      </c>
      <c r="EB72" s="746">
        <f>INPUT!GO577</f>
        <v>0.89116020651518468</v>
      </c>
      <c r="EC72" s="748">
        <f>INPUT!GP577</f>
        <v>41.086916067917223</v>
      </c>
      <c r="ED72" s="746">
        <f>INPUT!GQ577</f>
        <v>6.6934433376560243</v>
      </c>
      <c r="EE72" s="748">
        <f>INPUT!GR577</f>
        <v>41.100793938216938</v>
      </c>
      <c r="EF72" s="746">
        <f>INPUT!GS577</f>
        <v>3.377686044085948E-2</v>
      </c>
      <c r="EG72" s="748">
        <f>INPUT!GT577</f>
        <v>39.555649057688299</v>
      </c>
      <c r="EH72" s="746">
        <f>INPUT!GU577</f>
        <v>-3.7594039736831175</v>
      </c>
      <c r="EI72" s="748">
        <f>INPUT!GV577</f>
        <v>38.660970220300051</v>
      </c>
      <c r="EJ72" s="746">
        <f>INPUT!GW577</f>
        <v>-2.261823174948896</v>
      </c>
      <c r="EK72" s="748">
        <f>INPUT!GX577</f>
        <v>37.69963981314384</v>
      </c>
      <c r="EL72" s="746">
        <f>INPUT!GY577</f>
        <v>-2.486565654401085</v>
      </c>
      <c r="EM72" s="750">
        <f>INPUT!GZ577</f>
        <v>-0.42409149479469832</v>
      </c>
    </row>
    <row r="73" spans="1:143" s="321" customFormat="1" ht="12.75" hidden="1" customHeight="1" outlineLevel="1" x14ac:dyDescent="0.2">
      <c r="A73" s="747" t="str">
        <f>INPUT!B578</f>
        <v>Investment Management</v>
      </c>
      <c r="B73" s="748">
        <f>INPUT!AY578</f>
        <v>0</v>
      </c>
      <c r="C73" s="746" t="str">
        <f>INPUT!AZ578</f>
        <v>NA</v>
      </c>
      <c r="D73" s="748">
        <f>INPUT!BA578</f>
        <v>0</v>
      </c>
      <c r="E73" s="733" t="str">
        <f>INPUT!BB578</f>
        <v>NA</v>
      </c>
      <c r="F73" s="748">
        <f>INPUT!BC578</f>
        <v>0</v>
      </c>
      <c r="G73" s="733" t="str">
        <f>INPUT!BD578</f>
        <v>NA</v>
      </c>
      <c r="H73" s="748">
        <f>INPUT!BE578</f>
        <v>0</v>
      </c>
      <c r="I73" s="733" t="str">
        <f>INPUT!BF578</f>
        <v>NA</v>
      </c>
      <c r="J73" s="748">
        <f>INPUT!BG578</f>
        <v>0</v>
      </c>
      <c r="K73" s="733" t="str">
        <f>INPUT!BH578</f>
        <v>NA</v>
      </c>
      <c r="L73" s="748">
        <f>INPUT!BI578</f>
        <v>0</v>
      </c>
      <c r="M73" s="733" t="str">
        <f>INPUT!BJ578</f>
        <v>NA</v>
      </c>
      <c r="N73" s="748">
        <f>INPUT!BK578</f>
        <v>0</v>
      </c>
      <c r="O73" s="733" t="str">
        <f>INPUT!BL578</f>
        <v>NA</v>
      </c>
      <c r="P73" s="748">
        <f>INPUT!BM578</f>
        <v>0</v>
      </c>
      <c r="Q73" s="733" t="str">
        <f>INPUT!BN578</f>
        <v>NA</v>
      </c>
      <c r="R73" s="748">
        <f>INPUT!BO578</f>
        <v>0</v>
      </c>
      <c r="S73" s="733" t="str">
        <f>INPUT!BP578</f>
        <v>NA</v>
      </c>
      <c r="T73" s="748">
        <f>INPUT!BQ578</f>
        <v>0</v>
      </c>
      <c r="U73" s="733" t="str">
        <f>INPUT!BR578</f>
        <v>NA</v>
      </c>
      <c r="V73" s="748">
        <f>INPUT!BS578</f>
        <v>0</v>
      </c>
      <c r="W73" s="733" t="str">
        <f>INPUT!BT578</f>
        <v>NA</v>
      </c>
      <c r="X73" s="748">
        <f>INPUT!BU578</f>
        <v>0</v>
      </c>
      <c r="Y73" s="733" t="str">
        <f>INPUT!BV578</f>
        <v>NA</v>
      </c>
      <c r="Z73" s="748">
        <f>INPUT!BW578</f>
        <v>0</v>
      </c>
      <c r="AA73" s="749" t="str">
        <f>INPUT!BX578</f>
        <v>NA</v>
      </c>
      <c r="AB73" s="748">
        <f>INPUT!BY578</f>
        <v>0</v>
      </c>
      <c r="AC73" s="733" t="str">
        <f>INPUT!BZ578</f>
        <v>NA</v>
      </c>
      <c r="AD73" s="748">
        <f>INPUT!CA578</f>
        <v>0</v>
      </c>
      <c r="AE73" s="733" t="str">
        <f>INPUT!CB578</f>
        <v>NA</v>
      </c>
      <c r="AF73" s="748">
        <f>INPUT!CC578</f>
        <v>0</v>
      </c>
      <c r="AG73" s="733" t="str">
        <f>INPUT!CD578</f>
        <v>NA</v>
      </c>
      <c r="AH73" s="748">
        <f>INPUT!CE578</f>
        <v>0</v>
      </c>
      <c r="AI73" s="746" t="str">
        <f>INPUT!CF578</f>
        <v>NA</v>
      </c>
      <c r="AJ73" s="748">
        <f>INPUT!CG578</f>
        <v>0</v>
      </c>
      <c r="AK73" s="746" t="str">
        <f>INPUT!CH578</f>
        <v>NA</v>
      </c>
      <c r="AL73" s="748">
        <f>INPUT!CI578</f>
        <v>0</v>
      </c>
      <c r="AM73" s="746" t="str">
        <f>INPUT!CJ578</f>
        <v>NA</v>
      </c>
      <c r="AN73" s="748">
        <f>INPUT!CK578</f>
        <v>0</v>
      </c>
      <c r="AO73" s="746" t="str">
        <f>INPUT!CL578</f>
        <v>NA</v>
      </c>
      <c r="AP73" s="748">
        <f>INPUT!CM578</f>
        <v>0</v>
      </c>
      <c r="AQ73" s="746" t="str">
        <f>INPUT!CN578</f>
        <v>NA</v>
      </c>
      <c r="AR73" s="748">
        <f>INPUT!CO578</f>
        <v>0</v>
      </c>
      <c r="AS73" s="746" t="str">
        <f>INPUT!CP578</f>
        <v>NA</v>
      </c>
      <c r="AT73" s="748">
        <f>INPUT!CQ578</f>
        <v>0</v>
      </c>
      <c r="AU73" s="746" t="str">
        <f>INPUT!CR578</f>
        <v>NA</v>
      </c>
      <c r="AV73" s="748">
        <f>INPUT!CS578</f>
        <v>0</v>
      </c>
      <c r="AW73" s="746" t="str">
        <f>INPUT!CT578</f>
        <v>NA</v>
      </c>
      <c r="AX73" s="748">
        <f>INPUT!CU578</f>
        <v>0</v>
      </c>
      <c r="AY73" s="746" t="str">
        <f>INPUT!CV578</f>
        <v>NA</v>
      </c>
      <c r="AZ73" s="748">
        <f>INPUT!CW578</f>
        <v>0</v>
      </c>
      <c r="BA73" s="746" t="str">
        <f>INPUT!CX578</f>
        <v>NA</v>
      </c>
      <c r="BB73" s="748">
        <f>INPUT!CY578</f>
        <v>0</v>
      </c>
      <c r="BC73" s="746" t="str">
        <f>INPUT!CZ578</f>
        <v>NA</v>
      </c>
      <c r="BD73" s="748">
        <f>INPUT!DA578</f>
        <v>0</v>
      </c>
      <c r="BE73" s="746" t="str">
        <f>INPUT!DB578</f>
        <v>NA</v>
      </c>
      <c r="BF73" s="748">
        <f>INPUT!DC578</f>
        <v>0</v>
      </c>
      <c r="BG73" s="746" t="str">
        <f>INPUT!DD578</f>
        <v>NA</v>
      </c>
      <c r="BH73" s="748">
        <f>INPUT!DE578</f>
        <v>0</v>
      </c>
      <c r="BI73" s="746" t="str">
        <f>INPUT!DF578</f>
        <v>NA</v>
      </c>
      <c r="BJ73" s="748">
        <f>INPUT!DG578</f>
        <v>0</v>
      </c>
      <c r="BK73" s="746" t="str">
        <f>INPUT!DH578</f>
        <v>NA</v>
      </c>
      <c r="BL73" s="748">
        <f>INPUT!DI578</f>
        <v>0</v>
      </c>
      <c r="BM73" s="746" t="str">
        <f>INPUT!DJ578</f>
        <v>NA</v>
      </c>
      <c r="BN73" s="748">
        <f>INPUT!DK578</f>
        <v>0</v>
      </c>
      <c r="BO73" s="746" t="str">
        <f>INPUT!DL578</f>
        <v>NA</v>
      </c>
      <c r="BP73" s="748">
        <f>INPUT!DM578</f>
        <v>0</v>
      </c>
      <c r="BQ73" s="746" t="str">
        <f>INPUT!DN578</f>
        <v>NA</v>
      </c>
      <c r="BR73" s="748">
        <f>INPUT!DO578</f>
        <v>0</v>
      </c>
      <c r="BS73" s="746" t="str">
        <f>INPUT!DP578</f>
        <v>NA</v>
      </c>
      <c r="BT73" s="748">
        <f>INPUT!DQ578</f>
        <v>0</v>
      </c>
      <c r="BU73" s="746" t="str">
        <f>INPUT!DR578</f>
        <v>NA</v>
      </c>
      <c r="BV73" s="748">
        <f>INPUT!DS578</f>
        <v>0</v>
      </c>
      <c r="BW73" s="746" t="str">
        <f>INPUT!DT578</f>
        <v>NA</v>
      </c>
      <c r="BX73" s="748">
        <f>INPUT!DU578</f>
        <v>0</v>
      </c>
      <c r="BY73" s="746" t="str">
        <f>INPUT!DV578</f>
        <v>NA</v>
      </c>
      <c r="BZ73" s="748">
        <f>INPUT!DW578</f>
        <v>0</v>
      </c>
      <c r="CA73" s="746">
        <f>INPUT!DX578</f>
        <v>0</v>
      </c>
      <c r="CB73" s="748">
        <f>INPUT!DY578</f>
        <v>0</v>
      </c>
      <c r="CC73" s="746" t="str">
        <f>INPUT!DZ578</f>
        <v>NA</v>
      </c>
      <c r="CD73" s="748">
        <f>INPUT!EA578</f>
        <v>0</v>
      </c>
      <c r="CE73" s="746" t="str">
        <f>INPUT!EB578</f>
        <v>NA</v>
      </c>
      <c r="CF73" s="748">
        <f>INPUT!EC578</f>
        <v>0</v>
      </c>
      <c r="CG73" s="746" t="str">
        <f>INPUT!ED578</f>
        <v>NA</v>
      </c>
      <c r="CH73" s="748">
        <f>INPUT!EE578</f>
        <v>0</v>
      </c>
      <c r="CI73" s="746" t="str">
        <f>INPUT!EF578</f>
        <v>NA</v>
      </c>
      <c r="CJ73" s="748">
        <f>INPUT!EG578</f>
        <v>0</v>
      </c>
      <c r="CK73" s="746" t="str">
        <f>INPUT!EH578</f>
        <v>NA</v>
      </c>
      <c r="CL73" s="748">
        <f>INPUT!EI578</f>
        <v>0</v>
      </c>
      <c r="CM73" s="746" t="str">
        <f>INPUT!EJ578</f>
        <v>NA</v>
      </c>
      <c r="CN73" s="748">
        <f>INPUT!EK578</f>
        <v>0</v>
      </c>
      <c r="CO73" s="746" t="str">
        <f>INPUT!EL578</f>
        <v>NA</v>
      </c>
      <c r="CP73" s="748">
        <f>INPUT!EM578</f>
        <v>0</v>
      </c>
      <c r="CQ73" s="746" t="str">
        <f>INPUT!EN578</f>
        <v>NA</v>
      </c>
      <c r="CR73" s="748">
        <f>INPUT!EO578</f>
        <v>0</v>
      </c>
      <c r="CS73" s="746" t="str">
        <f>INPUT!EP578</f>
        <v>NA</v>
      </c>
      <c r="CT73" s="748">
        <f>INPUT!EQ578</f>
        <v>0</v>
      </c>
      <c r="CU73" s="746" t="str">
        <f>INPUT!ER578</f>
        <v>NA</v>
      </c>
      <c r="CV73" s="748">
        <f>INPUT!ES578</f>
        <v>0</v>
      </c>
      <c r="CW73" s="746" t="str">
        <f>INPUT!ET578</f>
        <v>NA</v>
      </c>
      <c r="CX73" s="748">
        <f>INPUT!EU578</f>
        <v>0</v>
      </c>
      <c r="CY73" s="746" t="str">
        <f>INPUT!EV578</f>
        <v>NA</v>
      </c>
      <c r="CZ73" s="748">
        <f>INPUT!EW578</f>
        <v>0</v>
      </c>
      <c r="DA73" s="746" t="str">
        <f>INPUT!EX578</f>
        <v>NA</v>
      </c>
      <c r="DB73" s="746"/>
      <c r="DC73" s="748">
        <f>INPUT!FP578</f>
        <v>0</v>
      </c>
      <c r="DD73" s="746" t="str">
        <f>INPUT!FQ578</f>
        <v>NA</v>
      </c>
      <c r="DE73" s="748">
        <f>INPUT!FR578</f>
        <v>0</v>
      </c>
      <c r="DF73" s="746" t="str">
        <f>INPUT!FS578</f>
        <v>NA</v>
      </c>
      <c r="DG73" s="748">
        <f>INPUT!FT578</f>
        <v>0</v>
      </c>
      <c r="DH73" s="746" t="str">
        <f>INPUT!FU578</f>
        <v>NA</v>
      </c>
      <c r="DI73" s="748">
        <f>INPUT!FV578</f>
        <v>0</v>
      </c>
      <c r="DJ73" s="746" t="str">
        <f>INPUT!FW578</f>
        <v>NA</v>
      </c>
      <c r="DK73" s="748">
        <f>INPUT!FX578</f>
        <v>0</v>
      </c>
      <c r="DL73" s="746" t="str">
        <f>INPUT!FY578</f>
        <v>NA</v>
      </c>
      <c r="DM73" s="748">
        <f>INPUT!FZ578</f>
        <v>0</v>
      </c>
      <c r="DN73" s="746" t="str">
        <f>INPUT!GA578</f>
        <v>NA</v>
      </c>
      <c r="DO73" s="748">
        <f>INPUT!GB578</f>
        <v>0</v>
      </c>
      <c r="DP73" s="746" t="str">
        <f>INPUT!GC578</f>
        <v>NA</v>
      </c>
      <c r="DQ73" s="748">
        <f>INPUT!GD578</f>
        <v>0</v>
      </c>
      <c r="DR73" s="746" t="str">
        <f>INPUT!GE578</f>
        <v>NA</v>
      </c>
      <c r="DS73" s="748">
        <f>INPUT!GF578</f>
        <v>0</v>
      </c>
      <c r="DT73" s="746" t="str">
        <f>INPUT!GG578</f>
        <v>NA</v>
      </c>
      <c r="DU73" s="748">
        <f>INPUT!GH578</f>
        <v>0</v>
      </c>
      <c r="DV73" s="746" t="str">
        <f>INPUT!GI578</f>
        <v>NA</v>
      </c>
      <c r="DW73" s="748">
        <f>INPUT!GJ578</f>
        <v>0</v>
      </c>
      <c r="DX73" s="746" t="str">
        <f>INPUT!GK578</f>
        <v>NA</v>
      </c>
      <c r="DY73" s="748">
        <f>INPUT!GL578</f>
        <v>0</v>
      </c>
      <c r="DZ73" s="746" t="str">
        <f>INPUT!GM578</f>
        <v>NA</v>
      </c>
      <c r="EA73" s="748">
        <f>INPUT!GN578</f>
        <v>0</v>
      </c>
      <c r="EB73" s="746" t="str">
        <f>INPUT!GO578</f>
        <v>NA</v>
      </c>
      <c r="EC73" s="748">
        <f>INPUT!GP578</f>
        <v>0</v>
      </c>
      <c r="ED73" s="746" t="str">
        <f>INPUT!GQ578</f>
        <v>NA</v>
      </c>
      <c r="EE73" s="748">
        <f>INPUT!GR578</f>
        <v>0</v>
      </c>
      <c r="EF73" s="746" t="str">
        <f>INPUT!GS578</f>
        <v>NA</v>
      </c>
      <c r="EG73" s="748">
        <f>INPUT!GT578</f>
        <v>0</v>
      </c>
      <c r="EH73" s="746" t="str">
        <f>INPUT!GU578</f>
        <v>NA</v>
      </c>
      <c r="EI73" s="748">
        <f>INPUT!GV578</f>
        <v>0</v>
      </c>
      <c r="EJ73" s="746" t="str">
        <f>INPUT!GW578</f>
        <v>NA</v>
      </c>
      <c r="EK73" s="748">
        <f>INPUT!GX578</f>
        <v>0</v>
      </c>
      <c r="EL73" s="746" t="str">
        <f>INPUT!GY578</f>
        <v>NA</v>
      </c>
      <c r="EM73" s="750" t="str">
        <f>INPUT!GZ578</f>
        <v/>
      </c>
    </row>
    <row r="74" spans="1:143" s="321" customFormat="1" ht="12.75" hidden="1" customHeight="1" outlineLevel="1" x14ac:dyDescent="0.2">
      <c r="A74" s="747" t="str">
        <f>INPUT!B579</f>
        <v>UK Life</v>
      </c>
      <c r="B74" s="748">
        <f>INPUT!AY579</f>
        <v>4.3164885001619702</v>
      </c>
      <c r="C74" s="746">
        <f>INPUT!AZ579</f>
        <v>-10.252328534319322</v>
      </c>
      <c r="D74" s="748">
        <f>INPUT!BA579</f>
        <v>3.2805814032466185</v>
      </c>
      <c r="E74" s="733">
        <f>INPUT!BB579</f>
        <v>-37.693573686077443</v>
      </c>
      <c r="F74" s="748">
        <f>INPUT!BC579</f>
        <v>3.4459542171624427</v>
      </c>
      <c r="G74" s="733">
        <f>INPUT!BD579</f>
        <v>-24.424745094604638</v>
      </c>
      <c r="H74" s="748">
        <f>INPUT!BE579</f>
        <v>2.9305117993223564</v>
      </c>
      <c r="I74" s="733">
        <f>INPUT!BF579</f>
        <v>-44.103644368571679</v>
      </c>
      <c r="J74" s="748">
        <f>INPUT!BG579</f>
        <v>0</v>
      </c>
      <c r="K74" s="733" t="str">
        <f>INPUT!BH579</f>
        <v>NM</v>
      </c>
      <c r="L74" s="748">
        <f>INPUT!BI579</f>
        <v>0</v>
      </c>
      <c r="M74" s="733" t="str">
        <f>INPUT!BJ579</f>
        <v>NM</v>
      </c>
      <c r="N74" s="748">
        <f>INPUT!BK579</f>
        <v>0</v>
      </c>
      <c r="O74" s="733" t="str">
        <f>INPUT!BL579</f>
        <v>NM</v>
      </c>
      <c r="P74" s="748">
        <f>INPUT!BM579</f>
        <v>0</v>
      </c>
      <c r="Q74" s="733" t="str">
        <f>INPUT!BN579</f>
        <v>NM</v>
      </c>
      <c r="R74" s="748">
        <f>INPUT!BO579</f>
        <v>0</v>
      </c>
      <c r="S74" s="733" t="str">
        <f>INPUT!BP579</f>
        <v>NA</v>
      </c>
      <c r="T74" s="748">
        <f>INPUT!BQ579</f>
        <v>0</v>
      </c>
      <c r="U74" s="733" t="str">
        <f>INPUT!BR579</f>
        <v>NA</v>
      </c>
      <c r="V74" s="748">
        <f>INPUT!BS579</f>
        <v>0</v>
      </c>
      <c r="W74" s="733" t="str">
        <f>INPUT!BT579</f>
        <v>NA</v>
      </c>
      <c r="X74" s="748">
        <f>INPUT!BU579</f>
        <v>0</v>
      </c>
      <c r="Y74" s="733" t="str">
        <f>INPUT!BV579</f>
        <v>NA</v>
      </c>
      <c r="Z74" s="748">
        <f>INPUT!BW579</f>
        <v>0</v>
      </c>
      <c r="AA74" s="749" t="str">
        <f>INPUT!BX579</f>
        <v>NA</v>
      </c>
      <c r="AB74" s="748">
        <f>INPUT!BY579</f>
        <v>0</v>
      </c>
      <c r="AC74" s="733" t="str">
        <f>INPUT!BZ579</f>
        <v>NA</v>
      </c>
      <c r="AD74" s="748">
        <f>INPUT!CA579</f>
        <v>0</v>
      </c>
      <c r="AE74" s="733" t="str">
        <f>INPUT!CB579</f>
        <v>NA</v>
      </c>
      <c r="AF74" s="748">
        <f>INPUT!CC579</f>
        <v>0</v>
      </c>
      <c r="AG74" s="733" t="str">
        <f>INPUT!CD579</f>
        <v>NA</v>
      </c>
      <c r="AH74" s="748">
        <f>INPUT!CE579</f>
        <v>0</v>
      </c>
      <c r="AI74" s="746" t="str">
        <f>INPUT!CF579</f>
        <v>NA</v>
      </c>
      <c r="AJ74" s="748">
        <f>INPUT!CG579</f>
        <v>0</v>
      </c>
      <c r="AK74" s="746" t="str">
        <f>INPUT!CH579</f>
        <v>NA</v>
      </c>
      <c r="AL74" s="748">
        <f>INPUT!CI579</f>
        <v>0</v>
      </c>
      <c r="AM74" s="746" t="str">
        <f>INPUT!CJ579</f>
        <v>NA</v>
      </c>
      <c r="AN74" s="748">
        <f>INPUT!CK579</f>
        <v>0</v>
      </c>
      <c r="AO74" s="746" t="str">
        <f>INPUT!CL579</f>
        <v>NA</v>
      </c>
      <c r="AP74" s="748">
        <f>INPUT!CM579</f>
        <v>0</v>
      </c>
      <c r="AQ74" s="746" t="str">
        <f>INPUT!CN579</f>
        <v>NA</v>
      </c>
      <c r="AR74" s="748">
        <f>INPUT!CO579</f>
        <v>0</v>
      </c>
      <c r="AS74" s="746" t="str">
        <f>INPUT!CP579</f>
        <v>NA</v>
      </c>
      <c r="AT74" s="748">
        <f>INPUT!CQ579</f>
        <v>0</v>
      </c>
      <c r="AU74" s="746" t="str">
        <f>INPUT!CR579</f>
        <v>NA</v>
      </c>
      <c r="AV74" s="748">
        <f>INPUT!CS579</f>
        <v>0</v>
      </c>
      <c r="AW74" s="746" t="str">
        <f>INPUT!CT579</f>
        <v>NA</v>
      </c>
      <c r="AX74" s="748">
        <f>INPUT!CU579</f>
        <v>0</v>
      </c>
      <c r="AY74" s="746" t="str">
        <f>INPUT!CV579</f>
        <v>NA</v>
      </c>
      <c r="AZ74" s="748">
        <f>INPUT!CW579</f>
        <v>0</v>
      </c>
      <c r="BA74" s="746" t="str">
        <f>INPUT!CX579</f>
        <v>NA</v>
      </c>
      <c r="BB74" s="748">
        <f>INPUT!CY579</f>
        <v>0</v>
      </c>
      <c r="BC74" s="746" t="str">
        <f>INPUT!CZ579</f>
        <v>NA</v>
      </c>
      <c r="BD74" s="748">
        <f>INPUT!DA579</f>
        <v>0</v>
      </c>
      <c r="BE74" s="746" t="str">
        <f>INPUT!DB579</f>
        <v>NA</v>
      </c>
      <c r="BF74" s="748">
        <f>INPUT!DC579</f>
        <v>0</v>
      </c>
      <c r="BG74" s="746" t="str">
        <f>INPUT!DD579</f>
        <v>NA</v>
      </c>
      <c r="BH74" s="748">
        <f>INPUT!DE579</f>
        <v>0</v>
      </c>
      <c r="BI74" s="746" t="str">
        <f>INPUT!DF579</f>
        <v>NA</v>
      </c>
      <c r="BJ74" s="748">
        <f>INPUT!DG579</f>
        <v>0</v>
      </c>
      <c r="BK74" s="746" t="str">
        <f>INPUT!DH579</f>
        <v>NA</v>
      </c>
      <c r="BL74" s="748">
        <f>INPUT!DI579</f>
        <v>0</v>
      </c>
      <c r="BM74" s="746" t="str">
        <f>INPUT!DJ579</f>
        <v>NA</v>
      </c>
      <c r="BN74" s="748">
        <f>INPUT!DK579</f>
        <v>0</v>
      </c>
      <c r="BO74" s="746" t="str">
        <f>INPUT!DL579</f>
        <v>NA</v>
      </c>
      <c r="BP74" s="748">
        <f>INPUT!DM579</f>
        <v>0</v>
      </c>
      <c r="BQ74" s="746" t="str">
        <f>INPUT!DN579</f>
        <v>NA</v>
      </c>
      <c r="BR74" s="748">
        <f>INPUT!DO579</f>
        <v>0</v>
      </c>
      <c r="BS74" s="746" t="str">
        <f>INPUT!DP579</f>
        <v>NA</v>
      </c>
      <c r="BT74" s="748">
        <f>INPUT!DQ579</f>
        <v>0</v>
      </c>
      <c r="BU74" s="746" t="str">
        <f>INPUT!DR579</f>
        <v>NA</v>
      </c>
      <c r="BV74" s="748">
        <f>INPUT!DS579</f>
        <v>0</v>
      </c>
      <c r="BW74" s="746" t="str">
        <f>INPUT!DT579</f>
        <v>NA</v>
      </c>
      <c r="BX74" s="748">
        <f>INPUT!DU579</f>
        <v>0</v>
      </c>
      <c r="BY74" s="746" t="str">
        <f>INPUT!DV579</f>
        <v>NA</v>
      </c>
      <c r="BZ74" s="748">
        <f>INPUT!DW579</f>
        <v>0</v>
      </c>
      <c r="CA74" s="746">
        <f>INPUT!DX579</f>
        <v>0</v>
      </c>
      <c r="CB74" s="748">
        <f>INPUT!DY579</f>
        <v>0</v>
      </c>
      <c r="CC74" s="746" t="str">
        <f>INPUT!DZ579</f>
        <v>NA</v>
      </c>
      <c r="CD74" s="748">
        <f>INPUT!EA579</f>
        <v>0</v>
      </c>
      <c r="CE74" s="746" t="str">
        <f>INPUT!EB579</f>
        <v>NA</v>
      </c>
      <c r="CF74" s="748">
        <f>INPUT!EC579</f>
        <v>0</v>
      </c>
      <c r="CG74" s="746" t="str">
        <f>INPUT!ED579</f>
        <v>NA</v>
      </c>
      <c r="CH74" s="748">
        <f>INPUT!EE579</f>
        <v>0</v>
      </c>
      <c r="CI74" s="746" t="str">
        <f>INPUT!EF579</f>
        <v>NA</v>
      </c>
      <c r="CJ74" s="748">
        <f>INPUT!EG579</f>
        <v>0</v>
      </c>
      <c r="CK74" s="746" t="str">
        <f>INPUT!EH579</f>
        <v>NA</v>
      </c>
      <c r="CL74" s="748">
        <f>INPUT!EI579</f>
        <v>0</v>
      </c>
      <c r="CM74" s="746" t="str">
        <f>INPUT!EJ579</f>
        <v>NA</v>
      </c>
      <c r="CN74" s="748">
        <f>INPUT!EK579</f>
        <v>0</v>
      </c>
      <c r="CO74" s="746" t="str">
        <f>INPUT!EL579</f>
        <v>NA</v>
      </c>
      <c r="CP74" s="748">
        <f>INPUT!EM579</f>
        <v>0</v>
      </c>
      <c r="CQ74" s="746" t="str">
        <f>INPUT!EN579</f>
        <v>NA</v>
      </c>
      <c r="CR74" s="748">
        <f>INPUT!EO579</f>
        <v>0</v>
      </c>
      <c r="CS74" s="746" t="str">
        <f>INPUT!EP579</f>
        <v>NA</v>
      </c>
      <c r="CT74" s="748">
        <f>INPUT!EQ579</f>
        <v>0</v>
      </c>
      <c r="CU74" s="746" t="str">
        <f>INPUT!ER579</f>
        <v>NA</v>
      </c>
      <c r="CV74" s="748">
        <f>INPUT!ES579</f>
        <v>0</v>
      </c>
      <c r="CW74" s="746" t="str">
        <f>INPUT!ET579</f>
        <v>NA</v>
      </c>
      <c r="CX74" s="748">
        <f>INPUT!EU579</f>
        <v>0</v>
      </c>
      <c r="CY74" s="746" t="str">
        <f>INPUT!EV579</f>
        <v>NA</v>
      </c>
      <c r="CZ74" s="748">
        <f>INPUT!EW579</f>
        <v>0</v>
      </c>
      <c r="DA74" s="746" t="str">
        <f>INPUT!EX579</f>
        <v>NA</v>
      </c>
      <c r="DB74" s="746"/>
      <c r="DC74" s="748">
        <f>INPUT!FP579</f>
        <v>4.9792712397937038</v>
      </c>
      <c r="DD74" s="746" t="str">
        <f>INPUT!FQ579</f>
        <v>NA</v>
      </c>
      <c r="DE74" s="748">
        <f>INPUT!FR579</f>
        <v>3.4400318767432587</v>
      </c>
      <c r="DF74" s="746">
        <f>INPUT!FS579</f>
        <v>-30.91294466445289</v>
      </c>
      <c r="DG74" s="748">
        <f>INPUT!FT579</f>
        <v>0</v>
      </c>
      <c r="DH74" s="746" t="str">
        <f>INPUT!FU579</f>
        <v>NM</v>
      </c>
      <c r="DI74" s="748">
        <f>INPUT!FV579</f>
        <v>0</v>
      </c>
      <c r="DJ74" s="746" t="str">
        <f>INPUT!FW579</f>
        <v>NA</v>
      </c>
      <c r="DK74" s="748">
        <f>INPUT!FX579</f>
        <v>0</v>
      </c>
      <c r="DL74" s="746" t="str">
        <f>INPUT!FY579</f>
        <v>NA</v>
      </c>
      <c r="DM74" s="748">
        <f>INPUT!FZ579</f>
        <v>0</v>
      </c>
      <c r="DN74" s="746" t="str">
        <f>INPUT!GA579</f>
        <v>NA</v>
      </c>
      <c r="DO74" s="748">
        <f>INPUT!GB579</f>
        <v>0</v>
      </c>
      <c r="DP74" s="746" t="str">
        <f>INPUT!GC579</f>
        <v>NA</v>
      </c>
      <c r="DQ74" s="748">
        <f>INPUT!GD579</f>
        <v>0</v>
      </c>
      <c r="DR74" s="746" t="str">
        <f>INPUT!GE579</f>
        <v>NA</v>
      </c>
      <c r="DS74" s="748">
        <f>INPUT!GF579</f>
        <v>0</v>
      </c>
      <c r="DT74" s="746" t="str">
        <f>INPUT!GG579</f>
        <v>NA</v>
      </c>
      <c r="DU74" s="748">
        <f>INPUT!GH579</f>
        <v>0</v>
      </c>
      <c r="DV74" s="746" t="str">
        <f>INPUT!GI579</f>
        <v>NA</v>
      </c>
      <c r="DW74" s="748">
        <f>INPUT!GJ579</f>
        <v>0</v>
      </c>
      <c r="DX74" s="746" t="str">
        <f>INPUT!GK579</f>
        <v>NA</v>
      </c>
      <c r="DY74" s="748">
        <f>INPUT!GL579</f>
        <v>0</v>
      </c>
      <c r="DZ74" s="746" t="str">
        <f>INPUT!GM579</f>
        <v>NA</v>
      </c>
      <c r="EA74" s="748">
        <f>INPUT!GN579</f>
        <v>0</v>
      </c>
      <c r="EB74" s="746" t="str">
        <f>INPUT!GO579</f>
        <v>NA</v>
      </c>
      <c r="EC74" s="748">
        <f>INPUT!GP579</f>
        <v>0</v>
      </c>
      <c r="ED74" s="746" t="str">
        <f>INPUT!GQ579</f>
        <v>NA</v>
      </c>
      <c r="EE74" s="748">
        <f>INPUT!GR579</f>
        <v>0</v>
      </c>
      <c r="EF74" s="746" t="str">
        <f>INPUT!GS579</f>
        <v>NA</v>
      </c>
      <c r="EG74" s="748">
        <f>INPUT!GT579</f>
        <v>0</v>
      </c>
      <c r="EH74" s="746" t="str">
        <f>INPUT!GU579</f>
        <v>NA</v>
      </c>
      <c r="EI74" s="748">
        <f>INPUT!GV579</f>
        <v>0</v>
      </c>
      <c r="EJ74" s="746" t="str">
        <f>INPUT!GW579</f>
        <v>NA</v>
      </c>
      <c r="EK74" s="748">
        <f>INPUT!GX579</f>
        <v>0</v>
      </c>
      <c r="EL74" s="746" t="str">
        <f>INPUT!GY579</f>
        <v>NA</v>
      </c>
      <c r="EM74" s="750" t="str">
        <f>INPUT!GZ579</f>
        <v/>
      </c>
    </row>
    <row r="75" spans="1:143" s="321" customFormat="1" ht="12.75" hidden="1" customHeight="1" outlineLevel="1" x14ac:dyDescent="0.2">
      <c r="A75" s="747" t="str">
        <f>INPUT!B580</f>
        <v>Lincoln Financial Media</v>
      </c>
      <c r="B75" s="748">
        <f>INPUT!AY580</f>
        <v>0</v>
      </c>
      <c r="C75" s="746">
        <f>INPUT!AZ580</f>
        <v>0</v>
      </c>
      <c r="D75" s="748">
        <f>INPUT!BA580</f>
        <v>0</v>
      </c>
      <c r="E75" s="733">
        <f>INPUT!BB580</f>
        <v>0</v>
      </c>
      <c r="F75" s="748">
        <f>INPUT!BC580</f>
        <v>0</v>
      </c>
      <c r="G75" s="733">
        <f>INPUT!BD580</f>
        <v>0</v>
      </c>
      <c r="H75" s="748">
        <f>INPUT!BE580</f>
        <v>0</v>
      </c>
      <c r="I75" s="733">
        <f>INPUT!BF580</f>
        <v>0</v>
      </c>
      <c r="J75" s="748">
        <f>INPUT!BG580</f>
        <v>0</v>
      </c>
      <c r="K75" s="733">
        <f>INPUT!BH580</f>
        <v>0</v>
      </c>
      <c r="L75" s="748">
        <f>INPUT!BI580</f>
        <v>0</v>
      </c>
      <c r="M75" s="733">
        <f>INPUT!BJ580</f>
        <v>0</v>
      </c>
      <c r="N75" s="748">
        <f>INPUT!BK580</f>
        <v>0</v>
      </c>
      <c r="O75" s="733">
        <f>INPUT!BL580</f>
        <v>0</v>
      </c>
      <c r="P75" s="748">
        <f>INPUT!BM580</f>
        <v>0</v>
      </c>
      <c r="Q75" s="733">
        <f>INPUT!BN580</f>
        <v>0</v>
      </c>
      <c r="R75" s="748">
        <f>INPUT!BO580</f>
        <v>0</v>
      </c>
      <c r="S75" s="733">
        <f>INPUT!BP580</f>
        <v>0</v>
      </c>
      <c r="T75" s="748">
        <f>INPUT!BQ580</f>
        <v>0</v>
      </c>
      <c r="U75" s="733">
        <f>INPUT!BR580</f>
        <v>0</v>
      </c>
      <c r="V75" s="748">
        <f>INPUT!BS580</f>
        <v>0</v>
      </c>
      <c r="W75" s="733">
        <f>INPUT!BT580</f>
        <v>0</v>
      </c>
      <c r="X75" s="748">
        <f>INPUT!BU580</f>
        <v>0</v>
      </c>
      <c r="Y75" s="733">
        <f>INPUT!BV580</f>
        <v>0</v>
      </c>
      <c r="Z75" s="748">
        <f>INPUT!BW580</f>
        <v>0</v>
      </c>
      <c r="AA75" s="749">
        <f>INPUT!BX580</f>
        <v>0</v>
      </c>
      <c r="AB75" s="748">
        <f>INPUT!BY580</f>
        <v>0</v>
      </c>
      <c r="AC75" s="733">
        <f>INPUT!BZ580</f>
        <v>0</v>
      </c>
      <c r="AD75" s="748">
        <f>INPUT!CA580</f>
        <v>0</v>
      </c>
      <c r="AE75" s="733">
        <f>INPUT!CB580</f>
        <v>0</v>
      </c>
      <c r="AF75" s="748">
        <f>INPUT!CC580</f>
        <v>0</v>
      </c>
      <c r="AG75" s="733">
        <f>INPUT!CD580</f>
        <v>0</v>
      </c>
      <c r="AH75" s="748">
        <f>INPUT!CE580</f>
        <v>0</v>
      </c>
      <c r="AI75" s="746">
        <f>INPUT!CF580</f>
        <v>0</v>
      </c>
      <c r="AJ75" s="748">
        <f>INPUT!CG580</f>
        <v>0</v>
      </c>
      <c r="AK75" s="746">
        <f>INPUT!CH580</f>
        <v>0</v>
      </c>
      <c r="AL75" s="748">
        <f>INPUT!CI580</f>
        <v>0</v>
      </c>
      <c r="AM75" s="746">
        <f>INPUT!CJ580</f>
        <v>0</v>
      </c>
      <c r="AN75" s="748">
        <f>INPUT!CK580</f>
        <v>0</v>
      </c>
      <c r="AO75" s="746">
        <f>INPUT!CL580</f>
        <v>0</v>
      </c>
      <c r="AP75" s="748">
        <f>INPUT!CM580</f>
        <v>0</v>
      </c>
      <c r="AQ75" s="746">
        <f>INPUT!CN580</f>
        <v>0</v>
      </c>
      <c r="AR75" s="748">
        <f>INPUT!CO580</f>
        <v>0</v>
      </c>
      <c r="AS75" s="746">
        <f>INPUT!CP580</f>
        <v>0</v>
      </c>
      <c r="AT75" s="748">
        <f>INPUT!CQ580</f>
        <v>0</v>
      </c>
      <c r="AU75" s="746">
        <f>INPUT!CR580</f>
        <v>0</v>
      </c>
      <c r="AV75" s="748">
        <f>INPUT!CS580</f>
        <v>0</v>
      </c>
      <c r="AW75" s="746">
        <f>INPUT!CT580</f>
        <v>0</v>
      </c>
      <c r="AX75" s="748">
        <f>INPUT!CU580</f>
        <v>0</v>
      </c>
      <c r="AY75" s="746">
        <f>INPUT!CV580</f>
        <v>0</v>
      </c>
      <c r="AZ75" s="748">
        <f>INPUT!CW580</f>
        <v>0</v>
      </c>
      <c r="BA75" s="746">
        <f>INPUT!CX580</f>
        <v>0</v>
      </c>
      <c r="BB75" s="748">
        <f>INPUT!CY580</f>
        <v>0</v>
      </c>
      <c r="BC75" s="746">
        <f>INPUT!CZ580</f>
        <v>0</v>
      </c>
      <c r="BD75" s="748">
        <f>INPUT!DA580</f>
        <v>0</v>
      </c>
      <c r="BE75" s="746">
        <f>INPUT!DB580</f>
        <v>0</v>
      </c>
      <c r="BF75" s="748">
        <f>INPUT!DC580</f>
        <v>0</v>
      </c>
      <c r="BG75" s="746">
        <f>INPUT!DD580</f>
        <v>0</v>
      </c>
      <c r="BH75" s="748">
        <f>INPUT!DE580</f>
        <v>0</v>
      </c>
      <c r="BI75" s="746">
        <f>INPUT!DF580</f>
        <v>0</v>
      </c>
      <c r="BJ75" s="748">
        <f>INPUT!DG580</f>
        <v>0</v>
      </c>
      <c r="BK75" s="746">
        <f>INPUT!DH580</f>
        <v>0</v>
      </c>
      <c r="BL75" s="748">
        <f>INPUT!DI580</f>
        <v>0</v>
      </c>
      <c r="BM75" s="746">
        <f>INPUT!DJ580</f>
        <v>0</v>
      </c>
      <c r="BN75" s="748">
        <f>INPUT!DK580</f>
        <v>0</v>
      </c>
      <c r="BO75" s="746">
        <f>INPUT!DL580</f>
        <v>0</v>
      </c>
      <c r="BP75" s="748">
        <f>INPUT!DM580</f>
        <v>0</v>
      </c>
      <c r="BQ75" s="746" t="str">
        <f>INPUT!DN580</f>
        <v>NA</v>
      </c>
      <c r="BR75" s="748">
        <f>INPUT!DO580</f>
        <v>0</v>
      </c>
      <c r="BS75" s="746" t="str">
        <f>INPUT!DP580</f>
        <v>NA</v>
      </c>
      <c r="BT75" s="748">
        <f>INPUT!DQ580</f>
        <v>0</v>
      </c>
      <c r="BU75" s="746" t="str">
        <f>INPUT!DR580</f>
        <v>NA</v>
      </c>
      <c r="BV75" s="748">
        <f>INPUT!DS580</f>
        <v>0</v>
      </c>
      <c r="BW75" s="746" t="str">
        <f>INPUT!DT580</f>
        <v>NA</v>
      </c>
      <c r="BX75" s="748">
        <f>INPUT!DU580</f>
        <v>0</v>
      </c>
      <c r="BY75" s="746" t="str">
        <f>INPUT!DV580</f>
        <v>NA</v>
      </c>
      <c r="BZ75" s="748">
        <f>INPUT!DW580</f>
        <v>0</v>
      </c>
      <c r="CA75" s="746">
        <f>INPUT!DX580</f>
        <v>0</v>
      </c>
      <c r="CB75" s="748">
        <f>INPUT!DY580</f>
        <v>0</v>
      </c>
      <c r="CC75" s="746" t="str">
        <f>INPUT!DZ580</f>
        <v>NA</v>
      </c>
      <c r="CD75" s="748">
        <f>INPUT!EA580</f>
        <v>0</v>
      </c>
      <c r="CE75" s="746" t="str">
        <f>INPUT!EB580</f>
        <v>NA</v>
      </c>
      <c r="CF75" s="748">
        <f>INPUT!EC580</f>
        <v>0</v>
      </c>
      <c r="CG75" s="746" t="str">
        <f>INPUT!ED580</f>
        <v>NA</v>
      </c>
      <c r="CH75" s="748">
        <f>INPUT!EE580</f>
        <v>0</v>
      </c>
      <c r="CI75" s="746" t="str">
        <f>INPUT!EF580</f>
        <v>NA</v>
      </c>
      <c r="CJ75" s="748">
        <f>INPUT!EG580</f>
        <v>0</v>
      </c>
      <c r="CK75" s="746" t="str">
        <f>INPUT!EH580</f>
        <v>NA</v>
      </c>
      <c r="CL75" s="748">
        <f>INPUT!EI580</f>
        <v>0</v>
      </c>
      <c r="CM75" s="746" t="str">
        <f>INPUT!EJ580</f>
        <v>NA</v>
      </c>
      <c r="CN75" s="748">
        <f>INPUT!EK580</f>
        <v>0</v>
      </c>
      <c r="CO75" s="746" t="str">
        <f>INPUT!EL580</f>
        <v>NA</v>
      </c>
      <c r="CP75" s="748">
        <f>INPUT!EM580</f>
        <v>0</v>
      </c>
      <c r="CQ75" s="746" t="str">
        <f>INPUT!EN580</f>
        <v>NA</v>
      </c>
      <c r="CR75" s="748">
        <f>INPUT!EO580</f>
        <v>0</v>
      </c>
      <c r="CS75" s="746" t="str">
        <f>INPUT!EP580</f>
        <v>NA</v>
      </c>
      <c r="CT75" s="748">
        <f>INPUT!EQ580</f>
        <v>0</v>
      </c>
      <c r="CU75" s="746" t="str">
        <f>INPUT!ER580</f>
        <v>NA</v>
      </c>
      <c r="CV75" s="748">
        <f>INPUT!ES580</f>
        <v>0</v>
      </c>
      <c r="CW75" s="746" t="str">
        <f>INPUT!ET580</f>
        <v>NA</v>
      </c>
      <c r="CX75" s="748">
        <f>INPUT!EU580</f>
        <v>0</v>
      </c>
      <c r="CY75" s="746" t="str">
        <f>INPUT!EV580</f>
        <v>NA</v>
      </c>
      <c r="CZ75" s="748">
        <f>INPUT!EW580</f>
        <v>0</v>
      </c>
      <c r="DA75" s="746" t="str">
        <f>INPUT!EX580</f>
        <v>NA</v>
      </c>
      <c r="DB75" s="746"/>
      <c r="DC75" s="748">
        <f>INPUT!FP580</f>
        <v>0</v>
      </c>
      <c r="DD75" s="746">
        <f>INPUT!FQ580</f>
        <v>0</v>
      </c>
      <c r="DE75" s="748">
        <f>INPUT!FR580</f>
        <v>3.2872891486253155</v>
      </c>
      <c r="DF75" s="746" t="str">
        <f>INPUT!FS580</f>
        <v>NA</v>
      </c>
      <c r="DG75" s="748">
        <f>INPUT!FT580</f>
        <v>0</v>
      </c>
      <c r="DH75" s="746" t="str">
        <f>INPUT!FU580</f>
        <v>NM</v>
      </c>
      <c r="DI75" s="748">
        <f>INPUT!FV580</f>
        <v>0</v>
      </c>
      <c r="DJ75" s="746" t="str">
        <f>INPUT!FW580</f>
        <v>NA</v>
      </c>
      <c r="DK75" s="748">
        <f>INPUT!FX580</f>
        <v>0</v>
      </c>
      <c r="DL75" s="746" t="str">
        <f>INPUT!FY580</f>
        <v>NA</v>
      </c>
      <c r="DM75" s="748">
        <f>INPUT!FZ580</f>
        <v>0</v>
      </c>
      <c r="DN75" s="746" t="str">
        <f>INPUT!GA580</f>
        <v>NA</v>
      </c>
      <c r="DO75" s="748">
        <f>INPUT!GB580</f>
        <v>0</v>
      </c>
      <c r="DP75" s="746" t="str">
        <f>INPUT!GC580</f>
        <v>NA</v>
      </c>
      <c r="DQ75" s="748">
        <f>INPUT!GD580</f>
        <v>0</v>
      </c>
      <c r="DR75" s="746" t="str">
        <f>INPUT!GE580</f>
        <v>NA</v>
      </c>
      <c r="DS75" s="748">
        <f>INPUT!GF580</f>
        <v>0</v>
      </c>
      <c r="DT75" s="746" t="str">
        <f>INPUT!GG580</f>
        <v>NA</v>
      </c>
      <c r="DU75" s="748">
        <f>INPUT!GH580</f>
        <v>0</v>
      </c>
      <c r="DV75" s="746" t="str">
        <f>INPUT!GI580</f>
        <v>NA</v>
      </c>
      <c r="DW75" s="748">
        <f>INPUT!GJ580</f>
        <v>0</v>
      </c>
      <c r="DX75" s="746" t="str">
        <f>INPUT!GK580</f>
        <v>NA</v>
      </c>
      <c r="DY75" s="748">
        <f>INPUT!GL580</f>
        <v>0</v>
      </c>
      <c r="DZ75" s="746" t="str">
        <f>INPUT!GM580</f>
        <v>NA</v>
      </c>
      <c r="EA75" s="748">
        <f>INPUT!GN580</f>
        <v>0</v>
      </c>
      <c r="EB75" s="746" t="str">
        <f>INPUT!GO580</f>
        <v>NA</v>
      </c>
      <c r="EC75" s="748">
        <f>INPUT!GP580</f>
        <v>0</v>
      </c>
      <c r="ED75" s="746" t="str">
        <f>INPUT!GQ580</f>
        <v>NA</v>
      </c>
      <c r="EE75" s="748">
        <f>INPUT!GR580</f>
        <v>0</v>
      </c>
      <c r="EF75" s="746" t="str">
        <f>INPUT!GS580</f>
        <v>NA</v>
      </c>
      <c r="EG75" s="748">
        <f>INPUT!GT580</f>
        <v>0</v>
      </c>
      <c r="EH75" s="746" t="str">
        <f>INPUT!GU580</f>
        <v>NA</v>
      </c>
      <c r="EI75" s="748">
        <f>INPUT!GV580</f>
        <v>0</v>
      </c>
      <c r="EJ75" s="746" t="str">
        <f>INPUT!GW580</f>
        <v>NA</v>
      </c>
      <c r="EK75" s="748">
        <f>INPUT!GX580</f>
        <v>0</v>
      </c>
      <c r="EL75" s="746" t="str">
        <f>INPUT!GY580</f>
        <v>NA</v>
      </c>
      <c r="EM75" s="750" t="str">
        <f>INPUT!GZ580</f>
        <v/>
      </c>
    </row>
    <row r="76" spans="1:143" s="321" customFormat="1" ht="12.75" hidden="1" customHeight="1" outlineLevel="1" x14ac:dyDescent="0.2">
      <c r="A76" s="747" t="str">
        <f>INPUT!B581</f>
        <v>Corporate/Other</v>
      </c>
      <c r="B76" s="748">
        <f>INPUT!AY581</f>
        <v>8.098477486232597E-2</v>
      </c>
      <c r="C76" s="746" t="str">
        <f>INPUT!AZ581</f>
        <v>NM</v>
      </c>
      <c r="D76" s="748">
        <f>INPUT!BA581</f>
        <v>-9.8485363037424438</v>
      </c>
      <c r="E76" s="733" t="str">
        <f>INPUT!BB581</f>
        <v>NM</v>
      </c>
      <c r="F76" s="748">
        <f>INPUT!BC581</f>
        <v>-7.4672542538866429</v>
      </c>
      <c r="G76" s="733" t="str">
        <f>INPUT!BD581</f>
        <v>NM</v>
      </c>
      <c r="H76" s="748">
        <f>INPUT!BE581</f>
        <v>-10.521310111157346</v>
      </c>
      <c r="I76" s="733" t="str">
        <f>INPUT!BF581</f>
        <v>NM</v>
      </c>
      <c r="J76" s="748">
        <f>INPUT!BG581</f>
        <v>-8.6621454993834757</v>
      </c>
      <c r="K76" s="733" t="str">
        <f>INPUT!BH581</f>
        <v>NM</v>
      </c>
      <c r="L76" s="748">
        <f>INPUT!BI581</f>
        <v>-12.319063751154914</v>
      </c>
      <c r="M76" s="733">
        <f>INPUT!BJ581</f>
        <v>25.085224557416417</v>
      </c>
      <c r="N76" s="748">
        <f>INPUT!BK581</f>
        <v>-12.46644795705339</v>
      </c>
      <c r="O76" s="733">
        <f>INPUT!BL581</f>
        <v>66.948218624867479</v>
      </c>
      <c r="P76" s="748">
        <f>INPUT!BM581</f>
        <v>-11.584852734922858</v>
      </c>
      <c r="Q76" s="733">
        <f>INPUT!BN581</f>
        <v>10.108461898083165</v>
      </c>
      <c r="R76" s="748">
        <f>INPUT!BO581</f>
        <v>-12.577996715927744</v>
      </c>
      <c r="S76" s="733">
        <f>INPUT!BP581</f>
        <v>45.2064816600342</v>
      </c>
      <c r="T76" s="748">
        <f>INPUT!BQ581</f>
        <v>-14.484769928710303</v>
      </c>
      <c r="U76" s="733">
        <f>INPUT!BR581</f>
        <v>17.580119896305881</v>
      </c>
      <c r="V76" s="748">
        <f>INPUT!BS581</f>
        <v>-12.666666666666663</v>
      </c>
      <c r="W76" s="733">
        <f>INPUT!BT581</f>
        <v>1.606060606060522</v>
      </c>
      <c r="X76" s="748">
        <f>INPUT!BU581</f>
        <v>-19.261337073398799</v>
      </c>
      <c r="Y76" s="733">
        <f>INPUT!BV581</f>
        <v>66.26311541565795</v>
      </c>
      <c r="Z76" s="748">
        <f>INPUT!BW581</f>
        <v>-38.925831202046027</v>
      </c>
      <c r="AA76" s="749" t="str">
        <f>INPUT!BX581</f>
        <v>NM</v>
      </c>
      <c r="AB76" s="748">
        <f>INPUT!BY581</f>
        <v>-25.22913651712491</v>
      </c>
      <c r="AC76" s="733">
        <f>INPUT!BZ581</f>
        <v>74.176991704356794</v>
      </c>
      <c r="AD76" s="748">
        <f>INPUT!CA581</f>
        <v>-12.466062483270244</v>
      </c>
      <c r="AE76" s="733">
        <f>INPUT!CB581</f>
        <v>-1.5837172373401431</v>
      </c>
      <c r="AF76" s="748">
        <f>INPUT!CC581</f>
        <v>-9.5095095095095044</v>
      </c>
      <c r="AG76" s="733" t="str">
        <f>INPUT!CD581</f>
        <v>NM</v>
      </c>
      <c r="AH76" s="748">
        <f>INPUT!CE581</f>
        <v>-11.511299435028247</v>
      </c>
      <c r="AI76" s="746" t="str">
        <f>INPUT!CF581</f>
        <v>NM</v>
      </c>
      <c r="AJ76" s="748">
        <f>INPUT!CG581</f>
        <v>-12.41830065359477</v>
      </c>
      <c r="AK76" s="746" t="str">
        <f>INPUT!CH581</f>
        <v>NM</v>
      </c>
      <c r="AL76" s="748">
        <f>INPUT!CI581</f>
        <v>-12.67755681818182</v>
      </c>
      <c r="AM76" s="746">
        <f>INPUT!CJ581</f>
        <v>1.6965608442554014</v>
      </c>
      <c r="AN76" s="748">
        <f>INPUT!CK581</f>
        <v>-10.987903225806466</v>
      </c>
      <c r="AO76" s="746">
        <f>INPUT!CL581</f>
        <v>15.546477079796484</v>
      </c>
      <c r="AP76" s="748">
        <f>INPUT!CM581</f>
        <v>-13.011960855382377</v>
      </c>
      <c r="AQ76" s="746">
        <f>INPUT!CN581</f>
        <v>13.036420682340166</v>
      </c>
      <c r="AR76" s="748">
        <f>INPUT!CO581</f>
        <v>-12.375386730835347</v>
      </c>
      <c r="AS76" s="746">
        <f>INPUT!CP581</f>
        <v>-0.34557000958903572</v>
      </c>
      <c r="AT76" s="748">
        <f>INPUT!CQ581</f>
        <v>-10.194950463406842</v>
      </c>
      <c r="AU76" s="746">
        <f>INPUT!CR581</f>
        <v>-19.582687661194221</v>
      </c>
      <c r="AV76" s="748">
        <f>INPUT!CS581</f>
        <v>-12.5</v>
      </c>
      <c r="AW76" s="746">
        <f>INPUT!CT581</f>
        <v>13.761467889908108</v>
      </c>
      <c r="AX76" s="748">
        <f>INPUT!CU581</f>
        <v>-11.604095563139932</v>
      </c>
      <c r="AY76" s="746">
        <f>INPUT!CV581</f>
        <v>-10.819778109462142</v>
      </c>
      <c r="AZ76" s="748">
        <f>INPUT!CW581</f>
        <v>-11.525423728813559</v>
      </c>
      <c r="BA76" s="746">
        <f>INPUT!CX581</f>
        <v>-6.8681732580038286</v>
      </c>
      <c r="BB76" s="748">
        <f>INPUT!CY581</f>
        <v>-0.91463414634146334</v>
      </c>
      <c r="BC76" s="746" t="str">
        <f>INPUT!CZ581</f>
        <v>NM</v>
      </c>
      <c r="BD76" s="748">
        <f>INPUT!DA581</f>
        <v>-11.589403973509933</v>
      </c>
      <c r="BE76" s="746">
        <f>INPUT!DB581</f>
        <v>-7.2847682119205341</v>
      </c>
      <c r="BF76" s="748">
        <f>INPUT!DC581</f>
        <v>-9.0452867355895172</v>
      </c>
      <c r="BG76" s="746">
        <f>INPUT!DD581</f>
        <v>-22.050911366831517</v>
      </c>
      <c r="BH76" s="748">
        <f>INPUT!DE581</f>
        <v>-12.048192771084338</v>
      </c>
      <c r="BI76" s="746">
        <f>INPUT!DF581</f>
        <v>4.5357902197023403</v>
      </c>
      <c r="BJ76" s="748">
        <f>INPUT!DG581</f>
        <v>-9.7345132743362832</v>
      </c>
      <c r="BK76" s="746" t="str">
        <f>INPUT!DH581</f>
        <v>NM</v>
      </c>
      <c r="BL76" s="748">
        <f>INPUT!DI581</f>
        <v>-7.8431372549019605</v>
      </c>
      <c r="BM76" s="746">
        <f>INPUT!DJ581</f>
        <v>-32.324929971988794</v>
      </c>
      <c r="BN76" s="748">
        <f>INPUT!DK581</f>
        <v>-8.2417582417582409</v>
      </c>
      <c r="BO76" s="746">
        <f>INPUT!DL581</f>
        <v>-8.883394383394382</v>
      </c>
      <c r="BP76" s="748">
        <f>INPUT!DM581</f>
        <v>-7.291666666666667</v>
      </c>
      <c r="BQ76" s="746">
        <f>INPUT!DN581</f>
        <v>-39.479166666666664</v>
      </c>
      <c r="BR76" s="748">
        <f>INPUT!DO581</f>
        <v>-7.1782178217821775</v>
      </c>
      <c r="BS76" s="746">
        <f>INPUT!DP581</f>
        <v>-26.260126012601269</v>
      </c>
      <c r="BT76" s="748">
        <f>INPUT!DQ581</f>
        <v>-6.7183462532299743</v>
      </c>
      <c r="BU76" s="746">
        <f>INPUT!DR581</f>
        <v>-14.341085271317821</v>
      </c>
      <c r="BV76" s="748">
        <f>INPUT!DS581</f>
        <v>-7.6704545454545459</v>
      </c>
      <c r="BW76" s="746">
        <f>INPUT!DT581</f>
        <v>-6.9318181818181728</v>
      </c>
      <c r="BX76" s="748">
        <f>INPUT!DU581</f>
        <v>-7.9155672823219003</v>
      </c>
      <c r="BY76" s="746">
        <f>INPUT!DV581</f>
        <v>8.556351300414633</v>
      </c>
      <c r="BZ76" s="748">
        <f>INPUT!DW581</f>
        <v>-8.4223013048635824</v>
      </c>
      <c r="CA76" s="746">
        <f>INPUT!DX581</f>
        <v>-8.4223013048635824</v>
      </c>
      <c r="CB76" s="748">
        <f>INPUT!DY581</f>
        <v>-6.8062827225130889</v>
      </c>
      <c r="CC76" s="746">
        <f>INPUT!DZ581</f>
        <v>1.308900523560208</v>
      </c>
      <c r="CD76" s="748">
        <f>INPUT!EA581</f>
        <v>-4.1436464088397784</v>
      </c>
      <c r="CE76" s="746">
        <f>INPUT!EB581</f>
        <v>-45.979128299570306</v>
      </c>
      <c r="CF76" s="748">
        <f>INPUT!EC581</f>
        <v>-7.5067024128686324</v>
      </c>
      <c r="CG76" s="746">
        <f>INPUT!ED581</f>
        <v>-5.1653261840929554</v>
      </c>
      <c r="CH76" s="748">
        <f>INPUT!EE581</f>
        <v>-7.3475385745775164</v>
      </c>
      <c r="CI76" s="746">
        <f>INPUT!EF581</f>
        <v>-12.760915234241599</v>
      </c>
      <c r="CJ76" s="748">
        <f>INPUT!EG581</f>
        <v>-9.0464547677261606</v>
      </c>
      <c r="CK76" s="746">
        <f>INPUT!EH581</f>
        <v>32.913296971976671</v>
      </c>
      <c r="CL76" s="748">
        <f>INPUT!EI581</f>
        <v>-3.2663316582914574</v>
      </c>
      <c r="CM76" s="746">
        <f>INPUT!EJ581</f>
        <v>-21.172529313232815</v>
      </c>
      <c r="CN76" s="748">
        <f>INPUT!EK581</f>
        <v>-8.8305489260143197</v>
      </c>
      <c r="CO76" s="746">
        <f>INPUT!EL581</f>
        <v>17.63552676440505</v>
      </c>
      <c r="CP76" s="748">
        <f>INPUT!EM581</f>
        <v>-9.1118800461361023</v>
      </c>
      <c r="CQ76" s="746">
        <f>INPUT!EN581</f>
        <v>24.012687427912361</v>
      </c>
      <c r="CR76" s="748">
        <f>INPUT!EO581</f>
        <v>-8.6363636363636367</v>
      </c>
      <c r="CS76" s="746">
        <f>INPUT!EP581</f>
        <v>-4.5331695331695236</v>
      </c>
      <c r="CT76" s="748">
        <f>INPUT!EQ581</f>
        <v>-12.393572150905346</v>
      </c>
      <c r="CU76" s="746" t="str">
        <f>INPUT!ER581</f>
        <v>NM</v>
      </c>
      <c r="CV76" s="748">
        <f>INPUT!ES581</f>
        <v>-11.599617553726613</v>
      </c>
      <c r="CW76" s="746">
        <f>INPUT!ET581</f>
        <v>31.35783121652571</v>
      </c>
      <c r="CX76" s="748">
        <f>INPUT!EU581</f>
        <v>-11.094045093188301</v>
      </c>
      <c r="CY76" s="746">
        <f>INPUT!EV581</f>
        <v>21.753634123977928</v>
      </c>
      <c r="CZ76" s="748">
        <f>INPUT!EW581</f>
        <v>-10.738359862003431</v>
      </c>
      <c r="DA76" s="746">
        <f>INPUT!EX581</f>
        <v>24.33890366530289</v>
      </c>
      <c r="DB76" s="746"/>
      <c r="DC76" s="748">
        <f>INPUT!FP581</f>
        <v>2.3281053476292408</v>
      </c>
      <c r="DD76" s="746" t="str">
        <f>INPUT!FQ581</f>
        <v>NA</v>
      </c>
      <c r="DE76" s="748">
        <f>INPUT!FR581</f>
        <v>-7.3548944082879544</v>
      </c>
      <c r="DF76" s="746" t="str">
        <f>INPUT!FS581</f>
        <v>NM</v>
      </c>
      <c r="DG76" s="748">
        <f>INPUT!FT581</f>
        <v>-11.276008650906101</v>
      </c>
      <c r="DH76" s="746">
        <f>INPUT!FU581</f>
        <v>53.3129916617102</v>
      </c>
      <c r="DI76" s="748">
        <f>INPUT!FV581</f>
        <v>-14.369527145359019</v>
      </c>
      <c r="DJ76" s="746">
        <f>INPUT!FW581</f>
        <v>27.434516859867198</v>
      </c>
      <c r="DK76" s="748">
        <f>INPUT!FX581</f>
        <v>-19.657472432858576</v>
      </c>
      <c r="DL76" s="746">
        <f>INPUT!FY581</f>
        <v>36.799716747864068</v>
      </c>
      <c r="DM76" s="748">
        <f>INPUT!FZ581</f>
        <v>-11.889688665336923</v>
      </c>
      <c r="DN76" s="746">
        <f>INPUT!GA581</f>
        <v>-39.515679312551718</v>
      </c>
      <c r="DO76" s="748">
        <f>INPUT!GB581</f>
        <v>-11.968612572216959</v>
      </c>
      <c r="DP76" s="746">
        <f>INPUT!GC581</f>
        <v>0.66380129119889553</v>
      </c>
      <c r="DQ76" s="748">
        <f>INPUT!GD581</f>
        <v>-8.7027914614121507</v>
      </c>
      <c r="DR76" s="746">
        <f>INPUT!GE581</f>
        <v>-27.286547134008167</v>
      </c>
      <c r="DS76" s="748">
        <f>INPUT!GF581</f>
        <v>-9.6494679976901594</v>
      </c>
      <c r="DT76" s="746">
        <f>INPUT!GG581</f>
        <v>10.8778492564775</v>
      </c>
      <c r="DU76" s="748">
        <f>INPUT!GH581</f>
        <v>-7.3424301494476927</v>
      </c>
      <c r="DV76" s="746">
        <f>INPUT!GI581</f>
        <v>-23.908446028265118</v>
      </c>
      <c r="DW76" s="748">
        <f>INPUT!GJ581</f>
        <v>-7.7223851417399807</v>
      </c>
      <c r="DX76" s="746">
        <f>INPUT!GK581</f>
        <v>5.1747852490073631</v>
      </c>
      <c r="DY76" s="748">
        <f>INPUT!GL581</f>
        <v>-7.0862590994008894</v>
      </c>
      <c r="DZ76" s="746">
        <f>INPUT!GM581</f>
        <v>-8.2374296368720294</v>
      </c>
      <c r="EA76" s="748">
        <f>INPUT!GN581</f>
        <v>-7.5421472937000882</v>
      </c>
      <c r="EB76" s="746">
        <f>INPUT!GO581</f>
        <v>6.4334113091876866</v>
      </c>
      <c r="EC76" s="748">
        <f>INPUT!GP581</f>
        <v>-11.426603221435057</v>
      </c>
      <c r="ED76" s="746">
        <f>INPUT!GQ581</f>
        <v>51.50331565361541</v>
      </c>
      <c r="EE76" s="748">
        <f>INPUT!GR581</f>
        <v>-9.5467550340034375</v>
      </c>
      <c r="EF76" s="746">
        <f>INPUT!GS581</f>
        <v>-16.451504887342459</v>
      </c>
      <c r="EG76" s="748">
        <f>INPUT!GT581</f>
        <v>-5.4808872392371519</v>
      </c>
      <c r="EH76" s="746">
        <f>INPUT!GU581</f>
        <v>-42.589003072610119</v>
      </c>
      <c r="EI76" s="748">
        <f>INPUT!GV581</f>
        <v>-5.1101062613560053</v>
      </c>
      <c r="EJ76" s="746">
        <f>INPUT!GW581</f>
        <v>-6.7649809546666217</v>
      </c>
      <c r="EK76" s="748">
        <f>INPUT!GX581</f>
        <v>-4.7461481763248461</v>
      </c>
      <c r="EL76" s="746">
        <f>INPUT!GY581</f>
        <v>-7.1223193103342686</v>
      </c>
      <c r="EM76" s="750">
        <f>INPUT!GZ581</f>
        <v>-8.8473588957366562</v>
      </c>
    </row>
    <row r="77" spans="1:143" s="321" customFormat="1" ht="12.75" hidden="1" customHeight="1" outlineLevel="1" x14ac:dyDescent="0.2">
      <c r="A77" s="747" t="str">
        <f>INPUT!B582</f>
        <v>Adjs in deferred compensation plans</v>
      </c>
      <c r="B77" s="748">
        <f>INPUT!AY582</f>
        <v>0</v>
      </c>
      <c r="C77" s="746" t="str">
        <f>INPUT!AZ582</f>
        <v>NA</v>
      </c>
      <c r="D77" s="748">
        <f>INPUT!BA582</f>
        <v>0</v>
      </c>
      <c r="E77" s="733" t="str">
        <f>INPUT!BB582</f>
        <v>NA</v>
      </c>
      <c r="F77" s="748">
        <f>INPUT!BC582</f>
        <v>0</v>
      </c>
      <c r="G77" s="733" t="str">
        <f>INPUT!BD582</f>
        <v>NA</v>
      </c>
      <c r="H77" s="748">
        <f>INPUT!BE582</f>
        <v>0</v>
      </c>
      <c r="I77" s="733" t="str">
        <f>INPUT!BF582</f>
        <v>NA</v>
      </c>
      <c r="J77" s="748">
        <f>INPUT!BG582</f>
        <v>0</v>
      </c>
      <c r="K77" s="733" t="str">
        <f>INPUT!BH582</f>
        <v>NA</v>
      </c>
      <c r="L77" s="748">
        <f>INPUT!BI582</f>
        <v>0</v>
      </c>
      <c r="M77" s="733" t="str">
        <f>INPUT!BJ582</f>
        <v>NA</v>
      </c>
      <c r="N77" s="748">
        <f>INPUT!BK582</f>
        <v>0</v>
      </c>
      <c r="O77" s="733" t="str">
        <f>INPUT!BL582</f>
        <v>NA</v>
      </c>
      <c r="P77" s="748">
        <f>INPUT!BM582</f>
        <v>0</v>
      </c>
      <c r="Q77" s="733" t="str">
        <f>INPUT!BN582</f>
        <v>NA</v>
      </c>
      <c r="R77" s="748">
        <f>INPUT!BO582</f>
        <v>0</v>
      </c>
      <c r="S77" s="733" t="str">
        <f>INPUT!BP582</f>
        <v>NA</v>
      </c>
      <c r="T77" s="748">
        <f>INPUT!BQ582</f>
        <v>0</v>
      </c>
      <c r="U77" s="733" t="str">
        <f>INPUT!BR582</f>
        <v>NA</v>
      </c>
      <c r="V77" s="748">
        <f>INPUT!BS582</f>
        <v>0</v>
      </c>
      <c r="W77" s="733" t="str">
        <f>INPUT!BT582</f>
        <v>NA</v>
      </c>
      <c r="X77" s="748">
        <f>INPUT!BU582</f>
        <v>0</v>
      </c>
      <c r="Y77" s="733" t="str">
        <f>INPUT!BV582</f>
        <v>NA</v>
      </c>
      <c r="Z77" s="748">
        <f>INPUT!BW582</f>
        <v>0</v>
      </c>
      <c r="AA77" s="749" t="str">
        <f>INPUT!BX582</f>
        <v>NA</v>
      </c>
      <c r="AB77" s="748">
        <f>INPUT!BY582</f>
        <v>0</v>
      </c>
      <c r="AC77" s="733" t="str">
        <f>INPUT!BZ582</f>
        <v>NA</v>
      </c>
      <c r="AD77" s="748">
        <f>INPUT!CA582</f>
        <v>0</v>
      </c>
      <c r="AE77" s="733" t="str">
        <f>INPUT!CB582</f>
        <v>NA</v>
      </c>
      <c r="AF77" s="748">
        <f>INPUT!CC582</f>
        <v>0</v>
      </c>
      <c r="AG77" s="733" t="str">
        <f>INPUT!CD582</f>
        <v>NA</v>
      </c>
      <c r="AH77" s="748">
        <f>INPUT!CE582</f>
        <v>0</v>
      </c>
      <c r="AI77" s="746" t="str">
        <f>INPUT!CF582</f>
        <v>NA</v>
      </c>
      <c r="AJ77" s="748">
        <f>INPUT!CG582</f>
        <v>0</v>
      </c>
      <c r="AK77" s="746" t="str">
        <f>INPUT!CH582</f>
        <v>NA</v>
      </c>
      <c r="AL77" s="748">
        <f>INPUT!CI582</f>
        <v>0</v>
      </c>
      <c r="AM77" s="746" t="str">
        <f>INPUT!CJ582</f>
        <v>NA</v>
      </c>
      <c r="AN77" s="748">
        <f>INPUT!CK582</f>
        <v>0</v>
      </c>
      <c r="AO77" s="746" t="str">
        <f>INPUT!CL582</f>
        <v>NA</v>
      </c>
      <c r="AP77" s="748">
        <f>INPUT!CM582</f>
        <v>0</v>
      </c>
      <c r="AQ77" s="746" t="str">
        <f>INPUT!CN582</f>
        <v>NA</v>
      </c>
      <c r="AR77" s="748">
        <f>INPUT!CO582</f>
        <v>-0.44688896528016531</v>
      </c>
      <c r="AS77" s="746" t="str">
        <f>INPUT!CP582</f>
        <v>NA</v>
      </c>
      <c r="AT77" s="748">
        <f>INPUT!CQ582</f>
        <v>-2.013422818791947</v>
      </c>
      <c r="AU77" s="746" t="str">
        <f>INPUT!CR582</f>
        <v>NA</v>
      </c>
      <c r="AV77" s="748">
        <f>INPUT!CS582</f>
        <v>0</v>
      </c>
      <c r="AW77" s="746" t="str">
        <f>INPUT!CT582</f>
        <v>NA</v>
      </c>
      <c r="AX77" s="748">
        <f>INPUT!CU582</f>
        <v>0</v>
      </c>
      <c r="AY77" s="746" t="str">
        <f>INPUT!CV582</f>
        <v>NA</v>
      </c>
      <c r="AZ77" s="748">
        <f>INPUT!CW582</f>
        <v>-1.3559322033898304</v>
      </c>
      <c r="BA77" s="746" t="str">
        <f>INPUT!CX582</f>
        <v>NM</v>
      </c>
      <c r="BB77" s="748">
        <f>INPUT!CY582</f>
        <v>0</v>
      </c>
      <c r="BC77" s="746" t="str">
        <f>INPUT!CZ582</f>
        <v>NM</v>
      </c>
      <c r="BD77" s="748">
        <f>INPUT!DA582</f>
        <v>0</v>
      </c>
      <c r="BE77" s="746" t="str">
        <f>INPUT!DB582</f>
        <v>NA</v>
      </c>
      <c r="BF77" s="748">
        <f>INPUT!DC582</f>
        <v>0</v>
      </c>
      <c r="BG77" s="746" t="str">
        <f>INPUT!DD582</f>
        <v>NA</v>
      </c>
      <c r="BH77" s="748">
        <f>INPUT!DE582</f>
        <v>0</v>
      </c>
      <c r="BI77" s="746" t="str">
        <f>INPUT!DF582</f>
        <v>NM</v>
      </c>
      <c r="BJ77" s="748">
        <f>INPUT!DG582</f>
        <v>0</v>
      </c>
      <c r="BK77" s="746" t="str">
        <f>INPUT!DH582</f>
        <v>NA</v>
      </c>
      <c r="BL77" s="748">
        <f>INPUT!DI582</f>
        <v>0</v>
      </c>
      <c r="BM77" s="746" t="str">
        <f>INPUT!DJ582</f>
        <v>NA</v>
      </c>
      <c r="BN77" s="748">
        <f>INPUT!DK582</f>
        <v>-0.27472527472527475</v>
      </c>
      <c r="BO77" s="746" t="str">
        <f>INPUT!DL582</f>
        <v>NA</v>
      </c>
      <c r="BP77" s="748">
        <f>INPUT!DM582</f>
        <v>0.26041666666666663</v>
      </c>
      <c r="BQ77" s="746" t="str">
        <f>INPUT!DN582</f>
        <v>NA</v>
      </c>
      <c r="BR77" s="748">
        <f>INPUT!DO582</f>
        <v>0.49504950495049505</v>
      </c>
      <c r="BS77" s="746" t="str">
        <f>INPUT!DP582</f>
        <v>NA</v>
      </c>
      <c r="BT77" s="748">
        <f>INPUT!DQ582</f>
        <v>0</v>
      </c>
      <c r="BU77" s="746" t="str">
        <f>INPUT!DR582</f>
        <v>NA</v>
      </c>
      <c r="BV77" s="748">
        <f>INPUT!DS582</f>
        <v>0</v>
      </c>
      <c r="BW77" s="746" t="str">
        <f>INPUT!DT582</f>
        <v>NM</v>
      </c>
      <c r="BX77" s="748">
        <f>INPUT!DU582</f>
        <v>0</v>
      </c>
      <c r="BY77" s="746" t="str">
        <f>INPUT!DV582</f>
        <v>NM</v>
      </c>
      <c r="BZ77" s="748">
        <f>INPUT!DW582</f>
        <v>-1.6607354685646498</v>
      </c>
      <c r="CA77" s="746">
        <f>INPUT!DX582</f>
        <v>-1.6607354685646498</v>
      </c>
      <c r="CB77" s="748">
        <f>INPUT!DY582</f>
        <v>0</v>
      </c>
      <c r="CC77" s="746" t="str">
        <f>INPUT!DZ582</f>
        <v>NA</v>
      </c>
      <c r="CD77" s="748">
        <f>INPUT!EA582</f>
        <v>-1.9337016574585635</v>
      </c>
      <c r="CE77" s="746" t="str">
        <f>INPUT!EB582</f>
        <v>NA</v>
      </c>
      <c r="CF77" s="748">
        <f>INPUT!EC582</f>
        <v>0</v>
      </c>
      <c r="CG77" s="746" t="str">
        <f>INPUT!ED582</f>
        <v>NA</v>
      </c>
      <c r="CH77" s="748">
        <f>INPUT!EE582</f>
        <v>0</v>
      </c>
      <c r="CI77" s="746" t="str">
        <f>INPUT!EF582</f>
        <v>NM</v>
      </c>
      <c r="CJ77" s="748">
        <f>INPUT!EG582</f>
        <v>0</v>
      </c>
      <c r="CK77" s="746" t="str">
        <f>INPUT!EH582</f>
        <v>NA</v>
      </c>
      <c r="CL77" s="748">
        <f>INPUT!EI582</f>
        <v>0</v>
      </c>
      <c r="CM77" s="746" t="str">
        <f>INPUT!EJ582</f>
        <v>NM</v>
      </c>
      <c r="CN77" s="748">
        <f>INPUT!EK582</f>
        <v>0</v>
      </c>
      <c r="CO77" s="746" t="str">
        <f>INPUT!EL582</f>
        <v>NA</v>
      </c>
      <c r="CP77" s="748">
        <f>INPUT!EM582</f>
        <v>0</v>
      </c>
      <c r="CQ77" s="746" t="str">
        <f>INPUT!EN582</f>
        <v>NA</v>
      </c>
      <c r="CR77" s="748">
        <f>INPUT!EO582</f>
        <v>0</v>
      </c>
      <c r="CS77" s="746" t="str">
        <f>INPUT!EP582</f>
        <v>NA</v>
      </c>
      <c r="CT77" s="748">
        <f>INPUT!EQ582</f>
        <v>0</v>
      </c>
      <c r="CU77" s="746" t="str">
        <f>INPUT!ER582</f>
        <v>NA</v>
      </c>
      <c r="CV77" s="748">
        <f>INPUT!ES582</f>
        <v>0</v>
      </c>
      <c r="CW77" s="746" t="str">
        <f>INPUT!ET582</f>
        <v>NA</v>
      </c>
      <c r="CX77" s="748">
        <f>INPUT!EU582</f>
        <v>0</v>
      </c>
      <c r="CY77" s="746" t="str">
        <f>INPUT!EV582</f>
        <v>NA</v>
      </c>
      <c r="CZ77" s="748">
        <f>INPUT!EW582</f>
        <v>0</v>
      </c>
      <c r="DA77" s="746" t="str">
        <f>INPUT!EX582</f>
        <v>NA</v>
      </c>
      <c r="DB77" s="746"/>
      <c r="DC77" s="748">
        <f>INPUT!FP582</f>
        <v>0</v>
      </c>
      <c r="DD77" s="746" t="str">
        <f>INPUT!FQ582</f>
        <v>NA</v>
      </c>
      <c r="DE77" s="748">
        <f>INPUT!FR582</f>
        <v>0</v>
      </c>
      <c r="DF77" s="746" t="str">
        <f>INPUT!FS582</f>
        <v>NA</v>
      </c>
      <c r="DG77" s="748">
        <f>INPUT!FT582</f>
        <v>0</v>
      </c>
      <c r="DH77" s="746" t="str">
        <f>INPUT!FU582</f>
        <v>NA</v>
      </c>
      <c r="DI77" s="748">
        <f>INPUT!FV582</f>
        <v>0</v>
      </c>
      <c r="DJ77" s="746" t="str">
        <f>INPUT!FW582</f>
        <v>NA</v>
      </c>
      <c r="DK77" s="748">
        <f>INPUT!FX582</f>
        <v>0</v>
      </c>
      <c r="DL77" s="746" t="str">
        <f>INPUT!FY582</f>
        <v>NA</v>
      </c>
      <c r="DM77" s="748">
        <f>INPUT!FZ582</f>
        <v>0</v>
      </c>
      <c r="DN77" s="746" t="str">
        <f>INPUT!GA582</f>
        <v>NA</v>
      </c>
      <c r="DO77" s="748">
        <f>INPUT!GB582</f>
        <v>-0.65534189876692228</v>
      </c>
      <c r="DP77" s="746" t="str">
        <f>INPUT!GC582</f>
        <v>NA</v>
      </c>
      <c r="DQ77" s="748">
        <f>INPUT!GD582</f>
        <v>-0.32840722495894908</v>
      </c>
      <c r="DR77" s="746" t="str">
        <f>INPUT!GE582</f>
        <v>NA</v>
      </c>
      <c r="DS77" s="748">
        <f>INPUT!GF582</f>
        <v>0</v>
      </c>
      <c r="DT77" s="746" t="str">
        <f>INPUT!GG582</f>
        <v>NA</v>
      </c>
      <c r="DU77" s="748">
        <f>INPUT!GH582</f>
        <v>0.12995451591942819</v>
      </c>
      <c r="DV77" s="746" t="str">
        <f>INPUT!GI582</f>
        <v>NA</v>
      </c>
      <c r="DW77" s="748">
        <f>INPUT!GJ582</f>
        <v>-0.45617464972303684</v>
      </c>
      <c r="DX77" s="746">
        <f>INPUT!GK582</f>
        <v>-30.391349831078163</v>
      </c>
      <c r="DY77" s="748">
        <f>INPUT!GL582</f>
        <v>-0.45094376087096572</v>
      </c>
      <c r="DZ77" s="746">
        <f>INPUT!GM582</f>
        <v>37.312375185209071</v>
      </c>
      <c r="EA77" s="748">
        <f>INPUT!GN582</f>
        <v>0</v>
      </c>
      <c r="EB77" s="746" t="str">
        <f>INPUT!GO582</f>
        <v>NA</v>
      </c>
      <c r="EC77" s="748">
        <f>INPUT!GP582</f>
        <v>0</v>
      </c>
      <c r="ED77" s="746" t="str">
        <f>INPUT!GQ582</f>
        <v>NM</v>
      </c>
      <c r="EE77" s="748">
        <f>INPUT!GR582</f>
        <v>0</v>
      </c>
      <c r="EF77" s="746" t="str">
        <f>INPUT!GS582</f>
        <v>NM</v>
      </c>
      <c r="EG77" s="748">
        <f>INPUT!GT582</f>
        <v>0</v>
      </c>
      <c r="EH77" s="746" t="str">
        <f>INPUT!GU582</f>
        <v>NM</v>
      </c>
      <c r="EI77" s="748">
        <f>INPUT!GV582</f>
        <v>0</v>
      </c>
      <c r="EJ77" s="746" t="str">
        <f>INPUT!GW582</f>
        <v>NA</v>
      </c>
      <c r="EK77" s="748">
        <f>INPUT!GX582</f>
        <v>0</v>
      </c>
      <c r="EL77" s="746" t="str">
        <f>INPUT!GY582</f>
        <v>NA</v>
      </c>
      <c r="EM77" s="750" t="str">
        <f>INPUT!GZ582</f>
        <v/>
      </c>
    </row>
    <row r="78" spans="1:143" s="321" customFormat="1" ht="12.75" hidden="1" customHeight="1" outlineLevel="1" x14ac:dyDescent="0.2">
      <c r="A78" s="731" t="str">
        <f>INPUT!B583</f>
        <v xml:space="preserve">Total </v>
      </c>
      <c r="B78" s="748">
        <f>INPUT!AY583</f>
        <v>100</v>
      </c>
      <c r="C78" s="746">
        <f>INPUT!AZ583</f>
        <v>0</v>
      </c>
      <c r="D78" s="748">
        <f>INPUT!BA583</f>
        <v>100</v>
      </c>
      <c r="E78" s="733">
        <f>INPUT!BB583</f>
        <v>0</v>
      </c>
      <c r="F78" s="748">
        <f>INPUT!BC583</f>
        <v>100</v>
      </c>
      <c r="G78" s="733">
        <f>INPUT!BD583</f>
        <v>0</v>
      </c>
      <c r="H78" s="748">
        <f>INPUT!BE583</f>
        <v>100</v>
      </c>
      <c r="I78" s="733">
        <f>INPUT!BF583</f>
        <v>0</v>
      </c>
      <c r="J78" s="748">
        <f>INPUT!BG583</f>
        <v>100</v>
      </c>
      <c r="K78" s="733">
        <f>INPUT!BH583</f>
        <v>0</v>
      </c>
      <c r="L78" s="748">
        <f>INPUT!BI583</f>
        <v>100</v>
      </c>
      <c r="M78" s="733">
        <f>INPUT!BJ583</f>
        <v>0</v>
      </c>
      <c r="N78" s="748">
        <f>INPUT!BK583</f>
        <v>100</v>
      </c>
      <c r="O78" s="733">
        <f>INPUT!BL583</f>
        <v>0</v>
      </c>
      <c r="P78" s="748">
        <f>INPUT!BM583</f>
        <v>100</v>
      </c>
      <c r="Q78" s="733">
        <f>INPUT!BN583</f>
        <v>0</v>
      </c>
      <c r="R78" s="748">
        <f>INPUT!BO583</f>
        <v>100</v>
      </c>
      <c r="S78" s="733">
        <f>INPUT!BP583</f>
        <v>0</v>
      </c>
      <c r="T78" s="748">
        <f>INPUT!BQ583</f>
        <v>100</v>
      </c>
      <c r="U78" s="733">
        <f>INPUT!BR583</f>
        <v>0</v>
      </c>
      <c r="V78" s="748">
        <f>INPUT!BS583</f>
        <v>100</v>
      </c>
      <c r="W78" s="733">
        <f>INPUT!BT583</f>
        <v>0</v>
      </c>
      <c r="X78" s="748">
        <f>INPUT!BU583</f>
        <v>100</v>
      </c>
      <c r="Y78" s="733">
        <f>INPUT!BV583</f>
        <v>0</v>
      </c>
      <c r="Z78" s="748">
        <f>INPUT!BW583</f>
        <v>100</v>
      </c>
      <c r="AA78" s="749">
        <f>INPUT!BX583</f>
        <v>0</v>
      </c>
      <c r="AB78" s="748">
        <f>INPUT!BY583</f>
        <v>100</v>
      </c>
      <c r="AC78" s="733">
        <f>INPUT!BZ583</f>
        <v>0</v>
      </c>
      <c r="AD78" s="748">
        <f>INPUT!CA583</f>
        <v>100</v>
      </c>
      <c r="AE78" s="733">
        <f>INPUT!CB583</f>
        <v>0</v>
      </c>
      <c r="AF78" s="748">
        <f>INPUT!CC583</f>
        <v>100</v>
      </c>
      <c r="AG78" s="733">
        <f>INPUT!CD583</f>
        <v>0</v>
      </c>
      <c r="AH78" s="748">
        <f>INPUT!CE583</f>
        <v>100</v>
      </c>
      <c r="AI78" s="746">
        <f>INPUT!CF583</f>
        <v>0</v>
      </c>
      <c r="AJ78" s="748">
        <f>INPUT!CG583</f>
        <v>100</v>
      </c>
      <c r="AK78" s="746">
        <f>INPUT!CH583</f>
        <v>0</v>
      </c>
      <c r="AL78" s="748">
        <f>INPUT!CI583</f>
        <v>100</v>
      </c>
      <c r="AM78" s="746">
        <f>INPUT!CJ583</f>
        <v>0</v>
      </c>
      <c r="AN78" s="748">
        <f>INPUT!CK583</f>
        <v>100</v>
      </c>
      <c r="AO78" s="746">
        <f>INPUT!CL583</f>
        <v>0</v>
      </c>
      <c r="AP78" s="748">
        <f>INPUT!CM583</f>
        <v>100</v>
      </c>
      <c r="AQ78" s="746">
        <f>INPUT!CN583</f>
        <v>0</v>
      </c>
      <c r="AR78" s="748">
        <f>INPUT!CO583</f>
        <v>100</v>
      </c>
      <c r="AS78" s="746">
        <f>INPUT!CP583</f>
        <v>0</v>
      </c>
      <c r="AT78" s="748">
        <f>INPUT!CQ583</f>
        <v>100</v>
      </c>
      <c r="AU78" s="746">
        <f>INPUT!CR583</f>
        <v>0</v>
      </c>
      <c r="AV78" s="748">
        <f>INPUT!CS583</f>
        <v>100</v>
      </c>
      <c r="AW78" s="746">
        <f>INPUT!CT583</f>
        <v>0</v>
      </c>
      <c r="AX78" s="748">
        <f>INPUT!CU583</f>
        <v>100</v>
      </c>
      <c r="AY78" s="746">
        <f>INPUT!CV583</f>
        <v>0</v>
      </c>
      <c r="AZ78" s="748">
        <f>INPUT!CW583</f>
        <v>100</v>
      </c>
      <c r="BA78" s="746">
        <f>INPUT!CX583</f>
        <v>0</v>
      </c>
      <c r="BB78" s="748">
        <f>INPUT!CY583</f>
        <v>100</v>
      </c>
      <c r="BC78" s="746">
        <f>INPUT!CZ583</f>
        <v>0</v>
      </c>
      <c r="BD78" s="748">
        <f>INPUT!DA583</f>
        <v>100</v>
      </c>
      <c r="BE78" s="746">
        <f>INPUT!DB583</f>
        <v>0</v>
      </c>
      <c r="BF78" s="748">
        <f>INPUT!DC583</f>
        <v>100</v>
      </c>
      <c r="BG78" s="746">
        <f>INPUT!DD583</f>
        <v>0</v>
      </c>
      <c r="BH78" s="748">
        <f>INPUT!DE583</f>
        <v>100</v>
      </c>
      <c r="BI78" s="746">
        <f>INPUT!DF583</f>
        <v>0</v>
      </c>
      <c r="BJ78" s="748">
        <f>INPUT!DG583</f>
        <v>100</v>
      </c>
      <c r="BK78" s="746">
        <f>INPUT!DH583</f>
        <v>0</v>
      </c>
      <c r="BL78" s="748">
        <f>INPUT!DI583</f>
        <v>100</v>
      </c>
      <c r="BM78" s="746">
        <f>INPUT!DJ583</f>
        <v>0</v>
      </c>
      <c r="BN78" s="748">
        <f>INPUT!DK583</f>
        <v>100</v>
      </c>
      <c r="BO78" s="746">
        <f>INPUT!DL583</f>
        <v>0</v>
      </c>
      <c r="BP78" s="748">
        <f>INPUT!DM583</f>
        <v>100</v>
      </c>
      <c r="BQ78" s="746">
        <f>INPUT!DN583</f>
        <v>0</v>
      </c>
      <c r="BR78" s="748">
        <f>INPUT!DO583</f>
        <v>100</v>
      </c>
      <c r="BS78" s="746">
        <f>INPUT!DP583</f>
        <v>0</v>
      </c>
      <c r="BT78" s="748">
        <f>INPUT!DQ583</f>
        <v>100</v>
      </c>
      <c r="BU78" s="746">
        <f>INPUT!DR583</f>
        <v>0</v>
      </c>
      <c r="BV78" s="748">
        <f>INPUT!DS583</f>
        <v>100</v>
      </c>
      <c r="BW78" s="746">
        <f>INPUT!DT583</f>
        <v>0</v>
      </c>
      <c r="BX78" s="748">
        <f>INPUT!DU583</f>
        <v>100</v>
      </c>
      <c r="BY78" s="746">
        <f>INPUT!DV583</f>
        <v>0</v>
      </c>
      <c r="BZ78" s="748">
        <f>INPUT!DW583</f>
        <v>100</v>
      </c>
      <c r="CA78" s="746">
        <f>INPUT!DX583</f>
        <v>100</v>
      </c>
      <c r="CB78" s="748">
        <f>INPUT!DY583</f>
        <v>100</v>
      </c>
      <c r="CC78" s="746">
        <f>INPUT!DZ583</f>
        <v>0</v>
      </c>
      <c r="CD78" s="748">
        <f>INPUT!EA583</f>
        <v>100</v>
      </c>
      <c r="CE78" s="746">
        <f>INPUT!EB583</f>
        <v>0</v>
      </c>
      <c r="CF78" s="748">
        <f>INPUT!EC583</f>
        <v>100</v>
      </c>
      <c r="CG78" s="746">
        <f>INPUT!ED583</f>
        <v>0</v>
      </c>
      <c r="CH78" s="748">
        <f>INPUT!EE583</f>
        <v>100</v>
      </c>
      <c r="CI78" s="746">
        <f>INPUT!EF583</f>
        <v>0</v>
      </c>
      <c r="CJ78" s="748">
        <f>INPUT!EG583</f>
        <v>100</v>
      </c>
      <c r="CK78" s="746">
        <f>INPUT!EH583</f>
        <v>0</v>
      </c>
      <c r="CL78" s="748">
        <f>INPUT!EI583</f>
        <v>100</v>
      </c>
      <c r="CM78" s="746">
        <f>INPUT!EJ583</f>
        <v>0</v>
      </c>
      <c r="CN78" s="748">
        <f>INPUT!EK583</f>
        <v>100</v>
      </c>
      <c r="CO78" s="746">
        <f>INPUT!EL583</f>
        <v>0</v>
      </c>
      <c r="CP78" s="748">
        <f>INPUT!EM583</f>
        <v>100</v>
      </c>
      <c r="CQ78" s="746">
        <f>INPUT!EN583</f>
        <v>0</v>
      </c>
      <c r="CR78" s="748">
        <f>INPUT!EO583</f>
        <v>100</v>
      </c>
      <c r="CS78" s="746">
        <f>INPUT!EP583</f>
        <v>0</v>
      </c>
      <c r="CT78" s="748">
        <f>INPUT!EQ583</f>
        <v>100</v>
      </c>
      <c r="CU78" s="746">
        <f>INPUT!ER583</f>
        <v>0</v>
      </c>
      <c r="CV78" s="748">
        <f>INPUT!ES583</f>
        <v>100</v>
      </c>
      <c r="CW78" s="746">
        <f>INPUT!ET583</f>
        <v>0</v>
      </c>
      <c r="CX78" s="748">
        <f>INPUT!EU583</f>
        <v>100</v>
      </c>
      <c r="CY78" s="746">
        <f>INPUT!EV583</f>
        <v>0</v>
      </c>
      <c r="CZ78" s="748">
        <f>INPUT!EW583</f>
        <v>100</v>
      </c>
      <c r="DA78" s="746">
        <f>INPUT!EX583</f>
        <v>0</v>
      </c>
      <c r="DB78" s="746"/>
      <c r="DC78" s="748">
        <f>INPUT!FP583</f>
        <v>100</v>
      </c>
      <c r="DD78" s="746" t="str">
        <f>INPUT!FQ583</f>
        <v>NA</v>
      </c>
      <c r="DE78" s="748">
        <f>INPUT!FR583</f>
        <v>100</v>
      </c>
      <c r="DF78" s="746">
        <f>INPUT!FS583</f>
        <v>0</v>
      </c>
      <c r="DG78" s="748">
        <f>INPUT!FT583</f>
        <v>100</v>
      </c>
      <c r="DH78" s="746">
        <f>INPUT!FU583</f>
        <v>0</v>
      </c>
      <c r="DI78" s="748">
        <f>INPUT!FV583</f>
        <v>100</v>
      </c>
      <c r="DJ78" s="746">
        <f>INPUT!FW583</f>
        <v>0</v>
      </c>
      <c r="DK78" s="748">
        <f>INPUT!FX583</f>
        <v>100</v>
      </c>
      <c r="DL78" s="746">
        <f>INPUT!FY583</f>
        <v>0</v>
      </c>
      <c r="DM78" s="748">
        <f>INPUT!FZ583</f>
        <v>100</v>
      </c>
      <c r="DN78" s="746">
        <f>INPUT!GA583</f>
        <v>0</v>
      </c>
      <c r="DO78" s="748">
        <f>INPUT!GB583</f>
        <v>100</v>
      </c>
      <c r="DP78" s="746">
        <f>INPUT!GC583</f>
        <v>0</v>
      </c>
      <c r="DQ78" s="748">
        <f>INPUT!GD583</f>
        <v>100</v>
      </c>
      <c r="DR78" s="746">
        <f>INPUT!GE583</f>
        <v>0</v>
      </c>
      <c r="DS78" s="748">
        <f>INPUT!GF583</f>
        <v>100</v>
      </c>
      <c r="DT78" s="746">
        <f>INPUT!GG583</f>
        <v>0</v>
      </c>
      <c r="DU78" s="748">
        <f>INPUT!GH583</f>
        <v>100</v>
      </c>
      <c r="DV78" s="746">
        <f>INPUT!GI583</f>
        <v>0</v>
      </c>
      <c r="DW78" s="748">
        <f>INPUT!GJ583</f>
        <v>100</v>
      </c>
      <c r="DX78" s="746">
        <f>INPUT!GK583</f>
        <v>0</v>
      </c>
      <c r="DY78" s="748">
        <f>INPUT!GL583</f>
        <v>100</v>
      </c>
      <c r="DZ78" s="746">
        <f>INPUT!GM583</f>
        <v>0</v>
      </c>
      <c r="EA78" s="748">
        <f>INPUT!GN583</f>
        <v>100</v>
      </c>
      <c r="EB78" s="746">
        <f>INPUT!GO583</f>
        <v>0</v>
      </c>
      <c r="EC78" s="748">
        <f>INPUT!GP583</f>
        <v>100</v>
      </c>
      <c r="ED78" s="746">
        <f>INPUT!GQ583</f>
        <v>0</v>
      </c>
      <c r="EE78" s="748">
        <f>INPUT!GR583</f>
        <v>100</v>
      </c>
      <c r="EF78" s="746">
        <f>INPUT!GS583</f>
        <v>0</v>
      </c>
      <c r="EG78" s="748">
        <f>INPUT!GT583</f>
        <v>100</v>
      </c>
      <c r="EH78" s="746">
        <f>INPUT!GU583</f>
        <v>0</v>
      </c>
      <c r="EI78" s="748">
        <f>INPUT!GV583</f>
        <v>100</v>
      </c>
      <c r="EJ78" s="746">
        <f>INPUT!GW583</f>
        <v>0</v>
      </c>
      <c r="EK78" s="748">
        <f>INPUT!GX583</f>
        <v>100</v>
      </c>
      <c r="EL78" s="746">
        <f>INPUT!GY583</f>
        <v>0</v>
      </c>
      <c r="EM78" s="750">
        <f>INPUT!GZ583</f>
        <v>0</v>
      </c>
    </row>
    <row r="79" spans="1:143" s="565" customFormat="1" ht="12.75" hidden="1" customHeight="1" outlineLevel="1" x14ac:dyDescent="0.2">
      <c r="A79" s="751" t="s">
        <v>50</v>
      </c>
      <c r="B79" s="752"/>
      <c r="C79" s="753"/>
      <c r="D79" s="752"/>
      <c r="E79" s="753"/>
      <c r="F79" s="752"/>
      <c r="G79" s="753"/>
      <c r="H79" s="752"/>
      <c r="I79" s="753"/>
      <c r="J79" s="752"/>
      <c r="K79" s="753"/>
      <c r="L79" s="752"/>
      <c r="M79" s="753"/>
      <c r="N79" s="752"/>
      <c r="O79" s="753"/>
      <c r="P79" s="752"/>
      <c r="Q79" s="753"/>
      <c r="R79" s="752"/>
      <c r="S79" s="753"/>
      <c r="T79" s="752"/>
      <c r="U79" s="753"/>
      <c r="V79" s="752"/>
      <c r="W79" s="753"/>
      <c r="X79" s="752"/>
      <c r="Y79" s="753"/>
      <c r="Z79" s="752"/>
      <c r="AA79" s="753"/>
      <c r="AB79" s="752"/>
      <c r="AC79" s="753"/>
      <c r="AD79" s="752"/>
      <c r="AE79" s="753"/>
      <c r="AF79" s="752"/>
      <c r="AG79" s="753"/>
      <c r="AH79" s="752"/>
      <c r="AI79" s="753"/>
      <c r="AJ79" s="752"/>
      <c r="AK79" s="753"/>
      <c r="AL79" s="752"/>
      <c r="AM79" s="753"/>
      <c r="AN79" s="752"/>
      <c r="AO79" s="753"/>
      <c r="AP79" s="754">
        <f>(AP66+AP67+AP69+AP70+AP76+AP77)-AP78</f>
        <v>0</v>
      </c>
      <c r="AQ79" s="753"/>
      <c r="AR79" s="754">
        <f>(AR66+AR67+AR69+AR70+AR76+AR77)-AR78</f>
        <v>0</v>
      </c>
      <c r="AS79" s="753"/>
      <c r="AT79" s="754">
        <f>(AT66+AT67+AT69+AT70+AT76+AT77)-AT78</f>
        <v>0</v>
      </c>
      <c r="AU79" s="753"/>
      <c r="AV79" s="754">
        <f>(AV66+AV67+AV69+AV70+AV76+AV77)-AV78</f>
        <v>0</v>
      </c>
      <c r="AW79" s="753"/>
      <c r="AX79" s="754">
        <f>(AX66+AX67+AX69+AX70+AX76+AX77)-AX78</f>
        <v>0</v>
      </c>
      <c r="AY79" s="753"/>
      <c r="AZ79" s="754">
        <f>(AZ66+AZ67+AZ69+AZ70+AZ76+AZ77)-AZ78</f>
        <v>0</v>
      </c>
      <c r="BA79" s="753"/>
      <c r="BB79" s="754">
        <f>(BB66+BB67+BB69+BB70+BB76+BB77)-BB78</f>
        <v>0</v>
      </c>
      <c r="BC79" s="753"/>
      <c r="BD79" s="754">
        <f>(BD66+BD67+BD69+BD70+BD76+BD77)-BD78</f>
        <v>0</v>
      </c>
      <c r="BE79" s="753"/>
      <c r="BF79" s="754">
        <f>(BF66+BF67+BF69+BF70+BF76+BF77)-BF78</f>
        <v>0</v>
      </c>
      <c r="BG79" s="753"/>
      <c r="BH79" s="754">
        <f>(BH66+BH67+BH69+BH70+BH76+BH77)-BH78</f>
        <v>0</v>
      </c>
      <c r="BI79" s="753"/>
      <c r="BJ79" s="754">
        <f>(BJ66+BJ67+BJ69+BJ70+BJ76+BJ77)-BJ78</f>
        <v>0</v>
      </c>
      <c r="BK79" s="753"/>
      <c r="BL79" s="754">
        <f>(BL66+BL67+BL69+BL70+BL76+BL77)-BL78</f>
        <v>0</v>
      </c>
      <c r="BM79" s="753"/>
      <c r="BN79" s="754">
        <f>(BN66+BN67+BN69+BN70+BN76+BN77)-BN78</f>
        <v>0</v>
      </c>
      <c r="BO79" s="753"/>
      <c r="BP79" s="754">
        <f>(BP66+BP67+BP69+BP70+BP76+BP77)-BP78</f>
        <v>0</v>
      </c>
      <c r="BQ79" s="753"/>
      <c r="BR79" s="754">
        <f>(BR66+BR67+BR69+BR70+BR76+BR77)-BR78</f>
        <v>0</v>
      </c>
      <c r="BS79" s="753"/>
      <c r="BT79" s="754">
        <f>(BT66+BT67+BT69+BT70+BT76+BT77)-BT78</f>
        <v>0</v>
      </c>
      <c r="BU79" s="753"/>
      <c r="BV79" s="754">
        <f>(BV66+BV67+BV69+BV70+BV76+BV77)-BV78</f>
        <v>0</v>
      </c>
      <c r="BW79" s="753"/>
      <c r="BX79" s="754">
        <f>(BX66+BX67+BX69+BX70+BX76+BX77)-BX78</f>
        <v>0</v>
      </c>
      <c r="BY79" s="753"/>
      <c r="BZ79" s="754">
        <f>(BZ66+BZ67+BZ69+BZ70+BZ76+BZ77)-BZ78</f>
        <v>0</v>
      </c>
      <c r="CA79" s="753"/>
      <c r="CB79" s="754">
        <f>(CB66+CB67+CB69+CB70+CB76+CB77)-CB78</f>
        <v>0</v>
      </c>
      <c r="CC79" s="753"/>
      <c r="CD79" s="754">
        <f>(CD66+CD67+CD69+CD70+CD76+CD77)-CD78</f>
        <v>0</v>
      </c>
      <c r="CE79" s="753"/>
      <c r="CF79" s="754">
        <f>(CF66+CF67+CF69+CF70+CF76+CF77)-CF78</f>
        <v>0</v>
      </c>
      <c r="CG79" s="753"/>
      <c r="CH79" s="754">
        <f>(CH66+CH67+CH69+CH70+CH76+CH77)-CH78</f>
        <v>0</v>
      </c>
      <c r="CI79" s="753"/>
      <c r="CJ79" s="754">
        <f>(CJ66+CJ67+CJ69+CJ70+CJ76+CJ77)-CJ78</f>
        <v>0</v>
      </c>
      <c r="CK79" s="753"/>
      <c r="CL79" s="754">
        <f t="shared" ref="CL79" si="67">(CL66+CL67+CL69+CL70+CL76+CL77)-CL78</f>
        <v>0</v>
      </c>
      <c r="CM79" s="753"/>
      <c r="CN79" s="754">
        <f t="shared" ref="CN79" si="68">(CN66+CN67+CN69+CN70+CN76+CN77)-CN78</f>
        <v>0</v>
      </c>
      <c r="CO79" s="753"/>
      <c r="CP79" s="754">
        <f t="shared" ref="CP79" si="69">(CP66+CP67+CP69+CP70+CP76+CP77)-CP78</f>
        <v>0</v>
      </c>
      <c r="CQ79" s="753"/>
      <c r="CR79" s="754">
        <f t="shared" ref="CR79" si="70">(CR66+CR67+CR69+CR70+CR76+CR77)-CR78</f>
        <v>0</v>
      </c>
      <c r="CS79" s="753"/>
      <c r="CT79" s="754">
        <f t="shared" ref="CT79" si="71">(CT66+CT67+CT69+CT70+CT76+CT77)-CT78</f>
        <v>0</v>
      </c>
      <c r="CU79" s="753"/>
      <c r="CV79" s="754">
        <f t="shared" ref="CV79" si="72">(CV66+CV67+CV69+CV70+CV76+CV77)-CV78</f>
        <v>0</v>
      </c>
      <c r="CW79" s="753"/>
      <c r="CX79" s="754">
        <f t="shared" ref="CX79" si="73">(CX66+CX67+CX69+CX70+CX76+CX77)-CX78</f>
        <v>0</v>
      </c>
      <c r="CY79" s="753"/>
      <c r="CZ79" s="754">
        <f t="shared" ref="CZ79" si="74">(CZ66+CZ67+CZ69+CZ70+CZ76+CZ77)-CZ78</f>
        <v>0</v>
      </c>
      <c r="DA79" s="753"/>
      <c r="DB79" s="753"/>
      <c r="DC79" s="752"/>
      <c r="DD79" s="753"/>
      <c r="DE79" s="752"/>
      <c r="DF79" s="753"/>
      <c r="DG79" s="752"/>
      <c r="DH79" s="753"/>
      <c r="DI79" s="752"/>
      <c r="DJ79" s="753"/>
      <c r="DK79" s="752"/>
      <c r="DL79" s="753"/>
      <c r="DM79" s="752"/>
      <c r="DN79" s="753"/>
      <c r="DO79" s="754">
        <f>(DO66+DO67+DO69+DO70+DO76+DO77)-DO78</f>
        <v>0</v>
      </c>
      <c r="DP79" s="753"/>
      <c r="DQ79" s="754">
        <f>(DQ66+DQ67+DQ69+DQ70+DQ76+DQ77)-DQ78</f>
        <v>0</v>
      </c>
      <c r="DR79" s="753"/>
      <c r="DS79" s="754">
        <f>(DS66+DS67+DS69+DS70+DS76+DS77)-DS78</f>
        <v>0</v>
      </c>
      <c r="DT79" s="753"/>
      <c r="DU79" s="754">
        <f>(DU66+DU67+DU69+DU70+DU76+DU77)-DU78</f>
        <v>0</v>
      </c>
      <c r="DV79" s="753"/>
      <c r="DW79" s="754">
        <f>(DW66+DW67+DW69+DW70+DW76+DW77)-DW78</f>
        <v>0</v>
      </c>
      <c r="DX79" s="753"/>
      <c r="DY79" s="754">
        <f>(DY66+DY67+DY69+DY70+DY76+DY77)-DY78</f>
        <v>0</v>
      </c>
      <c r="DZ79" s="753"/>
      <c r="EA79" s="754">
        <f>(EA66+EA67+EA69+EA70+EA76+EA77)-EA78</f>
        <v>0</v>
      </c>
      <c r="EB79" s="753"/>
      <c r="EC79" s="754">
        <f>(EC66+EC67+EC69+EC70+EC76+EC77)-EC78</f>
        <v>0</v>
      </c>
      <c r="ED79" s="753"/>
      <c r="EE79" s="754">
        <f>(EE66+EE67+EE69+EE70+EE76+EE77)-EE78</f>
        <v>0</v>
      </c>
      <c r="EF79" s="753"/>
      <c r="EG79" s="754">
        <f>(EG66+EG67+EG69+EG70+EG76+EG77)-EG78</f>
        <v>0</v>
      </c>
      <c r="EH79" s="753"/>
      <c r="EI79" s="754">
        <f>(EI66+EI67+EI69+EI70+EI76+EI77)-EI78</f>
        <v>0</v>
      </c>
      <c r="EJ79" s="753"/>
      <c r="EK79" s="754">
        <f>(EK66+EK67+EK69+EK70+EK76+EK77)-EK78</f>
        <v>0</v>
      </c>
      <c r="EL79" s="753"/>
      <c r="EM79" s="753"/>
    </row>
    <row r="80" spans="1:143" s="321" customFormat="1" ht="12.75" hidden="1" customHeight="1" outlineLevel="1" x14ac:dyDescent="0.2">
      <c r="A80" s="755"/>
      <c r="B80" s="327"/>
      <c r="C80" s="746"/>
      <c r="D80" s="327"/>
      <c r="E80" s="733"/>
      <c r="F80" s="327"/>
      <c r="G80" s="733"/>
      <c r="H80" s="327"/>
      <c r="I80" s="733"/>
      <c r="J80" s="327"/>
      <c r="K80" s="746"/>
      <c r="L80" s="327"/>
      <c r="M80" s="746"/>
      <c r="N80" s="327"/>
      <c r="O80" s="746"/>
      <c r="P80" s="327"/>
      <c r="Q80" s="746"/>
      <c r="R80" s="327"/>
      <c r="S80" s="746"/>
      <c r="T80" s="327"/>
      <c r="U80" s="746"/>
      <c r="V80" s="327"/>
      <c r="W80" s="746"/>
      <c r="X80" s="327"/>
      <c r="Y80" s="746"/>
      <c r="Z80" s="327"/>
      <c r="AA80" s="749"/>
      <c r="AB80" s="327"/>
      <c r="AC80" s="746"/>
      <c r="AD80" s="327"/>
      <c r="AE80" s="746"/>
      <c r="AF80" s="327"/>
      <c r="AG80" s="746"/>
      <c r="AH80" s="327"/>
      <c r="AI80" s="746"/>
      <c r="AJ80" s="327"/>
      <c r="AK80" s="746"/>
      <c r="AL80" s="327"/>
      <c r="AM80" s="746"/>
      <c r="AN80" s="327"/>
      <c r="AO80" s="746"/>
      <c r="AP80" s="327"/>
      <c r="AQ80" s="746"/>
      <c r="AR80" s="327"/>
      <c r="AS80" s="746"/>
      <c r="AT80" s="327"/>
      <c r="AU80" s="746"/>
      <c r="AV80" s="327"/>
      <c r="AW80" s="746"/>
      <c r="AX80" s="327"/>
      <c r="AY80" s="746"/>
      <c r="AZ80" s="327"/>
      <c r="BA80" s="746"/>
      <c r="BB80" s="327"/>
      <c r="BC80" s="746"/>
      <c r="BD80" s="327"/>
      <c r="BE80" s="746"/>
      <c r="BF80" s="327"/>
      <c r="BG80" s="746"/>
      <c r="BH80" s="327"/>
      <c r="BI80" s="746"/>
      <c r="BJ80" s="327"/>
      <c r="BK80" s="746"/>
      <c r="BL80" s="327"/>
      <c r="BM80" s="746"/>
      <c r="BN80" s="327"/>
      <c r="BO80" s="746"/>
      <c r="BP80" s="327"/>
      <c r="BQ80" s="746"/>
      <c r="BR80" s="327"/>
      <c r="BS80" s="746"/>
      <c r="BT80" s="327"/>
      <c r="BU80" s="746"/>
      <c r="BV80" s="327"/>
      <c r="BW80" s="746"/>
      <c r="BX80" s="327"/>
      <c r="BY80" s="746"/>
      <c r="BZ80" s="327"/>
      <c r="CA80" s="746"/>
      <c r="CB80" s="327"/>
      <c r="CC80" s="746"/>
      <c r="CD80" s="327"/>
      <c r="CE80" s="746"/>
      <c r="CF80" s="327"/>
      <c r="CG80" s="746"/>
      <c r="CH80" s="327"/>
      <c r="CI80" s="746"/>
      <c r="CJ80" s="327"/>
      <c r="CK80" s="746"/>
      <c r="CL80" s="327"/>
      <c r="CM80" s="746"/>
      <c r="CN80" s="327"/>
      <c r="CO80" s="746"/>
      <c r="CP80" s="327"/>
      <c r="CQ80" s="746"/>
      <c r="CR80" s="327"/>
      <c r="CS80" s="746"/>
      <c r="CT80" s="327"/>
      <c r="CU80" s="746"/>
      <c r="CV80" s="327"/>
      <c r="CW80" s="746"/>
      <c r="CX80" s="327"/>
      <c r="CY80" s="746"/>
      <c r="CZ80" s="327"/>
      <c r="DA80" s="746"/>
      <c r="DB80" s="746"/>
      <c r="DC80" s="327"/>
      <c r="DD80" s="746"/>
      <c r="DE80" s="327"/>
      <c r="DF80" s="746"/>
      <c r="DG80" s="327"/>
      <c r="DH80" s="746"/>
      <c r="DI80" s="327"/>
      <c r="DJ80" s="746"/>
      <c r="DK80" s="327"/>
      <c r="DL80" s="746"/>
      <c r="DM80" s="327"/>
      <c r="DN80" s="746"/>
      <c r="DO80" s="327"/>
      <c r="DP80" s="746"/>
      <c r="DQ80" s="327"/>
      <c r="DR80" s="746"/>
      <c r="DS80" s="327"/>
      <c r="DT80" s="746"/>
      <c r="DU80" s="327"/>
      <c r="DV80" s="746"/>
      <c r="DW80" s="327"/>
      <c r="DX80" s="746"/>
      <c r="DY80" s="327"/>
      <c r="DZ80" s="746"/>
      <c r="EA80" s="327"/>
      <c r="EB80" s="746"/>
      <c r="EC80" s="327"/>
      <c r="ED80" s="746"/>
      <c r="EE80" s="327"/>
      <c r="EF80" s="746"/>
      <c r="EG80" s="327"/>
      <c r="EH80" s="746"/>
      <c r="EI80" s="327"/>
      <c r="EJ80" s="746"/>
      <c r="EK80" s="327"/>
      <c r="EL80" s="746"/>
      <c r="EM80" s="733"/>
    </row>
    <row r="81" spans="1:143" ht="12.75" customHeight="1" collapsed="1" x14ac:dyDescent="0.2">
      <c r="A81" s="700" t="str">
        <f>INPUT!B671</f>
        <v>Capital Structure Excl FAS 115</v>
      </c>
      <c r="B81" s="16"/>
      <c r="C81" s="507"/>
      <c r="D81" s="16"/>
      <c r="E81" s="687"/>
      <c r="F81" s="16"/>
      <c r="G81" s="687"/>
      <c r="H81" s="16"/>
      <c r="I81" s="687"/>
      <c r="J81" s="16"/>
      <c r="K81" s="507"/>
      <c r="L81" s="16"/>
      <c r="M81" s="507"/>
      <c r="N81" s="16"/>
      <c r="O81" s="507"/>
      <c r="P81" s="16"/>
      <c r="Q81" s="507"/>
      <c r="R81" s="16"/>
      <c r="S81" s="507"/>
      <c r="T81" s="16"/>
      <c r="U81" s="507"/>
      <c r="V81" s="16"/>
      <c r="W81" s="507"/>
      <c r="X81" s="16"/>
      <c r="Y81" s="507"/>
      <c r="Z81" s="16"/>
      <c r="AA81" s="122"/>
      <c r="AB81" s="16"/>
      <c r="AC81" s="507"/>
      <c r="AD81" s="16"/>
      <c r="AE81" s="507"/>
      <c r="AF81" s="16"/>
      <c r="AG81" s="507"/>
      <c r="AH81" s="16"/>
      <c r="AI81" s="507"/>
      <c r="AJ81" s="16"/>
      <c r="AK81" s="507"/>
      <c r="AL81" s="16"/>
      <c r="AM81" s="507"/>
      <c r="AN81" s="16"/>
      <c r="AO81" s="507"/>
      <c r="AP81" s="16"/>
      <c r="AQ81" s="507"/>
      <c r="AR81" s="16"/>
      <c r="AS81" s="507"/>
      <c r="AT81" s="16"/>
      <c r="AU81" s="507"/>
      <c r="AV81" s="16"/>
      <c r="AW81" s="507"/>
      <c r="AX81" s="16"/>
      <c r="AY81" s="507"/>
      <c r="AZ81" s="16"/>
      <c r="BA81" s="507"/>
      <c r="BB81" s="16"/>
      <c r="BC81" s="507"/>
      <c r="BD81" s="16"/>
      <c r="BE81" s="507"/>
      <c r="BF81" s="16"/>
      <c r="BG81" s="507"/>
      <c r="BH81" s="16"/>
      <c r="BI81" s="507"/>
      <c r="BJ81" s="16"/>
      <c r="BK81" s="507"/>
      <c r="BL81" s="16"/>
      <c r="BM81" s="507"/>
      <c r="BN81" s="16"/>
      <c r="BO81" s="507"/>
      <c r="BP81" s="16"/>
      <c r="BQ81" s="507"/>
      <c r="BR81" s="16"/>
      <c r="BS81" s="507"/>
      <c r="BT81" s="16"/>
      <c r="BU81" s="507"/>
      <c r="BV81" s="16"/>
      <c r="BW81" s="507"/>
      <c r="BX81" s="16"/>
      <c r="BY81" s="507"/>
      <c r="BZ81" s="16"/>
      <c r="CA81" s="507"/>
      <c r="CB81" s="16"/>
      <c r="CC81" s="507"/>
      <c r="CD81" s="16"/>
      <c r="CE81" s="507"/>
      <c r="CF81" s="16"/>
      <c r="CG81" s="507"/>
      <c r="CH81" s="16"/>
      <c r="CI81" s="507"/>
      <c r="CJ81" s="16"/>
      <c r="CK81" s="507"/>
      <c r="CL81" s="16"/>
      <c r="CM81" s="507"/>
      <c r="CN81" s="16"/>
      <c r="CO81" s="507"/>
      <c r="CP81" s="16"/>
      <c r="CQ81" s="507"/>
      <c r="CR81" s="16"/>
      <c r="CS81" s="507"/>
      <c r="CT81" s="16"/>
      <c r="CU81" s="507"/>
      <c r="CV81" s="16"/>
      <c r="CW81" s="507"/>
      <c r="CX81" s="16"/>
      <c r="CY81" s="507"/>
      <c r="CZ81" s="16"/>
      <c r="DA81" s="507"/>
      <c r="DB81" s="507"/>
      <c r="DC81" s="16"/>
      <c r="DD81" s="507"/>
      <c r="DE81" s="16"/>
      <c r="DF81" s="507"/>
      <c r="DG81" s="16"/>
      <c r="DH81" s="507"/>
      <c r="DI81" s="16"/>
      <c r="DJ81" s="507"/>
      <c r="DK81" s="16"/>
      <c r="DL81" s="507"/>
      <c r="DM81" s="16"/>
      <c r="DN81" s="507"/>
      <c r="DO81" s="16"/>
      <c r="DP81" s="507"/>
      <c r="DQ81" s="16"/>
      <c r="DR81" s="507"/>
      <c r="DS81" s="16"/>
      <c r="DT81" s="507"/>
      <c r="DU81" s="16"/>
      <c r="DV81" s="507"/>
      <c r="DW81" s="16"/>
      <c r="DX81" s="507"/>
      <c r="DY81" s="16"/>
      <c r="DZ81" s="507"/>
      <c r="EA81" s="16"/>
      <c r="EB81" s="507"/>
      <c r="EC81" s="16"/>
      <c r="ED81" s="507"/>
      <c r="EE81" s="16"/>
      <c r="EF81" s="507"/>
      <c r="EG81" s="16"/>
      <c r="EH81" s="507"/>
      <c r="EI81" s="16"/>
      <c r="EJ81" s="507"/>
      <c r="EK81" s="16"/>
      <c r="EL81" s="507"/>
      <c r="EM81" s="687"/>
    </row>
    <row r="82" spans="1:143" ht="12.75" customHeight="1" x14ac:dyDescent="0.2">
      <c r="A82" s="701" t="str">
        <f>INPUT!B673</f>
        <v>LT Debt to LT Capital (%)</v>
      </c>
      <c r="B82" s="156">
        <f>INPUT!AY673</f>
        <v>13.468490342074023</v>
      </c>
      <c r="C82" s="507">
        <f>INPUT!AZ673</f>
        <v>-12.035289763761714</v>
      </c>
      <c r="D82" s="156">
        <f>INPUT!BA673</f>
        <v>16.443336816243541</v>
      </c>
      <c r="E82" s="687">
        <f>INPUT!BB673</f>
        <v>12.400050791585993</v>
      </c>
      <c r="F82" s="156">
        <f>INPUT!BC673</f>
        <v>16.378855925949352</v>
      </c>
      <c r="G82" s="687">
        <f>INPUT!BD673</f>
        <v>15.39596352670609</v>
      </c>
      <c r="H82" s="156">
        <f>INPUT!BE673</f>
        <v>15.80364100021251</v>
      </c>
      <c r="I82" s="687">
        <f>INPUT!BF673</f>
        <v>14.113678033066002</v>
      </c>
      <c r="J82" s="156">
        <f>INPUT!BG673</f>
        <v>17.560334038084868</v>
      </c>
      <c r="K82" s="687">
        <f>INPUT!BH673</f>
        <v>30.380863720326488</v>
      </c>
      <c r="L82" s="156">
        <f>INPUT!BI673</f>
        <v>16.595036256364889</v>
      </c>
      <c r="M82" s="687">
        <f>INPUT!BJ673</f>
        <v>0.92255873498554575</v>
      </c>
      <c r="N82" s="156">
        <f>INPUT!BK673</f>
        <v>18.369387321870011</v>
      </c>
      <c r="O82" s="687">
        <f>INPUT!BL673</f>
        <v>12.153055164048542</v>
      </c>
      <c r="P82" s="156">
        <f>INPUT!BM673</f>
        <v>19.705443571735117</v>
      </c>
      <c r="Q82" s="687">
        <f>INPUT!BN673</f>
        <v>24.68926351509846</v>
      </c>
      <c r="R82" s="156">
        <f>INPUT!BO673</f>
        <v>20.060010647050284</v>
      </c>
      <c r="S82" s="687">
        <f>INPUT!BP673</f>
        <v>14.23478963181517</v>
      </c>
      <c r="T82" s="156">
        <f>INPUT!BQ673</f>
        <v>26.357117154166453</v>
      </c>
      <c r="U82" s="687">
        <f>INPUT!BR673</f>
        <v>58.825306236118635</v>
      </c>
      <c r="V82" s="156">
        <f>INPUT!BS673</f>
        <v>28.497480417103226</v>
      </c>
      <c r="W82" s="687">
        <f>INPUT!BT673</f>
        <v>55.135715295060649</v>
      </c>
      <c r="X82" s="156">
        <f>INPUT!BU673</f>
        <v>30.500344909839928</v>
      </c>
      <c r="Y82" s="687">
        <f>INPUT!BV673</f>
        <v>54.781316131288136</v>
      </c>
      <c r="Z82" s="156">
        <f>INPUT!BW673</f>
        <v>29.671995683974018</v>
      </c>
      <c r="AA82" s="122">
        <f>INPUT!BX673</f>
        <v>47.916151222667104</v>
      </c>
      <c r="AB82" s="156">
        <f>INPUT!BY673</f>
        <v>30.694221250883846</v>
      </c>
      <c r="AC82" s="687">
        <f>INPUT!BZ673</f>
        <v>16.455153541068501</v>
      </c>
      <c r="AD82" s="156">
        <f>INPUT!CA673</f>
        <v>30.184754448667761</v>
      </c>
      <c r="AE82" s="687">
        <f>INPUT!CB673</f>
        <v>5.9207831951062273</v>
      </c>
      <c r="AF82" s="156">
        <f>INPUT!CC673</f>
        <v>31.1651126483311</v>
      </c>
      <c r="AG82" s="687">
        <f>INPUT!CD673</f>
        <v>2.1795417083191992</v>
      </c>
      <c r="AH82" s="156">
        <f>INPUT!CE673</f>
        <v>31.019284759768041</v>
      </c>
      <c r="AI82" s="507">
        <f>INPUT!CF673</f>
        <v>4.5406082224583866</v>
      </c>
      <c r="AJ82" s="156">
        <f>INPUT!CG673</f>
        <v>33.391028086337158</v>
      </c>
      <c r="AK82" s="507">
        <f>INPUT!CH673</f>
        <v>8.7860409078652104</v>
      </c>
      <c r="AL82" s="156">
        <f>INPUT!CI673</f>
        <v>33.316142341413105</v>
      </c>
      <c r="AM82" s="507">
        <f>INPUT!CJ673</f>
        <v>10.374071116167549</v>
      </c>
      <c r="AN82" s="156">
        <f>INPUT!CK673</f>
        <v>30.927953164114637</v>
      </c>
      <c r="AO82" s="507">
        <f>INPUT!CL673</f>
        <v>-0.76097746506673669</v>
      </c>
      <c r="AP82" s="156">
        <f>INPUT!CM673</f>
        <v>32.434326167450905</v>
      </c>
      <c r="AQ82" s="507">
        <f>INPUT!CN673</f>
        <v>4.561811849118369</v>
      </c>
      <c r="AR82" s="156">
        <f>INPUT!CO673</f>
        <v>33.580309149633344</v>
      </c>
      <c r="AS82" s="507">
        <f>INPUT!CP673</f>
        <v>0.56686204092539771</v>
      </c>
      <c r="AT82" s="156">
        <f>INPUT!CQ673</f>
        <v>32.081288913948441</v>
      </c>
      <c r="AU82" s="507">
        <f>INPUT!CR673</f>
        <v>-3.7064718202074021</v>
      </c>
      <c r="AV82" s="156">
        <f>INPUT!CS673</f>
        <v>34.094358714900075</v>
      </c>
      <c r="AW82" s="507">
        <f>INPUT!CT673</f>
        <v>10.238005515539195</v>
      </c>
      <c r="AX82" s="156">
        <f>INPUT!CU673</f>
        <v>34.811227024341775</v>
      </c>
      <c r="AY82" s="507">
        <f>INPUT!CV673</f>
        <v>7.3283497385439267</v>
      </c>
      <c r="AZ82" s="156">
        <f>INPUT!CW673</f>
        <v>34.916661578850963</v>
      </c>
      <c r="BA82" s="507">
        <f>INPUT!CX673</f>
        <v>3.9795715496925732</v>
      </c>
      <c r="BB82" s="156">
        <f>INPUT!CY673</f>
        <v>33.369776482021379</v>
      </c>
      <c r="BC82" s="507">
        <f>INPUT!CZ673</f>
        <v>4.0163210759051715</v>
      </c>
      <c r="BD82" s="156">
        <f>INPUT!DA673</f>
        <v>32.757166947723441</v>
      </c>
      <c r="BE82" s="507">
        <f>INPUT!DB673</f>
        <v>-3.9220323173060567</v>
      </c>
      <c r="BF82" s="156">
        <f>INPUT!DC673</f>
        <v>30.235003092145952</v>
      </c>
      <c r="BG82" s="507">
        <f>INPUT!DD673</f>
        <v>-13.145827721027747</v>
      </c>
      <c r="BH82" s="156">
        <f>INPUT!DE673</f>
        <v>30.654364453077577</v>
      </c>
      <c r="BI82" s="507">
        <f>INPUT!DF673</f>
        <v>-12.207057986193792</v>
      </c>
      <c r="BJ82" s="156">
        <f>INPUT!DG673</f>
        <v>31.551399670665724</v>
      </c>
      <c r="BK82" s="507">
        <f>INPUT!DH673</f>
        <v>-5.4491728835383118</v>
      </c>
      <c r="BL82" s="156">
        <f>INPUT!DI673</f>
        <v>30.912260313771061</v>
      </c>
      <c r="BM82" s="507">
        <f>INPUT!DJ673</f>
        <v>-5.6320701875611885</v>
      </c>
      <c r="BN82" s="156">
        <f>INPUT!DK673</f>
        <v>30.896456670303795</v>
      </c>
      <c r="BO82" s="507">
        <f>INPUT!DL673</f>
        <v>2.1877079891209572</v>
      </c>
      <c r="BP82" s="156">
        <f>INPUT!DM673</f>
        <v>29.675123407186316</v>
      </c>
      <c r="BQ82" s="507">
        <f>INPUT!DN673</f>
        <v>-3.1944588099034887</v>
      </c>
      <c r="BR82" s="156">
        <f>INPUT!DO673</f>
        <v>29.27297358320163</v>
      </c>
      <c r="BS82" s="507">
        <f>INPUT!DP673</f>
        <v>-7.2213154130921664</v>
      </c>
      <c r="BT82" s="156">
        <f>INPUT!DQ673</f>
        <v>29.418332030813886</v>
      </c>
      <c r="BU82" s="507">
        <f>INPUT!DR673</f>
        <v>-4.8328018326490589</v>
      </c>
      <c r="BV82" s="156">
        <f>INPUT!DS673</f>
        <v>30.800990916597854</v>
      </c>
      <c r="BW82" s="507">
        <f>INPUT!DT673</f>
        <v>-0.30898609094452967</v>
      </c>
      <c r="BX82" s="156">
        <f>INPUT!DU673</f>
        <v>30.124904130601511</v>
      </c>
      <c r="BY82" s="507">
        <f>INPUT!DV673</f>
        <v>1.5156827395240935</v>
      </c>
      <c r="BZ82" s="156">
        <f>INPUT!DW673</f>
        <v>30.439056356487548</v>
      </c>
      <c r="CA82" s="507">
        <f>INPUT!DX673</f>
        <v>30.552829571475304</v>
      </c>
      <c r="CB82" s="156">
        <f>INPUT!DY673</f>
        <v>30.302864938608458</v>
      </c>
      <c r="CC82" s="507">
        <f>INPUT!DZ673</f>
        <v>3.0067405142755188</v>
      </c>
      <c r="CD82" s="156">
        <f>INPUT!EA673</f>
        <v>30.744952930293302</v>
      </c>
      <c r="CE82" s="507">
        <f>INPUT!EB673</f>
        <v>-0.18193566062952859</v>
      </c>
      <c r="CF82" s="156">
        <f>INPUT!EC673</f>
        <v>30.024745669507837</v>
      </c>
      <c r="CG82" s="507">
        <f>INPUT!ED673</f>
        <v>-0.33247727746934519</v>
      </c>
      <c r="CH82" s="156">
        <f>INPUT!EE673</f>
        <v>29.652774004238442</v>
      </c>
      <c r="CI82" s="507">
        <f>INPUT!EF673</f>
        <v>-2.5831364252575595</v>
      </c>
      <c r="CJ82" s="156">
        <f>INPUT!EG673</f>
        <v>29.27644191269102</v>
      </c>
      <c r="CK82" s="507">
        <f>INPUT!EH673</f>
        <v>-3.387214469644706</v>
      </c>
      <c r="CL82" s="156">
        <f>INPUT!EI673</f>
        <v>28.11216386439564</v>
      </c>
      <c r="CM82" s="507">
        <f>INPUT!EJ673</f>
        <v>-8.5633211794692627</v>
      </c>
      <c r="CN82" s="156">
        <f>INPUT!EK673</f>
        <v>26.949301660618058</v>
      </c>
      <c r="CO82" s="507">
        <f>INPUT!EL673</f>
        <v>-10.243031007630155</v>
      </c>
      <c r="CP82" s="156">
        <f>INPUT!EM673</f>
        <v>26.695723236175429</v>
      </c>
      <c r="CQ82" s="507">
        <f>INPUT!EN673</f>
        <v>-9.9722567866343486</v>
      </c>
      <c r="CR82" s="156">
        <f>INPUT!EO673</f>
        <v>25.776888233435162</v>
      </c>
      <c r="CS82" s="507">
        <f>INPUT!EP673</f>
        <v>-11.95348017253025</v>
      </c>
      <c r="CT82" s="156">
        <f>INPUT!EQ673</f>
        <v>27.365655373611343</v>
      </c>
      <c r="CU82" s="507">
        <f>INPUT!ER673</f>
        <v>-2.6554643548082013</v>
      </c>
      <c r="CV82" s="156">
        <f>INPUT!ES673</f>
        <v>26.932011518684458</v>
      </c>
      <c r="CW82" s="507">
        <f>INPUT!ET673</f>
        <v>-6.4158033300232287E-2</v>
      </c>
      <c r="CX82" s="156">
        <f>INPUT!EU673</f>
        <v>26.714911300677034</v>
      </c>
      <c r="CY82" s="507">
        <f>INPUT!EV673</f>
        <v>7.18769232503913E-2</v>
      </c>
      <c r="CZ82" s="156">
        <f>INPUT!EW673</f>
        <v>26.484915888889198</v>
      </c>
      <c r="DA82" s="507">
        <f>INPUT!EX673</f>
        <v>2.7467537937168718</v>
      </c>
      <c r="DB82" s="507"/>
      <c r="DC82" s="156">
        <f>INPUT!FP673</f>
        <v>13.849033063006862</v>
      </c>
      <c r="DD82" s="507">
        <f>INPUT!FQ673</f>
        <v>3.5633199354830003</v>
      </c>
      <c r="DE82" s="156">
        <f>INPUT!FR673</f>
        <v>15.80364100021251</v>
      </c>
      <c r="DF82" s="507">
        <f>INPUT!FS673</f>
        <v>14.113678033066002</v>
      </c>
      <c r="DG82" s="156">
        <f>INPUT!FT673</f>
        <v>19.705443571735117</v>
      </c>
      <c r="DH82" s="507">
        <f>INPUT!FU673</f>
        <v>24.68926351509846</v>
      </c>
      <c r="DI82" s="156">
        <f>INPUT!FV673</f>
        <v>30.500344909839928</v>
      </c>
      <c r="DJ82" s="507">
        <f>INPUT!FW673</f>
        <v>54.781316131288136</v>
      </c>
      <c r="DK82" s="156">
        <f>INPUT!FX673</f>
        <v>31.1651126483311</v>
      </c>
      <c r="DL82" s="507">
        <f>INPUT!FY673</f>
        <v>2.1795417083191992</v>
      </c>
      <c r="DM82" s="156">
        <f>INPUT!FZ673</f>
        <v>30.927953164114637</v>
      </c>
      <c r="DN82" s="507">
        <f>INPUT!GA673</f>
        <v>-0.76097746506673669</v>
      </c>
      <c r="DO82" s="156">
        <f>INPUT!GB673</f>
        <v>34.094358714900075</v>
      </c>
      <c r="DP82" s="507">
        <f>INPUT!GC673</f>
        <v>10.238005515539195</v>
      </c>
      <c r="DQ82" s="156">
        <f>INPUT!GD673</f>
        <v>32.757166947723441</v>
      </c>
      <c r="DR82" s="507">
        <f>INPUT!GE673</f>
        <v>-3.9220323173060567</v>
      </c>
      <c r="DS82" s="156">
        <f>INPUT!GF673</f>
        <v>30.912260313771061</v>
      </c>
      <c r="DT82" s="507">
        <f>INPUT!GG673</f>
        <v>-5.6320701875611885</v>
      </c>
      <c r="DU82" s="156">
        <f>INPUT!GH673</f>
        <v>29.418332030813886</v>
      </c>
      <c r="DV82" s="507">
        <f>INPUT!GI673</f>
        <v>-4.8328018326490589</v>
      </c>
      <c r="DW82" s="156">
        <f>INPUT!GJ673</f>
        <v>30.302864938608458</v>
      </c>
      <c r="DX82" s="507">
        <f>INPUT!GK673</f>
        <v>3.0067405142755188</v>
      </c>
      <c r="DY82" s="156">
        <f>INPUT!GL673</f>
        <v>29.27644191269102</v>
      </c>
      <c r="DZ82" s="507">
        <f>INPUT!GM673</f>
        <v>-3.387214469644706</v>
      </c>
      <c r="EA82" s="156">
        <f>INPUT!GN673</f>
        <v>25.776888233435162</v>
      </c>
      <c r="EB82" s="507">
        <f>INPUT!GO673</f>
        <v>-11.95348017253025</v>
      </c>
      <c r="EC82" s="156">
        <f>INPUT!GP673</f>
        <v>26.484915888889198</v>
      </c>
      <c r="ED82" s="507">
        <f>INPUT!GQ673</f>
        <v>2.7467537937168718</v>
      </c>
      <c r="EE82" s="156">
        <f>INPUT!GR673</f>
        <v>25.621695745126104</v>
      </c>
      <c r="EF82" s="507">
        <f>INPUT!GS673</f>
        <v>-3.2592897307452962</v>
      </c>
      <c r="EG82" s="156">
        <f>INPUT!GT673</f>
        <v>24.711878354201193</v>
      </c>
      <c r="EH82" s="507">
        <f>INPUT!GU673</f>
        <v>-3.5509647760062157</v>
      </c>
      <c r="EI82" s="156">
        <f>INPUT!GV673</f>
        <v>23.875008212871077</v>
      </c>
      <c r="EJ82" s="507">
        <f>INPUT!GW673</f>
        <v>-3.3865096344966594</v>
      </c>
      <c r="EK82" s="156">
        <f>INPUT!GX673</f>
        <v>23.043387115182522</v>
      </c>
      <c r="EL82" s="507">
        <f>INPUT!GY673</f>
        <v>-3.483228530326643</v>
      </c>
      <c r="EM82" s="257">
        <f>INPUT!GZ673</f>
        <v>-2.2170432079869462</v>
      </c>
    </row>
    <row r="83" spans="1:143" ht="12.75" customHeight="1" x14ac:dyDescent="0.2">
      <c r="A83" s="701" t="str">
        <f>INPUT!B675</f>
        <v>Common Equity / Capital (%)</v>
      </c>
      <c r="B83" s="156"/>
      <c r="C83" s="507"/>
      <c r="D83" s="156"/>
      <c r="E83" s="687"/>
      <c r="F83" s="156"/>
      <c r="G83" s="687"/>
      <c r="H83" s="156"/>
      <c r="I83" s="687"/>
      <c r="J83" s="156">
        <f>INPUT!BG675</f>
        <v>81.346476124479395</v>
      </c>
      <c r="K83" s="756" t="str">
        <f>INPUT!BH675</f>
        <v>NA</v>
      </c>
      <c r="L83" s="156">
        <f>INPUT!BI675</f>
        <v>82.328069601075498</v>
      </c>
      <c r="M83" s="756" t="str">
        <f>INPUT!BJ675</f>
        <v>NA</v>
      </c>
      <c r="N83" s="156">
        <f>INPUT!BK675</f>
        <v>80.571933356616057</v>
      </c>
      <c r="O83" s="756" t="str">
        <f>INPUT!BL675</f>
        <v>NA</v>
      </c>
      <c r="P83" s="156">
        <f>INPUT!BM675</f>
        <v>79.241401391036604</v>
      </c>
      <c r="Q83" s="756" t="str">
        <f>INPUT!BN675</f>
        <v>NA</v>
      </c>
      <c r="R83" s="156">
        <f>INPUT!BO675</f>
        <v>78.871136123229235</v>
      </c>
      <c r="S83" s="756">
        <f>INPUT!BP675</f>
        <v>-3.0429591042914983</v>
      </c>
      <c r="T83" s="156">
        <f>INPUT!BQ675</f>
        <v>72.649462807793142</v>
      </c>
      <c r="U83" s="756">
        <f>INPUT!BR675</f>
        <v>-11.756144459818497</v>
      </c>
      <c r="V83" s="156">
        <f>INPUT!BS675</f>
        <v>70.538342563488499</v>
      </c>
      <c r="W83" s="756">
        <f>INPUT!BT675</f>
        <v>-12.452960199823304</v>
      </c>
      <c r="X83" s="156">
        <f>INPUT!BU675</f>
        <v>69.499655090160076</v>
      </c>
      <c r="Y83" s="756">
        <f>INPUT!BV675</f>
        <v>-12.293758224698015</v>
      </c>
      <c r="Z83" s="156">
        <f>INPUT!BW675</f>
        <v>70.328004316025982</v>
      </c>
      <c r="AA83" s="756">
        <f>INPUT!BX675</f>
        <v>-10.83175953476232</v>
      </c>
      <c r="AB83" s="156">
        <f>INPUT!BY675</f>
        <v>69.305778749116158</v>
      </c>
      <c r="AC83" s="756">
        <f>INPUT!BZ675</f>
        <v>-4.602489721807423</v>
      </c>
      <c r="AD83" s="156">
        <f>INPUT!CA675</f>
        <v>69.815245551332239</v>
      </c>
      <c r="AE83" s="756">
        <f>INPUT!CB675</f>
        <v>-1.0251119970751121</v>
      </c>
      <c r="AF83" s="156">
        <f>INPUT!CC675</f>
        <v>68.834887351668897</v>
      </c>
      <c r="AG83" s="756">
        <f>INPUT!CD675</f>
        <v>-0.9565050900307237</v>
      </c>
      <c r="AH83" s="156">
        <f>INPUT!CE675</f>
        <v>68.980715240231945</v>
      </c>
      <c r="AI83" s="507">
        <f>INPUT!CF675</f>
        <v>-1.915722035478018</v>
      </c>
      <c r="AJ83" s="156">
        <f>INPUT!CG675</f>
        <v>66.608971913662842</v>
      </c>
      <c r="AK83" s="507">
        <f>INPUT!CH675</f>
        <v>-3.8911716802369933</v>
      </c>
      <c r="AL83" s="156">
        <f>INPUT!CI675</f>
        <v>66.683857658586902</v>
      </c>
      <c r="AM83" s="507">
        <f>INPUT!CJ675</f>
        <v>-4.4852494151051303</v>
      </c>
      <c r="AN83" s="156">
        <f>INPUT!CK675</f>
        <v>69.072046835885359</v>
      </c>
      <c r="AO83" s="507">
        <f>INPUT!CL675</f>
        <v>0.34453384517771912</v>
      </c>
      <c r="AP83" s="156">
        <f>INPUT!CM675</f>
        <v>67.565673832549095</v>
      </c>
      <c r="AQ83" s="507">
        <f>INPUT!CN675</f>
        <v>-2.0513579813645433</v>
      </c>
      <c r="AR83" s="156">
        <f>INPUT!CO675</f>
        <v>66.419690850366649</v>
      </c>
      <c r="AS83" s="507">
        <f>INPUT!CP675</f>
        <v>-0.28416751956709119</v>
      </c>
      <c r="AT83" s="156">
        <f>INPUT!CQ675</f>
        <v>67.918711086051559</v>
      </c>
      <c r="AU83" s="507">
        <f>INPUT!CR675</f>
        <v>1.8518026263371734</v>
      </c>
      <c r="AV83" s="156">
        <f>INPUT!CS675</f>
        <v>65.905641285099932</v>
      </c>
      <c r="AW83" s="507">
        <f>INPUT!CT675</f>
        <v>-4.5842069199263484</v>
      </c>
      <c r="AX83" s="156">
        <f>INPUT!CU675</f>
        <v>65.188772975658225</v>
      </c>
      <c r="AY83" s="507">
        <f>INPUT!CV675</f>
        <v>-3.5179118656932906</v>
      </c>
      <c r="AZ83" s="156">
        <f>INPUT!CW675</f>
        <v>65.083338421149023</v>
      </c>
      <c r="BA83" s="507">
        <f>INPUT!CX675</f>
        <v>-2.0119823084214894</v>
      </c>
      <c r="BB83" s="156">
        <f>INPUT!CY675</f>
        <v>66.630223517978621</v>
      </c>
      <c r="BC83" s="507">
        <f>INPUT!CZ675</f>
        <v>-1.8971025030796729</v>
      </c>
      <c r="BD83" s="156">
        <f>INPUT!DA675</f>
        <v>67.242833052276566</v>
      </c>
      <c r="BE83" s="507">
        <f>INPUT!DB675</f>
        <v>2.0289488746374484</v>
      </c>
      <c r="BF83" s="156">
        <f>INPUT!DC675</f>
        <v>69.764996907854055</v>
      </c>
      <c r="BG83" s="507">
        <f>INPUT!DD675</f>
        <v>7.0199571541323724</v>
      </c>
      <c r="BH83" s="156">
        <f>INPUT!DE675</f>
        <v>69.345635546922423</v>
      </c>
      <c r="BI83" s="507">
        <f>INPUT!DF675</f>
        <v>6.5489835481278291</v>
      </c>
      <c r="BJ83" s="156">
        <f>INPUT!DG675</f>
        <v>68.448600329334269</v>
      </c>
      <c r="BK83" s="507">
        <f>INPUT!DH675</f>
        <v>2.7290570485104304</v>
      </c>
      <c r="BL83" s="156">
        <f>INPUT!DI675</f>
        <v>69.087739686228929</v>
      </c>
      <c r="BM83" s="507">
        <f>INPUT!DJ675</f>
        <v>2.7436479847868345</v>
      </c>
      <c r="BN83" s="156">
        <f>INPUT!DK675</f>
        <v>69.103543329696208</v>
      </c>
      <c r="BO83" s="507">
        <f>INPUT!DL675</f>
        <v>-0.9481166881315839</v>
      </c>
      <c r="BP83" s="156">
        <f>INPUT!DM675</f>
        <v>70.324876592813681</v>
      </c>
      <c r="BQ83" s="507">
        <f>INPUT!DN675</f>
        <v>1.4121163331593634</v>
      </c>
      <c r="BR83" s="156">
        <f>INPUT!DO675</f>
        <v>70.727026416798381</v>
      </c>
      <c r="BS83" s="507">
        <f>INPUT!DP675</f>
        <v>3.3286671699664705</v>
      </c>
      <c r="BT83" s="156">
        <f>INPUT!DQ675</f>
        <v>70.581667969186114</v>
      </c>
      <c r="BU83" s="507">
        <f>INPUT!DR675</f>
        <v>2.1623638141037071</v>
      </c>
      <c r="BV83" s="156">
        <f>INPUT!DS675</f>
        <v>69.199009083402146</v>
      </c>
      <c r="BW83" s="507">
        <f>INPUT!DT675</f>
        <v>0.13814885475620375</v>
      </c>
      <c r="BX83" s="156">
        <f>INPUT!DU675</f>
        <v>69.875095869398478</v>
      </c>
      <c r="BY83" s="507">
        <f>INPUT!DV675</f>
        <v>-0.63957556018117145</v>
      </c>
      <c r="BZ83" s="156">
        <f>INPUT!DW675</f>
        <v>69.560943643512445</v>
      </c>
      <c r="CA83" s="507">
        <f>INPUT!DX675</f>
        <v>69.4471704285247</v>
      </c>
      <c r="CB83" s="156">
        <f>INPUT!DY675</f>
        <v>69.697135061391549</v>
      </c>
      <c r="CC83" s="507">
        <f>INPUT!DZ675</f>
        <v>-1.2532048805941054</v>
      </c>
      <c r="CD83" s="156">
        <f>INPUT!EA675</f>
        <v>69.255047069706706</v>
      </c>
      <c r="CE83" s="507">
        <f>INPUT!EB675</f>
        <v>8.0980908609573632E-2</v>
      </c>
      <c r="CF83" s="156">
        <f>INPUT!EC675</f>
        <v>69.975254330492163</v>
      </c>
      <c r="CG83" s="507">
        <f>INPUT!ED675</f>
        <v>0.14333928254051109</v>
      </c>
      <c r="CH83" s="156">
        <f>INPUT!EE675</f>
        <v>70.347225995761562</v>
      </c>
      <c r="CI83" s="507">
        <f>INPUT!EF675</f>
        <v>1.1303503245710278</v>
      </c>
      <c r="CJ83" s="156">
        <f>INPUT!EG675</f>
        <v>70.723558087308973</v>
      </c>
      <c r="CK83" s="507">
        <f>INPUT!EH675</f>
        <v>1.4726904126164175</v>
      </c>
      <c r="CL83" s="156">
        <f>INPUT!EI675</f>
        <v>71.88783613560436</v>
      </c>
      <c r="CM83" s="507">
        <f>INPUT!EJ675</f>
        <v>3.8015844004086752</v>
      </c>
      <c r="CN83" s="156">
        <f>INPUT!EK675</f>
        <v>73.050698339381952</v>
      </c>
      <c r="CO83" s="507">
        <f>INPUT!EL675</f>
        <v>4.3950451317611661</v>
      </c>
      <c r="CP83" s="156">
        <f>INPUT!EM675</f>
        <v>73.304276763824575</v>
      </c>
      <c r="CQ83" s="507">
        <f>INPUT!EN675</f>
        <v>4.2035072829185616</v>
      </c>
      <c r="CR83" s="156">
        <f>INPUT!EO675</f>
        <v>74.223111766564841</v>
      </c>
      <c r="CS83" s="507">
        <f>INPUT!EP675</f>
        <v>4.9482149567978917</v>
      </c>
      <c r="CT83" s="156">
        <f>INPUT!EQ675</f>
        <v>72.634344626388653</v>
      </c>
      <c r="CU83" s="507">
        <f>INPUT!ER675</f>
        <v>1.0384350550990629</v>
      </c>
      <c r="CV83" s="156">
        <f>INPUT!ES675</f>
        <v>73.067988481315538</v>
      </c>
      <c r="CW83" s="507">
        <f>INPUT!ET675</f>
        <v>2.3668688084610423E-2</v>
      </c>
      <c r="CX83" s="156">
        <f>INPUT!EU675</f>
        <v>73.285088699322969</v>
      </c>
      <c r="CY83" s="507">
        <f>INPUT!EV675</f>
        <v>-2.6175914078552243E-2</v>
      </c>
      <c r="CZ83" s="156">
        <f>INPUT!EW675</f>
        <v>73.515084111110795</v>
      </c>
      <c r="DA83" s="507">
        <f>INPUT!EX675</f>
        <v>-0.95391804331894647</v>
      </c>
      <c r="DB83" s="507"/>
      <c r="DC83" s="156">
        <f>INPUT!FP675</f>
        <v>81.520759686698554</v>
      </c>
      <c r="DD83" s="687">
        <f>INPUT!FQ675</f>
        <v>2.7228453676660047</v>
      </c>
      <c r="DE83" s="156">
        <f>INPUT!FR675</f>
        <v>83.101225472834173</v>
      </c>
      <c r="DF83" s="687">
        <f>INPUT!FS675</f>
        <v>1.93872799052619</v>
      </c>
      <c r="DG83" s="156">
        <f>INPUT!FT675</f>
        <v>79.241401391036604</v>
      </c>
      <c r="DH83" s="687">
        <f>INPUT!FU675</f>
        <v>-4.6447258266478215</v>
      </c>
      <c r="DI83" s="156">
        <f>INPUT!FV675</f>
        <v>69.499655090160076</v>
      </c>
      <c r="DJ83" s="687">
        <f>INPUT!FW675</f>
        <v>-12.293758224698015</v>
      </c>
      <c r="DK83" s="156">
        <f>INPUT!FX675</f>
        <v>68.834887351668897</v>
      </c>
      <c r="DL83" s="507">
        <f>INPUT!FY675</f>
        <v>-0.9565050900307237</v>
      </c>
      <c r="DM83" s="156">
        <f>INPUT!FZ675</f>
        <v>69.072046835885359</v>
      </c>
      <c r="DN83" s="507">
        <f>INPUT!GA675</f>
        <v>0.34453384517771912</v>
      </c>
      <c r="DO83" s="156">
        <f>INPUT!GB675</f>
        <v>65.905641285099932</v>
      </c>
      <c r="DP83" s="507">
        <f>INPUT!GC675</f>
        <v>-4.5842069199263484</v>
      </c>
      <c r="DQ83" s="156">
        <f>INPUT!GD675</f>
        <v>67.242833052276566</v>
      </c>
      <c r="DR83" s="507">
        <f>INPUT!GE675</f>
        <v>2.0289488746374484</v>
      </c>
      <c r="DS83" s="156">
        <f>INPUT!GF675</f>
        <v>69.087739686228929</v>
      </c>
      <c r="DT83" s="507">
        <f>INPUT!GG675</f>
        <v>2.7436479847868345</v>
      </c>
      <c r="DU83" s="156">
        <f>INPUT!GH675</f>
        <v>70.581667969186114</v>
      </c>
      <c r="DV83" s="507">
        <f>INPUT!GI675</f>
        <v>2.1623638141037071</v>
      </c>
      <c r="DW83" s="156">
        <f>INPUT!GJ675</f>
        <v>69.697135061391549</v>
      </c>
      <c r="DX83" s="507">
        <f>INPUT!GK675</f>
        <v>-1.2532048805941054</v>
      </c>
      <c r="DY83" s="156">
        <f>INPUT!GL675</f>
        <v>70.723558087308973</v>
      </c>
      <c r="DZ83" s="507">
        <f>INPUT!GM675</f>
        <v>1.4726904126164175</v>
      </c>
      <c r="EA83" s="156">
        <f>INPUT!GN675</f>
        <v>74.223111766564841</v>
      </c>
      <c r="EB83" s="507">
        <f>INPUT!GO675</f>
        <v>4.9482149567978917</v>
      </c>
      <c r="EC83" s="156">
        <f>INPUT!GP675</f>
        <v>73.515084111110795</v>
      </c>
      <c r="ED83" s="507">
        <f>INPUT!GQ675</f>
        <v>-0.95391804331894647</v>
      </c>
      <c r="EE83" s="156">
        <f>INPUT!GR675</f>
        <v>74.378304254873896</v>
      </c>
      <c r="EF83" s="507">
        <f>INPUT!GS675</f>
        <v>1.1742081971346519</v>
      </c>
      <c r="EG83" s="156">
        <f>INPUT!GT675</f>
        <v>75.28812164579881</v>
      </c>
      <c r="EH83" s="507">
        <f>INPUT!GU675</f>
        <v>1.2232295425924411</v>
      </c>
      <c r="EI83" s="156">
        <f>INPUT!GV675</f>
        <v>76.12499178712892</v>
      </c>
      <c r="EJ83" s="507">
        <f>INPUT!GW675</f>
        <v>1.1115566745937056</v>
      </c>
      <c r="EK83" s="156">
        <f>INPUT!GX675</f>
        <v>76.956612884817474</v>
      </c>
      <c r="EL83" s="507">
        <f>INPUT!GY675</f>
        <v>1.0924416254967095</v>
      </c>
      <c r="EM83" s="257">
        <f>INPUT!GZ675</f>
        <v>0.72594656890299092</v>
      </c>
    </row>
    <row r="84" spans="1:143" ht="12.75" customHeight="1" x14ac:dyDescent="0.2">
      <c r="A84" s="701" t="str">
        <f>INPUT!B690</f>
        <v>Equity to Assets (Excl SAA)(%)</v>
      </c>
      <c r="B84" s="156">
        <f>INPUT!AY678</f>
        <v>10.098883657300721</v>
      </c>
      <c r="C84" s="507">
        <f>INPUT!AZ678</f>
        <v>11.826943029425507</v>
      </c>
      <c r="D84" s="156">
        <f>INPUT!BA678</f>
        <v>11.936297141671421</v>
      </c>
      <c r="E84" s="687">
        <f>INPUT!BB678</f>
        <v>32.182490312559906</v>
      </c>
      <c r="F84" s="156">
        <f>INPUT!BC678</f>
        <v>11.936237956889924</v>
      </c>
      <c r="G84" s="687">
        <f>INPUT!BD678</f>
        <v>27.134687112965072</v>
      </c>
      <c r="H84" s="156">
        <f>INPUT!BE678</f>
        <v>12.033389954292934</v>
      </c>
      <c r="I84" s="687">
        <f>INPUT!BF678</f>
        <v>24.024848520152077</v>
      </c>
      <c r="J84" s="156">
        <f>INPUT!BG678</f>
        <v>11.780855866004172</v>
      </c>
      <c r="K84" s="687">
        <f>INPUT!BH678</f>
        <v>16.655031048778479</v>
      </c>
      <c r="L84" s="156">
        <f>INPUT!BI678</f>
        <v>12.043617110167746</v>
      </c>
      <c r="M84" s="687">
        <f>INPUT!BJ678</f>
        <v>0.8991060395242334</v>
      </c>
      <c r="N84" s="156">
        <f>INPUT!BK678</f>
        <v>11.870831311310182</v>
      </c>
      <c r="O84" s="687">
        <f>INPUT!BL678</f>
        <v>-0.54796700447805602</v>
      </c>
      <c r="P84" s="156">
        <f>INPUT!BM678</f>
        <v>11.6048037766192</v>
      </c>
      <c r="Q84" s="687">
        <f>INPUT!BN678</f>
        <v>-3.5616412274650511</v>
      </c>
      <c r="R84" s="156">
        <f>INPUT!BO678</f>
        <v>11.298651649337707</v>
      </c>
      <c r="S84" s="687">
        <f>INPUT!BP678</f>
        <v>-4.0931170209624117</v>
      </c>
      <c r="T84" s="156">
        <f>INPUT!BQ678</f>
        <v>11.329327084466916</v>
      </c>
      <c r="U84" s="687">
        <f>INPUT!BR678</f>
        <v>-5.9308596343352278</v>
      </c>
      <c r="V84" s="156">
        <f>INPUT!BS678</f>
        <v>11.297949659475258</v>
      </c>
      <c r="W84" s="687">
        <f>INPUT!BT678</f>
        <v>-4.825960683049213</v>
      </c>
      <c r="X84" s="156">
        <f>INPUT!BU678</f>
        <v>10.237050444083806</v>
      </c>
      <c r="Y84" s="687">
        <f>INPUT!BV678</f>
        <v>-11.786096162100367</v>
      </c>
      <c r="Z84" s="156">
        <f>INPUT!BW678</f>
        <v>10.006461611710579</v>
      </c>
      <c r="AA84" s="122">
        <f>INPUT!BX678</f>
        <v>-11.436674726606622</v>
      </c>
      <c r="AB84" s="156">
        <f>INPUT!BY678</f>
        <v>10.014684997060213</v>
      </c>
      <c r="AC84" s="687">
        <f>INPUT!BZ678</f>
        <v>-11.603885011044868</v>
      </c>
      <c r="AD84" s="156">
        <f>INPUT!CA678</f>
        <v>9.9246224401468837</v>
      </c>
      <c r="AE84" s="687">
        <f>INPUT!CB678</f>
        <v>-12.1555437997248</v>
      </c>
      <c r="AF84" s="156">
        <f>INPUT!CC678</f>
        <v>10.705833123789526</v>
      </c>
      <c r="AG84" s="687">
        <f>INPUT!CD678</f>
        <v>4.5792748826068319</v>
      </c>
      <c r="AH84" s="156">
        <f>INPUT!CE678</f>
        <v>10.72847745256936</v>
      </c>
      <c r="AI84" s="507">
        <f>INPUT!CF678</f>
        <v>7.2154960352199149</v>
      </c>
      <c r="AJ84" s="156">
        <f>INPUT!CG678</f>
        <v>10.797684852322117</v>
      </c>
      <c r="AK84" s="507">
        <f>INPUT!CH678</f>
        <v>7.8185170626110745</v>
      </c>
      <c r="AL84" s="156">
        <f>INPUT!CI678</f>
        <v>10.789395633848422</v>
      </c>
      <c r="AM84" s="507">
        <f>INPUT!CJ678</f>
        <v>8.7134115067528874</v>
      </c>
      <c r="AN84" s="156">
        <f>INPUT!CK678</f>
        <v>11.118631501974718</v>
      </c>
      <c r="AO84" s="507">
        <f>INPUT!CL678</f>
        <v>3.8558267573581828</v>
      </c>
      <c r="AP84" s="156">
        <f>INPUT!CM678</f>
        <v>10.392599185739479</v>
      </c>
      <c r="AQ84" s="507">
        <f>INPUT!CN678</f>
        <v>-3.1307169942314639</v>
      </c>
      <c r="AR84" s="156">
        <f>INPUT!CO678</f>
        <v>10.309409667789716</v>
      </c>
      <c r="AS84" s="507">
        <f>INPUT!CP678</f>
        <v>-4.5220358920495363</v>
      </c>
      <c r="AT84" s="156">
        <f>INPUT!CQ678</f>
        <v>9.8065792334014379</v>
      </c>
      <c r="AU84" s="507">
        <f>INPUT!CR678</f>
        <v>-9.1090959475403679</v>
      </c>
      <c r="AV84" s="156">
        <f>INPUT!CS678</f>
        <v>9.0354185633155595</v>
      </c>
      <c r="AW84" s="507">
        <f>INPUT!CT678</f>
        <v>-18.736235104915298</v>
      </c>
      <c r="AX84" s="156">
        <f>INPUT!CU678</f>
        <v>9.183959127970045</v>
      </c>
      <c r="AY84" s="507">
        <f>INPUT!CV678</f>
        <v>-11.629814988226494</v>
      </c>
      <c r="AZ84" s="156">
        <f>INPUT!CW678</f>
        <v>8.9661205127342463</v>
      </c>
      <c r="BA84" s="507">
        <f>INPUT!CX678</f>
        <v>-13.029738834148629</v>
      </c>
      <c r="BB84" s="156">
        <f>INPUT!CY678</f>
        <v>9.2980285128239899</v>
      </c>
      <c r="BC84" s="507">
        <f>INPUT!CZ678</f>
        <v>-5.1858115707188901</v>
      </c>
      <c r="BD84" s="156">
        <f>INPUT!DA678</f>
        <v>9.3284205601229875</v>
      </c>
      <c r="BE84" s="507">
        <f>INPUT!DB678</f>
        <v>3.2428159775246712</v>
      </c>
      <c r="BF84" s="156">
        <f>INPUT!DC678</f>
        <v>9.4485485032748713</v>
      </c>
      <c r="BG84" s="507">
        <f>INPUT!DD678</f>
        <v>2.8809946954033272</v>
      </c>
      <c r="BH84" s="156">
        <f>INPUT!DE678</f>
        <v>9.6287243457372824</v>
      </c>
      <c r="BI84" s="507">
        <f>INPUT!DF678</f>
        <v>7.3900839506001015</v>
      </c>
      <c r="BJ84" s="156">
        <f>INPUT!DG678</f>
        <v>9.7973029848987352</v>
      </c>
      <c r="BK84" s="507">
        <f>INPUT!DH678</f>
        <v>5.3696810177140009</v>
      </c>
      <c r="BL84" s="156">
        <f>INPUT!DI678</f>
        <v>10.055223388331205</v>
      </c>
      <c r="BM84" s="507">
        <f>INPUT!DJ678</f>
        <v>7.7912742411630154</v>
      </c>
      <c r="BN84" s="156">
        <f>INPUT!DK678</f>
        <v>9.9836551146216195</v>
      </c>
      <c r="BO84" s="507">
        <f>INPUT!DL678</f>
        <v>5.6633737040274523</v>
      </c>
      <c r="BP84" s="156">
        <f>INPUT!DM678</f>
        <v>10.061839414619724</v>
      </c>
      <c r="BQ84" s="507">
        <f>INPUT!DN678</f>
        <v>4.4981562804234265</v>
      </c>
      <c r="BR84" s="156">
        <f>INPUT!DO678</f>
        <v>10.221312210919592</v>
      </c>
      <c r="BS84" s="507">
        <f>INPUT!DP678</f>
        <v>4.3278157945550122</v>
      </c>
      <c r="BT84" s="156">
        <f>INPUT!DQ678</f>
        <v>10.113905420106226</v>
      </c>
      <c r="BU84" s="507">
        <f>INPUT!DR678</f>
        <v>0.58359749464262922</v>
      </c>
      <c r="BV84" s="156">
        <f>INPUT!DS678</f>
        <v>9.8998204328513371</v>
      </c>
      <c r="BW84" s="507">
        <f>INPUT!DT678</f>
        <v>-0.83971932932159765</v>
      </c>
      <c r="BX84" s="156">
        <f>INPUT!DU678</f>
        <v>10.190874154089533</v>
      </c>
      <c r="BY84" s="507">
        <f>INPUT!DV678</f>
        <v>1.2824170030215631</v>
      </c>
      <c r="BZ84" s="156">
        <f>INPUT!DW678</f>
        <v>9.9855758677996924</v>
      </c>
      <c r="CA84" s="507">
        <f>INPUT!DX678</f>
        <v>9.9832280514757752</v>
      </c>
      <c r="CB84" s="156">
        <f>INPUT!DY678</f>
        <v>10.021656570729103</v>
      </c>
      <c r="CC84" s="507">
        <f>INPUT!DZ678</f>
        <v>-0.91209918963385261</v>
      </c>
      <c r="CD84" s="156">
        <f>INPUT!EA678</f>
        <v>9.7688841811162028</v>
      </c>
      <c r="CE84" s="507">
        <f>INPUT!EB678</f>
        <v>-1.3226123910352827</v>
      </c>
      <c r="CF84" s="156">
        <f>INPUT!EC678</f>
        <v>9.4399109792284879</v>
      </c>
      <c r="CG84" s="507">
        <f>INPUT!ED678</f>
        <v>-7.3689770230327962</v>
      </c>
      <c r="CH84" s="156">
        <f>INPUT!EE678</f>
        <v>9.6156274371448731</v>
      </c>
      <c r="CI84" s="507">
        <f>INPUT!EF678</f>
        <v>-3.7048281997214105</v>
      </c>
      <c r="CJ84" s="156">
        <f>INPUT!EG678</f>
        <v>9.8067808968282897</v>
      </c>
      <c r="CK84" s="507">
        <f>INPUT!EH678</f>
        <v>-2.1441133248211175</v>
      </c>
      <c r="CL84" s="156">
        <f>INPUT!EI678</f>
        <v>9.8942433082321362</v>
      </c>
      <c r="CM84" s="507">
        <f>INPUT!EJ678</f>
        <v>1.2832491898947751</v>
      </c>
      <c r="CN84" s="156">
        <f>INPUT!EK678</f>
        <v>9.9800924013071413</v>
      </c>
      <c r="CO84" s="507">
        <f>INPUT!EL678</f>
        <v>5.7223147894854609</v>
      </c>
      <c r="CP84" s="156">
        <f>INPUT!EM678</f>
        <v>10.017570767008651</v>
      </c>
      <c r="CQ84" s="507">
        <f>INPUT!EN678</f>
        <v>4.1801050684543428</v>
      </c>
      <c r="CR84" s="156">
        <f>INPUT!EO678</f>
        <v>10.491832571437081</v>
      </c>
      <c r="CS84" s="507">
        <f>INPUT!EP678</f>
        <v>6.9854897526093529</v>
      </c>
      <c r="CT84" s="156">
        <f>INPUT!EQ678</f>
        <v>10.60269099781233</v>
      </c>
      <c r="CU84" s="507">
        <f>INPUT!ER678</f>
        <v>7.1602008108164972</v>
      </c>
      <c r="CV84" s="156">
        <f>INPUT!ES678</f>
        <v>10.731113149755881</v>
      </c>
      <c r="CW84" s="507">
        <f>INPUT!ET678</f>
        <v>7.5251883274184417</v>
      </c>
      <c r="CX84" s="156">
        <f>INPUT!EU678</f>
        <v>10.793902387897827</v>
      </c>
      <c r="CY84" s="507">
        <f>INPUT!EV678</f>
        <v>7.7496993926502222</v>
      </c>
      <c r="CZ84" s="156">
        <f>INPUT!EW678</f>
        <v>10.865271681046057</v>
      </c>
      <c r="DA84" s="507">
        <f>INPUT!EX678</f>
        <v>3.559331575931024</v>
      </c>
      <c r="DB84" s="507"/>
      <c r="DC84" s="156">
        <f>INPUT!FP678</f>
        <v>9.7024024603728485</v>
      </c>
      <c r="DD84" s="687">
        <f>INPUT!FQ678</f>
        <v>0.6942644725991709</v>
      </c>
      <c r="DE84" s="156">
        <f>INPUT!FR678</f>
        <v>12.033389954292934</v>
      </c>
      <c r="DF84" s="687">
        <f>INPUT!FS678</f>
        <v>24.024848520152077</v>
      </c>
      <c r="DG84" s="156">
        <f>INPUT!FT678</f>
        <v>11.6048037766192</v>
      </c>
      <c r="DH84" s="687">
        <f>INPUT!FU678</f>
        <v>-3.5616412274650511</v>
      </c>
      <c r="DI84" s="156">
        <f>INPUT!FV678</f>
        <v>10.237050444083806</v>
      </c>
      <c r="DJ84" s="687">
        <f>INPUT!FW678</f>
        <v>-11.786096162100367</v>
      </c>
      <c r="DK84" s="156">
        <f>INPUT!FX678</f>
        <v>10.705833123789526</v>
      </c>
      <c r="DL84" s="507">
        <f>INPUT!FY678</f>
        <v>4.5792748826068319</v>
      </c>
      <c r="DM84" s="156">
        <f>INPUT!FZ678</f>
        <v>11.118631501974718</v>
      </c>
      <c r="DN84" s="507">
        <f>INPUT!GA678</f>
        <v>3.8558267573581828</v>
      </c>
      <c r="DO84" s="156">
        <f>INPUT!GB678</f>
        <v>9.0354185633155595</v>
      </c>
      <c r="DP84" s="507">
        <f>INPUT!GC678</f>
        <v>-18.736235104915298</v>
      </c>
      <c r="DQ84" s="156">
        <f>INPUT!GD678</f>
        <v>9.3284205601229875</v>
      </c>
      <c r="DR84" s="507">
        <f>INPUT!GE678</f>
        <v>3.2428159775246712</v>
      </c>
      <c r="DS84" s="156">
        <f>INPUT!GF678</f>
        <v>10.055223388331205</v>
      </c>
      <c r="DT84" s="507">
        <f>INPUT!GG678</f>
        <v>7.7912742411630154</v>
      </c>
      <c r="DU84" s="156">
        <f>INPUT!GH678</f>
        <v>10.113905420106226</v>
      </c>
      <c r="DV84" s="507">
        <f>INPUT!GI678</f>
        <v>0.58359749464262922</v>
      </c>
      <c r="DW84" s="156">
        <f>INPUT!GJ678</f>
        <v>10.021656570729103</v>
      </c>
      <c r="DX84" s="507">
        <f>INPUT!GK678</f>
        <v>-0.91209918963385261</v>
      </c>
      <c r="DY84" s="156">
        <f>INPUT!GL678</f>
        <v>9.8067808968282897</v>
      </c>
      <c r="DZ84" s="507">
        <f>INPUT!GM678</f>
        <v>-2.1441133248211175</v>
      </c>
      <c r="EA84" s="156">
        <f>INPUT!GN678</f>
        <v>10.491832571437081</v>
      </c>
      <c r="EB84" s="507">
        <f>INPUT!GO678</f>
        <v>6.9854897526093529</v>
      </c>
      <c r="EC84" s="156">
        <f>INPUT!GP678</f>
        <v>10.865271681046057</v>
      </c>
      <c r="ED84" s="507">
        <f>INPUT!GQ678</f>
        <v>3.559331575931024</v>
      </c>
      <c r="EE84" s="156">
        <f>INPUT!GR678</f>
        <v>11.136221877840475</v>
      </c>
      <c r="EF84" s="507">
        <f>INPUT!GS678</f>
        <v>2.4937268459386708</v>
      </c>
      <c r="EG84" s="156">
        <f>INPUT!GT678</f>
        <v>11.460591167672762</v>
      </c>
      <c r="EH84" s="507">
        <f>INPUT!GU678</f>
        <v>2.9127409043253394</v>
      </c>
      <c r="EI84" s="156">
        <f>INPUT!GV678</f>
        <v>11.768864473522097</v>
      </c>
      <c r="EJ84" s="507">
        <f>INPUT!GW678</f>
        <v>2.6898551858205222</v>
      </c>
      <c r="EK84" s="156">
        <f>INPUT!GX678</f>
        <v>12.103816170593619</v>
      </c>
      <c r="EL84" s="507">
        <f>INPUT!GY678</f>
        <v>2.8460833908412031</v>
      </c>
      <c r="EM84" s="257">
        <f>INPUT!GZ678</f>
        <v>2.8997201222032531</v>
      </c>
    </row>
    <row r="85" spans="1:143" ht="12.75" customHeight="1" x14ac:dyDescent="0.2">
      <c r="A85" s="701" t="s">
        <v>655</v>
      </c>
      <c r="B85" s="464">
        <f>INPUT!AY687</f>
        <v>13.019950449863085</v>
      </c>
      <c r="C85" s="507">
        <f>INPUT!AZ687</f>
        <v>-7.6175673268409465</v>
      </c>
      <c r="D85" s="464">
        <f>INPUT!BA687</f>
        <v>16.560251414919939</v>
      </c>
      <c r="E85" s="687">
        <f>INPUT!BB687</f>
        <v>27.483814310259149</v>
      </c>
      <c r="F85" s="464">
        <f>INPUT!BC687</f>
        <v>15.846485472015015</v>
      </c>
      <c r="G85" s="687">
        <f>INPUT!BD687</f>
        <v>20.807453726523264</v>
      </c>
      <c r="H85" s="464">
        <f>INPUT!BE687</f>
        <v>15.294859665720592</v>
      </c>
      <c r="I85" s="687">
        <f>INPUT!BF687</f>
        <v>18.154704688921019</v>
      </c>
      <c r="J85" s="464">
        <f>INPUT!BG687</f>
        <v>16.928194571307824</v>
      </c>
      <c r="K85" s="687">
        <f>INPUT!BH687</f>
        <v>30.017350192648664</v>
      </c>
      <c r="L85" s="464">
        <f>INPUT!BI687</f>
        <v>16.575869530429216</v>
      </c>
      <c r="M85" s="687">
        <f>INPUT!BJ687</f>
        <v>9.4310859889512599E-2</v>
      </c>
      <c r="N85" s="464">
        <f>INPUT!BK687</f>
        <v>18.125</v>
      </c>
      <c r="O85" s="687">
        <f>INPUT!BL687</f>
        <v>14.37867426192927</v>
      </c>
      <c r="P85" s="464">
        <f>INPUT!BM687</f>
        <v>19.590672978592277</v>
      </c>
      <c r="Q85" s="687">
        <f>INPUT!BN687</f>
        <v>28.086647453847657</v>
      </c>
      <c r="R85" s="464">
        <f>INPUT!BO687</f>
        <v>20.516319719425276</v>
      </c>
      <c r="S85" s="687">
        <f>INPUT!BP687</f>
        <v>21.19614784082815</v>
      </c>
      <c r="T85" s="464">
        <f>INPUT!BQ687</f>
        <v>27.801085799879356</v>
      </c>
      <c r="U85" s="687">
        <f>INPUT!BR687</f>
        <v>67.720225770620402</v>
      </c>
      <c r="V85" s="464">
        <f>INPUT!BS687</f>
        <v>32.124352331606218</v>
      </c>
      <c r="W85" s="687">
        <f>INPUT!BT687</f>
        <v>77.237805967482572</v>
      </c>
      <c r="X85" s="464">
        <f>INPUT!BU687</f>
        <v>37.229103385322404</v>
      </c>
      <c r="Y85" s="687">
        <f>INPUT!BV687</f>
        <v>90.034836608239715</v>
      </c>
      <c r="Z85" s="464">
        <f>INPUT!BW687</f>
        <v>37.237744257799108</v>
      </c>
      <c r="AA85" s="122">
        <f>INPUT!BX687</f>
        <v>81.503041320523195</v>
      </c>
      <c r="AB85" s="464">
        <f>INPUT!BY687</f>
        <v>34.478252079482438</v>
      </c>
      <c r="AC85" s="687">
        <f>INPUT!BZ687</f>
        <v>24.017645669192021</v>
      </c>
      <c r="AD85" s="464">
        <f>INPUT!CA687</f>
        <v>30.609231477279263</v>
      </c>
      <c r="AE85" s="687">
        <f>INPUT!CB687</f>
        <v>-4.7164245949210093</v>
      </c>
      <c r="AF85" s="464">
        <f>INPUT!CC687</f>
        <v>31.676064200101607</v>
      </c>
      <c r="AG85" s="687">
        <f>INPUT!CD687</f>
        <v>-14.915855285975233</v>
      </c>
      <c r="AH85" s="156">
        <f>INPUT!CE687</f>
        <v>30.455114470738337</v>
      </c>
      <c r="AI85" s="507">
        <f>INPUT!CF687</f>
        <v>-18.214394889508402</v>
      </c>
      <c r="AJ85" s="156">
        <f>INPUT!CG687</f>
        <v>31.69833960306136</v>
      </c>
      <c r="AK85" s="507">
        <f>INPUT!CH687</f>
        <v>-8.0627999064818212</v>
      </c>
      <c r="AL85" s="156">
        <f>INPUT!CI687</f>
        <v>30.477479833643585</v>
      </c>
      <c r="AM85" s="507">
        <f>INPUT!CJ687</f>
        <v>-0.43043107349322041</v>
      </c>
      <c r="AN85" s="156">
        <f>INPUT!CK687</f>
        <v>29.657665179846624</v>
      </c>
      <c r="AO85" s="507">
        <f>INPUT!CL687</f>
        <v>-6.3720006611443498</v>
      </c>
      <c r="AP85" s="156">
        <f>INPUT!CM687</f>
        <v>30.81019049804911</v>
      </c>
      <c r="AQ85" s="507">
        <f>INPUT!CN687</f>
        <v>1.1658994999080852</v>
      </c>
      <c r="AR85" s="156">
        <f>INPUT!CO687</f>
        <v>31.327139396391914</v>
      </c>
      <c r="AS85" s="507">
        <f>INPUT!CP687</f>
        <v>-1.1710399071931055</v>
      </c>
      <c r="AT85" s="156">
        <f>INPUT!CQ687</f>
        <v>27.661181046164028</v>
      </c>
      <c r="AU85" s="507">
        <f>INPUT!CR687</f>
        <v>-9.2405894544164031</v>
      </c>
      <c r="AV85" s="156">
        <f>INPUT!CS687</f>
        <v>29.15472391974474</v>
      </c>
      <c r="AW85" s="507">
        <f>INPUT!CT687</f>
        <v>-1.6958221662157325</v>
      </c>
      <c r="AX85" s="156">
        <f>INPUT!CU687</f>
        <v>29.936986008757877</v>
      </c>
      <c r="AY85" s="507">
        <f>INPUT!CV687</f>
        <v>-2.8341418056033185</v>
      </c>
      <c r="AZ85" s="156">
        <f>INPUT!CW687</f>
        <v>28.945237372203664</v>
      </c>
      <c r="BA85" s="507">
        <f>INPUT!CX687</f>
        <v>-7.6033179858821853</v>
      </c>
      <c r="BB85" s="156">
        <f>INPUT!CY687</f>
        <v>26.651790045600077</v>
      </c>
      <c r="BC85" s="507">
        <f>INPUT!CZ687</f>
        <v>-3.6491247386702952</v>
      </c>
      <c r="BD85" s="156">
        <f>INPUT!DA687</f>
        <v>26.646090534979422</v>
      </c>
      <c r="BE85" s="507">
        <f>INPUT!DB687</f>
        <v>-8.6045520158960276</v>
      </c>
      <c r="BF85" s="156">
        <f>INPUT!DC687</f>
        <v>24.753177054326365</v>
      </c>
      <c r="BG85" s="507">
        <f>INPUT!DD687</f>
        <v>-17.315734299087492</v>
      </c>
      <c r="BH85" s="156">
        <f>INPUT!DE687</f>
        <v>27.494963793760547</v>
      </c>
      <c r="BI85" s="507">
        <f>INPUT!DF687</f>
        <v>-5.0104048544988844</v>
      </c>
      <c r="BJ85" s="156">
        <f>INPUT!DG687</f>
        <v>28.607230457502396</v>
      </c>
      <c r="BK85" s="507">
        <f>INPUT!DH687</f>
        <v>7.336994657982232</v>
      </c>
      <c r="BL85" s="156">
        <f>INPUT!DI687</f>
        <v>28.338571352474297</v>
      </c>
      <c r="BM85" s="507">
        <f>INPUT!DJ687</f>
        <v>6.3517040718340523</v>
      </c>
      <c r="BN85" s="156">
        <f>INPUT!DK687</f>
        <v>27.080082548950525</v>
      </c>
      <c r="BO85" s="507">
        <f>INPUT!DL687</f>
        <v>9.4004316678915512</v>
      </c>
      <c r="BP85" s="156">
        <f>INPUT!DM687</f>
        <v>25.07152902381068</v>
      </c>
      <c r="BQ85" s="507">
        <f>INPUT!DN687</f>
        <v>-8.8141042415186615</v>
      </c>
      <c r="BR85" s="156">
        <f>INPUT!DO687</f>
        <v>25.128403915108056</v>
      </c>
      <c r="BS85" s="507">
        <f>INPUT!DP687</f>
        <v>-12.160654795165604</v>
      </c>
      <c r="BT85" s="156">
        <f>INPUT!DQ687</f>
        <v>25.083293669681105</v>
      </c>
      <c r="BU85" s="507">
        <f>INPUT!DR687</f>
        <v>-11.487091717871545</v>
      </c>
      <c r="BV85" s="156">
        <f>INPUT!DS687</f>
        <v>25.643963699697498</v>
      </c>
      <c r="BW85" s="507">
        <f>INPUT!DT687</f>
        <v>-5.3032292152620624</v>
      </c>
      <c r="BX85" s="156">
        <f>INPUT!DU687</f>
        <v>27.225467868105753</v>
      </c>
      <c r="BY85" s="507">
        <f>INPUT!DV687</f>
        <v>8.5911746437540959</v>
      </c>
      <c r="BZ85" s="156">
        <f>INPUT!DW687</f>
        <v>27.904881101376724</v>
      </c>
      <c r="CA85" s="507">
        <f>INPUT!DX687</f>
        <v>28.012996750812295</v>
      </c>
      <c r="CB85" s="156">
        <f>INPUT!DY687</f>
        <v>28.96713615023474</v>
      </c>
      <c r="CC85" s="507">
        <f>INPUT!DZ687</f>
        <v>15.483781881675874</v>
      </c>
      <c r="CD85" s="156">
        <f>INPUT!EA687</f>
        <v>27.821548158361235</v>
      </c>
      <c r="CE85" s="507">
        <f>INPUT!EB687</f>
        <v>8.4916063841153679</v>
      </c>
      <c r="CF85" s="156">
        <f>INPUT!EC687</f>
        <v>25.537885874649202</v>
      </c>
      <c r="CG85" s="507">
        <f>INPUT!ED687</f>
        <v>-6.1985417537434806</v>
      </c>
      <c r="CH85" s="156">
        <f>INPUT!EE687</f>
        <v>25.055096418732781</v>
      </c>
      <c r="CI85" s="507">
        <f>INPUT!EF687</f>
        <v>-10.212495341911154</v>
      </c>
      <c r="CJ85" s="156">
        <f>INPUT!EG687</f>
        <v>26.963628108762549</v>
      </c>
      <c r="CK85" s="507">
        <f>INPUT!EH687</f>
        <v>-6.9164864316625057</v>
      </c>
      <c r="CL85" s="156">
        <f>INPUT!EI687</f>
        <v>25.529692629065952</v>
      </c>
      <c r="CM85" s="507">
        <f>INPUT!EJ687</f>
        <v>-8.2376994847661251</v>
      </c>
      <c r="CN85" s="156">
        <f>INPUT!EK687</f>
        <v>23.453127243144952</v>
      </c>
      <c r="CO85" s="507">
        <f>INPUT!EL687</f>
        <v>-8.1633955204323918</v>
      </c>
      <c r="CP85" s="156">
        <f>INPUT!EM687</f>
        <v>23.097954181201093</v>
      </c>
      <c r="CQ85" s="507">
        <f>INPUT!EN687</f>
        <v>-7.8113538452336702</v>
      </c>
      <c r="CR85" s="156">
        <f>INPUT!EO687</f>
        <v>22.029168167086784</v>
      </c>
      <c r="CS85" s="507">
        <f>INPUT!EP687</f>
        <v>-18.300430200905272</v>
      </c>
      <c r="CT85" s="156">
        <f>INPUT!EQ687</f>
        <v>23.527937213062263</v>
      </c>
      <c r="CU85" s="507">
        <f>INPUT!ER687</f>
        <v>-7.8408911736158498</v>
      </c>
      <c r="CV85" s="156">
        <f>INPUT!ES687</f>
        <v>23.206678153823994</v>
      </c>
      <c r="CW85" s="507">
        <f>INPUT!ET687</f>
        <v>-1.0508154702183359</v>
      </c>
      <c r="CX85" s="156">
        <f>INPUT!EU687</f>
        <v>23.059850325240621</v>
      </c>
      <c r="CY85" s="507">
        <f>INPUT!EV687</f>
        <v>-0.16496636741744064</v>
      </c>
      <c r="CZ85" s="156">
        <f>INPUT!EW687</f>
        <v>22.902499383954371</v>
      </c>
      <c r="DA85" s="507">
        <f>INPUT!EX687</f>
        <v>3.9644312043175978</v>
      </c>
      <c r="DB85" s="507"/>
      <c r="DC85" s="464">
        <f>INPUT!FP687</f>
        <v>12.944774146733357</v>
      </c>
      <c r="DD85" s="687">
        <f>INPUT!FQ687</f>
        <v>-0.2592084050927701</v>
      </c>
      <c r="DE85" s="464">
        <f>INPUT!FR687</f>
        <v>15.294859665720592</v>
      </c>
      <c r="DF85" s="687">
        <f>INPUT!FS687</f>
        <v>18.154704688921019</v>
      </c>
      <c r="DG85" s="464">
        <f>INPUT!FT687</f>
        <v>19.590672978592277</v>
      </c>
      <c r="DH85" s="687">
        <f>INPUT!FU687</f>
        <v>28.086647453847657</v>
      </c>
      <c r="DI85" s="464">
        <f>INPUT!FV687</f>
        <v>37.229103385322404</v>
      </c>
      <c r="DJ85" s="687">
        <f>INPUT!FW687</f>
        <v>90.034836608239715</v>
      </c>
      <c r="DK85" s="156">
        <f>INPUT!FX687</f>
        <v>31.676064200101607</v>
      </c>
      <c r="DL85" s="507">
        <f>INPUT!FY687</f>
        <v>-14.915855285975233</v>
      </c>
      <c r="DM85" s="156">
        <f>INPUT!FZ687</f>
        <v>29.657665179846624</v>
      </c>
      <c r="DN85" s="507">
        <f>INPUT!GA687</f>
        <v>-6.3720006611443498</v>
      </c>
      <c r="DO85" s="156">
        <f>INPUT!GB687</f>
        <v>29.15472391974474</v>
      </c>
      <c r="DP85" s="507">
        <f>INPUT!GC687</f>
        <v>-1.6958221662157325</v>
      </c>
      <c r="DQ85" s="156">
        <f>INPUT!GD687</f>
        <v>26.646090534979422</v>
      </c>
      <c r="DR85" s="507">
        <f>INPUT!GE687</f>
        <v>-8.6045520158960276</v>
      </c>
      <c r="DS85" s="156">
        <f>INPUT!GF687</f>
        <v>28.338571352474297</v>
      </c>
      <c r="DT85" s="507">
        <f>INPUT!GG687</f>
        <v>6.3517040718340523</v>
      </c>
      <c r="DU85" s="156">
        <f>INPUT!GH687</f>
        <v>25.083293669681105</v>
      </c>
      <c r="DV85" s="507">
        <f>INPUT!GI687</f>
        <v>-11.487091717871545</v>
      </c>
      <c r="DW85" s="156">
        <f>INPUT!GJ687</f>
        <v>28.96713615023474</v>
      </c>
      <c r="DX85" s="507">
        <f>INPUT!GK687</f>
        <v>15.483781881675874</v>
      </c>
      <c r="DY85" s="156">
        <f>INPUT!GL687</f>
        <v>26.963628108762549</v>
      </c>
      <c r="DZ85" s="507">
        <f>INPUT!GM687</f>
        <v>-6.9164864316625057</v>
      </c>
      <c r="EA85" s="156">
        <f>INPUT!GN687</f>
        <v>22.029168167086784</v>
      </c>
      <c r="EB85" s="507">
        <f>INPUT!GO687</f>
        <v>-18.300430200905272</v>
      </c>
      <c r="EC85" s="156">
        <f>INPUT!GP687</f>
        <v>22.902499383954371</v>
      </c>
      <c r="ED85" s="507">
        <f>INPUT!GQ687</f>
        <v>3.9644312043175978</v>
      </c>
      <c r="EE85" s="156">
        <f>INPUT!GR687</f>
        <v>22.306796189698229</v>
      </c>
      <c r="EF85" s="507">
        <f>INPUT!GS687</f>
        <v>-2.6010401060134747</v>
      </c>
      <c r="EG85" s="156">
        <f>INPUT!GT687</f>
        <v>21.661890074764909</v>
      </c>
      <c r="EH85" s="507">
        <f>INPUT!GU687</f>
        <v>-2.8910745830508455</v>
      </c>
      <c r="EI85" s="156">
        <f>INPUT!GV687</f>
        <v>21.05986155441596</v>
      </c>
      <c r="EJ85" s="507">
        <f>INPUT!GW687</f>
        <v>-2.7792058692527655</v>
      </c>
      <c r="EK85" s="156">
        <f>INPUT!GX687</f>
        <v>20.449943337056943</v>
      </c>
      <c r="EL85" s="507">
        <f>INPUT!GY687</f>
        <v>-2.8961169368709627</v>
      </c>
      <c r="EM85" s="257">
        <f>INPUT!GZ687</f>
        <v>-1.476733527947649</v>
      </c>
    </row>
    <row r="86" spans="1:143" ht="12.75" customHeight="1" x14ac:dyDescent="0.2">
      <c r="A86" s="701" t="str">
        <f>INPUT!B691</f>
        <v>Equity to Total Assets (%)</v>
      </c>
      <c r="B86" s="464">
        <f>INPUT!AY678</f>
        <v>10.098883657300721</v>
      </c>
      <c r="C86" s="507">
        <f>INPUT!AZ678</f>
        <v>11.826943029425507</v>
      </c>
      <c r="D86" s="464">
        <f>INPUT!BA678</f>
        <v>11.936297141671421</v>
      </c>
      <c r="E86" s="687">
        <f>INPUT!BB678</f>
        <v>32.182490312559906</v>
      </c>
      <c r="F86" s="464">
        <f>INPUT!BC678</f>
        <v>11.936237956889924</v>
      </c>
      <c r="G86" s="687">
        <f>INPUT!BD678</f>
        <v>27.134687112965072</v>
      </c>
      <c r="H86" s="464">
        <f>INPUT!BE678</f>
        <v>12.033389954292934</v>
      </c>
      <c r="I86" s="687">
        <f>INPUT!BF678</f>
        <v>24.024848520152077</v>
      </c>
      <c r="J86" s="464">
        <f>INPUT!BG678</f>
        <v>11.780855866004172</v>
      </c>
      <c r="K86" s="687">
        <f>INPUT!BH678</f>
        <v>16.655031048778479</v>
      </c>
      <c r="L86" s="464">
        <f>INPUT!BI678</f>
        <v>12.043617110167746</v>
      </c>
      <c r="M86" s="687">
        <f>INPUT!BJ678</f>
        <v>0.8991060395242334</v>
      </c>
      <c r="N86" s="464">
        <f>INPUT!BK678</f>
        <v>11.870831311310182</v>
      </c>
      <c r="O86" s="687">
        <f>INPUT!BL678</f>
        <v>-0.54796700447805602</v>
      </c>
      <c r="P86" s="464">
        <f>INPUT!BM678</f>
        <v>11.6048037766192</v>
      </c>
      <c r="Q86" s="687">
        <f>INPUT!BN678</f>
        <v>-3.5616412274650511</v>
      </c>
      <c r="R86" s="464">
        <f>INPUT!BO678</f>
        <v>11.298651649337707</v>
      </c>
      <c r="S86" s="687">
        <f>INPUT!BP678</f>
        <v>-4.0931170209624117</v>
      </c>
      <c r="T86" s="464">
        <f>INPUT!BQ678</f>
        <v>11.329327084466916</v>
      </c>
      <c r="U86" s="687">
        <f>INPUT!BR678</f>
        <v>-5.9308596343352278</v>
      </c>
      <c r="V86" s="464">
        <f>INPUT!BS678</f>
        <v>11.297949659475258</v>
      </c>
      <c r="W86" s="687">
        <f>INPUT!BT678</f>
        <v>-4.825960683049213</v>
      </c>
      <c r="X86" s="464">
        <f>INPUT!BU678</f>
        <v>10.237050444083806</v>
      </c>
      <c r="Y86" s="687">
        <f>INPUT!BV678</f>
        <v>-11.786096162100367</v>
      </c>
      <c r="Z86" s="464">
        <f>INPUT!BW678</f>
        <v>10.006461611710579</v>
      </c>
      <c r="AA86" s="122">
        <f>INPUT!BX678</f>
        <v>-11.436674726606622</v>
      </c>
      <c r="AB86" s="464">
        <f>INPUT!BY678</f>
        <v>10.014684997060213</v>
      </c>
      <c r="AC86" s="687">
        <f>INPUT!BZ678</f>
        <v>-11.603885011044868</v>
      </c>
      <c r="AD86" s="464">
        <f>INPUT!CA678</f>
        <v>9.9246224401468837</v>
      </c>
      <c r="AE86" s="687">
        <f>INPUT!CB678</f>
        <v>-12.1555437997248</v>
      </c>
      <c r="AF86" s="464">
        <f>INPUT!CC678</f>
        <v>10.705833123789526</v>
      </c>
      <c r="AG86" s="687">
        <f>INPUT!CD678</f>
        <v>4.5792748826068319</v>
      </c>
      <c r="AH86" s="156">
        <f>INPUT!CE678</f>
        <v>10.72847745256936</v>
      </c>
      <c r="AI86" s="507">
        <f>INPUT!CF678</f>
        <v>7.2154960352199149</v>
      </c>
      <c r="AJ86" s="156">
        <f>INPUT!CG678</f>
        <v>10.797684852322117</v>
      </c>
      <c r="AK86" s="507">
        <f>INPUT!CH678</f>
        <v>7.8185170626110745</v>
      </c>
      <c r="AL86" s="156">
        <f>INPUT!CI678</f>
        <v>10.789395633848422</v>
      </c>
      <c r="AM86" s="507">
        <f>INPUT!CJ678</f>
        <v>8.7134115067528874</v>
      </c>
      <c r="AN86" s="156">
        <f>INPUT!CK678</f>
        <v>11.118631501974718</v>
      </c>
      <c r="AO86" s="507">
        <f>INPUT!CL678</f>
        <v>3.8558267573581828</v>
      </c>
      <c r="AP86" s="156">
        <f>INPUT!CM678</f>
        <v>10.392599185739479</v>
      </c>
      <c r="AQ86" s="507">
        <f>INPUT!CN678</f>
        <v>-3.1307169942314639</v>
      </c>
      <c r="AR86" s="156">
        <f>INPUT!CO678</f>
        <v>10.309409667789716</v>
      </c>
      <c r="AS86" s="507">
        <f>INPUT!CP678</f>
        <v>-4.5220358920495363</v>
      </c>
      <c r="AT86" s="156">
        <f>INPUT!CQ678</f>
        <v>9.8065792334014379</v>
      </c>
      <c r="AU86" s="507">
        <f>INPUT!CR678</f>
        <v>-9.1090959475403679</v>
      </c>
      <c r="AV86" s="156">
        <f>INPUT!CS678</f>
        <v>9.0354185633155595</v>
      </c>
      <c r="AW86" s="507">
        <f>INPUT!CT678</f>
        <v>-18.736235104915298</v>
      </c>
      <c r="AX86" s="156">
        <f>INPUT!CU678</f>
        <v>9.183959127970045</v>
      </c>
      <c r="AY86" s="507">
        <f>INPUT!CV678</f>
        <v>-11.629814988226494</v>
      </c>
      <c r="AZ86" s="156">
        <f>INPUT!CW678</f>
        <v>8.9661205127342463</v>
      </c>
      <c r="BA86" s="507">
        <f>INPUT!CX678</f>
        <v>-13.029738834148629</v>
      </c>
      <c r="BB86" s="156">
        <f>INPUT!CY678</f>
        <v>9.2980285128239899</v>
      </c>
      <c r="BC86" s="507">
        <f>INPUT!CZ678</f>
        <v>-5.1858115707188901</v>
      </c>
      <c r="BD86" s="156">
        <f>INPUT!DA678</f>
        <v>9.3284205601229875</v>
      </c>
      <c r="BE86" s="507">
        <f>INPUT!DB678</f>
        <v>3.2428159775246712</v>
      </c>
      <c r="BF86" s="156">
        <f>INPUT!DC678</f>
        <v>9.4485485032748713</v>
      </c>
      <c r="BG86" s="507">
        <f>INPUT!DD678</f>
        <v>2.8809946954033272</v>
      </c>
      <c r="BH86" s="156">
        <f>INPUT!DE678</f>
        <v>9.6287243457372824</v>
      </c>
      <c r="BI86" s="507">
        <f>INPUT!DF678</f>
        <v>7.3900839506001015</v>
      </c>
      <c r="BJ86" s="156">
        <f>INPUT!DG678</f>
        <v>9.7973029848987352</v>
      </c>
      <c r="BK86" s="507">
        <f>INPUT!DH678</f>
        <v>5.3696810177140009</v>
      </c>
      <c r="BL86" s="156">
        <f>INPUT!DI678</f>
        <v>10.055223388331205</v>
      </c>
      <c r="BM86" s="507">
        <f>INPUT!DJ678</f>
        <v>7.7912742411630154</v>
      </c>
      <c r="BN86" s="156">
        <f>INPUT!DK678</f>
        <v>9.9836551146216195</v>
      </c>
      <c r="BO86" s="507">
        <f>INPUT!DL678</f>
        <v>5.6633737040274523</v>
      </c>
      <c r="BP86" s="156">
        <f>INPUT!DM678</f>
        <v>10.061839414619724</v>
      </c>
      <c r="BQ86" s="507">
        <f>INPUT!DN678</f>
        <v>4.4981562804234265</v>
      </c>
      <c r="BR86" s="156">
        <f>INPUT!DO678</f>
        <v>10.221312210919592</v>
      </c>
      <c r="BS86" s="507">
        <f>INPUT!DP678</f>
        <v>4.3278157945550122</v>
      </c>
      <c r="BT86" s="156">
        <f>INPUT!DQ678</f>
        <v>10.113905420106226</v>
      </c>
      <c r="BU86" s="507">
        <f>INPUT!DR678</f>
        <v>0.58359749464262922</v>
      </c>
      <c r="BV86" s="156">
        <f>INPUT!DS678</f>
        <v>9.8998204328513371</v>
      </c>
      <c r="BW86" s="507">
        <f>INPUT!DT678</f>
        <v>-0.83971932932159765</v>
      </c>
      <c r="BX86" s="156">
        <f>INPUT!DU678</f>
        <v>10.190874154089533</v>
      </c>
      <c r="BY86" s="507">
        <f>INPUT!DV678</f>
        <v>1.2824170030215631</v>
      </c>
      <c r="BZ86" s="156">
        <f>INPUT!DW678</f>
        <v>9.9855758677996924</v>
      </c>
      <c r="CA86" s="507">
        <f>INPUT!DX678</f>
        <v>9.9832280514757752</v>
      </c>
      <c r="CB86" s="156">
        <f>INPUT!DY678</f>
        <v>10.021656570729103</v>
      </c>
      <c r="CC86" s="507">
        <f>INPUT!DZ678</f>
        <v>-0.91209918963385261</v>
      </c>
      <c r="CD86" s="156">
        <f>INPUT!EA678</f>
        <v>9.7688841811162028</v>
      </c>
      <c r="CE86" s="507">
        <f>INPUT!EB678</f>
        <v>-1.3226123910352827</v>
      </c>
      <c r="CF86" s="156">
        <f>INPUT!EC678</f>
        <v>9.4399109792284879</v>
      </c>
      <c r="CG86" s="507">
        <f>INPUT!ED678</f>
        <v>-7.3689770230327962</v>
      </c>
      <c r="CH86" s="156">
        <f>INPUT!EE678</f>
        <v>9.6156274371448731</v>
      </c>
      <c r="CI86" s="507">
        <f>INPUT!EF678</f>
        <v>-3.7048281997214105</v>
      </c>
      <c r="CJ86" s="156">
        <f>INPUT!EG678</f>
        <v>9.8067808968282897</v>
      </c>
      <c r="CK86" s="507">
        <f>INPUT!EH678</f>
        <v>-2.1441133248211175</v>
      </c>
      <c r="CL86" s="156">
        <f>INPUT!EI678</f>
        <v>9.8942433082321362</v>
      </c>
      <c r="CM86" s="507">
        <f>INPUT!EJ678</f>
        <v>1.2832491898947751</v>
      </c>
      <c r="CN86" s="156">
        <f>INPUT!EK678</f>
        <v>9.9800924013071413</v>
      </c>
      <c r="CO86" s="507">
        <f>INPUT!EL678</f>
        <v>5.7223147894854609</v>
      </c>
      <c r="CP86" s="156">
        <f>INPUT!EM678</f>
        <v>10.017570767008651</v>
      </c>
      <c r="CQ86" s="507">
        <f>INPUT!EN678</f>
        <v>4.1801050684543428</v>
      </c>
      <c r="CR86" s="156">
        <f>INPUT!EO678</f>
        <v>10.491832571437081</v>
      </c>
      <c r="CS86" s="507">
        <f>INPUT!EP678</f>
        <v>6.9854897526093529</v>
      </c>
      <c r="CT86" s="156">
        <f>INPUT!EQ678</f>
        <v>10.60269099781233</v>
      </c>
      <c r="CU86" s="507">
        <f>INPUT!ER678</f>
        <v>7.1602008108164972</v>
      </c>
      <c r="CV86" s="156">
        <f>INPUT!ES678</f>
        <v>10.731113149755881</v>
      </c>
      <c r="CW86" s="507">
        <f>INPUT!ET678</f>
        <v>7.5251883274184417</v>
      </c>
      <c r="CX86" s="156">
        <f>INPUT!EU678</f>
        <v>10.793902387897827</v>
      </c>
      <c r="CY86" s="507">
        <f>INPUT!EV678</f>
        <v>7.7496993926502222</v>
      </c>
      <c r="CZ86" s="156">
        <f>INPUT!EW678</f>
        <v>10.865271681046057</v>
      </c>
      <c r="DA86" s="507">
        <f>INPUT!EX678</f>
        <v>3.559331575931024</v>
      </c>
      <c r="DB86" s="507"/>
      <c r="DC86" s="464">
        <f>INPUT!FP678</f>
        <v>9.7024024603728485</v>
      </c>
      <c r="DD86" s="687">
        <f>INPUT!FQ678</f>
        <v>0.6942644725991709</v>
      </c>
      <c r="DE86" s="464">
        <f>INPUT!FR678</f>
        <v>12.033389954292934</v>
      </c>
      <c r="DF86" s="687">
        <f>INPUT!FS678</f>
        <v>24.024848520152077</v>
      </c>
      <c r="DG86" s="464">
        <f>INPUT!FT678</f>
        <v>11.6048037766192</v>
      </c>
      <c r="DH86" s="687">
        <f>INPUT!FU678</f>
        <v>-3.5616412274650511</v>
      </c>
      <c r="DI86" s="464">
        <f>INPUT!FV678</f>
        <v>10.237050444083806</v>
      </c>
      <c r="DJ86" s="687">
        <f>INPUT!FW678</f>
        <v>-11.786096162100367</v>
      </c>
      <c r="DK86" s="156">
        <f>INPUT!FX678</f>
        <v>10.705833123789526</v>
      </c>
      <c r="DL86" s="507">
        <f>INPUT!FY678</f>
        <v>4.5792748826068319</v>
      </c>
      <c r="DM86" s="156">
        <f>INPUT!FZ678</f>
        <v>11.118631501974718</v>
      </c>
      <c r="DN86" s="507">
        <f>INPUT!GA678</f>
        <v>3.8558267573581828</v>
      </c>
      <c r="DO86" s="156">
        <f>INPUT!GB678</f>
        <v>9.0354185633155595</v>
      </c>
      <c r="DP86" s="507">
        <f>INPUT!GC678</f>
        <v>-18.736235104915298</v>
      </c>
      <c r="DQ86" s="156">
        <f>INPUT!GD678</f>
        <v>9.3284205601229875</v>
      </c>
      <c r="DR86" s="507">
        <f>INPUT!GE678</f>
        <v>3.2428159775246712</v>
      </c>
      <c r="DS86" s="156">
        <f>INPUT!GF678</f>
        <v>10.055223388331205</v>
      </c>
      <c r="DT86" s="507">
        <f>INPUT!GG678</f>
        <v>7.7912742411630154</v>
      </c>
      <c r="DU86" s="156">
        <f>INPUT!GH678</f>
        <v>10.113905420106226</v>
      </c>
      <c r="DV86" s="507">
        <f>INPUT!GI678</f>
        <v>0.58359749464262922</v>
      </c>
      <c r="DW86" s="156">
        <f>INPUT!GJ678</f>
        <v>10.021656570729103</v>
      </c>
      <c r="DX86" s="507">
        <f>INPUT!GK678</f>
        <v>-0.91209918963385261</v>
      </c>
      <c r="DY86" s="156">
        <f>INPUT!GL678</f>
        <v>9.8067808968282897</v>
      </c>
      <c r="DZ86" s="507">
        <f>INPUT!GM678</f>
        <v>-2.1441133248211175</v>
      </c>
      <c r="EA86" s="156">
        <f>INPUT!GN678</f>
        <v>10.491832571437081</v>
      </c>
      <c r="EB86" s="507">
        <f>INPUT!GO678</f>
        <v>6.9854897526093529</v>
      </c>
      <c r="EC86" s="156">
        <f>INPUT!GP678</f>
        <v>10.865271681046057</v>
      </c>
      <c r="ED86" s="507">
        <f>INPUT!GQ678</f>
        <v>3.559331575931024</v>
      </c>
      <c r="EE86" s="156">
        <f>INPUT!GR678</f>
        <v>11.136221877840475</v>
      </c>
      <c r="EF86" s="507">
        <f>INPUT!GS678</f>
        <v>2.4937268459386708</v>
      </c>
      <c r="EG86" s="156">
        <f>INPUT!GT678</f>
        <v>11.460591167672762</v>
      </c>
      <c r="EH86" s="507">
        <f>INPUT!GU678</f>
        <v>2.9127409043253394</v>
      </c>
      <c r="EI86" s="156">
        <f>INPUT!GV678</f>
        <v>11.768864473522097</v>
      </c>
      <c r="EJ86" s="507">
        <f>INPUT!GW678</f>
        <v>2.6898551858205222</v>
      </c>
      <c r="EK86" s="156">
        <f>INPUT!GX678</f>
        <v>12.103816170593619</v>
      </c>
      <c r="EL86" s="507">
        <f>INPUT!GY678</f>
        <v>2.8460833908412031</v>
      </c>
      <c r="EM86" s="257">
        <f>INPUT!GZ678</f>
        <v>2.8997201222032531</v>
      </c>
    </row>
    <row r="87" spans="1:143" ht="12.75" customHeight="1" x14ac:dyDescent="0.2">
      <c r="A87" s="701" t="str">
        <f>INPUT!B692</f>
        <v>Op Return on Avg Assets (%)</v>
      </c>
      <c r="B87" s="464">
        <f>INPUT!AY680</f>
        <v>0.19496975505621877</v>
      </c>
      <c r="C87" s="507">
        <f>INPUT!AZ680</f>
        <v>8.7176884945415534</v>
      </c>
      <c r="D87" s="464">
        <f>INPUT!BA680</f>
        <v>0.19905898895393642</v>
      </c>
      <c r="E87" s="687">
        <f>INPUT!BB680</f>
        <v>20.217427976128</v>
      </c>
      <c r="F87" s="464">
        <f>INPUT!BC680</f>
        <v>0.19271816001222039</v>
      </c>
      <c r="G87" s="687">
        <f>INPUT!BD680</f>
        <v>10.84456136688685</v>
      </c>
      <c r="H87" s="464">
        <f>INPUT!BE680</f>
        <v>0.19214191753019449</v>
      </c>
      <c r="I87" s="687">
        <f>INPUT!BF680</f>
        <v>-7.5607543593580129</v>
      </c>
      <c r="J87" s="464">
        <f>INPUT!BG680</f>
        <v>0.18031232829961424</v>
      </c>
      <c r="K87" s="687">
        <f>INPUT!BH680</f>
        <v>-7.5177951330851922</v>
      </c>
      <c r="L87" s="464">
        <f>INPUT!BI680</f>
        <v>0.17600060708555573</v>
      </c>
      <c r="M87" s="687">
        <f>INPUT!BJ680</f>
        <v>-11.583692848815053</v>
      </c>
      <c r="N87" s="464">
        <f>INPUT!BK680</f>
        <v>0.17653570399074411</v>
      </c>
      <c r="O87" s="687">
        <f>INPUT!BL680</f>
        <v>-8.3969544024549254</v>
      </c>
      <c r="P87" s="464">
        <f>INPUT!BM680</f>
        <v>0.18584453700469686</v>
      </c>
      <c r="Q87" s="687">
        <f>INPUT!BN680</f>
        <v>-3.2774631410181554</v>
      </c>
      <c r="R87" s="464">
        <f>INPUT!BO680</f>
        <v>0.1616300804992114</v>
      </c>
      <c r="S87" s="687">
        <f>INPUT!BP680</f>
        <v>-10.361048507653713</v>
      </c>
      <c r="T87" s="464">
        <f>INPUT!BQ680</f>
        <v>0.16697760790238036</v>
      </c>
      <c r="U87" s="687">
        <f>INPUT!BR680</f>
        <v>-5.1266863976152095</v>
      </c>
      <c r="V87" s="464">
        <f>INPUT!BS680</f>
        <v>0.17619819668137693</v>
      </c>
      <c r="W87" s="687">
        <f>INPUT!BT680</f>
        <v>-0.19118359727666734</v>
      </c>
      <c r="X87" s="464">
        <f>INPUT!BU680</f>
        <v>0.12716757850992766</v>
      </c>
      <c r="Y87" s="687">
        <f>INPUT!BV680</f>
        <v>-31.573141422653851</v>
      </c>
      <c r="Z87" s="464">
        <f>INPUT!BW680</f>
        <v>0.12197301807103578</v>
      </c>
      <c r="AA87" s="122">
        <f>INPUT!BX680</f>
        <v>-24.535694287654032</v>
      </c>
      <c r="AB87" s="464">
        <f>INPUT!BY680</f>
        <v>0.12777709461514788</v>
      </c>
      <c r="AC87" s="687">
        <f>INPUT!BZ680</f>
        <v>-23.476509083870788</v>
      </c>
      <c r="AD87" s="464">
        <f>INPUT!CA680</f>
        <v>0.15006300683779117</v>
      </c>
      <c r="AE87" s="687">
        <f>INPUT!CB680</f>
        <v>-14.832836167356811</v>
      </c>
      <c r="AF87" s="464">
        <f>INPUT!CC680</f>
        <v>0.16699983979828514</v>
      </c>
      <c r="AG87" s="687">
        <f>INPUT!CD680</f>
        <v>31.322654528054784</v>
      </c>
      <c r="AH87" s="464">
        <f>INPUT!CE680</f>
        <v>0.15774755211392585</v>
      </c>
      <c r="AI87" s="507">
        <f>INPUT!CF680</f>
        <v>29.329875253275574</v>
      </c>
      <c r="AJ87" s="464">
        <f>INPUT!CG680</f>
        <v>0.16071841740734716</v>
      </c>
      <c r="AK87" s="507">
        <f>INPUT!CH680</f>
        <v>25.780303497598943</v>
      </c>
      <c r="AL87" s="464">
        <f>INPUT!CI680</f>
        <v>0.15196190591313133</v>
      </c>
      <c r="AM87" s="507">
        <f>INPUT!CJ680</f>
        <v>1.2654011907096807</v>
      </c>
      <c r="AN87" s="464">
        <f>INPUT!CK680</f>
        <v>0.1548735199587003</v>
      </c>
      <c r="AO87" s="507">
        <f>INPUT!CL680</f>
        <v>-7.2612763307030264</v>
      </c>
      <c r="AP87" s="464">
        <f>INPUT!CM680</f>
        <v>0.14128282655779179</v>
      </c>
      <c r="AQ87" s="507">
        <f>INPUT!CN680</f>
        <v>-10.437388939159698</v>
      </c>
      <c r="AR87" s="464">
        <f>INPUT!CO680</f>
        <v>0.14665170069844816</v>
      </c>
      <c r="AS87" s="507">
        <f>INPUT!CP680</f>
        <v>-8.7523987205812013</v>
      </c>
      <c r="AT87" s="464">
        <f>INPUT!CQ680</f>
        <v>0.15790915958918381</v>
      </c>
      <c r="AU87" s="507">
        <f>INPUT!CR680</f>
        <v>3.9136477265902414</v>
      </c>
      <c r="AV87" s="464">
        <f>INPUT!CS680</f>
        <v>0.14076969349158863</v>
      </c>
      <c r="AW87" s="507">
        <f>INPUT!CT680</f>
        <v>-9.1066739303611755</v>
      </c>
      <c r="AX87" s="464">
        <f>INPUT!CU680</f>
        <v>0.14309819808600055</v>
      </c>
      <c r="AY87" s="507">
        <f>INPUT!CV680</f>
        <v>1.2849201650606767</v>
      </c>
      <c r="AZ87" s="464">
        <f>INPUT!CW680</f>
        <v>0.14076845259682005</v>
      </c>
      <c r="BA87" s="507">
        <f>INPUT!CX680</f>
        <v>-4.0117148820016046</v>
      </c>
      <c r="BB87" s="464">
        <f>INPUT!CY680</f>
        <v>0.15378556291142326</v>
      </c>
      <c r="BC87" s="507">
        <f>INPUT!CZ680</f>
        <v>-2.6113726958515215</v>
      </c>
      <c r="BD87" s="464">
        <f>INPUT!DA680</f>
        <v>0.1390657269752974</v>
      </c>
      <c r="BE87" s="507">
        <f>INPUT!DB680</f>
        <v>-1.210464038122705</v>
      </c>
      <c r="BF87" s="464">
        <f>INPUT!DC680</f>
        <v>0.13469822431804335</v>
      </c>
      <c r="BG87" s="507">
        <f>INPUT!DD680</f>
        <v>-5.8700765490484414</v>
      </c>
      <c r="BH87" s="464">
        <f>INPUT!DE680</f>
        <v>0.14832619252918497</v>
      </c>
      <c r="BI87" s="507">
        <f>INPUT!DF680</f>
        <v>5.3689159701224343</v>
      </c>
      <c r="BJ87" s="464">
        <f>INPUT!DG680</f>
        <v>0.14958797118556191</v>
      </c>
      <c r="BK87" s="507">
        <f>INPUT!DH680</f>
        <v>-2.7295096148128417</v>
      </c>
      <c r="BL87" s="464">
        <f>INPUT!DI680</f>
        <v>0.15293369232054388</v>
      </c>
      <c r="BM87" s="507">
        <f>INPUT!DJ680</f>
        <v>9.9722380538160174</v>
      </c>
      <c r="BN87" s="464">
        <f>INPUT!DK680</f>
        <v>0.1520169390303491</v>
      </c>
      <c r="BO87" s="507">
        <f>INPUT!DL680</f>
        <v>12.857418722472236</v>
      </c>
      <c r="BP87" s="464">
        <f>INPUT!DM680</f>
        <v>0.15639190834782538</v>
      </c>
      <c r="BQ87" s="507">
        <f>INPUT!DN680</f>
        <v>5.4378230042231968</v>
      </c>
      <c r="BR87" s="464">
        <f>INPUT!DO680</f>
        <v>0.1623888852043226</v>
      </c>
      <c r="BS87" s="507">
        <f>INPUT!DP680</f>
        <v>8.5574487823498302</v>
      </c>
      <c r="BT87" s="464">
        <f>INPUT!DQ680</f>
        <v>0.15423764952981431</v>
      </c>
      <c r="BU87" s="507">
        <f>INPUT!DR680</f>
        <v>0.85262912932055901</v>
      </c>
      <c r="BV87" s="464">
        <f>INPUT!DS680</f>
        <v>0.13754566946056307</v>
      </c>
      <c r="BW87" s="507">
        <f>INPUT!DT680</f>
        <v>-9.5195112216388882</v>
      </c>
      <c r="BX87" s="464">
        <f>INPUT!DU680</f>
        <v>0.1475750384026073</v>
      </c>
      <c r="BY87" s="507">
        <f>INPUT!DV680</f>
        <v>-5.6376765514036702</v>
      </c>
      <c r="BZ87" s="464">
        <f>INPUT!DW680</f>
        <v>0.16703455217699717</v>
      </c>
      <c r="CA87" s="507">
        <f>INPUT!DX680</f>
        <v>0.33782912957691641</v>
      </c>
      <c r="CB87" s="464">
        <f>INPUT!DY680</f>
        <v>0.15237031570969864</v>
      </c>
      <c r="CC87" s="507">
        <f>INPUT!DZ680</f>
        <v>-1.2106861235295918</v>
      </c>
      <c r="CD87" s="464">
        <f>INPUT!EA680</f>
        <v>0.14262468825473873</v>
      </c>
      <c r="CE87" s="507">
        <f>INPUT!EB680</f>
        <v>3.6926053827030181</v>
      </c>
      <c r="CF87" s="464">
        <f>INPUT!EC680</f>
        <v>0.14380833779923122</v>
      </c>
      <c r="CG87" s="507">
        <f>INPUT!ED680</f>
        <v>-2.5523968308921896</v>
      </c>
      <c r="CH87" s="464">
        <f>INPUT!EE680</f>
        <v>0.15418223562353556</v>
      </c>
      <c r="CI87" s="507">
        <f>INPUT!EF680</f>
        <v>-7.6944059692767848</v>
      </c>
      <c r="CJ87" s="464">
        <f>INPUT!EG680</f>
        <v>0.15485619954868315</v>
      </c>
      <c r="CK87" s="507">
        <f>INPUT!EH680</f>
        <v>1.6314751514466375</v>
      </c>
      <c r="CL87" s="464">
        <f>INPUT!EI680</f>
        <v>0.15044557215622903</v>
      </c>
      <c r="CM87" s="507">
        <f>INPUT!EJ680</f>
        <v>5.4835414521794412</v>
      </c>
      <c r="CN87" s="464">
        <f>INPUT!EK680</f>
        <v>0.15543878067736439</v>
      </c>
      <c r="CO87" s="507">
        <f>INPUT!EL680</f>
        <v>8.0874607523593323</v>
      </c>
      <c r="CP87" s="464">
        <f>INPUT!EM680</f>
        <v>0.15808590245716911</v>
      </c>
      <c r="CQ87" s="507">
        <f>INPUT!EN680</f>
        <v>2.5318525301222694</v>
      </c>
      <c r="CR87" s="464">
        <f>INPUT!EO680</f>
        <v>0.15755136532580905</v>
      </c>
      <c r="CS87" s="507">
        <f>INPUT!EP680</f>
        <v>1.7404313065803922</v>
      </c>
      <c r="CT87" s="464">
        <f>INPUT!EQ680</f>
        <v>0.15253668938103251</v>
      </c>
      <c r="CU87" s="507">
        <f>INPUT!ER680</f>
        <v>1.3899493317304001</v>
      </c>
      <c r="CV87" s="464">
        <f>INPUT!ES680</f>
        <v>0.15980711588077415</v>
      </c>
      <c r="CW87" s="507">
        <f>INPUT!ET680</f>
        <v>2.8103251867864776</v>
      </c>
      <c r="CX87" s="464">
        <f>INPUT!EU680</f>
        <v>0.16383193511277458</v>
      </c>
      <c r="CY87" s="507">
        <f>INPUT!EV680</f>
        <v>3.6347533627562267</v>
      </c>
      <c r="CZ87" s="464">
        <f>INPUT!EW680</f>
        <v>0.16595054189461134</v>
      </c>
      <c r="DA87" s="507">
        <f>INPUT!EX680</f>
        <v>5.3310719024447506</v>
      </c>
      <c r="DB87" s="507"/>
      <c r="DC87" s="464">
        <f>INPUT!FP680</f>
        <v>0.72159446554634177</v>
      </c>
      <c r="DD87" s="687">
        <f>INPUT!FQ680</f>
        <v>10.752046727558673</v>
      </c>
      <c r="DE87" s="464">
        <f>INPUT!FR680</f>
        <v>0.794215853264164</v>
      </c>
      <c r="DF87" s="687">
        <f>INPUT!FS680</f>
        <v>10.064016727572644</v>
      </c>
      <c r="DG87" s="464">
        <f>INPUT!FT680</f>
        <v>0.72494639537989225</v>
      </c>
      <c r="DH87" s="687">
        <f>INPUT!FU680</f>
        <v>-8.721742030152102</v>
      </c>
      <c r="DI87" s="464">
        <f>INPUT!FV680</f>
        <v>0.64415526398097556</v>
      </c>
      <c r="DJ87" s="687">
        <f>INPUT!FW680</f>
        <v>-11.144428321018118</v>
      </c>
      <c r="DK87" s="464">
        <f>INPUT!FX680</f>
        <v>0.56611712571692518</v>
      </c>
      <c r="DL87" s="507">
        <f>INPUT!FY680</f>
        <v>-12.114802537165193</v>
      </c>
      <c r="DM87" s="464">
        <f>INPUT!FZ680</f>
        <v>0.62118694058293822</v>
      </c>
      <c r="DN87" s="507">
        <f>INPUT!GA680</f>
        <v>9.7276362724892262</v>
      </c>
      <c r="DO87" s="464">
        <f>INPUT!GB680</f>
        <v>0.58672242646175321</v>
      </c>
      <c r="DP87" s="507">
        <f>INPUT!GC680</f>
        <v>-5.548171068896357</v>
      </c>
      <c r="DQ87" s="464">
        <f>INPUT!GD680</f>
        <v>0.57950328290037112</v>
      </c>
      <c r="DR87" s="507">
        <f>INPUT!GE680</f>
        <v>-1.2304188890336687</v>
      </c>
      <c r="DS87" s="464">
        <f>INPUT!GF680</f>
        <v>0.58203477734339015</v>
      </c>
      <c r="DT87" s="507">
        <f>INPUT!GG680</f>
        <v>0.4368386716204764</v>
      </c>
      <c r="DU87" s="464">
        <f>INPUT!GH680</f>
        <v>0.62775074338903813</v>
      </c>
      <c r="DV87" s="507">
        <f>INPUT!GI680</f>
        <v>7.8545076385833079</v>
      </c>
      <c r="DW87" s="464">
        <f>INPUT!GJ680</f>
        <v>0.60737999346903226</v>
      </c>
      <c r="DX87" s="507">
        <f>INPUT!GK680</f>
        <v>-3.2450379604539004</v>
      </c>
      <c r="DY87" s="464">
        <f>INPUT!GL680</f>
        <v>0.60455470415843127</v>
      </c>
      <c r="DZ87" s="507">
        <f>INPUT!GM680</f>
        <v>-0.46516008775073781</v>
      </c>
      <c r="EA87" s="464">
        <f>INPUT!GN680</f>
        <v>0.62220504609948657</v>
      </c>
      <c r="EB87" s="507">
        <f>INPUT!GO680</f>
        <v>2.919560764252993</v>
      </c>
      <c r="EC87" s="464">
        <f>INPUT!GP680</f>
        <v>0.64227727014195835</v>
      </c>
      <c r="ED87" s="507">
        <f>INPUT!GQ680</f>
        <v>3.2259822012536965</v>
      </c>
      <c r="EE87" s="464">
        <f>INPUT!GR680</f>
        <v>0.64841597923592575</v>
      </c>
      <c r="EF87" s="507">
        <f>INPUT!GS680</f>
        <v>0.95577243339322049</v>
      </c>
      <c r="EG87" s="464">
        <f>INPUT!GT680</f>
        <v>0.66988331728287887</v>
      </c>
      <c r="EH87" s="507">
        <f>INPUT!GU680</f>
        <v>3.3107355053540788</v>
      </c>
      <c r="EI87" s="464">
        <f>INPUT!GV680</f>
        <v>0.66363697470334837</v>
      </c>
      <c r="EJ87" s="507">
        <f>INPUT!GW680</f>
        <v>-0.93245232690170043</v>
      </c>
      <c r="EK87" s="464">
        <f>INPUT!GX680</f>
        <v>0.65901361532914693</v>
      </c>
      <c r="EL87" s="507">
        <f>INPUT!GY680</f>
        <v>-0.6966699491492534</v>
      </c>
      <c r="EM87" s="257">
        <f>INPUT!GZ680</f>
        <v>1.1561220306354203</v>
      </c>
    </row>
    <row r="88" spans="1:143" ht="12.75" customHeight="1" x14ac:dyDescent="0.2">
      <c r="A88" s="701" t="str">
        <f>INPUT!B681&amp;" (Ex-FAS115)"</f>
        <v>Book Value per Share (Ex-FAS115)</v>
      </c>
      <c r="B88" s="464">
        <f>INPUT!AY681</f>
        <v>34.537103479738093</v>
      </c>
      <c r="C88" s="507">
        <f>INPUT!AZ681</f>
        <v>10.183057448587697</v>
      </c>
      <c r="D88" s="464">
        <f>INPUT!BA681</f>
        <v>40.830537886404407</v>
      </c>
      <c r="E88" s="687">
        <f>INPUT!BB681</f>
        <v>28.136457049272078</v>
      </c>
      <c r="F88" s="464">
        <f>INPUT!BC681</f>
        <v>41.665643657403514</v>
      </c>
      <c r="G88" s="687">
        <f>INPUT!BD681</f>
        <v>26.658865545975363</v>
      </c>
      <c r="H88" s="464">
        <f>INPUT!BE681</f>
        <v>42.505072463768116</v>
      </c>
      <c r="I88" s="687">
        <f>INPUT!BF681</f>
        <v>25.78141665620468</v>
      </c>
      <c r="J88" s="464">
        <f>INPUT!BG681</f>
        <v>42.466223698781846</v>
      </c>
      <c r="K88" s="687">
        <f>INPUT!BH681</f>
        <v>22.958266386454596</v>
      </c>
      <c r="L88" s="464">
        <f>INPUT!BI681</f>
        <v>43.51025837420066</v>
      </c>
      <c r="M88" s="687">
        <f>INPUT!BJ681</f>
        <v>6.5630300909862216</v>
      </c>
      <c r="N88" s="464">
        <f>INPUT!BK681</f>
        <v>43.67483296213809</v>
      </c>
      <c r="O88" s="687">
        <f>INPUT!BL681</f>
        <v>4.8221727264198044</v>
      </c>
      <c r="P88" s="464">
        <f>INPUT!BM681</f>
        <v>43.99546142208775</v>
      </c>
      <c r="Q88" s="687">
        <f>INPUT!BN681</f>
        <v>3.5063790553234941</v>
      </c>
      <c r="R88" s="464">
        <f>INPUT!BO681</f>
        <v>43.978411719352358</v>
      </c>
      <c r="S88" s="687">
        <f>INPUT!BP681</f>
        <v>3.5609194528259724</v>
      </c>
      <c r="T88" s="464">
        <f>INPUT!BQ681</f>
        <v>43.992217898832685</v>
      </c>
      <c r="U88" s="687">
        <f>INPUT!BR681</f>
        <v>1.107691709129921</v>
      </c>
      <c r="V88" s="464">
        <f>INPUT!BS681</f>
        <v>44.181249999999999</v>
      </c>
      <c r="W88" s="687">
        <f>INPUT!BT681</f>
        <v>1.1595168281488766</v>
      </c>
      <c r="X88" s="464">
        <f>INPUT!BU681</f>
        <v>42.094103865677461</v>
      </c>
      <c r="Y88" s="687">
        <f>INPUT!BV681</f>
        <v>-4.3217129561817007</v>
      </c>
      <c r="Z88" s="464">
        <f>INPUT!BW681</f>
        <v>40.203786843646306</v>
      </c>
      <c r="AA88" s="122">
        <f>INPUT!BX681</f>
        <v>-8.5829040389038376</v>
      </c>
      <c r="AB88" s="464">
        <f>INPUT!BY681</f>
        <v>35.666225603704923</v>
      </c>
      <c r="AC88" s="687">
        <f>INPUT!BZ681</f>
        <v>-18.926057136457054</v>
      </c>
      <c r="AD88" s="464">
        <f>INPUT!CA681</f>
        <v>36.141912007939133</v>
      </c>
      <c r="AE88" s="687">
        <f>INPUT!CB681</f>
        <v>-18.196266497803627</v>
      </c>
      <c r="AF88" s="464">
        <f>INPUT!CC681</f>
        <v>36.412698412698411</v>
      </c>
      <c r="AG88" s="687">
        <f>INPUT!CD681</f>
        <v>-13.496915081286554</v>
      </c>
      <c r="AH88" s="464">
        <f>INPUT!CE681</f>
        <v>36.73463317911434</v>
      </c>
      <c r="AI88" s="507">
        <f>INPUT!CF681</f>
        <v>-8.6289226386151228</v>
      </c>
      <c r="AJ88" s="464">
        <f>INPUT!CG681</f>
        <v>36.928661616161612</v>
      </c>
      <c r="AK88" s="507">
        <f>INPUT!CH681</f>
        <v>3.5395839932262252</v>
      </c>
      <c r="AL88" s="464">
        <f>INPUT!CI681</f>
        <v>37.537393499526665</v>
      </c>
      <c r="AM88" s="507">
        <f>INPUT!CJ681</f>
        <v>3.8611169527527744</v>
      </c>
      <c r="AN88" s="464">
        <f>INPUT!CK681</f>
        <v>38.169357391579616</v>
      </c>
      <c r="AO88" s="507">
        <f>INPUT!CL681</f>
        <v>4.824303211399994</v>
      </c>
      <c r="AP88" s="464">
        <f>INPUT!CM681</f>
        <v>35.668686224489797</v>
      </c>
      <c r="AQ88" s="507">
        <f>INPUT!CN681</f>
        <v>-2.9017492822838165</v>
      </c>
      <c r="AR88" s="464">
        <f>INPUT!CO681</f>
        <v>36.729335494327394</v>
      </c>
      <c r="AS88" s="507">
        <f>INPUT!CP681</f>
        <v>-0.53975994014087147</v>
      </c>
      <c r="AT88" s="464">
        <f>INPUT!CQ681</f>
        <v>37.518223989396951</v>
      </c>
      <c r="AU88" s="507">
        <f>INPUT!CR681</f>
        <v>-5.1067770941415347E-2</v>
      </c>
      <c r="AV88" s="464">
        <f>INPUT!CS681</f>
        <v>35.749571183533448</v>
      </c>
      <c r="AW88" s="507">
        <f>INPUT!CT681</f>
        <v>-6.3396042621875264</v>
      </c>
      <c r="AX88" s="464">
        <f>INPUT!CU681</f>
        <v>36.757703081232492</v>
      </c>
      <c r="AY88" s="507">
        <f>INPUT!CV681</f>
        <v>3.0531454113243539</v>
      </c>
      <c r="AZ88" s="464">
        <f>INPUT!CW681</f>
        <v>38.166845685642677</v>
      </c>
      <c r="BA88" s="507">
        <f>INPUT!CX681</f>
        <v>3.9137930811116828</v>
      </c>
      <c r="BB88" s="464">
        <f>INPUT!CY681</f>
        <v>39.861918604651166</v>
      </c>
      <c r="BC88" s="507">
        <f>INPUT!CZ681</f>
        <v>6.2468165228625194</v>
      </c>
      <c r="BD88" s="464">
        <f>INPUT!DA681</f>
        <v>41.108247422680407</v>
      </c>
      <c r="BE88" s="507">
        <f>INPUT!DB681</f>
        <v>14.989483962300532</v>
      </c>
      <c r="BF88" s="464">
        <f>INPUT!DC681</f>
        <v>41.999255398361875</v>
      </c>
      <c r="BG88" s="507">
        <f>INPUT!DD681</f>
        <v>14.259738443247771</v>
      </c>
      <c r="BH88" s="464">
        <f>INPUT!DE681</f>
        <v>43.20726172465961</v>
      </c>
      <c r="BI88" s="507">
        <f>INPUT!DF681</f>
        <v>13.206268289844548</v>
      </c>
      <c r="BJ88" s="464">
        <f>INPUT!DG681</f>
        <v>44.372855508959205</v>
      </c>
      <c r="BK88" s="507">
        <f>INPUT!DH681</f>
        <v>11.316406892120078</v>
      </c>
      <c r="BL88" s="464">
        <f>INPUT!DI681</f>
        <v>45.226321795359453</v>
      </c>
      <c r="BM88" s="507">
        <f>INPUT!DJ681</f>
        <v>10.017635464573482</v>
      </c>
      <c r="BN88" s="464">
        <f>INPUT!DK681</f>
        <v>45.631399317406142</v>
      </c>
      <c r="BO88" s="507">
        <f>INPUT!DL681</f>
        <v>8.648115031072523</v>
      </c>
      <c r="BP88" s="464">
        <f>INPUT!DM681</f>
        <v>46.974693251533743</v>
      </c>
      <c r="BQ88" s="507">
        <f>INPUT!DN681</f>
        <v>8.7194406136687839</v>
      </c>
      <c r="BR88" s="464">
        <f>INPUT!DO681</f>
        <v>48.229407236335639</v>
      </c>
      <c r="BS88" s="507">
        <f>INPUT!DP681</f>
        <v>8.6912408118467113</v>
      </c>
      <c r="BT88" s="464">
        <f>INPUT!DQ681</f>
        <v>49.286827747466873</v>
      </c>
      <c r="BU88" s="507">
        <f>INPUT!DR681</f>
        <v>8.9781918823300231</v>
      </c>
      <c r="BV88" s="464">
        <f>INPUT!DS681</f>
        <v>49.703440094899172</v>
      </c>
      <c r="BW88" s="507">
        <f>INPUT!DT681</f>
        <v>8.9237692431223472</v>
      </c>
      <c r="BX88" s="464">
        <f>INPUT!DU681</f>
        <v>50.836986847349543</v>
      </c>
      <c r="BY88" s="507">
        <f>INPUT!DV681</f>
        <v>8.2220730535365263</v>
      </c>
      <c r="BZ88" s="464">
        <f>INPUT!DW681</f>
        <v>51.466666666666669</v>
      </c>
      <c r="CA88" s="507">
        <f>INPUT!DX681</f>
        <v>51.466666666666669</v>
      </c>
      <c r="CB88" s="464">
        <f>INPUT!DY681</f>
        <v>52.387202625102539</v>
      </c>
      <c r="CC88" s="507">
        <f>INPUT!DZ681</f>
        <v>6.2904735795153988</v>
      </c>
      <c r="CD88" s="464">
        <f>INPUT!EA681</f>
        <v>53.2510460251046</v>
      </c>
      <c r="CE88" s="507">
        <f>INPUT!EB681</f>
        <v>7.137546060055322</v>
      </c>
      <c r="CF88" s="464">
        <f>INPUT!EC681</f>
        <v>54.66769772737036</v>
      </c>
      <c r="CG88" s="507">
        <f>INPUT!ED681</f>
        <v>7.5352831030750522</v>
      </c>
      <c r="CH88" s="464">
        <f>INPUT!EE681</f>
        <v>56.656455142231948</v>
      </c>
      <c r="CI88" s="507">
        <f>INPUT!EF681</f>
        <v>10.083785898119068</v>
      </c>
      <c r="CJ88" s="464">
        <f>INPUT!EG681</f>
        <v>57.04692056198639</v>
      </c>
      <c r="CK88" s="507">
        <f>INPUT!EH681</f>
        <v>8.894763803729111</v>
      </c>
      <c r="CL88" s="464">
        <f>INPUT!EI681</f>
        <v>58.368907861970833</v>
      </c>
      <c r="CM88" s="507">
        <f>INPUT!EJ681</f>
        <v>9.6108193526442278</v>
      </c>
      <c r="CN88" s="464">
        <f>INPUT!EK681</f>
        <v>59.783097830978313</v>
      </c>
      <c r="CO88" s="507">
        <f>INPUT!EL681</f>
        <v>9.3572627278335929</v>
      </c>
      <c r="CP88" s="464">
        <f>INPUT!EM681</f>
        <v>61.287236949986337</v>
      </c>
      <c r="CQ88" s="507">
        <f>INPUT!EN681</f>
        <v>8.1734407776292031</v>
      </c>
      <c r="CR88" s="464">
        <f>INPUT!EO681</f>
        <v>64.624415298541692</v>
      </c>
      <c r="CS88" s="507">
        <f>INPUT!EP681</f>
        <v>13.282916346591755</v>
      </c>
      <c r="CT88" s="464">
        <f>INPUT!EQ681</f>
        <v>65.959797265621546</v>
      </c>
      <c r="CU88" s="507">
        <f>INPUT!ER681</f>
        <v>13.005022162829283</v>
      </c>
      <c r="CV88" s="464">
        <f>INPUT!ES681</f>
        <v>67.421980146050174</v>
      </c>
      <c r="CW88" s="507">
        <f>INPUT!ET681</f>
        <v>12.777662236020081</v>
      </c>
      <c r="CX88" s="464">
        <f>INPUT!EU681</f>
        <v>68.797224944306492</v>
      </c>
      <c r="CY88" s="507">
        <f>INPUT!EV681</f>
        <v>12.253755215704555</v>
      </c>
      <c r="CZ88" s="464">
        <f>INPUT!EW681</f>
        <v>70.244717864372078</v>
      </c>
      <c r="DA88" s="507">
        <f>INPUT!EX681</f>
        <v>8.6968718244746945</v>
      </c>
      <c r="DB88" s="507"/>
      <c r="DC88" s="464">
        <f>INPUT!FP681</f>
        <v>33.241944601469754</v>
      </c>
      <c r="DD88" s="687">
        <f>INPUT!FQ681</f>
        <v>24.362005703507549</v>
      </c>
      <c r="DE88" s="464">
        <f>INPUT!FR681</f>
        <v>41.867951463240544</v>
      </c>
      <c r="DF88" s="687">
        <f>INPUT!FS681</f>
        <v>25.949164422196279</v>
      </c>
      <c r="DG88" s="464">
        <f>INPUT!FT681</f>
        <v>43.697971450037564</v>
      </c>
      <c r="DH88" s="687">
        <f>INPUT!FU681</f>
        <v>4.3709327130651454</v>
      </c>
      <c r="DI88" s="464">
        <f>INPUT!FV681</f>
        <v>42.094103865677461</v>
      </c>
      <c r="DJ88" s="687">
        <f>INPUT!FW681</f>
        <v>-3.6703479157926044</v>
      </c>
      <c r="DK88" s="464">
        <f>INPUT!FX681</f>
        <v>36.412698412698411</v>
      </c>
      <c r="DL88" s="507">
        <f>INPUT!FY681</f>
        <v>-13.496915081286554</v>
      </c>
      <c r="DM88" s="464">
        <f>INPUT!FZ681</f>
        <v>38.169357391579616</v>
      </c>
      <c r="DN88" s="507">
        <f>INPUT!GA681</f>
        <v>4.824303211399994</v>
      </c>
      <c r="DO88" s="464">
        <f>INPUT!GB681</f>
        <v>35.749571183533448</v>
      </c>
      <c r="DP88" s="507">
        <f>INPUT!GC681</f>
        <v>-6.3396042621875264</v>
      </c>
      <c r="DQ88" s="464">
        <f>INPUT!GD681</f>
        <v>41.108247422680407</v>
      </c>
      <c r="DR88" s="507">
        <f>INPUT!GE681</f>
        <v>14.989483962300532</v>
      </c>
      <c r="DS88" s="464">
        <f>INPUT!GF681</f>
        <v>45.226321795359453</v>
      </c>
      <c r="DT88" s="507">
        <f>INPUT!GG681</f>
        <v>10.017635464573482</v>
      </c>
      <c r="DU88" s="464">
        <f>INPUT!GH681</f>
        <v>49.286827747466873</v>
      </c>
      <c r="DV88" s="507">
        <f>INPUT!GI681</f>
        <v>8.9781918823300231</v>
      </c>
      <c r="DW88" s="464">
        <f>INPUT!GJ681</f>
        <v>52.387202625102539</v>
      </c>
      <c r="DX88" s="507">
        <f>INPUT!GK681</f>
        <v>6.2904735795153988</v>
      </c>
      <c r="DY88" s="464">
        <f>INPUT!GL681</f>
        <v>57.04692056198639</v>
      </c>
      <c r="DZ88" s="507">
        <f>INPUT!GM681</f>
        <v>8.894763803729111</v>
      </c>
      <c r="EA88" s="464">
        <f>INPUT!GN681</f>
        <v>64.624415298541692</v>
      </c>
      <c r="EB88" s="507">
        <f>INPUT!GO681</f>
        <v>13.282916346591755</v>
      </c>
      <c r="EC88" s="464">
        <f>INPUT!GP681</f>
        <v>70.244717864372078</v>
      </c>
      <c r="ED88" s="507">
        <f>INPUT!GQ681</f>
        <v>8.6968718244746945</v>
      </c>
      <c r="EE88" s="464">
        <f>INPUT!GR681</f>
        <v>76.285473500622118</v>
      </c>
      <c r="EF88" s="507">
        <f>INPUT!GS681</f>
        <v>8.5995870150884279</v>
      </c>
      <c r="EG88" s="464">
        <f>INPUT!GT681</f>
        <v>83.475724773233097</v>
      </c>
      <c r="EH88" s="507">
        <f>INPUT!GU681</f>
        <v>9.425452766642838</v>
      </c>
      <c r="EI88" s="464">
        <f>INPUT!GV681</f>
        <v>91.438527869345904</v>
      </c>
      <c r="EJ88" s="507">
        <f>INPUT!GW681</f>
        <v>9.5390643420518284</v>
      </c>
      <c r="EK88" s="464">
        <f>INPUT!GX681</f>
        <v>100.23449848190916</v>
      </c>
      <c r="EL88" s="507">
        <f>INPUT!GY681</f>
        <v>9.6195453027541955</v>
      </c>
      <c r="EM88" s="257">
        <f>INPUT!GZ681</f>
        <v>9.1752308730641996</v>
      </c>
    </row>
    <row r="89" spans="1:143" ht="12.75" customHeight="1" x14ac:dyDescent="0.2">
      <c r="A89" s="701" t="str">
        <f>INPUT!B693&amp;" (Incl FAS115)"</f>
        <v>Book Value per Share (Incl FAS115)</v>
      </c>
      <c r="B89" s="464">
        <f>INPUT!AY693</f>
        <v>35.987221226289861</v>
      </c>
      <c r="C89" s="507">
        <f>INPUT!AZ693</f>
        <v>3.5885031539120371</v>
      </c>
      <c r="D89" s="464">
        <f>INPUT!BA693</f>
        <v>40.475637863054111</v>
      </c>
      <c r="E89" s="687">
        <f>INPUT!BB693</f>
        <v>9.7942349851609656</v>
      </c>
      <c r="F89" s="464">
        <f>INPUT!BC693</f>
        <v>43.387721759661915</v>
      </c>
      <c r="G89" s="687">
        <f>INPUT!BD693</f>
        <v>19.765117978193935</v>
      </c>
      <c r="H89" s="464">
        <f>INPUT!BE693</f>
        <v>44.206521739130437</v>
      </c>
      <c r="I89" s="687">
        <f>INPUT!BF693</f>
        <v>20.491450169639069</v>
      </c>
      <c r="J89" s="464">
        <f>INPUT!BG693</f>
        <v>44.415651531930607</v>
      </c>
      <c r="K89" s="687">
        <f>INPUT!BH693</f>
        <v>23.420619926840857</v>
      </c>
      <c r="L89" s="464">
        <f>INPUT!BI693</f>
        <v>43.571368804691282</v>
      </c>
      <c r="M89" s="687">
        <f>INPUT!BJ693</f>
        <v>7.6483808658218466</v>
      </c>
      <c r="N89" s="464">
        <f>INPUT!BK693</f>
        <v>44.405716406829995</v>
      </c>
      <c r="O89" s="687">
        <f>INPUT!BL693</f>
        <v>2.3462735674554924</v>
      </c>
      <c r="P89" s="464">
        <f>INPUT!BM693</f>
        <v>44.32072617246596</v>
      </c>
      <c r="Q89" s="687">
        <f>INPUT!BN693</f>
        <v>0.25834295222197934</v>
      </c>
      <c r="R89" s="464">
        <f>INPUT!BO693</f>
        <v>42.738242097147264</v>
      </c>
      <c r="S89" s="687">
        <f>INPUT!BP693</f>
        <v>-3.7766178743937728</v>
      </c>
      <c r="T89" s="464">
        <f>INPUT!BQ693</f>
        <v>40.847081712062263</v>
      </c>
      <c r="U89" s="687">
        <f>INPUT!BR693</f>
        <v>-6.2524707562909949</v>
      </c>
      <c r="V89" s="464">
        <f>INPUT!BS693</f>
        <v>37.109765625000001</v>
      </c>
      <c r="W89" s="687">
        <f>INPUT!BT693</f>
        <v>-16.430206226124099</v>
      </c>
      <c r="X89" s="464">
        <f>INPUT!BU693</f>
        <v>31.147208121827408</v>
      </c>
      <c r="Y89" s="687">
        <f>INPUT!BV693</f>
        <v>-29.723154804314866</v>
      </c>
      <c r="Z89" s="464">
        <f>INPUT!BW693</f>
        <v>28.589107944563736</v>
      </c>
      <c r="AA89" s="122">
        <f>INPUT!BX693</f>
        <v>-33.106495396842647</v>
      </c>
      <c r="AB89" s="464">
        <f>INPUT!BY693</f>
        <v>30.018193847171684</v>
      </c>
      <c r="AC89" s="687">
        <f>INPUT!BZ693</f>
        <v>-26.510799330109247</v>
      </c>
      <c r="AD89" s="464">
        <f>INPUT!CA693</f>
        <v>35.414158121071786</v>
      </c>
      <c r="AE89" s="687">
        <f>INPUT!CB693</f>
        <v>-4.5691679140811514</v>
      </c>
      <c r="AF89" s="464">
        <f>INPUT!CC693</f>
        <v>35.548280423280424</v>
      </c>
      <c r="AG89" s="687">
        <f>INPUT!CD693</f>
        <v>14.12990944240946</v>
      </c>
      <c r="AH89" s="464">
        <f>INPUT!CE693</f>
        <v>37.733311302048911</v>
      </c>
      <c r="AI89" s="507">
        <f>INPUT!CF693</f>
        <v>31.9849201843458</v>
      </c>
      <c r="AJ89" s="464">
        <f>INPUT!CG693</f>
        <v>39.88920454545454</v>
      </c>
      <c r="AK89" s="507">
        <f>INPUT!CH693</f>
        <v>32.88342645975986</v>
      </c>
      <c r="AL89" s="464">
        <f>INPUT!CI693</f>
        <v>42.780372357210474</v>
      </c>
      <c r="AM89" s="507">
        <f>INPUT!CJ693</f>
        <v>20.800195817038826</v>
      </c>
      <c r="AN89" s="464">
        <f>INPUT!CK693</f>
        <v>40.536245647356765</v>
      </c>
      <c r="AO89" s="507">
        <f>INPUT!CL693</f>
        <v>14.031523226112919</v>
      </c>
      <c r="AP89" s="464">
        <f>INPUT!CM693</f>
        <v>38.452806122448983</v>
      </c>
      <c r="AQ89" s="507">
        <f>INPUT!CN693</f>
        <v>1.9067895065997043</v>
      </c>
      <c r="AR89" s="464">
        <f>INPUT!CO693</f>
        <v>40.703403565640194</v>
      </c>
      <c r="AS89" s="507">
        <f>INPUT!CP693</f>
        <v>2.04115130763729</v>
      </c>
      <c r="AT89" s="464">
        <f>INPUT!CQ693</f>
        <v>46.341948310139166</v>
      </c>
      <c r="AU89" s="507">
        <f>INPUT!CR693</f>
        <v>8.3252570201820539</v>
      </c>
      <c r="AV89" s="464">
        <f>INPUT!CS693</f>
        <v>44.939965694682677</v>
      </c>
      <c r="AW89" s="507">
        <f>INPUT!CT693</f>
        <v>10.863660353837101</v>
      </c>
      <c r="AX89" s="464">
        <f>INPUT!CU693</f>
        <v>45.938375350140049</v>
      </c>
      <c r="AY89" s="507">
        <f>INPUT!CV693</f>
        <v>19.466899772812528</v>
      </c>
      <c r="AZ89" s="464">
        <f>INPUT!CW693</f>
        <v>50.264948084496957</v>
      </c>
      <c r="BA89" s="507">
        <f>INPUT!CX693</f>
        <v>23.490773943356793</v>
      </c>
      <c r="BB89" s="464">
        <f>INPUT!CY693</f>
        <v>54.941860465116278</v>
      </c>
      <c r="BC89" s="507">
        <f>INPUT!CZ693</f>
        <v>18.557510999371463</v>
      </c>
      <c r="BD89" s="464">
        <f>INPUT!DA693</f>
        <v>55.136229749631809</v>
      </c>
      <c r="BE89" s="507">
        <f>INPUT!DB693</f>
        <v>22.6886333741807</v>
      </c>
      <c r="BF89" s="464">
        <f>INPUT!DC693</f>
        <v>55.331347728965</v>
      </c>
      <c r="BG89" s="507">
        <f>INPUT!DD693</f>
        <v>20.446897190490908</v>
      </c>
      <c r="BH89" s="464">
        <f>INPUT!DE693</f>
        <v>50.36686838124055</v>
      </c>
      <c r="BI89" s="507">
        <f>INPUT!DF693</f>
        <v>0.2027661434609751</v>
      </c>
      <c r="BJ89" s="464">
        <f>INPUT!DG693</f>
        <v>51.04460541364849</v>
      </c>
      <c r="BK89" s="507">
        <f>INPUT!DH693</f>
        <v>-7.0934166016133222</v>
      </c>
      <c r="BL89" s="464">
        <f>INPUT!DI693</f>
        <v>51.171548117154813</v>
      </c>
      <c r="BM89" s="507">
        <f>INPUT!DJ693</f>
        <v>-7.1907013781686295</v>
      </c>
      <c r="BN89" s="464">
        <f>INPUT!DK693</f>
        <v>54.937428896473264</v>
      </c>
      <c r="BO89" s="507">
        <f>INPUT!DL693</f>
        <v>-0.71192705158982239</v>
      </c>
      <c r="BP89" s="464">
        <f>INPUT!DM693</f>
        <v>59.244631901840485</v>
      </c>
      <c r="BQ89" s="507">
        <f>INPUT!DN693</f>
        <v>17.626197152861934</v>
      </c>
      <c r="BR89" s="464">
        <f>INPUT!DO693</f>
        <v>59.476520400307926</v>
      </c>
      <c r="BS89" s="507">
        <f>INPUT!DP693</f>
        <v>16.518719105241388</v>
      </c>
      <c r="BT89" s="464">
        <f>INPUT!DQ693</f>
        <v>61.34840218238503</v>
      </c>
      <c r="BU89" s="507">
        <f>INPUT!DR693</f>
        <v>19.887719718642849</v>
      </c>
      <c r="BV89" s="464">
        <f>INPUT!DS693</f>
        <v>64.143930407275604</v>
      </c>
      <c r="BW89" s="507">
        <f>INPUT!DT693</f>
        <v>16.758158682947322</v>
      </c>
      <c r="BX89" s="464">
        <f>INPUT!DU693</f>
        <v>58.58110801115982</v>
      </c>
      <c r="BY89" s="507">
        <f>INPUT!DV693</f>
        <v>-1.1199730159181742</v>
      </c>
      <c r="BZ89" s="464">
        <f>INPUT!DW693</f>
        <v>58.18181818181818</v>
      </c>
      <c r="CA89" s="507">
        <f>INPUT!DX693</f>
        <v>58.18181818181818</v>
      </c>
      <c r="CB89" s="464">
        <f>INPUT!DY693</f>
        <v>55.849056603773583</v>
      </c>
      <c r="CC89" s="507">
        <f>INPUT!DZ693</f>
        <v>-8.9641219379475103</v>
      </c>
      <c r="CD89" s="464">
        <f>INPUT!EA693</f>
        <v>61.32635983263598</v>
      </c>
      <c r="CE89" s="507">
        <f>INPUT!EB693</f>
        <v>-4.3925755044159853</v>
      </c>
      <c r="CF89" s="464">
        <f>INPUT!EC693</f>
        <v>68.389397259096967</v>
      </c>
      <c r="CG89" s="507">
        <f>INPUT!ED693</f>
        <v>16.743092749404198</v>
      </c>
      <c r="CH89" s="464">
        <f>INPUT!EE693</f>
        <v>71.431072210065651</v>
      </c>
      <c r="CI89" s="507">
        <f>INPUT!EF693</f>
        <v>22.772155361050352</v>
      </c>
      <c r="CJ89" s="464">
        <f>INPUT!EG693</f>
        <v>63.961297163559244</v>
      </c>
      <c r="CK89" s="507">
        <f>INPUT!EH693</f>
        <v>14.525295596913512</v>
      </c>
      <c r="CL89" s="464">
        <f>INPUT!EI693</f>
        <v>66.577730345072922</v>
      </c>
      <c r="CM89" s="507">
        <f>INPUT!EJ693</f>
        <v>8.5629907380257109</v>
      </c>
      <c r="CN89" s="464">
        <f>INPUT!EK693</f>
        <v>71.978219782197826</v>
      </c>
      <c r="CO89" s="507">
        <f>INPUT!EL693</f>
        <v>5.2476299937319393</v>
      </c>
      <c r="CP89" s="464">
        <f>INPUT!EM693</f>
        <v>74.305365764780902</v>
      </c>
      <c r="CQ89" s="507">
        <f>INPUT!EN693</f>
        <v>4.0238700971231056</v>
      </c>
      <c r="CR89" s="464">
        <f>INPUT!EO693</f>
        <v>79.432266348711366</v>
      </c>
      <c r="CS89" s="507">
        <f>INPUT!EP693</f>
        <v>24.188016615095197</v>
      </c>
      <c r="CT89" s="464">
        <f>INPUT!EQ693</f>
        <v>80.772234209581924</v>
      </c>
      <c r="CU89" s="507">
        <f>INPUT!ER693</f>
        <v>21.320197896411862</v>
      </c>
      <c r="CV89" s="464">
        <f>INPUT!ES693</f>
        <v>82.234417090010552</v>
      </c>
      <c r="CW89" s="507">
        <f>INPUT!ET693</f>
        <v>14.249028857406332</v>
      </c>
      <c r="CX89" s="464">
        <f>INPUT!EU693</f>
        <v>83.676899930554399</v>
      </c>
      <c r="CY89" s="507">
        <f>INPUT!EV693</f>
        <v>12.612190343614982</v>
      </c>
      <c r="CZ89" s="464">
        <f>INPUT!EW693</f>
        <v>85.190904843458796</v>
      </c>
      <c r="DA89" s="507">
        <f>INPUT!EX693</f>
        <v>7.2497471864477969</v>
      </c>
      <c r="DB89" s="507"/>
      <c r="DC89" s="464">
        <f>INPUT!FP693</f>
        <v>36.688513315170816</v>
      </c>
      <c r="DD89" s="687">
        <f>INPUT!FQ693</f>
        <v>32.191539924754743</v>
      </c>
      <c r="DE89" s="464">
        <f>INPUT!FR693</f>
        <v>44.206521739130437</v>
      </c>
      <c r="DF89" s="687">
        <f>INPUT!FS693</f>
        <v>20.491450169639069</v>
      </c>
      <c r="DG89" s="464">
        <f>INPUT!FT693</f>
        <v>44.32072617246596</v>
      </c>
      <c r="DH89" s="687">
        <f>INPUT!FU693</f>
        <v>0.25834295222197934</v>
      </c>
      <c r="DI89" s="464">
        <f>INPUT!FV693</f>
        <v>31.147208121827408</v>
      </c>
      <c r="DJ89" s="687">
        <f>INPUT!FW693</f>
        <v>-29.723154804314866</v>
      </c>
      <c r="DK89" s="464">
        <f>INPUT!FX693</f>
        <v>35.548280423280424</v>
      </c>
      <c r="DL89" s="507">
        <f>INPUT!FY693</f>
        <v>14.12990944240946</v>
      </c>
      <c r="DM89" s="464">
        <f>INPUT!FZ693</f>
        <v>40.536245647356765</v>
      </c>
      <c r="DN89" s="507">
        <f>INPUT!GA693</f>
        <v>14.031523226112919</v>
      </c>
      <c r="DO89" s="464">
        <f>INPUT!GB693</f>
        <v>44.939965694682677</v>
      </c>
      <c r="DP89" s="507">
        <f>INPUT!GC693</f>
        <v>10.863660353837101</v>
      </c>
      <c r="DQ89" s="464">
        <f>INPUT!GD693</f>
        <v>55.136229749631809</v>
      </c>
      <c r="DR89" s="507">
        <f>INPUT!GE693</f>
        <v>22.6886333741807</v>
      </c>
      <c r="DS89" s="464">
        <f>INPUT!GF693</f>
        <v>51.171548117154813</v>
      </c>
      <c r="DT89" s="507">
        <f>INPUT!GG693</f>
        <v>-7.1907013781686295</v>
      </c>
      <c r="DU89" s="464">
        <f>INPUT!GH693</f>
        <v>61.34840218238503</v>
      </c>
      <c r="DV89" s="507">
        <f>INPUT!GI693</f>
        <v>19.887719718642849</v>
      </c>
      <c r="DW89" s="464">
        <f>INPUT!GJ693</f>
        <v>55.853158326497123</v>
      </c>
      <c r="DX89" s="507">
        <f>INPUT!GK693</f>
        <v>-8.9574359892061857</v>
      </c>
      <c r="DY89" s="464">
        <f>INPUT!GL693</f>
        <v>63.965715295573034</v>
      </c>
      <c r="DZ89" s="507">
        <f>INPUT!GM693</f>
        <v>14.524795395907365</v>
      </c>
      <c r="EA89" s="464">
        <f>INPUT!GN693</f>
        <v>79.436852242502056</v>
      </c>
      <c r="EB89" s="507">
        <f>INPUT!GO693</f>
        <v>24.186608209475867</v>
      </c>
      <c r="EC89" s="464">
        <f>INPUT!GP693</f>
        <v>85.190904843458796</v>
      </c>
      <c r="ED89" s="507">
        <f>INPUT!GQ693</f>
        <v>7.2435556527226996</v>
      </c>
      <c r="EE89" s="464">
        <f>INPUT!GR693</f>
        <v>91.527009902450544</v>
      </c>
      <c r="EF89" s="507">
        <f>INPUT!GS693</f>
        <v>7.4375369889949638</v>
      </c>
      <c r="EG89" s="464">
        <f>INPUT!GT693</f>
        <v>99.086898587047244</v>
      </c>
      <c r="EH89" s="507">
        <f>INPUT!GU693</f>
        <v>8.2597352329700549</v>
      </c>
      <c r="EI89" s="464">
        <f>INPUT!GV693</f>
        <v>107.49490202063714</v>
      </c>
      <c r="EJ89" s="507">
        <f>INPUT!GW693</f>
        <v>8.4854845125700518</v>
      </c>
      <c r="EK89" s="464">
        <f>INPUT!GX693</f>
        <v>116.75244309886943</v>
      </c>
      <c r="EL89" s="507">
        <f>INPUT!GY693</f>
        <v>8.6120745302461046</v>
      </c>
      <c r="EM89" s="257">
        <f>INPUT!GZ693</f>
        <v>8.0062257732789419</v>
      </c>
    </row>
    <row r="90" spans="1:143" ht="12.75" customHeight="1" x14ac:dyDescent="0.2">
      <c r="A90" s="701"/>
      <c r="B90" s="16"/>
      <c r="C90" s="507"/>
      <c r="D90" s="16"/>
      <c r="E90" s="687"/>
      <c r="F90" s="16"/>
      <c r="G90" s="687"/>
      <c r="H90" s="16"/>
      <c r="I90" s="687"/>
      <c r="J90" s="16"/>
      <c r="K90" s="507"/>
      <c r="L90" s="16"/>
      <c r="M90" s="507"/>
      <c r="N90" s="16"/>
      <c r="O90" s="507"/>
      <c r="P90" s="16"/>
      <c r="Q90" s="507"/>
      <c r="R90" s="16"/>
      <c r="S90" s="507"/>
      <c r="T90" s="16"/>
      <c r="U90" s="507"/>
      <c r="V90" s="16"/>
      <c r="W90" s="507"/>
      <c r="X90" s="121"/>
      <c r="Y90" s="507"/>
      <c r="Z90" s="16"/>
      <c r="AA90" s="122"/>
      <c r="AB90" s="16"/>
      <c r="AC90" s="507"/>
      <c r="AD90" s="16"/>
      <c r="AE90" s="507"/>
      <c r="AF90" s="16"/>
      <c r="AG90" s="507"/>
      <c r="AH90" s="16"/>
      <c r="AI90" s="507"/>
      <c r="AJ90" s="16"/>
      <c r="AK90" s="507"/>
      <c r="AL90" s="16"/>
      <c r="AM90" s="507"/>
      <c r="AN90" s="16"/>
      <c r="AO90" s="507"/>
      <c r="AP90" s="16"/>
      <c r="AQ90" s="507"/>
      <c r="AR90" s="16"/>
      <c r="AS90" s="507"/>
      <c r="AT90" s="16"/>
      <c r="AU90" s="507"/>
      <c r="AV90" s="16"/>
      <c r="AW90" s="507"/>
      <c r="AX90" s="16"/>
      <c r="AY90" s="507"/>
      <c r="AZ90" s="16"/>
      <c r="BA90" s="507"/>
      <c r="BB90" s="16"/>
      <c r="BC90" s="507"/>
      <c r="BD90" s="16"/>
      <c r="BE90" s="507"/>
      <c r="BF90" s="16"/>
      <c r="BG90" s="507"/>
      <c r="BH90" s="16"/>
      <c r="BI90" s="507"/>
      <c r="BJ90" s="16"/>
      <c r="BK90" s="507"/>
      <c r="BL90" s="16"/>
      <c r="BM90" s="507"/>
      <c r="BN90" s="16"/>
      <c r="BO90" s="507"/>
      <c r="BP90" s="16"/>
      <c r="BQ90" s="507"/>
      <c r="BR90" s="16"/>
      <c r="BS90" s="507"/>
      <c r="BT90" s="16"/>
      <c r="BU90" s="507"/>
      <c r="BV90" s="16"/>
      <c r="BW90" s="507"/>
      <c r="BX90" s="16"/>
      <c r="BY90" s="507"/>
      <c r="BZ90" s="16"/>
      <c r="CA90" s="507"/>
      <c r="CB90" s="16"/>
      <c r="CC90" s="507"/>
      <c r="CD90" s="16"/>
      <c r="CE90" s="507"/>
      <c r="CF90" s="16"/>
      <c r="CG90" s="507"/>
      <c r="CH90" s="16"/>
      <c r="CI90" s="507"/>
      <c r="CJ90" s="16"/>
      <c r="CK90" s="507"/>
      <c r="CL90" s="16"/>
      <c r="CM90" s="507"/>
      <c r="CN90" s="16"/>
      <c r="CO90" s="507"/>
      <c r="CP90" s="16"/>
      <c r="CQ90" s="507"/>
      <c r="CR90" s="16"/>
      <c r="CS90" s="507"/>
      <c r="CT90" s="16"/>
      <c r="CU90" s="507"/>
      <c r="CV90" s="16"/>
      <c r="CW90" s="507"/>
      <c r="CX90" s="16"/>
      <c r="CY90" s="507"/>
      <c r="CZ90" s="16"/>
      <c r="DA90" s="507"/>
      <c r="DB90" s="507"/>
      <c r="DC90" s="16"/>
      <c r="DD90" s="507"/>
      <c r="DE90" s="16"/>
      <c r="DF90" s="507"/>
      <c r="DG90" s="16"/>
      <c r="DH90" s="507"/>
      <c r="DI90" s="16"/>
      <c r="DJ90" s="507"/>
      <c r="DK90" s="16"/>
      <c r="DL90" s="507"/>
      <c r="DM90" s="16"/>
      <c r="DN90" s="507"/>
      <c r="DO90" s="16"/>
      <c r="DP90" s="507"/>
      <c r="DQ90" s="16"/>
      <c r="DR90" s="507"/>
      <c r="DS90" s="16"/>
      <c r="DT90" s="507"/>
      <c r="DU90" s="16"/>
      <c r="DV90" s="507"/>
      <c r="DW90" s="16"/>
      <c r="DX90" s="507"/>
      <c r="DY90" s="16"/>
      <c r="DZ90" s="507"/>
      <c r="EA90" s="16"/>
      <c r="EB90" s="507"/>
      <c r="EC90" s="16"/>
      <c r="ED90" s="507"/>
      <c r="EE90" s="16"/>
      <c r="EF90" s="507"/>
      <c r="EG90" s="16"/>
      <c r="EH90" s="507"/>
      <c r="EI90" s="16"/>
      <c r="EJ90" s="507"/>
      <c r="EK90" s="16"/>
      <c r="EL90" s="507"/>
      <c r="EM90" s="687"/>
    </row>
    <row r="91" spans="1:143" ht="12.75" customHeight="1" x14ac:dyDescent="0.2">
      <c r="A91" s="689" t="str">
        <f>+A51</f>
        <v xml:space="preserve">Quarterly income statement ratios are annualized where appropriate     NM = Not Meaningful       NA = Not Applicable </v>
      </c>
      <c r="B91" s="16"/>
      <c r="C91" s="507"/>
      <c r="D91" s="16"/>
      <c r="E91" s="687"/>
      <c r="F91" s="16"/>
      <c r="G91" s="687"/>
      <c r="H91" s="16"/>
      <c r="I91" s="687"/>
      <c r="J91" s="16"/>
      <c r="K91" s="507"/>
      <c r="L91" s="16"/>
      <c r="M91" s="507"/>
      <c r="N91" s="16"/>
      <c r="O91" s="507"/>
      <c r="P91" s="16"/>
      <c r="Q91" s="507"/>
      <c r="R91" s="16"/>
      <c r="S91" s="507"/>
      <c r="T91" s="16"/>
      <c r="U91" s="507"/>
      <c r="V91" s="16"/>
      <c r="W91" s="507"/>
      <c r="X91" s="16"/>
      <c r="Y91" s="507"/>
      <c r="Z91" s="16"/>
      <c r="AA91" s="507"/>
      <c r="AB91" s="16"/>
      <c r="AC91" s="507"/>
      <c r="AD91" s="16"/>
      <c r="AE91" s="507"/>
      <c r="AF91" s="16"/>
      <c r="AG91" s="507"/>
      <c r="AH91" s="16"/>
      <c r="AI91" s="507"/>
      <c r="AJ91" s="16"/>
      <c r="AK91" s="507"/>
      <c r="AL91" s="16"/>
      <c r="AM91" s="507"/>
      <c r="AN91" s="16"/>
      <c r="AO91" s="507"/>
      <c r="AP91" s="16"/>
      <c r="AQ91" s="507"/>
      <c r="AR91" s="16"/>
      <c r="AS91" s="507"/>
      <c r="AT91" s="16"/>
      <c r="AU91" s="507"/>
      <c r="AV91" s="16"/>
      <c r="AW91" s="507"/>
      <c r="AX91" s="16"/>
      <c r="AY91" s="507"/>
      <c r="AZ91" s="16"/>
      <c r="BA91" s="507"/>
      <c r="BB91" s="16"/>
      <c r="BC91" s="507"/>
      <c r="BD91" s="16"/>
      <c r="BE91" s="507"/>
      <c r="BF91" s="16"/>
      <c r="BG91" s="507"/>
      <c r="BH91" s="16"/>
      <c r="BI91" s="507"/>
      <c r="BJ91" s="16"/>
      <c r="BK91" s="507"/>
      <c r="BL91" s="16"/>
      <c r="BM91" s="507"/>
      <c r="BN91" s="16"/>
      <c r="BO91" s="507"/>
      <c r="BP91" s="16"/>
      <c r="BQ91" s="507"/>
      <c r="BR91" s="16"/>
      <c r="BS91" s="507"/>
      <c r="BT91" s="16"/>
      <c r="BU91" s="507"/>
      <c r="BV91" s="16"/>
      <c r="BW91" s="507"/>
      <c r="BX91" s="16"/>
      <c r="BY91" s="507"/>
      <c r="BZ91" s="16"/>
      <c r="CA91" s="507"/>
      <c r="CB91" s="16"/>
      <c r="CC91" s="507"/>
      <c r="CD91" s="16"/>
      <c r="CE91" s="507"/>
      <c r="CF91" s="16"/>
      <c r="CG91" s="507"/>
      <c r="CH91" s="16"/>
      <c r="CI91" s="507"/>
      <c r="CJ91" s="16"/>
      <c r="CK91" s="507"/>
      <c r="CL91" s="16"/>
      <c r="CM91" s="507"/>
      <c r="CN91" s="16"/>
      <c r="CO91" s="507"/>
      <c r="CP91" s="16"/>
      <c r="CQ91" s="507"/>
      <c r="CR91" s="16"/>
      <c r="CS91" s="507"/>
      <c r="CT91" s="16"/>
      <c r="CU91" s="507"/>
      <c r="CV91" s="16"/>
      <c r="CW91" s="507"/>
      <c r="CX91" s="16"/>
      <c r="CY91" s="507"/>
      <c r="CZ91" s="16"/>
      <c r="DA91" s="507"/>
      <c r="DB91" s="507"/>
      <c r="DC91" s="16"/>
      <c r="DD91" s="507"/>
      <c r="DE91" s="16"/>
      <c r="DF91" s="507"/>
      <c r="DG91" s="16"/>
      <c r="DH91" s="507"/>
      <c r="DI91" s="16"/>
      <c r="DJ91" s="507"/>
      <c r="DK91" s="16"/>
      <c r="DL91" s="507"/>
      <c r="DM91" s="16"/>
      <c r="DN91" s="507"/>
      <c r="DO91" s="16"/>
      <c r="DP91" s="507"/>
      <c r="DQ91" s="16"/>
      <c r="DR91" s="507"/>
      <c r="DS91" s="16"/>
      <c r="DT91" s="507"/>
      <c r="DU91" s="16"/>
      <c r="DV91" s="507"/>
      <c r="DW91" s="16"/>
      <c r="DX91" s="507"/>
      <c r="DY91" s="16"/>
      <c r="DZ91" s="507"/>
      <c r="EA91" s="97"/>
      <c r="EB91" s="507"/>
      <c r="EC91" s="16"/>
      <c r="ED91" s="507"/>
      <c r="EE91" s="16"/>
      <c r="EF91" s="507"/>
      <c r="EG91" s="16"/>
      <c r="EH91" s="507"/>
      <c r="EI91" s="16"/>
      <c r="EJ91" s="507"/>
      <c r="EK91" s="16"/>
      <c r="EL91" s="507"/>
      <c r="EM91" s="687"/>
    </row>
    <row r="92" spans="1:143" ht="12.75" customHeight="1" x14ac:dyDescent="0.2">
      <c r="A92" s="689" t="s">
        <v>368</v>
      </c>
      <c r="B92" s="16"/>
      <c r="C92" s="507"/>
      <c r="D92" s="16"/>
      <c r="E92" s="687"/>
      <c r="F92" s="16"/>
      <c r="G92" s="687"/>
      <c r="H92" s="16"/>
      <c r="I92" s="687"/>
      <c r="J92" s="16"/>
      <c r="K92" s="507"/>
      <c r="L92" s="16"/>
      <c r="M92" s="507"/>
      <c r="N92" s="16"/>
      <c r="O92" s="507"/>
      <c r="P92" s="16"/>
      <c r="Q92" s="507"/>
      <c r="R92" s="16"/>
      <c r="S92" s="507"/>
      <c r="T92" s="16"/>
      <c r="U92" s="507"/>
      <c r="V92" s="16"/>
      <c r="W92" s="507"/>
      <c r="X92" s="16"/>
      <c r="Y92" s="507"/>
      <c r="Z92" s="16"/>
      <c r="AA92" s="507"/>
      <c r="AB92" s="16"/>
      <c r="AC92" s="507"/>
      <c r="AD92" s="16"/>
      <c r="AE92" s="507"/>
      <c r="AF92" s="16"/>
      <c r="AG92" s="507"/>
      <c r="AH92" s="16"/>
      <c r="AI92" s="507"/>
      <c r="AJ92" s="16"/>
      <c r="AK92" s="507"/>
      <c r="AL92" s="16"/>
      <c r="AM92" s="507"/>
      <c r="AN92" s="16"/>
      <c r="AO92" s="507"/>
      <c r="AP92" s="16"/>
      <c r="AQ92" s="507"/>
      <c r="AR92" s="16"/>
      <c r="AS92" s="507"/>
      <c r="AT92" s="16"/>
      <c r="AU92" s="507"/>
      <c r="AV92" s="16"/>
      <c r="AW92" s="507"/>
      <c r="AX92" s="16"/>
      <c r="AY92" s="507"/>
      <c r="AZ92" s="16"/>
      <c r="BA92" s="507"/>
      <c r="BB92" s="16"/>
      <c r="BC92" s="507"/>
      <c r="BD92" s="16"/>
      <c r="BE92" s="507"/>
      <c r="BF92" s="16"/>
      <c r="BG92" s="507"/>
      <c r="BH92" s="16"/>
      <c r="BI92" s="507"/>
      <c r="BJ92" s="16"/>
      <c r="BK92" s="507"/>
      <c r="BL92" s="16"/>
      <c r="BM92" s="507"/>
      <c r="BN92" s="16"/>
      <c r="BO92" s="507"/>
      <c r="BP92" s="16"/>
      <c r="BQ92" s="507"/>
      <c r="BR92" s="16"/>
      <c r="BS92" s="507"/>
      <c r="BT92" s="16"/>
      <c r="BU92" s="507"/>
      <c r="BV92" s="16"/>
      <c r="BW92" s="507"/>
      <c r="BX92" s="16"/>
      <c r="BY92" s="507"/>
      <c r="BZ92" s="16"/>
      <c r="CA92" s="507"/>
      <c r="CB92" s="16"/>
      <c r="CC92" s="507"/>
      <c r="CD92" s="16"/>
      <c r="CE92" s="507"/>
      <c r="CF92" s="16"/>
      <c r="CG92" s="507"/>
      <c r="CH92" s="16"/>
      <c r="CI92" s="507"/>
      <c r="CJ92" s="16"/>
      <c r="CK92" s="507"/>
      <c r="CL92" s="16"/>
      <c r="CM92" s="507"/>
      <c r="CN92" s="16"/>
      <c r="CO92" s="507"/>
      <c r="CP92" s="16"/>
      <c r="CQ92" s="507"/>
      <c r="CR92" s="16"/>
      <c r="CS92" s="507"/>
      <c r="CT92" s="16"/>
      <c r="CU92" s="507"/>
      <c r="CV92" s="16"/>
      <c r="CW92" s="507"/>
      <c r="CX92" s="16"/>
      <c r="CY92" s="507"/>
      <c r="CZ92" s="16"/>
      <c r="DA92" s="507"/>
      <c r="DB92" s="507"/>
      <c r="DC92" s="16"/>
      <c r="DD92" s="507"/>
      <c r="DE92" s="16"/>
      <c r="DF92" s="507"/>
      <c r="DG92" s="16"/>
      <c r="DH92" s="507"/>
      <c r="DI92" s="16"/>
      <c r="DJ92" s="507"/>
      <c r="DK92" s="16"/>
      <c r="DL92" s="507"/>
      <c r="DM92" s="16"/>
      <c r="DN92" s="507"/>
      <c r="DO92" s="16"/>
      <c r="DP92" s="507"/>
      <c r="DQ92" s="16"/>
      <c r="DR92" s="507"/>
      <c r="DS92" s="16"/>
      <c r="DT92" s="507"/>
      <c r="DU92" s="16"/>
      <c r="DV92" s="507"/>
      <c r="DW92" s="16"/>
      <c r="DX92" s="507"/>
      <c r="DY92" s="16"/>
      <c r="DZ92" s="507"/>
      <c r="EA92" s="16"/>
      <c r="EB92" s="507"/>
      <c r="EC92" s="16"/>
      <c r="ED92" s="507"/>
      <c r="EE92" s="16"/>
      <c r="EF92" s="507"/>
      <c r="EG92" s="16"/>
      <c r="EH92" s="507"/>
      <c r="EI92" s="16"/>
      <c r="EJ92" s="507"/>
      <c r="EK92" s="16"/>
      <c r="EL92" s="507"/>
      <c r="EM92" s="687"/>
    </row>
    <row r="93" spans="1:143" ht="12.75" customHeight="1" x14ac:dyDescent="0.2">
      <c r="A93" s="689"/>
      <c r="B93" s="16"/>
      <c r="C93" s="507"/>
      <c r="D93" s="16"/>
      <c r="E93" s="687"/>
      <c r="F93" s="16"/>
      <c r="G93" s="687"/>
      <c r="H93" s="16"/>
      <c r="I93" s="687"/>
      <c r="J93" s="16"/>
      <c r="K93" s="507"/>
      <c r="L93" s="16"/>
      <c r="M93" s="507"/>
      <c r="N93" s="16"/>
      <c r="O93" s="507"/>
      <c r="P93" s="16"/>
      <c r="Q93" s="507"/>
      <c r="R93" s="16"/>
      <c r="S93" s="507"/>
      <c r="T93" s="16"/>
      <c r="U93" s="507"/>
      <c r="V93" s="16"/>
      <c r="W93" s="507"/>
      <c r="X93" s="16"/>
      <c r="Y93" s="507"/>
      <c r="Z93" s="16"/>
      <c r="AA93" s="507"/>
      <c r="AB93" s="16"/>
      <c r="AC93" s="507"/>
      <c r="AD93" s="16"/>
      <c r="AE93" s="507"/>
      <c r="AF93" s="16"/>
      <c r="AG93" s="507"/>
      <c r="AH93" s="16"/>
      <c r="AI93" s="507"/>
      <c r="AJ93" s="16"/>
      <c r="AK93" s="507"/>
      <c r="AL93" s="16"/>
      <c r="AM93" s="507"/>
      <c r="AN93" s="16"/>
      <c r="AO93" s="507"/>
      <c r="AP93" s="16"/>
      <c r="AQ93" s="507"/>
      <c r="AR93" s="16"/>
      <c r="AS93" s="507"/>
      <c r="AT93" s="16"/>
      <c r="AU93" s="507"/>
      <c r="AV93" s="16"/>
      <c r="AW93" s="507"/>
      <c r="AX93" s="16"/>
      <c r="AY93" s="507"/>
      <c r="AZ93" s="16"/>
      <c r="BA93" s="507"/>
      <c r="BB93" s="16"/>
      <c r="BC93" s="507"/>
      <c r="BD93" s="16"/>
      <c r="BE93" s="507"/>
      <c r="BF93" s="16"/>
      <c r="BG93" s="507"/>
      <c r="BH93" s="16"/>
      <c r="BI93" s="507"/>
      <c r="BJ93" s="16"/>
      <c r="BK93" s="507"/>
      <c r="BL93" s="16"/>
      <c r="BM93" s="507"/>
      <c r="BN93" s="16"/>
      <c r="BO93" s="507"/>
      <c r="BP93" s="16"/>
      <c r="BQ93" s="507"/>
      <c r="BR93" s="16"/>
      <c r="BS93" s="507"/>
      <c r="BT93" s="16"/>
      <c r="BU93" s="507"/>
      <c r="BV93" s="16"/>
      <c r="BW93" s="507"/>
      <c r="BX93" s="16"/>
      <c r="BY93" s="507"/>
      <c r="BZ93" s="16"/>
      <c r="CA93" s="507"/>
      <c r="CB93" s="16"/>
      <c r="CC93" s="507"/>
      <c r="CD93" s="16"/>
      <c r="CE93" s="507"/>
      <c r="CF93" s="16"/>
      <c r="CG93" s="507"/>
      <c r="CH93" s="16"/>
      <c r="CI93" s="507"/>
      <c r="CJ93" s="16"/>
      <c r="CK93" s="507"/>
      <c r="CL93" s="16"/>
      <c r="CM93" s="507"/>
      <c r="CN93" s="16"/>
      <c r="CO93" s="507"/>
      <c r="CP93" s="16"/>
      <c r="CQ93" s="507"/>
      <c r="CR93" s="16"/>
      <c r="CS93" s="507"/>
      <c r="CT93" s="16"/>
      <c r="CU93" s="507"/>
      <c r="CV93" s="16"/>
      <c r="CW93" s="507"/>
      <c r="CX93" s="16"/>
      <c r="CY93" s="507"/>
      <c r="CZ93" s="16"/>
      <c r="DA93" s="507"/>
      <c r="DB93" s="507"/>
      <c r="DC93" s="16"/>
      <c r="DD93" s="507"/>
      <c r="DE93" s="16"/>
      <c r="DF93" s="507"/>
      <c r="DG93" s="16"/>
      <c r="DH93" s="507"/>
      <c r="DI93" s="16"/>
      <c r="DJ93" s="507"/>
      <c r="DK93" s="16"/>
      <c r="DL93" s="507"/>
      <c r="DM93" s="16"/>
      <c r="DN93" s="507"/>
      <c r="DO93" s="16"/>
      <c r="DP93" s="507"/>
      <c r="DQ93" s="16"/>
      <c r="DR93" s="507"/>
      <c r="DS93" s="16"/>
      <c r="DT93" s="507"/>
      <c r="DU93" s="16"/>
      <c r="DV93" s="507"/>
      <c r="DW93" s="16"/>
      <c r="DX93" s="507"/>
      <c r="DY93" s="16"/>
      <c r="DZ93" s="507"/>
      <c r="EA93" s="16"/>
      <c r="EB93" s="507"/>
      <c r="EC93" s="16"/>
      <c r="ED93" s="507"/>
      <c r="EE93" s="16"/>
      <c r="EF93" s="507"/>
      <c r="EG93" s="16"/>
      <c r="EH93" s="507"/>
      <c r="EI93" s="16"/>
      <c r="EJ93" s="507"/>
      <c r="EK93" s="16"/>
      <c r="EL93" s="507"/>
      <c r="EM93" s="687"/>
    </row>
    <row r="94" spans="1:143" s="774" customFormat="1" ht="21.95" hidden="1" customHeight="1" outlineLevel="1" x14ac:dyDescent="0.3">
      <c r="A94" s="770" t="str">
        <f>$A$1</f>
        <v>Lincoln National</v>
      </c>
      <c r="B94" s="771"/>
      <c r="C94" s="772"/>
      <c r="D94" s="771"/>
      <c r="E94" s="773"/>
      <c r="F94" s="771"/>
      <c r="G94" s="773"/>
      <c r="H94" s="771"/>
      <c r="I94" s="773"/>
      <c r="J94" s="771"/>
      <c r="K94" s="772"/>
      <c r="L94" s="771"/>
      <c r="M94" s="772"/>
      <c r="N94" s="771"/>
      <c r="O94" s="772"/>
      <c r="P94" s="771"/>
      <c r="Q94" s="772"/>
      <c r="R94" s="771"/>
      <c r="S94" s="772"/>
      <c r="T94" s="771"/>
      <c r="U94" s="772"/>
      <c r="V94" s="771"/>
      <c r="W94" s="772"/>
      <c r="X94" s="771"/>
      <c r="Y94" s="772"/>
      <c r="Z94" s="771"/>
      <c r="AA94" s="772"/>
      <c r="AB94" s="771"/>
      <c r="AC94" s="772"/>
      <c r="AD94" s="771"/>
      <c r="AE94" s="772"/>
      <c r="AF94" s="771"/>
      <c r="AG94" s="772"/>
      <c r="AH94" s="771"/>
      <c r="AI94" s="772"/>
      <c r="AJ94" s="771"/>
      <c r="AK94" s="772"/>
      <c r="AL94" s="771"/>
      <c r="AM94" s="772"/>
      <c r="AN94" s="771"/>
      <c r="AO94" s="772"/>
      <c r="AP94" s="771"/>
      <c r="AQ94" s="772"/>
      <c r="AR94" s="771"/>
      <c r="AS94" s="772"/>
      <c r="AT94" s="771"/>
      <c r="AU94" s="772"/>
      <c r="AV94" s="771"/>
      <c r="AW94" s="772"/>
      <c r="AX94" s="771"/>
      <c r="AY94" s="772"/>
      <c r="AZ94" s="771"/>
      <c r="BA94" s="772"/>
      <c r="BB94" s="771"/>
      <c r="BC94" s="772"/>
      <c r="BD94" s="771"/>
      <c r="BE94" s="772"/>
      <c r="BF94" s="771"/>
      <c r="BG94" s="772"/>
      <c r="BH94" s="771"/>
      <c r="BI94" s="772"/>
      <c r="BJ94" s="771"/>
      <c r="BK94" s="772"/>
      <c r="BL94" s="771"/>
      <c r="BM94" s="772"/>
      <c r="BN94" s="771"/>
      <c r="BO94" s="772"/>
      <c r="BP94" s="771"/>
      <c r="BQ94" s="772"/>
      <c r="BR94" s="771"/>
      <c r="BS94" s="772"/>
      <c r="BT94" s="771"/>
      <c r="BU94" s="772"/>
      <c r="BV94" s="771"/>
      <c r="BW94" s="772"/>
      <c r="BX94" s="771"/>
      <c r="BY94" s="772"/>
      <c r="BZ94" s="771"/>
      <c r="CA94" s="772"/>
      <c r="CB94" s="771"/>
      <c r="CC94" s="772"/>
      <c r="CD94" s="771"/>
      <c r="CE94" s="772"/>
      <c r="CF94" s="771"/>
      <c r="CG94" s="772"/>
      <c r="CH94" s="771"/>
      <c r="CI94" s="772"/>
      <c r="CJ94" s="771"/>
      <c r="CK94" s="772"/>
      <c r="CL94" s="771"/>
      <c r="CM94" s="772"/>
      <c r="CN94" s="771"/>
      <c r="CO94" s="772"/>
      <c r="CP94" s="771"/>
      <c r="CQ94" s="772"/>
      <c r="CR94" s="771"/>
      <c r="CS94" s="772"/>
      <c r="CT94" s="771"/>
      <c r="CU94" s="772"/>
      <c r="CV94" s="771"/>
      <c r="CW94" s="772"/>
      <c r="CX94" s="771"/>
      <c r="CY94" s="772"/>
      <c r="CZ94" s="771"/>
      <c r="DA94" s="772"/>
      <c r="DB94" s="772"/>
      <c r="DC94" s="771"/>
      <c r="DD94" s="772"/>
      <c r="DE94" s="771"/>
      <c r="DF94" s="772"/>
      <c r="DG94" s="771"/>
      <c r="DH94" s="772"/>
      <c r="DI94" s="771"/>
      <c r="DJ94" s="772"/>
      <c r="DK94" s="771"/>
      <c r="DL94" s="772"/>
      <c r="DM94" s="771"/>
      <c r="DN94" s="772"/>
      <c r="DO94" s="771"/>
      <c r="DP94" s="772"/>
      <c r="DQ94" s="771"/>
      <c r="DR94" s="772"/>
      <c r="DS94" s="771"/>
      <c r="DT94" s="772"/>
      <c r="DU94" s="771"/>
      <c r="DV94" s="772"/>
      <c r="DW94" s="771"/>
      <c r="DX94" s="772"/>
      <c r="DY94" s="771"/>
      <c r="DZ94" s="772"/>
      <c r="EA94" s="771"/>
      <c r="EB94" s="772"/>
      <c r="EC94" s="771"/>
      <c r="ED94" s="772"/>
      <c r="EE94" s="771"/>
      <c r="EF94" s="772"/>
      <c r="EG94" s="771"/>
      <c r="EH94" s="772"/>
      <c r="EI94" s="771"/>
      <c r="EJ94" s="772"/>
      <c r="EK94" s="771"/>
      <c r="EL94" s="772"/>
      <c r="EM94" s="773"/>
    </row>
    <row r="95" spans="1:143" ht="12.75" hidden="1" customHeight="1" outlineLevel="1" x14ac:dyDescent="0.2">
      <c r="A95" s="685" t="s">
        <v>131</v>
      </c>
      <c r="B95" s="4"/>
      <c r="C95" s="496"/>
      <c r="D95" s="4"/>
      <c r="E95" s="686"/>
      <c r="F95" s="4"/>
      <c r="G95" s="686"/>
      <c r="H95" s="4"/>
      <c r="I95" s="686"/>
      <c r="J95" s="4"/>
      <c r="K95" s="496"/>
      <c r="L95" s="4"/>
      <c r="M95" s="496"/>
      <c r="N95" s="4"/>
      <c r="O95" s="496"/>
      <c r="P95" s="4"/>
      <c r="Q95" s="496"/>
      <c r="R95" s="4"/>
      <c r="S95" s="496"/>
      <c r="T95" s="4"/>
      <c r="U95" s="496"/>
      <c r="V95" s="4"/>
      <c r="W95" s="496"/>
      <c r="X95" s="4"/>
      <c r="Y95" s="496"/>
      <c r="Z95" s="4"/>
      <c r="AA95" s="496"/>
      <c r="AB95" s="4"/>
      <c r="AC95" s="496"/>
      <c r="AD95" s="4"/>
      <c r="AE95" s="496"/>
      <c r="AF95" s="4"/>
      <c r="AG95" s="496"/>
      <c r="AH95" s="4"/>
      <c r="AI95" s="496"/>
      <c r="AJ95" s="4"/>
      <c r="AK95" s="496"/>
      <c r="AL95" s="4"/>
      <c r="AM95" s="496"/>
      <c r="AN95" s="4"/>
      <c r="AO95" s="496"/>
      <c r="AP95" s="4"/>
      <c r="AQ95" s="496"/>
      <c r="AR95" s="4"/>
      <c r="AS95" s="496"/>
      <c r="AT95" s="4"/>
      <c r="AU95" s="496"/>
      <c r="AV95" s="4"/>
      <c r="AW95" s="496"/>
      <c r="AX95" s="4"/>
      <c r="AY95" s="496"/>
      <c r="AZ95" s="4"/>
      <c r="BA95" s="496"/>
      <c r="BB95" s="4"/>
      <c r="BC95" s="496"/>
      <c r="BD95" s="4"/>
      <c r="BE95" s="496"/>
      <c r="BF95" s="4"/>
      <c r="BG95" s="496"/>
      <c r="BH95" s="4"/>
      <c r="BI95" s="496"/>
      <c r="BJ95" s="4"/>
      <c r="BK95" s="496"/>
      <c r="BL95" s="4"/>
      <c r="BM95" s="496"/>
      <c r="BN95" s="4"/>
      <c r="BO95" s="496"/>
      <c r="BP95" s="4"/>
      <c r="BQ95" s="496"/>
      <c r="BR95" s="4"/>
      <c r="BS95" s="496"/>
      <c r="BT95" s="4"/>
      <c r="BU95" s="496"/>
      <c r="BV95" s="4"/>
      <c r="BW95" s="496"/>
      <c r="BX95" s="4"/>
      <c r="BY95" s="496"/>
      <c r="BZ95" s="4"/>
      <c r="CA95" s="496"/>
      <c r="CB95" s="4"/>
      <c r="CC95" s="496"/>
      <c r="CD95" s="4"/>
      <c r="CE95" s="496"/>
      <c r="CF95" s="4"/>
      <c r="CG95" s="496"/>
      <c r="CH95" s="4"/>
      <c r="CI95" s="496"/>
      <c r="CJ95" s="4"/>
      <c r="CK95" s="496"/>
      <c r="CL95" s="4"/>
      <c r="CM95" s="496"/>
      <c r="CN95" s="4"/>
      <c r="CO95" s="496"/>
      <c r="CP95" s="4"/>
      <c r="CQ95" s="496"/>
      <c r="CR95" s="4"/>
      <c r="CS95" s="496"/>
      <c r="CT95" s="4"/>
      <c r="CU95" s="496"/>
      <c r="CV95" s="4"/>
      <c r="CW95" s="496"/>
      <c r="CX95" s="4"/>
      <c r="CY95" s="496"/>
      <c r="CZ95" s="4"/>
      <c r="DA95" s="496"/>
      <c r="DB95" s="496"/>
      <c r="DC95" s="4"/>
      <c r="DD95" s="496"/>
      <c r="DE95" s="4"/>
      <c r="DF95" s="496"/>
      <c r="DG95" s="4"/>
      <c r="DH95" s="496"/>
      <c r="DI95" s="4"/>
      <c r="DJ95" s="496"/>
      <c r="DK95" s="4"/>
      <c r="DL95" s="496"/>
      <c r="DM95" s="4"/>
      <c r="DN95" s="496"/>
      <c r="DO95" s="4"/>
      <c r="DP95" s="496"/>
      <c r="DQ95" s="4"/>
      <c r="DR95" s="496"/>
      <c r="DS95" s="4"/>
      <c r="DT95" s="496"/>
      <c r="DU95" s="4"/>
      <c r="DV95" s="496"/>
      <c r="DW95" s="4"/>
      <c r="DX95" s="496"/>
      <c r="DY95" s="4"/>
      <c r="DZ95" s="496"/>
      <c r="EA95" s="4"/>
      <c r="EB95" s="496"/>
      <c r="EC95" s="4"/>
      <c r="ED95" s="496"/>
      <c r="EE95" s="4"/>
      <c r="EF95" s="496"/>
      <c r="EG95" s="4"/>
      <c r="EH95" s="496"/>
      <c r="EI95" s="4"/>
      <c r="EJ95" s="496"/>
      <c r="EK95" s="4"/>
      <c r="EL95" s="496"/>
      <c r="EM95" s="686"/>
    </row>
    <row r="96" spans="1:143" s="3" customFormat="1" ht="12.75" hidden="1" customHeight="1" outlineLevel="1" x14ac:dyDescent="0.2">
      <c r="A96" s="560" t="str">
        <f>A$3</f>
        <v>($Millions Except Per Share Data)</v>
      </c>
      <c r="B96" s="704"/>
      <c r="C96" s="724"/>
      <c r="D96" s="704"/>
      <c r="E96" s="724" t="str">
        <f>E$3</f>
        <v>2Q06/</v>
      </c>
      <c r="F96" s="704"/>
      <c r="G96" s="724" t="str">
        <f>G$3</f>
        <v>3Q06/</v>
      </c>
      <c r="H96" s="704"/>
      <c r="I96" s="724" t="str">
        <f>I$3</f>
        <v>4Q06/</v>
      </c>
      <c r="J96" s="724"/>
      <c r="K96" s="724" t="str">
        <f>K$3</f>
        <v>1Q07/</v>
      </c>
      <c r="L96" s="704"/>
      <c r="M96" s="724" t="str">
        <f>M$3</f>
        <v>2Q07/</v>
      </c>
      <c r="N96" s="704"/>
      <c r="O96" s="724" t="str">
        <f>O$3</f>
        <v>3Q07/</v>
      </c>
      <c r="P96" s="704"/>
      <c r="Q96" s="724" t="str">
        <f>Q$3</f>
        <v>4Q07/</v>
      </c>
      <c r="R96" s="704"/>
      <c r="S96" s="724" t="str">
        <f>S$3</f>
        <v>1Q08/</v>
      </c>
      <c r="T96" s="704"/>
      <c r="U96" s="724" t="str">
        <f>U$3</f>
        <v>2Q08/</v>
      </c>
      <c r="V96" s="704"/>
      <c r="W96" s="724" t="str">
        <f>W$3</f>
        <v>3Q08/</v>
      </c>
      <c r="X96" s="704"/>
      <c r="Y96" s="724" t="str">
        <f>Y$3</f>
        <v>4Q08/</v>
      </c>
      <c r="Z96" s="704"/>
      <c r="AA96" s="724" t="str">
        <f>AA$3</f>
        <v>1Q09/</v>
      </c>
      <c r="AB96" s="704"/>
      <c r="AC96" s="724" t="str">
        <f>AC$3</f>
        <v>2Q09/</v>
      </c>
      <c r="AD96" s="704"/>
      <c r="AE96" s="724" t="str">
        <f>AE$3</f>
        <v>3Q09/</v>
      </c>
      <c r="AF96" s="704"/>
      <c r="AG96" s="724" t="str">
        <f>AG$3</f>
        <v>4Q09/</v>
      </c>
      <c r="AH96" s="704"/>
      <c r="AI96" s="724" t="str">
        <f>AI$3</f>
        <v>1Q10/</v>
      </c>
      <c r="AJ96" s="704"/>
      <c r="AK96" s="724" t="str">
        <f>AK$3</f>
        <v>2Q10/</v>
      </c>
      <c r="AL96" s="704"/>
      <c r="AM96" s="724" t="str">
        <f>AM$3</f>
        <v>3Q10/</v>
      </c>
      <c r="AN96" s="704"/>
      <c r="AO96" s="724" t="str">
        <f>AO$3</f>
        <v>4Q10/</v>
      </c>
      <c r="AP96" s="704"/>
      <c r="AQ96" s="724" t="str">
        <f>AQ$3</f>
        <v>1Q11/</v>
      </c>
      <c r="AR96" s="704"/>
      <c r="AS96" s="724" t="str">
        <f>AS$3</f>
        <v>2Q11/</v>
      </c>
      <c r="AT96" s="704"/>
      <c r="AU96" s="724" t="str">
        <f>AU$3</f>
        <v>3Q11/</v>
      </c>
      <c r="AV96" s="704"/>
      <c r="AW96" s="724" t="str">
        <f>AW$3</f>
        <v>4Q11/</v>
      </c>
      <c r="AX96" s="704"/>
      <c r="AY96" s="724" t="str">
        <f>AY$3</f>
        <v>1Q12/</v>
      </c>
      <c r="AZ96" s="704"/>
      <c r="BA96" s="724" t="str">
        <f>BA$3</f>
        <v>2Q12/</v>
      </c>
      <c r="BB96" s="704"/>
      <c r="BC96" s="724" t="str">
        <f>BC$3</f>
        <v>3Q12/</v>
      </c>
      <c r="BD96" s="704"/>
      <c r="BE96" s="724" t="str">
        <f>BE$3</f>
        <v>4Q12/</v>
      </c>
      <c r="BF96" s="704"/>
      <c r="BG96" s="724" t="str">
        <f>BG$3</f>
        <v>1Q13/</v>
      </c>
      <c r="BH96" s="704"/>
      <c r="BI96" s="724" t="str">
        <f>BI$3</f>
        <v>2Q13/</v>
      </c>
      <c r="BJ96" s="704"/>
      <c r="BK96" s="724" t="str">
        <f>BK$3</f>
        <v>3Q13/</v>
      </c>
      <c r="BL96" s="704"/>
      <c r="BM96" s="724" t="str">
        <f>BM$3</f>
        <v>4Q13/</v>
      </c>
      <c r="BN96" s="704"/>
      <c r="BO96" s="724" t="str">
        <f>BO$3</f>
        <v>1Q14/</v>
      </c>
      <c r="BP96" s="704"/>
      <c r="BQ96" s="724" t="str">
        <f>BQ$3</f>
        <v>2Q14/</v>
      </c>
      <c r="BR96" s="704"/>
      <c r="BS96" s="724" t="str">
        <f>BS$3</f>
        <v>3Q14/</v>
      </c>
      <c r="BT96" s="704"/>
      <c r="BU96" s="724" t="str">
        <f>BU$3</f>
        <v>4Q14/</v>
      </c>
      <c r="BV96" s="704"/>
      <c r="BW96" s="724" t="str">
        <f>BW$3</f>
        <v>1Q15/</v>
      </c>
      <c r="BX96" s="704"/>
      <c r="BY96" s="724" t="str">
        <f>BY$3</f>
        <v>2Q15/</v>
      </c>
      <c r="BZ96" s="704"/>
      <c r="CA96" s="724" t="str">
        <f>CA$3</f>
        <v>3Q15/</v>
      </c>
      <c r="CB96" s="704"/>
      <c r="CC96" s="724" t="str">
        <f>CC$3</f>
        <v>4Q15/</v>
      </c>
      <c r="CD96" s="704"/>
      <c r="CE96" s="724" t="str">
        <f>CE$3</f>
        <v>1Q16/</v>
      </c>
      <c r="CF96" s="704"/>
      <c r="CG96" s="724" t="str">
        <f>CG$3</f>
        <v>2Q16/</v>
      </c>
      <c r="CH96" s="704"/>
      <c r="CI96" s="724" t="str">
        <f>CI$3</f>
        <v>3Q16/</v>
      </c>
      <c r="CJ96" s="704"/>
      <c r="CK96" s="724" t="str">
        <f>CK$3</f>
        <v>4Q16/</v>
      </c>
      <c r="CL96" s="704"/>
      <c r="CM96" s="724" t="str">
        <f t="shared" ref="CM96" si="75">CM$3</f>
        <v>1Q17/</v>
      </c>
      <c r="CN96" s="704"/>
      <c r="CO96" s="724" t="str">
        <f t="shared" ref="CO96" si="76">CO$3</f>
        <v>2Q17/</v>
      </c>
      <c r="CP96" s="704"/>
      <c r="CQ96" s="724" t="str">
        <f t="shared" ref="CQ96" si="77">CQ$3</f>
        <v>3Q17/</v>
      </c>
      <c r="CR96" s="704"/>
      <c r="CS96" s="724" t="str">
        <f t="shared" ref="CS96" si="78">CS$3</f>
        <v>4Q17/</v>
      </c>
      <c r="CT96" s="704"/>
      <c r="CU96" s="724" t="str">
        <f t="shared" ref="CU96" si="79">CU$3</f>
        <v>1Q18E/</v>
      </c>
      <c r="CV96" s="704"/>
      <c r="CW96" s="724" t="str">
        <f t="shared" ref="CW96" si="80">CW$3</f>
        <v>2Q18E/</v>
      </c>
      <c r="CX96" s="704"/>
      <c r="CY96" s="724" t="str">
        <f t="shared" ref="CY96" si="81">CY$3</f>
        <v>3Q18E/</v>
      </c>
      <c r="CZ96" s="704"/>
      <c r="DA96" s="724" t="str">
        <f t="shared" ref="DA96" si="82">DA$3</f>
        <v>4Q18E/</v>
      </c>
      <c r="DB96" s="724"/>
      <c r="DC96" s="704"/>
      <c r="DD96" s="724" t="str">
        <f>DD$3</f>
        <v>2005/</v>
      </c>
      <c r="DE96" s="704"/>
      <c r="DF96" s="724" t="str">
        <f>DF$3</f>
        <v>2006/</v>
      </c>
      <c r="DG96" s="704"/>
      <c r="DH96" s="724" t="str">
        <f>DH$3</f>
        <v>2007/</v>
      </c>
      <c r="DI96" s="704"/>
      <c r="DJ96" s="724" t="str">
        <f>DJ$3</f>
        <v>2008/</v>
      </c>
      <c r="DK96" s="704"/>
      <c r="DL96" s="724" t="str">
        <f>DL$3</f>
        <v>2009/</v>
      </c>
      <c r="DM96" s="704"/>
      <c r="DN96" s="724" t="str">
        <f>DN$3</f>
        <v>2010/</v>
      </c>
      <c r="DO96" s="704"/>
      <c r="DP96" s="724" t="str">
        <f>DP$3</f>
        <v>2011/</v>
      </c>
      <c r="DQ96" s="704"/>
      <c r="DR96" s="724" t="str">
        <f>DR$3</f>
        <v>2012/</v>
      </c>
      <c r="DS96" s="704"/>
      <c r="DT96" s="724" t="str">
        <f>DT$3</f>
        <v>2013/</v>
      </c>
      <c r="DU96" s="704"/>
      <c r="DV96" s="724" t="str">
        <f>DV$3</f>
        <v>2014/</v>
      </c>
      <c r="DW96" s="704"/>
      <c r="DX96" s="724" t="str">
        <f>DX$3</f>
        <v>2015/</v>
      </c>
      <c r="DY96" s="704"/>
      <c r="DZ96" s="724" t="str">
        <f>DZ$3</f>
        <v>2016/</v>
      </c>
      <c r="EA96" s="704"/>
      <c r="EB96" s="724" t="str">
        <f>EB$3</f>
        <v>2017/</v>
      </c>
      <c r="EC96" s="704"/>
      <c r="ED96" s="724" t="str">
        <f>ED$3</f>
        <v>2018E/</v>
      </c>
      <c r="EE96" s="704"/>
      <c r="EF96" s="724" t="str">
        <f>EF$3</f>
        <v>2019E/</v>
      </c>
      <c r="EG96" s="704"/>
      <c r="EH96" s="724" t="str">
        <f>EH$3</f>
        <v>2020E/</v>
      </c>
      <c r="EI96" s="704"/>
      <c r="EJ96" s="724" t="str">
        <f>EJ$3</f>
        <v>2021E/</v>
      </c>
      <c r="EK96" s="704"/>
      <c r="EL96" s="724" t="str">
        <f>EL$3</f>
        <v>2022E/</v>
      </c>
      <c r="EM96" s="705" t="str">
        <f>EM$3</f>
        <v>5-Yr</v>
      </c>
    </row>
    <row r="97" spans="1:143" s="3" customFormat="1" ht="12.75" hidden="1" customHeight="1" outlineLevel="1" x14ac:dyDescent="0.2">
      <c r="A97" s="693"/>
      <c r="B97" s="692"/>
      <c r="C97" s="496"/>
      <c r="D97" s="692"/>
      <c r="E97" s="496" t="str">
        <f>E$4</f>
        <v>2Q05</v>
      </c>
      <c r="F97" s="692"/>
      <c r="G97" s="496" t="str">
        <f>G$4</f>
        <v>3Q05</v>
      </c>
      <c r="H97" s="692"/>
      <c r="I97" s="496" t="str">
        <f>I$4</f>
        <v>4Q05</v>
      </c>
      <c r="J97" s="496"/>
      <c r="K97" s="496" t="str">
        <f>K$4</f>
        <v>1Q06</v>
      </c>
      <c r="L97" s="692"/>
      <c r="M97" s="496" t="str">
        <f>M$4</f>
        <v>2Q06</v>
      </c>
      <c r="N97" s="692"/>
      <c r="O97" s="496" t="str">
        <f>O$4</f>
        <v>3Q06</v>
      </c>
      <c r="P97" s="692"/>
      <c r="Q97" s="496" t="str">
        <f>Q$4</f>
        <v>4Q06</v>
      </c>
      <c r="R97" s="692"/>
      <c r="S97" s="496" t="str">
        <f>S$4</f>
        <v>1Q07</v>
      </c>
      <c r="T97" s="692"/>
      <c r="U97" s="496" t="str">
        <f>U$4</f>
        <v>2Q07</v>
      </c>
      <c r="V97" s="692"/>
      <c r="W97" s="496" t="str">
        <f>W$4</f>
        <v>3Q07</v>
      </c>
      <c r="X97" s="692"/>
      <c r="Y97" s="496" t="str">
        <f>Y$4</f>
        <v>4Q07</v>
      </c>
      <c r="Z97" s="692"/>
      <c r="AA97" s="496" t="str">
        <f>AA$4</f>
        <v>1Q08</v>
      </c>
      <c r="AB97" s="692"/>
      <c r="AC97" s="496" t="str">
        <f>AC$4</f>
        <v>2Q08</v>
      </c>
      <c r="AD97" s="692"/>
      <c r="AE97" s="496" t="str">
        <f>AE$4</f>
        <v>3Q08</v>
      </c>
      <c r="AF97" s="692"/>
      <c r="AG97" s="496" t="str">
        <f>AG$4</f>
        <v>4Q08</v>
      </c>
      <c r="AH97" s="692"/>
      <c r="AI97" s="496" t="str">
        <f>AI$4</f>
        <v>1Q09</v>
      </c>
      <c r="AJ97" s="692"/>
      <c r="AK97" s="496" t="str">
        <f>AK$4</f>
        <v>2Q09</v>
      </c>
      <c r="AL97" s="692"/>
      <c r="AM97" s="496" t="str">
        <f>AM$4</f>
        <v>3Q09</v>
      </c>
      <c r="AN97" s="692"/>
      <c r="AO97" s="496" t="str">
        <f>AO$4</f>
        <v>4Q09</v>
      </c>
      <c r="AP97" s="692"/>
      <c r="AQ97" s="496" t="str">
        <f>AQ$4</f>
        <v>1Q10</v>
      </c>
      <c r="AR97" s="692"/>
      <c r="AS97" s="496" t="str">
        <f>AS$4</f>
        <v>2Q10</v>
      </c>
      <c r="AT97" s="692"/>
      <c r="AU97" s="496" t="str">
        <f>AU$4</f>
        <v>3Q10</v>
      </c>
      <c r="AV97" s="692"/>
      <c r="AW97" s="496" t="str">
        <f>AW$4</f>
        <v>4Q10</v>
      </c>
      <c r="AX97" s="692"/>
      <c r="AY97" s="496" t="str">
        <f>AY$4</f>
        <v>1Q11</v>
      </c>
      <c r="AZ97" s="692"/>
      <c r="BA97" s="496" t="str">
        <f>BA$4</f>
        <v>2Q11</v>
      </c>
      <c r="BB97" s="692"/>
      <c r="BC97" s="496" t="str">
        <f>BC$4</f>
        <v>3Q11</v>
      </c>
      <c r="BD97" s="692"/>
      <c r="BE97" s="496" t="str">
        <f>BE$4</f>
        <v>4Q11</v>
      </c>
      <c r="BF97" s="692"/>
      <c r="BG97" s="496" t="str">
        <f>BG$4</f>
        <v>1Q12</v>
      </c>
      <c r="BH97" s="692"/>
      <c r="BI97" s="496" t="str">
        <f>BI$4</f>
        <v>2Q12</v>
      </c>
      <c r="BJ97" s="692"/>
      <c r="BK97" s="496" t="str">
        <f>BK$4</f>
        <v>3Q12</v>
      </c>
      <c r="BL97" s="692"/>
      <c r="BM97" s="496" t="str">
        <f>BM$4</f>
        <v>4Q12</v>
      </c>
      <c r="BN97" s="692"/>
      <c r="BO97" s="496" t="str">
        <f>BO$4</f>
        <v>1Q13</v>
      </c>
      <c r="BP97" s="692"/>
      <c r="BQ97" s="496" t="str">
        <f>BQ$4</f>
        <v>2Q13</v>
      </c>
      <c r="BR97" s="692"/>
      <c r="BS97" s="496" t="str">
        <f>BS$4</f>
        <v>3Q13</v>
      </c>
      <c r="BT97" s="692"/>
      <c r="BU97" s="496" t="str">
        <f>BU$4</f>
        <v>4Q13</v>
      </c>
      <c r="BV97" s="692"/>
      <c r="BW97" s="496" t="str">
        <f>BW$4</f>
        <v>1Q14</v>
      </c>
      <c r="BX97" s="692"/>
      <c r="BY97" s="496" t="str">
        <f>BY$4</f>
        <v>2Q14</v>
      </c>
      <c r="BZ97" s="692"/>
      <c r="CA97" s="496" t="str">
        <f>CA$4</f>
        <v>3Q14</v>
      </c>
      <c r="CB97" s="692"/>
      <c r="CC97" s="496" t="str">
        <f>CC$4</f>
        <v>4Q14</v>
      </c>
      <c r="CD97" s="692"/>
      <c r="CE97" s="496" t="str">
        <f>CE$4</f>
        <v>1Q15</v>
      </c>
      <c r="CF97" s="692"/>
      <c r="CG97" s="496" t="str">
        <f>CG$4</f>
        <v>2Q15</v>
      </c>
      <c r="CH97" s="692"/>
      <c r="CI97" s="496" t="str">
        <f>CI$4</f>
        <v>3Q15</v>
      </c>
      <c r="CJ97" s="692"/>
      <c r="CK97" s="496" t="str">
        <f>CK$4</f>
        <v>4Q15</v>
      </c>
      <c r="CL97" s="692"/>
      <c r="CM97" s="496" t="str">
        <f t="shared" ref="CM97" si="83">CM$4</f>
        <v>1Q16</v>
      </c>
      <c r="CN97" s="692"/>
      <c r="CO97" s="496" t="str">
        <f t="shared" ref="CO97" si="84">CO$4</f>
        <v>2Q16</v>
      </c>
      <c r="CP97" s="692"/>
      <c r="CQ97" s="496" t="str">
        <f t="shared" ref="CQ97" si="85">CQ$4</f>
        <v>3Q16</v>
      </c>
      <c r="CR97" s="692"/>
      <c r="CS97" s="496" t="str">
        <f t="shared" ref="CS97" si="86">CS$4</f>
        <v>4Q16</v>
      </c>
      <c r="CT97" s="692"/>
      <c r="CU97" s="496" t="str">
        <f t="shared" ref="CU97" si="87">CU$4</f>
        <v>1Q17</v>
      </c>
      <c r="CV97" s="692"/>
      <c r="CW97" s="496" t="str">
        <f t="shared" ref="CW97" si="88">CW$4</f>
        <v>2Q17</v>
      </c>
      <c r="CX97" s="692"/>
      <c r="CY97" s="496" t="str">
        <f t="shared" ref="CY97" si="89">CY$4</f>
        <v>3Q17</v>
      </c>
      <c r="CZ97" s="692"/>
      <c r="DA97" s="496" t="str">
        <f t="shared" ref="DA97" si="90">DA$4</f>
        <v>4Q17</v>
      </c>
      <c r="DB97" s="496"/>
      <c r="DC97" s="692"/>
      <c r="DD97" s="686">
        <f>DD$4</f>
        <v>2004</v>
      </c>
      <c r="DE97" s="692"/>
      <c r="DF97" s="686">
        <f>DF$4</f>
        <v>2005</v>
      </c>
      <c r="DG97" s="692"/>
      <c r="DH97" s="686">
        <f>DH$4</f>
        <v>2006</v>
      </c>
      <c r="DI97" s="692"/>
      <c r="DJ97" s="686">
        <f>DJ$4</f>
        <v>2007</v>
      </c>
      <c r="DK97" s="692"/>
      <c r="DL97" s="725">
        <f>DL$4</f>
        <v>2008</v>
      </c>
      <c r="DM97" s="692"/>
      <c r="DN97" s="725" t="str">
        <f>DN$4</f>
        <v>2009</v>
      </c>
      <c r="DO97" s="692"/>
      <c r="DP97" s="725" t="str">
        <f>DP$4</f>
        <v>2010</v>
      </c>
      <c r="DQ97" s="692"/>
      <c r="DR97" s="725" t="str">
        <f>DR$4</f>
        <v>2011</v>
      </c>
      <c r="DS97" s="692"/>
      <c r="DT97" s="725" t="str">
        <f>DT$4</f>
        <v>2012</v>
      </c>
      <c r="DU97" s="692"/>
      <c r="DV97" s="725" t="str">
        <f>DV$4</f>
        <v>2013</v>
      </c>
      <c r="DW97" s="692"/>
      <c r="DX97" s="725" t="str">
        <f>DX$4</f>
        <v>2014</v>
      </c>
      <c r="DY97" s="692"/>
      <c r="DZ97" s="725" t="str">
        <f>DZ$4</f>
        <v>2015</v>
      </c>
      <c r="EA97" s="692"/>
      <c r="EB97" s="725" t="str">
        <f>EB$4</f>
        <v>2016</v>
      </c>
      <c r="EC97" s="692"/>
      <c r="ED97" s="725" t="str">
        <f>ED$4</f>
        <v>2017</v>
      </c>
      <c r="EE97" s="692"/>
      <c r="EF97" s="725" t="str">
        <f>EF$4</f>
        <v>2018E</v>
      </c>
      <c r="EG97" s="692"/>
      <c r="EH97" s="725" t="str">
        <f>EH$4</f>
        <v>2019E</v>
      </c>
      <c r="EI97" s="692"/>
      <c r="EJ97" s="725" t="str">
        <f>EJ$4</f>
        <v>2020E</v>
      </c>
      <c r="EK97" s="692"/>
      <c r="EL97" s="725" t="str">
        <f>EL$4</f>
        <v>2021E</v>
      </c>
      <c r="EM97" s="686" t="str">
        <f>EM$4</f>
        <v>CAGR</v>
      </c>
    </row>
    <row r="98" spans="1:143" s="3" customFormat="1" ht="12.75" hidden="1" customHeight="1" outlineLevel="1" x14ac:dyDescent="0.2">
      <c r="A98" s="694"/>
      <c r="B98" s="695" t="str">
        <f t="shared" ref="B98:BN98" si="91">B$5</f>
        <v>1Q06</v>
      </c>
      <c r="C98" s="726" t="str">
        <f t="shared" si="91"/>
        <v>% Chg</v>
      </c>
      <c r="D98" s="695" t="str">
        <f t="shared" si="91"/>
        <v>2Q06</v>
      </c>
      <c r="E98" s="726" t="str">
        <f t="shared" si="91"/>
        <v>% Chg</v>
      </c>
      <c r="F98" s="695" t="str">
        <f t="shared" si="91"/>
        <v>3Q06</v>
      </c>
      <c r="G98" s="726" t="str">
        <f t="shared" si="91"/>
        <v>% Chg</v>
      </c>
      <c r="H98" s="695" t="str">
        <f t="shared" si="91"/>
        <v>4Q06</v>
      </c>
      <c r="I98" s="726" t="str">
        <f t="shared" si="91"/>
        <v>% Chg</v>
      </c>
      <c r="J98" s="695" t="str">
        <f t="shared" si="91"/>
        <v>1Q07</v>
      </c>
      <c r="K98" s="726" t="str">
        <f t="shared" si="91"/>
        <v>% Chg</v>
      </c>
      <c r="L98" s="695" t="str">
        <f t="shared" si="91"/>
        <v>2Q07</v>
      </c>
      <c r="M98" s="726" t="str">
        <f t="shared" si="91"/>
        <v>% Chg</v>
      </c>
      <c r="N98" s="695" t="str">
        <f t="shared" si="91"/>
        <v>3Q07</v>
      </c>
      <c r="O98" s="726" t="str">
        <f t="shared" si="91"/>
        <v>% Chg</v>
      </c>
      <c r="P98" s="695" t="str">
        <f t="shared" si="91"/>
        <v>4Q07</v>
      </c>
      <c r="Q98" s="726" t="str">
        <f t="shared" si="91"/>
        <v>% Chg</v>
      </c>
      <c r="R98" s="695" t="str">
        <f t="shared" si="91"/>
        <v>1Q08</v>
      </c>
      <c r="S98" s="726" t="str">
        <f t="shared" si="91"/>
        <v>% Chg</v>
      </c>
      <c r="T98" s="695" t="str">
        <f t="shared" si="91"/>
        <v>2Q08</v>
      </c>
      <c r="U98" s="726" t="str">
        <f t="shared" si="91"/>
        <v>% Chg</v>
      </c>
      <c r="V98" s="695" t="str">
        <f t="shared" si="91"/>
        <v>3Q08</v>
      </c>
      <c r="W98" s="726" t="str">
        <f t="shared" si="91"/>
        <v>% Chg</v>
      </c>
      <c r="X98" s="695" t="str">
        <f t="shared" si="91"/>
        <v>4Q08</v>
      </c>
      <c r="Y98" s="726" t="str">
        <f t="shared" si="91"/>
        <v>% Chg</v>
      </c>
      <c r="Z98" s="695" t="str">
        <f t="shared" si="91"/>
        <v>1Q09</v>
      </c>
      <c r="AA98" s="726" t="str">
        <f t="shared" si="91"/>
        <v>% Chg</v>
      </c>
      <c r="AB98" s="695" t="str">
        <f t="shared" si="91"/>
        <v>2Q09</v>
      </c>
      <c r="AC98" s="726" t="str">
        <f t="shared" si="91"/>
        <v>% Chg</v>
      </c>
      <c r="AD98" s="695" t="str">
        <f t="shared" si="91"/>
        <v>3Q09</v>
      </c>
      <c r="AE98" s="726" t="str">
        <f t="shared" si="91"/>
        <v>% Chg</v>
      </c>
      <c r="AF98" s="695" t="str">
        <f t="shared" si="91"/>
        <v>4Q09</v>
      </c>
      <c r="AG98" s="726" t="str">
        <f t="shared" si="91"/>
        <v>% Chg</v>
      </c>
      <c r="AH98" s="695" t="str">
        <f t="shared" si="91"/>
        <v>1Q10</v>
      </c>
      <c r="AI98" s="726" t="str">
        <f t="shared" si="91"/>
        <v>% Chg</v>
      </c>
      <c r="AJ98" s="695" t="str">
        <f t="shared" si="91"/>
        <v>2Q10</v>
      </c>
      <c r="AK98" s="726" t="str">
        <f t="shared" si="91"/>
        <v>% Chg</v>
      </c>
      <c r="AL98" s="695" t="str">
        <f t="shared" si="91"/>
        <v>3Q10</v>
      </c>
      <c r="AM98" s="726" t="str">
        <f t="shared" si="91"/>
        <v>% Chg</v>
      </c>
      <c r="AN98" s="695" t="str">
        <f t="shared" si="91"/>
        <v>4Q10</v>
      </c>
      <c r="AO98" s="726" t="str">
        <f t="shared" si="91"/>
        <v>% Chg</v>
      </c>
      <c r="AP98" s="695" t="str">
        <f t="shared" si="91"/>
        <v>1Q11</v>
      </c>
      <c r="AQ98" s="726" t="str">
        <f t="shared" si="91"/>
        <v>% Chg</v>
      </c>
      <c r="AR98" s="695" t="str">
        <f t="shared" si="91"/>
        <v>2Q11</v>
      </c>
      <c r="AS98" s="726" t="str">
        <f t="shared" si="91"/>
        <v>% Chg</v>
      </c>
      <c r="AT98" s="695" t="str">
        <f t="shared" si="91"/>
        <v>3Q11</v>
      </c>
      <c r="AU98" s="726" t="str">
        <f t="shared" si="91"/>
        <v>% Chg</v>
      </c>
      <c r="AV98" s="695" t="str">
        <f t="shared" si="91"/>
        <v>4Q11</v>
      </c>
      <c r="AW98" s="726" t="str">
        <f t="shared" si="91"/>
        <v>% Chg</v>
      </c>
      <c r="AX98" s="695" t="str">
        <f t="shared" si="91"/>
        <v>1Q12</v>
      </c>
      <c r="AY98" s="726" t="str">
        <f t="shared" si="91"/>
        <v>% Chg</v>
      </c>
      <c r="AZ98" s="695" t="str">
        <f t="shared" si="91"/>
        <v>2Q12</v>
      </c>
      <c r="BA98" s="726" t="str">
        <f t="shared" si="91"/>
        <v>% Chg</v>
      </c>
      <c r="BB98" s="695" t="str">
        <f t="shared" si="91"/>
        <v>3Q12</v>
      </c>
      <c r="BC98" s="726" t="str">
        <f t="shared" si="91"/>
        <v>% Chg</v>
      </c>
      <c r="BD98" s="695" t="str">
        <f t="shared" si="91"/>
        <v>4Q12</v>
      </c>
      <c r="BE98" s="726" t="str">
        <f t="shared" si="91"/>
        <v>% Chg</v>
      </c>
      <c r="BF98" s="695" t="str">
        <f t="shared" si="91"/>
        <v>1Q13</v>
      </c>
      <c r="BG98" s="726" t="str">
        <f t="shared" si="91"/>
        <v>% Chg</v>
      </c>
      <c r="BH98" s="695" t="str">
        <f t="shared" si="91"/>
        <v>2Q13</v>
      </c>
      <c r="BI98" s="726" t="str">
        <f t="shared" si="91"/>
        <v>% Chg</v>
      </c>
      <c r="BJ98" s="695" t="str">
        <f t="shared" si="91"/>
        <v>3Q13</v>
      </c>
      <c r="BK98" s="726" t="str">
        <f t="shared" si="91"/>
        <v>% Chg</v>
      </c>
      <c r="BL98" s="695" t="str">
        <f t="shared" si="91"/>
        <v>4Q13</v>
      </c>
      <c r="BM98" s="726" t="str">
        <f t="shared" si="91"/>
        <v>% Chg</v>
      </c>
      <c r="BN98" s="695" t="str">
        <f t="shared" si="91"/>
        <v>1Q14</v>
      </c>
      <c r="BO98" s="726" t="str">
        <f t="shared" ref="BO98:DA98" si="92">BO$5</f>
        <v>% Chg</v>
      </c>
      <c r="BP98" s="695" t="str">
        <f t="shared" si="92"/>
        <v>2Q14</v>
      </c>
      <c r="BQ98" s="726" t="str">
        <f t="shared" si="92"/>
        <v>% Chg</v>
      </c>
      <c r="BR98" s="695" t="str">
        <f t="shared" si="92"/>
        <v>3Q14</v>
      </c>
      <c r="BS98" s="726" t="str">
        <f t="shared" si="92"/>
        <v>% Chg</v>
      </c>
      <c r="BT98" s="695" t="str">
        <f t="shared" si="92"/>
        <v>4Q14</v>
      </c>
      <c r="BU98" s="726" t="str">
        <f t="shared" si="92"/>
        <v>% Chg</v>
      </c>
      <c r="BV98" s="695" t="str">
        <f t="shared" si="92"/>
        <v>1Q15</v>
      </c>
      <c r="BW98" s="726" t="str">
        <f t="shared" si="92"/>
        <v>% Chg</v>
      </c>
      <c r="BX98" s="695" t="str">
        <f t="shared" si="92"/>
        <v>2Q15</v>
      </c>
      <c r="BY98" s="726" t="str">
        <f t="shared" si="92"/>
        <v>% Chg</v>
      </c>
      <c r="BZ98" s="695" t="str">
        <f t="shared" si="92"/>
        <v>3Q15</v>
      </c>
      <c r="CA98" s="726" t="str">
        <f t="shared" si="92"/>
        <v>% Chg</v>
      </c>
      <c r="CB98" s="695" t="str">
        <f t="shared" si="92"/>
        <v>4Q15</v>
      </c>
      <c r="CC98" s="726" t="str">
        <f t="shared" si="92"/>
        <v>% Chg</v>
      </c>
      <c r="CD98" s="695" t="str">
        <f t="shared" si="92"/>
        <v>1Q16</v>
      </c>
      <c r="CE98" s="726" t="str">
        <f t="shared" si="92"/>
        <v>% Chg</v>
      </c>
      <c r="CF98" s="695" t="str">
        <f t="shared" si="92"/>
        <v>2Q16</v>
      </c>
      <c r="CG98" s="726" t="str">
        <f t="shared" si="92"/>
        <v>% Chg</v>
      </c>
      <c r="CH98" s="695" t="str">
        <f t="shared" si="92"/>
        <v>3Q16</v>
      </c>
      <c r="CI98" s="726" t="str">
        <f t="shared" si="92"/>
        <v>% Chg</v>
      </c>
      <c r="CJ98" s="695" t="str">
        <f t="shared" si="92"/>
        <v>4Q16</v>
      </c>
      <c r="CK98" s="726" t="str">
        <f t="shared" si="92"/>
        <v>% Chg</v>
      </c>
      <c r="CL98" s="695" t="str">
        <f t="shared" si="92"/>
        <v>1Q17</v>
      </c>
      <c r="CM98" s="726" t="str">
        <f t="shared" si="92"/>
        <v>% Chg</v>
      </c>
      <c r="CN98" s="695" t="str">
        <f t="shared" si="92"/>
        <v>2Q17</v>
      </c>
      <c r="CO98" s="726" t="str">
        <f t="shared" si="92"/>
        <v>% Chg</v>
      </c>
      <c r="CP98" s="695" t="str">
        <f t="shared" si="92"/>
        <v>3Q17</v>
      </c>
      <c r="CQ98" s="726" t="str">
        <f t="shared" si="92"/>
        <v>% Chg</v>
      </c>
      <c r="CR98" s="695" t="str">
        <f t="shared" si="92"/>
        <v>4Q17</v>
      </c>
      <c r="CS98" s="726" t="str">
        <f t="shared" si="92"/>
        <v>% Chg</v>
      </c>
      <c r="CT98" s="695" t="str">
        <f t="shared" si="92"/>
        <v>1Q18E</v>
      </c>
      <c r="CU98" s="726" t="str">
        <f t="shared" si="92"/>
        <v>% Chg</v>
      </c>
      <c r="CV98" s="695" t="str">
        <f t="shared" si="92"/>
        <v>2Q18E</v>
      </c>
      <c r="CW98" s="726" t="str">
        <f t="shared" si="92"/>
        <v>% Chg</v>
      </c>
      <c r="CX98" s="695" t="str">
        <f t="shared" si="92"/>
        <v>3Q18E</v>
      </c>
      <c r="CY98" s="726" t="str">
        <f t="shared" si="92"/>
        <v>% Chg</v>
      </c>
      <c r="CZ98" s="695" t="str">
        <f t="shared" si="92"/>
        <v>4Q18E</v>
      </c>
      <c r="DA98" s="726" t="str">
        <f t="shared" si="92"/>
        <v>% Chg</v>
      </c>
      <c r="DB98" s="726"/>
      <c r="DC98" s="699">
        <f t="shared" ref="DC98:EM98" si="93">DC$5</f>
        <v>2005</v>
      </c>
      <c r="DD98" s="726" t="str">
        <f t="shared" si="93"/>
        <v>% Chg</v>
      </c>
      <c r="DE98" s="699">
        <f t="shared" si="93"/>
        <v>2006</v>
      </c>
      <c r="DF98" s="726" t="str">
        <f t="shared" si="93"/>
        <v>% Chg</v>
      </c>
      <c r="DG98" s="699">
        <f t="shared" si="93"/>
        <v>2007</v>
      </c>
      <c r="DH98" s="726" t="str">
        <f t="shared" si="93"/>
        <v>% Chg</v>
      </c>
      <c r="DI98" s="699">
        <f t="shared" si="93"/>
        <v>2008</v>
      </c>
      <c r="DJ98" s="726" t="str">
        <f t="shared" si="93"/>
        <v>% Chg</v>
      </c>
      <c r="DK98" s="695" t="str">
        <f t="shared" si="93"/>
        <v>2009</v>
      </c>
      <c r="DL98" s="726" t="str">
        <f t="shared" si="93"/>
        <v>% Chg</v>
      </c>
      <c r="DM98" s="695" t="str">
        <f t="shared" si="93"/>
        <v>2010</v>
      </c>
      <c r="DN98" s="726" t="str">
        <f t="shared" si="93"/>
        <v>% Chg</v>
      </c>
      <c r="DO98" s="695" t="str">
        <f t="shared" si="93"/>
        <v>2011</v>
      </c>
      <c r="DP98" s="726" t="str">
        <f t="shared" si="93"/>
        <v>% Chg</v>
      </c>
      <c r="DQ98" s="695" t="str">
        <f t="shared" si="93"/>
        <v>2012</v>
      </c>
      <c r="DR98" s="726" t="str">
        <f t="shared" si="93"/>
        <v>% Chg</v>
      </c>
      <c r="DS98" s="695" t="str">
        <f t="shared" si="93"/>
        <v>2013</v>
      </c>
      <c r="DT98" s="726" t="str">
        <f t="shared" si="93"/>
        <v>% Chg</v>
      </c>
      <c r="DU98" s="695" t="str">
        <f t="shared" si="93"/>
        <v>2014</v>
      </c>
      <c r="DV98" s="726" t="str">
        <f t="shared" si="93"/>
        <v>% Chg</v>
      </c>
      <c r="DW98" s="695" t="str">
        <f t="shared" si="93"/>
        <v>2015</v>
      </c>
      <c r="DX98" s="726" t="str">
        <f t="shared" si="93"/>
        <v>% Chg</v>
      </c>
      <c r="DY98" s="695" t="str">
        <f t="shared" si="93"/>
        <v>2016</v>
      </c>
      <c r="DZ98" s="726" t="str">
        <f t="shared" si="93"/>
        <v>% Chg</v>
      </c>
      <c r="EA98" s="695" t="str">
        <f t="shared" si="93"/>
        <v>2017</v>
      </c>
      <c r="EB98" s="726" t="str">
        <f t="shared" si="93"/>
        <v>% Chg</v>
      </c>
      <c r="EC98" s="695" t="str">
        <f t="shared" si="93"/>
        <v>2018E</v>
      </c>
      <c r="ED98" s="726" t="str">
        <f t="shared" si="93"/>
        <v>% Chg</v>
      </c>
      <c r="EE98" s="695" t="str">
        <f t="shared" si="93"/>
        <v>2019E</v>
      </c>
      <c r="EF98" s="726" t="str">
        <f t="shared" si="93"/>
        <v>% Chg</v>
      </c>
      <c r="EG98" s="695" t="str">
        <f t="shared" si="93"/>
        <v>2020E</v>
      </c>
      <c r="EH98" s="726" t="str">
        <f t="shared" si="93"/>
        <v>% Chg</v>
      </c>
      <c r="EI98" s="695" t="str">
        <f t="shared" si="93"/>
        <v>2021E</v>
      </c>
      <c r="EJ98" s="726" t="str">
        <f t="shared" si="93"/>
        <v>% Chg</v>
      </c>
      <c r="EK98" s="695" t="str">
        <f t="shared" si="93"/>
        <v>2022E</v>
      </c>
      <c r="EL98" s="726" t="str">
        <f t="shared" si="93"/>
        <v>% Chg</v>
      </c>
      <c r="EM98" s="696" t="str">
        <f t="shared" si="93"/>
        <v>(%)</v>
      </c>
    </row>
    <row r="99" spans="1:143" ht="12.75" hidden="1" customHeight="1" outlineLevel="1" x14ac:dyDescent="0.2">
      <c r="A99" s="700"/>
      <c r="B99" s="16"/>
      <c r="C99" s="507"/>
      <c r="D99" s="16"/>
      <c r="E99" s="687"/>
      <c r="F99" s="16"/>
      <c r="G99" s="687"/>
      <c r="H99" s="16"/>
      <c r="I99" s="687"/>
      <c r="J99" s="16"/>
      <c r="K99" s="507"/>
      <c r="L99" s="16"/>
      <c r="M99" s="507"/>
      <c r="N99" s="16"/>
      <c r="O99" s="507"/>
      <c r="P99" s="16"/>
      <c r="Q99" s="507"/>
      <c r="R99" s="16"/>
      <c r="S99" s="507"/>
      <c r="T99" s="16"/>
      <c r="U99" s="507"/>
      <c r="V99" s="16"/>
      <c r="W99" s="507"/>
      <c r="X99" s="16"/>
      <c r="Y99" s="507"/>
      <c r="Z99" s="16"/>
      <c r="AA99" s="507"/>
      <c r="AB99" s="16"/>
      <c r="AC99" s="507"/>
      <c r="AD99" s="16"/>
      <c r="AE99" s="507"/>
      <c r="AF99" s="16"/>
      <c r="AG99" s="507"/>
      <c r="AH99" s="16"/>
      <c r="AI99" s="507"/>
      <c r="AJ99" s="16"/>
      <c r="AK99" s="507"/>
      <c r="AL99" s="16"/>
      <c r="AM99" s="507"/>
      <c r="AN99" s="16"/>
      <c r="AO99" s="507"/>
      <c r="AP99" s="16"/>
      <c r="AQ99" s="507"/>
      <c r="AR99" s="16"/>
      <c r="AS99" s="507"/>
      <c r="AT99" s="16"/>
      <c r="AU99" s="507"/>
      <c r="AV99" s="16"/>
      <c r="AW99" s="507"/>
      <c r="AX99" s="16"/>
      <c r="AY99" s="507"/>
      <c r="AZ99" s="16"/>
      <c r="BA99" s="507"/>
      <c r="BB99" s="16"/>
      <c r="BC99" s="507"/>
      <c r="BD99" s="16"/>
      <c r="BE99" s="507"/>
      <c r="BF99" s="16"/>
      <c r="BG99" s="507"/>
      <c r="BH99" s="16"/>
      <c r="BI99" s="507"/>
      <c r="BJ99" s="16"/>
      <c r="BK99" s="507"/>
      <c r="BL99" s="16"/>
      <c r="BM99" s="507"/>
      <c r="BN99" s="16"/>
      <c r="BO99" s="507"/>
      <c r="BP99" s="16"/>
      <c r="BQ99" s="507"/>
      <c r="BR99" s="16"/>
      <c r="BS99" s="507"/>
      <c r="BT99" s="16"/>
      <c r="BU99" s="507"/>
      <c r="BV99" s="16"/>
      <c r="BW99" s="507"/>
      <c r="BX99" s="16"/>
      <c r="BY99" s="507"/>
      <c r="BZ99" s="16"/>
      <c r="CA99" s="507"/>
      <c r="CB99" s="16"/>
      <c r="CC99" s="507"/>
      <c r="CD99" s="16"/>
      <c r="CE99" s="507"/>
      <c r="CF99" s="16"/>
      <c r="CG99" s="507"/>
      <c r="CH99" s="16"/>
      <c r="CI99" s="507"/>
      <c r="CJ99" s="16"/>
      <c r="CK99" s="507"/>
      <c r="CL99" s="16"/>
      <c r="CM99" s="507"/>
      <c r="CN99" s="16"/>
      <c r="CO99" s="507"/>
      <c r="CP99" s="16"/>
      <c r="CQ99" s="507"/>
      <c r="CR99" s="16"/>
      <c r="CS99" s="507"/>
      <c r="CT99" s="16"/>
      <c r="CU99" s="507"/>
      <c r="CV99" s="16"/>
      <c r="CW99" s="507"/>
      <c r="CX99" s="16"/>
      <c r="CY99" s="507"/>
      <c r="CZ99" s="16"/>
      <c r="DA99" s="507"/>
      <c r="DB99" s="507"/>
      <c r="DC99" s="16"/>
      <c r="DD99" s="507"/>
      <c r="DE99" s="16"/>
      <c r="DF99" s="507"/>
      <c r="DG99" s="16"/>
      <c r="DH99" s="507"/>
      <c r="DI99" s="16"/>
      <c r="DJ99" s="507"/>
      <c r="DK99" s="16"/>
      <c r="DL99" s="507"/>
      <c r="DM99" s="16"/>
      <c r="DN99" s="507"/>
      <c r="DO99" s="16"/>
      <c r="DP99" s="507"/>
      <c r="DQ99" s="16"/>
      <c r="DR99" s="507"/>
      <c r="DS99" s="16"/>
      <c r="DT99" s="507"/>
      <c r="DU99" s="16"/>
      <c r="DV99" s="507"/>
      <c r="DW99" s="16"/>
      <c r="DX99" s="507"/>
      <c r="DY99" s="16"/>
      <c r="DZ99" s="507"/>
      <c r="EA99" s="16"/>
      <c r="EB99" s="507"/>
      <c r="EC99" s="16"/>
      <c r="ED99" s="507"/>
      <c r="EE99" s="16"/>
      <c r="EF99" s="507"/>
      <c r="EG99" s="16"/>
      <c r="EH99" s="507"/>
      <c r="EI99" s="16"/>
      <c r="EJ99" s="507"/>
      <c r="EK99" s="16"/>
      <c r="EL99" s="507"/>
      <c r="EM99" s="687"/>
    </row>
    <row r="100" spans="1:143" ht="12.75" hidden="1" customHeight="1" outlineLevel="1" x14ac:dyDescent="0.2">
      <c r="A100" s="700" t="s">
        <v>7</v>
      </c>
      <c r="B100" s="16"/>
      <c r="C100" s="507"/>
      <c r="D100" s="16"/>
      <c r="E100" s="687"/>
      <c r="F100" s="16"/>
      <c r="G100" s="687"/>
      <c r="H100" s="16"/>
      <c r="I100" s="687"/>
      <c r="J100" s="16"/>
      <c r="K100" s="507"/>
      <c r="L100" s="16"/>
      <c r="M100" s="507"/>
      <c r="N100" s="16"/>
      <c r="O100" s="507"/>
      <c r="P100" s="16"/>
      <c r="Q100" s="507"/>
      <c r="R100" s="16"/>
      <c r="S100" s="507"/>
      <c r="T100" s="16"/>
      <c r="U100" s="507"/>
      <c r="V100" s="16"/>
      <c r="W100" s="507"/>
      <c r="X100" s="16"/>
      <c r="Y100" s="507"/>
      <c r="Z100" s="16"/>
      <c r="AA100" s="122"/>
      <c r="AB100" s="16"/>
      <c r="AC100" s="507"/>
      <c r="AD100" s="16"/>
      <c r="AE100" s="507"/>
      <c r="AF100" s="16"/>
      <c r="AG100" s="507"/>
      <c r="AH100" s="16"/>
      <c r="AI100" s="507"/>
      <c r="AJ100" s="16"/>
      <c r="AK100" s="507"/>
      <c r="AL100" s="16"/>
      <c r="AM100" s="507"/>
      <c r="AN100" s="16"/>
      <c r="AO100" s="507"/>
      <c r="AP100" s="16"/>
      <c r="AQ100" s="507"/>
      <c r="AR100" s="16"/>
      <c r="AS100" s="507"/>
      <c r="AT100" s="16"/>
      <c r="AU100" s="507"/>
      <c r="AV100" s="16"/>
      <c r="AW100" s="507"/>
      <c r="AX100" s="16"/>
      <c r="AY100" s="507"/>
      <c r="AZ100" s="16"/>
      <c r="BA100" s="507"/>
      <c r="BB100" s="16"/>
      <c r="BC100" s="507"/>
      <c r="BD100" s="16"/>
      <c r="BE100" s="507"/>
      <c r="BF100" s="16"/>
      <c r="BG100" s="507"/>
      <c r="BH100" s="16"/>
      <c r="BI100" s="507"/>
      <c r="BJ100" s="16"/>
      <c r="BK100" s="507"/>
      <c r="BL100" s="16"/>
      <c r="BM100" s="507"/>
      <c r="BN100" s="16"/>
      <c r="BO100" s="507"/>
      <c r="BP100" s="16"/>
      <c r="BQ100" s="507"/>
      <c r="BR100" s="16"/>
      <c r="BS100" s="507"/>
      <c r="BT100" s="16"/>
      <c r="BU100" s="507"/>
      <c r="BV100" s="16"/>
      <c r="BW100" s="507"/>
      <c r="BX100" s="16"/>
      <c r="BY100" s="507"/>
      <c r="BZ100" s="16"/>
      <c r="CA100" s="507"/>
      <c r="CB100" s="16"/>
      <c r="CC100" s="507"/>
      <c r="CD100" s="16"/>
      <c r="CE100" s="507"/>
      <c r="CF100" s="16"/>
      <c r="CG100" s="507"/>
      <c r="CH100" s="16"/>
      <c r="CI100" s="507"/>
      <c r="CJ100" s="16"/>
      <c r="CK100" s="507"/>
      <c r="CL100" s="16"/>
      <c r="CM100" s="507"/>
      <c r="CN100" s="16"/>
      <c r="CO100" s="507"/>
      <c r="CP100" s="16"/>
      <c r="CQ100" s="507"/>
      <c r="CR100" s="16"/>
      <c r="CS100" s="507"/>
      <c r="CT100" s="16"/>
      <c r="CU100" s="507"/>
      <c r="CV100" s="16"/>
      <c r="CW100" s="507"/>
      <c r="CX100" s="16"/>
      <c r="CY100" s="507"/>
      <c r="CZ100" s="16"/>
      <c r="DA100" s="507"/>
      <c r="DB100" s="507"/>
      <c r="DC100" s="16"/>
      <c r="DD100" s="507"/>
      <c r="DE100" s="16"/>
      <c r="DF100" s="507"/>
      <c r="DG100" s="16"/>
      <c r="DH100" s="507"/>
      <c r="DI100" s="16"/>
      <c r="DJ100" s="507"/>
      <c r="DK100" s="16"/>
      <c r="DL100" s="507"/>
      <c r="DM100" s="16"/>
      <c r="DN100" s="507"/>
      <c r="DO100" s="16"/>
      <c r="DP100" s="507"/>
      <c r="DQ100" s="16"/>
      <c r="DR100" s="507"/>
      <c r="DS100" s="16"/>
      <c r="DT100" s="507"/>
      <c r="DU100" s="16"/>
      <c r="DV100" s="507"/>
      <c r="DW100" s="16"/>
      <c r="DX100" s="507"/>
      <c r="DY100" s="16"/>
      <c r="DZ100" s="507"/>
      <c r="EA100" s="16"/>
      <c r="EB100" s="507"/>
      <c r="EC100" s="16"/>
      <c r="ED100" s="507"/>
      <c r="EE100" s="16"/>
      <c r="EF100" s="507"/>
      <c r="EG100" s="16"/>
      <c r="EH100" s="507"/>
      <c r="EI100" s="16"/>
      <c r="EJ100" s="507"/>
      <c r="EK100" s="16"/>
      <c r="EL100" s="507"/>
      <c r="EM100" s="687"/>
    </row>
    <row r="101" spans="1:143" ht="12.75" hidden="1" customHeight="1" outlineLevel="1" x14ac:dyDescent="0.2">
      <c r="A101" s="701" t="str">
        <f>INPUT!B82</f>
        <v xml:space="preserve">Premiums </v>
      </c>
      <c r="B101" s="151">
        <f>INPUT!AY82</f>
        <v>9.3000000000000007</v>
      </c>
      <c r="C101" s="507">
        <f>INPUT!AZ82</f>
        <v>-11.428571428571422</v>
      </c>
      <c r="D101" s="151">
        <f>INPUT!BA82</f>
        <v>15.3</v>
      </c>
      <c r="E101" s="687" t="str">
        <f>INPUT!BB82</f>
        <v>NM</v>
      </c>
      <c r="F101" s="151">
        <f>INPUT!BC82</f>
        <v>12.3</v>
      </c>
      <c r="G101" s="687">
        <f>INPUT!BD82</f>
        <v>14.953271028037406</v>
      </c>
      <c r="H101" s="151">
        <f>INPUT!BE82</f>
        <v>10.7</v>
      </c>
      <c r="I101" s="687">
        <f>INPUT!BF82</f>
        <v>25.882352941176467</v>
      </c>
      <c r="J101" s="151">
        <f>INPUT!BG82</f>
        <v>12.8</v>
      </c>
      <c r="K101" s="687">
        <f>INPUT!BH82</f>
        <v>37.634408602150529</v>
      </c>
      <c r="L101" s="151">
        <f>INPUT!BI82</f>
        <v>16.600000000000001</v>
      </c>
      <c r="M101" s="687">
        <f>INPUT!BJ82</f>
        <v>8.4967320261438051</v>
      </c>
      <c r="N101" s="151">
        <f>INPUT!BK82</f>
        <v>42.6</v>
      </c>
      <c r="O101" s="687" t="str">
        <f>INPUT!BL82</f>
        <v>NM</v>
      </c>
      <c r="P101" s="151">
        <f>INPUT!BM82</f>
        <v>46.5</v>
      </c>
      <c r="Q101" s="687" t="str">
        <f>INPUT!BN82</f>
        <v>NM</v>
      </c>
      <c r="R101" s="151">
        <f>INPUT!BO82</f>
        <v>31.6</v>
      </c>
      <c r="S101" s="687" t="str">
        <f>INPUT!BP82</f>
        <v>NM</v>
      </c>
      <c r="T101" s="151">
        <f>INPUT!BQ82</f>
        <v>19</v>
      </c>
      <c r="U101" s="687">
        <f>INPUT!BR82</f>
        <v>14.457831325301186</v>
      </c>
      <c r="V101" s="151">
        <f>INPUT!BS82</f>
        <v>52.1</v>
      </c>
      <c r="W101" s="687">
        <f>INPUT!BT82</f>
        <v>22.300469483568076</v>
      </c>
      <c r="X101" s="151">
        <f>INPUT!BU82</f>
        <v>33.700000000000003</v>
      </c>
      <c r="Y101" s="687">
        <f>INPUT!BV82</f>
        <v>-27.526881720430097</v>
      </c>
      <c r="Z101" s="151">
        <f>INPUT!BW82</f>
        <v>27.1</v>
      </c>
      <c r="AA101" s="122">
        <f>INPUT!BX82</f>
        <v>-14.240506329113922</v>
      </c>
      <c r="AB101" s="151">
        <f>INPUT!BY82</f>
        <v>32.5</v>
      </c>
      <c r="AC101" s="687">
        <f>INPUT!BZ82</f>
        <v>71.05263157894737</v>
      </c>
      <c r="AD101" s="151">
        <f>INPUT!CA82</f>
        <v>17.3</v>
      </c>
      <c r="AE101" s="687" t="str">
        <f>INPUT!CB82</f>
        <v>NM</v>
      </c>
      <c r="AF101" s="151">
        <f>INPUT!CC82</f>
        <v>11.9</v>
      </c>
      <c r="AG101" s="687" t="str">
        <f>INPUT!CD82</f>
        <v>NM</v>
      </c>
      <c r="AH101" s="151">
        <f>INPUT!CE82</f>
        <v>9.9</v>
      </c>
      <c r="AI101" s="507" t="str">
        <f>INPUT!CF82</f>
        <v>NM</v>
      </c>
      <c r="AJ101" s="151">
        <f>INPUT!CG82</f>
        <v>9.8000000000000007</v>
      </c>
      <c r="AK101" s="507" t="str">
        <f>INPUT!CH82</f>
        <v>NM</v>
      </c>
      <c r="AL101" s="151">
        <f>INPUT!CI82</f>
        <v>15.7</v>
      </c>
      <c r="AM101" s="507">
        <f>INPUT!CJ82</f>
        <v>-9.2485549132948037</v>
      </c>
      <c r="AN101" s="151">
        <f>INPUT!CK82</f>
        <v>17.600000000000001</v>
      </c>
      <c r="AO101" s="507">
        <f>INPUT!CL82</f>
        <v>47.899159663865554</v>
      </c>
      <c r="AP101" s="151">
        <f>INPUT!CM82</f>
        <v>23.1</v>
      </c>
      <c r="AQ101" s="507" t="str">
        <f>INPUT!CN82</f>
        <v>NM</v>
      </c>
      <c r="AR101" s="151">
        <f>INPUT!CO82</f>
        <v>21.8</v>
      </c>
      <c r="AS101" s="507" t="str">
        <f>INPUT!CP82</f>
        <v>NM</v>
      </c>
      <c r="AT101" s="151">
        <f>INPUT!CQ82</f>
        <v>14.6</v>
      </c>
      <c r="AU101" s="507">
        <f>INPUT!CR82</f>
        <v>-7.0063694267515908</v>
      </c>
      <c r="AV101" s="151">
        <f>INPUT!CS82</f>
        <v>14</v>
      </c>
      <c r="AW101" s="507">
        <f>INPUT!CT82</f>
        <v>-20.45454545454546</v>
      </c>
      <c r="AX101" s="151">
        <f>INPUT!CU82</f>
        <v>17</v>
      </c>
      <c r="AY101" s="507">
        <f>INPUT!CV82</f>
        <v>-26.406926406926413</v>
      </c>
      <c r="AZ101" s="151">
        <f>INPUT!CW82</f>
        <v>18</v>
      </c>
      <c r="BA101" s="507">
        <f>INPUT!CX82</f>
        <v>-17.431192660550465</v>
      </c>
      <c r="BB101" s="151">
        <f>INPUT!CY82</f>
        <v>29</v>
      </c>
      <c r="BC101" s="507">
        <f>INPUT!CZ82</f>
        <v>98.630136986301366</v>
      </c>
      <c r="BD101" s="151">
        <f>INPUT!DA82</f>
        <v>34</v>
      </c>
      <c r="BE101" s="507" t="str">
        <f>INPUT!DB82</f>
        <v>NM</v>
      </c>
      <c r="BF101" s="151">
        <f>INPUT!DC82</f>
        <v>33</v>
      </c>
      <c r="BG101" s="507">
        <f>INPUT!DD82</f>
        <v>94.117647058823522</v>
      </c>
      <c r="BH101" s="151">
        <f>INPUT!DE82</f>
        <v>24</v>
      </c>
      <c r="BI101" s="507">
        <f>INPUT!DF82</f>
        <v>33.333333333333329</v>
      </c>
      <c r="BJ101" s="151">
        <f>INPUT!DG82</f>
        <v>30</v>
      </c>
      <c r="BK101" s="507">
        <f>INPUT!DH82</f>
        <v>3.4482758620689724</v>
      </c>
      <c r="BL101" s="151">
        <f>INPUT!DI82</f>
        <v>28</v>
      </c>
      <c r="BM101" s="507">
        <f>INPUT!DJ82</f>
        <v>-17.647058823529417</v>
      </c>
      <c r="BN101" s="151">
        <f>INPUT!DK82</f>
        <v>45</v>
      </c>
      <c r="BO101" s="507">
        <f>INPUT!DL82</f>
        <v>36.363636363636353</v>
      </c>
      <c r="BP101" s="151">
        <f>INPUT!DM82</f>
        <v>42</v>
      </c>
      <c r="BQ101" s="507">
        <f>INPUT!DN82</f>
        <v>75</v>
      </c>
      <c r="BR101" s="151">
        <f>INPUT!DO82</f>
        <v>39</v>
      </c>
      <c r="BS101" s="507">
        <f>INPUT!DP82</f>
        <v>30.000000000000004</v>
      </c>
      <c r="BT101" s="151">
        <f>INPUT!DQ82</f>
        <v>47</v>
      </c>
      <c r="BU101" s="507">
        <f>INPUT!DR82</f>
        <v>67.857142857142861</v>
      </c>
      <c r="BV101" s="151">
        <f>INPUT!DS82</f>
        <v>79</v>
      </c>
      <c r="BW101" s="507">
        <f>INPUT!DT82</f>
        <v>75.555555555555557</v>
      </c>
      <c r="BX101" s="151">
        <f>INPUT!DU82</f>
        <v>55</v>
      </c>
      <c r="BY101" s="507">
        <f>INPUT!DV82</f>
        <v>30.952380952380953</v>
      </c>
      <c r="BZ101" s="151">
        <f>INPUT!DW82</f>
        <v>129</v>
      </c>
      <c r="CA101" s="507">
        <f>INPUT!DX82</f>
        <v>129</v>
      </c>
      <c r="CB101" s="151">
        <f>INPUT!DY82</f>
        <v>154</v>
      </c>
      <c r="CC101" s="507" t="str">
        <f>INPUT!DZ82</f>
        <v>NM</v>
      </c>
      <c r="CD101" s="151">
        <f>INPUT!EA82</f>
        <v>151</v>
      </c>
      <c r="CE101" s="507">
        <f>INPUT!EB82</f>
        <v>91.139240506329116</v>
      </c>
      <c r="CF101" s="151">
        <f>INPUT!EC82</f>
        <v>68</v>
      </c>
      <c r="CG101" s="507">
        <f>INPUT!ED82</f>
        <v>23.636363636363633</v>
      </c>
      <c r="CH101" s="151">
        <f>INPUT!EE82</f>
        <v>45</v>
      </c>
      <c r="CI101" s="507" t="str">
        <f>INPUT!EF82</f>
        <v>NM</v>
      </c>
      <c r="CJ101" s="151">
        <f>INPUT!EG82</f>
        <v>67</v>
      </c>
      <c r="CK101" s="507" t="str">
        <f>INPUT!EH82</f>
        <v>NM</v>
      </c>
      <c r="CL101" s="151">
        <f>INPUT!EI82</f>
        <v>124</v>
      </c>
      <c r="CM101" s="507">
        <f>INPUT!EJ82</f>
        <v>-17.880794701986758</v>
      </c>
      <c r="CN101" s="151">
        <f>INPUT!EK82</f>
        <v>106</v>
      </c>
      <c r="CO101" s="507">
        <f>INPUT!EL82</f>
        <v>55.882352941176471</v>
      </c>
      <c r="CP101" s="151">
        <f>INPUT!EM82</f>
        <v>82</v>
      </c>
      <c r="CQ101" s="507">
        <f>INPUT!EN82</f>
        <v>82.222222222222214</v>
      </c>
      <c r="CR101" s="151">
        <f>INPUT!EO82</f>
        <v>162</v>
      </c>
      <c r="CS101" s="507" t="str">
        <f>INPUT!EP82</f>
        <v>NM</v>
      </c>
      <c r="CT101" s="151">
        <f>INPUT!EQ82</f>
        <v>92.624181489009388</v>
      </c>
      <c r="CU101" s="507">
        <f>INPUT!ER82</f>
        <v>-25.303079444347265</v>
      </c>
      <c r="CV101" s="151">
        <f>INPUT!ES82</f>
        <v>92.706014802369424</v>
      </c>
      <c r="CW101" s="507">
        <f>INPUT!ET82</f>
        <v>-12.541495469462804</v>
      </c>
      <c r="CX101" s="151">
        <f>INPUT!EU82</f>
        <v>97.188384441232287</v>
      </c>
      <c r="CY101" s="507">
        <f>INPUT!EV82</f>
        <v>18.522420050283284</v>
      </c>
      <c r="CZ101" s="151">
        <f>INPUT!EW82</f>
        <v>101.93663646008368</v>
      </c>
      <c r="DA101" s="507">
        <f>INPUT!EX82</f>
        <v>-37.076150333281674</v>
      </c>
      <c r="DB101" s="507"/>
      <c r="DC101" s="151">
        <f>INPUT!FP82</f>
        <v>37</v>
      </c>
      <c r="DD101" s="687">
        <f>INPUT!FQ82</f>
        <v>15.625</v>
      </c>
      <c r="DE101" s="151">
        <f>INPUT!FR82</f>
        <v>47.600000000000009</v>
      </c>
      <c r="DF101" s="687">
        <f>INPUT!FS82</f>
        <v>28.648648648648667</v>
      </c>
      <c r="DG101" s="151">
        <f>INPUT!FT82</f>
        <v>118.5</v>
      </c>
      <c r="DH101" s="687" t="str">
        <f>INPUT!FU82</f>
        <v>NM</v>
      </c>
      <c r="DI101" s="151">
        <f>INPUT!FV82</f>
        <v>136.4</v>
      </c>
      <c r="DJ101" s="687">
        <f>INPUT!FW82</f>
        <v>15.105485232067517</v>
      </c>
      <c r="DK101" s="151">
        <f>INPUT!FX82</f>
        <v>88.800000000000011</v>
      </c>
      <c r="DL101" s="507">
        <f>INPUT!FY82</f>
        <v>-34.897360703812311</v>
      </c>
      <c r="DM101" s="151">
        <f>INPUT!FZ82</f>
        <v>53.000000000000007</v>
      </c>
      <c r="DN101" s="507">
        <f>INPUT!GA82</f>
        <v>-40.315315315315317</v>
      </c>
      <c r="DO101" s="151">
        <f>INPUT!GB82</f>
        <v>73.5</v>
      </c>
      <c r="DP101" s="507">
        <f>INPUT!GC82</f>
        <v>38.679245283018851</v>
      </c>
      <c r="DQ101" s="151">
        <f>INPUT!GD82</f>
        <v>98</v>
      </c>
      <c r="DR101" s="507">
        <f>INPUT!GE82</f>
        <v>33.333333333333329</v>
      </c>
      <c r="DS101" s="151">
        <f>INPUT!GF82</f>
        <v>115</v>
      </c>
      <c r="DT101" s="507">
        <f>INPUT!GG82</f>
        <v>17.34693877551021</v>
      </c>
      <c r="DU101" s="151">
        <f>INPUT!GH82</f>
        <v>173</v>
      </c>
      <c r="DV101" s="507">
        <f>INPUT!GI82</f>
        <v>50.434782608695649</v>
      </c>
      <c r="DW101" s="151">
        <f>INPUT!GJ82</f>
        <v>417</v>
      </c>
      <c r="DX101" s="507" t="str">
        <f>INPUT!GK82</f>
        <v>NM</v>
      </c>
      <c r="DY101" s="151">
        <f>INPUT!GL82</f>
        <v>331</v>
      </c>
      <c r="DZ101" s="507">
        <f>INPUT!GM82</f>
        <v>-20.623501199040774</v>
      </c>
      <c r="EA101" s="151">
        <f>INPUT!GN82</f>
        <v>474</v>
      </c>
      <c r="EB101" s="507">
        <f>INPUT!GO82</f>
        <v>43.202416918429009</v>
      </c>
      <c r="EC101" s="151">
        <f>INPUT!GP82</f>
        <v>384.45521719269476</v>
      </c>
      <c r="ED101" s="507">
        <f>INPUT!GQ82</f>
        <v>-18.891304389726848</v>
      </c>
      <c r="EE101" s="151">
        <f>INPUT!GR82</f>
        <v>415.51032198683242</v>
      </c>
      <c r="EF101" s="507">
        <f>INPUT!GS82</f>
        <v>8.0776910821767736</v>
      </c>
      <c r="EG101" s="151">
        <f>INPUT!GT82</f>
        <v>440.30879548040542</v>
      </c>
      <c r="EH101" s="507">
        <f>INPUT!GU82</f>
        <v>5.9681967405755154</v>
      </c>
      <c r="EI101" s="151">
        <f>INPUT!GV82</f>
        <v>468.02921045167921</v>
      </c>
      <c r="EJ101" s="507">
        <f>INPUT!GW82</f>
        <v>6.2956759564680054</v>
      </c>
      <c r="EK101" s="151">
        <f>INPUT!GX82</f>
        <v>499.09196683352167</v>
      </c>
      <c r="EL101" s="507">
        <f>INPUT!GY82</f>
        <v>6.6369268601557785</v>
      </c>
      <c r="EM101" s="257">
        <f>INPUT!GZ82</f>
        <v>1.0370011586256611</v>
      </c>
    </row>
    <row r="102" spans="1:143" ht="12.75" hidden="1" customHeight="1" outlineLevel="1" x14ac:dyDescent="0.2">
      <c r="A102" s="701" t="str">
        <f>INPUT!B83</f>
        <v>Total Policy Charges</v>
      </c>
      <c r="B102" s="151">
        <f>INPUT!AY83</f>
        <v>217.5</v>
      </c>
      <c r="C102" s="507">
        <f>INPUT!AZ83</f>
        <v>26.233313987231565</v>
      </c>
      <c r="D102" s="151">
        <f>INPUT!BA83</f>
        <v>274.10000000000008</v>
      </c>
      <c r="E102" s="687">
        <f>INPUT!BB83</f>
        <v>47.286405158516985</v>
      </c>
      <c r="F102" s="151">
        <f>INPUT!BC83</f>
        <v>271.50000000000006</v>
      </c>
      <c r="G102" s="687">
        <f>INPUT!BD83</f>
        <v>35.750000000000036</v>
      </c>
      <c r="H102" s="151">
        <f>INPUT!BE83</f>
        <v>311.7999999999999</v>
      </c>
      <c r="I102" s="687">
        <f>INPUT!BF83</f>
        <v>46.24765478424009</v>
      </c>
      <c r="J102" s="151">
        <f>INPUT!BG83</f>
        <v>312.3</v>
      </c>
      <c r="K102" s="687">
        <f>INPUT!BH83</f>
        <v>43.58620689655173</v>
      </c>
      <c r="L102" s="151">
        <f>INPUT!BI83</f>
        <v>341.8</v>
      </c>
      <c r="M102" s="687">
        <f>INPUT!BJ83</f>
        <v>24.699014958044472</v>
      </c>
      <c r="N102" s="151">
        <f>INPUT!BK83</f>
        <v>355</v>
      </c>
      <c r="O102" s="687">
        <f>INPUT!BL83</f>
        <v>30.755064456721893</v>
      </c>
      <c r="P102" s="151">
        <f>INPUT!BM83</f>
        <v>373.99999999999994</v>
      </c>
      <c r="Q102" s="687">
        <f>INPUT!BN83</f>
        <v>19.948685054522141</v>
      </c>
      <c r="R102" s="151">
        <f>INPUT!BO83</f>
        <v>343.2</v>
      </c>
      <c r="S102" s="687">
        <f>INPUT!BP83</f>
        <v>9.8943323727185284</v>
      </c>
      <c r="T102" s="151">
        <f>INPUT!BQ83</f>
        <v>354.40000000000003</v>
      </c>
      <c r="U102" s="687">
        <f>INPUT!BR83</f>
        <v>3.6863662960795907</v>
      </c>
      <c r="V102" s="151">
        <f>INPUT!BS83</f>
        <v>380</v>
      </c>
      <c r="W102" s="687">
        <f>INPUT!BT83</f>
        <v>7.0422535211267512</v>
      </c>
      <c r="X102" s="151">
        <f>INPUT!BU83</f>
        <v>298.09999999999991</v>
      </c>
      <c r="Y102" s="687">
        <f>INPUT!BV83</f>
        <v>-20.29411764705884</v>
      </c>
      <c r="Z102" s="151">
        <f>INPUT!BW83</f>
        <v>254.20000000000002</v>
      </c>
      <c r="AA102" s="122">
        <f>INPUT!BX83</f>
        <v>-25.932400932400924</v>
      </c>
      <c r="AB102" s="151">
        <f>INPUT!BY83</f>
        <v>276.10000000000002</v>
      </c>
      <c r="AC102" s="687">
        <f>INPUT!BZ83</f>
        <v>-22.093679458239279</v>
      </c>
      <c r="AD102" s="151">
        <f>INPUT!CA83</f>
        <v>309.40000000000009</v>
      </c>
      <c r="AE102" s="687">
        <f>INPUT!CB83</f>
        <v>-18.578947368421026</v>
      </c>
      <c r="AF102" s="151">
        <f>INPUT!CC83</f>
        <v>335.8</v>
      </c>
      <c r="AG102" s="687">
        <f>INPUT!CD83</f>
        <v>12.646762831264713</v>
      </c>
      <c r="AH102" s="151">
        <f>INPUT!CE83</f>
        <v>349.2</v>
      </c>
      <c r="AI102" s="507">
        <f>INPUT!CF83</f>
        <v>37.372147915027519</v>
      </c>
      <c r="AJ102" s="151">
        <f>INPUT!CG83</f>
        <v>363.30000000000007</v>
      </c>
      <c r="AK102" s="507">
        <f>INPUT!CH83</f>
        <v>31.582759869612474</v>
      </c>
      <c r="AL102" s="151">
        <f>INPUT!CI83</f>
        <v>362.69999999999993</v>
      </c>
      <c r="AM102" s="507">
        <f>INPUT!CJ83</f>
        <v>17.22689075630246</v>
      </c>
      <c r="AN102" s="151">
        <f>INPUT!CK83</f>
        <v>407.19999999999993</v>
      </c>
      <c r="AO102" s="507">
        <f>INPUT!CL83</f>
        <v>21.262656343061327</v>
      </c>
      <c r="AP102" s="151">
        <f>INPUT!CM83</f>
        <v>422</v>
      </c>
      <c r="AQ102" s="507">
        <f>INPUT!CN83</f>
        <v>20.847651775486842</v>
      </c>
      <c r="AR102" s="151">
        <f>INPUT!CO83</f>
        <v>435.3</v>
      </c>
      <c r="AS102" s="507">
        <f>INPUT!CP83</f>
        <v>19.818331957060266</v>
      </c>
      <c r="AT102" s="151">
        <f>INPUT!CQ83</f>
        <v>425.5</v>
      </c>
      <c r="AU102" s="507">
        <f>INPUT!CR83</f>
        <v>17.314585056520571</v>
      </c>
      <c r="AV102" s="151">
        <f>INPUT!CS83</f>
        <v>408</v>
      </c>
      <c r="AW102" s="507">
        <f>INPUT!CT83</f>
        <v>0.19646365422398837</v>
      </c>
      <c r="AX102" s="151">
        <f>INPUT!CU83</f>
        <v>442</v>
      </c>
      <c r="AY102" s="507">
        <f>INPUT!CV83</f>
        <v>4.7393364928909998</v>
      </c>
      <c r="AZ102" s="151">
        <f>INPUT!CW83</f>
        <v>437</v>
      </c>
      <c r="BA102" s="507">
        <f>INPUT!CX83</f>
        <v>0.39053526303698405</v>
      </c>
      <c r="BB102" s="151">
        <f>INPUT!CY83</f>
        <v>448</v>
      </c>
      <c r="BC102" s="507">
        <f>INPUT!CZ83</f>
        <v>5.2878965922444232</v>
      </c>
      <c r="BD102" s="151">
        <f>INPUT!DA83</f>
        <v>469</v>
      </c>
      <c r="BE102" s="507">
        <f>INPUT!DB83</f>
        <v>14.950980392156854</v>
      </c>
      <c r="BF102" s="151">
        <f>INPUT!DC83</f>
        <v>487</v>
      </c>
      <c r="BG102" s="507">
        <f>INPUT!DD83</f>
        <v>10.18099547511313</v>
      </c>
      <c r="BH102" s="151">
        <f>INPUT!DE83</f>
        <v>520</v>
      </c>
      <c r="BI102" s="507">
        <f>INPUT!DF83</f>
        <v>18.993135011441641</v>
      </c>
      <c r="BJ102" s="151">
        <f>INPUT!DG83</f>
        <v>558</v>
      </c>
      <c r="BK102" s="507">
        <f>INPUT!DH83</f>
        <v>24.55357142857142</v>
      </c>
      <c r="BL102" s="151">
        <f>INPUT!DI83</f>
        <v>598</v>
      </c>
      <c r="BM102" s="507">
        <f>INPUT!DJ83</f>
        <v>27.505330490405111</v>
      </c>
      <c r="BN102" s="151">
        <f>INPUT!DK83</f>
        <v>605</v>
      </c>
      <c r="BO102" s="507">
        <f>INPUT!DL83</f>
        <v>24.22997946611909</v>
      </c>
      <c r="BP102" s="151">
        <f>INPUT!DM83</f>
        <v>626</v>
      </c>
      <c r="BQ102" s="507">
        <f>INPUT!DN83</f>
        <v>20.38461538461538</v>
      </c>
      <c r="BR102" s="151">
        <f>INPUT!DO83</f>
        <v>648</v>
      </c>
      <c r="BS102" s="507">
        <f>INPUT!DP83</f>
        <v>16.129032258064523</v>
      </c>
      <c r="BT102" s="151">
        <f>INPUT!DQ83</f>
        <v>659</v>
      </c>
      <c r="BU102" s="507">
        <f>INPUT!DR83</f>
        <v>10.200668896321075</v>
      </c>
      <c r="BV102" s="151">
        <f>INPUT!DS83</f>
        <v>663</v>
      </c>
      <c r="BW102" s="507">
        <f>INPUT!DT83</f>
        <v>9.5867768595041305</v>
      </c>
      <c r="BX102" s="151">
        <f>INPUT!DU83</f>
        <v>689</v>
      </c>
      <c r="BY102" s="507">
        <f>INPUT!DV83</f>
        <v>10.063897763578279</v>
      </c>
      <c r="BZ102" s="151">
        <f>INPUT!DW83</f>
        <v>674</v>
      </c>
      <c r="CA102" s="507">
        <f>INPUT!DX83</f>
        <v>674</v>
      </c>
      <c r="CB102" s="151">
        <f>INPUT!DY83</f>
        <v>673</v>
      </c>
      <c r="CC102" s="507">
        <f>INPUT!DZ83</f>
        <v>2.1244309559939278</v>
      </c>
      <c r="CD102" s="151">
        <f>INPUT!EA83</f>
        <v>637</v>
      </c>
      <c r="CE102" s="507">
        <f>INPUT!EB83</f>
        <v>-3.9215686274509776</v>
      </c>
      <c r="CF102" s="151">
        <f>INPUT!EC83</f>
        <v>657</v>
      </c>
      <c r="CG102" s="507">
        <f>INPUT!ED83</f>
        <v>-4.6444121915820036</v>
      </c>
      <c r="CH102" s="151">
        <f>INPUT!EE83</f>
        <v>687</v>
      </c>
      <c r="CI102" s="507">
        <f>INPUT!EF83</f>
        <v>1.928783382789323</v>
      </c>
      <c r="CJ102" s="151">
        <f>INPUT!EG83</f>
        <v>688</v>
      </c>
      <c r="CK102" s="507">
        <f>INPUT!EH83</f>
        <v>2.2288261515601704</v>
      </c>
      <c r="CL102" s="151">
        <f>INPUT!EI83</f>
        <v>681</v>
      </c>
      <c r="CM102" s="507">
        <f>INPUT!EJ83</f>
        <v>6.9073783359497654</v>
      </c>
      <c r="CN102" s="151">
        <f>INPUT!EK83</f>
        <v>707</v>
      </c>
      <c r="CO102" s="507">
        <f>INPUT!EL83</f>
        <v>7.6103500761035114</v>
      </c>
      <c r="CP102" s="151">
        <f>INPUT!EM83</f>
        <v>731</v>
      </c>
      <c r="CQ102" s="507">
        <f>INPUT!EN83</f>
        <v>6.4046579330422126</v>
      </c>
      <c r="CR102" s="151">
        <f>INPUT!EO83</f>
        <v>747</v>
      </c>
      <c r="CS102" s="507">
        <f>INPUT!EP83</f>
        <v>8.5755813953488413</v>
      </c>
      <c r="CT102" s="151">
        <f>INPUT!EQ83</f>
        <v>753.51819531271883</v>
      </c>
      <c r="CU102" s="507">
        <f>INPUT!ER83</f>
        <v>10.648780515817746</v>
      </c>
      <c r="CV102" s="151">
        <f>INPUT!ES83</f>
        <v>754.18392740997717</v>
      </c>
      <c r="CW102" s="507">
        <f>INPUT!ET83</f>
        <v>6.6738228302655189</v>
      </c>
      <c r="CX102" s="151">
        <f>INPUT!EU83</f>
        <v>762.41153133565876</v>
      </c>
      <c r="CY102" s="507">
        <f>INPUT!EV83</f>
        <v>4.2970631102132284</v>
      </c>
      <c r="CZ102" s="151">
        <f>INPUT!EW83</f>
        <v>772.08555301015008</v>
      </c>
      <c r="DA102" s="507">
        <f>INPUT!EX83</f>
        <v>3.3581730937282561</v>
      </c>
      <c r="DB102" s="507"/>
      <c r="DC102" s="151">
        <f>INPUT!FP83</f>
        <v>771.6</v>
      </c>
      <c r="DD102" s="687">
        <f>INPUT!FQ83</f>
        <v>20.940438871473365</v>
      </c>
      <c r="DE102" s="151">
        <f>INPUT!FR83</f>
        <v>1074.9000000000001</v>
      </c>
      <c r="DF102" s="687">
        <f>INPUT!FS83</f>
        <v>39.307931570762065</v>
      </c>
      <c r="DG102" s="151">
        <f>INPUT!FT83</f>
        <v>1383.1</v>
      </c>
      <c r="DH102" s="687">
        <f>INPUT!FU83</f>
        <v>28.672434645083243</v>
      </c>
      <c r="DI102" s="151">
        <f>INPUT!FV83</f>
        <v>1375.6999999999998</v>
      </c>
      <c r="DJ102" s="687">
        <f>INPUT!FW83</f>
        <v>-0.53503000506109899</v>
      </c>
      <c r="DK102" s="151">
        <f>INPUT!FX83</f>
        <v>1175.5000000000002</v>
      </c>
      <c r="DL102" s="507">
        <f>INPUT!FY83</f>
        <v>-14.552591408010439</v>
      </c>
      <c r="DM102" s="151">
        <f>INPUT!FZ83</f>
        <v>1482.3999999999996</v>
      </c>
      <c r="DN102" s="507">
        <f>INPUT!GA83</f>
        <v>26.108039132284077</v>
      </c>
      <c r="DO102" s="151">
        <f>INPUT!GB83</f>
        <v>1690.8</v>
      </c>
      <c r="DP102" s="507">
        <f>INPUT!GC83</f>
        <v>14.058283864004339</v>
      </c>
      <c r="DQ102" s="151">
        <f>INPUT!GD83</f>
        <v>1796</v>
      </c>
      <c r="DR102" s="507">
        <f>INPUT!GE83</f>
        <v>6.2219067896853497</v>
      </c>
      <c r="DS102" s="151">
        <f>INPUT!GF83</f>
        <v>2163</v>
      </c>
      <c r="DT102" s="507">
        <f>INPUT!GG83</f>
        <v>20.434298440979948</v>
      </c>
      <c r="DU102" s="151">
        <f>INPUT!GH83</f>
        <v>2538</v>
      </c>
      <c r="DV102" s="507">
        <f>INPUT!GI83</f>
        <v>17.33703190013869</v>
      </c>
      <c r="DW102" s="151">
        <f>INPUT!GJ83</f>
        <v>2699</v>
      </c>
      <c r="DX102" s="507">
        <f>INPUT!GK83</f>
        <v>6.3435776201733685</v>
      </c>
      <c r="DY102" s="151">
        <f>INPUT!GL83</f>
        <v>2669</v>
      </c>
      <c r="DZ102" s="507">
        <f>INPUT!GM83</f>
        <v>-1.1115227862171229</v>
      </c>
      <c r="EA102" s="151">
        <f>INPUT!GN83</f>
        <v>2866</v>
      </c>
      <c r="EB102" s="507">
        <f>INPUT!GO83</f>
        <v>7.3810415886099712</v>
      </c>
      <c r="EC102" s="151">
        <f>INPUT!GP83</f>
        <v>3042.1992070685046</v>
      </c>
      <c r="ED102" s="507">
        <f>INPUT!GQ83</f>
        <v>6.1479137148815255</v>
      </c>
      <c r="EE102" s="151">
        <f>INPUT!GR83</f>
        <v>3204.4603999280844</v>
      </c>
      <c r="EF102" s="507">
        <f>INPUT!GS83</f>
        <v>5.3336807294725563</v>
      </c>
      <c r="EG102" s="151">
        <f>INPUT!GT83</f>
        <v>3395.7089010696259</v>
      </c>
      <c r="EH102" s="507">
        <f>INPUT!GU83</f>
        <v>5.9681967405755376</v>
      </c>
      <c r="EI102" s="151">
        <f>INPUT!GV83</f>
        <v>3609.4917299059107</v>
      </c>
      <c r="EJ102" s="507">
        <f>INPUT!GW83</f>
        <v>6.2956759564680276</v>
      </c>
      <c r="EK102" s="151">
        <f>INPUT!GX83</f>
        <v>3849.0510560431371</v>
      </c>
      <c r="EL102" s="507">
        <f>INPUT!GY83</f>
        <v>6.6369268601557563</v>
      </c>
      <c r="EM102" s="257">
        <f>INPUT!GZ83</f>
        <v>6.0756000480611361</v>
      </c>
    </row>
    <row r="103" spans="1:143" ht="12.75" hidden="1" customHeight="1" outlineLevel="1" x14ac:dyDescent="0.2">
      <c r="A103" s="701" t="str">
        <f>INPUT!B84</f>
        <v>Investment Income</v>
      </c>
      <c r="B103" s="151">
        <f>INPUT!AY84</f>
        <v>148</v>
      </c>
      <c r="C103" s="507">
        <f>INPUT!AZ84</f>
        <v>-5.7324840764331197</v>
      </c>
      <c r="D103" s="151">
        <f>INPUT!BA84</f>
        <v>263.2</v>
      </c>
      <c r="E103" s="687">
        <f>INPUT!BB84</f>
        <v>70.025839793281634</v>
      </c>
      <c r="F103" s="151">
        <f>INPUT!BC84</f>
        <v>312.7</v>
      </c>
      <c r="G103" s="687" t="str">
        <f>INPUT!BD84</f>
        <v>NM</v>
      </c>
      <c r="H103" s="151">
        <f>INPUT!BE84</f>
        <v>314.8</v>
      </c>
      <c r="I103" s="687" t="str">
        <f>INPUT!BF84</f>
        <v>NM</v>
      </c>
      <c r="J103" s="151">
        <f>INPUT!BG84</f>
        <v>265.3</v>
      </c>
      <c r="K103" s="687">
        <f>INPUT!BH84</f>
        <v>79.256756756756758</v>
      </c>
      <c r="L103" s="151">
        <f>INPUT!BI84</f>
        <v>265.3</v>
      </c>
      <c r="M103" s="687">
        <f>INPUT!BJ84</f>
        <v>0.79787234042554278</v>
      </c>
      <c r="N103" s="151">
        <f>INPUT!BK84</f>
        <v>249.4</v>
      </c>
      <c r="O103" s="687">
        <f>INPUT!BL84</f>
        <v>-20.243044451551008</v>
      </c>
      <c r="P103" s="151">
        <f>INPUT!BM84</f>
        <v>251.8</v>
      </c>
      <c r="Q103" s="687">
        <f>INPUT!BN84</f>
        <v>-20.012706480304953</v>
      </c>
      <c r="R103" s="151">
        <f>INPUT!BO84</f>
        <v>247.8</v>
      </c>
      <c r="S103" s="687">
        <f>INPUT!BP84</f>
        <v>-6.5963060686015869</v>
      </c>
      <c r="T103" s="151">
        <f>INPUT!BQ84</f>
        <v>245.3</v>
      </c>
      <c r="U103" s="687">
        <f>INPUT!BR84</f>
        <v>-7.5386355069732343</v>
      </c>
      <c r="V103" s="151">
        <f>INPUT!BS84</f>
        <v>243.1</v>
      </c>
      <c r="W103" s="687">
        <f>INPUT!BT84</f>
        <v>-2.5260625501202894</v>
      </c>
      <c r="X103" s="151">
        <f>INPUT!BU84</f>
        <v>235.5</v>
      </c>
      <c r="Y103" s="687">
        <f>INPUT!BV84</f>
        <v>-6.4733915806195474</v>
      </c>
      <c r="Z103" s="151">
        <f>INPUT!BW84</f>
        <v>240.4</v>
      </c>
      <c r="AA103" s="122">
        <f>INPUT!BX84</f>
        <v>-2.986279257465696</v>
      </c>
      <c r="AB103" s="151">
        <f>INPUT!BY84</f>
        <v>243.9</v>
      </c>
      <c r="AC103" s="687">
        <f>INPUT!BZ84</f>
        <v>-0.57072971871178213</v>
      </c>
      <c r="AD103" s="151">
        <f>INPUT!CA84</f>
        <v>271.5</v>
      </c>
      <c r="AE103" s="687">
        <f>INPUT!CB84</f>
        <v>11.682435211846975</v>
      </c>
      <c r="AF103" s="151">
        <f>INPUT!CC84</f>
        <v>281.2</v>
      </c>
      <c r="AG103" s="687">
        <f>INPUT!CD84</f>
        <v>19.405520169851375</v>
      </c>
      <c r="AH103" s="151">
        <f>INPUT!CE84</f>
        <v>270.8</v>
      </c>
      <c r="AI103" s="507">
        <f>INPUT!CF84</f>
        <v>12.64559068219635</v>
      </c>
      <c r="AJ103" s="151">
        <f>INPUT!CG84</f>
        <v>271.5</v>
      </c>
      <c r="AK103" s="507">
        <f>INPUT!CH84</f>
        <v>11.316113161131614</v>
      </c>
      <c r="AL103" s="151">
        <f>INPUT!CI84</f>
        <v>281.89999999999998</v>
      </c>
      <c r="AM103" s="507">
        <f>INPUT!CJ84</f>
        <v>3.8305709023940926</v>
      </c>
      <c r="AN103" s="151">
        <f>INPUT!CK84</f>
        <v>295.10000000000002</v>
      </c>
      <c r="AO103" s="507">
        <f>INPUT!CL84</f>
        <v>4.9431009957325855</v>
      </c>
      <c r="AP103" s="151">
        <f>INPUT!CM84</f>
        <v>288.10000000000002</v>
      </c>
      <c r="AQ103" s="507">
        <f>INPUT!CN84</f>
        <v>6.3884785819793288</v>
      </c>
      <c r="AR103" s="151">
        <f>INPUT!CO84</f>
        <v>277.7</v>
      </c>
      <c r="AS103" s="507">
        <f>INPUT!CP84</f>
        <v>2.283609576427259</v>
      </c>
      <c r="AT103" s="151">
        <f>INPUT!CQ84</f>
        <v>270.89999999999998</v>
      </c>
      <c r="AU103" s="507">
        <f>INPUT!CR84</f>
        <v>-3.9020929407591387</v>
      </c>
      <c r="AV103" s="151">
        <f>INPUT!CS84</f>
        <v>270</v>
      </c>
      <c r="AW103" s="507">
        <f>INPUT!CT84</f>
        <v>-8.505591324974592</v>
      </c>
      <c r="AX103" s="151">
        <f>INPUT!CU84</f>
        <v>272</v>
      </c>
      <c r="AY103" s="507">
        <f>INPUT!CV84</f>
        <v>-5.5883373828531813</v>
      </c>
      <c r="AZ103" s="151">
        <f>INPUT!CW84</f>
        <v>279</v>
      </c>
      <c r="BA103" s="507">
        <f>INPUT!CX84</f>
        <v>0.46813107670147236</v>
      </c>
      <c r="BB103" s="151">
        <f>INPUT!CY84</f>
        <v>268</v>
      </c>
      <c r="BC103" s="507">
        <f>INPUT!CZ84</f>
        <v>-1.0705057216685021</v>
      </c>
      <c r="BD103" s="151">
        <f>INPUT!DA84</f>
        <v>263</v>
      </c>
      <c r="BE103" s="507">
        <f>INPUT!DB84</f>
        <v>-2.5925925925925908</v>
      </c>
      <c r="BF103" s="151">
        <f>INPUT!DC84</f>
        <v>257</v>
      </c>
      <c r="BG103" s="507">
        <f>INPUT!DD84</f>
        <v>-5.5147058823529438</v>
      </c>
      <c r="BH103" s="151">
        <f>INPUT!DE84</f>
        <v>273</v>
      </c>
      <c r="BI103" s="507">
        <f>INPUT!DF84</f>
        <v>-2.1505376344086002</v>
      </c>
      <c r="BJ103" s="151">
        <f>INPUT!DG84</f>
        <v>254</v>
      </c>
      <c r="BK103" s="507">
        <f>INPUT!DH84</f>
        <v>-5.2238805970149294</v>
      </c>
      <c r="BL103" s="151">
        <f>INPUT!DI84</f>
        <v>260</v>
      </c>
      <c r="BM103" s="507">
        <f>INPUT!DJ84</f>
        <v>-1.1406844106463865</v>
      </c>
      <c r="BN103" s="151">
        <f>INPUT!DK84</f>
        <v>259</v>
      </c>
      <c r="BO103" s="507">
        <f>INPUT!DL84</f>
        <v>0.77821011673151474</v>
      </c>
      <c r="BP103" s="151">
        <f>INPUT!DM84</f>
        <v>258</v>
      </c>
      <c r="BQ103" s="507">
        <f>INPUT!DN84</f>
        <v>-5.4945054945054972</v>
      </c>
      <c r="BR103" s="151">
        <f>INPUT!DO84</f>
        <v>257</v>
      </c>
      <c r="BS103" s="507">
        <f>INPUT!DP84</f>
        <v>1.1811023622047223</v>
      </c>
      <c r="BT103" s="151">
        <f>INPUT!DQ84</f>
        <v>260</v>
      </c>
      <c r="BU103" s="507">
        <f>INPUT!DR84</f>
        <v>0</v>
      </c>
      <c r="BV103" s="151">
        <f>INPUT!DS84</f>
        <v>247</v>
      </c>
      <c r="BW103" s="507">
        <f>INPUT!DT84</f>
        <v>-4.6332046332046346</v>
      </c>
      <c r="BX103" s="151">
        <f>INPUT!DU84</f>
        <v>247</v>
      </c>
      <c r="BY103" s="507">
        <f>INPUT!DV84</f>
        <v>-4.2635658914728651</v>
      </c>
      <c r="BZ103" s="151">
        <f>INPUT!DW84</f>
        <v>257</v>
      </c>
      <c r="CA103" s="507">
        <f>INPUT!DX84</f>
        <v>257</v>
      </c>
      <c r="CB103" s="151">
        <f>INPUT!DY84</f>
        <v>252</v>
      </c>
      <c r="CC103" s="507">
        <f>INPUT!DZ84</f>
        <v>-3.0769230769230771</v>
      </c>
      <c r="CD103" s="151">
        <f>INPUT!EA84</f>
        <v>251</v>
      </c>
      <c r="CE103" s="507">
        <f>INPUT!EB84</f>
        <v>1.6194331983805599</v>
      </c>
      <c r="CF103" s="151">
        <f>INPUT!EC84</f>
        <v>258</v>
      </c>
      <c r="CG103" s="507">
        <f>INPUT!ED84</f>
        <v>4.4534412955465674</v>
      </c>
      <c r="CH103" s="151">
        <f>INPUT!EE84</f>
        <v>268</v>
      </c>
      <c r="CI103" s="507">
        <f>INPUT!EF84</f>
        <v>4.2801556420233533</v>
      </c>
      <c r="CJ103" s="151">
        <f>INPUT!EG84</f>
        <v>256</v>
      </c>
      <c r="CK103" s="507">
        <f>INPUT!EH84</f>
        <v>1.5873015873015817</v>
      </c>
      <c r="CL103" s="151">
        <f>INPUT!EI84</f>
        <v>256</v>
      </c>
      <c r="CM103" s="507">
        <f>INPUT!EJ84</f>
        <v>1.9920318725099584</v>
      </c>
      <c r="CN103" s="151">
        <f>INPUT!EK84</f>
        <v>263</v>
      </c>
      <c r="CO103" s="507">
        <f>INPUT!EL84</f>
        <v>1.9379844961240345</v>
      </c>
      <c r="CP103" s="151">
        <f>INPUT!EM84</f>
        <v>260</v>
      </c>
      <c r="CQ103" s="507">
        <f>INPUT!EN84</f>
        <v>-2.9850746268656692</v>
      </c>
      <c r="CR103" s="151">
        <f>INPUT!EO84</f>
        <v>258</v>
      </c>
      <c r="CS103" s="507">
        <f>INPUT!EP84</f>
        <v>0.78125</v>
      </c>
      <c r="CT103" s="151">
        <f>INPUT!EQ84</f>
        <v>262.71328042364138</v>
      </c>
      <c r="CU103" s="507">
        <f>INPUT!ER84</f>
        <v>2.6223751654849137</v>
      </c>
      <c r="CV103" s="151">
        <f>INPUT!ES84</f>
        <v>262.23907313348815</v>
      </c>
      <c r="CW103" s="507">
        <f>INPUT!ET84</f>
        <v>-0.28932580475735659</v>
      </c>
      <c r="CX103" s="151">
        <f>INPUT!EU84</f>
        <v>264.76001405758137</v>
      </c>
      <c r="CY103" s="507">
        <f>INPUT!EV84</f>
        <v>1.8307746375312961</v>
      </c>
      <c r="CZ103" s="151">
        <f>INPUT!EW84</f>
        <v>267.76871993731038</v>
      </c>
      <c r="DA103" s="507">
        <f>INPUT!EX84</f>
        <v>3.7863255570970367</v>
      </c>
      <c r="DB103" s="507"/>
      <c r="DC103" s="151">
        <f>INPUT!FP84</f>
        <v>613.9</v>
      </c>
      <c r="DD103" s="687">
        <f>INPUT!FQ84</f>
        <v>-7.6842105263157929</v>
      </c>
      <c r="DE103" s="151">
        <f>INPUT!FR84</f>
        <v>1038.7</v>
      </c>
      <c r="DF103" s="687">
        <f>INPUT!FS84</f>
        <v>69.196937611988929</v>
      </c>
      <c r="DG103" s="151">
        <f>INPUT!FT84</f>
        <v>1031.8</v>
      </c>
      <c r="DH103" s="687">
        <f>INPUT!FU84</f>
        <v>-0.66429190334071908</v>
      </c>
      <c r="DI103" s="151">
        <f>INPUT!FV84</f>
        <v>971.7</v>
      </c>
      <c r="DJ103" s="687">
        <f>INPUT!FW84</f>
        <v>-5.8247722426826858</v>
      </c>
      <c r="DK103" s="151">
        <f>INPUT!FX84</f>
        <v>1037</v>
      </c>
      <c r="DL103" s="507">
        <f>INPUT!FY84</f>
        <v>6.7201811258618793</v>
      </c>
      <c r="DM103" s="151">
        <f>INPUT!FZ84</f>
        <v>1119.3</v>
      </c>
      <c r="DN103" s="507">
        <f>INPUT!GA84</f>
        <v>7.9363548698167641</v>
      </c>
      <c r="DO103" s="151">
        <f>INPUT!GB84</f>
        <v>1106.6999999999998</v>
      </c>
      <c r="DP103" s="507">
        <f>INPUT!GC84</f>
        <v>-1.1257035647279645</v>
      </c>
      <c r="DQ103" s="151">
        <f>INPUT!GD84</f>
        <v>1082</v>
      </c>
      <c r="DR103" s="507">
        <f>INPUT!GE84</f>
        <v>-2.2318604861299218</v>
      </c>
      <c r="DS103" s="151">
        <f>INPUT!GF84</f>
        <v>1044</v>
      </c>
      <c r="DT103" s="507">
        <f>INPUT!GG84</f>
        <v>-3.512014787430684</v>
      </c>
      <c r="DU103" s="151">
        <f>INPUT!GH84</f>
        <v>1034</v>
      </c>
      <c r="DV103" s="507">
        <f>INPUT!GI84</f>
        <v>-0.95785440613026518</v>
      </c>
      <c r="DW103" s="151">
        <f>INPUT!GJ84</f>
        <v>1003</v>
      </c>
      <c r="DX103" s="507">
        <f>INPUT!GK84</f>
        <v>-2.9980657640232056</v>
      </c>
      <c r="DY103" s="151">
        <f>INPUT!GL84</f>
        <v>1033</v>
      </c>
      <c r="DZ103" s="507">
        <f>INPUT!GM84</f>
        <v>2.9910269192422678</v>
      </c>
      <c r="EA103" s="151">
        <f>INPUT!GN84</f>
        <v>1037</v>
      </c>
      <c r="EB103" s="507">
        <f>INPUT!GO84</f>
        <v>0.38722168441431837</v>
      </c>
      <c r="EC103" s="151">
        <f>INPUT!GP84</f>
        <v>1057.4810875520213</v>
      </c>
      <c r="ED103" s="507">
        <f>INPUT!GQ84</f>
        <v>1.9750325508217204</v>
      </c>
      <c r="EE103" s="151">
        <f>INPUT!GR84</f>
        <v>1097.0654515564615</v>
      </c>
      <c r="EF103" s="507">
        <f>INPUT!GS84</f>
        <v>3.7432692149676816</v>
      </c>
      <c r="EG103" s="151">
        <f>INPUT!GT84</f>
        <v>1160.5989926641116</v>
      </c>
      <c r="EH103" s="507">
        <f>INPUT!GU84</f>
        <v>5.7912261312679014</v>
      </c>
      <c r="EI103" s="151">
        <f>INPUT!GV84</f>
        <v>1233.6217514572686</v>
      </c>
      <c r="EJ103" s="507">
        <f>INPUT!GW84</f>
        <v>6.2918164891334172</v>
      </c>
      <c r="EK103" s="151">
        <f>INPUT!GX84</f>
        <v>1317.4143245074956</v>
      </c>
      <c r="EL103" s="507">
        <f>INPUT!GY84</f>
        <v>6.7924039886005039</v>
      </c>
      <c r="EM103" s="257">
        <f>INPUT!GZ84</f>
        <v>4.903197278283189</v>
      </c>
    </row>
    <row r="104" spans="1:143" ht="12.75" hidden="1" customHeight="1" outlineLevel="1" x14ac:dyDescent="0.2">
      <c r="A104" s="701" t="str">
        <f>INPUT!B86</f>
        <v xml:space="preserve"> Total Revenues</v>
      </c>
      <c r="B104" s="151">
        <f>INPUT!AY86</f>
        <v>374.8</v>
      </c>
      <c r="C104" s="507">
        <f>INPUT!AZ86</f>
        <v>10.300176574455566</v>
      </c>
      <c r="D104" s="151">
        <f>INPUT!BA86</f>
        <v>552.6</v>
      </c>
      <c r="E104" s="687">
        <f>INPUT!BB86</f>
        <v>58.701895462377962</v>
      </c>
      <c r="F104" s="151">
        <f>INPUT!BC86</f>
        <v>596.5</v>
      </c>
      <c r="G104" s="687">
        <f>INPUT!BD86</f>
        <v>64.597130242825614</v>
      </c>
      <c r="H104" s="151">
        <f>INPUT!BE86</f>
        <v>637.29999999999995</v>
      </c>
      <c r="I104" s="687">
        <f>INPUT!BF86</f>
        <v>71.271163665681243</v>
      </c>
      <c r="J104" s="151">
        <f>INPUT!BG86</f>
        <v>590.4</v>
      </c>
      <c r="K104" s="687">
        <f>INPUT!BH86</f>
        <v>57.524012806830306</v>
      </c>
      <c r="L104" s="151">
        <f>INPUT!BI86</f>
        <v>623.70000000000005</v>
      </c>
      <c r="M104" s="687">
        <f>INPUT!BJ86</f>
        <v>12.866449511400656</v>
      </c>
      <c r="N104" s="151">
        <f>INPUT!BK86</f>
        <v>647</v>
      </c>
      <c r="O104" s="687">
        <f>INPUT!BL86</f>
        <v>8.4660519698239725</v>
      </c>
      <c r="P104" s="151">
        <f>INPUT!BM86</f>
        <v>672.3</v>
      </c>
      <c r="Q104" s="687">
        <f>INPUT!BN86</f>
        <v>5.4919190334222545</v>
      </c>
      <c r="R104" s="151">
        <f>INPUT!BO86</f>
        <v>622.6</v>
      </c>
      <c r="S104" s="687">
        <f>INPUT!BP86</f>
        <v>5.453929539295399</v>
      </c>
      <c r="T104" s="151">
        <f>INPUT!BQ86</f>
        <v>618.70000000000005</v>
      </c>
      <c r="U104" s="687">
        <f>INPUT!BR86</f>
        <v>-0.80166746833413294</v>
      </c>
      <c r="V104" s="151">
        <f>INPUT!BS86</f>
        <v>675.2</v>
      </c>
      <c r="W104" s="687">
        <f>INPUT!BT86</f>
        <v>4.3585780525502438</v>
      </c>
      <c r="X104" s="151">
        <f>INPUT!BU86</f>
        <v>567.29999999999995</v>
      </c>
      <c r="Y104" s="687">
        <f>INPUT!BV86</f>
        <v>-15.618027666220435</v>
      </c>
      <c r="Z104" s="151">
        <f>INPUT!BW86</f>
        <v>521.70000000000005</v>
      </c>
      <c r="AA104" s="122">
        <f>INPUT!BX86</f>
        <v>-16.206231930613558</v>
      </c>
      <c r="AB104" s="151">
        <f>INPUT!BY86</f>
        <v>552.5</v>
      </c>
      <c r="AC104" s="687">
        <f>INPUT!BZ86</f>
        <v>-10.699854533699703</v>
      </c>
      <c r="AD104" s="151">
        <f>INPUT!CA86</f>
        <v>598.20000000000005</v>
      </c>
      <c r="AE104" s="687">
        <f>INPUT!CB86</f>
        <v>-11.404028436018955</v>
      </c>
      <c r="AF104" s="151">
        <f>INPUT!CC86</f>
        <v>628.9</v>
      </c>
      <c r="AG104" s="687">
        <f>INPUT!CD86</f>
        <v>10.858452317997536</v>
      </c>
      <c r="AH104" s="151">
        <f>INPUT!CE86</f>
        <v>629.9</v>
      </c>
      <c r="AI104" s="507">
        <f>INPUT!CF86</f>
        <v>20.739888824995202</v>
      </c>
      <c r="AJ104" s="151">
        <f>INPUT!CG86</f>
        <v>644.6</v>
      </c>
      <c r="AK104" s="507">
        <f>INPUT!CH86</f>
        <v>16.669683257918557</v>
      </c>
      <c r="AL104" s="151">
        <f>INPUT!CI86</f>
        <v>660.3</v>
      </c>
      <c r="AM104" s="507">
        <f>INPUT!CJ86</f>
        <v>10.381143430290862</v>
      </c>
      <c r="AN104" s="151">
        <f>INPUT!CK86</f>
        <v>719.9</v>
      </c>
      <c r="AO104" s="507">
        <f>INPUT!CL86</f>
        <v>14.469709015741783</v>
      </c>
      <c r="AP104" s="151">
        <f>INPUT!CM86</f>
        <v>733.2</v>
      </c>
      <c r="AQ104" s="507">
        <f>INPUT!CN86</f>
        <v>16.399428480711229</v>
      </c>
      <c r="AR104" s="151">
        <f>INPUT!CO86</f>
        <v>734.8</v>
      </c>
      <c r="AS104" s="507">
        <f>INPUT!CP86</f>
        <v>13.993174061433432</v>
      </c>
      <c r="AT104" s="151">
        <f>INPUT!CQ86</f>
        <v>711</v>
      </c>
      <c r="AU104" s="507">
        <f>INPUT!CR86</f>
        <v>7.6783280327124004</v>
      </c>
      <c r="AV104" s="151">
        <f>INPUT!CS86</f>
        <v>692</v>
      </c>
      <c r="AW104" s="507">
        <f>INPUT!CT86</f>
        <v>-3.8755382692040485</v>
      </c>
      <c r="AX104" s="151">
        <f>INPUT!CU86</f>
        <v>731</v>
      </c>
      <c r="AY104" s="507">
        <f>INPUT!CV86</f>
        <v>-0.30005455537370773</v>
      </c>
      <c r="AZ104" s="151">
        <f>INPUT!CW86</f>
        <v>734</v>
      </c>
      <c r="BA104" s="507">
        <f>INPUT!CX86</f>
        <v>-0.10887316276537717</v>
      </c>
      <c r="BB104" s="151">
        <f>INPUT!CY86</f>
        <v>745</v>
      </c>
      <c r="BC104" s="507">
        <f>INPUT!CZ86</f>
        <v>4.7819971870604716</v>
      </c>
      <c r="BD104" s="151">
        <f>INPUT!DA86</f>
        <v>766</v>
      </c>
      <c r="BE104" s="507">
        <f>INPUT!DB86</f>
        <v>10.693641618497107</v>
      </c>
      <c r="BF104" s="151">
        <f>INPUT!DC86</f>
        <v>777</v>
      </c>
      <c r="BG104" s="507">
        <f>INPUT!DD86</f>
        <v>6.2927496580027276</v>
      </c>
      <c r="BH104" s="151">
        <f>INPUT!DE86</f>
        <v>817</v>
      </c>
      <c r="BI104" s="507">
        <f>INPUT!DF86</f>
        <v>11.307901907356953</v>
      </c>
      <c r="BJ104" s="151">
        <f>INPUT!DG86</f>
        <v>842</v>
      </c>
      <c r="BK104" s="507">
        <f>INPUT!DH86</f>
        <v>13.02013422818793</v>
      </c>
      <c r="BL104" s="151">
        <f>INPUT!DI86</f>
        <v>886</v>
      </c>
      <c r="BM104" s="507">
        <f>INPUT!DJ86</f>
        <v>15.665796344647509</v>
      </c>
      <c r="BN104" s="151">
        <f>INPUT!DK86</f>
        <v>909</v>
      </c>
      <c r="BO104" s="507">
        <f>INPUT!DL86</f>
        <v>16.988416988417001</v>
      </c>
      <c r="BP104" s="151">
        <f>INPUT!DM86</f>
        <v>926</v>
      </c>
      <c r="BQ104" s="507">
        <f>INPUT!DN86</f>
        <v>13.341493268053849</v>
      </c>
      <c r="BR104" s="151">
        <f>INPUT!DO86</f>
        <v>944</v>
      </c>
      <c r="BS104" s="507">
        <f>INPUT!DP86</f>
        <v>12.11401425178147</v>
      </c>
      <c r="BT104" s="151">
        <f>INPUT!DQ86</f>
        <v>966</v>
      </c>
      <c r="BU104" s="507">
        <f>INPUT!DR86</f>
        <v>9.0293453724604955</v>
      </c>
      <c r="BV104" s="151">
        <f>INPUT!DS86</f>
        <v>989</v>
      </c>
      <c r="BW104" s="507">
        <f>INPUT!DT86</f>
        <v>8.8008800880088103</v>
      </c>
      <c r="BX104" s="151">
        <f>INPUT!DU86</f>
        <v>991</v>
      </c>
      <c r="BY104" s="507">
        <f>INPUT!DV86</f>
        <v>7.0194384449244085</v>
      </c>
      <c r="BZ104" s="151">
        <f>INPUT!DW86</f>
        <v>1060</v>
      </c>
      <c r="CA104" s="507">
        <f>INPUT!DX86</f>
        <v>1060</v>
      </c>
      <c r="CB104" s="151">
        <f>INPUT!DY86</f>
        <v>1079</v>
      </c>
      <c r="CC104" s="507">
        <f>INPUT!DZ86</f>
        <v>11.697722567287784</v>
      </c>
      <c r="CD104" s="151">
        <f>INPUT!EA86</f>
        <v>1039</v>
      </c>
      <c r="CE104" s="507">
        <f>INPUT!EB86</f>
        <v>5.0556117290192049</v>
      </c>
      <c r="CF104" s="151">
        <f>INPUT!EC86</f>
        <v>983</v>
      </c>
      <c r="CG104" s="507">
        <f>INPUT!ED86</f>
        <v>-0.80726538849646978</v>
      </c>
      <c r="CH104" s="151">
        <f>INPUT!EE86</f>
        <v>1000</v>
      </c>
      <c r="CI104" s="507">
        <f>INPUT!EF86</f>
        <v>-5.6603773584905648</v>
      </c>
      <c r="CJ104" s="151">
        <f>INPUT!EG86</f>
        <v>1011</v>
      </c>
      <c r="CK104" s="507">
        <f>INPUT!EH86</f>
        <v>-6.3021316033364254</v>
      </c>
      <c r="CL104" s="151">
        <f>INPUT!EI86</f>
        <v>1061</v>
      </c>
      <c r="CM104" s="507">
        <f>INPUT!EJ86</f>
        <v>2.117420596727615</v>
      </c>
      <c r="CN104" s="151">
        <f>INPUT!EK86</f>
        <v>1076</v>
      </c>
      <c r="CO104" s="507">
        <f>INPUT!EL86</f>
        <v>9.4608341810783259</v>
      </c>
      <c r="CP104" s="151">
        <f>INPUT!EM86</f>
        <v>1073</v>
      </c>
      <c r="CQ104" s="507">
        <f>INPUT!EN86</f>
        <v>7.2999999999999954</v>
      </c>
      <c r="CR104" s="151">
        <f>INPUT!EO86</f>
        <v>1167</v>
      </c>
      <c r="CS104" s="507">
        <f>INPUT!EP86</f>
        <v>15.43026706231454</v>
      </c>
      <c r="CT104" s="151">
        <f>INPUT!EQ86</f>
        <v>1108.8556572253697</v>
      </c>
      <c r="CU104" s="507">
        <f>INPUT!ER86</f>
        <v>4.5104295217125001</v>
      </c>
      <c r="CV104" s="151">
        <f>INPUT!ES86</f>
        <v>1109.1290153458347</v>
      </c>
      <c r="CW104" s="507">
        <f>INPUT!ET86</f>
        <v>3.0789047719177232</v>
      </c>
      <c r="CX104" s="151">
        <f>INPUT!EU86</f>
        <v>1124.3599298344725</v>
      </c>
      <c r="CY104" s="507">
        <f>INPUT!EV86</f>
        <v>4.7865731439396653</v>
      </c>
      <c r="CZ104" s="151">
        <f>INPUT!EW86</f>
        <v>1141.7909094075442</v>
      </c>
      <c r="DA104" s="507">
        <f>INPUT!EX86</f>
        <v>-2.1601620044949255</v>
      </c>
      <c r="DB104" s="507"/>
      <c r="DC104" s="151">
        <f>INPUT!FP86</f>
        <v>1422.5</v>
      </c>
      <c r="DD104" s="687">
        <f>INPUT!FQ86</f>
        <v>6.5543071161048738</v>
      </c>
      <c r="DE104" s="151">
        <f>INPUT!FR86</f>
        <v>2161.1999999999998</v>
      </c>
      <c r="DF104" s="687">
        <f>INPUT!FS86</f>
        <v>51.929701230228467</v>
      </c>
      <c r="DG104" s="151">
        <f>INPUT!FT86</f>
        <v>2533.3999999999996</v>
      </c>
      <c r="DH104" s="687">
        <f>INPUT!FU86</f>
        <v>17.221913751619454</v>
      </c>
      <c r="DI104" s="151">
        <f>INPUT!FV86</f>
        <v>2483.8000000000002</v>
      </c>
      <c r="DJ104" s="687">
        <f>INPUT!FW86</f>
        <v>-1.9578432146522218</v>
      </c>
      <c r="DK104" s="151">
        <f>INPUT!FX86</f>
        <v>2301.3000000000002</v>
      </c>
      <c r="DL104" s="507">
        <f>INPUT!FY86</f>
        <v>-7.3476125291891403</v>
      </c>
      <c r="DM104" s="151">
        <f>INPUT!FZ86</f>
        <v>2654.7</v>
      </c>
      <c r="DN104" s="507">
        <f>INPUT!GA86</f>
        <v>15.356537609177412</v>
      </c>
      <c r="DO104" s="151">
        <f>INPUT!GB86</f>
        <v>2871</v>
      </c>
      <c r="DP104" s="507">
        <f>INPUT!GC86</f>
        <v>8.1478133122386822</v>
      </c>
      <c r="DQ104" s="151">
        <f>INPUT!GD86</f>
        <v>2976</v>
      </c>
      <c r="DR104" s="507">
        <f>INPUT!GE86</f>
        <v>3.6572622779519337</v>
      </c>
      <c r="DS104" s="151">
        <f>INPUT!GF86</f>
        <v>3322</v>
      </c>
      <c r="DT104" s="507">
        <f>INPUT!GG86</f>
        <v>11.626344086021501</v>
      </c>
      <c r="DU104" s="151">
        <f>INPUT!GH86</f>
        <v>3745</v>
      </c>
      <c r="DV104" s="507">
        <f>INPUT!GI86</f>
        <v>12.733293196869354</v>
      </c>
      <c r="DW104" s="151">
        <f>INPUT!GJ86</f>
        <v>4119</v>
      </c>
      <c r="DX104" s="507">
        <f>INPUT!GK86</f>
        <v>9.9866488651535477</v>
      </c>
      <c r="DY104" s="151">
        <f>INPUT!GL86</f>
        <v>4033</v>
      </c>
      <c r="DZ104" s="507">
        <f>INPUT!GM86</f>
        <v>-2.0878854090798704</v>
      </c>
      <c r="EA104" s="151">
        <f>INPUT!GN86</f>
        <v>4377</v>
      </c>
      <c r="EB104" s="507">
        <f>INPUT!GO86</f>
        <v>8.5296305479791723</v>
      </c>
      <c r="EC104" s="151">
        <f>INPUT!GP86</f>
        <v>4484.1355118132205</v>
      </c>
      <c r="ED104" s="507">
        <f>INPUT!GQ86</f>
        <v>2.4476927533292336</v>
      </c>
      <c r="EE104" s="151">
        <f>INPUT!GR86</f>
        <v>4717.0361734713788</v>
      </c>
      <c r="EF104" s="507">
        <f>INPUT!GS86</f>
        <v>5.1938809842966061</v>
      </c>
      <c r="EG104" s="151">
        <f>INPUT!GT86</f>
        <v>4996.6166892141428</v>
      </c>
      <c r="EH104" s="507">
        <f>INPUT!GU86</f>
        <v>5.9270377724708778</v>
      </c>
      <c r="EI104" s="151">
        <f>INPUT!GV86</f>
        <v>5311.1426918148591</v>
      </c>
      <c r="EJ104" s="507">
        <f>INPUT!GW86</f>
        <v>6.2947794910836796</v>
      </c>
      <c r="EK104" s="151">
        <f>INPUT!GX86</f>
        <v>5665.5573473841541</v>
      </c>
      <c r="EL104" s="507">
        <f>INPUT!GY86</f>
        <v>6.6730396100163736</v>
      </c>
      <c r="EM104" s="257">
        <f>INPUT!GZ86</f>
        <v>5.2963261477205092</v>
      </c>
    </row>
    <row r="105" spans="1:143" ht="12.75" hidden="1" customHeight="1" outlineLevel="1" x14ac:dyDescent="0.2">
      <c r="A105" s="689"/>
      <c r="B105" s="16"/>
      <c r="C105" s="507"/>
      <c r="D105" s="16"/>
      <c r="E105" s="687"/>
      <c r="F105" s="16"/>
      <c r="G105" s="687"/>
      <c r="H105" s="16"/>
      <c r="I105" s="687"/>
      <c r="J105" s="16"/>
      <c r="K105" s="507"/>
      <c r="L105" s="16"/>
      <c r="M105" s="507"/>
      <c r="N105" s="16"/>
      <c r="O105" s="507"/>
      <c r="P105" s="16"/>
      <c r="Q105" s="507"/>
      <c r="R105" s="16"/>
      <c r="S105" s="507"/>
      <c r="T105" s="16"/>
      <c r="U105" s="507"/>
      <c r="V105" s="16"/>
      <c r="W105" s="507"/>
      <c r="X105" s="16"/>
      <c r="Y105" s="507"/>
      <c r="Z105" s="16"/>
      <c r="AA105" s="122"/>
      <c r="AB105" s="16"/>
      <c r="AC105" s="507"/>
      <c r="AD105" s="16"/>
      <c r="AE105" s="507"/>
      <c r="AF105" s="16"/>
      <c r="AG105" s="507"/>
      <c r="AH105" s="16"/>
      <c r="AI105" s="507"/>
      <c r="AJ105" s="16"/>
      <c r="AK105" s="507"/>
      <c r="AL105" s="16"/>
      <c r="AM105" s="507"/>
      <c r="AN105" s="16"/>
      <c r="AO105" s="507"/>
      <c r="AP105" s="16"/>
      <c r="AQ105" s="507"/>
      <c r="AR105" s="16"/>
      <c r="AS105" s="507"/>
      <c r="AT105" s="16"/>
      <c r="AU105" s="507"/>
      <c r="AV105" s="16"/>
      <c r="AW105" s="507"/>
      <c r="AX105" s="16"/>
      <c r="AY105" s="507"/>
      <c r="AZ105" s="16"/>
      <c r="BA105" s="507"/>
      <c r="BB105" s="16"/>
      <c r="BC105" s="507"/>
      <c r="BD105" s="16"/>
      <c r="BE105" s="507"/>
      <c r="BF105" s="16"/>
      <c r="BG105" s="507"/>
      <c r="BH105" s="16"/>
      <c r="BI105" s="507"/>
      <c r="BJ105" s="16"/>
      <c r="BK105" s="507"/>
      <c r="BL105" s="16"/>
      <c r="BM105" s="507"/>
      <c r="BN105" s="16"/>
      <c r="BO105" s="507"/>
      <c r="BP105" s="16"/>
      <c r="BQ105" s="507"/>
      <c r="BR105" s="16"/>
      <c r="BS105" s="507"/>
      <c r="BT105" s="16"/>
      <c r="BU105" s="507"/>
      <c r="BV105" s="16"/>
      <c r="BW105" s="507"/>
      <c r="BX105" s="16"/>
      <c r="BY105" s="507"/>
      <c r="BZ105" s="16"/>
      <c r="CA105" s="507"/>
      <c r="CB105" s="16"/>
      <c r="CC105" s="507"/>
      <c r="CD105" s="16"/>
      <c r="CE105" s="507"/>
      <c r="CF105" s="16"/>
      <c r="CG105" s="507"/>
      <c r="CH105" s="16"/>
      <c r="CI105" s="507"/>
      <c r="CJ105" s="16"/>
      <c r="CK105" s="507"/>
      <c r="CL105" s="16"/>
      <c r="CM105" s="507"/>
      <c r="CN105" s="16"/>
      <c r="CO105" s="507"/>
      <c r="CP105" s="16"/>
      <c r="CQ105" s="507"/>
      <c r="CR105" s="16"/>
      <c r="CS105" s="507"/>
      <c r="CT105" s="16"/>
      <c r="CU105" s="507"/>
      <c r="CV105" s="16"/>
      <c r="CW105" s="507"/>
      <c r="CX105" s="16"/>
      <c r="CY105" s="507"/>
      <c r="CZ105" s="16"/>
      <c r="DA105" s="507"/>
      <c r="DB105" s="507"/>
      <c r="DC105" s="16"/>
      <c r="DD105" s="507"/>
      <c r="DE105" s="16"/>
      <c r="DF105" s="507"/>
      <c r="DG105" s="16"/>
      <c r="DH105" s="507"/>
      <c r="DI105" s="16"/>
      <c r="DJ105" s="507"/>
      <c r="DK105" s="16"/>
      <c r="DL105" s="507"/>
      <c r="DM105" s="16"/>
      <c r="DN105" s="507"/>
      <c r="DO105" s="16"/>
      <c r="DP105" s="507"/>
      <c r="DQ105" s="16"/>
      <c r="DR105" s="507"/>
      <c r="DS105" s="16"/>
      <c r="DT105" s="507"/>
      <c r="DU105" s="16"/>
      <c r="DV105" s="507"/>
      <c r="DW105" s="16"/>
      <c r="DX105" s="507"/>
      <c r="DY105" s="16"/>
      <c r="DZ105" s="507"/>
      <c r="EA105" s="16"/>
      <c r="EB105" s="507"/>
      <c r="EC105" s="16"/>
      <c r="ED105" s="507"/>
      <c r="EE105" s="16"/>
      <c r="EF105" s="507"/>
      <c r="EG105" s="16"/>
      <c r="EH105" s="507"/>
      <c r="EI105" s="16"/>
      <c r="EJ105" s="507"/>
      <c r="EK105" s="16"/>
      <c r="EL105" s="507"/>
      <c r="EM105" s="687"/>
    </row>
    <row r="106" spans="1:143" ht="12.75" hidden="1" customHeight="1" outlineLevel="1" x14ac:dyDescent="0.2">
      <c r="A106" s="700" t="s">
        <v>113</v>
      </c>
      <c r="B106" s="16"/>
      <c r="C106" s="507"/>
      <c r="D106" s="16"/>
      <c r="E106" s="687"/>
      <c r="F106" s="16"/>
      <c r="G106" s="687"/>
      <c r="H106" s="16"/>
      <c r="I106" s="687"/>
      <c r="J106" s="16"/>
      <c r="K106" s="507"/>
      <c r="L106" s="16"/>
      <c r="M106" s="507"/>
      <c r="N106" s="16"/>
      <c r="O106" s="507"/>
      <c r="P106" s="16"/>
      <c r="Q106" s="507"/>
      <c r="R106" s="16"/>
      <c r="S106" s="507"/>
      <c r="T106" s="16"/>
      <c r="U106" s="507"/>
      <c r="V106" s="16"/>
      <c r="W106" s="507"/>
      <c r="X106" s="16"/>
      <c r="Y106" s="507"/>
      <c r="Z106" s="16"/>
      <c r="AA106" s="122"/>
      <c r="AB106" s="16"/>
      <c r="AC106" s="507"/>
      <c r="AD106" s="16"/>
      <c r="AE106" s="507"/>
      <c r="AF106" s="16"/>
      <c r="AG106" s="507"/>
      <c r="AH106" s="16"/>
      <c r="AI106" s="507"/>
      <c r="AJ106" s="16"/>
      <c r="AK106" s="507"/>
      <c r="AL106" s="16"/>
      <c r="AM106" s="507"/>
      <c r="AN106" s="16"/>
      <c r="AO106" s="507"/>
      <c r="AP106" s="16"/>
      <c r="AQ106" s="507"/>
      <c r="AR106" s="16"/>
      <c r="AS106" s="507"/>
      <c r="AT106" s="16"/>
      <c r="AU106" s="507"/>
      <c r="AV106" s="16"/>
      <c r="AW106" s="507"/>
      <c r="AX106" s="16"/>
      <c r="AY106" s="507"/>
      <c r="AZ106" s="16"/>
      <c r="BA106" s="507"/>
      <c r="BB106" s="16"/>
      <c r="BC106" s="507"/>
      <c r="BD106" s="16"/>
      <c r="BE106" s="507"/>
      <c r="BF106" s="16"/>
      <c r="BG106" s="507"/>
      <c r="BH106" s="16"/>
      <c r="BI106" s="507"/>
      <c r="BJ106" s="16"/>
      <c r="BK106" s="507"/>
      <c r="BL106" s="16"/>
      <c r="BM106" s="507"/>
      <c r="BN106" s="16"/>
      <c r="BO106" s="507"/>
      <c r="BP106" s="16"/>
      <c r="BQ106" s="507"/>
      <c r="BR106" s="16"/>
      <c r="BS106" s="507"/>
      <c r="BT106" s="16"/>
      <c r="BU106" s="507"/>
      <c r="BV106" s="16"/>
      <c r="BW106" s="507"/>
      <c r="BX106" s="16"/>
      <c r="BY106" s="507"/>
      <c r="BZ106" s="16"/>
      <c r="CA106" s="507"/>
      <c r="CB106" s="16"/>
      <c r="CC106" s="507"/>
      <c r="CD106" s="16"/>
      <c r="CE106" s="507"/>
      <c r="CF106" s="16"/>
      <c r="CG106" s="507"/>
      <c r="CH106" s="16"/>
      <c r="CI106" s="507"/>
      <c r="CJ106" s="16"/>
      <c r="CK106" s="507"/>
      <c r="CL106" s="16"/>
      <c r="CM106" s="507"/>
      <c r="CN106" s="16"/>
      <c r="CO106" s="507"/>
      <c r="CP106" s="16"/>
      <c r="CQ106" s="507"/>
      <c r="CR106" s="16"/>
      <c r="CS106" s="507"/>
      <c r="CT106" s="16"/>
      <c r="CU106" s="507"/>
      <c r="CV106" s="16"/>
      <c r="CW106" s="507"/>
      <c r="CX106" s="16"/>
      <c r="CY106" s="507"/>
      <c r="CZ106" s="16"/>
      <c r="DA106" s="507"/>
      <c r="DB106" s="507"/>
      <c r="DC106" s="16"/>
      <c r="DD106" s="507"/>
      <c r="DE106" s="16"/>
      <c r="DF106" s="507"/>
      <c r="DG106" s="16"/>
      <c r="DH106" s="507"/>
      <c r="DI106" s="16"/>
      <c r="DJ106" s="507"/>
      <c r="DK106" s="16"/>
      <c r="DL106" s="507"/>
      <c r="DM106" s="16"/>
      <c r="DN106" s="507"/>
      <c r="DO106" s="16"/>
      <c r="DP106" s="507"/>
      <c r="DQ106" s="16"/>
      <c r="DR106" s="507"/>
      <c r="DS106" s="16"/>
      <c r="DT106" s="507"/>
      <c r="DU106" s="16"/>
      <c r="DV106" s="507"/>
      <c r="DW106" s="16"/>
      <c r="DX106" s="507"/>
      <c r="DY106" s="16"/>
      <c r="DZ106" s="507"/>
      <c r="EA106" s="16"/>
      <c r="EB106" s="507"/>
      <c r="EC106" s="16"/>
      <c r="ED106" s="507"/>
      <c r="EE106" s="16"/>
      <c r="EF106" s="507"/>
      <c r="EG106" s="16"/>
      <c r="EH106" s="507"/>
      <c r="EI106" s="16"/>
      <c r="EJ106" s="507"/>
      <c r="EK106" s="16"/>
      <c r="EL106" s="507"/>
      <c r="EM106" s="687"/>
    </row>
    <row r="107" spans="1:143" ht="12.75" hidden="1" customHeight="1" outlineLevel="1" x14ac:dyDescent="0.2">
      <c r="A107" s="701" t="str">
        <f>INPUT!B101</f>
        <v>Benefits</v>
      </c>
      <c r="B107" s="151">
        <f>INPUT!AY101</f>
        <v>20.399999999999999</v>
      </c>
      <c r="C107" s="507">
        <f>INPUT!AZ101</f>
        <v>-3.7735849056603765</v>
      </c>
      <c r="D107" s="151">
        <f>INPUT!BA101</f>
        <v>45.3</v>
      </c>
      <c r="E107" s="687">
        <f>INPUT!BB101</f>
        <v>44.267515923566883</v>
      </c>
      <c r="F107" s="151">
        <f>INPUT!BC101</f>
        <v>27.4</v>
      </c>
      <c r="G107" s="687">
        <f>INPUT!BD101</f>
        <v>33.658536585365837</v>
      </c>
      <c r="H107" s="151">
        <f>INPUT!BE101</f>
        <v>11.7</v>
      </c>
      <c r="I107" s="687">
        <f>INPUT!BF101</f>
        <v>-44.811320754716988</v>
      </c>
      <c r="J107" s="151">
        <f>INPUT!BG101</f>
        <v>25.4</v>
      </c>
      <c r="K107" s="687">
        <f>INPUT!BH101</f>
        <v>24.509803921568629</v>
      </c>
      <c r="L107" s="151">
        <f>INPUT!BI101</f>
        <v>26.6</v>
      </c>
      <c r="M107" s="687">
        <f>INPUT!BJ101</f>
        <v>-41.280353200882992</v>
      </c>
      <c r="N107" s="151">
        <f>INPUT!BK101</f>
        <v>56.3</v>
      </c>
      <c r="O107" s="687" t="str">
        <f>INPUT!BL101</f>
        <v>NM</v>
      </c>
      <c r="P107" s="151">
        <f>INPUT!BM101</f>
        <v>62</v>
      </c>
      <c r="Q107" s="687" t="str">
        <f>INPUT!BN101</f>
        <v>NM</v>
      </c>
      <c r="R107" s="151">
        <f>INPUT!BO101</f>
        <v>51.3</v>
      </c>
      <c r="S107" s="687" t="str">
        <f>INPUT!BP101</f>
        <v>NM</v>
      </c>
      <c r="T107" s="151">
        <f>INPUT!BQ101</f>
        <v>35.200000000000003</v>
      </c>
      <c r="U107" s="687">
        <f>INPUT!BR101</f>
        <v>32.330827067669162</v>
      </c>
      <c r="V107" s="151">
        <f>INPUT!BS101</f>
        <v>112.9</v>
      </c>
      <c r="W107" s="687" t="str">
        <f>INPUT!BT101</f>
        <v>NM</v>
      </c>
      <c r="X107" s="151">
        <f>INPUT!BU101</f>
        <v>81.599999999999994</v>
      </c>
      <c r="Y107" s="687">
        <f>INPUT!BV101</f>
        <v>31.612903225806434</v>
      </c>
      <c r="Z107" s="151">
        <f>INPUT!BW101</f>
        <v>75.8</v>
      </c>
      <c r="AA107" s="122">
        <f>INPUT!BX101</f>
        <v>47.758284600389864</v>
      </c>
      <c r="AB107" s="151">
        <f>INPUT!BY101</f>
        <v>67</v>
      </c>
      <c r="AC107" s="687">
        <f>INPUT!BZ101</f>
        <v>90.340909090909079</v>
      </c>
      <c r="AD107" s="151">
        <f>INPUT!CA101</f>
        <v>51.5</v>
      </c>
      <c r="AE107" s="687" t="str">
        <f>INPUT!CB101</f>
        <v>NM</v>
      </c>
      <c r="AF107" s="151">
        <f>INPUT!CC101</f>
        <v>47.5</v>
      </c>
      <c r="AG107" s="687">
        <f>INPUT!CD101</f>
        <v>-41.789215686274503</v>
      </c>
      <c r="AH107" s="151">
        <f>INPUT!CE101</f>
        <v>43.8</v>
      </c>
      <c r="AI107" s="507">
        <f>INPUT!CF101</f>
        <v>-42.216358839050137</v>
      </c>
      <c r="AJ107" s="151">
        <f>INPUT!CG101</f>
        <v>40.700000000000003</v>
      </c>
      <c r="AK107" s="507">
        <f>INPUT!CH101</f>
        <v>-39.253731343283583</v>
      </c>
      <c r="AL107" s="151">
        <f>INPUT!CI101</f>
        <v>43</v>
      </c>
      <c r="AM107" s="507">
        <f>INPUT!CJ101</f>
        <v>-16.504854368932044</v>
      </c>
      <c r="AN107" s="151">
        <f>INPUT!CK101</f>
        <v>47.2</v>
      </c>
      <c r="AO107" s="507">
        <f>INPUT!CL101</f>
        <v>-0.63157894736841635</v>
      </c>
      <c r="AP107" s="151">
        <f>INPUT!CM101</f>
        <v>35.4</v>
      </c>
      <c r="AQ107" s="507">
        <f>INPUT!CN101</f>
        <v>-19.17808219178082</v>
      </c>
      <c r="AR107" s="151">
        <f>INPUT!CO101</f>
        <v>42.6</v>
      </c>
      <c r="AS107" s="507">
        <f>INPUT!CP101</f>
        <v>4.668304668304657</v>
      </c>
      <c r="AT107" s="151">
        <f>INPUT!CQ101</f>
        <v>87</v>
      </c>
      <c r="AU107" s="507" t="str">
        <f>INPUT!CR101</f>
        <v>NM</v>
      </c>
      <c r="AV107" s="151">
        <f>INPUT!CS101</f>
        <v>47</v>
      </c>
      <c r="AW107" s="507">
        <f>INPUT!CT101</f>
        <v>-0.42372881355933201</v>
      </c>
      <c r="AX107" s="151">
        <f>INPUT!CU101</f>
        <v>45</v>
      </c>
      <c r="AY107" s="507">
        <f>INPUT!CV101</f>
        <v>27.118644067796605</v>
      </c>
      <c r="AZ107" s="151">
        <f>INPUT!CW101</f>
        <v>49</v>
      </c>
      <c r="BA107" s="507">
        <f>INPUT!CX101</f>
        <v>15.023474178403751</v>
      </c>
      <c r="BB107" s="151">
        <f>INPUT!CY101</f>
        <v>131</v>
      </c>
      <c r="BC107" s="507">
        <f>INPUT!CZ101</f>
        <v>50.574712643678168</v>
      </c>
      <c r="BD107" s="151">
        <f>INPUT!DA101</f>
        <v>55</v>
      </c>
      <c r="BE107" s="507">
        <f>INPUT!DB101</f>
        <v>17.021276595744684</v>
      </c>
      <c r="BF107" s="151">
        <f>INPUT!DC101</f>
        <v>65</v>
      </c>
      <c r="BG107" s="507">
        <f>INPUT!DD101</f>
        <v>44.444444444444443</v>
      </c>
      <c r="BH107" s="151">
        <f>INPUT!DE101</f>
        <v>62</v>
      </c>
      <c r="BI107" s="507">
        <f>INPUT!DF101</f>
        <v>26.530612244897966</v>
      </c>
      <c r="BJ107" s="151">
        <f>INPUT!DG101</f>
        <v>78</v>
      </c>
      <c r="BK107" s="507">
        <f>INPUT!DH101</f>
        <v>-40.458015267175576</v>
      </c>
      <c r="BL107" s="151">
        <f>INPUT!DI101</f>
        <v>68</v>
      </c>
      <c r="BM107" s="507">
        <f>INPUT!DJ101</f>
        <v>23.636363636363633</v>
      </c>
      <c r="BN107" s="151">
        <f>INPUT!DK101</f>
        <v>87</v>
      </c>
      <c r="BO107" s="507">
        <f>INPUT!DL101</f>
        <v>33.84615384615384</v>
      </c>
      <c r="BP107" s="151">
        <f>INPUT!DM101</f>
        <v>80</v>
      </c>
      <c r="BQ107" s="507">
        <f>INPUT!DN101</f>
        <v>29.032258064516125</v>
      </c>
      <c r="BR107" s="151">
        <f>INPUT!DO101</f>
        <v>101</v>
      </c>
      <c r="BS107" s="507">
        <f>INPUT!DP101</f>
        <v>29.487179487179493</v>
      </c>
      <c r="BT107" s="151">
        <f>INPUT!DQ101</f>
        <v>92</v>
      </c>
      <c r="BU107" s="507">
        <f>INPUT!DR101</f>
        <v>35.294117647058833</v>
      </c>
      <c r="BV107" s="151">
        <f>INPUT!DS101</f>
        <v>129</v>
      </c>
      <c r="BW107" s="507">
        <f>INPUT!DT101</f>
        <v>48.275862068965523</v>
      </c>
      <c r="BX107" s="151">
        <f>INPUT!DU101</f>
        <v>90</v>
      </c>
      <c r="BY107" s="507">
        <f>INPUT!DV101</f>
        <v>12.5</v>
      </c>
      <c r="BZ107" s="151">
        <f>INPUT!DW101</f>
        <v>219</v>
      </c>
      <c r="CA107" s="507">
        <f>INPUT!DX101</f>
        <v>90</v>
      </c>
      <c r="CB107" s="151">
        <f>INPUT!DY101</f>
        <v>214</v>
      </c>
      <c r="CC107" s="507" t="str">
        <f>INPUT!DZ101</f>
        <v>NM</v>
      </c>
      <c r="CD107" s="151">
        <f>INPUT!EA101</f>
        <v>216</v>
      </c>
      <c r="CE107" s="507">
        <f>INPUT!EB101</f>
        <v>67.441860465116292</v>
      </c>
      <c r="CF107" s="151">
        <f>INPUT!EC101</f>
        <v>136</v>
      </c>
      <c r="CG107" s="507">
        <f>INPUT!ED101</f>
        <v>51.111111111111107</v>
      </c>
      <c r="CH107" s="151">
        <f>INPUT!EE101</f>
        <v>112</v>
      </c>
      <c r="CI107" s="507">
        <f>INPUT!EF101</f>
        <v>-48.858447488584474</v>
      </c>
      <c r="CJ107" s="151">
        <f>INPUT!EG101</f>
        <v>132</v>
      </c>
      <c r="CK107" s="507">
        <f>INPUT!EH101</f>
        <v>-38.317757009345797</v>
      </c>
      <c r="CL107" s="151">
        <f>INPUT!EI101</f>
        <v>193</v>
      </c>
      <c r="CM107" s="507">
        <f>INPUT!EJ101</f>
        <v>-10.648148148148151</v>
      </c>
      <c r="CN107" s="151">
        <f>INPUT!EK101</f>
        <v>174</v>
      </c>
      <c r="CO107" s="507">
        <f>INPUT!EL101</f>
        <v>27.941176470588225</v>
      </c>
      <c r="CP107" s="151">
        <f>INPUT!EM101</f>
        <v>135</v>
      </c>
      <c r="CQ107" s="507">
        <f>INPUT!EN101</f>
        <v>20.535714285714278</v>
      </c>
      <c r="CR107" s="151">
        <f>INPUT!EO101</f>
        <v>224</v>
      </c>
      <c r="CS107" s="507">
        <f>INPUT!EP101</f>
        <v>69.696969696969703</v>
      </c>
      <c r="CT107" s="151">
        <f>INPUT!EQ101</f>
        <v>173.28822804299011</v>
      </c>
      <c r="CU107" s="507">
        <f>INPUT!ER101</f>
        <v>-10.213353345600973</v>
      </c>
      <c r="CV107" s="151">
        <f>INPUT!ES101</f>
        <v>172.9105733456872</v>
      </c>
      <c r="CW107" s="507">
        <f>INPUT!ET101</f>
        <v>-0.62610727259356791</v>
      </c>
      <c r="CX107" s="151">
        <f>INPUT!EU101</f>
        <v>175.16627136701587</v>
      </c>
      <c r="CY107" s="507">
        <f>INPUT!EV101</f>
        <v>29.752793605196935</v>
      </c>
      <c r="CZ107" s="151">
        <f>INPUT!EW101</f>
        <v>177.75804153300385</v>
      </c>
      <c r="DA107" s="507">
        <f>INPUT!EX101</f>
        <v>-20.643731458480431</v>
      </c>
      <c r="DB107" s="507"/>
      <c r="DC107" s="151">
        <f>INPUT!FP101</f>
        <v>94.3</v>
      </c>
      <c r="DD107" s="687" t="str">
        <f>INPUT!FQ101</f>
        <v>NM</v>
      </c>
      <c r="DE107" s="151">
        <f>INPUT!FR101</f>
        <v>104.8</v>
      </c>
      <c r="DF107" s="687">
        <f>INPUT!FS101</f>
        <v>11.134676564156942</v>
      </c>
      <c r="DG107" s="151">
        <f>INPUT!FT101</f>
        <v>170.3</v>
      </c>
      <c r="DH107" s="687">
        <f>INPUT!FU101</f>
        <v>62.500000000000021</v>
      </c>
      <c r="DI107" s="151">
        <f>INPUT!FV101</f>
        <v>281</v>
      </c>
      <c r="DJ107" s="687">
        <f>INPUT!FW101</f>
        <v>65.002935995302408</v>
      </c>
      <c r="DK107" s="151">
        <f>INPUT!FX101</f>
        <v>241.8</v>
      </c>
      <c r="DL107" s="507">
        <f>INPUT!FY101</f>
        <v>-13.950177935943053</v>
      </c>
      <c r="DM107" s="151">
        <f>INPUT!FZ101</f>
        <v>174.7</v>
      </c>
      <c r="DN107" s="507">
        <f>INPUT!GA101</f>
        <v>-27.750206782464858</v>
      </c>
      <c r="DO107" s="151">
        <f>INPUT!GB101</f>
        <v>212</v>
      </c>
      <c r="DP107" s="507">
        <f>INPUT!GC101</f>
        <v>21.350887235260462</v>
      </c>
      <c r="DQ107" s="151">
        <f>INPUT!GD101</f>
        <v>280</v>
      </c>
      <c r="DR107" s="507">
        <f>INPUT!GE101</f>
        <v>32.075471698113198</v>
      </c>
      <c r="DS107" s="151">
        <f>INPUT!GF101</f>
        <v>273</v>
      </c>
      <c r="DT107" s="507">
        <f>INPUT!GG101</f>
        <v>-2.5000000000000022</v>
      </c>
      <c r="DU107" s="151">
        <f>INPUT!GH101</f>
        <v>360</v>
      </c>
      <c r="DV107" s="507">
        <f>INPUT!GI101</f>
        <v>31.868131868131865</v>
      </c>
      <c r="DW107" s="151">
        <f>INPUT!GJ101</f>
        <v>652</v>
      </c>
      <c r="DX107" s="507">
        <f>INPUT!GK101</f>
        <v>81.111111111111114</v>
      </c>
      <c r="DY107" s="151">
        <f>INPUT!GL101</f>
        <v>596</v>
      </c>
      <c r="DZ107" s="507">
        <f>INPUT!GM101</f>
        <v>-8.5889570552147187</v>
      </c>
      <c r="EA107" s="151">
        <f>INPUT!GN101</f>
        <v>726</v>
      </c>
      <c r="EB107" s="507">
        <f>INPUT!GO101</f>
        <v>21.812080536912749</v>
      </c>
      <c r="EC107" s="151">
        <f>INPUT!GP101</f>
        <v>699.12311428869702</v>
      </c>
      <c r="ED107" s="507">
        <f>INPUT!GQ101</f>
        <v>-3.7020503734577104</v>
      </c>
      <c r="EE107" s="151">
        <f>INPUT!GR101</f>
        <v>740.42322069710053</v>
      </c>
      <c r="EF107" s="507">
        <f>INPUT!GS101</f>
        <v>5.9074153842593402</v>
      </c>
      <c r="EG107" s="151">
        <f>INPUT!GT101</f>
        <v>783.13217870094843</v>
      </c>
      <c r="EH107" s="507">
        <f>INPUT!GU101</f>
        <v>5.7681818735557666</v>
      </c>
      <c r="EI107" s="151">
        <f>INPUT!GV101</f>
        <v>834.69080808085982</v>
      </c>
      <c r="EJ107" s="507">
        <f>INPUT!GW101</f>
        <v>6.5836433212891787</v>
      </c>
      <c r="EK107" s="151">
        <f>INPUT!GX101</f>
        <v>891.55569350192627</v>
      </c>
      <c r="EL107" s="507">
        <f>INPUT!GY101</f>
        <v>6.8126885872640042</v>
      </c>
      <c r="EM107" s="257">
        <f>INPUT!GZ101</f>
        <v>4.1939185559425995</v>
      </c>
    </row>
    <row r="108" spans="1:143" ht="12.75" hidden="1" customHeight="1" outlineLevel="1" x14ac:dyDescent="0.2">
      <c r="A108" s="701" t="str">
        <f>INPUT!B102</f>
        <v>Interest Credited To Policies</v>
      </c>
      <c r="B108" s="151">
        <f>INPUT!AY102</f>
        <v>95.1</v>
      </c>
      <c r="C108" s="507">
        <f>INPUT!AZ102</f>
        <v>-4.995004995004992</v>
      </c>
      <c r="D108" s="151">
        <f>INPUT!BA102</f>
        <v>168.8</v>
      </c>
      <c r="E108" s="687">
        <f>INPUT!BB102</f>
        <v>70.677451971688583</v>
      </c>
      <c r="F108" s="151">
        <f>INPUT!BC102</f>
        <v>208.2</v>
      </c>
      <c r="G108" s="687" t="str">
        <f>INPUT!BD102</f>
        <v>NM</v>
      </c>
      <c r="H108" s="151">
        <f>INPUT!BE102</f>
        <v>211.7</v>
      </c>
      <c r="I108" s="687" t="str">
        <f>INPUT!BF102</f>
        <v>NM</v>
      </c>
      <c r="J108" s="151">
        <f>INPUT!BG102</f>
        <v>161.1</v>
      </c>
      <c r="K108" s="687">
        <f>INPUT!BH102</f>
        <v>69.400630914826507</v>
      </c>
      <c r="L108" s="151">
        <f>INPUT!BI102</f>
        <v>165.1</v>
      </c>
      <c r="M108" s="687">
        <f>INPUT!BJ102</f>
        <v>-2.1919431279620927</v>
      </c>
      <c r="N108" s="151">
        <f>INPUT!BK102</f>
        <v>165.3</v>
      </c>
      <c r="O108" s="687">
        <f>INPUT!BL102</f>
        <v>-20.60518731988472</v>
      </c>
      <c r="P108" s="151">
        <f>INPUT!BM102</f>
        <v>167.9</v>
      </c>
      <c r="Q108" s="687">
        <f>INPUT!BN102</f>
        <v>-20.68965517241379</v>
      </c>
      <c r="R108" s="151">
        <f>INPUT!BO102</f>
        <v>163.19999999999999</v>
      </c>
      <c r="S108" s="687">
        <f>INPUT!BP102</f>
        <v>1.3035381750465591</v>
      </c>
      <c r="T108" s="151">
        <f>INPUT!BQ102</f>
        <v>163</v>
      </c>
      <c r="U108" s="687">
        <f>INPUT!BR102</f>
        <v>-1.2719563900666198</v>
      </c>
      <c r="V108" s="151">
        <f>INPUT!BS102</f>
        <v>170</v>
      </c>
      <c r="W108" s="687">
        <f>INPUT!BT102</f>
        <v>2.8433151845129956</v>
      </c>
      <c r="X108" s="151">
        <f>INPUT!BU102</f>
        <v>206.3</v>
      </c>
      <c r="Y108" s="687">
        <f>INPUT!BV102</f>
        <v>22.870756402620618</v>
      </c>
      <c r="Z108" s="151">
        <f>INPUT!BW102</f>
        <v>163.6</v>
      </c>
      <c r="AA108" s="122">
        <f>INPUT!BX102</f>
        <v>0.2450980392156854</v>
      </c>
      <c r="AB108" s="151">
        <f>INPUT!BY102</f>
        <v>170.4</v>
      </c>
      <c r="AC108" s="687">
        <f>INPUT!BZ102</f>
        <v>4.5398773006134929</v>
      </c>
      <c r="AD108" s="151">
        <f>INPUT!CA102</f>
        <v>175.9</v>
      </c>
      <c r="AE108" s="687">
        <f>INPUT!CB102</f>
        <v>3.4705882352941142</v>
      </c>
      <c r="AF108" s="151">
        <f>INPUT!CC102</f>
        <v>172.5</v>
      </c>
      <c r="AG108" s="687">
        <f>INPUT!CD102</f>
        <v>-16.383906931652938</v>
      </c>
      <c r="AH108" s="151">
        <f>INPUT!CE102</f>
        <v>176.2</v>
      </c>
      <c r="AI108" s="507">
        <f>INPUT!CF102</f>
        <v>7.7017114914425422</v>
      </c>
      <c r="AJ108" s="151">
        <f>INPUT!CG102</f>
        <v>176.9</v>
      </c>
      <c r="AK108" s="507">
        <f>INPUT!CH102</f>
        <v>3.8145539906103254</v>
      </c>
      <c r="AL108" s="151">
        <f>INPUT!CI102</f>
        <v>183.5</v>
      </c>
      <c r="AM108" s="507">
        <f>INPUT!CJ102</f>
        <v>4.3206367254121636</v>
      </c>
      <c r="AN108" s="151">
        <f>INPUT!CK102</f>
        <v>188.9</v>
      </c>
      <c r="AO108" s="507">
        <f>INPUT!CL102</f>
        <v>9.5072463768115956</v>
      </c>
      <c r="AP108" s="151">
        <f>INPUT!CM102</f>
        <v>174.4</v>
      </c>
      <c r="AQ108" s="507">
        <f>INPUT!CN102</f>
        <v>-1.0215664018161097</v>
      </c>
      <c r="AR108" s="151">
        <f>INPUT!CO102</f>
        <v>178</v>
      </c>
      <c r="AS108" s="507">
        <f>INPUT!CP102</f>
        <v>0.62182023742227699</v>
      </c>
      <c r="AT108" s="151">
        <f>INPUT!CQ102</f>
        <v>177.2</v>
      </c>
      <c r="AU108" s="507">
        <f>INPUT!CR102</f>
        <v>-3.4332425068119954</v>
      </c>
      <c r="AV108" s="151">
        <f>INPUT!CS102</f>
        <v>169</v>
      </c>
      <c r="AW108" s="507">
        <f>INPUT!CT102</f>
        <v>-10.534674430915835</v>
      </c>
      <c r="AX108" s="151">
        <f>INPUT!CU102</f>
        <v>171</v>
      </c>
      <c r="AY108" s="507">
        <f>INPUT!CV102</f>
        <v>-1.9495412844036775</v>
      </c>
      <c r="AZ108" s="151">
        <f>INPUT!CW102</f>
        <v>163</v>
      </c>
      <c r="BA108" s="507">
        <f>INPUT!CX102</f>
        <v>-8.4269662921348303</v>
      </c>
      <c r="BB108" s="151">
        <f>INPUT!CY102</f>
        <v>146</v>
      </c>
      <c r="BC108" s="507">
        <f>INPUT!CZ102</f>
        <v>-17.60722347629796</v>
      </c>
      <c r="BD108" s="151">
        <f>INPUT!DA102</f>
        <v>153</v>
      </c>
      <c r="BE108" s="507">
        <f>INPUT!DB102</f>
        <v>-9.4674556213017791</v>
      </c>
      <c r="BF108" s="151">
        <f>INPUT!DC102</f>
        <v>153</v>
      </c>
      <c r="BG108" s="507">
        <f>INPUT!DD102</f>
        <v>-10.526315789473683</v>
      </c>
      <c r="BH108" s="151">
        <f>INPUT!DE102</f>
        <v>157</v>
      </c>
      <c r="BI108" s="507">
        <f>INPUT!DF102</f>
        <v>-3.6809815950920255</v>
      </c>
      <c r="BJ108" s="151">
        <f>INPUT!DG102</f>
        <v>153</v>
      </c>
      <c r="BK108" s="507">
        <f>INPUT!DH102</f>
        <v>4.7945205479452024</v>
      </c>
      <c r="BL108" s="151">
        <f>INPUT!DI102</f>
        <v>161</v>
      </c>
      <c r="BM108" s="507">
        <f>INPUT!DJ102</f>
        <v>5.2287581699346442</v>
      </c>
      <c r="BN108" s="151">
        <f>INPUT!DK102</f>
        <v>154</v>
      </c>
      <c r="BO108" s="507">
        <f>INPUT!DL102</f>
        <v>0.65359477124182774</v>
      </c>
      <c r="BP108" s="151">
        <f>INPUT!DM102</f>
        <v>154</v>
      </c>
      <c r="BQ108" s="507">
        <f>INPUT!DN102</f>
        <v>-1.9108280254777066</v>
      </c>
      <c r="BR108" s="151">
        <f>INPUT!DO102</f>
        <v>152</v>
      </c>
      <c r="BS108" s="507">
        <f>INPUT!DP102</f>
        <v>-0.65359477124182774</v>
      </c>
      <c r="BT108" s="151">
        <f>INPUT!DQ102</f>
        <v>150</v>
      </c>
      <c r="BU108" s="507">
        <f>INPUT!DR102</f>
        <v>-6.8322981366459645</v>
      </c>
      <c r="BV108" s="151">
        <f>INPUT!DS102</f>
        <v>143</v>
      </c>
      <c r="BW108" s="507">
        <f>INPUT!DT102</f>
        <v>-7.1428571428571397</v>
      </c>
      <c r="BX108" s="151">
        <f>INPUT!DU102</f>
        <v>139</v>
      </c>
      <c r="BY108" s="507">
        <f>INPUT!DV102</f>
        <v>-9.740259740259738</v>
      </c>
      <c r="BZ108" s="151">
        <f>INPUT!DW102</f>
        <v>134</v>
      </c>
      <c r="CA108" s="507">
        <f>INPUT!DX102</f>
        <v>134</v>
      </c>
      <c r="CB108" s="151">
        <f>INPUT!DY102</f>
        <v>135</v>
      </c>
      <c r="CC108" s="507">
        <f>INPUT!DZ102</f>
        <v>-9.9999999999999982</v>
      </c>
      <c r="CD108" s="151">
        <f>INPUT!EA102</f>
        <v>140</v>
      </c>
      <c r="CE108" s="507">
        <f>INPUT!EB102</f>
        <v>-2.0979020979020935</v>
      </c>
      <c r="CF108" s="151">
        <f>INPUT!EC102</f>
        <v>144</v>
      </c>
      <c r="CG108" s="507">
        <f>INPUT!ED102</f>
        <v>3.5971223021582732</v>
      </c>
      <c r="CH108" s="151">
        <f>INPUT!EE102</f>
        <v>148</v>
      </c>
      <c r="CI108" s="507">
        <f>INPUT!EF102</f>
        <v>10.447761194029859</v>
      </c>
      <c r="CJ108" s="151">
        <f>INPUT!EG102</f>
        <v>149</v>
      </c>
      <c r="CK108" s="507">
        <f>INPUT!EH102</f>
        <v>10.370370370370363</v>
      </c>
      <c r="CL108" s="151">
        <f>INPUT!EI102</f>
        <v>147</v>
      </c>
      <c r="CM108" s="507">
        <f>INPUT!EJ102</f>
        <v>5.0000000000000044</v>
      </c>
      <c r="CN108" s="151">
        <f>INPUT!EK102</f>
        <v>145</v>
      </c>
      <c r="CO108" s="507">
        <f>INPUT!EL102</f>
        <v>0.69444444444444198</v>
      </c>
      <c r="CP108" s="151">
        <f>INPUT!EM102</f>
        <v>145</v>
      </c>
      <c r="CQ108" s="507">
        <f>INPUT!EN102</f>
        <v>-2.0270270270270285</v>
      </c>
      <c r="CR108" s="151">
        <f>INPUT!EO102</f>
        <v>144</v>
      </c>
      <c r="CS108" s="507">
        <f>INPUT!EP102</f>
        <v>-3.3557046979865723</v>
      </c>
      <c r="CT108" s="151">
        <f>INPUT!EQ102</f>
        <v>146.14327920875786</v>
      </c>
      <c r="CU108" s="507">
        <f>INPUT!ER102</f>
        <v>-0.58280325934839672</v>
      </c>
      <c r="CV108" s="151">
        <f>INPUT!ES102</f>
        <v>148.51471898090574</v>
      </c>
      <c r="CW108" s="507">
        <f>INPUT!ET102</f>
        <v>2.4239441247625892</v>
      </c>
      <c r="CX108" s="151">
        <f>INPUT!EU102</f>
        <v>151.21397779549545</v>
      </c>
      <c r="CY108" s="507">
        <f>INPUT!EV102</f>
        <v>4.2855019279278928</v>
      </c>
      <c r="CZ108" s="151">
        <f>INPUT!EW102</f>
        <v>154.24623422418944</v>
      </c>
      <c r="DA108" s="507">
        <f>INPUT!EX102</f>
        <v>7.1154404334648813</v>
      </c>
      <c r="DB108" s="507"/>
      <c r="DC108" s="151">
        <f>INPUT!FP102</f>
        <v>392.6</v>
      </c>
      <c r="DD108" s="687" t="str">
        <f>INPUT!FQ102</f>
        <v>NA</v>
      </c>
      <c r="DE108" s="151">
        <f>INPUT!FR102</f>
        <v>683.8</v>
      </c>
      <c r="DF108" s="687">
        <f>INPUT!FS102</f>
        <v>74.172185430463557</v>
      </c>
      <c r="DG108" s="151">
        <f>INPUT!FT102</f>
        <v>659.4</v>
      </c>
      <c r="DH108" s="687">
        <f>INPUT!FU102</f>
        <v>-3.5682948230476685</v>
      </c>
      <c r="DI108" s="151">
        <f>INPUT!FV102</f>
        <v>702.5</v>
      </c>
      <c r="DJ108" s="687">
        <f>INPUT!FW102</f>
        <v>6.5362450712769249</v>
      </c>
      <c r="DK108" s="151">
        <f>INPUT!FX102</f>
        <v>682.4</v>
      </c>
      <c r="DL108" s="507">
        <f>INPUT!FY102</f>
        <v>-2.8612099644128142</v>
      </c>
      <c r="DM108" s="151">
        <f>INPUT!FZ102</f>
        <v>725.5</v>
      </c>
      <c r="DN108" s="507">
        <f>INPUT!GA102</f>
        <v>6.315943728018758</v>
      </c>
      <c r="DO108" s="151">
        <f>INPUT!GB102</f>
        <v>698.59999999999991</v>
      </c>
      <c r="DP108" s="507">
        <f>INPUT!GC102</f>
        <v>-3.7077877325982223</v>
      </c>
      <c r="DQ108" s="151">
        <f>INPUT!GD102</f>
        <v>633</v>
      </c>
      <c r="DR108" s="507">
        <f>INPUT!GE102</f>
        <v>-9.3902089894073786</v>
      </c>
      <c r="DS108" s="151">
        <f>INPUT!GF102</f>
        <v>624</v>
      </c>
      <c r="DT108" s="507">
        <f>INPUT!GG102</f>
        <v>-1.4218009478673022</v>
      </c>
      <c r="DU108" s="151">
        <f>INPUT!GH102</f>
        <v>610</v>
      </c>
      <c r="DV108" s="507">
        <f>INPUT!GI102</f>
        <v>-2.2435897435897467</v>
      </c>
      <c r="DW108" s="151">
        <f>INPUT!GJ102</f>
        <v>551</v>
      </c>
      <c r="DX108" s="507">
        <f>INPUT!GK102</f>
        <v>-9.6721311475409859</v>
      </c>
      <c r="DY108" s="151">
        <f>INPUT!GL102</f>
        <v>581</v>
      </c>
      <c r="DZ108" s="507">
        <f>INPUT!GM102</f>
        <v>5.444646098003636</v>
      </c>
      <c r="EA108" s="151">
        <f>INPUT!GN102</f>
        <v>581</v>
      </c>
      <c r="EB108" s="507">
        <f>INPUT!GO102</f>
        <v>0</v>
      </c>
      <c r="EC108" s="151">
        <f>INPUT!GP102</f>
        <v>600.11821020934849</v>
      </c>
      <c r="ED108" s="507">
        <f>INPUT!GQ102</f>
        <v>3.2905697434334691</v>
      </c>
      <c r="EE108" s="151">
        <f>INPUT!GR102</f>
        <v>644.30118613859372</v>
      </c>
      <c r="EF108" s="507">
        <f>INPUT!GS102</f>
        <v>7.3623788076406127</v>
      </c>
      <c r="EG108" s="151">
        <f>INPUT!GT102</f>
        <v>688.95894058406395</v>
      </c>
      <c r="EH108" s="507">
        <f>INPUT!GU102</f>
        <v>6.9311923377189055</v>
      </c>
      <c r="EI108" s="151">
        <f>INPUT!GV102</f>
        <v>732.47671221606709</v>
      </c>
      <c r="EJ108" s="507">
        <f>INPUT!GW102</f>
        <v>6.3164535748837292</v>
      </c>
      <c r="EK108" s="151">
        <f>INPUT!GX102</f>
        <v>774.96111314429663</v>
      </c>
      <c r="EL108" s="507">
        <f>INPUT!GY102</f>
        <v>5.8001026134599343</v>
      </c>
      <c r="EM108" s="257">
        <f>INPUT!GZ102</f>
        <v>5.9304349823744662</v>
      </c>
    </row>
    <row r="109" spans="1:143" ht="12.75" hidden="1" customHeight="1" outlineLevel="1" x14ac:dyDescent="0.2">
      <c r="A109" s="701" t="str">
        <f>INPUT!B103</f>
        <v>Net DAC and VOBA Amortization</v>
      </c>
      <c r="B109" s="151">
        <f>INPUT!AY103</f>
        <v>-56.900000000000006</v>
      </c>
      <c r="C109" s="507">
        <f>INPUT!AZ103</f>
        <v>14.25702811244982</v>
      </c>
      <c r="D109" s="151">
        <f>INPUT!BA103</f>
        <v>-77.3</v>
      </c>
      <c r="E109" s="687">
        <f>INPUT!BB103</f>
        <v>19.290123456790131</v>
      </c>
      <c r="F109" s="151">
        <f>INPUT!BC103</f>
        <v>-82</v>
      </c>
      <c r="G109" s="687">
        <f>INPUT!BD103</f>
        <v>-3.86869871043376</v>
      </c>
      <c r="H109" s="151">
        <f>INPUT!BE103</f>
        <v>-80.100000000000009</v>
      </c>
      <c r="I109" s="687">
        <f>INPUT!BF103</f>
        <v>34.848484848484837</v>
      </c>
      <c r="J109" s="151">
        <f>INPUT!BG103</f>
        <v>-67.399999999999991</v>
      </c>
      <c r="K109" s="687">
        <f>INPUT!BH103</f>
        <v>18.453427065026329</v>
      </c>
      <c r="L109" s="151">
        <f>INPUT!BI103</f>
        <v>-92.500000000000014</v>
      </c>
      <c r="M109" s="687">
        <f>INPUT!BJ103</f>
        <v>19.663648124191479</v>
      </c>
      <c r="N109" s="151">
        <f>INPUT!BK103</f>
        <v>-112.19999999999999</v>
      </c>
      <c r="O109" s="687">
        <f>INPUT!BL103</f>
        <v>36.829268292682912</v>
      </c>
      <c r="P109" s="151">
        <f>INPUT!BM103</f>
        <v>-128.19999999999999</v>
      </c>
      <c r="Q109" s="687">
        <f>INPUT!BN103</f>
        <v>60.049937578027432</v>
      </c>
      <c r="R109" s="151">
        <f>INPUT!BO103</f>
        <v>-93.700000000000017</v>
      </c>
      <c r="S109" s="687">
        <f>INPUT!BP103</f>
        <v>39.020771513353168</v>
      </c>
      <c r="T109" s="151">
        <f>INPUT!BQ103</f>
        <v>-90.899999999999991</v>
      </c>
      <c r="U109" s="687">
        <f>INPUT!BR103</f>
        <v>-1.7297297297297565</v>
      </c>
      <c r="V109" s="151">
        <f>INPUT!BS103</f>
        <v>-75.200000000000017</v>
      </c>
      <c r="W109" s="687">
        <f>INPUT!BT103</f>
        <v>-32.976827094474125</v>
      </c>
      <c r="X109" s="151">
        <f>INPUT!BU103</f>
        <v>289.8</v>
      </c>
      <c r="Y109" s="687" t="str">
        <f>INPUT!BV103</f>
        <v>NM</v>
      </c>
      <c r="Z109" s="151">
        <f>INPUT!BW103</f>
        <v>-46.8</v>
      </c>
      <c r="AA109" s="122" t="str">
        <f>INPUT!BX103</f>
        <v>NM</v>
      </c>
      <c r="AB109" s="151">
        <f>INPUT!BY103</f>
        <v>-70.799999999999983</v>
      </c>
      <c r="AC109" s="687">
        <f>INPUT!BZ103</f>
        <v>-22.112211221122124</v>
      </c>
      <c r="AD109" s="151">
        <f>INPUT!CA103</f>
        <v>-88.9</v>
      </c>
      <c r="AE109" s="687">
        <f>INPUT!CB103</f>
        <v>18.218085106382965</v>
      </c>
      <c r="AF109" s="151">
        <f>INPUT!CC103</f>
        <v>-66.099999999999994</v>
      </c>
      <c r="AG109" s="687" t="str">
        <f>INPUT!CD103</f>
        <v>NM</v>
      </c>
      <c r="AH109" s="151">
        <f>INPUT!CE103</f>
        <v>-50.899999999999991</v>
      </c>
      <c r="AI109" s="507">
        <f>INPUT!CF103</f>
        <v>8.7606837606837509</v>
      </c>
      <c r="AJ109" s="151">
        <f>INPUT!CG103</f>
        <v>-60.4</v>
      </c>
      <c r="AK109" s="507">
        <f>INPUT!CH103</f>
        <v>-14.68926553672315</v>
      </c>
      <c r="AL109" s="151">
        <f>INPUT!CI103</f>
        <v>-58.200000000000017</v>
      </c>
      <c r="AM109" s="507">
        <f>INPUT!CJ103</f>
        <v>-34.533183352080975</v>
      </c>
      <c r="AN109" s="151">
        <f>INPUT!CK103</f>
        <v>-34.599999999999994</v>
      </c>
      <c r="AO109" s="507">
        <f>INPUT!CL103</f>
        <v>-47.655068078668684</v>
      </c>
      <c r="AP109" s="151">
        <f>INPUT!CM103</f>
        <v>-23.700000000000003</v>
      </c>
      <c r="AQ109" s="507" t="str">
        <f>INPUT!CN103</f>
        <v>NM</v>
      </c>
      <c r="AR109" s="151">
        <f>INPUT!CO103</f>
        <v>-48.100000000000009</v>
      </c>
      <c r="AS109" s="507">
        <f>INPUT!CP103</f>
        <v>-20.364238410596013</v>
      </c>
      <c r="AT109" s="151">
        <f>INPUT!CQ103</f>
        <v>-71.900000000000006</v>
      </c>
      <c r="AU109" s="507">
        <f>INPUT!CR103</f>
        <v>23.539518900343626</v>
      </c>
      <c r="AV109" s="151">
        <f>INPUT!CS103</f>
        <v>-33</v>
      </c>
      <c r="AW109" s="507">
        <f>INPUT!CT103</f>
        <v>-4.6242774566473859</v>
      </c>
      <c r="AX109" s="151">
        <f>INPUT!CU103</f>
        <v>-26</v>
      </c>
      <c r="AY109" s="507">
        <f>INPUT!CV103</f>
        <v>9.704641350210963</v>
      </c>
      <c r="AZ109" s="151">
        <f>INPUT!CW103</f>
        <v>-63</v>
      </c>
      <c r="BA109" s="507">
        <f>INPUT!CX103</f>
        <v>30.977130977130951</v>
      </c>
      <c r="BB109" s="151">
        <f>INPUT!CY103</f>
        <v>-98</v>
      </c>
      <c r="BC109" s="507">
        <f>INPUT!CZ103</f>
        <v>36.300417246175229</v>
      </c>
      <c r="BD109" s="151">
        <f>INPUT!DA103</f>
        <v>-85</v>
      </c>
      <c r="BE109" s="507" t="str">
        <f>INPUT!DB103</f>
        <v>NM</v>
      </c>
      <c r="BF109" s="151">
        <f>INPUT!DC103</f>
        <v>-58</v>
      </c>
      <c r="BG109" s="507" t="str">
        <f>INPUT!DD103</f>
        <v>NM</v>
      </c>
      <c r="BH109" s="151">
        <f>INPUT!DE103</f>
        <v>-121</v>
      </c>
      <c r="BI109" s="507">
        <f>INPUT!DF103</f>
        <v>92.063492063492063</v>
      </c>
      <c r="BJ109" s="151">
        <f>INPUT!DG103</f>
        <v>-91</v>
      </c>
      <c r="BK109" s="507">
        <f>INPUT!DH103</f>
        <v>-7.1428571428571397</v>
      </c>
      <c r="BL109" s="151">
        <f>INPUT!DI103</f>
        <v>-96</v>
      </c>
      <c r="BM109" s="507">
        <f>INPUT!DJ103</f>
        <v>12.941176470588234</v>
      </c>
      <c r="BN109" s="151">
        <f>INPUT!DK103</f>
        <v>-65</v>
      </c>
      <c r="BO109" s="507">
        <f>INPUT!DL103</f>
        <v>12.06896551724137</v>
      </c>
      <c r="BP109" s="151">
        <f>INPUT!DM103</f>
        <v>-74</v>
      </c>
      <c r="BQ109" s="507">
        <f>INPUT!DN103</f>
        <v>-38.842975206611577</v>
      </c>
      <c r="BR109" s="151">
        <f>INPUT!DO103</f>
        <v>-109</v>
      </c>
      <c r="BS109" s="507">
        <f>INPUT!DP103</f>
        <v>19.780219780219777</v>
      </c>
      <c r="BT109" s="151">
        <f>INPUT!DQ103</f>
        <v>-73</v>
      </c>
      <c r="BU109" s="507">
        <f>INPUT!DR103</f>
        <v>-23.958333333333336</v>
      </c>
      <c r="BV109" s="151">
        <f>INPUT!DS103</f>
        <v>-47</v>
      </c>
      <c r="BW109" s="507">
        <f>INPUT!DT103</f>
        <v>-27.692307692307693</v>
      </c>
      <c r="BX109" s="151">
        <f>INPUT!DU103</f>
        <v>-64</v>
      </c>
      <c r="BY109" s="507">
        <f>INPUT!DV103</f>
        <v>-13.513513513513509</v>
      </c>
      <c r="BZ109" s="151">
        <f>INPUT!DW103</f>
        <v>-102</v>
      </c>
      <c r="CA109" s="507">
        <f>INPUT!DX103</f>
        <v>-102</v>
      </c>
      <c r="CB109" s="151">
        <f>INPUT!DY103</f>
        <v>-63</v>
      </c>
      <c r="CC109" s="507">
        <f>INPUT!DZ103</f>
        <v>-13.698630136986301</v>
      </c>
      <c r="CD109" s="151">
        <f>INPUT!EA103</f>
        <v>-25</v>
      </c>
      <c r="CE109" s="507">
        <f>INPUT!EB103</f>
        <v>-46.808510638297875</v>
      </c>
      <c r="CF109" s="151">
        <f>INPUT!EC103</f>
        <v>-19</v>
      </c>
      <c r="CG109" s="507" t="str">
        <f>INPUT!ED103</f>
        <v>NM</v>
      </c>
      <c r="CH109" s="151">
        <f>INPUT!EE103</f>
        <v>9</v>
      </c>
      <c r="CI109" s="507" t="str">
        <f>INPUT!EF103</f>
        <v>NM</v>
      </c>
      <c r="CJ109" s="151">
        <f>INPUT!EG103</f>
        <v>8</v>
      </c>
      <c r="CK109" s="507" t="str">
        <f>INPUT!EH103</f>
        <v>NM</v>
      </c>
      <c r="CL109" s="151">
        <f>INPUT!EI103</f>
        <v>4</v>
      </c>
      <c r="CM109" s="507" t="str">
        <f>INPUT!EJ103</f>
        <v>NM</v>
      </c>
      <c r="CN109" s="151">
        <f>INPUT!EK103</f>
        <v>1</v>
      </c>
      <c r="CO109" s="507" t="str">
        <f>INPUT!EL103</f>
        <v>NM</v>
      </c>
      <c r="CP109" s="151">
        <f>INPUT!EM103</f>
        <v>7</v>
      </c>
      <c r="CQ109" s="507">
        <f>INPUT!EN103</f>
        <v>-22.222222222222221</v>
      </c>
      <c r="CR109" s="151">
        <f>INPUT!EO103</f>
        <v>-22</v>
      </c>
      <c r="CS109" s="507" t="str">
        <f>INPUT!EP103</f>
        <v>NM</v>
      </c>
      <c r="CT109" s="151">
        <f>INPUT!EQ103</f>
        <v>7</v>
      </c>
      <c r="CU109" s="507">
        <f>INPUT!ER103</f>
        <v>75</v>
      </c>
      <c r="CV109" s="151">
        <f>INPUT!ES103</f>
        <v>7</v>
      </c>
      <c r="CW109" s="507" t="str">
        <f>INPUT!ET103</f>
        <v>NM</v>
      </c>
      <c r="CX109" s="151">
        <f>INPUT!EU103</f>
        <v>7</v>
      </c>
      <c r="CY109" s="507">
        <f>INPUT!EV103</f>
        <v>0</v>
      </c>
      <c r="CZ109" s="151">
        <f>INPUT!EW103</f>
        <v>7</v>
      </c>
      <c r="DA109" s="507" t="str">
        <f>INPUT!EX103</f>
        <v>NM</v>
      </c>
      <c r="DB109" s="507"/>
      <c r="DC109" s="151">
        <f>INPUT!FP103</f>
        <v>-259.29999999999995</v>
      </c>
      <c r="DD109" s="687" t="str">
        <f>INPUT!FQ103</f>
        <v>NA</v>
      </c>
      <c r="DE109" s="151">
        <f>INPUT!FR103</f>
        <v>-296.3</v>
      </c>
      <c r="DF109" s="687">
        <f>INPUT!FS103</f>
        <v>14.269186270728905</v>
      </c>
      <c r="DG109" s="151">
        <f>INPUT!FT103</f>
        <v>-400.3</v>
      </c>
      <c r="DH109" s="687">
        <f>INPUT!FU103</f>
        <v>35.099561255484304</v>
      </c>
      <c r="DI109" s="151">
        <f>INPUT!FV103</f>
        <v>29.999999999999943</v>
      </c>
      <c r="DJ109" s="687" t="str">
        <f>INPUT!FW103</f>
        <v>NM</v>
      </c>
      <c r="DK109" s="151">
        <f>INPUT!FX103</f>
        <v>-272.60000000000002</v>
      </c>
      <c r="DL109" s="507" t="str">
        <f>INPUT!FY103</f>
        <v>NM</v>
      </c>
      <c r="DM109" s="151">
        <f>INPUT!FZ103</f>
        <v>-204.1</v>
      </c>
      <c r="DN109" s="507">
        <f>INPUT!GA103</f>
        <v>-25.128393250183422</v>
      </c>
      <c r="DO109" s="151">
        <f>INPUT!GB103</f>
        <v>-176.70000000000002</v>
      </c>
      <c r="DP109" s="507">
        <f>INPUT!GC103</f>
        <v>-13.424791768740807</v>
      </c>
      <c r="DQ109" s="151">
        <f>INPUT!GD103</f>
        <v>-272</v>
      </c>
      <c r="DR109" s="507">
        <f>INPUT!GE103</f>
        <v>53.933220147142038</v>
      </c>
      <c r="DS109" s="151">
        <f>INPUT!GF103</f>
        <v>-366</v>
      </c>
      <c r="DT109" s="507">
        <f>INPUT!GG103</f>
        <v>34.558823529411775</v>
      </c>
      <c r="DU109" s="151">
        <f>INPUT!GH103</f>
        <v>-321</v>
      </c>
      <c r="DV109" s="507">
        <f>INPUT!GI103</f>
        <v>-12.295081967213118</v>
      </c>
      <c r="DW109" s="151">
        <f>INPUT!GJ103</f>
        <v>-276</v>
      </c>
      <c r="DX109" s="507">
        <f>INPUT!GK103</f>
        <v>-14.018691588785048</v>
      </c>
      <c r="DY109" s="151">
        <f>INPUT!GL103</f>
        <v>-27</v>
      </c>
      <c r="DZ109" s="507" t="str">
        <f>INPUT!GM103</f>
        <v>NM</v>
      </c>
      <c r="EA109" s="151">
        <f>INPUT!GN103</f>
        <v>-10</v>
      </c>
      <c r="EB109" s="507" t="str">
        <f>INPUT!GO103</f>
        <v>NM</v>
      </c>
      <c r="EC109" s="151">
        <f>INPUT!GP103</f>
        <v>28</v>
      </c>
      <c r="ED109" s="507" t="str">
        <f>INPUT!GQ103</f>
        <v>NM</v>
      </c>
      <c r="EE109" s="151">
        <f>INPUT!GR103</f>
        <v>28.28</v>
      </c>
      <c r="EF109" s="507">
        <f>INPUT!GS103</f>
        <v>1.0000000000000009</v>
      </c>
      <c r="EG109" s="151">
        <f>INPUT!GT103</f>
        <v>28.562800000000003</v>
      </c>
      <c r="EH109" s="507">
        <f>INPUT!GU103</f>
        <v>1.0000000000000009</v>
      </c>
      <c r="EI109" s="151">
        <f>INPUT!GV103</f>
        <v>28.848428000000002</v>
      </c>
      <c r="EJ109" s="507">
        <f>INPUT!GW103</f>
        <v>1.0000000000000009</v>
      </c>
      <c r="EK109" s="151">
        <f>INPUT!GX103</f>
        <v>29.136912280000001</v>
      </c>
      <c r="EL109" s="507">
        <f>INPUT!GY103</f>
        <v>1.0000000000000009</v>
      </c>
      <c r="EM109" s="257" t="str">
        <f>INPUT!GZ103</f>
        <v>NM</v>
      </c>
    </row>
    <row r="110" spans="1:143" ht="12.75" hidden="1" customHeight="1" outlineLevel="1" x14ac:dyDescent="0.2">
      <c r="A110" s="701" t="str">
        <f>INPUT!B104</f>
        <v>Other Operating Exp</v>
      </c>
      <c r="B110" s="151">
        <f>INPUT!AY104</f>
        <v>229.5</v>
      </c>
      <c r="C110" s="507">
        <f>INPUT!AZ104</f>
        <v>10.923151280812004</v>
      </c>
      <c r="D110" s="151">
        <f>INPUT!BA104</f>
        <v>294.2</v>
      </c>
      <c r="E110" s="687">
        <f>INPUT!BB104</f>
        <v>35.326586936522553</v>
      </c>
      <c r="F110" s="151">
        <f>INPUT!BC104</f>
        <v>309.3</v>
      </c>
      <c r="G110" s="687">
        <f>INPUT!BD104</f>
        <v>37.405597512216794</v>
      </c>
      <c r="H110" s="151">
        <f>INPUT!BE104</f>
        <v>332.7</v>
      </c>
      <c r="I110" s="687">
        <f>INPUT!BF104</f>
        <v>48.460508701472563</v>
      </c>
      <c r="J110" s="151">
        <f>INPUT!BG104</f>
        <v>317.39999999999998</v>
      </c>
      <c r="K110" s="687">
        <f>INPUT!BH104</f>
        <v>38.300653594771241</v>
      </c>
      <c r="L110" s="151">
        <f>INPUT!BI104</f>
        <v>359.5</v>
      </c>
      <c r="M110" s="687">
        <f>INPUT!BJ104</f>
        <v>22.195785180149553</v>
      </c>
      <c r="N110" s="151">
        <f>INPUT!BK104</f>
        <v>367.6</v>
      </c>
      <c r="O110" s="687">
        <f>INPUT!BL104</f>
        <v>18.849013902360177</v>
      </c>
      <c r="P110" s="151">
        <f>INPUT!BM104</f>
        <v>415.5</v>
      </c>
      <c r="Q110" s="687">
        <f>INPUT!BN104</f>
        <v>24.887285843101893</v>
      </c>
      <c r="R110" s="151">
        <f>INPUT!BO104</f>
        <v>345.4</v>
      </c>
      <c r="S110" s="687">
        <f>INPUT!BP104</f>
        <v>8.8216761184625181</v>
      </c>
      <c r="T110" s="151">
        <f>INPUT!BQ104</f>
        <v>359.09999999999997</v>
      </c>
      <c r="U110" s="687">
        <f>INPUT!BR104</f>
        <v>-0.11126564673158423</v>
      </c>
      <c r="V110" s="151">
        <f>INPUT!BS104</f>
        <v>328.9</v>
      </c>
      <c r="W110" s="687">
        <f>INPUT!BT104</f>
        <v>-10.527747551686629</v>
      </c>
      <c r="X110" s="151">
        <f>INPUT!BU104</f>
        <v>298.49999999999994</v>
      </c>
      <c r="Y110" s="687">
        <f>INPUT!BV104</f>
        <v>-28.158844765342973</v>
      </c>
      <c r="Z110" s="151">
        <f>INPUT!BW104</f>
        <v>266.5</v>
      </c>
      <c r="AA110" s="122">
        <f>INPUT!BX104</f>
        <v>-22.843080486392587</v>
      </c>
      <c r="AB110" s="151">
        <f>INPUT!BY104</f>
        <v>309.29999999999995</v>
      </c>
      <c r="AC110" s="687">
        <f>INPUT!BZ104</f>
        <v>-13.868003341687551</v>
      </c>
      <c r="AD110" s="151">
        <f>INPUT!CA104</f>
        <v>347.70000000000005</v>
      </c>
      <c r="AE110" s="687">
        <f>INPUT!CB104</f>
        <v>5.7160231073274836</v>
      </c>
      <c r="AF110" s="151">
        <f>INPUT!CC104</f>
        <v>332.1</v>
      </c>
      <c r="AG110" s="687">
        <f>INPUT!CD104</f>
        <v>11.256281407035207</v>
      </c>
      <c r="AH110" s="151">
        <f>INPUT!CE104</f>
        <v>310.7</v>
      </c>
      <c r="AI110" s="507">
        <f>INPUT!CF104</f>
        <v>16.58536585365853</v>
      </c>
      <c r="AJ110" s="151">
        <f>INPUT!CG104</f>
        <v>342.4</v>
      </c>
      <c r="AK110" s="507">
        <f>INPUT!CH104</f>
        <v>10.701584222437766</v>
      </c>
      <c r="AL110" s="151">
        <f>INPUT!CI104</f>
        <v>355.70000000000005</v>
      </c>
      <c r="AM110" s="507">
        <f>INPUT!CJ104</f>
        <v>2.3008340523439808</v>
      </c>
      <c r="AN110" s="151">
        <f>INPUT!CK104</f>
        <v>363.5</v>
      </c>
      <c r="AO110" s="507">
        <f>INPUT!CL104</f>
        <v>9.4549834387232643</v>
      </c>
      <c r="AP110" s="151">
        <f>INPUT!CM104</f>
        <v>363.2</v>
      </c>
      <c r="AQ110" s="507">
        <f>INPUT!CN104</f>
        <v>16.897328612809794</v>
      </c>
      <c r="AR110" s="151">
        <f>INPUT!CO104</f>
        <v>383.6</v>
      </c>
      <c r="AS110" s="507">
        <f>INPUT!CP104</f>
        <v>12.032710280373848</v>
      </c>
      <c r="AT110" s="151">
        <f>INPUT!CQ104</f>
        <v>358.70000000000005</v>
      </c>
      <c r="AU110" s="507">
        <f>INPUT!CR104</f>
        <v>0.84340736575765352</v>
      </c>
      <c r="AV110" s="151">
        <f>INPUT!CS104</f>
        <v>354</v>
      </c>
      <c r="AW110" s="507">
        <f>INPUT!CT104</f>
        <v>-2.6134800550206339</v>
      </c>
      <c r="AX110" s="151">
        <f>INPUT!CU104</f>
        <v>379</v>
      </c>
      <c r="AY110" s="507">
        <f>INPUT!CV104</f>
        <v>4.3502202643171728</v>
      </c>
      <c r="AZ110" s="151">
        <f>INPUT!CW104</f>
        <v>389</v>
      </c>
      <c r="BA110" s="507">
        <f>INPUT!CX104</f>
        <v>1.4077163712200136</v>
      </c>
      <c r="BB110" s="151">
        <f>INPUT!CY104</f>
        <v>393</v>
      </c>
      <c r="BC110" s="507">
        <f>INPUT!CZ104</f>
        <v>9.5623083356565211</v>
      </c>
      <c r="BD110" s="151">
        <f>INPUT!DA104</f>
        <v>457</v>
      </c>
      <c r="BE110" s="507">
        <f>INPUT!DB104</f>
        <v>29.096045197740118</v>
      </c>
      <c r="BF110" s="151">
        <f>INPUT!DC104</f>
        <v>423</v>
      </c>
      <c r="BG110" s="507">
        <f>INPUT!DD104</f>
        <v>11.609498680738795</v>
      </c>
      <c r="BH110" s="151">
        <f>INPUT!DE104</f>
        <v>476</v>
      </c>
      <c r="BI110" s="507">
        <f>INPUT!DF104</f>
        <v>22.365038560411321</v>
      </c>
      <c r="BJ110" s="151">
        <f>INPUT!DG104</f>
        <v>463</v>
      </c>
      <c r="BK110" s="507">
        <f>INPUT!DH104</f>
        <v>17.811704834605592</v>
      </c>
      <c r="BL110" s="151">
        <f>INPUT!DI104</f>
        <v>501</v>
      </c>
      <c r="BM110" s="507">
        <f>INPUT!DJ104</f>
        <v>9.6280087527352407</v>
      </c>
      <c r="BN110" s="151">
        <f>INPUT!DK104</f>
        <v>467</v>
      </c>
      <c r="BO110" s="507">
        <f>INPUT!DL104</f>
        <v>10.401891252955075</v>
      </c>
      <c r="BP110" s="151">
        <f>INPUT!DM104</f>
        <v>480</v>
      </c>
      <c r="BQ110" s="507">
        <f>INPUT!DN104</f>
        <v>0.84033613445377853</v>
      </c>
      <c r="BR110" s="151">
        <f>INPUT!DO104</f>
        <v>485</v>
      </c>
      <c r="BS110" s="507">
        <f>INPUT!DP104</f>
        <v>4.7516198704103729</v>
      </c>
      <c r="BT110" s="151">
        <f>INPUT!DQ104</f>
        <v>500</v>
      </c>
      <c r="BU110" s="507">
        <f>INPUT!DR104</f>
        <v>-0.19960079840319889</v>
      </c>
      <c r="BV110" s="151">
        <f>INPUT!DS104</f>
        <v>471</v>
      </c>
      <c r="BW110" s="507">
        <f>INPUT!DT104</f>
        <v>0.8565310492505418</v>
      </c>
      <c r="BX110" s="151">
        <f>INPUT!DU104</f>
        <v>498</v>
      </c>
      <c r="BY110" s="507">
        <f>INPUT!DV104</f>
        <v>3.7500000000000089</v>
      </c>
      <c r="BZ110" s="151">
        <f>INPUT!DW104</f>
        <v>481</v>
      </c>
      <c r="CA110" s="507">
        <f>INPUT!DX104</f>
        <v>610</v>
      </c>
      <c r="CB110" s="151">
        <f>INPUT!DY104</f>
        <v>484</v>
      </c>
      <c r="CC110" s="507">
        <f>INPUT!DZ104</f>
        <v>-3.2000000000000028</v>
      </c>
      <c r="CD110" s="151">
        <f>INPUT!EA104</f>
        <v>436</v>
      </c>
      <c r="CE110" s="507">
        <f>INPUT!EB104</f>
        <v>-7.4309978768577478</v>
      </c>
      <c r="CF110" s="151">
        <f>INPUT!EC104</f>
        <v>426</v>
      </c>
      <c r="CG110" s="507">
        <f>INPUT!ED104</f>
        <v>-14.457831325301207</v>
      </c>
      <c r="CH110" s="151">
        <f>INPUT!EE104</f>
        <v>428</v>
      </c>
      <c r="CI110" s="507">
        <f>INPUT!EF104</f>
        <v>-11.018711018711013</v>
      </c>
      <c r="CJ110" s="151">
        <f>INPUT!EG104</f>
        <v>416</v>
      </c>
      <c r="CK110" s="507">
        <f>INPUT!EH104</f>
        <v>-14.049586776859503</v>
      </c>
      <c r="CL110" s="151">
        <f>INPUT!EI104</f>
        <v>437</v>
      </c>
      <c r="CM110" s="507">
        <f>INPUT!EJ104</f>
        <v>0.22935779816513069</v>
      </c>
      <c r="CN110" s="151">
        <f>INPUT!EK104</f>
        <v>446</v>
      </c>
      <c r="CO110" s="507">
        <f>INPUT!EL104</f>
        <v>4.6948356807511749</v>
      </c>
      <c r="CP110" s="151">
        <f>INPUT!EM104</f>
        <v>436</v>
      </c>
      <c r="CQ110" s="507">
        <f>INPUT!EN104</f>
        <v>1.8691588785046731</v>
      </c>
      <c r="CR110" s="151">
        <f>INPUT!EO104</f>
        <v>488</v>
      </c>
      <c r="CS110" s="507">
        <f>INPUT!EP104</f>
        <v>17.307692307692314</v>
      </c>
      <c r="CT110" s="151">
        <f>INPUT!EQ104</f>
        <v>452.4748176678076</v>
      </c>
      <c r="CU110" s="507">
        <f>INPUT!ER104</f>
        <v>3.5411482077362999</v>
      </c>
      <c r="CV110" s="151">
        <f>INPUT!ES104</f>
        <v>451.48871929151659</v>
      </c>
      <c r="CW110" s="507">
        <f>INPUT!ET104</f>
        <v>1.2306545496673982</v>
      </c>
      <c r="CX110" s="151">
        <f>INPUT!EU104</f>
        <v>457.37859745831918</v>
      </c>
      <c r="CY110" s="507">
        <f>INPUT!EV104</f>
        <v>4.9033480408988916</v>
      </c>
      <c r="CZ110" s="151">
        <f>INPUT!EW104</f>
        <v>464.14599733617672</v>
      </c>
      <c r="DA110" s="507">
        <f>INPUT!EX104</f>
        <v>-4.8881152999637916</v>
      </c>
      <c r="DB110" s="507"/>
      <c r="DC110" s="151">
        <f>INPUT!FP104</f>
        <v>873.5</v>
      </c>
      <c r="DD110" s="687">
        <f>INPUT!FQ104</f>
        <v>46.80672268907562</v>
      </c>
      <c r="DE110" s="151">
        <f>INPUT!FR104</f>
        <v>1165.7</v>
      </c>
      <c r="DF110" s="687">
        <f>INPUT!FS104</f>
        <v>33.45163136805953</v>
      </c>
      <c r="DG110" s="151">
        <f>INPUT!FT104</f>
        <v>1460</v>
      </c>
      <c r="DH110" s="687">
        <f>INPUT!FU104</f>
        <v>25.246632924423086</v>
      </c>
      <c r="DI110" s="151">
        <f>INPUT!FV104</f>
        <v>1331.9</v>
      </c>
      <c r="DJ110" s="687">
        <f>INPUT!FW104</f>
        <v>-8.7739726027397218</v>
      </c>
      <c r="DK110" s="151">
        <f>INPUT!FX104</f>
        <v>1255.5999999999999</v>
      </c>
      <c r="DL110" s="507">
        <f>INPUT!FY104</f>
        <v>-5.7286583076807673</v>
      </c>
      <c r="DM110" s="151">
        <f>INPUT!FZ104</f>
        <v>1372.3</v>
      </c>
      <c r="DN110" s="507">
        <f>INPUT!GA104</f>
        <v>9.2943612615482785</v>
      </c>
      <c r="DO110" s="151">
        <f>INPUT!GB104</f>
        <v>1459.5</v>
      </c>
      <c r="DP110" s="507">
        <f>INPUT!GC104</f>
        <v>6.3542957079355755</v>
      </c>
      <c r="DQ110" s="151">
        <f>INPUT!GD104</f>
        <v>1618</v>
      </c>
      <c r="DR110" s="507">
        <f>INPUT!GE104</f>
        <v>10.859883521754021</v>
      </c>
      <c r="DS110" s="151">
        <f>INPUT!GF104</f>
        <v>1863</v>
      </c>
      <c r="DT110" s="507">
        <f>INPUT!GG104</f>
        <v>15.142150803461064</v>
      </c>
      <c r="DU110" s="151">
        <f>INPUT!GH104</f>
        <v>1932</v>
      </c>
      <c r="DV110" s="507">
        <f>INPUT!GI104</f>
        <v>3.7037037037036979</v>
      </c>
      <c r="DW110" s="151">
        <f>INPUT!GJ104</f>
        <v>1934</v>
      </c>
      <c r="DX110" s="507">
        <f>INPUT!GK104</f>
        <v>0.10351966873705098</v>
      </c>
      <c r="DY110" s="151">
        <f>INPUT!GL104</f>
        <v>1706</v>
      </c>
      <c r="DZ110" s="507">
        <f>INPUT!GM104</f>
        <v>-11.789038262668051</v>
      </c>
      <c r="EA110" s="151">
        <f>INPUT!GN104</f>
        <v>1807</v>
      </c>
      <c r="EB110" s="507">
        <f>INPUT!GO104</f>
        <v>5.9202813599062099</v>
      </c>
      <c r="EC110" s="151">
        <f>INPUT!GP104</f>
        <v>1825.4881317538202</v>
      </c>
      <c r="ED110" s="507">
        <f>INPUT!GQ104</f>
        <v>1.0231395547216415</v>
      </c>
      <c r="EE110" s="151">
        <f>INPUT!GR104</f>
        <v>1914.1854440464092</v>
      </c>
      <c r="EF110" s="507">
        <f>INPUT!GS104</f>
        <v>4.8588271131280392</v>
      </c>
      <c r="EG110" s="151">
        <f>INPUT!GT104</f>
        <v>2024.5991418561371</v>
      </c>
      <c r="EH110" s="507">
        <f>INPUT!GU104</f>
        <v>5.7681818735557666</v>
      </c>
      <c r="EI110" s="151">
        <f>INPUT!GV104</f>
        <v>2151.9730104114324</v>
      </c>
      <c r="EJ110" s="507">
        <f>INPUT!GW104</f>
        <v>6.29131297756651</v>
      </c>
      <c r="EK110" s="151">
        <f>INPUT!GX104</f>
        <v>2303.4708263269736</v>
      </c>
      <c r="EL110" s="507">
        <f>INPUT!GY104</f>
        <v>7.0399496268113815</v>
      </c>
      <c r="EM110" s="257">
        <f>INPUT!GZ104</f>
        <v>4.974765399188108</v>
      </c>
    </row>
    <row r="111" spans="1:143" ht="12.75" hidden="1" customHeight="1" outlineLevel="1" x14ac:dyDescent="0.2">
      <c r="A111" s="701" t="str">
        <f>INPUT!B106</f>
        <v xml:space="preserve"> Total Benefits and Expenses</v>
      </c>
      <c r="B111" s="151">
        <f>INPUT!AY106</f>
        <v>288.10000000000002</v>
      </c>
      <c r="C111" s="507">
        <f>INPUT!AZ106</f>
        <v>3.484195402298873</v>
      </c>
      <c r="D111" s="151">
        <f>INPUT!BA106</f>
        <v>431</v>
      </c>
      <c r="E111" s="687">
        <f>INPUT!BB106</f>
        <v>52.296819787985861</v>
      </c>
      <c r="F111" s="151">
        <f>INPUT!BC106</f>
        <v>462.9</v>
      </c>
      <c r="G111" s="687">
        <f>INPUT!BD106</f>
        <v>79.697204968944078</v>
      </c>
      <c r="H111" s="151">
        <f>INPUT!BE106</f>
        <v>476</v>
      </c>
      <c r="I111" s="687">
        <f>INPUT!BF106</f>
        <v>68.674698795180731</v>
      </c>
      <c r="J111" s="151">
        <f>INPUT!BG106</f>
        <v>436.5</v>
      </c>
      <c r="K111" s="687">
        <f>INPUT!BH106</f>
        <v>51.509892398472743</v>
      </c>
      <c r="L111" s="151">
        <f>INPUT!BI106</f>
        <v>458.70000000000005</v>
      </c>
      <c r="M111" s="687">
        <f>INPUT!BJ106</f>
        <v>6.4269141531322571</v>
      </c>
      <c r="N111" s="151">
        <f>INPUT!BK106</f>
        <v>477</v>
      </c>
      <c r="O111" s="687">
        <f>INPUT!BL106</f>
        <v>3.0460142579390892</v>
      </c>
      <c r="P111" s="151">
        <f>INPUT!BM106</f>
        <v>517.20000000000005</v>
      </c>
      <c r="Q111" s="687">
        <f>INPUT!BN106</f>
        <v>8.6554621848739632</v>
      </c>
      <c r="R111" s="151">
        <f>INPUT!BO106</f>
        <v>466.2</v>
      </c>
      <c r="S111" s="687">
        <f>INPUT!BP106</f>
        <v>6.8041237113402042</v>
      </c>
      <c r="T111" s="151">
        <f>INPUT!BQ106</f>
        <v>466.4</v>
      </c>
      <c r="U111" s="687">
        <f>INPUT!BR106</f>
        <v>1.6786570743405171</v>
      </c>
      <c r="V111" s="151">
        <f>INPUT!BS106</f>
        <v>536.6</v>
      </c>
      <c r="W111" s="687">
        <f>INPUT!BT106</f>
        <v>12.494758909853253</v>
      </c>
      <c r="X111" s="151">
        <f>INPUT!BU106</f>
        <v>876.2</v>
      </c>
      <c r="Y111" s="687">
        <f>INPUT!BV106</f>
        <v>69.412219644238206</v>
      </c>
      <c r="Z111" s="151">
        <f>INPUT!BW106</f>
        <v>459.1</v>
      </c>
      <c r="AA111" s="122">
        <f>INPUT!BX106</f>
        <v>-1.5229515229515211</v>
      </c>
      <c r="AB111" s="151">
        <f>INPUT!BY106</f>
        <v>475.9</v>
      </c>
      <c r="AC111" s="687">
        <f>INPUT!BZ106</f>
        <v>2.0368782161235055</v>
      </c>
      <c r="AD111" s="151">
        <f>INPUT!CA106</f>
        <v>486.20000000000005</v>
      </c>
      <c r="AE111" s="687">
        <f>INPUT!CB106</f>
        <v>-9.3924711144241506</v>
      </c>
      <c r="AF111" s="151">
        <f>INPUT!CC106</f>
        <v>486</v>
      </c>
      <c r="AG111" s="687">
        <f>INPUT!CD106</f>
        <v>-44.533211595526133</v>
      </c>
      <c r="AH111" s="151">
        <f>INPUT!CE106</f>
        <v>479.8</v>
      </c>
      <c r="AI111" s="507">
        <f>INPUT!CF106</f>
        <v>4.5088216074929077</v>
      </c>
      <c r="AJ111" s="151">
        <f>INPUT!CG106</f>
        <v>499.6</v>
      </c>
      <c r="AK111" s="507">
        <f>INPUT!CH106</f>
        <v>4.980037823072081</v>
      </c>
      <c r="AL111" s="151">
        <f>INPUT!CI106</f>
        <v>524</v>
      </c>
      <c r="AM111" s="507">
        <f>INPUT!CJ106</f>
        <v>7.7745783628136556</v>
      </c>
      <c r="AN111" s="151">
        <f>INPUT!CK106</f>
        <v>565</v>
      </c>
      <c r="AO111" s="507">
        <f>INPUT!CL106</f>
        <v>16.255144032921809</v>
      </c>
      <c r="AP111" s="151">
        <f>INPUT!CM106</f>
        <v>549.29999999999995</v>
      </c>
      <c r="AQ111" s="507">
        <f>INPUT!CN106</f>
        <v>14.48520216756981</v>
      </c>
      <c r="AR111" s="151">
        <f>INPUT!CO106</f>
        <v>556.1</v>
      </c>
      <c r="AS111" s="507">
        <f>INPUT!CP106</f>
        <v>11.309047237790226</v>
      </c>
      <c r="AT111" s="151">
        <f>INPUT!CQ106</f>
        <v>551</v>
      </c>
      <c r="AU111" s="507">
        <f>INPUT!CR106</f>
        <v>5.15267175572518</v>
      </c>
      <c r="AV111" s="151">
        <f>INPUT!CS106</f>
        <v>537</v>
      </c>
      <c r="AW111" s="507">
        <f>INPUT!CT106</f>
        <v>-4.9557522123893865</v>
      </c>
      <c r="AX111" s="151">
        <f>INPUT!CU106</f>
        <v>569</v>
      </c>
      <c r="AY111" s="507">
        <f>INPUT!CV106</f>
        <v>3.5863826688512734</v>
      </c>
      <c r="AZ111" s="151">
        <f>INPUT!CW106</f>
        <v>538</v>
      </c>
      <c r="BA111" s="507">
        <f>INPUT!CX106</f>
        <v>-3.2548102859198069</v>
      </c>
      <c r="BB111" s="151">
        <f>INPUT!CY106</f>
        <v>572</v>
      </c>
      <c r="BC111" s="507">
        <f>INPUT!CZ106</f>
        <v>3.8112522686025496</v>
      </c>
      <c r="BD111" s="151">
        <f>INPUT!DA106</f>
        <v>580</v>
      </c>
      <c r="BE111" s="507">
        <f>INPUT!DB106</f>
        <v>8.0074487895716917</v>
      </c>
      <c r="BF111" s="151">
        <f>INPUT!DC106</f>
        <v>583</v>
      </c>
      <c r="BG111" s="507">
        <f>INPUT!DD106</f>
        <v>2.4604569420035194</v>
      </c>
      <c r="BH111" s="151">
        <f>INPUT!DE106</f>
        <v>574</v>
      </c>
      <c r="BI111" s="507">
        <f>INPUT!DF106</f>
        <v>6.6914498141263934</v>
      </c>
      <c r="BJ111" s="151">
        <f>INPUT!DG106</f>
        <v>603</v>
      </c>
      <c r="BK111" s="507">
        <f>INPUT!DH106</f>
        <v>5.4195804195804165</v>
      </c>
      <c r="BL111" s="151">
        <f>INPUT!DI106</f>
        <v>634</v>
      </c>
      <c r="BM111" s="507">
        <f>INPUT!DJ106</f>
        <v>9.3103448275862135</v>
      </c>
      <c r="BN111" s="151">
        <f>INPUT!DK106</f>
        <v>643</v>
      </c>
      <c r="BO111" s="507">
        <f>INPUT!DL106</f>
        <v>10.291595197255576</v>
      </c>
      <c r="BP111" s="151">
        <f>INPUT!DM106</f>
        <v>640</v>
      </c>
      <c r="BQ111" s="507">
        <f>INPUT!DN106</f>
        <v>11.498257839721248</v>
      </c>
      <c r="BR111" s="151">
        <f>INPUT!DO106</f>
        <v>629</v>
      </c>
      <c r="BS111" s="507">
        <f>INPUT!DP106</f>
        <v>4.3117744610281949</v>
      </c>
      <c r="BT111" s="151">
        <f>INPUT!DQ106</f>
        <v>669</v>
      </c>
      <c r="BU111" s="507">
        <f>INPUT!DR106</f>
        <v>5.5205047318612088</v>
      </c>
      <c r="BV111" s="151">
        <f>INPUT!DS106</f>
        <v>696</v>
      </c>
      <c r="BW111" s="507">
        <f>INPUT!DT106</f>
        <v>8.2426127527216231</v>
      </c>
      <c r="BX111" s="151">
        <f>INPUT!DU106</f>
        <v>663</v>
      </c>
      <c r="BY111" s="507">
        <f>INPUT!DV106</f>
        <v>3.5937499999999956</v>
      </c>
      <c r="BZ111" s="151">
        <f>INPUT!DW106</f>
        <v>732</v>
      </c>
      <c r="CA111" s="507">
        <f>INPUT!DX106</f>
        <v>732</v>
      </c>
      <c r="CB111" s="151">
        <f>INPUT!DY106</f>
        <v>770</v>
      </c>
      <c r="CC111" s="507">
        <f>INPUT!DZ106</f>
        <v>15.097159940209259</v>
      </c>
      <c r="CD111" s="151">
        <f>INPUT!EA106</f>
        <v>767</v>
      </c>
      <c r="CE111" s="507">
        <f>INPUT!EB106</f>
        <v>10.201149425287358</v>
      </c>
      <c r="CF111" s="151">
        <f>INPUT!EC106</f>
        <v>687</v>
      </c>
      <c r="CG111" s="507">
        <f>INPUT!ED106</f>
        <v>3.6199095022624528</v>
      </c>
      <c r="CH111" s="151">
        <f>INPUT!EE106</f>
        <v>697</v>
      </c>
      <c r="CI111" s="507">
        <f>INPUT!EF106</f>
        <v>-4.7814207650273222</v>
      </c>
      <c r="CJ111" s="151">
        <f>INPUT!EG106</f>
        <v>705</v>
      </c>
      <c r="CK111" s="507">
        <f>INPUT!EH106</f>
        <v>-8.4415584415584384</v>
      </c>
      <c r="CL111" s="151">
        <f>INPUT!EI106</f>
        <v>781</v>
      </c>
      <c r="CM111" s="507">
        <f>INPUT!EJ106</f>
        <v>1.8252933507170832</v>
      </c>
      <c r="CN111" s="151">
        <f>INPUT!EK106</f>
        <v>766</v>
      </c>
      <c r="CO111" s="507">
        <f>INPUT!EL106</f>
        <v>11.499272197962163</v>
      </c>
      <c r="CP111" s="151">
        <f>INPUT!EM106</f>
        <v>723</v>
      </c>
      <c r="CQ111" s="507">
        <f>INPUT!EN106</f>
        <v>3.7302725968436201</v>
      </c>
      <c r="CR111" s="151">
        <f>INPUT!EO106</f>
        <v>834</v>
      </c>
      <c r="CS111" s="507">
        <f>INPUT!EP106</f>
        <v>18.297872340425524</v>
      </c>
      <c r="CT111" s="151">
        <f>INPUT!EQ106</f>
        <v>778.90632491955557</v>
      </c>
      <c r="CU111" s="507">
        <f>INPUT!ER106</f>
        <v>-0.26807619467917876</v>
      </c>
      <c r="CV111" s="151">
        <f>INPUT!ES106</f>
        <v>779.9140116181095</v>
      </c>
      <c r="CW111" s="507">
        <f>INPUT!ET106</f>
        <v>1.8164506028863547</v>
      </c>
      <c r="CX111" s="151">
        <f>INPUT!EU106</f>
        <v>790.75884662083047</v>
      </c>
      <c r="CY111" s="507">
        <f>INPUT!EV106</f>
        <v>9.3719013306819541</v>
      </c>
      <c r="CZ111" s="151">
        <f>INPUT!EW106</f>
        <v>803.15027309337006</v>
      </c>
      <c r="DA111" s="507">
        <f>INPUT!EX106</f>
        <v>-3.6990080223776922</v>
      </c>
      <c r="DB111" s="507"/>
      <c r="DC111" s="151">
        <f>INPUT!FP106</f>
        <v>1101.0999999999999</v>
      </c>
      <c r="DD111" s="687">
        <f>INPUT!FQ106</f>
        <v>2.6188257222739875</v>
      </c>
      <c r="DE111" s="151">
        <f>INPUT!FR106</f>
        <v>1658</v>
      </c>
      <c r="DF111" s="687">
        <f>INPUT!FS106</f>
        <v>50.576696031241511</v>
      </c>
      <c r="DG111" s="151">
        <f>INPUT!FT106</f>
        <v>1889.4</v>
      </c>
      <c r="DH111" s="687">
        <f>INPUT!FU106</f>
        <v>13.956574185765991</v>
      </c>
      <c r="DI111" s="151">
        <f>INPUT!FV106</f>
        <v>2345.3999999999996</v>
      </c>
      <c r="DJ111" s="687">
        <f>INPUT!FW106</f>
        <v>24.134645919339448</v>
      </c>
      <c r="DK111" s="151">
        <f>INPUT!FX106</f>
        <v>1907.1999999999998</v>
      </c>
      <c r="DL111" s="507">
        <f>INPUT!FY106</f>
        <v>-18.68338023364884</v>
      </c>
      <c r="DM111" s="151">
        <f>INPUT!FZ106</f>
        <v>2068.3999999999996</v>
      </c>
      <c r="DN111" s="507">
        <f>INPUT!GA106</f>
        <v>8.4521812080536876</v>
      </c>
      <c r="DO111" s="151">
        <f>INPUT!GB106</f>
        <v>2193.3999999999996</v>
      </c>
      <c r="DP111" s="507">
        <f>INPUT!GC106</f>
        <v>6.0433185070585926</v>
      </c>
      <c r="DQ111" s="151">
        <f>INPUT!GD106</f>
        <v>2259</v>
      </c>
      <c r="DR111" s="507">
        <f>INPUT!GE106</f>
        <v>2.9907905534786394</v>
      </c>
      <c r="DS111" s="151">
        <f>INPUT!GF106</f>
        <v>2394</v>
      </c>
      <c r="DT111" s="507">
        <f>INPUT!GG106</f>
        <v>5.9760956175298752</v>
      </c>
      <c r="DU111" s="151">
        <f>INPUT!GH106</f>
        <v>2581</v>
      </c>
      <c r="DV111" s="507">
        <f>INPUT!GI106</f>
        <v>7.8111946532999132</v>
      </c>
      <c r="DW111" s="151">
        <f>INPUT!GJ106</f>
        <v>2861</v>
      </c>
      <c r="DX111" s="507">
        <f>INPUT!GK106</f>
        <v>10.8485083301046</v>
      </c>
      <c r="DY111" s="151">
        <f>INPUT!GL106</f>
        <v>2856</v>
      </c>
      <c r="DZ111" s="507">
        <f>INPUT!GM106</f>
        <v>-0.1747640685075158</v>
      </c>
      <c r="EA111" s="151">
        <f>INPUT!GN106</f>
        <v>3104</v>
      </c>
      <c r="EB111" s="507">
        <f>INPUT!GO106</f>
        <v>8.6834733893557328</v>
      </c>
      <c r="EC111" s="151">
        <f>INPUT!GP106</f>
        <v>3152.7294562518659</v>
      </c>
      <c r="ED111" s="507">
        <f>INPUT!GQ106</f>
        <v>1.5698922761554712</v>
      </c>
      <c r="EE111" s="151">
        <f>INPUT!GR106</f>
        <v>3327.1898508821032</v>
      </c>
      <c r="EF111" s="507">
        <f>INPUT!GS106</f>
        <v>5.5336303685773691</v>
      </c>
      <c r="EG111" s="151">
        <f>INPUT!GT106</f>
        <v>3525.2530611411494</v>
      </c>
      <c r="EH111" s="507">
        <f>INPUT!GU106</f>
        <v>5.9528677092632876</v>
      </c>
      <c r="EI111" s="151">
        <f>INPUT!GV106</f>
        <v>3747.988958708359</v>
      </c>
      <c r="EJ111" s="507">
        <f>INPUT!GW106</f>
        <v>6.3182952742436127</v>
      </c>
      <c r="EK111" s="151">
        <f>INPUT!GX106</f>
        <v>3999.1245452531966</v>
      </c>
      <c r="EL111" s="507">
        <f>INPUT!GY106</f>
        <v>6.7005423258073016</v>
      </c>
      <c r="EM111" s="257">
        <f>INPUT!GZ106</f>
        <v>5.1982810372172228</v>
      </c>
    </row>
    <row r="112" spans="1:143" ht="12.75" hidden="1" customHeight="1" outlineLevel="1" x14ac:dyDescent="0.2">
      <c r="A112" s="701"/>
      <c r="B112" s="16"/>
      <c r="C112" s="507"/>
      <c r="D112" s="16"/>
      <c r="E112" s="687"/>
      <c r="F112" s="16"/>
      <c r="G112" s="687"/>
      <c r="H112" s="16"/>
      <c r="I112" s="687"/>
      <c r="J112" s="16"/>
      <c r="K112" s="507"/>
      <c r="L112" s="16"/>
      <c r="M112" s="507"/>
      <c r="N112" s="16"/>
      <c r="O112" s="507"/>
      <c r="P112" s="16"/>
      <c r="Q112" s="507"/>
      <c r="R112" s="16"/>
      <c r="S112" s="507"/>
      <c r="T112" s="16"/>
      <c r="U112" s="507"/>
      <c r="V112" s="16"/>
      <c r="W112" s="507"/>
      <c r="X112" s="16"/>
      <c r="Y112" s="507"/>
      <c r="Z112" s="16"/>
      <c r="AA112" s="122"/>
      <c r="AB112" s="16"/>
      <c r="AC112" s="507"/>
      <c r="AD112" s="16"/>
      <c r="AE112" s="507"/>
      <c r="AF112" s="16"/>
      <c r="AG112" s="507"/>
      <c r="AH112" s="16"/>
      <c r="AI112" s="507"/>
      <c r="AJ112" s="16"/>
      <c r="AK112" s="507"/>
      <c r="AL112" s="16"/>
      <c r="AM112" s="507"/>
      <c r="AN112" s="16"/>
      <c r="AO112" s="507"/>
      <c r="AP112" s="16"/>
      <c r="AQ112" s="507"/>
      <c r="AR112" s="16"/>
      <c r="AS112" s="507"/>
      <c r="AT112" s="16"/>
      <c r="AU112" s="507"/>
      <c r="AV112" s="16"/>
      <c r="AW112" s="507"/>
      <c r="AX112" s="16"/>
      <c r="AY112" s="507"/>
      <c r="AZ112" s="16"/>
      <c r="BA112" s="507"/>
      <c r="BB112" s="16"/>
      <c r="BC112" s="507"/>
      <c r="BD112" s="16"/>
      <c r="BE112" s="507"/>
      <c r="BF112" s="16"/>
      <c r="BG112" s="507"/>
      <c r="BH112" s="16"/>
      <c r="BI112" s="507"/>
      <c r="BJ112" s="16"/>
      <c r="BK112" s="507"/>
      <c r="BL112" s="16"/>
      <c r="BM112" s="507"/>
      <c r="BN112" s="16"/>
      <c r="BO112" s="507"/>
      <c r="BP112" s="16"/>
      <c r="BQ112" s="507"/>
      <c r="BR112" s="16"/>
      <c r="BS112" s="507"/>
      <c r="BT112" s="16"/>
      <c r="BU112" s="507"/>
      <c r="BV112" s="16"/>
      <c r="BW112" s="507"/>
      <c r="BX112" s="16"/>
      <c r="BY112" s="507"/>
      <c r="BZ112" s="16"/>
      <c r="CA112" s="507"/>
      <c r="CB112" s="16"/>
      <c r="CC112" s="507"/>
      <c r="CD112" s="16"/>
      <c r="CE112" s="507"/>
      <c r="CF112" s="16"/>
      <c r="CG112" s="507"/>
      <c r="CH112" s="16"/>
      <c r="CI112" s="507"/>
      <c r="CJ112" s="16"/>
      <c r="CK112" s="507"/>
      <c r="CL112" s="16"/>
      <c r="CM112" s="507"/>
      <c r="CN112" s="16"/>
      <c r="CO112" s="507"/>
      <c r="CP112" s="16"/>
      <c r="CQ112" s="507"/>
      <c r="CR112" s="16"/>
      <c r="CS112" s="507"/>
      <c r="CT112" s="16"/>
      <c r="CU112" s="507"/>
      <c r="CV112" s="16"/>
      <c r="CW112" s="507"/>
      <c r="CX112" s="16"/>
      <c r="CY112" s="507"/>
      <c r="CZ112" s="16"/>
      <c r="DA112" s="507"/>
      <c r="DB112" s="507"/>
      <c r="DC112" s="16"/>
      <c r="DD112" s="507"/>
      <c r="DE112" s="16"/>
      <c r="DF112" s="507"/>
      <c r="DG112" s="16"/>
      <c r="DH112" s="507"/>
      <c r="DI112" s="16"/>
      <c r="DJ112" s="507"/>
      <c r="DK112" s="16"/>
      <c r="DL112" s="507"/>
      <c r="DM112" s="16"/>
      <c r="DN112" s="507"/>
      <c r="DO112" s="16"/>
      <c r="DP112" s="507"/>
      <c r="DQ112" s="16"/>
      <c r="DR112" s="507"/>
      <c r="DS112" s="16"/>
      <c r="DT112" s="507"/>
      <c r="DU112" s="16"/>
      <c r="DV112" s="507"/>
      <c r="DW112" s="16"/>
      <c r="DX112" s="507"/>
      <c r="DY112" s="16"/>
      <c r="DZ112" s="507"/>
      <c r="EA112" s="16"/>
      <c r="EB112" s="507"/>
      <c r="EC112" s="16"/>
      <c r="ED112" s="507"/>
      <c r="EE112" s="16"/>
      <c r="EF112" s="507"/>
      <c r="EG112" s="16"/>
      <c r="EH112" s="507"/>
      <c r="EI112" s="16"/>
      <c r="EJ112" s="507"/>
      <c r="EK112" s="16"/>
      <c r="EL112" s="507"/>
      <c r="EM112" s="687"/>
    </row>
    <row r="113" spans="1:143" ht="12.75" hidden="1" customHeight="1" outlineLevel="1" x14ac:dyDescent="0.2">
      <c r="A113" s="701" t="str">
        <f>INPUT!B113</f>
        <v>Pretax Earnings</v>
      </c>
      <c r="B113" s="151">
        <f>INPUT!AY113</f>
        <v>86.699999999999989</v>
      </c>
      <c r="C113" s="507">
        <f>INPUT!AZ113</f>
        <v>41.20521172638427</v>
      </c>
      <c r="D113" s="151">
        <f>INPUT!BA113</f>
        <v>121.60000000000002</v>
      </c>
      <c r="E113" s="687">
        <f>INPUT!BB113</f>
        <v>86.503067484662651</v>
      </c>
      <c r="F113" s="151">
        <f>INPUT!BC113</f>
        <v>133.60000000000002</v>
      </c>
      <c r="G113" s="687">
        <f>INPUT!BD113</f>
        <v>27.48091603053442</v>
      </c>
      <c r="H113" s="151">
        <f>INPUT!BE113</f>
        <v>161.29999999999995</v>
      </c>
      <c r="I113" s="687">
        <f>INPUT!BF113</f>
        <v>79.421579532814121</v>
      </c>
      <c r="J113" s="151">
        <f>INPUT!BG113</f>
        <v>153.89999999999998</v>
      </c>
      <c r="K113" s="687">
        <f>INPUT!BH113</f>
        <v>77.508650519031136</v>
      </c>
      <c r="L113" s="151">
        <f>INPUT!BI113</f>
        <v>165</v>
      </c>
      <c r="M113" s="687">
        <f>INPUT!BJ113</f>
        <v>35.690789473684184</v>
      </c>
      <c r="N113" s="151">
        <f>INPUT!BK113</f>
        <v>170</v>
      </c>
      <c r="O113" s="687">
        <f>INPUT!BL113</f>
        <v>27.245508982035904</v>
      </c>
      <c r="P113" s="151">
        <f>INPUT!BM113</f>
        <v>155.09999999999991</v>
      </c>
      <c r="Q113" s="687">
        <f>INPUT!BN113</f>
        <v>-3.8437693738376022</v>
      </c>
      <c r="R113" s="151">
        <f>INPUT!BO113</f>
        <v>156.40000000000003</v>
      </c>
      <c r="S113" s="687">
        <f>INPUT!BP113</f>
        <v>1.6244314489928913</v>
      </c>
      <c r="T113" s="151">
        <f>INPUT!BQ113</f>
        <v>152.30000000000007</v>
      </c>
      <c r="U113" s="687">
        <f>INPUT!BR113</f>
        <v>-7.6969696969696582</v>
      </c>
      <c r="V113" s="151">
        <f>INPUT!BS113</f>
        <v>138.60000000000002</v>
      </c>
      <c r="W113" s="687">
        <f>INPUT!BT113</f>
        <v>-18.470588235294105</v>
      </c>
      <c r="X113" s="151">
        <f>INPUT!BU113</f>
        <v>-308.90000000000009</v>
      </c>
      <c r="Y113" s="687" t="str">
        <f>INPUT!BV113</f>
        <v>NM</v>
      </c>
      <c r="Z113" s="151">
        <f>INPUT!BW113</f>
        <v>62.600000000000023</v>
      </c>
      <c r="AA113" s="122" t="str">
        <f>INPUT!BX113</f>
        <v>NM</v>
      </c>
      <c r="AB113" s="151">
        <f>INPUT!BY113</f>
        <v>76.600000000000023</v>
      </c>
      <c r="AC113" s="687">
        <f>INPUT!BZ113</f>
        <v>-49.704530531845052</v>
      </c>
      <c r="AD113" s="151">
        <f>INPUT!CA113</f>
        <v>112</v>
      </c>
      <c r="AE113" s="687">
        <f>INPUT!CB113</f>
        <v>-19.191919191919204</v>
      </c>
      <c r="AF113" s="151">
        <f>INPUT!CC113</f>
        <v>142.89999999999998</v>
      </c>
      <c r="AG113" s="687" t="str">
        <f>INPUT!CD113</f>
        <v>NM</v>
      </c>
      <c r="AH113" s="151">
        <f>INPUT!CE113</f>
        <v>150.09999999999997</v>
      </c>
      <c r="AI113" s="507" t="str">
        <f>INPUT!CF113</f>
        <v>NM</v>
      </c>
      <c r="AJ113" s="151">
        <f>INPUT!CG113</f>
        <v>145</v>
      </c>
      <c r="AK113" s="507">
        <f>INPUT!CH113</f>
        <v>89.295039164490802</v>
      </c>
      <c r="AL113" s="151">
        <f>INPUT!CI113</f>
        <v>136.29999999999995</v>
      </c>
      <c r="AM113" s="507">
        <f>INPUT!CJ113</f>
        <v>21.696428571428527</v>
      </c>
      <c r="AN113" s="151">
        <f>INPUT!CK113</f>
        <v>154.89999999999998</v>
      </c>
      <c r="AO113" s="507">
        <f>INPUT!CL113</f>
        <v>8.3974807557732678</v>
      </c>
      <c r="AP113" s="151">
        <f>INPUT!CM113</f>
        <v>183.90000000000009</v>
      </c>
      <c r="AQ113" s="507">
        <f>INPUT!CN113</f>
        <v>22.518321119253915</v>
      </c>
      <c r="AR113" s="151">
        <f>INPUT!CO113</f>
        <v>178.69999999999993</v>
      </c>
      <c r="AS113" s="507">
        <f>INPUT!CP113</f>
        <v>23.241379310344779</v>
      </c>
      <c r="AT113" s="151">
        <f>INPUT!CQ113</f>
        <v>160</v>
      </c>
      <c r="AU113" s="507">
        <f>INPUT!CR113</f>
        <v>17.388114453411639</v>
      </c>
      <c r="AV113" s="151">
        <f>INPUT!CS113</f>
        <v>155</v>
      </c>
      <c r="AW113" s="507">
        <f>INPUT!CT113</f>
        <v>6.4557779212415234E-2</v>
      </c>
      <c r="AX113" s="151">
        <f>INPUT!CU113</f>
        <v>162</v>
      </c>
      <c r="AY113" s="507">
        <f>INPUT!CV113</f>
        <v>-11.908646003262691</v>
      </c>
      <c r="AZ113" s="151">
        <f>INPUT!CW113</f>
        <v>196</v>
      </c>
      <c r="BA113" s="507">
        <f>INPUT!CX113</f>
        <v>9.6810296586458122</v>
      </c>
      <c r="BB113" s="151">
        <f>INPUT!CY113</f>
        <v>173</v>
      </c>
      <c r="BC113" s="507">
        <f>INPUT!CZ113</f>
        <v>8.1250000000000036</v>
      </c>
      <c r="BD113" s="151">
        <f>INPUT!DA113</f>
        <v>186</v>
      </c>
      <c r="BE113" s="507">
        <f>INPUT!DB113</f>
        <v>19.999999999999996</v>
      </c>
      <c r="BF113" s="151">
        <f>INPUT!DC113</f>
        <v>194</v>
      </c>
      <c r="BG113" s="507">
        <f>INPUT!DD113</f>
        <v>19.753086419753085</v>
      </c>
      <c r="BH113" s="151">
        <f>INPUT!DE113</f>
        <v>243</v>
      </c>
      <c r="BI113" s="507">
        <f>INPUT!DF113</f>
        <v>23.979591836734706</v>
      </c>
      <c r="BJ113" s="151">
        <f>INPUT!DG113</f>
        <v>239</v>
      </c>
      <c r="BK113" s="507">
        <f>INPUT!DH113</f>
        <v>38.150289017341031</v>
      </c>
      <c r="BL113" s="151">
        <f>INPUT!DI113</f>
        <v>252</v>
      </c>
      <c r="BM113" s="507">
        <f>INPUT!DJ113</f>
        <v>35.483870967741929</v>
      </c>
      <c r="BN113" s="151">
        <f>INPUT!DK113</f>
        <v>266</v>
      </c>
      <c r="BO113" s="507">
        <f>INPUT!DL113</f>
        <v>37.113402061855673</v>
      </c>
      <c r="BP113" s="151">
        <f>INPUT!DM113</f>
        <v>286</v>
      </c>
      <c r="BQ113" s="507">
        <f>INPUT!DN113</f>
        <v>17.695473251028805</v>
      </c>
      <c r="BR113" s="151">
        <f>INPUT!DO113</f>
        <v>315</v>
      </c>
      <c r="BS113" s="507">
        <f>INPUT!DP113</f>
        <v>31.799163179916313</v>
      </c>
      <c r="BT113" s="151">
        <f>INPUT!DQ113</f>
        <v>297</v>
      </c>
      <c r="BU113" s="507">
        <f>INPUT!DR113</f>
        <v>17.857142857142861</v>
      </c>
      <c r="BV113" s="151">
        <f>INPUT!DS113</f>
        <v>293</v>
      </c>
      <c r="BW113" s="507">
        <f>INPUT!DT113</f>
        <v>10.150375939849621</v>
      </c>
      <c r="BX113" s="151">
        <f>INPUT!DU113</f>
        <v>328</v>
      </c>
      <c r="BY113" s="507">
        <f>INPUT!DV113</f>
        <v>14.685314685314687</v>
      </c>
      <c r="BZ113" s="151">
        <f>INPUT!DW113</f>
        <v>328</v>
      </c>
      <c r="CA113" s="507">
        <f>INPUT!DX113</f>
        <v>328</v>
      </c>
      <c r="CB113" s="151">
        <f>INPUT!DY113</f>
        <v>309</v>
      </c>
      <c r="CC113" s="507">
        <f>INPUT!DZ113</f>
        <v>4.0404040404040442</v>
      </c>
      <c r="CD113" s="151">
        <f>INPUT!EA113</f>
        <v>272</v>
      </c>
      <c r="CE113" s="507">
        <f>INPUT!EB113</f>
        <v>-7.1672354948805417</v>
      </c>
      <c r="CF113" s="151">
        <f>INPUT!EC113</f>
        <v>296</v>
      </c>
      <c r="CG113" s="507">
        <f>INPUT!ED113</f>
        <v>-9.7560975609756078</v>
      </c>
      <c r="CH113" s="151">
        <f>INPUT!EE113</f>
        <v>303</v>
      </c>
      <c r="CI113" s="507">
        <f>INPUT!EF113</f>
        <v>-7.6219512195121908</v>
      </c>
      <c r="CJ113" s="151">
        <f>INPUT!EG113</f>
        <v>306</v>
      </c>
      <c r="CK113" s="507">
        <f>INPUT!EH113</f>
        <v>-0.97087378640776656</v>
      </c>
      <c r="CL113" s="151">
        <f>INPUT!EI113</f>
        <v>280</v>
      </c>
      <c r="CM113" s="507">
        <f>INPUT!EJ113</f>
        <v>2.9411764705882248</v>
      </c>
      <c r="CN113" s="151">
        <f>INPUT!EK113</f>
        <v>310</v>
      </c>
      <c r="CO113" s="507">
        <f>INPUT!EL113</f>
        <v>4.7297297297297369</v>
      </c>
      <c r="CP113" s="151">
        <f>INPUT!EM113</f>
        <v>350</v>
      </c>
      <c r="CQ113" s="507">
        <f>INPUT!EN113</f>
        <v>15.511551155115511</v>
      </c>
      <c r="CR113" s="151">
        <f>INPUT!EO113</f>
        <v>333</v>
      </c>
      <c r="CS113" s="507">
        <f>INPUT!EP113</f>
        <v>8.8235294117646959</v>
      </c>
      <c r="CT113" s="151">
        <f>INPUT!EQ113</f>
        <v>329.9493323058141</v>
      </c>
      <c r="CU113" s="507">
        <f>INPUT!ER113</f>
        <v>17.839047252076455</v>
      </c>
      <c r="CV113" s="151">
        <f>INPUT!ES113</f>
        <v>329.21500372772516</v>
      </c>
      <c r="CW113" s="507">
        <f>INPUT!ET113</f>
        <v>6.1983882992661776</v>
      </c>
      <c r="CX113" s="151">
        <f>INPUT!EU113</f>
        <v>333.60108321364203</v>
      </c>
      <c r="CY113" s="507">
        <f>INPUT!EV113</f>
        <v>-4.6854047961022776</v>
      </c>
      <c r="CZ113" s="151">
        <f>INPUT!EW113</f>
        <v>338.64063631417412</v>
      </c>
      <c r="DA113" s="507">
        <f>INPUT!EX113</f>
        <v>1.6938847790312739</v>
      </c>
      <c r="DB113" s="507"/>
      <c r="DC113" s="151">
        <f>INPUT!FP113</f>
        <v>321.40000000000009</v>
      </c>
      <c r="DD113" s="687">
        <f>INPUT!FQ113</f>
        <v>22.671755725190867</v>
      </c>
      <c r="DE113" s="151">
        <f>INPUT!FR113</f>
        <v>503.19999999999982</v>
      </c>
      <c r="DF113" s="687">
        <f>INPUT!FS113</f>
        <v>56.565028002489015</v>
      </c>
      <c r="DG113" s="151">
        <f>INPUT!FT113</f>
        <v>643.99999999999955</v>
      </c>
      <c r="DH113" s="687">
        <f>INPUT!FU113</f>
        <v>27.980922098569106</v>
      </c>
      <c r="DI113" s="151">
        <f>INPUT!FV113</f>
        <v>138.40000000000055</v>
      </c>
      <c r="DJ113" s="687" t="str">
        <f>INPUT!FW113</f>
        <v>NM</v>
      </c>
      <c r="DK113" s="151">
        <f>INPUT!FX113</f>
        <v>394.10000000000036</v>
      </c>
      <c r="DL113" s="507" t="str">
        <f>INPUT!FY113</f>
        <v>NM</v>
      </c>
      <c r="DM113" s="151">
        <f>INPUT!FZ113</f>
        <v>586.30000000000018</v>
      </c>
      <c r="DN113" s="507">
        <f>INPUT!GA113</f>
        <v>48.769347881248315</v>
      </c>
      <c r="DO113" s="151">
        <f>INPUT!GB113</f>
        <v>677.60000000000036</v>
      </c>
      <c r="DP113" s="507">
        <f>INPUT!GC113</f>
        <v>15.572232645403394</v>
      </c>
      <c r="DQ113" s="151">
        <f>INPUT!GD113</f>
        <v>717</v>
      </c>
      <c r="DR113" s="507">
        <f>INPUT!GE113</f>
        <v>5.8146399055489351</v>
      </c>
      <c r="DS113" s="151">
        <f>INPUT!GF113</f>
        <v>928</v>
      </c>
      <c r="DT113" s="507">
        <f>INPUT!GG113</f>
        <v>29.428172942817298</v>
      </c>
      <c r="DU113" s="151">
        <f>INPUT!GH113</f>
        <v>1164</v>
      </c>
      <c r="DV113" s="507">
        <f>INPUT!GI113</f>
        <v>25.43103448275863</v>
      </c>
      <c r="DW113" s="151">
        <f>INPUT!GJ113</f>
        <v>1258</v>
      </c>
      <c r="DX113" s="507">
        <f>INPUT!GK113</f>
        <v>8.0756013745704394</v>
      </c>
      <c r="DY113" s="151">
        <f>INPUT!GL113</f>
        <v>1177</v>
      </c>
      <c r="DZ113" s="507">
        <f>INPUT!GM113</f>
        <v>-6.4387917329093769</v>
      </c>
      <c r="EA113" s="151">
        <f>INPUT!GN113</f>
        <v>1273</v>
      </c>
      <c r="EB113" s="507">
        <f>INPUT!GO113</f>
        <v>8.1563296516567583</v>
      </c>
      <c r="EC113" s="151">
        <f>INPUT!GP113</f>
        <v>1331.4060555613546</v>
      </c>
      <c r="ED113" s="507">
        <f>INPUT!GQ113</f>
        <v>4.5880640660922678</v>
      </c>
      <c r="EE113" s="151">
        <f>INPUT!GR113</f>
        <v>1389.8463225892756</v>
      </c>
      <c r="EF113" s="507">
        <f>INPUT!GS113</f>
        <v>4.3893646708164535</v>
      </c>
      <c r="EG113" s="151">
        <f>INPUT!GT113</f>
        <v>1471.3636280729934</v>
      </c>
      <c r="EH113" s="507">
        <f>INPUT!GU113</f>
        <v>5.8652028039942961</v>
      </c>
      <c r="EI113" s="151">
        <f>INPUT!GV113</f>
        <v>1563.1537331065001</v>
      </c>
      <c r="EJ113" s="507">
        <f>INPUT!GW113</f>
        <v>6.2384378193255818</v>
      </c>
      <c r="EK113" s="151">
        <f>INPUT!GX113</f>
        <v>1666.4328021309575</v>
      </c>
      <c r="EL113" s="507">
        <f>INPUT!GY113</f>
        <v>6.6070960800002743</v>
      </c>
      <c r="EM113" s="257">
        <f>INPUT!GZ113</f>
        <v>5.5338739117024582</v>
      </c>
    </row>
    <row r="114" spans="1:143" ht="12.75" hidden="1" customHeight="1" outlineLevel="1" x14ac:dyDescent="0.2">
      <c r="A114" s="701" t="str">
        <f>INPUT!B114</f>
        <v>Taxes</v>
      </c>
      <c r="B114" s="151">
        <f>INPUT!AY114</f>
        <v>20.3</v>
      </c>
      <c r="C114" s="507">
        <f>INPUT!AZ114</f>
        <v>73.504273504273527</v>
      </c>
      <c r="D114" s="151">
        <f>INPUT!BA114</f>
        <v>32.5</v>
      </c>
      <c r="E114" s="687" t="str">
        <f>INPUT!BB114</f>
        <v>NM</v>
      </c>
      <c r="F114" s="151">
        <f>INPUT!BC114</f>
        <v>4.2</v>
      </c>
      <c r="G114" s="687" t="str">
        <f>INPUT!BD114</f>
        <v>NM</v>
      </c>
      <c r="H114" s="151">
        <f>INPUT!BE114</f>
        <v>37.6</v>
      </c>
      <c r="I114" s="687">
        <f>INPUT!BF114</f>
        <v>97.894736842105274</v>
      </c>
      <c r="J114" s="151">
        <f>INPUT!BG114</f>
        <v>37.200000000000003</v>
      </c>
      <c r="K114" s="687">
        <f>INPUT!BH114</f>
        <v>83.251231527093594</v>
      </c>
      <c r="L114" s="151">
        <f>INPUT!BI114</f>
        <v>41.5</v>
      </c>
      <c r="M114" s="687">
        <f>INPUT!BJ114</f>
        <v>27.692307692307683</v>
      </c>
      <c r="N114" s="151">
        <f>INPUT!BK114</f>
        <v>44.1</v>
      </c>
      <c r="O114" s="687" t="str">
        <f>INPUT!BL114</f>
        <v>NM</v>
      </c>
      <c r="P114" s="151">
        <f>INPUT!BM114</f>
        <v>36.200000000000003</v>
      </c>
      <c r="Q114" s="687">
        <f>INPUT!BN114</f>
        <v>-3.7234042553191404</v>
      </c>
      <c r="R114" s="151">
        <f>INPUT!BO114</f>
        <v>38.5</v>
      </c>
      <c r="S114" s="687">
        <f>INPUT!BP114</f>
        <v>3.4946236559139754</v>
      </c>
      <c r="T114" s="151">
        <f>INPUT!BQ114</f>
        <v>36.1</v>
      </c>
      <c r="U114" s="687">
        <f>INPUT!BR114</f>
        <v>-13.012048192771086</v>
      </c>
      <c r="V114" s="151">
        <f>INPUT!BS114</f>
        <v>7.7</v>
      </c>
      <c r="W114" s="687" t="str">
        <f>INPUT!BT114</f>
        <v>NM</v>
      </c>
      <c r="X114" s="151">
        <f>INPUT!BU114</f>
        <v>-137.19999999999999</v>
      </c>
      <c r="Y114" s="687" t="str">
        <f>INPUT!BV114</f>
        <v>NM</v>
      </c>
      <c r="Z114" s="151">
        <f>INPUT!BW114</f>
        <v>-11.3</v>
      </c>
      <c r="AA114" s="122" t="str">
        <f>INPUT!BX114</f>
        <v>NM</v>
      </c>
      <c r="AB114" s="151">
        <f>INPUT!BY114</f>
        <v>11.2</v>
      </c>
      <c r="AC114" s="687" t="str">
        <f>INPUT!BZ114</f>
        <v>NM</v>
      </c>
      <c r="AD114" s="151">
        <f>INPUT!CA114</f>
        <v>17.5</v>
      </c>
      <c r="AE114" s="687" t="str">
        <f>INPUT!CB114</f>
        <v>NM</v>
      </c>
      <c r="AF114" s="151">
        <f>INPUT!CC114</f>
        <v>23.2</v>
      </c>
      <c r="AG114" s="687" t="str">
        <f>INPUT!CD114</f>
        <v>NM</v>
      </c>
      <c r="AH114" s="151">
        <f>INPUT!CE114</f>
        <v>31.4</v>
      </c>
      <c r="AI114" s="507" t="str">
        <f>INPUT!CF114</f>
        <v>NM</v>
      </c>
      <c r="AJ114" s="151">
        <f>INPUT!CG114</f>
        <v>28.6</v>
      </c>
      <c r="AK114" s="507" t="str">
        <f>INPUT!CH114</f>
        <v>NM</v>
      </c>
      <c r="AL114" s="151">
        <f>INPUT!CI114</f>
        <v>10.199999999999999</v>
      </c>
      <c r="AM114" s="507">
        <f>INPUT!CJ114</f>
        <v>-41.714285714285715</v>
      </c>
      <c r="AN114" s="151">
        <f>INPUT!CK114</f>
        <v>31.7</v>
      </c>
      <c r="AO114" s="507">
        <f>INPUT!CL114</f>
        <v>36.637931034482762</v>
      </c>
      <c r="AP114" s="151">
        <f>INPUT!CM114</f>
        <v>39.9</v>
      </c>
      <c r="AQ114" s="507">
        <f>INPUT!CN114</f>
        <v>27.070063694267521</v>
      </c>
      <c r="AR114" s="151">
        <f>INPUT!CO114</f>
        <v>33.9</v>
      </c>
      <c r="AS114" s="507">
        <f>INPUT!CP114</f>
        <v>18.531468531468519</v>
      </c>
      <c r="AT114" s="151">
        <f>INPUT!CQ114</f>
        <v>6.7</v>
      </c>
      <c r="AU114" s="507">
        <f>INPUT!CR114</f>
        <v>-34.31372549019607</v>
      </c>
      <c r="AV114" s="151">
        <f>INPUT!CS114</f>
        <v>24</v>
      </c>
      <c r="AW114" s="507">
        <f>INPUT!CT114</f>
        <v>-24.290220820189269</v>
      </c>
      <c r="AX114" s="151">
        <f>INPUT!CU114</f>
        <v>25</v>
      </c>
      <c r="AY114" s="507">
        <f>INPUT!CV114</f>
        <v>-37.343358395989966</v>
      </c>
      <c r="AZ114" s="151">
        <f>INPUT!CW114</f>
        <v>38</v>
      </c>
      <c r="BA114" s="507">
        <f>INPUT!CX114</f>
        <v>12.094395280235993</v>
      </c>
      <c r="BB114" s="151">
        <f>INPUT!CY114</f>
        <v>34</v>
      </c>
      <c r="BC114" s="507" t="str">
        <f>INPUT!CZ114</f>
        <v>NM</v>
      </c>
      <c r="BD114" s="151">
        <f>INPUT!DA114</f>
        <v>24</v>
      </c>
      <c r="BE114" s="507">
        <f>INPUT!DB114</f>
        <v>0</v>
      </c>
      <c r="BF114" s="151">
        <f>INPUT!DC114</f>
        <v>35</v>
      </c>
      <c r="BG114" s="507">
        <f>INPUT!DD114</f>
        <v>39.999999999999993</v>
      </c>
      <c r="BH114" s="151">
        <f>INPUT!DE114</f>
        <v>48</v>
      </c>
      <c r="BI114" s="507">
        <f>INPUT!DF114</f>
        <v>26.315789473684205</v>
      </c>
      <c r="BJ114" s="151">
        <f>INPUT!DG114</f>
        <v>41</v>
      </c>
      <c r="BK114" s="507">
        <f>INPUT!DH114</f>
        <v>20.588235294117641</v>
      </c>
      <c r="BL114" s="151">
        <f>INPUT!DI114</f>
        <v>53</v>
      </c>
      <c r="BM114" s="507" t="str">
        <f>INPUT!DJ114</f>
        <v>NM</v>
      </c>
      <c r="BN114" s="151">
        <f>INPUT!DK114</f>
        <v>50</v>
      </c>
      <c r="BO114" s="507">
        <f>INPUT!DL114</f>
        <v>42.857142857142861</v>
      </c>
      <c r="BP114" s="151">
        <f>INPUT!DM114</f>
        <v>59</v>
      </c>
      <c r="BQ114" s="507">
        <f>INPUT!DN114</f>
        <v>22.916666666666675</v>
      </c>
      <c r="BR114" s="151">
        <f>INPUT!DO114</f>
        <v>70</v>
      </c>
      <c r="BS114" s="507">
        <f>INPUT!DP114</f>
        <v>70.731707317073173</v>
      </c>
      <c r="BT114" s="151">
        <f>INPUT!DQ114</f>
        <v>60</v>
      </c>
      <c r="BU114" s="507">
        <f>INPUT!DR114</f>
        <v>13.207547169811317</v>
      </c>
      <c r="BV114" s="151">
        <f>INPUT!DS114</f>
        <v>54</v>
      </c>
      <c r="BW114" s="507">
        <f>INPUT!DT114</f>
        <v>8.0000000000000071</v>
      </c>
      <c r="BX114" s="151">
        <f>INPUT!DU114</f>
        <v>73</v>
      </c>
      <c r="BY114" s="507">
        <f>INPUT!DV114</f>
        <v>23.728813559322038</v>
      </c>
      <c r="BZ114" s="151">
        <f>INPUT!DW114</f>
        <v>69</v>
      </c>
      <c r="CA114" s="507">
        <f>INPUT!DX114</f>
        <v>69</v>
      </c>
      <c r="CB114" s="151">
        <f>INPUT!DY114</f>
        <v>66</v>
      </c>
      <c r="CC114" s="507">
        <f>INPUT!DZ114</f>
        <v>10.000000000000009</v>
      </c>
      <c r="CD114" s="151">
        <f>INPUT!EA114</f>
        <v>54</v>
      </c>
      <c r="CE114" s="507">
        <f>INPUT!EB114</f>
        <v>0</v>
      </c>
      <c r="CF114" s="151">
        <f>INPUT!EC114</f>
        <v>61</v>
      </c>
      <c r="CG114" s="507">
        <f>INPUT!ED114</f>
        <v>-16.43835616438356</v>
      </c>
      <c r="CH114" s="151">
        <f>INPUT!EE114</f>
        <v>63</v>
      </c>
      <c r="CI114" s="507">
        <f>INPUT!EF114</f>
        <v>-8.6956521739130483</v>
      </c>
      <c r="CJ114" s="151">
        <f>INPUT!EG114</f>
        <v>64</v>
      </c>
      <c r="CK114" s="507">
        <f>INPUT!EH114</f>
        <v>-3.0303030303030276</v>
      </c>
      <c r="CL114" s="151">
        <f>INPUT!EI114</f>
        <v>-1</v>
      </c>
      <c r="CM114" s="507" t="str">
        <f>INPUT!EJ114</f>
        <v>NM</v>
      </c>
      <c r="CN114" s="151">
        <f>INPUT!EK114</f>
        <v>59</v>
      </c>
      <c r="CO114" s="507">
        <f>INPUT!EL114</f>
        <v>-3.2786885245901676</v>
      </c>
      <c r="CP114" s="151">
        <f>INPUT!EM114</f>
        <v>73</v>
      </c>
      <c r="CQ114" s="507">
        <f>INPUT!EN114</f>
        <v>15.873015873015884</v>
      </c>
      <c r="CR114" s="151">
        <f>INPUT!EO114</f>
        <v>68</v>
      </c>
      <c r="CS114" s="507">
        <f>INPUT!EP114</f>
        <v>6.25</v>
      </c>
      <c r="CT114" s="151">
        <f>INPUT!EQ114</f>
        <v>49.492399845872114</v>
      </c>
      <c r="CU114" s="507" t="str">
        <f>INPUT!ER114</f>
        <v>NM</v>
      </c>
      <c r="CV114" s="151">
        <f>INPUT!ES114</f>
        <v>49.382250559158777</v>
      </c>
      <c r="CW114" s="507">
        <f>INPUT!ET114</f>
        <v>-16.30127023871394</v>
      </c>
      <c r="CX114" s="151">
        <f>INPUT!EU114</f>
        <v>50.040162482046306</v>
      </c>
      <c r="CY114" s="507">
        <f>INPUT!EV114</f>
        <v>-31.451832216374921</v>
      </c>
      <c r="CZ114" s="151">
        <f>INPUT!EW114</f>
        <v>50.79609544712612</v>
      </c>
      <c r="DA114" s="507">
        <f>INPUT!EX114</f>
        <v>-25.299859636579235</v>
      </c>
      <c r="DB114" s="507"/>
      <c r="DC114" s="151">
        <f>INPUT!FP114</f>
        <v>69.2</v>
      </c>
      <c r="DD114" s="687">
        <f>INPUT!FQ114</f>
        <v>30.566037735849072</v>
      </c>
      <c r="DE114" s="151">
        <f>INPUT!FR114</f>
        <v>94.6</v>
      </c>
      <c r="DF114" s="687">
        <f>INPUT!FS114</f>
        <v>36.705202312138717</v>
      </c>
      <c r="DG114" s="151">
        <f>INPUT!FT114</f>
        <v>159</v>
      </c>
      <c r="DH114" s="687">
        <f>INPUT!FU114</f>
        <v>68.076109936575065</v>
      </c>
      <c r="DI114" s="151">
        <f>INPUT!FV114</f>
        <v>-54.899999999999991</v>
      </c>
      <c r="DJ114" s="687" t="str">
        <f>INPUT!FW114</f>
        <v>NM</v>
      </c>
      <c r="DK114" s="151">
        <f>INPUT!FX114</f>
        <v>40.599999999999994</v>
      </c>
      <c r="DL114" s="507" t="str">
        <f>INPUT!FY114</f>
        <v>NM</v>
      </c>
      <c r="DM114" s="151">
        <f>INPUT!FZ114</f>
        <v>101.9</v>
      </c>
      <c r="DN114" s="507" t="str">
        <f>INPUT!GA114</f>
        <v>NM</v>
      </c>
      <c r="DO114" s="151">
        <f>INPUT!GB114</f>
        <v>104.5</v>
      </c>
      <c r="DP114" s="507">
        <f>INPUT!GC114</f>
        <v>2.5515210991167825</v>
      </c>
      <c r="DQ114" s="151">
        <f>INPUT!GD114</f>
        <v>121</v>
      </c>
      <c r="DR114" s="507">
        <f>INPUT!GE114</f>
        <v>15.789473684210531</v>
      </c>
      <c r="DS114" s="151">
        <f>INPUT!GF114</f>
        <v>177</v>
      </c>
      <c r="DT114" s="507">
        <f>INPUT!GG114</f>
        <v>46.280991735537192</v>
      </c>
      <c r="DU114" s="151">
        <f>INPUT!GH114</f>
        <v>239</v>
      </c>
      <c r="DV114" s="507">
        <f>INPUT!GI114</f>
        <v>35.02824858757063</v>
      </c>
      <c r="DW114" s="151">
        <f>INPUT!GJ114</f>
        <v>262</v>
      </c>
      <c r="DX114" s="507">
        <f>INPUT!GK114</f>
        <v>9.6234309623431038</v>
      </c>
      <c r="DY114" s="151">
        <f>INPUT!GL114</f>
        <v>242</v>
      </c>
      <c r="DZ114" s="507">
        <f>INPUT!GM114</f>
        <v>-7.6335877862595432</v>
      </c>
      <c r="EA114" s="151">
        <f>INPUT!GN114</f>
        <v>199</v>
      </c>
      <c r="EB114" s="507">
        <f>INPUT!GO114</f>
        <v>-17.76859504132231</v>
      </c>
      <c r="EC114" s="151">
        <f>INPUT!GP114</f>
        <v>199.71090833420334</v>
      </c>
      <c r="ED114" s="507">
        <f>INPUT!GQ114</f>
        <v>0.35724036894639877</v>
      </c>
      <c r="EE114" s="151">
        <f>INPUT!GR114</f>
        <v>208.47694838839149</v>
      </c>
      <c r="EF114" s="507">
        <f>INPUT!GS114</f>
        <v>4.3893646708164535</v>
      </c>
      <c r="EG114" s="151">
        <f>INPUT!GT114</f>
        <v>220.70454421094917</v>
      </c>
      <c r="EH114" s="507">
        <f>INPUT!GU114</f>
        <v>5.8652028039942961</v>
      </c>
      <c r="EI114" s="151">
        <f>INPUT!GV114</f>
        <v>234.47305996597518</v>
      </c>
      <c r="EJ114" s="507">
        <f>INPUT!GW114</f>
        <v>6.2384378193255818</v>
      </c>
      <c r="EK114" s="151">
        <f>INPUT!GX114</f>
        <v>249.9649203196438</v>
      </c>
      <c r="EL114" s="507">
        <f>INPUT!GY114</f>
        <v>6.6070960800002743</v>
      </c>
      <c r="EM114" s="257">
        <f>INPUT!GZ114</f>
        <v>4.6658964967995376</v>
      </c>
    </row>
    <row r="115" spans="1:143" ht="12.75" hidden="1" customHeight="1" outlineLevel="1" x14ac:dyDescent="0.2">
      <c r="A115" s="701" t="str">
        <f>INPUT!B115</f>
        <v>Tax Rate (%)</v>
      </c>
      <c r="B115" s="156">
        <f>INPUT!AY115</f>
        <v>23.414071510957328</v>
      </c>
      <c r="C115" s="507">
        <f>INPUT!AZ115</f>
        <v>22.873845365194946</v>
      </c>
      <c r="D115" s="156">
        <f>INPUT!BA115</f>
        <v>26.72697368421052</v>
      </c>
      <c r="E115" s="687">
        <f>INPUT!BB115</f>
        <v>37.212494819726437</v>
      </c>
      <c r="F115" s="156">
        <f>INPUT!BC115</f>
        <v>3.1437125748502992</v>
      </c>
      <c r="G115" s="687" t="str">
        <f>INPUT!BD115</f>
        <v>NM</v>
      </c>
      <c r="H115" s="156">
        <f>INPUT!BE115</f>
        <v>23.310601363918174</v>
      </c>
      <c r="I115" s="687">
        <f>INPUT!BF115</f>
        <v>10.295950664012876</v>
      </c>
      <c r="J115" s="156">
        <f>INPUT!BG115</f>
        <v>24.17153996101365</v>
      </c>
      <c r="K115" s="687">
        <f>INPUT!BH115</f>
        <v>3.2350992423587854</v>
      </c>
      <c r="L115" s="156">
        <f>INPUT!BI115</f>
        <v>25.151515151515152</v>
      </c>
      <c r="M115" s="687">
        <f>INPUT!BJ115</f>
        <v>-5.8946386946386653</v>
      </c>
      <c r="N115" s="156">
        <f>INPUT!BK115</f>
        <v>25.941176470588236</v>
      </c>
      <c r="O115" s="687" t="str">
        <f>INPUT!BL115</f>
        <v>NM</v>
      </c>
      <c r="P115" s="156">
        <f>INPUT!BM115</f>
        <v>23.339780786589312</v>
      </c>
      <c r="Q115" s="687">
        <f>INPUT!BN115</f>
        <v>0.12517661906528144</v>
      </c>
      <c r="R115" s="156">
        <f>INPUT!BO115</f>
        <v>24.616368286445006</v>
      </c>
      <c r="S115" s="687">
        <f>INPUT!BP115</f>
        <v>1.8402978302119788</v>
      </c>
      <c r="T115" s="156">
        <f>INPUT!BQ115</f>
        <v>23.703217334208791</v>
      </c>
      <c r="U115" s="687">
        <f>INPUT!BR115</f>
        <v>-5.7582925266397522</v>
      </c>
      <c r="V115" s="156">
        <f>INPUT!BS115</f>
        <v>5.5555555555555545</v>
      </c>
      <c r="W115" s="687" t="str">
        <f>INPUT!BT115</f>
        <v>NM</v>
      </c>
      <c r="X115" s="156">
        <f>INPUT!BU115</f>
        <v>44.415668501133041</v>
      </c>
      <c r="Y115" s="687">
        <f>INPUT!BV115</f>
        <v>90.300281340489789</v>
      </c>
      <c r="Z115" s="156">
        <f>INPUT!BW115</f>
        <v>-18.051118210862615</v>
      </c>
      <c r="AA115" s="122" t="str">
        <f>INPUT!BX115</f>
        <v>NM</v>
      </c>
      <c r="AB115" s="156">
        <f>INPUT!BY115</f>
        <v>14.621409921671013</v>
      </c>
      <c r="AC115" s="687">
        <f>INPUT!BZ115</f>
        <v>-38.314661189182928</v>
      </c>
      <c r="AD115" s="156">
        <f>INPUT!CA115</f>
        <v>15.625</v>
      </c>
      <c r="AE115" s="687" t="str">
        <f>INPUT!CB115</f>
        <v>NM</v>
      </c>
      <c r="AF115" s="156">
        <f>INPUT!CC115</f>
        <v>16.235129461161655</v>
      </c>
      <c r="AG115" s="687" t="str">
        <f>INPUT!CD115</f>
        <v>NM</v>
      </c>
      <c r="AH115" s="156">
        <f>INPUT!CE115</f>
        <v>20.919387075283151</v>
      </c>
      <c r="AI115" s="507" t="str">
        <f>INPUT!CF115</f>
        <v>NM</v>
      </c>
      <c r="AJ115" s="156">
        <f>INPUT!CG115</f>
        <v>19.724137931034484</v>
      </c>
      <c r="AK115" s="507">
        <f>INPUT!CH115</f>
        <v>34.899014778325174</v>
      </c>
      <c r="AL115" s="156">
        <f>INPUT!CI115</f>
        <v>7.4834922964049904</v>
      </c>
      <c r="AM115" s="507" t="str">
        <f>INPUT!CJ115</f>
        <v>NM</v>
      </c>
      <c r="AN115" s="156">
        <f>INPUT!CK115</f>
        <v>20.464816010329248</v>
      </c>
      <c r="AO115" s="507">
        <f>INPUT!CL115</f>
        <v>26.052681373967612</v>
      </c>
      <c r="AP115" s="156">
        <f>INPUT!CM115</f>
        <v>21.696574225122337</v>
      </c>
      <c r="AQ115" s="507">
        <f>INPUT!CN115</f>
        <v>3.7151525856962353</v>
      </c>
      <c r="AR115" s="156">
        <f>INPUT!CO115</f>
        <v>18.970341354224963</v>
      </c>
      <c r="AS115" s="507">
        <f>INPUT!CP115</f>
        <v>-3.8216959313769339</v>
      </c>
      <c r="AT115" s="156">
        <f>INPUT!CQ115</f>
        <v>4.1875</v>
      </c>
      <c r="AU115" s="507">
        <f>INPUT!CR115</f>
        <v>-44.043504901960794</v>
      </c>
      <c r="AV115" s="156">
        <f>INPUT!CS115</f>
        <v>15.483870967741936</v>
      </c>
      <c r="AW115" s="507">
        <f>INPUT!CT115</f>
        <v>-24.339065839014971</v>
      </c>
      <c r="AX115" s="156">
        <f>INPUT!CU115</f>
        <v>15.432098765432098</v>
      </c>
      <c r="AY115" s="507">
        <f>INPUT!CV115</f>
        <v>-28.873108697670069</v>
      </c>
      <c r="AZ115" s="156">
        <f>INPUT!CW115</f>
        <v>19.387755102040817</v>
      </c>
      <c r="BA115" s="507">
        <f>INPUT!CX115</f>
        <v>2.2003491662151431</v>
      </c>
      <c r="BB115" s="156">
        <f>INPUT!CY115</f>
        <v>19.653179190751445</v>
      </c>
      <c r="BC115" s="507" t="str">
        <f>INPUT!CZ115</f>
        <v>NM</v>
      </c>
      <c r="BD115" s="156">
        <f>INPUT!DA115</f>
        <v>12.903225806451612</v>
      </c>
      <c r="BE115" s="507">
        <f>INPUT!DB115</f>
        <v>-16.666666666666675</v>
      </c>
      <c r="BF115" s="156">
        <f>INPUT!DC115</f>
        <v>18.041237113402062</v>
      </c>
      <c r="BG115" s="507">
        <f>INPUT!DD115</f>
        <v>16.907216494845368</v>
      </c>
      <c r="BH115" s="156">
        <f>INPUT!DE115</f>
        <v>19.753086419753085</v>
      </c>
      <c r="BI115" s="507">
        <f>INPUT!DF115</f>
        <v>1.8843404808317032</v>
      </c>
      <c r="BJ115" s="156">
        <f>INPUT!DG115</f>
        <v>17.154811715481173</v>
      </c>
      <c r="BK115" s="507">
        <f>INPUT!DH115</f>
        <v>-12.712281565345796</v>
      </c>
      <c r="BL115" s="156">
        <f>INPUT!DI115</f>
        <v>21.031746031746032</v>
      </c>
      <c r="BM115" s="507">
        <f>INPUT!DJ115</f>
        <v>62.996031746031747</v>
      </c>
      <c r="BN115" s="156">
        <f>INPUT!DK115</f>
        <v>18.796992481203006</v>
      </c>
      <c r="BO115" s="507">
        <f>INPUT!DL115</f>
        <v>4.1890440386680883</v>
      </c>
      <c r="BP115" s="156">
        <f>INPUT!DM115</f>
        <v>20.62937062937063</v>
      </c>
      <c r="BQ115" s="507">
        <f>INPUT!DN115</f>
        <v>4.4361888111888126</v>
      </c>
      <c r="BR115" s="156">
        <f>INPUT!DO115</f>
        <v>22.222222222222221</v>
      </c>
      <c r="BS115" s="507">
        <f>INPUT!DP115</f>
        <v>29.539295392953903</v>
      </c>
      <c r="BT115" s="156">
        <f>INPUT!DQ115</f>
        <v>20.202020202020201</v>
      </c>
      <c r="BU115" s="507">
        <f>INPUT!DR115</f>
        <v>-3.9451114922813058</v>
      </c>
      <c r="BV115" s="156">
        <f>INPUT!DS115</f>
        <v>18.430034129692832</v>
      </c>
      <c r="BW115" s="507">
        <f>INPUT!DT115</f>
        <v>-1.952218430034125</v>
      </c>
      <c r="BX115" s="156">
        <f>INPUT!DU115</f>
        <v>22.256097560975611</v>
      </c>
      <c r="BY115" s="507">
        <f>INPUT!DV115</f>
        <v>7.8854898718478728</v>
      </c>
      <c r="BZ115" s="156">
        <f>INPUT!DW115</f>
        <v>21.036585365853657</v>
      </c>
      <c r="CA115" s="507">
        <f>INPUT!DX115</f>
        <v>21.036585365853657</v>
      </c>
      <c r="CB115" s="156">
        <f>INPUT!DY115</f>
        <v>21.359223300970871</v>
      </c>
      <c r="CC115" s="507">
        <f>INPUT!DZ115</f>
        <v>5.7281553398058183</v>
      </c>
      <c r="CD115" s="156">
        <f>INPUT!EA115</f>
        <v>19.852941176470587</v>
      </c>
      <c r="CE115" s="507">
        <f>INPUT!EB115</f>
        <v>7.7205882352941124</v>
      </c>
      <c r="CF115" s="156">
        <f>INPUT!EC115</f>
        <v>20.608108108108109</v>
      </c>
      <c r="CG115" s="507">
        <f>INPUT!ED115</f>
        <v>-7.4046649389115204</v>
      </c>
      <c r="CH115" s="156">
        <f>INPUT!EE115</f>
        <v>20.792079207920793</v>
      </c>
      <c r="CI115" s="507">
        <f>INPUT!EF115</f>
        <v>-1.1622901420576759</v>
      </c>
      <c r="CJ115" s="156">
        <f>INPUT!EG115</f>
        <v>20.915032679738562</v>
      </c>
      <c r="CK115" s="507">
        <f>INPUT!EH115</f>
        <v>-2.0796197266785388</v>
      </c>
      <c r="CL115" s="156">
        <f>INPUT!EI115</f>
        <v>-0.35714285714285715</v>
      </c>
      <c r="CM115" s="507" t="str">
        <f>INPUT!EJ115</f>
        <v>NM</v>
      </c>
      <c r="CN115" s="156">
        <f>INPUT!EK115</f>
        <v>19.032258064516128</v>
      </c>
      <c r="CO115" s="507">
        <f>INPUT!EL115</f>
        <v>-7.6467477525119065</v>
      </c>
      <c r="CP115" s="156">
        <f>INPUT!EM115</f>
        <v>20.857142857142858</v>
      </c>
      <c r="CQ115" s="507">
        <f>INPUT!EN115</f>
        <v>0.31292517006802356</v>
      </c>
      <c r="CR115" s="156">
        <f>INPUT!EO115</f>
        <v>20.42042042042042</v>
      </c>
      <c r="CS115" s="507">
        <f>INPUT!EP115</f>
        <v>-2.3648648648648685</v>
      </c>
      <c r="CT115" s="156">
        <f>INPUT!EQ115</f>
        <v>15</v>
      </c>
      <c r="CU115" s="507" t="str">
        <f>INPUT!ER115</f>
        <v>NM</v>
      </c>
      <c r="CV115" s="156">
        <f>INPUT!ES115</f>
        <v>15</v>
      </c>
      <c r="CW115" s="507">
        <f>INPUT!ET115</f>
        <v>-21.1864406779661</v>
      </c>
      <c r="CX115" s="156">
        <f>INPUT!EU115</f>
        <v>15</v>
      </c>
      <c r="CY115" s="507">
        <f>INPUT!EV115</f>
        <v>-28.082191780821919</v>
      </c>
      <c r="CZ115" s="156">
        <f>INPUT!EW115</f>
        <v>15</v>
      </c>
      <c r="DA115" s="507">
        <f>INPUT!EX115</f>
        <v>-26.544117647058819</v>
      </c>
      <c r="DB115" s="507"/>
      <c r="DC115" s="156">
        <f>INPUT!FP115</f>
        <v>21.530802738021151</v>
      </c>
      <c r="DD115" s="687">
        <f>INPUT!FQ115</f>
        <v>6.4352890068215318</v>
      </c>
      <c r="DE115" s="156">
        <f>INPUT!FR115</f>
        <v>18.799682034976158</v>
      </c>
      <c r="DF115" s="687">
        <f>INPUT!FS115</f>
        <v>-12.684713785529789</v>
      </c>
      <c r="DG115" s="156">
        <f>INPUT!FT115</f>
        <v>24.689440993788835</v>
      </c>
      <c r="DH115" s="687">
        <f>INPUT!FU115</f>
        <v>31.329034969075465</v>
      </c>
      <c r="DI115" s="156">
        <f>INPUT!FV115</f>
        <v>-39.667630057803308</v>
      </c>
      <c r="DJ115" s="687" t="str">
        <f>INPUT!FW115</f>
        <v>NM</v>
      </c>
      <c r="DK115" s="156">
        <f>INPUT!FX115</f>
        <v>10.301953818827696</v>
      </c>
      <c r="DL115" s="507" t="str">
        <f>INPUT!FY115</f>
        <v>NM</v>
      </c>
      <c r="DM115" s="156">
        <f>INPUT!FZ115</f>
        <v>17.380180794814937</v>
      </c>
      <c r="DN115" s="507">
        <f>INPUT!GA115</f>
        <v>68.707617025531391</v>
      </c>
      <c r="DO115" s="156">
        <f>INPUT!GB115</f>
        <v>15.422077922077914</v>
      </c>
      <c r="DP115" s="507">
        <f>INPUT!GC115</f>
        <v>-11.266297490536958</v>
      </c>
      <c r="DQ115" s="156">
        <f>INPUT!GD115</f>
        <v>16.875871687587168</v>
      </c>
      <c r="DR115" s="507">
        <f>INPUT!GE115</f>
        <v>9.4267048374073745</v>
      </c>
      <c r="DS115" s="156">
        <f>INPUT!GF115</f>
        <v>19.073275862068968</v>
      </c>
      <c r="DT115" s="507">
        <f>INPUT!GG115</f>
        <v>13.020981761185535</v>
      </c>
      <c r="DU115" s="156">
        <f>INPUT!GH115</f>
        <v>20.532646048109964</v>
      </c>
      <c r="DV115" s="507">
        <f>INPUT!GI115</f>
        <v>7.6513871900906416</v>
      </c>
      <c r="DW115" s="156">
        <f>INPUT!GJ115</f>
        <v>20.826709062003179</v>
      </c>
      <c r="DX115" s="507">
        <f>INPUT!GK115</f>
        <v>1.4321730049025261</v>
      </c>
      <c r="DY115" s="156">
        <f>INPUT!GL115</f>
        <v>20.5607476635514</v>
      </c>
      <c r="DZ115" s="507">
        <f>INPUT!GM115</f>
        <v>-1.2770207605051098</v>
      </c>
      <c r="EA115" s="156">
        <f>INPUT!GN115</f>
        <v>15.632364493322859</v>
      </c>
      <c r="EB115" s="507">
        <f>INPUT!GO115</f>
        <v>-23.969863600656993</v>
      </c>
      <c r="EC115" s="156">
        <f>INPUT!GP115</f>
        <v>15.000000000000011</v>
      </c>
      <c r="ED115" s="507">
        <f>INPUT!GQ115</f>
        <v>-4.04522613065319</v>
      </c>
      <c r="EE115" s="156">
        <f>INPUT!GR115</f>
        <v>15.000000000000011</v>
      </c>
      <c r="EF115" s="507">
        <f>INPUT!GS115</f>
        <v>0</v>
      </c>
      <c r="EG115" s="156">
        <f>INPUT!GT115</f>
        <v>15.000000000000011</v>
      </c>
      <c r="EH115" s="507">
        <f>INPUT!GU115</f>
        <v>0</v>
      </c>
      <c r="EI115" s="156">
        <f>INPUT!GV115</f>
        <v>15.000000000000011</v>
      </c>
      <c r="EJ115" s="507">
        <f>INPUT!GW115</f>
        <v>0</v>
      </c>
      <c r="EK115" s="156">
        <f>INPUT!GX115</f>
        <v>15.000000000000011</v>
      </c>
      <c r="EL115" s="507">
        <f>INPUT!GY115</f>
        <v>0</v>
      </c>
      <c r="EM115" s="257">
        <f>INPUT!GZ115</f>
        <v>-0.82246333118515258</v>
      </c>
    </row>
    <row r="116" spans="1:143" ht="12.75" hidden="1" customHeight="1" outlineLevel="1" x14ac:dyDescent="0.2">
      <c r="A116" s="707" t="str">
        <f>INPUT!B116</f>
        <v>After-Tax Earnings</v>
      </c>
      <c r="B116" s="708">
        <f>INPUT!AY116</f>
        <v>66.399999999999991</v>
      </c>
      <c r="C116" s="757">
        <f>INPUT!AZ116</f>
        <v>33.601609657947584</v>
      </c>
      <c r="D116" s="708">
        <f>INPUT!BA116</f>
        <v>89.100000000000023</v>
      </c>
      <c r="E116" s="709">
        <f>INPUT!BB116</f>
        <v>69.714285714285793</v>
      </c>
      <c r="F116" s="708">
        <f>INPUT!BC116</f>
        <v>129.40000000000003</v>
      </c>
      <c r="G116" s="709">
        <f>INPUT!BD116</f>
        <v>63.797468354430521</v>
      </c>
      <c r="H116" s="708">
        <f>INPUT!BE116</f>
        <v>123.69999999999996</v>
      </c>
      <c r="I116" s="709">
        <f>INPUT!BF116</f>
        <v>74.471086036671224</v>
      </c>
      <c r="J116" s="708">
        <f>INPUT!BG116</f>
        <v>116.69999999999997</v>
      </c>
      <c r="K116" s="709">
        <f>INPUT!BH116</f>
        <v>75.753012048192758</v>
      </c>
      <c r="L116" s="708">
        <f>INPUT!BI116</f>
        <v>123.5</v>
      </c>
      <c r="M116" s="709">
        <f>INPUT!BJ116</f>
        <v>38.608305274971897</v>
      </c>
      <c r="N116" s="708">
        <f>INPUT!BK116</f>
        <v>125.9</v>
      </c>
      <c r="O116" s="709">
        <f>INPUT!BL116</f>
        <v>-2.704791344667723</v>
      </c>
      <c r="P116" s="708">
        <f>INPUT!BM116</f>
        <v>118.89999999999991</v>
      </c>
      <c r="Q116" s="709">
        <f>INPUT!BN116</f>
        <v>-3.8803556992724753</v>
      </c>
      <c r="R116" s="708">
        <f>INPUT!BO116</f>
        <v>117.90000000000003</v>
      </c>
      <c r="S116" s="709">
        <f>INPUT!BP116</f>
        <v>1.0282776349614942</v>
      </c>
      <c r="T116" s="708">
        <f>INPUT!BQ116</f>
        <v>116.20000000000007</v>
      </c>
      <c r="U116" s="709">
        <f>INPUT!BR116</f>
        <v>-5.9109311740890069</v>
      </c>
      <c r="V116" s="708">
        <f>INPUT!BS116</f>
        <v>130.90000000000003</v>
      </c>
      <c r="W116" s="709">
        <f>INPUT!BT116</f>
        <v>3.9714058776807226</v>
      </c>
      <c r="X116" s="708">
        <f>INPUT!BU116</f>
        <v>-171.7000000000001</v>
      </c>
      <c r="Y116" s="709" t="str">
        <f>INPUT!BV116</f>
        <v>NM</v>
      </c>
      <c r="Z116" s="708">
        <f>INPUT!BW116</f>
        <v>73.90000000000002</v>
      </c>
      <c r="AA116" s="758">
        <f>INPUT!BX116</f>
        <v>-37.319762510602203</v>
      </c>
      <c r="AB116" s="708">
        <f>INPUT!BY116</f>
        <v>65.40000000000002</v>
      </c>
      <c r="AC116" s="709">
        <f>INPUT!BZ116</f>
        <v>-43.717728055077473</v>
      </c>
      <c r="AD116" s="708">
        <f>INPUT!CA116</f>
        <v>94.5</v>
      </c>
      <c r="AE116" s="709">
        <f>INPUT!CB116</f>
        <v>-27.807486631016065</v>
      </c>
      <c r="AF116" s="708">
        <f>INPUT!CC116</f>
        <v>119.69999999999997</v>
      </c>
      <c r="AG116" s="709" t="str">
        <f>INPUT!CD116</f>
        <v>NM</v>
      </c>
      <c r="AH116" s="708">
        <f>INPUT!CE116</f>
        <v>118.69999999999996</v>
      </c>
      <c r="AI116" s="759">
        <f>INPUT!CF116</f>
        <v>60.62246278755066</v>
      </c>
      <c r="AJ116" s="708">
        <f>INPUT!CG116</f>
        <v>116.4</v>
      </c>
      <c r="AK116" s="759">
        <f>INPUT!CH116</f>
        <v>77.981651376146743</v>
      </c>
      <c r="AL116" s="708">
        <f>INPUT!CI116</f>
        <v>126.09999999999995</v>
      </c>
      <c r="AM116" s="759">
        <f>INPUT!CJ116</f>
        <v>33.43915343915338</v>
      </c>
      <c r="AN116" s="708">
        <f>INPUT!CK116</f>
        <v>123.19999999999997</v>
      </c>
      <c r="AO116" s="759">
        <f>INPUT!CL116</f>
        <v>2.9239766081871288</v>
      </c>
      <c r="AP116" s="708">
        <f>INPUT!CM116</f>
        <v>144.00000000000009</v>
      </c>
      <c r="AQ116" s="759">
        <f>INPUT!CN116</f>
        <v>21.314237573715356</v>
      </c>
      <c r="AR116" s="708">
        <f>INPUT!CO116</f>
        <v>144.79999999999993</v>
      </c>
      <c r="AS116" s="759">
        <f>INPUT!CP116</f>
        <v>24.398625429553199</v>
      </c>
      <c r="AT116" s="708">
        <f>INPUT!CQ116</f>
        <v>153.30000000000001</v>
      </c>
      <c r="AU116" s="759">
        <f>INPUT!CR116</f>
        <v>21.570182394924721</v>
      </c>
      <c r="AV116" s="708">
        <f>INPUT!CS116</f>
        <v>131</v>
      </c>
      <c r="AW116" s="759">
        <f>INPUT!CT116</f>
        <v>6.331168831168843</v>
      </c>
      <c r="AX116" s="708">
        <f>INPUT!CU116</f>
        <v>137</v>
      </c>
      <c r="AY116" s="759">
        <f>INPUT!CV116</f>
        <v>-4.8611111111111711</v>
      </c>
      <c r="AZ116" s="708">
        <f>INPUT!CW116</f>
        <v>158</v>
      </c>
      <c r="BA116" s="759">
        <f>INPUT!CX116</f>
        <v>9.1160220994475729</v>
      </c>
      <c r="BB116" s="708">
        <f>INPUT!CY116</f>
        <v>139</v>
      </c>
      <c r="BC116" s="759">
        <f>INPUT!CZ116</f>
        <v>-9.3281148075668678</v>
      </c>
      <c r="BD116" s="708">
        <f>INPUT!DA116</f>
        <v>162</v>
      </c>
      <c r="BE116" s="759">
        <f>INPUT!DB116</f>
        <v>23.664122137404586</v>
      </c>
      <c r="BF116" s="708">
        <f>INPUT!DC116</f>
        <v>159</v>
      </c>
      <c r="BG116" s="759">
        <f>INPUT!DD116</f>
        <v>16.058394160583944</v>
      </c>
      <c r="BH116" s="708">
        <f>INPUT!DE116</f>
        <v>195</v>
      </c>
      <c r="BI116" s="759">
        <f>INPUT!DF116</f>
        <v>23.417721518987335</v>
      </c>
      <c r="BJ116" s="708">
        <f>INPUT!DG116</f>
        <v>198</v>
      </c>
      <c r="BK116" s="759">
        <f>INPUT!DH116</f>
        <v>42.446043165467628</v>
      </c>
      <c r="BL116" s="708">
        <f>INPUT!DI116</f>
        <v>199</v>
      </c>
      <c r="BM116" s="759">
        <f>INPUT!DJ116</f>
        <v>22.839506172839496</v>
      </c>
      <c r="BN116" s="708">
        <f>INPUT!DK116</f>
        <v>216</v>
      </c>
      <c r="BO116" s="759">
        <f>INPUT!DL116</f>
        <v>35.849056603773576</v>
      </c>
      <c r="BP116" s="708">
        <f>INPUT!DM116</f>
        <v>227</v>
      </c>
      <c r="BQ116" s="759">
        <f>INPUT!DN116</f>
        <v>16.410256410256419</v>
      </c>
      <c r="BR116" s="708">
        <f>INPUT!DO116</f>
        <v>245</v>
      </c>
      <c r="BS116" s="759">
        <f>INPUT!DP116</f>
        <v>23.737373737373744</v>
      </c>
      <c r="BT116" s="708">
        <f>INPUT!DQ116</f>
        <v>237</v>
      </c>
      <c r="BU116" s="759">
        <f>INPUT!DR116</f>
        <v>19.095477386934668</v>
      </c>
      <c r="BV116" s="708">
        <f>INPUT!DS116</f>
        <v>239</v>
      </c>
      <c r="BW116" s="759">
        <f>INPUT!DT116</f>
        <v>10.64814814814814</v>
      </c>
      <c r="BX116" s="708">
        <f>INPUT!DU116</f>
        <v>255</v>
      </c>
      <c r="BY116" s="759">
        <f>INPUT!DV116</f>
        <v>12.334801762114544</v>
      </c>
      <c r="BZ116" s="708">
        <f>INPUT!DW116</f>
        <v>259</v>
      </c>
      <c r="CA116" s="759">
        <f>INPUT!DX116</f>
        <v>259</v>
      </c>
      <c r="CB116" s="708">
        <f>INPUT!DY116</f>
        <v>243</v>
      </c>
      <c r="CC116" s="759">
        <f>INPUT!DZ116</f>
        <v>2.5316455696202445</v>
      </c>
      <c r="CD116" s="708">
        <f>INPUT!EA116</f>
        <v>218</v>
      </c>
      <c r="CE116" s="759">
        <f>INPUT!EB116</f>
        <v>-8.786610878661083</v>
      </c>
      <c r="CF116" s="708">
        <f>INPUT!EC116</f>
        <v>235</v>
      </c>
      <c r="CG116" s="759">
        <f>INPUT!ED116</f>
        <v>-7.8431372549019667</v>
      </c>
      <c r="CH116" s="708">
        <f>INPUT!EE116</f>
        <v>240</v>
      </c>
      <c r="CI116" s="759">
        <f>INPUT!EF116</f>
        <v>-7.3359073359073328</v>
      </c>
      <c r="CJ116" s="708">
        <f>INPUT!EG116</f>
        <v>242</v>
      </c>
      <c r="CK116" s="759">
        <f>INPUT!EH116</f>
        <v>-0.41152263374485409</v>
      </c>
      <c r="CL116" s="708">
        <f>INPUT!EI116</f>
        <v>281</v>
      </c>
      <c r="CM116" s="759">
        <f>INPUT!EJ116</f>
        <v>28.899082568807334</v>
      </c>
      <c r="CN116" s="708">
        <f>INPUT!EK116</f>
        <v>251</v>
      </c>
      <c r="CO116" s="759">
        <f>INPUT!EL116</f>
        <v>6.8085106382978822</v>
      </c>
      <c r="CP116" s="708">
        <f>INPUT!EM116</f>
        <v>277</v>
      </c>
      <c r="CQ116" s="759">
        <f>INPUT!EN116</f>
        <v>15.416666666666657</v>
      </c>
      <c r="CR116" s="708">
        <f>INPUT!EO116</f>
        <v>265</v>
      </c>
      <c r="CS116" s="759">
        <f>INPUT!EP116</f>
        <v>9.5041322314049594</v>
      </c>
      <c r="CT116" s="708">
        <f>INPUT!EQ116</f>
        <v>280.45693245994198</v>
      </c>
      <c r="CU116" s="759">
        <f>INPUT!ER116</f>
        <v>-0.19326246977153794</v>
      </c>
      <c r="CV116" s="708">
        <f>INPUT!ES116</f>
        <v>279.8327531685664</v>
      </c>
      <c r="CW116" s="759">
        <f>INPUT!ET116</f>
        <v>11.48715265679936</v>
      </c>
      <c r="CX116" s="708">
        <f>INPUT!EU116</f>
        <v>283.56092073159573</v>
      </c>
      <c r="CY116" s="759">
        <f>INPUT!EV116</f>
        <v>2.368563441009286</v>
      </c>
      <c r="CZ116" s="708">
        <f>INPUT!EW116</f>
        <v>287.84454086704801</v>
      </c>
      <c r="DA116" s="759">
        <f>INPUT!EX116</f>
        <v>8.6205814592634091</v>
      </c>
      <c r="DB116" s="760"/>
      <c r="DC116" s="708">
        <f>INPUT!FP116</f>
        <v>252.2000000000001</v>
      </c>
      <c r="DD116" s="709">
        <f>INPUT!FQ116</f>
        <v>20.669856459330195</v>
      </c>
      <c r="DE116" s="708">
        <f>INPUT!FR116</f>
        <v>408.5999999999998</v>
      </c>
      <c r="DF116" s="709">
        <f>INPUT!FS116</f>
        <v>62.01427438540825</v>
      </c>
      <c r="DG116" s="708">
        <f>INPUT!FT116</f>
        <v>484.99999999999955</v>
      </c>
      <c r="DH116" s="709">
        <f>INPUT!FU116</f>
        <v>18.697993147332291</v>
      </c>
      <c r="DI116" s="708">
        <f>INPUT!FV116</f>
        <v>193.30000000000052</v>
      </c>
      <c r="DJ116" s="709" t="str">
        <f>INPUT!FW116</f>
        <v>NM</v>
      </c>
      <c r="DK116" s="708">
        <f>INPUT!FX116</f>
        <v>353.50000000000034</v>
      </c>
      <c r="DL116" s="759">
        <f>INPUT!FY116</f>
        <v>82.87635799275705</v>
      </c>
      <c r="DM116" s="708">
        <f>INPUT!FZ116</f>
        <v>484.4000000000002</v>
      </c>
      <c r="DN116" s="759">
        <f>INPUT!GA116</f>
        <v>37.029702970296952</v>
      </c>
      <c r="DO116" s="708">
        <f>INPUT!GB116</f>
        <v>573.10000000000036</v>
      </c>
      <c r="DP116" s="759">
        <f>INPUT!GC116</f>
        <v>18.311312964492178</v>
      </c>
      <c r="DQ116" s="708">
        <f>INPUT!GD116</f>
        <v>596</v>
      </c>
      <c r="DR116" s="759">
        <f>INPUT!GE116</f>
        <v>3.9958122491711157</v>
      </c>
      <c r="DS116" s="708">
        <f>INPUT!GF116</f>
        <v>751</v>
      </c>
      <c r="DT116" s="759">
        <f>INPUT!GG116</f>
        <v>26.006711409395965</v>
      </c>
      <c r="DU116" s="708">
        <f>INPUT!GH116</f>
        <v>925</v>
      </c>
      <c r="DV116" s="759">
        <f>INPUT!GI116</f>
        <v>23.169107856191751</v>
      </c>
      <c r="DW116" s="708">
        <f>INPUT!GJ116</f>
        <v>996</v>
      </c>
      <c r="DX116" s="759">
        <f>INPUT!GK116</f>
        <v>7.6756756756756861</v>
      </c>
      <c r="DY116" s="708">
        <f>INPUT!GL116</f>
        <v>935</v>
      </c>
      <c r="DZ116" s="759">
        <f>INPUT!GM116</f>
        <v>-6.1244979919678695</v>
      </c>
      <c r="EA116" s="708">
        <f>INPUT!GN116</f>
        <v>1074</v>
      </c>
      <c r="EB116" s="759">
        <f>INPUT!GO116</f>
        <v>14.866310160427808</v>
      </c>
      <c r="EC116" s="708">
        <f>INPUT!GP116</f>
        <v>1131.6951472271512</v>
      </c>
      <c r="ED116" s="759">
        <f>INPUT!GQ116</f>
        <v>5.3719876375373676</v>
      </c>
      <c r="EE116" s="708">
        <f>INPUT!GR116</f>
        <v>1181.3693742008841</v>
      </c>
      <c r="EF116" s="759">
        <f>INPUT!GS116</f>
        <v>4.3893646708164535</v>
      </c>
      <c r="EG116" s="708">
        <f>INPUT!GT116</f>
        <v>1250.6590838620441</v>
      </c>
      <c r="EH116" s="759">
        <f>INPUT!GU116</f>
        <v>5.8652028039942961</v>
      </c>
      <c r="EI116" s="708">
        <f>INPUT!GV116</f>
        <v>1328.680673140525</v>
      </c>
      <c r="EJ116" s="759">
        <f>INPUT!GW116</f>
        <v>6.238437819325604</v>
      </c>
      <c r="EK116" s="708">
        <f>INPUT!GX116</f>
        <v>1416.4678818113136</v>
      </c>
      <c r="EL116" s="759">
        <f>INPUT!GY116</f>
        <v>6.6070960800002521</v>
      </c>
      <c r="EM116" s="709">
        <f>INPUT!GZ116</f>
        <v>5.6916042690321245</v>
      </c>
    </row>
    <row r="117" spans="1:143" ht="12.75" hidden="1" customHeight="1" outlineLevel="1" x14ac:dyDescent="0.2">
      <c r="A117" s="701"/>
      <c r="B117" s="16"/>
      <c r="C117" s="507"/>
      <c r="D117" s="16"/>
      <c r="E117" s="687"/>
      <c r="F117" s="16"/>
      <c r="G117" s="687"/>
      <c r="H117" s="16"/>
      <c r="I117" s="687"/>
      <c r="J117" s="16"/>
      <c r="K117" s="507"/>
      <c r="L117" s="16"/>
      <c r="M117" s="507"/>
      <c r="N117" s="16"/>
      <c r="O117" s="507"/>
      <c r="P117" s="16"/>
      <c r="Q117" s="507"/>
      <c r="R117" s="16"/>
      <c r="S117" s="507"/>
      <c r="T117" s="16"/>
      <c r="U117" s="507"/>
      <c r="V117" s="16"/>
      <c r="W117" s="507"/>
      <c r="X117" s="16"/>
      <c r="Y117" s="507"/>
      <c r="Z117" s="16"/>
      <c r="AA117" s="122"/>
      <c r="AB117" s="16"/>
      <c r="AC117" s="507"/>
      <c r="AD117" s="16"/>
      <c r="AE117" s="507"/>
      <c r="AF117" s="16"/>
      <c r="AG117" s="507"/>
      <c r="AH117" s="16"/>
      <c r="AI117" s="507"/>
      <c r="AJ117" s="16"/>
      <c r="AK117" s="507"/>
      <c r="AL117" s="16"/>
      <c r="AM117" s="507"/>
      <c r="AN117" s="16"/>
      <c r="AO117" s="507"/>
      <c r="AP117" s="16"/>
      <c r="AQ117" s="507"/>
      <c r="AR117" s="16"/>
      <c r="AS117" s="507"/>
      <c r="AT117" s="16"/>
      <c r="AU117" s="507"/>
      <c r="AV117" s="16"/>
      <c r="AW117" s="507"/>
      <c r="AX117" s="16"/>
      <c r="AY117" s="507"/>
      <c r="AZ117" s="16"/>
      <c r="BA117" s="507"/>
      <c r="BB117" s="16"/>
      <c r="BC117" s="507"/>
      <c r="BD117" s="16"/>
      <c r="BE117" s="507"/>
      <c r="BF117" s="16"/>
      <c r="BG117" s="507"/>
      <c r="BH117" s="16"/>
      <c r="BI117" s="507"/>
      <c r="BJ117" s="16"/>
      <c r="BK117" s="507"/>
      <c r="BL117" s="16"/>
      <c r="BM117" s="507"/>
      <c r="BN117" s="16"/>
      <c r="BO117" s="507"/>
      <c r="BP117" s="16"/>
      <c r="BQ117" s="507"/>
      <c r="BR117" s="16"/>
      <c r="BS117" s="507"/>
      <c r="BT117" s="16"/>
      <c r="BU117" s="507"/>
      <c r="BV117" s="16"/>
      <c r="BW117" s="507"/>
      <c r="BX117" s="16"/>
      <c r="BY117" s="507"/>
      <c r="BZ117" s="16"/>
      <c r="CA117" s="507"/>
      <c r="CB117" s="16"/>
      <c r="CC117" s="507"/>
      <c r="CD117" s="16"/>
      <c r="CE117" s="507"/>
      <c r="CF117" s="16"/>
      <c r="CG117" s="507"/>
      <c r="CH117" s="16"/>
      <c r="CI117" s="507"/>
      <c r="CJ117" s="16"/>
      <c r="CK117" s="507"/>
      <c r="CL117" s="16"/>
      <c r="CM117" s="507"/>
      <c r="CN117" s="16"/>
      <c r="CO117" s="507"/>
      <c r="CP117" s="16"/>
      <c r="CQ117" s="507"/>
      <c r="CR117" s="16"/>
      <c r="CS117" s="507"/>
      <c r="CT117" s="16"/>
      <c r="CU117" s="507"/>
      <c r="CV117" s="16"/>
      <c r="CW117" s="507"/>
      <c r="CX117" s="16"/>
      <c r="CY117" s="507"/>
      <c r="CZ117" s="16"/>
      <c r="DA117" s="507"/>
      <c r="DB117" s="507"/>
      <c r="DC117" s="16"/>
      <c r="DD117" s="507"/>
      <c r="DE117" s="16"/>
      <c r="DF117" s="507"/>
      <c r="DG117" s="16"/>
      <c r="DH117" s="507"/>
      <c r="DI117" s="16"/>
      <c r="DJ117" s="507"/>
      <c r="DK117" s="16"/>
      <c r="DL117" s="507"/>
      <c r="DM117" s="16"/>
      <c r="DN117" s="507"/>
      <c r="DO117" s="16"/>
      <c r="DP117" s="507"/>
      <c r="DQ117" s="16"/>
      <c r="DR117" s="507"/>
      <c r="DS117" s="16"/>
      <c r="DT117" s="507"/>
      <c r="DU117" s="16"/>
      <c r="DV117" s="507"/>
      <c r="DW117" s="16"/>
      <c r="DX117" s="507"/>
      <c r="DY117" s="16"/>
      <c r="DZ117" s="507"/>
      <c r="EA117" s="16"/>
      <c r="EB117" s="507"/>
      <c r="EC117" s="16"/>
      <c r="ED117" s="507"/>
      <c r="EE117" s="16"/>
      <c r="EF117" s="507"/>
      <c r="EG117" s="16"/>
      <c r="EH117" s="507"/>
      <c r="EI117" s="16"/>
      <c r="EJ117" s="507"/>
      <c r="EK117" s="16"/>
      <c r="EL117" s="507"/>
      <c r="EM117" s="687"/>
    </row>
    <row r="118" spans="1:143" ht="12.75" hidden="1" customHeight="1" outlineLevel="1" x14ac:dyDescent="0.2">
      <c r="A118" s="715" t="s">
        <v>303</v>
      </c>
      <c r="B118" s="16"/>
      <c r="C118" s="507"/>
      <c r="D118" s="16"/>
      <c r="E118" s="687"/>
      <c r="F118" s="16"/>
      <c r="G118" s="687"/>
      <c r="H118" s="16"/>
      <c r="I118" s="687"/>
      <c r="J118" s="16"/>
      <c r="K118" s="507"/>
      <c r="L118" s="16"/>
      <c r="M118" s="507"/>
      <c r="N118" s="16"/>
      <c r="O118" s="507"/>
      <c r="P118" s="16"/>
      <c r="Q118" s="507"/>
      <c r="R118" s="16"/>
      <c r="S118" s="507"/>
      <c r="T118" s="16"/>
      <c r="U118" s="507"/>
      <c r="V118" s="16"/>
      <c r="W118" s="507"/>
      <c r="X118" s="16"/>
      <c r="Y118" s="507"/>
      <c r="Z118" s="16"/>
      <c r="AA118" s="122"/>
      <c r="AB118" s="16"/>
      <c r="AC118" s="507"/>
      <c r="AD118" s="16"/>
      <c r="AE118" s="507"/>
      <c r="AF118" s="16"/>
      <c r="AG118" s="507"/>
      <c r="AH118" s="16"/>
      <c r="AI118" s="507"/>
      <c r="AJ118" s="16"/>
      <c r="AK118" s="507"/>
      <c r="AL118" s="16"/>
      <c r="AM118" s="507"/>
      <c r="AN118" s="16"/>
      <c r="AO118" s="507"/>
      <c r="AP118" s="16"/>
      <c r="AQ118" s="507"/>
      <c r="AR118" s="16"/>
      <c r="AS118" s="507"/>
      <c r="AT118" s="16"/>
      <c r="AU118" s="507"/>
      <c r="AV118" s="16"/>
      <c r="AW118" s="507"/>
      <c r="AX118" s="16"/>
      <c r="AY118" s="507"/>
      <c r="AZ118" s="16"/>
      <c r="BA118" s="507"/>
      <c r="BB118" s="16"/>
      <c r="BC118" s="507"/>
      <c r="BD118" s="16"/>
      <c r="BE118" s="507"/>
      <c r="BF118" s="16"/>
      <c r="BG118" s="507"/>
      <c r="BH118" s="16"/>
      <c r="BI118" s="507"/>
      <c r="BJ118" s="16"/>
      <c r="BK118" s="507"/>
      <c r="BL118" s="16"/>
      <c r="BM118" s="507"/>
      <c r="BN118" s="16"/>
      <c r="BO118" s="507"/>
      <c r="BP118" s="16"/>
      <c r="BQ118" s="507"/>
      <c r="BR118" s="16"/>
      <c r="BS118" s="507"/>
      <c r="BT118" s="16"/>
      <c r="BU118" s="507"/>
      <c r="BV118" s="16"/>
      <c r="BW118" s="507"/>
      <c r="BX118" s="16"/>
      <c r="BY118" s="507"/>
      <c r="BZ118" s="16"/>
      <c r="CA118" s="507"/>
      <c r="CB118" s="16"/>
      <c r="CC118" s="507"/>
      <c r="CD118" s="16"/>
      <c r="CE118" s="507"/>
      <c r="CF118" s="16"/>
      <c r="CG118" s="507"/>
      <c r="CH118" s="16"/>
      <c r="CI118" s="507"/>
      <c r="CJ118" s="16"/>
      <c r="CK118" s="507"/>
      <c r="CL118" s="16"/>
      <c r="CM118" s="507"/>
      <c r="CN118" s="16"/>
      <c r="CO118" s="507"/>
      <c r="CP118" s="16"/>
      <c r="CQ118" s="507"/>
      <c r="CR118" s="16"/>
      <c r="CS118" s="507"/>
      <c r="CT118" s="16"/>
      <c r="CU118" s="507"/>
      <c r="CV118" s="16"/>
      <c r="CW118" s="507"/>
      <c r="CX118" s="16"/>
      <c r="CY118" s="507"/>
      <c r="CZ118" s="16"/>
      <c r="DA118" s="507"/>
      <c r="DB118" s="507"/>
      <c r="DC118" s="16"/>
      <c r="DD118" s="507"/>
      <c r="DE118" s="16"/>
      <c r="DF118" s="507"/>
      <c r="DG118" s="16"/>
      <c r="DH118" s="507"/>
      <c r="DI118" s="16"/>
      <c r="DJ118" s="507"/>
      <c r="DK118" s="16"/>
      <c r="DL118" s="507"/>
      <c r="DM118" s="16"/>
      <c r="DN118" s="507"/>
      <c r="DO118" s="16"/>
      <c r="DP118" s="507"/>
      <c r="DQ118" s="16"/>
      <c r="DR118" s="507"/>
      <c r="DS118" s="16"/>
      <c r="DT118" s="507"/>
      <c r="DU118" s="16"/>
      <c r="DV118" s="507"/>
      <c r="DW118" s="16"/>
      <c r="DX118" s="507"/>
      <c r="DY118" s="16"/>
      <c r="DZ118" s="507"/>
      <c r="EA118" s="16"/>
      <c r="EB118" s="507"/>
      <c r="EC118" s="16"/>
      <c r="ED118" s="507"/>
      <c r="EE118" s="16"/>
      <c r="EF118" s="507"/>
      <c r="EG118" s="16"/>
      <c r="EH118" s="507"/>
      <c r="EI118" s="16"/>
      <c r="EJ118" s="507"/>
      <c r="EK118" s="16"/>
      <c r="EL118" s="507"/>
      <c r="EM118" s="687"/>
    </row>
    <row r="119" spans="1:143" ht="12.75" hidden="1" customHeight="1" outlineLevel="1" x14ac:dyDescent="0.2">
      <c r="A119" s="522" t="s">
        <v>304</v>
      </c>
      <c r="B119" s="156">
        <f>INPUT!AY571</f>
        <v>26.886945254292193</v>
      </c>
      <c r="C119" s="507">
        <f>INPUT!AZ571</f>
        <v>12.818055074861201</v>
      </c>
      <c r="D119" s="156">
        <f>INPUT!BA571</f>
        <v>26.862731780207849</v>
      </c>
      <c r="E119" s="687">
        <f>INPUT!BB571</f>
        <v>61.063153934973698</v>
      </c>
      <c r="F119" s="156">
        <f>INPUT!BC571</f>
        <v>30.725915044681116</v>
      </c>
      <c r="G119" s="687">
        <f>INPUT!BD571</f>
        <v>-18.453421471416299</v>
      </c>
      <c r="H119" s="156">
        <f>INPUT!BE571</f>
        <v>33.495809308684535</v>
      </c>
      <c r="I119" s="687">
        <f>INPUT!BF571</f>
        <v>21.291207374684372</v>
      </c>
      <c r="J119" s="156">
        <f>INPUT!BG571</f>
        <v>34.741060419235495</v>
      </c>
      <c r="K119" s="687">
        <f>INPUT!BH571</f>
        <v>29.211630739975881</v>
      </c>
      <c r="L119" s="156">
        <f>INPUT!BI571</f>
        <v>35.571296581459805</v>
      </c>
      <c r="M119" s="687">
        <f>INPUT!BJ571</f>
        <v>32.418760952928572</v>
      </c>
      <c r="N119" s="156">
        <f>INPUT!BK571</f>
        <v>42.320310169997015</v>
      </c>
      <c r="O119" s="687">
        <f>INPUT!BL571</f>
        <v>37.734905887930495</v>
      </c>
      <c r="P119" s="156">
        <f>INPUT!BM571</f>
        <v>43.450210378681625</v>
      </c>
      <c r="Q119" s="687">
        <f>INPUT!BN571</f>
        <v>29.718347684216685</v>
      </c>
      <c r="R119" s="156">
        <f>INPUT!BO571</f>
        <v>35.435139573070607</v>
      </c>
      <c r="S119" s="687">
        <f>INPUT!BP571</f>
        <v>1.9978640417401161</v>
      </c>
      <c r="T119" s="156">
        <f>INPUT!BQ571</f>
        <v>37.653920933246937</v>
      </c>
      <c r="U119" s="687">
        <f>INPUT!BR571</f>
        <v>5.8547889785738771</v>
      </c>
      <c r="V119" s="156">
        <f>INPUT!BS571</f>
        <v>37.428571428571431</v>
      </c>
      <c r="W119" s="687">
        <f>INPUT!BT571</f>
        <v>-11.558844256518663</v>
      </c>
      <c r="X119" s="156">
        <f>INPUT!BU571</f>
        <v>35.203366058906006</v>
      </c>
      <c r="Y119" s="687">
        <f>INPUT!BV571</f>
        <v>-18.979987088444204</v>
      </c>
      <c r="Z119" s="156">
        <f>INPUT!BW571</f>
        <v>37.800511508951409</v>
      </c>
      <c r="AA119" s="122">
        <f>INPUT!BX571</f>
        <v>6.6752155187739026</v>
      </c>
      <c r="AB119" s="156">
        <f>INPUT!BY571</f>
        <v>31.548480463096944</v>
      </c>
      <c r="AC119" s="687">
        <f>INPUT!BZ571</f>
        <v>-16.214620732257202</v>
      </c>
      <c r="AD119" s="156">
        <f>INPUT!CA571</f>
        <v>30.400367098772531</v>
      </c>
      <c r="AE119" s="687">
        <f>INPUT!CB571</f>
        <v>-18.777645155951262</v>
      </c>
      <c r="AF119" s="156">
        <f>INPUT!CC571</f>
        <v>33.767100433767098</v>
      </c>
      <c r="AG119" s="687">
        <f>INPUT!CD571</f>
        <v>-4.0799099232033509</v>
      </c>
      <c r="AH119" s="156">
        <f>INPUT!CE571</f>
        <v>34.498587570621446</v>
      </c>
      <c r="AI119" s="507">
        <f>INPUT!CF571</f>
        <v>-8.7351303104669533</v>
      </c>
      <c r="AJ119" s="156">
        <f>INPUT!CG571</f>
        <v>34.8813209494324</v>
      </c>
      <c r="AK119" s="507">
        <f>INPUT!CH571</f>
        <v>10.564187046136709</v>
      </c>
      <c r="AL119" s="156">
        <f>INPUT!CI571</f>
        <v>40.518465909090892</v>
      </c>
      <c r="AM119" s="507">
        <f>INPUT!CJ571</f>
        <v>33.282817860205704</v>
      </c>
      <c r="AN119" s="156">
        <f>INPUT!CK571</f>
        <v>40.725806451612925</v>
      </c>
      <c r="AO119" s="507">
        <f>INPUT!CL571</f>
        <v>20.607946576565173</v>
      </c>
      <c r="AP119" s="156">
        <f>INPUT!CM571</f>
        <v>45.668720550924249</v>
      </c>
      <c r="AQ119" s="507">
        <f>INPUT!CN571</f>
        <v>32.378522620488795</v>
      </c>
      <c r="AR119" s="156">
        <f>INPUT!CO571</f>
        <v>44.963905122035072</v>
      </c>
      <c r="AS119" s="507">
        <f>INPUT!CP571</f>
        <v>28.905396636840219</v>
      </c>
      <c r="AT119" s="156">
        <f>INPUT!CQ571</f>
        <v>39.405560882070958</v>
      </c>
      <c r="AU119" s="507">
        <f>INPUT!CR571</f>
        <v>-2.746661311207832</v>
      </c>
      <c r="AV119" s="156">
        <f>INPUT!CS571</f>
        <v>46.785714285714285</v>
      </c>
      <c r="AW119" s="507">
        <f>INPUT!CT571</f>
        <v>14.879773691654808</v>
      </c>
      <c r="AX119" s="156">
        <f>INPUT!CU571</f>
        <v>46.757679180887372</v>
      </c>
      <c r="AY119" s="507">
        <f>INPUT!CV571</f>
        <v>2.3844736984668602</v>
      </c>
      <c r="AZ119" s="156">
        <f>INPUT!CW571</f>
        <v>49.491525423728817</v>
      </c>
      <c r="BA119" s="507">
        <f>INPUT!CX571</f>
        <v>10.069455242834181</v>
      </c>
      <c r="BB119" s="156">
        <f>INPUT!CY571</f>
        <v>45.121951219512198</v>
      </c>
      <c r="BC119" s="507">
        <f>INPUT!CZ571</f>
        <v>14.506557474333848</v>
      </c>
      <c r="BD119" s="156">
        <f>INPUT!DA571</f>
        <v>50.993377483443716</v>
      </c>
      <c r="BE119" s="507">
        <f>INPUT!DB571</f>
        <v>8.9934785905667169</v>
      </c>
      <c r="BF119" s="156">
        <f>INPUT!DC571</f>
        <v>53.266688554027162</v>
      </c>
      <c r="BG119" s="507">
        <f>INPUT!DD571</f>
        <v>13.920728075401168</v>
      </c>
      <c r="BH119" s="156">
        <f>INPUT!DE571</f>
        <v>56.024096385542165</v>
      </c>
      <c r="BI119" s="507">
        <f>INPUT!DF571</f>
        <v>13.199372833800949</v>
      </c>
      <c r="BJ119" s="156">
        <f>INPUT!DG571</f>
        <v>57.227138643067846</v>
      </c>
      <c r="BK119" s="507">
        <f>INPUT!DH571</f>
        <v>26.827712668420634</v>
      </c>
      <c r="BL119" s="156">
        <f>INPUT!DI571</f>
        <v>56.582633053221286</v>
      </c>
      <c r="BM119" s="507">
        <f>INPUT!DJ571</f>
        <v>10.960747935537828</v>
      </c>
      <c r="BN119" s="156">
        <f>INPUT!DK571</f>
        <v>59.340659340659343</v>
      </c>
      <c r="BO119" s="507">
        <f>INPUT!DL571</f>
        <v>11.402944225585742</v>
      </c>
      <c r="BP119" s="156">
        <f>INPUT!DM571</f>
        <v>59.114583333333336</v>
      </c>
      <c r="BQ119" s="507">
        <f>INPUT!DN571</f>
        <v>5.5163530465949906</v>
      </c>
      <c r="BR119" s="156">
        <f>INPUT!DO571</f>
        <v>57.67326732673267</v>
      </c>
      <c r="BS119" s="507">
        <f>INPUT!DP571</f>
        <v>0.77957538021842243</v>
      </c>
      <c r="BT119" s="156">
        <f>INPUT!DQ571</f>
        <v>61.240310077519375</v>
      </c>
      <c r="BU119" s="507">
        <f>INPUT!DR571</f>
        <v>8.2316371172000977</v>
      </c>
      <c r="BV119" s="156">
        <f>INPUT!DS571</f>
        <v>67.897727272727266</v>
      </c>
      <c r="BW119" s="507">
        <f>INPUT!DT571</f>
        <v>14.420244107744097</v>
      </c>
      <c r="BX119" s="156">
        <f>INPUT!DU571</f>
        <v>67.282321899736147</v>
      </c>
      <c r="BY119" s="507">
        <f>INPUT!DV571</f>
        <v>13.816791231271708</v>
      </c>
      <c r="BZ119" s="156">
        <f>INPUT!DW571</f>
        <v>60.260972716488723</v>
      </c>
      <c r="CA119" s="507">
        <f>INPUT!DX571</f>
        <v>60.260972716488723</v>
      </c>
      <c r="CB119" s="156">
        <f>INPUT!DY571</f>
        <v>63.612565445026178</v>
      </c>
      <c r="CC119" s="507">
        <f>INPUT!DZ571</f>
        <v>3.8736828152959202</v>
      </c>
      <c r="CD119" s="156">
        <f>INPUT!EA571</f>
        <v>61.325966850828728</v>
      </c>
      <c r="CE119" s="507">
        <f>INPUT!EB571</f>
        <v>-9.6789107468965963</v>
      </c>
      <c r="CF119" s="156">
        <f>INPUT!EC571</f>
        <v>63.002680965147448</v>
      </c>
      <c r="CG119" s="507">
        <f>INPUT!ED571</f>
        <v>-6.3607212321926117</v>
      </c>
      <c r="CH119" s="156">
        <f>INPUT!EE571</f>
        <v>60.470242468772959</v>
      </c>
      <c r="CI119" s="507">
        <f>INPUT!EF571</f>
        <v>0.34727244325907236</v>
      </c>
      <c r="CJ119" s="156">
        <f>INPUT!EG571</f>
        <v>59.168704156479215</v>
      </c>
      <c r="CK119" s="507">
        <f>INPUT!EH571</f>
        <v>-6.9858230955758831</v>
      </c>
      <c r="CL119" s="156">
        <f>INPUT!EI571</f>
        <v>60.301507537688437</v>
      </c>
      <c r="CM119" s="507">
        <f>INPUT!EJ571</f>
        <v>-1.6705147358413774</v>
      </c>
      <c r="CN119" s="156">
        <f>INPUT!EK571</f>
        <v>59.904534606205253</v>
      </c>
      <c r="CO119" s="507">
        <f>INPUT!EL571</f>
        <v>-4.9174833697252733</v>
      </c>
      <c r="CP119" s="156">
        <f>INPUT!EM571</f>
        <v>60.438292964244525</v>
      </c>
      <c r="CQ119" s="507">
        <f>INPUT!EN571</f>
        <v>-5.2835085860514219E-2</v>
      </c>
      <c r="CR119" s="156">
        <f>INPUT!EO571</f>
        <v>60.227272727272727</v>
      </c>
      <c r="CS119" s="507">
        <f>INPUT!EP571</f>
        <v>1.7890683696468956</v>
      </c>
      <c r="CT119" s="156">
        <f>INPUT!EQ571</f>
        <v>64.768351843578614</v>
      </c>
      <c r="CU119" s="507">
        <f>INPUT!ER571</f>
        <v>7.4075168072678776</v>
      </c>
      <c r="CV119" s="156">
        <f>INPUT!ES571</f>
        <v>60.772537734292776</v>
      </c>
      <c r="CW119" s="507">
        <f>INPUT!ET571</f>
        <v>1.4489773333413281</v>
      </c>
      <c r="CX119" s="156">
        <f>INPUT!EU571</f>
        <v>59.181601709300224</v>
      </c>
      <c r="CY119" s="507">
        <f>INPUT!EV571</f>
        <v>-2.0792964084670018</v>
      </c>
      <c r="CZ119" s="156">
        <f>INPUT!EW571</f>
        <v>58.432191938040901</v>
      </c>
      <c r="DA119" s="507">
        <f>INPUT!EX571</f>
        <v>-2.9805114991019011</v>
      </c>
      <c r="DB119" s="507"/>
      <c r="DC119" s="156">
        <f>INPUT!FP571</f>
        <v>26.684111169617136</v>
      </c>
      <c r="DD119" s="687" t="str">
        <f>INPUT!FQ571</f>
        <v>NA</v>
      </c>
      <c r="DE119" s="156">
        <f>INPUT!FR571</f>
        <v>29.768229512551475</v>
      </c>
      <c r="DF119" s="687">
        <f>INPUT!FS571</f>
        <v>11.557882978864043</v>
      </c>
      <c r="DG119" s="156">
        <f>INPUT!FT571</f>
        <v>39.152807815646192</v>
      </c>
      <c r="DH119" s="687">
        <f>INPUT!FU571</f>
        <v>31.525483566759661</v>
      </c>
      <c r="DI119" s="156">
        <f>INPUT!FV571</f>
        <v>36.541155866900205</v>
      </c>
      <c r="DJ119" s="687">
        <f>INPUT!FW571</f>
        <v>-6.6704078058542731</v>
      </c>
      <c r="DK119" s="156">
        <f>INPUT!FX571</f>
        <v>33.194676403771773</v>
      </c>
      <c r="DL119" s="507">
        <f>INPUT!FY571</f>
        <v>-9.1581105844540271</v>
      </c>
      <c r="DM119" s="156">
        <f>INPUT!FZ571</f>
        <v>37.672361460411103</v>
      </c>
      <c r="DN119" s="507">
        <f>INPUT!GA571</f>
        <v>13.489166160783995</v>
      </c>
      <c r="DO119" s="156">
        <f>INPUT!GB571</f>
        <v>44.071742692075553</v>
      </c>
      <c r="DP119" s="507">
        <f>INPUT!GC571</f>
        <v>16.98693945265255</v>
      </c>
      <c r="DQ119" s="156">
        <f>INPUT!GD571</f>
        <v>48.029556650246306</v>
      </c>
      <c r="DR119" s="507">
        <f>INPUT!GE571</f>
        <v>8.9803890575046452</v>
      </c>
      <c r="DS119" s="156">
        <f>INPUT!GF571</f>
        <v>55.861373330378186</v>
      </c>
      <c r="DT119" s="507">
        <f>INPUT!GG571</f>
        <v>16.306243959659206</v>
      </c>
      <c r="DU119" s="156">
        <f>INPUT!GH571</f>
        <v>59.324236517218978</v>
      </c>
      <c r="DV119" s="507">
        <f>INPUT!GI571</f>
        <v>6.1990298132495791</v>
      </c>
      <c r="DW119" s="156">
        <f>INPUT!GJ571</f>
        <v>64.581296839361357</v>
      </c>
      <c r="DX119" s="507">
        <f>INPUT!GK571</f>
        <v>8.8615726569300399</v>
      </c>
      <c r="DY119" s="156">
        <f>INPUT!GL571</f>
        <v>60.93538620112092</v>
      </c>
      <c r="DZ119" s="507">
        <f>INPUT!GM571</f>
        <v>-5.6454590054288101</v>
      </c>
      <c r="EA119" s="156">
        <f>INPUT!GN571</f>
        <v>60.218870156758356</v>
      </c>
      <c r="EB119" s="507">
        <f>INPUT!GO571</f>
        <v>-1.1758619892842881</v>
      </c>
      <c r="EC119" s="156">
        <f>INPUT!GP571</f>
        <v>60.673401221271426</v>
      </c>
      <c r="ED119" s="507">
        <f>INPUT!GQ571</f>
        <v>0.75479839347676325</v>
      </c>
      <c r="EE119" s="156">
        <f>INPUT!GR571</f>
        <v>59.148895966737982</v>
      </c>
      <c r="EF119" s="507">
        <f>INPUT!GS571</f>
        <v>-2.5126418230184355</v>
      </c>
      <c r="EG119" s="156">
        <f>INPUT!GT571</f>
        <v>57.180580220464897</v>
      </c>
      <c r="EH119" s="507">
        <f>INPUT!GU571</f>
        <v>-3.3277303221009524</v>
      </c>
      <c r="EI119" s="156">
        <f>INPUT!GV571</f>
        <v>57.848613728040498</v>
      </c>
      <c r="EJ119" s="507">
        <f>INPUT!GW571</f>
        <v>1.168287388830147</v>
      </c>
      <c r="EK119" s="156">
        <f>INPUT!GX571</f>
        <v>58.588097003336827</v>
      </c>
      <c r="EL119" s="507">
        <f>INPUT!GY571</f>
        <v>1.2783076855960696</v>
      </c>
      <c r="EM119" s="687">
        <f>INPUT!GZ571</f>
        <v>-0.54757944444808748</v>
      </c>
    </row>
    <row r="120" spans="1:143" ht="12.75" hidden="1" customHeight="1" outlineLevel="1" x14ac:dyDescent="0.2">
      <c r="A120" s="700"/>
      <c r="B120" s="16"/>
      <c r="C120" s="507"/>
      <c r="D120" s="16"/>
      <c r="E120" s="687"/>
      <c r="F120" s="16"/>
      <c r="G120" s="687"/>
      <c r="H120" s="16"/>
      <c r="I120" s="687"/>
      <c r="J120" s="16"/>
      <c r="K120" s="687"/>
      <c r="L120" s="16"/>
      <c r="M120" s="687"/>
      <c r="N120" s="16"/>
      <c r="O120" s="687"/>
      <c r="P120" s="16"/>
      <c r="Q120" s="687"/>
      <c r="R120" s="16"/>
      <c r="S120" s="687"/>
      <c r="T120" s="16"/>
      <c r="U120" s="687"/>
      <c r="V120" s="16"/>
      <c r="W120" s="687"/>
      <c r="X120" s="16"/>
      <c r="Y120" s="687"/>
      <c r="Z120" s="16"/>
      <c r="AA120" s="122"/>
      <c r="AB120" s="16"/>
      <c r="AC120" s="687"/>
      <c r="AD120" s="16"/>
      <c r="AE120" s="687"/>
      <c r="AF120" s="16"/>
      <c r="AG120" s="687"/>
      <c r="AH120" s="16"/>
      <c r="AI120" s="507"/>
      <c r="AJ120" s="16"/>
      <c r="AK120" s="507"/>
      <c r="AL120" s="16"/>
      <c r="AM120" s="507"/>
      <c r="AN120" s="16"/>
      <c r="AO120" s="507"/>
      <c r="AP120" s="16"/>
      <c r="AQ120" s="507"/>
      <c r="AR120" s="16"/>
      <c r="AS120" s="507"/>
      <c r="AT120" s="16"/>
      <c r="AU120" s="507"/>
      <c r="AV120" s="16"/>
      <c r="AW120" s="507"/>
      <c r="AX120" s="16"/>
      <c r="AY120" s="507"/>
      <c r="AZ120" s="16"/>
      <c r="BA120" s="507"/>
      <c r="BB120" s="16"/>
      <c r="BC120" s="507"/>
      <c r="BD120" s="16"/>
      <c r="BE120" s="507"/>
      <c r="BF120" s="16"/>
      <c r="BG120" s="507"/>
      <c r="BH120" s="16"/>
      <c r="BI120" s="507"/>
      <c r="BJ120" s="16"/>
      <c r="BK120" s="507"/>
      <c r="BL120" s="16"/>
      <c r="BM120" s="507"/>
      <c r="BN120" s="16"/>
      <c r="BO120" s="507"/>
      <c r="BP120" s="16"/>
      <c r="BQ120" s="507"/>
      <c r="BR120" s="16"/>
      <c r="BS120" s="507"/>
      <c r="BT120" s="16"/>
      <c r="BU120" s="507"/>
      <c r="BV120" s="16"/>
      <c r="BW120" s="507"/>
      <c r="BX120" s="16"/>
      <c r="BY120" s="507"/>
      <c r="BZ120" s="16"/>
      <c r="CA120" s="507"/>
      <c r="CB120" s="16"/>
      <c r="CC120" s="507"/>
      <c r="CD120" s="16"/>
      <c r="CE120" s="507"/>
      <c r="CF120" s="16"/>
      <c r="CG120" s="507"/>
      <c r="CH120" s="16"/>
      <c r="CI120" s="507"/>
      <c r="CJ120" s="16"/>
      <c r="CK120" s="507"/>
      <c r="CL120" s="16"/>
      <c r="CM120" s="507"/>
      <c r="CN120" s="16"/>
      <c r="CO120" s="507"/>
      <c r="CP120" s="16"/>
      <c r="CQ120" s="507"/>
      <c r="CR120" s="16"/>
      <c r="CS120" s="507"/>
      <c r="CT120" s="16"/>
      <c r="CU120" s="507"/>
      <c r="CV120" s="16"/>
      <c r="CW120" s="507"/>
      <c r="CX120" s="16"/>
      <c r="CY120" s="507"/>
      <c r="CZ120" s="16"/>
      <c r="DA120" s="507"/>
      <c r="DB120" s="507"/>
      <c r="DC120" s="16"/>
      <c r="DD120" s="687"/>
      <c r="DE120" s="16"/>
      <c r="DF120" s="687"/>
      <c r="DG120" s="16"/>
      <c r="DH120" s="687"/>
      <c r="DI120" s="16"/>
      <c r="DJ120" s="687"/>
      <c r="DK120" s="16"/>
      <c r="DL120" s="507"/>
      <c r="DM120" s="16"/>
      <c r="DN120" s="507"/>
      <c r="DO120" s="16"/>
      <c r="DP120" s="507"/>
      <c r="DQ120" s="16"/>
      <c r="DR120" s="507"/>
      <c r="DS120" s="16"/>
      <c r="DT120" s="507"/>
      <c r="DU120" s="16"/>
      <c r="DV120" s="507"/>
      <c r="DW120" s="16"/>
      <c r="DX120" s="507"/>
      <c r="DY120" s="16"/>
      <c r="DZ120" s="507"/>
      <c r="EA120" s="16"/>
      <c r="EB120" s="507"/>
      <c r="EC120" s="16"/>
      <c r="ED120" s="507"/>
      <c r="EE120" s="16"/>
      <c r="EF120" s="507"/>
      <c r="EG120" s="16"/>
      <c r="EH120" s="507"/>
      <c r="EI120" s="16"/>
      <c r="EJ120" s="507"/>
      <c r="EK120" s="16"/>
      <c r="EL120" s="507"/>
      <c r="EM120" s="687"/>
    </row>
    <row r="121" spans="1:143" ht="12.75" hidden="1" customHeight="1" outlineLevel="1" x14ac:dyDescent="0.2">
      <c r="A121" s="700" t="s">
        <v>636</v>
      </c>
      <c r="B121" s="16"/>
      <c r="C121" s="507"/>
      <c r="D121" s="16"/>
      <c r="E121" s="687"/>
      <c r="F121" s="16"/>
      <c r="G121" s="687"/>
      <c r="H121" s="16"/>
      <c r="I121" s="687"/>
      <c r="J121" s="16"/>
      <c r="K121" s="507"/>
      <c r="L121" s="16"/>
      <c r="M121" s="507"/>
      <c r="N121" s="16"/>
      <c r="O121" s="507"/>
      <c r="P121" s="16"/>
      <c r="Q121" s="507"/>
      <c r="R121" s="16"/>
      <c r="S121" s="507"/>
      <c r="T121" s="16"/>
      <c r="U121" s="507"/>
      <c r="V121" s="16"/>
      <c r="W121" s="507"/>
      <c r="X121" s="16"/>
      <c r="Y121" s="507"/>
      <c r="Z121" s="16"/>
      <c r="AA121" s="122"/>
      <c r="AB121" s="16"/>
      <c r="AC121" s="507"/>
      <c r="AD121" s="16"/>
      <c r="AE121" s="507"/>
      <c r="AF121" s="16"/>
      <c r="AG121" s="507"/>
      <c r="AH121" s="16"/>
      <c r="AI121" s="507"/>
      <c r="AJ121" s="16"/>
      <c r="AK121" s="507"/>
      <c r="AL121" s="16"/>
      <c r="AM121" s="507"/>
      <c r="AN121" s="16"/>
      <c r="AO121" s="507"/>
      <c r="AP121" s="16"/>
      <c r="AQ121" s="507"/>
      <c r="AR121" s="16"/>
      <c r="AS121" s="507"/>
      <c r="AT121" s="16"/>
      <c r="AU121" s="507"/>
      <c r="AV121" s="16"/>
      <c r="AW121" s="507"/>
      <c r="AX121" s="16"/>
      <c r="AY121" s="507"/>
      <c r="AZ121" s="16"/>
      <c r="BA121" s="507"/>
      <c r="BB121" s="16"/>
      <c r="BC121" s="507"/>
      <c r="BD121" s="16"/>
      <c r="BE121" s="507"/>
      <c r="BF121" s="16"/>
      <c r="BG121" s="507"/>
      <c r="BH121" s="16"/>
      <c r="BI121" s="507"/>
      <c r="BJ121" s="16"/>
      <c r="BK121" s="507"/>
      <c r="BL121" s="16"/>
      <c r="BM121" s="507"/>
      <c r="BN121" s="16"/>
      <c r="BO121" s="507"/>
      <c r="BP121" s="16"/>
      <c r="BQ121" s="507"/>
      <c r="BR121" s="16"/>
      <c r="BS121" s="507"/>
      <c r="BT121" s="16"/>
      <c r="BU121" s="507"/>
      <c r="BV121" s="16"/>
      <c r="BW121" s="507"/>
      <c r="BX121" s="16"/>
      <c r="BY121" s="507"/>
      <c r="BZ121" s="16"/>
      <c r="CA121" s="507"/>
      <c r="CB121" s="16"/>
      <c r="CC121" s="507"/>
      <c r="CD121" s="16"/>
      <c r="CE121" s="507"/>
      <c r="CF121" s="16"/>
      <c r="CG121" s="507"/>
      <c r="CH121" s="16"/>
      <c r="CI121" s="507"/>
      <c r="CJ121" s="16"/>
      <c r="CK121" s="507"/>
      <c r="CL121" s="16"/>
      <c r="CM121" s="507"/>
      <c r="CN121" s="16"/>
      <c r="CO121" s="507"/>
      <c r="CP121" s="16"/>
      <c r="CQ121" s="507"/>
      <c r="CR121" s="16"/>
      <c r="CS121" s="507"/>
      <c r="CT121" s="16"/>
      <c r="CU121" s="507"/>
      <c r="CV121" s="16"/>
      <c r="CW121" s="507"/>
      <c r="CX121" s="16"/>
      <c r="CY121" s="507"/>
      <c r="CZ121" s="16"/>
      <c r="DA121" s="507"/>
      <c r="DB121" s="507"/>
      <c r="DC121" s="16"/>
      <c r="DD121" s="507"/>
      <c r="DE121" s="16"/>
      <c r="DF121" s="507"/>
      <c r="DG121" s="16"/>
      <c r="DH121" s="507"/>
      <c r="DI121" s="16"/>
      <c r="DJ121" s="507"/>
      <c r="DK121" s="16"/>
      <c r="DL121" s="507"/>
      <c r="DM121" s="16"/>
      <c r="DN121" s="507"/>
      <c r="DO121" s="16"/>
      <c r="DP121" s="507"/>
      <c r="DQ121" s="16"/>
      <c r="DR121" s="507"/>
      <c r="DS121" s="16"/>
      <c r="DT121" s="507"/>
      <c r="DU121" s="16"/>
      <c r="DV121" s="507"/>
      <c r="DW121" s="16"/>
      <c r="DX121" s="507"/>
      <c r="DY121" s="16"/>
      <c r="DZ121" s="507"/>
      <c r="EA121" s="16"/>
      <c r="EB121" s="507"/>
      <c r="EC121" s="16"/>
      <c r="ED121" s="507"/>
      <c r="EE121" s="16"/>
      <c r="EF121" s="507"/>
      <c r="EG121" s="16"/>
      <c r="EH121" s="507"/>
      <c r="EI121" s="16"/>
      <c r="EJ121" s="507"/>
      <c r="EK121" s="16"/>
      <c r="EL121" s="507"/>
      <c r="EM121" s="687"/>
    </row>
    <row r="122" spans="1:143" ht="12.75" hidden="1" customHeight="1" outlineLevel="1" x14ac:dyDescent="0.2">
      <c r="A122" s="701" t="str">
        <f>INPUT!B122</f>
        <v>Operating Margin (%)</v>
      </c>
      <c r="B122" s="156">
        <f>INPUT!AY122</f>
        <v>17.716115261472783</v>
      </c>
      <c r="C122" s="507">
        <f>INPUT!AZ122</f>
        <v>0</v>
      </c>
      <c r="D122" s="156">
        <f>INPUT!BA122</f>
        <v>16.123778501628667</v>
      </c>
      <c r="E122" s="687">
        <f>INPUT!BB122</f>
        <v>0</v>
      </c>
      <c r="F122" s="156">
        <f>INPUT!BC122</f>
        <v>21.693210393964801</v>
      </c>
      <c r="G122" s="687">
        <f>INPUT!BD122</f>
        <v>0</v>
      </c>
      <c r="H122" s="156">
        <f>INPUT!BE122</f>
        <v>19.41001098383806</v>
      </c>
      <c r="I122" s="687">
        <f>INPUT!BF122</f>
        <v>0</v>
      </c>
      <c r="J122" s="156">
        <f>INPUT!BG122</f>
        <v>19.766260162601622</v>
      </c>
      <c r="K122" s="687">
        <f>INPUT!BH122</f>
        <v>0</v>
      </c>
      <c r="L122" s="156">
        <f>INPUT!BI122</f>
        <v>19.801186467853132</v>
      </c>
      <c r="M122" s="687">
        <f>INPUT!BJ122</f>
        <v>0</v>
      </c>
      <c r="N122" s="156">
        <f>INPUT!BK122</f>
        <v>19.459041731066463</v>
      </c>
      <c r="O122" s="687">
        <f>INPUT!BL122</f>
        <v>0</v>
      </c>
      <c r="P122" s="156">
        <f>INPUT!BM122</f>
        <v>17.685557042986748</v>
      </c>
      <c r="Q122" s="687">
        <f>INPUT!BN122</f>
        <v>0</v>
      </c>
      <c r="R122" s="156">
        <f>INPUT!BO122</f>
        <v>18.936716993254102</v>
      </c>
      <c r="S122" s="687">
        <f>INPUT!BP122</f>
        <v>0</v>
      </c>
      <c r="T122" s="156">
        <f>INPUT!BQ122</f>
        <v>18.781315661871677</v>
      </c>
      <c r="U122" s="687">
        <f>INPUT!BR122</f>
        <v>0</v>
      </c>
      <c r="V122" s="156">
        <f>INPUT!BS122</f>
        <v>19.386848341232231</v>
      </c>
      <c r="W122" s="687">
        <f>INPUT!BT122</f>
        <v>0</v>
      </c>
      <c r="X122" s="156">
        <f>INPUT!BU122</f>
        <v>-30.266173100652232</v>
      </c>
      <c r="Y122" s="687">
        <f>INPUT!BV122</f>
        <v>0</v>
      </c>
      <c r="Z122" s="156">
        <f>INPUT!BW122</f>
        <v>14.165229058846082</v>
      </c>
      <c r="AA122" s="122">
        <f>INPUT!BX122</f>
        <v>0</v>
      </c>
      <c r="AB122" s="156">
        <f>INPUT!BY122</f>
        <v>11.837104072398194</v>
      </c>
      <c r="AC122" s="687">
        <f>INPUT!BZ122</f>
        <v>0</v>
      </c>
      <c r="AD122" s="156">
        <f>INPUT!CA122</f>
        <v>15.797392176529588</v>
      </c>
      <c r="AE122" s="687">
        <f>INPUT!CB122</f>
        <v>0</v>
      </c>
      <c r="AF122" s="156">
        <f>INPUT!CC122</f>
        <v>19.033232628398789</v>
      </c>
      <c r="AG122" s="687">
        <f>INPUT!CD122</f>
        <v>0</v>
      </c>
      <c r="AH122" s="156">
        <f>INPUT!CE122</f>
        <v>18.844260993808533</v>
      </c>
      <c r="AI122" s="507">
        <f>INPUT!CF122</f>
        <v>0</v>
      </c>
      <c r="AJ122" s="156">
        <f>INPUT!CG122</f>
        <v>18.057710207880856</v>
      </c>
      <c r="AK122" s="507">
        <f>INPUT!CH122</f>
        <v>0</v>
      </c>
      <c r="AL122" s="156">
        <f>INPUT!CI122</f>
        <v>19.097379978797509</v>
      </c>
      <c r="AM122" s="507">
        <f>INPUT!CJ122</f>
        <v>0</v>
      </c>
      <c r="AN122" s="156">
        <f>INPUT!CK122</f>
        <v>17.11348798444228</v>
      </c>
      <c r="AO122" s="507">
        <f>INPUT!CL122</f>
        <v>0</v>
      </c>
      <c r="AP122" s="156">
        <f>INPUT!CM122</f>
        <v>19.639934533551564</v>
      </c>
      <c r="AQ122" s="507">
        <f>INPUT!CN122</f>
        <v>0</v>
      </c>
      <c r="AR122" s="156">
        <f>INPUT!CO122</f>
        <v>19.706042460533467</v>
      </c>
      <c r="AS122" s="507">
        <f>INPUT!CP122</f>
        <v>0</v>
      </c>
      <c r="AT122" s="156">
        <f>INPUT!CQ122</f>
        <v>21.56118143459916</v>
      </c>
      <c r="AU122" s="507">
        <f>INPUT!CR122</f>
        <v>0</v>
      </c>
      <c r="AV122" s="156">
        <f>INPUT!CS122</f>
        <v>18.930635838150287</v>
      </c>
      <c r="AW122" s="507">
        <f>INPUT!CT122</f>
        <v>0</v>
      </c>
      <c r="AX122" s="156">
        <f>INPUT!CU122</f>
        <v>18.741450068399455</v>
      </c>
      <c r="AY122" s="507">
        <f>INPUT!CV122</f>
        <v>0</v>
      </c>
      <c r="AZ122" s="156">
        <f>INPUT!CW122</f>
        <v>21.525885558583106</v>
      </c>
      <c r="BA122" s="507">
        <f>INPUT!CX122</f>
        <v>0</v>
      </c>
      <c r="BB122" s="156">
        <f>INPUT!CY122</f>
        <v>18.65771812080537</v>
      </c>
      <c r="BC122" s="507">
        <f>INPUT!CZ122</f>
        <v>0</v>
      </c>
      <c r="BD122" s="156">
        <f>INPUT!DA122</f>
        <v>21.148825065274153</v>
      </c>
      <c r="BE122" s="507">
        <f>INPUT!DB122</f>
        <v>0</v>
      </c>
      <c r="BF122" s="156">
        <f>INPUT!DC122</f>
        <v>20.463320463320464</v>
      </c>
      <c r="BG122" s="507">
        <f>INPUT!DD122</f>
        <v>0</v>
      </c>
      <c r="BH122" s="156">
        <f>INPUT!DE122</f>
        <v>23.867809057527538</v>
      </c>
      <c r="BI122" s="507">
        <f>INPUT!DF122</f>
        <v>0</v>
      </c>
      <c r="BJ122" s="156">
        <f>INPUT!DG122</f>
        <v>23.51543942992874</v>
      </c>
      <c r="BK122" s="507">
        <f>INPUT!DH122</f>
        <v>0</v>
      </c>
      <c r="BL122" s="156">
        <f>INPUT!DI122</f>
        <v>22.460496613995485</v>
      </c>
      <c r="BM122" s="507">
        <f>INPUT!DJ122</f>
        <v>0</v>
      </c>
      <c r="BN122" s="156">
        <f>INPUT!DK122</f>
        <v>23.762376237623762</v>
      </c>
      <c r="BO122" s="507">
        <f>INPUT!DL122</f>
        <v>0</v>
      </c>
      <c r="BP122" s="156">
        <f>INPUT!DM122</f>
        <v>24.514038876889849</v>
      </c>
      <c r="BQ122" s="507">
        <f>INPUT!DN122</f>
        <v>2.7075372431744071</v>
      </c>
      <c r="BR122" s="156">
        <f>INPUT!DO122</f>
        <v>25.95338983050847</v>
      </c>
      <c r="BS122" s="507">
        <f>INPUT!DP122</f>
        <v>10.367445642869356</v>
      </c>
      <c r="BT122" s="156">
        <f>INPUT!DQ122</f>
        <v>24.534161490683228</v>
      </c>
      <c r="BU122" s="507">
        <f>INPUT!DR122</f>
        <v>9.2324978931926704</v>
      </c>
      <c r="BV122" s="156">
        <f>INPUT!DS122</f>
        <v>24.165824064711831</v>
      </c>
      <c r="BW122" s="507">
        <f>INPUT!DT122</f>
        <v>1.6978429389956196</v>
      </c>
      <c r="BX122" s="156">
        <f>INPUT!DU122</f>
        <v>25.731584258324926</v>
      </c>
      <c r="BY122" s="507">
        <f>INPUT!DV122</f>
        <v>4.9667269744884557</v>
      </c>
      <c r="BZ122" s="156">
        <f>INPUT!DW122</f>
        <v>24.433962264150942</v>
      </c>
      <c r="CA122" s="507">
        <f>INPUT!DX122</f>
        <v>24.433962264150942</v>
      </c>
      <c r="CB122" s="156">
        <f>INPUT!DY122</f>
        <v>22.520852641334567</v>
      </c>
      <c r="CC122" s="507">
        <f>INPUT!DZ122</f>
        <v>-8.2061449302565652</v>
      </c>
      <c r="CD122" s="156">
        <f>INPUT!EA122</f>
        <v>20.981713185755535</v>
      </c>
      <c r="CE122" s="507">
        <f>INPUT!EB122</f>
        <v>-13.176090624635052</v>
      </c>
      <c r="CF122" s="156">
        <f>INPUT!EC122</f>
        <v>23.906408952187181</v>
      </c>
      <c r="CG122" s="507">
        <f>INPUT!ED122</f>
        <v>-7.0931322681666797</v>
      </c>
      <c r="CH122" s="156">
        <f>INPUT!EE122</f>
        <v>24</v>
      </c>
      <c r="CI122" s="507">
        <f>INPUT!EF122</f>
        <v>-1.7760617760617659</v>
      </c>
      <c r="CJ122" s="156">
        <f>INPUT!EG122</f>
        <v>23.936696340257171</v>
      </c>
      <c r="CK122" s="507">
        <f>INPUT!EH122</f>
        <v>6.2868121445987191</v>
      </c>
      <c r="CL122" s="156">
        <f>INPUT!EI122</f>
        <v>26.48444863336475</v>
      </c>
      <c r="CM122" s="507">
        <f>INPUT!EJ122</f>
        <v>26.22634004617419</v>
      </c>
      <c r="CN122" s="156">
        <f>INPUT!EK122</f>
        <v>23.3271375464684</v>
      </c>
      <c r="CO122" s="507">
        <f>INPUT!EL122</f>
        <v>-2.4230799651981383</v>
      </c>
      <c r="CP122" s="156">
        <f>INPUT!EM122</f>
        <v>25.815470643056848</v>
      </c>
      <c r="CQ122" s="507">
        <f>INPUT!EN122</f>
        <v>7.5644610127368672</v>
      </c>
      <c r="CR122" s="156">
        <f>INPUT!EO122</f>
        <v>22.707797772065124</v>
      </c>
      <c r="CS122" s="507">
        <f>INPUT!EP122</f>
        <v>-5.1339522828188429</v>
      </c>
      <c r="CT122" s="156">
        <f>INPUT!EQ122</f>
        <v>25.292465311645195</v>
      </c>
      <c r="CU122" s="507">
        <f>INPUT!ER122</f>
        <v>-4.500691474535401</v>
      </c>
      <c r="CV122" s="156">
        <f>INPUT!ES122</f>
        <v>25.229955153712435</v>
      </c>
      <c r="CW122" s="507">
        <f>INPUT!ET122</f>
        <v>8.1570985872294166</v>
      </c>
      <c r="CX122" s="156">
        <f>INPUT!EU122</f>
        <v>25.219763992598114</v>
      </c>
      <c r="CY122" s="507">
        <f>INPUT!EV122</f>
        <v>-2.3075568084556686</v>
      </c>
      <c r="CZ122" s="156">
        <f>INPUT!EW122</f>
        <v>25.20991702556168</v>
      </c>
      <c r="DA122" s="507">
        <f>INPUT!EX122</f>
        <v>11.018766674831992</v>
      </c>
      <c r="DB122" s="507"/>
      <c r="DC122" s="156">
        <f>INPUT!FP122</f>
        <v>17.729349736379621</v>
      </c>
      <c r="DD122" s="687">
        <f>INPUT!FQ122</f>
        <v>0</v>
      </c>
      <c r="DE122" s="156">
        <f>INPUT!FR122</f>
        <v>18.906163242642968</v>
      </c>
      <c r="DF122" s="687">
        <f>INPUT!FS122</f>
        <v>0</v>
      </c>
      <c r="DG122" s="156">
        <f>INPUT!FT122</f>
        <v>19.144233046498758</v>
      </c>
      <c r="DH122" s="687">
        <f>INPUT!FU122</f>
        <v>0</v>
      </c>
      <c r="DI122" s="156">
        <f>INPUT!FV122</f>
        <v>7.78243014735488</v>
      </c>
      <c r="DJ122" s="687">
        <f>INPUT!FW122</f>
        <v>0</v>
      </c>
      <c r="DK122" s="156">
        <f>INPUT!FX122</f>
        <v>15.360882979185691</v>
      </c>
      <c r="DL122" s="507">
        <f>INPUT!FY122</f>
        <v>0</v>
      </c>
      <c r="DM122" s="156">
        <f>INPUT!FZ122</f>
        <v>18.24688288695522</v>
      </c>
      <c r="DN122" s="507">
        <f>INPUT!GA122</f>
        <v>0</v>
      </c>
      <c r="DO122" s="156">
        <f>INPUT!GB122</f>
        <v>19.961685823754802</v>
      </c>
      <c r="DP122" s="507">
        <f>INPUT!GC122</f>
        <v>0</v>
      </c>
      <c r="DQ122" s="156">
        <f>INPUT!GD122</f>
        <v>20.026881720430108</v>
      </c>
      <c r="DR122" s="507">
        <f>INPUT!GE122</f>
        <v>0</v>
      </c>
      <c r="DS122" s="156">
        <f>INPUT!GF122</f>
        <v>22.606863335340158</v>
      </c>
      <c r="DT122" s="507">
        <f>INPUT!GG122</f>
        <v>12.882592761698497</v>
      </c>
      <c r="DU122" s="156">
        <f>INPUT!GH122</f>
        <v>24.699599465954606</v>
      </c>
      <c r="DV122" s="507">
        <f>INPUT!GI122</f>
        <v>9.2570831237033246</v>
      </c>
      <c r="DW122" s="156">
        <f>INPUT!GJ122</f>
        <v>24.180626365622722</v>
      </c>
      <c r="DX122" s="507">
        <f>INPUT!GK122</f>
        <v>-2.1011397413436828</v>
      </c>
      <c r="DY122" s="156">
        <f>INPUT!GL122</f>
        <v>23.183734192908506</v>
      </c>
      <c r="DZ122" s="507">
        <f>INPUT!GM122</f>
        <v>-4.122689617881381</v>
      </c>
      <c r="EA122" s="156">
        <f>INPUT!GN122</f>
        <v>24.537354352296092</v>
      </c>
      <c r="EB122" s="507">
        <f>INPUT!GO122</f>
        <v>5.8386632115616344</v>
      </c>
      <c r="EC122" s="156">
        <f>INPUT!GP122</f>
        <v>25.237755287407339</v>
      </c>
      <c r="ED122" s="507">
        <f>INPUT!GQ122</f>
        <v>2.8544272746573007</v>
      </c>
      <c r="EE122" s="156">
        <f>INPUT!GR122</f>
        <v>25.044738491617004</v>
      </c>
      <c r="EF122" s="507">
        <f>INPUT!GS122</f>
        <v>-0.7647938320673231</v>
      </c>
      <c r="EG122" s="156">
        <f>INPUT!GT122</f>
        <v>25.030118611294661</v>
      </c>
      <c r="EH122" s="507">
        <f>INPUT!GU122</f>
        <v>-5.8375056809778503E-2</v>
      </c>
      <c r="EI122" s="156">
        <f>INPUT!GV122</f>
        <v>25.016851367751602</v>
      </c>
      <c r="EJ122" s="507">
        <f>INPUT!GW122</f>
        <v>-5.3005116552151677E-2</v>
      </c>
      <c r="EK122" s="156">
        <f>INPUT!GX122</f>
        <v>25.001386359019229</v>
      </c>
      <c r="EL122" s="507">
        <f>INPUT!GY122</f>
        <v>-6.1818365968746569E-2</v>
      </c>
      <c r="EM122" s="687">
        <f>INPUT!GZ122</f>
        <v>0.37539592858832904</v>
      </c>
    </row>
    <row r="123" spans="1:143" ht="12.75" hidden="1" customHeight="1" outlineLevel="1" x14ac:dyDescent="0.2">
      <c r="A123" s="701"/>
      <c r="B123" s="16"/>
      <c r="C123" s="507"/>
      <c r="D123" s="16"/>
      <c r="E123" s="687"/>
      <c r="F123" s="16"/>
      <c r="G123" s="687"/>
      <c r="H123" s="16"/>
      <c r="I123" s="687"/>
      <c r="J123" s="16"/>
      <c r="K123" s="687"/>
      <c r="L123" s="16"/>
      <c r="M123" s="687"/>
      <c r="N123" s="16"/>
      <c r="O123" s="687"/>
      <c r="P123" s="16"/>
      <c r="Q123" s="687"/>
      <c r="R123" s="16"/>
      <c r="S123" s="687"/>
      <c r="T123" s="16"/>
      <c r="U123" s="687"/>
      <c r="V123" s="16"/>
      <c r="W123" s="687"/>
      <c r="X123" s="16"/>
      <c r="Y123" s="687"/>
      <c r="Z123" s="16"/>
      <c r="AA123" s="122"/>
      <c r="AB123" s="16"/>
      <c r="AC123" s="687"/>
      <c r="AD123" s="16"/>
      <c r="AE123" s="687"/>
      <c r="AF123" s="16"/>
      <c r="AG123" s="687"/>
      <c r="AH123" s="16"/>
      <c r="AI123" s="507"/>
      <c r="AJ123" s="16"/>
      <c r="AK123" s="507"/>
      <c r="AL123" s="16"/>
      <c r="AM123" s="507"/>
      <c r="AN123" s="16"/>
      <c r="AO123" s="507"/>
      <c r="AP123" s="16"/>
      <c r="AQ123" s="507"/>
      <c r="AR123" s="16"/>
      <c r="AS123" s="507"/>
      <c r="AT123" s="16"/>
      <c r="AU123" s="507"/>
      <c r="AV123" s="16"/>
      <c r="AW123" s="507"/>
      <c r="AX123" s="16"/>
      <c r="AY123" s="507"/>
      <c r="AZ123" s="16"/>
      <c r="BA123" s="507"/>
      <c r="BB123" s="16"/>
      <c r="BC123" s="507"/>
      <c r="BD123" s="16"/>
      <c r="BE123" s="507"/>
      <c r="BF123" s="16"/>
      <c r="BG123" s="507"/>
      <c r="BH123" s="16"/>
      <c r="BI123" s="507"/>
      <c r="BJ123" s="16"/>
      <c r="BK123" s="507"/>
      <c r="BL123" s="16"/>
      <c r="BM123" s="507"/>
      <c r="BN123" s="16"/>
      <c r="BO123" s="507"/>
      <c r="BP123" s="16"/>
      <c r="BQ123" s="507"/>
      <c r="BR123" s="16"/>
      <c r="BS123" s="507"/>
      <c r="BT123" s="16"/>
      <c r="BU123" s="507"/>
      <c r="BV123" s="16"/>
      <c r="BW123" s="507"/>
      <c r="BX123" s="16"/>
      <c r="BY123" s="507"/>
      <c r="BZ123" s="16"/>
      <c r="CA123" s="507"/>
      <c r="CB123" s="16"/>
      <c r="CC123" s="507"/>
      <c r="CD123" s="16"/>
      <c r="CE123" s="507"/>
      <c r="CF123" s="16"/>
      <c r="CG123" s="507"/>
      <c r="CH123" s="16"/>
      <c r="CI123" s="507"/>
      <c r="CJ123" s="16"/>
      <c r="CK123" s="507"/>
      <c r="CL123" s="16"/>
      <c r="CM123" s="507"/>
      <c r="CN123" s="16"/>
      <c r="CO123" s="507"/>
      <c r="CP123" s="16"/>
      <c r="CQ123" s="507"/>
      <c r="CR123" s="16"/>
      <c r="CS123" s="507"/>
      <c r="CT123" s="16"/>
      <c r="CU123" s="507"/>
      <c r="CV123" s="16"/>
      <c r="CW123" s="507"/>
      <c r="CX123" s="16"/>
      <c r="CY123" s="507"/>
      <c r="CZ123" s="16"/>
      <c r="DA123" s="507"/>
      <c r="DB123" s="507"/>
      <c r="DC123" s="16"/>
      <c r="DD123" s="687"/>
      <c r="DE123" s="16"/>
      <c r="DF123" s="687"/>
      <c r="DG123" s="16"/>
      <c r="DH123" s="687"/>
      <c r="DI123" s="16"/>
      <c r="DJ123" s="687"/>
      <c r="DK123" s="16"/>
      <c r="DL123" s="507"/>
      <c r="DM123" s="16"/>
      <c r="DN123" s="507"/>
      <c r="DO123" s="16"/>
      <c r="DP123" s="507"/>
      <c r="DQ123" s="16"/>
      <c r="DR123" s="507"/>
      <c r="DS123" s="16"/>
      <c r="DT123" s="507"/>
      <c r="DU123" s="16"/>
      <c r="DV123" s="507"/>
      <c r="DW123" s="16"/>
      <c r="DX123" s="507"/>
      <c r="DY123" s="16"/>
      <c r="DZ123" s="507"/>
      <c r="EA123" s="16"/>
      <c r="EB123" s="507"/>
      <c r="EC123" s="16"/>
      <c r="ED123" s="507"/>
      <c r="EE123" s="16"/>
      <c r="EF123" s="507"/>
      <c r="EG123" s="16"/>
      <c r="EH123" s="507"/>
      <c r="EI123" s="16"/>
      <c r="EJ123" s="507"/>
      <c r="EK123" s="16"/>
      <c r="EL123" s="507"/>
      <c r="EM123" s="687"/>
    </row>
    <row r="124" spans="1:143" ht="12.75" hidden="1" customHeight="1" outlineLevel="1" x14ac:dyDescent="0.2">
      <c r="A124" s="700" t="str">
        <f>INPUT!B108</f>
        <v>Benefits and Expenses Analysis</v>
      </c>
      <c r="B124" s="16"/>
      <c r="C124" s="507"/>
      <c r="D124" s="16"/>
      <c r="E124" s="687"/>
      <c r="F124" s="16"/>
      <c r="G124" s="687"/>
      <c r="H124" s="16"/>
      <c r="I124" s="687"/>
      <c r="J124" s="16"/>
      <c r="K124" s="687"/>
      <c r="L124" s="16"/>
      <c r="M124" s="687"/>
      <c r="N124" s="16"/>
      <c r="O124" s="687"/>
      <c r="P124" s="16"/>
      <c r="Q124" s="687"/>
      <c r="R124" s="16"/>
      <c r="S124" s="687"/>
      <c r="T124" s="16"/>
      <c r="U124" s="687"/>
      <c r="V124" s="16"/>
      <c r="W124" s="687"/>
      <c r="X124" s="16"/>
      <c r="Y124" s="687"/>
      <c r="Z124" s="16"/>
      <c r="AA124" s="122"/>
      <c r="AB124" s="16"/>
      <c r="AC124" s="687"/>
      <c r="AD124" s="16"/>
      <c r="AE124" s="687"/>
      <c r="AF124" s="16"/>
      <c r="AG124" s="687"/>
      <c r="AH124" s="16"/>
      <c r="AI124" s="507"/>
      <c r="AJ124" s="16"/>
      <c r="AK124" s="507"/>
      <c r="AL124" s="16"/>
      <c r="AM124" s="507"/>
      <c r="AN124" s="16"/>
      <c r="AO124" s="507"/>
      <c r="AP124" s="16"/>
      <c r="AQ124" s="507"/>
      <c r="AR124" s="16"/>
      <c r="AS124" s="507"/>
      <c r="AT124" s="16"/>
      <c r="AU124" s="507"/>
      <c r="AV124" s="16"/>
      <c r="AW124" s="507"/>
      <c r="AX124" s="16"/>
      <c r="AY124" s="507"/>
      <c r="AZ124" s="16"/>
      <c r="BA124" s="507"/>
      <c r="BB124" s="16"/>
      <c r="BC124" s="507"/>
      <c r="BD124" s="16"/>
      <c r="BE124" s="507"/>
      <c r="BF124" s="16"/>
      <c r="BG124" s="507"/>
      <c r="BH124" s="16"/>
      <c r="BI124" s="507"/>
      <c r="BJ124" s="16"/>
      <c r="BK124" s="507"/>
      <c r="BL124" s="16"/>
      <c r="BM124" s="507"/>
      <c r="BN124" s="16"/>
      <c r="BO124" s="507"/>
      <c r="BP124" s="16"/>
      <c r="BQ124" s="507"/>
      <c r="BR124" s="16"/>
      <c r="BS124" s="507"/>
      <c r="BT124" s="16"/>
      <c r="BU124" s="507"/>
      <c r="BV124" s="16"/>
      <c r="BW124" s="507"/>
      <c r="BX124" s="16"/>
      <c r="BY124" s="507"/>
      <c r="BZ124" s="16"/>
      <c r="CA124" s="507"/>
      <c r="CB124" s="16"/>
      <c r="CC124" s="507"/>
      <c r="CD124" s="16"/>
      <c r="CE124" s="507"/>
      <c r="CF124" s="16"/>
      <c r="CG124" s="507"/>
      <c r="CH124" s="16"/>
      <c r="CI124" s="507"/>
      <c r="CJ124" s="16"/>
      <c r="CK124" s="507"/>
      <c r="CL124" s="16"/>
      <c r="CM124" s="507"/>
      <c r="CN124" s="16"/>
      <c r="CO124" s="507"/>
      <c r="CP124" s="16"/>
      <c r="CQ124" s="507"/>
      <c r="CR124" s="16"/>
      <c r="CS124" s="507"/>
      <c r="CT124" s="16"/>
      <c r="CU124" s="507"/>
      <c r="CV124" s="16"/>
      <c r="CW124" s="507"/>
      <c r="CX124" s="16"/>
      <c r="CY124" s="507"/>
      <c r="CZ124" s="16"/>
      <c r="DA124" s="507"/>
      <c r="DB124" s="507"/>
      <c r="DC124" s="16"/>
      <c r="DD124" s="687"/>
      <c r="DE124" s="16"/>
      <c r="DF124" s="687"/>
      <c r="DG124" s="16"/>
      <c r="DH124" s="687"/>
      <c r="DI124" s="16"/>
      <c r="DJ124" s="687"/>
      <c r="DK124" s="16"/>
      <c r="DL124" s="507"/>
      <c r="DM124" s="16"/>
      <c r="DN124" s="507"/>
      <c r="DO124" s="16"/>
      <c r="DP124" s="507"/>
      <c r="DQ124" s="16"/>
      <c r="DR124" s="507"/>
      <c r="DS124" s="16"/>
      <c r="DT124" s="507"/>
      <c r="DU124" s="16"/>
      <c r="DV124" s="507"/>
      <c r="DW124" s="16"/>
      <c r="DX124" s="507"/>
      <c r="DY124" s="16"/>
      <c r="DZ124" s="507"/>
      <c r="EA124" s="16"/>
      <c r="EB124" s="507"/>
      <c r="EC124" s="16"/>
      <c r="ED124" s="507"/>
      <c r="EE124" s="16"/>
      <c r="EF124" s="507"/>
      <c r="EG124" s="16"/>
      <c r="EH124" s="507"/>
      <c r="EI124" s="16"/>
      <c r="EJ124" s="507"/>
      <c r="EK124" s="16"/>
      <c r="EL124" s="507"/>
      <c r="EM124" s="687"/>
    </row>
    <row r="125" spans="1:143" ht="12.75" hidden="1" customHeight="1" outlineLevel="1" x14ac:dyDescent="0.2">
      <c r="A125" s="718" t="str">
        <f>INPUT!B109</f>
        <v>Benefits/Net Revenues (%)</v>
      </c>
      <c r="B125" s="156">
        <f>INPUT!AY109</f>
        <v>7.293528780836608</v>
      </c>
      <c r="C125" s="507">
        <f>INPUT!AZ109</f>
        <v>-17.534959963842688</v>
      </c>
      <c r="D125" s="156">
        <f>INPUT!BA109</f>
        <v>11.803022407503908</v>
      </c>
      <c r="E125" s="687">
        <f>INPUT!BB109</f>
        <v>-6.2900163633527351</v>
      </c>
      <c r="F125" s="156">
        <f>INPUT!BC109</f>
        <v>7.0563996909605962</v>
      </c>
      <c r="G125" s="687">
        <f>INPUT!BD109</f>
        <v>-8.748704484212011</v>
      </c>
      <c r="H125" s="156">
        <f>INPUT!BE109</f>
        <v>2.7490601503759398</v>
      </c>
      <c r="I125" s="687" t="str">
        <f>INPUT!BF109</f>
        <v>NM</v>
      </c>
      <c r="J125" s="156">
        <f>INPUT!BG109</f>
        <v>5.916608432331703</v>
      </c>
      <c r="K125" s="687">
        <f>INPUT!BH109</f>
        <v>-18.878657915530496</v>
      </c>
      <c r="L125" s="156">
        <f>INPUT!BI109</f>
        <v>5.800261665939817</v>
      </c>
      <c r="M125" s="687" t="str">
        <f>INPUT!BJ109</f>
        <v>NM</v>
      </c>
      <c r="N125" s="156">
        <f>INPUT!BK109</f>
        <v>11.687772472493254</v>
      </c>
      <c r="O125" s="687">
        <f>INPUT!BL109</f>
        <v>65.633651498873419</v>
      </c>
      <c r="P125" s="156">
        <f>INPUT!BM109</f>
        <v>12.291831879460746</v>
      </c>
      <c r="Q125" s="687" t="str">
        <f>INPUT!BN109</f>
        <v>NM</v>
      </c>
      <c r="R125" s="156">
        <f>INPUT!BO109</f>
        <v>11.166739225076185</v>
      </c>
      <c r="S125" s="687">
        <f>INPUT!BP109</f>
        <v>88.735478319889992</v>
      </c>
      <c r="T125" s="156">
        <f>INPUT!BQ109</f>
        <v>7.7243800746104885</v>
      </c>
      <c r="U125" s="687">
        <f>INPUT!BR109</f>
        <v>33.172958729938728</v>
      </c>
      <c r="V125" s="156">
        <f>INPUT!BS109</f>
        <v>22.347585114806019</v>
      </c>
      <c r="W125" s="687">
        <f>INPUT!BT109</f>
        <v>91.204826817088076</v>
      </c>
      <c r="X125" s="156">
        <f>INPUT!BU109</f>
        <v>22.603878116343491</v>
      </c>
      <c r="Y125" s="687">
        <f>INPUT!BV109</f>
        <v>83.893485836833165</v>
      </c>
      <c r="Z125" s="156">
        <f>INPUT!BW109</f>
        <v>21.16727171181234</v>
      </c>
      <c r="AA125" s="122">
        <f>INPUT!BX109</f>
        <v>89.556425427029041</v>
      </c>
      <c r="AB125" s="156">
        <f>INPUT!BY109</f>
        <v>17.534676786181628</v>
      </c>
      <c r="AC125" s="687" t="str">
        <f>INPUT!BZ109</f>
        <v>NM</v>
      </c>
      <c r="AD125" s="156">
        <f>INPUT!CA109</f>
        <v>12.195121951219511</v>
      </c>
      <c r="AE125" s="687">
        <f>INPUT!CB109</f>
        <v>-45.429799736438468</v>
      </c>
      <c r="AF125" s="156">
        <f>INPUT!CC109</f>
        <v>10.407537248028047</v>
      </c>
      <c r="AG125" s="687" t="str">
        <f>INPUT!CD109</f>
        <v>NM</v>
      </c>
      <c r="AH125" s="156">
        <f>INPUT!CE109</f>
        <v>9.6539563588274184</v>
      </c>
      <c r="AI125" s="507" t="str">
        <f>INPUT!CF109</f>
        <v>NM</v>
      </c>
      <c r="AJ125" s="156">
        <f>INPUT!CG109</f>
        <v>8.7021595039555262</v>
      </c>
      <c r="AK125" s="507" t="str">
        <f>INPUT!CH109</f>
        <v>NM</v>
      </c>
      <c r="AL125" s="156">
        <f>INPUT!CI109</f>
        <v>9.0184563758389267</v>
      </c>
      <c r="AM125" s="507">
        <f>INPUT!CJ109</f>
        <v>-26.048657718120793</v>
      </c>
      <c r="AN125" s="156">
        <f>INPUT!CK109</f>
        <v>8.8888888888888893</v>
      </c>
      <c r="AO125" s="507">
        <f>INPUT!CL109</f>
        <v>-14.59181286549709</v>
      </c>
      <c r="AP125" s="156">
        <f>INPUT!CM109</f>
        <v>6.3350035790980668</v>
      </c>
      <c r="AQ125" s="507">
        <f>INPUT!CN109</f>
        <v>-34.379198085917963</v>
      </c>
      <c r="AR125" s="156">
        <f>INPUT!CO109</f>
        <v>7.6508620689655178</v>
      </c>
      <c r="AS125" s="507">
        <f>INPUT!CP109</f>
        <v>-12.080879861052264</v>
      </c>
      <c r="AT125" s="156">
        <f>INPUT!CQ109</f>
        <v>16.298239040839267</v>
      </c>
      <c r="AU125" s="507">
        <f>INPUT!CR109</f>
        <v>80.720938945864233</v>
      </c>
      <c r="AV125" s="156">
        <f>INPUT!CS109</f>
        <v>8.9866156787762907</v>
      </c>
      <c r="AW125" s="507">
        <f>INPUT!CT109</f>
        <v>1.0994263862332598</v>
      </c>
      <c r="AX125" s="156">
        <f>INPUT!CU109</f>
        <v>8.0357142857142865</v>
      </c>
      <c r="AY125" s="507">
        <f>INPUT!CV109</f>
        <v>26.846246973365638</v>
      </c>
      <c r="AZ125" s="156">
        <f>INPUT!CW109</f>
        <v>8.5814360770577931</v>
      </c>
      <c r="BA125" s="507">
        <f>INPUT!CX109</f>
        <v>12.162995486051154</v>
      </c>
      <c r="BB125" s="156">
        <f>INPUT!CY109</f>
        <v>21.869782971619365</v>
      </c>
      <c r="BC125" s="507">
        <f>INPUT!CZ109</f>
        <v>34.184944255751915</v>
      </c>
      <c r="BD125" s="156">
        <f>INPUT!DA109</f>
        <v>8.9722675367047309</v>
      </c>
      <c r="BE125" s="507">
        <f>INPUT!DB109</f>
        <v>-0.15966124049842101</v>
      </c>
      <c r="BF125" s="156">
        <f>INPUT!DC109</f>
        <v>10.416666666666668</v>
      </c>
      <c r="BG125" s="507">
        <f>INPUT!DD109</f>
        <v>29.629629629629626</v>
      </c>
      <c r="BH125" s="156">
        <f>INPUT!DE109</f>
        <v>9.3939393939393927</v>
      </c>
      <c r="BI125" s="507">
        <f>INPUT!DF109</f>
        <v>9.4681508967223049</v>
      </c>
      <c r="BJ125" s="156">
        <f>INPUT!DG109</f>
        <v>11.320754716981133</v>
      </c>
      <c r="BK125" s="507">
        <f>INPUT!DH109</f>
        <v>-48.235633011666422</v>
      </c>
      <c r="BL125" s="156">
        <f>INPUT!DI109</f>
        <v>9.3793103448275872</v>
      </c>
      <c r="BM125" s="507">
        <f>INPUT!DJ109</f>
        <v>4.5366771159874641</v>
      </c>
      <c r="BN125" s="156">
        <f>INPUT!DK109</f>
        <v>11.523178807947019</v>
      </c>
      <c r="BO125" s="507">
        <f>INPUT!DL109</f>
        <v>10.622516556291362</v>
      </c>
      <c r="BP125" s="156">
        <f>INPUT!DM109</f>
        <v>10.362694300518134</v>
      </c>
      <c r="BQ125" s="507">
        <f>INPUT!DN109</f>
        <v>10.31255223132208</v>
      </c>
      <c r="BR125" s="156">
        <f>INPUT!DO109</f>
        <v>12.752525252525251</v>
      </c>
      <c r="BS125" s="507">
        <f>INPUT!DP109</f>
        <v>12.64730639730638</v>
      </c>
      <c r="BT125" s="156">
        <f>INPUT!DQ109</f>
        <v>11.274509803921569</v>
      </c>
      <c r="BU125" s="507">
        <f>INPUT!DR109</f>
        <v>20.206170703575555</v>
      </c>
      <c r="BV125" s="156">
        <f>INPUT!DS109</f>
        <v>15.24822695035461</v>
      </c>
      <c r="BW125" s="507">
        <f>INPUT!DT109</f>
        <v>32.326567212847479</v>
      </c>
      <c r="BX125" s="156">
        <f>INPUT!DU109</f>
        <v>10.56338028169014</v>
      </c>
      <c r="BY125" s="507">
        <f>INPUT!DV109</f>
        <v>1.936619718309851</v>
      </c>
      <c r="BZ125" s="156">
        <f>INPUT!DW109</f>
        <v>23.650107991360692</v>
      </c>
      <c r="CA125" s="507">
        <f>INPUT!DX109</f>
        <v>9.7192224622030245</v>
      </c>
      <c r="CB125" s="156">
        <f>INPUT!DY109</f>
        <v>22.66949152542373</v>
      </c>
      <c r="CC125" s="507" t="str">
        <f>INPUT!DZ109</f>
        <v>NM</v>
      </c>
      <c r="CD125" s="156">
        <f>INPUT!EA109</f>
        <v>24.026696329254726</v>
      </c>
      <c r="CE125" s="507">
        <f>INPUT!EB109</f>
        <v>57.570427089530995</v>
      </c>
      <c r="CF125" s="156">
        <f>INPUT!EC109</f>
        <v>16.209773539928488</v>
      </c>
      <c r="CG125" s="507">
        <f>INPUT!ED109</f>
        <v>53.452522844656357</v>
      </c>
      <c r="CH125" s="156">
        <f>INPUT!EE109</f>
        <v>13.145539906103288</v>
      </c>
      <c r="CI125" s="507">
        <f>INPUT!EF109</f>
        <v>-44.416575556841806</v>
      </c>
      <c r="CJ125" s="156">
        <f>INPUT!EG109</f>
        <v>15.31322505800464</v>
      </c>
      <c r="CK125" s="507">
        <f>INPUT!EH109</f>
        <v>-32.450072641325335</v>
      </c>
      <c r="CL125" s="156">
        <f>INPUT!EI109</f>
        <v>21.11597374179431</v>
      </c>
      <c r="CM125" s="507">
        <f>INPUT!EJ109</f>
        <v>-12.114535213550525</v>
      </c>
      <c r="CN125" s="156">
        <f>INPUT!EK109</f>
        <v>18.689581095596132</v>
      </c>
      <c r="CO125" s="507">
        <f>INPUT!EL109</f>
        <v>15.298224552979068</v>
      </c>
      <c r="CP125" s="156">
        <f>INPUT!EM109</f>
        <v>14.547413793103448</v>
      </c>
      <c r="CQ125" s="507">
        <f>INPUT!EN109</f>
        <v>10.664254926108363</v>
      </c>
      <c r="CR125" s="156">
        <f>INPUT!EO109</f>
        <v>21.896383186705766</v>
      </c>
      <c r="CS125" s="507">
        <f>INPUT!EP109</f>
        <v>42.990017476820988</v>
      </c>
      <c r="CT125" s="156">
        <f>INPUT!EQ109</f>
        <v>18</v>
      </c>
      <c r="CU125" s="507">
        <f>INPUT!ER109</f>
        <v>-14.756476683937825</v>
      </c>
      <c r="CV125" s="156">
        <f>INPUT!ES109</f>
        <v>18</v>
      </c>
      <c r="CW125" s="507">
        <f>INPUT!ET109</f>
        <v>-3.689655172413786</v>
      </c>
      <c r="CX125" s="156">
        <f>INPUT!EU109</f>
        <v>18</v>
      </c>
      <c r="CY125" s="507">
        <f>INPUT!EV109</f>
        <v>23.733333333333341</v>
      </c>
      <c r="CZ125" s="156">
        <f>INPUT!EW109</f>
        <v>18</v>
      </c>
      <c r="DA125" s="507">
        <f>INPUT!EX109</f>
        <v>-17.794642857142851</v>
      </c>
      <c r="DB125" s="507"/>
      <c r="DC125" s="156">
        <f>INPUT!FP109</f>
        <v>9.1562287600737928</v>
      </c>
      <c r="DD125" s="687" t="str">
        <f>INPUT!FQ109</f>
        <v>NA</v>
      </c>
      <c r="DE125" s="156">
        <f>INPUT!FR109</f>
        <v>7.0935427101665089</v>
      </c>
      <c r="DF125" s="687">
        <f>INPUT!FS109</f>
        <v>-22.527681471893025</v>
      </c>
      <c r="DG125" s="156">
        <f>INPUT!FT109</f>
        <v>9.0875133404482416</v>
      </c>
      <c r="DH125" s="687">
        <f>INPUT!FU109</f>
        <v>28.109658484525113</v>
      </c>
      <c r="DI125" s="156">
        <f>INPUT!FV109</f>
        <v>15.77499578959187</v>
      </c>
      <c r="DJ125" s="687">
        <f>INPUT!FW109</f>
        <v>73.589795124457751</v>
      </c>
      <c r="DK125" s="156">
        <f>INPUT!FX109</f>
        <v>14.936067700290319</v>
      </c>
      <c r="DL125" s="507">
        <f>INPUT!FY109</f>
        <v>-5.3180875639603276</v>
      </c>
      <c r="DM125" s="156">
        <f>INPUT!FZ109</f>
        <v>9.0555670744349985</v>
      </c>
      <c r="DN125" s="507">
        <f>INPUT!GA109</f>
        <v>-39.371143354827041</v>
      </c>
      <c r="DO125" s="156">
        <f>INPUT!GB109</f>
        <v>9.7587921193150429</v>
      </c>
      <c r="DP125" s="507">
        <f>INPUT!GC109</f>
        <v>7.7656654641246714</v>
      </c>
      <c r="DQ125" s="156">
        <f>INPUT!GD109</f>
        <v>11.950490823730259</v>
      </c>
      <c r="DR125" s="507">
        <f>INPUT!GE109</f>
        <v>22.458708799394422</v>
      </c>
      <c r="DS125" s="156">
        <f>INPUT!GF109</f>
        <v>10.118606375092662</v>
      </c>
      <c r="DT125" s="507">
        <f>INPUT!GG109</f>
        <v>-15.32894736842103</v>
      </c>
      <c r="DU125" s="156">
        <f>INPUT!GH109</f>
        <v>11.483253588516746</v>
      </c>
      <c r="DV125" s="507">
        <f>INPUT!GI109</f>
        <v>13.486513486513463</v>
      </c>
      <c r="DW125" s="156">
        <f>INPUT!GJ109</f>
        <v>18.27354260089686</v>
      </c>
      <c r="DX125" s="507">
        <f>INPUT!GK109</f>
        <v>59.132100149476827</v>
      </c>
      <c r="DY125" s="156">
        <f>INPUT!GL109</f>
        <v>17.265353418308226</v>
      </c>
      <c r="DZ125" s="507">
        <f>INPUT!GM109</f>
        <v>-5.5172070605463919</v>
      </c>
      <c r="EA125" s="156">
        <f>INPUT!GN109</f>
        <v>19.125395152792414</v>
      </c>
      <c r="EB125" s="507">
        <f>INPUT!GO109</f>
        <v>10.77326185811982</v>
      </c>
      <c r="EC125" s="156">
        <f>INPUT!GP109</f>
        <v>18.000000000000004</v>
      </c>
      <c r="ED125" s="507">
        <f>INPUT!GQ109</f>
        <v>-5.884297520661141</v>
      </c>
      <c r="EE125" s="156">
        <f>INPUT!GR109</f>
        <v>18.180000000000003</v>
      </c>
      <c r="EF125" s="507">
        <f>INPUT!GS109</f>
        <v>1.0000000000000009</v>
      </c>
      <c r="EG125" s="156">
        <f>INPUT!GT109</f>
        <v>18.180000000000003</v>
      </c>
      <c r="EH125" s="507">
        <f>INPUT!GU109</f>
        <v>0</v>
      </c>
      <c r="EI125" s="156">
        <f>INPUT!GV109</f>
        <v>18.230000000000004</v>
      </c>
      <c r="EJ125" s="507">
        <f>INPUT!GW109</f>
        <v>0.27502750275028021</v>
      </c>
      <c r="EK125" s="156">
        <f>INPUT!GX109</f>
        <v>18.230000000000004</v>
      </c>
      <c r="EL125" s="507">
        <f>INPUT!GY109</f>
        <v>0</v>
      </c>
      <c r="EM125" s="687">
        <f>INPUT!GZ109</f>
        <v>-0.95438560265080907</v>
      </c>
    </row>
    <row r="126" spans="1:143" ht="12.75" hidden="1" customHeight="1" outlineLevel="1" x14ac:dyDescent="0.2">
      <c r="A126" s="718" t="str">
        <f>INPUT!B110</f>
        <v>Other Op Exp (less DAC)/Net Rev (%)</v>
      </c>
      <c r="B126" s="156">
        <f>INPUT!AY110</f>
        <v>82.052198784411857</v>
      </c>
      <c r="C126" s="507">
        <f>INPUT!AZ110</f>
        <v>-4.9400094314957732</v>
      </c>
      <c r="D126" s="156">
        <f>INPUT!BA110</f>
        <v>76.654507556018757</v>
      </c>
      <c r="E126" s="687">
        <f>INPUT!BB110</f>
        <v>-12.097659918512072</v>
      </c>
      <c r="F126" s="156">
        <f>INPUT!BC110</f>
        <v>79.654906000515069</v>
      </c>
      <c r="G126" s="687">
        <f>INPUT!BD110</f>
        <v>-6.190512746616883</v>
      </c>
      <c r="H126" s="156">
        <f>INPUT!BE110</f>
        <v>78.171992481203006</v>
      </c>
      <c r="I126" s="687">
        <f>INPUT!BF110</f>
        <v>-3.7936835059536267</v>
      </c>
      <c r="J126" s="156">
        <f>INPUT!BG110</f>
        <v>73.934311670160724</v>
      </c>
      <c r="K126" s="687">
        <f>INPUT!BH110</f>
        <v>-9.8935643828150006</v>
      </c>
      <c r="L126" s="156">
        <f>INPUT!BI110</f>
        <v>78.390754470126467</v>
      </c>
      <c r="M126" s="687">
        <f>INPUT!BJ110</f>
        <v>2.2650291150052348</v>
      </c>
      <c r="N126" s="156">
        <f>INPUT!BK110</f>
        <v>76.313057919867148</v>
      </c>
      <c r="O126" s="687">
        <f>INPUT!BL110</f>
        <v>-4.195407726206235</v>
      </c>
      <c r="P126" s="156">
        <f>INPUT!BM110</f>
        <v>82.375099127676449</v>
      </c>
      <c r="Q126" s="687">
        <f>INPUT!BN110</f>
        <v>5.3767423767330902</v>
      </c>
      <c r="R126" s="156">
        <f>INPUT!BO110</f>
        <v>75.18502394427513</v>
      </c>
      <c r="S126" s="687">
        <f>INPUT!BP110</f>
        <v>1.6916533688636326</v>
      </c>
      <c r="T126" s="156">
        <f>INPUT!BQ110</f>
        <v>78.801843317972327</v>
      </c>
      <c r="U126" s="687">
        <f>INPUT!BR110</f>
        <v>0.52440986264843392</v>
      </c>
      <c r="V126" s="156">
        <f>INPUT!BS110</f>
        <v>65.102929532858269</v>
      </c>
      <c r="W126" s="687">
        <f>INPUT!BT110</f>
        <v>-14.689659532160437</v>
      </c>
      <c r="X126" s="156">
        <f>INPUT!BU110</f>
        <v>82.686980609418285</v>
      </c>
      <c r="Y126" s="687">
        <f>INPUT!BV110</f>
        <v>0.37861135834074133</v>
      </c>
      <c r="Z126" s="156">
        <f>INPUT!BW110</f>
        <v>74.420552918179268</v>
      </c>
      <c r="AA126" s="122">
        <f>INPUT!BX110</f>
        <v>-1.0167863039618918</v>
      </c>
      <c r="AB126" s="156">
        <f>INPUT!BY110</f>
        <v>80.947395969641434</v>
      </c>
      <c r="AC126" s="687">
        <f>INPUT!BZ110</f>
        <v>2.7227188620596365</v>
      </c>
      <c r="AD126" s="156">
        <f>INPUT!CA110</f>
        <v>82.334833057068437</v>
      </c>
      <c r="AE126" s="687">
        <f>INPUT!CB110</f>
        <v>26.468706781486695</v>
      </c>
      <c r="AF126" s="156">
        <f>INPUT!CC110</f>
        <v>72.765118317265561</v>
      </c>
      <c r="AG126" s="687">
        <f>INPUT!CD110</f>
        <v>-11.999304145618538</v>
      </c>
      <c r="AH126" s="156">
        <f>INPUT!CE110</f>
        <v>68.48137535816619</v>
      </c>
      <c r="AI126" s="507">
        <f>INPUT!CF110</f>
        <v>-7.9805609164753655</v>
      </c>
      <c r="AJ126" s="156">
        <f>INPUT!CG110</f>
        <v>73.209322215095128</v>
      </c>
      <c r="AK126" s="507">
        <f>INPUT!CH110</f>
        <v>-9.5593856502170897</v>
      </c>
      <c r="AL126" s="156">
        <f>INPUT!CI110</f>
        <v>74.601510067114106</v>
      </c>
      <c r="AM126" s="507">
        <f>INPUT!CJ110</f>
        <v>-9.3925289003673136</v>
      </c>
      <c r="AN126" s="156">
        <f>INPUT!CK110</f>
        <v>68.455743879472692</v>
      </c>
      <c r="AO126" s="507">
        <f>INPUT!CL110</f>
        <v>-5.9223080198996243</v>
      </c>
      <c r="AP126" s="156">
        <f>INPUT!CM110</f>
        <v>64.996420901932709</v>
      </c>
      <c r="AQ126" s="507">
        <f>INPUT!CN110</f>
        <v>-5.0889083900647947</v>
      </c>
      <c r="AR126" s="156">
        <f>INPUT!CO110</f>
        <v>68.893678160919549</v>
      </c>
      <c r="AS126" s="507">
        <f>INPUT!CP110</f>
        <v>-5.8949378625523297</v>
      </c>
      <c r="AT126" s="156">
        <f>INPUT!CQ110</f>
        <v>67.197452229299387</v>
      </c>
      <c r="AU126" s="507">
        <f>INPUT!CR110</f>
        <v>-9.9248096066068552</v>
      </c>
      <c r="AV126" s="156">
        <f>INPUT!CS110</f>
        <v>67.686424474187376</v>
      </c>
      <c r="AW126" s="507">
        <f>INPUT!CT110</f>
        <v>-1.1238200941031673</v>
      </c>
      <c r="AX126" s="156">
        <f>INPUT!CU110</f>
        <v>67.678571428571431</v>
      </c>
      <c r="AY126" s="507">
        <f>INPUT!CV110</f>
        <v>4.1266126494650779</v>
      </c>
      <c r="AZ126" s="156">
        <f>INPUT!CW110</f>
        <v>68.126094570928203</v>
      </c>
      <c r="BA126" s="507">
        <f>INPUT!CX110</f>
        <v>-1.11415678547232</v>
      </c>
      <c r="BB126" s="156">
        <f>INPUT!CY110</f>
        <v>65.609348914858103</v>
      </c>
      <c r="BC126" s="507">
        <f>INPUT!CZ110</f>
        <v>-2.3633385816803965</v>
      </c>
      <c r="BD126" s="156">
        <f>INPUT!DA110</f>
        <v>74.55138662316476</v>
      </c>
      <c r="BE126" s="507">
        <f>INPUT!DB110</f>
        <v>10.142302835918571</v>
      </c>
      <c r="BF126" s="156">
        <f>INPUT!DC110</f>
        <v>67.788461538461547</v>
      </c>
      <c r="BG126" s="507">
        <f>INPUT!DD110</f>
        <v>0.16237061091943783</v>
      </c>
      <c r="BH126" s="156">
        <f>INPUT!DE110</f>
        <v>72.121212121212125</v>
      </c>
      <c r="BI126" s="507">
        <f>INPUT!DF110</f>
        <v>5.8642985121134084</v>
      </c>
      <c r="BJ126" s="156">
        <f>INPUT!DG110</f>
        <v>67.198838896952111</v>
      </c>
      <c r="BK126" s="507">
        <f>INPUT!DH110</f>
        <v>2.4226577589677056</v>
      </c>
      <c r="BL126" s="156">
        <f>INPUT!DI110</f>
        <v>69.103448275862064</v>
      </c>
      <c r="BM126" s="507">
        <f>INPUT!DJ110</f>
        <v>-7.3076284614804194</v>
      </c>
      <c r="BN126" s="156">
        <f>INPUT!DK110</f>
        <v>61.854304635761594</v>
      </c>
      <c r="BO126" s="507">
        <f>INPUT!DL110</f>
        <v>-8.7539335869616366</v>
      </c>
      <c r="BP126" s="156">
        <f>INPUT!DM110</f>
        <v>62.176165803108809</v>
      </c>
      <c r="BQ126" s="507">
        <f>INPUT!DN110</f>
        <v>-13.789349936865946</v>
      </c>
      <c r="BR126" s="156">
        <f>INPUT!DO110</f>
        <v>61.237373737373737</v>
      </c>
      <c r="BS126" s="507">
        <f>INPUT!DP110</f>
        <v>-8.8713811985950297</v>
      </c>
      <c r="BT126" s="156">
        <f>INPUT!DQ110</f>
        <v>61.274509803921575</v>
      </c>
      <c r="BU126" s="507">
        <f>INPUT!DR110</f>
        <v>-11.329302179953803</v>
      </c>
      <c r="BV126" s="156">
        <f>INPUT!DS110</f>
        <v>55.673758865248224</v>
      </c>
      <c r="BW126" s="507">
        <f>INPUT!DT110</f>
        <v>-9.9921029052196904</v>
      </c>
      <c r="BX126" s="156">
        <f>INPUT!DU110</f>
        <v>58.450704225352112</v>
      </c>
      <c r="BY126" s="507">
        <f>INPUT!DV110</f>
        <v>-5.9917840375586895</v>
      </c>
      <c r="BZ126" s="156">
        <f>INPUT!DW110</f>
        <v>51.943844492440604</v>
      </c>
      <c r="CA126" s="507">
        <f>INPUT!DX110</f>
        <v>65.874730021598268</v>
      </c>
      <c r="CB126" s="156">
        <f>INPUT!DY110</f>
        <v>51.271186440677965</v>
      </c>
      <c r="CC126" s="507">
        <f>INPUT!DZ110</f>
        <v>-16.325423728813572</v>
      </c>
      <c r="CD126" s="156">
        <f>INPUT!EA110</f>
        <v>48.49833147942158</v>
      </c>
      <c r="CE126" s="507">
        <f>INPUT!EB110</f>
        <v>-12.888347279000723</v>
      </c>
      <c r="CF126" s="156">
        <f>INPUT!EC110</f>
        <v>50.774731823599531</v>
      </c>
      <c r="CG126" s="507">
        <f>INPUT!ED110</f>
        <v>-13.132386518661043</v>
      </c>
      <c r="CH126" s="156">
        <f>INPUT!EE110</f>
        <v>50.23474178403756</v>
      </c>
      <c r="CI126" s="507">
        <f>INPUT!EF110</f>
        <v>-3.2902892057821598</v>
      </c>
      <c r="CJ126" s="156">
        <f>INPUT!EG110</f>
        <v>48.259860788863108</v>
      </c>
      <c r="CK126" s="507">
        <f>INPUT!EH110</f>
        <v>-5.8733293704818728</v>
      </c>
      <c r="CL126" s="156">
        <f>INPUT!EI110</f>
        <v>47.811816192560173</v>
      </c>
      <c r="CM126" s="507">
        <f>INPUT!EJ110</f>
        <v>-1.4155441350651499</v>
      </c>
      <c r="CN126" s="156">
        <f>INPUT!EK110</f>
        <v>47.90547798066595</v>
      </c>
      <c r="CO126" s="507">
        <f>INPUT!EL110</f>
        <v>-5.6509482962940671</v>
      </c>
      <c r="CP126" s="156">
        <f>INPUT!EM110</f>
        <v>46.982758620689658</v>
      </c>
      <c r="CQ126" s="507">
        <f>INPUT!EN110</f>
        <v>-6.4735739606832094</v>
      </c>
      <c r="CR126" s="156">
        <f>INPUT!EO110</f>
        <v>47.702834799608993</v>
      </c>
      <c r="CS126" s="507">
        <f>INPUT!EP110</f>
        <v>-1.1542221219640547</v>
      </c>
      <c r="CT126" s="156">
        <f>INPUT!EQ110</f>
        <v>47</v>
      </c>
      <c r="CU126" s="507">
        <f>INPUT!ER110</f>
        <v>-1.6979405034324935</v>
      </c>
      <c r="CV126" s="156">
        <f>INPUT!ES110</f>
        <v>47</v>
      </c>
      <c r="CW126" s="507">
        <f>INPUT!ET110</f>
        <v>-1.8901345291479799</v>
      </c>
      <c r="CX126" s="156">
        <f>INPUT!EU110</f>
        <v>47</v>
      </c>
      <c r="CY126" s="507">
        <f>INPUT!EV110</f>
        <v>3.6697247706407587E-2</v>
      </c>
      <c r="CZ126" s="156">
        <f>INPUT!EW110</f>
        <v>47</v>
      </c>
      <c r="DA126" s="507">
        <f>INPUT!EX110</f>
        <v>-1.4733606557377099</v>
      </c>
      <c r="DB126" s="507"/>
      <c r="DC126" s="156">
        <f>INPUT!FP110</f>
        <v>84.814059617438573</v>
      </c>
      <c r="DD126" s="687" t="str">
        <f>INPUT!FQ110</f>
        <v>NA</v>
      </c>
      <c r="DE126" s="156">
        <f>INPUT!FR110</f>
        <v>78.902125355354016</v>
      </c>
      <c r="DF126" s="687">
        <f>INPUT!FS110</f>
        <v>-6.9704649072935165</v>
      </c>
      <c r="DG126" s="156">
        <f>INPUT!FT110</f>
        <v>77.908217716115274</v>
      </c>
      <c r="DH126" s="687">
        <f>INPUT!FU110</f>
        <v>-1.2596715674799031</v>
      </c>
      <c r="DI126" s="156">
        <f>INPUT!FV110</f>
        <v>74.771234491663392</v>
      </c>
      <c r="DJ126" s="687">
        <f>INPUT!FW110</f>
        <v>-4.0265113442622074</v>
      </c>
      <c r="DK126" s="156">
        <f>INPUT!FX110</f>
        <v>77.558836246834261</v>
      </c>
      <c r="DL126" s="507">
        <f>INPUT!FY110</f>
        <v>3.7281740419595089</v>
      </c>
      <c r="DM126" s="156">
        <f>INPUT!FZ110</f>
        <v>71.133112170848023</v>
      </c>
      <c r="DN126" s="507">
        <f>INPUT!GA110</f>
        <v>-8.2849671126267292</v>
      </c>
      <c r="DO126" s="156">
        <f>INPUT!GB110</f>
        <v>67.183759896888233</v>
      </c>
      <c r="DP126" s="507">
        <f>INPUT!GC110</f>
        <v>-5.5520588842987824</v>
      </c>
      <c r="DQ126" s="156">
        <f>INPUT!GD110</f>
        <v>69.056764831412721</v>
      </c>
      <c r="DR126" s="507">
        <f>INPUT!GE110</f>
        <v>2.7878834667769858</v>
      </c>
      <c r="DS126" s="156">
        <f>INPUT!GF110</f>
        <v>69.0511489992587</v>
      </c>
      <c r="DT126" s="507">
        <f>INPUT!GG110</f>
        <v>-8.1321969943592975E-3</v>
      </c>
      <c r="DU126" s="156">
        <f>INPUT!GH110</f>
        <v>61.626794258373209</v>
      </c>
      <c r="DV126" s="507">
        <f>INPUT!GI110</f>
        <v>-10.751964085297406</v>
      </c>
      <c r="DW126" s="156">
        <f>INPUT!GJ110</f>
        <v>54.204035874439462</v>
      </c>
      <c r="DX126" s="507">
        <f>INPUT!GK110</f>
        <v>-12.04469334038939</v>
      </c>
      <c r="DY126" s="156">
        <f>INPUT!GL110</f>
        <v>49.420625724217842</v>
      </c>
      <c r="DZ126" s="507">
        <f>INPUT!GM110</f>
        <v>-8.8248228624564273</v>
      </c>
      <c r="EA126" s="156">
        <f>INPUT!GN110</f>
        <v>47.602739726027401</v>
      </c>
      <c r="EB126" s="507">
        <f>INPUT!GO110</f>
        <v>-3.6783953492106725</v>
      </c>
      <c r="EC126" s="156">
        <f>INPUT!GP110</f>
        <v>47.000000000000007</v>
      </c>
      <c r="ED126" s="507">
        <f>INPUT!GQ110</f>
        <v>-1.2661870503597017</v>
      </c>
      <c r="EE126" s="156">
        <f>INPUT!GR110</f>
        <v>47.000000000000007</v>
      </c>
      <c r="EF126" s="507">
        <f>INPUT!GS110</f>
        <v>0</v>
      </c>
      <c r="EG126" s="156">
        <f>INPUT!GT110</f>
        <v>47.000000000000007</v>
      </c>
      <c r="EH126" s="507">
        <f>INPUT!GU110</f>
        <v>0</v>
      </c>
      <c r="EI126" s="156">
        <f>INPUT!GV110</f>
        <v>47.000000000000007</v>
      </c>
      <c r="EJ126" s="507">
        <f>INPUT!GW110</f>
        <v>0</v>
      </c>
      <c r="EK126" s="156">
        <f>INPUT!GX110</f>
        <v>47.100000000000009</v>
      </c>
      <c r="EL126" s="507">
        <f>INPUT!GY110</f>
        <v>0.21276595744681437</v>
      </c>
      <c r="EM126" s="687">
        <f>INPUT!GZ110</f>
        <v>-0.21212102126876298</v>
      </c>
    </row>
    <row r="127" spans="1:143" ht="12.75" hidden="1" customHeight="1" outlineLevel="1" x14ac:dyDescent="0.2">
      <c r="A127" s="701"/>
      <c r="B127" s="464"/>
      <c r="C127" s="507"/>
      <c r="D127" s="464"/>
      <c r="E127" s="687"/>
      <c r="F127" s="464"/>
      <c r="G127" s="687"/>
      <c r="H127" s="464"/>
      <c r="I127" s="687"/>
      <c r="J127" s="464"/>
      <c r="K127" s="507"/>
      <c r="L127" s="464"/>
      <c r="M127" s="507"/>
      <c r="N127" s="464"/>
      <c r="O127" s="507"/>
      <c r="P127" s="464"/>
      <c r="Q127" s="507"/>
      <c r="R127" s="464"/>
      <c r="S127" s="507"/>
      <c r="T127" s="464"/>
      <c r="U127" s="507"/>
      <c r="V127" s="464"/>
      <c r="W127" s="507"/>
      <c r="X127" s="464"/>
      <c r="Y127" s="507"/>
      <c r="Z127" s="464"/>
      <c r="AA127" s="507"/>
      <c r="AB127" s="464"/>
      <c r="AC127" s="507"/>
      <c r="AD127" s="464"/>
      <c r="AE127" s="507"/>
      <c r="AF127" s="464"/>
      <c r="AG127" s="507"/>
      <c r="AH127" s="464"/>
      <c r="AI127" s="507"/>
      <c r="AJ127" s="464"/>
      <c r="AK127" s="507"/>
      <c r="AL127" s="464"/>
      <c r="AM127" s="507"/>
      <c r="AN127" s="464"/>
      <c r="AO127" s="507"/>
      <c r="AP127" s="464"/>
      <c r="AQ127" s="507"/>
      <c r="AR127" s="464"/>
      <c r="AS127" s="507"/>
      <c r="AT127" s="464"/>
      <c r="AU127" s="507"/>
      <c r="AV127" s="464"/>
      <c r="AW127" s="507"/>
      <c r="AX127" s="464"/>
      <c r="AY127" s="507"/>
      <c r="AZ127" s="464"/>
      <c r="BA127" s="507"/>
      <c r="BB127" s="464"/>
      <c r="BC127" s="507"/>
      <c r="BD127" s="464"/>
      <c r="BE127" s="507"/>
      <c r="BF127" s="464"/>
      <c r="BG127" s="507"/>
      <c r="BH127" s="464"/>
      <c r="BI127" s="507"/>
      <c r="BJ127" s="464"/>
      <c r="BK127" s="507"/>
      <c r="BL127" s="464"/>
      <c r="BM127" s="507"/>
      <c r="BN127" s="464"/>
      <c r="BO127" s="507"/>
      <c r="BP127" s="464"/>
      <c r="BQ127" s="507"/>
      <c r="BR127" s="464"/>
      <c r="BS127" s="507"/>
      <c r="BT127" s="464"/>
      <c r="BU127" s="507"/>
      <c r="BV127" s="464"/>
      <c r="BW127" s="507"/>
      <c r="BX127" s="464"/>
      <c r="BY127" s="507"/>
      <c r="BZ127" s="464"/>
      <c r="CA127" s="507"/>
      <c r="CB127" s="464"/>
      <c r="CC127" s="507"/>
      <c r="CD127" s="464"/>
      <c r="CE127" s="507"/>
      <c r="CF127" s="464"/>
      <c r="CG127" s="507"/>
      <c r="CH127" s="464"/>
      <c r="CI127" s="507"/>
      <c r="CJ127" s="464"/>
      <c r="CK127" s="507"/>
      <c r="CL127" s="464"/>
      <c r="CM127" s="507"/>
      <c r="CN127" s="464"/>
      <c r="CO127" s="507"/>
      <c r="CP127" s="464"/>
      <c r="CQ127" s="507"/>
      <c r="CR127" s="464"/>
      <c r="CS127" s="507"/>
      <c r="CT127" s="464"/>
      <c r="CU127" s="507"/>
      <c r="CV127" s="464"/>
      <c r="CW127" s="507"/>
      <c r="CX127" s="464"/>
      <c r="CY127" s="507"/>
      <c r="CZ127" s="464"/>
      <c r="DA127" s="507"/>
      <c r="DB127" s="507"/>
      <c r="DC127" s="464"/>
      <c r="DD127" s="507"/>
      <c r="DE127" s="464"/>
      <c r="DF127" s="507"/>
      <c r="DG127" s="464"/>
      <c r="DH127" s="507"/>
      <c r="DI127" s="464"/>
      <c r="DJ127" s="507"/>
      <c r="DK127" s="464"/>
      <c r="DL127" s="507"/>
      <c r="DM127" s="464"/>
      <c r="DN127" s="507"/>
      <c r="DO127" s="464"/>
      <c r="DP127" s="507"/>
      <c r="DQ127" s="464"/>
      <c r="DR127" s="507"/>
      <c r="DS127" s="464"/>
      <c r="DT127" s="507"/>
      <c r="DU127" s="464"/>
      <c r="DV127" s="507"/>
      <c r="DW127" s="464"/>
      <c r="DX127" s="507"/>
      <c r="DY127" s="464"/>
      <c r="DZ127" s="507"/>
      <c r="EA127" s="464"/>
      <c r="EB127" s="507"/>
      <c r="EC127" s="464"/>
      <c r="ED127" s="507"/>
      <c r="EE127" s="464"/>
      <c r="EF127" s="507"/>
      <c r="EG127" s="464"/>
      <c r="EH127" s="507"/>
      <c r="EI127" s="464"/>
      <c r="EJ127" s="507"/>
      <c r="EK127" s="464"/>
      <c r="EL127" s="507"/>
      <c r="EM127" s="687"/>
    </row>
    <row r="128" spans="1:143" ht="12.75" hidden="1" customHeight="1" outlineLevel="1" x14ac:dyDescent="0.2">
      <c r="A128" s="689" t="str">
        <f>+A51</f>
        <v xml:space="preserve">Quarterly income statement ratios are annualized where appropriate     NM = Not Meaningful       NA = Not Applicable </v>
      </c>
      <c r="B128" s="16"/>
      <c r="C128" s="507"/>
      <c r="D128" s="16"/>
      <c r="E128" s="687"/>
      <c r="F128" s="16"/>
      <c r="G128" s="687"/>
      <c r="H128" s="16"/>
      <c r="I128" s="687"/>
      <c r="J128" s="16"/>
      <c r="K128" s="507"/>
      <c r="L128" s="16"/>
      <c r="M128" s="507"/>
      <c r="N128" s="16"/>
      <c r="O128" s="507"/>
      <c r="P128" s="16"/>
      <c r="Q128" s="507"/>
      <c r="R128" s="16"/>
      <c r="S128" s="507"/>
      <c r="T128" s="16"/>
      <c r="U128" s="507"/>
      <c r="V128" s="16"/>
      <c r="W128" s="507"/>
      <c r="X128" s="16"/>
      <c r="Y128" s="507"/>
      <c r="Z128" s="16"/>
      <c r="AA128" s="507"/>
      <c r="AB128" s="16"/>
      <c r="AC128" s="507"/>
      <c r="AD128" s="16"/>
      <c r="AE128" s="507"/>
      <c r="AF128" s="16"/>
      <c r="AG128" s="507"/>
      <c r="AH128" s="16"/>
      <c r="AI128" s="507"/>
      <c r="AJ128" s="16"/>
      <c r="AK128" s="507"/>
      <c r="AL128" s="16"/>
      <c r="AM128" s="507"/>
      <c r="AN128" s="16"/>
      <c r="AO128" s="507"/>
      <c r="AP128" s="16"/>
      <c r="AQ128" s="507"/>
      <c r="AR128" s="16"/>
      <c r="AS128" s="507"/>
      <c r="AT128" s="16"/>
      <c r="AU128" s="507"/>
      <c r="AV128" s="16"/>
      <c r="AW128" s="507"/>
      <c r="AX128" s="16"/>
      <c r="AY128" s="507"/>
      <c r="AZ128" s="16"/>
      <c r="BA128" s="507"/>
      <c r="BB128" s="16"/>
      <c r="BC128" s="507"/>
      <c r="BD128" s="16"/>
      <c r="BE128" s="507"/>
      <c r="BF128" s="16"/>
      <c r="BG128" s="507"/>
      <c r="BH128" s="16"/>
      <c r="BI128" s="507"/>
      <c r="BJ128" s="16"/>
      <c r="BK128" s="507"/>
      <c r="BL128" s="16"/>
      <c r="BM128" s="507"/>
      <c r="BN128" s="16"/>
      <c r="BO128" s="507"/>
      <c r="BP128" s="16"/>
      <c r="BQ128" s="507"/>
      <c r="BR128" s="16"/>
      <c r="BS128" s="507"/>
      <c r="BT128" s="16"/>
      <c r="BU128" s="507"/>
      <c r="BV128" s="16"/>
      <c r="BW128" s="507"/>
      <c r="BX128" s="16"/>
      <c r="BY128" s="507"/>
      <c r="BZ128" s="16"/>
      <c r="CA128" s="507"/>
      <c r="CB128" s="16"/>
      <c r="CC128" s="507"/>
      <c r="CD128" s="16"/>
      <c r="CE128" s="507"/>
      <c r="CF128" s="16"/>
      <c r="CG128" s="507"/>
      <c r="CH128" s="16"/>
      <c r="CI128" s="507"/>
      <c r="CJ128" s="16"/>
      <c r="CK128" s="507"/>
      <c r="CL128" s="16"/>
      <c r="CM128" s="507"/>
      <c r="CN128" s="16"/>
      <c r="CO128" s="507"/>
      <c r="CP128" s="16"/>
      <c r="CQ128" s="507"/>
      <c r="CR128" s="16"/>
      <c r="CS128" s="507"/>
      <c r="CT128" s="16"/>
      <c r="CU128" s="507"/>
      <c r="CV128" s="16"/>
      <c r="CW128" s="507"/>
      <c r="CX128" s="16"/>
      <c r="CY128" s="507"/>
      <c r="CZ128" s="16"/>
      <c r="DA128" s="507"/>
      <c r="DB128" s="507"/>
      <c r="DC128" s="16"/>
      <c r="DD128" s="507"/>
      <c r="DE128" s="16"/>
      <c r="DF128" s="507"/>
      <c r="DG128" s="16"/>
      <c r="DH128" s="507"/>
      <c r="DI128" s="16"/>
      <c r="DJ128" s="507"/>
      <c r="DK128" s="16"/>
      <c r="DL128" s="507"/>
      <c r="DM128" s="16"/>
      <c r="DN128" s="507"/>
      <c r="DO128" s="16"/>
      <c r="DP128" s="507"/>
      <c r="DQ128" s="16"/>
      <c r="DR128" s="507"/>
      <c r="DS128" s="16"/>
      <c r="DT128" s="507"/>
      <c r="DU128" s="16"/>
      <c r="DV128" s="507"/>
      <c r="DW128" s="16"/>
      <c r="DX128" s="507"/>
      <c r="DY128" s="16"/>
      <c r="DZ128" s="507"/>
      <c r="EA128" s="16"/>
      <c r="EB128" s="507"/>
      <c r="EC128" s="16"/>
      <c r="ED128" s="507"/>
      <c r="EE128" s="16"/>
      <c r="EF128" s="507"/>
      <c r="EG128" s="16"/>
      <c r="EH128" s="507"/>
      <c r="EI128" s="16"/>
      <c r="EJ128" s="507"/>
      <c r="EK128" s="16"/>
      <c r="EL128" s="507"/>
      <c r="EM128" s="687"/>
    </row>
    <row r="129" spans="1:143" ht="12.75" hidden="1" customHeight="1" outlineLevel="1" x14ac:dyDescent="0.2">
      <c r="A129" s="689" t="s">
        <v>332</v>
      </c>
      <c r="B129" s="16"/>
      <c r="C129" s="507"/>
      <c r="D129" s="16"/>
      <c r="E129" s="687"/>
      <c r="F129" s="16"/>
      <c r="G129" s="687"/>
      <c r="H129" s="16"/>
      <c r="I129" s="687"/>
      <c r="J129" s="16"/>
      <c r="K129" s="507"/>
      <c r="L129" s="16"/>
      <c r="M129" s="507"/>
      <c r="N129" s="16"/>
      <c r="O129" s="507"/>
      <c r="P129" s="16"/>
      <c r="Q129" s="507"/>
      <c r="R129" s="16"/>
      <c r="S129" s="507"/>
      <c r="T129" s="16"/>
      <c r="U129" s="507"/>
      <c r="V129" s="16"/>
      <c r="W129" s="507"/>
      <c r="X129" s="16"/>
      <c r="Y129" s="507"/>
      <c r="Z129" s="16"/>
      <c r="AA129" s="507"/>
      <c r="AB129" s="16"/>
      <c r="AC129" s="507"/>
      <c r="AD129" s="16"/>
      <c r="AE129" s="507"/>
      <c r="AF129" s="16"/>
      <c r="AG129" s="507"/>
      <c r="AH129" s="16"/>
      <c r="AI129" s="507"/>
      <c r="AJ129" s="16"/>
      <c r="AK129" s="507"/>
      <c r="AL129" s="16"/>
      <c r="AM129" s="507"/>
      <c r="AN129" s="16"/>
      <c r="AO129" s="507"/>
      <c r="AP129" s="16"/>
      <c r="AQ129" s="507"/>
      <c r="AR129" s="16"/>
      <c r="AS129" s="507"/>
      <c r="AT129" s="16"/>
      <c r="AU129" s="507"/>
      <c r="AV129" s="16"/>
      <c r="AW129" s="507"/>
      <c r="AX129" s="16"/>
      <c r="AY129" s="507"/>
      <c r="AZ129" s="16"/>
      <c r="BA129" s="507"/>
      <c r="BB129" s="16"/>
      <c r="BC129" s="507"/>
      <c r="BD129" s="16"/>
      <c r="BE129" s="507"/>
      <c r="BF129" s="16"/>
      <c r="BG129" s="507"/>
      <c r="BH129" s="16"/>
      <c r="BI129" s="507"/>
      <c r="BJ129" s="16"/>
      <c r="BK129" s="507"/>
      <c r="BL129" s="16"/>
      <c r="BM129" s="507"/>
      <c r="BN129" s="16"/>
      <c r="BO129" s="507"/>
      <c r="BP129" s="16"/>
      <c r="BQ129" s="507"/>
      <c r="BR129" s="16"/>
      <c r="BS129" s="507"/>
      <c r="BT129" s="16"/>
      <c r="BU129" s="507"/>
      <c r="BV129" s="16"/>
      <c r="BW129" s="507"/>
      <c r="BX129" s="16"/>
      <c r="BY129" s="507"/>
      <c r="BZ129" s="16"/>
      <c r="CA129" s="507"/>
      <c r="CB129" s="16"/>
      <c r="CC129" s="507"/>
      <c r="CD129" s="16"/>
      <c r="CE129" s="507"/>
      <c r="CF129" s="16"/>
      <c r="CG129" s="507"/>
      <c r="CH129" s="16"/>
      <c r="CI129" s="507"/>
      <c r="CJ129" s="16"/>
      <c r="CK129" s="507"/>
      <c r="CL129" s="16"/>
      <c r="CM129" s="507"/>
      <c r="CN129" s="16"/>
      <c r="CO129" s="507"/>
      <c r="CP129" s="16"/>
      <c r="CQ129" s="507"/>
      <c r="CR129" s="16"/>
      <c r="CS129" s="507"/>
      <c r="CT129" s="16"/>
      <c r="CU129" s="507"/>
      <c r="CV129" s="16"/>
      <c r="CW129" s="507"/>
      <c r="CX129" s="16"/>
      <c r="CY129" s="507"/>
      <c r="CZ129" s="16"/>
      <c r="DA129" s="507"/>
      <c r="DB129" s="507"/>
      <c r="DC129" s="16"/>
      <c r="DD129" s="507"/>
      <c r="DE129" s="16"/>
      <c r="DF129" s="507"/>
      <c r="DG129" s="16"/>
      <c r="DH129" s="507"/>
      <c r="DI129" s="16"/>
      <c r="DJ129" s="507"/>
      <c r="DK129" s="16"/>
      <c r="DL129" s="507"/>
      <c r="DM129" s="16"/>
      <c r="DN129" s="507"/>
      <c r="DO129" s="16"/>
      <c r="DP129" s="507"/>
      <c r="DQ129" s="16"/>
      <c r="DR129" s="507"/>
      <c r="DS129" s="16"/>
      <c r="DT129" s="507"/>
      <c r="DU129" s="16"/>
      <c r="DV129" s="507"/>
      <c r="DW129" s="16"/>
      <c r="DX129" s="507"/>
      <c r="DY129" s="16"/>
      <c r="DZ129" s="507"/>
      <c r="EA129" s="16"/>
      <c r="EB129" s="507"/>
      <c r="EC129" s="16"/>
      <c r="ED129" s="507"/>
      <c r="EE129" s="16"/>
      <c r="EF129" s="507"/>
      <c r="EG129" s="16"/>
      <c r="EH129" s="507"/>
      <c r="EI129" s="16"/>
      <c r="EJ129" s="507"/>
      <c r="EK129" s="16"/>
      <c r="EL129" s="507"/>
      <c r="EM129" s="687"/>
    </row>
    <row r="130" spans="1:143" ht="12.75" hidden="1" customHeight="1" outlineLevel="1" x14ac:dyDescent="0.2">
      <c r="A130" s="689"/>
      <c r="B130" s="16"/>
      <c r="C130" s="507"/>
      <c r="D130" s="16"/>
      <c r="E130" s="687"/>
      <c r="F130" s="16"/>
      <c r="G130" s="687"/>
      <c r="H130" s="16"/>
      <c r="I130" s="687"/>
      <c r="J130" s="16"/>
      <c r="K130" s="507"/>
      <c r="L130" s="16"/>
      <c r="M130" s="507"/>
      <c r="N130" s="16"/>
      <c r="O130" s="507"/>
      <c r="P130" s="16"/>
      <c r="Q130" s="507"/>
      <c r="R130" s="16"/>
      <c r="S130" s="507"/>
      <c r="T130" s="16"/>
      <c r="U130" s="507"/>
      <c r="V130" s="16"/>
      <c r="W130" s="507"/>
      <c r="X130" s="16"/>
      <c r="Y130" s="507"/>
      <c r="Z130" s="16"/>
      <c r="AA130" s="507"/>
      <c r="AB130" s="16"/>
      <c r="AC130" s="507"/>
      <c r="AD130" s="16"/>
      <c r="AE130" s="507"/>
      <c r="AF130" s="16"/>
      <c r="AG130" s="507"/>
      <c r="AH130" s="16"/>
      <c r="AI130" s="507"/>
      <c r="AJ130" s="16"/>
      <c r="AK130" s="507"/>
      <c r="AL130" s="16"/>
      <c r="AM130" s="507"/>
      <c r="AN130" s="16"/>
      <c r="AO130" s="507"/>
      <c r="AP130" s="16"/>
      <c r="AQ130" s="507"/>
      <c r="AR130" s="16"/>
      <c r="AS130" s="507"/>
      <c r="AT130" s="16"/>
      <c r="AU130" s="507"/>
      <c r="AV130" s="16"/>
      <c r="AW130" s="507"/>
      <c r="AX130" s="16"/>
      <c r="AY130" s="507"/>
      <c r="AZ130" s="16"/>
      <c r="BA130" s="507"/>
      <c r="BB130" s="16"/>
      <c r="BC130" s="507"/>
      <c r="BD130" s="16"/>
      <c r="BE130" s="507"/>
      <c r="BF130" s="16"/>
      <c r="BG130" s="507"/>
      <c r="BH130" s="16"/>
      <c r="BI130" s="507"/>
      <c r="BJ130" s="16"/>
      <c r="BK130" s="507"/>
      <c r="BL130" s="16"/>
      <c r="BM130" s="507"/>
      <c r="BN130" s="16"/>
      <c r="BO130" s="507"/>
      <c r="BP130" s="16"/>
      <c r="BQ130" s="507"/>
      <c r="BR130" s="16"/>
      <c r="BS130" s="507"/>
      <c r="BT130" s="16"/>
      <c r="BU130" s="507"/>
      <c r="BV130" s="16"/>
      <c r="BW130" s="507"/>
      <c r="BX130" s="16"/>
      <c r="BY130" s="507"/>
      <c r="BZ130" s="16"/>
      <c r="CA130" s="507"/>
      <c r="CB130" s="16"/>
      <c r="CC130" s="507"/>
      <c r="CD130" s="16"/>
      <c r="CE130" s="507"/>
      <c r="CF130" s="16"/>
      <c r="CG130" s="507"/>
      <c r="CH130" s="16"/>
      <c r="CI130" s="507"/>
      <c r="CJ130" s="16"/>
      <c r="CK130" s="507"/>
      <c r="CL130" s="16"/>
      <c r="CM130" s="507"/>
      <c r="CN130" s="16"/>
      <c r="CO130" s="507"/>
      <c r="CP130" s="16"/>
      <c r="CQ130" s="507"/>
      <c r="CR130" s="16"/>
      <c r="CS130" s="507"/>
      <c r="CT130" s="16"/>
      <c r="CU130" s="507"/>
      <c r="CV130" s="16"/>
      <c r="CW130" s="507"/>
      <c r="CX130" s="16"/>
      <c r="CY130" s="507"/>
      <c r="CZ130" s="16"/>
      <c r="DA130" s="507"/>
      <c r="DB130" s="507"/>
      <c r="DC130" s="16"/>
      <c r="DD130" s="507"/>
      <c r="DE130" s="16"/>
      <c r="DF130" s="507"/>
      <c r="DG130" s="16"/>
      <c r="DH130" s="507"/>
      <c r="DI130" s="16"/>
      <c r="DJ130" s="507"/>
      <c r="DK130" s="16"/>
      <c r="DL130" s="507"/>
      <c r="DM130" s="16"/>
      <c r="DN130" s="507"/>
      <c r="DO130" s="16"/>
      <c r="DP130" s="507"/>
      <c r="DQ130" s="16"/>
      <c r="DR130" s="507"/>
      <c r="DS130" s="16"/>
      <c r="DT130" s="507"/>
      <c r="DU130" s="16"/>
      <c r="DV130" s="507"/>
      <c r="DW130" s="16"/>
      <c r="DX130" s="507"/>
      <c r="DY130" s="16"/>
      <c r="DZ130" s="507"/>
      <c r="EA130" s="16"/>
      <c r="EB130" s="507"/>
      <c r="EC130" s="16"/>
      <c r="ED130" s="507"/>
      <c r="EE130" s="16"/>
      <c r="EF130" s="507"/>
      <c r="EG130" s="16"/>
      <c r="EH130" s="507"/>
      <c r="EI130" s="16"/>
      <c r="EJ130" s="507"/>
      <c r="EK130" s="16"/>
      <c r="EL130" s="507"/>
      <c r="EM130" s="687"/>
    </row>
    <row r="131" spans="1:143" s="774" customFormat="1" ht="21.95" hidden="1" customHeight="1" outlineLevel="1" x14ac:dyDescent="0.3">
      <c r="A131" s="770" t="str">
        <f>$A$1</f>
        <v>Lincoln National</v>
      </c>
      <c r="B131" s="771"/>
      <c r="C131" s="772"/>
      <c r="D131" s="771"/>
      <c r="E131" s="773"/>
      <c r="F131" s="771"/>
      <c r="G131" s="773"/>
      <c r="H131" s="771"/>
      <c r="I131" s="773"/>
      <c r="J131" s="771"/>
      <c r="K131" s="772"/>
      <c r="L131" s="771"/>
      <c r="M131" s="772"/>
      <c r="N131" s="771"/>
      <c r="O131" s="772"/>
      <c r="P131" s="771"/>
      <c r="Q131" s="772"/>
      <c r="R131" s="771"/>
      <c r="S131" s="772"/>
      <c r="T131" s="771"/>
      <c r="U131" s="772"/>
      <c r="V131" s="771"/>
      <c r="W131" s="772"/>
      <c r="X131" s="771"/>
      <c r="Y131" s="772"/>
      <c r="Z131" s="771"/>
      <c r="AA131" s="772"/>
      <c r="AB131" s="771"/>
      <c r="AC131" s="772"/>
      <c r="AD131" s="771"/>
      <c r="AE131" s="772"/>
      <c r="AF131" s="771"/>
      <c r="AG131" s="772"/>
      <c r="AH131" s="771"/>
      <c r="AI131" s="772"/>
      <c r="AJ131" s="771"/>
      <c r="AK131" s="772"/>
      <c r="AL131" s="771"/>
      <c r="AM131" s="772"/>
      <c r="AN131" s="771"/>
      <c r="AO131" s="772"/>
      <c r="AP131" s="771"/>
      <c r="AQ131" s="772"/>
      <c r="AR131" s="771"/>
      <c r="AS131" s="772"/>
      <c r="AT131" s="771"/>
      <c r="AU131" s="772"/>
      <c r="AV131" s="771"/>
      <c r="AW131" s="772"/>
      <c r="AX131" s="771"/>
      <c r="AY131" s="772"/>
      <c r="AZ131" s="771"/>
      <c r="BA131" s="772"/>
      <c r="BB131" s="771"/>
      <c r="BC131" s="772"/>
      <c r="BD131" s="771"/>
      <c r="BE131" s="772"/>
      <c r="BF131" s="771"/>
      <c r="BG131" s="772"/>
      <c r="BH131" s="771"/>
      <c r="BI131" s="772"/>
      <c r="BJ131" s="771"/>
      <c r="BK131" s="772"/>
      <c r="BL131" s="771"/>
      <c r="BM131" s="772"/>
      <c r="BN131" s="771"/>
      <c r="BO131" s="772"/>
      <c r="BP131" s="771"/>
      <c r="BQ131" s="772"/>
      <c r="BR131" s="771"/>
      <c r="BS131" s="772"/>
      <c r="BT131" s="771"/>
      <c r="BU131" s="772"/>
      <c r="BV131" s="771"/>
      <c r="BW131" s="772"/>
      <c r="BX131" s="771"/>
      <c r="BY131" s="772"/>
      <c r="BZ131" s="771"/>
      <c r="CA131" s="772"/>
      <c r="CB131" s="771"/>
      <c r="CC131" s="772"/>
      <c r="CD131" s="771"/>
      <c r="CE131" s="772"/>
      <c r="CF131" s="771"/>
      <c r="CG131" s="772"/>
      <c r="CH131" s="771"/>
      <c r="CI131" s="772"/>
      <c r="CJ131" s="771"/>
      <c r="CK131" s="772"/>
      <c r="CL131" s="771"/>
      <c r="CM131" s="772"/>
      <c r="CN131" s="771"/>
      <c r="CO131" s="772"/>
      <c r="CP131" s="771"/>
      <c r="CQ131" s="772"/>
      <c r="CR131" s="771"/>
      <c r="CS131" s="772"/>
      <c r="CT131" s="771"/>
      <c r="CU131" s="772"/>
      <c r="CV131" s="771"/>
      <c r="CW131" s="772"/>
      <c r="CX131" s="771"/>
      <c r="CY131" s="772"/>
      <c r="CZ131" s="771"/>
      <c r="DA131" s="772"/>
      <c r="DB131" s="772"/>
      <c r="DC131" s="771"/>
      <c r="DD131" s="772"/>
      <c r="DE131" s="771"/>
      <c r="DF131" s="772"/>
      <c r="DG131" s="771"/>
      <c r="DH131" s="772"/>
      <c r="DI131" s="771"/>
      <c r="DJ131" s="772"/>
      <c r="DK131" s="771"/>
      <c r="DL131" s="772"/>
      <c r="DM131" s="771"/>
      <c r="DN131" s="772"/>
      <c r="DO131" s="771"/>
      <c r="DP131" s="772"/>
      <c r="DQ131" s="771"/>
      <c r="DR131" s="772"/>
      <c r="DS131" s="771"/>
      <c r="DT131" s="772"/>
      <c r="DU131" s="771"/>
      <c r="DV131" s="772"/>
      <c r="DW131" s="771"/>
      <c r="DX131" s="772"/>
      <c r="DY131" s="771"/>
      <c r="DZ131" s="772"/>
      <c r="EA131" s="771"/>
      <c r="EB131" s="772"/>
      <c r="EC131" s="771"/>
      <c r="ED131" s="772"/>
      <c r="EE131" s="771"/>
      <c r="EF131" s="772"/>
      <c r="EG131" s="771"/>
      <c r="EH131" s="772"/>
      <c r="EI131" s="771"/>
      <c r="EJ131" s="772"/>
      <c r="EK131" s="771"/>
      <c r="EL131" s="772"/>
      <c r="EM131" s="773"/>
    </row>
    <row r="132" spans="1:143" ht="12.75" hidden="1" customHeight="1" outlineLevel="1" x14ac:dyDescent="0.2">
      <c r="A132" s="685" t="s">
        <v>142</v>
      </c>
      <c r="B132" s="4"/>
      <c r="C132" s="496"/>
      <c r="D132" s="4"/>
      <c r="E132" s="686"/>
      <c r="F132" s="4"/>
      <c r="G132" s="686"/>
      <c r="H132" s="4"/>
      <c r="I132" s="686"/>
      <c r="J132" s="4"/>
      <c r="K132" s="496"/>
      <c r="L132" s="4"/>
      <c r="M132" s="496"/>
      <c r="N132" s="4"/>
      <c r="O132" s="496"/>
      <c r="P132" s="4"/>
      <c r="Q132" s="496"/>
      <c r="R132" s="4"/>
      <c r="S132" s="496"/>
      <c r="T132" s="4"/>
      <c r="U132" s="496"/>
      <c r="V132" s="4"/>
      <c r="W132" s="496"/>
      <c r="X132" s="4"/>
      <c r="Y132" s="496"/>
      <c r="Z132" s="4"/>
      <c r="AA132" s="496"/>
      <c r="AB132" s="4"/>
      <c r="AC132" s="496"/>
      <c r="AD132" s="4"/>
      <c r="AE132" s="496"/>
      <c r="AF132" s="4"/>
      <c r="AG132" s="496"/>
      <c r="AH132" s="4"/>
      <c r="AI132" s="496"/>
      <c r="AJ132" s="4"/>
      <c r="AK132" s="496"/>
      <c r="AL132" s="4"/>
      <c r="AM132" s="496"/>
      <c r="AN132" s="4"/>
      <c r="AO132" s="496"/>
      <c r="AP132" s="4"/>
      <c r="AQ132" s="496"/>
      <c r="AR132" s="4"/>
      <c r="AS132" s="496"/>
      <c r="AT132" s="4"/>
      <c r="AU132" s="496"/>
      <c r="AV132" s="4"/>
      <c r="AW132" s="496"/>
      <c r="AX132" s="4"/>
      <c r="AY132" s="496"/>
      <c r="AZ132" s="4"/>
      <c r="BA132" s="496"/>
      <c r="BB132" s="4"/>
      <c r="BC132" s="496"/>
      <c r="BD132" s="4"/>
      <c r="BE132" s="496"/>
      <c r="BF132" s="4"/>
      <c r="BG132" s="496"/>
      <c r="BH132" s="4"/>
      <c r="BI132" s="496"/>
      <c r="BJ132" s="4"/>
      <c r="BK132" s="496"/>
      <c r="BL132" s="4"/>
      <c r="BM132" s="496"/>
      <c r="BN132" s="4"/>
      <c r="BO132" s="496"/>
      <c r="BP132" s="4"/>
      <c r="BQ132" s="496"/>
      <c r="BR132" s="4"/>
      <c r="BS132" s="496"/>
      <c r="BT132" s="4"/>
      <c r="BU132" s="496"/>
      <c r="BV132" s="4"/>
      <c r="BW132" s="496"/>
      <c r="BX132" s="4"/>
      <c r="BY132" s="496"/>
      <c r="BZ132" s="4"/>
      <c r="CA132" s="496"/>
      <c r="CB132" s="4"/>
      <c r="CC132" s="496"/>
      <c r="CD132" s="4"/>
      <c r="CE132" s="496"/>
      <c r="CF132" s="4"/>
      <c r="CG132" s="496"/>
      <c r="CH132" s="4"/>
      <c r="CI132" s="496"/>
      <c r="CJ132" s="4"/>
      <c r="CK132" s="496"/>
      <c r="CL132" s="4"/>
      <c r="CM132" s="496"/>
      <c r="CN132" s="4"/>
      <c r="CO132" s="496"/>
      <c r="CP132" s="4"/>
      <c r="CQ132" s="496"/>
      <c r="CR132" s="4"/>
      <c r="CS132" s="496"/>
      <c r="CT132" s="4"/>
      <c r="CU132" s="496"/>
      <c r="CV132" s="4"/>
      <c r="CW132" s="496"/>
      <c r="CX132" s="4"/>
      <c r="CY132" s="496"/>
      <c r="CZ132" s="4"/>
      <c r="DA132" s="496"/>
      <c r="DB132" s="496"/>
      <c r="DC132" s="4"/>
      <c r="DD132" s="496"/>
      <c r="DE132" s="4"/>
      <c r="DF132" s="496"/>
      <c r="DG132" s="4"/>
      <c r="DH132" s="496"/>
      <c r="DI132" s="4"/>
      <c r="DJ132" s="496"/>
      <c r="DK132" s="4"/>
      <c r="DL132" s="496"/>
      <c r="DM132" s="4"/>
      <c r="DN132" s="496"/>
      <c r="DO132" s="4"/>
      <c r="DP132" s="496"/>
      <c r="DQ132" s="4"/>
      <c r="DR132" s="496"/>
      <c r="DS132" s="4"/>
      <c r="DT132" s="496"/>
      <c r="DU132" s="4"/>
      <c r="DV132" s="496"/>
      <c r="DW132" s="4"/>
      <c r="DX132" s="496"/>
      <c r="DY132" s="4"/>
      <c r="DZ132" s="496"/>
      <c r="EA132" s="4"/>
      <c r="EB132" s="496"/>
      <c r="EC132" s="4"/>
      <c r="ED132" s="496"/>
      <c r="EE132" s="4"/>
      <c r="EF132" s="496"/>
      <c r="EG132" s="4"/>
      <c r="EH132" s="496"/>
      <c r="EI132" s="4"/>
      <c r="EJ132" s="496"/>
      <c r="EK132" s="4"/>
      <c r="EL132" s="496"/>
      <c r="EM132" s="686"/>
    </row>
    <row r="133" spans="1:143" s="3" customFormat="1" ht="12.75" hidden="1" customHeight="1" outlineLevel="1" x14ac:dyDescent="0.2">
      <c r="A133" s="560" t="str">
        <f>A$3</f>
        <v>($Millions Except Per Share Data)</v>
      </c>
      <c r="B133" s="704"/>
      <c r="C133" s="724"/>
      <c r="D133" s="704"/>
      <c r="E133" s="724" t="str">
        <f>E$3</f>
        <v>2Q06/</v>
      </c>
      <c r="F133" s="704"/>
      <c r="G133" s="724" t="str">
        <f>G$3</f>
        <v>3Q06/</v>
      </c>
      <c r="H133" s="704"/>
      <c r="I133" s="724" t="str">
        <f>I$3</f>
        <v>4Q06/</v>
      </c>
      <c r="J133" s="724"/>
      <c r="K133" s="724" t="str">
        <f>K$3</f>
        <v>1Q07/</v>
      </c>
      <c r="L133" s="704"/>
      <c r="M133" s="724" t="str">
        <f>M$3</f>
        <v>2Q07/</v>
      </c>
      <c r="N133" s="704"/>
      <c r="O133" s="724" t="str">
        <f>O$3</f>
        <v>3Q07/</v>
      </c>
      <c r="P133" s="704"/>
      <c r="Q133" s="724" t="str">
        <f>Q$3</f>
        <v>4Q07/</v>
      </c>
      <c r="R133" s="704"/>
      <c r="S133" s="724" t="str">
        <f>S$3</f>
        <v>1Q08/</v>
      </c>
      <c r="T133" s="704"/>
      <c r="U133" s="724" t="str">
        <f>U$3</f>
        <v>2Q08/</v>
      </c>
      <c r="V133" s="704"/>
      <c r="W133" s="724" t="str">
        <f>W$3</f>
        <v>3Q08/</v>
      </c>
      <c r="X133" s="704"/>
      <c r="Y133" s="724" t="str">
        <f>Y$3</f>
        <v>4Q08/</v>
      </c>
      <c r="Z133" s="704"/>
      <c r="AA133" s="724" t="str">
        <f>AA$3</f>
        <v>1Q09/</v>
      </c>
      <c r="AB133" s="704"/>
      <c r="AC133" s="724" t="str">
        <f>AC$3</f>
        <v>2Q09/</v>
      </c>
      <c r="AD133" s="704"/>
      <c r="AE133" s="724" t="str">
        <f>AE$3</f>
        <v>3Q09/</v>
      </c>
      <c r="AF133" s="704"/>
      <c r="AG133" s="724" t="str">
        <f>AG$3</f>
        <v>4Q09/</v>
      </c>
      <c r="AH133" s="704"/>
      <c r="AI133" s="724" t="str">
        <f>AI$3</f>
        <v>1Q10/</v>
      </c>
      <c r="AJ133" s="704"/>
      <c r="AK133" s="724" t="str">
        <f>AK$3</f>
        <v>2Q10/</v>
      </c>
      <c r="AL133" s="704"/>
      <c r="AM133" s="724" t="str">
        <f>AM$3</f>
        <v>3Q10/</v>
      </c>
      <c r="AN133" s="704"/>
      <c r="AO133" s="724" t="str">
        <f>AO$3</f>
        <v>4Q10/</v>
      </c>
      <c r="AP133" s="704"/>
      <c r="AQ133" s="724" t="str">
        <f>AQ$3</f>
        <v>1Q11/</v>
      </c>
      <c r="AR133" s="704"/>
      <c r="AS133" s="724" t="str">
        <f>AS$3</f>
        <v>2Q11/</v>
      </c>
      <c r="AT133" s="704"/>
      <c r="AU133" s="724" t="str">
        <f>AU$3</f>
        <v>3Q11/</v>
      </c>
      <c r="AV133" s="704"/>
      <c r="AW133" s="724" t="str">
        <f>AW$3</f>
        <v>4Q11/</v>
      </c>
      <c r="AX133" s="704"/>
      <c r="AY133" s="724" t="str">
        <f>AY$3</f>
        <v>1Q12/</v>
      </c>
      <c r="AZ133" s="704"/>
      <c r="BA133" s="724" t="str">
        <f>BA$3</f>
        <v>2Q12/</v>
      </c>
      <c r="BB133" s="704"/>
      <c r="BC133" s="724" t="str">
        <f>BC$3</f>
        <v>3Q12/</v>
      </c>
      <c r="BD133" s="704"/>
      <c r="BE133" s="724" t="str">
        <f>BE$3</f>
        <v>4Q12/</v>
      </c>
      <c r="BF133" s="704"/>
      <c r="BG133" s="724" t="str">
        <f>BG$3</f>
        <v>1Q13/</v>
      </c>
      <c r="BH133" s="704"/>
      <c r="BI133" s="724" t="str">
        <f>BI$3</f>
        <v>2Q13/</v>
      </c>
      <c r="BJ133" s="704"/>
      <c r="BK133" s="724" t="str">
        <f>BK$3</f>
        <v>3Q13/</v>
      </c>
      <c r="BL133" s="704"/>
      <c r="BM133" s="724" t="str">
        <f>BM$3</f>
        <v>4Q13/</v>
      </c>
      <c r="BN133" s="704"/>
      <c r="BO133" s="724" t="str">
        <f>BO$3</f>
        <v>1Q14/</v>
      </c>
      <c r="BP133" s="704"/>
      <c r="BQ133" s="724" t="str">
        <f>BQ$3</f>
        <v>2Q14/</v>
      </c>
      <c r="BR133" s="704"/>
      <c r="BS133" s="724" t="str">
        <f>BS$3</f>
        <v>3Q14/</v>
      </c>
      <c r="BT133" s="704"/>
      <c r="BU133" s="724" t="str">
        <f>BU$3</f>
        <v>4Q14/</v>
      </c>
      <c r="BV133" s="704"/>
      <c r="BW133" s="724" t="str">
        <f>BW$3</f>
        <v>1Q15/</v>
      </c>
      <c r="BX133" s="704"/>
      <c r="BY133" s="724" t="str">
        <f>BY$3</f>
        <v>2Q15/</v>
      </c>
      <c r="BZ133" s="704"/>
      <c r="CA133" s="724" t="str">
        <f>CA$3</f>
        <v>3Q15/</v>
      </c>
      <c r="CB133" s="704"/>
      <c r="CC133" s="724" t="str">
        <f>CC$3</f>
        <v>4Q15/</v>
      </c>
      <c r="CD133" s="704"/>
      <c r="CE133" s="724" t="str">
        <f>CE$3</f>
        <v>1Q16/</v>
      </c>
      <c r="CF133" s="704"/>
      <c r="CG133" s="724" t="str">
        <f>CG$3</f>
        <v>2Q16/</v>
      </c>
      <c r="CH133" s="704"/>
      <c r="CI133" s="724" t="str">
        <f>CI$3</f>
        <v>3Q16/</v>
      </c>
      <c r="CJ133" s="704"/>
      <c r="CK133" s="724" t="str">
        <f>CK$3</f>
        <v>4Q16/</v>
      </c>
      <c r="CL133" s="704"/>
      <c r="CM133" s="724" t="str">
        <f t="shared" ref="CM133" si="94">CM$3</f>
        <v>1Q17/</v>
      </c>
      <c r="CN133" s="704"/>
      <c r="CO133" s="724" t="str">
        <f t="shared" ref="CO133" si="95">CO$3</f>
        <v>2Q17/</v>
      </c>
      <c r="CP133" s="704"/>
      <c r="CQ133" s="724" t="str">
        <f t="shared" ref="CQ133" si="96">CQ$3</f>
        <v>3Q17/</v>
      </c>
      <c r="CR133" s="704"/>
      <c r="CS133" s="724" t="str">
        <f t="shared" ref="CS133" si="97">CS$3</f>
        <v>4Q17/</v>
      </c>
      <c r="CT133" s="704"/>
      <c r="CU133" s="724" t="str">
        <f t="shared" ref="CU133" si="98">CU$3</f>
        <v>1Q18E/</v>
      </c>
      <c r="CV133" s="704"/>
      <c r="CW133" s="724" t="str">
        <f t="shared" ref="CW133" si="99">CW$3</f>
        <v>2Q18E/</v>
      </c>
      <c r="CX133" s="704"/>
      <c r="CY133" s="724" t="str">
        <f t="shared" ref="CY133" si="100">CY$3</f>
        <v>3Q18E/</v>
      </c>
      <c r="CZ133" s="704"/>
      <c r="DA133" s="724" t="str">
        <f t="shared" ref="DA133" si="101">DA$3</f>
        <v>4Q18E/</v>
      </c>
      <c r="DB133" s="724"/>
      <c r="DC133" s="704"/>
      <c r="DD133" s="724" t="str">
        <f>DD$3</f>
        <v>2005/</v>
      </c>
      <c r="DE133" s="704"/>
      <c r="DF133" s="724" t="str">
        <f>DF$3</f>
        <v>2006/</v>
      </c>
      <c r="DG133" s="704"/>
      <c r="DH133" s="724" t="str">
        <f>DH$3</f>
        <v>2007/</v>
      </c>
      <c r="DI133" s="704"/>
      <c r="DJ133" s="724" t="str">
        <f>DJ$3</f>
        <v>2008/</v>
      </c>
      <c r="DK133" s="704"/>
      <c r="DL133" s="724" t="str">
        <f>DL$3</f>
        <v>2009/</v>
      </c>
      <c r="DM133" s="704"/>
      <c r="DN133" s="724" t="str">
        <f>DN$3</f>
        <v>2010/</v>
      </c>
      <c r="DO133" s="704"/>
      <c r="DP133" s="724" t="str">
        <f>DP$3</f>
        <v>2011/</v>
      </c>
      <c r="DQ133" s="704"/>
      <c r="DR133" s="724" t="str">
        <f>DR$3</f>
        <v>2012/</v>
      </c>
      <c r="DS133" s="704"/>
      <c r="DT133" s="724" t="str">
        <f>DT$3</f>
        <v>2013/</v>
      </c>
      <c r="DU133" s="704"/>
      <c r="DV133" s="724" t="str">
        <f>DV$3</f>
        <v>2014/</v>
      </c>
      <c r="DW133" s="704"/>
      <c r="DX133" s="724" t="str">
        <f>DX$3</f>
        <v>2015/</v>
      </c>
      <c r="DY133" s="704"/>
      <c r="DZ133" s="724" t="str">
        <f>DZ$3</f>
        <v>2016/</v>
      </c>
      <c r="EA133" s="704"/>
      <c r="EB133" s="724" t="str">
        <f>EB$3</f>
        <v>2017/</v>
      </c>
      <c r="EC133" s="704"/>
      <c r="ED133" s="724" t="str">
        <f>ED$3</f>
        <v>2018E/</v>
      </c>
      <c r="EE133" s="704"/>
      <c r="EF133" s="724" t="str">
        <f>EF$3</f>
        <v>2019E/</v>
      </c>
      <c r="EG133" s="704"/>
      <c r="EH133" s="724" t="str">
        <f>EH$3</f>
        <v>2020E/</v>
      </c>
      <c r="EI133" s="704"/>
      <c r="EJ133" s="724" t="str">
        <f>EJ$3</f>
        <v>2021E/</v>
      </c>
      <c r="EK133" s="704"/>
      <c r="EL133" s="724" t="str">
        <f>EL$3</f>
        <v>2022E/</v>
      </c>
      <c r="EM133" s="705" t="str">
        <f>EM$3</f>
        <v>5-Yr</v>
      </c>
    </row>
    <row r="134" spans="1:143" s="3" customFormat="1" ht="12.75" hidden="1" customHeight="1" outlineLevel="1" x14ac:dyDescent="0.2">
      <c r="A134" s="693"/>
      <c r="B134" s="692"/>
      <c r="C134" s="496"/>
      <c r="D134" s="692"/>
      <c r="E134" s="496" t="str">
        <f>E$4</f>
        <v>2Q05</v>
      </c>
      <c r="F134" s="692"/>
      <c r="G134" s="496" t="str">
        <f>G$4</f>
        <v>3Q05</v>
      </c>
      <c r="H134" s="692"/>
      <c r="I134" s="496" t="str">
        <f>I$4</f>
        <v>4Q05</v>
      </c>
      <c r="J134" s="496"/>
      <c r="K134" s="496" t="str">
        <f>K$4</f>
        <v>1Q06</v>
      </c>
      <c r="L134" s="692"/>
      <c r="M134" s="496" t="str">
        <f>M$4</f>
        <v>2Q06</v>
      </c>
      <c r="N134" s="692"/>
      <c r="O134" s="496" t="str">
        <f>O$4</f>
        <v>3Q06</v>
      </c>
      <c r="P134" s="692"/>
      <c r="Q134" s="496" t="str">
        <f>Q$4</f>
        <v>4Q06</v>
      </c>
      <c r="R134" s="692"/>
      <c r="S134" s="496" t="str">
        <f>S$4</f>
        <v>1Q07</v>
      </c>
      <c r="T134" s="692"/>
      <c r="U134" s="496" t="str">
        <f>U$4</f>
        <v>2Q07</v>
      </c>
      <c r="V134" s="692"/>
      <c r="W134" s="496" t="str">
        <f>W$4</f>
        <v>3Q07</v>
      </c>
      <c r="X134" s="692"/>
      <c r="Y134" s="496" t="str">
        <f>Y$4</f>
        <v>4Q07</v>
      </c>
      <c r="Z134" s="692"/>
      <c r="AA134" s="496" t="str">
        <f>AA$4</f>
        <v>1Q08</v>
      </c>
      <c r="AB134" s="692"/>
      <c r="AC134" s="496" t="str">
        <f>AC$4</f>
        <v>2Q08</v>
      </c>
      <c r="AD134" s="692"/>
      <c r="AE134" s="496" t="str">
        <f>AE$4</f>
        <v>3Q08</v>
      </c>
      <c r="AF134" s="692"/>
      <c r="AG134" s="496" t="str">
        <f>AG$4</f>
        <v>4Q08</v>
      </c>
      <c r="AH134" s="692"/>
      <c r="AI134" s="496" t="str">
        <f>AI$4</f>
        <v>1Q09</v>
      </c>
      <c r="AJ134" s="692"/>
      <c r="AK134" s="496" t="str">
        <f>AK$4</f>
        <v>2Q09</v>
      </c>
      <c r="AL134" s="692"/>
      <c r="AM134" s="496" t="str">
        <f>AM$4</f>
        <v>3Q09</v>
      </c>
      <c r="AN134" s="692"/>
      <c r="AO134" s="496" t="str">
        <f>AO$4</f>
        <v>4Q09</v>
      </c>
      <c r="AP134" s="692"/>
      <c r="AQ134" s="496" t="str">
        <f>AQ$4</f>
        <v>1Q10</v>
      </c>
      <c r="AR134" s="692"/>
      <c r="AS134" s="496" t="str">
        <f>AS$4</f>
        <v>2Q10</v>
      </c>
      <c r="AT134" s="692"/>
      <c r="AU134" s="496" t="str">
        <f>AU$4</f>
        <v>3Q10</v>
      </c>
      <c r="AV134" s="692"/>
      <c r="AW134" s="496" t="str">
        <f>AW$4</f>
        <v>4Q10</v>
      </c>
      <c r="AX134" s="692"/>
      <c r="AY134" s="496" t="str">
        <f>AY$4</f>
        <v>1Q11</v>
      </c>
      <c r="AZ134" s="692"/>
      <c r="BA134" s="496" t="str">
        <f>BA$4</f>
        <v>2Q11</v>
      </c>
      <c r="BB134" s="692"/>
      <c r="BC134" s="496" t="str">
        <f>BC$4</f>
        <v>3Q11</v>
      </c>
      <c r="BD134" s="692"/>
      <c r="BE134" s="496" t="str">
        <f>BE$4</f>
        <v>4Q11</v>
      </c>
      <c r="BF134" s="692"/>
      <c r="BG134" s="496" t="str">
        <f>BG$4</f>
        <v>1Q12</v>
      </c>
      <c r="BH134" s="692"/>
      <c r="BI134" s="496" t="str">
        <f>BI$4</f>
        <v>2Q12</v>
      </c>
      <c r="BJ134" s="692"/>
      <c r="BK134" s="496" t="str">
        <f>BK$4</f>
        <v>3Q12</v>
      </c>
      <c r="BL134" s="692"/>
      <c r="BM134" s="496" t="str">
        <f>BM$4</f>
        <v>4Q12</v>
      </c>
      <c r="BN134" s="692"/>
      <c r="BO134" s="496" t="str">
        <f>BO$4</f>
        <v>1Q13</v>
      </c>
      <c r="BP134" s="692"/>
      <c r="BQ134" s="496" t="str">
        <f>BQ$4</f>
        <v>2Q13</v>
      </c>
      <c r="BR134" s="692"/>
      <c r="BS134" s="496" t="str">
        <f>BS$4</f>
        <v>3Q13</v>
      </c>
      <c r="BT134" s="692"/>
      <c r="BU134" s="496" t="str">
        <f>BU$4</f>
        <v>4Q13</v>
      </c>
      <c r="BV134" s="692"/>
      <c r="BW134" s="496" t="str">
        <f>BW$4</f>
        <v>1Q14</v>
      </c>
      <c r="BX134" s="692"/>
      <c r="BY134" s="496" t="str">
        <f>BY$4</f>
        <v>2Q14</v>
      </c>
      <c r="BZ134" s="692"/>
      <c r="CA134" s="496" t="str">
        <f>CA$4</f>
        <v>3Q14</v>
      </c>
      <c r="CB134" s="692"/>
      <c r="CC134" s="496" t="str">
        <f>CC$4</f>
        <v>4Q14</v>
      </c>
      <c r="CD134" s="692"/>
      <c r="CE134" s="496" t="str">
        <f>CE$4</f>
        <v>1Q15</v>
      </c>
      <c r="CF134" s="692"/>
      <c r="CG134" s="496" t="str">
        <f>CG$4</f>
        <v>2Q15</v>
      </c>
      <c r="CH134" s="692"/>
      <c r="CI134" s="496" t="str">
        <f>CI$4</f>
        <v>3Q15</v>
      </c>
      <c r="CJ134" s="692"/>
      <c r="CK134" s="496" t="str">
        <f>CK$4</f>
        <v>4Q15</v>
      </c>
      <c r="CL134" s="692"/>
      <c r="CM134" s="496" t="str">
        <f t="shared" ref="CM134" si="102">CM$4</f>
        <v>1Q16</v>
      </c>
      <c r="CN134" s="692"/>
      <c r="CO134" s="496" t="str">
        <f t="shared" ref="CO134" si="103">CO$4</f>
        <v>2Q16</v>
      </c>
      <c r="CP134" s="692"/>
      <c r="CQ134" s="496" t="str">
        <f t="shared" ref="CQ134" si="104">CQ$4</f>
        <v>3Q16</v>
      </c>
      <c r="CR134" s="692"/>
      <c r="CS134" s="496" t="str">
        <f t="shared" ref="CS134" si="105">CS$4</f>
        <v>4Q16</v>
      </c>
      <c r="CT134" s="692"/>
      <c r="CU134" s="496" t="str">
        <f t="shared" ref="CU134" si="106">CU$4</f>
        <v>1Q17</v>
      </c>
      <c r="CV134" s="692"/>
      <c r="CW134" s="496" t="str">
        <f t="shared" ref="CW134" si="107">CW$4</f>
        <v>2Q17</v>
      </c>
      <c r="CX134" s="692"/>
      <c r="CY134" s="496" t="str">
        <f t="shared" ref="CY134" si="108">CY$4</f>
        <v>3Q17</v>
      </c>
      <c r="CZ134" s="692"/>
      <c r="DA134" s="496" t="str">
        <f t="shared" ref="DA134" si="109">DA$4</f>
        <v>4Q17</v>
      </c>
      <c r="DB134" s="496"/>
      <c r="DC134" s="692"/>
      <c r="DD134" s="686">
        <f>DD$4</f>
        <v>2004</v>
      </c>
      <c r="DE134" s="692"/>
      <c r="DF134" s="686">
        <f>DF$4</f>
        <v>2005</v>
      </c>
      <c r="DG134" s="692"/>
      <c r="DH134" s="686">
        <f>DH$4</f>
        <v>2006</v>
      </c>
      <c r="DI134" s="692"/>
      <c r="DJ134" s="686">
        <f>DJ$4</f>
        <v>2007</v>
      </c>
      <c r="DK134" s="692"/>
      <c r="DL134" s="725">
        <f>DL$4</f>
        <v>2008</v>
      </c>
      <c r="DM134" s="692"/>
      <c r="DN134" s="725" t="str">
        <f>DN$4</f>
        <v>2009</v>
      </c>
      <c r="DO134" s="692"/>
      <c r="DP134" s="725" t="str">
        <f>DP$4</f>
        <v>2010</v>
      </c>
      <c r="DQ134" s="692"/>
      <c r="DR134" s="725" t="str">
        <f>DR$4</f>
        <v>2011</v>
      </c>
      <c r="DS134" s="692"/>
      <c r="DT134" s="725" t="str">
        <f>DT$4</f>
        <v>2012</v>
      </c>
      <c r="DU134" s="692"/>
      <c r="DV134" s="725" t="str">
        <f>DV$4</f>
        <v>2013</v>
      </c>
      <c r="DW134" s="692"/>
      <c r="DX134" s="725" t="str">
        <f>DX$4</f>
        <v>2014</v>
      </c>
      <c r="DY134" s="692"/>
      <c r="DZ134" s="725" t="str">
        <f>DZ$4</f>
        <v>2015</v>
      </c>
      <c r="EA134" s="692"/>
      <c r="EB134" s="725" t="str">
        <f>EB$4</f>
        <v>2016</v>
      </c>
      <c r="EC134" s="692"/>
      <c r="ED134" s="725" t="str">
        <f>ED$4</f>
        <v>2017</v>
      </c>
      <c r="EE134" s="692"/>
      <c r="EF134" s="725" t="str">
        <f>EF$4</f>
        <v>2018E</v>
      </c>
      <c r="EG134" s="692"/>
      <c r="EH134" s="725" t="str">
        <f>EH$4</f>
        <v>2019E</v>
      </c>
      <c r="EI134" s="692"/>
      <c r="EJ134" s="725" t="str">
        <f>EJ$4</f>
        <v>2020E</v>
      </c>
      <c r="EK134" s="692"/>
      <c r="EL134" s="725" t="str">
        <f>EL$4</f>
        <v>2021E</v>
      </c>
      <c r="EM134" s="686" t="str">
        <f>EM$4</f>
        <v>CAGR</v>
      </c>
    </row>
    <row r="135" spans="1:143" s="3" customFormat="1" ht="12.75" hidden="1" customHeight="1" outlineLevel="1" x14ac:dyDescent="0.2">
      <c r="A135" s="694"/>
      <c r="B135" s="695" t="str">
        <f t="shared" ref="B135:BN135" si="110">B$5</f>
        <v>1Q06</v>
      </c>
      <c r="C135" s="726" t="str">
        <f t="shared" si="110"/>
        <v>% Chg</v>
      </c>
      <c r="D135" s="695" t="str">
        <f t="shared" si="110"/>
        <v>2Q06</v>
      </c>
      <c r="E135" s="726" t="str">
        <f t="shared" si="110"/>
        <v>% Chg</v>
      </c>
      <c r="F135" s="695" t="str">
        <f t="shared" si="110"/>
        <v>3Q06</v>
      </c>
      <c r="G135" s="726" t="str">
        <f t="shared" si="110"/>
        <v>% Chg</v>
      </c>
      <c r="H135" s="695" t="str">
        <f t="shared" si="110"/>
        <v>4Q06</v>
      </c>
      <c r="I135" s="726" t="str">
        <f t="shared" si="110"/>
        <v>% Chg</v>
      </c>
      <c r="J135" s="695" t="str">
        <f t="shared" si="110"/>
        <v>1Q07</v>
      </c>
      <c r="K135" s="726" t="str">
        <f t="shared" si="110"/>
        <v>% Chg</v>
      </c>
      <c r="L135" s="695" t="str">
        <f t="shared" si="110"/>
        <v>2Q07</v>
      </c>
      <c r="M135" s="726" t="str">
        <f t="shared" si="110"/>
        <v>% Chg</v>
      </c>
      <c r="N135" s="695" t="str">
        <f t="shared" si="110"/>
        <v>3Q07</v>
      </c>
      <c r="O135" s="726" t="str">
        <f t="shared" si="110"/>
        <v>% Chg</v>
      </c>
      <c r="P135" s="695" t="str">
        <f t="shared" si="110"/>
        <v>4Q07</v>
      </c>
      <c r="Q135" s="726" t="str">
        <f t="shared" si="110"/>
        <v>% Chg</v>
      </c>
      <c r="R135" s="695" t="str">
        <f t="shared" si="110"/>
        <v>1Q08</v>
      </c>
      <c r="S135" s="726" t="str">
        <f t="shared" si="110"/>
        <v>% Chg</v>
      </c>
      <c r="T135" s="695" t="str">
        <f t="shared" si="110"/>
        <v>2Q08</v>
      </c>
      <c r="U135" s="726" t="str">
        <f t="shared" si="110"/>
        <v>% Chg</v>
      </c>
      <c r="V135" s="695" t="str">
        <f t="shared" si="110"/>
        <v>3Q08</v>
      </c>
      <c r="W135" s="726" t="str">
        <f t="shared" si="110"/>
        <v>% Chg</v>
      </c>
      <c r="X135" s="695" t="str">
        <f t="shared" si="110"/>
        <v>4Q08</v>
      </c>
      <c r="Y135" s="726" t="str">
        <f t="shared" si="110"/>
        <v>% Chg</v>
      </c>
      <c r="Z135" s="695" t="str">
        <f t="shared" si="110"/>
        <v>1Q09</v>
      </c>
      <c r="AA135" s="726" t="str">
        <f t="shared" si="110"/>
        <v>% Chg</v>
      </c>
      <c r="AB135" s="695" t="str">
        <f t="shared" si="110"/>
        <v>2Q09</v>
      </c>
      <c r="AC135" s="726" t="str">
        <f t="shared" si="110"/>
        <v>% Chg</v>
      </c>
      <c r="AD135" s="695" t="str">
        <f t="shared" si="110"/>
        <v>3Q09</v>
      </c>
      <c r="AE135" s="726" t="str">
        <f t="shared" si="110"/>
        <v>% Chg</v>
      </c>
      <c r="AF135" s="695" t="str">
        <f t="shared" si="110"/>
        <v>4Q09</v>
      </c>
      <c r="AG135" s="726" t="str">
        <f t="shared" si="110"/>
        <v>% Chg</v>
      </c>
      <c r="AH135" s="695" t="str">
        <f t="shared" si="110"/>
        <v>1Q10</v>
      </c>
      <c r="AI135" s="726" t="str">
        <f t="shared" si="110"/>
        <v>% Chg</v>
      </c>
      <c r="AJ135" s="695" t="str">
        <f t="shared" si="110"/>
        <v>2Q10</v>
      </c>
      <c r="AK135" s="726" t="str">
        <f t="shared" si="110"/>
        <v>% Chg</v>
      </c>
      <c r="AL135" s="695" t="str">
        <f t="shared" si="110"/>
        <v>3Q10</v>
      </c>
      <c r="AM135" s="726" t="str">
        <f t="shared" si="110"/>
        <v>% Chg</v>
      </c>
      <c r="AN135" s="695" t="str">
        <f t="shared" si="110"/>
        <v>4Q10</v>
      </c>
      <c r="AO135" s="726" t="str">
        <f t="shared" si="110"/>
        <v>% Chg</v>
      </c>
      <c r="AP135" s="695" t="str">
        <f t="shared" si="110"/>
        <v>1Q11</v>
      </c>
      <c r="AQ135" s="726" t="str">
        <f t="shared" si="110"/>
        <v>% Chg</v>
      </c>
      <c r="AR135" s="695" t="str">
        <f t="shared" si="110"/>
        <v>2Q11</v>
      </c>
      <c r="AS135" s="726" t="str">
        <f t="shared" si="110"/>
        <v>% Chg</v>
      </c>
      <c r="AT135" s="695" t="str">
        <f t="shared" si="110"/>
        <v>3Q11</v>
      </c>
      <c r="AU135" s="726" t="str">
        <f t="shared" si="110"/>
        <v>% Chg</v>
      </c>
      <c r="AV135" s="695" t="str">
        <f t="shared" si="110"/>
        <v>4Q11</v>
      </c>
      <c r="AW135" s="726" t="str">
        <f t="shared" si="110"/>
        <v>% Chg</v>
      </c>
      <c r="AX135" s="695" t="str">
        <f t="shared" si="110"/>
        <v>1Q12</v>
      </c>
      <c r="AY135" s="726" t="str">
        <f t="shared" si="110"/>
        <v>% Chg</v>
      </c>
      <c r="AZ135" s="695" t="str">
        <f t="shared" si="110"/>
        <v>2Q12</v>
      </c>
      <c r="BA135" s="726" t="str">
        <f t="shared" si="110"/>
        <v>% Chg</v>
      </c>
      <c r="BB135" s="695" t="str">
        <f t="shared" si="110"/>
        <v>3Q12</v>
      </c>
      <c r="BC135" s="726" t="str">
        <f t="shared" si="110"/>
        <v>% Chg</v>
      </c>
      <c r="BD135" s="695" t="str">
        <f t="shared" si="110"/>
        <v>4Q12</v>
      </c>
      <c r="BE135" s="726" t="str">
        <f t="shared" si="110"/>
        <v>% Chg</v>
      </c>
      <c r="BF135" s="695" t="str">
        <f t="shared" si="110"/>
        <v>1Q13</v>
      </c>
      <c r="BG135" s="726" t="str">
        <f t="shared" si="110"/>
        <v>% Chg</v>
      </c>
      <c r="BH135" s="695" t="str">
        <f t="shared" si="110"/>
        <v>2Q13</v>
      </c>
      <c r="BI135" s="726" t="str">
        <f t="shared" si="110"/>
        <v>% Chg</v>
      </c>
      <c r="BJ135" s="695" t="str">
        <f t="shared" si="110"/>
        <v>3Q13</v>
      </c>
      <c r="BK135" s="726" t="str">
        <f t="shared" si="110"/>
        <v>% Chg</v>
      </c>
      <c r="BL135" s="695" t="str">
        <f t="shared" si="110"/>
        <v>4Q13</v>
      </c>
      <c r="BM135" s="726" t="str">
        <f t="shared" si="110"/>
        <v>% Chg</v>
      </c>
      <c r="BN135" s="695" t="str">
        <f t="shared" si="110"/>
        <v>1Q14</v>
      </c>
      <c r="BO135" s="726" t="str">
        <f t="shared" ref="BO135:DA135" si="111">BO$5</f>
        <v>% Chg</v>
      </c>
      <c r="BP135" s="695" t="str">
        <f t="shared" si="111"/>
        <v>2Q14</v>
      </c>
      <c r="BQ135" s="726" t="str">
        <f t="shared" si="111"/>
        <v>% Chg</v>
      </c>
      <c r="BR135" s="695" t="str">
        <f t="shared" si="111"/>
        <v>3Q14</v>
      </c>
      <c r="BS135" s="726" t="str">
        <f t="shared" si="111"/>
        <v>% Chg</v>
      </c>
      <c r="BT135" s="695" t="str">
        <f t="shared" si="111"/>
        <v>4Q14</v>
      </c>
      <c r="BU135" s="726" t="str">
        <f t="shared" si="111"/>
        <v>% Chg</v>
      </c>
      <c r="BV135" s="695" t="str">
        <f t="shared" si="111"/>
        <v>1Q15</v>
      </c>
      <c r="BW135" s="726" t="str">
        <f t="shared" si="111"/>
        <v>% Chg</v>
      </c>
      <c r="BX135" s="695" t="str">
        <f t="shared" si="111"/>
        <v>2Q15</v>
      </c>
      <c r="BY135" s="726" t="str">
        <f t="shared" si="111"/>
        <v>% Chg</v>
      </c>
      <c r="BZ135" s="695" t="str">
        <f t="shared" si="111"/>
        <v>3Q15</v>
      </c>
      <c r="CA135" s="726" t="str">
        <f t="shared" si="111"/>
        <v>% Chg</v>
      </c>
      <c r="CB135" s="695" t="str">
        <f t="shared" si="111"/>
        <v>4Q15</v>
      </c>
      <c r="CC135" s="726" t="str">
        <f t="shared" si="111"/>
        <v>% Chg</v>
      </c>
      <c r="CD135" s="695" t="str">
        <f t="shared" si="111"/>
        <v>1Q16</v>
      </c>
      <c r="CE135" s="726" t="str">
        <f t="shared" si="111"/>
        <v>% Chg</v>
      </c>
      <c r="CF135" s="695" t="str">
        <f t="shared" si="111"/>
        <v>2Q16</v>
      </c>
      <c r="CG135" s="726" t="str">
        <f t="shared" si="111"/>
        <v>% Chg</v>
      </c>
      <c r="CH135" s="695" t="str">
        <f t="shared" si="111"/>
        <v>3Q16</v>
      </c>
      <c r="CI135" s="726" t="str">
        <f t="shared" si="111"/>
        <v>% Chg</v>
      </c>
      <c r="CJ135" s="695" t="str">
        <f t="shared" si="111"/>
        <v>4Q16</v>
      </c>
      <c r="CK135" s="726" t="str">
        <f t="shared" si="111"/>
        <v>% Chg</v>
      </c>
      <c r="CL135" s="695" t="str">
        <f t="shared" si="111"/>
        <v>1Q17</v>
      </c>
      <c r="CM135" s="726" t="str">
        <f t="shared" si="111"/>
        <v>% Chg</v>
      </c>
      <c r="CN135" s="695" t="str">
        <f t="shared" si="111"/>
        <v>2Q17</v>
      </c>
      <c r="CO135" s="726" t="str">
        <f t="shared" si="111"/>
        <v>% Chg</v>
      </c>
      <c r="CP135" s="695" t="str">
        <f t="shared" si="111"/>
        <v>3Q17</v>
      </c>
      <c r="CQ135" s="726" t="str">
        <f t="shared" si="111"/>
        <v>% Chg</v>
      </c>
      <c r="CR135" s="695" t="str">
        <f t="shared" si="111"/>
        <v>4Q17</v>
      </c>
      <c r="CS135" s="726" t="str">
        <f t="shared" si="111"/>
        <v>% Chg</v>
      </c>
      <c r="CT135" s="695" t="str">
        <f t="shared" si="111"/>
        <v>1Q18E</v>
      </c>
      <c r="CU135" s="726" t="str">
        <f t="shared" si="111"/>
        <v>% Chg</v>
      </c>
      <c r="CV135" s="695" t="str">
        <f t="shared" si="111"/>
        <v>2Q18E</v>
      </c>
      <c r="CW135" s="726" t="str">
        <f t="shared" si="111"/>
        <v>% Chg</v>
      </c>
      <c r="CX135" s="695" t="str">
        <f t="shared" si="111"/>
        <v>3Q18E</v>
      </c>
      <c r="CY135" s="726" t="str">
        <f t="shared" si="111"/>
        <v>% Chg</v>
      </c>
      <c r="CZ135" s="695" t="str">
        <f t="shared" si="111"/>
        <v>4Q18E</v>
      </c>
      <c r="DA135" s="726" t="str">
        <f t="shared" si="111"/>
        <v>% Chg</v>
      </c>
      <c r="DB135" s="726"/>
      <c r="DC135" s="699">
        <f t="shared" ref="DC135:EM135" si="112">DC$5</f>
        <v>2005</v>
      </c>
      <c r="DD135" s="726" t="str">
        <f t="shared" si="112"/>
        <v>% Chg</v>
      </c>
      <c r="DE135" s="699">
        <f t="shared" si="112"/>
        <v>2006</v>
      </c>
      <c r="DF135" s="726" t="str">
        <f t="shared" si="112"/>
        <v>% Chg</v>
      </c>
      <c r="DG135" s="699">
        <f t="shared" si="112"/>
        <v>2007</v>
      </c>
      <c r="DH135" s="726" t="str">
        <f t="shared" si="112"/>
        <v>% Chg</v>
      </c>
      <c r="DI135" s="699">
        <f t="shared" si="112"/>
        <v>2008</v>
      </c>
      <c r="DJ135" s="726" t="str">
        <f t="shared" si="112"/>
        <v>% Chg</v>
      </c>
      <c r="DK135" s="695" t="str">
        <f t="shared" si="112"/>
        <v>2009</v>
      </c>
      <c r="DL135" s="726" t="str">
        <f t="shared" si="112"/>
        <v>% Chg</v>
      </c>
      <c r="DM135" s="695" t="str">
        <f t="shared" si="112"/>
        <v>2010</v>
      </c>
      <c r="DN135" s="726" t="str">
        <f t="shared" si="112"/>
        <v>% Chg</v>
      </c>
      <c r="DO135" s="695" t="str">
        <f t="shared" si="112"/>
        <v>2011</v>
      </c>
      <c r="DP135" s="726" t="str">
        <f t="shared" si="112"/>
        <v>% Chg</v>
      </c>
      <c r="DQ135" s="695" t="str">
        <f t="shared" si="112"/>
        <v>2012</v>
      </c>
      <c r="DR135" s="726" t="str">
        <f t="shared" si="112"/>
        <v>% Chg</v>
      </c>
      <c r="DS135" s="695" t="str">
        <f t="shared" si="112"/>
        <v>2013</v>
      </c>
      <c r="DT135" s="726" t="str">
        <f t="shared" si="112"/>
        <v>% Chg</v>
      </c>
      <c r="DU135" s="695" t="str">
        <f t="shared" si="112"/>
        <v>2014</v>
      </c>
      <c r="DV135" s="726" t="str">
        <f t="shared" si="112"/>
        <v>% Chg</v>
      </c>
      <c r="DW135" s="695" t="str">
        <f t="shared" si="112"/>
        <v>2015</v>
      </c>
      <c r="DX135" s="726" t="str">
        <f t="shared" si="112"/>
        <v>% Chg</v>
      </c>
      <c r="DY135" s="695" t="str">
        <f t="shared" si="112"/>
        <v>2016</v>
      </c>
      <c r="DZ135" s="726" t="str">
        <f t="shared" si="112"/>
        <v>% Chg</v>
      </c>
      <c r="EA135" s="695" t="str">
        <f t="shared" si="112"/>
        <v>2017</v>
      </c>
      <c r="EB135" s="726" t="str">
        <f t="shared" si="112"/>
        <v>% Chg</v>
      </c>
      <c r="EC135" s="695" t="str">
        <f t="shared" si="112"/>
        <v>2018E</v>
      </c>
      <c r="ED135" s="726" t="str">
        <f t="shared" si="112"/>
        <v>% Chg</v>
      </c>
      <c r="EE135" s="695" t="str">
        <f t="shared" si="112"/>
        <v>2019E</v>
      </c>
      <c r="EF135" s="726" t="str">
        <f t="shared" si="112"/>
        <v>% Chg</v>
      </c>
      <c r="EG135" s="695" t="str">
        <f t="shared" si="112"/>
        <v>2020E</v>
      </c>
      <c r="EH135" s="726" t="str">
        <f t="shared" si="112"/>
        <v>% Chg</v>
      </c>
      <c r="EI135" s="695" t="str">
        <f t="shared" si="112"/>
        <v>2021E</v>
      </c>
      <c r="EJ135" s="726" t="str">
        <f t="shared" si="112"/>
        <v>% Chg</v>
      </c>
      <c r="EK135" s="695" t="str">
        <f t="shared" si="112"/>
        <v>2022E</v>
      </c>
      <c r="EL135" s="726" t="str">
        <f t="shared" si="112"/>
        <v>% Chg</v>
      </c>
      <c r="EM135" s="696" t="str">
        <f t="shared" si="112"/>
        <v>(%)</v>
      </c>
    </row>
    <row r="136" spans="1:143" ht="12.75" hidden="1" customHeight="1" outlineLevel="1" x14ac:dyDescent="0.2">
      <c r="A136" s="700"/>
      <c r="B136" s="16"/>
      <c r="C136" s="507"/>
      <c r="D136" s="16"/>
      <c r="E136" s="687"/>
      <c r="F136" s="16"/>
      <c r="G136" s="687"/>
      <c r="H136" s="16"/>
      <c r="I136" s="687"/>
      <c r="J136" s="16"/>
      <c r="K136" s="507"/>
      <c r="L136" s="16"/>
      <c r="M136" s="507"/>
      <c r="N136" s="16"/>
      <c r="O136" s="507"/>
      <c r="P136" s="16"/>
      <c r="Q136" s="507"/>
      <c r="R136" s="16"/>
      <c r="S136" s="507"/>
      <c r="T136" s="16"/>
      <c r="U136" s="507"/>
      <c r="V136" s="16"/>
      <c r="W136" s="507"/>
      <c r="X136" s="16"/>
      <c r="Y136" s="507"/>
      <c r="Z136" s="16"/>
      <c r="AA136" s="507"/>
      <c r="AB136" s="16"/>
      <c r="AC136" s="507"/>
      <c r="AD136" s="16"/>
      <c r="AE136" s="507"/>
      <c r="AF136" s="16"/>
      <c r="AG136" s="507"/>
      <c r="AH136" s="16"/>
      <c r="AI136" s="507"/>
      <c r="AJ136" s="16"/>
      <c r="AK136" s="507"/>
      <c r="AL136" s="16"/>
      <c r="AM136" s="507"/>
      <c r="AN136" s="16"/>
      <c r="AO136" s="507"/>
      <c r="AP136" s="16"/>
      <c r="AQ136" s="507"/>
      <c r="AR136" s="16"/>
      <c r="AS136" s="507"/>
      <c r="AT136" s="16"/>
      <c r="AU136" s="507"/>
      <c r="AV136" s="16"/>
      <c r="AW136" s="507"/>
      <c r="AX136" s="16"/>
      <c r="AY136" s="507"/>
      <c r="AZ136" s="16"/>
      <c r="BA136" s="507"/>
      <c r="BB136" s="16"/>
      <c r="BC136" s="507"/>
      <c r="BD136" s="16"/>
      <c r="BE136" s="507"/>
      <c r="BF136" s="16"/>
      <c r="BG136" s="507"/>
      <c r="BH136" s="16"/>
      <c r="BI136" s="507"/>
      <c r="BJ136" s="16"/>
      <c r="BK136" s="507"/>
      <c r="BL136" s="16"/>
      <c r="BM136" s="507"/>
      <c r="BN136" s="16"/>
      <c r="BO136" s="507"/>
      <c r="BP136" s="16"/>
      <c r="BQ136" s="507"/>
      <c r="BR136" s="16"/>
      <c r="BS136" s="507"/>
      <c r="BT136" s="16"/>
      <c r="BU136" s="507"/>
      <c r="BV136" s="16"/>
      <c r="BW136" s="507"/>
      <c r="BX136" s="16"/>
      <c r="BY136" s="507"/>
      <c r="BZ136" s="16"/>
      <c r="CA136" s="507"/>
      <c r="CB136" s="16"/>
      <c r="CC136" s="507"/>
      <c r="CD136" s="16"/>
      <c r="CE136" s="507"/>
      <c r="CF136" s="16"/>
      <c r="CG136" s="507"/>
      <c r="CH136" s="16"/>
      <c r="CI136" s="507"/>
      <c r="CJ136" s="16"/>
      <c r="CK136" s="507"/>
      <c r="CL136" s="16"/>
      <c r="CM136" s="507"/>
      <c r="CN136" s="16"/>
      <c r="CO136" s="507"/>
      <c r="CP136" s="16"/>
      <c r="CQ136" s="507"/>
      <c r="CR136" s="16"/>
      <c r="CS136" s="507"/>
      <c r="CT136" s="16"/>
      <c r="CU136" s="507"/>
      <c r="CV136" s="16"/>
      <c r="CW136" s="507"/>
      <c r="CX136" s="16"/>
      <c r="CY136" s="507"/>
      <c r="CZ136" s="16"/>
      <c r="DA136" s="507"/>
      <c r="DB136" s="507"/>
      <c r="DC136" s="16"/>
      <c r="DD136" s="507"/>
      <c r="DE136" s="16"/>
      <c r="DF136" s="507"/>
      <c r="DG136" s="16"/>
      <c r="DH136" s="507"/>
      <c r="DI136" s="16"/>
      <c r="DJ136" s="507"/>
      <c r="DK136" s="16"/>
      <c r="DL136" s="507"/>
      <c r="DM136" s="16"/>
      <c r="DN136" s="507"/>
      <c r="DO136" s="16"/>
      <c r="DP136" s="507"/>
      <c r="DQ136" s="16"/>
      <c r="DR136" s="507"/>
      <c r="DS136" s="16"/>
      <c r="DT136" s="507"/>
      <c r="DU136" s="16"/>
      <c r="DV136" s="507"/>
      <c r="DW136" s="16"/>
      <c r="DX136" s="507"/>
      <c r="DY136" s="16"/>
      <c r="DZ136" s="507"/>
      <c r="EA136" s="16"/>
      <c r="EB136" s="507"/>
      <c r="EC136" s="16"/>
      <c r="ED136" s="507"/>
      <c r="EE136" s="16"/>
      <c r="EF136" s="507"/>
      <c r="EG136" s="16"/>
      <c r="EH136" s="507"/>
      <c r="EI136" s="16"/>
      <c r="EJ136" s="507"/>
      <c r="EK136" s="16"/>
      <c r="EL136" s="507"/>
      <c r="EM136" s="687"/>
    </row>
    <row r="137" spans="1:143" ht="12.75" hidden="1" customHeight="1" outlineLevel="1" x14ac:dyDescent="0.2">
      <c r="A137" s="700" t="s">
        <v>7</v>
      </c>
      <c r="B137" s="16"/>
      <c r="C137" s="507"/>
      <c r="D137" s="16"/>
      <c r="E137" s="687"/>
      <c r="F137" s="16"/>
      <c r="G137" s="687"/>
      <c r="H137" s="16"/>
      <c r="I137" s="687"/>
      <c r="J137" s="16"/>
      <c r="K137" s="507"/>
      <c r="L137" s="16"/>
      <c r="M137" s="507"/>
      <c r="N137" s="16"/>
      <c r="O137" s="507"/>
      <c r="P137" s="16"/>
      <c r="Q137" s="507"/>
      <c r="R137" s="16"/>
      <c r="S137" s="507"/>
      <c r="T137" s="16"/>
      <c r="U137" s="507"/>
      <c r="V137" s="16"/>
      <c r="W137" s="507"/>
      <c r="X137" s="16"/>
      <c r="Y137" s="507"/>
      <c r="Z137" s="16"/>
      <c r="AA137" s="507"/>
      <c r="AB137" s="16"/>
      <c r="AC137" s="507"/>
      <c r="AD137" s="16"/>
      <c r="AE137" s="507"/>
      <c r="AF137" s="16"/>
      <c r="AG137" s="507"/>
      <c r="AH137" s="16"/>
      <c r="AI137" s="507"/>
      <c r="AJ137" s="16"/>
      <c r="AK137" s="507"/>
      <c r="AL137" s="16"/>
      <c r="AM137" s="507"/>
      <c r="AN137" s="16"/>
      <c r="AO137" s="507"/>
      <c r="AP137" s="16"/>
      <c r="AQ137" s="507"/>
      <c r="AR137" s="16"/>
      <c r="AS137" s="507"/>
      <c r="AT137" s="16"/>
      <c r="AU137" s="507"/>
      <c r="AV137" s="16"/>
      <c r="AW137" s="507"/>
      <c r="AX137" s="16"/>
      <c r="AY137" s="507"/>
      <c r="AZ137" s="16"/>
      <c r="BA137" s="507"/>
      <c r="BB137" s="16"/>
      <c r="BC137" s="507"/>
      <c r="BD137" s="16"/>
      <c r="BE137" s="507"/>
      <c r="BF137" s="16"/>
      <c r="BG137" s="507"/>
      <c r="BH137" s="16"/>
      <c r="BI137" s="507"/>
      <c r="BJ137" s="16"/>
      <c r="BK137" s="507"/>
      <c r="BL137" s="16"/>
      <c r="BM137" s="507"/>
      <c r="BN137" s="16"/>
      <c r="BO137" s="507"/>
      <c r="BP137" s="16"/>
      <c r="BQ137" s="507"/>
      <c r="BR137" s="16"/>
      <c r="BS137" s="507"/>
      <c r="BT137" s="16"/>
      <c r="BU137" s="507"/>
      <c r="BV137" s="16"/>
      <c r="BW137" s="507"/>
      <c r="BX137" s="16"/>
      <c r="BY137" s="507"/>
      <c r="BZ137" s="16"/>
      <c r="CA137" s="507"/>
      <c r="CB137" s="16"/>
      <c r="CC137" s="507"/>
      <c r="CD137" s="16"/>
      <c r="CE137" s="507"/>
      <c r="CF137" s="16"/>
      <c r="CG137" s="507"/>
      <c r="CH137" s="16"/>
      <c r="CI137" s="507"/>
      <c r="CJ137" s="16"/>
      <c r="CK137" s="507"/>
      <c r="CL137" s="16"/>
      <c r="CM137" s="507"/>
      <c r="CN137" s="16"/>
      <c r="CO137" s="507"/>
      <c r="CP137" s="16"/>
      <c r="CQ137" s="507"/>
      <c r="CR137" s="16"/>
      <c r="CS137" s="507"/>
      <c r="CT137" s="16"/>
      <c r="CU137" s="507"/>
      <c r="CV137" s="16"/>
      <c r="CW137" s="507"/>
      <c r="CX137" s="16"/>
      <c r="CY137" s="507"/>
      <c r="CZ137" s="16"/>
      <c r="DA137" s="507"/>
      <c r="DB137" s="507"/>
      <c r="DC137" s="16"/>
      <c r="DD137" s="507"/>
      <c r="DE137" s="16"/>
      <c r="DF137" s="507"/>
      <c r="DG137" s="16"/>
      <c r="DH137" s="507"/>
      <c r="DI137" s="16"/>
      <c r="DJ137" s="507"/>
      <c r="DK137" s="16"/>
      <c r="DL137" s="507"/>
      <c r="DM137" s="16"/>
      <c r="DN137" s="507"/>
      <c r="DO137" s="16"/>
      <c r="DP137" s="507"/>
      <c r="DQ137" s="16"/>
      <c r="DR137" s="507"/>
      <c r="DS137" s="16"/>
      <c r="DT137" s="507"/>
      <c r="DU137" s="16"/>
      <c r="DV137" s="507"/>
      <c r="DW137" s="16"/>
      <c r="DX137" s="507"/>
      <c r="DY137" s="16"/>
      <c r="DZ137" s="507"/>
      <c r="EA137" s="16"/>
      <c r="EB137" s="507"/>
      <c r="EC137" s="16"/>
      <c r="ED137" s="507"/>
      <c r="EE137" s="16"/>
      <c r="EF137" s="507"/>
      <c r="EG137" s="16"/>
      <c r="EH137" s="507"/>
      <c r="EI137" s="16"/>
      <c r="EJ137" s="507"/>
      <c r="EK137" s="16"/>
      <c r="EL137" s="507"/>
      <c r="EM137" s="687"/>
    </row>
    <row r="138" spans="1:143" ht="12.75" hidden="1" customHeight="1" outlineLevel="1" x14ac:dyDescent="0.2">
      <c r="A138" s="701" t="str">
        <f>INPUT!B145</f>
        <v>Surrender Charges/Exp Assessments</v>
      </c>
      <c r="B138" s="151">
        <f>INPUT!AY145</f>
        <v>57.9</v>
      </c>
      <c r="C138" s="507">
        <f>INPUT!AZ145</f>
        <v>9.6590909090909172</v>
      </c>
      <c r="D138" s="151">
        <f>INPUT!BA145</f>
        <v>56.800000000000004</v>
      </c>
      <c r="E138" s="687">
        <f>INPUT!BB145</f>
        <v>6.5666041275797449</v>
      </c>
      <c r="F138" s="151">
        <f>INPUT!BC145</f>
        <v>55.7</v>
      </c>
      <c r="G138" s="687">
        <f>INPUT!BD145</f>
        <v>-1.7636684303350858</v>
      </c>
      <c r="H138" s="151">
        <f>INPUT!BE145</f>
        <v>59.9</v>
      </c>
      <c r="I138" s="687">
        <f>INPUT!BF145</f>
        <v>7.7338129496402841</v>
      </c>
      <c r="J138" s="151">
        <f>INPUT!BG145</f>
        <v>61.8</v>
      </c>
      <c r="K138" s="687">
        <f>INPUT!BH145</f>
        <v>6.7357512953367893</v>
      </c>
      <c r="L138" s="151">
        <f>INPUT!BI145</f>
        <v>65.2</v>
      </c>
      <c r="M138" s="687">
        <f>INPUT!BJ145</f>
        <v>14.7887323943662</v>
      </c>
      <c r="N138" s="151">
        <f>INPUT!BK145</f>
        <v>65.3</v>
      </c>
      <c r="O138" s="687">
        <f>INPUT!BL145</f>
        <v>17.235188509874313</v>
      </c>
      <c r="P138" s="151">
        <f>INPUT!BM145</f>
        <v>66.5</v>
      </c>
      <c r="Q138" s="687">
        <f>INPUT!BN145</f>
        <v>11.018363939899833</v>
      </c>
      <c r="R138" s="151">
        <f>INPUT!BO145</f>
        <v>61.199999999999996</v>
      </c>
      <c r="S138" s="687">
        <f>INPUT!BP145</f>
        <v>-0.97087378640776656</v>
      </c>
      <c r="T138" s="151">
        <f>INPUT!BQ145</f>
        <v>60.8</v>
      </c>
      <c r="U138" s="687">
        <f>INPUT!BR145</f>
        <v>-6.7484662576687171</v>
      </c>
      <c r="V138" s="151">
        <f>INPUT!BS145</f>
        <v>55.9</v>
      </c>
      <c r="W138" s="687">
        <f>INPUT!BT145</f>
        <v>-14.395099540581924</v>
      </c>
      <c r="X138" s="151">
        <f>INPUT!BU145</f>
        <v>44.2</v>
      </c>
      <c r="Y138" s="687">
        <f>INPUT!BV145</f>
        <v>-33.533834586466163</v>
      </c>
      <c r="Z138" s="151">
        <f>INPUT!BW145</f>
        <v>40.6</v>
      </c>
      <c r="AA138" s="122">
        <f>INPUT!BX145</f>
        <v>-33.660130718954242</v>
      </c>
      <c r="AB138" s="151">
        <f>INPUT!BY145</f>
        <v>44.699999999999996</v>
      </c>
      <c r="AC138" s="687">
        <f>INPUT!BZ145</f>
        <v>-26.480263157894747</v>
      </c>
      <c r="AD138" s="151">
        <f>INPUT!CA145</f>
        <v>47.8</v>
      </c>
      <c r="AE138" s="687">
        <f>INPUT!CB145</f>
        <v>-14.490161001788914</v>
      </c>
      <c r="AF138" s="151">
        <f>INPUT!CC145</f>
        <v>49.699999999999996</v>
      </c>
      <c r="AG138" s="687">
        <f>INPUT!CD145</f>
        <v>12.443438914027126</v>
      </c>
      <c r="AH138" s="151">
        <f>INPUT!CE145</f>
        <v>50.2</v>
      </c>
      <c r="AI138" s="507">
        <f>INPUT!CF145</f>
        <v>23.645320197044327</v>
      </c>
      <c r="AJ138" s="151">
        <f>INPUT!CG145</f>
        <v>49.400000000000006</v>
      </c>
      <c r="AK138" s="507">
        <f>INPUT!CH145</f>
        <v>10.514541387024634</v>
      </c>
      <c r="AL138" s="151">
        <f>INPUT!CI145</f>
        <v>48.1</v>
      </c>
      <c r="AM138" s="507">
        <f>INPUT!CJ145</f>
        <v>0.62761506276152179</v>
      </c>
      <c r="AN138" s="151">
        <f>INPUT!CK145</f>
        <v>53</v>
      </c>
      <c r="AO138" s="507">
        <f>INPUT!CL145</f>
        <v>6.6398390342052416</v>
      </c>
      <c r="AP138" s="151">
        <f>INPUT!CM145</f>
        <v>55</v>
      </c>
      <c r="AQ138" s="507">
        <f>INPUT!CN145</f>
        <v>9.5617529880478003</v>
      </c>
      <c r="AR138" s="151">
        <f>INPUT!CO145</f>
        <v>55.400000000000006</v>
      </c>
      <c r="AS138" s="507">
        <f>INPUT!CP145</f>
        <v>12.145748987854255</v>
      </c>
      <c r="AT138" s="151">
        <f>INPUT!CQ145</f>
        <v>51</v>
      </c>
      <c r="AU138" s="507">
        <f>INPUT!CR145</f>
        <v>6.0291060291060239</v>
      </c>
      <c r="AV138" s="151">
        <f>INPUT!CS145</f>
        <v>49</v>
      </c>
      <c r="AW138" s="507">
        <f>INPUT!CT145</f>
        <v>-7.547169811320753</v>
      </c>
      <c r="AX138" s="151">
        <f>INPUT!CU145</f>
        <v>52</v>
      </c>
      <c r="AY138" s="507">
        <f>INPUT!CV145</f>
        <v>-5.4545454545454568</v>
      </c>
      <c r="AZ138" s="151">
        <f>INPUT!CW145</f>
        <v>53</v>
      </c>
      <c r="BA138" s="507">
        <f>INPUT!CX145</f>
        <v>-4.3321299638989235</v>
      </c>
      <c r="BB138" s="151">
        <f>INPUT!CY145</f>
        <v>53</v>
      </c>
      <c r="BC138" s="507">
        <f>INPUT!CZ145</f>
        <v>3.9215686274509887</v>
      </c>
      <c r="BD138" s="151">
        <f>INPUT!DA145</f>
        <v>54</v>
      </c>
      <c r="BE138" s="507">
        <f>INPUT!DB145</f>
        <v>10.20408163265305</v>
      </c>
      <c r="BF138" s="151">
        <f>INPUT!DC145</f>
        <v>56</v>
      </c>
      <c r="BG138" s="507">
        <f>INPUT!DD145</f>
        <v>7.6923076923076872</v>
      </c>
      <c r="BH138" s="151">
        <f>INPUT!DE145</f>
        <v>58</v>
      </c>
      <c r="BI138" s="507">
        <f>INPUT!DF145</f>
        <v>9.4339622641509422</v>
      </c>
      <c r="BJ138" s="151">
        <f>INPUT!DG145</f>
        <v>59</v>
      </c>
      <c r="BK138" s="507">
        <f>INPUT!DH145</f>
        <v>11.32075471698113</v>
      </c>
      <c r="BL138" s="151">
        <f>INPUT!DI145</f>
        <v>60</v>
      </c>
      <c r="BM138" s="507">
        <f>INPUT!DJ145</f>
        <v>11.111111111111116</v>
      </c>
      <c r="BN138" s="151">
        <f>INPUT!DK145</f>
        <v>61</v>
      </c>
      <c r="BO138" s="507">
        <f>INPUT!DL145</f>
        <v>8.9285714285714199</v>
      </c>
      <c r="BP138" s="151">
        <f>INPUT!DM145</f>
        <v>62</v>
      </c>
      <c r="BQ138" s="507">
        <f>INPUT!DN145</f>
        <v>6.8965517241379226</v>
      </c>
      <c r="BR138" s="151">
        <f>INPUT!DO145</f>
        <v>62</v>
      </c>
      <c r="BS138" s="507">
        <f>INPUT!DP145</f>
        <v>5.0847457627118731</v>
      </c>
      <c r="BT138" s="151">
        <f>INPUT!DQ145</f>
        <v>62</v>
      </c>
      <c r="BU138" s="507">
        <f>INPUT!DR145</f>
        <v>3.3333333333333437</v>
      </c>
      <c r="BV138" s="151">
        <f>INPUT!DS145</f>
        <v>62</v>
      </c>
      <c r="BW138" s="507">
        <f>INPUT!DT145</f>
        <v>1.6393442622950838</v>
      </c>
      <c r="BX138" s="151">
        <f>INPUT!DU145</f>
        <v>61</v>
      </c>
      <c r="BY138" s="507">
        <f>INPUT!DV145</f>
        <v>-1.6129032258064502</v>
      </c>
      <c r="BZ138" s="151">
        <f>INPUT!DW145</f>
        <v>60</v>
      </c>
      <c r="CA138" s="507">
        <f>INPUT!DX145</f>
        <v>60</v>
      </c>
      <c r="CB138" s="151">
        <f>INPUT!DY145</f>
        <v>61</v>
      </c>
      <c r="CC138" s="507">
        <f>INPUT!DZ145</f>
        <v>-1.6129032258064502</v>
      </c>
      <c r="CD138" s="151">
        <f>INPUT!EA145</f>
        <v>55</v>
      </c>
      <c r="CE138" s="507">
        <f>INPUT!EB145</f>
        <v>-11.290322580645162</v>
      </c>
      <c r="CF138" s="151">
        <f>INPUT!EC145</f>
        <v>57</v>
      </c>
      <c r="CG138" s="507">
        <f>INPUT!ED145</f>
        <v>-6.5573770491803245</v>
      </c>
      <c r="CH138" s="151">
        <f>INPUT!EE145</f>
        <v>58</v>
      </c>
      <c r="CI138" s="507">
        <f>INPUT!EF145</f>
        <v>-3.3333333333333326</v>
      </c>
      <c r="CJ138" s="151">
        <f>INPUT!EG145</f>
        <v>58</v>
      </c>
      <c r="CK138" s="507">
        <f>INPUT!EH145</f>
        <v>-4.9180327868852514</v>
      </c>
      <c r="CL138" s="151">
        <f>INPUT!EI145</f>
        <v>59</v>
      </c>
      <c r="CM138" s="507">
        <f>INPUT!EJ145</f>
        <v>7.2727272727272751</v>
      </c>
      <c r="CN138" s="151">
        <f>INPUT!EK145</f>
        <v>62</v>
      </c>
      <c r="CO138" s="507">
        <f>INPUT!EL145</f>
        <v>8.7719298245614077</v>
      </c>
      <c r="CP138" s="151">
        <f>INPUT!EM145</f>
        <v>63</v>
      </c>
      <c r="CQ138" s="507">
        <f>INPUT!EN145</f>
        <v>8.6206896551724199</v>
      </c>
      <c r="CR138" s="151">
        <f>INPUT!EO145</f>
        <v>64</v>
      </c>
      <c r="CS138" s="507">
        <f>INPUT!EP145</f>
        <v>10.344827586206895</v>
      </c>
      <c r="CT138" s="151">
        <f>INPUT!EQ145</f>
        <v>67.285260545177621</v>
      </c>
      <c r="CU138" s="507">
        <f>INPUT!ER145</f>
        <v>14.042814483351895</v>
      </c>
      <c r="CV138" s="151">
        <f>INPUT!ES145</f>
        <v>67.888874981797301</v>
      </c>
      <c r="CW138" s="507">
        <f>INPUT!ET145</f>
        <v>9.498185454511777</v>
      </c>
      <c r="CX138" s="151">
        <f>INPUT!EU145</f>
        <v>69.327605218311774</v>
      </c>
      <c r="CY138" s="507">
        <f>INPUT!EV145</f>
        <v>10.043817806844091</v>
      </c>
      <c r="CZ138" s="151">
        <f>INPUT!EW145</f>
        <v>70.566996062590476</v>
      </c>
      <c r="DA138" s="507">
        <f>INPUT!EX145</f>
        <v>10.260931347797619</v>
      </c>
      <c r="DB138" s="507"/>
      <c r="DC138" s="151">
        <f>INPUT!FP145</f>
        <v>218.39999999999998</v>
      </c>
      <c r="DD138" s="687">
        <f>INPUT!FQ145</f>
        <v>16.170212765957427</v>
      </c>
      <c r="DE138" s="151">
        <f>INPUT!FR145</f>
        <v>230.3</v>
      </c>
      <c r="DF138" s="687">
        <f>INPUT!FS145</f>
        <v>5.4487179487179738</v>
      </c>
      <c r="DG138" s="151">
        <f>INPUT!FT145</f>
        <v>258.8</v>
      </c>
      <c r="DH138" s="687">
        <f>INPUT!FU145</f>
        <v>12.375162831089881</v>
      </c>
      <c r="DI138" s="151">
        <f>INPUT!FV145</f>
        <v>222.10000000000002</v>
      </c>
      <c r="DJ138" s="687">
        <f>INPUT!FW145</f>
        <v>-14.180834621329208</v>
      </c>
      <c r="DK138" s="151">
        <f>INPUT!FX145</f>
        <v>182.79999999999998</v>
      </c>
      <c r="DL138" s="507">
        <f>INPUT!FY145</f>
        <v>-17.694732102656474</v>
      </c>
      <c r="DM138" s="151">
        <f>INPUT!FZ145</f>
        <v>200.70000000000002</v>
      </c>
      <c r="DN138" s="507">
        <f>INPUT!GA145</f>
        <v>9.7921225382932455</v>
      </c>
      <c r="DO138" s="151">
        <f>INPUT!GB145</f>
        <v>210.4</v>
      </c>
      <c r="DP138" s="507">
        <f>INPUT!GC145</f>
        <v>4.8330842052815015</v>
      </c>
      <c r="DQ138" s="151">
        <f>INPUT!GD145</f>
        <v>212</v>
      </c>
      <c r="DR138" s="507">
        <f>INPUT!GE145</f>
        <v>0.76045627376426506</v>
      </c>
      <c r="DS138" s="151">
        <f>INPUT!GF145</f>
        <v>233</v>
      </c>
      <c r="DT138" s="507">
        <f>INPUT!GG145</f>
        <v>9.9056603773584939</v>
      </c>
      <c r="DU138" s="151">
        <f>INPUT!GH145</f>
        <v>247</v>
      </c>
      <c r="DV138" s="507">
        <f>INPUT!GI145</f>
        <v>6.0085836909871349</v>
      </c>
      <c r="DW138" s="151">
        <f>INPUT!GJ145</f>
        <v>244</v>
      </c>
      <c r="DX138" s="507">
        <f>INPUT!GK145</f>
        <v>-1.2145748987854255</v>
      </c>
      <c r="DY138" s="151">
        <f>INPUT!GL145</f>
        <v>228</v>
      </c>
      <c r="DZ138" s="507">
        <f>INPUT!GM145</f>
        <v>-6.5573770491803245</v>
      </c>
      <c r="EA138" s="151">
        <f>INPUT!GN145</f>
        <v>248</v>
      </c>
      <c r="EB138" s="507">
        <f>INPUT!GO145</f>
        <v>8.7719298245614077</v>
      </c>
      <c r="EC138" s="151">
        <f>INPUT!GP145</f>
        <v>275.06873680787714</v>
      </c>
      <c r="ED138" s="507">
        <f>INPUT!GQ145</f>
        <v>10.914813228982712</v>
      </c>
      <c r="EE138" s="151">
        <f>INPUT!GR145</f>
        <v>286.53990677708038</v>
      </c>
      <c r="EF138" s="507">
        <f>INPUT!GS145</f>
        <v>4.1702921612699617</v>
      </c>
      <c r="EG138" s="151">
        <f>INPUT!GT145</f>
        <v>295.39600489994604</v>
      </c>
      <c r="EH138" s="507">
        <f>INPUT!GU145</f>
        <v>3.0907032191350048</v>
      </c>
      <c r="EI138" s="151">
        <f>INPUT!GV145</f>
        <v>305.36290510349136</v>
      </c>
      <c r="EJ138" s="507">
        <f>INPUT!GW145</f>
        <v>3.3740809077364542</v>
      </c>
      <c r="EK138" s="151">
        <f>INPUT!GX145</f>
        <v>316.41458496049233</v>
      </c>
      <c r="EL138" s="507">
        <f>INPUT!GY145</f>
        <v>3.6191952828243501</v>
      </c>
      <c r="EM138" s="687">
        <f>INPUT!GZ145</f>
        <v>4.9931492760464602</v>
      </c>
    </row>
    <row r="139" spans="1:143" ht="12.75" hidden="1" customHeight="1" outlineLevel="1" x14ac:dyDescent="0.2">
      <c r="A139" s="701" t="str">
        <f>INPUT!B146</f>
        <v>Investment Income</v>
      </c>
      <c r="B139" s="151">
        <f>INPUT!AY146</f>
        <v>185.7</v>
      </c>
      <c r="C139" s="507">
        <f>INPUT!AZ146</f>
        <v>5.4514480408858645</v>
      </c>
      <c r="D139" s="151">
        <f>INPUT!BA146</f>
        <v>187.5</v>
      </c>
      <c r="E139" s="687">
        <f>INPUT!BB146</f>
        <v>6.1120543293718299</v>
      </c>
      <c r="F139" s="151">
        <f>INPUT!BC146</f>
        <v>184.6</v>
      </c>
      <c r="G139" s="687">
        <f>INPUT!BD146</f>
        <v>4.0000000000000036</v>
      </c>
      <c r="H139" s="151">
        <f>INPUT!BE146</f>
        <v>180.6</v>
      </c>
      <c r="I139" s="687">
        <f>INPUT!BF146</f>
        <v>-0.38610038610039643</v>
      </c>
      <c r="J139" s="151">
        <f>INPUT!BG146</f>
        <v>180.3</v>
      </c>
      <c r="K139" s="687">
        <f>INPUT!BH146</f>
        <v>-2.9079159935379573</v>
      </c>
      <c r="L139" s="151">
        <f>INPUT!BI146</f>
        <v>182.2</v>
      </c>
      <c r="M139" s="687">
        <f>INPUT!BJ146</f>
        <v>-2.8266666666666773</v>
      </c>
      <c r="N139" s="151">
        <f>INPUT!BK146</f>
        <v>172.9</v>
      </c>
      <c r="O139" s="687">
        <f>INPUT!BL146</f>
        <v>-6.3380281690140761</v>
      </c>
      <c r="P139" s="151">
        <f>INPUT!BM146</f>
        <v>173.3</v>
      </c>
      <c r="Q139" s="687">
        <f>INPUT!BN146</f>
        <v>-4.0420819490586846</v>
      </c>
      <c r="R139" s="151">
        <f>INPUT!BO146</f>
        <v>171.7</v>
      </c>
      <c r="S139" s="687">
        <f>INPUT!BP146</f>
        <v>-4.7698280643372222</v>
      </c>
      <c r="T139" s="151">
        <f>INPUT!BQ146</f>
        <v>174.8</v>
      </c>
      <c r="U139" s="687">
        <f>INPUT!BR146</f>
        <v>-4.0614709110867064</v>
      </c>
      <c r="V139" s="151">
        <f>INPUT!BS146</f>
        <v>180.9</v>
      </c>
      <c r="W139" s="687">
        <f>INPUT!BT146</f>
        <v>4.6269519953730409</v>
      </c>
      <c r="X139" s="151">
        <f>INPUT!BU146</f>
        <v>167.6</v>
      </c>
      <c r="Y139" s="687">
        <f>INPUT!BV146</f>
        <v>-3.2890940565493465</v>
      </c>
      <c r="Z139" s="151">
        <f>INPUT!BW146</f>
        <v>175.5</v>
      </c>
      <c r="AA139" s="122">
        <f>INPUT!BX146</f>
        <v>2.2131624927198779</v>
      </c>
      <c r="AB139" s="151">
        <f>INPUT!BY146</f>
        <v>175.6</v>
      </c>
      <c r="AC139" s="687">
        <f>INPUT!BZ146</f>
        <v>0.45766590389015871</v>
      </c>
      <c r="AD139" s="151">
        <f>INPUT!CA146</f>
        <v>189.8</v>
      </c>
      <c r="AE139" s="687">
        <f>INPUT!CB146</f>
        <v>4.919845218352692</v>
      </c>
      <c r="AF139" s="151">
        <f>INPUT!CC146</f>
        <v>190.6</v>
      </c>
      <c r="AG139" s="687">
        <f>INPUT!CD146</f>
        <v>13.723150357995229</v>
      </c>
      <c r="AH139" s="151">
        <f>INPUT!CE146</f>
        <v>186.2</v>
      </c>
      <c r="AI139" s="507">
        <f>INPUT!CF146</f>
        <v>6.0968660968660826</v>
      </c>
      <c r="AJ139" s="151">
        <f>INPUT!CG146</f>
        <v>191.2</v>
      </c>
      <c r="AK139" s="507">
        <f>INPUT!CH146</f>
        <v>8.8838268792710728</v>
      </c>
      <c r="AL139" s="151">
        <f>INPUT!CI146</f>
        <v>191.9</v>
      </c>
      <c r="AM139" s="507">
        <f>INPUT!CJ146</f>
        <v>1.1064278187565835</v>
      </c>
      <c r="AN139" s="151">
        <f>INPUT!CK146</f>
        <v>199.9</v>
      </c>
      <c r="AO139" s="507">
        <f>INPUT!CL146</f>
        <v>4.8793284365162615</v>
      </c>
      <c r="AP139" s="151">
        <f>INPUT!CM146</f>
        <v>205</v>
      </c>
      <c r="AQ139" s="507">
        <f>INPUT!CN146</f>
        <v>10.096670247046191</v>
      </c>
      <c r="AR139" s="151">
        <f>INPUT!CO146</f>
        <v>199.9</v>
      </c>
      <c r="AS139" s="507">
        <f>INPUT!CP146</f>
        <v>4.5502092050209386</v>
      </c>
      <c r="AT139" s="151">
        <f>INPUT!CQ146</f>
        <v>193.3</v>
      </c>
      <c r="AU139" s="507">
        <f>INPUT!CR146</f>
        <v>0.72954663887441207</v>
      </c>
      <c r="AV139" s="151">
        <f>INPUT!CS146</f>
        <v>194</v>
      </c>
      <c r="AW139" s="507">
        <f>INPUT!CT146</f>
        <v>-2.951475737868936</v>
      </c>
      <c r="AX139" s="151">
        <f>INPUT!CU146</f>
        <v>197</v>
      </c>
      <c r="AY139" s="507">
        <f>INPUT!CV146</f>
        <v>-3.9024390243902474</v>
      </c>
      <c r="AZ139" s="151">
        <f>INPUT!CW146</f>
        <v>202</v>
      </c>
      <c r="BA139" s="507">
        <f>INPUT!CX146</f>
        <v>1.0505252626313188</v>
      </c>
      <c r="BB139" s="151">
        <f>INPUT!CY146</f>
        <v>199</v>
      </c>
      <c r="BC139" s="507">
        <f>INPUT!CZ146</f>
        <v>2.9487842731505287</v>
      </c>
      <c r="BD139" s="151">
        <f>INPUT!DA146</f>
        <v>201</v>
      </c>
      <c r="BE139" s="507">
        <f>INPUT!DB146</f>
        <v>3.6082474226804218</v>
      </c>
      <c r="BF139" s="151">
        <f>INPUT!DC146</f>
        <v>202</v>
      </c>
      <c r="BG139" s="507">
        <f>INPUT!DD146</f>
        <v>2.5380710659898442</v>
      </c>
      <c r="BH139" s="151">
        <f>INPUT!DE146</f>
        <v>211</v>
      </c>
      <c r="BI139" s="507">
        <f>INPUT!DF146</f>
        <v>4.4554455445544594</v>
      </c>
      <c r="BJ139" s="151">
        <f>INPUT!DG146</f>
        <v>207</v>
      </c>
      <c r="BK139" s="507">
        <f>INPUT!DH146</f>
        <v>4.020100502512558</v>
      </c>
      <c r="BL139" s="151">
        <f>INPUT!DI146</f>
        <v>208</v>
      </c>
      <c r="BM139" s="507">
        <f>INPUT!DJ146</f>
        <v>3.4825870646766122</v>
      </c>
      <c r="BN139" s="151">
        <f>INPUT!DK146</f>
        <v>207</v>
      </c>
      <c r="BO139" s="507">
        <f>INPUT!DL146</f>
        <v>2.4752475247524774</v>
      </c>
      <c r="BP139" s="151">
        <f>INPUT!DM146</f>
        <v>204</v>
      </c>
      <c r="BQ139" s="507">
        <f>INPUT!DN146</f>
        <v>-3.3175355450236976</v>
      </c>
      <c r="BR139" s="151">
        <f>INPUT!DO146</f>
        <v>207</v>
      </c>
      <c r="BS139" s="507">
        <f>INPUT!DP146</f>
        <v>0</v>
      </c>
      <c r="BT139" s="151">
        <f>INPUT!DQ146</f>
        <v>213</v>
      </c>
      <c r="BU139" s="507">
        <f>INPUT!DR146</f>
        <v>2.4038461538461453</v>
      </c>
      <c r="BV139" s="151">
        <f>INPUT!DS146</f>
        <v>208</v>
      </c>
      <c r="BW139" s="507">
        <f>INPUT!DT146</f>
        <v>0.48309178743961567</v>
      </c>
      <c r="BX139" s="151">
        <f>INPUT!DU146</f>
        <v>206</v>
      </c>
      <c r="BY139" s="507">
        <f>INPUT!DV146</f>
        <v>0.98039215686274161</v>
      </c>
      <c r="BZ139" s="151">
        <f>INPUT!DW146</f>
        <v>219</v>
      </c>
      <c r="CA139" s="507">
        <f>INPUT!DX146</f>
        <v>219</v>
      </c>
      <c r="CB139" s="151">
        <f>INPUT!DY146</f>
        <v>213</v>
      </c>
      <c r="CC139" s="507">
        <f>INPUT!DZ146</f>
        <v>0</v>
      </c>
      <c r="CD139" s="151">
        <f>INPUT!EA146</f>
        <v>207</v>
      </c>
      <c r="CE139" s="507">
        <f>INPUT!EB146</f>
        <v>-0.48076923076922906</v>
      </c>
      <c r="CF139" s="151">
        <f>INPUT!EC146</f>
        <v>209</v>
      </c>
      <c r="CG139" s="507">
        <f>INPUT!ED146</f>
        <v>1.4563106796116498</v>
      </c>
      <c r="CH139" s="151">
        <f>INPUT!EE146</f>
        <v>220</v>
      </c>
      <c r="CI139" s="507">
        <f>INPUT!EF146</f>
        <v>0.45662100456620447</v>
      </c>
      <c r="CJ139" s="151">
        <f>INPUT!EG146</f>
        <v>222</v>
      </c>
      <c r="CK139" s="507">
        <f>INPUT!EH146</f>
        <v>4.2253521126760507</v>
      </c>
      <c r="CL139" s="151">
        <f>INPUT!EI146</f>
        <v>218</v>
      </c>
      <c r="CM139" s="507">
        <f>INPUT!EJ146</f>
        <v>5.3140096618357502</v>
      </c>
      <c r="CN139" s="151">
        <f>INPUT!EK146</f>
        <v>224</v>
      </c>
      <c r="CO139" s="507">
        <f>INPUT!EL146</f>
        <v>7.1770334928229707</v>
      </c>
      <c r="CP139" s="151">
        <f>INPUT!EM146</f>
        <v>223</v>
      </c>
      <c r="CQ139" s="507">
        <f>INPUT!EN146</f>
        <v>1.3636363636363669</v>
      </c>
      <c r="CR139" s="151">
        <f>INPUT!EO146</f>
        <v>233</v>
      </c>
      <c r="CS139" s="507">
        <f>INPUT!EP146</f>
        <v>4.9549549549549488</v>
      </c>
      <c r="CT139" s="151">
        <f>INPUT!EQ146</f>
        <v>235.49945530351431</v>
      </c>
      <c r="CU139" s="507">
        <f>INPUT!ER146</f>
        <v>8.0272730750065691</v>
      </c>
      <c r="CV139" s="151">
        <f>INPUT!ES146</f>
        <v>235.91489331741298</v>
      </c>
      <c r="CW139" s="507">
        <f>INPUT!ET146</f>
        <v>5.3191488024165068</v>
      </c>
      <c r="CX139" s="151">
        <f>INPUT!EU146</f>
        <v>239.18131306929382</v>
      </c>
      <c r="CY139" s="507">
        <f>INPUT!EV146</f>
        <v>7.2561942014770509</v>
      </c>
      <c r="CZ139" s="151">
        <f>INPUT!EW146</f>
        <v>241.69305579977706</v>
      </c>
      <c r="DA139" s="507">
        <f>INPUT!EX146</f>
        <v>3.7309252359558176</v>
      </c>
      <c r="DB139" s="507"/>
      <c r="DC139" s="151">
        <f>INPUT!FP146</f>
        <v>711.59999999999991</v>
      </c>
      <c r="DD139" s="687">
        <f>INPUT!FQ146</f>
        <v>-0.33613445378152251</v>
      </c>
      <c r="DE139" s="151">
        <f>INPUT!FR146</f>
        <v>738.4</v>
      </c>
      <c r="DF139" s="687">
        <f>INPUT!FS146</f>
        <v>3.7661607644744244</v>
      </c>
      <c r="DG139" s="151">
        <f>INPUT!FT146</f>
        <v>708.7</v>
      </c>
      <c r="DH139" s="687">
        <f>INPUT!FU146</f>
        <v>-4.0222101841820068</v>
      </c>
      <c r="DI139" s="151">
        <f>INPUT!FV146</f>
        <v>695</v>
      </c>
      <c r="DJ139" s="687">
        <f>INPUT!FW146</f>
        <v>-1.9331169747424881</v>
      </c>
      <c r="DK139" s="151">
        <f>INPUT!FX146</f>
        <v>731.50000000000011</v>
      </c>
      <c r="DL139" s="507">
        <f>INPUT!FY146</f>
        <v>5.2517985611510998</v>
      </c>
      <c r="DM139" s="151">
        <f>INPUT!FZ146</f>
        <v>769.19999999999993</v>
      </c>
      <c r="DN139" s="507">
        <f>INPUT!GA146</f>
        <v>5.1537935748461772</v>
      </c>
      <c r="DO139" s="151">
        <f>INPUT!GB146</f>
        <v>792.2</v>
      </c>
      <c r="DP139" s="507">
        <f>INPUT!GC146</f>
        <v>2.9901196047842138</v>
      </c>
      <c r="DQ139" s="151">
        <f>INPUT!GD146</f>
        <v>799</v>
      </c>
      <c r="DR139" s="507">
        <f>INPUT!GE146</f>
        <v>0.85836909871244149</v>
      </c>
      <c r="DS139" s="151">
        <f>INPUT!GF146</f>
        <v>828</v>
      </c>
      <c r="DT139" s="507">
        <f>INPUT!GG146</f>
        <v>3.6295369211514439</v>
      </c>
      <c r="DU139" s="151">
        <f>INPUT!GH146</f>
        <v>831</v>
      </c>
      <c r="DV139" s="507">
        <f>INPUT!GI146</f>
        <v>0.36231884057971175</v>
      </c>
      <c r="DW139" s="151">
        <f>INPUT!GJ146</f>
        <v>846</v>
      </c>
      <c r="DX139" s="507">
        <f>INPUT!GK146</f>
        <v>1.8050541516245522</v>
      </c>
      <c r="DY139" s="151">
        <f>INPUT!GL146</f>
        <v>858</v>
      </c>
      <c r="DZ139" s="507">
        <f>INPUT!GM146</f>
        <v>1.4184397163120588</v>
      </c>
      <c r="EA139" s="151">
        <f>INPUT!GN146</f>
        <v>898</v>
      </c>
      <c r="EB139" s="507">
        <f>INPUT!GO146</f>
        <v>4.6620046620046596</v>
      </c>
      <c r="EC139" s="151">
        <f>INPUT!GP146</f>
        <v>952.28871748999813</v>
      </c>
      <c r="ED139" s="507">
        <f>INPUT!GQ146</f>
        <v>6.0455141971044624</v>
      </c>
      <c r="EE139" s="151">
        <f>INPUT!GR146</f>
        <v>984.7921044169633</v>
      </c>
      <c r="EF139" s="507">
        <f>INPUT!GS146</f>
        <v>3.4131861829294952</v>
      </c>
      <c r="EG139" s="151">
        <f>INPUT!GT146</f>
        <v>1015.2291056899655</v>
      </c>
      <c r="EH139" s="507">
        <f>INPUT!GU146</f>
        <v>3.0907032191349826</v>
      </c>
      <c r="EI139" s="151">
        <f>INPUT!GV146</f>
        <v>1049.4837571148344</v>
      </c>
      <c r="EJ139" s="507">
        <f>INPUT!GW146</f>
        <v>3.3740809077364764</v>
      </c>
      <c r="EK139" s="151">
        <f>INPUT!GX146</f>
        <v>1087.4666237463423</v>
      </c>
      <c r="EL139" s="507">
        <f>INPUT!GY146</f>
        <v>3.6191952828243501</v>
      </c>
      <c r="EM139" s="687">
        <f>INPUT!GZ146</f>
        <v>3.9029600034690803</v>
      </c>
    </row>
    <row r="140" spans="1:143" ht="12.75" hidden="1" customHeight="1" outlineLevel="1" x14ac:dyDescent="0.2">
      <c r="A140" s="718" t="str">
        <f>INPUT!B148</f>
        <v>Other Revenues</v>
      </c>
      <c r="B140" s="151">
        <f>INPUT!AY148</f>
        <v>5.6000000000000014</v>
      </c>
      <c r="C140" s="507" t="str">
        <f>INPUT!AZ148</f>
        <v>NM</v>
      </c>
      <c r="D140" s="151">
        <f>INPUT!BA148</f>
        <v>4.6000000000000014</v>
      </c>
      <c r="E140" s="687">
        <f>INPUT!BB148</f>
        <v>6.9767441860460799</v>
      </c>
      <c r="F140" s="151">
        <f>INPUT!BC148</f>
        <v>4.7999999999999972</v>
      </c>
      <c r="G140" s="687">
        <f>INPUT!BD148</f>
        <v>6.6666666666667762</v>
      </c>
      <c r="H140" s="151">
        <f>INPUT!BE148</f>
        <v>4.5000000000000071</v>
      </c>
      <c r="I140" s="687">
        <f>INPUT!BF148</f>
        <v>4.6511627906984376</v>
      </c>
      <c r="J140" s="151">
        <f>INPUT!BG148</f>
        <v>4.5999999999999801</v>
      </c>
      <c r="K140" s="687">
        <f>INPUT!BH148</f>
        <v>-17.857142857143238</v>
      </c>
      <c r="L140" s="151">
        <f>INPUT!BI148</f>
        <v>4.6000000000000085</v>
      </c>
      <c r="M140" s="687">
        <f>INPUT!BJ148</f>
        <v>1.5543122344752192E-13</v>
      </c>
      <c r="N140" s="151">
        <f>INPUT!BK148</f>
        <v>5.2000000000000028</v>
      </c>
      <c r="O140" s="687">
        <f>INPUT!BL148</f>
        <v>8.33333333333346</v>
      </c>
      <c r="P140" s="151">
        <f>INPUT!BM148</f>
        <v>3.5</v>
      </c>
      <c r="Q140" s="687">
        <f>INPUT!BN148</f>
        <v>-22.222222222222342</v>
      </c>
      <c r="R140" s="151">
        <f>INPUT!BO148</f>
        <v>4.8000000000000043</v>
      </c>
      <c r="S140" s="687">
        <f>INPUT!BP148</f>
        <v>4.347826086957074</v>
      </c>
      <c r="T140" s="151">
        <f>INPUT!BQ148</f>
        <v>3.7999999999999972</v>
      </c>
      <c r="U140" s="687">
        <f>INPUT!BR148</f>
        <v>-17.391304347826299</v>
      </c>
      <c r="V140" s="151">
        <f>INPUT!BS148</f>
        <v>4.1000000000000014</v>
      </c>
      <c r="W140" s="687">
        <f>INPUT!BT148</f>
        <v>-21.153846153846168</v>
      </c>
      <c r="X140" s="151">
        <f>INPUT!BU148</f>
        <v>2.7000000000000028</v>
      </c>
      <c r="Y140" s="687">
        <f>INPUT!BV148</f>
        <v>-22.857142857142776</v>
      </c>
      <c r="Z140" s="151">
        <f>INPUT!BW148</f>
        <v>2.3999999999999986</v>
      </c>
      <c r="AA140" s="122" t="str">
        <f>INPUT!BX148</f>
        <v>NM</v>
      </c>
      <c r="AB140" s="151">
        <f>INPUT!BY148</f>
        <v>3.2000000000000099</v>
      </c>
      <c r="AC140" s="687">
        <f>INPUT!BZ148</f>
        <v>-15.789473684210197</v>
      </c>
      <c r="AD140" s="151">
        <f>INPUT!CA148</f>
        <v>2.9999999999999858</v>
      </c>
      <c r="AE140" s="687">
        <f>INPUT!CB148</f>
        <v>-26.829268292683295</v>
      </c>
      <c r="AF140" s="151">
        <f>INPUT!CC148</f>
        <v>3.3999999999999986</v>
      </c>
      <c r="AG140" s="687">
        <f>INPUT!CD148</f>
        <v>25.925925925925732</v>
      </c>
      <c r="AH140" s="151">
        <f>INPUT!CE148</f>
        <v>4.1000000000000085</v>
      </c>
      <c r="AI140" s="507">
        <f>INPUT!CF148</f>
        <v>70.833333333333798</v>
      </c>
      <c r="AJ140" s="151">
        <f>INPUT!CG148</f>
        <v>4.7000000000000171</v>
      </c>
      <c r="AK140" s="507">
        <f>INPUT!CH148</f>
        <v>46.875000000000064</v>
      </c>
      <c r="AL140" s="151">
        <f>INPUT!CI148</f>
        <v>4.5999999999999872</v>
      </c>
      <c r="AM140" s="507">
        <f>INPUT!CJ148</f>
        <v>53.333333333333634</v>
      </c>
      <c r="AN140" s="151">
        <f>INPUT!CK148</f>
        <v>4.4000000000000057</v>
      </c>
      <c r="AO140" s="507">
        <f>INPUT!CL148</f>
        <v>29.411764705882582</v>
      </c>
      <c r="AP140" s="151">
        <f>INPUT!CM148</f>
        <v>3</v>
      </c>
      <c r="AQ140" s="507">
        <f>INPUT!CN148</f>
        <v>-26.829268292683082</v>
      </c>
      <c r="AR140" s="151">
        <f>INPUT!CO148</f>
        <v>4.3999999999999773</v>
      </c>
      <c r="AS140" s="507">
        <f>INPUT!CP148</f>
        <v>-6.382978723405075</v>
      </c>
      <c r="AT140" s="151">
        <f>INPUT!CQ148</f>
        <v>3.5</v>
      </c>
      <c r="AU140" s="507">
        <f>INPUT!CR148</f>
        <v>-23.913043478260654</v>
      </c>
      <c r="AV140" s="151">
        <f>INPUT!CS148</f>
        <v>3</v>
      </c>
      <c r="AW140" s="507">
        <f>INPUT!CT148</f>
        <v>-31.818181818181902</v>
      </c>
      <c r="AX140" s="151">
        <f>INPUT!CU148</f>
        <v>3</v>
      </c>
      <c r="AY140" s="507">
        <f>INPUT!CV148</f>
        <v>0</v>
      </c>
      <c r="AZ140" s="151">
        <f>INPUT!CW148</f>
        <v>3</v>
      </c>
      <c r="BA140" s="507">
        <f>INPUT!CX148</f>
        <v>-31.818181818181468</v>
      </c>
      <c r="BB140" s="151">
        <f>INPUT!CY148</f>
        <v>3</v>
      </c>
      <c r="BC140" s="507">
        <f>INPUT!CZ148</f>
        <v>-14.28571428571429</v>
      </c>
      <c r="BD140" s="151">
        <f>INPUT!DA148</f>
        <v>4</v>
      </c>
      <c r="BE140" s="507">
        <f>INPUT!DB148</f>
        <v>33.333333333333329</v>
      </c>
      <c r="BF140" s="151">
        <f>INPUT!DC148</f>
        <v>2</v>
      </c>
      <c r="BG140" s="507">
        <f>INPUT!DD148</f>
        <v>-33.333333333333336</v>
      </c>
      <c r="BH140" s="151">
        <f>INPUT!DE148</f>
        <v>2</v>
      </c>
      <c r="BI140" s="507">
        <f>INPUT!DF148</f>
        <v>-33.333333333333336</v>
      </c>
      <c r="BJ140" s="151">
        <f>INPUT!DG148</f>
        <v>3</v>
      </c>
      <c r="BK140" s="507">
        <f>INPUT!DH148</f>
        <v>0</v>
      </c>
      <c r="BL140" s="151">
        <f>INPUT!DI148</f>
        <v>3</v>
      </c>
      <c r="BM140" s="507">
        <f>INPUT!DJ148</f>
        <v>-25</v>
      </c>
      <c r="BN140" s="151">
        <f>INPUT!DK148</f>
        <v>3</v>
      </c>
      <c r="BO140" s="507">
        <f>INPUT!DL148</f>
        <v>50</v>
      </c>
      <c r="BP140" s="151">
        <f>INPUT!DM148</f>
        <v>4</v>
      </c>
      <c r="BQ140" s="507">
        <f>INPUT!DN148</f>
        <v>100</v>
      </c>
      <c r="BR140" s="151">
        <f>INPUT!DO148</f>
        <v>3</v>
      </c>
      <c r="BS140" s="507">
        <f>INPUT!DP148</f>
        <v>0</v>
      </c>
      <c r="BT140" s="151">
        <f>INPUT!DQ148</f>
        <v>2</v>
      </c>
      <c r="BU140" s="507">
        <f>INPUT!DR148</f>
        <v>-33.333333333333336</v>
      </c>
      <c r="BV140" s="151">
        <f>INPUT!DS148</f>
        <v>3</v>
      </c>
      <c r="BW140" s="507">
        <f>INPUT!DT148</f>
        <v>0</v>
      </c>
      <c r="BX140" s="151">
        <f>INPUT!DU148</f>
        <v>3</v>
      </c>
      <c r="BY140" s="507">
        <f>INPUT!DV148</f>
        <v>-25</v>
      </c>
      <c r="BZ140" s="151">
        <f>INPUT!DW148</f>
        <v>3</v>
      </c>
      <c r="CA140" s="507">
        <f>INPUT!DX148</f>
        <v>3</v>
      </c>
      <c r="CB140" s="151">
        <f>INPUT!DY148</f>
        <v>2</v>
      </c>
      <c r="CC140" s="507">
        <f>INPUT!DZ148</f>
        <v>0</v>
      </c>
      <c r="CD140" s="151">
        <f>INPUT!EA148</f>
        <v>5</v>
      </c>
      <c r="CE140" s="507">
        <f>INPUT!EB148</f>
        <v>66.666666666666671</v>
      </c>
      <c r="CF140" s="151">
        <f>INPUT!EC148</f>
        <v>4</v>
      </c>
      <c r="CG140" s="507">
        <f>INPUT!ED148</f>
        <v>33.333333333333329</v>
      </c>
      <c r="CH140" s="151">
        <f>INPUT!EE148</f>
        <v>4</v>
      </c>
      <c r="CI140" s="507">
        <f>INPUT!EF148</f>
        <v>33.333333333333329</v>
      </c>
      <c r="CJ140" s="151">
        <f>INPUT!EG148</f>
        <v>4</v>
      </c>
      <c r="CK140" s="507">
        <f>INPUT!EH148</f>
        <v>100</v>
      </c>
      <c r="CL140" s="151">
        <f>INPUT!EI148</f>
        <v>5</v>
      </c>
      <c r="CM140" s="507">
        <f>INPUT!EJ148</f>
        <v>0</v>
      </c>
      <c r="CN140" s="151">
        <f>INPUT!EK148</f>
        <v>4</v>
      </c>
      <c r="CO140" s="507">
        <f>INPUT!EL148</f>
        <v>0</v>
      </c>
      <c r="CP140" s="151">
        <f>INPUT!EM148</f>
        <v>5</v>
      </c>
      <c r="CQ140" s="507">
        <f>INPUT!EN148</f>
        <v>25</v>
      </c>
      <c r="CR140" s="151">
        <f>INPUT!EO148</f>
        <v>5</v>
      </c>
      <c r="CS140" s="507">
        <f>INPUT!EP148</f>
        <v>25</v>
      </c>
      <c r="CT140" s="151">
        <f>INPUT!EQ148</f>
        <v>5</v>
      </c>
      <c r="CU140" s="507">
        <f>INPUT!ER148</f>
        <v>0</v>
      </c>
      <c r="CV140" s="151">
        <f>INPUT!ES148</f>
        <v>5</v>
      </c>
      <c r="CW140" s="507">
        <f>INPUT!ET148</f>
        <v>25</v>
      </c>
      <c r="CX140" s="151">
        <f>INPUT!EU148</f>
        <v>5</v>
      </c>
      <c r="CY140" s="507">
        <f>INPUT!EV148</f>
        <v>0</v>
      </c>
      <c r="CZ140" s="151">
        <f>INPUT!EW148</f>
        <v>5</v>
      </c>
      <c r="DA140" s="507">
        <f>INPUT!EX148</f>
        <v>0</v>
      </c>
      <c r="DB140" s="507"/>
      <c r="DC140" s="151">
        <f>INPUT!FP148</f>
        <v>15.500000000000007</v>
      </c>
      <c r="DD140" s="687">
        <f>INPUT!FQ148</f>
        <v>-3.1249999999999556</v>
      </c>
      <c r="DE140" s="151">
        <f>INPUT!FR148</f>
        <v>19.500000000000007</v>
      </c>
      <c r="DF140" s="687">
        <f>INPUT!FS148</f>
        <v>25.806451612903203</v>
      </c>
      <c r="DG140" s="151">
        <f>INPUT!FT148</f>
        <v>17.899999999999991</v>
      </c>
      <c r="DH140" s="687">
        <f>INPUT!FU148</f>
        <v>-8.2051282051282861</v>
      </c>
      <c r="DI140" s="151">
        <f>INPUT!FV148</f>
        <v>15.400000000000006</v>
      </c>
      <c r="DJ140" s="687">
        <f>INPUT!FW148</f>
        <v>-13.966480446927299</v>
      </c>
      <c r="DK140" s="151">
        <f>INPUT!FX148</f>
        <v>11.999999999999993</v>
      </c>
      <c r="DL140" s="507">
        <f>INPUT!FY148</f>
        <v>-22.077922077922153</v>
      </c>
      <c r="DM140" s="151">
        <f>INPUT!FZ148</f>
        <v>17.800000000000018</v>
      </c>
      <c r="DN140" s="507">
        <f>INPUT!GA148</f>
        <v>48.333333333333584</v>
      </c>
      <c r="DO140" s="151">
        <f>INPUT!GB148</f>
        <v>13.899999999999977</v>
      </c>
      <c r="DP140" s="507">
        <f>INPUT!GC148</f>
        <v>-21.910112359550769</v>
      </c>
      <c r="DQ140" s="151">
        <f>INPUT!GD148</f>
        <v>13</v>
      </c>
      <c r="DR140" s="507">
        <f>INPUT!GE148</f>
        <v>-6.4748201438847408</v>
      </c>
      <c r="DS140" s="151">
        <f>INPUT!GF148</f>
        <v>10</v>
      </c>
      <c r="DT140" s="507">
        <f>INPUT!GG148</f>
        <v>-23.076923076923073</v>
      </c>
      <c r="DU140" s="151">
        <f>INPUT!GH148</f>
        <v>12</v>
      </c>
      <c r="DV140" s="507">
        <f>INPUT!GI148</f>
        <v>19.999999999999996</v>
      </c>
      <c r="DW140" s="151">
        <f>INPUT!GJ148</f>
        <v>11</v>
      </c>
      <c r="DX140" s="507">
        <f>INPUT!GK148</f>
        <v>-8.3333333333333375</v>
      </c>
      <c r="DY140" s="151">
        <f>INPUT!GL148</f>
        <v>17</v>
      </c>
      <c r="DZ140" s="507">
        <f>INPUT!GM148</f>
        <v>54.54545454545454</v>
      </c>
      <c r="EA140" s="151">
        <f>INPUT!GN148</f>
        <v>19</v>
      </c>
      <c r="EB140" s="507">
        <f>INPUT!GO148</f>
        <v>11.764705882352944</v>
      </c>
      <c r="EC140" s="151">
        <f>INPUT!GP148</f>
        <v>20</v>
      </c>
      <c r="ED140" s="507">
        <f>INPUT!GQ148</f>
        <v>5.2631578947368363</v>
      </c>
      <c r="EE140" s="151">
        <f>INPUT!GR148</f>
        <v>20</v>
      </c>
      <c r="EF140" s="507">
        <f>INPUT!GS148</f>
        <v>0</v>
      </c>
      <c r="EG140" s="151">
        <f>INPUT!GT148</f>
        <v>20</v>
      </c>
      <c r="EH140" s="507">
        <f>INPUT!GU148</f>
        <v>0</v>
      </c>
      <c r="EI140" s="151">
        <f>INPUT!GV148</f>
        <v>20</v>
      </c>
      <c r="EJ140" s="507">
        <f>INPUT!GW148</f>
        <v>0</v>
      </c>
      <c r="EK140" s="151">
        <f>INPUT!GX148</f>
        <v>20</v>
      </c>
      <c r="EL140" s="507">
        <f>INPUT!GY148</f>
        <v>0</v>
      </c>
      <c r="EM140" s="687">
        <f>INPUT!GZ148</f>
        <v>1.0311459317936089</v>
      </c>
    </row>
    <row r="141" spans="1:143" ht="12.75" hidden="1" customHeight="1" outlineLevel="1" x14ac:dyDescent="0.2">
      <c r="A141" s="700" t="str">
        <f>INPUT!B149</f>
        <v xml:space="preserve"> Total Revenues</v>
      </c>
      <c r="B141" s="151">
        <f>INPUT!AY149</f>
        <v>249.2</v>
      </c>
      <c r="C141" s="507">
        <f>INPUT!AZ149</f>
        <v>7.7388672719411966</v>
      </c>
      <c r="D141" s="151">
        <f>INPUT!BA149</f>
        <v>248.9</v>
      </c>
      <c r="E141" s="687">
        <f>INPUT!BB149</f>
        <v>6.2313273580879125</v>
      </c>
      <c r="F141" s="151">
        <f>INPUT!BC149</f>
        <v>245.1</v>
      </c>
      <c r="G141" s="687">
        <f>INPUT!BD149</f>
        <v>2.681189777963966</v>
      </c>
      <c r="H141" s="151">
        <f>INPUT!BE149</f>
        <v>245</v>
      </c>
      <c r="I141" s="687">
        <f>INPUT!BF149</f>
        <v>1.5754560530679917</v>
      </c>
      <c r="J141" s="151">
        <f>INPUT!BG149</f>
        <v>246.7</v>
      </c>
      <c r="K141" s="687">
        <f>INPUT!BH149</f>
        <v>-1.0032102728731895</v>
      </c>
      <c r="L141" s="151">
        <f>INPUT!BI149</f>
        <v>252</v>
      </c>
      <c r="M141" s="687">
        <f>INPUT!BJ149</f>
        <v>1.2454801124949677</v>
      </c>
      <c r="N141" s="151">
        <f>INPUT!BK149</f>
        <v>243.4</v>
      </c>
      <c r="O141" s="687">
        <f>INPUT!BL149</f>
        <v>-0.69359445124438368</v>
      </c>
      <c r="P141" s="151">
        <f>INPUT!BM149</f>
        <v>243.3</v>
      </c>
      <c r="Q141" s="687">
        <f>INPUT!BN149</f>
        <v>-0.69387755102040538</v>
      </c>
      <c r="R141" s="151">
        <f>INPUT!BO149</f>
        <v>237.7</v>
      </c>
      <c r="S141" s="687">
        <f>INPUT!BP149</f>
        <v>-3.6481556546412608</v>
      </c>
      <c r="T141" s="151">
        <f>INPUT!BQ149</f>
        <v>239.4</v>
      </c>
      <c r="U141" s="687">
        <f>INPUT!BR149</f>
        <v>-4.9999999999999929</v>
      </c>
      <c r="V141" s="151">
        <f>INPUT!BS149</f>
        <v>240.9</v>
      </c>
      <c r="W141" s="687">
        <f>INPUT!BT149</f>
        <v>-1.0271158586688589</v>
      </c>
      <c r="X141" s="151">
        <f>INPUT!BU149</f>
        <v>214.5</v>
      </c>
      <c r="Y141" s="687">
        <f>INPUT!BV149</f>
        <v>-11.837237977805181</v>
      </c>
      <c r="Z141" s="151">
        <f>INPUT!BW149</f>
        <v>218.5</v>
      </c>
      <c r="AA141" s="122">
        <f>INPUT!BX149</f>
        <v>-8.0774084981068519</v>
      </c>
      <c r="AB141" s="151">
        <f>INPUT!BY149</f>
        <v>223.5</v>
      </c>
      <c r="AC141" s="687">
        <f>INPUT!BZ149</f>
        <v>-6.6416040100250591</v>
      </c>
      <c r="AD141" s="151">
        <f>INPUT!CA149</f>
        <v>240.6</v>
      </c>
      <c r="AE141" s="687">
        <f>INPUT!CB149</f>
        <v>-0.12453300124533051</v>
      </c>
      <c r="AF141" s="151">
        <f>INPUT!CC149</f>
        <v>243.7</v>
      </c>
      <c r="AG141" s="687">
        <f>INPUT!CD149</f>
        <v>13.613053613053605</v>
      </c>
      <c r="AH141" s="151">
        <f>INPUT!CE149</f>
        <v>240.5</v>
      </c>
      <c r="AI141" s="507">
        <f>INPUT!CF149</f>
        <v>10.068649885583515</v>
      </c>
      <c r="AJ141" s="151">
        <f>INPUT!CG149</f>
        <v>245.3</v>
      </c>
      <c r="AK141" s="507">
        <f>INPUT!CH149</f>
        <v>9.7539149888143264</v>
      </c>
      <c r="AL141" s="151">
        <f>INPUT!CI149</f>
        <v>244.6</v>
      </c>
      <c r="AM141" s="507">
        <f>INPUT!CJ149</f>
        <v>1.6625103906899419</v>
      </c>
      <c r="AN141" s="151">
        <f>INPUT!CK149</f>
        <v>257.3</v>
      </c>
      <c r="AO141" s="507">
        <f>INPUT!CL149</f>
        <v>5.5806319244973368</v>
      </c>
      <c r="AP141" s="151">
        <f>INPUT!CM149</f>
        <v>263</v>
      </c>
      <c r="AQ141" s="507">
        <f>INPUT!CN149</f>
        <v>9.3555093555093514</v>
      </c>
      <c r="AR141" s="151">
        <f>INPUT!CO149</f>
        <v>259.7</v>
      </c>
      <c r="AS141" s="507">
        <f>INPUT!CP149</f>
        <v>5.8703628210354575</v>
      </c>
      <c r="AT141" s="151">
        <f>INPUT!CQ149</f>
        <v>247.8</v>
      </c>
      <c r="AU141" s="507">
        <f>INPUT!CR149</f>
        <v>1.3082583810302584</v>
      </c>
      <c r="AV141" s="151">
        <f>INPUT!CS149</f>
        <v>246</v>
      </c>
      <c r="AW141" s="507">
        <f>INPUT!CT149</f>
        <v>-4.3917605907501045</v>
      </c>
      <c r="AX141" s="151">
        <f>INPUT!CU149</f>
        <v>252</v>
      </c>
      <c r="AY141" s="507">
        <f>INPUT!CV149</f>
        <v>-4.1825095057034245</v>
      </c>
      <c r="AZ141" s="151">
        <f>INPUT!CW149</f>
        <v>258</v>
      </c>
      <c r="BA141" s="507">
        <f>INPUT!CX149</f>
        <v>-0.65460146322680046</v>
      </c>
      <c r="BB141" s="151">
        <f>INPUT!CY149</f>
        <v>255</v>
      </c>
      <c r="BC141" s="507">
        <f>INPUT!CZ149</f>
        <v>2.9055690072639084</v>
      </c>
      <c r="BD141" s="151">
        <f>INPUT!DA149</f>
        <v>259</v>
      </c>
      <c r="BE141" s="507">
        <f>INPUT!DB149</f>
        <v>5.2845528455284452</v>
      </c>
      <c r="BF141" s="151">
        <f>INPUT!DC149</f>
        <v>260</v>
      </c>
      <c r="BG141" s="507">
        <f>INPUT!DD149</f>
        <v>3.1746031746031855</v>
      </c>
      <c r="BH141" s="151">
        <f>INPUT!DE149</f>
        <v>271</v>
      </c>
      <c r="BI141" s="507">
        <f>INPUT!DF149</f>
        <v>5.0387596899224896</v>
      </c>
      <c r="BJ141" s="151">
        <f>INPUT!DG149</f>
        <v>269</v>
      </c>
      <c r="BK141" s="507">
        <f>INPUT!DH149</f>
        <v>5.4901960784313752</v>
      </c>
      <c r="BL141" s="151">
        <f>INPUT!DI149</f>
        <v>271</v>
      </c>
      <c r="BM141" s="507">
        <f>INPUT!DJ149</f>
        <v>4.6332046332046239</v>
      </c>
      <c r="BN141" s="151">
        <f>INPUT!DK149</f>
        <v>271</v>
      </c>
      <c r="BO141" s="507">
        <f>INPUT!DL149</f>
        <v>4.2307692307692379</v>
      </c>
      <c r="BP141" s="151">
        <f>INPUT!DM149</f>
        <v>270</v>
      </c>
      <c r="BQ141" s="507">
        <f>INPUT!DN149</f>
        <v>-0.36900369003689537</v>
      </c>
      <c r="BR141" s="151">
        <f>INPUT!DO149</f>
        <v>272</v>
      </c>
      <c r="BS141" s="507">
        <f>INPUT!DP149</f>
        <v>1.1152416356877248</v>
      </c>
      <c r="BT141" s="151">
        <f>INPUT!DQ149</f>
        <v>277</v>
      </c>
      <c r="BU141" s="507">
        <f>INPUT!DR149</f>
        <v>2.2140221402213944</v>
      </c>
      <c r="BV141" s="151">
        <f>INPUT!DS149</f>
        <v>273</v>
      </c>
      <c r="BW141" s="507">
        <f>INPUT!DT149</f>
        <v>0.73800738007379074</v>
      </c>
      <c r="BX141" s="151">
        <f>INPUT!DU149</f>
        <v>270</v>
      </c>
      <c r="BY141" s="507">
        <f>INPUT!DV149</f>
        <v>0</v>
      </c>
      <c r="BZ141" s="151">
        <f>INPUT!DW149</f>
        <v>282</v>
      </c>
      <c r="CA141" s="507">
        <f>INPUT!DX149</f>
        <v>282</v>
      </c>
      <c r="CB141" s="151">
        <f>INPUT!DY149</f>
        <v>276</v>
      </c>
      <c r="CC141" s="507">
        <f>INPUT!DZ149</f>
        <v>-0.36101083032491488</v>
      </c>
      <c r="CD141" s="151">
        <f>INPUT!EA149</f>
        <v>267</v>
      </c>
      <c r="CE141" s="507">
        <f>INPUT!EB149</f>
        <v>-2.1978021978022011</v>
      </c>
      <c r="CF141" s="151">
        <f>INPUT!EC149</f>
        <v>270</v>
      </c>
      <c r="CG141" s="507">
        <f>INPUT!ED149</f>
        <v>0</v>
      </c>
      <c r="CH141" s="151">
        <f>INPUT!EE149</f>
        <v>282</v>
      </c>
      <c r="CI141" s="507">
        <f>INPUT!EF149</f>
        <v>0</v>
      </c>
      <c r="CJ141" s="151">
        <f>INPUT!EG149</f>
        <v>284</v>
      </c>
      <c r="CK141" s="507">
        <f>INPUT!EH149</f>
        <v>2.8985507246376718</v>
      </c>
      <c r="CL141" s="151">
        <f>INPUT!EI149</f>
        <v>282</v>
      </c>
      <c r="CM141" s="507">
        <f>INPUT!EJ149</f>
        <v>5.6179775280898792</v>
      </c>
      <c r="CN141" s="151">
        <f>INPUT!EK149</f>
        <v>290</v>
      </c>
      <c r="CO141" s="507">
        <f>INPUT!EL149</f>
        <v>7.4074074074074181</v>
      </c>
      <c r="CP141" s="151">
        <f>INPUT!EM149</f>
        <v>291</v>
      </c>
      <c r="CQ141" s="507">
        <f>INPUT!EN149</f>
        <v>3.1914893617021267</v>
      </c>
      <c r="CR141" s="151">
        <f>INPUT!EO149</f>
        <v>302</v>
      </c>
      <c r="CS141" s="507">
        <f>INPUT!EP149</f>
        <v>6.3380281690140761</v>
      </c>
      <c r="CT141" s="151">
        <f>INPUT!EQ149</f>
        <v>307.78471584869192</v>
      </c>
      <c r="CU141" s="507">
        <f>INPUT!ER149</f>
        <v>9.1435162584013963</v>
      </c>
      <c r="CV141" s="151">
        <f>INPUT!ES149</f>
        <v>308.80376829921028</v>
      </c>
      <c r="CW141" s="507">
        <f>INPUT!ET149</f>
        <v>6.4840580342104381</v>
      </c>
      <c r="CX141" s="151">
        <f>INPUT!EU149</f>
        <v>313.50891828760558</v>
      </c>
      <c r="CY141" s="507">
        <f>INPUT!EV149</f>
        <v>7.7350234665311213</v>
      </c>
      <c r="CZ141" s="151">
        <f>INPUT!EW149</f>
        <v>317.2600518623675</v>
      </c>
      <c r="DA141" s="507">
        <f>INPUT!EX149</f>
        <v>5.0529973054197042</v>
      </c>
      <c r="DB141" s="507"/>
      <c r="DC141" s="151">
        <f>INPUT!FP149</f>
        <v>945.5</v>
      </c>
      <c r="DD141" s="687">
        <f>INPUT!FQ149</f>
        <v>2.9956427015250586</v>
      </c>
      <c r="DE141" s="151">
        <f>INPUT!FR149</f>
        <v>988.2</v>
      </c>
      <c r="DF141" s="687">
        <f>INPUT!FS149</f>
        <v>4.5161290322580649</v>
      </c>
      <c r="DG141" s="151">
        <f>INPUT!FT149</f>
        <v>985.4</v>
      </c>
      <c r="DH141" s="687">
        <f>INPUT!FU149</f>
        <v>-0.28334345274236838</v>
      </c>
      <c r="DI141" s="151">
        <f>INPUT!FV149</f>
        <v>932.5</v>
      </c>
      <c r="DJ141" s="687">
        <f>INPUT!FW149</f>
        <v>-5.3683783235234372</v>
      </c>
      <c r="DK141" s="151">
        <f>INPUT!FX149</f>
        <v>926.30000000000007</v>
      </c>
      <c r="DL141" s="507">
        <f>INPUT!FY149</f>
        <v>-0.66487935656835973</v>
      </c>
      <c r="DM141" s="151">
        <f>INPUT!FZ149</f>
        <v>987.7</v>
      </c>
      <c r="DN141" s="507">
        <f>INPUT!GA149</f>
        <v>6.6285220770808673</v>
      </c>
      <c r="DO141" s="151">
        <f>INPUT!GB149</f>
        <v>1016.5</v>
      </c>
      <c r="DP141" s="507">
        <f>INPUT!GC149</f>
        <v>2.9158651412372061</v>
      </c>
      <c r="DQ141" s="151">
        <f>INPUT!GD149</f>
        <v>1024</v>
      </c>
      <c r="DR141" s="507">
        <f>INPUT!GE149</f>
        <v>0.73782587309394465</v>
      </c>
      <c r="DS141" s="151">
        <f>INPUT!GF149</f>
        <v>1071</v>
      </c>
      <c r="DT141" s="507">
        <f>INPUT!GG149</f>
        <v>4.58984375</v>
      </c>
      <c r="DU141" s="151">
        <f>INPUT!GH149</f>
        <v>1090</v>
      </c>
      <c r="DV141" s="507">
        <f>INPUT!GI149</f>
        <v>1.7740429505135324</v>
      </c>
      <c r="DW141" s="151">
        <f>INPUT!GJ149</f>
        <v>1101</v>
      </c>
      <c r="DX141" s="507">
        <f>INPUT!GK149</f>
        <v>1.0091743119265972</v>
      </c>
      <c r="DY141" s="151">
        <f>INPUT!GL149</f>
        <v>1103</v>
      </c>
      <c r="DZ141" s="507">
        <f>INPUT!GM149</f>
        <v>0.18165304268846771</v>
      </c>
      <c r="EA141" s="151">
        <f>INPUT!GN149</f>
        <v>1165</v>
      </c>
      <c r="EB141" s="507">
        <f>INPUT!GO149</f>
        <v>5.6210335448775961</v>
      </c>
      <c r="EC141" s="151">
        <f>INPUT!GP149</f>
        <v>1247.3574542978754</v>
      </c>
      <c r="ED141" s="507">
        <f>INPUT!GQ149</f>
        <v>7.0693093817918884</v>
      </c>
      <c r="EE141" s="151">
        <f>INPUT!GR149</f>
        <v>1291.3320111940436</v>
      </c>
      <c r="EF141" s="507">
        <f>INPUT!GS149</f>
        <v>3.5254174129997873</v>
      </c>
      <c r="EG141" s="151">
        <f>INPUT!GT149</f>
        <v>1330.6251105899116</v>
      </c>
      <c r="EH141" s="507">
        <f>INPUT!GU149</f>
        <v>3.0428347671436651</v>
      </c>
      <c r="EI141" s="151">
        <f>INPUT!GV149</f>
        <v>1374.8466622183257</v>
      </c>
      <c r="EJ141" s="507">
        <f>INPUT!GW149</f>
        <v>3.3233666850619681</v>
      </c>
      <c r="EK141" s="151">
        <f>INPUT!GX149</f>
        <v>1423.8812087068345</v>
      </c>
      <c r="EL141" s="507">
        <f>INPUT!GY149</f>
        <v>3.566546571047513</v>
      </c>
      <c r="EM141" s="687">
        <f>INPUT!GZ149</f>
        <v>4.0949274029697724</v>
      </c>
    </row>
    <row r="142" spans="1:143" ht="12.75" hidden="1" customHeight="1" outlineLevel="1" x14ac:dyDescent="0.2">
      <c r="A142" s="689"/>
      <c r="B142" s="16"/>
      <c r="C142" s="507"/>
      <c r="D142" s="16"/>
      <c r="E142" s="687"/>
      <c r="F142" s="16"/>
      <c r="G142" s="687"/>
      <c r="H142" s="16"/>
      <c r="I142" s="687"/>
      <c r="J142" s="16"/>
      <c r="K142" s="687"/>
      <c r="L142" s="16"/>
      <c r="M142" s="687"/>
      <c r="N142" s="16"/>
      <c r="O142" s="687"/>
      <c r="P142" s="16"/>
      <c r="Q142" s="687"/>
      <c r="R142" s="16"/>
      <c r="S142" s="687"/>
      <c r="T142" s="16"/>
      <c r="U142" s="687"/>
      <c r="V142" s="16"/>
      <c r="W142" s="687"/>
      <c r="X142" s="16"/>
      <c r="Y142" s="687"/>
      <c r="Z142" s="16"/>
      <c r="AA142" s="122"/>
      <c r="AB142" s="16"/>
      <c r="AC142" s="687"/>
      <c r="AD142" s="16"/>
      <c r="AE142" s="687"/>
      <c r="AF142" s="16"/>
      <c r="AG142" s="687"/>
      <c r="AH142" s="16"/>
      <c r="AI142" s="507"/>
      <c r="AJ142" s="16"/>
      <c r="AK142" s="507"/>
      <c r="AL142" s="16"/>
      <c r="AM142" s="507"/>
      <c r="AN142" s="16"/>
      <c r="AO142" s="507"/>
      <c r="AP142" s="16"/>
      <c r="AQ142" s="507"/>
      <c r="AR142" s="16"/>
      <c r="AS142" s="507"/>
      <c r="AT142" s="16"/>
      <c r="AU142" s="507"/>
      <c r="AV142" s="16"/>
      <c r="AW142" s="507"/>
      <c r="AX142" s="16"/>
      <c r="AY142" s="507"/>
      <c r="AZ142" s="16"/>
      <c r="BA142" s="507"/>
      <c r="BB142" s="16"/>
      <c r="BC142" s="507"/>
      <c r="BD142" s="16"/>
      <c r="BE142" s="507"/>
      <c r="BF142" s="16"/>
      <c r="BG142" s="507"/>
      <c r="BH142" s="16"/>
      <c r="BI142" s="507"/>
      <c r="BJ142" s="16"/>
      <c r="BK142" s="507"/>
      <c r="BL142" s="16"/>
      <c r="BM142" s="507"/>
      <c r="BN142" s="16"/>
      <c r="BO142" s="507"/>
      <c r="BP142" s="16"/>
      <c r="BQ142" s="507"/>
      <c r="BR142" s="16"/>
      <c r="BS142" s="507"/>
      <c r="BT142" s="16"/>
      <c r="BU142" s="507"/>
      <c r="BV142" s="16"/>
      <c r="BW142" s="507"/>
      <c r="BX142" s="16"/>
      <c r="BY142" s="507"/>
      <c r="BZ142" s="16"/>
      <c r="CA142" s="507"/>
      <c r="CB142" s="16"/>
      <c r="CC142" s="507"/>
      <c r="CD142" s="16"/>
      <c r="CE142" s="507"/>
      <c r="CF142" s="16"/>
      <c r="CG142" s="507"/>
      <c r="CH142" s="16"/>
      <c r="CI142" s="507"/>
      <c r="CJ142" s="16"/>
      <c r="CK142" s="507"/>
      <c r="CL142" s="16"/>
      <c r="CM142" s="507"/>
      <c r="CN142" s="16"/>
      <c r="CO142" s="507"/>
      <c r="CP142" s="16"/>
      <c r="CQ142" s="507"/>
      <c r="CR142" s="16"/>
      <c r="CS142" s="507"/>
      <c r="CT142" s="16"/>
      <c r="CU142" s="507"/>
      <c r="CV142" s="16"/>
      <c r="CW142" s="507"/>
      <c r="CX142" s="16"/>
      <c r="CY142" s="507"/>
      <c r="CZ142" s="16"/>
      <c r="DA142" s="507"/>
      <c r="DB142" s="507"/>
      <c r="DC142" s="16"/>
      <c r="DD142" s="687"/>
      <c r="DE142" s="16"/>
      <c r="DF142" s="687"/>
      <c r="DG142" s="16"/>
      <c r="DH142" s="687"/>
      <c r="DI142" s="16"/>
      <c r="DJ142" s="687"/>
      <c r="DK142" s="16"/>
      <c r="DL142" s="507"/>
      <c r="DM142" s="16"/>
      <c r="DN142" s="507"/>
      <c r="DO142" s="16"/>
      <c r="DP142" s="507"/>
      <c r="DQ142" s="16"/>
      <c r="DR142" s="507"/>
      <c r="DS142" s="16"/>
      <c r="DT142" s="507"/>
      <c r="DU142" s="16"/>
      <c r="DV142" s="507"/>
      <c r="DW142" s="16"/>
      <c r="DX142" s="507"/>
      <c r="DY142" s="16"/>
      <c r="DZ142" s="507"/>
      <c r="EA142" s="16"/>
      <c r="EB142" s="507"/>
      <c r="EC142" s="16"/>
      <c r="ED142" s="507"/>
      <c r="EE142" s="16"/>
      <c r="EF142" s="507"/>
      <c r="EG142" s="16"/>
      <c r="EH142" s="507"/>
      <c r="EI142" s="16"/>
      <c r="EJ142" s="507"/>
      <c r="EK142" s="16"/>
      <c r="EL142" s="507"/>
      <c r="EM142" s="687"/>
    </row>
    <row r="143" spans="1:143" ht="12.75" hidden="1" customHeight="1" outlineLevel="1" x14ac:dyDescent="0.2">
      <c r="A143" s="700" t="s">
        <v>113</v>
      </c>
      <c r="B143" s="16"/>
      <c r="C143" s="507"/>
      <c r="D143" s="16"/>
      <c r="E143" s="687"/>
      <c r="F143" s="16"/>
      <c r="G143" s="687"/>
      <c r="H143" s="16"/>
      <c r="I143" s="687"/>
      <c r="J143" s="16"/>
      <c r="K143" s="687"/>
      <c r="L143" s="16"/>
      <c r="M143" s="687"/>
      <c r="N143" s="16"/>
      <c r="O143" s="687"/>
      <c r="P143" s="16"/>
      <c r="Q143" s="687"/>
      <c r="R143" s="16"/>
      <c r="S143" s="687"/>
      <c r="T143" s="16"/>
      <c r="U143" s="687"/>
      <c r="V143" s="16"/>
      <c r="W143" s="687"/>
      <c r="X143" s="16"/>
      <c r="Y143" s="687"/>
      <c r="Z143" s="16"/>
      <c r="AA143" s="122"/>
      <c r="AB143" s="16"/>
      <c r="AC143" s="687"/>
      <c r="AD143" s="16"/>
      <c r="AE143" s="687"/>
      <c r="AF143" s="16"/>
      <c r="AG143" s="687"/>
      <c r="AH143" s="16"/>
      <c r="AI143" s="507"/>
      <c r="AJ143" s="16"/>
      <c r="AK143" s="507"/>
      <c r="AL143" s="16"/>
      <c r="AM143" s="507"/>
      <c r="AN143" s="16"/>
      <c r="AO143" s="507"/>
      <c r="AP143" s="16"/>
      <c r="AQ143" s="507"/>
      <c r="AR143" s="16"/>
      <c r="AS143" s="507"/>
      <c r="AT143" s="16"/>
      <c r="AU143" s="507"/>
      <c r="AV143" s="16"/>
      <c r="AW143" s="507"/>
      <c r="AX143" s="16"/>
      <c r="AY143" s="507"/>
      <c r="AZ143" s="16"/>
      <c r="BA143" s="507"/>
      <c r="BB143" s="16"/>
      <c r="BC143" s="507"/>
      <c r="BD143" s="16"/>
      <c r="BE143" s="507"/>
      <c r="BF143" s="16"/>
      <c r="BG143" s="507"/>
      <c r="BH143" s="16"/>
      <c r="BI143" s="507"/>
      <c r="BJ143" s="16"/>
      <c r="BK143" s="507"/>
      <c r="BL143" s="16"/>
      <c r="BM143" s="507"/>
      <c r="BN143" s="16"/>
      <c r="BO143" s="507"/>
      <c r="BP143" s="16"/>
      <c r="BQ143" s="507"/>
      <c r="BR143" s="16"/>
      <c r="BS143" s="507"/>
      <c r="BT143" s="16"/>
      <c r="BU143" s="507"/>
      <c r="BV143" s="16"/>
      <c r="BW143" s="507"/>
      <c r="BX143" s="16"/>
      <c r="BY143" s="507"/>
      <c r="BZ143" s="16"/>
      <c r="CA143" s="507"/>
      <c r="CB143" s="16"/>
      <c r="CC143" s="507"/>
      <c r="CD143" s="16"/>
      <c r="CE143" s="507"/>
      <c r="CF143" s="16"/>
      <c r="CG143" s="507"/>
      <c r="CH143" s="16"/>
      <c r="CI143" s="507"/>
      <c r="CJ143" s="16"/>
      <c r="CK143" s="507"/>
      <c r="CL143" s="16"/>
      <c r="CM143" s="507"/>
      <c r="CN143" s="16"/>
      <c r="CO143" s="507"/>
      <c r="CP143" s="16"/>
      <c r="CQ143" s="507"/>
      <c r="CR143" s="16"/>
      <c r="CS143" s="507"/>
      <c r="CT143" s="16"/>
      <c r="CU143" s="507"/>
      <c r="CV143" s="16"/>
      <c r="CW143" s="507"/>
      <c r="CX143" s="16"/>
      <c r="CY143" s="507"/>
      <c r="CZ143" s="16"/>
      <c r="DA143" s="507"/>
      <c r="DB143" s="507"/>
      <c r="DC143" s="16"/>
      <c r="DD143" s="687"/>
      <c r="DE143" s="16"/>
      <c r="DF143" s="687"/>
      <c r="DG143" s="16"/>
      <c r="DH143" s="687"/>
      <c r="DI143" s="16"/>
      <c r="DJ143" s="687"/>
      <c r="DK143" s="16"/>
      <c r="DL143" s="507"/>
      <c r="DM143" s="16"/>
      <c r="DN143" s="507"/>
      <c r="DO143" s="16"/>
      <c r="DP143" s="507"/>
      <c r="DQ143" s="16"/>
      <c r="DR143" s="507"/>
      <c r="DS143" s="16"/>
      <c r="DT143" s="507"/>
      <c r="DU143" s="16"/>
      <c r="DV143" s="507"/>
      <c r="DW143" s="16"/>
      <c r="DX143" s="507"/>
      <c r="DY143" s="16"/>
      <c r="DZ143" s="507"/>
      <c r="EA143" s="16"/>
      <c r="EB143" s="507"/>
      <c r="EC143" s="16"/>
      <c r="ED143" s="507"/>
      <c r="EE143" s="16"/>
      <c r="EF143" s="507"/>
      <c r="EG143" s="16"/>
      <c r="EH143" s="507"/>
      <c r="EI143" s="16"/>
      <c r="EJ143" s="507"/>
      <c r="EK143" s="16"/>
      <c r="EL143" s="507"/>
      <c r="EM143" s="687"/>
    </row>
    <row r="144" spans="1:143" ht="12.75" hidden="1" customHeight="1" outlineLevel="1" x14ac:dyDescent="0.2">
      <c r="A144" s="123" t="str">
        <f>INPUT!B164</f>
        <v>Interest Credited To Policies</v>
      </c>
      <c r="B144" s="151">
        <f>INPUT!AY164</f>
        <v>100.7</v>
      </c>
      <c r="C144" s="507">
        <f>INPUT!AZ164</f>
        <v>1.1044176706827447</v>
      </c>
      <c r="D144" s="151">
        <f>INPUT!BA164</f>
        <v>102.4</v>
      </c>
      <c r="E144" s="687">
        <f>INPUT!BB164</f>
        <v>1.9920318725099584</v>
      </c>
      <c r="F144" s="151">
        <f>INPUT!BC164</f>
        <v>103.1</v>
      </c>
      <c r="G144" s="687">
        <f>INPUT!BD164</f>
        <v>2.3833167825223267</v>
      </c>
      <c r="H144" s="151">
        <f>INPUT!BE164</f>
        <v>104.4</v>
      </c>
      <c r="I144" s="687">
        <f>INPUT!BF164</f>
        <v>3.264094955489627</v>
      </c>
      <c r="J144" s="151">
        <f>INPUT!BG164</f>
        <v>104.3</v>
      </c>
      <c r="K144" s="687">
        <f>INPUT!BH164</f>
        <v>3.5749751737835123</v>
      </c>
      <c r="L144" s="151">
        <f>INPUT!BI164</f>
        <v>104.6</v>
      </c>
      <c r="M144" s="687">
        <f>INPUT!BJ164</f>
        <v>2.1484374999999778</v>
      </c>
      <c r="N144" s="151">
        <f>INPUT!BK164</f>
        <v>104.6</v>
      </c>
      <c r="O144" s="687">
        <f>INPUT!BL164</f>
        <v>1.4548981571290032</v>
      </c>
      <c r="P144" s="151">
        <f>INPUT!BM164</f>
        <v>104.8</v>
      </c>
      <c r="Q144" s="687">
        <f>INPUT!BN164</f>
        <v>0.38314176245208831</v>
      </c>
      <c r="R144" s="151">
        <f>INPUT!BO164</f>
        <v>105.9</v>
      </c>
      <c r="S144" s="687">
        <f>INPUT!BP164</f>
        <v>1.5340364333652934</v>
      </c>
      <c r="T144" s="151">
        <f>INPUT!BQ164</f>
        <v>107</v>
      </c>
      <c r="U144" s="687">
        <f>INPUT!BR164</f>
        <v>2.2944550669216079</v>
      </c>
      <c r="V144" s="151">
        <f>INPUT!BS164</f>
        <v>106.8</v>
      </c>
      <c r="W144" s="687">
        <f>INPUT!BT164</f>
        <v>2.1032504780114758</v>
      </c>
      <c r="X144" s="151">
        <f>INPUT!BU164</f>
        <v>109.8</v>
      </c>
      <c r="Y144" s="687">
        <f>INPUT!BV164</f>
        <v>4.7709923664122078</v>
      </c>
      <c r="Z144" s="151">
        <f>INPUT!BW164</f>
        <v>111.5</v>
      </c>
      <c r="AA144" s="122">
        <f>INPUT!BX164</f>
        <v>5.2880075542965033</v>
      </c>
      <c r="AB144" s="151">
        <f>INPUT!BY164</f>
        <v>112</v>
      </c>
      <c r="AC144" s="687">
        <f>INPUT!BZ164</f>
        <v>4.6728971962616717</v>
      </c>
      <c r="AD144" s="151">
        <f>INPUT!CA164</f>
        <v>110.9</v>
      </c>
      <c r="AE144" s="687">
        <f>INPUT!CB164</f>
        <v>3.838951310861427</v>
      </c>
      <c r="AF144" s="151">
        <f>INPUT!CC164</f>
        <v>111.1</v>
      </c>
      <c r="AG144" s="687">
        <f>INPUT!CD164</f>
        <v>1.1839708561020013</v>
      </c>
      <c r="AH144" s="151">
        <f>INPUT!CE164</f>
        <v>110.4</v>
      </c>
      <c r="AI144" s="507">
        <f>INPUT!CF164</f>
        <v>-0.98654708520178325</v>
      </c>
      <c r="AJ144" s="151">
        <f>INPUT!CG164</f>
        <v>110</v>
      </c>
      <c r="AK144" s="507">
        <f>INPUT!CH164</f>
        <v>-1.7857142857142905</v>
      </c>
      <c r="AL144" s="151">
        <f>INPUT!CI164</f>
        <v>110.2</v>
      </c>
      <c r="AM144" s="507">
        <f>INPUT!CJ164</f>
        <v>-0.63119927862940184</v>
      </c>
      <c r="AN144" s="151">
        <f>INPUT!CK164</f>
        <v>109.4</v>
      </c>
      <c r="AO144" s="507">
        <f>INPUT!CL164</f>
        <v>-1.5301530153015164</v>
      </c>
      <c r="AP144" s="151">
        <f>INPUT!CM164</f>
        <v>108</v>
      </c>
      <c r="AQ144" s="507">
        <f>INPUT!CN164</f>
        <v>-2.1739130434782705</v>
      </c>
      <c r="AR144" s="151">
        <f>INPUT!CO164</f>
        <v>108.6</v>
      </c>
      <c r="AS144" s="507">
        <f>INPUT!CP164</f>
        <v>-1.2727272727272809</v>
      </c>
      <c r="AT144" s="151">
        <f>INPUT!CQ164</f>
        <v>109.5</v>
      </c>
      <c r="AU144" s="507">
        <f>INPUT!CR164</f>
        <v>-0.63520871143375457</v>
      </c>
      <c r="AV144" s="151">
        <f>INPUT!CS164</f>
        <v>112</v>
      </c>
      <c r="AW144" s="507">
        <f>INPUT!CT164</f>
        <v>2.3765996343692919</v>
      </c>
      <c r="AX144" s="151">
        <f>INPUT!CU164</f>
        <v>111</v>
      </c>
      <c r="AY144" s="507">
        <f>INPUT!CV164</f>
        <v>2.7777777777777679</v>
      </c>
      <c r="AZ144" s="151">
        <f>INPUT!CW164</f>
        <v>112</v>
      </c>
      <c r="BA144" s="507">
        <f>INPUT!CX164</f>
        <v>3.130755064456725</v>
      </c>
      <c r="BB144" s="151">
        <f>INPUT!CY164</f>
        <v>114</v>
      </c>
      <c r="BC144" s="507">
        <f>INPUT!CZ164</f>
        <v>4.1095890410958846</v>
      </c>
      <c r="BD144" s="151">
        <f>INPUT!DA164</f>
        <v>115</v>
      </c>
      <c r="BE144" s="507">
        <f>INPUT!DB164</f>
        <v>2.6785714285714191</v>
      </c>
      <c r="BF144" s="151">
        <f>INPUT!DC164</f>
        <v>117</v>
      </c>
      <c r="BG144" s="507">
        <f>INPUT!DD164</f>
        <v>5.4054054054053946</v>
      </c>
      <c r="BH144" s="151">
        <f>INPUT!DE164</f>
        <v>117</v>
      </c>
      <c r="BI144" s="507">
        <f>INPUT!DF164</f>
        <v>4.4642857142857206</v>
      </c>
      <c r="BJ144" s="151">
        <f>INPUT!DG164</f>
        <v>118</v>
      </c>
      <c r="BK144" s="507">
        <f>INPUT!DH164</f>
        <v>3.5087719298245723</v>
      </c>
      <c r="BL144" s="151">
        <f>INPUT!DI164</f>
        <v>118</v>
      </c>
      <c r="BM144" s="507">
        <f>INPUT!DJ164</f>
        <v>2.6086956521739202</v>
      </c>
      <c r="BN144" s="151">
        <f>INPUT!DK164</f>
        <v>118</v>
      </c>
      <c r="BO144" s="507">
        <f>INPUT!DL164</f>
        <v>0.85470085470085166</v>
      </c>
      <c r="BP144" s="151">
        <f>INPUT!DM164</f>
        <v>118</v>
      </c>
      <c r="BQ144" s="507">
        <f>INPUT!DN164</f>
        <v>0.85470085470085166</v>
      </c>
      <c r="BR144" s="151">
        <f>INPUT!DO164</f>
        <v>118</v>
      </c>
      <c r="BS144" s="507">
        <f>INPUT!DP164</f>
        <v>0</v>
      </c>
      <c r="BT144" s="151">
        <f>INPUT!DQ164</f>
        <v>119</v>
      </c>
      <c r="BU144" s="507">
        <f>INPUT!DR164</f>
        <v>0.84745762711864181</v>
      </c>
      <c r="BV144" s="151">
        <f>INPUT!DS164</f>
        <v>123</v>
      </c>
      <c r="BW144" s="507">
        <f>INPUT!DT164</f>
        <v>4.2372881355932313</v>
      </c>
      <c r="BX144" s="151">
        <f>INPUT!DU164</f>
        <v>123</v>
      </c>
      <c r="BY144" s="507">
        <f>INPUT!DV164</f>
        <v>4.2372881355932313</v>
      </c>
      <c r="BZ144" s="151">
        <f>INPUT!DW164</f>
        <v>124</v>
      </c>
      <c r="CA144" s="507">
        <f>INPUT!DX164</f>
        <v>124</v>
      </c>
      <c r="CB144" s="151">
        <f>INPUT!DY164</f>
        <v>126</v>
      </c>
      <c r="CC144" s="507">
        <f>INPUT!DZ164</f>
        <v>5.8823529411764719</v>
      </c>
      <c r="CD144" s="151">
        <f>INPUT!EA164</f>
        <v>125</v>
      </c>
      <c r="CE144" s="507">
        <f>INPUT!EB164</f>
        <v>1.6260162601626105</v>
      </c>
      <c r="CF144" s="151">
        <f>INPUT!EC164</f>
        <v>127</v>
      </c>
      <c r="CG144" s="507">
        <f>INPUT!ED164</f>
        <v>3.2520325203251987</v>
      </c>
      <c r="CH144" s="151">
        <f>INPUT!EE164</f>
        <v>128</v>
      </c>
      <c r="CI144" s="507">
        <f>INPUT!EF164</f>
        <v>3.2258064516129004</v>
      </c>
      <c r="CJ144" s="151">
        <f>INPUT!EG164</f>
        <v>134</v>
      </c>
      <c r="CK144" s="507">
        <f>INPUT!EH164</f>
        <v>6.3492063492063489</v>
      </c>
      <c r="CL144" s="151">
        <f>INPUT!EI164</f>
        <v>132</v>
      </c>
      <c r="CM144" s="507">
        <f>INPUT!EJ164</f>
        <v>5.600000000000005</v>
      </c>
      <c r="CN144" s="151">
        <f>INPUT!EK164</f>
        <v>134</v>
      </c>
      <c r="CO144" s="507">
        <f>INPUT!EL164</f>
        <v>5.5118110236220375</v>
      </c>
      <c r="CP144" s="151">
        <f>INPUT!EM164</f>
        <v>136</v>
      </c>
      <c r="CQ144" s="507">
        <f>INPUT!EN164</f>
        <v>6.25</v>
      </c>
      <c r="CR144" s="151">
        <f>INPUT!EO164</f>
        <v>136</v>
      </c>
      <c r="CS144" s="507">
        <f>INPUT!EP164</f>
        <v>1.4925373134328401</v>
      </c>
      <c r="CT144" s="151">
        <f>INPUT!EQ164</f>
        <v>138.44075453704528</v>
      </c>
      <c r="CU144" s="507">
        <f>INPUT!ER164</f>
        <v>4.8793594977615706</v>
      </c>
      <c r="CV144" s="151">
        <f>INPUT!ES164</f>
        <v>139.68270318044802</v>
      </c>
      <c r="CW144" s="507">
        <f>INPUT!ET164</f>
        <v>4.2408232689910674</v>
      </c>
      <c r="CX144" s="151">
        <f>INPUT!EU164</f>
        <v>142.64291910150533</v>
      </c>
      <c r="CY144" s="507">
        <f>INPUT!EV164</f>
        <v>4.8844993393421632</v>
      </c>
      <c r="CZ144" s="151">
        <f>INPUT!EW164</f>
        <v>145.19299027991809</v>
      </c>
      <c r="DA144" s="507">
        <f>INPUT!EX164</f>
        <v>6.759551676410358</v>
      </c>
      <c r="DB144" s="507"/>
      <c r="DC144" s="151">
        <f>INPUT!FP164</f>
        <v>401.79999999999995</v>
      </c>
      <c r="DD144" s="687">
        <f>INPUT!FQ164</f>
        <v>1.2090680100755646</v>
      </c>
      <c r="DE144" s="151">
        <f>INPUT!FR164</f>
        <v>410.6</v>
      </c>
      <c r="DF144" s="687">
        <f>INPUT!FS164</f>
        <v>2.1901443504231066</v>
      </c>
      <c r="DG144" s="151">
        <f>INPUT!FT164</f>
        <v>418.3</v>
      </c>
      <c r="DH144" s="687">
        <f>INPUT!FU164</f>
        <v>1.8753044325377388</v>
      </c>
      <c r="DI144" s="151">
        <f>INPUT!FV164</f>
        <v>429.5</v>
      </c>
      <c r="DJ144" s="687">
        <f>INPUT!FW164</f>
        <v>2.6775041836002877</v>
      </c>
      <c r="DK144" s="151">
        <f>INPUT!FX164</f>
        <v>445.5</v>
      </c>
      <c r="DL144" s="507">
        <f>INPUT!FY164</f>
        <v>3.7252619324796177</v>
      </c>
      <c r="DM144" s="151">
        <f>INPUT!FZ164</f>
        <v>440</v>
      </c>
      <c r="DN144" s="507">
        <f>INPUT!GA164</f>
        <v>-1.2345679012345734</v>
      </c>
      <c r="DO144" s="151">
        <f>INPUT!GB164</f>
        <v>438.1</v>
      </c>
      <c r="DP144" s="507">
        <f>INPUT!GC164</f>
        <v>-0.43181818181817766</v>
      </c>
      <c r="DQ144" s="151">
        <f>INPUT!GD164</f>
        <v>452</v>
      </c>
      <c r="DR144" s="507">
        <f>INPUT!GE164</f>
        <v>3.1727916000912959</v>
      </c>
      <c r="DS144" s="151">
        <f>INPUT!GF164</f>
        <v>470</v>
      </c>
      <c r="DT144" s="507">
        <f>INPUT!GG164</f>
        <v>3.9823008849557473</v>
      </c>
      <c r="DU144" s="151">
        <f>INPUT!GH164</f>
        <v>473</v>
      </c>
      <c r="DV144" s="507">
        <f>INPUT!GI164</f>
        <v>0.6382978723404209</v>
      </c>
      <c r="DW144" s="151">
        <f>INPUT!GJ164</f>
        <v>496</v>
      </c>
      <c r="DX144" s="507">
        <f>INPUT!GK164</f>
        <v>4.862579281183943</v>
      </c>
      <c r="DY144" s="151">
        <f>INPUT!GL164</f>
        <v>514</v>
      </c>
      <c r="DZ144" s="507">
        <f>INPUT!GM164</f>
        <v>3.629032258064524</v>
      </c>
      <c r="EA144" s="151">
        <f>INPUT!GN164</f>
        <v>538</v>
      </c>
      <c r="EB144" s="507">
        <f>INPUT!GO164</f>
        <v>4.6692607003891107</v>
      </c>
      <c r="EC144" s="151">
        <f>INPUT!GP164</f>
        <v>565.9593670989168</v>
      </c>
      <c r="ED144" s="507">
        <f>INPUT!GQ164</f>
        <v>5.1969083826982843</v>
      </c>
      <c r="EE144" s="151">
        <f>INPUT!GR164</f>
        <v>589.56152622101604</v>
      </c>
      <c r="EF144" s="507">
        <f>INPUT!GS164</f>
        <v>4.1702921612699617</v>
      </c>
      <c r="EG144" s="151">
        <f>INPUT!GT164</f>
        <v>607.78312329071036</v>
      </c>
      <c r="EH144" s="507">
        <f>INPUT!GU164</f>
        <v>3.0907032191349826</v>
      </c>
      <c r="EI144" s="151">
        <f>INPUT!GV164</f>
        <v>628.29021761410661</v>
      </c>
      <c r="EJ144" s="507">
        <f>INPUT!GW164</f>
        <v>3.3740809077364764</v>
      </c>
      <c r="EK144" s="151">
        <f>INPUT!GX164</f>
        <v>651.02926753244321</v>
      </c>
      <c r="EL144" s="507">
        <f>INPUT!GY164</f>
        <v>3.6191952828243501</v>
      </c>
      <c r="EM144" s="687">
        <f>INPUT!GZ164</f>
        <v>3.8875842400824645</v>
      </c>
    </row>
    <row r="145" spans="1:143" ht="12.75" hidden="1" customHeight="1" outlineLevel="1" x14ac:dyDescent="0.2">
      <c r="A145" s="123" t="str">
        <f>INPUT!B165</f>
        <v>Net DAC and VOBA Amortization</v>
      </c>
      <c r="B145" s="151">
        <f>INPUT!AY165</f>
        <v>-5.5</v>
      </c>
      <c r="C145" s="507">
        <f>INPUT!AZ165</f>
        <v>-1.7857142857142461</v>
      </c>
      <c r="D145" s="151">
        <f>INPUT!BA165</f>
        <v>-2.8000000000000007</v>
      </c>
      <c r="E145" s="687">
        <f>INPUT!BB165</f>
        <v>-49.999999999999964</v>
      </c>
      <c r="F145" s="151">
        <f>INPUT!BC165</f>
        <v>-6.6</v>
      </c>
      <c r="G145" s="687" t="str">
        <f>INPUT!BD165</f>
        <v>NM</v>
      </c>
      <c r="H145" s="151">
        <f>INPUT!BE165</f>
        <v>0.89999999999999858</v>
      </c>
      <c r="I145" s="687" t="str">
        <f>INPUT!BF165</f>
        <v>NM</v>
      </c>
      <c r="J145" s="151">
        <f>INPUT!BG165</f>
        <v>-2.5999999999999979</v>
      </c>
      <c r="K145" s="687" t="str">
        <f>INPUT!BH165</f>
        <v>NM</v>
      </c>
      <c r="L145" s="151">
        <f>INPUT!BI165</f>
        <v>0</v>
      </c>
      <c r="M145" s="687" t="str">
        <f>INPUT!BJ165</f>
        <v>NM</v>
      </c>
      <c r="N145" s="151">
        <f>INPUT!BK165</f>
        <v>1.1999999999999993</v>
      </c>
      <c r="O145" s="687" t="str">
        <f>INPUT!BL165</f>
        <v>NM</v>
      </c>
      <c r="P145" s="151">
        <f>INPUT!BM165</f>
        <v>1.1999999999999993</v>
      </c>
      <c r="Q145" s="687">
        <f>INPUT!BN165</f>
        <v>33.333333333333456</v>
      </c>
      <c r="R145" s="151">
        <f>INPUT!BO165</f>
        <v>0.29999999999999716</v>
      </c>
      <c r="S145" s="687" t="str">
        <f>INPUT!BP165</f>
        <v>NM</v>
      </c>
      <c r="T145" s="151">
        <f>INPUT!BQ165</f>
        <v>1</v>
      </c>
      <c r="U145" s="687" t="str">
        <f>INPUT!BR165</f>
        <v>NA</v>
      </c>
      <c r="V145" s="151">
        <f>INPUT!BS165</f>
        <v>3.8000000000000007</v>
      </c>
      <c r="W145" s="687" t="str">
        <f>INPUT!BT165</f>
        <v>NM</v>
      </c>
      <c r="X145" s="151">
        <f>INPUT!BU165</f>
        <v>30.7</v>
      </c>
      <c r="Y145" s="687" t="str">
        <f>INPUT!BV165</f>
        <v>NM</v>
      </c>
      <c r="Z145" s="151">
        <f>INPUT!BW165</f>
        <v>1.1999999999999993</v>
      </c>
      <c r="AA145" s="122" t="str">
        <f>INPUT!BX165</f>
        <v>NM</v>
      </c>
      <c r="AB145" s="151">
        <f>INPUT!BY165</f>
        <v>1.6999999999999993</v>
      </c>
      <c r="AC145" s="687">
        <f>INPUT!BZ165</f>
        <v>69.999999999999929</v>
      </c>
      <c r="AD145" s="151">
        <f>INPUT!CA165</f>
        <v>-1.8000000000000007</v>
      </c>
      <c r="AE145" s="687" t="str">
        <f>INPUT!CB165</f>
        <v>NM</v>
      </c>
      <c r="AF145" s="151">
        <f>INPUT!CC165</f>
        <v>3.2000000000000028</v>
      </c>
      <c r="AG145" s="687" t="str">
        <f>INPUT!CD165</f>
        <v>NM</v>
      </c>
      <c r="AH145" s="151">
        <f>INPUT!CE165</f>
        <v>4.9000000000000004</v>
      </c>
      <c r="AI145" s="507" t="str">
        <f>INPUT!CF165</f>
        <v>NM</v>
      </c>
      <c r="AJ145" s="151">
        <f>INPUT!CG165</f>
        <v>8.6</v>
      </c>
      <c r="AK145" s="507" t="str">
        <f>INPUT!CH165</f>
        <v>NM</v>
      </c>
      <c r="AL145" s="151">
        <f>INPUT!CI165</f>
        <v>-12.7</v>
      </c>
      <c r="AM145" s="507" t="str">
        <f>INPUT!CJ165</f>
        <v>NM</v>
      </c>
      <c r="AN145" s="151">
        <f>INPUT!CK165</f>
        <v>11.2</v>
      </c>
      <c r="AO145" s="507" t="str">
        <f>INPUT!CL165</f>
        <v>NM</v>
      </c>
      <c r="AP145" s="151">
        <f>INPUT!CM165</f>
        <v>0</v>
      </c>
      <c r="AQ145" s="507" t="str">
        <f>INPUT!CN165</f>
        <v>NM</v>
      </c>
      <c r="AR145" s="151">
        <f>INPUT!CO165</f>
        <v>0.80000000000000071</v>
      </c>
      <c r="AS145" s="507" t="str">
        <f>INPUT!CP165</f>
        <v>NM</v>
      </c>
      <c r="AT145" s="151">
        <f>INPUT!CQ165</f>
        <v>-1.5000000000000009</v>
      </c>
      <c r="AU145" s="507" t="str">
        <f>INPUT!CR165</f>
        <v>NM</v>
      </c>
      <c r="AV145" s="151">
        <f>INPUT!CS165</f>
        <v>-2</v>
      </c>
      <c r="AW145" s="507" t="str">
        <f>INPUT!CT165</f>
        <v>NM</v>
      </c>
      <c r="AX145" s="151">
        <f>INPUT!CU165</f>
        <v>0</v>
      </c>
      <c r="AY145" s="507" t="str">
        <f>INPUT!CV165</f>
        <v>NA</v>
      </c>
      <c r="AZ145" s="151">
        <f>INPUT!CW165</f>
        <v>1</v>
      </c>
      <c r="BA145" s="507">
        <f>INPUT!CX165</f>
        <v>24.99999999999989</v>
      </c>
      <c r="BB145" s="151">
        <f>INPUT!CY165</f>
        <v>4</v>
      </c>
      <c r="BC145" s="507" t="str">
        <f>INPUT!CZ165</f>
        <v>NM</v>
      </c>
      <c r="BD145" s="151">
        <f>INPUT!DA165</f>
        <v>0</v>
      </c>
      <c r="BE145" s="507" t="str">
        <f>INPUT!DB165</f>
        <v>NM</v>
      </c>
      <c r="BF145" s="151">
        <f>INPUT!DC165</f>
        <v>0</v>
      </c>
      <c r="BG145" s="507" t="str">
        <f>INPUT!DD165</f>
        <v>NA</v>
      </c>
      <c r="BH145" s="151">
        <f>INPUT!DE165</f>
        <v>3</v>
      </c>
      <c r="BI145" s="507" t="str">
        <f>INPUT!DF165</f>
        <v>NM</v>
      </c>
      <c r="BJ145" s="151">
        <f>INPUT!DG165</f>
        <v>11</v>
      </c>
      <c r="BK145" s="507" t="str">
        <f>INPUT!DH165</f>
        <v>NM</v>
      </c>
      <c r="BL145" s="151">
        <f>INPUT!DI165</f>
        <v>2</v>
      </c>
      <c r="BM145" s="507" t="str">
        <f>INPUT!DJ165</f>
        <v>NA</v>
      </c>
      <c r="BN145" s="151">
        <f>INPUT!DK165</f>
        <v>2</v>
      </c>
      <c r="BO145" s="507" t="str">
        <f>INPUT!DL165</f>
        <v>NA</v>
      </c>
      <c r="BP145" s="151">
        <f>INPUT!DM165</f>
        <v>4</v>
      </c>
      <c r="BQ145" s="507">
        <f>INPUT!DN165</f>
        <v>33.333333333333329</v>
      </c>
      <c r="BR145" s="151">
        <f>INPUT!DO165</f>
        <v>1</v>
      </c>
      <c r="BS145" s="507" t="str">
        <f>INPUT!DP165</f>
        <v>NM</v>
      </c>
      <c r="BT145" s="151">
        <f>INPUT!DQ165</f>
        <v>0</v>
      </c>
      <c r="BU145" s="507" t="str">
        <f>INPUT!DR165</f>
        <v>NM</v>
      </c>
      <c r="BV145" s="151">
        <f>INPUT!DS165</f>
        <v>2</v>
      </c>
      <c r="BW145" s="507">
        <f>INPUT!DT165</f>
        <v>0</v>
      </c>
      <c r="BX145" s="151">
        <f>INPUT!DU165</f>
        <v>2</v>
      </c>
      <c r="BY145" s="507">
        <f>INPUT!DV165</f>
        <v>-50</v>
      </c>
      <c r="BZ145" s="151">
        <f>INPUT!DW165</f>
        <v>-1</v>
      </c>
      <c r="CA145" s="507">
        <f>INPUT!DX165</f>
        <v>-1</v>
      </c>
      <c r="CB145" s="151">
        <f>INPUT!DY165</f>
        <v>-2</v>
      </c>
      <c r="CC145" s="507" t="str">
        <f>INPUT!DZ165</f>
        <v>NA</v>
      </c>
      <c r="CD145" s="151">
        <f>INPUT!EA165</f>
        <v>0</v>
      </c>
      <c r="CE145" s="507" t="str">
        <f>INPUT!EB165</f>
        <v>NM</v>
      </c>
      <c r="CF145" s="151">
        <f>INPUT!EC165</f>
        <v>-1</v>
      </c>
      <c r="CG145" s="507" t="str">
        <f>INPUT!ED165</f>
        <v>NM</v>
      </c>
      <c r="CH145" s="151">
        <f>INPUT!EE165</f>
        <v>4</v>
      </c>
      <c r="CI145" s="507" t="str">
        <f>INPUT!EF165</f>
        <v>NM</v>
      </c>
      <c r="CJ145" s="151">
        <f>INPUT!EG165</f>
        <v>-3</v>
      </c>
      <c r="CK145" s="507">
        <f>INPUT!EH165</f>
        <v>50</v>
      </c>
      <c r="CL145" s="151">
        <f>INPUT!EI165</f>
        <v>-2</v>
      </c>
      <c r="CM145" s="507" t="str">
        <f>INPUT!EJ165</f>
        <v>NA</v>
      </c>
      <c r="CN145" s="151">
        <f>INPUT!EK165</f>
        <v>-2</v>
      </c>
      <c r="CO145" s="507">
        <f>INPUT!EL165</f>
        <v>100</v>
      </c>
      <c r="CP145" s="151">
        <f>INPUT!EM165</f>
        <v>-2</v>
      </c>
      <c r="CQ145" s="507" t="str">
        <f>INPUT!EN165</f>
        <v>NM</v>
      </c>
      <c r="CR145" s="151">
        <f>INPUT!EO165</f>
        <v>0</v>
      </c>
      <c r="CS145" s="507" t="str">
        <f>INPUT!EP165</f>
        <v>NM</v>
      </c>
      <c r="CT145" s="151">
        <f>INPUT!EQ165</f>
        <v>0</v>
      </c>
      <c r="CU145" s="507" t="str">
        <f>INPUT!ER165</f>
        <v>NM</v>
      </c>
      <c r="CV145" s="151">
        <f>INPUT!ES165</f>
        <v>0</v>
      </c>
      <c r="CW145" s="507" t="str">
        <f>INPUT!ET165</f>
        <v>NM</v>
      </c>
      <c r="CX145" s="151">
        <f>INPUT!EU165</f>
        <v>0</v>
      </c>
      <c r="CY145" s="507" t="str">
        <f>INPUT!EV165</f>
        <v>NM</v>
      </c>
      <c r="CZ145" s="151">
        <f>INPUT!EW165</f>
        <v>0</v>
      </c>
      <c r="DA145" s="507" t="str">
        <f>INPUT!EX165</f>
        <v>NA</v>
      </c>
      <c r="DB145" s="507"/>
      <c r="DC145" s="151">
        <f>INPUT!FP165</f>
        <v>-41.699999999999996</v>
      </c>
      <c r="DD145" s="687" t="str">
        <f>INPUT!FQ165</f>
        <v>NA</v>
      </c>
      <c r="DE145" s="151">
        <f>INPUT!FR165</f>
        <v>-14.000000000000002</v>
      </c>
      <c r="DF145" s="687" t="str">
        <f>INPUT!FS165</f>
        <v>NM</v>
      </c>
      <c r="DG145" s="151">
        <f>INPUT!FT165</f>
        <v>-0.19999999999999929</v>
      </c>
      <c r="DH145" s="687" t="str">
        <f>INPUT!FU165</f>
        <v>NM</v>
      </c>
      <c r="DI145" s="151">
        <f>INPUT!FV165</f>
        <v>35.799999999999997</v>
      </c>
      <c r="DJ145" s="687" t="str">
        <f>INPUT!FW165</f>
        <v>NM</v>
      </c>
      <c r="DK145" s="151">
        <f>INPUT!FX165</f>
        <v>4.3000000000000007</v>
      </c>
      <c r="DL145" s="507" t="str">
        <f>INPUT!FY165</f>
        <v>NM</v>
      </c>
      <c r="DM145" s="151">
        <f>INPUT!FZ165</f>
        <v>12</v>
      </c>
      <c r="DN145" s="507" t="str">
        <f>INPUT!GA165</f>
        <v>NM</v>
      </c>
      <c r="DO145" s="151">
        <f>INPUT!GB165</f>
        <v>-2.7</v>
      </c>
      <c r="DP145" s="507" t="str">
        <f>INPUT!GC165</f>
        <v>NM</v>
      </c>
      <c r="DQ145" s="151">
        <f>INPUT!GD165</f>
        <v>5</v>
      </c>
      <c r="DR145" s="507" t="str">
        <f>INPUT!GE165</f>
        <v>NM</v>
      </c>
      <c r="DS145" s="151">
        <f>INPUT!GF165</f>
        <v>16</v>
      </c>
      <c r="DT145" s="507" t="str">
        <f>INPUT!GG165</f>
        <v>NM</v>
      </c>
      <c r="DU145" s="151">
        <f>INPUT!GH165</f>
        <v>7</v>
      </c>
      <c r="DV145" s="507" t="str">
        <f>INPUT!GI165</f>
        <v>NM</v>
      </c>
      <c r="DW145" s="151">
        <f>INPUT!GJ165</f>
        <v>1</v>
      </c>
      <c r="DX145" s="507" t="str">
        <f>INPUT!GK165</f>
        <v>NM</v>
      </c>
      <c r="DY145" s="151">
        <f>INPUT!GL165</f>
        <v>0</v>
      </c>
      <c r="DZ145" s="507" t="str">
        <f>INPUT!GM165</f>
        <v>NM</v>
      </c>
      <c r="EA145" s="151">
        <f>INPUT!GN165</f>
        <v>-6</v>
      </c>
      <c r="EB145" s="507" t="str">
        <f>INPUT!GO165</f>
        <v>NA</v>
      </c>
      <c r="EC145" s="151">
        <f>INPUT!GP165</f>
        <v>0</v>
      </c>
      <c r="ED145" s="507" t="str">
        <f>INPUT!GQ165</f>
        <v>NM</v>
      </c>
      <c r="EE145" s="151">
        <f>INPUT!GR165</f>
        <v>0</v>
      </c>
      <c r="EF145" s="507" t="str">
        <f>INPUT!GS165</f>
        <v>NA</v>
      </c>
      <c r="EG145" s="151">
        <f>INPUT!GT165</f>
        <v>0</v>
      </c>
      <c r="EH145" s="507" t="str">
        <f>INPUT!GU165</f>
        <v>NA</v>
      </c>
      <c r="EI145" s="151">
        <f>INPUT!GV165</f>
        <v>0</v>
      </c>
      <c r="EJ145" s="507" t="str">
        <f>INPUT!GW165</f>
        <v>NA</v>
      </c>
      <c r="EK145" s="151">
        <f>INPUT!GX165</f>
        <v>0</v>
      </c>
      <c r="EL145" s="507" t="str">
        <f>INPUT!GY165</f>
        <v>NA</v>
      </c>
      <c r="EM145" s="687" t="str">
        <f>INPUT!GZ165</f>
        <v>NM</v>
      </c>
    </row>
    <row r="146" spans="1:143" ht="12.75" hidden="1" customHeight="1" outlineLevel="1" x14ac:dyDescent="0.2">
      <c r="A146" s="123" t="str">
        <f>INPUT!B166</f>
        <v>Other Operating Exp</v>
      </c>
      <c r="B146" s="151">
        <f>INPUT!AY166</f>
        <v>78.8</v>
      </c>
      <c r="C146" s="507">
        <f>INPUT!AZ166</f>
        <v>1.6774193548387162</v>
      </c>
      <c r="D146" s="151">
        <f>INPUT!BA166</f>
        <v>72.3</v>
      </c>
      <c r="E146" s="687">
        <f>INPUT!BB166</f>
        <v>-5.859375</v>
      </c>
      <c r="F146" s="151">
        <f>INPUT!BC166</f>
        <v>81.099999999999994</v>
      </c>
      <c r="G146" s="687">
        <f>INPUT!BD166</f>
        <v>-5.9164733178654334</v>
      </c>
      <c r="H146" s="151">
        <f>INPUT!BE166</f>
        <v>79.300000000000011</v>
      </c>
      <c r="I146" s="687">
        <f>INPUT!BF166</f>
        <v>-5.2568697729987957</v>
      </c>
      <c r="J146" s="151">
        <f>INPUT!BG166</f>
        <v>74.199999999999989</v>
      </c>
      <c r="K146" s="687">
        <f>INPUT!BH166</f>
        <v>-5.8375634517766617</v>
      </c>
      <c r="L146" s="151">
        <f>INPUT!BI166</f>
        <v>80.599999999999994</v>
      </c>
      <c r="M146" s="687">
        <f>INPUT!BJ166</f>
        <v>11.479944674965425</v>
      </c>
      <c r="N146" s="151">
        <f>INPUT!BK166</f>
        <v>83.5</v>
      </c>
      <c r="O146" s="687">
        <f>INPUT!BL166</f>
        <v>2.9593094944513121</v>
      </c>
      <c r="P146" s="151">
        <f>INPUT!BM166</f>
        <v>76.099999999999994</v>
      </c>
      <c r="Q146" s="687">
        <f>INPUT!BN166</f>
        <v>-4.0353089533417652</v>
      </c>
      <c r="R146" s="151">
        <f>INPUT!BO166</f>
        <v>76</v>
      </c>
      <c r="S146" s="687">
        <f>INPUT!BP166</f>
        <v>2.4258760107816801</v>
      </c>
      <c r="T146" s="151">
        <f>INPUT!BQ166</f>
        <v>74.400000000000006</v>
      </c>
      <c r="U146" s="687">
        <f>INPUT!BR166</f>
        <v>-7.6923076923076756</v>
      </c>
      <c r="V146" s="151">
        <f>INPUT!BS166</f>
        <v>73.300000000000011</v>
      </c>
      <c r="W146" s="687">
        <f>INPUT!BT166</f>
        <v>-12.21556886227544</v>
      </c>
      <c r="X146" s="151">
        <f>INPUT!BU166</f>
        <v>91.3</v>
      </c>
      <c r="Y146" s="687">
        <f>INPUT!BV166</f>
        <v>19.9737187910644</v>
      </c>
      <c r="Z146" s="151">
        <f>INPUT!BW166</f>
        <v>69.400000000000006</v>
      </c>
      <c r="AA146" s="122">
        <f>INPUT!BX166</f>
        <v>-8.6842105263157841</v>
      </c>
      <c r="AB146" s="151">
        <f>INPUT!BY166</f>
        <v>71.5</v>
      </c>
      <c r="AC146" s="687">
        <f>INPUT!BZ166</f>
        <v>-3.897849462365599</v>
      </c>
      <c r="AD146" s="151">
        <f>INPUT!CA166</f>
        <v>72.099999999999994</v>
      </c>
      <c r="AE146" s="687">
        <f>INPUT!CB166</f>
        <v>-1.637107776261959</v>
      </c>
      <c r="AF146" s="151">
        <f>INPUT!CC166</f>
        <v>80</v>
      </c>
      <c r="AG146" s="687">
        <f>INPUT!CD166</f>
        <v>-12.376779846659359</v>
      </c>
      <c r="AH146" s="151">
        <f>INPUT!CE166</f>
        <v>75</v>
      </c>
      <c r="AI146" s="507">
        <f>INPUT!CF166</f>
        <v>8.0691642651296682</v>
      </c>
      <c r="AJ146" s="151">
        <f>INPUT!CG166</f>
        <v>76.600000000000009</v>
      </c>
      <c r="AK146" s="507">
        <f>INPUT!CH166</f>
        <v>7.1328671328671378</v>
      </c>
      <c r="AL146" s="151">
        <f>INPUT!CI166</f>
        <v>78.2</v>
      </c>
      <c r="AM146" s="507">
        <f>INPUT!CJ166</f>
        <v>8.4604715672677031</v>
      </c>
      <c r="AN146" s="151">
        <f>INPUT!CK166</f>
        <v>91.7</v>
      </c>
      <c r="AO146" s="507">
        <f>INPUT!CL166</f>
        <v>14.625</v>
      </c>
      <c r="AP146" s="151">
        <f>INPUT!CM166</f>
        <v>86</v>
      </c>
      <c r="AQ146" s="507">
        <f>INPUT!CN166</f>
        <v>14.666666666666671</v>
      </c>
      <c r="AR146" s="151">
        <f>INPUT!CO166</f>
        <v>92.100000000000009</v>
      </c>
      <c r="AS146" s="507">
        <f>INPUT!CP166</f>
        <v>20.23498694516972</v>
      </c>
      <c r="AT146" s="151">
        <f>INPUT!CQ166</f>
        <v>86.3</v>
      </c>
      <c r="AU146" s="507">
        <f>INPUT!CR166</f>
        <v>10.358056265984651</v>
      </c>
      <c r="AV146" s="151">
        <f>INPUT!CS166</f>
        <v>91</v>
      </c>
      <c r="AW146" s="507">
        <f>INPUT!CT166</f>
        <v>-0.76335877862595547</v>
      </c>
      <c r="AX146" s="151">
        <f>INPUT!CU166</f>
        <v>94</v>
      </c>
      <c r="AY146" s="507">
        <f>INPUT!CV166</f>
        <v>9.302325581395344</v>
      </c>
      <c r="AZ146" s="151">
        <f>INPUT!CW166</f>
        <v>95</v>
      </c>
      <c r="BA146" s="507">
        <f>INPUT!CX166</f>
        <v>3.148751357220414</v>
      </c>
      <c r="BB146" s="151">
        <f>INPUT!CY166</f>
        <v>98</v>
      </c>
      <c r="BC146" s="507">
        <f>INPUT!CZ166</f>
        <v>13.557358053302426</v>
      </c>
      <c r="BD146" s="151">
        <f>INPUT!DA166</f>
        <v>112</v>
      </c>
      <c r="BE146" s="507">
        <f>INPUT!DB166</f>
        <v>23.076923076923084</v>
      </c>
      <c r="BF146" s="151">
        <f>INPUT!DC166</f>
        <v>95</v>
      </c>
      <c r="BG146" s="507">
        <f>INPUT!DD166</f>
        <v>1.0638297872340496</v>
      </c>
      <c r="BH146" s="151">
        <f>INPUT!DE166</f>
        <v>97</v>
      </c>
      <c r="BI146" s="507">
        <f>INPUT!DF166</f>
        <v>2.1052631578947434</v>
      </c>
      <c r="BJ146" s="151">
        <f>INPUT!DG166</f>
        <v>96</v>
      </c>
      <c r="BK146" s="507">
        <f>INPUT!DH166</f>
        <v>-2.0408163265306145</v>
      </c>
      <c r="BL146" s="151">
        <f>INPUT!DI166</f>
        <v>107</v>
      </c>
      <c r="BM146" s="507">
        <f>INPUT!DJ166</f>
        <v>-4.46428571428571</v>
      </c>
      <c r="BN146" s="151">
        <f>INPUT!DK166</f>
        <v>98</v>
      </c>
      <c r="BO146" s="507">
        <f>INPUT!DL166</f>
        <v>3.1578947368421151</v>
      </c>
      <c r="BP146" s="151">
        <f>INPUT!DM166</f>
        <v>94</v>
      </c>
      <c r="BQ146" s="507">
        <f>INPUT!DN166</f>
        <v>-3.0927835051546393</v>
      </c>
      <c r="BR146" s="151">
        <f>INPUT!DO166</f>
        <v>98</v>
      </c>
      <c r="BS146" s="507">
        <f>INPUT!DP166</f>
        <v>2.0833333333333259</v>
      </c>
      <c r="BT146" s="151">
        <f>INPUT!DQ166</f>
        <v>109</v>
      </c>
      <c r="BU146" s="507">
        <f>INPUT!DR166</f>
        <v>1.8691588785046731</v>
      </c>
      <c r="BV146" s="151">
        <f>INPUT!DS166</f>
        <v>100</v>
      </c>
      <c r="BW146" s="507">
        <f>INPUT!DT166</f>
        <v>2.0408163265306145</v>
      </c>
      <c r="BX146" s="151">
        <f>INPUT!DU166</f>
        <v>106</v>
      </c>
      <c r="BY146" s="507">
        <f>INPUT!DV166</f>
        <v>12.765957446808507</v>
      </c>
      <c r="BZ146" s="151">
        <f>INPUT!DW166</f>
        <v>102</v>
      </c>
      <c r="CA146" s="507">
        <f>INPUT!DX166</f>
        <v>102</v>
      </c>
      <c r="CB146" s="151">
        <f>INPUT!DY166</f>
        <v>107</v>
      </c>
      <c r="CC146" s="507">
        <f>INPUT!DZ166</f>
        <v>-1.834862385321101</v>
      </c>
      <c r="CD146" s="151">
        <f>INPUT!EA166</f>
        <v>101</v>
      </c>
      <c r="CE146" s="507">
        <f>INPUT!EB166</f>
        <v>1.0000000000000009</v>
      </c>
      <c r="CF146" s="151">
        <f>INPUT!EC166</f>
        <v>103</v>
      </c>
      <c r="CG146" s="507">
        <f>INPUT!ED166</f>
        <v>-2.8301886792452824</v>
      </c>
      <c r="CH146" s="151">
        <f>INPUT!EE166</f>
        <v>105</v>
      </c>
      <c r="CI146" s="507">
        <f>INPUT!EF166</f>
        <v>2.9411764705882248</v>
      </c>
      <c r="CJ146" s="151">
        <f>INPUT!EG166</f>
        <v>107</v>
      </c>
      <c r="CK146" s="507">
        <f>INPUT!EH166</f>
        <v>0</v>
      </c>
      <c r="CL146" s="151">
        <f>INPUT!EI166</f>
        <v>104</v>
      </c>
      <c r="CM146" s="507">
        <f>INPUT!EJ166</f>
        <v>2.9702970297029729</v>
      </c>
      <c r="CN146" s="151">
        <f>INPUT!EK166</f>
        <v>108</v>
      </c>
      <c r="CO146" s="507">
        <f>INPUT!EL166</f>
        <v>4.8543689320388328</v>
      </c>
      <c r="CP146" s="151">
        <f>INPUT!EM166</f>
        <v>109</v>
      </c>
      <c r="CQ146" s="507">
        <f>INPUT!EN166</f>
        <v>3.8095238095238182</v>
      </c>
      <c r="CR146" s="151">
        <f>INPUT!EO166</f>
        <v>109</v>
      </c>
      <c r="CS146" s="507">
        <f>INPUT!EP166</f>
        <v>1.8691588785046731</v>
      </c>
      <c r="CT146" s="151">
        <f>INPUT!EQ166</f>
        <v>116.00061349847795</v>
      </c>
      <c r="CU146" s="507">
        <f>INPUT!ER166</f>
        <v>11.539051440844172</v>
      </c>
      <c r="CV146" s="151">
        <f>INPUT!ES166</f>
        <v>115.84792960635215</v>
      </c>
      <c r="CW146" s="507">
        <f>INPUT!ET166</f>
        <v>7.2666014873631113</v>
      </c>
      <c r="CX146" s="151">
        <f>INPUT!EU166</f>
        <v>117.04320944247867</v>
      </c>
      <c r="CY146" s="507">
        <f>INPUT!EV166</f>
        <v>7.3790912316318069</v>
      </c>
      <c r="CZ146" s="151">
        <f>INPUT!EW166</f>
        <v>117.86593718397783</v>
      </c>
      <c r="DA146" s="507">
        <f>INPUT!EX166</f>
        <v>8.1338873247503116</v>
      </c>
      <c r="DB146" s="507"/>
      <c r="DC146" s="151">
        <f>INPUT!FP166</f>
        <v>324.2</v>
      </c>
      <c r="DD146" s="687" t="str">
        <f>INPUT!FQ166</f>
        <v>NA</v>
      </c>
      <c r="DE146" s="151">
        <f>INPUT!FR166</f>
        <v>311.5</v>
      </c>
      <c r="DF146" s="687">
        <f>INPUT!FS166</f>
        <v>-3.9173349784083822</v>
      </c>
      <c r="DG146" s="151">
        <f>INPUT!FT166</f>
        <v>314.39999999999998</v>
      </c>
      <c r="DH146" s="687">
        <f>INPUT!FU166</f>
        <v>0.93097913322630621</v>
      </c>
      <c r="DI146" s="151">
        <f>INPUT!FV166</f>
        <v>315</v>
      </c>
      <c r="DJ146" s="687">
        <f>INPUT!FW166</f>
        <v>0.19083969465649719</v>
      </c>
      <c r="DK146" s="151">
        <f>INPUT!FX166</f>
        <v>293</v>
      </c>
      <c r="DL146" s="507">
        <f>INPUT!FY166</f>
        <v>-6.9841269841269815</v>
      </c>
      <c r="DM146" s="151">
        <f>INPUT!FZ166</f>
        <v>321.5</v>
      </c>
      <c r="DN146" s="507">
        <f>INPUT!GA166</f>
        <v>9.7269624573378834</v>
      </c>
      <c r="DO146" s="151">
        <f>INPUT!GB166</f>
        <v>355.40000000000003</v>
      </c>
      <c r="DP146" s="507">
        <f>INPUT!GC166</f>
        <v>10.544323483670315</v>
      </c>
      <c r="DQ146" s="151">
        <f>INPUT!GD166</f>
        <v>399</v>
      </c>
      <c r="DR146" s="507">
        <f>INPUT!GE166</f>
        <v>12.267867191896453</v>
      </c>
      <c r="DS146" s="151">
        <f>INPUT!GF166</f>
        <v>395</v>
      </c>
      <c r="DT146" s="507">
        <f>INPUT!GG166</f>
        <v>-1.0025062656641603</v>
      </c>
      <c r="DU146" s="151">
        <f>INPUT!GH166</f>
        <v>399</v>
      </c>
      <c r="DV146" s="507">
        <f>INPUT!GI166</f>
        <v>1.0126582278481067</v>
      </c>
      <c r="DW146" s="151">
        <f>INPUT!GJ166</f>
        <v>415</v>
      </c>
      <c r="DX146" s="507">
        <f>INPUT!GK166</f>
        <v>4.0100250626566414</v>
      </c>
      <c r="DY146" s="151">
        <f>INPUT!GL166</f>
        <v>416</v>
      </c>
      <c r="DZ146" s="507">
        <f>INPUT!GM166</f>
        <v>0.24096385542169418</v>
      </c>
      <c r="EA146" s="151">
        <f>INPUT!GN166</f>
        <v>430</v>
      </c>
      <c r="EB146" s="507">
        <f>INPUT!GO166</f>
        <v>3.3653846153846256</v>
      </c>
      <c r="EC146" s="151">
        <f>INPUT!GP166</f>
        <v>466.75768973128663</v>
      </c>
      <c r="ED146" s="507">
        <f>INPUT!GQ166</f>
        <v>8.5482999375085189</v>
      </c>
      <c r="EE146" s="151">
        <f>INPUT!GR166</f>
        <v>480.71278220652391</v>
      </c>
      <c r="EF146" s="507">
        <f>INPUT!GS166</f>
        <v>2.9897938014200154</v>
      </c>
      <c r="EG146" s="151">
        <f>INPUT!GT166</f>
        <v>495.14676129995286</v>
      </c>
      <c r="EH146" s="507">
        <f>INPUT!GU166</f>
        <v>3.0026201981098621</v>
      </c>
      <c r="EI146" s="151">
        <f>INPUT!GV166</f>
        <v>511.39116455389012</v>
      </c>
      <c r="EJ146" s="507">
        <f>INPUT!GW166</f>
        <v>3.2807249332075683</v>
      </c>
      <c r="EK146" s="151">
        <f>INPUT!GX166</f>
        <v>529.40357970445802</v>
      </c>
      <c r="EL146" s="507">
        <f>INPUT!GY166</f>
        <v>3.5222382393487406</v>
      </c>
      <c r="EM146" s="687">
        <f>INPUT!GZ166</f>
        <v>4.2470282802360204</v>
      </c>
    </row>
    <row r="147" spans="1:143" ht="12.75" hidden="1" customHeight="1" outlineLevel="1" x14ac:dyDescent="0.2">
      <c r="A147" s="701" t="str">
        <f>INPUT!B167</f>
        <v>Total Operating Expenses (incl DAC Exp)</v>
      </c>
      <c r="B147" s="151">
        <f>INPUT!AY167</f>
        <v>73.3</v>
      </c>
      <c r="C147" s="507">
        <f>INPUT!AZ167</f>
        <v>1.9471488178024909</v>
      </c>
      <c r="D147" s="151">
        <f>INPUT!BA167</f>
        <v>69.5</v>
      </c>
      <c r="E147" s="687">
        <f>INPUT!BB167</f>
        <v>-2.3876404494382109</v>
      </c>
      <c r="F147" s="151">
        <f>INPUT!BC167</f>
        <v>74.5</v>
      </c>
      <c r="G147" s="687">
        <f>INPUT!BD167</f>
        <v>19.774919614147901</v>
      </c>
      <c r="H147" s="151">
        <f>INPUT!BE167</f>
        <v>80.2</v>
      </c>
      <c r="I147" s="687">
        <f>INPUT!BF167</f>
        <v>3.8860103626942921</v>
      </c>
      <c r="J147" s="151">
        <f>INPUT!BG167</f>
        <v>71.599999999999994</v>
      </c>
      <c r="K147" s="687">
        <f>INPUT!BH167</f>
        <v>-2.3192360163710846</v>
      </c>
      <c r="L147" s="151">
        <f>INPUT!BI167</f>
        <v>80.599999999999994</v>
      </c>
      <c r="M147" s="687">
        <f>INPUT!BJ167</f>
        <v>15.971223021582738</v>
      </c>
      <c r="N147" s="151">
        <f>INPUT!BK167</f>
        <v>84.7</v>
      </c>
      <c r="O147" s="687">
        <f>INPUT!BL167</f>
        <v>13.691275167785232</v>
      </c>
      <c r="P147" s="151">
        <f>INPUT!BM167</f>
        <v>77.3</v>
      </c>
      <c r="Q147" s="687">
        <f>INPUT!BN167</f>
        <v>-3.6159600997506258</v>
      </c>
      <c r="R147" s="151">
        <f>INPUT!BO167</f>
        <v>76.3</v>
      </c>
      <c r="S147" s="687">
        <f>INPUT!BP167</f>
        <v>6.5642458100558798</v>
      </c>
      <c r="T147" s="151">
        <f>INPUT!BQ167</f>
        <v>75.400000000000006</v>
      </c>
      <c r="U147" s="687">
        <f>INPUT!BR167</f>
        <v>-6.4516129032257901</v>
      </c>
      <c r="V147" s="151">
        <f>INPUT!BS167</f>
        <v>77.100000000000009</v>
      </c>
      <c r="W147" s="687">
        <f>INPUT!BT167</f>
        <v>-8.9728453364816936</v>
      </c>
      <c r="X147" s="151">
        <f>INPUT!BU167</f>
        <v>122</v>
      </c>
      <c r="Y147" s="687">
        <f>INPUT!BV167</f>
        <v>57.826649417852536</v>
      </c>
      <c r="Z147" s="151">
        <f>INPUT!BW167</f>
        <v>70.600000000000009</v>
      </c>
      <c r="AA147" s="122">
        <f>INPUT!BX167</f>
        <v>-7.4705111402358915</v>
      </c>
      <c r="AB147" s="151">
        <f>INPUT!BY167</f>
        <v>73.2</v>
      </c>
      <c r="AC147" s="687">
        <f>INPUT!BZ167</f>
        <v>-2.9177718832891331</v>
      </c>
      <c r="AD147" s="151">
        <f>INPUT!CA167</f>
        <v>70.3</v>
      </c>
      <c r="AE147" s="687">
        <f>INPUT!CB167</f>
        <v>-8.8197146562905449</v>
      </c>
      <c r="AF147" s="151">
        <f>INPUT!CC167</f>
        <v>83.2</v>
      </c>
      <c r="AG147" s="687">
        <f>INPUT!CD167</f>
        <v>-31.803278688524582</v>
      </c>
      <c r="AH147" s="151">
        <f>INPUT!CE167</f>
        <v>79.900000000000006</v>
      </c>
      <c r="AI147" s="507">
        <f>INPUT!CF167</f>
        <v>13.172804532577898</v>
      </c>
      <c r="AJ147" s="151">
        <f>INPUT!CG167</f>
        <v>85.2</v>
      </c>
      <c r="AK147" s="507">
        <f>INPUT!CH167</f>
        <v>16.393442622950815</v>
      </c>
      <c r="AL147" s="151">
        <f>INPUT!CI167</f>
        <v>65.5</v>
      </c>
      <c r="AM147" s="507">
        <f>INPUT!CJ167</f>
        <v>-6.8278805120910331</v>
      </c>
      <c r="AN147" s="151">
        <f>INPUT!CK167</f>
        <v>102.9</v>
      </c>
      <c r="AO147" s="507">
        <f>INPUT!CL167</f>
        <v>23.677884615384627</v>
      </c>
      <c r="AP147" s="151">
        <f>INPUT!CM167</f>
        <v>86</v>
      </c>
      <c r="AQ147" s="507">
        <f>INPUT!CN167</f>
        <v>7.6345431789737184</v>
      </c>
      <c r="AR147" s="151">
        <f>INPUT!CO167</f>
        <v>92.9</v>
      </c>
      <c r="AS147" s="507">
        <f>INPUT!CP167</f>
        <v>9.0375586854460224</v>
      </c>
      <c r="AT147" s="151">
        <f>INPUT!CQ167</f>
        <v>84.8</v>
      </c>
      <c r="AU147" s="507">
        <f>INPUT!CR167</f>
        <v>29.465648854961835</v>
      </c>
      <c r="AV147" s="151">
        <f>INPUT!CS167</f>
        <v>89</v>
      </c>
      <c r="AW147" s="507">
        <f>INPUT!CT167</f>
        <v>-13.508260447035958</v>
      </c>
      <c r="AX147" s="151">
        <f>INPUT!CU167</f>
        <v>94</v>
      </c>
      <c r="AY147" s="507">
        <f>INPUT!CV167</f>
        <v>9.302325581395344</v>
      </c>
      <c r="AZ147" s="151">
        <f>INPUT!CW167</f>
        <v>96</v>
      </c>
      <c r="BA147" s="507">
        <f>INPUT!CX167</f>
        <v>3.3369214208826659</v>
      </c>
      <c r="BB147" s="151">
        <f>INPUT!CY167</f>
        <v>102</v>
      </c>
      <c r="BC147" s="507">
        <f>INPUT!CZ167</f>
        <v>20.28301886792454</v>
      </c>
      <c r="BD147" s="151">
        <f>INPUT!DA167</f>
        <v>112</v>
      </c>
      <c r="BE147" s="507">
        <f>INPUT!DB167</f>
        <v>25.842696629213478</v>
      </c>
      <c r="BF147" s="151">
        <f>INPUT!DC167</f>
        <v>95</v>
      </c>
      <c r="BG147" s="507">
        <f>INPUT!DD167</f>
        <v>1.0638297872340496</v>
      </c>
      <c r="BH147" s="151">
        <f>INPUT!DE167</f>
        <v>100</v>
      </c>
      <c r="BI147" s="507">
        <f>INPUT!DF167</f>
        <v>4.1666666666666741</v>
      </c>
      <c r="BJ147" s="151">
        <f>INPUT!DG167</f>
        <v>107</v>
      </c>
      <c r="BK147" s="507">
        <f>INPUT!DH167</f>
        <v>4.9019607843137303</v>
      </c>
      <c r="BL147" s="151">
        <f>INPUT!DI167</f>
        <v>109</v>
      </c>
      <c r="BM147" s="507">
        <f>INPUT!DJ167</f>
        <v>-2.6785714285714302</v>
      </c>
      <c r="BN147" s="151">
        <f>INPUT!DK167</f>
        <v>100</v>
      </c>
      <c r="BO147" s="507">
        <f>INPUT!DL167</f>
        <v>5.2631578947368363</v>
      </c>
      <c r="BP147" s="151">
        <f>INPUT!DM167</f>
        <v>98</v>
      </c>
      <c r="BQ147" s="507">
        <f>INPUT!DN167</f>
        <v>-2.0000000000000018</v>
      </c>
      <c r="BR147" s="151">
        <f>INPUT!DO167</f>
        <v>99</v>
      </c>
      <c r="BS147" s="507">
        <f>INPUT!DP167</f>
        <v>-7.4766355140186924</v>
      </c>
      <c r="BT147" s="151">
        <f>INPUT!DQ167</f>
        <v>109</v>
      </c>
      <c r="BU147" s="507">
        <f>INPUT!DR167</f>
        <v>0</v>
      </c>
      <c r="BV147" s="151">
        <f>INPUT!DS167</f>
        <v>102</v>
      </c>
      <c r="BW147" s="507">
        <f>INPUT!DT167</f>
        <v>2.0000000000000018</v>
      </c>
      <c r="BX147" s="151">
        <f>INPUT!DU167</f>
        <v>108</v>
      </c>
      <c r="BY147" s="507">
        <f>INPUT!DV167</f>
        <v>10.20408163265305</v>
      </c>
      <c r="BZ147" s="151">
        <f>INPUT!DW167</f>
        <v>101</v>
      </c>
      <c r="CA147" s="507">
        <f>INPUT!DX167</f>
        <v>101</v>
      </c>
      <c r="CB147" s="151">
        <f>INPUT!DY167</f>
        <v>105</v>
      </c>
      <c r="CC147" s="507">
        <f>INPUT!DZ167</f>
        <v>-3.669724770642202</v>
      </c>
      <c r="CD147" s="151">
        <f>INPUT!EA167</f>
        <v>101</v>
      </c>
      <c r="CE147" s="507">
        <f>INPUT!EB167</f>
        <v>-0.98039215686274161</v>
      </c>
      <c r="CF147" s="151">
        <f>INPUT!EC167</f>
        <v>102</v>
      </c>
      <c r="CG147" s="507">
        <f>INPUT!ED167</f>
        <v>-5.555555555555558</v>
      </c>
      <c r="CH147" s="151">
        <f>INPUT!EE167</f>
        <v>109</v>
      </c>
      <c r="CI147" s="507">
        <f>INPUT!EF167</f>
        <v>7.9207920792079278</v>
      </c>
      <c r="CJ147" s="151">
        <f>INPUT!EG167</f>
        <v>104</v>
      </c>
      <c r="CK147" s="507">
        <f>INPUT!EH167</f>
        <v>-0.952380952380949</v>
      </c>
      <c r="CL147" s="151">
        <f>INPUT!EI167</f>
        <v>102</v>
      </c>
      <c r="CM147" s="507">
        <f>INPUT!EJ167</f>
        <v>0.99009900990099098</v>
      </c>
      <c r="CN147" s="151">
        <f>INPUT!EK167</f>
        <v>106</v>
      </c>
      <c r="CO147" s="507">
        <f>INPUT!EL167</f>
        <v>3.9215686274509887</v>
      </c>
      <c r="CP147" s="151">
        <f>INPUT!EM167</f>
        <v>107</v>
      </c>
      <c r="CQ147" s="507">
        <f>INPUT!EN167</f>
        <v>-1.834862385321101</v>
      </c>
      <c r="CR147" s="151">
        <f>INPUT!EO167</f>
        <v>109</v>
      </c>
      <c r="CS147" s="507">
        <f>INPUT!EP167</f>
        <v>4.8076923076923128</v>
      </c>
      <c r="CT147" s="151">
        <f>INPUT!EQ167</f>
        <v>116.00061349847795</v>
      </c>
      <c r="CU147" s="507">
        <f>INPUT!ER167</f>
        <v>13.726091665174467</v>
      </c>
      <c r="CV147" s="151">
        <f>INPUT!ES167</f>
        <v>115.84792960635215</v>
      </c>
      <c r="CW147" s="507">
        <f>INPUT!ET167</f>
        <v>9.2904996286341088</v>
      </c>
      <c r="CX147" s="151">
        <f>INPUT!EU167</f>
        <v>117.04320944247867</v>
      </c>
      <c r="CY147" s="507">
        <f>INPUT!EV167</f>
        <v>9.3861770490454965</v>
      </c>
      <c r="CZ147" s="151">
        <f>INPUT!EW167</f>
        <v>117.86593718397783</v>
      </c>
      <c r="DA147" s="507">
        <f>INPUT!EX167</f>
        <v>8.1338873247503116</v>
      </c>
      <c r="DB147" s="507"/>
      <c r="DC147" s="151">
        <f>INPUT!FP167</f>
        <v>282.5</v>
      </c>
      <c r="DD147" s="687">
        <f>INPUT!FQ167</f>
        <v>2.7272727272727337</v>
      </c>
      <c r="DE147" s="151">
        <f>INPUT!FR167</f>
        <v>297.5</v>
      </c>
      <c r="DF147" s="687">
        <f>INPUT!FS167</f>
        <v>5.3097345132743445</v>
      </c>
      <c r="DG147" s="151">
        <f>INPUT!FT167</f>
        <v>314.2</v>
      </c>
      <c r="DH147" s="687">
        <f>INPUT!FU167</f>
        <v>5.6134453781512494</v>
      </c>
      <c r="DI147" s="151">
        <f>INPUT!FV167</f>
        <v>350.8</v>
      </c>
      <c r="DJ147" s="687">
        <f>INPUT!FW167</f>
        <v>11.648631444939529</v>
      </c>
      <c r="DK147" s="151">
        <f>INPUT!FX167</f>
        <v>297.3</v>
      </c>
      <c r="DL147" s="507">
        <f>INPUT!FY167</f>
        <v>-15.250855188141388</v>
      </c>
      <c r="DM147" s="151">
        <f>INPUT!FZ167</f>
        <v>333.5</v>
      </c>
      <c r="DN147" s="507">
        <f>INPUT!GA167</f>
        <v>12.176252943155053</v>
      </c>
      <c r="DO147" s="151">
        <f>INPUT!GB167</f>
        <v>352.7</v>
      </c>
      <c r="DP147" s="507">
        <f>INPUT!GC167</f>
        <v>5.7571214392803549</v>
      </c>
      <c r="DQ147" s="151">
        <f>INPUT!GD167</f>
        <v>404</v>
      </c>
      <c r="DR147" s="507">
        <f>INPUT!GE167</f>
        <v>14.544939041678484</v>
      </c>
      <c r="DS147" s="151">
        <f>INPUT!GF167</f>
        <v>411</v>
      </c>
      <c r="DT147" s="507">
        <f>INPUT!GG167</f>
        <v>1.7326732673267342</v>
      </c>
      <c r="DU147" s="151">
        <f>INPUT!GH167</f>
        <v>406</v>
      </c>
      <c r="DV147" s="507">
        <f>INPUT!GI167</f>
        <v>-1.2165450121654486</v>
      </c>
      <c r="DW147" s="151">
        <f>INPUT!GJ167</f>
        <v>416</v>
      </c>
      <c r="DX147" s="507">
        <f>INPUT!GK167</f>
        <v>2.4630541871921263</v>
      </c>
      <c r="DY147" s="151">
        <f>INPUT!GL167</f>
        <v>416</v>
      </c>
      <c r="DZ147" s="507">
        <f>INPUT!GM167</f>
        <v>0</v>
      </c>
      <c r="EA147" s="151">
        <f>INPUT!GN167</f>
        <v>424</v>
      </c>
      <c r="EB147" s="507">
        <f>INPUT!GO167</f>
        <v>1.9230769230769162</v>
      </c>
      <c r="EC147" s="151">
        <f>INPUT!GP167</f>
        <v>466.75768973128663</v>
      </c>
      <c r="ED147" s="507">
        <f>INPUT!GQ167</f>
        <v>10.084360785680801</v>
      </c>
      <c r="EE147" s="151">
        <f>INPUT!GR167</f>
        <v>480.71278220652391</v>
      </c>
      <c r="EF147" s="507">
        <f>INPUT!GS167</f>
        <v>2.9897938014200154</v>
      </c>
      <c r="EG147" s="151">
        <f>INPUT!GT167</f>
        <v>495.14676129995286</v>
      </c>
      <c r="EH147" s="507">
        <f>INPUT!GU167</f>
        <v>3.0026201981098621</v>
      </c>
      <c r="EI147" s="151">
        <f>INPUT!GV167</f>
        <v>511.39116455389012</v>
      </c>
      <c r="EJ147" s="507">
        <f>INPUT!GW167</f>
        <v>3.2807249332075683</v>
      </c>
      <c r="EK147" s="151">
        <f>INPUT!GX167</f>
        <v>529.40357970445802</v>
      </c>
      <c r="EL147" s="507">
        <f>INPUT!GY167</f>
        <v>3.5222382393487406</v>
      </c>
      <c r="EM147" s="687">
        <f>INPUT!GZ167</f>
        <v>4.5404110493491467</v>
      </c>
    </row>
    <row r="148" spans="1:143" ht="12.75" hidden="1" customHeight="1" outlineLevel="1" x14ac:dyDescent="0.2">
      <c r="A148" s="700" t="str">
        <f>INPUT!B168</f>
        <v xml:space="preserve"> Total Benefits and Expenses</v>
      </c>
      <c r="B148" s="706">
        <f>INPUT!AY168</f>
        <v>174</v>
      </c>
      <c r="C148" s="507">
        <f>INPUT!AZ168</f>
        <v>1.4577259475218707</v>
      </c>
      <c r="D148" s="706">
        <f>INPUT!BA168</f>
        <v>171.9</v>
      </c>
      <c r="E148" s="687">
        <f>INPUT!BB168</f>
        <v>0.17482517482516613</v>
      </c>
      <c r="F148" s="706">
        <f>INPUT!BC168</f>
        <v>177.6</v>
      </c>
      <c r="G148" s="687">
        <f>INPUT!BD168</f>
        <v>9.0239410681399512</v>
      </c>
      <c r="H148" s="706">
        <f>INPUT!BE168</f>
        <v>184.60000000000002</v>
      </c>
      <c r="I148" s="687">
        <f>INPUT!BF168</f>
        <v>3.5333707234997291</v>
      </c>
      <c r="J148" s="706">
        <f>INPUT!BG168</f>
        <v>175.89999999999998</v>
      </c>
      <c r="K148" s="687">
        <f>INPUT!BH168</f>
        <v>1.091954022988495</v>
      </c>
      <c r="L148" s="706">
        <f>INPUT!BI168</f>
        <v>185.2</v>
      </c>
      <c r="M148" s="687">
        <f>INPUT!BJ168</f>
        <v>7.7370564281558973</v>
      </c>
      <c r="N148" s="706">
        <f>INPUT!BK168</f>
        <v>189.3</v>
      </c>
      <c r="O148" s="687">
        <f>INPUT!BL168</f>
        <v>6.587837837837851</v>
      </c>
      <c r="P148" s="706">
        <f>INPUT!BM168</f>
        <v>182.1</v>
      </c>
      <c r="Q148" s="687">
        <f>INPUT!BN168</f>
        <v>-1.3542795232936222</v>
      </c>
      <c r="R148" s="706">
        <f>INPUT!BO168</f>
        <v>182.2</v>
      </c>
      <c r="S148" s="687">
        <f>INPUT!BP168</f>
        <v>3.5815804434337739</v>
      </c>
      <c r="T148" s="706">
        <f>INPUT!BQ168</f>
        <v>182.4</v>
      </c>
      <c r="U148" s="687">
        <f>INPUT!BR168</f>
        <v>-1.5118790496760126</v>
      </c>
      <c r="V148" s="706">
        <f>INPUT!BS168</f>
        <v>183.9</v>
      </c>
      <c r="W148" s="687">
        <f>INPUT!BT168</f>
        <v>-2.8526148969889142</v>
      </c>
      <c r="X148" s="706">
        <f>INPUT!BU168</f>
        <v>231.8</v>
      </c>
      <c r="Y148" s="687">
        <f>INPUT!BV168</f>
        <v>27.292696320702923</v>
      </c>
      <c r="Z148" s="706">
        <f>INPUT!BW168</f>
        <v>182.10000000000002</v>
      </c>
      <c r="AA148" s="122">
        <f>INPUT!BX168</f>
        <v>-5.4884742041694246E-2</v>
      </c>
      <c r="AB148" s="706">
        <f>INPUT!BY168</f>
        <v>185.2</v>
      </c>
      <c r="AC148" s="687">
        <f>INPUT!BZ168</f>
        <v>1.5350877192982448</v>
      </c>
      <c r="AD148" s="706">
        <f>INPUT!CA168</f>
        <v>181.2</v>
      </c>
      <c r="AE148" s="687">
        <f>INPUT!CB168</f>
        <v>-1.4681892332789603</v>
      </c>
      <c r="AF148" s="706">
        <f>INPUT!CC168</f>
        <v>194.3</v>
      </c>
      <c r="AG148" s="687">
        <f>INPUT!CD168</f>
        <v>-16.177739430543568</v>
      </c>
      <c r="AH148" s="706">
        <f>INPUT!CE168</f>
        <v>190.3</v>
      </c>
      <c r="AI148" s="507">
        <f>INPUT!CF168</f>
        <v>4.5030203185063122</v>
      </c>
      <c r="AJ148" s="706">
        <f>INPUT!CG168</f>
        <v>195.2</v>
      </c>
      <c r="AK148" s="507">
        <f>INPUT!CH168</f>
        <v>5.3995680345572339</v>
      </c>
      <c r="AL148" s="706">
        <f>INPUT!CI168</f>
        <v>175.7</v>
      </c>
      <c r="AM148" s="507">
        <f>INPUT!CJ168</f>
        <v>-3.0353200883002196</v>
      </c>
      <c r="AN148" s="706">
        <f>INPUT!CK168</f>
        <v>212.3</v>
      </c>
      <c r="AO148" s="507">
        <f>INPUT!CL168</f>
        <v>9.2640247040658874</v>
      </c>
      <c r="AP148" s="706">
        <f>INPUT!CM168</f>
        <v>194</v>
      </c>
      <c r="AQ148" s="507">
        <f>INPUT!CN168</f>
        <v>1.944298476090367</v>
      </c>
      <c r="AR148" s="706">
        <f>INPUT!CO168</f>
        <v>201.5</v>
      </c>
      <c r="AS148" s="507">
        <f>INPUT!CP168</f>
        <v>3.2274590163934525</v>
      </c>
      <c r="AT148" s="706">
        <f>INPUT!CQ168</f>
        <v>194.3</v>
      </c>
      <c r="AU148" s="507">
        <f>INPUT!CR168</f>
        <v>10.586226522481512</v>
      </c>
      <c r="AV148" s="706">
        <f>INPUT!CS168</f>
        <v>201</v>
      </c>
      <c r="AW148" s="507">
        <f>INPUT!CT168</f>
        <v>-5.3226566179934149</v>
      </c>
      <c r="AX148" s="706">
        <f>INPUT!CU168</f>
        <v>205</v>
      </c>
      <c r="AY148" s="507">
        <f>INPUT!CV168</f>
        <v>5.6701030927835072</v>
      </c>
      <c r="AZ148" s="706">
        <f>INPUT!CW168</f>
        <v>208</v>
      </c>
      <c r="BA148" s="507">
        <f>INPUT!CX168</f>
        <v>3.2258064516129004</v>
      </c>
      <c r="BB148" s="706">
        <f>INPUT!CY168</f>
        <v>216</v>
      </c>
      <c r="BC148" s="507">
        <f>INPUT!CZ168</f>
        <v>11.168296448790516</v>
      </c>
      <c r="BD148" s="706">
        <f>INPUT!DA168</f>
        <v>227</v>
      </c>
      <c r="BE148" s="507">
        <f>INPUT!DB168</f>
        <v>12.935323383084585</v>
      </c>
      <c r="BF148" s="706">
        <f>INPUT!DC168</f>
        <v>212</v>
      </c>
      <c r="BG148" s="507">
        <f>INPUT!DD168</f>
        <v>3.4146341463414664</v>
      </c>
      <c r="BH148" s="706">
        <f>INPUT!DE168</f>
        <v>217</v>
      </c>
      <c r="BI148" s="507">
        <f>INPUT!DF168</f>
        <v>4.3269230769230838</v>
      </c>
      <c r="BJ148" s="706">
        <f>INPUT!DG168</f>
        <v>225</v>
      </c>
      <c r="BK148" s="507">
        <f>INPUT!DH168</f>
        <v>4.1666666666666741</v>
      </c>
      <c r="BL148" s="706">
        <f>INPUT!DI168</f>
        <v>227</v>
      </c>
      <c r="BM148" s="507">
        <f>INPUT!DJ168</f>
        <v>0</v>
      </c>
      <c r="BN148" s="706">
        <f>INPUT!DK168</f>
        <v>218</v>
      </c>
      <c r="BO148" s="507">
        <f>INPUT!DL168</f>
        <v>2.8301886792452935</v>
      </c>
      <c r="BP148" s="706">
        <f>INPUT!DM168</f>
        <v>216</v>
      </c>
      <c r="BQ148" s="507">
        <f>INPUT!DN168</f>
        <v>-0.46082949308755561</v>
      </c>
      <c r="BR148" s="706">
        <f>INPUT!DO168</f>
        <v>217</v>
      </c>
      <c r="BS148" s="507">
        <f>INPUT!DP168</f>
        <v>-3.5555555555555562</v>
      </c>
      <c r="BT148" s="706">
        <f>INPUT!DQ168</f>
        <v>228</v>
      </c>
      <c r="BU148" s="507">
        <f>INPUT!DR168</f>
        <v>0.4405286343612369</v>
      </c>
      <c r="BV148" s="706">
        <f>INPUT!DS168</f>
        <v>225</v>
      </c>
      <c r="BW148" s="507">
        <f>INPUT!DT168</f>
        <v>3.2110091743119185</v>
      </c>
      <c r="BX148" s="706">
        <f>INPUT!DU168</f>
        <v>231</v>
      </c>
      <c r="BY148" s="507">
        <f>INPUT!DV168</f>
        <v>6.944444444444442</v>
      </c>
      <c r="BZ148" s="706">
        <f>INPUT!DW168</f>
        <v>225</v>
      </c>
      <c r="CA148" s="507">
        <f>INPUT!DX168</f>
        <v>225</v>
      </c>
      <c r="CB148" s="706">
        <f>INPUT!DY168</f>
        <v>231</v>
      </c>
      <c r="CC148" s="507">
        <f>INPUT!DZ168</f>
        <v>1.3157894736842035</v>
      </c>
      <c r="CD148" s="706">
        <f>INPUT!EA168</f>
        <v>226</v>
      </c>
      <c r="CE148" s="507">
        <f>INPUT!EB168</f>
        <v>0.44444444444444731</v>
      </c>
      <c r="CF148" s="706">
        <f>INPUT!EC168</f>
        <v>229</v>
      </c>
      <c r="CG148" s="507">
        <f>INPUT!ED168</f>
        <v>-0.86580086580086979</v>
      </c>
      <c r="CH148" s="706">
        <f>INPUT!EE168</f>
        <v>237</v>
      </c>
      <c r="CI148" s="507">
        <f>INPUT!EF168</f>
        <v>5.3333333333333233</v>
      </c>
      <c r="CJ148" s="706">
        <f>INPUT!EG168</f>
        <v>238</v>
      </c>
      <c r="CK148" s="507">
        <f>INPUT!EH168</f>
        <v>3.0303030303030276</v>
      </c>
      <c r="CL148" s="706">
        <f>INPUT!EI168</f>
        <v>234</v>
      </c>
      <c r="CM148" s="507">
        <f>INPUT!EJ168</f>
        <v>3.539823008849563</v>
      </c>
      <c r="CN148" s="706">
        <f>INPUT!EK168</f>
        <v>240</v>
      </c>
      <c r="CO148" s="507">
        <f>INPUT!EL168</f>
        <v>4.8034934497816595</v>
      </c>
      <c r="CP148" s="706">
        <f>INPUT!EM168</f>
        <v>243</v>
      </c>
      <c r="CQ148" s="507">
        <f>INPUT!EN168</f>
        <v>2.5316455696202445</v>
      </c>
      <c r="CR148" s="706">
        <f>INPUT!EO168</f>
        <v>245</v>
      </c>
      <c r="CS148" s="507">
        <f>INPUT!EP168</f>
        <v>2.9411764705882248</v>
      </c>
      <c r="CT148" s="706">
        <f>INPUT!EQ168</f>
        <v>254.44136803552323</v>
      </c>
      <c r="CU148" s="507">
        <f>INPUT!ER168</f>
        <v>8.7356273656082237</v>
      </c>
      <c r="CV148" s="706">
        <f>INPUT!ES168</f>
        <v>255.53063278680017</v>
      </c>
      <c r="CW148" s="507">
        <f>INPUT!ET168</f>
        <v>6.4710969945000807</v>
      </c>
      <c r="CX148" s="706">
        <f>INPUT!EU168</f>
        <v>259.68612854398401</v>
      </c>
      <c r="CY148" s="507">
        <f>INPUT!EV168</f>
        <v>6.8667195654255275</v>
      </c>
      <c r="CZ148" s="706">
        <f>INPUT!EW168</f>
        <v>263.05892746389594</v>
      </c>
      <c r="DA148" s="507">
        <f>INPUT!EX168</f>
        <v>7.3709908015901826</v>
      </c>
      <c r="DB148" s="507"/>
      <c r="DC148" s="706">
        <f>INPUT!FP168</f>
        <v>684.3</v>
      </c>
      <c r="DD148" s="687">
        <f>INPUT!FQ168</f>
        <v>1.8303571428571308</v>
      </c>
      <c r="DE148" s="706">
        <f>INPUT!FR168</f>
        <v>708.1</v>
      </c>
      <c r="DF148" s="687">
        <f>INPUT!FS168</f>
        <v>3.4780067221978683</v>
      </c>
      <c r="DG148" s="706">
        <f>INPUT!FT168</f>
        <v>732.5</v>
      </c>
      <c r="DH148" s="687">
        <f>INPUT!FU168</f>
        <v>3.4458409829120074</v>
      </c>
      <c r="DI148" s="706">
        <f>INPUT!FV168</f>
        <v>780.3</v>
      </c>
      <c r="DJ148" s="687">
        <f>INPUT!FW168</f>
        <v>6.5255972696245612</v>
      </c>
      <c r="DK148" s="706">
        <f>INPUT!FX168</f>
        <v>742.8</v>
      </c>
      <c r="DL148" s="507">
        <f>INPUT!FY168</f>
        <v>-4.8058439061899332</v>
      </c>
      <c r="DM148" s="706">
        <f>INPUT!FZ168</f>
        <v>773.5</v>
      </c>
      <c r="DN148" s="507">
        <f>INPUT!GA168</f>
        <v>4.1330102315562778</v>
      </c>
      <c r="DO148" s="706">
        <f>INPUT!GB168</f>
        <v>790.8</v>
      </c>
      <c r="DP148" s="507">
        <f>INPUT!GC168</f>
        <v>2.2365869424692875</v>
      </c>
      <c r="DQ148" s="706">
        <f>INPUT!GD168</f>
        <v>856</v>
      </c>
      <c r="DR148" s="507">
        <f>INPUT!GE168</f>
        <v>8.2448153768335928</v>
      </c>
      <c r="DS148" s="706">
        <f>INPUT!GF168</f>
        <v>881</v>
      </c>
      <c r="DT148" s="507">
        <f>INPUT!GG168</f>
        <v>2.9205607476635587</v>
      </c>
      <c r="DU148" s="706">
        <f>INPUT!GH168</f>
        <v>879</v>
      </c>
      <c r="DV148" s="507">
        <f>INPUT!GI168</f>
        <v>-0.22701475595914289</v>
      </c>
      <c r="DW148" s="706">
        <f>INPUT!GJ168</f>
        <v>912</v>
      </c>
      <c r="DX148" s="507">
        <f>INPUT!GK168</f>
        <v>3.7542662116040848</v>
      </c>
      <c r="DY148" s="706">
        <f>INPUT!GL168</f>
        <v>930</v>
      </c>
      <c r="DZ148" s="507">
        <f>INPUT!GM168</f>
        <v>1.9736842105263053</v>
      </c>
      <c r="EA148" s="706">
        <f>INPUT!GN168</f>
        <v>962</v>
      </c>
      <c r="EB148" s="507">
        <f>INPUT!GO168</f>
        <v>3.4408602150537648</v>
      </c>
      <c r="EC148" s="706">
        <f>INPUT!GP168</f>
        <v>1032.7170568302035</v>
      </c>
      <c r="ED148" s="507">
        <f>INPUT!GQ168</f>
        <v>7.351045408545076</v>
      </c>
      <c r="EE148" s="706">
        <f>INPUT!GR168</f>
        <v>1070.2743084275398</v>
      </c>
      <c r="EF148" s="507">
        <f>INPUT!GS168</f>
        <v>3.6367416756544646</v>
      </c>
      <c r="EG148" s="706">
        <f>INPUT!GT168</f>
        <v>1102.9298845906633</v>
      </c>
      <c r="EH148" s="507">
        <f>INPUT!GU168</f>
        <v>3.0511408062388723</v>
      </c>
      <c r="EI148" s="706">
        <f>INPUT!GV168</f>
        <v>1139.6813821679966</v>
      </c>
      <c r="EJ148" s="507">
        <f>INPUT!GW168</f>
        <v>3.332169895004089</v>
      </c>
      <c r="EK148" s="706">
        <f>INPUT!GX168</f>
        <v>1180.4328472369011</v>
      </c>
      <c r="EL148" s="507">
        <f>INPUT!GY168</f>
        <v>3.5756892853144429</v>
      </c>
      <c r="EM148" s="687">
        <f>INPUT!GZ168</f>
        <v>4.1773348508998387</v>
      </c>
    </row>
    <row r="149" spans="1:143" ht="12.75" hidden="1" customHeight="1" outlineLevel="1" x14ac:dyDescent="0.2">
      <c r="A149" s="701"/>
      <c r="B149" s="16"/>
      <c r="C149" s="507"/>
      <c r="D149" s="16"/>
      <c r="E149" s="687"/>
      <c r="F149" s="16"/>
      <c r="G149" s="687"/>
      <c r="H149" s="16"/>
      <c r="I149" s="687"/>
      <c r="J149" s="16"/>
      <c r="K149" s="687"/>
      <c r="L149" s="16"/>
      <c r="M149" s="687"/>
      <c r="N149" s="16"/>
      <c r="O149" s="687"/>
      <c r="P149" s="16"/>
      <c r="Q149" s="687"/>
      <c r="R149" s="16"/>
      <c r="S149" s="687"/>
      <c r="T149" s="16"/>
      <c r="U149" s="687"/>
      <c r="V149" s="16"/>
      <c r="W149" s="687"/>
      <c r="X149" s="16"/>
      <c r="Y149" s="687"/>
      <c r="Z149" s="16"/>
      <c r="AA149" s="122"/>
      <c r="AB149" s="16"/>
      <c r="AC149" s="687"/>
      <c r="AD149" s="16"/>
      <c r="AE149" s="687"/>
      <c r="AF149" s="16"/>
      <c r="AG149" s="687"/>
      <c r="AH149" s="16"/>
      <c r="AI149" s="507"/>
      <c r="AJ149" s="16"/>
      <c r="AK149" s="507"/>
      <c r="AL149" s="16"/>
      <c r="AM149" s="507"/>
      <c r="AN149" s="16"/>
      <c r="AO149" s="507"/>
      <c r="AP149" s="16"/>
      <c r="AQ149" s="507"/>
      <c r="AR149" s="16"/>
      <c r="AS149" s="507"/>
      <c r="AT149" s="16"/>
      <c r="AU149" s="507"/>
      <c r="AV149" s="16"/>
      <c r="AW149" s="507"/>
      <c r="AX149" s="16"/>
      <c r="AY149" s="507"/>
      <c r="AZ149" s="16"/>
      <c r="BA149" s="507"/>
      <c r="BB149" s="16"/>
      <c r="BC149" s="507"/>
      <c r="BD149" s="16"/>
      <c r="BE149" s="507"/>
      <c r="BF149" s="16"/>
      <c r="BG149" s="507"/>
      <c r="BH149" s="16"/>
      <c r="BI149" s="507"/>
      <c r="BJ149" s="16"/>
      <c r="BK149" s="507"/>
      <c r="BL149" s="16"/>
      <c r="BM149" s="507"/>
      <c r="BN149" s="16"/>
      <c r="BO149" s="507"/>
      <c r="BP149" s="16"/>
      <c r="BQ149" s="507"/>
      <c r="BR149" s="16"/>
      <c r="BS149" s="507"/>
      <c r="BT149" s="16"/>
      <c r="BU149" s="507"/>
      <c r="BV149" s="16"/>
      <c r="BW149" s="507"/>
      <c r="BX149" s="16"/>
      <c r="BY149" s="507"/>
      <c r="BZ149" s="16"/>
      <c r="CA149" s="507"/>
      <c r="CB149" s="16"/>
      <c r="CC149" s="507"/>
      <c r="CD149" s="16"/>
      <c r="CE149" s="507"/>
      <c r="CF149" s="16"/>
      <c r="CG149" s="507"/>
      <c r="CH149" s="16"/>
      <c r="CI149" s="507"/>
      <c r="CJ149" s="16"/>
      <c r="CK149" s="507"/>
      <c r="CL149" s="16"/>
      <c r="CM149" s="507"/>
      <c r="CN149" s="16"/>
      <c r="CO149" s="507"/>
      <c r="CP149" s="16"/>
      <c r="CQ149" s="507"/>
      <c r="CR149" s="16"/>
      <c r="CS149" s="507"/>
      <c r="CT149" s="16"/>
      <c r="CU149" s="507"/>
      <c r="CV149" s="16"/>
      <c r="CW149" s="507"/>
      <c r="CX149" s="16"/>
      <c r="CY149" s="507"/>
      <c r="CZ149" s="16"/>
      <c r="DA149" s="507"/>
      <c r="DB149" s="507"/>
      <c r="DC149" s="16"/>
      <c r="DD149" s="687"/>
      <c r="DE149" s="16"/>
      <c r="DF149" s="687"/>
      <c r="DG149" s="16"/>
      <c r="DH149" s="687"/>
      <c r="DI149" s="16"/>
      <c r="DJ149" s="687"/>
      <c r="DK149" s="16"/>
      <c r="DL149" s="507"/>
      <c r="DM149" s="16"/>
      <c r="DN149" s="507"/>
      <c r="DO149" s="16"/>
      <c r="DP149" s="507"/>
      <c r="DQ149" s="16"/>
      <c r="DR149" s="507"/>
      <c r="DS149" s="16"/>
      <c r="DT149" s="507"/>
      <c r="DU149" s="16"/>
      <c r="DV149" s="507"/>
      <c r="DW149" s="16"/>
      <c r="DX149" s="507"/>
      <c r="DY149" s="16"/>
      <c r="DZ149" s="507"/>
      <c r="EA149" s="16"/>
      <c r="EB149" s="507"/>
      <c r="EC149" s="16"/>
      <c r="ED149" s="507"/>
      <c r="EE149" s="16"/>
      <c r="EF149" s="507"/>
      <c r="EG149" s="16"/>
      <c r="EH149" s="507"/>
      <c r="EI149" s="16"/>
      <c r="EJ149" s="507"/>
      <c r="EK149" s="16"/>
      <c r="EL149" s="507"/>
      <c r="EM149" s="687"/>
    </row>
    <row r="150" spans="1:143" ht="12.75" hidden="1" customHeight="1" outlineLevel="1" x14ac:dyDescent="0.2">
      <c r="A150" s="701" t="str">
        <f>INPUT!B174</f>
        <v>Pretax Earnings</v>
      </c>
      <c r="B150" s="151">
        <f>INPUT!AY174</f>
        <v>75.199999999999989</v>
      </c>
      <c r="C150" s="507">
        <f>INPUT!AZ174</f>
        <v>25.752508361203972</v>
      </c>
      <c r="D150" s="151">
        <f>INPUT!BA174</f>
        <v>77</v>
      </c>
      <c r="E150" s="687">
        <f>INPUT!BB174</f>
        <v>22.807017543859676</v>
      </c>
      <c r="F150" s="151">
        <f>INPUT!BC174</f>
        <v>67.5</v>
      </c>
      <c r="G150" s="687">
        <f>INPUT!BD174</f>
        <v>-10.94986807387861</v>
      </c>
      <c r="H150" s="151">
        <f>INPUT!BE174</f>
        <v>60.399999999999977</v>
      </c>
      <c r="I150" s="687">
        <f>INPUT!BF174</f>
        <v>-3.9745627980922071</v>
      </c>
      <c r="J150" s="151">
        <f>INPUT!BG174</f>
        <v>70.800000000000011</v>
      </c>
      <c r="K150" s="687">
        <f>INPUT!BH174</f>
        <v>-5.851063829787206</v>
      </c>
      <c r="L150" s="151">
        <f>INPUT!BI174</f>
        <v>66.800000000000011</v>
      </c>
      <c r="M150" s="687">
        <f>INPUT!BJ174</f>
        <v>-13.246753246753229</v>
      </c>
      <c r="N150" s="151">
        <f>INPUT!BK174</f>
        <v>54.099999999999994</v>
      </c>
      <c r="O150" s="687">
        <f>INPUT!BL174</f>
        <v>-19.851851851851865</v>
      </c>
      <c r="P150" s="151">
        <f>INPUT!BM174</f>
        <v>61.200000000000017</v>
      </c>
      <c r="Q150" s="687">
        <f>INPUT!BN174</f>
        <v>1.3245033112583515</v>
      </c>
      <c r="R150" s="151">
        <f>INPUT!BO174</f>
        <v>55.5</v>
      </c>
      <c r="S150" s="687">
        <f>INPUT!BP174</f>
        <v>-21.610169491525433</v>
      </c>
      <c r="T150" s="151">
        <f>INPUT!BQ174</f>
        <v>57</v>
      </c>
      <c r="U150" s="687">
        <f>INPUT!BR174</f>
        <v>-14.670658682634741</v>
      </c>
      <c r="V150" s="151">
        <f>INPUT!BS174</f>
        <v>57</v>
      </c>
      <c r="W150" s="687">
        <f>INPUT!BT174</f>
        <v>5.3604436229205188</v>
      </c>
      <c r="X150" s="151">
        <f>INPUT!BU174</f>
        <v>-17.300000000000011</v>
      </c>
      <c r="Y150" s="687" t="str">
        <f>INPUT!BV174</f>
        <v>NM</v>
      </c>
      <c r="Z150" s="151">
        <f>INPUT!BW174</f>
        <v>36.399999999999977</v>
      </c>
      <c r="AA150" s="122">
        <f>INPUT!BX174</f>
        <v>-34.414414414414452</v>
      </c>
      <c r="AB150" s="151">
        <f>INPUT!BY174</f>
        <v>38.300000000000011</v>
      </c>
      <c r="AC150" s="687">
        <f>INPUT!BZ174</f>
        <v>-32.807017543859629</v>
      </c>
      <c r="AD150" s="151">
        <f>INPUT!CA174</f>
        <v>59.400000000000006</v>
      </c>
      <c r="AE150" s="687">
        <f>INPUT!CB174</f>
        <v>4.2105263157894868</v>
      </c>
      <c r="AF150" s="151">
        <f>INPUT!CC174</f>
        <v>49.399999999999977</v>
      </c>
      <c r="AG150" s="687" t="str">
        <f>INPUT!CD174</f>
        <v>NM</v>
      </c>
      <c r="AH150" s="151">
        <f>INPUT!CE174</f>
        <v>50.199999999999989</v>
      </c>
      <c r="AI150" s="507">
        <f>INPUT!CF174</f>
        <v>37.912087912087976</v>
      </c>
      <c r="AJ150" s="151">
        <f>INPUT!CG174</f>
        <v>50.100000000000023</v>
      </c>
      <c r="AK150" s="507">
        <f>INPUT!CH174</f>
        <v>30.80939947780681</v>
      </c>
      <c r="AL150" s="151">
        <f>INPUT!CI174</f>
        <v>68.900000000000006</v>
      </c>
      <c r="AM150" s="507">
        <f>INPUT!CJ174</f>
        <v>15.993265993265982</v>
      </c>
      <c r="AN150" s="151">
        <f>INPUT!CK174</f>
        <v>45</v>
      </c>
      <c r="AO150" s="507">
        <f>INPUT!CL174</f>
        <v>-8.9068825910930798</v>
      </c>
      <c r="AP150" s="151">
        <f>INPUT!CM174</f>
        <v>69</v>
      </c>
      <c r="AQ150" s="507">
        <f>INPUT!CN174</f>
        <v>37.450199203187282</v>
      </c>
      <c r="AR150" s="151">
        <f>INPUT!CO174</f>
        <v>58.199999999999989</v>
      </c>
      <c r="AS150" s="507">
        <f>INPUT!CP174</f>
        <v>16.167664670658599</v>
      </c>
      <c r="AT150" s="151">
        <f>INPUT!CQ174</f>
        <v>53.5</v>
      </c>
      <c r="AU150" s="507">
        <f>INPUT!CR174</f>
        <v>-22.351233671988389</v>
      </c>
      <c r="AV150" s="151">
        <f>INPUT!CS174</f>
        <v>45</v>
      </c>
      <c r="AW150" s="507">
        <f>INPUT!CT174</f>
        <v>0</v>
      </c>
      <c r="AX150" s="151">
        <f>INPUT!CU174</f>
        <v>47</v>
      </c>
      <c r="AY150" s="507">
        <f>INPUT!CV174</f>
        <v>-31.884057971014489</v>
      </c>
      <c r="AZ150" s="151">
        <f>INPUT!CW174</f>
        <v>50</v>
      </c>
      <c r="BA150" s="507">
        <f>INPUT!CX174</f>
        <v>-14.089347079037784</v>
      </c>
      <c r="BB150" s="151">
        <f>INPUT!CY174</f>
        <v>39</v>
      </c>
      <c r="BC150" s="507">
        <f>INPUT!CZ174</f>
        <v>-27.10280373831776</v>
      </c>
      <c r="BD150" s="151">
        <f>INPUT!DA174</f>
        <v>32</v>
      </c>
      <c r="BE150" s="507">
        <f>INPUT!DB174</f>
        <v>-28.888888888888886</v>
      </c>
      <c r="BF150" s="151">
        <f>INPUT!DC174</f>
        <v>48</v>
      </c>
      <c r="BG150" s="507">
        <f>INPUT!DD174</f>
        <v>2.1276595744680771</v>
      </c>
      <c r="BH150" s="151">
        <f>INPUT!DE174</f>
        <v>54</v>
      </c>
      <c r="BI150" s="507">
        <f>INPUT!DF174</f>
        <v>8.0000000000000071</v>
      </c>
      <c r="BJ150" s="151">
        <f>INPUT!DG174</f>
        <v>44</v>
      </c>
      <c r="BK150" s="507">
        <f>INPUT!DH174</f>
        <v>12.820512820512819</v>
      </c>
      <c r="BL150" s="151">
        <f>INPUT!DI174</f>
        <v>44</v>
      </c>
      <c r="BM150" s="507">
        <f>INPUT!DJ174</f>
        <v>37.5</v>
      </c>
      <c r="BN150" s="151">
        <f>INPUT!DK174</f>
        <v>53</v>
      </c>
      <c r="BO150" s="507">
        <f>INPUT!DL174</f>
        <v>10.416666666666675</v>
      </c>
      <c r="BP150" s="151">
        <f>INPUT!DM174</f>
        <v>54</v>
      </c>
      <c r="BQ150" s="507">
        <f>INPUT!DN174</f>
        <v>0</v>
      </c>
      <c r="BR150" s="151">
        <f>INPUT!DO174</f>
        <v>55</v>
      </c>
      <c r="BS150" s="507">
        <f>INPUT!DP174</f>
        <v>25</v>
      </c>
      <c r="BT150" s="151">
        <f>INPUT!DQ174</f>
        <v>49</v>
      </c>
      <c r="BU150" s="507">
        <f>INPUT!DR174</f>
        <v>11.363636363636353</v>
      </c>
      <c r="BV150" s="151">
        <f>INPUT!DS174</f>
        <v>48</v>
      </c>
      <c r="BW150" s="507">
        <f>INPUT!DT174</f>
        <v>-9.4339622641509422</v>
      </c>
      <c r="BX150" s="151">
        <f>INPUT!DU174</f>
        <v>39</v>
      </c>
      <c r="BY150" s="507">
        <f>INPUT!DV174</f>
        <v>-27.777777777777779</v>
      </c>
      <c r="BZ150" s="151">
        <f>INPUT!DW174</f>
        <v>57</v>
      </c>
      <c r="CA150" s="507">
        <f>INPUT!DX174</f>
        <v>57</v>
      </c>
      <c r="CB150" s="151">
        <f>INPUT!DY174</f>
        <v>45</v>
      </c>
      <c r="CC150" s="507">
        <f>INPUT!DZ174</f>
        <v>-8.1632653061224474</v>
      </c>
      <c r="CD150" s="151">
        <f>INPUT!EA174</f>
        <v>41</v>
      </c>
      <c r="CE150" s="507">
        <f>INPUT!EB174</f>
        <v>-14.583333333333337</v>
      </c>
      <c r="CF150" s="151">
        <f>INPUT!EC174</f>
        <v>41</v>
      </c>
      <c r="CG150" s="507">
        <f>INPUT!ED174</f>
        <v>5.1282051282051322</v>
      </c>
      <c r="CH150" s="151">
        <f>INPUT!EE174</f>
        <v>45</v>
      </c>
      <c r="CI150" s="507">
        <f>INPUT!EF174</f>
        <v>-21.052631578947366</v>
      </c>
      <c r="CJ150" s="151">
        <f>INPUT!EG174</f>
        <v>46</v>
      </c>
      <c r="CK150" s="507">
        <f>INPUT!EH174</f>
        <v>2.2222222222222143</v>
      </c>
      <c r="CL150" s="151">
        <f>INPUT!EI174</f>
        <v>48</v>
      </c>
      <c r="CM150" s="507">
        <f>INPUT!EJ174</f>
        <v>17.073170731707311</v>
      </c>
      <c r="CN150" s="151">
        <f>INPUT!EK174</f>
        <v>50</v>
      </c>
      <c r="CO150" s="507">
        <f>INPUT!EL174</f>
        <v>21.95121951219512</v>
      </c>
      <c r="CP150" s="151">
        <f>INPUT!EM174</f>
        <v>48</v>
      </c>
      <c r="CQ150" s="507">
        <f>INPUT!EN174</f>
        <v>6.6666666666666652</v>
      </c>
      <c r="CR150" s="151">
        <f>INPUT!EO174</f>
        <v>57</v>
      </c>
      <c r="CS150" s="507">
        <f>INPUT!EP174</f>
        <v>23.913043478260864</v>
      </c>
      <c r="CT150" s="151">
        <f>INPUT!EQ174</f>
        <v>53.343347813168691</v>
      </c>
      <c r="CU150" s="507">
        <f>INPUT!ER174</f>
        <v>11.131974610768115</v>
      </c>
      <c r="CV150" s="151">
        <f>INPUT!ES174</f>
        <v>53.273135512410107</v>
      </c>
      <c r="CW150" s="507">
        <f>INPUT!ET174</f>
        <v>6.5462710248202161</v>
      </c>
      <c r="CX150" s="151">
        <f>INPUT!EU174</f>
        <v>53.82278974362157</v>
      </c>
      <c r="CY150" s="507">
        <f>INPUT!EV174</f>
        <v>12.130811965878262</v>
      </c>
      <c r="CZ150" s="151">
        <f>INPUT!EW174</f>
        <v>54.201124398471563</v>
      </c>
      <c r="DA150" s="507">
        <f>INPUT!EX174</f>
        <v>-4.910308072856906</v>
      </c>
      <c r="DB150" s="507"/>
      <c r="DC150" s="151">
        <f>INPUT!FP174</f>
        <v>261.20000000000005</v>
      </c>
      <c r="DD150" s="687">
        <f>INPUT!FQ174</f>
        <v>6.1788617886179065</v>
      </c>
      <c r="DE150" s="151">
        <f>INPUT!FR174</f>
        <v>280.10000000000002</v>
      </c>
      <c r="DF150" s="687">
        <f>INPUT!FS174</f>
        <v>7.2358346094946402</v>
      </c>
      <c r="DG150" s="151">
        <f>INPUT!FT174</f>
        <v>252.89999999999998</v>
      </c>
      <c r="DH150" s="687">
        <f>INPUT!FU174</f>
        <v>-9.7108175651553168</v>
      </c>
      <c r="DI150" s="151">
        <f>INPUT!FV174</f>
        <v>152.20000000000005</v>
      </c>
      <c r="DJ150" s="687">
        <f>INPUT!FW174</f>
        <v>-39.818109924871472</v>
      </c>
      <c r="DK150" s="151">
        <f>INPUT!FX174</f>
        <v>183.50000000000011</v>
      </c>
      <c r="DL150" s="507">
        <f>INPUT!FY174</f>
        <v>20.565045992115682</v>
      </c>
      <c r="DM150" s="151">
        <f>INPUT!FZ174</f>
        <v>214.20000000000005</v>
      </c>
      <c r="DN150" s="507">
        <f>INPUT!GA174</f>
        <v>16.730245231607576</v>
      </c>
      <c r="DO150" s="151">
        <f>INPUT!GB174</f>
        <v>225.70000000000005</v>
      </c>
      <c r="DP150" s="507">
        <f>INPUT!GC174</f>
        <v>5.3688141923436072</v>
      </c>
      <c r="DQ150" s="151">
        <f>INPUT!GD174</f>
        <v>168</v>
      </c>
      <c r="DR150" s="507">
        <f>INPUT!GE174</f>
        <v>-25.564909171466567</v>
      </c>
      <c r="DS150" s="151">
        <f>INPUT!GF174</f>
        <v>190</v>
      </c>
      <c r="DT150" s="507">
        <f>INPUT!GG174</f>
        <v>13.095238095238093</v>
      </c>
      <c r="DU150" s="151">
        <f>INPUT!GH174</f>
        <v>211</v>
      </c>
      <c r="DV150" s="507">
        <f>INPUT!GI174</f>
        <v>11.052631578947359</v>
      </c>
      <c r="DW150" s="151">
        <f>INPUT!GJ174</f>
        <v>189</v>
      </c>
      <c r="DX150" s="507">
        <f>INPUT!GK174</f>
        <v>-10.426540284360186</v>
      </c>
      <c r="DY150" s="151">
        <f>INPUT!GL174</f>
        <v>173</v>
      </c>
      <c r="DZ150" s="507">
        <f>INPUT!GM174</f>
        <v>-8.4656084656084651</v>
      </c>
      <c r="EA150" s="151">
        <f>INPUT!GN174</f>
        <v>203</v>
      </c>
      <c r="EB150" s="507">
        <f>INPUT!GO174</f>
        <v>17.341040462427749</v>
      </c>
      <c r="EC150" s="151">
        <f>INPUT!GP174</f>
        <v>214.64039746767185</v>
      </c>
      <c r="ED150" s="507">
        <f>INPUT!GQ174</f>
        <v>5.734185944665926</v>
      </c>
      <c r="EE150" s="151">
        <f>INPUT!GR174</f>
        <v>221.05770276650378</v>
      </c>
      <c r="EF150" s="507">
        <f>INPUT!GS174</f>
        <v>2.9897938014201042</v>
      </c>
      <c r="EG150" s="151">
        <f>INPUT!GT174</f>
        <v>227.69522599924835</v>
      </c>
      <c r="EH150" s="507">
        <f>INPUT!GU174</f>
        <v>3.0026201981097955</v>
      </c>
      <c r="EI150" s="151">
        <f>INPUT!GV174</f>
        <v>235.1652800503291</v>
      </c>
      <c r="EJ150" s="507">
        <f>INPUT!GW174</f>
        <v>3.2807249332076127</v>
      </c>
      <c r="EK150" s="151">
        <f>INPUT!GX174</f>
        <v>243.44836146993339</v>
      </c>
      <c r="EL150" s="507">
        <f>INPUT!GY174</f>
        <v>3.5222382393487628</v>
      </c>
      <c r="EM150" s="687">
        <f>INPUT!GZ174</f>
        <v>3.7008135684554411</v>
      </c>
    </row>
    <row r="151" spans="1:143" ht="12.75" hidden="1" customHeight="1" outlineLevel="1" x14ac:dyDescent="0.2">
      <c r="A151" s="701" t="str">
        <f>INPUT!B175</f>
        <v>Taxes</v>
      </c>
      <c r="B151" s="151">
        <f>INPUT!AY175</f>
        <v>22.7</v>
      </c>
      <c r="C151" s="507">
        <f>INPUT!AZ175</f>
        <v>36.74698795180722</v>
      </c>
      <c r="D151" s="151">
        <f>INPUT!BA175</f>
        <v>22.7</v>
      </c>
      <c r="E151" s="687">
        <f>INPUT!BB175</f>
        <v>30.459770114942543</v>
      </c>
      <c r="F151" s="151">
        <f>INPUT!BC175</f>
        <v>15</v>
      </c>
      <c r="G151" s="687">
        <f>INPUT!BD175</f>
        <v>-33.035714285714278</v>
      </c>
      <c r="H151" s="151">
        <f>INPUT!BE175</f>
        <v>15.8</v>
      </c>
      <c r="I151" s="687">
        <f>INPUT!BF175</f>
        <v>-10.734463276836149</v>
      </c>
      <c r="J151" s="151">
        <f>INPUT!BG175</f>
        <v>21.1</v>
      </c>
      <c r="K151" s="687">
        <f>INPUT!BH175</f>
        <v>-7.0484581497797238</v>
      </c>
      <c r="L151" s="151">
        <f>INPUT!BI175</f>
        <v>19.5</v>
      </c>
      <c r="M151" s="687">
        <f>INPUT!BJ175</f>
        <v>-14.096916299559471</v>
      </c>
      <c r="N151" s="151">
        <f>INPUT!BK175</f>
        <v>12.9</v>
      </c>
      <c r="O151" s="687">
        <f>INPUT!BL175</f>
        <v>-14.000000000000002</v>
      </c>
      <c r="P151" s="151">
        <f>INPUT!BM175</f>
        <v>18.100000000000001</v>
      </c>
      <c r="Q151" s="687">
        <f>INPUT!BN175</f>
        <v>14.556962025316466</v>
      </c>
      <c r="R151" s="151">
        <f>INPUT!BO175</f>
        <v>15.1</v>
      </c>
      <c r="S151" s="687">
        <f>INPUT!BP175</f>
        <v>-28.436018957345976</v>
      </c>
      <c r="T151" s="151">
        <f>INPUT!BQ175</f>
        <v>15.7</v>
      </c>
      <c r="U151" s="687">
        <f>INPUT!BR175</f>
        <v>-19.487179487179496</v>
      </c>
      <c r="V151" s="151">
        <f>INPUT!BS175</f>
        <v>14.9</v>
      </c>
      <c r="W151" s="687">
        <f>INPUT!BT175</f>
        <v>15.503875968992254</v>
      </c>
      <c r="X151" s="151">
        <f>INPUT!BU175</f>
        <v>-16.2</v>
      </c>
      <c r="Y151" s="687" t="str">
        <f>INPUT!BV175</f>
        <v>NM</v>
      </c>
      <c r="Z151" s="151">
        <f>INPUT!BW175</f>
        <v>6.6</v>
      </c>
      <c r="AA151" s="122" t="str">
        <f>INPUT!BX175</f>
        <v>NM</v>
      </c>
      <c r="AB151" s="151">
        <f>INPUT!BY175</f>
        <v>10.6</v>
      </c>
      <c r="AC151" s="687">
        <f>INPUT!BZ175</f>
        <v>-32.484076433121025</v>
      </c>
      <c r="AD151" s="151">
        <f>INPUT!CA175</f>
        <v>16.8</v>
      </c>
      <c r="AE151" s="687">
        <f>INPUT!CB175</f>
        <v>12.751677852348987</v>
      </c>
      <c r="AF151" s="151">
        <f>INPUT!CC175</f>
        <v>16.100000000000001</v>
      </c>
      <c r="AG151" s="687" t="str">
        <f>INPUT!CD175</f>
        <v>NM</v>
      </c>
      <c r="AH151" s="151">
        <f>INPUT!CE175</f>
        <v>14.3</v>
      </c>
      <c r="AI151" s="507" t="str">
        <f>INPUT!CF175</f>
        <v>NM</v>
      </c>
      <c r="AJ151" s="151">
        <f>INPUT!CG175</f>
        <v>14.1</v>
      </c>
      <c r="AK151" s="507">
        <f>INPUT!CH175</f>
        <v>33.018867924528308</v>
      </c>
      <c r="AL151" s="151">
        <f>INPUT!CI175</f>
        <v>19.100000000000001</v>
      </c>
      <c r="AM151" s="507">
        <f>INPUT!CJ175</f>
        <v>13.690476190476186</v>
      </c>
      <c r="AN151" s="151">
        <f>INPUT!CK175</f>
        <v>12.4</v>
      </c>
      <c r="AO151" s="507">
        <f>INPUT!CL175</f>
        <v>-22.981366459627338</v>
      </c>
      <c r="AP151" s="151">
        <f>INPUT!CM175</f>
        <v>21.3</v>
      </c>
      <c r="AQ151" s="507">
        <f>INPUT!CN175</f>
        <v>48.951048951048961</v>
      </c>
      <c r="AR151" s="151">
        <f>INPUT!CO175</f>
        <v>16.8</v>
      </c>
      <c r="AS151" s="507">
        <f>INPUT!CP175</f>
        <v>19.148936170212782</v>
      </c>
      <c r="AT151" s="151">
        <f>INPUT!CQ175</f>
        <v>14.3</v>
      </c>
      <c r="AU151" s="507">
        <f>INPUT!CR175</f>
        <v>-25.130890052356026</v>
      </c>
      <c r="AV151" s="151">
        <f>INPUT!CS175</f>
        <v>12</v>
      </c>
      <c r="AW151" s="507">
        <f>INPUT!CT175</f>
        <v>-3.2258064516129115</v>
      </c>
      <c r="AX151" s="151">
        <f>INPUT!CU175</f>
        <v>12</v>
      </c>
      <c r="AY151" s="507">
        <f>INPUT!CV175</f>
        <v>-43.661971830985912</v>
      </c>
      <c r="AZ151" s="151">
        <f>INPUT!CW175</f>
        <v>12</v>
      </c>
      <c r="BA151" s="507">
        <f>INPUT!CX175</f>
        <v>-28.571428571428569</v>
      </c>
      <c r="BB151" s="151">
        <f>INPUT!CY175</f>
        <v>10</v>
      </c>
      <c r="BC151" s="507">
        <f>INPUT!CZ175</f>
        <v>-30.069930069930074</v>
      </c>
      <c r="BD151" s="151">
        <f>INPUT!DA175</f>
        <v>4</v>
      </c>
      <c r="BE151" s="507" t="str">
        <f>INPUT!DB175</f>
        <v>NM</v>
      </c>
      <c r="BF151" s="151">
        <f>INPUT!DC175</f>
        <v>13</v>
      </c>
      <c r="BG151" s="507">
        <f>INPUT!DD175</f>
        <v>8.333333333333325</v>
      </c>
      <c r="BH151" s="151">
        <f>INPUT!DE175</f>
        <v>15</v>
      </c>
      <c r="BI151" s="507">
        <f>INPUT!DF175</f>
        <v>25</v>
      </c>
      <c r="BJ151" s="151">
        <f>INPUT!DG175</f>
        <v>11</v>
      </c>
      <c r="BK151" s="507">
        <f>INPUT!DH175</f>
        <v>10.000000000000009</v>
      </c>
      <c r="BL151" s="151">
        <f>INPUT!DI175</f>
        <v>10</v>
      </c>
      <c r="BM151" s="507" t="str">
        <f>INPUT!DJ175</f>
        <v>NM</v>
      </c>
      <c r="BN151" s="151">
        <f>INPUT!DK175</f>
        <v>14</v>
      </c>
      <c r="BO151" s="507">
        <f>INPUT!DL175</f>
        <v>7.6923076923076872</v>
      </c>
      <c r="BP151" s="151">
        <f>INPUT!DM175</f>
        <v>15</v>
      </c>
      <c r="BQ151" s="507">
        <f>INPUT!DN175</f>
        <v>0</v>
      </c>
      <c r="BR151" s="151">
        <f>INPUT!DO175</f>
        <v>15</v>
      </c>
      <c r="BS151" s="507">
        <f>INPUT!DP175</f>
        <v>36.363636363636353</v>
      </c>
      <c r="BT151" s="151">
        <f>INPUT!DQ175</f>
        <v>7</v>
      </c>
      <c r="BU151" s="507">
        <f>INPUT!DR175</f>
        <v>-30.000000000000004</v>
      </c>
      <c r="BV151" s="151">
        <f>INPUT!DS175</f>
        <v>13</v>
      </c>
      <c r="BW151" s="507">
        <f>INPUT!DT175</f>
        <v>-7.1428571428571397</v>
      </c>
      <c r="BX151" s="151">
        <f>INPUT!DU175</f>
        <v>9</v>
      </c>
      <c r="BY151" s="507">
        <f>INPUT!DV175</f>
        <v>-40</v>
      </c>
      <c r="BZ151" s="151">
        <f>INPUT!DW175</f>
        <v>15</v>
      </c>
      <c r="CA151" s="507">
        <f>INPUT!DX175</f>
        <v>15</v>
      </c>
      <c r="CB151" s="151">
        <f>INPUT!DY175</f>
        <v>12</v>
      </c>
      <c r="CC151" s="507">
        <f>INPUT!DZ175</f>
        <v>71.428571428571416</v>
      </c>
      <c r="CD151" s="151">
        <f>INPUT!EA175</f>
        <v>10</v>
      </c>
      <c r="CE151" s="507">
        <f>INPUT!EB175</f>
        <v>-23.076923076923073</v>
      </c>
      <c r="CF151" s="151">
        <f>INPUT!EC175</f>
        <v>10</v>
      </c>
      <c r="CG151" s="507">
        <f>INPUT!ED175</f>
        <v>11.111111111111116</v>
      </c>
      <c r="CH151" s="151">
        <f>INPUT!EE175</f>
        <v>13</v>
      </c>
      <c r="CI151" s="507">
        <f>INPUT!EF175</f>
        <v>-13.33333333333333</v>
      </c>
      <c r="CJ151" s="151">
        <f>INPUT!EG175</f>
        <v>12</v>
      </c>
      <c r="CK151" s="507">
        <f>INPUT!EH175</f>
        <v>0</v>
      </c>
      <c r="CL151" s="151">
        <f>INPUT!EI175</f>
        <v>11</v>
      </c>
      <c r="CM151" s="507">
        <f>INPUT!EJ175</f>
        <v>10.000000000000009</v>
      </c>
      <c r="CN151" s="151">
        <f>INPUT!EK175</f>
        <v>13</v>
      </c>
      <c r="CO151" s="507">
        <f>INPUT!EL175</f>
        <v>30.000000000000004</v>
      </c>
      <c r="CP151" s="151">
        <f>INPUT!EM175</f>
        <v>13</v>
      </c>
      <c r="CQ151" s="507">
        <f>INPUT!EN175</f>
        <v>0</v>
      </c>
      <c r="CR151" s="151">
        <f>INPUT!EO175</f>
        <v>16</v>
      </c>
      <c r="CS151" s="507">
        <f>INPUT!EP175</f>
        <v>33.333333333333329</v>
      </c>
      <c r="CT151" s="151">
        <f>INPUT!EQ175</f>
        <v>8.5349356501069913</v>
      </c>
      <c r="CU151" s="507">
        <f>INPUT!ER175</f>
        <v>-22.409675908118267</v>
      </c>
      <c r="CV151" s="151">
        <f>INPUT!ES175</f>
        <v>8.5237016819856173</v>
      </c>
      <c r="CW151" s="507">
        <f>INPUT!ET175</f>
        <v>-34.433063984726019</v>
      </c>
      <c r="CX151" s="151">
        <f>INPUT!EU175</f>
        <v>8.611646358979451</v>
      </c>
      <c r="CY151" s="507">
        <f>INPUT!EV175</f>
        <v>-33.756566469388837</v>
      </c>
      <c r="CZ151" s="151">
        <f>INPUT!EW175</f>
        <v>8.6721799037554508</v>
      </c>
      <c r="DA151" s="507">
        <f>INPUT!EX175</f>
        <v>-45.79887560152843</v>
      </c>
      <c r="DB151" s="507"/>
      <c r="DC151" s="151">
        <f>INPUT!FP175</f>
        <v>74.099999999999994</v>
      </c>
      <c r="DD151" s="687">
        <f>INPUT!FQ175</f>
        <v>10.597014925373127</v>
      </c>
      <c r="DE151" s="151">
        <f>INPUT!FR175</f>
        <v>76.2</v>
      </c>
      <c r="DF151" s="687">
        <f>INPUT!FS175</f>
        <v>2.8340080971660075</v>
      </c>
      <c r="DG151" s="151">
        <f>INPUT!FT175</f>
        <v>71.599999999999994</v>
      </c>
      <c r="DH151" s="687">
        <f>INPUT!FU175</f>
        <v>-6.0367454068241617</v>
      </c>
      <c r="DI151" s="151">
        <f>INPUT!FV175</f>
        <v>29.499999999999996</v>
      </c>
      <c r="DJ151" s="687" t="str">
        <f>INPUT!FW175</f>
        <v>NM</v>
      </c>
      <c r="DK151" s="151">
        <f>INPUT!FX175</f>
        <v>50.1</v>
      </c>
      <c r="DL151" s="507">
        <f>INPUT!FY175</f>
        <v>69.830508474576305</v>
      </c>
      <c r="DM151" s="151">
        <f>INPUT!FZ175</f>
        <v>59.9</v>
      </c>
      <c r="DN151" s="507">
        <f>INPUT!GA175</f>
        <v>19.56087824351296</v>
      </c>
      <c r="DO151" s="151">
        <f>INPUT!GB175</f>
        <v>64.400000000000006</v>
      </c>
      <c r="DP151" s="507">
        <f>INPUT!GC175</f>
        <v>7.5125208681135369</v>
      </c>
      <c r="DQ151" s="151">
        <f>INPUT!GD175</f>
        <v>38</v>
      </c>
      <c r="DR151" s="507">
        <f>INPUT!GE175</f>
        <v>-40.993788819875789</v>
      </c>
      <c r="DS151" s="151">
        <f>INPUT!GF175</f>
        <v>49</v>
      </c>
      <c r="DT151" s="507">
        <f>INPUT!GG175</f>
        <v>28.947368421052634</v>
      </c>
      <c r="DU151" s="151">
        <f>INPUT!GH175</f>
        <v>51</v>
      </c>
      <c r="DV151" s="507">
        <f>INPUT!GI175</f>
        <v>4.081632653061229</v>
      </c>
      <c r="DW151" s="151">
        <f>INPUT!GJ175</f>
        <v>49</v>
      </c>
      <c r="DX151" s="507">
        <f>INPUT!GK175</f>
        <v>-3.9215686274509776</v>
      </c>
      <c r="DY151" s="151">
        <f>INPUT!GL175</f>
        <v>45</v>
      </c>
      <c r="DZ151" s="507">
        <f>INPUT!GM175</f>
        <v>-8.1632653061224474</v>
      </c>
      <c r="EA151" s="151">
        <f>INPUT!GN175</f>
        <v>53</v>
      </c>
      <c r="EB151" s="507">
        <f>INPUT!GO175</f>
        <v>17.777777777777782</v>
      </c>
      <c r="EC151" s="151">
        <f>INPUT!GP175</f>
        <v>34.342463594827507</v>
      </c>
      <c r="ED151" s="507">
        <f>INPUT!GQ175</f>
        <v>-35.20289887768395</v>
      </c>
      <c r="EE151" s="151">
        <f>INPUT!GR175</f>
        <v>35.369232442640616</v>
      </c>
      <c r="EF151" s="507">
        <f>INPUT!GS175</f>
        <v>2.9897938014201042</v>
      </c>
      <c r="EG151" s="151">
        <f>INPUT!GT175</f>
        <v>36.431236159879752</v>
      </c>
      <c r="EH151" s="507">
        <f>INPUT!GU175</f>
        <v>3.0026201981098177</v>
      </c>
      <c r="EI151" s="151">
        <f>INPUT!GV175</f>
        <v>37.626444808052675</v>
      </c>
      <c r="EJ151" s="507">
        <f>INPUT!GW175</f>
        <v>3.2807249332076127</v>
      </c>
      <c r="EK151" s="151">
        <f>INPUT!GX175</f>
        <v>38.951737835189363</v>
      </c>
      <c r="EL151" s="507">
        <f>INPUT!GY175</f>
        <v>3.5222382393487628</v>
      </c>
      <c r="EM151" s="687">
        <f>INPUT!GZ175</f>
        <v>-5.9735165933741836</v>
      </c>
    </row>
    <row r="152" spans="1:143" ht="12.75" hidden="1" customHeight="1" outlineLevel="1" x14ac:dyDescent="0.2">
      <c r="A152" s="701" t="str">
        <f>INPUT!B176</f>
        <v>Tax Rate (%)</v>
      </c>
      <c r="B152" s="156">
        <f>INPUT!AY176</f>
        <v>30.186170212765962</v>
      </c>
      <c r="C152" s="507">
        <f>INPUT!AZ176</f>
        <v>8.7429505255063091</v>
      </c>
      <c r="D152" s="156">
        <f>INPUT!BA176</f>
        <v>29.480519480519479</v>
      </c>
      <c r="E152" s="687">
        <f>INPUT!BB176</f>
        <v>6.2315270935960454</v>
      </c>
      <c r="F152" s="156">
        <f>INPUT!BC176</f>
        <v>22.222222222222221</v>
      </c>
      <c r="G152" s="687">
        <f>INPUT!BD176</f>
        <v>-24.801587301587315</v>
      </c>
      <c r="H152" s="156">
        <f>INPUT!BE176</f>
        <v>26.158940397351003</v>
      </c>
      <c r="I152" s="687">
        <f>INPUT!BF176</f>
        <v>-7.0396976839899761</v>
      </c>
      <c r="J152" s="156">
        <f>INPUT!BG176</f>
        <v>29.802259887005643</v>
      </c>
      <c r="K152" s="687">
        <f>INPUT!BH176</f>
        <v>-1.2718086562632624</v>
      </c>
      <c r="L152" s="156">
        <f>INPUT!BI176</f>
        <v>29.19161676646706</v>
      </c>
      <c r="M152" s="687">
        <f>INPUT!BJ176</f>
        <v>-0.97997836925269866</v>
      </c>
      <c r="N152" s="156">
        <f>INPUT!BK176</f>
        <v>23.844731977818856</v>
      </c>
      <c r="O152" s="687">
        <f>INPUT!BL176</f>
        <v>7.3012939001848576</v>
      </c>
      <c r="P152" s="156">
        <f>INPUT!BM176</f>
        <v>29.575163398692805</v>
      </c>
      <c r="Q152" s="687">
        <f>INPUT!BN176</f>
        <v>13.059485397534477</v>
      </c>
      <c r="R152" s="156">
        <f>INPUT!BO176</f>
        <v>27.207207207207208</v>
      </c>
      <c r="S152" s="687">
        <f>INPUT!BP176</f>
        <v>-8.7075701293710566</v>
      </c>
      <c r="T152" s="156">
        <f>INPUT!BQ176</f>
        <v>27.543859649122805</v>
      </c>
      <c r="U152" s="687">
        <f>INPUT!BR176</f>
        <v>-5.6446243814664783</v>
      </c>
      <c r="V152" s="156">
        <f>INPUT!BS176</f>
        <v>26.140350877192979</v>
      </c>
      <c r="W152" s="687">
        <f>INPUT!BT176</f>
        <v>9.6273629810961214</v>
      </c>
      <c r="X152" s="156">
        <f>INPUT!BU176</f>
        <v>93.641618497109761</v>
      </c>
      <c r="Y152" s="687" t="str">
        <f>INPUT!BV176</f>
        <v>NM</v>
      </c>
      <c r="Z152" s="156">
        <f>INPUT!BW176</f>
        <v>18.131868131868142</v>
      </c>
      <c r="AA152" s="122">
        <f>INPUT!BX176</f>
        <v>-33.356378720617094</v>
      </c>
      <c r="AB152" s="156">
        <f>INPUT!BY176</f>
        <v>27.676240208877275</v>
      </c>
      <c r="AC152" s="687">
        <f>INPUT!BZ176</f>
        <v>0.48061731885380432</v>
      </c>
      <c r="AD152" s="156">
        <f>INPUT!CA176</f>
        <v>28.28282828282828</v>
      </c>
      <c r="AE152" s="687">
        <f>INPUT!CB176</f>
        <v>8.1960545047793367</v>
      </c>
      <c r="AF152" s="156">
        <f>INPUT!CC176</f>
        <v>32.591093117408924</v>
      </c>
      <c r="AG152" s="687" t="str">
        <f>INPUT!CD176</f>
        <v>NM</v>
      </c>
      <c r="AH152" s="156">
        <f>INPUT!CE176</f>
        <v>28.486055776892439</v>
      </c>
      <c r="AI152" s="507">
        <f>INPUT!CF176</f>
        <v>57.104913678618807</v>
      </c>
      <c r="AJ152" s="156">
        <f>INPUT!CG176</f>
        <v>28.143712574850287</v>
      </c>
      <c r="AK152" s="507">
        <f>INPUT!CH176</f>
        <v>1.6890746808270185</v>
      </c>
      <c r="AL152" s="156">
        <f>INPUT!CI176</f>
        <v>27.721335268505083</v>
      </c>
      <c r="AM152" s="507">
        <f>INPUT!CJ176</f>
        <v>-1.9852788720713055</v>
      </c>
      <c r="AN152" s="156">
        <f>INPUT!CK176</f>
        <v>27.555555555555557</v>
      </c>
      <c r="AO152" s="507">
        <f>INPUT!CL176</f>
        <v>-15.450655624568711</v>
      </c>
      <c r="AP152" s="156">
        <f>INPUT!CM176</f>
        <v>30.869565217391305</v>
      </c>
      <c r="AQ152" s="507">
        <f>INPUT!CN176</f>
        <v>8.3672848890239848</v>
      </c>
      <c r="AR152" s="156">
        <f>INPUT!CO176</f>
        <v>28.865979381443307</v>
      </c>
      <c r="AS152" s="507">
        <f>INPUT!CP176</f>
        <v>2.5663522702347619</v>
      </c>
      <c r="AT152" s="156">
        <f>INPUT!CQ176</f>
        <v>26.728971962616825</v>
      </c>
      <c r="AU152" s="507">
        <f>INPUT!CR176</f>
        <v>-3.579781768361312</v>
      </c>
      <c r="AV152" s="156">
        <f>INPUT!CS176</f>
        <v>26.666666666666668</v>
      </c>
      <c r="AW152" s="507">
        <f>INPUT!CT176</f>
        <v>-3.2258064516129004</v>
      </c>
      <c r="AX152" s="156">
        <f>INPUT!CU176</f>
        <v>25.531914893617021</v>
      </c>
      <c r="AY152" s="507">
        <f>INPUT!CV176</f>
        <v>-17.290979922085704</v>
      </c>
      <c r="AZ152" s="156">
        <f>INPUT!CW176</f>
        <v>24</v>
      </c>
      <c r="BA152" s="507">
        <f>INPUT!CX176</f>
        <v>-16.857142857142883</v>
      </c>
      <c r="BB152" s="156">
        <f>INPUT!CY176</f>
        <v>25.641025641025639</v>
      </c>
      <c r="BC152" s="507">
        <f>INPUT!CZ176</f>
        <v>-4.0702886856733178</v>
      </c>
      <c r="BD152" s="156">
        <f>INPUT!DA176</f>
        <v>12.5</v>
      </c>
      <c r="BE152" s="507" t="str">
        <f>INPUT!DB176</f>
        <v>NM</v>
      </c>
      <c r="BF152" s="156">
        <f>INPUT!DC176</f>
        <v>27.083333333333332</v>
      </c>
      <c r="BG152" s="507">
        <f>INPUT!DD176</f>
        <v>6.076388888888884</v>
      </c>
      <c r="BH152" s="156">
        <f>INPUT!DE176</f>
        <v>27.777777777777779</v>
      </c>
      <c r="BI152" s="507">
        <f>INPUT!DF176</f>
        <v>15.740740740740744</v>
      </c>
      <c r="BJ152" s="156">
        <f>INPUT!DG176</f>
        <v>25</v>
      </c>
      <c r="BK152" s="507">
        <f>INPUT!DH176</f>
        <v>-2.4999999999999911</v>
      </c>
      <c r="BL152" s="156">
        <f>INPUT!DI176</f>
        <v>22.727272727272727</v>
      </c>
      <c r="BM152" s="507">
        <f>INPUT!DJ176</f>
        <v>81.818181818181813</v>
      </c>
      <c r="BN152" s="156">
        <f>INPUT!DK176</f>
        <v>26.415094339622641</v>
      </c>
      <c r="BO152" s="507">
        <f>INPUT!DL176</f>
        <v>-2.4673439767779359</v>
      </c>
      <c r="BP152" s="156">
        <f>INPUT!DM176</f>
        <v>27.777777777777779</v>
      </c>
      <c r="BQ152" s="507">
        <f>INPUT!DN176</f>
        <v>0</v>
      </c>
      <c r="BR152" s="156">
        <f>INPUT!DO176</f>
        <v>27.27272727272727</v>
      </c>
      <c r="BS152" s="507">
        <f>INPUT!DP176</f>
        <v>9.0909090909090828</v>
      </c>
      <c r="BT152" s="156">
        <f>INPUT!DQ176</f>
        <v>14.285714285714285</v>
      </c>
      <c r="BU152" s="507">
        <f>INPUT!DR176</f>
        <v>-37.142857142857146</v>
      </c>
      <c r="BV152" s="156">
        <f>INPUT!DS176</f>
        <v>27.083333333333332</v>
      </c>
      <c r="BW152" s="507">
        <f>INPUT!DT176</f>
        <v>2.5297619047619069</v>
      </c>
      <c r="BX152" s="156">
        <f>INPUT!DU176</f>
        <v>23.076923076923077</v>
      </c>
      <c r="BY152" s="507">
        <f>INPUT!DV176</f>
        <v>-16.92307692307693</v>
      </c>
      <c r="BZ152" s="156">
        <f>INPUT!DW176</f>
        <v>26.315789473684209</v>
      </c>
      <c r="CA152" s="507">
        <f>INPUT!DX176</f>
        <v>26.315789473684209</v>
      </c>
      <c r="CB152" s="156">
        <f>INPUT!DY176</f>
        <v>26.666666666666668</v>
      </c>
      <c r="CC152" s="507">
        <f>INPUT!DZ176</f>
        <v>86.666666666666686</v>
      </c>
      <c r="CD152" s="156">
        <f>INPUT!EA176</f>
        <v>24.390243902439025</v>
      </c>
      <c r="CE152" s="507">
        <f>INPUT!EB176</f>
        <v>-9.943714821763594</v>
      </c>
      <c r="CF152" s="156">
        <f>INPUT!EC176</f>
        <v>24.390243902439025</v>
      </c>
      <c r="CG152" s="507">
        <f>INPUT!ED176</f>
        <v>5.6910569105691033</v>
      </c>
      <c r="CH152" s="156">
        <f>INPUT!EE176</f>
        <v>28.888888888888886</v>
      </c>
      <c r="CI152" s="507">
        <f>INPUT!EF176</f>
        <v>9.777777777777775</v>
      </c>
      <c r="CJ152" s="156">
        <f>INPUT!EG176</f>
        <v>26.086956521739129</v>
      </c>
      <c r="CK152" s="507">
        <f>INPUT!EH176</f>
        <v>-2.1739130434782705</v>
      </c>
      <c r="CL152" s="156">
        <f>INPUT!EI176</f>
        <v>22.916666666666664</v>
      </c>
      <c r="CM152" s="507">
        <f>INPUT!EJ176</f>
        <v>-6.0416666666666785</v>
      </c>
      <c r="CN152" s="156">
        <f>INPUT!EK176</f>
        <v>26</v>
      </c>
      <c r="CO152" s="507">
        <f>INPUT!EL176</f>
        <v>6.6000000000000059</v>
      </c>
      <c r="CP152" s="156">
        <f>INPUT!EM176</f>
        <v>27.083333333333332</v>
      </c>
      <c r="CQ152" s="507">
        <f>INPUT!EN176</f>
        <v>-6.2499999999999893</v>
      </c>
      <c r="CR152" s="156">
        <f>INPUT!EO176</f>
        <v>28.07017543859649</v>
      </c>
      <c r="CS152" s="507">
        <f>INPUT!EP176</f>
        <v>7.6023391812865437</v>
      </c>
      <c r="CT152" s="156">
        <f>INPUT!EQ176</f>
        <v>16</v>
      </c>
      <c r="CU152" s="507">
        <f>INPUT!ER176</f>
        <v>-30.181818181818176</v>
      </c>
      <c r="CV152" s="156">
        <f>INPUT!ES176</f>
        <v>16</v>
      </c>
      <c r="CW152" s="507">
        <f>INPUT!ET176</f>
        <v>-38.46153846153846</v>
      </c>
      <c r="CX152" s="156">
        <f>INPUT!EU176</f>
        <v>16</v>
      </c>
      <c r="CY152" s="507">
        <f>INPUT!EV176</f>
        <v>-40.92307692307692</v>
      </c>
      <c r="CZ152" s="156">
        <f>INPUT!EW176</f>
        <v>16</v>
      </c>
      <c r="DA152" s="507">
        <f>INPUT!EX176</f>
        <v>-42.999999999999993</v>
      </c>
      <c r="DB152" s="507"/>
      <c r="DC152" s="156">
        <f>INPUT!FP176</f>
        <v>28.369065849923423</v>
      </c>
      <c r="DD152" s="687">
        <f>INPUT!FQ176</f>
        <v>4.1610477474800289</v>
      </c>
      <c r="DE152" s="156">
        <f>INPUT!FR176</f>
        <v>27.20456979650125</v>
      </c>
      <c r="DF152" s="687">
        <f>INPUT!FS176</f>
        <v>-4.1048093003221542</v>
      </c>
      <c r="DG152" s="156">
        <f>INPUT!FT176</f>
        <v>28.311585606959273</v>
      </c>
      <c r="DH152" s="687">
        <f>INPUT!FU176</f>
        <v>4.0692274082584357</v>
      </c>
      <c r="DI152" s="156">
        <f>INPUT!FV176</f>
        <v>19.382391590013132</v>
      </c>
      <c r="DJ152" s="687">
        <f>INPUT!FW176</f>
        <v>-31.539010710693837</v>
      </c>
      <c r="DK152" s="156">
        <f>INPUT!FX176</f>
        <v>27.302452316076277</v>
      </c>
      <c r="DL152" s="507">
        <f>INPUT!FY176</f>
        <v>40.862143813790212</v>
      </c>
      <c r="DM152" s="156">
        <f>INPUT!FZ176</f>
        <v>27.964519140989726</v>
      </c>
      <c r="DN152" s="507">
        <f>INPUT!GA176</f>
        <v>2.4249353766790049</v>
      </c>
      <c r="DO152" s="156">
        <f>INPUT!GB176</f>
        <v>28.533451484271154</v>
      </c>
      <c r="DP152" s="507">
        <f>INPUT!GC176</f>
        <v>2.0344792642885245</v>
      </c>
      <c r="DQ152" s="156">
        <f>INPUT!GD176</f>
        <v>22.61904761904762</v>
      </c>
      <c r="DR152" s="507">
        <f>INPUT!GE176</f>
        <v>-20.7279650990831</v>
      </c>
      <c r="DS152" s="156">
        <f>INPUT!GF176</f>
        <v>25.789473684210527</v>
      </c>
      <c r="DT152" s="507">
        <f>INPUT!GG176</f>
        <v>14.016620498614962</v>
      </c>
      <c r="DU152" s="156">
        <f>INPUT!GH176</f>
        <v>24.170616113744074</v>
      </c>
      <c r="DV152" s="507">
        <f>INPUT!GI176</f>
        <v>-6.2772028242576772</v>
      </c>
      <c r="DW152" s="156">
        <f>INPUT!GJ176</f>
        <v>25.925925925925924</v>
      </c>
      <c r="DX152" s="507">
        <f>INPUT!GK176</f>
        <v>7.2621641249092095</v>
      </c>
      <c r="DY152" s="156">
        <f>INPUT!GL176</f>
        <v>26.011560693641616</v>
      </c>
      <c r="DZ152" s="507">
        <f>INPUT!GM176</f>
        <v>0.3303055326176807</v>
      </c>
      <c r="EA152" s="156">
        <f>INPUT!GN176</f>
        <v>26.108374384236456</v>
      </c>
      <c r="EB152" s="507">
        <f>INPUT!GO176</f>
        <v>0.37219485495350035</v>
      </c>
      <c r="EC152" s="156">
        <f>INPUT!GP176</f>
        <v>16.000000000000007</v>
      </c>
      <c r="ED152" s="507">
        <f>INPUT!GQ176</f>
        <v>-38.716981132075446</v>
      </c>
      <c r="EE152" s="156">
        <f>INPUT!GR176</f>
        <v>16.000000000000007</v>
      </c>
      <c r="EF152" s="507">
        <f>INPUT!GS176</f>
        <v>0</v>
      </c>
      <c r="EG152" s="156">
        <f>INPUT!GT176</f>
        <v>16.000000000000007</v>
      </c>
      <c r="EH152" s="507">
        <f>INPUT!GU176</f>
        <v>0</v>
      </c>
      <c r="EI152" s="156">
        <f>INPUT!GV176</f>
        <v>16.000000000000007</v>
      </c>
      <c r="EJ152" s="507">
        <f>INPUT!GW176</f>
        <v>0</v>
      </c>
      <c r="EK152" s="156">
        <f>INPUT!GX176</f>
        <v>16.000000000000007</v>
      </c>
      <c r="EL152" s="507">
        <f>INPUT!GY176</f>
        <v>0</v>
      </c>
      <c r="EM152" s="687">
        <f>INPUT!GZ176</f>
        <v>-9.3290783639256141</v>
      </c>
    </row>
    <row r="153" spans="1:143" ht="12.75" hidden="1" customHeight="1" outlineLevel="1" x14ac:dyDescent="0.2">
      <c r="A153" s="707" t="str">
        <f>INPUT!B177</f>
        <v>After-Tax Earnings</v>
      </c>
      <c r="B153" s="708">
        <f>INPUT!AY177</f>
        <v>52.499999999999986</v>
      </c>
      <c r="C153" s="757">
        <f>INPUT!AZ177</f>
        <v>21.527777777777722</v>
      </c>
      <c r="D153" s="708">
        <f>INPUT!BA177</f>
        <v>54.3</v>
      </c>
      <c r="E153" s="709">
        <f>INPUT!BB177</f>
        <v>19.867549668874183</v>
      </c>
      <c r="F153" s="708">
        <f>INPUT!BC177</f>
        <v>52.5</v>
      </c>
      <c r="G153" s="709">
        <f>INPUT!BD177</f>
        <v>-1.6853932584269371</v>
      </c>
      <c r="H153" s="708">
        <f>INPUT!BE177</f>
        <v>44.59999999999998</v>
      </c>
      <c r="I153" s="709">
        <f>INPUT!BF177</f>
        <v>-1.327433628318575</v>
      </c>
      <c r="J153" s="708">
        <f>INPUT!BG177</f>
        <v>49.70000000000001</v>
      </c>
      <c r="K153" s="709">
        <f>INPUT!BH177</f>
        <v>-5.3333333333332895</v>
      </c>
      <c r="L153" s="708">
        <f>INPUT!BI177</f>
        <v>47.300000000000011</v>
      </c>
      <c r="M153" s="709">
        <f>INPUT!BJ177</f>
        <v>-12.891344383057069</v>
      </c>
      <c r="N153" s="708">
        <f>INPUT!BK177</f>
        <v>41.199999999999996</v>
      </c>
      <c r="O153" s="709">
        <f>INPUT!BL177</f>
        <v>-21.523809523809533</v>
      </c>
      <c r="P153" s="708">
        <f>INPUT!BM177</f>
        <v>43.100000000000016</v>
      </c>
      <c r="Q153" s="709">
        <f>INPUT!BN177</f>
        <v>-3.3632286995514904</v>
      </c>
      <c r="R153" s="708">
        <f>INPUT!BO177</f>
        <v>40.4</v>
      </c>
      <c r="S153" s="709">
        <f>INPUT!BP177</f>
        <v>-18.71227364185113</v>
      </c>
      <c r="T153" s="708">
        <f>INPUT!BQ177</f>
        <v>41.3</v>
      </c>
      <c r="U153" s="709">
        <f>INPUT!BR177</f>
        <v>-12.684989429175497</v>
      </c>
      <c r="V153" s="708">
        <f>INPUT!BS177</f>
        <v>42.1</v>
      </c>
      <c r="W153" s="709">
        <f>INPUT!BT177</f>
        <v>2.1844660194174859</v>
      </c>
      <c r="X153" s="708">
        <f>INPUT!BU177</f>
        <v>-1.1000000000000121</v>
      </c>
      <c r="Y153" s="709" t="str">
        <f>INPUT!BV177</f>
        <v>NM</v>
      </c>
      <c r="Z153" s="708">
        <f>INPUT!BW177</f>
        <v>29.799999999999976</v>
      </c>
      <c r="AA153" s="758">
        <f>INPUT!BX177</f>
        <v>-26.237623762376295</v>
      </c>
      <c r="AB153" s="708">
        <f>INPUT!BY177</f>
        <v>27.70000000000001</v>
      </c>
      <c r="AC153" s="709">
        <f>INPUT!BZ177</f>
        <v>-32.929782082324422</v>
      </c>
      <c r="AD153" s="708">
        <f>INPUT!CA177</f>
        <v>42.600000000000009</v>
      </c>
      <c r="AE153" s="709">
        <f>INPUT!CB177</f>
        <v>1.1876484560570333</v>
      </c>
      <c r="AF153" s="708">
        <f>INPUT!CC177</f>
        <v>33.299999999999976</v>
      </c>
      <c r="AG153" s="709" t="str">
        <f>INPUT!CD177</f>
        <v>NM</v>
      </c>
      <c r="AH153" s="708">
        <f>INPUT!CE177</f>
        <v>35.899999999999991</v>
      </c>
      <c r="AI153" s="759">
        <f>INPUT!CF177</f>
        <v>20.469798657718187</v>
      </c>
      <c r="AJ153" s="708">
        <f>INPUT!CG177</f>
        <v>36.000000000000021</v>
      </c>
      <c r="AK153" s="759">
        <f>INPUT!CH177</f>
        <v>29.963898916967537</v>
      </c>
      <c r="AL153" s="708">
        <f>INPUT!CI177</f>
        <v>49.800000000000004</v>
      </c>
      <c r="AM153" s="759">
        <f>INPUT!CJ177</f>
        <v>16.901408450704203</v>
      </c>
      <c r="AN153" s="708">
        <f>INPUT!CK177</f>
        <v>32.6</v>
      </c>
      <c r="AO153" s="759">
        <f>INPUT!CL177</f>
        <v>-2.1021021021020214</v>
      </c>
      <c r="AP153" s="708">
        <f>INPUT!CM177</f>
        <v>47.7</v>
      </c>
      <c r="AQ153" s="759">
        <f>INPUT!CN177</f>
        <v>32.869080779944326</v>
      </c>
      <c r="AR153" s="708">
        <f>INPUT!CO177</f>
        <v>41.399999999999991</v>
      </c>
      <c r="AS153" s="759">
        <f>INPUT!CP177</f>
        <v>14.999999999999902</v>
      </c>
      <c r="AT153" s="708">
        <f>INPUT!CQ177</f>
        <v>39.200000000000003</v>
      </c>
      <c r="AU153" s="759">
        <f>INPUT!CR177</f>
        <v>-21.285140562248994</v>
      </c>
      <c r="AV153" s="708">
        <f>INPUT!CS177</f>
        <v>33</v>
      </c>
      <c r="AW153" s="759">
        <f>INPUT!CT177</f>
        <v>1.2269938650306678</v>
      </c>
      <c r="AX153" s="708">
        <f>INPUT!CU177</f>
        <v>35</v>
      </c>
      <c r="AY153" s="759">
        <f>INPUT!CV177</f>
        <v>-26.624737945492672</v>
      </c>
      <c r="AZ153" s="708">
        <f>INPUT!CW177</f>
        <v>38</v>
      </c>
      <c r="BA153" s="759">
        <f>INPUT!CX177</f>
        <v>-8.2125603864734114</v>
      </c>
      <c r="BB153" s="708">
        <f>INPUT!CY177</f>
        <v>29</v>
      </c>
      <c r="BC153" s="759">
        <f>INPUT!CZ177</f>
        <v>-26.020408163265309</v>
      </c>
      <c r="BD153" s="708">
        <f>INPUT!DA177</f>
        <v>28</v>
      </c>
      <c r="BE153" s="759">
        <f>INPUT!DB177</f>
        <v>-15.151515151515149</v>
      </c>
      <c r="BF153" s="708">
        <f>INPUT!DC177</f>
        <v>35</v>
      </c>
      <c r="BG153" s="759">
        <f>INPUT!DD177</f>
        <v>0</v>
      </c>
      <c r="BH153" s="708">
        <f>INPUT!DE177</f>
        <v>39</v>
      </c>
      <c r="BI153" s="759">
        <f>INPUT!DF177</f>
        <v>2.6315789473684292</v>
      </c>
      <c r="BJ153" s="708">
        <f>INPUT!DG177</f>
        <v>33</v>
      </c>
      <c r="BK153" s="759">
        <f>INPUT!DH177</f>
        <v>13.793103448275868</v>
      </c>
      <c r="BL153" s="708">
        <f>INPUT!DI177</f>
        <v>34</v>
      </c>
      <c r="BM153" s="759">
        <f>INPUT!DJ177</f>
        <v>21.42857142857142</v>
      </c>
      <c r="BN153" s="708">
        <f>INPUT!DK177</f>
        <v>39</v>
      </c>
      <c r="BO153" s="759">
        <f>INPUT!DL177</f>
        <v>11.428571428571432</v>
      </c>
      <c r="BP153" s="708">
        <f>INPUT!DM177</f>
        <v>39</v>
      </c>
      <c r="BQ153" s="759">
        <f>INPUT!DN177</f>
        <v>0</v>
      </c>
      <c r="BR153" s="708">
        <f>INPUT!DO177</f>
        <v>40</v>
      </c>
      <c r="BS153" s="759">
        <f>INPUT!DP177</f>
        <v>21.212121212121215</v>
      </c>
      <c r="BT153" s="708">
        <f>INPUT!DQ177</f>
        <v>42</v>
      </c>
      <c r="BU153" s="759">
        <f>INPUT!DR177</f>
        <v>23.529411764705888</v>
      </c>
      <c r="BV153" s="708">
        <f>INPUT!DS177</f>
        <v>35</v>
      </c>
      <c r="BW153" s="759">
        <f>INPUT!DT177</f>
        <v>-10.256410256410254</v>
      </c>
      <c r="BX153" s="708">
        <f>INPUT!DU177</f>
        <v>30</v>
      </c>
      <c r="BY153" s="759">
        <f>INPUT!DV177</f>
        <v>-23.076923076923073</v>
      </c>
      <c r="BZ153" s="708">
        <f>INPUT!DW177</f>
        <v>42</v>
      </c>
      <c r="CA153" s="759">
        <f>INPUT!DX177</f>
        <v>42</v>
      </c>
      <c r="CB153" s="708">
        <f>INPUT!DY177</f>
        <v>33</v>
      </c>
      <c r="CC153" s="759">
        <f>INPUT!DZ177</f>
        <v>-21.428571428571431</v>
      </c>
      <c r="CD153" s="708">
        <f>INPUT!EA177</f>
        <v>31</v>
      </c>
      <c r="CE153" s="759">
        <f>INPUT!EB177</f>
        <v>-11.428571428571432</v>
      </c>
      <c r="CF153" s="708">
        <f>INPUT!EC177</f>
        <v>31</v>
      </c>
      <c r="CG153" s="759">
        <f>INPUT!ED177</f>
        <v>3.3333333333333437</v>
      </c>
      <c r="CH153" s="708">
        <f>INPUT!EE177</f>
        <v>32</v>
      </c>
      <c r="CI153" s="759">
        <f>INPUT!EF177</f>
        <v>-23.809523809523814</v>
      </c>
      <c r="CJ153" s="708">
        <f>INPUT!EG177</f>
        <v>34</v>
      </c>
      <c r="CK153" s="759">
        <f>INPUT!EH177</f>
        <v>3.0303030303030276</v>
      </c>
      <c r="CL153" s="708">
        <f>INPUT!EI177</f>
        <v>37</v>
      </c>
      <c r="CM153" s="759">
        <f>INPUT!EJ177</f>
        <v>19.354838709677423</v>
      </c>
      <c r="CN153" s="708">
        <f>INPUT!EK177</f>
        <v>37</v>
      </c>
      <c r="CO153" s="759">
        <f>INPUT!EL177</f>
        <v>19.354838709677423</v>
      </c>
      <c r="CP153" s="708">
        <f>INPUT!EM177</f>
        <v>35</v>
      </c>
      <c r="CQ153" s="759">
        <f>INPUT!EN177</f>
        <v>9.375</v>
      </c>
      <c r="CR153" s="708">
        <f>INPUT!EO177</f>
        <v>41</v>
      </c>
      <c r="CS153" s="759">
        <f>INPUT!EP177</f>
        <v>20.588235294117641</v>
      </c>
      <c r="CT153" s="708">
        <f>INPUT!EQ177</f>
        <v>44.808412163061703</v>
      </c>
      <c r="CU153" s="759">
        <f>INPUT!ER177</f>
        <v>21.103816656923513</v>
      </c>
      <c r="CV153" s="708">
        <f>INPUT!ES177</f>
        <v>44.749433830424493</v>
      </c>
      <c r="CW153" s="759">
        <f>INPUT!ET177</f>
        <v>20.944415757904046</v>
      </c>
      <c r="CX153" s="708">
        <f>INPUT!EU177</f>
        <v>45.211143384642121</v>
      </c>
      <c r="CY153" s="759">
        <f>INPUT!EV177</f>
        <v>29.174695384691773</v>
      </c>
      <c r="CZ153" s="708">
        <f>INPUT!EW177</f>
        <v>45.528944494716114</v>
      </c>
      <c r="DA153" s="759">
        <f>INPUT!EX177</f>
        <v>11.046206084673461</v>
      </c>
      <c r="DB153" s="757"/>
      <c r="DC153" s="708">
        <f>INPUT!FP177</f>
        <v>187.10000000000005</v>
      </c>
      <c r="DD153" s="709">
        <f>INPUT!FQ177</f>
        <v>4.5251396648045006</v>
      </c>
      <c r="DE153" s="708">
        <f>INPUT!FR177</f>
        <v>203.90000000000003</v>
      </c>
      <c r="DF153" s="709">
        <f>INPUT!FS177</f>
        <v>8.979155531801176</v>
      </c>
      <c r="DG153" s="708">
        <f>INPUT!FT177</f>
        <v>181.29999999999998</v>
      </c>
      <c r="DH153" s="709">
        <f>INPUT!FU177</f>
        <v>-11.083864639529207</v>
      </c>
      <c r="DI153" s="708">
        <f>INPUT!FV177</f>
        <v>122.70000000000005</v>
      </c>
      <c r="DJ153" s="709">
        <f>INPUT!FW177</f>
        <v>-32.322118036403722</v>
      </c>
      <c r="DK153" s="708">
        <f>INPUT!FX177</f>
        <v>133.40000000000012</v>
      </c>
      <c r="DL153" s="759">
        <f>INPUT!FY177</f>
        <v>8.7204563977180793</v>
      </c>
      <c r="DM153" s="708">
        <f>INPUT!FZ177</f>
        <v>154.30000000000004</v>
      </c>
      <c r="DN153" s="759">
        <f>INPUT!GA177</f>
        <v>15.667166416791535</v>
      </c>
      <c r="DO153" s="708">
        <f>INPUT!GB177</f>
        <v>161.30000000000004</v>
      </c>
      <c r="DP153" s="759">
        <f>INPUT!GC177</f>
        <v>4.5366169799092582</v>
      </c>
      <c r="DQ153" s="708">
        <f>INPUT!GD177</f>
        <v>130</v>
      </c>
      <c r="DR153" s="759">
        <f>INPUT!GE177</f>
        <v>-19.404835709857426</v>
      </c>
      <c r="DS153" s="708">
        <f>INPUT!GF177</f>
        <v>141</v>
      </c>
      <c r="DT153" s="759">
        <f>INPUT!GG177</f>
        <v>8.4615384615384528</v>
      </c>
      <c r="DU153" s="708">
        <f>INPUT!GH177</f>
        <v>160</v>
      </c>
      <c r="DV153" s="759">
        <f>INPUT!GI177</f>
        <v>13.475177304964546</v>
      </c>
      <c r="DW153" s="708">
        <f>INPUT!GJ177</f>
        <v>140</v>
      </c>
      <c r="DX153" s="759">
        <f>INPUT!GK177</f>
        <v>-12.5</v>
      </c>
      <c r="DY153" s="708">
        <f>INPUT!GL177</f>
        <v>128</v>
      </c>
      <c r="DZ153" s="759">
        <f>INPUT!GM177</f>
        <v>-8.5714285714285747</v>
      </c>
      <c r="EA153" s="708">
        <f>INPUT!GN177</f>
        <v>150</v>
      </c>
      <c r="EB153" s="759">
        <f>INPUT!GO177</f>
        <v>17.1875</v>
      </c>
      <c r="EC153" s="708">
        <f>INPUT!GP177</f>
        <v>180.29793387284434</v>
      </c>
      <c r="ED153" s="759">
        <f>INPUT!GQ177</f>
        <v>20.19862258189622</v>
      </c>
      <c r="EE153" s="708">
        <f>INPUT!GR177</f>
        <v>185.68847032386316</v>
      </c>
      <c r="EF153" s="759">
        <f>INPUT!GS177</f>
        <v>2.9897938014201042</v>
      </c>
      <c r="EG153" s="708">
        <f>INPUT!GT177</f>
        <v>191.26398983936861</v>
      </c>
      <c r="EH153" s="759">
        <f>INPUT!GU177</f>
        <v>3.0026201981097955</v>
      </c>
      <c r="EI153" s="708">
        <f>INPUT!GV177</f>
        <v>197.53883524227643</v>
      </c>
      <c r="EJ153" s="759">
        <f>INPUT!GW177</f>
        <v>3.2807249332076127</v>
      </c>
      <c r="EK153" s="708">
        <f>INPUT!GX177</f>
        <v>204.49662363474403</v>
      </c>
      <c r="EL153" s="759">
        <f>INPUT!GY177</f>
        <v>3.5222382393487628</v>
      </c>
      <c r="EM153" s="709">
        <f>INPUT!GZ177</f>
        <v>6.3944506677847457</v>
      </c>
    </row>
    <row r="154" spans="1:143" ht="12.75" hidden="1" customHeight="1" outlineLevel="1" x14ac:dyDescent="0.2">
      <c r="A154" s="701"/>
      <c r="B154" s="16"/>
      <c r="C154" s="507"/>
      <c r="D154" s="16"/>
      <c r="E154" s="687"/>
      <c r="F154" s="16"/>
      <c r="G154" s="687"/>
      <c r="H154" s="16"/>
      <c r="I154" s="687"/>
      <c r="J154" s="16"/>
      <c r="K154" s="507"/>
      <c r="L154" s="16"/>
      <c r="M154" s="507"/>
      <c r="N154" s="16"/>
      <c r="O154" s="507"/>
      <c r="P154" s="16"/>
      <c r="Q154" s="507"/>
      <c r="R154" s="16"/>
      <c r="S154" s="507"/>
      <c r="T154" s="16"/>
      <c r="U154" s="507"/>
      <c r="V154" s="16"/>
      <c r="W154" s="507"/>
      <c r="X154" s="16"/>
      <c r="Y154" s="507"/>
      <c r="Z154" s="16"/>
      <c r="AA154" s="507"/>
      <c r="AB154" s="16"/>
      <c r="AC154" s="507"/>
      <c r="AD154" s="16"/>
      <c r="AE154" s="507"/>
      <c r="AF154" s="16"/>
      <c r="AG154" s="507"/>
      <c r="AH154" s="16"/>
      <c r="AI154" s="507"/>
      <c r="AJ154" s="16"/>
      <c r="AK154" s="507"/>
      <c r="AL154" s="16"/>
      <c r="AM154" s="507"/>
      <c r="AN154" s="16"/>
      <c r="AO154" s="507"/>
      <c r="AP154" s="16"/>
      <c r="AQ154" s="507"/>
      <c r="AR154" s="16"/>
      <c r="AS154" s="507"/>
      <c r="AT154" s="16"/>
      <c r="AU154" s="507"/>
      <c r="AV154" s="16"/>
      <c r="AW154" s="507"/>
      <c r="AX154" s="16"/>
      <c r="AY154" s="507"/>
      <c r="AZ154" s="16"/>
      <c r="BA154" s="507"/>
      <c r="BB154" s="16"/>
      <c r="BC154" s="507"/>
      <c r="BD154" s="16"/>
      <c r="BE154" s="507"/>
      <c r="BF154" s="16"/>
      <c r="BG154" s="507"/>
      <c r="BH154" s="16"/>
      <c r="BI154" s="507"/>
      <c r="BJ154" s="16"/>
      <c r="BK154" s="507"/>
      <c r="BL154" s="16"/>
      <c r="BM154" s="507"/>
      <c r="BN154" s="16"/>
      <c r="BO154" s="507"/>
      <c r="BP154" s="16"/>
      <c r="BQ154" s="507"/>
      <c r="BR154" s="16"/>
      <c r="BS154" s="507"/>
      <c r="BT154" s="16"/>
      <c r="BU154" s="507"/>
      <c r="BV154" s="16"/>
      <c r="BW154" s="507"/>
      <c r="BX154" s="16"/>
      <c r="BY154" s="507"/>
      <c r="BZ154" s="16"/>
      <c r="CA154" s="507"/>
      <c r="CB154" s="16"/>
      <c r="CC154" s="507"/>
      <c r="CD154" s="16"/>
      <c r="CE154" s="507"/>
      <c r="CF154" s="16"/>
      <c r="CG154" s="507"/>
      <c r="CH154" s="16"/>
      <c r="CI154" s="507"/>
      <c r="CJ154" s="16"/>
      <c r="CK154" s="507"/>
      <c r="CL154" s="16"/>
      <c r="CM154" s="507"/>
      <c r="CN154" s="16"/>
      <c r="CO154" s="507"/>
      <c r="CP154" s="16"/>
      <c r="CQ154" s="507"/>
      <c r="CR154" s="16"/>
      <c r="CS154" s="507"/>
      <c r="CT154" s="16"/>
      <c r="CU154" s="507"/>
      <c r="CV154" s="16"/>
      <c r="CW154" s="507"/>
      <c r="CX154" s="16"/>
      <c r="CY154" s="507"/>
      <c r="CZ154" s="16"/>
      <c r="DA154" s="507"/>
      <c r="DB154" s="507"/>
      <c r="DC154" s="16"/>
      <c r="DD154" s="507"/>
      <c r="DE154" s="16"/>
      <c r="DF154" s="507"/>
      <c r="DG154" s="16"/>
      <c r="DH154" s="507"/>
      <c r="DI154" s="16"/>
      <c r="DJ154" s="507"/>
      <c r="DK154" s="16"/>
      <c r="DL154" s="507"/>
      <c r="DM154" s="16"/>
      <c r="DN154" s="507"/>
      <c r="DO154" s="16"/>
      <c r="DP154" s="507"/>
      <c r="DQ154" s="16"/>
      <c r="DR154" s="507"/>
      <c r="DS154" s="16"/>
      <c r="DT154" s="507"/>
      <c r="DU154" s="16"/>
      <c r="DV154" s="507"/>
      <c r="DW154" s="16"/>
      <c r="DX154" s="507"/>
      <c r="DY154" s="16"/>
      <c r="DZ154" s="507"/>
      <c r="EA154" s="16"/>
      <c r="EB154" s="507"/>
      <c r="EC154" s="16"/>
      <c r="ED154" s="507"/>
      <c r="EE154" s="16"/>
      <c r="EF154" s="507"/>
      <c r="EG154" s="16"/>
      <c r="EH154" s="507"/>
      <c r="EI154" s="16"/>
      <c r="EJ154" s="507"/>
      <c r="EK154" s="16"/>
      <c r="EL154" s="507"/>
      <c r="EM154" s="687"/>
    </row>
    <row r="155" spans="1:143" ht="12.75" hidden="1" customHeight="1" outlineLevel="1" x14ac:dyDescent="0.2">
      <c r="A155" s="715" t="s">
        <v>303</v>
      </c>
      <c r="B155" s="16"/>
      <c r="C155" s="507"/>
      <c r="D155" s="16"/>
      <c r="E155" s="687"/>
      <c r="F155" s="16"/>
      <c r="G155" s="687"/>
      <c r="H155" s="16"/>
      <c r="I155" s="687"/>
      <c r="J155" s="16"/>
      <c r="K155" s="507"/>
      <c r="L155" s="16"/>
      <c r="M155" s="507"/>
      <c r="N155" s="16"/>
      <c r="O155" s="507"/>
      <c r="P155" s="16"/>
      <c r="Q155" s="507"/>
      <c r="R155" s="16"/>
      <c r="S155" s="507"/>
      <c r="T155" s="16"/>
      <c r="U155" s="507"/>
      <c r="V155" s="16"/>
      <c r="W155" s="507"/>
      <c r="X155" s="16"/>
      <c r="Y155" s="507"/>
      <c r="Z155" s="16"/>
      <c r="AA155" s="507"/>
      <c r="AB155" s="16"/>
      <c r="AC155" s="507"/>
      <c r="AD155" s="16"/>
      <c r="AE155" s="507"/>
      <c r="AF155" s="16"/>
      <c r="AG155" s="507"/>
      <c r="AH155" s="16"/>
      <c r="AI155" s="507"/>
      <c r="AJ155" s="16"/>
      <c r="AK155" s="507"/>
      <c r="AL155" s="16"/>
      <c r="AM155" s="507"/>
      <c r="AN155" s="16"/>
      <c r="AO155" s="507"/>
      <c r="AP155" s="16"/>
      <c r="AQ155" s="507"/>
      <c r="AR155" s="16"/>
      <c r="AS155" s="507"/>
      <c r="AT155" s="16"/>
      <c r="AU155" s="507"/>
      <c r="AV155" s="16"/>
      <c r="AW155" s="507"/>
      <c r="AX155" s="16"/>
      <c r="AY155" s="507"/>
      <c r="AZ155" s="16"/>
      <c r="BA155" s="507"/>
      <c r="BB155" s="16"/>
      <c r="BC155" s="507"/>
      <c r="BD155" s="16"/>
      <c r="BE155" s="507"/>
      <c r="BF155" s="16"/>
      <c r="BG155" s="507"/>
      <c r="BH155" s="16"/>
      <c r="BI155" s="507"/>
      <c r="BJ155" s="16"/>
      <c r="BK155" s="507"/>
      <c r="BL155" s="16"/>
      <c r="BM155" s="507"/>
      <c r="BN155" s="16"/>
      <c r="BO155" s="507"/>
      <c r="BP155" s="16"/>
      <c r="BQ155" s="507"/>
      <c r="BR155" s="16"/>
      <c r="BS155" s="507"/>
      <c r="BT155" s="16"/>
      <c r="BU155" s="507"/>
      <c r="BV155" s="16"/>
      <c r="BW155" s="507"/>
      <c r="BX155" s="16"/>
      <c r="BY155" s="507"/>
      <c r="BZ155" s="16"/>
      <c r="CA155" s="507"/>
      <c r="CB155" s="16"/>
      <c r="CC155" s="507"/>
      <c r="CD155" s="16"/>
      <c r="CE155" s="507"/>
      <c r="CF155" s="16"/>
      <c r="CG155" s="507"/>
      <c r="CH155" s="16"/>
      <c r="CI155" s="507"/>
      <c r="CJ155" s="16"/>
      <c r="CK155" s="507"/>
      <c r="CL155" s="16"/>
      <c r="CM155" s="507"/>
      <c r="CN155" s="16"/>
      <c r="CO155" s="507"/>
      <c r="CP155" s="16"/>
      <c r="CQ155" s="507"/>
      <c r="CR155" s="16"/>
      <c r="CS155" s="507"/>
      <c r="CT155" s="16"/>
      <c r="CU155" s="507"/>
      <c r="CV155" s="16"/>
      <c r="CW155" s="507"/>
      <c r="CX155" s="16"/>
      <c r="CY155" s="507"/>
      <c r="CZ155" s="16"/>
      <c r="DA155" s="507"/>
      <c r="DB155" s="507"/>
      <c r="DC155" s="16"/>
      <c r="DD155" s="507"/>
      <c r="DE155" s="16"/>
      <c r="DF155" s="507"/>
      <c r="DG155" s="16"/>
      <c r="DH155" s="507"/>
      <c r="DI155" s="16"/>
      <c r="DJ155" s="507"/>
      <c r="DK155" s="16"/>
      <c r="DL155" s="507"/>
      <c r="DM155" s="16"/>
      <c r="DN155" s="507"/>
      <c r="DO155" s="16"/>
      <c r="DP155" s="507"/>
      <c r="DQ155" s="16"/>
      <c r="DR155" s="507"/>
      <c r="DS155" s="16"/>
      <c r="DT155" s="507"/>
      <c r="DU155" s="16"/>
      <c r="DV155" s="507"/>
      <c r="DW155" s="16"/>
      <c r="DX155" s="507"/>
      <c r="DY155" s="16"/>
      <c r="DZ155" s="507"/>
      <c r="EA155" s="16"/>
      <c r="EB155" s="507"/>
      <c r="EC155" s="16"/>
      <c r="ED155" s="507"/>
      <c r="EE155" s="16"/>
      <c r="EF155" s="507"/>
      <c r="EG155" s="16"/>
      <c r="EH155" s="507"/>
      <c r="EI155" s="16"/>
      <c r="EJ155" s="507"/>
      <c r="EK155" s="16"/>
      <c r="EL155" s="507"/>
      <c r="EM155" s="687"/>
    </row>
    <row r="156" spans="1:143" ht="12.75" hidden="1" customHeight="1" outlineLevel="1" x14ac:dyDescent="0.2">
      <c r="A156" s="522" t="s">
        <v>304</v>
      </c>
      <c r="B156" s="156">
        <f>INPUT!AY572</f>
        <v>21.258503401360542</v>
      </c>
      <c r="C156" s="507">
        <f>INPUT!AZ572</f>
        <v>5.8064633968145651</v>
      </c>
      <c r="D156" s="156">
        <f>INPUT!BA572</f>
        <v>17.761325816749306</v>
      </c>
      <c r="E156" s="687">
        <f>INPUT!BB572</f>
        <v>-23.597676983902392</v>
      </c>
      <c r="F156" s="156">
        <f>INPUT!BC572</f>
        <v>14.84269800465173</v>
      </c>
      <c r="G156" s="687">
        <f>INPUT!BD572</f>
        <v>52.549466658985807</v>
      </c>
      <c r="H156" s="156">
        <f>INPUT!BE572</f>
        <v>14.147298341556199</v>
      </c>
      <c r="I156" s="687">
        <f>INPUT!BF572</f>
        <v>-19.643658413286889</v>
      </c>
      <c r="J156" s="156">
        <f>INPUT!BG572</f>
        <v>15.320591861898889</v>
      </c>
      <c r="K156" s="687">
        <f>INPUT!BH572</f>
        <v>-27.931935881627624</v>
      </c>
      <c r="L156" s="156">
        <f>INPUT!BI572</f>
        <v>15.183246073298431</v>
      </c>
      <c r="M156" s="687">
        <f>INPUT!BJ572</f>
        <v>-14.515131190373697</v>
      </c>
      <c r="N156" s="156">
        <f>INPUT!BK572</f>
        <v>13.182224873247836</v>
      </c>
      <c r="O156" s="687">
        <f>INPUT!BL572</f>
        <v>-11.187138152938891</v>
      </c>
      <c r="P156" s="156">
        <f>INPUT!BM572</f>
        <v>12.0897615708275</v>
      </c>
      <c r="Q156" s="687">
        <f>INPUT!BN572</f>
        <v>-14.543672728558366</v>
      </c>
      <c r="R156" s="156">
        <f>INPUT!BO572</f>
        <v>13.924466338259437</v>
      </c>
      <c r="S156" s="687">
        <f>INPUT!BP572</f>
        <v>-9.1127388303548944</v>
      </c>
      <c r="T156" s="156">
        <f>INPUT!BQ572</f>
        <v>13.383020090732337</v>
      </c>
      <c r="U156" s="687">
        <f>INPUT!BR572</f>
        <v>-11.856660781728412</v>
      </c>
      <c r="V156" s="156">
        <f>INPUT!BS572</f>
        <v>13.36507936507936</v>
      </c>
      <c r="W156" s="687">
        <f>INPUT!BT572</f>
        <v>1.3871292106585997</v>
      </c>
      <c r="X156" s="156">
        <f>INPUT!BU572</f>
        <v>11.640953716690044</v>
      </c>
      <c r="Y156" s="687">
        <f>INPUT!BV572</f>
        <v>-3.7122969837587672</v>
      </c>
      <c r="Z156" s="156">
        <f>INPUT!BW572</f>
        <v>15.242966751918141</v>
      </c>
      <c r="AA156" s="122">
        <f>INPUT!BX572</f>
        <v>9.4689475462046211</v>
      </c>
      <c r="AB156" s="156">
        <f>INPUT!BY572</f>
        <v>13.362276893391215</v>
      </c>
      <c r="AC156" s="687">
        <f>INPUT!BZ572</f>
        <v>-0.15499638497507018</v>
      </c>
      <c r="AD156" s="156">
        <f>INPUT!CA572</f>
        <v>14.378035256777954</v>
      </c>
      <c r="AE156" s="687">
        <f>INPUT!CB572</f>
        <v>7.5791236552270158</v>
      </c>
      <c r="AF156" s="156">
        <f>INPUT!CC572</f>
        <v>12.112112112112104</v>
      </c>
      <c r="AG156" s="687">
        <f>INPUT!CD572</f>
        <v>4.0474209148907203</v>
      </c>
      <c r="AH156" s="156">
        <f>INPUT!CE572</f>
        <v>12.676553672316379</v>
      </c>
      <c r="AI156" s="507">
        <f>INPUT!CF572</f>
        <v>-16.83670325711897</v>
      </c>
      <c r="AJ156" s="156">
        <f>INPUT!CG572</f>
        <v>12.383900928792576</v>
      </c>
      <c r="AK156" s="507">
        <f>INPUT!CH572</f>
        <v>-7.3219255401190564</v>
      </c>
      <c r="AL156" s="156">
        <f>INPUT!CI572</f>
        <v>13.778409090909093</v>
      </c>
      <c r="AM156" s="507">
        <f>INPUT!CJ572</f>
        <v>-4.1704318786267454</v>
      </c>
      <c r="AN156" s="156">
        <f>INPUT!CK572</f>
        <v>11.962365591397859</v>
      </c>
      <c r="AO156" s="507">
        <f>INPUT!CL572</f>
        <v>-1.2363369768060406</v>
      </c>
      <c r="AP156" s="156">
        <f>INPUT!CM572</f>
        <v>14.026821312069583</v>
      </c>
      <c r="AQ156" s="507">
        <f>INPUT!CN572</f>
        <v>10.651693470142277</v>
      </c>
      <c r="AR156" s="156">
        <f>INPUT!CO572</f>
        <v>13.544173255414238</v>
      </c>
      <c r="AS156" s="507">
        <f>INPUT!CP572</f>
        <v>9.3691990374699117</v>
      </c>
      <c r="AT156" s="156">
        <f>INPUT!CQ572</f>
        <v>11.569191434963251</v>
      </c>
      <c r="AU156" s="507">
        <f>INPUT!CR572</f>
        <v>-16.03390958542137</v>
      </c>
      <c r="AV156" s="156">
        <f>INPUT!CS572</f>
        <v>11.785714285714285</v>
      </c>
      <c r="AW156" s="507">
        <f>INPUT!CT572</f>
        <v>-1.4767255216694308</v>
      </c>
      <c r="AX156" s="156">
        <f>INPUT!CU572</f>
        <v>11.945392491467576</v>
      </c>
      <c r="AY156" s="507">
        <f>INPUT!CV572</f>
        <v>-14.838920196488214</v>
      </c>
      <c r="AZ156" s="156">
        <f>INPUT!CW572</f>
        <v>11.525423728813559</v>
      </c>
      <c r="BA156" s="507">
        <f>INPUT!CX572</f>
        <v>-14.904929880409579</v>
      </c>
      <c r="BB156" s="156">
        <f>INPUT!CY572</f>
        <v>9.7560975609756095</v>
      </c>
      <c r="BC156" s="507">
        <f>INPUT!CZ572</f>
        <v>-15.67174235278268</v>
      </c>
      <c r="BD156" s="156">
        <f>INPUT!DA572</f>
        <v>10.596026490066226</v>
      </c>
      <c r="BE156" s="507">
        <f>INPUT!DB572</f>
        <v>-10.094320690347169</v>
      </c>
      <c r="BF156" s="156">
        <f>INPUT!DC572</f>
        <v>11.05535045460941</v>
      </c>
      <c r="BG156" s="507">
        <f>INPUT!DD572</f>
        <v>-7.450923337126925</v>
      </c>
      <c r="BH156" s="156">
        <f>INPUT!DE572</f>
        <v>10.240963855421686</v>
      </c>
      <c r="BI156" s="507">
        <f>INPUT!DF572</f>
        <v>-11.144578313253017</v>
      </c>
      <c r="BJ156" s="156">
        <f>INPUT!DG572</f>
        <v>9.7345132743362832</v>
      </c>
      <c r="BK156" s="507">
        <f>INPUT!DH572</f>
        <v>-0.22123893805309214</v>
      </c>
      <c r="BL156" s="156">
        <f>INPUT!DI572</f>
        <v>9.5238095238095237</v>
      </c>
      <c r="BM156" s="507">
        <f>INPUT!DJ572</f>
        <v>-10.119047619047628</v>
      </c>
      <c r="BN156" s="156">
        <f>INPUT!DK572</f>
        <v>10.714285714285714</v>
      </c>
      <c r="BO156" s="507">
        <f>INPUT!DL572</f>
        <v>-3.0850649350649406</v>
      </c>
      <c r="BP156" s="156">
        <f>INPUT!DM572</f>
        <v>10.15625</v>
      </c>
      <c r="BQ156" s="507">
        <f>INPUT!DN572</f>
        <v>-0.82720588235293269</v>
      </c>
      <c r="BR156" s="156">
        <f>INPUT!DO572</f>
        <v>9.9009900990099009</v>
      </c>
      <c r="BS156" s="507">
        <f>INPUT!DP572</f>
        <v>1.7101710171017137</v>
      </c>
      <c r="BT156" s="156">
        <f>INPUT!DQ572</f>
        <v>10.852713178294573</v>
      </c>
      <c r="BU156" s="507">
        <f>INPUT!DR572</f>
        <v>13.953488372093027</v>
      </c>
      <c r="BV156" s="156">
        <f>INPUT!DS572</f>
        <v>9.9431818181818183</v>
      </c>
      <c r="BW156" s="507">
        <f>INPUT!DT572</f>
        <v>-7.1969696969696901</v>
      </c>
      <c r="BX156" s="156">
        <f>INPUT!DU572</f>
        <v>7.9155672823219003</v>
      </c>
      <c r="BY156" s="507">
        <f>INPUT!DV572</f>
        <v>-22.06210675867667</v>
      </c>
      <c r="BZ156" s="156">
        <f>INPUT!DW572</f>
        <v>9.4899169632265714</v>
      </c>
      <c r="CA156" s="507">
        <f>INPUT!DX572</f>
        <v>9.4899169632265714</v>
      </c>
      <c r="CB156" s="156">
        <f>INPUT!DY572</f>
        <v>8.6387434554973819</v>
      </c>
      <c r="CC156" s="507">
        <f>INPUT!DZ572</f>
        <v>-20.400149588631265</v>
      </c>
      <c r="CD156" s="156">
        <f>INPUT!EA572</f>
        <v>9.6685082872928181</v>
      </c>
      <c r="CE156" s="507">
        <f>INPUT!EB572</f>
        <v>-2.7624309392265123</v>
      </c>
      <c r="CF156" s="156">
        <f>INPUT!EC572</f>
        <v>8.310991957104557</v>
      </c>
      <c r="CG156" s="507">
        <f>INPUT!ED572</f>
        <v>4.9955317247542208</v>
      </c>
      <c r="CH156" s="156">
        <f>INPUT!EE572</f>
        <v>7.5679647318148415</v>
      </c>
      <c r="CI156" s="507">
        <f>INPUT!EF572</f>
        <v>-20.252571638501106</v>
      </c>
      <c r="CJ156" s="156">
        <f>INPUT!EG572</f>
        <v>8.3129584352078236</v>
      </c>
      <c r="CK156" s="507">
        <f>INPUT!EH572</f>
        <v>-3.77120841668519</v>
      </c>
      <c r="CL156" s="156">
        <f>INPUT!EI572</f>
        <v>8.7939698492462313</v>
      </c>
      <c r="CM156" s="507">
        <f>INPUT!EJ572</f>
        <v>-9.0452261306532726</v>
      </c>
      <c r="CN156" s="156">
        <f>INPUT!EK572</f>
        <v>8.8305489260143197</v>
      </c>
      <c r="CO156" s="507">
        <f>INPUT!EL572</f>
        <v>6.2514435291400439</v>
      </c>
      <c r="CP156" s="156">
        <f>INPUT!EM572</f>
        <v>8.3044982698961931</v>
      </c>
      <c r="CQ156" s="507">
        <f>INPUT!EN572</f>
        <v>9.7322538381429133</v>
      </c>
      <c r="CR156" s="156">
        <f>INPUT!EO572</f>
        <v>9.3181818181818183</v>
      </c>
      <c r="CS156" s="507">
        <f>INPUT!EP572</f>
        <v>12.092245989304828</v>
      </c>
      <c r="CT156" s="156">
        <f>INPUT!EQ572</f>
        <v>10.347995248588795</v>
      </c>
      <c r="CU156" s="507">
        <f>INPUT!ER572</f>
        <v>17.671488826809735</v>
      </c>
      <c r="CV156" s="156">
        <f>INPUT!ES572</f>
        <v>9.7184358344554056</v>
      </c>
      <c r="CW156" s="507">
        <f>INPUT!ET572</f>
        <v>10.054719314508521</v>
      </c>
      <c r="CX156" s="156">
        <f>INPUT!EU572</f>
        <v>9.4359542693987919</v>
      </c>
      <c r="CY156" s="507">
        <f>INPUT!EV572</f>
        <v>13.624615994010458</v>
      </c>
      <c r="CZ156" s="156">
        <f>INPUT!EW572</f>
        <v>9.2423362118944965</v>
      </c>
      <c r="DA156" s="507">
        <f>INPUT!EX572</f>
        <v>-0.81395284796150769</v>
      </c>
      <c r="DB156" s="507"/>
      <c r="DC156" s="156">
        <f>INPUT!FP572</f>
        <v>17.567135660135701</v>
      </c>
      <c r="DD156" s="756" t="str">
        <f>INPUT!FQ572</f>
        <v>NA</v>
      </c>
      <c r="DE156" s="156">
        <f>INPUT!FR572</f>
        <v>16.677181564616813</v>
      </c>
      <c r="DF156" s="756">
        <f>INPUT!FS572</f>
        <v>-5.0660170942860123</v>
      </c>
      <c r="DG156" s="156">
        <f>INPUT!FT572</f>
        <v>13.893653516295029</v>
      </c>
      <c r="DH156" s="756">
        <f>INPUT!FU572</f>
        <v>-16.690638268443781</v>
      </c>
      <c r="DI156" s="156">
        <f>INPUT!FV572</f>
        <v>13.196147110332749</v>
      </c>
      <c r="DJ156" s="756">
        <f>INPUT!FW572</f>
        <v>-5.0203238848889997</v>
      </c>
      <c r="DK156" s="156">
        <f>INPUT!FX572</f>
        <v>13.630563998298781</v>
      </c>
      <c r="DL156" s="507">
        <f>INPUT!FY572</f>
        <v>3.2919979167697955</v>
      </c>
      <c r="DM156" s="156">
        <f>INPUT!FZ572</f>
        <v>12.687537941201988</v>
      </c>
      <c r="DN156" s="507">
        <f>INPUT!GA572</f>
        <v>-6.918466889664221</v>
      </c>
      <c r="DO156" s="156">
        <f>INPUT!GB572</f>
        <v>12.701560748469431</v>
      </c>
      <c r="DP156" s="507">
        <f>INPUT!GC572</f>
        <v>0.11052425878392835</v>
      </c>
      <c r="DQ156" s="156">
        <f>INPUT!GD572</f>
        <v>10.919540229885058</v>
      </c>
      <c r="DR156" s="507">
        <f>INPUT!GE572</f>
        <v>-14.029933437897469</v>
      </c>
      <c r="DS156" s="156">
        <f>INPUT!GF572</f>
        <v>10.101786810081885</v>
      </c>
      <c r="DT156" s="507">
        <f>INPUT!GG572</f>
        <v>-7.48889973925011</v>
      </c>
      <c r="DU156" s="156">
        <f>INPUT!GH572</f>
        <v>10.396361273554255</v>
      </c>
      <c r="DV156" s="507">
        <f>INPUT!GI572</f>
        <v>2.9160629600535337</v>
      </c>
      <c r="DW156" s="156">
        <f>INPUT!GJ572</f>
        <v>8.9931573802541553</v>
      </c>
      <c r="DX156" s="507">
        <f>INPUT!GK572</f>
        <v>-13.497067448680333</v>
      </c>
      <c r="DY156" s="156">
        <f>INPUT!GL572</f>
        <v>8.4326483282870583</v>
      </c>
      <c r="DZ156" s="507">
        <f>INPUT!GM572</f>
        <v>-6.2326169582863074</v>
      </c>
      <c r="EA156" s="156">
        <f>INPUT!GN572</f>
        <v>8.8139603667553974</v>
      </c>
      <c r="EB156" s="507">
        <f>INPUT!GO572</f>
        <v>4.5218539137845903</v>
      </c>
      <c r="EC156" s="156">
        <f>INPUT!GP572</f>
        <v>9.6662859322464154</v>
      </c>
      <c r="ED156" s="507">
        <f>INPUT!GQ572</f>
        <v>9.6701769695474162</v>
      </c>
      <c r="EE156" s="156">
        <f>INPUT!GR572</f>
        <v>9.2970651290485051</v>
      </c>
      <c r="EF156" s="507">
        <f>INPUT!GS572</f>
        <v>-3.8196759933016411</v>
      </c>
      <c r="EG156" s="156">
        <f>INPUT!GT572</f>
        <v>8.7446579610839628</v>
      </c>
      <c r="EH156" s="507">
        <f>INPUT!GU572</f>
        <v>-5.941737099792455</v>
      </c>
      <c r="EI156" s="156">
        <f>INPUT!GV572</f>
        <v>8.6005223130154569</v>
      </c>
      <c r="EJ156" s="507">
        <f>INPUT!GW572</f>
        <v>-1.6482708495855092</v>
      </c>
      <c r="EK156" s="156">
        <f>INPUT!GX572</f>
        <v>8.4584113598441846</v>
      </c>
      <c r="EL156" s="507">
        <f>INPUT!GY572</f>
        <v>-1.6523525897515712</v>
      </c>
      <c r="EM156" s="687">
        <f>INPUT!GZ572</f>
        <v>-0.82012837235250213</v>
      </c>
    </row>
    <row r="157" spans="1:143" ht="12.75" hidden="1" customHeight="1" outlineLevel="1" x14ac:dyDescent="0.2">
      <c r="A157" s="700"/>
      <c r="B157" s="16"/>
      <c r="C157" s="507"/>
      <c r="D157" s="16"/>
      <c r="E157" s="687"/>
      <c r="F157" s="16"/>
      <c r="G157" s="687"/>
      <c r="H157" s="16"/>
      <c r="I157" s="687"/>
      <c r="J157" s="16"/>
      <c r="K157" s="507"/>
      <c r="L157" s="16"/>
      <c r="M157" s="507"/>
      <c r="N157" s="16"/>
      <c r="O157" s="507"/>
      <c r="P157" s="16"/>
      <c r="Q157" s="507"/>
      <c r="R157" s="16"/>
      <c r="S157" s="507"/>
      <c r="T157" s="16"/>
      <c r="U157" s="507"/>
      <c r="V157" s="16"/>
      <c r="W157" s="507"/>
      <c r="X157" s="16"/>
      <c r="Y157" s="507"/>
      <c r="Z157" s="16"/>
      <c r="AA157" s="122"/>
      <c r="AB157" s="16"/>
      <c r="AC157" s="507"/>
      <c r="AD157" s="16"/>
      <c r="AE157" s="507"/>
      <c r="AF157" s="16"/>
      <c r="AG157" s="507"/>
      <c r="AH157" s="16"/>
      <c r="AI157" s="507"/>
      <c r="AJ157" s="16"/>
      <c r="AK157" s="507"/>
      <c r="AL157" s="16"/>
      <c r="AM157" s="507"/>
      <c r="AN157" s="16"/>
      <c r="AO157" s="507"/>
      <c r="AP157" s="16"/>
      <c r="AQ157" s="507"/>
      <c r="AR157" s="16"/>
      <c r="AS157" s="507"/>
      <c r="AT157" s="16"/>
      <c r="AU157" s="507"/>
      <c r="AV157" s="16"/>
      <c r="AW157" s="507"/>
      <c r="AX157" s="16"/>
      <c r="AY157" s="507"/>
      <c r="AZ157" s="16"/>
      <c r="BA157" s="507"/>
      <c r="BB157" s="16"/>
      <c r="BC157" s="507"/>
      <c r="BD157" s="16"/>
      <c r="BE157" s="507"/>
      <c r="BF157" s="16"/>
      <c r="BG157" s="507"/>
      <c r="BH157" s="16"/>
      <c r="BI157" s="507"/>
      <c r="BJ157" s="16"/>
      <c r="BK157" s="507"/>
      <c r="BL157" s="16"/>
      <c r="BM157" s="507"/>
      <c r="BN157" s="16"/>
      <c r="BO157" s="507"/>
      <c r="BP157" s="16"/>
      <c r="BQ157" s="507"/>
      <c r="BR157" s="16"/>
      <c r="BS157" s="507"/>
      <c r="BT157" s="16"/>
      <c r="BU157" s="507"/>
      <c r="BV157" s="16"/>
      <c r="BW157" s="507"/>
      <c r="BX157" s="16"/>
      <c r="BY157" s="507"/>
      <c r="BZ157" s="16"/>
      <c r="CA157" s="507"/>
      <c r="CB157" s="16"/>
      <c r="CC157" s="507"/>
      <c r="CD157" s="16"/>
      <c r="CE157" s="507"/>
      <c r="CF157" s="16"/>
      <c r="CG157" s="507"/>
      <c r="CH157" s="16"/>
      <c r="CI157" s="507"/>
      <c r="CJ157" s="16"/>
      <c r="CK157" s="507"/>
      <c r="CL157" s="16"/>
      <c r="CM157" s="507"/>
      <c r="CN157" s="16"/>
      <c r="CO157" s="507"/>
      <c r="CP157" s="16"/>
      <c r="CQ157" s="507"/>
      <c r="CR157" s="16"/>
      <c r="CS157" s="507"/>
      <c r="CT157" s="16"/>
      <c r="CU157" s="507"/>
      <c r="CV157" s="16"/>
      <c r="CW157" s="507"/>
      <c r="CX157" s="16"/>
      <c r="CY157" s="507"/>
      <c r="CZ157" s="16"/>
      <c r="DA157" s="507"/>
      <c r="DB157" s="507"/>
      <c r="DC157" s="16"/>
      <c r="DD157" s="507"/>
      <c r="DE157" s="16"/>
      <c r="DF157" s="507"/>
      <c r="DG157" s="16"/>
      <c r="DH157" s="507"/>
      <c r="DI157" s="16"/>
      <c r="DJ157" s="507"/>
      <c r="DK157" s="16"/>
      <c r="DL157" s="507"/>
      <c r="DM157" s="16"/>
      <c r="DN157" s="507"/>
      <c r="DO157" s="16"/>
      <c r="DP157" s="507"/>
      <c r="DQ157" s="16"/>
      <c r="DR157" s="507"/>
      <c r="DS157" s="16"/>
      <c r="DT157" s="507"/>
      <c r="DU157" s="16"/>
      <c r="DV157" s="507"/>
      <c r="DW157" s="16"/>
      <c r="DX157" s="507"/>
      <c r="DY157" s="16"/>
      <c r="DZ157" s="507"/>
      <c r="EA157" s="16"/>
      <c r="EB157" s="507"/>
      <c r="EC157" s="16"/>
      <c r="ED157" s="507"/>
      <c r="EE157" s="16"/>
      <c r="EF157" s="507"/>
      <c r="EG157" s="16"/>
      <c r="EH157" s="507"/>
      <c r="EI157" s="16"/>
      <c r="EJ157" s="507"/>
      <c r="EK157" s="16"/>
      <c r="EL157" s="507"/>
      <c r="EM157" s="687"/>
    </row>
    <row r="158" spans="1:143" ht="12.75" hidden="1" customHeight="1" outlineLevel="1" x14ac:dyDescent="0.2">
      <c r="A158" s="700" t="str">
        <f>INPUT!B182</f>
        <v>Profitability Analysis</v>
      </c>
      <c r="B158" s="16"/>
      <c r="C158" s="507"/>
      <c r="D158" s="16"/>
      <c r="E158" s="687"/>
      <c r="F158" s="16"/>
      <c r="G158" s="687"/>
      <c r="H158" s="16"/>
      <c r="I158" s="687"/>
      <c r="J158" s="16"/>
      <c r="K158" s="687"/>
      <c r="L158" s="16"/>
      <c r="M158" s="687"/>
      <c r="N158" s="16"/>
      <c r="O158" s="687"/>
      <c r="P158" s="16"/>
      <c r="Q158" s="687"/>
      <c r="R158" s="16"/>
      <c r="S158" s="687"/>
      <c r="T158" s="16"/>
      <c r="U158" s="687"/>
      <c r="V158" s="16"/>
      <c r="W158" s="687"/>
      <c r="X158" s="16"/>
      <c r="Y158" s="687"/>
      <c r="Z158" s="16"/>
      <c r="AA158" s="122"/>
      <c r="AB158" s="16"/>
      <c r="AC158" s="687"/>
      <c r="AD158" s="16"/>
      <c r="AE158" s="687"/>
      <c r="AF158" s="16"/>
      <c r="AG158" s="687"/>
      <c r="AH158" s="16"/>
      <c r="AI158" s="507"/>
      <c r="AJ158" s="16"/>
      <c r="AK158" s="507"/>
      <c r="AL158" s="16"/>
      <c r="AM158" s="507"/>
      <c r="AN158" s="16"/>
      <c r="AO158" s="507"/>
      <c r="AP158" s="16"/>
      <c r="AQ158" s="507"/>
      <c r="AR158" s="16"/>
      <c r="AS158" s="507"/>
      <c r="AT158" s="16"/>
      <c r="AU158" s="507"/>
      <c r="AV158" s="16"/>
      <c r="AW158" s="507"/>
      <c r="AX158" s="16"/>
      <c r="AY158" s="507"/>
      <c r="AZ158" s="16"/>
      <c r="BA158" s="507"/>
      <c r="BB158" s="16"/>
      <c r="BC158" s="507"/>
      <c r="BD158" s="16"/>
      <c r="BE158" s="507"/>
      <c r="BF158" s="16"/>
      <c r="BG158" s="507"/>
      <c r="BH158" s="16"/>
      <c r="BI158" s="507"/>
      <c r="BJ158" s="16"/>
      <c r="BK158" s="507"/>
      <c r="BL158" s="16"/>
      <c r="BM158" s="507"/>
      <c r="BN158" s="16"/>
      <c r="BO158" s="507"/>
      <c r="BP158" s="16"/>
      <c r="BQ158" s="507"/>
      <c r="BR158" s="16"/>
      <c r="BS158" s="507"/>
      <c r="BT158" s="16"/>
      <c r="BU158" s="507"/>
      <c r="BV158" s="16"/>
      <c r="BW158" s="507"/>
      <c r="BX158" s="16"/>
      <c r="BY158" s="507"/>
      <c r="BZ158" s="16"/>
      <c r="CA158" s="507"/>
      <c r="CB158" s="16"/>
      <c r="CC158" s="507"/>
      <c r="CD158" s="16"/>
      <c r="CE158" s="507"/>
      <c r="CF158" s="16"/>
      <c r="CG158" s="507"/>
      <c r="CH158" s="16"/>
      <c r="CI158" s="507"/>
      <c r="CJ158" s="16"/>
      <c r="CK158" s="507"/>
      <c r="CL158" s="16"/>
      <c r="CM158" s="507"/>
      <c r="CN158" s="16"/>
      <c r="CO158" s="507"/>
      <c r="CP158" s="16"/>
      <c r="CQ158" s="507"/>
      <c r="CR158" s="16"/>
      <c r="CS158" s="507"/>
      <c r="CT158" s="16"/>
      <c r="CU158" s="507"/>
      <c r="CV158" s="16"/>
      <c r="CW158" s="507"/>
      <c r="CX158" s="16"/>
      <c r="CY158" s="507"/>
      <c r="CZ158" s="16"/>
      <c r="DA158" s="507"/>
      <c r="DB158" s="507"/>
      <c r="DC158" s="16"/>
      <c r="DD158" s="687"/>
      <c r="DE158" s="16"/>
      <c r="DF158" s="687"/>
      <c r="DG158" s="16"/>
      <c r="DH158" s="687"/>
      <c r="DI158" s="16"/>
      <c r="DJ158" s="687"/>
      <c r="DK158" s="16"/>
      <c r="DL158" s="507"/>
      <c r="DM158" s="16"/>
      <c r="DN158" s="507"/>
      <c r="DO158" s="16"/>
      <c r="DP158" s="507"/>
      <c r="DQ158" s="16"/>
      <c r="DR158" s="507"/>
      <c r="DS158" s="16"/>
      <c r="DT158" s="507"/>
      <c r="DU158" s="16"/>
      <c r="DV158" s="507"/>
      <c r="DW158" s="16"/>
      <c r="DX158" s="507"/>
      <c r="DY158" s="16"/>
      <c r="DZ158" s="507"/>
      <c r="EA158" s="16"/>
      <c r="EB158" s="507"/>
      <c r="EC158" s="16"/>
      <c r="ED158" s="507"/>
      <c r="EE158" s="16"/>
      <c r="EF158" s="507"/>
      <c r="EG158" s="16"/>
      <c r="EH158" s="507"/>
      <c r="EI158" s="16"/>
      <c r="EJ158" s="507"/>
      <c r="EK158" s="16"/>
      <c r="EL158" s="507"/>
      <c r="EM158" s="687"/>
    </row>
    <row r="159" spans="1:143" ht="12.75" hidden="1" customHeight="1" outlineLevel="1" x14ac:dyDescent="0.2">
      <c r="A159" s="701" t="str">
        <f>INPUT!B183</f>
        <v>Operating Margin (%)</v>
      </c>
      <c r="B159" s="156">
        <f>INPUT!AY183</f>
        <v>21.067415730337075</v>
      </c>
      <c r="C159" s="507">
        <f>INPUT!AZ183</f>
        <v>0</v>
      </c>
      <c r="D159" s="156">
        <f>INPUT!BA183</f>
        <v>21.81599035757332</v>
      </c>
      <c r="E159" s="687">
        <f>INPUT!BB183</f>
        <v>0</v>
      </c>
      <c r="F159" s="156">
        <f>INPUT!BC183</f>
        <v>21.41982864137087</v>
      </c>
      <c r="G159" s="687">
        <f>INPUT!BD183</f>
        <v>0</v>
      </c>
      <c r="H159" s="156">
        <f>INPUT!BE183</f>
        <v>18.20408163265305</v>
      </c>
      <c r="I159" s="687">
        <f>INPUT!BF183</f>
        <v>0</v>
      </c>
      <c r="J159" s="156">
        <f>INPUT!BG183</f>
        <v>20.145926226185658</v>
      </c>
      <c r="K159" s="687">
        <f>INPUT!BH183</f>
        <v>0</v>
      </c>
      <c r="L159" s="156">
        <f>INPUT!BI183</f>
        <v>18.769841269841276</v>
      </c>
      <c r="M159" s="687">
        <f>INPUT!BJ183</f>
        <v>0</v>
      </c>
      <c r="N159" s="156">
        <f>INPUT!BK183</f>
        <v>16.926869350862773</v>
      </c>
      <c r="O159" s="687">
        <f>INPUT!BL183</f>
        <v>0</v>
      </c>
      <c r="P159" s="156">
        <f>INPUT!BM183</f>
        <v>17.714755445951504</v>
      </c>
      <c r="Q159" s="687">
        <f>INPUT!BN183</f>
        <v>0</v>
      </c>
      <c r="R159" s="156">
        <f>INPUT!BO183</f>
        <v>16.996213714766512</v>
      </c>
      <c r="S159" s="687">
        <f>INPUT!BP183</f>
        <v>0</v>
      </c>
      <c r="T159" s="156">
        <f>INPUT!BQ183</f>
        <v>17.251461988304094</v>
      </c>
      <c r="U159" s="687">
        <f>INPUT!BR183</f>
        <v>0</v>
      </c>
      <c r="V159" s="156">
        <f>INPUT!BS183</f>
        <v>17.47613117476131</v>
      </c>
      <c r="W159" s="687">
        <f>INPUT!BT183</f>
        <v>0</v>
      </c>
      <c r="X159" s="156">
        <f>INPUT!BU183</f>
        <v>-0.51282051282051844</v>
      </c>
      <c r="Y159" s="687">
        <f>INPUT!BV183</f>
        <v>0</v>
      </c>
      <c r="Z159" s="156">
        <f>INPUT!BW183</f>
        <v>13.638443935926761</v>
      </c>
      <c r="AA159" s="122">
        <f>INPUT!BX183</f>
        <v>0</v>
      </c>
      <c r="AB159" s="156">
        <f>INPUT!BY183</f>
        <v>12.393736017897096</v>
      </c>
      <c r="AC159" s="687">
        <f>INPUT!BZ183</f>
        <v>0</v>
      </c>
      <c r="AD159" s="156">
        <f>INPUT!CA183</f>
        <v>17.705735660847886</v>
      </c>
      <c r="AE159" s="687">
        <f>INPUT!CB183</f>
        <v>0</v>
      </c>
      <c r="AF159" s="156">
        <f>INPUT!CC183</f>
        <v>13.664341403364782</v>
      </c>
      <c r="AG159" s="687">
        <f>INPUT!CD183</f>
        <v>0</v>
      </c>
      <c r="AH159" s="156">
        <f>INPUT!CE183</f>
        <v>14.927234927234922</v>
      </c>
      <c r="AI159" s="507">
        <f>INPUT!CF183</f>
        <v>0</v>
      </c>
      <c r="AJ159" s="156">
        <f>INPUT!CG183</f>
        <v>14.675907052588673</v>
      </c>
      <c r="AK159" s="507">
        <f>INPUT!CH183</f>
        <v>0</v>
      </c>
      <c r="AL159" s="156">
        <f>INPUT!CI183</f>
        <v>20.359771054783319</v>
      </c>
      <c r="AM159" s="507">
        <f>INPUT!CJ183</f>
        <v>0</v>
      </c>
      <c r="AN159" s="156">
        <f>INPUT!CK183</f>
        <v>12.670034978624173</v>
      </c>
      <c r="AO159" s="507">
        <f>INPUT!CL183</f>
        <v>0</v>
      </c>
      <c r="AP159" s="156">
        <f>INPUT!CM183</f>
        <v>18.136882129277566</v>
      </c>
      <c r="AQ159" s="507">
        <f>INPUT!CN183</f>
        <v>0</v>
      </c>
      <c r="AR159" s="156">
        <f>INPUT!CO183</f>
        <v>15.941470927993837</v>
      </c>
      <c r="AS159" s="507">
        <f>INPUT!CP183</f>
        <v>0</v>
      </c>
      <c r="AT159" s="156">
        <f>INPUT!CQ183</f>
        <v>15.819209039548024</v>
      </c>
      <c r="AU159" s="507">
        <f>INPUT!CR183</f>
        <v>0</v>
      </c>
      <c r="AV159" s="156">
        <f>INPUT!CS183</f>
        <v>13.414634146341465</v>
      </c>
      <c r="AW159" s="507">
        <f>INPUT!CT183</f>
        <v>0</v>
      </c>
      <c r="AX159" s="156">
        <f>INPUT!CU183</f>
        <v>13.888888888888889</v>
      </c>
      <c r="AY159" s="507">
        <f>INPUT!CV183</f>
        <v>0</v>
      </c>
      <c r="AZ159" s="156">
        <f>INPUT!CW183</f>
        <v>14.728682170542637</v>
      </c>
      <c r="BA159" s="507">
        <f>INPUT!CX183</f>
        <v>0</v>
      </c>
      <c r="BB159" s="156">
        <f>INPUT!CY183</f>
        <v>11.372549019607844</v>
      </c>
      <c r="BC159" s="507">
        <f>INPUT!CZ183</f>
        <v>0</v>
      </c>
      <c r="BD159" s="156">
        <f>INPUT!DA183</f>
        <v>10.810810810810811</v>
      </c>
      <c r="BE159" s="507">
        <f>INPUT!DB183</f>
        <v>0</v>
      </c>
      <c r="BF159" s="156">
        <f>INPUT!DC183</f>
        <v>13.461538461538462</v>
      </c>
      <c r="BG159" s="507">
        <f>INPUT!DD183</f>
        <v>0</v>
      </c>
      <c r="BH159" s="156">
        <f>INPUT!DE183</f>
        <v>14.391143911439114</v>
      </c>
      <c r="BI159" s="507">
        <f>INPUT!DF183</f>
        <v>0</v>
      </c>
      <c r="BJ159" s="156">
        <f>INPUT!DG183</f>
        <v>12.267657992565056</v>
      </c>
      <c r="BK159" s="507">
        <f>INPUT!DH183</f>
        <v>0</v>
      </c>
      <c r="BL159" s="156">
        <f>INPUT!DI183</f>
        <v>12.546125461254611</v>
      </c>
      <c r="BM159" s="507">
        <f>INPUT!DJ183</f>
        <v>0</v>
      </c>
      <c r="BN159" s="156">
        <f>INPUT!DK183</f>
        <v>14.391143911439114</v>
      </c>
      <c r="BO159" s="507">
        <f>INPUT!DL183</f>
        <v>0</v>
      </c>
      <c r="BP159" s="156">
        <f>INPUT!DM183</f>
        <v>14.444444444444443</v>
      </c>
      <c r="BQ159" s="507">
        <f>INPUT!DN183</f>
        <v>0.37037037037035425</v>
      </c>
      <c r="BR159" s="156">
        <f>INPUT!DO183</f>
        <v>14.705882352941178</v>
      </c>
      <c r="BS159" s="507">
        <f>INPUT!DP183</f>
        <v>19.875222816399287</v>
      </c>
      <c r="BT159" s="156">
        <f>INPUT!DQ183</f>
        <v>15.162454873646208</v>
      </c>
      <c r="BU159" s="507">
        <f>INPUT!DR183</f>
        <v>20.853684434062437</v>
      </c>
      <c r="BV159" s="156">
        <f>INPUT!DS183</f>
        <v>12.820512820512819</v>
      </c>
      <c r="BW159" s="507">
        <f>INPUT!DT183</f>
        <v>-10.913872452333994</v>
      </c>
      <c r="BX159" s="156">
        <f>INPUT!DU183</f>
        <v>11.111111111111111</v>
      </c>
      <c r="BY159" s="507">
        <f>INPUT!DV183</f>
        <v>-23.076923076923073</v>
      </c>
      <c r="BZ159" s="156">
        <f>INPUT!DW183</f>
        <v>14.893617021276595</v>
      </c>
      <c r="CA159" s="507">
        <f>INPUT!DX183</f>
        <v>14.893617021276595</v>
      </c>
      <c r="CB159" s="156">
        <f>INPUT!DY183</f>
        <v>11.956521739130435</v>
      </c>
      <c r="CC159" s="507">
        <f>INPUT!DZ183</f>
        <v>-21.1438923395445</v>
      </c>
      <c r="CD159" s="156">
        <f>INPUT!EA183</f>
        <v>11.610486891385769</v>
      </c>
      <c r="CE159" s="507">
        <f>INPUT!EB183</f>
        <v>-9.438202247190997</v>
      </c>
      <c r="CF159" s="156">
        <f>INPUT!EC183</f>
        <v>11.481481481481481</v>
      </c>
      <c r="CG159" s="507">
        <f>INPUT!ED183</f>
        <v>3.3333333333333215</v>
      </c>
      <c r="CH159" s="156">
        <f>INPUT!EE183</f>
        <v>11.347517730496454</v>
      </c>
      <c r="CI159" s="507">
        <f>INPUT!EF183</f>
        <v>-23.809523809523803</v>
      </c>
      <c r="CJ159" s="156">
        <f>INPUT!EG183</f>
        <v>11.971830985915492</v>
      </c>
      <c r="CK159" s="507">
        <f>INPUT!EH183</f>
        <v>0.1280409731113874</v>
      </c>
      <c r="CL159" s="156">
        <f>INPUT!EI183</f>
        <v>13.120567375886525</v>
      </c>
      <c r="CM159" s="507">
        <f>INPUT!EJ183</f>
        <v>13.006177076183922</v>
      </c>
      <c r="CN159" s="156">
        <f>INPUT!EK183</f>
        <v>12.758620689655173</v>
      </c>
      <c r="CO159" s="507">
        <f>INPUT!EL183</f>
        <v>11.123470522803114</v>
      </c>
      <c r="CP159" s="156">
        <f>INPUT!EM183</f>
        <v>12.027491408934708</v>
      </c>
      <c r="CQ159" s="507">
        <f>INPUT!EN183</f>
        <v>5.9922680412371143</v>
      </c>
      <c r="CR159" s="156">
        <f>INPUT!EO183</f>
        <v>13.576158940397351</v>
      </c>
      <c r="CS159" s="507">
        <f>INPUT!EP183</f>
        <v>13.400857031554359</v>
      </c>
      <c r="CT159" s="156">
        <f>INPUT!EQ183</f>
        <v>14.558361691062554</v>
      </c>
      <c r="CU159" s="507">
        <f>INPUT!ER183</f>
        <v>10.958324239990279</v>
      </c>
      <c r="CV159" s="156">
        <f>INPUT!ES183</f>
        <v>14.491220128850655</v>
      </c>
      <c r="CW159" s="507">
        <f>INPUT!ET183</f>
        <v>13.57983344234297</v>
      </c>
      <c r="CX159" s="156">
        <f>INPUT!EU183</f>
        <v>14.421007106141234</v>
      </c>
      <c r="CY159" s="507">
        <f>INPUT!EV183</f>
        <v>19.900373368202828</v>
      </c>
      <c r="CZ159" s="156">
        <f>INPUT!EW183</f>
        <v>14.350670444467839</v>
      </c>
      <c r="DA159" s="507">
        <f>INPUT!EX183</f>
        <v>5.7049383958362787</v>
      </c>
      <c r="DB159" s="507"/>
      <c r="DC159" s="156">
        <f>INPUT!FP183</f>
        <v>19.788471708090963</v>
      </c>
      <c r="DD159" s="687">
        <f>INPUT!FQ183</f>
        <v>0</v>
      </c>
      <c r="DE159" s="156">
        <f>INPUT!FR183</f>
        <v>20.633475005059708</v>
      </c>
      <c r="DF159" s="687">
        <f>INPUT!FS183</f>
        <v>0</v>
      </c>
      <c r="DG159" s="156">
        <f>INPUT!FT183</f>
        <v>18.398619849807183</v>
      </c>
      <c r="DH159" s="687">
        <f>INPUT!FU183</f>
        <v>0</v>
      </c>
      <c r="DI159" s="156">
        <f>INPUT!FV183</f>
        <v>13.158176943699736</v>
      </c>
      <c r="DJ159" s="687">
        <f>INPUT!FW183</f>
        <v>0</v>
      </c>
      <c r="DK159" s="156">
        <f>INPUT!FX183</f>
        <v>14.401381841735949</v>
      </c>
      <c r="DL159" s="507">
        <f>INPUT!FY183</f>
        <v>0</v>
      </c>
      <c r="DM159" s="156">
        <f>INPUT!FZ183</f>
        <v>15.622152475448015</v>
      </c>
      <c r="DN159" s="507">
        <f>INPUT!GA183</f>
        <v>0</v>
      </c>
      <c r="DO159" s="156">
        <f>INPUT!GB183</f>
        <v>15.868175110673885</v>
      </c>
      <c r="DP159" s="507">
        <f>INPUT!GC183</f>
        <v>0</v>
      </c>
      <c r="DQ159" s="156">
        <f>INPUT!GD183</f>
        <v>12.6953125</v>
      </c>
      <c r="DR159" s="507">
        <f>INPUT!GE183</f>
        <v>0</v>
      </c>
      <c r="DS159" s="156">
        <f>INPUT!GF183</f>
        <v>13.165266106442578</v>
      </c>
      <c r="DT159" s="507">
        <f>INPUT!GG183</f>
        <v>3.7017884076707697</v>
      </c>
      <c r="DU159" s="156">
        <f>INPUT!GH183</f>
        <v>14.678899082568808</v>
      </c>
      <c r="DV159" s="507">
        <f>INPUT!GI183</f>
        <v>11.497169627171576</v>
      </c>
      <c r="DW159" s="156">
        <f>INPUT!GJ183</f>
        <v>12.715712988192552</v>
      </c>
      <c r="DX159" s="507">
        <f>INPUT!GK183</f>
        <v>-13.374205267938244</v>
      </c>
      <c r="DY159" s="156">
        <f>INPUT!GL183</f>
        <v>11.604714415231188</v>
      </c>
      <c r="DZ159" s="507">
        <f>INPUT!GM183</f>
        <v>-8.7372102059318664</v>
      </c>
      <c r="EA159" s="156">
        <f>INPUT!GN183</f>
        <v>12.875536480686694</v>
      </c>
      <c r="EB159" s="507">
        <f>INPUT!GO183</f>
        <v>10.950912017167379</v>
      </c>
      <c r="EC159" s="156">
        <f>INPUT!GP183</f>
        <v>14.454391822617692</v>
      </c>
      <c r="ED159" s="507">
        <f>INPUT!GQ183</f>
        <v>12.262443155664094</v>
      </c>
      <c r="EE159" s="156">
        <f>INPUT!GR183</f>
        <v>14.379607158670558</v>
      </c>
      <c r="EF159" s="507">
        <f>INPUT!GS183</f>
        <v>-0.51738367732715451</v>
      </c>
      <c r="EG159" s="156">
        <f>INPUT!GT183</f>
        <v>14.373995223536307</v>
      </c>
      <c r="EH159" s="507">
        <f>INPUT!GU183</f>
        <v>-3.9027040671746338E-2</v>
      </c>
      <c r="EI159" s="156">
        <f>INPUT!GV183</f>
        <v>14.36806304810356</v>
      </c>
      <c r="EJ159" s="507">
        <f>INPUT!GW183</f>
        <v>-4.1270192041209519E-2</v>
      </c>
      <c r="EK159" s="156">
        <f>INPUT!GX183</f>
        <v>14.361916035149264</v>
      </c>
      <c r="EL159" s="507">
        <f>INPUT!GY183</f>
        <v>-4.2782474810387772E-2</v>
      </c>
      <c r="EM159" s="687">
        <f>INPUT!GZ183</f>
        <v>2.2090637096206622</v>
      </c>
    </row>
    <row r="160" spans="1:143" ht="12.75" hidden="1" customHeight="1" outlineLevel="1" x14ac:dyDescent="0.2">
      <c r="A160" s="701"/>
      <c r="B160" s="16"/>
      <c r="C160" s="507"/>
      <c r="D160" s="16"/>
      <c r="E160" s="687"/>
      <c r="F160" s="16"/>
      <c r="G160" s="687"/>
      <c r="H160" s="16"/>
      <c r="I160" s="687"/>
      <c r="J160" s="16"/>
      <c r="K160" s="687"/>
      <c r="L160" s="16"/>
      <c r="M160" s="687"/>
      <c r="N160" s="16"/>
      <c r="O160" s="687"/>
      <c r="P160" s="16"/>
      <c r="Q160" s="687"/>
      <c r="R160" s="16"/>
      <c r="S160" s="687"/>
      <c r="T160" s="16"/>
      <c r="U160" s="687"/>
      <c r="V160" s="16"/>
      <c r="W160" s="687"/>
      <c r="X160" s="16"/>
      <c r="Y160" s="687"/>
      <c r="Z160" s="16"/>
      <c r="AA160" s="122"/>
      <c r="AB160" s="16"/>
      <c r="AC160" s="687"/>
      <c r="AD160" s="16"/>
      <c r="AE160" s="687"/>
      <c r="AF160" s="16"/>
      <c r="AG160" s="687"/>
      <c r="AH160" s="16"/>
      <c r="AI160" s="507"/>
      <c r="AJ160" s="16"/>
      <c r="AK160" s="507"/>
      <c r="AL160" s="16"/>
      <c r="AM160" s="507"/>
      <c r="AN160" s="16"/>
      <c r="AO160" s="507"/>
      <c r="AP160" s="16"/>
      <c r="AQ160" s="507"/>
      <c r="AR160" s="16"/>
      <c r="AS160" s="507"/>
      <c r="AT160" s="16"/>
      <c r="AU160" s="507"/>
      <c r="AV160" s="16"/>
      <c r="AW160" s="507"/>
      <c r="AX160" s="16"/>
      <c r="AY160" s="507"/>
      <c r="AZ160" s="16"/>
      <c r="BA160" s="507"/>
      <c r="BB160" s="16"/>
      <c r="BC160" s="507"/>
      <c r="BD160" s="16"/>
      <c r="BE160" s="507"/>
      <c r="BF160" s="16"/>
      <c r="BG160" s="507"/>
      <c r="BH160" s="16"/>
      <c r="BI160" s="507"/>
      <c r="BJ160" s="16"/>
      <c r="BK160" s="507"/>
      <c r="BL160" s="16"/>
      <c r="BM160" s="507"/>
      <c r="BN160" s="16"/>
      <c r="BO160" s="507"/>
      <c r="BP160" s="16"/>
      <c r="BQ160" s="507"/>
      <c r="BR160" s="16"/>
      <c r="BS160" s="507"/>
      <c r="BT160" s="16"/>
      <c r="BU160" s="507"/>
      <c r="BV160" s="16"/>
      <c r="BW160" s="507"/>
      <c r="BX160" s="16"/>
      <c r="BY160" s="507"/>
      <c r="BZ160" s="16"/>
      <c r="CA160" s="507"/>
      <c r="CB160" s="16"/>
      <c r="CC160" s="507"/>
      <c r="CD160" s="16"/>
      <c r="CE160" s="507"/>
      <c r="CF160" s="16"/>
      <c r="CG160" s="507"/>
      <c r="CH160" s="16"/>
      <c r="CI160" s="507"/>
      <c r="CJ160" s="16"/>
      <c r="CK160" s="507"/>
      <c r="CL160" s="16"/>
      <c r="CM160" s="507"/>
      <c r="CN160" s="16"/>
      <c r="CO160" s="507"/>
      <c r="CP160" s="16"/>
      <c r="CQ160" s="507"/>
      <c r="CR160" s="16"/>
      <c r="CS160" s="507"/>
      <c r="CT160" s="16"/>
      <c r="CU160" s="507"/>
      <c r="CV160" s="16"/>
      <c r="CW160" s="507"/>
      <c r="CX160" s="16"/>
      <c r="CY160" s="507"/>
      <c r="CZ160" s="16"/>
      <c r="DA160" s="507"/>
      <c r="DB160" s="507"/>
      <c r="DC160" s="16"/>
      <c r="DD160" s="687"/>
      <c r="DE160" s="16"/>
      <c r="DF160" s="687"/>
      <c r="DG160" s="16"/>
      <c r="DH160" s="687"/>
      <c r="DI160" s="16"/>
      <c r="DJ160" s="687"/>
      <c r="DK160" s="16"/>
      <c r="DL160" s="507"/>
      <c r="DM160" s="16"/>
      <c r="DN160" s="507"/>
      <c r="DO160" s="16"/>
      <c r="DP160" s="507"/>
      <c r="DQ160" s="16"/>
      <c r="DR160" s="507"/>
      <c r="DS160" s="16"/>
      <c r="DT160" s="507"/>
      <c r="DU160" s="16"/>
      <c r="DV160" s="507"/>
      <c r="DW160" s="16"/>
      <c r="DX160" s="507"/>
      <c r="DY160" s="16"/>
      <c r="DZ160" s="507"/>
      <c r="EA160" s="16"/>
      <c r="EB160" s="507"/>
      <c r="EC160" s="16"/>
      <c r="ED160" s="507"/>
      <c r="EE160" s="16"/>
      <c r="EF160" s="507"/>
      <c r="EG160" s="16"/>
      <c r="EH160" s="507"/>
      <c r="EI160" s="16"/>
      <c r="EJ160" s="507"/>
      <c r="EK160" s="16"/>
      <c r="EL160" s="507"/>
      <c r="EM160" s="687"/>
    </row>
    <row r="161" spans="1:143" ht="12.75" hidden="1" customHeight="1" outlineLevel="1" x14ac:dyDescent="0.2">
      <c r="A161" s="700" t="str">
        <f>INPUT!B170</f>
        <v>Benefits and Expenses Analysis</v>
      </c>
      <c r="B161" s="16"/>
      <c r="C161" s="507"/>
      <c r="D161" s="16"/>
      <c r="E161" s="687"/>
      <c r="F161" s="16"/>
      <c r="G161" s="687"/>
      <c r="H161" s="16"/>
      <c r="I161" s="687"/>
      <c r="J161" s="16"/>
      <c r="K161" s="687"/>
      <c r="L161" s="16"/>
      <c r="M161" s="687"/>
      <c r="N161" s="16"/>
      <c r="O161" s="687"/>
      <c r="P161" s="16"/>
      <c r="Q161" s="687"/>
      <c r="R161" s="16"/>
      <c r="S161" s="687"/>
      <c r="T161" s="16"/>
      <c r="U161" s="687"/>
      <c r="V161" s="16"/>
      <c r="W161" s="687"/>
      <c r="X161" s="16"/>
      <c r="Y161" s="687"/>
      <c r="Z161" s="16"/>
      <c r="AA161" s="122"/>
      <c r="AB161" s="16"/>
      <c r="AC161" s="687"/>
      <c r="AD161" s="16"/>
      <c r="AE161" s="687"/>
      <c r="AF161" s="16"/>
      <c r="AG161" s="687"/>
      <c r="AH161" s="16"/>
      <c r="AI161" s="507"/>
      <c r="AJ161" s="16"/>
      <c r="AK161" s="507"/>
      <c r="AL161" s="16"/>
      <c r="AM161" s="507"/>
      <c r="AN161" s="16"/>
      <c r="AO161" s="507"/>
      <c r="AP161" s="16"/>
      <c r="AQ161" s="507"/>
      <c r="AR161" s="16"/>
      <c r="AS161" s="507"/>
      <c r="AT161" s="16"/>
      <c r="AU161" s="507"/>
      <c r="AV161" s="16"/>
      <c r="AW161" s="507"/>
      <c r="AX161" s="16"/>
      <c r="AY161" s="507"/>
      <c r="AZ161" s="16"/>
      <c r="BA161" s="507"/>
      <c r="BB161" s="16"/>
      <c r="BC161" s="507"/>
      <c r="BD161" s="16"/>
      <c r="BE161" s="507"/>
      <c r="BF161" s="16"/>
      <c r="BG161" s="507"/>
      <c r="BH161" s="16"/>
      <c r="BI161" s="507"/>
      <c r="BJ161" s="16"/>
      <c r="BK161" s="507"/>
      <c r="BL161" s="16"/>
      <c r="BM161" s="507"/>
      <c r="BN161" s="16"/>
      <c r="BO161" s="507"/>
      <c r="BP161" s="16"/>
      <c r="BQ161" s="507"/>
      <c r="BR161" s="16"/>
      <c r="BS161" s="507"/>
      <c r="BT161" s="16"/>
      <c r="BU161" s="507"/>
      <c r="BV161" s="16"/>
      <c r="BW161" s="507"/>
      <c r="BX161" s="16"/>
      <c r="BY161" s="507"/>
      <c r="BZ161" s="16"/>
      <c r="CA161" s="507"/>
      <c r="CB161" s="16"/>
      <c r="CC161" s="507"/>
      <c r="CD161" s="16"/>
      <c r="CE161" s="507"/>
      <c r="CF161" s="16"/>
      <c r="CG161" s="507"/>
      <c r="CH161" s="16"/>
      <c r="CI161" s="507"/>
      <c r="CJ161" s="16"/>
      <c r="CK161" s="507"/>
      <c r="CL161" s="16"/>
      <c r="CM161" s="507"/>
      <c r="CN161" s="16"/>
      <c r="CO161" s="507"/>
      <c r="CP161" s="16"/>
      <c r="CQ161" s="507"/>
      <c r="CR161" s="16"/>
      <c r="CS161" s="507"/>
      <c r="CT161" s="16"/>
      <c r="CU161" s="507"/>
      <c r="CV161" s="16"/>
      <c r="CW161" s="507"/>
      <c r="CX161" s="16"/>
      <c r="CY161" s="507"/>
      <c r="CZ161" s="16"/>
      <c r="DA161" s="507"/>
      <c r="DB161" s="507"/>
      <c r="DC161" s="16"/>
      <c r="DD161" s="687"/>
      <c r="DE161" s="16"/>
      <c r="DF161" s="687"/>
      <c r="DG161" s="16"/>
      <c r="DH161" s="687"/>
      <c r="DI161" s="16"/>
      <c r="DJ161" s="687"/>
      <c r="DK161" s="16"/>
      <c r="DL161" s="507"/>
      <c r="DM161" s="16"/>
      <c r="DN161" s="507"/>
      <c r="DO161" s="16"/>
      <c r="DP161" s="507"/>
      <c r="DQ161" s="16"/>
      <c r="DR161" s="507"/>
      <c r="DS161" s="16"/>
      <c r="DT161" s="507"/>
      <c r="DU161" s="16"/>
      <c r="DV161" s="507"/>
      <c r="DW161" s="16"/>
      <c r="DX161" s="507"/>
      <c r="DY161" s="16"/>
      <c r="DZ161" s="507"/>
      <c r="EA161" s="16"/>
      <c r="EB161" s="507"/>
      <c r="EC161" s="16"/>
      <c r="ED161" s="507"/>
      <c r="EE161" s="16"/>
      <c r="EF161" s="507"/>
      <c r="EG161" s="16"/>
      <c r="EH161" s="507"/>
      <c r="EI161" s="16"/>
      <c r="EJ161" s="507"/>
      <c r="EK161" s="16"/>
      <c r="EL161" s="507"/>
      <c r="EM161" s="687"/>
    </row>
    <row r="162" spans="1:143" ht="12.75" hidden="1" customHeight="1" outlineLevel="1" x14ac:dyDescent="0.2">
      <c r="A162" s="718" t="str">
        <f>INPUT!B171</f>
        <v>Other Op Exp (less DAC)/Net Rev (%)</v>
      </c>
      <c r="B162" s="156">
        <f>INPUT!AY171</f>
        <v>53.063973063973059</v>
      </c>
      <c r="C162" s="507">
        <f>INPUT!AZ171</f>
        <v>-9.8254806125773868</v>
      </c>
      <c r="D162" s="156">
        <f>INPUT!BA171</f>
        <v>49.351535836177476</v>
      </c>
      <c r="E162" s="687">
        <f>INPUT!BB171</f>
        <v>-13.956111348122867</v>
      </c>
      <c r="F162" s="156">
        <f>INPUT!BC171</f>
        <v>57.112676056338017</v>
      </c>
      <c r="G162" s="687">
        <f>INPUT!BD171</f>
        <v>-8.566713506094592</v>
      </c>
      <c r="H162" s="156">
        <f>INPUT!BE171</f>
        <v>56.401137980085359</v>
      </c>
      <c r="I162" s="687">
        <f>INPUT!BF171</f>
        <v>-5.5937941336922652</v>
      </c>
      <c r="J162" s="156">
        <f>INPUT!BG171</f>
        <v>52.106741573033709</v>
      </c>
      <c r="K162" s="687">
        <f>INPUT!BH171</f>
        <v>-1.8039197513260552</v>
      </c>
      <c r="L162" s="156">
        <f>INPUT!BI171</f>
        <v>54.681139755766615</v>
      </c>
      <c r="M162" s="687">
        <f>INPUT!BJ171</f>
        <v>10.799266586719348</v>
      </c>
      <c r="N162" s="156">
        <f>INPUT!BK171</f>
        <v>60.158501440922187</v>
      </c>
      <c r="O162" s="687">
        <f>INPUT!BL171</f>
        <v>5.3330111542657432</v>
      </c>
      <c r="P162" s="156">
        <f>INPUT!BM171</f>
        <v>54.945848375451256</v>
      </c>
      <c r="Q162" s="687">
        <f>INPUT!BN171</f>
        <v>-2.5802486558834214</v>
      </c>
      <c r="R162" s="156">
        <f>INPUT!BO171</f>
        <v>57.66312594840668</v>
      </c>
      <c r="S162" s="687">
        <f>INPUT!BP171</f>
        <v>10.663465431982623</v>
      </c>
      <c r="T162" s="156">
        <f>INPUT!BQ171</f>
        <v>56.19335347432024</v>
      </c>
      <c r="U162" s="687">
        <f>INPUT!BR171</f>
        <v>2.765512433186168</v>
      </c>
      <c r="V162" s="156">
        <f>INPUT!BS171</f>
        <v>54.660700969425804</v>
      </c>
      <c r="W162" s="687">
        <f>INPUT!BT171</f>
        <v>-9.1388587478287153</v>
      </c>
      <c r="X162" s="156">
        <f>INPUT!BU171</f>
        <v>87.201528175740208</v>
      </c>
      <c r="Y162" s="687">
        <f>INPUT!BV171</f>
        <v>58.704489518265703</v>
      </c>
      <c r="Z162" s="156">
        <f>INPUT!BW171</f>
        <v>64.859813084112147</v>
      </c>
      <c r="AA162" s="122">
        <f>INPUT!BX171</f>
        <v>12.480570585341844</v>
      </c>
      <c r="AB162" s="156">
        <f>INPUT!BY171</f>
        <v>64.125560538116588</v>
      </c>
      <c r="AC162" s="687">
        <f>INPUT!BZ171</f>
        <v>14.115916871594569</v>
      </c>
      <c r="AD162" s="156">
        <f>INPUT!CA171</f>
        <v>55.589822667694676</v>
      </c>
      <c r="AE162" s="687">
        <f>INPUT!CB171</f>
        <v>1.6997983593159072</v>
      </c>
      <c r="AF162" s="156">
        <f>INPUT!CC171</f>
        <v>60.331825037707397</v>
      </c>
      <c r="AG162" s="687">
        <f>INPUT!CD171</f>
        <v>-30.813339743176726</v>
      </c>
      <c r="AH162" s="156">
        <f>INPUT!CE171</f>
        <v>57.64796310530361</v>
      </c>
      <c r="AI162" s="507">
        <f>INPUT!CF171</f>
        <v>-11.119134693552068</v>
      </c>
      <c r="AJ162" s="156">
        <f>INPUT!CG171</f>
        <v>56.614929785661495</v>
      </c>
      <c r="AK162" s="507">
        <f>INPUT!CH171</f>
        <v>-11.712382222360041</v>
      </c>
      <c r="AL162" s="156">
        <f>INPUT!CI171</f>
        <v>58.184523809523824</v>
      </c>
      <c r="AM162" s="507">
        <f>INPUT!CJ171</f>
        <v>4.6675830526385687</v>
      </c>
      <c r="AN162" s="156">
        <f>INPUT!CK171</f>
        <v>62.001352265043948</v>
      </c>
      <c r="AO162" s="507">
        <f>INPUT!CL171</f>
        <v>2.7672413793103257</v>
      </c>
      <c r="AP162" s="156">
        <f>INPUT!CM171</f>
        <v>55.483870967741936</v>
      </c>
      <c r="AQ162" s="507">
        <f>INPUT!CN171</f>
        <v>-3.7539784946236554</v>
      </c>
      <c r="AR162" s="156">
        <f>INPUT!CO171</f>
        <v>60.953011250827274</v>
      </c>
      <c r="AS162" s="507">
        <f>INPUT!CP171</f>
        <v>7.6624337106648843</v>
      </c>
      <c r="AT162" s="156">
        <f>INPUT!CQ171</f>
        <v>62.400578452639188</v>
      </c>
      <c r="AU162" s="507">
        <f>INPUT!CR171</f>
        <v>7.2460069569655339</v>
      </c>
      <c r="AV162" s="156">
        <f>INPUT!CS171</f>
        <v>67.910447761194021</v>
      </c>
      <c r="AW162" s="507">
        <f>INPUT!CT171</f>
        <v>9.5305913182180504</v>
      </c>
      <c r="AX162" s="156">
        <f>INPUT!CU171</f>
        <v>66.666666666666657</v>
      </c>
      <c r="AY162" s="507">
        <f>INPUT!CV171</f>
        <v>20.155038759689916</v>
      </c>
      <c r="AZ162" s="156">
        <f>INPUT!CW171</f>
        <v>65.06849315068493</v>
      </c>
      <c r="BA162" s="507">
        <f>INPUT!CX171</f>
        <v>6.7518926717534455</v>
      </c>
      <c r="BB162" s="156">
        <f>INPUT!CY171</f>
        <v>69.503546099290787</v>
      </c>
      <c r="BC162" s="507">
        <f>INPUT!CZ171</f>
        <v>11.38285545228177</v>
      </c>
      <c r="BD162" s="156">
        <f>INPUT!DA171</f>
        <v>77.777777777777786</v>
      </c>
      <c r="BE162" s="507">
        <f>INPUT!DB171</f>
        <v>14.529914529914567</v>
      </c>
      <c r="BF162" s="156">
        <f>INPUT!DC171</f>
        <v>66.43356643356644</v>
      </c>
      <c r="BG162" s="507">
        <f>INPUT!DD171</f>
        <v>-0.34965034965032116</v>
      </c>
      <c r="BH162" s="156">
        <f>INPUT!DE171</f>
        <v>62.987012987012989</v>
      </c>
      <c r="BI162" s="507">
        <f>INPUT!DF171</f>
        <v>-3.19890635680109</v>
      </c>
      <c r="BJ162" s="156">
        <f>INPUT!DG171</f>
        <v>63.576158940397356</v>
      </c>
      <c r="BK162" s="507">
        <f>INPUT!DH171</f>
        <v>-8.5281794837140161</v>
      </c>
      <c r="BL162" s="156">
        <f>INPUT!DI171</f>
        <v>69.93464052287581</v>
      </c>
      <c r="BM162" s="507">
        <f>INPUT!DJ171</f>
        <v>-10.084033613445397</v>
      </c>
      <c r="BN162" s="156">
        <f>INPUT!DK171</f>
        <v>64.052287581699346</v>
      </c>
      <c r="BO162" s="507">
        <f>INPUT!DL171</f>
        <v>-3.5844513243894149</v>
      </c>
      <c r="BP162" s="156">
        <f>INPUT!DM171</f>
        <v>61.842105263157897</v>
      </c>
      <c r="BQ162" s="507">
        <f>INPUT!DN171</f>
        <v>-1.8176885512750984</v>
      </c>
      <c r="BR162" s="156">
        <f>INPUT!DO171</f>
        <v>63.636363636363633</v>
      </c>
      <c r="BS162" s="507">
        <f>INPUT!DP171</f>
        <v>9.4696969696950184E-2</v>
      </c>
      <c r="BT162" s="156">
        <f>INPUT!DQ171</f>
        <v>68.987341772151893</v>
      </c>
      <c r="BU162" s="507">
        <f>INPUT!DR171</f>
        <v>-1.3545486809416807</v>
      </c>
      <c r="BV162" s="156">
        <f>INPUT!DS171</f>
        <v>66.666666666666657</v>
      </c>
      <c r="BW162" s="507">
        <f>INPUT!DT171</f>
        <v>4.0816326530612068</v>
      </c>
      <c r="BX162" s="156">
        <f>INPUT!DU171</f>
        <v>72.10884353741497</v>
      </c>
      <c r="BY162" s="507">
        <f>INPUT!DV171</f>
        <v>16.601534230713554</v>
      </c>
      <c r="BZ162" s="156">
        <f>INPUT!DW171</f>
        <v>64.556962025316452</v>
      </c>
      <c r="CA162" s="507">
        <f>INPUT!DX171</f>
        <v>64.556962025316452</v>
      </c>
      <c r="CB162" s="156">
        <f>INPUT!DY171</f>
        <v>71.333333333333343</v>
      </c>
      <c r="CC162" s="507">
        <f>INPUT!DZ171</f>
        <v>3.4006116207951242</v>
      </c>
      <c r="CD162" s="156">
        <f>INPUT!EA171</f>
        <v>71.126760563380287</v>
      </c>
      <c r="CE162" s="507">
        <f>INPUT!EB171</f>
        <v>6.6901408450704469</v>
      </c>
      <c r="CF162" s="156">
        <f>INPUT!EC171</f>
        <v>72.027972027972027</v>
      </c>
      <c r="CG162" s="507">
        <f>INPUT!ED171</f>
        <v>-0.11215199894445416</v>
      </c>
      <c r="CH162" s="156">
        <f>INPUT!EE171</f>
        <v>68.181818181818173</v>
      </c>
      <c r="CI162" s="507">
        <f>INPUT!EF171</f>
        <v>5.6149732620320858</v>
      </c>
      <c r="CJ162" s="156">
        <f>INPUT!EG171</f>
        <v>71.333333333333343</v>
      </c>
      <c r="CK162" s="507">
        <f>INPUT!EH171</f>
        <v>0</v>
      </c>
      <c r="CL162" s="156">
        <f>INPUT!EI171</f>
        <v>69.333333333333343</v>
      </c>
      <c r="CM162" s="507">
        <f>INPUT!EJ171</f>
        <v>-2.52145214521452</v>
      </c>
      <c r="CN162" s="156">
        <f>INPUT!EK171</f>
        <v>69.230769230769226</v>
      </c>
      <c r="CO162" s="507">
        <f>INPUT!EL171</f>
        <v>-3.8834951456310773</v>
      </c>
      <c r="CP162" s="156">
        <f>INPUT!EM171</f>
        <v>70.322580645161295</v>
      </c>
      <c r="CQ162" s="507">
        <f>INPUT!EN171</f>
        <v>3.1397849462365901</v>
      </c>
      <c r="CR162" s="156">
        <f>INPUT!EO171</f>
        <v>65.662650602409627</v>
      </c>
      <c r="CS162" s="507">
        <f>INPUT!EP171</f>
        <v>-7.9495552302668919</v>
      </c>
      <c r="CT162" s="156">
        <f>INPUT!EQ171</f>
        <v>68.5</v>
      </c>
      <c r="CU162" s="507">
        <f>INPUT!ER171</f>
        <v>-1.2019230769230949</v>
      </c>
      <c r="CV162" s="156">
        <f>INPUT!ES171</f>
        <v>68.5</v>
      </c>
      <c r="CW162" s="507">
        <f>INPUT!ET171</f>
        <v>-1.055555555555554</v>
      </c>
      <c r="CX162" s="156">
        <f>INPUT!EU171</f>
        <v>68.5</v>
      </c>
      <c r="CY162" s="507">
        <f>INPUT!EV171</f>
        <v>-2.5917431192660656</v>
      </c>
      <c r="CZ162" s="156">
        <f>INPUT!EW171</f>
        <v>68.5</v>
      </c>
      <c r="DA162" s="507">
        <f>INPUT!EX171</f>
        <v>4.3211009174312087</v>
      </c>
      <c r="DB162" s="507"/>
      <c r="DC162" s="156">
        <f>INPUT!FP171</f>
        <v>59.628471583593893</v>
      </c>
      <c r="DD162" s="687" t="str">
        <f>INPUT!FQ171</f>
        <v>NA</v>
      </c>
      <c r="DE162" s="156">
        <f>INPUT!FR171</f>
        <v>53.930055401662045</v>
      </c>
      <c r="DF162" s="687">
        <f>INPUT!FS171</f>
        <v>-9.5565357128820079</v>
      </c>
      <c r="DG162" s="156">
        <f>INPUT!FT171</f>
        <v>55.439957679421624</v>
      </c>
      <c r="DH162" s="687">
        <f>INPUT!FU171</f>
        <v>2.7997417516338219</v>
      </c>
      <c r="DI162" s="156">
        <f>INPUT!FV171</f>
        <v>62.624254473161031</v>
      </c>
      <c r="DJ162" s="687">
        <f>INPUT!FW171</f>
        <v>12.958698192524221</v>
      </c>
      <c r="DK162" s="156">
        <f>INPUT!FX171</f>
        <v>60.940099833610638</v>
      </c>
      <c r="DL162" s="507">
        <f>INPUT!FY171</f>
        <v>-2.6893009006153878</v>
      </c>
      <c r="DM162" s="156">
        <f>INPUT!FZ171</f>
        <v>58.70001825817053</v>
      </c>
      <c r="DN162" s="507">
        <f>INPUT!GA171</f>
        <v>-3.6758744760122974</v>
      </c>
      <c r="DO162" s="156">
        <f>INPUT!GB171</f>
        <v>61.445366528354086</v>
      </c>
      <c r="DP162" s="507">
        <f>INPUT!GC171</f>
        <v>4.6769121231089672</v>
      </c>
      <c r="DQ162" s="156">
        <f>INPUT!GD171</f>
        <v>69.75524475524476</v>
      </c>
      <c r="DR162" s="507">
        <f>INPUT!GE171</f>
        <v>13.524011160477123</v>
      </c>
      <c r="DS162" s="156">
        <f>INPUT!GF171</f>
        <v>65.723793677204654</v>
      </c>
      <c r="DT162" s="507">
        <f>INPUT!GG171</f>
        <v>-5.7794236005988537</v>
      </c>
      <c r="DU162" s="156">
        <f>INPUT!GH171</f>
        <v>64.667747163695296</v>
      </c>
      <c r="DV162" s="507">
        <f>INPUT!GI171</f>
        <v>-1.6067948218205674</v>
      </c>
      <c r="DW162" s="156">
        <f>INPUT!GJ171</f>
        <v>68.59504132231406</v>
      </c>
      <c r="DX162" s="507">
        <f>INPUT!GK171</f>
        <v>6.0730338242300119</v>
      </c>
      <c r="DY162" s="156">
        <f>INPUT!GL171</f>
        <v>70.62818336162988</v>
      </c>
      <c r="DZ162" s="507">
        <f>INPUT!GM171</f>
        <v>2.9639781537013743</v>
      </c>
      <c r="EA162" s="156">
        <f>INPUT!GN171</f>
        <v>68.580542264752779</v>
      </c>
      <c r="EB162" s="507">
        <f>INPUT!GO171</f>
        <v>-2.8991841491841641</v>
      </c>
      <c r="EC162" s="156">
        <f>INPUT!GP171</f>
        <v>68.5</v>
      </c>
      <c r="ED162" s="507">
        <f>INPUT!GQ171</f>
        <v>-0.11744186046509508</v>
      </c>
      <c r="EE162" s="156">
        <f>INPUT!GR171</f>
        <v>68.5</v>
      </c>
      <c r="EF162" s="507">
        <f>INPUT!GS171</f>
        <v>0</v>
      </c>
      <c r="EG162" s="156">
        <f>INPUT!GT171</f>
        <v>68.5</v>
      </c>
      <c r="EH162" s="507">
        <f>INPUT!GU171</f>
        <v>0</v>
      </c>
      <c r="EI162" s="156">
        <f>INPUT!GV171</f>
        <v>68.5</v>
      </c>
      <c r="EJ162" s="507">
        <f>INPUT!GW171</f>
        <v>0</v>
      </c>
      <c r="EK162" s="156">
        <f>INPUT!GX171</f>
        <v>68.5</v>
      </c>
      <c r="EL162" s="507">
        <f>INPUT!GY171</f>
        <v>0</v>
      </c>
      <c r="EM162" s="687">
        <f>INPUT!GZ171</f>
        <v>-2.3499413947059011E-2</v>
      </c>
    </row>
    <row r="163" spans="1:143" ht="12.75" hidden="1" customHeight="1" outlineLevel="1" x14ac:dyDescent="0.2">
      <c r="A163" s="701"/>
      <c r="B163" s="464"/>
      <c r="C163" s="507"/>
      <c r="D163" s="464"/>
      <c r="E163" s="687"/>
      <c r="F163" s="464"/>
      <c r="G163" s="687"/>
      <c r="H163" s="464"/>
      <c r="I163" s="687"/>
      <c r="J163" s="464"/>
      <c r="K163" s="507"/>
      <c r="L163" s="464"/>
      <c r="M163" s="507"/>
      <c r="N163" s="464"/>
      <c r="O163" s="507"/>
      <c r="P163" s="464"/>
      <c r="Q163" s="507"/>
      <c r="R163" s="464"/>
      <c r="S163" s="507"/>
      <c r="T163" s="464"/>
      <c r="U163" s="507"/>
      <c r="V163" s="464"/>
      <c r="W163" s="507"/>
      <c r="X163" s="464"/>
      <c r="Y163" s="507"/>
      <c r="Z163" s="464"/>
      <c r="AA163" s="122"/>
      <c r="AB163" s="464"/>
      <c r="AC163" s="507"/>
      <c r="AD163" s="464"/>
      <c r="AE163" s="507"/>
      <c r="AF163" s="464"/>
      <c r="AG163" s="507"/>
      <c r="AH163" s="464"/>
      <c r="AI163" s="507"/>
      <c r="AJ163" s="464"/>
      <c r="AK163" s="507"/>
      <c r="AL163" s="464"/>
      <c r="AM163" s="507"/>
      <c r="AN163" s="464"/>
      <c r="AO163" s="507"/>
      <c r="AP163" s="464"/>
      <c r="AQ163" s="507"/>
      <c r="AR163" s="464"/>
      <c r="AS163" s="507"/>
      <c r="AT163" s="464"/>
      <c r="AU163" s="507"/>
      <c r="AV163" s="464"/>
      <c r="AW163" s="507"/>
      <c r="AX163" s="464"/>
      <c r="AY163" s="507"/>
      <c r="AZ163" s="464"/>
      <c r="BA163" s="507"/>
      <c r="BB163" s="464"/>
      <c r="BC163" s="507"/>
      <c r="BD163" s="464"/>
      <c r="BE163" s="507"/>
      <c r="BF163" s="464"/>
      <c r="BG163" s="507"/>
      <c r="BH163" s="464"/>
      <c r="BI163" s="507"/>
      <c r="BJ163" s="464"/>
      <c r="BK163" s="507"/>
      <c r="BL163" s="464"/>
      <c r="BM163" s="507"/>
      <c r="BN163" s="464"/>
      <c r="BO163" s="507"/>
      <c r="BP163" s="464"/>
      <c r="BQ163" s="507"/>
      <c r="BR163" s="464"/>
      <c r="BS163" s="507"/>
      <c r="BT163" s="464"/>
      <c r="BU163" s="507"/>
      <c r="BV163" s="464"/>
      <c r="BW163" s="507"/>
      <c r="BX163" s="464"/>
      <c r="BY163" s="507"/>
      <c r="BZ163" s="464"/>
      <c r="CA163" s="507"/>
      <c r="CB163" s="464"/>
      <c r="CC163" s="507"/>
      <c r="CD163" s="464"/>
      <c r="CE163" s="507"/>
      <c r="CF163" s="464"/>
      <c r="CG163" s="507"/>
      <c r="CH163" s="464"/>
      <c r="CI163" s="507"/>
      <c r="CJ163" s="464"/>
      <c r="CK163" s="507"/>
      <c r="CL163" s="464"/>
      <c r="CM163" s="507"/>
      <c r="CN163" s="464"/>
      <c r="CO163" s="507"/>
      <c r="CP163" s="464"/>
      <c r="CQ163" s="507"/>
      <c r="CR163" s="464"/>
      <c r="CS163" s="507"/>
      <c r="CT163" s="464"/>
      <c r="CU163" s="507"/>
      <c r="CV163" s="464"/>
      <c r="CW163" s="507"/>
      <c r="CX163" s="464"/>
      <c r="CY163" s="507"/>
      <c r="CZ163" s="464"/>
      <c r="DA163" s="507"/>
      <c r="DB163" s="507"/>
      <c r="DC163" s="464"/>
      <c r="DD163" s="507"/>
      <c r="DE163" s="464"/>
      <c r="DF163" s="507"/>
      <c r="DG163" s="464"/>
      <c r="DH163" s="507"/>
      <c r="DI163" s="464"/>
      <c r="DJ163" s="507"/>
      <c r="DK163" s="464"/>
      <c r="DL163" s="507"/>
      <c r="DM163" s="464"/>
      <c r="DN163" s="507"/>
      <c r="DO163" s="464"/>
      <c r="DP163" s="507"/>
      <c r="DQ163" s="464"/>
      <c r="DR163" s="507"/>
      <c r="DS163" s="464"/>
      <c r="DT163" s="507"/>
      <c r="DU163" s="464"/>
      <c r="DV163" s="507"/>
      <c r="DW163" s="464"/>
      <c r="DX163" s="507"/>
      <c r="DY163" s="464"/>
      <c r="DZ163" s="507"/>
      <c r="EA163" s="464"/>
      <c r="EB163" s="507"/>
      <c r="EC163" s="464"/>
      <c r="ED163" s="507"/>
      <c r="EE163" s="464"/>
      <c r="EF163" s="507"/>
      <c r="EG163" s="464"/>
      <c r="EH163" s="507"/>
      <c r="EI163" s="464"/>
      <c r="EJ163" s="507"/>
      <c r="EK163" s="464"/>
      <c r="EL163" s="507"/>
      <c r="EM163" s="687"/>
    </row>
    <row r="164" spans="1:143" ht="12.75" hidden="1" customHeight="1" outlineLevel="1" x14ac:dyDescent="0.2">
      <c r="A164" s="689" t="str">
        <f>+A51</f>
        <v xml:space="preserve">Quarterly income statement ratios are annualized where appropriate     NM = Not Meaningful       NA = Not Applicable </v>
      </c>
      <c r="B164" s="16"/>
      <c r="C164" s="507"/>
      <c r="D164" s="16"/>
      <c r="E164" s="687"/>
      <c r="F164" s="16"/>
      <c r="G164" s="687"/>
      <c r="H164" s="16"/>
      <c r="I164" s="687"/>
      <c r="J164" s="16"/>
      <c r="K164" s="507"/>
      <c r="L164" s="16"/>
      <c r="M164" s="507"/>
      <c r="N164" s="16"/>
      <c r="O164" s="507"/>
      <c r="P164" s="16"/>
      <c r="Q164" s="507"/>
      <c r="R164" s="16"/>
      <c r="S164" s="507"/>
      <c r="T164" s="16"/>
      <c r="U164" s="507"/>
      <c r="V164" s="16"/>
      <c r="W164" s="507"/>
      <c r="X164" s="16"/>
      <c r="Y164" s="507"/>
      <c r="Z164" s="16"/>
      <c r="AA164" s="507"/>
      <c r="AB164" s="16"/>
      <c r="AC164" s="507"/>
      <c r="AD164" s="16"/>
      <c r="AE164" s="507"/>
      <c r="AF164" s="16"/>
      <c r="AG164" s="507"/>
      <c r="AH164" s="16"/>
      <c r="AI164" s="507"/>
      <c r="AJ164" s="16"/>
      <c r="AK164" s="507"/>
      <c r="AL164" s="16"/>
      <c r="AM164" s="507"/>
      <c r="AN164" s="16"/>
      <c r="AO164" s="507"/>
      <c r="AP164" s="16"/>
      <c r="AQ164" s="507"/>
      <c r="AR164" s="16"/>
      <c r="AS164" s="507"/>
      <c r="AT164" s="16"/>
      <c r="AU164" s="507"/>
      <c r="AV164" s="16"/>
      <c r="AW164" s="507"/>
      <c r="AX164" s="16"/>
      <c r="AY164" s="507"/>
      <c r="AZ164" s="16"/>
      <c r="BA164" s="507"/>
      <c r="BB164" s="16"/>
      <c r="BC164" s="507"/>
      <c r="BD164" s="16"/>
      <c r="BE164" s="507"/>
      <c r="BF164" s="16"/>
      <c r="BG164" s="507"/>
      <c r="BH164" s="16"/>
      <c r="BI164" s="507"/>
      <c r="BJ164" s="16"/>
      <c r="BK164" s="507"/>
      <c r="BL164" s="16"/>
      <c r="BM164" s="507"/>
      <c r="BN164" s="16"/>
      <c r="BO164" s="507"/>
      <c r="BP164" s="16"/>
      <c r="BQ164" s="507"/>
      <c r="BR164" s="16"/>
      <c r="BS164" s="507"/>
      <c r="BT164" s="16"/>
      <c r="BU164" s="507"/>
      <c r="BV164" s="16"/>
      <c r="BW164" s="507"/>
      <c r="BX164" s="16"/>
      <c r="BY164" s="507"/>
      <c r="BZ164" s="16"/>
      <c r="CA164" s="507"/>
      <c r="CB164" s="16"/>
      <c r="CC164" s="507"/>
      <c r="CD164" s="16"/>
      <c r="CE164" s="507"/>
      <c r="CF164" s="16"/>
      <c r="CG164" s="507"/>
      <c r="CH164" s="16"/>
      <c r="CI164" s="507"/>
      <c r="CJ164" s="16"/>
      <c r="CK164" s="507"/>
      <c r="CL164" s="16"/>
      <c r="CM164" s="507"/>
      <c r="CN164" s="16"/>
      <c r="CO164" s="507"/>
      <c r="CP164" s="16"/>
      <c r="CQ164" s="507"/>
      <c r="CR164" s="16"/>
      <c r="CS164" s="507"/>
      <c r="CT164" s="16"/>
      <c r="CU164" s="507"/>
      <c r="CV164" s="16"/>
      <c r="CW164" s="507"/>
      <c r="CX164" s="16"/>
      <c r="CY164" s="507"/>
      <c r="CZ164" s="16"/>
      <c r="DA164" s="507"/>
      <c r="DB164" s="507"/>
      <c r="DC164" s="16"/>
      <c r="DD164" s="507"/>
      <c r="DE164" s="16"/>
      <c r="DF164" s="507"/>
      <c r="DG164" s="16"/>
      <c r="DH164" s="507"/>
      <c r="DI164" s="16"/>
      <c r="DJ164" s="507"/>
      <c r="DK164" s="16"/>
      <c r="DL164" s="507"/>
      <c r="DM164" s="16"/>
      <c r="DN164" s="507"/>
      <c r="DO164" s="16"/>
      <c r="DP164" s="507"/>
      <c r="DQ164" s="16"/>
      <c r="DR164" s="507"/>
      <c r="DS164" s="16"/>
      <c r="DT164" s="507"/>
      <c r="DU164" s="16"/>
      <c r="DV164" s="507"/>
      <c r="DW164" s="16"/>
      <c r="DX164" s="507"/>
      <c r="DY164" s="16"/>
      <c r="DZ164" s="507"/>
      <c r="EA164" s="16"/>
      <c r="EB164" s="507"/>
      <c r="EC164" s="16"/>
      <c r="ED164" s="507"/>
      <c r="EE164" s="16"/>
      <c r="EF164" s="507"/>
      <c r="EG164" s="16"/>
      <c r="EH164" s="507"/>
      <c r="EI164" s="16"/>
      <c r="EJ164" s="507"/>
      <c r="EK164" s="16"/>
      <c r="EL164" s="507"/>
      <c r="EM164" s="687"/>
    </row>
    <row r="165" spans="1:143" ht="12.75" hidden="1" customHeight="1" outlineLevel="1" x14ac:dyDescent="0.2">
      <c r="A165" s="689" t="s">
        <v>332</v>
      </c>
      <c r="B165" s="16"/>
      <c r="C165" s="507"/>
      <c r="D165" s="16"/>
      <c r="E165" s="687"/>
      <c r="F165" s="16"/>
      <c r="G165" s="687"/>
      <c r="H165" s="16"/>
      <c r="I165" s="687"/>
      <c r="J165" s="16"/>
      <c r="K165" s="507"/>
      <c r="L165" s="16"/>
      <c r="M165" s="507"/>
      <c r="N165" s="16"/>
      <c r="O165" s="507"/>
      <c r="P165" s="16"/>
      <c r="Q165" s="507"/>
      <c r="R165" s="16"/>
      <c r="S165" s="507"/>
      <c r="T165" s="16"/>
      <c r="U165" s="507"/>
      <c r="V165" s="16"/>
      <c r="W165" s="507"/>
      <c r="X165" s="16"/>
      <c r="Y165" s="507"/>
      <c r="Z165" s="16"/>
      <c r="AA165" s="507"/>
      <c r="AB165" s="16"/>
      <c r="AC165" s="507"/>
      <c r="AD165" s="16"/>
      <c r="AE165" s="507"/>
      <c r="AF165" s="16"/>
      <c r="AG165" s="507"/>
      <c r="AH165" s="16"/>
      <c r="AI165" s="507"/>
      <c r="AJ165" s="16"/>
      <c r="AK165" s="507"/>
      <c r="AL165" s="16"/>
      <c r="AM165" s="507"/>
      <c r="AN165" s="16"/>
      <c r="AO165" s="507"/>
      <c r="AP165" s="16"/>
      <c r="AQ165" s="507"/>
      <c r="AR165" s="16"/>
      <c r="AS165" s="507"/>
      <c r="AT165" s="16"/>
      <c r="AU165" s="507"/>
      <c r="AV165" s="16"/>
      <c r="AW165" s="507"/>
      <c r="AX165" s="16"/>
      <c r="AY165" s="507"/>
      <c r="AZ165" s="16"/>
      <c r="BA165" s="507"/>
      <c r="BB165" s="16"/>
      <c r="BC165" s="507"/>
      <c r="BD165" s="16"/>
      <c r="BE165" s="507"/>
      <c r="BF165" s="16"/>
      <c r="BG165" s="507"/>
      <c r="BH165" s="16"/>
      <c r="BI165" s="507"/>
      <c r="BJ165" s="16"/>
      <c r="BK165" s="507"/>
      <c r="BL165" s="16"/>
      <c r="BM165" s="507"/>
      <c r="BN165" s="16"/>
      <c r="BO165" s="507"/>
      <c r="BP165" s="16"/>
      <c r="BQ165" s="507"/>
      <c r="BR165" s="16"/>
      <c r="BS165" s="507"/>
      <c r="BT165" s="16"/>
      <c r="BU165" s="507"/>
      <c r="BV165" s="16"/>
      <c r="BW165" s="507"/>
      <c r="BX165" s="16"/>
      <c r="BY165" s="507"/>
      <c r="BZ165" s="16"/>
      <c r="CA165" s="507"/>
      <c r="CB165" s="16"/>
      <c r="CC165" s="507"/>
      <c r="CD165" s="16"/>
      <c r="CE165" s="507"/>
      <c r="CF165" s="16"/>
      <c r="CG165" s="507"/>
      <c r="CH165" s="16"/>
      <c r="CI165" s="507"/>
      <c r="CJ165" s="16"/>
      <c r="CK165" s="507"/>
      <c r="CL165" s="16"/>
      <c r="CM165" s="507"/>
      <c r="CN165" s="16"/>
      <c r="CO165" s="507"/>
      <c r="CP165" s="16"/>
      <c r="CQ165" s="507"/>
      <c r="CR165" s="16"/>
      <c r="CS165" s="507"/>
      <c r="CT165" s="16"/>
      <c r="CU165" s="507"/>
      <c r="CV165" s="16"/>
      <c r="CW165" s="507"/>
      <c r="CX165" s="16"/>
      <c r="CY165" s="507"/>
      <c r="CZ165" s="16"/>
      <c r="DA165" s="507"/>
      <c r="DB165" s="507"/>
      <c r="DC165" s="16"/>
      <c r="DD165" s="507"/>
      <c r="DE165" s="16"/>
      <c r="DF165" s="507"/>
      <c r="DG165" s="16"/>
      <c r="DH165" s="507"/>
      <c r="DI165" s="16"/>
      <c r="DJ165" s="507"/>
      <c r="DK165" s="16"/>
      <c r="DL165" s="507"/>
      <c r="DM165" s="16"/>
      <c r="DN165" s="507"/>
      <c r="DO165" s="16"/>
      <c r="DP165" s="507"/>
      <c r="DQ165" s="16"/>
      <c r="DR165" s="507"/>
      <c r="DS165" s="16"/>
      <c r="DT165" s="507"/>
      <c r="DU165" s="16"/>
      <c r="DV165" s="507"/>
      <c r="DW165" s="16"/>
      <c r="DX165" s="507"/>
      <c r="DY165" s="16"/>
      <c r="DZ165" s="507"/>
      <c r="EA165" s="16"/>
      <c r="EB165" s="507"/>
      <c r="EC165" s="16"/>
      <c r="ED165" s="507"/>
      <c r="EE165" s="16"/>
      <c r="EF165" s="507"/>
      <c r="EG165" s="16"/>
      <c r="EH165" s="507"/>
      <c r="EI165" s="16"/>
      <c r="EJ165" s="507"/>
      <c r="EK165" s="16"/>
      <c r="EL165" s="507"/>
      <c r="EM165" s="687"/>
    </row>
    <row r="166" spans="1:143" ht="12.75" hidden="1" customHeight="1" outlineLevel="1" x14ac:dyDescent="0.2">
      <c r="A166" s="689"/>
      <c r="B166" s="16"/>
      <c r="C166" s="507"/>
      <c r="D166" s="16"/>
      <c r="E166" s="687"/>
      <c r="F166" s="16"/>
      <c r="G166" s="687"/>
      <c r="H166" s="16"/>
      <c r="I166" s="687"/>
      <c r="J166" s="16"/>
      <c r="K166" s="507"/>
      <c r="L166" s="16"/>
      <c r="M166" s="507"/>
      <c r="N166" s="16"/>
      <c r="O166" s="507"/>
      <c r="P166" s="16"/>
      <c r="Q166" s="507"/>
      <c r="R166" s="16"/>
      <c r="S166" s="507"/>
      <c r="T166" s="16"/>
      <c r="U166" s="507"/>
      <c r="V166" s="16"/>
      <c r="W166" s="507"/>
      <c r="X166" s="16"/>
      <c r="Y166" s="507"/>
      <c r="Z166" s="16"/>
      <c r="AA166" s="507"/>
      <c r="AB166" s="16"/>
      <c r="AC166" s="507"/>
      <c r="AD166" s="16"/>
      <c r="AE166" s="507"/>
      <c r="AF166" s="16"/>
      <c r="AG166" s="507"/>
      <c r="AH166" s="16"/>
      <c r="AI166" s="507"/>
      <c r="AJ166" s="16"/>
      <c r="AK166" s="507"/>
      <c r="AL166" s="16"/>
      <c r="AM166" s="507"/>
      <c r="AN166" s="16"/>
      <c r="AO166" s="507"/>
      <c r="AP166" s="16"/>
      <c r="AQ166" s="507"/>
      <c r="AR166" s="16"/>
      <c r="AS166" s="507"/>
      <c r="AT166" s="16"/>
      <c r="AU166" s="507"/>
      <c r="AV166" s="16"/>
      <c r="AW166" s="507"/>
      <c r="AX166" s="16"/>
      <c r="AY166" s="507"/>
      <c r="AZ166" s="16"/>
      <c r="BA166" s="507"/>
      <c r="BB166" s="16"/>
      <c r="BC166" s="507"/>
      <c r="BD166" s="16"/>
      <c r="BE166" s="507"/>
      <c r="BF166" s="16"/>
      <c r="BG166" s="507"/>
      <c r="BH166" s="16"/>
      <c r="BI166" s="507"/>
      <c r="BJ166" s="16"/>
      <c r="BK166" s="507"/>
      <c r="BL166" s="16"/>
      <c r="BM166" s="507"/>
      <c r="BN166" s="16"/>
      <c r="BO166" s="507"/>
      <c r="BP166" s="16"/>
      <c r="BQ166" s="507"/>
      <c r="BR166" s="16"/>
      <c r="BS166" s="507"/>
      <c r="BT166" s="16"/>
      <c r="BU166" s="507"/>
      <c r="BV166" s="16"/>
      <c r="BW166" s="507"/>
      <c r="BX166" s="16"/>
      <c r="BY166" s="507"/>
      <c r="BZ166" s="16"/>
      <c r="CA166" s="507"/>
      <c r="CB166" s="16"/>
      <c r="CC166" s="507"/>
      <c r="CD166" s="16"/>
      <c r="CE166" s="507"/>
      <c r="CF166" s="16"/>
      <c r="CG166" s="507"/>
      <c r="CH166" s="16"/>
      <c r="CI166" s="507"/>
      <c r="CJ166" s="16"/>
      <c r="CK166" s="507"/>
      <c r="CL166" s="16"/>
      <c r="CM166" s="507"/>
      <c r="CN166" s="16"/>
      <c r="CO166" s="507"/>
      <c r="CP166" s="16"/>
      <c r="CQ166" s="507"/>
      <c r="CR166" s="16"/>
      <c r="CS166" s="507"/>
      <c r="CT166" s="16"/>
      <c r="CU166" s="507"/>
      <c r="CV166" s="16"/>
      <c r="CW166" s="507"/>
      <c r="CX166" s="16"/>
      <c r="CY166" s="507"/>
      <c r="CZ166" s="16"/>
      <c r="DA166" s="507"/>
      <c r="DB166" s="507"/>
      <c r="DC166" s="16"/>
      <c r="DD166" s="507"/>
      <c r="DE166" s="16"/>
      <c r="DF166" s="507"/>
      <c r="DG166" s="16"/>
      <c r="DH166" s="507"/>
      <c r="DI166" s="16"/>
      <c r="DJ166" s="507"/>
      <c r="DK166" s="16"/>
      <c r="DL166" s="507"/>
      <c r="DM166" s="16"/>
      <c r="DN166" s="507"/>
      <c r="DO166" s="16"/>
      <c r="DP166" s="507"/>
      <c r="DQ166" s="16"/>
      <c r="DR166" s="507"/>
      <c r="DS166" s="16"/>
      <c r="DT166" s="507"/>
      <c r="DU166" s="16"/>
      <c r="DV166" s="507"/>
      <c r="DW166" s="16"/>
      <c r="DX166" s="507"/>
      <c r="DY166" s="16"/>
      <c r="DZ166" s="507"/>
      <c r="EA166" s="16"/>
      <c r="EB166" s="507"/>
      <c r="EC166" s="16"/>
      <c r="ED166" s="507"/>
      <c r="EE166" s="16"/>
      <c r="EF166" s="507"/>
      <c r="EG166" s="16"/>
      <c r="EH166" s="507"/>
      <c r="EI166" s="16"/>
      <c r="EJ166" s="507"/>
      <c r="EK166" s="16"/>
      <c r="EL166" s="507"/>
      <c r="EM166" s="687"/>
    </row>
    <row r="167" spans="1:143" s="774" customFormat="1" ht="21.95" hidden="1" customHeight="1" outlineLevel="1" x14ac:dyDescent="0.3">
      <c r="A167" s="770" t="str">
        <f>$A$1</f>
        <v>Lincoln National</v>
      </c>
      <c r="B167" s="771"/>
      <c r="C167" s="772"/>
      <c r="D167" s="771"/>
      <c r="E167" s="773"/>
      <c r="F167" s="771"/>
      <c r="G167" s="773"/>
      <c r="H167" s="771"/>
      <c r="I167" s="773"/>
      <c r="J167" s="771"/>
      <c r="K167" s="772"/>
      <c r="L167" s="771"/>
      <c r="M167" s="772"/>
      <c r="N167" s="771"/>
      <c r="O167" s="772"/>
      <c r="P167" s="771"/>
      <c r="Q167" s="772"/>
      <c r="R167" s="771"/>
      <c r="S167" s="772"/>
      <c r="T167" s="771"/>
      <c r="U167" s="772"/>
      <c r="V167" s="771"/>
      <c r="W167" s="772"/>
      <c r="X167" s="771"/>
      <c r="Y167" s="772"/>
      <c r="Z167" s="771"/>
      <c r="AA167" s="772"/>
      <c r="AB167" s="771"/>
      <c r="AC167" s="772"/>
      <c r="AD167" s="771"/>
      <c r="AE167" s="772"/>
      <c r="AF167" s="771"/>
      <c r="AG167" s="772"/>
      <c r="AH167" s="771"/>
      <c r="AI167" s="772"/>
      <c r="AJ167" s="771"/>
      <c r="AK167" s="772"/>
      <c r="AL167" s="771"/>
      <c r="AM167" s="772"/>
      <c r="AN167" s="771"/>
      <c r="AO167" s="772"/>
      <c r="AP167" s="771"/>
      <c r="AQ167" s="772"/>
      <c r="AR167" s="771"/>
      <c r="AS167" s="772"/>
      <c r="AT167" s="771"/>
      <c r="AU167" s="772"/>
      <c r="AV167" s="771"/>
      <c r="AW167" s="772"/>
      <c r="AX167" s="771"/>
      <c r="AY167" s="772"/>
      <c r="AZ167" s="771"/>
      <c r="BA167" s="772"/>
      <c r="BB167" s="771"/>
      <c r="BC167" s="772"/>
      <c r="BD167" s="771"/>
      <c r="BE167" s="772"/>
      <c r="BF167" s="771"/>
      <c r="BG167" s="772"/>
      <c r="BH167" s="771"/>
      <c r="BI167" s="772"/>
      <c r="BJ167" s="771"/>
      <c r="BK167" s="772"/>
      <c r="BL167" s="771"/>
      <c r="BM167" s="772"/>
      <c r="BN167" s="771"/>
      <c r="BO167" s="772"/>
      <c r="BP167" s="771"/>
      <c r="BQ167" s="772"/>
      <c r="BR167" s="771"/>
      <c r="BS167" s="772"/>
      <c r="BT167" s="771"/>
      <c r="BU167" s="772"/>
      <c r="BV167" s="771"/>
      <c r="BW167" s="772"/>
      <c r="BX167" s="771"/>
      <c r="BY167" s="772"/>
      <c r="BZ167" s="771"/>
      <c r="CA167" s="772"/>
      <c r="CB167" s="771"/>
      <c r="CC167" s="772"/>
      <c r="CD167" s="771"/>
      <c r="CE167" s="772"/>
      <c r="CF167" s="771"/>
      <c r="CG167" s="772"/>
      <c r="CH167" s="771"/>
      <c r="CI167" s="772"/>
      <c r="CJ167" s="771"/>
      <c r="CK167" s="772"/>
      <c r="CL167" s="771"/>
      <c r="CM167" s="772"/>
      <c r="CN167" s="771"/>
      <c r="CO167" s="772"/>
      <c r="CP167" s="771"/>
      <c r="CQ167" s="772"/>
      <c r="CR167" s="771"/>
      <c r="CS167" s="772"/>
      <c r="CT167" s="771"/>
      <c r="CU167" s="772"/>
      <c r="CV167" s="771"/>
      <c r="CW167" s="772"/>
      <c r="CX167" s="771"/>
      <c r="CY167" s="772"/>
      <c r="CZ167" s="771"/>
      <c r="DA167" s="772"/>
      <c r="DB167" s="772"/>
      <c r="DC167" s="771"/>
      <c r="DD167" s="772"/>
      <c r="DE167" s="771"/>
      <c r="DF167" s="772"/>
      <c r="DG167" s="771"/>
      <c r="DH167" s="772"/>
      <c r="DI167" s="771"/>
      <c r="DJ167" s="772"/>
      <c r="DK167" s="771"/>
      <c r="DL167" s="772"/>
      <c r="DM167" s="771"/>
      <c r="DN167" s="772"/>
      <c r="DO167" s="771"/>
      <c r="DP167" s="772"/>
      <c r="DQ167" s="771"/>
      <c r="DR167" s="772"/>
      <c r="DS167" s="771"/>
      <c r="DT167" s="772"/>
      <c r="DU167" s="771"/>
      <c r="DV167" s="772"/>
      <c r="DW167" s="771"/>
      <c r="DX167" s="772"/>
      <c r="DY167" s="771"/>
      <c r="DZ167" s="772"/>
      <c r="EA167" s="771"/>
      <c r="EB167" s="772"/>
      <c r="EC167" s="771"/>
      <c r="ED167" s="772"/>
      <c r="EE167" s="771"/>
      <c r="EF167" s="772"/>
      <c r="EG167" s="771"/>
      <c r="EH167" s="772"/>
      <c r="EI167" s="771"/>
      <c r="EJ167" s="772"/>
      <c r="EK167" s="771"/>
      <c r="EL167" s="772"/>
      <c r="EM167" s="773"/>
    </row>
    <row r="168" spans="1:143" ht="12.75" hidden="1" customHeight="1" outlineLevel="1" x14ac:dyDescent="0.2">
      <c r="A168" s="685" t="s">
        <v>198</v>
      </c>
      <c r="B168" s="4"/>
      <c r="C168" s="496"/>
      <c r="D168" s="4"/>
      <c r="E168" s="686"/>
      <c r="F168" s="4"/>
      <c r="G168" s="686"/>
      <c r="H168" s="4"/>
      <c r="I168" s="686"/>
      <c r="J168" s="4"/>
      <c r="K168" s="496"/>
      <c r="L168" s="4"/>
      <c r="M168" s="496"/>
      <c r="N168" s="4"/>
      <c r="O168" s="496"/>
      <c r="P168" s="4"/>
      <c r="Q168" s="496"/>
      <c r="R168" s="4"/>
      <c r="S168" s="496"/>
      <c r="T168" s="4"/>
      <c r="U168" s="496"/>
      <c r="V168" s="4"/>
      <c r="W168" s="496"/>
      <c r="X168" s="4"/>
      <c r="Y168" s="496"/>
      <c r="Z168" s="4"/>
      <c r="AA168" s="496"/>
      <c r="AB168" s="4"/>
      <c r="AC168" s="496"/>
      <c r="AD168" s="4"/>
      <c r="AE168" s="496"/>
      <c r="AF168" s="4"/>
      <c r="AG168" s="496"/>
      <c r="AH168" s="4"/>
      <c r="AI168" s="496"/>
      <c r="AJ168" s="4"/>
      <c r="AK168" s="496"/>
      <c r="AL168" s="4"/>
      <c r="AM168" s="496"/>
      <c r="AN168" s="4"/>
      <c r="AO168" s="496"/>
      <c r="AP168" s="4"/>
      <c r="AQ168" s="496"/>
      <c r="AR168" s="4"/>
      <c r="AS168" s="496"/>
      <c r="AT168" s="4"/>
      <c r="AU168" s="496"/>
      <c r="AV168" s="4"/>
      <c r="AW168" s="496"/>
      <c r="AX168" s="4"/>
      <c r="AY168" s="496"/>
      <c r="AZ168" s="4"/>
      <c r="BA168" s="496"/>
      <c r="BB168" s="4"/>
      <c r="BC168" s="496"/>
      <c r="BD168" s="4"/>
      <c r="BE168" s="496"/>
      <c r="BF168" s="4"/>
      <c r="BG168" s="496"/>
      <c r="BH168" s="4"/>
      <c r="BI168" s="496"/>
      <c r="BJ168" s="4"/>
      <c r="BK168" s="496"/>
      <c r="BL168" s="4"/>
      <c r="BM168" s="496"/>
      <c r="BN168" s="4"/>
      <c r="BO168" s="496"/>
      <c r="BP168" s="4"/>
      <c r="BQ168" s="496"/>
      <c r="BR168" s="4"/>
      <c r="BS168" s="496"/>
      <c r="BT168" s="4"/>
      <c r="BU168" s="496"/>
      <c r="BV168" s="4"/>
      <c r="BW168" s="496"/>
      <c r="BX168" s="4"/>
      <c r="BY168" s="496"/>
      <c r="BZ168" s="4"/>
      <c r="CA168" s="496"/>
      <c r="CB168" s="4"/>
      <c r="CC168" s="496"/>
      <c r="CD168" s="4"/>
      <c r="CE168" s="496"/>
      <c r="CF168" s="4"/>
      <c r="CG168" s="496"/>
      <c r="CH168" s="4"/>
      <c r="CI168" s="496"/>
      <c r="CJ168" s="4"/>
      <c r="CK168" s="496"/>
      <c r="CL168" s="4"/>
      <c r="CM168" s="496"/>
      <c r="CN168" s="4"/>
      <c r="CO168" s="496"/>
      <c r="CP168" s="4"/>
      <c r="CQ168" s="496"/>
      <c r="CR168" s="4"/>
      <c r="CS168" s="496"/>
      <c r="CT168" s="4"/>
      <c r="CU168" s="496"/>
      <c r="CV168" s="4"/>
      <c r="CW168" s="496"/>
      <c r="CX168" s="4"/>
      <c r="CY168" s="496"/>
      <c r="CZ168" s="4"/>
      <c r="DA168" s="496"/>
      <c r="DB168" s="496"/>
      <c r="DC168" s="4"/>
      <c r="DD168" s="496"/>
      <c r="DE168" s="4"/>
      <c r="DF168" s="496"/>
      <c r="DG168" s="4"/>
      <c r="DH168" s="496"/>
      <c r="DI168" s="4"/>
      <c r="DJ168" s="496"/>
      <c r="DK168" s="4"/>
      <c r="DL168" s="496"/>
      <c r="DM168" s="4"/>
      <c r="DN168" s="496"/>
      <c r="DO168" s="4"/>
      <c r="DP168" s="496"/>
      <c r="DQ168" s="4"/>
      <c r="DR168" s="496"/>
      <c r="DS168" s="4"/>
      <c r="DT168" s="496"/>
      <c r="DU168" s="4"/>
      <c r="DV168" s="496"/>
      <c r="DW168" s="4"/>
      <c r="DX168" s="496"/>
      <c r="DY168" s="4"/>
      <c r="DZ168" s="496"/>
      <c r="EA168" s="4"/>
      <c r="EB168" s="496"/>
      <c r="EC168" s="4"/>
      <c r="ED168" s="496"/>
      <c r="EE168" s="4"/>
      <c r="EF168" s="496"/>
      <c r="EG168" s="4"/>
      <c r="EH168" s="496"/>
      <c r="EI168" s="4"/>
      <c r="EJ168" s="496"/>
      <c r="EK168" s="4"/>
      <c r="EL168" s="496"/>
      <c r="EM168" s="686"/>
    </row>
    <row r="169" spans="1:143" s="3" customFormat="1" ht="12.75" hidden="1" customHeight="1" outlineLevel="1" x14ac:dyDescent="0.2">
      <c r="A169" s="560" t="str">
        <f>A$3</f>
        <v>($Millions Except Per Share Data)</v>
      </c>
      <c r="B169" s="704"/>
      <c r="C169" s="724"/>
      <c r="D169" s="704"/>
      <c r="E169" s="724" t="str">
        <f>E$3</f>
        <v>2Q06/</v>
      </c>
      <c r="F169" s="704"/>
      <c r="G169" s="724" t="str">
        <f>G$3</f>
        <v>3Q06/</v>
      </c>
      <c r="H169" s="704"/>
      <c r="I169" s="724" t="str">
        <f>I$3</f>
        <v>4Q06/</v>
      </c>
      <c r="J169" s="724"/>
      <c r="K169" s="724" t="str">
        <f>K$3</f>
        <v>1Q07/</v>
      </c>
      <c r="L169" s="704"/>
      <c r="M169" s="724" t="str">
        <f>M$3</f>
        <v>2Q07/</v>
      </c>
      <c r="N169" s="704"/>
      <c r="O169" s="724" t="str">
        <f>O$3</f>
        <v>3Q07/</v>
      </c>
      <c r="P169" s="704"/>
      <c r="Q169" s="724" t="str">
        <f>Q$3</f>
        <v>4Q07/</v>
      </c>
      <c r="R169" s="704"/>
      <c r="S169" s="724" t="str">
        <f>S$3</f>
        <v>1Q08/</v>
      </c>
      <c r="T169" s="704"/>
      <c r="U169" s="724" t="str">
        <f>U$3</f>
        <v>2Q08/</v>
      </c>
      <c r="V169" s="704"/>
      <c r="W169" s="724" t="str">
        <f>W$3</f>
        <v>3Q08/</v>
      </c>
      <c r="X169" s="704"/>
      <c r="Y169" s="724" t="str">
        <f>Y$3</f>
        <v>4Q08/</v>
      </c>
      <c r="Z169" s="704"/>
      <c r="AA169" s="724" t="str">
        <f>AA$3</f>
        <v>1Q09/</v>
      </c>
      <c r="AB169" s="704"/>
      <c r="AC169" s="724" t="str">
        <f>AC$3</f>
        <v>2Q09/</v>
      </c>
      <c r="AD169" s="704"/>
      <c r="AE169" s="724" t="str">
        <f>AE$3</f>
        <v>3Q09/</v>
      </c>
      <c r="AF169" s="704"/>
      <c r="AG169" s="724" t="str">
        <f>AG$3</f>
        <v>4Q09/</v>
      </c>
      <c r="AH169" s="704"/>
      <c r="AI169" s="724" t="str">
        <f>AI$3</f>
        <v>1Q10/</v>
      </c>
      <c r="AJ169" s="704"/>
      <c r="AK169" s="724" t="str">
        <f>AK$3</f>
        <v>2Q10/</v>
      </c>
      <c r="AL169" s="704"/>
      <c r="AM169" s="724" t="str">
        <f>AM$3</f>
        <v>3Q10/</v>
      </c>
      <c r="AN169" s="704"/>
      <c r="AO169" s="724" t="str">
        <f>AO$3</f>
        <v>4Q10/</v>
      </c>
      <c r="AP169" s="704"/>
      <c r="AQ169" s="724" t="str">
        <f>AQ$3</f>
        <v>1Q11/</v>
      </c>
      <c r="AR169" s="704"/>
      <c r="AS169" s="724" t="str">
        <f>AS$3</f>
        <v>2Q11/</v>
      </c>
      <c r="AT169" s="704"/>
      <c r="AU169" s="724" t="str">
        <f>AU$3</f>
        <v>3Q11/</v>
      </c>
      <c r="AV169" s="704"/>
      <c r="AW169" s="724" t="str">
        <f>AW$3</f>
        <v>4Q11/</v>
      </c>
      <c r="AX169" s="704"/>
      <c r="AY169" s="724" t="str">
        <f>AY$3</f>
        <v>1Q12/</v>
      </c>
      <c r="AZ169" s="704"/>
      <c r="BA169" s="724" t="str">
        <f>BA$3</f>
        <v>2Q12/</v>
      </c>
      <c r="BB169" s="704"/>
      <c r="BC169" s="724" t="str">
        <f>BC$3</f>
        <v>3Q12/</v>
      </c>
      <c r="BD169" s="704"/>
      <c r="BE169" s="724" t="str">
        <f>BE$3</f>
        <v>4Q12/</v>
      </c>
      <c r="BF169" s="704"/>
      <c r="BG169" s="724" t="str">
        <f>BG$3</f>
        <v>1Q13/</v>
      </c>
      <c r="BH169" s="704"/>
      <c r="BI169" s="724" t="str">
        <f>BI$3</f>
        <v>2Q13/</v>
      </c>
      <c r="BJ169" s="704"/>
      <c r="BK169" s="724" t="str">
        <f>BK$3</f>
        <v>3Q13/</v>
      </c>
      <c r="BL169" s="704"/>
      <c r="BM169" s="724" t="str">
        <f>BM$3</f>
        <v>4Q13/</v>
      </c>
      <c r="BN169" s="704"/>
      <c r="BO169" s="724" t="str">
        <f>BO$3</f>
        <v>1Q14/</v>
      </c>
      <c r="BP169" s="704"/>
      <c r="BQ169" s="724" t="str">
        <f>BQ$3</f>
        <v>2Q14/</v>
      </c>
      <c r="BR169" s="704"/>
      <c r="BS169" s="724" t="str">
        <f>BS$3</f>
        <v>3Q14/</v>
      </c>
      <c r="BT169" s="704"/>
      <c r="BU169" s="724" t="str">
        <f>BU$3</f>
        <v>4Q14/</v>
      </c>
      <c r="BV169" s="704"/>
      <c r="BW169" s="724" t="str">
        <f>BW$3</f>
        <v>1Q15/</v>
      </c>
      <c r="BX169" s="704"/>
      <c r="BY169" s="724" t="str">
        <f>BY$3</f>
        <v>2Q15/</v>
      </c>
      <c r="BZ169" s="704"/>
      <c r="CA169" s="724" t="str">
        <f>CA$3</f>
        <v>3Q15/</v>
      </c>
      <c r="CB169" s="704"/>
      <c r="CC169" s="724" t="str">
        <f>CC$3</f>
        <v>4Q15/</v>
      </c>
      <c r="CD169" s="704"/>
      <c r="CE169" s="724" t="str">
        <f>CE$3</f>
        <v>1Q16/</v>
      </c>
      <c r="CF169" s="704"/>
      <c r="CG169" s="724" t="str">
        <f>CG$3</f>
        <v>2Q16/</v>
      </c>
      <c r="CH169" s="704"/>
      <c r="CI169" s="724" t="str">
        <f>CI$3</f>
        <v>3Q16/</v>
      </c>
      <c r="CJ169" s="704"/>
      <c r="CK169" s="724" t="str">
        <f>CK$3</f>
        <v>4Q16/</v>
      </c>
      <c r="CL169" s="704"/>
      <c r="CM169" s="724" t="str">
        <f t="shared" ref="CM169" si="113">CM$3</f>
        <v>1Q17/</v>
      </c>
      <c r="CN169" s="704"/>
      <c r="CO169" s="724" t="str">
        <f t="shared" ref="CO169" si="114">CO$3</f>
        <v>2Q17/</v>
      </c>
      <c r="CP169" s="704"/>
      <c r="CQ169" s="724" t="str">
        <f t="shared" ref="CQ169" si="115">CQ$3</f>
        <v>3Q17/</v>
      </c>
      <c r="CR169" s="704"/>
      <c r="CS169" s="724" t="str">
        <f t="shared" ref="CS169" si="116">CS$3</f>
        <v>4Q17/</v>
      </c>
      <c r="CT169" s="704"/>
      <c r="CU169" s="724" t="str">
        <f t="shared" ref="CU169" si="117">CU$3</f>
        <v>1Q18E/</v>
      </c>
      <c r="CV169" s="704"/>
      <c r="CW169" s="724" t="str">
        <f t="shared" ref="CW169" si="118">CW$3</f>
        <v>2Q18E/</v>
      </c>
      <c r="CX169" s="704"/>
      <c r="CY169" s="724" t="str">
        <f t="shared" ref="CY169" si="119">CY$3</f>
        <v>3Q18E/</v>
      </c>
      <c r="CZ169" s="704"/>
      <c r="DA169" s="724" t="str">
        <f t="shared" ref="DA169" si="120">DA$3</f>
        <v>4Q18E/</v>
      </c>
      <c r="DB169" s="724"/>
      <c r="DC169" s="704"/>
      <c r="DD169" s="724" t="str">
        <f>DD$3</f>
        <v>2005/</v>
      </c>
      <c r="DE169" s="704"/>
      <c r="DF169" s="724" t="str">
        <f>DF$3</f>
        <v>2006/</v>
      </c>
      <c r="DG169" s="704"/>
      <c r="DH169" s="724" t="str">
        <f>DH$3</f>
        <v>2007/</v>
      </c>
      <c r="DI169" s="704"/>
      <c r="DJ169" s="724" t="str">
        <f>DJ$3</f>
        <v>2008/</v>
      </c>
      <c r="DK169" s="704"/>
      <c r="DL169" s="724" t="str">
        <f>DL$3</f>
        <v>2009/</v>
      </c>
      <c r="DM169" s="704"/>
      <c r="DN169" s="724" t="str">
        <f>DN$3</f>
        <v>2010/</v>
      </c>
      <c r="DO169" s="704"/>
      <c r="DP169" s="724" t="str">
        <f>DP$3</f>
        <v>2011/</v>
      </c>
      <c r="DQ169" s="704"/>
      <c r="DR169" s="724" t="str">
        <f>DR$3</f>
        <v>2012/</v>
      </c>
      <c r="DS169" s="704"/>
      <c r="DT169" s="724" t="str">
        <f>DT$3</f>
        <v>2013/</v>
      </c>
      <c r="DU169" s="704"/>
      <c r="DV169" s="724" t="str">
        <f>DV$3</f>
        <v>2014/</v>
      </c>
      <c r="DW169" s="704"/>
      <c r="DX169" s="724" t="str">
        <f>DX$3</f>
        <v>2015/</v>
      </c>
      <c r="DY169" s="704"/>
      <c r="DZ169" s="724" t="str">
        <f>DZ$3</f>
        <v>2016/</v>
      </c>
      <c r="EA169" s="704"/>
      <c r="EB169" s="724" t="str">
        <f>EB$3</f>
        <v>2017/</v>
      </c>
      <c r="EC169" s="704"/>
      <c r="ED169" s="724" t="str">
        <f>ED$3</f>
        <v>2018E/</v>
      </c>
      <c r="EE169" s="704"/>
      <c r="EF169" s="724" t="str">
        <f>EF$3</f>
        <v>2019E/</v>
      </c>
      <c r="EG169" s="704"/>
      <c r="EH169" s="724" t="str">
        <f>EH$3</f>
        <v>2020E/</v>
      </c>
      <c r="EI169" s="704"/>
      <c r="EJ169" s="724" t="str">
        <f>EJ$3</f>
        <v>2021E/</v>
      </c>
      <c r="EK169" s="704"/>
      <c r="EL169" s="724" t="str">
        <f>EL$3</f>
        <v>2022E/</v>
      </c>
      <c r="EM169" s="705" t="str">
        <f>EM$3</f>
        <v>5-Yr</v>
      </c>
    </row>
    <row r="170" spans="1:143" s="3" customFormat="1" ht="12.75" hidden="1" customHeight="1" outlineLevel="1" x14ac:dyDescent="0.2">
      <c r="A170" s="693"/>
      <c r="B170" s="692"/>
      <c r="C170" s="496"/>
      <c r="D170" s="692"/>
      <c r="E170" s="496" t="str">
        <f>E$4</f>
        <v>2Q05</v>
      </c>
      <c r="F170" s="692"/>
      <c r="G170" s="496" t="str">
        <f>G$4</f>
        <v>3Q05</v>
      </c>
      <c r="H170" s="692"/>
      <c r="I170" s="496" t="str">
        <f>I$4</f>
        <v>4Q05</v>
      </c>
      <c r="J170" s="496"/>
      <c r="K170" s="496" t="str">
        <f>K$4</f>
        <v>1Q06</v>
      </c>
      <c r="L170" s="692"/>
      <c r="M170" s="496" t="str">
        <f>M$4</f>
        <v>2Q06</v>
      </c>
      <c r="N170" s="692"/>
      <c r="O170" s="496" t="str">
        <f>O$4</f>
        <v>3Q06</v>
      </c>
      <c r="P170" s="692"/>
      <c r="Q170" s="496" t="str">
        <f>Q$4</f>
        <v>4Q06</v>
      </c>
      <c r="R170" s="692"/>
      <c r="S170" s="496" t="str">
        <f>S$4</f>
        <v>1Q07</v>
      </c>
      <c r="T170" s="692"/>
      <c r="U170" s="496" t="str">
        <f>U$4</f>
        <v>2Q07</v>
      </c>
      <c r="V170" s="692"/>
      <c r="W170" s="496" t="str">
        <f>W$4</f>
        <v>3Q07</v>
      </c>
      <c r="X170" s="692"/>
      <c r="Y170" s="496" t="str">
        <f>Y$4</f>
        <v>4Q07</v>
      </c>
      <c r="Z170" s="692"/>
      <c r="AA170" s="496" t="str">
        <f>AA$4</f>
        <v>1Q08</v>
      </c>
      <c r="AB170" s="692"/>
      <c r="AC170" s="496" t="str">
        <f>AC$4</f>
        <v>2Q08</v>
      </c>
      <c r="AD170" s="692"/>
      <c r="AE170" s="496" t="str">
        <f>AE$4</f>
        <v>3Q08</v>
      </c>
      <c r="AF170" s="692"/>
      <c r="AG170" s="496" t="str">
        <f>AG$4</f>
        <v>4Q08</v>
      </c>
      <c r="AH170" s="692"/>
      <c r="AI170" s="496" t="str">
        <f>AI$4</f>
        <v>1Q09</v>
      </c>
      <c r="AJ170" s="692"/>
      <c r="AK170" s="496" t="str">
        <f>AK$4</f>
        <v>2Q09</v>
      </c>
      <c r="AL170" s="692"/>
      <c r="AM170" s="496" t="str">
        <f>AM$4</f>
        <v>3Q09</v>
      </c>
      <c r="AN170" s="692"/>
      <c r="AO170" s="496" t="str">
        <f>AO$4</f>
        <v>4Q09</v>
      </c>
      <c r="AP170" s="692"/>
      <c r="AQ170" s="496" t="str">
        <f>AQ$4</f>
        <v>1Q10</v>
      </c>
      <c r="AR170" s="692"/>
      <c r="AS170" s="496" t="str">
        <f>AS$4</f>
        <v>2Q10</v>
      </c>
      <c r="AT170" s="692"/>
      <c r="AU170" s="496" t="str">
        <f>AU$4</f>
        <v>3Q10</v>
      </c>
      <c r="AV170" s="692"/>
      <c r="AW170" s="496" t="str">
        <f>AW$4</f>
        <v>4Q10</v>
      </c>
      <c r="AX170" s="692"/>
      <c r="AY170" s="496" t="str">
        <f>AY$4</f>
        <v>1Q11</v>
      </c>
      <c r="AZ170" s="692"/>
      <c r="BA170" s="496" t="str">
        <f>BA$4</f>
        <v>2Q11</v>
      </c>
      <c r="BB170" s="692"/>
      <c r="BC170" s="496" t="str">
        <f>BC$4</f>
        <v>3Q11</v>
      </c>
      <c r="BD170" s="692"/>
      <c r="BE170" s="496" t="str">
        <f>BE$4</f>
        <v>4Q11</v>
      </c>
      <c r="BF170" s="692"/>
      <c r="BG170" s="496" t="str">
        <f>BG$4</f>
        <v>1Q12</v>
      </c>
      <c r="BH170" s="692"/>
      <c r="BI170" s="496" t="str">
        <f>BI$4</f>
        <v>2Q12</v>
      </c>
      <c r="BJ170" s="692"/>
      <c r="BK170" s="496" t="str">
        <f>BK$4</f>
        <v>3Q12</v>
      </c>
      <c r="BL170" s="692"/>
      <c r="BM170" s="496" t="str">
        <f>BM$4</f>
        <v>4Q12</v>
      </c>
      <c r="BN170" s="692"/>
      <c r="BO170" s="496" t="str">
        <f>BO$4</f>
        <v>1Q13</v>
      </c>
      <c r="BP170" s="692"/>
      <c r="BQ170" s="496" t="str">
        <f>BQ$4</f>
        <v>2Q13</v>
      </c>
      <c r="BR170" s="692"/>
      <c r="BS170" s="496" t="str">
        <f>BS$4</f>
        <v>3Q13</v>
      </c>
      <c r="BT170" s="692"/>
      <c r="BU170" s="496" t="str">
        <f>BU$4</f>
        <v>4Q13</v>
      </c>
      <c r="BV170" s="692"/>
      <c r="BW170" s="496" t="str">
        <f>BW$4</f>
        <v>1Q14</v>
      </c>
      <c r="BX170" s="692"/>
      <c r="BY170" s="496" t="str">
        <f>BY$4</f>
        <v>2Q14</v>
      </c>
      <c r="BZ170" s="692"/>
      <c r="CA170" s="496" t="str">
        <f>CA$4</f>
        <v>3Q14</v>
      </c>
      <c r="CB170" s="692"/>
      <c r="CC170" s="496" t="str">
        <f>CC$4</f>
        <v>4Q14</v>
      </c>
      <c r="CD170" s="692"/>
      <c r="CE170" s="496" t="str">
        <f>CE$4</f>
        <v>1Q15</v>
      </c>
      <c r="CF170" s="692"/>
      <c r="CG170" s="496" t="str">
        <f>CG$4</f>
        <v>2Q15</v>
      </c>
      <c r="CH170" s="692"/>
      <c r="CI170" s="496" t="str">
        <f>CI$4</f>
        <v>3Q15</v>
      </c>
      <c r="CJ170" s="692"/>
      <c r="CK170" s="496" t="str">
        <f>CK$4</f>
        <v>4Q15</v>
      </c>
      <c r="CL170" s="692"/>
      <c r="CM170" s="496" t="str">
        <f t="shared" ref="CM170" si="121">CM$4</f>
        <v>1Q16</v>
      </c>
      <c r="CN170" s="692"/>
      <c r="CO170" s="496" t="str">
        <f t="shared" ref="CO170" si="122">CO$4</f>
        <v>2Q16</v>
      </c>
      <c r="CP170" s="692"/>
      <c r="CQ170" s="496" t="str">
        <f t="shared" ref="CQ170" si="123">CQ$4</f>
        <v>3Q16</v>
      </c>
      <c r="CR170" s="692"/>
      <c r="CS170" s="496" t="str">
        <f t="shared" ref="CS170" si="124">CS$4</f>
        <v>4Q16</v>
      </c>
      <c r="CT170" s="692"/>
      <c r="CU170" s="496" t="str">
        <f t="shared" ref="CU170" si="125">CU$4</f>
        <v>1Q17</v>
      </c>
      <c r="CV170" s="692"/>
      <c r="CW170" s="496" t="str">
        <f t="shared" ref="CW170" si="126">CW$4</f>
        <v>2Q17</v>
      </c>
      <c r="CX170" s="692"/>
      <c r="CY170" s="496" t="str">
        <f t="shared" ref="CY170" si="127">CY$4</f>
        <v>3Q17</v>
      </c>
      <c r="CZ170" s="692"/>
      <c r="DA170" s="496" t="str">
        <f t="shared" ref="DA170" si="128">DA$4</f>
        <v>4Q17</v>
      </c>
      <c r="DB170" s="496"/>
      <c r="DC170" s="692"/>
      <c r="DD170" s="686">
        <f>DD$4</f>
        <v>2004</v>
      </c>
      <c r="DE170" s="692"/>
      <c r="DF170" s="686">
        <f>DF$4</f>
        <v>2005</v>
      </c>
      <c r="DG170" s="692"/>
      <c r="DH170" s="686">
        <f>DH$4</f>
        <v>2006</v>
      </c>
      <c r="DI170" s="692"/>
      <c r="DJ170" s="686">
        <f>DJ$4</f>
        <v>2007</v>
      </c>
      <c r="DK170" s="692"/>
      <c r="DL170" s="725">
        <f>DL$4</f>
        <v>2008</v>
      </c>
      <c r="DM170" s="692"/>
      <c r="DN170" s="725" t="str">
        <f>DN$4</f>
        <v>2009</v>
      </c>
      <c r="DO170" s="692"/>
      <c r="DP170" s="725" t="str">
        <f>DP$4</f>
        <v>2010</v>
      </c>
      <c r="DQ170" s="692"/>
      <c r="DR170" s="725" t="str">
        <f>DR$4</f>
        <v>2011</v>
      </c>
      <c r="DS170" s="692"/>
      <c r="DT170" s="725" t="str">
        <f>DT$4</f>
        <v>2012</v>
      </c>
      <c r="DU170" s="692"/>
      <c r="DV170" s="725" t="str">
        <f>DV$4</f>
        <v>2013</v>
      </c>
      <c r="DW170" s="692"/>
      <c r="DX170" s="725" t="str">
        <f>DX$4</f>
        <v>2014</v>
      </c>
      <c r="DY170" s="692"/>
      <c r="DZ170" s="725" t="str">
        <f>DZ$4</f>
        <v>2015</v>
      </c>
      <c r="EA170" s="692"/>
      <c r="EB170" s="725" t="str">
        <f>EB$4</f>
        <v>2016</v>
      </c>
      <c r="EC170" s="692"/>
      <c r="ED170" s="725" t="str">
        <f>ED$4</f>
        <v>2017</v>
      </c>
      <c r="EE170" s="692"/>
      <c r="EF170" s="725" t="str">
        <f>EF$4</f>
        <v>2018E</v>
      </c>
      <c r="EG170" s="692"/>
      <c r="EH170" s="725" t="str">
        <f>EH$4</f>
        <v>2019E</v>
      </c>
      <c r="EI170" s="692"/>
      <c r="EJ170" s="725" t="str">
        <f>EJ$4</f>
        <v>2020E</v>
      </c>
      <c r="EK170" s="692"/>
      <c r="EL170" s="725" t="str">
        <f>EL$4</f>
        <v>2021E</v>
      </c>
      <c r="EM170" s="686" t="str">
        <f>EM$4</f>
        <v>CAGR</v>
      </c>
    </row>
    <row r="171" spans="1:143" s="3" customFormat="1" ht="12.75" hidden="1" customHeight="1" outlineLevel="1" x14ac:dyDescent="0.2">
      <c r="A171" s="694"/>
      <c r="B171" s="695" t="str">
        <f t="shared" ref="B171:BN171" si="129">B$5</f>
        <v>1Q06</v>
      </c>
      <c r="C171" s="726" t="str">
        <f t="shared" si="129"/>
        <v>% Chg</v>
      </c>
      <c r="D171" s="695" t="str">
        <f t="shared" si="129"/>
        <v>2Q06</v>
      </c>
      <c r="E171" s="726" t="str">
        <f t="shared" si="129"/>
        <v>% Chg</v>
      </c>
      <c r="F171" s="695" t="str">
        <f t="shared" si="129"/>
        <v>3Q06</v>
      </c>
      <c r="G171" s="726" t="str">
        <f t="shared" si="129"/>
        <v>% Chg</v>
      </c>
      <c r="H171" s="695" t="str">
        <f t="shared" si="129"/>
        <v>4Q06</v>
      </c>
      <c r="I171" s="726" t="str">
        <f t="shared" si="129"/>
        <v>% Chg</v>
      </c>
      <c r="J171" s="695" t="str">
        <f t="shared" si="129"/>
        <v>1Q07</v>
      </c>
      <c r="K171" s="726" t="str">
        <f t="shared" si="129"/>
        <v>% Chg</v>
      </c>
      <c r="L171" s="695" t="str">
        <f t="shared" si="129"/>
        <v>2Q07</v>
      </c>
      <c r="M171" s="726" t="str">
        <f t="shared" si="129"/>
        <v>% Chg</v>
      </c>
      <c r="N171" s="695" t="str">
        <f t="shared" si="129"/>
        <v>3Q07</v>
      </c>
      <c r="O171" s="726" t="str">
        <f t="shared" si="129"/>
        <v>% Chg</v>
      </c>
      <c r="P171" s="695" t="str">
        <f t="shared" si="129"/>
        <v>4Q07</v>
      </c>
      <c r="Q171" s="726" t="str">
        <f t="shared" si="129"/>
        <v>% Chg</v>
      </c>
      <c r="R171" s="695" t="str">
        <f t="shared" si="129"/>
        <v>1Q08</v>
      </c>
      <c r="S171" s="726" t="str">
        <f t="shared" si="129"/>
        <v>% Chg</v>
      </c>
      <c r="T171" s="695" t="str">
        <f t="shared" si="129"/>
        <v>2Q08</v>
      </c>
      <c r="U171" s="726" t="str">
        <f t="shared" si="129"/>
        <v>% Chg</v>
      </c>
      <c r="V171" s="695" t="str">
        <f t="shared" si="129"/>
        <v>3Q08</v>
      </c>
      <c r="W171" s="726" t="str">
        <f t="shared" si="129"/>
        <v>% Chg</v>
      </c>
      <c r="X171" s="695" t="str">
        <f t="shared" si="129"/>
        <v>4Q08</v>
      </c>
      <c r="Y171" s="726" t="str">
        <f t="shared" si="129"/>
        <v>% Chg</v>
      </c>
      <c r="Z171" s="695" t="str">
        <f t="shared" si="129"/>
        <v>1Q09</v>
      </c>
      <c r="AA171" s="726" t="str">
        <f t="shared" si="129"/>
        <v>% Chg</v>
      </c>
      <c r="AB171" s="695" t="str">
        <f t="shared" si="129"/>
        <v>2Q09</v>
      </c>
      <c r="AC171" s="726" t="str">
        <f t="shared" si="129"/>
        <v>% Chg</v>
      </c>
      <c r="AD171" s="695" t="str">
        <f t="shared" si="129"/>
        <v>3Q09</v>
      </c>
      <c r="AE171" s="726" t="str">
        <f t="shared" si="129"/>
        <v>% Chg</v>
      </c>
      <c r="AF171" s="695" t="str">
        <f t="shared" si="129"/>
        <v>4Q09</v>
      </c>
      <c r="AG171" s="726" t="str">
        <f t="shared" si="129"/>
        <v>% Chg</v>
      </c>
      <c r="AH171" s="695" t="str">
        <f t="shared" si="129"/>
        <v>1Q10</v>
      </c>
      <c r="AI171" s="726" t="str">
        <f t="shared" si="129"/>
        <v>% Chg</v>
      </c>
      <c r="AJ171" s="695" t="str">
        <f t="shared" si="129"/>
        <v>2Q10</v>
      </c>
      <c r="AK171" s="726" t="str">
        <f t="shared" si="129"/>
        <v>% Chg</v>
      </c>
      <c r="AL171" s="695" t="str">
        <f t="shared" si="129"/>
        <v>3Q10</v>
      </c>
      <c r="AM171" s="726" t="str">
        <f t="shared" si="129"/>
        <v>% Chg</v>
      </c>
      <c r="AN171" s="695" t="str">
        <f t="shared" si="129"/>
        <v>4Q10</v>
      </c>
      <c r="AO171" s="726" t="str">
        <f t="shared" si="129"/>
        <v>% Chg</v>
      </c>
      <c r="AP171" s="695" t="str">
        <f t="shared" si="129"/>
        <v>1Q11</v>
      </c>
      <c r="AQ171" s="726" t="str">
        <f t="shared" si="129"/>
        <v>% Chg</v>
      </c>
      <c r="AR171" s="695" t="str">
        <f t="shared" si="129"/>
        <v>2Q11</v>
      </c>
      <c r="AS171" s="726" t="str">
        <f t="shared" si="129"/>
        <v>% Chg</v>
      </c>
      <c r="AT171" s="695" t="str">
        <f t="shared" si="129"/>
        <v>3Q11</v>
      </c>
      <c r="AU171" s="726" t="str">
        <f t="shared" si="129"/>
        <v>% Chg</v>
      </c>
      <c r="AV171" s="695" t="str">
        <f t="shared" si="129"/>
        <v>4Q11</v>
      </c>
      <c r="AW171" s="726" t="str">
        <f t="shared" si="129"/>
        <v>% Chg</v>
      </c>
      <c r="AX171" s="695" t="str">
        <f t="shared" si="129"/>
        <v>1Q12</v>
      </c>
      <c r="AY171" s="726" t="str">
        <f t="shared" si="129"/>
        <v>% Chg</v>
      </c>
      <c r="AZ171" s="695" t="str">
        <f t="shared" si="129"/>
        <v>2Q12</v>
      </c>
      <c r="BA171" s="726" t="str">
        <f t="shared" si="129"/>
        <v>% Chg</v>
      </c>
      <c r="BB171" s="695" t="str">
        <f t="shared" si="129"/>
        <v>3Q12</v>
      </c>
      <c r="BC171" s="726" t="str">
        <f t="shared" si="129"/>
        <v>% Chg</v>
      </c>
      <c r="BD171" s="695" t="str">
        <f t="shared" si="129"/>
        <v>4Q12</v>
      </c>
      <c r="BE171" s="726" t="str">
        <f t="shared" si="129"/>
        <v>% Chg</v>
      </c>
      <c r="BF171" s="695" t="str">
        <f t="shared" si="129"/>
        <v>1Q13</v>
      </c>
      <c r="BG171" s="726" t="str">
        <f t="shared" si="129"/>
        <v>% Chg</v>
      </c>
      <c r="BH171" s="695" t="str">
        <f t="shared" si="129"/>
        <v>2Q13</v>
      </c>
      <c r="BI171" s="726" t="str">
        <f t="shared" si="129"/>
        <v>% Chg</v>
      </c>
      <c r="BJ171" s="695" t="str">
        <f t="shared" si="129"/>
        <v>3Q13</v>
      </c>
      <c r="BK171" s="726" t="str">
        <f t="shared" si="129"/>
        <v>% Chg</v>
      </c>
      <c r="BL171" s="695" t="str">
        <f t="shared" si="129"/>
        <v>4Q13</v>
      </c>
      <c r="BM171" s="726" t="str">
        <f t="shared" si="129"/>
        <v>% Chg</v>
      </c>
      <c r="BN171" s="695" t="str">
        <f t="shared" si="129"/>
        <v>1Q14</v>
      </c>
      <c r="BO171" s="726" t="str">
        <f t="shared" ref="BO171:DA171" si="130">BO$5</f>
        <v>% Chg</v>
      </c>
      <c r="BP171" s="695" t="str">
        <f t="shared" si="130"/>
        <v>2Q14</v>
      </c>
      <c r="BQ171" s="726" t="str">
        <f t="shared" si="130"/>
        <v>% Chg</v>
      </c>
      <c r="BR171" s="695" t="str">
        <f t="shared" si="130"/>
        <v>3Q14</v>
      </c>
      <c r="BS171" s="726" t="str">
        <f t="shared" si="130"/>
        <v>% Chg</v>
      </c>
      <c r="BT171" s="695" t="str">
        <f t="shared" si="130"/>
        <v>4Q14</v>
      </c>
      <c r="BU171" s="726" t="str">
        <f t="shared" si="130"/>
        <v>% Chg</v>
      </c>
      <c r="BV171" s="695" t="str">
        <f t="shared" si="130"/>
        <v>1Q15</v>
      </c>
      <c r="BW171" s="726" t="str">
        <f t="shared" si="130"/>
        <v>% Chg</v>
      </c>
      <c r="BX171" s="695" t="str">
        <f t="shared" si="130"/>
        <v>2Q15</v>
      </c>
      <c r="BY171" s="726" t="str">
        <f t="shared" si="130"/>
        <v>% Chg</v>
      </c>
      <c r="BZ171" s="695" t="str">
        <f t="shared" si="130"/>
        <v>3Q15</v>
      </c>
      <c r="CA171" s="726" t="str">
        <f t="shared" si="130"/>
        <v>% Chg</v>
      </c>
      <c r="CB171" s="695" t="str">
        <f t="shared" si="130"/>
        <v>4Q15</v>
      </c>
      <c r="CC171" s="726" t="str">
        <f t="shared" si="130"/>
        <v>% Chg</v>
      </c>
      <c r="CD171" s="695" t="str">
        <f t="shared" si="130"/>
        <v>1Q16</v>
      </c>
      <c r="CE171" s="726" t="str">
        <f t="shared" si="130"/>
        <v>% Chg</v>
      </c>
      <c r="CF171" s="695" t="str">
        <f t="shared" si="130"/>
        <v>2Q16</v>
      </c>
      <c r="CG171" s="726" t="str">
        <f t="shared" si="130"/>
        <v>% Chg</v>
      </c>
      <c r="CH171" s="695" t="str">
        <f t="shared" si="130"/>
        <v>3Q16</v>
      </c>
      <c r="CI171" s="726" t="str">
        <f t="shared" si="130"/>
        <v>% Chg</v>
      </c>
      <c r="CJ171" s="695" t="str">
        <f t="shared" si="130"/>
        <v>4Q16</v>
      </c>
      <c r="CK171" s="726" t="str">
        <f t="shared" si="130"/>
        <v>% Chg</v>
      </c>
      <c r="CL171" s="695" t="str">
        <f t="shared" si="130"/>
        <v>1Q17</v>
      </c>
      <c r="CM171" s="726" t="str">
        <f t="shared" si="130"/>
        <v>% Chg</v>
      </c>
      <c r="CN171" s="695" t="str">
        <f t="shared" si="130"/>
        <v>2Q17</v>
      </c>
      <c r="CO171" s="726" t="str">
        <f t="shared" si="130"/>
        <v>% Chg</v>
      </c>
      <c r="CP171" s="695" t="str">
        <f t="shared" si="130"/>
        <v>3Q17</v>
      </c>
      <c r="CQ171" s="726" t="str">
        <f t="shared" si="130"/>
        <v>% Chg</v>
      </c>
      <c r="CR171" s="695" t="str">
        <f t="shared" si="130"/>
        <v>4Q17</v>
      </c>
      <c r="CS171" s="726" t="str">
        <f t="shared" si="130"/>
        <v>% Chg</v>
      </c>
      <c r="CT171" s="695" t="str">
        <f t="shared" si="130"/>
        <v>1Q18E</v>
      </c>
      <c r="CU171" s="726" t="str">
        <f t="shared" si="130"/>
        <v>% Chg</v>
      </c>
      <c r="CV171" s="695" t="str">
        <f t="shared" si="130"/>
        <v>2Q18E</v>
      </c>
      <c r="CW171" s="726" t="str">
        <f t="shared" si="130"/>
        <v>% Chg</v>
      </c>
      <c r="CX171" s="695" t="str">
        <f t="shared" si="130"/>
        <v>3Q18E</v>
      </c>
      <c r="CY171" s="726" t="str">
        <f t="shared" si="130"/>
        <v>% Chg</v>
      </c>
      <c r="CZ171" s="695" t="str">
        <f t="shared" si="130"/>
        <v>4Q18E</v>
      </c>
      <c r="DA171" s="726" t="str">
        <f t="shared" si="130"/>
        <v>% Chg</v>
      </c>
      <c r="DB171" s="726"/>
      <c r="DC171" s="699">
        <f t="shared" ref="DC171:EM171" si="131">DC$5</f>
        <v>2005</v>
      </c>
      <c r="DD171" s="726" t="str">
        <f t="shared" si="131"/>
        <v>% Chg</v>
      </c>
      <c r="DE171" s="699">
        <f t="shared" si="131"/>
        <v>2006</v>
      </c>
      <c r="DF171" s="726" t="str">
        <f t="shared" si="131"/>
        <v>% Chg</v>
      </c>
      <c r="DG171" s="699">
        <f t="shared" si="131"/>
        <v>2007</v>
      </c>
      <c r="DH171" s="726" t="str">
        <f t="shared" si="131"/>
        <v>% Chg</v>
      </c>
      <c r="DI171" s="699">
        <f t="shared" si="131"/>
        <v>2008</v>
      </c>
      <c r="DJ171" s="726" t="str">
        <f t="shared" si="131"/>
        <v>% Chg</v>
      </c>
      <c r="DK171" s="695" t="str">
        <f t="shared" si="131"/>
        <v>2009</v>
      </c>
      <c r="DL171" s="726" t="str">
        <f t="shared" si="131"/>
        <v>% Chg</v>
      </c>
      <c r="DM171" s="695" t="str">
        <f t="shared" si="131"/>
        <v>2010</v>
      </c>
      <c r="DN171" s="726" t="str">
        <f t="shared" si="131"/>
        <v>% Chg</v>
      </c>
      <c r="DO171" s="695" t="str">
        <f t="shared" si="131"/>
        <v>2011</v>
      </c>
      <c r="DP171" s="726" t="str">
        <f t="shared" si="131"/>
        <v>% Chg</v>
      </c>
      <c r="DQ171" s="695" t="str">
        <f t="shared" si="131"/>
        <v>2012</v>
      </c>
      <c r="DR171" s="726" t="str">
        <f t="shared" si="131"/>
        <v>% Chg</v>
      </c>
      <c r="DS171" s="695" t="str">
        <f t="shared" si="131"/>
        <v>2013</v>
      </c>
      <c r="DT171" s="726" t="str">
        <f t="shared" si="131"/>
        <v>% Chg</v>
      </c>
      <c r="DU171" s="695" t="str">
        <f t="shared" si="131"/>
        <v>2014</v>
      </c>
      <c r="DV171" s="726" t="str">
        <f t="shared" si="131"/>
        <v>% Chg</v>
      </c>
      <c r="DW171" s="695" t="str">
        <f t="shared" si="131"/>
        <v>2015</v>
      </c>
      <c r="DX171" s="726" t="str">
        <f t="shared" si="131"/>
        <v>% Chg</v>
      </c>
      <c r="DY171" s="695" t="str">
        <f t="shared" si="131"/>
        <v>2016</v>
      </c>
      <c r="DZ171" s="726" t="str">
        <f t="shared" si="131"/>
        <v>% Chg</v>
      </c>
      <c r="EA171" s="695" t="str">
        <f t="shared" si="131"/>
        <v>2017</v>
      </c>
      <c r="EB171" s="726" t="str">
        <f t="shared" si="131"/>
        <v>% Chg</v>
      </c>
      <c r="EC171" s="695" t="str">
        <f t="shared" si="131"/>
        <v>2018E</v>
      </c>
      <c r="ED171" s="726" t="str">
        <f t="shared" si="131"/>
        <v>% Chg</v>
      </c>
      <c r="EE171" s="695" t="str">
        <f t="shared" si="131"/>
        <v>2019E</v>
      </c>
      <c r="EF171" s="726" t="str">
        <f t="shared" si="131"/>
        <v>% Chg</v>
      </c>
      <c r="EG171" s="695" t="str">
        <f t="shared" si="131"/>
        <v>2020E</v>
      </c>
      <c r="EH171" s="726" t="str">
        <f t="shared" si="131"/>
        <v>% Chg</v>
      </c>
      <c r="EI171" s="695" t="str">
        <f t="shared" si="131"/>
        <v>2021E</v>
      </c>
      <c r="EJ171" s="726" t="str">
        <f t="shared" si="131"/>
        <v>% Chg</v>
      </c>
      <c r="EK171" s="695" t="str">
        <f t="shared" si="131"/>
        <v>2022E</v>
      </c>
      <c r="EL171" s="726" t="str">
        <f t="shared" si="131"/>
        <v>% Chg</v>
      </c>
      <c r="EM171" s="696" t="str">
        <f t="shared" si="131"/>
        <v>(%)</v>
      </c>
    </row>
    <row r="172" spans="1:143" ht="12.75" hidden="1" customHeight="1" outlineLevel="1" x14ac:dyDescent="0.2">
      <c r="A172" s="700"/>
      <c r="B172" s="16"/>
      <c r="C172" s="507"/>
      <c r="D172" s="16"/>
      <c r="E172" s="687"/>
      <c r="F172" s="16"/>
      <c r="G172" s="687"/>
      <c r="H172" s="16"/>
      <c r="I172" s="687"/>
      <c r="J172" s="16"/>
      <c r="K172" s="507"/>
      <c r="L172" s="16"/>
      <c r="M172" s="507"/>
      <c r="N172" s="16"/>
      <c r="O172" s="507"/>
      <c r="P172" s="16"/>
      <c r="Q172" s="507"/>
      <c r="R172" s="16"/>
      <c r="S172" s="507"/>
      <c r="T172" s="16"/>
      <c r="U172" s="507"/>
      <c r="V172" s="16"/>
      <c r="W172" s="507"/>
      <c r="X172" s="16"/>
      <c r="Y172" s="507"/>
      <c r="Z172" s="16"/>
      <c r="AA172" s="507"/>
      <c r="AB172" s="16"/>
      <c r="AC172" s="507"/>
      <c r="AD172" s="16"/>
      <c r="AE172" s="507"/>
      <c r="AF172" s="16"/>
      <c r="AG172" s="507"/>
      <c r="AH172" s="16"/>
      <c r="AI172" s="507"/>
      <c r="AJ172" s="16"/>
      <c r="AK172" s="507"/>
      <c r="AL172" s="16"/>
      <c r="AM172" s="507"/>
      <c r="AN172" s="16"/>
      <c r="AO172" s="507"/>
      <c r="AP172" s="16"/>
      <c r="AQ172" s="507"/>
      <c r="AR172" s="16"/>
      <c r="AS172" s="507"/>
      <c r="AT172" s="16"/>
      <c r="AU172" s="507"/>
      <c r="AV172" s="16"/>
      <c r="AW172" s="507"/>
      <c r="AX172" s="16"/>
      <c r="AY172" s="507"/>
      <c r="AZ172" s="16"/>
      <c r="BA172" s="507"/>
      <c r="BB172" s="16"/>
      <c r="BC172" s="507"/>
      <c r="BD172" s="16"/>
      <c r="BE172" s="507"/>
      <c r="BF172" s="16"/>
      <c r="BG172" s="507"/>
      <c r="BH172" s="16"/>
      <c r="BI172" s="507"/>
      <c r="BJ172" s="16"/>
      <c r="BK172" s="507"/>
      <c r="BL172" s="16"/>
      <c r="BM172" s="507"/>
      <c r="BN172" s="16"/>
      <c r="BO172" s="507"/>
      <c r="BP172" s="16"/>
      <c r="BQ172" s="507"/>
      <c r="BR172" s="16"/>
      <c r="BS172" s="507"/>
      <c r="BT172" s="16"/>
      <c r="BU172" s="507"/>
      <c r="BV172" s="16"/>
      <c r="BW172" s="507"/>
      <c r="BX172" s="16"/>
      <c r="BY172" s="507"/>
      <c r="BZ172" s="16"/>
      <c r="CA172" s="507"/>
      <c r="CB172" s="16"/>
      <c r="CC172" s="507"/>
      <c r="CD172" s="16"/>
      <c r="CE172" s="507"/>
      <c r="CF172" s="16"/>
      <c r="CG172" s="507"/>
      <c r="CH172" s="16"/>
      <c r="CI172" s="507"/>
      <c r="CJ172" s="16"/>
      <c r="CK172" s="507"/>
      <c r="CL172" s="16"/>
      <c r="CM172" s="507"/>
      <c r="CN172" s="16"/>
      <c r="CO172" s="507"/>
      <c r="CP172" s="16"/>
      <c r="CQ172" s="507"/>
      <c r="CR172" s="16"/>
      <c r="CS172" s="507"/>
      <c r="CT172" s="16"/>
      <c r="CU172" s="507"/>
      <c r="CV172" s="16"/>
      <c r="CW172" s="507"/>
      <c r="CX172" s="16"/>
      <c r="CY172" s="507"/>
      <c r="CZ172" s="16"/>
      <c r="DA172" s="507"/>
      <c r="DB172" s="507"/>
      <c r="DC172" s="16"/>
      <c r="DD172" s="507"/>
      <c r="DE172" s="16"/>
      <c r="DF172" s="507"/>
      <c r="DG172" s="16"/>
      <c r="DH172" s="507"/>
      <c r="DI172" s="16"/>
      <c r="DJ172" s="507"/>
      <c r="DK172" s="16"/>
      <c r="DL172" s="507"/>
      <c r="DM172" s="16"/>
      <c r="DN172" s="507"/>
      <c r="DO172" s="16"/>
      <c r="DP172" s="507"/>
      <c r="DQ172" s="16"/>
      <c r="DR172" s="507"/>
      <c r="DS172" s="16"/>
      <c r="DT172" s="507"/>
      <c r="DU172" s="16"/>
      <c r="DV172" s="507"/>
      <c r="DW172" s="16"/>
      <c r="DX172" s="507"/>
      <c r="DY172" s="16"/>
      <c r="DZ172" s="507"/>
      <c r="EA172" s="16"/>
      <c r="EB172" s="507"/>
      <c r="EC172" s="16"/>
      <c r="ED172" s="507"/>
      <c r="EE172" s="16"/>
      <c r="EF172" s="507"/>
      <c r="EG172" s="16"/>
      <c r="EH172" s="507"/>
      <c r="EI172" s="16"/>
      <c r="EJ172" s="507"/>
      <c r="EK172" s="16"/>
      <c r="EL172" s="507"/>
      <c r="EM172" s="687"/>
    </row>
    <row r="173" spans="1:143" ht="12.75" hidden="1" customHeight="1" outlineLevel="1" x14ac:dyDescent="0.2">
      <c r="A173" s="700" t="s">
        <v>7</v>
      </c>
      <c r="B173" s="16"/>
      <c r="C173" s="507"/>
      <c r="D173" s="16"/>
      <c r="E173" s="687"/>
      <c r="F173" s="16"/>
      <c r="G173" s="687"/>
      <c r="H173" s="16"/>
      <c r="I173" s="687"/>
      <c r="J173" s="16"/>
      <c r="K173" s="507"/>
      <c r="L173" s="16"/>
      <c r="M173" s="507"/>
      <c r="N173" s="16"/>
      <c r="O173" s="507"/>
      <c r="P173" s="16"/>
      <c r="Q173" s="507"/>
      <c r="R173" s="16"/>
      <c r="S173" s="507"/>
      <c r="T173" s="16"/>
      <c r="U173" s="507"/>
      <c r="V173" s="16"/>
      <c r="W173" s="507"/>
      <c r="X173" s="16"/>
      <c r="Y173" s="507"/>
      <c r="Z173" s="16"/>
      <c r="AA173" s="122"/>
      <c r="AB173" s="16"/>
      <c r="AC173" s="507"/>
      <c r="AD173" s="16"/>
      <c r="AE173" s="507"/>
      <c r="AF173" s="16"/>
      <c r="AG173" s="507"/>
      <c r="AH173" s="16"/>
      <c r="AI173" s="507"/>
      <c r="AJ173" s="16"/>
      <c r="AK173" s="507"/>
      <c r="AL173" s="16"/>
      <c r="AM173" s="507"/>
      <c r="AN173" s="16"/>
      <c r="AO173" s="507"/>
      <c r="AP173" s="16"/>
      <c r="AQ173" s="507"/>
      <c r="AR173" s="16"/>
      <c r="AS173" s="507"/>
      <c r="AT173" s="16"/>
      <c r="AU173" s="507"/>
      <c r="AV173" s="16"/>
      <c r="AW173" s="507"/>
      <c r="AX173" s="16"/>
      <c r="AY173" s="507"/>
      <c r="AZ173" s="16"/>
      <c r="BA173" s="507"/>
      <c r="BB173" s="16"/>
      <c r="BC173" s="507"/>
      <c r="BD173" s="16"/>
      <c r="BE173" s="507"/>
      <c r="BF173" s="16"/>
      <c r="BG173" s="507"/>
      <c r="BH173" s="16"/>
      <c r="BI173" s="507"/>
      <c r="BJ173" s="16"/>
      <c r="BK173" s="507"/>
      <c r="BL173" s="16"/>
      <c r="BM173" s="507"/>
      <c r="BN173" s="16"/>
      <c r="BO173" s="507"/>
      <c r="BP173" s="16"/>
      <c r="BQ173" s="507"/>
      <c r="BR173" s="16"/>
      <c r="BS173" s="507"/>
      <c r="BT173" s="16"/>
      <c r="BU173" s="507"/>
      <c r="BV173" s="16"/>
      <c r="BW173" s="507"/>
      <c r="BX173" s="16"/>
      <c r="BY173" s="507"/>
      <c r="BZ173" s="16"/>
      <c r="CA173" s="507"/>
      <c r="CB173" s="16"/>
      <c r="CC173" s="507"/>
      <c r="CD173" s="16"/>
      <c r="CE173" s="507"/>
      <c r="CF173" s="16"/>
      <c r="CG173" s="507"/>
      <c r="CH173" s="16"/>
      <c r="CI173" s="507"/>
      <c r="CJ173" s="16"/>
      <c r="CK173" s="507"/>
      <c r="CL173" s="16"/>
      <c r="CM173" s="507"/>
      <c r="CN173" s="16"/>
      <c r="CO173" s="507"/>
      <c r="CP173" s="16"/>
      <c r="CQ173" s="507"/>
      <c r="CR173" s="16"/>
      <c r="CS173" s="507"/>
      <c r="CT173" s="16"/>
      <c r="CU173" s="507"/>
      <c r="CV173" s="16"/>
      <c r="CW173" s="507"/>
      <c r="CX173" s="16"/>
      <c r="CY173" s="507"/>
      <c r="CZ173" s="16"/>
      <c r="DA173" s="507"/>
      <c r="DB173" s="507"/>
      <c r="DC173" s="16"/>
      <c r="DD173" s="507"/>
      <c r="DE173" s="16"/>
      <c r="DF173" s="507"/>
      <c r="DG173" s="16"/>
      <c r="DH173" s="507"/>
      <c r="DI173" s="16"/>
      <c r="DJ173" s="507"/>
      <c r="DK173" s="16"/>
      <c r="DL173" s="507"/>
      <c r="DM173" s="16"/>
      <c r="DN173" s="507"/>
      <c r="DO173" s="16"/>
      <c r="DP173" s="507"/>
      <c r="DQ173" s="16"/>
      <c r="DR173" s="507"/>
      <c r="DS173" s="16"/>
      <c r="DT173" s="507"/>
      <c r="DU173" s="16"/>
      <c r="DV173" s="507"/>
      <c r="DW173" s="16"/>
      <c r="DX173" s="507"/>
      <c r="DY173" s="16"/>
      <c r="DZ173" s="507"/>
      <c r="EA173" s="16"/>
      <c r="EB173" s="507"/>
      <c r="EC173" s="16"/>
      <c r="ED173" s="507"/>
      <c r="EE173" s="16"/>
      <c r="EF173" s="507"/>
      <c r="EG173" s="16"/>
      <c r="EH173" s="507"/>
      <c r="EI173" s="16"/>
      <c r="EJ173" s="507"/>
      <c r="EK173" s="16"/>
      <c r="EL173" s="507"/>
      <c r="EM173" s="687"/>
    </row>
    <row r="174" spans="1:143" ht="12.75" hidden="1" customHeight="1" outlineLevel="1" x14ac:dyDescent="0.2">
      <c r="A174" s="701" t="str">
        <f>INPUT!B236</f>
        <v xml:space="preserve">Premiums </v>
      </c>
      <c r="B174" s="151">
        <f>INPUT!AY236</f>
        <v>51.1</v>
      </c>
      <c r="C174" s="507">
        <f>INPUT!AZ236</f>
        <v>12.307692307692308</v>
      </c>
      <c r="D174" s="151">
        <f>INPUT!BA236</f>
        <v>89.9</v>
      </c>
      <c r="E174" s="687">
        <f>INPUT!BB236</f>
        <v>88.075313807531401</v>
      </c>
      <c r="F174" s="151">
        <f>INPUT!BC236</f>
        <v>87</v>
      </c>
      <c r="G174" s="687">
        <f>INPUT!BD236</f>
        <v>83.544303797468359</v>
      </c>
      <c r="H174" s="151">
        <f>INPUT!BE236</f>
        <v>93.5</v>
      </c>
      <c r="I174" s="687">
        <f>INPUT!BF236</f>
        <v>62.045060658578841</v>
      </c>
      <c r="J174" s="151">
        <f>INPUT!BG236</f>
        <v>87.7</v>
      </c>
      <c r="K174" s="687">
        <f>INPUT!BH236</f>
        <v>71.624266144814101</v>
      </c>
      <c r="L174" s="151">
        <f>INPUT!BI236</f>
        <v>87.8</v>
      </c>
      <c r="M174" s="687">
        <f>INPUT!BJ236</f>
        <v>-2.3359288097886677</v>
      </c>
      <c r="N174" s="151">
        <f>INPUT!BK236</f>
        <v>84.7</v>
      </c>
      <c r="O174" s="687">
        <f>INPUT!BL236</f>
        <v>-2.6436781609195381</v>
      </c>
      <c r="P174" s="151">
        <f>INPUT!BM236</f>
        <v>90.1</v>
      </c>
      <c r="Q174" s="687">
        <f>INPUT!BN236</f>
        <v>-3.6363636363636376</v>
      </c>
      <c r="R174" s="151">
        <f>INPUT!BO236</f>
        <v>86.4</v>
      </c>
      <c r="S174" s="687">
        <f>INPUT!BP236</f>
        <v>-1.4823261117445807</v>
      </c>
      <c r="T174" s="151">
        <f>INPUT!BQ236</f>
        <v>89.4</v>
      </c>
      <c r="U174" s="687">
        <f>INPUT!BR236</f>
        <v>1.822323462414599</v>
      </c>
      <c r="V174" s="151">
        <f>INPUT!BS236</f>
        <v>90.9</v>
      </c>
      <c r="W174" s="687">
        <f>INPUT!BT236</f>
        <v>7.3199527744982396</v>
      </c>
      <c r="X174" s="151">
        <f>INPUT!BU236</f>
        <v>93.6</v>
      </c>
      <c r="Y174" s="687">
        <f>INPUT!BV236</f>
        <v>3.8845726970033301</v>
      </c>
      <c r="Z174" s="151">
        <f>INPUT!BW236</f>
        <v>90.5</v>
      </c>
      <c r="AA174" s="122">
        <f>INPUT!BX236</f>
        <v>4.745370370370372</v>
      </c>
      <c r="AB174" s="151">
        <f>INPUT!BY236</f>
        <v>93.3</v>
      </c>
      <c r="AC174" s="687">
        <f>INPUT!BZ236</f>
        <v>4.3624161073825496</v>
      </c>
      <c r="AD174" s="151">
        <f>INPUT!CA236</f>
        <v>93.5</v>
      </c>
      <c r="AE174" s="687">
        <f>INPUT!CB236</f>
        <v>2.8602860286028431</v>
      </c>
      <c r="AF174" s="151">
        <f>INPUT!CC236</f>
        <v>115.2</v>
      </c>
      <c r="AG174" s="687">
        <f>INPUT!CD236</f>
        <v>23.076923076923084</v>
      </c>
      <c r="AH174" s="151">
        <f>INPUT!CE236</f>
        <v>112.3</v>
      </c>
      <c r="AI174" s="507">
        <f>INPUT!CF236</f>
        <v>24.08839779005525</v>
      </c>
      <c r="AJ174" s="151">
        <f>INPUT!CG236</f>
        <v>107.5</v>
      </c>
      <c r="AK174" s="507">
        <f>INPUT!CH236</f>
        <v>15.219721329046099</v>
      </c>
      <c r="AL174" s="151">
        <f>INPUT!CI236</f>
        <v>107.5</v>
      </c>
      <c r="AM174" s="507">
        <f>INPUT!CJ236</f>
        <v>14.973262032085554</v>
      </c>
      <c r="AN174" s="151">
        <f>INPUT!CK236</f>
        <v>112.1</v>
      </c>
      <c r="AO174" s="507">
        <f>INPUT!CL236</f>
        <v>-2.6909722222222321</v>
      </c>
      <c r="AP174" s="151">
        <f>INPUT!CM236</f>
        <v>108</v>
      </c>
      <c r="AQ174" s="507">
        <f>INPUT!CN236</f>
        <v>-3.8290293855743562</v>
      </c>
      <c r="AR174" s="151">
        <f>INPUT!CO236</f>
        <v>112</v>
      </c>
      <c r="AS174" s="507">
        <f>INPUT!CP236</f>
        <v>4.1860465116279055</v>
      </c>
      <c r="AT174" s="151">
        <f>INPUT!CQ236</f>
        <v>104</v>
      </c>
      <c r="AU174" s="507">
        <f>INPUT!CR236</f>
        <v>-3.2558139534883734</v>
      </c>
      <c r="AV174" s="151">
        <f>INPUT!CS236</f>
        <v>117</v>
      </c>
      <c r="AW174" s="507">
        <f>INPUT!CT236</f>
        <v>4.3710972346119537</v>
      </c>
      <c r="AX174" s="151">
        <f>INPUT!CU236</f>
        <v>109</v>
      </c>
      <c r="AY174" s="507">
        <f>INPUT!CV236</f>
        <v>0.92592592592593004</v>
      </c>
      <c r="AZ174" s="151">
        <f>INPUT!CW236</f>
        <v>114</v>
      </c>
      <c r="BA174" s="507">
        <f>INPUT!CX236</f>
        <v>1.7857142857142794</v>
      </c>
      <c r="BB174" s="151">
        <f>INPUT!CY236</f>
        <v>103</v>
      </c>
      <c r="BC174" s="507">
        <f>INPUT!CZ236</f>
        <v>-0.96153846153845812</v>
      </c>
      <c r="BD174" s="151">
        <f>INPUT!DA236</f>
        <v>116</v>
      </c>
      <c r="BE174" s="507">
        <f>INPUT!DB236</f>
        <v>-0.85470085470085166</v>
      </c>
      <c r="BF174" s="151">
        <f>INPUT!DC236</f>
        <v>113</v>
      </c>
      <c r="BG174" s="507">
        <f>INPUT!DD236</f>
        <v>3.669724770642202</v>
      </c>
      <c r="BH174" s="151">
        <f>INPUT!DE236</f>
        <v>119</v>
      </c>
      <c r="BI174" s="507">
        <f>INPUT!DF236</f>
        <v>4.3859649122806932</v>
      </c>
      <c r="BJ174" s="151">
        <f>INPUT!DG236</f>
        <v>125</v>
      </c>
      <c r="BK174" s="507">
        <f>INPUT!DH236</f>
        <v>21.359223300970864</v>
      </c>
      <c r="BL174" s="151">
        <f>INPUT!DI236</f>
        <v>129</v>
      </c>
      <c r="BM174" s="507">
        <f>INPUT!DJ236</f>
        <v>11.206896551724132</v>
      </c>
      <c r="BN174" s="151">
        <f>INPUT!DK236</f>
        <v>132</v>
      </c>
      <c r="BO174" s="507">
        <f>INPUT!DL236</f>
        <v>16.814159292035402</v>
      </c>
      <c r="BP174" s="151">
        <f>INPUT!DM236</f>
        <v>139</v>
      </c>
      <c r="BQ174" s="507">
        <f>INPUT!DN236</f>
        <v>16.806722689075638</v>
      </c>
      <c r="BR174" s="151">
        <f>INPUT!DO236</f>
        <v>153</v>
      </c>
      <c r="BS174" s="507">
        <f>INPUT!DP236</f>
        <v>22.4</v>
      </c>
      <c r="BT174" s="151">
        <f>INPUT!DQ236</f>
        <v>133</v>
      </c>
      <c r="BU174" s="507">
        <f>INPUT!DR236</f>
        <v>3.1007751937984551</v>
      </c>
      <c r="BV174" s="151">
        <f>INPUT!DS236</f>
        <v>149</v>
      </c>
      <c r="BW174" s="507">
        <f>INPUT!DT236</f>
        <v>12.87878787878789</v>
      </c>
      <c r="BX174" s="151">
        <f>INPUT!DU236</f>
        <v>160</v>
      </c>
      <c r="BY174" s="507">
        <f>INPUT!DV236</f>
        <v>15.107913669064743</v>
      </c>
      <c r="BZ174" s="151">
        <f>INPUT!DW236</f>
        <v>166</v>
      </c>
      <c r="CA174" s="507">
        <f>INPUT!DX236</f>
        <v>166</v>
      </c>
      <c r="CB174" s="151">
        <f>INPUT!DY236</f>
        <v>174</v>
      </c>
      <c r="CC174" s="507">
        <f>INPUT!DZ236</f>
        <v>30.827067669172937</v>
      </c>
      <c r="CD174" s="151">
        <f>INPUT!EA236</f>
        <v>172</v>
      </c>
      <c r="CE174" s="507">
        <f>INPUT!EB236</f>
        <v>15.436241610738266</v>
      </c>
      <c r="CF174" s="151">
        <f>INPUT!EC236</f>
        <v>177</v>
      </c>
      <c r="CG174" s="507">
        <f>INPUT!ED236</f>
        <v>10.624999999999996</v>
      </c>
      <c r="CH174" s="151">
        <f>INPUT!EE236</f>
        <v>174</v>
      </c>
      <c r="CI174" s="507">
        <f>INPUT!EF236</f>
        <v>4.8192771084337283</v>
      </c>
      <c r="CJ174" s="151">
        <f>INPUT!EG236</f>
        <v>179</v>
      </c>
      <c r="CK174" s="507">
        <f>INPUT!EH236</f>
        <v>2.8735632183908066</v>
      </c>
      <c r="CL174" s="151">
        <f>INPUT!EI236</f>
        <v>185</v>
      </c>
      <c r="CM174" s="507">
        <f>INPUT!EJ236</f>
        <v>7.5581395348837122</v>
      </c>
      <c r="CN174" s="151">
        <f>INPUT!EK236</f>
        <v>199</v>
      </c>
      <c r="CO174" s="507">
        <f>INPUT!EL236</f>
        <v>12.429378531073443</v>
      </c>
      <c r="CP174" s="151">
        <f>INPUT!EM236</f>
        <v>191</v>
      </c>
      <c r="CQ174" s="507">
        <f>INPUT!EN236</f>
        <v>9.7701149425287284</v>
      </c>
      <c r="CR174" s="151">
        <f>INPUT!EO236</f>
        <v>199</v>
      </c>
      <c r="CS174" s="507">
        <f>INPUT!EP236</f>
        <v>11.17318435754191</v>
      </c>
      <c r="CT174" s="151">
        <f>INPUT!EQ236</f>
        <v>201.57742709625131</v>
      </c>
      <c r="CU174" s="507">
        <f>INPUT!ER236</f>
        <v>8.9607714033790984</v>
      </c>
      <c r="CV174" s="151">
        <f>INPUT!ES236</f>
        <v>202.90087420800953</v>
      </c>
      <c r="CW174" s="507">
        <f>INPUT!ET236</f>
        <v>1.9602382954821751</v>
      </c>
      <c r="CX174" s="151">
        <f>INPUT!EU236</f>
        <v>204.79151022424227</v>
      </c>
      <c r="CY174" s="507">
        <f>INPUT!EV236</f>
        <v>7.2206859812786739</v>
      </c>
      <c r="CZ174" s="151">
        <f>INPUT!EW236</f>
        <v>207.33096325596156</v>
      </c>
      <c r="DA174" s="507">
        <f>INPUT!EX236</f>
        <v>4.1864136964630871</v>
      </c>
      <c r="DB174" s="507"/>
      <c r="DC174" s="151">
        <f>INPUT!FP236</f>
        <v>198.39999999999998</v>
      </c>
      <c r="DD174" s="687">
        <f>INPUT!FQ236</f>
        <v>2.268041237113394</v>
      </c>
      <c r="DE174" s="151">
        <f>INPUT!FR236</f>
        <v>321.5</v>
      </c>
      <c r="DF174" s="687">
        <f>INPUT!FS236</f>
        <v>62.04637096774195</v>
      </c>
      <c r="DG174" s="151">
        <f>INPUT!FT236</f>
        <v>350.29999999999995</v>
      </c>
      <c r="DH174" s="687">
        <f>INPUT!FU236</f>
        <v>8.9580093312596976</v>
      </c>
      <c r="DI174" s="151">
        <f>INPUT!FV236</f>
        <v>360.30000000000007</v>
      </c>
      <c r="DJ174" s="687">
        <f>INPUT!FW236</f>
        <v>2.8546959748787071</v>
      </c>
      <c r="DK174" s="151">
        <f>INPUT!FX236</f>
        <v>392.5</v>
      </c>
      <c r="DL174" s="507">
        <f>INPUT!FY236</f>
        <v>8.9369969469885966</v>
      </c>
      <c r="DM174" s="151">
        <f>INPUT!FZ236</f>
        <v>439.4</v>
      </c>
      <c r="DN174" s="507">
        <f>INPUT!GA236</f>
        <v>11.949044585987245</v>
      </c>
      <c r="DO174" s="151">
        <f>INPUT!GB236</f>
        <v>441</v>
      </c>
      <c r="DP174" s="507">
        <f>INPUT!GC236</f>
        <v>0.36413290851160518</v>
      </c>
      <c r="DQ174" s="151">
        <f>INPUT!GD236</f>
        <v>442</v>
      </c>
      <c r="DR174" s="507">
        <f>INPUT!GE236</f>
        <v>0.22675736961450532</v>
      </c>
      <c r="DS174" s="151">
        <f>INPUT!GF236</f>
        <v>486</v>
      </c>
      <c r="DT174" s="507">
        <f>INPUT!GG236</f>
        <v>9.9547511312217285</v>
      </c>
      <c r="DU174" s="151">
        <f>INPUT!GH236</f>
        <v>557</v>
      </c>
      <c r="DV174" s="507">
        <f>INPUT!GI236</f>
        <v>14.609053497942392</v>
      </c>
      <c r="DW174" s="151">
        <f>INPUT!GJ236</f>
        <v>649</v>
      </c>
      <c r="DX174" s="507">
        <f>INPUT!GK236</f>
        <v>16.517055655296218</v>
      </c>
      <c r="DY174" s="151">
        <f>INPUT!GL236</f>
        <v>702</v>
      </c>
      <c r="DZ174" s="507">
        <f>INPUT!GM236</f>
        <v>8.166409861325107</v>
      </c>
      <c r="EA174" s="151">
        <f>INPUT!GN236</f>
        <v>774</v>
      </c>
      <c r="EB174" s="507">
        <f>INPUT!GO236</f>
        <v>10.256410256410264</v>
      </c>
      <c r="EC174" s="151">
        <f>INPUT!GP236</f>
        <v>816.60077478446476</v>
      </c>
      <c r="ED174" s="507">
        <f>INPUT!GQ236</f>
        <v>5.5039760703442742</v>
      </c>
      <c r="EE174" s="151">
        <f>INPUT!GR236</f>
        <v>844.71633412084952</v>
      </c>
      <c r="EF174" s="507">
        <f>INPUT!GS236</f>
        <v>3.4429993461377206</v>
      </c>
      <c r="EG174" s="151">
        <f>INPUT!GT236</f>
        <v>871.11748531828232</v>
      </c>
      <c r="EH174" s="507">
        <f>INPUT!GU236</f>
        <v>3.125445801271276</v>
      </c>
      <c r="EI174" s="151">
        <f>INPUT!GV236</f>
        <v>899.40366194728915</v>
      </c>
      <c r="EJ174" s="507">
        <f>INPUT!GW236</f>
        <v>3.2471138630252527</v>
      </c>
      <c r="EK174" s="151">
        <f>INPUT!GX236</f>
        <v>929.65637647782034</v>
      </c>
      <c r="EL174" s="507">
        <f>INPUT!GY236</f>
        <v>3.363641467172962</v>
      </c>
      <c r="EM174" s="687">
        <f>INPUT!GZ236</f>
        <v>3.7328472064992235</v>
      </c>
    </row>
    <row r="175" spans="1:143" ht="12.75" hidden="1" customHeight="1" outlineLevel="1" x14ac:dyDescent="0.2">
      <c r="A175" s="701" t="str">
        <f>INPUT!B237</f>
        <v>M&amp;E Fees, Surrender Chrgs, Other</v>
      </c>
      <c r="B175" s="151">
        <f>INPUT!AY237</f>
        <v>209.89999999999998</v>
      </c>
      <c r="C175" s="507">
        <f>INPUT!AZ237</f>
        <v>1.7943743937924195</v>
      </c>
      <c r="D175" s="151">
        <f>INPUT!BA237</f>
        <v>395.59999999999997</v>
      </c>
      <c r="E175" s="687">
        <f>INPUT!BB237</f>
        <v>97.997997997997999</v>
      </c>
      <c r="F175" s="151">
        <f>INPUT!BC237</f>
        <v>393.9</v>
      </c>
      <c r="G175" s="687" t="str">
        <f>INPUT!BD237</f>
        <v>NM</v>
      </c>
      <c r="H175" s="151">
        <f>INPUT!BE237</f>
        <v>423.79999999999995</v>
      </c>
      <c r="I175" s="687">
        <f>INPUT!BF237</f>
        <v>96.203703703703681</v>
      </c>
      <c r="J175" s="151">
        <f>INPUT!BG237</f>
        <v>429.7</v>
      </c>
      <c r="K175" s="687" t="str">
        <f>INPUT!BH237</f>
        <v>NM</v>
      </c>
      <c r="L175" s="151">
        <f>INPUT!BI237</f>
        <v>376.4</v>
      </c>
      <c r="M175" s="687">
        <f>INPUT!BJ237</f>
        <v>-4.8533872598584438</v>
      </c>
      <c r="N175" s="151">
        <f>INPUT!BK237</f>
        <v>474.7</v>
      </c>
      <c r="O175" s="687">
        <f>INPUT!BL237</f>
        <v>20.512820512820507</v>
      </c>
      <c r="P175" s="151">
        <f>INPUT!BM237</f>
        <v>461.8</v>
      </c>
      <c r="Q175" s="687">
        <f>INPUT!BN237</f>
        <v>8.9664936290703388</v>
      </c>
      <c r="R175" s="151">
        <f>INPUT!BO237</f>
        <v>467.4</v>
      </c>
      <c r="S175" s="687">
        <f>INPUT!BP237</f>
        <v>8.7735629508959754</v>
      </c>
      <c r="T175" s="151">
        <f>INPUT!BQ237</f>
        <v>477.30000000000007</v>
      </c>
      <c r="U175" s="687">
        <f>INPUT!BR237</f>
        <v>26.806588735387905</v>
      </c>
      <c r="V175" s="151">
        <f>INPUT!BS237</f>
        <v>460.59999999999997</v>
      </c>
      <c r="W175" s="687">
        <f>INPUT!BT237</f>
        <v>-2.9702970297029729</v>
      </c>
      <c r="X175" s="151">
        <f>INPUT!BU237</f>
        <v>502.3</v>
      </c>
      <c r="Y175" s="687">
        <f>INPUT!BV237</f>
        <v>8.7700303161541768</v>
      </c>
      <c r="Z175" s="151">
        <f>INPUT!BW237</f>
        <v>488.00000000000006</v>
      </c>
      <c r="AA175" s="122">
        <f>INPUT!BX237</f>
        <v>4.4073598630723243</v>
      </c>
      <c r="AB175" s="151">
        <f>INPUT!BY237</f>
        <v>455.6</v>
      </c>
      <c r="AC175" s="687">
        <f>INPUT!BZ237</f>
        <v>-4.5464068719882729</v>
      </c>
      <c r="AD175" s="151">
        <f>INPUT!CA237</f>
        <v>500.3</v>
      </c>
      <c r="AE175" s="687">
        <f>INPUT!CB237</f>
        <v>8.6191923577942031</v>
      </c>
      <c r="AF175" s="151">
        <f>INPUT!CC237</f>
        <v>482.5</v>
      </c>
      <c r="AG175" s="687">
        <f>INPUT!CD237</f>
        <v>-3.9418674099144013</v>
      </c>
      <c r="AH175" s="151">
        <f>INPUT!CE237</f>
        <v>485.59999999999997</v>
      </c>
      <c r="AI175" s="507">
        <f>INPUT!CF237</f>
        <v>-0.49180327868854068</v>
      </c>
      <c r="AJ175" s="151">
        <f>INPUT!CG237</f>
        <v>483.50000000000006</v>
      </c>
      <c r="AK175" s="507">
        <f>INPUT!CH237</f>
        <v>6.1237928007023879</v>
      </c>
      <c r="AL175" s="151">
        <f>INPUT!CI237</f>
        <v>457.59999999999997</v>
      </c>
      <c r="AM175" s="507">
        <f>INPUT!CJ237</f>
        <v>-8.5348790725564783</v>
      </c>
      <c r="AN175" s="151">
        <f>INPUT!CK237</f>
        <v>537.4</v>
      </c>
      <c r="AO175" s="507">
        <f>INPUT!CL237</f>
        <v>11.378238341968917</v>
      </c>
      <c r="AP175" s="151">
        <f>INPUT!CM237</f>
        <v>459</v>
      </c>
      <c r="AQ175" s="507">
        <f>INPUT!CN237</f>
        <v>-5.4777594728171231</v>
      </c>
      <c r="AR175" s="151">
        <f>INPUT!CO237</f>
        <v>529</v>
      </c>
      <c r="AS175" s="507">
        <f>INPUT!CP237</f>
        <v>9.4105480868665872</v>
      </c>
      <c r="AT175" s="151">
        <f>INPUT!CQ237</f>
        <v>503.59999999999997</v>
      </c>
      <c r="AU175" s="507">
        <f>INPUT!CR237</f>
        <v>10.052447552447564</v>
      </c>
      <c r="AV175" s="151">
        <f>INPUT!CS237</f>
        <v>512</v>
      </c>
      <c r="AW175" s="507">
        <f>INPUT!CT237</f>
        <v>-4.7264607368812772</v>
      </c>
      <c r="AX175" s="151">
        <f>INPUT!CU237</f>
        <v>530</v>
      </c>
      <c r="AY175" s="507">
        <f>INPUT!CV237</f>
        <v>15.468409586056641</v>
      </c>
      <c r="AZ175" s="151">
        <f>INPUT!CW237</f>
        <v>515</v>
      </c>
      <c r="BA175" s="507">
        <f>INPUT!CX237</f>
        <v>-2.6465028355387554</v>
      </c>
      <c r="BB175" s="151">
        <f>INPUT!CY237</f>
        <v>615</v>
      </c>
      <c r="BC175" s="507">
        <f>INPUT!CZ237</f>
        <v>22.120730738681505</v>
      </c>
      <c r="BD175" s="151">
        <f>INPUT!DA237</f>
        <v>557</v>
      </c>
      <c r="BE175" s="507">
        <f>INPUT!DB237</f>
        <v>8.7890625</v>
      </c>
      <c r="BF175" s="151">
        <f>INPUT!DC237</f>
        <v>543</v>
      </c>
      <c r="BG175" s="507">
        <f>INPUT!DD237</f>
        <v>2.4528301886792558</v>
      </c>
      <c r="BH175" s="151">
        <f>INPUT!DE237</f>
        <v>540</v>
      </c>
      <c r="BI175" s="507">
        <f>INPUT!DF237</f>
        <v>4.8543689320388328</v>
      </c>
      <c r="BJ175" s="151">
        <f>INPUT!DG237</f>
        <v>561</v>
      </c>
      <c r="BK175" s="507">
        <f>INPUT!DH237</f>
        <v>-8.7804878048780459</v>
      </c>
      <c r="BL175" s="151">
        <f>INPUT!DI237</f>
        <v>588</v>
      </c>
      <c r="BM175" s="507">
        <f>INPUT!DJ237</f>
        <v>5.5655296229802476</v>
      </c>
      <c r="BN175" s="151">
        <f>INPUT!DK237</f>
        <v>581</v>
      </c>
      <c r="BO175" s="507">
        <f>INPUT!DL237</f>
        <v>6.9981583793738533</v>
      </c>
      <c r="BP175" s="151">
        <f>INPUT!DM237</f>
        <v>592</v>
      </c>
      <c r="BQ175" s="507">
        <f>INPUT!DN237</f>
        <v>9.6296296296296333</v>
      </c>
      <c r="BR175" s="151">
        <f>INPUT!DO237</f>
        <v>657</v>
      </c>
      <c r="BS175" s="507">
        <f>INPUT!DP237</f>
        <v>17.112299465240643</v>
      </c>
      <c r="BT175" s="151">
        <f>INPUT!DQ237</f>
        <v>1086</v>
      </c>
      <c r="BU175" s="507">
        <f>INPUT!DR237</f>
        <v>84.693877551020407</v>
      </c>
      <c r="BV175" s="151">
        <f>INPUT!DS237</f>
        <v>657</v>
      </c>
      <c r="BW175" s="507">
        <f>INPUT!DT237</f>
        <v>13.080895008605854</v>
      </c>
      <c r="BX175" s="151">
        <f>INPUT!DU237</f>
        <v>657</v>
      </c>
      <c r="BY175" s="507">
        <f>INPUT!DV237</f>
        <v>10.979729729729737</v>
      </c>
      <c r="BZ175" s="151">
        <f>INPUT!DW237</f>
        <v>899</v>
      </c>
      <c r="CA175" s="507">
        <f>INPUT!DX237</f>
        <v>899</v>
      </c>
      <c r="CB175" s="151">
        <f>INPUT!DY237</f>
        <v>546</v>
      </c>
      <c r="CC175" s="507">
        <f>INPUT!DZ237</f>
        <v>-49.723756906077341</v>
      </c>
      <c r="CD175" s="151">
        <f>INPUT!EA237</f>
        <v>695</v>
      </c>
      <c r="CE175" s="507">
        <f>INPUT!EB237</f>
        <v>5.7838660578386714</v>
      </c>
      <c r="CF175" s="151">
        <f>INPUT!EC237</f>
        <v>728</v>
      </c>
      <c r="CG175" s="507">
        <f>INPUT!ED237</f>
        <v>10.806697108066965</v>
      </c>
      <c r="CH175" s="151">
        <f>INPUT!EE237</f>
        <v>791</v>
      </c>
      <c r="CI175" s="507">
        <f>INPUT!EF237</f>
        <v>-12.013348164627368</v>
      </c>
      <c r="CJ175" s="151">
        <f>INPUT!EG237</f>
        <v>769</v>
      </c>
      <c r="CK175" s="507">
        <f>INPUT!EH237</f>
        <v>40.842490842490854</v>
      </c>
      <c r="CL175" s="151">
        <f>INPUT!EI237</f>
        <v>763</v>
      </c>
      <c r="CM175" s="507">
        <f>INPUT!EJ237</f>
        <v>9.7841726618705049</v>
      </c>
      <c r="CN175" s="151">
        <f>INPUT!EK237</f>
        <v>784</v>
      </c>
      <c r="CO175" s="507">
        <f>INPUT!EL237</f>
        <v>7.6923076923076872</v>
      </c>
      <c r="CP175" s="151">
        <f>INPUT!EM237</f>
        <v>768</v>
      </c>
      <c r="CQ175" s="507">
        <f>INPUT!EN237</f>
        <v>-2.9077117572692823</v>
      </c>
      <c r="CR175" s="151">
        <f>INPUT!EO237</f>
        <v>826</v>
      </c>
      <c r="CS175" s="507">
        <f>INPUT!EP237</f>
        <v>7.4122236671001263</v>
      </c>
      <c r="CT175" s="151">
        <f>INPUT!EQ237</f>
        <v>811.44740039622241</v>
      </c>
      <c r="CU175" s="507">
        <f>INPUT!ER237</f>
        <v>6.3495937609727937</v>
      </c>
      <c r="CV175" s="151">
        <f>INPUT!ES237</f>
        <v>816.77492011838501</v>
      </c>
      <c r="CW175" s="507">
        <f>INPUT!ET237</f>
        <v>4.1804745048960479</v>
      </c>
      <c r="CX175" s="151">
        <f>INPUT!EU237</f>
        <v>824.38565165002103</v>
      </c>
      <c r="CY175" s="507">
        <f>INPUT!EV237</f>
        <v>7.3418817252631552</v>
      </c>
      <c r="CZ175" s="151">
        <f>INPUT!EW237</f>
        <v>834.60818792653095</v>
      </c>
      <c r="DA175" s="507">
        <f>INPUT!EX237</f>
        <v>1.0421535020013195</v>
      </c>
      <c r="DB175" s="507"/>
      <c r="DC175" s="151">
        <f>INPUT!FP237</f>
        <v>803.5</v>
      </c>
      <c r="DD175" s="687">
        <f>INPUT!FQ237</f>
        <v>4.6223958333333259</v>
      </c>
      <c r="DE175" s="151">
        <f>INPUT!FR237</f>
        <v>1423.1999999999998</v>
      </c>
      <c r="DF175" s="687">
        <f>INPUT!FS237</f>
        <v>77.125077784691953</v>
      </c>
      <c r="DG175" s="151">
        <f>INPUT!FT237</f>
        <v>1742.6</v>
      </c>
      <c r="DH175" s="687">
        <f>INPUT!FU237</f>
        <v>22.44238336143902</v>
      </c>
      <c r="DI175" s="151">
        <f>INPUT!FV237</f>
        <v>1907.6</v>
      </c>
      <c r="DJ175" s="687">
        <f>INPUT!FW237</f>
        <v>9.4686101228049999</v>
      </c>
      <c r="DK175" s="151">
        <f>INPUT!FX237</f>
        <v>1926.4</v>
      </c>
      <c r="DL175" s="507">
        <f>INPUT!FY237</f>
        <v>0.98553155797862502</v>
      </c>
      <c r="DM175" s="151">
        <f>INPUT!FZ237</f>
        <v>1964.1</v>
      </c>
      <c r="DN175" s="507">
        <f>INPUT!GA237</f>
        <v>1.9570182724252483</v>
      </c>
      <c r="DO175" s="151">
        <f>INPUT!GB237</f>
        <v>2003.6</v>
      </c>
      <c r="DP175" s="507">
        <f>INPUT!GC237</f>
        <v>2.011099231200042</v>
      </c>
      <c r="DQ175" s="151">
        <f>INPUT!GD237</f>
        <v>2217</v>
      </c>
      <c r="DR175" s="507">
        <f>INPUT!GE237</f>
        <v>10.650828508684373</v>
      </c>
      <c r="DS175" s="151">
        <f>INPUT!GF237</f>
        <v>2232</v>
      </c>
      <c r="DT175" s="507">
        <f>INPUT!GG237</f>
        <v>0.67658998646820123</v>
      </c>
      <c r="DU175" s="151">
        <f>INPUT!GH237</f>
        <v>2916</v>
      </c>
      <c r="DV175" s="507">
        <f>INPUT!GI237</f>
        <v>30.645161290322577</v>
      </c>
      <c r="DW175" s="151">
        <f>INPUT!GJ237</f>
        <v>2759</v>
      </c>
      <c r="DX175" s="507">
        <f>INPUT!GK237</f>
        <v>-5.3840877914951957</v>
      </c>
      <c r="DY175" s="151">
        <f>INPUT!GL237</f>
        <v>2983</v>
      </c>
      <c r="DZ175" s="507">
        <f>INPUT!GM237</f>
        <v>8.1188836534976438</v>
      </c>
      <c r="EA175" s="151">
        <f>INPUT!GN237</f>
        <v>3141</v>
      </c>
      <c r="EB175" s="507">
        <f>INPUT!GO237</f>
        <v>5.2966811934294311</v>
      </c>
      <c r="EC175" s="151">
        <f>INPUT!GP237</f>
        <v>3287.2161600911595</v>
      </c>
      <c r="ED175" s="507">
        <f>INPUT!GQ237</f>
        <v>4.6550830974581237</v>
      </c>
      <c r="EE175" s="151">
        <f>INPUT!GR237</f>
        <v>3400.3949909892317</v>
      </c>
      <c r="EF175" s="507">
        <f>INPUT!GS237</f>
        <v>3.4429993461377206</v>
      </c>
      <c r="EG175" s="151">
        <f>INPUT!GT237</f>
        <v>3506.6724934617437</v>
      </c>
      <c r="EH175" s="507">
        <f>INPUT!GU237</f>
        <v>3.125445801271276</v>
      </c>
      <c r="EI175" s="151">
        <f>INPUT!GV237</f>
        <v>3620.538142127833</v>
      </c>
      <c r="EJ175" s="507">
        <f>INPUT!GW237</f>
        <v>3.2471138630252527</v>
      </c>
      <c r="EK175" s="151">
        <f>INPUT!GX237</f>
        <v>3742.320064411259</v>
      </c>
      <c r="EL175" s="507">
        <f>INPUT!GY237</f>
        <v>3.3636414671729842</v>
      </c>
      <c r="EM175" s="687">
        <f>INPUT!GZ237</f>
        <v>3.5653788833178934</v>
      </c>
    </row>
    <row r="176" spans="1:143" ht="12.75" hidden="1" customHeight="1" outlineLevel="1" x14ac:dyDescent="0.2">
      <c r="A176" s="701" t="str">
        <f>INPUT!B238</f>
        <v>Investment Income</v>
      </c>
      <c r="B176" s="151">
        <f>INPUT!AY238</f>
        <v>239.5</v>
      </c>
      <c r="C176" s="507">
        <f>INPUT!AZ238</f>
        <v>6.9673961589995503</v>
      </c>
      <c r="D176" s="151">
        <f>INPUT!BA238</f>
        <v>415.9</v>
      </c>
      <c r="E176" s="687">
        <f>INPUT!BB238</f>
        <v>82.572431957857745</v>
      </c>
      <c r="F176" s="151">
        <f>INPUT!BC238</f>
        <v>414.4</v>
      </c>
      <c r="G176" s="687">
        <f>INPUT!BD238</f>
        <v>80.566448801742908</v>
      </c>
      <c r="H176" s="151">
        <f>INPUT!BE238</f>
        <v>441.1</v>
      </c>
      <c r="I176" s="687">
        <f>INPUT!BF238</f>
        <v>93.890109890109912</v>
      </c>
      <c r="J176" s="151">
        <f>INPUT!BG238</f>
        <v>454</v>
      </c>
      <c r="K176" s="687">
        <f>INPUT!BH238</f>
        <v>89.561586638830889</v>
      </c>
      <c r="L176" s="151">
        <f>INPUT!BI238</f>
        <v>493.3</v>
      </c>
      <c r="M176" s="687">
        <f>INPUT!BJ238</f>
        <v>18.610242846838187</v>
      </c>
      <c r="N176" s="151">
        <f>INPUT!BK238</f>
        <v>496.3</v>
      </c>
      <c r="O176" s="687">
        <f>INPUT!BL238</f>
        <v>19.76351351351353</v>
      </c>
      <c r="P176" s="151">
        <f>INPUT!BM238</f>
        <v>516.29999999999995</v>
      </c>
      <c r="Q176" s="687">
        <f>INPUT!BN238</f>
        <v>17.04828836998411</v>
      </c>
      <c r="R176" s="151">
        <f>INPUT!BO238</f>
        <v>499.3</v>
      </c>
      <c r="S176" s="687">
        <f>INPUT!BP238</f>
        <v>9.9779735682819393</v>
      </c>
      <c r="T176" s="151">
        <f>INPUT!BQ238</f>
        <v>519.20000000000005</v>
      </c>
      <c r="U176" s="687">
        <f>INPUT!BR238</f>
        <v>5.2503547536995709</v>
      </c>
      <c r="V176" s="151">
        <f>INPUT!BS238</f>
        <v>522.4</v>
      </c>
      <c r="W176" s="687">
        <f>INPUT!BT238</f>
        <v>5.2589159782389538</v>
      </c>
      <c r="X176" s="151">
        <f>INPUT!BU238</f>
        <v>446.9</v>
      </c>
      <c r="Y176" s="687">
        <f>INPUT!BV238</f>
        <v>-13.441797404609723</v>
      </c>
      <c r="Z176" s="151">
        <f>INPUT!BW238</f>
        <v>497.7</v>
      </c>
      <c r="AA176" s="122">
        <f>INPUT!BX238</f>
        <v>-0.32044862807931729</v>
      </c>
      <c r="AB176" s="151">
        <f>INPUT!BY238</f>
        <v>453.3</v>
      </c>
      <c r="AC176" s="687">
        <f>INPUT!BZ238</f>
        <v>-12.692604006163332</v>
      </c>
      <c r="AD176" s="151">
        <f>INPUT!CA238</f>
        <v>495.3</v>
      </c>
      <c r="AE176" s="687">
        <f>INPUT!CB238</f>
        <v>-5.1875957120980036</v>
      </c>
      <c r="AF176" s="151">
        <f>INPUT!CC238</f>
        <v>528.20000000000005</v>
      </c>
      <c r="AG176" s="687">
        <f>INPUT!CD238</f>
        <v>18.191989259342158</v>
      </c>
      <c r="AH176" s="151">
        <f>INPUT!CE238</f>
        <v>530.1</v>
      </c>
      <c r="AI176" s="507">
        <f>INPUT!CF238</f>
        <v>6.5099457504520952</v>
      </c>
      <c r="AJ176" s="151">
        <f>INPUT!CG238</f>
        <v>545</v>
      </c>
      <c r="AK176" s="507">
        <f>INPUT!CH238</f>
        <v>20.229428634458422</v>
      </c>
      <c r="AL176" s="151">
        <f>INPUT!CI238</f>
        <v>542.79999999999995</v>
      </c>
      <c r="AM176" s="507">
        <f>INPUT!CJ238</f>
        <v>9.5901473854229646</v>
      </c>
      <c r="AN176" s="151">
        <f>INPUT!CK238</f>
        <v>567.9</v>
      </c>
      <c r="AO176" s="507">
        <f>INPUT!CL238</f>
        <v>7.516092389246487</v>
      </c>
      <c r="AP176" s="151">
        <f>INPUT!CM238</f>
        <v>579</v>
      </c>
      <c r="AQ176" s="507">
        <f>INPUT!CN238</f>
        <v>9.2246745897000437</v>
      </c>
      <c r="AR176" s="151">
        <f>INPUT!CO238</f>
        <v>588</v>
      </c>
      <c r="AS176" s="507">
        <f>INPUT!CP238</f>
        <v>7.8899082568807399</v>
      </c>
      <c r="AT176" s="151">
        <f>INPUT!CQ238</f>
        <v>568.70000000000005</v>
      </c>
      <c r="AU176" s="507">
        <f>INPUT!CR238</f>
        <v>4.771554900515862</v>
      </c>
      <c r="AV176" s="151">
        <f>INPUT!CS238</f>
        <v>558</v>
      </c>
      <c r="AW176" s="507">
        <f>INPUT!CT238</f>
        <v>-1.7432646592709933</v>
      </c>
      <c r="AX176" s="151">
        <f>INPUT!CU238</f>
        <v>588</v>
      </c>
      <c r="AY176" s="507">
        <f>INPUT!CV238</f>
        <v>1.5544041450777257</v>
      </c>
      <c r="AZ176" s="151">
        <f>INPUT!CW238</f>
        <v>606</v>
      </c>
      <c r="BA176" s="507">
        <f>INPUT!CX238</f>
        <v>3.0612244897959107</v>
      </c>
      <c r="BB176" s="151">
        <f>INPUT!CY238</f>
        <v>578</v>
      </c>
      <c r="BC176" s="507">
        <f>INPUT!CZ238</f>
        <v>1.6353085985581162</v>
      </c>
      <c r="BD176" s="151">
        <f>INPUT!DA238</f>
        <v>624</v>
      </c>
      <c r="BE176" s="507">
        <f>INPUT!DB238</f>
        <v>11.827956989247301</v>
      </c>
      <c r="BF176" s="151">
        <f>INPUT!DC238</f>
        <v>585</v>
      </c>
      <c r="BG176" s="507">
        <f>INPUT!DD238</f>
        <v>-0.51020408163264808</v>
      </c>
      <c r="BH176" s="151">
        <f>INPUT!DE238</f>
        <v>625</v>
      </c>
      <c r="BI176" s="507">
        <f>INPUT!DF238</f>
        <v>3.1353135313531455</v>
      </c>
      <c r="BJ176" s="151">
        <f>INPUT!DG238</f>
        <v>615</v>
      </c>
      <c r="BK176" s="507">
        <f>INPUT!DH238</f>
        <v>6.4013840830449809</v>
      </c>
      <c r="BL176" s="151">
        <f>INPUT!DI238</f>
        <v>627</v>
      </c>
      <c r="BM176" s="507">
        <f>INPUT!DJ238</f>
        <v>0.48076923076922906</v>
      </c>
      <c r="BN176" s="151">
        <f>INPUT!DK238</f>
        <v>624</v>
      </c>
      <c r="BO176" s="507">
        <f>INPUT!DL238</f>
        <v>6.6666666666666652</v>
      </c>
      <c r="BP176" s="151">
        <f>INPUT!DM238</f>
        <v>632</v>
      </c>
      <c r="BQ176" s="507">
        <f>INPUT!DN238</f>
        <v>1.1200000000000099</v>
      </c>
      <c r="BR176" s="151">
        <f>INPUT!DO238</f>
        <v>636</v>
      </c>
      <c r="BS176" s="507">
        <f>INPUT!DP238</f>
        <v>3.4146341463414664</v>
      </c>
      <c r="BT176" s="151">
        <f>INPUT!DQ238</f>
        <v>639</v>
      </c>
      <c r="BU176" s="507">
        <f>INPUT!DR238</f>
        <v>1.9138755980861344</v>
      </c>
      <c r="BV176" s="151">
        <f>INPUT!DS238</f>
        <v>626</v>
      </c>
      <c r="BW176" s="507">
        <f>INPUT!DT238</f>
        <v>0.32051282051281937</v>
      </c>
      <c r="BX176" s="151">
        <f>INPUT!DU238</f>
        <v>626</v>
      </c>
      <c r="BY176" s="507">
        <f>INPUT!DV238</f>
        <v>-0.9493670886076</v>
      </c>
      <c r="BZ176" s="151">
        <f>INPUT!DW238</f>
        <v>662</v>
      </c>
      <c r="CA176" s="507">
        <f>INPUT!DX238</f>
        <v>662</v>
      </c>
      <c r="CB176" s="151">
        <f>INPUT!DY238</f>
        <v>628</v>
      </c>
      <c r="CC176" s="507">
        <f>INPUT!DZ238</f>
        <v>-1.7214397496087663</v>
      </c>
      <c r="CD176" s="151">
        <f>INPUT!EA238</f>
        <v>611</v>
      </c>
      <c r="CE176" s="507">
        <f>INPUT!EB238</f>
        <v>-2.3961661341853069</v>
      </c>
      <c r="CF176" s="151">
        <f>INPUT!EC238</f>
        <v>633</v>
      </c>
      <c r="CG176" s="507">
        <f>INPUT!ED238</f>
        <v>1.1182108626198062</v>
      </c>
      <c r="CH176" s="151">
        <f>INPUT!EE238</f>
        <v>665</v>
      </c>
      <c r="CI176" s="507">
        <f>INPUT!EF238</f>
        <v>0.45317220543805714</v>
      </c>
      <c r="CJ176" s="151">
        <f>INPUT!EG238</f>
        <v>652</v>
      </c>
      <c r="CK176" s="507">
        <f>INPUT!EH238</f>
        <v>3.8216560509554132</v>
      </c>
      <c r="CL176" s="151">
        <f>INPUT!EI238</f>
        <v>658</v>
      </c>
      <c r="CM176" s="507">
        <f>INPUT!EJ238</f>
        <v>7.6923076923076872</v>
      </c>
      <c r="CN176" s="151">
        <f>INPUT!EK238</f>
        <v>672</v>
      </c>
      <c r="CO176" s="507">
        <f>INPUT!EL238</f>
        <v>6.1611374407583019</v>
      </c>
      <c r="CP176" s="151">
        <f>INPUT!EM238</f>
        <v>655</v>
      </c>
      <c r="CQ176" s="507">
        <f>INPUT!EN238</f>
        <v>-1.5037593984962405</v>
      </c>
      <c r="CR176" s="151">
        <f>INPUT!EO238</f>
        <v>659</v>
      </c>
      <c r="CS176" s="507">
        <f>INPUT!EP238</f>
        <v>1.0736196319018454</v>
      </c>
      <c r="CT176" s="151">
        <f>INPUT!EQ238</f>
        <v>662.72104264172447</v>
      </c>
      <c r="CU176" s="507">
        <f>INPUT!ER238</f>
        <v>0.71748368415265329</v>
      </c>
      <c r="CV176" s="151">
        <f>INPUT!ES238</f>
        <v>664.89983450209513</v>
      </c>
      <c r="CW176" s="507">
        <f>INPUT!ET238</f>
        <v>-1.0565722467120287</v>
      </c>
      <c r="CX176" s="151">
        <f>INPUT!EU238</f>
        <v>667.05565052942484</v>
      </c>
      <c r="CY176" s="507">
        <f>INPUT!EV238</f>
        <v>1.8405573327366254</v>
      </c>
      <c r="CZ176" s="151">
        <f>INPUT!EW238</f>
        <v>669.22724024968613</v>
      </c>
      <c r="DA176" s="507">
        <f>INPUT!EX238</f>
        <v>1.551933270058603</v>
      </c>
      <c r="DB176" s="507"/>
      <c r="DC176" s="151">
        <f>INPUT!FP238</f>
        <v>908.7</v>
      </c>
      <c r="DD176" s="687">
        <f>INPUT!FQ238</f>
        <v>0.85460599334072906</v>
      </c>
      <c r="DE176" s="151">
        <f>INPUT!FR238</f>
        <v>1510.9</v>
      </c>
      <c r="DF176" s="687">
        <f>INPUT!FS238</f>
        <v>66.270496313414768</v>
      </c>
      <c r="DG176" s="151">
        <f>INPUT!FT238</f>
        <v>1959.8999999999999</v>
      </c>
      <c r="DH176" s="687">
        <f>INPUT!FU238</f>
        <v>29.717386987887995</v>
      </c>
      <c r="DI176" s="151">
        <f>INPUT!FV238</f>
        <v>1987.8000000000002</v>
      </c>
      <c r="DJ176" s="687">
        <f>INPUT!FW238</f>
        <v>1.4235420174498969</v>
      </c>
      <c r="DK176" s="151">
        <f>INPUT!FX238</f>
        <v>1974.5</v>
      </c>
      <c r="DL176" s="507">
        <f>INPUT!FY238</f>
        <v>-0.66908139651877807</v>
      </c>
      <c r="DM176" s="151">
        <f>INPUT!FZ238</f>
        <v>2185.7999999999997</v>
      </c>
      <c r="DN176" s="507">
        <f>INPUT!GA238</f>
        <v>10.701443403393252</v>
      </c>
      <c r="DO176" s="151">
        <f>INPUT!GB238</f>
        <v>2293.6999999999998</v>
      </c>
      <c r="DP176" s="507">
        <f>INPUT!GC238</f>
        <v>4.9364077225729774</v>
      </c>
      <c r="DQ176" s="151">
        <f>INPUT!GD238</f>
        <v>2396</v>
      </c>
      <c r="DR176" s="507">
        <f>INPUT!GE238</f>
        <v>4.4600427257269981</v>
      </c>
      <c r="DS176" s="151">
        <f>INPUT!GF238</f>
        <v>2452</v>
      </c>
      <c r="DT176" s="507">
        <f>INPUT!GG238</f>
        <v>2.3372287145241977</v>
      </c>
      <c r="DU176" s="151">
        <f>INPUT!GH238</f>
        <v>2531</v>
      </c>
      <c r="DV176" s="507">
        <f>INPUT!GI238</f>
        <v>3.2218597063621512</v>
      </c>
      <c r="DW176" s="151">
        <f>INPUT!GJ238</f>
        <v>2542</v>
      </c>
      <c r="DX176" s="507">
        <f>INPUT!GK238</f>
        <v>0.43461082576057297</v>
      </c>
      <c r="DY176" s="151">
        <f>INPUT!GL238</f>
        <v>2561</v>
      </c>
      <c r="DZ176" s="507">
        <f>INPUT!GM238</f>
        <v>0.74744295830055929</v>
      </c>
      <c r="EA176" s="151">
        <f>INPUT!GN238</f>
        <v>2644</v>
      </c>
      <c r="EB176" s="507">
        <f>INPUT!GO238</f>
        <v>3.2409215150331905</v>
      </c>
      <c r="EC176" s="151">
        <f>INPUT!GP238</f>
        <v>2663.9037679229305</v>
      </c>
      <c r="ED176" s="507">
        <f>INPUT!GQ238</f>
        <v>0.752790012213711</v>
      </c>
      <c r="EE176" s="151">
        <f>INPUT!GR238</f>
        <v>2730.8376001521169</v>
      </c>
      <c r="EF176" s="507">
        <f>INPUT!GS238</f>
        <v>2.5126220036610247</v>
      </c>
      <c r="EG176" s="151">
        <f>INPUT!GT238</f>
        <v>2799.2960072413075</v>
      </c>
      <c r="EH176" s="507">
        <f>INPUT!GU238</f>
        <v>2.506864819986987</v>
      </c>
      <c r="EI176" s="151">
        <f>INPUT!GV238</f>
        <v>2870.4787827660639</v>
      </c>
      <c r="EJ176" s="507">
        <f>INPUT!GW238</f>
        <v>2.5428813294706476</v>
      </c>
      <c r="EK176" s="151">
        <f>INPUT!GX238</f>
        <v>2944.5149778465766</v>
      </c>
      <c r="EL176" s="507">
        <f>INPUT!GY238</f>
        <v>2.5792280899275433</v>
      </c>
      <c r="EM176" s="687">
        <f>INPUT!GZ238</f>
        <v>2.1763685576412284</v>
      </c>
    </row>
    <row r="177" spans="1:143" ht="12.75" hidden="1" customHeight="1" outlineLevel="1" x14ac:dyDescent="0.2">
      <c r="A177" s="701" t="str">
        <f>INPUT!B240</f>
        <v xml:space="preserve"> Total Revenues</v>
      </c>
      <c r="B177" s="151">
        <f>INPUT!AY240</f>
        <v>500.5</v>
      </c>
      <c r="C177" s="507">
        <f>INPUT!AZ240</f>
        <v>5.2354920100925018</v>
      </c>
      <c r="D177" s="151">
        <f>INPUT!BA240</f>
        <v>901.4</v>
      </c>
      <c r="E177" s="687">
        <f>INPUT!BB240</f>
        <v>89.608750525872935</v>
      </c>
      <c r="F177" s="151">
        <f>INPUT!BC240</f>
        <v>895.3</v>
      </c>
      <c r="G177" s="687">
        <f>INPUT!BD240</f>
        <v>95.309773123909252</v>
      </c>
      <c r="H177" s="151">
        <f>INPUT!BE240</f>
        <v>958.4</v>
      </c>
      <c r="I177" s="687">
        <f>INPUT!BF240</f>
        <v>91.221069433359943</v>
      </c>
      <c r="J177" s="151">
        <f>INPUT!BG240</f>
        <v>971.40000000000009</v>
      </c>
      <c r="K177" s="687">
        <f>INPUT!BH240</f>
        <v>94.085914085914112</v>
      </c>
      <c r="L177" s="151">
        <f>INPUT!BI240</f>
        <v>957.5</v>
      </c>
      <c r="M177" s="687">
        <f>INPUT!BJ240</f>
        <v>6.2236520967384079</v>
      </c>
      <c r="N177" s="151">
        <f>INPUT!BK240</f>
        <v>1055.7</v>
      </c>
      <c r="O177" s="687">
        <f>INPUT!BL240</f>
        <v>17.915782419300808</v>
      </c>
      <c r="P177" s="151">
        <f>INPUT!BM240</f>
        <v>1068.1999999999998</v>
      </c>
      <c r="Q177" s="687">
        <f>INPUT!BN240</f>
        <v>11.456594323873116</v>
      </c>
      <c r="R177" s="151">
        <f>INPUT!BO240</f>
        <v>1053.1000000000001</v>
      </c>
      <c r="S177" s="687">
        <f>INPUT!BP240</f>
        <v>8.4105414865143224</v>
      </c>
      <c r="T177" s="151">
        <f>INPUT!BQ240</f>
        <v>1085.9000000000001</v>
      </c>
      <c r="U177" s="687">
        <f>INPUT!BR240</f>
        <v>13.409921671018289</v>
      </c>
      <c r="V177" s="151">
        <f>INPUT!BS240</f>
        <v>1073.9000000000001</v>
      </c>
      <c r="W177" s="687">
        <f>INPUT!BT240</f>
        <v>1.723974614000201</v>
      </c>
      <c r="X177" s="151">
        <f>INPUT!BU240</f>
        <v>1042.8</v>
      </c>
      <c r="Y177" s="687">
        <f>INPUT!BV240</f>
        <v>-2.3778318666916154</v>
      </c>
      <c r="Z177" s="151">
        <f>INPUT!BW240</f>
        <v>1076.2</v>
      </c>
      <c r="AA177" s="122">
        <f>INPUT!BX240</f>
        <v>2.19352388187255</v>
      </c>
      <c r="AB177" s="151">
        <f>INPUT!BY240</f>
        <v>1002.2</v>
      </c>
      <c r="AC177" s="687">
        <f>INPUT!BZ240</f>
        <v>-7.7078920710931031</v>
      </c>
      <c r="AD177" s="151">
        <f>INPUT!CA240</f>
        <v>1089.0999999999999</v>
      </c>
      <c r="AE177" s="687">
        <f>INPUT!CB240</f>
        <v>1.415401806499661</v>
      </c>
      <c r="AF177" s="151">
        <f>INPUT!CC240</f>
        <v>1125.9000000000001</v>
      </c>
      <c r="AG177" s="687">
        <f>INPUT!CD240</f>
        <v>7.9689298043728485</v>
      </c>
      <c r="AH177" s="151">
        <f>INPUT!CE240</f>
        <v>1128</v>
      </c>
      <c r="AI177" s="507">
        <f>INPUT!CF240</f>
        <v>4.8132317413120296</v>
      </c>
      <c r="AJ177" s="151">
        <f>INPUT!CG240</f>
        <v>1136</v>
      </c>
      <c r="AK177" s="507">
        <f>INPUT!CH240</f>
        <v>13.350628617042503</v>
      </c>
      <c r="AL177" s="151">
        <f>INPUT!CI240</f>
        <v>1107.8999999999999</v>
      </c>
      <c r="AM177" s="507">
        <f>INPUT!CJ240</f>
        <v>1.726195941603148</v>
      </c>
      <c r="AN177" s="151">
        <f>INPUT!CK240</f>
        <v>1217.3999999999999</v>
      </c>
      <c r="AO177" s="507">
        <f>INPUT!CL240</f>
        <v>8.1268318678390461</v>
      </c>
      <c r="AP177" s="151">
        <f>INPUT!CM240</f>
        <v>1146</v>
      </c>
      <c r="AQ177" s="507">
        <f>INPUT!CN240</f>
        <v>1.5957446808510634</v>
      </c>
      <c r="AR177" s="151">
        <f>INPUT!CO240</f>
        <v>1229</v>
      </c>
      <c r="AS177" s="507">
        <f>INPUT!CP240</f>
        <v>8.186619718309851</v>
      </c>
      <c r="AT177" s="151">
        <f>INPUT!CQ240</f>
        <v>1176.3</v>
      </c>
      <c r="AU177" s="507">
        <f>INPUT!CR240</f>
        <v>6.1738424045491458</v>
      </c>
      <c r="AV177" s="151">
        <f>INPUT!CS240</f>
        <v>1187</v>
      </c>
      <c r="AW177" s="507">
        <f>INPUT!CT240</f>
        <v>-2.4971250205355622</v>
      </c>
      <c r="AX177" s="151">
        <f>INPUT!CU240</f>
        <v>1227</v>
      </c>
      <c r="AY177" s="507">
        <f>INPUT!CV240</f>
        <v>7.0680628272251411</v>
      </c>
      <c r="AZ177" s="151">
        <f>INPUT!CW240</f>
        <v>1235</v>
      </c>
      <c r="BA177" s="507">
        <f>INPUT!CX240</f>
        <v>0.48820179007322828</v>
      </c>
      <c r="BB177" s="151">
        <f>INPUT!CY240</f>
        <v>1296</v>
      </c>
      <c r="BC177" s="507">
        <f>INPUT!CZ240</f>
        <v>10.175975516449887</v>
      </c>
      <c r="BD177" s="151">
        <f>INPUT!DA240</f>
        <v>1297</v>
      </c>
      <c r="BE177" s="507">
        <f>INPUT!DB240</f>
        <v>9.2670598146588077</v>
      </c>
      <c r="BF177" s="151">
        <f>INPUT!DC240</f>
        <v>1241</v>
      </c>
      <c r="BG177" s="507">
        <f>INPUT!DD240</f>
        <v>1.140994295028519</v>
      </c>
      <c r="BH177" s="151">
        <f>INPUT!DE240</f>
        <v>1284</v>
      </c>
      <c r="BI177" s="507">
        <f>INPUT!DF240</f>
        <v>3.9676113360323839</v>
      </c>
      <c r="BJ177" s="151">
        <f>INPUT!DG240</f>
        <v>1301</v>
      </c>
      <c r="BK177" s="507">
        <f>INPUT!DH240</f>
        <v>0.38580246913579863</v>
      </c>
      <c r="BL177" s="151">
        <f>INPUT!DI240</f>
        <v>1344</v>
      </c>
      <c r="BM177" s="507">
        <f>INPUT!DJ240</f>
        <v>3.6237471087124051</v>
      </c>
      <c r="BN177" s="151">
        <f>INPUT!DK240</f>
        <v>1337</v>
      </c>
      <c r="BO177" s="507">
        <f>INPUT!DL240</f>
        <v>7.7356970185334495</v>
      </c>
      <c r="BP177" s="151">
        <f>INPUT!DM240</f>
        <v>1363</v>
      </c>
      <c r="BQ177" s="507">
        <f>INPUT!DN240</f>
        <v>6.1526479750778851</v>
      </c>
      <c r="BR177" s="151">
        <f>INPUT!DO240</f>
        <v>1446</v>
      </c>
      <c r="BS177" s="507">
        <f>INPUT!DP240</f>
        <v>11.145272867025358</v>
      </c>
      <c r="BT177" s="151">
        <f>INPUT!DQ240</f>
        <v>1858</v>
      </c>
      <c r="BU177" s="507">
        <f>INPUT!DR240</f>
        <v>38.244047619047628</v>
      </c>
      <c r="BV177" s="151">
        <f>INPUT!DS240</f>
        <v>1432</v>
      </c>
      <c r="BW177" s="507">
        <f>INPUT!DT240</f>
        <v>7.1054599850411293</v>
      </c>
      <c r="BX177" s="151">
        <f>INPUT!DU240</f>
        <v>1443</v>
      </c>
      <c r="BY177" s="507">
        <f>INPUT!DV240</f>
        <v>5.8694057226705842</v>
      </c>
      <c r="BZ177" s="151">
        <f>INPUT!DW240</f>
        <v>1727</v>
      </c>
      <c r="CA177" s="507">
        <f>INPUT!DX240</f>
        <v>1727</v>
      </c>
      <c r="CB177" s="151">
        <f>INPUT!DY240</f>
        <v>1348</v>
      </c>
      <c r="CC177" s="507">
        <f>INPUT!DZ240</f>
        <v>-27.448869752421956</v>
      </c>
      <c r="CD177" s="151">
        <f>INPUT!EA240</f>
        <v>1478</v>
      </c>
      <c r="CE177" s="507">
        <f>INPUT!EB240</f>
        <v>3.2122905027933024</v>
      </c>
      <c r="CF177" s="151">
        <f>INPUT!EC240</f>
        <v>1538</v>
      </c>
      <c r="CG177" s="507">
        <f>INPUT!ED240</f>
        <v>6.5835065835065931</v>
      </c>
      <c r="CH177" s="151">
        <f>INPUT!EE240</f>
        <v>1630</v>
      </c>
      <c r="CI177" s="507">
        <f>INPUT!EF240</f>
        <v>-5.6166763173132628</v>
      </c>
      <c r="CJ177" s="151">
        <f>INPUT!EG240</f>
        <v>1600</v>
      </c>
      <c r="CK177" s="507">
        <f>INPUT!EH240</f>
        <v>18.694362017804146</v>
      </c>
      <c r="CL177" s="151">
        <f>INPUT!EI240</f>
        <v>1606</v>
      </c>
      <c r="CM177" s="507">
        <f>INPUT!EJ240</f>
        <v>8.6603518267929669</v>
      </c>
      <c r="CN177" s="151">
        <f>INPUT!EK240</f>
        <v>1655</v>
      </c>
      <c r="CO177" s="507">
        <f>INPUT!EL240</f>
        <v>7.6072821846554062</v>
      </c>
      <c r="CP177" s="151">
        <f>INPUT!EM240</f>
        <v>1614</v>
      </c>
      <c r="CQ177" s="507">
        <f>INPUT!EN240</f>
        <v>-0.98159509202454531</v>
      </c>
      <c r="CR177" s="151">
        <f>INPUT!EO240</f>
        <v>1684</v>
      </c>
      <c r="CS177" s="507">
        <f>INPUT!EP240</f>
        <v>5.2499999999999991</v>
      </c>
      <c r="CT177" s="151">
        <f>INPUT!EQ240</f>
        <v>1675.7458701341982</v>
      </c>
      <c r="CU177" s="507">
        <f>INPUT!ER240</f>
        <v>4.3428312661393687</v>
      </c>
      <c r="CV177" s="151">
        <f>INPUT!ES240</f>
        <v>1684.5756288284897</v>
      </c>
      <c r="CW177" s="507">
        <f>INPUT!ET240</f>
        <v>1.7870470591232479</v>
      </c>
      <c r="CX177" s="151">
        <f>INPUT!EU240</f>
        <v>1696.2328124036881</v>
      </c>
      <c r="CY177" s="507">
        <f>INPUT!EV240</f>
        <v>5.0949697895717572</v>
      </c>
      <c r="CZ177" s="151">
        <f>INPUT!EW240</f>
        <v>1711.1663914321784</v>
      </c>
      <c r="DA177" s="507">
        <f>INPUT!EX240</f>
        <v>1.6132061420533583</v>
      </c>
      <c r="DB177" s="507"/>
      <c r="DC177" s="151">
        <f>INPUT!FP240</f>
        <v>1910.6</v>
      </c>
      <c r="DD177" s="687">
        <f>INPUT!FQ240</f>
        <v>2.5550187869028296</v>
      </c>
      <c r="DE177" s="151">
        <f>INPUT!FR240</f>
        <v>3255.6</v>
      </c>
      <c r="DF177" s="687">
        <f>INPUT!FS240</f>
        <v>70.396734010258569</v>
      </c>
      <c r="DG177" s="151">
        <f>INPUT!FT240</f>
        <v>4052.8</v>
      </c>
      <c r="DH177" s="687">
        <f>INPUT!FU240</f>
        <v>24.487037719621576</v>
      </c>
      <c r="DI177" s="151">
        <f>INPUT!FV240</f>
        <v>4255.7</v>
      </c>
      <c r="DJ177" s="687">
        <f>INPUT!FW240</f>
        <v>5.0064153178049686</v>
      </c>
      <c r="DK177" s="151">
        <f>INPUT!FX240</f>
        <v>4293.3999999999996</v>
      </c>
      <c r="DL177" s="507">
        <f>INPUT!FY240</f>
        <v>0.88587071457104649</v>
      </c>
      <c r="DM177" s="151">
        <f>INPUT!FZ240</f>
        <v>4589.2999999999993</v>
      </c>
      <c r="DN177" s="507">
        <f>INPUT!GA240</f>
        <v>6.8919737271160297</v>
      </c>
      <c r="DO177" s="151">
        <f>INPUT!GB240</f>
        <v>4738.3</v>
      </c>
      <c r="DP177" s="507">
        <f>INPUT!GC240</f>
        <v>3.2466825005992295</v>
      </c>
      <c r="DQ177" s="151">
        <f>INPUT!GD240</f>
        <v>5055</v>
      </c>
      <c r="DR177" s="507">
        <f>INPUT!GE240</f>
        <v>6.6838317540045988</v>
      </c>
      <c r="DS177" s="151">
        <f>INPUT!GF240</f>
        <v>5170</v>
      </c>
      <c r="DT177" s="507">
        <f>INPUT!GG240</f>
        <v>2.2749752720079064</v>
      </c>
      <c r="DU177" s="151">
        <f>INPUT!GH240</f>
        <v>6004</v>
      </c>
      <c r="DV177" s="507">
        <f>INPUT!GI240</f>
        <v>16.131528046421661</v>
      </c>
      <c r="DW177" s="151">
        <f>INPUT!GJ240</f>
        <v>5950</v>
      </c>
      <c r="DX177" s="507">
        <f>INPUT!GK240</f>
        <v>-0.89940039973350761</v>
      </c>
      <c r="DY177" s="151">
        <f>INPUT!GL240</f>
        <v>6246</v>
      </c>
      <c r="DZ177" s="507">
        <f>INPUT!GM240</f>
        <v>4.9747899159663822</v>
      </c>
      <c r="EA177" s="151">
        <f>INPUT!GN240</f>
        <v>6559</v>
      </c>
      <c r="EB177" s="507">
        <f>INPUT!GO240</f>
        <v>5.0112071725904483</v>
      </c>
      <c r="EC177" s="151">
        <f>INPUT!GP240</f>
        <v>6767.7207027985532</v>
      </c>
      <c r="ED177" s="507">
        <f>INPUT!GQ240</f>
        <v>3.1822031224051361</v>
      </c>
      <c r="EE177" s="151">
        <f>INPUT!GR240</f>
        <v>6975.9489252621988</v>
      </c>
      <c r="EF177" s="507">
        <f>INPUT!GS240</f>
        <v>3.0767851039943173</v>
      </c>
      <c r="EG177" s="151">
        <f>INPUT!GT240</f>
        <v>7177.0859860213332</v>
      </c>
      <c r="EH177" s="507">
        <f>INPUT!GU240</f>
        <v>2.883293196582204</v>
      </c>
      <c r="EI177" s="151">
        <f>INPUT!GV240</f>
        <v>7390.4205868411864</v>
      </c>
      <c r="EJ177" s="507">
        <f>INPUT!GW240</f>
        <v>2.972440364172324</v>
      </c>
      <c r="EK177" s="151">
        <f>INPUT!GX240</f>
        <v>7616.4914187356562</v>
      </c>
      <c r="EL177" s="507">
        <f>INPUT!GY240</f>
        <v>3.0589711267176689</v>
      </c>
      <c r="EM177" s="687">
        <f>INPUT!GZ240</f>
        <v>3.0346891621191974</v>
      </c>
    </row>
    <row r="178" spans="1:143" ht="12.75" hidden="1" customHeight="1" outlineLevel="1" x14ac:dyDescent="0.2">
      <c r="A178" s="689"/>
      <c r="B178" s="16"/>
      <c r="C178" s="507"/>
      <c r="D178" s="16"/>
      <c r="E178" s="687"/>
      <c r="F178" s="16"/>
      <c r="G178" s="687"/>
      <c r="H178" s="16"/>
      <c r="I178" s="687"/>
      <c r="J178" s="16"/>
      <c r="K178" s="687"/>
      <c r="L178" s="16"/>
      <c r="M178" s="687"/>
      <c r="N178" s="16"/>
      <c r="O178" s="687"/>
      <c r="P178" s="16"/>
      <c r="Q178" s="687"/>
      <c r="R178" s="16"/>
      <c r="S178" s="687"/>
      <c r="T178" s="16"/>
      <c r="U178" s="687"/>
      <c r="V178" s="16"/>
      <c r="W178" s="687"/>
      <c r="X178" s="16"/>
      <c r="Y178" s="687"/>
      <c r="Z178" s="16"/>
      <c r="AA178" s="122"/>
      <c r="AB178" s="16"/>
      <c r="AC178" s="687"/>
      <c r="AD178" s="16"/>
      <c r="AE178" s="687"/>
      <c r="AF178" s="16"/>
      <c r="AG178" s="687"/>
      <c r="AH178" s="16"/>
      <c r="AI178" s="507"/>
      <c r="AJ178" s="16"/>
      <c r="AK178" s="507"/>
      <c r="AL178" s="16"/>
      <c r="AM178" s="507"/>
      <c r="AN178" s="16"/>
      <c r="AO178" s="507"/>
      <c r="AP178" s="16"/>
      <c r="AQ178" s="507"/>
      <c r="AR178" s="16"/>
      <c r="AS178" s="507"/>
      <c r="AT178" s="16"/>
      <c r="AU178" s="507"/>
      <c r="AV178" s="16"/>
      <c r="AW178" s="507"/>
      <c r="AX178" s="16"/>
      <c r="AY178" s="507"/>
      <c r="AZ178" s="16"/>
      <c r="BA178" s="507"/>
      <c r="BB178" s="16"/>
      <c r="BC178" s="507"/>
      <c r="BD178" s="16"/>
      <c r="BE178" s="507"/>
      <c r="BF178" s="16"/>
      <c r="BG178" s="507"/>
      <c r="BH178" s="16"/>
      <c r="BI178" s="507"/>
      <c r="BJ178" s="16"/>
      <c r="BK178" s="507"/>
      <c r="BL178" s="16"/>
      <c r="BM178" s="507"/>
      <c r="BN178" s="16"/>
      <c r="BO178" s="507"/>
      <c r="BP178" s="16"/>
      <c r="BQ178" s="507"/>
      <c r="BR178" s="16"/>
      <c r="BS178" s="507"/>
      <c r="BT178" s="16"/>
      <c r="BU178" s="507"/>
      <c r="BV178" s="16"/>
      <c r="BW178" s="507"/>
      <c r="BX178" s="16"/>
      <c r="BY178" s="507"/>
      <c r="BZ178" s="16"/>
      <c r="CA178" s="507"/>
      <c r="CB178" s="16"/>
      <c r="CC178" s="507"/>
      <c r="CD178" s="16"/>
      <c r="CE178" s="507"/>
      <c r="CF178" s="16"/>
      <c r="CG178" s="507"/>
      <c r="CH178" s="16"/>
      <c r="CI178" s="507"/>
      <c r="CJ178" s="16"/>
      <c r="CK178" s="507"/>
      <c r="CL178" s="16"/>
      <c r="CM178" s="507"/>
      <c r="CN178" s="16"/>
      <c r="CO178" s="507"/>
      <c r="CP178" s="16"/>
      <c r="CQ178" s="507"/>
      <c r="CR178" s="16"/>
      <c r="CS178" s="507"/>
      <c r="CT178" s="16"/>
      <c r="CU178" s="507"/>
      <c r="CV178" s="16"/>
      <c r="CW178" s="507"/>
      <c r="CX178" s="16"/>
      <c r="CY178" s="507"/>
      <c r="CZ178" s="16"/>
      <c r="DA178" s="507"/>
      <c r="DB178" s="507"/>
      <c r="DC178" s="16"/>
      <c r="DD178" s="687"/>
      <c r="DE178" s="16"/>
      <c r="DF178" s="687"/>
      <c r="DG178" s="16"/>
      <c r="DH178" s="687"/>
      <c r="DI178" s="16"/>
      <c r="DJ178" s="687"/>
      <c r="DK178" s="16"/>
      <c r="DL178" s="507"/>
      <c r="DM178" s="16"/>
      <c r="DN178" s="507"/>
      <c r="DO178" s="16"/>
      <c r="DP178" s="507"/>
      <c r="DQ178" s="16"/>
      <c r="DR178" s="507"/>
      <c r="DS178" s="16"/>
      <c r="DT178" s="507"/>
      <c r="DU178" s="16"/>
      <c r="DV178" s="507"/>
      <c r="DW178" s="16"/>
      <c r="DX178" s="507"/>
      <c r="DY178" s="16"/>
      <c r="DZ178" s="507"/>
      <c r="EA178" s="16"/>
      <c r="EB178" s="507"/>
      <c r="EC178" s="16"/>
      <c r="ED178" s="507"/>
      <c r="EE178" s="16"/>
      <c r="EF178" s="507"/>
      <c r="EG178" s="16"/>
      <c r="EH178" s="507"/>
      <c r="EI178" s="16"/>
      <c r="EJ178" s="507"/>
      <c r="EK178" s="16"/>
      <c r="EL178" s="507"/>
      <c r="EM178" s="687"/>
    </row>
    <row r="179" spans="1:143" ht="12.75" hidden="1" customHeight="1" outlineLevel="1" x14ac:dyDescent="0.2">
      <c r="A179" s="700" t="s">
        <v>113</v>
      </c>
      <c r="B179" s="16"/>
      <c r="C179" s="507"/>
      <c r="D179" s="16"/>
      <c r="E179" s="687"/>
      <c r="F179" s="16"/>
      <c r="G179" s="687"/>
      <c r="H179" s="16"/>
      <c r="I179" s="687"/>
      <c r="J179" s="16"/>
      <c r="K179" s="687"/>
      <c r="L179" s="16"/>
      <c r="M179" s="687"/>
      <c r="N179" s="16"/>
      <c r="O179" s="687"/>
      <c r="P179" s="16"/>
      <c r="Q179" s="687"/>
      <c r="R179" s="16"/>
      <c r="S179" s="687"/>
      <c r="T179" s="16"/>
      <c r="U179" s="687"/>
      <c r="V179" s="16"/>
      <c r="W179" s="687"/>
      <c r="X179" s="16"/>
      <c r="Y179" s="687"/>
      <c r="Z179" s="16"/>
      <c r="AA179" s="122"/>
      <c r="AB179" s="16"/>
      <c r="AC179" s="687"/>
      <c r="AD179" s="16"/>
      <c r="AE179" s="687"/>
      <c r="AF179" s="16"/>
      <c r="AG179" s="687"/>
      <c r="AH179" s="16"/>
      <c r="AI179" s="507"/>
      <c r="AJ179" s="16"/>
      <c r="AK179" s="507"/>
      <c r="AL179" s="16"/>
      <c r="AM179" s="507"/>
      <c r="AN179" s="16"/>
      <c r="AO179" s="507"/>
      <c r="AP179" s="16"/>
      <c r="AQ179" s="507"/>
      <c r="AR179" s="16"/>
      <c r="AS179" s="507"/>
      <c r="AT179" s="16"/>
      <c r="AU179" s="507"/>
      <c r="AV179" s="16"/>
      <c r="AW179" s="507"/>
      <c r="AX179" s="16"/>
      <c r="AY179" s="507"/>
      <c r="AZ179" s="16"/>
      <c r="BA179" s="507"/>
      <c r="BB179" s="16"/>
      <c r="BC179" s="507"/>
      <c r="BD179" s="16"/>
      <c r="BE179" s="507"/>
      <c r="BF179" s="16"/>
      <c r="BG179" s="507"/>
      <c r="BH179" s="16"/>
      <c r="BI179" s="507"/>
      <c r="BJ179" s="16"/>
      <c r="BK179" s="507"/>
      <c r="BL179" s="16"/>
      <c r="BM179" s="507"/>
      <c r="BN179" s="16"/>
      <c r="BO179" s="507"/>
      <c r="BP179" s="16"/>
      <c r="BQ179" s="507"/>
      <c r="BR179" s="16"/>
      <c r="BS179" s="507"/>
      <c r="BT179" s="16"/>
      <c r="BU179" s="507"/>
      <c r="BV179" s="16"/>
      <c r="BW179" s="507"/>
      <c r="BX179" s="16"/>
      <c r="BY179" s="507"/>
      <c r="BZ179" s="16"/>
      <c r="CA179" s="507"/>
      <c r="CB179" s="16"/>
      <c r="CC179" s="507"/>
      <c r="CD179" s="16"/>
      <c r="CE179" s="507"/>
      <c r="CF179" s="16"/>
      <c r="CG179" s="507"/>
      <c r="CH179" s="16"/>
      <c r="CI179" s="507"/>
      <c r="CJ179" s="16"/>
      <c r="CK179" s="507"/>
      <c r="CL179" s="16"/>
      <c r="CM179" s="507"/>
      <c r="CN179" s="16"/>
      <c r="CO179" s="507"/>
      <c r="CP179" s="16"/>
      <c r="CQ179" s="507"/>
      <c r="CR179" s="16"/>
      <c r="CS179" s="507"/>
      <c r="CT179" s="16"/>
      <c r="CU179" s="507"/>
      <c r="CV179" s="16"/>
      <c r="CW179" s="507"/>
      <c r="CX179" s="16"/>
      <c r="CY179" s="507"/>
      <c r="CZ179" s="16"/>
      <c r="DA179" s="507"/>
      <c r="DB179" s="507"/>
      <c r="DC179" s="16"/>
      <c r="DD179" s="687"/>
      <c r="DE179" s="16"/>
      <c r="DF179" s="687"/>
      <c r="DG179" s="16"/>
      <c r="DH179" s="687"/>
      <c r="DI179" s="16"/>
      <c r="DJ179" s="687"/>
      <c r="DK179" s="16"/>
      <c r="DL179" s="507"/>
      <c r="DM179" s="16"/>
      <c r="DN179" s="507"/>
      <c r="DO179" s="16"/>
      <c r="DP179" s="507"/>
      <c r="DQ179" s="16"/>
      <c r="DR179" s="507"/>
      <c r="DS179" s="16"/>
      <c r="DT179" s="507"/>
      <c r="DU179" s="16"/>
      <c r="DV179" s="507"/>
      <c r="DW179" s="16"/>
      <c r="DX179" s="507"/>
      <c r="DY179" s="16"/>
      <c r="DZ179" s="507"/>
      <c r="EA179" s="16"/>
      <c r="EB179" s="507"/>
      <c r="EC179" s="16"/>
      <c r="ED179" s="507"/>
      <c r="EE179" s="16"/>
      <c r="EF179" s="507"/>
      <c r="EG179" s="16"/>
      <c r="EH179" s="507"/>
      <c r="EI179" s="16"/>
      <c r="EJ179" s="507"/>
      <c r="EK179" s="16"/>
      <c r="EL179" s="507"/>
      <c r="EM179" s="687"/>
    </row>
    <row r="180" spans="1:143" ht="12.75" hidden="1" customHeight="1" outlineLevel="1" x14ac:dyDescent="0.2">
      <c r="A180" s="701" t="str">
        <f>INPUT!B256</f>
        <v>Insurance Benefits</v>
      </c>
      <c r="B180" s="151">
        <f>INPUT!AY256</f>
        <v>120.2</v>
      </c>
      <c r="C180" s="507">
        <f>INPUT!AZ256</f>
        <v>5.6239015817223237</v>
      </c>
      <c r="D180" s="151">
        <f>INPUT!BA256</f>
        <v>256</v>
      </c>
      <c r="E180" s="687" t="str">
        <f>INPUT!BB256</f>
        <v>NM</v>
      </c>
      <c r="F180" s="151">
        <f>INPUT!BC256</f>
        <v>261.10000000000002</v>
      </c>
      <c r="G180" s="687" t="str">
        <f>INPUT!BD256</f>
        <v>NM</v>
      </c>
      <c r="H180" s="151">
        <f>INPUT!BE256</f>
        <v>249.1</v>
      </c>
      <c r="I180" s="687" t="str">
        <f>INPUT!BF256</f>
        <v>NM</v>
      </c>
      <c r="J180" s="151">
        <f>INPUT!BG256</f>
        <v>246</v>
      </c>
      <c r="K180" s="687" t="str">
        <f>INPUT!BH256</f>
        <v>NM</v>
      </c>
      <c r="L180" s="151">
        <f>INPUT!BI256</f>
        <v>263</v>
      </c>
      <c r="M180" s="687">
        <f>INPUT!BJ256</f>
        <v>2.734375</v>
      </c>
      <c r="N180" s="151">
        <f>INPUT!BK256</f>
        <v>265.60000000000002</v>
      </c>
      <c r="O180" s="687">
        <f>INPUT!BL256</f>
        <v>1.7234775947912784</v>
      </c>
      <c r="P180" s="151">
        <f>INPUT!BM256</f>
        <v>308.89999999999998</v>
      </c>
      <c r="Q180" s="687">
        <f>INPUT!BN256</f>
        <v>24.006423123243682</v>
      </c>
      <c r="R180" s="151">
        <f>INPUT!BO256</f>
        <v>298.60000000000002</v>
      </c>
      <c r="S180" s="687">
        <f>INPUT!BP256</f>
        <v>21.382113821138216</v>
      </c>
      <c r="T180" s="151">
        <f>INPUT!BQ256</f>
        <v>304.10000000000002</v>
      </c>
      <c r="U180" s="687">
        <f>INPUT!BR256</f>
        <v>15.627376425855521</v>
      </c>
      <c r="V180" s="151">
        <f>INPUT!BS256</f>
        <v>397.7</v>
      </c>
      <c r="W180" s="687">
        <f>INPUT!BT256</f>
        <v>49.736445783132524</v>
      </c>
      <c r="X180" s="151">
        <f>INPUT!BU256</f>
        <v>362.5</v>
      </c>
      <c r="Y180" s="687">
        <f>INPUT!BV256</f>
        <v>17.351893816769181</v>
      </c>
      <c r="Z180" s="151">
        <f>INPUT!BW256</f>
        <v>355.7</v>
      </c>
      <c r="AA180" s="122">
        <f>INPUT!BX256</f>
        <v>19.122572002679149</v>
      </c>
      <c r="AB180" s="151">
        <f>INPUT!BY256</f>
        <v>323</v>
      </c>
      <c r="AC180" s="687">
        <f>INPUT!BZ256</f>
        <v>6.2150608352515624</v>
      </c>
      <c r="AD180" s="151">
        <f>INPUT!CA256</f>
        <v>320.7</v>
      </c>
      <c r="AE180" s="687">
        <f>INPUT!CB256</f>
        <v>-19.361327633894899</v>
      </c>
      <c r="AF180" s="151">
        <f>INPUT!CC256</f>
        <v>374.6</v>
      </c>
      <c r="AG180" s="687">
        <f>INPUT!CD256</f>
        <v>3.3379310344827662</v>
      </c>
      <c r="AH180" s="151">
        <f>INPUT!CE256</f>
        <v>398.8</v>
      </c>
      <c r="AI180" s="507">
        <f>INPUT!CF256</f>
        <v>12.116952488051735</v>
      </c>
      <c r="AJ180" s="151">
        <f>INPUT!CG256</f>
        <v>374.2</v>
      </c>
      <c r="AK180" s="507">
        <f>INPUT!CH256</f>
        <v>15.851393188854491</v>
      </c>
      <c r="AL180" s="151">
        <f>INPUT!CI256</f>
        <v>561</v>
      </c>
      <c r="AM180" s="507">
        <f>INPUT!CJ256</f>
        <v>74.929840972871858</v>
      </c>
      <c r="AN180" s="151">
        <f>INPUT!CK256</f>
        <v>400.7</v>
      </c>
      <c r="AO180" s="507">
        <f>INPUT!CL256</f>
        <v>6.9674319273892005</v>
      </c>
      <c r="AP180" s="151">
        <f>INPUT!CM256</f>
        <v>447</v>
      </c>
      <c r="AQ180" s="507">
        <f>INPUT!CN256</f>
        <v>12.086258776328984</v>
      </c>
      <c r="AR180" s="151">
        <f>INPUT!CO256</f>
        <v>609.4</v>
      </c>
      <c r="AS180" s="507">
        <f>INPUT!CP256</f>
        <v>62.854088722608225</v>
      </c>
      <c r="AT180" s="151">
        <f>INPUT!CQ256</f>
        <v>152.5</v>
      </c>
      <c r="AU180" s="507" t="str">
        <f>INPUT!CR256</f>
        <v>NM</v>
      </c>
      <c r="AV180" s="151">
        <f>INPUT!CS256</f>
        <v>456</v>
      </c>
      <c r="AW180" s="507">
        <f>INPUT!CT256</f>
        <v>13.800848515098574</v>
      </c>
      <c r="AX180" s="151">
        <f>INPUT!CU256</f>
        <v>469</v>
      </c>
      <c r="AY180" s="507">
        <f>INPUT!CV256</f>
        <v>4.9217002237136542</v>
      </c>
      <c r="AZ180" s="151">
        <f>INPUT!CW256</f>
        <v>474</v>
      </c>
      <c r="BA180" s="507">
        <f>INPUT!CX256</f>
        <v>-22.218575648178529</v>
      </c>
      <c r="BB180" s="151">
        <f>INPUT!CY256</f>
        <v>295</v>
      </c>
      <c r="BC180" s="507">
        <f>INPUT!CZ256</f>
        <v>93.442622950819668</v>
      </c>
      <c r="BD180" s="151">
        <f>INPUT!DA256</f>
        <v>486</v>
      </c>
      <c r="BE180" s="507">
        <f>INPUT!DB256</f>
        <v>6.578947368421062</v>
      </c>
      <c r="BF180" s="151">
        <f>INPUT!DC256</f>
        <v>505</v>
      </c>
      <c r="BG180" s="507">
        <f>INPUT!DD256</f>
        <v>7.6759061833688635</v>
      </c>
      <c r="BH180" s="151">
        <f>INPUT!DE256</f>
        <v>500</v>
      </c>
      <c r="BI180" s="507">
        <f>INPUT!DF256</f>
        <v>5.4852320675105481</v>
      </c>
      <c r="BJ180" s="151">
        <f>INPUT!DG256</f>
        <v>476</v>
      </c>
      <c r="BK180" s="507">
        <f>INPUT!DH256</f>
        <v>61.355932203389841</v>
      </c>
      <c r="BL180" s="151">
        <f>INPUT!DI256</f>
        <v>496</v>
      </c>
      <c r="BM180" s="507">
        <f>INPUT!DJ256</f>
        <v>2.0576131687242816</v>
      </c>
      <c r="BN180" s="151">
        <f>INPUT!DK256</f>
        <v>541</v>
      </c>
      <c r="BO180" s="507">
        <f>INPUT!DL256</f>
        <v>7.128712871287135</v>
      </c>
      <c r="BP180" s="151">
        <f>INPUT!DM256</f>
        <v>519</v>
      </c>
      <c r="BQ180" s="507">
        <f>INPUT!DN256</f>
        <v>3.8000000000000034</v>
      </c>
      <c r="BR180" s="151">
        <f>INPUT!DO256</f>
        <v>550</v>
      </c>
      <c r="BS180" s="507">
        <f>INPUT!DP256</f>
        <v>15.546218487394947</v>
      </c>
      <c r="BT180" s="151">
        <f>INPUT!DQ256</f>
        <v>825</v>
      </c>
      <c r="BU180" s="507">
        <f>INPUT!DR256</f>
        <v>66.33064516129032</v>
      </c>
      <c r="BV180" s="151">
        <f>INPUT!DS256</f>
        <v>650</v>
      </c>
      <c r="BW180" s="507">
        <f>INPUT!DT256</f>
        <v>20.147874306839199</v>
      </c>
      <c r="BX180" s="151">
        <f>INPUT!DU256</f>
        <v>673</v>
      </c>
      <c r="BY180" s="507">
        <f>INPUT!DV256</f>
        <v>29.672447013487478</v>
      </c>
      <c r="BZ180" s="151">
        <f>INPUT!DW256</f>
        <v>578</v>
      </c>
      <c r="CA180" s="507">
        <f>INPUT!DX256</f>
        <v>578</v>
      </c>
      <c r="CB180" s="151">
        <f>INPUT!DY256</f>
        <v>661</v>
      </c>
      <c r="CC180" s="507">
        <f>INPUT!DZ256</f>
        <v>-19.878787878787875</v>
      </c>
      <c r="CD180" s="151">
        <f>INPUT!EA256</f>
        <v>740</v>
      </c>
      <c r="CE180" s="507">
        <f>INPUT!EB256</f>
        <v>13.846153846153841</v>
      </c>
      <c r="CF180" s="151">
        <f>INPUT!EC256</f>
        <v>708</v>
      </c>
      <c r="CG180" s="507">
        <f>INPUT!ED256</f>
        <v>5.2005943536404198</v>
      </c>
      <c r="CH180" s="151">
        <f>INPUT!EE256</f>
        <v>522</v>
      </c>
      <c r="CI180" s="507">
        <f>INPUT!EF256</f>
        <v>-9.6885813148788973</v>
      </c>
      <c r="CJ180" s="151">
        <f>INPUT!EG256</f>
        <v>707</v>
      </c>
      <c r="CK180" s="507">
        <f>INPUT!EH256</f>
        <v>6.9591527987897139</v>
      </c>
      <c r="CL180" s="151">
        <f>INPUT!EI256</f>
        <v>797</v>
      </c>
      <c r="CM180" s="507">
        <f>INPUT!EJ256</f>
        <v>7.7027027027027017</v>
      </c>
      <c r="CN180" s="151">
        <f>INPUT!EK256</f>
        <v>807</v>
      </c>
      <c r="CO180" s="507">
        <f>INPUT!EL256</f>
        <v>13.983050847457633</v>
      </c>
      <c r="CP180" s="151">
        <f>INPUT!EM256</f>
        <v>808</v>
      </c>
      <c r="CQ180" s="507">
        <f>INPUT!EN256</f>
        <v>54.78927203065134</v>
      </c>
      <c r="CR180" s="151">
        <f>INPUT!EO256</f>
        <v>779</v>
      </c>
      <c r="CS180" s="507">
        <f>INPUT!EP256</f>
        <v>10.18387553041018</v>
      </c>
      <c r="CT180" s="151">
        <f>INPUT!EQ256</f>
        <v>840.81060681875317</v>
      </c>
      <c r="CU180" s="507">
        <f>INPUT!ER256</f>
        <v>5.4969393750003981</v>
      </c>
      <c r="CV180" s="151">
        <f>INPUT!ES256</f>
        <v>825.93739340437969</v>
      </c>
      <c r="CW180" s="507">
        <f>INPUT!ET256</f>
        <v>2.346641066218047</v>
      </c>
      <c r="CX180" s="151">
        <f>INPUT!EU256</f>
        <v>833.63350111815328</v>
      </c>
      <c r="CY180" s="507">
        <f>INPUT!EV256</f>
        <v>3.1724630096724438</v>
      </c>
      <c r="CZ180" s="151">
        <f>INPUT!EW256</f>
        <v>833.55132094599401</v>
      </c>
      <c r="DA180" s="507">
        <f>INPUT!EX256</f>
        <v>7.0027369635422332</v>
      </c>
      <c r="DB180" s="507"/>
      <c r="DC180" s="151">
        <f>INPUT!FP256</f>
        <v>461.4</v>
      </c>
      <c r="DD180" s="687" t="str">
        <f>INPUT!FQ256</f>
        <v>NM</v>
      </c>
      <c r="DE180" s="151">
        <f>INPUT!FR256</f>
        <v>886.4</v>
      </c>
      <c r="DF180" s="687">
        <f>INPUT!FS256</f>
        <v>92.110966623320351</v>
      </c>
      <c r="DG180" s="151">
        <f>INPUT!FT256</f>
        <v>1083.5</v>
      </c>
      <c r="DH180" s="687">
        <f>INPUT!FU256</f>
        <v>22.236010830324915</v>
      </c>
      <c r="DI180" s="151">
        <f>INPUT!FV256</f>
        <v>1362.9</v>
      </c>
      <c r="DJ180" s="687">
        <f>INPUT!FW256</f>
        <v>25.786802030456869</v>
      </c>
      <c r="DK180" s="151">
        <f>INPUT!FX256</f>
        <v>1374</v>
      </c>
      <c r="DL180" s="507">
        <f>INPUT!FY256</f>
        <v>0.81443979749062922</v>
      </c>
      <c r="DM180" s="151">
        <f>INPUT!FZ256</f>
        <v>1734.7</v>
      </c>
      <c r="DN180" s="507">
        <f>INPUT!GA256</f>
        <v>26.251819505094609</v>
      </c>
      <c r="DO180" s="151">
        <f>INPUT!GB256</f>
        <v>1664.9</v>
      </c>
      <c r="DP180" s="507">
        <f>INPUT!GC256</f>
        <v>-4.0237505044099837</v>
      </c>
      <c r="DQ180" s="151">
        <f>INPUT!GD256</f>
        <v>1724</v>
      </c>
      <c r="DR180" s="507">
        <f>INPUT!GE256</f>
        <v>3.5497627485134187</v>
      </c>
      <c r="DS180" s="151">
        <f>INPUT!GF256</f>
        <v>1977</v>
      </c>
      <c r="DT180" s="507">
        <f>INPUT!GG256</f>
        <v>14.675174013921112</v>
      </c>
      <c r="DU180" s="151">
        <f>INPUT!GH256</f>
        <v>2435</v>
      </c>
      <c r="DV180" s="507">
        <f>INPUT!GI256</f>
        <v>23.166413758219527</v>
      </c>
      <c r="DW180" s="151">
        <f>INPUT!GJ256</f>
        <v>2562</v>
      </c>
      <c r="DX180" s="507">
        <f>INPUT!GK256</f>
        <v>5.2156057494866515</v>
      </c>
      <c r="DY180" s="151">
        <f>INPUT!GL256</f>
        <v>2677</v>
      </c>
      <c r="DZ180" s="507">
        <f>INPUT!GM256</f>
        <v>4.4886807181889088</v>
      </c>
      <c r="EA180" s="151">
        <f>INPUT!GN256</f>
        <v>3191</v>
      </c>
      <c r="EB180" s="507">
        <f>INPUT!GO256</f>
        <v>19.200597683974596</v>
      </c>
      <c r="EC180" s="151">
        <f>INPUT!GP256</f>
        <v>3333.93282228728</v>
      </c>
      <c r="ED180" s="507">
        <f>INPUT!GQ256</f>
        <v>4.4792485831175233</v>
      </c>
      <c r="EE180" s="151">
        <f>INPUT!GR256</f>
        <v>3452.9652188844116</v>
      </c>
      <c r="EF180" s="507">
        <f>INPUT!GS256</f>
        <v>3.5703297859333682</v>
      </c>
      <c r="EG180" s="151">
        <f>INPUT!GT256</f>
        <v>3560.8857753373923</v>
      </c>
      <c r="EH180" s="507">
        <f>INPUT!GU256</f>
        <v>3.125445801271276</v>
      </c>
      <c r="EI180" s="151">
        <f>INPUT!GV256</f>
        <v>3676.5117909948667</v>
      </c>
      <c r="EJ180" s="507">
        <f>INPUT!GW256</f>
        <v>3.2471138630252527</v>
      </c>
      <c r="EK180" s="151">
        <f>INPUT!GX256</f>
        <v>3800.176466142274</v>
      </c>
      <c r="EL180" s="507">
        <f>INPUT!GY256</f>
        <v>3.3636414671729842</v>
      </c>
      <c r="EM180" s="687">
        <f>INPUT!GZ256</f>
        <v>3.5560298412951497</v>
      </c>
    </row>
    <row r="181" spans="1:143" ht="12.75" hidden="1" customHeight="1" outlineLevel="1" x14ac:dyDescent="0.2">
      <c r="A181" s="701" t="str">
        <f>INPUT!B257</f>
        <v>Interest Credited</v>
      </c>
      <c r="B181" s="151">
        <f>INPUT!AY257</f>
        <v>142.19999999999999</v>
      </c>
      <c r="C181" s="507">
        <f>INPUT!AZ257</f>
        <v>2.3758099352051643</v>
      </c>
      <c r="D181" s="151">
        <f>INPUT!BA257</f>
        <v>241.5</v>
      </c>
      <c r="E181" s="687">
        <f>INPUT!BB257</f>
        <v>75</v>
      </c>
      <c r="F181" s="151">
        <f>INPUT!BC257</f>
        <v>247.1</v>
      </c>
      <c r="G181" s="687">
        <f>INPUT!BD257</f>
        <v>75.372604684173169</v>
      </c>
      <c r="H181" s="151">
        <f>INPUT!BE257</f>
        <v>251.3</v>
      </c>
      <c r="I181" s="687">
        <f>INPUT!BF257</f>
        <v>76.847290640394107</v>
      </c>
      <c r="J181" s="151">
        <f>INPUT!BG257</f>
        <v>251.7</v>
      </c>
      <c r="K181" s="687">
        <f>INPUT!BH257</f>
        <v>77.004219409282697</v>
      </c>
      <c r="L181" s="151">
        <f>INPUT!BI257</f>
        <v>254</v>
      </c>
      <c r="M181" s="687">
        <f>INPUT!BJ257</f>
        <v>5.1759834368529933</v>
      </c>
      <c r="N181" s="151">
        <f>INPUT!BK257</f>
        <v>292.89999999999998</v>
      </c>
      <c r="O181" s="687">
        <f>INPUT!BL257</f>
        <v>18.535006070416827</v>
      </c>
      <c r="P181" s="151">
        <f>INPUT!BM257</f>
        <v>298.2</v>
      </c>
      <c r="Q181" s="687">
        <f>INPUT!BN257</f>
        <v>18.662952646239539</v>
      </c>
      <c r="R181" s="151">
        <f>INPUT!BO257</f>
        <v>296.5</v>
      </c>
      <c r="S181" s="687">
        <f>INPUT!BP257</f>
        <v>17.798967024235203</v>
      </c>
      <c r="T181" s="151">
        <f>INPUT!BQ257</f>
        <v>300.60000000000002</v>
      </c>
      <c r="U181" s="687">
        <f>INPUT!BR257</f>
        <v>18.346456692913392</v>
      </c>
      <c r="V181" s="151">
        <f>INPUT!BS257</f>
        <v>304.7</v>
      </c>
      <c r="W181" s="687">
        <f>INPUT!BT257</f>
        <v>4.0286787299419702</v>
      </c>
      <c r="X181" s="151">
        <f>INPUT!BU257</f>
        <v>300.7</v>
      </c>
      <c r="Y181" s="687">
        <f>INPUT!BV257</f>
        <v>0.83836351441985979</v>
      </c>
      <c r="Z181" s="151">
        <f>INPUT!BW257</f>
        <v>302.8</v>
      </c>
      <c r="AA181" s="122">
        <f>INPUT!BX257</f>
        <v>2.1247892074198971</v>
      </c>
      <c r="AB181" s="151">
        <f>INPUT!BY257</f>
        <v>290.8</v>
      </c>
      <c r="AC181" s="687">
        <f>INPUT!BZ257</f>
        <v>-3.2601463739188374</v>
      </c>
      <c r="AD181" s="151">
        <f>INPUT!CA257</f>
        <v>292.89999999999998</v>
      </c>
      <c r="AE181" s="687">
        <f>INPUT!CB257</f>
        <v>-3.872661634394492</v>
      </c>
      <c r="AF181" s="151">
        <f>INPUT!CC257</f>
        <v>297.7</v>
      </c>
      <c r="AG181" s="687">
        <f>INPUT!CD257</f>
        <v>-0.99767209843698579</v>
      </c>
      <c r="AH181" s="151">
        <f>INPUT!CE257</f>
        <v>296.89999999999998</v>
      </c>
      <c r="AI181" s="507">
        <f>INPUT!CF257</f>
        <v>-1.9484808454425462</v>
      </c>
      <c r="AJ181" s="151">
        <f>INPUT!CG257</f>
        <v>298.8</v>
      </c>
      <c r="AK181" s="507">
        <f>INPUT!CH257</f>
        <v>2.7510316368638321</v>
      </c>
      <c r="AL181" s="151">
        <f>INPUT!CI257</f>
        <v>299.5</v>
      </c>
      <c r="AM181" s="507">
        <f>INPUT!CJ257</f>
        <v>2.2533287811539848</v>
      </c>
      <c r="AN181" s="151">
        <f>INPUT!CK257</f>
        <v>302.89999999999998</v>
      </c>
      <c r="AO181" s="507">
        <f>INPUT!CL257</f>
        <v>1.7467248908296984</v>
      </c>
      <c r="AP181" s="151">
        <f>INPUT!CM257</f>
        <v>302</v>
      </c>
      <c r="AQ181" s="507">
        <f>INPUT!CN257</f>
        <v>1.717750084203451</v>
      </c>
      <c r="AR181" s="151">
        <f>INPUT!CO257</f>
        <v>307.5</v>
      </c>
      <c r="AS181" s="507">
        <f>INPUT!CP257</f>
        <v>2.9116465863453733</v>
      </c>
      <c r="AT181" s="151">
        <f>INPUT!CQ257</f>
        <v>311.89999999999998</v>
      </c>
      <c r="AU181" s="507">
        <f>INPUT!CR257</f>
        <v>4.1402337228714448</v>
      </c>
      <c r="AV181" s="151">
        <f>INPUT!CS257</f>
        <v>318</v>
      </c>
      <c r="AW181" s="507">
        <f>INPUT!CT257</f>
        <v>4.9851436117530623</v>
      </c>
      <c r="AX181" s="151">
        <f>INPUT!CU257</f>
        <v>312</v>
      </c>
      <c r="AY181" s="507">
        <f>INPUT!CV257</f>
        <v>3.3112582781456901</v>
      </c>
      <c r="AZ181" s="151">
        <f>INPUT!CW257</f>
        <v>312</v>
      </c>
      <c r="BA181" s="507">
        <f>INPUT!CX257</f>
        <v>1.4634146341463428</v>
      </c>
      <c r="BB181" s="151">
        <f>INPUT!CY257</f>
        <v>320</v>
      </c>
      <c r="BC181" s="507">
        <f>INPUT!CZ257</f>
        <v>2.5969862135299948</v>
      </c>
      <c r="BD181" s="151">
        <f>INPUT!DA257</f>
        <v>316</v>
      </c>
      <c r="BE181" s="507">
        <f>INPUT!DB257</f>
        <v>-0.62893081761006275</v>
      </c>
      <c r="BF181" s="151">
        <f>INPUT!DC257</f>
        <v>320</v>
      </c>
      <c r="BG181" s="507">
        <f>INPUT!DD257</f>
        <v>2.564102564102555</v>
      </c>
      <c r="BH181" s="151">
        <f>INPUT!DE257</f>
        <v>325</v>
      </c>
      <c r="BI181" s="507">
        <f>INPUT!DF257</f>
        <v>4.1666666666666741</v>
      </c>
      <c r="BJ181" s="151">
        <f>INPUT!DG257</f>
        <v>329</v>
      </c>
      <c r="BK181" s="507">
        <f>INPUT!DH257</f>
        <v>2.8124999999999956</v>
      </c>
      <c r="BL181" s="151">
        <f>INPUT!DI257</f>
        <v>332</v>
      </c>
      <c r="BM181" s="507">
        <f>INPUT!DJ257</f>
        <v>5.0632911392405111</v>
      </c>
      <c r="BN181" s="151">
        <f>INPUT!DK257</f>
        <v>334</v>
      </c>
      <c r="BO181" s="507">
        <f>INPUT!DL257</f>
        <v>4.3749999999999956</v>
      </c>
      <c r="BP181" s="151">
        <f>INPUT!DM257</f>
        <v>337</v>
      </c>
      <c r="BQ181" s="507">
        <f>INPUT!DN257</f>
        <v>3.6923076923076836</v>
      </c>
      <c r="BR181" s="151">
        <f>INPUT!DO257</f>
        <v>337</v>
      </c>
      <c r="BS181" s="507">
        <f>INPUT!DP257</f>
        <v>2.4316109422492405</v>
      </c>
      <c r="BT181" s="151">
        <f>INPUT!DQ257</f>
        <v>341</v>
      </c>
      <c r="BU181" s="507">
        <f>INPUT!DR257</f>
        <v>2.7108433734939652</v>
      </c>
      <c r="BV181" s="151">
        <f>INPUT!DS257</f>
        <v>338</v>
      </c>
      <c r="BW181" s="507">
        <f>INPUT!DT257</f>
        <v>1.1976047904191711</v>
      </c>
      <c r="BX181" s="151">
        <f>INPUT!DU257</f>
        <v>345</v>
      </c>
      <c r="BY181" s="507">
        <f>INPUT!DV257</f>
        <v>2.3738872403560762</v>
      </c>
      <c r="BZ181" s="151">
        <f>INPUT!DW257</f>
        <v>344</v>
      </c>
      <c r="CA181" s="507">
        <f>INPUT!DX257</f>
        <v>344</v>
      </c>
      <c r="CB181" s="151">
        <f>INPUT!DY257</f>
        <v>352</v>
      </c>
      <c r="CC181" s="507">
        <f>INPUT!DZ257</f>
        <v>3.2258064516129004</v>
      </c>
      <c r="CD181" s="151">
        <f>INPUT!EA257</f>
        <v>348</v>
      </c>
      <c r="CE181" s="507">
        <f>INPUT!EB257</f>
        <v>2.9585798816567976</v>
      </c>
      <c r="CF181" s="151">
        <f>INPUT!EC257</f>
        <v>349</v>
      </c>
      <c r="CG181" s="507">
        <f>INPUT!ED257</f>
        <v>1.1594202898550732</v>
      </c>
      <c r="CH181" s="151">
        <f>INPUT!EE257</f>
        <v>349</v>
      </c>
      <c r="CI181" s="507">
        <f>INPUT!EF257</f>
        <v>1.4534883720930258</v>
      </c>
      <c r="CJ181" s="151">
        <f>INPUT!EG257</f>
        <v>348</v>
      </c>
      <c r="CK181" s="507">
        <f>INPUT!EH257</f>
        <v>-1.1363636363636354</v>
      </c>
      <c r="CL181" s="151">
        <f>INPUT!EI257</f>
        <v>349</v>
      </c>
      <c r="CM181" s="507">
        <f>INPUT!EJ257</f>
        <v>0.28735632183907178</v>
      </c>
      <c r="CN181" s="151">
        <f>INPUT!EK257</f>
        <v>349</v>
      </c>
      <c r="CO181" s="507">
        <f>INPUT!EL257</f>
        <v>0</v>
      </c>
      <c r="CP181" s="151">
        <f>INPUT!EM257</f>
        <v>350</v>
      </c>
      <c r="CQ181" s="507">
        <f>INPUT!EN257</f>
        <v>0.28653295128939771</v>
      </c>
      <c r="CR181" s="151">
        <f>INPUT!EO257</f>
        <v>355</v>
      </c>
      <c r="CS181" s="507">
        <f>INPUT!EP257</f>
        <v>2.0114942528735691</v>
      </c>
      <c r="CT181" s="151">
        <f>INPUT!EQ257</f>
        <v>357.00450703765136</v>
      </c>
      <c r="CU181" s="507">
        <f>INPUT!ER257</f>
        <v>2.2935550251150127</v>
      </c>
      <c r="CV181" s="151">
        <f>INPUT!ES257</f>
        <v>359.17790041538416</v>
      </c>
      <c r="CW181" s="507">
        <f>INPUT!ET257</f>
        <v>2.9163038439496081</v>
      </c>
      <c r="CX181" s="151">
        <f>INPUT!EU257</f>
        <v>361.35101354855328</v>
      </c>
      <c r="CY181" s="507">
        <f>INPUT!EV257</f>
        <v>3.2431467281580861</v>
      </c>
      <c r="CZ181" s="151">
        <f>INPUT!EW257</f>
        <v>363.54489401606111</v>
      </c>
      <c r="DA181" s="507">
        <f>INPUT!EX257</f>
        <v>2.4070123988904513</v>
      </c>
      <c r="DB181" s="507"/>
      <c r="DC181" s="151">
        <f>INPUT!FP257</f>
        <v>559.9</v>
      </c>
      <c r="DD181" s="687" t="str">
        <f>INPUT!FQ257</f>
        <v>NA</v>
      </c>
      <c r="DE181" s="151">
        <f>INPUT!FR257</f>
        <v>882.09999999999991</v>
      </c>
      <c r="DF181" s="687">
        <f>INPUT!FS257</f>
        <v>57.545990355420606</v>
      </c>
      <c r="DG181" s="151">
        <f>INPUT!FT257</f>
        <v>1096.8</v>
      </c>
      <c r="DH181" s="687">
        <f>INPUT!FU257</f>
        <v>24.339644031288987</v>
      </c>
      <c r="DI181" s="151">
        <f>INPUT!FV257</f>
        <v>1202.5</v>
      </c>
      <c r="DJ181" s="687">
        <f>INPUT!FW257</f>
        <v>9.6371261852662435</v>
      </c>
      <c r="DK181" s="151">
        <f>INPUT!FX257</f>
        <v>1184.2</v>
      </c>
      <c r="DL181" s="507">
        <f>INPUT!FY257</f>
        <v>-1.5218295218295208</v>
      </c>
      <c r="DM181" s="151">
        <f>INPUT!FZ257</f>
        <v>1198.0999999999999</v>
      </c>
      <c r="DN181" s="507">
        <f>INPUT!GA257</f>
        <v>1.1737882114507547</v>
      </c>
      <c r="DO181" s="151">
        <f>INPUT!GB257</f>
        <v>1239.4000000000001</v>
      </c>
      <c r="DP181" s="507">
        <f>INPUT!GC257</f>
        <v>3.4471246139721412</v>
      </c>
      <c r="DQ181" s="151">
        <f>INPUT!GD257</f>
        <v>1260</v>
      </c>
      <c r="DR181" s="507">
        <f>INPUT!GE257</f>
        <v>1.6620945618847749</v>
      </c>
      <c r="DS181" s="151">
        <f>INPUT!GF257</f>
        <v>1306</v>
      </c>
      <c r="DT181" s="507">
        <f>INPUT!GG257</f>
        <v>3.65079365079366</v>
      </c>
      <c r="DU181" s="151">
        <f>INPUT!GH257</f>
        <v>1349</v>
      </c>
      <c r="DV181" s="507">
        <f>INPUT!GI257</f>
        <v>3.2924961715160794</v>
      </c>
      <c r="DW181" s="151">
        <f>INPUT!GJ257</f>
        <v>1379</v>
      </c>
      <c r="DX181" s="507">
        <f>INPUT!GK257</f>
        <v>2.2238695329873881</v>
      </c>
      <c r="DY181" s="151">
        <f>INPUT!GL257</f>
        <v>1394</v>
      </c>
      <c r="DZ181" s="507">
        <f>INPUT!GM257</f>
        <v>1.0877447425670761</v>
      </c>
      <c r="EA181" s="151">
        <f>INPUT!GN257</f>
        <v>1403</v>
      </c>
      <c r="EB181" s="507">
        <f>INPUT!GO257</f>
        <v>0.64562410329984665</v>
      </c>
      <c r="EC181" s="151">
        <f>INPUT!GP257</f>
        <v>1441.0783150176499</v>
      </c>
      <c r="ED181" s="507">
        <f>INPUT!GQ257</f>
        <v>2.7140637931325706</v>
      </c>
      <c r="EE181" s="151">
        <f>INPUT!GR257</f>
        <v>1477.2559437556274</v>
      </c>
      <c r="EF181" s="507">
        <f>INPUT!GS257</f>
        <v>2.5104554250082067</v>
      </c>
      <c r="EG181" s="151">
        <f>INPUT!GT257</f>
        <v>1522.1126140829278</v>
      </c>
      <c r="EH181" s="507">
        <f>INPUT!GU257</f>
        <v>3.0364860278213834</v>
      </c>
      <c r="EI181" s="151">
        <f>INPUT!GV257</f>
        <v>1560.8181315599597</v>
      </c>
      <c r="EJ181" s="507">
        <f>INPUT!GW257</f>
        <v>2.5428813294706254</v>
      </c>
      <c r="EK181" s="151">
        <f>INPUT!GX257</f>
        <v>1601.0751912418366</v>
      </c>
      <c r="EL181" s="507">
        <f>INPUT!GY257</f>
        <v>2.5792280899275433</v>
      </c>
      <c r="EM181" s="687">
        <f>INPUT!GZ257</f>
        <v>2.6764421357765134</v>
      </c>
    </row>
    <row r="182" spans="1:143" ht="12.75" hidden="1" customHeight="1" outlineLevel="1" x14ac:dyDescent="0.2">
      <c r="A182" s="701" t="str">
        <f>INPUT!B258</f>
        <v>Net DAC and VOBA Amortization</v>
      </c>
      <c r="B182" s="151">
        <f>INPUT!AY258</f>
        <v>-16.5</v>
      </c>
      <c r="C182" s="507" t="str">
        <f>INPUT!AZ258</f>
        <v>NM</v>
      </c>
      <c r="D182" s="151">
        <f>INPUT!BA258</f>
        <v>-93.100000000000009</v>
      </c>
      <c r="E182" s="687" t="str">
        <f>INPUT!BB258</f>
        <v>NM</v>
      </c>
      <c r="F182" s="151">
        <f>INPUT!BC258</f>
        <v>-110.3</v>
      </c>
      <c r="G182" s="687" t="str">
        <f>INPUT!BD258</f>
        <v>NM</v>
      </c>
      <c r="H182" s="151">
        <f>INPUT!BE258</f>
        <v>-150.80000000000001</v>
      </c>
      <c r="I182" s="687" t="str">
        <f>INPUT!BF258</f>
        <v>NM</v>
      </c>
      <c r="J182" s="151">
        <f>INPUT!BG258</f>
        <v>-149.79999999999998</v>
      </c>
      <c r="K182" s="687" t="str">
        <f>INPUT!BH258</f>
        <v>NM</v>
      </c>
      <c r="L182" s="151">
        <f>INPUT!BI258</f>
        <v>-182.79999999999998</v>
      </c>
      <c r="M182" s="687">
        <f>INPUT!BJ258</f>
        <v>96.348012889366231</v>
      </c>
      <c r="N182" s="151">
        <f>INPUT!BK258</f>
        <v>-127.90000000000003</v>
      </c>
      <c r="O182" s="687">
        <f>INPUT!BL258</f>
        <v>15.956482320942911</v>
      </c>
      <c r="P182" s="151">
        <f>INPUT!BM258</f>
        <v>-159.69999999999999</v>
      </c>
      <c r="Q182" s="687">
        <f>INPUT!BN258</f>
        <v>5.9018567639257169</v>
      </c>
      <c r="R182" s="151">
        <f>INPUT!BO258</f>
        <v>-113.20000000000002</v>
      </c>
      <c r="S182" s="687">
        <f>INPUT!BP258</f>
        <v>-24.432576769025349</v>
      </c>
      <c r="T182" s="151">
        <f>INPUT!BQ258</f>
        <v>-74.899999999999977</v>
      </c>
      <c r="U182" s="687" t="str">
        <f>INPUT!BR258</f>
        <v>NM</v>
      </c>
      <c r="V182" s="151">
        <f>INPUT!BS258</f>
        <v>-180.9</v>
      </c>
      <c r="W182" s="687">
        <f>INPUT!BT258</f>
        <v>41.438623924941332</v>
      </c>
      <c r="X182" s="151">
        <f>INPUT!BU258</f>
        <v>-96.800000000000011</v>
      </c>
      <c r="Y182" s="687">
        <f>INPUT!BV258</f>
        <v>-39.386349405134609</v>
      </c>
      <c r="Z182" s="151">
        <f>INPUT!BW258</f>
        <v>-97.4</v>
      </c>
      <c r="AA182" s="122">
        <f>INPUT!BX258</f>
        <v>-13.957597173144887</v>
      </c>
      <c r="AB182" s="151">
        <f>INPUT!BY258</f>
        <v>-83.6</v>
      </c>
      <c r="AC182" s="687">
        <f>INPUT!BZ258</f>
        <v>11.615487316421923</v>
      </c>
      <c r="AD182" s="151">
        <f>INPUT!CA258</f>
        <v>-19.300000000000011</v>
      </c>
      <c r="AE182" s="687" t="str">
        <f>INPUT!CB258</f>
        <v>NM</v>
      </c>
      <c r="AF182" s="151">
        <f>INPUT!CC258</f>
        <v>-128.19999999999999</v>
      </c>
      <c r="AG182" s="687">
        <f>INPUT!CD258</f>
        <v>32.438016528925594</v>
      </c>
      <c r="AH182" s="151">
        <f>INPUT!CE258</f>
        <v>-77.199999999999989</v>
      </c>
      <c r="AI182" s="507">
        <f>INPUT!CF258</f>
        <v>-20.739219712525681</v>
      </c>
      <c r="AJ182" s="151">
        <f>INPUT!CG258</f>
        <v>-49.599999999999994</v>
      </c>
      <c r="AK182" s="507">
        <f>INPUT!CH258</f>
        <v>-40.669856459330148</v>
      </c>
      <c r="AL182" s="151">
        <f>INPUT!CI258</f>
        <v>-144.6</v>
      </c>
      <c r="AM182" s="507" t="str">
        <f>INPUT!CJ258</f>
        <v>NM</v>
      </c>
      <c r="AN182" s="151">
        <f>INPUT!CK258</f>
        <v>-105.69999999999999</v>
      </c>
      <c r="AO182" s="507">
        <f>INPUT!CL258</f>
        <v>-17.550702028081123</v>
      </c>
      <c r="AP182" s="151">
        <f>INPUT!CM258</f>
        <v>-149.19999999999999</v>
      </c>
      <c r="AQ182" s="507">
        <f>INPUT!CN258</f>
        <v>93.264248704663231</v>
      </c>
      <c r="AR182" s="151">
        <f>INPUT!CO258</f>
        <v>-219.29999999999998</v>
      </c>
      <c r="AS182" s="507" t="str">
        <f>INPUT!CP258</f>
        <v>NM</v>
      </c>
      <c r="AT182" s="151">
        <f>INPUT!CQ258</f>
        <v>161</v>
      </c>
      <c r="AU182" s="507" t="str">
        <f>INPUT!CR258</f>
        <v>NM</v>
      </c>
      <c r="AV182" s="151">
        <f>INPUT!CS258</f>
        <v>-150</v>
      </c>
      <c r="AW182" s="507">
        <f>INPUT!CT258</f>
        <v>41.911069063386954</v>
      </c>
      <c r="AX182" s="151">
        <f>INPUT!CU258</f>
        <v>-65</v>
      </c>
      <c r="AY182" s="507" t="str">
        <f>INPUT!CV258</f>
        <v>NM</v>
      </c>
      <c r="AZ182" s="151">
        <f>INPUT!CW258</f>
        <v>-46</v>
      </c>
      <c r="BA182" s="507" t="str">
        <f>INPUT!CX258</f>
        <v>NM</v>
      </c>
      <c r="BB182" s="151">
        <f>INPUT!CY258</f>
        <v>182</v>
      </c>
      <c r="BC182" s="507">
        <f>INPUT!CZ258</f>
        <v>13.043478260869556</v>
      </c>
      <c r="BD182" s="151">
        <f>INPUT!DA258</f>
        <v>-57</v>
      </c>
      <c r="BE182" s="507" t="str">
        <f>INPUT!DB258</f>
        <v>NM</v>
      </c>
      <c r="BF182" s="151">
        <f>INPUT!DC258</f>
        <v>-59</v>
      </c>
      <c r="BG182" s="507">
        <f>INPUT!DD258</f>
        <v>-9.2307692307692317</v>
      </c>
      <c r="BH182" s="151">
        <f>INPUT!DE258</f>
        <v>-56</v>
      </c>
      <c r="BI182" s="507">
        <f>INPUT!DF258</f>
        <v>21.739130434782616</v>
      </c>
      <c r="BJ182" s="151">
        <f>INPUT!DG258</f>
        <v>-54</v>
      </c>
      <c r="BK182" s="507" t="str">
        <f>INPUT!DH258</f>
        <v>NM</v>
      </c>
      <c r="BL182" s="151">
        <f>INPUT!DI258</f>
        <v>-86</v>
      </c>
      <c r="BM182" s="507">
        <f>INPUT!DJ258</f>
        <v>50.877192982456144</v>
      </c>
      <c r="BN182" s="151">
        <f>INPUT!DK258</f>
        <v>-61</v>
      </c>
      <c r="BO182" s="507">
        <f>INPUT!DL258</f>
        <v>3.3898305084745672</v>
      </c>
      <c r="BP182" s="151">
        <f>INPUT!DM258</f>
        <v>-66</v>
      </c>
      <c r="BQ182" s="507">
        <f>INPUT!DN258</f>
        <v>17.857142857142861</v>
      </c>
      <c r="BR182" s="151">
        <f>INPUT!DO258</f>
        <v>-12</v>
      </c>
      <c r="BS182" s="507" t="str">
        <f>INPUT!DP258</f>
        <v>NM</v>
      </c>
      <c r="BT182" s="151">
        <f>INPUT!DQ258</f>
        <v>34</v>
      </c>
      <c r="BU182" s="507" t="str">
        <f>INPUT!DR258</f>
        <v>NM</v>
      </c>
      <c r="BV182" s="151">
        <f>INPUT!DS258</f>
        <v>-59</v>
      </c>
      <c r="BW182" s="507">
        <f>INPUT!DT258</f>
        <v>-3.2786885245901676</v>
      </c>
      <c r="BX182" s="151">
        <f>INPUT!DU258</f>
        <v>-70</v>
      </c>
      <c r="BY182" s="507">
        <f>INPUT!DV258</f>
        <v>6.0606060606060552</v>
      </c>
      <c r="BZ182" s="151">
        <f>INPUT!DW258</f>
        <v>402</v>
      </c>
      <c r="CA182" s="507">
        <f>INPUT!DX258</f>
        <v>402</v>
      </c>
      <c r="CB182" s="151">
        <f>INPUT!DY258</f>
        <v>-220</v>
      </c>
      <c r="CC182" s="507" t="str">
        <f>INPUT!DZ258</f>
        <v>NM</v>
      </c>
      <c r="CD182" s="151">
        <f>INPUT!EA258</f>
        <v>-45</v>
      </c>
      <c r="CE182" s="507">
        <f>INPUT!EB258</f>
        <v>-23.728813559322038</v>
      </c>
      <c r="CF182" s="151">
        <f>INPUT!EC258</f>
        <v>-61</v>
      </c>
      <c r="CG182" s="507">
        <f>INPUT!ED258</f>
        <v>-12.857142857142856</v>
      </c>
      <c r="CH182" s="151">
        <f>INPUT!EE258</f>
        <v>122</v>
      </c>
      <c r="CI182" s="507" t="str">
        <f>INPUT!EF258</f>
        <v>NM</v>
      </c>
      <c r="CJ182" s="151">
        <f>INPUT!EG258</f>
        <v>-112</v>
      </c>
      <c r="CK182" s="507">
        <f>INPUT!EH258</f>
        <v>-49.090909090909093</v>
      </c>
      <c r="CL182" s="151">
        <f>INPUT!EI258</f>
        <v>-102</v>
      </c>
      <c r="CM182" s="507" t="str">
        <f>INPUT!EJ258</f>
        <v>NM</v>
      </c>
      <c r="CN182" s="151">
        <f>INPUT!EK258</f>
        <v>-94</v>
      </c>
      <c r="CO182" s="507">
        <f>INPUT!EL258</f>
        <v>54.0983606557377</v>
      </c>
      <c r="CP182" s="151">
        <f>INPUT!EM258</f>
        <v>-100</v>
      </c>
      <c r="CQ182" s="507" t="str">
        <f>INPUT!EN258</f>
        <v>NM</v>
      </c>
      <c r="CR182" s="151">
        <f>INPUT!EO258</f>
        <v>-62</v>
      </c>
      <c r="CS182" s="507">
        <f>INPUT!EP258</f>
        <v>-44.642857142857139</v>
      </c>
      <c r="CT182" s="151">
        <f>INPUT!EQ258</f>
        <v>-85</v>
      </c>
      <c r="CU182" s="507">
        <f>INPUT!ER258</f>
        <v>-16.666666666666664</v>
      </c>
      <c r="CV182" s="151">
        <f>INPUT!ES258</f>
        <v>-85.85</v>
      </c>
      <c r="CW182" s="507">
        <f>INPUT!ET258</f>
        <v>-8.6702127659574515</v>
      </c>
      <c r="CX182" s="151">
        <f>INPUT!EU258</f>
        <v>-86.708500000000001</v>
      </c>
      <c r="CY182" s="507">
        <f>INPUT!EV258</f>
        <v>-13.291500000000001</v>
      </c>
      <c r="CZ182" s="151">
        <f>INPUT!EW258</f>
        <v>-87.575585000000004</v>
      </c>
      <c r="DA182" s="507">
        <f>INPUT!EX258</f>
        <v>41.250943548387099</v>
      </c>
      <c r="DB182" s="507"/>
      <c r="DC182" s="151">
        <f>INPUT!FP258</f>
        <v>-114.9</v>
      </c>
      <c r="DD182" s="687" t="str">
        <f>INPUT!FQ258</f>
        <v>NA</v>
      </c>
      <c r="DE182" s="151">
        <f>INPUT!FR258</f>
        <v>-370.70000000000005</v>
      </c>
      <c r="DF182" s="687" t="str">
        <f>INPUT!FS258</f>
        <v>NM</v>
      </c>
      <c r="DG182" s="151">
        <f>INPUT!FT258</f>
        <v>-620.20000000000005</v>
      </c>
      <c r="DH182" s="687">
        <f>INPUT!FU258</f>
        <v>67.305098462368477</v>
      </c>
      <c r="DI182" s="151">
        <f>INPUT!FV258</f>
        <v>-465.8</v>
      </c>
      <c r="DJ182" s="687">
        <f>INPUT!FW258</f>
        <v>-24.895195098355373</v>
      </c>
      <c r="DK182" s="151">
        <f>INPUT!FX258</f>
        <v>-328.5</v>
      </c>
      <c r="DL182" s="507">
        <f>INPUT!FY258</f>
        <v>-29.476170030055815</v>
      </c>
      <c r="DM182" s="151">
        <f>INPUT!FZ258</f>
        <v>-377.09999999999997</v>
      </c>
      <c r="DN182" s="507">
        <f>INPUT!GA258</f>
        <v>14.79452054794519</v>
      </c>
      <c r="DO182" s="151">
        <f>INPUT!GB258</f>
        <v>-357.5</v>
      </c>
      <c r="DP182" s="507">
        <f>INPUT!GC258</f>
        <v>-5.1975603288252348</v>
      </c>
      <c r="DQ182" s="151">
        <f>INPUT!GD258</f>
        <v>14</v>
      </c>
      <c r="DR182" s="507" t="str">
        <f>INPUT!GE258</f>
        <v>NM</v>
      </c>
      <c r="DS182" s="151">
        <f>INPUT!GF258</f>
        <v>-255</v>
      </c>
      <c r="DT182" s="507" t="str">
        <f>INPUT!GG258</f>
        <v>NM</v>
      </c>
      <c r="DU182" s="151">
        <f>INPUT!GH258</f>
        <v>-105</v>
      </c>
      <c r="DV182" s="507" t="str">
        <f>INPUT!GI258</f>
        <v>NM</v>
      </c>
      <c r="DW182" s="151">
        <f>INPUT!GJ258</f>
        <v>53</v>
      </c>
      <c r="DX182" s="507" t="str">
        <f>INPUT!GK258</f>
        <v>NM</v>
      </c>
      <c r="DY182" s="151">
        <f>INPUT!GL258</f>
        <v>-96</v>
      </c>
      <c r="DZ182" s="507" t="str">
        <f>INPUT!GM258</f>
        <v>NM</v>
      </c>
      <c r="EA182" s="151">
        <f>INPUT!GN258</f>
        <v>-358</v>
      </c>
      <c r="EB182" s="507" t="str">
        <f>INPUT!GO258</f>
        <v>NM</v>
      </c>
      <c r="EC182" s="151">
        <f>INPUT!GP258</f>
        <v>-345.13408499999997</v>
      </c>
      <c r="ED182" s="507">
        <f>INPUT!GQ258</f>
        <v>-3.5938310055866007</v>
      </c>
      <c r="EE182" s="151">
        <f>INPUT!GR258</f>
        <v>-362.39078925000001</v>
      </c>
      <c r="EF182" s="507">
        <f>INPUT!GS258</f>
        <v>5.0000000000000044</v>
      </c>
      <c r="EG182" s="151">
        <f>INPUT!GT258</f>
        <v>-380.51032871250004</v>
      </c>
      <c r="EH182" s="507">
        <f>INPUT!GU258</f>
        <v>5.0000000000000044</v>
      </c>
      <c r="EI182" s="151">
        <f>INPUT!GV258</f>
        <v>-399.53584514812508</v>
      </c>
      <c r="EJ182" s="507">
        <f>INPUT!GW258</f>
        <v>5.0000000000000044</v>
      </c>
      <c r="EK182" s="151">
        <f>INPUT!GX258</f>
        <v>-419.51263740553134</v>
      </c>
      <c r="EL182" s="507">
        <f>INPUT!GY258</f>
        <v>5.0000000000000044</v>
      </c>
      <c r="EM182" s="687">
        <f>INPUT!GZ258</f>
        <v>3.2220320154066284</v>
      </c>
    </row>
    <row r="183" spans="1:143" ht="12.75" hidden="1" customHeight="1" outlineLevel="1" x14ac:dyDescent="0.2">
      <c r="A183" s="701" t="str">
        <f>INPUT!B259</f>
        <v>Other Operating Expenses</v>
      </c>
      <c r="B183" s="151">
        <f>INPUT!AY259</f>
        <v>149.40000000000003</v>
      </c>
      <c r="C183" s="507">
        <f>INPUT!AZ259</f>
        <v>3.7500000000000311</v>
      </c>
      <c r="D183" s="151">
        <f>INPUT!BA259</f>
        <v>276</v>
      </c>
      <c r="E183" s="687">
        <f>INPUT!BB259</f>
        <v>91.400832177531228</v>
      </c>
      <c r="F183" s="151">
        <f>INPUT!BC259</f>
        <v>317.8</v>
      </c>
      <c r="G183" s="687">
        <f>INPUT!BD259</f>
        <v>97.268777157045335</v>
      </c>
      <c r="H183" s="151">
        <f>INPUT!BE259</f>
        <v>369.79999999999995</v>
      </c>
      <c r="I183" s="687" t="str">
        <f>INPUT!BF259</f>
        <v>NM</v>
      </c>
      <c r="J183" s="151">
        <f>INPUT!BG259</f>
        <v>371</v>
      </c>
      <c r="K183" s="687" t="str">
        <f>INPUT!BH259</f>
        <v>NM</v>
      </c>
      <c r="L183" s="151">
        <f>INPUT!BI259</f>
        <v>353.79999999999995</v>
      </c>
      <c r="M183" s="687">
        <f>INPUT!BJ259</f>
        <v>28.188405797101424</v>
      </c>
      <c r="N183" s="151">
        <f>INPUT!BK259</f>
        <v>355.50000000000006</v>
      </c>
      <c r="O183" s="687">
        <f>INPUT!BL259</f>
        <v>11.86280679672751</v>
      </c>
      <c r="P183" s="151">
        <f>INPUT!BM259</f>
        <v>362.4</v>
      </c>
      <c r="Q183" s="687">
        <f>INPUT!BN259</f>
        <v>-2.0010816657652697</v>
      </c>
      <c r="R183" s="151">
        <f>INPUT!BO259</f>
        <v>332.70000000000005</v>
      </c>
      <c r="S183" s="687">
        <f>INPUT!BP259</f>
        <v>-10.323450134770873</v>
      </c>
      <c r="T183" s="151">
        <f>INPUT!BQ259</f>
        <v>308.89999999999998</v>
      </c>
      <c r="U183" s="687">
        <f>INPUT!BR259</f>
        <v>-12.690785754663647</v>
      </c>
      <c r="V183" s="151">
        <f>INPUT!BS259</f>
        <v>350.5</v>
      </c>
      <c r="W183" s="687">
        <f>INPUT!BT259</f>
        <v>-1.4064697609001531</v>
      </c>
      <c r="X183" s="151">
        <f>INPUT!BU259</f>
        <v>355.9</v>
      </c>
      <c r="Y183" s="687">
        <f>INPUT!BV259</f>
        <v>-1.7935982339955858</v>
      </c>
      <c r="Z183" s="151">
        <f>INPUT!BW259</f>
        <v>321.39999999999998</v>
      </c>
      <c r="AA183" s="122">
        <f>INPUT!BX259</f>
        <v>-3.3964532611962972</v>
      </c>
      <c r="AB183" s="151">
        <f>INPUT!BY259</f>
        <v>275.29999999999995</v>
      </c>
      <c r="AC183" s="687">
        <f>INPUT!BZ259</f>
        <v>-10.877306571706058</v>
      </c>
      <c r="AD183" s="151">
        <f>INPUT!CA259</f>
        <v>303.2</v>
      </c>
      <c r="AE183" s="687">
        <f>INPUT!CB259</f>
        <v>-13.495007132667624</v>
      </c>
      <c r="AF183" s="151">
        <f>INPUT!CC259</f>
        <v>349.69999999999993</v>
      </c>
      <c r="AG183" s="687">
        <f>INPUT!CD259</f>
        <v>-1.7420623770722288</v>
      </c>
      <c r="AH183" s="151">
        <f>INPUT!CE259</f>
        <v>307.3</v>
      </c>
      <c r="AI183" s="507">
        <f>INPUT!CF259</f>
        <v>-4.3870566272557472</v>
      </c>
      <c r="AJ183" s="151">
        <f>INPUT!CG259</f>
        <v>290.89999999999986</v>
      </c>
      <c r="AK183" s="507">
        <f>INPUT!CH259</f>
        <v>5.6665455866327319</v>
      </c>
      <c r="AL183" s="151">
        <f>INPUT!CI259</f>
        <v>312.19999999999993</v>
      </c>
      <c r="AM183" s="507">
        <f>INPUT!CJ259</f>
        <v>2.9683377308706849</v>
      </c>
      <c r="AN183" s="151">
        <f>INPUT!CK259</f>
        <v>373.50000000000006</v>
      </c>
      <c r="AO183" s="507">
        <f>INPUT!CL259</f>
        <v>6.8058335716328688</v>
      </c>
      <c r="AP183" s="151">
        <f>INPUT!CM259</f>
        <v>336.2</v>
      </c>
      <c r="AQ183" s="507">
        <f>INPUT!CN259</f>
        <v>9.4044907256752186</v>
      </c>
      <c r="AR183" s="151">
        <f>INPUT!CO259</f>
        <v>329.9</v>
      </c>
      <c r="AS183" s="507">
        <f>INPUT!CP259</f>
        <v>13.406668958404989</v>
      </c>
      <c r="AT183" s="151">
        <f>INPUT!CQ259</f>
        <v>331.70000000000005</v>
      </c>
      <c r="AU183" s="507">
        <f>INPUT!CR259</f>
        <v>6.2459961563100963</v>
      </c>
      <c r="AV183" s="151">
        <f>INPUT!CS259</f>
        <v>359</v>
      </c>
      <c r="AW183" s="507">
        <f>INPUT!CT259</f>
        <v>-3.8821954484605237</v>
      </c>
      <c r="AX183" s="151">
        <f>INPUT!CU259</f>
        <v>304</v>
      </c>
      <c r="AY183" s="507">
        <f>INPUT!CV259</f>
        <v>-9.5776323616894707</v>
      </c>
      <c r="AZ183" s="151">
        <f>INPUT!CW259</f>
        <v>294</v>
      </c>
      <c r="BA183" s="507">
        <f>INPUT!CX259</f>
        <v>-10.882085480448611</v>
      </c>
      <c r="BB183" s="151">
        <f>INPUT!CY259</f>
        <v>283</v>
      </c>
      <c r="BC183" s="507">
        <f>INPUT!CZ259</f>
        <v>-14.681941513415753</v>
      </c>
      <c r="BD183" s="151">
        <f>INPUT!DA259</f>
        <v>339</v>
      </c>
      <c r="BE183" s="507">
        <f>INPUT!DB259</f>
        <v>-5.5710306406685284</v>
      </c>
      <c r="BF183" s="151">
        <f>INPUT!DC259</f>
        <v>308</v>
      </c>
      <c r="BG183" s="507">
        <f>INPUT!DD259</f>
        <v>1.3157894736842035</v>
      </c>
      <c r="BH183" s="151">
        <f>INPUT!DE259</f>
        <v>314</v>
      </c>
      <c r="BI183" s="507">
        <f>INPUT!DF259</f>
        <v>6.8027210884353817</v>
      </c>
      <c r="BJ183" s="151">
        <f>INPUT!DG259</f>
        <v>340</v>
      </c>
      <c r="BK183" s="507">
        <f>INPUT!DH259</f>
        <v>20.141342756183754</v>
      </c>
      <c r="BL183" s="151">
        <f>INPUT!DI259</f>
        <v>368</v>
      </c>
      <c r="BM183" s="507">
        <f>INPUT!DJ259</f>
        <v>8.5545722713864301</v>
      </c>
      <c r="BN183" s="151">
        <f>INPUT!DK259</f>
        <v>345</v>
      </c>
      <c r="BO183" s="507">
        <f>INPUT!DL259</f>
        <v>12.012987012987008</v>
      </c>
      <c r="BP183" s="151">
        <f>INPUT!DM259</f>
        <v>350</v>
      </c>
      <c r="BQ183" s="507">
        <f>INPUT!DN259</f>
        <v>11.464968152866239</v>
      </c>
      <c r="BR183" s="151">
        <f>INPUT!DO259</f>
        <v>345</v>
      </c>
      <c r="BS183" s="507">
        <f>INPUT!DP259</f>
        <v>1.4705882352941124</v>
      </c>
      <c r="BT183" s="151">
        <f>INPUT!DQ259</f>
        <v>378</v>
      </c>
      <c r="BU183" s="507">
        <f>INPUT!DR259</f>
        <v>2.7173913043478271</v>
      </c>
      <c r="BV183" s="151">
        <f>INPUT!DS259</f>
        <v>347</v>
      </c>
      <c r="BW183" s="507">
        <f>INPUT!DT259</f>
        <v>0.57971014492752548</v>
      </c>
      <c r="BX183" s="151">
        <f>INPUT!DU259</f>
        <v>343</v>
      </c>
      <c r="BY183" s="507">
        <f>INPUT!DV259</f>
        <v>-2.0000000000000018</v>
      </c>
      <c r="BZ183" s="151">
        <f>INPUT!DW259</f>
        <v>357</v>
      </c>
      <c r="CA183" s="507">
        <f>INPUT!DX259</f>
        <v>357</v>
      </c>
      <c r="CB183" s="151">
        <f>INPUT!DY259</f>
        <v>380</v>
      </c>
      <c r="CC183" s="507">
        <f>INPUT!DZ259</f>
        <v>0.52910052910053462</v>
      </c>
      <c r="CD183" s="151">
        <f>INPUT!EA259</f>
        <v>332</v>
      </c>
      <c r="CE183" s="507">
        <f>INPUT!EB259</f>
        <v>-4.3227665706051859</v>
      </c>
      <c r="CF183" s="151">
        <f>INPUT!EC259</f>
        <v>367</v>
      </c>
      <c r="CG183" s="507">
        <f>INPUT!ED259</f>
        <v>6.9970845481049482</v>
      </c>
      <c r="CH183" s="151">
        <f>INPUT!EE259</f>
        <v>391</v>
      </c>
      <c r="CI183" s="507">
        <f>INPUT!EF259</f>
        <v>9.5238095238095344</v>
      </c>
      <c r="CJ183" s="151">
        <f>INPUT!EG259</f>
        <v>429</v>
      </c>
      <c r="CK183" s="507">
        <f>INPUT!EH259</f>
        <v>12.894736842105271</v>
      </c>
      <c r="CL183" s="151">
        <f>INPUT!EI259</f>
        <v>375</v>
      </c>
      <c r="CM183" s="507">
        <f>INPUT!EJ259</f>
        <v>12.951807228915669</v>
      </c>
      <c r="CN183" s="151">
        <f>INPUT!EK259</f>
        <v>399</v>
      </c>
      <c r="CO183" s="507">
        <f>INPUT!EL259</f>
        <v>8.719346049046317</v>
      </c>
      <c r="CP183" s="151">
        <f>INPUT!EM259</f>
        <v>381</v>
      </c>
      <c r="CQ183" s="507">
        <f>INPUT!EN259</f>
        <v>-2.5575447570332477</v>
      </c>
      <c r="CR183" s="151">
        <f>INPUT!EO259</f>
        <v>389</v>
      </c>
      <c r="CS183" s="507">
        <f>INPUT!EP259</f>
        <v>-9.3240093240093191</v>
      </c>
      <c r="CT183" s="151">
        <f>INPUT!EQ259</f>
        <v>383.35980112975625</v>
      </c>
      <c r="CU183" s="507">
        <f>INPUT!ER259</f>
        <v>2.2292803012683438</v>
      </c>
      <c r="CV183" s="151">
        <f>INPUT!ES259</f>
        <v>385.29481504181791</v>
      </c>
      <c r="CW183" s="507">
        <f>INPUT!ET259</f>
        <v>-3.4348834481659374</v>
      </c>
      <c r="CX183" s="151">
        <f>INPUT!EU259</f>
        <v>388.0518464509334</v>
      </c>
      <c r="CY183" s="507">
        <f>INPUT!EV259</f>
        <v>1.8508783335783097</v>
      </c>
      <c r="CZ183" s="151">
        <f>INPUT!EW259</f>
        <v>391.75529311868894</v>
      </c>
      <c r="DA183" s="507">
        <f>INPUT!EX259</f>
        <v>0.70830157292773865</v>
      </c>
      <c r="DB183" s="507"/>
      <c r="DC183" s="151">
        <f>INPUT!FP259</f>
        <v>618</v>
      </c>
      <c r="DD183" s="687">
        <f>INPUT!FQ259</f>
        <v>26.380368098159511</v>
      </c>
      <c r="DE183" s="151">
        <f>INPUT!FR259</f>
        <v>1113</v>
      </c>
      <c r="DF183" s="687">
        <f>INPUT!FS259</f>
        <v>80.097087378640779</v>
      </c>
      <c r="DG183" s="151">
        <f>INPUT!FT259</f>
        <v>1442.6999999999998</v>
      </c>
      <c r="DH183" s="687">
        <f>INPUT!FU259</f>
        <v>29.622641509433944</v>
      </c>
      <c r="DI183" s="151">
        <f>INPUT!FV259</f>
        <v>1348</v>
      </c>
      <c r="DJ183" s="687">
        <f>INPUT!FW259</f>
        <v>-6.5640812365703072</v>
      </c>
      <c r="DK183" s="151">
        <f>INPUT!FX259</f>
        <v>1249.5999999999999</v>
      </c>
      <c r="DL183" s="507">
        <f>INPUT!FY259</f>
        <v>-7.2997032640949584</v>
      </c>
      <c r="DM183" s="151">
        <f>INPUT!FZ259</f>
        <v>1283.8999999999999</v>
      </c>
      <c r="DN183" s="507">
        <f>INPUT!GA259</f>
        <v>2.7448783610755312</v>
      </c>
      <c r="DO183" s="151">
        <f>INPUT!GB259</f>
        <v>1356.8</v>
      </c>
      <c r="DP183" s="507">
        <f>INPUT!GC259</f>
        <v>5.6780123062543986</v>
      </c>
      <c r="DQ183" s="151">
        <f>INPUT!GD259</f>
        <v>1220</v>
      </c>
      <c r="DR183" s="507">
        <f>INPUT!GE259</f>
        <v>-10.082547169811317</v>
      </c>
      <c r="DS183" s="151">
        <f>INPUT!GF259</f>
        <v>1330</v>
      </c>
      <c r="DT183" s="507">
        <f>INPUT!GG259</f>
        <v>9.0163934426229488</v>
      </c>
      <c r="DU183" s="151">
        <f>INPUT!GH259</f>
        <v>1418</v>
      </c>
      <c r="DV183" s="507">
        <f>INPUT!GI259</f>
        <v>6.6165413533834538</v>
      </c>
      <c r="DW183" s="151">
        <f>INPUT!GJ259</f>
        <v>1427</v>
      </c>
      <c r="DX183" s="507">
        <f>INPUT!GK259</f>
        <v>0.63469675599436837</v>
      </c>
      <c r="DY183" s="151">
        <f>INPUT!GL259</f>
        <v>1519</v>
      </c>
      <c r="DZ183" s="507">
        <f>INPUT!GM259</f>
        <v>6.4470918009810863</v>
      </c>
      <c r="EA183" s="151">
        <f>INPUT!GN259</f>
        <v>1544</v>
      </c>
      <c r="EB183" s="507">
        <f>INPUT!GO259</f>
        <v>1.6458196181698526</v>
      </c>
      <c r="EC183" s="151">
        <f>INPUT!GP259</f>
        <v>1548.4617557411966</v>
      </c>
      <c r="ED183" s="507">
        <f>INPUT!GQ259</f>
        <v>0.28897381743502315</v>
      </c>
      <c r="EE183" s="151">
        <f>INPUT!GR259</f>
        <v>1609.4744693800278</v>
      </c>
      <c r="EF183" s="507">
        <f>INPUT!GS259</f>
        <v>3.9402144362052027</v>
      </c>
      <c r="EG183" s="151">
        <f>INPUT!GT259</f>
        <v>1655.2179395666217</v>
      </c>
      <c r="EH183" s="507">
        <f>INPUT!GU259</f>
        <v>2.8421370488849185</v>
      </c>
      <c r="EI183" s="151">
        <f>INPUT!GV259</f>
        <v>1706.3320956391256</v>
      </c>
      <c r="EJ183" s="507">
        <f>INPUT!GW259</f>
        <v>3.0880619917572183</v>
      </c>
      <c r="EK183" s="151">
        <f>INPUT!GX259</f>
        <v>1760.7200244507874</v>
      </c>
      <c r="EL183" s="507">
        <f>INPUT!GY259</f>
        <v>3.1874175578517905</v>
      </c>
      <c r="EM183" s="687">
        <f>INPUT!GZ259</f>
        <v>2.6617354381978098</v>
      </c>
    </row>
    <row r="184" spans="1:143" ht="12.75" hidden="1" customHeight="1" outlineLevel="1" x14ac:dyDescent="0.2">
      <c r="A184" s="701" t="str">
        <f>INPUT!B260</f>
        <v xml:space="preserve"> Total Benefits and Expenses</v>
      </c>
      <c r="B184" s="151">
        <f>INPUT!AY260</f>
        <v>395.3</v>
      </c>
      <c r="C184" s="507">
        <f>INPUT!AZ260</f>
        <v>1.5412278448497352</v>
      </c>
      <c r="D184" s="151">
        <f>INPUT!BA260</f>
        <v>680.4</v>
      </c>
      <c r="E184" s="687">
        <f>INPUT!BB260</f>
        <v>77.882352941176464</v>
      </c>
      <c r="F184" s="151">
        <f>INPUT!BC260</f>
        <v>715.7</v>
      </c>
      <c r="G184" s="687">
        <f>INPUT!BD260</f>
        <v>97.816473189607535</v>
      </c>
      <c r="H184" s="151">
        <f>INPUT!BE260</f>
        <v>719.4</v>
      </c>
      <c r="I184" s="687">
        <f>INPUT!BF260</f>
        <v>84.083930399181156</v>
      </c>
      <c r="J184" s="151">
        <f>INPUT!BG260</f>
        <v>718.9</v>
      </c>
      <c r="K184" s="687">
        <f>INPUT!BH260</f>
        <v>81.861877055400953</v>
      </c>
      <c r="L184" s="151">
        <f>INPUT!BI260</f>
        <v>688</v>
      </c>
      <c r="M184" s="687">
        <f>INPUT!BJ260</f>
        <v>1.116990005878904</v>
      </c>
      <c r="N184" s="151">
        <f>INPUT!BK260</f>
        <v>786.1</v>
      </c>
      <c r="O184" s="687">
        <f>INPUT!BL260</f>
        <v>9.8365236831074334</v>
      </c>
      <c r="P184" s="151">
        <f>INPUT!BM260</f>
        <v>809.8</v>
      </c>
      <c r="Q184" s="687">
        <f>INPUT!BN260</f>
        <v>12.566027244926325</v>
      </c>
      <c r="R184" s="151">
        <f>INPUT!BO260</f>
        <v>814.6</v>
      </c>
      <c r="S184" s="687">
        <f>INPUT!BP260</f>
        <v>13.312004451244963</v>
      </c>
      <c r="T184" s="151">
        <f>INPUT!BQ260</f>
        <v>838.7</v>
      </c>
      <c r="U184" s="687">
        <f>INPUT!BR260</f>
        <v>21.904069767441857</v>
      </c>
      <c r="V184" s="151">
        <f>INPUT!BS260</f>
        <v>872</v>
      </c>
      <c r="W184" s="687">
        <f>INPUT!BT260</f>
        <v>10.927362930924822</v>
      </c>
      <c r="X184" s="151">
        <f>INPUT!BU260</f>
        <v>922.3</v>
      </c>
      <c r="Y184" s="687">
        <f>INPUT!BV260</f>
        <v>13.89231909113362</v>
      </c>
      <c r="Z184" s="151">
        <f>INPUT!BW260</f>
        <v>882.5</v>
      </c>
      <c r="AA184" s="122">
        <f>INPUT!BX260</f>
        <v>8.3353793272771917</v>
      </c>
      <c r="AB184" s="151">
        <f>INPUT!BY260</f>
        <v>805.5</v>
      </c>
      <c r="AC184" s="687">
        <f>INPUT!BZ260</f>
        <v>-3.9585072135447819</v>
      </c>
      <c r="AD184" s="151">
        <f>INPUT!CA260</f>
        <v>897.5</v>
      </c>
      <c r="AE184" s="687">
        <f>INPUT!CB260</f>
        <v>2.924311926605494</v>
      </c>
      <c r="AF184" s="151">
        <f>INPUT!CC260</f>
        <v>893.8</v>
      </c>
      <c r="AG184" s="687">
        <f>INPUT!CD260</f>
        <v>-3.0901008348693471</v>
      </c>
      <c r="AH184" s="151">
        <f>INPUT!CE260</f>
        <v>925.8</v>
      </c>
      <c r="AI184" s="507">
        <f>INPUT!CF260</f>
        <v>4.9065155807365368</v>
      </c>
      <c r="AJ184" s="151">
        <f>INPUT!CG260</f>
        <v>914.3</v>
      </c>
      <c r="AK184" s="507">
        <f>INPUT!CH260</f>
        <v>13.507138423339526</v>
      </c>
      <c r="AL184" s="151">
        <f>INPUT!CI260</f>
        <v>1028.0999999999999</v>
      </c>
      <c r="AM184" s="507">
        <f>INPUT!CJ260</f>
        <v>14.551532033426184</v>
      </c>
      <c r="AN184" s="151">
        <f>INPUT!CK260</f>
        <v>971.4</v>
      </c>
      <c r="AO184" s="507">
        <f>INPUT!CL260</f>
        <v>8.6820317744461981</v>
      </c>
      <c r="AP184" s="151">
        <f>INPUT!CM260</f>
        <v>936</v>
      </c>
      <c r="AQ184" s="507">
        <f>INPUT!CN260</f>
        <v>1.1017498379779722</v>
      </c>
      <c r="AR184" s="151">
        <f>INPUT!CO260</f>
        <v>1027.5</v>
      </c>
      <c r="AS184" s="507">
        <f>INPUT!CP260</f>
        <v>12.381056545991465</v>
      </c>
      <c r="AT184" s="151">
        <f>INPUT!CQ260</f>
        <v>957.1</v>
      </c>
      <c r="AU184" s="507">
        <f>INPUT!CR260</f>
        <v>-6.905943001653525</v>
      </c>
      <c r="AV184" s="151">
        <f>INPUT!CS260</f>
        <v>983</v>
      </c>
      <c r="AW184" s="507">
        <f>INPUT!CT260</f>
        <v>1.1941527691990972</v>
      </c>
      <c r="AX184" s="151">
        <f>INPUT!CU260</f>
        <v>1020</v>
      </c>
      <c r="AY184" s="507">
        <f>INPUT!CV260</f>
        <v>8.9743589743589638</v>
      </c>
      <c r="AZ184" s="151">
        <f>INPUT!CW260</f>
        <v>1034</v>
      </c>
      <c r="BA184" s="507">
        <f>INPUT!CX260</f>
        <v>0.63260340632602663</v>
      </c>
      <c r="BB184" s="151">
        <f>INPUT!CY260</f>
        <v>1080</v>
      </c>
      <c r="BC184" s="507">
        <f>INPUT!CZ260</f>
        <v>12.840873471946512</v>
      </c>
      <c r="BD184" s="151">
        <f>INPUT!DA260</f>
        <v>1084</v>
      </c>
      <c r="BE184" s="507">
        <f>INPUT!DB260</f>
        <v>10.274669379450652</v>
      </c>
      <c r="BF184" s="151">
        <f>INPUT!DC260</f>
        <v>1074</v>
      </c>
      <c r="BG184" s="507">
        <f>INPUT!DD260</f>
        <v>5.2941176470588269</v>
      </c>
      <c r="BH184" s="151">
        <f>INPUT!DE260</f>
        <v>1083</v>
      </c>
      <c r="BI184" s="507">
        <f>INPUT!DF260</f>
        <v>4.7388781431334515</v>
      </c>
      <c r="BJ184" s="151">
        <f>INPUT!DG260</f>
        <v>1091</v>
      </c>
      <c r="BK184" s="507">
        <f>INPUT!DH260</f>
        <v>1.0185185185185075</v>
      </c>
      <c r="BL184" s="151">
        <f>INPUT!DI260</f>
        <v>1110</v>
      </c>
      <c r="BM184" s="507">
        <f>INPUT!DJ260</f>
        <v>2.3985239852398532</v>
      </c>
      <c r="BN184" s="151">
        <f>INPUT!DK260</f>
        <v>1159</v>
      </c>
      <c r="BO184" s="507">
        <f>INPUT!DL260</f>
        <v>7.9143389199255232</v>
      </c>
      <c r="BP184" s="151">
        <f>INPUT!DM260</f>
        <v>1140</v>
      </c>
      <c r="BQ184" s="507">
        <f>INPUT!DN260</f>
        <v>5.2631578947368363</v>
      </c>
      <c r="BR184" s="151">
        <f>INPUT!DO260</f>
        <v>1220</v>
      </c>
      <c r="BS184" s="507">
        <f>INPUT!DP260</f>
        <v>11.824014665444537</v>
      </c>
      <c r="BT184" s="151">
        <f>INPUT!DQ260</f>
        <v>1578</v>
      </c>
      <c r="BU184" s="507">
        <f>INPUT!DR260</f>
        <v>42.162162162162154</v>
      </c>
      <c r="BV184" s="151">
        <f>INPUT!DS260</f>
        <v>1276</v>
      </c>
      <c r="BW184" s="507">
        <f>INPUT!DT260</f>
        <v>10.09490940465918</v>
      </c>
      <c r="BX184" s="151">
        <f>INPUT!DU260</f>
        <v>1291</v>
      </c>
      <c r="BY184" s="507">
        <f>INPUT!DV260</f>
        <v>13.245614035087726</v>
      </c>
      <c r="BZ184" s="151">
        <f>INPUT!DW260</f>
        <v>1681</v>
      </c>
      <c r="CA184" s="507">
        <f>INPUT!DX260</f>
        <v>1681</v>
      </c>
      <c r="CB184" s="151">
        <f>INPUT!DY260</f>
        <v>1173</v>
      </c>
      <c r="CC184" s="507">
        <f>INPUT!DZ260</f>
        <v>-25.665399239543728</v>
      </c>
      <c r="CD184" s="151">
        <f>INPUT!EA260</f>
        <v>1375</v>
      </c>
      <c r="CE184" s="507">
        <f>INPUT!EB260</f>
        <v>7.7586206896551824</v>
      </c>
      <c r="CF184" s="151">
        <f>INPUT!EC260</f>
        <v>1363</v>
      </c>
      <c r="CG184" s="507">
        <f>INPUT!ED260</f>
        <v>5.577072037180475</v>
      </c>
      <c r="CH184" s="151">
        <f>INPUT!EE260</f>
        <v>1384</v>
      </c>
      <c r="CI184" s="507">
        <f>INPUT!EF260</f>
        <v>-17.668054729327775</v>
      </c>
      <c r="CJ184" s="151">
        <f>INPUT!EG260</f>
        <v>1372</v>
      </c>
      <c r="CK184" s="507">
        <f>INPUT!EH260</f>
        <v>16.965046888320543</v>
      </c>
      <c r="CL184" s="151">
        <f>INPUT!EI260</f>
        <v>1419</v>
      </c>
      <c r="CM184" s="507">
        <f>INPUT!EJ260</f>
        <v>3.2000000000000028</v>
      </c>
      <c r="CN184" s="151">
        <f>INPUT!EK260</f>
        <v>1461</v>
      </c>
      <c r="CO184" s="507">
        <f>INPUT!EL260</f>
        <v>7.1900220102714574</v>
      </c>
      <c r="CP184" s="151">
        <f>INPUT!EM260</f>
        <v>1439</v>
      </c>
      <c r="CQ184" s="507">
        <f>INPUT!EN260</f>
        <v>3.973988439306364</v>
      </c>
      <c r="CR184" s="151">
        <f>INPUT!EO260</f>
        <v>1461</v>
      </c>
      <c r="CS184" s="507">
        <f>INPUT!EP260</f>
        <v>6.4868804664723001</v>
      </c>
      <c r="CT184" s="151">
        <f>INPUT!EQ260</f>
        <v>1496.1749149861607</v>
      </c>
      <c r="CU184" s="507">
        <f>INPUT!ER260</f>
        <v>5.4386832266497986</v>
      </c>
      <c r="CV184" s="151">
        <f>INPUT!ES260</f>
        <v>1484.5601088615817</v>
      </c>
      <c r="CW184" s="507">
        <f>INPUT!ET260</f>
        <v>1.6126015647899949</v>
      </c>
      <c r="CX184" s="151">
        <f>INPUT!EU260</f>
        <v>1496.3278611176402</v>
      </c>
      <c r="CY184" s="507">
        <f>INPUT!EV260</f>
        <v>3.9838680415316352</v>
      </c>
      <c r="CZ184" s="151">
        <f>INPUT!EW260</f>
        <v>1501.275923080744</v>
      </c>
      <c r="DA184" s="507">
        <f>INPUT!EX260</f>
        <v>2.7567366927271797</v>
      </c>
      <c r="DB184" s="507"/>
      <c r="DC184" s="151">
        <f>INPUT!FP260</f>
        <v>1524.4</v>
      </c>
      <c r="DD184" s="687">
        <f>INPUT!FQ260</f>
        <v>2.860998650472335</v>
      </c>
      <c r="DE184" s="151">
        <f>INPUT!FR260</f>
        <v>2510.8000000000002</v>
      </c>
      <c r="DF184" s="687">
        <f>INPUT!FS260</f>
        <v>64.707425872474417</v>
      </c>
      <c r="DG184" s="151">
        <f>INPUT!FT260</f>
        <v>3002.8</v>
      </c>
      <c r="DH184" s="687">
        <f>INPUT!FU260</f>
        <v>19.59534809622432</v>
      </c>
      <c r="DI184" s="151">
        <f>INPUT!FV260</f>
        <v>3447.6</v>
      </c>
      <c r="DJ184" s="687">
        <f>INPUT!FW260</f>
        <v>14.812841348075123</v>
      </c>
      <c r="DK184" s="151">
        <f>INPUT!FX260</f>
        <v>3479.2999999999997</v>
      </c>
      <c r="DL184" s="507">
        <f>INPUT!FY260</f>
        <v>0.91948021812273684</v>
      </c>
      <c r="DM184" s="151">
        <f>INPUT!FZ260</f>
        <v>3839.6000000000004</v>
      </c>
      <c r="DN184" s="507">
        <f>INPUT!GA260</f>
        <v>10.355531285028619</v>
      </c>
      <c r="DO184" s="151">
        <f>INPUT!GB260</f>
        <v>3903.6000000000004</v>
      </c>
      <c r="DP184" s="507">
        <f>INPUT!GC260</f>
        <v>1.6668402958641471</v>
      </c>
      <c r="DQ184" s="151">
        <f>INPUT!GD260</f>
        <v>4218</v>
      </c>
      <c r="DR184" s="507">
        <f>INPUT!GE260</f>
        <v>8.0541039040885174</v>
      </c>
      <c r="DS184" s="151">
        <f>INPUT!GF260</f>
        <v>4358</v>
      </c>
      <c r="DT184" s="507">
        <f>INPUT!GG260</f>
        <v>3.3191085822664723</v>
      </c>
      <c r="DU184" s="151">
        <f>INPUT!GH260</f>
        <v>5097</v>
      </c>
      <c r="DV184" s="507">
        <f>INPUT!GI260</f>
        <v>16.957319871500687</v>
      </c>
      <c r="DW184" s="151">
        <f>INPUT!GJ260</f>
        <v>5421</v>
      </c>
      <c r="DX184" s="507">
        <f>INPUT!GK260</f>
        <v>6.356680400235426</v>
      </c>
      <c r="DY184" s="151">
        <f>INPUT!GL260</f>
        <v>5494</v>
      </c>
      <c r="DZ184" s="507">
        <f>INPUT!GM260</f>
        <v>1.346615015679764</v>
      </c>
      <c r="EA184" s="151">
        <f>INPUT!GN260</f>
        <v>5780</v>
      </c>
      <c r="EB184" s="507">
        <f>INPUT!GO260</f>
        <v>5.2056789224608657</v>
      </c>
      <c r="EC184" s="151">
        <f>INPUT!GP260</f>
        <v>5978.3388080461264</v>
      </c>
      <c r="ED184" s="507">
        <f>INPUT!GQ260</f>
        <v>3.431467267234023</v>
      </c>
      <c r="EE184" s="151">
        <f>INPUT!GR260</f>
        <v>6177.304842770066</v>
      </c>
      <c r="EF184" s="507">
        <f>INPUT!GS260</f>
        <v>3.3281157377055282</v>
      </c>
      <c r="EG184" s="151">
        <f>INPUT!GT260</f>
        <v>6357.7060002744411</v>
      </c>
      <c r="EH184" s="507">
        <f>INPUT!GU260</f>
        <v>2.9203861893835059</v>
      </c>
      <c r="EI184" s="151">
        <f>INPUT!GV260</f>
        <v>6544.1261730458264</v>
      </c>
      <c r="EJ184" s="507">
        <f>INPUT!GW260</f>
        <v>2.9321924097046592</v>
      </c>
      <c r="EK184" s="151">
        <f>INPUT!GX260</f>
        <v>6742.4590444293663</v>
      </c>
      <c r="EL184" s="507">
        <f>INPUT!GY260</f>
        <v>3.0307006029382633</v>
      </c>
      <c r="EM184" s="687">
        <f>INPUT!GZ260</f>
        <v>3.1283562732941084</v>
      </c>
    </row>
    <row r="185" spans="1:143" ht="12.75" hidden="1" customHeight="1" outlineLevel="1" x14ac:dyDescent="0.2">
      <c r="A185" s="701"/>
      <c r="B185" s="16"/>
      <c r="C185" s="507"/>
      <c r="D185" s="16"/>
      <c r="E185" s="687"/>
      <c r="F185" s="16"/>
      <c r="G185" s="687"/>
      <c r="H185" s="16"/>
      <c r="I185" s="687"/>
      <c r="J185" s="16"/>
      <c r="K185" s="687"/>
      <c r="L185" s="16"/>
      <c r="M185" s="687"/>
      <c r="N185" s="16"/>
      <c r="O185" s="687"/>
      <c r="P185" s="16"/>
      <c r="Q185" s="687"/>
      <c r="R185" s="16"/>
      <c r="S185" s="687"/>
      <c r="T185" s="16"/>
      <c r="U185" s="687"/>
      <c r="V185" s="16"/>
      <c r="W185" s="687"/>
      <c r="X185" s="16"/>
      <c r="Y185" s="687"/>
      <c r="Z185" s="16"/>
      <c r="AA185" s="122"/>
      <c r="AB185" s="16"/>
      <c r="AC185" s="687"/>
      <c r="AD185" s="16"/>
      <c r="AE185" s="687"/>
      <c r="AF185" s="16"/>
      <c r="AG185" s="687"/>
      <c r="AH185" s="16"/>
      <c r="AI185" s="507"/>
      <c r="AJ185" s="16"/>
      <c r="AK185" s="507"/>
      <c r="AL185" s="16"/>
      <c r="AM185" s="507"/>
      <c r="AN185" s="16"/>
      <c r="AO185" s="507"/>
      <c r="AP185" s="16"/>
      <c r="AQ185" s="507"/>
      <c r="AR185" s="16"/>
      <c r="AS185" s="507"/>
      <c r="AT185" s="16"/>
      <c r="AU185" s="507"/>
      <c r="AV185" s="16"/>
      <c r="AW185" s="507"/>
      <c r="AX185" s="16"/>
      <c r="AY185" s="507"/>
      <c r="AZ185" s="16"/>
      <c r="BA185" s="507"/>
      <c r="BB185" s="16"/>
      <c r="BC185" s="507"/>
      <c r="BD185" s="16"/>
      <c r="BE185" s="507"/>
      <c r="BF185" s="16"/>
      <c r="BG185" s="507"/>
      <c r="BH185" s="16"/>
      <c r="BI185" s="507"/>
      <c r="BJ185" s="16"/>
      <c r="BK185" s="507"/>
      <c r="BL185" s="16"/>
      <c r="BM185" s="507"/>
      <c r="BN185" s="16"/>
      <c r="BO185" s="507"/>
      <c r="BP185" s="16"/>
      <c r="BQ185" s="507"/>
      <c r="BR185" s="16"/>
      <c r="BS185" s="507"/>
      <c r="BT185" s="16"/>
      <c r="BU185" s="507"/>
      <c r="BV185" s="16"/>
      <c r="BW185" s="507"/>
      <c r="BX185" s="16"/>
      <c r="BY185" s="507"/>
      <c r="BZ185" s="16"/>
      <c r="CA185" s="507"/>
      <c r="CB185" s="16"/>
      <c r="CC185" s="507"/>
      <c r="CD185" s="16"/>
      <c r="CE185" s="507"/>
      <c r="CF185" s="16"/>
      <c r="CG185" s="507"/>
      <c r="CH185" s="16"/>
      <c r="CI185" s="507"/>
      <c r="CJ185" s="16"/>
      <c r="CK185" s="507"/>
      <c r="CL185" s="16"/>
      <c r="CM185" s="507"/>
      <c r="CN185" s="16"/>
      <c r="CO185" s="507"/>
      <c r="CP185" s="16"/>
      <c r="CQ185" s="507"/>
      <c r="CR185" s="16"/>
      <c r="CS185" s="507"/>
      <c r="CT185" s="16"/>
      <c r="CU185" s="507"/>
      <c r="CV185" s="16"/>
      <c r="CW185" s="507"/>
      <c r="CX185" s="16"/>
      <c r="CY185" s="507"/>
      <c r="CZ185" s="16"/>
      <c r="DA185" s="507"/>
      <c r="DB185" s="507"/>
      <c r="DC185" s="16"/>
      <c r="DD185" s="687"/>
      <c r="DE185" s="16"/>
      <c r="DF185" s="687"/>
      <c r="DG185" s="16"/>
      <c r="DH185" s="687"/>
      <c r="DI185" s="16"/>
      <c r="DJ185" s="687"/>
      <c r="DK185" s="16"/>
      <c r="DL185" s="507"/>
      <c r="DM185" s="16"/>
      <c r="DN185" s="507"/>
      <c r="DO185" s="16"/>
      <c r="DP185" s="507"/>
      <c r="DQ185" s="16"/>
      <c r="DR185" s="507"/>
      <c r="DS185" s="16"/>
      <c r="DT185" s="507"/>
      <c r="DU185" s="16"/>
      <c r="DV185" s="507"/>
      <c r="DW185" s="16"/>
      <c r="DX185" s="507"/>
      <c r="DY185" s="16"/>
      <c r="DZ185" s="507"/>
      <c r="EA185" s="16"/>
      <c r="EB185" s="507"/>
      <c r="EC185" s="16"/>
      <c r="ED185" s="507"/>
      <c r="EE185" s="16"/>
      <c r="EF185" s="507"/>
      <c r="EG185" s="16"/>
      <c r="EH185" s="507"/>
      <c r="EI185" s="16"/>
      <c r="EJ185" s="507"/>
      <c r="EK185" s="16"/>
      <c r="EL185" s="507"/>
      <c r="EM185" s="687"/>
    </row>
    <row r="186" spans="1:143" ht="12.75" hidden="1" customHeight="1" outlineLevel="1" x14ac:dyDescent="0.2">
      <c r="A186" s="701" t="str">
        <f>INPUT!B270</f>
        <v>Pretax Earnings</v>
      </c>
      <c r="B186" s="151">
        <f>INPUT!AY270</f>
        <v>105.19999999999999</v>
      </c>
      <c r="C186" s="507">
        <f>INPUT!AZ270</f>
        <v>21.90034762456543</v>
      </c>
      <c r="D186" s="151">
        <f>INPUT!BA270</f>
        <v>221</v>
      </c>
      <c r="E186" s="687" t="str">
        <f>INPUT!BB270</f>
        <v>NM</v>
      </c>
      <c r="F186" s="151">
        <f>INPUT!BC270</f>
        <v>179.59999999999991</v>
      </c>
      <c r="G186" s="687">
        <f>INPUT!BD270</f>
        <v>85.921325051759794</v>
      </c>
      <c r="H186" s="151">
        <f>INPUT!BE270</f>
        <v>239</v>
      </c>
      <c r="I186" s="687" t="str">
        <f>INPUT!BF270</f>
        <v>NM</v>
      </c>
      <c r="J186" s="151">
        <f>INPUT!BG270</f>
        <v>252.50000000000011</v>
      </c>
      <c r="K186" s="687" t="str">
        <f>INPUT!BH270</f>
        <v>NM</v>
      </c>
      <c r="L186" s="151">
        <f>INPUT!BI270</f>
        <v>269.5</v>
      </c>
      <c r="M186" s="687">
        <f>INPUT!BJ270</f>
        <v>21.945701357466074</v>
      </c>
      <c r="N186" s="151">
        <f>INPUT!BK270</f>
        <v>269.60000000000002</v>
      </c>
      <c r="O186" s="687">
        <f>INPUT!BL270</f>
        <v>50.111358574610335</v>
      </c>
      <c r="P186" s="151">
        <f>INPUT!BM270</f>
        <v>258.39999999999986</v>
      </c>
      <c r="Q186" s="687">
        <f>INPUT!BN270</f>
        <v>8.1171548117154213</v>
      </c>
      <c r="R186" s="151">
        <f>INPUT!BO270</f>
        <v>238.50000000000011</v>
      </c>
      <c r="S186" s="687">
        <f>INPUT!BP270</f>
        <v>-5.5445544554455388</v>
      </c>
      <c r="T186" s="151">
        <f>INPUT!BQ270</f>
        <v>247.20000000000005</v>
      </c>
      <c r="U186" s="687">
        <f>INPUT!BR270</f>
        <v>-8.2745825602968281</v>
      </c>
      <c r="V186" s="151">
        <f>INPUT!BS270</f>
        <v>201.90000000000009</v>
      </c>
      <c r="W186" s="687">
        <f>INPUT!BT270</f>
        <v>-25.111275964391666</v>
      </c>
      <c r="X186" s="151">
        <f>INPUT!BU270</f>
        <v>120.5</v>
      </c>
      <c r="Y186" s="687" t="str">
        <f>INPUT!BV270</f>
        <v>NM</v>
      </c>
      <c r="Z186" s="151">
        <f>INPUT!BW270</f>
        <v>193.70000000000005</v>
      </c>
      <c r="AA186" s="122">
        <f>INPUT!BX270</f>
        <v>-18.784067085953893</v>
      </c>
      <c r="AB186" s="151">
        <f>INPUT!BY270</f>
        <v>196.70000000000005</v>
      </c>
      <c r="AC186" s="687">
        <f>INPUT!BZ270</f>
        <v>-20.428802588996763</v>
      </c>
      <c r="AD186" s="151">
        <f>INPUT!CA270</f>
        <v>191.59999999999991</v>
      </c>
      <c r="AE186" s="687">
        <f>INPUT!CB270</f>
        <v>-5.1015354135711677</v>
      </c>
      <c r="AF186" s="151">
        <f>INPUT!CC270</f>
        <v>232.10000000000014</v>
      </c>
      <c r="AG186" s="687">
        <f>INPUT!CD270</f>
        <v>92.614107883817539</v>
      </c>
      <c r="AH186" s="151">
        <f>INPUT!CE270</f>
        <v>202.20000000000005</v>
      </c>
      <c r="AI186" s="507">
        <f>INPUT!CF270</f>
        <v>4.3882292204439954</v>
      </c>
      <c r="AJ186" s="151">
        <f>INPUT!CG270</f>
        <v>221.70000000000005</v>
      </c>
      <c r="AK186" s="507">
        <f>INPUT!CH270</f>
        <v>12.709710218607007</v>
      </c>
      <c r="AL186" s="151">
        <f>INPUT!CI270</f>
        <v>79.799999999999955</v>
      </c>
      <c r="AM186" s="507" t="str">
        <f>INPUT!CJ270</f>
        <v>NM</v>
      </c>
      <c r="AN186" s="151">
        <f>INPUT!CK270</f>
        <v>245.99999999999989</v>
      </c>
      <c r="AO186" s="507">
        <f>INPUT!CL270</f>
        <v>5.9887979319257933</v>
      </c>
      <c r="AP186" s="151">
        <f>INPUT!CM270</f>
        <v>210</v>
      </c>
      <c r="AQ186" s="507">
        <f>INPUT!CN270</f>
        <v>3.8575667655786017</v>
      </c>
      <c r="AR186" s="151">
        <f>INPUT!CO270</f>
        <v>201.5</v>
      </c>
      <c r="AS186" s="507">
        <f>INPUT!CP270</f>
        <v>-9.1114118177717867</v>
      </c>
      <c r="AT186" s="151">
        <f>INPUT!CQ270</f>
        <v>219.19999999999993</v>
      </c>
      <c r="AU186" s="507" t="str">
        <f>INPUT!CR270</f>
        <v>NM</v>
      </c>
      <c r="AV186" s="151">
        <f>INPUT!CS270</f>
        <v>204</v>
      </c>
      <c r="AW186" s="507">
        <f>INPUT!CT270</f>
        <v>-17.073170731707275</v>
      </c>
      <c r="AX186" s="151">
        <f>INPUT!CU270</f>
        <v>207</v>
      </c>
      <c r="AY186" s="507">
        <f>INPUT!CV270</f>
        <v>-1.4285714285714235</v>
      </c>
      <c r="AZ186" s="151">
        <f>INPUT!CW270</f>
        <v>201</v>
      </c>
      <c r="BA186" s="507">
        <f>INPUT!CX270</f>
        <v>-0.24813895781637951</v>
      </c>
      <c r="BB186" s="151">
        <f>INPUT!CY270</f>
        <v>216</v>
      </c>
      <c r="BC186" s="507">
        <f>INPUT!CZ270</f>
        <v>-1.4598540145985051</v>
      </c>
      <c r="BD186" s="151">
        <f>INPUT!DA270</f>
        <v>213</v>
      </c>
      <c r="BE186" s="507">
        <f>INPUT!DB270</f>
        <v>4.4117647058823595</v>
      </c>
      <c r="BF186" s="151">
        <f>INPUT!DC270</f>
        <v>167</v>
      </c>
      <c r="BG186" s="507">
        <f>INPUT!DD270</f>
        <v>-19.323671497584538</v>
      </c>
      <c r="BH186" s="151">
        <f>INPUT!DE270</f>
        <v>201</v>
      </c>
      <c r="BI186" s="507">
        <f>INPUT!DF270</f>
        <v>0</v>
      </c>
      <c r="BJ186" s="151">
        <f>INPUT!DG270</f>
        <v>210</v>
      </c>
      <c r="BK186" s="507">
        <f>INPUT!DH270</f>
        <v>-2.777777777777779</v>
      </c>
      <c r="BL186" s="151">
        <f>INPUT!DI270</f>
        <v>234</v>
      </c>
      <c r="BM186" s="507">
        <f>INPUT!DJ270</f>
        <v>9.8591549295774747</v>
      </c>
      <c r="BN186" s="151">
        <f>INPUT!DK270</f>
        <v>178</v>
      </c>
      <c r="BO186" s="507">
        <f>INPUT!DL270</f>
        <v>6.5868263473053856</v>
      </c>
      <c r="BP186" s="151">
        <f>INPUT!DM270</f>
        <v>223</v>
      </c>
      <c r="BQ186" s="507">
        <f>INPUT!DN270</f>
        <v>10.945273631840791</v>
      </c>
      <c r="BR186" s="151">
        <f>INPUT!DO270</f>
        <v>226</v>
      </c>
      <c r="BS186" s="507">
        <f>INPUT!DP270</f>
        <v>7.6190476190476142</v>
      </c>
      <c r="BT186" s="151">
        <f>INPUT!DQ270</f>
        <v>280</v>
      </c>
      <c r="BU186" s="507">
        <f>INPUT!DR270</f>
        <v>19.658119658119656</v>
      </c>
      <c r="BV186" s="151">
        <f>INPUT!DS270</f>
        <v>156</v>
      </c>
      <c r="BW186" s="507">
        <f>INPUT!DT270</f>
        <v>-12.35955056179775</v>
      </c>
      <c r="BX186" s="151">
        <f>INPUT!DU270</f>
        <v>152</v>
      </c>
      <c r="BY186" s="507">
        <f>INPUT!DV270</f>
        <v>-31.838565022421527</v>
      </c>
      <c r="BZ186" s="151">
        <f>INPUT!DW270</f>
        <v>46</v>
      </c>
      <c r="CA186" s="507">
        <f>INPUT!DX270</f>
        <v>46</v>
      </c>
      <c r="CB186" s="151">
        <f>INPUT!DY270</f>
        <v>175</v>
      </c>
      <c r="CC186" s="507">
        <f>INPUT!DZ270</f>
        <v>-37.5</v>
      </c>
      <c r="CD186" s="151">
        <f>INPUT!EA270</f>
        <v>103</v>
      </c>
      <c r="CE186" s="507">
        <f>INPUT!EB270</f>
        <v>-33.974358974358978</v>
      </c>
      <c r="CF186" s="151">
        <f>INPUT!EC270</f>
        <v>175</v>
      </c>
      <c r="CG186" s="507">
        <f>INPUT!ED270</f>
        <v>15.131578947368428</v>
      </c>
      <c r="CH186" s="151">
        <f>INPUT!EE270</f>
        <v>246</v>
      </c>
      <c r="CI186" s="507" t="str">
        <f>INPUT!EF270</f>
        <v>NM</v>
      </c>
      <c r="CJ186" s="151">
        <f>INPUT!EG270</f>
        <v>228</v>
      </c>
      <c r="CK186" s="507">
        <f>INPUT!EH270</f>
        <v>30.285714285714292</v>
      </c>
      <c r="CL186" s="151">
        <f>INPUT!EI270</f>
        <v>187</v>
      </c>
      <c r="CM186" s="507">
        <f>INPUT!EJ270</f>
        <v>81.553398058252441</v>
      </c>
      <c r="CN186" s="151">
        <f>INPUT!EK270</f>
        <v>194</v>
      </c>
      <c r="CO186" s="507">
        <f>INPUT!EL270</f>
        <v>10.857142857142854</v>
      </c>
      <c r="CP186" s="151">
        <f>INPUT!EM270</f>
        <v>175</v>
      </c>
      <c r="CQ186" s="507">
        <f>INPUT!EN270</f>
        <v>-28.861788617886177</v>
      </c>
      <c r="CR186" s="151">
        <f>INPUT!EO270</f>
        <v>223</v>
      </c>
      <c r="CS186" s="507">
        <f>INPUT!EP270</f>
        <v>-2.1929824561403466</v>
      </c>
      <c r="CT186" s="151">
        <f>INPUT!EQ270</f>
        <v>179.57095514803746</v>
      </c>
      <c r="CU186" s="507">
        <f>INPUT!ER270</f>
        <v>-3.9727512577339863</v>
      </c>
      <c r="CV186" s="151">
        <f>INPUT!ES270</f>
        <v>200.01551996690796</v>
      </c>
      <c r="CW186" s="507">
        <f>INPUT!ET270</f>
        <v>3.100783488096881</v>
      </c>
      <c r="CX186" s="151">
        <f>INPUT!EU270</f>
        <v>199.90495128604789</v>
      </c>
      <c r="CY186" s="507">
        <f>INPUT!EV270</f>
        <v>14.231400734884513</v>
      </c>
      <c r="CZ186" s="151">
        <f>INPUT!EW270</f>
        <v>209.89046835143449</v>
      </c>
      <c r="DA186" s="507">
        <f>INPUT!EX270</f>
        <v>-5.8787137437513515</v>
      </c>
      <c r="DB186" s="507"/>
      <c r="DC186" s="151">
        <f>INPUT!FP270</f>
        <v>386.19999999999982</v>
      </c>
      <c r="DD186" s="687">
        <f>INPUT!FQ270</f>
        <v>1.3648293963254066</v>
      </c>
      <c r="DE186" s="151">
        <f>INPUT!FR270</f>
        <v>744.79999999999973</v>
      </c>
      <c r="DF186" s="687">
        <f>INPUT!FS270</f>
        <v>92.853443811496646</v>
      </c>
      <c r="DG186" s="151">
        <f>INPUT!FT270</f>
        <v>1050</v>
      </c>
      <c r="DH186" s="687">
        <f>INPUT!FU270</f>
        <v>40.9774436090226</v>
      </c>
      <c r="DI186" s="151">
        <f>INPUT!FV270</f>
        <v>808.09999999999991</v>
      </c>
      <c r="DJ186" s="687">
        <f>INPUT!FW270</f>
        <v>-23.038095238095245</v>
      </c>
      <c r="DK186" s="151">
        <f>INPUT!FX270</f>
        <v>814.09999999999991</v>
      </c>
      <c r="DL186" s="507">
        <f>INPUT!FY270</f>
        <v>0.74248236604381734</v>
      </c>
      <c r="DM186" s="151">
        <f>INPUT!FZ270</f>
        <v>749.69999999999891</v>
      </c>
      <c r="DN186" s="507">
        <f>INPUT!GA270</f>
        <v>-7.9105760963027905</v>
      </c>
      <c r="DO186" s="151">
        <f>INPUT!GB270</f>
        <v>834.69999999999982</v>
      </c>
      <c r="DP186" s="507">
        <f>INPUT!GC270</f>
        <v>11.337868480725755</v>
      </c>
      <c r="DQ186" s="151">
        <f>INPUT!GD270</f>
        <v>837</v>
      </c>
      <c r="DR186" s="507">
        <f>INPUT!GE270</f>
        <v>0.27554810111418693</v>
      </c>
      <c r="DS186" s="151">
        <f>INPUT!GF270</f>
        <v>812</v>
      </c>
      <c r="DT186" s="507">
        <f>INPUT!GG270</f>
        <v>-2.9868578255675016</v>
      </c>
      <c r="DU186" s="151">
        <f>INPUT!GH270</f>
        <v>907</v>
      </c>
      <c r="DV186" s="507">
        <f>INPUT!GI270</f>
        <v>11.699507389162566</v>
      </c>
      <c r="DW186" s="151">
        <f>INPUT!GJ270</f>
        <v>529</v>
      </c>
      <c r="DX186" s="507">
        <f>INPUT!GK270</f>
        <v>-41.67585446527012</v>
      </c>
      <c r="DY186" s="151">
        <f>INPUT!GL270</f>
        <v>752</v>
      </c>
      <c r="DZ186" s="507">
        <f>INPUT!GM270</f>
        <v>42.155009451795841</v>
      </c>
      <c r="EA186" s="151">
        <f>INPUT!GN270</f>
        <v>779</v>
      </c>
      <c r="EB186" s="507">
        <f>INPUT!GO270</f>
        <v>3.590425531914887</v>
      </c>
      <c r="EC186" s="151">
        <f>INPUT!GP270</f>
        <v>789.38189475242689</v>
      </c>
      <c r="ED186" s="507">
        <f>INPUT!GQ270</f>
        <v>1.3327207641112837</v>
      </c>
      <c r="EE186" s="151">
        <f>INPUT!GR270</f>
        <v>798.64408249213284</v>
      </c>
      <c r="EF186" s="507">
        <f>INPUT!GS270</f>
        <v>1.1733468681354609</v>
      </c>
      <c r="EG186" s="151">
        <f>INPUT!GT270</f>
        <v>819.37998574689209</v>
      </c>
      <c r="EH186" s="507">
        <f>INPUT!GU270</f>
        <v>2.5963885176552903</v>
      </c>
      <c r="EI186" s="151">
        <f>INPUT!GV270</f>
        <v>846.29441379536001</v>
      </c>
      <c r="EJ186" s="507">
        <f>INPUT!GW270</f>
        <v>3.2847309571437222</v>
      </c>
      <c r="EK186" s="151">
        <f>INPUT!GX270</f>
        <v>874.03237430628997</v>
      </c>
      <c r="EL186" s="507">
        <f>INPUT!GY270</f>
        <v>3.2775781168794538</v>
      </c>
      <c r="EM186" s="687">
        <f>INPUT!GZ270</f>
        <v>2.3288308881943776</v>
      </c>
    </row>
    <row r="187" spans="1:143" ht="12.75" hidden="1" customHeight="1" outlineLevel="1" x14ac:dyDescent="0.2">
      <c r="A187" s="701" t="str">
        <f>INPUT!B271</f>
        <v>Taxes</v>
      </c>
      <c r="B187" s="151">
        <f>INPUT!AY271</f>
        <v>36.199999999999996</v>
      </c>
      <c r="C187" s="507">
        <f>INPUT!AZ271</f>
        <v>28.825622775800696</v>
      </c>
      <c r="D187" s="151">
        <f>INPUT!BA271</f>
        <v>73.900000000000006</v>
      </c>
      <c r="E187" s="687" t="str">
        <f>INPUT!BB271</f>
        <v>NM</v>
      </c>
      <c r="F187" s="151">
        <f>INPUT!BC271</f>
        <v>56.8</v>
      </c>
      <c r="G187" s="687">
        <f>INPUT!BD271</f>
        <v>78.61635220125784</v>
      </c>
      <c r="H187" s="151">
        <f>INPUT!BE271</f>
        <v>81.7</v>
      </c>
      <c r="I187" s="687" t="str">
        <f>INPUT!BF271</f>
        <v>NM</v>
      </c>
      <c r="J187" s="151">
        <f>INPUT!BG271</f>
        <v>85.9</v>
      </c>
      <c r="K187" s="687" t="str">
        <f>INPUT!BH271</f>
        <v>NM</v>
      </c>
      <c r="L187" s="151">
        <f>INPUT!BI271</f>
        <v>93</v>
      </c>
      <c r="M187" s="687">
        <f>INPUT!BJ271</f>
        <v>25.845737483085252</v>
      </c>
      <c r="N187" s="151">
        <f>INPUT!BK271</f>
        <v>87.8</v>
      </c>
      <c r="O187" s="687">
        <f>INPUT!BL271</f>
        <v>54.577464788732399</v>
      </c>
      <c r="P187" s="151">
        <f>INPUT!BM271</f>
        <v>87.8</v>
      </c>
      <c r="Q187" s="687">
        <f>INPUT!BN271</f>
        <v>7.466340269277838</v>
      </c>
      <c r="R187" s="151">
        <f>INPUT!BO271</f>
        <v>81.099999999999994</v>
      </c>
      <c r="S187" s="687">
        <f>INPUT!BP271</f>
        <v>-5.5878928987194492</v>
      </c>
      <c r="T187" s="151">
        <f>INPUT!BQ271</f>
        <v>83.7</v>
      </c>
      <c r="U187" s="687">
        <f>INPUT!BR271</f>
        <v>-9.9999999999999982</v>
      </c>
      <c r="V187" s="151">
        <f>INPUT!BS271</f>
        <v>64.5</v>
      </c>
      <c r="W187" s="687">
        <f>INPUT!BT271</f>
        <v>-26.537585421412302</v>
      </c>
      <c r="X187" s="151">
        <f>INPUT!BU271</f>
        <v>38</v>
      </c>
      <c r="Y187" s="687" t="str">
        <f>INPUT!BV271</f>
        <v>NM</v>
      </c>
      <c r="Z187" s="151">
        <f>INPUT!BW271</f>
        <v>51.5</v>
      </c>
      <c r="AA187" s="122">
        <f>INPUT!BX271</f>
        <v>-36.498150431565968</v>
      </c>
      <c r="AB187" s="151">
        <f>INPUT!BY271</f>
        <v>63.8</v>
      </c>
      <c r="AC187" s="687">
        <f>INPUT!BZ271</f>
        <v>-23.775388291517331</v>
      </c>
      <c r="AD187" s="151">
        <f>INPUT!CA271</f>
        <v>55.1</v>
      </c>
      <c r="AE187" s="687">
        <f>INPUT!CB271</f>
        <v>-14.573643410852711</v>
      </c>
      <c r="AF187" s="151">
        <f>INPUT!CC271</f>
        <v>74.5</v>
      </c>
      <c r="AG187" s="687">
        <f>INPUT!CD271</f>
        <v>96.05263157894737</v>
      </c>
      <c r="AH187" s="151">
        <f>INPUT!CE271</f>
        <v>65.3</v>
      </c>
      <c r="AI187" s="507">
        <f>INPUT!CF271</f>
        <v>26.796116504854361</v>
      </c>
      <c r="AJ187" s="151">
        <f>INPUT!CG271</f>
        <v>70</v>
      </c>
      <c r="AK187" s="507">
        <f>INPUT!CH271</f>
        <v>9.717868338557988</v>
      </c>
      <c r="AL187" s="151">
        <f>INPUT!CI271</f>
        <v>19.899999999999999</v>
      </c>
      <c r="AM187" s="507" t="str">
        <f>INPUT!CJ271</f>
        <v>NM</v>
      </c>
      <c r="AN187" s="151">
        <f>INPUT!CK271</f>
        <v>80.5</v>
      </c>
      <c r="AO187" s="507">
        <f>INPUT!CL271</f>
        <v>8.0536912751677967</v>
      </c>
      <c r="AP187" s="151">
        <f>INPUT!CM271</f>
        <v>68</v>
      </c>
      <c r="AQ187" s="507">
        <f>INPUT!CN271</f>
        <v>4.1347626339969468</v>
      </c>
      <c r="AR187" s="151">
        <f>INPUT!CO271</f>
        <v>65.099999999999994</v>
      </c>
      <c r="AS187" s="507">
        <f>INPUT!CP271</f>
        <v>-7.0000000000000062</v>
      </c>
      <c r="AT187" s="151">
        <f>INPUT!CQ271</f>
        <v>65.400000000000006</v>
      </c>
      <c r="AU187" s="507" t="str">
        <f>INPUT!CR271</f>
        <v>NM</v>
      </c>
      <c r="AV187" s="151">
        <f>INPUT!CS271</f>
        <v>69</v>
      </c>
      <c r="AW187" s="507">
        <f>INPUT!CT271</f>
        <v>-14.28571428571429</v>
      </c>
      <c r="AX187" s="151">
        <f>INPUT!CU271</f>
        <v>68</v>
      </c>
      <c r="AY187" s="507">
        <f>INPUT!CV271</f>
        <v>0</v>
      </c>
      <c r="AZ187" s="151">
        <f>INPUT!CW271</f>
        <v>66</v>
      </c>
      <c r="BA187" s="507">
        <f>INPUT!CX271</f>
        <v>1.3824884792626779</v>
      </c>
      <c r="BB187" s="151">
        <f>INPUT!CY271</f>
        <v>64</v>
      </c>
      <c r="BC187" s="507">
        <f>INPUT!CZ271</f>
        <v>-2.1406727828746308</v>
      </c>
      <c r="BD187" s="151">
        <f>INPUT!DA271</f>
        <v>66</v>
      </c>
      <c r="BE187" s="507">
        <f>INPUT!DB271</f>
        <v>-4.3478260869565188</v>
      </c>
      <c r="BF187" s="151">
        <f>INPUT!DC271</f>
        <v>55</v>
      </c>
      <c r="BG187" s="507">
        <f>INPUT!DD271</f>
        <v>-19.117647058823529</v>
      </c>
      <c r="BH187" s="151">
        <f>INPUT!DE271</f>
        <v>66</v>
      </c>
      <c r="BI187" s="507">
        <f>INPUT!DF271</f>
        <v>0</v>
      </c>
      <c r="BJ187" s="151">
        <f>INPUT!DG271</f>
        <v>70</v>
      </c>
      <c r="BK187" s="507">
        <f>INPUT!DH271</f>
        <v>9.375</v>
      </c>
      <c r="BL187" s="151">
        <f>INPUT!DI271</f>
        <v>77</v>
      </c>
      <c r="BM187" s="507">
        <f>INPUT!DJ271</f>
        <v>16.666666666666675</v>
      </c>
      <c r="BN187" s="151">
        <f>INPUT!DK271</f>
        <v>58</v>
      </c>
      <c r="BO187" s="507">
        <f>INPUT!DL271</f>
        <v>5.4545454545454453</v>
      </c>
      <c r="BP187" s="151">
        <f>INPUT!DM271</f>
        <v>75</v>
      </c>
      <c r="BQ187" s="507">
        <f>INPUT!DN271</f>
        <v>13.636363636363647</v>
      </c>
      <c r="BR187" s="151">
        <f>INPUT!DO271</f>
        <v>76</v>
      </c>
      <c r="BS187" s="507">
        <f>INPUT!DP271</f>
        <v>8.5714285714285623</v>
      </c>
      <c r="BT187" s="151">
        <f>INPUT!DQ271</f>
        <v>87</v>
      </c>
      <c r="BU187" s="507">
        <f>INPUT!DR271</f>
        <v>12.987012987012992</v>
      </c>
      <c r="BV187" s="151">
        <f>INPUT!DS271</f>
        <v>45</v>
      </c>
      <c r="BW187" s="507">
        <f>INPUT!DT271</f>
        <v>-22.413793103448278</v>
      </c>
      <c r="BX187" s="151">
        <f>INPUT!DU271</f>
        <v>47</v>
      </c>
      <c r="BY187" s="507">
        <f>INPUT!DV271</f>
        <v>-37.333333333333329</v>
      </c>
      <c r="BZ187" s="151">
        <f>INPUT!DW271</f>
        <v>10</v>
      </c>
      <c r="CA187" s="507">
        <f>INPUT!DX271</f>
        <v>10</v>
      </c>
      <c r="CB187" s="151">
        <f>INPUT!DY271</f>
        <v>56</v>
      </c>
      <c r="CC187" s="507">
        <f>INPUT!DZ271</f>
        <v>-35.632183908045981</v>
      </c>
      <c r="CD187" s="151">
        <f>INPUT!EA271</f>
        <v>28</v>
      </c>
      <c r="CE187" s="507">
        <f>INPUT!EB271</f>
        <v>-37.777777777777779</v>
      </c>
      <c r="CF187" s="151">
        <f>INPUT!EC271</f>
        <v>55</v>
      </c>
      <c r="CG187" s="507">
        <f>INPUT!ED271</f>
        <v>17.021276595744684</v>
      </c>
      <c r="CH187" s="151">
        <f>INPUT!EE271</f>
        <v>79</v>
      </c>
      <c r="CI187" s="507" t="str">
        <f>INPUT!EF271</f>
        <v>NM</v>
      </c>
      <c r="CJ187" s="151">
        <f>INPUT!EG271</f>
        <v>74</v>
      </c>
      <c r="CK187" s="507">
        <f>INPUT!EH271</f>
        <v>32.142857142857139</v>
      </c>
      <c r="CL187" s="151">
        <f>INPUT!EI271</f>
        <v>57</v>
      </c>
      <c r="CM187" s="507" t="str">
        <f>INPUT!EJ271</f>
        <v>NM</v>
      </c>
      <c r="CN187" s="151">
        <f>INPUT!EK271</f>
        <v>61</v>
      </c>
      <c r="CO187" s="507">
        <f>INPUT!EL271</f>
        <v>10.909090909090914</v>
      </c>
      <c r="CP187" s="151">
        <f>INPUT!EM271</f>
        <v>54</v>
      </c>
      <c r="CQ187" s="507">
        <f>INPUT!EN271</f>
        <v>-31.645569620253166</v>
      </c>
      <c r="CR187" s="151">
        <f>INPUT!EO271</f>
        <v>71</v>
      </c>
      <c r="CS187" s="507">
        <f>INPUT!EP271</f>
        <v>-4.0540540540540571</v>
      </c>
      <c r="CT187" s="151">
        <f>INPUT!EQ271</f>
        <v>35.914191029607494</v>
      </c>
      <c r="CU187" s="507">
        <f>INPUT!ER271</f>
        <v>-36.992647316478077</v>
      </c>
      <c r="CV187" s="151">
        <f>INPUT!ES271</f>
        <v>40.003103993381593</v>
      </c>
      <c r="CW187" s="507">
        <f>INPUT!ET271</f>
        <v>-34.421140994456401</v>
      </c>
      <c r="CX187" s="151">
        <f>INPUT!EU271</f>
        <v>39.980990257209584</v>
      </c>
      <c r="CY187" s="507">
        <f>INPUT!EV271</f>
        <v>-25.961129153315589</v>
      </c>
      <c r="CZ187" s="151">
        <f>INPUT!EW271</f>
        <v>41.978093670286903</v>
      </c>
      <c r="DA187" s="507">
        <f>INPUT!EX271</f>
        <v>-40.875924408046615</v>
      </c>
      <c r="DB187" s="507"/>
      <c r="DC187" s="151">
        <f>INPUT!FP271</f>
        <v>126.7</v>
      </c>
      <c r="DD187" s="687">
        <f>INPUT!FQ271</f>
        <v>2.1774193548387055</v>
      </c>
      <c r="DE187" s="151">
        <f>INPUT!FR271</f>
        <v>248.59999999999997</v>
      </c>
      <c r="DF187" s="687">
        <f>INPUT!FS271</f>
        <v>96.211523283346452</v>
      </c>
      <c r="DG187" s="151">
        <f>INPUT!FT271</f>
        <v>354.5</v>
      </c>
      <c r="DH187" s="687">
        <f>INPUT!FU271</f>
        <v>42.598551890587302</v>
      </c>
      <c r="DI187" s="151">
        <f>INPUT!FV271</f>
        <v>267.3</v>
      </c>
      <c r="DJ187" s="687">
        <f>INPUT!FW271</f>
        <v>-24.598025387870237</v>
      </c>
      <c r="DK187" s="151">
        <f>INPUT!FX271</f>
        <v>244.9</v>
      </c>
      <c r="DL187" s="507">
        <f>INPUT!FY271</f>
        <v>-8.3800972689861641</v>
      </c>
      <c r="DM187" s="151">
        <f>INPUT!FZ271</f>
        <v>235.70000000000002</v>
      </c>
      <c r="DN187" s="507">
        <f>INPUT!GA271</f>
        <v>-3.7566353613719849</v>
      </c>
      <c r="DO187" s="151">
        <f>INPUT!GB271</f>
        <v>267.5</v>
      </c>
      <c r="DP187" s="507">
        <f>INPUT!GC271</f>
        <v>13.491726771319467</v>
      </c>
      <c r="DQ187" s="151">
        <f>INPUT!GD271</f>
        <v>264</v>
      </c>
      <c r="DR187" s="507">
        <f>INPUT!GE271</f>
        <v>-1.3084112149532756</v>
      </c>
      <c r="DS187" s="151">
        <f>INPUT!GF271</f>
        <v>268</v>
      </c>
      <c r="DT187" s="507">
        <f>INPUT!GG271</f>
        <v>1.5151515151515138</v>
      </c>
      <c r="DU187" s="151">
        <f>INPUT!GH271</f>
        <v>296</v>
      </c>
      <c r="DV187" s="507">
        <f>INPUT!GI271</f>
        <v>10.447761194029859</v>
      </c>
      <c r="DW187" s="151">
        <f>INPUT!GJ271</f>
        <v>158</v>
      </c>
      <c r="DX187" s="507">
        <f>INPUT!GK271</f>
        <v>-46.621621621621621</v>
      </c>
      <c r="DY187" s="151">
        <f>INPUT!GL271</f>
        <v>236</v>
      </c>
      <c r="DZ187" s="507">
        <f>INPUT!GM271</f>
        <v>49.367088607594937</v>
      </c>
      <c r="EA187" s="151">
        <f>INPUT!GN271</f>
        <v>243</v>
      </c>
      <c r="EB187" s="507">
        <f>INPUT!GO271</f>
        <v>2.9661016949152463</v>
      </c>
      <c r="EC187" s="151">
        <f>INPUT!GP271</f>
        <v>157.87637895048559</v>
      </c>
      <c r="ED187" s="507">
        <f>INPUT!GQ271</f>
        <v>-35.030296728195232</v>
      </c>
      <c r="EE187" s="151">
        <f>INPUT!GR271</f>
        <v>159.72881649842677</v>
      </c>
      <c r="EF187" s="507">
        <f>INPUT!GS271</f>
        <v>1.1733468681354609</v>
      </c>
      <c r="EG187" s="151">
        <f>INPUT!GT271</f>
        <v>163.87599714937863</v>
      </c>
      <c r="EH187" s="507">
        <f>INPUT!GU271</f>
        <v>2.5963885176553125</v>
      </c>
      <c r="EI187" s="151">
        <f>INPUT!GV271</f>
        <v>169.25888275907224</v>
      </c>
      <c r="EJ187" s="507">
        <f>INPUT!GW271</f>
        <v>3.2847309571437222</v>
      </c>
      <c r="EK187" s="151">
        <f>INPUT!GX271</f>
        <v>174.80647486125821</v>
      </c>
      <c r="EL187" s="507">
        <f>INPUT!GY271</f>
        <v>3.2775781168794316</v>
      </c>
      <c r="EM187" s="687">
        <f>INPUT!GZ271</f>
        <v>-6.375341141001023</v>
      </c>
    </row>
    <row r="188" spans="1:143" ht="12.75" hidden="1" customHeight="1" outlineLevel="1" x14ac:dyDescent="0.2">
      <c r="A188" s="701" t="str">
        <f>INPUT!B272</f>
        <v>Tax Rate (%)</v>
      </c>
      <c r="B188" s="156">
        <f>INPUT!AY272</f>
        <v>34.410646387832699</v>
      </c>
      <c r="C188" s="507">
        <f>INPUT!AZ272</f>
        <v>5.6810954900342381</v>
      </c>
      <c r="D188" s="156">
        <f>INPUT!BA272</f>
        <v>33.438914027149323</v>
      </c>
      <c r="E188" s="687">
        <f>INPUT!BB272</f>
        <v>2.5239311261443298</v>
      </c>
      <c r="F188" s="156">
        <f>INPUT!BC272</f>
        <v>31.625835189309591</v>
      </c>
      <c r="G188" s="687">
        <f>INPUT!BD272</f>
        <v>-3.9290666890784531</v>
      </c>
      <c r="H188" s="156">
        <f>INPUT!BE272</f>
        <v>34.18410041841004</v>
      </c>
      <c r="I188" s="687">
        <f>INPUT!BF272</f>
        <v>3.3951968819853962</v>
      </c>
      <c r="J188" s="156">
        <f>INPUT!BG272</f>
        <v>34.019801980198004</v>
      </c>
      <c r="K188" s="687">
        <f>INPUT!BH272</f>
        <v>-1.1358240796455754</v>
      </c>
      <c r="L188" s="156">
        <f>INPUT!BI272</f>
        <v>34.508348794063082</v>
      </c>
      <c r="M188" s="687">
        <f>INPUT!BJ272</f>
        <v>3.1981743367786253</v>
      </c>
      <c r="N188" s="156">
        <f>INPUT!BK272</f>
        <v>32.566765578635007</v>
      </c>
      <c r="O188" s="687">
        <f>INPUT!BL272</f>
        <v>2.9751953859655789</v>
      </c>
      <c r="P188" s="156">
        <f>INPUT!BM272</f>
        <v>33.978328173374628</v>
      </c>
      <c r="Q188" s="687">
        <f>INPUT!BN272</f>
        <v>-0.60195307911216078</v>
      </c>
      <c r="R188" s="156">
        <f>INPUT!BO272</f>
        <v>34.004192872117386</v>
      </c>
      <c r="S188" s="687">
        <f>INPUT!BP272</f>
        <v>-4.5882418979692474E-2</v>
      </c>
      <c r="T188" s="156">
        <f>INPUT!BQ272</f>
        <v>33.859223300970868</v>
      </c>
      <c r="U188" s="687">
        <f>INPUT!BR272</f>
        <v>-1.8810679611650727</v>
      </c>
      <c r="V188" s="156">
        <f>INPUT!BS272</f>
        <v>31.946508172362542</v>
      </c>
      <c r="W188" s="687">
        <f>INPUT!BT272</f>
        <v>-1.9045717167546328</v>
      </c>
      <c r="X188" s="156">
        <f>INPUT!BU272</f>
        <v>31.535269709543567</v>
      </c>
      <c r="Y188" s="687">
        <f>INPUT!BV272</f>
        <v>-7.1900490552841205</v>
      </c>
      <c r="Z188" s="156">
        <f>INPUT!BW272</f>
        <v>26.587506453278259</v>
      </c>
      <c r="AA188" s="122">
        <f>INPUT!BX272</f>
        <v>-21.811093845784622</v>
      </c>
      <c r="AB188" s="156">
        <f>INPUT!BY272</f>
        <v>32.435180477885098</v>
      </c>
      <c r="AC188" s="687">
        <f>INPUT!BZ272</f>
        <v>-4.2057752194361147</v>
      </c>
      <c r="AD188" s="156">
        <f>INPUT!CA272</f>
        <v>28.757828810020889</v>
      </c>
      <c r="AE188" s="687">
        <f>INPUT!CB272</f>
        <v>-9.9813079574694541</v>
      </c>
      <c r="AF188" s="156">
        <f>INPUT!CC272</f>
        <v>32.098233520034448</v>
      </c>
      <c r="AG188" s="687">
        <f>INPUT!CD272</f>
        <v>1.7851878727408232</v>
      </c>
      <c r="AH188" s="156">
        <f>INPUT!CE272</f>
        <v>32.294757665677537</v>
      </c>
      <c r="AI188" s="507">
        <f>INPUT!CF272</f>
        <v>21.465913783334756</v>
      </c>
      <c r="AJ188" s="156">
        <f>INPUT!CG272</f>
        <v>31.574199368516005</v>
      </c>
      <c r="AK188" s="507">
        <f>INPUT!CH272</f>
        <v>-2.6544668371927926</v>
      </c>
      <c r="AL188" s="156">
        <f>INPUT!CI272</f>
        <v>24.937343358396003</v>
      </c>
      <c r="AM188" s="507">
        <f>INPUT!CJ272</f>
        <v>-13.285027450659314</v>
      </c>
      <c r="AN188" s="156">
        <f>INPUT!CK272</f>
        <v>32.723577235772375</v>
      </c>
      <c r="AO188" s="507">
        <f>INPUT!CL272</f>
        <v>1.9482184754734622</v>
      </c>
      <c r="AP188" s="156">
        <f>INPUT!CM272</f>
        <v>32.38095238095238</v>
      </c>
      <c r="AQ188" s="507">
        <f>INPUT!CN272</f>
        <v>0.26690002187708117</v>
      </c>
      <c r="AR188" s="156">
        <f>INPUT!CO272</f>
        <v>32.307692307692307</v>
      </c>
      <c r="AS188" s="507">
        <f>INPUT!CP272</f>
        <v>2.3230769230769388</v>
      </c>
      <c r="AT188" s="156">
        <f>INPUT!CQ272</f>
        <v>29.835766423357672</v>
      </c>
      <c r="AU188" s="507">
        <f>INPUT!CR272</f>
        <v>19.642922642409101</v>
      </c>
      <c r="AV188" s="156">
        <f>INPUT!CS272</f>
        <v>33.82352941176471</v>
      </c>
      <c r="AW188" s="507">
        <f>INPUT!CT272</f>
        <v>3.3613445378150919</v>
      </c>
      <c r="AX188" s="156">
        <f>INPUT!CU272</f>
        <v>32.850241545893724</v>
      </c>
      <c r="AY188" s="507">
        <f>INPUT!CV272</f>
        <v>1.449275362318847</v>
      </c>
      <c r="AZ188" s="156">
        <f>INPUT!CW272</f>
        <v>32.835820895522389</v>
      </c>
      <c r="BA188" s="507">
        <f>INPUT!CX272</f>
        <v>1.6346837242359635</v>
      </c>
      <c r="BB188" s="156">
        <f>INPUT!CY272</f>
        <v>29.629629629629626</v>
      </c>
      <c r="BC188" s="507">
        <f>INPUT!CZ272</f>
        <v>-0.69090497225057224</v>
      </c>
      <c r="BD188" s="156">
        <f>INPUT!DA272</f>
        <v>30.985915492957744</v>
      </c>
      <c r="BE188" s="507">
        <f>INPUT!DB272</f>
        <v>-8.3894672382118998</v>
      </c>
      <c r="BF188" s="156">
        <f>INPUT!DC272</f>
        <v>32.934131736526943</v>
      </c>
      <c r="BG188" s="507">
        <f>INPUT!DD272</f>
        <v>0.25537160972171069</v>
      </c>
      <c r="BH188" s="156">
        <f>INPUT!DE272</f>
        <v>32.835820895522389</v>
      </c>
      <c r="BI188" s="507">
        <f>INPUT!DF272</f>
        <v>0</v>
      </c>
      <c r="BJ188" s="156">
        <f>INPUT!DG272</f>
        <v>33.333333333333329</v>
      </c>
      <c r="BK188" s="507">
        <f>INPUT!DH272</f>
        <v>12.5</v>
      </c>
      <c r="BL188" s="156">
        <f>INPUT!DI272</f>
        <v>32.905982905982903</v>
      </c>
      <c r="BM188" s="507">
        <f>INPUT!DJ272</f>
        <v>6.1965811965811968</v>
      </c>
      <c r="BN188" s="156">
        <f>INPUT!DK272</f>
        <v>32.584269662921351</v>
      </c>
      <c r="BO188" s="507">
        <f>INPUT!DL272</f>
        <v>-1.0623084780387981</v>
      </c>
      <c r="BP188" s="156">
        <f>INPUT!DM272</f>
        <v>33.632286995515699</v>
      </c>
      <c r="BQ188" s="507">
        <f>INPUT!DN272</f>
        <v>2.4256013045250713</v>
      </c>
      <c r="BR188" s="156">
        <f>INPUT!DO272</f>
        <v>33.628318584070797</v>
      </c>
      <c r="BS188" s="507">
        <f>INPUT!DP272</f>
        <v>0.88495575221241296</v>
      </c>
      <c r="BT188" s="156">
        <f>INPUT!DQ272</f>
        <v>31.071428571428573</v>
      </c>
      <c r="BU188" s="507">
        <f>INPUT!DR272</f>
        <v>-5.5751391465677091</v>
      </c>
      <c r="BV188" s="156">
        <f>INPUT!DS272</f>
        <v>28.846153846153843</v>
      </c>
      <c r="BW188" s="507">
        <f>INPUT!DT272</f>
        <v>-11.47214854111407</v>
      </c>
      <c r="BX188" s="156">
        <f>INPUT!DU272</f>
        <v>30.921052631578949</v>
      </c>
      <c r="BY188" s="507">
        <f>INPUT!DV272</f>
        <v>-8.0614035087719351</v>
      </c>
      <c r="BZ188" s="156">
        <f>INPUT!DW272</f>
        <v>21.739130434782609</v>
      </c>
      <c r="CA188" s="507">
        <f>INPUT!DX272</f>
        <v>21.739130434782609</v>
      </c>
      <c r="CB188" s="156">
        <f>INPUT!DY272</f>
        <v>32</v>
      </c>
      <c r="CC188" s="507">
        <f>INPUT!DZ272</f>
        <v>2.9885057471264354</v>
      </c>
      <c r="CD188" s="156">
        <f>INPUT!EA272</f>
        <v>27.184466019417474</v>
      </c>
      <c r="CE188" s="507">
        <f>INPUT!EB272</f>
        <v>-5.7605177993527494</v>
      </c>
      <c r="CF188" s="156">
        <f>INPUT!EC272</f>
        <v>31.428571428571427</v>
      </c>
      <c r="CG188" s="507">
        <f>INPUT!ED272</f>
        <v>1.6413373860182379</v>
      </c>
      <c r="CH188" s="156">
        <f>INPUT!EE272</f>
        <v>32.113821138211385</v>
      </c>
      <c r="CI188" s="507">
        <f>INPUT!EF272</f>
        <v>47.72357723577236</v>
      </c>
      <c r="CJ188" s="156">
        <f>INPUT!EG272</f>
        <v>32.456140350877192</v>
      </c>
      <c r="CK188" s="507">
        <f>INPUT!EH272</f>
        <v>1.4254385964912242</v>
      </c>
      <c r="CL188" s="156">
        <f>INPUT!EI272</f>
        <v>30.481283422459892</v>
      </c>
      <c r="CM188" s="507">
        <f>INPUT!EJ272</f>
        <v>12.127578304048892</v>
      </c>
      <c r="CN188" s="156">
        <f>INPUT!EK272</f>
        <v>31.443298969072163</v>
      </c>
      <c r="CO188" s="507">
        <f>INPUT!EL272</f>
        <v>4.6860356138700432E-2</v>
      </c>
      <c r="CP188" s="156">
        <f>INPUT!EM272</f>
        <v>30.857142857142854</v>
      </c>
      <c r="CQ188" s="507">
        <f>INPUT!EN272</f>
        <v>-3.9132007233273258</v>
      </c>
      <c r="CR188" s="156">
        <f>INPUT!EO272</f>
        <v>31.838565022421523</v>
      </c>
      <c r="CS188" s="507">
        <f>INPUT!EP272</f>
        <v>-1.902799660647192</v>
      </c>
      <c r="CT188" s="156">
        <f>INPUT!EQ272</f>
        <v>20</v>
      </c>
      <c r="CU188" s="507">
        <f>INPUT!ER272</f>
        <v>-34.385964912280699</v>
      </c>
      <c r="CV188" s="156">
        <f>INPUT!ES272</f>
        <v>20</v>
      </c>
      <c r="CW188" s="507">
        <f>INPUT!ET272</f>
        <v>-36.393442622950815</v>
      </c>
      <c r="CX188" s="156">
        <f>INPUT!EU272</f>
        <v>20</v>
      </c>
      <c r="CY188" s="507">
        <f>INPUT!EV272</f>
        <v>-35.185185185185176</v>
      </c>
      <c r="CZ188" s="156">
        <f>INPUT!EW272</f>
        <v>20</v>
      </c>
      <c r="DA188" s="507">
        <f>INPUT!EX272</f>
        <v>-37.183098591549289</v>
      </c>
      <c r="DB188" s="507"/>
      <c r="DC188" s="156">
        <f>INPUT!FP272</f>
        <v>32.806835836354239</v>
      </c>
      <c r="DD188" s="687">
        <f>INPUT!FQ272</f>
        <v>0.80164881976585445</v>
      </c>
      <c r="DE188" s="156">
        <f>INPUT!FR272</f>
        <v>33.378088077336201</v>
      </c>
      <c r="DF188" s="687">
        <f>INPUT!FS272</f>
        <v>1.7412597905859029</v>
      </c>
      <c r="DG188" s="156">
        <f>INPUT!FT272</f>
        <v>33.761904761904759</v>
      </c>
      <c r="DH188" s="687">
        <f>INPUT!FU272</f>
        <v>1.149906141056567</v>
      </c>
      <c r="DI188" s="156">
        <f>INPUT!FV272</f>
        <v>33.077589407251587</v>
      </c>
      <c r="DJ188" s="687">
        <f>INPUT!FW272</f>
        <v>-2.0268860998189919</v>
      </c>
      <c r="DK188" s="156">
        <f>INPUT!FX272</f>
        <v>30.082299471809364</v>
      </c>
      <c r="DL188" s="507">
        <f>INPUT!FY272</f>
        <v>-9.0553452930447484</v>
      </c>
      <c r="DM188" s="156">
        <f>INPUT!FZ272</f>
        <v>31.439242363612159</v>
      </c>
      <c r="DN188" s="507">
        <f>INPUT!GA272</f>
        <v>4.5107685104804229</v>
      </c>
      <c r="DO188" s="156">
        <f>INPUT!GB272</f>
        <v>32.047442194800539</v>
      </c>
      <c r="DP188" s="507">
        <f>INPUT!GC272</f>
        <v>1.9345244524477279</v>
      </c>
      <c r="DQ188" s="156">
        <f>INPUT!GD272</f>
        <v>31.541218637992831</v>
      </c>
      <c r="DR188" s="507">
        <f>INPUT!GE272</f>
        <v>-1.5796067396911861</v>
      </c>
      <c r="DS188" s="156">
        <f>INPUT!GF272</f>
        <v>33.004926108374384</v>
      </c>
      <c r="DT188" s="507">
        <f>INPUT!GG272</f>
        <v>4.6406180026869803</v>
      </c>
      <c r="DU188" s="156">
        <f>INPUT!GH272</f>
        <v>32.63506063947078</v>
      </c>
      <c r="DV188" s="507">
        <f>INPUT!GI272</f>
        <v>-1.1206371669765902</v>
      </c>
      <c r="DW188" s="156">
        <f>INPUT!GJ272</f>
        <v>29.867674858223065</v>
      </c>
      <c r="DX188" s="507">
        <f>INPUT!GK272</f>
        <v>-8.479793593215124</v>
      </c>
      <c r="DY188" s="156">
        <f>INPUT!GL272</f>
        <v>31.382978723404253</v>
      </c>
      <c r="DZ188" s="507">
        <f>INPUT!GM272</f>
        <v>5.0733907891193031</v>
      </c>
      <c r="EA188" s="156">
        <f>INPUT!GN272</f>
        <v>31.193838254172015</v>
      </c>
      <c r="EB188" s="507">
        <f>INPUT!GO272</f>
        <v>-0.60268488501120654</v>
      </c>
      <c r="EC188" s="156">
        <f>INPUT!GP272</f>
        <v>20.000000000000025</v>
      </c>
      <c r="ED188" s="507">
        <f>INPUT!GQ272</f>
        <v>-35.88477366255136</v>
      </c>
      <c r="EE188" s="156">
        <f>INPUT!GR272</f>
        <v>20.000000000000025</v>
      </c>
      <c r="EF188" s="507">
        <f>INPUT!GS272</f>
        <v>0</v>
      </c>
      <c r="EG188" s="156">
        <f>INPUT!GT272</f>
        <v>20.000000000000025</v>
      </c>
      <c r="EH188" s="507">
        <f>INPUT!GU272</f>
        <v>0</v>
      </c>
      <c r="EI188" s="156">
        <f>INPUT!GV272</f>
        <v>20.000000000000025</v>
      </c>
      <c r="EJ188" s="507">
        <f>INPUT!GW272</f>
        <v>0</v>
      </c>
      <c r="EK188" s="156">
        <f>INPUT!GX272</f>
        <v>20.000000000000025</v>
      </c>
      <c r="EL188" s="507">
        <f>INPUT!GY272</f>
        <v>0</v>
      </c>
      <c r="EM188" s="687">
        <f>INPUT!GZ272</f>
        <v>-8.5060798150871761</v>
      </c>
    </row>
    <row r="189" spans="1:143" ht="12.75" hidden="1" customHeight="1" outlineLevel="1" x14ac:dyDescent="0.2">
      <c r="A189" s="707" t="str">
        <f>INPUT!B273</f>
        <v>Operating Earnings</v>
      </c>
      <c r="B189" s="708">
        <f>INPUT!AY273</f>
        <v>69</v>
      </c>
      <c r="C189" s="757">
        <f>INPUT!AZ273</f>
        <v>18.556701030927812</v>
      </c>
      <c r="D189" s="708">
        <f>INPUT!BA273</f>
        <v>147.1</v>
      </c>
      <c r="E189" s="709" t="str">
        <f>INPUT!BB273</f>
        <v>NM</v>
      </c>
      <c r="F189" s="708">
        <f>INPUT!BC273</f>
        <v>122.79999999999991</v>
      </c>
      <c r="G189" s="709">
        <f>INPUT!BD273</f>
        <v>89.214175654853591</v>
      </c>
      <c r="H189" s="708">
        <f>INPUT!BE273</f>
        <v>157.30000000000001</v>
      </c>
      <c r="I189" s="709" t="str">
        <f>INPUT!BF273</f>
        <v>NM</v>
      </c>
      <c r="J189" s="708">
        <f>INPUT!BG273</f>
        <v>166.60000000000011</v>
      </c>
      <c r="K189" s="709" t="str">
        <f>INPUT!BH273</f>
        <v>NM</v>
      </c>
      <c r="L189" s="708">
        <f>INPUT!BI273</f>
        <v>176.5</v>
      </c>
      <c r="M189" s="709">
        <f>INPUT!BJ273</f>
        <v>19.98640380693406</v>
      </c>
      <c r="N189" s="708">
        <f>INPUT!BK273</f>
        <v>181.8</v>
      </c>
      <c r="O189" s="709">
        <f>INPUT!BL273</f>
        <v>48.045602605863301</v>
      </c>
      <c r="P189" s="708">
        <f>INPUT!BM273</f>
        <v>170.59999999999985</v>
      </c>
      <c r="Q189" s="709">
        <f>INPUT!BN273</f>
        <v>8.4551811824538081</v>
      </c>
      <c r="R189" s="708">
        <f>INPUT!BO273</f>
        <v>157.40000000000012</v>
      </c>
      <c r="S189" s="709">
        <f>INPUT!BP273</f>
        <v>-5.5222088835534144</v>
      </c>
      <c r="T189" s="708">
        <f>INPUT!BQ273</f>
        <v>163.50000000000006</v>
      </c>
      <c r="U189" s="709">
        <f>INPUT!BR273</f>
        <v>-7.3654390934843832</v>
      </c>
      <c r="V189" s="708">
        <f>INPUT!BS273</f>
        <v>137.40000000000009</v>
      </c>
      <c r="W189" s="709">
        <f>INPUT!BT273</f>
        <v>-24.422442244224374</v>
      </c>
      <c r="X189" s="708">
        <f>INPUT!BU273</f>
        <v>82.5</v>
      </c>
      <c r="Y189" s="709" t="str">
        <f>INPUT!BV273</f>
        <v>NM</v>
      </c>
      <c r="Z189" s="708">
        <f>INPUT!BW273</f>
        <v>142.20000000000005</v>
      </c>
      <c r="AA189" s="758">
        <f>INPUT!BX273</f>
        <v>-9.6569250317662387</v>
      </c>
      <c r="AB189" s="708">
        <f>INPUT!BY273</f>
        <v>132.90000000000003</v>
      </c>
      <c r="AC189" s="709">
        <f>INPUT!BZ273</f>
        <v>-18.71559633027524</v>
      </c>
      <c r="AD189" s="708">
        <f>INPUT!CA273</f>
        <v>136.49999999999991</v>
      </c>
      <c r="AE189" s="709">
        <f>INPUT!CB273</f>
        <v>-0.65502183406126457</v>
      </c>
      <c r="AF189" s="708">
        <f>INPUT!CC273</f>
        <v>157.60000000000014</v>
      </c>
      <c r="AG189" s="709">
        <f>INPUT!CD273</f>
        <v>91.030303030303202</v>
      </c>
      <c r="AH189" s="708">
        <f>INPUT!CE273</f>
        <v>136.90000000000003</v>
      </c>
      <c r="AI189" s="759">
        <f>INPUT!CF273</f>
        <v>-3.727144866385379</v>
      </c>
      <c r="AJ189" s="708">
        <f>INPUT!CG273</f>
        <v>151.70000000000005</v>
      </c>
      <c r="AK189" s="759">
        <f>INPUT!CH273</f>
        <v>14.14597441685479</v>
      </c>
      <c r="AL189" s="708">
        <f>INPUT!CI273</f>
        <v>59.899999999999956</v>
      </c>
      <c r="AM189" s="759" t="str">
        <f>INPUT!CJ273</f>
        <v>NM</v>
      </c>
      <c r="AN189" s="708">
        <f>INPUT!CK273</f>
        <v>165.49999999999989</v>
      </c>
      <c r="AO189" s="759">
        <f>INPUT!CL273</f>
        <v>5.0126903553297852</v>
      </c>
      <c r="AP189" s="708">
        <f>INPUT!CM273</f>
        <v>142</v>
      </c>
      <c r="AQ189" s="759">
        <f>INPUT!CN273</f>
        <v>3.725346968590193</v>
      </c>
      <c r="AR189" s="708">
        <f>INPUT!CO273</f>
        <v>136.4</v>
      </c>
      <c r="AS189" s="759">
        <f>INPUT!CP273</f>
        <v>-10.085695451549137</v>
      </c>
      <c r="AT189" s="708">
        <f>INPUT!CQ273</f>
        <v>153.79999999999993</v>
      </c>
      <c r="AU189" s="759" t="str">
        <f>INPUT!CR273</f>
        <v>NM</v>
      </c>
      <c r="AV189" s="708">
        <f>INPUT!CS273</f>
        <v>135</v>
      </c>
      <c r="AW189" s="759">
        <f>INPUT!CT273</f>
        <v>-18.429003021147984</v>
      </c>
      <c r="AX189" s="708">
        <f>INPUT!CU273</f>
        <v>139</v>
      </c>
      <c r="AY189" s="759">
        <f>INPUT!CV273</f>
        <v>-2.1126760563380254</v>
      </c>
      <c r="AZ189" s="708">
        <f>INPUT!CW273</f>
        <v>135</v>
      </c>
      <c r="BA189" s="759">
        <f>INPUT!CX273</f>
        <v>-1.0263929618768319</v>
      </c>
      <c r="BB189" s="708">
        <f>INPUT!CY273</f>
        <v>152</v>
      </c>
      <c r="BC189" s="759">
        <f>INPUT!CZ273</f>
        <v>-1.1703511053315574</v>
      </c>
      <c r="BD189" s="708">
        <f>INPUT!DA273</f>
        <v>147</v>
      </c>
      <c r="BE189" s="759">
        <f>INPUT!DB273</f>
        <v>8.8888888888888786</v>
      </c>
      <c r="BF189" s="708">
        <f>INPUT!DC273</f>
        <v>112</v>
      </c>
      <c r="BG189" s="759">
        <f>INPUT!DD273</f>
        <v>-19.424460431654676</v>
      </c>
      <c r="BH189" s="708">
        <f>INPUT!DE273</f>
        <v>135</v>
      </c>
      <c r="BI189" s="759">
        <f>INPUT!DF273</f>
        <v>0</v>
      </c>
      <c r="BJ189" s="708">
        <f>INPUT!DG273</f>
        <v>140</v>
      </c>
      <c r="BK189" s="759">
        <f>INPUT!DH273</f>
        <v>-7.8947368421052655</v>
      </c>
      <c r="BL189" s="708">
        <f>INPUT!DI273</f>
        <v>157</v>
      </c>
      <c r="BM189" s="759">
        <f>INPUT!DJ273</f>
        <v>6.8027210884353817</v>
      </c>
      <c r="BN189" s="708">
        <f>INPUT!DK273</f>
        <v>120</v>
      </c>
      <c r="BO189" s="759">
        <f>INPUT!DL273</f>
        <v>7.1428571428571397</v>
      </c>
      <c r="BP189" s="708">
        <f>INPUT!DM273</f>
        <v>148</v>
      </c>
      <c r="BQ189" s="759">
        <f>INPUT!DN273</f>
        <v>9.6296296296296333</v>
      </c>
      <c r="BR189" s="708">
        <f>INPUT!DO273</f>
        <v>150</v>
      </c>
      <c r="BS189" s="759">
        <f>INPUT!DP273</f>
        <v>7.1428571428571397</v>
      </c>
      <c r="BT189" s="708">
        <f>INPUT!DQ273</f>
        <v>194</v>
      </c>
      <c r="BU189" s="759">
        <f>INPUT!DR273</f>
        <v>23.566878980891715</v>
      </c>
      <c r="BV189" s="708">
        <f>INPUT!DS273</f>
        <v>111</v>
      </c>
      <c r="BW189" s="759">
        <f>INPUT!DT273</f>
        <v>-7.4999999999999956</v>
      </c>
      <c r="BX189" s="708">
        <f>INPUT!DU273</f>
        <v>105</v>
      </c>
      <c r="BY189" s="759">
        <f>INPUT!DV273</f>
        <v>-29.054054054054056</v>
      </c>
      <c r="BZ189" s="708">
        <f>INPUT!DW273</f>
        <v>36</v>
      </c>
      <c r="CA189" s="759">
        <f>INPUT!DX273</f>
        <v>36</v>
      </c>
      <c r="CB189" s="708">
        <f>INPUT!DY273</f>
        <v>119</v>
      </c>
      <c r="CC189" s="759">
        <f>INPUT!DZ273</f>
        <v>-38.659793814432987</v>
      </c>
      <c r="CD189" s="708">
        <f>INPUT!EA273</f>
        <v>75</v>
      </c>
      <c r="CE189" s="759">
        <f>INPUT!EB273</f>
        <v>-32.432432432432435</v>
      </c>
      <c r="CF189" s="708">
        <f>INPUT!EC273</f>
        <v>120</v>
      </c>
      <c r="CG189" s="759">
        <f>INPUT!ED273</f>
        <v>14.285714285714279</v>
      </c>
      <c r="CH189" s="708">
        <f>INPUT!EE273</f>
        <v>167</v>
      </c>
      <c r="CI189" s="759" t="str">
        <f>INPUT!EF273</f>
        <v>NM</v>
      </c>
      <c r="CJ189" s="708">
        <f>INPUT!EG273</f>
        <v>154</v>
      </c>
      <c r="CK189" s="759">
        <f>INPUT!EH273</f>
        <v>29.411764705882359</v>
      </c>
      <c r="CL189" s="708">
        <f>INPUT!EI273</f>
        <v>130</v>
      </c>
      <c r="CM189" s="759">
        <f>INPUT!EJ273</f>
        <v>73.333333333333343</v>
      </c>
      <c r="CN189" s="708">
        <f>INPUT!EK273</f>
        <v>133</v>
      </c>
      <c r="CO189" s="759">
        <f>INPUT!EL273</f>
        <v>10.833333333333339</v>
      </c>
      <c r="CP189" s="708">
        <f>INPUT!EM273</f>
        <v>121</v>
      </c>
      <c r="CQ189" s="759">
        <f>INPUT!EN273</f>
        <v>-27.544910179640713</v>
      </c>
      <c r="CR189" s="708">
        <f>INPUT!EO273</f>
        <v>152</v>
      </c>
      <c r="CS189" s="759">
        <f>INPUT!EP273</f>
        <v>-1.2987012987012991</v>
      </c>
      <c r="CT189" s="708">
        <f>INPUT!EQ273</f>
        <v>143.65676411842998</v>
      </c>
      <c r="CU189" s="759">
        <f>INPUT!ER273</f>
        <v>10.505203168023058</v>
      </c>
      <c r="CV189" s="708">
        <f>INPUT!ES273</f>
        <v>160.01241597352637</v>
      </c>
      <c r="CW189" s="759">
        <f>INPUT!ET273</f>
        <v>20.310087198140138</v>
      </c>
      <c r="CX189" s="708">
        <f>INPUT!EU273</f>
        <v>159.92396102883831</v>
      </c>
      <c r="CY189" s="759">
        <f>INPUT!EV273</f>
        <v>32.16856283375067</v>
      </c>
      <c r="CZ189" s="708">
        <f>INPUT!EW273</f>
        <v>167.91237468114758</v>
      </c>
      <c r="DA189" s="759">
        <f>INPUT!EX273</f>
        <v>10.468667553386556</v>
      </c>
      <c r="DB189" s="760"/>
      <c r="DC189" s="708">
        <f>INPUT!FP273</f>
        <v>259.49999999999983</v>
      </c>
      <c r="DD189" s="709">
        <f>INPUT!FQ273</f>
        <v>0.97276264591432682</v>
      </c>
      <c r="DE189" s="708">
        <f>INPUT!FR273</f>
        <v>496.19999999999976</v>
      </c>
      <c r="DF189" s="709">
        <f>INPUT!FS273</f>
        <v>91.213872832369972</v>
      </c>
      <c r="DG189" s="708">
        <f>INPUT!FT273</f>
        <v>695.5</v>
      </c>
      <c r="DH189" s="709">
        <f>INPUT!FU273</f>
        <v>40.165255945183453</v>
      </c>
      <c r="DI189" s="708">
        <f>INPUT!FV273</f>
        <v>540.79999999999995</v>
      </c>
      <c r="DJ189" s="709">
        <f>INPUT!FW273</f>
        <v>-22.24299065420562</v>
      </c>
      <c r="DK189" s="708">
        <f>INPUT!FX273</f>
        <v>569.19999999999993</v>
      </c>
      <c r="DL189" s="759">
        <f>INPUT!FY273</f>
        <v>5.2514792899408302</v>
      </c>
      <c r="DM189" s="708">
        <f>INPUT!FZ273</f>
        <v>513.99999999999886</v>
      </c>
      <c r="DN189" s="759">
        <f>INPUT!GA273</f>
        <v>-9.6978215038652671</v>
      </c>
      <c r="DO189" s="708">
        <f>INPUT!GB273</f>
        <v>567.19999999999982</v>
      </c>
      <c r="DP189" s="759">
        <f>INPUT!GC273</f>
        <v>10.350194552529391</v>
      </c>
      <c r="DQ189" s="708">
        <f>INPUT!GD273</f>
        <v>573</v>
      </c>
      <c r="DR189" s="759">
        <f>INPUT!GE273</f>
        <v>1.0225669957687256</v>
      </c>
      <c r="DS189" s="708">
        <f>INPUT!GF273</f>
        <v>544</v>
      </c>
      <c r="DT189" s="759">
        <f>INPUT!GG273</f>
        <v>-5.0610820244328059</v>
      </c>
      <c r="DU189" s="708">
        <f>INPUT!GH273</f>
        <v>612</v>
      </c>
      <c r="DV189" s="759">
        <f>INPUT!GI273</f>
        <v>12.5</v>
      </c>
      <c r="DW189" s="708">
        <f>INPUT!GJ273</f>
        <v>371</v>
      </c>
      <c r="DX189" s="759">
        <f>INPUT!GK273</f>
        <v>-39.379084967320267</v>
      </c>
      <c r="DY189" s="708">
        <f>INPUT!GL273</f>
        <v>516</v>
      </c>
      <c r="DZ189" s="759">
        <f>INPUT!GM273</f>
        <v>39.083557951482483</v>
      </c>
      <c r="EA189" s="708">
        <f>INPUT!GN273</f>
        <v>536</v>
      </c>
      <c r="EB189" s="759">
        <f>INPUT!GO273</f>
        <v>3.8759689922480689</v>
      </c>
      <c r="EC189" s="708">
        <f>INPUT!GP273</f>
        <v>631.50551580194133</v>
      </c>
      <c r="ED189" s="759">
        <f>INPUT!GQ273</f>
        <v>17.818193246630855</v>
      </c>
      <c r="EE189" s="708">
        <f>INPUT!GR273</f>
        <v>638.91526599370604</v>
      </c>
      <c r="EF189" s="759">
        <f>INPUT!GS273</f>
        <v>1.1733468681354609</v>
      </c>
      <c r="EG189" s="708">
        <f>INPUT!GT273</f>
        <v>655.5039885975134</v>
      </c>
      <c r="EH189" s="759">
        <f>INPUT!GU273</f>
        <v>2.5963885176552903</v>
      </c>
      <c r="EI189" s="708">
        <f>INPUT!GV273</f>
        <v>677.03553103628781</v>
      </c>
      <c r="EJ189" s="759">
        <f>INPUT!GW273</f>
        <v>3.2847309571437222</v>
      </c>
      <c r="EK189" s="708">
        <f>INPUT!GX273</f>
        <v>699.2258994450317</v>
      </c>
      <c r="EL189" s="759">
        <f>INPUT!GY273</f>
        <v>3.2775781168794316</v>
      </c>
      <c r="EM189" s="709">
        <f>INPUT!GZ273</f>
        <v>5.460674177429925</v>
      </c>
    </row>
    <row r="190" spans="1:143" ht="12.75" hidden="1" customHeight="1" outlineLevel="1" x14ac:dyDescent="0.2">
      <c r="A190" s="701"/>
      <c r="B190" s="16"/>
      <c r="C190" s="507"/>
      <c r="D190" s="16"/>
      <c r="E190" s="687"/>
      <c r="F190" s="16"/>
      <c r="G190" s="687"/>
      <c r="H190" s="16"/>
      <c r="I190" s="687"/>
      <c r="J190" s="16"/>
      <c r="K190" s="507"/>
      <c r="L190" s="16"/>
      <c r="M190" s="507"/>
      <c r="N190" s="16"/>
      <c r="O190" s="507"/>
      <c r="P190" s="16"/>
      <c r="Q190" s="507"/>
      <c r="R190" s="16"/>
      <c r="S190" s="507"/>
      <c r="T190" s="16"/>
      <c r="U190" s="507"/>
      <c r="V190" s="16"/>
      <c r="W190" s="507"/>
      <c r="X190" s="16"/>
      <c r="Y190" s="507"/>
      <c r="Z190" s="16"/>
      <c r="AA190" s="122"/>
      <c r="AB190" s="16"/>
      <c r="AC190" s="507"/>
      <c r="AD190" s="16"/>
      <c r="AE190" s="507"/>
      <c r="AF190" s="16"/>
      <c r="AG190" s="507"/>
      <c r="AH190" s="16"/>
      <c r="AI190" s="507"/>
      <c r="AJ190" s="16"/>
      <c r="AK190" s="507"/>
      <c r="AL190" s="16"/>
      <c r="AM190" s="507"/>
      <c r="AN190" s="16"/>
      <c r="AO190" s="507"/>
      <c r="AP190" s="16"/>
      <c r="AQ190" s="507"/>
      <c r="AR190" s="16"/>
      <c r="AS190" s="507"/>
      <c r="AT190" s="16"/>
      <c r="AU190" s="507"/>
      <c r="AV190" s="16"/>
      <c r="AW190" s="507"/>
      <c r="AX190" s="16"/>
      <c r="AY190" s="507"/>
      <c r="AZ190" s="16"/>
      <c r="BA190" s="507"/>
      <c r="BB190" s="16"/>
      <c r="BC190" s="507"/>
      <c r="BD190" s="16"/>
      <c r="BE190" s="507"/>
      <c r="BF190" s="16"/>
      <c r="BG190" s="507"/>
      <c r="BH190" s="16"/>
      <c r="BI190" s="507"/>
      <c r="BJ190" s="16"/>
      <c r="BK190" s="507"/>
      <c r="BL190" s="16"/>
      <c r="BM190" s="507"/>
      <c r="BN190" s="16"/>
      <c r="BO190" s="507"/>
      <c r="BP190" s="16"/>
      <c r="BQ190" s="507"/>
      <c r="BR190" s="16"/>
      <c r="BS190" s="507"/>
      <c r="BT190" s="16"/>
      <c r="BU190" s="507"/>
      <c r="BV190" s="16"/>
      <c r="BW190" s="507"/>
      <c r="BX190" s="16"/>
      <c r="BY190" s="507"/>
      <c r="BZ190" s="16"/>
      <c r="CA190" s="507"/>
      <c r="CB190" s="16"/>
      <c r="CC190" s="507"/>
      <c r="CD190" s="16"/>
      <c r="CE190" s="507"/>
      <c r="CF190" s="16"/>
      <c r="CG190" s="507"/>
      <c r="CH190" s="16"/>
      <c r="CI190" s="507"/>
      <c r="CJ190" s="16"/>
      <c r="CK190" s="507"/>
      <c r="CL190" s="16"/>
      <c r="CM190" s="507"/>
      <c r="CN190" s="16"/>
      <c r="CO190" s="507"/>
      <c r="CP190" s="16"/>
      <c r="CQ190" s="507"/>
      <c r="CR190" s="16"/>
      <c r="CS190" s="507"/>
      <c r="CT190" s="16"/>
      <c r="CU190" s="507"/>
      <c r="CV190" s="16"/>
      <c r="CW190" s="507"/>
      <c r="CX190" s="16"/>
      <c r="CY190" s="507"/>
      <c r="CZ190" s="16"/>
      <c r="DA190" s="507"/>
      <c r="DB190" s="507"/>
      <c r="DC190" s="16"/>
      <c r="DD190" s="507"/>
      <c r="DE190" s="16"/>
      <c r="DF190" s="507"/>
      <c r="DG190" s="16"/>
      <c r="DH190" s="507"/>
      <c r="DI190" s="16"/>
      <c r="DJ190" s="507"/>
      <c r="DK190" s="16"/>
      <c r="DL190" s="507"/>
      <c r="DM190" s="16"/>
      <c r="DN190" s="507"/>
      <c r="DO190" s="16"/>
      <c r="DP190" s="507"/>
      <c r="DQ190" s="16"/>
      <c r="DR190" s="507"/>
      <c r="DS190" s="16"/>
      <c r="DT190" s="507"/>
      <c r="DU190" s="16"/>
      <c r="DV190" s="507"/>
      <c r="DW190" s="16"/>
      <c r="DX190" s="507"/>
      <c r="DY190" s="16"/>
      <c r="DZ190" s="507"/>
      <c r="EA190" s="16"/>
      <c r="EB190" s="507"/>
      <c r="EC190" s="16"/>
      <c r="ED190" s="507"/>
      <c r="EE190" s="16"/>
      <c r="EF190" s="507"/>
      <c r="EG190" s="16"/>
      <c r="EH190" s="507"/>
      <c r="EI190" s="16"/>
      <c r="EJ190" s="507"/>
      <c r="EK190" s="16"/>
      <c r="EL190" s="507"/>
      <c r="EM190" s="687"/>
    </row>
    <row r="191" spans="1:143" ht="12.75" hidden="1" customHeight="1" outlineLevel="1" x14ac:dyDescent="0.2">
      <c r="A191" s="715" t="s">
        <v>303</v>
      </c>
      <c r="B191" s="16"/>
      <c r="C191" s="507"/>
      <c r="D191" s="16"/>
      <c r="E191" s="687"/>
      <c r="F191" s="16"/>
      <c r="G191" s="687"/>
      <c r="H191" s="16"/>
      <c r="I191" s="687"/>
      <c r="J191" s="16"/>
      <c r="K191" s="507"/>
      <c r="L191" s="16"/>
      <c r="M191" s="507"/>
      <c r="N191" s="16"/>
      <c r="O191" s="507"/>
      <c r="P191" s="16"/>
      <c r="Q191" s="507"/>
      <c r="R191" s="16"/>
      <c r="S191" s="507"/>
      <c r="T191" s="16"/>
      <c r="U191" s="507"/>
      <c r="V191" s="16"/>
      <c r="W191" s="507"/>
      <c r="X191" s="16"/>
      <c r="Y191" s="507"/>
      <c r="Z191" s="16"/>
      <c r="AA191" s="122"/>
      <c r="AB191" s="16"/>
      <c r="AC191" s="507"/>
      <c r="AD191" s="16"/>
      <c r="AE191" s="507"/>
      <c r="AF191" s="16"/>
      <c r="AG191" s="507"/>
      <c r="AH191" s="16"/>
      <c r="AI191" s="507"/>
      <c r="AJ191" s="16"/>
      <c r="AK191" s="507"/>
      <c r="AL191" s="16"/>
      <c r="AM191" s="507"/>
      <c r="AN191" s="16"/>
      <c r="AO191" s="507"/>
      <c r="AP191" s="16"/>
      <c r="AQ191" s="507"/>
      <c r="AR191" s="16"/>
      <c r="AS191" s="507"/>
      <c r="AT191" s="16"/>
      <c r="AU191" s="507"/>
      <c r="AV191" s="16"/>
      <c r="AW191" s="507"/>
      <c r="AX191" s="16"/>
      <c r="AY191" s="507"/>
      <c r="AZ191" s="16"/>
      <c r="BA191" s="507"/>
      <c r="BB191" s="16"/>
      <c r="BC191" s="507"/>
      <c r="BD191" s="16"/>
      <c r="BE191" s="507"/>
      <c r="BF191" s="16"/>
      <c r="BG191" s="507"/>
      <c r="BH191" s="16"/>
      <c r="BI191" s="507"/>
      <c r="BJ191" s="16"/>
      <c r="BK191" s="507"/>
      <c r="BL191" s="16"/>
      <c r="BM191" s="507"/>
      <c r="BN191" s="16"/>
      <c r="BO191" s="507"/>
      <c r="BP191" s="16"/>
      <c r="BQ191" s="507"/>
      <c r="BR191" s="16"/>
      <c r="BS191" s="507"/>
      <c r="BT191" s="16"/>
      <c r="BU191" s="507"/>
      <c r="BV191" s="16"/>
      <c r="BW191" s="507"/>
      <c r="BX191" s="16"/>
      <c r="BY191" s="507"/>
      <c r="BZ191" s="16"/>
      <c r="CA191" s="507"/>
      <c r="CB191" s="16"/>
      <c r="CC191" s="507"/>
      <c r="CD191" s="16"/>
      <c r="CE191" s="507"/>
      <c r="CF191" s="16"/>
      <c r="CG191" s="507"/>
      <c r="CH191" s="16"/>
      <c r="CI191" s="507"/>
      <c r="CJ191" s="16"/>
      <c r="CK191" s="507"/>
      <c r="CL191" s="16"/>
      <c r="CM191" s="507"/>
      <c r="CN191" s="16"/>
      <c r="CO191" s="507"/>
      <c r="CP191" s="16"/>
      <c r="CQ191" s="507"/>
      <c r="CR191" s="16"/>
      <c r="CS191" s="507"/>
      <c r="CT191" s="16"/>
      <c r="CU191" s="507"/>
      <c r="CV191" s="16"/>
      <c r="CW191" s="507"/>
      <c r="CX191" s="16"/>
      <c r="CY191" s="507"/>
      <c r="CZ191" s="16"/>
      <c r="DA191" s="507"/>
      <c r="DB191" s="507"/>
      <c r="DC191" s="16"/>
      <c r="DD191" s="507"/>
      <c r="DE191" s="16"/>
      <c r="DF191" s="507"/>
      <c r="DG191" s="16"/>
      <c r="DH191" s="507"/>
      <c r="DI191" s="16"/>
      <c r="DJ191" s="507"/>
      <c r="DK191" s="16"/>
      <c r="DL191" s="507"/>
      <c r="DM191" s="16"/>
      <c r="DN191" s="507"/>
      <c r="DO191" s="16"/>
      <c r="DP191" s="507"/>
      <c r="DQ191" s="16"/>
      <c r="DR191" s="507"/>
      <c r="DS191" s="16"/>
      <c r="DT191" s="507"/>
      <c r="DU191" s="16"/>
      <c r="DV191" s="507"/>
      <c r="DW191" s="16"/>
      <c r="DX191" s="507"/>
      <c r="DY191" s="16"/>
      <c r="DZ191" s="507"/>
      <c r="EA191" s="16"/>
      <c r="EB191" s="507"/>
      <c r="EC191" s="16"/>
      <c r="ED191" s="507"/>
      <c r="EE191" s="16"/>
      <c r="EF191" s="507"/>
      <c r="EG191" s="16"/>
      <c r="EH191" s="507"/>
      <c r="EI191" s="16"/>
      <c r="EJ191" s="507"/>
      <c r="EK191" s="16"/>
      <c r="EL191" s="507"/>
      <c r="EM191" s="687"/>
    </row>
    <row r="192" spans="1:143" ht="12.75" hidden="1" customHeight="1" outlineLevel="1" x14ac:dyDescent="0.2">
      <c r="A192" s="522" t="s">
        <v>304</v>
      </c>
      <c r="B192" s="156">
        <f>INPUT!AY574</f>
        <v>27.939747327502435</v>
      </c>
      <c r="C192" s="507">
        <f>INPUT!AZ574</f>
        <v>-6.3245854152409464</v>
      </c>
      <c r="D192" s="156">
        <f>INPUT!BA574</f>
        <v>48.937037288596073</v>
      </c>
      <c r="E192" s="687">
        <f>INPUT!BB574</f>
        <v>60.0003002880485</v>
      </c>
      <c r="F192" s="156">
        <f>INPUT!BC574</f>
        <v>42.783694454645577</v>
      </c>
      <c r="G192" s="687">
        <f>INPUT!BD574</f>
        <v>44.915768683808089</v>
      </c>
      <c r="H192" s="156">
        <f>INPUT!BE574</f>
        <v>43.779349699815739</v>
      </c>
      <c r="I192" s="687">
        <f>INPUT!BF574</f>
        <v>52.299340720625963</v>
      </c>
      <c r="J192" s="156">
        <f>INPUT!BG574</f>
        <v>47.965474722564757</v>
      </c>
      <c r="K192" s="687">
        <f>INPUT!BH574</f>
        <v>71.674690398327385</v>
      </c>
      <c r="L192" s="156">
        <f>INPUT!BI574</f>
        <v>49.43024330150908</v>
      </c>
      <c r="M192" s="687">
        <f>INPUT!BJ574</f>
        <v>1.0078379081357669</v>
      </c>
      <c r="N192" s="156">
        <f>INPUT!BK574</f>
        <v>49.448255293766778</v>
      </c>
      <c r="O192" s="687">
        <f>INPUT!BL574</f>
        <v>15.577338338993174</v>
      </c>
      <c r="P192" s="156">
        <f>INPUT!BM574</f>
        <v>48.976157082748927</v>
      </c>
      <c r="Q192" s="687">
        <f>INPUT!BN574</f>
        <v>11.870453578151396</v>
      </c>
      <c r="R192" s="156">
        <f>INPUT!BO574</f>
        <v>54.646962233169148</v>
      </c>
      <c r="S192" s="687">
        <f>INPUT!BP574</f>
        <v>13.929785015681651</v>
      </c>
      <c r="T192" s="156">
        <f>INPUT!BQ574</f>
        <v>52.981205443940382</v>
      </c>
      <c r="U192" s="687">
        <f>INPUT!BR574</f>
        <v>7.1837844713236398</v>
      </c>
      <c r="V192" s="156">
        <f>INPUT!BS574</f>
        <v>53.142857142857146</v>
      </c>
      <c r="W192" s="687">
        <f>INPUT!BT574</f>
        <v>7.4716525934861222</v>
      </c>
      <c r="X192" s="156">
        <f>INPUT!BU574</f>
        <v>62.412342215988815</v>
      </c>
      <c r="Y192" s="687">
        <f>INPUT!BV574</f>
        <v>27.434135166094052</v>
      </c>
      <c r="Z192" s="156">
        <f>INPUT!BW574</f>
        <v>72.73657289002557</v>
      </c>
      <c r="AA192" s="122">
        <f>INPUT!BX574</f>
        <v>33.102682962817177</v>
      </c>
      <c r="AB192" s="156">
        <f>INPUT!BY574</f>
        <v>64.109985528219937</v>
      </c>
      <c r="AC192" s="687">
        <f>INPUT!BZ574</f>
        <v>21.005146996994917</v>
      </c>
      <c r="AD192" s="156">
        <f>INPUT!CA574</f>
        <v>54.491224044969591</v>
      </c>
      <c r="AE192" s="687">
        <f>INPUT!CB574</f>
        <v>2.5372495469857759</v>
      </c>
      <c r="AF192" s="156">
        <f>INPUT!CC574</f>
        <v>52.585919252585967</v>
      </c>
      <c r="AG192" s="687">
        <f>INPUT!CD574</f>
        <v>-15.744358590800511</v>
      </c>
      <c r="AH192" s="156">
        <f>INPUT!CE574</f>
        <v>53.283898305084755</v>
      </c>
      <c r="AI192" s="507">
        <f>INPUT!CF574</f>
        <v>-26.744007604472074</v>
      </c>
      <c r="AJ192" s="156">
        <f>INPUT!CG574</f>
        <v>52.184382524939807</v>
      </c>
      <c r="AK192" s="507">
        <f>INPUT!CH574</f>
        <v>-18.601787077351183</v>
      </c>
      <c r="AL192" s="156">
        <f>INPUT!CI574</f>
        <v>53.941761363636353</v>
      </c>
      <c r="AM192" s="507">
        <f>INPUT!CJ574</f>
        <v>-1.0083507775119682</v>
      </c>
      <c r="AN192" s="156">
        <f>INPUT!CK574</f>
        <v>52.251344086021504</v>
      </c>
      <c r="AO192" s="507">
        <f>INPUT!CL574</f>
        <v>-0.63624478057975331</v>
      </c>
      <c r="AP192" s="156">
        <f>INPUT!CM574</f>
        <v>46.393620877129358</v>
      </c>
      <c r="AQ192" s="507">
        <f>INPUT!CN574</f>
        <v>-12.931256246500777</v>
      </c>
      <c r="AR192" s="156">
        <f>INPUT!CO574</f>
        <v>46.54520453764183</v>
      </c>
      <c r="AS192" s="507">
        <f>INPUT!CP574</f>
        <v>-10.80625603762374</v>
      </c>
      <c r="AT192" s="156">
        <f>INPUT!CQ574</f>
        <v>52.668584212208359</v>
      </c>
      <c r="AU192" s="507">
        <f>INPUT!CR574</f>
        <v>-2.3602810127855367</v>
      </c>
      <c r="AV192" s="156">
        <f>INPUT!CS574</f>
        <v>46.785714285714285</v>
      </c>
      <c r="AW192" s="507">
        <f>INPUT!CT574</f>
        <v>-10.460266421681208</v>
      </c>
      <c r="AX192" s="156">
        <f>INPUT!CU574</f>
        <v>47.44027303754266</v>
      </c>
      <c r="AY192" s="507">
        <f>INPUT!CV574</f>
        <v>2.2560260238908558</v>
      </c>
      <c r="AZ192" s="156">
        <f>INPUT!CW574</f>
        <v>43.728813559322035</v>
      </c>
      <c r="BA192" s="507">
        <f>INPUT!CX574</f>
        <v>-6.0508724933030162</v>
      </c>
      <c r="BB192" s="156">
        <f>INPUT!CY574</f>
        <v>41.158536585365852</v>
      </c>
      <c r="BC192" s="507">
        <f>INPUT!CZ574</f>
        <v>-21.853725136159106</v>
      </c>
      <c r="BD192" s="156">
        <f>INPUT!DA574</f>
        <v>45.695364238410598</v>
      </c>
      <c r="BE192" s="507">
        <f>INPUT!DB574</f>
        <v>-2.330519185076585</v>
      </c>
      <c r="BF192" s="156">
        <f>INPUT!DC574</f>
        <v>40.033099049239866</v>
      </c>
      <c r="BG192" s="507">
        <f>INPUT!DD574</f>
        <v>-15.613683299084313</v>
      </c>
      <c r="BH192" s="156">
        <f>INPUT!DE574</f>
        <v>39.156626506024097</v>
      </c>
      <c r="BI192" s="507">
        <f>INPUT!DF574</f>
        <v>-10.455776594751098</v>
      </c>
      <c r="BJ192" s="156">
        <f>INPUT!DG574</f>
        <v>36.873156342182888</v>
      </c>
      <c r="BK192" s="507">
        <f>INPUT!DH574</f>
        <v>-10.411886813066751</v>
      </c>
      <c r="BL192" s="156">
        <f>INPUT!DI574</f>
        <v>40.896358543417364</v>
      </c>
      <c r="BM192" s="507">
        <f>INPUT!DJ574</f>
        <v>-10.502171883246058</v>
      </c>
      <c r="BN192" s="156">
        <f>INPUT!DK574</f>
        <v>32.967032967032964</v>
      </c>
      <c r="BO192" s="507">
        <f>INPUT!DL574</f>
        <v>-17.650559786829866</v>
      </c>
      <c r="BP192" s="156">
        <f>INPUT!DM574</f>
        <v>37.239583333333329</v>
      </c>
      <c r="BQ192" s="507">
        <f>INPUT!DN574</f>
        <v>-4.8958333333333437</v>
      </c>
      <c r="BR192" s="156">
        <f>INPUT!DO574</f>
        <v>37.128712871287128</v>
      </c>
      <c r="BS192" s="507">
        <f>INPUT!DP574</f>
        <v>0.69306930693069368</v>
      </c>
      <c r="BT192" s="156">
        <f>INPUT!DQ574</f>
        <v>36.434108527131784</v>
      </c>
      <c r="BU192" s="507">
        <f>INPUT!DR574</f>
        <v>-10.911118190506519</v>
      </c>
      <c r="BV192" s="156">
        <f>INPUT!DS574</f>
        <v>31.53409090909091</v>
      </c>
      <c r="BW192" s="507">
        <f>INPUT!DT574</f>
        <v>-4.3465909090908976</v>
      </c>
      <c r="BX192" s="156">
        <f>INPUT!DU574</f>
        <v>27.70448548812665</v>
      </c>
      <c r="BY192" s="507">
        <f>INPUT!DV574</f>
        <v>-25.60473826964591</v>
      </c>
      <c r="BZ192" s="156">
        <f>INPUT!DW574</f>
        <v>36.29893238434164</v>
      </c>
      <c r="CA192" s="507">
        <f>INPUT!DX574</f>
        <v>36.29893238434164</v>
      </c>
      <c r="CB192" s="156">
        <f>INPUT!DY574</f>
        <v>31.151832460732987</v>
      </c>
      <c r="CC192" s="507">
        <f>INPUT!DZ574</f>
        <v>-14.498161969477552</v>
      </c>
      <c r="CD192" s="156">
        <f>INPUT!EA574</f>
        <v>33.701657458563538</v>
      </c>
      <c r="CE192" s="507">
        <f>INPUT!EB574</f>
        <v>6.8737245532825675</v>
      </c>
      <c r="CF192" s="156">
        <f>INPUT!EC574</f>
        <v>32.171581769436997</v>
      </c>
      <c r="CG192" s="507">
        <f>INPUT!ED574</f>
        <v>16.124090386824964</v>
      </c>
      <c r="CH192" s="156">
        <f>INPUT!EE574</f>
        <v>33.676218466813616</v>
      </c>
      <c r="CI192" s="507">
        <f>INPUT!EF574</f>
        <v>-7.2253197139742653</v>
      </c>
      <c r="CJ192" s="156">
        <f>INPUT!EG574</f>
        <v>37.65281173594132</v>
      </c>
      <c r="CK192" s="507">
        <f>INPUT!EH574</f>
        <v>20.868689774198181</v>
      </c>
      <c r="CL192" s="156">
        <f>INPUT!EI574</f>
        <v>32.412060301507537</v>
      </c>
      <c r="CM192" s="507">
        <f>INPUT!EJ574</f>
        <v>-3.8265095971661611</v>
      </c>
      <c r="CN192" s="156">
        <f>INPUT!EK574</f>
        <v>31.742243436754176</v>
      </c>
      <c r="CO192" s="507">
        <f>INPUT!EL574</f>
        <v>-1.334526650755774</v>
      </c>
      <c r="CP192" s="156">
        <f>INPUT!EM574</f>
        <v>31.603229527104958</v>
      </c>
      <c r="CQ192" s="507">
        <f>INPUT!EN574</f>
        <v>-6.1556464296948725</v>
      </c>
      <c r="CR192" s="156">
        <f>INPUT!EO574</f>
        <v>34.545454545454547</v>
      </c>
      <c r="CS192" s="507">
        <f>INPUT!EP574</f>
        <v>-8.2526564344746145</v>
      </c>
      <c r="CT192" s="156">
        <f>INPUT!EQ574</f>
        <v>33.175902487136462</v>
      </c>
      <c r="CU192" s="507">
        <f>INPUT!ER574</f>
        <v>2.356660386669085</v>
      </c>
      <c r="CV192" s="156">
        <f>INPUT!ES574</f>
        <v>34.750616136234399</v>
      </c>
      <c r="CW192" s="507">
        <f>INPUT!ET574</f>
        <v>9.4775049705429595</v>
      </c>
      <c r="CX192" s="156">
        <f>INPUT!EU574</f>
        <v>33.377505408585634</v>
      </c>
      <c r="CY192" s="507">
        <f>INPUT!EV574</f>
        <v>5.6142233184078405</v>
      </c>
      <c r="CZ192" s="156">
        <f>INPUT!EW574</f>
        <v>34.086066307135091</v>
      </c>
      <c r="DA192" s="507">
        <f>INPUT!EX574</f>
        <v>-1.3298080582931582</v>
      </c>
      <c r="DB192" s="507"/>
      <c r="DC192" s="156">
        <f>INPUT!FP574</f>
        <v>29.604302568618746</v>
      </c>
      <c r="DD192" s="687" t="str">
        <f>INPUT!FQ574</f>
        <v>NA</v>
      </c>
      <c r="DE192" s="156">
        <f>INPUT!FR574</f>
        <v>41.522778589454106</v>
      </c>
      <c r="DF192" s="687">
        <f>INPUT!FS574</f>
        <v>40.259269723412515</v>
      </c>
      <c r="DG192" s="156">
        <f>INPUT!FT574</f>
        <v>48.959653963755706</v>
      </c>
      <c r="DH192" s="687">
        <f>INPUT!FU574</f>
        <v>17.910350961412803</v>
      </c>
      <c r="DI192" s="156">
        <v>51.66707626771526</v>
      </c>
      <c r="DJ192" s="507" t="s">
        <v>101</v>
      </c>
      <c r="DK192" s="156">
        <f>INPUT!FX574</f>
        <v>59.66743083577969</v>
      </c>
      <c r="DL192" s="507">
        <f>INPUT!FY574</f>
        <v>8.0218865162657629</v>
      </c>
      <c r="DM192" s="156">
        <f>INPUT!FZ574</f>
        <v>52.900875899748435</v>
      </c>
      <c r="DN192" s="507">
        <f>INPUT!GA574</f>
        <v>-11.340449624275895</v>
      </c>
      <c r="DO192" s="156">
        <f>INPUT!GB574</f>
        <v>48.219367077692482</v>
      </c>
      <c r="DP192" s="507">
        <f>INPUT!GC574</f>
        <v>-8.8495865946110257</v>
      </c>
      <c r="DQ192" s="156">
        <f>INPUT!GD574</f>
        <v>44.41707717569787</v>
      </c>
      <c r="DR192" s="507">
        <f>INPUT!GE574</f>
        <v>-7.8853998557638638</v>
      </c>
      <c r="DS192" s="156">
        <f>INPUT!GF574</f>
        <v>39.238506202044789</v>
      </c>
      <c r="DT192" s="507">
        <f>INPUT!GG574</f>
        <v>-11.65896385565518</v>
      </c>
      <c r="DU192" s="156">
        <f>INPUT!GH574</f>
        <v>35.997400909681609</v>
      </c>
      <c r="DV192" s="507">
        <f>INPUT!GI574</f>
        <v>-8.2600119272488559</v>
      </c>
      <c r="DW192" s="156">
        <f>INPUT!GJ574</f>
        <v>31.801889866405997</v>
      </c>
      <c r="DX192" s="507">
        <f>INPUT!GK574</f>
        <v>-11.655038800724126</v>
      </c>
      <c r="DY192" s="156">
        <f>INPUT!GL574</f>
        <v>34.368356632094311</v>
      </c>
      <c r="DZ192" s="507">
        <f>INPUT!GM574</f>
        <v>8.0701705982555652</v>
      </c>
      <c r="EA192" s="156">
        <f>INPUT!GN574</f>
        <v>32.593907128068615</v>
      </c>
      <c r="EB192" s="507">
        <f>INPUT!GO574</f>
        <v>-5.1630327368305302</v>
      </c>
      <c r="EC192" s="156">
        <f>INPUT!GP574</f>
        <v>33.856809961213465</v>
      </c>
      <c r="ED192" s="507">
        <f>INPUT!GQ574</f>
        <v>3.8746592367175481</v>
      </c>
      <c r="EE192" s="156">
        <f>INPUT!GR574</f>
        <v>31.989260450725304</v>
      </c>
      <c r="EF192" s="507">
        <f>INPUT!GS574</f>
        <v>-5.5160232538967291</v>
      </c>
      <c r="EG192" s="156">
        <f>INPUT!GT574</f>
        <v>29.969876594259276</v>
      </c>
      <c r="EH192" s="507">
        <f>INPUT!GU574</f>
        <v>-6.3126931601828922</v>
      </c>
      <c r="EI192" s="156">
        <f>INPUT!GV574</f>
        <v>29.47703515736676</v>
      </c>
      <c r="EJ192" s="507">
        <f>INPUT!GW574</f>
        <v>-1.6444560101622763</v>
      </c>
      <c r="EK192" s="156">
        <f>INPUT!GX574</f>
        <v>28.921456921102319</v>
      </c>
      <c r="EL192" s="507">
        <f>INPUT!GY574</f>
        <v>-1.8847833009609682</v>
      </c>
      <c r="EM192" s="687">
        <f>INPUT!GZ574</f>
        <v>-2.3624780136251022</v>
      </c>
    </row>
    <row r="193" spans="1:143" ht="12.75" hidden="1" customHeight="1" outlineLevel="1" x14ac:dyDescent="0.2">
      <c r="A193" s="700"/>
      <c r="B193" s="16"/>
      <c r="C193" s="507"/>
      <c r="D193" s="16"/>
      <c r="E193" s="687"/>
      <c r="F193" s="16"/>
      <c r="G193" s="687"/>
      <c r="H193" s="16"/>
      <c r="I193" s="687"/>
      <c r="J193" s="16"/>
      <c r="K193" s="687"/>
      <c r="L193" s="16"/>
      <c r="M193" s="687"/>
      <c r="N193" s="16"/>
      <c r="O193" s="687"/>
      <c r="P193" s="16"/>
      <c r="Q193" s="687"/>
      <c r="R193" s="16"/>
      <c r="S193" s="687"/>
      <c r="T193" s="16"/>
      <c r="U193" s="687"/>
      <c r="V193" s="16"/>
      <c r="W193" s="687"/>
      <c r="X193" s="16"/>
      <c r="Y193" s="687"/>
      <c r="Z193" s="16"/>
      <c r="AA193" s="122"/>
      <c r="AB193" s="16"/>
      <c r="AC193" s="687"/>
      <c r="AD193" s="16"/>
      <c r="AE193" s="687"/>
      <c r="AF193" s="16"/>
      <c r="AG193" s="687"/>
      <c r="AH193" s="16"/>
      <c r="AI193" s="507"/>
      <c r="AJ193" s="16"/>
      <c r="AK193" s="507"/>
      <c r="AL193" s="16"/>
      <c r="AM193" s="507"/>
      <c r="AN193" s="16"/>
      <c r="AO193" s="507"/>
      <c r="AP193" s="16"/>
      <c r="AQ193" s="507"/>
      <c r="AR193" s="16"/>
      <c r="AS193" s="507"/>
      <c r="AT193" s="16"/>
      <c r="AU193" s="507"/>
      <c r="AV193" s="16"/>
      <c r="AW193" s="507"/>
      <c r="AX193" s="16"/>
      <c r="AY193" s="507"/>
      <c r="AZ193" s="16"/>
      <c r="BA193" s="507"/>
      <c r="BB193" s="16"/>
      <c r="BC193" s="507"/>
      <c r="BD193" s="16"/>
      <c r="BE193" s="507"/>
      <c r="BF193" s="16"/>
      <c r="BG193" s="507"/>
      <c r="BH193" s="16"/>
      <c r="BI193" s="507"/>
      <c r="BJ193" s="16"/>
      <c r="BK193" s="507"/>
      <c r="BL193" s="16"/>
      <c r="BM193" s="507"/>
      <c r="BN193" s="16"/>
      <c r="BO193" s="507"/>
      <c r="BP193" s="16"/>
      <c r="BQ193" s="507"/>
      <c r="BR193" s="16"/>
      <c r="BS193" s="507"/>
      <c r="BT193" s="16"/>
      <c r="BU193" s="507"/>
      <c r="BV193" s="16"/>
      <c r="BW193" s="507"/>
      <c r="BX193" s="16"/>
      <c r="BY193" s="507"/>
      <c r="BZ193" s="16"/>
      <c r="CA193" s="507"/>
      <c r="CB193" s="16"/>
      <c r="CC193" s="507"/>
      <c r="CD193" s="16"/>
      <c r="CE193" s="507"/>
      <c r="CF193" s="16"/>
      <c r="CG193" s="507"/>
      <c r="CH193" s="16"/>
      <c r="CI193" s="507"/>
      <c r="CJ193" s="16"/>
      <c r="CK193" s="507"/>
      <c r="CL193" s="16"/>
      <c r="CM193" s="507"/>
      <c r="CN193" s="16"/>
      <c r="CO193" s="507"/>
      <c r="CP193" s="16"/>
      <c r="CQ193" s="507"/>
      <c r="CR193" s="16"/>
      <c r="CS193" s="507"/>
      <c r="CT193" s="16"/>
      <c r="CU193" s="507"/>
      <c r="CV193" s="16"/>
      <c r="CW193" s="507"/>
      <c r="CX193" s="16"/>
      <c r="CY193" s="507"/>
      <c r="CZ193" s="16"/>
      <c r="DA193" s="507"/>
      <c r="DB193" s="507"/>
      <c r="DC193" s="16"/>
      <c r="DD193" s="687"/>
      <c r="DE193" s="16"/>
      <c r="DF193" s="687"/>
      <c r="DG193" s="16"/>
      <c r="DH193" s="687"/>
      <c r="DI193" s="16"/>
      <c r="DJ193" s="507"/>
      <c r="DK193" s="16"/>
      <c r="DL193" s="507"/>
      <c r="DM193" s="16"/>
      <c r="DN193" s="507"/>
      <c r="DO193" s="16"/>
      <c r="DP193" s="507"/>
      <c r="DQ193" s="16"/>
      <c r="DR193" s="507"/>
      <c r="DS193" s="16"/>
      <c r="DT193" s="507"/>
      <c r="DU193" s="16"/>
      <c r="DV193" s="507"/>
      <c r="DW193" s="16"/>
      <c r="DX193" s="507"/>
      <c r="DY193" s="16"/>
      <c r="DZ193" s="507"/>
      <c r="EA193" s="16"/>
      <c r="EB193" s="507"/>
      <c r="EC193" s="16"/>
      <c r="ED193" s="507"/>
      <c r="EE193" s="16"/>
      <c r="EF193" s="507"/>
      <c r="EG193" s="16"/>
      <c r="EH193" s="507"/>
      <c r="EI193" s="16"/>
      <c r="EJ193" s="507"/>
      <c r="EK193" s="16"/>
      <c r="EL193" s="507"/>
      <c r="EM193" s="687"/>
    </row>
    <row r="194" spans="1:143" ht="12.75" hidden="1" customHeight="1" outlineLevel="1" x14ac:dyDescent="0.2">
      <c r="A194" s="700" t="s">
        <v>305</v>
      </c>
      <c r="B194" s="16"/>
      <c r="C194" s="507"/>
      <c r="D194" s="16"/>
      <c r="E194" s="687"/>
      <c r="F194" s="16"/>
      <c r="G194" s="687"/>
      <c r="H194" s="16"/>
      <c r="I194" s="687"/>
      <c r="J194" s="16"/>
      <c r="K194" s="687"/>
      <c r="L194" s="16"/>
      <c r="M194" s="687"/>
      <c r="N194" s="16"/>
      <c r="O194" s="687"/>
      <c r="P194" s="16"/>
      <c r="Q194" s="687"/>
      <c r="R194" s="16"/>
      <c r="S194" s="687"/>
      <c r="T194" s="16"/>
      <c r="U194" s="687"/>
      <c r="V194" s="16"/>
      <c r="W194" s="687"/>
      <c r="X194" s="16"/>
      <c r="Y194" s="687"/>
      <c r="Z194" s="16"/>
      <c r="AA194" s="122"/>
      <c r="AB194" s="16"/>
      <c r="AC194" s="687"/>
      <c r="AD194" s="16"/>
      <c r="AE194" s="687"/>
      <c r="AF194" s="16"/>
      <c r="AG194" s="687"/>
      <c r="AH194" s="16"/>
      <c r="AI194" s="507"/>
      <c r="AJ194" s="16"/>
      <c r="AK194" s="507"/>
      <c r="AL194" s="16"/>
      <c r="AM194" s="507"/>
      <c r="AN194" s="16"/>
      <c r="AO194" s="507"/>
      <c r="AP194" s="16"/>
      <c r="AQ194" s="507"/>
      <c r="AR194" s="16"/>
      <c r="AS194" s="507"/>
      <c r="AT194" s="16"/>
      <c r="AU194" s="507"/>
      <c r="AV194" s="16"/>
      <c r="AW194" s="507"/>
      <c r="AX194" s="16"/>
      <c r="AY194" s="507"/>
      <c r="AZ194" s="16"/>
      <c r="BA194" s="507"/>
      <c r="BB194" s="16"/>
      <c r="BC194" s="507"/>
      <c r="BD194" s="16"/>
      <c r="BE194" s="507"/>
      <c r="BF194" s="16"/>
      <c r="BG194" s="507"/>
      <c r="BH194" s="16"/>
      <c r="BI194" s="507"/>
      <c r="BJ194" s="16"/>
      <c r="BK194" s="507"/>
      <c r="BL194" s="16"/>
      <c r="BM194" s="507"/>
      <c r="BN194" s="16"/>
      <c r="BO194" s="507"/>
      <c r="BP194" s="16"/>
      <c r="BQ194" s="507"/>
      <c r="BR194" s="16"/>
      <c r="BS194" s="507"/>
      <c r="BT194" s="16"/>
      <c r="BU194" s="507"/>
      <c r="BV194" s="16"/>
      <c r="BW194" s="507"/>
      <c r="BX194" s="16"/>
      <c r="BY194" s="507"/>
      <c r="BZ194" s="16"/>
      <c r="CA194" s="507"/>
      <c r="CB194" s="16"/>
      <c r="CC194" s="507"/>
      <c r="CD194" s="16"/>
      <c r="CE194" s="507"/>
      <c r="CF194" s="16"/>
      <c r="CG194" s="507"/>
      <c r="CH194" s="16"/>
      <c r="CI194" s="507"/>
      <c r="CJ194" s="16"/>
      <c r="CK194" s="507"/>
      <c r="CL194" s="16"/>
      <c r="CM194" s="507"/>
      <c r="CN194" s="16"/>
      <c r="CO194" s="507"/>
      <c r="CP194" s="16"/>
      <c r="CQ194" s="507"/>
      <c r="CR194" s="16"/>
      <c r="CS194" s="507"/>
      <c r="CT194" s="16"/>
      <c r="CU194" s="507"/>
      <c r="CV194" s="16"/>
      <c r="CW194" s="507"/>
      <c r="CX194" s="16"/>
      <c r="CY194" s="507"/>
      <c r="CZ194" s="16"/>
      <c r="DA194" s="507"/>
      <c r="DB194" s="507"/>
      <c r="DC194" s="16"/>
      <c r="DD194" s="687"/>
      <c r="DE194" s="16"/>
      <c r="DF194" s="687"/>
      <c r="DG194" s="16"/>
      <c r="DH194" s="687"/>
      <c r="DI194" s="16"/>
      <c r="DJ194" s="507"/>
      <c r="DK194" s="16"/>
      <c r="DL194" s="507"/>
      <c r="DM194" s="16"/>
      <c r="DN194" s="507"/>
      <c r="DO194" s="16"/>
      <c r="DP194" s="507"/>
      <c r="DQ194" s="16"/>
      <c r="DR194" s="507"/>
      <c r="DS194" s="16"/>
      <c r="DT194" s="507"/>
      <c r="DU194" s="16"/>
      <c r="DV194" s="507"/>
      <c r="DW194" s="16"/>
      <c r="DX194" s="507"/>
      <c r="DY194" s="16"/>
      <c r="DZ194" s="507"/>
      <c r="EA194" s="16"/>
      <c r="EB194" s="507"/>
      <c r="EC194" s="16"/>
      <c r="ED194" s="507"/>
      <c r="EE194" s="16"/>
      <c r="EF194" s="507"/>
      <c r="EG194" s="16"/>
      <c r="EH194" s="507"/>
      <c r="EI194" s="16"/>
      <c r="EJ194" s="507"/>
      <c r="EK194" s="16"/>
      <c r="EL194" s="507"/>
      <c r="EM194" s="687"/>
    </row>
    <row r="195" spans="1:143" ht="12.75" hidden="1" customHeight="1" outlineLevel="1" x14ac:dyDescent="0.2">
      <c r="A195" s="701" t="s">
        <v>306</v>
      </c>
      <c r="B195" s="151">
        <f>INPUT!AY197</f>
        <v>11913</v>
      </c>
      <c r="C195" s="507">
        <f>INPUT!AZ197</f>
        <v>0</v>
      </c>
      <c r="D195" s="151">
        <f>INPUT!BA197</f>
        <v>21285</v>
      </c>
      <c r="E195" s="687">
        <f>INPUT!BB197</f>
        <v>0</v>
      </c>
      <c r="F195" s="151">
        <f>INPUT!BC197</f>
        <v>21516</v>
      </c>
      <c r="G195" s="687">
        <f>INPUT!BD197</f>
        <v>0</v>
      </c>
      <c r="H195" s="151">
        <f>INPUT!BE197</f>
        <v>21890</v>
      </c>
      <c r="I195" s="687">
        <f>INPUT!BF197</f>
        <v>0</v>
      </c>
      <c r="J195" s="151">
        <f>INPUT!BG197</f>
        <v>25575</v>
      </c>
      <c r="K195" s="687">
        <f>INPUT!BH197</f>
        <v>0</v>
      </c>
      <c r="L195" s="151">
        <f>INPUT!BI197</f>
        <v>25864</v>
      </c>
      <c r="M195" s="687">
        <f>INPUT!BJ197</f>
        <v>0</v>
      </c>
      <c r="N195" s="151">
        <f>INPUT!BK197</f>
        <v>26162</v>
      </c>
      <c r="O195" s="687">
        <f>INPUT!BL197</f>
        <v>0</v>
      </c>
      <c r="P195" s="151">
        <f>INPUT!BM197</f>
        <v>26518</v>
      </c>
      <c r="Q195" s="687">
        <f>INPUT!BN197</f>
        <v>0</v>
      </c>
      <c r="R195" s="151">
        <f>INPUT!BO197</f>
        <v>26726</v>
      </c>
      <c r="S195" s="687">
        <f>INPUT!BP197</f>
        <v>0</v>
      </c>
      <c r="T195" s="151">
        <f>INPUT!BQ197</f>
        <v>26980</v>
      </c>
      <c r="U195" s="687">
        <f>INPUT!BR197</f>
        <v>0</v>
      </c>
      <c r="V195" s="151">
        <f>INPUT!BS197</f>
        <v>27227</v>
      </c>
      <c r="W195" s="687">
        <f>INPUT!BT197</f>
        <v>0</v>
      </c>
      <c r="X195" s="151">
        <f>INPUT!BU197</f>
        <v>27502</v>
      </c>
      <c r="Y195" s="687">
        <f>INPUT!BV197</f>
        <v>0</v>
      </c>
      <c r="Z195" s="151">
        <f>INPUT!BW197</f>
        <v>26679</v>
      </c>
      <c r="AA195" s="122">
        <f>INPUT!BX197</f>
        <v>0</v>
      </c>
      <c r="AB195" s="151">
        <f>INPUT!BY197</f>
        <v>26779</v>
      </c>
      <c r="AC195" s="687">
        <f>INPUT!BZ197</f>
        <v>0</v>
      </c>
      <c r="AD195" s="151">
        <f>INPUT!CA197</f>
        <v>26902</v>
      </c>
      <c r="AE195" s="687">
        <f>INPUT!CB197</f>
        <v>0</v>
      </c>
      <c r="AF195" s="151">
        <f>INPUT!CC197</f>
        <v>27275</v>
      </c>
      <c r="AG195" s="687">
        <f>INPUT!CD197</f>
        <v>0</v>
      </c>
      <c r="AH195" s="151">
        <f>INPUT!CE197</f>
        <v>27444</v>
      </c>
      <c r="AI195" s="507">
        <f>INPUT!CF197</f>
        <v>0</v>
      </c>
      <c r="AJ195" s="151">
        <f>INPUT!CG197</f>
        <v>27681</v>
      </c>
      <c r="AK195" s="507">
        <f>INPUT!CH197</f>
        <v>0</v>
      </c>
      <c r="AL195" s="151">
        <f>INPUT!CI197</f>
        <v>27895</v>
      </c>
      <c r="AM195" s="507">
        <f>INPUT!CJ197</f>
        <v>0</v>
      </c>
      <c r="AN195" s="151">
        <f>INPUT!CK197</f>
        <v>28477</v>
      </c>
      <c r="AO195" s="507">
        <f>INPUT!CL197</f>
        <v>0</v>
      </c>
      <c r="AP195" s="151">
        <f>INPUT!CM197</f>
        <v>28854</v>
      </c>
      <c r="AQ195" s="507">
        <f>INPUT!CN197</f>
        <v>0</v>
      </c>
      <c r="AR195" s="151">
        <f>INPUT!CO197</f>
        <v>29267</v>
      </c>
      <c r="AS195" s="507">
        <f>INPUT!CP197</f>
        <v>0</v>
      </c>
      <c r="AT195" s="151">
        <f>INPUT!CQ197</f>
        <v>29761</v>
      </c>
      <c r="AU195" s="507">
        <f>INPUT!CR197</f>
        <v>0</v>
      </c>
      <c r="AV195" s="151">
        <f>INPUT!CS197</f>
        <v>30349</v>
      </c>
      <c r="AW195" s="507">
        <f>INPUT!CT197</f>
        <v>0</v>
      </c>
      <c r="AX195" s="151">
        <f>INPUT!CU197</f>
        <v>30632</v>
      </c>
      <c r="AY195" s="507">
        <f>INPUT!CV197</f>
        <v>0</v>
      </c>
      <c r="AZ195" s="151">
        <f>INPUT!CW197</f>
        <v>30891</v>
      </c>
      <c r="BA195" s="507">
        <f>INPUT!CX197</f>
        <v>0</v>
      </c>
      <c r="BB195" s="151">
        <f>INPUT!CY197</f>
        <v>31139</v>
      </c>
      <c r="BC195" s="507">
        <f>INPUT!CZ197</f>
        <v>0</v>
      </c>
      <c r="BD195" s="151">
        <f>INPUT!DA197</f>
        <v>31594</v>
      </c>
      <c r="BE195" s="507">
        <f>INPUT!DB197</f>
        <v>0</v>
      </c>
      <c r="BF195" s="151">
        <f>INPUT!DC197</f>
        <v>31986</v>
      </c>
      <c r="BG195" s="507">
        <f>INPUT!DD197</f>
        <v>0</v>
      </c>
      <c r="BH195" s="151">
        <f>INPUT!DE197</f>
        <v>32289</v>
      </c>
      <c r="BI195" s="507">
        <f>INPUT!DF197</f>
        <v>0</v>
      </c>
      <c r="BJ195" s="151">
        <f>INPUT!DG197</f>
        <v>32553</v>
      </c>
      <c r="BK195" s="507">
        <f>INPUT!DH197</f>
        <v>0</v>
      </c>
      <c r="BL195" s="151">
        <f>INPUT!DI197</f>
        <v>32912</v>
      </c>
      <c r="BM195" s="507">
        <f>INPUT!DJ197</f>
        <v>0</v>
      </c>
      <c r="BN195" s="151">
        <f>INPUT!DK197</f>
        <v>33082</v>
      </c>
      <c r="BO195" s="507">
        <f>INPUT!DL197</f>
        <v>0</v>
      </c>
      <c r="BP195" s="151">
        <f>INPUT!DM197</f>
        <v>33297</v>
      </c>
      <c r="BQ195" s="507">
        <f>INPUT!DN197</f>
        <v>3.1218061878658387</v>
      </c>
      <c r="BR195" s="151">
        <f>INPUT!DO197</f>
        <v>33522</v>
      </c>
      <c r="BS195" s="507">
        <f>INPUT!DP197</f>
        <v>2.9766841765735963</v>
      </c>
      <c r="BT195" s="151">
        <f>INPUT!DQ197</f>
        <v>33828</v>
      </c>
      <c r="BU195" s="507">
        <f>INPUT!DR197</f>
        <v>2.7831793874574684</v>
      </c>
      <c r="BV195" s="151">
        <f>INPUT!DS197</f>
        <v>33971</v>
      </c>
      <c r="BW195" s="507">
        <f>INPUT!DT197</f>
        <v>2.6872619551417731</v>
      </c>
      <c r="BX195" s="151">
        <f>INPUT!DU197</f>
        <v>34157</v>
      </c>
      <c r="BY195" s="507">
        <f>INPUT!DV197</f>
        <v>2.582815268642813</v>
      </c>
      <c r="BZ195" s="151">
        <f>INPUT!DW197</f>
        <v>34443</v>
      </c>
      <c r="CA195" s="507">
        <f>INPUT!DX197</f>
        <v>-484.5479556520209</v>
      </c>
      <c r="CB195" s="151">
        <f>INPUT!DY197</f>
        <v>34782</v>
      </c>
      <c r="CC195" s="507">
        <f>INPUT!DZ197</f>
        <v>2.8201489890032017</v>
      </c>
      <c r="CD195" s="151">
        <f>INPUT!EA197</f>
        <v>34877</v>
      </c>
      <c r="CE195" s="507">
        <f>INPUT!EB197</f>
        <v>2.6669806599746826</v>
      </c>
      <c r="CF195" s="151">
        <f>INPUT!EC197</f>
        <v>35015</v>
      </c>
      <c r="CG195" s="507">
        <f>INPUT!ED197</f>
        <v>2.5119302046432646</v>
      </c>
      <c r="CH195" s="151">
        <f>INPUT!EE197</f>
        <v>35219</v>
      </c>
      <c r="CI195" s="507">
        <f>INPUT!EF197</f>
        <v>2.2529977063554307</v>
      </c>
      <c r="CJ195" s="151">
        <f>INPUT!EG197</f>
        <v>35525</v>
      </c>
      <c r="CK195" s="507">
        <f>INPUT!EH197</f>
        <v>2.1361623828416887</v>
      </c>
      <c r="CL195" s="151">
        <f>INPUT!EI197</f>
        <v>35557</v>
      </c>
      <c r="CM195" s="507">
        <f>INPUT!EJ197</f>
        <v>1.9497089772629428</v>
      </c>
      <c r="CN195" s="151">
        <f>INPUT!EK197</f>
        <v>35720</v>
      </c>
      <c r="CO195" s="507">
        <f>INPUT!EL197</f>
        <v>2.0134228187919545</v>
      </c>
      <c r="CP195" s="151">
        <f>INPUT!EM197</f>
        <v>35850</v>
      </c>
      <c r="CQ195" s="507">
        <f>INPUT!EN197</f>
        <v>1.7916465544166593</v>
      </c>
      <c r="CR195" s="151">
        <f>INPUT!EO197</f>
        <v>36072</v>
      </c>
      <c r="CS195" s="507">
        <f>INPUT!EP197</f>
        <v>1.5397607318789586</v>
      </c>
      <c r="CT195" s="151">
        <f>INPUT!EQ197</f>
        <v>36307.40390953084</v>
      </c>
      <c r="CU195" s="507">
        <f>INPUT!ER197</f>
        <v>2.1104252595293138</v>
      </c>
      <c r="CV195" s="151">
        <f>INPUT!ES197</f>
        <v>36509.467531518072</v>
      </c>
      <c r="CW195" s="507">
        <f>INPUT!ET197</f>
        <v>2.210155463376462</v>
      </c>
      <c r="CX195" s="151">
        <f>INPUT!EU197</f>
        <v>36738.166518367623</v>
      </c>
      <c r="CY195" s="507">
        <f>INPUT!EV197</f>
        <v>2.477451934079844</v>
      </c>
      <c r="CZ195" s="151">
        <f>INPUT!EW197</f>
        <v>36938.624028742997</v>
      </c>
      <c r="DA195" s="507">
        <f>INPUT!EX197</f>
        <v>2.4024840007290882</v>
      </c>
      <c r="DB195" s="507"/>
      <c r="DC195" s="151">
        <f>INPUT!FP197</f>
        <v>0</v>
      </c>
      <c r="DD195" s="687">
        <f>INPUT!FQ197</f>
        <v>0</v>
      </c>
      <c r="DE195" s="151">
        <f>INPUT!FR197</f>
        <v>0</v>
      </c>
      <c r="DF195" s="687">
        <f>INPUT!FS197</f>
        <v>0</v>
      </c>
      <c r="DG195" s="151">
        <f>INPUT!FT197</f>
        <v>26518</v>
      </c>
      <c r="DH195" s="687">
        <f>INPUT!FU197</f>
        <v>0</v>
      </c>
      <c r="DI195" s="151">
        <f>INPUT!FV197</f>
        <v>27502</v>
      </c>
      <c r="DJ195" s="687">
        <f>INPUT!FW197</f>
        <v>0</v>
      </c>
      <c r="DK195" s="151">
        <f>INPUT!FX197</f>
        <v>24484</v>
      </c>
      <c r="DL195" s="507">
        <f>INPUT!FY197</f>
        <v>0</v>
      </c>
      <c r="DM195" s="151">
        <f>INPUT!FZ197</f>
        <v>25764</v>
      </c>
      <c r="DN195" s="507">
        <f>INPUT!GA197</f>
        <v>0</v>
      </c>
      <c r="DO195" s="151">
        <f>INPUT!GB197</f>
        <v>27706</v>
      </c>
      <c r="DP195" s="507">
        <f>INPUT!GC197</f>
        <v>0</v>
      </c>
      <c r="DQ195" s="151">
        <f>INPUT!GD197</f>
        <v>29026</v>
      </c>
      <c r="DR195" s="507">
        <f>INPUT!GE197</f>
        <v>0</v>
      </c>
      <c r="DS195" s="151">
        <f>INPUT!GF197</f>
        <v>30449</v>
      </c>
      <c r="DT195" s="507">
        <f>INPUT!GG197</f>
        <v>4.9025012058154793</v>
      </c>
      <c r="DU195" s="151">
        <f>INPUT!GH197</f>
        <v>31434</v>
      </c>
      <c r="DV195" s="507">
        <f>INPUT!GI197</f>
        <v>3.2349174028703631</v>
      </c>
      <c r="DW195" s="151">
        <f>INPUT!GJ197</f>
        <v>32457</v>
      </c>
      <c r="DX195" s="507">
        <f>INPUT!GK197</f>
        <v>3.2544378698224907</v>
      </c>
      <c r="DY195" s="151">
        <f>INPUT!GL197</f>
        <v>33246</v>
      </c>
      <c r="DZ195" s="507">
        <f>INPUT!GM197</f>
        <v>2.4309085867455504</v>
      </c>
      <c r="EA195" s="151">
        <f>INPUT!GN197</f>
        <v>33874</v>
      </c>
      <c r="EB195" s="507">
        <f>INPUT!GO197</f>
        <v>1.888949046501831</v>
      </c>
      <c r="EC195" s="151">
        <f>INPUT!GP197</f>
        <v>34823.846554784664</v>
      </c>
      <c r="ED195" s="507">
        <f>INPUT!GQ197</f>
        <v>2.8040578460904131</v>
      </c>
      <c r="EE195" s="151">
        <f>INPUT!GR197</f>
        <v>35618.449324670568</v>
      </c>
      <c r="EF195" s="507">
        <f>INPUT!GS197</f>
        <v>2.2817777141185047</v>
      </c>
      <c r="EG195" s="151">
        <f>INPUT!GT197</f>
        <v>36443.070008869181</v>
      </c>
      <c r="EH195" s="507">
        <f>INPUT!GU197</f>
        <v>2.315150434208979</v>
      </c>
      <c r="EI195" s="151">
        <f>INPUT!GV197</f>
        <v>37299.109853466834</v>
      </c>
      <c r="EJ195" s="507">
        <f>INPUT!GW197</f>
        <v>2.3489784049184559</v>
      </c>
      <c r="EK195" s="151">
        <f>INPUT!GX197</f>
        <v>38188.039144426293</v>
      </c>
      <c r="EL195" s="507">
        <f>INPUT!GY197</f>
        <v>2.3832453226141359</v>
      </c>
      <c r="EM195" s="687">
        <f>INPUT!GZ197</f>
        <v>2.4264628337937522</v>
      </c>
    </row>
    <row r="196" spans="1:143" ht="12.75" hidden="1" customHeight="1" outlineLevel="1" x14ac:dyDescent="0.2">
      <c r="A196" s="701" t="s">
        <v>84</v>
      </c>
      <c r="B196" s="151">
        <f>INPUT!AY216</f>
        <v>2354.5</v>
      </c>
      <c r="C196" s="507">
        <f>INPUT!AZ216</f>
        <v>0</v>
      </c>
      <c r="D196" s="151">
        <f>INPUT!BA216</f>
        <v>4193.5</v>
      </c>
      <c r="E196" s="687">
        <f>INPUT!BB216</f>
        <v>0</v>
      </c>
      <c r="F196" s="151">
        <f>INPUT!BC216</f>
        <v>4304.5</v>
      </c>
      <c r="G196" s="687">
        <f>INPUT!BD216</f>
        <v>0</v>
      </c>
      <c r="H196" s="151">
        <f>INPUT!BE216</f>
        <v>4599.5</v>
      </c>
      <c r="I196" s="687">
        <f>INPUT!BF216</f>
        <v>0</v>
      </c>
      <c r="J196" s="151">
        <f>INPUT!BG216</f>
        <v>5702</v>
      </c>
      <c r="K196" s="687" t="str">
        <f>INPUT!BH216</f>
        <v>NM</v>
      </c>
      <c r="L196" s="151">
        <f>INPUT!BI216</f>
        <v>5954</v>
      </c>
      <c r="M196" s="687">
        <f>INPUT!BJ216</f>
        <v>41.981638249672116</v>
      </c>
      <c r="N196" s="151">
        <f>INPUT!BK216</f>
        <v>6104</v>
      </c>
      <c r="O196" s="687">
        <f>INPUT!BL216</f>
        <v>41.805087698919728</v>
      </c>
      <c r="P196" s="151">
        <f>INPUT!BM216</f>
        <v>6040</v>
      </c>
      <c r="Q196" s="687">
        <f>INPUT!BN216</f>
        <v>31.318621589303184</v>
      </c>
      <c r="R196" s="151">
        <f>INPUT!BO216</f>
        <v>5615</v>
      </c>
      <c r="S196" s="687">
        <f>INPUT!BP216</f>
        <v>-1.5257804279200315</v>
      </c>
      <c r="T196" s="151">
        <f>INPUT!BQ216</f>
        <v>5623</v>
      </c>
      <c r="U196" s="687">
        <f>INPUT!BR216</f>
        <v>-5.5592878736983486</v>
      </c>
      <c r="V196" s="151">
        <f>INPUT!BS216</f>
        <v>5056</v>
      </c>
      <c r="W196" s="687">
        <f>INPUT!BT216</f>
        <v>-17.169069462647446</v>
      </c>
      <c r="X196" s="151">
        <f>INPUT!BU216</f>
        <v>4251</v>
      </c>
      <c r="Y196" s="687">
        <f>INPUT!BV216</f>
        <v>-29.619205298013242</v>
      </c>
      <c r="Z196" s="151">
        <f>INPUT!BW216</f>
        <v>3352</v>
      </c>
      <c r="AA196" s="122">
        <f>INPUT!BX216</f>
        <v>-40.302760463045416</v>
      </c>
      <c r="AB196" s="151">
        <f>INPUT!BY216</f>
        <v>3843</v>
      </c>
      <c r="AC196" s="687">
        <f>INPUT!BZ216</f>
        <v>-31.655699804374894</v>
      </c>
      <c r="AD196" s="151">
        <f>INPUT!CA216</f>
        <v>4369</v>
      </c>
      <c r="AE196" s="687">
        <f>INPUT!CB216</f>
        <v>-13.587816455696199</v>
      </c>
      <c r="AF196" s="151">
        <f>INPUT!CC216</f>
        <v>4467</v>
      </c>
      <c r="AG196" s="687">
        <f>INPUT!CD216</f>
        <v>5.0811573747353567</v>
      </c>
      <c r="AH196" s="151">
        <f>INPUT!CE216</f>
        <v>4630</v>
      </c>
      <c r="AI196" s="507">
        <f>INPUT!CF216</f>
        <v>38.126491646778035</v>
      </c>
      <c r="AJ196" s="151">
        <f>INPUT!CG216</f>
        <v>4284</v>
      </c>
      <c r="AK196" s="507">
        <f>INPUT!CH216</f>
        <v>11.475409836065564</v>
      </c>
      <c r="AL196" s="151">
        <f>INPUT!CI216</f>
        <v>4759</v>
      </c>
      <c r="AM196" s="507">
        <f>INPUT!CJ216</f>
        <v>8.9265278095673963</v>
      </c>
      <c r="AN196" s="151">
        <f>INPUT!CK216</f>
        <v>5108</v>
      </c>
      <c r="AO196" s="507">
        <f>INPUT!CL216</f>
        <v>14.349675397358407</v>
      </c>
      <c r="AP196" s="151">
        <f>INPUT!CM216</f>
        <v>5295</v>
      </c>
      <c r="AQ196" s="507">
        <f>INPUT!CN216</f>
        <v>14.362850971922247</v>
      </c>
      <c r="AR196" s="151">
        <f>INPUT!CO216</f>
        <v>5300</v>
      </c>
      <c r="AS196" s="507">
        <f>INPUT!CP216</f>
        <v>23.716153127917838</v>
      </c>
      <c r="AT196" s="151">
        <f>INPUT!CQ216</f>
        <v>4658</v>
      </c>
      <c r="AU196" s="507">
        <f>INPUT!CR216</f>
        <v>-2.1222945997058207</v>
      </c>
      <c r="AV196" s="151">
        <f>INPUT!CS216</f>
        <v>4929</v>
      </c>
      <c r="AW196" s="507">
        <f>INPUT!CT216</f>
        <v>-3.5043069694596696</v>
      </c>
      <c r="AX196" s="151">
        <f>INPUT!CU216</f>
        <v>5376</v>
      </c>
      <c r="AY196" s="507">
        <f>INPUT!CV216</f>
        <v>1.5297450424929249</v>
      </c>
      <c r="AZ196" s="151">
        <f>INPUT!CW216</f>
        <v>5230</v>
      </c>
      <c r="BA196" s="507">
        <f>INPUT!CX216</f>
        <v>-1.3207547169811318</v>
      </c>
      <c r="BB196" s="151">
        <f>INPUT!CY216</f>
        <v>5450</v>
      </c>
      <c r="BC196" s="507">
        <f>INPUT!CZ216</f>
        <v>17.003005581794774</v>
      </c>
      <c r="BD196" s="151">
        <f>INPUT!DA216</f>
        <v>5731</v>
      </c>
      <c r="BE196" s="507">
        <f>INPUT!DB216</f>
        <v>16.271048894299046</v>
      </c>
      <c r="BF196" s="151">
        <f>INPUT!DC216</f>
        <v>6032</v>
      </c>
      <c r="BG196" s="507">
        <f>INPUT!DD216</f>
        <v>12.202380952380953</v>
      </c>
      <c r="BH196" s="151">
        <f>INPUT!DE216</f>
        <v>6157</v>
      </c>
      <c r="BI196" s="507">
        <f>INPUT!DF216</f>
        <v>17.724665391969396</v>
      </c>
      <c r="BJ196" s="151">
        <f>INPUT!DG216</f>
        <v>6604</v>
      </c>
      <c r="BK196" s="507">
        <f>INPUT!DH216</f>
        <v>21.174311926605505</v>
      </c>
      <c r="BL196" s="151">
        <f>INPUT!DI216</f>
        <v>7201</v>
      </c>
      <c r="BM196" s="507">
        <f>INPUT!DJ216</f>
        <v>25.649973826557314</v>
      </c>
      <c r="BN196" s="151">
        <f>INPUT!DK216</f>
        <v>7470</v>
      </c>
      <c r="BO196" s="507">
        <f>INPUT!DL216</f>
        <v>23.839522546419101</v>
      </c>
      <c r="BP196" s="151">
        <f>INPUT!DM216</f>
        <v>7941</v>
      </c>
      <c r="BQ196" s="507">
        <f>INPUT!DN216</f>
        <v>28.975150235504298</v>
      </c>
      <c r="BR196" s="151">
        <f>INPUT!DO216</f>
        <v>7982</v>
      </c>
      <c r="BS196" s="507">
        <f>INPUT!DP216</f>
        <v>20.866141732283474</v>
      </c>
      <c r="BT196" s="151">
        <f>INPUT!DQ216</f>
        <v>8385</v>
      </c>
      <c r="BU196" s="507">
        <f>INPUT!DR216</f>
        <v>16.442160810998473</v>
      </c>
      <c r="BV196" s="151">
        <f>INPUT!DS216</f>
        <v>8753</v>
      </c>
      <c r="BW196" s="507">
        <f>INPUT!DT216</f>
        <v>17.175368139223558</v>
      </c>
      <c r="BX196" s="151">
        <f>INPUT!DU216</f>
        <v>8902</v>
      </c>
      <c r="BY196" s="507">
        <f>INPUT!DV216</f>
        <v>12.101750409268352</v>
      </c>
      <c r="BZ196" s="151">
        <f>INPUT!DW216</f>
        <v>8425</v>
      </c>
      <c r="CA196" s="507">
        <f>INPUT!DX216</f>
        <v>-1330.549875593757</v>
      </c>
      <c r="CB196" s="151">
        <f>INPUT!DY216</f>
        <v>8887</v>
      </c>
      <c r="CC196" s="507">
        <f>INPUT!DZ216</f>
        <v>5.9868813357185413</v>
      </c>
      <c r="CD196" s="151">
        <f>INPUT!EA216</f>
        <v>9044</v>
      </c>
      <c r="CE196" s="507">
        <f>INPUT!EB216</f>
        <v>3.3245744316234394</v>
      </c>
      <c r="CF196" s="151">
        <f>INPUT!EC216</f>
        <v>9387</v>
      </c>
      <c r="CG196" s="507">
        <f>INPUT!ED216</f>
        <v>5.4482138845203254</v>
      </c>
      <c r="CH196" s="151">
        <f>INPUT!EE216</f>
        <v>9963</v>
      </c>
      <c r="CI196" s="507">
        <f>INPUT!EF216</f>
        <v>18.255192878338278</v>
      </c>
      <c r="CJ196" s="151">
        <f>INPUT!EG216</f>
        <v>10264</v>
      </c>
      <c r="CK196" s="507">
        <f>INPUT!EH216</f>
        <v>15.49454259030043</v>
      </c>
      <c r="CL196" s="151">
        <f>INPUT!EI216</f>
        <v>10948</v>
      </c>
      <c r="CM196" s="507">
        <f>INPUT!EJ216</f>
        <v>21.052631578947366</v>
      </c>
      <c r="CN196" s="151">
        <f>INPUT!EK216</f>
        <v>11460</v>
      </c>
      <c r="CO196" s="507">
        <f>INPUT!EL216</f>
        <v>22.083732821987855</v>
      </c>
      <c r="CP196" s="151">
        <f>INPUT!EM216</f>
        <v>12065</v>
      </c>
      <c r="CQ196" s="507">
        <f>INPUT!EN216</f>
        <v>21.098062832480167</v>
      </c>
      <c r="CR196" s="151">
        <f>INPUT!EO216</f>
        <v>12976</v>
      </c>
      <c r="CS196" s="507">
        <f>INPUT!EP216</f>
        <v>26.422447388932181</v>
      </c>
      <c r="CT196" s="151">
        <f>INPUT!EQ216</f>
        <v>12923.658379580263</v>
      </c>
      <c r="CU196" s="507">
        <f>INPUT!ER216</f>
        <v>18.045838322801089</v>
      </c>
      <c r="CV196" s="151">
        <f>INPUT!ES216</f>
        <v>13192.769959793946</v>
      </c>
      <c r="CW196" s="507">
        <f>INPUT!ET216</f>
        <v>15.120156717224663</v>
      </c>
      <c r="CX196" s="151">
        <f>INPUT!EU216</f>
        <v>13425.887733031312</v>
      </c>
      <c r="CY196" s="507">
        <f>INPUT!EV216</f>
        <v>11.279633095990981</v>
      </c>
      <c r="CZ196" s="151">
        <f>INPUT!EW216</f>
        <v>14017.182971091101</v>
      </c>
      <c r="DA196" s="507">
        <f>INPUT!EX216</f>
        <v>8.0239131557575671</v>
      </c>
      <c r="DB196" s="507"/>
      <c r="DC196" s="151">
        <f>INPUT!FP216</f>
        <v>0</v>
      </c>
      <c r="DD196" s="687">
        <f>INPUT!FQ216</f>
        <v>0</v>
      </c>
      <c r="DE196" s="151">
        <f>INPUT!FR216</f>
        <v>0</v>
      </c>
      <c r="DF196" s="687">
        <f>INPUT!FS216</f>
        <v>0</v>
      </c>
      <c r="DG196" s="151">
        <f>INPUT!FT216</f>
        <v>6040</v>
      </c>
      <c r="DH196" s="687">
        <f>INPUT!FU216</f>
        <v>0</v>
      </c>
      <c r="DI196" s="151">
        <f>INPUT!FV216</f>
        <v>4251</v>
      </c>
      <c r="DJ196" s="687">
        <f>INPUT!FW216</f>
        <v>0</v>
      </c>
      <c r="DK196" s="151">
        <f>INPUT!FX216</f>
        <v>5287</v>
      </c>
      <c r="DL196" s="507">
        <f>INPUT!FY216</f>
        <v>0</v>
      </c>
      <c r="DM196" s="151">
        <f>INPUT!FZ216</f>
        <v>5962</v>
      </c>
      <c r="DN196" s="507">
        <f>INPUT!GA216</f>
        <v>0</v>
      </c>
      <c r="DO196" s="151">
        <f>INPUT!GB216</f>
        <v>5687</v>
      </c>
      <c r="DP196" s="507">
        <f>INPUT!GC216</f>
        <v>0</v>
      </c>
      <c r="DQ196" s="151">
        <f>INPUT!GD216</f>
        <v>5731</v>
      </c>
      <c r="DR196" s="507">
        <f>INPUT!GE216</f>
        <v>0</v>
      </c>
      <c r="DS196" s="151">
        <f>INPUT!GF216</f>
        <v>7201</v>
      </c>
      <c r="DT196" s="507">
        <f>INPUT!GG216</f>
        <v>25.649973826557314</v>
      </c>
      <c r="DU196" s="151">
        <f>INPUT!GH216</f>
        <v>8385</v>
      </c>
      <c r="DV196" s="507">
        <f>INPUT!GI216</f>
        <v>16.442160810998473</v>
      </c>
      <c r="DW196" s="151">
        <f>INPUT!GJ216</f>
        <v>8887</v>
      </c>
      <c r="DX196" s="507">
        <f>INPUT!GK216</f>
        <v>5.9868813357185413</v>
      </c>
      <c r="DY196" s="151">
        <f>INPUT!GL216</f>
        <v>10264</v>
      </c>
      <c r="DZ196" s="507">
        <f>INPUT!GM216</f>
        <v>15.49454259030043</v>
      </c>
      <c r="EA196" s="151">
        <f>INPUT!GN216</f>
        <v>12976</v>
      </c>
      <c r="EB196" s="507">
        <f>INPUT!GO216</f>
        <v>26.422447388932181</v>
      </c>
      <c r="EC196" s="151">
        <f>INPUT!GP216</f>
        <v>14017.182971091101</v>
      </c>
      <c r="ED196" s="507">
        <f>INPUT!GQ216</f>
        <v>8.0239131557575671</v>
      </c>
      <c r="EE196" s="151">
        <f>INPUT!GR216</f>
        <v>14689.467826210117</v>
      </c>
      <c r="EF196" s="507">
        <f>INPUT!GS216</f>
        <v>4.7961481026931763</v>
      </c>
      <c r="EG196" s="151">
        <f>INPUT!GT216</f>
        <v>15441.22248588915</v>
      </c>
      <c r="EH196" s="507">
        <f>INPUT!GU216</f>
        <v>5.1176439376360072</v>
      </c>
      <c r="EI196" s="151">
        <f>INPUT!GV216</f>
        <v>16275.651870335565</v>
      </c>
      <c r="EJ196" s="507">
        <f>INPUT!GW216</f>
        <v>5.4039075287526828</v>
      </c>
      <c r="EK196" s="151">
        <f>INPUT!GX216</f>
        <v>17196.248276033544</v>
      </c>
      <c r="EL196" s="507">
        <f>INPUT!GY216</f>
        <v>5.6562797793425545</v>
      </c>
      <c r="EM196" s="687">
        <f>INPUT!GZ216</f>
        <v>5.7933998091255656</v>
      </c>
    </row>
    <row r="197" spans="1:143" ht="12.75" hidden="1" customHeight="1" outlineLevel="1" x14ac:dyDescent="0.2">
      <c r="A197" s="701" t="s">
        <v>11</v>
      </c>
      <c r="B197" s="151">
        <f>INPUT!AY230</f>
        <v>14267.5</v>
      </c>
      <c r="C197" s="507">
        <f>INPUT!AZ230</f>
        <v>7.053085725004693</v>
      </c>
      <c r="D197" s="151">
        <f>INPUT!BA230</f>
        <v>25478.5</v>
      </c>
      <c r="E197" s="687">
        <f>INPUT!BB230</f>
        <v>88.792560483124007</v>
      </c>
      <c r="F197" s="151">
        <f>INPUT!BC230</f>
        <v>25820.5</v>
      </c>
      <c r="G197" s="687">
        <f>INPUT!BD230</f>
        <v>87.860598784968531</v>
      </c>
      <c r="H197" s="151">
        <f>INPUT!BE230</f>
        <v>26489.5</v>
      </c>
      <c r="I197" s="687">
        <f>INPUT!BF230</f>
        <v>88.530657271983188</v>
      </c>
      <c r="J197" s="151">
        <f>INPUT!BG230</f>
        <v>31277</v>
      </c>
      <c r="K197" s="687" t="str">
        <f>INPUT!BH230</f>
        <v>NM</v>
      </c>
      <c r="L197" s="151">
        <f>INPUT!BI230</f>
        <v>31818</v>
      </c>
      <c r="M197" s="687">
        <f>INPUT!BJ230</f>
        <v>24.881763055124907</v>
      </c>
      <c r="N197" s="151">
        <f>INPUT!BK230</f>
        <v>32266</v>
      </c>
      <c r="O197" s="687">
        <f>INPUT!BL230</f>
        <v>24.962723417439637</v>
      </c>
      <c r="P197" s="151">
        <f>INPUT!BM230</f>
        <v>32558</v>
      </c>
      <c r="Q197" s="687">
        <f>INPUT!BN230</f>
        <v>22.909077181524751</v>
      </c>
      <c r="R197" s="151">
        <f>INPUT!BO230</f>
        <v>32341</v>
      </c>
      <c r="S197" s="687">
        <f>INPUT!BP230</f>
        <v>3.4018607922754684</v>
      </c>
      <c r="T197" s="151">
        <f>INPUT!BQ230</f>
        <v>32603</v>
      </c>
      <c r="U197" s="687">
        <f>INPUT!BR230</f>
        <v>2.4671569551826034</v>
      </c>
      <c r="V197" s="151">
        <f>INPUT!BS230</f>
        <v>32283</v>
      </c>
      <c r="W197" s="687">
        <f>INPUT!BT230</f>
        <v>5.268703898841931E-2</v>
      </c>
      <c r="X197" s="151">
        <f>INPUT!BU230</f>
        <v>31753</v>
      </c>
      <c r="Y197" s="687">
        <f>INPUT!BV230</f>
        <v>-2.4725105964739869</v>
      </c>
      <c r="Z197" s="151">
        <f>INPUT!BW230</f>
        <v>31609</v>
      </c>
      <c r="AA197" s="122">
        <f>INPUT!BX230</f>
        <v>-2.2633808478402018</v>
      </c>
      <c r="AB197" s="151">
        <f>INPUT!BY230</f>
        <v>32271</v>
      </c>
      <c r="AC197" s="687">
        <f>INPUT!BZ230</f>
        <v>-1.0183111983559812</v>
      </c>
      <c r="AD197" s="151">
        <f>INPUT!CA230</f>
        <v>33001</v>
      </c>
      <c r="AE197" s="687">
        <f>INPUT!CB230</f>
        <v>2.2240807855527622</v>
      </c>
      <c r="AF197" s="151">
        <f>INPUT!CC230</f>
        <v>33479</v>
      </c>
      <c r="AG197" s="687">
        <f>INPUT!CD230</f>
        <v>5.4357068623437144</v>
      </c>
      <c r="AH197" s="151">
        <f>INPUT!CE230</f>
        <v>33822</v>
      </c>
      <c r="AI197" s="507">
        <f>INPUT!CF230</f>
        <v>7.0011705526906942</v>
      </c>
      <c r="AJ197" s="151">
        <f>INPUT!CG230</f>
        <v>33611</v>
      </c>
      <c r="AK197" s="507">
        <f>INPUT!CH230</f>
        <v>4.1523349136995957</v>
      </c>
      <c r="AL197" s="151">
        <f>INPUT!CI230</f>
        <v>34356</v>
      </c>
      <c r="AM197" s="507">
        <f>INPUT!CJ230</f>
        <v>4.1059361837520125</v>
      </c>
      <c r="AN197" s="151">
        <f>INPUT!CK230</f>
        <v>35327</v>
      </c>
      <c r="AO197" s="507">
        <f>INPUT!CL230</f>
        <v>5.5198781325607182</v>
      </c>
      <c r="AP197" s="151">
        <f>INPUT!CM230</f>
        <v>35910</v>
      </c>
      <c r="AQ197" s="507">
        <f>INPUT!CN230</f>
        <v>6.1734965407131526</v>
      </c>
      <c r="AR197" s="151">
        <f>INPUT!CO230</f>
        <v>36305</v>
      </c>
      <c r="AS197" s="507">
        <f>INPUT!CP230</f>
        <v>8.0152331082086192</v>
      </c>
      <c r="AT197" s="151">
        <f>INPUT!CQ230</f>
        <v>36013</v>
      </c>
      <c r="AU197" s="507">
        <f>INPUT!CR230</f>
        <v>4.8230294562812803</v>
      </c>
      <c r="AV197" s="151">
        <f>INPUT!CS230</f>
        <v>36906</v>
      </c>
      <c r="AW197" s="507">
        <f>INPUT!CT230</f>
        <v>4.4696690916296244</v>
      </c>
      <c r="AX197" s="151">
        <f>INPUT!CU230</f>
        <v>37696</v>
      </c>
      <c r="AY197" s="507">
        <f>INPUT!CV230</f>
        <v>4.9735449735449633</v>
      </c>
      <c r="AZ197" s="151">
        <f>INPUT!CW230</f>
        <v>37755</v>
      </c>
      <c r="BA197" s="507">
        <f>INPUT!CX230</f>
        <v>3.9939402286186532</v>
      </c>
      <c r="BB197" s="151">
        <f>INPUT!CY230</f>
        <v>38248</v>
      </c>
      <c r="BC197" s="507">
        <f>INPUT!CZ230</f>
        <v>6.206092244467265</v>
      </c>
      <c r="BD197" s="151">
        <f>INPUT!DA230</f>
        <v>38955</v>
      </c>
      <c r="BE197" s="507">
        <f>INPUT!DB230</f>
        <v>5.5519427735327698</v>
      </c>
      <c r="BF197" s="151">
        <f>INPUT!DC230</f>
        <v>39676</v>
      </c>
      <c r="BG197" s="507">
        <f>INPUT!DD230</f>
        <v>5.2525466893039052</v>
      </c>
      <c r="BH197" s="151">
        <f>INPUT!DE230</f>
        <v>40080</v>
      </c>
      <c r="BI197" s="507">
        <f>INPUT!DF230</f>
        <v>6.1581247516885096</v>
      </c>
      <c r="BJ197" s="151">
        <f>INPUT!DG230</f>
        <v>40819</v>
      </c>
      <c r="BK197" s="507">
        <f>INPUT!DH230</f>
        <v>6.721920100397405</v>
      </c>
      <c r="BL197" s="151">
        <f>INPUT!DI230</f>
        <v>41815</v>
      </c>
      <c r="BM197" s="507">
        <f>INPUT!DJ230</f>
        <v>7.3418046463868514</v>
      </c>
      <c r="BN197" s="151">
        <f>INPUT!DK230</f>
        <v>42240</v>
      </c>
      <c r="BO197" s="507">
        <f>INPUT!DL230</f>
        <v>6.4623449944550826</v>
      </c>
      <c r="BP197" s="151">
        <f>INPUT!DM230</f>
        <v>42936</v>
      </c>
      <c r="BQ197" s="507">
        <f>INPUT!DN230</f>
        <v>7.1257485029940115</v>
      </c>
      <c r="BR197" s="151">
        <f>INPUT!DO230</f>
        <v>43169</v>
      </c>
      <c r="BS197" s="507">
        <f>INPUT!DP230</f>
        <v>5.7571229084494968</v>
      </c>
      <c r="BT197" s="151">
        <f>INPUT!DQ230</f>
        <v>43875</v>
      </c>
      <c r="BU197" s="507">
        <f>INPUT!DR230</f>
        <v>4.9264617960062207</v>
      </c>
      <c r="BV197" s="151">
        <f>INPUT!DS230</f>
        <v>44388</v>
      </c>
      <c r="BW197" s="507">
        <f>INPUT!DT230</f>
        <v>5.0852272727272663</v>
      </c>
      <c r="BX197" s="151">
        <f>INPUT!DU230</f>
        <v>44696</v>
      </c>
      <c r="BY197" s="507">
        <f>INPUT!DV230</f>
        <v>4.0991242779951476</v>
      </c>
      <c r="BZ197" s="151">
        <f>INPUT!DW230</f>
        <v>44426</v>
      </c>
      <c r="CA197" s="507">
        <f>INPUT!DX230</f>
        <v>-257.09783124577797</v>
      </c>
      <c r="CB197" s="151">
        <f>INPUT!DY230</f>
        <v>45241</v>
      </c>
      <c r="CC197" s="507">
        <f>INPUT!DZ230</f>
        <v>3.1133903133903074</v>
      </c>
      <c r="CD197" s="151">
        <f>INPUT!EA230</f>
        <v>45470</v>
      </c>
      <c r="CE197" s="507">
        <f>INPUT!EB230</f>
        <v>2.4375957465981868</v>
      </c>
      <c r="CF197" s="151">
        <f>INPUT!EC230</f>
        <v>45947</v>
      </c>
      <c r="CG197" s="507">
        <f>INPUT!ED230</f>
        <v>2.7989081797028748</v>
      </c>
      <c r="CH197" s="151">
        <f>INPUT!EE230</f>
        <v>46738</v>
      </c>
      <c r="CI197" s="507">
        <f>INPUT!EF230</f>
        <v>5.2041597262864059</v>
      </c>
      <c r="CJ197" s="151">
        <f>INPUT!EG230</f>
        <v>47330</v>
      </c>
      <c r="CK197" s="507">
        <f>INPUT!EH230</f>
        <v>4.6174929820295807</v>
      </c>
      <c r="CL197" s="151">
        <f>INPUT!EI230</f>
        <v>48067</v>
      </c>
      <c r="CM197" s="507">
        <f>INPUT!EJ230</f>
        <v>5.71145810424456</v>
      </c>
      <c r="CN197" s="151">
        <f>INPUT!EK230</f>
        <v>48750</v>
      </c>
      <c r="CO197" s="507">
        <f>INPUT!EL230</f>
        <v>6.1005071060134419</v>
      </c>
      <c r="CP197" s="151">
        <f>INPUT!EM230</f>
        <v>49492</v>
      </c>
      <c r="CQ197" s="507">
        <f>INPUT!EN230</f>
        <v>5.8924215841499317</v>
      </c>
      <c r="CR197" s="151">
        <f>INPUT!EO230</f>
        <v>50642</v>
      </c>
      <c r="CS197" s="507">
        <f>INPUT!EP230</f>
        <v>6.9976758926684868</v>
      </c>
      <c r="CT197" s="151">
        <f>INPUT!EQ230</f>
        <v>50788.925049527774</v>
      </c>
      <c r="CU197" s="507">
        <f>INPUT!ER230</f>
        <v>5.6627728993442039</v>
      </c>
      <c r="CV197" s="151">
        <f>INPUT!ES230</f>
        <v>51307.939965270358</v>
      </c>
      <c r="CW197" s="507">
        <f>INPUT!ET230</f>
        <v>5.2470563390161207</v>
      </c>
      <c r="CX197" s="151">
        <f>INPUT!EU230</f>
        <v>51740.266490982271</v>
      </c>
      <c r="CY197" s="507">
        <f>INPUT!EV230</f>
        <v>4.5426866786193232</v>
      </c>
      <c r="CZ197" s="151">
        <f>INPUT!EW230</f>
        <v>52585.756999834091</v>
      </c>
      <c r="DA197" s="507">
        <f>INPUT!EX230</f>
        <v>3.8382311121876844</v>
      </c>
      <c r="DB197" s="507"/>
      <c r="DC197" s="151">
        <f>INPUT!FP230</f>
        <v>14051</v>
      </c>
      <c r="DD197" s="687" t="str">
        <f>INPUT!FQ230</f>
        <v>NA</v>
      </c>
      <c r="DE197" s="151">
        <f>INPUT!FR230</f>
        <v>26490</v>
      </c>
      <c r="DF197" s="687">
        <f>INPUT!FS230</f>
        <v>88.527506939007907</v>
      </c>
      <c r="DG197" s="151">
        <f>INPUT!FT230</f>
        <v>32558</v>
      </c>
      <c r="DH197" s="687">
        <f>INPUT!FU230</f>
        <v>22.906757266893173</v>
      </c>
      <c r="DI197" s="151">
        <f>INPUT!FV230</f>
        <v>31753</v>
      </c>
      <c r="DJ197" s="687">
        <f>INPUT!FW230</f>
        <v>-2.4725105964739869</v>
      </c>
      <c r="DK197" s="151">
        <f>INPUT!FX230</f>
        <v>33479</v>
      </c>
      <c r="DL197" s="507">
        <f>INPUT!FY230</f>
        <v>5.4357068623437144</v>
      </c>
      <c r="DM197" s="151">
        <f>INPUT!FZ230</f>
        <v>35327</v>
      </c>
      <c r="DN197" s="507">
        <f>INPUT!GA230</f>
        <v>5.5198781325607182</v>
      </c>
      <c r="DO197" s="151">
        <f>INPUT!GB230</f>
        <v>36906</v>
      </c>
      <c r="DP197" s="507">
        <f>INPUT!GC230</f>
        <v>4.4696690916296244</v>
      </c>
      <c r="DQ197" s="151">
        <f>INPUT!GD230</f>
        <v>38955</v>
      </c>
      <c r="DR197" s="507">
        <f>INPUT!GE230</f>
        <v>5.5519427735327698</v>
      </c>
      <c r="DS197" s="151">
        <f>INPUT!GF230</f>
        <v>41815</v>
      </c>
      <c r="DT197" s="507">
        <f>INPUT!GG230</f>
        <v>7.3418046463868514</v>
      </c>
      <c r="DU197" s="151">
        <f>INPUT!GH230</f>
        <v>43875</v>
      </c>
      <c r="DV197" s="507">
        <f>INPUT!GI230</f>
        <v>4.9264617960062207</v>
      </c>
      <c r="DW197" s="151">
        <f>INPUT!GJ230</f>
        <v>45241</v>
      </c>
      <c r="DX197" s="507">
        <f>INPUT!GK230</f>
        <v>3.1133903133903074</v>
      </c>
      <c r="DY197" s="151">
        <f>INPUT!GL230</f>
        <v>47330</v>
      </c>
      <c r="DZ197" s="507">
        <f>INPUT!GM230</f>
        <v>4.6174929820295807</v>
      </c>
      <c r="EA197" s="151">
        <f>INPUT!GN230</f>
        <v>50642</v>
      </c>
      <c r="EB197" s="507">
        <f>INPUT!GO230</f>
        <v>6.9976758926684868</v>
      </c>
      <c r="EC197" s="151">
        <f>INPUT!GP230</f>
        <v>52585.756999834091</v>
      </c>
      <c r="ED197" s="507">
        <f>INPUT!GQ230</f>
        <v>3.8382311121876844</v>
      </c>
      <c r="EE197" s="151">
        <f>INPUT!GR230</f>
        <v>54196.13099853693</v>
      </c>
      <c r="EF197" s="507">
        <f>INPUT!GS230</f>
        <v>3.0623767548081826</v>
      </c>
      <c r="EG197" s="151">
        <f>INPUT!GT230</f>
        <v>55923.167034797392</v>
      </c>
      <c r="EH197" s="507">
        <f>INPUT!GU230</f>
        <v>3.1866408255362133</v>
      </c>
      <c r="EI197" s="151">
        <f>INPUT!GV230</f>
        <v>57771.829990843413</v>
      </c>
      <c r="EJ197" s="507">
        <f>INPUT!GW230</f>
        <v>3.3057193540124707</v>
      </c>
      <c r="EK197" s="151">
        <f>INPUT!GX230</f>
        <v>59747.45910085291</v>
      </c>
      <c r="EL197" s="507">
        <f>INPUT!GY230</f>
        <v>3.4197101084085801</v>
      </c>
      <c r="EM197" s="687">
        <f>INPUT!GZ230</f>
        <v>3.3621937905123689</v>
      </c>
    </row>
    <row r="198" spans="1:143" ht="12.75" hidden="1" customHeight="1" outlineLevel="1" x14ac:dyDescent="0.2">
      <c r="A198" s="701"/>
      <c r="B198" s="16"/>
      <c r="C198" s="507"/>
      <c r="D198" s="16"/>
      <c r="E198" s="687"/>
      <c r="F198" s="16"/>
      <c r="G198" s="687"/>
      <c r="H198" s="16"/>
      <c r="I198" s="687"/>
      <c r="J198" s="16"/>
      <c r="K198" s="687"/>
      <c r="L198" s="16"/>
      <c r="M198" s="687"/>
      <c r="N198" s="16"/>
      <c r="O198" s="687"/>
      <c r="P198" s="16"/>
      <c r="Q198" s="687"/>
      <c r="R198" s="16"/>
      <c r="S198" s="687"/>
      <c r="T198" s="16"/>
      <c r="U198" s="687"/>
      <c r="V198" s="16"/>
      <c r="W198" s="687"/>
      <c r="X198" s="16"/>
      <c r="Y198" s="687"/>
      <c r="Z198" s="16"/>
      <c r="AA198" s="122"/>
      <c r="AB198" s="16"/>
      <c r="AC198" s="687"/>
      <c r="AD198" s="16"/>
      <c r="AE198" s="687"/>
      <c r="AF198" s="16"/>
      <c r="AG198" s="687"/>
      <c r="AH198" s="16"/>
      <c r="AI198" s="507"/>
      <c r="AJ198" s="16"/>
      <c r="AK198" s="507"/>
      <c r="AL198" s="16"/>
      <c r="AM198" s="507"/>
      <c r="AN198" s="16"/>
      <c r="AO198" s="507"/>
      <c r="AP198" s="16"/>
      <c r="AQ198" s="507"/>
      <c r="AR198" s="16"/>
      <c r="AS198" s="507"/>
      <c r="AT198" s="16"/>
      <c r="AU198" s="507"/>
      <c r="AV198" s="16"/>
      <c r="AW198" s="507"/>
      <c r="AX198" s="16"/>
      <c r="AY198" s="507"/>
      <c r="AZ198" s="16"/>
      <c r="BA198" s="507"/>
      <c r="BB198" s="16"/>
      <c r="BC198" s="507"/>
      <c r="BD198" s="16"/>
      <c r="BE198" s="507"/>
      <c r="BF198" s="16"/>
      <c r="BG198" s="507"/>
      <c r="BH198" s="16"/>
      <c r="BI198" s="507"/>
      <c r="BJ198" s="16"/>
      <c r="BK198" s="507"/>
      <c r="BL198" s="16"/>
      <c r="BM198" s="507"/>
      <c r="BN198" s="16"/>
      <c r="BO198" s="507"/>
      <c r="BP198" s="16"/>
      <c r="BQ198" s="507"/>
      <c r="BR198" s="16"/>
      <c r="BS198" s="507"/>
      <c r="BT198" s="16"/>
      <c r="BU198" s="507"/>
      <c r="BV198" s="16"/>
      <c r="BW198" s="507"/>
      <c r="BX198" s="16"/>
      <c r="BY198" s="507"/>
      <c r="BZ198" s="16"/>
      <c r="CA198" s="507"/>
      <c r="CB198" s="16"/>
      <c r="CC198" s="507"/>
      <c r="CD198" s="16"/>
      <c r="CE198" s="507"/>
      <c r="CF198" s="16"/>
      <c r="CG198" s="507"/>
      <c r="CH198" s="16"/>
      <c r="CI198" s="507"/>
      <c r="CJ198" s="16"/>
      <c r="CK198" s="507"/>
      <c r="CL198" s="16"/>
      <c r="CM198" s="507"/>
      <c r="CN198" s="16"/>
      <c r="CO198" s="507"/>
      <c r="CP198" s="16"/>
      <c r="CQ198" s="507"/>
      <c r="CR198" s="16"/>
      <c r="CS198" s="507"/>
      <c r="CT198" s="16"/>
      <c r="CU198" s="507"/>
      <c r="CV198" s="16"/>
      <c r="CW198" s="507"/>
      <c r="CX198" s="16"/>
      <c r="CY198" s="507"/>
      <c r="CZ198" s="16"/>
      <c r="DA198" s="507"/>
      <c r="DB198" s="507"/>
      <c r="DC198" s="16"/>
      <c r="DD198" s="687"/>
      <c r="DE198" s="16"/>
      <c r="DF198" s="687"/>
      <c r="DG198" s="16"/>
      <c r="DH198" s="687"/>
      <c r="DI198" s="16"/>
      <c r="DJ198" s="687"/>
      <c r="DK198" s="16"/>
      <c r="DL198" s="507"/>
      <c r="DM198" s="16"/>
      <c r="DN198" s="507"/>
      <c r="DO198" s="16"/>
      <c r="DP198" s="507"/>
      <c r="DQ198" s="16"/>
      <c r="DR198" s="507"/>
      <c r="DS198" s="16"/>
      <c r="DT198" s="507"/>
      <c r="DU198" s="16"/>
      <c r="DV198" s="507"/>
      <c r="DW198" s="16"/>
      <c r="DX198" s="507"/>
      <c r="DY198" s="16"/>
      <c r="DZ198" s="507"/>
      <c r="EA198" s="16"/>
      <c r="EB198" s="507"/>
      <c r="EC198" s="16"/>
      <c r="ED198" s="507"/>
      <c r="EE198" s="16"/>
      <c r="EF198" s="507"/>
      <c r="EG198" s="16"/>
      <c r="EH198" s="507"/>
      <c r="EI198" s="16"/>
      <c r="EJ198" s="507"/>
      <c r="EK198" s="16"/>
      <c r="EL198" s="507"/>
      <c r="EM198" s="687"/>
    </row>
    <row r="199" spans="1:143" ht="12.75" hidden="1" customHeight="1" outlineLevel="1" x14ac:dyDescent="0.2">
      <c r="A199" s="700" t="s">
        <v>636</v>
      </c>
      <c r="B199" s="16"/>
      <c r="C199" s="507"/>
      <c r="D199" s="16"/>
      <c r="E199" s="687"/>
      <c r="F199" s="16"/>
      <c r="G199" s="687"/>
      <c r="H199" s="16"/>
      <c r="I199" s="687"/>
      <c r="J199" s="16"/>
      <c r="K199" s="687"/>
      <c r="L199" s="16"/>
      <c r="M199" s="687"/>
      <c r="N199" s="16"/>
      <c r="O199" s="687"/>
      <c r="P199" s="16"/>
      <c r="Q199" s="687"/>
      <c r="R199" s="16"/>
      <c r="S199" s="687"/>
      <c r="T199" s="16"/>
      <c r="U199" s="687"/>
      <c r="V199" s="16"/>
      <c r="W199" s="687"/>
      <c r="X199" s="16"/>
      <c r="Y199" s="687"/>
      <c r="Z199" s="16"/>
      <c r="AA199" s="122"/>
      <c r="AB199" s="16"/>
      <c r="AC199" s="687"/>
      <c r="AD199" s="16"/>
      <c r="AE199" s="687"/>
      <c r="AF199" s="16"/>
      <c r="AG199" s="687"/>
      <c r="AH199" s="16"/>
      <c r="AI199" s="507"/>
      <c r="AJ199" s="16"/>
      <c r="AK199" s="507"/>
      <c r="AL199" s="16"/>
      <c r="AM199" s="507"/>
      <c r="AN199" s="16"/>
      <c r="AO199" s="507"/>
      <c r="AP199" s="16"/>
      <c r="AQ199" s="507"/>
      <c r="AR199" s="16"/>
      <c r="AS199" s="507"/>
      <c r="AT199" s="16"/>
      <c r="AU199" s="507"/>
      <c r="AV199" s="16"/>
      <c r="AW199" s="507"/>
      <c r="AX199" s="16"/>
      <c r="AY199" s="507"/>
      <c r="AZ199" s="16"/>
      <c r="BA199" s="507"/>
      <c r="BB199" s="16"/>
      <c r="BC199" s="507"/>
      <c r="BD199" s="16"/>
      <c r="BE199" s="507"/>
      <c r="BF199" s="16"/>
      <c r="BG199" s="507"/>
      <c r="BH199" s="16"/>
      <c r="BI199" s="507"/>
      <c r="BJ199" s="16"/>
      <c r="BK199" s="507"/>
      <c r="BL199" s="16"/>
      <c r="BM199" s="507"/>
      <c r="BN199" s="16"/>
      <c r="BO199" s="507"/>
      <c r="BP199" s="16"/>
      <c r="BQ199" s="507"/>
      <c r="BR199" s="16"/>
      <c r="BS199" s="507"/>
      <c r="BT199" s="16"/>
      <c r="BU199" s="507"/>
      <c r="BV199" s="16"/>
      <c r="BW199" s="507"/>
      <c r="BX199" s="16"/>
      <c r="BY199" s="507"/>
      <c r="BZ199" s="16"/>
      <c r="CA199" s="507"/>
      <c r="CB199" s="16"/>
      <c r="CC199" s="507"/>
      <c r="CD199" s="16"/>
      <c r="CE199" s="507"/>
      <c r="CF199" s="16"/>
      <c r="CG199" s="507"/>
      <c r="CH199" s="16"/>
      <c r="CI199" s="507"/>
      <c r="CJ199" s="16"/>
      <c r="CK199" s="507"/>
      <c r="CL199" s="16"/>
      <c r="CM199" s="507"/>
      <c r="CN199" s="16"/>
      <c r="CO199" s="507"/>
      <c r="CP199" s="16"/>
      <c r="CQ199" s="507"/>
      <c r="CR199" s="16"/>
      <c r="CS199" s="507"/>
      <c r="CT199" s="16"/>
      <c r="CU199" s="507"/>
      <c r="CV199" s="16"/>
      <c r="CW199" s="507"/>
      <c r="CX199" s="16"/>
      <c r="CY199" s="507"/>
      <c r="CZ199" s="16"/>
      <c r="DA199" s="507"/>
      <c r="DB199" s="507"/>
      <c r="DC199" s="16"/>
      <c r="DD199" s="687"/>
      <c r="DE199" s="16"/>
      <c r="DF199" s="687"/>
      <c r="DG199" s="16"/>
      <c r="DH199" s="687"/>
      <c r="DI199" s="16"/>
      <c r="DJ199" s="687"/>
      <c r="DK199" s="16"/>
      <c r="DL199" s="507"/>
      <c r="DM199" s="16"/>
      <c r="DN199" s="507"/>
      <c r="DO199" s="16"/>
      <c r="DP199" s="507"/>
      <c r="DQ199" s="16"/>
      <c r="DR199" s="507"/>
      <c r="DS199" s="16"/>
      <c r="DT199" s="507"/>
      <c r="DU199" s="16"/>
      <c r="DV199" s="507"/>
      <c r="DW199" s="16"/>
      <c r="DX199" s="507"/>
      <c r="DY199" s="16"/>
      <c r="DZ199" s="507"/>
      <c r="EA199" s="16"/>
      <c r="EB199" s="507"/>
      <c r="EC199" s="16"/>
      <c r="ED199" s="507"/>
      <c r="EE199" s="16"/>
      <c r="EF199" s="507"/>
      <c r="EG199" s="16"/>
      <c r="EH199" s="507"/>
      <c r="EI199" s="16"/>
      <c r="EJ199" s="507"/>
      <c r="EK199" s="16"/>
      <c r="EL199" s="507"/>
      <c r="EM199" s="687"/>
    </row>
    <row r="200" spans="1:143" ht="12.75" hidden="1" customHeight="1" outlineLevel="1" x14ac:dyDescent="0.2">
      <c r="A200" s="701" t="str">
        <f>INPUT!B279</f>
        <v>Operating Margin (%)</v>
      </c>
      <c r="B200" s="156">
        <f>INPUT!AY279</f>
        <v>13.786213786213786</v>
      </c>
      <c r="C200" s="507">
        <f>INPUT!AZ279</f>
        <v>12.658475545073467</v>
      </c>
      <c r="D200" s="156">
        <f>INPUT!BA279</f>
        <v>16.319059241180387</v>
      </c>
      <c r="E200" s="687">
        <f>INPUT!BB279</f>
        <v>23.931002607941721</v>
      </c>
      <c r="F200" s="156">
        <f>INPUT!BC279</f>
        <v>13.716072824751471</v>
      </c>
      <c r="G200" s="687">
        <f>INPUT!BD279</f>
        <v>-3.1209894781806136</v>
      </c>
      <c r="H200" s="156">
        <f>INPUT!BE279</f>
        <v>16.412771285475795</v>
      </c>
      <c r="I200" s="687">
        <f>INPUT!BF279</f>
        <v>11.464511765318019</v>
      </c>
      <c r="J200" s="156">
        <f>INPUT!BG279</f>
        <v>17.15050442660079</v>
      </c>
      <c r="K200" s="687">
        <f>INPUT!BH279</f>
        <v>24.403296601647774</v>
      </c>
      <c r="L200" s="156">
        <f>INPUT!BI279</f>
        <v>18.433420365535248</v>
      </c>
      <c r="M200" s="687">
        <f>INPUT!BJ279</f>
        <v>12.956391009472945</v>
      </c>
      <c r="N200" s="156">
        <f>INPUT!BK279</f>
        <v>17.22080136402387</v>
      </c>
      <c r="O200" s="687">
        <f>INPUT!BL279</f>
        <v>25.55198258314806</v>
      </c>
      <c r="P200" s="156">
        <f>INPUT!BM279</f>
        <v>15.970791986519368</v>
      </c>
      <c r="Q200" s="687">
        <f>INPUT!BN279</f>
        <v>-2.6928986657332454</v>
      </c>
      <c r="R200" s="156">
        <f>INPUT!BO279</f>
        <v>14.946348874750745</v>
      </c>
      <c r="S200" s="687">
        <f>INPUT!BP279</f>
        <v>-12.851840954784709</v>
      </c>
      <c r="T200" s="156">
        <f>INPUT!BQ279</f>
        <v>15.056635049267891</v>
      </c>
      <c r="U200" s="687">
        <f>INPUT!BR279</f>
        <v>-18.318821191648695</v>
      </c>
      <c r="V200" s="156">
        <f>INPUT!BS279</f>
        <v>12.79448738243785</v>
      </c>
      <c r="W200" s="687">
        <f>INPUT!BT279</f>
        <v>-25.703298516833673</v>
      </c>
      <c r="X200" s="156">
        <f>INPUT!BU279</f>
        <v>7.9113924050632916</v>
      </c>
      <c r="Y200" s="687" t="str">
        <f>INPUT!BV279</f>
        <v>NM</v>
      </c>
      <c r="Z200" s="156">
        <f>INPUT!BW279</f>
        <v>13.21315740568668</v>
      </c>
      <c r="AA200" s="122">
        <f>INPUT!BX279</f>
        <v>-11.596085997912109</v>
      </c>
      <c r="AB200" s="156">
        <f>INPUT!BY279</f>
        <v>13.260826182398725</v>
      </c>
      <c r="AC200" s="687">
        <f>INPUT!BZ279</f>
        <v>-11.927026596533496</v>
      </c>
      <c r="AD200" s="156">
        <f>INPUT!CA279</f>
        <v>12.533284363235692</v>
      </c>
      <c r="AE200" s="687">
        <f>INPUT!CB279</f>
        <v>-2.0415278189315655</v>
      </c>
      <c r="AF200" s="156">
        <f>INPUT!CC279</f>
        <v>13.997690736299859</v>
      </c>
      <c r="AG200" s="687">
        <f>INPUT!CD279</f>
        <v>76.930810906830203</v>
      </c>
      <c r="AH200" s="156">
        <f>INPUT!CE279</f>
        <v>12.136524822695039</v>
      </c>
      <c r="AI200" s="507">
        <f>INPUT!CF279</f>
        <v>-8.1481855542588129</v>
      </c>
      <c r="AJ200" s="156">
        <f>INPUT!CG279</f>
        <v>13.353873239436624</v>
      </c>
      <c r="AK200" s="507">
        <f>INPUT!CH279</f>
        <v>0.70166862726397383</v>
      </c>
      <c r="AL200" s="156">
        <f>INPUT!CI279</f>
        <v>5.4066251466738846</v>
      </c>
      <c r="AM200" s="507" t="str">
        <f>INPUT!CJ279</f>
        <v>NM</v>
      </c>
      <c r="AN200" s="156">
        <f>INPUT!CK279</f>
        <v>13.59454575324461</v>
      </c>
      <c r="AO200" s="507">
        <f>INPUT!CL279</f>
        <v>-2.88008208389533</v>
      </c>
      <c r="AP200" s="156">
        <f>INPUT!CM279</f>
        <v>12.390924956369982</v>
      </c>
      <c r="AQ200" s="507">
        <f>INPUT!CN279</f>
        <v>2.0961530371463644</v>
      </c>
      <c r="AR200" s="156">
        <f>INPUT!CO279</f>
        <v>11.098454027664769</v>
      </c>
      <c r="AS200" s="507">
        <f>INPUT!CP279</f>
        <v>-16.889625738779344</v>
      </c>
      <c r="AT200" s="156">
        <f>INPUT!CQ279</f>
        <v>13.07489585989968</v>
      </c>
      <c r="AU200" s="507" t="str">
        <f>INPUT!CR279</f>
        <v>NM</v>
      </c>
      <c r="AV200" s="156">
        <f>INPUT!CS279</f>
        <v>11.373209772535803</v>
      </c>
      <c r="AW200" s="507">
        <f>INPUT!CT279</f>
        <v>-16.339905878639893</v>
      </c>
      <c r="AX200" s="156">
        <f>INPUT!CU279</f>
        <v>11.328443357783211</v>
      </c>
      <c r="AY200" s="507">
        <f>INPUT!CV279</f>
        <v>-8.5746754364819715</v>
      </c>
      <c r="AZ200" s="156">
        <f>INPUT!CW279</f>
        <v>10.931174089068826</v>
      </c>
      <c r="BA200" s="507">
        <f>INPUT!CX279</f>
        <v>-1.507236396879863</v>
      </c>
      <c r="BB200" s="156">
        <f>INPUT!CY279</f>
        <v>11.728395061728394</v>
      </c>
      <c r="BC200" s="507">
        <f>INPUT!CZ279</f>
        <v>-10.298367287964139</v>
      </c>
      <c r="BD200" s="156">
        <f>INPUT!DA279</f>
        <v>11.333847340015419</v>
      </c>
      <c r="BE200" s="507">
        <f>INPUT!DB279</f>
        <v>-0.34609783260516336</v>
      </c>
      <c r="BF200" s="156">
        <f>INPUT!DC279</f>
        <v>9.0249798549556814</v>
      </c>
      <c r="BG200" s="507">
        <f>INPUT!DD279</f>
        <v>-20.3334512084128</v>
      </c>
      <c r="BH200" s="156">
        <f>INPUT!DE279</f>
        <v>10.514018691588785</v>
      </c>
      <c r="BI200" s="507">
        <f>INPUT!DF279</f>
        <v>-3.8161993769470381</v>
      </c>
      <c r="BJ200" s="156">
        <f>INPUT!DG279</f>
        <v>10.760953112990007</v>
      </c>
      <c r="BK200" s="507">
        <f>INPUT!DH279</f>
        <v>-8.2487155629273001</v>
      </c>
      <c r="BL200" s="156">
        <f>INPUT!DI279</f>
        <v>11.681547619047619</v>
      </c>
      <c r="BM200" s="507">
        <f>INPUT!DJ279</f>
        <v>3.0678045027534795</v>
      </c>
      <c r="BN200" s="156">
        <f>INPUT!DK279</f>
        <v>8.9753178758414354</v>
      </c>
      <c r="BO200" s="507">
        <f>INPUT!DL279</f>
        <v>-0.55027246500696236</v>
      </c>
      <c r="BP200" s="156">
        <f>INPUT!DM279</f>
        <v>10.858400586940572</v>
      </c>
      <c r="BQ200" s="507">
        <f>INPUT!DN279</f>
        <v>3.2754544713458955</v>
      </c>
      <c r="BR200" s="156">
        <f>INPUT!DO279</f>
        <v>10.37344398340249</v>
      </c>
      <c r="BS200" s="507">
        <f>INPUT!DP279</f>
        <v>-3.6010669828097086</v>
      </c>
      <c r="BT200" s="156">
        <f>INPUT!DQ279</f>
        <v>10.441334768568353</v>
      </c>
      <c r="BU200" s="507">
        <f>INPUT!DR279</f>
        <v>-10.616853955695117</v>
      </c>
      <c r="BV200" s="156">
        <f>INPUT!DS279</f>
        <v>7.7513966480446923</v>
      </c>
      <c r="BW200" s="507">
        <f>INPUT!DT279</f>
        <v>-13.636522346368718</v>
      </c>
      <c r="BX200" s="156">
        <f>INPUT!DU279</f>
        <v>7.2765072765072771</v>
      </c>
      <c r="BY200" s="507">
        <f>INPUT!DV279</f>
        <v>-32.98730123054446</v>
      </c>
      <c r="BZ200" s="156">
        <f>INPUT!DW279</f>
        <v>2.0845396641574987</v>
      </c>
      <c r="CA200" s="507">
        <f>INPUT!DX279</f>
        <v>2.0845396641574987</v>
      </c>
      <c r="CB200" s="156">
        <f>INPUT!DY279</f>
        <v>8.827893175074184</v>
      </c>
      <c r="CC200" s="507">
        <f>INPUT!DZ279</f>
        <v>-15.452445776866842</v>
      </c>
      <c r="CD200" s="156">
        <f>INPUT!EA279</f>
        <v>5.0744248985115021</v>
      </c>
      <c r="CE200" s="507">
        <f>INPUT!EB279</f>
        <v>-34.535347255238989</v>
      </c>
      <c r="CF200" s="156">
        <f>INPUT!EC279</f>
        <v>7.8023407022106639</v>
      </c>
      <c r="CG200" s="507">
        <f>INPUT!ED279</f>
        <v>7.2264536503808374</v>
      </c>
      <c r="CH200" s="156">
        <f>INPUT!EE279</f>
        <v>10.245398773006135</v>
      </c>
      <c r="CI200" s="507" t="str">
        <f>INPUT!EF279</f>
        <v>NM</v>
      </c>
      <c r="CJ200" s="156">
        <f>INPUT!EG279</f>
        <v>9.625</v>
      </c>
      <c r="CK200" s="507">
        <f>INPUT!EH279</f>
        <v>9.0294117647058858</v>
      </c>
      <c r="CL200" s="156">
        <f>INPUT!EI279</f>
        <v>8.0946450809464512</v>
      </c>
      <c r="CM200" s="507">
        <f>INPUT!EJ279</f>
        <v>59.51847239518473</v>
      </c>
      <c r="CN200" s="156">
        <f>INPUT!EK279</f>
        <v>8.0362537764350463</v>
      </c>
      <c r="CO200" s="507">
        <f>INPUT!EL279</f>
        <v>2.9979859013091747</v>
      </c>
      <c r="CP200" s="156">
        <f>INPUT!EM279</f>
        <v>7.4969021065675339</v>
      </c>
      <c r="CQ200" s="507">
        <f>INPUT!EN279</f>
        <v>-26.826644109550422</v>
      </c>
      <c r="CR200" s="156">
        <f>INPUT!EO279</f>
        <v>9.026128266033254</v>
      </c>
      <c r="CS200" s="507">
        <f>INPUT!EP279</f>
        <v>-6.2220439892648916</v>
      </c>
      <c r="CT200" s="156">
        <f>INPUT!EQ279</f>
        <v>8.5727058427376921</v>
      </c>
      <c r="CU200" s="507">
        <f>INPUT!ER279</f>
        <v>5.905889103359474</v>
      </c>
      <c r="CV200" s="156">
        <f>INPUT!ES279</f>
        <v>9.498678078633036</v>
      </c>
      <c r="CW200" s="507">
        <f>INPUT!ET279</f>
        <v>18.197836241636644</v>
      </c>
      <c r="CX200" s="156">
        <f>INPUT!EU279</f>
        <v>9.428184613538642</v>
      </c>
      <c r="CY200" s="507">
        <f>INPUT!EV279</f>
        <v>25.761074101250991</v>
      </c>
      <c r="CZ200" s="156">
        <f>INPUT!EW279</f>
        <v>9.8127438408027388</v>
      </c>
      <c r="DA200" s="507">
        <f>INPUT!EX279</f>
        <v>8.7148725520513892</v>
      </c>
      <c r="DB200" s="507"/>
      <c r="DC200" s="156">
        <f>INPUT!FP279</f>
        <v>13.582120799748761</v>
      </c>
      <c r="DD200" s="687">
        <f>INPUT!FQ279</f>
        <v>-1.5428363815877755</v>
      </c>
      <c r="DE200" s="156">
        <f>INPUT!FR279</f>
        <v>15.241430151124211</v>
      </c>
      <c r="DF200" s="687">
        <f>INPUT!FS279</f>
        <v>12.216864919992055</v>
      </c>
      <c r="DG200" s="156">
        <f>INPUT!FT279</f>
        <v>17.160975128306355</v>
      </c>
      <c r="DH200" s="687">
        <f>INPUT!FU279</f>
        <v>12.594257613289383</v>
      </c>
      <c r="DI200" s="156">
        <f>INPUT!FV279</f>
        <v>12.707662664191554</v>
      </c>
      <c r="DJ200" s="687">
        <f>INPUT!FW279</f>
        <v>-25.950229697432736</v>
      </c>
      <c r="DK200" s="156">
        <f>INPUT!FX279</f>
        <v>13.257558112451671</v>
      </c>
      <c r="DL200" s="507">
        <f>INPUT!FY279</f>
        <v>4.327274517678581</v>
      </c>
      <c r="DM200" s="156">
        <f>INPUT!FZ279</f>
        <v>11.199965136295273</v>
      </c>
      <c r="DN200" s="507">
        <f>INPUT!GA279</f>
        <v>-15.520150533784049</v>
      </c>
      <c r="DO200" s="156">
        <f>INPUT!GB279</f>
        <v>11.970537956651116</v>
      </c>
      <c r="DP200" s="507">
        <f>INPUT!GC279</f>
        <v>6.8801358841616311</v>
      </c>
      <c r="DQ200" s="156">
        <f>INPUT!GD279</f>
        <v>11.335311572700297</v>
      </c>
      <c r="DR200" s="507">
        <f>INPUT!GE279</f>
        <v>-5.306581761414253</v>
      </c>
      <c r="DS200" s="156">
        <f>INPUT!GF279</f>
        <v>10.522243713733076</v>
      </c>
      <c r="DT200" s="507">
        <f>INPUT!GG279</f>
        <v>-7.1728761380092543</v>
      </c>
      <c r="DU200" s="156">
        <f>INPUT!GH279</f>
        <v>10.193204530313125</v>
      </c>
      <c r="DV200" s="507">
        <f>INPUT!GI279</f>
        <v>-3.1270819453697585</v>
      </c>
      <c r="DW200" s="156">
        <f>INPUT!GJ279</f>
        <v>6.2352941176470589</v>
      </c>
      <c r="DX200" s="507">
        <f>INPUT!GK279</f>
        <v>-38.828911956939635</v>
      </c>
      <c r="DY200" s="156">
        <f>INPUT!GL279</f>
        <v>8.2612872238232473</v>
      </c>
      <c r="DZ200" s="507">
        <f>INPUT!GM279</f>
        <v>32.492342268863396</v>
      </c>
      <c r="EA200" s="156">
        <f>INPUT!GN279</f>
        <v>8.1719774355846937</v>
      </c>
      <c r="EB200" s="507">
        <f>INPUT!GO279</f>
        <v>-1.0810638320503996</v>
      </c>
      <c r="EC200" s="156">
        <f>INPUT!GP279</f>
        <v>9.331140328246768</v>
      </c>
      <c r="ED200" s="507">
        <f>INPUT!GQ279</f>
        <v>14.184607113751024</v>
      </c>
      <c r="EE200" s="156">
        <f>INPUT!GR279</f>
        <v>9.1588294702099144</v>
      </c>
      <c r="EF200" s="507">
        <f>INPUT!GS279</f>
        <v>-1.846621655825309</v>
      </c>
      <c r="EG200" s="156">
        <f>INPUT!GT279</f>
        <v>9.1332887731068766</v>
      </c>
      <c r="EH200" s="507">
        <f>INPUT!GU279</f>
        <v>-0.27886420624066988</v>
      </c>
      <c r="EI200" s="156">
        <f>INPUT!GV279</f>
        <v>9.1609878366295572</v>
      </c>
      <c r="EJ200" s="507">
        <f>INPUT!GW279</f>
        <v>0.30327589777126018</v>
      </c>
      <c r="EK200" s="156">
        <f>INPUT!GX279</f>
        <v>9.1804199729683909</v>
      </c>
      <c r="EL200" s="507">
        <f>INPUT!GY279</f>
        <v>0.212118351048729</v>
      </c>
      <c r="EM200" s="687">
        <f>INPUT!GZ279</f>
        <v>2.3545322794089163</v>
      </c>
    </row>
    <row r="201" spans="1:143" ht="12.75" hidden="1" customHeight="1" outlineLevel="1" x14ac:dyDescent="0.2">
      <c r="A201" s="718" t="str">
        <f>INPUT!B280</f>
        <v>AT Op Earnings/Avg Reserves (%)</v>
      </c>
      <c r="B201" s="151">
        <f>INPUT!AY280</f>
        <v>1.9492902041104598</v>
      </c>
      <c r="C201" s="507">
        <f>INPUT!AZ280</f>
        <v>11.594352213411296</v>
      </c>
      <c r="D201" s="151">
        <f>INPUT!BA280</f>
        <v>2.9608010869018262</v>
      </c>
      <c r="E201" s="687">
        <f>INPUT!BB280</f>
        <v>58.581404860159012</v>
      </c>
      <c r="F201" s="151">
        <f>INPUT!BC280</f>
        <v>1.9150470769410697</v>
      </c>
      <c r="G201" s="687">
        <f>INPUT!BD280</f>
        <v>0.47357930638436407</v>
      </c>
      <c r="H201" s="151">
        <f>INPUT!BE280</f>
        <v>2.4056585738864467</v>
      </c>
      <c r="I201" s="687">
        <f>INPUT!BF280</f>
        <v>13.254200645619573</v>
      </c>
      <c r="J201" s="151">
        <f>INPUT!BG280</f>
        <v>2.1455247907276256</v>
      </c>
      <c r="K201" s="687">
        <f>INPUT!BH280</f>
        <v>10.066976492436419</v>
      </c>
      <c r="L201" s="151">
        <f>INPUT!BI280</f>
        <v>2.2378952373405183</v>
      </c>
      <c r="M201" s="687">
        <f>INPUT!BJ280</f>
        <v>-24.415887063786322</v>
      </c>
      <c r="N201" s="151">
        <f>INPUT!BK280</f>
        <v>2.2695212533549718</v>
      </c>
      <c r="O201" s="687">
        <f>INPUT!BL280</f>
        <v>18.509945822329787</v>
      </c>
      <c r="P201" s="151">
        <f>INPUT!BM280</f>
        <v>2.1053930642971719</v>
      </c>
      <c r="Q201" s="687">
        <f>INPUT!BN280</f>
        <v>-12.481634461709278</v>
      </c>
      <c r="R201" s="151">
        <f>INPUT!BO280</f>
        <v>1.9402456124131358</v>
      </c>
      <c r="S201" s="687">
        <f>INPUT!BP280</f>
        <v>-9.567784031284587</v>
      </c>
      <c r="T201" s="151">
        <f>INPUT!BQ280</f>
        <v>2.0140428677014053</v>
      </c>
      <c r="U201" s="687">
        <f>INPUT!BR280</f>
        <v>-10.002808259475804</v>
      </c>
      <c r="V201" s="151">
        <f>INPUT!BS280</f>
        <v>1.6940480226859429</v>
      </c>
      <c r="W201" s="687">
        <f>INPUT!BT280</f>
        <v>-25.356591387647164</v>
      </c>
      <c r="X201" s="151">
        <f>INPUT!BU280</f>
        <v>1.0306702479855081</v>
      </c>
      <c r="Y201" s="687" t="str">
        <f>INPUT!BV280</f>
        <v>NM</v>
      </c>
      <c r="Z201" s="151">
        <f>INPUT!BW280</f>
        <v>1.7953978725419026</v>
      </c>
      <c r="AA201" s="122">
        <f>INPUT!BX280</f>
        <v>-7.46543318766133</v>
      </c>
      <c r="AB201" s="151">
        <f>INPUT!BY280</f>
        <v>1.6643706950532251</v>
      </c>
      <c r="AC201" s="687">
        <f>INPUT!BZ280</f>
        <v>-17.361704572219729</v>
      </c>
      <c r="AD201" s="151">
        <f>INPUT!CA280</f>
        <v>1.6729991420517212</v>
      </c>
      <c r="AE201" s="687">
        <f>INPUT!CB280</f>
        <v>-1.2425197132752142</v>
      </c>
      <c r="AF201" s="151">
        <f>INPUT!CC280</f>
        <v>1.896510228640194</v>
      </c>
      <c r="AG201" s="687">
        <f>INPUT!CD280</f>
        <v>84.00746818364162</v>
      </c>
      <c r="AH201" s="156">
        <f>INPUT!CE280</f>
        <v>1.6273160874281218</v>
      </c>
      <c r="AI201" s="507">
        <f>INPUT!CF280</f>
        <v>-9.3618126480128119</v>
      </c>
      <c r="AJ201" s="156">
        <f>INPUT!CG280</f>
        <v>1.7997123070306831</v>
      </c>
      <c r="AK201" s="507">
        <f>INPUT!CH280</f>
        <v>8.1316988084274122</v>
      </c>
      <c r="AL201" s="156">
        <f>INPUT!CI280</f>
        <v>0.70504803801844962</v>
      </c>
      <c r="AM201" s="507" t="str">
        <f>INPUT!CJ280</f>
        <v>NM</v>
      </c>
      <c r="AN201" s="156">
        <f>INPUT!CK280</f>
        <v>1.9000330066156725</v>
      </c>
      <c r="AO201" s="507">
        <f>INPUT!CL280</f>
        <v>0.18575053918925555</v>
      </c>
      <c r="AP201" s="156">
        <f>INPUT!CM280</f>
        <v>1.5946769235088507</v>
      </c>
      <c r="AQ201" s="507">
        <f>INPUT!CN280</f>
        <v>-2.0057052327710601</v>
      </c>
      <c r="AR201" s="156">
        <f>INPUT!CO280</f>
        <v>1.511043412033511</v>
      </c>
      <c r="AS201" s="507">
        <f>INPUT!CP280</f>
        <v>-16.039724453151205</v>
      </c>
      <c r="AT201" s="156">
        <f>INPUT!CQ280</f>
        <v>1.7013744849138517</v>
      </c>
      <c r="AU201" s="507" t="str">
        <f>INPUT!CR280</f>
        <v>NM</v>
      </c>
      <c r="AV201" s="156">
        <f>INPUT!CS280</f>
        <v>1.4810954620880703</v>
      </c>
      <c r="AW201" s="507">
        <f>INPUT!CT280</f>
        <v>-22.048961416402513</v>
      </c>
      <c r="AX201" s="156">
        <f>INPUT!CU280</f>
        <v>1.4905766601431596</v>
      </c>
      <c r="AY201" s="507">
        <f>INPUT!CV280</f>
        <v>-6.5279845610754723</v>
      </c>
      <c r="AZ201" s="156">
        <f>INPUT!CW280</f>
        <v>1.4313925594094179</v>
      </c>
      <c r="BA201" s="507">
        <f>INPUT!CX280</f>
        <v>-5.2712484624714895</v>
      </c>
      <c r="BB201" s="156">
        <f>INPUT!CY280</f>
        <v>1.5999368445982396</v>
      </c>
      <c r="BC201" s="507">
        <f>INPUT!CZ280</f>
        <v>-5.9620995386414517</v>
      </c>
      <c r="BD201" s="156">
        <f>INPUT!DA280</f>
        <v>1.5232568682564149</v>
      </c>
      <c r="BE201" s="507">
        <f>INPUT!DB280</f>
        <v>2.8466366448051117</v>
      </c>
      <c r="BF201" s="156">
        <f>INPUT!DC280</f>
        <v>1.1394996884180539</v>
      </c>
      <c r="BG201" s="507">
        <f>INPUT!DD280</f>
        <v>-23.553097342298855</v>
      </c>
      <c r="BH201" s="156">
        <f>INPUT!DE280</f>
        <v>1.3541300967952254</v>
      </c>
      <c r="BI201" s="507">
        <f>INPUT!DF280</f>
        <v>-5.3977130247254035</v>
      </c>
      <c r="BJ201" s="156">
        <f>INPUT!DG280</f>
        <v>1.3844423293242192</v>
      </c>
      <c r="BK201" s="507">
        <f>INPUT!DH280</f>
        <v>-13.468938852279088</v>
      </c>
      <c r="BL201" s="156">
        <f>INPUT!DI280</f>
        <v>1.5199554662729626</v>
      </c>
      <c r="BM201" s="507">
        <f>INPUT!DJ280</f>
        <v>-0.2167331099731884</v>
      </c>
      <c r="BN201" s="156">
        <f>INPUT!DK280</f>
        <v>1.1421093331747072</v>
      </c>
      <c r="BO201" s="507">
        <f>INPUT!DL280</f>
        <v>0.22901671524597766</v>
      </c>
      <c r="BP201" s="156">
        <f>INPUT!DM280</f>
        <v>1.390062928524467</v>
      </c>
      <c r="BQ201" s="507">
        <f>INPUT!DN280</f>
        <v>2.6535730809235103</v>
      </c>
      <c r="BR201" s="156">
        <f>INPUT!DO280</f>
        <v>1.3936472910980779</v>
      </c>
      <c r="BS201" s="507">
        <f>INPUT!DP280</f>
        <v>0.6648858951280312</v>
      </c>
      <c r="BT201" s="156">
        <f>INPUT!DQ280</f>
        <v>1.7830062956665595</v>
      </c>
      <c r="BU201" s="507">
        <f>INPUT!DR280</f>
        <v>17.306482672062494</v>
      </c>
      <c r="BV201" s="156">
        <f>INPUT!DS280</f>
        <v>1.0060840895958669</v>
      </c>
      <c r="BW201" s="507">
        <f>INPUT!DT280</f>
        <v>-11.910001926061897</v>
      </c>
      <c r="BX201" s="156">
        <f>INPUT!DU280</f>
        <v>0.94293026806160485</v>
      </c>
      <c r="BY201" s="507">
        <f>INPUT!DV280</f>
        <v>-32.166361053703326</v>
      </c>
      <c r="BZ201" s="156">
        <f>INPUT!DW280</f>
        <v>0.32315253248356185</v>
      </c>
      <c r="CA201" s="507">
        <f>INPUT!DX280</f>
        <v>-113.83457388051959</v>
      </c>
      <c r="CB201" s="156">
        <f>INPUT!DY280</f>
        <v>1.061706090311932</v>
      </c>
      <c r="CC201" s="507">
        <f>INPUT!DZ280</f>
        <v>-40.454159197737241</v>
      </c>
      <c r="CD201" s="156">
        <f>INPUT!EA280</f>
        <v>0.66144128055031914</v>
      </c>
      <c r="CE201" s="507">
        <f>INPUT!EB280</f>
        <v>-34.255865151787368</v>
      </c>
      <c r="CF201" s="156">
        <f>INPUT!EC280</f>
        <v>1.0501329074460986</v>
      </c>
      <c r="CG201" s="507">
        <f>INPUT!ED280</f>
        <v>11.369095151105046</v>
      </c>
      <c r="CH201" s="156">
        <f>INPUT!EE280</f>
        <v>1.4414414414414414</v>
      </c>
      <c r="CI201" s="507" t="str">
        <f>INPUT!EF280</f>
        <v>NM</v>
      </c>
      <c r="CJ201" s="156">
        <f>INPUT!EG280</f>
        <v>1.3096908619296679</v>
      </c>
      <c r="CK201" s="507">
        <f>INPUT!EH280</f>
        <v>23.357195920848241</v>
      </c>
      <c r="CL201" s="156">
        <f>INPUT!EI280</f>
        <v>1.0901810329465289</v>
      </c>
      <c r="CM201" s="507">
        <f>INPUT!EJ280</f>
        <v>64.819019466020976</v>
      </c>
      <c r="CN201" s="156">
        <f>INPUT!EK280</f>
        <v>1.0989805509363026</v>
      </c>
      <c r="CO201" s="507">
        <f>INPUT!EL280</f>
        <v>4.6515677343166528</v>
      </c>
      <c r="CP201" s="156">
        <f>INPUT!EM280</f>
        <v>0.98532196005781636</v>
      </c>
      <c r="CQ201" s="507">
        <f>INPUT!EN280</f>
        <v>-31.643289020988984</v>
      </c>
      <c r="CR201" s="156">
        <f>INPUT!EO280</f>
        <v>1.2143727405276927</v>
      </c>
      <c r="CS201" s="507">
        <f>INPUT!EP280</f>
        <v>-7.2779099383449619</v>
      </c>
      <c r="CT201" s="156">
        <f>INPUT!EQ280</f>
        <v>1.1330411434050016</v>
      </c>
      <c r="CU201" s="507">
        <f>INPUT!ER280</f>
        <v>3.9314672667374317</v>
      </c>
      <c r="CV201" s="156">
        <f>INPUT!ES280</f>
        <v>1.2538086527952359</v>
      </c>
      <c r="CW201" s="507">
        <f>INPUT!ET280</f>
        <v>14.088338663229649</v>
      </c>
      <c r="CX201" s="156">
        <f>INPUT!EU280</f>
        <v>1.2415467791512225</v>
      </c>
      <c r="CY201" s="507">
        <f>INPUT!EV280</f>
        <v>26.004172187370255</v>
      </c>
      <c r="CZ201" s="156">
        <f>INPUT!EW280</f>
        <v>1.2875972384468664</v>
      </c>
      <c r="DA201" s="507">
        <f>INPUT!EX280</f>
        <v>6.0298206205908977</v>
      </c>
      <c r="DB201" s="507"/>
      <c r="DC201" s="151">
        <f>INPUT!FP280</f>
        <v>1.8468436410219902</v>
      </c>
      <c r="DD201" s="687" t="str">
        <f>INPUT!FQ280</f>
        <v>NA</v>
      </c>
      <c r="DE201" s="151">
        <f>INPUT!FR280</f>
        <v>2.4478922572210839</v>
      </c>
      <c r="DF201" s="687">
        <f>INPUT!FS280</f>
        <v>32.544640101015297</v>
      </c>
      <c r="DG201" s="151">
        <f>INPUT!FT280</f>
        <v>2.3557106083186561</v>
      </c>
      <c r="DH201" s="687">
        <f>INPUT!FU280</f>
        <v>-3.7657559735523316</v>
      </c>
      <c r="DI201" s="151">
        <f>INPUT!FV280</f>
        <v>1.6818273701233071</v>
      </c>
      <c r="DJ201" s="687">
        <f>INPUT!FW280</f>
        <v>-28.606367684370216</v>
      </c>
      <c r="DK201" s="156">
        <f>INPUT!FX280</f>
        <v>1.7451557517782681</v>
      </c>
      <c r="DL201" s="507">
        <f>INPUT!FY280</f>
        <v>3.7654507697967743</v>
      </c>
      <c r="DM201" s="156">
        <f>INPUT!FZ280</f>
        <v>1.4940557509519485</v>
      </c>
      <c r="DN201" s="507">
        <f>INPUT!GA280</f>
        <v>-14.388400609541884</v>
      </c>
      <c r="DO201" s="156">
        <f>INPUT!GB280</f>
        <v>1.5704733293646942</v>
      </c>
      <c r="DP201" s="507">
        <f>INPUT!GC280</f>
        <v>5.1147742220500003</v>
      </c>
      <c r="DQ201" s="156">
        <f>INPUT!GD280</f>
        <v>1.5106576501759796</v>
      </c>
      <c r="DR201" s="507">
        <f>INPUT!GE280</f>
        <v>-3.8087675906544605</v>
      </c>
      <c r="DS201" s="156">
        <f>INPUT!GF280</f>
        <v>1.3470347901448556</v>
      </c>
      <c r="DT201" s="507">
        <f>INPUT!GG280</f>
        <v>-10.831233669128359</v>
      </c>
      <c r="DU201" s="156">
        <f>INPUT!GH280</f>
        <v>1.4284047146691563</v>
      </c>
      <c r="DV201" s="507">
        <f>INPUT!GI280</f>
        <v>6.0406698564593464</v>
      </c>
      <c r="DW201" s="156">
        <f>INPUT!GJ280</f>
        <v>0.83262264913146911</v>
      </c>
      <c r="DX201" s="507">
        <f>INPUT!GK280</f>
        <v>-41.709612088173543</v>
      </c>
      <c r="DY201" s="156">
        <f>INPUT!GL280</f>
        <v>1.1148199760184074</v>
      </c>
      <c r="DZ201" s="507">
        <f>INPUT!GM280</f>
        <v>33.892583534846899</v>
      </c>
      <c r="EA201" s="156">
        <f>INPUT!GN280</f>
        <v>1.094190176785204</v>
      </c>
      <c r="EB201" s="507">
        <f>INPUT!GO280</f>
        <v>-1.8505049852876709</v>
      </c>
      <c r="EC201" s="156">
        <f>INPUT!GP280</f>
        <v>1.2235188173331255</v>
      </c>
      <c r="ED201" s="507">
        <f>INPUT!GQ280</f>
        <v>11.81957609306059</v>
      </c>
      <c r="EE201" s="156">
        <f>INPUT!GR280</f>
        <v>1.1966734770665466</v>
      </c>
      <c r="EF201" s="507">
        <f>INPUT!GS280</f>
        <v>-2.1941093088452046</v>
      </c>
      <c r="EG201" s="156">
        <f>INPUT!GT280</f>
        <v>1.1905342665716687</v>
      </c>
      <c r="EH201" s="507">
        <f>INPUT!GU280</f>
        <v>-0.513023026960302</v>
      </c>
      <c r="EI201" s="156">
        <f>INPUT!GV280</f>
        <v>1.1909680262951254</v>
      </c>
      <c r="EJ201" s="507">
        <f>INPUT!GW280</f>
        <v>3.6434039375099481E-2</v>
      </c>
      <c r="EK201" s="156">
        <f>INPUT!GX280</f>
        <v>1.1899763942572004</v>
      </c>
      <c r="EL201" s="507">
        <f>INPUT!GY280</f>
        <v>-8.3262691863339455E-2</v>
      </c>
      <c r="EM201" s="687">
        <f>INPUT!GZ280</f>
        <v>1.6925428109316965</v>
      </c>
    </row>
    <row r="202" spans="1:143" ht="12.75" hidden="1" customHeight="1" outlineLevel="1" x14ac:dyDescent="0.2">
      <c r="A202" s="701"/>
      <c r="B202" s="16"/>
      <c r="C202" s="507"/>
      <c r="D202" s="16"/>
      <c r="E202" s="687"/>
      <c r="F202" s="16"/>
      <c r="G202" s="687"/>
      <c r="H202" s="16"/>
      <c r="I202" s="687"/>
      <c r="J202" s="16"/>
      <c r="K202" s="687"/>
      <c r="L202" s="16"/>
      <c r="M202" s="687"/>
      <c r="N202" s="16"/>
      <c r="O202" s="687"/>
      <c r="P202" s="16"/>
      <c r="Q202" s="687"/>
      <c r="R202" s="16"/>
      <c r="S202" s="687"/>
      <c r="T202" s="16"/>
      <c r="U202" s="687"/>
      <c r="V202" s="16"/>
      <c r="W202" s="687"/>
      <c r="X202" s="16"/>
      <c r="Y202" s="687"/>
      <c r="Z202" s="16"/>
      <c r="AA202" s="122"/>
      <c r="AB202" s="16"/>
      <c r="AC202" s="687"/>
      <c r="AD202" s="16"/>
      <c r="AE202" s="687"/>
      <c r="AF202" s="16"/>
      <c r="AG202" s="687"/>
      <c r="AH202" s="16"/>
      <c r="AI202" s="507"/>
      <c r="AJ202" s="16"/>
      <c r="AK202" s="507"/>
      <c r="AL202" s="16"/>
      <c r="AM202" s="507"/>
      <c r="AN202" s="16"/>
      <c r="AO202" s="507"/>
      <c r="AP202" s="16"/>
      <c r="AQ202" s="507"/>
      <c r="AR202" s="16"/>
      <c r="AS202" s="507"/>
      <c r="AT202" s="16"/>
      <c r="AU202" s="507"/>
      <c r="AV202" s="16"/>
      <c r="AW202" s="507"/>
      <c r="AX202" s="16"/>
      <c r="AY202" s="507"/>
      <c r="AZ202" s="16"/>
      <c r="BA202" s="507"/>
      <c r="BB202" s="16"/>
      <c r="BC202" s="507"/>
      <c r="BD202" s="16"/>
      <c r="BE202" s="507"/>
      <c r="BF202" s="16"/>
      <c r="BG202" s="507"/>
      <c r="BH202" s="16"/>
      <c r="BI202" s="507"/>
      <c r="BJ202" s="16"/>
      <c r="BK202" s="507"/>
      <c r="BL202" s="16"/>
      <c r="BM202" s="507"/>
      <c r="BN202" s="16"/>
      <c r="BO202" s="507"/>
      <c r="BP202" s="16"/>
      <c r="BQ202" s="507"/>
      <c r="BR202" s="16"/>
      <c r="BS202" s="507"/>
      <c r="BT202" s="16"/>
      <c r="BU202" s="507"/>
      <c r="BV202" s="16"/>
      <c r="BW202" s="507"/>
      <c r="BX202" s="16"/>
      <c r="BY202" s="507"/>
      <c r="BZ202" s="16"/>
      <c r="CA202" s="507"/>
      <c r="CB202" s="16"/>
      <c r="CC202" s="507"/>
      <c r="CD202" s="16"/>
      <c r="CE202" s="507"/>
      <c r="CF202" s="16"/>
      <c r="CG202" s="507"/>
      <c r="CH202" s="16"/>
      <c r="CI202" s="507"/>
      <c r="CJ202" s="16"/>
      <c r="CK202" s="507"/>
      <c r="CL202" s="16"/>
      <c r="CM202" s="507"/>
      <c r="CN202" s="16"/>
      <c r="CO202" s="507"/>
      <c r="CP202" s="16"/>
      <c r="CQ202" s="507"/>
      <c r="CR202" s="16"/>
      <c r="CS202" s="507"/>
      <c r="CT202" s="16"/>
      <c r="CU202" s="507"/>
      <c r="CV202" s="16"/>
      <c r="CW202" s="507"/>
      <c r="CX202" s="16"/>
      <c r="CY202" s="507"/>
      <c r="CZ202" s="16"/>
      <c r="DA202" s="507"/>
      <c r="DB202" s="507"/>
      <c r="DC202" s="16"/>
      <c r="DD202" s="687"/>
      <c r="DE202" s="16"/>
      <c r="DF202" s="687"/>
      <c r="DG202" s="16"/>
      <c r="DH202" s="687"/>
      <c r="DI202" s="16"/>
      <c r="DJ202" s="687"/>
      <c r="DK202" s="16"/>
      <c r="DL202" s="507"/>
      <c r="DM202" s="16"/>
      <c r="DN202" s="507"/>
      <c r="DO202" s="16"/>
      <c r="DP202" s="507"/>
      <c r="DQ202" s="16"/>
      <c r="DR202" s="507"/>
      <c r="DS202" s="16"/>
      <c r="DT202" s="507"/>
      <c r="DU202" s="16"/>
      <c r="DV202" s="507"/>
      <c r="DW202" s="16"/>
      <c r="DX202" s="507"/>
      <c r="DY202" s="16"/>
      <c r="DZ202" s="507"/>
      <c r="EA202" s="16"/>
      <c r="EB202" s="507"/>
      <c r="EC202" s="16"/>
      <c r="ED202" s="507"/>
      <c r="EE202" s="16"/>
      <c r="EF202" s="507"/>
      <c r="EG202" s="16"/>
      <c r="EH202" s="507"/>
      <c r="EI202" s="16"/>
      <c r="EJ202" s="507"/>
      <c r="EK202" s="16"/>
      <c r="EL202" s="507"/>
      <c r="EM202" s="687"/>
    </row>
    <row r="203" spans="1:143" ht="12.75" hidden="1" customHeight="1" outlineLevel="1" x14ac:dyDescent="0.2">
      <c r="A203" s="700" t="s">
        <v>282</v>
      </c>
      <c r="B203" s="16"/>
      <c r="C203" s="507"/>
      <c r="D203" s="16"/>
      <c r="E203" s="687"/>
      <c r="F203" s="16"/>
      <c r="G203" s="687"/>
      <c r="H203" s="16"/>
      <c r="I203" s="687"/>
      <c r="J203" s="16"/>
      <c r="K203" s="687"/>
      <c r="L203" s="16"/>
      <c r="M203" s="687"/>
      <c r="N203" s="16"/>
      <c r="O203" s="687"/>
      <c r="P203" s="16"/>
      <c r="Q203" s="687"/>
      <c r="R203" s="16"/>
      <c r="S203" s="687"/>
      <c r="T203" s="16"/>
      <c r="U203" s="687"/>
      <c r="V203" s="16"/>
      <c r="W203" s="687"/>
      <c r="X203" s="16"/>
      <c r="Y203" s="687"/>
      <c r="Z203" s="16"/>
      <c r="AA203" s="122"/>
      <c r="AB203" s="16"/>
      <c r="AC203" s="687"/>
      <c r="AD203" s="16"/>
      <c r="AE203" s="687"/>
      <c r="AF203" s="16"/>
      <c r="AG203" s="687"/>
      <c r="AH203" s="16"/>
      <c r="AI203" s="507"/>
      <c r="AJ203" s="16"/>
      <c r="AK203" s="507"/>
      <c r="AL203" s="16"/>
      <c r="AM203" s="507"/>
      <c r="AN203" s="16"/>
      <c r="AO203" s="507"/>
      <c r="AP203" s="16"/>
      <c r="AQ203" s="507"/>
      <c r="AR203" s="16"/>
      <c r="AS203" s="507"/>
      <c r="AT203" s="16"/>
      <c r="AU203" s="507"/>
      <c r="AV203" s="16"/>
      <c r="AW203" s="507"/>
      <c r="AX203" s="16"/>
      <c r="AY203" s="507"/>
      <c r="AZ203" s="16"/>
      <c r="BA203" s="507"/>
      <c r="BB203" s="16"/>
      <c r="BC203" s="507"/>
      <c r="BD203" s="16"/>
      <c r="BE203" s="507"/>
      <c r="BF203" s="16"/>
      <c r="BG203" s="507"/>
      <c r="BH203" s="16"/>
      <c r="BI203" s="507"/>
      <c r="BJ203" s="16"/>
      <c r="BK203" s="507"/>
      <c r="BL203" s="16"/>
      <c r="BM203" s="507"/>
      <c r="BN203" s="16"/>
      <c r="BO203" s="507"/>
      <c r="BP203" s="16"/>
      <c r="BQ203" s="507"/>
      <c r="BR203" s="16"/>
      <c r="BS203" s="507"/>
      <c r="BT203" s="16"/>
      <c r="BU203" s="507"/>
      <c r="BV203" s="16"/>
      <c r="BW203" s="507"/>
      <c r="BX203" s="16"/>
      <c r="BY203" s="507"/>
      <c r="BZ203" s="16"/>
      <c r="CA203" s="507"/>
      <c r="CB203" s="16"/>
      <c r="CC203" s="507"/>
      <c r="CD203" s="16"/>
      <c r="CE203" s="507"/>
      <c r="CF203" s="16"/>
      <c r="CG203" s="507"/>
      <c r="CH203" s="16"/>
      <c r="CI203" s="507"/>
      <c r="CJ203" s="16"/>
      <c r="CK203" s="507"/>
      <c r="CL203" s="16"/>
      <c r="CM203" s="507"/>
      <c r="CN203" s="16"/>
      <c r="CO203" s="507"/>
      <c r="CP203" s="16"/>
      <c r="CQ203" s="507"/>
      <c r="CR203" s="16"/>
      <c r="CS203" s="507"/>
      <c r="CT203" s="16"/>
      <c r="CU203" s="507"/>
      <c r="CV203" s="16"/>
      <c r="CW203" s="507"/>
      <c r="CX203" s="16"/>
      <c r="CY203" s="507"/>
      <c r="CZ203" s="16"/>
      <c r="DA203" s="507"/>
      <c r="DB203" s="507"/>
      <c r="DC203" s="16"/>
      <c r="DD203" s="687"/>
      <c r="DE203" s="16"/>
      <c r="DF203" s="687"/>
      <c r="DG203" s="16"/>
      <c r="DH203" s="687"/>
      <c r="DI203" s="16"/>
      <c r="DJ203" s="687"/>
      <c r="DK203" s="16"/>
      <c r="DL203" s="507"/>
      <c r="DM203" s="16"/>
      <c r="DN203" s="507"/>
      <c r="DO203" s="16"/>
      <c r="DP203" s="507"/>
      <c r="DQ203" s="16"/>
      <c r="DR203" s="507"/>
      <c r="DS203" s="16"/>
      <c r="DT203" s="507"/>
      <c r="DU203" s="16"/>
      <c r="DV203" s="507"/>
      <c r="DW203" s="16"/>
      <c r="DX203" s="507"/>
      <c r="DY203" s="16"/>
      <c r="DZ203" s="507"/>
      <c r="EA203" s="16"/>
      <c r="EB203" s="507"/>
      <c r="EC203" s="16"/>
      <c r="ED203" s="507"/>
      <c r="EE203" s="16"/>
      <c r="EF203" s="507"/>
      <c r="EG203" s="16"/>
      <c r="EH203" s="507"/>
      <c r="EI203" s="16"/>
      <c r="EJ203" s="507"/>
      <c r="EK203" s="16"/>
      <c r="EL203" s="507"/>
      <c r="EM203" s="687"/>
    </row>
    <row r="204" spans="1:143" ht="12.75" hidden="1" customHeight="1" outlineLevel="1" x14ac:dyDescent="0.2">
      <c r="A204" s="701" t="str">
        <f>INPUT!B237</f>
        <v>M&amp;E Fees, Surrender Chrgs, Other</v>
      </c>
      <c r="B204" s="151">
        <f>INPUT!AY237</f>
        <v>209.89999999999998</v>
      </c>
      <c r="C204" s="507">
        <f>INPUT!AZ237</f>
        <v>1.7943743937924195</v>
      </c>
      <c r="D204" s="151">
        <f>INPUT!BA237</f>
        <v>395.59999999999997</v>
      </c>
      <c r="E204" s="687">
        <f>INPUT!BB237</f>
        <v>97.997997997997999</v>
      </c>
      <c r="F204" s="151">
        <f>INPUT!BC237</f>
        <v>393.9</v>
      </c>
      <c r="G204" s="687" t="str">
        <f>INPUT!BD237</f>
        <v>NM</v>
      </c>
      <c r="H204" s="151">
        <f>INPUT!BE237</f>
        <v>423.79999999999995</v>
      </c>
      <c r="I204" s="687">
        <f>INPUT!BF237</f>
        <v>96.203703703703681</v>
      </c>
      <c r="J204" s="151">
        <f>INPUT!BG237</f>
        <v>429.7</v>
      </c>
      <c r="K204" s="687" t="str">
        <f>INPUT!BH237</f>
        <v>NM</v>
      </c>
      <c r="L204" s="151">
        <f>INPUT!BI237</f>
        <v>376.4</v>
      </c>
      <c r="M204" s="687">
        <f>INPUT!BJ237</f>
        <v>-4.8533872598584438</v>
      </c>
      <c r="N204" s="151">
        <f>INPUT!BK237</f>
        <v>474.7</v>
      </c>
      <c r="O204" s="687">
        <f>INPUT!BL237</f>
        <v>20.512820512820507</v>
      </c>
      <c r="P204" s="151">
        <f>INPUT!BM237</f>
        <v>461.8</v>
      </c>
      <c r="Q204" s="687">
        <f>INPUT!BN237</f>
        <v>8.9664936290703388</v>
      </c>
      <c r="R204" s="151">
        <f>INPUT!BO237</f>
        <v>467.4</v>
      </c>
      <c r="S204" s="687">
        <f>INPUT!BP237</f>
        <v>8.7735629508959754</v>
      </c>
      <c r="T204" s="151">
        <f>INPUT!BQ237</f>
        <v>477.30000000000007</v>
      </c>
      <c r="U204" s="687">
        <f>INPUT!BR237</f>
        <v>26.806588735387905</v>
      </c>
      <c r="V204" s="151">
        <f>INPUT!BS237</f>
        <v>460.59999999999997</v>
      </c>
      <c r="W204" s="687">
        <f>INPUT!BT237</f>
        <v>-2.9702970297029729</v>
      </c>
      <c r="X204" s="151">
        <f>INPUT!BU237</f>
        <v>502.3</v>
      </c>
      <c r="Y204" s="687">
        <f>INPUT!BV237</f>
        <v>8.7700303161541768</v>
      </c>
      <c r="Z204" s="151">
        <f>INPUT!BW237</f>
        <v>488.00000000000006</v>
      </c>
      <c r="AA204" s="122">
        <f>INPUT!BX237</f>
        <v>4.4073598630723243</v>
      </c>
      <c r="AB204" s="151">
        <f>INPUT!BY237</f>
        <v>455.6</v>
      </c>
      <c r="AC204" s="687">
        <f>INPUT!BZ237</f>
        <v>-4.5464068719882729</v>
      </c>
      <c r="AD204" s="151">
        <f>INPUT!CA237</f>
        <v>500.3</v>
      </c>
      <c r="AE204" s="687">
        <f>INPUT!CB237</f>
        <v>8.6191923577942031</v>
      </c>
      <c r="AF204" s="151">
        <f>INPUT!CC237</f>
        <v>482.5</v>
      </c>
      <c r="AG204" s="687">
        <f>INPUT!CD237</f>
        <v>-3.9418674099144013</v>
      </c>
      <c r="AH204" s="151">
        <f>INPUT!CE237</f>
        <v>485.59999999999997</v>
      </c>
      <c r="AI204" s="507">
        <f>INPUT!CF237</f>
        <v>-0.49180327868854068</v>
      </c>
      <c r="AJ204" s="151">
        <f>INPUT!CG237</f>
        <v>483.50000000000006</v>
      </c>
      <c r="AK204" s="507">
        <f>INPUT!CH237</f>
        <v>6.1237928007023879</v>
      </c>
      <c r="AL204" s="151">
        <f>INPUT!CI237</f>
        <v>457.59999999999997</v>
      </c>
      <c r="AM204" s="507">
        <f>INPUT!CJ237</f>
        <v>-8.5348790725564783</v>
      </c>
      <c r="AN204" s="151">
        <f>INPUT!CK237</f>
        <v>537.4</v>
      </c>
      <c r="AO204" s="507">
        <f>INPUT!CL237</f>
        <v>11.378238341968917</v>
      </c>
      <c r="AP204" s="151">
        <f>INPUT!CM237</f>
        <v>459</v>
      </c>
      <c r="AQ204" s="507">
        <f>INPUT!CN237</f>
        <v>-5.4777594728171231</v>
      </c>
      <c r="AR204" s="151">
        <f>INPUT!CO237</f>
        <v>529</v>
      </c>
      <c r="AS204" s="507">
        <f>INPUT!CP237</f>
        <v>9.4105480868665872</v>
      </c>
      <c r="AT204" s="151">
        <f>INPUT!CQ237</f>
        <v>503.59999999999997</v>
      </c>
      <c r="AU204" s="507">
        <f>INPUT!CR237</f>
        <v>10.052447552447564</v>
      </c>
      <c r="AV204" s="151">
        <f>INPUT!CS237</f>
        <v>512</v>
      </c>
      <c r="AW204" s="507">
        <f>INPUT!CT237</f>
        <v>-4.7264607368812772</v>
      </c>
      <c r="AX204" s="151">
        <f>INPUT!CU237</f>
        <v>530</v>
      </c>
      <c r="AY204" s="507">
        <f>INPUT!CV237</f>
        <v>15.468409586056641</v>
      </c>
      <c r="AZ204" s="151">
        <f>INPUT!CW237</f>
        <v>515</v>
      </c>
      <c r="BA204" s="507">
        <f>INPUT!CX237</f>
        <v>-2.6465028355387554</v>
      </c>
      <c r="BB204" s="151">
        <f>INPUT!CY237</f>
        <v>615</v>
      </c>
      <c r="BC204" s="507">
        <f>INPUT!CZ237</f>
        <v>22.120730738681505</v>
      </c>
      <c r="BD204" s="151">
        <f>INPUT!DA237</f>
        <v>557</v>
      </c>
      <c r="BE204" s="507">
        <f>INPUT!DB237</f>
        <v>8.7890625</v>
      </c>
      <c r="BF204" s="151">
        <f>INPUT!DC237</f>
        <v>543</v>
      </c>
      <c r="BG204" s="507">
        <f>INPUT!DD237</f>
        <v>2.4528301886792558</v>
      </c>
      <c r="BH204" s="151">
        <f>INPUT!DE237</f>
        <v>540</v>
      </c>
      <c r="BI204" s="507">
        <f>INPUT!DF237</f>
        <v>4.8543689320388328</v>
      </c>
      <c r="BJ204" s="151">
        <f>INPUT!DG237</f>
        <v>561</v>
      </c>
      <c r="BK204" s="507">
        <f>INPUT!DH237</f>
        <v>-8.7804878048780459</v>
      </c>
      <c r="BL204" s="151">
        <f>INPUT!DI237</f>
        <v>588</v>
      </c>
      <c r="BM204" s="507">
        <f>INPUT!DJ237</f>
        <v>5.5655296229802476</v>
      </c>
      <c r="BN204" s="151">
        <f>INPUT!DK237</f>
        <v>581</v>
      </c>
      <c r="BO204" s="507">
        <f>INPUT!DL237</f>
        <v>6.9981583793738533</v>
      </c>
      <c r="BP204" s="151">
        <f>INPUT!DM237</f>
        <v>592</v>
      </c>
      <c r="BQ204" s="507">
        <f>INPUT!DN237</f>
        <v>9.6296296296296333</v>
      </c>
      <c r="BR204" s="151">
        <f>INPUT!DO237</f>
        <v>657</v>
      </c>
      <c r="BS204" s="507">
        <f>INPUT!DP237</f>
        <v>17.112299465240643</v>
      </c>
      <c r="BT204" s="151">
        <f>INPUT!DQ237</f>
        <v>1086</v>
      </c>
      <c r="BU204" s="507">
        <f>INPUT!DR237</f>
        <v>84.693877551020407</v>
      </c>
      <c r="BV204" s="151">
        <f>INPUT!DS237</f>
        <v>657</v>
      </c>
      <c r="BW204" s="507">
        <f>INPUT!DT237</f>
        <v>13.080895008605854</v>
      </c>
      <c r="BX204" s="151">
        <f>INPUT!DU237</f>
        <v>657</v>
      </c>
      <c r="BY204" s="507">
        <f>INPUT!DV237</f>
        <v>10.979729729729737</v>
      </c>
      <c r="BZ204" s="151">
        <f>INPUT!DW237</f>
        <v>899</v>
      </c>
      <c r="CA204" s="507">
        <f>INPUT!DX237</f>
        <v>899</v>
      </c>
      <c r="CB204" s="151">
        <f>INPUT!DY237</f>
        <v>546</v>
      </c>
      <c r="CC204" s="507">
        <f>INPUT!DZ237</f>
        <v>-49.723756906077341</v>
      </c>
      <c r="CD204" s="151">
        <f>INPUT!EA237</f>
        <v>695</v>
      </c>
      <c r="CE204" s="507">
        <f>INPUT!EB237</f>
        <v>5.7838660578386714</v>
      </c>
      <c r="CF204" s="151">
        <f>INPUT!EC237</f>
        <v>728</v>
      </c>
      <c r="CG204" s="507">
        <f>INPUT!ED237</f>
        <v>10.806697108066965</v>
      </c>
      <c r="CH204" s="151">
        <f>INPUT!EE237</f>
        <v>791</v>
      </c>
      <c r="CI204" s="507">
        <f>INPUT!EF237</f>
        <v>-12.013348164627368</v>
      </c>
      <c r="CJ204" s="151">
        <f>INPUT!EG237</f>
        <v>769</v>
      </c>
      <c r="CK204" s="507">
        <f>INPUT!EH237</f>
        <v>40.842490842490854</v>
      </c>
      <c r="CL204" s="151">
        <f>INPUT!EI237</f>
        <v>763</v>
      </c>
      <c r="CM204" s="507">
        <f>INPUT!EJ237</f>
        <v>9.7841726618705049</v>
      </c>
      <c r="CN204" s="151">
        <f>INPUT!EK237</f>
        <v>784</v>
      </c>
      <c r="CO204" s="507">
        <f>INPUT!EL237</f>
        <v>7.6923076923076872</v>
      </c>
      <c r="CP204" s="151">
        <f>INPUT!EM237</f>
        <v>768</v>
      </c>
      <c r="CQ204" s="507">
        <f>INPUT!EN237</f>
        <v>-2.9077117572692823</v>
      </c>
      <c r="CR204" s="151">
        <f>INPUT!EO237</f>
        <v>826</v>
      </c>
      <c r="CS204" s="507">
        <f>INPUT!EP237</f>
        <v>7.4122236671001263</v>
      </c>
      <c r="CT204" s="151">
        <f>INPUT!EQ237</f>
        <v>811.44740039622241</v>
      </c>
      <c r="CU204" s="507">
        <f>INPUT!ER237</f>
        <v>6.3495937609727937</v>
      </c>
      <c r="CV204" s="151">
        <f>INPUT!ES237</f>
        <v>816.77492011838501</v>
      </c>
      <c r="CW204" s="507">
        <f>INPUT!ET237</f>
        <v>4.1804745048960479</v>
      </c>
      <c r="CX204" s="151">
        <f>INPUT!EU237</f>
        <v>824.38565165002103</v>
      </c>
      <c r="CY204" s="507">
        <f>INPUT!EV237</f>
        <v>7.3418817252631552</v>
      </c>
      <c r="CZ204" s="151">
        <f>INPUT!EW237</f>
        <v>834.60818792653095</v>
      </c>
      <c r="DA204" s="507">
        <f>INPUT!EX237</f>
        <v>1.0421535020013195</v>
      </c>
      <c r="DB204" s="507"/>
      <c r="DC204" s="151">
        <f>INPUT!FP237</f>
        <v>803.5</v>
      </c>
      <c r="DD204" s="687">
        <f>INPUT!FQ237</f>
        <v>4.6223958333333259</v>
      </c>
      <c r="DE204" s="151">
        <f>INPUT!FR237</f>
        <v>1423.1999999999998</v>
      </c>
      <c r="DF204" s="687">
        <f>INPUT!FS237</f>
        <v>77.125077784691953</v>
      </c>
      <c r="DG204" s="151">
        <f>INPUT!FT237</f>
        <v>1742.6</v>
      </c>
      <c r="DH204" s="687">
        <f>INPUT!FU237</f>
        <v>22.44238336143902</v>
      </c>
      <c r="DI204" s="151">
        <f>INPUT!FV237</f>
        <v>1907.6</v>
      </c>
      <c r="DJ204" s="687">
        <f>INPUT!FW237</f>
        <v>9.4686101228049999</v>
      </c>
      <c r="DK204" s="151">
        <f>INPUT!FX237</f>
        <v>1926.4</v>
      </c>
      <c r="DL204" s="507">
        <f>INPUT!FY237</f>
        <v>0.98553155797862502</v>
      </c>
      <c r="DM204" s="151">
        <f>INPUT!FZ237</f>
        <v>1964.1</v>
      </c>
      <c r="DN204" s="507">
        <f>INPUT!GA237</f>
        <v>1.9570182724252483</v>
      </c>
      <c r="DO204" s="151">
        <f>INPUT!GB237</f>
        <v>2003.6</v>
      </c>
      <c r="DP204" s="507">
        <f>INPUT!GC237</f>
        <v>2.011099231200042</v>
      </c>
      <c r="DQ204" s="151">
        <f>INPUT!GD237</f>
        <v>2217</v>
      </c>
      <c r="DR204" s="507">
        <f>INPUT!GE237</f>
        <v>10.650828508684373</v>
      </c>
      <c r="DS204" s="151">
        <f>INPUT!GF237</f>
        <v>2232</v>
      </c>
      <c r="DT204" s="507">
        <f>INPUT!GG237</f>
        <v>0.67658998646820123</v>
      </c>
      <c r="DU204" s="151">
        <f>INPUT!GH237</f>
        <v>2916</v>
      </c>
      <c r="DV204" s="507">
        <f>INPUT!GI237</f>
        <v>30.645161290322577</v>
      </c>
      <c r="DW204" s="151">
        <f>INPUT!GJ237</f>
        <v>2759</v>
      </c>
      <c r="DX204" s="507">
        <f>INPUT!GK237</f>
        <v>-5.3840877914951957</v>
      </c>
      <c r="DY204" s="151">
        <f>INPUT!GL237</f>
        <v>2983</v>
      </c>
      <c r="DZ204" s="507">
        <f>INPUT!GM237</f>
        <v>8.1188836534976438</v>
      </c>
      <c r="EA204" s="151">
        <f>INPUT!GN237</f>
        <v>3141</v>
      </c>
      <c r="EB204" s="507">
        <f>INPUT!GO237</f>
        <v>5.2966811934294311</v>
      </c>
      <c r="EC204" s="151">
        <f>INPUT!GP237</f>
        <v>3287.2161600911595</v>
      </c>
      <c r="ED204" s="507">
        <f>INPUT!GQ237</f>
        <v>4.6550830974581237</v>
      </c>
      <c r="EE204" s="151">
        <f>INPUT!GR237</f>
        <v>3400.3949909892317</v>
      </c>
      <c r="EF204" s="507">
        <f>INPUT!GS237</f>
        <v>3.4429993461377206</v>
      </c>
      <c r="EG204" s="151">
        <f>INPUT!GT237</f>
        <v>3506.6724934617437</v>
      </c>
      <c r="EH204" s="507">
        <f>INPUT!GU237</f>
        <v>3.125445801271276</v>
      </c>
      <c r="EI204" s="151">
        <f>INPUT!GV237</f>
        <v>3620.538142127833</v>
      </c>
      <c r="EJ204" s="507">
        <f>INPUT!GW237</f>
        <v>3.2471138630252527</v>
      </c>
      <c r="EK204" s="151">
        <f>INPUT!GX237</f>
        <v>3742.320064411259</v>
      </c>
      <c r="EL204" s="507">
        <f>INPUT!GY237</f>
        <v>3.3636414671729842</v>
      </c>
      <c r="EM204" s="687">
        <f>INPUT!GZ237</f>
        <v>3.5653788833178934</v>
      </c>
    </row>
    <row r="205" spans="1:143" ht="12.75" hidden="1" customHeight="1" outlineLevel="1" x14ac:dyDescent="0.2">
      <c r="A205" s="701" t="str">
        <f>INPUT!B245</f>
        <v>M&amp;E, Surrender, Other/Avg Total Res (%)</v>
      </c>
      <c r="B205" s="464">
        <f>INPUT!AY245</f>
        <v>5.9297973020693551</v>
      </c>
      <c r="C205" s="507">
        <f>INPUT!AZ245</f>
        <v>-4.1835917272922796</v>
      </c>
      <c r="D205" s="464">
        <f>INPUT!BA245</f>
        <v>7.9625622704171475</v>
      </c>
      <c r="E205" s="687">
        <f>INPUT!BB245</f>
        <v>33.621000862987472</v>
      </c>
      <c r="F205" s="464">
        <f>INPUT!BC245</f>
        <v>6.1428098013606496</v>
      </c>
      <c r="G205" s="687">
        <f>INPUT!BD245</f>
        <v>15.24114255445188</v>
      </c>
      <c r="H205" s="464">
        <f>INPUT!BE245</f>
        <v>6.4813611164213327</v>
      </c>
      <c r="I205" s="687">
        <f>INPUT!BF245</f>
        <v>4.2531436521591193</v>
      </c>
      <c r="J205" s="464">
        <f>INPUT!BG245</f>
        <v>5.5338055376690276</v>
      </c>
      <c r="K205" s="687">
        <f>INPUT!BH245</f>
        <v>-6.677998323182754</v>
      </c>
      <c r="L205" s="464">
        <f>INPUT!BI245</f>
        <v>4.7724859339091843</v>
      </c>
      <c r="M205" s="687">
        <f>INPUT!BJ245</f>
        <v>-40.063439734215599</v>
      </c>
      <c r="N205" s="464">
        <f>INPUT!BK245</f>
        <v>5.925972161537981</v>
      </c>
      <c r="O205" s="687">
        <f>INPUT!BL245</f>
        <v>-3.5299422712817607</v>
      </c>
      <c r="P205" s="464">
        <f>INPUT!BM245</f>
        <v>5.6991237813155617</v>
      </c>
      <c r="Q205" s="687">
        <f>INPUT!BN245</f>
        <v>-12.069028727991649</v>
      </c>
      <c r="R205" s="464">
        <f>INPUT!BO245</f>
        <v>5.7615679748532331</v>
      </c>
      <c r="S205" s="687">
        <f>INPUT!BP245</f>
        <v>4.1158373859328634</v>
      </c>
      <c r="T205" s="464">
        <f>INPUT!BQ245</f>
        <v>5.8795269770879539</v>
      </c>
      <c r="U205" s="687">
        <f>INPUT!BR245</f>
        <v>23.19631861695153</v>
      </c>
      <c r="V205" s="464">
        <f>INPUT!BS245</f>
        <v>5.6788829639675731</v>
      </c>
      <c r="W205" s="687">
        <f>INPUT!BT245</f>
        <v>-4.169597676717407</v>
      </c>
      <c r="X205" s="464">
        <f>INPUT!BU245</f>
        <v>6.2752201886438872</v>
      </c>
      <c r="Y205" s="687">
        <f>INPUT!BV245</f>
        <v>10.108508420488139</v>
      </c>
      <c r="Z205" s="464">
        <f>INPUT!BW245</f>
        <v>6.1614216722956989</v>
      </c>
      <c r="AA205" s="122">
        <f>INPUT!BX245</f>
        <v>6.9400152734057086</v>
      </c>
      <c r="AB205" s="464">
        <f>INPUT!BY245</f>
        <v>5.705698184095179</v>
      </c>
      <c r="AC205" s="687">
        <f>INPUT!BZ245</f>
        <v>-2.9565098292800074</v>
      </c>
      <c r="AD205" s="464">
        <f>INPUT!CA245</f>
        <v>6.1318789067287662</v>
      </c>
      <c r="AE205" s="687">
        <f>INPUT!CB245</f>
        <v>7.9768494197792972</v>
      </c>
      <c r="AF205" s="464">
        <f>INPUT!CC245</f>
        <v>5.8062575210589644</v>
      </c>
      <c r="AG205" s="687">
        <f>INPUT!CD245</f>
        <v>-7.473246411872414</v>
      </c>
      <c r="AH205" s="156">
        <f>INPUT!CE245</f>
        <v>5.7722767863776161</v>
      </c>
      <c r="AI205" s="507">
        <f>INPUT!CF245</f>
        <v>-6.3158294727309272</v>
      </c>
      <c r="AJ205" s="156">
        <f>INPUT!CG245</f>
        <v>5.7360639449527682</v>
      </c>
      <c r="AK205" s="507">
        <f>INPUT!CH245</f>
        <v>0.53220061555716569</v>
      </c>
      <c r="AL205" s="156">
        <f>INPUT!CI245</f>
        <v>5.3861432754130671</v>
      </c>
      <c r="AM205" s="507">
        <f>INPUT!CJ245</f>
        <v>-12.161617061572638</v>
      </c>
      <c r="AN205" s="156">
        <f>INPUT!CK245</f>
        <v>6.1696540045635233</v>
      </c>
      <c r="AO205" s="507">
        <f>INPUT!CL245</f>
        <v>6.2587042029489837</v>
      </c>
      <c r="AP205" s="156">
        <f>INPUT!CM245</f>
        <v>5.1546247034546653</v>
      </c>
      <c r="AQ205" s="507">
        <f>INPUT!CN245</f>
        <v>-10.700319921951584</v>
      </c>
      <c r="AR205" s="156">
        <f>INPUT!CO245</f>
        <v>5.8602783355258605</v>
      </c>
      <c r="AS205" s="507">
        <f>INPUT!CP245</f>
        <v>2.165498707216984</v>
      </c>
      <c r="AT205" s="156">
        <f>INPUT!CQ245</f>
        <v>5.5709505240742274</v>
      </c>
      <c r="AU205" s="507">
        <f>INPUT!CR245</f>
        <v>3.4311610221134936</v>
      </c>
      <c r="AV205" s="156">
        <f>INPUT!CS245</f>
        <v>5.6171916784377185</v>
      </c>
      <c r="AW205" s="507">
        <f>INPUT!CT245</f>
        <v>-8.9545106697581982</v>
      </c>
      <c r="AX205" s="156">
        <f>INPUT!CU245</f>
        <v>5.6834937401142058</v>
      </c>
      <c r="AY205" s="507">
        <f>INPUT!CV245</f>
        <v>10.260088116698164</v>
      </c>
      <c r="AZ205" s="156">
        <f>INPUT!CW245</f>
        <v>5.4604975414507431</v>
      </c>
      <c r="BA205" s="507">
        <f>INPUT!CX245</f>
        <v>-6.8218738289543062</v>
      </c>
      <c r="BB205" s="156">
        <f>INPUT!CY245</f>
        <v>6.4734286804468244</v>
      </c>
      <c r="BC205" s="507">
        <f>INPUT!CZ245</f>
        <v>16.199715873846678</v>
      </c>
      <c r="BD205" s="156">
        <f>INPUT!DA245</f>
        <v>5.7717964327811098</v>
      </c>
      <c r="BE205" s="507">
        <f>INPUT!DB245</f>
        <v>2.7523496293861749</v>
      </c>
      <c r="BF205" s="156">
        <f>INPUT!DC245</f>
        <v>5.5245386679553867</v>
      </c>
      <c r="BG205" s="507">
        <f>INPUT!DD245</f>
        <v>-2.7967845031113714</v>
      </c>
      <c r="BH205" s="156">
        <f>INPUT!DE245</f>
        <v>5.4165203871809018</v>
      </c>
      <c r="BI205" s="507">
        <f>INPUT!DF245</f>
        <v>-0.80536899679946039</v>
      </c>
      <c r="BJ205" s="156">
        <f>INPUT!DG245</f>
        <v>5.5476581910777636</v>
      </c>
      <c r="BK205" s="507">
        <f>INPUT!DH245</f>
        <v>-14.301084248682262</v>
      </c>
      <c r="BL205" s="156">
        <f>INPUT!DI245</f>
        <v>5.6925720647675293</v>
      </c>
      <c r="BM205" s="507">
        <f>INPUT!DJ245</f>
        <v>-1.372611957754144</v>
      </c>
      <c r="BN205" s="156">
        <f>INPUT!DK245</f>
        <v>5.5297126881208731</v>
      </c>
      <c r="BO205" s="507">
        <f>INPUT!DL245</f>
        <v>9.3655243930101939E-2</v>
      </c>
      <c r="BP205" s="156">
        <f>INPUT!DM245</f>
        <v>5.560251714097868</v>
      </c>
      <c r="BQ205" s="507">
        <f>INPUT!DN245</f>
        <v>2.6535730809235103</v>
      </c>
      <c r="BR205" s="156">
        <f>INPUT!DO245</f>
        <v>6.104175135009581</v>
      </c>
      <c r="BS205" s="507">
        <f>INPUT!DP245</f>
        <v>10.031565117455465</v>
      </c>
      <c r="BT205" s="156">
        <f>INPUT!DQ245</f>
        <v>9.9811589540921819</v>
      </c>
      <c r="BU205" s="507">
        <f>INPUT!DR245</f>
        <v>75.336541031558951</v>
      </c>
      <c r="BV205" s="156">
        <f>INPUT!DS245</f>
        <v>5.9549301519322935</v>
      </c>
      <c r="BW205" s="507">
        <f>INPUT!DT245</f>
        <v>7.6896845784571788</v>
      </c>
      <c r="BX205" s="156">
        <f>INPUT!DU245</f>
        <v>5.9000493915854699</v>
      </c>
      <c r="BY205" s="507">
        <f>INPUT!DV245</f>
        <v>6.1111923517069178</v>
      </c>
      <c r="BZ205" s="156">
        <f>INPUT!DW245</f>
        <v>8.0698368528533919</v>
      </c>
      <c r="CA205" s="507">
        <f>INPUT!DX245</f>
        <v>-2842.7022755163089</v>
      </c>
      <c r="CB205" s="156">
        <f>INPUT!DY245</f>
        <v>4.8713573555488647</v>
      </c>
      <c r="CC205" s="507" t="str">
        <f>INPUT!DZ245</f>
        <v>NM</v>
      </c>
      <c r="CD205" s="156">
        <f>INPUT!EA245</f>
        <v>6.1293558664329577</v>
      </c>
      <c r="CE205" s="507">
        <f>INPUT!EB245</f>
        <v>2.9290975721027568</v>
      </c>
      <c r="CF205" s="156">
        <f>INPUT!EC245</f>
        <v>6.3708063051729988</v>
      </c>
      <c r="CG205" s="507">
        <f>INPUT!ED245</f>
        <v>7.9788639440699027</v>
      </c>
      <c r="CH205" s="156">
        <f>INPUT!EE245</f>
        <v>6.8274262286238336</v>
      </c>
      <c r="CI205" s="507">
        <f>INPUT!EF245</f>
        <v>-15.395734100748982</v>
      </c>
      <c r="CJ205" s="156">
        <f>INPUT!EG245</f>
        <v>6.5399498235319129</v>
      </c>
      <c r="CK205" s="507">
        <f>INPUT!EH245</f>
        <v>34.253132057380029</v>
      </c>
      <c r="CL205" s="156">
        <f>INPUT!EI245</f>
        <v>6.3985240626015489</v>
      </c>
      <c r="CM205" s="507">
        <f>INPUT!EJ245</f>
        <v>4.3914597558721402</v>
      </c>
      <c r="CN205" s="156">
        <f>INPUT!EK245</f>
        <v>6.4782011423613621</v>
      </c>
      <c r="CO205" s="507">
        <f>INPUT!EL245</f>
        <v>1.6857338309149483</v>
      </c>
      <c r="CP205" s="156">
        <f>INPUT!EM245</f>
        <v>6.253944341523991</v>
      </c>
      <c r="CQ205" s="507">
        <f>INPUT!EN245</f>
        <v>-8.3996789990279588</v>
      </c>
      <c r="CR205" s="156">
        <f>INPUT!EO245</f>
        <v>6.5991571294465423</v>
      </c>
      <c r="CS205" s="507">
        <f>INPUT!EP245</f>
        <v>0.9053174338064629</v>
      </c>
      <c r="CT205" s="156">
        <f>INPUT!EQ245</f>
        <v>6.4</v>
      </c>
      <c r="CU205" s="507">
        <f>INPUT!ER245</f>
        <v>2.306684141548665E-2</v>
      </c>
      <c r="CV205" s="156">
        <f>INPUT!ES245</f>
        <v>6.4</v>
      </c>
      <c r="CW205" s="507">
        <f>INPUT!ET245</f>
        <v>-1.2071428571428511</v>
      </c>
      <c r="CX205" s="156">
        <f>INPUT!EU245</f>
        <v>6.4</v>
      </c>
      <c r="CY205" s="507">
        <f>INPUT!EV245</f>
        <v>2.3354166666666787</v>
      </c>
      <c r="CZ205" s="156">
        <f>INPUT!EW245</f>
        <v>6.4</v>
      </c>
      <c r="DA205" s="507">
        <f>INPUT!EX245</f>
        <v>-3.0179176755448012</v>
      </c>
      <c r="DB205" s="507"/>
      <c r="DC205" s="464">
        <f>INPUT!FP245</f>
        <v>5.7184542025478606</v>
      </c>
      <c r="DD205" s="687" t="str">
        <f>INPUT!FQ245</f>
        <v>NA</v>
      </c>
      <c r="DE205" s="464">
        <f>INPUT!FR245</f>
        <v>7.0210404282084786</v>
      </c>
      <c r="DF205" s="687">
        <f>INPUT!FS245</f>
        <v>22.778642261054571</v>
      </c>
      <c r="DG205" s="464">
        <f>INPUT!FT245</f>
        <v>5.9023167592467143</v>
      </c>
      <c r="DH205" s="687">
        <f>INPUT!FU245</f>
        <v>-15.933873054868918</v>
      </c>
      <c r="DI205" s="464">
        <f>INPUT!FV245</f>
        <v>5.93242213618199</v>
      </c>
      <c r="DJ205" s="687">
        <f>INPUT!FW245</f>
        <v>0.51006034008784784</v>
      </c>
      <c r="DK205" s="156">
        <f>INPUT!FX245</f>
        <v>5.9063036546480259</v>
      </c>
      <c r="DL205" s="507">
        <f>INPUT!FY245</f>
        <v>-0.44026673986442555</v>
      </c>
      <c r="DM205" s="156">
        <f>INPUT!FZ245</f>
        <v>5.7090951370520013</v>
      </c>
      <c r="DN205" s="507">
        <f>INPUT!GA245</f>
        <v>-3.3389498597964806</v>
      </c>
      <c r="DO205" s="156">
        <f>INPUT!GB245</f>
        <v>5.5476028961831849</v>
      </c>
      <c r="DP205" s="507">
        <f>INPUT!GC245</f>
        <v>-2.8286836528740311</v>
      </c>
      <c r="DQ205" s="156">
        <f>INPUT!GD245</f>
        <v>5.8449005417803619</v>
      </c>
      <c r="DR205" s="507">
        <f>INPUT!GE245</f>
        <v>5.3590289564835469</v>
      </c>
      <c r="DS205" s="156">
        <f>INPUT!GF245</f>
        <v>5.5268045066237459</v>
      </c>
      <c r="DT205" s="507">
        <f>INPUT!GG245</f>
        <v>-5.4422831129941507</v>
      </c>
      <c r="DU205" s="156">
        <f>INPUT!GH245</f>
        <v>6.8059283463648033</v>
      </c>
      <c r="DV205" s="507">
        <f>INPUT!GI245</f>
        <v>23.144003704275363</v>
      </c>
      <c r="DW205" s="156">
        <f>INPUT!GJ245</f>
        <v>6.191929619821356</v>
      </c>
      <c r="DX205" s="507">
        <f>INPUT!GK245</f>
        <v>-9.0215279282421115</v>
      </c>
      <c r="DY205" s="156">
        <f>INPUT!GL245</f>
        <v>6.4447829233777316</v>
      </c>
      <c r="DZ205" s="507">
        <f>INPUT!GM245</f>
        <v>4.0835945994436296</v>
      </c>
      <c r="EA205" s="156">
        <f>INPUT!GN245</f>
        <v>6.4120360919446364</v>
      </c>
      <c r="EB205" s="507">
        <f>INPUT!GO245</f>
        <v>-0.50811380030054698</v>
      </c>
      <c r="EC205" s="156">
        <f>INPUT!GP245</f>
        <v>6.3688609645881247</v>
      </c>
      <c r="ED205" s="507">
        <f>INPUT!GQ245</f>
        <v>-0.67334504574533272</v>
      </c>
      <c r="EE205" s="156">
        <f>INPUT!GR245</f>
        <v>6.3688609645881247</v>
      </c>
      <c r="EF205" s="507">
        <f>INPUT!GS245</f>
        <v>0</v>
      </c>
      <c r="EG205" s="156">
        <f>INPUT!GT245</f>
        <v>6.3688609645881247</v>
      </c>
      <c r="EH205" s="507">
        <f>INPUT!GU245</f>
        <v>0</v>
      </c>
      <c r="EI205" s="156">
        <f>INPUT!GV245</f>
        <v>6.3688609645881247</v>
      </c>
      <c r="EJ205" s="507">
        <f>INPUT!GW245</f>
        <v>0</v>
      </c>
      <c r="EK205" s="156">
        <f>INPUT!GX245</f>
        <v>6.3688609645881247</v>
      </c>
      <c r="EL205" s="507">
        <f>INPUT!GY245</f>
        <v>0</v>
      </c>
      <c r="EM205" s="687">
        <f>INPUT!GZ245</f>
        <v>-0.13503319632556243</v>
      </c>
    </row>
    <row r="206" spans="1:143" ht="12.75" hidden="1" customHeight="1" outlineLevel="1" x14ac:dyDescent="0.2">
      <c r="A206" s="701"/>
      <c r="B206" s="464"/>
      <c r="C206" s="507"/>
      <c r="D206" s="464"/>
      <c r="E206" s="687"/>
      <c r="F206" s="464"/>
      <c r="G206" s="687"/>
      <c r="H206" s="464"/>
      <c r="I206" s="687"/>
      <c r="J206" s="464"/>
      <c r="K206" s="687"/>
      <c r="L206" s="464"/>
      <c r="M206" s="687"/>
      <c r="N206" s="464"/>
      <c r="O206" s="687"/>
      <c r="P206" s="464"/>
      <c r="Q206" s="687"/>
      <c r="R206" s="464"/>
      <c r="S206" s="687"/>
      <c r="T206" s="464"/>
      <c r="U206" s="687"/>
      <c r="V206" s="464"/>
      <c r="W206" s="687"/>
      <c r="X206" s="464"/>
      <c r="Y206" s="687"/>
      <c r="Z206" s="464"/>
      <c r="AA206" s="122"/>
      <c r="AB206" s="464"/>
      <c r="AC206" s="687"/>
      <c r="AD206" s="464"/>
      <c r="AE206" s="687"/>
      <c r="AF206" s="464"/>
      <c r="AG206" s="687"/>
      <c r="AH206" s="464"/>
      <c r="AI206" s="507"/>
      <c r="AJ206" s="464"/>
      <c r="AK206" s="507"/>
      <c r="AL206" s="464"/>
      <c r="AM206" s="507"/>
      <c r="AN206" s="464"/>
      <c r="AO206" s="507"/>
      <c r="AP206" s="464"/>
      <c r="AQ206" s="507"/>
      <c r="AR206" s="464"/>
      <c r="AS206" s="507"/>
      <c r="AT206" s="464"/>
      <c r="AU206" s="507"/>
      <c r="AV206" s="464"/>
      <c r="AW206" s="507"/>
      <c r="AX206" s="464"/>
      <c r="AY206" s="507"/>
      <c r="AZ206" s="464"/>
      <c r="BA206" s="507"/>
      <c r="BB206" s="464"/>
      <c r="BC206" s="507"/>
      <c r="BD206" s="464"/>
      <c r="BE206" s="507"/>
      <c r="BF206" s="464"/>
      <c r="BG206" s="507"/>
      <c r="BH206" s="464"/>
      <c r="BI206" s="507"/>
      <c r="BJ206" s="464"/>
      <c r="BK206" s="507"/>
      <c r="BL206" s="464"/>
      <c r="BM206" s="507"/>
      <c r="BN206" s="464"/>
      <c r="BO206" s="507"/>
      <c r="BP206" s="464"/>
      <c r="BQ206" s="507"/>
      <c r="BR206" s="464"/>
      <c r="BS206" s="507"/>
      <c r="BT206" s="464"/>
      <c r="BU206" s="507"/>
      <c r="BV206" s="464"/>
      <c r="BW206" s="507"/>
      <c r="BX206" s="464"/>
      <c r="BY206" s="507"/>
      <c r="BZ206" s="464"/>
      <c r="CA206" s="507"/>
      <c r="CB206" s="464"/>
      <c r="CC206" s="507"/>
      <c r="CD206" s="464"/>
      <c r="CE206" s="507"/>
      <c r="CF206" s="464"/>
      <c r="CG206" s="507"/>
      <c r="CH206" s="464"/>
      <c r="CI206" s="507"/>
      <c r="CJ206" s="464"/>
      <c r="CK206" s="507"/>
      <c r="CL206" s="464"/>
      <c r="CM206" s="507"/>
      <c r="CN206" s="464"/>
      <c r="CO206" s="507"/>
      <c r="CP206" s="464"/>
      <c r="CQ206" s="507"/>
      <c r="CR206" s="464"/>
      <c r="CS206" s="507"/>
      <c r="CT206" s="464"/>
      <c r="CU206" s="507"/>
      <c r="CV206" s="464"/>
      <c r="CW206" s="507"/>
      <c r="CX206" s="464"/>
      <c r="CY206" s="507"/>
      <c r="CZ206" s="464"/>
      <c r="DA206" s="507"/>
      <c r="DB206" s="507"/>
      <c r="DC206" s="464"/>
      <c r="DD206" s="687"/>
      <c r="DE206" s="464"/>
      <c r="DF206" s="687"/>
      <c r="DG206" s="464"/>
      <c r="DH206" s="687"/>
      <c r="DI206" s="464"/>
      <c r="DJ206" s="687"/>
      <c r="DK206" s="464"/>
      <c r="DL206" s="507"/>
      <c r="DM206" s="464"/>
      <c r="DN206" s="507"/>
      <c r="DO206" s="464"/>
      <c r="DP206" s="507"/>
      <c r="DQ206" s="464"/>
      <c r="DR206" s="507"/>
      <c r="DS206" s="464"/>
      <c r="DT206" s="507"/>
      <c r="DU206" s="464"/>
      <c r="DV206" s="507"/>
      <c r="DW206" s="464"/>
      <c r="DX206" s="507"/>
      <c r="DY206" s="464"/>
      <c r="DZ206" s="507"/>
      <c r="EA206" s="464"/>
      <c r="EB206" s="507"/>
      <c r="EC206" s="464"/>
      <c r="ED206" s="507"/>
      <c r="EE206" s="464"/>
      <c r="EF206" s="507"/>
      <c r="EG206" s="464"/>
      <c r="EH206" s="507"/>
      <c r="EI206" s="464"/>
      <c r="EJ206" s="507"/>
      <c r="EK206" s="464"/>
      <c r="EL206" s="507"/>
      <c r="EM206" s="687"/>
    </row>
    <row r="207" spans="1:143" ht="12.75" hidden="1" customHeight="1" outlineLevel="1" x14ac:dyDescent="0.2">
      <c r="A207" s="700" t="s">
        <v>431</v>
      </c>
      <c r="B207" s="16"/>
      <c r="C207" s="507"/>
      <c r="D207" s="16"/>
      <c r="E207" s="687"/>
      <c r="F207" s="16"/>
      <c r="G207" s="687"/>
      <c r="H207" s="16"/>
      <c r="I207" s="687"/>
      <c r="J207" s="16"/>
      <c r="K207" s="687"/>
      <c r="L207" s="16"/>
      <c r="M207" s="687"/>
      <c r="N207" s="16"/>
      <c r="O207" s="687"/>
      <c r="P207" s="16"/>
      <c r="Q207" s="687"/>
      <c r="R207" s="16"/>
      <c r="S207" s="687"/>
      <c r="T207" s="16"/>
      <c r="U207" s="687"/>
      <c r="V207" s="16"/>
      <c r="W207" s="687"/>
      <c r="X207" s="16"/>
      <c r="Y207" s="687"/>
      <c r="Z207" s="16"/>
      <c r="AA207" s="122"/>
      <c r="AB207" s="16"/>
      <c r="AC207" s="687"/>
      <c r="AD207" s="16"/>
      <c r="AE207" s="687"/>
      <c r="AF207" s="16"/>
      <c r="AG207" s="687"/>
      <c r="AH207" s="16"/>
      <c r="AI207" s="507"/>
      <c r="AJ207" s="16"/>
      <c r="AK207" s="507"/>
      <c r="AL207" s="16"/>
      <c r="AM207" s="507"/>
      <c r="AN207" s="16"/>
      <c r="AO207" s="507"/>
      <c r="AP207" s="16"/>
      <c r="AQ207" s="507"/>
      <c r="AR207" s="16"/>
      <c r="AS207" s="507"/>
      <c r="AT207" s="16"/>
      <c r="AU207" s="507"/>
      <c r="AV207" s="16"/>
      <c r="AW207" s="507"/>
      <c r="AX207" s="16"/>
      <c r="AY207" s="507"/>
      <c r="AZ207" s="16"/>
      <c r="BA207" s="507"/>
      <c r="BB207" s="16"/>
      <c r="BC207" s="507"/>
      <c r="BD207" s="16"/>
      <c r="BE207" s="507"/>
      <c r="BF207" s="16"/>
      <c r="BG207" s="507"/>
      <c r="BH207" s="16"/>
      <c r="BI207" s="507"/>
      <c r="BJ207" s="16"/>
      <c r="BK207" s="507"/>
      <c r="BL207" s="16"/>
      <c r="BM207" s="507"/>
      <c r="BN207" s="16"/>
      <c r="BO207" s="507"/>
      <c r="BP207" s="16"/>
      <c r="BQ207" s="507"/>
      <c r="BR207" s="16"/>
      <c r="BS207" s="507"/>
      <c r="BT207" s="16"/>
      <c r="BU207" s="507"/>
      <c r="BV207" s="16"/>
      <c r="BW207" s="507"/>
      <c r="BX207" s="16"/>
      <c r="BY207" s="507"/>
      <c r="BZ207" s="16"/>
      <c r="CA207" s="507"/>
      <c r="CB207" s="16"/>
      <c r="CC207" s="507"/>
      <c r="CD207" s="16"/>
      <c r="CE207" s="507"/>
      <c r="CF207" s="16"/>
      <c r="CG207" s="507"/>
      <c r="CH207" s="16"/>
      <c r="CI207" s="507"/>
      <c r="CJ207" s="16"/>
      <c r="CK207" s="507"/>
      <c r="CL207" s="16"/>
      <c r="CM207" s="507"/>
      <c r="CN207" s="16"/>
      <c r="CO207" s="507"/>
      <c r="CP207" s="16"/>
      <c r="CQ207" s="507"/>
      <c r="CR207" s="16"/>
      <c r="CS207" s="507"/>
      <c r="CT207" s="16"/>
      <c r="CU207" s="507"/>
      <c r="CV207" s="16"/>
      <c r="CW207" s="507"/>
      <c r="CX207" s="16"/>
      <c r="CY207" s="507"/>
      <c r="CZ207" s="16"/>
      <c r="DA207" s="507"/>
      <c r="DB207" s="507"/>
      <c r="DC207" s="16"/>
      <c r="DD207" s="687"/>
      <c r="DE207" s="16"/>
      <c r="DF207" s="687"/>
      <c r="DG207" s="16"/>
      <c r="DH207" s="687"/>
      <c r="DI207" s="16"/>
      <c r="DJ207" s="687"/>
      <c r="DK207" s="16"/>
      <c r="DL207" s="507"/>
      <c r="DM207" s="16"/>
      <c r="DN207" s="507"/>
      <c r="DO207" s="16"/>
      <c r="DP207" s="507"/>
      <c r="DQ207" s="16"/>
      <c r="DR207" s="507"/>
      <c r="DS207" s="16"/>
      <c r="DT207" s="507"/>
      <c r="DU207" s="16"/>
      <c r="DV207" s="507"/>
      <c r="DW207" s="16"/>
      <c r="DX207" s="507"/>
      <c r="DY207" s="16"/>
      <c r="DZ207" s="507"/>
      <c r="EA207" s="16"/>
      <c r="EB207" s="507"/>
      <c r="EC207" s="16"/>
      <c r="ED207" s="507"/>
      <c r="EE207" s="16"/>
      <c r="EF207" s="507"/>
      <c r="EG207" s="16"/>
      <c r="EH207" s="507"/>
      <c r="EI207" s="16"/>
      <c r="EJ207" s="507"/>
      <c r="EK207" s="16"/>
      <c r="EL207" s="507"/>
      <c r="EM207" s="687"/>
    </row>
    <row r="208" spans="1:143" ht="12.75" hidden="1" customHeight="1" outlineLevel="1" x14ac:dyDescent="0.2">
      <c r="A208" s="701" t="str">
        <f>INPUT!B251</f>
        <v>Net Investment Income (%)</v>
      </c>
      <c r="B208" s="464">
        <f>INPUT!AY251</f>
        <v>6.48</v>
      </c>
      <c r="C208" s="507">
        <f>INPUT!AZ251</f>
        <v>2.5316455696202445</v>
      </c>
      <c r="D208" s="464">
        <f>INPUT!BA251</f>
        <v>6.22</v>
      </c>
      <c r="E208" s="687">
        <f>INPUT!BB251</f>
        <v>-2.0472440944881876</v>
      </c>
      <c r="F208" s="464">
        <f>INPUT!BC251</f>
        <v>6.0839999999999996</v>
      </c>
      <c r="G208" s="687">
        <f>INPUT!BD251</f>
        <v>-4.1889763779527573</v>
      </c>
      <c r="H208" s="464">
        <f>INPUT!BE251</f>
        <v>6.44</v>
      </c>
      <c r="I208" s="687">
        <f>INPUT!BF251</f>
        <v>2.8753993610223683</v>
      </c>
      <c r="J208" s="464">
        <f>INPUT!BG251</f>
        <v>6.48</v>
      </c>
      <c r="K208" s="687">
        <f>INPUT!BH251</f>
        <v>0</v>
      </c>
      <c r="L208" s="464">
        <f>INPUT!BI251</f>
        <v>6.99</v>
      </c>
      <c r="M208" s="687">
        <f>INPUT!BJ251</f>
        <v>12.37942122186495</v>
      </c>
      <c r="N208" s="464">
        <f>INPUT!BK251</f>
        <v>6.08</v>
      </c>
      <c r="O208" s="687">
        <f>INPUT!BL251</f>
        <v>-6.5746219592366373E-2</v>
      </c>
      <c r="P208" s="464">
        <f>INPUT!BM251</f>
        <v>6.26</v>
      </c>
      <c r="Q208" s="687">
        <f>INPUT!BN251</f>
        <v>-2.7950310559006319</v>
      </c>
      <c r="R208" s="464">
        <f>INPUT!BO251</f>
        <v>6.04</v>
      </c>
      <c r="S208" s="687">
        <f>INPUT!BP251</f>
        <v>-6.7901234567901314</v>
      </c>
      <c r="T208" s="464">
        <f>INPUT!BQ251</f>
        <v>6.24</v>
      </c>
      <c r="U208" s="687">
        <f>INPUT!BR251</f>
        <v>-10.729613733905573</v>
      </c>
      <c r="V208" s="464">
        <f>INPUT!BS251</f>
        <v>6.25</v>
      </c>
      <c r="W208" s="687">
        <f>INPUT!BT251</f>
        <v>2.796052631578938</v>
      </c>
      <c r="X208" s="464">
        <f>INPUT!BU251</f>
        <v>5.22</v>
      </c>
      <c r="Y208" s="687">
        <f>INPUT!BV251</f>
        <v>-16.613418530351442</v>
      </c>
      <c r="Z208" s="464">
        <f>INPUT!BW251</f>
        <v>5.77</v>
      </c>
      <c r="AA208" s="122">
        <f>INPUT!BX251</f>
        <v>-4.4701986754966949</v>
      </c>
      <c r="AB208" s="464">
        <f>INPUT!BY251</f>
        <v>5.38</v>
      </c>
      <c r="AC208" s="687">
        <f>INPUT!BZ251</f>
        <v>-13.782051282051288</v>
      </c>
      <c r="AD208" s="464">
        <f>INPUT!CA251</f>
        <v>5.72</v>
      </c>
      <c r="AE208" s="687">
        <f>INPUT!CB251</f>
        <v>-8.4799999999999986</v>
      </c>
      <c r="AF208" s="464">
        <f>INPUT!CC251</f>
        <v>6</v>
      </c>
      <c r="AG208" s="687">
        <f>INPUT!CD251</f>
        <v>14.942528735632198</v>
      </c>
      <c r="AH208" s="717">
        <f>INPUT!CE251</f>
        <v>6.05</v>
      </c>
      <c r="AI208" s="761">
        <f>INPUT!CF251</f>
        <v>4.8526863084922045</v>
      </c>
      <c r="AJ208" s="717">
        <f>INPUT!CG251</f>
        <v>6.17</v>
      </c>
      <c r="AK208" s="761">
        <f>INPUT!CH251</f>
        <v>14.684014869888484</v>
      </c>
      <c r="AL208" s="717">
        <f>INPUT!CI251</f>
        <v>6.07</v>
      </c>
      <c r="AM208" s="761">
        <f>INPUT!CJ251</f>
        <v>6.1188811188811254</v>
      </c>
      <c r="AN208" s="717">
        <f>INPUT!CK251</f>
        <v>6.23</v>
      </c>
      <c r="AO208" s="761">
        <f>INPUT!CL251</f>
        <v>3.833333333333333</v>
      </c>
      <c r="AP208" s="717">
        <f>INPUT!CM251</f>
        <v>6.27</v>
      </c>
      <c r="AQ208" s="761">
        <f>INPUT!CN251</f>
        <v>3.6363636363636376</v>
      </c>
      <c r="AR208" s="717">
        <f>INPUT!CO251</f>
        <v>6.25</v>
      </c>
      <c r="AS208" s="761">
        <f>INPUT!CP251</f>
        <v>1.296596434359798</v>
      </c>
      <c r="AT208" s="717">
        <f>INPUT!CQ251</f>
        <v>5.96</v>
      </c>
      <c r="AU208" s="761">
        <f>INPUT!CR251</f>
        <v>-1.8121911037891292</v>
      </c>
      <c r="AV208" s="717">
        <f>INPUT!CS251</f>
        <v>5.74</v>
      </c>
      <c r="AW208" s="761">
        <f>INPUT!CT251</f>
        <v>-7.8651685393258504</v>
      </c>
      <c r="AX208" s="717">
        <f>INPUT!CU251</f>
        <v>5.96</v>
      </c>
      <c r="AY208" s="761">
        <f>INPUT!CV251</f>
        <v>-4.9441786283891513</v>
      </c>
      <c r="AZ208" s="717">
        <f>INPUT!CW251</f>
        <v>6.02</v>
      </c>
      <c r="BA208" s="761">
        <f>INPUT!CX251</f>
        <v>-3.6800000000000055</v>
      </c>
      <c r="BB208" s="717">
        <f>INPUT!CY251</f>
        <v>5.7</v>
      </c>
      <c r="BC208" s="761">
        <f>INPUT!CZ251</f>
        <v>-4.3624161073825496</v>
      </c>
      <c r="BD208" s="717">
        <f>INPUT!DA251</f>
        <v>6.07</v>
      </c>
      <c r="BE208" s="761">
        <f>INPUT!DB251</f>
        <v>5.7491289198606355</v>
      </c>
      <c r="BF208" s="717">
        <f>INPUT!DC251</f>
        <v>5.63</v>
      </c>
      <c r="BG208" s="761">
        <f>INPUT!DD251</f>
        <v>-5.5369127516778587</v>
      </c>
      <c r="BH208" s="717">
        <f>INPUT!DE251</f>
        <v>5.9</v>
      </c>
      <c r="BI208" s="761">
        <f>INPUT!DF251</f>
        <v>-1.9933554817275656</v>
      </c>
      <c r="BJ208" s="717">
        <f>INPUT!DG251</f>
        <v>5.76</v>
      </c>
      <c r="BK208" s="761">
        <f>INPUT!DH251</f>
        <v>1.0526315789473717</v>
      </c>
      <c r="BL208" s="717">
        <f>INPUT!DI251</f>
        <v>5.77</v>
      </c>
      <c r="BM208" s="761">
        <f>INPUT!DJ251</f>
        <v>-4.9423393739703609</v>
      </c>
      <c r="BN208" s="717">
        <f>INPUT!DK251</f>
        <v>5.68</v>
      </c>
      <c r="BO208" s="761">
        <f>INPUT!DL251</f>
        <v>0.88809946714032417</v>
      </c>
      <c r="BP208" s="717">
        <f>INPUT!DM251</f>
        <v>5.72</v>
      </c>
      <c r="BQ208" s="761">
        <f>INPUT!DN251</f>
        <v>-3.0508474576271261</v>
      </c>
      <c r="BR208" s="717">
        <f>INPUT!DO251</f>
        <v>5.74</v>
      </c>
      <c r="BS208" s="761">
        <f>INPUT!DP251</f>
        <v>-0.34722222222220989</v>
      </c>
      <c r="BT208" s="717">
        <f>INPUT!DQ251</f>
        <v>5.72</v>
      </c>
      <c r="BU208" s="761">
        <f>INPUT!DR251</f>
        <v>-0.86655112651645716</v>
      </c>
      <c r="BV208" s="717">
        <f>INPUT!DS251</f>
        <v>5.55</v>
      </c>
      <c r="BW208" s="761">
        <f>INPUT!DT251</f>
        <v>-2.2887323943661997</v>
      </c>
      <c r="BX208" s="717">
        <f>INPUT!DU251</f>
        <v>5.5</v>
      </c>
      <c r="BY208" s="761">
        <f>INPUT!DV251</f>
        <v>-3.8461538461538436</v>
      </c>
      <c r="BZ208" s="717">
        <f>INPUT!DW251</f>
        <v>5.75</v>
      </c>
      <c r="CA208" s="761">
        <f>INPUT!DX251</f>
        <v>5.8</v>
      </c>
      <c r="CB208" s="717">
        <f>INPUT!DY251</f>
        <v>5.41</v>
      </c>
      <c r="CC208" s="761">
        <f>INPUT!DZ251</f>
        <v>-5.4195804195804165</v>
      </c>
      <c r="CD208" s="717">
        <f>INPUT!EA251</f>
        <v>5.24</v>
      </c>
      <c r="CE208" s="761">
        <f>INPUT!EB251</f>
        <v>-5.5855855855855836</v>
      </c>
      <c r="CF208" s="717">
        <f>INPUT!EC251</f>
        <v>5.39</v>
      </c>
      <c r="CG208" s="761">
        <f>INPUT!ED251</f>
        <v>-2.0000000000000018</v>
      </c>
      <c r="CH208" s="717">
        <f>INPUT!EE251</f>
        <v>5.64</v>
      </c>
      <c r="CI208" s="761">
        <f>INPUT!EF251</f>
        <v>-1.9130434782608785</v>
      </c>
      <c r="CJ208" s="717">
        <f>INPUT!EG251</f>
        <v>5.48</v>
      </c>
      <c r="CK208" s="761">
        <f>INPUT!EH251</f>
        <v>1.2939001848428777</v>
      </c>
      <c r="CL208" s="717">
        <f>INPUT!EI251</f>
        <v>5.45</v>
      </c>
      <c r="CM208" s="761">
        <f>INPUT!EJ251</f>
        <v>4.0076335877862634</v>
      </c>
      <c r="CN208" s="717">
        <f>INPUT!EK251</f>
        <v>5.49</v>
      </c>
      <c r="CO208" s="761">
        <f>INPUT!EL251</f>
        <v>1.855287569573294</v>
      </c>
      <c r="CP208" s="717">
        <f>INPUT!EM251</f>
        <v>5.33</v>
      </c>
      <c r="CQ208" s="761">
        <f>INPUT!EN251</f>
        <v>-5.4964539007092084</v>
      </c>
      <c r="CR208" s="717">
        <f>INPUT!EO251</f>
        <v>5.33</v>
      </c>
      <c r="CS208" s="761">
        <f>INPUT!EP251</f>
        <v>-2.7372262773722733</v>
      </c>
      <c r="CT208" s="717">
        <f>INPUT!EQ251</f>
        <v>0</v>
      </c>
      <c r="CU208" s="761" t="str">
        <f>INPUT!ER251</f>
        <v>NM</v>
      </c>
      <c r="CV208" s="717">
        <f>INPUT!ES251</f>
        <v>0</v>
      </c>
      <c r="CW208" s="761" t="str">
        <f>INPUT!ET251</f>
        <v>NM</v>
      </c>
      <c r="CX208" s="717">
        <f>INPUT!EU251</f>
        <v>0</v>
      </c>
      <c r="CY208" s="761" t="str">
        <f>INPUT!EV251</f>
        <v>NM</v>
      </c>
      <c r="CZ208" s="717">
        <f>INPUT!EW251</f>
        <v>0</v>
      </c>
      <c r="DA208" s="761" t="str">
        <f>INPUT!EX251</f>
        <v>NM</v>
      </c>
      <c r="DB208" s="507"/>
      <c r="DC208" s="464">
        <f>INPUT!FP251</f>
        <v>6.32</v>
      </c>
      <c r="DD208" s="687">
        <f>INPUT!FQ251</f>
        <v>-0.3154574132492094</v>
      </c>
      <c r="DE208" s="464">
        <f>INPUT!FR251</f>
        <v>6.306</v>
      </c>
      <c r="DF208" s="687">
        <f>INPUT!FS251</f>
        <v>-0.22151898734177333</v>
      </c>
      <c r="DG208" s="464">
        <f>INPUT!FT251</f>
        <v>6.4525000000000006</v>
      </c>
      <c r="DH208" s="687">
        <f>INPUT!FU251</f>
        <v>2.323184268950218</v>
      </c>
      <c r="DI208" s="464">
        <f>INPUT!FV251</f>
        <v>5.9375</v>
      </c>
      <c r="DJ208" s="687">
        <f>INPUT!FW251</f>
        <v>-7.9814025571483977</v>
      </c>
      <c r="DK208" s="717">
        <f>INPUT!FX251</f>
        <v>5.7174999999999994</v>
      </c>
      <c r="DL208" s="761">
        <f>INPUT!FY251</f>
        <v>-3.7052631578947448</v>
      </c>
      <c r="DM208" s="717">
        <f>INPUT!FZ251</f>
        <v>6.13</v>
      </c>
      <c r="DN208" s="761">
        <f>INPUT!GA251</f>
        <v>7.2146917358985707</v>
      </c>
      <c r="DO208" s="717">
        <f>INPUT!GB251</f>
        <v>6.0549999999999997</v>
      </c>
      <c r="DP208" s="761">
        <f>INPUT!GC251</f>
        <v>-1.2234910277324706</v>
      </c>
      <c r="DQ208" s="717">
        <f>INPUT!GD251</f>
        <v>0</v>
      </c>
      <c r="DR208" s="761">
        <f>INPUT!GE251</f>
        <v>0</v>
      </c>
      <c r="DS208" s="717">
        <f>INPUT!GF251</f>
        <v>0</v>
      </c>
      <c r="DT208" s="761">
        <f>INPUT!GG251</f>
        <v>0</v>
      </c>
      <c r="DU208" s="717">
        <f>INPUT!GH251</f>
        <v>0</v>
      </c>
      <c r="DV208" s="761">
        <f>INPUT!GI251</f>
        <v>0</v>
      </c>
      <c r="DW208" s="717">
        <f>INPUT!GJ251</f>
        <v>0</v>
      </c>
      <c r="DX208" s="761">
        <f>INPUT!GK251</f>
        <v>0</v>
      </c>
      <c r="DY208" s="717">
        <f>INPUT!GL251</f>
        <v>0</v>
      </c>
      <c r="DZ208" s="761">
        <f>INPUT!GM251</f>
        <v>0</v>
      </c>
      <c r="EA208" s="717">
        <f>INPUT!GN251</f>
        <v>0</v>
      </c>
      <c r="EB208" s="761">
        <f>INPUT!GO251</f>
        <v>0</v>
      </c>
      <c r="EC208" s="717">
        <f>INPUT!GP251</f>
        <v>0</v>
      </c>
      <c r="ED208" s="761">
        <f>INPUT!GQ251</f>
        <v>0</v>
      </c>
      <c r="EE208" s="717">
        <f>INPUT!GR251</f>
        <v>0</v>
      </c>
      <c r="EF208" s="761">
        <f>INPUT!GS251</f>
        <v>0</v>
      </c>
      <c r="EG208" s="717">
        <f>INPUT!GT251</f>
        <v>0</v>
      </c>
      <c r="EH208" s="761">
        <f>INPUT!GU251</f>
        <v>0</v>
      </c>
      <c r="EI208" s="717">
        <f>INPUT!GV251</f>
        <v>0</v>
      </c>
      <c r="EJ208" s="761">
        <f>INPUT!GW251</f>
        <v>0</v>
      </c>
      <c r="EK208" s="717">
        <f>INPUT!GX251</f>
        <v>0</v>
      </c>
      <c r="EL208" s="761">
        <f>INPUT!GY251</f>
        <v>0</v>
      </c>
      <c r="EM208" s="687">
        <f>INPUT!GZ251</f>
        <v>0</v>
      </c>
    </row>
    <row r="209" spans="1:143" ht="12.75" hidden="1" customHeight="1" outlineLevel="1" x14ac:dyDescent="0.2">
      <c r="A209" s="701" t="str">
        <f>INPUT!B252</f>
        <v>Interest Credited to Policyholders (%)</v>
      </c>
      <c r="B209" s="464">
        <f>INPUT!AY252</f>
        <v>4.5999999999999996</v>
      </c>
      <c r="C209" s="507">
        <f>INPUT!AZ252</f>
        <v>-3.1578947368421151</v>
      </c>
      <c r="D209" s="464">
        <f>INPUT!BA252</f>
        <v>4.46</v>
      </c>
      <c r="E209" s="687">
        <f>INPUT!BB252</f>
        <v>-4.0860215053763476</v>
      </c>
      <c r="F209" s="464">
        <f>INPUT!BC252</f>
        <v>4.516</v>
      </c>
      <c r="G209" s="687">
        <f>INPUT!BD252</f>
        <v>-3.9148936170212756</v>
      </c>
      <c r="H209" s="464">
        <f>INPUT!BE252</f>
        <v>4.5199999999999996</v>
      </c>
      <c r="I209" s="687">
        <f>INPUT!BF252</f>
        <v>-3.0042918454935785</v>
      </c>
      <c r="J209" s="464">
        <f>INPUT!BG252</f>
        <v>4.46</v>
      </c>
      <c r="K209" s="687">
        <f>INPUT!BH252</f>
        <v>-3.0434782608695587</v>
      </c>
      <c r="L209" s="464">
        <f>INPUT!BI252</f>
        <v>4.45</v>
      </c>
      <c r="M209" s="687">
        <f>INPUT!BJ252</f>
        <v>-0.22421524663677195</v>
      </c>
      <c r="N209" s="464">
        <f>INPUT!BK252</f>
        <v>4.43</v>
      </c>
      <c r="O209" s="687">
        <f>INPUT!BL252</f>
        <v>-1.9043401240035451</v>
      </c>
      <c r="P209" s="464">
        <f>INPUT!BM252</f>
        <v>4.43</v>
      </c>
      <c r="Q209" s="687">
        <f>INPUT!BN252</f>
        <v>-1.9911504424778736</v>
      </c>
      <c r="R209" s="464">
        <f>INPUT!BO252</f>
        <v>4.37</v>
      </c>
      <c r="S209" s="687">
        <f>INPUT!BP252</f>
        <v>-2.0179372197309364</v>
      </c>
      <c r="T209" s="464">
        <f>INPUT!BQ252</f>
        <v>4.3600000000000003</v>
      </c>
      <c r="U209" s="687">
        <f>INPUT!BR252</f>
        <v>-2.0224719101123556</v>
      </c>
      <c r="V209" s="464">
        <f>INPUT!BS252</f>
        <v>4.3499999999999996</v>
      </c>
      <c r="W209" s="687">
        <f>INPUT!BT252</f>
        <v>-1.8058690744921058</v>
      </c>
      <c r="X209" s="464">
        <f>INPUT!BU252</f>
        <v>4.25</v>
      </c>
      <c r="Y209" s="687">
        <f>INPUT!BV252</f>
        <v>-4.0632054176072181</v>
      </c>
      <c r="Z209" s="464">
        <f>INPUT!BW252</f>
        <v>4.25</v>
      </c>
      <c r="AA209" s="122">
        <f>INPUT!BX252</f>
        <v>-2.7459954233409634</v>
      </c>
      <c r="AB209" s="464">
        <f>INPUT!BY252</f>
        <v>4.2</v>
      </c>
      <c r="AC209" s="687">
        <f>INPUT!BZ252</f>
        <v>-3.669724770642202</v>
      </c>
      <c r="AD209" s="464">
        <f>INPUT!CA252</f>
        <v>4.22</v>
      </c>
      <c r="AE209" s="687">
        <f>INPUT!CB252</f>
        <v>-2.9885057471264354</v>
      </c>
      <c r="AF209" s="464">
        <f>INPUT!CC252</f>
        <v>4.25</v>
      </c>
      <c r="AG209" s="687">
        <f>INPUT!CD252</f>
        <v>0</v>
      </c>
      <c r="AH209" s="717">
        <f>INPUT!CE252</f>
        <v>4.18</v>
      </c>
      <c r="AI209" s="761">
        <f>INPUT!CF252</f>
        <v>-1.6470588235294237</v>
      </c>
      <c r="AJ209" s="717">
        <f>INPUT!CG252</f>
        <v>4.18</v>
      </c>
      <c r="AK209" s="761">
        <f>INPUT!CH252</f>
        <v>-0.4761904761904856</v>
      </c>
      <c r="AL209" s="717">
        <f>INPUT!CI252</f>
        <v>4.1500000000000004</v>
      </c>
      <c r="AM209" s="761">
        <f>INPUT!CJ252</f>
        <v>-1.6587677725118377</v>
      </c>
      <c r="AN209" s="717">
        <f>INPUT!CK252</f>
        <v>4.1399999999999997</v>
      </c>
      <c r="AO209" s="761">
        <f>INPUT!CL252</f>
        <v>-2.5882352941176578</v>
      </c>
      <c r="AP209" s="717">
        <f>INPUT!CM252</f>
        <v>4.09</v>
      </c>
      <c r="AQ209" s="761">
        <f>INPUT!CN252</f>
        <v>-2.1531100478468845</v>
      </c>
      <c r="AR209" s="717">
        <f>INPUT!CO252</f>
        <v>4.09</v>
      </c>
      <c r="AS209" s="761">
        <f>INPUT!CP252</f>
        <v>-2.1531100478468845</v>
      </c>
      <c r="AT209" s="717">
        <f>INPUT!CQ252</f>
        <v>4.0999999999999996</v>
      </c>
      <c r="AU209" s="761">
        <f>INPUT!CR252</f>
        <v>-1.2048192771084487</v>
      </c>
      <c r="AV209" s="717">
        <f>INPUT!CS252</f>
        <v>3.99</v>
      </c>
      <c r="AW209" s="761">
        <f>INPUT!CT252</f>
        <v>-3.6231884057970842</v>
      </c>
      <c r="AX209" s="717">
        <f>INPUT!CU252</f>
        <v>3.97</v>
      </c>
      <c r="AY209" s="761">
        <f>INPUT!CV252</f>
        <v>-2.9339853300733409</v>
      </c>
      <c r="AZ209" s="717">
        <f>INPUT!CW252</f>
        <v>3.93</v>
      </c>
      <c r="BA209" s="761">
        <f>INPUT!CX252</f>
        <v>-3.9119804400977953</v>
      </c>
      <c r="BB209" s="717">
        <f>INPUT!CY252</f>
        <v>3.94</v>
      </c>
      <c r="BC209" s="761">
        <f>INPUT!CZ252</f>
        <v>-3.9024390243902363</v>
      </c>
      <c r="BD209" s="717">
        <f>INPUT!DA252</f>
        <v>3.99</v>
      </c>
      <c r="BE209" s="761">
        <f>INPUT!DB252</f>
        <v>0</v>
      </c>
      <c r="BF209" s="717">
        <f>INPUT!DC252</f>
        <v>3.92</v>
      </c>
      <c r="BG209" s="761">
        <f>INPUT!DD252</f>
        <v>-1.2594458438287215</v>
      </c>
      <c r="BH209" s="717">
        <f>INPUT!DE252</f>
        <v>3.92</v>
      </c>
      <c r="BI209" s="761">
        <f>INPUT!DF252</f>
        <v>-0.25445292620865922</v>
      </c>
      <c r="BJ209" s="717">
        <f>INPUT!DG252</f>
        <v>3.93</v>
      </c>
      <c r="BK209" s="761">
        <f>INPUT!DH252</f>
        <v>-0.25380710659897998</v>
      </c>
      <c r="BL209" s="717">
        <f>INPUT!DI252</f>
        <v>3.96</v>
      </c>
      <c r="BM209" s="761">
        <f>INPUT!DJ252</f>
        <v>-0.75187969924812581</v>
      </c>
      <c r="BN209" s="717">
        <f>INPUT!DK252</f>
        <v>3.94</v>
      </c>
      <c r="BO209" s="761">
        <f>INPUT!DL252</f>
        <v>0.51020408163264808</v>
      </c>
      <c r="BP209" s="717">
        <f>INPUT!DM252</f>
        <v>3.96</v>
      </c>
      <c r="BQ209" s="761">
        <f>INPUT!DN252</f>
        <v>1.0204081632652962</v>
      </c>
      <c r="BR209" s="717">
        <f>INPUT!DO252</f>
        <v>3.94</v>
      </c>
      <c r="BS209" s="761">
        <f>INPUT!DP252</f>
        <v>0.25445292620864812</v>
      </c>
      <c r="BT209" s="717">
        <f>INPUT!DQ252</f>
        <v>3.96</v>
      </c>
      <c r="BU209" s="761">
        <f>INPUT!DR252</f>
        <v>0</v>
      </c>
      <c r="BV209" s="717">
        <f>INPUT!DS252</f>
        <v>3.88</v>
      </c>
      <c r="BW209" s="761">
        <f>INPUT!DT252</f>
        <v>-1.5228426395939132</v>
      </c>
      <c r="BX209" s="717">
        <f>INPUT!DU252</f>
        <v>3.97</v>
      </c>
      <c r="BY209" s="761">
        <f>INPUT!DV252</f>
        <v>0.2525252525252597</v>
      </c>
      <c r="BZ209" s="717">
        <f>INPUT!DW252</f>
        <v>3.92</v>
      </c>
      <c r="CA209" s="761">
        <f>INPUT!DX252</f>
        <v>3.92</v>
      </c>
      <c r="CB209" s="717">
        <f>INPUT!DY252</f>
        <v>3.97</v>
      </c>
      <c r="CC209" s="761">
        <f>INPUT!DZ252</f>
        <v>0.2525252525252597</v>
      </c>
      <c r="CD209" s="717">
        <f>INPUT!EA252</f>
        <v>3.92</v>
      </c>
      <c r="CE209" s="761">
        <f>INPUT!EB252</f>
        <v>1.0309278350515427</v>
      </c>
      <c r="CF209" s="717">
        <f>INPUT!EC252</f>
        <v>3.92</v>
      </c>
      <c r="CG209" s="761">
        <f>INPUT!ED252</f>
        <v>-1.2594458438287215</v>
      </c>
      <c r="CH209" s="717">
        <f>INPUT!EE252</f>
        <v>3.89</v>
      </c>
      <c r="CI209" s="761">
        <f>INPUT!EF252</f>
        <v>-0.76530612244897211</v>
      </c>
      <c r="CJ209" s="717">
        <f>INPUT!EG252</f>
        <v>3.85</v>
      </c>
      <c r="CK209" s="761">
        <f>INPUT!EH252</f>
        <v>-3.0226700251889227</v>
      </c>
      <c r="CL209" s="717">
        <f>INPUT!EI252</f>
        <v>3.85</v>
      </c>
      <c r="CM209" s="761">
        <f>INPUT!EJ252</f>
        <v>-1.7857142857142794</v>
      </c>
      <c r="CN209" s="717">
        <f>INPUT!EK252</f>
        <v>3.82</v>
      </c>
      <c r="CO209" s="761">
        <f>INPUT!EL252</f>
        <v>-2.5510204081632626</v>
      </c>
      <c r="CP209" s="717">
        <f>INPUT!EM252</f>
        <v>3.83</v>
      </c>
      <c r="CQ209" s="761">
        <f>INPUT!EN252</f>
        <v>-1.5424164524421635</v>
      </c>
      <c r="CR209" s="717">
        <f>INPUT!EO252</f>
        <v>3.87</v>
      </c>
      <c r="CS209" s="761">
        <f>INPUT!EP252</f>
        <v>0.51948051948051965</v>
      </c>
      <c r="CT209" s="717">
        <f>INPUT!EQ252</f>
        <v>0</v>
      </c>
      <c r="CU209" s="761" t="str">
        <f>INPUT!ER252</f>
        <v>NM</v>
      </c>
      <c r="CV209" s="717">
        <f>INPUT!ES252</f>
        <v>0</v>
      </c>
      <c r="CW209" s="761" t="str">
        <f>INPUT!ET252</f>
        <v>NM</v>
      </c>
      <c r="CX209" s="717">
        <f>INPUT!EU252</f>
        <v>0</v>
      </c>
      <c r="CY209" s="761" t="str">
        <f>INPUT!EV252</f>
        <v>NM</v>
      </c>
      <c r="CZ209" s="717">
        <f>INPUT!EW252</f>
        <v>0</v>
      </c>
      <c r="DA209" s="761" t="str">
        <f>INPUT!EX252</f>
        <v>NM</v>
      </c>
      <c r="DB209" s="507"/>
      <c r="DC209" s="464">
        <f>INPUT!FP252</f>
        <v>4.6900000000000004</v>
      </c>
      <c r="DD209" s="687">
        <f>INPUT!FQ252</f>
        <v>-0.21276595744680327</v>
      </c>
      <c r="DE209" s="464">
        <f>INPUT!FR252</f>
        <v>4.5239999999999991</v>
      </c>
      <c r="DF209" s="687">
        <f>INPUT!FS252</f>
        <v>-3.5394456289978948</v>
      </c>
      <c r="DG209" s="464">
        <f>INPUT!FT252</f>
        <v>4.4424999999999999</v>
      </c>
      <c r="DH209" s="687">
        <f>INPUT!FU252</f>
        <v>-1.8015030946065269</v>
      </c>
      <c r="DI209" s="464">
        <f>INPUT!FV252</f>
        <v>4.3324999999999996</v>
      </c>
      <c r="DJ209" s="687">
        <f>INPUT!FW252</f>
        <v>-2.4760832864378246</v>
      </c>
      <c r="DK209" s="717">
        <f>INPUT!FX252</f>
        <v>4.2299999999999995</v>
      </c>
      <c r="DL209" s="761">
        <f>INPUT!FY252</f>
        <v>-2.3658395845354896</v>
      </c>
      <c r="DM209" s="717">
        <f>INPUT!FZ252</f>
        <v>4.1624999999999996</v>
      </c>
      <c r="DN209" s="761">
        <f>INPUT!GA252</f>
        <v>-1.5957446808510634</v>
      </c>
      <c r="DO209" s="717">
        <f>INPUT!GB252</f>
        <v>4.0674999999999999</v>
      </c>
      <c r="DP209" s="761">
        <f>INPUT!GC252</f>
        <v>-2.2822822822822775</v>
      </c>
      <c r="DQ209" s="717">
        <f>INPUT!GD252</f>
        <v>0</v>
      </c>
      <c r="DR209" s="761">
        <f>INPUT!GE252</f>
        <v>0</v>
      </c>
      <c r="DS209" s="717">
        <f>INPUT!GF252</f>
        <v>0</v>
      </c>
      <c r="DT209" s="761">
        <f>INPUT!GG252</f>
        <v>0</v>
      </c>
      <c r="DU209" s="717">
        <f>INPUT!GH252</f>
        <v>0</v>
      </c>
      <c r="DV209" s="761">
        <f>INPUT!GI252</f>
        <v>0</v>
      </c>
      <c r="DW209" s="717">
        <f>INPUT!GJ252</f>
        <v>0</v>
      </c>
      <c r="DX209" s="761">
        <f>INPUT!GK252</f>
        <v>0</v>
      </c>
      <c r="DY209" s="717">
        <f>INPUT!GL252</f>
        <v>0</v>
      </c>
      <c r="DZ209" s="761">
        <f>INPUT!GM252</f>
        <v>0</v>
      </c>
      <c r="EA209" s="717">
        <f>INPUT!GN252</f>
        <v>0</v>
      </c>
      <c r="EB209" s="761">
        <f>INPUT!GO252</f>
        <v>0</v>
      </c>
      <c r="EC209" s="717">
        <f>INPUT!GP252</f>
        <v>0</v>
      </c>
      <c r="ED209" s="761">
        <f>INPUT!GQ252</f>
        <v>0</v>
      </c>
      <c r="EE209" s="717">
        <f>INPUT!GR252</f>
        <v>0</v>
      </c>
      <c r="EF209" s="761">
        <f>INPUT!GS252</f>
        <v>0</v>
      </c>
      <c r="EG209" s="717">
        <f>INPUT!GT252</f>
        <v>0</v>
      </c>
      <c r="EH209" s="761">
        <f>INPUT!GU252</f>
        <v>0</v>
      </c>
      <c r="EI209" s="717">
        <f>INPUT!GV252</f>
        <v>0</v>
      </c>
      <c r="EJ209" s="761">
        <f>INPUT!GW252</f>
        <v>0</v>
      </c>
      <c r="EK209" s="717">
        <f>INPUT!GX252</f>
        <v>0</v>
      </c>
      <c r="EL209" s="761">
        <f>INPUT!GY252</f>
        <v>0</v>
      </c>
      <c r="EM209" s="687">
        <f>INPUT!GZ252</f>
        <v>0</v>
      </c>
    </row>
    <row r="210" spans="1:143" ht="12.75" hidden="1" customHeight="1" outlineLevel="1" x14ac:dyDescent="0.2">
      <c r="A210" s="718" t="str">
        <f>INPUT!B253</f>
        <v>Spread (%)</v>
      </c>
      <c r="B210" s="464">
        <f>INPUT!AY253</f>
        <v>1.8800000000000008</v>
      </c>
      <c r="C210" s="507">
        <f>INPUT!AZ253</f>
        <v>19.745222929936325</v>
      </c>
      <c r="D210" s="464">
        <f>INPUT!BA253</f>
        <v>1.7599999999999998</v>
      </c>
      <c r="E210" s="687">
        <f>INPUT!BB253</f>
        <v>2.9239766081871732</v>
      </c>
      <c r="F210" s="464">
        <f>INPUT!BC253</f>
        <v>1.5679999999999996</v>
      </c>
      <c r="G210" s="687">
        <f>INPUT!BD253</f>
        <v>-4.9696969696969573</v>
      </c>
      <c r="H210" s="464">
        <f>INPUT!BE253</f>
        <v>1.9200000000000008</v>
      </c>
      <c r="I210" s="687">
        <f>INPUT!BF253</f>
        <v>20.000000000000085</v>
      </c>
      <c r="J210" s="464">
        <f>INPUT!BG253</f>
        <v>2.0200000000000005</v>
      </c>
      <c r="K210" s="687">
        <f>INPUT!BH253</f>
        <v>7.4468085106382809</v>
      </c>
      <c r="L210" s="464">
        <f>INPUT!BI253</f>
        <v>2.54</v>
      </c>
      <c r="M210" s="687">
        <f>INPUT!BJ253</f>
        <v>44.318181818181834</v>
      </c>
      <c r="N210" s="464">
        <f>INPUT!BK253</f>
        <v>1.6500000000000004</v>
      </c>
      <c r="O210" s="687">
        <f>INPUT!BL253</f>
        <v>5.2295918367347483</v>
      </c>
      <c r="P210" s="464">
        <f>INPUT!BM253</f>
        <v>1.83</v>
      </c>
      <c r="Q210" s="687">
        <f>INPUT!BN253</f>
        <v>-4.6875000000000338</v>
      </c>
      <c r="R210" s="464">
        <f>INPUT!BO253</f>
        <v>1.67</v>
      </c>
      <c r="S210" s="687">
        <f>INPUT!BP253</f>
        <v>-17.326732673267355</v>
      </c>
      <c r="T210" s="464">
        <f>INPUT!BQ253</f>
        <v>1.88</v>
      </c>
      <c r="U210" s="687">
        <f>INPUT!BR253</f>
        <v>-25.984251968503948</v>
      </c>
      <c r="V210" s="464">
        <f>INPUT!BS253</f>
        <v>1.9000000000000004</v>
      </c>
      <c r="W210" s="687">
        <f>INPUT!BT253</f>
        <v>15.151515151515138</v>
      </c>
      <c r="X210" s="464">
        <f>INPUT!BU253</f>
        <v>0.96999999999999975</v>
      </c>
      <c r="Y210" s="687">
        <f>INPUT!BV253</f>
        <v>-46.994535519125705</v>
      </c>
      <c r="Z210" s="464">
        <f>INPUT!BW253</f>
        <v>1.5199999999999996</v>
      </c>
      <c r="AA210" s="122">
        <f>INPUT!BX253</f>
        <v>-8.9820359281437394</v>
      </c>
      <c r="AB210" s="464">
        <f>INPUT!BY253</f>
        <v>1.1799999999999997</v>
      </c>
      <c r="AC210" s="687">
        <f>INPUT!BZ253</f>
        <v>-37.234042553191507</v>
      </c>
      <c r="AD210" s="464">
        <f>INPUT!CA253</f>
        <v>1.5</v>
      </c>
      <c r="AE210" s="687">
        <f>INPUT!CB253</f>
        <v>-21.052631578947377</v>
      </c>
      <c r="AF210" s="464">
        <f>INPUT!CC253</f>
        <v>1.75</v>
      </c>
      <c r="AG210" s="687">
        <f>INPUT!CD253</f>
        <v>80.41237113402066</v>
      </c>
      <c r="AH210" s="717">
        <f>INPUT!CE253</f>
        <v>1.87</v>
      </c>
      <c r="AI210" s="761">
        <f>INPUT!CF253</f>
        <v>23.026315789473717</v>
      </c>
      <c r="AJ210" s="717">
        <f>INPUT!CG253</f>
        <v>1.9900000000000002</v>
      </c>
      <c r="AK210" s="761">
        <f>INPUT!CH253</f>
        <v>68.64406779661023</v>
      </c>
      <c r="AL210" s="717">
        <f>INPUT!CI253</f>
        <v>1.92</v>
      </c>
      <c r="AM210" s="761">
        <f>INPUT!CJ253</f>
        <v>28.000000000000004</v>
      </c>
      <c r="AN210" s="717">
        <f>INPUT!CK253</f>
        <v>2.0900000000000007</v>
      </c>
      <c r="AO210" s="761">
        <f>INPUT!CL253</f>
        <v>19.428571428571463</v>
      </c>
      <c r="AP210" s="717">
        <f>INPUT!CM253</f>
        <v>2.1799999999999997</v>
      </c>
      <c r="AQ210" s="761">
        <f>INPUT!CN253</f>
        <v>16.577540106951851</v>
      </c>
      <c r="AR210" s="717">
        <f>INPUT!CO253</f>
        <v>2.16</v>
      </c>
      <c r="AS210" s="761">
        <f>INPUT!CP253</f>
        <v>8.5427135678392006</v>
      </c>
      <c r="AT210" s="717">
        <f>INPUT!CQ253</f>
        <v>1.8600000000000003</v>
      </c>
      <c r="AU210" s="761">
        <f>INPUT!CR253</f>
        <v>-3.1249999999999778</v>
      </c>
      <c r="AV210" s="717">
        <f>INPUT!CS253</f>
        <v>1.75</v>
      </c>
      <c r="AW210" s="761">
        <f>INPUT!CT253</f>
        <v>-16.267942583732086</v>
      </c>
      <c r="AX210" s="717">
        <f>INPUT!CU253</f>
        <v>1.9899999999999998</v>
      </c>
      <c r="AY210" s="761">
        <f>INPUT!CV253</f>
        <v>-8.7155963302752326</v>
      </c>
      <c r="AZ210" s="717">
        <f>INPUT!CW253</f>
        <v>2.0899999999999994</v>
      </c>
      <c r="BA210" s="761">
        <f>INPUT!CX253</f>
        <v>-3.2407407407407773</v>
      </c>
      <c r="BB210" s="717">
        <f>INPUT!CY253</f>
        <v>1.7600000000000002</v>
      </c>
      <c r="BC210" s="761">
        <f>INPUT!CZ253</f>
        <v>-5.3763440860215113</v>
      </c>
      <c r="BD210" s="717">
        <f>INPUT!DA253</f>
        <v>2.08</v>
      </c>
      <c r="BE210" s="761">
        <f>INPUT!DB253</f>
        <v>18.857142857142861</v>
      </c>
      <c r="BF210" s="717">
        <f>INPUT!DC253</f>
        <v>1.71</v>
      </c>
      <c r="BG210" s="761">
        <f>INPUT!DD253</f>
        <v>-14.070351758793965</v>
      </c>
      <c r="BH210" s="717">
        <f>INPUT!DE253</f>
        <v>1.9800000000000004</v>
      </c>
      <c r="BI210" s="761">
        <f>INPUT!DF253</f>
        <v>-5.2631578947367919</v>
      </c>
      <c r="BJ210" s="717">
        <f>INPUT!DG253</f>
        <v>1.8299999999999996</v>
      </c>
      <c r="BK210" s="761">
        <f>INPUT!DH253</f>
        <v>3.9772727272726849</v>
      </c>
      <c r="BL210" s="717">
        <f>INPUT!DI253</f>
        <v>1.8099999999999996</v>
      </c>
      <c r="BM210" s="761">
        <f>INPUT!DJ253</f>
        <v>-12.980769230769251</v>
      </c>
      <c r="BN210" s="717">
        <f>INPUT!DK253</f>
        <v>1.7399999999999998</v>
      </c>
      <c r="BO210" s="761">
        <f>INPUT!DL253</f>
        <v>1.754385964912264</v>
      </c>
      <c r="BP210" s="717">
        <f>INPUT!DM253</f>
        <v>1.7599999999999998</v>
      </c>
      <c r="BQ210" s="761">
        <f>INPUT!DN253</f>
        <v>-11.111111111111139</v>
      </c>
      <c r="BR210" s="717">
        <f>INPUT!DO253</f>
        <v>1.8000000000000003</v>
      </c>
      <c r="BS210" s="761">
        <f>INPUT!DP253</f>
        <v>-1.6393442622950505</v>
      </c>
      <c r="BT210" s="717">
        <f>INPUT!DQ253</f>
        <v>1.7599999999999998</v>
      </c>
      <c r="BU210" s="761">
        <f>INPUT!DR253</f>
        <v>-2.7624309392265123</v>
      </c>
      <c r="BV210" s="717">
        <f>INPUT!DS253</f>
        <v>1.67</v>
      </c>
      <c r="BW210" s="761">
        <f>INPUT!DT253</f>
        <v>-4.022988505747116</v>
      </c>
      <c r="BX210" s="717">
        <f>INPUT!DU253</f>
        <v>1.5299999999999998</v>
      </c>
      <c r="BY210" s="761">
        <f>INPUT!DV253</f>
        <v>-13.068181818181824</v>
      </c>
      <c r="BZ210" s="717">
        <f>INPUT!DW253</f>
        <v>1.83</v>
      </c>
      <c r="CA210" s="761">
        <f>INPUT!DX253</f>
        <v>1.88</v>
      </c>
      <c r="CB210" s="717">
        <f>INPUT!DY253</f>
        <v>1.44</v>
      </c>
      <c r="CC210" s="761">
        <f>INPUT!DZ253</f>
        <v>-18.181818181818176</v>
      </c>
      <c r="CD210" s="717">
        <f>INPUT!EA253</f>
        <v>1.3200000000000003</v>
      </c>
      <c r="CE210" s="761">
        <f>INPUT!EB253</f>
        <v>-20.958083832335305</v>
      </c>
      <c r="CF210" s="717">
        <f>INPUT!EC253</f>
        <v>1.4699999999999998</v>
      </c>
      <c r="CG210" s="761">
        <f>INPUT!ED253</f>
        <v>-3.9215686274509887</v>
      </c>
      <c r="CH210" s="717">
        <f>INPUT!EE253</f>
        <v>1.7499999999999996</v>
      </c>
      <c r="CI210" s="761">
        <f>INPUT!EF253</f>
        <v>-4.371584699453579</v>
      </c>
      <c r="CJ210" s="717">
        <f>INPUT!EG253</f>
        <v>1.6300000000000003</v>
      </c>
      <c r="CK210" s="761">
        <f>INPUT!EH253</f>
        <v>13.194444444444464</v>
      </c>
      <c r="CL210" s="717">
        <f>INPUT!EI253</f>
        <v>1.6</v>
      </c>
      <c r="CM210" s="761">
        <f>INPUT!EJ253</f>
        <v>21.212121212121193</v>
      </c>
      <c r="CN210" s="717">
        <f>INPUT!EK253</f>
        <v>1.6700000000000004</v>
      </c>
      <c r="CO210" s="761">
        <f>INPUT!EL253</f>
        <v>13.605442176870785</v>
      </c>
      <c r="CP210" s="717">
        <f>INPUT!EM253</f>
        <v>1.5</v>
      </c>
      <c r="CQ210" s="761">
        <f>INPUT!EN253</f>
        <v>-14.285714285714269</v>
      </c>
      <c r="CR210" s="717">
        <f>INPUT!EO253</f>
        <v>1.46</v>
      </c>
      <c r="CS210" s="761">
        <f>INPUT!EP253</f>
        <v>-10.429447852760754</v>
      </c>
      <c r="CT210" s="717">
        <f>INPUT!EQ253</f>
        <v>0</v>
      </c>
      <c r="CU210" s="761" t="str">
        <f>INPUT!ER253</f>
        <v>NM</v>
      </c>
      <c r="CV210" s="717">
        <f>INPUT!ES253</f>
        <v>0</v>
      </c>
      <c r="CW210" s="761" t="str">
        <f>INPUT!ET253</f>
        <v>NM</v>
      </c>
      <c r="CX210" s="717">
        <f>INPUT!EU253</f>
        <v>0</v>
      </c>
      <c r="CY210" s="761" t="str">
        <f>INPUT!EV253</f>
        <v>NM</v>
      </c>
      <c r="CZ210" s="717">
        <f>INPUT!EW253</f>
        <v>0</v>
      </c>
      <c r="DA210" s="761" t="str">
        <f>INPUT!EX253</f>
        <v>NM</v>
      </c>
      <c r="DB210" s="507"/>
      <c r="DC210" s="464">
        <f>INPUT!FP253</f>
        <v>1.63</v>
      </c>
      <c r="DD210" s="687">
        <f>INPUT!FQ253</f>
        <v>-0.60975609756096505</v>
      </c>
      <c r="DE210" s="464">
        <f>INPUT!FR253</f>
        <v>1.7820000000000009</v>
      </c>
      <c r="DF210" s="687">
        <f>INPUT!FS253</f>
        <v>9.3251533742331851</v>
      </c>
      <c r="DG210" s="464">
        <f>INPUT!FT253</f>
        <v>2.0100000000000007</v>
      </c>
      <c r="DH210" s="687">
        <f>INPUT!FU253</f>
        <v>12.794612794612782</v>
      </c>
      <c r="DI210" s="464">
        <f>INPUT!FV253</f>
        <v>1.6050000000000004</v>
      </c>
      <c r="DJ210" s="687">
        <f>INPUT!FW253</f>
        <v>-20.149253731343286</v>
      </c>
      <c r="DK210" s="717">
        <f>INPUT!FX253</f>
        <v>1.4874999999999998</v>
      </c>
      <c r="DL210" s="761">
        <f>INPUT!FY253</f>
        <v>-7.3208722741433423</v>
      </c>
      <c r="DM210" s="717">
        <f>INPUT!FZ253</f>
        <v>1.9675000000000002</v>
      </c>
      <c r="DN210" s="761">
        <f>INPUT!GA253</f>
        <v>32.268907563025252</v>
      </c>
      <c r="DO210" s="717">
        <f>INPUT!GB253</f>
        <v>1.9874999999999998</v>
      </c>
      <c r="DP210" s="761">
        <f>INPUT!GC253</f>
        <v>1.0165184243964287</v>
      </c>
      <c r="DQ210" s="717">
        <f>INPUT!GD253</f>
        <v>0</v>
      </c>
      <c r="DR210" s="761">
        <f>INPUT!GE253</f>
        <v>0</v>
      </c>
      <c r="DS210" s="717">
        <f>INPUT!GF253</f>
        <v>0</v>
      </c>
      <c r="DT210" s="761">
        <f>INPUT!GG253</f>
        <v>0</v>
      </c>
      <c r="DU210" s="717">
        <f>INPUT!GH253</f>
        <v>0</v>
      </c>
      <c r="DV210" s="761">
        <f>INPUT!GI253</f>
        <v>0</v>
      </c>
      <c r="DW210" s="717">
        <f>INPUT!GJ253</f>
        <v>0</v>
      </c>
      <c r="DX210" s="761">
        <f>INPUT!GK253</f>
        <v>0</v>
      </c>
      <c r="DY210" s="717">
        <f>INPUT!GL253</f>
        <v>0</v>
      </c>
      <c r="DZ210" s="761">
        <f>INPUT!GM253</f>
        <v>0</v>
      </c>
      <c r="EA210" s="717">
        <f>INPUT!GN253</f>
        <v>0</v>
      </c>
      <c r="EB210" s="761">
        <f>INPUT!GO253</f>
        <v>0</v>
      </c>
      <c r="EC210" s="717">
        <f>INPUT!GP253</f>
        <v>0</v>
      </c>
      <c r="ED210" s="761">
        <f>INPUT!GQ253</f>
        <v>0</v>
      </c>
      <c r="EE210" s="717">
        <f>INPUT!GR253</f>
        <v>0</v>
      </c>
      <c r="EF210" s="761">
        <f>INPUT!GS253</f>
        <v>0</v>
      </c>
      <c r="EG210" s="717">
        <f>INPUT!GT253</f>
        <v>0</v>
      </c>
      <c r="EH210" s="761">
        <f>INPUT!GU253</f>
        <v>0</v>
      </c>
      <c r="EI210" s="717">
        <f>INPUT!GV253</f>
        <v>0</v>
      </c>
      <c r="EJ210" s="761">
        <f>INPUT!GW253</f>
        <v>0</v>
      </c>
      <c r="EK210" s="717">
        <f>INPUT!GX253</f>
        <v>0</v>
      </c>
      <c r="EL210" s="761">
        <f>INPUT!GY253</f>
        <v>0</v>
      </c>
      <c r="EM210" s="687">
        <f>INPUT!GZ253</f>
        <v>0</v>
      </c>
    </row>
    <row r="211" spans="1:143" ht="12.75" hidden="1" customHeight="1" outlineLevel="1" x14ac:dyDescent="0.2">
      <c r="A211" s="701"/>
      <c r="B211" s="16"/>
      <c r="C211" s="507"/>
      <c r="D211" s="16"/>
      <c r="E211" s="687"/>
      <c r="F211" s="16"/>
      <c r="G211" s="687"/>
      <c r="H211" s="16"/>
      <c r="I211" s="687"/>
      <c r="J211" s="16"/>
      <c r="K211" s="687"/>
      <c r="L211" s="16"/>
      <c r="M211" s="687"/>
      <c r="N211" s="16"/>
      <c r="O211" s="687"/>
      <c r="P211" s="16"/>
      <c r="Q211" s="687"/>
      <c r="R211" s="16"/>
      <c r="S211" s="687"/>
      <c r="T211" s="16"/>
      <c r="U211" s="687"/>
      <c r="V211" s="16"/>
      <c r="W211" s="687"/>
      <c r="X211" s="16"/>
      <c r="Y211" s="687"/>
      <c r="Z211" s="16"/>
      <c r="AA211" s="122"/>
      <c r="AB211" s="16"/>
      <c r="AC211" s="687"/>
      <c r="AD211" s="16"/>
      <c r="AE211" s="687"/>
      <c r="AF211" s="16"/>
      <c r="AG211" s="687"/>
      <c r="AH211" s="16"/>
      <c r="AI211" s="507"/>
      <c r="AJ211" s="16"/>
      <c r="AK211" s="507"/>
      <c r="AL211" s="16"/>
      <c r="AM211" s="507"/>
      <c r="AN211" s="16"/>
      <c r="AO211" s="507"/>
      <c r="AP211" s="16"/>
      <c r="AQ211" s="507"/>
      <c r="AR211" s="16"/>
      <c r="AS211" s="507"/>
      <c r="AT211" s="16"/>
      <c r="AU211" s="507"/>
      <c r="AV211" s="16"/>
      <c r="AW211" s="507"/>
      <c r="AX211" s="16"/>
      <c r="AY211" s="507"/>
      <c r="AZ211" s="16"/>
      <c r="BA211" s="507"/>
      <c r="BB211" s="16"/>
      <c r="BC211" s="507"/>
      <c r="BD211" s="16"/>
      <c r="BE211" s="507"/>
      <c r="BF211" s="16"/>
      <c r="BG211" s="507"/>
      <c r="BH211" s="16"/>
      <c r="BI211" s="507"/>
      <c r="BJ211" s="16"/>
      <c r="BK211" s="507"/>
      <c r="BL211" s="16"/>
      <c r="BM211" s="507"/>
      <c r="BN211" s="16"/>
      <c r="BO211" s="507"/>
      <c r="BP211" s="16"/>
      <c r="BQ211" s="507"/>
      <c r="BR211" s="16"/>
      <c r="BS211" s="507"/>
      <c r="BT211" s="16"/>
      <c r="BU211" s="507"/>
      <c r="BV211" s="16"/>
      <c r="BW211" s="507"/>
      <c r="BX211" s="16"/>
      <c r="BY211" s="507"/>
      <c r="BZ211" s="16"/>
      <c r="CA211" s="507"/>
      <c r="CB211" s="16"/>
      <c r="CC211" s="507"/>
      <c r="CD211" s="16"/>
      <c r="CE211" s="507"/>
      <c r="CF211" s="16"/>
      <c r="CG211" s="507"/>
      <c r="CH211" s="16"/>
      <c r="CI211" s="507"/>
      <c r="CJ211" s="16"/>
      <c r="CK211" s="507"/>
      <c r="CL211" s="16"/>
      <c r="CM211" s="507"/>
      <c r="CN211" s="16"/>
      <c r="CO211" s="507"/>
      <c r="CP211" s="16"/>
      <c r="CQ211" s="507"/>
      <c r="CR211" s="16"/>
      <c r="CS211" s="507"/>
      <c r="CT211" s="16"/>
      <c r="CU211" s="507"/>
      <c r="CV211" s="16"/>
      <c r="CW211" s="507"/>
      <c r="CX211" s="16"/>
      <c r="CY211" s="507"/>
      <c r="CZ211" s="16"/>
      <c r="DA211" s="507"/>
      <c r="DB211" s="507"/>
      <c r="DC211" s="16"/>
      <c r="DD211" s="687"/>
      <c r="DE211" s="16"/>
      <c r="DF211" s="687"/>
      <c r="DG211" s="16"/>
      <c r="DH211" s="687"/>
      <c r="DI211" s="16"/>
      <c r="DJ211" s="687"/>
      <c r="DK211" s="16"/>
      <c r="DL211" s="507"/>
      <c r="DM211" s="16"/>
      <c r="DN211" s="507"/>
      <c r="DO211" s="16"/>
      <c r="DP211" s="507"/>
      <c r="DQ211" s="16"/>
      <c r="DR211" s="507"/>
      <c r="DS211" s="16"/>
      <c r="DT211" s="507"/>
      <c r="DU211" s="16"/>
      <c r="DV211" s="507"/>
      <c r="DW211" s="16"/>
      <c r="DX211" s="507"/>
      <c r="DY211" s="16"/>
      <c r="DZ211" s="507"/>
      <c r="EA211" s="16"/>
      <c r="EB211" s="507"/>
      <c r="EC211" s="16"/>
      <c r="ED211" s="507"/>
      <c r="EE211" s="16"/>
      <c r="EF211" s="507"/>
      <c r="EG211" s="16"/>
      <c r="EH211" s="507"/>
      <c r="EI211" s="16"/>
      <c r="EJ211" s="507"/>
      <c r="EK211" s="16"/>
      <c r="EL211" s="507"/>
      <c r="EM211" s="687"/>
    </row>
    <row r="212" spans="1:143" ht="12.75" hidden="1" customHeight="1" outlineLevel="1" x14ac:dyDescent="0.2">
      <c r="A212" s="700" t="str">
        <f>INPUT!B262</f>
        <v>Benefits and Expenses Analysis</v>
      </c>
      <c r="B212" s="16"/>
      <c r="C212" s="507"/>
      <c r="D212" s="16"/>
      <c r="E212" s="687"/>
      <c r="F212" s="16"/>
      <c r="G212" s="687"/>
      <c r="H212" s="16"/>
      <c r="I212" s="687"/>
      <c r="J212" s="16"/>
      <c r="K212" s="687"/>
      <c r="L212" s="16"/>
      <c r="M212" s="687"/>
      <c r="N212" s="16"/>
      <c r="O212" s="687"/>
      <c r="P212" s="16"/>
      <c r="Q212" s="687"/>
      <c r="R212" s="16"/>
      <c r="S212" s="687"/>
      <c r="T212" s="16"/>
      <c r="U212" s="687"/>
      <c r="V212" s="16"/>
      <c r="W212" s="687"/>
      <c r="X212" s="16"/>
      <c r="Y212" s="687"/>
      <c r="Z212" s="16"/>
      <c r="AA212" s="122"/>
      <c r="AB212" s="16"/>
      <c r="AC212" s="687"/>
      <c r="AD212" s="16"/>
      <c r="AE212" s="687"/>
      <c r="AF212" s="16"/>
      <c r="AG212" s="687"/>
      <c r="AH212" s="16"/>
      <c r="AI212" s="507"/>
      <c r="AJ212" s="16"/>
      <c r="AK212" s="507"/>
      <c r="AL212" s="16"/>
      <c r="AM212" s="507"/>
      <c r="AN212" s="16"/>
      <c r="AO212" s="507"/>
      <c r="AP212" s="16"/>
      <c r="AQ212" s="507"/>
      <c r="AR212" s="16"/>
      <c r="AS212" s="507"/>
      <c r="AT212" s="16"/>
      <c r="AU212" s="507"/>
      <c r="AV212" s="16"/>
      <c r="AW212" s="507"/>
      <c r="AX212" s="16"/>
      <c r="AY212" s="507"/>
      <c r="AZ212" s="16"/>
      <c r="BA212" s="507"/>
      <c r="BB212" s="16"/>
      <c r="BC212" s="507"/>
      <c r="BD212" s="16"/>
      <c r="BE212" s="507"/>
      <c r="BF212" s="16"/>
      <c r="BG212" s="507"/>
      <c r="BH212" s="16"/>
      <c r="BI212" s="507"/>
      <c r="BJ212" s="16"/>
      <c r="BK212" s="507"/>
      <c r="BL212" s="16"/>
      <c r="BM212" s="507"/>
      <c r="BN212" s="16"/>
      <c r="BO212" s="507"/>
      <c r="BP212" s="16"/>
      <c r="BQ212" s="507"/>
      <c r="BR212" s="16"/>
      <c r="BS212" s="507"/>
      <c r="BT212" s="16"/>
      <c r="BU212" s="507"/>
      <c r="BV212" s="16"/>
      <c r="BW212" s="507"/>
      <c r="BX212" s="16"/>
      <c r="BY212" s="507"/>
      <c r="BZ212" s="16"/>
      <c r="CA212" s="507"/>
      <c r="CB212" s="16"/>
      <c r="CC212" s="507"/>
      <c r="CD212" s="16"/>
      <c r="CE212" s="507"/>
      <c r="CF212" s="16"/>
      <c r="CG212" s="507"/>
      <c r="CH212" s="16"/>
      <c r="CI212" s="507"/>
      <c r="CJ212" s="16"/>
      <c r="CK212" s="507"/>
      <c r="CL212" s="16"/>
      <c r="CM212" s="507"/>
      <c r="CN212" s="16"/>
      <c r="CO212" s="507"/>
      <c r="CP212" s="16"/>
      <c r="CQ212" s="507"/>
      <c r="CR212" s="16"/>
      <c r="CS212" s="507"/>
      <c r="CT212" s="16"/>
      <c r="CU212" s="507"/>
      <c r="CV212" s="16"/>
      <c r="CW212" s="507"/>
      <c r="CX212" s="16"/>
      <c r="CY212" s="507"/>
      <c r="CZ212" s="16"/>
      <c r="DA212" s="507"/>
      <c r="DB212" s="507"/>
      <c r="DC212" s="16"/>
      <c r="DD212" s="687"/>
      <c r="DE212" s="16"/>
      <c r="DF212" s="687"/>
      <c r="DG212" s="16"/>
      <c r="DH212" s="687"/>
      <c r="DI212" s="16"/>
      <c r="DJ212" s="687"/>
      <c r="DK212" s="16"/>
      <c r="DL212" s="507"/>
      <c r="DM212" s="16"/>
      <c r="DN212" s="507"/>
      <c r="DO212" s="16"/>
      <c r="DP212" s="507"/>
      <c r="DQ212" s="16"/>
      <c r="DR212" s="507"/>
      <c r="DS212" s="16"/>
      <c r="DT212" s="507"/>
      <c r="DU212" s="16"/>
      <c r="DV212" s="507"/>
      <c r="DW212" s="16"/>
      <c r="DX212" s="507"/>
      <c r="DY212" s="16"/>
      <c r="DZ212" s="507"/>
      <c r="EA212" s="16"/>
      <c r="EB212" s="507"/>
      <c r="EC212" s="16"/>
      <c r="ED212" s="507"/>
      <c r="EE212" s="16"/>
      <c r="EF212" s="507"/>
      <c r="EG212" s="16"/>
      <c r="EH212" s="507"/>
      <c r="EI212" s="16"/>
      <c r="EJ212" s="507"/>
      <c r="EK212" s="16"/>
      <c r="EL212" s="507"/>
      <c r="EM212" s="687"/>
    </row>
    <row r="213" spans="1:143" ht="12.75" hidden="1" customHeight="1" outlineLevel="1" x14ac:dyDescent="0.2">
      <c r="A213" s="718" t="str">
        <f>INPUT!B263</f>
        <v>Benefits and Int Credited/Net Rev (%)</v>
      </c>
      <c r="B213" s="156">
        <f>INPUT!AY263</f>
        <v>73.2347195087915</v>
      </c>
      <c r="C213" s="507">
        <f>INPUT!AZ263</f>
        <v>-2.4213294079536873</v>
      </c>
      <c r="D213" s="156">
        <f>INPUT!BA263</f>
        <v>75.390210637975457</v>
      </c>
      <c r="E213" s="687">
        <f>INPUT!BB263</f>
        <v>-1.0631774824857221</v>
      </c>
      <c r="F213" s="156">
        <f>INPUT!BC263</f>
        <v>78.401727861771079</v>
      </c>
      <c r="G213" s="687">
        <f>INPUT!BD263</f>
        <v>-0.74741389109921341</v>
      </c>
      <c r="H213" s="156">
        <f>INPUT!BE263</f>
        <v>70.767925328807806</v>
      </c>
      <c r="I213" s="687">
        <f>INPUT!BF263</f>
        <v>-2.5210510718262968</v>
      </c>
      <c r="J213" s="156">
        <f>INPUT!BG263</f>
        <v>69.15381408920382</v>
      </c>
      <c r="K213" s="687">
        <f>INPUT!BH263</f>
        <v>-5.572364374383632</v>
      </c>
      <c r="L213" s="156">
        <f>INPUT!BI263</f>
        <v>73.489694385216779</v>
      </c>
      <c r="M213" s="687">
        <f>INPUT!BJ263</f>
        <v>-2.5209058797898476</v>
      </c>
      <c r="N213" s="156">
        <f>INPUT!BK263</f>
        <v>73.217094913476657</v>
      </c>
      <c r="O213" s="687">
        <f>INPUT!BL263</f>
        <v>-6.6129064877694654</v>
      </c>
      <c r="P213" s="156">
        <f>INPUT!BM263</f>
        <v>78.844155844155864</v>
      </c>
      <c r="Q213" s="687">
        <f>INPUT!BN263</f>
        <v>11.41227537450562</v>
      </c>
      <c r="R213" s="156">
        <f>INPUT!BO263</f>
        <v>78.654507005022452</v>
      </c>
      <c r="S213" s="687">
        <f>INPUT!BP263</f>
        <v>13.738494457533989</v>
      </c>
      <c r="T213" s="156">
        <f>INPUT!BQ263</f>
        <v>77.002419457532156</v>
      </c>
      <c r="U213" s="687">
        <f>INPUT!BR263</f>
        <v>4.7798879852492648</v>
      </c>
      <c r="V213" s="156">
        <f>INPUT!BS263</f>
        <v>91.315652626105035</v>
      </c>
      <c r="W213" s="687">
        <f>INPUT!BT263</f>
        <v>24.719032807865581</v>
      </c>
      <c r="X213" s="156">
        <f>INPUT!BU263</f>
        <v>89.368009702196488</v>
      </c>
      <c r="Y213" s="687">
        <f>INPUT!BV263</f>
        <v>13.34766508102665</v>
      </c>
      <c r="Z213" s="156">
        <f>INPUT!BW263</f>
        <v>85.143522110162905</v>
      </c>
      <c r="AA213" s="122">
        <f>INPUT!BX263</f>
        <v>8.2500232373538438</v>
      </c>
      <c r="AB213" s="156">
        <f>INPUT!BY263</f>
        <v>86.28057351700869</v>
      </c>
      <c r="AC213" s="687">
        <f>INPUT!BZ263</f>
        <v>12.049172123213037</v>
      </c>
      <c r="AD213" s="156">
        <f>INPUT!CA263</f>
        <v>77.066063803064552</v>
      </c>
      <c r="AE213" s="687">
        <f>INPUT!CB263</f>
        <v>-15.604760425231689</v>
      </c>
      <c r="AF213" s="156">
        <f>INPUT!CC263</f>
        <v>81.176044433711652</v>
      </c>
      <c r="AG213" s="687">
        <f>INPUT!CD263</f>
        <v>-9.1665522101064489</v>
      </c>
      <c r="AH213" s="156">
        <f>INPUT!CE263</f>
        <v>83.708338346769338</v>
      </c>
      <c r="AI213" s="507">
        <f>INPUT!CF263</f>
        <v>-1.6856053494435641</v>
      </c>
      <c r="AJ213" s="156">
        <f>INPUT!CG263</f>
        <v>80.387004300047778</v>
      </c>
      <c r="AK213" s="507">
        <f>INPUT!CH263</f>
        <v>-6.8307024127500675</v>
      </c>
      <c r="AL213" s="156">
        <f>INPUT!CI263</f>
        <v>106.44482929242952</v>
      </c>
      <c r="AM213" s="507">
        <f>INPUT!CJ263</f>
        <v>38.121533707028021</v>
      </c>
      <c r="AN213" s="156">
        <f>INPUT!CK263</f>
        <v>76.938217605248767</v>
      </c>
      <c r="AO213" s="507">
        <f>INPUT!CL263</f>
        <v>-5.2205387168421264</v>
      </c>
      <c r="AP213" s="156">
        <f>INPUT!CM263</f>
        <v>88.744075829383888</v>
      </c>
      <c r="AQ213" s="507">
        <f>INPUT!CN263</f>
        <v>6.0158134566637322</v>
      </c>
      <c r="AR213" s="156">
        <f>INPUT!CO263</f>
        <v>84.421283598464072</v>
      </c>
      <c r="AS213" s="507">
        <f>INPUT!CP263</f>
        <v>5.0185715135722564</v>
      </c>
      <c r="AT213" s="156">
        <f>INPUT!CQ263</f>
        <v>86.24765917602997</v>
      </c>
      <c r="AU213" s="507">
        <f>INPUT!CR263</f>
        <v>-18.974308334802316</v>
      </c>
      <c r="AV213" s="156">
        <f>INPUT!CS263</f>
        <v>89.06789413118527</v>
      </c>
      <c r="AW213" s="507">
        <f>INPUT!CT263</f>
        <v>15.765476382843847</v>
      </c>
      <c r="AX213" s="156">
        <f>INPUT!CU263</f>
        <v>85.355191256830594</v>
      </c>
      <c r="AY213" s="507">
        <f>INPUT!CV263</f>
        <v>-3.8187163941722058</v>
      </c>
      <c r="AZ213" s="156">
        <f>INPUT!CW263</f>
        <v>85.157096424702061</v>
      </c>
      <c r="BA213" s="507">
        <f>INPUT!CX263</f>
        <v>0.87159634972830968</v>
      </c>
      <c r="BB213" s="156">
        <f>INPUT!CY263</f>
        <v>63.012295081967217</v>
      </c>
      <c r="BC213" s="507">
        <f>INPUT!CZ263</f>
        <v>-26.940283731805149</v>
      </c>
      <c r="BD213" s="156">
        <f>INPUT!DA263</f>
        <v>81.753312945973505</v>
      </c>
      <c r="BE213" s="507">
        <f>INPUT!DB263</f>
        <v>-8.2123656976085595</v>
      </c>
      <c r="BF213" s="156">
        <f>INPUT!DC263</f>
        <v>89.576547231270354</v>
      </c>
      <c r="BG213" s="507">
        <f>INPUT!DD263</f>
        <v>4.94563472037437</v>
      </c>
      <c r="BH213" s="156">
        <f>INPUT!DE263</f>
        <v>86.027111574556827</v>
      </c>
      <c r="BI213" s="507">
        <f>INPUT!DF263</f>
        <v>1.0216590118523605</v>
      </c>
      <c r="BJ213" s="156">
        <f>INPUT!DG263</f>
        <v>82.818930041152257</v>
      </c>
      <c r="BK213" s="507">
        <f>INPUT!DH263</f>
        <v>31.432968650674155</v>
      </c>
      <c r="BL213" s="156">
        <f>INPUT!DI263</f>
        <v>81.818181818181827</v>
      </c>
      <c r="BM213" s="507">
        <f>INPUT!DJ263</f>
        <v>7.9347086828374103E-2</v>
      </c>
      <c r="BN213" s="156">
        <f>INPUT!DK263</f>
        <v>87.238285144566291</v>
      </c>
      <c r="BO213" s="507">
        <f>INPUT!DL263</f>
        <v>-2.6103507658841729</v>
      </c>
      <c r="BP213" s="156">
        <f>INPUT!DM263</f>
        <v>83.430799220272903</v>
      </c>
      <c r="BQ213" s="507">
        <f>INPUT!DN263</f>
        <v>-3.0180164215251937</v>
      </c>
      <c r="BR213" s="156">
        <f>INPUT!DO263</f>
        <v>79.981965734896292</v>
      </c>
      <c r="BS213" s="507">
        <f>INPUT!DP263</f>
        <v>-3.425502243081735</v>
      </c>
      <c r="BT213" s="156">
        <f>INPUT!DQ263</f>
        <v>76.862228081740284</v>
      </c>
      <c r="BU213" s="507">
        <f>INPUT!DR263</f>
        <v>-6.0572767889841117</v>
      </c>
      <c r="BV213" s="156">
        <f>INPUT!DS263</f>
        <v>90.310786106032907</v>
      </c>
      <c r="BW213" s="507">
        <f>INPUT!DT263</f>
        <v>3.5219639592583007</v>
      </c>
      <c r="BX213" s="156">
        <f>INPUT!DU263</f>
        <v>92.714025500910751</v>
      </c>
      <c r="BY213" s="507">
        <f>INPUT!DV263</f>
        <v>11.126857668147693</v>
      </c>
      <c r="BZ213" s="156">
        <f>INPUT!DW263</f>
        <v>66.666666666666657</v>
      </c>
      <c r="CA213" s="507">
        <f>INPUT!DX263</f>
        <v>66.666666666666657</v>
      </c>
      <c r="CB213" s="156">
        <f>INPUT!DY263</f>
        <v>101.70682730923694</v>
      </c>
      <c r="CC213" s="507">
        <f>INPUT!DZ263</f>
        <v>32.323548051554397</v>
      </c>
      <c r="CD213" s="156">
        <f>INPUT!EA263</f>
        <v>96.283185840707958</v>
      </c>
      <c r="CE213" s="507">
        <f>INPUT!EB263</f>
        <v>6.6131632689620412</v>
      </c>
      <c r="CF213" s="156">
        <f>INPUT!EC263</f>
        <v>88.898233809924307</v>
      </c>
      <c r="CG213" s="507">
        <f>INPUT!ED263</f>
        <v>-4.1156574427338999</v>
      </c>
      <c r="CH213" s="156">
        <f>INPUT!EE263</f>
        <v>67.993754879000775</v>
      </c>
      <c r="CI213" s="507">
        <f>INPUT!EF263</f>
        <v>1.9906323185011843</v>
      </c>
      <c r="CJ213" s="156">
        <f>INPUT!EG263</f>
        <v>84.265175718849832</v>
      </c>
      <c r="CK213" s="507">
        <f>INPUT!EH263</f>
        <v>-17.14894865155534</v>
      </c>
      <c r="CL213" s="156">
        <f>INPUT!EI263</f>
        <v>91.169451073985684</v>
      </c>
      <c r="CM213" s="507">
        <f>INPUT!EJ263</f>
        <v>-5.3111399691141319</v>
      </c>
      <c r="CN213" s="156">
        <f>INPUT!EK263</f>
        <v>88.51454823889739</v>
      </c>
      <c r="CO213" s="507">
        <f>INPUT!EL263</f>
        <v>-0.43160089304730143</v>
      </c>
      <c r="CP213" s="156">
        <f>INPUT!EM263</f>
        <v>91.613924050632917</v>
      </c>
      <c r="CQ213" s="507">
        <f>INPUT!EN263</f>
        <v>34.738733305236245</v>
      </c>
      <c r="CR213" s="156">
        <f>INPUT!EO263</f>
        <v>85.327313769751683</v>
      </c>
      <c r="CS213" s="507">
        <f>INPUT!EP263</f>
        <v>1.2604709381318635</v>
      </c>
      <c r="CT213" s="156">
        <f>INPUT!EQ263</f>
        <v>90.830176968424297</v>
      </c>
      <c r="CU213" s="507">
        <f>INPUT!ER263</f>
        <v>-0.37213573358696461</v>
      </c>
      <c r="CV213" s="156">
        <f>INPUT!ES263</f>
        <v>89.415823523305605</v>
      </c>
      <c r="CW213" s="507">
        <f>INPUT!ET263</f>
        <v>1.0182227694092827</v>
      </c>
      <c r="CX213" s="156">
        <f>INPUT!EU263</f>
        <v>89.519874770304654</v>
      </c>
      <c r="CY213" s="507">
        <f>INPUT!EV263</f>
        <v>-2.2857325477849133</v>
      </c>
      <c r="CZ213" s="156">
        <f>INPUT!EW263</f>
        <v>88.830299698938148</v>
      </c>
      <c r="DA213" s="507">
        <f>INPUT!EX263</f>
        <v>4.1053512344698451</v>
      </c>
      <c r="DB213" s="507"/>
      <c r="DC213" s="156">
        <f>INPUT!FP263</f>
        <v>75.612645295032209</v>
      </c>
      <c r="DD213" s="687">
        <f>INPUT!FQ263</f>
        <v>41.859373801253774</v>
      </c>
      <c r="DE213" s="156">
        <f>INPUT!FR263</f>
        <v>74.51021697914473</v>
      </c>
      <c r="DF213" s="687">
        <f>INPUT!FS263</f>
        <v>-1.4579946404280952</v>
      </c>
      <c r="DG213" s="156">
        <f>INPUT!FT263</f>
        <v>73.758457374830854</v>
      </c>
      <c r="DH213" s="687">
        <f>INPUT!FU263</f>
        <v>-1.0089349283794125</v>
      </c>
      <c r="DI213" s="156">
        <f>INPUT!FV263</f>
        <v>84.023319795624275</v>
      </c>
      <c r="DJ213" s="687">
        <f>INPUT!FW263</f>
        <v>13.916861585958507</v>
      </c>
      <c r="DK213" s="156">
        <f>INPUT!FX263</f>
        <v>82.278399588318536</v>
      </c>
      <c r="DL213" s="507">
        <f>INPUT!FY263</f>
        <v>-2.0767094320362833</v>
      </c>
      <c r="DM213" s="156">
        <f>INPUT!FZ263</f>
        <v>86.482661004954025</v>
      </c>
      <c r="DN213" s="507">
        <f>INPUT!GA263</f>
        <v>5.1097997015882468</v>
      </c>
      <c r="DO213" s="156">
        <f>INPUT!GB263</f>
        <v>83.006087627540083</v>
      </c>
      <c r="DP213" s="507">
        <f>INPUT!GC263</f>
        <v>-4.0199657792846955</v>
      </c>
      <c r="DQ213" s="156">
        <f>INPUT!GD263</f>
        <v>78.62977602108036</v>
      </c>
      <c r="DR213" s="507">
        <f>INPUT!GE263</f>
        <v>-5.2722778913479758</v>
      </c>
      <c r="DS213" s="156">
        <f>INPUT!GF263</f>
        <v>84.963768115942031</v>
      </c>
      <c r="DT213" s="507">
        <f>INPUT!GG263</f>
        <v>8.0554624664879384</v>
      </c>
      <c r="DU213" s="156">
        <f>INPUT!GH263</f>
        <v>81.288936627282496</v>
      </c>
      <c r="DV213" s="507">
        <f>INPUT!GI263</f>
        <v>-4.3251748011515208</v>
      </c>
      <c r="DW213" s="156">
        <f>INPUT!GJ263</f>
        <v>86.217457886676868</v>
      </c>
      <c r="DX213" s="507">
        <f>INPUT!GK263</f>
        <v>6.0629668241228396</v>
      </c>
      <c r="DY213" s="156">
        <f>INPUT!GL263</f>
        <v>83.9035449299258</v>
      </c>
      <c r="DZ213" s="507">
        <f>INPUT!GM263</f>
        <v>-2.6838102322530144</v>
      </c>
      <c r="EA213" s="156">
        <f>INPUT!GN263</f>
        <v>89.100077579519009</v>
      </c>
      <c r="EB213" s="507">
        <f>INPUT!GO263</f>
        <v>6.1934601856610705</v>
      </c>
      <c r="EC213" s="156">
        <f>INPUT!GP263</f>
        <v>89.64392181195808</v>
      </c>
      <c r="ED213" s="507">
        <f>INPUT!GQ263</f>
        <v>0.61037458912840403</v>
      </c>
      <c r="EE213" s="156">
        <f>INPUT!GR263</f>
        <v>89.66169195518934</v>
      </c>
      <c r="EF213" s="507">
        <f>INPUT!GS263</f>
        <v>1.9823031915700007E-2</v>
      </c>
      <c r="EG213" s="156">
        <f>INPUT!GT263</f>
        <v>89.885452240033715</v>
      </c>
      <c r="EH213" s="507">
        <f>INPUT!GU263</f>
        <v>0.24956063170902265</v>
      </c>
      <c r="EI213" s="156">
        <f>INPUT!GV263</f>
        <v>89.840258623641802</v>
      </c>
      <c r="EJ213" s="507">
        <f>INPUT!GW263</f>
        <v>-5.0279122222385286E-2</v>
      </c>
      <c r="EK213" s="156">
        <f>INPUT!GX263</f>
        <v>89.790156709312413</v>
      </c>
      <c r="EL213" s="507">
        <f>INPUT!GY263</f>
        <v>-5.576777615843298E-2</v>
      </c>
      <c r="EM213" s="687">
        <f>INPUT!GZ263</f>
        <v>0.15442212115464038</v>
      </c>
    </row>
    <row r="214" spans="1:143" ht="12.75" hidden="1" customHeight="1" outlineLevel="1" x14ac:dyDescent="0.2">
      <c r="A214" s="718" t="str">
        <f>INPUT!B265</f>
        <v>Other Op Exp/Net Revenues (%)</v>
      </c>
      <c r="B214" s="156">
        <f>INPUT!AY265</f>
        <v>41.696902037398836</v>
      </c>
      <c r="C214" s="507">
        <f>INPUT!AZ265</f>
        <v>-2.5045353056097897</v>
      </c>
      <c r="D214" s="156">
        <f>INPUT!BA265</f>
        <v>41.824518866494927</v>
      </c>
      <c r="E214" s="687">
        <f>INPUT!BB265</f>
        <v>-2.1387471182011675</v>
      </c>
      <c r="F214" s="156">
        <f>INPUT!BC265</f>
        <v>49.028077753779705</v>
      </c>
      <c r="G214" s="687">
        <f>INPUT!BD265</f>
        <v>-3.3742105100865616</v>
      </c>
      <c r="H214" s="156">
        <f>INPUT!BE265</f>
        <v>52.298119077923907</v>
      </c>
      <c r="I214" s="687">
        <f>INPUT!BF265</f>
        <v>11.323382103630554</v>
      </c>
      <c r="J214" s="156">
        <f>INPUT!BG265</f>
        <v>51.549256634708904</v>
      </c>
      <c r="K214" s="687">
        <f>INPUT!BH265</f>
        <v>23.628505034914294</v>
      </c>
      <c r="L214" s="156">
        <f>INPUT!BI265</f>
        <v>50.291400142146401</v>
      </c>
      <c r="M214" s="687">
        <f>INPUT!BJ265</f>
        <v>20.243822296385527</v>
      </c>
      <c r="N214" s="156">
        <f>INPUT!BK265</f>
        <v>46.604614577871004</v>
      </c>
      <c r="O214" s="687">
        <f>INPUT!BL265</f>
        <v>-4.9430107949151036</v>
      </c>
      <c r="P214" s="156">
        <f>INPUT!BM265</f>
        <v>47.064935064935078</v>
      </c>
      <c r="Q214" s="687">
        <f>INPUT!BN265</f>
        <v>-10.006447851769607</v>
      </c>
      <c r="R214" s="156">
        <f>INPUT!BO265</f>
        <v>43.973037272006344</v>
      </c>
      <c r="S214" s="687">
        <f>INPUT!BP265</f>
        <v>-14.697048720584993</v>
      </c>
      <c r="T214" s="156">
        <f>INPUT!BQ265</f>
        <v>39.335285878008399</v>
      </c>
      <c r="U214" s="687">
        <f>INPUT!BR265</f>
        <v>-21.785263948052812</v>
      </c>
      <c r="V214" s="156">
        <f>INPUT!BS265</f>
        <v>45.566822672906916</v>
      </c>
      <c r="W214" s="687">
        <f>INPUT!BT265</f>
        <v>-2.2268007457288519</v>
      </c>
      <c r="X214" s="156">
        <f>INPUT!BU265</f>
        <v>47.958496159547231</v>
      </c>
      <c r="Y214" s="687">
        <f>INPUT!BV265</f>
        <v>1.8985707584198597</v>
      </c>
      <c r="Z214" s="156">
        <f>INPUT!BW265</f>
        <v>41.556762348073434</v>
      </c>
      <c r="AA214" s="122">
        <f>INPUT!BX265</f>
        <v>-5.4949011344984644</v>
      </c>
      <c r="AB214" s="156">
        <f>INPUT!BY265</f>
        <v>38.698341298847332</v>
      </c>
      <c r="AC214" s="687">
        <f>INPUT!BZ265</f>
        <v>-1.6192702428461825</v>
      </c>
      <c r="AD214" s="156">
        <f>INPUT!CA265</f>
        <v>38.080884199949757</v>
      </c>
      <c r="AE214" s="687">
        <f>INPUT!CB265</f>
        <v>-16.428484660195853</v>
      </c>
      <c r="AF214" s="156">
        <f>INPUT!CC265</f>
        <v>42.224100458826356</v>
      </c>
      <c r="AG214" s="687">
        <f>INPUT!CD265</f>
        <v>-11.956996486386517</v>
      </c>
      <c r="AH214" s="156">
        <f>INPUT!CE265</f>
        <v>36.975093249909754</v>
      </c>
      <c r="AI214" s="507">
        <f>INPUT!CF265</f>
        <v>-11.02508674710576</v>
      </c>
      <c r="AJ214" s="156">
        <f>INPUT!CG265</f>
        <v>34.746774964166249</v>
      </c>
      <c r="AK214" s="507">
        <f>INPUT!CH265</f>
        <v>-10.21120337992053</v>
      </c>
      <c r="AL214" s="156">
        <f>INPUT!CI265</f>
        <v>38.619495299356757</v>
      </c>
      <c r="AM214" s="507">
        <f>INPUT!CJ265</f>
        <v>1.4143870624929278</v>
      </c>
      <c r="AN214" s="156">
        <f>INPUT!CK265</f>
        <v>40.841990158556598</v>
      </c>
      <c r="AO214" s="507">
        <f>INPUT!CL265</f>
        <v>-3.2732735221144282</v>
      </c>
      <c r="AP214" s="156">
        <f>INPUT!CM265</f>
        <v>39.834123222748815</v>
      </c>
      <c r="AQ214" s="507">
        <f>INPUT!CN265</f>
        <v>7.732313083067166</v>
      </c>
      <c r="AR214" s="156">
        <f>INPUT!CO265</f>
        <v>35.800325556158434</v>
      </c>
      <c r="AS214" s="507">
        <f>INPUT!CP265</f>
        <v>3.0320816624814562</v>
      </c>
      <c r="AT214" s="156">
        <f>INPUT!CQ265</f>
        <v>38.373438223044893</v>
      </c>
      <c r="AU214" s="507">
        <f>INPUT!CR265</f>
        <v>-0.63713177607466198</v>
      </c>
      <c r="AV214" s="156">
        <f>INPUT!CS265</f>
        <v>41.311852704257767</v>
      </c>
      <c r="AW214" s="507">
        <f>INPUT!CT265</f>
        <v>1.1504398876672539</v>
      </c>
      <c r="AX214" s="156">
        <f>INPUT!CU265</f>
        <v>33.224043715846996</v>
      </c>
      <c r="AY214" s="507">
        <f>INPUT!CV265</f>
        <v>-16.594012801383506</v>
      </c>
      <c r="AZ214" s="156">
        <f>INPUT!CW265</f>
        <v>31.852654387865652</v>
      </c>
      <c r="BA214" s="507">
        <f>INPUT!CX265</f>
        <v>-11.026914160599578</v>
      </c>
      <c r="BB214" s="156">
        <f>INPUT!CY265</f>
        <v>28.995901639344261</v>
      </c>
      <c r="BC214" s="507">
        <f>INPUT!CZ265</f>
        <v>-24.437571971512885</v>
      </c>
      <c r="BD214" s="156">
        <f>INPUT!DA265</f>
        <v>34.556574923547402</v>
      </c>
      <c r="BE214" s="507">
        <f>INPUT!DB265</f>
        <v>-16.351911953864363</v>
      </c>
      <c r="BF214" s="156">
        <f>INPUT!DC265</f>
        <v>33.441910966340934</v>
      </c>
      <c r="BG214" s="507">
        <f>INPUT!DD265</f>
        <v>0.6557517572432614</v>
      </c>
      <c r="BH214" s="156">
        <f>INPUT!DE265</f>
        <v>32.742440041710111</v>
      </c>
      <c r="BI214" s="507">
        <f>INPUT!DF265</f>
        <v>2.793442715981076</v>
      </c>
      <c r="BJ214" s="156">
        <f>INPUT!DG265</f>
        <v>34.979423868312757</v>
      </c>
      <c r="BK214" s="507">
        <f>INPUT!DH265</f>
        <v>20.63575157411044</v>
      </c>
      <c r="BL214" s="156">
        <f>INPUT!DI265</f>
        <v>36.363636363636367</v>
      </c>
      <c r="BM214" s="507">
        <f>INPUT!DJ265</f>
        <v>5.2292839903459454</v>
      </c>
      <c r="BN214" s="156">
        <f>INPUT!DK265</f>
        <v>34.396809571286141</v>
      </c>
      <c r="BO214" s="507">
        <f>INPUT!DL265</f>
        <v>2.8553948543978525</v>
      </c>
      <c r="BP214" s="156">
        <f>INPUT!DM265</f>
        <v>34.113060428849899</v>
      </c>
      <c r="BQ214" s="507">
        <f>INPUT!DN265</f>
        <v>4.186066723780435</v>
      </c>
      <c r="BR214" s="156">
        <f>INPUT!DO265</f>
        <v>31.109107303877366</v>
      </c>
      <c r="BS214" s="507">
        <f>INPUT!DP265</f>
        <v>-11.064552060680001</v>
      </c>
      <c r="BT214" s="156">
        <f>INPUT!DQ265</f>
        <v>24.917600527356626</v>
      </c>
      <c r="BU214" s="507">
        <f>INPUT!DR265</f>
        <v>-31.476598549769285</v>
      </c>
      <c r="BV214" s="156">
        <f>INPUT!DS265</f>
        <v>31.718464351005483</v>
      </c>
      <c r="BW214" s="507">
        <f>INPUT!DT265</f>
        <v>-7.7866094375115935</v>
      </c>
      <c r="BX214" s="156">
        <f>INPUT!DU265</f>
        <v>31.23861566484517</v>
      </c>
      <c r="BY214" s="507">
        <f>INPUT!DV265</f>
        <v>-8.4262295081967142</v>
      </c>
      <c r="BZ214" s="156">
        <f>INPUT!DW265</f>
        <v>25.813449023861175</v>
      </c>
      <c r="CA214" s="507">
        <f>INPUT!DX265</f>
        <v>25.813449023861175</v>
      </c>
      <c r="CB214" s="156">
        <f>INPUT!DY265</f>
        <v>38.152610441767074</v>
      </c>
      <c r="CC214" s="507">
        <f>INPUT!DZ265</f>
        <v>53.115105926350914</v>
      </c>
      <c r="CD214" s="156">
        <f>INPUT!EA265</f>
        <v>29.380530973451329</v>
      </c>
      <c r="CE214" s="507">
        <f>INPUT!EB265</f>
        <v>-7.3708908214531572</v>
      </c>
      <c r="CF214" s="156">
        <f>INPUT!EC265</f>
        <v>30.866274179983179</v>
      </c>
      <c r="CG214" s="507">
        <f>INPUT!ED265</f>
        <v>-1.19192696903343</v>
      </c>
      <c r="CH214" s="156">
        <f>INPUT!EE265</f>
        <v>30.523028883684621</v>
      </c>
      <c r="CI214" s="507">
        <f>INPUT!EF265</f>
        <v>18.244674919147961</v>
      </c>
      <c r="CJ214" s="156">
        <f>INPUT!EG265</f>
        <v>34.265175718849839</v>
      </c>
      <c r="CK214" s="507">
        <f>INPUT!EH265</f>
        <v>-10.18917101059359</v>
      </c>
      <c r="CL214" s="156">
        <f>INPUT!EI265</f>
        <v>29.832935560859188</v>
      </c>
      <c r="CM214" s="507">
        <f>INPUT!EJ265</f>
        <v>1.5398107944906148</v>
      </c>
      <c r="CN214" s="156">
        <f>INPUT!EK265</f>
        <v>30.551301684532927</v>
      </c>
      <c r="CO214" s="507">
        <f>INPUT!EL265</f>
        <v>-1.0204422264042279</v>
      </c>
      <c r="CP214" s="156">
        <f>INPUT!EM265</f>
        <v>30.14240506329114</v>
      </c>
      <c r="CQ214" s="507">
        <f>INPUT!EN265</f>
        <v>-1.2470054064553704</v>
      </c>
      <c r="CR214" s="156">
        <f>INPUT!EO265</f>
        <v>29.270127915726107</v>
      </c>
      <c r="CS214" s="507">
        <f>INPUT!EP265</f>
        <v>-14.577622026831961</v>
      </c>
      <c r="CT214" s="156">
        <f>INPUT!EQ265</f>
        <v>29.070127915726108</v>
      </c>
      <c r="CU214" s="507">
        <f>INPUT!ER265</f>
        <v>-2.5569312264860811</v>
      </c>
      <c r="CV214" s="156">
        <f>INPUT!ES265</f>
        <v>29.070127915726108</v>
      </c>
      <c r="CW214" s="507">
        <f>INPUT!ET265</f>
        <v>-4.8481527369967576</v>
      </c>
      <c r="CX214" s="156">
        <f>INPUT!EU265</f>
        <v>29.070127915726108</v>
      </c>
      <c r="CY214" s="507">
        <f>INPUT!EV265</f>
        <v>-3.5573709042577395</v>
      </c>
      <c r="CZ214" s="156">
        <f>INPUT!EW265</f>
        <v>29.070127915726108</v>
      </c>
      <c r="DA214" s="507">
        <f>INPUT!EX265</f>
        <v>-0.68329048843187579</v>
      </c>
      <c r="DB214" s="507"/>
      <c r="DC214" s="156">
        <f>INPUT!FP265</f>
        <v>45.754053453764719</v>
      </c>
      <c r="DD214" s="687">
        <f>INPUT!FQ265</f>
        <v>74.314522667410358</v>
      </c>
      <c r="DE214" s="156">
        <f>INPUT!FR265</f>
        <v>46.892774383821362</v>
      </c>
      <c r="DF214" s="687">
        <f>INPUT!FS265</f>
        <v>2.4887869906593973</v>
      </c>
      <c r="DG214" s="156">
        <f>INPUT!FT265</f>
        <v>48.805818673883621</v>
      </c>
      <c r="DH214" s="687">
        <f>INPUT!FU265</f>
        <v>4.0796142160492099</v>
      </c>
      <c r="DI214" s="156">
        <f>INPUT!FV265</f>
        <v>44.150399580767726</v>
      </c>
      <c r="DJ214" s="687">
        <f>INPUT!FW265</f>
        <v>-9.5386558808141615</v>
      </c>
      <c r="DK214" s="156">
        <f>INPUT!FX265</f>
        <v>40.190402675929498</v>
      </c>
      <c r="DL214" s="507">
        <f>INPUT!FY265</f>
        <v>-8.9693342357953121</v>
      </c>
      <c r="DM214" s="156">
        <f>INPUT!FZ265</f>
        <v>37.859754659117719</v>
      </c>
      <c r="DN214" s="507">
        <f>INPUT!GA265</f>
        <v>-5.7990163363245699</v>
      </c>
      <c r="DO214" s="156">
        <f>INPUT!GB265</f>
        <v>38.777901626225379</v>
      </c>
      <c r="DP214" s="507">
        <f>INPUT!GC265</f>
        <v>2.425126563482749</v>
      </c>
      <c r="DQ214" s="156">
        <f>INPUT!GD265</f>
        <v>32.147562582345188</v>
      </c>
      <c r="DR214" s="507">
        <f>INPUT!GE265</f>
        <v>-17.098240920277419</v>
      </c>
      <c r="DS214" s="156">
        <f>INPUT!GF265</f>
        <v>34.420289855072461</v>
      </c>
      <c r="DT214" s="507">
        <f>INPUT!GG265</f>
        <v>7.069672131147553</v>
      </c>
      <c r="DU214" s="156">
        <f>INPUT!GH265</f>
        <v>30.461868958109562</v>
      </c>
      <c r="DV214" s="507">
        <f>INPUT!GI265</f>
        <v>-11.500254395386944</v>
      </c>
      <c r="DW214" s="156">
        <f>INPUT!GJ265</f>
        <v>31.218551739225553</v>
      </c>
      <c r="DX214" s="507">
        <f>INPUT!GK265</f>
        <v>2.4840326841290006</v>
      </c>
      <c r="DY214" s="156">
        <f>INPUT!GL265</f>
        <v>31.306677658697446</v>
      </c>
      <c r="DZ214" s="507">
        <f>INPUT!GM265</f>
        <v>0.28228702025649977</v>
      </c>
      <c r="EA214" s="156">
        <f>INPUT!GN265</f>
        <v>29.945694336695112</v>
      </c>
      <c r="EB214" s="507">
        <f>INPUT!GO265</f>
        <v>-4.3472620660667038</v>
      </c>
      <c r="EC214" s="156">
        <f>INPUT!GP265</f>
        <v>29.070127915726118</v>
      </c>
      <c r="ED214" s="507">
        <f>INPUT!GQ265</f>
        <v>-2.9238474524068248</v>
      </c>
      <c r="EE214" s="156">
        <f>INPUT!GR265</f>
        <v>29.270127915726118</v>
      </c>
      <c r="EF214" s="507">
        <f>INPUT!GS265</f>
        <v>0.68799146869871208</v>
      </c>
      <c r="EG214" s="156">
        <f>INPUT!GT265</f>
        <v>29.270127915726118</v>
      </c>
      <c r="EH214" s="507">
        <f>INPUT!GU265</f>
        <v>0</v>
      </c>
      <c r="EI214" s="156">
        <f>INPUT!GV265</f>
        <v>29.270127915726118</v>
      </c>
      <c r="EJ214" s="507">
        <f>INPUT!GW265</f>
        <v>0</v>
      </c>
      <c r="EK214" s="156">
        <f>INPUT!GX265</f>
        <v>29.270127915726118</v>
      </c>
      <c r="EL214" s="507">
        <f>INPUT!GY265</f>
        <v>0</v>
      </c>
      <c r="EM214" s="687">
        <f>INPUT!GZ265</f>
        <v>-0.45532188498194071</v>
      </c>
    </row>
    <row r="215" spans="1:143" ht="12.75" hidden="1" customHeight="1" outlineLevel="1" x14ac:dyDescent="0.2">
      <c r="A215" s="701"/>
      <c r="B215" s="16"/>
      <c r="C215" s="507"/>
      <c r="D215" s="16"/>
      <c r="E215" s="687"/>
      <c r="F215" s="16"/>
      <c r="G215" s="687"/>
      <c r="H215" s="16"/>
      <c r="I215" s="687"/>
      <c r="J215" s="16"/>
      <c r="K215" s="507"/>
      <c r="L215" s="16"/>
      <c r="M215" s="507"/>
      <c r="N215" s="16"/>
      <c r="O215" s="507"/>
      <c r="P215" s="16"/>
      <c r="Q215" s="507"/>
      <c r="R215" s="16"/>
      <c r="S215" s="507"/>
      <c r="T215" s="16"/>
      <c r="U215" s="507"/>
      <c r="V215" s="16"/>
      <c r="W215" s="507"/>
      <c r="X215" s="16"/>
      <c r="Y215" s="507"/>
      <c r="Z215" s="16"/>
      <c r="AA215" s="122"/>
      <c r="AB215" s="16"/>
      <c r="AC215" s="507"/>
      <c r="AD215" s="16"/>
      <c r="AE215" s="507"/>
      <c r="AF215" s="16"/>
      <c r="AG215" s="507"/>
      <c r="AH215" s="16"/>
      <c r="AI215" s="507"/>
      <c r="AJ215" s="16"/>
      <c r="AK215" s="507"/>
      <c r="AL215" s="16"/>
      <c r="AM215" s="507"/>
      <c r="AN215" s="16"/>
      <c r="AO215" s="507"/>
      <c r="AP215" s="16"/>
      <c r="AQ215" s="507"/>
      <c r="AR215" s="16"/>
      <c r="AS215" s="507"/>
      <c r="AT215" s="16"/>
      <c r="AU215" s="507"/>
      <c r="AV215" s="16"/>
      <c r="AW215" s="507"/>
      <c r="AX215" s="16"/>
      <c r="AY215" s="507"/>
      <c r="AZ215" s="16"/>
      <c r="BA215" s="507"/>
      <c r="BB215" s="16"/>
      <c r="BC215" s="507"/>
      <c r="BD215" s="16"/>
      <c r="BE215" s="507"/>
      <c r="BF215" s="16"/>
      <c r="BG215" s="507"/>
      <c r="BH215" s="16"/>
      <c r="BI215" s="507"/>
      <c r="BJ215" s="16"/>
      <c r="BK215" s="507"/>
      <c r="BL215" s="16"/>
      <c r="BM215" s="507"/>
      <c r="BN215" s="16"/>
      <c r="BO215" s="507"/>
      <c r="BP215" s="16"/>
      <c r="BQ215" s="507"/>
      <c r="BR215" s="16"/>
      <c r="BS215" s="507"/>
      <c r="BT215" s="16"/>
      <c r="BU215" s="507"/>
      <c r="BV215" s="16"/>
      <c r="BW215" s="507"/>
      <c r="BX215" s="16"/>
      <c r="BY215" s="507"/>
      <c r="BZ215" s="16"/>
      <c r="CA215" s="507"/>
      <c r="CB215" s="16"/>
      <c r="CC215" s="507"/>
      <c r="CD215" s="16"/>
      <c r="CE215" s="507"/>
      <c r="CF215" s="16"/>
      <c r="CG215" s="507"/>
      <c r="CH215" s="16"/>
      <c r="CI215" s="507"/>
      <c r="CJ215" s="16"/>
      <c r="CK215" s="507"/>
      <c r="CL215" s="16"/>
      <c r="CM215" s="507"/>
      <c r="CN215" s="16"/>
      <c r="CO215" s="507"/>
      <c r="CP215" s="16"/>
      <c r="CQ215" s="507"/>
      <c r="CR215" s="16"/>
      <c r="CS215" s="507"/>
      <c r="CT215" s="16"/>
      <c r="CU215" s="507"/>
      <c r="CV215" s="16"/>
      <c r="CW215" s="507"/>
      <c r="CX215" s="16"/>
      <c r="CY215" s="507"/>
      <c r="CZ215" s="16"/>
      <c r="DA215" s="507"/>
      <c r="DB215" s="507"/>
      <c r="DC215" s="16"/>
      <c r="DD215" s="507"/>
      <c r="DE215" s="16"/>
      <c r="DF215" s="507"/>
      <c r="DG215" s="16"/>
      <c r="DH215" s="507"/>
      <c r="DI215" s="16"/>
      <c r="DJ215" s="507"/>
      <c r="DK215" s="16"/>
      <c r="DL215" s="507"/>
      <c r="DM215" s="16"/>
      <c r="DN215" s="507"/>
      <c r="DO215" s="16"/>
      <c r="DP215" s="507"/>
      <c r="DQ215" s="16"/>
      <c r="DR215" s="507"/>
      <c r="DS215" s="16"/>
      <c r="DT215" s="507"/>
      <c r="DU215" s="16"/>
      <c r="DV215" s="507"/>
      <c r="DW215" s="16"/>
      <c r="DX215" s="507"/>
      <c r="DY215" s="16"/>
      <c r="DZ215" s="507"/>
      <c r="EA215" s="16"/>
      <c r="EB215" s="507"/>
      <c r="EC215" s="16"/>
      <c r="ED215" s="507"/>
      <c r="EE215" s="16"/>
      <c r="EF215" s="507"/>
      <c r="EG215" s="16"/>
      <c r="EH215" s="507"/>
      <c r="EI215" s="16"/>
      <c r="EJ215" s="507"/>
      <c r="EK215" s="16"/>
      <c r="EL215" s="507"/>
      <c r="EM215" s="687"/>
    </row>
    <row r="216" spans="1:143" ht="12.75" hidden="1" customHeight="1" outlineLevel="1" x14ac:dyDescent="0.2">
      <c r="A216" s="689" t="str">
        <f>+A51</f>
        <v xml:space="preserve">Quarterly income statement ratios are annualized where appropriate     NM = Not Meaningful       NA = Not Applicable </v>
      </c>
      <c r="B216" s="16"/>
      <c r="C216" s="507"/>
      <c r="D216" s="16"/>
      <c r="E216" s="687"/>
      <c r="F216" s="16"/>
      <c r="G216" s="687"/>
      <c r="H216" s="16"/>
      <c r="I216" s="687"/>
      <c r="J216" s="16"/>
      <c r="K216" s="507"/>
      <c r="L216" s="16"/>
      <c r="M216" s="507"/>
      <c r="N216" s="16"/>
      <c r="O216" s="507"/>
      <c r="P216" s="16"/>
      <c r="Q216" s="507"/>
      <c r="R216" s="16"/>
      <c r="S216" s="507"/>
      <c r="T216" s="16"/>
      <c r="U216" s="507"/>
      <c r="V216" s="16"/>
      <c r="W216" s="507"/>
      <c r="X216" s="16"/>
      <c r="Y216" s="507"/>
      <c r="Z216" s="16"/>
      <c r="AA216" s="507"/>
      <c r="AB216" s="16"/>
      <c r="AC216" s="507"/>
      <c r="AD216" s="16"/>
      <c r="AE216" s="507"/>
      <c r="AF216" s="16"/>
      <c r="AG216" s="507"/>
      <c r="AH216" s="16"/>
      <c r="AI216" s="507"/>
      <c r="AJ216" s="16"/>
      <c r="AK216" s="507"/>
      <c r="AL216" s="16"/>
      <c r="AM216" s="507"/>
      <c r="AN216" s="16"/>
      <c r="AO216" s="507"/>
      <c r="AP216" s="16"/>
      <c r="AQ216" s="507"/>
      <c r="AR216" s="16"/>
      <c r="AS216" s="507"/>
      <c r="AT216" s="16"/>
      <c r="AU216" s="507"/>
      <c r="AV216" s="16"/>
      <c r="AW216" s="507"/>
      <c r="AX216" s="16"/>
      <c r="AY216" s="507"/>
      <c r="AZ216" s="16"/>
      <c r="BA216" s="507"/>
      <c r="BB216" s="16"/>
      <c r="BC216" s="507"/>
      <c r="BD216" s="16"/>
      <c r="BE216" s="507"/>
      <c r="BF216" s="16"/>
      <c r="BG216" s="507"/>
      <c r="BH216" s="16"/>
      <c r="BI216" s="507"/>
      <c r="BJ216" s="16"/>
      <c r="BK216" s="507"/>
      <c r="BL216" s="16"/>
      <c r="BM216" s="507"/>
      <c r="BN216" s="16"/>
      <c r="BO216" s="507"/>
      <c r="BP216" s="16"/>
      <c r="BQ216" s="507"/>
      <c r="BR216" s="16"/>
      <c r="BS216" s="507"/>
      <c r="BT216" s="16"/>
      <c r="BU216" s="507"/>
      <c r="BV216" s="16"/>
      <c r="BW216" s="507"/>
      <c r="BX216" s="16"/>
      <c r="BY216" s="507"/>
      <c r="BZ216" s="16"/>
      <c r="CA216" s="507"/>
      <c r="CB216" s="16"/>
      <c r="CC216" s="507"/>
      <c r="CD216" s="16"/>
      <c r="CE216" s="507"/>
      <c r="CF216" s="16"/>
      <c r="CG216" s="507"/>
      <c r="CH216" s="16"/>
      <c r="CI216" s="507"/>
      <c r="CJ216" s="16"/>
      <c r="CK216" s="507"/>
      <c r="CL216" s="16"/>
      <c r="CM216" s="507"/>
      <c r="CN216" s="16"/>
      <c r="CO216" s="507"/>
      <c r="CP216" s="16"/>
      <c r="CQ216" s="507"/>
      <c r="CR216" s="16"/>
      <c r="CS216" s="507"/>
      <c r="CT216" s="16"/>
      <c r="CU216" s="507"/>
      <c r="CV216" s="16"/>
      <c r="CW216" s="507"/>
      <c r="CX216" s="16"/>
      <c r="CY216" s="507"/>
      <c r="CZ216" s="16"/>
      <c r="DA216" s="507"/>
      <c r="DB216" s="507"/>
      <c r="DC216" s="16"/>
      <c r="DD216" s="507"/>
      <c r="DE216" s="16"/>
      <c r="DF216" s="507"/>
      <c r="DG216" s="16"/>
      <c r="DH216" s="507"/>
      <c r="DI216" s="16"/>
      <c r="DJ216" s="507"/>
      <c r="DK216" s="16"/>
      <c r="DL216" s="507"/>
      <c r="DM216" s="16"/>
      <c r="DN216" s="507"/>
      <c r="DO216" s="16"/>
      <c r="DP216" s="507"/>
      <c r="DQ216" s="16"/>
      <c r="DR216" s="507"/>
      <c r="DS216" s="16"/>
      <c r="DT216" s="507"/>
      <c r="DU216" s="16"/>
      <c r="DV216" s="507"/>
      <c r="DW216" s="16"/>
      <c r="DX216" s="507"/>
      <c r="DY216" s="16"/>
      <c r="DZ216" s="507"/>
      <c r="EA216" s="16"/>
      <c r="EB216" s="507"/>
      <c r="EC216" s="16"/>
      <c r="ED216" s="507"/>
      <c r="EE216" s="16"/>
      <c r="EF216" s="507"/>
      <c r="EG216" s="16"/>
      <c r="EH216" s="507"/>
      <c r="EI216" s="16"/>
      <c r="EJ216" s="507"/>
      <c r="EK216" s="16"/>
      <c r="EL216" s="507"/>
      <c r="EM216" s="687"/>
    </row>
    <row r="217" spans="1:143" ht="12.75" hidden="1" customHeight="1" outlineLevel="1" x14ac:dyDescent="0.2">
      <c r="A217" s="689" t="s">
        <v>355</v>
      </c>
      <c r="B217" s="16"/>
      <c r="C217" s="507"/>
      <c r="D217" s="16"/>
      <c r="E217" s="687"/>
      <c r="F217" s="16"/>
      <c r="G217" s="687"/>
      <c r="H217" s="16"/>
      <c r="I217" s="687"/>
      <c r="J217" s="16"/>
      <c r="K217" s="507"/>
      <c r="L217" s="16"/>
      <c r="M217" s="507"/>
      <c r="N217" s="16"/>
      <c r="O217" s="507"/>
      <c r="P217" s="16"/>
      <c r="Q217" s="507"/>
      <c r="R217" s="16"/>
      <c r="S217" s="507"/>
      <c r="T217" s="16"/>
      <c r="U217" s="507"/>
      <c r="V217" s="16"/>
      <c r="W217" s="507"/>
      <c r="X217" s="16"/>
      <c r="Y217" s="507"/>
      <c r="Z217" s="16"/>
      <c r="AA217" s="507"/>
      <c r="AB217" s="16"/>
      <c r="AC217" s="507"/>
      <c r="AD217" s="16"/>
      <c r="AE217" s="507"/>
      <c r="AF217" s="16"/>
      <c r="AG217" s="507"/>
      <c r="AH217" s="16"/>
      <c r="AI217" s="507"/>
      <c r="AJ217" s="16"/>
      <c r="AK217" s="507"/>
      <c r="AL217" s="16"/>
      <c r="AM217" s="507"/>
      <c r="AN217" s="16"/>
      <c r="AO217" s="507"/>
      <c r="AP217" s="16"/>
      <c r="AQ217" s="507"/>
      <c r="AR217" s="16"/>
      <c r="AS217" s="507"/>
      <c r="AT217" s="16"/>
      <c r="AU217" s="507"/>
      <c r="AV217" s="16"/>
      <c r="AW217" s="507"/>
      <c r="AX217" s="16"/>
      <c r="AY217" s="507"/>
      <c r="AZ217" s="16"/>
      <c r="BA217" s="507"/>
      <c r="BB217" s="16"/>
      <c r="BC217" s="507"/>
      <c r="BD217" s="16"/>
      <c r="BE217" s="507"/>
      <c r="BF217" s="16"/>
      <c r="BG217" s="507"/>
      <c r="BH217" s="16"/>
      <c r="BI217" s="507"/>
      <c r="BJ217" s="16"/>
      <c r="BK217" s="507"/>
      <c r="BL217" s="16"/>
      <c r="BM217" s="507"/>
      <c r="BN217" s="16"/>
      <c r="BO217" s="507"/>
      <c r="BP217" s="16"/>
      <c r="BQ217" s="507"/>
      <c r="BR217" s="16"/>
      <c r="BS217" s="507"/>
      <c r="BT217" s="16"/>
      <c r="BU217" s="507"/>
      <c r="BV217" s="16"/>
      <c r="BW217" s="507"/>
      <c r="BX217" s="16"/>
      <c r="BY217" s="507"/>
      <c r="BZ217" s="16"/>
      <c r="CA217" s="507"/>
      <c r="CB217" s="16"/>
      <c r="CC217" s="507"/>
      <c r="CD217" s="16"/>
      <c r="CE217" s="507"/>
      <c r="CF217" s="16"/>
      <c r="CG217" s="507"/>
      <c r="CH217" s="16"/>
      <c r="CI217" s="507"/>
      <c r="CJ217" s="16"/>
      <c r="CK217" s="507"/>
      <c r="CL217" s="16"/>
      <c r="CM217" s="507"/>
      <c r="CN217" s="16"/>
      <c r="CO217" s="507"/>
      <c r="CP217" s="16"/>
      <c r="CQ217" s="507"/>
      <c r="CR217" s="16"/>
      <c r="CS217" s="507"/>
      <c r="CT217" s="16"/>
      <c r="CU217" s="507"/>
      <c r="CV217" s="16"/>
      <c r="CW217" s="507"/>
      <c r="CX217" s="16"/>
      <c r="CY217" s="507"/>
      <c r="CZ217" s="16"/>
      <c r="DA217" s="507"/>
      <c r="DB217" s="507"/>
      <c r="DC217" s="16"/>
      <c r="DD217" s="507"/>
      <c r="DE217" s="16"/>
      <c r="DF217" s="507"/>
      <c r="DG217" s="16"/>
      <c r="DH217" s="507"/>
      <c r="DI217" s="16"/>
      <c r="DJ217" s="507"/>
      <c r="DK217" s="16"/>
      <c r="DL217" s="507"/>
      <c r="DM217" s="16"/>
      <c r="DN217" s="507"/>
      <c r="DO217" s="16"/>
      <c r="DP217" s="507"/>
      <c r="DQ217" s="16"/>
      <c r="DR217" s="507"/>
      <c r="DS217" s="16"/>
      <c r="DT217" s="507"/>
      <c r="DU217" s="16"/>
      <c r="DV217" s="507"/>
      <c r="DW217" s="16"/>
      <c r="DX217" s="507"/>
      <c r="DY217" s="16"/>
      <c r="DZ217" s="507"/>
      <c r="EA217" s="16"/>
      <c r="EB217" s="507"/>
      <c r="EC217" s="16"/>
      <c r="ED217" s="507"/>
      <c r="EE217" s="16"/>
      <c r="EF217" s="507"/>
      <c r="EG217" s="16"/>
      <c r="EH217" s="507"/>
      <c r="EI217" s="16"/>
      <c r="EJ217" s="507"/>
      <c r="EK217" s="16"/>
      <c r="EL217" s="507"/>
      <c r="EM217" s="687"/>
    </row>
    <row r="218" spans="1:143" ht="12.75" hidden="1" customHeight="1" outlineLevel="1" x14ac:dyDescent="0.2">
      <c r="A218" s="701"/>
      <c r="B218" s="16"/>
      <c r="C218" s="762"/>
      <c r="D218" s="16"/>
      <c r="E218" s="702"/>
      <c r="F218" s="16"/>
      <c r="G218" s="702"/>
      <c r="H218" s="16"/>
      <c r="I218" s="702"/>
      <c r="J218" s="16"/>
      <c r="K218" s="762"/>
      <c r="L218" s="16"/>
      <c r="M218" s="762"/>
      <c r="N218" s="16"/>
      <c r="O218" s="762"/>
      <c r="P218" s="16"/>
      <c r="Q218" s="762"/>
      <c r="R218" s="16"/>
      <c r="S218" s="762"/>
      <c r="T218" s="16"/>
      <c r="U218" s="762"/>
      <c r="V218" s="16"/>
      <c r="W218" s="762"/>
      <c r="X218" s="16"/>
      <c r="Y218" s="762"/>
      <c r="Z218" s="16"/>
      <c r="AA218" s="762"/>
      <c r="AB218" s="16"/>
      <c r="AC218" s="762"/>
      <c r="AD218" s="16"/>
      <c r="AE218" s="762"/>
      <c r="AF218" s="16"/>
      <c r="AG218" s="762"/>
      <c r="AH218" s="16"/>
      <c r="AI218" s="762"/>
      <c r="AJ218" s="16"/>
      <c r="AK218" s="762"/>
      <c r="AL218" s="16"/>
      <c r="AM218" s="762"/>
      <c r="AN218" s="16"/>
      <c r="AO218" s="762"/>
      <c r="AP218" s="16"/>
      <c r="AQ218" s="762"/>
      <c r="AR218" s="16"/>
      <c r="AS218" s="762"/>
      <c r="AT218" s="16"/>
      <c r="AU218" s="762"/>
      <c r="AV218" s="16"/>
      <c r="AW218" s="762"/>
      <c r="AX218" s="16"/>
      <c r="AY218" s="762"/>
      <c r="AZ218" s="16"/>
      <c r="BA218" s="762"/>
      <c r="BB218" s="16"/>
      <c r="BC218" s="762"/>
      <c r="BD218" s="16"/>
      <c r="BE218" s="762"/>
      <c r="BF218" s="16"/>
      <c r="BG218" s="762"/>
      <c r="BH218" s="16"/>
      <c r="BI218" s="762"/>
      <c r="BJ218" s="16"/>
      <c r="BK218" s="762"/>
      <c r="BL218" s="16"/>
      <c r="BM218" s="762"/>
      <c r="BN218" s="16"/>
      <c r="BO218" s="762"/>
      <c r="BP218" s="16"/>
      <c r="BQ218" s="762"/>
      <c r="BR218" s="16"/>
      <c r="BS218" s="762"/>
      <c r="BT218" s="16"/>
      <c r="BU218" s="762"/>
      <c r="BV218" s="16"/>
      <c r="BW218" s="762"/>
      <c r="BX218" s="16"/>
      <c r="BY218" s="762"/>
      <c r="BZ218" s="16"/>
      <c r="CA218" s="762"/>
      <c r="CB218" s="16"/>
      <c r="CC218" s="762"/>
      <c r="CD218" s="16"/>
      <c r="CE218" s="762"/>
      <c r="CF218" s="16"/>
      <c r="CG218" s="762"/>
      <c r="CH218" s="16"/>
      <c r="CI218" s="762"/>
      <c r="CJ218" s="16"/>
      <c r="CK218" s="762"/>
      <c r="CL218" s="16"/>
      <c r="CM218" s="762"/>
      <c r="CN218" s="16"/>
      <c r="CO218" s="762"/>
      <c r="CP218" s="16"/>
      <c r="CQ218" s="762"/>
      <c r="CR218" s="16"/>
      <c r="CS218" s="762"/>
      <c r="CT218" s="16"/>
      <c r="CU218" s="762"/>
      <c r="CV218" s="16"/>
      <c r="CW218" s="762"/>
      <c r="CX218" s="16"/>
      <c r="CY218" s="762"/>
      <c r="CZ218" s="16"/>
      <c r="DA218" s="762"/>
      <c r="DB218" s="762"/>
      <c r="DC218" s="16"/>
      <c r="DD218" s="762"/>
      <c r="DE218" s="16"/>
      <c r="DF218" s="762"/>
      <c r="DG218" s="16"/>
      <c r="DH218" s="762"/>
      <c r="DI218" s="16"/>
      <c r="DJ218" s="762"/>
      <c r="DK218" s="16"/>
      <c r="DL218" s="762"/>
      <c r="DM218" s="16"/>
      <c r="DN218" s="762"/>
      <c r="DO218" s="16"/>
      <c r="DP218" s="762"/>
      <c r="DQ218" s="16"/>
      <c r="DR218" s="762"/>
      <c r="DS218" s="16"/>
      <c r="DT218" s="762"/>
      <c r="DU218" s="16"/>
      <c r="DV218" s="762"/>
      <c r="DW218" s="16"/>
      <c r="DX218" s="762"/>
      <c r="DY218" s="16"/>
      <c r="DZ218" s="762"/>
      <c r="EA218" s="16"/>
      <c r="EB218" s="762"/>
      <c r="EC218" s="16"/>
      <c r="ED218" s="762"/>
      <c r="EE218" s="16"/>
      <c r="EF218" s="762"/>
      <c r="EG218" s="16"/>
      <c r="EH218" s="762"/>
      <c r="EI218" s="16"/>
      <c r="EJ218" s="762"/>
      <c r="EK218" s="16"/>
      <c r="EL218" s="762"/>
      <c r="EM218" s="702"/>
    </row>
    <row r="219" spans="1:143" s="774" customFormat="1" ht="21.95" hidden="1" customHeight="1" outlineLevel="1" x14ac:dyDescent="0.3">
      <c r="A219" s="770" t="str">
        <f>$A$1</f>
        <v>Lincoln National</v>
      </c>
      <c r="B219" s="771"/>
      <c r="C219" s="772"/>
      <c r="D219" s="771"/>
      <c r="E219" s="773"/>
      <c r="F219" s="771"/>
      <c r="G219" s="773"/>
      <c r="H219" s="771"/>
      <c r="I219" s="773"/>
      <c r="J219" s="771"/>
      <c r="K219" s="772"/>
      <c r="L219" s="771"/>
      <c r="M219" s="772"/>
      <c r="N219" s="771"/>
      <c r="O219" s="772"/>
      <c r="P219" s="771"/>
      <c r="Q219" s="772"/>
      <c r="R219" s="771"/>
      <c r="S219" s="772"/>
      <c r="T219" s="771"/>
      <c r="U219" s="772"/>
      <c r="V219" s="771"/>
      <c r="W219" s="772"/>
      <c r="X219" s="771"/>
      <c r="Y219" s="772"/>
      <c r="Z219" s="771"/>
      <c r="AA219" s="772"/>
      <c r="AB219" s="771"/>
      <c r="AC219" s="772"/>
      <c r="AD219" s="771"/>
      <c r="AE219" s="772"/>
      <c r="AF219" s="771"/>
      <c r="AG219" s="772"/>
      <c r="AH219" s="771"/>
      <c r="AI219" s="772"/>
      <c r="AJ219" s="771"/>
      <c r="AK219" s="772"/>
      <c r="AL219" s="771"/>
      <c r="AM219" s="772"/>
      <c r="AN219" s="771"/>
      <c r="AO219" s="772"/>
      <c r="AP219" s="771"/>
      <c r="AQ219" s="772"/>
      <c r="AR219" s="771"/>
      <c r="AS219" s="772"/>
      <c r="AT219" s="771"/>
      <c r="AU219" s="772"/>
      <c r="AV219" s="771"/>
      <c r="AW219" s="772"/>
      <c r="AX219" s="771"/>
      <c r="AY219" s="772"/>
      <c r="AZ219" s="771"/>
      <c r="BA219" s="772"/>
      <c r="BB219" s="771"/>
      <c r="BC219" s="772"/>
      <c r="BD219" s="771"/>
      <c r="BE219" s="772"/>
      <c r="BF219" s="771"/>
      <c r="BG219" s="772"/>
      <c r="BH219" s="771"/>
      <c r="BI219" s="772"/>
      <c r="BJ219" s="771"/>
      <c r="BK219" s="772"/>
      <c r="BL219" s="771"/>
      <c r="BM219" s="772"/>
      <c r="BN219" s="771"/>
      <c r="BO219" s="772"/>
      <c r="BP219" s="771"/>
      <c r="BQ219" s="772"/>
      <c r="BR219" s="771"/>
      <c r="BS219" s="772"/>
      <c r="BT219" s="771"/>
      <c r="BU219" s="772"/>
      <c r="BV219" s="771"/>
      <c r="BW219" s="772"/>
      <c r="BX219" s="771"/>
      <c r="BY219" s="772"/>
      <c r="BZ219" s="771"/>
      <c r="CA219" s="772"/>
      <c r="CB219" s="771"/>
      <c r="CC219" s="772"/>
      <c r="CD219" s="771"/>
      <c r="CE219" s="772"/>
      <c r="CF219" s="771"/>
      <c r="CG219" s="772"/>
      <c r="CH219" s="771"/>
      <c r="CI219" s="772"/>
      <c r="CJ219" s="771"/>
      <c r="CK219" s="772"/>
      <c r="CL219" s="771"/>
      <c r="CM219" s="772"/>
      <c r="CN219" s="771"/>
      <c r="CO219" s="772"/>
      <c r="CP219" s="771"/>
      <c r="CQ219" s="772"/>
      <c r="CR219" s="771"/>
      <c r="CS219" s="772"/>
      <c r="CT219" s="771"/>
      <c r="CU219" s="772"/>
      <c r="CV219" s="771"/>
      <c r="CW219" s="772"/>
      <c r="CX219" s="771"/>
      <c r="CY219" s="772"/>
      <c r="CZ219" s="771"/>
      <c r="DA219" s="772"/>
      <c r="DB219" s="772"/>
      <c r="DC219" s="771"/>
      <c r="DD219" s="772"/>
      <c r="DE219" s="771"/>
      <c r="DF219" s="772"/>
      <c r="DG219" s="771"/>
      <c r="DH219" s="772"/>
      <c r="DI219" s="771"/>
      <c r="DJ219" s="772"/>
      <c r="DK219" s="771"/>
      <c r="DL219" s="772"/>
      <c r="DM219" s="771"/>
      <c r="DN219" s="772"/>
      <c r="DO219" s="771"/>
      <c r="DP219" s="772"/>
      <c r="DQ219" s="771"/>
      <c r="DR219" s="772"/>
      <c r="DS219" s="771"/>
      <c r="DT219" s="772"/>
      <c r="DU219" s="771"/>
      <c r="DV219" s="772"/>
      <c r="DW219" s="771"/>
      <c r="DX219" s="772"/>
      <c r="DY219" s="771"/>
      <c r="DZ219" s="772"/>
      <c r="EA219" s="771"/>
      <c r="EB219" s="772"/>
      <c r="EC219" s="771"/>
      <c r="ED219" s="772"/>
      <c r="EE219" s="771"/>
      <c r="EF219" s="772"/>
      <c r="EG219" s="771"/>
      <c r="EH219" s="772"/>
      <c r="EI219" s="771"/>
      <c r="EJ219" s="772"/>
      <c r="EK219" s="771"/>
      <c r="EL219" s="772"/>
      <c r="EM219" s="773"/>
    </row>
    <row r="220" spans="1:143" ht="12.75" hidden="1" customHeight="1" outlineLevel="1" x14ac:dyDescent="0.2">
      <c r="A220" s="685" t="s">
        <v>517</v>
      </c>
      <c r="B220" s="4"/>
      <c r="C220" s="496"/>
      <c r="D220" s="4"/>
      <c r="E220" s="686"/>
      <c r="F220" s="4"/>
      <c r="G220" s="686"/>
      <c r="H220" s="4"/>
      <c r="I220" s="686"/>
      <c r="J220" s="4"/>
      <c r="K220" s="496"/>
      <c r="L220" s="4"/>
      <c r="M220" s="496"/>
      <c r="N220" s="4"/>
      <c r="O220" s="496"/>
      <c r="P220" s="4"/>
      <c r="Q220" s="496"/>
      <c r="R220" s="4"/>
      <c r="S220" s="496"/>
      <c r="T220" s="4"/>
      <c r="U220" s="496"/>
      <c r="V220" s="4"/>
      <c r="W220" s="496"/>
      <c r="X220" s="4"/>
      <c r="Y220" s="496"/>
      <c r="Z220" s="4"/>
      <c r="AA220" s="496"/>
      <c r="AB220" s="4"/>
      <c r="AC220" s="496"/>
      <c r="AD220" s="4"/>
      <c r="AE220" s="496"/>
      <c r="AF220" s="4"/>
      <c r="AG220" s="496"/>
      <c r="AH220" s="4"/>
      <c r="AI220" s="496"/>
      <c r="AJ220" s="4"/>
      <c r="AK220" s="496"/>
      <c r="AL220" s="4"/>
      <c r="AM220" s="496"/>
      <c r="AN220" s="4"/>
      <c r="AO220" s="496"/>
      <c r="AP220" s="4"/>
      <c r="AQ220" s="496"/>
      <c r="AR220" s="4"/>
      <c r="AS220" s="496"/>
      <c r="AT220" s="4"/>
      <c r="AU220" s="496"/>
      <c r="AV220" s="4"/>
      <c r="AW220" s="496"/>
      <c r="AX220" s="4"/>
      <c r="AY220" s="496"/>
      <c r="AZ220" s="4"/>
      <c r="BA220" s="496"/>
      <c r="BB220" s="4"/>
      <c r="BC220" s="496"/>
      <c r="BD220" s="4"/>
      <c r="BE220" s="496"/>
      <c r="BF220" s="4"/>
      <c r="BG220" s="496"/>
      <c r="BH220" s="4"/>
      <c r="BI220" s="496"/>
      <c r="BJ220" s="4"/>
      <c r="BK220" s="496"/>
      <c r="BL220" s="4"/>
      <c r="BM220" s="496"/>
      <c r="BN220" s="4"/>
      <c r="BO220" s="496"/>
      <c r="BP220" s="4"/>
      <c r="BQ220" s="496"/>
      <c r="BR220" s="4"/>
      <c r="BS220" s="496"/>
      <c r="BT220" s="4"/>
      <c r="BU220" s="496"/>
      <c r="BV220" s="4"/>
      <c r="BW220" s="496"/>
      <c r="BX220" s="4"/>
      <c r="BY220" s="496"/>
      <c r="BZ220" s="4"/>
      <c r="CA220" s="496"/>
      <c r="CB220" s="4"/>
      <c r="CC220" s="496"/>
      <c r="CD220" s="4"/>
      <c r="CE220" s="496"/>
      <c r="CF220" s="4"/>
      <c r="CG220" s="496"/>
      <c r="CH220" s="4"/>
      <c r="CI220" s="496"/>
      <c r="CJ220" s="4"/>
      <c r="CK220" s="496"/>
      <c r="CL220" s="4"/>
      <c r="CM220" s="496"/>
      <c r="CN220" s="4"/>
      <c r="CO220" s="496"/>
      <c r="CP220" s="4"/>
      <c r="CQ220" s="496"/>
      <c r="CR220" s="4"/>
      <c r="CS220" s="496"/>
      <c r="CT220" s="4"/>
      <c r="CU220" s="496"/>
      <c r="CV220" s="4"/>
      <c r="CW220" s="496"/>
      <c r="CX220" s="4"/>
      <c r="CY220" s="496"/>
      <c r="CZ220" s="4"/>
      <c r="DA220" s="496"/>
      <c r="DB220" s="496"/>
      <c r="DC220" s="4"/>
      <c r="DD220" s="496"/>
      <c r="DE220" s="4"/>
      <c r="DF220" s="496"/>
      <c r="DG220" s="4"/>
      <c r="DH220" s="496"/>
      <c r="DI220" s="4"/>
      <c r="DJ220" s="496"/>
      <c r="DK220" s="4"/>
      <c r="DL220" s="496"/>
      <c r="DM220" s="4"/>
      <c r="DN220" s="496"/>
      <c r="DO220" s="4"/>
      <c r="DP220" s="496"/>
      <c r="DQ220" s="4"/>
      <c r="DR220" s="496"/>
      <c r="DS220" s="4"/>
      <c r="DT220" s="496"/>
      <c r="DU220" s="4"/>
      <c r="DV220" s="496"/>
      <c r="DW220" s="4"/>
      <c r="DX220" s="496"/>
      <c r="DY220" s="4"/>
      <c r="DZ220" s="496"/>
      <c r="EA220" s="4"/>
      <c r="EB220" s="496"/>
      <c r="EC220" s="4"/>
      <c r="ED220" s="496"/>
      <c r="EE220" s="4"/>
      <c r="EF220" s="496"/>
      <c r="EG220" s="4"/>
      <c r="EH220" s="496"/>
      <c r="EI220" s="4"/>
      <c r="EJ220" s="496"/>
      <c r="EK220" s="4"/>
      <c r="EL220" s="496"/>
      <c r="EM220" s="686"/>
    </row>
    <row r="221" spans="1:143" s="3" customFormat="1" ht="12.75" hidden="1" customHeight="1" outlineLevel="1" x14ac:dyDescent="0.2">
      <c r="A221" s="560" t="str">
        <f>A$3</f>
        <v>($Millions Except Per Share Data)</v>
      </c>
      <c r="B221" s="704"/>
      <c r="C221" s="724"/>
      <c r="D221" s="704"/>
      <c r="E221" s="724" t="str">
        <f>E$3</f>
        <v>2Q06/</v>
      </c>
      <c r="F221" s="704"/>
      <c r="G221" s="724" t="str">
        <f>G$3</f>
        <v>3Q06/</v>
      </c>
      <c r="H221" s="704"/>
      <c r="I221" s="724" t="str">
        <f>I$3</f>
        <v>4Q06/</v>
      </c>
      <c r="J221" s="724"/>
      <c r="K221" s="724" t="str">
        <f>K$3</f>
        <v>1Q07/</v>
      </c>
      <c r="L221" s="704"/>
      <c r="M221" s="724" t="str">
        <f>M$3</f>
        <v>2Q07/</v>
      </c>
      <c r="N221" s="704"/>
      <c r="O221" s="724" t="str">
        <f>O$3</f>
        <v>3Q07/</v>
      </c>
      <c r="P221" s="704"/>
      <c r="Q221" s="724" t="str">
        <f>Q$3</f>
        <v>4Q07/</v>
      </c>
      <c r="R221" s="704"/>
      <c r="S221" s="724" t="str">
        <f>S$3</f>
        <v>1Q08/</v>
      </c>
      <c r="T221" s="704"/>
      <c r="U221" s="724" t="str">
        <f>U$3</f>
        <v>2Q08/</v>
      </c>
      <c r="V221" s="704"/>
      <c r="W221" s="724" t="str">
        <f>W$3</f>
        <v>3Q08/</v>
      </c>
      <c r="X221" s="704"/>
      <c r="Y221" s="724" t="str">
        <f>Y$3</f>
        <v>4Q08/</v>
      </c>
      <c r="Z221" s="704"/>
      <c r="AA221" s="724" t="str">
        <f>AA$3</f>
        <v>1Q09/</v>
      </c>
      <c r="AB221" s="704"/>
      <c r="AC221" s="724" t="str">
        <f>AC$3</f>
        <v>2Q09/</v>
      </c>
      <c r="AD221" s="704"/>
      <c r="AE221" s="724" t="str">
        <f>AE$3</f>
        <v>3Q09/</v>
      </c>
      <c r="AF221" s="704"/>
      <c r="AG221" s="724" t="str">
        <f>AG$3</f>
        <v>4Q09/</v>
      </c>
      <c r="AH221" s="704"/>
      <c r="AI221" s="724" t="str">
        <f>AI$3</f>
        <v>1Q10/</v>
      </c>
      <c r="AJ221" s="704"/>
      <c r="AK221" s="724" t="str">
        <f>AK$3</f>
        <v>2Q10/</v>
      </c>
      <c r="AL221" s="704"/>
      <c r="AM221" s="724" t="str">
        <f>AM$3</f>
        <v>3Q10/</v>
      </c>
      <c r="AN221" s="704"/>
      <c r="AO221" s="724" t="str">
        <f>AO$3</f>
        <v>4Q10/</v>
      </c>
      <c r="AP221" s="704"/>
      <c r="AQ221" s="724" t="str">
        <f>AQ$3</f>
        <v>1Q11/</v>
      </c>
      <c r="AR221" s="704"/>
      <c r="AS221" s="724" t="str">
        <f>AS$3</f>
        <v>2Q11/</v>
      </c>
      <c r="AT221" s="704"/>
      <c r="AU221" s="724" t="str">
        <f>AU$3</f>
        <v>3Q11/</v>
      </c>
      <c r="AV221" s="704"/>
      <c r="AW221" s="724" t="str">
        <f>AW$3</f>
        <v>4Q11/</v>
      </c>
      <c r="AX221" s="704"/>
      <c r="AY221" s="724" t="str">
        <f>AY$3</f>
        <v>1Q12/</v>
      </c>
      <c r="AZ221" s="704"/>
      <c r="BA221" s="724" t="str">
        <f>BA$3</f>
        <v>2Q12/</v>
      </c>
      <c r="BB221" s="704"/>
      <c r="BC221" s="724" t="str">
        <f>BC$3</f>
        <v>3Q12/</v>
      </c>
      <c r="BD221" s="704"/>
      <c r="BE221" s="724" t="str">
        <f>BE$3</f>
        <v>4Q12/</v>
      </c>
      <c r="BF221" s="704"/>
      <c r="BG221" s="724" t="str">
        <f>BG$3</f>
        <v>1Q13/</v>
      </c>
      <c r="BH221" s="704"/>
      <c r="BI221" s="724" t="str">
        <f>BI$3</f>
        <v>2Q13/</v>
      </c>
      <c r="BJ221" s="704"/>
      <c r="BK221" s="724" t="str">
        <f>BK$3</f>
        <v>3Q13/</v>
      </c>
      <c r="BL221" s="704"/>
      <c r="BM221" s="724" t="str">
        <f>BM$3</f>
        <v>4Q13/</v>
      </c>
      <c r="BN221" s="704"/>
      <c r="BO221" s="724" t="str">
        <f>BO$3</f>
        <v>1Q14/</v>
      </c>
      <c r="BP221" s="704"/>
      <c r="BQ221" s="724" t="str">
        <f>BQ$3</f>
        <v>2Q14/</v>
      </c>
      <c r="BR221" s="704"/>
      <c r="BS221" s="724" t="str">
        <f>BS$3</f>
        <v>3Q14/</v>
      </c>
      <c r="BT221" s="704"/>
      <c r="BU221" s="724" t="str">
        <f>BU$3</f>
        <v>4Q14/</v>
      </c>
      <c r="BV221" s="704"/>
      <c r="BW221" s="724" t="str">
        <f>BW$3</f>
        <v>1Q15/</v>
      </c>
      <c r="BX221" s="704"/>
      <c r="BY221" s="724" t="str">
        <f>BY$3</f>
        <v>2Q15/</v>
      </c>
      <c r="BZ221" s="704"/>
      <c r="CA221" s="724" t="str">
        <f>CA$3</f>
        <v>3Q15/</v>
      </c>
      <c r="CB221" s="704"/>
      <c r="CC221" s="724" t="str">
        <f>CC$3</f>
        <v>4Q15/</v>
      </c>
      <c r="CD221" s="704"/>
      <c r="CE221" s="724" t="str">
        <f>CE$3</f>
        <v>1Q16/</v>
      </c>
      <c r="CF221" s="704"/>
      <c r="CG221" s="724" t="str">
        <f>CG$3</f>
        <v>2Q16/</v>
      </c>
      <c r="CH221" s="704"/>
      <c r="CI221" s="724" t="str">
        <f>CI$3</f>
        <v>3Q16/</v>
      </c>
      <c r="CJ221" s="704"/>
      <c r="CK221" s="724" t="str">
        <f>CK$3</f>
        <v>4Q16/</v>
      </c>
      <c r="CL221" s="704"/>
      <c r="CM221" s="724" t="str">
        <f t="shared" ref="CM221" si="132">CM$3</f>
        <v>1Q17/</v>
      </c>
      <c r="CN221" s="704"/>
      <c r="CO221" s="724" t="str">
        <f t="shared" ref="CO221" si="133">CO$3</f>
        <v>2Q17/</v>
      </c>
      <c r="CP221" s="704"/>
      <c r="CQ221" s="724" t="str">
        <f t="shared" ref="CQ221" si="134">CQ$3</f>
        <v>3Q17/</v>
      </c>
      <c r="CR221" s="704"/>
      <c r="CS221" s="724" t="str">
        <f t="shared" ref="CS221" si="135">CS$3</f>
        <v>4Q17/</v>
      </c>
      <c r="CT221" s="704"/>
      <c r="CU221" s="724" t="str">
        <f t="shared" ref="CU221" si="136">CU$3</f>
        <v>1Q18E/</v>
      </c>
      <c r="CV221" s="704"/>
      <c r="CW221" s="724" t="str">
        <f t="shared" ref="CW221" si="137">CW$3</f>
        <v>2Q18E/</v>
      </c>
      <c r="CX221" s="704"/>
      <c r="CY221" s="724" t="str">
        <f t="shared" ref="CY221" si="138">CY$3</f>
        <v>3Q18E/</v>
      </c>
      <c r="CZ221" s="704"/>
      <c r="DA221" s="724" t="str">
        <f t="shared" ref="DA221" si="139">DA$3</f>
        <v>4Q18E/</v>
      </c>
      <c r="DB221" s="724"/>
      <c r="DC221" s="704"/>
      <c r="DD221" s="724" t="str">
        <f>DD$3</f>
        <v>2005/</v>
      </c>
      <c r="DE221" s="704"/>
      <c r="DF221" s="724" t="str">
        <f>DF$3</f>
        <v>2006/</v>
      </c>
      <c r="DG221" s="704"/>
      <c r="DH221" s="724" t="str">
        <f>DH$3</f>
        <v>2007/</v>
      </c>
      <c r="DI221" s="704"/>
      <c r="DJ221" s="724" t="str">
        <f>DJ$3</f>
        <v>2008/</v>
      </c>
      <c r="DK221" s="704"/>
      <c r="DL221" s="724" t="str">
        <f>DL$3</f>
        <v>2009/</v>
      </c>
      <c r="DM221" s="704"/>
      <c r="DN221" s="724" t="str">
        <f>DN$3</f>
        <v>2010/</v>
      </c>
      <c r="DO221" s="704"/>
      <c r="DP221" s="724" t="str">
        <f>DP$3</f>
        <v>2011/</v>
      </c>
      <c r="DQ221" s="704"/>
      <c r="DR221" s="724" t="str">
        <f>DR$3</f>
        <v>2012/</v>
      </c>
      <c r="DS221" s="704"/>
      <c r="DT221" s="724" t="str">
        <f>DT$3</f>
        <v>2013/</v>
      </c>
      <c r="DU221" s="704"/>
      <c r="DV221" s="724" t="str">
        <f>DV$3</f>
        <v>2014/</v>
      </c>
      <c r="DW221" s="704"/>
      <c r="DX221" s="724" t="str">
        <f>DX$3</f>
        <v>2015/</v>
      </c>
      <c r="DY221" s="704"/>
      <c r="DZ221" s="724" t="str">
        <f>DZ$3</f>
        <v>2016/</v>
      </c>
      <c r="EA221" s="704"/>
      <c r="EB221" s="724" t="str">
        <f>EB$3</f>
        <v>2017/</v>
      </c>
      <c r="EC221" s="704"/>
      <c r="ED221" s="724" t="str">
        <f>ED$3</f>
        <v>2018E/</v>
      </c>
      <c r="EE221" s="704"/>
      <c r="EF221" s="724" t="str">
        <f>EF$3</f>
        <v>2019E/</v>
      </c>
      <c r="EG221" s="704"/>
      <c r="EH221" s="724" t="str">
        <f>EH$3</f>
        <v>2020E/</v>
      </c>
      <c r="EI221" s="704"/>
      <c r="EJ221" s="724" t="str">
        <f>EJ$3</f>
        <v>2021E/</v>
      </c>
      <c r="EK221" s="704"/>
      <c r="EL221" s="724" t="str">
        <f>EL$3</f>
        <v>2022E/</v>
      </c>
      <c r="EM221" s="705" t="str">
        <f>EM$3</f>
        <v>5-Yr</v>
      </c>
    </row>
    <row r="222" spans="1:143" s="3" customFormat="1" ht="12.75" hidden="1" customHeight="1" outlineLevel="1" x14ac:dyDescent="0.2">
      <c r="A222" s="693"/>
      <c r="B222" s="692"/>
      <c r="C222" s="496"/>
      <c r="D222" s="692"/>
      <c r="E222" s="496" t="str">
        <f>E$4</f>
        <v>2Q05</v>
      </c>
      <c r="F222" s="692"/>
      <c r="G222" s="496" t="str">
        <f>G$4</f>
        <v>3Q05</v>
      </c>
      <c r="H222" s="692"/>
      <c r="I222" s="496" t="str">
        <f>I$4</f>
        <v>4Q05</v>
      </c>
      <c r="J222" s="496"/>
      <c r="K222" s="496" t="str">
        <f>K$4</f>
        <v>1Q06</v>
      </c>
      <c r="L222" s="692"/>
      <c r="M222" s="496" t="str">
        <f>M$4</f>
        <v>2Q06</v>
      </c>
      <c r="N222" s="692"/>
      <c r="O222" s="496" t="str">
        <f>O$4</f>
        <v>3Q06</v>
      </c>
      <c r="P222" s="692"/>
      <c r="Q222" s="496" t="str">
        <f>Q$4</f>
        <v>4Q06</v>
      </c>
      <c r="R222" s="692"/>
      <c r="S222" s="496" t="str">
        <f>S$4</f>
        <v>1Q07</v>
      </c>
      <c r="T222" s="692"/>
      <c r="U222" s="496" t="str">
        <f>U$4</f>
        <v>2Q07</v>
      </c>
      <c r="V222" s="692"/>
      <c r="W222" s="496" t="str">
        <f>W$4</f>
        <v>3Q07</v>
      </c>
      <c r="X222" s="692"/>
      <c r="Y222" s="496" t="str">
        <f>Y$4</f>
        <v>4Q07</v>
      </c>
      <c r="Z222" s="692"/>
      <c r="AA222" s="496" t="str">
        <f>AA$4</f>
        <v>1Q08</v>
      </c>
      <c r="AB222" s="692"/>
      <c r="AC222" s="496" t="str">
        <f>AC$4</f>
        <v>2Q08</v>
      </c>
      <c r="AD222" s="692"/>
      <c r="AE222" s="496" t="str">
        <f>AE$4</f>
        <v>3Q08</v>
      </c>
      <c r="AF222" s="692"/>
      <c r="AG222" s="496" t="str">
        <f>AG$4</f>
        <v>4Q08</v>
      </c>
      <c r="AH222" s="692"/>
      <c r="AI222" s="496" t="str">
        <f>AI$4</f>
        <v>1Q09</v>
      </c>
      <c r="AJ222" s="692"/>
      <c r="AK222" s="496" t="str">
        <f>AK$4</f>
        <v>2Q09</v>
      </c>
      <c r="AL222" s="692"/>
      <c r="AM222" s="496" t="str">
        <f>AM$4</f>
        <v>3Q09</v>
      </c>
      <c r="AN222" s="692"/>
      <c r="AO222" s="496" t="str">
        <f>AO$4</f>
        <v>4Q09</v>
      </c>
      <c r="AP222" s="692"/>
      <c r="AQ222" s="496" t="str">
        <f>AQ$4</f>
        <v>1Q10</v>
      </c>
      <c r="AR222" s="692"/>
      <c r="AS222" s="496" t="str">
        <f>AS$4</f>
        <v>2Q10</v>
      </c>
      <c r="AT222" s="692"/>
      <c r="AU222" s="496" t="str">
        <f>AU$4</f>
        <v>3Q10</v>
      </c>
      <c r="AV222" s="692"/>
      <c r="AW222" s="496" t="str">
        <f>AW$4</f>
        <v>4Q10</v>
      </c>
      <c r="AX222" s="692"/>
      <c r="AY222" s="496" t="str">
        <f>AY$4</f>
        <v>1Q11</v>
      </c>
      <c r="AZ222" s="692"/>
      <c r="BA222" s="496" t="str">
        <f>BA$4</f>
        <v>2Q11</v>
      </c>
      <c r="BB222" s="692"/>
      <c r="BC222" s="496" t="str">
        <f>BC$4</f>
        <v>3Q11</v>
      </c>
      <c r="BD222" s="692"/>
      <c r="BE222" s="496" t="str">
        <f>BE$4</f>
        <v>4Q11</v>
      </c>
      <c r="BF222" s="692"/>
      <c r="BG222" s="496" t="str">
        <f>BG$4</f>
        <v>1Q12</v>
      </c>
      <c r="BH222" s="692"/>
      <c r="BI222" s="496" t="str">
        <f>BI$4</f>
        <v>2Q12</v>
      </c>
      <c r="BJ222" s="692"/>
      <c r="BK222" s="496" t="str">
        <f>BK$4</f>
        <v>3Q12</v>
      </c>
      <c r="BL222" s="692"/>
      <c r="BM222" s="496" t="str">
        <f>BM$4</f>
        <v>4Q12</v>
      </c>
      <c r="BN222" s="692"/>
      <c r="BO222" s="496" t="str">
        <f>BO$4</f>
        <v>1Q13</v>
      </c>
      <c r="BP222" s="692"/>
      <c r="BQ222" s="496" t="str">
        <f>BQ$4</f>
        <v>2Q13</v>
      </c>
      <c r="BR222" s="692"/>
      <c r="BS222" s="496" t="str">
        <f>BS$4</f>
        <v>3Q13</v>
      </c>
      <c r="BT222" s="692"/>
      <c r="BU222" s="496" t="str">
        <f>BU$4</f>
        <v>4Q13</v>
      </c>
      <c r="BV222" s="692"/>
      <c r="BW222" s="496" t="str">
        <f>BW$4</f>
        <v>1Q14</v>
      </c>
      <c r="BX222" s="692"/>
      <c r="BY222" s="496" t="str">
        <f>BY$4</f>
        <v>2Q14</v>
      </c>
      <c r="BZ222" s="692"/>
      <c r="CA222" s="496" t="str">
        <f>CA$4</f>
        <v>3Q14</v>
      </c>
      <c r="CB222" s="692"/>
      <c r="CC222" s="496" t="str">
        <f>CC$4</f>
        <v>4Q14</v>
      </c>
      <c r="CD222" s="692"/>
      <c r="CE222" s="496" t="str">
        <f>CE$4</f>
        <v>1Q15</v>
      </c>
      <c r="CF222" s="692"/>
      <c r="CG222" s="496" t="str">
        <f>CG$4</f>
        <v>2Q15</v>
      </c>
      <c r="CH222" s="692"/>
      <c r="CI222" s="496" t="str">
        <f>CI$4</f>
        <v>3Q15</v>
      </c>
      <c r="CJ222" s="692"/>
      <c r="CK222" s="496" t="str">
        <f>CK$4</f>
        <v>4Q15</v>
      </c>
      <c r="CL222" s="692"/>
      <c r="CM222" s="496" t="str">
        <f t="shared" ref="CM222" si="140">CM$4</f>
        <v>1Q16</v>
      </c>
      <c r="CN222" s="692"/>
      <c r="CO222" s="496" t="str">
        <f t="shared" ref="CO222" si="141">CO$4</f>
        <v>2Q16</v>
      </c>
      <c r="CP222" s="692"/>
      <c r="CQ222" s="496" t="str">
        <f t="shared" ref="CQ222" si="142">CQ$4</f>
        <v>3Q16</v>
      </c>
      <c r="CR222" s="692"/>
      <c r="CS222" s="496" t="str">
        <f t="shared" ref="CS222" si="143">CS$4</f>
        <v>4Q16</v>
      </c>
      <c r="CT222" s="692"/>
      <c r="CU222" s="496" t="str">
        <f t="shared" ref="CU222" si="144">CU$4</f>
        <v>1Q17</v>
      </c>
      <c r="CV222" s="692"/>
      <c r="CW222" s="496" t="str">
        <f t="shared" ref="CW222" si="145">CW$4</f>
        <v>2Q17</v>
      </c>
      <c r="CX222" s="692"/>
      <c r="CY222" s="496" t="str">
        <f t="shared" ref="CY222" si="146">CY$4</f>
        <v>3Q17</v>
      </c>
      <c r="CZ222" s="692"/>
      <c r="DA222" s="496" t="str">
        <f t="shared" ref="DA222" si="147">DA$4</f>
        <v>4Q17</v>
      </c>
      <c r="DB222" s="496"/>
      <c r="DC222" s="692"/>
      <c r="DD222" s="686">
        <f>DD$4</f>
        <v>2004</v>
      </c>
      <c r="DE222" s="692"/>
      <c r="DF222" s="686">
        <f>DF$4</f>
        <v>2005</v>
      </c>
      <c r="DG222" s="692"/>
      <c r="DH222" s="686">
        <f>DH$4</f>
        <v>2006</v>
      </c>
      <c r="DI222" s="692"/>
      <c r="DJ222" s="686">
        <f>DJ$4</f>
        <v>2007</v>
      </c>
      <c r="DK222" s="692"/>
      <c r="DL222" s="725">
        <f>DL$4</f>
        <v>2008</v>
      </c>
      <c r="DM222" s="692"/>
      <c r="DN222" s="725" t="str">
        <f>DN$4</f>
        <v>2009</v>
      </c>
      <c r="DO222" s="692"/>
      <c r="DP222" s="725" t="str">
        <f>DP$4</f>
        <v>2010</v>
      </c>
      <c r="DQ222" s="692"/>
      <c r="DR222" s="725" t="str">
        <f>DR$4</f>
        <v>2011</v>
      </c>
      <c r="DS222" s="692"/>
      <c r="DT222" s="725" t="str">
        <f>DT$4</f>
        <v>2012</v>
      </c>
      <c r="DU222" s="692"/>
      <c r="DV222" s="725" t="str">
        <f>DV$4</f>
        <v>2013</v>
      </c>
      <c r="DW222" s="692"/>
      <c r="DX222" s="725" t="str">
        <f>DX$4</f>
        <v>2014</v>
      </c>
      <c r="DY222" s="692"/>
      <c r="DZ222" s="725" t="str">
        <f>DZ$4</f>
        <v>2015</v>
      </c>
      <c r="EA222" s="692"/>
      <c r="EB222" s="725" t="str">
        <f>EB$4</f>
        <v>2016</v>
      </c>
      <c r="EC222" s="692"/>
      <c r="ED222" s="725" t="str">
        <f>ED$4</f>
        <v>2017</v>
      </c>
      <c r="EE222" s="692"/>
      <c r="EF222" s="725" t="str">
        <f>EF$4</f>
        <v>2018E</v>
      </c>
      <c r="EG222" s="692"/>
      <c r="EH222" s="725" t="str">
        <f>EH$4</f>
        <v>2019E</v>
      </c>
      <c r="EI222" s="692"/>
      <c r="EJ222" s="725" t="str">
        <f>EJ$4</f>
        <v>2020E</v>
      </c>
      <c r="EK222" s="692"/>
      <c r="EL222" s="725" t="str">
        <f>EL$4</f>
        <v>2021E</v>
      </c>
      <c r="EM222" s="686" t="str">
        <f>EM$4</f>
        <v>CAGR</v>
      </c>
    </row>
    <row r="223" spans="1:143" s="3" customFormat="1" ht="12.75" hidden="1" customHeight="1" outlineLevel="1" x14ac:dyDescent="0.2">
      <c r="A223" s="694"/>
      <c r="B223" s="695" t="str">
        <f t="shared" ref="B223:BN223" si="148">B$5</f>
        <v>1Q06</v>
      </c>
      <c r="C223" s="726" t="str">
        <f t="shared" si="148"/>
        <v>% Chg</v>
      </c>
      <c r="D223" s="695" t="str">
        <f t="shared" si="148"/>
        <v>2Q06</v>
      </c>
      <c r="E223" s="726" t="str">
        <f t="shared" si="148"/>
        <v>% Chg</v>
      </c>
      <c r="F223" s="695" t="str">
        <f t="shared" si="148"/>
        <v>3Q06</v>
      </c>
      <c r="G223" s="726" t="str">
        <f t="shared" si="148"/>
        <v>% Chg</v>
      </c>
      <c r="H223" s="695" t="str">
        <f t="shared" si="148"/>
        <v>4Q06</v>
      </c>
      <c r="I223" s="726" t="str">
        <f t="shared" si="148"/>
        <v>% Chg</v>
      </c>
      <c r="J223" s="695" t="str">
        <f t="shared" si="148"/>
        <v>1Q07</v>
      </c>
      <c r="K223" s="726" t="str">
        <f t="shared" si="148"/>
        <v>% Chg</v>
      </c>
      <c r="L223" s="695" t="str">
        <f t="shared" si="148"/>
        <v>2Q07</v>
      </c>
      <c r="M223" s="726" t="str">
        <f t="shared" si="148"/>
        <v>% Chg</v>
      </c>
      <c r="N223" s="695" t="str">
        <f t="shared" si="148"/>
        <v>3Q07</v>
      </c>
      <c r="O223" s="726" t="str">
        <f t="shared" si="148"/>
        <v>% Chg</v>
      </c>
      <c r="P223" s="695" t="str">
        <f t="shared" si="148"/>
        <v>4Q07</v>
      </c>
      <c r="Q223" s="726" t="str">
        <f t="shared" si="148"/>
        <v>% Chg</v>
      </c>
      <c r="R223" s="695" t="str">
        <f t="shared" si="148"/>
        <v>1Q08</v>
      </c>
      <c r="S223" s="726" t="str">
        <f t="shared" si="148"/>
        <v>% Chg</v>
      </c>
      <c r="T223" s="695" t="str">
        <f t="shared" si="148"/>
        <v>2Q08</v>
      </c>
      <c r="U223" s="726" t="str">
        <f t="shared" si="148"/>
        <v>% Chg</v>
      </c>
      <c r="V223" s="695" t="str">
        <f t="shared" si="148"/>
        <v>3Q08</v>
      </c>
      <c r="W223" s="726" t="str">
        <f t="shared" si="148"/>
        <v>% Chg</v>
      </c>
      <c r="X223" s="695" t="str">
        <f t="shared" si="148"/>
        <v>4Q08</v>
      </c>
      <c r="Y223" s="726" t="str">
        <f t="shared" si="148"/>
        <v>% Chg</v>
      </c>
      <c r="Z223" s="695" t="str">
        <f t="shared" si="148"/>
        <v>1Q09</v>
      </c>
      <c r="AA223" s="726" t="str">
        <f t="shared" si="148"/>
        <v>% Chg</v>
      </c>
      <c r="AB223" s="695" t="str">
        <f t="shared" si="148"/>
        <v>2Q09</v>
      </c>
      <c r="AC223" s="726" t="str">
        <f t="shared" si="148"/>
        <v>% Chg</v>
      </c>
      <c r="AD223" s="695" t="str">
        <f t="shared" si="148"/>
        <v>3Q09</v>
      </c>
      <c r="AE223" s="726" t="str">
        <f t="shared" si="148"/>
        <v>% Chg</v>
      </c>
      <c r="AF223" s="695" t="str">
        <f t="shared" si="148"/>
        <v>4Q09</v>
      </c>
      <c r="AG223" s="726" t="str">
        <f t="shared" si="148"/>
        <v>% Chg</v>
      </c>
      <c r="AH223" s="695" t="str">
        <f t="shared" si="148"/>
        <v>1Q10</v>
      </c>
      <c r="AI223" s="726" t="str">
        <f t="shared" si="148"/>
        <v>% Chg</v>
      </c>
      <c r="AJ223" s="695" t="str">
        <f t="shared" si="148"/>
        <v>2Q10</v>
      </c>
      <c r="AK223" s="726" t="str">
        <f t="shared" si="148"/>
        <v>% Chg</v>
      </c>
      <c r="AL223" s="695" t="str">
        <f t="shared" si="148"/>
        <v>3Q10</v>
      </c>
      <c r="AM223" s="726" t="str">
        <f t="shared" si="148"/>
        <v>% Chg</v>
      </c>
      <c r="AN223" s="695" t="str">
        <f t="shared" si="148"/>
        <v>4Q10</v>
      </c>
      <c r="AO223" s="726" t="str">
        <f t="shared" si="148"/>
        <v>% Chg</v>
      </c>
      <c r="AP223" s="695" t="str">
        <f t="shared" si="148"/>
        <v>1Q11</v>
      </c>
      <c r="AQ223" s="726" t="str">
        <f t="shared" si="148"/>
        <v>% Chg</v>
      </c>
      <c r="AR223" s="695" t="str">
        <f t="shared" si="148"/>
        <v>2Q11</v>
      </c>
      <c r="AS223" s="726" t="str">
        <f t="shared" si="148"/>
        <v>% Chg</v>
      </c>
      <c r="AT223" s="695" t="str">
        <f t="shared" si="148"/>
        <v>3Q11</v>
      </c>
      <c r="AU223" s="726" t="str">
        <f t="shared" si="148"/>
        <v>% Chg</v>
      </c>
      <c r="AV223" s="695" t="str">
        <f t="shared" si="148"/>
        <v>4Q11</v>
      </c>
      <c r="AW223" s="726" t="str">
        <f t="shared" si="148"/>
        <v>% Chg</v>
      </c>
      <c r="AX223" s="695" t="str">
        <f t="shared" si="148"/>
        <v>1Q12</v>
      </c>
      <c r="AY223" s="726" t="str">
        <f t="shared" si="148"/>
        <v>% Chg</v>
      </c>
      <c r="AZ223" s="695" t="str">
        <f t="shared" si="148"/>
        <v>2Q12</v>
      </c>
      <c r="BA223" s="726" t="str">
        <f t="shared" si="148"/>
        <v>% Chg</v>
      </c>
      <c r="BB223" s="695" t="str">
        <f t="shared" si="148"/>
        <v>3Q12</v>
      </c>
      <c r="BC223" s="726" t="str">
        <f t="shared" si="148"/>
        <v>% Chg</v>
      </c>
      <c r="BD223" s="695" t="str">
        <f t="shared" si="148"/>
        <v>4Q12</v>
      </c>
      <c r="BE223" s="726" t="str">
        <f t="shared" si="148"/>
        <v>% Chg</v>
      </c>
      <c r="BF223" s="695" t="str">
        <f t="shared" si="148"/>
        <v>1Q13</v>
      </c>
      <c r="BG223" s="726" t="str">
        <f t="shared" si="148"/>
        <v>% Chg</v>
      </c>
      <c r="BH223" s="695" t="str">
        <f t="shared" si="148"/>
        <v>2Q13</v>
      </c>
      <c r="BI223" s="726" t="str">
        <f t="shared" si="148"/>
        <v>% Chg</v>
      </c>
      <c r="BJ223" s="695" t="str">
        <f t="shared" si="148"/>
        <v>3Q13</v>
      </c>
      <c r="BK223" s="726" t="str">
        <f t="shared" si="148"/>
        <v>% Chg</v>
      </c>
      <c r="BL223" s="695" t="str">
        <f t="shared" si="148"/>
        <v>4Q13</v>
      </c>
      <c r="BM223" s="726" t="str">
        <f t="shared" si="148"/>
        <v>% Chg</v>
      </c>
      <c r="BN223" s="695" t="str">
        <f t="shared" si="148"/>
        <v>1Q14</v>
      </c>
      <c r="BO223" s="726" t="str">
        <f t="shared" ref="BO223:DA223" si="149">BO$5</f>
        <v>% Chg</v>
      </c>
      <c r="BP223" s="695" t="str">
        <f t="shared" si="149"/>
        <v>2Q14</v>
      </c>
      <c r="BQ223" s="726" t="str">
        <f t="shared" si="149"/>
        <v>% Chg</v>
      </c>
      <c r="BR223" s="695" t="str">
        <f t="shared" si="149"/>
        <v>3Q14</v>
      </c>
      <c r="BS223" s="726" t="str">
        <f t="shared" si="149"/>
        <v>% Chg</v>
      </c>
      <c r="BT223" s="695" t="str">
        <f t="shared" si="149"/>
        <v>4Q14</v>
      </c>
      <c r="BU223" s="726" t="str">
        <f t="shared" si="149"/>
        <v>% Chg</v>
      </c>
      <c r="BV223" s="695" t="str">
        <f t="shared" si="149"/>
        <v>1Q15</v>
      </c>
      <c r="BW223" s="726" t="str">
        <f t="shared" si="149"/>
        <v>% Chg</v>
      </c>
      <c r="BX223" s="695" t="str">
        <f t="shared" si="149"/>
        <v>2Q15</v>
      </c>
      <c r="BY223" s="726" t="str">
        <f t="shared" si="149"/>
        <v>% Chg</v>
      </c>
      <c r="BZ223" s="695" t="str">
        <f t="shared" si="149"/>
        <v>3Q15</v>
      </c>
      <c r="CA223" s="726" t="str">
        <f t="shared" si="149"/>
        <v>% Chg</v>
      </c>
      <c r="CB223" s="695" t="str">
        <f t="shared" si="149"/>
        <v>4Q15</v>
      </c>
      <c r="CC223" s="726" t="str">
        <f t="shared" si="149"/>
        <v>% Chg</v>
      </c>
      <c r="CD223" s="695" t="str">
        <f t="shared" si="149"/>
        <v>1Q16</v>
      </c>
      <c r="CE223" s="726" t="str">
        <f t="shared" si="149"/>
        <v>% Chg</v>
      </c>
      <c r="CF223" s="695" t="str">
        <f t="shared" si="149"/>
        <v>2Q16</v>
      </c>
      <c r="CG223" s="726" t="str">
        <f t="shared" si="149"/>
        <v>% Chg</v>
      </c>
      <c r="CH223" s="695" t="str">
        <f t="shared" si="149"/>
        <v>3Q16</v>
      </c>
      <c r="CI223" s="726" t="str">
        <f t="shared" si="149"/>
        <v>% Chg</v>
      </c>
      <c r="CJ223" s="695" t="str">
        <f t="shared" si="149"/>
        <v>4Q16</v>
      </c>
      <c r="CK223" s="726" t="str">
        <f t="shared" si="149"/>
        <v>% Chg</v>
      </c>
      <c r="CL223" s="695" t="str">
        <f t="shared" si="149"/>
        <v>1Q17</v>
      </c>
      <c r="CM223" s="726" t="str">
        <f t="shared" si="149"/>
        <v>% Chg</v>
      </c>
      <c r="CN223" s="695" t="str">
        <f t="shared" si="149"/>
        <v>2Q17</v>
      </c>
      <c r="CO223" s="726" t="str">
        <f t="shared" si="149"/>
        <v>% Chg</v>
      </c>
      <c r="CP223" s="695" t="str">
        <f t="shared" si="149"/>
        <v>3Q17</v>
      </c>
      <c r="CQ223" s="726" t="str">
        <f t="shared" si="149"/>
        <v>% Chg</v>
      </c>
      <c r="CR223" s="695" t="str">
        <f t="shared" si="149"/>
        <v>4Q17</v>
      </c>
      <c r="CS223" s="726" t="str">
        <f t="shared" si="149"/>
        <v>% Chg</v>
      </c>
      <c r="CT223" s="695" t="str">
        <f t="shared" si="149"/>
        <v>1Q18E</v>
      </c>
      <c r="CU223" s="726" t="str">
        <f t="shared" si="149"/>
        <v>% Chg</v>
      </c>
      <c r="CV223" s="695" t="str">
        <f t="shared" si="149"/>
        <v>2Q18E</v>
      </c>
      <c r="CW223" s="726" t="str">
        <f t="shared" si="149"/>
        <v>% Chg</v>
      </c>
      <c r="CX223" s="695" t="str">
        <f t="shared" si="149"/>
        <v>3Q18E</v>
      </c>
      <c r="CY223" s="726" t="str">
        <f t="shared" si="149"/>
        <v>% Chg</v>
      </c>
      <c r="CZ223" s="695" t="str">
        <f t="shared" si="149"/>
        <v>4Q18E</v>
      </c>
      <c r="DA223" s="726" t="str">
        <f t="shared" si="149"/>
        <v>% Chg</v>
      </c>
      <c r="DB223" s="726"/>
      <c r="DC223" s="699">
        <f t="shared" ref="DC223:EM223" si="150">DC$5</f>
        <v>2005</v>
      </c>
      <c r="DD223" s="726" t="str">
        <f t="shared" si="150"/>
        <v>% Chg</v>
      </c>
      <c r="DE223" s="699">
        <f t="shared" si="150"/>
        <v>2006</v>
      </c>
      <c r="DF223" s="726" t="str">
        <f t="shared" si="150"/>
        <v>% Chg</v>
      </c>
      <c r="DG223" s="699">
        <f t="shared" si="150"/>
        <v>2007</v>
      </c>
      <c r="DH223" s="726" t="str">
        <f t="shared" si="150"/>
        <v>% Chg</v>
      </c>
      <c r="DI223" s="699">
        <f t="shared" si="150"/>
        <v>2008</v>
      </c>
      <c r="DJ223" s="726" t="str">
        <f t="shared" si="150"/>
        <v>% Chg</v>
      </c>
      <c r="DK223" s="695" t="str">
        <f t="shared" si="150"/>
        <v>2009</v>
      </c>
      <c r="DL223" s="726" t="str">
        <f t="shared" si="150"/>
        <v>% Chg</v>
      </c>
      <c r="DM223" s="695" t="str">
        <f t="shared" si="150"/>
        <v>2010</v>
      </c>
      <c r="DN223" s="726" t="str">
        <f t="shared" si="150"/>
        <v>% Chg</v>
      </c>
      <c r="DO223" s="695" t="str">
        <f t="shared" si="150"/>
        <v>2011</v>
      </c>
      <c r="DP223" s="726" t="str">
        <f t="shared" si="150"/>
        <v>% Chg</v>
      </c>
      <c r="DQ223" s="695" t="str">
        <f t="shared" si="150"/>
        <v>2012</v>
      </c>
      <c r="DR223" s="726" t="str">
        <f t="shared" si="150"/>
        <v>% Chg</v>
      </c>
      <c r="DS223" s="695" t="str">
        <f t="shared" si="150"/>
        <v>2013</v>
      </c>
      <c r="DT223" s="726" t="str">
        <f t="shared" si="150"/>
        <v>% Chg</v>
      </c>
      <c r="DU223" s="695" t="str">
        <f t="shared" si="150"/>
        <v>2014</v>
      </c>
      <c r="DV223" s="726" t="str">
        <f t="shared" si="150"/>
        <v>% Chg</v>
      </c>
      <c r="DW223" s="695" t="str">
        <f t="shared" si="150"/>
        <v>2015</v>
      </c>
      <c r="DX223" s="726" t="str">
        <f t="shared" si="150"/>
        <v>% Chg</v>
      </c>
      <c r="DY223" s="695" t="str">
        <f t="shared" si="150"/>
        <v>2016</v>
      </c>
      <c r="DZ223" s="726" t="str">
        <f t="shared" si="150"/>
        <v>% Chg</v>
      </c>
      <c r="EA223" s="695" t="str">
        <f t="shared" si="150"/>
        <v>2017</v>
      </c>
      <c r="EB223" s="726" t="str">
        <f t="shared" si="150"/>
        <v>% Chg</v>
      </c>
      <c r="EC223" s="695" t="str">
        <f t="shared" si="150"/>
        <v>2018E</v>
      </c>
      <c r="ED223" s="726" t="str">
        <f t="shared" si="150"/>
        <v>% Chg</v>
      </c>
      <c r="EE223" s="695" t="str">
        <f t="shared" si="150"/>
        <v>2019E</v>
      </c>
      <c r="EF223" s="726" t="str">
        <f t="shared" si="150"/>
        <v>% Chg</v>
      </c>
      <c r="EG223" s="695" t="str">
        <f t="shared" si="150"/>
        <v>2020E</v>
      </c>
      <c r="EH223" s="726" t="str">
        <f t="shared" si="150"/>
        <v>% Chg</v>
      </c>
      <c r="EI223" s="695" t="str">
        <f t="shared" si="150"/>
        <v>2021E</v>
      </c>
      <c r="EJ223" s="726" t="str">
        <f t="shared" si="150"/>
        <v>% Chg</v>
      </c>
      <c r="EK223" s="695" t="str">
        <f t="shared" si="150"/>
        <v>2022E</v>
      </c>
      <c r="EL223" s="726" t="str">
        <f t="shared" si="150"/>
        <v>% Chg</v>
      </c>
      <c r="EM223" s="696" t="str">
        <f t="shared" si="150"/>
        <v>(%)</v>
      </c>
    </row>
    <row r="224" spans="1:143" ht="12.75" hidden="1" customHeight="1" outlineLevel="1" x14ac:dyDescent="0.2">
      <c r="A224" s="700"/>
      <c r="B224" s="16"/>
      <c r="C224" s="507"/>
      <c r="D224" s="16"/>
      <c r="E224" s="687"/>
      <c r="F224" s="16"/>
      <c r="G224" s="687"/>
      <c r="H224" s="16"/>
      <c r="I224" s="687"/>
      <c r="J224" s="16"/>
      <c r="K224" s="507"/>
      <c r="L224" s="16"/>
      <c r="M224" s="507"/>
      <c r="N224" s="16"/>
      <c r="O224" s="507"/>
      <c r="P224" s="16"/>
      <c r="Q224" s="507"/>
      <c r="R224" s="16"/>
      <c r="S224" s="507"/>
      <c r="T224" s="16"/>
      <c r="U224" s="507"/>
      <c r="V224" s="16"/>
      <c r="W224" s="507"/>
      <c r="X224" s="16"/>
      <c r="Y224" s="507"/>
      <c r="Z224" s="16"/>
      <c r="AA224" s="507"/>
      <c r="AB224" s="16"/>
      <c r="AC224" s="507"/>
      <c r="AD224" s="16"/>
      <c r="AE224" s="507"/>
      <c r="AF224" s="16"/>
      <c r="AG224" s="507"/>
      <c r="AH224" s="16"/>
      <c r="AI224" s="507"/>
      <c r="AJ224" s="16"/>
      <c r="AK224" s="507"/>
      <c r="AL224" s="16"/>
      <c r="AM224" s="507"/>
      <c r="AN224" s="16"/>
      <c r="AO224" s="507"/>
      <c r="AP224" s="16"/>
      <c r="AQ224" s="507"/>
      <c r="AR224" s="16"/>
      <c r="AS224" s="507"/>
      <c r="AT224" s="16"/>
      <c r="AU224" s="507"/>
      <c r="AV224" s="16"/>
      <c r="AW224" s="507"/>
      <c r="AX224" s="16"/>
      <c r="AY224" s="507"/>
      <c r="AZ224" s="16"/>
      <c r="BA224" s="507"/>
      <c r="BB224" s="16"/>
      <c r="BC224" s="507"/>
      <c r="BD224" s="16"/>
      <c r="BE224" s="507"/>
      <c r="BF224" s="16"/>
      <c r="BG224" s="507"/>
      <c r="BH224" s="16"/>
      <c r="BI224" s="507"/>
      <c r="BJ224" s="16"/>
      <c r="BK224" s="507"/>
      <c r="BL224" s="16"/>
      <c r="BM224" s="507"/>
      <c r="BN224" s="16"/>
      <c r="BO224" s="507"/>
      <c r="BP224" s="16"/>
      <c r="BQ224" s="507"/>
      <c r="BR224" s="16"/>
      <c r="BS224" s="507"/>
      <c r="BT224" s="16"/>
      <c r="BU224" s="507"/>
      <c r="BV224" s="16"/>
      <c r="BW224" s="507"/>
      <c r="BX224" s="16"/>
      <c r="BY224" s="507"/>
      <c r="BZ224" s="16"/>
      <c r="CA224" s="507"/>
      <c r="CB224" s="16"/>
      <c r="CC224" s="507"/>
      <c r="CD224" s="16"/>
      <c r="CE224" s="507"/>
      <c r="CF224" s="16"/>
      <c r="CG224" s="507"/>
      <c r="CH224" s="16"/>
      <c r="CI224" s="507"/>
      <c r="CJ224" s="16"/>
      <c r="CK224" s="507"/>
      <c r="CL224" s="16"/>
      <c r="CM224" s="507"/>
      <c r="CN224" s="16"/>
      <c r="CO224" s="507"/>
      <c r="CP224" s="16"/>
      <c r="CQ224" s="507"/>
      <c r="CR224" s="16"/>
      <c r="CS224" s="507"/>
      <c r="CT224" s="16"/>
      <c r="CU224" s="507"/>
      <c r="CV224" s="16"/>
      <c r="CW224" s="507"/>
      <c r="CX224" s="16"/>
      <c r="CY224" s="507"/>
      <c r="CZ224" s="16"/>
      <c r="DA224" s="507"/>
      <c r="DB224" s="507"/>
      <c r="DC224" s="16"/>
      <c r="DD224" s="507"/>
      <c r="DE224" s="16"/>
      <c r="DF224" s="507"/>
      <c r="DG224" s="16"/>
      <c r="DH224" s="507"/>
      <c r="DI224" s="16"/>
      <c r="DJ224" s="507"/>
      <c r="DK224" s="16"/>
      <c r="DL224" s="507"/>
      <c r="DM224" s="16"/>
      <c r="DN224" s="507"/>
      <c r="DO224" s="16"/>
      <c r="DP224" s="507"/>
      <c r="DQ224" s="16"/>
      <c r="DR224" s="507"/>
      <c r="DS224" s="16"/>
      <c r="DT224" s="507"/>
      <c r="DU224" s="16"/>
      <c r="DV224" s="507"/>
      <c r="DW224" s="16"/>
      <c r="DX224" s="507"/>
      <c r="DY224" s="16"/>
      <c r="DZ224" s="507"/>
      <c r="EA224" s="16"/>
      <c r="EB224" s="507"/>
      <c r="EC224" s="16"/>
      <c r="ED224" s="507"/>
      <c r="EE224" s="16"/>
      <c r="EF224" s="507"/>
      <c r="EG224" s="16"/>
      <c r="EH224" s="507"/>
      <c r="EI224" s="16"/>
      <c r="EJ224" s="507"/>
      <c r="EK224" s="16"/>
      <c r="EL224" s="507"/>
      <c r="EM224" s="687"/>
    </row>
    <row r="225" spans="1:143" ht="12.75" hidden="1" customHeight="1" outlineLevel="1" x14ac:dyDescent="0.2">
      <c r="A225" s="700" t="str">
        <f>INPUT!B188</f>
        <v>Interest Sensitive Life Reserves</v>
      </c>
      <c r="B225" s="16"/>
      <c r="C225" s="507"/>
      <c r="D225" s="16"/>
      <c r="E225" s="687"/>
      <c r="F225" s="16"/>
      <c r="G225" s="687"/>
      <c r="H225" s="16"/>
      <c r="I225" s="687"/>
      <c r="J225" s="16"/>
      <c r="K225" s="507"/>
      <c r="L225" s="16"/>
      <c r="M225" s="507"/>
      <c r="N225" s="16"/>
      <c r="O225" s="507"/>
      <c r="P225" s="16"/>
      <c r="Q225" s="507"/>
      <c r="R225" s="16"/>
      <c r="S225" s="507"/>
      <c r="T225" s="16"/>
      <c r="U225" s="507"/>
      <c r="V225" s="16"/>
      <c r="W225" s="507"/>
      <c r="X225" s="16"/>
      <c r="Y225" s="507"/>
      <c r="Z225" s="16"/>
      <c r="AA225" s="507"/>
      <c r="AB225" s="16"/>
      <c r="AC225" s="507"/>
      <c r="AD225" s="16"/>
      <c r="AE225" s="507"/>
      <c r="AF225" s="16"/>
      <c r="AG225" s="507"/>
      <c r="AH225" s="16"/>
      <c r="AI225" s="507"/>
      <c r="AJ225" s="16"/>
      <c r="AK225" s="507"/>
      <c r="AL225" s="16"/>
      <c r="AM225" s="507"/>
      <c r="AN225" s="16"/>
      <c r="AO225" s="507"/>
      <c r="AP225" s="16"/>
      <c r="AQ225" s="507"/>
      <c r="AR225" s="16"/>
      <c r="AS225" s="507"/>
      <c r="AT225" s="16"/>
      <c r="AU225" s="507"/>
      <c r="AV225" s="16"/>
      <c r="AW225" s="507"/>
      <c r="AX225" s="16"/>
      <c r="AY225" s="507"/>
      <c r="AZ225" s="16"/>
      <c r="BA225" s="507"/>
      <c r="BB225" s="16"/>
      <c r="BC225" s="507"/>
      <c r="BD225" s="16"/>
      <c r="BE225" s="507"/>
      <c r="BF225" s="16"/>
      <c r="BG225" s="507"/>
      <c r="BH225" s="16"/>
      <c r="BI225" s="507"/>
      <c r="BJ225" s="16"/>
      <c r="BK225" s="507"/>
      <c r="BL225" s="16"/>
      <c r="BM225" s="507"/>
      <c r="BN225" s="16"/>
      <c r="BO225" s="507"/>
      <c r="BP225" s="16"/>
      <c r="BQ225" s="507"/>
      <c r="BR225" s="16"/>
      <c r="BS225" s="507"/>
      <c r="BT225" s="16"/>
      <c r="BU225" s="507"/>
      <c r="BV225" s="16"/>
      <c r="BW225" s="507"/>
      <c r="BX225" s="16"/>
      <c r="BY225" s="507"/>
      <c r="BZ225" s="16"/>
      <c r="CA225" s="507"/>
      <c r="CB225" s="16"/>
      <c r="CC225" s="507"/>
      <c r="CD225" s="16"/>
      <c r="CE225" s="507"/>
      <c r="CF225" s="16"/>
      <c r="CG225" s="507"/>
      <c r="CH225" s="16"/>
      <c r="CI225" s="507"/>
      <c r="CJ225" s="16"/>
      <c r="CK225" s="507"/>
      <c r="CL225" s="16"/>
      <c r="CM225" s="507"/>
      <c r="CN225" s="16"/>
      <c r="CO225" s="507"/>
      <c r="CP225" s="16"/>
      <c r="CQ225" s="507"/>
      <c r="CR225" s="16"/>
      <c r="CS225" s="507"/>
      <c r="CT225" s="16"/>
      <c r="CU225" s="507"/>
      <c r="CV225" s="16"/>
      <c r="CW225" s="507"/>
      <c r="CX225" s="16"/>
      <c r="CY225" s="507"/>
      <c r="CZ225" s="16"/>
      <c r="DA225" s="507"/>
      <c r="DB225" s="507"/>
      <c r="DC225" s="16"/>
      <c r="DD225" s="507"/>
      <c r="DE225" s="16"/>
      <c r="DF225" s="507"/>
      <c r="DG225" s="16"/>
      <c r="DH225" s="507"/>
      <c r="DI225" s="16"/>
      <c r="DJ225" s="507"/>
      <c r="DK225" s="16"/>
      <c r="DL225" s="507"/>
      <c r="DM225" s="16"/>
      <c r="DN225" s="507"/>
      <c r="DO225" s="16"/>
      <c r="DP225" s="507"/>
      <c r="DQ225" s="16"/>
      <c r="DR225" s="507"/>
      <c r="DS225" s="16"/>
      <c r="DT225" s="507"/>
      <c r="DU225" s="16"/>
      <c r="DV225" s="507"/>
      <c r="DW225" s="16"/>
      <c r="DX225" s="507"/>
      <c r="DY225" s="16"/>
      <c r="DZ225" s="507"/>
      <c r="EA225" s="16"/>
      <c r="EB225" s="507"/>
      <c r="EC225" s="16"/>
      <c r="ED225" s="507"/>
      <c r="EE225" s="16"/>
      <c r="EF225" s="507"/>
      <c r="EG225" s="16"/>
      <c r="EH225" s="507"/>
      <c r="EI225" s="16"/>
      <c r="EJ225" s="507"/>
      <c r="EK225" s="16"/>
      <c r="EL225" s="507"/>
      <c r="EM225" s="687"/>
    </row>
    <row r="226" spans="1:143" ht="12.75" hidden="1" customHeight="1" outlineLevel="1" x14ac:dyDescent="0.2">
      <c r="A226" s="701" t="str">
        <f>INPUT!B189</f>
        <v>Beginning of Period Reserves</v>
      </c>
      <c r="B226" s="151">
        <f>INPUT!AY189</f>
        <v>11809</v>
      </c>
      <c r="C226" s="507">
        <f>INPUT!AZ189</f>
        <v>5.1371082621082698</v>
      </c>
      <c r="D226" s="151">
        <f>INPUT!BA189</f>
        <v>11913</v>
      </c>
      <c r="E226" s="687">
        <f>INPUT!BB189</f>
        <v>5.1920529801324555</v>
      </c>
      <c r="F226" s="151">
        <f>INPUT!BC189</f>
        <v>21285</v>
      </c>
      <c r="G226" s="687">
        <f>INPUT!BD189</f>
        <v>86.008913746395166</v>
      </c>
      <c r="H226" s="151">
        <f>INPUT!BE189</f>
        <v>21516</v>
      </c>
      <c r="I226" s="687">
        <f>INPUT!BF189</f>
        <v>85.626779397808647</v>
      </c>
      <c r="J226" s="151">
        <f>INPUT!BG189</f>
        <v>25237</v>
      </c>
      <c r="K226" s="687" t="str">
        <f>INPUT!BH189</f>
        <v>NM</v>
      </c>
      <c r="L226" s="151">
        <f>INPUT!BI189</f>
        <v>25575</v>
      </c>
      <c r="M226" s="687" t="str">
        <f>INPUT!BJ189</f>
        <v>NM</v>
      </c>
      <c r="N226" s="151">
        <f>INPUT!BK189</f>
        <v>25864</v>
      </c>
      <c r="O226" s="687">
        <f>INPUT!BL189</f>
        <v>21.512802443034996</v>
      </c>
      <c r="P226" s="151">
        <f>INPUT!BM189</f>
        <v>26162</v>
      </c>
      <c r="Q226" s="687">
        <f>INPUT!BN189</f>
        <v>21.593232942926189</v>
      </c>
      <c r="R226" s="151">
        <f>INPUT!BO189</f>
        <v>26518</v>
      </c>
      <c r="S226" s="687">
        <f>INPUT!BP189</f>
        <v>5.0758806514245025</v>
      </c>
      <c r="T226" s="151">
        <f>INPUT!BQ189</f>
        <v>26726</v>
      </c>
      <c r="U226" s="687">
        <f>INPUT!BR189</f>
        <v>4.5004887585532671</v>
      </c>
      <c r="V226" s="151">
        <f>INPUT!BS189</f>
        <v>26980</v>
      </c>
      <c r="W226" s="687">
        <f>INPUT!BT189</f>
        <v>4.3148778224559203</v>
      </c>
      <c r="X226" s="151">
        <f>INPUT!BU189</f>
        <v>27227</v>
      </c>
      <c r="Y226" s="687">
        <f>INPUT!BV189</f>
        <v>4.0707896949774502</v>
      </c>
      <c r="Z226" s="151">
        <f>INPUT!BW189</f>
        <v>27502</v>
      </c>
      <c r="AA226" s="687">
        <f>INPUT!BX189</f>
        <v>3.7106870804736403</v>
      </c>
      <c r="AB226" s="151">
        <f>INPUT!BY189</f>
        <v>27617</v>
      </c>
      <c r="AC226" s="687">
        <f>INPUT!BZ189</f>
        <v>3.3338322233031459</v>
      </c>
      <c r="AD226" s="151">
        <f>INPUT!CA189</f>
        <v>27709</v>
      </c>
      <c r="AE226" s="687">
        <f>INPUT!CB189</f>
        <v>2.7020014825796856</v>
      </c>
      <c r="AF226" s="151">
        <f>INPUT!CC189</f>
        <v>27825</v>
      </c>
      <c r="AG226" s="687">
        <f>INPUT!CD189</f>
        <v>2.1963492121790829</v>
      </c>
      <c r="AH226" s="151">
        <f>INPUT!CE189</f>
        <v>28192</v>
      </c>
      <c r="AI226" s="507">
        <f>INPUT!CF189</f>
        <v>2.5089084430223174</v>
      </c>
      <c r="AJ226" s="151">
        <f>INPUT!CG189</f>
        <v>28355</v>
      </c>
      <c r="AK226" s="507">
        <f>INPUT!CH189</f>
        <v>2.6722670818698724</v>
      </c>
      <c r="AL226" s="151">
        <f>INPUT!CI189</f>
        <v>28584</v>
      </c>
      <c r="AM226" s="507">
        <f>INPUT!CJ189</f>
        <v>3.157818759247899</v>
      </c>
      <c r="AN226" s="151">
        <f>INPUT!CK189</f>
        <v>28794</v>
      </c>
      <c r="AO226" s="507">
        <f>INPUT!CL189</f>
        <v>3.4824797843665767</v>
      </c>
      <c r="AP226" s="151">
        <f>INPUT!CM189</f>
        <v>29365</v>
      </c>
      <c r="AQ226" s="507">
        <f>INPUT!CN189</f>
        <v>4.1607548240635728</v>
      </c>
      <c r="AR226" s="151">
        <f>INPUT!CO189</f>
        <v>29739</v>
      </c>
      <c r="AS226" s="507">
        <f>INPUT!CP189</f>
        <v>4.8809733733027771</v>
      </c>
      <c r="AT226" s="151">
        <f>INPUT!CQ189</f>
        <v>30148</v>
      </c>
      <c r="AU226" s="507">
        <f>INPUT!CR189</f>
        <v>5.4715924993003151</v>
      </c>
      <c r="AV226" s="151">
        <f>INPUT!CS189</f>
        <v>30638</v>
      </c>
      <c r="AW226" s="507">
        <f>INPUT!CT189</f>
        <v>6.4041119677710645</v>
      </c>
      <c r="AX226" s="151">
        <f>INPUT!CU189</f>
        <v>31219</v>
      </c>
      <c r="AY226" s="507">
        <f>INPUT!CV189</f>
        <v>6.3136386855099591</v>
      </c>
      <c r="AZ226" s="151">
        <f>INPUT!CW189</f>
        <v>31494</v>
      </c>
      <c r="BA226" s="507">
        <f>INPUT!CX189</f>
        <v>5.9013416725511858</v>
      </c>
      <c r="BB226" s="151">
        <f>INPUT!CY189</f>
        <v>31750</v>
      </c>
      <c r="BC226" s="507">
        <f>INPUT!CZ189</f>
        <v>5.3137853257264167</v>
      </c>
      <c r="BD226" s="151">
        <f>INPUT!DA189</f>
        <v>31986</v>
      </c>
      <c r="BE226" s="507">
        <f>INPUT!DB189</f>
        <v>4.3997649977152609</v>
      </c>
      <c r="BF226" s="151">
        <f>INPUT!DC189</f>
        <v>32432</v>
      </c>
      <c r="BG226" s="507">
        <f>INPUT!DD189</f>
        <v>3.8854543707357747</v>
      </c>
      <c r="BH226" s="151">
        <f>INPUT!DE189</f>
        <v>32817</v>
      </c>
      <c r="BI226" s="507">
        <f>INPUT!DF189</f>
        <v>4.2008001524099781</v>
      </c>
      <c r="BJ226" s="151">
        <f>INPUT!DG189</f>
        <v>33108</v>
      </c>
      <c r="BK226" s="507">
        <f>INPUT!DH189</f>
        <v>4.2771653543307142</v>
      </c>
      <c r="BL226" s="151">
        <f>INPUT!DI189</f>
        <v>33366</v>
      </c>
      <c r="BM226" s="507">
        <f>INPUT!DJ189</f>
        <v>4.3143875445507351</v>
      </c>
      <c r="BN226" s="151">
        <f>INPUT!DK189</f>
        <v>33721</v>
      </c>
      <c r="BO226" s="507">
        <f>INPUT!DL189</f>
        <v>3.9744696595954698</v>
      </c>
      <c r="BP226" s="151">
        <f>INPUT!DM189</f>
        <v>33886</v>
      </c>
      <c r="BQ226" s="507">
        <f>INPUT!DN189</f>
        <v>3.2574580248042162</v>
      </c>
      <c r="BR226" s="151">
        <f>INPUT!DO189</f>
        <v>34094</v>
      </c>
      <c r="BS226" s="507">
        <f>INPUT!DP189</f>
        <v>2.978132173492809</v>
      </c>
      <c r="BT226" s="151">
        <f>INPUT!DQ189</f>
        <v>34315</v>
      </c>
      <c r="BU226" s="507">
        <f>INPUT!DR189</f>
        <v>2.8442126715818583</v>
      </c>
      <c r="BV226" s="151">
        <f>INPUT!DS189</f>
        <v>34612</v>
      </c>
      <c r="BW226" s="507">
        <f>INPUT!DT189</f>
        <v>2.6422703953026261</v>
      </c>
      <c r="BX226" s="151">
        <f>INPUT!DU189</f>
        <v>34753</v>
      </c>
      <c r="BY226" s="507">
        <f>INPUT!DV189</f>
        <v>2.5585787640913571</v>
      </c>
      <c r="BZ226" s="151">
        <f>INPUT!DW189</f>
        <v>34930</v>
      </c>
      <c r="CA226" s="507">
        <f>INPUT!DX189</f>
        <v>2.452044347979121</v>
      </c>
      <c r="CB226" s="151">
        <f>INPUT!DY189</f>
        <v>35213</v>
      </c>
      <c r="CC226" s="507">
        <f>INPUT!DZ189</f>
        <v>2.6169313711205122</v>
      </c>
      <c r="CD226" s="151">
        <f>INPUT!EA189</f>
        <v>35545</v>
      </c>
      <c r="CE226" s="507">
        <f>INPUT!EB189</f>
        <v>2.6955969028082727</v>
      </c>
      <c r="CF226" s="151">
        <f>INPUT!EC189</f>
        <v>35640</v>
      </c>
      <c r="CG226" s="507">
        <f>INPUT!ED189</f>
        <v>2.5522976433689282</v>
      </c>
      <c r="CH226" s="151">
        <f>INPUT!EE189</f>
        <v>35775</v>
      </c>
      <c r="CI226" s="507">
        <f>INPUT!EF189</f>
        <v>2.4191239622101346</v>
      </c>
      <c r="CJ226" s="151">
        <f>INPUT!EG189</f>
        <v>35975</v>
      </c>
      <c r="CK226" s="507">
        <f>INPUT!EH189</f>
        <v>2.1639735325021947</v>
      </c>
      <c r="CL226" s="151">
        <f>INPUT!EI189</f>
        <v>36272</v>
      </c>
      <c r="CM226" s="507">
        <f>INPUT!EJ189</f>
        <v>2.0452946968631203</v>
      </c>
      <c r="CN226" s="151">
        <f>INPUT!EK189</f>
        <v>36295</v>
      </c>
      <c r="CO226" s="507">
        <f>INPUT!EL189</f>
        <v>1.8378226711559975</v>
      </c>
      <c r="CP226" s="151">
        <f>INPUT!EM189</f>
        <v>36454</v>
      </c>
      <c r="CQ226" s="507">
        <f>INPUT!EN189</f>
        <v>1.8979734451432639</v>
      </c>
      <c r="CR226" s="151">
        <f>INPUT!EO189</f>
        <v>36576</v>
      </c>
      <c r="CS226" s="507">
        <f>INPUT!EP189</f>
        <v>1.6706045865184205</v>
      </c>
      <c r="CT226" s="151">
        <f>INPUT!EQ189</f>
        <v>36791</v>
      </c>
      <c r="CU226" s="507">
        <f>INPUT!ER189</f>
        <v>1.4308557565063884</v>
      </c>
      <c r="CV226" s="151">
        <f>INPUT!ES189</f>
        <v>36990.266669947508</v>
      </c>
      <c r="CW226" s="507">
        <f>INPUT!ET189</f>
        <v>1.9155990355352204</v>
      </c>
      <c r="CX226" s="151">
        <f>INPUT!EU189</f>
        <v>37240.170005476408</v>
      </c>
      <c r="CY226" s="507">
        <f>INPUT!EV189</f>
        <v>2.1566083433269601</v>
      </c>
      <c r="CZ226" s="151">
        <f>INPUT!EW189</f>
        <v>37439.378757950959</v>
      </c>
      <c r="DA226" s="507">
        <f>INPUT!EX189</f>
        <v>2.3605062279936639</v>
      </c>
      <c r="DB226" s="507"/>
      <c r="DC226" s="151">
        <f>INPUT!FP189</f>
        <v>11232</v>
      </c>
      <c r="DD226" s="687" t="str">
        <f>INPUT!FQ189</f>
        <v>NA</v>
      </c>
      <c r="DE226" s="151">
        <f>INPUT!FR189</f>
        <v>11810</v>
      </c>
      <c r="DF226" s="687">
        <f>INPUT!FS189</f>
        <v>5.1460113960113851</v>
      </c>
      <c r="DG226" s="151">
        <f>INPUT!FT189</f>
        <v>25237</v>
      </c>
      <c r="DH226" s="687" t="str">
        <f>INPUT!FU189</f>
        <v>NM</v>
      </c>
      <c r="DI226" s="151">
        <f>INPUT!FV189</f>
        <v>26518</v>
      </c>
      <c r="DJ226" s="687">
        <f>INPUT!FW189</f>
        <v>5.0758806514245025</v>
      </c>
      <c r="DK226" s="151">
        <f>INPUT!FX189</f>
        <v>27502</v>
      </c>
      <c r="DL226" s="507">
        <f>INPUT!FY189</f>
        <v>3.7106870804736403</v>
      </c>
      <c r="DM226" s="151">
        <f>INPUT!FZ189</f>
        <v>28192</v>
      </c>
      <c r="DN226" s="507">
        <f>INPUT!GA189</f>
        <v>2.5089084430223174</v>
      </c>
      <c r="DO226" s="151">
        <f>INPUT!GB189</f>
        <v>29365</v>
      </c>
      <c r="DP226" s="507">
        <f>INPUT!GC189</f>
        <v>4.1607548240635728</v>
      </c>
      <c r="DQ226" s="151">
        <f>INPUT!GD189</f>
        <v>31219</v>
      </c>
      <c r="DR226" s="507">
        <f>INPUT!GE189</f>
        <v>6.3136386855099591</v>
      </c>
      <c r="DS226" s="151">
        <f>INPUT!GF189</f>
        <v>32432</v>
      </c>
      <c r="DT226" s="507">
        <f>INPUT!GG189</f>
        <v>3.8854543707357747</v>
      </c>
      <c r="DU226" s="151">
        <f>INPUT!GH189</f>
        <v>33721</v>
      </c>
      <c r="DV226" s="507">
        <f>INPUT!GI189</f>
        <v>3.9744696595954698</v>
      </c>
      <c r="DW226" s="151">
        <f>INPUT!GJ189</f>
        <v>34612</v>
      </c>
      <c r="DX226" s="507">
        <f>INPUT!GK189</f>
        <v>2.6422703953026261</v>
      </c>
      <c r="DY226" s="151">
        <f>INPUT!GL189</f>
        <v>35545</v>
      </c>
      <c r="DZ226" s="507">
        <f>INPUT!GM189</f>
        <v>2.6955969028082727</v>
      </c>
      <c r="EA226" s="151">
        <f>INPUT!GN189</f>
        <v>36272</v>
      </c>
      <c r="EB226" s="507">
        <f>INPUT!GO189</f>
        <v>2.0452946968631203</v>
      </c>
      <c r="EC226" s="151">
        <f>INPUT!GP189</f>
        <v>36791</v>
      </c>
      <c r="ED226" s="507">
        <f>INPUT!GQ189</f>
        <v>1.4308557565063884</v>
      </c>
      <c r="EE226" s="151">
        <f>INPUT!GR189</f>
        <v>37693.574028742994</v>
      </c>
      <c r="EF226" s="507">
        <f>INPUT!GS189</f>
        <v>2.4532467960723947</v>
      </c>
      <c r="EG226" s="151">
        <f>INPUT!GT189</f>
        <v>38631.663172326815</v>
      </c>
      <c r="EH226" s="507">
        <f>INPUT!GU189</f>
        <v>2.4887243190801822</v>
      </c>
      <c r="EI226" s="151">
        <f>INPUT!GV189</f>
        <v>39606.944548908243</v>
      </c>
      <c r="EJ226" s="507">
        <f>INPUT!GW189</f>
        <v>2.5245648167694146</v>
      </c>
      <c r="EK226" s="151">
        <f>INPUT!GX189</f>
        <v>40621.178120507851</v>
      </c>
      <c r="EL226" s="507">
        <f>INPUT!GY189</f>
        <v>2.5607468163750813</v>
      </c>
      <c r="EM226" s="687">
        <f>INPUT!GZ189</f>
        <v>2.2907122072718389</v>
      </c>
    </row>
    <row r="227" spans="1:143" ht="12.75" hidden="1" customHeight="1" outlineLevel="1" x14ac:dyDescent="0.2">
      <c r="A227" s="701" t="str">
        <f>INPUT!B190</f>
        <v>Deposits</v>
      </c>
      <c r="B227" s="151">
        <f>INPUT!AY190</f>
        <v>401</v>
      </c>
      <c r="C227" s="507">
        <f>INPUT!AZ190</f>
        <v>4.9738219895288038</v>
      </c>
      <c r="D227" s="151">
        <f>INPUT!BA190</f>
        <v>799</v>
      </c>
      <c r="E227" s="687" t="str">
        <f>INPUT!BB190</f>
        <v>NM</v>
      </c>
      <c r="F227" s="151">
        <f>INPUT!BC190</f>
        <v>717</v>
      </c>
      <c r="G227" s="687">
        <f>INPUT!BD190</f>
        <v>72.771084337349407</v>
      </c>
      <c r="H227" s="151">
        <f>INPUT!BE190</f>
        <v>948</v>
      </c>
      <c r="I227" s="687">
        <f>INPUT!BF190</f>
        <v>89.979959919839672</v>
      </c>
      <c r="J227" s="151">
        <f>INPUT!BG190</f>
        <v>882</v>
      </c>
      <c r="K227" s="687" t="str">
        <f>INPUT!BH190</f>
        <v>NM</v>
      </c>
      <c r="L227" s="151">
        <f>INPUT!BI190</f>
        <v>864</v>
      </c>
      <c r="M227" s="687">
        <f>INPUT!BJ190</f>
        <v>8.1351689612015008</v>
      </c>
      <c r="N227" s="151">
        <f>INPUT!BK190</f>
        <v>852</v>
      </c>
      <c r="O227" s="687">
        <f>INPUT!BL190</f>
        <v>18.828451882845187</v>
      </c>
      <c r="P227" s="151">
        <f>INPUT!BM190</f>
        <v>977</v>
      </c>
      <c r="Q227" s="687">
        <f>INPUT!BN190</f>
        <v>3.0590717299578074</v>
      </c>
      <c r="R227" s="151">
        <f>INPUT!BO190</f>
        <v>893</v>
      </c>
      <c r="S227" s="687">
        <f>INPUT!BP190</f>
        <v>1.2471655328798237</v>
      </c>
      <c r="T227" s="151">
        <f>INPUT!BQ190</f>
        <v>846</v>
      </c>
      <c r="U227" s="687">
        <f>INPUT!BR190</f>
        <v>-2.083333333333337</v>
      </c>
      <c r="V227" s="151">
        <f>INPUT!BS190</f>
        <v>875</v>
      </c>
      <c r="W227" s="687">
        <f>INPUT!BT190</f>
        <v>2.699530516431925</v>
      </c>
      <c r="X227" s="151">
        <f>INPUT!BU190</f>
        <v>951</v>
      </c>
      <c r="Y227" s="687">
        <f>INPUT!BV190</f>
        <v>-2.6612077789150423</v>
      </c>
      <c r="Z227" s="151">
        <f>INPUT!BW190</f>
        <v>815</v>
      </c>
      <c r="AA227" s="687">
        <f>INPUT!BX190</f>
        <v>-8.7346024636058228</v>
      </c>
      <c r="AB227" s="151">
        <f>INPUT!BY190</f>
        <v>840</v>
      </c>
      <c r="AC227" s="687">
        <f>INPUT!BZ190</f>
        <v>-0.70921985815602939</v>
      </c>
      <c r="AD227" s="151">
        <f>INPUT!CA190</f>
        <v>899</v>
      </c>
      <c r="AE227" s="687">
        <f>INPUT!CB190</f>
        <v>2.7428571428571358</v>
      </c>
      <c r="AF227" s="151">
        <f>INPUT!CC190</f>
        <v>1067</v>
      </c>
      <c r="AG227" s="687">
        <f>INPUT!CD190</f>
        <v>12.197686645636164</v>
      </c>
      <c r="AH227" s="151">
        <f>INPUT!CE190</f>
        <v>910</v>
      </c>
      <c r="AI227" s="507">
        <f>INPUT!CF190</f>
        <v>11.656441717791409</v>
      </c>
      <c r="AJ227" s="151">
        <f>INPUT!CG190</f>
        <v>911</v>
      </c>
      <c r="AK227" s="507">
        <f>INPUT!CH190</f>
        <v>8.4523809523809454</v>
      </c>
      <c r="AL227" s="151">
        <f>INPUT!CI190</f>
        <v>983</v>
      </c>
      <c r="AM227" s="507">
        <f>INPUT!CJ190</f>
        <v>9.3437152391546263</v>
      </c>
      <c r="AN227" s="151">
        <f>INPUT!CK190</f>
        <v>1324</v>
      </c>
      <c r="AO227" s="507">
        <f>INPUT!CL190</f>
        <v>24.086223055295221</v>
      </c>
      <c r="AP227" s="151">
        <f>INPUT!CM190</f>
        <v>1085</v>
      </c>
      <c r="AQ227" s="507">
        <f>INPUT!CN190</f>
        <v>19.23076923076923</v>
      </c>
      <c r="AR227" s="151">
        <f>INPUT!CO190</f>
        <v>1126</v>
      </c>
      <c r="AS227" s="507">
        <f>INPUT!CP190</f>
        <v>23.600439077936343</v>
      </c>
      <c r="AT227" s="151">
        <f>INPUT!CQ190</f>
        <v>1165</v>
      </c>
      <c r="AU227" s="507">
        <f>INPUT!CR190</f>
        <v>18.51475076297049</v>
      </c>
      <c r="AV227" s="151">
        <f>INPUT!CS190</f>
        <v>1297</v>
      </c>
      <c r="AW227" s="507">
        <f>INPUT!CT190</f>
        <v>-2.0392749244713015</v>
      </c>
      <c r="AX227" s="151">
        <f>INPUT!CU190</f>
        <v>991</v>
      </c>
      <c r="AY227" s="507">
        <f>INPUT!CV190</f>
        <v>-8.6635944700460872</v>
      </c>
      <c r="AZ227" s="151">
        <f>INPUT!CW190</f>
        <v>990</v>
      </c>
      <c r="BA227" s="507">
        <f>INPUT!CX190</f>
        <v>-12.078152753108352</v>
      </c>
      <c r="BB227" s="151">
        <f>INPUT!CY190</f>
        <v>971</v>
      </c>
      <c r="BC227" s="507">
        <f>INPUT!CZ190</f>
        <v>-16.652360515021456</v>
      </c>
      <c r="BD227" s="151">
        <f>INPUT!DA190</f>
        <v>1132</v>
      </c>
      <c r="BE227" s="507">
        <f>INPUT!DB190</f>
        <v>-12.721665381649959</v>
      </c>
      <c r="BF227" s="151">
        <f>INPUT!DC190</f>
        <v>998</v>
      </c>
      <c r="BG227" s="507">
        <f>INPUT!DD190</f>
        <v>0.70635721493441661</v>
      </c>
      <c r="BH227" s="151">
        <f>INPUT!DE190</f>
        <v>966</v>
      </c>
      <c r="BI227" s="507">
        <f>INPUT!DF190</f>
        <v>-2.4242424242424288</v>
      </c>
      <c r="BJ227" s="151">
        <f>INPUT!DG190</f>
        <v>938</v>
      </c>
      <c r="BK227" s="507">
        <f>INPUT!DH190</f>
        <v>-3.3985581874356297</v>
      </c>
      <c r="BL227" s="151">
        <f>INPUT!DI190</f>
        <v>1017</v>
      </c>
      <c r="BM227" s="507">
        <f>INPUT!DJ190</f>
        <v>-10.159010600706708</v>
      </c>
      <c r="BN227" s="151">
        <f>INPUT!DK190</f>
        <v>869</v>
      </c>
      <c r="BO227" s="507">
        <f>INPUT!DL190</f>
        <v>-12.92585170340681</v>
      </c>
      <c r="BP227" s="151">
        <f>INPUT!DM190</f>
        <v>890</v>
      </c>
      <c r="BQ227" s="507">
        <f>INPUT!DN190</f>
        <v>-7.8674948240165632</v>
      </c>
      <c r="BR227" s="151">
        <f>INPUT!DO190</f>
        <v>934</v>
      </c>
      <c r="BS227" s="507">
        <f>INPUT!DP190</f>
        <v>-0.42643923240938131</v>
      </c>
      <c r="BT227" s="151">
        <f>INPUT!DQ190</f>
        <v>1029</v>
      </c>
      <c r="BU227" s="507">
        <f>INPUT!DR190</f>
        <v>1.1799410029498469</v>
      </c>
      <c r="BV227" s="151">
        <f>INPUT!DS190</f>
        <v>921</v>
      </c>
      <c r="BW227" s="507">
        <f>INPUT!DT190</f>
        <v>5.9838895281933313</v>
      </c>
      <c r="BX227" s="151">
        <f>INPUT!DU190</f>
        <v>964</v>
      </c>
      <c r="BY227" s="507">
        <f>INPUT!DV190</f>
        <v>8.3146067415730265</v>
      </c>
      <c r="BZ227" s="151">
        <f>INPUT!DW190</f>
        <v>1012</v>
      </c>
      <c r="CA227" s="507">
        <f>INPUT!DX190</f>
        <v>1012</v>
      </c>
      <c r="CB227" s="151">
        <f>INPUT!DY190</f>
        <v>1082</v>
      </c>
      <c r="CC227" s="507">
        <f>INPUT!DZ190</f>
        <v>5.1506316812439223</v>
      </c>
      <c r="CD227" s="151">
        <f>INPUT!EA190</f>
        <v>945</v>
      </c>
      <c r="CE227" s="507">
        <f>INPUT!EB190</f>
        <v>2.6058631921824116</v>
      </c>
      <c r="CF227" s="151">
        <f>INPUT!EC190</f>
        <v>992</v>
      </c>
      <c r="CG227" s="507">
        <f>INPUT!ED190</f>
        <v>2.9045643153526868</v>
      </c>
      <c r="CH227" s="151">
        <f>INPUT!EE190</f>
        <v>1050</v>
      </c>
      <c r="CI227" s="507">
        <f>INPUT!EF190</f>
        <v>3.7549407114624511</v>
      </c>
      <c r="CJ227" s="151">
        <f>INPUT!EG190</f>
        <v>1159</v>
      </c>
      <c r="CK227" s="507">
        <f>INPUT!EH190</f>
        <v>7.1164510166358497</v>
      </c>
      <c r="CL227" s="151">
        <f>INPUT!EI190</f>
        <v>1042</v>
      </c>
      <c r="CM227" s="507">
        <f>INPUT!EJ190</f>
        <v>10.264550264550266</v>
      </c>
      <c r="CN227" s="151">
        <f>INPUT!EK190</f>
        <v>1115</v>
      </c>
      <c r="CO227" s="507">
        <f>INPUT!EL190</f>
        <v>12.3991935483871</v>
      </c>
      <c r="CP227" s="151">
        <f>INPUT!EM190</f>
        <v>1070</v>
      </c>
      <c r="CQ227" s="507">
        <f>INPUT!EN190</f>
        <v>1.904761904761898</v>
      </c>
      <c r="CR227" s="151">
        <f>INPUT!EO190</f>
        <v>1152</v>
      </c>
      <c r="CS227" s="507">
        <f>INPUT!EP190</f>
        <v>-0.60396893874029578</v>
      </c>
      <c r="CT227" s="151">
        <f>INPUT!EQ190</f>
        <v>1094.1000000000001</v>
      </c>
      <c r="CU227" s="507">
        <f>INPUT!ER190</f>
        <v>5.0000000000000044</v>
      </c>
      <c r="CV227" s="151">
        <f>INPUT!ES190</f>
        <v>1170.75</v>
      </c>
      <c r="CW227" s="507">
        <f>INPUT!ET190</f>
        <v>5.0000000000000044</v>
      </c>
      <c r="CX227" s="151">
        <f>INPUT!EU190</f>
        <v>1123.5</v>
      </c>
      <c r="CY227" s="507">
        <f>INPUT!EV190</f>
        <v>5.0000000000000044</v>
      </c>
      <c r="CZ227" s="151">
        <f>INPUT!EW190</f>
        <v>1209.6000000000001</v>
      </c>
      <c r="DA227" s="507">
        <f>INPUT!EX190</f>
        <v>5.0000000000000044</v>
      </c>
      <c r="DB227" s="507"/>
      <c r="DC227" s="151">
        <f>INPUT!FP190</f>
        <v>1686</v>
      </c>
      <c r="DD227" s="687" t="str">
        <f>INPUT!FQ190</f>
        <v>NA</v>
      </c>
      <c r="DE227" s="151">
        <f>INPUT!FR190</f>
        <v>2865</v>
      </c>
      <c r="DF227" s="687">
        <f>INPUT!FS190</f>
        <v>69.928825622775804</v>
      </c>
      <c r="DG227" s="151">
        <f>INPUT!FT190</f>
        <v>3575</v>
      </c>
      <c r="DH227" s="687">
        <f>INPUT!FU190</f>
        <v>24.781849912739972</v>
      </c>
      <c r="DI227" s="151">
        <f>INPUT!FV190</f>
        <v>3565</v>
      </c>
      <c r="DJ227" s="687">
        <f>INPUT!FW190</f>
        <v>-0.27972027972027469</v>
      </c>
      <c r="DK227" s="151">
        <f>INPUT!FX190</f>
        <v>3621</v>
      </c>
      <c r="DL227" s="507">
        <f>INPUT!FY190</f>
        <v>1.5708274894810748</v>
      </c>
      <c r="DM227" s="151">
        <f>INPUT!FZ190</f>
        <v>4128</v>
      </c>
      <c r="DN227" s="507">
        <f>INPUT!GA190</f>
        <v>14.001657000828494</v>
      </c>
      <c r="DO227" s="151">
        <f>INPUT!GB190</f>
        <v>4673</v>
      </c>
      <c r="DP227" s="507">
        <f>INPUT!GC190</f>
        <v>13.202519379844958</v>
      </c>
      <c r="DQ227" s="151">
        <f>INPUT!GD190</f>
        <v>4084</v>
      </c>
      <c r="DR227" s="507">
        <f>INPUT!GE190</f>
        <v>-12.604322704900495</v>
      </c>
      <c r="DS227" s="151">
        <f>INPUT!GF190</f>
        <v>3919</v>
      </c>
      <c r="DT227" s="507">
        <f>INPUT!GG190</f>
        <v>-4.0401567091087216</v>
      </c>
      <c r="DU227" s="151">
        <f>INPUT!GH190</f>
        <v>3722</v>
      </c>
      <c r="DV227" s="507">
        <f>INPUT!GI190</f>
        <v>-5.0267925491196745</v>
      </c>
      <c r="DW227" s="151">
        <f>INPUT!GJ190</f>
        <v>3979</v>
      </c>
      <c r="DX227" s="507">
        <f>INPUT!GK190</f>
        <v>6.9048898441697926</v>
      </c>
      <c r="DY227" s="151">
        <f>INPUT!GL190</f>
        <v>4146</v>
      </c>
      <c r="DZ227" s="507">
        <f>INPUT!GM190</f>
        <v>4.1970344307614926</v>
      </c>
      <c r="EA227" s="151">
        <f>INPUT!GN190</f>
        <v>4379</v>
      </c>
      <c r="EB227" s="507">
        <f>INPUT!GO190</f>
        <v>5.6198745779064252</v>
      </c>
      <c r="EC227" s="151">
        <f>INPUT!GP190</f>
        <v>4597.9500000000007</v>
      </c>
      <c r="ED227" s="507">
        <f>INPUT!GQ190</f>
        <v>5.0000000000000266</v>
      </c>
      <c r="EE227" s="151">
        <f>INPUT!GR190</f>
        <v>4827.8475000000008</v>
      </c>
      <c r="EF227" s="507">
        <f>INPUT!GS190</f>
        <v>5.0000000000000044</v>
      </c>
      <c r="EG227" s="151">
        <f>INPUT!GT190</f>
        <v>5069.2398750000011</v>
      </c>
      <c r="EH227" s="507">
        <f>INPUT!GU190</f>
        <v>5.0000000000000044</v>
      </c>
      <c r="EI227" s="151">
        <f>INPUT!GV190</f>
        <v>5322.7018687500013</v>
      </c>
      <c r="EJ227" s="507">
        <f>INPUT!GW190</f>
        <v>5.0000000000000044</v>
      </c>
      <c r="EK227" s="151">
        <f>INPUT!GX190</f>
        <v>5588.8369621875017</v>
      </c>
      <c r="EL227" s="507">
        <f>INPUT!GY190</f>
        <v>5.0000000000000044</v>
      </c>
      <c r="EM227" s="687">
        <f>INPUT!GZ190</f>
        <v>5.0000000000000044</v>
      </c>
    </row>
    <row r="228" spans="1:143" ht="12.75" hidden="1" customHeight="1" outlineLevel="1" x14ac:dyDescent="0.2">
      <c r="A228" s="701" t="str">
        <f>INPUT!B193</f>
        <v>Interest Credited</v>
      </c>
      <c r="B228" s="151">
        <f>INPUT!AY193</f>
        <v>135</v>
      </c>
      <c r="C228" s="507">
        <f>INPUT!AZ193</f>
        <v>-1.4598540145985384</v>
      </c>
      <c r="D228" s="151">
        <f>INPUT!BA193</f>
        <v>232</v>
      </c>
      <c r="E228" s="687">
        <f>INPUT!BB193</f>
        <v>73.134328358208947</v>
      </c>
      <c r="F228" s="151">
        <f>INPUT!BC193</f>
        <v>239</v>
      </c>
      <c r="G228" s="687">
        <f>INPUT!BD193</f>
        <v>75.735294117647058</v>
      </c>
      <c r="H228" s="151">
        <f>INPUT!BE193</f>
        <v>242</v>
      </c>
      <c r="I228" s="687">
        <f>INPUT!BF193</f>
        <v>77.941176470588232</v>
      </c>
      <c r="J228" s="151">
        <f>INPUT!BG193</f>
        <v>243</v>
      </c>
      <c r="K228" s="687">
        <f>INPUT!BH193</f>
        <v>80</v>
      </c>
      <c r="L228" s="151">
        <f>INPUT!BI193</f>
        <v>243</v>
      </c>
      <c r="M228" s="687">
        <f>INPUT!BJ193</f>
        <v>4.7413793103448176</v>
      </c>
      <c r="N228" s="151">
        <f>INPUT!BK193</f>
        <v>279</v>
      </c>
      <c r="O228" s="687">
        <f>INPUT!BL193</f>
        <v>16.736401673640167</v>
      </c>
      <c r="P228" s="151">
        <f>INPUT!BM193</f>
        <v>282</v>
      </c>
      <c r="Q228" s="687">
        <f>INPUT!BN193</f>
        <v>16.528925619834702</v>
      </c>
      <c r="R228" s="151">
        <f>INPUT!BO193</f>
        <v>281</v>
      </c>
      <c r="S228" s="687">
        <f>INPUT!BP193</f>
        <v>15.637860082304522</v>
      </c>
      <c r="T228" s="151">
        <f>INPUT!BQ193</f>
        <v>286</v>
      </c>
      <c r="U228" s="687">
        <f>INPUT!BR193</f>
        <v>17.695473251028805</v>
      </c>
      <c r="V228" s="151">
        <f>INPUT!BS193</f>
        <v>291</v>
      </c>
      <c r="W228" s="687">
        <f>INPUT!BT193</f>
        <v>4.3010752688172005</v>
      </c>
      <c r="X228" s="151">
        <f>INPUT!BU193</f>
        <v>288</v>
      </c>
      <c r="Y228" s="687">
        <f>INPUT!BV193</f>
        <v>2.1276595744680771</v>
      </c>
      <c r="Z228" s="151">
        <f>INPUT!BW193</f>
        <v>289</v>
      </c>
      <c r="AA228" s="687">
        <f>INPUT!BX193</f>
        <v>2.8469750889679624</v>
      </c>
      <c r="AB228" s="151">
        <f>INPUT!BY193</f>
        <v>288</v>
      </c>
      <c r="AC228" s="687">
        <f>INPUT!BZ193</f>
        <v>0.69930069930070893</v>
      </c>
      <c r="AD228" s="151">
        <f>INPUT!CA193</f>
        <v>291</v>
      </c>
      <c r="AE228" s="687">
        <f>INPUT!CB193</f>
        <v>0</v>
      </c>
      <c r="AF228" s="151">
        <f>INPUT!CC193</f>
        <v>294</v>
      </c>
      <c r="AG228" s="687">
        <f>INPUT!CD193</f>
        <v>2.0833333333333259</v>
      </c>
      <c r="AH228" s="151">
        <f>INPUT!CE193</f>
        <v>293</v>
      </c>
      <c r="AI228" s="507">
        <f>INPUT!CF193</f>
        <v>1.384083044982698</v>
      </c>
      <c r="AJ228" s="151">
        <f>INPUT!CG193</f>
        <v>295</v>
      </c>
      <c r="AK228" s="507">
        <f>INPUT!CH193</f>
        <v>2.430555555555558</v>
      </c>
      <c r="AL228" s="151">
        <f>INPUT!CI193</f>
        <v>298</v>
      </c>
      <c r="AM228" s="507">
        <f>INPUT!CJ193</f>
        <v>2.405498281786933</v>
      </c>
      <c r="AN228" s="151">
        <f>INPUT!CK193</f>
        <v>299</v>
      </c>
      <c r="AO228" s="507">
        <f>INPUT!CL193</f>
        <v>1.7006802721088343</v>
      </c>
      <c r="AP228" s="151">
        <f>INPUT!CM193</f>
        <v>299</v>
      </c>
      <c r="AQ228" s="507">
        <f>INPUT!CN193</f>
        <v>2.0477815699658786</v>
      </c>
      <c r="AR228" s="151">
        <f>INPUT!CO193</f>
        <v>303</v>
      </c>
      <c r="AS228" s="507">
        <f>INPUT!CP193</f>
        <v>2.7118644067796627</v>
      </c>
      <c r="AT228" s="151">
        <f>INPUT!CQ193</f>
        <v>283</v>
      </c>
      <c r="AU228" s="507">
        <f>INPUT!CR193</f>
        <v>-5.0335570469798636</v>
      </c>
      <c r="AV228" s="151">
        <f>INPUT!CS193</f>
        <v>303</v>
      </c>
      <c r="AW228" s="507">
        <f>INPUT!CT193</f>
        <v>1.3377926421404673</v>
      </c>
      <c r="AX228" s="151">
        <f>INPUT!CU193</f>
        <v>311</v>
      </c>
      <c r="AY228" s="507">
        <f>INPUT!CV193</f>
        <v>4.013377926421402</v>
      </c>
      <c r="AZ228" s="151">
        <f>INPUT!CW193</f>
        <v>309</v>
      </c>
      <c r="BA228" s="507">
        <f>INPUT!CX193</f>
        <v>1.980198019801982</v>
      </c>
      <c r="BB228" s="151">
        <f>INPUT!CY193</f>
        <v>314</v>
      </c>
      <c r="BC228" s="507">
        <f>INPUT!CZ193</f>
        <v>10.954063604240272</v>
      </c>
      <c r="BD228" s="151">
        <f>INPUT!DA193</f>
        <v>318</v>
      </c>
      <c r="BE228" s="507">
        <f>INPUT!DB193</f>
        <v>4.9504950495049549</v>
      </c>
      <c r="BF228" s="151">
        <f>INPUT!DC193</f>
        <v>317</v>
      </c>
      <c r="BG228" s="507">
        <f>INPUT!DD193</f>
        <v>1.9292604501607746</v>
      </c>
      <c r="BH228" s="151">
        <f>INPUT!DE193</f>
        <v>320</v>
      </c>
      <c r="BI228" s="507">
        <f>INPUT!DF193</f>
        <v>3.5598705501618033</v>
      </c>
      <c r="BJ228" s="151">
        <f>INPUT!DG193</f>
        <v>327</v>
      </c>
      <c r="BK228" s="507">
        <f>INPUT!DH193</f>
        <v>4.140127388535042</v>
      </c>
      <c r="BL228" s="151">
        <f>INPUT!DI193</f>
        <v>331</v>
      </c>
      <c r="BM228" s="507">
        <f>INPUT!DJ193</f>
        <v>4.088050314465419</v>
      </c>
      <c r="BN228" s="151">
        <f>INPUT!DK193</f>
        <v>329</v>
      </c>
      <c r="BO228" s="507">
        <f>INPUT!DL193</f>
        <v>3.7854889589905349</v>
      </c>
      <c r="BP228" s="151">
        <f>INPUT!DM193</f>
        <v>335</v>
      </c>
      <c r="BQ228" s="507">
        <f>INPUT!DN193</f>
        <v>4.6875</v>
      </c>
      <c r="BR228" s="151">
        <f>INPUT!DO193</f>
        <v>337</v>
      </c>
      <c r="BS228" s="507">
        <f>INPUT!DP193</f>
        <v>3.0581039755351647</v>
      </c>
      <c r="BT228" s="151">
        <f>INPUT!DQ193</f>
        <v>343</v>
      </c>
      <c r="BU228" s="507">
        <f>INPUT!DR193</f>
        <v>3.6253776435045237</v>
      </c>
      <c r="BV228" s="151">
        <f>INPUT!DS193</f>
        <v>333</v>
      </c>
      <c r="BW228" s="507">
        <f>INPUT!DT193</f>
        <v>1.2158054711246091</v>
      </c>
      <c r="BX228" s="151">
        <f>INPUT!DU193</f>
        <v>342</v>
      </c>
      <c r="BY228" s="507">
        <f>INPUT!DV193</f>
        <v>2.0895522388059806</v>
      </c>
      <c r="BZ228" s="151">
        <f>INPUT!DW193</f>
        <v>340</v>
      </c>
      <c r="CA228" s="507">
        <f>INPUT!DX193</f>
        <v>340</v>
      </c>
      <c r="CB228" s="151">
        <f>INPUT!DY193</f>
        <v>340</v>
      </c>
      <c r="CC228" s="507">
        <f>INPUT!DZ193</f>
        <v>-0.87463556851311575</v>
      </c>
      <c r="CD228" s="151">
        <f>INPUT!EA193</f>
        <v>335</v>
      </c>
      <c r="CE228" s="507">
        <f>INPUT!EB193</f>
        <v>0.60060060060060927</v>
      </c>
      <c r="CF228" s="151">
        <f>INPUT!EC193</f>
        <v>335</v>
      </c>
      <c r="CG228" s="507">
        <f>INPUT!ED193</f>
        <v>-2.0467836257309968</v>
      </c>
      <c r="CH228" s="151">
        <f>INPUT!EE193</f>
        <v>341</v>
      </c>
      <c r="CI228" s="507">
        <f>INPUT!EF193</f>
        <v>0.29411764705882248</v>
      </c>
      <c r="CJ228" s="151">
        <f>INPUT!EG193</f>
        <v>354</v>
      </c>
      <c r="CK228" s="507">
        <f>INPUT!EH193</f>
        <v>4.117647058823537</v>
      </c>
      <c r="CL228" s="151">
        <f>INPUT!EI193</f>
        <v>353</v>
      </c>
      <c r="CM228" s="507">
        <f>INPUT!EJ193</f>
        <v>5.37313432835822</v>
      </c>
      <c r="CN228" s="151">
        <f>INPUT!EK193</f>
        <v>355</v>
      </c>
      <c r="CO228" s="507">
        <f>INPUT!EL193</f>
        <v>5.9701492537313383</v>
      </c>
      <c r="CP228" s="151">
        <f>INPUT!EM193</f>
        <v>361</v>
      </c>
      <c r="CQ228" s="507">
        <f>INPUT!EN193</f>
        <v>5.8651026392961825</v>
      </c>
      <c r="CR228" s="151">
        <f>INPUT!EO193</f>
        <v>374</v>
      </c>
      <c r="CS228" s="507">
        <f>INPUT!EP193</f>
        <v>5.6497175141242861</v>
      </c>
      <c r="CT228" s="151">
        <f>INPUT!EQ193</f>
        <v>376.19843613298337</v>
      </c>
      <c r="CU228" s="507">
        <f>INPUT!ER193</f>
        <v>6.5717949385222019</v>
      </c>
      <c r="CV228" s="151">
        <f>INPUT!ES193</f>
        <v>378.23599449257347</v>
      </c>
      <c r="CW228" s="507">
        <f>INPUT!ET193</f>
        <v>6.5453505612883101</v>
      </c>
      <c r="CX228" s="151">
        <f>INPUT!EU193</f>
        <v>380.79132715573536</v>
      </c>
      <c r="CY228" s="507">
        <f>INPUT!EV193</f>
        <v>5.4823620930014805</v>
      </c>
      <c r="CZ228" s="151">
        <f>INPUT!EW193</f>
        <v>382.82829329269623</v>
      </c>
      <c r="DA228" s="507">
        <f>INPUT!EX193</f>
        <v>2.3605062279936417</v>
      </c>
      <c r="DB228" s="507"/>
      <c r="DC228" s="151">
        <f>INPUT!FP193</f>
        <v>543</v>
      </c>
      <c r="DD228" s="687" t="str">
        <f>INPUT!FQ193</f>
        <v>NA</v>
      </c>
      <c r="DE228" s="151">
        <f>INPUT!FR193</f>
        <v>848</v>
      </c>
      <c r="DF228" s="687">
        <f>INPUT!FS193</f>
        <v>56.169429097605892</v>
      </c>
      <c r="DG228" s="151">
        <f>INPUT!FT193</f>
        <v>1047</v>
      </c>
      <c r="DH228" s="687">
        <f>INPUT!FU193</f>
        <v>23.466981132075482</v>
      </c>
      <c r="DI228" s="151">
        <f>INPUT!FV193</f>
        <v>1146</v>
      </c>
      <c r="DJ228" s="687">
        <f>INPUT!FW193</f>
        <v>9.4555873925501466</v>
      </c>
      <c r="DK228" s="151">
        <f>INPUT!FX193</f>
        <v>1162</v>
      </c>
      <c r="DL228" s="507">
        <f>INPUT!FY193</f>
        <v>1.3961605584642323</v>
      </c>
      <c r="DM228" s="151">
        <f>INPUT!FZ193</f>
        <v>1185</v>
      </c>
      <c r="DN228" s="507">
        <f>INPUT!GA193</f>
        <v>1.9793459552495785</v>
      </c>
      <c r="DO228" s="151">
        <f>INPUT!GB193</f>
        <v>1188</v>
      </c>
      <c r="DP228" s="507">
        <f>INPUT!GC193</f>
        <v>0.25316455696202667</v>
      </c>
      <c r="DQ228" s="151">
        <f>INPUT!GD193</f>
        <v>1252</v>
      </c>
      <c r="DR228" s="507">
        <f>INPUT!GE193</f>
        <v>5.3872053872053849</v>
      </c>
      <c r="DS228" s="151">
        <f>INPUT!GF193</f>
        <v>1295</v>
      </c>
      <c r="DT228" s="507">
        <f>INPUT!GG193</f>
        <v>3.4345047923322714</v>
      </c>
      <c r="DU228" s="151">
        <f>INPUT!GH193</f>
        <v>1344</v>
      </c>
      <c r="DV228" s="507">
        <f>INPUT!GI193</f>
        <v>3.7837837837837895</v>
      </c>
      <c r="DW228" s="151">
        <f>INPUT!GJ193</f>
        <v>1355</v>
      </c>
      <c r="DX228" s="507">
        <f>INPUT!GK193</f>
        <v>0.81845238095237249</v>
      </c>
      <c r="DY228" s="151">
        <f>INPUT!GL193</f>
        <v>1365</v>
      </c>
      <c r="DZ228" s="507">
        <f>INPUT!GM193</f>
        <v>0.73800738007379074</v>
      </c>
      <c r="EA228" s="151">
        <f>INPUT!GN193</f>
        <v>1443</v>
      </c>
      <c r="EB228" s="507">
        <f>INPUT!GO193</f>
        <v>5.7142857142857162</v>
      </c>
      <c r="EC228" s="151">
        <f>INPUT!GP193</f>
        <v>1518.0540510739884</v>
      </c>
      <c r="ED228" s="507">
        <f>INPUT!GQ193</f>
        <v>5.2012509406783369</v>
      </c>
      <c r="EE228" s="151">
        <f>INPUT!GR193</f>
        <v>1555.2956634446082</v>
      </c>
      <c r="EF228" s="507">
        <f>INPUT!GS193</f>
        <v>2.4532467960723947</v>
      </c>
      <c r="EG228" s="151">
        <f>INPUT!GT193</f>
        <v>1594.0026848543537</v>
      </c>
      <c r="EH228" s="507">
        <f>INPUT!GU193</f>
        <v>2.4887243190801822</v>
      </c>
      <c r="EI228" s="151">
        <f>INPUT!GV193</f>
        <v>1634.2443158145463</v>
      </c>
      <c r="EJ228" s="507">
        <f>INPUT!GW193</f>
        <v>2.5245648167693924</v>
      </c>
      <c r="EK228" s="151">
        <f>INPUT!GX193</f>
        <v>1676.093175103558</v>
      </c>
      <c r="EL228" s="507">
        <f>INPUT!GY193</f>
        <v>2.5607468163750813</v>
      </c>
      <c r="EM228" s="687">
        <f>INPUT!GZ193</f>
        <v>3.0401222595122679</v>
      </c>
    </row>
    <row r="229" spans="1:143" ht="12.75" hidden="1" customHeight="1" outlineLevel="1" x14ac:dyDescent="0.2">
      <c r="A229" s="701" t="str">
        <f>INPUT!B191</f>
        <v>Withdrawals/Deaths</v>
      </c>
      <c r="B229" s="151">
        <f>INPUT!AY191</f>
        <v>-182</v>
      </c>
      <c r="C229" s="507">
        <f>INPUT!AZ191</f>
        <v>-3.1914893617021267</v>
      </c>
      <c r="D229" s="151">
        <f>INPUT!BA191</f>
        <v>-317</v>
      </c>
      <c r="E229" s="687">
        <f>INPUT!BB191</f>
        <v>90.963855421686745</v>
      </c>
      <c r="F229" s="151">
        <f>INPUT!BC191</f>
        <v>-275</v>
      </c>
      <c r="G229" s="687">
        <f>INPUT!BD191</f>
        <v>70.807453416149073</v>
      </c>
      <c r="H229" s="151">
        <f>INPUT!BE191</f>
        <v>-301</v>
      </c>
      <c r="I229" s="687">
        <f>INPUT!BF191</f>
        <v>88.125000000000014</v>
      </c>
      <c r="J229" s="151">
        <f>INPUT!BG191</f>
        <v>-264</v>
      </c>
      <c r="K229" s="687">
        <f>INPUT!BH191</f>
        <v>45.054945054945051</v>
      </c>
      <c r="L229" s="151">
        <f>INPUT!BI191</f>
        <v>-311</v>
      </c>
      <c r="M229" s="687">
        <f>INPUT!BJ191</f>
        <v>-1.8927444794952675</v>
      </c>
      <c r="N229" s="151">
        <f>INPUT!BK191</f>
        <v>-299</v>
      </c>
      <c r="O229" s="687">
        <f>INPUT!BL191</f>
        <v>8.727272727272716</v>
      </c>
      <c r="P229" s="151">
        <f>INPUT!BM191</f>
        <v>-320</v>
      </c>
      <c r="Q229" s="687">
        <f>INPUT!BN191</f>
        <v>6.3122923588039948</v>
      </c>
      <c r="R229" s="151">
        <f>INPUT!BO191</f>
        <v>-398</v>
      </c>
      <c r="S229" s="687">
        <f>INPUT!BP191</f>
        <v>50.757575757575758</v>
      </c>
      <c r="T229" s="151">
        <f>INPUT!BQ191</f>
        <v>-277</v>
      </c>
      <c r="U229" s="687">
        <f>INPUT!BR191</f>
        <v>-10.932475884244376</v>
      </c>
      <c r="V229" s="151">
        <f>INPUT!BS191</f>
        <v>-306</v>
      </c>
      <c r="W229" s="687">
        <f>INPUT!BT191</f>
        <v>2.3411371237458178</v>
      </c>
      <c r="X229" s="151">
        <f>INPUT!BU191</f>
        <v>-325</v>
      </c>
      <c r="Y229" s="687">
        <f>INPUT!BV191</f>
        <v>1.5625</v>
      </c>
      <c r="Z229" s="151">
        <f>INPUT!BW191</f>
        <v>-358</v>
      </c>
      <c r="AA229" s="687">
        <f>INPUT!BX191</f>
        <v>-10.050251256281406</v>
      </c>
      <c r="AB229" s="151">
        <f>INPUT!BY191</f>
        <v>-391</v>
      </c>
      <c r="AC229" s="687">
        <f>INPUT!BZ191</f>
        <v>41.155234657039721</v>
      </c>
      <c r="AD229" s="151">
        <f>INPUT!CA191</f>
        <v>-417</v>
      </c>
      <c r="AE229" s="687">
        <f>INPUT!CB191</f>
        <v>36.274509803921575</v>
      </c>
      <c r="AF229" s="151">
        <f>INPUT!CC191</f>
        <v>-296</v>
      </c>
      <c r="AG229" s="687">
        <f>INPUT!CD191</f>
        <v>-8.9230769230769234</v>
      </c>
      <c r="AH229" s="151">
        <f>INPUT!CE191</f>
        <v>-367</v>
      </c>
      <c r="AI229" s="507">
        <f>INPUT!CF191</f>
        <v>2.5139664804469275</v>
      </c>
      <c r="AJ229" s="151">
        <f>INPUT!CG191</f>
        <v>-314</v>
      </c>
      <c r="AK229" s="507">
        <f>INPUT!CH191</f>
        <v>-19.693094629156004</v>
      </c>
      <c r="AL229" s="151">
        <f>INPUT!CI191</f>
        <v>-384</v>
      </c>
      <c r="AM229" s="507">
        <f>INPUT!CJ191</f>
        <v>-7.9136690647481966</v>
      </c>
      <c r="AN229" s="151">
        <f>INPUT!CK191</f>
        <v>-318</v>
      </c>
      <c r="AO229" s="507">
        <f>INPUT!CL191</f>
        <v>7.4324324324324342</v>
      </c>
      <c r="AP229" s="151">
        <f>INPUT!CM191</f>
        <v>-295</v>
      </c>
      <c r="AQ229" s="507">
        <f>INPUT!CN191</f>
        <v>-19.618528610354225</v>
      </c>
      <c r="AR229" s="151">
        <f>INPUT!CO191</f>
        <v>-296</v>
      </c>
      <c r="AS229" s="507">
        <f>INPUT!CP191</f>
        <v>-5.7324840764331197</v>
      </c>
      <c r="AT229" s="151">
        <f>INPUT!CQ191</f>
        <v>-232</v>
      </c>
      <c r="AU229" s="507">
        <f>INPUT!CR191</f>
        <v>-39.583333333333336</v>
      </c>
      <c r="AV229" s="151">
        <f>INPUT!CS191</f>
        <v>-268</v>
      </c>
      <c r="AW229" s="507">
        <f>INPUT!CT191</f>
        <v>-15.723270440251568</v>
      </c>
      <c r="AX229" s="151">
        <f>INPUT!CU191</f>
        <v>-317</v>
      </c>
      <c r="AY229" s="507">
        <f>INPUT!CV191</f>
        <v>7.4576271186440612</v>
      </c>
      <c r="AZ229" s="151">
        <f>INPUT!CW191</f>
        <v>-331</v>
      </c>
      <c r="BA229" s="507">
        <f>INPUT!CX191</f>
        <v>11.824324324324319</v>
      </c>
      <c r="BB229" s="151">
        <f>INPUT!CY191</f>
        <v>-337</v>
      </c>
      <c r="BC229" s="507">
        <f>INPUT!CZ191</f>
        <v>45.258620689655181</v>
      </c>
      <c r="BD229" s="151">
        <f>INPUT!DA191</f>
        <v>-267</v>
      </c>
      <c r="BE229" s="507">
        <f>INPUT!DB191</f>
        <v>-0.37313432835820448</v>
      </c>
      <c r="BF229" s="151">
        <f>INPUT!DC191</f>
        <v>-187</v>
      </c>
      <c r="BG229" s="507">
        <f>INPUT!DD191</f>
        <v>-41.009463722397477</v>
      </c>
      <c r="BH229" s="151">
        <f>INPUT!DE191</f>
        <v>-247</v>
      </c>
      <c r="BI229" s="507">
        <f>INPUT!DF191</f>
        <v>-25.377643504531722</v>
      </c>
      <c r="BJ229" s="151">
        <f>INPUT!DG191</f>
        <v>-255</v>
      </c>
      <c r="BK229" s="507">
        <f>INPUT!DH191</f>
        <v>-24.332344213649847</v>
      </c>
      <c r="BL229" s="151">
        <f>INPUT!DI191</f>
        <v>-208</v>
      </c>
      <c r="BM229" s="507">
        <f>INPUT!DJ191</f>
        <v>-22.097378277153556</v>
      </c>
      <c r="BN229" s="151">
        <f>INPUT!DK191</f>
        <v>-292</v>
      </c>
      <c r="BO229" s="507">
        <f>INPUT!DL191</f>
        <v>56.149732620320862</v>
      </c>
      <c r="BP229" s="151">
        <f>INPUT!DM191</f>
        <v>-253</v>
      </c>
      <c r="BQ229" s="507">
        <f>INPUT!DN191</f>
        <v>2.4291497975708509</v>
      </c>
      <c r="BR229" s="151">
        <f>INPUT!DO191</f>
        <v>-259</v>
      </c>
      <c r="BS229" s="507">
        <f>INPUT!DP191</f>
        <v>1.5686274509803866</v>
      </c>
      <c r="BT229" s="151">
        <f>INPUT!DQ191</f>
        <v>-256</v>
      </c>
      <c r="BU229" s="507">
        <f>INPUT!DR191</f>
        <v>23.076923076923084</v>
      </c>
      <c r="BV229" s="151">
        <f>INPUT!DS191</f>
        <v>-299</v>
      </c>
      <c r="BW229" s="507">
        <f>INPUT!DT191</f>
        <v>2.3972602739726012</v>
      </c>
      <c r="BX229" s="151">
        <f>INPUT!DU191</f>
        <v>-299</v>
      </c>
      <c r="BY229" s="507">
        <f>INPUT!DV191</f>
        <v>18.181818181818187</v>
      </c>
      <c r="BZ229" s="151">
        <f>INPUT!DW191</f>
        <v>-214</v>
      </c>
      <c r="CA229" s="507">
        <f>INPUT!DX191</f>
        <v>-214</v>
      </c>
      <c r="CB229" s="151">
        <f>INPUT!DY191</f>
        <v>-208</v>
      </c>
      <c r="CC229" s="507">
        <f>INPUT!DZ191</f>
        <v>-18.75</v>
      </c>
      <c r="CD229" s="151">
        <f>INPUT!EA191</f>
        <v>-317</v>
      </c>
      <c r="CE229" s="507">
        <f>INPUT!EB191</f>
        <v>6.020066889632103</v>
      </c>
      <c r="CF229" s="151">
        <f>INPUT!EC191</f>
        <v>-294</v>
      </c>
      <c r="CG229" s="507">
        <f>INPUT!ED191</f>
        <v>-1.6722408026755842</v>
      </c>
      <c r="CH229" s="151">
        <f>INPUT!EE191</f>
        <v>-270</v>
      </c>
      <c r="CI229" s="507">
        <f>INPUT!EF191</f>
        <v>26.168224299065422</v>
      </c>
      <c r="CJ229" s="151">
        <f>INPUT!EG191</f>
        <v>-241</v>
      </c>
      <c r="CK229" s="507">
        <f>INPUT!EH191</f>
        <v>15.865384615384626</v>
      </c>
      <c r="CL229" s="151">
        <f>INPUT!EI191</f>
        <v>-403</v>
      </c>
      <c r="CM229" s="507">
        <f>INPUT!EJ191</f>
        <v>27.129337539432186</v>
      </c>
      <c r="CN229" s="151">
        <f>INPUT!EK191</f>
        <v>-316</v>
      </c>
      <c r="CO229" s="507">
        <f>INPUT!EL191</f>
        <v>7.4829931972789199</v>
      </c>
      <c r="CP229" s="151">
        <f>INPUT!EM191</f>
        <v>-310</v>
      </c>
      <c r="CQ229" s="507">
        <f>INPUT!EN191</f>
        <v>14.814814814814813</v>
      </c>
      <c r="CR229" s="151">
        <f>INPUT!EO191</f>
        <v>-281</v>
      </c>
      <c r="CS229" s="507">
        <f>INPUT!EP191</f>
        <v>16.597510373443992</v>
      </c>
      <c r="CT229" s="151">
        <f>INPUT!EQ191</f>
        <v>-282.65176618547679</v>
      </c>
      <c r="CU229" s="507">
        <f>INPUT!ER191</f>
        <v>-29.863085313777471</v>
      </c>
      <c r="CV229" s="151">
        <f>INPUT!ES191</f>
        <v>-284.18265896367154</v>
      </c>
      <c r="CW229" s="507">
        <f>INPUT!ET191</f>
        <v>-10.068778808964707</v>
      </c>
      <c r="CX229" s="151">
        <f>INPUT!EU191</f>
        <v>-286.10257468118084</v>
      </c>
      <c r="CY229" s="507">
        <f>INPUT!EV191</f>
        <v>-7.7088468770384333</v>
      </c>
      <c r="CZ229" s="151">
        <f>INPUT!EW191</f>
        <v>-287.63302250066215</v>
      </c>
      <c r="DA229" s="507">
        <f>INPUT!EX191</f>
        <v>2.3605062279936417</v>
      </c>
      <c r="DB229" s="507"/>
      <c r="DC229" s="151">
        <f>INPUT!FP191</f>
        <v>-675</v>
      </c>
      <c r="DD229" s="687" t="str">
        <f>INPUT!FQ191</f>
        <v>NA</v>
      </c>
      <c r="DE229" s="151">
        <f>INPUT!FR191</f>
        <v>-1075</v>
      </c>
      <c r="DF229" s="687">
        <f>INPUT!FS191</f>
        <v>59.259259259259252</v>
      </c>
      <c r="DG229" s="151">
        <f>INPUT!FT191</f>
        <v>-1194</v>
      </c>
      <c r="DH229" s="687">
        <f>INPUT!FU191</f>
        <v>11.069767441860456</v>
      </c>
      <c r="DI229" s="151">
        <f>INPUT!FV191</f>
        <v>-1306</v>
      </c>
      <c r="DJ229" s="687">
        <f>INPUT!FW191</f>
        <v>9.3802345058626493</v>
      </c>
      <c r="DK229" s="151">
        <f>INPUT!FX191</f>
        <v>-1462</v>
      </c>
      <c r="DL229" s="507">
        <f>INPUT!FY191</f>
        <v>11.944869831546701</v>
      </c>
      <c r="DM229" s="151">
        <f>INPUT!FZ191</f>
        <v>-1383</v>
      </c>
      <c r="DN229" s="507">
        <f>INPUT!GA191</f>
        <v>-5.4035567715458255</v>
      </c>
      <c r="DO229" s="151">
        <f>INPUT!GB191</f>
        <v>-1091</v>
      </c>
      <c r="DP229" s="507">
        <f>INPUT!GC191</f>
        <v>-21.113521330441067</v>
      </c>
      <c r="DQ229" s="151">
        <f>INPUT!GD191</f>
        <v>-1252</v>
      </c>
      <c r="DR229" s="507">
        <f>INPUT!GE191</f>
        <v>14.757103574702102</v>
      </c>
      <c r="DS229" s="151">
        <f>INPUT!GF191</f>
        <v>-897</v>
      </c>
      <c r="DT229" s="507">
        <f>INPUT!GG191</f>
        <v>-28.354632587859431</v>
      </c>
      <c r="DU229" s="151">
        <f>INPUT!GH191</f>
        <v>-1060</v>
      </c>
      <c r="DV229" s="507">
        <f>INPUT!GI191</f>
        <v>18.171683389074687</v>
      </c>
      <c r="DW229" s="151">
        <f>INPUT!GJ191</f>
        <v>-1020</v>
      </c>
      <c r="DX229" s="507">
        <f>INPUT!GK191</f>
        <v>-3.7735849056603765</v>
      </c>
      <c r="DY229" s="151">
        <f>INPUT!GL191</f>
        <v>-1122</v>
      </c>
      <c r="DZ229" s="507">
        <f>INPUT!GM191</f>
        <v>10.000000000000009</v>
      </c>
      <c r="EA229" s="151">
        <f>INPUT!GN191</f>
        <v>-1310</v>
      </c>
      <c r="EB229" s="507">
        <f>INPUT!GO191</f>
        <v>16.755793226381456</v>
      </c>
      <c r="EC229" s="151">
        <f>INPUT!GP191</f>
        <v>-1140.5700223309914</v>
      </c>
      <c r="ED229" s="507">
        <f>INPUT!GQ191</f>
        <v>-12.93358608160371</v>
      </c>
      <c r="EE229" s="151">
        <f>INPUT!GR191</f>
        <v>-1168.5510198607888</v>
      </c>
      <c r="EF229" s="507">
        <f>INPUT!GS191</f>
        <v>2.4532467960724169</v>
      </c>
      <c r="EG229" s="151">
        <f>INPUT!GT191</f>
        <v>-1197.6330332729237</v>
      </c>
      <c r="EH229" s="507">
        <f>INPUT!GU191</f>
        <v>2.4887243190801822</v>
      </c>
      <c r="EI229" s="151">
        <f>INPUT!GV191</f>
        <v>-1227.8680554649402</v>
      </c>
      <c r="EJ229" s="507">
        <f>INPUT!GW191</f>
        <v>2.5245648167694146</v>
      </c>
      <c r="EK229" s="151">
        <f>INPUT!GX191</f>
        <v>-1259.310647604545</v>
      </c>
      <c r="EL229" s="507">
        <f>INPUT!GY191</f>
        <v>2.5607468163750591</v>
      </c>
      <c r="EM229" s="687">
        <f>INPUT!GZ191</f>
        <v>-0.78614699392813847</v>
      </c>
    </row>
    <row r="230" spans="1:143" ht="12.75" hidden="1" customHeight="1" outlineLevel="2" x14ac:dyDescent="0.2">
      <c r="A230" s="701" t="str">
        <f>INPUT!B194</f>
        <v>Business Acquired/Other</v>
      </c>
      <c r="B230" s="153">
        <f>INPUT!AY194</f>
        <v>0</v>
      </c>
      <c r="C230" s="507">
        <f>INPUT!AZ194</f>
        <v>0</v>
      </c>
      <c r="D230" s="153">
        <f>INPUT!BA194</f>
        <v>9150</v>
      </c>
      <c r="E230" s="687">
        <f>INPUT!BB194</f>
        <v>0</v>
      </c>
      <c r="F230" s="153">
        <f>INPUT!BC194</f>
        <v>0</v>
      </c>
      <c r="G230" s="687">
        <f>INPUT!BD194</f>
        <v>0</v>
      </c>
      <c r="H230" s="153">
        <f>INPUT!BE194</f>
        <v>0</v>
      </c>
      <c r="I230" s="687">
        <f>INPUT!BF194</f>
        <v>0</v>
      </c>
      <c r="J230" s="153">
        <f>INPUT!BG194</f>
        <v>0</v>
      </c>
      <c r="K230" s="687">
        <f>INPUT!BH194</f>
        <v>0</v>
      </c>
      <c r="L230" s="153">
        <f>INPUT!BI194</f>
        <v>0</v>
      </c>
      <c r="M230" s="687">
        <f>INPUT!BJ194</f>
        <v>0</v>
      </c>
      <c r="N230" s="153">
        <f>INPUT!BK194</f>
        <v>0</v>
      </c>
      <c r="O230" s="687">
        <f>INPUT!BL194</f>
        <v>0</v>
      </c>
      <c r="P230" s="153">
        <f>INPUT!BM194</f>
        <v>0</v>
      </c>
      <c r="Q230" s="687">
        <f>INPUT!BN194</f>
        <v>0</v>
      </c>
      <c r="R230" s="153">
        <f>INPUT!BO194</f>
        <v>0</v>
      </c>
      <c r="S230" s="687">
        <f>INPUT!BP194</f>
        <v>0</v>
      </c>
      <c r="T230" s="153">
        <f>INPUT!BQ194</f>
        <v>0</v>
      </c>
      <c r="U230" s="687">
        <f>INPUT!BR194</f>
        <v>0</v>
      </c>
      <c r="V230" s="153">
        <f>INPUT!BS194</f>
        <v>0</v>
      </c>
      <c r="W230" s="687">
        <f>INPUT!BT194</f>
        <v>0</v>
      </c>
      <c r="X230" s="153">
        <f>INPUT!BU194</f>
        <v>0</v>
      </c>
      <c r="Y230" s="687">
        <f>INPUT!BV194</f>
        <v>0</v>
      </c>
      <c r="Z230" s="153">
        <f>INPUT!BW194</f>
        <v>0</v>
      </c>
      <c r="AA230" s="687">
        <f>INPUT!BX194</f>
        <v>0</v>
      </c>
      <c r="AB230" s="153">
        <f>INPUT!BY194</f>
        <v>0</v>
      </c>
      <c r="AC230" s="687">
        <f>INPUT!BZ194</f>
        <v>0</v>
      </c>
      <c r="AD230" s="153">
        <f>INPUT!CA194</f>
        <v>0</v>
      </c>
      <c r="AE230" s="687">
        <f>INPUT!CB194</f>
        <v>0</v>
      </c>
      <c r="AF230" s="153">
        <f>INPUT!CC194</f>
        <v>0</v>
      </c>
      <c r="AG230" s="687">
        <f>INPUT!CD194</f>
        <v>0</v>
      </c>
      <c r="AH230" s="153">
        <f>INPUT!CE194</f>
        <v>0</v>
      </c>
      <c r="AI230" s="507">
        <f>INPUT!CF194</f>
        <v>0</v>
      </c>
      <c r="AJ230" s="153">
        <f>INPUT!CG194</f>
        <v>0</v>
      </c>
      <c r="AK230" s="507">
        <f>INPUT!CH194</f>
        <v>0</v>
      </c>
      <c r="AL230" s="153">
        <f>INPUT!CI194</f>
        <v>0</v>
      </c>
      <c r="AM230" s="507">
        <f>INPUT!CJ194</f>
        <v>0</v>
      </c>
      <c r="AN230" s="153">
        <f>INPUT!CK194</f>
        <v>0</v>
      </c>
      <c r="AO230" s="507">
        <f>INPUT!CL194</f>
        <v>0</v>
      </c>
      <c r="AP230" s="153">
        <f>INPUT!CM194</f>
        <v>0</v>
      </c>
      <c r="AQ230" s="507">
        <f>INPUT!CN194</f>
        <v>0</v>
      </c>
      <c r="AR230" s="153">
        <f>INPUT!CO194</f>
        <v>0</v>
      </c>
      <c r="AS230" s="507">
        <f>INPUT!CP194</f>
        <v>0</v>
      </c>
      <c r="AT230" s="153">
        <f>INPUT!CQ194</f>
        <v>0</v>
      </c>
      <c r="AU230" s="507">
        <f>INPUT!CR194</f>
        <v>0</v>
      </c>
      <c r="AV230" s="153">
        <f>INPUT!CS194</f>
        <v>0</v>
      </c>
      <c r="AW230" s="507">
        <f>INPUT!CT194</f>
        <v>0</v>
      </c>
      <c r="AX230" s="153">
        <f>INPUT!CU194</f>
        <v>0</v>
      </c>
      <c r="AY230" s="507">
        <f>INPUT!CV194</f>
        <v>0</v>
      </c>
      <c r="AZ230" s="153">
        <f>INPUT!CW194</f>
        <v>0</v>
      </c>
      <c r="BA230" s="507">
        <f>INPUT!CX194</f>
        <v>0</v>
      </c>
      <c r="BB230" s="153">
        <f>INPUT!CY194</f>
        <v>0</v>
      </c>
      <c r="BC230" s="507">
        <f>INPUT!CZ194</f>
        <v>0</v>
      </c>
      <c r="BD230" s="153">
        <f>INPUT!DA194</f>
        <v>0</v>
      </c>
      <c r="BE230" s="507">
        <f>INPUT!DB194</f>
        <v>0</v>
      </c>
      <c r="BF230" s="153">
        <f>INPUT!DC194</f>
        <v>0</v>
      </c>
      <c r="BG230" s="507">
        <f>INPUT!DD194</f>
        <v>0</v>
      </c>
      <c r="BH230" s="153">
        <f>INPUT!DE194</f>
        <v>0</v>
      </c>
      <c r="BI230" s="507">
        <f>INPUT!DF194</f>
        <v>0</v>
      </c>
      <c r="BJ230" s="153">
        <f>INPUT!DG194</f>
        <v>0</v>
      </c>
      <c r="BK230" s="507">
        <f>INPUT!DH194</f>
        <v>0</v>
      </c>
      <c r="BL230" s="153">
        <f>INPUT!DI194</f>
        <v>0</v>
      </c>
      <c r="BM230" s="507">
        <f>INPUT!DJ194</f>
        <v>0</v>
      </c>
      <c r="BN230" s="153">
        <f>INPUT!DK194</f>
        <v>0</v>
      </c>
      <c r="BO230" s="507">
        <f>INPUT!DL194</f>
        <v>0</v>
      </c>
      <c r="BP230" s="153">
        <f>INPUT!DM194</f>
        <v>0</v>
      </c>
      <c r="BQ230" s="507" t="str">
        <f>INPUT!DN194</f>
        <v>NA</v>
      </c>
      <c r="BR230" s="153">
        <f>INPUT!DO194</f>
        <v>0</v>
      </c>
      <c r="BS230" s="507" t="str">
        <f>INPUT!DP194</f>
        <v>NA</v>
      </c>
      <c r="BT230" s="153">
        <f>INPUT!DQ194</f>
        <v>0</v>
      </c>
      <c r="BU230" s="507" t="str">
        <f>INPUT!DR194</f>
        <v>NA</v>
      </c>
      <c r="BV230" s="153">
        <f>INPUT!DS194</f>
        <v>0</v>
      </c>
      <c r="BW230" s="507" t="str">
        <f>INPUT!DT194</f>
        <v>NA</v>
      </c>
      <c r="BX230" s="153">
        <f>INPUT!DU194</f>
        <v>0</v>
      </c>
      <c r="BY230" s="507" t="str">
        <f>INPUT!DV194</f>
        <v>NA</v>
      </c>
      <c r="BZ230" s="153">
        <f>INPUT!DW194</f>
        <v>0</v>
      </c>
      <c r="CA230" s="507">
        <f>INPUT!DX194</f>
        <v>0</v>
      </c>
      <c r="CB230" s="153">
        <f>INPUT!DY194</f>
        <v>0</v>
      </c>
      <c r="CC230" s="507" t="str">
        <f>INPUT!DZ194</f>
        <v>NA</v>
      </c>
      <c r="CD230" s="153">
        <f>INPUT!EA194</f>
        <v>0</v>
      </c>
      <c r="CE230" s="507" t="str">
        <f>INPUT!EB194</f>
        <v>NA</v>
      </c>
      <c r="CF230" s="153">
        <f>INPUT!EC194</f>
        <v>0</v>
      </c>
      <c r="CG230" s="507" t="str">
        <f>INPUT!ED194</f>
        <v>NA</v>
      </c>
      <c r="CH230" s="153">
        <f>INPUT!EE194</f>
        <v>0</v>
      </c>
      <c r="CI230" s="507" t="str">
        <f>INPUT!EF194</f>
        <v>NA</v>
      </c>
      <c r="CJ230" s="153">
        <f>INPUT!EG194</f>
        <v>0</v>
      </c>
      <c r="CK230" s="507" t="str">
        <f>INPUT!EH194</f>
        <v>NA</v>
      </c>
      <c r="CL230" s="153">
        <f>INPUT!EI194</f>
        <v>0</v>
      </c>
      <c r="CM230" s="507" t="str">
        <f>INPUT!EJ194</f>
        <v>NA</v>
      </c>
      <c r="CN230" s="153">
        <f>INPUT!EK194</f>
        <v>0</v>
      </c>
      <c r="CO230" s="507" t="str">
        <f>INPUT!EL194</f>
        <v>NA</v>
      </c>
      <c r="CP230" s="153">
        <f>INPUT!EM194</f>
        <v>0</v>
      </c>
      <c r="CQ230" s="507" t="str">
        <f>INPUT!EN194</f>
        <v>NA</v>
      </c>
      <c r="CR230" s="153">
        <f>INPUT!EO194</f>
        <v>0</v>
      </c>
      <c r="CS230" s="507" t="str">
        <f>INPUT!EP194</f>
        <v>NA</v>
      </c>
      <c r="CT230" s="153">
        <f>INPUT!EQ194</f>
        <v>0</v>
      </c>
      <c r="CU230" s="507" t="str">
        <f>INPUT!ER194</f>
        <v>NA</v>
      </c>
      <c r="CV230" s="153">
        <f>INPUT!ES194</f>
        <v>0</v>
      </c>
      <c r="CW230" s="507" t="str">
        <f>INPUT!ET194</f>
        <v>NA</v>
      </c>
      <c r="CX230" s="153">
        <f>INPUT!EU194</f>
        <v>0</v>
      </c>
      <c r="CY230" s="507" t="str">
        <f>INPUT!EV194</f>
        <v>NA</v>
      </c>
      <c r="CZ230" s="153">
        <f>INPUT!EW194</f>
        <v>0</v>
      </c>
      <c r="DA230" s="507" t="str">
        <f>INPUT!EX194</f>
        <v>NA</v>
      </c>
      <c r="DB230" s="507"/>
      <c r="DC230" s="153">
        <f>INPUT!FP194</f>
        <v>0</v>
      </c>
      <c r="DD230" s="687">
        <f>INPUT!FQ194</f>
        <v>0</v>
      </c>
      <c r="DE230" s="153">
        <f>INPUT!FR194</f>
        <v>9150</v>
      </c>
      <c r="DF230" s="687" t="str">
        <f>INPUT!FS194</f>
        <v>NA</v>
      </c>
      <c r="DG230" s="153">
        <f>INPUT!FT194</f>
        <v>0</v>
      </c>
      <c r="DH230" s="687" t="str">
        <f>INPUT!FU194</f>
        <v>NM</v>
      </c>
      <c r="DI230" s="153">
        <f>INPUT!FV194</f>
        <v>0</v>
      </c>
      <c r="DJ230" s="687" t="str">
        <f>INPUT!FW194</f>
        <v>NA</v>
      </c>
      <c r="DK230" s="153">
        <f>INPUT!FX194</f>
        <v>0</v>
      </c>
      <c r="DL230" s="507" t="str">
        <f>INPUT!FY194</f>
        <v>NA</v>
      </c>
      <c r="DM230" s="153">
        <f>INPUT!FZ194</f>
        <v>0</v>
      </c>
      <c r="DN230" s="507" t="str">
        <f>INPUT!GA194</f>
        <v>NA</v>
      </c>
      <c r="DO230" s="153">
        <f>INPUT!GB194</f>
        <v>0</v>
      </c>
      <c r="DP230" s="507" t="str">
        <f>INPUT!GC194</f>
        <v>NA</v>
      </c>
      <c r="DQ230" s="153">
        <f>INPUT!GD194</f>
        <v>0</v>
      </c>
      <c r="DR230" s="507" t="str">
        <f>INPUT!GE194</f>
        <v>NA</v>
      </c>
      <c r="DS230" s="153">
        <f>INPUT!GF194</f>
        <v>0</v>
      </c>
      <c r="DT230" s="507" t="str">
        <f>INPUT!GG194</f>
        <v>NA</v>
      </c>
      <c r="DU230" s="153">
        <f>INPUT!GH194</f>
        <v>0</v>
      </c>
      <c r="DV230" s="507" t="str">
        <f>INPUT!GI194</f>
        <v>NA</v>
      </c>
      <c r="DW230" s="153">
        <f>INPUT!GJ194</f>
        <v>0</v>
      </c>
      <c r="DX230" s="507" t="str">
        <f>INPUT!GK194</f>
        <v>NA</v>
      </c>
      <c r="DY230" s="153">
        <f>INPUT!GL194</f>
        <v>0</v>
      </c>
      <c r="DZ230" s="507" t="str">
        <f>INPUT!GM194</f>
        <v>NA</v>
      </c>
      <c r="EA230" s="153">
        <f>INPUT!GN194</f>
        <v>0</v>
      </c>
      <c r="EB230" s="507" t="str">
        <f>INPUT!GO194</f>
        <v>NA</v>
      </c>
      <c r="EC230" s="153">
        <f>INPUT!GP194</f>
        <v>0</v>
      </c>
      <c r="ED230" s="507" t="str">
        <f>INPUT!GQ194</f>
        <v>NA</v>
      </c>
      <c r="EE230" s="153">
        <f>INPUT!GR194</f>
        <v>0</v>
      </c>
      <c r="EF230" s="507" t="str">
        <f>INPUT!GS194</f>
        <v>NA</v>
      </c>
      <c r="EG230" s="153">
        <f>INPUT!GT194</f>
        <v>0</v>
      </c>
      <c r="EH230" s="507" t="str">
        <f>INPUT!GU194</f>
        <v>NA</v>
      </c>
      <c r="EI230" s="153">
        <f>INPUT!GV194</f>
        <v>0</v>
      </c>
      <c r="EJ230" s="507" t="str">
        <f>INPUT!GW194</f>
        <v>NA</v>
      </c>
      <c r="EK230" s="153">
        <f>INPUT!GX194</f>
        <v>0</v>
      </c>
      <c r="EL230" s="507" t="str">
        <f>INPUT!GY194</f>
        <v>NA</v>
      </c>
      <c r="EM230" s="687" t="str">
        <f>INPUT!GZ194</f>
        <v/>
      </c>
    </row>
    <row r="231" spans="1:143" ht="12.75" hidden="1" customHeight="1" outlineLevel="1" collapsed="1" x14ac:dyDescent="0.2">
      <c r="A231" s="701" t="str">
        <f>INPUT!B195</f>
        <v>Ending Reserves (Gross)</v>
      </c>
      <c r="B231" s="151">
        <f>INPUT!AY195</f>
        <v>11913</v>
      </c>
      <c r="C231" s="507">
        <f>INPUT!AZ195</f>
        <v>5.1920529801324555</v>
      </c>
      <c r="D231" s="151">
        <f>INPUT!BA195</f>
        <v>21285</v>
      </c>
      <c r="E231" s="687">
        <f>INPUT!BB195</f>
        <v>86.008913746395166</v>
      </c>
      <c r="F231" s="151">
        <f>INPUT!BC195</f>
        <v>21516</v>
      </c>
      <c r="G231" s="687">
        <f>INPUT!BD195</f>
        <v>85.626779397808647</v>
      </c>
      <c r="H231" s="151">
        <f>INPUT!BE195</f>
        <v>21890</v>
      </c>
      <c r="I231" s="687">
        <f>INPUT!BF195</f>
        <v>85.367092895249399</v>
      </c>
      <c r="J231" s="151">
        <f>INPUT!BG195</f>
        <v>25575</v>
      </c>
      <c r="K231" s="687" t="str">
        <f>INPUT!BH195</f>
        <v>NM</v>
      </c>
      <c r="L231" s="151">
        <f>INPUT!BI195</f>
        <v>25864</v>
      </c>
      <c r="M231" s="687">
        <f>INPUT!BJ195</f>
        <v>21.512802443034996</v>
      </c>
      <c r="N231" s="151">
        <f>INPUT!BK195</f>
        <v>26162</v>
      </c>
      <c r="O231" s="687">
        <f>INPUT!BL195</f>
        <v>21.593232942926189</v>
      </c>
      <c r="P231" s="151">
        <f>INPUT!BM195</f>
        <v>26518</v>
      </c>
      <c r="Q231" s="687">
        <f>INPUT!BN195</f>
        <v>21.142074006395607</v>
      </c>
      <c r="R231" s="151">
        <f>INPUT!BO195</f>
        <v>26726</v>
      </c>
      <c r="S231" s="687">
        <f>INPUT!BP195</f>
        <v>4.5004887585532671</v>
      </c>
      <c r="T231" s="151">
        <f>INPUT!BQ195</f>
        <v>26980</v>
      </c>
      <c r="U231" s="687">
        <f>INPUT!BR195</f>
        <v>4.3148778224559203</v>
      </c>
      <c r="V231" s="151">
        <f>INPUT!BS195</f>
        <v>27227</v>
      </c>
      <c r="W231" s="687">
        <f>INPUT!BT195</f>
        <v>4.0707896949774502</v>
      </c>
      <c r="X231" s="151">
        <f>INPUT!BU195</f>
        <v>27502</v>
      </c>
      <c r="Y231" s="687">
        <f>INPUT!BV195</f>
        <v>3.7106870804736403</v>
      </c>
      <c r="Z231" s="151">
        <f>INPUT!BW195</f>
        <v>27617</v>
      </c>
      <c r="AA231" s="687">
        <f>INPUT!BX195</f>
        <v>3.3338322233031459</v>
      </c>
      <c r="AB231" s="151">
        <f>INPUT!BY195</f>
        <v>27709</v>
      </c>
      <c r="AC231" s="687">
        <f>INPUT!BZ195</f>
        <v>2.7020014825796856</v>
      </c>
      <c r="AD231" s="151">
        <f>INPUT!CA195</f>
        <v>27825</v>
      </c>
      <c r="AE231" s="687">
        <f>INPUT!CB195</f>
        <v>2.1963492121790829</v>
      </c>
      <c r="AF231" s="151">
        <f>INPUT!CC195</f>
        <v>28192</v>
      </c>
      <c r="AG231" s="687">
        <f>INPUT!CD195</f>
        <v>2.5089084430223174</v>
      </c>
      <c r="AH231" s="151">
        <f>INPUT!CE195</f>
        <v>28355</v>
      </c>
      <c r="AI231" s="507">
        <f>INPUT!CF195</f>
        <v>2.6722670818698724</v>
      </c>
      <c r="AJ231" s="151">
        <f>INPUT!CG195</f>
        <v>28584</v>
      </c>
      <c r="AK231" s="507">
        <f>INPUT!CH195</f>
        <v>3.157818759247899</v>
      </c>
      <c r="AL231" s="151">
        <f>INPUT!CI195</f>
        <v>28794</v>
      </c>
      <c r="AM231" s="507">
        <f>INPUT!CJ195</f>
        <v>3.4824797843665767</v>
      </c>
      <c r="AN231" s="151">
        <f>INPUT!CK195</f>
        <v>29365</v>
      </c>
      <c r="AO231" s="507">
        <f>INPUT!CL195</f>
        <v>4.1607548240635728</v>
      </c>
      <c r="AP231" s="151">
        <f>INPUT!CM195</f>
        <v>29739</v>
      </c>
      <c r="AQ231" s="507">
        <f>INPUT!CN195</f>
        <v>4.8809733733027771</v>
      </c>
      <c r="AR231" s="151">
        <f>INPUT!CO195</f>
        <v>30148</v>
      </c>
      <c r="AS231" s="507">
        <f>INPUT!CP195</f>
        <v>5.4715924993003151</v>
      </c>
      <c r="AT231" s="151">
        <f>INPUT!CQ195</f>
        <v>30638</v>
      </c>
      <c r="AU231" s="507">
        <f>INPUT!CR195</f>
        <v>6.4041119677710645</v>
      </c>
      <c r="AV231" s="151">
        <f>INPUT!CS195</f>
        <v>31219</v>
      </c>
      <c r="AW231" s="507">
        <f>INPUT!CT195</f>
        <v>6.3136386855099591</v>
      </c>
      <c r="AX231" s="151">
        <f>INPUT!CU195</f>
        <v>31494</v>
      </c>
      <c r="AY231" s="507">
        <f>INPUT!CV195</f>
        <v>5.9013416725511858</v>
      </c>
      <c r="AZ231" s="151">
        <f>INPUT!CW195</f>
        <v>31750</v>
      </c>
      <c r="BA231" s="507">
        <f>INPUT!CX195</f>
        <v>5.3137853257264167</v>
      </c>
      <c r="BB231" s="151">
        <f>INPUT!CY195</f>
        <v>31986</v>
      </c>
      <c r="BC231" s="507">
        <f>INPUT!CZ195</f>
        <v>4.3997649977152609</v>
      </c>
      <c r="BD231" s="151">
        <f>INPUT!DA195</f>
        <v>32432</v>
      </c>
      <c r="BE231" s="507">
        <f>INPUT!DB195</f>
        <v>3.8854543707357747</v>
      </c>
      <c r="BF231" s="151">
        <f>INPUT!DC195</f>
        <v>32817</v>
      </c>
      <c r="BG231" s="507">
        <f>INPUT!DD195</f>
        <v>4.2008001524099781</v>
      </c>
      <c r="BH231" s="151">
        <f>INPUT!DE195</f>
        <v>33108</v>
      </c>
      <c r="BI231" s="507">
        <f>INPUT!DF195</f>
        <v>4.2771653543307142</v>
      </c>
      <c r="BJ231" s="151">
        <f>INPUT!DG195</f>
        <v>33366</v>
      </c>
      <c r="BK231" s="507">
        <f>INPUT!DH195</f>
        <v>4.3143875445507351</v>
      </c>
      <c r="BL231" s="151">
        <f>INPUT!DI195</f>
        <v>33721</v>
      </c>
      <c r="BM231" s="507">
        <f>INPUT!DJ195</f>
        <v>3.9744696595954698</v>
      </c>
      <c r="BN231" s="151">
        <f>INPUT!DK195</f>
        <v>33886</v>
      </c>
      <c r="BO231" s="507">
        <f>INPUT!DL195</f>
        <v>3.2574580248042162</v>
      </c>
      <c r="BP231" s="151">
        <f>INPUT!DM195</f>
        <v>34094</v>
      </c>
      <c r="BQ231" s="507">
        <f>INPUT!DN195</f>
        <v>2.978132173492809</v>
      </c>
      <c r="BR231" s="151">
        <f>INPUT!DO195</f>
        <v>34315</v>
      </c>
      <c r="BS231" s="507">
        <f>INPUT!DP195</f>
        <v>2.8442126715818583</v>
      </c>
      <c r="BT231" s="151">
        <f>INPUT!DQ195</f>
        <v>34612</v>
      </c>
      <c r="BU231" s="507">
        <f>INPUT!DR195</f>
        <v>2.6422703953026261</v>
      </c>
      <c r="BV231" s="151">
        <f>INPUT!DS195</f>
        <v>34753</v>
      </c>
      <c r="BW231" s="507">
        <f>INPUT!DT195</f>
        <v>2.5585787640913571</v>
      </c>
      <c r="BX231" s="151">
        <f>INPUT!DU195</f>
        <v>34930</v>
      </c>
      <c r="BY231" s="507">
        <f>INPUT!DV195</f>
        <v>2.452044347979121</v>
      </c>
      <c r="BZ231" s="151">
        <f>INPUT!DW195</f>
        <v>35213</v>
      </c>
      <c r="CA231" s="507">
        <f>INPUT!DX195</f>
        <v>285.4520443479791</v>
      </c>
      <c r="CB231" s="151">
        <f>INPUT!DY195</f>
        <v>35545</v>
      </c>
      <c r="CC231" s="507">
        <f>INPUT!DZ195</f>
        <v>2.6955969028082727</v>
      </c>
      <c r="CD231" s="151">
        <f>INPUT!EA195</f>
        <v>35640</v>
      </c>
      <c r="CE231" s="507">
        <f>INPUT!EB195</f>
        <v>2.5522976433689282</v>
      </c>
      <c r="CF231" s="151">
        <f>INPUT!EC195</f>
        <v>35775</v>
      </c>
      <c r="CG231" s="507">
        <f>INPUT!ED195</f>
        <v>2.4191239622101346</v>
      </c>
      <c r="CH231" s="151">
        <f>INPUT!EE195</f>
        <v>35975</v>
      </c>
      <c r="CI231" s="507">
        <f>INPUT!EF195</f>
        <v>2.1639735325021947</v>
      </c>
      <c r="CJ231" s="151">
        <f>INPUT!EG195</f>
        <v>36272</v>
      </c>
      <c r="CK231" s="507">
        <f>INPUT!EH195</f>
        <v>2.0452946968631203</v>
      </c>
      <c r="CL231" s="151">
        <f>INPUT!EI195</f>
        <v>36295</v>
      </c>
      <c r="CM231" s="507">
        <f>INPUT!EJ195</f>
        <v>1.8378226711559975</v>
      </c>
      <c r="CN231" s="151">
        <f>INPUT!EK195</f>
        <v>36454</v>
      </c>
      <c r="CO231" s="507">
        <f>INPUT!EL195</f>
        <v>1.8979734451432639</v>
      </c>
      <c r="CP231" s="151">
        <f>INPUT!EM195</f>
        <v>36576</v>
      </c>
      <c r="CQ231" s="507">
        <f>INPUT!EN195</f>
        <v>1.6706045865184205</v>
      </c>
      <c r="CR231" s="151">
        <f>INPUT!EO195</f>
        <v>36791</v>
      </c>
      <c r="CS231" s="507">
        <f>INPUT!EP195</f>
        <v>1.4308557565063884</v>
      </c>
      <c r="CT231" s="151">
        <f>INPUT!EQ195</f>
        <v>36990.266669947508</v>
      </c>
      <c r="CU231" s="507">
        <f>INPUT!ER195</f>
        <v>1.9155990355352204</v>
      </c>
      <c r="CV231" s="151">
        <f>INPUT!ES195</f>
        <v>37240.170005476408</v>
      </c>
      <c r="CW231" s="507">
        <f>INPUT!ET195</f>
        <v>2.1566083433269601</v>
      </c>
      <c r="CX231" s="151">
        <f>INPUT!EU195</f>
        <v>37439.378757950959</v>
      </c>
      <c r="CY231" s="507">
        <f>INPUT!EV195</f>
        <v>2.3605062279936639</v>
      </c>
      <c r="CZ231" s="151">
        <f>INPUT!EW195</f>
        <v>37693.574028742994</v>
      </c>
      <c r="DA231" s="507">
        <f>INPUT!EX195</f>
        <v>2.4532467960723947</v>
      </c>
      <c r="DB231" s="507"/>
      <c r="DC231" s="151">
        <f>INPUT!FP195</f>
        <v>11810</v>
      </c>
      <c r="DD231" s="687" t="str">
        <f>INPUT!FQ195</f>
        <v>NA</v>
      </c>
      <c r="DE231" s="151">
        <f>INPUT!FR195</f>
        <v>21891</v>
      </c>
      <c r="DF231" s="687">
        <f>INPUT!FS195</f>
        <v>85.359864521591874</v>
      </c>
      <c r="DG231" s="151">
        <f>INPUT!FT195</f>
        <v>26518</v>
      </c>
      <c r="DH231" s="687">
        <f>INPUT!FU195</f>
        <v>21.136540130647298</v>
      </c>
      <c r="DI231" s="151">
        <f>INPUT!FV195</f>
        <v>27502</v>
      </c>
      <c r="DJ231" s="687">
        <f>INPUT!FW195</f>
        <v>3.7106870804736403</v>
      </c>
      <c r="DK231" s="151">
        <f>INPUT!FX195</f>
        <v>28192</v>
      </c>
      <c r="DL231" s="507">
        <f>INPUT!FY195</f>
        <v>2.5089084430223174</v>
      </c>
      <c r="DM231" s="151">
        <f>INPUT!FZ195</f>
        <v>29365</v>
      </c>
      <c r="DN231" s="507">
        <f>INPUT!GA195</f>
        <v>4.1607548240635728</v>
      </c>
      <c r="DO231" s="151">
        <f>INPUT!GB195</f>
        <v>31219</v>
      </c>
      <c r="DP231" s="507">
        <f>INPUT!GC195</f>
        <v>6.3136386855099591</v>
      </c>
      <c r="DQ231" s="151">
        <f>INPUT!GD195</f>
        <v>32432</v>
      </c>
      <c r="DR231" s="507">
        <f>INPUT!GE195</f>
        <v>3.8854543707357747</v>
      </c>
      <c r="DS231" s="151">
        <f>INPUT!GF195</f>
        <v>33721</v>
      </c>
      <c r="DT231" s="507">
        <f>INPUT!GG195</f>
        <v>3.9744696595954698</v>
      </c>
      <c r="DU231" s="151">
        <f>INPUT!GH195</f>
        <v>34612</v>
      </c>
      <c r="DV231" s="507">
        <f>INPUT!GI195</f>
        <v>2.6422703953026261</v>
      </c>
      <c r="DW231" s="151">
        <f>INPUT!GJ195</f>
        <v>35545</v>
      </c>
      <c r="DX231" s="507">
        <f>INPUT!GK195</f>
        <v>2.6955969028082727</v>
      </c>
      <c r="DY231" s="151">
        <f>INPUT!GL195</f>
        <v>36272</v>
      </c>
      <c r="DZ231" s="507">
        <f>INPUT!GM195</f>
        <v>2.0452946968631203</v>
      </c>
      <c r="EA231" s="151">
        <f>INPUT!GN195</f>
        <v>36791</v>
      </c>
      <c r="EB231" s="507">
        <f>INPUT!GO195</f>
        <v>1.4308557565063884</v>
      </c>
      <c r="EC231" s="151">
        <f>INPUT!GP195</f>
        <v>37693.574028742994</v>
      </c>
      <c r="ED231" s="507">
        <f>INPUT!GQ195</f>
        <v>2.4532467960723947</v>
      </c>
      <c r="EE231" s="151">
        <f>INPUT!GR195</f>
        <v>38631.663172326815</v>
      </c>
      <c r="EF231" s="507">
        <f>INPUT!GS195</f>
        <v>2.4887243190801822</v>
      </c>
      <c r="EG231" s="151">
        <f>INPUT!GT195</f>
        <v>39606.944548908243</v>
      </c>
      <c r="EH231" s="507">
        <f>INPUT!GU195</f>
        <v>2.5245648167694146</v>
      </c>
      <c r="EI231" s="151">
        <f>INPUT!GV195</f>
        <v>40621.178120507851</v>
      </c>
      <c r="EJ231" s="507">
        <f>INPUT!GW195</f>
        <v>2.5607468163750813</v>
      </c>
      <c r="EK231" s="151">
        <f>INPUT!GX195</f>
        <v>41676.210824819362</v>
      </c>
      <c r="EL231" s="507">
        <f>INPUT!GY195</f>
        <v>2.5972479212237998</v>
      </c>
      <c r="EM231" s="687">
        <f>INPUT!GZ195</f>
        <v>2.5248934909946064</v>
      </c>
    </row>
    <row r="232" spans="1:143" ht="12.75" hidden="1" customHeight="1" outlineLevel="1" x14ac:dyDescent="0.2">
      <c r="A232" s="701" t="str">
        <f>INPUT!B196</f>
        <v>Less: Reinsurance Ceded</v>
      </c>
      <c r="B232" s="151">
        <f>INPUT!AY196</f>
        <v>0</v>
      </c>
      <c r="C232" s="507">
        <f>INPUT!AZ196</f>
        <v>0</v>
      </c>
      <c r="D232" s="151">
        <f>INPUT!BA196</f>
        <v>0</v>
      </c>
      <c r="E232" s="687">
        <f>INPUT!BB196</f>
        <v>0</v>
      </c>
      <c r="F232" s="151">
        <f>INPUT!BC196</f>
        <v>0</v>
      </c>
      <c r="G232" s="687">
        <f>INPUT!BD196</f>
        <v>0</v>
      </c>
      <c r="H232" s="151">
        <f>INPUT!BE196</f>
        <v>0</v>
      </c>
      <c r="I232" s="687">
        <f>INPUT!BF196</f>
        <v>0</v>
      </c>
      <c r="J232" s="151">
        <f>INPUT!BG196</f>
        <v>0</v>
      </c>
      <c r="K232" s="687">
        <f>INPUT!BH196</f>
        <v>0</v>
      </c>
      <c r="L232" s="151">
        <f>INPUT!BI196</f>
        <v>0</v>
      </c>
      <c r="M232" s="687">
        <f>INPUT!BJ196</f>
        <v>0</v>
      </c>
      <c r="N232" s="151">
        <f>INPUT!BK196</f>
        <v>0</v>
      </c>
      <c r="O232" s="687">
        <f>INPUT!BL196</f>
        <v>0</v>
      </c>
      <c r="P232" s="151">
        <f>INPUT!BM196</f>
        <v>0</v>
      </c>
      <c r="Q232" s="687">
        <f>INPUT!BN196</f>
        <v>0</v>
      </c>
      <c r="R232" s="151">
        <f>INPUT!BO196</f>
        <v>0</v>
      </c>
      <c r="S232" s="687">
        <f>INPUT!BP196</f>
        <v>0</v>
      </c>
      <c r="T232" s="151">
        <f>INPUT!BQ196</f>
        <v>0</v>
      </c>
      <c r="U232" s="687">
        <f>INPUT!BR196</f>
        <v>0</v>
      </c>
      <c r="V232" s="151">
        <f>INPUT!BS196</f>
        <v>0</v>
      </c>
      <c r="W232" s="687">
        <f>INPUT!BT196</f>
        <v>0</v>
      </c>
      <c r="X232" s="151">
        <f>INPUT!BU196</f>
        <v>0</v>
      </c>
      <c r="Y232" s="687">
        <f>INPUT!BV196</f>
        <v>0</v>
      </c>
      <c r="Z232" s="151">
        <f>INPUT!BW196</f>
        <v>-938</v>
      </c>
      <c r="AA232" s="687">
        <f>INPUT!BX196</f>
        <v>0</v>
      </c>
      <c r="AB232" s="151">
        <f>INPUT!BY196</f>
        <v>-930</v>
      </c>
      <c r="AC232" s="687">
        <f>INPUT!BZ196</f>
        <v>0</v>
      </c>
      <c r="AD232" s="151">
        <f>INPUT!CA196</f>
        <v>-923</v>
      </c>
      <c r="AE232" s="687">
        <f>INPUT!CB196</f>
        <v>0</v>
      </c>
      <c r="AF232" s="151">
        <f>INPUT!CC196</f>
        <v>-917</v>
      </c>
      <c r="AG232" s="687">
        <f>INPUT!CD196</f>
        <v>0</v>
      </c>
      <c r="AH232" s="151">
        <f>INPUT!CE196</f>
        <v>-911</v>
      </c>
      <c r="AI232" s="507">
        <f>INPUT!CF196</f>
        <v>0</v>
      </c>
      <c r="AJ232" s="151">
        <f>INPUT!CG196</f>
        <v>-903</v>
      </c>
      <c r="AK232" s="507">
        <f>INPUT!CH196</f>
        <v>0</v>
      </c>
      <c r="AL232" s="151">
        <f>INPUT!CI196</f>
        <v>-899</v>
      </c>
      <c r="AM232" s="507">
        <f>INPUT!CJ196</f>
        <v>0</v>
      </c>
      <c r="AN232" s="301">
        <f>INPUT!CK196</f>
        <v>-888</v>
      </c>
      <c r="AO232" s="507">
        <f>INPUT!CL196</f>
        <v>0</v>
      </c>
      <c r="AP232" s="301">
        <f>INPUT!CM196</f>
        <v>-885</v>
      </c>
      <c r="AQ232" s="507">
        <f>INPUT!CN196</f>
        <v>0</v>
      </c>
      <c r="AR232" s="301">
        <f>INPUT!CO196</f>
        <v>-881</v>
      </c>
      <c r="AS232" s="507">
        <f>INPUT!CP196</f>
        <v>0</v>
      </c>
      <c r="AT232" s="301">
        <f>INPUT!CQ196</f>
        <v>-877</v>
      </c>
      <c r="AU232" s="507">
        <f>INPUT!CR196</f>
        <v>0</v>
      </c>
      <c r="AV232" s="301">
        <f>INPUT!CS196</f>
        <v>-870</v>
      </c>
      <c r="AW232" s="507">
        <f>INPUT!CT196</f>
        <v>0</v>
      </c>
      <c r="AX232" s="301">
        <f>INPUT!CU196</f>
        <v>-862</v>
      </c>
      <c r="AY232" s="507">
        <f>INPUT!CV196</f>
        <v>0</v>
      </c>
      <c r="AZ232" s="301">
        <f>INPUT!CW196</f>
        <v>-859</v>
      </c>
      <c r="BA232" s="507">
        <f>INPUT!CX196</f>
        <v>0</v>
      </c>
      <c r="BB232" s="301">
        <f>INPUT!CY196</f>
        <v>-847</v>
      </c>
      <c r="BC232" s="507">
        <f>INPUT!CZ196</f>
        <v>0</v>
      </c>
      <c r="BD232" s="301">
        <f>INPUT!DA196</f>
        <v>-838</v>
      </c>
      <c r="BE232" s="507">
        <f>INPUT!DB196</f>
        <v>0</v>
      </c>
      <c r="BF232" s="301">
        <f>INPUT!DC196</f>
        <v>-831</v>
      </c>
      <c r="BG232" s="507">
        <f>INPUT!DD196</f>
        <v>0</v>
      </c>
      <c r="BH232" s="301">
        <f>INPUT!DE196</f>
        <v>-819</v>
      </c>
      <c r="BI232" s="507">
        <f>INPUT!DF196</f>
        <v>0</v>
      </c>
      <c r="BJ232" s="301">
        <f>INPUT!DG196</f>
        <v>-813</v>
      </c>
      <c r="BK232" s="507">
        <f>INPUT!DH196</f>
        <v>0</v>
      </c>
      <c r="BL232" s="301">
        <f>INPUT!DI196</f>
        <v>-809</v>
      </c>
      <c r="BM232" s="507">
        <f>INPUT!DJ196</f>
        <v>0</v>
      </c>
      <c r="BN232" s="301">
        <f>INPUT!DK196</f>
        <v>-804</v>
      </c>
      <c r="BO232" s="507">
        <f>INPUT!DL196</f>
        <v>0</v>
      </c>
      <c r="BP232" s="301">
        <f>INPUT!DM196</f>
        <v>-797</v>
      </c>
      <c r="BQ232" s="507">
        <f>INPUT!DN196</f>
        <v>-2.6862026862026878</v>
      </c>
      <c r="BR232" s="301">
        <f>INPUT!DO196</f>
        <v>-793</v>
      </c>
      <c r="BS232" s="507">
        <f>INPUT!DP196</f>
        <v>-2.4600246002460024</v>
      </c>
      <c r="BT232" s="301">
        <f>INPUT!DQ196</f>
        <v>-784</v>
      </c>
      <c r="BU232" s="507">
        <f>INPUT!DR196</f>
        <v>-3.0902348578491945</v>
      </c>
      <c r="BV232" s="301">
        <f>INPUT!DS196</f>
        <v>-782</v>
      </c>
      <c r="BW232" s="507">
        <f>INPUT!DT196</f>
        <v>-2.7363184079602032</v>
      </c>
      <c r="BX232" s="301">
        <f>INPUT!DU196</f>
        <v>-773</v>
      </c>
      <c r="BY232" s="507">
        <f>INPUT!DV196</f>
        <v>-3.0112923462986219</v>
      </c>
      <c r="BZ232" s="301">
        <f>INPUT!DW196</f>
        <v>-770</v>
      </c>
      <c r="CA232" s="507">
        <f>INPUT!DX196</f>
        <v>-770</v>
      </c>
      <c r="CB232" s="301">
        <f>INPUT!DY196</f>
        <v>-763</v>
      </c>
      <c r="CC232" s="507">
        <f>INPUT!DZ196</f>
        <v>-2.6785714285714302</v>
      </c>
      <c r="CD232" s="301">
        <f>INPUT!EA196</f>
        <v>-763</v>
      </c>
      <c r="CE232" s="507">
        <f>INPUT!EB196</f>
        <v>-2.4296675191815886</v>
      </c>
      <c r="CF232" s="301">
        <f>INPUT!EC196</f>
        <v>-760</v>
      </c>
      <c r="CG232" s="507">
        <f>INPUT!ED196</f>
        <v>-1.681759379042691</v>
      </c>
      <c r="CH232" s="301">
        <f>INPUT!EE196</f>
        <v>-756</v>
      </c>
      <c r="CI232" s="507">
        <f>INPUT!EF196</f>
        <v>-1.8181818181818188</v>
      </c>
      <c r="CJ232" s="301">
        <f>INPUT!EG196</f>
        <v>-747</v>
      </c>
      <c r="CK232" s="507">
        <f>INPUT!EH196</f>
        <v>-2.0969855832241202</v>
      </c>
      <c r="CL232" s="301">
        <f>INPUT!EI196</f>
        <v>-738</v>
      </c>
      <c r="CM232" s="507">
        <f>INPUT!EJ196</f>
        <v>-3.2765399737876844</v>
      </c>
      <c r="CN232" s="301">
        <f>INPUT!EK196</f>
        <v>-734</v>
      </c>
      <c r="CO232" s="507">
        <f>INPUT!EL196</f>
        <v>-3.4210526315789469</v>
      </c>
      <c r="CP232" s="301">
        <f>INPUT!EM196</f>
        <v>-726</v>
      </c>
      <c r="CQ232" s="507">
        <f>INPUT!EN196</f>
        <v>-3.9682539682539653</v>
      </c>
      <c r="CR232" s="301">
        <f>INPUT!EO196</f>
        <v>-719</v>
      </c>
      <c r="CS232" s="507">
        <f>INPUT!EP196</f>
        <v>-3.7483266398929072</v>
      </c>
      <c r="CT232" s="301">
        <f>INPUT!EQ196</f>
        <v>-682.86276041666667</v>
      </c>
      <c r="CU232" s="507">
        <f>INPUT!ER196</f>
        <v>-7.4711706752484179</v>
      </c>
      <c r="CV232" s="301">
        <f>INPUT!ES196</f>
        <v>-730.70247395833326</v>
      </c>
      <c r="CW232" s="507">
        <f>INPUT!ET196</f>
        <v>-0.44925422910990775</v>
      </c>
      <c r="CX232" s="301">
        <f>INPUT!EU196</f>
        <v>-701.21223958333326</v>
      </c>
      <c r="CY232" s="507">
        <f>INPUT!EV196</f>
        <v>-3.4142920684113953</v>
      </c>
      <c r="CZ232" s="301">
        <f>INPUT!EW196</f>
        <v>-754.95</v>
      </c>
      <c r="DA232" s="507">
        <f>INPUT!EX196</f>
        <v>5.0000000000000044</v>
      </c>
      <c r="DB232" s="507"/>
      <c r="DC232" s="151">
        <f>INPUT!FP196</f>
        <v>0</v>
      </c>
      <c r="DD232" s="687">
        <f>INPUT!FQ196</f>
        <v>0</v>
      </c>
      <c r="DE232" s="151">
        <f>INPUT!FR196</f>
        <v>0</v>
      </c>
      <c r="DF232" s="687">
        <f>INPUT!FS196</f>
        <v>0</v>
      </c>
      <c r="DG232" s="151">
        <f>INPUT!FT196</f>
        <v>0</v>
      </c>
      <c r="DH232" s="687">
        <f>INPUT!FU196</f>
        <v>0</v>
      </c>
      <c r="DI232" s="151">
        <f>INPUT!FV196</f>
        <v>0</v>
      </c>
      <c r="DJ232" s="687">
        <f>INPUT!FW196</f>
        <v>0</v>
      </c>
      <c r="DK232" s="301">
        <f>INPUT!FX196</f>
        <v>-3708</v>
      </c>
      <c r="DL232" s="507" t="str">
        <f>INPUT!FY196</f>
        <v>NA</v>
      </c>
      <c r="DM232" s="301">
        <f>INPUT!FZ196</f>
        <v>-3601</v>
      </c>
      <c r="DN232" s="507">
        <f>INPUT!GA196</f>
        <v>-2.8856526429342</v>
      </c>
      <c r="DO232" s="301">
        <f>INPUT!GB196</f>
        <v>-3513</v>
      </c>
      <c r="DP232" s="507">
        <f>INPUT!GC196</f>
        <v>-2.4437656206609315</v>
      </c>
      <c r="DQ232" s="301">
        <f>INPUT!GD196</f>
        <v>-3406</v>
      </c>
      <c r="DR232" s="507">
        <f>INPUT!GE196</f>
        <v>-3.0458297751209784</v>
      </c>
      <c r="DS232" s="301">
        <f>INPUT!GF196</f>
        <v>-3272</v>
      </c>
      <c r="DT232" s="507">
        <f>INPUT!GG196</f>
        <v>-3.9342337052260756</v>
      </c>
      <c r="DU232" s="301">
        <f>INPUT!GH196</f>
        <v>-3178</v>
      </c>
      <c r="DV232" s="507">
        <f>INPUT!GI196</f>
        <v>-2.8728606356968167</v>
      </c>
      <c r="DW232" s="301">
        <f>INPUT!GJ196</f>
        <v>-3088</v>
      </c>
      <c r="DX232" s="507">
        <f>INPUT!GK196</f>
        <v>-2.8319697923222198</v>
      </c>
      <c r="DY232" s="301">
        <f>INPUT!GL196</f>
        <v>-3026</v>
      </c>
      <c r="DZ232" s="507">
        <f>INPUT!GM196</f>
        <v>-2.0077720207253846</v>
      </c>
      <c r="EA232" s="301">
        <f>INPUT!GN196</f>
        <v>-2917</v>
      </c>
      <c r="EB232" s="507">
        <f>INPUT!GO196</f>
        <v>-3.6021150033046956</v>
      </c>
      <c r="EC232" s="301">
        <f>INPUT!GP196</f>
        <v>-2869.7274739583327</v>
      </c>
      <c r="ED232" s="507">
        <f>INPUT!GQ196</f>
        <v>-1.6205871114729931</v>
      </c>
      <c r="EE232" s="301">
        <f>INPUT!GR196</f>
        <v>-3013.2138476562491</v>
      </c>
      <c r="EF232" s="507">
        <f>INPUT!GS196</f>
        <v>4.9999999999999822</v>
      </c>
      <c r="EG232" s="301">
        <f>INPUT!GT196</f>
        <v>-3163.8745400390621</v>
      </c>
      <c r="EH232" s="507">
        <f>INPUT!GU196</f>
        <v>5.0000000000000266</v>
      </c>
      <c r="EI232" s="301">
        <f>INPUT!GV196</f>
        <v>-3322.0682670410151</v>
      </c>
      <c r="EJ232" s="507">
        <f>INPUT!GW196</f>
        <v>5.0000000000000044</v>
      </c>
      <c r="EK232" s="301">
        <f>INPUT!GX196</f>
        <v>-3488.1716803930663</v>
      </c>
      <c r="EL232" s="507">
        <f>INPUT!GY196</f>
        <v>5.0000000000000044</v>
      </c>
      <c r="EM232" s="687">
        <f>INPUT!GZ196</f>
        <v>3.6411646240846141</v>
      </c>
    </row>
    <row r="233" spans="1:143" ht="12.75" hidden="1" customHeight="1" outlineLevel="1" x14ac:dyDescent="0.2">
      <c r="A233" s="701" t="str">
        <f>INPUT!B197</f>
        <v>Ending Reserves (Net)</v>
      </c>
      <c r="B233" s="151">
        <f>INPUT!AY197</f>
        <v>11913</v>
      </c>
      <c r="C233" s="507">
        <f>INPUT!AZ197</f>
        <v>0</v>
      </c>
      <c r="D233" s="151">
        <f>INPUT!BA197</f>
        <v>21285</v>
      </c>
      <c r="E233" s="687">
        <f>INPUT!BB197</f>
        <v>0</v>
      </c>
      <c r="F233" s="151">
        <f>INPUT!BC197</f>
        <v>21516</v>
      </c>
      <c r="G233" s="687">
        <f>INPUT!BD197</f>
        <v>0</v>
      </c>
      <c r="H233" s="151">
        <f>INPUT!BE197</f>
        <v>21890</v>
      </c>
      <c r="I233" s="687">
        <f>INPUT!BF197</f>
        <v>0</v>
      </c>
      <c r="J233" s="151">
        <f>INPUT!BG197</f>
        <v>25575</v>
      </c>
      <c r="K233" s="687">
        <f>INPUT!BH197</f>
        <v>0</v>
      </c>
      <c r="L233" s="151">
        <f>INPUT!BI197</f>
        <v>25864</v>
      </c>
      <c r="M233" s="687">
        <f>INPUT!BJ197</f>
        <v>0</v>
      </c>
      <c r="N233" s="151">
        <f>INPUT!BK197</f>
        <v>26162</v>
      </c>
      <c r="O233" s="687">
        <f>INPUT!BL197</f>
        <v>0</v>
      </c>
      <c r="P233" s="151">
        <f>INPUT!BM197</f>
        <v>26518</v>
      </c>
      <c r="Q233" s="687">
        <f>INPUT!BN197</f>
        <v>0</v>
      </c>
      <c r="R233" s="151">
        <f>INPUT!BO197</f>
        <v>26726</v>
      </c>
      <c r="S233" s="687">
        <f>INPUT!BP197</f>
        <v>0</v>
      </c>
      <c r="T233" s="151">
        <f>INPUT!BQ197</f>
        <v>26980</v>
      </c>
      <c r="U233" s="687">
        <f>INPUT!BR197</f>
        <v>0</v>
      </c>
      <c r="V233" s="151">
        <f>INPUT!BS197</f>
        <v>27227</v>
      </c>
      <c r="W233" s="687">
        <f>INPUT!BT197</f>
        <v>0</v>
      </c>
      <c r="X233" s="151">
        <f>INPUT!BU197</f>
        <v>27502</v>
      </c>
      <c r="Y233" s="687">
        <f>INPUT!BV197</f>
        <v>0</v>
      </c>
      <c r="Z233" s="151">
        <f>INPUT!BW197</f>
        <v>26679</v>
      </c>
      <c r="AA233" s="687">
        <f>INPUT!BX197</f>
        <v>0</v>
      </c>
      <c r="AB233" s="151">
        <f>INPUT!BY197</f>
        <v>26779</v>
      </c>
      <c r="AC233" s="687">
        <f>INPUT!BZ197</f>
        <v>0</v>
      </c>
      <c r="AD233" s="151">
        <f>INPUT!CA197</f>
        <v>26902</v>
      </c>
      <c r="AE233" s="687">
        <f>INPUT!CB197</f>
        <v>0</v>
      </c>
      <c r="AF233" s="151">
        <f>INPUT!CC197</f>
        <v>27275</v>
      </c>
      <c r="AG233" s="687">
        <f>INPUT!CD197</f>
        <v>0</v>
      </c>
      <c r="AH233" s="151">
        <f>INPUT!CE197</f>
        <v>27444</v>
      </c>
      <c r="AI233" s="507">
        <f>INPUT!CF197</f>
        <v>0</v>
      </c>
      <c r="AJ233" s="151">
        <f>INPUT!CG197</f>
        <v>27681</v>
      </c>
      <c r="AK233" s="507">
        <f>INPUT!CH197</f>
        <v>0</v>
      </c>
      <c r="AL233" s="151">
        <f>INPUT!CI197</f>
        <v>27895</v>
      </c>
      <c r="AM233" s="507">
        <f>INPUT!CJ197</f>
        <v>0</v>
      </c>
      <c r="AN233" s="301">
        <f>INPUT!CK197</f>
        <v>28477</v>
      </c>
      <c r="AO233" s="507">
        <f>INPUT!CL197</f>
        <v>0</v>
      </c>
      <c r="AP233" s="301">
        <f>INPUT!CM197</f>
        <v>28854</v>
      </c>
      <c r="AQ233" s="507">
        <f>INPUT!CN197</f>
        <v>0</v>
      </c>
      <c r="AR233" s="301">
        <f>INPUT!CO197</f>
        <v>29267</v>
      </c>
      <c r="AS233" s="507">
        <f>INPUT!CP197</f>
        <v>0</v>
      </c>
      <c r="AT233" s="301">
        <f>INPUT!CQ197</f>
        <v>29761</v>
      </c>
      <c r="AU233" s="507">
        <f>INPUT!CR197</f>
        <v>0</v>
      </c>
      <c r="AV233" s="301">
        <f>INPUT!CS197</f>
        <v>30349</v>
      </c>
      <c r="AW233" s="507">
        <f>INPUT!CT197</f>
        <v>0</v>
      </c>
      <c r="AX233" s="301">
        <f>INPUT!CU197</f>
        <v>30632</v>
      </c>
      <c r="AY233" s="507">
        <f>INPUT!CV197</f>
        <v>0</v>
      </c>
      <c r="AZ233" s="301">
        <f>INPUT!CW197</f>
        <v>30891</v>
      </c>
      <c r="BA233" s="507">
        <f>INPUT!CX197</f>
        <v>0</v>
      </c>
      <c r="BB233" s="301">
        <f>INPUT!CY197</f>
        <v>31139</v>
      </c>
      <c r="BC233" s="507">
        <f>INPUT!CZ197</f>
        <v>0</v>
      </c>
      <c r="BD233" s="301">
        <f>INPUT!DA197</f>
        <v>31594</v>
      </c>
      <c r="BE233" s="507">
        <f>INPUT!DB197</f>
        <v>0</v>
      </c>
      <c r="BF233" s="301">
        <f>INPUT!DC197</f>
        <v>31986</v>
      </c>
      <c r="BG233" s="507">
        <f>INPUT!DD197</f>
        <v>0</v>
      </c>
      <c r="BH233" s="301">
        <f>INPUT!DE197</f>
        <v>32289</v>
      </c>
      <c r="BI233" s="507">
        <f>INPUT!DF197</f>
        <v>0</v>
      </c>
      <c r="BJ233" s="301">
        <f>INPUT!DG197</f>
        <v>32553</v>
      </c>
      <c r="BK233" s="507">
        <f>INPUT!DH197</f>
        <v>0</v>
      </c>
      <c r="BL233" s="301">
        <f>INPUT!DI197</f>
        <v>32912</v>
      </c>
      <c r="BM233" s="507">
        <f>INPUT!DJ197</f>
        <v>0</v>
      </c>
      <c r="BN233" s="301">
        <f>INPUT!DK197</f>
        <v>33082</v>
      </c>
      <c r="BO233" s="507">
        <f>INPUT!DL197</f>
        <v>0</v>
      </c>
      <c r="BP233" s="301">
        <f>INPUT!DM197</f>
        <v>33297</v>
      </c>
      <c r="BQ233" s="507">
        <f>INPUT!DN197</f>
        <v>3.1218061878658387</v>
      </c>
      <c r="BR233" s="301">
        <f>INPUT!DO197</f>
        <v>33522</v>
      </c>
      <c r="BS233" s="507">
        <f>INPUT!DP197</f>
        <v>2.9766841765735963</v>
      </c>
      <c r="BT233" s="301">
        <f>INPUT!DQ197</f>
        <v>33828</v>
      </c>
      <c r="BU233" s="507">
        <f>INPUT!DR197</f>
        <v>2.7831793874574684</v>
      </c>
      <c r="BV233" s="301">
        <f>INPUT!DS197</f>
        <v>33971</v>
      </c>
      <c r="BW233" s="507">
        <f>INPUT!DT197</f>
        <v>2.6872619551417731</v>
      </c>
      <c r="BX233" s="301">
        <f>INPUT!DU197</f>
        <v>34157</v>
      </c>
      <c r="BY233" s="507">
        <f>INPUT!DV197</f>
        <v>2.582815268642813</v>
      </c>
      <c r="BZ233" s="301">
        <f>INPUT!DW197</f>
        <v>34443</v>
      </c>
      <c r="CA233" s="507">
        <f>INPUT!DX197</f>
        <v>-484.5479556520209</v>
      </c>
      <c r="CB233" s="301">
        <f>INPUT!DY197</f>
        <v>34782</v>
      </c>
      <c r="CC233" s="507">
        <f>INPUT!DZ197</f>
        <v>2.8201489890032017</v>
      </c>
      <c r="CD233" s="301">
        <f>INPUT!EA197</f>
        <v>34877</v>
      </c>
      <c r="CE233" s="507">
        <f>INPUT!EB197</f>
        <v>2.6669806599746826</v>
      </c>
      <c r="CF233" s="301">
        <f>INPUT!EC197</f>
        <v>35015</v>
      </c>
      <c r="CG233" s="507">
        <f>INPUT!ED197</f>
        <v>2.5119302046432646</v>
      </c>
      <c r="CH233" s="301">
        <f>INPUT!EE197</f>
        <v>35219</v>
      </c>
      <c r="CI233" s="507">
        <f>INPUT!EF197</f>
        <v>2.2529977063554307</v>
      </c>
      <c r="CJ233" s="301">
        <f>INPUT!EG197</f>
        <v>35525</v>
      </c>
      <c r="CK233" s="507">
        <f>INPUT!EH197</f>
        <v>2.1361623828416887</v>
      </c>
      <c r="CL233" s="301">
        <f>INPUT!EI197</f>
        <v>35557</v>
      </c>
      <c r="CM233" s="507">
        <f>INPUT!EJ197</f>
        <v>1.9497089772629428</v>
      </c>
      <c r="CN233" s="301">
        <f>INPUT!EK197</f>
        <v>35720</v>
      </c>
      <c r="CO233" s="507">
        <f>INPUT!EL197</f>
        <v>2.0134228187919545</v>
      </c>
      <c r="CP233" s="301">
        <f>INPUT!EM197</f>
        <v>35850</v>
      </c>
      <c r="CQ233" s="507">
        <f>INPUT!EN197</f>
        <v>1.7916465544166593</v>
      </c>
      <c r="CR233" s="301">
        <f>INPUT!EO197</f>
        <v>36072</v>
      </c>
      <c r="CS233" s="507">
        <f>INPUT!EP197</f>
        <v>1.5397607318789586</v>
      </c>
      <c r="CT233" s="301">
        <f>INPUT!EQ197</f>
        <v>36307.40390953084</v>
      </c>
      <c r="CU233" s="507">
        <f>INPUT!ER197</f>
        <v>2.1104252595293138</v>
      </c>
      <c r="CV233" s="301">
        <f>INPUT!ES197</f>
        <v>36509.467531518072</v>
      </c>
      <c r="CW233" s="507">
        <f>INPUT!ET197</f>
        <v>2.210155463376462</v>
      </c>
      <c r="CX233" s="301">
        <f>INPUT!EU197</f>
        <v>36738.166518367623</v>
      </c>
      <c r="CY233" s="507">
        <f>INPUT!EV197</f>
        <v>2.477451934079844</v>
      </c>
      <c r="CZ233" s="301">
        <f>INPUT!EW197</f>
        <v>36938.624028742997</v>
      </c>
      <c r="DA233" s="507">
        <f>INPUT!EX197</f>
        <v>2.4024840007290882</v>
      </c>
      <c r="DB233" s="507"/>
      <c r="DC233" s="151">
        <f>INPUT!FP197</f>
        <v>0</v>
      </c>
      <c r="DD233" s="687">
        <f>INPUT!FQ197</f>
        <v>0</v>
      </c>
      <c r="DE233" s="151">
        <f>INPUT!FR197</f>
        <v>0</v>
      </c>
      <c r="DF233" s="687">
        <f>INPUT!FS197</f>
        <v>0</v>
      </c>
      <c r="DG233" s="151">
        <f>INPUT!FT197</f>
        <v>26518</v>
      </c>
      <c r="DH233" s="687">
        <f>INPUT!FU197</f>
        <v>0</v>
      </c>
      <c r="DI233" s="151">
        <f>INPUT!FV197</f>
        <v>27502</v>
      </c>
      <c r="DJ233" s="687">
        <f>INPUT!FW197</f>
        <v>0</v>
      </c>
      <c r="DK233" s="301">
        <f>INPUT!FX197</f>
        <v>24484</v>
      </c>
      <c r="DL233" s="507">
        <f>INPUT!FY197</f>
        <v>0</v>
      </c>
      <c r="DM233" s="301">
        <f>INPUT!FZ197</f>
        <v>25764</v>
      </c>
      <c r="DN233" s="507">
        <f>INPUT!GA197</f>
        <v>0</v>
      </c>
      <c r="DO233" s="301">
        <f>INPUT!GB197</f>
        <v>27706</v>
      </c>
      <c r="DP233" s="507">
        <f>INPUT!GC197</f>
        <v>0</v>
      </c>
      <c r="DQ233" s="301">
        <f>INPUT!GD197</f>
        <v>29026</v>
      </c>
      <c r="DR233" s="507">
        <f>INPUT!GE197</f>
        <v>0</v>
      </c>
      <c r="DS233" s="301">
        <f>INPUT!GF197</f>
        <v>30449</v>
      </c>
      <c r="DT233" s="507">
        <f>INPUT!GG197</f>
        <v>4.9025012058154793</v>
      </c>
      <c r="DU233" s="301">
        <f>INPUT!GH197</f>
        <v>31434</v>
      </c>
      <c r="DV233" s="507">
        <f>INPUT!GI197</f>
        <v>3.2349174028703631</v>
      </c>
      <c r="DW233" s="301">
        <f>INPUT!GJ197</f>
        <v>32457</v>
      </c>
      <c r="DX233" s="507">
        <f>INPUT!GK197</f>
        <v>3.2544378698224907</v>
      </c>
      <c r="DY233" s="301">
        <f>INPUT!GL197</f>
        <v>33246</v>
      </c>
      <c r="DZ233" s="507">
        <f>INPUT!GM197</f>
        <v>2.4309085867455504</v>
      </c>
      <c r="EA233" s="301">
        <f>INPUT!GN197</f>
        <v>33874</v>
      </c>
      <c r="EB233" s="507">
        <f>INPUT!GO197</f>
        <v>1.888949046501831</v>
      </c>
      <c r="EC233" s="301">
        <f>INPUT!GP197</f>
        <v>34823.846554784664</v>
      </c>
      <c r="ED233" s="507">
        <f>INPUT!GQ197</f>
        <v>2.8040578460904131</v>
      </c>
      <c r="EE233" s="301">
        <f>INPUT!GR197</f>
        <v>35618.449324670568</v>
      </c>
      <c r="EF233" s="507">
        <f>INPUT!GS197</f>
        <v>2.2817777141185047</v>
      </c>
      <c r="EG233" s="301">
        <f>INPUT!GT197</f>
        <v>36443.070008869181</v>
      </c>
      <c r="EH233" s="507">
        <f>INPUT!GU197</f>
        <v>2.315150434208979</v>
      </c>
      <c r="EI233" s="301">
        <f>INPUT!GV197</f>
        <v>37299.109853466834</v>
      </c>
      <c r="EJ233" s="507">
        <f>INPUT!GW197</f>
        <v>2.3489784049184559</v>
      </c>
      <c r="EK233" s="301">
        <f>INPUT!GX197</f>
        <v>38188.039144426293</v>
      </c>
      <c r="EL233" s="507">
        <f>INPUT!GY197</f>
        <v>2.3832453226141359</v>
      </c>
      <c r="EM233" s="687">
        <f>INPUT!GZ197</f>
        <v>2.4264628337937522</v>
      </c>
    </row>
    <row r="234" spans="1:143" ht="12.75" hidden="1" customHeight="1" outlineLevel="1" x14ac:dyDescent="0.2">
      <c r="A234" s="701"/>
      <c r="B234" s="16"/>
      <c r="C234" s="507"/>
      <c r="D234" s="16"/>
      <c r="E234" s="687"/>
      <c r="F234" s="16"/>
      <c r="G234" s="687"/>
      <c r="H234" s="16"/>
      <c r="I234" s="687"/>
      <c r="J234" s="16"/>
      <c r="K234" s="687"/>
      <c r="L234" s="16"/>
      <c r="M234" s="687"/>
      <c r="N234" s="16"/>
      <c r="O234" s="687"/>
      <c r="P234" s="16"/>
      <c r="Q234" s="687"/>
      <c r="R234" s="16"/>
      <c r="S234" s="687"/>
      <c r="T234" s="16"/>
      <c r="U234" s="687"/>
      <c r="V234" s="16"/>
      <c r="W234" s="687"/>
      <c r="X234" s="16"/>
      <c r="Y234" s="687"/>
      <c r="Z234" s="16"/>
      <c r="AA234" s="687"/>
      <c r="AB234" s="16"/>
      <c r="AC234" s="687"/>
      <c r="AD234" s="16"/>
      <c r="AE234" s="687"/>
      <c r="AF234" s="16"/>
      <c r="AG234" s="687"/>
      <c r="AH234" s="16"/>
      <c r="AI234" s="507"/>
      <c r="AJ234" s="16"/>
      <c r="AK234" s="507"/>
      <c r="AL234" s="16"/>
      <c r="AM234" s="507"/>
      <c r="AN234" s="16"/>
      <c r="AO234" s="507"/>
      <c r="AP234" s="16"/>
      <c r="AQ234" s="507"/>
      <c r="AR234" s="717"/>
      <c r="AS234" s="507"/>
      <c r="AT234" s="16"/>
      <c r="AU234" s="507"/>
      <c r="AV234" s="16"/>
      <c r="AW234" s="507"/>
      <c r="AX234" s="16"/>
      <c r="AY234" s="507"/>
      <c r="AZ234" s="16"/>
      <c r="BA234" s="507"/>
      <c r="BB234" s="16"/>
      <c r="BC234" s="507"/>
      <c r="BD234" s="16"/>
      <c r="BE234" s="507"/>
      <c r="BF234" s="16"/>
      <c r="BG234" s="507"/>
      <c r="BH234" s="16"/>
      <c r="BI234" s="507"/>
      <c r="BJ234" s="16"/>
      <c r="BK234" s="507"/>
      <c r="BL234" s="16"/>
      <c r="BM234" s="507"/>
      <c r="BN234" s="16"/>
      <c r="BO234" s="507"/>
      <c r="BP234" s="16"/>
      <c r="BQ234" s="507"/>
      <c r="BR234" s="16"/>
      <c r="BS234" s="507"/>
      <c r="BT234" s="16"/>
      <c r="BU234" s="507"/>
      <c r="BV234" s="16"/>
      <c r="BW234" s="507"/>
      <c r="BX234" s="16"/>
      <c r="BY234" s="507"/>
      <c r="BZ234" s="16"/>
      <c r="CA234" s="507"/>
      <c r="CB234" s="16"/>
      <c r="CC234" s="507"/>
      <c r="CD234" s="16"/>
      <c r="CE234" s="507"/>
      <c r="CF234" s="16"/>
      <c r="CG234" s="507"/>
      <c r="CH234" s="16"/>
      <c r="CI234" s="507"/>
      <c r="CJ234" s="16"/>
      <c r="CK234" s="507"/>
      <c r="CL234" s="16"/>
      <c r="CM234" s="507"/>
      <c r="CN234" s="16"/>
      <c r="CO234" s="507"/>
      <c r="CP234" s="16"/>
      <c r="CQ234" s="507"/>
      <c r="CR234" s="16"/>
      <c r="CS234" s="507"/>
      <c r="CT234" s="16"/>
      <c r="CU234" s="507"/>
      <c r="CV234" s="16"/>
      <c r="CW234" s="507"/>
      <c r="CX234" s="16"/>
      <c r="CY234" s="507"/>
      <c r="CZ234" s="16"/>
      <c r="DA234" s="507"/>
      <c r="DB234" s="507"/>
      <c r="DC234" s="16"/>
      <c r="DD234" s="687"/>
      <c r="DE234" s="16"/>
      <c r="DF234" s="687"/>
      <c r="DG234" s="16"/>
      <c r="DH234" s="687"/>
      <c r="DI234" s="16"/>
      <c r="DJ234" s="687"/>
      <c r="DK234" s="16"/>
      <c r="DL234" s="507"/>
      <c r="DM234" s="16"/>
      <c r="DN234" s="507"/>
      <c r="DO234" s="16"/>
      <c r="DP234" s="507"/>
      <c r="DQ234" s="16"/>
      <c r="DR234" s="507"/>
      <c r="DS234" s="16"/>
      <c r="DT234" s="507"/>
      <c r="DU234" s="16"/>
      <c r="DV234" s="507"/>
      <c r="DW234" s="16"/>
      <c r="DX234" s="507"/>
      <c r="DY234" s="16"/>
      <c r="DZ234" s="507"/>
      <c r="EA234" s="16"/>
      <c r="EB234" s="507"/>
      <c r="EC234" s="16"/>
      <c r="ED234" s="507"/>
      <c r="EE234" s="16"/>
      <c r="EF234" s="507"/>
      <c r="EG234" s="16"/>
      <c r="EH234" s="507"/>
      <c r="EI234" s="16"/>
      <c r="EJ234" s="507"/>
      <c r="EK234" s="16"/>
      <c r="EL234" s="507"/>
      <c r="EM234" s="687"/>
    </row>
    <row r="235" spans="1:143" ht="12.75" hidden="1" customHeight="1" outlineLevel="1" x14ac:dyDescent="0.2">
      <c r="A235" s="701" t="str">
        <f>INPUT!B202</f>
        <v>Net Flows</v>
      </c>
      <c r="B235" s="151">
        <f>INPUT!AY202</f>
        <v>219</v>
      </c>
      <c r="C235" s="507">
        <f>INPUT!AZ202</f>
        <v>12.886597938144329</v>
      </c>
      <c r="D235" s="151">
        <f>INPUT!BA202</f>
        <v>482</v>
      </c>
      <c r="E235" s="687" t="str">
        <f>INPUT!BB202</f>
        <v>NM</v>
      </c>
      <c r="F235" s="151">
        <f>INPUT!BC202</f>
        <v>442</v>
      </c>
      <c r="G235" s="687">
        <f>INPUT!BD202</f>
        <v>74.015748031496059</v>
      </c>
      <c r="H235" s="151">
        <f>INPUT!BE202</f>
        <v>647</v>
      </c>
      <c r="I235" s="687">
        <f>INPUT!BF202</f>
        <v>90.855457227138629</v>
      </c>
      <c r="J235" s="151">
        <f>INPUT!BG202</f>
        <v>618</v>
      </c>
      <c r="K235" s="687" t="str">
        <f>INPUT!BH202</f>
        <v>NM</v>
      </c>
      <c r="L235" s="151">
        <f>INPUT!BI202</f>
        <v>553</v>
      </c>
      <c r="M235" s="687">
        <f>INPUT!BJ202</f>
        <v>14.730290456431527</v>
      </c>
      <c r="N235" s="151">
        <f>INPUT!BK202</f>
        <v>553</v>
      </c>
      <c r="O235" s="687">
        <f>INPUT!BL202</f>
        <v>25.113122171945701</v>
      </c>
      <c r="P235" s="151">
        <f>INPUT!BM202</f>
        <v>657</v>
      </c>
      <c r="Q235" s="687">
        <f>INPUT!BN202</f>
        <v>1.5455950540958163</v>
      </c>
      <c r="R235" s="151">
        <f>INPUT!BO202</f>
        <v>495</v>
      </c>
      <c r="S235" s="687">
        <f>INPUT!BP202</f>
        <v>-19.902912621359224</v>
      </c>
      <c r="T235" s="151">
        <f>INPUT!BQ202</f>
        <v>569</v>
      </c>
      <c r="U235" s="687">
        <f>INPUT!BR202</f>
        <v>2.893309222423146</v>
      </c>
      <c r="V235" s="151">
        <f>INPUT!BS202</f>
        <v>569</v>
      </c>
      <c r="W235" s="687">
        <f>INPUT!BT202</f>
        <v>2.893309222423146</v>
      </c>
      <c r="X235" s="151">
        <f>INPUT!BU202</f>
        <v>626</v>
      </c>
      <c r="Y235" s="687">
        <f>INPUT!BV202</f>
        <v>-4.7184170471841753</v>
      </c>
      <c r="Z235" s="151">
        <f>INPUT!BW202</f>
        <v>457</v>
      </c>
      <c r="AA235" s="687">
        <f>INPUT!BX202</f>
        <v>-7.6767676767676818</v>
      </c>
      <c r="AB235" s="151">
        <f>INPUT!BY202</f>
        <v>449</v>
      </c>
      <c r="AC235" s="687">
        <f>INPUT!BZ202</f>
        <v>-21.089630931458704</v>
      </c>
      <c r="AD235" s="151">
        <f>INPUT!CA202</f>
        <v>482</v>
      </c>
      <c r="AE235" s="687">
        <f>INPUT!CB202</f>
        <v>-15.289982425307558</v>
      </c>
      <c r="AF235" s="151">
        <f>INPUT!CC202</f>
        <v>771</v>
      </c>
      <c r="AG235" s="687">
        <f>INPUT!CD202</f>
        <v>23.162939297124609</v>
      </c>
      <c r="AH235" s="151">
        <f>INPUT!CE202</f>
        <v>543</v>
      </c>
      <c r="AI235" s="507">
        <f>INPUT!CF202</f>
        <v>18.818380743982498</v>
      </c>
      <c r="AJ235" s="151">
        <f>INPUT!CG202</f>
        <v>597</v>
      </c>
      <c r="AK235" s="507">
        <f>INPUT!CH202</f>
        <v>32.962138084632507</v>
      </c>
      <c r="AL235" s="151">
        <f>INPUT!CI202</f>
        <v>599</v>
      </c>
      <c r="AM235" s="507">
        <f>INPUT!CJ202</f>
        <v>24.273858921161828</v>
      </c>
      <c r="AN235" s="151">
        <f>INPUT!CK202</f>
        <v>1006</v>
      </c>
      <c r="AO235" s="507">
        <f>INPUT!CL202</f>
        <v>30.479896238651104</v>
      </c>
      <c r="AP235" s="151">
        <f>INPUT!CM202</f>
        <v>790</v>
      </c>
      <c r="AQ235" s="507">
        <f>INPUT!CN202</f>
        <v>45.488029465930026</v>
      </c>
      <c r="AR235" s="151">
        <f>INPUT!CO202</f>
        <v>830</v>
      </c>
      <c r="AS235" s="507">
        <f>INPUT!CP202</f>
        <v>39.02847571189281</v>
      </c>
      <c r="AT235" s="151">
        <f>INPUT!CQ202</f>
        <v>933</v>
      </c>
      <c r="AU235" s="507">
        <f>INPUT!CR202</f>
        <v>55.759599332220368</v>
      </c>
      <c r="AV235" s="151">
        <f>INPUT!CS202</f>
        <v>1029</v>
      </c>
      <c r="AW235" s="507">
        <f>INPUT!CT202</f>
        <v>2.2862823061630122</v>
      </c>
      <c r="AX235" s="151">
        <f>INPUT!CU202</f>
        <v>674</v>
      </c>
      <c r="AY235" s="507">
        <f>INPUT!CV202</f>
        <v>-14.683544303797468</v>
      </c>
      <c r="AZ235" s="151">
        <f>INPUT!CW202</f>
        <v>659</v>
      </c>
      <c r="BA235" s="507">
        <f>INPUT!CX202</f>
        <v>-20.602409638554221</v>
      </c>
      <c r="BB235" s="151">
        <f>INPUT!CY202</f>
        <v>634</v>
      </c>
      <c r="BC235" s="507">
        <f>INPUT!CZ202</f>
        <v>-32.047159699892823</v>
      </c>
      <c r="BD235" s="151">
        <f>INPUT!DA202</f>
        <v>865</v>
      </c>
      <c r="BE235" s="507">
        <f>INPUT!DB202</f>
        <v>-15.937803692905739</v>
      </c>
      <c r="BF235" s="151">
        <f>INPUT!DC202</f>
        <v>811</v>
      </c>
      <c r="BG235" s="507">
        <f>INPUT!DD202</f>
        <v>20.326409495548958</v>
      </c>
      <c r="BH235" s="151">
        <f>INPUT!DE202</f>
        <v>719</v>
      </c>
      <c r="BI235" s="507">
        <f>INPUT!DF202</f>
        <v>9.1047040971168336</v>
      </c>
      <c r="BJ235" s="151">
        <f>INPUT!DG202</f>
        <v>683</v>
      </c>
      <c r="BK235" s="507">
        <f>INPUT!DH202</f>
        <v>7.7287066246056746</v>
      </c>
      <c r="BL235" s="151">
        <f>INPUT!DI202</f>
        <v>809</v>
      </c>
      <c r="BM235" s="507">
        <f>INPUT!DJ202</f>
        <v>-6.4739884393063551</v>
      </c>
      <c r="BN235" s="151">
        <f>INPUT!DK202</f>
        <v>577</v>
      </c>
      <c r="BO235" s="507">
        <f>INPUT!DL202</f>
        <v>-28.853267570900123</v>
      </c>
      <c r="BP235" s="151">
        <f>INPUT!DM202</f>
        <v>637</v>
      </c>
      <c r="BQ235" s="507">
        <f>INPUT!DN202</f>
        <v>-11.404728789986097</v>
      </c>
      <c r="BR235" s="151">
        <f>INPUT!DO202</f>
        <v>675</v>
      </c>
      <c r="BS235" s="507">
        <f>INPUT!DP202</f>
        <v>-1.171303074670571</v>
      </c>
      <c r="BT235" s="151">
        <f>INPUT!DQ202</f>
        <v>773</v>
      </c>
      <c r="BU235" s="507">
        <f>INPUT!DR202</f>
        <v>-4.4499381953028383</v>
      </c>
      <c r="BV235" s="151">
        <f>INPUT!DS202</f>
        <v>622</v>
      </c>
      <c r="BW235" s="507">
        <f>INPUT!DT202</f>
        <v>7.7989601386481811</v>
      </c>
      <c r="BX235" s="151">
        <f>INPUT!DU202</f>
        <v>665</v>
      </c>
      <c r="BY235" s="507">
        <f>INPUT!DV202</f>
        <v>4.3956043956044022</v>
      </c>
      <c r="BZ235" s="151">
        <f>INPUT!DW202</f>
        <v>798</v>
      </c>
      <c r="CA235" s="507">
        <f>INPUT!DX202</f>
        <v>798</v>
      </c>
      <c r="CB235" s="151">
        <f>INPUT!DY202</f>
        <v>874</v>
      </c>
      <c r="CC235" s="507">
        <f>INPUT!DZ202</f>
        <v>13.065976714100902</v>
      </c>
      <c r="CD235" s="151">
        <f>INPUT!EA202</f>
        <v>628</v>
      </c>
      <c r="CE235" s="507">
        <f>INPUT!EB202</f>
        <v>0.96463022508037621</v>
      </c>
      <c r="CF235" s="151">
        <f>INPUT!EC202</f>
        <v>698</v>
      </c>
      <c r="CG235" s="507">
        <f>INPUT!ED202</f>
        <v>4.9624060150375904</v>
      </c>
      <c r="CH235" s="151">
        <f>INPUT!EE202</f>
        <v>780</v>
      </c>
      <c r="CI235" s="507">
        <f>INPUT!EF202</f>
        <v>-2.2556390977443663</v>
      </c>
      <c r="CJ235" s="151">
        <f>INPUT!EG202</f>
        <v>918</v>
      </c>
      <c r="CK235" s="507">
        <f>INPUT!EH202</f>
        <v>5.034324942791768</v>
      </c>
      <c r="CL235" s="151">
        <f>INPUT!EI202</f>
        <v>639</v>
      </c>
      <c r="CM235" s="507">
        <f>INPUT!EJ202</f>
        <v>1.7515923566878921</v>
      </c>
      <c r="CN235" s="151">
        <f>INPUT!EK202</f>
        <v>799</v>
      </c>
      <c r="CO235" s="507">
        <f>INPUT!EL202</f>
        <v>14.469914040114617</v>
      </c>
      <c r="CP235" s="151">
        <f>INPUT!EM202</f>
        <v>760</v>
      </c>
      <c r="CQ235" s="507">
        <f>INPUT!EN202</f>
        <v>-2.5641025641025661</v>
      </c>
      <c r="CR235" s="151">
        <f>INPUT!EO202</f>
        <v>871</v>
      </c>
      <c r="CS235" s="507">
        <f>INPUT!EP202</f>
        <v>-5.1198257080609988</v>
      </c>
      <c r="CT235" s="151">
        <f>INPUT!EQ202</f>
        <v>811.44823381452329</v>
      </c>
      <c r="CU235" s="507">
        <f>INPUT!ER202</f>
        <v>26.987204039831504</v>
      </c>
      <c r="CV235" s="151">
        <f>INPUT!ES202</f>
        <v>886.56734103632846</v>
      </c>
      <c r="CW235" s="507">
        <f>INPUT!ET202</f>
        <v>10.959617150979772</v>
      </c>
      <c r="CX235" s="151">
        <f>INPUT!EU202</f>
        <v>837.39742531881916</v>
      </c>
      <c r="CY235" s="507">
        <f>INPUT!EV202</f>
        <v>10.183871752476215</v>
      </c>
      <c r="CZ235" s="151">
        <f>INPUT!EW202</f>
        <v>921.96697749933799</v>
      </c>
      <c r="DA235" s="507">
        <f>INPUT!EX202</f>
        <v>5.8515473592810618</v>
      </c>
      <c r="DB235" s="507"/>
      <c r="DC235" s="151">
        <f>INPUT!FP202</f>
        <v>1011</v>
      </c>
      <c r="DD235" s="687" t="str">
        <f>INPUT!FQ202</f>
        <v>NA</v>
      </c>
      <c r="DE235" s="151">
        <f>INPUT!FR202</f>
        <v>1790</v>
      </c>
      <c r="DF235" s="687">
        <f>INPUT!FS202</f>
        <v>77.052423343224532</v>
      </c>
      <c r="DG235" s="151">
        <f>INPUT!FT202</f>
        <v>2381</v>
      </c>
      <c r="DH235" s="687">
        <f>INPUT!FU202</f>
        <v>33.016759776536311</v>
      </c>
      <c r="DI235" s="151">
        <f>INPUT!FV202</f>
        <v>2259</v>
      </c>
      <c r="DJ235" s="687">
        <f>INPUT!FW202</f>
        <v>-5.1238975220495586</v>
      </c>
      <c r="DK235" s="151">
        <f>INPUT!FX202</f>
        <v>2159</v>
      </c>
      <c r="DL235" s="507">
        <f>INPUT!FY202</f>
        <v>-4.4267374944665816</v>
      </c>
      <c r="DM235" s="151">
        <f>INPUT!FZ202</f>
        <v>2745</v>
      </c>
      <c r="DN235" s="507">
        <f>INPUT!GA202</f>
        <v>27.142195460861519</v>
      </c>
      <c r="DO235" s="151">
        <f>INPUT!GB202</f>
        <v>3582</v>
      </c>
      <c r="DP235" s="507">
        <f>INPUT!GC202</f>
        <v>30.491803278688522</v>
      </c>
      <c r="DQ235" s="151">
        <f>INPUT!GD202</f>
        <v>2832</v>
      </c>
      <c r="DR235" s="507">
        <f>INPUT!GE202</f>
        <v>-20.938023450586265</v>
      </c>
      <c r="DS235" s="151">
        <f>INPUT!GF202</f>
        <v>3022</v>
      </c>
      <c r="DT235" s="507">
        <f>INPUT!GG202</f>
        <v>6.7090395480225995</v>
      </c>
      <c r="DU235" s="151">
        <f>INPUT!GH202</f>
        <v>2662</v>
      </c>
      <c r="DV235" s="507">
        <f>INPUT!GI202</f>
        <v>-11.912640635340832</v>
      </c>
      <c r="DW235" s="151">
        <f>INPUT!GJ202</f>
        <v>2959</v>
      </c>
      <c r="DX235" s="507">
        <f>INPUT!GK202</f>
        <v>11.157024793388427</v>
      </c>
      <c r="DY235" s="151">
        <f>INPUT!GL202</f>
        <v>3024</v>
      </c>
      <c r="DZ235" s="507">
        <f>INPUT!GM202</f>
        <v>2.1966880702940283</v>
      </c>
      <c r="EA235" s="151">
        <f>INPUT!GN202</f>
        <v>3069</v>
      </c>
      <c r="EB235" s="507">
        <f>INPUT!GO202</f>
        <v>1.4880952380952328</v>
      </c>
      <c r="EC235" s="151">
        <f>INPUT!GP202</f>
        <v>3457.3799776690093</v>
      </c>
      <c r="ED235" s="507">
        <f>INPUT!GQ202</f>
        <v>12.654935733757222</v>
      </c>
      <c r="EE235" s="151">
        <f>INPUT!GR202</f>
        <v>3659.2964801392118</v>
      </c>
      <c r="EF235" s="507">
        <f>INPUT!GS202</f>
        <v>5.8401594205545138</v>
      </c>
      <c r="EG235" s="151">
        <f>INPUT!GT202</f>
        <v>3871.6068417270772</v>
      </c>
      <c r="EH235" s="507">
        <f>INPUT!GU202</f>
        <v>5.8019447929452461</v>
      </c>
      <c r="EI235" s="151">
        <f>INPUT!GV202</f>
        <v>4094.8338132850613</v>
      </c>
      <c r="EJ235" s="507">
        <f>INPUT!GW202</f>
        <v>5.7657448362810948</v>
      </c>
      <c r="EK235" s="151">
        <f>INPUT!GX202</f>
        <v>4329.5263145829567</v>
      </c>
      <c r="EL235" s="507">
        <f>INPUT!GY202</f>
        <v>5.731429210545036</v>
      </c>
      <c r="EM235" s="687">
        <f>INPUT!GZ202</f>
        <v>7.1244731513996795</v>
      </c>
    </row>
    <row r="236" spans="1:143" ht="12.75" hidden="1" customHeight="1" outlineLevel="1" x14ac:dyDescent="0.2">
      <c r="A236" s="701" t="str">
        <f>INPUT!B204</f>
        <v>Interest Cred/Avg GrossUL Reserves (%)</v>
      </c>
      <c r="B236" s="464">
        <f>INPUT!AY204</f>
        <v>4.5527358570103704</v>
      </c>
      <c r="C236" s="507">
        <f>INPUT!AZ204</f>
        <v>0</v>
      </c>
      <c r="D236" s="464">
        <f>INPUT!BA204</f>
        <v>5.5906982348334235</v>
      </c>
      <c r="E236" s="687">
        <f>INPUT!BB204</f>
        <v>0</v>
      </c>
      <c r="F236" s="464">
        <f>INPUT!BC204</f>
        <v>4.4671853461367723</v>
      </c>
      <c r="G236" s="687">
        <f>INPUT!BD204</f>
        <v>0</v>
      </c>
      <c r="H236" s="464">
        <f>INPUT!BE204</f>
        <v>4.4602128737962499</v>
      </c>
      <c r="I236" s="687">
        <f>INPUT!BF204</f>
        <v>0</v>
      </c>
      <c r="J236" s="464">
        <f>INPUT!BG204</f>
        <v>3.8258679052192393</v>
      </c>
      <c r="K236" s="687">
        <f>INPUT!BH204</f>
        <v>0</v>
      </c>
      <c r="L236" s="464">
        <f>INPUT!BI204</f>
        <v>3.7792336553976553</v>
      </c>
      <c r="M236" s="687">
        <f>INPUT!BJ204</f>
        <v>0</v>
      </c>
      <c r="N236" s="464">
        <f>INPUT!BK204</f>
        <v>4.2901626110021915</v>
      </c>
      <c r="O236" s="687">
        <f>INPUT!BL204</f>
        <v>0</v>
      </c>
      <c r="P236" s="464">
        <f>INPUT!BM204</f>
        <v>4.2824601366742598</v>
      </c>
      <c r="Q236" s="687">
        <f>INPUT!BN204</f>
        <v>0</v>
      </c>
      <c r="R236" s="464">
        <f>INPUT!BO204</f>
        <v>4.2220719705506724</v>
      </c>
      <c r="S236" s="687">
        <f>INPUT!BP204</f>
        <v>0</v>
      </c>
      <c r="T236" s="464">
        <f>INPUT!BQ204</f>
        <v>4.2602316314750679</v>
      </c>
      <c r="U236" s="687">
        <f>INPUT!BR204</f>
        <v>0</v>
      </c>
      <c r="V236" s="464">
        <f>INPUT!BS204</f>
        <v>4.2946482926559302</v>
      </c>
      <c r="W236" s="687">
        <f>INPUT!BT204</f>
        <v>0</v>
      </c>
      <c r="X236" s="464">
        <f>INPUT!BU204</f>
        <v>4.2098339088965631</v>
      </c>
      <c r="Y236" s="687">
        <f>INPUT!BV204</f>
        <v>0</v>
      </c>
      <c r="Z236" s="464">
        <f>INPUT!BW204</f>
        <v>4.194560859231844</v>
      </c>
      <c r="AA236" s="687">
        <f>INPUT!BX204</f>
        <v>0</v>
      </c>
      <c r="AB236" s="464">
        <f>INPUT!BY204</f>
        <v>4.1644073310920726</v>
      </c>
      <c r="AC236" s="687">
        <f>INPUT!BZ204</f>
        <v>0</v>
      </c>
      <c r="AD236" s="464">
        <f>INPUT!CA204</f>
        <v>4.1920265062844377</v>
      </c>
      <c r="AE236" s="687">
        <f>INPUT!CB204</f>
        <v>0</v>
      </c>
      <c r="AF236" s="464">
        <f>INPUT!CC204</f>
        <v>4.1987253869361085</v>
      </c>
      <c r="AG236" s="687">
        <f>INPUT!CD204</f>
        <v>0</v>
      </c>
      <c r="AH236" s="156">
        <f>INPUT!CE204</f>
        <v>4.1452243266663125</v>
      </c>
      <c r="AI236" s="507">
        <f>INPUT!CF204</f>
        <v>0</v>
      </c>
      <c r="AJ236" s="156">
        <f>INPUT!CG204</f>
        <v>4.1447865259312602</v>
      </c>
      <c r="AK236" s="507">
        <f>INPUT!CH204</f>
        <v>0</v>
      </c>
      <c r="AL236" s="156">
        <f>INPUT!CI204</f>
        <v>4.1549025759001701</v>
      </c>
      <c r="AM236" s="507">
        <f>INPUT!CJ204</f>
        <v>0</v>
      </c>
      <c r="AN236" s="156">
        <f>INPUT!CK204</f>
        <v>4.1128630134630928</v>
      </c>
      <c r="AO236" s="507">
        <f>INPUT!CL204</f>
        <v>0</v>
      </c>
      <c r="AP236" s="156">
        <f>INPUT!CM204</f>
        <v>4.0471034109366544</v>
      </c>
      <c r="AQ236" s="507">
        <f>INPUT!CN204</f>
        <v>0</v>
      </c>
      <c r="AR236" s="156">
        <f>INPUT!CO204</f>
        <v>4.0476230233606625</v>
      </c>
      <c r="AS236" s="507">
        <f>INPUT!CP204</f>
        <v>0</v>
      </c>
      <c r="AT236" s="156">
        <f>INPUT!CQ204</f>
        <v>3.7245418352910211</v>
      </c>
      <c r="AU236" s="507">
        <f>INPUT!CR204</f>
        <v>0</v>
      </c>
      <c r="AV236" s="156">
        <f>INPUT!CS204</f>
        <v>3.9187157476114267</v>
      </c>
      <c r="AW236" s="507">
        <f>INPUT!CT204</f>
        <v>0</v>
      </c>
      <c r="AX236" s="156">
        <f>INPUT!CU204</f>
        <v>3.9672795114250632</v>
      </c>
      <c r="AY236" s="507">
        <f>INPUT!CV204</f>
        <v>0</v>
      </c>
      <c r="AZ236" s="156">
        <f>INPUT!CW204</f>
        <v>3.9086711782935928</v>
      </c>
      <c r="BA236" s="507">
        <f>INPUT!CX204</f>
        <v>0</v>
      </c>
      <c r="BB236" s="156">
        <f>INPUT!CY204</f>
        <v>3.9412576879628465</v>
      </c>
      <c r="BC236" s="507">
        <f>INPUT!CZ204</f>
        <v>0</v>
      </c>
      <c r="BD236" s="156">
        <f>INPUT!DA204</f>
        <v>3.9492067434567977</v>
      </c>
      <c r="BE236" s="507">
        <f>INPUT!DB204</f>
        <v>0</v>
      </c>
      <c r="BF236" s="156">
        <f>INPUT!DC204</f>
        <v>3.8866496038253464</v>
      </c>
      <c r="BG236" s="507">
        <f>INPUT!DD204</f>
        <v>0</v>
      </c>
      <c r="BH236" s="156">
        <f>INPUT!DE204</f>
        <v>3.8832006067500946</v>
      </c>
      <c r="BI236" s="507">
        <f>INPUT!DF204</f>
        <v>0</v>
      </c>
      <c r="BJ236" s="156">
        <f>INPUT!DG204</f>
        <v>3.935373228630743</v>
      </c>
      <c r="BK236" s="507">
        <f>INPUT!DH204</f>
        <v>0</v>
      </c>
      <c r="BL236" s="156">
        <f>INPUT!DI204</f>
        <v>3.9471134496996436</v>
      </c>
      <c r="BM236" s="507">
        <f>INPUT!DJ204</f>
        <v>0</v>
      </c>
      <c r="BN236" s="156">
        <f>INPUT!DK204</f>
        <v>3.8930879938467911</v>
      </c>
      <c r="BO236" s="507">
        <f>INPUT!DL204</f>
        <v>0</v>
      </c>
      <c r="BP236" s="156">
        <f>INPUT!DM204</f>
        <v>3.9423359811709324</v>
      </c>
      <c r="BQ236" s="507">
        <f>INPUT!DN204</f>
        <v>1.5228513901147434</v>
      </c>
      <c r="BR236" s="156">
        <f>INPUT!DO204</f>
        <v>3.9410019149527109</v>
      </c>
      <c r="BS236" s="507">
        <f>INPUT!DP204</f>
        <v>0.14302801780063934</v>
      </c>
      <c r="BT236" s="156">
        <f>INPUT!DQ204</f>
        <v>3.981023401569777</v>
      </c>
      <c r="BU236" s="507">
        <f>INPUT!DR204</f>
        <v>0.85910760615999227</v>
      </c>
      <c r="BV236" s="156">
        <f>INPUT!DS204</f>
        <v>3.840553593310748</v>
      </c>
      <c r="BW236" s="507">
        <f>INPUT!DT204</f>
        <v>-1.3494275140730538</v>
      </c>
      <c r="BX236" s="156">
        <f>INPUT!DU204</f>
        <v>3.9263521949399425</v>
      </c>
      <c r="BY236" s="507">
        <f>INPUT!DV204</f>
        <v>-0.40543947312786655</v>
      </c>
      <c r="BZ236" s="156">
        <f>INPUT!DW204</f>
        <v>3.8777925095875569</v>
      </c>
      <c r="CA236" s="507">
        <f>INPUT!DX204</f>
        <v>944.75907317608903</v>
      </c>
      <c r="CB236" s="156">
        <f>INPUT!DY204</f>
        <v>3.8440883009695019</v>
      </c>
      <c r="CC236" s="507">
        <f>INPUT!DZ204</f>
        <v>-3.4396959471848287</v>
      </c>
      <c r="CD236" s="156">
        <f>INPUT!EA204</f>
        <v>3.764838097913886</v>
      </c>
      <c r="CE236" s="507">
        <f>INPUT!EB204</f>
        <v>-1.971473475301555</v>
      </c>
      <c r="CF236" s="156">
        <f>INPUT!EC204</f>
        <v>3.7527130154729402</v>
      </c>
      <c r="CG236" s="507">
        <f>INPUT!ED204</f>
        <v>-4.4224045843563982</v>
      </c>
      <c r="CH236" s="156">
        <f>INPUT!EE204</f>
        <v>3.802090592334495</v>
      </c>
      <c r="CI236" s="507">
        <f>INPUT!EF204</f>
        <v>-1.9521910227505601</v>
      </c>
      <c r="CJ236" s="156">
        <f>INPUT!EG204</f>
        <v>3.9198859468213212</v>
      </c>
      <c r="CK236" s="507">
        <f>INPUT!EH204</f>
        <v>1.9717977298467027</v>
      </c>
      <c r="CL236" s="156">
        <f>INPUT!EI204</f>
        <v>3.8915760607438643</v>
      </c>
      <c r="CM236" s="507">
        <f>INPUT!EJ204</f>
        <v>3.3663589119597104</v>
      </c>
      <c r="CN236" s="156">
        <f>INPUT!EK204</f>
        <v>3.9038337296732601</v>
      </c>
      <c r="CO236" s="507">
        <f>INPUT!EL204</f>
        <v>4.026972315155164</v>
      </c>
      <c r="CP236" s="156">
        <f>INPUT!EM204</f>
        <v>3.9545392304532383</v>
      </c>
      <c r="CQ236" s="507">
        <f>INPUT!EN204</f>
        <v>4.0096003610776476</v>
      </c>
      <c r="CR236" s="156">
        <f>INPUT!EO204</f>
        <v>4.0781277686153174</v>
      </c>
      <c r="CS236" s="507">
        <f>INPUT!EP204</f>
        <v>4.0368986225815195</v>
      </c>
      <c r="CT236" s="156">
        <f>INPUT!EQ204</f>
        <v>4.0790672550078737</v>
      </c>
      <c r="CU236" s="507">
        <f>INPUT!ER204</f>
        <v>4.8178730503386502</v>
      </c>
      <c r="CV236" s="156">
        <f>INPUT!ES204</f>
        <v>4.0763440058576315</v>
      </c>
      <c r="CW236" s="507">
        <f>INPUT!ET204</f>
        <v>4.418996507794648</v>
      </c>
      <c r="CX236" s="156">
        <f>INPUT!EU204</f>
        <v>4.0792032995487979</v>
      </c>
      <c r="CY236" s="507">
        <f>INPUT!EV204</f>
        <v>3.152429697385295</v>
      </c>
      <c r="CZ236" s="156">
        <f>INPUT!EW204</f>
        <v>4.076275765490692</v>
      </c>
      <c r="DA236" s="507">
        <f>INPUT!EX204</f>
        <v>-4.5413072608424532E-2</v>
      </c>
      <c r="DB236" s="507"/>
      <c r="DC236" s="464">
        <f>INPUT!FP204</f>
        <v>18.852530162312302</v>
      </c>
      <c r="DD236" s="687">
        <f>INPUT!FQ204</f>
        <v>0</v>
      </c>
      <c r="DE236" s="464">
        <f>INPUT!FR204</f>
        <v>20.12996646983769</v>
      </c>
      <c r="DF236" s="687">
        <f>INPUT!FS204</f>
        <v>0</v>
      </c>
      <c r="DG236" s="464">
        <f>INPUT!FT204</f>
        <v>16.183943580330403</v>
      </c>
      <c r="DH236" s="687">
        <f>INPUT!FU204</f>
        <v>0</v>
      </c>
      <c r="DI236" s="464">
        <f>INPUT!FV204</f>
        <v>16.97149203998519</v>
      </c>
      <c r="DJ236" s="687">
        <f>INPUT!FW204</f>
        <v>0</v>
      </c>
      <c r="DK236" s="156">
        <f>INPUT!FX204</f>
        <v>16.691205515854492</v>
      </c>
      <c r="DL236" s="507">
        <f>INPUT!FY204</f>
        <v>0</v>
      </c>
      <c r="DM236" s="156">
        <f>INPUT!FZ204</f>
        <v>16.470629115485519</v>
      </c>
      <c r="DN236" s="507">
        <f>INPUT!GA204</f>
        <v>0</v>
      </c>
      <c r="DO236" s="156">
        <f>INPUT!GB204</f>
        <v>15.68731018090585</v>
      </c>
      <c r="DP236" s="507">
        <f>INPUT!GC204</f>
        <v>0</v>
      </c>
      <c r="DQ236" s="156">
        <f>INPUT!GD204</f>
        <v>15.735809335281456</v>
      </c>
      <c r="DR236" s="507">
        <f>INPUT!GE204</f>
        <v>0</v>
      </c>
      <c r="DS236" s="156">
        <f>INPUT!GF204</f>
        <v>15.660665427115926</v>
      </c>
      <c r="DT236" s="507">
        <f>INPUT!GG204</f>
        <v>-0.47753443476877822</v>
      </c>
      <c r="DU236" s="156">
        <f>INPUT!GH204</f>
        <v>15.734710901028787</v>
      </c>
      <c r="DV236" s="507">
        <f>INPUT!GI204</f>
        <v>0.4728117988182845</v>
      </c>
      <c r="DW236" s="156">
        <f>INPUT!GJ204</f>
        <v>15.451059765953504</v>
      </c>
      <c r="DX236" s="507">
        <f>INPUT!GK204</f>
        <v>-1.802709543629033</v>
      </c>
      <c r="DY236" s="156">
        <f>INPUT!GL204</f>
        <v>15.205313505158946</v>
      </c>
      <c r="DZ236" s="507">
        <f>INPUT!GM204</f>
        <v>-1.590481588428394</v>
      </c>
      <c r="EA236" s="156">
        <f>INPUT!GN204</f>
        <v>15.800062959363837</v>
      </c>
      <c r="EB236" s="507">
        <f>INPUT!GO204</f>
        <v>3.9114580176403457</v>
      </c>
      <c r="EC236" s="156">
        <f>INPUT!GP204</f>
        <v>16.304627591621141</v>
      </c>
      <c r="ED236" s="507">
        <f>INPUT!GQ204</f>
        <v>3.1934343145023858</v>
      </c>
      <c r="EE236" s="156">
        <f>INPUT!GR204</f>
        <v>16.301770900205558</v>
      </c>
      <c r="EF236" s="507">
        <f>INPUT!GS204</f>
        <v>-1.7520740044696392E-2</v>
      </c>
      <c r="EG236" s="156">
        <f>INPUT!GT204</f>
        <v>16.298885997908361</v>
      </c>
      <c r="EH236" s="507">
        <f>INPUT!GU204</f>
        <v>-1.7696864437966031E-2</v>
      </c>
      <c r="EI236" s="156">
        <f>INPUT!GV204</f>
        <v>16.295974642692613</v>
      </c>
      <c r="EJ236" s="507">
        <f>INPUT!GW204</f>
        <v>-1.7862295718373833E-2</v>
      </c>
      <c r="EK236" s="156">
        <f>INPUT!GX204</f>
        <v>16.293038664612215</v>
      </c>
      <c r="EL236" s="507">
        <f>INPUT!GY204</f>
        <v>-1.8016584738089758E-2</v>
      </c>
      <c r="EM236" s="687">
        <f>INPUT!GZ204</f>
        <v>0.61637212334082481</v>
      </c>
    </row>
    <row r="237" spans="1:143" ht="12.75" hidden="1" customHeight="1" outlineLevel="1" x14ac:dyDescent="0.2">
      <c r="A237" s="718" t="str">
        <f>INPUT!B205</f>
        <v>Withdrawals/BOP UL Reserves (%)</v>
      </c>
      <c r="B237" s="156">
        <f>INPUT!AY205</f>
        <v>6.1647895672791941</v>
      </c>
      <c r="C237" s="507">
        <f>INPUT!AZ205</f>
        <v>0</v>
      </c>
      <c r="D237" s="156">
        <f>INPUT!BA205</f>
        <v>10.643834466549148</v>
      </c>
      <c r="E237" s="687">
        <f>INPUT!BB205</f>
        <v>0</v>
      </c>
      <c r="F237" s="156">
        <f>INPUT!BC205</f>
        <v>5.1679586563307494</v>
      </c>
      <c r="G237" s="687">
        <f>INPUT!BD205</f>
        <v>0</v>
      </c>
      <c r="H237" s="156">
        <f>INPUT!BE205</f>
        <v>5.5958356571853507</v>
      </c>
      <c r="I237" s="687">
        <f>INPUT!BF205</f>
        <v>0</v>
      </c>
      <c r="J237" s="156">
        <f>INPUT!BG205</f>
        <v>4.1843325276379923</v>
      </c>
      <c r="K237" s="687">
        <f>INPUT!BH205</f>
        <v>0</v>
      </c>
      <c r="L237" s="156">
        <f>INPUT!BI205</f>
        <v>4.8641251221896384</v>
      </c>
      <c r="M237" s="687">
        <f>INPUT!BJ205</f>
        <v>0</v>
      </c>
      <c r="N237" s="156">
        <f>INPUT!BK205</f>
        <v>4.6241880606248067</v>
      </c>
      <c r="O237" s="687">
        <f>INPUT!BL205</f>
        <v>0</v>
      </c>
      <c r="P237" s="156">
        <f>INPUT!BM205</f>
        <v>4.8925923094564636</v>
      </c>
      <c r="Q237" s="687">
        <f>INPUT!BN205</f>
        <v>0</v>
      </c>
      <c r="R237" s="156">
        <f>INPUT!BO205</f>
        <v>6.0034693415793043</v>
      </c>
      <c r="S237" s="687">
        <f>INPUT!BP205</f>
        <v>0</v>
      </c>
      <c r="T237" s="156">
        <f>INPUT!BQ205</f>
        <v>4.1457756491805737</v>
      </c>
      <c r="U237" s="687">
        <f>INPUT!BR205</f>
        <v>0</v>
      </c>
      <c r="V237" s="156">
        <f>INPUT!BS205</f>
        <v>4.5366938472942921</v>
      </c>
      <c r="W237" s="687">
        <f>INPUT!BT205</f>
        <v>0</v>
      </c>
      <c r="X237" s="156">
        <f>INPUT!BU205</f>
        <v>4.7746722003893201</v>
      </c>
      <c r="Y237" s="687">
        <f>INPUT!BV205</f>
        <v>0</v>
      </c>
      <c r="Z237" s="156">
        <f>INPUT!BW205</f>
        <v>5.2068940440695224</v>
      </c>
      <c r="AA237" s="687">
        <f>INPUT!BX205</f>
        <v>0</v>
      </c>
      <c r="AB237" s="156">
        <f>INPUT!BY205</f>
        <v>5.6631784770250206</v>
      </c>
      <c r="AC237" s="687">
        <f>INPUT!BZ205</f>
        <v>0</v>
      </c>
      <c r="AD237" s="156">
        <f>INPUT!CA205</f>
        <v>6.0197047890577071</v>
      </c>
      <c r="AE237" s="687">
        <f>INPUT!CB205</f>
        <v>0</v>
      </c>
      <c r="AF237" s="156">
        <f>INPUT!CC205</f>
        <v>4.2551662174303688</v>
      </c>
      <c r="AG237" s="687">
        <f>INPUT!CD205</f>
        <v>0</v>
      </c>
      <c r="AH237" s="156">
        <f>INPUT!CE205</f>
        <v>5.2071509648127128</v>
      </c>
      <c r="AI237" s="507">
        <f>INPUT!CF205</f>
        <v>0</v>
      </c>
      <c r="AJ237" s="156">
        <f>INPUT!CG205</f>
        <v>4.4295538705695643</v>
      </c>
      <c r="AK237" s="507">
        <f>INPUT!CH205</f>
        <v>0</v>
      </c>
      <c r="AL237" s="156">
        <f>INPUT!CI205</f>
        <v>5.3736356003358523</v>
      </c>
      <c r="AM237" s="507">
        <f>INPUT!CJ205</f>
        <v>0</v>
      </c>
      <c r="AN237" s="156">
        <f>INPUT!CK205</f>
        <v>4.4175869972911022</v>
      </c>
      <c r="AO237" s="507">
        <f>INPUT!CL205</f>
        <v>0</v>
      </c>
      <c r="AP237" s="156">
        <f>INPUT!CM205</f>
        <v>4.018389238889835</v>
      </c>
      <c r="AQ237" s="507">
        <f>INPUT!CN205</f>
        <v>0</v>
      </c>
      <c r="AR237" s="156">
        <f>INPUT!CO205</f>
        <v>3.981304011567302</v>
      </c>
      <c r="AS237" s="507">
        <f>INPUT!CP205</f>
        <v>0</v>
      </c>
      <c r="AT237" s="156">
        <f>INPUT!CQ205</f>
        <v>3.0781478041661137</v>
      </c>
      <c r="AU237" s="507">
        <f>INPUT!CR205</f>
        <v>0</v>
      </c>
      <c r="AV237" s="156">
        <f>INPUT!CS205</f>
        <v>3.4989229061949212</v>
      </c>
      <c r="AW237" s="507">
        <f>INPUT!CT205</f>
        <v>0</v>
      </c>
      <c r="AX237" s="156">
        <f>INPUT!CU205</f>
        <v>4.0616291361030141</v>
      </c>
      <c r="AY237" s="507">
        <f>INPUT!CV205</f>
        <v>0</v>
      </c>
      <c r="AZ237" s="156">
        <f>INPUT!CW205</f>
        <v>4.2039753603861048</v>
      </c>
      <c r="BA237" s="507">
        <f>INPUT!CX205</f>
        <v>0</v>
      </c>
      <c r="BB237" s="156">
        <f>INPUT!CY205</f>
        <v>4.245669291338583</v>
      </c>
      <c r="BC237" s="507">
        <f>INPUT!CZ205</f>
        <v>0</v>
      </c>
      <c r="BD237" s="156">
        <f>INPUT!DA205</f>
        <v>3.3389607953479645</v>
      </c>
      <c r="BE237" s="507">
        <f>INPUT!DB205</f>
        <v>0</v>
      </c>
      <c r="BF237" s="156">
        <f>INPUT!DC205</f>
        <v>2.3063640848544646</v>
      </c>
      <c r="BG237" s="507">
        <f>INPUT!DD205</f>
        <v>0</v>
      </c>
      <c r="BH237" s="156">
        <f>INPUT!DE205</f>
        <v>3.0106347319986591</v>
      </c>
      <c r="BI237" s="507">
        <f>INPUT!DF205</f>
        <v>0</v>
      </c>
      <c r="BJ237" s="156">
        <f>INPUT!DG205</f>
        <v>3.0808263863718737</v>
      </c>
      <c r="BK237" s="507">
        <f>INPUT!DH205</f>
        <v>0</v>
      </c>
      <c r="BL237" s="156">
        <f>INPUT!DI205</f>
        <v>2.4935563148114848</v>
      </c>
      <c r="BM237" s="507">
        <f>INPUT!DJ205</f>
        <v>0</v>
      </c>
      <c r="BN237" s="156">
        <f>INPUT!DK205</f>
        <v>3.4637169716200589</v>
      </c>
      <c r="BO237" s="507">
        <f>INPUT!DL205</f>
        <v>0</v>
      </c>
      <c r="BP237" s="156">
        <f>INPUT!DM205</f>
        <v>2.9864840937260224</v>
      </c>
      <c r="BQ237" s="507">
        <f>INPUT!DN205</f>
        <v>-0.80217762772583079</v>
      </c>
      <c r="BR237" s="156">
        <f>INPUT!DO205</f>
        <v>3.0386578283568957</v>
      </c>
      <c r="BS237" s="507">
        <f>INPUT!DP205</f>
        <v>-1.3687417830979376</v>
      </c>
      <c r="BT237" s="156">
        <f>INPUT!DQ205</f>
        <v>2.9841177327699255</v>
      </c>
      <c r="BU237" s="507">
        <f>INPUT!DR205</f>
        <v>19.673163787982382</v>
      </c>
      <c r="BV237" s="156">
        <f>INPUT!DS205</f>
        <v>3.4554489772333294</v>
      </c>
      <c r="BW237" s="507">
        <f>INPUT!DT205</f>
        <v>-0.23870294410522908</v>
      </c>
      <c r="BX237" s="156">
        <f>INPUT!DU205</f>
        <v>3.4414295168762412</v>
      </c>
      <c r="BY237" s="507">
        <f>INPUT!DV205</f>
        <v>15.233478862518091</v>
      </c>
      <c r="BZ237" s="156">
        <f>INPUT!DW205</f>
        <v>2.450615516747781</v>
      </c>
      <c r="CA237" s="507">
        <f>INPUT!DX205</f>
        <v>34909.64593301429</v>
      </c>
      <c r="CB237" s="156">
        <f>INPUT!DY205</f>
        <v>2.3627637520234006</v>
      </c>
      <c r="CC237" s="507">
        <f>INPUT!DZ205</f>
        <v>-20.822033055973634</v>
      </c>
      <c r="CD237" s="156">
        <f>INPUT!EA205</f>
        <v>3.5673090448726965</v>
      </c>
      <c r="CE237" s="507">
        <f>INPUT!EB205</f>
        <v>3.2372079106469664</v>
      </c>
      <c r="CF237" s="156">
        <f>INPUT!EC205</f>
        <v>3.2996632996632997</v>
      </c>
      <c r="CG237" s="507">
        <f>INPUT!ED205</f>
        <v>-4.1193991193991248</v>
      </c>
      <c r="CH237" s="156">
        <f>INPUT!EE205</f>
        <v>3.0188679245283021</v>
      </c>
      <c r="CI237" s="507">
        <f>INPUT!EF205</f>
        <v>23.188150238053275</v>
      </c>
      <c r="CJ237" s="156">
        <f>INPUT!EG205</f>
        <v>2.6796386379430159</v>
      </c>
      <c r="CK237" s="507">
        <f>INPUT!EH205</f>
        <v>13.411196343614673</v>
      </c>
      <c r="CL237" s="156">
        <f>INPUT!EI205</f>
        <v>4.4441993824437578</v>
      </c>
      <c r="CM237" s="507">
        <f>INPUT!EJ205</f>
        <v>24.581283161643029</v>
      </c>
      <c r="CN237" s="156">
        <f>INPUT!EK205</f>
        <v>3.482573357211737</v>
      </c>
      <c r="CO237" s="507">
        <f>INPUT!EL205</f>
        <v>5.5432946012128337</v>
      </c>
      <c r="CP237" s="156">
        <f>INPUT!EM205</f>
        <v>3.4015471553190326</v>
      </c>
      <c r="CQ237" s="507">
        <f>INPUT!EN205</f>
        <v>12.676249519942949</v>
      </c>
      <c r="CR237" s="156">
        <f>INPUT!EO205</f>
        <v>3.0730533683289587</v>
      </c>
      <c r="CS237" s="507">
        <f>INPUT!EP205</f>
        <v>14.681633740284528</v>
      </c>
      <c r="CT237" s="156">
        <f>INPUT!EQ205</f>
        <v>3.0730533683289587</v>
      </c>
      <c r="CU237" s="507">
        <f>INPUT!ER205</f>
        <v>-30.852486491297771</v>
      </c>
      <c r="CV237" s="156">
        <f>INPUT!ES205</f>
        <v>3.0730533683289587</v>
      </c>
      <c r="CW237" s="507">
        <f>INPUT!ET205</f>
        <v>-11.759120250395917</v>
      </c>
      <c r="CX237" s="156">
        <f>INPUT!EU205</f>
        <v>3.0730533683289587</v>
      </c>
      <c r="CY237" s="507">
        <f>INPUT!EV205</f>
        <v>-9.6571875088194759</v>
      </c>
      <c r="CZ237" s="156">
        <f>INPUT!EW205</f>
        <v>3.0730533683289587</v>
      </c>
      <c r="DA237" s="507">
        <f>INPUT!EX205</f>
        <v>0</v>
      </c>
      <c r="DB237" s="507"/>
      <c r="DC237" s="156">
        <f>INPUT!FP205</f>
        <v>6.009615384615385</v>
      </c>
      <c r="DD237" s="687">
        <f>INPUT!FQ205</f>
        <v>0</v>
      </c>
      <c r="DE237" s="156">
        <f>INPUT!FR205</f>
        <v>9.1024555461473327</v>
      </c>
      <c r="DF237" s="687">
        <f>INPUT!FS205</f>
        <v>0</v>
      </c>
      <c r="DG237" s="156">
        <f>INPUT!FT205</f>
        <v>4.731148710227048</v>
      </c>
      <c r="DH237" s="687">
        <f>INPUT!FU205</f>
        <v>0</v>
      </c>
      <c r="DI237" s="156">
        <f>INPUT!FV205</f>
        <v>4.9249566332302592</v>
      </c>
      <c r="DJ237" s="687">
        <f>INPUT!FW205</f>
        <v>0</v>
      </c>
      <c r="DK237" s="156">
        <f>INPUT!FX205</f>
        <v>5.3159770198531016</v>
      </c>
      <c r="DL237" s="507">
        <f>INPUT!FY205</f>
        <v>0</v>
      </c>
      <c r="DM237" s="156">
        <f>INPUT!FZ205</f>
        <v>4.905646992054483</v>
      </c>
      <c r="DN237" s="507">
        <f>INPUT!GA205</f>
        <v>0</v>
      </c>
      <c r="DO237" s="156">
        <f>INPUT!GB205</f>
        <v>3.7153073386684832</v>
      </c>
      <c r="DP237" s="507">
        <f>INPUT!GC205</f>
        <v>0</v>
      </c>
      <c r="DQ237" s="156">
        <f>INPUT!GD205</f>
        <v>4.0103782952689073</v>
      </c>
      <c r="DR237" s="507">
        <f>INPUT!GE205</f>
        <v>0</v>
      </c>
      <c r="DS237" s="156">
        <f>INPUT!GF205</f>
        <v>2.7657868771583622</v>
      </c>
      <c r="DT237" s="507">
        <f>INPUT!GG205</f>
        <v>-31.034264761975315</v>
      </c>
      <c r="DU237" s="156">
        <f>INPUT!GH205</f>
        <v>3.143441772189437</v>
      </c>
      <c r="DV237" s="507">
        <f>INPUT!GI205</f>
        <v>13.654519014100131</v>
      </c>
      <c r="DW237" s="156">
        <f>INPUT!GJ205</f>
        <v>2.9469548133595285</v>
      </c>
      <c r="DX237" s="507">
        <f>INPUT!GK205</f>
        <v>-6.250695036512588</v>
      </c>
      <c r="DY237" s="156">
        <f>INPUT!GL205</f>
        <v>3.1565621043747361</v>
      </c>
      <c r="DZ237" s="507">
        <f>INPUT!GM205</f>
        <v>7.1126740751160433</v>
      </c>
      <c r="EA237" s="156">
        <f>INPUT!GN205</f>
        <v>3.6116012351124835</v>
      </c>
      <c r="EB237" s="507">
        <f>INPUT!GO205</f>
        <v>14.415655884200751</v>
      </c>
      <c r="EC237" s="156">
        <f>INPUT!GP205</f>
        <v>3.1001332454431556</v>
      </c>
      <c r="ED237" s="507">
        <f>INPUT!GQ205</f>
        <v>-14.161806810141876</v>
      </c>
      <c r="EE237" s="156">
        <f>INPUT!GR205</f>
        <v>3.1001332454431556</v>
      </c>
      <c r="EF237" s="507">
        <f>INPUT!GS205</f>
        <v>0</v>
      </c>
      <c r="EG237" s="156">
        <f>INPUT!GT205</f>
        <v>3.1001332454431556</v>
      </c>
      <c r="EH237" s="507">
        <f>INPUT!GU205</f>
        <v>0</v>
      </c>
      <c r="EI237" s="156">
        <f>INPUT!GV205</f>
        <v>3.1001332454431556</v>
      </c>
      <c r="EJ237" s="507">
        <f>INPUT!GW205</f>
        <v>0</v>
      </c>
      <c r="EK237" s="156">
        <f>INPUT!GX205</f>
        <v>3.1001332454431556</v>
      </c>
      <c r="EL237" s="507">
        <f>INPUT!GY205</f>
        <v>0</v>
      </c>
      <c r="EM237" s="687">
        <f>INPUT!GZ205</f>
        <v>-3.0079555951916026</v>
      </c>
    </row>
    <row r="238" spans="1:143" ht="12.75" hidden="1" customHeight="1" outlineLevel="1" x14ac:dyDescent="0.2">
      <c r="A238" s="701"/>
      <c r="B238" s="16"/>
      <c r="C238" s="507"/>
      <c r="D238" s="16"/>
      <c r="E238" s="687"/>
      <c r="F238" s="16"/>
      <c r="G238" s="687"/>
      <c r="H238" s="16"/>
      <c r="I238" s="687"/>
      <c r="J238" s="16"/>
      <c r="K238" s="687"/>
      <c r="L238" s="16"/>
      <c r="M238" s="687"/>
      <c r="N238" s="16"/>
      <c r="O238" s="687"/>
      <c r="P238" s="16"/>
      <c r="Q238" s="687"/>
      <c r="R238" s="16"/>
      <c r="S238" s="687"/>
      <c r="T238" s="16"/>
      <c r="U238" s="687"/>
      <c r="V238" s="16"/>
      <c r="W238" s="687"/>
      <c r="X238" s="16"/>
      <c r="Y238" s="687"/>
      <c r="Z238" s="16"/>
      <c r="AA238" s="687"/>
      <c r="AB238" s="16"/>
      <c r="AC238" s="687"/>
      <c r="AD238" s="16"/>
      <c r="AE238" s="687"/>
      <c r="AF238" s="16"/>
      <c r="AG238" s="687"/>
      <c r="AH238" s="16"/>
      <c r="AI238" s="507"/>
      <c r="AJ238" s="16"/>
      <c r="AK238" s="507"/>
      <c r="AL238" s="16"/>
      <c r="AM238" s="507"/>
      <c r="AN238" s="16"/>
      <c r="AO238" s="507"/>
      <c r="AP238" s="16"/>
      <c r="AQ238" s="507"/>
      <c r="AR238" s="16"/>
      <c r="AS238" s="507"/>
      <c r="AT238" s="16"/>
      <c r="AU238" s="507"/>
      <c r="AV238" s="16"/>
      <c r="AW238" s="507"/>
      <c r="AX238" s="16"/>
      <c r="AY238" s="507"/>
      <c r="AZ238" s="16"/>
      <c r="BA238" s="507"/>
      <c r="BB238" s="16"/>
      <c r="BC238" s="507"/>
      <c r="BD238" s="16"/>
      <c r="BE238" s="507"/>
      <c r="BF238" s="16"/>
      <c r="BG238" s="507"/>
      <c r="BH238" s="16"/>
      <c r="BI238" s="507"/>
      <c r="BJ238" s="16"/>
      <c r="BK238" s="507"/>
      <c r="BL238" s="16"/>
      <c r="BM238" s="507"/>
      <c r="BN238" s="16"/>
      <c r="BO238" s="507"/>
      <c r="BP238" s="16"/>
      <c r="BQ238" s="507"/>
      <c r="BR238" s="16"/>
      <c r="BS238" s="507"/>
      <c r="BT238" s="16"/>
      <c r="BU238" s="507"/>
      <c r="BV238" s="16"/>
      <c r="BW238" s="507"/>
      <c r="BX238" s="16"/>
      <c r="BY238" s="507"/>
      <c r="BZ238" s="16"/>
      <c r="CA238" s="507"/>
      <c r="CB238" s="16"/>
      <c r="CC238" s="507"/>
      <c r="CD238" s="16"/>
      <c r="CE238" s="507"/>
      <c r="CF238" s="16"/>
      <c r="CG238" s="507"/>
      <c r="CH238" s="16"/>
      <c r="CI238" s="507"/>
      <c r="CJ238" s="16"/>
      <c r="CK238" s="507"/>
      <c r="CL238" s="16"/>
      <c r="CM238" s="507"/>
      <c r="CN238" s="16"/>
      <c r="CO238" s="507"/>
      <c r="CP238" s="16"/>
      <c r="CQ238" s="507"/>
      <c r="CR238" s="16"/>
      <c r="CS238" s="507"/>
      <c r="CT238" s="16"/>
      <c r="CU238" s="507"/>
      <c r="CV238" s="16"/>
      <c r="CW238" s="507"/>
      <c r="CX238" s="16"/>
      <c r="CY238" s="507"/>
      <c r="CZ238" s="16"/>
      <c r="DA238" s="507"/>
      <c r="DB238" s="507"/>
      <c r="DC238" s="16"/>
      <c r="DD238" s="687"/>
      <c r="DE238" s="16"/>
      <c r="DF238" s="687"/>
      <c r="DG238" s="16"/>
      <c r="DH238" s="687"/>
      <c r="DI238" s="16"/>
      <c r="DJ238" s="687"/>
      <c r="DK238" s="16"/>
      <c r="DL238" s="507"/>
      <c r="DM238" s="16"/>
      <c r="DN238" s="507"/>
      <c r="DO238" s="16"/>
      <c r="DP238" s="507"/>
      <c r="DQ238" s="16"/>
      <c r="DR238" s="507"/>
      <c r="DS238" s="16"/>
      <c r="DT238" s="507"/>
      <c r="DU238" s="16"/>
      <c r="DV238" s="507"/>
      <c r="DW238" s="16"/>
      <c r="DX238" s="507"/>
      <c r="DY238" s="16"/>
      <c r="DZ238" s="507"/>
      <c r="EA238" s="16"/>
      <c r="EB238" s="507"/>
      <c r="EC238" s="16"/>
      <c r="ED238" s="507"/>
      <c r="EE238" s="16"/>
      <c r="EF238" s="507"/>
      <c r="EG238" s="16"/>
      <c r="EH238" s="507"/>
      <c r="EI238" s="16"/>
      <c r="EJ238" s="507"/>
      <c r="EK238" s="16"/>
      <c r="EL238" s="507"/>
      <c r="EM238" s="687"/>
    </row>
    <row r="239" spans="1:143" ht="12.75" hidden="1" customHeight="1" outlineLevel="1" x14ac:dyDescent="0.2">
      <c r="A239" s="700" t="str">
        <f>INPUT!B207</f>
        <v>VUL Reserves</v>
      </c>
      <c r="B239" s="16"/>
      <c r="C239" s="507"/>
      <c r="D239" s="16"/>
      <c r="E239" s="687"/>
      <c r="F239" s="16"/>
      <c r="G239" s="687"/>
      <c r="H239" s="16"/>
      <c r="I239" s="687"/>
      <c r="J239" s="16"/>
      <c r="K239" s="687"/>
      <c r="L239" s="16"/>
      <c r="M239" s="687"/>
      <c r="N239" s="16"/>
      <c r="O239" s="687"/>
      <c r="P239" s="16"/>
      <c r="Q239" s="687"/>
      <c r="R239" s="16"/>
      <c r="S239" s="687"/>
      <c r="T239" s="16"/>
      <c r="U239" s="687"/>
      <c r="V239" s="16"/>
      <c r="W239" s="687"/>
      <c r="X239" s="16"/>
      <c r="Y239" s="687"/>
      <c r="Z239" s="16"/>
      <c r="AA239" s="687"/>
      <c r="AB239" s="16"/>
      <c r="AC239" s="687"/>
      <c r="AD239" s="16"/>
      <c r="AE239" s="687"/>
      <c r="AF239" s="16"/>
      <c r="AG239" s="687"/>
      <c r="AH239" s="16"/>
      <c r="AI239" s="507"/>
      <c r="AJ239" s="16"/>
      <c r="AK239" s="507"/>
      <c r="AL239" s="16"/>
      <c r="AM239" s="507"/>
      <c r="AN239" s="16"/>
      <c r="AO239" s="507"/>
      <c r="AP239" s="16"/>
      <c r="AQ239" s="507"/>
      <c r="AR239" s="16"/>
      <c r="AS239" s="507"/>
      <c r="AT239" s="16"/>
      <c r="AU239" s="507"/>
      <c r="AV239" s="16"/>
      <c r="AW239" s="507"/>
      <c r="AX239" s="16"/>
      <c r="AY239" s="507"/>
      <c r="AZ239" s="16"/>
      <c r="BA239" s="507"/>
      <c r="BB239" s="16"/>
      <c r="BC239" s="507"/>
      <c r="BD239" s="16"/>
      <c r="BE239" s="507"/>
      <c r="BF239" s="16"/>
      <c r="BG239" s="507"/>
      <c r="BH239" s="16"/>
      <c r="BI239" s="507"/>
      <c r="BJ239" s="16"/>
      <c r="BK239" s="507"/>
      <c r="BL239" s="16"/>
      <c r="BM239" s="507"/>
      <c r="BN239" s="16"/>
      <c r="BO239" s="507"/>
      <c r="BP239" s="16"/>
      <c r="BQ239" s="507"/>
      <c r="BR239" s="16"/>
      <c r="BS239" s="507"/>
      <c r="BT239" s="16"/>
      <c r="BU239" s="507"/>
      <c r="BV239" s="16"/>
      <c r="BW239" s="507"/>
      <c r="BX239" s="16"/>
      <c r="BY239" s="507"/>
      <c r="BZ239" s="16"/>
      <c r="CA239" s="507"/>
      <c r="CB239" s="16"/>
      <c r="CC239" s="507"/>
      <c r="CD239" s="16"/>
      <c r="CE239" s="507"/>
      <c r="CF239" s="16"/>
      <c r="CG239" s="507"/>
      <c r="CH239" s="16"/>
      <c r="CI239" s="507"/>
      <c r="CJ239" s="16"/>
      <c r="CK239" s="507"/>
      <c r="CL239" s="16"/>
      <c r="CM239" s="507"/>
      <c r="CN239" s="16"/>
      <c r="CO239" s="507"/>
      <c r="CP239" s="16"/>
      <c r="CQ239" s="507"/>
      <c r="CR239" s="16"/>
      <c r="CS239" s="507"/>
      <c r="CT239" s="16"/>
      <c r="CU239" s="507"/>
      <c r="CV239" s="16"/>
      <c r="CW239" s="507"/>
      <c r="CX239" s="16"/>
      <c r="CY239" s="507"/>
      <c r="CZ239" s="16"/>
      <c r="DA239" s="507"/>
      <c r="DB239" s="507"/>
      <c r="DC239" s="16"/>
      <c r="DD239" s="687"/>
      <c r="DE239" s="16"/>
      <c r="DF239" s="687"/>
      <c r="DG239" s="16"/>
      <c r="DH239" s="687"/>
      <c r="DI239" s="16"/>
      <c r="DJ239" s="687"/>
      <c r="DK239" s="16"/>
      <c r="DL239" s="507"/>
      <c r="DM239" s="16"/>
      <c r="DN239" s="507"/>
      <c r="DO239" s="16"/>
      <c r="DP239" s="507"/>
      <c r="DQ239" s="16"/>
      <c r="DR239" s="507"/>
      <c r="DS239" s="16"/>
      <c r="DT239" s="507"/>
      <c r="DU239" s="16"/>
      <c r="DV239" s="507"/>
      <c r="DW239" s="16"/>
      <c r="DX239" s="507"/>
      <c r="DY239" s="16"/>
      <c r="DZ239" s="507"/>
      <c r="EA239" s="16"/>
      <c r="EB239" s="507"/>
      <c r="EC239" s="16"/>
      <c r="ED239" s="507"/>
      <c r="EE239" s="16"/>
      <c r="EF239" s="507"/>
      <c r="EG239" s="16"/>
      <c r="EH239" s="507"/>
      <c r="EI239" s="16"/>
      <c r="EJ239" s="507"/>
      <c r="EK239" s="16"/>
      <c r="EL239" s="507"/>
      <c r="EM239" s="687"/>
    </row>
    <row r="240" spans="1:143" ht="12.75" hidden="1" customHeight="1" outlineLevel="1" x14ac:dyDescent="0.2">
      <c r="A240" s="701" t="str">
        <f>INPUT!B208</f>
        <v>Beginning VUL Reserves</v>
      </c>
      <c r="B240" s="151">
        <f>INPUT!AY208</f>
        <v>2241.5</v>
      </c>
      <c r="C240" s="507">
        <f>INPUT!AZ208</f>
        <v>10.527613412228787</v>
      </c>
      <c r="D240" s="151">
        <f>INPUT!BA208</f>
        <v>2354.5</v>
      </c>
      <c r="E240" s="687">
        <f>INPUT!BB208</f>
        <v>17.578027465667923</v>
      </c>
      <c r="F240" s="151">
        <f>INPUT!BC208</f>
        <v>4193.5</v>
      </c>
      <c r="G240" s="687" t="str">
        <f>INPUT!BD208</f>
        <v>NM</v>
      </c>
      <c r="H240" s="151">
        <f>INPUT!BE208</f>
        <v>4304.5</v>
      </c>
      <c r="I240" s="687">
        <f>INPUT!BF208</f>
        <v>99.883909914093323</v>
      </c>
      <c r="J240" s="151">
        <f>INPUT!BG208</f>
        <v>5606</v>
      </c>
      <c r="K240" s="687" t="str">
        <f>INPUT!BH208</f>
        <v>NM</v>
      </c>
      <c r="L240" s="151">
        <f>INPUT!BI208</f>
        <v>5702</v>
      </c>
      <c r="M240" s="687" t="str">
        <f>INPUT!BJ208</f>
        <v>NM</v>
      </c>
      <c r="N240" s="151">
        <f>INPUT!BK208</f>
        <v>5954</v>
      </c>
      <c r="O240" s="687">
        <f>INPUT!BL208</f>
        <v>41.981638249672116</v>
      </c>
      <c r="P240" s="151">
        <f>INPUT!BM208</f>
        <v>6104</v>
      </c>
      <c r="Q240" s="687">
        <f>INPUT!BN208</f>
        <v>41.805087698919728</v>
      </c>
      <c r="R240" s="151">
        <f>INPUT!BO208</f>
        <v>6040</v>
      </c>
      <c r="S240" s="687">
        <f>INPUT!BP208</f>
        <v>7.7417053157331495</v>
      </c>
      <c r="T240" s="151">
        <f>INPUT!BQ208</f>
        <v>5615</v>
      </c>
      <c r="U240" s="687">
        <f>INPUT!BR208</f>
        <v>-1.5257804279200315</v>
      </c>
      <c r="V240" s="151">
        <f>INPUT!BS208</f>
        <v>5623</v>
      </c>
      <c r="W240" s="687">
        <f>INPUT!BT208</f>
        <v>-5.5592878736983486</v>
      </c>
      <c r="X240" s="151">
        <f>INPUT!BU208</f>
        <v>5056</v>
      </c>
      <c r="Y240" s="687">
        <f>INPUT!BV208</f>
        <v>-17.169069462647446</v>
      </c>
      <c r="Z240" s="151">
        <f>INPUT!BW208</f>
        <v>4251</v>
      </c>
      <c r="AA240" s="687">
        <f>INPUT!BX208</f>
        <v>-29.619205298013242</v>
      </c>
      <c r="AB240" s="151">
        <f>INPUT!BY208</f>
        <v>3992</v>
      </c>
      <c r="AC240" s="687">
        <f>INPUT!BZ208</f>
        <v>-28.904719501335705</v>
      </c>
      <c r="AD240" s="151">
        <f>INPUT!CA208</f>
        <v>4562</v>
      </c>
      <c r="AE240" s="687">
        <f>INPUT!CB208</f>
        <v>-18.868931175529081</v>
      </c>
      <c r="AF240" s="151">
        <f>INPUT!CC208</f>
        <v>5176</v>
      </c>
      <c r="AG240" s="687">
        <f>INPUT!CD208</f>
        <v>2.3734177215189778</v>
      </c>
      <c r="AH240" s="151">
        <f>INPUT!CE208</f>
        <v>5287</v>
      </c>
      <c r="AI240" s="507">
        <f>INPUT!CF208</f>
        <v>24.370736297341811</v>
      </c>
      <c r="AJ240" s="151">
        <f>INPUT!CG208</f>
        <v>5467</v>
      </c>
      <c r="AK240" s="507">
        <f>INPUT!CH208</f>
        <v>36.948897795591186</v>
      </c>
      <c r="AL240" s="151">
        <f>INPUT!CI208</f>
        <v>5027</v>
      </c>
      <c r="AM240" s="507">
        <f>INPUT!CJ208</f>
        <v>10.192897851819382</v>
      </c>
      <c r="AN240" s="151">
        <f>INPUT!CK208</f>
        <v>5562</v>
      </c>
      <c r="AO240" s="507">
        <f>INPUT!CL208</f>
        <v>7.4574961360123648</v>
      </c>
      <c r="AP240" s="151">
        <f>INPUT!CM208</f>
        <v>5962</v>
      </c>
      <c r="AQ240" s="507">
        <f>INPUT!CN208</f>
        <v>12.767164743710978</v>
      </c>
      <c r="AR240" s="151">
        <f>INPUT!CO208</f>
        <v>6171</v>
      </c>
      <c r="AS240" s="507">
        <f>INPUT!CP208</f>
        <v>12.877263581488929</v>
      </c>
      <c r="AT240" s="151">
        <f>INPUT!CQ208</f>
        <v>6157</v>
      </c>
      <c r="AU240" s="507">
        <f>INPUT!CR208</f>
        <v>22.478615476427287</v>
      </c>
      <c r="AV240" s="151">
        <f>INPUT!CS208</f>
        <v>5375</v>
      </c>
      <c r="AW240" s="507">
        <f>INPUT!CT208</f>
        <v>-3.3620999640417093</v>
      </c>
      <c r="AX240" s="151">
        <f>INPUT!CU208</f>
        <v>5687</v>
      </c>
      <c r="AY240" s="507">
        <f>INPUT!CV208</f>
        <v>-4.6125461254612592</v>
      </c>
      <c r="AZ240" s="151">
        <f>INPUT!CW208</f>
        <v>6202</v>
      </c>
      <c r="BA240" s="507">
        <f>INPUT!CX208</f>
        <v>0.50234970021065806</v>
      </c>
      <c r="BB240" s="151">
        <f>INPUT!CY208</f>
        <v>6005</v>
      </c>
      <c r="BC240" s="507">
        <f>INPUT!CZ208</f>
        <v>-2.4687347734286158</v>
      </c>
      <c r="BD240" s="151">
        <f>INPUT!DA208</f>
        <v>6262</v>
      </c>
      <c r="BE240" s="507">
        <f>INPUT!DB208</f>
        <v>16.50232558139535</v>
      </c>
      <c r="BF240" s="151">
        <f>INPUT!DC208</f>
        <v>6523</v>
      </c>
      <c r="BG240" s="507">
        <f>INPUT!DD208</f>
        <v>14.700193423597675</v>
      </c>
      <c r="BH240" s="151">
        <f>INPUT!DE208</f>
        <v>6859</v>
      </c>
      <c r="BI240" s="507">
        <f>INPUT!DF208</f>
        <v>10.593356981618829</v>
      </c>
      <c r="BJ240" s="151">
        <f>INPUT!DG208</f>
        <v>6972</v>
      </c>
      <c r="BK240" s="507">
        <f>INPUT!DH208</f>
        <v>16.10324729392174</v>
      </c>
      <c r="BL240" s="151">
        <f>INPUT!DI208</f>
        <v>7453</v>
      </c>
      <c r="BM240" s="507">
        <f>INPUT!DJ208</f>
        <v>19.019482593420634</v>
      </c>
      <c r="BN240" s="151">
        <f>INPUT!DK208</f>
        <v>8094</v>
      </c>
      <c r="BO240" s="507">
        <f>INPUT!DL208</f>
        <v>24.084010424651225</v>
      </c>
      <c r="BP240" s="151">
        <f>INPUT!DM208</f>
        <v>8354</v>
      </c>
      <c r="BQ240" s="507">
        <f>INPUT!DN208</f>
        <v>21.796180201195515</v>
      </c>
      <c r="BR240" s="151">
        <f>INPUT!DO208</f>
        <v>8842</v>
      </c>
      <c r="BS240" s="507">
        <f>INPUT!DP208</f>
        <v>26.821572002294893</v>
      </c>
      <c r="BT240" s="151">
        <f>INPUT!DQ208</f>
        <v>8854</v>
      </c>
      <c r="BU240" s="507">
        <f>INPUT!DR208</f>
        <v>18.797799543807869</v>
      </c>
      <c r="BV240" s="151">
        <f>INPUT!DS208</f>
        <v>9263</v>
      </c>
      <c r="BW240" s="507">
        <f>INPUT!DT208</f>
        <v>14.442797133679264</v>
      </c>
      <c r="BX240" s="151">
        <f>INPUT!DU208</f>
        <v>9635</v>
      </c>
      <c r="BY240" s="507">
        <f>INPUT!DV208</f>
        <v>15.33397175005986</v>
      </c>
      <c r="BZ240" s="151">
        <f>INPUT!DW208</f>
        <v>9766</v>
      </c>
      <c r="CA240" s="507">
        <f>INPUT!DX208</f>
        <v>10.450124406242933</v>
      </c>
      <c r="CB240" s="151">
        <f>INPUT!DY208</f>
        <v>9213</v>
      </c>
      <c r="CC240" s="507">
        <f>INPUT!DZ208</f>
        <v>4.0546645583916963</v>
      </c>
      <c r="CD240" s="151">
        <f>INPUT!EA208</f>
        <v>9696</v>
      </c>
      <c r="CE240" s="507">
        <f>INPUT!EB208</f>
        <v>4.6745114973550717</v>
      </c>
      <c r="CF240" s="151">
        <f>INPUT!EC208</f>
        <v>9830</v>
      </c>
      <c r="CG240" s="507">
        <f>INPUT!ED208</f>
        <v>2.0238713025428234</v>
      </c>
      <c r="CH240" s="151">
        <f>INPUT!EE208</f>
        <v>10172</v>
      </c>
      <c r="CI240" s="507">
        <f>INPUT!EF208</f>
        <v>4.1572803604341679</v>
      </c>
      <c r="CJ240" s="151">
        <f>INPUT!EG208</f>
        <v>10763</v>
      </c>
      <c r="CK240" s="507">
        <f>INPUT!EH208</f>
        <v>16.824052968631275</v>
      </c>
      <c r="CL240" s="151">
        <f>INPUT!EI208</f>
        <v>11058</v>
      </c>
      <c r="CM240" s="507">
        <f>INPUT!EJ208</f>
        <v>14.047029702970292</v>
      </c>
      <c r="CN240" s="151">
        <f>INPUT!EK208</f>
        <v>11772</v>
      </c>
      <c r="CO240" s="507">
        <f>INPUT!EL208</f>
        <v>19.755849440488294</v>
      </c>
      <c r="CP240" s="151">
        <f>INPUT!EM208</f>
        <v>12296</v>
      </c>
      <c r="CQ240" s="507">
        <f>INPUT!EN208</f>
        <v>20.880849390483689</v>
      </c>
      <c r="CR240" s="151">
        <f>INPUT!EO208</f>
        <v>12916</v>
      </c>
      <c r="CS240" s="507">
        <f>INPUT!EP208</f>
        <v>20.003716435937946</v>
      </c>
      <c r="CT240" s="151">
        <f>INPUT!EQ208</f>
        <v>13851</v>
      </c>
      <c r="CU240" s="507">
        <f>INPUT!ER208</f>
        <v>25.257731958762886</v>
      </c>
      <c r="CV240" s="151">
        <f>INPUT!ES208</f>
        <v>13798.658379580263</v>
      </c>
      <c r="CW240" s="507">
        <f>INPUT!ET208</f>
        <v>17.21592235457241</v>
      </c>
      <c r="CX240" s="151">
        <f>INPUT!EU208</f>
        <v>14067.769959793946</v>
      </c>
      <c r="CY240" s="507">
        <f>INPUT!EV208</f>
        <v>14.409319777114082</v>
      </c>
      <c r="CZ240" s="151">
        <f>INPUT!EW208</f>
        <v>14300.887733031312</v>
      </c>
      <c r="DA240" s="507">
        <f>INPUT!EX208</f>
        <v>10.722264888752807</v>
      </c>
      <c r="DB240" s="507"/>
      <c r="DC240" s="151">
        <f>INPUT!FP208</f>
        <v>2028</v>
      </c>
      <c r="DD240" s="687" t="str">
        <f>INPUT!FQ208</f>
        <v>NA</v>
      </c>
      <c r="DE240" s="151">
        <f>INPUT!FR208</f>
        <v>2241</v>
      </c>
      <c r="DF240" s="687">
        <f>INPUT!FS208</f>
        <v>10.50295857988166</v>
      </c>
      <c r="DG240" s="151">
        <f>INPUT!FT208</f>
        <v>5606</v>
      </c>
      <c r="DH240" s="687" t="str">
        <f>INPUT!FU208</f>
        <v>NM</v>
      </c>
      <c r="DI240" s="151">
        <f>INPUT!FV208</f>
        <v>6040</v>
      </c>
      <c r="DJ240" s="687">
        <f>INPUT!FW208</f>
        <v>7.7417053157331495</v>
      </c>
      <c r="DK240" s="151">
        <f>INPUT!FX208</f>
        <v>4251</v>
      </c>
      <c r="DL240" s="507">
        <f>INPUT!FY208</f>
        <v>-29.619205298013242</v>
      </c>
      <c r="DM240" s="151">
        <f>INPUT!FZ208</f>
        <v>5287</v>
      </c>
      <c r="DN240" s="507">
        <f>INPUT!GA208</f>
        <v>24.370736297341811</v>
      </c>
      <c r="DO240" s="151">
        <f>INPUT!GB208</f>
        <v>5962</v>
      </c>
      <c r="DP240" s="507">
        <f>INPUT!GC208</f>
        <v>12.767164743710978</v>
      </c>
      <c r="DQ240" s="151">
        <f>INPUT!GD208</f>
        <v>5687</v>
      </c>
      <c r="DR240" s="507">
        <f>INPUT!GE208</f>
        <v>-4.6125461254612592</v>
      </c>
      <c r="DS240" s="151">
        <f>INPUT!GF208</f>
        <v>6523</v>
      </c>
      <c r="DT240" s="507">
        <f>INPUT!GG208</f>
        <v>14.700193423597675</v>
      </c>
      <c r="DU240" s="151">
        <f>INPUT!GH208</f>
        <v>8094</v>
      </c>
      <c r="DV240" s="507">
        <f>INPUT!GI208</f>
        <v>24.084010424651225</v>
      </c>
      <c r="DW240" s="151">
        <f>INPUT!GJ208</f>
        <v>9263</v>
      </c>
      <c r="DX240" s="507">
        <f>INPUT!GK208</f>
        <v>14.442797133679264</v>
      </c>
      <c r="DY240" s="151">
        <f>INPUT!GL208</f>
        <v>9696</v>
      </c>
      <c r="DZ240" s="507">
        <f>INPUT!GM208</f>
        <v>4.6745114973550717</v>
      </c>
      <c r="EA240" s="151">
        <f>INPUT!GN208</f>
        <v>11058</v>
      </c>
      <c r="EB240" s="507">
        <f>INPUT!GO208</f>
        <v>14.047029702970292</v>
      </c>
      <c r="EC240" s="151">
        <f>INPUT!GP208</f>
        <v>13851</v>
      </c>
      <c r="ED240" s="507">
        <f>INPUT!GQ208</f>
        <v>25.257731958762886</v>
      </c>
      <c r="EE240" s="151">
        <f>INPUT!GR208</f>
        <v>14892.182971091101</v>
      </c>
      <c r="EF240" s="507">
        <f>INPUT!GS208</f>
        <v>7.5170238328720052</v>
      </c>
      <c r="EG240" s="151">
        <f>INPUT!GT208</f>
        <v>15564.467826210117</v>
      </c>
      <c r="EH240" s="507">
        <f>INPUT!GU208</f>
        <v>4.5143472681208996</v>
      </c>
      <c r="EI240" s="151">
        <f>INPUT!GV208</f>
        <v>16316.22248588915</v>
      </c>
      <c r="EJ240" s="507">
        <f>INPUT!GW208</f>
        <v>4.8299413001008595</v>
      </c>
      <c r="EK240" s="151">
        <f>INPUT!GX208</f>
        <v>17150.651870335565</v>
      </c>
      <c r="EL240" s="507">
        <f>INPUT!GY208</f>
        <v>5.114108888672364</v>
      </c>
      <c r="EM240" s="687">
        <f>INPUT!GZ208</f>
        <v>9.1743988401793217</v>
      </c>
    </row>
    <row r="241" spans="1:143" ht="12.75" hidden="1" customHeight="1" outlineLevel="1" x14ac:dyDescent="0.2">
      <c r="A241" s="701" t="str">
        <f>INPUT!B209</f>
        <v>Deposits</v>
      </c>
      <c r="B241" s="151">
        <f>INPUT!AY209</f>
        <v>87</v>
      </c>
      <c r="C241" s="507">
        <f>INPUT!AZ209</f>
        <v>1.1627906976744207</v>
      </c>
      <c r="D241" s="151">
        <f>INPUT!BA209</f>
        <v>224</v>
      </c>
      <c r="E241" s="687" t="str">
        <f>INPUT!BB209</f>
        <v>NM</v>
      </c>
      <c r="F241" s="151">
        <f>INPUT!BC209</f>
        <v>36</v>
      </c>
      <c r="G241" s="687" t="str">
        <f>INPUT!BD209</f>
        <v>NM</v>
      </c>
      <c r="H241" s="151">
        <f>INPUT!BE209</f>
        <v>153</v>
      </c>
      <c r="I241" s="687">
        <f>INPUT!BF209</f>
        <v>57.731958762886592</v>
      </c>
      <c r="J241" s="151">
        <f>INPUT!BG209</f>
        <v>157</v>
      </c>
      <c r="K241" s="687">
        <f>INPUT!BH209</f>
        <v>80.459770114942515</v>
      </c>
      <c r="L241" s="151">
        <f>INPUT!BI209</f>
        <v>142</v>
      </c>
      <c r="M241" s="687">
        <f>INPUT!BJ209</f>
        <v>-36.607142857142861</v>
      </c>
      <c r="N241" s="151">
        <f>INPUT!BK209</f>
        <v>180</v>
      </c>
      <c r="O241" s="687" t="str">
        <f>INPUT!BL209</f>
        <v>NM</v>
      </c>
      <c r="P241" s="151">
        <f>INPUT!BM209</f>
        <v>217</v>
      </c>
      <c r="Q241" s="687">
        <f>INPUT!BN209</f>
        <v>41.830065359477132</v>
      </c>
      <c r="R241" s="151">
        <f>INPUT!BO209</f>
        <v>239</v>
      </c>
      <c r="S241" s="687">
        <f>INPUT!BP209</f>
        <v>52.229299363057336</v>
      </c>
      <c r="T241" s="151">
        <f>INPUT!BQ209</f>
        <v>216</v>
      </c>
      <c r="U241" s="687">
        <f>INPUT!BR209</f>
        <v>52.112676056338024</v>
      </c>
      <c r="V241" s="151">
        <f>INPUT!BS209</f>
        <v>207</v>
      </c>
      <c r="W241" s="687">
        <f>INPUT!BT209</f>
        <v>14.999999999999991</v>
      </c>
      <c r="X241" s="151">
        <f>INPUT!BU209</f>
        <v>266</v>
      </c>
      <c r="Y241" s="687">
        <f>INPUT!BV209</f>
        <v>22.580645161290324</v>
      </c>
      <c r="Z241" s="151">
        <f>INPUT!BW209</f>
        <v>243</v>
      </c>
      <c r="AA241" s="687">
        <f>INPUT!BX209</f>
        <v>1.6736401673640211</v>
      </c>
      <c r="AB241" s="151">
        <f>INPUT!BY209</f>
        <v>180</v>
      </c>
      <c r="AC241" s="687">
        <f>INPUT!BZ209</f>
        <v>-16.666666666666664</v>
      </c>
      <c r="AD241" s="151">
        <f>INPUT!CA209</f>
        <v>174</v>
      </c>
      <c r="AE241" s="687">
        <f>INPUT!CB209</f>
        <v>-15.94202898550725</v>
      </c>
      <c r="AF241" s="151">
        <f>INPUT!CC209</f>
        <v>233</v>
      </c>
      <c r="AG241" s="687">
        <f>INPUT!CD209</f>
        <v>-12.406015037593987</v>
      </c>
      <c r="AH241" s="151">
        <f>INPUT!CE209</f>
        <v>167</v>
      </c>
      <c r="AI241" s="507">
        <f>INPUT!CF209</f>
        <v>-31.275720164609055</v>
      </c>
      <c r="AJ241" s="151">
        <f>INPUT!CG209</f>
        <v>152</v>
      </c>
      <c r="AK241" s="507">
        <f>INPUT!CH209</f>
        <v>-15.555555555555555</v>
      </c>
      <c r="AL241" s="151">
        <f>INPUT!CI209</f>
        <v>247</v>
      </c>
      <c r="AM241" s="507">
        <f>INPUT!CJ209</f>
        <v>41.954022988505749</v>
      </c>
      <c r="AN241" s="151">
        <f>INPUT!CK209</f>
        <v>240</v>
      </c>
      <c r="AO241" s="507">
        <f>INPUT!CL209</f>
        <v>3.0042918454935563</v>
      </c>
      <c r="AP241" s="151">
        <f>INPUT!CM209</f>
        <v>185</v>
      </c>
      <c r="AQ241" s="507">
        <f>INPUT!CN209</f>
        <v>10.77844311377245</v>
      </c>
      <c r="AR241" s="151">
        <f>INPUT!CO209</f>
        <v>148</v>
      </c>
      <c r="AS241" s="507">
        <f>INPUT!CP209</f>
        <v>-2.6315789473684181</v>
      </c>
      <c r="AT241" s="151">
        <f>INPUT!CQ209</f>
        <v>178</v>
      </c>
      <c r="AU241" s="507">
        <f>INPUT!CR209</f>
        <v>-27.935222672064775</v>
      </c>
      <c r="AV241" s="151">
        <f>INPUT!CS209</f>
        <v>209</v>
      </c>
      <c r="AW241" s="507">
        <f>INPUT!CT209</f>
        <v>-12.916666666666664</v>
      </c>
      <c r="AX241" s="151">
        <f>INPUT!CU209</f>
        <v>168</v>
      </c>
      <c r="AY241" s="507">
        <f>INPUT!CV209</f>
        <v>-9.1891891891891841</v>
      </c>
      <c r="AZ241" s="151">
        <f>INPUT!CW209</f>
        <v>147</v>
      </c>
      <c r="BA241" s="507">
        <f>INPUT!CX209</f>
        <v>-0.67567567567567988</v>
      </c>
      <c r="BB241" s="151">
        <f>INPUT!CY209</f>
        <v>135</v>
      </c>
      <c r="BC241" s="507">
        <f>INPUT!CZ209</f>
        <v>-24.157303370786522</v>
      </c>
      <c r="BD241" s="151">
        <f>INPUT!DA209</f>
        <v>414</v>
      </c>
      <c r="BE241" s="507">
        <f>INPUT!DB209</f>
        <v>98.086124401913864</v>
      </c>
      <c r="BF241" s="151">
        <f>INPUT!DC209</f>
        <v>242</v>
      </c>
      <c r="BG241" s="507">
        <f>INPUT!DD209</f>
        <v>44.047619047619044</v>
      </c>
      <c r="BH241" s="151">
        <f>INPUT!DE209</f>
        <v>287</v>
      </c>
      <c r="BI241" s="507">
        <f>INPUT!DF209</f>
        <v>95.238095238095227</v>
      </c>
      <c r="BJ241" s="151">
        <f>INPUT!DG209</f>
        <v>292</v>
      </c>
      <c r="BK241" s="507" t="str">
        <f>INPUT!DH209</f>
        <v>NM</v>
      </c>
      <c r="BL241" s="151">
        <f>INPUT!DI209</f>
        <v>428</v>
      </c>
      <c r="BM241" s="507">
        <f>INPUT!DJ209</f>
        <v>3.3816425120772875</v>
      </c>
      <c r="BN241" s="151">
        <f>INPUT!DK209</f>
        <v>397</v>
      </c>
      <c r="BO241" s="507">
        <f>INPUT!DL209</f>
        <v>64.049586776859499</v>
      </c>
      <c r="BP241" s="151">
        <f>INPUT!DM209</f>
        <v>418</v>
      </c>
      <c r="BQ241" s="507">
        <f>INPUT!DN209</f>
        <v>45.644599303135891</v>
      </c>
      <c r="BR241" s="151">
        <f>INPUT!DO209</f>
        <v>351</v>
      </c>
      <c r="BS241" s="507">
        <f>INPUT!DP209</f>
        <v>20.205479452054796</v>
      </c>
      <c r="BT241" s="151">
        <f>INPUT!DQ209</f>
        <v>445</v>
      </c>
      <c r="BU241" s="507">
        <f>INPUT!DR209</f>
        <v>3.971962616822422</v>
      </c>
      <c r="BV241" s="151">
        <f>INPUT!DS209</f>
        <v>390</v>
      </c>
      <c r="BW241" s="507">
        <f>INPUT!DT209</f>
        <v>-1.7632241813602012</v>
      </c>
      <c r="BX241" s="151">
        <f>INPUT!DU209</f>
        <v>380</v>
      </c>
      <c r="BY241" s="507">
        <f>INPUT!DV209</f>
        <v>-9.0909090909090935</v>
      </c>
      <c r="BZ241" s="151">
        <f>INPUT!DW209</f>
        <v>388</v>
      </c>
      <c r="CA241" s="507">
        <f>INPUT!DX209</f>
        <v>388</v>
      </c>
      <c r="CB241" s="151">
        <f>INPUT!DY209</f>
        <v>460</v>
      </c>
      <c r="CC241" s="507">
        <f>INPUT!DZ209</f>
        <v>3.3707865168539408</v>
      </c>
      <c r="CD241" s="151">
        <f>INPUT!EA209</f>
        <v>293</v>
      </c>
      <c r="CE241" s="507">
        <f>INPUT!EB209</f>
        <v>-24.871794871794872</v>
      </c>
      <c r="CF241" s="151">
        <f>INPUT!EC209</f>
        <v>399</v>
      </c>
      <c r="CG241" s="507">
        <f>INPUT!ED209</f>
        <v>5.0000000000000044</v>
      </c>
      <c r="CH241" s="151">
        <f>INPUT!EE209</f>
        <v>440</v>
      </c>
      <c r="CI241" s="507">
        <f>INPUT!EF209</f>
        <v>13.4020618556701</v>
      </c>
      <c r="CJ241" s="151">
        <f>INPUT!EG209</f>
        <v>489</v>
      </c>
      <c r="CK241" s="507">
        <f>INPUT!EH209</f>
        <v>6.3043478260869534</v>
      </c>
      <c r="CL241" s="151">
        <f>INPUT!EI209</f>
        <v>372</v>
      </c>
      <c r="CM241" s="507">
        <f>INPUT!EJ209</f>
        <v>26.962457337883961</v>
      </c>
      <c r="CN241" s="151">
        <f>INPUT!EK209</f>
        <v>428</v>
      </c>
      <c r="CO241" s="507">
        <f>INPUT!EL209</f>
        <v>7.268170426065157</v>
      </c>
      <c r="CP241" s="151">
        <f>INPUT!EM209</f>
        <v>392</v>
      </c>
      <c r="CQ241" s="507">
        <f>INPUT!EN209</f>
        <v>-10.909090909090914</v>
      </c>
      <c r="CR241" s="151">
        <f>INPUT!EO209</f>
        <v>744</v>
      </c>
      <c r="CS241" s="507">
        <f>INPUT!EP209</f>
        <v>52.147239263803691</v>
      </c>
      <c r="CT241" s="151">
        <f>INPUT!EQ209</f>
        <v>390.6</v>
      </c>
      <c r="CU241" s="507">
        <f>INPUT!ER209</f>
        <v>5.0000000000000044</v>
      </c>
      <c r="CV241" s="151">
        <f>INPUT!ES209</f>
        <v>449.40000000000003</v>
      </c>
      <c r="CW241" s="507">
        <f>INPUT!ET209</f>
        <v>5.0000000000000044</v>
      </c>
      <c r="CX241" s="151">
        <f>INPUT!EU209</f>
        <v>411.6</v>
      </c>
      <c r="CY241" s="507">
        <f>INPUT!EV209</f>
        <v>5.0000000000000044</v>
      </c>
      <c r="CZ241" s="151">
        <f>INPUT!EW209</f>
        <v>781.2</v>
      </c>
      <c r="DA241" s="507">
        <f>INPUT!EX209</f>
        <v>5.0000000000000044</v>
      </c>
      <c r="DB241" s="507"/>
      <c r="DC241" s="151">
        <f>INPUT!FP209</f>
        <v>346</v>
      </c>
      <c r="DD241" s="687" t="str">
        <f>INPUT!FQ209</f>
        <v>NA</v>
      </c>
      <c r="DE241" s="151">
        <f>INPUT!FR209</f>
        <v>500</v>
      </c>
      <c r="DF241" s="687">
        <f>INPUT!FS209</f>
        <v>44.50867052023122</v>
      </c>
      <c r="DG241" s="151">
        <f>INPUT!FT209</f>
        <v>696</v>
      </c>
      <c r="DH241" s="687">
        <f>INPUT!FU209</f>
        <v>39.199999999999989</v>
      </c>
      <c r="DI241" s="151">
        <f>INPUT!FV209</f>
        <v>928</v>
      </c>
      <c r="DJ241" s="687">
        <f>INPUT!FW209</f>
        <v>33.333333333333329</v>
      </c>
      <c r="DK241" s="151">
        <f>INPUT!FX209</f>
        <v>830</v>
      </c>
      <c r="DL241" s="507">
        <f>INPUT!FY209</f>
        <v>-10.56034482758621</v>
      </c>
      <c r="DM241" s="151">
        <f>INPUT!FZ209</f>
        <v>806</v>
      </c>
      <c r="DN241" s="507">
        <f>INPUT!GA209</f>
        <v>-2.8915662650602414</v>
      </c>
      <c r="DO241" s="151">
        <f>INPUT!GB209</f>
        <v>720</v>
      </c>
      <c r="DP241" s="507">
        <f>INPUT!GC209</f>
        <v>-10.669975186104219</v>
      </c>
      <c r="DQ241" s="151">
        <f>INPUT!GD209</f>
        <v>864</v>
      </c>
      <c r="DR241" s="507">
        <f>INPUT!GE209</f>
        <v>19.999999999999996</v>
      </c>
      <c r="DS241" s="151">
        <f>INPUT!GF209</f>
        <v>1249</v>
      </c>
      <c r="DT241" s="507">
        <f>INPUT!GG209</f>
        <v>44.560185185185183</v>
      </c>
      <c r="DU241" s="151">
        <f>INPUT!GH209</f>
        <v>1611</v>
      </c>
      <c r="DV241" s="507">
        <f>INPUT!GI209</f>
        <v>28.983186549239392</v>
      </c>
      <c r="DW241" s="151">
        <f>INPUT!GJ209</f>
        <v>1618</v>
      </c>
      <c r="DX241" s="507">
        <f>INPUT!GK209</f>
        <v>0.4345127250155123</v>
      </c>
      <c r="DY241" s="151">
        <f>INPUT!GL209</f>
        <v>1621</v>
      </c>
      <c r="DZ241" s="507">
        <f>INPUT!GM209</f>
        <v>0.18541409147094789</v>
      </c>
      <c r="EA241" s="151">
        <f>INPUT!GN209</f>
        <v>1936</v>
      </c>
      <c r="EB241" s="507">
        <f>INPUT!GO209</f>
        <v>19.432449105490445</v>
      </c>
      <c r="EC241" s="151">
        <f>INPUT!GP209</f>
        <v>2032.8</v>
      </c>
      <c r="ED241" s="507">
        <f>INPUT!GQ209</f>
        <v>5.0000000000000044</v>
      </c>
      <c r="EE241" s="151">
        <f>INPUT!GR209</f>
        <v>2154.768</v>
      </c>
      <c r="EF241" s="507">
        <f>INPUT!GS209</f>
        <v>6.0000000000000053</v>
      </c>
      <c r="EG241" s="151">
        <f>INPUT!GT209</f>
        <v>2284.0540800000003</v>
      </c>
      <c r="EH241" s="507">
        <f>INPUT!GU209</f>
        <v>6.0000000000000053</v>
      </c>
      <c r="EI241" s="151">
        <f>INPUT!GV209</f>
        <v>2421.0973248000005</v>
      </c>
      <c r="EJ241" s="507">
        <f>INPUT!GW209</f>
        <v>6.0000000000000053</v>
      </c>
      <c r="EK241" s="151">
        <f>INPUT!GX209</f>
        <v>2566.3631642880005</v>
      </c>
      <c r="EL241" s="507">
        <f>INPUT!GY209</f>
        <v>6.0000000000000053</v>
      </c>
      <c r="EM241" s="687">
        <f>INPUT!GZ209</f>
        <v>5.7992409826209457</v>
      </c>
    </row>
    <row r="242" spans="1:143" ht="12.75" hidden="1" customHeight="1" outlineLevel="1" x14ac:dyDescent="0.2">
      <c r="A242" s="701" t="str">
        <f>INPUT!B211</f>
        <v>Policyholder Assessments</v>
      </c>
      <c r="B242" s="151">
        <f>INPUT!AY211</f>
        <v>-44</v>
      </c>
      <c r="C242" s="507">
        <f>INPUT!AZ211</f>
        <v>4.7619047619047672</v>
      </c>
      <c r="D242" s="151">
        <f>INPUT!BA211</f>
        <v>-77</v>
      </c>
      <c r="E242" s="687">
        <f>INPUT!BB211</f>
        <v>83.333333333333329</v>
      </c>
      <c r="F242" s="151">
        <f>INPUT!BC211</f>
        <v>-76</v>
      </c>
      <c r="G242" s="687">
        <f>INPUT!BD211</f>
        <v>76.744186046511629</v>
      </c>
      <c r="H242" s="151">
        <f>INPUT!BE211</f>
        <v>-79</v>
      </c>
      <c r="I242" s="687">
        <f>INPUT!BF211</f>
        <v>79.545454545454547</v>
      </c>
      <c r="J242" s="151">
        <f>INPUT!BG211</f>
        <v>-79</v>
      </c>
      <c r="K242" s="687">
        <f>INPUT!BH211</f>
        <v>79.545454545454547</v>
      </c>
      <c r="L242" s="151">
        <f>INPUT!BI211</f>
        <v>-80</v>
      </c>
      <c r="M242" s="687">
        <f>INPUT!BJ211</f>
        <v>3.8961038961038863</v>
      </c>
      <c r="N242" s="151">
        <f>INPUT!BK211</f>
        <v>-89</v>
      </c>
      <c r="O242" s="687">
        <f>INPUT!BL211</f>
        <v>17.105263157894733</v>
      </c>
      <c r="P242" s="151">
        <f>INPUT!BM211</f>
        <v>-93</v>
      </c>
      <c r="Q242" s="687">
        <f>INPUT!BN211</f>
        <v>17.721518987341778</v>
      </c>
      <c r="R242" s="151">
        <f>INPUT!BO211</f>
        <v>-95</v>
      </c>
      <c r="S242" s="687">
        <f>INPUT!BP211</f>
        <v>20.253164556962023</v>
      </c>
      <c r="T242" s="151">
        <f>INPUT!BQ211</f>
        <v>-91</v>
      </c>
      <c r="U242" s="687">
        <f>INPUT!BR211</f>
        <v>13.749999999999996</v>
      </c>
      <c r="V242" s="151">
        <f>INPUT!BS211</f>
        <v>-92</v>
      </c>
      <c r="W242" s="687">
        <f>INPUT!BT211</f>
        <v>3.3707865168539408</v>
      </c>
      <c r="X242" s="151">
        <f>INPUT!BU211</f>
        <v>-92</v>
      </c>
      <c r="Y242" s="687">
        <f>INPUT!BV211</f>
        <v>-1.0752688172043001</v>
      </c>
      <c r="Z242" s="151">
        <f>INPUT!BW211</f>
        <v>-94</v>
      </c>
      <c r="AA242" s="687">
        <f>INPUT!BX211</f>
        <v>-1.0526315789473717</v>
      </c>
      <c r="AB242" s="151">
        <f>INPUT!BY211</f>
        <v>-88</v>
      </c>
      <c r="AC242" s="687">
        <f>INPUT!BZ211</f>
        <v>-3.2967032967032961</v>
      </c>
      <c r="AD242" s="151">
        <f>INPUT!CA211</f>
        <v>-91</v>
      </c>
      <c r="AE242" s="687">
        <f>INPUT!CB211</f>
        <v>-1.0869565217391353</v>
      </c>
      <c r="AF242" s="151">
        <f>INPUT!CC211</f>
        <v>-92</v>
      </c>
      <c r="AG242" s="687">
        <f>INPUT!CD211</f>
        <v>0</v>
      </c>
      <c r="AH242" s="151">
        <f>INPUT!CE211</f>
        <v>-90</v>
      </c>
      <c r="AI242" s="507">
        <f>INPUT!CF211</f>
        <v>-4.2553191489361648</v>
      </c>
      <c r="AJ242" s="151">
        <f>INPUT!CG211</f>
        <v>-89</v>
      </c>
      <c r="AK242" s="507">
        <f>INPUT!CH211</f>
        <v>1.1363636363636465</v>
      </c>
      <c r="AL242" s="151">
        <f>INPUT!CI211</f>
        <v>-90</v>
      </c>
      <c r="AM242" s="507">
        <f>INPUT!CJ211</f>
        <v>-1.098901098901095</v>
      </c>
      <c r="AN242" s="151">
        <f>INPUT!CK211</f>
        <v>-92</v>
      </c>
      <c r="AO242" s="507">
        <f>INPUT!CL211</f>
        <v>0</v>
      </c>
      <c r="AP242" s="151">
        <f>INPUT!CM211</f>
        <v>-92</v>
      </c>
      <c r="AQ242" s="507">
        <f>INPUT!CN211</f>
        <v>2.2222222222222143</v>
      </c>
      <c r="AR242" s="151">
        <f>INPUT!CO211</f>
        <v>-91</v>
      </c>
      <c r="AS242" s="507">
        <f>INPUT!CP211</f>
        <v>2.2471910112359605</v>
      </c>
      <c r="AT242" s="151">
        <f>INPUT!CQ211</f>
        <v>-93</v>
      </c>
      <c r="AU242" s="507">
        <f>INPUT!CR211</f>
        <v>3.3333333333333437</v>
      </c>
      <c r="AV242" s="151">
        <f>INPUT!CS211</f>
        <v>-93</v>
      </c>
      <c r="AW242" s="507">
        <f>INPUT!CT211</f>
        <v>1.0869565217391353</v>
      </c>
      <c r="AX242" s="151">
        <f>INPUT!CU211</f>
        <v>-95</v>
      </c>
      <c r="AY242" s="507">
        <f>INPUT!CV211</f>
        <v>3.2608695652173836</v>
      </c>
      <c r="AZ242" s="151">
        <f>INPUT!CW211</f>
        <v>-88</v>
      </c>
      <c r="BA242" s="507">
        <f>INPUT!CX211</f>
        <v>-3.2967032967032961</v>
      </c>
      <c r="BB242" s="151">
        <f>INPUT!CY211</f>
        <v>-104</v>
      </c>
      <c r="BC242" s="507">
        <f>INPUT!CZ211</f>
        <v>11.827956989247301</v>
      </c>
      <c r="BD242" s="151">
        <f>INPUT!DA211</f>
        <v>-126</v>
      </c>
      <c r="BE242" s="507">
        <f>INPUT!DB211</f>
        <v>35.483870967741929</v>
      </c>
      <c r="BF242" s="151">
        <f>INPUT!DC211</f>
        <v>-85</v>
      </c>
      <c r="BG242" s="507">
        <f>INPUT!DD211</f>
        <v>-10.526315789473683</v>
      </c>
      <c r="BH242" s="151">
        <f>INPUT!DE211</f>
        <v>-113</v>
      </c>
      <c r="BI242" s="507">
        <f>INPUT!DF211</f>
        <v>28.409090909090917</v>
      </c>
      <c r="BJ242" s="151">
        <f>INPUT!DG211</f>
        <v>-104</v>
      </c>
      <c r="BK242" s="507">
        <f>INPUT!DH211</f>
        <v>0</v>
      </c>
      <c r="BL242" s="151">
        <f>INPUT!DI211</f>
        <v>-119</v>
      </c>
      <c r="BM242" s="507">
        <f>INPUT!DJ211</f>
        <v>-5.555555555555558</v>
      </c>
      <c r="BN242" s="151">
        <f>INPUT!DK211</f>
        <v>-112</v>
      </c>
      <c r="BO242" s="507">
        <f>INPUT!DL211</f>
        <v>31.764705882352938</v>
      </c>
      <c r="BP242" s="151">
        <f>INPUT!DM211</f>
        <v>-118</v>
      </c>
      <c r="BQ242" s="507">
        <f>INPUT!DN211</f>
        <v>4.4247787610619538</v>
      </c>
      <c r="BR242" s="151">
        <f>INPUT!DO211</f>
        <v>-119</v>
      </c>
      <c r="BS242" s="507">
        <f>INPUT!DP211</f>
        <v>14.423076923076916</v>
      </c>
      <c r="BT242" s="151">
        <f>INPUT!DQ211</f>
        <v>-128</v>
      </c>
      <c r="BU242" s="507">
        <f>INPUT!DR211</f>
        <v>7.5630252100840289</v>
      </c>
      <c r="BV242" s="151">
        <f>INPUT!DS211</f>
        <v>-130</v>
      </c>
      <c r="BW242" s="507">
        <f>INPUT!DT211</f>
        <v>16.07142857142858</v>
      </c>
      <c r="BX242" s="151">
        <f>INPUT!DU211</f>
        <v>-127</v>
      </c>
      <c r="BY242" s="507">
        <f>INPUT!DV211</f>
        <v>7.6271186440677985</v>
      </c>
      <c r="BZ242" s="151">
        <f>INPUT!DW211</f>
        <v>-132</v>
      </c>
      <c r="CA242" s="507">
        <f>INPUT!DX211</f>
        <v>-132</v>
      </c>
      <c r="CB242" s="151">
        <f>INPUT!DY211</f>
        <v>-143</v>
      </c>
      <c r="CC242" s="507">
        <f>INPUT!DZ211</f>
        <v>11.71875</v>
      </c>
      <c r="CD242" s="151">
        <f>INPUT!EA211</f>
        <v>-135</v>
      </c>
      <c r="CE242" s="507">
        <f>INPUT!EB211</f>
        <v>3.8461538461538547</v>
      </c>
      <c r="CF242" s="151">
        <f>INPUT!EC211</f>
        <v>-143</v>
      </c>
      <c r="CG242" s="507">
        <f>INPUT!ED211</f>
        <v>12.598425196850393</v>
      </c>
      <c r="CH242" s="151">
        <f>INPUT!EE211</f>
        <v>-153</v>
      </c>
      <c r="CI242" s="507">
        <f>INPUT!EF211</f>
        <v>15.909090909090917</v>
      </c>
      <c r="CJ242" s="151">
        <f>INPUT!EG211</f>
        <v>-158</v>
      </c>
      <c r="CK242" s="507">
        <f>INPUT!EH211</f>
        <v>10.489510489510479</v>
      </c>
      <c r="CL242" s="151">
        <f>INPUT!EI211</f>
        <v>-152</v>
      </c>
      <c r="CM242" s="507">
        <f>INPUT!EJ211</f>
        <v>12.592592592592599</v>
      </c>
      <c r="CN242" s="151">
        <f>INPUT!EK211</f>
        <v>-165</v>
      </c>
      <c r="CO242" s="507">
        <f>INPUT!EL211</f>
        <v>15.384615384615374</v>
      </c>
      <c r="CP242" s="151">
        <f>INPUT!EM211</f>
        <v>-163</v>
      </c>
      <c r="CQ242" s="507">
        <f>INPUT!EN211</f>
        <v>6.5359477124182996</v>
      </c>
      <c r="CR242" s="151">
        <f>INPUT!EO211</f>
        <v>-174</v>
      </c>
      <c r="CS242" s="507">
        <f>INPUT!EP211</f>
        <v>10.126582278481022</v>
      </c>
      <c r="CT242" s="151">
        <f>INPUT!EQ211</f>
        <v>-155.04</v>
      </c>
      <c r="CU242" s="507">
        <f>INPUT!ER211</f>
        <v>2.0000000000000018</v>
      </c>
      <c r="CV242" s="151">
        <f>INPUT!ES211</f>
        <v>-168.3</v>
      </c>
      <c r="CW242" s="507">
        <f>INPUT!ET211</f>
        <v>2.0000000000000018</v>
      </c>
      <c r="CX242" s="151">
        <f>INPUT!EU211</f>
        <v>-166.26</v>
      </c>
      <c r="CY242" s="507">
        <f>INPUT!EV211</f>
        <v>2.0000000000000018</v>
      </c>
      <c r="CZ242" s="151">
        <f>INPUT!EW211</f>
        <v>-177.48</v>
      </c>
      <c r="DA242" s="507">
        <f>INPUT!EX211</f>
        <v>2.0000000000000018</v>
      </c>
      <c r="DB242" s="507"/>
      <c r="DC242" s="151">
        <f>INPUT!FP211</f>
        <v>-171</v>
      </c>
      <c r="DD242" s="687" t="str">
        <f>INPUT!FQ211</f>
        <v>NA</v>
      </c>
      <c r="DE242" s="151">
        <f>INPUT!FR211</f>
        <v>-276</v>
      </c>
      <c r="DF242" s="687">
        <f>INPUT!FS211</f>
        <v>61.403508771929815</v>
      </c>
      <c r="DG242" s="151">
        <f>INPUT!FT211</f>
        <v>-341</v>
      </c>
      <c r="DH242" s="687">
        <f>INPUT!FU211</f>
        <v>23.550724637681153</v>
      </c>
      <c r="DI242" s="151">
        <f>INPUT!FV211</f>
        <v>-370</v>
      </c>
      <c r="DJ242" s="687">
        <f>INPUT!FW211</f>
        <v>8.5043988269794646</v>
      </c>
      <c r="DK242" s="151">
        <f>INPUT!FX211</f>
        <v>-365</v>
      </c>
      <c r="DL242" s="507">
        <f>INPUT!FY211</f>
        <v>-1.3513513513513487</v>
      </c>
      <c r="DM242" s="151">
        <f>INPUT!FZ211</f>
        <v>-361</v>
      </c>
      <c r="DN242" s="507">
        <f>INPUT!GA211</f>
        <v>-1.0958904109588996</v>
      </c>
      <c r="DO242" s="151">
        <f>INPUT!GB211</f>
        <v>-369</v>
      </c>
      <c r="DP242" s="507">
        <f>INPUT!GC211</f>
        <v>2.2160664819944609</v>
      </c>
      <c r="DQ242" s="151">
        <f>INPUT!GD211</f>
        <v>-413</v>
      </c>
      <c r="DR242" s="507">
        <f>INPUT!GE211</f>
        <v>11.924119241192411</v>
      </c>
      <c r="DS242" s="151">
        <f>INPUT!GF211</f>
        <v>-421</v>
      </c>
      <c r="DT242" s="507">
        <f>INPUT!GG211</f>
        <v>1.937046004842613</v>
      </c>
      <c r="DU242" s="151">
        <f>INPUT!GH211</f>
        <v>-477</v>
      </c>
      <c r="DV242" s="507">
        <f>INPUT!GI211</f>
        <v>13.30166270783848</v>
      </c>
      <c r="DW242" s="151">
        <f>INPUT!GJ211</f>
        <v>-532</v>
      </c>
      <c r="DX242" s="507">
        <f>INPUT!GK211</f>
        <v>11.530398322851143</v>
      </c>
      <c r="DY242" s="151">
        <f>INPUT!GL211</f>
        <v>-589</v>
      </c>
      <c r="DZ242" s="507">
        <f>INPUT!GM211</f>
        <v>10.714285714285721</v>
      </c>
      <c r="EA242" s="151">
        <f>INPUT!GN211</f>
        <v>-654</v>
      </c>
      <c r="EB242" s="507">
        <f>INPUT!GO211</f>
        <v>11.035653650254673</v>
      </c>
      <c r="EC242" s="151">
        <f>INPUT!GP211</f>
        <v>-667.08</v>
      </c>
      <c r="ED242" s="507">
        <f>INPUT!GQ211</f>
        <v>2.0000000000000018</v>
      </c>
      <c r="EE242" s="151">
        <f>INPUT!GR211</f>
        <v>-680.42160000000001</v>
      </c>
      <c r="EF242" s="507">
        <f>INPUT!GS211</f>
        <v>2.0000000000000018</v>
      </c>
      <c r="EG242" s="151">
        <f>INPUT!GT211</f>
        <v>-694.03003200000001</v>
      </c>
      <c r="EH242" s="507">
        <f>INPUT!GU211</f>
        <v>2.0000000000000018</v>
      </c>
      <c r="EI242" s="151">
        <f>INPUT!GV211</f>
        <v>-707.91063264000002</v>
      </c>
      <c r="EJ242" s="507">
        <f>INPUT!GW211</f>
        <v>2.0000000000000018</v>
      </c>
      <c r="EK242" s="151">
        <f>INPUT!GX211</f>
        <v>-722.06884529280001</v>
      </c>
      <c r="EL242" s="507">
        <f>INPUT!GY211</f>
        <v>2.0000000000000018</v>
      </c>
      <c r="EM242" s="687">
        <f>INPUT!GZ211</f>
        <v>2.0000000000000018</v>
      </c>
    </row>
    <row r="243" spans="1:143" ht="12.75" hidden="1" customHeight="1" outlineLevel="1" x14ac:dyDescent="0.2">
      <c r="A243" s="701" t="str">
        <f>INPUT!B210</f>
        <v>Withdrawals/Deaths</v>
      </c>
      <c r="B243" s="151">
        <f>INPUT!AY210</f>
        <v>-49</v>
      </c>
      <c r="C243" s="507">
        <f>INPUT!AZ210</f>
        <v>11.363636363636353</v>
      </c>
      <c r="D243" s="151">
        <f>INPUT!BA210</f>
        <v>-158</v>
      </c>
      <c r="E243" s="687" t="str">
        <f>INPUT!BB210</f>
        <v>NM</v>
      </c>
      <c r="F243" s="151">
        <f>INPUT!BC210</f>
        <v>13</v>
      </c>
      <c r="G243" s="687" t="str">
        <f>INPUT!BD210</f>
        <v>NM</v>
      </c>
      <c r="H243" s="151">
        <f>INPUT!BE210</f>
        <v>-73</v>
      </c>
      <c r="I243" s="687" t="str">
        <f>INPUT!BF210</f>
        <v>NM</v>
      </c>
      <c r="J243" s="151">
        <f>INPUT!BG210</f>
        <v>-77</v>
      </c>
      <c r="K243" s="687">
        <f>INPUT!BH210</f>
        <v>57.142857142857139</v>
      </c>
      <c r="L243" s="151">
        <f>INPUT!BI210</f>
        <v>-109</v>
      </c>
      <c r="M243" s="687">
        <f>INPUT!BJ210</f>
        <v>-31.0126582278481</v>
      </c>
      <c r="N243" s="151">
        <f>INPUT!BK210</f>
        <v>-104</v>
      </c>
      <c r="O243" s="687" t="str">
        <f>INPUT!BL210</f>
        <v>NM</v>
      </c>
      <c r="P243" s="151">
        <f>INPUT!BM210</f>
        <v>-92</v>
      </c>
      <c r="Q243" s="687">
        <f>INPUT!BN210</f>
        <v>26.027397260273965</v>
      </c>
      <c r="R243" s="151">
        <f>INPUT!BO210</f>
        <v>-83</v>
      </c>
      <c r="S243" s="687">
        <f>INPUT!BP210</f>
        <v>7.7922077922077948</v>
      </c>
      <c r="T243" s="151">
        <f>INPUT!BQ210</f>
        <v>-108</v>
      </c>
      <c r="U243" s="687">
        <f>INPUT!BR210</f>
        <v>-0.91743119266054496</v>
      </c>
      <c r="V243" s="151">
        <f>INPUT!BS210</f>
        <v>-86</v>
      </c>
      <c r="W243" s="687">
        <f>INPUT!BT210</f>
        <v>-17.307692307692314</v>
      </c>
      <c r="X243" s="151">
        <f>INPUT!BU210</f>
        <v>-88</v>
      </c>
      <c r="Y243" s="687">
        <f>INPUT!BV210</f>
        <v>-4.3478260869565188</v>
      </c>
      <c r="Z243" s="151">
        <f>INPUT!BW210</f>
        <v>-143</v>
      </c>
      <c r="AA243" s="687">
        <f>INPUT!BX210</f>
        <v>72.289156626506042</v>
      </c>
      <c r="AB243" s="151">
        <f>INPUT!BY210</f>
        <v>-89</v>
      </c>
      <c r="AC243" s="687">
        <f>INPUT!BZ210</f>
        <v>-17.592592592592592</v>
      </c>
      <c r="AD243" s="151">
        <f>INPUT!CA210</f>
        <v>-95</v>
      </c>
      <c r="AE243" s="687">
        <f>INPUT!CB210</f>
        <v>10.465116279069765</v>
      </c>
      <c r="AF243" s="151">
        <f>INPUT!CC210</f>
        <v>-243</v>
      </c>
      <c r="AG243" s="687" t="str">
        <f>INPUT!CD210</f>
        <v>NM</v>
      </c>
      <c r="AH243" s="151">
        <f>INPUT!CE210</f>
        <v>-108</v>
      </c>
      <c r="AI243" s="507">
        <f>INPUT!CF210</f>
        <v>-24.47552447552448</v>
      </c>
      <c r="AJ243" s="151">
        <f>INPUT!CG210</f>
        <v>-99</v>
      </c>
      <c r="AK243" s="507">
        <f>INPUT!CH210</f>
        <v>11.23595505617978</v>
      </c>
      <c r="AL243" s="151">
        <f>INPUT!CI210</f>
        <v>-121</v>
      </c>
      <c r="AM243" s="507">
        <f>INPUT!CJ210</f>
        <v>27.368421052631575</v>
      </c>
      <c r="AN243" s="151">
        <f>INPUT!CK210</f>
        <v>-166</v>
      </c>
      <c r="AO243" s="507">
        <f>INPUT!CL210</f>
        <v>-31.68724279835391</v>
      </c>
      <c r="AP243" s="151">
        <f>INPUT!CM210</f>
        <v>-154</v>
      </c>
      <c r="AQ243" s="507">
        <f>INPUT!CN210</f>
        <v>42.592592592592581</v>
      </c>
      <c r="AR243" s="151">
        <f>INPUT!CO210</f>
        <v>-110</v>
      </c>
      <c r="AS243" s="507">
        <f>INPUT!CP210</f>
        <v>11.111111111111116</v>
      </c>
      <c r="AT243" s="151">
        <f>INPUT!CQ210</f>
        <v>-148</v>
      </c>
      <c r="AU243" s="507">
        <f>INPUT!CR210</f>
        <v>22.314049586776854</v>
      </c>
      <c r="AV243" s="151">
        <f>INPUT!CS210</f>
        <v>-207</v>
      </c>
      <c r="AW243" s="507">
        <f>INPUT!CT210</f>
        <v>24.69879518072289</v>
      </c>
      <c r="AX243" s="151">
        <f>INPUT!CU210</f>
        <v>-101</v>
      </c>
      <c r="AY243" s="507">
        <f>INPUT!CV210</f>
        <v>-34.415584415584412</v>
      </c>
      <c r="AZ243" s="151">
        <f>INPUT!CW210</f>
        <v>-93</v>
      </c>
      <c r="BA243" s="507">
        <f>INPUT!CX210</f>
        <v>-15.454545454545453</v>
      </c>
      <c r="BB243" s="151">
        <f>INPUT!CY210</f>
        <v>-84</v>
      </c>
      <c r="BC243" s="507">
        <f>INPUT!CZ210</f>
        <v>-43.243243243243242</v>
      </c>
      <c r="BD243" s="151">
        <f>INPUT!DA210</f>
        <v>-131</v>
      </c>
      <c r="BE243" s="507">
        <f>INPUT!DB210</f>
        <v>-36.714975845410628</v>
      </c>
      <c r="BF243" s="151">
        <f>INPUT!DC210</f>
        <v>-205</v>
      </c>
      <c r="BG243" s="507" t="str">
        <f>INPUT!DD210</f>
        <v>NM</v>
      </c>
      <c r="BH243" s="151">
        <f>INPUT!DE210</f>
        <v>-117</v>
      </c>
      <c r="BI243" s="507">
        <f>INPUT!DF210</f>
        <v>25.806451612903224</v>
      </c>
      <c r="BJ243" s="151">
        <f>INPUT!DG210</f>
        <v>-113</v>
      </c>
      <c r="BK243" s="507">
        <f>INPUT!DH210</f>
        <v>34.523809523809533</v>
      </c>
      <c r="BL243" s="151">
        <f>INPUT!DI210</f>
        <v>-125</v>
      </c>
      <c r="BM243" s="507">
        <f>INPUT!DJ210</f>
        <v>-4.5801526717557213</v>
      </c>
      <c r="BN243" s="151">
        <f>INPUT!DK210</f>
        <v>-145</v>
      </c>
      <c r="BO243" s="507">
        <f>INPUT!DL210</f>
        <v>-29.268292682926834</v>
      </c>
      <c r="BP243" s="151">
        <f>INPUT!DM210</f>
        <v>-136</v>
      </c>
      <c r="BQ243" s="507">
        <f>INPUT!DN210</f>
        <v>16.239316239316249</v>
      </c>
      <c r="BR243" s="151">
        <f>INPUT!DO210</f>
        <v>-92</v>
      </c>
      <c r="BS243" s="507">
        <f>INPUT!DP210</f>
        <v>-18.584070796460171</v>
      </c>
      <c r="BT243" s="151">
        <f>INPUT!DQ210</f>
        <v>-122</v>
      </c>
      <c r="BU243" s="507">
        <f>INPUT!DR210</f>
        <v>-2.4000000000000021</v>
      </c>
      <c r="BV243" s="151">
        <f>INPUT!DS210</f>
        <v>-124</v>
      </c>
      <c r="BW243" s="507">
        <f>INPUT!DT210</f>
        <v>-14.482758620689651</v>
      </c>
      <c r="BX243" s="151">
        <f>INPUT!DU210</f>
        <v>-116</v>
      </c>
      <c r="BY243" s="507">
        <f>INPUT!DV210</f>
        <v>-14.705882352941179</v>
      </c>
      <c r="BZ243" s="151">
        <f>INPUT!DW210</f>
        <v>-167</v>
      </c>
      <c r="CA243" s="507">
        <f>INPUT!DX210</f>
        <v>-167</v>
      </c>
      <c r="CB243" s="151">
        <f>INPUT!DY210</f>
        <v>-164</v>
      </c>
      <c r="CC243" s="507">
        <f>INPUT!DZ210</f>
        <v>34.426229508196712</v>
      </c>
      <c r="CD243" s="151">
        <f>INPUT!EA210</f>
        <v>-91</v>
      </c>
      <c r="CE243" s="507">
        <f>INPUT!EB210</f>
        <v>-26.612903225806448</v>
      </c>
      <c r="CF243" s="151">
        <f>INPUT!EC210</f>
        <v>-119</v>
      </c>
      <c r="CG243" s="507">
        <f>INPUT!ED210</f>
        <v>2.5862068965517349</v>
      </c>
      <c r="CH243" s="151">
        <f>INPUT!EE210</f>
        <v>-118</v>
      </c>
      <c r="CI243" s="507">
        <f>INPUT!EF210</f>
        <v>-29.341317365269461</v>
      </c>
      <c r="CJ243" s="151">
        <f>INPUT!EG210</f>
        <v>-198</v>
      </c>
      <c r="CK243" s="507">
        <f>INPUT!EH210</f>
        <v>20.731707317073166</v>
      </c>
      <c r="CL243" s="151">
        <f>INPUT!EI210</f>
        <v>-87</v>
      </c>
      <c r="CM243" s="507">
        <f>INPUT!EJ210</f>
        <v>-4.3956043956043906</v>
      </c>
      <c r="CN243" s="151">
        <f>INPUT!EK210</f>
        <v>-126</v>
      </c>
      <c r="CO243" s="507">
        <f>INPUT!EL210</f>
        <v>5.8823529411764719</v>
      </c>
      <c r="CP243" s="151">
        <f>INPUT!EM210</f>
        <v>-88</v>
      </c>
      <c r="CQ243" s="507">
        <f>INPUT!EN210</f>
        <v>-25.423728813559322</v>
      </c>
      <c r="CR243" s="151">
        <f>INPUT!EO210</f>
        <v>-172</v>
      </c>
      <c r="CS243" s="507">
        <f>INPUT!EP210</f>
        <v>-13.131313131313128</v>
      </c>
      <c r="CT243" s="151">
        <f>INPUT!EQ210</f>
        <v>-184.45122328894394</v>
      </c>
      <c r="CU243" s="507" t="str">
        <f>INPUT!ER210</f>
        <v>NM</v>
      </c>
      <c r="CV243" s="151">
        <f>INPUT!ES210</f>
        <v>-183.75419954225808</v>
      </c>
      <c r="CW243" s="507">
        <f>INPUT!ET210</f>
        <v>45.836666303379438</v>
      </c>
      <c r="CX243" s="151">
        <f>INPUT!EU210</f>
        <v>-187.33790903410954</v>
      </c>
      <c r="CY243" s="507" t="str">
        <f>INPUT!EV210</f>
        <v>NM</v>
      </c>
      <c r="CZ243" s="151">
        <f>INPUT!EW210</f>
        <v>-190.44229560865483</v>
      </c>
      <c r="DA243" s="507">
        <f>INPUT!EX210</f>
        <v>10.722264888752807</v>
      </c>
      <c r="DB243" s="507"/>
      <c r="DC243" s="151">
        <f>INPUT!FP210</f>
        <v>-162</v>
      </c>
      <c r="DD243" s="687" t="str">
        <f>INPUT!FQ210</f>
        <v>NA</v>
      </c>
      <c r="DE243" s="151">
        <f>INPUT!FR210</f>
        <v>-267</v>
      </c>
      <c r="DF243" s="687">
        <f>INPUT!FS210</f>
        <v>64.81481481481481</v>
      </c>
      <c r="DG243" s="151">
        <f>INPUT!FT210</f>
        <v>-382</v>
      </c>
      <c r="DH243" s="687">
        <f>INPUT!FU210</f>
        <v>43.071161048689135</v>
      </c>
      <c r="DI243" s="151">
        <f>INPUT!FV210</f>
        <v>-365</v>
      </c>
      <c r="DJ243" s="687">
        <f>INPUT!FW210</f>
        <v>-4.4502617801047144</v>
      </c>
      <c r="DK243" s="151">
        <f>INPUT!FX210</f>
        <v>-570</v>
      </c>
      <c r="DL243" s="507">
        <f>INPUT!FY210</f>
        <v>56.164383561643838</v>
      </c>
      <c r="DM243" s="151">
        <f>INPUT!FZ210</f>
        <v>-494</v>
      </c>
      <c r="DN243" s="507">
        <f>INPUT!GA210</f>
        <v>-13.33333333333333</v>
      </c>
      <c r="DO243" s="151">
        <f>INPUT!GB210</f>
        <v>-619</v>
      </c>
      <c r="DP243" s="507">
        <f>INPUT!GC210</f>
        <v>25.303643724696357</v>
      </c>
      <c r="DQ243" s="151">
        <f>INPUT!GD210</f>
        <v>-409</v>
      </c>
      <c r="DR243" s="507">
        <f>INPUT!GE210</f>
        <v>-33.925686591276246</v>
      </c>
      <c r="DS243" s="151">
        <f>INPUT!GF210</f>
        <v>-560</v>
      </c>
      <c r="DT243" s="507">
        <f>INPUT!GG210</f>
        <v>36.919315403422992</v>
      </c>
      <c r="DU243" s="151">
        <f>INPUT!GH210</f>
        <v>-495</v>
      </c>
      <c r="DV243" s="507">
        <f>INPUT!GI210</f>
        <v>-11.607142857142861</v>
      </c>
      <c r="DW243" s="151">
        <f>INPUT!GJ210</f>
        <v>-571</v>
      </c>
      <c r="DX243" s="507">
        <f>INPUT!GK210</f>
        <v>15.353535353535364</v>
      </c>
      <c r="DY243" s="151">
        <f>INPUT!GL210</f>
        <v>-526</v>
      </c>
      <c r="DZ243" s="507">
        <f>INPUT!GM210</f>
        <v>-7.8809106830122548</v>
      </c>
      <c r="EA243" s="151">
        <f>INPUT!GN210</f>
        <v>-473</v>
      </c>
      <c r="EB243" s="507">
        <f>INPUT!GO210</f>
        <v>-10.076045627376429</v>
      </c>
      <c r="EC243" s="151">
        <f>INPUT!GP210</f>
        <v>-745.98562747396636</v>
      </c>
      <c r="ED243" s="507">
        <f>INPUT!GQ210</f>
        <v>57.713663313734955</v>
      </c>
      <c r="EE243" s="151">
        <f>INPUT!GR210</f>
        <v>-802.06154488098412</v>
      </c>
      <c r="EF243" s="507">
        <f>INPUT!GS210</f>
        <v>7.5170238328720052</v>
      </c>
      <c r="EG243" s="151">
        <f>INPUT!GT210</f>
        <v>-838.2693883209671</v>
      </c>
      <c r="EH243" s="507">
        <f>INPUT!GU210</f>
        <v>4.5143472681208996</v>
      </c>
      <c r="EI243" s="151">
        <f>INPUT!GV210</f>
        <v>-878.7573077135844</v>
      </c>
      <c r="EJ243" s="507">
        <f>INPUT!GW210</f>
        <v>4.8299413001008595</v>
      </c>
      <c r="EK243" s="151">
        <f>INPUT!GX210</f>
        <v>-923.69791329722273</v>
      </c>
      <c r="EL243" s="507">
        <f>INPUT!GY210</f>
        <v>5.114108888672364</v>
      </c>
      <c r="EM243" s="687">
        <f>INPUT!GZ210</f>
        <v>14.323039989082487</v>
      </c>
    </row>
    <row r="244" spans="1:143" ht="12.75" hidden="1" customHeight="1" outlineLevel="1" x14ac:dyDescent="0.2">
      <c r="A244" s="701" t="str">
        <f>INPUT!B212</f>
        <v>Market Performance</v>
      </c>
      <c r="B244" s="153">
        <f>INPUT!AY212</f>
        <v>119</v>
      </c>
      <c r="C244" s="507" t="str">
        <f>INPUT!AZ212</f>
        <v>NM</v>
      </c>
      <c r="D244" s="153">
        <f>INPUT!BA212</f>
        <v>-68</v>
      </c>
      <c r="E244" s="687" t="str">
        <f>INPUT!BB212</f>
        <v>NM</v>
      </c>
      <c r="F244" s="153">
        <f>INPUT!BC212</f>
        <v>137</v>
      </c>
      <c r="G244" s="687">
        <f>INPUT!BD212</f>
        <v>33.009708737864088</v>
      </c>
      <c r="H244" s="153">
        <f>INPUT!BE212</f>
        <v>294</v>
      </c>
      <c r="I244" s="687" t="str">
        <f>INPUT!BF212</f>
        <v>NM</v>
      </c>
      <c r="J244" s="153">
        <f>INPUT!BG212</f>
        <v>95</v>
      </c>
      <c r="K244" s="687">
        <f>INPUT!BH212</f>
        <v>-20.168067226890752</v>
      </c>
      <c r="L244" s="153">
        <f>INPUT!BI212</f>
        <v>299</v>
      </c>
      <c r="M244" s="687" t="str">
        <f>INPUT!BJ212</f>
        <v>NM</v>
      </c>
      <c r="N244" s="153">
        <f>INPUT!BK212</f>
        <v>163</v>
      </c>
      <c r="O244" s="687">
        <f>INPUT!BL212</f>
        <v>18.978102189781019</v>
      </c>
      <c r="P244" s="153">
        <f>INPUT!BM212</f>
        <v>-96</v>
      </c>
      <c r="Q244" s="687" t="str">
        <f>INPUT!BN212</f>
        <v>NM</v>
      </c>
      <c r="R244" s="153">
        <f>INPUT!BO212</f>
        <v>-486</v>
      </c>
      <c r="S244" s="687" t="str">
        <f>INPUT!BP212</f>
        <v>NM</v>
      </c>
      <c r="T244" s="153">
        <f>INPUT!BQ212</f>
        <v>-9</v>
      </c>
      <c r="U244" s="687" t="str">
        <f>INPUT!BR212</f>
        <v>NM</v>
      </c>
      <c r="V244" s="153">
        <f>INPUT!BS212</f>
        <v>-596</v>
      </c>
      <c r="W244" s="687" t="str">
        <f>INPUT!BT212</f>
        <v>NM</v>
      </c>
      <c r="X244" s="153">
        <f>INPUT!BU212</f>
        <v>-891</v>
      </c>
      <c r="Y244" s="687" t="str">
        <f>INPUT!BV212</f>
        <v>NM</v>
      </c>
      <c r="Z244" s="153">
        <f>INPUT!BW212</f>
        <v>-265</v>
      </c>
      <c r="AA244" s="687">
        <f>INPUT!BX212</f>
        <v>-45.47325102880658</v>
      </c>
      <c r="AB244" s="153">
        <f>INPUT!BY212</f>
        <v>567</v>
      </c>
      <c r="AC244" s="687" t="str">
        <f>INPUT!BZ212</f>
        <v>NM</v>
      </c>
      <c r="AD244" s="153">
        <f>INPUT!CA212</f>
        <v>626</v>
      </c>
      <c r="AE244" s="687" t="str">
        <f>INPUT!CB212</f>
        <v>NM</v>
      </c>
      <c r="AF244" s="153">
        <f>INPUT!CC212</f>
        <v>213</v>
      </c>
      <c r="AG244" s="687" t="str">
        <f>INPUT!CD212</f>
        <v>NM</v>
      </c>
      <c r="AH244" s="153">
        <f>INPUT!CE212</f>
        <v>211</v>
      </c>
      <c r="AI244" s="507" t="str">
        <f>INPUT!CF212</f>
        <v>NM</v>
      </c>
      <c r="AJ244" s="153">
        <f>INPUT!CG212</f>
        <v>-404</v>
      </c>
      <c r="AK244" s="507" t="str">
        <f>INPUT!CH212</f>
        <v>NM</v>
      </c>
      <c r="AL244" s="153">
        <f>INPUT!CI212</f>
        <v>499</v>
      </c>
      <c r="AM244" s="507">
        <f>INPUT!CJ212</f>
        <v>-20.287539936102238</v>
      </c>
      <c r="AN244" s="153">
        <f>INPUT!CK212</f>
        <v>418</v>
      </c>
      <c r="AO244" s="507">
        <f>INPUT!CL212</f>
        <v>96.244131455399057</v>
      </c>
      <c r="AP244" s="153">
        <f>INPUT!CM212</f>
        <v>270</v>
      </c>
      <c r="AQ244" s="507">
        <f>INPUT!CN212</f>
        <v>27.96208530805686</v>
      </c>
      <c r="AR244" s="153">
        <f>INPUT!CO212</f>
        <v>39</v>
      </c>
      <c r="AS244" s="507" t="str">
        <f>INPUT!CP212</f>
        <v>NM</v>
      </c>
      <c r="AT244" s="153">
        <f>INPUT!CQ212</f>
        <v>-719</v>
      </c>
      <c r="AU244" s="507" t="str">
        <f>INPUT!CR212</f>
        <v>NM</v>
      </c>
      <c r="AV244" s="153">
        <f>INPUT!CS212</f>
        <v>403</v>
      </c>
      <c r="AW244" s="507">
        <f>INPUT!CT212</f>
        <v>-3.5885167464114853</v>
      </c>
      <c r="AX244" s="153">
        <f>INPUT!CU212</f>
        <v>543</v>
      </c>
      <c r="AY244" s="507" t="str">
        <f>INPUT!CV212</f>
        <v>NM</v>
      </c>
      <c r="AZ244" s="153">
        <f>INPUT!CW212</f>
        <v>-163</v>
      </c>
      <c r="BA244" s="507" t="str">
        <f>INPUT!CX212</f>
        <v>NM</v>
      </c>
      <c r="BB244" s="153">
        <f>INPUT!CY212</f>
        <v>310</v>
      </c>
      <c r="BC244" s="507" t="str">
        <f>INPUT!CZ212</f>
        <v>NM</v>
      </c>
      <c r="BD244" s="153">
        <f>INPUT!DA212</f>
        <v>104</v>
      </c>
      <c r="BE244" s="507" t="str">
        <f>INPUT!DB212</f>
        <v>NM</v>
      </c>
      <c r="BF244" s="153">
        <f>INPUT!DC212</f>
        <v>384</v>
      </c>
      <c r="BG244" s="507">
        <f>INPUT!DD212</f>
        <v>-29.281767955801108</v>
      </c>
      <c r="BH244" s="153">
        <f>INPUT!DE212</f>
        <v>56</v>
      </c>
      <c r="BI244" s="507" t="str">
        <f>INPUT!DF212</f>
        <v>NM</v>
      </c>
      <c r="BJ244" s="153">
        <f>INPUT!DG212</f>
        <v>406</v>
      </c>
      <c r="BK244" s="507">
        <f>INPUT!DH212</f>
        <v>30.967741935483861</v>
      </c>
      <c r="BL244" s="153">
        <f>INPUT!DI212</f>
        <v>457</v>
      </c>
      <c r="BM244" s="507" t="str">
        <f>INPUT!DJ212</f>
        <v>NM</v>
      </c>
      <c r="BN244" s="153">
        <f>INPUT!DK212</f>
        <v>120</v>
      </c>
      <c r="BO244" s="507" t="str">
        <f>INPUT!DL212</f>
        <v>NM</v>
      </c>
      <c r="BP244" s="153">
        <f>INPUT!DM212</f>
        <v>324</v>
      </c>
      <c r="BQ244" s="507" t="str">
        <f>INPUT!DN212</f>
        <v>NM</v>
      </c>
      <c r="BR244" s="153">
        <f>INPUT!DO212</f>
        <v>-128</v>
      </c>
      <c r="BS244" s="507" t="str">
        <f>INPUT!DP212</f>
        <v>NM</v>
      </c>
      <c r="BT244" s="153">
        <f>INPUT!DQ212</f>
        <v>214</v>
      </c>
      <c r="BU244" s="507" t="str">
        <f>INPUT!DR212</f>
        <v>NM</v>
      </c>
      <c r="BV244" s="153">
        <f>INPUT!DS212</f>
        <v>236</v>
      </c>
      <c r="BW244" s="507">
        <f>INPUT!DT212</f>
        <v>96.666666666666657</v>
      </c>
      <c r="BX244" s="153">
        <f>INPUT!DU212</f>
        <v>-6</v>
      </c>
      <c r="BY244" s="507" t="str">
        <f>INPUT!DV212</f>
        <v>NM</v>
      </c>
      <c r="BZ244" s="153">
        <f>INPUT!DW212</f>
        <v>-642</v>
      </c>
      <c r="CA244" s="507">
        <f>INPUT!DX212</f>
        <v>-642</v>
      </c>
      <c r="CB244" s="153">
        <f>INPUT!DY212</f>
        <v>330</v>
      </c>
      <c r="CC244" s="507">
        <f>INPUT!DZ212</f>
        <v>54.205607476635521</v>
      </c>
      <c r="CD244" s="153">
        <f>INPUT!EA212</f>
        <v>67</v>
      </c>
      <c r="CE244" s="507" t="str">
        <f>INPUT!EB212</f>
        <v>NM</v>
      </c>
      <c r="CF244" s="153">
        <f>INPUT!EC212</f>
        <v>205</v>
      </c>
      <c r="CG244" s="507" t="str">
        <f>INPUT!ED212</f>
        <v>NM</v>
      </c>
      <c r="CH244" s="153">
        <f>INPUT!EE212</f>
        <v>422</v>
      </c>
      <c r="CI244" s="507" t="str">
        <f>INPUT!EF212</f>
        <v>NM</v>
      </c>
      <c r="CJ244" s="153">
        <f>INPUT!EG212</f>
        <v>162</v>
      </c>
      <c r="CK244" s="507" t="str">
        <f>INPUT!EH212</f>
        <v>NM</v>
      </c>
      <c r="CL244" s="153">
        <f>INPUT!EI212</f>
        <v>581</v>
      </c>
      <c r="CM244" s="507" t="str">
        <f>INPUT!EJ212</f>
        <v>NM</v>
      </c>
      <c r="CN244" s="153">
        <f>INPUT!EK212</f>
        <v>387</v>
      </c>
      <c r="CO244" s="507">
        <f>INPUT!EL212</f>
        <v>88.780487804878035</v>
      </c>
      <c r="CP244" s="153">
        <f>INPUT!EM212</f>
        <v>479</v>
      </c>
      <c r="CQ244" s="507">
        <f>INPUT!EN212</f>
        <v>13.507109004739327</v>
      </c>
      <c r="CR244" s="153">
        <f>INPUT!EO212</f>
        <v>537</v>
      </c>
      <c r="CS244" s="507" t="str">
        <f>INPUT!EP212</f>
        <v>NM</v>
      </c>
      <c r="CT244" s="153">
        <f>INPUT!EQ212</f>
        <v>-103.45039713079262</v>
      </c>
      <c r="CU244" s="507" t="str">
        <f>INPUT!ER212</f>
        <v>NM</v>
      </c>
      <c r="CV244" s="153">
        <f>INPUT!ES212</f>
        <v>171.76577975594034</v>
      </c>
      <c r="CW244" s="507" t="str">
        <f>INPUT!ET212</f>
        <v>NM</v>
      </c>
      <c r="CX244" s="153">
        <f>INPUT!EU212</f>
        <v>175.11568227147478</v>
      </c>
      <c r="CY244" s="507" t="str">
        <f>INPUT!EV212</f>
        <v>NM</v>
      </c>
      <c r="CZ244" s="153">
        <f>INPUT!EW212</f>
        <v>178.01753366844392</v>
      </c>
      <c r="DA244" s="507" t="str">
        <f>INPUT!EX212</f>
        <v>NM</v>
      </c>
      <c r="DB244" s="507"/>
      <c r="DC244" s="153">
        <f>INPUT!FP212</f>
        <v>200</v>
      </c>
      <c r="DD244" s="687" t="str">
        <f>INPUT!FQ212</f>
        <v>NA</v>
      </c>
      <c r="DE244" s="153">
        <f>INPUT!FR212</f>
        <v>482</v>
      </c>
      <c r="DF244" s="687" t="str">
        <f>INPUT!FS212</f>
        <v>NM</v>
      </c>
      <c r="DG244" s="153">
        <f>INPUT!FT212</f>
        <v>461</v>
      </c>
      <c r="DH244" s="687">
        <f>INPUT!FU212</f>
        <v>-4.3568464730290408</v>
      </c>
      <c r="DI244" s="153">
        <f>INPUT!FV212</f>
        <v>-1982</v>
      </c>
      <c r="DJ244" s="687" t="str">
        <f>INPUT!FW212</f>
        <v>NM</v>
      </c>
      <c r="DK244" s="153">
        <f>INPUT!FX212</f>
        <v>1141</v>
      </c>
      <c r="DL244" s="507" t="str">
        <f>INPUT!FY212</f>
        <v>NM</v>
      </c>
      <c r="DM244" s="153">
        <f>INPUT!FZ212</f>
        <v>724</v>
      </c>
      <c r="DN244" s="507">
        <f>INPUT!GA212</f>
        <v>-36.546888694127958</v>
      </c>
      <c r="DO244" s="153">
        <f>INPUT!GB212</f>
        <v>-7</v>
      </c>
      <c r="DP244" s="507" t="str">
        <f>INPUT!GC212</f>
        <v>NM</v>
      </c>
      <c r="DQ244" s="153">
        <f>INPUT!GD212</f>
        <v>794</v>
      </c>
      <c r="DR244" s="507" t="str">
        <f>INPUT!GE212</f>
        <v>NM</v>
      </c>
      <c r="DS244" s="153">
        <f>INPUT!GF212</f>
        <v>1303</v>
      </c>
      <c r="DT244" s="507">
        <f>INPUT!GG212</f>
        <v>64.105793450881606</v>
      </c>
      <c r="DU244" s="153">
        <f>INPUT!GH212</f>
        <v>530</v>
      </c>
      <c r="DV244" s="507" t="str">
        <f>INPUT!GI212</f>
        <v>NM</v>
      </c>
      <c r="DW244" s="153">
        <f>INPUT!GJ212</f>
        <v>-82</v>
      </c>
      <c r="DX244" s="507" t="str">
        <f>INPUT!GK212</f>
        <v>NM</v>
      </c>
      <c r="DY244" s="153">
        <f>INPUT!GL212</f>
        <v>856</v>
      </c>
      <c r="DZ244" s="507" t="str">
        <f>INPUT!GM212</f>
        <v>NM</v>
      </c>
      <c r="EA244" s="153">
        <f>INPUT!GN212</f>
        <v>1984</v>
      </c>
      <c r="EB244" s="507" t="str">
        <f>INPUT!GO212</f>
        <v>NM</v>
      </c>
      <c r="EC244" s="153">
        <f>INPUT!GP212</f>
        <v>421.44859856506639</v>
      </c>
      <c r="ED244" s="507" t="str">
        <f>INPUT!GQ212</f>
        <v>NM</v>
      </c>
      <c r="EE244" s="153">
        <f>INPUT!GR212</f>
        <v>0</v>
      </c>
      <c r="EF244" s="507" t="str">
        <f>INPUT!GS212</f>
        <v>NM</v>
      </c>
      <c r="EG244" s="153">
        <f>INPUT!GT212</f>
        <v>0</v>
      </c>
      <c r="EH244" s="507" t="str">
        <f>INPUT!GU212</f>
        <v>NA</v>
      </c>
      <c r="EI244" s="153">
        <f>INPUT!GV212</f>
        <v>0</v>
      </c>
      <c r="EJ244" s="507" t="str">
        <f>INPUT!GW212</f>
        <v>NA</v>
      </c>
      <c r="EK244" s="153">
        <f>INPUT!GX212</f>
        <v>0</v>
      </c>
      <c r="EL244" s="507" t="str">
        <f>INPUT!GY212</f>
        <v>NA</v>
      </c>
      <c r="EM244" s="687" t="str">
        <f>INPUT!GZ212</f>
        <v>NM</v>
      </c>
    </row>
    <row r="245" spans="1:143" ht="12.75" hidden="1" customHeight="1" outlineLevel="1" x14ac:dyDescent="0.2">
      <c r="A245" s="701" t="str">
        <f>INPUT!B214</f>
        <v>Ending VUL Reserves (Gross)</v>
      </c>
      <c r="B245" s="151">
        <f>INPUT!AY214</f>
        <v>2354.5</v>
      </c>
      <c r="C245" s="507">
        <f>INPUT!AZ214</f>
        <v>17.578027465667923</v>
      </c>
      <c r="D245" s="151">
        <f>INPUT!BA214</f>
        <v>4193.5</v>
      </c>
      <c r="E245" s="687" t="str">
        <f>INPUT!BB214</f>
        <v>NM</v>
      </c>
      <c r="F245" s="151">
        <f>INPUT!BC214</f>
        <v>4304.5</v>
      </c>
      <c r="G245" s="687">
        <f>INPUT!BD214</f>
        <v>99.883909914093323</v>
      </c>
      <c r="H245" s="151">
        <f>INPUT!BE214</f>
        <v>4599.5</v>
      </c>
      <c r="I245" s="687" t="str">
        <f>INPUT!BF214</f>
        <v>NM</v>
      </c>
      <c r="J245" s="151">
        <f>INPUT!BG214</f>
        <v>5702</v>
      </c>
      <c r="K245" s="687" t="str">
        <f>INPUT!BH214</f>
        <v>NM</v>
      </c>
      <c r="L245" s="151">
        <f>INPUT!BI214</f>
        <v>5954</v>
      </c>
      <c r="M245" s="687">
        <f>INPUT!BJ214</f>
        <v>41.981638249672116</v>
      </c>
      <c r="N245" s="151">
        <f>INPUT!BK214</f>
        <v>6104</v>
      </c>
      <c r="O245" s="687">
        <f>INPUT!BL214</f>
        <v>41.805087698919728</v>
      </c>
      <c r="P245" s="151">
        <f>INPUT!BM214</f>
        <v>6040</v>
      </c>
      <c r="Q245" s="687">
        <f>INPUT!BN214</f>
        <v>31.318621589303184</v>
      </c>
      <c r="R245" s="151">
        <f>INPUT!BO214</f>
        <v>5615</v>
      </c>
      <c r="S245" s="687">
        <f>INPUT!BP214</f>
        <v>-1.5257804279200315</v>
      </c>
      <c r="T245" s="151">
        <f>INPUT!BQ214</f>
        <v>5623</v>
      </c>
      <c r="U245" s="687">
        <f>INPUT!BR214</f>
        <v>-5.5592878736983486</v>
      </c>
      <c r="V245" s="151">
        <f>INPUT!BS214</f>
        <v>5056</v>
      </c>
      <c r="W245" s="687">
        <f>INPUT!BT214</f>
        <v>-17.169069462647446</v>
      </c>
      <c r="X245" s="151">
        <f>INPUT!BU214</f>
        <v>4251</v>
      </c>
      <c r="Y245" s="687">
        <f>INPUT!BV214</f>
        <v>-29.619205298013242</v>
      </c>
      <c r="Z245" s="151">
        <f>INPUT!BW214</f>
        <v>3992</v>
      </c>
      <c r="AA245" s="687">
        <f>INPUT!BX214</f>
        <v>-28.904719501335705</v>
      </c>
      <c r="AB245" s="151">
        <f>INPUT!BY214</f>
        <v>4562</v>
      </c>
      <c r="AC245" s="687">
        <f>INPUT!BZ214</f>
        <v>-18.868931175529081</v>
      </c>
      <c r="AD245" s="151">
        <f>INPUT!CA214</f>
        <v>5176</v>
      </c>
      <c r="AE245" s="687">
        <f>INPUT!CB214</f>
        <v>2.3734177215189778</v>
      </c>
      <c r="AF245" s="151">
        <f>INPUT!CC214</f>
        <v>5287</v>
      </c>
      <c r="AG245" s="687">
        <f>INPUT!CD214</f>
        <v>24.370736297341811</v>
      </c>
      <c r="AH245" s="151">
        <f>INPUT!CE214</f>
        <v>5467</v>
      </c>
      <c r="AI245" s="507">
        <f>INPUT!CF214</f>
        <v>36.948897795591186</v>
      </c>
      <c r="AJ245" s="151">
        <f>INPUT!CG214</f>
        <v>5027</v>
      </c>
      <c r="AK245" s="507">
        <f>INPUT!CH214</f>
        <v>10.192897851819382</v>
      </c>
      <c r="AL245" s="151">
        <f>INPUT!CI214</f>
        <v>5562</v>
      </c>
      <c r="AM245" s="507">
        <f>INPUT!CJ214</f>
        <v>7.4574961360123648</v>
      </c>
      <c r="AN245" s="151">
        <f>INPUT!CK214</f>
        <v>5962</v>
      </c>
      <c r="AO245" s="507">
        <f>INPUT!CL214</f>
        <v>12.767164743710978</v>
      </c>
      <c r="AP245" s="151">
        <f>INPUT!CM214</f>
        <v>6171</v>
      </c>
      <c r="AQ245" s="507">
        <f>INPUT!CN214</f>
        <v>12.877263581488929</v>
      </c>
      <c r="AR245" s="151">
        <f>INPUT!CO214</f>
        <v>6157</v>
      </c>
      <c r="AS245" s="507">
        <f>INPUT!CP214</f>
        <v>22.478615476427287</v>
      </c>
      <c r="AT245" s="151">
        <f>INPUT!CQ214</f>
        <v>5375</v>
      </c>
      <c r="AU245" s="507">
        <f>INPUT!CR214</f>
        <v>-3.3620999640417093</v>
      </c>
      <c r="AV245" s="151">
        <f>INPUT!CS214</f>
        <v>5687</v>
      </c>
      <c r="AW245" s="507">
        <f>INPUT!CT214</f>
        <v>-4.6125461254612592</v>
      </c>
      <c r="AX245" s="151">
        <f>INPUT!CU214</f>
        <v>6202</v>
      </c>
      <c r="AY245" s="507">
        <f>INPUT!CV214</f>
        <v>0.50234970021065806</v>
      </c>
      <c r="AZ245" s="151">
        <f>INPUT!CW214</f>
        <v>6005</v>
      </c>
      <c r="BA245" s="507">
        <f>INPUT!CX214</f>
        <v>-2.4687347734286158</v>
      </c>
      <c r="BB245" s="151">
        <f>INPUT!CY214</f>
        <v>6262</v>
      </c>
      <c r="BC245" s="507">
        <f>INPUT!CZ214</f>
        <v>16.50232558139535</v>
      </c>
      <c r="BD245" s="151">
        <f>INPUT!DA214</f>
        <v>6523</v>
      </c>
      <c r="BE245" s="507">
        <f>INPUT!DB214</f>
        <v>14.700193423597675</v>
      </c>
      <c r="BF245" s="151">
        <f>INPUT!DC214</f>
        <v>6859</v>
      </c>
      <c r="BG245" s="507">
        <f>INPUT!DD214</f>
        <v>10.593356981618829</v>
      </c>
      <c r="BH245" s="151">
        <f>INPUT!DE214</f>
        <v>6972</v>
      </c>
      <c r="BI245" s="507">
        <f>INPUT!DF214</f>
        <v>16.10324729392174</v>
      </c>
      <c r="BJ245" s="151">
        <f>INPUT!DG214</f>
        <v>7453</v>
      </c>
      <c r="BK245" s="507">
        <f>INPUT!DH214</f>
        <v>19.019482593420634</v>
      </c>
      <c r="BL245" s="151">
        <f>INPUT!DI214</f>
        <v>8094</v>
      </c>
      <c r="BM245" s="507">
        <f>INPUT!DJ214</f>
        <v>24.084010424651225</v>
      </c>
      <c r="BN245" s="151">
        <f>INPUT!DK214</f>
        <v>8354</v>
      </c>
      <c r="BO245" s="507">
        <f>INPUT!DL214</f>
        <v>21.796180201195515</v>
      </c>
      <c r="BP245" s="151">
        <f>INPUT!DM214</f>
        <v>8842</v>
      </c>
      <c r="BQ245" s="507">
        <f>INPUT!DN214</f>
        <v>26.821572002294893</v>
      </c>
      <c r="BR245" s="151">
        <f>INPUT!DO214</f>
        <v>8854</v>
      </c>
      <c r="BS245" s="507">
        <f>INPUT!DP214</f>
        <v>18.797799543807869</v>
      </c>
      <c r="BT245" s="151">
        <f>INPUT!DQ214</f>
        <v>9263</v>
      </c>
      <c r="BU245" s="507">
        <f>INPUT!DR214</f>
        <v>14.442797133679264</v>
      </c>
      <c r="BV245" s="151">
        <f>INPUT!DS214</f>
        <v>9635</v>
      </c>
      <c r="BW245" s="507">
        <f>INPUT!DT214</f>
        <v>15.33397175005986</v>
      </c>
      <c r="BX245" s="151">
        <f>INPUT!DU214</f>
        <v>9766</v>
      </c>
      <c r="BY245" s="507">
        <f>INPUT!DV214</f>
        <v>10.450124406242933</v>
      </c>
      <c r="BZ245" s="151">
        <f>INPUT!DW214</f>
        <v>9213</v>
      </c>
      <c r="CA245" s="507">
        <f>INPUT!DX214</f>
        <v>-542.54987559375706</v>
      </c>
      <c r="CB245" s="151">
        <f>INPUT!DY214</f>
        <v>9696</v>
      </c>
      <c r="CC245" s="507">
        <f>INPUT!DZ214</f>
        <v>4.6745114973550717</v>
      </c>
      <c r="CD245" s="151">
        <f>INPUT!EA214</f>
        <v>9830</v>
      </c>
      <c r="CE245" s="507">
        <f>INPUT!EB214</f>
        <v>2.0238713025428234</v>
      </c>
      <c r="CF245" s="151">
        <f>INPUT!EC214</f>
        <v>10172</v>
      </c>
      <c r="CG245" s="507">
        <f>INPUT!ED214</f>
        <v>4.1572803604341679</v>
      </c>
      <c r="CH245" s="151">
        <f>INPUT!EE214</f>
        <v>10763</v>
      </c>
      <c r="CI245" s="507">
        <f>INPUT!EF214</f>
        <v>16.824052968631275</v>
      </c>
      <c r="CJ245" s="151">
        <f>INPUT!EG214</f>
        <v>11058</v>
      </c>
      <c r="CK245" s="507">
        <f>INPUT!EH214</f>
        <v>14.047029702970292</v>
      </c>
      <c r="CL245" s="151">
        <f>INPUT!EI214</f>
        <v>11772</v>
      </c>
      <c r="CM245" s="507">
        <f>INPUT!EJ214</f>
        <v>19.755849440488294</v>
      </c>
      <c r="CN245" s="151">
        <f>INPUT!EK214</f>
        <v>12296</v>
      </c>
      <c r="CO245" s="507">
        <f>INPUT!EL214</f>
        <v>20.880849390483689</v>
      </c>
      <c r="CP245" s="151">
        <f>INPUT!EM214</f>
        <v>12916</v>
      </c>
      <c r="CQ245" s="507">
        <f>INPUT!EN214</f>
        <v>20.003716435937946</v>
      </c>
      <c r="CR245" s="151">
        <f>INPUT!EO214</f>
        <v>13851</v>
      </c>
      <c r="CS245" s="507">
        <f>INPUT!EP214</f>
        <v>25.257731958762886</v>
      </c>
      <c r="CT245" s="151">
        <f>INPUT!EQ214</f>
        <v>13798.658379580263</v>
      </c>
      <c r="CU245" s="507">
        <f>INPUT!ER214</f>
        <v>17.21592235457241</v>
      </c>
      <c r="CV245" s="151">
        <f>INPUT!ES214</f>
        <v>14067.769959793946</v>
      </c>
      <c r="CW245" s="507">
        <f>INPUT!ET214</f>
        <v>14.409319777114082</v>
      </c>
      <c r="CX245" s="151">
        <f>INPUT!EU214</f>
        <v>14300.887733031312</v>
      </c>
      <c r="CY245" s="507">
        <f>INPUT!EV214</f>
        <v>10.722264888752807</v>
      </c>
      <c r="CZ245" s="151">
        <f>INPUT!EW214</f>
        <v>14892.182971091101</v>
      </c>
      <c r="DA245" s="507">
        <f>INPUT!EX214</f>
        <v>7.5170238328720052</v>
      </c>
      <c r="DB245" s="507"/>
      <c r="DC245" s="151">
        <f>INPUT!FP214</f>
        <v>2241</v>
      </c>
      <c r="DD245" s="687" t="str">
        <f>INPUT!FQ214</f>
        <v>NA</v>
      </c>
      <c r="DE245" s="151">
        <f>INPUT!FR214</f>
        <v>4599</v>
      </c>
      <c r="DF245" s="687" t="str">
        <f>INPUT!FS214</f>
        <v>NM</v>
      </c>
      <c r="DG245" s="151">
        <f>INPUT!FT214</f>
        <v>6040</v>
      </c>
      <c r="DH245" s="687">
        <f>INPUT!FU214</f>
        <v>31.332898456186122</v>
      </c>
      <c r="DI245" s="151">
        <f>INPUT!FV214</f>
        <v>4251</v>
      </c>
      <c r="DJ245" s="687">
        <f>INPUT!FW214</f>
        <v>-29.619205298013242</v>
      </c>
      <c r="DK245" s="151">
        <f>INPUT!FX214</f>
        <v>5287</v>
      </c>
      <c r="DL245" s="507">
        <f>INPUT!FY214</f>
        <v>24.370736297341811</v>
      </c>
      <c r="DM245" s="151">
        <f>INPUT!FZ214</f>
        <v>5962</v>
      </c>
      <c r="DN245" s="507">
        <f>INPUT!GA214</f>
        <v>12.767164743710978</v>
      </c>
      <c r="DO245" s="151">
        <f>INPUT!GB214</f>
        <v>5687</v>
      </c>
      <c r="DP245" s="507">
        <f>INPUT!GC214</f>
        <v>-4.6125461254612592</v>
      </c>
      <c r="DQ245" s="151">
        <f>INPUT!GD214</f>
        <v>6523</v>
      </c>
      <c r="DR245" s="507">
        <f>INPUT!GE214</f>
        <v>14.700193423597675</v>
      </c>
      <c r="DS245" s="151">
        <f>INPUT!GF214</f>
        <v>8094</v>
      </c>
      <c r="DT245" s="507">
        <f>INPUT!GG214</f>
        <v>24.084010424651225</v>
      </c>
      <c r="DU245" s="151">
        <f>INPUT!GH214</f>
        <v>9263</v>
      </c>
      <c r="DV245" s="507">
        <f>INPUT!GI214</f>
        <v>14.442797133679264</v>
      </c>
      <c r="DW245" s="151">
        <f>INPUT!GJ214</f>
        <v>9696</v>
      </c>
      <c r="DX245" s="507">
        <f>INPUT!GK214</f>
        <v>4.6745114973550717</v>
      </c>
      <c r="DY245" s="151">
        <f>INPUT!GL214</f>
        <v>11058</v>
      </c>
      <c r="DZ245" s="507">
        <f>INPUT!GM214</f>
        <v>14.047029702970292</v>
      </c>
      <c r="EA245" s="151">
        <f>INPUT!GN214</f>
        <v>13851</v>
      </c>
      <c r="EB245" s="507">
        <f>INPUT!GO214</f>
        <v>25.257731958762886</v>
      </c>
      <c r="EC245" s="151">
        <f>INPUT!GP214</f>
        <v>14892.182971091101</v>
      </c>
      <c r="ED245" s="507">
        <f>INPUT!GQ214</f>
        <v>7.5170238328720052</v>
      </c>
      <c r="EE245" s="151">
        <f>INPUT!GR214</f>
        <v>15564.467826210117</v>
      </c>
      <c r="EF245" s="507">
        <f>INPUT!GS214</f>
        <v>4.5143472681208996</v>
      </c>
      <c r="EG245" s="151">
        <f>INPUT!GT214</f>
        <v>16316.22248588915</v>
      </c>
      <c r="EH245" s="507">
        <f>INPUT!GU214</f>
        <v>4.8299413001008595</v>
      </c>
      <c r="EI245" s="151">
        <f>INPUT!GV214</f>
        <v>17150.651870335565</v>
      </c>
      <c r="EJ245" s="507">
        <f>INPUT!GW214</f>
        <v>5.114108888672364</v>
      </c>
      <c r="EK245" s="151">
        <f>INPUT!GX214</f>
        <v>18071.248276033544</v>
      </c>
      <c r="EL245" s="507">
        <f>INPUT!GY214</f>
        <v>5.3677050450209318</v>
      </c>
      <c r="EM245" s="687">
        <f>INPUT!GZ214</f>
        <v>5.4633116959083905</v>
      </c>
    </row>
    <row r="246" spans="1:143" ht="12.75" hidden="1" customHeight="1" outlineLevel="1" x14ac:dyDescent="0.2">
      <c r="A246" s="701" t="str">
        <f>INPUT!B215</f>
        <v>Less: Reinsurance Ceded</v>
      </c>
      <c r="B246" s="151">
        <f>INPUT!AY215</f>
        <v>0</v>
      </c>
      <c r="C246" s="507">
        <f>INPUT!AZ215</f>
        <v>0</v>
      </c>
      <c r="D246" s="151">
        <f>INPUT!BA215</f>
        <v>0</v>
      </c>
      <c r="E246" s="687">
        <f>INPUT!BB215</f>
        <v>0</v>
      </c>
      <c r="F246" s="151">
        <f>INPUT!BC215</f>
        <v>0</v>
      </c>
      <c r="G246" s="687">
        <f>INPUT!BD215</f>
        <v>0</v>
      </c>
      <c r="H246" s="151">
        <f>INPUT!BE215</f>
        <v>0</v>
      </c>
      <c r="I246" s="687">
        <f>INPUT!BF215</f>
        <v>0</v>
      </c>
      <c r="J246" s="151">
        <f>INPUT!BG215</f>
        <v>0</v>
      </c>
      <c r="K246" s="687">
        <f>INPUT!BH215</f>
        <v>0</v>
      </c>
      <c r="L246" s="151">
        <f>INPUT!BI215</f>
        <v>0</v>
      </c>
      <c r="M246" s="687">
        <f>INPUT!BJ215</f>
        <v>0</v>
      </c>
      <c r="N246" s="151">
        <f>INPUT!BK215</f>
        <v>0</v>
      </c>
      <c r="O246" s="687">
        <f>INPUT!BL215</f>
        <v>0</v>
      </c>
      <c r="P246" s="151">
        <f>INPUT!BM215</f>
        <v>0</v>
      </c>
      <c r="Q246" s="687">
        <f>INPUT!BN215</f>
        <v>0</v>
      </c>
      <c r="R246" s="151">
        <f>INPUT!BO215</f>
        <v>0</v>
      </c>
      <c r="S246" s="687">
        <f>INPUT!BP215</f>
        <v>0</v>
      </c>
      <c r="T246" s="151">
        <f>INPUT!BQ215</f>
        <v>0</v>
      </c>
      <c r="U246" s="687">
        <f>INPUT!BR215</f>
        <v>0</v>
      </c>
      <c r="V246" s="151">
        <f>INPUT!BS215</f>
        <v>0</v>
      </c>
      <c r="W246" s="687">
        <f>INPUT!BT215</f>
        <v>0</v>
      </c>
      <c r="X246" s="151">
        <f>INPUT!BU215</f>
        <v>0</v>
      </c>
      <c r="Y246" s="687">
        <f>INPUT!BV215</f>
        <v>0</v>
      </c>
      <c r="Z246" s="151">
        <f>INPUT!BW215</f>
        <v>-640</v>
      </c>
      <c r="AA246" s="687">
        <f>INPUT!BX215</f>
        <v>0</v>
      </c>
      <c r="AB246" s="151">
        <f>INPUT!BY215</f>
        <v>-719</v>
      </c>
      <c r="AC246" s="687">
        <f>INPUT!BZ215</f>
        <v>0</v>
      </c>
      <c r="AD246" s="151">
        <f>INPUT!CA215</f>
        <v>-807</v>
      </c>
      <c r="AE246" s="687">
        <f>INPUT!CB215</f>
        <v>0</v>
      </c>
      <c r="AF246" s="151">
        <f>INPUT!CC215</f>
        <v>-820</v>
      </c>
      <c r="AG246" s="687">
        <f>INPUT!CD215</f>
        <v>0</v>
      </c>
      <c r="AH246" s="151">
        <f>INPUT!CE215</f>
        <v>-837</v>
      </c>
      <c r="AI246" s="507">
        <f>INPUT!CF215</f>
        <v>0</v>
      </c>
      <c r="AJ246" s="151">
        <f>INPUT!CG215</f>
        <v>-743</v>
      </c>
      <c r="AK246" s="507">
        <f>INPUT!CH215</f>
        <v>0</v>
      </c>
      <c r="AL246" s="151">
        <f>INPUT!CI215</f>
        <v>-803</v>
      </c>
      <c r="AM246" s="507">
        <f>INPUT!CJ215</f>
        <v>0</v>
      </c>
      <c r="AN246" s="301">
        <f>INPUT!CK215</f>
        <v>-854</v>
      </c>
      <c r="AO246" s="507">
        <f>INPUT!CL215</f>
        <v>0</v>
      </c>
      <c r="AP246" s="301">
        <f>INPUT!CM215</f>
        <v>-876</v>
      </c>
      <c r="AQ246" s="507">
        <f>INPUT!CN215</f>
        <v>0</v>
      </c>
      <c r="AR246" s="301">
        <f>INPUT!CO215</f>
        <v>-857</v>
      </c>
      <c r="AS246" s="507">
        <f>INPUT!CP215</f>
        <v>0</v>
      </c>
      <c r="AT246" s="301">
        <f>INPUT!CQ215</f>
        <v>-717</v>
      </c>
      <c r="AU246" s="507">
        <f>INPUT!CR215</f>
        <v>0</v>
      </c>
      <c r="AV246" s="301">
        <f>INPUT!CS215</f>
        <v>-758</v>
      </c>
      <c r="AW246" s="507">
        <f>INPUT!CT215</f>
        <v>-11.24121779859485</v>
      </c>
      <c r="AX246" s="301">
        <f>INPUT!CU215</f>
        <v>-826</v>
      </c>
      <c r="AY246" s="507">
        <f>INPUT!CV215</f>
        <v>-5.707762557077622</v>
      </c>
      <c r="AZ246" s="301">
        <f>INPUT!CW215</f>
        <v>-775</v>
      </c>
      <c r="BA246" s="507">
        <f>INPUT!CX215</f>
        <v>-9.5682613768961478</v>
      </c>
      <c r="BB246" s="301">
        <f>INPUT!CY215</f>
        <v>-812</v>
      </c>
      <c r="BC246" s="507">
        <f>INPUT!CZ215</f>
        <v>0</v>
      </c>
      <c r="BD246" s="301">
        <f>INPUT!DA215</f>
        <v>-792</v>
      </c>
      <c r="BE246" s="507">
        <f>INPUT!DB215</f>
        <v>0</v>
      </c>
      <c r="BF246" s="301">
        <f>INPUT!DC215</f>
        <v>-827</v>
      </c>
      <c r="BG246" s="507">
        <f>INPUT!DD215</f>
        <v>0</v>
      </c>
      <c r="BH246" s="301">
        <f>INPUT!DE215</f>
        <v>-815</v>
      </c>
      <c r="BI246" s="507">
        <f>INPUT!DF215</f>
        <v>0</v>
      </c>
      <c r="BJ246" s="301">
        <f>INPUT!DG215</f>
        <v>-849</v>
      </c>
      <c r="BK246" s="507">
        <f>INPUT!DH215</f>
        <v>0</v>
      </c>
      <c r="BL246" s="301">
        <f>INPUT!DI215</f>
        <v>-893</v>
      </c>
      <c r="BM246" s="507">
        <f>INPUT!DJ215</f>
        <v>0</v>
      </c>
      <c r="BN246" s="301">
        <f>INPUT!DK215</f>
        <v>-884</v>
      </c>
      <c r="BO246" s="507">
        <f>INPUT!DL215</f>
        <v>0</v>
      </c>
      <c r="BP246" s="301">
        <f>INPUT!DM215</f>
        <v>-901</v>
      </c>
      <c r="BQ246" s="507">
        <f>INPUT!DN215</f>
        <v>10.55214723926381</v>
      </c>
      <c r="BR246" s="301">
        <f>INPUT!DO215</f>
        <v>-872</v>
      </c>
      <c r="BS246" s="507">
        <f>INPUT!DP215</f>
        <v>2.7090694935217874</v>
      </c>
      <c r="BT246" s="301">
        <f>INPUT!DQ215</f>
        <v>-878</v>
      </c>
      <c r="BU246" s="507">
        <f>INPUT!DR215</f>
        <v>-1.6797312430011146</v>
      </c>
      <c r="BV246" s="301">
        <f>INPUT!DS215</f>
        <v>-882</v>
      </c>
      <c r="BW246" s="507">
        <f>INPUT!DT215</f>
        <v>-0.22624434389140191</v>
      </c>
      <c r="BX246" s="301">
        <f>INPUT!DU215</f>
        <v>-864</v>
      </c>
      <c r="BY246" s="507">
        <f>INPUT!DV215</f>
        <v>-4.1065482796892372</v>
      </c>
      <c r="BZ246" s="301">
        <f>INPUT!DW215</f>
        <v>-788</v>
      </c>
      <c r="CA246" s="507">
        <f>INPUT!DX215</f>
        <v>-788</v>
      </c>
      <c r="CB246" s="301">
        <f>INPUT!DY215</f>
        <v>-809</v>
      </c>
      <c r="CC246" s="507">
        <f>INPUT!DZ215</f>
        <v>-7.8587699316628683</v>
      </c>
      <c r="CD246" s="301">
        <f>INPUT!EA215</f>
        <v>-786</v>
      </c>
      <c r="CE246" s="507">
        <f>INPUT!EB215</f>
        <v>-10.8843537414966</v>
      </c>
      <c r="CF246" s="301">
        <f>INPUT!EC215</f>
        <v>-785</v>
      </c>
      <c r="CG246" s="507">
        <f>INPUT!ED215</f>
        <v>-9.1435185185185226</v>
      </c>
      <c r="CH246" s="301">
        <f>INPUT!EE215</f>
        <v>-800</v>
      </c>
      <c r="CI246" s="507">
        <f>INPUT!EF215</f>
        <v>1.5228426395939021</v>
      </c>
      <c r="CJ246" s="301">
        <f>INPUT!EG215</f>
        <v>-794</v>
      </c>
      <c r="CK246" s="507">
        <f>INPUT!EH215</f>
        <v>-1.8541409147095234</v>
      </c>
      <c r="CL246" s="301">
        <f>INPUT!EI215</f>
        <v>-824</v>
      </c>
      <c r="CM246" s="507">
        <f>INPUT!EJ215</f>
        <v>4.8346055979643809</v>
      </c>
      <c r="CN246" s="301">
        <f>INPUT!EK215</f>
        <v>-836</v>
      </c>
      <c r="CO246" s="507">
        <f>INPUT!EL215</f>
        <v>6.4968152866242024</v>
      </c>
      <c r="CP246" s="301">
        <f>INPUT!EM215</f>
        <v>-851</v>
      </c>
      <c r="CQ246" s="507">
        <f>INPUT!EN215</f>
        <v>6.3749999999999973</v>
      </c>
      <c r="CR246" s="301">
        <f>INPUT!EO215</f>
        <v>-875</v>
      </c>
      <c r="CS246" s="507">
        <f>INPUT!EP215</f>
        <v>10.201511335012592</v>
      </c>
      <c r="CT246" s="301">
        <f>INPUT!EQ215</f>
        <v>-875</v>
      </c>
      <c r="CU246" s="507">
        <f>INPUT!ER215</f>
        <v>6.1893203883495174</v>
      </c>
      <c r="CV246" s="301">
        <f>INPUT!ES215</f>
        <v>-875</v>
      </c>
      <c r="CW246" s="507">
        <f>INPUT!ET215</f>
        <v>4.6650717703349276</v>
      </c>
      <c r="CX246" s="301">
        <f>INPUT!EU215</f>
        <v>-875</v>
      </c>
      <c r="CY246" s="507">
        <f>INPUT!EV215</f>
        <v>2.8202115158636909</v>
      </c>
      <c r="CZ246" s="301">
        <f>INPUT!EW215</f>
        <v>-875</v>
      </c>
      <c r="DA246" s="507">
        <f>INPUT!EX215</f>
        <v>0</v>
      </c>
      <c r="DB246" s="507"/>
      <c r="DC246" s="151">
        <f>INPUT!FP215</f>
        <v>0</v>
      </c>
      <c r="DD246" s="687">
        <f>INPUT!FQ215</f>
        <v>0</v>
      </c>
      <c r="DE246" s="151">
        <f>INPUT!FR215</f>
        <v>0</v>
      </c>
      <c r="DF246" s="687">
        <f>INPUT!FS215</f>
        <v>0</v>
      </c>
      <c r="DG246" s="151">
        <f>INPUT!FT215</f>
        <v>0</v>
      </c>
      <c r="DH246" s="687">
        <f>INPUT!FU215</f>
        <v>0</v>
      </c>
      <c r="DI246" s="151">
        <f>INPUT!FV215</f>
        <v>0</v>
      </c>
      <c r="DJ246" s="687">
        <f>INPUT!FW215</f>
        <v>0</v>
      </c>
      <c r="DK246" s="301">
        <f>INPUT!FX215</f>
        <v>0</v>
      </c>
      <c r="DL246" s="507">
        <f>INPUT!FY215</f>
        <v>0</v>
      </c>
      <c r="DM246" s="301">
        <f>INPUT!FZ215</f>
        <v>0</v>
      </c>
      <c r="DN246" s="507">
        <f>INPUT!GA215</f>
        <v>0</v>
      </c>
      <c r="DO246" s="301">
        <f>INPUT!GB215</f>
        <v>0</v>
      </c>
      <c r="DP246" s="507">
        <f>INPUT!GC215</f>
        <v>0</v>
      </c>
      <c r="DQ246" s="301">
        <f>INPUT!GD215</f>
        <v>-792</v>
      </c>
      <c r="DR246" s="507">
        <f>INPUT!GE215</f>
        <v>0</v>
      </c>
      <c r="DS246" s="301">
        <f>INPUT!GF215</f>
        <v>-893</v>
      </c>
      <c r="DT246" s="507">
        <f>INPUT!GG215</f>
        <v>12.75252525252526</v>
      </c>
      <c r="DU246" s="301">
        <f>INPUT!GH215</f>
        <v>-878</v>
      </c>
      <c r="DV246" s="507">
        <f>INPUT!GI215</f>
        <v>-1.6797312430011146</v>
      </c>
      <c r="DW246" s="301">
        <f>INPUT!GJ215</f>
        <v>-809</v>
      </c>
      <c r="DX246" s="507">
        <f>INPUT!GK215</f>
        <v>-7.8587699316628683</v>
      </c>
      <c r="DY246" s="301">
        <f>INPUT!GL215</f>
        <v>-794</v>
      </c>
      <c r="DZ246" s="507">
        <f>INPUT!GM215</f>
        <v>-1.8541409147095234</v>
      </c>
      <c r="EA246" s="301">
        <f>INPUT!GN215</f>
        <v>-875</v>
      </c>
      <c r="EB246" s="507">
        <f>INPUT!GO215</f>
        <v>10.201511335012592</v>
      </c>
      <c r="EC246" s="301">
        <f>INPUT!GP215</f>
        <v>-875</v>
      </c>
      <c r="ED246" s="507">
        <f>INPUT!GQ215</f>
        <v>0</v>
      </c>
      <c r="EE246" s="301">
        <f>INPUT!GR215</f>
        <v>-875</v>
      </c>
      <c r="EF246" s="507">
        <f>INPUT!GS215</f>
        <v>0</v>
      </c>
      <c r="EG246" s="301">
        <f>INPUT!GT215</f>
        <v>-875</v>
      </c>
      <c r="EH246" s="507">
        <f>INPUT!GU215</f>
        <v>0</v>
      </c>
      <c r="EI246" s="301">
        <f>INPUT!GV215</f>
        <v>-875</v>
      </c>
      <c r="EJ246" s="507">
        <f>INPUT!GW215</f>
        <v>0</v>
      </c>
      <c r="EK246" s="301">
        <f>INPUT!GX215</f>
        <v>-875</v>
      </c>
      <c r="EL246" s="507">
        <f>INPUT!GY215</f>
        <v>0</v>
      </c>
      <c r="EM246" s="687">
        <f>INPUT!GZ215</f>
        <v>0</v>
      </c>
    </row>
    <row r="247" spans="1:143" ht="12.75" hidden="1" customHeight="1" outlineLevel="1" x14ac:dyDescent="0.2">
      <c r="A247" s="701" t="str">
        <f>INPUT!B216</f>
        <v>Ending VUL Reserves (Net)</v>
      </c>
      <c r="B247" s="151">
        <f>INPUT!AY216</f>
        <v>2354.5</v>
      </c>
      <c r="C247" s="507">
        <f>INPUT!AZ216</f>
        <v>0</v>
      </c>
      <c r="D247" s="151">
        <f>INPUT!BA216</f>
        <v>4193.5</v>
      </c>
      <c r="E247" s="687">
        <f>INPUT!BB216</f>
        <v>0</v>
      </c>
      <c r="F247" s="151">
        <f>INPUT!BC216</f>
        <v>4304.5</v>
      </c>
      <c r="G247" s="687">
        <f>INPUT!BD216</f>
        <v>0</v>
      </c>
      <c r="H247" s="151">
        <f>INPUT!BE216</f>
        <v>4599.5</v>
      </c>
      <c r="I247" s="687">
        <f>INPUT!BF216</f>
        <v>0</v>
      </c>
      <c r="J247" s="151">
        <f>INPUT!BG216</f>
        <v>5702</v>
      </c>
      <c r="K247" s="687" t="str">
        <f>INPUT!BH216</f>
        <v>NM</v>
      </c>
      <c r="L247" s="151">
        <f>INPUT!BI216</f>
        <v>5954</v>
      </c>
      <c r="M247" s="687">
        <f>INPUT!BJ216</f>
        <v>41.981638249672116</v>
      </c>
      <c r="N247" s="151">
        <f>INPUT!BK216</f>
        <v>6104</v>
      </c>
      <c r="O247" s="687">
        <f>INPUT!BL216</f>
        <v>41.805087698919728</v>
      </c>
      <c r="P247" s="151">
        <f>INPUT!BM216</f>
        <v>6040</v>
      </c>
      <c r="Q247" s="687">
        <f>INPUT!BN216</f>
        <v>31.318621589303184</v>
      </c>
      <c r="R247" s="151">
        <f>INPUT!BO216</f>
        <v>5615</v>
      </c>
      <c r="S247" s="687">
        <f>INPUT!BP216</f>
        <v>-1.5257804279200315</v>
      </c>
      <c r="T247" s="151">
        <f>INPUT!BQ216</f>
        <v>5623</v>
      </c>
      <c r="U247" s="687">
        <f>INPUT!BR216</f>
        <v>-5.5592878736983486</v>
      </c>
      <c r="V247" s="151">
        <f>INPUT!BS216</f>
        <v>5056</v>
      </c>
      <c r="W247" s="687">
        <f>INPUT!BT216</f>
        <v>-17.169069462647446</v>
      </c>
      <c r="X247" s="151">
        <f>INPUT!BU216</f>
        <v>4251</v>
      </c>
      <c r="Y247" s="687">
        <f>INPUT!BV216</f>
        <v>-29.619205298013242</v>
      </c>
      <c r="Z247" s="151">
        <f>INPUT!BW216</f>
        <v>3352</v>
      </c>
      <c r="AA247" s="687">
        <f>INPUT!BX216</f>
        <v>-40.302760463045416</v>
      </c>
      <c r="AB247" s="151">
        <f>INPUT!BY216</f>
        <v>3843</v>
      </c>
      <c r="AC247" s="687">
        <f>INPUT!BZ216</f>
        <v>-31.655699804374894</v>
      </c>
      <c r="AD247" s="151">
        <f>INPUT!CA216</f>
        <v>4369</v>
      </c>
      <c r="AE247" s="687">
        <f>INPUT!CB216</f>
        <v>-13.587816455696199</v>
      </c>
      <c r="AF247" s="151">
        <f>INPUT!CC216</f>
        <v>4467</v>
      </c>
      <c r="AG247" s="687">
        <f>INPUT!CD216</f>
        <v>5.0811573747353567</v>
      </c>
      <c r="AH247" s="151">
        <f>INPUT!CE216</f>
        <v>4630</v>
      </c>
      <c r="AI247" s="507">
        <f>INPUT!CF216</f>
        <v>38.126491646778035</v>
      </c>
      <c r="AJ247" s="151">
        <f>INPUT!CG216</f>
        <v>4284</v>
      </c>
      <c r="AK247" s="507">
        <f>INPUT!CH216</f>
        <v>11.475409836065564</v>
      </c>
      <c r="AL247" s="151">
        <f>INPUT!CI216</f>
        <v>4759</v>
      </c>
      <c r="AM247" s="507">
        <f>INPUT!CJ216</f>
        <v>8.9265278095673963</v>
      </c>
      <c r="AN247" s="151">
        <f>INPUT!CK216</f>
        <v>5108</v>
      </c>
      <c r="AO247" s="507">
        <f>INPUT!CL216</f>
        <v>14.349675397358407</v>
      </c>
      <c r="AP247" s="151">
        <f>INPUT!CM216</f>
        <v>5295</v>
      </c>
      <c r="AQ247" s="507">
        <f>INPUT!CN216</f>
        <v>14.362850971922247</v>
      </c>
      <c r="AR247" s="151">
        <f>INPUT!CO216</f>
        <v>5300</v>
      </c>
      <c r="AS247" s="507">
        <f>INPUT!CP216</f>
        <v>23.716153127917838</v>
      </c>
      <c r="AT247" s="151">
        <f>INPUT!CQ216</f>
        <v>4658</v>
      </c>
      <c r="AU247" s="507">
        <f>INPUT!CR216</f>
        <v>-2.1222945997058207</v>
      </c>
      <c r="AV247" s="151">
        <f>INPUT!CS216</f>
        <v>4929</v>
      </c>
      <c r="AW247" s="507">
        <f>INPUT!CT216</f>
        <v>-3.5043069694596696</v>
      </c>
      <c r="AX247" s="151">
        <f>INPUT!CU216</f>
        <v>5376</v>
      </c>
      <c r="AY247" s="507">
        <f>INPUT!CV216</f>
        <v>1.5297450424929249</v>
      </c>
      <c r="AZ247" s="151">
        <f>INPUT!CW216</f>
        <v>5230</v>
      </c>
      <c r="BA247" s="507">
        <f>INPUT!CX216</f>
        <v>-1.3207547169811318</v>
      </c>
      <c r="BB247" s="151">
        <f>INPUT!CY216</f>
        <v>5450</v>
      </c>
      <c r="BC247" s="507">
        <f>INPUT!CZ216</f>
        <v>17.003005581794774</v>
      </c>
      <c r="BD247" s="151">
        <f>INPUT!DA216</f>
        <v>5731</v>
      </c>
      <c r="BE247" s="507">
        <f>INPUT!DB216</f>
        <v>16.271048894299046</v>
      </c>
      <c r="BF247" s="151">
        <f>INPUT!DC216</f>
        <v>6032</v>
      </c>
      <c r="BG247" s="507">
        <f>INPUT!DD216</f>
        <v>12.202380952380953</v>
      </c>
      <c r="BH247" s="151">
        <f>INPUT!DE216</f>
        <v>6157</v>
      </c>
      <c r="BI247" s="507">
        <f>INPUT!DF216</f>
        <v>17.724665391969396</v>
      </c>
      <c r="BJ247" s="151">
        <f>INPUT!DG216</f>
        <v>6604</v>
      </c>
      <c r="BK247" s="507">
        <f>INPUT!DH216</f>
        <v>21.174311926605505</v>
      </c>
      <c r="BL247" s="151">
        <f>INPUT!DI216</f>
        <v>7201</v>
      </c>
      <c r="BM247" s="507">
        <f>INPUT!DJ216</f>
        <v>25.649973826557314</v>
      </c>
      <c r="BN247" s="151">
        <f>INPUT!DK216</f>
        <v>7470</v>
      </c>
      <c r="BO247" s="507">
        <f>INPUT!DL216</f>
        <v>23.839522546419101</v>
      </c>
      <c r="BP247" s="151">
        <f>INPUT!DM216</f>
        <v>7941</v>
      </c>
      <c r="BQ247" s="507">
        <f>INPUT!DN216</f>
        <v>28.975150235504298</v>
      </c>
      <c r="BR247" s="151">
        <f>INPUT!DO216</f>
        <v>7982</v>
      </c>
      <c r="BS247" s="507">
        <f>INPUT!DP216</f>
        <v>20.866141732283474</v>
      </c>
      <c r="BT247" s="151">
        <f>INPUT!DQ216</f>
        <v>8385</v>
      </c>
      <c r="BU247" s="507">
        <f>INPUT!DR216</f>
        <v>16.442160810998473</v>
      </c>
      <c r="BV247" s="151">
        <f>INPUT!DS216</f>
        <v>8753</v>
      </c>
      <c r="BW247" s="507">
        <f>INPUT!DT216</f>
        <v>17.175368139223558</v>
      </c>
      <c r="BX247" s="151">
        <f>INPUT!DU216</f>
        <v>8902</v>
      </c>
      <c r="BY247" s="507">
        <f>INPUT!DV216</f>
        <v>12.101750409268352</v>
      </c>
      <c r="BZ247" s="151">
        <f>INPUT!DW216</f>
        <v>8425</v>
      </c>
      <c r="CA247" s="507">
        <f>INPUT!DX216</f>
        <v>-1330.549875593757</v>
      </c>
      <c r="CB247" s="151">
        <f>INPUT!DY216</f>
        <v>8887</v>
      </c>
      <c r="CC247" s="507">
        <f>INPUT!DZ216</f>
        <v>5.9868813357185413</v>
      </c>
      <c r="CD247" s="151">
        <f>INPUT!EA216</f>
        <v>9044</v>
      </c>
      <c r="CE247" s="507">
        <f>INPUT!EB216</f>
        <v>3.3245744316234394</v>
      </c>
      <c r="CF247" s="151">
        <f>INPUT!EC216</f>
        <v>9387</v>
      </c>
      <c r="CG247" s="507">
        <f>INPUT!ED216</f>
        <v>5.4482138845203254</v>
      </c>
      <c r="CH247" s="151">
        <f>INPUT!EE216</f>
        <v>9963</v>
      </c>
      <c r="CI247" s="507">
        <f>INPUT!EF216</f>
        <v>18.255192878338278</v>
      </c>
      <c r="CJ247" s="151">
        <f>INPUT!EG216</f>
        <v>10264</v>
      </c>
      <c r="CK247" s="507">
        <f>INPUT!EH216</f>
        <v>15.49454259030043</v>
      </c>
      <c r="CL247" s="151">
        <f>INPUT!EI216</f>
        <v>10948</v>
      </c>
      <c r="CM247" s="507">
        <f>INPUT!EJ216</f>
        <v>21.052631578947366</v>
      </c>
      <c r="CN247" s="151">
        <f>INPUT!EK216</f>
        <v>11460</v>
      </c>
      <c r="CO247" s="507">
        <f>INPUT!EL216</f>
        <v>22.083732821987855</v>
      </c>
      <c r="CP247" s="151">
        <f>INPUT!EM216</f>
        <v>12065</v>
      </c>
      <c r="CQ247" s="507">
        <f>INPUT!EN216</f>
        <v>21.098062832480167</v>
      </c>
      <c r="CR247" s="151">
        <f>INPUT!EO216</f>
        <v>12976</v>
      </c>
      <c r="CS247" s="507">
        <f>INPUT!EP216</f>
        <v>26.422447388932181</v>
      </c>
      <c r="CT247" s="151">
        <f>INPUT!EQ216</f>
        <v>12923.658379580263</v>
      </c>
      <c r="CU247" s="507">
        <f>INPUT!ER216</f>
        <v>18.045838322801089</v>
      </c>
      <c r="CV247" s="151">
        <f>INPUT!ES216</f>
        <v>13192.769959793946</v>
      </c>
      <c r="CW247" s="507">
        <f>INPUT!ET216</f>
        <v>15.120156717224663</v>
      </c>
      <c r="CX247" s="151">
        <f>INPUT!EU216</f>
        <v>13425.887733031312</v>
      </c>
      <c r="CY247" s="507">
        <f>INPUT!EV216</f>
        <v>11.279633095990981</v>
      </c>
      <c r="CZ247" s="151">
        <f>INPUT!EW216</f>
        <v>14017.182971091101</v>
      </c>
      <c r="DA247" s="507">
        <f>INPUT!EX216</f>
        <v>8.0239131557575671</v>
      </c>
      <c r="DB247" s="507"/>
      <c r="DC247" s="151">
        <f>INPUT!FP216</f>
        <v>0</v>
      </c>
      <c r="DD247" s="687">
        <f>INPUT!FQ216</f>
        <v>0</v>
      </c>
      <c r="DE247" s="151">
        <f>INPUT!FR216</f>
        <v>0</v>
      </c>
      <c r="DF247" s="687">
        <f>INPUT!FS216</f>
        <v>0</v>
      </c>
      <c r="DG247" s="151">
        <f>INPUT!FT216</f>
        <v>6040</v>
      </c>
      <c r="DH247" s="687">
        <f>INPUT!FU216</f>
        <v>0</v>
      </c>
      <c r="DI247" s="151">
        <f>INPUT!FV216</f>
        <v>4251</v>
      </c>
      <c r="DJ247" s="687">
        <f>INPUT!FW216</f>
        <v>0</v>
      </c>
      <c r="DK247" s="151">
        <f>INPUT!FX216</f>
        <v>5287</v>
      </c>
      <c r="DL247" s="507">
        <f>INPUT!FY216</f>
        <v>0</v>
      </c>
      <c r="DM247" s="151">
        <f>INPUT!FZ216</f>
        <v>5962</v>
      </c>
      <c r="DN247" s="507">
        <f>INPUT!GA216</f>
        <v>0</v>
      </c>
      <c r="DO247" s="151">
        <f>INPUT!GB216</f>
        <v>5687</v>
      </c>
      <c r="DP247" s="507">
        <f>INPUT!GC216</f>
        <v>0</v>
      </c>
      <c r="DQ247" s="151">
        <f>INPUT!GD216</f>
        <v>5731</v>
      </c>
      <c r="DR247" s="507">
        <f>INPUT!GE216</f>
        <v>0</v>
      </c>
      <c r="DS247" s="151">
        <f>INPUT!GF216</f>
        <v>7201</v>
      </c>
      <c r="DT247" s="507">
        <f>INPUT!GG216</f>
        <v>25.649973826557314</v>
      </c>
      <c r="DU247" s="151">
        <f>INPUT!GH216</f>
        <v>8385</v>
      </c>
      <c r="DV247" s="507">
        <f>INPUT!GI216</f>
        <v>16.442160810998473</v>
      </c>
      <c r="DW247" s="151">
        <f>INPUT!GJ216</f>
        <v>8887</v>
      </c>
      <c r="DX247" s="507">
        <f>INPUT!GK216</f>
        <v>5.9868813357185413</v>
      </c>
      <c r="DY247" s="151">
        <f>INPUT!GL216</f>
        <v>10264</v>
      </c>
      <c r="DZ247" s="507">
        <f>INPUT!GM216</f>
        <v>15.49454259030043</v>
      </c>
      <c r="EA247" s="151">
        <f>INPUT!GN216</f>
        <v>12976</v>
      </c>
      <c r="EB247" s="507">
        <f>INPUT!GO216</f>
        <v>26.422447388932181</v>
      </c>
      <c r="EC247" s="151">
        <f>INPUT!GP216</f>
        <v>14017.182971091101</v>
      </c>
      <c r="ED247" s="507">
        <f>INPUT!GQ216</f>
        <v>8.0239131557575671</v>
      </c>
      <c r="EE247" s="151">
        <f>INPUT!GR216</f>
        <v>14689.467826210117</v>
      </c>
      <c r="EF247" s="507">
        <f>INPUT!GS216</f>
        <v>4.7961481026931763</v>
      </c>
      <c r="EG247" s="151">
        <f>INPUT!GT216</f>
        <v>15441.22248588915</v>
      </c>
      <c r="EH247" s="507">
        <f>INPUT!GU216</f>
        <v>5.1176439376360072</v>
      </c>
      <c r="EI247" s="151">
        <f>INPUT!GV216</f>
        <v>16275.651870335565</v>
      </c>
      <c r="EJ247" s="507">
        <f>INPUT!GW216</f>
        <v>5.4039075287526828</v>
      </c>
      <c r="EK247" s="151">
        <f>INPUT!GX216</f>
        <v>17196.248276033544</v>
      </c>
      <c r="EL247" s="507">
        <f>INPUT!GY216</f>
        <v>5.6562797793425545</v>
      </c>
      <c r="EM247" s="687">
        <f>INPUT!GZ216</f>
        <v>5.7933998091255656</v>
      </c>
    </row>
    <row r="248" spans="1:143" ht="12.75" hidden="1" customHeight="1" outlineLevel="1" x14ac:dyDescent="0.2">
      <c r="A248" s="701"/>
      <c r="B248" s="16"/>
      <c r="C248" s="507"/>
      <c r="D248" s="16"/>
      <c r="E248" s="687"/>
      <c r="F248" s="16"/>
      <c r="G248" s="687"/>
      <c r="H248" s="16"/>
      <c r="I248" s="687"/>
      <c r="J248" s="16"/>
      <c r="K248" s="687"/>
      <c r="L248" s="16"/>
      <c r="M248" s="687"/>
      <c r="N248" s="16"/>
      <c r="O248" s="687"/>
      <c r="P248" s="16"/>
      <c r="Q248" s="687"/>
      <c r="R248" s="16"/>
      <c r="S248" s="687"/>
      <c r="T248" s="16"/>
      <c r="U248" s="687"/>
      <c r="V248" s="16"/>
      <c r="W248" s="687"/>
      <c r="X248" s="16"/>
      <c r="Y248" s="687"/>
      <c r="Z248" s="16"/>
      <c r="AA248" s="687"/>
      <c r="AB248" s="16"/>
      <c r="AC248" s="687"/>
      <c r="AD248" s="16"/>
      <c r="AE248" s="687"/>
      <c r="AF248" s="16"/>
      <c r="AG248" s="687"/>
      <c r="AH248" s="16"/>
      <c r="AI248" s="507"/>
      <c r="AJ248" s="16"/>
      <c r="AK248" s="507"/>
      <c r="AL248" s="16"/>
      <c r="AM248" s="507"/>
      <c r="AN248" s="16"/>
      <c r="AO248" s="507"/>
      <c r="AP248" s="16"/>
      <c r="AQ248" s="507"/>
      <c r="AR248" s="16"/>
      <c r="AS248" s="507"/>
      <c r="AT248" s="16"/>
      <c r="AU248" s="507"/>
      <c r="AV248" s="16"/>
      <c r="AW248" s="507"/>
      <c r="AX248" s="16"/>
      <c r="AY248" s="507"/>
      <c r="AZ248" s="16"/>
      <c r="BA248" s="507"/>
      <c r="BB248" s="16"/>
      <c r="BC248" s="507"/>
      <c r="BD248" s="16"/>
      <c r="BE248" s="507"/>
      <c r="BF248" s="16"/>
      <c r="BG248" s="507"/>
      <c r="BH248" s="16"/>
      <c r="BI248" s="507"/>
      <c r="BJ248" s="16"/>
      <c r="BK248" s="507"/>
      <c r="BL248" s="16"/>
      <c r="BM248" s="507"/>
      <c r="BN248" s="16"/>
      <c r="BO248" s="507"/>
      <c r="BP248" s="16"/>
      <c r="BQ248" s="507"/>
      <c r="BR248" s="16"/>
      <c r="BS248" s="507"/>
      <c r="BT248" s="16"/>
      <c r="BU248" s="507"/>
      <c r="BV248" s="16"/>
      <c r="BW248" s="507"/>
      <c r="BX248" s="16"/>
      <c r="BY248" s="507"/>
      <c r="BZ248" s="16"/>
      <c r="CA248" s="507"/>
      <c r="CB248" s="16"/>
      <c r="CC248" s="507"/>
      <c r="CD248" s="16"/>
      <c r="CE248" s="507"/>
      <c r="CF248" s="16"/>
      <c r="CG248" s="507"/>
      <c r="CH248" s="16"/>
      <c r="CI248" s="507"/>
      <c r="CJ248" s="16"/>
      <c r="CK248" s="507"/>
      <c r="CL248" s="16"/>
      <c r="CM248" s="507"/>
      <c r="CN248" s="16"/>
      <c r="CO248" s="507"/>
      <c r="CP248" s="16"/>
      <c r="CQ248" s="507"/>
      <c r="CR248" s="16"/>
      <c r="CS248" s="507"/>
      <c r="CT248" s="16"/>
      <c r="CU248" s="507"/>
      <c r="CV248" s="16"/>
      <c r="CW248" s="507"/>
      <c r="CX248" s="16"/>
      <c r="CY248" s="507"/>
      <c r="CZ248" s="16"/>
      <c r="DA248" s="507"/>
      <c r="DB248" s="507"/>
      <c r="DC248" s="16"/>
      <c r="DD248" s="687"/>
      <c r="DE248" s="16"/>
      <c r="DF248" s="687"/>
      <c r="DG248" s="16"/>
      <c r="DH248" s="687"/>
      <c r="DI248" s="16"/>
      <c r="DJ248" s="687"/>
      <c r="DK248" s="16"/>
      <c r="DL248" s="507"/>
      <c r="DM248" s="16"/>
      <c r="DN248" s="507"/>
      <c r="DO248" s="16"/>
      <c r="DP248" s="507"/>
      <c r="DQ248" s="16"/>
      <c r="DR248" s="507"/>
      <c r="DS248" s="16"/>
      <c r="DT248" s="507"/>
      <c r="DU248" s="16"/>
      <c r="DV248" s="507"/>
      <c r="DW248" s="16"/>
      <c r="DX248" s="507"/>
      <c r="DY248" s="16"/>
      <c r="DZ248" s="507"/>
      <c r="EA248" s="16"/>
      <c r="EB248" s="507"/>
      <c r="EC248" s="16"/>
      <c r="ED248" s="507"/>
      <c r="EE248" s="16"/>
      <c r="EF248" s="507"/>
      <c r="EG248" s="16"/>
      <c r="EH248" s="507"/>
      <c r="EI248" s="16"/>
      <c r="EJ248" s="507"/>
      <c r="EK248" s="16"/>
      <c r="EL248" s="507"/>
      <c r="EM248" s="687"/>
    </row>
    <row r="249" spans="1:143" ht="12.75" hidden="1" customHeight="1" outlineLevel="1" x14ac:dyDescent="0.2">
      <c r="A249" s="701" t="str">
        <f>INPUT!B221</f>
        <v>Net Flows</v>
      </c>
      <c r="B249" s="151">
        <f>INPUT!AY221</f>
        <v>38</v>
      </c>
      <c r="C249" s="507">
        <f>INPUT!AZ221</f>
        <v>-9.5238095238095237</v>
      </c>
      <c r="D249" s="151">
        <f>INPUT!BA221</f>
        <v>66</v>
      </c>
      <c r="E249" s="687">
        <f>INPUT!BB221</f>
        <v>64.999999999999986</v>
      </c>
      <c r="F249" s="151">
        <f>INPUT!BC221</f>
        <v>49</v>
      </c>
      <c r="G249" s="687">
        <f>INPUT!BD221</f>
        <v>19.512195121951216</v>
      </c>
      <c r="H249" s="151">
        <f>INPUT!BE221</f>
        <v>80</v>
      </c>
      <c r="I249" s="687">
        <f>INPUT!BF221</f>
        <v>31.147540983606547</v>
      </c>
      <c r="J249" s="151">
        <f>INPUT!BG221</f>
        <v>80</v>
      </c>
      <c r="K249" s="687" t="str">
        <f>INPUT!BH221</f>
        <v>NM</v>
      </c>
      <c r="L249" s="151">
        <f>INPUT!BI221</f>
        <v>33</v>
      </c>
      <c r="M249" s="687">
        <f>INPUT!BJ221</f>
        <v>-50</v>
      </c>
      <c r="N249" s="151">
        <f>INPUT!BK221</f>
        <v>76</v>
      </c>
      <c r="O249" s="687">
        <f>INPUT!BL221</f>
        <v>55.102040816326522</v>
      </c>
      <c r="P249" s="151">
        <f>INPUT!BM221</f>
        <v>125</v>
      </c>
      <c r="Q249" s="687">
        <f>INPUT!BN221</f>
        <v>56.25</v>
      </c>
      <c r="R249" s="151">
        <f>INPUT!BO221</f>
        <v>156</v>
      </c>
      <c r="S249" s="687">
        <f>INPUT!BP221</f>
        <v>95</v>
      </c>
      <c r="T249" s="151">
        <f>INPUT!BQ221</f>
        <v>108</v>
      </c>
      <c r="U249" s="687" t="str">
        <f>INPUT!BR221</f>
        <v>NM</v>
      </c>
      <c r="V249" s="151">
        <f>INPUT!BS221</f>
        <v>121</v>
      </c>
      <c r="W249" s="687">
        <f>INPUT!BT221</f>
        <v>59.210526315789465</v>
      </c>
      <c r="X249" s="151">
        <f>INPUT!BU221</f>
        <v>178</v>
      </c>
      <c r="Y249" s="687">
        <f>INPUT!BV221</f>
        <v>42.399999999999991</v>
      </c>
      <c r="Z249" s="151">
        <f>INPUT!BW221</f>
        <v>100</v>
      </c>
      <c r="AA249" s="687">
        <f>INPUT!BX221</f>
        <v>-35.897435897435891</v>
      </c>
      <c r="AB249" s="151">
        <f>INPUT!BY221</f>
        <v>91</v>
      </c>
      <c r="AC249" s="687">
        <f>INPUT!BZ221</f>
        <v>-15.740740740740744</v>
      </c>
      <c r="AD249" s="151">
        <f>INPUT!CA221</f>
        <v>79</v>
      </c>
      <c r="AE249" s="687">
        <f>INPUT!CB221</f>
        <v>-34.710743801652889</v>
      </c>
      <c r="AF249" s="151">
        <f>INPUT!CC221</f>
        <v>-10</v>
      </c>
      <c r="AG249" s="687" t="str">
        <f>INPUT!CD221</f>
        <v>NM</v>
      </c>
      <c r="AH249" s="151">
        <f>INPUT!CE221</f>
        <v>59</v>
      </c>
      <c r="AI249" s="507">
        <f>INPUT!CF221</f>
        <v>-41</v>
      </c>
      <c r="AJ249" s="151">
        <f>INPUT!CG221</f>
        <v>53</v>
      </c>
      <c r="AK249" s="507">
        <f>INPUT!CH221</f>
        <v>-41.758241758241752</v>
      </c>
      <c r="AL249" s="151">
        <f>INPUT!CI221</f>
        <v>126</v>
      </c>
      <c r="AM249" s="507">
        <f>INPUT!CJ221</f>
        <v>59.493670886075954</v>
      </c>
      <c r="AN249" s="151">
        <f>INPUT!CK221</f>
        <v>74</v>
      </c>
      <c r="AO249" s="507" t="str">
        <f>INPUT!CL221</f>
        <v>NM</v>
      </c>
      <c r="AP249" s="151">
        <f>INPUT!CM221</f>
        <v>31</v>
      </c>
      <c r="AQ249" s="507">
        <f>INPUT!CN221</f>
        <v>-47.457627118644062</v>
      </c>
      <c r="AR249" s="151">
        <f>INPUT!CO221</f>
        <v>38</v>
      </c>
      <c r="AS249" s="507">
        <f>INPUT!CP221</f>
        <v>-28.301886792452834</v>
      </c>
      <c r="AT249" s="151">
        <f>INPUT!CQ221</f>
        <v>30</v>
      </c>
      <c r="AU249" s="507" t="str">
        <f>INPUT!CR221</f>
        <v>NM</v>
      </c>
      <c r="AV249" s="151">
        <f>INPUT!CS221</f>
        <v>2</v>
      </c>
      <c r="AW249" s="507" t="str">
        <f>INPUT!CT221</f>
        <v>NM</v>
      </c>
      <c r="AX249" s="151">
        <f>INPUT!CU221</f>
        <v>67</v>
      </c>
      <c r="AY249" s="507" t="str">
        <f>INPUT!CV221</f>
        <v>NM</v>
      </c>
      <c r="AZ249" s="151">
        <f>INPUT!CW221</f>
        <v>54</v>
      </c>
      <c r="BA249" s="507">
        <f>INPUT!CX221</f>
        <v>42.105263157894733</v>
      </c>
      <c r="BB249" s="151">
        <f>INPUT!CY221</f>
        <v>51</v>
      </c>
      <c r="BC249" s="507">
        <f>INPUT!CZ221</f>
        <v>70</v>
      </c>
      <c r="BD249" s="151">
        <f>INPUT!DA221</f>
        <v>283</v>
      </c>
      <c r="BE249" s="507" t="str">
        <f>INPUT!DB221</f>
        <v>NM</v>
      </c>
      <c r="BF249" s="151">
        <f>INPUT!DC221</f>
        <v>37</v>
      </c>
      <c r="BG249" s="507">
        <f>INPUT!DD221</f>
        <v>-44.776119402985074</v>
      </c>
      <c r="BH249" s="151">
        <f>INPUT!DE221</f>
        <v>170</v>
      </c>
      <c r="BI249" s="507" t="str">
        <f>INPUT!DF221</f>
        <v>NM</v>
      </c>
      <c r="BJ249" s="151">
        <f>INPUT!DG221</f>
        <v>179</v>
      </c>
      <c r="BK249" s="507" t="str">
        <f>INPUT!DH221</f>
        <v>NM</v>
      </c>
      <c r="BL249" s="151">
        <f>INPUT!DI221</f>
        <v>303</v>
      </c>
      <c r="BM249" s="507">
        <f>INPUT!DJ221</f>
        <v>7.067137809187285</v>
      </c>
      <c r="BN249" s="151">
        <f>INPUT!DK221</f>
        <v>252</v>
      </c>
      <c r="BO249" s="507" t="str">
        <f>INPUT!DL221</f>
        <v>NM</v>
      </c>
      <c r="BP249" s="151">
        <f>INPUT!DM221</f>
        <v>282</v>
      </c>
      <c r="BQ249" s="507">
        <f>INPUT!DN221</f>
        <v>65.882352941176478</v>
      </c>
      <c r="BR249" s="151">
        <f>INPUT!DO221</f>
        <v>259</v>
      </c>
      <c r="BS249" s="507">
        <f>INPUT!DP221</f>
        <v>44.692737430167597</v>
      </c>
      <c r="BT249" s="151">
        <f>INPUT!DQ221</f>
        <v>323</v>
      </c>
      <c r="BU249" s="507">
        <f>INPUT!DR221</f>
        <v>6.6006600660065917</v>
      </c>
      <c r="BV249" s="151">
        <f>INPUT!DS221</f>
        <v>266</v>
      </c>
      <c r="BW249" s="507">
        <f>INPUT!DT221</f>
        <v>5.555555555555558</v>
      </c>
      <c r="BX249" s="151">
        <f>INPUT!DU221</f>
        <v>264</v>
      </c>
      <c r="BY249" s="507">
        <f>INPUT!DV221</f>
        <v>-6.3829787234042534</v>
      </c>
      <c r="BZ249" s="151">
        <f>INPUT!DW221</f>
        <v>221</v>
      </c>
      <c r="CA249" s="507">
        <f>INPUT!DX221</f>
        <v>221</v>
      </c>
      <c r="CB249" s="151">
        <f>INPUT!DY221</f>
        <v>296</v>
      </c>
      <c r="CC249" s="507">
        <f>INPUT!DZ221</f>
        <v>-8.3591331269349816</v>
      </c>
      <c r="CD249" s="151">
        <f>INPUT!EA221</f>
        <v>202</v>
      </c>
      <c r="CE249" s="507">
        <f>INPUT!EB221</f>
        <v>-24.060150375939848</v>
      </c>
      <c r="CF249" s="151">
        <f>INPUT!EC221</f>
        <v>280</v>
      </c>
      <c r="CG249" s="507">
        <f>INPUT!ED221</f>
        <v>6.0606060606060552</v>
      </c>
      <c r="CH249" s="151">
        <f>INPUT!EE221</f>
        <v>322</v>
      </c>
      <c r="CI249" s="507">
        <f>INPUT!EF221</f>
        <v>45.701357466063342</v>
      </c>
      <c r="CJ249" s="151">
        <f>INPUT!EG221</f>
        <v>291</v>
      </c>
      <c r="CK249" s="507">
        <f>INPUT!EH221</f>
        <v>-1.6891891891891886</v>
      </c>
      <c r="CL249" s="151">
        <f>INPUT!EI221</f>
        <v>285</v>
      </c>
      <c r="CM249" s="507">
        <f>INPUT!EJ221</f>
        <v>41.089108910891085</v>
      </c>
      <c r="CN249" s="151">
        <f>INPUT!EK221</f>
        <v>302</v>
      </c>
      <c r="CO249" s="507">
        <f>INPUT!EL221</f>
        <v>7.8571428571428514</v>
      </c>
      <c r="CP249" s="151">
        <f>INPUT!EM221</f>
        <v>304</v>
      </c>
      <c r="CQ249" s="507">
        <f>INPUT!EN221</f>
        <v>-5.5900621118012417</v>
      </c>
      <c r="CR249" s="151">
        <f>INPUT!EO221</f>
        <v>572</v>
      </c>
      <c r="CS249" s="507">
        <f>INPUT!EP221</f>
        <v>96.563573883161496</v>
      </c>
      <c r="CT249" s="151">
        <f>INPUT!EQ221</f>
        <v>206.14877671105609</v>
      </c>
      <c r="CU249" s="507">
        <f>INPUT!ER221</f>
        <v>-27.667095890857517</v>
      </c>
      <c r="CV249" s="151">
        <f>INPUT!ES221</f>
        <v>265.64580045774198</v>
      </c>
      <c r="CW249" s="507">
        <f>INPUT!ET221</f>
        <v>-12.037814417966231</v>
      </c>
      <c r="CX249" s="151">
        <f>INPUT!EU221</f>
        <v>224.26209096589048</v>
      </c>
      <c r="CY249" s="507">
        <f>INPUT!EV221</f>
        <v>-26.22957534016761</v>
      </c>
      <c r="CZ249" s="151">
        <f>INPUT!EW221</f>
        <v>590.75770439134521</v>
      </c>
      <c r="DA249" s="507">
        <f>INPUT!EX221</f>
        <v>3.279318949535881</v>
      </c>
      <c r="DB249" s="507"/>
      <c r="DC249" s="151">
        <f>INPUT!FP221</f>
        <v>184</v>
      </c>
      <c r="DD249" s="687" t="str">
        <f>INPUT!FQ221</f>
        <v>NA</v>
      </c>
      <c r="DE249" s="151">
        <f>INPUT!FR221</f>
        <v>233</v>
      </c>
      <c r="DF249" s="687">
        <f>INPUT!FS221</f>
        <v>26.630434782608692</v>
      </c>
      <c r="DG249" s="151">
        <f>INPUT!FT221</f>
        <v>314</v>
      </c>
      <c r="DH249" s="687">
        <f>INPUT!FU221</f>
        <v>34.763948497854066</v>
      </c>
      <c r="DI249" s="151">
        <f>INPUT!FV221</f>
        <v>563</v>
      </c>
      <c r="DJ249" s="687">
        <f>INPUT!FW221</f>
        <v>79.29936305732484</v>
      </c>
      <c r="DK249" s="151">
        <f>INPUT!FX221</f>
        <v>260</v>
      </c>
      <c r="DL249" s="507" t="str">
        <f>INPUT!FY221</f>
        <v>NM</v>
      </c>
      <c r="DM249" s="151">
        <f>INPUT!FZ221</f>
        <v>312</v>
      </c>
      <c r="DN249" s="507">
        <f>INPUT!GA221</f>
        <v>19.999999999999996</v>
      </c>
      <c r="DO249" s="151">
        <f>INPUT!GB221</f>
        <v>101</v>
      </c>
      <c r="DP249" s="507" t="str">
        <f>INPUT!GC221</f>
        <v>NM</v>
      </c>
      <c r="DQ249" s="151">
        <f>INPUT!GD221</f>
        <v>455</v>
      </c>
      <c r="DR249" s="507" t="str">
        <f>INPUT!GE221</f>
        <v>NM</v>
      </c>
      <c r="DS249" s="151">
        <f>INPUT!GF221</f>
        <v>689</v>
      </c>
      <c r="DT249" s="507">
        <f>INPUT!GG221</f>
        <v>51.428571428571423</v>
      </c>
      <c r="DU249" s="151">
        <f>INPUT!GH221</f>
        <v>1116</v>
      </c>
      <c r="DV249" s="507">
        <f>INPUT!GI221</f>
        <v>61.973875181422343</v>
      </c>
      <c r="DW249" s="151">
        <f>INPUT!GJ221</f>
        <v>1047</v>
      </c>
      <c r="DX249" s="507">
        <f>INPUT!GK221</f>
        <v>-6.1827956989247257</v>
      </c>
      <c r="DY249" s="151">
        <f>INPUT!GL221</f>
        <v>1095</v>
      </c>
      <c r="DZ249" s="507">
        <f>INPUT!GM221</f>
        <v>4.5845272206303633</v>
      </c>
      <c r="EA249" s="151">
        <f>INPUT!GN221</f>
        <v>1463</v>
      </c>
      <c r="EB249" s="507">
        <f>INPUT!GO221</f>
        <v>33.607305936073061</v>
      </c>
      <c r="EC249" s="151">
        <f>INPUT!GP221</f>
        <v>1286.8143725260336</v>
      </c>
      <c r="ED249" s="507">
        <f>INPUT!GQ221</f>
        <v>-12.042763326997019</v>
      </c>
      <c r="EE249" s="151">
        <f>INPUT!GR221</f>
        <v>1352.706455119016</v>
      </c>
      <c r="EF249" s="507">
        <f>INPUT!GS221</f>
        <v>5.120558489227589</v>
      </c>
      <c r="EG249" s="151">
        <f>INPUT!GT221</f>
        <v>1445.7846916790331</v>
      </c>
      <c r="EH249" s="507">
        <f>INPUT!GU221</f>
        <v>6.8808895091601929</v>
      </c>
      <c r="EI249" s="151">
        <f>INPUT!GV221</f>
        <v>1542.3400170864161</v>
      </c>
      <c r="EJ249" s="507">
        <f>INPUT!GW221</f>
        <v>6.6784028052787381</v>
      </c>
      <c r="EK249" s="151">
        <f>INPUT!GX221</f>
        <v>1642.6652509907776</v>
      </c>
      <c r="EL249" s="507">
        <f>INPUT!GY221</f>
        <v>6.5047416777710643</v>
      </c>
      <c r="EM249" s="687">
        <f>INPUT!GZ221</f>
        <v>2.3436611104266092</v>
      </c>
    </row>
    <row r="250" spans="1:143" ht="12.75" hidden="1" customHeight="1" outlineLevel="1" x14ac:dyDescent="0.2">
      <c r="A250" s="701" t="str">
        <f>INPUT!B224</f>
        <v>Inv Perf/BOP AUM (%)</v>
      </c>
      <c r="B250" s="464">
        <f>INPUT!AY224</f>
        <v>21.235779611867052</v>
      </c>
      <c r="C250" s="507">
        <f>INPUT!AZ224</f>
        <v>0</v>
      </c>
      <c r="D250" s="464">
        <f>INPUT!BA224</f>
        <v>-11.552346570397113</v>
      </c>
      <c r="E250" s="687">
        <f>INPUT!BB224</f>
        <v>0</v>
      </c>
      <c r="F250" s="464">
        <f>INPUT!BC224</f>
        <v>13.067843090497197</v>
      </c>
      <c r="G250" s="687">
        <f>INPUT!BD224</f>
        <v>0</v>
      </c>
      <c r="H250" s="464">
        <f>INPUT!BE224</f>
        <v>27.320246253920317</v>
      </c>
      <c r="I250" s="687">
        <f>INPUT!BF224</f>
        <v>0</v>
      </c>
      <c r="J250" s="464">
        <f>INPUT!BG224</f>
        <v>6.7784516589368531</v>
      </c>
      <c r="K250" s="687">
        <f>INPUT!BH224</f>
        <v>0</v>
      </c>
      <c r="L250" s="464">
        <f>INPUT!BI224</f>
        <v>20.975096457383373</v>
      </c>
      <c r="M250" s="687">
        <f>INPUT!BJ224</f>
        <v>0</v>
      </c>
      <c r="N250" s="464">
        <f>INPUT!BK224</f>
        <v>10.950621430970777</v>
      </c>
      <c r="O250" s="687">
        <f>INPUT!BL224</f>
        <v>0</v>
      </c>
      <c r="P250" s="464">
        <f>INPUT!BM224</f>
        <v>-6.2909567496723451</v>
      </c>
      <c r="Q250" s="687">
        <f>INPUT!BN224</f>
        <v>0</v>
      </c>
      <c r="R250" s="464">
        <f>INPUT!BO224</f>
        <v>-32.185430463576161</v>
      </c>
      <c r="S250" s="687">
        <f>INPUT!BP224</f>
        <v>0</v>
      </c>
      <c r="T250" s="464">
        <f>INPUT!BQ224</f>
        <v>-0.64113980409617088</v>
      </c>
      <c r="U250" s="687">
        <f>INPUT!BR224</f>
        <v>0</v>
      </c>
      <c r="V250" s="464">
        <f>INPUT!BS224</f>
        <v>-42.39729681664592</v>
      </c>
      <c r="W250" s="687">
        <f>INPUT!BT224</f>
        <v>0</v>
      </c>
      <c r="X250" s="464">
        <f>INPUT!BU224</f>
        <v>-70.490506329113927</v>
      </c>
      <c r="Y250" s="687">
        <f>INPUT!BV224</f>
        <v>0</v>
      </c>
      <c r="Z250" s="464">
        <f>INPUT!BW224</f>
        <v>-24.935309338979064</v>
      </c>
      <c r="AA250" s="687">
        <f>INPUT!BX224</f>
        <v>0</v>
      </c>
      <c r="AB250" s="464">
        <f>INPUT!BY224</f>
        <v>56.813627254509015</v>
      </c>
      <c r="AC250" s="687">
        <f>INPUT!BZ224</f>
        <v>0</v>
      </c>
      <c r="AD250" s="464">
        <f>INPUT!CA224</f>
        <v>54.888206926786495</v>
      </c>
      <c r="AE250" s="687">
        <f>INPUT!CB224</f>
        <v>0</v>
      </c>
      <c r="AF250" s="464">
        <f>INPUT!CC224</f>
        <v>16.460587326120557</v>
      </c>
      <c r="AG250" s="687">
        <f>INPUT!CD224</f>
        <v>0</v>
      </c>
      <c r="AH250" s="156">
        <f>INPUT!CE224</f>
        <v>15.963684509173445</v>
      </c>
      <c r="AI250" s="507">
        <f>INPUT!CF224</f>
        <v>0</v>
      </c>
      <c r="AJ250" s="156">
        <f>INPUT!CG224</f>
        <v>-29.559173221145052</v>
      </c>
      <c r="AK250" s="507">
        <f>INPUT!CH224</f>
        <v>0</v>
      </c>
      <c r="AL250" s="156">
        <f>INPUT!CI224</f>
        <v>39.705589814999001</v>
      </c>
      <c r="AM250" s="507">
        <f>INPUT!CJ224</f>
        <v>0</v>
      </c>
      <c r="AN250" s="156">
        <f>INPUT!CK224</f>
        <v>30.061129090255307</v>
      </c>
      <c r="AO250" s="507">
        <f>INPUT!CL224</f>
        <v>0</v>
      </c>
      <c r="AP250" s="156">
        <f>INPUT!CM224</f>
        <v>18.114726601811473</v>
      </c>
      <c r="AQ250" s="507">
        <f>INPUT!CN224</f>
        <v>0</v>
      </c>
      <c r="AR250" s="156">
        <f>INPUT!CO224</f>
        <v>2.5279533300923673</v>
      </c>
      <c r="AS250" s="507">
        <f>INPUT!CP224</f>
        <v>0</v>
      </c>
      <c r="AT250" s="156">
        <f>INPUT!CQ224</f>
        <v>-46.71106058145201</v>
      </c>
      <c r="AU250" s="507">
        <f>INPUT!CR224</f>
        <v>0</v>
      </c>
      <c r="AV250" s="156">
        <f>INPUT!CS224</f>
        <v>29.990697674418605</v>
      </c>
      <c r="AW250" s="507">
        <f>INPUT!CT224</f>
        <v>0</v>
      </c>
      <c r="AX250" s="156">
        <f>INPUT!CU224</f>
        <v>38.192368559873394</v>
      </c>
      <c r="AY250" s="507">
        <f>INPUT!CV224</f>
        <v>0</v>
      </c>
      <c r="AZ250" s="156">
        <f>INPUT!CW224</f>
        <v>-10.512737826507578</v>
      </c>
      <c r="BA250" s="507">
        <f>INPUT!CX224</f>
        <v>0</v>
      </c>
      <c r="BB250" s="156">
        <f>INPUT!CY224</f>
        <v>20.649458784346379</v>
      </c>
      <c r="BC250" s="507">
        <f>INPUT!CZ224</f>
        <v>0</v>
      </c>
      <c r="BD250" s="156">
        <f>INPUT!DA224</f>
        <v>6.6432449696582561</v>
      </c>
      <c r="BE250" s="507">
        <f>INPUT!DB224</f>
        <v>0</v>
      </c>
      <c r="BF250" s="156">
        <f>INPUT!DC224</f>
        <v>23.547447493484594</v>
      </c>
      <c r="BG250" s="507">
        <f>INPUT!DD224</f>
        <v>0</v>
      </c>
      <c r="BH250" s="156">
        <f>INPUT!DE224</f>
        <v>3.2657821839918353</v>
      </c>
      <c r="BI250" s="507">
        <f>INPUT!DF224</f>
        <v>0</v>
      </c>
      <c r="BJ250" s="156">
        <f>INPUT!DG224</f>
        <v>23.293172690763054</v>
      </c>
      <c r="BK250" s="507">
        <f>INPUT!DH224</f>
        <v>0</v>
      </c>
      <c r="BL250" s="156">
        <f>INPUT!DI224</f>
        <v>24.527036092848515</v>
      </c>
      <c r="BM250" s="507">
        <f>INPUT!DJ224</f>
        <v>0</v>
      </c>
      <c r="BN250" s="156">
        <f>INPUT!DK224</f>
        <v>5.9303187546330616</v>
      </c>
      <c r="BO250" s="507">
        <f>INPUT!DL224</f>
        <v>0</v>
      </c>
      <c r="BP250" s="156">
        <f>INPUT!DM224</f>
        <v>15.513526454393107</v>
      </c>
      <c r="BQ250" s="507" t="str">
        <f>INPUT!DN224</f>
        <v>NM</v>
      </c>
      <c r="BR250" s="156">
        <f>INPUT!DO224</f>
        <v>-5.7905451255372089</v>
      </c>
      <c r="BS250" s="507" t="str">
        <f>INPUT!DP224</f>
        <v>NM</v>
      </c>
      <c r="BT250" s="156">
        <f>INPUT!DQ224</f>
        <v>9.6679466907612372</v>
      </c>
      <c r="BU250" s="507" t="str">
        <f>INPUT!DR224</f>
        <v>NM</v>
      </c>
      <c r="BV250" s="156">
        <f>INPUT!DS224</f>
        <v>10.191082802547772</v>
      </c>
      <c r="BW250" s="507">
        <f>INPUT!DT224</f>
        <v>71.847133757961814</v>
      </c>
      <c r="BX250" s="156">
        <f>INPUT!DU224</f>
        <v>-0.24909185262065389</v>
      </c>
      <c r="BY250" s="507" t="str">
        <f>INPUT!DV224</f>
        <v>NM</v>
      </c>
      <c r="BZ250" s="156">
        <f>INPUT!DW224</f>
        <v>-26.295310260086012</v>
      </c>
      <c r="CA250" s="507">
        <f>INPUT!DX224</f>
        <v>-24573.870129870123</v>
      </c>
      <c r="CB250" s="156">
        <f>INPUT!DY224</f>
        <v>14.327580592640835</v>
      </c>
      <c r="CC250" s="507">
        <f>INPUT!DZ224</f>
        <v>48.196727298179852</v>
      </c>
      <c r="CD250" s="156">
        <f>INPUT!EA224</f>
        <v>2.7640264026402641</v>
      </c>
      <c r="CE250" s="507" t="str">
        <f>INPUT!EB224</f>
        <v>NM</v>
      </c>
      <c r="CF250" s="156">
        <f>INPUT!EC224</f>
        <v>8.3418107833163777</v>
      </c>
      <c r="CG250" s="507" t="str">
        <f>INPUT!ED224</f>
        <v>NM</v>
      </c>
      <c r="CH250" s="156">
        <f>INPUT!EE224</f>
        <v>16.594573338576485</v>
      </c>
      <c r="CI250" s="507" t="str">
        <f>INPUT!EF224</f>
        <v>NM</v>
      </c>
      <c r="CJ250" s="156">
        <f>INPUT!EG224</f>
        <v>6.0206262194555427</v>
      </c>
      <c r="CK250" s="507" t="str">
        <f>INPUT!EH224</f>
        <v>NM</v>
      </c>
      <c r="CL250" s="156">
        <f>INPUT!EI224</f>
        <v>21.016458672454334</v>
      </c>
      <c r="CM250" s="507" t="str">
        <f>INPUT!EJ224</f>
        <v>NM</v>
      </c>
      <c r="CN250" s="156">
        <f>INPUT!EK224</f>
        <v>13.149847094801222</v>
      </c>
      <c r="CO250" s="507">
        <f>INPUT!EL224</f>
        <v>57.637801148653686</v>
      </c>
      <c r="CP250" s="156">
        <f>INPUT!EM224</f>
        <v>15.582303188028627</v>
      </c>
      <c r="CQ250" s="507">
        <f>INPUT!EN224</f>
        <v>-6.1000070920455007</v>
      </c>
      <c r="CR250" s="156">
        <f>INPUT!EO224</f>
        <v>16.630535769588111</v>
      </c>
      <c r="CS250" s="507" t="str">
        <f>INPUT!EP224</f>
        <v>NM</v>
      </c>
      <c r="CT250" s="156">
        <f>INPUT!EQ224</f>
        <v>-2.9875213957343911</v>
      </c>
      <c r="CU250" s="507" t="str">
        <f>INPUT!ER224</f>
        <v>NM</v>
      </c>
      <c r="CV250" s="156">
        <f>INPUT!ES224</f>
        <v>4.9792023262239855</v>
      </c>
      <c r="CW250" s="507" t="str">
        <f>INPUT!ET224</f>
        <v>NM</v>
      </c>
      <c r="CX250" s="156">
        <f>INPUT!EU224</f>
        <v>4.9792023262239855</v>
      </c>
      <c r="CY250" s="507" t="str">
        <f>INPUT!EV224</f>
        <v>NM</v>
      </c>
      <c r="CZ250" s="156">
        <f>INPUT!EW224</f>
        <v>4.9792023262239855</v>
      </c>
      <c r="DA250" s="507" t="str">
        <f>INPUT!EX224</f>
        <v>NM</v>
      </c>
      <c r="DB250" s="507"/>
      <c r="DC250" s="464">
        <f>INPUT!FP224</f>
        <v>39.447731755424066</v>
      </c>
      <c r="DD250" s="687">
        <f>INPUT!FQ224</f>
        <v>0</v>
      </c>
      <c r="DE250" s="464">
        <f>INPUT!FR224</f>
        <v>86.033020972780008</v>
      </c>
      <c r="DF250" s="687">
        <f>INPUT!FS224</f>
        <v>0</v>
      </c>
      <c r="DG250" s="464">
        <f>INPUT!FT224</f>
        <v>32.89332857652515</v>
      </c>
      <c r="DH250" s="687">
        <f>INPUT!FU224</f>
        <v>0</v>
      </c>
      <c r="DI250" s="464">
        <f>INPUT!FV224</f>
        <v>-131.25827814569539</v>
      </c>
      <c r="DJ250" s="687">
        <f>INPUT!FW224</f>
        <v>0</v>
      </c>
      <c r="DK250" s="156">
        <f>INPUT!FX224</f>
        <v>107.36297341801928</v>
      </c>
      <c r="DL250" s="507">
        <f>INPUT!FY224</f>
        <v>0</v>
      </c>
      <c r="DM250" s="156">
        <f>INPUT!FZ224</f>
        <v>54.775865330054849</v>
      </c>
      <c r="DN250" s="507">
        <f>INPUT!GA224</f>
        <v>0</v>
      </c>
      <c r="DO250" s="156">
        <f>INPUT!GB224</f>
        <v>-0.4696410600469641</v>
      </c>
      <c r="DP250" s="507">
        <f>INPUT!GC224</f>
        <v>0</v>
      </c>
      <c r="DQ250" s="156">
        <f>INPUT!GD224</f>
        <v>55.846667838930898</v>
      </c>
      <c r="DR250" s="507">
        <f>INPUT!GE224</f>
        <v>0</v>
      </c>
      <c r="DS250" s="156">
        <f>INPUT!GF224</f>
        <v>79.901885635443819</v>
      </c>
      <c r="DT250" s="507">
        <f>INPUT!GG224</f>
        <v>43.073685015355466</v>
      </c>
      <c r="DU250" s="156">
        <f>INPUT!GH224</f>
        <v>26.192241166296022</v>
      </c>
      <c r="DV250" s="507" t="str">
        <f>INPUT!GI224</f>
        <v>NM</v>
      </c>
      <c r="DW250" s="156">
        <f>INPUT!GJ224</f>
        <v>-3.5409694483428691</v>
      </c>
      <c r="DX250" s="507" t="str">
        <f>INPUT!GK224</f>
        <v>NM</v>
      </c>
      <c r="DY250" s="156">
        <f>INPUT!GL224</f>
        <v>35.313531353135311</v>
      </c>
      <c r="DZ250" s="507" t="str">
        <f>INPUT!GM224</f>
        <v>NM</v>
      </c>
      <c r="EA250" s="156">
        <f>INPUT!GN224</f>
        <v>71.767046482184853</v>
      </c>
      <c r="EB250" s="507" t="str">
        <f>INPUT!GO224</f>
        <v>NM</v>
      </c>
      <c r="EC250" s="156">
        <f>INPUT!GP224</f>
        <v>12.170921913654361</v>
      </c>
      <c r="ED250" s="507" t="str">
        <f>INPUT!GQ224</f>
        <v>NM</v>
      </c>
      <c r="EE250" s="156">
        <f>INPUT!GR224</f>
        <v>0</v>
      </c>
      <c r="EF250" s="507" t="str">
        <f>INPUT!GS224</f>
        <v>NM</v>
      </c>
      <c r="EG250" s="156">
        <f>INPUT!GT224</f>
        <v>0</v>
      </c>
      <c r="EH250" s="507" t="str">
        <f>INPUT!GU224</f>
        <v>NA</v>
      </c>
      <c r="EI250" s="156">
        <f>INPUT!GV224</f>
        <v>0</v>
      </c>
      <c r="EJ250" s="507" t="str">
        <f>INPUT!GW224</f>
        <v>NA</v>
      </c>
      <c r="EK250" s="156">
        <f>INPUT!GX224</f>
        <v>0</v>
      </c>
      <c r="EL250" s="507" t="str">
        <f>INPUT!GY224</f>
        <v>NA</v>
      </c>
      <c r="EM250" s="687" t="str">
        <f>INPUT!GZ224</f>
        <v>NM</v>
      </c>
    </row>
    <row r="251" spans="1:143" ht="12.75" hidden="1" customHeight="1" outlineLevel="1" x14ac:dyDescent="0.2">
      <c r="A251" s="718" t="str">
        <f>INPUT!B223</f>
        <v>Withdrawals/BOP VUL Res (%)</v>
      </c>
      <c r="B251" s="156">
        <f>INPUT!AY223</f>
        <v>8.7441445460629037</v>
      </c>
      <c r="C251" s="507">
        <f>INPUT!AZ223</f>
        <v>0</v>
      </c>
      <c r="D251" s="156">
        <f>INPUT!BA223</f>
        <v>26.842217031216819</v>
      </c>
      <c r="E251" s="687">
        <f>INPUT!BB223</f>
        <v>0</v>
      </c>
      <c r="F251" s="156">
        <f>INPUT!BC223</f>
        <v>-1.2400143078573982</v>
      </c>
      <c r="G251" s="687">
        <f>INPUT!BD223</f>
        <v>0</v>
      </c>
      <c r="H251" s="156">
        <f>INPUT!BE223</f>
        <v>6.7835985596468804</v>
      </c>
      <c r="I251" s="687">
        <f>INPUT!BF223</f>
        <v>0</v>
      </c>
      <c r="J251" s="156">
        <f>INPUT!BG223</f>
        <v>5.4941134498751332</v>
      </c>
      <c r="K251" s="687">
        <f>INPUT!BH223</f>
        <v>0</v>
      </c>
      <c r="L251" s="156">
        <f>INPUT!BI223</f>
        <v>7.6464398456681861</v>
      </c>
      <c r="M251" s="687">
        <f>INPUT!BJ223</f>
        <v>0</v>
      </c>
      <c r="N251" s="156">
        <f>INPUT!BK223</f>
        <v>6.9868995633187767</v>
      </c>
      <c r="O251" s="687">
        <f>INPUT!BL223</f>
        <v>0</v>
      </c>
      <c r="P251" s="156">
        <f>INPUT!BM223</f>
        <v>6.0288335517693321</v>
      </c>
      <c r="Q251" s="687">
        <f>INPUT!BN223</f>
        <v>0</v>
      </c>
      <c r="R251" s="156">
        <f>INPUT!BO223</f>
        <v>5.4966887417218544</v>
      </c>
      <c r="S251" s="687">
        <f>INPUT!BP223</f>
        <v>0</v>
      </c>
      <c r="T251" s="156">
        <f>INPUT!BQ223</f>
        <v>7.6936776491540515</v>
      </c>
      <c r="U251" s="687">
        <f>INPUT!BR223</f>
        <v>0</v>
      </c>
      <c r="V251" s="156">
        <f>INPUT!BS223</f>
        <v>6.1177307487106525</v>
      </c>
      <c r="W251" s="687">
        <f>INPUT!BT223</f>
        <v>0</v>
      </c>
      <c r="X251" s="156">
        <f>INPUT!BU223</f>
        <v>6.962025316455696</v>
      </c>
      <c r="Y251" s="687">
        <f>INPUT!BV223</f>
        <v>0</v>
      </c>
      <c r="Z251" s="156">
        <f>INPUT!BW223</f>
        <v>13.455657492354739</v>
      </c>
      <c r="AA251" s="687">
        <f>INPUT!BX223</f>
        <v>0</v>
      </c>
      <c r="AB251" s="156">
        <f>INPUT!BY223</f>
        <v>8.9178356713426865</v>
      </c>
      <c r="AC251" s="687">
        <f>INPUT!BZ223</f>
        <v>0</v>
      </c>
      <c r="AD251" s="156">
        <f>INPUT!CA223</f>
        <v>8.3296799649276636</v>
      </c>
      <c r="AE251" s="687">
        <f>INPUT!CB223</f>
        <v>0</v>
      </c>
      <c r="AF251" s="156">
        <f>INPUT!CC223</f>
        <v>18.778979907264297</v>
      </c>
      <c r="AG251" s="687">
        <f>INPUT!CD223</f>
        <v>0</v>
      </c>
      <c r="AH251" s="156">
        <f>INPUT!CE223</f>
        <v>8.170985435975032</v>
      </c>
      <c r="AI251" s="507">
        <f>INPUT!CF223</f>
        <v>0</v>
      </c>
      <c r="AJ251" s="156">
        <f>INPUT!CG223</f>
        <v>7.2434607645875255</v>
      </c>
      <c r="AK251" s="507">
        <f>INPUT!CH223</f>
        <v>0</v>
      </c>
      <c r="AL251" s="156">
        <f>INPUT!CI223</f>
        <v>9.62800875273523</v>
      </c>
      <c r="AM251" s="507">
        <f>INPUT!CJ223</f>
        <v>0</v>
      </c>
      <c r="AN251" s="156">
        <f>INPUT!CK223</f>
        <v>11.938151743976986</v>
      </c>
      <c r="AO251" s="507">
        <f>INPUT!CL223</f>
        <v>0</v>
      </c>
      <c r="AP251" s="156">
        <f>INPUT!CM223</f>
        <v>10.332103321033211</v>
      </c>
      <c r="AQ251" s="507">
        <f>INPUT!CN223</f>
        <v>0</v>
      </c>
      <c r="AR251" s="156">
        <f>INPUT!CO223</f>
        <v>7.1301247771836014</v>
      </c>
      <c r="AS251" s="507">
        <f>INPUT!CP223</f>
        <v>0</v>
      </c>
      <c r="AT251" s="156">
        <f>INPUT!CQ223</f>
        <v>9.6150722754588269</v>
      </c>
      <c r="AU251" s="507">
        <f>INPUT!CR223</f>
        <v>0</v>
      </c>
      <c r="AV251" s="156">
        <f>INPUT!CS223</f>
        <v>15.404651162790698</v>
      </c>
      <c r="AW251" s="507">
        <f>INPUT!CT223</f>
        <v>0</v>
      </c>
      <c r="AX251" s="156">
        <f>INPUT!CU223</f>
        <v>7.1039212238438534</v>
      </c>
      <c r="AY251" s="507">
        <f>INPUT!CV223</f>
        <v>0</v>
      </c>
      <c r="AZ251" s="156">
        <f>INPUT!CW223</f>
        <v>5.9980651402773297</v>
      </c>
      <c r="BA251" s="507">
        <f>INPUT!CX223</f>
        <v>0</v>
      </c>
      <c r="BB251" s="156">
        <f>INPUT!CY223</f>
        <v>5.5953372189841799</v>
      </c>
      <c r="BC251" s="507">
        <f>INPUT!CZ223</f>
        <v>0</v>
      </c>
      <c r="BD251" s="156">
        <f>INPUT!DA223</f>
        <v>8.3679335675503044</v>
      </c>
      <c r="BE251" s="507">
        <f>INPUT!DB223</f>
        <v>0</v>
      </c>
      <c r="BF251" s="156">
        <f>INPUT!DC223</f>
        <v>12.570902958761307</v>
      </c>
      <c r="BG251" s="507">
        <f>INPUT!DD223</f>
        <v>0</v>
      </c>
      <c r="BH251" s="156">
        <f>INPUT!DE223</f>
        <v>6.8231520629829419</v>
      </c>
      <c r="BI251" s="507">
        <f>INPUT!DF223</f>
        <v>0</v>
      </c>
      <c r="BJ251" s="156">
        <f>INPUT!DG223</f>
        <v>6.4830751577739525</v>
      </c>
      <c r="BK251" s="507">
        <f>INPUT!DH223</f>
        <v>0</v>
      </c>
      <c r="BL251" s="156">
        <f>INPUT!DI223</f>
        <v>6.7087079028579089</v>
      </c>
      <c r="BM251" s="507">
        <f>INPUT!DJ223</f>
        <v>0</v>
      </c>
      <c r="BN251" s="156">
        <f>INPUT!DK223</f>
        <v>7.1658018285149492</v>
      </c>
      <c r="BO251" s="507">
        <f>INPUT!DL223</f>
        <v>0</v>
      </c>
      <c r="BP251" s="156">
        <f>INPUT!DM223</f>
        <v>6.511850610485995</v>
      </c>
      <c r="BQ251" s="507">
        <f>INPUT!DN223</f>
        <v>-4.5624287664029044</v>
      </c>
      <c r="BR251" s="156">
        <f>INPUT!DO223</f>
        <v>4.161954308979869</v>
      </c>
      <c r="BS251" s="507">
        <f>INPUT!DP223</f>
        <v>-35.802775570337062</v>
      </c>
      <c r="BT251" s="156">
        <f>INPUT!DQ223</f>
        <v>5.5116331601536031</v>
      </c>
      <c r="BU251" s="507">
        <f>INPUT!DR223</f>
        <v>-17.843596114750383</v>
      </c>
      <c r="BV251" s="156">
        <f>INPUT!DS223</f>
        <v>5.3546367267623882</v>
      </c>
      <c r="BW251" s="507">
        <f>INPUT!DT223</f>
        <v>-25.275121264802113</v>
      </c>
      <c r="BX251" s="156">
        <f>INPUT!DU223</f>
        <v>4.815775817332641</v>
      </c>
      <c r="BY251" s="507">
        <f>INPUT!DV223</f>
        <v>-26.045972099270443</v>
      </c>
      <c r="BZ251" s="156">
        <f>INPUT!DW223</f>
        <v>6.840057341798075</v>
      </c>
      <c r="CA251" s="507">
        <f>INPUT!DX223</f>
        <v>6392.2683982683975</v>
      </c>
      <c r="CB251" s="156">
        <f>INPUT!DY223</f>
        <v>7.1203733854336262</v>
      </c>
      <c r="CC251" s="507">
        <f>INPUT!DZ223</f>
        <v>29.188085972601073</v>
      </c>
      <c r="CD251" s="156">
        <f>INPUT!EA223</f>
        <v>3.7541254125412546</v>
      </c>
      <c r="CE251" s="507">
        <f>INPUT!EB223</f>
        <v>-29.890194160545079</v>
      </c>
      <c r="CF251" s="156">
        <f>INPUT!EC223</f>
        <v>4.8423194303153609</v>
      </c>
      <c r="CG251" s="507">
        <f>INPUT!ED223</f>
        <v>0.55118041182866673</v>
      </c>
      <c r="CH251" s="156">
        <f>INPUT!EE223</f>
        <v>4.6401887534408184</v>
      </c>
      <c r="CI251" s="507">
        <f>INPUT!EF223</f>
        <v>-32.161551847151145</v>
      </c>
      <c r="CJ251" s="156">
        <f>INPUT!EG223</f>
        <v>7.3585431571123294</v>
      </c>
      <c r="CK251" s="507">
        <f>INPUT!EH223</f>
        <v>3.3449056501156926</v>
      </c>
      <c r="CL251" s="156">
        <f>INPUT!EI223</f>
        <v>3.1470428648941944</v>
      </c>
      <c r="CM251" s="507">
        <f>INPUT!EJ223</f>
        <v>-16.171077972488725</v>
      </c>
      <c r="CN251" s="156">
        <f>INPUT!EK223</f>
        <v>4.281345565749235</v>
      </c>
      <c r="CO251" s="507">
        <f>INPUT!EL223</f>
        <v>-11.584817413203819</v>
      </c>
      <c r="CP251" s="156">
        <f>INPUT!EM223</f>
        <v>2.8627195836044241</v>
      </c>
      <c r="CQ251" s="507">
        <f>INPUT!EN223</f>
        <v>-38.305966939779232</v>
      </c>
      <c r="CR251" s="156">
        <f>INPUT!EO223</f>
        <v>5.3267265407246827</v>
      </c>
      <c r="CS251" s="507">
        <f>INPUT!EP223</f>
        <v>-27.61166949770233</v>
      </c>
      <c r="CT251" s="156">
        <f>INPUT!EQ223</f>
        <v>5.3267265407246827</v>
      </c>
      <c r="CU251" s="507">
        <f>INPUT!ER223</f>
        <v>69.261327837165339</v>
      </c>
      <c r="CV251" s="156">
        <f>INPUT!ES223</f>
        <v>5.3267265407246827</v>
      </c>
      <c r="CW251" s="507">
        <f>INPUT!ET223</f>
        <v>24.417112772640827</v>
      </c>
      <c r="CX251" s="156">
        <f>INPUT!EU223</f>
        <v>5.3267265407246827</v>
      </c>
      <c r="CY251" s="507">
        <f>INPUT!EV223</f>
        <v>86.072243024859944</v>
      </c>
      <c r="CZ251" s="156">
        <f>INPUT!EW223</f>
        <v>5.3267265407246827</v>
      </c>
      <c r="DA251" s="507">
        <f>INPUT!EX223</f>
        <v>0</v>
      </c>
      <c r="DB251" s="507"/>
      <c r="DC251" s="156">
        <f>INPUT!FP223</f>
        <v>7.9881656804733732</v>
      </c>
      <c r="DD251" s="687">
        <f>INPUT!FQ223</f>
        <v>0</v>
      </c>
      <c r="DE251" s="156">
        <f>INPUT!FR223</f>
        <v>11.914323962516733</v>
      </c>
      <c r="DF251" s="687">
        <f>INPUT!FS223</f>
        <v>0</v>
      </c>
      <c r="DG251" s="156">
        <f>INPUT!FT223</f>
        <v>6.8141277202996786</v>
      </c>
      <c r="DH251" s="687">
        <f>INPUT!FU223</f>
        <v>0</v>
      </c>
      <c r="DI251" s="156">
        <f>INPUT!FV223</f>
        <v>6.0430463576158946</v>
      </c>
      <c r="DJ251" s="687">
        <f>INPUT!FW223</f>
        <v>0</v>
      </c>
      <c r="DK251" s="156">
        <f>INPUT!FX223</f>
        <v>13.408609738884969</v>
      </c>
      <c r="DL251" s="507">
        <f>INPUT!FY223</f>
        <v>0</v>
      </c>
      <c r="DM251" s="156">
        <f>INPUT!FZ223</f>
        <v>9.3436731605825614</v>
      </c>
      <c r="DN251" s="507">
        <f>INPUT!GA223</f>
        <v>0</v>
      </c>
      <c r="DO251" s="156">
        <f>INPUT!GB223</f>
        <v>10.382422006038242</v>
      </c>
      <c r="DP251" s="507">
        <f>INPUT!GC223</f>
        <v>0</v>
      </c>
      <c r="DQ251" s="156">
        <f>INPUT!GD223</f>
        <v>7.191841040970635</v>
      </c>
      <c r="DR251" s="507">
        <f>INPUT!GE223</f>
        <v>0</v>
      </c>
      <c r="DS251" s="156">
        <f>INPUT!GF223</f>
        <v>8.5850068986662578</v>
      </c>
      <c r="DT251" s="507">
        <f>INPUT!GG223</f>
        <v>19.371477341601473</v>
      </c>
      <c r="DU251" s="156">
        <f>INPUT!GH223</f>
        <v>6.1156412157153452</v>
      </c>
      <c r="DV251" s="507">
        <f>INPUT!GI223</f>
        <v>-28.763700624801437</v>
      </c>
      <c r="DW251" s="156">
        <f>INPUT!GJ223</f>
        <v>6.1643096189139586</v>
      </c>
      <c r="DX251" s="507">
        <f>INPUT!GK223</f>
        <v>0.79580213230217023</v>
      </c>
      <c r="DY251" s="156">
        <f>INPUT!GL223</f>
        <v>5.4249174917491745</v>
      </c>
      <c r="DZ251" s="507">
        <f>INPUT!GM223</f>
        <v>-11.994727274829064</v>
      </c>
      <c r="EA251" s="156">
        <f>INPUT!GN223</f>
        <v>4.277446192801591</v>
      </c>
      <c r="EB251" s="507">
        <f>INPUT!GO223</f>
        <v>-21.151866377558505</v>
      </c>
      <c r="EC251" s="156">
        <f>INPUT!GP223</f>
        <v>5.3857889500683447</v>
      </c>
      <c r="ED251" s="507">
        <f>INPUT!GQ223</f>
        <v>25.911319682570323</v>
      </c>
      <c r="EE251" s="156">
        <f>INPUT!GR223</f>
        <v>5.3857889500683447</v>
      </c>
      <c r="EF251" s="507">
        <f>INPUT!GS223</f>
        <v>0</v>
      </c>
      <c r="EG251" s="156">
        <f>INPUT!GT223</f>
        <v>5.3857889500683447</v>
      </c>
      <c r="EH251" s="507">
        <f>INPUT!GU223</f>
        <v>0</v>
      </c>
      <c r="EI251" s="156">
        <f>INPUT!GV223</f>
        <v>5.3857889500683447</v>
      </c>
      <c r="EJ251" s="507">
        <f>INPUT!GW223</f>
        <v>0</v>
      </c>
      <c r="EK251" s="156">
        <f>INPUT!GX223</f>
        <v>5.3857889500683447</v>
      </c>
      <c r="EL251" s="507">
        <f>INPUT!GY223</f>
        <v>0</v>
      </c>
      <c r="EM251" s="687">
        <f>INPUT!GZ223</f>
        <v>4.7159784744409627</v>
      </c>
    </row>
    <row r="252" spans="1:143" ht="12.75" hidden="1" customHeight="1" outlineLevel="1" x14ac:dyDescent="0.2">
      <c r="A252" s="701"/>
      <c r="B252" s="16"/>
      <c r="C252" s="507"/>
      <c r="D252" s="16"/>
      <c r="E252" s="687"/>
      <c r="F252" s="16"/>
      <c r="G252" s="687"/>
      <c r="H252" s="16"/>
      <c r="I252" s="687"/>
      <c r="J252" s="16"/>
      <c r="K252" s="507"/>
      <c r="L252" s="16"/>
      <c r="M252" s="507"/>
      <c r="N252" s="16"/>
      <c r="O252" s="507"/>
      <c r="P252" s="16"/>
      <c r="Q252" s="507"/>
      <c r="R252" s="16"/>
      <c r="S252" s="507"/>
      <c r="T252" s="16"/>
      <c r="U252" s="507"/>
      <c r="V252" s="16"/>
      <c r="W252" s="507"/>
      <c r="X252" s="16"/>
      <c r="Y252" s="507"/>
      <c r="Z252" s="16"/>
      <c r="AA252" s="507"/>
      <c r="AB252" s="16"/>
      <c r="AC252" s="507"/>
      <c r="AD252" s="16"/>
      <c r="AE252" s="507"/>
      <c r="AF252" s="16"/>
      <c r="AG252" s="507"/>
      <c r="AH252" s="16"/>
      <c r="AI252" s="507"/>
      <c r="AJ252" s="16"/>
      <c r="AK252" s="507"/>
      <c r="AL252" s="16"/>
      <c r="AM252" s="507"/>
      <c r="AN252" s="16"/>
      <c r="AO252" s="507"/>
      <c r="AP252" s="16"/>
      <c r="AQ252" s="507"/>
      <c r="AR252" s="16"/>
      <c r="AS252" s="507"/>
      <c r="AT252" s="16"/>
      <c r="AU252" s="507"/>
      <c r="AV252" s="16"/>
      <c r="AW252" s="507"/>
      <c r="AX252" s="16"/>
      <c r="AY252" s="507"/>
      <c r="AZ252" s="16"/>
      <c r="BA252" s="507"/>
      <c r="BB252" s="16"/>
      <c r="BC252" s="507"/>
      <c r="BD252" s="16"/>
      <c r="BE252" s="507"/>
      <c r="BF252" s="16"/>
      <c r="BG252" s="507"/>
      <c r="BH252" s="16"/>
      <c r="BI252" s="507"/>
      <c r="BJ252" s="16"/>
      <c r="BK252" s="507"/>
      <c r="BL252" s="16"/>
      <c r="BM252" s="507"/>
      <c r="BN252" s="16"/>
      <c r="BO252" s="507"/>
      <c r="BP252" s="16"/>
      <c r="BQ252" s="507"/>
      <c r="BR252" s="16"/>
      <c r="BS252" s="507"/>
      <c r="BT252" s="16"/>
      <c r="BU252" s="507"/>
      <c r="BV252" s="16"/>
      <c r="BW252" s="507"/>
      <c r="BX252" s="16"/>
      <c r="BY252" s="507"/>
      <c r="BZ252" s="16"/>
      <c r="CA252" s="507"/>
      <c r="CB252" s="16"/>
      <c r="CC252" s="507"/>
      <c r="CD252" s="16"/>
      <c r="CE252" s="507"/>
      <c r="CF252" s="16"/>
      <c r="CG252" s="507"/>
      <c r="CH252" s="16"/>
      <c r="CI252" s="507"/>
      <c r="CJ252" s="16"/>
      <c r="CK252" s="507"/>
      <c r="CL252" s="16"/>
      <c r="CM252" s="507"/>
      <c r="CN252" s="16"/>
      <c r="CO252" s="507"/>
      <c r="CP252" s="16"/>
      <c r="CQ252" s="507"/>
      <c r="CR252" s="16"/>
      <c r="CS252" s="507"/>
      <c r="CT252" s="16"/>
      <c r="CU252" s="507"/>
      <c r="CV252" s="16"/>
      <c r="CW252" s="507"/>
      <c r="CX252" s="16"/>
      <c r="CY252" s="507"/>
      <c r="CZ252" s="16"/>
      <c r="DA252" s="507"/>
      <c r="DB252" s="507"/>
      <c r="DC252" s="16"/>
      <c r="DD252" s="507"/>
      <c r="DE252" s="16"/>
      <c r="DF252" s="507"/>
      <c r="DG252" s="16"/>
      <c r="DH252" s="507"/>
      <c r="DI252" s="16"/>
      <c r="DJ252" s="507"/>
      <c r="DK252" s="16"/>
      <c r="DL252" s="507"/>
      <c r="DM252" s="16"/>
      <c r="DN252" s="507"/>
      <c r="DO252" s="16"/>
      <c r="DP252" s="507"/>
      <c r="DQ252" s="16"/>
      <c r="DR252" s="507"/>
      <c r="DS252" s="16"/>
      <c r="DT252" s="507"/>
      <c r="DU252" s="16"/>
      <c r="DV252" s="507"/>
      <c r="DW252" s="16"/>
      <c r="DX252" s="507"/>
      <c r="DY252" s="16"/>
      <c r="DZ252" s="507"/>
      <c r="EA252" s="16"/>
      <c r="EB252" s="507"/>
      <c r="EC252" s="16"/>
      <c r="ED252" s="507"/>
      <c r="EE252" s="16"/>
      <c r="EF252" s="507"/>
      <c r="EG252" s="16"/>
      <c r="EH252" s="507"/>
      <c r="EI252" s="16"/>
      <c r="EJ252" s="507"/>
      <c r="EK252" s="16"/>
      <c r="EL252" s="507"/>
      <c r="EM252" s="687"/>
    </row>
    <row r="253" spans="1:143" ht="12.75" hidden="1" customHeight="1" outlineLevel="1" x14ac:dyDescent="0.2">
      <c r="A253" s="689" t="str">
        <f>+A51</f>
        <v xml:space="preserve">Quarterly income statement ratios are annualized where appropriate     NM = Not Meaningful       NA = Not Applicable </v>
      </c>
      <c r="B253" s="16"/>
      <c r="C253" s="507"/>
      <c r="D253" s="16"/>
      <c r="E253" s="687"/>
      <c r="F253" s="16"/>
      <c r="G253" s="687"/>
      <c r="H253" s="16"/>
      <c r="I253" s="687"/>
      <c r="J253" s="16"/>
      <c r="K253" s="507"/>
      <c r="L253" s="16"/>
      <c r="M253" s="507"/>
      <c r="N253" s="16"/>
      <c r="O253" s="507"/>
      <c r="P253" s="16"/>
      <c r="Q253" s="507"/>
      <c r="R253" s="16"/>
      <c r="S253" s="507"/>
      <c r="T253" s="16"/>
      <c r="U253" s="507"/>
      <c r="V253" s="16"/>
      <c r="W253" s="507"/>
      <c r="X253" s="16"/>
      <c r="Y253" s="507"/>
      <c r="Z253" s="16"/>
      <c r="AA253" s="507"/>
      <c r="AB253" s="16"/>
      <c r="AC253" s="507"/>
      <c r="AD253" s="16"/>
      <c r="AE253" s="507"/>
      <c r="AF253" s="16"/>
      <c r="AG253" s="507"/>
      <c r="AH253" s="16"/>
      <c r="AI253" s="507"/>
      <c r="AJ253" s="16"/>
      <c r="AK253" s="507"/>
      <c r="AL253" s="16"/>
      <c r="AM253" s="507"/>
      <c r="AN253" s="16"/>
      <c r="AO253" s="507"/>
      <c r="AP253" s="16"/>
      <c r="AQ253" s="507"/>
      <c r="AR253" s="16"/>
      <c r="AS253" s="507"/>
      <c r="AT253" s="16"/>
      <c r="AU253" s="507"/>
      <c r="AV253" s="16"/>
      <c r="AW253" s="507"/>
      <c r="AX253" s="16"/>
      <c r="AY253" s="507"/>
      <c r="AZ253" s="16"/>
      <c r="BA253" s="507"/>
      <c r="BB253" s="16"/>
      <c r="BC253" s="507"/>
      <c r="BD253" s="16"/>
      <c r="BE253" s="507"/>
      <c r="BF253" s="16"/>
      <c r="BG253" s="507"/>
      <c r="BH253" s="16"/>
      <c r="BI253" s="507"/>
      <c r="BJ253" s="16"/>
      <c r="BK253" s="507"/>
      <c r="BL253" s="16"/>
      <c r="BM253" s="507"/>
      <c r="BN253" s="16"/>
      <c r="BO253" s="507"/>
      <c r="BP253" s="16"/>
      <c r="BQ253" s="507"/>
      <c r="BR253" s="16"/>
      <c r="BS253" s="507"/>
      <c r="BT253" s="16"/>
      <c r="BU253" s="507"/>
      <c r="BV253" s="16"/>
      <c r="BW253" s="507"/>
      <c r="BX253" s="16"/>
      <c r="BY253" s="507"/>
      <c r="BZ253" s="16"/>
      <c r="CA253" s="507"/>
      <c r="CB253" s="16"/>
      <c r="CC253" s="507"/>
      <c r="CD253" s="16"/>
      <c r="CE253" s="507"/>
      <c r="CF253" s="16"/>
      <c r="CG253" s="507"/>
      <c r="CH253" s="16"/>
      <c r="CI253" s="507"/>
      <c r="CJ253" s="16"/>
      <c r="CK253" s="507"/>
      <c r="CL253" s="16"/>
      <c r="CM253" s="507"/>
      <c r="CN253" s="16"/>
      <c r="CO253" s="507"/>
      <c r="CP253" s="16"/>
      <c r="CQ253" s="507"/>
      <c r="CR253" s="16"/>
      <c r="CS253" s="507"/>
      <c r="CT253" s="16"/>
      <c r="CU253" s="507"/>
      <c r="CV253" s="16"/>
      <c r="CW253" s="507"/>
      <c r="CX253" s="16"/>
      <c r="CY253" s="507"/>
      <c r="CZ253" s="16"/>
      <c r="DA253" s="507"/>
      <c r="DB253" s="507"/>
      <c r="DC253" s="16"/>
      <c r="DD253" s="507"/>
      <c r="DE253" s="16"/>
      <c r="DF253" s="507"/>
      <c r="DG253" s="16"/>
      <c r="DH253" s="507"/>
      <c r="DI253" s="16"/>
      <c r="DJ253" s="507"/>
      <c r="DK253" s="16"/>
      <c r="DL253" s="507"/>
      <c r="DM253" s="16"/>
      <c r="DN253" s="507"/>
      <c r="DO253" s="16"/>
      <c r="DP253" s="507"/>
      <c r="DQ253" s="16"/>
      <c r="DR253" s="507"/>
      <c r="DS253" s="16"/>
      <c r="DT253" s="507"/>
      <c r="DU253" s="16"/>
      <c r="DV253" s="507"/>
      <c r="DW253" s="16"/>
      <c r="DX253" s="507"/>
      <c r="DY253" s="16"/>
      <c r="DZ253" s="507"/>
      <c r="EA253" s="16"/>
      <c r="EB253" s="507"/>
      <c r="EC253" s="16"/>
      <c r="ED253" s="507"/>
      <c r="EE253" s="16"/>
      <c r="EF253" s="507"/>
      <c r="EG253" s="16"/>
      <c r="EH253" s="507"/>
      <c r="EI253" s="16"/>
      <c r="EJ253" s="507"/>
      <c r="EK253" s="16"/>
      <c r="EL253" s="507"/>
      <c r="EM253" s="687"/>
    </row>
    <row r="254" spans="1:143" ht="12.75" hidden="1" customHeight="1" outlineLevel="1" x14ac:dyDescent="0.2">
      <c r="A254" s="689" t="s">
        <v>518</v>
      </c>
      <c r="B254" s="16"/>
      <c r="C254" s="507"/>
      <c r="D254" s="16"/>
      <c r="E254" s="687"/>
      <c r="F254" s="16"/>
      <c r="G254" s="687"/>
      <c r="H254" s="16"/>
      <c r="I254" s="687"/>
      <c r="J254" s="16"/>
      <c r="K254" s="507"/>
      <c r="L254" s="16"/>
      <c r="M254" s="507"/>
      <c r="N254" s="16"/>
      <c r="O254" s="507"/>
      <c r="P254" s="16"/>
      <c r="Q254" s="507"/>
      <c r="R254" s="16"/>
      <c r="S254" s="507"/>
      <c r="T254" s="16"/>
      <c r="U254" s="507"/>
      <c r="V254" s="16"/>
      <c r="W254" s="507"/>
      <c r="X254" s="16"/>
      <c r="Y254" s="507"/>
      <c r="Z254" s="16"/>
      <c r="AA254" s="507"/>
      <c r="AB254" s="16"/>
      <c r="AC254" s="507"/>
      <c r="AD254" s="16"/>
      <c r="AE254" s="507"/>
      <c r="AF254" s="16"/>
      <c r="AG254" s="507"/>
      <c r="AH254" s="16"/>
      <c r="AI254" s="507"/>
      <c r="AJ254" s="16"/>
      <c r="AK254" s="507"/>
      <c r="AL254" s="16"/>
      <c r="AM254" s="507"/>
      <c r="AN254" s="16"/>
      <c r="AO254" s="507"/>
      <c r="AP254" s="16"/>
      <c r="AQ254" s="507"/>
      <c r="AR254" s="16"/>
      <c r="AS254" s="507"/>
      <c r="AT254" s="16"/>
      <c r="AU254" s="507"/>
      <c r="AV254" s="16"/>
      <c r="AW254" s="507"/>
      <c r="AX254" s="16"/>
      <c r="AY254" s="507"/>
      <c r="AZ254" s="16"/>
      <c r="BA254" s="507"/>
      <c r="BB254" s="16"/>
      <c r="BC254" s="507"/>
      <c r="BD254" s="16"/>
      <c r="BE254" s="507"/>
      <c r="BF254" s="16"/>
      <c r="BG254" s="507"/>
      <c r="BH254" s="16"/>
      <c r="BI254" s="507"/>
      <c r="BJ254" s="16"/>
      <c r="BK254" s="507"/>
      <c r="BL254" s="16"/>
      <c r="BM254" s="507"/>
      <c r="BN254" s="16"/>
      <c r="BO254" s="507"/>
      <c r="BP254" s="16"/>
      <c r="BQ254" s="507"/>
      <c r="BR254" s="16"/>
      <c r="BS254" s="507"/>
      <c r="BT254" s="16"/>
      <c r="BU254" s="507"/>
      <c r="BV254" s="16"/>
      <c r="BW254" s="507"/>
      <c r="BX254" s="16"/>
      <c r="BY254" s="507"/>
      <c r="BZ254" s="16"/>
      <c r="CA254" s="507"/>
      <c r="CB254" s="16"/>
      <c r="CC254" s="507"/>
      <c r="CD254" s="16"/>
      <c r="CE254" s="507"/>
      <c r="CF254" s="16"/>
      <c r="CG254" s="507"/>
      <c r="CH254" s="16"/>
      <c r="CI254" s="507"/>
      <c r="CJ254" s="16"/>
      <c r="CK254" s="507"/>
      <c r="CL254" s="16"/>
      <c r="CM254" s="507"/>
      <c r="CN254" s="16"/>
      <c r="CO254" s="507"/>
      <c r="CP254" s="16"/>
      <c r="CQ254" s="507"/>
      <c r="CR254" s="16"/>
      <c r="CS254" s="507"/>
      <c r="CT254" s="16"/>
      <c r="CU254" s="507"/>
      <c r="CV254" s="16"/>
      <c r="CW254" s="507"/>
      <c r="CX254" s="16"/>
      <c r="CY254" s="507"/>
      <c r="CZ254" s="16"/>
      <c r="DA254" s="507"/>
      <c r="DB254" s="507"/>
      <c r="DC254" s="16"/>
      <c r="DD254" s="507"/>
      <c r="DE254" s="16"/>
      <c r="DF254" s="507"/>
      <c r="DG254" s="16"/>
      <c r="DH254" s="507"/>
      <c r="DI254" s="16"/>
      <c r="DJ254" s="507"/>
      <c r="DK254" s="16"/>
      <c r="DL254" s="507"/>
      <c r="DM254" s="16"/>
      <c r="DN254" s="507"/>
      <c r="DO254" s="16"/>
      <c r="DP254" s="507"/>
      <c r="DQ254" s="16"/>
      <c r="DR254" s="507"/>
      <c r="DS254" s="16"/>
      <c r="DT254" s="507"/>
      <c r="DU254" s="16"/>
      <c r="DV254" s="507"/>
      <c r="DW254" s="16"/>
      <c r="DX254" s="507"/>
      <c r="DY254" s="16"/>
      <c r="DZ254" s="507"/>
      <c r="EA254" s="16"/>
      <c r="EB254" s="507"/>
      <c r="EC254" s="16"/>
      <c r="ED254" s="507"/>
      <c r="EE254" s="16"/>
      <c r="EF254" s="507"/>
      <c r="EG254" s="16"/>
      <c r="EH254" s="507"/>
      <c r="EI254" s="16"/>
      <c r="EJ254" s="507"/>
      <c r="EK254" s="16"/>
      <c r="EL254" s="507"/>
      <c r="EM254" s="687"/>
    </row>
    <row r="255" spans="1:143" ht="12.75" hidden="1" customHeight="1" outlineLevel="1" x14ac:dyDescent="0.2">
      <c r="A255" s="701"/>
      <c r="B255" s="16"/>
      <c r="C255" s="762"/>
      <c r="D255" s="16"/>
      <c r="E255" s="702"/>
      <c r="F255" s="16"/>
      <c r="G255" s="702"/>
      <c r="H255" s="16"/>
      <c r="I255" s="702"/>
      <c r="J255" s="16"/>
      <c r="K255" s="762"/>
      <c r="L255" s="16"/>
      <c r="M255" s="762"/>
      <c r="N255" s="16"/>
      <c r="O255" s="762"/>
      <c r="P255" s="16"/>
      <c r="Q255" s="762"/>
      <c r="R255" s="16"/>
      <c r="S255" s="762"/>
      <c r="T255" s="16"/>
      <c r="U255" s="762"/>
      <c r="V255" s="16"/>
      <c r="W255" s="762"/>
      <c r="X255" s="16"/>
      <c r="Y255" s="762"/>
      <c r="Z255" s="16"/>
      <c r="AA255" s="762"/>
      <c r="AB255" s="16"/>
      <c r="AC255" s="762"/>
      <c r="AD255" s="16"/>
      <c r="AE255" s="762"/>
      <c r="AF255" s="16"/>
      <c r="AG255" s="762"/>
      <c r="AH255" s="16"/>
      <c r="AI255" s="762"/>
      <c r="AJ255" s="16"/>
      <c r="AK255" s="762"/>
      <c r="AL255" s="16"/>
      <c r="AM255" s="762"/>
      <c r="AN255" s="16"/>
      <c r="AO255" s="762"/>
      <c r="AP255" s="16"/>
      <c r="AQ255" s="762"/>
      <c r="AR255" s="16"/>
      <c r="AS255" s="762"/>
      <c r="AT255" s="16"/>
      <c r="AU255" s="762"/>
      <c r="AV255" s="16"/>
      <c r="AW255" s="762"/>
      <c r="AX255" s="16"/>
      <c r="AY255" s="762"/>
      <c r="AZ255" s="16"/>
      <c r="BA255" s="762"/>
      <c r="BB255" s="16"/>
      <c r="BC255" s="762"/>
      <c r="BD255" s="16"/>
      <c r="BE255" s="762"/>
      <c r="BF255" s="16"/>
      <c r="BG255" s="762"/>
      <c r="BH255" s="16"/>
      <c r="BI255" s="762"/>
      <c r="BJ255" s="16"/>
      <c r="BK255" s="762"/>
      <c r="BL255" s="16"/>
      <c r="BM255" s="762"/>
      <c r="BN255" s="16"/>
      <c r="BO255" s="762"/>
      <c r="BP255" s="16"/>
      <c r="BQ255" s="762"/>
      <c r="BR255" s="16"/>
      <c r="BS255" s="762"/>
      <c r="BT255" s="16"/>
      <c r="BU255" s="762"/>
      <c r="BV255" s="16"/>
      <c r="BW255" s="762"/>
      <c r="BX255" s="16"/>
      <c r="BY255" s="762"/>
      <c r="BZ255" s="16"/>
      <c r="CA255" s="762"/>
      <c r="CB255" s="16"/>
      <c r="CC255" s="762"/>
      <c r="CD255" s="16"/>
      <c r="CE255" s="762"/>
      <c r="CF255" s="16"/>
      <c r="CG255" s="762"/>
      <c r="CH255" s="16"/>
      <c r="CI255" s="762"/>
      <c r="CJ255" s="16"/>
      <c r="CK255" s="762"/>
      <c r="CL255" s="16"/>
      <c r="CM255" s="762"/>
      <c r="CN255" s="16"/>
      <c r="CO255" s="762"/>
      <c r="CP255" s="16"/>
      <c r="CQ255" s="762"/>
      <c r="CR255" s="16"/>
      <c r="CS255" s="762"/>
      <c r="CT255" s="16"/>
      <c r="CU255" s="762"/>
      <c r="CV255" s="16"/>
      <c r="CW255" s="762"/>
      <c r="CX255" s="16"/>
      <c r="CY255" s="762"/>
      <c r="CZ255" s="16"/>
      <c r="DA255" s="762"/>
      <c r="DB255" s="762"/>
      <c r="DC255" s="16"/>
      <c r="DD255" s="762"/>
      <c r="DE255" s="16"/>
      <c r="DF255" s="762"/>
      <c r="DG255" s="16"/>
      <c r="DH255" s="762"/>
      <c r="DI255" s="16"/>
      <c r="DJ255" s="762"/>
      <c r="DK255" s="16"/>
      <c r="DL255" s="762"/>
      <c r="DM255" s="16"/>
      <c r="DN255" s="762"/>
      <c r="DO255" s="16"/>
      <c r="DP255" s="762"/>
      <c r="DQ255" s="16"/>
      <c r="DR255" s="762"/>
      <c r="DS255" s="16"/>
      <c r="DT255" s="762"/>
      <c r="DU255" s="16"/>
      <c r="DV255" s="762"/>
      <c r="DW255" s="16"/>
      <c r="DX255" s="762"/>
      <c r="DY255" s="16"/>
      <c r="DZ255" s="762"/>
      <c r="EA255" s="16"/>
      <c r="EB255" s="762"/>
      <c r="EC255" s="16"/>
      <c r="ED255" s="762"/>
      <c r="EE255" s="16"/>
      <c r="EF255" s="762"/>
      <c r="EG255" s="16"/>
      <c r="EH255" s="762"/>
      <c r="EI255" s="16"/>
      <c r="EJ255" s="762"/>
      <c r="EK255" s="16"/>
      <c r="EL255" s="762"/>
      <c r="EM255" s="702"/>
    </row>
    <row r="256" spans="1:143" s="774" customFormat="1" ht="21.95" hidden="1" customHeight="1" outlineLevel="1" x14ac:dyDescent="0.3">
      <c r="A256" s="770" t="str">
        <f>$A$1</f>
        <v>Lincoln National</v>
      </c>
      <c r="B256" s="771"/>
      <c r="C256" s="772"/>
      <c r="D256" s="771"/>
      <c r="E256" s="773"/>
      <c r="F256" s="771"/>
      <c r="G256" s="773"/>
      <c r="H256" s="771"/>
      <c r="I256" s="773"/>
      <c r="J256" s="771"/>
      <c r="K256" s="772"/>
      <c r="L256" s="771"/>
      <c r="M256" s="772"/>
      <c r="N256" s="771"/>
      <c r="O256" s="772"/>
      <c r="P256" s="771"/>
      <c r="Q256" s="772"/>
      <c r="R256" s="771"/>
      <c r="S256" s="772"/>
      <c r="T256" s="771"/>
      <c r="U256" s="772"/>
      <c r="V256" s="771"/>
      <c r="W256" s="772"/>
      <c r="X256" s="771"/>
      <c r="Y256" s="772"/>
      <c r="Z256" s="771"/>
      <c r="AA256" s="772"/>
      <c r="AB256" s="771"/>
      <c r="AC256" s="772"/>
      <c r="AD256" s="771"/>
      <c r="AE256" s="772"/>
      <c r="AF256" s="771"/>
      <c r="AG256" s="772"/>
      <c r="AH256" s="771"/>
      <c r="AI256" s="772"/>
      <c r="AJ256" s="771"/>
      <c r="AK256" s="772"/>
      <c r="AL256" s="771"/>
      <c r="AM256" s="772"/>
      <c r="AN256" s="771"/>
      <c r="AO256" s="772"/>
      <c r="AP256" s="771"/>
      <c r="AQ256" s="772"/>
      <c r="AR256" s="771"/>
      <c r="AS256" s="772"/>
      <c r="AT256" s="771"/>
      <c r="AU256" s="772"/>
      <c r="AV256" s="771"/>
      <c r="AW256" s="772"/>
      <c r="AX256" s="771"/>
      <c r="AY256" s="772"/>
      <c r="AZ256" s="771"/>
      <c r="BA256" s="772"/>
      <c r="BB256" s="771"/>
      <c r="BC256" s="772"/>
      <c r="BD256" s="771"/>
      <c r="BE256" s="772"/>
      <c r="BF256" s="771"/>
      <c r="BG256" s="772"/>
      <c r="BH256" s="771"/>
      <c r="BI256" s="772"/>
      <c r="BJ256" s="771"/>
      <c r="BK256" s="772"/>
      <c r="BL256" s="771"/>
      <c r="BM256" s="772"/>
      <c r="BN256" s="771"/>
      <c r="BO256" s="772"/>
      <c r="BP256" s="771"/>
      <c r="BQ256" s="772"/>
      <c r="BR256" s="771"/>
      <c r="BS256" s="772"/>
      <c r="BT256" s="771"/>
      <c r="BU256" s="772"/>
      <c r="BV256" s="771"/>
      <c r="BW256" s="772"/>
      <c r="BX256" s="771"/>
      <c r="BY256" s="772"/>
      <c r="BZ256" s="771"/>
      <c r="CA256" s="772"/>
      <c r="CB256" s="771"/>
      <c r="CC256" s="772"/>
      <c r="CD256" s="771"/>
      <c r="CE256" s="772"/>
      <c r="CF256" s="771"/>
      <c r="CG256" s="772"/>
      <c r="CH256" s="771"/>
      <c r="CI256" s="772"/>
      <c r="CJ256" s="771"/>
      <c r="CK256" s="772"/>
      <c r="CL256" s="771"/>
      <c r="CM256" s="772"/>
      <c r="CN256" s="771"/>
      <c r="CO256" s="772"/>
      <c r="CP256" s="771"/>
      <c r="CQ256" s="772"/>
      <c r="CR256" s="771"/>
      <c r="CS256" s="772"/>
      <c r="CT256" s="771"/>
      <c r="CU256" s="772"/>
      <c r="CV256" s="771"/>
      <c r="CW256" s="772"/>
      <c r="CX256" s="771"/>
      <c r="CY256" s="772"/>
      <c r="CZ256" s="771"/>
      <c r="DA256" s="772"/>
      <c r="DB256" s="772"/>
      <c r="DC256" s="771"/>
      <c r="DD256" s="772"/>
      <c r="DE256" s="771"/>
      <c r="DF256" s="772"/>
      <c r="DG256" s="771"/>
      <c r="DH256" s="772"/>
      <c r="DI256" s="771"/>
      <c r="DJ256" s="772"/>
      <c r="DK256" s="771"/>
      <c r="DL256" s="772"/>
      <c r="DM256" s="771"/>
      <c r="DN256" s="772"/>
      <c r="DO256" s="771"/>
      <c r="DP256" s="772"/>
      <c r="DQ256" s="771"/>
      <c r="DR256" s="772"/>
      <c r="DS256" s="771"/>
      <c r="DT256" s="772"/>
      <c r="DU256" s="771"/>
      <c r="DV256" s="772"/>
      <c r="DW256" s="771"/>
      <c r="DX256" s="772"/>
      <c r="DY256" s="771"/>
      <c r="DZ256" s="772"/>
      <c r="EA256" s="771"/>
      <c r="EB256" s="772"/>
      <c r="EC256" s="771"/>
      <c r="ED256" s="772"/>
      <c r="EE256" s="771"/>
      <c r="EF256" s="772"/>
      <c r="EG256" s="771"/>
      <c r="EH256" s="772"/>
      <c r="EI256" s="771"/>
      <c r="EJ256" s="772"/>
      <c r="EK256" s="771"/>
      <c r="EL256" s="772"/>
      <c r="EM256" s="773"/>
    </row>
    <row r="257" spans="1:143" ht="12.75" hidden="1" customHeight="1" outlineLevel="1" x14ac:dyDescent="0.2">
      <c r="A257" s="685" t="s">
        <v>519</v>
      </c>
      <c r="B257" s="4"/>
      <c r="C257" s="496"/>
      <c r="D257" s="4"/>
      <c r="E257" s="686"/>
      <c r="F257" s="4"/>
      <c r="G257" s="686"/>
      <c r="H257" s="4"/>
      <c r="I257" s="686"/>
      <c r="J257" s="4"/>
      <c r="K257" s="496"/>
      <c r="L257" s="4"/>
      <c r="M257" s="496"/>
      <c r="N257" s="4"/>
      <c r="O257" s="496"/>
      <c r="P257" s="4"/>
      <c r="Q257" s="496"/>
      <c r="R257" s="4"/>
      <c r="S257" s="496"/>
      <c r="T257" s="4"/>
      <c r="U257" s="496"/>
      <c r="V257" s="4"/>
      <c r="W257" s="496"/>
      <c r="X257" s="4"/>
      <c r="Y257" s="496"/>
      <c r="Z257" s="4"/>
      <c r="AA257" s="496"/>
      <c r="AB257" s="4"/>
      <c r="AC257" s="496"/>
      <c r="AD257" s="4"/>
      <c r="AE257" s="496"/>
      <c r="AF257" s="4"/>
      <c r="AG257" s="496"/>
      <c r="AH257" s="4"/>
      <c r="AI257" s="496"/>
      <c r="AJ257" s="4"/>
      <c r="AK257" s="496"/>
      <c r="AL257" s="4"/>
      <c r="AM257" s="496"/>
      <c r="AN257" s="4"/>
      <c r="AO257" s="496"/>
      <c r="AP257" s="4"/>
      <c r="AQ257" s="496"/>
      <c r="AR257" s="4"/>
      <c r="AS257" s="496"/>
      <c r="AT257" s="4"/>
      <c r="AU257" s="496"/>
      <c r="AV257" s="4"/>
      <c r="AW257" s="496"/>
      <c r="AX257" s="4"/>
      <c r="AY257" s="496"/>
      <c r="AZ257" s="4"/>
      <c r="BA257" s="496"/>
      <c r="BB257" s="4"/>
      <c r="BC257" s="496"/>
      <c r="BD257" s="4"/>
      <c r="BE257" s="496"/>
      <c r="BF257" s="4"/>
      <c r="BG257" s="496"/>
      <c r="BH257" s="4"/>
      <c r="BI257" s="496"/>
      <c r="BJ257" s="4"/>
      <c r="BK257" s="496"/>
      <c r="BL257" s="4"/>
      <c r="BM257" s="496"/>
      <c r="BN257" s="4"/>
      <c r="BO257" s="496"/>
      <c r="BP257" s="4"/>
      <c r="BQ257" s="496"/>
      <c r="BR257" s="4"/>
      <c r="BS257" s="496"/>
      <c r="BT257" s="4"/>
      <c r="BU257" s="496"/>
      <c r="BV257" s="4"/>
      <c r="BW257" s="496"/>
      <c r="BX257" s="4"/>
      <c r="BY257" s="496"/>
      <c r="BZ257" s="4"/>
      <c r="CA257" s="496"/>
      <c r="CB257" s="4"/>
      <c r="CC257" s="496"/>
      <c r="CD257" s="4"/>
      <c r="CE257" s="496"/>
      <c r="CF257" s="4"/>
      <c r="CG257" s="496"/>
      <c r="CH257" s="4"/>
      <c r="CI257" s="496"/>
      <c r="CJ257" s="4"/>
      <c r="CK257" s="496"/>
      <c r="CL257" s="4"/>
      <c r="CM257" s="496"/>
      <c r="CN257" s="4"/>
      <c r="CO257" s="496"/>
      <c r="CP257" s="4"/>
      <c r="CQ257" s="496"/>
      <c r="CR257" s="4"/>
      <c r="CS257" s="496"/>
      <c r="CT257" s="4"/>
      <c r="CU257" s="496"/>
      <c r="CV257" s="4"/>
      <c r="CW257" s="496"/>
      <c r="CX257" s="4"/>
      <c r="CY257" s="496"/>
      <c r="CZ257" s="4"/>
      <c r="DA257" s="496"/>
      <c r="DB257" s="496"/>
      <c r="DC257" s="4"/>
      <c r="DD257" s="496"/>
      <c r="DE257" s="4"/>
      <c r="DF257" s="496"/>
      <c r="DG257" s="4"/>
      <c r="DH257" s="496"/>
      <c r="DI257" s="4"/>
      <c r="DJ257" s="496"/>
      <c r="DK257" s="4"/>
      <c r="DL257" s="496"/>
      <c r="DM257" s="4"/>
      <c r="DN257" s="496"/>
      <c r="DO257" s="4"/>
      <c r="DP257" s="496"/>
      <c r="DQ257" s="4"/>
      <c r="DR257" s="496"/>
      <c r="DS257" s="4"/>
      <c r="DT257" s="496"/>
      <c r="DU257" s="4"/>
      <c r="DV257" s="496"/>
      <c r="DW257" s="4"/>
      <c r="DX257" s="496"/>
      <c r="DY257" s="4"/>
      <c r="DZ257" s="496"/>
      <c r="EA257" s="4"/>
      <c r="EB257" s="496"/>
      <c r="EC257" s="4"/>
      <c r="ED257" s="496"/>
      <c r="EE257" s="4"/>
      <c r="EF257" s="496"/>
      <c r="EG257" s="4"/>
      <c r="EH257" s="496"/>
      <c r="EI257" s="4"/>
      <c r="EJ257" s="496"/>
      <c r="EK257" s="4"/>
      <c r="EL257" s="496"/>
      <c r="EM257" s="686"/>
    </row>
    <row r="258" spans="1:143" s="3" customFormat="1" ht="12.75" hidden="1" customHeight="1" outlineLevel="1" x14ac:dyDescent="0.2">
      <c r="A258" s="560" t="str">
        <f>A$3</f>
        <v>($Millions Except Per Share Data)</v>
      </c>
      <c r="B258" s="704"/>
      <c r="C258" s="724"/>
      <c r="D258" s="704"/>
      <c r="E258" s="724" t="str">
        <f>E$3</f>
        <v>2Q06/</v>
      </c>
      <c r="F258" s="704"/>
      <c r="G258" s="724" t="str">
        <f>G$3</f>
        <v>3Q06/</v>
      </c>
      <c r="H258" s="704"/>
      <c r="I258" s="724" t="str">
        <f>I$3</f>
        <v>4Q06/</v>
      </c>
      <c r="J258" s="724"/>
      <c r="K258" s="724" t="str">
        <f>K$3</f>
        <v>1Q07/</v>
      </c>
      <c r="L258" s="704"/>
      <c r="M258" s="724" t="str">
        <f>M$3</f>
        <v>2Q07/</v>
      </c>
      <c r="N258" s="704"/>
      <c r="O258" s="724" t="str">
        <f>O$3</f>
        <v>3Q07/</v>
      </c>
      <c r="P258" s="704"/>
      <c r="Q258" s="724" t="str">
        <f>Q$3</f>
        <v>4Q07/</v>
      </c>
      <c r="R258" s="704"/>
      <c r="S258" s="724" t="str">
        <f>S$3</f>
        <v>1Q08/</v>
      </c>
      <c r="T258" s="704"/>
      <c r="U258" s="724" t="str">
        <f>U$3</f>
        <v>2Q08/</v>
      </c>
      <c r="V258" s="704"/>
      <c r="W258" s="724" t="str">
        <f>W$3</f>
        <v>3Q08/</v>
      </c>
      <c r="X258" s="704"/>
      <c r="Y258" s="724" t="str">
        <f>Y$3</f>
        <v>4Q08/</v>
      </c>
      <c r="Z258" s="704"/>
      <c r="AA258" s="724" t="str">
        <f>AA$3</f>
        <v>1Q09/</v>
      </c>
      <c r="AB258" s="704"/>
      <c r="AC258" s="724" t="str">
        <f>AC$3</f>
        <v>2Q09/</v>
      </c>
      <c r="AD258" s="704"/>
      <c r="AE258" s="724" t="str">
        <f>AE$3</f>
        <v>3Q09/</v>
      </c>
      <c r="AF258" s="704"/>
      <c r="AG258" s="724" t="str">
        <f>AG$3</f>
        <v>4Q09/</v>
      </c>
      <c r="AH258" s="704"/>
      <c r="AI258" s="724" t="str">
        <f>AI$3</f>
        <v>1Q10/</v>
      </c>
      <c r="AJ258" s="704"/>
      <c r="AK258" s="724" t="str">
        <f>AK$3</f>
        <v>2Q10/</v>
      </c>
      <c r="AL258" s="704"/>
      <c r="AM258" s="724" t="str">
        <f>AM$3</f>
        <v>3Q10/</v>
      </c>
      <c r="AN258" s="704"/>
      <c r="AO258" s="724" t="str">
        <f>AO$3</f>
        <v>4Q10/</v>
      </c>
      <c r="AP258" s="704"/>
      <c r="AQ258" s="724" t="str">
        <f>AQ$3</f>
        <v>1Q11/</v>
      </c>
      <c r="AR258" s="704"/>
      <c r="AS258" s="724" t="str">
        <f>AS$3</f>
        <v>2Q11/</v>
      </c>
      <c r="AT258" s="704"/>
      <c r="AU258" s="724" t="str">
        <f>AU$3</f>
        <v>3Q11/</v>
      </c>
      <c r="AV258" s="704"/>
      <c r="AW258" s="724" t="str">
        <f>AW$3</f>
        <v>4Q11/</v>
      </c>
      <c r="AX258" s="704"/>
      <c r="AY258" s="724" t="str">
        <f>AY$3</f>
        <v>1Q12/</v>
      </c>
      <c r="AZ258" s="704"/>
      <c r="BA258" s="724" t="str">
        <f>BA$3</f>
        <v>2Q12/</v>
      </c>
      <c r="BB258" s="704"/>
      <c r="BC258" s="724" t="str">
        <f>BC$3</f>
        <v>3Q12/</v>
      </c>
      <c r="BD258" s="704"/>
      <c r="BE258" s="724" t="str">
        <f>BE$3</f>
        <v>4Q12/</v>
      </c>
      <c r="BF258" s="704"/>
      <c r="BG258" s="724" t="str">
        <f>BG$3</f>
        <v>1Q13/</v>
      </c>
      <c r="BH258" s="704"/>
      <c r="BI258" s="724" t="str">
        <f>BI$3</f>
        <v>2Q13/</v>
      </c>
      <c r="BJ258" s="704"/>
      <c r="BK258" s="724" t="str">
        <f>BK$3</f>
        <v>3Q13/</v>
      </c>
      <c r="BL258" s="704"/>
      <c r="BM258" s="724" t="str">
        <f>BM$3</f>
        <v>4Q13/</v>
      </c>
      <c r="BN258" s="704"/>
      <c r="BO258" s="724" t="str">
        <f>BO$3</f>
        <v>1Q14/</v>
      </c>
      <c r="BP258" s="704"/>
      <c r="BQ258" s="724" t="str">
        <f>BQ$3</f>
        <v>2Q14/</v>
      </c>
      <c r="BR258" s="704"/>
      <c r="BS258" s="724" t="str">
        <f>BS$3</f>
        <v>3Q14/</v>
      </c>
      <c r="BT258" s="704"/>
      <c r="BU258" s="724" t="str">
        <f>BU$3</f>
        <v>4Q14/</v>
      </c>
      <c r="BV258" s="704"/>
      <c r="BW258" s="724" t="str">
        <f>BW$3</f>
        <v>1Q15/</v>
      </c>
      <c r="BX258" s="704"/>
      <c r="BY258" s="724" t="str">
        <f>BY$3</f>
        <v>2Q15/</v>
      </c>
      <c r="BZ258" s="704"/>
      <c r="CA258" s="724" t="str">
        <f>CA$3</f>
        <v>3Q15/</v>
      </c>
      <c r="CB258" s="704"/>
      <c r="CC258" s="724" t="str">
        <f>CC$3</f>
        <v>4Q15/</v>
      </c>
      <c r="CD258" s="704"/>
      <c r="CE258" s="724" t="str">
        <f>CE$3</f>
        <v>1Q16/</v>
      </c>
      <c r="CF258" s="704"/>
      <c r="CG258" s="724" t="str">
        <f>CG$3</f>
        <v>2Q16/</v>
      </c>
      <c r="CH258" s="704"/>
      <c r="CI258" s="724" t="str">
        <f>CI$3</f>
        <v>3Q16/</v>
      </c>
      <c r="CJ258" s="704"/>
      <c r="CK258" s="724" t="str">
        <f>CK$3</f>
        <v>4Q16/</v>
      </c>
      <c r="CL258" s="704"/>
      <c r="CM258" s="724" t="str">
        <f t="shared" ref="CM258" si="151">CM$3</f>
        <v>1Q17/</v>
      </c>
      <c r="CN258" s="704"/>
      <c r="CO258" s="724" t="str">
        <f t="shared" ref="CO258" si="152">CO$3</f>
        <v>2Q17/</v>
      </c>
      <c r="CP258" s="704"/>
      <c r="CQ258" s="724" t="str">
        <f t="shared" ref="CQ258" si="153">CQ$3</f>
        <v>3Q17/</v>
      </c>
      <c r="CR258" s="704"/>
      <c r="CS258" s="724" t="str">
        <f t="shared" ref="CS258" si="154">CS$3</f>
        <v>4Q17/</v>
      </c>
      <c r="CT258" s="704"/>
      <c r="CU258" s="724" t="str">
        <f t="shared" ref="CU258" si="155">CU$3</f>
        <v>1Q18E/</v>
      </c>
      <c r="CV258" s="704"/>
      <c r="CW258" s="724" t="str">
        <f t="shared" ref="CW258" si="156">CW$3</f>
        <v>2Q18E/</v>
      </c>
      <c r="CX258" s="704"/>
      <c r="CY258" s="724" t="str">
        <f t="shared" ref="CY258" si="157">CY$3</f>
        <v>3Q18E/</v>
      </c>
      <c r="CZ258" s="704"/>
      <c r="DA258" s="724" t="str">
        <f t="shared" ref="DA258" si="158">DA$3</f>
        <v>4Q18E/</v>
      </c>
      <c r="DB258" s="724"/>
      <c r="DC258" s="704"/>
      <c r="DD258" s="724" t="str">
        <f>DD$3</f>
        <v>2005/</v>
      </c>
      <c r="DE258" s="704"/>
      <c r="DF258" s="724" t="str">
        <f>DF$3</f>
        <v>2006/</v>
      </c>
      <c r="DG258" s="704"/>
      <c r="DH258" s="724" t="str">
        <f>DH$3</f>
        <v>2007/</v>
      </c>
      <c r="DI258" s="704"/>
      <c r="DJ258" s="724" t="str">
        <f>DJ$3</f>
        <v>2008/</v>
      </c>
      <c r="DK258" s="704"/>
      <c r="DL258" s="724" t="str">
        <f>DL$3</f>
        <v>2009/</v>
      </c>
      <c r="DM258" s="704"/>
      <c r="DN258" s="724" t="str">
        <f>DN$3</f>
        <v>2010/</v>
      </c>
      <c r="DO258" s="704"/>
      <c r="DP258" s="724" t="str">
        <f>DP$3</f>
        <v>2011/</v>
      </c>
      <c r="DQ258" s="704"/>
      <c r="DR258" s="724" t="str">
        <f>DR$3</f>
        <v>2012/</v>
      </c>
      <c r="DS258" s="704"/>
      <c r="DT258" s="724" t="str">
        <f>DT$3</f>
        <v>2013/</v>
      </c>
      <c r="DU258" s="704"/>
      <c r="DV258" s="724" t="str">
        <f>DV$3</f>
        <v>2014/</v>
      </c>
      <c r="DW258" s="704"/>
      <c r="DX258" s="724" t="str">
        <f>DX$3</f>
        <v>2015/</v>
      </c>
      <c r="DY258" s="704"/>
      <c r="DZ258" s="724" t="str">
        <f>DZ$3</f>
        <v>2016/</v>
      </c>
      <c r="EA258" s="704"/>
      <c r="EB258" s="724" t="str">
        <f>EB$3</f>
        <v>2017/</v>
      </c>
      <c r="EC258" s="704"/>
      <c r="ED258" s="724" t="str">
        <f>ED$3</f>
        <v>2018E/</v>
      </c>
      <c r="EE258" s="704"/>
      <c r="EF258" s="724" t="str">
        <f>EF$3</f>
        <v>2019E/</v>
      </c>
      <c r="EG258" s="704"/>
      <c r="EH258" s="724" t="str">
        <f>EH$3</f>
        <v>2020E/</v>
      </c>
      <c r="EI258" s="704"/>
      <c r="EJ258" s="724" t="str">
        <f>EJ$3</f>
        <v>2021E/</v>
      </c>
      <c r="EK258" s="704"/>
      <c r="EL258" s="724" t="str">
        <f>EL$3</f>
        <v>2022E/</v>
      </c>
      <c r="EM258" s="705" t="str">
        <f>EM$3</f>
        <v>5-Yr</v>
      </c>
    </row>
    <row r="259" spans="1:143" s="3" customFormat="1" ht="12.75" hidden="1" customHeight="1" outlineLevel="1" x14ac:dyDescent="0.2">
      <c r="A259" s="693"/>
      <c r="B259" s="692"/>
      <c r="C259" s="496"/>
      <c r="D259" s="692"/>
      <c r="E259" s="496" t="str">
        <f>E$4</f>
        <v>2Q05</v>
      </c>
      <c r="F259" s="692"/>
      <c r="G259" s="496" t="str">
        <f>G$4</f>
        <v>3Q05</v>
      </c>
      <c r="H259" s="692"/>
      <c r="I259" s="496" t="str">
        <f>I$4</f>
        <v>4Q05</v>
      </c>
      <c r="J259" s="496"/>
      <c r="K259" s="496" t="str">
        <f>K$4</f>
        <v>1Q06</v>
      </c>
      <c r="L259" s="692"/>
      <c r="M259" s="496" t="str">
        <f>M$4</f>
        <v>2Q06</v>
      </c>
      <c r="N259" s="692"/>
      <c r="O259" s="496" t="str">
        <f>O$4</f>
        <v>3Q06</v>
      </c>
      <c r="P259" s="692"/>
      <c r="Q259" s="496" t="str">
        <f>Q$4</f>
        <v>4Q06</v>
      </c>
      <c r="R259" s="692"/>
      <c r="S259" s="496" t="str">
        <f>S$4</f>
        <v>1Q07</v>
      </c>
      <c r="T259" s="692"/>
      <c r="U259" s="496" t="str">
        <f>U$4</f>
        <v>2Q07</v>
      </c>
      <c r="V259" s="692"/>
      <c r="W259" s="496" t="str">
        <f>W$4</f>
        <v>3Q07</v>
      </c>
      <c r="X259" s="692"/>
      <c r="Y259" s="496" t="str">
        <f>Y$4</f>
        <v>4Q07</v>
      </c>
      <c r="Z259" s="692"/>
      <c r="AA259" s="496" t="str">
        <f>AA$4</f>
        <v>1Q08</v>
      </c>
      <c r="AB259" s="692"/>
      <c r="AC259" s="496" t="str">
        <f>AC$4</f>
        <v>2Q08</v>
      </c>
      <c r="AD259" s="692"/>
      <c r="AE259" s="496" t="str">
        <f>AE$4</f>
        <v>3Q08</v>
      </c>
      <c r="AF259" s="692"/>
      <c r="AG259" s="496" t="str">
        <f>AG$4</f>
        <v>4Q08</v>
      </c>
      <c r="AH259" s="692"/>
      <c r="AI259" s="496" t="str">
        <f>AI$4</f>
        <v>1Q09</v>
      </c>
      <c r="AJ259" s="692"/>
      <c r="AK259" s="496" t="str">
        <f>AK$4</f>
        <v>2Q09</v>
      </c>
      <c r="AL259" s="692"/>
      <c r="AM259" s="496" t="str">
        <f>AM$4</f>
        <v>3Q09</v>
      </c>
      <c r="AN259" s="692"/>
      <c r="AO259" s="496" t="str">
        <f>AO$4</f>
        <v>4Q09</v>
      </c>
      <c r="AP259" s="692"/>
      <c r="AQ259" s="496" t="str">
        <f>AQ$4</f>
        <v>1Q10</v>
      </c>
      <c r="AR259" s="692"/>
      <c r="AS259" s="496" t="str">
        <f>AS$4</f>
        <v>2Q10</v>
      </c>
      <c r="AT259" s="692"/>
      <c r="AU259" s="496" t="str">
        <f>AU$4</f>
        <v>3Q10</v>
      </c>
      <c r="AV259" s="692"/>
      <c r="AW259" s="496" t="str">
        <f>AW$4</f>
        <v>4Q10</v>
      </c>
      <c r="AX259" s="692"/>
      <c r="AY259" s="496" t="str">
        <f>AY$4</f>
        <v>1Q11</v>
      </c>
      <c r="AZ259" s="692"/>
      <c r="BA259" s="496" t="str">
        <f>BA$4</f>
        <v>2Q11</v>
      </c>
      <c r="BB259" s="692"/>
      <c r="BC259" s="496" t="str">
        <f>BC$4</f>
        <v>3Q11</v>
      </c>
      <c r="BD259" s="692"/>
      <c r="BE259" s="496" t="str">
        <f>BE$4</f>
        <v>4Q11</v>
      </c>
      <c r="BF259" s="692"/>
      <c r="BG259" s="496" t="str">
        <f>BG$4</f>
        <v>1Q12</v>
      </c>
      <c r="BH259" s="692"/>
      <c r="BI259" s="496" t="str">
        <f>BI$4</f>
        <v>2Q12</v>
      </c>
      <c r="BJ259" s="692"/>
      <c r="BK259" s="496" t="str">
        <f>BK$4</f>
        <v>3Q12</v>
      </c>
      <c r="BL259" s="692"/>
      <c r="BM259" s="496" t="str">
        <f>BM$4</f>
        <v>4Q12</v>
      </c>
      <c r="BN259" s="692"/>
      <c r="BO259" s="496" t="str">
        <f>BO$4</f>
        <v>1Q13</v>
      </c>
      <c r="BP259" s="692"/>
      <c r="BQ259" s="496" t="str">
        <f>BQ$4</f>
        <v>2Q13</v>
      </c>
      <c r="BR259" s="692"/>
      <c r="BS259" s="496" t="str">
        <f>BS$4</f>
        <v>3Q13</v>
      </c>
      <c r="BT259" s="692"/>
      <c r="BU259" s="496" t="str">
        <f>BU$4</f>
        <v>4Q13</v>
      </c>
      <c r="BV259" s="692"/>
      <c r="BW259" s="496" t="str">
        <f>BW$4</f>
        <v>1Q14</v>
      </c>
      <c r="BX259" s="692"/>
      <c r="BY259" s="496" t="str">
        <f>BY$4</f>
        <v>2Q14</v>
      </c>
      <c r="BZ259" s="692"/>
      <c r="CA259" s="496" t="str">
        <f>CA$4</f>
        <v>3Q14</v>
      </c>
      <c r="CB259" s="692"/>
      <c r="CC259" s="496" t="str">
        <f>CC$4</f>
        <v>4Q14</v>
      </c>
      <c r="CD259" s="692"/>
      <c r="CE259" s="496" t="str">
        <f>CE$4</f>
        <v>1Q15</v>
      </c>
      <c r="CF259" s="692"/>
      <c r="CG259" s="496" t="str">
        <f>CG$4</f>
        <v>2Q15</v>
      </c>
      <c r="CH259" s="692"/>
      <c r="CI259" s="496" t="str">
        <f>CI$4</f>
        <v>3Q15</v>
      </c>
      <c r="CJ259" s="692"/>
      <c r="CK259" s="496" t="str">
        <f>CK$4</f>
        <v>4Q15</v>
      </c>
      <c r="CL259" s="692"/>
      <c r="CM259" s="496" t="str">
        <f t="shared" ref="CM259" si="159">CM$4</f>
        <v>1Q16</v>
      </c>
      <c r="CN259" s="692"/>
      <c r="CO259" s="496" t="str">
        <f t="shared" ref="CO259" si="160">CO$4</f>
        <v>2Q16</v>
      </c>
      <c r="CP259" s="692"/>
      <c r="CQ259" s="496" t="str">
        <f t="shared" ref="CQ259" si="161">CQ$4</f>
        <v>3Q16</v>
      </c>
      <c r="CR259" s="692"/>
      <c r="CS259" s="496" t="str">
        <f t="shared" ref="CS259" si="162">CS$4</f>
        <v>4Q16</v>
      </c>
      <c r="CT259" s="692"/>
      <c r="CU259" s="496" t="str">
        <f t="shared" ref="CU259" si="163">CU$4</f>
        <v>1Q17</v>
      </c>
      <c r="CV259" s="692"/>
      <c r="CW259" s="496" t="str">
        <f t="shared" ref="CW259" si="164">CW$4</f>
        <v>2Q17</v>
      </c>
      <c r="CX259" s="692"/>
      <c r="CY259" s="496" t="str">
        <f t="shared" ref="CY259" si="165">CY$4</f>
        <v>3Q17</v>
      </c>
      <c r="CZ259" s="692"/>
      <c r="DA259" s="496" t="str">
        <f t="shared" ref="DA259" si="166">DA$4</f>
        <v>4Q17</v>
      </c>
      <c r="DB259" s="496"/>
      <c r="DC259" s="692"/>
      <c r="DD259" s="686">
        <f>DD$4</f>
        <v>2004</v>
      </c>
      <c r="DE259" s="692"/>
      <c r="DF259" s="686">
        <f>DF$4</f>
        <v>2005</v>
      </c>
      <c r="DG259" s="692"/>
      <c r="DH259" s="686">
        <f>DH$4</f>
        <v>2006</v>
      </c>
      <c r="DI259" s="692"/>
      <c r="DJ259" s="686">
        <f>DJ$4</f>
        <v>2007</v>
      </c>
      <c r="DK259" s="692"/>
      <c r="DL259" s="725">
        <f>DL$4</f>
        <v>2008</v>
      </c>
      <c r="DM259" s="692"/>
      <c r="DN259" s="725" t="str">
        <f>DN$4</f>
        <v>2009</v>
      </c>
      <c r="DO259" s="692"/>
      <c r="DP259" s="725" t="str">
        <f>DP$4</f>
        <v>2010</v>
      </c>
      <c r="DQ259" s="692"/>
      <c r="DR259" s="725" t="str">
        <f>DR$4</f>
        <v>2011</v>
      </c>
      <c r="DS259" s="692"/>
      <c r="DT259" s="725" t="str">
        <f>DT$4</f>
        <v>2012</v>
      </c>
      <c r="DU259" s="692"/>
      <c r="DV259" s="725" t="str">
        <f>DV$4</f>
        <v>2013</v>
      </c>
      <c r="DW259" s="692"/>
      <c r="DX259" s="725" t="str">
        <f>DX$4</f>
        <v>2014</v>
      </c>
      <c r="DY259" s="692"/>
      <c r="DZ259" s="725" t="str">
        <f>DZ$4</f>
        <v>2015</v>
      </c>
      <c r="EA259" s="692"/>
      <c r="EB259" s="725" t="str">
        <f>EB$4</f>
        <v>2016</v>
      </c>
      <c r="EC259" s="692"/>
      <c r="ED259" s="725" t="str">
        <f>ED$4</f>
        <v>2017</v>
      </c>
      <c r="EE259" s="692"/>
      <c r="EF259" s="725" t="str">
        <f>EF$4</f>
        <v>2018E</v>
      </c>
      <c r="EG259" s="692"/>
      <c r="EH259" s="725" t="str">
        <f>EH$4</f>
        <v>2019E</v>
      </c>
      <c r="EI259" s="692"/>
      <c r="EJ259" s="725" t="str">
        <f>EJ$4</f>
        <v>2020E</v>
      </c>
      <c r="EK259" s="692"/>
      <c r="EL259" s="725" t="str">
        <f>EL$4</f>
        <v>2021E</v>
      </c>
      <c r="EM259" s="686" t="str">
        <f>EM$4</f>
        <v>CAGR</v>
      </c>
    </row>
    <row r="260" spans="1:143" s="3" customFormat="1" ht="12.75" hidden="1" customHeight="1" outlineLevel="1" x14ac:dyDescent="0.2">
      <c r="A260" s="694"/>
      <c r="B260" s="695" t="str">
        <f t="shared" ref="B260:BN260" si="167">B$5</f>
        <v>1Q06</v>
      </c>
      <c r="C260" s="726" t="str">
        <f t="shared" si="167"/>
        <v>% Chg</v>
      </c>
      <c r="D260" s="695" t="str">
        <f t="shared" si="167"/>
        <v>2Q06</v>
      </c>
      <c r="E260" s="726" t="str">
        <f t="shared" si="167"/>
        <v>% Chg</v>
      </c>
      <c r="F260" s="695" t="str">
        <f t="shared" si="167"/>
        <v>3Q06</v>
      </c>
      <c r="G260" s="726" t="str">
        <f t="shared" si="167"/>
        <v>% Chg</v>
      </c>
      <c r="H260" s="695" t="str">
        <f t="shared" si="167"/>
        <v>4Q06</v>
      </c>
      <c r="I260" s="726" t="str">
        <f t="shared" si="167"/>
        <v>% Chg</v>
      </c>
      <c r="J260" s="695" t="str">
        <f t="shared" si="167"/>
        <v>1Q07</v>
      </c>
      <c r="K260" s="726" t="str">
        <f t="shared" si="167"/>
        <v>% Chg</v>
      </c>
      <c r="L260" s="695" t="str">
        <f t="shared" si="167"/>
        <v>2Q07</v>
      </c>
      <c r="M260" s="726" t="str">
        <f t="shared" si="167"/>
        <v>% Chg</v>
      </c>
      <c r="N260" s="695" t="str">
        <f t="shared" si="167"/>
        <v>3Q07</v>
      </c>
      <c r="O260" s="726" t="str">
        <f t="shared" si="167"/>
        <v>% Chg</v>
      </c>
      <c r="P260" s="695" t="str">
        <f t="shared" si="167"/>
        <v>4Q07</v>
      </c>
      <c r="Q260" s="726" t="str">
        <f t="shared" si="167"/>
        <v>% Chg</v>
      </c>
      <c r="R260" s="695" t="str">
        <f t="shared" si="167"/>
        <v>1Q08</v>
      </c>
      <c r="S260" s="726" t="str">
        <f t="shared" si="167"/>
        <v>% Chg</v>
      </c>
      <c r="T260" s="695" t="str">
        <f t="shared" si="167"/>
        <v>2Q08</v>
      </c>
      <c r="U260" s="726" t="str">
        <f t="shared" si="167"/>
        <v>% Chg</v>
      </c>
      <c r="V260" s="695" t="str">
        <f t="shared" si="167"/>
        <v>3Q08</v>
      </c>
      <c r="W260" s="726" t="str">
        <f t="shared" si="167"/>
        <v>% Chg</v>
      </c>
      <c r="X260" s="695" t="str">
        <f t="shared" si="167"/>
        <v>4Q08</v>
      </c>
      <c r="Y260" s="726" t="str">
        <f t="shared" si="167"/>
        <v>% Chg</v>
      </c>
      <c r="Z260" s="695" t="str">
        <f t="shared" si="167"/>
        <v>1Q09</v>
      </c>
      <c r="AA260" s="726" t="str">
        <f t="shared" si="167"/>
        <v>% Chg</v>
      </c>
      <c r="AB260" s="695" t="str">
        <f t="shared" si="167"/>
        <v>2Q09</v>
      </c>
      <c r="AC260" s="726" t="str">
        <f t="shared" si="167"/>
        <v>% Chg</v>
      </c>
      <c r="AD260" s="695" t="str">
        <f t="shared" si="167"/>
        <v>3Q09</v>
      </c>
      <c r="AE260" s="726" t="str">
        <f t="shared" si="167"/>
        <v>% Chg</v>
      </c>
      <c r="AF260" s="695" t="str">
        <f t="shared" si="167"/>
        <v>4Q09</v>
      </c>
      <c r="AG260" s="726" t="str">
        <f t="shared" si="167"/>
        <v>% Chg</v>
      </c>
      <c r="AH260" s="695" t="str">
        <f t="shared" si="167"/>
        <v>1Q10</v>
      </c>
      <c r="AI260" s="726" t="str">
        <f t="shared" si="167"/>
        <v>% Chg</v>
      </c>
      <c r="AJ260" s="695" t="str">
        <f t="shared" si="167"/>
        <v>2Q10</v>
      </c>
      <c r="AK260" s="726" t="str">
        <f t="shared" si="167"/>
        <v>% Chg</v>
      </c>
      <c r="AL260" s="695" t="str">
        <f t="shared" si="167"/>
        <v>3Q10</v>
      </c>
      <c r="AM260" s="726" t="str">
        <f t="shared" si="167"/>
        <v>% Chg</v>
      </c>
      <c r="AN260" s="695" t="str">
        <f t="shared" si="167"/>
        <v>4Q10</v>
      </c>
      <c r="AO260" s="726" t="str">
        <f t="shared" si="167"/>
        <v>% Chg</v>
      </c>
      <c r="AP260" s="695" t="str">
        <f t="shared" si="167"/>
        <v>1Q11</v>
      </c>
      <c r="AQ260" s="726" t="str">
        <f t="shared" si="167"/>
        <v>% Chg</v>
      </c>
      <c r="AR260" s="695" t="str">
        <f t="shared" si="167"/>
        <v>2Q11</v>
      </c>
      <c r="AS260" s="726" t="str">
        <f t="shared" si="167"/>
        <v>% Chg</v>
      </c>
      <c r="AT260" s="695" t="str">
        <f t="shared" si="167"/>
        <v>3Q11</v>
      </c>
      <c r="AU260" s="726" t="str">
        <f t="shared" si="167"/>
        <v>% Chg</v>
      </c>
      <c r="AV260" s="695" t="str">
        <f t="shared" si="167"/>
        <v>4Q11</v>
      </c>
      <c r="AW260" s="726" t="str">
        <f t="shared" si="167"/>
        <v>% Chg</v>
      </c>
      <c r="AX260" s="695" t="str">
        <f t="shared" si="167"/>
        <v>1Q12</v>
      </c>
      <c r="AY260" s="726" t="str">
        <f t="shared" si="167"/>
        <v>% Chg</v>
      </c>
      <c r="AZ260" s="695" t="str">
        <f t="shared" si="167"/>
        <v>2Q12</v>
      </c>
      <c r="BA260" s="726" t="str">
        <f t="shared" si="167"/>
        <v>% Chg</v>
      </c>
      <c r="BB260" s="695" t="str">
        <f t="shared" si="167"/>
        <v>3Q12</v>
      </c>
      <c r="BC260" s="726" t="str">
        <f t="shared" si="167"/>
        <v>% Chg</v>
      </c>
      <c r="BD260" s="695" t="str">
        <f t="shared" si="167"/>
        <v>4Q12</v>
      </c>
      <c r="BE260" s="726" t="str">
        <f t="shared" si="167"/>
        <v>% Chg</v>
      </c>
      <c r="BF260" s="695" t="str">
        <f t="shared" si="167"/>
        <v>1Q13</v>
      </c>
      <c r="BG260" s="726" t="str">
        <f t="shared" si="167"/>
        <v>% Chg</v>
      </c>
      <c r="BH260" s="695" t="str">
        <f t="shared" si="167"/>
        <v>2Q13</v>
      </c>
      <c r="BI260" s="726" t="str">
        <f t="shared" si="167"/>
        <v>% Chg</v>
      </c>
      <c r="BJ260" s="695" t="str">
        <f t="shared" si="167"/>
        <v>3Q13</v>
      </c>
      <c r="BK260" s="726" t="str">
        <f t="shared" si="167"/>
        <v>% Chg</v>
      </c>
      <c r="BL260" s="695" t="str">
        <f t="shared" si="167"/>
        <v>4Q13</v>
      </c>
      <c r="BM260" s="726" t="str">
        <f t="shared" si="167"/>
        <v>% Chg</v>
      </c>
      <c r="BN260" s="695" t="str">
        <f t="shared" si="167"/>
        <v>1Q14</v>
      </c>
      <c r="BO260" s="726" t="str">
        <f t="shared" ref="BO260:DA260" si="168">BO$5</f>
        <v>% Chg</v>
      </c>
      <c r="BP260" s="695" t="str">
        <f t="shared" si="168"/>
        <v>2Q14</v>
      </c>
      <c r="BQ260" s="726" t="str">
        <f t="shared" si="168"/>
        <v>% Chg</v>
      </c>
      <c r="BR260" s="695" t="str">
        <f t="shared" si="168"/>
        <v>3Q14</v>
      </c>
      <c r="BS260" s="726" t="str">
        <f t="shared" si="168"/>
        <v>% Chg</v>
      </c>
      <c r="BT260" s="695" t="str">
        <f t="shared" si="168"/>
        <v>4Q14</v>
      </c>
      <c r="BU260" s="726" t="str">
        <f t="shared" si="168"/>
        <v>% Chg</v>
      </c>
      <c r="BV260" s="695" t="str">
        <f t="shared" si="168"/>
        <v>1Q15</v>
      </c>
      <c r="BW260" s="726" t="str">
        <f t="shared" si="168"/>
        <v>% Chg</v>
      </c>
      <c r="BX260" s="695" t="str">
        <f t="shared" si="168"/>
        <v>2Q15</v>
      </c>
      <c r="BY260" s="726" t="str">
        <f t="shared" si="168"/>
        <v>% Chg</v>
      </c>
      <c r="BZ260" s="695" t="str">
        <f t="shared" si="168"/>
        <v>3Q15</v>
      </c>
      <c r="CA260" s="726" t="str">
        <f t="shared" si="168"/>
        <v>% Chg</v>
      </c>
      <c r="CB260" s="695" t="str">
        <f t="shared" si="168"/>
        <v>4Q15</v>
      </c>
      <c r="CC260" s="726" t="str">
        <f t="shared" si="168"/>
        <v>% Chg</v>
      </c>
      <c r="CD260" s="695" t="str">
        <f t="shared" si="168"/>
        <v>1Q16</v>
      </c>
      <c r="CE260" s="726" t="str">
        <f t="shared" si="168"/>
        <v>% Chg</v>
      </c>
      <c r="CF260" s="695" t="str">
        <f t="shared" si="168"/>
        <v>2Q16</v>
      </c>
      <c r="CG260" s="726" t="str">
        <f t="shared" si="168"/>
        <v>% Chg</v>
      </c>
      <c r="CH260" s="695" t="str">
        <f t="shared" si="168"/>
        <v>3Q16</v>
      </c>
      <c r="CI260" s="726" t="str">
        <f t="shared" si="168"/>
        <v>% Chg</v>
      </c>
      <c r="CJ260" s="695" t="str">
        <f t="shared" si="168"/>
        <v>4Q16</v>
      </c>
      <c r="CK260" s="726" t="str">
        <f t="shared" si="168"/>
        <v>% Chg</v>
      </c>
      <c r="CL260" s="695" t="str">
        <f t="shared" si="168"/>
        <v>1Q17</v>
      </c>
      <c r="CM260" s="726" t="str">
        <f t="shared" si="168"/>
        <v>% Chg</v>
      </c>
      <c r="CN260" s="695" t="str">
        <f t="shared" si="168"/>
        <v>2Q17</v>
      </c>
      <c r="CO260" s="726" t="str">
        <f t="shared" si="168"/>
        <v>% Chg</v>
      </c>
      <c r="CP260" s="695" t="str">
        <f t="shared" si="168"/>
        <v>3Q17</v>
      </c>
      <c r="CQ260" s="726" t="str">
        <f t="shared" si="168"/>
        <v>% Chg</v>
      </c>
      <c r="CR260" s="695" t="str">
        <f t="shared" si="168"/>
        <v>4Q17</v>
      </c>
      <c r="CS260" s="726" t="str">
        <f t="shared" si="168"/>
        <v>% Chg</v>
      </c>
      <c r="CT260" s="695" t="str">
        <f t="shared" si="168"/>
        <v>1Q18E</v>
      </c>
      <c r="CU260" s="726" t="str">
        <f t="shared" si="168"/>
        <v>% Chg</v>
      </c>
      <c r="CV260" s="695" t="str">
        <f t="shared" si="168"/>
        <v>2Q18E</v>
      </c>
      <c r="CW260" s="726" t="str">
        <f t="shared" si="168"/>
        <v>% Chg</v>
      </c>
      <c r="CX260" s="695" t="str">
        <f t="shared" si="168"/>
        <v>3Q18E</v>
      </c>
      <c r="CY260" s="726" t="str">
        <f t="shared" si="168"/>
        <v>% Chg</v>
      </c>
      <c r="CZ260" s="695" t="str">
        <f t="shared" si="168"/>
        <v>4Q18E</v>
      </c>
      <c r="DA260" s="726" t="str">
        <f t="shared" si="168"/>
        <v>% Chg</v>
      </c>
      <c r="DB260" s="726"/>
      <c r="DC260" s="699">
        <f t="shared" ref="DC260:EM260" si="169">DC$5</f>
        <v>2005</v>
      </c>
      <c r="DD260" s="726" t="str">
        <f t="shared" si="169"/>
        <v>% Chg</v>
      </c>
      <c r="DE260" s="699">
        <f t="shared" si="169"/>
        <v>2006</v>
      </c>
      <c r="DF260" s="726" t="str">
        <f t="shared" si="169"/>
        <v>% Chg</v>
      </c>
      <c r="DG260" s="699">
        <f t="shared" si="169"/>
        <v>2007</v>
      </c>
      <c r="DH260" s="726" t="str">
        <f t="shared" si="169"/>
        <v>% Chg</v>
      </c>
      <c r="DI260" s="699">
        <f t="shared" si="169"/>
        <v>2008</v>
      </c>
      <c r="DJ260" s="726" t="str">
        <f t="shared" si="169"/>
        <v>% Chg</v>
      </c>
      <c r="DK260" s="695" t="str">
        <f t="shared" si="169"/>
        <v>2009</v>
      </c>
      <c r="DL260" s="726" t="str">
        <f t="shared" si="169"/>
        <v>% Chg</v>
      </c>
      <c r="DM260" s="695" t="str">
        <f t="shared" si="169"/>
        <v>2010</v>
      </c>
      <c r="DN260" s="726" t="str">
        <f t="shared" si="169"/>
        <v>% Chg</v>
      </c>
      <c r="DO260" s="695" t="str">
        <f t="shared" si="169"/>
        <v>2011</v>
      </c>
      <c r="DP260" s="726" t="str">
        <f t="shared" si="169"/>
        <v>% Chg</v>
      </c>
      <c r="DQ260" s="695" t="str">
        <f t="shared" si="169"/>
        <v>2012</v>
      </c>
      <c r="DR260" s="726" t="str">
        <f t="shared" si="169"/>
        <v>% Chg</v>
      </c>
      <c r="DS260" s="695" t="str">
        <f t="shared" si="169"/>
        <v>2013</v>
      </c>
      <c r="DT260" s="726" t="str">
        <f t="shared" si="169"/>
        <v>% Chg</v>
      </c>
      <c r="DU260" s="695" t="str">
        <f t="shared" si="169"/>
        <v>2014</v>
      </c>
      <c r="DV260" s="726" t="str">
        <f t="shared" si="169"/>
        <v>% Chg</v>
      </c>
      <c r="DW260" s="695" t="str">
        <f t="shared" si="169"/>
        <v>2015</v>
      </c>
      <c r="DX260" s="726" t="str">
        <f t="shared" si="169"/>
        <v>% Chg</v>
      </c>
      <c r="DY260" s="695" t="str">
        <f t="shared" si="169"/>
        <v>2016</v>
      </c>
      <c r="DZ260" s="726" t="str">
        <f t="shared" si="169"/>
        <v>% Chg</v>
      </c>
      <c r="EA260" s="695" t="str">
        <f t="shared" si="169"/>
        <v>2017</v>
      </c>
      <c r="EB260" s="726" t="str">
        <f t="shared" si="169"/>
        <v>% Chg</v>
      </c>
      <c r="EC260" s="695" t="str">
        <f t="shared" si="169"/>
        <v>2018E</v>
      </c>
      <c r="ED260" s="726" t="str">
        <f t="shared" si="169"/>
        <v>% Chg</v>
      </c>
      <c r="EE260" s="695" t="str">
        <f t="shared" si="169"/>
        <v>2019E</v>
      </c>
      <c r="EF260" s="726" t="str">
        <f t="shared" si="169"/>
        <v>% Chg</v>
      </c>
      <c r="EG260" s="695" t="str">
        <f t="shared" si="169"/>
        <v>2020E</v>
      </c>
      <c r="EH260" s="726" t="str">
        <f t="shared" si="169"/>
        <v>% Chg</v>
      </c>
      <c r="EI260" s="695" t="str">
        <f t="shared" si="169"/>
        <v>2021E</v>
      </c>
      <c r="EJ260" s="726" t="str">
        <f t="shared" si="169"/>
        <v>% Chg</v>
      </c>
      <c r="EK260" s="695" t="str">
        <f t="shared" si="169"/>
        <v>2022E</v>
      </c>
      <c r="EL260" s="726" t="str">
        <f t="shared" si="169"/>
        <v>% Chg</v>
      </c>
      <c r="EM260" s="696" t="str">
        <f t="shared" si="169"/>
        <v>(%)</v>
      </c>
    </row>
    <row r="261" spans="1:143" ht="12.75" hidden="1" customHeight="1" outlineLevel="1" x14ac:dyDescent="0.2">
      <c r="A261" s="700"/>
      <c r="B261" s="16"/>
      <c r="C261" s="507"/>
      <c r="D261" s="16"/>
      <c r="E261" s="687"/>
      <c r="F261" s="16"/>
      <c r="G261" s="687"/>
      <c r="H261" s="16"/>
      <c r="I261" s="687"/>
      <c r="J261" s="16"/>
      <c r="K261" s="507"/>
      <c r="L261" s="16"/>
      <c r="M261" s="507"/>
      <c r="N261" s="16"/>
      <c r="O261" s="507"/>
      <c r="P261" s="16"/>
      <c r="Q261" s="507"/>
      <c r="R261" s="16"/>
      <c r="S261" s="507"/>
      <c r="T261" s="16"/>
      <c r="U261" s="507"/>
      <c r="V261" s="16"/>
      <c r="W261" s="507"/>
      <c r="X261" s="16"/>
      <c r="Y261" s="507"/>
      <c r="Z261" s="16"/>
      <c r="AA261" s="507"/>
      <c r="AB261" s="16"/>
      <c r="AC261" s="507"/>
      <c r="AD261" s="16"/>
      <c r="AE261" s="507"/>
      <c r="AF261" s="16"/>
      <c r="AG261" s="507"/>
      <c r="AH261" s="16"/>
      <c r="AI261" s="507"/>
      <c r="AJ261" s="16"/>
      <c r="AK261" s="507"/>
      <c r="AL261" s="16"/>
      <c r="AM261" s="507"/>
      <c r="AN261" s="16"/>
      <c r="AO261" s="507"/>
      <c r="AP261" s="16"/>
      <c r="AQ261" s="507"/>
      <c r="AR261" s="16"/>
      <c r="AS261" s="507"/>
      <c r="AT261" s="16"/>
      <c r="AU261" s="507"/>
      <c r="AV261" s="16"/>
      <c r="AW261" s="507"/>
      <c r="AX261" s="16"/>
      <c r="AY261" s="507"/>
      <c r="AZ261" s="16"/>
      <c r="BA261" s="507"/>
      <c r="BB261" s="16"/>
      <c r="BC261" s="507"/>
      <c r="BD261" s="16"/>
      <c r="BE261" s="507"/>
      <c r="BF261" s="16"/>
      <c r="BG261" s="507"/>
      <c r="BH261" s="16"/>
      <c r="BI261" s="507"/>
      <c r="BJ261" s="16"/>
      <c r="BK261" s="507"/>
      <c r="BL261" s="16"/>
      <c r="BM261" s="507"/>
      <c r="BN261" s="16"/>
      <c r="BO261" s="507"/>
      <c r="BP261" s="16"/>
      <c r="BQ261" s="507"/>
      <c r="BR261" s="16"/>
      <c r="BS261" s="507"/>
      <c r="BT261" s="16"/>
      <c r="BU261" s="507"/>
      <c r="BV261" s="16"/>
      <c r="BW261" s="507"/>
      <c r="BX261" s="16"/>
      <c r="BY261" s="507"/>
      <c r="BZ261" s="16"/>
      <c r="CA261" s="507"/>
      <c r="CB261" s="16"/>
      <c r="CC261" s="507"/>
      <c r="CD261" s="16"/>
      <c r="CE261" s="507"/>
      <c r="CF261" s="16"/>
      <c r="CG261" s="507"/>
      <c r="CH261" s="16"/>
      <c r="CI261" s="507"/>
      <c r="CJ261" s="16"/>
      <c r="CK261" s="507"/>
      <c r="CL261" s="16"/>
      <c r="CM261" s="507"/>
      <c r="CN261" s="16"/>
      <c r="CO261" s="507"/>
      <c r="CP261" s="16"/>
      <c r="CQ261" s="507"/>
      <c r="CR261" s="16"/>
      <c r="CS261" s="507"/>
      <c r="CT261" s="16"/>
      <c r="CU261" s="507"/>
      <c r="CV261" s="16"/>
      <c r="CW261" s="507"/>
      <c r="CX261" s="16"/>
      <c r="CY261" s="507"/>
      <c r="CZ261" s="16"/>
      <c r="DA261" s="507"/>
      <c r="DB261" s="507"/>
      <c r="DC261" s="16"/>
      <c r="DD261" s="507"/>
      <c r="DE261" s="16"/>
      <c r="DF261" s="507"/>
      <c r="DG261" s="16"/>
      <c r="DH261" s="507"/>
      <c r="DI261" s="16"/>
      <c r="DJ261" s="507"/>
      <c r="DK261" s="16"/>
      <c r="DL261" s="507"/>
      <c r="DM261" s="16"/>
      <c r="DN261" s="507"/>
      <c r="DO261" s="16"/>
      <c r="DP261" s="507"/>
      <c r="DQ261" s="16"/>
      <c r="DR261" s="507"/>
      <c r="DS261" s="16"/>
      <c r="DT261" s="507"/>
      <c r="DU261" s="16"/>
      <c r="DV261" s="507"/>
      <c r="DW261" s="16"/>
      <c r="DX261" s="507"/>
      <c r="DY261" s="16"/>
      <c r="DZ261" s="507"/>
      <c r="EA261" s="16"/>
      <c r="EB261" s="507"/>
      <c r="EC261" s="16"/>
      <c r="ED261" s="507"/>
      <c r="EE261" s="16"/>
      <c r="EF261" s="507"/>
      <c r="EG261" s="16"/>
      <c r="EH261" s="507"/>
      <c r="EI261" s="16"/>
      <c r="EJ261" s="507"/>
      <c r="EK261" s="16"/>
      <c r="EL261" s="507"/>
      <c r="EM261" s="687"/>
    </row>
    <row r="262" spans="1:143" ht="12.75" hidden="1" customHeight="1" outlineLevel="1" x14ac:dyDescent="0.2">
      <c r="A262" s="700" t="str">
        <f>INPUT!B284</f>
        <v>REVENUES</v>
      </c>
      <c r="B262" s="16"/>
      <c r="C262" s="507"/>
      <c r="D262" s="16"/>
      <c r="E262" s="687"/>
      <c r="F262" s="16"/>
      <c r="G262" s="687"/>
      <c r="H262" s="16"/>
      <c r="I262" s="687"/>
      <c r="J262" s="16"/>
      <c r="K262" s="507"/>
      <c r="L262" s="16"/>
      <c r="M262" s="507"/>
      <c r="N262" s="16"/>
      <c r="O262" s="507"/>
      <c r="P262" s="16"/>
      <c r="Q262" s="507"/>
      <c r="R262" s="16"/>
      <c r="S262" s="507"/>
      <c r="T262" s="16"/>
      <c r="U262" s="507"/>
      <c r="V262" s="16"/>
      <c r="W262" s="507"/>
      <c r="X262" s="16"/>
      <c r="Y262" s="507"/>
      <c r="Z262" s="16"/>
      <c r="AA262" s="507"/>
      <c r="AB262" s="16"/>
      <c r="AC262" s="507"/>
      <c r="AD262" s="16"/>
      <c r="AE262" s="507"/>
      <c r="AF262" s="16"/>
      <c r="AG262" s="507"/>
      <c r="AH262" s="16"/>
      <c r="AI262" s="507"/>
      <c r="AJ262" s="16"/>
      <c r="AK262" s="507"/>
      <c r="AL262" s="16"/>
      <c r="AM262" s="507"/>
      <c r="AN262" s="16"/>
      <c r="AO262" s="507"/>
      <c r="AP262" s="16"/>
      <c r="AQ262" s="507"/>
      <c r="AR262" s="16"/>
      <c r="AS262" s="507"/>
      <c r="AT262" s="16"/>
      <c r="AU262" s="507"/>
      <c r="AV262" s="16"/>
      <c r="AW262" s="507"/>
      <c r="AX262" s="16"/>
      <c r="AY262" s="507"/>
      <c r="AZ262" s="16"/>
      <c r="BA262" s="507"/>
      <c r="BB262" s="16"/>
      <c r="BC262" s="507"/>
      <c r="BD262" s="16"/>
      <c r="BE262" s="507"/>
      <c r="BF262" s="16"/>
      <c r="BG262" s="507"/>
      <c r="BH262" s="16"/>
      <c r="BI262" s="507"/>
      <c r="BJ262" s="16"/>
      <c r="BK262" s="507"/>
      <c r="BL262" s="16"/>
      <c r="BM262" s="507"/>
      <c r="BN262" s="16"/>
      <c r="BO262" s="507"/>
      <c r="BP262" s="16"/>
      <c r="BQ262" s="507"/>
      <c r="BR262" s="16"/>
      <c r="BS262" s="507"/>
      <c r="BT262" s="16"/>
      <c r="BU262" s="507"/>
      <c r="BV262" s="16"/>
      <c r="BW262" s="507"/>
      <c r="BX262" s="16"/>
      <c r="BY262" s="507"/>
      <c r="BZ262" s="16"/>
      <c r="CA262" s="507"/>
      <c r="CB262" s="16"/>
      <c r="CC262" s="507"/>
      <c r="CD262" s="16"/>
      <c r="CE262" s="507"/>
      <c r="CF262" s="16"/>
      <c r="CG262" s="507"/>
      <c r="CH262" s="16"/>
      <c r="CI262" s="507"/>
      <c r="CJ262" s="16"/>
      <c r="CK262" s="507"/>
      <c r="CL262" s="16"/>
      <c r="CM262" s="507"/>
      <c r="CN262" s="16"/>
      <c r="CO262" s="507"/>
      <c r="CP262" s="16"/>
      <c r="CQ262" s="507"/>
      <c r="CR262" s="16"/>
      <c r="CS262" s="507"/>
      <c r="CT262" s="16"/>
      <c r="CU262" s="507"/>
      <c r="CV262" s="16"/>
      <c r="CW262" s="507"/>
      <c r="CX262" s="16"/>
      <c r="CY262" s="507"/>
      <c r="CZ262" s="16"/>
      <c r="DA262" s="507"/>
      <c r="DB262" s="507"/>
      <c r="DC262" s="16"/>
      <c r="DD262" s="507"/>
      <c r="DE262" s="16"/>
      <c r="DF262" s="507"/>
      <c r="DG262" s="16"/>
      <c r="DH262" s="507"/>
      <c r="DI262" s="16"/>
      <c r="DJ262" s="507"/>
      <c r="DK262" s="16"/>
      <c r="DL262" s="507"/>
      <c r="DM262" s="16"/>
      <c r="DN262" s="507"/>
      <c r="DO262" s="16"/>
      <c r="DP262" s="507"/>
      <c r="DQ262" s="16"/>
      <c r="DR262" s="507"/>
      <c r="DS262" s="16"/>
      <c r="DT262" s="507"/>
      <c r="DU262" s="16"/>
      <c r="DV262" s="507"/>
      <c r="DW262" s="16"/>
      <c r="DX262" s="507"/>
      <c r="DY262" s="16"/>
      <c r="DZ262" s="507"/>
      <c r="EA262" s="16"/>
      <c r="EB262" s="507"/>
      <c r="EC262" s="16"/>
      <c r="ED262" s="507"/>
      <c r="EE262" s="16"/>
      <c r="EF262" s="507"/>
      <c r="EG262" s="16"/>
      <c r="EH262" s="507"/>
      <c r="EI262" s="16"/>
      <c r="EJ262" s="507"/>
      <c r="EK262" s="16"/>
      <c r="EL262" s="507"/>
      <c r="EM262" s="687"/>
    </row>
    <row r="263" spans="1:143" ht="12.75" hidden="1" customHeight="1" outlineLevel="1" x14ac:dyDescent="0.2">
      <c r="A263" s="701" t="str">
        <f>INPUT!B285</f>
        <v xml:space="preserve">Premiums </v>
      </c>
      <c r="B263" s="151"/>
      <c r="C263" s="507"/>
      <c r="D263" s="151">
        <f>INPUT!BA285</f>
        <v>328.9</v>
      </c>
      <c r="E263" s="687">
        <f>INPUT!BB285</f>
        <v>5.9791715000128809</v>
      </c>
      <c r="F263" s="151">
        <f>INPUT!BC285</f>
        <v>304.10000000000002</v>
      </c>
      <c r="G263" s="687">
        <f>INPUT!BD285</f>
        <v>6.1253262978628431</v>
      </c>
      <c r="H263" s="151">
        <f>INPUT!BE285</f>
        <v>315.89999999999998</v>
      </c>
      <c r="I263" s="687">
        <f>INPUT!BF285</f>
        <v>6.8655807581062378</v>
      </c>
      <c r="J263" s="151">
        <f>INPUT!BG285</f>
        <v>331.3</v>
      </c>
      <c r="K263" s="687" t="str">
        <f>INPUT!BH285</f>
        <v>NA</v>
      </c>
      <c r="L263" s="151">
        <f>INPUT!BI285</f>
        <v>361.3</v>
      </c>
      <c r="M263" s="687">
        <f>INPUT!BJ285</f>
        <v>9.8510185466707423</v>
      </c>
      <c r="N263" s="151">
        <f>INPUT!BK285</f>
        <v>336.7</v>
      </c>
      <c r="O263" s="687">
        <f>INPUT!BL285</f>
        <v>10.72015784281486</v>
      </c>
      <c r="P263" s="151">
        <f>INPUT!BM285</f>
        <v>349.7</v>
      </c>
      <c r="Q263" s="687">
        <f>INPUT!BN285</f>
        <v>10.699588477366252</v>
      </c>
      <c r="R263" s="151">
        <f>INPUT!BO285</f>
        <v>370.4</v>
      </c>
      <c r="S263" s="687">
        <f>INPUT!BP285</f>
        <v>11.80199215212796</v>
      </c>
      <c r="T263" s="151">
        <f>INPUT!BQ285</f>
        <v>393</v>
      </c>
      <c r="U263" s="687">
        <f>INPUT!BR285</f>
        <v>8.7738721284251309</v>
      </c>
      <c r="V263" s="151">
        <f>INPUT!BS285</f>
        <v>370.6</v>
      </c>
      <c r="W263" s="687">
        <f>INPUT!BT285</f>
        <v>10.068310068310083</v>
      </c>
      <c r="X263" s="151">
        <f>INPUT!BU285</f>
        <v>382.9</v>
      </c>
      <c r="Y263" s="687">
        <f>INPUT!BV285</f>
        <v>9.4938518730340213</v>
      </c>
      <c r="Z263" s="151">
        <f>INPUT!BW285</f>
        <v>389.8</v>
      </c>
      <c r="AA263" s="687">
        <f>INPUT!BX285</f>
        <v>5.2375809935205186</v>
      </c>
      <c r="AB263" s="151">
        <f>INPUT!BY285</f>
        <v>413.3</v>
      </c>
      <c r="AC263" s="687">
        <f>INPUT!BZ285</f>
        <v>5.1653944020356279</v>
      </c>
      <c r="AD263" s="151">
        <f>INPUT!CA285</f>
        <v>379.5</v>
      </c>
      <c r="AE263" s="687">
        <f>INPUT!CB285</f>
        <v>2.4015110631408376</v>
      </c>
      <c r="AF263" s="151">
        <f>INPUT!CC285</f>
        <v>396.4</v>
      </c>
      <c r="AG263" s="687">
        <f>INPUT!CD285</f>
        <v>3.5257247323060792</v>
      </c>
      <c r="AH263" s="151">
        <f>INPUT!CE285</f>
        <v>409.9</v>
      </c>
      <c r="AI263" s="507">
        <f>INPUT!CF285</f>
        <v>5.1564905079527934</v>
      </c>
      <c r="AJ263" s="151">
        <f>INPUT!CG285</f>
        <v>433.7</v>
      </c>
      <c r="AK263" s="507">
        <f>INPUT!CH285</f>
        <v>4.9358819259617714</v>
      </c>
      <c r="AL263" s="151">
        <f>INPUT!CI285</f>
        <v>414.5</v>
      </c>
      <c r="AM263" s="507">
        <f>INPUT!CJ285</f>
        <v>9.2226613965744377</v>
      </c>
      <c r="AN263" s="151">
        <f>INPUT!CK285</f>
        <v>424.2</v>
      </c>
      <c r="AO263" s="507">
        <f>INPUT!CL285</f>
        <v>7.0131180625630618</v>
      </c>
      <c r="AP263" s="151">
        <f>INPUT!CM285</f>
        <v>436.6</v>
      </c>
      <c r="AQ263" s="507">
        <f>INPUT!CN285</f>
        <v>6.5137838497194567</v>
      </c>
      <c r="AR263" s="151">
        <f>INPUT!CO285</f>
        <v>460.2</v>
      </c>
      <c r="AS263" s="507">
        <f>INPUT!CP285</f>
        <v>6.1102144339405084</v>
      </c>
      <c r="AT263" s="151">
        <f>INPUT!CQ285</f>
        <v>439.7</v>
      </c>
      <c r="AU263" s="507">
        <f>INPUT!CR285</f>
        <v>6.079613992762356</v>
      </c>
      <c r="AV263" s="151">
        <f>INPUT!CS285</f>
        <v>442</v>
      </c>
      <c r="AW263" s="507">
        <f>INPUT!CT285</f>
        <v>4.1961338991042041</v>
      </c>
      <c r="AX263" s="151">
        <f>INPUT!CU285</f>
        <v>463</v>
      </c>
      <c r="AY263" s="507">
        <f>INPUT!CV285</f>
        <v>6.0467246907924821</v>
      </c>
      <c r="AZ263" s="151">
        <f>INPUT!CW285</f>
        <v>495</v>
      </c>
      <c r="BA263" s="507">
        <f>INPUT!CX285</f>
        <v>7.5619295958279098</v>
      </c>
      <c r="BB263" s="151">
        <f>INPUT!CY285</f>
        <v>473</v>
      </c>
      <c r="BC263" s="507">
        <f>INPUT!CZ285</f>
        <v>7.5733454628155616</v>
      </c>
      <c r="BD263" s="151">
        <f>INPUT!DA285</f>
        <v>487</v>
      </c>
      <c r="BE263" s="507">
        <f>INPUT!DB285</f>
        <v>10.18099547511313</v>
      </c>
      <c r="BF263" s="151">
        <f>INPUT!DC285</f>
        <v>508</v>
      </c>
      <c r="BG263" s="507">
        <f>INPUT!DD285</f>
        <v>9.7192224622030245</v>
      </c>
      <c r="BH263" s="151">
        <f>INPUT!DE285</f>
        <v>531</v>
      </c>
      <c r="BI263" s="507">
        <f>INPUT!DF285</f>
        <v>7.2727272727272751</v>
      </c>
      <c r="BJ263" s="151">
        <f>INPUT!DG285</f>
        <v>516</v>
      </c>
      <c r="BK263" s="507">
        <f>INPUT!DH285</f>
        <v>9.0909090909090828</v>
      </c>
      <c r="BL263" s="151">
        <f>INPUT!DI285</f>
        <v>529</v>
      </c>
      <c r="BM263" s="507">
        <f>INPUT!DJ285</f>
        <v>8.6242299794661257</v>
      </c>
      <c r="BN263" s="151">
        <f>INPUT!DK285</f>
        <v>562</v>
      </c>
      <c r="BO263" s="507">
        <f>INPUT!DL285</f>
        <v>10.629921259842522</v>
      </c>
      <c r="BP263" s="151">
        <f>INPUT!DM285</f>
        <v>574</v>
      </c>
      <c r="BQ263" s="507">
        <f>INPUT!DN285</f>
        <v>8.0979284369114843</v>
      </c>
      <c r="BR263" s="151">
        <f>INPUT!DO285</f>
        <v>550</v>
      </c>
      <c r="BS263" s="507">
        <f>INPUT!DP285</f>
        <v>6.5891472868216949</v>
      </c>
      <c r="BT263" s="151">
        <f>INPUT!DQ285</f>
        <v>567</v>
      </c>
      <c r="BU263" s="507">
        <f>INPUT!DR285</f>
        <v>7.1833648393194727</v>
      </c>
      <c r="BV263" s="151">
        <f>INPUT!DS285</f>
        <v>561</v>
      </c>
      <c r="BW263" s="507">
        <f>INPUT!DT285</f>
        <v>-0.1779359430605032</v>
      </c>
      <c r="BX263" s="151">
        <f>INPUT!DU285</f>
        <v>567</v>
      </c>
      <c r="BY263" s="507">
        <f>INPUT!DV285</f>
        <v>-1.2195121951219523</v>
      </c>
      <c r="BZ263" s="151">
        <f>INPUT!DW285</f>
        <v>519</v>
      </c>
      <c r="CA263" s="507">
        <f>INPUT!DX285</f>
        <v>519</v>
      </c>
      <c r="CB263" s="151">
        <f>INPUT!DY285</f>
        <v>516</v>
      </c>
      <c r="CC263" s="507">
        <f>INPUT!DZ285</f>
        <v>-8.9947089947090006</v>
      </c>
      <c r="CD263" s="151">
        <f>INPUT!EA285</f>
        <v>489</v>
      </c>
      <c r="CE263" s="507">
        <f>INPUT!EB285</f>
        <v>-12.834224598930478</v>
      </c>
      <c r="CF263" s="151">
        <f>INPUT!EC285</f>
        <v>478</v>
      </c>
      <c r="CG263" s="507">
        <f>INPUT!ED285</f>
        <v>-15.696649029982368</v>
      </c>
      <c r="CH263" s="151">
        <f>INPUT!EE285</f>
        <v>485</v>
      </c>
      <c r="CI263" s="507">
        <f>INPUT!EF285</f>
        <v>-6.5510597302504863</v>
      </c>
      <c r="CJ263" s="151">
        <f>INPUT!EG285</f>
        <v>487</v>
      </c>
      <c r="CK263" s="507">
        <f>INPUT!EH285</f>
        <v>-5.6201550387596892</v>
      </c>
      <c r="CL263" s="151">
        <f>INPUT!EI285</f>
        <v>495</v>
      </c>
      <c r="CM263" s="507">
        <f>INPUT!EJ285</f>
        <v>1.2269938650306678</v>
      </c>
      <c r="CN263" s="151">
        <f>INPUT!EK285</f>
        <v>494</v>
      </c>
      <c r="CO263" s="507">
        <f>INPUT!EL285</f>
        <v>3.3472803347280422</v>
      </c>
      <c r="CP263" s="151">
        <f>INPUT!EM285</f>
        <v>500</v>
      </c>
      <c r="CQ263" s="507">
        <f>INPUT!EN285</f>
        <v>3.0927835051546282</v>
      </c>
      <c r="CR263" s="151">
        <f>INPUT!EO285</f>
        <v>509</v>
      </c>
      <c r="CS263" s="507">
        <f>INPUT!EP285</f>
        <v>4.5174537987679564</v>
      </c>
      <c r="CT263" s="151">
        <f>INPUT!EQ285</f>
        <v>516.63499999999999</v>
      </c>
      <c r="CU263" s="507">
        <f>INPUT!ER285</f>
        <v>4.3707070707070583</v>
      </c>
      <c r="CV263" s="151">
        <f>INPUT!ES285</f>
        <v>524.38452499999994</v>
      </c>
      <c r="CW263" s="507">
        <f>INPUT!ET285</f>
        <v>6.1507135627530296</v>
      </c>
      <c r="CX263" s="151">
        <f>INPUT!EU285</f>
        <v>932.2502928749999</v>
      </c>
      <c r="CY263" s="507">
        <f>INPUT!EV285</f>
        <v>86.450058574999986</v>
      </c>
      <c r="CZ263" s="151">
        <f>INPUT!EW285</f>
        <v>946.23404726812475</v>
      </c>
      <c r="DA263" s="507">
        <f>INPUT!EX285</f>
        <v>85.900598677431191</v>
      </c>
      <c r="DB263" s="507"/>
      <c r="DC263" s="151"/>
      <c r="DD263" s="507"/>
      <c r="DE263" s="151">
        <f>INPUT!FR285</f>
        <v>948.9</v>
      </c>
      <c r="DF263" s="687">
        <f>INPUT!FS285</f>
        <v>-19.719317956848613</v>
      </c>
      <c r="DG263" s="151">
        <f>INPUT!FT285</f>
        <v>1379</v>
      </c>
      <c r="DH263" s="687">
        <f>INPUT!FU285</f>
        <v>45.326167140899983</v>
      </c>
      <c r="DI263" s="151">
        <f>INPUT!FV285</f>
        <v>1516.9</v>
      </c>
      <c r="DJ263" s="687">
        <f>INPUT!FW285</f>
        <v>10.000000000000009</v>
      </c>
      <c r="DK263" s="151">
        <f>INPUT!FX285</f>
        <v>1579</v>
      </c>
      <c r="DL263" s="507">
        <f>INPUT!FY285</f>
        <v>4.0938756674797183</v>
      </c>
      <c r="DM263" s="151">
        <f>INPUT!FZ285</f>
        <v>1682.3</v>
      </c>
      <c r="DN263" s="507">
        <f>INPUT!GA285</f>
        <v>6.5421152628245771</v>
      </c>
      <c r="DO263" s="151">
        <f>INPUT!GB285</f>
        <v>1778.5</v>
      </c>
      <c r="DP263" s="507">
        <f>INPUT!GC285</f>
        <v>5.7183617666290321</v>
      </c>
      <c r="DQ263" s="151">
        <f>INPUT!GD285</f>
        <v>1918</v>
      </c>
      <c r="DR263" s="507">
        <f>INPUT!GE285</f>
        <v>7.8436885015462421</v>
      </c>
      <c r="DS263" s="151">
        <f>INPUT!GF285</f>
        <v>2084</v>
      </c>
      <c r="DT263" s="507">
        <f>INPUT!GG285</f>
        <v>8.6548488008342019</v>
      </c>
      <c r="DU263" s="151">
        <f>INPUT!GH285</f>
        <v>2253</v>
      </c>
      <c r="DV263" s="507">
        <f>INPUT!GI285</f>
        <v>8.1094049904030676</v>
      </c>
      <c r="DW263" s="151">
        <f>INPUT!GJ285</f>
        <v>2163</v>
      </c>
      <c r="DX263" s="507">
        <f>INPUT!GK285</f>
        <v>-3.9946737683089206</v>
      </c>
      <c r="DY263" s="151">
        <f>INPUT!GL285</f>
        <v>1939</v>
      </c>
      <c r="DZ263" s="507">
        <f>INPUT!GM285</f>
        <v>-10.355987055016181</v>
      </c>
      <c r="EA263" s="151">
        <f>INPUT!GN285</f>
        <v>1998</v>
      </c>
      <c r="EB263" s="507">
        <f>INPUT!GO285</f>
        <v>3.0428055698813905</v>
      </c>
      <c r="EC263" s="151">
        <f>INPUT!GP285</f>
        <v>2919.5038651431246</v>
      </c>
      <c r="ED263" s="507">
        <f>INPUT!GQ285</f>
        <v>46.121314571727964</v>
      </c>
      <c r="EE263" s="151">
        <f>INPUT!GR285</f>
        <v>3784.936189072499</v>
      </c>
      <c r="EF263" s="507">
        <f>INPUT!GS285</f>
        <v>29.643129925671396</v>
      </c>
      <c r="EG263" s="151">
        <f>INPUT!GT285</f>
        <v>3784.936189072499</v>
      </c>
      <c r="EH263" s="507">
        <f>INPUT!GU285</f>
        <v>0</v>
      </c>
      <c r="EI263" s="151">
        <f>INPUT!GV285</f>
        <v>3803.8608700178611</v>
      </c>
      <c r="EJ263" s="507">
        <f>INPUT!GW285</f>
        <v>0.49999999999998934</v>
      </c>
      <c r="EK263" s="151">
        <f>INPUT!GX285</f>
        <v>3822.8801743679501</v>
      </c>
      <c r="EL263" s="507">
        <f>INPUT!GY285</f>
        <v>0.49999999999998934</v>
      </c>
      <c r="EM263" s="687">
        <f>INPUT!GZ285</f>
        <v>13.856817497417428</v>
      </c>
    </row>
    <row r="264" spans="1:143" ht="12.75" hidden="1" customHeight="1" outlineLevel="1" x14ac:dyDescent="0.2">
      <c r="A264" s="701" t="str">
        <f>INPUT!B286</f>
        <v>Investment Income</v>
      </c>
      <c r="B264" s="151"/>
      <c r="C264" s="507"/>
      <c r="D264" s="151">
        <f>INPUT!BA286</f>
        <v>25.1</v>
      </c>
      <c r="E264" s="687">
        <f>INPUT!BB286</f>
        <v>5.3603660328254144</v>
      </c>
      <c r="F264" s="151">
        <f>INPUT!BC286</f>
        <v>27.1</v>
      </c>
      <c r="G264" s="687">
        <f>INPUT!BD286</f>
        <v>11.394278197961217</v>
      </c>
      <c r="H264" s="151">
        <f>INPUT!BE286</f>
        <v>28</v>
      </c>
      <c r="I264" s="687">
        <f>INPUT!BF286</f>
        <v>12.753191318004276</v>
      </c>
      <c r="J264" s="151">
        <f>INPUT!BG286</f>
        <v>27.9</v>
      </c>
      <c r="K264" s="687" t="str">
        <f>INPUT!BH286</f>
        <v>NA</v>
      </c>
      <c r="L264" s="151">
        <f>INPUT!BI286</f>
        <v>28.5</v>
      </c>
      <c r="M264" s="687">
        <f>INPUT!BJ286</f>
        <v>13.545816733067717</v>
      </c>
      <c r="N264" s="151">
        <f>INPUT!BK286</f>
        <v>29.5</v>
      </c>
      <c r="O264" s="687">
        <f>INPUT!BL286</f>
        <v>8.856088560885599</v>
      </c>
      <c r="P264" s="151">
        <f>INPUT!BM286</f>
        <v>29.5</v>
      </c>
      <c r="Q264" s="687">
        <f>INPUT!BN286</f>
        <v>5.3571428571428603</v>
      </c>
      <c r="R264" s="151">
        <f>INPUT!BO286</f>
        <v>27.7</v>
      </c>
      <c r="S264" s="687">
        <f>INPUT!BP286</f>
        <v>-0.71684587813619638</v>
      </c>
      <c r="T264" s="151">
        <f>INPUT!BQ286</f>
        <v>30.5</v>
      </c>
      <c r="U264" s="687">
        <f>INPUT!BR286</f>
        <v>7.0175438596491224</v>
      </c>
      <c r="V264" s="151">
        <f>INPUT!BS286</f>
        <v>30.8</v>
      </c>
      <c r="W264" s="687">
        <f>INPUT!BT286</f>
        <v>4.4067796610169463</v>
      </c>
      <c r="X264" s="151">
        <f>INPUT!BU286</f>
        <v>28.3</v>
      </c>
      <c r="Y264" s="687">
        <f>INPUT!BV286</f>
        <v>-4.067796610169494</v>
      </c>
      <c r="Z264" s="151">
        <f>INPUT!BW286</f>
        <v>30.1</v>
      </c>
      <c r="AA264" s="687">
        <f>INPUT!BX286</f>
        <v>8.6642599277978469</v>
      </c>
      <c r="AB264" s="151">
        <f>INPUT!BY286</f>
        <v>28.1</v>
      </c>
      <c r="AC264" s="687">
        <f>INPUT!BZ286</f>
        <v>-7.8688524590163844</v>
      </c>
      <c r="AD264" s="151">
        <f>INPUT!CA286</f>
        <v>33.5</v>
      </c>
      <c r="AE264" s="687">
        <f>INPUT!CB286</f>
        <v>8.7662337662337553</v>
      </c>
      <c r="AF264" s="151">
        <f>INPUT!CC286</f>
        <v>35.700000000000003</v>
      </c>
      <c r="AG264" s="687">
        <f>INPUT!CD286</f>
        <v>26.148409893992941</v>
      </c>
      <c r="AH264" s="151">
        <f>INPUT!CE286</f>
        <v>33.6</v>
      </c>
      <c r="AI264" s="507">
        <f>INPUT!CF286</f>
        <v>11.627906976744185</v>
      </c>
      <c r="AJ264" s="151">
        <f>INPUT!CG286</f>
        <v>34.299999999999997</v>
      </c>
      <c r="AK264" s="507">
        <f>INPUT!CH286</f>
        <v>22.064056939501754</v>
      </c>
      <c r="AL264" s="151">
        <f>INPUT!CI286</f>
        <v>35</v>
      </c>
      <c r="AM264" s="507">
        <f>INPUT!CJ286</f>
        <v>4.4776119402984982</v>
      </c>
      <c r="AN264" s="151">
        <f>INPUT!CK286</f>
        <v>38.1</v>
      </c>
      <c r="AO264" s="507">
        <f>INPUT!CL286</f>
        <v>6.7226890756302504</v>
      </c>
      <c r="AP264" s="151">
        <f>INPUT!CM286</f>
        <v>39.1</v>
      </c>
      <c r="AQ264" s="507">
        <f>INPUT!CN286</f>
        <v>16.369047619047628</v>
      </c>
      <c r="AR264" s="151">
        <f>INPUT!CO286</f>
        <v>38.5</v>
      </c>
      <c r="AS264" s="507">
        <f>INPUT!CP286</f>
        <v>12.244897959183687</v>
      </c>
      <c r="AT264" s="151">
        <f>INPUT!CQ286</f>
        <v>37.799999999999997</v>
      </c>
      <c r="AU264" s="507">
        <f>INPUT!CR286</f>
        <v>7.9999999999999849</v>
      </c>
      <c r="AV264" s="151">
        <f>INPUT!CS286</f>
        <v>37</v>
      </c>
      <c r="AW264" s="507">
        <f>INPUT!CT286</f>
        <v>-2.8871391076115471</v>
      </c>
      <c r="AX264" s="151">
        <f>INPUT!CU286</f>
        <v>38</v>
      </c>
      <c r="AY264" s="507">
        <f>INPUT!CV286</f>
        <v>-2.8132992327365769</v>
      </c>
      <c r="AZ264" s="151">
        <f>INPUT!CW286</f>
        <v>42</v>
      </c>
      <c r="BA264" s="507">
        <f>INPUT!CX286</f>
        <v>9.0909090909090828</v>
      </c>
      <c r="BB264" s="151">
        <f>INPUT!CY286</f>
        <v>41</v>
      </c>
      <c r="BC264" s="507">
        <f>INPUT!CZ286</f>
        <v>8.4656084656084651</v>
      </c>
      <c r="BD264" s="151">
        <f>INPUT!DA286</f>
        <v>41</v>
      </c>
      <c r="BE264" s="507">
        <f>INPUT!DB286</f>
        <v>10.810810810810811</v>
      </c>
      <c r="BF264" s="151">
        <f>INPUT!DC286</f>
        <v>39</v>
      </c>
      <c r="BG264" s="507">
        <f>INPUT!DD286</f>
        <v>2.6315789473684292</v>
      </c>
      <c r="BH264" s="151">
        <f>INPUT!DE286</f>
        <v>42</v>
      </c>
      <c r="BI264" s="507">
        <f>INPUT!DF286</f>
        <v>0</v>
      </c>
      <c r="BJ264" s="151">
        <f>INPUT!DG286</f>
        <v>41</v>
      </c>
      <c r="BK264" s="507">
        <f>INPUT!DH286</f>
        <v>0</v>
      </c>
      <c r="BL264" s="151">
        <f>INPUT!DI286</f>
        <v>43</v>
      </c>
      <c r="BM264" s="507">
        <f>INPUT!DJ286</f>
        <v>4.8780487804878092</v>
      </c>
      <c r="BN264" s="151">
        <f>INPUT!DK286</f>
        <v>45</v>
      </c>
      <c r="BO264" s="507">
        <f>INPUT!DL286</f>
        <v>15.384615384615374</v>
      </c>
      <c r="BP264" s="151">
        <f>INPUT!DM286</f>
        <v>44</v>
      </c>
      <c r="BQ264" s="507">
        <f>INPUT!DN286</f>
        <v>4.7619047619047672</v>
      </c>
      <c r="BR264" s="151">
        <f>INPUT!DO286</f>
        <v>45</v>
      </c>
      <c r="BS264" s="507">
        <f>INPUT!DP286</f>
        <v>9.7560975609756184</v>
      </c>
      <c r="BT264" s="151">
        <f>INPUT!DQ286</f>
        <v>46</v>
      </c>
      <c r="BU264" s="507">
        <f>INPUT!DR286</f>
        <v>6.9767441860465018</v>
      </c>
      <c r="BV264" s="151">
        <f>INPUT!DS286</f>
        <v>43</v>
      </c>
      <c r="BW264" s="507">
        <f>INPUT!DT286</f>
        <v>-4.4444444444444393</v>
      </c>
      <c r="BX264" s="151">
        <f>INPUT!DU286</f>
        <v>47</v>
      </c>
      <c r="BY264" s="507">
        <f>INPUT!DV286</f>
        <v>6.8181818181818121</v>
      </c>
      <c r="BZ264" s="151">
        <f>INPUT!DW286</f>
        <v>48</v>
      </c>
      <c r="CA264" s="507">
        <f>INPUT!DX286</f>
        <v>48</v>
      </c>
      <c r="CB264" s="151">
        <f>INPUT!DY286</f>
        <v>45</v>
      </c>
      <c r="CC264" s="507">
        <f>INPUT!DZ286</f>
        <v>-2.1739130434782594</v>
      </c>
      <c r="CD264" s="151">
        <f>INPUT!EA286</f>
        <v>42</v>
      </c>
      <c r="CE264" s="507">
        <f>INPUT!EB286</f>
        <v>-2.3255813953488413</v>
      </c>
      <c r="CF264" s="151">
        <f>INPUT!EC286</f>
        <v>43</v>
      </c>
      <c r="CG264" s="507">
        <f>INPUT!ED286</f>
        <v>-8.5106382978723421</v>
      </c>
      <c r="CH264" s="151">
        <f>INPUT!EE286</f>
        <v>45</v>
      </c>
      <c r="CI264" s="507">
        <f>INPUT!EF286</f>
        <v>-6.25</v>
      </c>
      <c r="CJ264" s="151">
        <f>INPUT!EG286</f>
        <v>47</v>
      </c>
      <c r="CK264" s="507">
        <f>INPUT!EH286</f>
        <v>4.4444444444444509</v>
      </c>
      <c r="CL264" s="151">
        <f>INPUT!EI286</f>
        <v>43</v>
      </c>
      <c r="CM264" s="507">
        <f>INPUT!EJ286</f>
        <v>2.3809523809523725</v>
      </c>
      <c r="CN264" s="151">
        <f>INPUT!EK286</f>
        <v>43</v>
      </c>
      <c r="CO264" s="507">
        <f>INPUT!EL286</f>
        <v>0</v>
      </c>
      <c r="CP264" s="151">
        <f>INPUT!EM286</f>
        <v>41</v>
      </c>
      <c r="CQ264" s="507">
        <f>INPUT!EN286</f>
        <v>-8.8888888888888911</v>
      </c>
      <c r="CR264" s="151">
        <f>INPUT!EO286</f>
        <v>41</v>
      </c>
      <c r="CS264" s="507">
        <f>INPUT!EP286</f>
        <v>-12.765957446808507</v>
      </c>
      <c r="CT264" s="151">
        <f>INPUT!EQ286</f>
        <v>41.410000000000004</v>
      </c>
      <c r="CU264" s="507">
        <f>INPUT!ER286</f>
        <v>-3.6976744186046462</v>
      </c>
      <c r="CV264" s="151">
        <f>INPUT!ES286</f>
        <v>41.824100000000001</v>
      </c>
      <c r="CW264" s="507">
        <f>INPUT!ET286</f>
        <v>-2.7346511627906911</v>
      </c>
      <c r="CX264" s="151">
        <f>INPUT!EU286</f>
        <v>60.242341000000003</v>
      </c>
      <c r="CY264" s="507">
        <f>INPUT!EV286</f>
        <v>46.932539024390252</v>
      </c>
      <c r="CZ264" s="151">
        <f>INPUT!EW286</f>
        <v>60.844764410000003</v>
      </c>
      <c r="DA264" s="507">
        <f>INPUT!EX286</f>
        <v>48.401864414634147</v>
      </c>
      <c r="DB264" s="507"/>
      <c r="DC264" s="151"/>
      <c r="DD264" s="507"/>
      <c r="DE264" s="151">
        <f>INPUT!FR286</f>
        <v>80.2</v>
      </c>
      <c r="DF264" s="687">
        <f>INPUT!FS286</f>
        <v>-17.177850754900138</v>
      </c>
      <c r="DG264" s="151">
        <f>INPUT!FT286</f>
        <v>115.4</v>
      </c>
      <c r="DH264" s="687">
        <f>INPUT!FU286</f>
        <v>43.890274314214459</v>
      </c>
      <c r="DI264" s="151">
        <f>INPUT!FV286</f>
        <v>117.3</v>
      </c>
      <c r="DJ264" s="687">
        <f>INPUT!FW286</f>
        <v>1.6464471403812686</v>
      </c>
      <c r="DK264" s="151">
        <f>INPUT!FX286</f>
        <v>127.4</v>
      </c>
      <c r="DL264" s="507">
        <f>INPUT!FY286</f>
        <v>8.6104006820119317</v>
      </c>
      <c r="DM264" s="151">
        <f>INPUT!FZ286</f>
        <v>141</v>
      </c>
      <c r="DN264" s="507">
        <f>INPUT!GA286</f>
        <v>10.675039246467822</v>
      </c>
      <c r="DO264" s="151">
        <f>INPUT!GB286</f>
        <v>152.39999999999998</v>
      </c>
      <c r="DP264" s="507">
        <f>INPUT!GC286</f>
        <v>8.0851063829787009</v>
      </c>
      <c r="DQ264" s="151">
        <f>INPUT!GD286</f>
        <v>162</v>
      </c>
      <c r="DR264" s="507">
        <f>INPUT!GE286</f>
        <v>6.2992125984252079</v>
      </c>
      <c r="DS264" s="151">
        <f>INPUT!GF286</f>
        <v>165</v>
      </c>
      <c r="DT264" s="507">
        <f>INPUT!GG286</f>
        <v>1.8518518518518601</v>
      </c>
      <c r="DU264" s="151">
        <f>INPUT!GH286</f>
        <v>180</v>
      </c>
      <c r="DV264" s="507">
        <f>INPUT!GI286</f>
        <v>9.0909090909090828</v>
      </c>
      <c r="DW264" s="151">
        <f>INPUT!GJ286</f>
        <v>183</v>
      </c>
      <c r="DX264" s="507">
        <f>INPUT!GK286</f>
        <v>1.6666666666666607</v>
      </c>
      <c r="DY264" s="151">
        <f>INPUT!GL286</f>
        <v>177</v>
      </c>
      <c r="DZ264" s="507">
        <f>INPUT!GM286</f>
        <v>-3.2786885245901676</v>
      </c>
      <c r="EA264" s="151">
        <f>INPUT!GN286</f>
        <v>168</v>
      </c>
      <c r="EB264" s="507">
        <f>INPUT!GO286</f>
        <v>-5.0847457627118615</v>
      </c>
      <c r="EC264" s="151">
        <f>INPUT!GP286</f>
        <v>204.32120541000003</v>
      </c>
      <c r="ED264" s="507">
        <f>INPUT!GQ286</f>
        <v>21.619765125000011</v>
      </c>
      <c r="EE264" s="151">
        <f>INPUT!GR286</f>
        <v>248.24663879280001</v>
      </c>
      <c r="EF264" s="507">
        <f>INPUT!GS286</f>
        <v>21.498225450783369</v>
      </c>
      <c r="EG264" s="151">
        <f>INPUT!GT286</f>
        <v>253.21157156865601</v>
      </c>
      <c r="EH264" s="507">
        <f>INPUT!GU286</f>
        <v>2.0000000000000018</v>
      </c>
      <c r="EI264" s="151">
        <f>INPUT!GV286</f>
        <v>258.27580300002916</v>
      </c>
      <c r="EJ264" s="507">
        <f>INPUT!GW286</f>
        <v>2.0000000000000018</v>
      </c>
      <c r="EK264" s="151">
        <f>INPUT!GX286</f>
        <v>263.44131906002974</v>
      </c>
      <c r="EL264" s="507">
        <f>INPUT!GY286</f>
        <v>2.0000000000000018</v>
      </c>
      <c r="EM264" s="687">
        <f>INPUT!GZ286</f>
        <v>9.4145105904626991</v>
      </c>
    </row>
    <row r="265" spans="1:143" ht="12.75" hidden="1" customHeight="1" outlineLevel="1" x14ac:dyDescent="0.2">
      <c r="A265" s="701" t="str">
        <f>INPUT!B287</f>
        <v>Other Revenues</v>
      </c>
      <c r="B265" s="151"/>
      <c r="C265" s="507"/>
      <c r="D265" s="151">
        <f>INPUT!BA287</f>
        <v>0.8</v>
      </c>
      <c r="E265" s="687" t="str">
        <f>INPUT!BB287</f>
        <v>NA</v>
      </c>
      <c r="F265" s="151">
        <f>INPUT!BC287</f>
        <v>1</v>
      </c>
      <c r="G265" s="687" t="str">
        <f>INPUT!BD287</f>
        <v>NA</v>
      </c>
      <c r="H265" s="151">
        <f>INPUT!BE287</f>
        <v>0.8</v>
      </c>
      <c r="I265" s="687" t="str">
        <f>INPUT!BF287</f>
        <v>NA</v>
      </c>
      <c r="J265" s="151">
        <f>INPUT!BG287</f>
        <v>1.1000000000000001</v>
      </c>
      <c r="K265" s="687" t="str">
        <f>INPUT!BH287</f>
        <v>NA</v>
      </c>
      <c r="L265" s="151">
        <f>INPUT!BI287</f>
        <v>1.2</v>
      </c>
      <c r="M265" s="687">
        <f>INPUT!BJ287</f>
        <v>49.999999999999979</v>
      </c>
      <c r="N265" s="151">
        <f>INPUT!BK287</f>
        <v>1.3</v>
      </c>
      <c r="O265" s="687">
        <f>INPUT!BL287</f>
        <v>30.000000000000004</v>
      </c>
      <c r="P265" s="151">
        <f>INPUT!BM287</f>
        <v>1.4</v>
      </c>
      <c r="Q265" s="687">
        <f>INPUT!BN287</f>
        <v>74.999999999999972</v>
      </c>
      <c r="R265" s="151">
        <f>INPUT!BO287</f>
        <v>1.2</v>
      </c>
      <c r="S265" s="687">
        <f>INPUT!BP287</f>
        <v>9.0909090909090828</v>
      </c>
      <c r="T265" s="151">
        <f>INPUT!BQ287</f>
        <v>1.4</v>
      </c>
      <c r="U265" s="687">
        <f>INPUT!BR287</f>
        <v>16.666666666666675</v>
      </c>
      <c r="V265" s="151">
        <f>INPUT!BS287</f>
        <v>1.4</v>
      </c>
      <c r="W265" s="687">
        <f>INPUT!BT287</f>
        <v>7.6923076923076872</v>
      </c>
      <c r="X265" s="151">
        <f>INPUT!BU287</f>
        <v>1.3</v>
      </c>
      <c r="Y265" s="687">
        <f>INPUT!BV287</f>
        <v>-7.1428571428571281</v>
      </c>
      <c r="Z265" s="151">
        <f>INPUT!BW287</f>
        <v>1.5</v>
      </c>
      <c r="AA265" s="687">
        <f>INPUT!BX287</f>
        <v>25</v>
      </c>
      <c r="AB265" s="151">
        <f>INPUT!BY287</f>
        <v>1.5</v>
      </c>
      <c r="AC265" s="687">
        <f>INPUT!BZ287</f>
        <v>7.1428571428571397</v>
      </c>
      <c r="AD265" s="151">
        <f>INPUT!CA287</f>
        <v>1.61</v>
      </c>
      <c r="AE265" s="687">
        <f>INPUT!CB287</f>
        <v>15.000000000000014</v>
      </c>
      <c r="AF265" s="151">
        <f>INPUT!CC287</f>
        <v>1.5</v>
      </c>
      <c r="AG265" s="687">
        <f>INPUT!CD287</f>
        <v>15.384615384615374</v>
      </c>
      <c r="AH265" s="151">
        <f>INPUT!CE287</f>
        <v>1.7</v>
      </c>
      <c r="AI265" s="507">
        <f>INPUT!CF287</f>
        <v>13.33333333333333</v>
      </c>
      <c r="AJ265" s="151">
        <f>INPUT!CG287</f>
        <v>2.1</v>
      </c>
      <c r="AK265" s="507">
        <f>INPUT!CH287</f>
        <v>40.000000000000014</v>
      </c>
      <c r="AL265" s="151">
        <f>INPUT!CI287</f>
        <v>2</v>
      </c>
      <c r="AM265" s="507">
        <f>INPUT!CJ287</f>
        <v>24.223602484472039</v>
      </c>
      <c r="AN265" s="151">
        <f>INPUT!CK287</f>
        <v>2</v>
      </c>
      <c r="AO265" s="507">
        <f>INPUT!CL287</f>
        <v>33.333333333333329</v>
      </c>
      <c r="AP265" s="151">
        <f>INPUT!CM287</f>
        <v>2.2000000000000002</v>
      </c>
      <c r="AQ265" s="507">
        <f>INPUT!CN287</f>
        <v>29.411764705882359</v>
      </c>
      <c r="AR265" s="151">
        <f>INPUT!CO287</f>
        <v>1.9</v>
      </c>
      <c r="AS265" s="507">
        <f>INPUT!CP287</f>
        <v>-9.5238095238095344</v>
      </c>
      <c r="AT265" s="151">
        <f>INPUT!CQ287</f>
        <v>1.9</v>
      </c>
      <c r="AU265" s="507">
        <f>INPUT!CR287</f>
        <v>-5.0000000000000044</v>
      </c>
      <c r="AV265" s="151">
        <f>INPUT!CS287</f>
        <v>2</v>
      </c>
      <c r="AW265" s="507">
        <f>INPUT!CT287</f>
        <v>0</v>
      </c>
      <c r="AX265" s="151">
        <f>INPUT!CU287</f>
        <v>3</v>
      </c>
      <c r="AY265" s="507">
        <f>INPUT!CV287</f>
        <v>36.363636363636353</v>
      </c>
      <c r="AZ265" s="151">
        <f>INPUT!CW287</f>
        <v>3</v>
      </c>
      <c r="BA265" s="507">
        <f>INPUT!CX287</f>
        <v>57.894736842105267</v>
      </c>
      <c r="BB265" s="151">
        <f>INPUT!CY287</f>
        <v>3</v>
      </c>
      <c r="BC265" s="507">
        <f>INPUT!CZ287</f>
        <v>57.894736842105267</v>
      </c>
      <c r="BD265" s="151">
        <f>INPUT!DA287</f>
        <v>3</v>
      </c>
      <c r="BE265" s="507">
        <f>INPUT!DB287</f>
        <v>50</v>
      </c>
      <c r="BF265" s="151">
        <f>INPUT!DC287</f>
        <v>3</v>
      </c>
      <c r="BG265" s="507">
        <f>INPUT!DD287</f>
        <v>0</v>
      </c>
      <c r="BH265" s="151">
        <f>INPUT!DE287</f>
        <v>2</v>
      </c>
      <c r="BI265" s="507">
        <f>INPUT!DF287</f>
        <v>-33.333333333333336</v>
      </c>
      <c r="BJ265" s="151">
        <f>INPUT!DG287</f>
        <v>4</v>
      </c>
      <c r="BK265" s="507">
        <f>INPUT!DH287</f>
        <v>33.333333333333329</v>
      </c>
      <c r="BL265" s="151">
        <f>INPUT!DI287</f>
        <v>3</v>
      </c>
      <c r="BM265" s="507">
        <f>INPUT!DJ287</f>
        <v>0</v>
      </c>
      <c r="BN265" s="151">
        <f>INPUT!DK287</f>
        <v>3</v>
      </c>
      <c r="BO265" s="507">
        <f>INPUT!DL287</f>
        <v>0</v>
      </c>
      <c r="BP265" s="151">
        <f>INPUT!DM287</f>
        <v>3</v>
      </c>
      <c r="BQ265" s="507">
        <f>INPUT!DN287</f>
        <v>50</v>
      </c>
      <c r="BR265" s="151">
        <f>INPUT!DO287</f>
        <v>3</v>
      </c>
      <c r="BS265" s="507">
        <f>INPUT!DP287</f>
        <v>-25</v>
      </c>
      <c r="BT265" s="151">
        <f>INPUT!DQ287</f>
        <v>3</v>
      </c>
      <c r="BU265" s="507">
        <f>INPUT!DR287</f>
        <v>0</v>
      </c>
      <c r="BV265" s="151">
        <f>INPUT!DS287</f>
        <v>1</v>
      </c>
      <c r="BW265" s="507" t="str">
        <f>INPUT!DT287</f>
        <v>NM</v>
      </c>
      <c r="BX265" s="151">
        <f>INPUT!DU287</f>
        <v>3</v>
      </c>
      <c r="BY265" s="507">
        <f>INPUT!DV287</f>
        <v>0</v>
      </c>
      <c r="BZ265" s="151">
        <f>INPUT!DW287</f>
        <v>3</v>
      </c>
      <c r="CA265" s="507">
        <f>INPUT!DX287</f>
        <v>3</v>
      </c>
      <c r="CB265" s="151">
        <f>INPUT!DY287</f>
        <v>4</v>
      </c>
      <c r="CC265" s="507">
        <f>INPUT!DZ287</f>
        <v>33.333333333333329</v>
      </c>
      <c r="CD265" s="151">
        <f>INPUT!EA287</f>
        <v>3</v>
      </c>
      <c r="CE265" s="507" t="str">
        <f>INPUT!EB287</f>
        <v>NM</v>
      </c>
      <c r="CF265" s="151">
        <f>INPUT!EC287</f>
        <v>4</v>
      </c>
      <c r="CG265" s="507">
        <f>INPUT!ED287</f>
        <v>33.333333333333329</v>
      </c>
      <c r="CH265" s="151">
        <f>INPUT!EE287</f>
        <v>4</v>
      </c>
      <c r="CI265" s="507">
        <f>INPUT!EF287</f>
        <v>33.333333333333329</v>
      </c>
      <c r="CJ265" s="151">
        <f>INPUT!EG287</f>
        <v>3</v>
      </c>
      <c r="CK265" s="507">
        <f>INPUT!EH287</f>
        <v>-25</v>
      </c>
      <c r="CL265" s="151">
        <f>INPUT!EI287</f>
        <v>3</v>
      </c>
      <c r="CM265" s="507">
        <f>INPUT!EJ287</f>
        <v>0</v>
      </c>
      <c r="CN265" s="151">
        <f>INPUT!EK287</f>
        <v>4</v>
      </c>
      <c r="CO265" s="507">
        <f>INPUT!EL287</f>
        <v>0</v>
      </c>
      <c r="CP265" s="151">
        <f>INPUT!EM287</f>
        <v>23</v>
      </c>
      <c r="CQ265" s="507" t="str">
        <f>INPUT!EN287</f>
        <v>NM</v>
      </c>
      <c r="CR265" s="151">
        <f>INPUT!EO287</f>
        <v>4</v>
      </c>
      <c r="CS265" s="507">
        <f>INPUT!EP287</f>
        <v>33.333333333333329</v>
      </c>
      <c r="CT265" s="151">
        <f>INPUT!EQ287</f>
        <v>3.96</v>
      </c>
      <c r="CU265" s="507">
        <f>INPUT!ER287</f>
        <v>32.000000000000007</v>
      </c>
      <c r="CV265" s="151">
        <f>INPUT!ES287</f>
        <v>3.9203999999999999</v>
      </c>
      <c r="CW265" s="507">
        <f>INPUT!ET287</f>
        <v>-1.9900000000000029</v>
      </c>
      <c r="CX265" s="151">
        <f>INPUT!EU287</f>
        <v>10.881195999999999</v>
      </c>
      <c r="CY265" s="507" t="str">
        <f>INPUT!EV287</f>
        <v>NM</v>
      </c>
      <c r="CZ265" s="151">
        <f>INPUT!EW287</f>
        <v>10.772384039999999</v>
      </c>
      <c r="DA265" s="507" t="str">
        <f>INPUT!EX287</f>
        <v>NM</v>
      </c>
      <c r="DB265" s="507"/>
      <c r="DC265" s="151"/>
      <c r="DD265" s="507"/>
      <c r="DE265" s="151">
        <f>INPUT!FR287</f>
        <v>2.6</v>
      </c>
      <c r="DF265" s="687" t="str">
        <f>INPUT!FS287</f>
        <v>NA</v>
      </c>
      <c r="DG265" s="151">
        <f>INPUT!FT287</f>
        <v>5</v>
      </c>
      <c r="DH265" s="687">
        <f>INPUT!FU287</f>
        <v>92.307692307692292</v>
      </c>
      <c r="DI265" s="151">
        <f>INPUT!FV287</f>
        <v>5.3</v>
      </c>
      <c r="DJ265" s="687">
        <f>INPUT!FW287</f>
        <v>6.0000000000000053</v>
      </c>
      <c r="DK265" s="151">
        <f>INPUT!FX287</f>
        <v>6.11</v>
      </c>
      <c r="DL265" s="507">
        <f>INPUT!FY287</f>
        <v>15.283018867924536</v>
      </c>
      <c r="DM265" s="151">
        <f>INPUT!FZ287</f>
        <v>7.8</v>
      </c>
      <c r="DN265" s="507">
        <f>INPUT!GA287</f>
        <v>27.65957446808509</v>
      </c>
      <c r="DO265" s="151">
        <f>INPUT!GB287</f>
        <v>8</v>
      </c>
      <c r="DP265" s="507">
        <f>INPUT!GC287</f>
        <v>2.5641025641025772</v>
      </c>
      <c r="DQ265" s="151">
        <f>INPUT!GD287</f>
        <v>12</v>
      </c>
      <c r="DR265" s="507">
        <f>INPUT!GE287</f>
        <v>50</v>
      </c>
      <c r="DS265" s="151">
        <f>INPUT!GF287</f>
        <v>12</v>
      </c>
      <c r="DT265" s="507">
        <f>INPUT!GG287</f>
        <v>0</v>
      </c>
      <c r="DU265" s="151">
        <f>INPUT!GH287</f>
        <v>12</v>
      </c>
      <c r="DV265" s="507">
        <f>INPUT!GI287</f>
        <v>0</v>
      </c>
      <c r="DW265" s="151">
        <f>INPUT!GJ287</f>
        <v>11</v>
      </c>
      <c r="DX265" s="507">
        <f>INPUT!GK287</f>
        <v>-8.3333333333333375</v>
      </c>
      <c r="DY265" s="151">
        <f>INPUT!GL287</f>
        <v>14</v>
      </c>
      <c r="DZ265" s="507">
        <f>INPUT!GM287</f>
        <v>27.27272727272727</v>
      </c>
      <c r="EA265" s="151">
        <f>INPUT!GN287</f>
        <v>34</v>
      </c>
      <c r="EB265" s="507" t="str">
        <f>INPUT!GO287</f>
        <v>NM</v>
      </c>
      <c r="EC265" s="151">
        <f>INPUT!GP287</f>
        <v>29.533980039999996</v>
      </c>
      <c r="ED265" s="507">
        <f>INPUT!GQ287</f>
        <v>-13.135352823529423</v>
      </c>
      <c r="EE265" s="151">
        <f>INPUT!GR287</f>
        <v>43.951326883199997</v>
      </c>
      <c r="EF265" s="507">
        <f>INPUT!GS287</f>
        <v>48.816132548588278</v>
      </c>
      <c r="EG265" s="151">
        <f>INPUT!GT287</f>
        <v>44.830353420864</v>
      </c>
      <c r="EH265" s="507">
        <f>INPUT!GU287</f>
        <v>2.0000000000000018</v>
      </c>
      <c r="EI265" s="151">
        <f>INPUT!GV287</f>
        <v>45.726960489281282</v>
      </c>
      <c r="EJ265" s="507">
        <f>INPUT!GW287</f>
        <v>2.0000000000000018</v>
      </c>
      <c r="EK265" s="151">
        <f>INPUT!GX287</f>
        <v>46.641499699066905</v>
      </c>
      <c r="EL265" s="507">
        <f>INPUT!GY287</f>
        <v>2.0000000000000018</v>
      </c>
      <c r="EM265" s="687">
        <f>INPUT!GZ287</f>
        <v>6.5267599077230676</v>
      </c>
    </row>
    <row r="266" spans="1:143" ht="12.75" hidden="1" customHeight="1" outlineLevel="1" x14ac:dyDescent="0.2">
      <c r="A266" s="701" t="str">
        <f>INPUT!B288</f>
        <v xml:space="preserve"> Total Revenues</v>
      </c>
      <c r="B266" s="151"/>
      <c r="C266" s="507"/>
      <c r="D266" s="151">
        <f>INPUT!BA288</f>
        <v>354.8</v>
      </c>
      <c r="E266" s="687">
        <f>INPUT!BB288</f>
        <v>6.174457681338974</v>
      </c>
      <c r="F266" s="151">
        <f>INPUT!BC288</f>
        <v>332.20000000000005</v>
      </c>
      <c r="G266" s="687">
        <f>INPUT!BD288</f>
        <v>6.8593265482057353</v>
      </c>
      <c r="H266" s="151">
        <f>INPUT!BE288</f>
        <v>344.7</v>
      </c>
      <c r="I266" s="687">
        <f>INPUT!BF288</f>
        <v>7.5715114936430794</v>
      </c>
      <c r="J266" s="151">
        <f>INPUT!BG288</f>
        <v>360.3</v>
      </c>
      <c r="K266" s="687" t="str">
        <f>INPUT!BH288</f>
        <v>NA</v>
      </c>
      <c r="L266" s="151">
        <f>INPUT!BI288</f>
        <v>391</v>
      </c>
      <c r="M266" s="687">
        <f>INPUT!BJ288</f>
        <v>10.202931228861335</v>
      </c>
      <c r="N266" s="151">
        <f>INPUT!BK288</f>
        <v>367.5</v>
      </c>
      <c r="O266" s="687">
        <f>INPUT!BL288</f>
        <v>10.626128838049343</v>
      </c>
      <c r="P266" s="151">
        <f>INPUT!BM288</f>
        <v>380.59999999999997</v>
      </c>
      <c r="Q266" s="687">
        <f>INPUT!BN288</f>
        <v>10.41485349579343</v>
      </c>
      <c r="R266" s="151">
        <f>INPUT!BO288</f>
        <v>399.29999999999995</v>
      </c>
      <c r="S266" s="687">
        <f>INPUT!BP288</f>
        <v>10.824313072439629</v>
      </c>
      <c r="T266" s="151">
        <f>INPUT!BQ288</f>
        <v>424.9</v>
      </c>
      <c r="U266" s="687">
        <f>INPUT!BR288</f>
        <v>8.6700767263427014</v>
      </c>
      <c r="V266" s="151">
        <f>INPUT!BS288</f>
        <v>402.8</v>
      </c>
      <c r="W266" s="687">
        <f>INPUT!BT288</f>
        <v>9.6054421768707599</v>
      </c>
      <c r="X266" s="151">
        <f>INPUT!BU288</f>
        <v>412.5</v>
      </c>
      <c r="Y266" s="687">
        <f>INPUT!BV288</f>
        <v>8.3815028901734312</v>
      </c>
      <c r="Z266" s="151">
        <f>INPUT!BW288</f>
        <v>421.40000000000003</v>
      </c>
      <c r="AA266" s="687">
        <f>INPUT!BX288</f>
        <v>5.5346856999749727</v>
      </c>
      <c r="AB266" s="151">
        <f>INPUT!BY288</f>
        <v>442.90000000000003</v>
      </c>
      <c r="AC266" s="687">
        <f>INPUT!BZ288</f>
        <v>4.2362908919745923</v>
      </c>
      <c r="AD266" s="151">
        <f>INPUT!CA288</f>
        <v>414.61</v>
      </c>
      <c r="AE266" s="687">
        <f>INPUT!CB288</f>
        <v>2.9319761668321842</v>
      </c>
      <c r="AF266" s="151">
        <f>INPUT!CC288</f>
        <v>433.59999999999997</v>
      </c>
      <c r="AG266" s="687">
        <f>INPUT!CD288</f>
        <v>5.115151515151517</v>
      </c>
      <c r="AH266" s="151">
        <f>INPUT!CE288</f>
        <v>445.2</v>
      </c>
      <c r="AI266" s="507">
        <f>INPUT!CF288</f>
        <v>5.6478405315614433</v>
      </c>
      <c r="AJ266" s="151">
        <f>INPUT!CG288</f>
        <v>470.1</v>
      </c>
      <c r="AK266" s="507">
        <f>INPUT!CH288</f>
        <v>6.1413411605328427</v>
      </c>
      <c r="AL266" s="151">
        <f>INPUT!CI288</f>
        <v>451.5</v>
      </c>
      <c r="AM266" s="507">
        <f>INPUT!CJ288</f>
        <v>8.8975181495863467</v>
      </c>
      <c r="AN266" s="151">
        <f>INPUT!CK288</f>
        <v>464.3</v>
      </c>
      <c r="AO266" s="507">
        <f>INPUT!CL288</f>
        <v>7.0802583025830312</v>
      </c>
      <c r="AP266" s="151">
        <f>INPUT!CM288</f>
        <v>477.90000000000003</v>
      </c>
      <c r="AQ266" s="507">
        <f>INPUT!CN288</f>
        <v>7.3450134770889575</v>
      </c>
      <c r="AR266" s="151">
        <f>INPUT!CO288</f>
        <v>500.59999999999997</v>
      </c>
      <c r="AS266" s="507">
        <f>INPUT!CP288</f>
        <v>6.4879812805785919</v>
      </c>
      <c r="AT266" s="151">
        <f>INPUT!CQ288</f>
        <v>479.4</v>
      </c>
      <c r="AU266" s="507">
        <f>INPUT!CR288</f>
        <v>6.1794019933554711</v>
      </c>
      <c r="AV266" s="151">
        <f>INPUT!CS288</f>
        <v>481</v>
      </c>
      <c r="AW266" s="507">
        <f>INPUT!CT288</f>
        <v>3.5968124057721207</v>
      </c>
      <c r="AX266" s="151">
        <f>INPUT!CU288</f>
        <v>504</v>
      </c>
      <c r="AY266" s="507">
        <f>INPUT!CV288</f>
        <v>5.4613935969868077</v>
      </c>
      <c r="AZ266" s="151">
        <f>INPUT!CW288</f>
        <v>540</v>
      </c>
      <c r="BA266" s="507">
        <f>INPUT!CX288</f>
        <v>7.8705553335996825</v>
      </c>
      <c r="BB266" s="151">
        <f>INPUT!CY288</f>
        <v>517</v>
      </c>
      <c r="BC266" s="507">
        <f>INPUT!CZ288</f>
        <v>7.8431372549019551</v>
      </c>
      <c r="BD266" s="151">
        <f>INPUT!DA288</f>
        <v>531</v>
      </c>
      <c r="BE266" s="507">
        <f>INPUT!DB288</f>
        <v>10.395010395010384</v>
      </c>
      <c r="BF266" s="151">
        <f>INPUT!DC288</f>
        <v>550</v>
      </c>
      <c r="BG266" s="507">
        <f>INPUT!DD288</f>
        <v>9.1269841269841159</v>
      </c>
      <c r="BH266" s="151">
        <f>INPUT!DE288</f>
        <v>575</v>
      </c>
      <c r="BI266" s="507">
        <f>INPUT!DF288</f>
        <v>6.4814814814814881</v>
      </c>
      <c r="BJ266" s="151">
        <f>INPUT!DG288</f>
        <v>561</v>
      </c>
      <c r="BK266" s="507">
        <f>INPUT!DH288</f>
        <v>8.5106382978723296</v>
      </c>
      <c r="BL266" s="151">
        <f>INPUT!DI288</f>
        <v>575</v>
      </c>
      <c r="BM266" s="507">
        <f>INPUT!DJ288</f>
        <v>8.2862523540489619</v>
      </c>
      <c r="BN266" s="151">
        <f>INPUT!DK288</f>
        <v>610</v>
      </c>
      <c r="BO266" s="507">
        <f>INPUT!DL288</f>
        <v>10.909090909090914</v>
      </c>
      <c r="BP266" s="151">
        <f>INPUT!DM288</f>
        <v>621</v>
      </c>
      <c r="BQ266" s="507">
        <f>INPUT!DN288</f>
        <v>8.0000000000000071</v>
      </c>
      <c r="BR266" s="151">
        <f>INPUT!DO288</f>
        <v>598</v>
      </c>
      <c r="BS266" s="507">
        <f>INPUT!DP288</f>
        <v>6.5953654188948274</v>
      </c>
      <c r="BT266" s="151">
        <f>INPUT!DQ288</f>
        <v>616</v>
      </c>
      <c r="BU266" s="507">
        <f>INPUT!DR288</f>
        <v>7.1304347826086856</v>
      </c>
      <c r="BV266" s="151">
        <f>INPUT!DS288</f>
        <v>605</v>
      </c>
      <c r="BW266" s="507">
        <f>INPUT!DT288</f>
        <v>-0.81967213114754189</v>
      </c>
      <c r="BX266" s="151">
        <f>INPUT!DU288</f>
        <v>617</v>
      </c>
      <c r="BY266" s="507">
        <f>INPUT!DV288</f>
        <v>-0.6441223832528209</v>
      </c>
      <c r="BZ266" s="151">
        <f>INPUT!DW288</f>
        <v>570</v>
      </c>
      <c r="CA266" s="507">
        <f>INPUT!DX288</f>
        <v>570</v>
      </c>
      <c r="CB266" s="151">
        <f>INPUT!DY288</f>
        <v>565</v>
      </c>
      <c r="CC266" s="507">
        <f>INPUT!DZ288</f>
        <v>-8.2792207792207755</v>
      </c>
      <c r="CD266" s="151">
        <f>INPUT!EA288</f>
        <v>534</v>
      </c>
      <c r="CE266" s="507">
        <f>INPUT!EB288</f>
        <v>-11.735537190082646</v>
      </c>
      <c r="CF266" s="151">
        <f>INPUT!EC288</f>
        <v>525</v>
      </c>
      <c r="CG266" s="507">
        <f>INPUT!ED288</f>
        <v>-14.910858995137765</v>
      </c>
      <c r="CH266" s="151">
        <f>INPUT!EE288</f>
        <v>534</v>
      </c>
      <c r="CI266" s="507">
        <f>INPUT!EF288</f>
        <v>-6.315789473684208</v>
      </c>
      <c r="CJ266" s="151">
        <f>INPUT!EG288</f>
        <v>537</v>
      </c>
      <c r="CK266" s="507">
        <f>INPUT!EH288</f>
        <v>-4.9557522123893865</v>
      </c>
      <c r="CL266" s="151">
        <f>INPUT!EI288</f>
        <v>541</v>
      </c>
      <c r="CM266" s="507">
        <f>INPUT!EJ288</f>
        <v>1.3108614232209659</v>
      </c>
      <c r="CN266" s="151">
        <f>INPUT!EK288</f>
        <v>541</v>
      </c>
      <c r="CO266" s="507">
        <f>INPUT!EL288</f>
        <v>3.0476190476190546</v>
      </c>
      <c r="CP266" s="151">
        <f>INPUT!EM288</f>
        <v>564</v>
      </c>
      <c r="CQ266" s="507">
        <f>INPUT!EN288</f>
        <v>5.6179775280898792</v>
      </c>
      <c r="CR266" s="151">
        <f>INPUT!EO288</f>
        <v>554</v>
      </c>
      <c r="CS266" s="507">
        <f>INPUT!EP288</f>
        <v>3.165735567970196</v>
      </c>
      <c r="CT266" s="151">
        <f>INPUT!EQ288</f>
        <v>562.005</v>
      </c>
      <c r="CU266" s="507">
        <f>INPUT!ER288</f>
        <v>3.8826247689463855</v>
      </c>
      <c r="CV266" s="151">
        <f>INPUT!ES288</f>
        <v>570.12902499999996</v>
      </c>
      <c r="CW266" s="507">
        <f>INPUT!ET288</f>
        <v>5.3842929759704061</v>
      </c>
      <c r="CX266" s="151">
        <f>INPUT!EU288</f>
        <v>1003.373829875</v>
      </c>
      <c r="CY266" s="507">
        <f>INPUT!EV288</f>
        <v>77.903161325354603</v>
      </c>
      <c r="CZ266" s="151">
        <f>INPUT!EW288</f>
        <v>1017.8511957181248</v>
      </c>
      <c r="DA266" s="507">
        <f>INPUT!EX288</f>
        <v>83.727652656701238</v>
      </c>
      <c r="DB266" s="507"/>
      <c r="DC266" s="151"/>
      <c r="DD266" s="507"/>
      <c r="DE266" s="151">
        <f>INPUT!FR288</f>
        <v>1031.7</v>
      </c>
      <c r="DF266" s="687">
        <f>INPUT!FS288</f>
        <v>-19.323559678826918</v>
      </c>
      <c r="DG266" s="151">
        <f>INPUT!FT288</f>
        <v>1499.3999999999999</v>
      </c>
      <c r="DH266" s="687">
        <f>INPUT!FU288</f>
        <v>45.332945623727802</v>
      </c>
      <c r="DI266" s="151">
        <f>INPUT!FV288</f>
        <v>1639.5</v>
      </c>
      <c r="DJ266" s="687">
        <f>INPUT!FW288</f>
        <v>9.3437374949980168</v>
      </c>
      <c r="DK266" s="151">
        <f>INPUT!FX288</f>
        <v>1712.51</v>
      </c>
      <c r="DL266" s="507">
        <f>INPUT!FY288</f>
        <v>4.4531869472400176</v>
      </c>
      <c r="DM266" s="151">
        <f>INPUT!FZ288</f>
        <v>1831.1</v>
      </c>
      <c r="DN266" s="507">
        <f>INPUT!GA288</f>
        <v>6.9249230661426742</v>
      </c>
      <c r="DO266" s="151">
        <f>INPUT!GB288</f>
        <v>1938.9</v>
      </c>
      <c r="DP266" s="507">
        <f>INPUT!GC288</f>
        <v>5.8871716454590217</v>
      </c>
      <c r="DQ266" s="151">
        <f>INPUT!GD288</f>
        <v>2092</v>
      </c>
      <c r="DR266" s="507">
        <f>INPUT!GE288</f>
        <v>7.8962298210325299</v>
      </c>
      <c r="DS266" s="151">
        <f>INPUT!GF288</f>
        <v>2261</v>
      </c>
      <c r="DT266" s="507">
        <f>INPUT!GG288</f>
        <v>8.0783938814531489</v>
      </c>
      <c r="DU266" s="151">
        <f>INPUT!GH288</f>
        <v>2445</v>
      </c>
      <c r="DV266" s="507">
        <f>INPUT!GI288</f>
        <v>8.137992038920828</v>
      </c>
      <c r="DW266" s="151">
        <f>INPUT!GJ288</f>
        <v>2357</v>
      </c>
      <c r="DX266" s="507">
        <f>INPUT!GK288</f>
        <v>-3.5991820040899847</v>
      </c>
      <c r="DY266" s="151">
        <f>INPUT!GL288</f>
        <v>2130</v>
      </c>
      <c r="DZ266" s="507">
        <f>INPUT!GM288</f>
        <v>-9.630886720407295</v>
      </c>
      <c r="EA266" s="151">
        <f>INPUT!GN288</f>
        <v>2200</v>
      </c>
      <c r="EB266" s="507">
        <f>INPUT!GO288</f>
        <v>3.2863849765258246</v>
      </c>
      <c r="EC266" s="151">
        <f>INPUT!GP288</f>
        <v>3153.3590505931247</v>
      </c>
      <c r="ED266" s="507">
        <f>INPUT!GQ288</f>
        <v>43.334502299687493</v>
      </c>
      <c r="EE266" s="151">
        <f>INPUT!GR288</f>
        <v>4077.1341547484994</v>
      </c>
      <c r="EF266" s="507">
        <f>INPUT!GS288</f>
        <v>29.294954660542661</v>
      </c>
      <c r="EG266" s="151">
        <f>INPUT!GT288</f>
        <v>4082.9781140620189</v>
      </c>
      <c r="EH266" s="507">
        <f>INPUT!GU288</f>
        <v>0.14333497725880218</v>
      </c>
      <c r="EI266" s="151">
        <f>INPUT!GV288</f>
        <v>4107.8636335071715</v>
      </c>
      <c r="EJ266" s="507">
        <f>INPUT!GW288</f>
        <v>0.60949431395298515</v>
      </c>
      <c r="EK266" s="151">
        <f>INPUT!GX288</f>
        <v>4132.9629931270465</v>
      </c>
      <c r="EL266" s="507">
        <f>INPUT!GY288</f>
        <v>0.61100761512975499</v>
      </c>
      <c r="EM266" s="687">
        <f>INPUT!GZ288</f>
        <v>13.440404689953755</v>
      </c>
    </row>
    <row r="267" spans="1:143" ht="12.75" hidden="1" customHeight="1" outlineLevel="1" x14ac:dyDescent="0.2">
      <c r="A267" s="689"/>
      <c r="B267" s="16"/>
      <c r="C267" s="507"/>
      <c r="D267" s="16"/>
      <c r="E267" s="687"/>
      <c r="F267" s="16"/>
      <c r="G267" s="687"/>
      <c r="H267" s="16"/>
      <c r="I267" s="687"/>
      <c r="J267" s="16"/>
      <c r="K267" s="687"/>
      <c r="L267" s="16"/>
      <c r="M267" s="687"/>
      <c r="N267" s="16"/>
      <c r="O267" s="687"/>
      <c r="P267" s="16"/>
      <c r="Q267" s="687"/>
      <c r="R267" s="16"/>
      <c r="S267" s="687"/>
      <c r="T267" s="16"/>
      <c r="U267" s="687"/>
      <c r="V267" s="16"/>
      <c r="W267" s="687"/>
      <c r="X267" s="16"/>
      <c r="Y267" s="687"/>
      <c r="Z267" s="16"/>
      <c r="AA267" s="687"/>
      <c r="AB267" s="16"/>
      <c r="AC267" s="687"/>
      <c r="AD267" s="16"/>
      <c r="AE267" s="687"/>
      <c r="AF267" s="16"/>
      <c r="AG267" s="687"/>
      <c r="AH267" s="16"/>
      <c r="AI267" s="507"/>
      <c r="AJ267" s="16"/>
      <c r="AK267" s="507"/>
      <c r="AL267" s="16"/>
      <c r="AM267" s="507"/>
      <c r="AN267" s="16"/>
      <c r="AO267" s="507"/>
      <c r="AP267" s="16"/>
      <c r="AQ267" s="507"/>
      <c r="AR267" s="16"/>
      <c r="AS267" s="507"/>
      <c r="AT267" s="16"/>
      <c r="AU267" s="507"/>
      <c r="AV267" s="16"/>
      <c r="AW267" s="507"/>
      <c r="AX267" s="16"/>
      <c r="AY267" s="507"/>
      <c r="AZ267" s="16"/>
      <c r="BA267" s="507"/>
      <c r="BB267" s="16"/>
      <c r="BC267" s="507"/>
      <c r="BD267" s="16"/>
      <c r="BE267" s="507"/>
      <c r="BF267" s="16"/>
      <c r="BG267" s="507"/>
      <c r="BH267" s="16"/>
      <c r="BI267" s="507"/>
      <c r="BJ267" s="16"/>
      <c r="BK267" s="507"/>
      <c r="BL267" s="16"/>
      <c r="BM267" s="507"/>
      <c r="BN267" s="16"/>
      <c r="BO267" s="507"/>
      <c r="BP267" s="16"/>
      <c r="BQ267" s="507"/>
      <c r="BR267" s="16"/>
      <c r="BS267" s="507"/>
      <c r="BT267" s="16"/>
      <c r="BU267" s="507"/>
      <c r="BV267" s="16"/>
      <c r="BW267" s="507"/>
      <c r="BX267" s="16"/>
      <c r="BY267" s="507"/>
      <c r="BZ267" s="16"/>
      <c r="CA267" s="507"/>
      <c r="CB267" s="16"/>
      <c r="CC267" s="507"/>
      <c r="CD267" s="16"/>
      <c r="CE267" s="507"/>
      <c r="CF267" s="16"/>
      <c r="CG267" s="507"/>
      <c r="CH267" s="16"/>
      <c r="CI267" s="507"/>
      <c r="CJ267" s="16"/>
      <c r="CK267" s="507"/>
      <c r="CL267" s="16"/>
      <c r="CM267" s="507"/>
      <c r="CN267" s="16"/>
      <c r="CO267" s="507"/>
      <c r="CP267" s="16"/>
      <c r="CQ267" s="507"/>
      <c r="CR267" s="16"/>
      <c r="CS267" s="507"/>
      <c r="CT267" s="16"/>
      <c r="CU267" s="507"/>
      <c r="CV267" s="16"/>
      <c r="CW267" s="507"/>
      <c r="CX267" s="16"/>
      <c r="CY267" s="507"/>
      <c r="CZ267" s="16"/>
      <c r="DA267" s="507"/>
      <c r="DB267" s="507"/>
      <c r="DC267" s="16"/>
      <c r="DD267" s="507"/>
      <c r="DE267" s="16"/>
      <c r="DF267" s="687"/>
      <c r="DG267" s="16"/>
      <c r="DH267" s="687"/>
      <c r="DI267" s="16"/>
      <c r="DJ267" s="687"/>
      <c r="DK267" s="16"/>
      <c r="DL267" s="507"/>
      <c r="DM267" s="16"/>
      <c r="DN267" s="507"/>
      <c r="DO267" s="16"/>
      <c r="DP267" s="507"/>
      <c r="DQ267" s="16"/>
      <c r="DR267" s="507"/>
      <c r="DS267" s="16"/>
      <c r="DT267" s="507"/>
      <c r="DU267" s="16"/>
      <c r="DV267" s="507"/>
      <c r="DW267" s="16"/>
      <c r="DX267" s="507"/>
      <c r="DY267" s="16"/>
      <c r="DZ267" s="507"/>
      <c r="EA267" s="16"/>
      <c r="EB267" s="507"/>
      <c r="EC267" s="16"/>
      <c r="ED267" s="507"/>
      <c r="EE267" s="16"/>
      <c r="EF267" s="507"/>
      <c r="EG267" s="16"/>
      <c r="EH267" s="507"/>
      <c r="EI267" s="16"/>
      <c r="EJ267" s="507"/>
      <c r="EK267" s="16"/>
      <c r="EL267" s="507"/>
      <c r="EM267" s="687"/>
    </row>
    <row r="268" spans="1:143" ht="12.75" hidden="1" customHeight="1" outlineLevel="1" x14ac:dyDescent="0.2">
      <c r="A268" s="700" t="str">
        <f>INPUT!B292</f>
        <v>BENEFITS AND EXPENSES</v>
      </c>
      <c r="B268" s="16"/>
      <c r="C268" s="507"/>
      <c r="D268" s="16"/>
      <c r="E268" s="687"/>
      <c r="F268" s="16"/>
      <c r="G268" s="687"/>
      <c r="H268" s="16"/>
      <c r="I268" s="687"/>
      <c r="J268" s="16"/>
      <c r="K268" s="687"/>
      <c r="L268" s="16"/>
      <c r="M268" s="687"/>
      <c r="N268" s="16"/>
      <c r="O268" s="687"/>
      <c r="P268" s="16"/>
      <c r="Q268" s="687"/>
      <c r="R268" s="16"/>
      <c r="S268" s="687"/>
      <c r="T268" s="16"/>
      <c r="U268" s="687"/>
      <c r="V268" s="16"/>
      <c r="W268" s="687"/>
      <c r="X268" s="16"/>
      <c r="Y268" s="687"/>
      <c r="Z268" s="16"/>
      <c r="AA268" s="687"/>
      <c r="AB268" s="16"/>
      <c r="AC268" s="687"/>
      <c r="AD268" s="16"/>
      <c r="AE268" s="687"/>
      <c r="AF268" s="16"/>
      <c r="AG268" s="687"/>
      <c r="AH268" s="16"/>
      <c r="AI268" s="507"/>
      <c r="AJ268" s="16"/>
      <c r="AK268" s="507"/>
      <c r="AL268" s="16"/>
      <c r="AM268" s="507"/>
      <c r="AN268" s="16"/>
      <c r="AO268" s="507"/>
      <c r="AP268" s="16"/>
      <c r="AQ268" s="507"/>
      <c r="AR268" s="16"/>
      <c r="AS268" s="507"/>
      <c r="AT268" s="16"/>
      <c r="AU268" s="507"/>
      <c r="AV268" s="16"/>
      <c r="AW268" s="507"/>
      <c r="AX268" s="16"/>
      <c r="AY268" s="507"/>
      <c r="AZ268" s="16"/>
      <c r="BA268" s="507"/>
      <c r="BB268" s="16"/>
      <c r="BC268" s="507"/>
      <c r="BD268" s="16"/>
      <c r="BE268" s="507"/>
      <c r="BF268" s="16"/>
      <c r="BG268" s="507"/>
      <c r="BH268" s="16"/>
      <c r="BI268" s="507"/>
      <c r="BJ268" s="16"/>
      <c r="BK268" s="507"/>
      <c r="BL268" s="16"/>
      <c r="BM268" s="507"/>
      <c r="BN268" s="16"/>
      <c r="BO268" s="507"/>
      <c r="BP268" s="16"/>
      <c r="BQ268" s="507"/>
      <c r="BR268" s="16"/>
      <c r="BS268" s="507"/>
      <c r="BT268" s="16"/>
      <c r="BU268" s="507"/>
      <c r="BV268" s="16"/>
      <c r="BW268" s="507"/>
      <c r="BX268" s="16"/>
      <c r="BY268" s="507"/>
      <c r="BZ268" s="16"/>
      <c r="CA268" s="507"/>
      <c r="CB268" s="16"/>
      <c r="CC268" s="507"/>
      <c r="CD268" s="16"/>
      <c r="CE268" s="507"/>
      <c r="CF268" s="16"/>
      <c r="CG268" s="507"/>
      <c r="CH268" s="16"/>
      <c r="CI268" s="507"/>
      <c r="CJ268" s="16"/>
      <c r="CK268" s="507"/>
      <c r="CL268" s="16"/>
      <c r="CM268" s="507"/>
      <c r="CN268" s="16"/>
      <c r="CO268" s="507"/>
      <c r="CP268" s="16"/>
      <c r="CQ268" s="507"/>
      <c r="CR268" s="16"/>
      <c r="CS268" s="507"/>
      <c r="CT268" s="16"/>
      <c r="CU268" s="507"/>
      <c r="CV268" s="16"/>
      <c r="CW268" s="507"/>
      <c r="CX268" s="16"/>
      <c r="CY268" s="507"/>
      <c r="CZ268" s="16"/>
      <c r="DA268" s="507"/>
      <c r="DB268" s="507"/>
      <c r="DC268" s="16"/>
      <c r="DD268" s="507"/>
      <c r="DE268" s="16"/>
      <c r="DF268" s="687"/>
      <c r="DG268" s="16"/>
      <c r="DH268" s="687"/>
      <c r="DI268" s="16"/>
      <c r="DJ268" s="687"/>
      <c r="DK268" s="16"/>
      <c r="DL268" s="507"/>
      <c r="DM268" s="16"/>
      <c r="DN268" s="507"/>
      <c r="DO268" s="16"/>
      <c r="DP268" s="507"/>
      <c r="DQ268" s="16"/>
      <c r="DR268" s="507"/>
      <c r="DS268" s="16"/>
      <c r="DT268" s="507"/>
      <c r="DU268" s="16"/>
      <c r="DV268" s="507"/>
      <c r="DW268" s="16"/>
      <c r="DX268" s="507"/>
      <c r="DY268" s="16"/>
      <c r="DZ268" s="507"/>
      <c r="EA268" s="16"/>
      <c r="EB268" s="507"/>
      <c r="EC268" s="16"/>
      <c r="ED268" s="507"/>
      <c r="EE268" s="16"/>
      <c r="EF268" s="507"/>
      <c r="EG268" s="16"/>
      <c r="EH268" s="507"/>
      <c r="EI268" s="16"/>
      <c r="EJ268" s="507"/>
      <c r="EK268" s="16"/>
      <c r="EL268" s="507"/>
      <c r="EM268" s="687"/>
    </row>
    <row r="269" spans="1:143" ht="12.75" hidden="1" customHeight="1" outlineLevel="1" x14ac:dyDescent="0.2">
      <c r="A269" s="701" t="str">
        <f>INPUT!B293</f>
        <v>Insurance Benefits</v>
      </c>
      <c r="B269" s="151"/>
      <c r="C269" s="507"/>
      <c r="D269" s="151">
        <f>INPUT!BA293</f>
        <v>226</v>
      </c>
      <c r="E269" s="687">
        <f>INPUT!BB293</f>
        <v>-2.2271445134718904</v>
      </c>
      <c r="F269" s="151">
        <f>INPUT!BC293</f>
        <v>213.3</v>
      </c>
      <c r="G269" s="687">
        <f>INPUT!BD293</f>
        <v>-2.2371333892502121</v>
      </c>
      <c r="H269" s="151">
        <f>INPUT!BE293</f>
        <v>224</v>
      </c>
      <c r="I269" s="687">
        <f>INPUT!BF293</f>
        <v>0.17306686105011959</v>
      </c>
      <c r="J269" s="151">
        <f>INPUT!BG293</f>
        <v>246.6</v>
      </c>
      <c r="K269" s="687" t="str">
        <f>INPUT!BH293</f>
        <v>NA</v>
      </c>
      <c r="L269" s="151">
        <f>INPUT!BI293</f>
        <v>265.7</v>
      </c>
      <c r="M269" s="687">
        <f>INPUT!BJ293</f>
        <v>17.566371681415927</v>
      </c>
      <c r="N269" s="151">
        <f>INPUT!BK293</f>
        <v>235</v>
      </c>
      <c r="O269" s="687">
        <f>INPUT!BL293</f>
        <v>10.173464603844341</v>
      </c>
      <c r="P269" s="151">
        <f>INPUT!BM293</f>
        <v>252.1</v>
      </c>
      <c r="Q269" s="687">
        <f>INPUT!BN293</f>
        <v>12.544642857142851</v>
      </c>
      <c r="R269" s="151">
        <f>INPUT!BO293</f>
        <v>269.39999999999998</v>
      </c>
      <c r="S269" s="687">
        <f>INPUT!BP293</f>
        <v>9.2457420924574087</v>
      </c>
      <c r="T269" s="151">
        <f>INPUT!BQ293</f>
        <v>285.89999999999998</v>
      </c>
      <c r="U269" s="687">
        <f>INPUT!BR293</f>
        <v>7.602559277380494</v>
      </c>
      <c r="V269" s="151">
        <f>INPUT!BS293</f>
        <v>269</v>
      </c>
      <c r="W269" s="687">
        <f>INPUT!BT293</f>
        <v>14.468085106382977</v>
      </c>
      <c r="X269" s="151">
        <f>INPUT!BU293</f>
        <v>283.70000000000005</v>
      </c>
      <c r="Y269" s="687">
        <f>INPUT!BV293</f>
        <v>12.534708449028177</v>
      </c>
      <c r="Z269" s="151">
        <f>INPUT!BW293</f>
        <v>282</v>
      </c>
      <c r="AA269" s="687">
        <f>INPUT!BX293</f>
        <v>4.6770601336302953</v>
      </c>
      <c r="AB269" s="151">
        <f>INPUT!BY293</f>
        <v>292.7</v>
      </c>
      <c r="AC269" s="687">
        <f>INPUT!BZ293</f>
        <v>2.3784540048968239</v>
      </c>
      <c r="AD269" s="151">
        <f>INPUT!CA293</f>
        <v>261.60000000000002</v>
      </c>
      <c r="AE269" s="687">
        <f>INPUT!CB293</f>
        <v>-2.7509293680297309</v>
      </c>
      <c r="AF269" s="151">
        <f>INPUT!CC293</f>
        <v>281.10000000000002</v>
      </c>
      <c r="AG269" s="687">
        <f>INPUT!CD293</f>
        <v>-0.91646105040537051</v>
      </c>
      <c r="AH269" s="151">
        <f>INPUT!CE293</f>
        <v>310.7</v>
      </c>
      <c r="AI269" s="507">
        <f>INPUT!CF293</f>
        <v>10.177304964539013</v>
      </c>
      <c r="AJ269" s="151">
        <f>INPUT!CG293</f>
        <v>334.2</v>
      </c>
      <c r="AK269" s="507">
        <f>INPUT!CH293</f>
        <v>14.178339596856858</v>
      </c>
      <c r="AL269" s="151">
        <f>INPUT!CI293</f>
        <v>330.4</v>
      </c>
      <c r="AM269" s="507">
        <f>INPUT!CJ293</f>
        <v>26.29969418960243</v>
      </c>
      <c r="AN269" s="151">
        <f>INPUT!CK293</f>
        <v>323.8</v>
      </c>
      <c r="AO269" s="507">
        <f>INPUT!CL293</f>
        <v>15.190323728210586</v>
      </c>
      <c r="AP269" s="151">
        <f>INPUT!CM293</f>
        <v>327.59999999999997</v>
      </c>
      <c r="AQ269" s="507">
        <f>INPUT!CN293</f>
        <v>5.4393305439330408</v>
      </c>
      <c r="AR269" s="151">
        <f>INPUT!CO293</f>
        <v>345.90000000000003</v>
      </c>
      <c r="AS269" s="507">
        <f>INPUT!CP293</f>
        <v>3.5008976660682256</v>
      </c>
      <c r="AT269" s="151">
        <f>INPUT!CQ293</f>
        <v>320.10000000000002</v>
      </c>
      <c r="AU269" s="507">
        <f>INPUT!CR293</f>
        <v>-3.1174334140435689</v>
      </c>
      <c r="AV269" s="151">
        <f>INPUT!CS293</f>
        <v>323</v>
      </c>
      <c r="AW269" s="507">
        <f>INPUT!CT293</f>
        <v>-0.24706609017912662</v>
      </c>
      <c r="AX269" s="151">
        <f>INPUT!CU293</f>
        <v>350</v>
      </c>
      <c r="AY269" s="507">
        <f>INPUT!CV293</f>
        <v>6.8376068376068577</v>
      </c>
      <c r="AZ269" s="151">
        <f>INPUT!CW293</f>
        <v>368</v>
      </c>
      <c r="BA269" s="507">
        <f>INPUT!CX293</f>
        <v>6.389129806302396</v>
      </c>
      <c r="BB269" s="151">
        <f>INPUT!CY293</f>
        <v>360</v>
      </c>
      <c r="BC269" s="507">
        <f>INPUT!CZ293</f>
        <v>12.464854732895958</v>
      </c>
      <c r="BD269" s="151">
        <f>INPUT!DA293</f>
        <v>367</v>
      </c>
      <c r="BE269" s="507">
        <f>INPUT!DB293</f>
        <v>13.622291021671828</v>
      </c>
      <c r="BF269" s="151">
        <f>INPUT!DC293</f>
        <v>384</v>
      </c>
      <c r="BG269" s="507">
        <f>INPUT!DD293</f>
        <v>9.7142857142857189</v>
      </c>
      <c r="BH269" s="151">
        <f>INPUT!DE293</f>
        <v>397</v>
      </c>
      <c r="BI269" s="507">
        <f>INPUT!DF293</f>
        <v>7.8804347826086918</v>
      </c>
      <c r="BJ269" s="151">
        <f>INPUT!DG293</f>
        <v>382</v>
      </c>
      <c r="BK269" s="507">
        <f>INPUT!DH293</f>
        <v>6.1111111111111116</v>
      </c>
      <c r="BL269" s="151">
        <f>INPUT!DI293</f>
        <v>396</v>
      </c>
      <c r="BM269" s="507">
        <f>INPUT!DJ293</f>
        <v>7.9019073569482234</v>
      </c>
      <c r="BN269" s="151">
        <f>INPUT!DK293</f>
        <v>423</v>
      </c>
      <c r="BO269" s="507">
        <f>INPUT!DL293</f>
        <v>10.15625</v>
      </c>
      <c r="BP269" s="151">
        <f>INPUT!DM293</f>
        <v>463</v>
      </c>
      <c r="BQ269" s="507">
        <f>INPUT!DN293</f>
        <v>16.624685138539053</v>
      </c>
      <c r="BR269" s="151">
        <f>INPUT!DO293</f>
        <v>428</v>
      </c>
      <c r="BS269" s="507">
        <f>INPUT!DP293</f>
        <v>12.041884816753923</v>
      </c>
      <c r="BT269" s="151">
        <f>INPUT!DQ293</f>
        <v>460</v>
      </c>
      <c r="BU269" s="507">
        <f>INPUT!DR293</f>
        <v>16.161616161616156</v>
      </c>
      <c r="BV269" s="151">
        <f>INPUT!DS293</f>
        <v>440</v>
      </c>
      <c r="BW269" s="507">
        <f>INPUT!DT293</f>
        <v>4.0189125295508221</v>
      </c>
      <c r="BX269" s="151">
        <f>INPUT!DU293</f>
        <v>421</v>
      </c>
      <c r="BY269" s="507">
        <f>INPUT!DV293</f>
        <v>-9.0712742980561529</v>
      </c>
      <c r="BZ269" s="151">
        <f>INPUT!DW293</f>
        <v>386</v>
      </c>
      <c r="CA269" s="507">
        <f>INPUT!DX293</f>
        <v>386</v>
      </c>
      <c r="CB269" s="151">
        <f>INPUT!DY293</f>
        <v>387</v>
      </c>
      <c r="CC269" s="507">
        <f>INPUT!DZ293</f>
        <v>-15.869565217391301</v>
      </c>
      <c r="CD269" s="151">
        <f>INPUT!EA293</f>
        <v>340</v>
      </c>
      <c r="CE269" s="507">
        <f>INPUT!EB293</f>
        <v>-22.72727272727273</v>
      </c>
      <c r="CF269" s="151">
        <f>INPUT!EC293</f>
        <v>345</v>
      </c>
      <c r="CG269" s="507">
        <f>INPUT!ED293</f>
        <v>-18.052256532066512</v>
      </c>
      <c r="CH269" s="151">
        <f>INPUT!EE293</f>
        <v>291</v>
      </c>
      <c r="CI269" s="507">
        <f>INPUT!EF293</f>
        <v>-24.611398963730569</v>
      </c>
      <c r="CJ269" s="151">
        <f>INPUT!EG293</f>
        <v>345</v>
      </c>
      <c r="CK269" s="507">
        <f>INPUT!EH293</f>
        <v>-10.852713178294572</v>
      </c>
      <c r="CL269" s="151">
        <f>INPUT!EI293</f>
        <v>351</v>
      </c>
      <c r="CM269" s="507">
        <f>INPUT!EJ293</f>
        <v>3.2352941176470695</v>
      </c>
      <c r="CN269" s="151">
        <f>INPUT!EK293</f>
        <v>326</v>
      </c>
      <c r="CO269" s="507">
        <f>INPUT!EL293</f>
        <v>-5.507246376811592</v>
      </c>
      <c r="CP269" s="151">
        <f>INPUT!EM293</f>
        <v>334</v>
      </c>
      <c r="CQ269" s="507">
        <f>INPUT!EN293</f>
        <v>14.77663230240549</v>
      </c>
      <c r="CR269" s="151">
        <f>INPUT!EO293</f>
        <v>341</v>
      </c>
      <c r="CS269" s="507">
        <f>INPUT!EP293</f>
        <v>-1.1594202898550732</v>
      </c>
      <c r="CT269" s="151">
        <f>INPUT!EQ293</f>
        <v>354.06315000000001</v>
      </c>
      <c r="CU269" s="507">
        <f>INPUT!ER293</f>
        <v>0.87269230769231321</v>
      </c>
      <c r="CV269" s="151">
        <f>INPUT!ES293</f>
        <v>347.77870524999997</v>
      </c>
      <c r="CW269" s="507">
        <f>INPUT!ET293</f>
        <v>6.6805844325153352</v>
      </c>
      <c r="CX269" s="151">
        <f>INPUT!EU293</f>
        <v>622.09177452250003</v>
      </c>
      <c r="CY269" s="507">
        <f>INPUT!EV293</f>
        <v>86.25502231212576</v>
      </c>
      <c r="CZ269" s="151">
        <f>INPUT!EW293</f>
        <v>631.06774134523732</v>
      </c>
      <c r="DA269" s="507">
        <f>INPUT!EX293</f>
        <v>85.063853766931771</v>
      </c>
      <c r="DB269" s="507"/>
      <c r="DC269" s="151"/>
      <c r="DD269" s="507"/>
      <c r="DE269" s="151">
        <f>INPUT!FR293</f>
        <v>663.3</v>
      </c>
      <c r="DF269" s="687">
        <f>INPUT!FS293</f>
        <v>-22.984839635928346</v>
      </c>
      <c r="DG269" s="151">
        <f>INPUT!FT293</f>
        <v>999.4</v>
      </c>
      <c r="DH269" s="687">
        <f>INPUT!FU293</f>
        <v>50.670887984320821</v>
      </c>
      <c r="DI269" s="151">
        <f>INPUT!FV293</f>
        <v>1108</v>
      </c>
      <c r="DJ269" s="687">
        <f>INPUT!FW293</f>
        <v>10.866519911947181</v>
      </c>
      <c r="DK269" s="151">
        <f>INPUT!FX293</f>
        <v>1117.4000000000001</v>
      </c>
      <c r="DL269" s="507">
        <f>INPUT!FY293</f>
        <v>0.84837545126354996</v>
      </c>
      <c r="DM269" s="151">
        <f>INPUT!FZ293</f>
        <v>1299.0999999999999</v>
      </c>
      <c r="DN269" s="507">
        <f>INPUT!GA293</f>
        <v>16.260962949704648</v>
      </c>
      <c r="DO269" s="151">
        <f>INPUT!GB293</f>
        <v>1316.6</v>
      </c>
      <c r="DP269" s="507">
        <f>INPUT!GC293</f>
        <v>1.3470864444615538</v>
      </c>
      <c r="DQ269" s="151">
        <f>INPUT!GD293</f>
        <v>1445</v>
      </c>
      <c r="DR269" s="507">
        <f>INPUT!GE293</f>
        <v>9.752392526203856</v>
      </c>
      <c r="DS269" s="151">
        <f>INPUT!GF293</f>
        <v>1559</v>
      </c>
      <c r="DT269" s="507">
        <f>INPUT!GG293</f>
        <v>7.8892733564013939</v>
      </c>
      <c r="DU269" s="151">
        <f>INPUT!GH293</f>
        <v>1774</v>
      </c>
      <c r="DV269" s="507">
        <f>INPUT!GI293</f>
        <v>13.79089159717768</v>
      </c>
      <c r="DW269" s="151">
        <f>INPUT!GJ293</f>
        <v>1634</v>
      </c>
      <c r="DX269" s="507">
        <f>INPUT!GK293</f>
        <v>-7.8917700112739571</v>
      </c>
      <c r="DY269" s="151">
        <f>INPUT!GL293</f>
        <v>1321</v>
      </c>
      <c r="DZ269" s="507">
        <f>INPUT!GM293</f>
        <v>-19.155446756425953</v>
      </c>
      <c r="EA269" s="151">
        <f>INPUT!GN293</f>
        <v>1352</v>
      </c>
      <c r="EB269" s="507">
        <f>INPUT!GO293</f>
        <v>2.346707040121121</v>
      </c>
      <c r="EC269" s="151">
        <f>INPUT!GP293</f>
        <v>1955.0013711177371</v>
      </c>
      <c r="ED269" s="507">
        <f>INPUT!GQ293</f>
        <v>44.600693130010136</v>
      </c>
      <c r="EE269" s="151">
        <f>INPUT!GR293</f>
        <v>2552.2859808725607</v>
      </c>
      <c r="EF269" s="507">
        <f>INPUT!GS293</f>
        <v>30.55162101565876</v>
      </c>
      <c r="EG269" s="151">
        <f>INPUT!GT293</f>
        <v>2551.8613212887617</v>
      </c>
      <c r="EH269" s="507">
        <f>INPUT!GU293</f>
        <v>-1.6638401299129413E-2</v>
      </c>
      <c r="EI269" s="151">
        <f>INPUT!GV293</f>
        <v>2567.4147709419822</v>
      </c>
      <c r="EJ269" s="507">
        <f>INPUT!GW293</f>
        <v>0.60949431395298515</v>
      </c>
      <c r="EK269" s="151">
        <f>INPUT!GX293</f>
        <v>2583.1018707044041</v>
      </c>
      <c r="EL269" s="507">
        <f>INPUT!GY293</f>
        <v>0.61100761512975499</v>
      </c>
      <c r="EM269" s="687">
        <f>INPUT!GZ293</f>
        <v>13.823770661612777</v>
      </c>
    </row>
    <row r="270" spans="1:143" ht="12.75" hidden="1" customHeight="1" outlineLevel="1" x14ac:dyDescent="0.2">
      <c r="A270" s="701" t="str">
        <f>INPUT!B294</f>
        <v xml:space="preserve">   Other Expenses</v>
      </c>
      <c r="B270" s="151"/>
      <c r="C270" s="507"/>
      <c r="D270" s="151">
        <f>INPUT!BA294</f>
        <v>77.2</v>
      </c>
      <c r="E270" s="687" t="str">
        <f>INPUT!BB294</f>
        <v>NA</v>
      </c>
      <c r="F270" s="151">
        <f>INPUT!BC294</f>
        <v>79.3</v>
      </c>
      <c r="G270" s="687" t="str">
        <f>INPUT!BD294</f>
        <v>NA</v>
      </c>
      <c r="H270" s="151">
        <f>INPUT!BE294</f>
        <v>81.199999999999989</v>
      </c>
      <c r="I270" s="687" t="str">
        <f>INPUT!BF294</f>
        <v>NA</v>
      </c>
      <c r="J270" s="151">
        <f>INPUT!BG294</f>
        <v>81.899999999999991</v>
      </c>
      <c r="K270" s="687" t="str">
        <f>INPUT!BH294</f>
        <v>NA</v>
      </c>
      <c r="L270" s="151">
        <f>INPUT!BI294</f>
        <v>88.4</v>
      </c>
      <c r="M270" s="687">
        <f>INPUT!BJ294</f>
        <v>14.507772020725396</v>
      </c>
      <c r="N270" s="151">
        <f>INPUT!BK294</f>
        <v>86.300000000000011</v>
      </c>
      <c r="O270" s="687">
        <f>INPUT!BL294</f>
        <v>8.8272383354350836</v>
      </c>
      <c r="P270" s="151">
        <f>INPUT!BM294</f>
        <v>78.099999999999994</v>
      </c>
      <c r="Q270" s="687">
        <f>INPUT!BN294</f>
        <v>-3.8177339901477758</v>
      </c>
      <c r="R270" s="151">
        <f>INPUT!BO294</f>
        <v>83.899999999999991</v>
      </c>
      <c r="S270" s="687">
        <f>INPUT!BP294</f>
        <v>2.4420024420024333</v>
      </c>
      <c r="T270" s="151">
        <f>INPUT!BQ294</f>
        <v>85.1</v>
      </c>
      <c r="U270" s="687">
        <f>INPUT!BR294</f>
        <v>-3.7330316742081537</v>
      </c>
      <c r="V270" s="151">
        <f>INPUT!BS294</f>
        <v>87.899999999999991</v>
      </c>
      <c r="W270" s="687">
        <f>INPUT!BT294</f>
        <v>1.8539976825028726</v>
      </c>
      <c r="X270" s="151">
        <f>INPUT!BU294</f>
        <v>109.2</v>
      </c>
      <c r="Y270" s="687">
        <f>INPUT!BV294</f>
        <v>39.820742637644059</v>
      </c>
      <c r="Z270" s="151">
        <f>INPUT!BW294</f>
        <v>102.69999999999999</v>
      </c>
      <c r="AA270" s="687">
        <f>INPUT!BX294</f>
        <v>22.407628128724678</v>
      </c>
      <c r="AB270" s="151">
        <f>INPUT!BY294</f>
        <v>99.6</v>
      </c>
      <c r="AC270" s="687">
        <f>INPUT!BZ294</f>
        <v>17.038777908343118</v>
      </c>
      <c r="AD270" s="151">
        <f>INPUT!CA294</f>
        <v>101.2</v>
      </c>
      <c r="AE270" s="687">
        <f>INPUT!CB294</f>
        <v>15.130830489192281</v>
      </c>
      <c r="AF270" s="151">
        <f>INPUT!CC294</f>
        <v>114.30000000000001</v>
      </c>
      <c r="AG270" s="687">
        <f>INPUT!CD294</f>
        <v>4.6703296703296759</v>
      </c>
      <c r="AH270" s="151">
        <f>INPUT!CE294</f>
        <v>105.19999999999999</v>
      </c>
      <c r="AI270" s="507">
        <f>INPUT!CF294</f>
        <v>2.4342745861733128</v>
      </c>
      <c r="AJ270" s="151">
        <f>INPUT!CG294</f>
        <v>104.2</v>
      </c>
      <c r="AK270" s="507">
        <f>INPUT!CH294</f>
        <v>4.6184738955823423</v>
      </c>
      <c r="AL270" s="151">
        <f>INPUT!CI294</f>
        <v>104</v>
      </c>
      <c r="AM270" s="507">
        <f>INPUT!CJ294</f>
        <v>2.7667984189723382</v>
      </c>
      <c r="AN270" s="151">
        <f>INPUT!CK294</f>
        <v>119.6</v>
      </c>
      <c r="AO270" s="507">
        <f>INPUT!CL294</f>
        <v>4.6369203849518703</v>
      </c>
      <c r="AP270" s="151">
        <f>INPUT!CM294</f>
        <v>112.39999999999999</v>
      </c>
      <c r="AQ270" s="507">
        <f>INPUT!CN294</f>
        <v>6.8441064638783411</v>
      </c>
      <c r="AR270" s="151">
        <f>INPUT!CO294</f>
        <v>115.8</v>
      </c>
      <c r="AS270" s="507">
        <f>INPUT!CP294</f>
        <v>11.13243761996161</v>
      </c>
      <c r="AT270" s="151">
        <f>INPUT!CQ294</f>
        <v>121.8</v>
      </c>
      <c r="AU270" s="507">
        <f>INPUT!CR294</f>
        <v>17.11538461538462</v>
      </c>
      <c r="AV270" s="151">
        <f>INPUT!CS294</f>
        <v>137</v>
      </c>
      <c r="AW270" s="507">
        <f>INPUT!CT294</f>
        <v>14.548494983277592</v>
      </c>
      <c r="AX270" s="151">
        <f>INPUT!CU294</f>
        <v>128</v>
      </c>
      <c r="AY270" s="507">
        <f>INPUT!CV294</f>
        <v>13.879003558718871</v>
      </c>
      <c r="AZ270" s="151">
        <f>INPUT!CW294</f>
        <v>136</v>
      </c>
      <c r="BA270" s="507">
        <f>INPUT!CX294</f>
        <v>17.443868739205538</v>
      </c>
      <c r="BB270" s="151">
        <f>INPUT!CY294</f>
        <v>138</v>
      </c>
      <c r="BC270" s="507">
        <f>INPUT!CZ294</f>
        <v>13.300492610837434</v>
      </c>
      <c r="BD270" s="151">
        <f>INPUT!DA294</f>
        <v>161</v>
      </c>
      <c r="BE270" s="507">
        <f>INPUT!DB294</f>
        <v>17.518248175182482</v>
      </c>
      <c r="BF270" s="151">
        <f>INPUT!DC294</f>
        <v>144</v>
      </c>
      <c r="BG270" s="507">
        <f>INPUT!DD294</f>
        <v>12.5</v>
      </c>
      <c r="BH270" s="151">
        <f>INPUT!DE294</f>
        <v>153</v>
      </c>
      <c r="BI270" s="507">
        <f>INPUT!DF294</f>
        <v>12.5</v>
      </c>
      <c r="BJ270" s="151">
        <f>INPUT!DG294</f>
        <v>153</v>
      </c>
      <c r="BK270" s="507">
        <f>INPUT!DH294</f>
        <v>10.869565217391308</v>
      </c>
      <c r="BL270" s="151">
        <f>INPUT!DI294</f>
        <v>182</v>
      </c>
      <c r="BM270" s="507">
        <f>INPUT!DJ294</f>
        <v>13.043478260869556</v>
      </c>
      <c r="BN270" s="151">
        <f>INPUT!DK294</f>
        <v>154</v>
      </c>
      <c r="BO270" s="507">
        <f>INPUT!DL294</f>
        <v>6.944444444444442</v>
      </c>
      <c r="BP270" s="151">
        <f>INPUT!DM294</f>
        <v>162</v>
      </c>
      <c r="BQ270" s="507">
        <f>INPUT!DN294</f>
        <v>5.8823529411764719</v>
      </c>
      <c r="BR270" s="151">
        <f>INPUT!DO294</f>
        <v>156</v>
      </c>
      <c r="BS270" s="507">
        <f>INPUT!DP294</f>
        <v>1.9607843137254832</v>
      </c>
      <c r="BT270" s="151">
        <f>INPUT!DQ294</f>
        <v>182</v>
      </c>
      <c r="BU270" s="507">
        <f>INPUT!DR294</f>
        <v>0</v>
      </c>
      <c r="BV270" s="151">
        <f>INPUT!DS294</f>
        <v>161</v>
      </c>
      <c r="BW270" s="507">
        <f>INPUT!DT294</f>
        <v>4.5454545454545414</v>
      </c>
      <c r="BX270" s="151">
        <f>INPUT!DU294</f>
        <v>163</v>
      </c>
      <c r="BY270" s="507">
        <f>INPUT!DV294</f>
        <v>0.61728395061728669</v>
      </c>
      <c r="BZ270" s="151">
        <f>INPUT!DW294</f>
        <v>157</v>
      </c>
      <c r="CA270" s="507">
        <f>INPUT!DX294</f>
        <v>157</v>
      </c>
      <c r="CB270" s="151">
        <f>INPUT!DY294</f>
        <v>168</v>
      </c>
      <c r="CC270" s="507">
        <f>INPUT!DZ294</f>
        <v>-7.6923076923076872</v>
      </c>
      <c r="CD270" s="151">
        <f>INPUT!EA294</f>
        <v>156</v>
      </c>
      <c r="CE270" s="507">
        <f>INPUT!EB294</f>
        <v>-3.105590062111796</v>
      </c>
      <c r="CF270" s="151">
        <f>INPUT!EC294</f>
        <v>159</v>
      </c>
      <c r="CG270" s="507">
        <f>INPUT!ED294</f>
        <v>-2.4539877300613466</v>
      </c>
      <c r="CH270" s="151">
        <f>INPUT!EE294</f>
        <v>160</v>
      </c>
      <c r="CI270" s="507">
        <f>INPUT!EF294</f>
        <v>1.9108280254777066</v>
      </c>
      <c r="CJ270" s="151">
        <f>INPUT!EG294</f>
        <v>184</v>
      </c>
      <c r="CK270" s="507">
        <f>INPUT!EH294</f>
        <v>9.5238095238095344</v>
      </c>
      <c r="CL270" s="151">
        <f>INPUT!EI294</f>
        <v>159</v>
      </c>
      <c r="CM270" s="507">
        <f>INPUT!EJ294</f>
        <v>1.9230769230769162</v>
      </c>
      <c r="CN270" s="151">
        <f>INPUT!EK294</f>
        <v>161</v>
      </c>
      <c r="CO270" s="507">
        <f>INPUT!EL294</f>
        <v>1.2578616352201255</v>
      </c>
      <c r="CP270" s="151">
        <f>INPUT!EM294</f>
        <v>169</v>
      </c>
      <c r="CQ270" s="507">
        <f>INPUT!EN294</f>
        <v>5.6249999999999911</v>
      </c>
      <c r="CR270" s="151">
        <f>INPUT!EO294</f>
        <v>190</v>
      </c>
      <c r="CS270" s="507">
        <f>INPUT!EP294</f>
        <v>3.2608695652173836</v>
      </c>
      <c r="CT270" s="151">
        <f>INPUT!EQ294</f>
        <v>175.46165000000002</v>
      </c>
      <c r="CU270" s="507">
        <f>INPUT!ER294</f>
        <v>10.353238993710701</v>
      </c>
      <c r="CV270" s="151">
        <f>INPUT!ES294</f>
        <v>187.29193312499999</v>
      </c>
      <c r="CW270" s="507">
        <f>INPUT!ET294</f>
        <v>16.3303932453416</v>
      </c>
      <c r="CX270" s="151">
        <f>INPUT!EU294</f>
        <v>328.09649470937501</v>
      </c>
      <c r="CY270" s="507">
        <f>INPUT!EV294</f>
        <v>94.139937697855032</v>
      </c>
      <c r="CZ270" s="151">
        <f>INPUT!EW294</f>
        <v>332.80163860839059</v>
      </c>
      <c r="DA270" s="507">
        <f>INPUT!EX294</f>
        <v>75.158757162310835</v>
      </c>
      <c r="DB270" s="507"/>
      <c r="DC270" s="151"/>
      <c r="DD270" s="507"/>
      <c r="DE270" s="151">
        <f>INPUT!FR294</f>
        <v>237.7</v>
      </c>
      <c r="DF270" s="687" t="str">
        <f>INPUT!FS294</f>
        <v>NA</v>
      </c>
      <c r="DG270" s="151">
        <f>INPUT!FT294</f>
        <v>334.70000000000005</v>
      </c>
      <c r="DH270" s="687">
        <f>INPUT!FU294</f>
        <v>40.807740849810713</v>
      </c>
      <c r="DI270" s="151">
        <f>INPUT!FV294</f>
        <v>366.09999999999997</v>
      </c>
      <c r="DJ270" s="687">
        <f>INPUT!FW294</f>
        <v>9.3815357036151514</v>
      </c>
      <c r="DK270" s="151">
        <f>INPUT!FX294</f>
        <v>417.8</v>
      </c>
      <c r="DL270" s="507">
        <f>INPUT!FY294</f>
        <v>14.121824638077051</v>
      </c>
      <c r="DM270" s="151">
        <f>INPUT!FZ294</f>
        <v>433</v>
      </c>
      <c r="DN270" s="507">
        <f>INPUT!GA294</f>
        <v>3.6381043561512616</v>
      </c>
      <c r="DO270" s="151">
        <f>INPUT!GB294</f>
        <v>487</v>
      </c>
      <c r="DP270" s="507">
        <f>INPUT!GC294</f>
        <v>12.471131639722866</v>
      </c>
      <c r="DQ270" s="151">
        <f>INPUT!GD294</f>
        <v>563</v>
      </c>
      <c r="DR270" s="507">
        <f>INPUT!GE294</f>
        <v>15.605749486652986</v>
      </c>
      <c r="DS270" s="151">
        <f>INPUT!GF294</f>
        <v>632</v>
      </c>
      <c r="DT270" s="507">
        <f>INPUT!GG294</f>
        <v>12.255772646536411</v>
      </c>
      <c r="DU270" s="151">
        <f>INPUT!GH294</f>
        <v>654</v>
      </c>
      <c r="DV270" s="507">
        <f>INPUT!GI294</f>
        <v>3.4810126582278444</v>
      </c>
      <c r="DW270" s="151">
        <f>INPUT!GJ294</f>
        <v>649</v>
      </c>
      <c r="DX270" s="507">
        <f>INPUT!GK294</f>
        <v>-0.76452599388379117</v>
      </c>
      <c r="DY270" s="151">
        <f>INPUT!GL294</f>
        <v>659</v>
      </c>
      <c r="DZ270" s="507">
        <f>INPUT!GM294</f>
        <v>1.5408320493066174</v>
      </c>
      <c r="EA270" s="151">
        <f>INPUT!GN294</f>
        <v>679</v>
      </c>
      <c r="EB270" s="507">
        <f>INPUT!GO294</f>
        <v>3.0349013657056112</v>
      </c>
      <c r="EC270" s="151">
        <f>INPUT!GP294</f>
        <v>1023.6517164427656</v>
      </c>
      <c r="ED270" s="507">
        <f>INPUT!GQ294</f>
        <v>50.758721125591407</v>
      </c>
      <c r="EE270" s="151">
        <f>INPUT!GR294</f>
        <v>1290.2900941326484</v>
      </c>
      <c r="EF270" s="507">
        <f>INPUT!GS294</f>
        <v>26.047763453810525</v>
      </c>
      <c r="EG270" s="151">
        <f>INPUT!GT294</f>
        <v>1261.3132153592258</v>
      </c>
      <c r="EH270" s="507">
        <f>INPUT!GU294</f>
        <v>-2.2457646466627623</v>
      </c>
      <c r="EI270" s="151">
        <f>INPUT!GV294</f>
        <v>1268.8072263872232</v>
      </c>
      <c r="EJ270" s="507">
        <f>INPUT!GW294</f>
        <v>0.59414354315341367</v>
      </c>
      <c r="EK270" s="151">
        <f>INPUT!GX294</f>
        <v>1276.3565028693845</v>
      </c>
      <c r="EL270" s="507">
        <f>INPUT!GY294</f>
        <v>0.59499002883653951</v>
      </c>
      <c r="EM270" s="687">
        <f>INPUT!GZ294</f>
        <v>13.454165100465932</v>
      </c>
    </row>
    <row r="271" spans="1:143" ht="12.75" hidden="1" customHeight="1" outlineLevel="1" x14ac:dyDescent="0.2">
      <c r="A271" s="701" t="str">
        <f>INPUT!B295</f>
        <v xml:space="preserve">   Net DAC and VOBA Amortization</v>
      </c>
      <c r="B271" s="151"/>
      <c r="C271" s="507"/>
      <c r="D271" s="151">
        <f>INPUT!BA295</f>
        <v>-5.1999999999999993</v>
      </c>
      <c r="E271" s="687" t="str">
        <f>INPUT!BB295</f>
        <v>NA</v>
      </c>
      <c r="F271" s="151">
        <f>INPUT!BC295</f>
        <v>-4.7000000000000011</v>
      </c>
      <c r="G271" s="687" t="str">
        <f>INPUT!BD295</f>
        <v>NA</v>
      </c>
      <c r="H271" s="151">
        <f>INPUT!BE295</f>
        <v>-11.600000000000001</v>
      </c>
      <c r="I271" s="687" t="str">
        <f>INPUT!BF295</f>
        <v>NA</v>
      </c>
      <c r="J271" s="151">
        <f>INPUT!BG295</f>
        <v>-3.5999999999999996</v>
      </c>
      <c r="K271" s="687" t="str">
        <f>INPUT!BH295</f>
        <v>NA</v>
      </c>
      <c r="L271" s="151">
        <f>INPUT!BI295</f>
        <v>-7.7</v>
      </c>
      <c r="M271" s="687">
        <f>INPUT!BJ295</f>
        <v>48.076923076923109</v>
      </c>
      <c r="N271" s="151">
        <f>INPUT!BK295</f>
        <v>-4.9000000000000004</v>
      </c>
      <c r="O271" s="687">
        <f>INPUT!BL295</f>
        <v>4.2553191489361541</v>
      </c>
      <c r="P271" s="151">
        <f>INPUT!BM295</f>
        <v>7</v>
      </c>
      <c r="Q271" s="687" t="str">
        <f>INPUT!BN295</f>
        <v>NM</v>
      </c>
      <c r="R271" s="151">
        <f>INPUT!BO295</f>
        <v>5.7000000000000011</v>
      </c>
      <c r="S271" s="687" t="str">
        <f>INPUT!BP295</f>
        <v>NM</v>
      </c>
      <c r="T271" s="151">
        <f>INPUT!BQ295</f>
        <v>4.1999999999999993</v>
      </c>
      <c r="U271" s="687" t="str">
        <f>INPUT!BR295</f>
        <v>NM</v>
      </c>
      <c r="V271" s="151">
        <f>INPUT!BS295</f>
        <v>3.9000000000000004</v>
      </c>
      <c r="W271" s="687" t="str">
        <f>INPUT!BT295</f>
        <v>NM</v>
      </c>
      <c r="X271" s="151">
        <f>INPUT!BU295</f>
        <v>-8.8000000000000007</v>
      </c>
      <c r="Y271" s="687" t="str">
        <f>INPUT!BV295</f>
        <v>NM</v>
      </c>
      <c r="Z271" s="151">
        <f>INPUT!BW295</f>
        <v>-2.7999999999999989</v>
      </c>
      <c r="AA271" s="687" t="str">
        <f>INPUT!BX295</f>
        <v>NM</v>
      </c>
      <c r="AB271" s="151">
        <f>INPUT!BY295</f>
        <v>-1.0999999999999996</v>
      </c>
      <c r="AC271" s="687" t="str">
        <f>INPUT!BZ295</f>
        <v>NM</v>
      </c>
      <c r="AD271" s="151">
        <f>INPUT!CA295</f>
        <v>-1.4000000000000004</v>
      </c>
      <c r="AE271" s="687" t="str">
        <f>INPUT!CB295</f>
        <v>NM</v>
      </c>
      <c r="AF271" s="151">
        <f>INPUT!CC295</f>
        <v>-8.2000000000000011</v>
      </c>
      <c r="AG271" s="687">
        <f>INPUT!CD295</f>
        <v>-6.8181818181818121</v>
      </c>
      <c r="AH271" s="151">
        <f>INPUT!CE295</f>
        <v>-3.5999999999999996</v>
      </c>
      <c r="AI271" s="507">
        <f>INPUT!CF295</f>
        <v>28.571428571428605</v>
      </c>
      <c r="AJ271" s="151">
        <f>INPUT!CG295</f>
        <v>-2.9000000000000004</v>
      </c>
      <c r="AK271" s="507" t="str">
        <f>INPUT!CH295</f>
        <v>NM</v>
      </c>
      <c r="AL271" s="151">
        <f>INPUT!CI295</f>
        <v>2.3999999999999986</v>
      </c>
      <c r="AM271" s="507" t="str">
        <f>INPUT!CJ295</f>
        <v>NM</v>
      </c>
      <c r="AN271" s="151">
        <f>INPUT!CK295</f>
        <v>-6.8000000000000007</v>
      </c>
      <c r="AO271" s="507">
        <f>INPUT!CL295</f>
        <v>-17.073170731707322</v>
      </c>
      <c r="AP271" s="151">
        <f>INPUT!CM295</f>
        <v>0.69999999999999929</v>
      </c>
      <c r="AQ271" s="507" t="str">
        <f>INPUT!CN295</f>
        <v>NM</v>
      </c>
      <c r="AR271" s="151">
        <f>INPUT!CO295</f>
        <v>-0.5</v>
      </c>
      <c r="AS271" s="507" t="str">
        <f>INPUT!CP295</f>
        <v>NM</v>
      </c>
      <c r="AT271" s="151">
        <f>INPUT!CQ295</f>
        <v>-3.7999999999999989</v>
      </c>
      <c r="AU271" s="507" t="str">
        <f>INPUT!CR295</f>
        <v>NM</v>
      </c>
      <c r="AV271" s="151">
        <f>INPUT!CS295</f>
        <v>-10</v>
      </c>
      <c r="AW271" s="507">
        <f>INPUT!CT295</f>
        <v>47.058823529411754</v>
      </c>
      <c r="AX271" s="151">
        <f>INPUT!CU295</f>
        <v>1</v>
      </c>
      <c r="AY271" s="507">
        <f>INPUT!CV295</f>
        <v>42.857142857142996</v>
      </c>
      <c r="AZ271" s="151">
        <f>INPUT!CW295</f>
        <v>-6</v>
      </c>
      <c r="BA271" s="507" t="str">
        <f>INPUT!CX295</f>
        <v>NM</v>
      </c>
      <c r="BB271" s="151">
        <f>INPUT!CY295</f>
        <v>-5</v>
      </c>
      <c r="BC271" s="507">
        <f>INPUT!CZ295</f>
        <v>31.578947368421083</v>
      </c>
      <c r="BD271" s="151">
        <f>INPUT!DA295</f>
        <v>-17</v>
      </c>
      <c r="BE271" s="507">
        <f>INPUT!DB295</f>
        <v>70</v>
      </c>
      <c r="BF271" s="151">
        <f>INPUT!DC295</f>
        <v>0</v>
      </c>
      <c r="BG271" s="507" t="str">
        <f>INPUT!DD295</f>
        <v>NM</v>
      </c>
      <c r="BH271" s="151">
        <f>INPUT!DE295</f>
        <v>-9</v>
      </c>
      <c r="BI271" s="507">
        <f>INPUT!DF295</f>
        <v>50</v>
      </c>
      <c r="BJ271" s="151">
        <f>INPUT!DG295</f>
        <v>-10</v>
      </c>
      <c r="BK271" s="507">
        <f>INPUT!DH295</f>
        <v>100</v>
      </c>
      <c r="BL271" s="151">
        <f>INPUT!DI295</f>
        <v>-20</v>
      </c>
      <c r="BM271" s="507">
        <f>INPUT!DJ295</f>
        <v>17.647058823529417</v>
      </c>
      <c r="BN271" s="151">
        <f>INPUT!DK295</f>
        <v>3</v>
      </c>
      <c r="BO271" s="507" t="str">
        <f>INPUT!DL295</f>
        <v>NA</v>
      </c>
      <c r="BP271" s="151">
        <f>INPUT!DM295</f>
        <v>-7</v>
      </c>
      <c r="BQ271" s="507">
        <f>INPUT!DN295</f>
        <v>-22.222222222222221</v>
      </c>
      <c r="BR271" s="151">
        <f>INPUT!DO295</f>
        <v>2</v>
      </c>
      <c r="BS271" s="507" t="str">
        <f>INPUT!DP295</f>
        <v>NM</v>
      </c>
      <c r="BT271" s="151">
        <f>INPUT!DQ295</f>
        <v>-16</v>
      </c>
      <c r="BU271" s="507">
        <f>INPUT!DR295</f>
        <v>-19.999999999999996</v>
      </c>
      <c r="BV271" s="151">
        <f>INPUT!DS295</f>
        <v>14</v>
      </c>
      <c r="BW271" s="507" t="str">
        <f>INPUT!DT295</f>
        <v>NM</v>
      </c>
      <c r="BX271" s="151">
        <f>INPUT!DU295</f>
        <v>3</v>
      </c>
      <c r="BY271" s="507" t="str">
        <f>INPUT!DV295</f>
        <v>NM</v>
      </c>
      <c r="BZ271" s="151">
        <f>INPUT!DW295</f>
        <v>1</v>
      </c>
      <c r="CA271" s="507">
        <f>INPUT!DX295</f>
        <v>1</v>
      </c>
      <c r="CB271" s="151">
        <f>INPUT!DY295</f>
        <v>-10</v>
      </c>
      <c r="CC271" s="507">
        <f>INPUT!DZ295</f>
        <v>-37.5</v>
      </c>
      <c r="CD271" s="151">
        <f>INPUT!EA295</f>
        <v>30</v>
      </c>
      <c r="CE271" s="507" t="str">
        <f>INPUT!EB295</f>
        <v>NM</v>
      </c>
      <c r="CF271" s="151">
        <f>INPUT!EC295</f>
        <v>-2</v>
      </c>
      <c r="CG271" s="507" t="str">
        <f>INPUT!ED295</f>
        <v>NM</v>
      </c>
      <c r="CH271" s="151">
        <f>INPUT!EE295</f>
        <v>39</v>
      </c>
      <c r="CI271" s="507" t="str">
        <f>INPUT!EF295</f>
        <v>NM</v>
      </c>
      <c r="CJ271" s="151">
        <f>INPUT!EG295</f>
        <v>-17</v>
      </c>
      <c r="CK271" s="507">
        <f>INPUT!EH295</f>
        <v>70</v>
      </c>
      <c r="CL271" s="151">
        <f>INPUT!EI295</f>
        <v>20</v>
      </c>
      <c r="CM271" s="507">
        <f>INPUT!EJ295</f>
        <v>-33.333333333333336</v>
      </c>
      <c r="CN271" s="151">
        <f>INPUT!EK295</f>
        <v>1</v>
      </c>
      <c r="CO271" s="507" t="str">
        <f>INPUT!EL295</f>
        <v>NM</v>
      </c>
      <c r="CP271" s="151">
        <f>INPUT!EM295</f>
        <v>-2</v>
      </c>
      <c r="CQ271" s="507" t="str">
        <f>INPUT!EN295</f>
        <v>NM</v>
      </c>
      <c r="CR271" s="151">
        <f>INPUT!EO295</f>
        <v>-8</v>
      </c>
      <c r="CS271" s="507" t="str">
        <f>INPUT!EP295</f>
        <v>NM</v>
      </c>
      <c r="CT271" s="151">
        <f>INPUT!EQ295</f>
        <v>10</v>
      </c>
      <c r="CU271" s="507">
        <f>INPUT!ER295</f>
        <v>-50</v>
      </c>
      <c r="CV271" s="151">
        <f>INPUT!ES295</f>
        <v>-2</v>
      </c>
      <c r="CW271" s="507" t="str">
        <f>INPUT!ET295</f>
        <v>NM</v>
      </c>
      <c r="CX271" s="151">
        <f>INPUT!EU295</f>
        <v>-2</v>
      </c>
      <c r="CY271" s="507">
        <f>INPUT!EV295</f>
        <v>0</v>
      </c>
      <c r="CZ271" s="151">
        <f>INPUT!EW295</f>
        <v>-2</v>
      </c>
      <c r="DA271" s="507" t="str">
        <f>INPUT!EX295</f>
        <v>NM</v>
      </c>
      <c r="DB271" s="507"/>
      <c r="DC271" s="151"/>
      <c r="DD271" s="507"/>
      <c r="DE271" s="151">
        <f>INPUT!FR295</f>
        <v>-21.5</v>
      </c>
      <c r="DF271" s="687" t="str">
        <f>INPUT!FS295</f>
        <v>NA</v>
      </c>
      <c r="DG271" s="151">
        <f>INPUT!FT295</f>
        <v>-9.2000000000000028</v>
      </c>
      <c r="DH271" s="687" t="str">
        <f>INPUT!FU295</f>
        <v>NM</v>
      </c>
      <c r="DI271" s="151">
        <f>INPUT!FV295</f>
        <v>5</v>
      </c>
      <c r="DJ271" s="687" t="str">
        <f>INPUT!FW295</f>
        <v>NM</v>
      </c>
      <c r="DK271" s="151">
        <f>INPUT!FX295</f>
        <v>-13.5</v>
      </c>
      <c r="DL271" s="507" t="str">
        <f>INPUT!FY295</f>
        <v>NM</v>
      </c>
      <c r="DM271" s="151">
        <f>INPUT!FZ295</f>
        <v>-10.900000000000002</v>
      </c>
      <c r="DN271" s="507">
        <f>INPUT!GA295</f>
        <v>-19.259259259259242</v>
      </c>
      <c r="DO271" s="151">
        <f>INPUT!GB295</f>
        <v>-13.6</v>
      </c>
      <c r="DP271" s="507">
        <f>INPUT!GC295</f>
        <v>24.770642201834825</v>
      </c>
      <c r="DQ271" s="151">
        <f>INPUT!GD295</f>
        <v>-27</v>
      </c>
      <c r="DR271" s="507">
        <f>INPUT!GE295</f>
        <v>98.529411764705884</v>
      </c>
      <c r="DS271" s="151">
        <f>INPUT!GF295</f>
        <v>-39</v>
      </c>
      <c r="DT271" s="507">
        <f>INPUT!GG295</f>
        <v>44.444444444444443</v>
      </c>
      <c r="DU271" s="151">
        <f>INPUT!GH295</f>
        <v>-18</v>
      </c>
      <c r="DV271" s="507" t="str">
        <f>INPUT!GI295</f>
        <v>NM</v>
      </c>
      <c r="DW271" s="151">
        <f>INPUT!GJ295</f>
        <v>8</v>
      </c>
      <c r="DX271" s="507" t="str">
        <f>INPUT!GK295</f>
        <v>NM</v>
      </c>
      <c r="DY271" s="151">
        <f>INPUT!GL295</f>
        <v>50</v>
      </c>
      <c r="DZ271" s="507" t="str">
        <f>INPUT!GM295</f>
        <v>NM</v>
      </c>
      <c r="EA271" s="151">
        <f>INPUT!GN295</f>
        <v>11</v>
      </c>
      <c r="EB271" s="507" t="str">
        <f>INPUT!GO295</f>
        <v>NM</v>
      </c>
      <c r="EC271" s="151">
        <f>INPUT!GP295</f>
        <v>4</v>
      </c>
      <c r="ED271" s="507" t="str">
        <f>INPUT!GQ295</f>
        <v>NM</v>
      </c>
      <c r="EE271" s="151">
        <f>INPUT!GR295</f>
        <v>4.2</v>
      </c>
      <c r="EF271" s="507">
        <f>INPUT!GS295</f>
        <v>5.0000000000000044</v>
      </c>
      <c r="EG271" s="151">
        <f>INPUT!GT295</f>
        <v>4.41</v>
      </c>
      <c r="EH271" s="507">
        <f>INPUT!GU295</f>
        <v>5.0000000000000044</v>
      </c>
      <c r="EI271" s="151">
        <f>INPUT!GV295</f>
        <v>4.6305000000000005</v>
      </c>
      <c r="EJ271" s="507">
        <f>INPUT!GW295</f>
        <v>5.0000000000000044</v>
      </c>
      <c r="EK271" s="151">
        <f>INPUT!GX295</f>
        <v>4.8620250000000009</v>
      </c>
      <c r="EL271" s="507">
        <f>INPUT!GY295</f>
        <v>5.0000000000000044</v>
      </c>
      <c r="EM271" s="687">
        <f>INPUT!GZ295</f>
        <v>-15.065350193360983</v>
      </c>
    </row>
    <row r="272" spans="1:143" ht="12.75" hidden="1" customHeight="1" outlineLevel="1" x14ac:dyDescent="0.2">
      <c r="A272" s="701" t="str">
        <f>INPUT!B296</f>
        <v>Total Operating and Acquisition Exp</v>
      </c>
      <c r="B272" s="16"/>
      <c r="C272" s="507"/>
      <c r="D272" s="16">
        <f>INPUT!BA296</f>
        <v>72</v>
      </c>
      <c r="E272" s="687">
        <f>INPUT!BB296</f>
        <v>2.5801763809143896</v>
      </c>
      <c r="F272" s="16">
        <f>INPUT!BC296</f>
        <v>74.599999999999994</v>
      </c>
      <c r="G272" s="687">
        <f>INPUT!BD296</f>
        <v>7.0500954266936366</v>
      </c>
      <c r="H272" s="16">
        <f>INPUT!BE296</f>
        <v>69.599999999999994</v>
      </c>
      <c r="I272" s="687">
        <f>INPUT!BF296</f>
        <v>-2.2307130415238685</v>
      </c>
      <c r="J272" s="16">
        <f>INPUT!BG296</f>
        <v>78.3</v>
      </c>
      <c r="K272" s="687" t="str">
        <f>INPUT!BH296</f>
        <v>NA</v>
      </c>
      <c r="L272" s="16">
        <f>INPUT!BI296</f>
        <v>80.7</v>
      </c>
      <c r="M272" s="687">
        <f>INPUT!BJ296</f>
        <v>12.083333333333336</v>
      </c>
      <c r="N272" s="16">
        <f>INPUT!BK296</f>
        <v>81.400000000000006</v>
      </c>
      <c r="O272" s="687">
        <f>INPUT!BL296</f>
        <v>9.1152815013404886</v>
      </c>
      <c r="P272" s="16">
        <f>INPUT!BM296</f>
        <v>85.1</v>
      </c>
      <c r="Q272" s="687">
        <f>INPUT!BN296</f>
        <v>22.270114942528728</v>
      </c>
      <c r="R272" s="16">
        <f>INPUT!BO296</f>
        <v>89.6</v>
      </c>
      <c r="S272" s="687">
        <f>INPUT!BP296</f>
        <v>14.431673052362704</v>
      </c>
      <c r="T272" s="16">
        <f>INPUT!BQ296</f>
        <v>89.3</v>
      </c>
      <c r="U272" s="687">
        <f>INPUT!BR296</f>
        <v>10.656753407682773</v>
      </c>
      <c r="V272" s="16">
        <f>INPUT!BS296</f>
        <v>91.8</v>
      </c>
      <c r="W272" s="687">
        <f>INPUT!BT296</f>
        <v>12.776412776412771</v>
      </c>
      <c r="X272" s="16">
        <f>INPUT!BU296</f>
        <v>100.4</v>
      </c>
      <c r="Y272" s="687">
        <f>INPUT!BV296</f>
        <v>17.978848413631042</v>
      </c>
      <c r="Z272" s="16">
        <f>INPUT!BW296</f>
        <v>99.899999999999991</v>
      </c>
      <c r="AA272" s="687">
        <f>INPUT!BX296</f>
        <v>11.495535714285721</v>
      </c>
      <c r="AB272" s="16">
        <f>INPUT!BY296</f>
        <v>98.5</v>
      </c>
      <c r="AC272" s="687">
        <f>INPUT!BZ296</f>
        <v>10.302351623740202</v>
      </c>
      <c r="AD272" s="16">
        <f>INPUT!CA296</f>
        <v>99.8</v>
      </c>
      <c r="AE272" s="687">
        <f>INPUT!CB296</f>
        <v>8.7145969498910745</v>
      </c>
      <c r="AF272" s="16">
        <f>INPUT!CC296</f>
        <v>106.10000000000001</v>
      </c>
      <c r="AG272" s="687">
        <f>INPUT!CD296</f>
        <v>5.6772908366533814</v>
      </c>
      <c r="AH272" s="16">
        <f>INPUT!CE296</f>
        <v>101.6</v>
      </c>
      <c r="AI272" s="507">
        <f>INPUT!CF296</f>
        <v>1.7017017017016967</v>
      </c>
      <c r="AJ272" s="16">
        <f>INPUT!CG296</f>
        <v>101.3</v>
      </c>
      <c r="AK272" s="507">
        <f>INPUT!CH296</f>
        <v>2.8426395939086246</v>
      </c>
      <c r="AL272" s="16">
        <f>INPUT!CI296</f>
        <v>106.4</v>
      </c>
      <c r="AM272" s="507">
        <f>INPUT!CJ296</f>
        <v>6.6132264529058293</v>
      </c>
      <c r="AN272" s="16">
        <f>INPUT!CK296</f>
        <v>112.8</v>
      </c>
      <c r="AO272" s="507">
        <f>INPUT!CL296</f>
        <v>6.3147973609801955</v>
      </c>
      <c r="AP272" s="16">
        <f>INPUT!CM296</f>
        <v>113.1</v>
      </c>
      <c r="AQ272" s="507">
        <f>INPUT!CN296</f>
        <v>11.318897637795278</v>
      </c>
      <c r="AR272" s="16">
        <f>INPUT!CO296</f>
        <v>115.3</v>
      </c>
      <c r="AS272" s="507">
        <f>INPUT!CP296</f>
        <v>13.820335636722604</v>
      </c>
      <c r="AT272" s="16">
        <f>INPUT!CQ296</f>
        <v>118</v>
      </c>
      <c r="AU272" s="507">
        <f>INPUT!CR296</f>
        <v>10.902255639097746</v>
      </c>
      <c r="AV272" s="16">
        <f>INPUT!CS296</f>
        <v>127</v>
      </c>
      <c r="AW272" s="507">
        <f>INPUT!CT296</f>
        <v>12.588652482269502</v>
      </c>
      <c r="AX272" s="16">
        <f>INPUT!CU296</f>
        <v>129</v>
      </c>
      <c r="AY272" s="507">
        <f>INPUT!CV296</f>
        <v>14.058355437665782</v>
      </c>
      <c r="AZ272" s="16">
        <f>INPUT!CW296</f>
        <v>130</v>
      </c>
      <c r="BA272" s="507">
        <f>INPUT!CX296</f>
        <v>12.749349522983522</v>
      </c>
      <c r="BB272" s="16">
        <f>INPUT!CY296</f>
        <v>133</v>
      </c>
      <c r="BC272" s="507">
        <f>INPUT!CZ296</f>
        <v>12.711864406779672</v>
      </c>
      <c r="BD272" s="16">
        <f>INPUT!DA296</f>
        <v>144</v>
      </c>
      <c r="BE272" s="507">
        <f>INPUT!DB296</f>
        <v>13.385826771653541</v>
      </c>
      <c r="BF272" s="16">
        <f>INPUT!DC296</f>
        <v>144</v>
      </c>
      <c r="BG272" s="507">
        <f>INPUT!DD296</f>
        <v>11.627906976744185</v>
      </c>
      <c r="BH272" s="16">
        <f>INPUT!DE296</f>
        <v>144</v>
      </c>
      <c r="BI272" s="507">
        <f>INPUT!DF296</f>
        <v>10.769230769230775</v>
      </c>
      <c r="BJ272" s="16">
        <f>INPUT!DG296</f>
        <v>143</v>
      </c>
      <c r="BK272" s="507">
        <f>INPUT!DH296</f>
        <v>7.5187969924812137</v>
      </c>
      <c r="BL272" s="16">
        <f>INPUT!DI296</f>
        <v>162</v>
      </c>
      <c r="BM272" s="507">
        <f>INPUT!DJ296</f>
        <v>12.5</v>
      </c>
      <c r="BN272" s="16">
        <f>INPUT!DK296</f>
        <v>157</v>
      </c>
      <c r="BO272" s="507">
        <f>INPUT!DL296</f>
        <v>9.0277777777777679</v>
      </c>
      <c r="BP272" s="16">
        <f>INPUT!DM296</f>
        <v>155</v>
      </c>
      <c r="BQ272" s="507">
        <f>INPUT!DN296</f>
        <v>7.638888888888884</v>
      </c>
      <c r="BR272" s="16">
        <f>INPUT!DO296</f>
        <v>158</v>
      </c>
      <c r="BS272" s="507">
        <f>INPUT!DP296</f>
        <v>10.489510489510479</v>
      </c>
      <c r="BT272" s="16">
        <f>INPUT!DQ296</f>
        <v>166</v>
      </c>
      <c r="BU272" s="507">
        <f>INPUT!DR296</f>
        <v>2.4691358024691468</v>
      </c>
      <c r="BV272" s="16">
        <f>INPUT!DS296</f>
        <v>175</v>
      </c>
      <c r="BW272" s="507">
        <f>INPUT!DT296</f>
        <v>11.464968152866239</v>
      </c>
      <c r="BX272" s="16">
        <f>INPUT!DU296</f>
        <v>166</v>
      </c>
      <c r="BY272" s="507">
        <f>INPUT!DV296</f>
        <v>7.0967741935483941</v>
      </c>
      <c r="BZ272" s="16">
        <f>INPUT!DW296</f>
        <v>158</v>
      </c>
      <c r="CA272" s="507">
        <f>INPUT!DX296</f>
        <v>158</v>
      </c>
      <c r="CB272" s="16">
        <f>INPUT!DY296</f>
        <v>158</v>
      </c>
      <c r="CC272" s="507">
        <f>INPUT!DZ296</f>
        <v>-4.8192771084337398</v>
      </c>
      <c r="CD272" s="16">
        <f>INPUT!EA296</f>
        <v>186</v>
      </c>
      <c r="CE272" s="507">
        <f>INPUT!EB296</f>
        <v>6.2857142857142945</v>
      </c>
      <c r="CF272" s="16">
        <f>INPUT!EC296</f>
        <v>157</v>
      </c>
      <c r="CG272" s="507">
        <f>INPUT!ED296</f>
        <v>-5.4216867469879526</v>
      </c>
      <c r="CH272" s="16">
        <f>INPUT!EE296</f>
        <v>199</v>
      </c>
      <c r="CI272" s="507">
        <f>INPUT!EF296</f>
        <v>25.949367088607602</v>
      </c>
      <c r="CJ272" s="16">
        <f>INPUT!EG296</f>
        <v>167</v>
      </c>
      <c r="CK272" s="507">
        <f>INPUT!EH296</f>
        <v>5.6962025316455778</v>
      </c>
      <c r="CL272" s="16">
        <f>INPUT!EI296</f>
        <v>179</v>
      </c>
      <c r="CM272" s="507">
        <f>INPUT!EJ296</f>
        <v>-3.7634408602150504</v>
      </c>
      <c r="CN272" s="16">
        <f>INPUT!EK296</f>
        <v>162</v>
      </c>
      <c r="CO272" s="507">
        <f>INPUT!EL296</f>
        <v>3.1847133757961776</v>
      </c>
      <c r="CP272" s="16">
        <f>INPUT!EM296</f>
        <v>167</v>
      </c>
      <c r="CQ272" s="507">
        <f>INPUT!EN296</f>
        <v>-16.080402010050253</v>
      </c>
      <c r="CR272" s="16">
        <f>INPUT!EO296</f>
        <v>182</v>
      </c>
      <c r="CS272" s="507">
        <f>INPUT!EP296</f>
        <v>8.9820359281437057</v>
      </c>
      <c r="CT272" s="16">
        <f>INPUT!EQ296</f>
        <v>185.46165000000002</v>
      </c>
      <c r="CU272" s="507">
        <f>INPUT!ER296</f>
        <v>3.6098603351955472</v>
      </c>
      <c r="CV272" s="16">
        <f>INPUT!ES296</f>
        <v>185.29193312499999</v>
      </c>
      <c r="CW272" s="507">
        <f>INPUT!ET296</f>
        <v>14.377736496913563</v>
      </c>
      <c r="CX272" s="16">
        <f>INPUT!EU296</f>
        <v>326.09649470937501</v>
      </c>
      <c r="CY272" s="507">
        <f>INPUT!EV296</f>
        <v>95.267362101422165</v>
      </c>
      <c r="CZ272" s="16">
        <f>INPUT!EW296</f>
        <v>330.80163860839059</v>
      </c>
      <c r="DA272" s="507">
        <f>INPUT!EX296</f>
        <v>81.75914209252231</v>
      </c>
      <c r="DB272" s="507"/>
      <c r="DC272" s="16"/>
      <c r="DD272" s="507"/>
      <c r="DE272" s="16">
        <f>INPUT!FR296</f>
        <v>216.2</v>
      </c>
      <c r="DF272" s="687">
        <f>INPUT!FS296</f>
        <v>-23.909409259682903</v>
      </c>
      <c r="DG272" s="16">
        <f>INPUT!FT296</f>
        <v>325.5</v>
      </c>
      <c r="DH272" s="687">
        <f>INPUT!FU296</f>
        <v>50.555041628122119</v>
      </c>
      <c r="DI272" s="16">
        <f>INPUT!FV296</f>
        <v>371.1</v>
      </c>
      <c r="DJ272" s="687">
        <f>INPUT!FW296</f>
        <v>14.009216589861762</v>
      </c>
      <c r="DK272" s="16">
        <f>INPUT!FX296</f>
        <v>404.3</v>
      </c>
      <c r="DL272" s="507">
        <f>INPUT!FY296</f>
        <v>8.9463756399892134</v>
      </c>
      <c r="DM272" s="16">
        <f>INPUT!FZ296</f>
        <v>422.09999999999997</v>
      </c>
      <c r="DN272" s="507">
        <f>INPUT!GA296</f>
        <v>4.4026712837002213</v>
      </c>
      <c r="DO272" s="16">
        <f>INPUT!GB296</f>
        <v>473.4</v>
      </c>
      <c r="DP272" s="507">
        <f>INPUT!GC296</f>
        <v>12.153518123667384</v>
      </c>
      <c r="DQ272" s="16">
        <f>INPUT!GD296</f>
        <v>536</v>
      </c>
      <c r="DR272" s="507">
        <f>INPUT!GE296</f>
        <v>13.223489649345165</v>
      </c>
      <c r="DS272" s="16">
        <f>INPUT!GF296</f>
        <v>593</v>
      </c>
      <c r="DT272" s="507">
        <f>INPUT!GG296</f>
        <v>10.634328358208943</v>
      </c>
      <c r="DU272" s="16">
        <f>INPUT!GH296</f>
        <v>636</v>
      </c>
      <c r="DV272" s="507">
        <f>INPUT!GI296</f>
        <v>7.2512647554806131</v>
      </c>
      <c r="DW272" s="16">
        <f>INPUT!GJ296</f>
        <v>657</v>
      </c>
      <c r="DX272" s="507">
        <f>INPUT!GK296</f>
        <v>3.3018867924528239</v>
      </c>
      <c r="DY272" s="16">
        <f>INPUT!GL296</f>
        <v>709</v>
      </c>
      <c r="DZ272" s="507">
        <f>INPUT!GM296</f>
        <v>7.9147640791476404</v>
      </c>
      <c r="EA272" s="16">
        <f>INPUT!GN296</f>
        <v>690</v>
      </c>
      <c r="EB272" s="507">
        <f>INPUT!GO296</f>
        <v>-2.6798307475317307</v>
      </c>
      <c r="EC272" s="16">
        <f>INPUT!GP296</f>
        <v>1027.6517164427655</v>
      </c>
      <c r="ED272" s="507">
        <f>INPUT!GQ296</f>
        <v>48.935031368516732</v>
      </c>
      <c r="EE272" s="16">
        <f>INPUT!GR296</f>
        <v>1294.4900941326484</v>
      </c>
      <c r="EF272" s="507">
        <f>INPUT!GS296</f>
        <v>25.965837785348977</v>
      </c>
      <c r="EG272" s="16">
        <f>INPUT!GT296</f>
        <v>1265.7232153592258</v>
      </c>
      <c r="EH272" s="507">
        <f>INPUT!GU296</f>
        <v>-2.2222556127551862</v>
      </c>
      <c r="EI272" s="16">
        <f>INPUT!GV296</f>
        <v>1273.4377263872232</v>
      </c>
      <c r="EJ272" s="507">
        <f>INPUT!GW296</f>
        <v>0.60949431395298515</v>
      </c>
      <c r="EK272" s="16">
        <f>INPUT!GX296</f>
        <v>1281.2185278693844</v>
      </c>
      <c r="EL272" s="507">
        <f>INPUT!GY296</f>
        <v>0.61100761512975499</v>
      </c>
      <c r="EM272" s="687">
        <f>INPUT!GZ296</f>
        <v>13.176125977110376</v>
      </c>
    </row>
    <row r="273" spans="1:143" ht="12.75" hidden="1" customHeight="1" outlineLevel="1" x14ac:dyDescent="0.2">
      <c r="A273" s="701" t="str">
        <f>INPUT!B297</f>
        <v xml:space="preserve"> Total Benefits and Expenses</v>
      </c>
      <c r="B273" s="151"/>
      <c r="C273" s="507"/>
      <c r="D273" s="151">
        <f>INPUT!BA297</f>
        <v>298</v>
      </c>
      <c r="E273" s="687">
        <f>INPUT!BB297</f>
        <v>-1.1073980294487584</v>
      </c>
      <c r="F273" s="151">
        <f>INPUT!BC297</f>
        <v>287.89999999999998</v>
      </c>
      <c r="G273" s="687">
        <f>INPUT!BD297</f>
        <v>1.1116206038863652E-2</v>
      </c>
      <c r="H273" s="151">
        <f>INPUT!BE297</f>
        <v>293.60000000000002</v>
      </c>
      <c r="I273" s="687">
        <f>INPUT!BF297</f>
        <v>-0.40739346203030324</v>
      </c>
      <c r="J273" s="151">
        <f>INPUT!BG297</f>
        <v>324.89999999999998</v>
      </c>
      <c r="K273" s="687" t="str">
        <f>INPUT!BH297</f>
        <v>NA</v>
      </c>
      <c r="L273" s="151">
        <f>INPUT!BI297</f>
        <v>346.4</v>
      </c>
      <c r="M273" s="687">
        <f>INPUT!BJ297</f>
        <v>16.24161073825503</v>
      </c>
      <c r="N273" s="151">
        <f>INPUT!BK297</f>
        <v>316.39999999999998</v>
      </c>
      <c r="O273" s="687">
        <f>INPUT!BL297</f>
        <v>9.8992705800625238</v>
      </c>
      <c r="P273" s="151">
        <f>INPUT!BM297</f>
        <v>337.2</v>
      </c>
      <c r="Q273" s="687">
        <f>INPUT!BN297</f>
        <v>14.850136239781996</v>
      </c>
      <c r="R273" s="151">
        <f>INPUT!BO297</f>
        <v>359</v>
      </c>
      <c r="S273" s="687">
        <f>INPUT!BP297</f>
        <v>10.495537088334883</v>
      </c>
      <c r="T273" s="151">
        <f>INPUT!BQ297</f>
        <v>375.2</v>
      </c>
      <c r="U273" s="687">
        <f>INPUT!BR297</f>
        <v>8.3140877598152372</v>
      </c>
      <c r="V273" s="151">
        <f>INPUT!BS297</f>
        <v>360.8</v>
      </c>
      <c r="W273" s="687">
        <f>INPUT!BT297</f>
        <v>14.03286978508218</v>
      </c>
      <c r="X273" s="151">
        <f>INPUT!BU297</f>
        <v>384.1</v>
      </c>
      <c r="Y273" s="687">
        <f>INPUT!BV297</f>
        <v>13.908659549228952</v>
      </c>
      <c r="Z273" s="151">
        <f>INPUT!BW297</f>
        <v>381.9</v>
      </c>
      <c r="AA273" s="687">
        <f>INPUT!BX297</f>
        <v>6.3788300835654566</v>
      </c>
      <c r="AB273" s="151">
        <f>INPUT!BY297</f>
        <v>391.2</v>
      </c>
      <c r="AC273" s="687">
        <f>INPUT!BZ297</f>
        <v>4.2643923240938131</v>
      </c>
      <c r="AD273" s="151">
        <f>INPUT!CA297</f>
        <v>361.40000000000003</v>
      </c>
      <c r="AE273" s="687">
        <f>INPUT!CB297</f>
        <v>0.1662971175166339</v>
      </c>
      <c r="AF273" s="151">
        <f>INPUT!CC297</f>
        <v>387.20000000000005</v>
      </c>
      <c r="AG273" s="687">
        <f>INPUT!CD297</f>
        <v>0.80708148919552691</v>
      </c>
      <c r="AH273" s="151">
        <f>INPUT!CE297</f>
        <v>412.29999999999995</v>
      </c>
      <c r="AI273" s="507">
        <f>INPUT!CF297</f>
        <v>7.9601990049751103</v>
      </c>
      <c r="AJ273" s="151">
        <f>INPUT!CG297</f>
        <v>435.5</v>
      </c>
      <c r="AK273" s="507">
        <f>INPUT!CH297</f>
        <v>11.324130879345606</v>
      </c>
      <c r="AL273" s="151">
        <f>INPUT!CI297</f>
        <v>436.79999999999995</v>
      </c>
      <c r="AM273" s="507">
        <f>INPUT!CJ297</f>
        <v>20.863309352517966</v>
      </c>
      <c r="AN273" s="151">
        <f>INPUT!CK297</f>
        <v>436.6</v>
      </c>
      <c r="AO273" s="507">
        <f>INPUT!CL297</f>
        <v>12.758264462809921</v>
      </c>
      <c r="AP273" s="151">
        <f>INPUT!CM297</f>
        <v>440.69999999999993</v>
      </c>
      <c r="AQ273" s="507">
        <f>INPUT!CN297</f>
        <v>6.8881882124666394</v>
      </c>
      <c r="AR273" s="151">
        <f>INPUT!CO297</f>
        <v>461.20000000000005</v>
      </c>
      <c r="AS273" s="507">
        <f>INPUT!CP297</f>
        <v>5.9012629161883101</v>
      </c>
      <c r="AT273" s="151">
        <f>INPUT!CQ297</f>
        <v>438.1</v>
      </c>
      <c r="AU273" s="507">
        <f>INPUT!CR297</f>
        <v>0.29761904761906877</v>
      </c>
      <c r="AV273" s="151">
        <f>INPUT!CS297</f>
        <v>450</v>
      </c>
      <c r="AW273" s="507">
        <f>INPUT!CT297</f>
        <v>3.0691708657810235</v>
      </c>
      <c r="AX273" s="151">
        <f>INPUT!CU297</f>
        <v>479</v>
      </c>
      <c r="AY273" s="507">
        <f>INPUT!CV297</f>
        <v>8.690719310188344</v>
      </c>
      <c r="AZ273" s="151">
        <f>INPUT!CW297</f>
        <v>498</v>
      </c>
      <c r="BA273" s="507">
        <f>INPUT!CX297</f>
        <v>7.9791847354726775</v>
      </c>
      <c r="BB273" s="151">
        <f>INPUT!CY297</f>
        <v>493</v>
      </c>
      <c r="BC273" s="507">
        <f>INPUT!CZ297</f>
        <v>12.53138552841817</v>
      </c>
      <c r="BD273" s="151">
        <f>INPUT!DA297</f>
        <v>511</v>
      </c>
      <c r="BE273" s="507">
        <f>INPUT!DB297</f>
        <v>13.555555555555564</v>
      </c>
      <c r="BF273" s="151">
        <f>INPUT!DC297</f>
        <v>528</v>
      </c>
      <c r="BG273" s="507">
        <f>INPUT!DD297</f>
        <v>10.229645093945727</v>
      </c>
      <c r="BH273" s="151">
        <f>INPUT!DE297</f>
        <v>541</v>
      </c>
      <c r="BI273" s="507">
        <f>INPUT!DF297</f>
        <v>8.634538152610439</v>
      </c>
      <c r="BJ273" s="151">
        <f>INPUT!DG297</f>
        <v>525</v>
      </c>
      <c r="BK273" s="507">
        <f>INPUT!DH297</f>
        <v>6.4908722109533468</v>
      </c>
      <c r="BL273" s="151">
        <f>INPUT!DI297</f>
        <v>558</v>
      </c>
      <c r="BM273" s="507">
        <f>INPUT!DJ297</f>
        <v>9.1976516634050931</v>
      </c>
      <c r="BN273" s="151">
        <f>INPUT!DK297</f>
        <v>580</v>
      </c>
      <c r="BO273" s="507">
        <f>INPUT!DL297</f>
        <v>9.8484848484848406</v>
      </c>
      <c r="BP273" s="151">
        <f>INPUT!DM297</f>
        <v>618</v>
      </c>
      <c r="BQ273" s="507">
        <f>INPUT!DN297</f>
        <v>14.232902033271721</v>
      </c>
      <c r="BR273" s="151">
        <f>INPUT!DO297</f>
        <v>586</v>
      </c>
      <c r="BS273" s="507">
        <f>INPUT!DP297</f>
        <v>11.619047619047617</v>
      </c>
      <c r="BT273" s="151">
        <f>INPUT!DQ297</f>
        <v>626</v>
      </c>
      <c r="BU273" s="507">
        <f>INPUT!DR297</f>
        <v>12.186379928315416</v>
      </c>
      <c r="BV273" s="151">
        <f>INPUT!DS297</f>
        <v>615</v>
      </c>
      <c r="BW273" s="507">
        <f>INPUT!DT297</f>
        <v>6.0344827586206851</v>
      </c>
      <c r="BX273" s="151">
        <f>INPUT!DU297</f>
        <v>587</v>
      </c>
      <c r="BY273" s="507">
        <f>INPUT!DV297</f>
        <v>-5.0161812297734638</v>
      </c>
      <c r="BZ273" s="151">
        <f>INPUT!DW297</f>
        <v>544</v>
      </c>
      <c r="CA273" s="507">
        <f>INPUT!DX297</f>
        <v>544</v>
      </c>
      <c r="CB273" s="151">
        <f>INPUT!DY297</f>
        <v>545</v>
      </c>
      <c r="CC273" s="507">
        <f>INPUT!DZ297</f>
        <v>-12.939297124600635</v>
      </c>
      <c r="CD273" s="151">
        <f>INPUT!EA297</f>
        <v>526</v>
      </c>
      <c r="CE273" s="507">
        <f>INPUT!EB297</f>
        <v>-14.471544715447159</v>
      </c>
      <c r="CF273" s="151">
        <f>INPUT!EC297</f>
        <v>502</v>
      </c>
      <c r="CG273" s="507">
        <f>INPUT!ED297</f>
        <v>-14.480408858603067</v>
      </c>
      <c r="CH273" s="151">
        <f>INPUT!EE297</f>
        <v>490</v>
      </c>
      <c r="CI273" s="507">
        <f>INPUT!EF297</f>
        <v>-9.9264705882352917</v>
      </c>
      <c r="CJ273" s="151">
        <f>INPUT!EG297</f>
        <v>512</v>
      </c>
      <c r="CK273" s="507">
        <f>INPUT!EH297</f>
        <v>-6.0550458715596278</v>
      </c>
      <c r="CL273" s="151">
        <f>INPUT!EI297</f>
        <v>530</v>
      </c>
      <c r="CM273" s="507">
        <f>INPUT!EJ297</f>
        <v>0.76045627376426506</v>
      </c>
      <c r="CN273" s="151">
        <f>INPUT!EK297</f>
        <v>488</v>
      </c>
      <c r="CO273" s="507">
        <f>INPUT!EL297</f>
        <v>-2.7888446215139417</v>
      </c>
      <c r="CP273" s="151">
        <f>INPUT!EM297</f>
        <v>501</v>
      </c>
      <c r="CQ273" s="507">
        <f>INPUT!EN297</f>
        <v>2.2448979591836782</v>
      </c>
      <c r="CR273" s="151">
        <f>INPUT!EO297</f>
        <v>523</v>
      </c>
      <c r="CS273" s="507">
        <f>INPUT!EP297</f>
        <v>2.1484375</v>
      </c>
      <c r="CT273" s="151">
        <f>INPUT!EQ297</f>
        <v>539.52480000000003</v>
      </c>
      <c r="CU273" s="507">
        <f>INPUT!ER297</f>
        <v>1.7971320754716968</v>
      </c>
      <c r="CV273" s="151">
        <f>INPUT!ES297</f>
        <v>533.07063837499993</v>
      </c>
      <c r="CW273" s="507">
        <f>INPUT!ET297</f>
        <v>9.2357865522540763</v>
      </c>
      <c r="CX273" s="151">
        <f>INPUT!EU297</f>
        <v>948.18826923187498</v>
      </c>
      <c r="CY273" s="507">
        <f>INPUT!EV297</f>
        <v>89.259135575224562</v>
      </c>
      <c r="CZ273" s="151">
        <f>INPUT!EW297</f>
        <v>961.86937995362791</v>
      </c>
      <c r="DA273" s="507">
        <f>INPUT!EX297</f>
        <v>83.91383937927877</v>
      </c>
      <c r="DB273" s="507"/>
      <c r="DC273" s="151"/>
      <c r="DD273" s="507"/>
      <c r="DE273" s="151">
        <f>INPUT!FR297</f>
        <v>879.5</v>
      </c>
      <c r="DF273" s="687">
        <f>INPUT!FS297</f>
        <v>-23.214195290005012</v>
      </c>
      <c r="DG273" s="151">
        <f>INPUT!FT297</f>
        <v>1324.9</v>
      </c>
      <c r="DH273" s="687">
        <f>INPUT!FU297</f>
        <v>50.642410460488918</v>
      </c>
      <c r="DI273" s="151">
        <f>INPUT!FV297</f>
        <v>1479.1</v>
      </c>
      <c r="DJ273" s="687">
        <f>INPUT!FW297</f>
        <v>11.638614235036581</v>
      </c>
      <c r="DK273" s="151">
        <f>INPUT!FX297</f>
        <v>1521.7</v>
      </c>
      <c r="DL273" s="507">
        <f>INPUT!FY297</f>
        <v>2.8801298086674532</v>
      </c>
      <c r="DM273" s="151">
        <f>INPUT!FZ297</f>
        <v>1721.1999999999998</v>
      </c>
      <c r="DN273" s="507">
        <f>INPUT!GA297</f>
        <v>13.110337122954574</v>
      </c>
      <c r="DO273" s="151">
        <f>INPUT!GB297</f>
        <v>1790</v>
      </c>
      <c r="DP273" s="507">
        <f>INPUT!GC297</f>
        <v>3.9972112479665478</v>
      </c>
      <c r="DQ273" s="151">
        <f>INPUT!GD297</f>
        <v>1981</v>
      </c>
      <c r="DR273" s="507">
        <f>INPUT!GE297</f>
        <v>10.670391061452511</v>
      </c>
      <c r="DS273" s="151">
        <f>INPUT!GF297</f>
        <v>2152</v>
      </c>
      <c r="DT273" s="507">
        <f>INPUT!GG297</f>
        <v>8.6320040383644603</v>
      </c>
      <c r="DU273" s="151">
        <f>INPUT!GH297</f>
        <v>2410</v>
      </c>
      <c r="DV273" s="507">
        <f>INPUT!GI297</f>
        <v>11.988847583643114</v>
      </c>
      <c r="DW273" s="151">
        <f>INPUT!GJ297</f>
        <v>2291</v>
      </c>
      <c r="DX273" s="507">
        <f>INPUT!GK297</f>
        <v>-4.9377593360995897</v>
      </c>
      <c r="DY273" s="151">
        <f>INPUT!GL297</f>
        <v>2030</v>
      </c>
      <c r="DZ273" s="507">
        <f>INPUT!GM297</f>
        <v>-11.392405063291145</v>
      </c>
      <c r="EA273" s="151">
        <f>INPUT!GN297</f>
        <v>2042</v>
      </c>
      <c r="EB273" s="507">
        <f>INPUT!GO297</f>
        <v>0.59113300492610321</v>
      </c>
      <c r="EC273" s="151">
        <f>INPUT!GP297</f>
        <v>2982.6530875605026</v>
      </c>
      <c r="ED273" s="507">
        <f>INPUT!GQ297</f>
        <v>46.065283426077499</v>
      </c>
      <c r="EE273" s="151">
        <f>INPUT!GR297</f>
        <v>3846.7760750052093</v>
      </c>
      <c r="EF273" s="507">
        <f>INPUT!GS297</f>
        <v>28.971622313323351</v>
      </c>
      <c r="EG273" s="151">
        <f>INPUT!GT297</f>
        <v>3817.5845366479875</v>
      </c>
      <c r="EH273" s="507">
        <f>INPUT!GU297</f>
        <v>-0.75885722974353698</v>
      </c>
      <c r="EI273" s="151">
        <f>INPUT!GV297</f>
        <v>3840.8524973292051</v>
      </c>
      <c r="EJ273" s="507">
        <f>INPUT!GW297</f>
        <v>0.60949431395298515</v>
      </c>
      <c r="EK273" s="151">
        <f>INPUT!GX297</f>
        <v>3864.3203985737882</v>
      </c>
      <c r="EL273" s="507">
        <f>INPUT!GY297</f>
        <v>0.61100761512975499</v>
      </c>
      <c r="EM273" s="687">
        <f>INPUT!GZ297</f>
        <v>13.606577870379798</v>
      </c>
    </row>
    <row r="274" spans="1:143" ht="12.75" hidden="1" customHeight="1" outlineLevel="1" x14ac:dyDescent="0.2">
      <c r="A274" s="701"/>
      <c r="B274" s="151"/>
      <c r="C274" s="507"/>
      <c r="D274" s="151"/>
      <c r="E274" s="687"/>
      <c r="F274" s="151"/>
      <c r="G274" s="687"/>
      <c r="H274" s="151"/>
      <c r="I274" s="687"/>
      <c r="J274" s="151"/>
      <c r="K274" s="687"/>
      <c r="L274" s="151"/>
      <c r="M274" s="687"/>
      <c r="N274" s="151"/>
      <c r="O274" s="687"/>
      <c r="P274" s="151"/>
      <c r="Q274" s="687"/>
      <c r="R274" s="151"/>
      <c r="S274" s="687"/>
      <c r="T274" s="151"/>
      <c r="U274" s="687"/>
      <c r="V274" s="151"/>
      <c r="W274" s="687"/>
      <c r="X274" s="151"/>
      <c r="Y274" s="687"/>
      <c r="Z274" s="151"/>
      <c r="AA274" s="687"/>
      <c r="AB274" s="151"/>
      <c r="AC274" s="687"/>
      <c r="AD274" s="151"/>
      <c r="AE274" s="687"/>
      <c r="AF274" s="151"/>
      <c r="AG274" s="687"/>
      <c r="AH274" s="151"/>
      <c r="AI274" s="507"/>
      <c r="AJ274" s="151"/>
      <c r="AK274" s="507"/>
      <c r="AL274" s="151"/>
      <c r="AM274" s="507"/>
      <c r="AN274" s="151"/>
      <c r="AO274" s="507"/>
      <c r="AP274" s="151"/>
      <c r="AQ274" s="507"/>
      <c r="AR274" s="151"/>
      <c r="AS274" s="507"/>
      <c r="AT274" s="151"/>
      <c r="AU274" s="507"/>
      <c r="AV274" s="151"/>
      <c r="AW274" s="507"/>
      <c r="AX274" s="151"/>
      <c r="AY274" s="507"/>
      <c r="AZ274" s="151"/>
      <c r="BA274" s="507"/>
      <c r="BB274" s="151"/>
      <c r="BC274" s="507"/>
      <c r="BD274" s="151"/>
      <c r="BE274" s="507"/>
      <c r="BF274" s="151"/>
      <c r="BG274" s="507"/>
      <c r="BH274" s="151"/>
      <c r="BI274" s="507"/>
      <c r="BJ274" s="151"/>
      <c r="BK274" s="507"/>
      <c r="BL274" s="151"/>
      <c r="BM274" s="507"/>
      <c r="BN274" s="151"/>
      <c r="BO274" s="507"/>
      <c r="BP274" s="151"/>
      <c r="BQ274" s="507"/>
      <c r="BR274" s="151"/>
      <c r="BS274" s="507"/>
      <c r="BT274" s="151"/>
      <c r="BU274" s="507"/>
      <c r="BV274" s="151"/>
      <c r="BW274" s="507"/>
      <c r="BX274" s="151"/>
      <c r="BY274" s="507"/>
      <c r="BZ274" s="151"/>
      <c r="CA274" s="507"/>
      <c r="CB274" s="151"/>
      <c r="CC274" s="507"/>
      <c r="CD274" s="151"/>
      <c r="CE274" s="507"/>
      <c r="CF274" s="151"/>
      <c r="CG274" s="507"/>
      <c r="CH274" s="151"/>
      <c r="CI274" s="507"/>
      <c r="CJ274" s="151"/>
      <c r="CK274" s="507"/>
      <c r="CL274" s="151"/>
      <c r="CM274" s="507"/>
      <c r="CN274" s="151"/>
      <c r="CO274" s="507"/>
      <c r="CP274" s="151"/>
      <c r="CQ274" s="507"/>
      <c r="CR274" s="151"/>
      <c r="CS274" s="507"/>
      <c r="CT274" s="151"/>
      <c r="CU274" s="507"/>
      <c r="CV274" s="151"/>
      <c r="CW274" s="507"/>
      <c r="CX274" s="151"/>
      <c r="CY274" s="507"/>
      <c r="CZ274" s="151"/>
      <c r="DA274" s="507"/>
      <c r="DB274" s="507"/>
      <c r="DC274" s="151"/>
      <c r="DD274" s="507"/>
      <c r="DE274" s="151"/>
      <c r="DF274" s="687"/>
      <c r="DG274" s="151"/>
      <c r="DH274" s="687"/>
      <c r="DI274" s="151"/>
      <c r="DJ274" s="687"/>
      <c r="DK274" s="151"/>
      <c r="DL274" s="507"/>
      <c r="DM274" s="151"/>
      <c r="DN274" s="507"/>
      <c r="DO274" s="151"/>
      <c r="DP274" s="507"/>
      <c r="DQ274" s="151"/>
      <c r="DR274" s="507"/>
      <c r="DS274" s="151"/>
      <c r="DT274" s="507"/>
      <c r="DU274" s="151"/>
      <c r="DV274" s="507"/>
      <c r="DW274" s="151"/>
      <c r="DX274" s="507"/>
      <c r="DY274" s="151"/>
      <c r="DZ274" s="507"/>
      <c r="EA274" s="151"/>
      <c r="EB274" s="507"/>
      <c r="EC274" s="151"/>
      <c r="ED274" s="507"/>
      <c r="EE274" s="151"/>
      <c r="EF274" s="507"/>
      <c r="EG274" s="151"/>
      <c r="EH274" s="507"/>
      <c r="EI274" s="151"/>
      <c r="EJ274" s="507"/>
      <c r="EK274" s="151"/>
      <c r="EL274" s="507"/>
      <c r="EM274" s="687"/>
    </row>
    <row r="275" spans="1:143" ht="12.75" hidden="1" customHeight="1" outlineLevel="1" x14ac:dyDescent="0.2">
      <c r="A275" s="701" t="str">
        <f>INPUT!B306</f>
        <v>Pretax Earnings</v>
      </c>
      <c r="B275" s="151"/>
      <c r="C275" s="507"/>
      <c r="D275" s="151">
        <f>INPUT!BA306</f>
        <v>56.800000000000011</v>
      </c>
      <c r="E275" s="687">
        <f>INPUT!BB306</f>
        <v>73.012488577520671</v>
      </c>
      <c r="F275" s="151">
        <f>INPUT!BC306</f>
        <v>44.300000000000068</v>
      </c>
      <c r="G275" s="687">
        <f>INPUT!BD306</f>
        <v>92.541724617524793</v>
      </c>
      <c r="H275" s="151">
        <f>INPUT!BE306</f>
        <v>51.099999999999966</v>
      </c>
      <c r="I275" s="687">
        <f>INPUT!BF306</f>
        <v>99.321293443070431</v>
      </c>
      <c r="J275" s="151">
        <f>INPUT!BG306</f>
        <v>35.400000000000034</v>
      </c>
      <c r="K275" s="687" t="str">
        <f>INPUT!BH306</f>
        <v>NA</v>
      </c>
      <c r="L275" s="151">
        <f>INPUT!BI306</f>
        <v>44.600000000000023</v>
      </c>
      <c r="M275" s="687">
        <f>INPUT!BJ306</f>
        <v>-21.478873239436592</v>
      </c>
      <c r="N275" s="151">
        <f>INPUT!BK306</f>
        <v>51.100000000000023</v>
      </c>
      <c r="O275" s="687">
        <f>INPUT!BL306</f>
        <v>15.349887133182726</v>
      </c>
      <c r="P275" s="151">
        <f>INPUT!BM306</f>
        <v>43.399999999999977</v>
      </c>
      <c r="Q275" s="687">
        <f>INPUT!BN306</f>
        <v>-15.068493150684914</v>
      </c>
      <c r="R275" s="151">
        <f>INPUT!BO306</f>
        <v>40.299999999999955</v>
      </c>
      <c r="S275" s="687">
        <f>INPUT!BP306</f>
        <v>13.841807909604276</v>
      </c>
      <c r="T275" s="151">
        <f>INPUT!BQ306</f>
        <v>49.699999999999989</v>
      </c>
      <c r="U275" s="687">
        <f>INPUT!BR306</f>
        <v>11.434977578475248</v>
      </c>
      <c r="V275" s="151">
        <f>INPUT!BS306</f>
        <v>42</v>
      </c>
      <c r="W275" s="687">
        <f>INPUT!BT306</f>
        <v>-17.808219178082229</v>
      </c>
      <c r="X275" s="151">
        <f>INPUT!BU306</f>
        <v>28.399999999999977</v>
      </c>
      <c r="Y275" s="687">
        <f>INPUT!BV306</f>
        <v>-34.56221198156684</v>
      </c>
      <c r="Z275" s="151">
        <f>INPUT!BW306</f>
        <v>39.500000000000057</v>
      </c>
      <c r="AA275" s="687">
        <f>INPUT!BX306</f>
        <v>-1.9851116625307696</v>
      </c>
      <c r="AB275" s="151">
        <f>INPUT!BY306</f>
        <v>51.700000000000045</v>
      </c>
      <c r="AC275" s="687">
        <f>INPUT!BZ306</f>
        <v>4.0241448692154069</v>
      </c>
      <c r="AD275" s="151">
        <f>INPUT!CA306</f>
        <v>53.20999999999998</v>
      </c>
      <c r="AE275" s="687">
        <f>INPUT!CB306</f>
        <v>26.690476190476133</v>
      </c>
      <c r="AF275" s="151">
        <f>INPUT!CC306</f>
        <v>46.39999999999992</v>
      </c>
      <c r="AG275" s="687">
        <f>INPUT!CD306</f>
        <v>63.380281690140691</v>
      </c>
      <c r="AH275" s="151">
        <f>INPUT!CE306</f>
        <v>32.900000000000034</v>
      </c>
      <c r="AI275" s="507">
        <f>INPUT!CF306</f>
        <v>-16.708860759493703</v>
      </c>
      <c r="AJ275" s="151">
        <f>INPUT!CG306</f>
        <v>34.600000000000023</v>
      </c>
      <c r="AK275" s="507">
        <f>INPUT!CH306</f>
        <v>-33.075435203094791</v>
      </c>
      <c r="AL275" s="151">
        <f>INPUT!CI306</f>
        <v>14.700000000000045</v>
      </c>
      <c r="AM275" s="507" t="str">
        <f>INPUT!CJ306</f>
        <v>NM</v>
      </c>
      <c r="AN275" s="151">
        <f>INPUT!CK306</f>
        <v>27.699999999999989</v>
      </c>
      <c r="AO275" s="507">
        <f>INPUT!CL306</f>
        <v>-40.301724137930961</v>
      </c>
      <c r="AP275" s="151">
        <f>INPUT!CM306</f>
        <v>37.200000000000102</v>
      </c>
      <c r="AQ275" s="507">
        <f>INPUT!CN306</f>
        <v>13.069908814589869</v>
      </c>
      <c r="AR275" s="151">
        <f>INPUT!CO306</f>
        <v>39.39999999999992</v>
      </c>
      <c r="AS275" s="507">
        <f>INPUT!CP306</f>
        <v>13.8728323699419</v>
      </c>
      <c r="AT275" s="151">
        <f>INPUT!CQ306</f>
        <v>41.299999999999955</v>
      </c>
      <c r="AU275" s="507" t="str">
        <f>INPUT!CR306</f>
        <v>NM</v>
      </c>
      <c r="AV275" s="151">
        <f>INPUT!CS306</f>
        <v>31</v>
      </c>
      <c r="AW275" s="507">
        <f>INPUT!CT306</f>
        <v>11.913357400722058</v>
      </c>
      <c r="AX275" s="151">
        <f>INPUT!CU306</f>
        <v>25</v>
      </c>
      <c r="AY275" s="507">
        <f>INPUT!CV306</f>
        <v>-32.795698924731362</v>
      </c>
      <c r="AZ275" s="151">
        <f>INPUT!CW306</f>
        <v>42</v>
      </c>
      <c r="BA275" s="507">
        <f>INPUT!CX306</f>
        <v>6.5989847715738126</v>
      </c>
      <c r="BB275" s="151">
        <f>INPUT!CY306</f>
        <v>24</v>
      </c>
      <c r="BC275" s="507">
        <f>INPUT!CZ306</f>
        <v>-41.88861985472149</v>
      </c>
      <c r="BD275" s="151">
        <f>INPUT!DA306</f>
        <v>20</v>
      </c>
      <c r="BE275" s="507">
        <f>INPUT!DB306</f>
        <v>-35.483870967741936</v>
      </c>
      <c r="BF275" s="151">
        <f>INPUT!DC306</f>
        <v>22</v>
      </c>
      <c r="BG275" s="507">
        <f>INPUT!DD306</f>
        <v>-12</v>
      </c>
      <c r="BH275" s="151">
        <f>INPUT!DE306</f>
        <v>34</v>
      </c>
      <c r="BI275" s="507">
        <f>INPUT!DF306</f>
        <v>-19.047619047619047</v>
      </c>
      <c r="BJ275" s="151">
        <f>INPUT!DG306</f>
        <v>36</v>
      </c>
      <c r="BK275" s="507">
        <f>INPUT!DH306</f>
        <v>50</v>
      </c>
      <c r="BL275" s="151">
        <f>INPUT!DI306</f>
        <v>17</v>
      </c>
      <c r="BM275" s="507">
        <f>INPUT!DJ306</f>
        <v>-15.000000000000002</v>
      </c>
      <c r="BN275" s="151">
        <f>INPUT!DK306</f>
        <v>30</v>
      </c>
      <c r="BO275" s="507">
        <f>INPUT!DL306</f>
        <v>36.363636363636353</v>
      </c>
      <c r="BP275" s="151">
        <f>INPUT!DM306</f>
        <v>3</v>
      </c>
      <c r="BQ275" s="507" t="str">
        <f>INPUT!DN306</f>
        <v>NM</v>
      </c>
      <c r="BR275" s="151">
        <f>INPUT!DO306</f>
        <v>12</v>
      </c>
      <c r="BS275" s="507" t="str">
        <f>INPUT!DP306</f>
        <v>NM</v>
      </c>
      <c r="BT275" s="151">
        <f>INPUT!DQ306</f>
        <v>-10</v>
      </c>
      <c r="BU275" s="507" t="str">
        <f>INPUT!DR306</f>
        <v>NM</v>
      </c>
      <c r="BV275" s="151">
        <f>INPUT!DS306</f>
        <v>-10</v>
      </c>
      <c r="BW275" s="507" t="str">
        <f>INPUT!DT306</f>
        <v>NM</v>
      </c>
      <c r="BX275" s="151">
        <f>INPUT!DU306</f>
        <v>30</v>
      </c>
      <c r="BY275" s="507" t="str">
        <f>INPUT!DV306</f>
        <v>NM</v>
      </c>
      <c r="BZ275" s="151">
        <f>INPUT!DW306</f>
        <v>26</v>
      </c>
      <c r="CA275" s="507">
        <f>INPUT!DX306</f>
        <v>26</v>
      </c>
      <c r="CB275" s="151">
        <f>INPUT!DY306</f>
        <v>20</v>
      </c>
      <c r="CC275" s="507" t="str">
        <f>INPUT!DZ306</f>
        <v>NM</v>
      </c>
      <c r="CD275" s="151">
        <f>INPUT!EA306</f>
        <v>8</v>
      </c>
      <c r="CE275" s="507" t="str">
        <f>INPUT!EB306</f>
        <v>NM</v>
      </c>
      <c r="CF275" s="151">
        <f>INPUT!EC306</f>
        <v>23</v>
      </c>
      <c r="CG275" s="507">
        <f>INPUT!ED306</f>
        <v>-23.333333333333329</v>
      </c>
      <c r="CH275" s="151">
        <f>INPUT!EE306</f>
        <v>44</v>
      </c>
      <c r="CI275" s="507">
        <f>INPUT!EF306</f>
        <v>69.230769230769226</v>
      </c>
      <c r="CJ275" s="151">
        <f>INPUT!EG306</f>
        <v>25</v>
      </c>
      <c r="CK275" s="507">
        <f>INPUT!EH306</f>
        <v>25</v>
      </c>
      <c r="CL275" s="151">
        <f>INPUT!EI306</f>
        <v>11</v>
      </c>
      <c r="CM275" s="507">
        <f>INPUT!EJ306</f>
        <v>37.5</v>
      </c>
      <c r="CN275" s="151">
        <f>INPUT!EK306</f>
        <v>53</v>
      </c>
      <c r="CO275" s="507" t="str">
        <f>INPUT!EL306</f>
        <v>NM</v>
      </c>
      <c r="CP275" s="151">
        <f>INPUT!EM306</f>
        <v>63</v>
      </c>
      <c r="CQ275" s="507">
        <f>INPUT!EN306</f>
        <v>43.181818181818187</v>
      </c>
      <c r="CR275" s="151">
        <f>INPUT!EO306</f>
        <v>31</v>
      </c>
      <c r="CS275" s="507">
        <f>INPUT!EP306</f>
        <v>24</v>
      </c>
      <c r="CT275" s="151">
        <f>INPUT!EQ306</f>
        <v>22.480199999999968</v>
      </c>
      <c r="CU275" s="507" t="str">
        <f>INPUT!ER306</f>
        <v>NM</v>
      </c>
      <c r="CV275" s="151">
        <f>INPUT!ES306</f>
        <v>37.058386625000026</v>
      </c>
      <c r="CW275" s="507">
        <f>INPUT!ET306</f>
        <v>-30.078515801886741</v>
      </c>
      <c r="CX275" s="151">
        <f>INPUT!EU306</f>
        <v>55.185560643124973</v>
      </c>
      <c r="CY275" s="507">
        <f>INPUT!EV306</f>
        <v>-12.403871995039728</v>
      </c>
      <c r="CZ275" s="151">
        <f>INPUT!EW306</f>
        <v>55.981815764496901</v>
      </c>
      <c r="DA275" s="507">
        <f>INPUT!EX306</f>
        <v>80.586502466119029</v>
      </c>
      <c r="DB275" s="507"/>
      <c r="DC275" s="151"/>
      <c r="DD275" s="507"/>
      <c r="DE275" s="151">
        <f>INPUT!FR306</f>
        <v>152.20000000000005</v>
      </c>
      <c r="DF275" s="687">
        <f>INPUT!FS306</f>
        <v>14.077560748924366</v>
      </c>
      <c r="DG275" s="151">
        <f>INPUT!FT306</f>
        <v>174.49999999999977</v>
      </c>
      <c r="DH275" s="687">
        <f>INPUT!FU306</f>
        <v>14.651773981602979</v>
      </c>
      <c r="DI275" s="151">
        <f>INPUT!FV306</f>
        <v>160.40000000000009</v>
      </c>
      <c r="DJ275" s="687">
        <f>INPUT!FW306</f>
        <v>-8.0802292263608582</v>
      </c>
      <c r="DK275" s="151">
        <f>INPUT!FX306</f>
        <v>190.80999999999995</v>
      </c>
      <c r="DL275" s="507">
        <f>INPUT!FY306</f>
        <v>18.958852867830323</v>
      </c>
      <c r="DM275" s="151">
        <f>INPUT!FZ306</f>
        <v>109.90000000000009</v>
      </c>
      <c r="DN275" s="507">
        <f>INPUT!GA306</f>
        <v>-42.403437974948844</v>
      </c>
      <c r="DO275" s="151">
        <f>INPUT!GB306</f>
        <v>148.90000000000009</v>
      </c>
      <c r="DP275" s="507">
        <f>INPUT!GC306</f>
        <v>35.486806187443108</v>
      </c>
      <c r="DQ275" s="151">
        <f>INPUT!GD306</f>
        <v>111</v>
      </c>
      <c r="DR275" s="507">
        <f>INPUT!GE306</f>
        <v>-25.453324378777754</v>
      </c>
      <c r="DS275" s="151">
        <f>INPUT!GF306</f>
        <v>109</v>
      </c>
      <c r="DT275" s="507">
        <f>INPUT!GG306</f>
        <v>-1.8018018018018056</v>
      </c>
      <c r="DU275" s="151">
        <f>INPUT!GH306</f>
        <v>35</v>
      </c>
      <c r="DV275" s="507" t="str">
        <f>INPUT!GI306</f>
        <v>NM</v>
      </c>
      <c r="DW275" s="151">
        <f>INPUT!GJ306</f>
        <v>66</v>
      </c>
      <c r="DX275" s="507">
        <f>INPUT!GK306</f>
        <v>88.571428571428569</v>
      </c>
      <c r="DY275" s="151">
        <f>INPUT!GL306</f>
        <v>100</v>
      </c>
      <c r="DZ275" s="507">
        <f>INPUT!GM306</f>
        <v>51.515151515151516</v>
      </c>
      <c r="EA275" s="151">
        <f>INPUT!GN306</f>
        <v>158</v>
      </c>
      <c r="EB275" s="507">
        <f>INPUT!GO306</f>
        <v>58.000000000000007</v>
      </c>
      <c r="EC275" s="151">
        <f>INPUT!GP306</f>
        <v>170.70596303262209</v>
      </c>
      <c r="ED275" s="507">
        <f>INPUT!GQ306</f>
        <v>8.0417487548241073</v>
      </c>
      <c r="EE275" s="151">
        <f>INPUT!GR306</f>
        <v>230.35807974329009</v>
      </c>
      <c r="EF275" s="507">
        <f>INPUT!GS306</f>
        <v>34.94436611992775</v>
      </c>
      <c r="EG275" s="151">
        <f>INPUT!GT306</f>
        <v>265.39357741403137</v>
      </c>
      <c r="EH275" s="507">
        <f>INPUT!GU306</f>
        <v>15.209146434014675</v>
      </c>
      <c r="EI275" s="151">
        <f>INPUT!GV306</f>
        <v>267.01113617796636</v>
      </c>
      <c r="EJ275" s="507">
        <f>INPUT!GW306</f>
        <v>0.60949431395300735</v>
      </c>
      <c r="EK275" s="151">
        <f>INPUT!GX306</f>
        <v>268.64259455325828</v>
      </c>
      <c r="EL275" s="507">
        <f>INPUT!GY306</f>
        <v>0.61100761512977719</v>
      </c>
      <c r="EM275" s="687">
        <f>INPUT!GZ306</f>
        <v>11.199685064663534</v>
      </c>
    </row>
    <row r="276" spans="1:143" ht="12.75" hidden="1" customHeight="1" outlineLevel="1" x14ac:dyDescent="0.2">
      <c r="A276" s="701" t="str">
        <f>INPUT!B307</f>
        <v>Taxes</v>
      </c>
      <c r="B276" s="151"/>
      <c r="C276" s="507"/>
      <c r="D276" s="151">
        <f>INPUT!BA307</f>
        <v>19.899999999999999</v>
      </c>
      <c r="E276" s="687">
        <f>INPUT!BB307</f>
        <v>73.179009659733694</v>
      </c>
      <c r="F276" s="151">
        <f>INPUT!BC307</f>
        <v>15.5</v>
      </c>
      <c r="G276" s="687">
        <f>INPUT!BD307</f>
        <v>92.49875807252856</v>
      </c>
      <c r="H276" s="151">
        <f>INPUT!BE307</f>
        <v>17.899999999999999</v>
      </c>
      <c r="I276" s="687">
        <f>INPUT!BF307</f>
        <v>99.487350941713999</v>
      </c>
      <c r="J276" s="151">
        <f>INPUT!BG307</f>
        <v>12.4</v>
      </c>
      <c r="K276" s="687" t="str">
        <f>INPUT!BH307</f>
        <v>NA</v>
      </c>
      <c r="L276" s="151">
        <f>INPUT!BI307</f>
        <v>15.7</v>
      </c>
      <c r="M276" s="687">
        <f>INPUT!BJ307</f>
        <v>-21.105527638190956</v>
      </c>
      <c r="N276" s="151">
        <f>INPUT!BK307</f>
        <v>17.899999999999999</v>
      </c>
      <c r="O276" s="687">
        <f>INPUT!BL307</f>
        <v>15.483870967741931</v>
      </c>
      <c r="P276" s="151">
        <f>INPUT!BM307</f>
        <v>15.2</v>
      </c>
      <c r="Q276" s="687">
        <f>INPUT!BN307</f>
        <v>-15.083798882681565</v>
      </c>
      <c r="R276" s="151">
        <f>INPUT!BO307</f>
        <v>14.2</v>
      </c>
      <c r="S276" s="687">
        <f>INPUT!BP307</f>
        <v>14.516129032258052</v>
      </c>
      <c r="T276" s="151">
        <f>INPUT!BQ307</f>
        <v>17.399999999999999</v>
      </c>
      <c r="U276" s="687">
        <f>INPUT!BR307</f>
        <v>10.828025477707005</v>
      </c>
      <c r="V276" s="151">
        <f>INPUT!BS307</f>
        <v>14.5</v>
      </c>
      <c r="W276" s="687">
        <f>INPUT!BT307</f>
        <v>-18.99441340782122</v>
      </c>
      <c r="X276" s="151">
        <f>INPUT!BU307</f>
        <v>10</v>
      </c>
      <c r="Y276" s="687">
        <f>INPUT!BV307</f>
        <v>-34.210526315789465</v>
      </c>
      <c r="Z276" s="151">
        <f>INPUT!BW307</f>
        <v>13.8</v>
      </c>
      <c r="AA276" s="687">
        <f>INPUT!BX307</f>
        <v>-2.8169014084506894</v>
      </c>
      <c r="AB276" s="151">
        <f>INPUT!BY307</f>
        <v>18.100000000000001</v>
      </c>
      <c r="AC276" s="687">
        <f>INPUT!BZ307</f>
        <v>4.0229885057471382</v>
      </c>
      <c r="AD276" s="151">
        <f>INPUT!CA307</f>
        <v>18.7</v>
      </c>
      <c r="AE276" s="687">
        <f>INPUT!CB307</f>
        <v>28.965517241379303</v>
      </c>
      <c r="AF276" s="151">
        <f>INPUT!CC307</f>
        <v>16.3</v>
      </c>
      <c r="AG276" s="687">
        <f>INPUT!CD307</f>
        <v>63.000000000000014</v>
      </c>
      <c r="AH276" s="151">
        <f>INPUT!CE307</f>
        <v>11.6</v>
      </c>
      <c r="AI276" s="507">
        <f>INPUT!CF307</f>
        <v>-15.94202898550725</v>
      </c>
      <c r="AJ276" s="151">
        <f>INPUT!CG307</f>
        <v>11.9</v>
      </c>
      <c r="AK276" s="507">
        <f>INPUT!CH307</f>
        <v>-34.254143646408842</v>
      </c>
      <c r="AL276" s="151">
        <f>INPUT!CI307</f>
        <v>5.2</v>
      </c>
      <c r="AM276" s="507" t="str">
        <f>INPUT!CJ307</f>
        <v>NM</v>
      </c>
      <c r="AN276" s="151">
        <f>INPUT!CK307</f>
        <v>9.6999999999999993</v>
      </c>
      <c r="AO276" s="507">
        <f>INPUT!CL307</f>
        <v>-40.490797546012281</v>
      </c>
      <c r="AP276" s="151">
        <f>INPUT!CM307</f>
        <v>13.1</v>
      </c>
      <c r="AQ276" s="507">
        <f>INPUT!CN307</f>
        <v>12.93103448275863</v>
      </c>
      <c r="AR276" s="151">
        <f>INPUT!CO307</f>
        <v>13.8</v>
      </c>
      <c r="AS276" s="507">
        <f>INPUT!CP307</f>
        <v>15.96638655462186</v>
      </c>
      <c r="AT276" s="151">
        <f>INPUT!CQ307</f>
        <v>14.5</v>
      </c>
      <c r="AU276" s="507" t="str">
        <f>INPUT!CR307</f>
        <v>NM</v>
      </c>
      <c r="AV276" s="151">
        <f>INPUT!CS307</f>
        <v>11</v>
      </c>
      <c r="AW276" s="507">
        <f>INPUT!CT307</f>
        <v>13.402061855670123</v>
      </c>
      <c r="AX276" s="151">
        <f>INPUT!CU307</f>
        <v>9</v>
      </c>
      <c r="AY276" s="507">
        <f>INPUT!CV307</f>
        <v>-31.297709923664119</v>
      </c>
      <c r="AZ276" s="151">
        <f>INPUT!CW307</f>
        <v>15</v>
      </c>
      <c r="BA276" s="507">
        <f>INPUT!CX307</f>
        <v>8.6956521739130377</v>
      </c>
      <c r="BB276" s="151">
        <f>INPUT!CY307</f>
        <v>8</v>
      </c>
      <c r="BC276" s="507">
        <f>INPUT!CZ307</f>
        <v>-44.827586206896555</v>
      </c>
      <c r="BD276" s="151">
        <f>INPUT!DA307</f>
        <v>7</v>
      </c>
      <c r="BE276" s="507">
        <f>INPUT!DB307</f>
        <v>-36.363636363636367</v>
      </c>
      <c r="BF276" s="151">
        <f>INPUT!DC307</f>
        <v>8</v>
      </c>
      <c r="BG276" s="507">
        <f>INPUT!DD307</f>
        <v>-11.111111111111116</v>
      </c>
      <c r="BH276" s="151">
        <f>INPUT!DE307</f>
        <v>12</v>
      </c>
      <c r="BI276" s="507">
        <f>INPUT!DF307</f>
        <v>-19.999999999999996</v>
      </c>
      <c r="BJ276" s="151">
        <f>INPUT!DG307</f>
        <v>13</v>
      </c>
      <c r="BK276" s="507">
        <f>INPUT!DH307</f>
        <v>62.5</v>
      </c>
      <c r="BL276" s="151">
        <f>INPUT!DI307</f>
        <v>6</v>
      </c>
      <c r="BM276" s="507">
        <f>INPUT!DJ307</f>
        <v>-14.28571428571429</v>
      </c>
      <c r="BN276" s="151">
        <f>INPUT!DK307</f>
        <v>10</v>
      </c>
      <c r="BO276" s="507">
        <f>INPUT!DL307</f>
        <v>25</v>
      </c>
      <c r="BP276" s="151">
        <f>INPUT!DM307</f>
        <v>1</v>
      </c>
      <c r="BQ276" s="507" t="str">
        <f>INPUT!DN307</f>
        <v>NM</v>
      </c>
      <c r="BR276" s="151">
        <f>INPUT!DO307</f>
        <v>4</v>
      </c>
      <c r="BS276" s="507" t="str">
        <f>INPUT!DP307</f>
        <v>NM</v>
      </c>
      <c r="BT276" s="151">
        <f>INPUT!DQ307</f>
        <v>-3</v>
      </c>
      <c r="BU276" s="507" t="str">
        <f>INPUT!DR307</f>
        <v>NM</v>
      </c>
      <c r="BV276" s="151">
        <f>INPUT!DS307</f>
        <v>-4</v>
      </c>
      <c r="BW276" s="507" t="str">
        <f>INPUT!DT307</f>
        <v>NM</v>
      </c>
      <c r="BX276" s="151">
        <f>INPUT!DU307</f>
        <v>11</v>
      </c>
      <c r="BY276" s="507" t="str">
        <f>INPUT!DV307</f>
        <v>NM</v>
      </c>
      <c r="BZ276" s="151">
        <f>INPUT!DW307</f>
        <v>9</v>
      </c>
      <c r="CA276" s="507">
        <f>INPUT!DX307</f>
        <v>9</v>
      </c>
      <c r="CB276" s="151">
        <f>INPUT!DY307</f>
        <v>7</v>
      </c>
      <c r="CC276" s="507" t="str">
        <f>INPUT!DZ307</f>
        <v>NM</v>
      </c>
      <c r="CD276" s="151">
        <f>INPUT!EA307</f>
        <v>3</v>
      </c>
      <c r="CE276" s="507" t="str">
        <f>INPUT!EB307</f>
        <v>NM</v>
      </c>
      <c r="CF276" s="151">
        <f>INPUT!EC307</f>
        <v>8</v>
      </c>
      <c r="CG276" s="507">
        <f>INPUT!ED307</f>
        <v>-27.27272727272727</v>
      </c>
      <c r="CH276" s="151">
        <f>INPUT!EE307</f>
        <v>16</v>
      </c>
      <c r="CI276" s="507">
        <f>INPUT!EF307</f>
        <v>77.777777777777771</v>
      </c>
      <c r="CJ276" s="151">
        <f>INPUT!EG307</f>
        <v>9</v>
      </c>
      <c r="CK276" s="507">
        <f>INPUT!EH307</f>
        <v>28.57142857142858</v>
      </c>
      <c r="CL276" s="151">
        <f>INPUT!EI307</f>
        <v>4</v>
      </c>
      <c r="CM276" s="507">
        <f>INPUT!EJ307</f>
        <v>33.333333333333329</v>
      </c>
      <c r="CN276" s="151">
        <f>INPUT!EK307</f>
        <v>18</v>
      </c>
      <c r="CO276" s="507" t="str">
        <f>INPUT!EL307</f>
        <v>NM</v>
      </c>
      <c r="CP276" s="151">
        <f>INPUT!EM307</f>
        <v>22</v>
      </c>
      <c r="CQ276" s="507">
        <f>INPUT!EN307</f>
        <v>37.5</v>
      </c>
      <c r="CR276" s="151">
        <f>INPUT!EO307</f>
        <v>11</v>
      </c>
      <c r="CS276" s="507">
        <f>INPUT!EP307</f>
        <v>22.222222222222232</v>
      </c>
      <c r="CT276" s="151">
        <f>INPUT!EQ307</f>
        <v>4.7208419999999931</v>
      </c>
      <c r="CU276" s="507">
        <f>INPUT!ER307</f>
        <v>18.021049999999828</v>
      </c>
      <c r="CV276" s="151">
        <f>INPUT!ES307</f>
        <v>7.7822611912500053</v>
      </c>
      <c r="CW276" s="507" t="str">
        <f>INPUT!ET307</f>
        <v>NM</v>
      </c>
      <c r="CX276" s="151">
        <f>INPUT!EU307</f>
        <v>11.588967735056244</v>
      </c>
      <c r="CY276" s="507">
        <f>INPUT!EV307</f>
        <v>-47.322873931562526</v>
      </c>
      <c r="CZ276" s="151">
        <f>INPUT!EW307</f>
        <v>11.756181310544349</v>
      </c>
      <c r="DA276" s="507">
        <f>INPUT!EX307</f>
        <v>6.8743755504031778</v>
      </c>
      <c r="DB276" s="507"/>
      <c r="DC276" s="151"/>
      <c r="DD276" s="507"/>
      <c r="DE276" s="151">
        <f>INPUT!FR307</f>
        <v>53.3</v>
      </c>
      <c r="DF276" s="687">
        <f>INPUT!FS307</f>
        <v>14.142538975501108</v>
      </c>
      <c r="DG276" s="151">
        <f>INPUT!FT307</f>
        <v>61.2</v>
      </c>
      <c r="DH276" s="687">
        <f>INPUT!FU307</f>
        <v>14.821763602251426</v>
      </c>
      <c r="DI276" s="151">
        <f>INPUT!FV307</f>
        <v>56.099999999999994</v>
      </c>
      <c r="DJ276" s="687">
        <f>INPUT!FW307</f>
        <v>-8.3333333333333481</v>
      </c>
      <c r="DK276" s="151">
        <f>INPUT!FX307</f>
        <v>66.900000000000006</v>
      </c>
      <c r="DL276" s="507">
        <f>INPUT!FY307</f>
        <v>19.251336898395756</v>
      </c>
      <c r="DM276" s="151">
        <f>INPUT!FZ307</f>
        <v>38.4</v>
      </c>
      <c r="DN276" s="507">
        <f>INPUT!GA307</f>
        <v>-42.600896860986559</v>
      </c>
      <c r="DO276" s="151">
        <f>INPUT!GB307</f>
        <v>52.4</v>
      </c>
      <c r="DP276" s="507">
        <f>INPUT!GC307</f>
        <v>36.458333333333329</v>
      </c>
      <c r="DQ276" s="151">
        <f>INPUT!GD307</f>
        <v>39</v>
      </c>
      <c r="DR276" s="507">
        <f>INPUT!GE307</f>
        <v>-25.572519083969457</v>
      </c>
      <c r="DS276" s="151">
        <f>INPUT!GF307</f>
        <v>39</v>
      </c>
      <c r="DT276" s="507">
        <f>INPUT!GG307</f>
        <v>0</v>
      </c>
      <c r="DU276" s="151">
        <f>INPUT!GH307</f>
        <v>12</v>
      </c>
      <c r="DV276" s="507" t="str">
        <f>INPUT!GI307</f>
        <v>NM</v>
      </c>
      <c r="DW276" s="151">
        <f>INPUT!GJ307</f>
        <v>23</v>
      </c>
      <c r="DX276" s="507">
        <f>INPUT!GK307</f>
        <v>91.666666666666671</v>
      </c>
      <c r="DY276" s="151">
        <f>INPUT!GL307</f>
        <v>36</v>
      </c>
      <c r="DZ276" s="507">
        <f>INPUT!GM307</f>
        <v>56.521739130434788</v>
      </c>
      <c r="EA276" s="151">
        <f>INPUT!GN307</f>
        <v>55</v>
      </c>
      <c r="EB276" s="507">
        <f>INPUT!GO307</f>
        <v>52.777777777777771</v>
      </c>
      <c r="EC276" s="151">
        <f>INPUT!GP307</f>
        <v>35.848252236850591</v>
      </c>
      <c r="ED276" s="507">
        <f>INPUT!GQ307</f>
        <v>-34.821359569362563</v>
      </c>
      <c r="EE276" s="151">
        <f>INPUT!GR307</f>
        <v>48.37519674609085</v>
      </c>
      <c r="EF276" s="507">
        <f>INPUT!GS307</f>
        <v>34.94436611992775</v>
      </c>
      <c r="EG276" s="151">
        <f>INPUT!GT307</f>
        <v>55.732651256946511</v>
      </c>
      <c r="EH276" s="507">
        <f>INPUT!GU307</f>
        <v>15.209146434014675</v>
      </c>
      <c r="EI276" s="151">
        <f>INPUT!GV307</f>
        <v>56.072338597372863</v>
      </c>
      <c r="EJ276" s="507">
        <f>INPUT!GW307</f>
        <v>0.60949431395300735</v>
      </c>
      <c r="EK276" s="151">
        <f>INPUT!GX307</f>
        <v>56.414944856184164</v>
      </c>
      <c r="EL276" s="507">
        <f>INPUT!GY307</f>
        <v>0.61100761512977719</v>
      </c>
      <c r="EM276" s="687">
        <f>INPUT!GZ307</f>
        <v>0.50931095902007062</v>
      </c>
    </row>
    <row r="277" spans="1:143" ht="12.75" hidden="1" customHeight="1" outlineLevel="1" x14ac:dyDescent="0.2">
      <c r="A277" s="701" t="str">
        <f>INPUT!B308</f>
        <v>Tax Rate (%)</v>
      </c>
      <c r="B277" s="156"/>
      <c r="C277" s="507"/>
      <c r="D277" s="156">
        <f>INPUT!BA308</f>
        <v>35.035211267605625</v>
      </c>
      <c r="E277" s="687">
        <f>INPUT!BB308</f>
        <v>9.62480128354537E-2</v>
      </c>
      <c r="F277" s="156">
        <f>INPUT!BC308</f>
        <v>34.988713318284368</v>
      </c>
      <c r="G277" s="687">
        <f>INPUT!BD308</f>
        <v>-2.231544621383863E-2</v>
      </c>
      <c r="H277" s="156">
        <f>INPUT!BE308</f>
        <v>35.02935420743642</v>
      </c>
      <c r="I277" s="687">
        <f>INPUT!BF308</f>
        <v>8.331146952496038E-2</v>
      </c>
      <c r="J277" s="156">
        <f>INPUT!BG308</f>
        <v>35.028248587570587</v>
      </c>
      <c r="K277" s="687" t="str">
        <f>INPUT!BH308</f>
        <v>NA</v>
      </c>
      <c r="L277" s="156">
        <f>INPUT!BI308</f>
        <v>35.201793721973075</v>
      </c>
      <c r="M277" s="687">
        <f>INPUT!BJ308</f>
        <v>0.47547152804376935</v>
      </c>
      <c r="N277" s="156">
        <f>INPUT!BK308</f>
        <v>35.029354207436384</v>
      </c>
      <c r="O277" s="687">
        <f>INPUT!BL308</f>
        <v>0.11615428318931809</v>
      </c>
      <c r="P277" s="156">
        <f>INPUT!BM308</f>
        <v>35.023041474654391</v>
      </c>
      <c r="Q277" s="687">
        <f>INPUT!BN308</f>
        <v>-1.8021265092826866E-2</v>
      </c>
      <c r="R277" s="156">
        <f>INPUT!BO308</f>
        <v>35.235732009925599</v>
      </c>
      <c r="S277" s="687">
        <f>INPUT!BP308</f>
        <v>0.59233170575543337</v>
      </c>
      <c r="T277" s="156">
        <f>INPUT!BQ308</f>
        <v>35.010060362173043</v>
      </c>
      <c r="U277" s="687">
        <f>INPUT!BR308</f>
        <v>-0.54466928962302319</v>
      </c>
      <c r="V277" s="156">
        <f>INPUT!BS308</f>
        <v>34.523809523809526</v>
      </c>
      <c r="W277" s="687">
        <f>INPUT!BT308</f>
        <v>-1.4432029795157786</v>
      </c>
      <c r="X277" s="156">
        <f>INPUT!BU308</f>
        <v>35.211267605633836</v>
      </c>
      <c r="Y277" s="687">
        <f>INPUT!BV308</f>
        <v>0.53743513713868651</v>
      </c>
      <c r="Z277" s="156">
        <f>INPUT!BW308</f>
        <v>34.936708860759445</v>
      </c>
      <c r="AA277" s="687">
        <f>INPUT!BX308</f>
        <v>-0.84863612052084036</v>
      </c>
      <c r="AB277" s="156">
        <f>INPUT!BY308</f>
        <v>35.009671179883917</v>
      </c>
      <c r="AC277" s="687">
        <f>INPUT!BZ308</f>
        <v>-1.1116298718194528E-3</v>
      </c>
      <c r="AD277" s="156">
        <f>INPUT!CA308</f>
        <v>35.143769968051132</v>
      </c>
      <c r="AE277" s="687">
        <f>INPUT!CB308</f>
        <v>1.7957474936653339</v>
      </c>
      <c r="AF277" s="156">
        <f>INPUT!CC308</f>
        <v>35.129310344827644</v>
      </c>
      <c r="AG277" s="687">
        <f>INPUT!CD308</f>
        <v>-0.23275862068958819</v>
      </c>
      <c r="AH277" s="156">
        <f>INPUT!CE308</f>
        <v>35.258358662613944</v>
      </c>
      <c r="AI277" s="507">
        <f>INPUT!CF308</f>
        <v>0.92066428791686139</v>
      </c>
      <c r="AJ277" s="156">
        <f>INPUT!CG308</f>
        <v>34.393063583815007</v>
      </c>
      <c r="AK277" s="507">
        <f>INPUT!CH308</f>
        <v>-1.761249321368108</v>
      </c>
      <c r="AL277" s="156">
        <f>INPUT!CI308</f>
        <v>35.374149659863832</v>
      </c>
      <c r="AM277" s="507">
        <f>INPUT!CJ308</f>
        <v>0.65553494124885869</v>
      </c>
      <c r="AN277" s="156">
        <f>INPUT!CK308</f>
        <v>35.018050541516253</v>
      </c>
      <c r="AO277" s="507">
        <f>INPUT!CL308</f>
        <v>-0.31671502292321962</v>
      </c>
      <c r="AP277" s="156">
        <f>INPUT!CM308</f>
        <v>35.215053763440764</v>
      </c>
      <c r="AQ277" s="507">
        <f>INPUT!CN308</f>
        <v>-0.1228216536894533</v>
      </c>
      <c r="AR277" s="156">
        <f>INPUT!CO308</f>
        <v>35.025380710659974</v>
      </c>
      <c r="AS277" s="507">
        <f>INPUT!CP308</f>
        <v>1.8385018982215007</v>
      </c>
      <c r="AT277" s="156">
        <f>INPUT!CQ308</f>
        <v>35.108958837772434</v>
      </c>
      <c r="AU277" s="507">
        <f>INPUT!CR308</f>
        <v>-0.74967405475837579</v>
      </c>
      <c r="AV277" s="156">
        <f>INPUT!CS308</f>
        <v>35.483870967741936</v>
      </c>
      <c r="AW277" s="507">
        <f>INPUT!CT308</f>
        <v>1.3302294645826107</v>
      </c>
      <c r="AX277" s="156">
        <f>INPUT!CU308</f>
        <v>36</v>
      </c>
      <c r="AY277" s="507">
        <f>INPUT!CV308</f>
        <v>2.2290076335880649</v>
      </c>
      <c r="AZ277" s="156">
        <f>INPUT!CW308</f>
        <v>35.714285714285715</v>
      </c>
      <c r="BA277" s="507">
        <f>INPUT!CX308</f>
        <v>1.9668737060039243</v>
      </c>
      <c r="BB277" s="156">
        <f>INPUT!CY308</f>
        <v>33.333333333333329</v>
      </c>
      <c r="BC277" s="507">
        <f>INPUT!CZ308</f>
        <v>-5.0574712643679298</v>
      </c>
      <c r="BD277" s="156">
        <f>INPUT!DA308</f>
        <v>35</v>
      </c>
      <c r="BE277" s="507">
        <f>INPUT!DB308</f>
        <v>-1.3636363636363669</v>
      </c>
      <c r="BF277" s="156">
        <f>INPUT!DC308</f>
        <v>36.363636363636367</v>
      </c>
      <c r="BG277" s="507">
        <f>INPUT!DD308</f>
        <v>1.0101010101010166</v>
      </c>
      <c r="BH277" s="156">
        <f>INPUT!DE308</f>
        <v>35.294117647058826</v>
      </c>
      <c r="BI277" s="507">
        <f>INPUT!DF308</f>
        <v>-1.1764705882352899</v>
      </c>
      <c r="BJ277" s="156">
        <f>INPUT!DG308</f>
        <v>36.111111111111107</v>
      </c>
      <c r="BK277" s="507">
        <f>INPUT!DH308</f>
        <v>8.333333333333325</v>
      </c>
      <c r="BL277" s="156">
        <f>INPUT!DI308</f>
        <v>35.294117647058826</v>
      </c>
      <c r="BM277" s="507">
        <f>INPUT!DJ308</f>
        <v>0.84033613445377853</v>
      </c>
      <c r="BN277" s="156">
        <f>INPUT!DK308</f>
        <v>33.333333333333329</v>
      </c>
      <c r="BO277" s="507">
        <f>INPUT!DL308</f>
        <v>-8.3333333333333588</v>
      </c>
      <c r="BP277" s="156">
        <f>INPUT!DM308</f>
        <v>33.333333333333329</v>
      </c>
      <c r="BQ277" s="507">
        <f>INPUT!DN308</f>
        <v>-5.5555555555555802</v>
      </c>
      <c r="BR277" s="156">
        <f>INPUT!DO308</f>
        <v>33.333333333333329</v>
      </c>
      <c r="BS277" s="507">
        <f>INPUT!DP308</f>
        <v>-7.6923076923076987</v>
      </c>
      <c r="BT277" s="156">
        <f>INPUT!DQ308</f>
        <v>30</v>
      </c>
      <c r="BU277" s="507">
        <f>INPUT!DR308</f>
        <v>-15.000000000000002</v>
      </c>
      <c r="BV277" s="156">
        <f>INPUT!DS308</f>
        <v>40</v>
      </c>
      <c r="BW277" s="507">
        <f>INPUT!DT308</f>
        <v>20.000000000000018</v>
      </c>
      <c r="BX277" s="156">
        <f>INPUT!DU308</f>
        <v>36.666666666666664</v>
      </c>
      <c r="BY277" s="507">
        <f>INPUT!DV308</f>
        <v>10.000000000000009</v>
      </c>
      <c r="BZ277" s="156">
        <f>INPUT!DW308</f>
        <v>34.615384615384613</v>
      </c>
      <c r="CA277" s="507">
        <f>INPUT!DX308</f>
        <v>34.615384615384613</v>
      </c>
      <c r="CB277" s="156">
        <f>INPUT!DY308</f>
        <v>35</v>
      </c>
      <c r="CC277" s="507">
        <f>INPUT!DZ308</f>
        <v>16.666666666666675</v>
      </c>
      <c r="CD277" s="156">
        <f>INPUT!EA308</f>
        <v>37.5</v>
      </c>
      <c r="CE277" s="507">
        <f>INPUT!EB308</f>
        <v>-6.25</v>
      </c>
      <c r="CF277" s="156">
        <f>INPUT!EC308</f>
        <v>34.782608695652172</v>
      </c>
      <c r="CG277" s="507">
        <f>INPUT!ED308</f>
        <v>-5.1383399209486207</v>
      </c>
      <c r="CH277" s="156">
        <f>INPUT!EE308</f>
        <v>36.363636363636367</v>
      </c>
      <c r="CI277" s="507">
        <f>INPUT!EF308</f>
        <v>5.0505050505050608</v>
      </c>
      <c r="CJ277" s="156">
        <f>INPUT!EG308</f>
        <v>36</v>
      </c>
      <c r="CK277" s="507">
        <f>INPUT!EH308</f>
        <v>2.857142857142847</v>
      </c>
      <c r="CL277" s="156">
        <f>INPUT!EI308</f>
        <v>36.363636363636367</v>
      </c>
      <c r="CM277" s="507">
        <f>INPUT!EJ308</f>
        <v>-3.0303030303030165</v>
      </c>
      <c r="CN277" s="156">
        <f>INPUT!EK308</f>
        <v>33.962264150943398</v>
      </c>
      <c r="CO277" s="507">
        <f>INPUT!EL308</f>
        <v>-2.3584905660377298</v>
      </c>
      <c r="CP277" s="156">
        <f>INPUT!EM308</f>
        <v>34.920634920634917</v>
      </c>
      <c r="CQ277" s="507">
        <f>INPUT!EN308</f>
        <v>-3.9682539682539875</v>
      </c>
      <c r="CR277" s="156">
        <f>INPUT!EO308</f>
        <v>35.483870967741936</v>
      </c>
      <c r="CS277" s="507">
        <f>INPUT!EP308</f>
        <v>-1.4336917562724039</v>
      </c>
      <c r="CT277" s="156">
        <f>INPUT!EQ308</f>
        <v>21</v>
      </c>
      <c r="CU277" s="507">
        <f>INPUT!ER308</f>
        <v>-42.250000000000007</v>
      </c>
      <c r="CV277" s="156">
        <f>INPUT!ES308</f>
        <v>21</v>
      </c>
      <c r="CW277" s="507">
        <f>INPUT!ET308</f>
        <v>-38.166666666666671</v>
      </c>
      <c r="CX277" s="156">
        <f>INPUT!EU308</f>
        <v>21</v>
      </c>
      <c r="CY277" s="507">
        <f>INPUT!EV308</f>
        <v>-39.86363636363636</v>
      </c>
      <c r="CZ277" s="156">
        <f>INPUT!EW308</f>
        <v>21</v>
      </c>
      <c r="DA277" s="507">
        <f>INPUT!EX308</f>
        <v>-40.81818181818182</v>
      </c>
      <c r="DB277" s="507"/>
      <c r="DC277" s="156"/>
      <c r="DD277" s="507"/>
      <c r="DE277" s="156">
        <f>INPUT!FR308</f>
        <v>35.019710906701697</v>
      </c>
      <c r="DF277" s="687">
        <f>INPUT!FS308</f>
        <v>5.6959691415348068E-2</v>
      </c>
      <c r="DG277" s="156">
        <f>INPUT!FT308</f>
        <v>35.071633237822397</v>
      </c>
      <c r="DH277" s="687">
        <f>INPUT!FU308</f>
        <v>0.14826601869737388</v>
      </c>
      <c r="DI277" s="156">
        <f>INPUT!FV308</f>
        <v>34.97506234413963</v>
      </c>
      <c r="DJ277" s="687">
        <f>INPUT!FW308</f>
        <v>-0.27535328345821286</v>
      </c>
      <c r="DK277" s="156">
        <f>INPUT!FX308</f>
        <v>35.061055500235852</v>
      </c>
      <c r="DL277" s="507">
        <f>INPUT!FY308</f>
        <v>0.24586991511290623</v>
      </c>
      <c r="DM277" s="156">
        <f>INPUT!FZ308</f>
        <v>34.940855323020898</v>
      </c>
      <c r="DN277" s="507">
        <f>INPUT!GA308</f>
        <v>-0.34283102861563108</v>
      </c>
      <c r="DO277" s="156">
        <f>INPUT!GB308</f>
        <v>35.191403626595005</v>
      </c>
      <c r="DP277" s="507">
        <f>INPUT!GC308</f>
        <v>0.71706402507276668</v>
      </c>
      <c r="DQ277" s="156">
        <f>INPUT!GD308</f>
        <v>35.135135135135137</v>
      </c>
      <c r="DR277" s="507">
        <f>INPUT!GE308</f>
        <v>-0.15989271714454967</v>
      </c>
      <c r="DS277" s="156">
        <f>INPUT!GF308</f>
        <v>35.779816513761467</v>
      </c>
      <c r="DT277" s="507">
        <f>INPUT!GG308</f>
        <v>1.8348623853210899</v>
      </c>
      <c r="DU277" s="156">
        <f>INPUT!GH308</f>
        <v>34.285714285714285</v>
      </c>
      <c r="DV277" s="507">
        <f>INPUT!GI308</f>
        <v>-4.1758241758241716</v>
      </c>
      <c r="DW277" s="156">
        <f>INPUT!GJ308</f>
        <v>34.848484848484851</v>
      </c>
      <c r="DX277" s="507">
        <f>INPUT!GK308</f>
        <v>1.6414141414141437</v>
      </c>
      <c r="DY277" s="156">
        <f>INPUT!GL308</f>
        <v>36</v>
      </c>
      <c r="DZ277" s="507">
        <f>INPUT!GM308</f>
        <v>3.3043478260869508</v>
      </c>
      <c r="EA277" s="156">
        <f>INPUT!GN308</f>
        <v>34.810126582278485</v>
      </c>
      <c r="EB277" s="507">
        <f>INPUT!GO308</f>
        <v>-3.3052039381153198</v>
      </c>
      <c r="EC277" s="156">
        <f>INPUT!GP308</f>
        <v>20.999999999999972</v>
      </c>
      <c r="ED277" s="507">
        <f>INPUT!GQ308</f>
        <v>-39.672727272727357</v>
      </c>
      <c r="EE277" s="156">
        <f>INPUT!GR308</f>
        <v>20.999999999999972</v>
      </c>
      <c r="EF277" s="507">
        <f>INPUT!GS308</f>
        <v>0</v>
      </c>
      <c r="EG277" s="156">
        <f>INPUT!GT308</f>
        <v>20.999999999999972</v>
      </c>
      <c r="EH277" s="507">
        <f>INPUT!GU308</f>
        <v>0</v>
      </c>
      <c r="EI277" s="156">
        <f>INPUT!GV308</f>
        <v>20.999999999999972</v>
      </c>
      <c r="EJ277" s="507">
        <f>INPUT!GW308</f>
        <v>0</v>
      </c>
      <c r="EK277" s="156">
        <f>INPUT!GX308</f>
        <v>20.999999999999972</v>
      </c>
      <c r="EL277" s="507">
        <f>INPUT!GY308</f>
        <v>0</v>
      </c>
      <c r="EM277" s="687">
        <f>INPUT!GZ308</f>
        <v>-9.6136730058425268</v>
      </c>
    </row>
    <row r="278" spans="1:143" ht="12.75" hidden="1" customHeight="1" outlineLevel="1" x14ac:dyDescent="0.2">
      <c r="A278" s="707" t="str">
        <f>INPUT!B309</f>
        <v>Operating Earnings</v>
      </c>
      <c r="B278" s="708"/>
      <c r="C278" s="757"/>
      <c r="D278" s="708">
        <f>INPUT!BA309</f>
        <v>36.900000000000013</v>
      </c>
      <c r="E278" s="709">
        <f>INPUT!BB309</f>
        <v>72.922817376634512</v>
      </c>
      <c r="F278" s="708">
        <f>INPUT!BC309</f>
        <v>28.800000000000068</v>
      </c>
      <c r="G278" s="709">
        <f>INPUT!BD309</f>
        <v>92.564856913613951</v>
      </c>
      <c r="H278" s="708">
        <f>INPUT!BE309</f>
        <v>33.199999999999967</v>
      </c>
      <c r="I278" s="709">
        <f>INPUT!BF309</f>
        <v>99.231877100335836</v>
      </c>
      <c r="J278" s="708">
        <f>INPUT!BG309</f>
        <v>23.000000000000036</v>
      </c>
      <c r="K278" s="709">
        <f>INPUT!BH309</f>
        <v>-22.03389830508462</v>
      </c>
      <c r="L278" s="708">
        <f>INPUT!BI309</f>
        <v>28.900000000000023</v>
      </c>
      <c r="M278" s="709">
        <f>INPUT!BJ309</f>
        <v>-21.680216802167983</v>
      </c>
      <c r="N278" s="708">
        <f>INPUT!BK309</f>
        <v>33.200000000000024</v>
      </c>
      <c r="O278" s="709">
        <f>INPUT!BL309</f>
        <v>15.27777777777759</v>
      </c>
      <c r="P278" s="708">
        <f>INPUT!BM309</f>
        <v>28.199999999999978</v>
      </c>
      <c r="Q278" s="709">
        <f>INPUT!BN309</f>
        <v>-15.06024096385541</v>
      </c>
      <c r="R278" s="708">
        <f>INPUT!BO309</f>
        <v>26.099999999999955</v>
      </c>
      <c r="S278" s="709">
        <f>INPUT!BP309</f>
        <v>13.478260869564851</v>
      </c>
      <c r="T278" s="708">
        <f>INPUT!BQ309</f>
        <v>32.29999999999999</v>
      </c>
      <c r="U278" s="709">
        <f>INPUT!BR309</f>
        <v>11.764705882352811</v>
      </c>
      <c r="V278" s="708">
        <f>INPUT!BS309</f>
        <v>27.5</v>
      </c>
      <c r="W278" s="709">
        <f>INPUT!BT309</f>
        <v>-17.16867469879524</v>
      </c>
      <c r="X278" s="708">
        <f>INPUT!BU309</f>
        <v>18.399999999999977</v>
      </c>
      <c r="Y278" s="709">
        <f>INPUT!BV309</f>
        <v>-34.751773049645415</v>
      </c>
      <c r="Z278" s="708">
        <f>INPUT!BW309</f>
        <v>25.700000000000056</v>
      </c>
      <c r="AA278" s="709">
        <f>INPUT!BX309</f>
        <v>-1.5325670498080424</v>
      </c>
      <c r="AB278" s="708">
        <f>INPUT!BY309</f>
        <v>33.600000000000044</v>
      </c>
      <c r="AC278" s="709">
        <f>INPUT!BZ309</f>
        <v>4.0247678018577426</v>
      </c>
      <c r="AD278" s="708">
        <f>INPUT!CA309</f>
        <v>34.509999999999977</v>
      </c>
      <c r="AE278" s="709">
        <f>INPUT!CB309</f>
        <v>25.490909090909007</v>
      </c>
      <c r="AF278" s="708">
        <f>INPUT!CC309</f>
        <v>30.09999999999992</v>
      </c>
      <c r="AG278" s="709">
        <f>INPUT!CD309</f>
        <v>63.586956521738891</v>
      </c>
      <c r="AH278" s="708">
        <f>INPUT!CE309</f>
        <v>21.300000000000033</v>
      </c>
      <c r="AI278" s="759">
        <f>INPUT!CF309</f>
        <v>-17.120622568093435</v>
      </c>
      <c r="AJ278" s="708">
        <f>INPUT!CG309</f>
        <v>22.700000000000024</v>
      </c>
      <c r="AK278" s="759">
        <f>INPUT!CH309</f>
        <v>-32.440476190476211</v>
      </c>
      <c r="AL278" s="708">
        <f>INPUT!CI309</f>
        <v>9.5000000000000462</v>
      </c>
      <c r="AM278" s="759" t="str">
        <f>INPUT!CJ309</f>
        <v>NM</v>
      </c>
      <c r="AN278" s="708">
        <f>INPUT!CK309</f>
        <v>17.999999999999989</v>
      </c>
      <c r="AO278" s="759">
        <f>INPUT!CL309</f>
        <v>-40.199335548172634</v>
      </c>
      <c r="AP278" s="708">
        <f>INPUT!CM309</f>
        <v>24.100000000000101</v>
      </c>
      <c r="AQ278" s="759">
        <f>INPUT!CN309</f>
        <v>13.145539906103586</v>
      </c>
      <c r="AR278" s="708">
        <f>INPUT!CO309</f>
        <v>25.59999999999992</v>
      </c>
      <c r="AS278" s="759">
        <f>INPUT!CP309</f>
        <v>12.775330396475294</v>
      </c>
      <c r="AT278" s="708">
        <f>INPUT!CQ309</f>
        <v>26.799999999999955</v>
      </c>
      <c r="AU278" s="759" t="str">
        <f>INPUT!CR309</f>
        <v>NM</v>
      </c>
      <c r="AV278" s="708">
        <f>INPUT!CS309</f>
        <v>20</v>
      </c>
      <c r="AW278" s="759">
        <f>INPUT!CT309</f>
        <v>11.111111111111182</v>
      </c>
      <c r="AX278" s="708">
        <f>INPUT!CU309</f>
        <v>16</v>
      </c>
      <c r="AY278" s="759">
        <f>INPUT!CV309</f>
        <v>-33.609958506224345</v>
      </c>
      <c r="AZ278" s="708">
        <f>INPUT!CW309</f>
        <v>27</v>
      </c>
      <c r="BA278" s="759">
        <f>INPUT!CX309</f>
        <v>5.4687500000003331</v>
      </c>
      <c r="BB278" s="708">
        <f>INPUT!CY309</f>
        <v>16</v>
      </c>
      <c r="BC278" s="759">
        <f>INPUT!CZ309</f>
        <v>-40.298507462686459</v>
      </c>
      <c r="BD278" s="708">
        <f>INPUT!DA309</f>
        <v>13</v>
      </c>
      <c r="BE278" s="759">
        <f>INPUT!DB309</f>
        <v>-35</v>
      </c>
      <c r="BF278" s="708">
        <f>INPUT!DC309</f>
        <v>14</v>
      </c>
      <c r="BG278" s="759">
        <f>INPUT!DD309</f>
        <v>-12.5</v>
      </c>
      <c r="BH278" s="708">
        <f>INPUT!DE309</f>
        <v>22</v>
      </c>
      <c r="BI278" s="759">
        <f>INPUT!DF309</f>
        <v>-18.518518518518523</v>
      </c>
      <c r="BJ278" s="708">
        <f>INPUT!DG309</f>
        <v>23</v>
      </c>
      <c r="BK278" s="759">
        <f>INPUT!DH309</f>
        <v>43.75</v>
      </c>
      <c r="BL278" s="708">
        <f>INPUT!DI309</f>
        <v>11</v>
      </c>
      <c r="BM278" s="759">
        <f>INPUT!DJ309</f>
        <v>-15.384615384615385</v>
      </c>
      <c r="BN278" s="708">
        <f>INPUT!DK309</f>
        <v>20</v>
      </c>
      <c r="BO278" s="759">
        <f>INPUT!DL309</f>
        <v>42.857142857142861</v>
      </c>
      <c r="BP278" s="708">
        <f>INPUT!DM309</f>
        <v>2</v>
      </c>
      <c r="BQ278" s="759" t="str">
        <f>INPUT!DN309</f>
        <v>NM</v>
      </c>
      <c r="BR278" s="708">
        <f>INPUT!DO309</f>
        <v>8</v>
      </c>
      <c r="BS278" s="759" t="str">
        <f>INPUT!DP309</f>
        <v>NM</v>
      </c>
      <c r="BT278" s="708">
        <f>INPUT!DQ309</f>
        <v>-7</v>
      </c>
      <c r="BU278" s="759" t="str">
        <f>INPUT!DR309</f>
        <v>NM</v>
      </c>
      <c r="BV278" s="708">
        <f>INPUT!DS309</f>
        <v>-6</v>
      </c>
      <c r="BW278" s="759" t="str">
        <f>INPUT!DT309</f>
        <v>NM</v>
      </c>
      <c r="BX278" s="708">
        <f>INPUT!DU309</f>
        <v>19</v>
      </c>
      <c r="BY278" s="759" t="str">
        <f>INPUT!DV309</f>
        <v>NM</v>
      </c>
      <c r="BZ278" s="708">
        <f>INPUT!DW309</f>
        <v>17</v>
      </c>
      <c r="CA278" s="759">
        <f>INPUT!DX309</f>
        <v>17</v>
      </c>
      <c r="CB278" s="708">
        <f>INPUT!DY309</f>
        <v>13</v>
      </c>
      <c r="CC278" s="759" t="str">
        <f>INPUT!DZ309</f>
        <v>NM</v>
      </c>
      <c r="CD278" s="708">
        <f>INPUT!EA309</f>
        <v>5</v>
      </c>
      <c r="CE278" s="759" t="str">
        <f>INPUT!EB309</f>
        <v>NM</v>
      </c>
      <c r="CF278" s="708">
        <f>INPUT!EC309</f>
        <v>15</v>
      </c>
      <c r="CG278" s="759">
        <f>INPUT!ED309</f>
        <v>-21.052631578947366</v>
      </c>
      <c r="CH278" s="708">
        <f>INPUT!EE309</f>
        <v>28</v>
      </c>
      <c r="CI278" s="759">
        <f>INPUT!EF309</f>
        <v>64.705882352941174</v>
      </c>
      <c r="CJ278" s="708">
        <f>INPUT!EG309</f>
        <v>16</v>
      </c>
      <c r="CK278" s="759">
        <f>INPUT!EH309</f>
        <v>23.076923076923084</v>
      </c>
      <c r="CL278" s="708">
        <f>INPUT!EI309</f>
        <v>7</v>
      </c>
      <c r="CM278" s="759">
        <f>INPUT!EJ309</f>
        <v>39.999999999999993</v>
      </c>
      <c r="CN278" s="708">
        <f>INPUT!EK309</f>
        <v>35</v>
      </c>
      <c r="CO278" s="759" t="str">
        <f>INPUT!EL309</f>
        <v>NM</v>
      </c>
      <c r="CP278" s="708">
        <f>INPUT!EM309</f>
        <v>41</v>
      </c>
      <c r="CQ278" s="759">
        <f>INPUT!EN309</f>
        <v>46.428571428571416</v>
      </c>
      <c r="CR278" s="708">
        <f>INPUT!EO309</f>
        <v>20</v>
      </c>
      <c r="CS278" s="759">
        <f>INPUT!EP309</f>
        <v>25</v>
      </c>
      <c r="CT278" s="708">
        <f>INPUT!EQ309</f>
        <v>17.759357999999974</v>
      </c>
      <c r="CU278" s="759" t="str">
        <f>INPUT!ER309</f>
        <v>NM</v>
      </c>
      <c r="CV278" s="708">
        <f>INPUT!ES309</f>
        <v>29.276125433750021</v>
      </c>
      <c r="CW278" s="759">
        <f>INPUT!ET309</f>
        <v>-16.353927332142792</v>
      </c>
      <c r="CX278" s="708">
        <f>INPUT!EU309</f>
        <v>43.596592908068729</v>
      </c>
      <c r="CY278" s="759">
        <f>INPUT!EV309</f>
        <v>6.3331534343139761</v>
      </c>
      <c r="CZ278" s="708">
        <f>INPUT!EW309</f>
        <v>44.225634453952551</v>
      </c>
      <c r="DA278" s="759" t="str">
        <f>INPUT!EX309</f>
        <v>NM</v>
      </c>
      <c r="DB278" s="760"/>
      <c r="DC278" s="708"/>
      <c r="DD278" s="757"/>
      <c r="DE278" s="708">
        <f>INPUT!FR309</f>
        <v>128.40000000000003</v>
      </c>
      <c r="DF278" s="709">
        <f>INPUT!FS309</f>
        <v>48.059315975184916</v>
      </c>
      <c r="DG278" s="708">
        <f>INPUT!FT309</f>
        <v>113.29999999999977</v>
      </c>
      <c r="DH278" s="709">
        <f>INPUT!FU309</f>
        <v>-11.760124610592104</v>
      </c>
      <c r="DI278" s="708">
        <f>INPUT!FV309</f>
        <v>104.3000000000001</v>
      </c>
      <c r="DJ278" s="709">
        <f>INPUT!FW309</f>
        <v>-7.9435127978814579</v>
      </c>
      <c r="DK278" s="708">
        <f>INPUT!FX309</f>
        <v>123.90999999999994</v>
      </c>
      <c r="DL278" s="759">
        <f>INPUT!FY309</f>
        <v>18.801534036433189</v>
      </c>
      <c r="DM278" s="708">
        <f>INPUT!FZ309</f>
        <v>71.500000000000085</v>
      </c>
      <c r="DN278" s="759">
        <f>INPUT!GA309</f>
        <v>-42.296828343152193</v>
      </c>
      <c r="DO278" s="708">
        <f>INPUT!GB309</f>
        <v>96.500000000000085</v>
      </c>
      <c r="DP278" s="759">
        <f>INPUT!GC309</f>
        <v>34.965034965034917</v>
      </c>
      <c r="DQ278" s="708">
        <f>INPUT!GD309</f>
        <v>72</v>
      </c>
      <c r="DR278" s="759">
        <f>INPUT!GE309</f>
        <v>-25.388601036269499</v>
      </c>
      <c r="DS278" s="708">
        <f>INPUT!GF309</f>
        <v>70</v>
      </c>
      <c r="DT278" s="759">
        <f>INPUT!GG309</f>
        <v>-2.777777777777779</v>
      </c>
      <c r="DU278" s="708">
        <f>INPUT!GH309</f>
        <v>23</v>
      </c>
      <c r="DV278" s="759" t="str">
        <f>INPUT!GI309</f>
        <v>NM</v>
      </c>
      <c r="DW278" s="708">
        <f>INPUT!GJ309</f>
        <v>43</v>
      </c>
      <c r="DX278" s="759">
        <f>INPUT!GK309</f>
        <v>86.956521739130437</v>
      </c>
      <c r="DY278" s="708">
        <f>INPUT!GL309</f>
        <v>64</v>
      </c>
      <c r="DZ278" s="759">
        <f>INPUT!GM309</f>
        <v>48.837209302325576</v>
      </c>
      <c r="EA278" s="708">
        <f>INPUT!GN309</f>
        <v>103</v>
      </c>
      <c r="EB278" s="759">
        <f>INPUT!GO309</f>
        <v>60.9375</v>
      </c>
      <c r="EC278" s="708">
        <f>INPUT!GP309</f>
        <v>134.85771079577151</v>
      </c>
      <c r="ED278" s="759">
        <f>INPUT!GQ309</f>
        <v>30.929816306574274</v>
      </c>
      <c r="EE278" s="708">
        <f>INPUT!GR309</f>
        <v>181.98288299719923</v>
      </c>
      <c r="EF278" s="759">
        <f>INPUT!GS309</f>
        <v>34.94436611992775</v>
      </c>
      <c r="EG278" s="708">
        <f>INPUT!GT309</f>
        <v>209.66092615708487</v>
      </c>
      <c r="EH278" s="759">
        <f>INPUT!GU309</f>
        <v>15.209146434014698</v>
      </c>
      <c r="EI278" s="708">
        <f>INPUT!GV309</f>
        <v>210.9387975805935</v>
      </c>
      <c r="EJ278" s="759">
        <f>INPUT!GW309</f>
        <v>0.60949431395300735</v>
      </c>
      <c r="EK278" s="708">
        <f>INPUT!GX309</f>
        <v>212.22764969707413</v>
      </c>
      <c r="EL278" s="759">
        <f>INPUT!GY309</f>
        <v>0.61100761512977719</v>
      </c>
      <c r="EM278" s="709">
        <f>INPUT!GZ309</f>
        <v>15.556119134803993</v>
      </c>
    </row>
    <row r="279" spans="1:143" ht="12.75" hidden="1" customHeight="1" outlineLevel="1" x14ac:dyDescent="0.2">
      <c r="A279" s="701"/>
      <c r="B279" s="16"/>
      <c r="C279" s="507"/>
      <c r="D279" s="16"/>
      <c r="E279" s="687"/>
      <c r="F279" s="16"/>
      <c r="G279" s="687"/>
      <c r="H279" s="16"/>
      <c r="I279" s="687"/>
      <c r="J279" s="16"/>
      <c r="K279" s="687"/>
      <c r="L279" s="16"/>
      <c r="M279" s="687"/>
      <c r="N279" s="16"/>
      <c r="O279" s="687"/>
      <c r="P279" s="16"/>
      <c r="Q279" s="687"/>
      <c r="R279" s="16"/>
      <c r="S279" s="687"/>
      <c r="T279" s="16"/>
      <c r="U279" s="687"/>
      <c r="V279" s="16"/>
      <c r="W279" s="687"/>
      <c r="X279" s="16"/>
      <c r="Y279" s="687"/>
      <c r="Z279" s="16"/>
      <c r="AA279" s="687"/>
      <c r="AB279" s="16"/>
      <c r="AC279" s="687"/>
      <c r="AD279" s="16"/>
      <c r="AE279" s="687"/>
      <c r="AF279" s="16"/>
      <c r="AG279" s="687"/>
      <c r="AH279" s="16"/>
      <c r="AI279" s="507"/>
      <c r="AJ279" s="16"/>
      <c r="AK279" s="507"/>
      <c r="AL279" s="16"/>
      <c r="AM279" s="507"/>
      <c r="AN279" s="16"/>
      <c r="AO279" s="507"/>
      <c r="AP279" s="16"/>
      <c r="AQ279" s="507"/>
      <c r="AR279" s="16"/>
      <c r="AS279" s="507"/>
      <c r="AT279" s="16"/>
      <c r="AU279" s="507"/>
      <c r="AV279" s="16"/>
      <c r="AW279" s="507"/>
      <c r="AX279" s="16"/>
      <c r="AY279" s="507"/>
      <c r="AZ279" s="16"/>
      <c r="BA279" s="507"/>
      <c r="BB279" s="16"/>
      <c r="BC279" s="507"/>
      <c r="BD279" s="16"/>
      <c r="BE279" s="507"/>
      <c r="BF279" s="16"/>
      <c r="BG279" s="507"/>
      <c r="BH279" s="16"/>
      <c r="BI279" s="507"/>
      <c r="BJ279" s="16"/>
      <c r="BK279" s="507"/>
      <c r="BL279" s="16"/>
      <c r="BM279" s="507"/>
      <c r="BN279" s="16"/>
      <c r="BO279" s="507"/>
      <c r="BP279" s="16"/>
      <c r="BQ279" s="507"/>
      <c r="BR279" s="16"/>
      <c r="BS279" s="507"/>
      <c r="BT279" s="16"/>
      <c r="BU279" s="507"/>
      <c r="BV279" s="16"/>
      <c r="BW279" s="507"/>
      <c r="BX279" s="16"/>
      <c r="BY279" s="507"/>
      <c r="BZ279" s="16"/>
      <c r="CA279" s="507"/>
      <c r="CB279" s="16"/>
      <c r="CC279" s="507"/>
      <c r="CD279" s="16"/>
      <c r="CE279" s="507"/>
      <c r="CF279" s="16"/>
      <c r="CG279" s="507"/>
      <c r="CH279" s="16"/>
      <c r="CI279" s="507"/>
      <c r="CJ279" s="16"/>
      <c r="CK279" s="507"/>
      <c r="CL279" s="16"/>
      <c r="CM279" s="507"/>
      <c r="CN279" s="16"/>
      <c r="CO279" s="507"/>
      <c r="CP279" s="16"/>
      <c r="CQ279" s="507"/>
      <c r="CR279" s="16"/>
      <c r="CS279" s="507"/>
      <c r="CT279" s="16"/>
      <c r="CU279" s="507"/>
      <c r="CV279" s="16"/>
      <c r="CW279" s="507"/>
      <c r="CX279" s="16"/>
      <c r="CY279" s="507"/>
      <c r="CZ279" s="16"/>
      <c r="DA279" s="507"/>
      <c r="DB279" s="507"/>
      <c r="DC279" s="16"/>
      <c r="DD279" s="507"/>
      <c r="DE279" s="16"/>
      <c r="DF279" s="687"/>
      <c r="DG279" s="16"/>
      <c r="DH279" s="687"/>
      <c r="DI279" s="16"/>
      <c r="DJ279" s="687"/>
      <c r="DK279" s="16"/>
      <c r="DL279" s="507"/>
      <c r="DM279" s="16"/>
      <c r="DN279" s="507"/>
      <c r="DO279" s="16"/>
      <c r="DP279" s="507"/>
      <c r="DQ279" s="16"/>
      <c r="DR279" s="507"/>
      <c r="DS279" s="16"/>
      <c r="DT279" s="507"/>
      <c r="DU279" s="16"/>
      <c r="DV279" s="507"/>
      <c r="DW279" s="16"/>
      <c r="DX279" s="507"/>
      <c r="DY279" s="16"/>
      <c r="DZ279" s="507"/>
      <c r="EA279" s="16"/>
      <c r="EB279" s="507"/>
      <c r="EC279" s="16"/>
      <c r="ED279" s="507"/>
      <c r="EE279" s="16"/>
      <c r="EF279" s="507"/>
      <c r="EG279" s="16"/>
      <c r="EH279" s="507"/>
      <c r="EI279" s="16"/>
      <c r="EJ279" s="507"/>
      <c r="EK279" s="16"/>
      <c r="EL279" s="507"/>
      <c r="EM279" s="687"/>
    </row>
    <row r="280" spans="1:143" ht="12.75" hidden="1" customHeight="1" outlineLevel="1" x14ac:dyDescent="0.2">
      <c r="A280" s="715" t="s">
        <v>303</v>
      </c>
      <c r="B280" s="16"/>
      <c r="C280" s="507"/>
      <c r="D280" s="16"/>
      <c r="E280" s="687"/>
      <c r="F280" s="16"/>
      <c r="G280" s="687"/>
      <c r="H280" s="16"/>
      <c r="I280" s="687"/>
      <c r="J280" s="16"/>
      <c r="K280" s="687"/>
      <c r="L280" s="16"/>
      <c r="M280" s="687"/>
      <c r="N280" s="16"/>
      <c r="O280" s="687"/>
      <c r="P280" s="16"/>
      <c r="Q280" s="687"/>
      <c r="R280" s="16"/>
      <c r="S280" s="687"/>
      <c r="T280" s="16"/>
      <c r="U280" s="687"/>
      <c r="V280" s="16"/>
      <c r="W280" s="687"/>
      <c r="X280" s="16"/>
      <c r="Y280" s="687"/>
      <c r="Z280" s="16"/>
      <c r="AA280" s="687"/>
      <c r="AB280" s="16"/>
      <c r="AC280" s="687"/>
      <c r="AD280" s="16"/>
      <c r="AE280" s="687"/>
      <c r="AF280" s="16"/>
      <c r="AG280" s="687"/>
      <c r="AH280" s="16"/>
      <c r="AI280" s="507"/>
      <c r="AJ280" s="16"/>
      <c r="AK280" s="507"/>
      <c r="AL280" s="16"/>
      <c r="AM280" s="507"/>
      <c r="AN280" s="16"/>
      <c r="AO280" s="507"/>
      <c r="AP280" s="16"/>
      <c r="AQ280" s="507"/>
      <c r="AR280" s="16"/>
      <c r="AS280" s="507"/>
      <c r="AT280" s="16"/>
      <c r="AU280" s="507"/>
      <c r="AV280" s="16"/>
      <c r="AW280" s="507"/>
      <c r="AX280" s="16"/>
      <c r="AY280" s="507"/>
      <c r="AZ280" s="16"/>
      <c r="BA280" s="507"/>
      <c r="BB280" s="16"/>
      <c r="BC280" s="507"/>
      <c r="BD280" s="16"/>
      <c r="BE280" s="507"/>
      <c r="BF280" s="16"/>
      <c r="BG280" s="507"/>
      <c r="BH280" s="16"/>
      <c r="BI280" s="507"/>
      <c r="BJ280" s="16"/>
      <c r="BK280" s="507"/>
      <c r="BL280" s="16"/>
      <c r="BM280" s="507"/>
      <c r="BN280" s="16"/>
      <c r="BO280" s="507"/>
      <c r="BP280" s="16"/>
      <c r="BQ280" s="507"/>
      <c r="BR280" s="16"/>
      <c r="BS280" s="507"/>
      <c r="BT280" s="16"/>
      <c r="BU280" s="507"/>
      <c r="BV280" s="16"/>
      <c r="BW280" s="507"/>
      <c r="BX280" s="16"/>
      <c r="BY280" s="507"/>
      <c r="BZ280" s="16"/>
      <c r="CA280" s="507"/>
      <c r="CB280" s="16"/>
      <c r="CC280" s="507"/>
      <c r="CD280" s="16"/>
      <c r="CE280" s="507"/>
      <c r="CF280" s="16"/>
      <c r="CG280" s="507"/>
      <c r="CH280" s="16"/>
      <c r="CI280" s="507"/>
      <c r="CJ280" s="16"/>
      <c r="CK280" s="507"/>
      <c r="CL280" s="16"/>
      <c r="CM280" s="507"/>
      <c r="CN280" s="16"/>
      <c r="CO280" s="507"/>
      <c r="CP280" s="16"/>
      <c r="CQ280" s="507"/>
      <c r="CR280" s="16"/>
      <c r="CS280" s="507"/>
      <c r="CT280" s="16"/>
      <c r="CU280" s="507"/>
      <c r="CV280" s="16"/>
      <c r="CW280" s="507"/>
      <c r="CX280" s="16"/>
      <c r="CY280" s="507"/>
      <c r="CZ280" s="16"/>
      <c r="DA280" s="507"/>
      <c r="DB280" s="507"/>
      <c r="DC280" s="16"/>
      <c r="DD280" s="507"/>
      <c r="DE280" s="16"/>
      <c r="DF280" s="687"/>
      <c r="DG280" s="16"/>
      <c r="DH280" s="687"/>
      <c r="DI280" s="16"/>
      <c r="DJ280" s="687"/>
      <c r="DK280" s="16"/>
      <c r="DL280" s="507"/>
      <c r="DM280" s="16"/>
      <c r="DN280" s="507"/>
      <c r="DO280" s="16"/>
      <c r="DP280" s="507"/>
      <c r="DQ280" s="16"/>
      <c r="DR280" s="507"/>
      <c r="DS280" s="16"/>
      <c r="DT280" s="507"/>
      <c r="DU280" s="16"/>
      <c r="DV280" s="507"/>
      <c r="DW280" s="16"/>
      <c r="DX280" s="507"/>
      <c r="DY280" s="16"/>
      <c r="DZ280" s="507"/>
      <c r="EA280" s="16"/>
      <c r="EB280" s="507"/>
      <c r="EC280" s="16"/>
      <c r="ED280" s="507"/>
      <c r="EE280" s="16"/>
      <c r="EF280" s="507"/>
      <c r="EG280" s="16"/>
      <c r="EH280" s="507"/>
      <c r="EI280" s="16"/>
      <c r="EJ280" s="507"/>
      <c r="EK280" s="16"/>
      <c r="EL280" s="507"/>
      <c r="EM280" s="687"/>
    </row>
    <row r="281" spans="1:143" ht="12.75" hidden="1" customHeight="1" outlineLevel="1" x14ac:dyDescent="0.2">
      <c r="A281" s="522" t="s">
        <v>304</v>
      </c>
      <c r="B281" s="464"/>
      <c r="C281" s="507"/>
      <c r="D281" s="464">
        <f>INPUT!BA575</f>
        <v>8.7957617333423936</v>
      </c>
      <c r="E281" s="687" t="str">
        <f>INPUT!BB575</f>
        <v>NA</v>
      </c>
      <c r="F281" s="464">
        <f>INPUT!BC575</f>
        <v>7.2836332476435501</v>
      </c>
      <c r="G281" s="687" t="str">
        <f>INPUT!BD575</f>
        <v>NA</v>
      </c>
      <c r="H281" s="464">
        <f>INPUT!BE575</f>
        <v>7.1925340307911698</v>
      </c>
      <c r="I281" s="687" t="str">
        <f>INPUT!BF575</f>
        <v>NA</v>
      </c>
      <c r="J281" s="464">
        <f>INPUT!BG575</f>
        <v>7.0900123304562355</v>
      </c>
      <c r="K281" s="687">
        <f>INPUT!BH575</f>
        <v>-40.645781521034863</v>
      </c>
      <c r="L281" s="464">
        <f>INPUT!BI575</f>
        <v>8.9005235602094306</v>
      </c>
      <c r="M281" s="687">
        <f>INPUT!BJ575</f>
        <v>1.1910489397400692</v>
      </c>
      <c r="N281" s="464">
        <f>INPUT!BK575</f>
        <v>7.5156576200417602</v>
      </c>
      <c r="O281" s="687">
        <f>INPUT!BL575</f>
        <v>3.1855581481024853</v>
      </c>
      <c r="P281" s="464">
        <f>INPUT!BM575</f>
        <v>7.0687237026647933</v>
      </c>
      <c r="Q281" s="687">
        <f>INPUT!BN575</f>
        <v>-1.7213728512975535</v>
      </c>
      <c r="R281" s="464">
        <f>INPUT!BO575</f>
        <v>8.5714285714285534</v>
      </c>
      <c r="S281" s="687">
        <f>INPUT!BP575</f>
        <v>20.894409937887804</v>
      </c>
      <c r="T281" s="464">
        <f>INPUT!BQ575</f>
        <v>10.466623460790661</v>
      </c>
      <c r="U281" s="687">
        <f>INPUT!BR575</f>
        <v>17.595593000647924</v>
      </c>
      <c r="V281" s="464">
        <f>INPUT!BS575</f>
        <v>8.7301587301587276</v>
      </c>
      <c r="W281" s="687">
        <f>INPUT!BT575</f>
        <v>16.159611992945202</v>
      </c>
      <c r="X281" s="464">
        <f>INPUT!BU575</f>
        <v>10.004675081813927</v>
      </c>
      <c r="Y281" s="687">
        <f>INPUT!BV575</f>
        <v>41.534391534391531</v>
      </c>
      <c r="Z281" s="464">
        <f>INPUT!BW575</f>
        <v>13.14578005115092</v>
      </c>
      <c r="AA281" s="687">
        <f>INPUT!BX575</f>
        <v>53.3674339300944</v>
      </c>
      <c r="AB281" s="464">
        <f>INPUT!BY575</f>
        <v>16.208393632416794</v>
      </c>
      <c r="AC281" s="687">
        <f>INPUT!BZ575</f>
        <v>54.857903249654051</v>
      </c>
      <c r="AD281" s="464">
        <f>INPUT!CA575</f>
        <v>13.196436082750179</v>
      </c>
      <c r="AE281" s="687">
        <f>INPUT!CB575</f>
        <v>51.159176947865738</v>
      </c>
      <c r="AF281" s="464">
        <f>INPUT!CC575</f>
        <v>11.044377711044353</v>
      </c>
      <c r="AG281" s="687">
        <f>INPUT!CD575</f>
        <v>10.392167868803192</v>
      </c>
      <c r="AH281" s="156">
        <f>INPUT!CE575</f>
        <v>11.052259887005659</v>
      </c>
      <c r="AI281" s="507">
        <f>INPUT!CF575</f>
        <v>-15.925416034645822</v>
      </c>
      <c r="AJ281" s="156">
        <f>INPUT!CG575</f>
        <v>12.968696250430003</v>
      </c>
      <c r="AK281" s="507">
        <f>INPUT!CH575</f>
        <v>-19.98777581207921</v>
      </c>
      <c r="AL281" s="156">
        <f>INPUT!CI575</f>
        <v>4.4389204545454719</v>
      </c>
      <c r="AM281" s="507" t="str">
        <f>INPUT!CJ575</f>
        <v>NM</v>
      </c>
      <c r="AN281" s="156">
        <f>INPUT!CK575</f>
        <v>6.0483870967741948</v>
      </c>
      <c r="AO281" s="507">
        <f>INPUT!CL575</f>
        <v>-45.235600818633529</v>
      </c>
      <c r="AP281" s="156">
        <f>INPUT!CM575</f>
        <v>6.9227981152591838</v>
      </c>
      <c r="AQ281" s="507">
        <f>INPUT!CN575</f>
        <v>-37.363053474715677</v>
      </c>
      <c r="AR281" s="156">
        <f>INPUT!CO575</f>
        <v>7.7689927810243846</v>
      </c>
      <c r="AS281" s="507">
        <f>INPUT!CP575</f>
        <v>-40.094265213692637</v>
      </c>
      <c r="AT281" s="156">
        <f>INPUT!CQ575</f>
        <v>8.5650367529562033</v>
      </c>
      <c r="AU281" s="507">
        <f>INPUT!CR575</f>
        <v>92.953147970596589</v>
      </c>
      <c r="AV281" s="156">
        <f>INPUT!CS575</f>
        <v>7.1428571428571423</v>
      </c>
      <c r="AW281" s="507">
        <f>INPUT!CT575</f>
        <v>18.095238095238052</v>
      </c>
      <c r="AX281" s="156">
        <f>INPUT!CU575</f>
        <v>5.4607508532423212</v>
      </c>
      <c r="AY281" s="507">
        <f>INPUT!CV575</f>
        <v>-21.119310973322015</v>
      </c>
      <c r="AZ281" s="156">
        <f>INPUT!CW575</f>
        <v>8.1355932203389827</v>
      </c>
      <c r="BA281" s="507">
        <f>INPUT!CX575</f>
        <v>4.7187640617972093</v>
      </c>
      <c r="BB281" s="156">
        <f>INPUT!CY575</f>
        <v>4.8780487804878048</v>
      </c>
      <c r="BC281" s="507">
        <f>INPUT!CZ575</f>
        <v>-43.046960320349392</v>
      </c>
      <c r="BD281" s="156">
        <f>INPUT!DA575</f>
        <v>4.3046357615894042</v>
      </c>
      <c r="BE281" s="507">
        <f>INPUT!DB575</f>
        <v>-39.735099337748338</v>
      </c>
      <c r="BF281" s="156">
        <f>INPUT!DC575</f>
        <v>4.6901486777130836</v>
      </c>
      <c r="BG281" s="507">
        <f>INPUT!DD575</f>
        <v>-14.111652339379166</v>
      </c>
      <c r="BH281" s="156">
        <f>INPUT!DE575</f>
        <v>6.6265060240963862</v>
      </c>
      <c r="BI281" s="507">
        <f>INPUT!DF575</f>
        <v>-18.549196787148581</v>
      </c>
      <c r="BJ281" s="156">
        <f>INPUT!DG575</f>
        <v>5.8997050147492622</v>
      </c>
      <c r="BK281" s="507">
        <f>INPUT!DH575</f>
        <v>20.943952802359878</v>
      </c>
      <c r="BL281" s="156">
        <f>INPUT!DI575</f>
        <v>0.84033613445378152</v>
      </c>
      <c r="BM281" s="507" t="str">
        <f>INPUT!DJ575</f>
        <v>NM</v>
      </c>
      <c r="BN281" s="156">
        <f>INPUT!DK575</f>
        <v>5.4945054945054945</v>
      </c>
      <c r="BO281" s="507">
        <f>INPUT!DL575</f>
        <v>17.149921507064359</v>
      </c>
      <c r="BP281" s="156">
        <f>INPUT!DM575</f>
        <v>0.52083333333333326</v>
      </c>
      <c r="BQ281" s="507" t="str">
        <f>INPUT!DN575</f>
        <v>NM</v>
      </c>
      <c r="BR281" s="156">
        <f>INPUT!DO575</f>
        <v>1.9801980198019802</v>
      </c>
      <c r="BS281" s="507" t="str">
        <f>INPUT!DP575</f>
        <v>NM</v>
      </c>
      <c r="BT281" s="156">
        <f>INPUT!DQ575</f>
        <v>-1.8087855297157622</v>
      </c>
      <c r="BU281" s="507" t="str">
        <f>INPUT!DR575</f>
        <v>NM</v>
      </c>
      <c r="BV281" s="156">
        <f>INPUT!DS575</f>
        <v>-1.7045454545454544</v>
      </c>
      <c r="BW281" s="507" t="str">
        <f>INPUT!DT575</f>
        <v>NM</v>
      </c>
      <c r="BX281" s="156">
        <f>INPUT!DU575</f>
        <v>5.0131926121372032</v>
      </c>
      <c r="BY281" s="507" t="str">
        <f>INPUT!DV575</f>
        <v>NM</v>
      </c>
      <c r="BZ281" s="156">
        <f>INPUT!DW575</f>
        <v>4.0332147093712933</v>
      </c>
      <c r="CA281" s="507">
        <f>INPUT!DX575</f>
        <v>4.0332147093712933</v>
      </c>
      <c r="CB281" s="156">
        <f>INPUT!DY575</f>
        <v>3.4031413612565444</v>
      </c>
      <c r="CC281" s="507" t="str">
        <f>INPUT!DZ575</f>
        <v>NM</v>
      </c>
      <c r="CD281" s="156">
        <f>INPUT!EA575</f>
        <v>1.3812154696132597</v>
      </c>
      <c r="CE281" s="507" t="str">
        <f>INPUT!EB575</f>
        <v>NM</v>
      </c>
      <c r="CF281" s="156">
        <f>INPUT!EC575</f>
        <v>4.0214477211796247</v>
      </c>
      <c r="CG281" s="507">
        <f>INPUT!ED575</f>
        <v>-19.782700719627488</v>
      </c>
      <c r="CH281" s="156">
        <f>INPUT!EE575</f>
        <v>5.6331129071760957</v>
      </c>
      <c r="CI281" s="507">
        <f>INPUT!EF575</f>
        <v>39.668064139689662</v>
      </c>
      <c r="CJ281" s="156">
        <f>INPUT!EG575</f>
        <v>3.9119804400977993</v>
      </c>
      <c r="CK281" s="507">
        <f>INPUT!EH575</f>
        <v>14.952040624412266</v>
      </c>
      <c r="CL281" s="156">
        <f>INPUT!EI575</f>
        <v>1.7587939698492463</v>
      </c>
      <c r="CM281" s="507">
        <f>INPUT!EJ575</f>
        <v>27.336683417085439</v>
      </c>
      <c r="CN281" s="156">
        <f>INPUT!EK575</f>
        <v>8.3532219570405726</v>
      </c>
      <c r="CO281" s="507" t="str">
        <f>INPUT!EL575</f>
        <v>NM</v>
      </c>
      <c r="CP281" s="156">
        <f>INPUT!EM575</f>
        <v>8.7658592848904267</v>
      </c>
      <c r="CQ281" s="507">
        <f>INPUT!EN575</f>
        <v>55.613058522641801</v>
      </c>
      <c r="CR281" s="156">
        <f>INPUT!EO575</f>
        <v>4.5454545454545459</v>
      </c>
      <c r="CS281" s="507">
        <f>INPUT!EP575</f>
        <v>16.193181818181834</v>
      </c>
      <c r="CT281" s="156">
        <f>INPUT!EQ575</f>
        <v>4.101322571601477</v>
      </c>
      <c r="CU281" s="507" t="str">
        <f>INPUT!ER575</f>
        <v>NM</v>
      </c>
      <c r="CV281" s="156">
        <f>INPUT!ES575</f>
        <v>6.3580278487440367</v>
      </c>
      <c r="CW281" s="507">
        <f>INPUT!ET575</f>
        <v>-23.885323753607103</v>
      </c>
      <c r="CX281" s="156">
        <f>INPUT!EU575</f>
        <v>9.0989837059036507</v>
      </c>
      <c r="CY281" s="507">
        <f>INPUT!EV575</f>
        <v>3.8002483291903255</v>
      </c>
      <c r="CZ281" s="156">
        <f>INPUT!EW575</f>
        <v>8.9777654049329421</v>
      </c>
      <c r="DA281" s="507">
        <f>INPUT!EX575</f>
        <v>97.510838908524704</v>
      </c>
      <c r="DB281" s="507"/>
      <c r="DC281" s="464"/>
      <c r="DD281" s="507"/>
      <c r="DE281" s="464">
        <f>INPUT!FR575</f>
        <v>8.5834772214105506</v>
      </c>
      <c r="DF281" s="687" t="str">
        <f>INPUT!FS575</f>
        <v>NA</v>
      </c>
      <c r="DG281" s="464">
        <f>INPUT!FT575</f>
        <v>7.6292042657916186</v>
      </c>
      <c r="DH281" s="687">
        <f>INPUT!FU575</f>
        <v>-11.117556801322914</v>
      </c>
      <c r="DI281" s="464">
        <f>INPUT!FV575</f>
        <v>9.3957968476357312</v>
      </c>
      <c r="DJ281" s="687">
        <f>INPUT!FW575</f>
        <v>23.155659755569658</v>
      </c>
      <c r="DK281" s="156">
        <f>INPUT!FX575</f>
        <v>13.164801195008341</v>
      </c>
      <c r="DL281" s="507">
        <f>INPUT!FY575</f>
        <v>40.113727536808177</v>
      </c>
      <c r="DM281" s="156">
        <f>INPUT!FZ575</f>
        <v>8.6289133639753821</v>
      </c>
      <c r="DN281" s="507">
        <f>INPUT!GA575</f>
        <v>-34.45466257973434</v>
      </c>
      <c r="DO281" s="156">
        <f>INPUT!GB575</f>
        <v>7.6312839527464051</v>
      </c>
      <c r="DP281" s="507">
        <f>INPUT!GC575</f>
        <v>-11.56147210138826</v>
      </c>
      <c r="DQ281" s="156">
        <f>INPUT!GD575</f>
        <v>5.6650246305418719</v>
      </c>
      <c r="DR281" s="507">
        <f>INPUT!GE575</f>
        <v>-25.76577328769034</v>
      </c>
      <c r="DS281" s="156">
        <f>INPUT!GF575</f>
        <v>4.447801655185307</v>
      </c>
      <c r="DT281" s="507">
        <f>INPUT!GG575</f>
        <v>-21.486631651946318</v>
      </c>
      <c r="DU281" s="156">
        <f>INPUT!GH575</f>
        <v>1.4944769330734242</v>
      </c>
      <c r="DV281" s="507" t="str">
        <f>INPUT!GI575</f>
        <v>NM</v>
      </c>
      <c r="DW281" s="156">
        <f>INPUT!GJ575</f>
        <v>2.8022157054415122</v>
      </c>
      <c r="DX281" s="507">
        <f>INPUT!GK575</f>
        <v>87.504781333673364</v>
      </c>
      <c r="DY281" s="156">
        <f>INPUT!GL575</f>
        <v>3.8008116987695675</v>
      </c>
      <c r="DZ281" s="507">
        <f>INPUT!GM575</f>
        <v>35.635943064230261</v>
      </c>
      <c r="EA281" s="156">
        <f>INPUT!GN575</f>
        <v>5.9154096421177167</v>
      </c>
      <c r="EB281" s="507">
        <f>INPUT!GO575</f>
        <v>55.635430295920884</v>
      </c>
      <c r="EC281" s="156">
        <f>INPUT!GP575</f>
        <v>7.2301061067037553</v>
      </c>
      <c r="ED281" s="507">
        <f>INPUT!GQ575</f>
        <v>22.224943733826976</v>
      </c>
      <c r="EE281" s="156">
        <f>INPUT!GR575</f>
        <v>9.1115334874916307</v>
      </c>
      <c r="EF281" s="507">
        <f>INPUT!GS575</f>
        <v>26.022126826650794</v>
      </c>
      <c r="EG281" s="156">
        <f>INPUT!GT575</f>
        <v>9.5857724634290271</v>
      </c>
      <c r="EH281" s="507">
        <f>INPUT!GU575</f>
        <v>5.2048206439501588</v>
      </c>
      <c r="EI281" s="156">
        <f>INPUT!GV575</f>
        <v>9.1839350629332923</v>
      </c>
      <c r="EJ281" s="507">
        <f>INPUT!GW575</f>
        <v>-4.1920189742537417</v>
      </c>
      <c r="EK281" s="156">
        <f>INPUT!GX575</f>
        <v>8.7781828920415226</v>
      </c>
      <c r="EL281" s="507">
        <f>INPUT!GY575</f>
        <v>-4.4180644583322497</v>
      </c>
      <c r="EM281" s="687">
        <f>INPUT!GZ575</f>
        <v>8.2141269596055277</v>
      </c>
    </row>
    <row r="282" spans="1:143" ht="12.75" hidden="1" customHeight="1" outlineLevel="1" x14ac:dyDescent="0.2">
      <c r="A282" s="700"/>
      <c r="B282" s="16"/>
      <c r="C282" s="507"/>
      <c r="D282" s="16"/>
      <c r="E282" s="687"/>
      <c r="F282" s="16"/>
      <c r="G282" s="687"/>
      <c r="H282" s="16"/>
      <c r="I282" s="687"/>
      <c r="J282" s="16"/>
      <c r="K282" s="687"/>
      <c r="L282" s="16"/>
      <c r="M282" s="687"/>
      <c r="N282" s="16"/>
      <c r="O282" s="687"/>
      <c r="P282" s="16"/>
      <c r="Q282" s="687"/>
      <c r="R282" s="16"/>
      <c r="S282" s="687"/>
      <c r="T282" s="16"/>
      <c r="U282" s="687"/>
      <c r="V282" s="16"/>
      <c r="W282" s="687"/>
      <c r="X282" s="16"/>
      <c r="Y282" s="687"/>
      <c r="Z282" s="16"/>
      <c r="AA282" s="687"/>
      <c r="AB282" s="16"/>
      <c r="AC282" s="687"/>
      <c r="AD282" s="16"/>
      <c r="AE282" s="687"/>
      <c r="AF282" s="16"/>
      <c r="AG282" s="687"/>
      <c r="AH282" s="16"/>
      <c r="AI282" s="507"/>
      <c r="AJ282" s="16"/>
      <c r="AK282" s="507"/>
      <c r="AL282" s="16"/>
      <c r="AM282" s="507"/>
      <c r="AN282" s="16"/>
      <c r="AO282" s="507"/>
      <c r="AP282" s="16"/>
      <c r="AQ282" s="507"/>
      <c r="AR282" s="16"/>
      <c r="AS282" s="507"/>
      <c r="AT282" s="16"/>
      <c r="AU282" s="507"/>
      <c r="AV282" s="16"/>
      <c r="AW282" s="507"/>
      <c r="AX282" s="16"/>
      <c r="AY282" s="507"/>
      <c r="AZ282" s="16"/>
      <c r="BA282" s="507"/>
      <c r="BB282" s="16"/>
      <c r="BC282" s="507"/>
      <c r="BD282" s="16"/>
      <c r="BE282" s="507"/>
      <c r="BF282" s="16"/>
      <c r="BG282" s="507"/>
      <c r="BH282" s="16"/>
      <c r="BI282" s="507"/>
      <c r="BJ282" s="16"/>
      <c r="BK282" s="507"/>
      <c r="BL282" s="16"/>
      <c r="BM282" s="507"/>
      <c r="BN282" s="16"/>
      <c r="BO282" s="507"/>
      <c r="BP282" s="16"/>
      <c r="BQ282" s="507"/>
      <c r="BR282" s="16"/>
      <c r="BS282" s="507"/>
      <c r="BT282" s="16"/>
      <c r="BU282" s="507"/>
      <c r="BV282" s="16"/>
      <c r="BW282" s="507"/>
      <c r="BX282" s="16"/>
      <c r="BY282" s="507"/>
      <c r="BZ282" s="16"/>
      <c r="CA282" s="507"/>
      <c r="CB282" s="16"/>
      <c r="CC282" s="507"/>
      <c r="CD282" s="16"/>
      <c r="CE282" s="507"/>
      <c r="CF282" s="16"/>
      <c r="CG282" s="507"/>
      <c r="CH282" s="16"/>
      <c r="CI282" s="507"/>
      <c r="CJ282" s="16"/>
      <c r="CK282" s="507"/>
      <c r="CL282" s="16"/>
      <c r="CM282" s="507"/>
      <c r="CN282" s="16"/>
      <c r="CO282" s="507"/>
      <c r="CP282" s="16"/>
      <c r="CQ282" s="507"/>
      <c r="CR282" s="16"/>
      <c r="CS282" s="507"/>
      <c r="CT282" s="16"/>
      <c r="CU282" s="507"/>
      <c r="CV282" s="16"/>
      <c r="CW282" s="507"/>
      <c r="CX282" s="16"/>
      <c r="CY282" s="507"/>
      <c r="CZ282" s="16"/>
      <c r="DA282" s="507"/>
      <c r="DB282" s="507"/>
      <c r="DC282" s="16"/>
      <c r="DD282" s="507"/>
      <c r="DE282" s="16"/>
      <c r="DF282" s="687"/>
      <c r="DG282" s="16"/>
      <c r="DH282" s="687"/>
      <c r="DI282" s="16"/>
      <c r="DJ282" s="687"/>
      <c r="DK282" s="16"/>
      <c r="DL282" s="507"/>
      <c r="DM282" s="16"/>
      <c r="DN282" s="507"/>
      <c r="DO282" s="16"/>
      <c r="DP282" s="507"/>
      <c r="DQ282" s="16"/>
      <c r="DR282" s="507"/>
      <c r="DS282" s="16"/>
      <c r="DT282" s="507"/>
      <c r="DU282" s="16"/>
      <c r="DV282" s="507"/>
      <c r="DW282" s="16"/>
      <c r="DX282" s="507"/>
      <c r="DY282" s="16"/>
      <c r="DZ282" s="507"/>
      <c r="EA282" s="16"/>
      <c r="EB282" s="507"/>
      <c r="EC282" s="16"/>
      <c r="ED282" s="507"/>
      <c r="EE282" s="16"/>
      <c r="EF282" s="507"/>
      <c r="EG282" s="16"/>
      <c r="EH282" s="507"/>
      <c r="EI282" s="16"/>
      <c r="EJ282" s="507"/>
      <c r="EK282" s="16"/>
      <c r="EL282" s="507"/>
      <c r="EM282" s="687"/>
    </row>
    <row r="283" spans="1:143" ht="12.75" hidden="1" customHeight="1" outlineLevel="1" x14ac:dyDescent="0.2">
      <c r="A283" s="700" t="str">
        <f>INPUT!B314</f>
        <v>Profitability Analysis</v>
      </c>
      <c r="B283" s="16"/>
      <c r="C283" s="507"/>
      <c r="D283" s="16"/>
      <c r="E283" s="687"/>
      <c r="F283" s="16"/>
      <c r="G283" s="687"/>
      <c r="H283" s="16"/>
      <c r="I283" s="687"/>
      <c r="J283" s="16"/>
      <c r="K283" s="687"/>
      <c r="L283" s="16"/>
      <c r="M283" s="687"/>
      <c r="N283" s="16"/>
      <c r="O283" s="687"/>
      <c r="P283" s="16"/>
      <c r="Q283" s="687"/>
      <c r="R283" s="16"/>
      <c r="S283" s="687"/>
      <c r="T283" s="16"/>
      <c r="U283" s="687"/>
      <c r="V283" s="16"/>
      <c r="W283" s="687"/>
      <c r="X283" s="16"/>
      <c r="Y283" s="687"/>
      <c r="Z283" s="16"/>
      <c r="AA283" s="687"/>
      <c r="AB283" s="16"/>
      <c r="AC283" s="687"/>
      <c r="AD283" s="16"/>
      <c r="AE283" s="687"/>
      <c r="AF283" s="16"/>
      <c r="AG283" s="687"/>
      <c r="AH283" s="16"/>
      <c r="AI283" s="507"/>
      <c r="AJ283" s="16"/>
      <c r="AK283" s="507"/>
      <c r="AL283" s="16"/>
      <c r="AM283" s="507"/>
      <c r="AN283" s="16"/>
      <c r="AO283" s="507"/>
      <c r="AP283" s="16"/>
      <c r="AQ283" s="507"/>
      <c r="AR283" s="16"/>
      <c r="AS283" s="507"/>
      <c r="AT283" s="16"/>
      <c r="AU283" s="507"/>
      <c r="AV283" s="16"/>
      <c r="AW283" s="507"/>
      <c r="AX283" s="16"/>
      <c r="AY283" s="507"/>
      <c r="AZ283" s="16"/>
      <c r="BA283" s="507"/>
      <c r="BB283" s="16"/>
      <c r="BC283" s="507"/>
      <c r="BD283" s="16"/>
      <c r="BE283" s="507"/>
      <c r="BF283" s="16"/>
      <c r="BG283" s="507"/>
      <c r="BH283" s="16"/>
      <c r="BI283" s="507"/>
      <c r="BJ283" s="16"/>
      <c r="BK283" s="507"/>
      <c r="BL283" s="16"/>
      <c r="BM283" s="507"/>
      <c r="BN283" s="16"/>
      <c r="BO283" s="507"/>
      <c r="BP283" s="16"/>
      <c r="BQ283" s="507"/>
      <c r="BR283" s="16"/>
      <c r="BS283" s="507"/>
      <c r="BT283" s="16"/>
      <c r="BU283" s="507"/>
      <c r="BV283" s="16"/>
      <c r="BW283" s="507"/>
      <c r="BX283" s="16"/>
      <c r="BY283" s="507"/>
      <c r="BZ283" s="16"/>
      <c r="CA283" s="507"/>
      <c r="CB283" s="16"/>
      <c r="CC283" s="507"/>
      <c r="CD283" s="16"/>
      <c r="CE283" s="507"/>
      <c r="CF283" s="16"/>
      <c r="CG283" s="507"/>
      <c r="CH283" s="16"/>
      <c r="CI283" s="507"/>
      <c r="CJ283" s="16"/>
      <c r="CK283" s="507"/>
      <c r="CL283" s="16"/>
      <c r="CM283" s="507"/>
      <c r="CN283" s="16"/>
      <c r="CO283" s="507"/>
      <c r="CP283" s="16"/>
      <c r="CQ283" s="507"/>
      <c r="CR283" s="16"/>
      <c r="CS283" s="507"/>
      <c r="CT283" s="16"/>
      <c r="CU283" s="507"/>
      <c r="CV283" s="16"/>
      <c r="CW283" s="507"/>
      <c r="CX283" s="16"/>
      <c r="CY283" s="507"/>
      <c r="CZ283" s="16"/>
      <c r="DA283" s="507"/>
      <c r="DB283" s="507"/>
      <c r="DC283" s="16"/>
      <c r="DD283" s="507"/>
      <c r="DE283" s="16"/>
      <c r="DF283" s="687"/>
      <c r="DG283" s="16"/>
      <c r="DH283" s="687"/>
      <c r="DI283" s="16"/>
      <c r="DJ283" s="687"/>
      <c r="DK283" s="16"/>
      <c r="DL283" s="507"/>
      <c r="DM283" s="16"/>
      <c r="DN283" s="507"/>
      <c r="DO283" s="16"/>
      <c r="DP283" s="507"/>
      <c r="DQ283" s="16"/>
      <c r="DR283" s="507"/>
      <c r="DS283" s="16"/>
      <c r="DT283" s="507"/>
      <c r="DU283" s="16"/>
      <c r="DV283" s="507"/>
      <c r="DW283" s="16"/>
      <c r="DX283" s="507"/>
      <c r="DY283" s="16"/>
      <c r="DZ283" s="507"/>
      <c r="EA283" s="16"/>
      <c r="EB283" s="507"/>
      <c r="EC283" s="16"/>
      <c r="ED283" s="507"/>
      <c r="EE283" s="16"/>
      <c r="EF283" s="507"/>
      <c r="EG283" s="16"/>
      <c r="EH283" s="507"/>
      <c r="EI283" s="16"/>
      <c r="EJ283" s="507"/>
      <c r="EK283" s="16"/>
      <c r="EL283" s="507"/>
      <c r="EM283" s="687"/>
    </row>
    <row r="284" spans="1:143" ht="12.75" hidden="1" customHeight="1" outlineLevel="1" x14ac:dyDescent="0.2">
      <c r="A284" s="701" t="str">
        <f>INPUT!B315</f>
        <v>Operating Margin (%)</v>
      </c>
      <c r="B284" s="701"/>
      <c r="C284" s="507"/>
      <c r="D284" s="156">
        <f>INPUT!BA315</f>
        <v>10.400225479143183</v>
      </c>
      <c r="E284" s="687">
        <f>INPUT!BB315</f>
        <v>62.866682960253151</v>
      </c>
      <c r="F284" s="156">
        <f>INPUT!BC315</f>
        <v>8.6694762191451122</v>
      </c>
      <c r="G284" s="687">
        <f>INPUT!BD315</f>
        <v>80.20407121576352</v>
      </c>
      <c r="H284" s="156">
        <f>INPUT!BE315</f>
        <v>9.6315636785610579</v>
      </c>
      <c r="I284" s="687">
        <f>INPUT!BF315</f>
        <v>85.208773525608962</v>
      </c>
      <c r="J284" s="156">
        <f>INPUT!BG315</f>
        <v>6.3835692478490245</v>
      </c>
      <c r="K284" s="687" t="str">
        <f>INPUT!BH315</f>
        <v>NA</v>
      </c>
      <c r="L284" s="156">
        <f>INPUT!BI315</f>
        <v>7.3913043478260931</v>
      </c>
      <c r="M284" s="687">
        <f>INPUT!BJ315</f>
        <v>-28.931306704371352</v>
      </c>
      <c r="N284" s="156">
        <f>INPUT!BK315</f>
        <v>9.0340136054421833</v>
      </c>
      <c r="O284" s="687">
        <f>INPUT!BL315</f>
        <v>4.2048374905516273</v>
      </c>
      <c r="P284" s="156">
        <f>INPUT!BM315</f>
        <v>7.4093536521282131</v>
      </c>
      <c r="Q284" s="687">
        <f>INPUT!BN315</f>
        <v>-23.072162533475971</v>
      </c>
      <c r="R284" s="156">
        <f>INPUT!BO315</f>
        <v>6.5364387678437161</v>
      </c>
      <c r="S284" s="687">
        <f>INPUT!BP315</f>
        <v>2.3947342632211877</v>
      </c>
      <c r="T284" s="156">
        <f>INPUT!BQ315</f>
        <v>7.6017886561543877</v>
      </c>
      <c r="U284" s="687">
        <f>INPUT!BR315</f>
        <v>2.8477288773828047</v>
      </c>
      <c r="V284" s="156">
        <f>INPUT!BS315</f>
        <v>6.8272095332671299</v>
      </c>
      <c r="W284" s="687">
        <f>INPUT!BT315</f>
        <v>-24.42772579892565</v>
      </c>
      <c r="X284" s="156">
        <f>INPUT!BU315</f>
        <v>4.4606060606060556</v>
      </c>
      <c r="Y284" s="687">
        <f>INPUT!BV315</f>
        <v>-39.797635933806177</v>
      </c>
      <c r="Z284" s="156">
        <f>INPUT!BW315</f>
        <v>6.0987185571903311</v>
      </c>
      <c r="AA284" s="687">
        <f>INPUT!BX315</f>
        <v>-6.6966160963178867</v>
      </c>
      <c r="AB284" s="156">
        <f>INPUT!BY315</f>
        <v>7.5863626100700019</v>
      </c>
      <c r="AC284" s="687">
        <f>INPUT!BZ315</f>
        <v>-0.2029265319274165</v>
      </c>
      <c r="AD284" s="156">
        <f>INPUT!CA315</f>
        <v>8.3234847205807796</v>
      </c>
      <c r="AE284" s="687">
        <f>INPUT!CB315</f>
        <v>21.916350743634116</v>
      </c>
      <c r="AF284" s="156">
        <f>INPUT!CC315</f>
        <v>6.9418819188191705</v>
      </c>
      <c r="AG284" s="687">
        <f>INPUT!CD315</f>
        <v>55.626428886571254</v>
      </c>
      <c r="AH284" s="156">
        <f>INPUT!CE315</f>
        <v>4.7843665768194148</v>
      </c>
      <c r="AI284" s="507">
        <f>INPUT!CF315</f>
        <v>-21.551281110050702</v>
      </c>
      <c r="AJ284" s="156">
        <f>INPUT!CG315</f>
        <v>4.8287598383322745</v>
      </c>
      <c r="AK284" s="507">
        <f>INPUT!CH315</f>
        <v>-36.34947225007852</v>
      </c>
      <c r="AL284" s="156">
        <f>INPUT!CI315</f>
        <v>2.1040974529346723</v>
      </c>
      <c r="AM284" s="507" t="str">
        <f>INPUT!CJ315</f>
        <v>NM</v>
      </c>
      <c r="AN284" s="156">
        <f>INPUT!CK315</f>
        <v>3.876803790652593</v>
      </c>
      <c r="AO284" s="507">
        <f>INPUT!CL315</f>
        <v>-44.153417819702042</v>
      </c>
      <c r="AP284" s="156">
        <f>INPUT!CM315</f>
        <v>5.0428960033480008</v>
      </c>
      <c r="AQ284" s="507">
        <f>INPUT!CN315</f>
        <v>5.4036291404002901</v>
      </c>
      <c r="AR284" s="156">
        <f>INPUT!CO315</f>
        <v>5.1138633639632287</v>
      </c>
      <c r="AS284" s="507">
        <f>INPUT!CP315</f>
        <v>5.9042805021634948</v>
      </c>
      <c r="AT284" s="156">
        <f>INPUT!CQ315</f>
        <v>5.59032123487692</v>
      </c>
      <c r="AU284" s="507" t="str">
        <f>INPUT!CR315</f>
        <v>NM</v>
      </c>
      <c r="AV284" s="156">
        <f>INPUT!CS315</f>
        <v>4.1580041580041582</v>
      </c>
      <c r="AW284" s="507">
        <f>INPUT!CT315</f>
        <v>7.2534072534073291</v>
      </c>
      <c r="AX284" s="156">
        <f>INPUT!CU315</f>
        <v>3.1746031746031744</v>
      </c>
      <c r="AY284" s="507">
        <f>INPUT!CV315</f>
        <v>-37.048014226437722</v>
      </c>
      <c r="AZ284" s="156">
        <f>INPUT!CW315</f>
        <v>5</v>
      </c>
      <c r="BA284" s="507">
        <f>INPUT!CX315</f>
        <v>-2.2265624999997069</v>
      </c>
      <c r="BB284" s="156">
        <f>INPUT!CY315</f>
        <v>3.0947775628626695</v>
      </c>
      <c r="BC284" s="507">
        <f>INPUT!CZ315</f>
        <v>-44.640434192672899</v>
      </c>
      <c r="BD284" s="156">
        <f>INPUT!DA315</f>
        <v>2.4482109227871938</v>
      </c>
      <c r="BE284" s="507">
        <f>INPUT!DB315</f>
        <v>-41.120527306967993</v>
      </c>
      <c r="BF284" s="156">
        <f>INPUT!DC315</f>
        <v>2.5454545454545454</v>
      </c>
      <c r="BG284" s="507">
        <f>INPUT!DD315</f>
        <v>-19.818181818181813</v>
      </c>
      <c r="BH284" s="156">
        <f>INPUT!DE315</f>
        <v>3.8260869565217388</v>
      </c>
      <c r="BI284" s="507">
        <f>INPUT!DF315</f>
        <v>-23.478260869565226</v>
      </c>
      <c r="BJ284" s="156">
        <f>INPUT!DG315</f>
        <v>4.0998217468805702</v>
      </c>
      <c r="BK284" s="507">
        <f>INPUT!DH315</f>
        <v>32.475490196078404</v>
      </c>
      <c r="BL284" s="156">
        <f>INPUT!DI315</f>
        <v>1.9130434782608694</v>
      </c>
      <c r="BM284" s="507">
        <f>INPUT!DJ315</f>
        <v>-21.859531772575245</v>
      </c>
      <c r="BN284" s="156">
        <f>INPUT!DK315</f>
        <v>3.278688524590164</v>
      </c>
      <c r="BO284" s="507">
        <f>INPUT!DL315</f>
        <v>28.805620608899307</v>
      </c>
      <c r="BP284" s="156">
        <f>INPUT!DM315</f>
        <v>0.322061191626409</v>
      </c>
      <c r="BQ284" s="507" t="str">
        <f>INPUT!DN315</f>
        <v>NM</v>
      </c>
      <c r="BR284" s="156">
        <f>INPUT!DO315</f>
        <v>1.3377926421404682</v>
      </c>
      <c r="BS284" s="507" t="str">
        <f>INPUT!DP315</f>
        <v>NM</v>
      </c>
      <c r="BT284" s="156">
        <f>INPUT!DQ315</f>
        <v>-1.1363636363636365</v>
      </c>
      <c r="BU284" s="507" t="str">
        <f>INPUT!DR315</f>
        <v>NM</v>
      </c>
      <c r="BV284" s="156">
        <f>INPUT!DS315</f>
        <v>-0.99173553719008267</v>
      </c>
      <c r="BW284" s="507" t="str">
        <f>INPUT!DT315</f>
        <v>NM</v>
      </c>
      <c r="BX284" s="156">
        <f>INPUT!DU315</f>
        <v>3.0794165316045379</v>
      </c>
      <c r="BY284" s="507" t="str">
        <f>INPUT!DV315</f>
        <v>NM</v>
      </c>
      <c r="BZ284" s="156">
        <f>INPUT!DW315</f>
        <v>2.9824561403508771</v>
      </c>
      <c r="CA284" s="507">
        <f>INPUT!DX315</f>
        <v>2.9824561403508771</v>
      </c>
      <c r="CB284" s="156">
        <f>INPUT!DY315</f>
        <v>2.3008849557522124</v>
      </c>
      <c r="CC284" s="507" t="str">
        <f>INPUT!DZ315</f>
        <v>NM</v>
      </c>
      <c r="CD284" s="156">
        <f>INPUT!EA315</f>
        <v>0.93632958801498134</v>
      </c>
      <c r="CE284" s="507" t="str">
        <f>INPUT!EB315</f>
        <v>NM</v>
      </c>
      <c r="CF284" s="156">
        <f>INPUT!EC315</f>
        <v>2.8571428571428572</v>
      </c>
      <c r="CG284" s="507">
        <f>INPUT!ED315</f>
        <v>-7.2180451127819456</v>
      </c>
      <c r="CH284" s="156">
        <f>INPUT!EE315</f>
        <v>5.2434456928838955</v>
      </c>
      <c r="CI284" s="507">
        <f>INPUT!EF315</f>
        <v>75.809649702577687</v>
      </c>
      <c r="CJ284" s="156">
        <f>INPUT!EG315</f>
        <v>2.9795158286778398</v>
      </c>
      <c r="CK284" s="507">
        <f>INPUT!EH315</f>
        <v>29.494341784844579</v>
      </c>
      <c r="CL284" s="156">
        <f>INPUT!EI315</f>
        <v>1.2939001848428837</v>
      </c>
      <c r="CM284" s="507">
        <f>INPUT!EJ315</f>
        <v>38.188539741219962</v>
      </c>
      <c r="CN284" s="156">
        <f>INPUT!EK315</f>
        <v>6.4695009242144179</v>
      </c>
      <c r="CO284" s="507" t="str">
        <f>INPUT!EL315</f>
        <v>NM</v>
      </c>
      <c r="CP284" s="156">
        <f>INPUT!EM315</f>
        <v>7.2695035460992905</v>
      </c>
      <c r="CQ284" s="507">
        <f>INPUT!EN315</f>
        <v>38.639817629179319</v>
      </c>
      <c r="CR284" s="156">
        <f>INPUT!EO315</f>
        <v>3.6101083032490973</v>
      </c>
      <c r="CS284" s="507">
        <f>INPUT!EP315</f>
        <v>21.164259927797822</v>
      </c>
      <c r="CT284" s="156">
        <f>INPUT!EQ315</f>
        <v>3.1599999999999953</v>
      </c>
      <c r="CU284" s="507" t="str">
        <f>INPUT!ER315</f>
        <v>NM</v>
      </c>
      <c r="CV284" s="156">
        <f>INPUT!ES315</f>
        <v>5.1350000000000042</v>
      </c>
      <c r="CW284" s="507">
        <f>INPUT!ET315</f>
        <v>-20.627571428571368</v>
      </c>
      <c r="CX284" s="156">
        <f>INPUT!EU315</f>
        <v>4.344999999999998</v>
      </c>
      <c r="CY284" s="507">
        <f>INPUT!EV315</f>
        <v>-40.229756097561001</v>
      </c>
      <c r="CZ284" s="156">
        <f>INPUT!EW315</f>
        <v>4.3450000000000033</v>
      </c>
      <c r="DA284" s="507">
        <f>INPUT!EX315</f>
        <v>20.356500000000089</v>
      </c>
      <c r="DB284" s="507"/>
      <c r="DC284" s="156"/>
      <c r="DD284" s="507"/>
      <c r="DE284" s="156">
        <f>INPUT!FR315</f>
        <v>12.445478336725795</v>
      </c>
      <c r="DF284" s="687">
        <f>INPUT!FS315</f>
        <v>83.522370825683993</v>
      </c>
      <c r="DG284" s="156">
        <f>INPUT!FT315</f>
        <v>7.5563558756835913</v>
      </c>
      <c r="DH284" s="687">
        <f>INPUT!FU315</f>
        <v>-39.284327438140501</v>
      </c>
      <c r="DI284" s="156">
        <f>INPUT!FV315</f>
        <v>6.3616956389143091</v>
      </c>
      <c r="DJ284" s="687">
        <f>INPUT!FW315</f>
        <v>-15.810004933908782</v>
      </c>
      <c r="DK284" s="156">
        <f>INPUT!FX315</f>
        <v>7.2355781864047479</v>
      </c>
      <c r="DL284" s="507">
        <f>INPUT!FY315</f>
        <v>13.736629305949876</v>
      </c>
      <c r="DM284" s="156">
        <f>INPUT!FZ315</f>
        <v>3.9047567036207793</v>
      </c>
      <c r="DN284" s="507">
        <f>INPUT!GA315</f>
        <v>-46.033936707952364</v>
      </c>
      <c r="DO284" s="156">
        <f>INPUT!GB315</f>
        <v>4.9770488421269832</v>
      </c>
      <c r="DP284" s="507">
        <f>INPUT!GC315</f>
        <v>27.461176710751147</v>
      </c>
      <c r="DQ284" s="156">
        <f>INPUT!GD315</f>
        <v>3.4416826003824093</v>
      </c>
      <c r="DR284" s="507">
        <f>INPUT!GE315</f>
        <v>-30.848928560814016</v>
      </c>
      <c r="DS284" s="156">
        <f>INPUT!GF315</f>
        <v>3.0959752321981426</v>
      </c>
      <c r="DT284" s="507">
        <f>INPUT!GG315</f>
        <v>-10.04471964224286</v>
      </c>
      <c r="DU284" s="156">
        <f>INPUT!GH315</f>
        <v>0.94069529652351747</v>
      </c>
      <c r="DV284" s="507" t="str">
        <f>INPUT!GI315</f>
        <v>NM</v>
      </c>
      <c r="DW284" s="156">
        <f>INPUT!GJ315</f>
        <v>1.8243529910903691</v>
      </c>
      <c r="DX284" s="507">
        <f>INPUT!GK315</f>
        <v>93.936654922432709</v>
      </c>
      <c r="DY284" s="156">
        <f>INPUT!GL315</f>
        <v>3.004694835680751</v>
      </c>
      <c r="DZ284" s="507">
        <f>INPUT!GM315</f>
        <v>64.699202969756513</v>
      </c>
      <c r="EA284" s="156">
        <f>INPUT!GN315</f>
        <v>4.6818181818181825</v>
      </c>
      <c r="EB284" s="507">
        <f>INPUT!GO315</f>
        <v>55.816761363636402</v>
      </c>
      <c r="EC284" s="156">
        <f>INPUT!GP315</f>
        <v>4.2766367112684396</v>
      </c>
      <c r="ED284" s="507">
        <f>INPUT!GQ315</f>
        <v>-8.6543615068877084</v>
      </c>
      <c r="EE284" s="156">
        <f>INPUT!GR315</f>
        <v>4.4634999999999989</v>
      </c>
      <c r="EF284" s="507">
        <f>INPUT!GS315</f>
        <v>4.3693982292018374</v>
      </c>
      <c r="EG284" s="156">
        <f>INPUT!GT315</f>
        <v>5.1350000000000051</v>
      </c>
      <c r="EH284" s="507">
        <f>INPUT!GU315</f>
        <v>15.044247787610754</v>
      </c>
      <c r="EI284" s="156">
        <f>INPUT!GV315</f>
        <v>5.135000000000006</v>
      </c>
      <c r="EJ284" s="507">
        <f>INPUT!GW315</f>
        <v>2.2204460492503131E-14</v>
      </c>
      <c r="EK284" s="156">
        <f>INPUT!GX315</f>
        <v>5.1350000000000069</v>
      </c>
      <c r="EL284" s="507">
        <f>INPUT!GY315</f>
        <v>2.2204460492503131E-14</v>
      </c>
      <c r="EM284" s="687">
        <f>INPUT!GZ315</f>
        <v>1.8650448670672004</v>
      </c>
    </row>
    <row r="285" spans="1:143" ht="12.75" hidden="1" customHeight="1" outlineLevel="1" x14ac:dyDescent="0.2">
      <c r="A285" s="701"/>
      <c r="B285" s="701"/>
      <c r="C285" s="507"/>
      <c r="D285" s="16"/>
      <c r="E285" s="687"/>
      <c r="F285" s="16"/>
      <c r="G285" s="687"/>
      <c r="H285" s="16"/>
      <c r="I285" s="687"/>
      <c r="J285" s="16"/>
      <c r="K285" s="687"/>
      <c r="L285" s="16"/>
      <c r="M285" s="687"/>
      <c r="N285" s="16"/>
      <c r="O285" s="687"/>
      <c r="P285" s="16"/>
      <c r="Q285" s="687"/>
      <c r="R285" s="16"/>
      <c r="S285" s="687"/>
      <c r="T285" s="16"/>
      <c r="U285" s="687"/>
      <c r="V285" s="16"/>
      <c r="W285" s="687"/>
      <c r="X285" s="16"/>
      <c r="Y285" s="687"/>
      <c r="Z285" s="16"/>
      <c r="AA285" s="687"/>
      <c r="AB285" s="16"/>
      <c r="AC285" s="687"/>
      <c r="AD285" s="16"/>
      <c r="AE285" s="687"/>
      <c r="AF285" s="16"/>
      <c r="AG285" s="687"/>
      <c r="AH285" s="16"/>
      <c r="AI285" s="507"/>
      <c r="AJ285" s="16"/>
      <c r="AK285" s="507"/>
      <c r="AL285" s="16"/>
      <c r="AM285" s="507"/>
      <c r="AN285" s="16"/>
      <c r="AO285" s="507"/>
      <c r="AP285" s="16"/>
      <c r="AQ285" s="507"/>
      <c r="AR285" s="16"/>
      <c r="AS285" s="507"/>
      <c r="AT285" s="16"/>
      <c r="AU285" s="507"/>
      <c r="AV285" s="16"/>
      <c r="AW285" s="507"/>
      <c r="AX285" s="16"/>
      <c r="AY285" s="507"/>
      <c r="AZ285" s="16"/>
      <c r="BA285" s="507"/>
      <c r="BB285" s="16"/>
      <c r="BC285" s="507"/>
      <c r="BD285" s="16"/>
      <c r="BE285" s="507"/>
      <c r="BF285" s="16"/>
      <c r="BG285" s="507"/>
      <c r="BH285" s="16"/>
      <c r="BI285" s="507"/>
      <c r="BJ285" s="16"/>
      <c r="BK285" s="507"/>
      <c r="BL285" s="16"/>
      <c r="BM285" s="507"/>
      <c r="BN285" s="16"/>
      <c r="BO285" s="507"/>
      <c r="BP285" s="16"/>
      <c r="BQ285" s="507"/>
      <c r="BR285" s="16"/>
      <c r="BS285" s="507"/>
      <c r="BT285" s="16"/>
      <c r="BU285" s="507"/>
      <c r="BV285" s="16"/>
      <c r="BW285" s="507"/>
      <c r="BX285" s="16"/>
      <c r="BY285" s="507"/>
      <c r="BZ285" s="16"/>
      <c r="CA285" s="507"/>
      <c r="CB285" s="16"/>
      <c r="CC285" s="507"/>
      <c r="CD285" s="16"/>
      <c r="CE285" s="507"/>
      <c r="CF285" s="16"/>
      <c r="CG285" s="507"/>
      <c r="CH285" s="16"/>
      <c r="CI285" s="507"/>
      <c r="CJ285" s="16"/>
      <c r="CK285" s="507"/>
      <c r="CL285" s="16"/>
      <c r="CM285" s="507"/>
      <c r="CN285" s="16"/>
      <c r="CO285" s="507"/>
      <c r="CP285" s="16"/>
      <c r="CQ285" s="507"/>
      <c r="CR285" s="16"/>
      <c r="CS285" s="507"/>
      <c r="CT285" s="16"/>
      <c r="CU285" s="507"/>
      <c r="CV285" s="16"/>
      <c r="CW285" s="507"/>
      <c r="CX285" s="16"/>
      <c r="CY285" s="507"/>
      <c r="CZ285" s="16"/>
      <c r="DA285" s="507"/>
      <c r="DB285" s="507"/>
      <c r="DC285" s="16"/>
      <c r="DD285" s="507"/>
      <c r="DE285" s="16"/>
      <c r="DF285" s="687"/>
      <c r="DG285" s="16"/>
      <c r="DH285" s="687"/>
      <c r="DI285" s="16"/>
      <c r="DJ285" s="687"/>
      <c r="DK285" s="16"/>
      <c r="DL285" s="507"/>
      <c r="DM285" s="16"/>
      <c r="DN285" s="507"/>
      <c r="DO285" s="16"/>
      <c r="DP285" s="507"/>
      <c r="DQ285" s="16"/>
      <c r="DR285" s="507"/>
      <c r="DS285" s="16"/>
      <c r="DT285" s="507"/>
      <c r="DU285" s="16"/>
      <c r="DV285" s="507"/>
      <c r="DW285" s="16"/>
      <c r="DX285" s="507"/>
      <c r="DY285" s="16"/>
      <c r="DZ285" s="507"/>
      <c r="EA285" s="16"/>
      <c r="EB285" s="507"/>
      <c r="EC285" s="16"/>
      <c r="ED285" s="507"/>
      <c r="EE285" s="16"/>
      <c r="EF285" s="507"/>
      <c r="EG285" s="16"/>
      <c r="EH285" s="507"/>
      <c r="EI285" s="16"/>
      <c r="EJ285" s="507"/>
      <c r="EK285" s="16"/>
      <c r="EL285" s="507"/>
      <c r="EM285" s="687"/>
    </row>
    <row r="286" spans="1:143" ht="12.75" hidden="1" customHeight="1" outlineLevel="1" x14ac:dyDescent="0.2">
      <c r="A286" s="701" t="str">
        <f>INPUT!B290</f>
        <v>Inv Inc/Total Revenues (%)</v>
      </c>
      <c r="B286" s="701"/>
      <c r="C286" s="507"/>
      <c r="D286" s="464">
        <f>INPUT!BA290</f>
        <v>7.0744081172491553</v>
      </c>
      <c r="E286" s="687">
        <f>INPUT!BB290</f>
        <v>-0.76674905273063088</v>
      </c>
      <c r="F286" s="464">
        <f>INPUT!BC290</f>
        <v>8.1577363034316672</v>
      </c>
      <c r="G286" s="687">
        <f>INPUT!BD290</f>
        <v>4.2438519839535838</v>
      </c>
      <c r="H286" s="464">
        <f>INPUT!BE290</f>
        <v>8.1230055120394553</v>
      </c>
      <c r="I286" s="687">
        <f>INPUT!BF290</f>
        <v>4.816962923001622</v>
      </c>
      <c r="J286" s="464">
        <f>INPUT!BG290</f>
        <v>7.7435470441298904</v>
      </c>
      <c r="K286" s="687" t="str">
        <f>INPUT!BH290</f>
        <v>NA</v>
      </c>
      <c r="L286" s="464">
        <f>INPUT!BI290</f>
        <v>7.2890025575447579</v>
      </c>
      <c r="M286" s="687">
        <f>INPUT!BJ290</f>
        <v>3.0333907337402266</v>
      </c>
      <c r="N286" s="464">
        <f>INPUT!BK290</f>
        <v>8.0272108843537424</v>
      </c>
      <c r="O286" s="687">
        <f>INPUT!BL290</f>
        <v>-1.6000200818334531</v>
      </c>
      <c r="P286" s="464">
        <f>INPUT!BM290</f>
        <v>7.7509196006305832</v>
      </c>
      <c r="Q286" s="687">
        <f>INPUT!BN290</f>
        <v>-4.5806433450942263</v>
      </c>
      <c r="R286" s="464">
        <f>INPUT!BO290</f>
        <v>6.9371399949912353</v>
      </c>
      <c r="S286" s="687">
        <f>INPUT!BP290</f>
        <v>-10.413923290489514</v>
      </c>
      <c r="T286" s="464">
        <f>INPUT!BQ290</f>
        <v>7.178159566956932</v>
      </c>
      <c r="U286" s="687">
        <f>INPUT!BR290</f>
        <v>-1.5206880463101702</v>
      </c>
      <c r="V286" s="464">
        <f>INPUT!BS290</f>
        <v>7.6464746772591852</v>
      </c>
      <c r="W286" s="687">
        <f>INPUT!BT290</f>
        <v>-4.7430696985508387</v>
      </c>
      <c r="X286" s="464">
        <f>INPUT!BU290</f>
        <v>6.8606060606060604</v>
      </c>
      <c r="Y286" s="687">
        <f>INPUT!BV290</f>
        <v>-11.48655367231639</v>
      </c>
      <c r="Z286" s="464">
        <f>INPUT!BW290</f>
        <v>7.1428571428571423</v>
      </c>
      <c r="AA286" s="687">
        <f>INPUT!BX290</f>
        <v>2.9654461062403215</v>
      </c>
      <c r="AB286" s="464">
        <f>INPUT!BY290</f>
        <v>6.3445473018740124</v>
      </c>
      <c r="AC286" s="687">
        <f>INPUT!BZ290</f>
        <v>-11.613175456843694</v>
      </c>
      <c r="AD286" s="464">
        <f>INPUT!CA290</f>
        <v>8.0798822990280019</v>
      </c>
      <c r="AE286" s="687">
        <f>INPUT!CB290</f>
        <v>5.6680711054701183</v>
      </c>
      <c r="AF286" s="464">
        <f>INPUT!CC290</f>
        <v>8.2333948339483403</v>
      </c>
      <c r="AG286" s="687">
        <f>INPUT!CD290</f>
        <v>20.009730353487299</v>
      </c>
      <c r="AH286" s="156">
        <f>INPUT!CE290</f>
        <v>7.5471698113207557</v>
      </c>
      <c r="AI286" s="507">
        <f>INPUT!CF290</f>
        <v>5.660377358490587</v>
      </c>
      <c r="AJ286" s="156">
        <f>INPUT!CG290</f>
        <v>7.2963199319293768</v>
      </c>
      <c r="AK286" s="507">
        <f>INPUT!CH290</f>
        <v>15.001426969805021</v>
      </c>
      <c r="AL286" s="156">
        <f>INPUT!CI290</f>
        <v>7.7519379844961236</v>
      </c>
      <c r="AM286" s="507">
        <f>INPUT!CJ290</f>
        <v>-4.0587758880018532</v>
      </c>
      <c r="AN286" s="156">
        <f>INPUT!CK290</f>
        <v>8.205901356881327</v>
      </c>
      <c r="AO286" s="507">
        <f>INPUT!CL290</f>
        <v>-0.33392637692596372</v>
      </c>
      <c r="AP286" s="156">
        <f>INPUT!CM290</f>
        <v>8.1816279556392555</v>
      </c>
      <c r="AQ286" s="507">
        <f>INPUT!CN290</f>
        <v>8.4065704122201268</v>
      </c>
      <c r="AR286" s="156">
        <f>INPUT!CO290</f>
        <v>7.6907710747103479</v>
      </c>
      <c r="AS286" s="507">
        <f>INPUT!CP290</f>
        <v>5.406165662429574</v>
      </c>
      <c r="AT286" s="156">
        <f>INPUT!CQ290</f>
        <v>7.8848560700876096</v>
      </c>
      <c r="AU286" s="507">
        <f>INPUT!CR290</f>
        <v>1.714643304130159</v>
      </c>
      <c r="AV286" s="156">
        <f>INPUT!CS290</f>
        <v>7.6923076923076925</v>
      </c>
      <c r="AW286" s="507">
        <f>INPUT!CT290</f>
        <v>-6.2588330304865769</v>
      </c>
      <c r="AX286" s="156">
        <f>INPUT!CU290</f>
        <v>7.5396825396825395</v>
      </c>
      <c r="AY286" s="507">
        <f>INPUT!CV290</f>
        <v>-7.8461819510412978</v>
      </c>
      <c r="AZ286" s="156">
        <f>INPUT!CW290</f>
        <v>7.7777777777777777</v>
      </c>
      <c r="BA286" s="507">
        <f>INPUT!CX290</f>
        <v>1.1313131313131164</v>
      </c>
      <c r="BB286" s="156">
        <f>INPUT!CY290</f>
        <v>7.9303675048355888</v>
      </c>
      <c r="BC286" s="507">
        <f>INPUT!CZ290</f>
        <v>0.57720057720056506</v>
      </c>
      <c r="BD286" s="156">
        <f>INPUT!DA290</f>
        <v>7.7212806026365346</v>
      </c>
      <c r="BE286" s="507">
        <f>INPUT!DB290</f>
        <v>0.37664783427495685</v>
      </c>
      <c r="BF286" s="156">
        <f>INPUT!DC290</f>
        <v>7.0909090909090908</v>
      </c>
      <c r="BG286" s="507">
        <f>INPUT!DD290</f>
        <v>-5.952153110047842</v>
      </c>
      <c r="BH286" s="156">
        <f>INPUT!DE290</f>
        <v>7.304347826086957</v>
      </c>
      <c r="BI286" s="507">
        <f>INPUT!DF290</f>
        <v>-6.086956521739129</v>
      </c>
      <c r="BJ286" s="156">
        <f>INPUT!DG290</f>
        <v>7.3083778966131909</v>
      </c>
      <c r="BK286" s="507">
        <f>INPUT!DH290</f>
        <v>-7.8431372549019436</v>
      </c>
      <c r="BL286" s="156">
        <f>INPUT!DI290</f>
        <v>7.4782608695652177</v>
      </c>
      <c r="BM286" s="507">
        <f>INPUT!DJ290</f>
        <v>-3.1474019088016947</v>
      </c>
      <c r="BN286" s="156">
        <f>INPUT!DK290</f>
        <v>7.3770491803278686</v>
      </c>
      <c r="BO286" s="507">
        <f>INPUT!DL290</f>
        <v>4.035308953341743</v>
      </c>
      <c r="BP286" s="156">
        <f>INPUT!DM290</f>
        <v>7.0853462157809979</v>
      </c>
      <c r="BQ286" s="507">
        <f>INPUT!DN290</f>
        <v>-2.9982363315696814</v>
      </c>
      <c r="BR286" s="156">
        <f>INPUT!DO290</f>
        <v>7.5250836120401345</v>
      </c>
      <c r="BS286" s="507">
        <f>INPUT!DP290</f>
        <v>2.965168447671096</v>
      </c>
      <c r="BT286" s="156">
        <f>INPUT!DQ290</f>
        <v>7.4675324675324672</v>
      </c>
      <c r="BU286" s="507">
        <f>INPUT!DR290</f>
        <v>-0.14346118997282664</v>
      </c>
      <c r="BV286" s="156">
        <f>INPUT!DS290</f>
        <v>7.1074380165289259</v>
      </c>
      <c r="BW286" s="507">
        <f>INPUT!DT290</f>
        <v>-3.6547291092745571</v>
      </c>
      <c r="BX286" s="156">
        <f>INPUT!DU290</f>
        <v>7.6175040518638575</v>
      </c>
      <c r="BY286" s="507">
        <f>INPUT!DV290</f>
        <v>7.5106821865330797</v>
      </c>
      <c r="BZ286" s="156">
        <f>INPUT!DW290</f>
        <v>8.4210526315789469</v>
      </c>
      <c r="CA286" s="507">
        <f>INPUT!DX290</f>
        <v>8.4210526315789469</v>
      </c>
      <c r="CB286" s="156">
        <f>INPUT!DY290</f>
        <v>7.9646017699115044</v>
      </c>
      <c r="CC286" s="507">
        <f>INPUT!DZ290</f>
        <v>6.6564063101192783</v>
      </c>
      <c r="CD286" s="156">
        <f>INPUT!EA290</f>
        <v>7.8651685393258424</v>
      </c>
      <c r="CE286" s="507">
        <f>INPUT!EB290</f>
        <v>10.661092239351966</v>
      </c>
      <c r="CF286" s="156">
        <f>INPUT!EC290</f>
        <v>8.1904761904761916</v>
      </c>
      <c r="CG286" s="507">
        <f>INPUT!ED290</f>
        <v>7.5217831813576552</v>
      </c>
      <c r="CH286" s="156">
        <f>INPUT!EE290</f>
        <v>8.4269662921348321</v>
      </c>
      <c r="CI286" s="507">
        <f>INPUT!EF290</f>
        <v>7.0224719101141808E-2</v>
      </c>
      <c r="CJ286" s="156">
        <f>INPUT!EG290</f>
        <v>8.7523277467411553</v>
      </c>
      <c r="CK286" s="507">
        <f>INPUT!EH290</f>
        <v>9.8903372646389478</v>
      </c>
      <c r="CL286" s="156">
        <f>INPUT!EI290</f>
        <v>7.9482439926062849</v>
      </c>
      <c r="CM286" s="507">
        <f>INPUT!EJ290</f>
        <v>1.0562450488513342</v>
      </c>
      <c r="CN286" s="156">
        <f>INPUT!EK290</f>
        <v>7.9482439926062849</v>
      </c>
      <c r="CO286" s="507">
        <f>INPUT!EL290</f>
        <v>-2.9574861367837491</v>
      </c>
      <c r="CP286" s="156">
        <f>INPUT!EM290</f>
        <v>7.2695035460992905</v>
      </c>
      <c r="CQ286" s="507">
        <f>INPUT!EN290</f>
        <v>-13.73522458628843</v>
      </c>
      <c r="CR286" s="156">
        <f>INPUT!EO290</f>
        <v>7.4007220216606493</v>
      </c>
      <c r="CS286" s="507">
        <f>INPUT!EP290</f>
        <v>-15.442814348260248</v>
      </c>
      <c r="CT286" s="156">
        <f>INPUT!EQ290</f>
        <v>7.3682618482041979</v>
      </c>
      <c r="CU286" s="507">
        <f>INPUT!ER290</f>
        <v>-7.2969846539890471</v>
      </c>
      <c r="CV286" s="156">
        <f>INPUT!ES290</f>
        <v>7.3359008515660129</v>
      </c>
      <c r="CW286" s="507">
        <f>INPUT!ET290</f>
        <v>-7.7041311465764428</v>
      </c>
      <c r="CX286" s="156">
        <f>INPUT!EU290</f>
        <v>6.0039777006646649</v>
      </c>
      <c r="CY286" s="507">
        <f>INPUT!EV290</f>
        <v>-17.40869699573485</v>
      </c>
      <c r="CZ286" s="156">
        <f>INPUT!EW290</f>
        <v>5.9777661671922662</v>
      </c>
      <c r="DA286" s="507">
        <f>INPUT!EX290</f>
        <v>-19.227257155499622</v>
      </c>
      <c r="DB286" s="507"/>
      <c r="DC286" s="151"/>
      <c r="DD286" s="507"/>
      <c r="DE286" s="464">
        <f>INPUT!FR290</f>
        <v>7.7735775903848019</v>
      </c>
      <c r="DF286" s="687">
        <f>INPUT!FS290</f>
        <v>2.6596474948382687</v>
      </c>
      <c r="DG286" s="464">
        <f>INPUT!FT290</f>
        <v>7.6964118980925713</v>
      </c>
      <c r="DH286" s="687">
        <f>INPUT!FU290</f>
        <v>-0.99266639324058215</v>
      </c>
      <c r="DI286" s="464">
        <f>INPUT!FV290</f>
        <v>7.1546203110704472</v>
      </c>
      <c r="DJ286" s="687">
        <f>INPUT!FW290</f>
        <v>-7.0395347104070467</v>
      </c>
      <c r="DK286" s="156">
        <f>INPUT!FX290</f>
        <v>7.4393726168022383</v>
      </c>
      <c r="DL286" s="507">
        <f>INPUT!FY290</f>
        <v>3.9799778793458751</v>
      </c>
      <c r="DM286" s="156">
        <f>INPUT!FZ290</f>
        <v>7.7002894435039053</v>
      </c>
      <c r="DN286" s="507">
        <f>INPUT!GA290</f>
        <v>3.5072423461135926</v>
      </c>
      <c r="DO286" s="156">
        <f>INPUT!GB290</f>
        <v>7.8601268760637462</v>
      </c>
      <c r="DP286" s="507">
        <f>INPUT!GC290</f>
        <v>2.0757327855342123</v>
      </c>
      <c r="DQ286" s="156">
        <f>INPUT!GD290</f>
        <v>7.7437858508604211</v>
      </c>
      <c r="DR286" s="507">
        <f>INPUT!GE290</f>
        <v>-1.480141822616321</v>
      </c>
      <c r="DS286" s="156">
        <f>INPUT!GF290</f>
        <v>7.2976559044670504</v>
      </c>
      <c r="DT286" s="507">
        <f>INPUT!GG290</f>
        <v>-5.7611348633020416</v>
      </c>
      <c r="DU286" s="156">
        <f>INPUT!GH290</f>
        <v>7.3619631901840492</v>
      </c>
      <c r="DV286" s="507">
        <f>INPUT!GI290</f>
        <v>0.88120468488566139</v>
      </c>
      <c r="DW286" s="156">
        <f>INPUT!GJ290</f>
        <v>7.7641069155706415</v>
      </c>
      <c r="DX286" s="507">
        <f>INPUT!GK290</f>
        <v>5.4624522698345501</v>
      </c>
      <c r="DY286" s="156">
        <f>INPUT!GL290</f>
        <v>8.3098591549295779</v>
      </c>
      <c r="DZ286" s="507">
        <f>INPUT!GM290</f>
        <v>7.0291695528361453</v>
      </c>
      <c r="EA286" s="156">
        <f>INPUT!GN290</f>
        <v>7.6363636363636367</v>
      </c>
      <c r="EB286" s="507">
        <f>INPUT!GO290</f>
        <v>-8.1047765793528566</v>
      </c>
      <c r="EC286" s="156">
        <f>INPUT!GP290</f>
        <v>6.479477983059641</v>
      </c>
      <c r="ED286" s="507">
        <f>INPUT!GQ290</f>
        <v>-15.149693078980897</v>
      </c>
      <c r="EE286" s="156">
        <f>INPUT!GR290</f>
        <v>6.0887532607597814</v>
      </c>
      <c r="EF286" s="507">
        <f>INPUT!GS290</f>
        <v>-6.0301882855593458</v>
      </c>
      <c r="EG286" s="156">
        <f>INPUT!GT290</f>
        <v>6.2016392078267657</v>
      </c>
      <c r="EH286" s="507">
        <f>INPUT!GU290</f>
        <v>1.8540075813960222</v>
      </c>
      <c r="EI286" s="156">
        <f>INPUT!GV290</f>
        <v>6.2873509454723795</v>
      </c>
      <c r="EJ286" s="507">
        <f>INPUT!GW290</f>
        <v>1.3820819749952751</v>
      </c>
      <c r="EK286" s="156">
        <f>INPUT!GX290</f>
        <v>6.3741514138433413</v>
      </c>
      <c r="EL286" s="507">
        <f>INPUT!GY290</f>
        <v>1.3805570760046182</v>
      </c>
      <c r="EM286" s="687">
        <f>INPUT!GZ290</f>
        <v>-3.5489066796740576</v>
      </c>
    </row>
    <row r="287" spans="1:143" ht="12.75" hidden="1" customHeight="1" outlineLevel="1" x14ac:dyDescent="0.2">
      <c r="A287" s="701"/>
      <c r="B287" s="16"/>
      <c r="C287" s="507"/>
      <c r="D287" s="16"/>
      <c r="E287" s="687"/>
      <c r="F287" s="16"/>
      <c r="G287" s="687"/>
      <c r="H287" s="16"/>
      <c r="I287" s="687"/>
      <c r="J287" s="16"/>
      <c r="K287" s="687"/>
      <c r="L287" s="16"/>
      <c r="M287" s="687"/>
      <c r="N287" s="16"/>
      <c r="O287" s="687"/>
      <c r="P287" s="16"/>
      <c r="Q287" s="687"/>
      <c r="R287" s="16"/>
      <c r="S287" s="687"/>
      <c r="T287" s="16"/>
      <c r="U287" s="687"/>
      <c r="V287" s="16"/>
      <c r="W287" s="687"/>
      <c r="X287" s="16"/>
      <c r="Y287" s="687"/>
      <c r="Z287" s="16"/>
      <c r="AA287" s="687"/>
      <c r="AB287" s="16"/>
      <c r="AC287" s="687"/>
      <c r="AD287" s="16"/>
      <c r="AE287" s="687"/>
      <c r="AF287" s="16"/>
      <c r="AG287" s="687"/>
      <c r="AH287" s="16"/>
      <c r="AI287" s="507"/>
      <c r="AJ287" s="16"/>
      <c r="AK287" s="507"/>
      <c r="AL287" s="16"/>
      <c r="AM287" s="507"/>
      <c r="AN287" s="16"/>
      <c r="AO287" s="507"/>
      <c r="AP287" s="16"/>
      <c r="AQ287" s="507"/>
      <c r="AR287" s="16"/>
      <c r="AS287" s="507"/>
      <c r="AT287" s="16"/>
      <c r="AU287" s="507"/>
      <c r="AV287" s="16"/>
      <c r="AW287" s="507"/>
      <c r="AX287" s="16"/>
      <c r="AY287" s="507"/>
      <c r="AZ287" s="16"/>
      <c r="BA287" s="507"/>
      <c r="BB287" s="16"/>
      <c r="BC287" s="507"/>
      <c r="BD287" s="16"/>
      <c r="BE287" s="507"/>
      <c r="BF287" s="16"/>
      <c r="BG287" s="507"/>
      <c r="BH287" s="16"/>
      <c r="BI287" s="507"/>
      <c r="BJ287" s="16"/>
      <c r="BK287" s="507"/>
      <c r="BL287" s="16"/>
      <c r="BM287" s="507"/>
      <c r="BN287" s="16"/>
      <c r="BO287" s="507"/>
      <c r="BP287" s="16"/>
      <c r="BQ287" s="507"/>
      <c r="BR287" s="16"/>
      <c r="BS287" s="507"/>
      <c r="BT287" s="16"/>
      <c r="BU287" s="507"/>
      <c r="BV287" s="16"/>
      <c r="BW287" s="507"/>
      <c r="BX287" s="16"/>
      <c r="BY287" s="507"/>
      <c r="BZ287" s="16"/>
      <c r="CA287" s="507"/>
      <c r="CB287" s="16"/>
      <c r="CC287" s="507"/>
      <c r="CD287" s="16"/>
      <c r="CE287" s="507"/>
      <c r="CF287" s="16"/>
      <c r="CG287" s="507"/>
      <c r="CH287" s="16"/>
      <c r="CI287" s="507"/>
      <c r="CJ287" s="16"/>
      <c r="CK287" s="507"/>
      <c r="CL287" s="16"/>
      <c r="CM287" s="507"/>
      <c r="CN287" s="16"/>
      <c r="CO287" s="507"/>
      <c r="CP287" s="16"/>
      <c r="CQ287" s="507"/>
      <c r="CR287" s="16"/>
      <c r="CS287" s="507"/>
      <c r="CT287" s="16"/>
      <c r="CU287" s="507"/>
      <c r="CV287" s="16"/>
      <c r="CW287" s="507"/>
      <c r="CX287" s="16"/>
      <c r="CY287" s="507"/>
      <c r="CZ287" s="16"/>
      <c r="DA287" s="507"/>
      <c r="DB287" s="507"/>
      <c r="DC287" s="16"/>
      <c r="DD287" s="507"/>
      <c r="DE287" s="16"/>
      <c r="DF287" s="687"/>
      <c r="DG287" s="16"/>
      <c r="DH287" s="687"/>
      <c r="DI287" s="16"/>
      <c r="DJ287" s="687"/>
      <c r="DK287" s="16"/>
      <c r="DL287" s="507"/>
      <c r="DM287" s="16"/>
      <c r="DN287" s="507"/>
      <c r="DO287" s="16"/>
      <c r="DP287" s="507"/>
      <c r="DQ287" s="16"/>
      <c r="DR287" s="507"/>
      <c r="DS287" s="16"/>
      <c r="DT287" s="507"/>
      <c r="DU287" s="16"/>
      <c r="DV287" s="507"/>
      <c r="DW287" s="16"/>
      <c r="DX287" s="507"/>
      <c r="DY287" s="16"/>
      <c r="DZ287" s="507"/>
      <c r="EA287" s="16"/>
      <c r="EB287" s="507"/>
      <c r="EC287" s="16"/>
      <c r="ED287" s="507"/>
      <c r="EE287" s="16"/>
      <c r="EF287" s="507"/>
      <c r="EG287" s="16"/>
      <c r="EH287" s="507"/>
      <c r="EI287" s="16"/>
      <c r="EJ287" s="507"/>
      <c r="EK287" s="16"/>
      <c r="EL287" s="507"/>
      <c r="EM287" s="687"/>
    </row>
    <row r="288" spans="1:143" ht="12.75" hidden="1" customHeight="1" outlineLevel="1" x14ac:dyDescent="0.2">
      <c r="A288" s="700" t="str">
        <f>INPUT!B299</f>
        <v>Benefits and Expenses Analysis</v>
      </c>
      <c r="B288" s="16"/>
      <c r="C288" s="507"/>
      <c r="D288" s="16"/>
      <c r="E288" s="687"/>
      <c r="F288" s="16"/>
      <c r="G288" s="687"/>
      <c r="H288" s="16"/>
      <c r="I288" s="687"/>
      <c r="J288" s="16"/>
      <c r="K288" s="687"/>
      <c r="L288" s="16"/>
      <c r="M288" s="687"/>
      <c r="N288" s="16"/>
      <c r="O288" s="687"/>
      <c r="P288" s="16"/>
      <c r="Q288" s="687"/>
      <c r="R288" s="16"/>
      <c r="S288" s="687"/>
      <c r="T288" s="16"/>
      <c r="U288" s="687"/>
      <c r="V288" s="16"/>
      <c r="W288" s="687"/>
      <c r="X288" s="16"/>
      <c r="Y288" s="687"/>
      <c r="Z288" s="16"/>
      <c r="AA288" s="687"/>
      <c r="AB288" s="16"/>
      <c r="AC288" s="687"/>
      <c r="AD288" s="16"/>
      <c r="AE288" s="687"/>
      <c r="AF288" s="16"/>
      <c r="AG288" s="687"/>
      <c r="AH288" s="16"/>
      <c r="AI288" s="507"/>
      <c r="AJ288" s="16"/>
      <c r="AK288" s="507"/>
      <c r="AL288" s="16"/>
      <c r="AM288" s="507"/>
      <c r="AN288" s="16"/>
      <c r="AO288" s="507"/>
      <c r="AP288" s="16"/>
      <c r="AQ288" s="507"/>
      <c r="AR288" s="16"/>
      <c r="AS288" s="507"/>
      <c r="AT288" s="16"/>
      <c r="AU288" s="507"/>
      <c r="AV288" s="16"/>
      <c r="AW288" s="507"/>
      <c r="AX288" s="16"/>
      <c r="AY288" s="507"/>
      <c r="AZ288" s="16"/>
      <c r="BA288" s="507"/>
      <c r="BB288" s="16"/>
      <c r="BC288" s="507"/>
      <c r="BD288" s="16"/>
      <c r="BE288" s="507"/>
      <c r="BF288" s="16"/>
      <c r="BG288" s="507"/>
      <c r="BH288" s="16"/>
      <c r="BI288" s="507"/>
      <c r="BJ288" s="16"/>
      <c r="BK288" s="507"/>
      <c r="BL288" s="16"/>
      <c r="BM288" s="507"/>
      <c r="BN288" s="16"/>
      <c r="BO288" s="507"/>
      <c r="BP288" s="16"/>
      <c r="BQ288" s="507"/>
      <c r="BR288" s="16"/>
      <c r="BS288" s="507"/>
      <c r="BT288" s="16"/>
      <c r="BU288" s="507"/>
      <c r="BV288" s="16"/>
      <c r="BW288" s="507"/>
      <c r="BX288" s="16"/>
      <c r="BY288" s="507"/>
      <c r="BZ288" s="16"/>
      <c r="CA288" s="507"/>
      <c r="CB288" s="16"/>
      <c r="CC288" s="507"/>
      <c r="CD288" s="16"/>
      <c r="CE288" s="507"/>
      <c r="CF288" s="16"/>
      <c r="CG288" s="507"/>
      <c r="CH288" s="16"/>
      <c r="CI288" s="507"/>
      <c r="CJ288" s="16"/>
      <c r="CK288" s="507"/>
      <c r="CL288" s="16"/>
      <c r="CM288" s="507"/>
      <c r="CN288" s="16"/>
      <c r="CO288" s="507"/>
      <c r="CP288" s="16"/>
      <c r="CQ288" s="507"/>
      <c r="CR288" s="16"/>
      <c r="CS288" s="507"/>
      <c r="CT288" s="16"/>
      <c r="CU288" s="507"/>
      <c r="CV288" s="16"/>
      <c r="CW288" s="507"/>
      <c r="CX288" s="16"/>
      <c r="CY288" s="507"/>
      <c r="CZ288" s="16"/>
      <c r="DA288" s="507"/>
      <c r="DB288" s="507"/>
      <c r="DC288" s="16"/>
      <c r="DD288" s="507"/>
      <c r="DE288" s="16"/>
      <c r="DF288" s="687"/>
      <c r="DG288" s="16"/>
      <c r="DH288" s="687"/>
      <c r="DI288" s="16"/>
      <c r="DJ288" s="687"/>
      <c r="DK288" s="16"/>
      <c r="DL288" s="507"/>
      <c r="DM288" s="16"/>
      <c r="DN288" s="507"/>
      <c r="DO288" s="16"/>
      <c r="DP288" s="507"/>
      <c r="DQ288" s="16"/>
      <c r="DR288" s="507"/>
      <c r="DS288" s="16"/>
      <c r="DT288" s="507"/>
      <c r="DU288" s="16"/>
      <c r="DV288" s="507"/>
      <c r="DW288" s="16"/>
      <c r="DX288" s="507"/>
      <c r="DY288" s="16"/>
      <c r="DZ288" s="507"/>
      <c r="EA288" s="16"/>
      <c r="EB288" s="507"/>
      <c r="EC288" s="16"/>
      <c r="ED288" s="507"/>
      <c r="EE288" s="16"/>
      <c r="EF288" s="507"/>
      <c r="EG288" s="16"/>
      <c r="EH288" s="507"/>
      <c r="EI288" s="16"/>
      <c r="EJ288" s="507"/>
      <c r="EK288" s="16"/>
      <c r="EL288" s="507"/>
      <c r="EM288" s="687"/>
    </row>
    <row r="289" spans="1:143" ht="12.75" hidden="1" customHeight="1" outlineLevel="1" x14ac:dyDescent="0.2">
      <c r="A289" s="718" t="str">
        <f>INPUT!B300</f>
        <v>Benefits / Revenues (%)</v>
      </c>
      <c r="B289" s="718"/>
      <c r="C289" s="507"/>
      <c r="D289" s="156">
        <f>INPUT!BA300</f>
        <v>63.697857948139792</v>
      </c>
      <c r="E289" s="687">
        <f>INPUT!BB300</f>
        <v>-7.9130163490230281</v>
      </c>
      <c r="F289" s="156">
        <f>INPUT!BC300</f>
        <v>64.208308248043338</v>
      </c>
      <c r="G289" s="687">
        <f>INPUT!BD300</f>
        <v>-8.5125559287072665</v>
      </c>
      <c r="H289" s="156">
        <f>INPUT!BE300</f>
        <v>64.984044096315642</v>
      </c>
      <c r="I289" s="687">
        <f>INPUT!BF300</f>
        <v>-6.8776988720012255</v>
      </c>
      <c r="J289" s="156">
        <f>INPUT!BG300</f>
        <v>68.442964196502913</v>
      </c>
      <c r="K289" s="687" t="str">
        <f>INPUT!BH300</f>
        <v>NA</v>
      </c>
      <c r="L289" s="156">
        <f>INPUT!BI300</f>
        <v>67.953964194373398</v>
      </c>
      <c r="M289" s="687">
        <f>INPUT!BJ300</f>
        <v>6.6817101600163076</v>
      </c>
      <c r="N289" s="156">
        <f>INPUT!BK300</f>
        <v>63.945578231292522</v>
      </c>
      <c r="O289" s="687">
        <f>INPUT!BL300</f>
        <v>-0.40918383293305771</v>
      </c>
      <c r="P289" s="156">
        <f>INPUT!BM300</f>
        <v>66.237519705727806</v>
      </c>
      <c r="Q289" s="687">
        <f>INPUT!BN300</f>
        <v>1.9288975114480911</v>
      </c>
      <c r="R289" s="156">
        <f>INPUT!BO300</f>
        <v>67.468069120961687</v>
      </c>
      <c r="S289" s="687">
        <f>INPUT!BP300</f>
        <v>-1.4243904935827389</v>
      </c>
      <c r="T289" s="156">
        <f>INPUT!BQ300</f>
        <v>67.286420334196279</v>
      </c>
      <c r="U289" s="687">
        <f>INPUT!BR300</f>
        <v>-0.98234719356136146</v>
      </c>
      <c r="V289" s="156">
        <f>INPUT!BS300</f>
        <v>66.782522343594835</v>
      </c>
      <c r="W289" s="687">
        <f>INPUT!BT300</f>
        <v>4.4364977075366019</v>
      </c>
      <c r="X289" s="156">
        <f>INPUT!BU300</f>
        <v>68.775757575757595</v>
      </c>
      <c r="Y289" s="687">
        <f>INPUT!BV300</f>
        <v>3.8320243289700073</v>
      </c>
      <c r="Z289" s="156">
        <f>INPUT!BW300</f>
        <v>66.919791172282856</v>
      </c>
      <c r="AA289" s="687">
        <f>INPUT!BX300</f>
        <v>-0.812648050881426</v>
      </c>
      <c r="AB289" s="156">
        <f>INPUT!BY300</f>
        <v>66.087152856175209</v>
      </c>
      <c r="AC289" s="687">
        <f>INPUT!BZ300</f>
        <v>-1.7823321140648885</v>
      </c>
      <c r="AD289" s="156">
        <f>INPUT!CA300</f>
        <v>63.095439087335095</v>
      </c>
      <c r="AE289" s="687">
        <f>INPUT!CB300</f>
        <v>-5.5210302439458125</v>
      </c>
      <c r="AF289" s="156">
        <f>INPUT!CC300</f>
        <v>64.829335793357941</v>
      </c>
      <c r="AG289" s="687">
        <f>INPUT!CD300</f>
        <v>-5.7381000537182096</v>
      </c>
      <c r="AH289" s="156">
        <f>INPUT!CE300</f>
        <v>69.788858939802338</v>
      </c>
      <c r="AI289" s="507">
        <f>INPUT!CF300</f>
        <v>4.287323252598263</v>
      </c>
      <c r="AJ289" s="156">
        <f>INPUT!CG300</f>
        <v>71.091257179323549</v>
      </c>
      <c r="AK289" s="507">
        <f>INPUT!CH300</f>
        <v>7.5719774674492646</v>
      </c>
      <c r="AL289" s="156">
        <f>INPUT!CI300</f>
        <v>73.178294573643413</v>
      </c>
      <c r="AM289" s="507">
        <f>INPUT!CJ300</f>
        <v>15.980323827134146</v>
      </c>
      <c r="AN289" s="156">
        <f>INPUT!CK300</f>
        <v>69.7393926340728</v>
      </c>
      <c r="AO289" s="507">
        <f>INPUT!CL300</f>
        <v>7.5738194455139185</v>
      </c>
      <c r="AP289" s="156">
        <f>INPUT!CM300</f>
        <v>68.549905838041411</v>
      </c>
      <c r="AQ289" s="507">
        <f>INPUT!CN300</f>
        <v>-1.7752878046474518</v>
      </c>
      <c r="AR289" s="156">
        <f>INPUT!CO300</f>
        <v>69.097083499800249</v>
      </c>
      <c r="AS289" s="507">
        <f>INPUT!CP300</f>
        <v>-2.805089906474878</v>
      </c>
      <c r="AT289" s="156">
        <f>INPUT!CQ300</f>
        <v>66.770963704630788</v>
      </c>
      <c r="AU289" s="507">
        <f>INPUT!CR300</f>
        <v>-8.7557805307481811</v>
      </c>
      <c r="AV289" s="156">
        <f>INPUT!CS300</f>
        <v>67.151767151767146</v>
      </c>
      <c r="AW289" s="507">
        <f>INPUT!CT300</f>
        <v>-3.7104215918298822</v>
      </c>
      <c r="AX289" s="156">
        <f>INPUT!CU300</f>
        <v>69.444444444444443</v>
      </c>
      <c r="AY289" s="507">
        <f>INPUT!CV300</f>
        <v>1.3049450549450725</v>
      </c>
      <c r="AZ289" s="156">
        <f>INPUT!CW300</f>
        <v>68.148148148148152</v>
      </c>
      <c r="BA289" s="507">
        <f>INPUT!CX300</f>
        <v>-1.373336331416708</v>
      </c>
      <c r="BB289" s="156">
        <f>INPUT!CY300</f>
        <v>69.632495164410059</v>
      </c>
      <c r="BC289" s="507">
        <f>INPUT!CZ300</f>
        <v>4.285592570503538</v>
      </c>
      <c r="BD289" s="156">
        <f>INPUT!DA300</f>
        <v>69.114877589453855</v>
      </c>
      <c r="BE289" s="507">
        <f>INPUT!DB300</f>
        <v>2.9233935620040397</v>
      </c>
      <c r="BF289" s="156">
        <f>INPUT!DC300</f>
        <v>69.818181818181827</v>
      </c>
      <c r="BG289" s="507">
        <f>INPUT!DD300</f>
        <v>0.53818181818183763</v>
      </c>
      <c r="BH289" s="156">
        <f>INPUT!DE300</f>
        <v>69.043478260869563</v>
      </c>
      <c r="BI289" s="507">
        <f>INPUT!DF300</f>
        <v>1.3137996219281467</v>
      </c>
      <c r="BJ289" s="156">
        <f>INPUT!DG300</f>
        <v>68.092691622103388</v>
      </c>
      <c r="BK289" s="507">
        <f>INPUT!DH300</f>
        <v>-2.2113289760348542</v>
      </c>
      <c r="BL289" s="156">
        <f>INPUT!DI300</f>
        <v>68.869565217391298</v>
      </c>
      <c r="BM289" s="507">
        <f>INPUT!DJ300</f>
        <v>-0.35493424949650798</v>
      </c>
      <c r="BN289" s="156">
        <f>INPUT!DK300</f>
        <v>69.344262295081975</v>
      </c>
      <c r="BO289" s="507">
        <f>INPUT!DL300</f>
        <v>-0.67879098360655865</v>
      </c>
      <c r="BP289" s="156">
        <f>INPUT!DM300</f>
        <v>74.557165861513681</v>
      </c>
      <c r="BQ289" s="507">
        <f>INPUT!DN300</f>
        <v>7.985819572721331</v>
      </c>
      <c r="BR289" s="156">
        <f>INPUT!DO300</f>
        <v>71.57190635451505</v>
      </c>
      <c r="BS289" s="507">
        <f>INPUT!DP300</f>
        <v>5.1095273949815168</v>
      </c>
      <c r="BT289" s="156">
        <f>INPUT!DQ300</f>
        <v>74.675324675324674</v>
      </c>
      <c r="BU289" s="507">
        <f>INPUT!DR300</f>
        <v>8.4300800209891271</v>
      </c>
      <c r="BV289" s="156">
        <f>INPUT!DS300</f>
        <v>72.727272727272734</v>
      </c>
      <c r="BW289" s="507">
        <f>INPUT!DT300</f>
        <v>4.8785729636793507</v>
      </c>
      <c r="BX289" s="156">
        <f>INPUT!DU300</f>
        <v>68.233387358184757</v>
      </c>
      <c r="BY289" s="507">
        <f>INPUT!DV300</f>
        <v>-8.4817849904260552</v>
      </c>
      <c r="BZ289" s="156">
        <f>INPUT!DW300</f>
        <v>67.719298245614041</v>
      </c>
      <c r="CA289" s="507">
        <f>INPUT!DX300</f>
        <v>67.719298245614041</v>
      </c>
      <c r="CB289" s="156">
        <f>INPUT!DY300</f>
        <v>68.495575221238937</v>
      </c>
      <c r="CC289" s="507">
        <f>INPUT!DZ300</f>
        <v>-8.275490573297418</v>
      </c>
      <c r="CD289" s="156">
        <f>INPUT!EA300</f>
        <v>63.670411985018724</v>
      </c>
      <c r="CE289" s="507">
        <f>INPUT!EB300</f>
        <v>-12.453183520599264</v>
      </c>
      <c r="CF289" s="156">
        <f>INPUT!EC300</f>
        <v>65.714285714285708</v>
      </c>
      <c r="CG289" s="507">
        <f>INPUT!ED300</f>
        <v>-3.691890057685776</v>
      </c>
      <c r="CH289" s="156">
        <f>INPUT!EE300</f>
        <v>54.49438202247191</v>
      </c>
      <c r="CI289" s="507">
        <f>INPUT!EF300</f>
        <v>-19.52902136577983</v>
      </c>
      <c r="CJ289" s="156">
        <f>INPUT!EG300</f>
        <v>64.245810055865931</v>
      </c>
      <c r="CK289" s="507">
        <f>INPUT!EH300</f>
        <v>-6.2044375153378457</v>
      </c>
      <c r="CL289" s="156">
        <f>INPUT!EI300</f>
        <v>64.879852125693162</v>
      </c>
      <c r="CM289" s="507">
        <f>INPUT!EJ300</f>
        <v>1.8995324562357307</v>
      </c>
      <c r="CN289" s="156">
        <f>INPUT!EK300</f>
        <v>60.258780036968574</v>
      </c>
      <c r="CO289" s="507">
        <f>INPUT!EL300</f>
        <v>-8.3018564654825937</v>
      </c>
      <c r="CP289" s="156">
        <f>INPUT!EM300</f>
        <v>59.219858156028373</v>
      </c>
      <c r="CQ289" s="507">
        <f>INPUT!EN300</f>
        <v>8.6714922863201149</v>
      </c>
      <c r="CR289" s="156">
        <f>INPUT!EO300</f>
        <v>61.552346570397113</v>
      </c>
      <c r="CS289" s="507">
        <f>INPUT!EP300</f>
        <v>-4.1924344686862458</v>
      </c>
      <c r="CT289" s="156">
        <f>INPUT!EQ300</f>
        <v>63</v>
      </c>
      <c r="CU289" s="507">
        <f>INPUT!ER300</f>
        <v>-2.897435897435896</v>
      </c>
      <c r="CV289" s="156">
        <f>INPUT!ES300</f>
        <v>61</v>
      </c>
      <c r="CW289" s="507">
        <f>INPUT!ET300</f>
        <v>1.2300613496932566</v>
      </c>
      <c r="CX289" s="156">
        <f>INPUT!EU300</f>
        <v>62</v>
      </c>
      <c r="CY289" s="507">
        <f>INPUT!EV300</f>
        <v>4.694610778443109</v>
      </c>
      <c r="CZ289" s="156">
        <f>INPUT!EW300</f>
        <v>62</v>
      </c>
      <c r="DA289" s="507">
        <f>INPUT!EX300</f>
        <v>0.72727272727273196</v>
      </c>
      <c r="DB289" s="507"/>
      <c r="DC289" s="156"/>
      <c r="DD289" s="507"/>
      <c r="DE289" s="156">
        <f>INPUT!FR300</f>
        <v>64.291945332945616</v>
      </c>
      <c r="DF289" s="687">
        <f>INPUT!FS300</f>
        <v>-4.5382269501800803</v>
      </c>
      <c r="DG289" s="156">
        <f>INPUT!FT300</f>
        <v>66.653327997865816</v>
      </c>
      <c r="DH289" s="687">
        <f>INPUT!FU300</f>
        <v>3.6729059179830603</v>
      </c>
      <c r="DI289" s="156">
        <f>INPUT!FV300</f>
        <v>67.581579749923762</v>
      </c>
      <c r="DJ289" s="687">
        <f>INPUT!FW300</f>
        <v>1.3926562707981649</v>
      </c>
      <c r="DK289" s="156">
        <f>INPUT!FX300</f>
        <v>65.249254018954645</v>
      </c>
      <c r="DL289" s="507">
        <f>INPUT!FY300</f>
        <v>-3.4511263862128772</v>
      </c>
      <c r="DM289" s="156">
        <f>INPUT!FZ300</f>
        <v>70.946425645786675</v>
      </c>
      <c r="DN289" s="507">
        <f>INPUT!GA300</f>
        <v>8.7313973354806951</v>
      </c>
      <c r="DO289" s="156">
        <f>INPUT!GB300</f>
        <v>67.904481922739691</v>
      </c>
      <c r="DP289" s="507">
        <f>INPUT!GC300</f>
        <v>-4.287663113902962</v>
      </c>
      <c r="DQ289" s="156">
        <f>INPUT!GD300</f>
        <v>69.072657743785854</v>
      </c>
      <c r="DR289" s="507">
        <f>INPUT!GE300</f>
        <v>1.7203221171399052</v>
      </c>
      <c r="DS289" s="156">
        <f>INPUT!GF300</f>
        <v>68.951791242812916</v>
      </c>
      <c r="DT289" s="507">
        <f>INPUT!GG300</f>
        <v>-0.17498458133936579</v>
      </c>
      <c r="DU289" s="156">
        <f>INPUT!GH300</f>
        <v>72.556237218813905</v>
      </c>
      <c r="DV289" s="507">
        <f>INPUT!GI300</f>
        <v>5.2274870761630732</v>
      </c>
      <c r="DW289" s="156">
        <f>INPUT!GJ300</f>
        <v>69.325413661434027</v>
      </c>
      <c r="DX289" s="507">
        <f>INPUT!GK300</f>
        <v>-4.4528543392298729</v>
      </c>
      <c r="DY289" s="156">
        <f>INPUT!GL300</f>
        <v>62.018779342723008</v>
      </c>
      <c r="DZ289" s="507">
        <f>INPUT!GM300</f>
        <v>-10.539618781641291</v>
      </c>
      <c r="EA289" s="156">
        <f>INPUT!GN300</f>
        <v>61.454545454545453</v>
      </c>
      <c r="EB289" s="507">
        <f>INPUT!GO300</f>
        <v>-0.90977909297365045</v>
      </c>
      <c r="EC289" s="156">
        <f>INPUT!GP300</f>
        <v>61.997423691730091</v>
      </c>
      <c r="ED289" s="507">
        <f>INPUT!GQ300</f>
        <v>0.88338174689808202</v>
      </c>
      <c r="EE289" s="156">
        <f>INPUT!GR300</f>
        <v>62.6</v>
      </c>
      <c r="EF289" s="507">
        <f>INPUT!GS300</f>
        <v>0.97193765867773507</v>
      </c>
      <c r="EG289" s="156">
        <f>INPUT!GT300</f>
        <v>62.5</v>
      </c>
      <c r="EH289" s="507">
        <f>INPUT!GU300</f>
        <v>-0.15974440894569453</v>
      </c>
      <c r="EI289" s="156">
        <f>INPUT!GV300</f>
        <v>62.5</v>
      </c>
      <c r="EJ289" s="507">
        <f>INPUT!GW300</f>
        <v>0</v>
      </c>
      <c r="EK289" s="156">
        <f>INPUT!GX300</f>
        <v>62.5</v>
      </c>
      <c r="EL289" s="507">
        <f>INPUT!GY300</f>
        <v>0</v>
      </c>
      <c r="EM289" s="687">
        <f>INPUT!GZ300</f>
        <v>0.33794482019595673</v>
      </c>
    </row>
    <row r="290" spans="1:143" ht="12.75" hidden="1" customHeight="1" outlineLevel="1" x14ac:dyDescent="0.2">
      <c r="A290" s="718" t="str">
        <f>INPUT!B302</f>
        <v>Other Op Exp/Revenues (%)</v>
      </c>
      <c r="B290" s="718"/>
      <c r="C290" s="507"/>
      <c r="D290" s="156">
        <f>INPUT!BA302</f>
        <v>20.293122886133034</v>
      </c>
      <c r="E290" s="687">
        <f>INPUT!BB302</f>
        <v>-3.3852598627930552</v>
      </c>
      <c r="F290" s="156">
        <f>INPUT!BC302</f>
        <v>22.45635159542444</v>
      </c>
      <c r="G290" s="687">
        <f>INPUT!BD302</f>
        <v>0.17852337708852417</v>
      </c>
      <c r="H290" s="156">
        <f>INPUT!BE302</f>
        <v>20.191470844212358</v>
      </c>
      <c r="I290" s="687">
        <f>INPUT!BF302</f>
        <v>-9.1122867003185952</v>
      </c>
      <c r="J290" s="156">
        <f>INPUT!BG302</f>
        <v>21.731890091590341</v>
      </c>
      <c r="K290" s="687" t="str">
        <f>INPUT!BH302</f>
        <v>NA</v>
      </c>
      <c r="L290" s="156">
        <f>INPUT!BI302</f>
        <v>20.639386189258314</v>
      </c>
      <c r="M290" s="687">
        <f>INPUT!BJ302</f>
        <v>1.7063086104006864</v>
      </c>
      <c r="N290" s="156">
        <f>INPUT!BK302</f>
        <v>22.14965986394558</v>
      </c>
      <c r="O290" s="687">
        <f>INPUT!BL302</f>
        <v>-1.3657237694005064</v>
      </c>
      <c r="P290" s="156">
        <f>INPUT!BM302</f>
        <v>22.359432475039412</v>
      </c>
      <c r="Q290" s="687">
        <f>INPUT!BN302</f>
        <v>10.737016869915017</v>
      </c>
      <c r="R290" s="156">
        <f>INPUT!BO302</f>
        <v>22.439268720260458</v>
      </c>
      <c r="S290" s="687">
        <f>INPUT!BP302</f>
        <v>3.2550257970605845</v>
      </c>
      <c r="T290" s="156">
        <f>INPUT!BQ302</f>
        <v>21.016709814073899</v>
      </c>
      <c r="U290" s="687">
        <f>INPUT!BR302</f>
        <v>1.8281727051163932</v>
      </c>
      <c r="V290" s="156">
        <f>INPUT!BS302</f>
        <v>22.790466732869909</v>
      </c>
      <c r="W290" s="687">
        <f>INPUT!BT302</f>
        <v>2.8930776944679382</v>
      </c>
      <c r="X290" s="156">
        <f>INPUT!BU302</f>
        <v>24.33939393939394</v>
      </c>
      <c r="Y290" s="687">
        <f>INPUT!BV302</f>
        <v>8.8551508029768975</v>
      </c>
      <c r="Z290" s="156">
        <f>INPUT!BW302</f>
        <v>23.706691979117224</v>
      </c>
      <c r="AA290" s="687">
        <f>INPUT!BX302</f>
        <v>5.648237804257894</v>
      </c>
      <c r="AB290" s="156">
        <f>INPUT!BY302</f>
        <v>22.239783246782569</v>
      </c>
      <c r="AC290" s="687">
        <f>INPUT!BZ302</f>
        <v>5.8195285728769752</v>
      </c>
      <c r="AD290" s="156">
        <f>INPUT!CA302</f>
        <v>24.07081353561178</v>
      </c>
      <c r="AE290" s="687">
        <f>INPUT!CB302</f>
        <v>5.6179051431854754</v>
      </c>
      <c r="AF290" s="156">
        <f>INPUT!CC302</f>
        <v>24.469557195571959</v>
      </c>
      <c r="AG290" s="687">
        <f>INPUT!CD302</f>
        <v>0.53478429455611209</v>
      </c>
      <c r="AH290" s="156">
        <f>INPUT!CE302</f>
        <v>22.821203953279422</v>
      </c>
      <c r="AI290" s="507">
        <f>INPUT!CF302</f>
        <v>-3.7351817226030981</v>
      </c>
      <c r="AJ290" s="156">
        <f>INPUT!CG302</f>
        <v>21.548606679429909</v>
      </c>
      <c r="AK290" s="507">
        <f>INPUT!CH302</f>
        <v>-3.1078385957410415</v>
      </c>
      <c r="AL290" s="156">
        <f>INPUT!CI302</f>
        <v>23.56589147286822</v>
      </c>
      <c r="AM290" s="507">
        <f>INPUT!CJ302</f>
        <v>-2.0976526696804387</v>
      </c>
      <c r="AN290" s="156">
        <f>INPUT!CK302</f>
        <v>24.294637088089598</v>
      </c>
      <c r="AO290" s="507">
        <f>INPUT!CL302</f>
        <v>-0.71484786620501506</v>
      </c>
      <c r="AP290" s="156">
        <f>INPUT!CM302</f>
        <v>23.666038920276204</v>
      </c>
      <c r="AQ290" s="507">
        <f>INPUT!CN302</f>
        <v>3.7019736939662096</v>
      </c>
      <c r="AR290" s="156">
        <f>INPUT!CO302</f>
        <v>23.032361166600083</v>
      </c>
      <c r="AS290" s="507">
        <f>INPUT!CP302</f>
        <v>6.8856168254560535</v>
      </c>
      <c r="AT290" s="156">
        <f>INPUT!CQ302</f>
        <v>24.614100959532749</v>
      </c>
      <c r="AU290" s="507">
        <f>INPUT!CR302</f>
        <v>4.4479942032803921</v>
      </c>
      <c r="AV290" s="156">
        <f>INPUT!CS302</f>
        <v>26.403326403326403</v>
      </c>
      <c r="AW290" s="507">
        <f>INPUT!CT302</f>
        <v>8.6796493711387193</v>
      </c>
      <c r="AX290" s="156">
        <f>INPUT!CU302</f>
        <v>25.595238095238095</v>
      </c>
      <c r="AY290" s="507">
        <f>INPUT!CV302</f>
        <v>8.1517620310723959</v>
      </c>
      <c r="AZ290" s="156">
        <f>INPUT!CW302</f>
        <v>24.074074074074073</v>
      </c>
      <c r="BA290" s="507">
        <f>INPUT!CX302</f>
        <v>4.5228229096398787</v>
      </c>
      <c r="BB290" s="156">
        <f>INPUT!CY302</f>
        <v>25.72533849129594</v>
      </c>
      <c r="BC290" s="507">
        <f>INPUT!CZ302</f>
        <v>4.5146379044684215</v>
      </c>
      <c r="BD290" s="156">
        <f>INPUT!DA302</f>
        <v>27.118644067796609</v>
      </c>
      <c r="BE290" s="507">
        <f>INPUT!DB302</f>
        <v>2.7091952488989657</v>
      </c>
      <c r="BF290" s="156">
        <f>INPUT!DC302</f>
        <v>26.181818181818183</v>
      </c>
      <c r="BG290" s="507">
        <f>INPUT!DD302</f>
        <v>2.291754756871045</v>
      </c>
      <c r="BH290" s="156">
        <f>INPUT!DE302</f>
        <v>25.043478260869566</v>
      </c>
      <c r="BI290" s="507">
        <f>INPUT!DF302</f>
        <v>4.0267558528428227</v>
      </c>
      <c r="BJ290" s="156">
        <f>INPUT!DG302</f>
        <v>25.490196078431371</v>
      </c>
      <c r="BK290" s="507">
        <f>INPUT!DH302</f>
        <v>-0.91404983045850763</v>
      </c>
      <c r="BL290" s="156">
        <f>INPUT!DI302</f>
        <v>28.173913043478262</v>
      </c>
      <c r="BM290" s="507">
        <f>INPUT!DJ302</f>
        <v>3.8913043478260967</v>
      </c>
      <c r="BN290" s="156">
        <f>INPUT!DK302</f>
        <v>25.73770491803279</v>
      </c>
      <c r="BO290" s="507">
        <f>INPUT!DL302</f>
        <v>-1.696265938069208</v>
      </c>
      <c r="BP290" s="156">
        <f>INPUT!DM302</f>
        <v>24.9597423510467</v>
      </c>
      <c r="BQ290" s="507">
        <f>INPUT!DN302</f>
        <v>-0.33436213991769881</v>
      </c>
      <c r="BR290" s="156">
        <f>INPUT!DO302</f>
        <v>26.421404682274247</v>
      </c>
      <c r="BS290" s="507">
        <f>INPUT!DP302</f>
        <v>3.6532029843066693</v>
      </c>
      <c r="BT290" s="156">
        <f>INPUT!DQ302</f>
        <v>26.948051948051948</v>
      </c>
      <c r="BU290" s="507">
        <f>INPUT!DR302</f>
        <v>-4.3510501843835208</v>
      </c>
      <c r="BV290" s="156">
        <f>INPUT!DS302</f>
        <v>28.925619834710741</v>
      </c>
      <c r="BW290" s="507">
        <f>INPUT!DT302</f>
        <v>12.386166236774198</v>
      </c>
      <c r="BX290" s="156">
        <f>INPUT!DU302</f>
        <v>26.904376012965965</v>
      </c>
      <c r="BY290" s="507">
        <f>INPUT!DV302</f>
        <v>7.7910806713023417</v>
      </c>
      <c r="BZ290" s="156">
        <f>INPUT!DW302</f>
        <v>27.719298245614034</v>
      </c>
      <c r="CA290" s="507">
        <f>INPUT!DX302</f>
        <v>27.719298245614034</v>
      </c>
      <c r="CB290" s="156">
        <f>INPUT!DY302</f>
        <v>27.964601769911507</v>
      </c>
      <c r="CC290" s="507">
        <f>INPUT!DZ302</f>
        <v>3.7722571702740293</v>
      </c>
      <c r="CD290" s="156">
        <f>INPUT!EA302</f>
        <v>34.831460674157306</v>
      </c>
      <c r="CE290" s="507">
        <f>INPUT!EB302</f>
        <v>20.417335473515273</v>
      </c>
      <c r="CF290" s="156">
        <f>INPUT!EC302</f>
        <v>29.904761904761905</v>
      </c>
      <c r="CG290" s="507">
        <f>INPUT!ED302</f>
        <v>20.417335473515273</v>
      </c>
      <c r="CH290" s="156">
        <f>INPUT!EE302</f>
        <v>37.265917602996254</v>
      </c>
      <c r="CI290" s="507">
        <f>INPUT!EF302</f>
        <v>20.417335473515273</v>
      </c>
      <c r="CJ290" s="156">
        <f>INPUT!EG302</f>
        <v>31.098696461824954</v>
      </c>
      <c r="CK290" s="507">
        <f>INPUT!EH302</f>
        <v>11.207363929943659</v>
      </c>
      <c r="CL290" s="156">
        <f>INPUT!EI302</f>
        <v>33.086876155268023</v>
      </c>
      <c r="CM290" s="507">
        <f>INPUT!EJ302</f>
        <v>-5.008645876811169</v>
      </c>
      <c r="CN290" s="156">
        <f>INPUT!EK302</f>
        <v>29.944547134935306</v>
      </c>
      <c r="CO290" s="507">
        <f>INPUT!EL302</f>
        <v>0.13303978242698022</v>
      </c>
      <c r="CP290" s="156">
        <f>INPUT!EM302</f>
        <v>29.609929078014186</v>
      </c>
      <c r="CQ290" s="507">
        <f>INPUT!EN302</f>
        <v>-20.54421041377098</v>
      </c>
      <c r="CR290" s="156">
        <f>INPUT!EO302</f>
        <v>32.851985559566785</v>
      </c>
      <c r="CS290" s="507">
        <f>INPUT!EP302</f>
        <v>5.6378218292656435</v>
      </c>
      <c r="CT290" s="156">
        <f>INPUT!EQ302</f>
        <v>33</v>
      </c>
      <c r="CU290" s="507">
        <f>INPUT!ER302</f>
        <v>-0.26256983240223741</v>
      </c>
      <c r="CV290" s="156">
        <f>INPUT!ES302</f>
        <v>32.5</v>
      </c>
      <c r="CW290" s="507">
        <f>INPUT!ET302</f>
        <v>8.5339506172839474</v>
      </c>
      <c r="CX290" s="156">
        <f>INPUT!EU302</f>
        <v>32.5</v>
      </c>
      <c r="CY290" s="507">
        <f>INPUT!EV302</f>
        <v>9.7604790419161702</v>
      </c>
      <c r="CZ290" s="156">
        <f>INPUT!EW302</f>
        <v>32.5</v>
      </c>
      <c r="DA290" s="507">
        <f>INPUT!EX302</f>
        <v>-1.0714285714285676</v>
      </c>
      <c r="DB290" s="507"/>
      <c r="DC290" s="156"/>
      <c r="DD290" s="507"/>
      <c r="DE290" s="156">
        <f>INPUT!FR302</f>
        <v>20.955704177570997</v>
      </c>
      <c r="DF290" s="687">
        <f>INPUT!FS302</f>
        <v>-5.6842487876258563</v>
      </c>
      <c r="DG290" s="156">
        <f>INPUT!FT302</f>
        <v>21.708683473389357</v>
      </c>
      <c r="DH290" s="687">
        <f>INPUT!FU302</f>
        <v>3.5931949097863125</v>
      </c>
      <c r="DI290" s="156">
        <f>INPUT!FV302</f>
        <v>22.634949679780423</v>
      </c>
      <c r="DJ290" s="687">
        <f>INPUT!FW302</f>
        <v>4.2668004604078824</v>
      </c>
      <c r="DK290" s="156">
        <f>INPUT!FX302</f>
        <v>23.608621263525471</v>
      </c>
      <c r="DL290" s="507">
        <f>INPUT!FY302</f>
        <v>4.3016291068445289</v>
      </c>
      <c r="DM290" s="156">
        <f>INPUT!FZ302</f>
        <v>23.051717546829771</v>
      </c>
      <c r="DN290" s="507">
        <f>INPUT!GA302</f>
        <v>-2.3588997869862793</v>
      </c>
      <c r="DO290" s="156">
        <f>INPUT!GB302</f>
        <v>24.415905926040534</v>
      </c>
      <c r="DP290" s="507">
        <f>INPUT!GC302</f>
        <v>5.917946792638773</v>
      </c>
      <c r="DQ290" s="156">
        <f>INPUT!GD302</f>
        <v>25.621414913957935</v>
      </c>
      <c r="DR290" s="507">
        <f>INPUT!GE302</f>
        <v>4.9373920081813516</v>
      </c>
      <c r="DS290" s="156">
        <f>INPUT!GF302</f>
        <v>26.227333038478552</v>
      </c>
      <c r="DT290" s="507">
        <f>INPUT!GG302</f>
        <v>2.3648893964498763</v>
      </c>
      <c r="DU290" s="156">
        <f>INPUT!GH302</f>
        <v>26.012269938650306</v>
      </c>
      <c r="DV290" s="507">
        <f>INPUT!GI302</f>
        <v>-0.81999606865373886</v>
      </c>
      <c r="DW290" s="156">
        <f>INPUT!GJ302</f>
        <v>27.874416631310989</v>
      </c>
      <c r="DX290" s="507">
        <f>INPUT!GK302</f>
        <v>7.1587243137663181</v>
      </c>
      <c r="DY290" s="156">
        <f>INPUT!GL302</f>
        <v>33.286384976525824</v>
      </c>
      <c r="DZ290" s="507">
        <f>INPUT!GM302</f>
        <v>19.415539405892488</v>
      </c>
      <c r="EA290" s="156">
        <f>INPUT!GN302</f>
        <v>31.363636363636367</v>
      </c>
      <c r="EB290" s="507">
        <f>INPUT!GO302</f>
        <v>-5.7763815873829945</v>
      </c>
      <c r="EC290" s="156">
        <f>INPUT!GP302</f>
        <v>32.589112116790872</v>
      </c>
      <c r="ED290" s="507">
        <f>INPUT!GQ302</f>
        <v>3.9073139955650982</v>
      </c>
      <c r="EE290" s="156">
        <f>INPUT!GR302</f>
        <v>31.75</v>
      </c>
      <c r="EF290" s="507">
        <f>INPUT!GS302</f>
        <v>-2.5748234986694762</v>
      </c>
      <c r="EG290" s="156">
        <f>INPUT!GT302</f>
        <v>31</v>
      </c>
      <c r="EH290" s="507">
        <f>INPUT!GU302</f>
        <v>-2.3622047244094446</v>
      </c>
      <c r="EI290" s="156">
        <f>INPUT!GV302</f>
        <v>31</v>
      </c>
      <c r="EJ290" s="507">
        <f>INPUT!GW302</f>
        <v>0</v>
      </c>
      <c r="EK290" s="156">
        <f>INPUT!GX302</f>
        <v>31</v>
      </c>
      <c r="EL290" s="507">
        <f>INPUT!GY302</f>
        <v>0</v>
      </c>
      <c r="EM290" s="687">
        <f>INPUT!GZ302</f>
        <v>-0.2329670046273935</v>
      </c>
    </row>
    <row r="291" spans="1:143" ht="12.75" hidden="1" customHeight="1" outlineLevel="1" x14ac:dyDescent="0.2">
      <c r="A291" s="701"/>
      <c r="B291" s="16"/>
      <c r="C291" s="507"/>
      <c r="D291" s="16"/>
      <c r="E291" s="687"/>
      <c r="F291" s="16"/>
      <c r="G291" s="687"/>
      <c r="H291" s="16"/>
      <c r="I291" s="687"/>
      <c r="J291" s="16"/>
      <c r="K291" s="507"/>
      <c r="L291" s="16"/>
      <c r="M291" s="507"/>
      <c r="N291" s="16"/>
      <c r="O291" s="507"/>
      <c r="P291" s="16"/>
      <c r="Q291" s="507"/>
      <c r="R291" s="16"/>
      <c r="S291" s="507"/>
      <c r="T291" s="16"/>
      <c r="U291" s="507"/>
      <c r="V291" s="16"/>
      <c r="W291" s="507"/>
      <c r="X291" s="16"/>
      <c r="Y291" s="507"/>
      <c r="Z291" s="16"/>
      <c r="AA291" s="687"/>
      <c r="AB291" s="16"/>
      <c r="AC291" s="507"/>
      <c r="AD291" s="16"/>
      <c r="AE291" s="507"/>
      <c r="AF291" s="16"/>
      <c r="AG291" s="507"/>
      <c r="AH291" s="16"/>
      <c r="AI291" s="507"/>
      <c r="AJ291" s="16"/>
      <c r="AK291" s="507"/>
      <c r="AL291" s="16"/>
      <c r="AM291" s="507"/>
      <c r="AN291" s="16"/>
      <c r="AO291" s="507"/>
      <c r="AP291" s="16"/>
      <c r="AQ291" s="507"/>
      <c r="AR291" s="16"/>
      <c r="AS291" s="507"/>
      <c r="AT291" s="16"/>
      <c r="AU291" s="507"/>
      <c r="AV291" s="16"/>
      <c r="AW291" s="507"/>
      <c r="AX291" s="16"/>
      <c r="AY291" s="507"/>
      <c r="AZ291" s="16"/>
      <c r="BA291" s="507"/>
      <c r="BB291" s="16"/>
      <c r="BC291" s="507"/>
      <c r="BD291" s="16"/>
      <c r="BE291" s="507"/>
      <c r="BF291" s="16"/>
      <c r="BG291" s="507"/>
      <c r="BH291" s="16"/>
      <c r="BI291" s="507"/>
      <c r="BJ291" s="16"/>
      <c r="BK291" s="507"/>
      <c r="BL291" s="16"/>
      <c r="BM291" s="507"/>
      <c r="BN291" s="16"/>
      <c r="BO291" s="507"/>
      <c r="BP291" s="16"/>
      <c r="BQ291" s="507"/>
      <c r="BR291" s="16"/>
      <c r="BS291" s="507"/>
      <c r="BT291" s="16"/>
      <c r="BU291" s="507"/>
      <c r="BV291" s="16"/>
      <c r="BW291" s="507"/>
      <c r="BX291" s="16"/>
      <c r="BY291" s="507"/>
      <c r="BZ291" s="16"/>
      <c r="CA291" s="507"/>
      <c r="CB291" s="16"/>
      <c r="CC291" s="507"/>
      <c r="CD291" s="16"/>
      <c r="CE291" s="507"/>
      <c r="CF291" s="16"/>
      <c r="CG291" s="507"/>
      <c r="CH291" s="16"/>
      <c r="CI291" s="507"/>
      <c r="CJ291" s="16"/>
      <c r="CK291" s="507"/>
      <c r="CL291" s="16"/>
      <c r="CM291" s="507"/>
      <c r="CN291" s="16"/>
      <c r="CO291" s="507"/>
      <c r="CP291" s="16"/>
      <c r="CQ291" s="507"/>
      <c r="CR291" s="16"/>
      <c r="CS291" s="507"/>
      <c r="CT291" s="16"/>
      <c r="CU291" s="507"/>
      <c r="CV291" s="16"/>
      <c r="CW291" s="507"/>
      <c r="CX291" s="16"/>
      <c r="CY291" s="507"/>
      <c r="CZ291" s="16"/>
      <c r="DA291" s="507"/>
      <c r="DB291" s="507"/>
      <c r="DC291" s="16"/>
      <c r="DD291" s="507"/>
      <c r="DE291" s="16"/>
      <c r="DF291" s="507"/>
      <c r="DG291" s="16"/>
      <c r="DH291" s="507"/>
      <c r="DI291" s="16"/>
      <c r="DJ291" s="507"/>
      <c r="DK291" s="16"/>
      <c r="DL291" s="507"/>
      <c r="DM291" s="16"/>
      <c r="DN291" s="507"/>
      <c r="DO291" s="16"/>
      <c r="DP291" s="507"/>
      <c r="DQ291" s="16"/>
      <c r="DR291" s="507"/>
      <c r="DS291" s="16"/>
      <c r="DT291" s="507"/>
      <c r="DU291" s="16"/>
      <c r="DV291" s="507"/>
      <c r="DW291" s="16"/>
      <c r="DX291" s="507"/>
      <c r="DY291" s="16"/>
      <c r="DZ291" s="507"/>
      <c r="EA291" s="16"/>
      <c r="EB291" s="507"/>
      <c r="EC291" s="16"/>
      <c r="ED291" s="507"/>
      <c r="EE291" s="16"/>
      <c r="EF291" s="507"/>
      <c r="EG291" s="16"/>
      <c r="EH291" s="507"/>
      <c r="EI291" s="16"/>
      <c r="EJ291" s="507"/>
      <c r="EK291" s="16"/>
      <c r="EL291" s="507"/>
      <c r="EM291" s="687"/>
    </row>
    <row r="292" spans="1:143" ht="12.75" hidden="1" customHeight="1" outlineLevel="1" x14ac:dyDescent="0.2">
      <c r="A292" s="689" t="str">
        <f>+A51</f>
        <v xml:space="preserve">Quarterly income statement ratios are annualized where appropriate     NM = Not Meaningful       NA = Not Applicable </v>
      </c>
      <c r="B292" s="16"/>
      <c r="C292" s="507"/>
      <c r="D292" s="16"/>
      <c r="E292" s="687"/>
      <c r="F292" s="16"/>
      <c r="G292" s="687"/>
      <c r="H292" s="16"/>
      <c r="I292" s="687"/>
      <c r="J292" s="16"/>
      <c r="K292" s="507"/>
      <c r="L292" s="16"/>
      <c r="M292" s="507"/>
      <c r="N292" s="16"/>
      <c r="O292" s="507"/>
      <c r="P292" s="16"/>
      <c r="Q292" s="507"/>
      <c r="R292" s="16"/>
      <c r="S292" s="507"/>
      <c r="T292" s="16"/>
      <c r="U292" s="507"/>
      <c r="V292" s="16"/>
      <c r="W292" s="507"/>
      <c r="X292" s="16"/>
      <c r="Y292" s="507"/>
      <c r="Z292" s="16"/>
      <c r="AA292" s="687"/>
      <c r="AB292" s="16"/>
      <c r="AC292" s="507"/>
      <c r="AD292" s="16"/>
      <c r="AE292" s="507"/>
      <c r="AF292" s="16"/>
      <c r="AG292" s="507"/>
      <c r="AH292" s="16"/>
      <c r="AI292" s="507"/>
      <c r="AJ292" s="16"/>
      <c r="AK292" s="507"/>
      <c r="AL292" s="16"/>
      <c r="AM292" s="507"/>
      <c r="AN292" s="16"/>
      <c r="AO292" s="507"/>
      <c r="AP292" s="16"/>
      <c r="AQ292" s="507"/>
      <c r="AR292" s="16"/>
      <c r="AS292" s="507"/>
      <c r="AT292" s="16"/>
      <c r="AU292" s="507"/>
      <c r="AV292" s="16"/>
      <c r="AW292" s="507"/>
      <c r="AX292" s="16"/>
      <c r="AY292" s="507"/>
      <c r="AZ292" s="16"/>
      <c r="BA292" s="507"/>
      <c r="BB292" s="16"/>
      <c r="BC292" s="507"/>
      <c r="BD292" s="16"/>
      <c r="BE292" s="507"/>
      <c r="BF292" s="16"/>
      <c r="BG292" s="507"/>
      <c r="BH292" s="16"/>
      <c r="BI292" s="507"/>
      <c r="BJ292" s="16"/>
      <c r="BK292" s="507"/>
      <c r="BL292" s="16"/>
      <c r="BM292" s="507"/>
      <c r="BN292" s="16"/>
      <c r="BO292" s="507"/>
      <c r="BP292" s="16"/>
      <c r="BQ292" s="507"/>
      <c r="BR292" s="16"/>
      <c r="BS292" s="507"/>
      <c r="BT292" s="16"/>
      <c r="BU292" s="507"/>
      <c r="BV292" s="16"/>
      <c r="BW292" s="507"/>
      <c r="BX292" s="16"/>
      <c r="BY292" s="507"/>
      <c r="BZ292" s="16"/>
      <c r="CA292" s="507"/>
      <c r="CB292" s="16"/>
      <c r="CC292" s="507"/>
      <c r="CD292" s="16"/>
      <c r="CE292" s="507"/>
      <c r="CF292" s="16"/>
      <c r="CG292" s="507"/>
      <c r="CH292" s="16"/>
      <c r="CI292" s="507"/>
      <c r="CJ292" s="16"/>
      <c r="CK292" s="507"/>
      <c r="CL292" s="16"/>
      <c r="CM292" s="507"/>
      <c r="CN292" s="16"/>
      <c r="CO292" s="507"/>
      <c r="CP292" s="16"/>
      <c r="CQ292" s="507"/>
      <c r="CR292" s="16"/>
      <c r="CS292" s="507"/>
      <c r="CT292" s="16"/>
      <c r="CU292" s="507"/>
      <c r="CV292" s="16"/>
      <c r="CW292" s="507"/>
      <c r="CX292" s="16"/>
      <c r="CY292" s="507"/>
      <c r="CZ292" s="16"/>
      <c r="DA292" s="507"/>
      <c r="DB292" s="507"/>
      <c r="DC292" s="16"/>
      <c r="DD292" s="507"/>
      <c r="DE292" s="16"/>
      <c r="DF292" s="507"/>
      <c r="DG292" s="16"/>
      <c r="DH292" s="507"/>
      <c r="DI292" s="16"/>
      <c r="DJ292" s="507"/>
      <c r="DK292" s="16"/>
      <c r="DL292" s="507"/>
      <c r="DM292" s="16"/>
      <c r="DN292" s="507"/>
      <c r="DO292" s="16"/>
      <c r="DP292" s="507"/>
      <c r="DQ292" s="16"/>
      <c r="DR292" s="507"/>
      <c r="DS292" s="16"/>
      <c r="DT292" s="507"/>
      <c r="DU292" s="16"/>
      <c r="DV292" s="507"/>
      <c r="DW292" s="16"/>
      <c r="DX292" s="507"/>
      <c r="DY292" s="16"/>
      <c r="DZ292" s="507"/>
      <c r="EA292" s="16"/>
      <c r="EB292" s="507"/>
      <c r="EC292" s="16"/>
      <c r="ED292" s="507"/>
      <c r="EE292" s="16"/>
      <c r="EF292" s="507"/>
      <c r="EG292" s="16"/>
      <c r="EH292" s="507"/>
      <c r="EI292" s="16"/>
      <c r="EJ292" s="507"/>
      <c r="EK292" s="16"/>
      <c r="EL292" s="507"/>
      <c r="EM292" s="687"/>
    </row>
    <row r="293" spans="1:143" ht="12.75" hidden="1" customHeight="1" outlineLevel="1" x14ac:dyDescent="0.2">
      <c r="A293" s="689" t="s">
        <v>367</v>
      </c>
      <c r="B293" s="16"/>
      <c r="C293" s="507"/>
      <c r="D293" s="16"/>
      <c r="E293" s="687"/>
      <c r="F293" s="16"/>
      <c r="G293" s="687"/>
      <c r="H293" s="16"/>
      <c r="I293" s="687"/>
      <c r="J293" s="16"/>
      <c r="K293" s="507"/>
      <c r="L293" s="16"/>
      <c r="M293" s="507"/>
      <c r="N293" s="16"/>
      <c r="O293" s="507"/>
      <c r="P293" s="16"/>
      <c r="Q293" s="507"/>
      <c r="R293" s="16"/>
      <c r="S293" s="507"/>
      <c r="T293" s="16"/>
      <c r="U293" s="507"/>
      <c r="V293" s="16"/>
      <c r="W293" s="507"/>
      <c r="X293" s="16"/>
      <c r="Y293" s="507"/>
      <c r="Z293" s="16"/>
      <c r="AA293" s="687"/>
      <c r="AB293" s="16"/>
      <c r="AC293" s="507"/>
      <c r="AD293" s="16"/>
      <c r="AE293" s="507"/>
      <c r="AF293" s="16"/>
      <c r="AG293" s="507"/>
      <c r="AH293" s="16"/>
      <c r="AI293" s="507"/>
      <c r="AJ293" s="16"/>
      <c r="AK293" s="507"/>
      <c r="AL293" s="16"/>
      <c r="AM293" s="507"/>
      <c r="AN293" s="16"/>
      <c r="AO293" s="507"/>
      <c r="AP293" s="16"/>
      <c r="AQ293" s="507"/>
      <c r="AR293" s="16"/>
      <c r="AS293" s="507"/>
      <c r="AT293" s="16"/>
      <c r="AU293" s="507"/>
      <c r="AV293" s="16"/>
      <c r="AW293" s="507"/>
      <c r="AX293" s="16"/>
      <c r="AY293" s="507"/>
      <c r="AZ293" s="16"/>
      <c r="BA293" s="507"/>
      <c r="BB293" s="16"/>
      <c r="BC293" s="507"/>
      <c r="BD293" s="16"/>
      <c r="BE293" s="507"/>
      <c r="BF293" s="16"/>
      <c r="BG293" s="507"/>
      <c r="BH293" s="16"/>
      <c r="BI293" s="507"/>
      <c r="BJ293" s="16"/>
      <c r="BK293" s="507"/>
      <c r="BL293" s="16"/>
      <c r="BM293" s="507"/>
      <c r="BN293" s="16"/>
      <c r="BO293" s="507"/>
      <c r="BP293" s="16"/>
      <c r="BQ293" s="507"/>
      <c r="BR293" s="16"/>
      <c r="BS293" s="507"/>
      <c r="BT293" s="16"/>
      <c r="BU293" s="507"/>
      <c r="BV293" s="16"/>
      <c r="BW293" s="507"/>
      <c r="BX293" s="16"/>
      <c r="BY293" s="507"/>
      <c r="BZ293" s="16"/>
      <c r="CA293" s="507"/>
      <c r="CB293" s="16"/>
      <c r="CC293" s="507"/>
      <c r="CD293" s="16"/>
      <c r="CE293" s="507"/>
      <c r="CF293" s="16"/>
      <c r="CG293" s="507"/>
      <c r="CH293" s="16"/>
      <c r="CI293" s="507"/>
      <c r="CJ293" s="16"/>
      <c r="CK293" s="507"/>
      <c r="CL293" s="16"/>
      <c r="CM293" s="507"/>
      <c r="CN293" s="16"/>
      <c r="CO293" s="507"/>
      <c r="CP293" s="16"/>
      <c r="CQ293" s="507"/>
      <c r="CR293" s="16"/>
      <c r="CS293" s="507"/>
      <c r="CT293" s="16"/>
      <c r="CU293" s="507"/>
      <c r="CV293" s="16"/>
      <c r="CW293" s="507"/>
      <c r="CX293" s="16"/>
      <c r="CY293" s="507"/>
      <c r="CZ293" s="16"/>
      <c r="DA293" s="507"/>
      <c r="DB293" s="507"/>
      <c r="DC293" s="16"/>
      <c r="DD293" s="507"/>
      <c r="DE293" s="16"/>
      <c r="DF293" s="507"/>
      <c r="DG293" s="16"/>
      <c r="DH293" s="507"/>
      <c r="DI293" s="16"/>
      <c r="DJ293" s="507"/>
      <c r="DK293" s="16"/>
      <c r="DL293" s="507"/>
      <c r="DM293" s="16"/>
      <c r="DN293" s="507"/>
      <c r="DO293" s="16"/>
      <c r="DP293" s="507"/>
      <c r="DQ293" s="16"/>
      <c r="DR293" s="507"/>
      <c r="DS293" s="16"/>
      <c r="DT293" s="507"/>
      <c r="DU293" s="16"/>
      <c r="DV293" s="507"/>
      <c r="DW293" s="16"/>
      <c r="DX293" s="507"/>
      <c r="DY293" s="16"/>
      <c r="DZ293" s="507"/>
      <c r="EA293" s="16"/>
      <c r="EB293" s="507"/>
      <c r="EC293" s="16"/>
      <c r="ED293" s="507"/>
      <c r="EE293" s="16"/>
      <c r="EF293" s="507"/>
      <c r="EG293" s="16"/>
      <c r="EH293" s="507"/>
      <c r="EI293" s="16"/>
      <c r="EJ293" s="507"/>
      <c r="EK293" s="16"/>
      <c r="EL293" s="507"/>
      <c r="EM293" s="687"/>
    </row>
    <row r="294" spans="1:143" ht="12.75" hidden="1" customHeight="1" outlineLevel="1" x14ac:dyDescent="0.2">
      <c r="A294" s="701"/>
      <c r="B294" s="16"/>
      <c r="C294" s="762"/>
      <c r="D294" s="16"/>
      <c r="E294" s="702"/>
      <c r="F294" s="16"/>
      <c r="G294" s="702"/>
      <c r="H294" s="16"/>
      <c r="I294" s="702"/>
      <c r="J294" s="16"/>
      <c r="K294" s="762"/>
      <c r="L294" s="16"/>
      <c r="M294" s="762"/>
      <c r="N294" s="16"/>
      <c r="O294" s="762"/>
      <c r="P294" s="16"/>
      <c r="Q294" s="762"/>
      <c r="R294" s="16"/>
      <c r="S294" s="762"/>
      <c r="T294" s="16"/>
      <c r="U294" s="762"/>
      <c r="V294" s="16"/>
      <c r="W294" s="762"/>
      <c r="X294" s="16"/>
      <c r="Y294" s="762"/>
      <c r="Z294" s="16"/>
      <c r="AA294" s="702"/>
      <c r="AB294" s="16"/>
      <c r="AC294" s="762"/>
      <c r="AD294" s="16"/>
      <c r="AE294" s="762"/>
      <c r="AF294" s="16"/>
      <c r="AG294" s="762"/>
      <c r="AH294" s="16"/>
      <c r="AI294" s="762"/>
      <c r="AJ294" s="16"/>
      <c r="AK294" s="762"/>
      <c r="AL294" s="16"/>
      <c r="AM294" s="762"/>
      <c r="AN294" s="16"/>
      <c r="AO294" s="762"/>
      <c r="AP294" s="16"/>
      <c r="AQ294" s="762"/>
      <c r="AR294" s="16"/>
      <c r="AS294" s="762"/>
      <c r="AT294" s="16"/>
      <c r="AU294" s="762"/>
      <c r="AV294" s="16"/>
      <c r="AW294" s="762"/>
      <c r="AX294" s="16"/>
      <c r="AY294" s="762"/>
      <c r="AZ294" s="16"/>
      <c r="BA294" s="762"/>
      <c r="BB294" s="16"/>
      <c r="BC294" s="762"/>
      <c r="BD294" s="16"/>
      <c r="BE294" s="762"/>
      <c r="BF294" s="16"/>
      <c r="BG294" s="762"/>
      <c r="BH294" s="16"/>
      <c r="BI294" s="762"/>
      <c r="BJ294" s="16"/>
      <c r="BK294" s="762"/>
      <c r="BL294" s="16"/>
      <c r="BM294" s="762"/>
      <c r="BN294" s="16"/>
      <c r="BO294" s="762"/>
      <c r="BP294" s="16"/>
      <c r="BQ294" s="762"/>
      <c r="BR294" s="16"/>
      <c r="BS294" s="762"/>
      <c r="BT294" s="16"/>
      <c r="BU294" s="762"/>
      <c r="BV294" s="16"/>
      <c r="BW294" s="762"/>
      <c r="BX294" s="16"/>
      <c r="BY294" s="762"/>
      <c r="BZ294" s="16"/>
      <c r="CA294" s="762"/>
      <c r="CB294" s="16"/>
      <c r="CC294" s="762"/>
      <c r="CD294" s="16"/>
      <c r="CE294" s="762"/>
      <c r="CF294" s="16"/>
      <c r="CG294" s="762"/>
      <c r="CH294" s="16"/>
      <c r="CI294" s="762"/>
      <c r="CJ294" s="16"/>
      <c r="CK294" s="762"/>
      <c r="CL294" s="16"/>
      <c r="CM294" s="762"/>
      <c r="CN294" s="16"/>
      <c r="CO294" s="762"/>
      <c r="CP294" s="16"/>
      <c r="CQ294" s="762"/>
      <c r="CR294" s="16"/>
      <c r="CS294" s="762"/>
      <c r="CT294" s="16"/>
      <c r="CU294" s="762"/>
      <c r="CV294" s="16"/>
      <c r="CW294" s="762"/>
      <c r="CX294" s="16"/>
      <c r="CY294" s="762"/>
      <c r="CZ294" s="16"/>
      <c r="DA294" s="762"/>
      <c r="DB294" s="762"/>
      <c r="DC294" s="16"/>
      <c r="DD294" s="762"/>
      <c r="DE294" s="16"/>
      <c r="DF294" s="762"/>
      <c r="DG294" s="16"/>
      <c r="DH294" s="762"/>
      <c r="DI294" s="16"/>
      <c r="DJ294" s="762"/>
      <c r="DK294" s="16"/>
      <c r="DL294" s="762"/>
      <c r="DM294" s="16"/>
      <c r="DN294" s="762"/>
      <c r="DO294" s="16"/>
      <c r="DP294" s="762"/>
      <c r="DQ294" s="16"/>
      <c r="DR294" s="762"/>
      <c r="DS294" s="16"/>
      <c r="DT294" s="762"/>
      <c r="DU294" s="16"/>
      <c r="DV294" s="762"/>
      <c r="DW294" s="16"/>
      <c r="DX294" s="762"/>
      <c r="DY294" s="16"/>
      <c r="DZ294" s="762"/>
      <c r="EA294" s="16"/>
      <c r="EB294" s="762"/>
      <c r="EC294" s="16"/>
      <c r="ED294" s="762"/>
      <c r="EE294" s="16"/>
      <c r="EF294" s="762"/>
      <c r="EG294" s="16"/>
      <c r="EH294" s="762"/>
      <c r="EI294" s="16"/>
      <c r="EJ294" s="762"/>
      <c r="EK294" s="16"/>
      <c r="EL294" s="762"/>
      <c r="EM294" s="702"/>
    </row>
    <row r="295" spans="1:143" ht="21.95" hidden="1" customHeight="1" outlineLevel="2" x14ac:dyDescent="0.2">
      <c r="A295" s="763" t="str">
        <f>$A$1</f>
        <v>Lincoln National</v>
      </c>
    </row>
    <row r="296" spans="1:143" ht="12.75" hidden="1" customHeight="1" outlineLevel="2" x14ac:dyDescent="0.2">
      <c r="A296" s="685" t="s">
        <v>276</v>
      </c>
      <c r="B296" s="4"/>
      <c r="C296" s="496"/>
      <c r="D296" s="4"/>
      <c r="E296" s="686"/>
      <c r="F296" s="4"/>
      <c r="G296" s="686"/>
      <c r="H296" s="4"/>
      <c r="I296" s="686"/>
      <c r="J296" s="4"/>
      <c r="K296" s="496"/>
      <c r="L296" s="4"/>
      <c r="M296" s="496"/>
      <c r="N296" s="4"/>
      <c r="O296" s="496"/>
      <c r="P296" s="4"/>
      <c r="Q296" s="496"/>
      <c r="R296" s="4"/>
      <c r="S296" s="496"/>
      <c r="T296" s="4"/>
      <c r="U296" s="496"/>
      <c r="V296" s="4"/>
      <c r="W296" s="496"/>
      <c r="X296" s="4"/>
      <c r="Y296" s="496"/>
      <c r="Z296" s="4"/>
      <c r="AA296" s="496"/>
      <c r="AB296" s="4"/>
      <c r="AC296" s="496"/>
      <c r="AD296" s="4"/>
      <c r="AE296" s="496"/>
      <c r="AF296" s="4"/>
      <c r="AG296" s="496"/>
      <c r="AH296" s="4"/>
      <c r="AI296" s="496"/>
      <c r="AJ296" s="4"/>
      <c r="AK296" s="496"/>
      <c r="AL296" s="4"/>
      <c r="AM296" s="496"/>
      <c r="AN296" s="4"/>
      <c r="AO296" s="496"/>
      <c r="AP296" s="4"/>
      <c r="AQ296" s="496"/>
      <c r="AR296" s="4"/>
      <c r="AS296" s="496"/>
      <c r="AT296" s="4"/>
      <c r="AU296" s="496"/>
      <c r="AV296" s="4"/>
      <c r="AW296" s="496"/>
      <c r="AX296" s="4"/>
      <c r="AY296" s="496"/>
      <c r="AZ296" s="4"/>
      <c r="BA296" s="496"/>
      <c r="BB296" s="4"/>
      <c r="BC296" s="496"/>
      <c r="BD296" s="4"/>
      <c r="BE296" s="496"/>
      <c r="BF296" s="4"/>
      <c r="BG296" s="496"/>
      <c r="BH296" s="4"/>
      <c r="BI296" s="496"/>
      <c r="BJ296" s="4"/>
      <c r="BK296" s="496"/>
      <c r="BL296" s="4"/>
      <c r="BM296" s="496"/>
      <c r="BN296" s="4"/>
      <c r="BO296" s="496"/>
      <c r="BP296" s="4"/>
      <c r="BQ296" s="496"/>
      <c r="BR296" s="4"/>
      <c r="BS296" s="496"/>
      <c r="BT296" s="4"/>
      <c r="BU296" s="496"/>
      <c r="BV296" s="4"/>
      <c r="BW296" s="496"/>
      <c r="BX296" s="4"/>
      <c r="BY296" s="496"/>
      <c r="BZ296" s="4"/>
      <c r="CA296" s="496"/>
      <c r="CB296" s="4"/>
      <c r="CC296" s="496"/>
      <c r="CD296" s="4"/>
      <c r="CE296" s="496"/>
      <c r="CF296" s="4"/>
      <c r="CG296" s="496"/>
      <c r="CH296" s="4"/>
      <c r="CI296" s="496"/>
      <c r="CJ296" s="4"/>
      <c r="CK296" s="496"/>
      <c r="CL296" s="4"/>
      <c r="CM296" s="496"/>
      <c r="CN296" s="4"/>
      <c r="CO296" s="496"/>
      <c r="CP296" s="4"/>
      <c r="CQ296" s="496"/>
      <c r="CR296" s="4"/>
      <c r="CS296" s="496"/>
      <c r="CT296" s="4"/>
      <c r="CU296" s="496"/>
      <c r="CV296" s="4"/>
      <c r="CW296" s="496"/>
      <c r="CX296" s="4"/>
      <c r="CY296" s="496"/>
      <c r="CZ296" s="4"/>
      <c r="DA296" s="496"/>
      <c r="DB296" s="496"/>
      <c r="DC296" s="4"/>
      <c r="DD296" s="496"/>
      <c r="DE296" s="4"/>
      <c r="DF296" s="496"/>
      <c r="DG296" s="4"/>
      <c r="DH296" s="496"/>
      <c r="DI296" s="4"/>
      <c r="DJ296" s="496"/>
      <c r="DK296" s="4"/>
      <c r="DL296" s="496"/>
      <c r="DM296" s="4"/>
      <c r="DN296" s="496"/>
      <c r="DO296" s="4"/>
      <c r="DP296" s="496"/>
      <c r="DQ296" s="4"/>
      <c r="DR296" s="496"/>
      <c r="DS296" s="4"/>
      <c r="DT296" s="496"/>
      <c r="DU296" s="4"/>
      <c r="DV296" s="496"/>
      <c r="DW296" s="4"/>
      <c r="DX296" s="496"/>
      <c r="DY296" s="4"/>
      <c r="DZ296" s="496"/>
      <c r="EA296" s="4"/>
      <c r="EB296" s="496"/>
      <c r="EC296" s="4"/>
      <c r="ED296" s="496"/>
      <c r="EE296" s="4"/>
      <c r="EF296" s="496"/>
      <c r="EG296" s="4"/>
      <c r="EH296" s="496"/>
      <c r="EI296" s="4"/>
      <c r="EJ296" s="496"/>
      <c r="EK296" s="4"/>
      <c r="EL296" s="496"/>
      <c r="EM296" s="686"/>
    </row>
    <row r="297" spans="1:143" s="3" customFormat="1" ht="12.75" hidden="1" customHeight="1" outlineLevel="2" x14ac:dyDescent="0.2">
      <c r="A297" s="703" t="str">
        <f>A$3</f>
        <v>($Millions Except Per Share Data)</v>
      </c>
      <c r="B297" s="704"/>
      <c r="C297" s="724"/>
      <c r="D297" s="704"/>
      <c r="E297" s="724" t="str">
        <f>E$3</f>
        <v>2Q06/</v>
      </c>
      <c r="F297" s="704"/>
      <c r="G297" s="724" t="str">
        <f>G$3</f>
        <v>3Q06/</v>
      </c>
      <c r="H297" s="704"/>
      <c r="I297" s="724" t="str">
        <f>I$3</f>
        <v>4Q06/</v>
      </c>
      <c r="J297" s="724"/>
      <c r="K297" s="724" t="str">
        <f>K$3</f>
        <v>1Q07/</v>
      </c>
      <c r="L297" s="704"/>
      <c r="M297" s="724" t="str">
        <f>M$3</f>
        <v>2Q07/</v>
      </c>
      <c r="N297" s="704"/>
      <c r="O297" s="724" t="str">
        <f>O$3</f>
        <v>3Q07/</v>
      </c>
      <c r="P297" s="704"/>
      <c r="Q297" s="724" t="str">
        <f>Q$3</f>
        <v>4Q07/</v>
      </c>
      <c r="R297" s="704"/>
      <c r="S297" s="724" t="str">
        <f>S$3</f>
        <v>1Q08/</v>
      </c>
      <c r="T297" s="704"/>
      <c r="U297" s="724" t="str">
        <f>U$3</f>
        <v>2Q08/</v>
      </c>
      <c r="V297" s="704"/>
      <c r="W297" s="724" t="str">
        <f>W$3</f>
        <v>3Q08/</v>
      </c>
      <c r="X297" s="704"/>
      <c r="Y297" s="724" t="str">
        <f>Y$3</f>
        <v>4Q08/</v>
      </c>
      <c r="Z297" s="704"/>
      <c r="AA297" s="724" t="str">
        <f>AA$3</f>
        <v>1Q09/</v>
      </c>
      <c r="AB297" s="704"/>
      <c r="AC297" s="724" t="str">
        <f>AC$3</f>
        <v>2Q09/</v>
      </c>
      <c r="AD297" s="704"/>
      <c r="AE297" s="724" t="str">
        <f>AE$3</f>
        <v>3Q09/</v>
      </c>
      <c r="AF297" s="704"/>
      <c r="AG297" s="724" t="str">
        <f>AG$3</f>
        <v>4Q09/</v>
      </c>
      <c r="AH297" s="704"/>
      <c r="AI297" s="724" t="str">
        <f>AI$3</f>
        <v>1Q10/</v>
      </c>
      <c r="AJ297" s="704"/>
      <c r="AK297" s="724" t="str">
        <f>AK$3</f>
        <v>2Q10/</v>
      </c>
      <c r="AL297" s="704"/>
      <c r="AM297" s="724" t="str">
        <f>AM$3</f>
        <v>3Q10/</v>
      </c>
      <c r="AN297" s="704"/>
      <c r="AO297" s="724" t="str">
        <f>AO$3</f>
        <v>4Q10/</v>
      </c>
      <c r="AP297" s="704"/>
      <c r="AQ297" s="724" t="str">
        <f>AQ$3</f>
        <v>1Q11/</v>
      </c>
      <c r="AR297" s="704"/>
      <c r="AS297" s="724" t="str">
        <f>AS$3</f>
        <v>2Q11/</v>
      </c>
      <c r="AT297" s="704"/>
      <c r="AU297" s="724" t="str">
        <f>AU$3</f>
        <v>3Q11/</v>
      </c>
      <c r="AV297" s="704"/>
      <c r="AW297" s="724" t="str">
        <f>AW$3</f>
        <v>4Q11/</v>
      </c>
      <c r="AX297" s="704"/>
      <c r="AY297" s="724" t="str">
        <f>AY$3</f>
        <v>1Q12/</v>
      </c>
      <c r="AZ297" s="704"/>
      <c r="BA297" s="724" t="str">
        <f>BA$3</f>
        <v>2Q12/</v>
      </c>
      <c r="BB297" s="704"/>
      <c r="BC297" s="724" t="str">
        <f>BC$3</f>
        <v>3Q12/</v>
      </c>
      <c r="BD297" s="704"/>
      <c r="BE297" s="724" t="str">
        <f>BE$3</f>
        <v>4Q12/</v>
      </c>
      <c r="BF297" s="704"/>
      <c r="BG297" s="724" t="str">
        <f>BG$3</f>
        <v>1Q13/</v>
      </c>
      <c r="BH297" s="704"/>
      <c r="BI297" s="724" t="str">
        <f>BI$3</f>
        <v>2Q13/</v>
      </c>
      <c r="BJ297" s="704"/>
      <c r="BK297" s="724" t="str">
        <f>BK$3</f>
        <v>3Q13/</v>
      </c>
      <c r="BL297" s="704"/>
      <c r="BM297" s="724" t="str">
        <f>BM$3</f>
        <v>4Q13/</v>
      </c>
      <c r="BN297" s="704"/>
      <c r="BO297" s="724" t="str">
        <f>BO$3</f>
        <v>1Q14/</v>
      </c>
      <c r="BP297" s="704"/>
      <c r="BQ297" s="724" t="str">
        <f>BQ$3</f>
        <v>2Q14/</v>
      </c>
      <c r="BR297" s="704"/>
      <c r="BS297" s="724" t="str">
        <f>BS$3</f>
        <v>3Q14/</v>
      </c>
      <c r="BT297" s="704"/>
      <c r="BU297" s="724" t="str">
        <f>BU$3</f>
        <v>4Q14/</v>
      </c>
      <c r="BV297" s="704"/>
      <c r="BW297" s="724" t="str">
        <f>BW$3</f>
        <v>1Q15/</v>
      </c>
      <c r="BX297" s="704"/>
      <c r="BY297" s="724" t="str">
        <f>BY$3</f>
        <v>2Q15/</v>
      </c>
      <c r="BZ297" s="704"/>
      <c r="CA297" s="724" t="str">
        <f>CA$3</f>
        <v>3Q15/</v>
      </c>
      <c r="CB297" s="704"/>
      <c r="CC297" s="724" t="str">
        <f>CC$3</f>
        <v>4Q15/</v>
      </c>
      <c r="CD297" s="704"/>
      <c r="CE297" s="724" t="str">
        <f>CE$3</f>
        <v>1Q16/</v>
      </c>
      <c r="CF297" s="704"/>
      <c r="CG297" s="724" t="str">
        <f>CG$3</f>
        <v>2Q16/</v>
      </c>
      <c r="CH297" s="704"/>
      <c r="CI297" s="724" t="str">
        <f>CI$3</f>
        <v>3Q16/</v>
      </c>
      <c r="CJ297" s="704"/>
      <c r="CK297" s="724" t="str">
        <f>CK$3</f>
        <v>4Q16/</v>
      </c>
      <c r="CL297" s="704"/>
      <c r="CM297" s="724" t="str">
        <f t="shared" ref="CM297" si="170">CM$3</f>
        <v>1Q17/</v>
      </c>
      <c r="CN297" s="704"/>
      <c r="CO297" s="724" t="str">
        <f t="shared" ref="CO297" si="171">CO$3</f>
        <v>2Q17/</v>
      </c>
      <c r="CP297" s="704"/>
      <c r="CQ297" s="724" t="str">
        <f t="shared" ref="CQ297" si="172">CQ$3</f>
        <v>3Q17/</v>
      </c>
      <c r="CR297" s="704"/>
      <c r="CS297" s="724" t="str">
        <f t="shared" ref="CS297" si="173">CS$3</f>
        <v>4Q17/</v>
      </c>
      <c r="CT297" s="704"/>
      <c r="CU297" s="724" t="str">
        <f t="shared" ref="CU297" si="174">CU$3</f>
        <v>1Q18E/</v>
      </c>
      <c r="CV297" s="704"/>
      <c r="CW297" s="724" t="str">
        <f t="shared" ref="CW297" si="175">CW$3</f>
        <v>2Q18E/</v>
      </c>
      <c r="CX297" s="704"/>
      <c r="CY297" s="724" t="str">
        <f t="shared" ref="CY297" si="176">CY$3</f>
        <v>3Q18E/</v>
      </c>
      <c r="CZ297" s="704"/>
      <c r="DA297" s="724" t="str">
        <f t="shared" ref="DA297" si="177">DA$3</f>
        <v>4Q18E/</v>
      </c>
      <c r="DB297" s="724"/>
      <c r="DC297" s="704"/>
      <c r="DD297" s="724" t="str">
        <f>DD$3</f>
        <v>2005/</v>
      </c>
      <c r="DE297" s="704"/>
      <c r="DF297" s="724" t="str">
        <f>DF$3</f>
        <v>2006/</v>
      </c>
      <c r="DG297" s="704"/>
      <c r="DH297" s="724" t="str">
        <f>DH$3</f>
        <v>2007/</v>
      </c>
      <c r="DI297" s="704"/>
      <c r="DJ297" s="724" t="str">
        <f>DJ$3</f>
        <v>2008/</v>
      </c>
      <c r="DK297" s="704"/>
      <c r="DL297" s="724" t="str">
        <f>DL$3</f>
        <v>2009/</v>
      </c>
      <c r="DM297" s="704"/>
      <c r="DN297" s="724" t="str">
        <f>DN$3</f>
        <v>2010/</v>
      </c>
      <c r="DO297" s="704"/>
      <c r="DP297" s="724" t="str">
        <f>DP$3</f>
        <v>2011/</v>
      </c>
      <c r="DQ297" s="704"/>
      <c r="DR297" s="724" t="str">
        <f>DR$3</f>
        <v>2012/</v>
      </c>
      <c r="DS297" s="704"/>
      <c r="DT297" s="724" t="str">
        <f>DT$3</f>
        <v>2013/</v>
      </c>
      <c r="DU297" s="704"/>
      <c r="DV297" s="724" t="str">
        <f>DV$3</f>
        <v>2014/</v>
      </c>
      <c r="DW297" s="704"/>
      <c r="DX297" s="724" t="str">
        <f>DX$3</f>
        <v>2015/</v>
      </c>
      <c r="DY297" s="704"/>
      <c r="DZ297" s="724" t="str">
        <f>DZ$3</f>
        <v>2016/</v>
      </c>
      <c r="EA297" s="704"/>
      <c r="EB297" s="724" t="str">
        <f>EB$3</f>
        <v>2017/</v>
      </c>
      <c r="EC297" s="704"/>
      <c r="ED297" s="724" t="str">
        <f>ED$3</f>
        <v>2018E/</v>
      </c>
      <c r="EE297" s="704"/>
      <c r="EF297" s="724" t="str">
        <f>EF$3</f>
        <v>2019E/</v>
      </c>
      <c r="EG297" s="704"/>
      <c r="EH297" s="724" t="str">
        <f>EH$3</f>
        <v>2020E/</v>
      </c>
      <c r="EI297" s="704"/>
      <c r="EJ297" s="724" t="str">
        <f>EJ$3</f>
        <v>2021E/</v>
      </c>
      <c r="EK297" s="704"/>
      <c r="EL297" s="724" t="str">
        <f>EL$3</f>
        <v>2022E/</v>
      </c>
      <c r="EM297" s="705" t="str">
        <f>EM$3</f>
        <v>5-Yr</v>
      </c>
    </row>
    <row r="298" spans="1:143" s="3" customFormat="1" ht="12.75" hidden="1" customHeight="1" outlineLevel="2" x14ac:dyDescent="0.2">
      <c r="A298" s="693"/>
      <c r="B298" s="692"/>
      <c r="C298" s="496"/>
      <c r="D298" s="692"/>
      <c r="E298" s="496" t="str">
        <f>E$4</f>
        <v>2Q05</v>
      </c>
      <c r="F298" s="692"/>
      <c r="G298" s="496" t="str">
        <f>G$4</f>
        <v>3Q05</v>
      </c>
      <c r="H298" s="692"/>
      <c r="I298" s="496" t="str">
        <f>I$4</f>
        <v>4Q05</v>
      </c>
      <c r="J298" s="496"/>
      <c r="K298" s="496" t="str">
        <f>K$4</f>
        <v>1Q06</v>
      </c>
      <c r="L298" s="692"/>
      <c r="M298" s="496" t="str">
        <f>M$4</f>
        <v>2Q06</v>
      </c>
      <c r="N298" s="692"/>
      <c r="O298" s="496" t="str">
        <f>O$4</f>
        <v>3Q06</v>
      </c>
      <c r="P298" s="692"/>
      <c r="Q298" s="496" t="str">
        <f>Q$4</f>
        <v>4Q06</v>
      </c>
      <c r="R298" s="692"/>
      <c r="S298" s="496" t="str">
        <f>S$4</f>
        <v>1Q07</v>
      </c>
      <c r="T298" s="692"/>
      <c r="U298" s="496" t="str">
        <f>U$4</f>
        <v>2Q07</v>
      </c>
      <c r="V298" s="692"/>
      <c r="W298" s="496" t="str">
        <f>W$4</f>
        <v>3Q07</v>
      </c>
      <c r="X298" s="692"/>
      <c r="Y298" s="496" t="str">
        <f>Y$4</f>
        <v>4Q07</v>
      </c>
      <c r="Z298" s="692"/>
      <c r="AA298" s="496" t="str">
        <f>AA$4</f>
        <v>1Q08</v>
      </c>
      <c r="AB298" s="692"/>
      <c r="AC298" s="496" t="str">
        <f>AC$4</f>
        <v>2Q08</v>
      </c>
      <c r="AD298" s="692"/>
      <c r="AE298" s="496" t="str">
        <f>AE$4</f>
        <v>3Q08</v>
      </c>
      <c r="AF298" s="692"/>
      <c r="AG298" s="496" t="str">
        <f>AG$4</f>
        <v>4Q08</v>
      </c>
      <c r="AH298" s="692"/>
      <c r="AI298" s="496" t="str">
        <f>AI$4</f>
        <v>1Q09</v>
      </c>
      <c r="AJ298" s="692"/>
      <c r="AK298" s="496" t="str">
        <f>AK$4</f>
        <v>2Q09</v>
      </c>
      <c r="AL298" s="692"/>
      <c r="AM298" s="496" t="str">
        <f>AM$4</f>
        <v>3Q09</v>
      </c>
      <c r="AN298" s="692"/>
      <c r="AO298" s="496" t="str">
        <f>AO$4</f>
        <v>4Q09</v>
      </c>
      <c r="AP298" s="692"/>
      <c r="AQ298" s="496" t="str">
        <f>AQ$4</f>
        <v>1Q10</v>
      </c>
      <c r="AR298" s="692"/>
      <c r="AS298" s="496" t="str">
        <f>AS$4</f>
        <v>2Q10</v>
      </c>
      <c r="AT298" s="692"/>
      <c r="AU298" s="496" t="str">
        <f>AU$4</f>
        <v>3Q10</v>
      </c>
      <c r="AV298" s="692"/>
      <c r="AW298" s="496" t="str">
        <f>AW$4</f>
        <v>4Q10</v>
      </c>
      <c r="AX298" s="692"/>
      <c r="AY298" s="496" t="str">
        <f>AY$4</f>
        <v>1Q11</v>
      </c>
      <c r="AZ298" s="692"/>
      <c r="BA298" s="496" t="str">
        <f>BA$4</f>
        <v>2Q11</v>
      </c>
      <c r="BB298" s="692"/>
      <c r="BC298" s="496" t="str">
        <f>BC$4</f>
        <v>3Q11</v>
      </c>
      <c r="BD298" s="692"/>
      <c r="BE298" s="496" t="str">
        <f>BE$4</f>
        <v>4Q11</v>
      </c>
      <c r="BF298" s="692"/>
      <c r="BG298" s="496" t="str">
        <f>BG$4</f>
        <v>1Q12</v>
      </c>
      <c r="BH298" s="692"/>
      <c r="BI298" s="496" t="str">
        <f>BI$4</f>
        <v>2Q12</v>
      </c>
      <c r="BJ298" s="692"/>
      <c r="BK298" s="496" t="str">
        <f>BK$4</f>
        <v>3Q12</v>
      </c>
      <c r="BL298" s="692"/>
      <c r="BM298" s="496" t="str">
        <f>BM$4</f>
        <v>4Q12</v>
      </c>
      <c r="BN298" s="692"/>
      <c r="BO298" s="496" t="str">
        <f>BO$4</f>
        <v>1Q13</v>
      </c>
      <c r="BP298" s="692"/>
      <c r="BQ298" s="496" t="str">
        <f>BQ$4</f>
        <v>2Q13</v>
      </c>
      <c r="BR298" s="692"/>
      <c r="BS298" s="496" t="str">
        <f>BS$4</f>
        <v>3Q13</v>
      </c>
      <c r="BT298" s="692"/>
      <c r="BU298" s="496" t="str">
        <f>BU$4</f>
        <v>4Q13</v>
      </c>
      <c r="BV298" s="692"/>
      <c r="BW298" s="496" t="str">
        <f>BW$4</f>
        <v>1Q14</v>
      </c>
      <c r="BX298" s="692"/>
      <c r="BY298" s="496" t="str">
        <f>BY$4</f>
        <v>2Q14</v>
      </c>
      <c r="BZ298" s="692"/>
      <c r="CA298" s="496" t="str">
        <f>CA$4</f>
        <v>3Q14</v>
      </c>
      <c r="CB298" s="692"/>
      <c r="CC298" s="496" t="str">
        <f>CC$4</f>
        <v>4Q14</v>
      </c>
      <c r="CD298" s="692"/>
      <c r="CE298" s="496" t="str">
        <f>CE$4</f>
        <v>1Q15</v>
      </c>
      <c r="CF298" s="692"/>
      <c r="CG298" s="496" t="str">
        <f>CG$4</f>
        <v>2Q15</v>
      </c>
      <c r="CH298" s="692"/>
      <c r="CI298" s="496" t="str">
        <f>CI$4</f>
        <v>3Q15</v>
      </c>
      <c r="CJ298" s="692"/>
      <c r="CK298" s="496" t="str">
        <f>CK$4</f>
        <v>4Q15</v>
      </c>
      <c r="CL298" s="692"/>
      <c r="CM298" s="496" t="str">
        <f t="shared" ref="CM298" si="178">CM$4</f>
        <v>1Q16</v>
      </c>
      <c r="CN298" s="692"/>
      <c r="CO298" s="496" t="str">
        <f t="shared" ref="CO298" si="179">CO$4</f>
        <v>2Q16</v>
      </c>
      <c r="CP298" s="692"/>
      <c r="CQ298" s="496" t="str">
        <f t="shared" ref="CQ298" si="180">CQ$4</f>
        <v>3Q16</v>
      </c>
      <c r="CR298" s="692"/>
      <c r="CS298" s="496" t="str">
        <f t="shared" ref="CS298" si="181">CS$4</f>
        <v>4Q16</v>
      </c>
      <c r="CT298" s="692"/>
      <c r="CU298" s="496" t="str">
        <f t="shared" ref="CU298" si="182">CU$4</f>
        <v>1Q17</v>
      </c>
      <c r="CV298" s="692"/>
      <c r="CW298" s="496" t="str">
        <f t="shared" ref="CW298" si="183">CW$4</f>
        <v>2Q17</v>
      </c>
      <c r="CX298" s="692"/>
      <c r="CY298" s="496" t="str">
        <f t="shared" ref="CY298" si="184">CY$4</f>
        <v>3Q17</v>
      </c>
      <c r="CZ298" s="692"/>
      <c r="DA298" s="496" t="str">
        <f t="shared" ref="DA298" si="185">DA$4</f>
        <v>4Q17</v>
      </c>
      <c r="DB298" s="496"/>
      <c r="DC298" s="692"/>
      <c r="DD298" s="686">
        <f>DD$4</f>
        <v>2004</v>
      </c>
      <c r="DE298" s="692"/>
      <c r="DF298" s="686">
        <f>DF$4</f>
        <v>2005</v>
      </c>
      <c r="DG298" s="692"/>
      <c r="DH298" s="686">
        <f>DH$4</f>
        <v>2006</v>
      </c>
      <c r="DI298" s="692"/>
      <c r="DJ298" s="686">
        <f>DJ$4</f>
        <v>2007</v>
      </c>
      <c r="DK298" s="692"/>
      <c r="DL298" s="725">
        <f>DL$4</f>
        <v>2008</v>
      </c>
      <c r="DM298" s="692"/>
      <c r="DN298" s="725" t="str">
        <f>DN$4</f>
        <v>2009</v>
      </c>
      <c r="DO298" s="692"/>
      <c r="DP298" s="725" t="str">
        <f>DP$4</f>
        <v>2010</v>
      </c>
      <c r="DQ298" s="692"/>
      <c r="DR298" s="725" t="str">
        <f>DR$4</f>
        <v>2011</v>
      </c>
      <c r="DS298" s="692"/>
      <c r="DT298" s="725" t="str">
        <f>DT$4</f>
        <v>2012</v>
      </c>
      <c r="DU298" s="692"/>
      <c r="DV298" s="725" t="str">
        <f>DV$4</f>
        <v>2013</v>
      </c>
      <c r="DW298" s="692"/>
      <c r="DX298" s="725" t="str">
        <f>DX$4</f>
        <v>2014</v>
      </c>
      <c r="DY298" s="692"/>
      <c r="DZ298" s="725" t="str">
        <f>DZ$4</f>
        <v>2015</v>
      </c>
      <c r="EA298" s="692"/>
      <c r="EB298" s="725" t="str">
        <f>EB$4</f>
        <v>2016</v>
      </c>
      <c r="EC298" s="692"/>
      <c r="ED298" s="725" t="str">
        <f>ED$4</f>
        <v>2017</v>
      </c>
      <c r="EE298" s="692"/>
      <c r="EF298" s="725" t="str">
        <f>EF$4</f>
        <v>2018E</v>
      </c>
      <c r="EG298" s="692"/>
      <c r="EH298" s="725" t="str">
        <f>EH$4</f>
        <v>2019E</v>
      </c>
      <c r="EI298" s="692"/>
      <c r="EJ298" s="725" t="str">
        <f>EJ$4</f>
        <v>2020E</v>
      </c>
      <c r="EK298" s="692"/>
      <c r="EL298" s="725" t="str">
        <f>EL$4</f>
        <v>2021E</v>
      </c>
      <c r="EM298" s="686" t="str">
        <f>EM$4</f>
        <v>CAGR</v>
      </c>
    </row>
    <row r="299" spans="1:143" s="3" customFormat="1" ht="12.75" hidden="1" customHeight="1" outlineLevel="2" x14ac:dyDescent="0.2">
      <c r="A299" s="694"/>
      <c r="B299" s="695" t="str">
        <f t="shared" ref="B299:BN299" si="186">B$5</f>
        <v>1Q06</v>
      </c>
      <c r="C299" s="726" t="str">
        <f t="shared" si="186"/>
        <v>% Chg</v>
      </c>
      <c r="D299" s="695" t="str">
        <f t="shared" si="186"/>
        <v>2Q06</v>
      </c>
      <c r="E299" s="726" t="str">
        <f t="shared" si="186"/>
        <v>% Chg</v>
      </c>
      <c r="F299" s="695" t="str">
        <f t="shared" si="186"/>
        <v>3Q06</v>
      </c>
      <c r="G299" s="726" t="str">
        <f t="shared" si="186"/>
        <v>% Chg</v>
      </c>
      <c r="H299" s="695" t="str">
        <f t="shared" si="186"/>
        <v>4Q06</v>
      </c>
      <c r="I299" s="726" t="str">
        <f t="shared" si="186"/>
        <v>% Chg</v>
      </c>
      <c r="J299" s="695" t="str">
        <f t="shared" si="186"/>
        <v>1Q07</v>
      </c>
      <c r="K299" s="726" t="str">
        <f t="shared" si="186"/>
        <v>% Chg</v>
      </c>
      <c r="L299" s="695" t="str">
        <f t="shared" si="186"/>
        <v>2Q07</v>
      </c>
      <c r="M299" s="726" t="str">
        <f t="shared" si="186"/>
        <v>% Chg</v>
      </c>
      <c r="N299" s="695" t="str">
        <f t="shared" si="186"/>
        <v>3Q07</v>
      </c>
      <c r="O299" s="726" t="str">
        <f t="shared" si="186"/>
        <v>% Chg</v>
      </c>
      <c r="P299" s="695" t="str">
        <f t="shared" si="186"/>
        <v>4Q07</v>
      </c>
      <c r="Q299" s="726" t="str">
        <f t="shared" si="186"/>
        <v>% Chg</v>
      </c>
      <c r="R299" s="695" t="str">
        <f t="shared" si="186"/>
        <v>1Q08</v>
      </c>
      <c r="S299" s="726" t="str">
        <f t="shared" si="186"/>
        <v>% Chg</v>
      </c>
      <c r="T299" s="695" t="str">
        <f t="shared" si="186"/>
        <v>2Q08</v>
      </c>
      <c r="U299" s="726" t="str">
        <f t="shared" si="186"/>
        <v>% Chg</v>
      </c>
      <c r="V299" s="695" t="str">
        <f t="shared" si="186"/>
        <v>3Q08</v>
      </c>
      <c r="W299" s="726" t="str">
        <f t="shared" si="186"/>
        <v>% Chg</v>
      </c>
      <c r="X299" s="695" t="str">
        <f t="shared" si="186"/>
        <v>4Q08</v>
      </c>
      <c r="Y299" s="726" t="str">
        <f t="shared" si="186"/>
        <v>% Chg</v>
      </c>
      <c r="Z299" s="695" t="str">
        <f t="shared" si="186"/>
        <v>1Q09</v>
      </c>
      <c r="AA299" s="726" t="str">
        <f t="shared" si="186"/>
        <v>% Chg</v>
      </c>
      <c r="AB299" s="695" t="str">
        <f t="shared" si="186"/>
        <v>2Q09</v>
      </c>
      <c r="AC299" s="726" t="str">
        <f t="shared" si="186"/>
        <v>% Chg</v>
      </c>
      <c r="AD299" s="695" t="str">
        <f t="shared" si="186"/>
        <v>3Q09</v>
      </c>
      <c r="AE299" s="726" t="str">
        <f t="shared" si="186"/>
        <v>% Chg</v>
      </c>
      <c r="AF299" s="695" t="str">
        <f t="shared" si="186"/>
        <v>4Q09</v>
      </c>
      <c r="AG299" s="726" t="str">
        <f t="shared" si="186"/>
        <v>% Chg</v>
      </c>
      <c r="AH299" s="695" t="str">
        <f t="shared" si="186"/>
        <v>1Q10</v>
      </c>
      <c r="AI299" s="726" t="str">
        <f t="shared" si="186"/>
        <v>% Chg</v>
      </c>
      <c r="AJ299" s="695" t="str">
        <f t="shared" si="186"/>
        <v>2Q10</v>
      </c>
      <c r="AK299" s="726" t="str">
        <f t="shared" si="186"/>
        <v>% Chg</v>
      </c>
      <c r="AL299" s="695" t="str">
        <f t="shared" si="186"/>
        <v>3Q10</v>
      </c>
      <c r="AM299" s="726" t="str">
        <f t="shared" si="186"/>
        <v>% Chg</v>
      </c>
      <c r="AN299" s="695" t="str">
        <f t="shared" si="186"/>
        <v>4Q10</v>
      </c>
      <c r="AO299" s="726" t="str">
        <f t="shared" si="186"/>
        <v>% Chg</v>
      </c>
      <c r="AP299" s="695" t="str">
        <f t="shared" si="186"/>
        <v>1Q11</v>
      </c>
      <c r="AQ299" s="726" t="str">
        <f t="shared" si="186"/>
        <v>% Chg</v>
      </c>
      <c r="AR299" s="695" t="str">
        <f t="shared" si="186"/>
        <v>2Q11</v>
      </c>
      <c r="AS299" s="726" t="str">
        <f t="shared" si="186"/>
        <v>% Chg</v>
      </c>
      <c r="AT299" s="695" t="str">
        <f t="shared" si="186"/>
        <v>3Q11</v>
      </c>
      <c r="AU299" s="726" t="str">
        <f t="shared" si="186"/>
        <v>% Chg</v>
      </c>
      <c r="AV299" s="695" t="str">
        <f t="shared" si="186"/>
        <v>4Q11</v>
      </c>
      <c r="AW299" s="726" t="str">
        <f t="shared" si="186"/>
        <v>% Chg</v>
      </c>
      <c r="AX299" s="695" t="str">
        <f t="shared" si="186"/>
        <v>1Q12</v>
      </c>
      <c r="AY299" s="726" t="str">
        <f t="shared" si="186"/>
        <v>% Chg</v>
      </c>
      <c r="AZ299" s="695" t="str">
        <f t="shared" si="186"/>
        <v>2Q12</v>
      </c>
      <c r="BA299" s="726" t="str">
        <f t="shared" si="186"/>
        <v>% Chg</v>
      </c>
      <c r="BB299" s="695" t="str">
        <f t="shared" si="186"/>
        <v>3Q12</v>
      </c>
      <c r="BC299" s="726" t="str">
        <f t="shared" si="186"/>
        <v>% Chg</v>
      </c>
      <c r="BD299" s="695" t="str">
        <f t="shared" si="186"/>
        <v>4Q12</v>
      </c>
      <c r="BE299" s="726" t="str">
        <f t="shared" si="186"/>
        <v>% Chg</v>
      </c>
      <c r="BF299" s="695" t="str">
        <f t="shared" si="186"/>
        <v>1Q13</v>
      </c>
      <c r="BG299" s="726" t="str">
        <f t="shared" si="186"/>
        <v>% Chg</v>
      </c>
      <c r="BH299" s="695" t="str">
        <f t="shared" si="186"/>
        <v>2Q13</v>
      </c>
      <c r="BI299" s="726" t="str">
        <f t="shared" si="186"/>
        <v>% Chg</v>
      </c>
      <c r="BJ299" s="695" t="str">
        <f t="shared" si="186"/>
        <v>3Q13</v>
      </c>
      <c r="BK299" s="726" t="str">
        <f t="shared" si="186"/>
        <v>% Chg</v>
      </c>
      <c r="BL299" s="695" t="str">
        <f t="shared" si="186"/>
        <v>4Q13</v>
      </c>
      <c r="BM299" s="726" t="str">
        <f t="shared" si="186"/>
        <v>% Chg</v>
      </c>
      <c r="BN299" s="695" t="str">
        <f t="shared" si="186"/>
        <v>1Q14</v>
      </c>
      <c r="BO299" s="726" t="str">
        <f t="shared" ref="BO299:DA299" si="187">BO$5</f>
        <v>% Chg</v>
      </c>
      <c r="BP299" s="695" t="str">
        <f t="shared" si="187"/>
        <v>2Q14</v>
      </c>
      <c r="BQ299" s="726" t="str">
        <f t="shared" si="187"/>
        <v>% Chg</v>
      </c>
      <c r="BR299" s="695" t="str">
        <f t="shared" si="187"/>
        <v>3Q14</v>
      </c>
      <c r="BS299" s="726" t="str">
        <f t="shared" si="187"/>
        <v>% Chg</v>
      </c>
      <c r="BT299" s="695" t="str">
        <f t="shared" si="187"/>
        <v>4Q14</v>
      </c>
      <c r="BU299" s="726" t="str">
        <f t="shared" si="187"/>
        <v>% Chg</v>
      </c>
      <c r="BV299" s="695" t="str">
        <f t="shared" si="187"/>
        <v>1Q15</v>
      </c>
      <c r="BW299" s="726" t="str">
        <f t="shared" si="187"/>
        <v>% Chg</v>
      </c>
      <c r="BX299" s="695" t="str">
        <f t="shared" si="187"/>
        <v>2Q15</v>
      </c>
      <c r="BY299" s="726" t="str">
        <f t="shared" si="187"/>
        <v>% Chg</v>
      </c>
      <c r="BZ299" s="695" t="str">
        <f t="shared" si="187"/>
        <v>3Q15</v>
      </c>
      <c r="CA299" s="726" t="str">
        <f t="shared" si="187"/>
        <v>% Chg</v>
      </c>
      <c r="CB299" s="695" t="str">
        <f t="shared" si="187"/>
        <v>4Q15</v>
      </c>
      <c r="CC299" s="726" t="str">
        <f t="shared" si="187"/>
        <v>% Chg</v>
      </c>
      <c r="CD299" s="695" t="str">
        <f t="shared" si="187"/>
        <v>1Q16</v>
      </c>
      <c r="CE299" s="726" t="str">
        <f t="shared" si="187"/>
        <v>% Chg</v>
      </c>
      <c r="CF299" s="695" t="str">
        <f t="shared" si="187"/>
        <v>2Q16</v>
      </c>
      <c r="CG299" s="726" t="str">
        <f t="shared" si="187"/>
        <v>% Chg</v>
      </c>
      <c r="CH299" s="695" t="str">
        <f t="shared" si="187"/>
        <v>3Q16</v>
      </c>
      <c r="CI299" s="726" t="str">
        <f t="shared" si="187"/>
        <v>% Chg</v>
      </c>
      <c r="CJ299" s="695" t="str">
        <f t="shared" si="187"/>
        <v>4Q16</v>
      </c>
      <c r="CK299" s="726" t="str">
        <f t="shared" si="187"/>
        <v>% Chg</v>
      </c>
      <c r="CL299" s="695" t="str">
        <f t="shared" si="187"/>
        <v>1Q17</v>
      </c>
      <c r="CM299" s="726" t="str">
        <f t="shared" si="187"/>
        <v>% Chg</v>
      </c>
      <c r="CN299" s="695" t="str">
        <f t="shared" si="187"/>
        <v>2Q17</v>
      </c>
      <c r="CO299" s="726" t="str">
        <f t="shared" si="187"/>
        <v>% Chg</v>
      </c>
      <c r="CP299" s="695" t="str">
        <f t="shared" si="187"/>
        <v>3Q17</v>
      </c>
      <c r="CQ299" s="726" t="str">
        <f t="shared" si="187"/>
        <v>% Chg</v>
      </c>
      <c r="CR299" s="695" t="str">
        <f t="shared" si="187"/>
        <v>4Q17</v>
      </c>
      <c r="CS299" s="726" t="str">
        <f t="shared" si="187"/>
        <v>% Chg</v>
      </c>
      <c r="CT299" s="695" t="str">
        <f t="shared" si="187"/>
        <v>1Q18E</v>
      </c>
      <c r="CU299" s="726" t="str">
        <f t="shared" si="187"/>
        <v>% Chg</v>
      </c>
      <c r="CV299" s="695" t="str">
        <f t="shared" si="187"/>
        <v>2Q18E</v>
      </c>
      <c r="CW299" s="726" t="str">
        <f t="shared" si="187"/>
        <v>% Chg</v>
      </c>
      <c r="CX299" s="695" t="str">
        <f t="shared" si="187"/>
        <v>3Q18E</v>
      </c>
      <c r="CY299" s="726" t="str">
        <f t="shared" si="187"/>
        <v>% Chg</v>
      </c>
      <c r="CZ299" s="695" t="str">
        <f t="shared" si="187"/>
        <v>4Q18E</v>
      </c>
      <c r="DA299" s="726" t="str">
        <f t="shared" si="187"/>
        <v>% Chg</v>
      </c>
      <c r="DB299" s="726"/>
      <c r="DC299" s="699">
        <f t="shared" ref="DC299:EM299" si="188">DC$5</f>
        <v>2005</v>
      </c>
      <c r="DD299" s="726" t="str">
        <f t="shared" si="188"/>
        <v>% Chg</v>
      </c>
      <c r="DE299" s="699">
        <f t="shared" si="188"/>
        <v>2006</v>
      </c>
      <c r="DF299" s="726" t="str">
        <f t="shared" si="188"/>
        <v>% Chg</v>
      </c>
      <c r="DG299" s="699">
        <f t="shared" si="188"/>
        <v>2007</v>
      </c>
      <c r="DH299" s="726" t="str">
        <f t="shared" si="188"/>
        <v>% Chg</v>
      </c>
      <c r="DI299" s="699">
        <f t="shared" si="188"/>
        <v>2008</v>
      </c>
      <c r="DJ299" s="726" t="str">
        <f t="shared" si="188"/>
        <v>% Chg</v>
      </c>
      <c r="DK299" s="695" t="str">
        <f t="shared" si="188"/>
        <v>2009</v>
      </c>
      <c r="DL299" s="726" t="str">
        <f t="shared" si="188"/>
        <v>% Chg</v>
      </c>
      <c r="DM299" s="695" t="str">
        <f t="shared" si="188"/>
        <v>2010</v>
      </c>
      <c r="DN299" s="726" t="str">
        <f t="shared" si="188"/>
        <v>% Chg</v>
      </c>
      <c r="DO299" s="695" t="str">
        <f t="shared" si="188"/>
        <v>2011</v>
      </c>
      <c r="DP299" s="726" t="str">
        <f t="shared" si="188"/>
        <v>% Chg</v>
      </c>
      <c r="DQ299" s="695" t="str">
        <f t="shared" si="188"/>
        <v>2012</v>
      </c>
      <c r="DR299" s="726" t="str">
        <f t="shared" si="188"/>
        <v>% Chg</v>
      </c>
      <c r="DS299" s="695" t="str">
        <f t="shared" si="188"/>
        <v>2013</v>
      </c>
      <c r="DT299" s="726" t="str">
        <f t="shared" si="188"/>
        <v>% Chg</v>
      </c>
      <c r="DU299" s="695" t="str">
        <f t="shared" si="188"/>
        <v>2014</v>
      </c>
      <c r="DV299" s="726" t="str">
        <f t="shared" si="188"/>
        <v>% Chg</v>
      </c>
      <c r="DW299" s="695" t="str">
        <f t="shared" si="188"/>
        <v>2015</v>
      </c>
      <c r="DX299" s="726" t="str">
        <f t="shared" si="188"/>
        <v>% Chg</v>
      </c>
      <c r="DY299" s="695" t="str">
        <f t="shared" si="188"/>
        <v>2016</v>
      </c>
      <c r="DZ299" s="726" t="str">
        <f t="shared" si="188"/>
        <v>% Chg</v>
      </c>
      <c r="EA299" s="695" t="str">
        <f t="shared" si="188"/>
        <v>2017</v>
      </c>
      <c r="EB299" s="726" t="str">
        <f t="shared" si="188"/>
        <v>% Chg</v>
      </c>
      <c r="EC299" s="695" t="str">
        <f t="shared" si="188"/>
        <v>2018E</v>
      </c>
      <c r="ED299" s="726" t="str">
        <f t="shared" si="188"/>
        <v>% Chg</v>
      </c>
      <c r="EE299" s="695" t="str">
        <f t="shared" si="188"/>
        <v>2019E</v>
      </c>
      <c r="EF299" s="726" t="str">
        <f t="shared" si="188"/>
        <v>% Chg</v>
      </c>
      <c r="EG299" s="695" t="str">
        <f t="shared" si="188"/>
        <v>2020E</v>
      </c>
      <c r="EH299" s="726" t="str">
        <f t="shared" si="188"/>
        <v>% Chg</v>
      </c>
      <c r="EI299" s="695" t="str">
        <f t="shared" si="188"/>
        <v>2021E</v>
      </c>
      <c r="EJ299" s="726" t="str">
        <f t="shared" si="188"/>
        <v>% Chg</v>
      </c>
      <c r="EK299" s="695" t="str">
        <f t="shared" si="188"/>
        <v>2022E</v>
      </c>
      <c r="EL299" s="726" t="str">
        <f t="shared" si="188"/>
        <v>% Chg</v>
      </c>
      <c r="EM299" s="696" t="str">
        <f t="shared" si="188"/>
        <v>(%)</v>
      </c>
    </row>
    <row r="300" spans="1:143" ht="12.75" hidden="1" customHeight="1" outlineLevel="2" x14ac:dyDescent="0.2">
      <c r="A300" s="700"/>
      <c r="B300" s="16"/>
      <c r="C300" s="507"/>
      <c r="D300" s="16"/>
      <c r="E300" s="687"/>
      <c r="F300" s="16"/>
      <c r="G300" s="687"/>
      <c r="H300" s="16"/>
      <c r="I300" s="687"/>
      <c r="J300" s="16"/>
      <c r="K300" s="507"/>
      <c r="L300" s="16"/>
      <c r="M300" s="507"/>
      <c r="N300" s="16"/>
      <c r="O300" s="507"/>
      <c r="P300" s="16"/>
      <c r="Q300" s="507"/>
      <c r="R300" s="16"/>
      <c r="S300" s="507"/>
      <c r="T300" s="16"/>
      <c r="U300" s="507"/>
      <c r="V300" s="16"/>
      <c r="W300" s="507"/>
      <c r="X300" s="16"/>
      <c r="Y300" s="507"/>
      <c r="Z300" s="16"/>
      <c r="AA300" s="687"/>
      <c r="AB300" s="16"/>
      <c r="AC300" s="507"/>
      <c r="AD300" s="16"/>
      <c r="AE300" s="507"/>
      <c r="AF300" s="16"/>
      <c r="AG300" s="507"/>
      <c r="AH300" s="16"/>
      <c r="AI300" s="507"/>
      <c r="AJ300" s="16"/>
      <c r="AK300" s="507"/>
      <c r="AL300" s="16"/>
      <c r="AM300" s="507"/>
      <c r="AN300" s="16"/>
      <c r="AO300" s="507"/>
      <c r="AP300" s="16"/>
      <c r="AQ300" s="507"/>
      <c r="AR300" s="16"/>
      <c r="AS300" s="507"/>
      <c r="AT300" s="16"/>
      <c r="AU300" s="507"/>
      <c r="AV300" s="16"/>
      <c r="AW300" s="507"/>
      <c r="AX300" s="16"/>
      <c r="AY300" s="507"/>
      <c r="AZ300" s="16"/>
      <c r="BA300" s="507"/>
      <c r="BB300" s="16"/>
      <c r="BC300" s="507"/>
      <c r="BD300" s="16"/>
      <c r="BE300" s="507"/>
      <c r="BF300" s="16"/>
      <c r="BG300" s="507"/>
      <c r="BH300" s="16"/>
      <c r="BI300" s="507"/>
      <c r="BJ300" s="16"/>
      <c r="BK300" s="507"/>
      <c r="BL300" s="16"/>
      <c r="BM300" s="507"/>
      <c r="BN300" s="16"/>
      <c r="BO300" s="507"/>
      <c r="BP300" s="16"/>
      <c r="BQ300" s="507"/>
      <c r="BR300" s="16"/>
      <c r="BS300" s="507"/>
      <c r="BT300" s="16"/>
      <c r="BU300" s="507"/>
      <c r="BV300" s="16"/>
      <c r="BW300" s="507"/>
      <c r="BX300" s="16"/>
      <c r="BY300" s="507"/>
      <c r="BZ300" s="16"/>
      <c r="CA300" s="507"/>
      <c r="CB300" s="16"/>
      <c r="CC300" s="507"/>
      <c r="CD300" s="16"/>
      <c r="CE300" s="507"/>
      <c r="CF300" s="16"/>
      <c r="CG300" s="507"/>
      <c r="CH300" s="16"/>
      <c r="CI300" s="507"/>
      <c r="CJ300" s="16"/>
      <c r="CK300" s="507"/>
      <c r="CL300" s="16"/>
      <c r="CM300" s="507"/>
      <c r="CN300" s="16"/>
      <c r="CO300" s="507"/>
      <c r="CP300" s="16"/>
      <c r="CQ300" s="507"/>
      <c r="CR300" s="16"/>
      <c r="CS300" s="507"/>
      <c r="CT300" s="16"/>
      <c r="CU300" s="507"/>
      <c r="CV300" s="16"/>
      <c r="CW300" s="507"/>
      <c r="CX300" s="16"/>
      <c r="CY300" s="507"/>
      <c r="CZ300" s="16"/>
      <c r="DA300" s="507"/>
      <c r="DB300" s="507"/>
      <c r="DC300" s="16"/>
      <c r="DD300" s="507"/>
      <c r="DE300" s="16"/>
      <c r="DF300" s="507"/>
      <c r="DG300" s="16"/>
      <c r="DH300" s="507"/>
      <c r="DI300" s="16"/>
      <c r="DJ300" s="507"/>
      <c r="DK300" s="16"/>
      <c r="DL300" s="507"/>
      <c r="DM300" s="16"/>
      <c r="DN300" s="507"/>
      <c r="DO300" s="16"/>
      <c r="DP300" s="507"/>
      <c r="DQ300" s="16"/>
      <c r="DR300" s="507"/>
      <c r="DS300" s="16"/>
      <c r="DT300" s="507"/>
      <c r="DU300" s="16"/>
      <c r="DV300" s="507"/>
      <c r="DW300" s="16"/>
      <c r="DX300" s="507"/>
      <c r="DY300" s="16"/>
      <c r="DZ300" s="507"/>
      <c r="EA300" s="16"/>
      <c r="EB300" s="507"/>
      <c r="EC300" s="16"/>
      <c r="ED300" s="507"/>
      <c r="EE300" s="16"/>
      <c r="EF300" s="507"/>
      <c r="EG300" s="16"/>
      <c r="EH300" s="507"/>
      <c r="EI300" s="16"/>
      <c r="EJ300" s="507"/>
      <c r="EK300" s="16"/>
      <c r="EL300" s="507"/>
      <c r="EM300" s="687"/>
    </row>
    <row r="301" spans="1:143" ht="12.75" hidden="1" customHeight="1" outlineLevel="2" x14ac:dyDescent="0.2">
      <c r="A301" s="700" t="str">
        <f>INPUT!B319</f>
        <v>REVENUES</v>
      </c>
      <c r="B301" s="16"/>
      <c r="C301" s="507"/>
      <c r="D301" s="16"/>
      <c r="E301" s="687"/>
      <c r="F301" s="16"/>
      <c r="G301" s="687"/>
      <c r="H301" s="16"/>
      <c r="I301" s="687"/>
      <c r="J301" s="16"/>
      <c r="K301" s="507"/>
      <c r="L301" s="16"/>
      <c r="M301" s="507"/>
      <c r="N301" s="16"/>
      <c r="O301" s="507"/>
      <c r="P301" s="16"/>
      <c r="Q301" s="507"/>
      <c r="R301" s="16"/>
      <c r="S301" s="507"/>
      <c r="T301" s="16"/>
      <c r="U301" s="507"/>
      <c r="V301" s="16"/>
      <c r="W301" s="507"/>
      <c r="X301" s="16"/>
      <c r="Y301" s="507"/>
      <c r="Z301" s="16"/>
      <c r="AA301" s="687"/>
      <c r="AB301" s="16"/>
      <c r="AC301" s="507"/>
      <c r="AD301" s="16"/>
      <c r="AE301" s="507"/>
      <c r="AF301" s="16"/>
      <c r="AG301" s="507"/>
      <c r="AH301" s="16"/>
      <c r="AI301" s="507"/>
      <c r="AJ301" s="16"/>
      <c r="AK301" s="507"/>
      <c r="AL301" s="16"/>
      <c r="AM301" s="507"/>
      <c r="AN301" s="16"/>
      <c r="AO301" s="507"/>
      <c r="AP301" s="16"/>
      <c r="AQ301" s="507"/>
      <c r="AR301" s="16"/>
      <c r="AS301" s="507"/>
      <c r="AT301" s="16"/>
      <c r="AU301" s="507"/>
      <c r="AV301" s="16"/>
      <c r="AW301" s="507"/>
      <c r="AX301" s="16"/>
      <c r="AY301" s="507"/>
      <c r="AZ301" s="16"/>
      <c r="BA301" s="507"/>
      <c r="BB301" s="16"/>
      <c r="BC301" s="507"/>
      <c r="BD301" s="16"/>
      <c r="BE301" s="507"/>
      <c r="BF301" s="16"/>
      <c r="BG301" s="507"/>
      <c r="BH301" s="16"/>
      <c r="BI301" s="507"/>
      <c r="BJ301" s="16"/>
      <c r="BK301" s="507"/>
      <c r="BL301" s="16"/>
      <c r="BM301" s="507"/>
      <c r="BN301" s="16"/>
      <c r="BO301" s="507"/>
      <c r="BP301" s="16"/>
      <c r="BQ301" s="507"/>
      <c r="BR301" s="16"/>
      <c r="BS301" s="507"/>
      <c r="BT301" s="16"/>
      <c r="BU301" s="507"/>
      <c r="BV301" s="16"/>
      <c r="BW301" s="507"/>
      <c r="BX301" s="16"/>
      <c r="BY301" s="507"/>
      <c r="BZ301" s="16"/>
      <c r="CA301" s="507"/>
      <c r="CB301" s="16"/>
      <c r="CC301" s="507"/>
      <c r="CD301" s="16"/>
      <c r="CE301" s="507"/>
      <c r="CF301" s="16"/>
      <c r="CG301" s="507"/>
      <c r="CH301" s="16"/>
      <c r="CI301" s="507"/>
      <c r="CJ301" s="16"/>
      <c r="CK301" s="507"/>
      <c r="CL301" s="16"/>
      <c r="CM301" s="507"/>
      <c r="CN301" s="16"/>
      <c r="CO301" s="507"/>
      <c r="CP301" s="16"/>
      <c r="CQ301" s="507"/>
      <c r="CR301" s="16"/>
      <c r="CS301" s="507"/>
      <c r="CT301" s="16"/>
      <c r="CU301" s="507"/>
      <c r="CV301" s="16"/>
      <c r="CW301" s="507"/>
      <c r="CX301" s="16"/>
      <c r="CY301" s="507"/>
      <c r="CZ301" s="16"/>
      <c r="DA301" s="507"/>
      <c r="DB301" s="507"/>
      <c r="DC301" s="16"/>
      <c r="DD301" s="507"/>
      <c r="DE301" s="16"/>
      <c r="DF301" s="507"/>
      <c r="DG301" s="16"/>
      <c r="DH301" s="507"/>
      <c r="DI301" s="16"/>
      <c r="DJ301" s="507"/>
      <c r="DK301" s="16"/>
      <c r="DL301" s="507"/>
      <c r="DM301" s="16"/>
      <c r="DN301" s="507"/>
      <c r="DO301" s="16"/>
      <c r="DP301" s="507"/>
      <c r="DQ301" s="16"/>
      <c r="DR301" s="507"/>
      <c r="DS301" s="16"/>
      <c r="DT301" s="507"/>
      <c r="DU301" s="16"/>
      <c r="DV301" s="507"/>
      <c r="DW301" s="16"/>
      <c r="DX301" s="507"/>
      <c r="DY301" s="16"/>
      <c r="DZ301" s="507"/>
      <c r="EA301" s="16"/>
      <c r="EB301" s="507"/>
      <c r="EC301" s="16"/>
      <c r="ED301" s="507"/>
      <c r="EE301" s="16"/>
      <c r="EF301" s="507"/>
      <c r="EG301" s="16"/>
      <c r="EH301" s="507"/>
      <c r="EI301" s="16"/>
      <c r="EJ301" s="507"/>
      <c r="EK301" s="16"/>
      <c r="EL301" s="507"/>
      <c r="EM301" s="687"/>
    </row>
    <row r="302" spans="1:143" ht="12.75" hidden="1" customHeight="1" outlineLevel="2" x14ac:dyDescent="0.2">
      <c r="A302" s="701" t="str">
        <f>INPUT!B320</f>
        <v xml:space="preserve">Premiums </v>
      </c>
      <c r="B302" s="151">
        <f>INPUT!AY320</f>
        <v>1.1000000000000001</v>
      </c>
      <c r="C302" s="507" t="str">
        <f>INPUT!AZ320</f>
        <v>NA</v>
      </c>
      <c r="D302" s="151">
        <f>INPUT!BA320</f>
        <v>0</v>
      </c>
      <c r="E302" s="687" t="str">
        <f>INPUT!BB320</f>
        <v>NM</v>
      </c>
      <c r="F302" s="151">
        <f>INPUT!BC320</f>
        <v>0.3</v>
      </c>
      <c r="G302" s="687" t="str">
        <f>INPUT!BD320</f>
        <v>NM</v>
      </c>
      <c r="H302" s="151">
        <f>INPUT!BE320</f>
        <v>3.3</v>
      </c>
      <c r="I302" s="687" t="str">
        <f>INPUT!BF320</f>
        <v>NM</v>
      </c>
      <c r="J302" s="151">
        <f>INPUT!BG320</f>
        <v>0.1</v>
      </c>
      <c r="K302" s="687" t="str">
        <f>INPUT!BH320</f>
        <v>NM</v>
      </c>
      <c r="L302" s="151">
        <f>INPUT!BI320</f>
        <v>0.1</v>
      </c>
      <c r="M302" s="687"/>
      <c r="N302" s="151"/>
      <c r="O302" s="687"/>
      <c r="P302" s="151"/>
      <c r="Q302" s="687"/>
      <c r="R302" s="151"/>
      <c r="S302" s="687"/>
      <c r="T302" s="151"/>
      <c r="U302" s="687"/>
      <c r="V302" s="151"/>
      <c r="W302" s="687"/>
      <c r="X302" s="151"/>
      <c r="Y302" s="687"/>
      <c r="Z302" s="151"/>
      <c r="AA302" s="687"/>
      <c r="AB302" s="151"/>
      <c r="AC302" s="687"/>
      <c r="AD302" s="151"/>
      <c r="AE302" s="687"/>
      <c r="AF302" s="151"/>
      <c r="AG302" s="687"/>
      <c r="AH302" s="151"/>
      <c r="AI302" s="507"/>
      <c r="AJ302" s="151"/>
      <c r="AK302" s="507"/>
      <c r="AL302" s="151"/>
      <c r="AM302" s="507"/>
      <c r="AN302" s="151"/>
      <c r="AO302" s="507"/>
      <c r="AP302" s="151"/>
      <c r="AQ302" s="507"/>
      <c r="AR302" s="151"/>
      <c r="AS302" s="507"/>
      <c r="AT302" s="151"/>
      <c r="AU302" s="507"/>
      <c r="AV302" s="151"/>
      <c r="AW302" s="507"/>
      <c r="AX302" s="151"/>
      <c r="AY302" s="507"/>
      <c r="AZ302" s="151"/>
      <c r="BA302" s="507"/>
      <c r="BB302" s="151"/>
      <c r="BC302" s="507"/>
      <c r="BD302" s="151"/>
      <c r="BE302" s="507"/>
      <c r="BF302" s="151"/>
      <c r="BG302" s="507"/>
      <c r="BH302" s="151"/>
      <c r="BI302" s="507"/>
      <c r="BJ302" s="151"/>
      <c r="BK302" s="507"/>
      <c r="BL302" s="151"/>
      <c r="BM302" s="507"/>
      <c r="BN302" s="151"/>
      <c r="BO302" s="507"/>
      <c r="BP302" s="151"/>
      <c r="BQ302" s="507"/>
      <c r="BR302" s="151"/>
      <c r="BS302" s="507"/>
      <c r="BT302" s="151"/>
      <c r="BU302" s="507"/>
      <c r="BV302" s="151"/>
      <c r="BW302" s="507"/>
      <c r="BX302" s="151"/>
      <c r="BY302" s="507"/>
      <c r="BZ302" s="151"/>
      <c r="CA302" s="507"/>
      <c r="CB302" s="151"/>
      <c r="CC302" s="507"/>
      <c r="CD302" s="151"/>
      <c r="CE302" s="507"/>
      <c r="CF302" s="151"/>
      <c r="CG302" s="507"/>
      <c r="CH302" s="151"/>
      <c r="CI302" s="507"/>
      <c r="CJ302" s="151"/>
      <c r="CK302" s="507"/>
      <c r="CL302" s="151"/>
      <c r="CM302" s="507"/>
      <c r="CN302" s="151"/>
      <c r="CO302" s="507"/>
      <c r="CP302" s="151"/>
      <c r="CQ302" s="507"/>
      <c r="CR302" s="151"/>
      <c r="CS302" s="507"/>
      <c r="CT302" s="151"/>
      <c r="CU302" s="507"/>
      <c r="CV302" s="151"/>
      <c r="CW302" s="507"/>
      <c r="CX302" s="151"/>
      <c r="CY302" s="507"/>
      <c r="CZ302" s="151"/>
      <c r="DA302" s="507"/>
      <c r="DB302" s="507"/>
      <c r="DC302" s="151">
        <f>INPUT!FP320</f>
        <v>8.6</v>
      </c>
      <c r="DD302" s="687" t="str">
        <f>INPUT!FQ320</f>
        <v>NA</v>
      </c>
      <c r="DE302" s="151">
        <f>INPUT!FR320</f>
        <v>4.7</v>
      </c>
      <c r="DF302" s="687">
        <f>INPUT!FS320</f>
        <v>-45.348837209302317</v>
      </c>
      <c r="DG302" s="151">
        <f>INPUT!FT320</f>
        <v>0.2</v>
      </c>
      <c r="DH302" s="687"/>
      <c r="DI302" s="151"/>
      <c r="DJ302" s="687"/>
      <c r="DK302" s="151"/>
      <c r="DL302" s="507"/>
      <c r="DM302" s="151"/>
      <c r="DN302" s="507"/>
      <c r="DO302" s="151"/>
      <c r="DP302" s="507"/>
      <c r="DQ302" s="151"/>
      <c r="DR302" s="507"/>
      <c r="DS302" s="151"/>
      <c r="DT302" s="507"/>
      <c r="DU302" s="151"/>
      <c r="DV302" s="507"/>
      <c r="DW302" s="151"/>
      <c r="DX302" s="507"/>
      <c r="DY302" s="151"/>
      <c r="DZ302" s="507"/>
      <c r="EA302" s="151"/>
      <c r="EB302" s="507"/>
      <c r="EC302" s="151"/>
      <c r="ED302" s="507"/>
      <c r="EE302" s="151"/>
      <c r="EF302" s="507"/>
      <c r="EG302" s="151"/>
      <c r="EH302" s="507"/>
      <c r="EI302" s="151"/>
      <c r="EJ302" s="507"/>
      <c r="EK302" s="151"/>
      <c r="EL302" s="507"/>
      <c r="EM302" s="687"/>
    </row>
    <row r="303" spans="1:143" ht="12.75" hidden="1" customHeight="1" outlineLevel="2" x14ac:dyDescent="0.2">
      <c r="A303" s="701" t="str">
        <f>INPUT!B321</f>
        <v>Surrender Chrg, Mortality and Exp Assessments</v>
      </c>
      <c r="B303" s="151">
        <f>INPUT!AY321</f>
        <v>6.1</v>
      </c>
      <c r="C303" s="507">
        <f>INPUT!AZ321</f>
        <v>-7.5757575757575912</v>
      </c>
      <c r="D303" s="151">
        <f>INPUT!BA321</f>
        <v>13.4</v>
      </c>
      <c r="E303" s="687" t="str">
        <f>INPUT!BB321</f>
        <v>NM</v>
      </c>
      <c r="F303" s="151">
        <f>INPUT!BC321</f>
        <v>11.7</v>
      </c>
      <c r="G303" s="687" t="str">
        <f>INPUT!BD321</f>
        <v>NM</v>
      </c>
      <c r="H303" s="151">
        <f>INPUT!BE321</f>
        <v>14</v>
      </c>
      <c r="I303" s="687">
        <f>INPUT!BF321</f>
        <v>62.790697674418603</v>
      </c>
      <c r="J303" s="151">
        <f>INPUT!BG321</f>
        <v>13.5</v>
      </c>
      <c r="K303" s="687" t="str">
        <f>INPUT!BH321</f>
        <v>NM</v>
      </c>
      <c r="L303" s="151">
        <f>INPUT!BI321</f>
        <v>12.899999999999999</v>
      </c>
      <c r="M303" s="687"/>
      <c r="N303" s="151"/>
      <c r="O303" s="687"/>
      <c r="P303" s="151"/>
      <c r="Q303" s="687"/>
      <c r="R303" s="151"/>
      <c r="S303" s="687"/>
      <c r="T303" s="151"/>
      <c r="U303" s="687"/>
      <c r="V303" s="151"/>
      <c r="W303" s="687"/>
      <c r="X303" s="151"/>
      <c r="Y303" s="687"/>
      <c r="Z303" s="151"/>
      <c r="AA303" s="687"/>
      <c r="AB303" s="151"/>
      <c r="AC303" s="687"/>
      <c r="AD303" s="151"/>
      <c r="AE303" s="687"/>
      <c r="AF303" s="151"/>
      <c r="AG303" s="687"/>
      <c r="AH303" s="151"/>
      <c r="AI303" s="507"/>
      <c r="AJ303" s="151"/>
      <c r="AK303" s="507"/>
      <c r="AL303" s="151"/>
      <c r="AM303" s="507"/>
      <c r="AN303" s="151"/>
      <c r="AO303" s="507"/>
      <c r="AP303" s="151"/>
      <c r="AQ303" s="507"/>
      <c r="AR303" s="151"/>
      <c r="AS303" s="507"/>
      <c r="AT303" s="151"/>
      <c r="AU303" s="507"/>
      <c r="AV303" s="151"/>
      <c r="AW303" s="507"/>
      <c r="AX303" s="151"/>
      <c r="AY303" s="507"/>
      <c r="AZ303" s="151"/>
      <c r="BA303" s="507"/>
      <c r="BB303" s="151"/>
      <c r="BC303" s="507"/>
      <c r="BD303" s="151"/>
      <c r="BE303" s="507"/>
      <c r="BF303" s="151"/>
      <c r="BG303" s="507"/>
      <c r="BH303" s="151"/>
      <c r="BI303" s="507"/>
      <c r="BJ303" s="151"/>
      <c r="BK303" s="507"/>
      <c r="BL303" s="151"/>
      <c r="BM303" s="507"/>
      <c r="BN303" s="151"/>
      <c r="BO303" s="507"/>
      <c r="BP303" s="151"/>
      <c r="BQ303" s="507"/>
      <c r="BR303" s="151"/>
      <c r="BS303" s="507"/>
      <c r="BT303" s="151"/>
      <c r="BU303" s="507"/>
      <c r="BV303" s="151"/>
      <c r="BW303" s="507"/>
      <c r="BX303" s="151"/>
      <c r="BY303" s="507"/>
      <c r="BZ303" s="151"/>
      <c r="CA303" s="507"/>
      <c r="CB303" s="151"/>
      <c r="CC303" s="507"/>
      <c r="CD303" s="151"/>
      <c r="CE303" s="507"/>
      <c r="CF303" s="151"/>
      <c r="CG303" s="507"/>
      <c r="CH303" s="151"/>
      <c r="CI303" s="507"/>
      <c r="CJ303" s="151"/>
      <c r="CK303" s="507"/>
      <c r="CL303" s="151"/>
      <c r="CM303" s="507"/>
      <c r="CN303" s="151"/>
      <c r="CO303" s="507"/>
      <c r="CP303" s="151"/>
      <c r="CQ303" s="507"/>
      <c r="CR303" s="151"/>
      <c r="CS303" s="507"/>
      <c r="CT303" s="151"/>
      <c r="CU303" s="507"/>
      <c r="CV303" s="151"/>
      <c r="CW303" s="507"/>
      <c r="CX303" s="151"/>
      <c r="CY303" s="507"/>
      <c r="CZ303" s="151"/>
      <c r="DA303" s="507"/>
      <c r="DB303" s="507"/>
      <c r="DC303" s="151">
        <f>INPUT!FP321</f>
        <v>27.1</v>
      </c>
      <c r="DD303" s="687" t="str">
        <f>INPUT!FQ321</f>
        <v>NA</v>
      </c>
      <c r="DE303" s="151">
        <f>INPUT!FR321</f>
        <v>45.2</v>
      </c>
      <c r="DF303" s="687">
        <f>INPUT!FS321</f>
        <v>66.789667896678978</v>
      </c>
      <c r="DG303" s="151">
        <f>INPUT!FT321</f>
        <v>26.4</v>
      </c>
      <c r="DH303" s="687"/>
      <c r="DI303" s="151"/>
      <c r="DJ303" s="687"/>
      <c r="DK303" s="151"/>
      <c r="DL303" s="507"/>
      <c r="DM303" s="151"/>
      <c r="DN303" s="507"/>
      <c r="DO303" s="151"/>
      <c r="DP303" s="507"/>
      <c r="DQ303" s="151"/>
      <c r="DR303" s="507"/>
      <c r="DS303" s="151"/>
      <c r="DT303" s="507"/>
      <c r="DU303" s="151"/>
      <c r="DV303" s="507"/>
      <c r="DW303" s="151"/>
      <c r="DX303" s="507"/>
      <c r="DY303" s="151"/>
      <c r="DZ303" s="507"/>
      <c r="EA303" s="151"/>
      <c r="EB303" s="507"/>
      <c r="EC303" s="151"/>
      <c r="ED303" s="507"/>
      <c r="EE303" s="151"/>
      <c r="EF303" s="507"/>
      <c r="EG303" s="151"/>
      <c r="EH303" s="507"/>
      <c r="EI303" s="151"/>
      <c r="EJ303" s="507"/>
      <c r="EK303" s="151"/>
      <c r="EL303" s="507"/>
      <c r="EM303" s="687"/>
    </row>
    <row r="304" spans="1:143" ht="12.75" hidden="1" customHeight="1" outlineLevel="2" x14ac:dyDescent="0.2">
      <c r="A304" s="701" t="str">
        <f>INPUT!B322</f>
        <v>Investment Income</v>
      </c>
      <c r="B304" s="151">
        <f>INPUT!AY322</f>
        <v>48.7</v>
      </c>
      <c r="C304" s="507">
        <f>INPUT!AZ322</f>
        <v>7.5055187637969256</v>
      </c>
      <c r="D304" s="151">
        <f>INPUT!BA322</f>
        <v>86.5</v>
      </c>
      <c r="E304" s="687">
        <f>INPUT!BB322</f>
        <v>91.371681415929203</v>
      </c>
      <c r="F304" s="151">
        <f>INPUT!BC322</f>
        <v>91</v>
      </c>
      <c r="G304" s="687" t="str">
        <f>INPUT!BD322</f>
        <v>NM</v>
      </c>
      <c r="H304" s="151">
        <f>INPUT!BE322</f>
        <v>90.5</v>
      </c>
      <c r="I304" s="687">
        <f>INPUT!BF322</f>
        <v>77.45098039215685</v>
      </c>
      <c r="J304" s="151">
        <f>INPUT!BG322</f>
        <v>55.8</v>
      </c>
      <c r="K304" s="687">
        <f>INPUT!BH322</f>
        <v>14.579055441478417</v>
      </c>
      <c r="L304" s="151">
        <f>INPUT!BI322</f>
        <v>53.1</v>
      </c>
      <c r="M304" s="687"/>
      <c r="N304" s="151"/>
      <c r="O304" s="687"/>
      <c r="P304" s="151"/>
      <c r="Q304" s="687"/>
      <c r="R304" s="151"/>
      <c r="S304" s="687"/>
      <c r="T304" s="151"/>
      <c r="U304" s="687"/>
      <c r="V304" s="151"/>
      <c r="W304" s="687"/>
      <c r="X304" s="151"/>
      <c r="Y304" s="687"/>
      <c r="Z304" s="151"/>
      <c r="AA304" s="687"/>
      <c r="AB304" s="151"/>
      <c r="AC304" s="687"/>
      <c r="AD304" s="151"/>
      <c r="AE304" s="687"/>
      <c r="AF304" s="151"/>
      <c r="AG304" s="687"/>
      <c r="AH304" s="151"/>
      <c r="AI304" s="507"/>
      <c r="AJ304" s="151"/>
      <c r="AK304" s="507"/>
      <c r="AL304" s="151"/>
      <c r="AM304" s="507"/>
      <c r="AN304" s="151"/>
      <c r="AO304" s="507"/>
      <c r="AP304" s="151"/>
      <c r="AQ304" s="507"/>
      <c r="AR304" s="151"/>
      <c r="AS304" s="507"/>
      <c r="AT304" s="151"/>
      <c r="AU304" s="507"/>
      <c r="AV304" s="151"/>
      <c r="AW304" s="507"/>
      <c r="AX304" s="151"/>
      <c r="AY304" s="507"/>
      <c r="AZ304" s="151"/>
      <c r="BA304" s="507"/>
      <c r="BB304" s="151"/>
      <c r="BC304" s="507"/>
      <c r="BD304" s="151"/>
      <c r="BE304" s="507"/>
      <c r="BF304" s="151"/>
      <c r="BG304" s="507"/>
      <c r="BH304" s="151"/>
      <c r="BI304" s="507"/>
      <c r="BJ304" s="151"/>
      <c r="BK304" s="507"/>
      <c r="BL304" s="151"/>
      <c r="BM304" s="507"/>
      <c r="BN304" s="151"/>
      <c r="BO304" s="507"/>
      <c r="BP304" s="151"/>
      <c r="BQ304" s="507"/>
      <c r="BR304" s="151"/>
      <c r="BS304" s="507"/>
      <c r="BT304" s="151"/>
      <c r="BU304" s="507"/>
      <c r="BV304" s="151"/>
      <c r="BW304" s="507"/>
      <c r="BX304" s="151"/>
      <c r="BY304" s="507"/>
      <c r="BZ304" s="151"/>
      <c r="CA304" s="507"/>
      <c r="CB304" s="151"/>
      <c r="CC304" s="507"/>
      <c r="CD304" s="151"/>
      <c r="CE304" s="507"/>
      <c r="CF304" s="151"/>
      <c r="CG304" s="507"/>
      <c r="CH304" s="151"/>
      <c r="CI304" s="507"/>
      <c r="CJ304" s="151"/>
      <c r="CK304" s="507"/>
      <c r="CL304" s="151"/>
      <c r="CM304" s="507"/>
      <c r="CN304" s="151"/>
      <c r="CO304" s="507"/>
      <c r="CP304" s="151"/>
      <c r="CQ304" s="507"/>
      <c r="CR304" s="151"/>
      <c r="CS304" s="507"/>
      <c r="CT304" s="151"/>
      <c r="CU304" s="507"/>
      <c r="CV304" s="151"/>
      <c r="CW304" s="507"/>
      <c r="CX304" s="151"/>
      <c r="CY304" s="507"/>
      <c r="CZ304" s="151"/>
      <c r="DA304" s="507"/>
      <c r="DB304" s="507"/>
      <c r="DC304" s="151">
        <f>INPUT!FP322</f>
        <v>186.6</v>
      </c>
      <c r="DD304" s="687" t="str">
        <f>INPUT!FQ322</f>
        <v>NA</v>
      </c>
      <c r="DE304" s="151">
        <f>INPUT!FR322</f>
        <v>316.7</v>
      </c>
      <c r="DF304" s="687">
        <f>INPUT!FS322</f>
        <v>69.721329046087874</v>
      </c>
      <c r="DG304" s="151">
        <f>INPUT!FT322</f>
        <v>108.9</v>
      </c>
      <c r="DH304" s="687"/>
      <c r="DI304" s="151"/>
      <c r="DJ304" s="687"/>
      <c r="DK304" s="151"/>
      <c r="DL304" s="507"/>
      <c r="DM304" s="151"/>
      <c r="DN304" s="507"/>
      <c r="DO304" s="151"/>
      <c r="DP304" s="507"/>
      <c r="DQ304" s="151"/>
      <c r="DR304" s="507"/>
      <c r="DS304" s="151"/>
      <c r="DT304" s="507"/>
      <c r="DU304" s="151"/>
      <c r="DV304" s="507"/>
      <c r="DW304" s="151"/>
      <c r="DX304" s="507"/>
      <c r="DY304" s="151"/>
      <c r="DZ304" s="507"/>
      <c r="EA304" s="151"/>
      <c r="EB304" s="507"/>
      <c r="EC304" s="151"/>
      <c r="ED304" s="507"/>
      <c r="EE304" s="151"/>
      <c r="EF304" s="507"/>
      <c r="EG304" s="151"/>
      <c r="EH304" s="507"/>
      <c r="EI304" s="151"/>
      <c r="EJ304" s="507"/>
      <c r="EK304" s="151"/>
      <c r="EL304" s="507"/>
      <c r="EM304" s="687"/>
    </row>
    <row r="305" spans="1:143" ht="12.75" hidden="1" customHeight="1" outlineLevel="2" x14ac:dyDescent="0.2">
      <c r="A305" s="701" t="str">
        <f>INPUT!B323</f>
        <v>Other Revenues</v>
      </c>
      <c r="B305" s="151">
        <f>INPUT!AY323</f>
        <v>1.2999999999999998</v>
      </c>
      <c r="C305" s="507">
        <f>INPUT!AZ323</f>
        <v>8.333333333333325</v>
      </c>
      <c r="D305" s="151">
        <f>INPUT!BA323</f>
        <v>1.3</v>
      </c>
      <c r="E305" s="687">
        <f>INPUT!BB323</f>
        <v>8.3333333333333481</v>
      </c>
      <c r="F305" s="151">
        <f>INPUT!BC323</f>
        <v>1.3</v>
      </c>
      <c r="G305" s="687">
        <f>INPUT!BD323</f>
        <v>8.3333333333333481</v>
      </c>
      <c r="H305" s="151">
        <f>INPUT!BE323</f>
        <v>1.3</v>
      </c>
      <c r="I305" s="687">
        <f>INPUT!BF323</f>
        <v>0</v>
      </c>
      <c r="J305" s="151">
        <f>INPUT!BG323</f>
        <v>-0.1</v>
      </c>
      <c r="K305" s="687" t="str">
        <f>INPUT!BH323</f>
        <v>NM</v>
      </c>
      <c r="L305" s="151">
        <f>INPUT!BI323</f>
        <v>0</v>
      </c>
      <c r="M305" s="687"/>
      <c r="N305" s="151"/>
      <c r="O305" s="687"/>
      <c r="P305" s="151"/>
      <c r="Q305" s="687"/>
      <c r="R305" s="151"/>
      <c r="S305" s="687"/>
      <c r="T305" s="151"/>
      <c r="U305" s="687"/>
      <c r="V305" s="151"/>
      <c r="W305" s="687"/>
      <c r="X305" s="151"/>
      <c r="Y305" s="687"/>
      <c r="Z305" s="151"/>
      <c r="AA305" s="687"/>
      <c r="AB305" s="151"/>
      <c r="AC305" s="687"/>
      <c r="AD305" s="151"/>
      <c r="AE305" s="687"/>
      <c r="AF305" s="151"/>
      <c r="AG305" s="687"/>
      <c r="AH305" s="151"/>
      <c r="AI305" s="507"/>
      <c r="AJ305" s="151"/>
      <c r="AK305" s="507"/>
      <c r="AL305" s="151"/>
      <c r="AM305" s="507"/>
      <c r="AN305" s="151"/>
      <c r="AO305" s="507"/>
      <c r="AP305" s="151"/>
      <c r="AQ305" s="507"/>
      <c r="AR305" s="151"/>
      <c r="AS305" s="507"/>
      <c r="AT305" s="151"/>
      <c r="AU305" s="507"/>
      <c r="AV305" s="151"/>
      <c r="AW305" s="507"/>
      <c r="AX305" s="151"/>
      <c r="AY305" s="507"/>
      <c r="AZ305" s="151"/>
      <c r="BA305" s="507"/>
      <c r="BB305" s="151"/>
      <c r="BC305" s="507"/>
      <c r="BD305" s="151"/>
      <c r="BE305" s="507"/>
      <c r="BF305" s="151"/>
      <c r="BG305" s="507"/>
      <c r="BH305" s="151"/>
      <c r="BI305" s="507"/>
      <c r="BJ305" s="151"/>
      <c r="BK305" s="507"/>
      <c r="BL305" s="151"/>
      <c r="BM305" s="507"/>
      <c r="BN305" s="151"/>
      <c r="BO305" s="507"/>
      <c r="BP305" s="151"/>
      <c r="BQ305" s="507"/>
      <c r="BR305" s="151"/>
      <c r="BS305" s="507"/>
      <c r="BT305" s="151"/>
      <c r="BU305" s="507"/>
      <c r="BV305" s="151"/>
      <c r="BW305" s="507"/>
      <c r="BX305" s="151"/>
      <c r="BY305" s="507"/>
      <c r="BZ305" s="151"/>
      <c r="CA305" s="507"/>
      <c r="CB305" s="151"/>
      <c r="CC305" s="507"/>
      <c r="CD305" s="151"/>
      <c r="CE305" s="507"/>
      <c r="CF305" s="151"/>
      <c r="CG305" s="507"/>
      <c r="CH305" s="151"/>
      <c r="CI305" s="507"/>
      <c r="CJ305" s="151"/>
      <c r="CK305" s="507"/>
      <c r="CL305" s="151"/>
      <c r="CM305" s="507"/>
      <c r="CN305" s="151"/>
      <c r="CO305" s="507"/>
      <c r="CP305" s="151"/>
      <c r="CQ305" s="507"/>
      <c r="CR305" s="151"/>
      <c r="CS305" s="507"/>
      <c r="CT305" s="151"/>
      <c r="CU305" s="507"/>
      <c r="CV305" s="151"/>
      <c r="CW305" s="507"/>
      <c r="CX305" s="151"/>
      <c r="CY305" s="507"/>
      <c r="CZ305" s="151"/>
      <c r="DA305" s="507"/>
      <c r="DB305" s="507"/>
      <c r="DC305" s="151">
        <f>INPUT!FP323</f>
        <v>4.8999999999999995</v>
      </c>
      <c r="DD305" s="687" t="str">
        <f>INPUT!FQ323</f>
        <v>NA</v>
      </c>
      <c r="DE305" s="151">
        <f>INPUT!FR323</f>
        <v>5.1999999999999993</v>
      </c>
      <c r="DF305" s="687">
        <f>INPUT!FS323</f>
        <v>6.1224489795918435</v>
      </c>
      <c r="DG305" s="151">
        <f>INPUT!FT323</f>
        <v>-0.1</v>
      </c>
      <c r="DH305" s="687"/>
      <c r="DI305" s="151"/>
      <c r="DJ305" s="687"/>
      <c r="DK305" s="151"/>
      <c r="DL305" s="507"/>
      <c r="DM305" s="151"/>
      <c r="DN305" s="507"/>
      <c r="DO305" s="151"/>
      <c r="DP305" s="507"/>
      <c r="DQ305" s="151"/>
      <c r="DR305" s="507"/>
      <c r="DS305" s="151"/>
      <c r="DT305" s="507"/>
      <c r="DU305" s="151"/>
      <c r="DV305" s="507"/>
      <c r="DW305" s="151"/>
      <c r="DX305" s="507"/>
      <c r="DY305" s="151"/>
      <c r="DZ305" s="507"/>
      <c r="EA305" s="151"/>
      <c r="EB305" s="507"/>
      <c r="EC305" s="151"/>
      <c r="ED305" s="507"/>
      <c r="EE305" s="151"/>
      <c r="EF305" s="507"/>
      <c r="EG305" s="151"/>
      <c r="EH305" s="507"/>
      <c r="EI305" s="151"/>
      <c r="EJ305" s="507"/>
      <c r="EK305" s="151"/>
      <c r="EL305" s="507"/>
      <c r="EM305" s="687"/>
    </row>
    <row r="306" spans="1:143" ht="12.75" hidden="1" customHeight="1" outlineLevel="2" x14ac:dyDescent="0.2">
      <c r="A306" s="701" t="str">
        <f>INPUT!B324</f>
        <v xml:space="preserve"> Total Revenues</v>
      </c>
      <c r="B306" s="151">
        <f>INPUT!AY324</f>
        <v>57.2</v>
      </c>
      <c r="C306" s="507">
        <f>INPUT!AZ324</f>
        <v>7.7212806026365266</v>
      </c>
      <c r="D306" s="151">
        <f>INPUT!BA324</f>
        <v>101.2</v>
      </c>
      <c r="E306" s="687">
        <f>INPUT!BB324</f>
        <v>90.225563909774436</v>
      </c>
      <c r="F306" s="151">
        <f>INPUT!BC324</f>
        <v>104.3</v>
      </c>
      <c r="G306" s="687">
        <f>INPUT!BD324</f>
        <v>75.885328836424932</v>
      </c>
      <c r="H306" s="151">
        <f>INPUT!BE324</f>
        <v>109.1</v>
      </c>
      <c r="I306" s="687">
        <f>INPUT!BF324</f>
        <v>77.110389610389603</v>
      </c>
      <c r="J306" s="151">
        <f>INPUT!BG324</f>
        <v>69.3</v>
      </c>
      <c r="K306" s="687">
        <f>INPUT!BH324</f>
        <v>21.153846153846146</v>
      </c>
      <c r="L306" s="151">
        <f>INPUT!BI324</f>
        <v>66.099999999999994</v>
      </c>
      <c r="M306" s="687"/>
      <c r="N306" s="151"/>
      <c r="O306" s="687"/>
      <c r="P306" s="151"/>
      <c r="Q306" s="687"/>
      <c r="R306" s="151"/>
      <c r="S306" s="687"/>
      <c r="T306" s="151"/>
      <c r="U306" s="687"/>
      <c r="V306" s="151"/>
      <c r="W306" s="687"/>
      <c r="X306" s="151"/>
      <c r="Y306" s="687"/>
      <c r="Z306" s="151"/>
      <c r="AA306" s="687"/>
      <c r="AB306" s="151"/>
      <c r="AC306" s="687"/>
      <c r="AD306" s="151"/>
      <c r="AE306" s="687"/>
      <c r="AF306" s="151"/>
      <c r="AG306" s="687"/>
      <c r="AH306" s="151"/>
      <c r="AI306" s="507"/>
      <c r="AJ306" s="151"/>
      <c r="AK306" s="507"/>
      <c r="AL306" s="151"/>
      <c r="AM306" s="507"/>
      <c r="AN306" s="151"/>
      <c r="AO306" s="507"/>
      <c r="AP306" s="151"/>
      <c r="AQ306" s="507"/>
      <c r="AR306" s="151"/>
      <c r="AS306" s="507"/>
      <c r="AT306" s="151"/>
      <c r="AU306" s="507"/>
      <c r="AV306" s="151"/>
      <c r="AW306" s="507"/>
      <c r="AX306" s="151"/>
      <c r="AY306" s="507"/>
      <c r="AZ306" s="151"/>
      <c r="BA306" s="507"/>
      <c r="BB306" s="151"/>
      <c r="BC306" s="507"/>
      <c r="BD306" s="151"/>
      <c r="BE306" s="507"/>
      <c r="BF306" s="151"/>
      <c r="BG306" s="507"/>
      <c r="BH306" s="151"/>
      <c r="BI306" s="507"/>
      <c r="BJ306" s="151"/>
      <c r="BK306" s="507"/>
      <c r="BL306" s="151"/>
      <c r="BM306" s="507"/>
      <c r="BN306" s="151"/>
      <c r="BO306" s="507"/>
      <c r="BP306" s="151"/>
      <c r="BQ306" s="507"/>
      <c r="BR306" s="151"/>
      <c r="BS306" s="507"/>
      <c r="BT306" s="151"/>
      <c r="BU306" s="507"/>
      <c r="BV306" s="151"/>
      <c r="BW306" s="507"/>
      <c r="BX306" s="151"/>
      <c r="BY306" s="507"/>
      <c r="BZ306" s="151"/>
      <c r="CA306" s="507"/>
      <c r="CB306" s="151"/>
      <c r="CC306" s="507"/>
      <c r="CD306" s="151"/>
      <c r="CE306" s="507"/>
      <c r="CF306" s="151"/>
      <c r="CG306" s="507"/>
      <c r="CH306" s="151"/>
      <c r="CI306" s="507"/>
      <c r="CJ306" s="151"/>
      <c r="CK306" s="507"/>
      <c r="CL306" s="151"/>
      <c r="CM306" s="507"/>
      <c r="CN306" s="151"/>
      <c r="CO306" s="507"/>
      <c r="CP306" s="151"/>
      <c r="CQ306" s="507"/>
      <c r="CR306" s="151"/>
      <c r="CS306" s="507"/>
      <c r="CT306" s="151"/>
      <c r="CU306" s="507"/>
      <c r="CV306" s="151"/>
      <c r="CW306" s="507"/>
      <c r="CX306" s="151"/>
      <c r="CY306" s="507"/>
      <c r="CZ306" s="151"/>
      <c r="DA306" s="507"/>
      <c r="DB306" s="507"/>
      <c r="DC306" s="151">
        <f>INPUT!FP324</f>
        <v>227.20000000000002</v>
      </c>
      <c r="DD306" s="687">
        <f>INPUT!FQ324</f>
        <v>-47.937671860678265</v>
      </c>
      <c r="DE306" s="151">
        <f>INPUT!FR324</f>
        <v>371.79999999999995</v>
      </c>
      <c r="DF306" s="687">
        <f>INPUT!FS324</f>
        <v>63.644366197183054</v>
      </c>
      <c r="DG306" s="151">
        <f>INPUT!FT324</f>
        <v>135.39999999999998</v>
      </c>
      <c r="DH306" s="687"/>
      <c r="DI306" s="151"/>
      <c r="DJ306" s="687"/>
      <c r="DK306" s="151"/>
      <c r="DL306" s="507"/>
      <c r="DM306" s="151"/>
      <c r="DN306" s="507"/>
      <c r="DO306" s="151"/>
      <c r="DP306" s="507"/>
      <c r="DQ306" s="151"/>
      <c r="DR306" s="507"/>
      <c r="DS306" s="151"/>
      <c r="DT306" s="507"/>
      <c r="DU306" s="151"/>
      <c r="DV306" s="507"/>
      <c r="DW306" s="151"/>
      <c r="DX306" s="507"/>
      <c r="DY306" s="151"/>
      <c r="DZ306" s="507"/>
      <c r="EA306" s="151"/>
      <c r="EB306" s="507"/>
      <c r="EC306" s="151"/>
      <c r="ED306" s="507"/>
      <c r="EE306" s="151"/>
      <c r="EF306" s="507"/>
      <c r="EG306" s="151"/>
      <c r="EH306" s="507"/>
      <c r="EI306" s="151"/>
      <c r="EJ306" s="507"/>
      <c r="EK306" s="151"/>
      <c r="EL306" s="507"/>
      <c r="EM306" s="687"/>
    </row>
    <row r="307" spans="1:143" ht="12.75" hidden="1" customHeight="1" outlineLevel="2" x14ac:dyDescent="0.2">
      <c r="A307" s="689"/>
      <c r="B307" s="16"/>
      <c r="C307" s="507"/>
      <c r="D307" s="16"/>
      <c r="E307" s="687"/>
      <c r="F307" s="16"/>
      <c r="G307" s="687"/>
      <c r="H307" s="16"/>
      <c r="I307" s="687"/>
      <c r="J307" s="16"/>
      <c r="K307" s="687"/>
      <c r="L307" s="16"/>
      <c r="M307" s="687"/>
      <c r="N307" s="16"/>
      <c r="O307" s="687"/>
      <c r="P307" s="16"/>
      <c r="Q307" s="687"/>
      <c r="R307" s="16"/>
      <c r="S307" s="687"/>
      <c r="T307" s="16"/>
      <c r="U307" s="687"/>
      <c r="V307" s="16"/>
      <c r="W307" s="687"/>
      <c r="X307" s="16"/>
      <c r="Y307" s="687"/>
      <c r="Z307" s="16"/>
      <c r="AA307" s="687"/>
      <c r="AB307" s="16"/>
      <c r="AC307" s="687"/>
      <c r="AD307" s="16"/>
      <c r="AE307" s="687"/>
      <c r="AF307" s="16"/>
      <c r="AG307" s="687"/>
      <c r="AH307" s="16"/>
      <c r="AI307" s="507"/>
      <c r="AJ307" s="16"/>
      <c r="AK307" s="507"/>
      <c r="AL307" s="16"/>
      <c r="AM307" s="507"/>
      <c r="AN307" s="16"/>
      <c r="AO307" s="507"/>
      <c r="AP307" s="16"/>
      <c r="AQ307" s="507"/>
      <c r="AR307" s="16"/>
      <c r="AS307" s="507"/>
      <c r="AT307" s="16"/>
      <c r="AU307" s="507"/>
      <c r="AV307" s="16"/>
      <c r="AW307" s="507"/>
      <c r="AX307" s="16"/>
      <c r="AY307" s="507"/>
      <c r="AZ307" s="16"/>
      <c r="BA307" s="507"/>
      <c r="BB307" s="16"/>
      <c r="BC307" s="507"/>
      <c r="BD307" s="16"/>
      <c r="BE307" s="507"/>
      <c r="BF307" s="16"/>
      <c r="BG307" s="507"/>
      <c r="BH307" s="16"/>
      <c r="BI307" s="507"/>
      <c r="BJ307" s="16"/>
      <c r="BK307" s="507"/>
      <c r="BL307" s="16"/>
      <c r="BM307" s="507"/>
      <c r="BN307" s="16"/>
      <c r="BO307" s="507"/>
      <c r="BP307" s="16"/>
      <c r="BQ307" s="507"/>
      <c r="BR307" s="16"/>
      <c r="BS307" s="507"/>
      <c r="BT307" s="16"/>
      <c r="BU307" s="507"/>
      <c r="BV307" s="16"/>
      <c r="BW307" s="507"/>
      <c r="BX307" s="16"/>
      <c r="BY307" s="507"/>
      <c r="BZ307" s="16"/>
      <c r="CA307" s="507"/>
      <c r="CB307" s="16"/>
      <c r="CC307" s="507"/>
      <c r="CD307" s="16"/>
      <c r="CE307" s="507"/>
      <c r="CF307" s="16"/>
      <c r="CG307" s="507"/>
      <c r="CH307" s="16"/>
      <c r="CI307" s="507"/>
      <c r="CJ307" s="16"/>
      <c r="CK307" s="507"/>
      <c r="CL307" s="16"/>
      <c r="CM307" s="507"/>
      <c r="CN307" s="16"/>
      <c r="CO307" s="507"/>
      <c r="CP307" s="16"/>
      <c r="CQ307" s="507"/>
      <c r="CR307" s="16"/>
      <c r="CS307" s="507"/>
      <c r="CT307" s="16"/>
      <c r="CU307" s="507"/>
      <c r="CV307" s="16"/>
      <c r="CW307" s="507"/>
      <c r="CX307" s="16"/>
      <c r="CY307" s="507"/>
      <c r="CZ307" s="16"/>
      <c r="DA307" s="507"/>
      <c r="DB307" s="507"/>
      <c r="DC307" s="16"/>
      <c r="DD307" s="687"/>
      <c r="DE307" s="16"/>
      <c r="DF307" s="687"/>
      <c r="DG307" s="16"/>
      <c r="DH307" s="687"/>
      <c r="DI307" s="16"/>
      <c r="DJ307" s="687"/>
      <c r="DK307" s="16"/>
      <c r="DL307" s="507"/>
      <c r="DM307" s="16"/>
      <c r="DN307" s="507"/>
      <c r="DO307" s="16"/>
      <c r="DP307" s="507"/>
      <c r="DQ307" s="16"/>
      <c r="DR307" s="507"/>
      <c r="DS307" s="16"/>
      <c r="DT307" s="507"/>
      <c r="DU307" s="16"/>
      <c r="DV307" s="507"/>
      <c r="DW307" s="16"/>
      <c r="DX307" s="507"/>
      <c r="DY307" s="16"/>
      <c r="DZ307" s="507"/>
      <c r="EA307" s="16"/>
      <c r="EB307" s="507"/>
      <c r="EC307" s="16"/>
      <c r="ED307" s="507"/>
      <c r="EE307" s="16"/>
      <c r="EF307" s="507"/>
      <c r="EG307" s="16"/>
      <c r="EH307" s="507"/>
      <c r="EI307" s="16"/>
      <c r="EJ307" s="507"/>
      <c r="EK307" s="16"/>
      <c r="EL307" s="507"/>
      <c r="EM307" s="687"/>
    </row>
    <row r="308" spans="1:143" ht="12.75" hidden="1" customHeight="1" outlineLevel="2" x14ac:dyDescent="0.2">
      <c r="A308" s="700" t="str">
        <f>INPUT!B330</f>
        <v>BENEFITS AND EXPENSES</v>
      </c>
      <c r="B308" s="16"/>
      <c r="C308" s="507"/>
      <c r="D308" s="16"/>
      <c r="E308" s="687"/>
      <c r="F308" s="16"/>
      <c r="G308" s="687"/>
      <c r="H308" s="16"/>
      <c r="I308" s="687"/>
      <c r="J308" s="16"/>
      <c r="K308" s="687"/>
      <c r="L308" s="16"/>
      <c r="M308" s="687"/>
      <c r="N308" s="16"/>
      <c r="O308" s="687"/>
      <c r="P308" s="16"/>
      <c r="Q308" s="687"/>
      <c r="R308" s="16"/>
      <c r="S308" s="687"/>
      <c r="T308" s="16"/>
      <c r="U308" s="687"/>
      <c r="V308" s="16"/>
      <c r="W308" s="687"/>
      <c r="X308" s="16"/>
      <c r="Y308" s="687"/>
      <c r="Z308" s="16"/>
      <c r="AA308" s="687"/>
      <c r="AB308" s="16"/>
      <c r="AC308" s="687"/>
      <c r="AD308" s="16"/>
      <c r="AE308" s="687"/>
      <c r="AF308" s="16"/>
      <c r="AG308" s="687"/>
      <c r="AH308" s="16"/>
      <c r="AI308" s="507"/>
      <c r="AJ308" s="16"/>
      <c r="AK308" s="507"/>
      <c r="AL308" s="16"/>
      <c r="AM308" s="507"/>
      <c r="AN308" s="16"/>
      <c r="AO308" s="507"/>
      <c r="AP308" s="16"/>
      <c r="AQ308" s="507"/>
      <c r="AR308" s="16"/>
      <c r="AS308" s="507"/>
      <c r="AT308" s="16"/>
      <c r="AU308" s="507"/>
      <c r="AV308" s="16"/>
      <c r="AW308" s="507"/>
      <c r="AX308" s="16"/>
      <c r="AY308" s="507"/>
      <c r="AZ308" s="16"/>
      <c r="BA308" s="507"/>
      <c r="BB308" s="16"/>
      <c r="BC308" s="507"/>
      <c r="BD308" s="16"/>
      <c r="BE308" s="507"/>
      <c r="BF308" s="16"/>
      <c r="BG308" s="507"/>
      <c r="BH308" s="16"/>
      <c r="BI308" s="507"/>
      <c r="BJ308" s="16"/>
      <c r="BK308" s="507"/>
      <c r="BL308" s="16"/>
      <c r="BM308" s="507"/>
      <c r="BN308" s="16"/>
      <c r="BO308" s="507"/>
      <c r="BP308" s="16"/>
      <c r="BQ308" s="507"/>
      <c r="BR308" s="16"/>
      <c r="BS308" s="507"/>
      <c r="BT308" s="16"/>
      <c r="BU308" s="507"/>
      <c r="BV308" s="16"/>
      <c r="BW308" s="507"/>
      <c r="BX308" s="16"/>
      <c r="BY308" s="507"/>
      <c r="BZ308" s="16"/>
      <c r="CA308" s="507"/>
      <c r="CB308" s="16"/>
      <c r="CC308" s="507"/>
      <c r="CD308" s="16"/>
      <c r="CE308" s="507"/>
      <c r="CF308" s="16"/>
      <c r="CG308" s="507"/>
      <c r="CH308" s="16"/>
      <c r="CI308" s="507"/>
      <c r="CJ308" s="16"/>
      <c r="CK308" s="507"/>
      <c r="CL308" s="16"/>
      <c r="CM308" s="507"/>
      <c r="CN308" s="16"/>
      <c r="CO308" s="507"/>
      <c r="CP308" s="16"/>
      <c r="CQ308" s="507"/>
      <c r="CR308" s="16"/>
      <c r="CS308" s="507"/>
      <c r="CT308" s="16"/>
      <c r="CU308" s="507"/>
      <c r="CV308" s="16"/>
      <c r="CW308" s="507"/>
      <c r="CX308" s="16"/>
      <c r="CY308" s="507"/>
      <c r="CZ308" s="16"/>
      <c r="DA308" s="507"/>
      <c r="DB308" s="507"/>
      <c r="DC308" s="16"/>
      <c r="DD308" s="687"/>
      <c r="DE308" s="16"/>
      <c r="DF308" s="687"/>
      <c r="DG308" s="16"/>
      <c r="DH308" s="687"/>
      <c r="DI308" s="16"/>
      <c r="DJ308" s="687"/>
      <c r="DK308" s="16"/>
      <c r="DL308" s="507"/>
      <c r="DM308" s="16"/>
      <c r="DN308" s="507"/>
      <c r="DO308" s="16"/>
      <c r="DP308" s="507"/>
      <c r="DQ308" s="16"/>
      <c r="DR308" s="507"/>
      <c r="DS308" s="16"/>
      <c r="DT308" s="507"/>
      <c r="DU308" s="16"/>
      <c r="DV308" s="507"/>
      <c r="DW308" s="16"/>
      <c r="DX308" s="507"/>
      <c r="DY308" s="16"/>
      <c r="DZ308" s="507"/>
      <c r="EA308" s="16"/>
      <c r="EB308" s="507"/>
      <c r="EC308" s="16"/>
      <c r="ED308" s="507"/>
      <c r="EE308" s="16"/>
      <c r="EF308" s="507"/>
      <c r="EG308" s="16"/>
      <c r="EH308" s="507"/>
      <c r="EI308" s="16"/>
      <c r="EJ308" s="507"/>
      <c r="EK308" s="16"/>
      <c r="EL308" s="507"/>
      <c r="EM308" s="687"/>
    </row>
    <row r="309" spans="1:143" ht="12.75" hidden="1" customHeight="1" outlineLevel="2" x14ac:dyDescent="0.2">
      <c r="A309" s="701" t="str">
        <f>INPUT!B331</f>
        <v>Insurance Benefits</v>
      </c>
      <c r="B309" s="151">
        <f>INPUT!AY331</f>
        <v>32.799999999999997</v>
      </c>
      <c r="C309" s="507">
        <f>INPUT!AZ331</f>
        <v>3.1446540880503138</v>
      </c>
      <c r="D309" s="151">
        <f>INPUT!BA331</f>
        <v>30.4</v>
      </c>
      <c r="E309" s="687">
        <f>INPUT!BB331</f>
        <v>-0.97719869706840434</v>
      </c>
      <c r="F309" s="151">
        <f>INPUT!BC331</f>
        <v>35.6</v>
      </c>
      <c r="G309" s="687">
        <f>INPUT!BD331</f>
        <v>-10.776942355889718</v>
      </c>
      <c r="H309" s="151">
        <f>INPUT!BE331</f>
        <v>39.700000000000003</v>
      </c>
      <c r="I309" s="687">
        <f>INPUT!BF331</f>
        <v>27.243589743589759</v>
      </c>
      <c r="J309" s="151">
        <f>INPUT!BG331</f>
        <v>2.8</v>
      </c>
      <c r="K309" s="687" t="str">
        <f>INPUT!BH331</f>
        <v>NM</v>
      </c>
      <c r="L309" s="151">
        <f>INPUT!BI331</f>
        <v>2.7</v>
      </c>
      <c r="M309" s="687"/>
      <c r="N309" s="151"/>
      <c r="O309" s="687"/>
      <c r="P309" s="151"/>
      <c r="Q309" s="687"/>
      <c r="R309" s="151"/>
      <c r="S309" s="687"/>
      <c r="T309" s="151"/>
      <c r="U309" s="687"/>
      <c r="V309" s="151"/>
      <c r="W309" s="687"/>
      <c r="X309" s="151"/>
      <c r="Y309" s="687"/>
      <c r="Z309" s="151"/>
      <c r="AA309" s="687"/>
      <c r="AB309" s="151"/>
      <c r="AC309" s="687"/>
      <c r="AD309" s="151"/>
      <c r="AE309" s="687"/>
      <c r="AF309" s="151"/>
      <c r="AG309" s="687"/>
      <c r="AH309" s="151"/>
      <c r="AI309" s="507"/>
      <c r="AJ309" s="151"/>
      <c r="AK309" s="507"/>
      <c r="AL309" s="151"/>
      <c r="AM309" s="507"/>
      <c r="AN309" s="151"/>
      <c r="AO309" s="507"/>
      <c r="AP309" s="151"/>
      <c r="AQ309" s="507"/>
      <c r="AR309" s="151"/>
      <c r="AS309" s="507"/>
      <c r="AT309" s="151"/>
      <c r="AU309" s="507"/>
      <c r="AV309" s="151"/>
      <c r="AW309" s="507"/>
      <c r="AX309" s="151"/>
      <c r="AY309" s="507"/>
      <c r="AZ309" s="151"/>
      <c r="BA309" s="507"/>
      <c r="BB309" s="151"/>
      <c r="BC309" s="507"/>
      <c r="BD309" s="151"/>
      <c r="BE309" s="507"/>
      <c r="BF309" s="151"/>
      <c r="BG309" s="507"/>
      <c r="BH309" s="151"/>
      <c r="BI309" s="507"/>
      <c r="BJ309" s="151"/>
      <c r="BK309" s="507"/>
      <c r="BL309" s="151"/>
      <c r="BM309" s="507"/>
      <c r="BN309" s="151"/>
      <c r="BO309" s="507"/>
      <c r="BP309" s="151"/>
      <c r="BQ309" s="507"/>
      <c r="BR309" s="151"/>
      <c r="BS309" s="507"/>
      <c r="BT309" s="151"/>
      <c r="BU309" s="507"/>
      <c r="BV309" s="151"/>
      <c r="BW309" s="507"/>
      <c r="BX309" s="151"/>
      <c r="BY309" s="507"/>
      <c r="BZ309" s="151"/>
      <c r="CA309" s="507"/>
      <c r="CB309" s="151"/>
      <c r="CC309" s="507"/>
      <c r="CD309" s="151"/>
      <c r="CE309" s="507"/>
      <c r="CF309" s="151"/>
      <c r="CG309" s="507"/>
      <c r="CH309" s="151"/>
      <c r="CI309" s="507"/>
      <c r="CJ309" s="151"/>
      <c r="CK309" s="507"/>
      <c r="CL309" s="151"/>
      <c r="CM309" s="507"/>
      <c r="CN309" s="151"/>
      <c r="CO309" s="507"/>
      <c r="CP309" s="151"/>
      <c r="CQ309" s="507"/>
      <c r="CR309" s="151"/>
      <c r="CS309" s="507"/>
      <c r="CT309" s="151"/>
      <c r="CU309" s="507"/>
      <c r="CV309" s="151"/>
      <c r="CW309" s="507"/>
      <c r="CX309" s="151"/>
      <c r="CY309" s="507"/>
      <c r="CZ309" s="151"/>
      <c r="DA309" s="507"/>
      <c r="DB309" s="507"/>
      <c r="DC309" s="151">
        <f>INPUT!FP331</f>
        <v>133.6</v>
      </c>
      <c r="DD309" s="687" t="str">
        <f>INPUT!FQ331</f>
        <v>NA</v>
      </c>
      <c r="DE309" s="151">
        <f>INPUT!FR331</f>
        <v>138.5</v>
      </c>
      <c r="DF309" s="687">
        <f>INPUT!FS331</f>
        <v>3.667664670658688</v>
      </c>
      <c r="DG309" s="151">
        <f>INPUT!FT331</f>
        <v>5.5</v>
      </c>
      <c r="DH309" s="687"/>
      <c r="DI309" s="151"/>
      <c r="DJ309" s="687"/>
      <c r="DK309" s="151"/>
      <c r="DL309" s="507"/>
      <c r="DM309" s="151"/>
      <c r="DN309" s="507"/>
      <c r="DO309" s="151"/>
      <c r="DP309" s="507"/>
      <c r="DQ309" s="151"/>
      <c r="DR309" s="507"/>
      <c r="DS309" s="151"/>
      <c r="DT309" s="507"/>
      <c r="DU309" s="151"/>
      <c r="DV309" s="507"/>
      <c r="DW309" s="151"/>
      <c r="DX309" s="507"/>
      <c r="DY309" s="151"/>
      <c r="DZ309" s="507"/>
      <c r="EA309" s="151"/>
      <c r="EB309" s="507"/>
      <c r="EC309" s="151"/>
      <c r="ED309" s="507"/>
      <c r="EE309" s="151"/>
      <c r="EF309" s="507"/>
      <c r="EG309" s="151"/>
      <c r="EH309" s="507"/>
      <c r="EI309" s="151"/>
      <c r="EJ309" s="507"/>
      <c r="EK309" s="151"/>
      <c r="EL309" s="507"/>
      <c r="EM309" s="687"/>
    </row>
    <row r="310" spans="1:143" ht="12.75" hidden="1" customHeight="1" outlineLevel="2" x14ac:dyDescent="0.2">
      <c r="A310" s="701" t="str">
        <f>INPUT!B332</f>
        <v>Interest Credited</v>
      </c>
      <c r="B310" s="151">
        <f>INPUT!AY332</f>
        <v>9.3000000000000007</v>
      </c>
      <c r="C310" s="507">
        <f>INPUT!AZ332</f>
        <v>0</v>
      </c>
      <c r="D310" s="151">
        <f>INPUT!BA332</f>
        <v>40.200000000000003</v>
      </c>
      <c r="E310" s="687" t="str">
        <f>INPUT!BB332</f>
        <v>NM</v>
      </c>
      <c r="F310" s="151">
        <f>INPUT!BC332</f>
        <v>39.9</v>
      </c>
      <c r="G310" s="687" t="str">
        <f>INPUT!BD332</f>
        <v>NM</v>
      </c>
      <c r="H310" s="151">
        <f>INPUT!BE332</f>
        <v>42</v>
      </c>
      <c r="I310" s="687" t="str">
        <f>INPUT!BF332</f>
        <v>NM</v>
      </c>
      <c r="J310" s="151">
        <f>INPUT!BG332</f>
        <v>38.200000000000003</v>
      </c>
      <c r="K310" s="687" t="str">
        <f>INPUT!BH332</f>
        <v>NM</v>
      </c>
      <c r="L310" s="151">
        <f>INPUT!BI332</f>
        <v>38.1</v>
      </c>
      <c r="M310" s="687"/>
      <c r="N310" s="151"/>
      <c r="O310" s="687"/>
      <c r="P310" s="151"/>
      <c r="Q310" s="687"/>
      <c r="R310" s="151"/>
      <c r="S310" s="687"/>
      <c r="T310" s="151"/>
      <c r="U310" s="687"/>
      <c r="V310" s="151"/>
      <c r="W310" s="687"/>
      <c r="X310" s="151"/>
      <c r="Y310" s="687"/>
      <c r="Z310" s="151"/>
      <c r="AA310" s="687"/>
      <c r="AB310" s="151"/>
      <c r="AC310" s="687"/>
      <c r="AD310" s="151"/>
      <c r="AE310" s="687"/>
      <c r="AF310" s="151"/>
      <c r="AG310" s="687"/>
      <c r="AH310" s="151"/>
      <c r="AI310" s="507"/>
      <c r="AJ310" s="151"/>
      <c r="AK310" s="507"/>
      <c r="AL310" s="151"/>
      <c r="AM310" s="507"/>
      <c r="AN310" s="151"/>
      <c r="AO310" s="507"/>
      <c r="AP310" s="151"/>
      <c r="AQ310" s="507"/>
      <c r="AR310" s="151"/>
      <c r="AS310" s="507"/>
      <c r="AT310" s="151"/>
      <c r="AU310" s="507"/>
      <c r="AV310" s="151"/>
      <c r="AW310" s="507"/>
      <c r="AX310" s="151"/>
      <c r="AY310" s="507"/>
      <c r="AZ310" s="151"/>
      <c r="BA310" s="507"/>
      <c r="BB310" s="151"/>
      <c r="BC310" s="507"/>
      <c r="BD310" s="151"/>
      <c r="BE310" s="507"/>
      <c r="BF310" s="151"/>
      <c r="BG310" s="507"/>
      <c r="BH310" s="151"/>
      <c r="BI310" s="507"/>
      <c r="BJ310" s="151"/>
      <c r="BK310" s="507"/>
      <c r="BL310" s="151"/>
      <c r="BM310" s="507"/>
      <c r="BN310" s="151"/>
      <c r="BO310" s="507"/>
      <c r="BP310" s="151"/>
      <c r="BQ310" s="507"/>
      <c r="BR310" s="151"/>
      <c r="BS310" s="507"/>
      <c r="BT310" s="151"/>
      <c r="BU310" s="507"/>
      <c r="BV310" s="151"/>
      <c r="BW310" s="507"/>
      <c r="BX310" s="151"/>
      <c r="BY310" s="507"/>
      <c r="BZ310" s="151"/>
      <c r="CA310" s="507"/>
      <c r="CB310" s="151"/>
      <c r="CC310" s="507"/>
      <c r="CD310" s="151"/>
      <c r="CE310" s="507"/>
      <c r="CF310" s="151"/>
      <c r="CG310" s="507"/>
      <c r="CH310" s="151"/>
      <c r="CI310" s="507"/>
      <c r="CJ310" s="151"/>
      <c r="CK310" s="507"/>
      <c r="CL310" s="151"/>
      <c r="CM310" s="507"/>
      <c r="CN310" s="151"/>
      <c r="CO310" s="507"/>
      <c r="CP310" s="151"/>
      <c r="CQ310" s="507"/>
      <c r="CR310" s="151"/>
      <c r="CS310" s="507"/>
      <c r="CT310" s="151"/>
      <c r="CU310" s="507"/>
      <c r="CV310" s="151"/>
      <c r="CW310" s="507"/>
      <c r="CX310" s="151"/>
      <c r="CY310" s="507"/>
      <c r="CZ310" s="151"/>
      <c r="DA310" s="507"/>
      <c r="DB310" s="507"/>
      <c r="DC310" s="151">
        <f>INPUT!FP332</f>
        <v>38.799999999999997</v>
      </c>
      <c r="DD310" s="687" t="str">
        <f>INPUT!FQ332</f>
        <v>NA</v>
      </c>
      <c r="DE310" s="151">
        <f>INPUT!FR332</f>
        <v>131.4</v>
      </c>
      <c r="DF310" s="687" t="str">
        <f>INPUT!FS332</f>
        <v>NM</v>
      </c>
      <c r="DG310" s="151">
        <f>INPUT!FT332</f>
        <v>76.300000000000011</v>
      </c>
      <c r="DH310" s="687"/>
      <c r="DI310" s="151"/>
      <c r="DJ310" s="687"/>
      <c r="DK310" s="151"/>
      <c r="DL310" s="507"/>
      <c r="DM310" s="151"/>
      <c r="DN310" s="507"/>
      <c r="DO310" s="151"/>
      <c r="DP310" s="507"/>
      <c r="DQ310" s="151"/>
      <c r="DR310" s="507"/>
      <c r="DS310" s="151"/>
      <c r="DT310" s="507"/>
      <c r="DU310" s="151"/>
      <c r="DV310" s="507"/>
      <c r="DW310" s="151"/>
      <c r="DX310" s="507"/>
      <c r="DY310" s="151"/>
      <c r="DZ310" s="507"/>
      <c r="EA310" s="151"/>
      <c r="EB310" s="507"/>
      <c r="EC310" s="151"/>
      <c r="ED310" s="507"/>
      <c r="EE310" s="151"/>
      <c r="EF310" s="507"/>
      <c r="EG310" s="151"/>
      <c r="EH310" s="507"/>
      <c r="EI310" s="151"/>
      <c r="EJ310" s="507"/>
      <c r="EK310" s="151"/>
      <c r="EL310" s="507"/>
      <c r="EM310" s="687"/>
    </row>
    <row r="311" spans="1:143" ht="12.75" hidden="1" customHeight="1" outlineLevel="2" x14ac:dyDescent="0.2">
      <c r="A311" s="701" t="str">
        <f>INPUT!B333</f>
        <v>Other Expenses</v>
      </c>
      <c r="B311" s="151">
        <f>INPUT!AY333</f>
        <v>10</v>
      </c>
      <c r="C311" s="507">
        <f>INPUT!AZ333</f>
        <v>-1.9607843137254832</v>
      </c>
      <c r="D311" s="151">
        <f>INPUT!BA333</f>
        <v>12.3</v>
      </c>
      <c r="E311" s="687">
        <f>INPUT!BB333</f>
        <v>20.588235294117663</v>
      </c>
      <c r="F311" s="151">
        <f>INPUT!BC333</f>
        <v>14.6</v>
      </c>
      <c r="G311" s="687">
        <f>INPUT!BD333</f>
        <v>4.2857142857142927</v>
      </c>
      <c r="H311" s="151">
        <f>INPUT!BE333</f>
        <v>17.200000000000003</v>
      </c>
      <c r="I311" s="687">
        <f>INPUT!BF333</f>
        <v>54.954954954954992</v>
      </c>
      <c r="J311" s="151">
        <f>INPUT!BG333</f>
        <v>9.3999999999999986</v>
      </c>
      <c r="K311" s="687">
        <f>INPUT!BH333</f>
        <v>-6.000000000000016</v>
      </c>
      <c r="L311" s="151">
        <f>INPUT!BI333</f>
        <v>9.7000000000000011</v>
      </c>
      <c r="M311" s="687"/>
      <c r="N311" s="151"/>
      <c r="O311" s="687"/>
      <c r="P311" s="151"/>
      <c r="Q311" s="687"/>
      <c r="R311" s="151"/>
      <c r="S311" s="687"/>
      <c r="T311" s="151"/>
      <c r="U311" s="687"/>
      <c r="V311" s="151"/>
      <c r="W311" s="687"/>
      <c r="X311" s="151"/>
      <c r="Y311" s="687"/>
      <c r="Z311" s="151"/>
      <c r="AA311" s="687"/>
      <c r="AB311" s="151"/>
      <c r="AC311" s="687"/>
      <c r="AD311" s="151"/>
      <c r="AE311" s="687"/>
      <c r="AF311" s="151"/>
      <c r="AG311" s="687"/>
      <c r="AH311" s="151"/>
      <c r="AI311" s="507"/>
      <c r="AJ311" s="151"/>
      <c r="AK311" s="507"/>
      <c r="AL311" s="151"/>
      <c r="AM311" s="507"/>
      <c r="AN311" s="151"/>
      <c r="AO311" s="507"/>
      <c r="AP311" s="151"/>
      <c r="AQ311" s="507"/>
      <c r="AR311" s="151"/>
      <c r="AS311" s="507"/>
      <c r="AT311" s="151"/>
      <c r="AU311" s="507"/>
      <c r="AV311" s="151"/>
      <c r="AW311" s="507"/>
      <c r="AX311" s="151"/>
      <c r="AY311" s="507"/>
      <c r="AZ311" s="151"/>
      <c r="BA311" s="507"/>
      <c r="BB311" s="151"/>
      <c r="BC311" s="507"/>
      <c r="BD311" s="151"/>
      <c r="BE311" s="507"/>
      <c r="BF311" s="151"/>
      <c r="BG311" s="507"/>
      <c r="BH311" s="151"/>
      <c r="BI311" s="507"/>
      <c r="BJ311" s="151"/>
      <c r="BK311" s="507"/>
      <c r="BL311" s="151"/>
      <c r="BM311" s="507"/>
      <c r="BN311" s="151"/>
      <c r="BO311" s="507"/>
      <c r="BP311" s="151"/>
      <c r="BQ311" s="507"/>
      <c r="BR311" s="151"/>
      <c r="BS311" s="507"/>
      <c r="BT311" s="151"/>
      <c r="BU311" s="507"/>
      <c r="BV311" s="151"/>
      <c r="BW311" s="507"/>
      <c r="BX311" s="151"/>
      <c r="BY311" s="507"/>
      <c r="BZ311" s="151"/>
      <c r="CA311" s="507"/>
      <c r="CB311" s="151"/>
      <c r="CC311" s="507"/>
      <c r="CD311" s="151"/>
      <c r="CE311" s="507"/>
      <c r="CF311" s="151"/>
      <c r="CG311" s="507"/>
      <c r="CH311" s="151"/>
      <c r="CI311" s="507"/>
      <c r="CJ311" s="151"/>
      <c r="CK311" s="507"/>
      <c r="CL311" s="151"/>
      <c r="CM311" s="507"/>
      <c r="CN311" s="151"/>
      <c r="CO311" s="507"/>
      <c r="CP311" s="151"/>
      <c r="CQ311" s="507"/>
      <c r="CR311" s="151"/>
      <c r="CS311" s="507"/>
      <c r="CT311" s="151"/>
      <c r="CU311" s="507"/>
      <c r="CV311" s="151"/>
      <c r="CW311" s="507"/>
      <c r="CX311" s="151"/>
      <c r="CY311" s="507"/>
      <c r="CZ311" s="151"/>
      <c r="DA311" s="507"/>
      <c r="DB311" s="507"/>
      <c r="DC311" s="151">
        <f>INPUT!FP333</f>
        <v>45.5</v>
      </c>
      <c r="DD311" s="687" t="str">
        <f>INPUT!FQ333</f>
        <v>NA</v>
      </c>
      <c r="DE311" s="151">
        <f>INPUT!FR333</f>
        <v>54.1</v>
      </c>
      <c r="DF311" s="687">
        <f>INPUT!FS333</f>
        <v>18.901098901098901</v>
      </c>
      <c r="DG311" s="151">
        <f>INPUT!FT333</f>
        <v>19.100000000000001</v>
      </c>
      <c r="DH311" s="687"/>
      <c r="DI311" s="151"/>
      <c r="DJ311" s="687"/>
      <c r="DK311" s="151"/>
      <c r="DL311" s="507"/>
      <c r="DM311" s="151"/>
      <c r="DN311" s="507"/>
      <c r="DO311" s="151"/>
      <c r="DP311" s="507"/>
      <c r="DQ311" s="151"/>
      <c r="DR311" s="507"/>
      <c r="DS311" s="151"/>
      <c r="DT311" s="507"/>
      <c r="DU311" s="151"/>
      <c r="DV311" s="507"/>
      <c r="DW311" s="151"/>
      <c r="DX311" s="507"/>
      <c r="DY311" s="151"/>
      <c r="DZ311" s="507"/>
      <c r="EA311" s="151"/>
      <c r="EB311" s="507"/>
      <c r="EC311" s="151"/>
      <c r="ED311" s="507"/>
      <c r="EE311" s="151"/>
      <c r="EF311" s="507"/>
      <c r="EG311" s="151"/>
      <c r="EH311" s="507"/>
      <c r="EI311" s="151"/>
      <c r="EJ311" s="507"/>
      <c r="EK311" s="151"/>
      <c r="EL311" s="507"/>
      <c r="EM311" s="687"/>
    </row>
    <row r="312" spans="1:143" ht="12.75" hidden="1" customHeight="1" outlineLevel="2" x14ac:dyDescent="0.2">
      <c r="A312" s="701" t="str">
        <f>INPUT!B334</f>
        <v>Net DAC and VOBA Amortization</v>
      </c>
      <c r="B312" s="151">
        <f>INPUT!AY334</f>
        <v>-5.4</v>
      </c>
      <c r="C312" s="507" t="str">
        <f>INPUT!AZ334</f>
        <v>NM</v>
      </c>
      <c r="D312" s="151">
        <f>INPUT!BA334</f>
        <v>-5.0999999999999996</v>
      </c>
      <c r="E312" s="687">
        <f>INPUT!BB334</f>
        <v>88.888888888888886</v>
      </c>
      <c r="F312" s="151">
        <f>INPUT!BC334</f>
        <v>-2.9000000000000004</v>
      </c>
      <c r="G312" s="687" t="str">
        <f>INPUT!BD334</f>
        <v>NM</v>
      </c>
      <c r="H312" s="151">
        <f>INPUT!BE334</f>
        <v>-8.1000000000000014</v>
      </c>
      <c r="I312" s="687" t="str">
        <f>INPUT!BF334</f>
        <v>NM</v>
      </c>
      <c r="J312" s="151">
        <f>INPUT!BG334</f>
        <v>0.79999999999999982</v>
      </c>
      <c r="K312" s="687" t="str">
        <f>INPUT!BH334</f>
        <v>NM</v>
      </c>
      <c r="L312" s="151">
        <f>INPUT!BI334</f>
        <v>-0.90000000000000036</v>
      </c>
      <c r="M312" s="687"/>
      <c r="N312" s="151"/>
      <c r="O312" s="687"/>
      <c r="P312" s="151"/>
      <c r="Q312" s="687"/>
      <c r="R312" s="151"/>
      <c r="S312" s="687"/>
      <c r="T312" s="151"/>
      <c r="U312" s="687"/>
      <c r="V312" s="151"/>
      <c r="W312" s="687"/>
      <c r="X312" s="151"/>
      <c r="Y312" s="687"/>
      <c r="Z312" s="151"/>
      <c r="AA312" s="687"/>
      <c r="AB312" s="151"/>
      <c r="AC312" s="687"/>
      <c r="AD312" s="151"/>
      <c r="AE312" s="687"/>
      <c r="AF312" s="151"/>
      <c r="AG312" s="687"/>
      <c r="AH312" s="151"/>
      <c r="AI312" s="507"/>
      <c r="AJ312" s="151"/>
      <c r="AK312" s="507"/>
      <c r="AL312" s="151"/>
      <c r="AM312" s="507"/>
      <c r="AN312" s="151"/>
      <c r="AO312" s="507"/>
      <c r="AP312" s="151"/>
      <c r="AQ312" s="507"/>
      <c r="AR312" s="151"/>
      <c r="AS312" s="507"/>
      <c r="AT312" s="151"/>
      <c r="AU312" s="507"/>
      <c r="AV312" s="151"/>
      <c r="AW312" s="507"/>
      <c r="AX312" s="151"/>
      <c r="AY312" s="507"/>
      <c r="AZ312" s="151"/>
      <c r="BA312" s="507"/>
      <c r="BB312" s="151"/>
      <c r="BC312" s="507"/>
      <c r="BD312" s="151"/>
      <c r="BE312" s="507"/>
      <c r="BF312" s="151"/>
      <c r="BG312" s="507"/>
      <c r="BH312" s="151"/>
      <c r="BI312" s="507"/>
      <c r="BJ312" s="151"/>
      <c r="BK312" s="507"/>
      <c r="BL312" s="151"/>
      <c r="BM312" s="507"/>
      <c r="BN312" s="151"/>
      <c r="BO312" s="507"/>
      <c r="BP312" s="151"/>
      <c r="BQ312" s="507"/>
      <c r="BR312" s="151"/>
      <c r="BS312" s="507"/>
      <c r="BT312" s="151"/>
      <c r="BU312" s="507"/>
      <c r="BV312" s="151"/>
      <c r="BW312" s="507"/>
      <c r="BX312" s="151"/>
      <c r="BY312" s="507"/>
      <c r="BZ312" s="151"/>
      <c r="CA312" s="507"/>
      <c r="CB312" s="151"/>
      <c r="CC312" s="507"/>
      <c r="CD312" s="151"/>
      <c r="CE312" s="507"/>
      <c r="CF312" s="151"/>
      <c r="CG312" s="507"/>
      <c r="CH312" s="151"/>
      <c r="CI312" s="507"/>
      <c r="CJ312" s="151"/>
      <c r="CK312" s="507"/>
      <c r="CL312" s="151"/>
      <c r="CM312" s="507"/>
      <c r="CN312" s="151"/>
      <c r="CO312" s="507"/>
      <c r="CP312" s="151"/>
      <c r="CQ312" s="507"/>
      <c r="CR312" s="151"/>
      <c r="CS312" s="507"/>
      <c r="CT312" s="151"/>
      <c r="CU312" s="507"/>
      <c r="CV312" s="151"/>
      <c r="CW312" s="507"/>
      <c r="CX312" s="151"/>
      <c r="CY312" s="507"/>
      <c r="CZ312" s="151"/>
      <c r="DA312" s="507"/>
      <c r="DB312" s="507"/>
      <c r="DC312" s="151">
        <f>INPUT!FP334</f>
        <v>-16.3</v>
      </c>
      <c r="DD312" s="687" t="str">
        <f>INPUT!FQ334</f>
        <v>NA</v>
      </c>
      <c r="DE312" s="151">
        <f>INPUT!FR334</f>
        <v>-21.5</v>
      </c>
      <c r="DF312" s="687">
        <f>INPUT!FS334</f>
        <v>31.901840490797539</v>
      </c>
      <c r="DG312" s="151">
        <f>INPUT!FT334</f>
        <v>-0.10000000000000053</v>
      </c>
      <c r="DH312" s="687"/>
      <c r="DI312" s="151"/>
      <c r="DJ312" s="687"/>
      <c r="DK312" s="151"/>
      <c r="DL312" s="507"/>
      <c r="DM312" s="151"/>
      <c r="DN312" s="507"/>
      <c r="DO312" s="151"/>
      <c r="DP312" s="507"/>
      <c r="DQ312" s="151"/>
      <c r="DR312" s="507"/>
      <c r="DS312" s="151"/>
      <c r="DT312" s="507"/>
      <c r="DU312" s="151"/>
      <c r="DV312" s="507"/>
      <c r="DW312" s="151"/>
      <c r="DX312" s="507"/>
      <c r="DY312" s="151"/>
      <c r="DZ312" s="507"/>
      <c r="EA312" s="151"/>
      <c r="EB312" s="507"/>
      <c r="EC312" s="151"/>
      <c r="ED312" s="507"/>
      <c r="EE312" s="151"/>
      <c r="EF312" s="507"/>
      <c r="EG312" s="151"/>
      <c r="EH312" s="507"/>
      <c r="EI312" s="151"/>
      <c r="EJ312" s="507"/>
      <c r="EK312" s="151"/>
      <c r="EL312" s="507"/>
      <c r="EM312" s="687"/>
    </row>
    <row r="313" spans="1:143" ht="12.75" hidden="1" customHeight="1" outlineLevel="2" x14ac:dyDescent="0.2">
      <c r="A313" s="701" t="str">
        <f>INPUT!B335</f>
        <v>Total Operating and Acquisition Exp</v>
      </c>
      <c r="B313" s="151">
        <f>INPUT!AY335</f>
        <v>4.5999999999999996</v>
      </c>
      <c r="C313" s="507">
        <f>INPUT!AZ335</f>
        <v>-42.500000000000007</v>
      </c>
      <c r="D313" s="151">
        <f>INPUT!BA335</f>
        <v>7.2</v>
      </c>
      <c r="E313" s="687">
        <f>INPUT!BB335</f>
        <v>-3.9999999999999925</v>
      </c>
      <c r="F313" s="151">
        <f>INPUT!BC335</f>
        <v>11.7</v>
      </c>
      <c r="G313" s="687">
        <f>INPUT!BD335</f>
        <v>82.812499999999972</v>
      </c>
      <c r="H313" s="151">
        <f>INPUT!BE335</f>
        <v>9.1</v>
      </c>
      <c r="I313" s="687">
        <f>INPUT!BF335</f>
        <v>24.657534246575331</v>
      </c>
      <c r="J313" s="151">
        <f>INPUT!BG335</f>
        <v>10.199999999999999</v>
      </c>
      <c r="K313" s="687" t="str">
        <f>INPUT!BH335</f>
        <v>NM</v>
      </c>
      <c r="L313" s="151">
        <f>INPUT!BI335</f>
        <v>8.8000000000000007</v>
      </c>
      <c r="M313" s="687"/>
      <c r="N313" s="151"/>
      <c r="O313" s="687"/>
      <c r="P313" s="151"/>
      <c r="Q313" s="687"/>
      <c r="R313" s="151"/>
      <c r="S313" s="687"/>
      <c r="T313" s="151"/>
      <c r="U313" s="687"/>
      <c r="V313" s="151"/>
      <c r="W313" s="687"/>
      <c r="X313" s="151"/>
      <c r="Y313" s="687"/>
      <c r="Z313" s="151"/>
      <c r="AA313" s="687"/>
      <c r="AB313" s="151"/>
      <c r="AC313" s="687"/>
      <c r="AD313" s="151"/>
      <c r="AE313" s="687"/>
      <c r="AF313" s="151"/>
      <c r="AG313" s="687"/>
      <c r="AH313" s="151"/>
      <c r="AI313" s="507"/>
      <c r="AJ313" s="151"/>
      <c r="AK313" s="507"/>
      <c r="AL313" s="151"/>
      <c r="AM313" s="507"/>
      <c r="AN313" s="151"/>
      <c r="AO313" s="507"/>
      <c r="AP313" s="151"/>
      <c r="AQ313" s="507"/>
      <c r="AR313" s="151"/>
      <c r="AS313" s="507"/>
      <c r="AT313" s="151"/>
      <c r="AU313" s="507"/>
      <c r="AV313" s="151"/>
      <c r="AW313" s="507"/>
      <c r="AX313" s="151"/>
      <c r="AY313" s="507"/>
      <c r="AZ313" s="151"/>
      <c r="BA313" s="507"/>
      <c r="BB313" s="151"/>
      <c r="BC313" s="507"/>
      <c r="BD313" s="151"/>
      <c r="BE313" s="507"/>
      <c r="BF313" s="151"/>
      <c r="BG313" s="507"/>
      <c r="BH313" s="151"/>
      <c r="BI313" s="507"/>
      <c r="BJ313" s="151"/>
      <c r="BK313" s="507"/>
      <c r="BL313" s="151"/>
      <c r="BM313" s="507"/>
      <c r="BN313" s="151"/>
      <c r="BO313" s="507"/>
      <c r="BP313" s="151"/>
      <c r="BQ313" s="507"/>
      <c r="BR313" s="151"/>
      <c r="BS313" s="507"/>
      <c r="BT313" s="151"/>
      <c r="BU313" s="507"/>
      <c r="BV313" s="151"/>
      <c r="BW313" s="507"/>
      <c r="BX313" s="151"/>
      <c r="BY313" s="507"/>
      <c r="BZ313" s="151"/>
      <c r="CA313" s="507"/>
      <c r="CB313" s="151"/>
      <c r="CC313" s="507"/>
      <c r="CD313" s="151"/>
      <c r="CE313" s="507"/>
      <c r="CF313" s="151"/>
      <c r="CG313" s="507"/>
      <c r="CH313" s="151"/>
      <c r="CI313" s="507"/>
      <c r="CJ313" s="151"/>
      <c r="CK313" s="507"/>
      <c r="CL313" s="151"/>
      <c r="CM313" s="507"/>
      <c r="CN313" s="151"/>
      <c r="CO313" s="507"/>
      <c r="CP313" s="151"/>
      <c r="CQ313" s="507"/>
      <c r="CR313" s="151"/>
      <c r="CS313" s="507"/>
      <c r="CT313" s="151"/>
      <c r="CU313" s="507"/>
      <c r="CV313" s="151"/>
      <c r="CW313" s="507"/>
      <c r="CX313" s="151"/>
      <c r="CY313" s="507"/>
      <c r="CZ313" s="151"/>
      <c r="DA313" s="507"/>
      <c r="DB313" s="507"/>
      <c r="DC313" s="151">
        <f>INPUT!FP335</f>
        <v>29.2</v>
      </c>
      <c r="DD313" s="687" t="str">
        <f>INPUT!FQ335</f>
        <v>NA</v>
      </c>
      <c r="DE313" s="151">
        <f>INPUT!FR335</f>
        <v>32.6</v>
      </c>
      <c r="DF313" s="687">
        <f>INPUT!FS335</f>
        <v>11.643835616438359</v>
      </c>
      <c r="DG313" s="151">
        <f>INPUT!FT335</f>
        <v>19</v>
      </c>
      <c r="DH313" s="687"/>
      <c r="DI313" s="151"/>
      <c r="DJ313" s="687"/>
      <c r="DK313" s="151"/>
      <c r="DL313" s="507"/>
      <c r="DM313" s="151"/>
      <c r="DN313" s="507"/>
      <c r="DO313" s="151"/>
      <c r="DP313" s="507"/>
      <c r="DQ313" s="151"/>
      <c r="DR313" s="507"/>
      <c r="DS313" s="151"/>
      <c r="DT313" s="507"/>
      <c r="DU313" s="151"/>
      <c r="DV313" s="507"/>
      <c r="DW313" s="151"/>
      <c r="DX313" s="507"/>
      <c r="DY313" s="151"/>
      <c r="DZ313" s="507"/>
      <c r="EA313" s="151"/>
      <c r="EB313" s="507"/>
      <c r="EC313" s="151"/>
      <c r="ED313" s="507"/>
      <c r="EE313" s="151"/>
      <c r="EF313" s="507"/>
      <c r="EG313" s="151"/>
      <c r="EH313" s="507"/>
      <c r="EI313" s="151"/>
      <c r="EJ313" s="507"/>
      <c r="EK313" s="151"/>
      <c r="EL313" s="507"/>
      <c r="EM313" s="687"/>
    </row>
    <row r="314" spans="1:143" ht="12.75" hidden="1" customHeight="1" outlineLevel="2" x14ac:dyDescent="0.2">
      <c r="A314" s="701" t="str">
        <f>INPUT!B336</f>
        <v xml:space="preserve"> Total Benefits and Expenses</v>
      </c>
      <c r="B314" s="151">
        <f>INPUT!AY336</f>
        <v>46.699999999999996</v>
      </c>
      <c r="C314" s="507">
        <f>INPUT!AZ336</f>
        <v>-4.8879837067209886</v>
      </c>
      <c r="D314" s="151">
        <f>INPUT!BA336</f>
        <v>77.800000000000011</v>
      </c>
      <c r="E314" s="687">
        <f>INPUT!BB336</f>
        <v>62.761506276150669</v>
      </c>
      <c r="F314" s="151">
        <f>INPUT!BC336</f>
        <v>87.199999999999989</v>
      </c>
      <c r="G314" s="687">
        <f>INPUT!BD336</f>
        <v>53.791887125220427</v>
      </c>
      <c r="H314" s="151">
        <f>INPUT!BE336</f>
        <v>90.800000000000011</v>
      </c>
      <c r="I314" s="687">
        <f>INPUT!BF336</f>
        <v>89.166666666666686</v>
      </c>
      <c r="J314" s="151">
        <f>INPUT!BG336</f>
        <v>51.2</v>
      </c>
      <c r="K314" s="687">
        <f>INPUT!BH336</f>
        <v>9.6359743040685295</v>
      </c>
      <c r="L314" s="151">
        <f>INPUT!BI336</f>
        <v>49.600000000000009</v>
      </c>
      <c r="M314" s="687"/>
      <c r="N314" s="151"/>
      <c r="O314" s="687"/>
      <c r="P314" s="151"/>
      <c r="Q314" s="687"/>
      <c r="R314" s="151"/>
      <c r="S314" s="687"/>
      <c r="T314" s="151"/>
      <c r="U314" s="687"/>
      <c r="V314" s="151"/>
      <c r="W314" s="687"/>
      <c r="X314" s="151"/>
      <c r="Y314" s="687"/>
      <c r="Z314" s="151"/>
      <c r="AA314" s="687"/>
      <c r="AB314" s="151"/>
      <c r="AC314" s="687"/>
      <c r="AD314" s="151"/>
      <c r="AE314" s="687"/>
      <c r="AF314" s="151"/>
      <c r="AG314" s="687"/>
      <c r="AH314" s="151"/>
      <c r="AI314" s="507"/>
      <c r="AJ314" s="151"/>
      <c r="AK314" s="507"/>
      <c r="AL314" s="151"/>
      <c r="AM314" s="507"/>
      <c r="AN314" s="151"/>
      <c r="AO314" s="507"/>
      <c r="AP314" s="151"/>
      <c r="AQ314" s="507"/>
      <c r="AR314" s="151"/>
      <c r="AS314" s="507"/>
      <c r="AT314" s="151"/>
      <c r="AU314" s="507"/>
      <c r="AV314" s="151"/>
      <c r="AW314" s="507"/>
      <c r="AX314" s="151"/>
      <c r="AY314" s="507"/>
      <c r="AZ314" s="151"/>
      <c r="BA314" s="507"/>
      <c r="BB314" s="151"/>
      <c r="BC314" s="507"/>
      <c r="BD314" s="151"/>
      <c r="BE314" s="507"/>
      <c r="BF314" s="151"/>
      <c r="BG314" s="507"/>
      <c r="BH314" s="151"/>
      <c r="BI314" s="507"/>
      <c r="BJ314" s="151"/>
      <c r="BK314" s="507"/>
      <c r="BL314" s="151"/>
      <c r="BM314" s="507"/>
      <c r="BN314" s="151"/>
      <c r="BO314" s="507"/>
      <c r="BP314" s="151"/>
      <c r="BQ314" s="507"/>
      <c r="BR314" s="151"/>
      <c r="BS314" s="507"/>
      <c r="BT314" s="151"/>
      <c r="BU314" s="507"/>
      <c r="BV314" s="151"/>
      <c r="BW314" s="507"/>
      <c r="BX314" s="151"/>
      <c r="BY314" s="507"/>
      <c r="BZ314" s="151"/>
      <c r="CA314" s="507"/>
      <c r="CB314" s="151"/>
      <c r="CC314" s="507"/>
      <c r="CD314" s="151"/>
      <c r="CE314" s="507"/>
      <c r="CF314" s="151"/>
      <c r="CG314" s="507"/>
      <c r="CH314" s="151"/>
      <c r="CI314" s="507"/>
      <c r="CJ314" s="151"/>
      <c r="CK314" s="507"/>
      <c r="CL314" s="151"/>
      <c r="CM314" s="507"/>
      <c r="CN314" s="151"/>
      <c r="CO314" s="507"/>
      <c r="CP314" s="151"/>
      <c r="CQ314" s="507"/>
      <c r="CR314" s="151"/>
      <c r="CS314" s="507"/>
      <c r="CT314" s="151"/>
      <c r="CU314" s="507"/>
      <c r="CV314" s="151"/>
      <c r="CW314" s="507"/>
      <c r="CX314" s="151"/>
      <c r="CY314" s="507"/>
      <c r="CZ314" s="151"/>
      <c r="DA314" s="507"/>
      <c r="DB314" s="507"/>
      <c r="DC314" s="151">
        <f>INPUT!FP336</f>
        <v>201.6</v>
      </c>
      <c r="DD314" s="687" t="str">
        <f>INPUT!FQ336</f>
        <v>NA</v>
      </c>
      <c r="DE314" s="151">
        <f>INPUT!FR336</f>
        <v>302.5</v>
      </c>
      <c r="DF314" s="687">
        <f>INPUT!FS336</f>
        <v>50.049603174603185</v>
      </c>
      <c r="DG314" s="151">
        <f>INPUT!FT336</f>
        <v>100.80000000000001</v>
      </c>
      <c r="DH314" s="687"/>
      <c r="DI314" s="151"/>
      <c r="DJ314" s="687"/>
      <c r="DK314" s="151"/>
      <c r="DL314" s="507"/>
      <c r="DM314" s="151"/>
      <c r="DN314" s="507"/>
      <c r="DO314" s="151"/>
      <c r="DP314" s="507"/>
      <c r="DQ314" s="151"/>
      <c r="DR314" s="507"/>
      <c r="DS314" s="151"/>
      <c r="DT314" s="507"/>
      <c r="DU314" s="151"/>
      <c r="DV314" s="507"/>
      <c r="DW314" s="151"/>
      <c r="DX314" s="507"/>
      <c r="DY314" s="151"/>
      <c r="DZ314" s="507"/>
      <c r="EA314" s="151"/>
      <c r="EB314" s="507"/>
      <c r="EC314" s="151"/>
      <c r="ED314" s="507"/>
      <c r="EE314" s="151"/>
      <c r="EF314" s="507"/>
      <c r="EG314" s="151"/>
      <c r="EH314" s="507"/>
      <c r="EI314" s="151"/>
      <c r="EJ314" s="507"/>
      <c r="EK314" s="151"/>
      <c r="EL314" s="507"/>
      <c r="EM314" s="687"/>
    </row>
    <row r="315" spans="1:143" ht="12.75" hidden="1" customHeight="1" outlineLevel="2" x14ac:dyDescent="0.2">
      <c r="A315" s="701"/>
      <c r="B315" s="151"/>
      <c r="C315" s="507"/>
      <c r="D315" s="151"/>
      <c r="E315" s="687"/>
      <c r="F315" s="151"/>
      <c r="G315" s="687"/>
      <c r="H315" s="151"/>
      <c r="I315" s="687"/>
      <c r="J315" s="151"/>
      <c r="K315" s="687"/>
      <c r="L315" s="151"/>
      <c r="M315" s="687"/>
      <c r="N315" s="151"/>
      <c r="O315" s="687"/>
      <c r="P315" s="151"/>
      <c r="Q315" s="687"/>
      <c r="R315" s="151"/>
      <c r="S315" s="687"/>
      <c r="T315" s="151"/>
      <c r="U315" s="687"/>
      <c r="V315" s="151"/>
      <c r="W315" s="687"/>
      <c r="X315" s="151"/>
      <c r="Y315" s="687"/>
      <c r="Z315" s="151"/>
      <c r="AA315" s="687"/>
      <c r="AB315" s="151"/>
      <c r="AC315" s="687"/>
      <c r="AD315" s="151"/>
      <c r="AE315" s="687"/>
      <c r="AF315" s="151"/>
      <c r="AG315" s="687"/>
      <c r="AH315" s="151"/>
      <c r="AI315" s="507"/>
      <c r="AJ315" s="151"/>
      <c r="AK315" s="507"/>
      <c r="AL315" s="151"/>
      <c r="AM315" s="507"/>
      <c r="AN315" s="151"/>
      <c r="AO315" s="507"/>
      <c r="AP315" s="151"/>
      <c r="AQ315" s="507"/>
      <c r="AR315" s="151"/>
      <c r="AS315" s="507"/>
      <c r="AT315" s="151"/>
      <c r="AU315" s="507"/>
      <c r="AV315" s="151"/>
      <c r="AW315" s="507"/>
      <c r="AX315" s="151"/>
      <c r="AY315" s="507"/>
      <c r="AZ315" s="151"/>
      <c r="BA315" s="507"/>
      <c r="BB315" s="151"/>
      <c r="BC315" s="507"/>
      <c r="BD315" s="151"/>
      <c r="BE315" s="507"/>
      <c r="BF315" s="151"/>
      <c r="BG315" s="507"/>
      <c r="BH315" s="151"/>
      <c r="BI315" s="507"/>
      <c r="BJ315" s="151"/>
      <c r="BK315" s="507"/>
      <c r="BL315" s="151"/>
      <c r="BM315" s="507"/>
      <c r="BN315" s="151"/>
      <c r="BO315" s="507"/>
      <c r="BP315" s="151"/>
      <c r="BQ315" s="507"/>
      <c r="BR315" s="151"/>
      <c r="BS315" s="507"/>
      <c r="BT315" s="151"/>
      <c r="BU315" s="507"/>
      <c r="BV315" s="151"/>
      <c r="BW315" s="507"/>
      <c r="BX315" s="151"/>
      <c r="BY315" s="507"/>
      <c r="BZ315" s="151"/>
      <c r="CA315" s="507"/>
      <c r="CB315" s="151"/>
      <c r="CC315" s="507"/>
      <c r="CD315" s="151"/>
      <c r="CE315" s="507"/>
      <c r="CF315" s="151"/>
      <c r="CG315" s="507"/>
      <c r="CH315" s="151"/>
      <c r="CI315" s="507"/>
      <c r="CJ315" s="151"/>
      <c r="CK315" s="507"/>
      <c r="CL315" s="151"/>
      <c r="CM315" s="507"/>
      <c r="CN315" s="151"/>
      <c r="CO315" s="507"/>
      <c r="CP315" s="151"/>
      <c r="CQ315" s="507"/>
      <c r="CR315" s="151"/>
      <c r="CS315" s="507"/>
      <c r="CT315" s="151"/>
      <c r="CU315" s="507"/>
      <c r="CV315" s="151"/>
      <c r="CW315" s="507"/>
      <c r="CX315" s="151"/>
      <c r="CY315" s="507"/>
      <c r="CZ315" s="151"/>
      <c r="DA315" s="507"/>
      <c r="DB315" s="507"/>
      <c r="DC315" s="151"/>
      <c r="DD315" s="687"/>
      <c r="DE315" s="151"/>
      <c r="DF315" s="687"/>
      <c r="DG315" s="151"/>
      <c r="DH315" s="687"/>
      <c r="DI315" s="151"/>
      <c r="DJ315" s="687"/>
      <c r="DK315" s="151"/>
      <c r="DL315" s="507"/>
      <c r="DM315" s="151"/>
      <c r="DN315" s="507"/>
      <c r="DO315" s="151"/>
      <c r="DP315" s="507"/>
      <c r="DQ315" s="151"/>
      <c r="DR315" s="507"/>
      <c r="DS315" s="151"/>
      <c r="DT315" s="507"/>
      <c r="DU315" s="151"/>
      <c r="DV315" s="507"/>
      <c r="DW315" s="151"/>
      <c r="DX315" s="507"/>
      <c r="DY315" s="151"/>
      <c r="DZ315" s="507"/>
      <c r="EA315" s="151"/>
      <c r="EB315" s="507"/>
      <c r="EC315" s="151"/>
      <c r="ED315" s="507"/>
      <c r="EE315" s="151"/>
      <c r="EF315" s="507"/>
      <c r="EG315" s="151"/>
      <c r="EH315" s="507"/>
      <c r="EI315" s="151"/>
      <c r="EJ315" s="507"/>
      <c r="EK315" s="151"/>
      <c r="EL315" s="507"/>
      <c r="EM315" s="687"/>
    </row>
    <row r="316" spans="1:143" ht="12.75" hidden="1" customHeight="1" outlineLevel="2" x14ac:dyDescent="0.2">
      <c r="A316" s="701" t="str">
        <f>INPUT!B343</f>
        <v>Pretax Earnings</v>
      </c>
      <c r="B316" s="151">
        <f>INPUT!AY343</f>
        <v>10.500000000000007</v>
      </c>
      <c r="C316" s="507" t="str">
        <f>INPUT!AZ343</f>
        <v>NM</v>
      </c>
      <c r="D316" s="151">
        <f>INPUT!BA343</f>
        <v>23.399999999999991</v>
      </c>
      <c r="E316" s="687" t="str">
        <f>INPUT!BB343</f>
        <v>NM</v>
      </c>
      <c r="F316" s="151">
        <f>INPUT!BC343</f>
        <v>17.100000000000009</v>
      </c>
      <c r="G316" s="687" t="str">
        <f>INPUT!BD343</f>
        <v>NM</v>
      </c>
      <c r="H316" s="151">
        <f>INPUT!BE343</f>
        <v>18.299999999999983</v>
      </c>
      <c r="I316" s="687">
        <f>INPUT!BF343</f>
        <v>34.558823529411683</v>
      </c>
      <c r="J316" s="151">
        <f>INPUT!BG343</f>
        <v>18.099999999999994</v>
      </c>
      <c r="K316" s="687">
        <f>INPUT!BH343</f>
        <v>72.380952380952209</v>
      </c>
      <c r="L316" s="151">
        <f>INPUT!BI343</f>
        <v>16.499999999999986</v>
      </c>
      <c r="M316" s="687"/>
      <c r="N316" s="151"/>
      <c r="O316" s="687"/>
      <c r="P316" s="151"/>
      <c r="Q316" s="687"/>
      <c r="R316" s="151"/>
      <c r="S316" s="687"/>
      <c r="T316" s="151"/>
      <c r="U316" s="687"/>
      <c r="V316" s="151"/>
      <c r="W316" s="687"/>
      <c r="X316" s="151"/>
      <c r="Y316" s="687"/>
      <c r="Z316" s="151"/>
      <c r="AA316" s="687"/>
      <c r="AB316" s="151"/>
      <c r="AC316" s="687"/>
      <c r="AD316" s="151"/>
      <c r="AE316" s="687"/>
      <c r="AF316" s="151"/>
      <c r="AG316" s="687"/>
      <c r="AH316" s="151"/>
      <c r="AI316" s="507"/>
      <c r="AJ316" s="151"/>
      <c r="AK316" s="507"/>
      <c r="AL316" s="151"/>
      <c r="AM316" s="507"/>
      <c r="AN316" s="151"/>
      <c r="AO316" s="507"/>
      <c r="AP316" s="151"/>
      <c r="AQ316" s="507"/>
      <c r="AR316" s="151"/>
      <c r="AS316" s="507"/>
      <c r="AT316" s="151"/>
      <c r="AU316" s="507"/>
      <c r="AV316" s="151"/>
      <c r="AW316" s="507"/>
      <c r="AX316" s="151"/>
      <c r="AY316" s="507"/>
      <c r="AZ316" s="151"/>
      <c r="BA316" s="507"/>
      <c r="BB316" s="151"/>
      <c r="BC316" s="507"/>
      <c r="BD316" s="151"/>
      <c r="BE316" s="507"/>
      <c r="BF316" s="151"/>
      <c r="BG316" s="507"/>
      <c r="BH316" s="151"/>
      <c r="BI316" s="507"/>
      <c r="BJ316" s="151"/>
      <c r="BK316" s="507"/>
      <c r="BL316" s="151"/>
      <c r="BM316" s="507"/>
      <c r="BN316" s="151"/>
      <c r="BO316" s="507"/>
      <c r="BP316" s="151"/>
      <c r="BQ316" s="507"/>
      <c r="BR316" s="151"/>
      <c r="BS316" s="507"/>
      <c r="BT316" s="151"/>
      <c r="BU316" s="507"/>
      <c r="BV316" s="151"/>
      <c r="BW316" s="507"/>
      <c r="BX316" s="151"/>
      <c r="BY316" s="507"/>
      <c r="BZ316" s="151"/>
      <c r="CA316" s="507"/>
      <c r="CB316" s="151"/>
      <c r="CC316" s="507"/>
      <c r="CD316" s="151"/>
      <c r="CE316" s="507"/>
      <c r="CF316" s="151"/>
      <c r="CG316" s="507"/>
      <c r="CH316" s="151"/>
      <c r="CI316" s="507"/>
      <c r="CJ316" s="151"/>
      <c r="CK316" s="507"/>
      <c r="CL316" s="151"/>
      <c r="CM316" s="507"/>
      <c r="CN316" s="151"/>
      <c r="CO316" s="507"/>
      <c r="CP316" s="151"/>
      <c r="CQ316" s="507"/>
      <c r="CR316" s="151"/>
      <c r="CS316" s="507"/>
      <c r="CT316" s="151"/>
      <c r="CU316" s="507"/>
      <c r="CV316" s="151"/>
      <c r="CW316" s="507"/>
      <c r="CX316" s="151"/>
      <c r="CY316" s="507"/>
      <c r="CZ316" s="151"/>
      <c r="DA316" s="507"/>
      <c r="DB316" s="507"/>
      <c r="DC316" s="151">
        <f>INPUT!FP343</f>
        <v>25.600000000000023</v>
      </c>
      <c r="DD316" s="687" t="str">
        <f>INPUT!FQ343</f>
        <v>NA</v>
      </c>
      <c r="DE316" s="151">
        <f>INPUT!FR343</f>
        <v>69.299999999999955</v>
      </c>
      <c r="DF316" s="687" t="str">
        <f>INPUT!FS343</f>
        <v>NM</v>
      </c>
      <c r="DG316" s="151">
        <f>INPUT!FT343</f>
        <v>34.599999999999966</v>
      </c>
      <c r="DH316" s="687"/>
      <c r="DI316" s="151"/>
      <c r="DJ316" s="687"/>
      <c r="DK316" s="151"/>
      <c r="DL316" s="507"/>
      <c r="DM316" s="151"/>
      <c r="DN316" s="507"/>
      <c r="DO316" s="151"/>
      <c r="DP316" s="507"/>
      <c r="DQ316" s="151"/>
      <c r="DR316" s="507"/>
      <c r="DS316" s="151"/>
      <c r="DT316" s="507"/>
      <c r="DU316" s="151"/>
      <c r="DV316" s="507"/>
      <c r="DW316" s="151"/>
      <c r="DX316" s="507"/>
      <c r="DY316" s="151"/>
      <c r="DZ316" s="507"/>
      <c r="EA316" s="151"/>
      <c r="EB316" s="507"/>
      <c r="EC316" s="151"/>
      <c r="ED316" s="507"/>
      <c r="EE316" s="151"/>
      <c r="EF316" s="507"/>
      <c r="EG316" s="151"/>
      <c r="EH316" s="507"/>
      <c r="EI316" s="151"/>
      <c r="EJ316" s="507"/>
      <c r="EK316" s="151"/>
      <c r="EL316" s="507"/>
      <c r="EM316" s="687"/>
    </row>
    <row r="317" spans="1:143" ht="12.75" hidden="1" customHeight="1" outlineLevel="2" x14ac:dyDescent="0.2">
      <c r="A317" s="701" t="str">
        <f>INPUT!B344</f>
        <v>Taxes</v>
      </c>
      <c r="B317" s="151">
        <f>INPUT!AY344</f>
        <v>3</v>
      </c>
      <c r="C317" s="507" t="str">
        <f>INPUT!AZ344</f>
        <v>NM</v>
      </c>
      <c r="D317" s="151">
        <f>INPUT!BA344</f>
        <v>7.3</v>
      </c>
      <c r="E317" s="687" t="str">
        <f>INPUT!BB344</f>
        <v>NM</v>
      </c>
      <c r="F317" s="151">
        <f>INPUT!BC344</f>
        <v>4.3</v>
      </c>
      <c r="G317" s="687" t="str">
        <f>INPUT!BD344</f>
        <v>NM</v>
      </c>
      <c r="H317" s="151">
        <f>INPUT!BE344</f>
        <v>5.6</v>
      </c>
      <c r="I317" s="687">
        <f>INPUT!BF344</f>
        <v>36.585365853658544</v>
      </c>
      <c r="J317" s="151">
        <f>INPUT!BG344</f>
        <v>6.6</v>
      </c>
      <c r="K317" s="687" t="str">
        <f>INPUT!BH344</f>
        <v>NM</v>
      </c>
      <c r="L317" s="151">
        <f>INPUT!BI344</f>
        <v>6</v>
      </c>
      <c r="M317" s="687"/>
      <c r="N317" s="151"/>
      <c r="O317" s="687"/>
      <c r="P317" s="151"/>
      <c r="Q317" s="687"/>
      <c r="R317" s="151"/>
      <c r="S317" s="687"/>
      <c r="T317" s="151"/>
      <c r="U317" s="687"/>
      <c r="V317" s="151"/>
      <c r="W317" s="687"/>
      <c r="X317" s="151"/>
      <c r="Y317" s="687"/>
      <c r="Z317" s="151"/>
      <c r="AA317" s="687"/>
      <c r="AB317" s="151"/>
      <c r="AC317" s="687"/>
      <c r="AD317" s="151"/>
      <c r="AE317" s="687"/>
      <c r="AF317" s="151"/>
      <c r="AG317" s="687"/>
      <c r="AH317" s="151"/>
      <c r="AI317" s="507"/>
      <c r="AJ317" s="151"/>
      <c r="AK317" s="507"/>
      <c r="AL317" s="151"/>
      <c r="AM317" s="507"/>
      <c r="AN317" s="151"/>
      <c r="AO317" s="507"/>
      <c r="AP317" s="151"/>
      <c r="AQ317" s="507"/>
      <c r="AR317" s="151"/>
      <c r="AS317" s="507"/>
      <c r="AT317" s="151"/>
      <c r="AU317" s="507"/>
      <c r="AV317" s="151"/>
      <c r="AW317" s="507"/>
      <c r="AX317" s="151"/>
      <c r="AY317" s="507"/>
      <c r="AZ317" s="151"/>
      <c r="BA317" s="507"/>
      <c r="BB317" s="151"/>
      <c r="BC317" s="507"/>
      <c r="BD317" s="151"/>
      <c r="BE317" s="507"/>
      <c r="BF317" s="151"/>
      <c r="BG317" s="507"/>
      <c r="BH317" s="151"/>
      <c r="BI317" s="507"/>
      <c r="BJ317" s="151"/>
      <c r="BK317" s="507"/>
      <c r="BL317" s="151"/>
      <c r="BM317" s="507"/>
      <c r="BN317" s="151"/>
      <c r="BO317" s="507"/>
      <c r="BP317" s="151"/>
      <c r="BQ317" s="507"/>
      <c r="BR317" s="151"/>
      <c r="BS317" s="507"/>
      <c r="BT317" s="151"/>
      <c r="BU317" s="507"/>
      <c r="BV317" s="151"/>
      <c r="BW317" s="507"/>
      <c r="BX317" s="151"/>
      <c r="BY317" s="507"/>
      <c r="BZ317" s="151"/>
      <c r="CA317" s="507"/>
      <c r="CB317" s="151"/>
      <c r="CC317" s="507"/>
      <c r="CD317" s="151"/>
      <c r="CE317" s="507"/>
      <c r="CF317" s="151"/>
      <c r="CG317" s="507"/>
      <c r="CH317" s="151"/>
      <c r="CI317" s="507"/>
      <c r="CJ317" s="151"/>
      <c r="CK317" s="507"/>
      <c r="CL317" s="151"/>
      <c r="CM317" s="507"/>
      <c r="CN317" s="151"/>
      <c r="CO317" s="507"/>
      <c r="CP317" s="151"/>
      <c r="CQ317" s="507"/>
      <c r="CR317" s="151"/>
      <c r="CS317" s="507"/>
      <c r="CT317" s="151"/>
      <c r="CU317" s="507"/>
      <c r="CV317" s="151"/>
      <c r="CW317" s="507"/>
      <c r="CX317" s="151"/>
      <c r="CY317" s="507"/>
      <c r="CZ317" s="151"/>
      <c r="DA317" s="507"/>
      <c r="DB317" s="507"/>
      <c r="DC317" s="151">
        <f>INPUT!FP344</f>
        <v>6</v>
      </c>
      <c r="DD317" s="687" t="str">
        <f>INPUT!FQ344</f>
        <v>NA</v>
      </c>
      <c r="DE317" s="151">
        <f>INPUT!FR344</f>
        <v>20.200000000000003</v>
      </c>
      <c r="DF317" s="687" t="str">
        <f>INPUT!FS344</f>
        <v>NM</v>
      </c>
      <c r="DG317" s="151">
        <f>INPUT!FT344</f>
        <v>12.6</v>
      </c>
      <c r="DH317" s="687"/>
      <c r="DI317" s="151"/>
      <c r="DJ317" s="687"/>
      <c r="DK317" s="151"/>
      <c r="DL317" s="507"/>
      <c r="DM317" s="151"/>
      <c r="DN317" s="507"/>
      <c r="DO317" s="151"/>
      <c r="DP317" s="507"/>
      <c r="DQ317" s="151"/>
      <c r="DR317" s="507"/>
      <c r="DS317" s="151"/>
      <c r="DT317" s="507"/>
      <c r="DU317" s="151"/>
      <c r="DV317" s="507"/>
      <c r="DW317" s="151"/>
      <c r="DX317" s="507"/>
      <c r="DY317" s="151"/>
      <c r="DZ317" s="507"/>
      <c r="EA317" s="151"/>
      <c r="EB317" s="507"/>
      <c r="EC317" s="151"/>
      <c r="ED317" s="507"/>
      <c r="EE317" s="151"/>
      <c r="EF317" s="507"/>
      <c r="EG317" s="151"/>
      <c r="EH317" s="507"/>
      <c r="EI317" s="151"/>
      <c r="EJ317" s="507"/>
      <c r="EK317" s="151"/>
      <c r="EL317" s="507"/>
      <c r="EM317" s="687"/>
    </row>
    <row r="318" spans="1:143" ht="12.75" hidden="1" customHeight="1" outlineLevel="2" x14ac:dyDescent="0.2">
      <c r="A318" s="701" t="str">
        <f>INPUT!B345</f>
        <v>Tax Rate (%)</v>
      </c>
      <c r="B318" s="156">
        <f>INPUT!AY345</f>
        <v>28.571428571428552</v>
      </c>
      <c r="C318" s="507">
        <f>INPUT!AZ345</f>
        <v>63.26530612244887</v>
      </c>
      <c r="D318" s="156">
        <f>INPUT!BA345</f>
        <v>31.196581196581207</v>
      </c>
      <c r="E318" s="687">
        <f>INPUT!BB345</f>
        <v>68.461538461538709</v>
      </c>
      <c r="F318" s="156">
        <f>INPUT!BC345</f>
        <v>25.146198830409343</v>
      </c>
      <c r="G318" s="687" t="str">
        <f>INPUT!BD345</f>
        <v>NM</v>
      </c>
      <c r="H318" s="156">
        <f>INPUT!BE345</f>
        <v>30.60109289617489</v>
      </c>
      <c r="I318" s="687">
        <f>INPUT!BF345</f>
        <v>1.5060642409703284</v>
      </c>
      <c r="J318" s="156">
        <f>INPUT!BG345</f>
        <v>36.464088397790064</v>
      </c>
      <c r="K318" s="687">
        <f>INPUT!BH345</f>
        <v>27.624309392265324</v>
      </c>
      <c r="L318" s="156">
        <f>INPUT!BI345</f>
        <v>36.363636363636395</v>
      </c>
      <c r="M318" s="687"/>
      <c r="N318" s="156"/>
      <c r="O318" s="687"/>
      <c r="P318" s="156"/>
      <c r="Q318" s="687"/>
      <c r="R318" s="156"/>
      <c r="S318" s="687"/>
      <c r="T318" s="156"/>
      <c r="U318" s="687"/>
      <c r="V318" s="156"/>
      <c r="W318" s="687"/>
      <c r="X318" s="156"/>
      <c r="Y318" s="687"/>
      <c r="Z318" s="156"/>
      <c r="AA318" s="687"/>
      <c r="AB318" s="156"/>
      <c r="AC318" s="687"/>
      <c r="AD318" s="156"/>
      <c r="AE318" s="687"/>
      <c r="AF318" s="156"/>
      <c r="AG318" s="687"/>
      <c r="AH318" s="156"/>
      <c r="AI318" s="507"/>
      <c r="AJ318" s="156"/>
      <c r="AK318" s="507"/>
      <c r="AL318" s="156"/>
      <c r="AM318" s="507"/>
      <c r="AN318" s="156"/>
      <c r="AO318" s="507"/>
      <c r="AP318" s="156"/>
      <c r="AQ318" s="507"/>
      <c r="AR318" s="156"/>
      <c r="AS318" s="507"/>
      <c r="AT318" s="156"/>
      <c r="AU318" s="507"/>
      <c r="AV318" s="156"/>
      <c r="AW318" s="507"/>
      <c r="AX318" s="156"/>
      <c r="AY318" s="507"/>
      <c r="AZ318" s="156"/>
      <c r="BA318" s="507"/>
      <c r="BB318" s="156"/>
      <c r="BC318" s="507"/>
      <c r="BD318" s="156"/>
      <c r="BE318" s="507"/>
      <c r="BF318" s="156"/>
      <c r="BG318" s="507"/>
      <c r="BH318" s="156"/>
      <c r="BI318" s="507"/>
      <c r="BJ318" s="156"/>
      <c r="BK318" s="507"/>
      <c r="BL318" s="156"/>
      <c r="BM318" s="507"/>
      <c r="BN318" s="156"/>
      <c r="BO318" s="507"/>
      <c r="BP318" s="156"/>
      <c r="BQ318" s="507"/>
      <c r="BR318" s="156"/>
      <c r="BS318" s="507"/>
      <c r="BT318" s="156"/>
      <c r="BU318" s="507"/>
      <c r="BV318" s="156"/>
      <c r="BW318" s="507"/>
      <c r="BX318" s="156"/>
      <c r="BY318" s="507"/>
      <c r="BZ318" s="156"/>
      <c r="CA318" s="507"/>
      <c r="CB318" s="156"/>
      <c r="CC318" s="507"/>
      <c r="CD318" s="156"/>
      <c r="CE318" s="507"/>
      <c r="CF318" s="156"/>
      <c r="CG318" s="507"/>
      <c r="CH318" s="156"/>
      <c r="CI318" s="507"/>
      <c r="CJ318" s="156"/>
      <c r="CK318" s="507"/>
      <c r="CL318" s="156"/>
      <c r="CM318" s="507"/>
      <c r="CN318" s="156"/>
      <c r="CO318" s="507"/>
      <c r="CP318" s="156"/>
      <c r="CQ318" s="507"/>
      <c r="CR318" s="156"/>
      <c r="CS318" s="507"/>
      <c r="CT318" s="156"/>
      <c r="CU318" s="507"/>
      <c r="CV318" s="156"/>
      <c r="CW318" s="507"/>
      <c r="CX318" s="156"/>
      <c r="CY318" s="507"/>
      <c r="CZ318" s="156"/>
      <c r="DA318" s="507"/>
      <c r="DB318" s="507"/>
      <c r="DC318" s="156">
        <f>INPUT!FP345</f>
        <v>23.437499999999979</v>
      </c>
      <c r="DD318" s="687" t="str">
        <f>INPUT!FQ345</f>
        <v>NA</v>
      </c>
      <c r="DE318" s="156">
        <f>INPUT!FR345</f>
        <v>29.148629148629173</v>
      </c>
      <c r="DF318" s="687">
        <f>INPUT!FS345</f>
        <v>24.367484367484593</v>
      </c>
      <c r="DG318" s="156">
        <f>INPUT!FT345</f>
        <v>36.416184971098303</v>
      </c>
      <c r="DH318" s="687"/>
      <c r="DI318" s="156"/>
      <c r="DJ318" s="687"/>
      <c r="DK318" s="156"/>
      <c r="DL318" s="507"/>
      <c r="DM318" s="156"/>
      <c r="DN318" s="507"/>
      <c r="DO318" s="156"/>
      <c r="DP318" s="507"/>
      <c r="DQ318" s="156"/>
      <c r="DR318" s="507"/>
      <c r="DS318" s="156"/>
      <c r="DT318" s="507"/>
      <c r="DU318" s="156"/>
      <c r="DV318" s="507"/>
      <c r="DW318" s="156"/>
      <c r="DX318" s="507"/>
      <c r="DY318" s="156"/>
      <c r="DZ318" s="507"/>
      <c r="EA318" s="156"/>
      <c r="EB318" s="507"/>
      <c r="EC318" s="156"/>
      <c r="ED318" s="507"/>
      <c r="EE318" s="156"/>
      <c r="EF318" s="507"/>
      <c r="EG318" s="156"/>
      <c r="EH318" s="507"/>
      <c r="EI318" s="156"/>
      <c r="EJ318" s="507"/>
      <c r="EK318" s="156"/>
      <c r="EL318" s="507"/>
      <c r="EM318" s="687"/>
    </row>
    <row r="319" spans="1:143" ht="12.75" hidden="1" customHeight="1" outlineLevel="2" x14ac:dyDescent="0.2">
      <c r="A319" s="707" t="str">
        <f>INPUT!B346</f>
        <v>Operating Earnings</v>
      </c>
      <c r="B319" s="708">
        <f>INPUT!AY346</f>
        <v>7.5000000000000071</v>
      </c>
      <c r="C319" s="757" t="str">
        <f>INPUT!AZ346</f>
        <v>NM</v>
      </c>
      <c r="D319" s="708">
        <f>INPUT!BA346</f>
        <v>16.099999999999991</v>
      </c>
      <c r="E319" s="709" t="str">
        <f>INPUT!BB346</f>
        <v>NM</v>
      </c>
      <c r="F319" s="708">
        <f>INPUT!BC346</f>
        <v>12.800000000000008</v>
      </c>
      <c r="G319" s="709" t="str">
        <f>INPUT!BD346</f>
        <v>NM</v>
      </c>
      <c r="H319" s="708">
        <f>INPUT!BE346</f>
        <v>12.699999999999983</v>
      </c>
      <c r="I319" s="709">
        <f>INPUT!BF346</f>
        <v>33.684210526315695</v>
      </c>
      <c r="J319" s="708">
        <f>INPUT!BG346</f>
        <v>11.499999999999995</v>
      </c>
      <c r="K319" s="709">
        <f>INPUT!BH346</f>
        <v>53.333333333333123</v>
      </c>
      <c r="L319" s="708">
        <f>INPUT!BI346</f>
        <v>10.499999999999986</v>
      </c>
      <c r="M319" s="709"/>
      <c r="N319" s="708"/>
      <c r="O319" s="709"/>
      <c r="P319" s="708"/>
      <c r="Q319" s="709"/>
      <c r="R319" s="708"/>
      <c r="S319" s="709"/>
      <c r="T319" s="708"/>
      <c r="U319" s="709"/>
      <c r="V319" s="708"/>
      <c r="W319" s="709"/>
      <c r="X319" s="708"/>
      <c r="Y319" s="709"/>
      <c r="Z319" s="708"/>
      <c r="AA319" s="687"/>
      <c r="AB319" s="708"/>
      <c r="AC319" s="709"/>
      <c r="AD319" s="708"/>
      <c r="AE319" s="709"/>
      <c r="AF319" s="708"/>
      <c r="AG319" s="709"/>
      <c r="AH319" s="708"/>
      <c r="AI319" s="759"/>
      <c r="AJ319" s="708"/>
      <c r="AK319" s="759"/>
      <c r="AL319" s="708"/>
      <c r="AM319" s="759"/>
      <c r="AN319" s="708"/>
      <c r="AO319" s="759"/>
      <c r="AP319" s="708"/>
      <c r="AQ319" s="759"/>
      <c r="AR319" s="708"/>
      <c r="AS319" s="759"/>
      <c r="AT319" s="708"/>
      <c r="AU319" s="759"/>
      <c r="AV319" s="708"/>
      <c r="AW319" s="759"/>
      <c r="AX319" s="708"/>
      <c r="AY319" s="759"/>
      <c r="AZ319" s="708"/>
      <c r="BA319" s="759"/>
      <c r="BB319" s="708"/>
      <c r="BC319" s="759"/>
      <c r="BD319" s="708"/>
      <c r="BE319" s="759"/>
      <c r="BF319" s="708"/>
      <c r="BG319" s="759"/>
      <c r="BH319" s="708"/>
      <c r="BI319" s="759"/>
      <c r="BJ319" s="708"/>
      <c r="BK319" s="759"/>
      <c r="BL319" s="708"/>
      <c r="BM319" s="759"/>
      <c r="BN319" s="708"/>
      <c r="BO319" s="759"/>
      <c r="BP319" s="708"/>
      <c r="BQ319" s="759"/>
      <c r="BR319" s="708"/>
      <c r="BS319" s="759"/>
      <c r="BT319" s="708"/>
      <c r="BU319" s="759"/>
      <c r="BV319" s="708"/>
      <c r="BW319" s="759"/>
      <c r="BX319" s="708"/>
      <c r="BY319" s="759"/>
      <c r="BZ319" s="708"/>
      <c r="CA319" s="759"/>
      <c r="CB319" s="708"/>
      <c r="CC319" s="759"/>
      <c r="CD319" s="708"/>
      <c r="CE319" s="759"/>
      <c r="CF319" s="708"/>
      <c r="CG319" s="759"/>
      <c r="CH319" s="708"/>
      <c r="CI319" s="759"/>
      <c r="CJ319" s="708"/>
      <c r="CK319" s="759"/>
      <c r="CL319" s="708"/>
      <c r="CM319" s="759"/>
      <c r="CN319" s="708"/>
      <c r="CO319" s="759"/>
      <c r="CP319" s="708"/>
      <c r="CQ319" s="759"/>
      <c r="CR319" s="708"/>
      <c r="CS319" s="759"/>
      <c r="CT319" s="708"/>
      <c r="CU319" s="759"/>
      <c r="CV319" s="708"/>
      <c r="CW319" s="759"/>
      <c r="CX319" s="708"/>
      <c r="CY319" s="759"/>
      <c r="CZ319" s="708"/>
      <c r="DA319" s="759"/>
      <c r="DB319" s="760"/>
      <c r="DC319" s="708">
        <f>INPUT!FP346</f>
        <v>19.600000000000023</v>
      </c>
      <c r="DD319" s="709" t="str">
        <f>INPUT!FQ346</f>
        <v>NA</v>
      </c>
      <c r="DE319" s="708">
        <f>INPUT!FR346</f>
        <v>49.099999999999952</v>
      </c>
      <c r="DF319" s="709" t="str">
        <f>INPUT!FS346</f>
        <v>NM</v>
      </c>
      <c r="DG319" s="708">
        <f>INPUT!FT346</f>
        <v>21.999999999999964</v>
      </c>
      <c r="DH319" s="709"/>
      <c r="DI319" s="708"/>
      <c r="DJ319" s="709"/>
      <c r="DK319" s="708"/>
      <c r="DL319" s="759"/>
      <c r="DM319" s="708"/>
      <c r="DN319" s="759"/>
      <c r="DO319" s="708"/>
      <c r="DP319" s="759"/>
      <c r="DQ319" s="708"/>
      <c r="DR319" s="759"/>
      <c r="DS319" s="708"/>
      <c r="DT319" s="759"/>
      <c r="DU319" s="708"/>
      <c r="DV319" s="759"/>
      <c r="DW319" s="708"/>
      <c r="DX319" s="759"/>
      <c r="DY319" s="708"/>
      <c r="DZ319" s="759"/>
      <c r="EA319" s="708"/>
      <c r="EB319" s="759"/>
      <c r="EC319" s="708"/>
      <c r="ED319" s="759"/>
      <c r="EE319" s="708"/>
      <c r="EF319" s="759"/>
      <c r="EG319" s="708"/>
      <c r="EH319" s="759"/>
      <c r="EI319" s="708"/>
      <c r="EJ319" s="759"/>
      <c r="EK319" s="708"/>
      <c r="EL319" s="759"/>
      <c r="EM319" s="709"/>
    </row>
    <row r="320" spans="1:143" ht="12.75" hidden="1" customHeight="1" outlineLevel="2" x14ac:dyDescent="0.2">
      <c r="A320" s="701"/>
      <c r="B320" s="16"/>
      <c r="C320" s="507"/>
      <c r="D320" s="16"/>
      <c r="E320" s="687"/>
      <c r="F320" s="16"/>
      <c r="G320" s="687"/>
      <c r="H320" s="16"/>
      <c r="I320" s="687"/>
      <c r="J320" s="16"/>
      <c r="K320" s="687"/>
      <c r="L320" s="16"/>
      <c r="M320" s="687"/>
      <c r="N320" s="16"/>
      <c r="O320" s="687"/>
      <c r="P320" s="16"/>
      <c r="Q320" s="687"/>
      <c r="R320" s="16"/>
      <c r="S320" s="687"/>
      <c r="T320" s="16"/>
      <c r="U320" s="687"/>
      <c r="V320" s="16"/>
      <c r="W320" s="687"/>
      <c r="X320" s="16"/>
      <c r="Y320" s="687"/>
      <c r="Z320" s="16"/>
      <c r="AA320" s="687"/>
      <c r="AB320" s="16"/>
      <c r="AC320" s="687"/>
      <c r="AD320" s="16"/>
      <c r="AE320" s="687"/>
      <c r="AF320" s="16"/>
      <c r="AG320" s="687"/>
      <c r="AH320" s="16"/>
      <c r="AI320" s="507"/>
      <c r="AJ320" s="16"/>
      <c r="AK320" s="507"/>
      <c r="AL320" s="16"/>
      <c r="AM320" s="507"/>
      <c r="AN320" s="16"/>
      <c r="AO320" s="507"/>
      <c r="AP320" s="16"/>
      <c r="AQ320" s="507"/>
      <c r="AR320" s="16"/>
      <c r="AS320" s="507"/>
      <c r="AT320" s="16"/>
      <c r="AU320" s="507"/>
      <c r="AV320" s="16"/>
      <c r="AW320" s="507"/>
      <c r="AX320" s="16"/>
      <c r="AY320" s="507"/>
      <c r="AZ320" s="16"/>
      <c r="BA320" s="507"/>
      <c r="BB320" s="16"/>
      <c r="BC320" s="507"/>
      <c r="BD320" s="16"/>
      <c r="BE320" s="507"/>
      <c r="BF320" s="16"/>
      <c r="BG320" s="507"/>
      <c r="BH320" s="16"/>
      <c r="BI320" s="507"/>
      <c r="BJ320" s="16"/>
      <c r="BK320" s="507"/>
      <c r="BL320" s="16"/>
      <c r="BM320" s="507"/>
      <c r="BN320" s="16"/>
      <c r="BO320" s="507"/>
      <c r="BP320" s="16"/>
      <c r="BQ320" s="507"/>
      <c r="BR320" s="16"/>
      <c r="BS320" s="507"/>
      <c r="BT320" s="16"/>
      <c r="BU320" s="507"/>
      <c r="BV320" s="16"/>
      <c r="BW320" s="507"/>
      <c r="BX320" s="16"/>
      <c r="BY320" s="507"/>
      <c r="BZ320" s="16"/>
      <c r="CA320" s="507"/>
      <c r="CB320" s="16"/>
      <c r="CC320" s="507"/>
      <c r="CD320" s="16"/>
      <c r="CE320" s="507"/>
      <c r="CF320" s="16"/>
      <c r="CG320" s="507"/>
      <c r="CH320" s="16"/>
      <c r="CI320" s="507"/>
      <c r="CJ320" s="16"/>
      <c r="CK320" s="507"/>
      <c r="CL320" s="16"/>
      <c r="CM320" s="507"/>
      <c r="CN320" s="16"/>
      <c r="CO320" s="507"/>
      <c r="CP320" s="16"/>
      <c r="CQ320" s="507"/>
      <c r="CR320" s="16"/>
      <c r="CS320" s="507"/>
      <c r="CT320" s="16"/>
      <c r="CU320" s="507"/>
      <c r="CV320" s="16"/>
      <c r="CW320" s="507"/>
      <c r="CX320" s="16"/>
      <c r="CY320" s="507"/>
      <c r="CZ320" s="16"/>
      <c r="DA320" s="507"/>
      <c r="DB320" s="507"/>
      <c r="DC320" s="16"/>
      <c r="DD320" s="687"/>
      <c r="DE320" s="16"/>
      <c r="DF320" s="687"/>
      <c r="DG320" s="16"/>
      <c r="DH320" s="687"/>
      <c r="DI320" s="16"/>
      <c r="DJ320" s="687"/>
      <c r="DK320" s="16"/>
      <c r="DL320" s="507"/>
      <c r="DM320" s="16"/>
      <c r="DN320" s="507"/>
      <c r="DO320" s="16"/>
      <c r="DP320" s="507"/>
      <c r="DQ320" s="16"/>
      <c r="DR320" s="507"/>
      <c r="DS320" s="16"/>
      <c r="DT320" s="507"/>
      <c r="DU320" s="16"/>
      <c r="DV320" s="507"/>
      <c r="DW320" s="16"/>
      <c r="DX320" s="507"/>
      <c r="DY320" s="16"/>
      <c r="DZ320" s="507"/>
      <c r="EA320" s="16"/>
      <c r="EB320" s="507"/>
      <c r="EC320" s="16"/>
      <c r="ED320" s="507"/>
      <c r="EE320" s="16"/>
      <c r="EF320" s="507"/>
      <c r="EG320" s="16"/>
      <c r="EH320" s="507"/>
      <c r="EI320" s="16"/>
      <c r="EJ320" s="507"/>
      <c r="EK320" s="16"/>
      <c r="EL320" s="507"/>
      <c r="EM320" s="687"/>
    </row>
    <row r="321" spans="1:143" ht="12.75" hidden="1" customHeight="1" outlineLevel="2" x14ac:dyDescent="0.2">
      <c r="A321" s="715" t="s">
        <v>303</v>
      </c>
      <c r="B321" s="16"/>
      <c r="C321" s="507"/>
      <c r="D321" s="16"/>
      <c r="E321" s="687"/>
      <c r="F321" s="16"/>
      <c r="G321" s="687"/>
      <c r="H321" s="16"/>
      <c r="I321" s="687"/>
      <c r="J321" s="16"/>
      <c r="K321" s="687"/>
      <c r="L321" s="16"/>
      <c r="M321" s="687"/>
      <c r="N321" s="16"/>
      <c r="O321" s="687"/>
      <c r="P321" s="16"/>
      <c r="Q321" s="687"/>
      <c r="R321" s="16"/>
      <c r="S321" s="687"/>
      <c r="T321" s="16"/>
      <c r="U321" s="687"/>
      <c r="V321" s="16"/>
      <c r="W321" s="687"/>
      <c r="X321" s="16"/>
      <c r="Y321" s="687"/>
      <c r="Z321" s="16"/>
      <c r="AA321" s="687"/>
      <c r="AB321" s="16"/>
      <c r="AC321" s="687"/>
      <c r="AD321" s="16"/>
      <c r="AE321" s="687"/>
      <c r="AF321" s="16"/>
      <c r="AG321" s="687"/>
      <c r="AH321" s="16"/>
      <c r="AI321" s="507"/>
      <c r="AJ321" s="16"/>
      <c r="AK321" s="507"/>
      <c r="AL321" s="16"/>
      <c r="AM321" s="507"/>
      <c r="AN321" s="16"/>
      <c r="AO321" s="507"/>
      <c r="AP321" s="16"/>
      <c r="AQ321" s="507"/>
      <c r="AR321" s="16"/>
      <c r="AS321" s="507"/>
      <c r="AT321" s="16"/>
      <c r="AU321" s="507"/>
      <c r="AV321" s="16"/>
      <c r="AW321" s="507"/>
      <c r="AX321" s="16"/>
      <c r="AY321" s="507"/>
      <c r="AZ321" s="16"/>
      <c r="BA321" s="507"/>
      <c r="BB321" s="16"/>
      <c r="BC321" s="507"/>
      <c r="BD321" s="16"/>
      <c r="BE321" s="507"/>
      <c r="BF321" s="16"/>
      <c r="BG321" s="507"/>
      <c r="BH321" s="16"/>
      <c r="BI321" s="507"/>
      <c r="BJ321" s="16"/>
      <c r="BK321" s="507"/>
      <c r="BL321" s="16"/>
      <c r="BM321" s="507"/>
      <c r="BN321" s="16"/>
      <c r="BO321" s="507"/>
      <c r="BP321" s="16"/>
      <c r="BQ321" s="507"/>
      <c r="BR321" s="16"/>
      <c r="BS321" s="507"/>
      <c r="BT321" s="16"/>
      <c r="BU321" s="507"/>
      <c r="BV321" s="16"/>
      <c r="BW321" s="507"/>
      <c r="BX321" s="16"/>
      <c r="BY321" s="507"/>
      <c r="BZ321" s="16"/>
      <c r="CA321" s="507"/>
      <c r="CB321" s="16"/>
      <c r="CC321" s="507"/>
      <c r="CD321" s="16"/>
      <c r="CE321" s="507"/>
      <c r="CF321" s="16"/>
      <c r="CG321" s="507"/>
      <c r="CH321" s="16"/>
      <c r="CI321" s="507"/>
      <c r="CJ321" s="16"/>
      <c r="CK321" s="507"/>
      <c r="CL321" s="16"/>
      <c r="CM321" s="507"/>
      <c r="CN321" s="16"/>
      <c r="CO321" s="507"/>
      <c r="CP321" s="16"/>
      <c r="CQ321" s="507"/>
      <c r="CR321" s="16"/>
      <c r="CS321" s="507"/>
      <c r="CT321" s="16"/>
      <c r="CU321" s="507"/>
      <c r="CV321" s="16"/>
      <c r="CW321" s="507"/>
      <c r="CX321" s="16"/>
      <c r="CY321" s="507"/>
      <c r="CZ321" s="16"/>
      <c r="DA321" s="507"/>
      <c r="DB321" s="507"/>
      <c r="DC321" s="16"/>
      <c r="DD321" s="687"/>
      <c r="DE321" s="16"/>
      <c r="DF321" s="687"/>
      <c r="DG321" s="16"/>
      <c r="DH321" s="687"/>
      <c r="DI321" s="16"/>
      <c r="DJ321" s="687"/>
      <c r="DK321" s="16"/>
      <c r="DL321" s="507"/>
      <c r="DM321" s="16"/>
      <c r="DN321" s="507"/>
      <c r="DO321" s="16"/>
      <c r="DP321" s="507"/>
      <c r="DQ321" s="16"/>
      <c r="DR321" s="507"/>
      <c r="DS321" s="16"/>
      <c r="DT321" s="507"/>
      <c r="DU321" s="16"/>
      <c r="DV321" s="507"/>
      <c r="DW321" s="16"/>
      <c r="DX321" s="507"/>
      <c r="DY321" s="16"/>
      <c r="DZ321" s="507"/>
      <c r="EA321" s="16"/>
      <c r="EB321" s="507"/>
      <c r="EC321" s="16"/>
      <c r="ED321" s="507"/>
      <c r="EE321" s="16"/>
      <c r="EF321" s="507"/>
      <c r="EG321" s="16"/>
      <c r="EH321" s="507"/>
      <c r="EI321" s="16"/>
      <c r="EJ321" s="507"/>
      <c r="EK321" s="16"/>
      <c r="EL321" s="507"/>
      <c r="EM321" s="687"/>
    </row>
    <row r="322" spans="1:143" ht="12.75" hidden="1" customHeight="1" outlineLevel="2" x14ac:dyDescent="0.2">
      <c r="A322" s="522" t="s">
        <v>304</v>
      </c>
      <c r="B322" s="464">
        <f>INPUT!AY576</f>
        <v>3.0369290573372241</v>
      </c>
      <c r="C322" s="507">
        <f>INPUT!AZ576</f>
        <v>91.917351356127128</v>
      </c>
      <c r="D322" s="464">
        <f>INPUT!BA576</f>
        <v>5.4676356720776988</v>
      </c>
      <c r="E322" s="687" t="str">
        <f>INPUT!BB576</f>
        <v>NM</v>
      </c>
      <c r="F322" s="464">
        <f>INPUT!BC576</f>
        <v>3.9172481331864386</v>
      </c>
      <c r="G322" s="687" t="str">
        <f>INPUT!BD576</f>
        <v>NM</v>
      </c>
      <c r="H322" s="464">
        <f>INPUT!BE576</f>
        <v>3.7745943054152011</v>
      </c>
      <c r="I322" s="687">
        <f>INPUT!BF576</f>
        <v>2.0074177895549772</v>
      </c>
      <c r="J322" s="464">
        <f>INPUT!BG576</f>
        <v>3.5450061652281111</v>
      </c>
      <c r="K322" s="687">
        <f>INPUT!BH576</f>
        <v>16.729963008631099</v>
      </c>
      <c r="L322" s="464">
        <f>INPUT!BI576</f>
        <v>3.2337542346781594</v>
      </c>
      <c r="M322" s="687"/>
      <c r="N322" s="464"/>
      <c r="O322" s="687"/>
      <c r="P322" s="464"/>
      <c r="Q322" s="687"/>
      <c r="R322" s="464"/>
      <c r="S322" s="687"/>
      <c r="T322" s="464"/>
      <c r="U322" s="687"/>
      <c r="V322" s="464"/>
      <c r="W322" s="687"/>
      <c r="X322" s="464"/>
      <c r="Y322" s="687"/>
      <c r="Z322" s="464"/>
      <c r="AA322" s="687"/>
      <c r="AB322" s="464"/>
      <c r="AC322" s="687"/>
      <c r="AD322" s="464"/>
      <c r="AE322" s="687"/>
      <c r="AF322" s="464"/>
      <c r="AG322" s="687"/>
      <c r="AH322" s="464"/>
      <c r="AI322" s="507"/>
      <c r="AJ322" s="464"/>
      <c r="AK322" s="507"/>
      <c r="AL322" s="464"/>
      <c r="AM322" s="507"/>
      <c r="AN322" s="464"/>
      <c r="AO322" s="507"/>
      <c r="AP322" s="464"/>
      <c r="AQ322" s="507"/>
      <c r="AR322" s="464"/>
      <c r="AS322" s="507"/>
      <c r="AT322" s="464"/>
      <c r="AU322" s="507"/>
      <c r="AV322" s="464"/>
      <c r="AW322" s="507"/>
      <c r="AX322" s="464"/>
      <c r="AY322" s="507"/>
      <c r="AZ322" s="464"/>
      <c r="BA322" s="507"/>
      <c r="BB322" s="464"/>
      <c r="BC322" s="507"/>
      <c r="BD322" s="464"/>
      <c r="BE322" s="507"/>
      <c r="BF322" s="464"/>
      <c r="BG322" s="507"/>
      <c r="BH322" s="464"/>
      <c r="BI322" s="507"/>
      <c r="BJ322" s="464"/>
      <c r="BK322" s="507"/>
      <c r="BL322" s="464"/>
      <c r="BM322" s="507"/>
      <c r="BN322" s="464"/>
      <c r="BO322" s="507"/>
      <c r="BP322" s="464"/>
      <c r="BQ322" s="507"/>
      <c r="BR322" s="464"/>
      <c r="BS322" s="507"/>
      <c r="BT322" s="464"/>
      <c r="BU322" s="507"/>
      <c r="BV322" s="464"/>
      <c r="BW322" s="507"/>
      <c r="BX322" s="464"/>
      <c r="BY322" s="507"/>
      <c r="BZ322" s="464"/>
      <c r="CA322" s="507"/>
      <c r="CB322" s="464"/>
      <c r="CC322" s="507"/>
      <c r="CD322" s="464"/>
      <c r="CE322" s="507"/>
      <c r="CF322" s="464"/>
      <c r="CG322" s="507"/>
      <c r="CH322" s="464"/>
      <c r="CI322" s="507"/>
      <c r="CJ322" s="464"/>
      <c r="CK322" s="507"/>
      <c r="CL322" s="464"/>
      <c r="CM322" s="507"/>
      <c r="CN322" s="464"/>
      <c r="CO322" s="507"/>
      <c r="CP322" s="464"/>
      <c r="CQ322" s="507"/>
      <c r="CR322" s="464"/>
      <c r="CS322" s="507"/>
      <c r="CT322" s="464"/>
      <c r="CU322" s="507"/>
      <c r="CV322" s="464"/>
      <c r="CW322" s="507"/>
      <c r="CX322" s="464"/>
      <c r="CY322" s="507"/>
      <c r="CZ322" s="464"/>
      <c r="DA322" s="507"/>
      <c r="DB322" s="507"/>
      <c r="DC322" s="464">
        <f>INPUT!FP576</f>
        <v>2.241879223642973</v>
      </c>
      <c r="DD322" s="687" t="str">
        <f>INPUT!FQ576</f>
        <v>NA</v>
      </c>
      <c r="DE322" s="464">
        <f>INPUT!FR576</f>
        <v>4.0759064948864392</v>
      </c>
      <c r="DF322" s="687">
        <f>INPUT!FS576</f>
        <v>81.807585881599735</v>
      </c>
      <c r="DG322" s="464">
        <f>INPUT!FT576</f>
        <v>1.6406890894175536</v>
      </c>
      <c r="DH322" s="687"/>
      <c r="DI322" s="464"/>
      <c r="DJ322" s="687"/>
      <c r="DK322" s="464"/>
      <c r="DL322" s="507"/>
      <c r="DM322" s="464"/>
      <c r="DN322" s="507"/>
      <c r="DO322" s="464"/>
      <c r="DP322" s="507"/>
      <c r="DQ322" s="464"/>
      <c r="DR322" s="507"/>
      <c r="DS322" s="464"/>
      <c r="DT322" s="507"/>
      <c r="DU322" s="464"/>
      <c r="DV322" s="507"/>
      <c r="DW322" s="464"/>
      <c r="DX322" s="507"/>
      <c r="DY322" s="464"/>
      <c r="DZ322" s="507"/>
      <c r="EA322" s="464"/>
      <c r="EB322" s="507"/>
      <c r="EC322" s="464"/>
      <c r="ED322" s="507"/>
      <c r="EE322" s="464"/>
      <c r="EF322" s="507"/>
      <c r="EG322" s="464"/>
      <c r="EH322" s="507"/>
      <c r="EI322" s="464"/>
      <c r="EJ322" s="507"/>
      <c r="EK322" s="464"/>
      <c r="EL322" s="507"/>
      <c r="EM322" s="687"/>
    </row>
    <row r="323" spans="1:143" ht="12.75" hidden="1" customHeight="1" outlineLevel="2" x14ac:dyDescent="0.2">
      <c r="A323" s="700"/>
      <c r="B323" s="16"/>
      <c r="C323" s="507"/>
      <c r="D323" s="16"/>
      <c r="E323" s="687"/>
      <c r="F323" s="16"/>
      <c r="G323" s="687"/>
      <c r="H323" s="16"/>
      <c r="I323" s="687"/>
      <c r="J323" s="16"/>
      <c r="K323" s="687"/>
      <c r="L323" s="16"/>
      <c r="M323" s="687"/>
      <c r="N323" s="16"/>
      <c r="O323" s="687"/>
      <c r="P323" s="16"/>
      <c r="Q323" s="687"/>
      <c r="R323" s="16"/>
      <c r="S323" s="687"/>
      <c r="T323" s="16"/>
      <c r="U323" s="687"/>
      <c r="V323" s="16"/>
      <c r="W323" s="687"/>
      <c r="X323" s="16"/>
      <c r="Y323" s="687"/>
      <c r="Z323" s="16"/>
      <c r="AA323" s="687"/>
      <c r="AB323" s="16"/>
      <c r="AC323" s="687"/>
      <c r="AD323" s="16"/>
      <c r="AE323" s="687"/>
      <c r="AF323" s="16"/>
      <c r="AG323" s="687"/>
      <c r="AH323" s="16"/>
      <c r="AI323" s="507"/>
      <c r="AJ323" s="16"/>
      <c r="AK323" s="507"/>
      <c r="AL323" s="16"/>
      <c r="AM323" s="507"/>
      <c r="AN323" s="16"/>
      <c r="AO323" s="507"/>
      <c r="AP323" s="16"/>
      <c r="AQ323" s="507"/>
      <c r="AR323" s="16"/>
      <c r="AS323" s="507"/>
      <c r="AT323" s="16"/>
      <c r="AU323" s="507"/>
      <c r="AV323" s="16"/>
      <c r="AW323" s="507"/>
      <c r="AX323" s="16"/>
      <c r="AY323" s="507"/>
      <c r="AZ323" s="16"/>
      <c r="BA323" s="507"/>
      <c r="BB323" s="16"/>
      <c r="BC323" s="507"/>
      <c r="BD323" s="16"/>
      <c r="BE323" s="507"/>
      <c r="BF323" s="16"/>
      <c r="BG323" s="507"/>
      <c r="BH323" s="16"/>
      <c r="BI323" s="507"/>
      <c r="BJ323" s="16"/>
      <c r="BK323" s="507"/>
      <c r="BL323" s="16"/>
      <c r="BM323" s="507"/>
      <c r="BN323" s="16"/>
      <c r="BO323" s="507"/>
      <c r="BP323" s="16"/>
      <c r="BQ323" s="507"/>
      <c r="BR323" s="16"/>
      <c r="BS323" s="507"/>
      <c r="BT323" s="16"/>
      <c r="BU323" s="507"/>
      <c r="BV323" s="16"/>
      <c r="BW323" s="507"/>
      <c r="BX323" s="16"/>
      <c r="BY323" s="507"/>
      <c r="BZ323" s="16"/>
      <c r="CA323" s="507"/>
      <c r="CB323" s="16"/>
      <c r="CC323" s="507"/>
      <c r="CD323" s="16"/>
      <c r="CE323" s="507"/>
      <c r="CF323" s="16"/>
      <c r="CG323" s="507"/>
      <c r="CH323" s="16"/>
      <c r="CI323" s="507"/>
      <c r="CJ323" s="16"/>
      <c r="CK323" s="507"/>
      <c r="CL323" s="16"/>
      <c r="CM323" s="507"/>
      <c r="CN323" s="16"/>
      <c r="CO323" s="507"/>
      <c r="CP323" s="16"/>
      <c r="CQ323" s="507"/>
      <c r="CR323" s="16"/>
      <c r="CS323" s="507"/>
      <c r="CT323" s="16"/>
      <c r="CU323" s="507"/>
      <c r="CV323" s="16"/>
      <c r="CW323" s="507"/>
      <c r="CX323" s="16"/>
      <c r="CY323" s="507"/>
      <c r="CZ323" s="16"/>
      <c r="DA323" s="507"/>
      <c r="DB323" s="507"/>
      <c r="DC323" s="16"/>
      <c r="DD323" s="687"/>
      <c r="DE323" s="16"/>
      <c r="DF323" s="687"/>
      <c r="DG323" s="16"/>
      <c r="DH323" s="687"/>
      <c r="DI323" s="16"/>
      <c r="DJ323" s="687"/>
      <c r="DK323" s="16"/>
      <c r="DL323" s="507"/>
      <c r="DM323" s="16"/>
      <c r="DN323" s="507"/>
      <c r="DO323" s="16"/>
      <c r="DP323" s="507"/>
      <c r="DQ323" s="16"/>
      <c r="DR323" s="507"/>
      <c r="DS323" s="16"/>
      <c r="DT323" s="507"/>
      <c r="DU323" s="16"/>
      <c r="DV323" s="507"/>
      <c r="DW323" s="16"/>
      <c r="DX323" s="507"/>
      <c r="DY323" s="16"/>
      <c r="DZ323" s="507"/>
      <c r="EA323" s="16"/>
      <c r="EB323" s="507"/>
      <c r="EC323" s="16"/>
      <c r="ED323" s="507"/>
      <c r="EE323" s="16"/>
      <c r="EF323" s="507"/>
      <c r="EG323" s="16"/>
      <c r="EH323" s="507"/>
      <c r="EI323" s="16"/>
      <c r="EJ323" s="507"/>
      <c r="EK323" s="16"/>
      <c r="EL323" s="507"/>
      <c r="EM323" s="687"/>
    </row>
    <row r="324" spans="1:143" ht="12.75" hidden="1" customHeight="1" outlineLevel="2" x14ac:dyDescent="0.2">
      <c r="A324" s="700" t="str">
        <f>INPUT!B351</f>
        <v>Profitability Analysis</v>
      </c>
      <c r="B324" s="16"/>
      <c r="C324" s="507"/>
      <c r="D324" s="16"/>
      <c r="E324" s="687"/>
      <c r="F324" s="16"/>
      <c r="G324" s="687"/>
      <c r="H324" s="16"/>
      <c r="I324" s="687"/>
      <c r="J324" s="16"/>
      <c r="K324" s="687"/>
      <c r="L324" s="16"/>
      <c r="M324" s="687"/>
      <c r="N324" s="16"/>
      <c r="O324" s="687"/>
      <c r="P324" s="16"/>
      <c r="Q324" s="687"/>
      <c r="R324" s="16"/>
      <c r="S324" s="687"/>
      <c r="T324" s="16"/>
      <c r="U324" s="687"/>
      <c r="V324" s="16"/>
      <c r="W324" s="687"/>
      <c r="X324" s="16"/>
      <c r="Y324" s="687"/>
      <c r="Z324" s="16"/>
      <c r="AA324" s="687"/>
      <c r="AB324" s="16"/>
      <c r="AC324" s="687"/>
      <c r="AD324" s="16"/>
      <c r="AE324" s="687"/>
      <c r="AF324" s="16"/>
      <c r="AG324" s="687"/>
      <c r="AH324" s="16"/>
      <c r="AI324" s="507"/>
      <c r="AJ324" s="16"/>
      <c r="AK324" s="507"/>
      <c r="AL324" s="16"/>
      <c r="AM324" s="507"/>
      <c r="AN324" s="16"/>
      <c r="AO324" s="507"/>
      <c r="AP324" s="16"/>
      <c r="AQ324" s="507"/>
      <c r="AR324" s="16"/>
      <c r="AS324" s="507"/>
      <c r="AT324" s="16"/>
      <c r="AU324" s="507"/>
      <c r="AV324" s="16"/>
      <c r="AW324" s="507"/>
      <c r="AX324" s="16"/>
      <c r="AY324" s="507"/>
      <c r="AZ324" s="16"/>
      <c r="BA324" s="507"/>
      <c r="BB324" s="16"/>
      <c r="BC324" s="507"/>
      <c r="BD324" s="16"/>
      <c r="BE324" s="507"/>
      <c r="BF324" s="16"/>
      <c r="BG324" s="507"/>
      <c r="BH324" s="16"/>
      <c r="BI324" s="507"/>
      <c r="BJ324" s="16"/>
      <c r="BK324" s="507"/>
      <c r="BL324" s="16"/>
      <c r="BM324" s="507"/>
      <c r="BN324" s="16"/>
      <c r="BO324" s="507"/>
      <c r="BP324" s="16"/>
      <c r="BQ324" s="507"/>
      <c r="BR324" s="16"/>
      <c r="BS324" s="507"/>
      <c r="BT324" s="16"/>
      <c r="BU324" s="507"/>
      <c r="BV324" s="16"/>
      <c r="BW324" s="507"/>
      <c r="BX324" s="16"/>
      <c r="BY324" s="507"/>
      <c r="BZ324" s="16"/>
      <c r="CA324" s="507"/>
      <c r="CB324" s="16"/>
      <c r="CC324" s="507"/>
      <c r="CD324" s="16"/>
      <c r="CE324" s="507"/>
      <c r="CF324" s="16"/>
      <c r="CG324" s="507"/>
      <c r="CH324" s="16"/>
      <c r="CI324" s="507"/>
      <c r="CJ324" s="16"/>
      <c r="CK324" s="507"/>
      <c r="CL324" s="16"/>
      <c r="CM324" s="507"/>
      <c r="CN324" s="16"/>
      <c r="CO324" s="507"/>
      <c r="CP324" s="16"/>
      <c r="CQ324" s="507"/>
      <c r="CR324" s="16"/>
      <c r="CS324" s="507"/>
      <c r="CT324" s="16"/>
      <c r="CU324" s="507"/>
      <c r="CV324" s="16"/>
      <c r="CW324" s="507"/>
      <c r="CX324" s="16"/>
      <c r="CY324" s="507"/>
      <c r="CZ324" s="16"/>
      <c r="DA324" s="507"/>
      <c r="DB324" s="507"/>
      <c r="DC324" s="16"/>
      <c r="DD324" s="687"/>
      <c r="DE324" s="16"/>
      <c r="DF324" s="687"/>
      <c r="DG324" s="16"/>
      <c r="DH324" s="687"/>
      <c r="DI324" s="16"/>
      <c r="DJ324" s="687"/>
      <c r="DK324" s="16"/>
      <c r="DL324" s="507"/>
      <c r="DM324" s="16"/>
      <c r="DN324" s="507"/>
      <c r="DO324" s="16"/>
      <c r="DP324" s="507"/>
      <c r="DQ324" s="16"/>
      <c r="DR324" s="507"/>
      <c r="DS324" s="16"/>
      <c r="DT324" s="507"/>
      <c r="DU324" s="16"/>
      <c r="DV324" s="507"/>
      <c r="DW324" s="16"/>
      <c r="DX324" s="507"/>
      <c r="DY324" s="16"/>
      <c r="DZ324" s="507"/>
      <c r="EA324" s="16"/>
      <c r="EB324" s="507"/>
      <c r="EC324" s="16"/>
      <c r="ED324" s="507"/>
      <c r="EE324" s="16"/>
      <c r="EF324" s="507"/>
      <c r="EG324" s="16"/>
      <c r="EH324" s="507"/>
      <c r="EI324" s="16"/>
      <c r="EJ324" s="507"/>
      <c r="EK324" s="16"/>
      <c r="EL324" s="507"/>
      <c r="EM324" s="687"/>
    </row>
    <row r="325" spans="1:143" ht="12.75" hidden="1" customHeight="1" outlineLevel="2" x14ac:dyDescent="0.2">
      <c r="A325" s="701" t="str">
        <f>INPUT!B352</f>
        <v>Operating Margin (%)</v>
      </c>
      <c r="B325" s="156">
        <f>INPUT!AY352</f>
        <v>13.111888111888122</v>
      </c>
      <c r="C325" s="507" t="str">
        <f>INPUT!AZ352</f>
        <v>NM</v>
      </c>
      <c r="D325" s="156">
        <f>INPUT!BA352</f>
        <v>15.909090909090901</v>
      </c>
      <c r="E325" s="687">
        <f>INPUT!BB352</f>
        <v>96.828752642705766</v>
      </c>
      <c r="F325" s="156">
        <f>INPUT!BC352</f>
        <v>12.272291466922347</v>
      </c>
      <c r="G325" s="687" t="str">
        <f>INPUT!BD352</f>
        <v>NM</v>
      </c>
      <c r="H325" s="156">
        <f>INPUT!BE352</f>
        <v>11.640696608615935</v>
      </c>
      <c r="I325" s="687">
        <f>INPUT!BF352</f>
        <v>-24.519272516764001</v>
      </c>
      <c r="J325" s="156">
        <f>INPUT!BG352</f>
        <v>16.594516594516588</v>
      </c>
      <c r="K325" s="687">
        <f>INPUT!BH352</f>
        <v>26.560846560846407</v>
      </c>
      <c r="L325" s="156">
        <f>INPUT!BI352</f>
        <v>15.885022692889542</v>
      </c>
      <c r="M325" s="687"/>
      <c r="N325" s="156"/>
      <c r="O325" s="687"/>
      <c r="P325" s="156"/>
      <c r="Q325" s="687"/>
      <c r="R325" s="156"/>
      <c r="S325" s="687"/>
      <c r="T325" s="156"/>
      <c r="U325" s="687"/>
      <c r="V325" s="156"/>
      <c r="W325" s="687"/>
      <c r="X325" s="156"/>
      <c r="Y325" s="687"/>
      <c r="Z325" s="156"/>
      <c r="AA325" s="687"/>
      <c r="AB325" s="156"/>
      <c r="AC325" s="687"/>
      <c r="AD325" s="156"/>
      <c r="AE325" s="687"/>
      <c r="AF325" s="156"/>
      <c r="AG325" s="687"/>
      <c r="AH325" s="156"/>
      <c r="AI325" s="507"/>
      <c r="AJ325" s="156"/>
      <c r="AK325" s="507"/>
      <c r="AL325" s="156"/>
      <c r="AM325" s="507"/>
      <c r="AN325" s="156"/>
      <c r="AO325" s="507"/>
      <c r="AP325" s="156"/>
      <c r="AQ325" s="507"/>
      <c r="AR325" s="156"/>
      <c r="AS325" s="507"/>
      <c r="AT325" s="156"/>
      <c r="AU325" s="507"/>
      <c r="AV325" s="156"/>
      <c r="AW325" s="507"/>
      <c r="AX325" s="156"/>
      <c r="AY325" s="507"/>
      <c r="AZ325" s="156"/>
      <c r="BA325" s="507"/>
      <c r="BB325" s="156"/>
      <c r="BC325" s="507"/>
      <c r="BD325" s="156"/>
      <c r="BE325" s="507"/>
      <c r="BF325" s="156"/>
      <c r="BG325" s="507"/>
      <c r="BH325" s="156"/>
      <c r="BI325" s="507"/>
      <c r="BJ325" s="156"/>
      <c r="BK325" s="507"/>
      <c r="BL325" s="156"/>
      <c r="BM325" s="507"/>
      <c r="BN325" s="156"/>
      <c r="BO325" s="507"/>
      <c r="BP325" s="156"/>
      <c r="BQ325" s="507"/>
      <c r="BR325" s="156"/>
      <c r="BS325" s="507"/>
      <c r="BT325" s="156"/>
      <c r="BU325" s="507"/>
      <c r="BV325" s="156"/>
      <c r="BW325" s="507"/>
      <c r="BX325" s="156"/>
      <c r="BY325" s="507"/>
      <c r="BZ325" s="156"/>
      <c r="CA325" s="507"/>
      <c r="CB325" s="156"/>
      <c r="CC325" s="507"/>
      <c r="CD325" s="156"/>
      <c r="CE325" s="507"/>
      <c r="CF325" s="156"/>
      <c r="CG325" s="507"/>
      <c r="CH325" s="156"/>
      <c r="CI325" s="507"/>
      <c r="CJ325" s="156"/>
      <c r="CK325" s="507"/>
      <c r="CL325" s="156"/>
      <c r="CM325" s="507"/>
      <c r="CN325" s="156"/>
      <c r="CO325" s="507"/>
      <c r="CP325" s="156"/>
      <c r="CQ325" s="507"/>
      <c r="CR325" s="156"/>
      <c r="CS325" s="507"/>
      <c r="CT325" s="156"/>
      <c r="CU325" s="507"/>
      <c r="CV325" s="156"/>
      <c r="CW325" s="507"/>
      <c r="CX325" s="156"/>
      <c r="CY325" s="507"/>
      <c r="CZ325" s="156"/>
      <c r="DA325" s="507"/>
      <c r="DB325" s="507"/>
      <c r="DC325" s="156">
        <f>INPUT!FP352</f>
        <v>8.6267605633802908</v>
      </c>
      <c r="DD325" s="687" t="str">
        <f>INPUT!FQ352</f>
        <v>NA</v>
      </c>
      <c r="DE325" s="156">
        <f>INPUT!FR352</f>
        <v>13.206024744486273</v>
      </c>
      <c r="DF325" s="687">
        <f>INPUT!FS352</f>
        <v>53.082082752412148</v>
      </c>
      <c r="DG325" s="156">
        <f>INPUT!FT352</f>
        <v>16.248153618906919</v>
      </c>
      <c r="DH325" s="687"/>
      <c r="DI325" s="156"/>
      <c r="DJ325" s="687"/>
      <c r="DK325" s="156"/>
      <c r="DL325" s="507"/>
      <c r="DM325" s="156"/>
      <c r="DN325" s="507"/>
      <c r="DO325" s="156"/>
      <c r="DP325" s="507"/>
      <c r="DQ325" s="156"/>
      <c r="DR325" s="507"/>
      <c r="DS325" s="156"/>
      <c r="DT325" s="507"/>
      <c r="DU325" s="156"/>
      <c r="DV325" s="507"/>
      <c r="DW325" s="156"/>
      <c r="DX325" s="507"/>
      <c r="DY325" s="156"/>
      <c r="DZ325" s="507"/>
      <c r="EA325" s="156"/>
      <c r="EB325" s="507"/>
      <c r="EC325" s="156"/>
      <c r="ED325" s="507"/>
      <c r="EE325" s="156"/>
      <c r="EF325" s="507"/>
      <c r="EG325" s="156"/>
      <c r="EH325" s="507"/>
      <c r="EI325" s="156"/>
      <c r="EJ325" s="507"/>
      <c r="EK325" s="156"/>
      <c r="EL325" s="507"/>
      <c r="EM325" s="687"/>
    </row>
    <row r="326" spans="1:143" ht="12.75" hidden="1" customHeight="1" outlineLevel="2" x14ac:dyDescent="0.2">
      <c r="A326" s="701"/>
      <c r="B326" s="16"/>
      <c r="C326" s="507"/>
      <c r="D326" s="16"/>
      <c r="E326" s="687"/>
      <c r="F326" s="16"/>
      <c r="G326" s="687"/>
      <c r="H326" s="16"/>
      <c r="I326" s="687"/>
      <c r="J326" s="16"/>
      <c r="K326" s="687"/>
      <c r="L326" s="16"/>
      <c r="M326" s="687"/>
      <c r="N326" s="16"/>
      <c r="O326" s="687"/>
      <c r="P326" s="16"/>
      <c r="Q326" s="687"/>
      <c r="R326" s="16"/>
      <c r="S326" s="687"/>
      <c r="T326" s="16"/>
      <c r="U326" s="687"/>
      <c r="V326" s="16"/>
      <c r="W326" s="687"/>
      <c r="X326" s="16"/>
      <c r="Y326" s="687"/>
      <c r="Z326" s="16"/>
      <c r="AA326" s="687"/>
      <c r="AB326" s="16"/>
      <c r="AC326" s="687"/>
      <c r="AD326" s="16"/>
      <c r="AE326" s="687"/>
      <c r="AF326" s="16"/>
      <c r="AG326" s="687"/>
      <c r="AH326" s="16"/>
      <c r="AI326" s="507"/>
      <c r="AJ326" s="16"/>
      <c r="AK326" s="507"/>
      <c r="AL326" s="16"/>
      <c r="AM326" s="507"/>
      <c r="AN326" s="16"/>
      <c r="AO326" s="507"/>
      <c r="AP326" s="16"/>
      <c r="AQ326" s="507"/>
      <c r="AR326" s="16"/>
      <c r="AS326" s="507"/>
      <c r="AT326" s="16"/>
      <c r="AU326" s="507"/>
      <c r="AV326" s="16"/>
      <c r="AW326" s="507"/>
      <c r="AX326" s="16"/>
      <c r="AY326" s="507"/>
      <c r="AZ326" s="16"/>
      <c r="BA326" s="507"/>
      <c r="BB326" s="16"/>
      <c r="BC326" s="507"/>
      <c r="BD326" s="16"/>
      <c r="BE326" s="507"/>
      <c r="BF326" s="16"/>
      <c r="BG326" s="507"/>
      <c r="BH326" s="16"/>
      <c r="BI326" s="507"/>
      <c r="BJ326" s="16"/>
      <c r="BK326" s="507"/>
      <c r="BL326" s="16"/>
      <c r="BM326" s="507"/>
      <c r="BN326" s="16"/>
      <c r="BO326" s="507"/>
      <c r="BP326" s="16"/>
      <c r="BQ326" s="507"/>
      <c r="BR326" s="16"/>
      <c r="BS326" s="507"/>
      <c r="BT326" s="16"/>
      <c r="BU326" s="507"/>
      <c r="BV326" s="16"/>
      <c r="BW326" s="507"/>
      <c r="BX326" s="16"/>
      <c r="BY326" s="507"/>
      <c r="BZ326" s="16"/>
      <c r="CA326" s="507"/>
      <c r="CB326" s="16"/>
      <c r="CC326" s="507"/>
      <c r="CD326" s="16"/>
      <c r="CE326" s="507"/>
      <c r="CF326" s="16"/>
      <c r="CG326" s="507"/>
      <c r="CH326" s="16"/>
      <c r="CI326" s="507"/>
      <c r="CJ326" s="16"/>
      <c r="CK326" s="507"/>
      <c r="CL326" s="16"/>
      <c r="CM326" s="507"/>
      <c r="CN326" s="16"/>
      <c r="CO326" s="507"/>
      <c r="CP326" s="16"/>
      <c r="CQ326" s="507"/>
      <c r="CR326" s="16"/>
      <c r="CS326" s="507"/>
      <c r="CT326" s="16"/>
      <c r="CU326" s="507"/>
      <c r="CV326" s="16"/>
      <c r="CW326" s="507"/>
      <c r="CX326" s="16"/>
      <c r="CY326" s="507"/>
      <c r="CZ326" s="16"/>
      <c r="DA326" s="507"/>
      <c r="DB326" s="507"/>
      <c r="DC326" s="16"/>
      <c r="DD326" s="687"/>
      <c r="DE326" s="16"/>
      <c r="DF326" s="687"/>
      <c r="DG326" s="16"/>
      <c r="DH326" s="687"/>
      <c r="DI326" s="16"/>
      <c r="DJ326" s="687"/>
      <c r="DK326" s="16"/>
      <c r="DL326" s="507"/>
      <c r="DM326" s="16"/>
      <c r="DN326" s="507"/>
      <c r="DO326" s="16"/>
      <c r="DP326" s="507"/>
      <c r="DQ326" s="16"/>
      <c r="DR326" s="507"/>
      <c r="DS326" s="16"/>
      <c r="DT326" s="507"/>
      <c r="DU326" s="16"/>
      <c r="DV326" s="507"/>
      <c r="DW326" s="16"/>
      <c r="DX326" s="507"/>
      <c r="DY326" s="16"/>
      <c r="DZ326" s="507"/>
      <c r="EA326" s="16"/>
      <c r="EB326" s="507"/>
      <c r="EC326" s="16"/>
      <c r="ED326" s="507"/>
      <c r="EE326" s="16"/>
      <c r="EF326" s="507"/>
      <c r="EG326" s="16"/>
      <c r="EH326" s="507"/>
      <c r="EI326" s="16"/>
      <c r="EJ326" s="507"/>
      <c r="EK326" s="16"/>
      <c r="EL326" s="507"/>
      <c r="EM326" s="687"/>
    </row>
    <row r="327" spans="1:143" ht="12.75" hidden="1" customHeight="1" outlineLevel="2" x14ac:dyDescent="0.2">
      <c r="A327" s="701" t="str">
        <f>INPUT!B327</f>
        <v>Inv Inc/Total Revenues (%)</v>
      </c>
      <c r="B327" s="156">
        <f>INPUT!AY327</f>
        <v>85.139860139860133</v>
      </c>
      <c r="C327" s="507">
        <f>INPUT!AZ327</f>
        <v>-0.20029639234937502</v>
      </c>
      <c r="D327" s="156">
        <f>INPUT!BA327</f>
        <v>85.474308300395251</v>
      </c>
      <c r="E327" s="687">
        <f>INPUT!BB327</f>
        <v>0.60250445975722489</v>
      </c>
      <c r="F327" s="156">
        <f>INPUT!BC327</f>
        <v>87.24832214765101</v>
      </c>
      <c r="G327" s="687">
        <f>INPUT!BD327</f>
        <v>14.718969032277274</v>
      </c>
      <c r="H327" s="156">
        <f>INPUT!BE327</f>
        <v>82.951420714940426</v>
      </c>
      <c r="I327" s="687">
        <f>INPUT!BF327</f>
        <v>0.19230423608491698</v>
      </c>
      <c r="J327" s="156">
        <f>INPUT!BG327</f>
        <v>80.519480519480524</v>
      </c>
      <c r="K327" s="687">
        <f>INPUT!BH327</f>
        <v>-5.4268113816368313</v>
      </c>
      <c r="L327" s="156">
        <f>INPUT!BI327</f>
        <v>80.332829046898652</v>
      </c>
      <c r="M327" s="687"/>
      <c r="N327" s="156"/>
      <c r="O327" s="687"/>
      <c r="P327" s="156"/>
      <c r="Q327" s="687"/>
      <c r="R327" s="156"/>
      <c r="S327" s="687"/>
      <c r="T327" s="156"/>
      <c r="U327" s="687"/>
      <c r="V327" s="156"/>
      <c r="W327" s="687"/>
      <c r="X327" s="156"/>
      <c r="Y327" s="687"/>
      <c r="Z327" s="156"/>
      <c r="AA327" s="687"/>
      <c r="AB327" s="156"/>
      <c r="AC327" s="687"/>
      <c r="AD327" s="156"/>
      <c r="AE327" s="687"/>
      <c r="AF327" s="156"/>
      <c r="AG327" s="687"/>
      <c r="AH327" s="156"/>
      <c r="AI327" s="507"/>
      <c r="AJ327" s="156"/>
      <c r="AK327" s="507"/>
      <c r="AL327" s="156"/>
      <c r="AM327" s="507"/>
      <c r="AN327" s="156"/>
      <c r="AO327" s="507"/>
      <c r="AP327" s="156"/>
      <c r="AQ327" s="507"/>
      <c r="AR327" s="156"/>
      <c r="AS327" s="507"/>
      <c r="AT327" s="156"/>
      <c r="AU327" s="507"/>
      <c r="AV327" s="156"/>
      <c r="AW327" s="507"/>
      <c r="AX327" s="156"/>
      <c r="AY327" s="507"/>
      <c r="AZ327" s="156"/>
      <c r="BA327" s="507"/>
      <c r="BB327" s="156"/>
      <c r="BC327" s="507"/>
      <c r="BD327" s="156"/>
      <c r="BE327" s="507"/>
      <c r="BF327" s="156"/>
      <c r="BG327" s="507"/>
      <c r="BH327" s="156"/>
      <c r="BI327" s="507"/>
      <c r="BJ327" s="156"/>
      <c r="BK327" s="507"/>
      <c r="BL327" s="156"/>
      <c r="BM327" s="507"/>
      <c r="BN327" s="156"/>
      <c r="BO327" s="507"/>
      <c r="BP327" s="156"/>
      <c r="BQ327" s="507"/>
      <c r="BR327" s="156"/>
      <c r="BS327" s="507"/>
      <c r="BT327" s="156"/>
      <c r="BU327" s="507"/>
      <c r="BV327" s="156"/>
      <c r="BW327" s="507"/>
      <c r="BX327" s="156"/>
      <c r="BY327" s="507"/>
      <c r="BZ327" s="156"/>
      <c r="CA327" s="507"/>
      <c r="CB327" s="156"/>
      <c r="CC327" s="507"/>
      <c r="CD327" s="156"/>
      <c r="CE327" s="507"/>
      <c r="CF327" s="156"/>
      <c r="CG327" s="507"/>
      <c r="CH327" s="156"/>
      <c r="CI327" s="507"/>
      <c r="CJ327" s="156"/>
      <c r="CK327" s="507"/>
      <c r="CL327" s="156"/>
      <c r="CM327" s="507"/>
      <c r="CN327" s="156"/>
      <c r="CO327" s="507"/>
      <c r="CP327" s="156"/>
      <c r="CQ327" s="507"/>
      <c r="CR327" s="156"/>
      <c r="CS327" s="507"/>
      <c r="CT327" s="156"/>
      <c r="CU327" s="507"/>
      <c r="CV327" s="156"/>
      <c r="CW327" s="507"/>
      <c r="CX327" s="156"/>
      <c r="CY327" s="507"/>
      <c r="CZ327" s="156"/>
      <c r="DA327" s="507"/>
      <c r="DB327" s="507"/>
      <c r="DC327" s="156">
        <f>INPUT!FP327</f>
        <v>82.130281690140833</v>
      </c>
      <c r="DD327" s="687" t="str">
        <f>INPUT!FQ327</f>
        <v>NA</v>
      </c>
      <c r="DE327" s="156">
        <f>INPUT!FR327</f>
        <v>85.180204410973644</v>
      </c>
      <c r="DF327" s="687">
        <f>INPUT!FS327</f>
        <v>3.7135179108961136</v>
      </c>
      <c r="DG327" s="156">
        <f>INPUT!FT327</f>
        <v>80.428360413589388</v>
      </c>
      <c r="DH327" s="687"/>
      <c r="DI327" s="156"/>
      <c r="DJ327" s="687"/>
      <c r="DK327" s="156"/>
      <c r="DL327" s="507"/>
      <c r="DM327" s="156"/>
      <c r="DN327" s="507"/>
      <c r="DO327" s="156"/>
      <c r="DP327" s="507"/>
      <c r="DQ327" s="156"/>
      <c r="DR327" s="507"/>
      <c r="DS327" s="156"/>
      <c r="DT327" s="507"/>
      <c r="DU327" s="156"/>
      <c r="DV327" s="507"/>
      <c r="DW327" s="156"/>
      <c r="DX327" s="507"/>
      <c r="DY327" s="156"/>
      <c r="DZ327" s="507"/>
      <c r="EA327" s="156"/>
      <c r="EB327" s="507"/>
      <c r="EC327" s="156"/>
      <c r="ED327" s="507"/>
      <c r="EE327" s="156"/>
      <c r="EF327" s="507"/>
      <c r="EG327" s="156"/>
      <c r="EH327" s="507"/>
      <c r="EI327" s="156"/>
      <c r="EJ327" s="507"/>
      <c r="EK327" s="156"/>
      <c r="EL327" s="507"/>
      <c r="EM327" s="687"/>
    </row>
    <row r="328" spans="1:143" ht="12.75" hidden="1" customHeight="1" outlineLevel="2" x14ac:dyDescent="0.2">
      <c r="A328" s="701" t="str">
        <f>INPUT!B328</f>
        <v>Int Credited/Total Revenues (%)</v>
      </c>
      <c r="B328" s="156">
        <f>INPUT!AY328</f>
        <v>16.25874125874126</v>
      </c>
      <c r="C328" s="507">
        <f>INPUT!AZ328</f>
        <v>-7.1678321678321666</v>
      </c>
      <c r="D328" s="156">
        <f>INPUT!BA328</f>
        <v>39.723320158102773</v>
      </c>
      <c r="E328" s="687" t="str">
        <f>INPUT!BB328</f>
        <v>NM</v>
      </c>
      <c r="F328" s="156">
        <f>INPUT!BC328</f>
        <v>38.255033557046978</v>
      </c>
      <c r="G328" s="687" t="str">
        <f>INPUT!BD328</f>
        <v>NM</v>
      </c>
      <c r="H328" s="156">
        <f>INPUT!BE328</f>
        <v>38.4967919340055</v>
      </c>
      <c r="I328" s="687" t="str">
        <f>INPUT!BF328</f>
        <v>NM</v>
      </c>
      <c r="J328" s="156">
        <f>INPUT!BG328</f>
        <v>55.122655122655132</v>
      </c>
      <c r="K328" s="687" t="str">
        <f>INPUT!BH328</f>
        <v>NM</v>
      </c>
      <c r="L328" s="156">
        <f>INPUT!BI328</f>
        <v>57.639939485627842</v>
      </c>
      <c r="M328" s="687"/>
      <c r="N328" s="156"/>
      <c r="O328" s="687"/>
      <c r="P328" s="156"/>
      <c r="Q328" s="687"/>
      <c r="R328" s="156"/>
      <c r="S328" s="687"/>
      <c r="T328" s="156"/>
      <c r="U328" s="687"/>
      <c r="V328" s="156"/>
      <c r="W328" s="687"/>
      <c r="X328" s="156"/>
      <c r="Y328" s="687"/>
      <c r="Z328" s="156"/>
      <c r="AA328" s="687"/>
      <c r="AB328" s="156"/>
      <c r="AC328" s="687"/>
      <c r="AD328" s="156"/>
      <c r="AE328" s="687"/>
      <c r="AF328" s="156"/>
      <c r="AG328" s="687"/>
      <c r="AH328" s="156"/>
      <c r="AI328" s="507"/>
      <c r="AJ328" s="156"/>
      <c r="AK328" s="507"/>
      <c r="AL328" s="156"/>
      <c r="AM328" s="507"/>
      <c r="AN328" s="156"/>
      <c r="AO328" s="507"/>
      <c r="AP328" s="156"/>
      <c r="AQ328" s="507"/>
      <c r="AR328" s="156"/>
      <c r="AS328" s="507"/>
      <c r="AT328" s="156"/>
      <c r="AU328" s="507"/>
      <c r="AV328" s="156"/>
      <c r="AW328" s="507"/>
      <c r="AX328" s="156"/>
      <c r="AY328" s="507"/>
      <c r="AZ328" s="156"/>
      <c r="BA328" s="507"/>
      <c r="BB328" s="156"/>
      <c r="BC328" s="507"/>
      <c r="BD328" s="156"/>
      <c r="BE328" s="507"/>
      <c r="BF328" s="156"/>
      <c r="BG328" s="507"/>
      <c r="BH328" s="156"/>
      <c r="BI328" s="507"/>
      <c r="BJ328" s="156"/>
      <c r="BK328" s="507"/>
      <c r="BL328" s="156"/>
      <c r="BM328" s="507"/>
      <c r="BN328" s="156"/>
      <c r="BO328" s="507"/>
      <c r="BP328" s="156"/>
      <c r="BQ328" s="507"/>
      <c r="BR328" s="156"/>
      <c r="BS328" s="507"/>
      <c r="BT328" s="156"/>
      <c r="BU328" s="507"/>
      <c r="BV328" s="156"/>
      <c r="BW328" s="507"/>
      <c r="BX328" s="156"/>
      <c r="BY328" s="507"/>
      <c r="BZ328" s="156"/>
      <c r="CA328" s="507"/>
      <c r="CB328" s="156"/>
      <c r="CC328" s="507"/>
      <c r="CD328" s="156"/>
      <c r="CE328" s="507"/>
      <c r="CF328" s="156"/>
      <c r="CG328" s="507"/>
      <c r="CH328" s="156"/>
      <c r="CI328" s="507"/>
      <c r="CJ328" s="156"/>
      <c r="CK328" s="507"/>
      <c r="CL328" s="156"/>
      <c r="CM328" s="507"/>
      <c r="CN328" s="156"/>
      <c r="CO328" s="507"/>
      <c r="CP328" s="156"/>
      <c r="CQ328" s="507"/>
      <c r="CR328" s="156"/>
      <c r="CS328" s="507"/>
      <c r="CT328" s="156"/>
      <c r="CU328" s="507"/>
      <c r="CV328" s="156"/>
      <c r="CW328" s="507"/>
      <c r="CX328" s="156"/>
      <c r="CY328" s="507"/>
      <c r="CZ328" s="156"/>
      <c r="DA328" s="507"/>
      <c r="DB328" s="507"/>
      <c r="DC328" s="156">
        <f>INPUT!FP328</f>
        <v>17.077464788732392</v>
      </c>
      <c r="DD328" s="687" t="str">
        <f>INPUT!FQ328</f>
        <v>NA</v>
      </c>
      <c r="DE328" s="156">
        <f>INPUT!FR328</f>
        <v>35.341581495427654</v>
      </c>
      <c r="DF328" s="687" t="str">
        <f>INPUT!FS328</f>
        <v>NM</v>
      </c>
      <c r="DG328" s="156">
        <f>INPUT!FT328</f>
        <v>56.351550960118189</v>
      </c>
      <c r="DH328" s="687"/>
      <c r="DI328" s="156"/>
      <c r="DJ328" s="687"/>
      <c r="DK328" s="156"/>
      <c r="DL328" s="507"/>
      <c r="DM328" s="156"/>
      <c r="DN328" s="507"/>
      <c r="DO328" s="156"/>
      <c r="DP328" s="507"/>
      <c r="DQ328" s="156"/>
      <c r="DR328" s="507"/>
      <c r="DS328" s="156"/>
      <c r="DT328" s="507"/>
      <c r="DU328" s="156"/>
      <c r="DV328" s="507"/>
      <c r="DW328" s="156"/>
      <c r="DX328" s="507"/>
      <c r="DY328" s="156"/>
      <c r="DZ328" s="507"/>
      <c r="EA328" s="156"/>
      <c r="EB328" s="507"/>
      <c r="EC328" s="156"/>
      <c r="ED328" s="507"/>
      <c r="EE328" s="156"/>
      <c r="EF328" s="507"/>
      <c r="EG328" s="156"/>
      <c r="EH328" s="507"/>
      <c r="EI328" s="156"/>
      <c r="EJ328" s="507"/>
      <c r="EK328" s="156"/>
      <c r="EL328" s="507"/>
      <c r="EM328" s="687"/>
    </row>
    <row r="329" spans="1:143" ht="12.75" hidden="1" customHeight="1" outlineLevel="2" x14ac:dyDescent="0.2">
      <c r="A329" s="701"/>
      <c r="B329" s="464"/>
      <c r="C329" s="507"/>
      <c r="D329" s="464"/>
      <c r="E329" s="687"/>
      <c r="F329" s="464"/>
      <c r="G329" s="687"/>
      <c r="H329" s="464"/>
      <c r="I329" s="687"/>
      <c r="J329" s="464"/>
      <c r="K329" s="687"/>
      <c r="L329" s="464"/>
      <c r="M329" s="687"/>
      <c r="N329" s="464"/>
      <c r="O329" s="687"/>
      <c r="P329" s="464"/>
      <c r="Q329" s="687"/>
      <c r="R329" s="464"/>
      <c r="S329" s="687"/>
      <c r="T329" s="464"/>
      <c r="U329" s="687"/>
      <c r="V329" s="464"/>
      <c r="W329" s="687"/>
      <c r="X329" s="464"/>
      <c r="Y329" s="687"/>
      <c r="Z329" s="464"/>
      <c r="AA329" s="687"/>
      <c r="AB329" s="464"/>
      <c r="AC329" s="687"/>
      <c r="AD329" s="464"/>
      <c r="AE329" s="687"/>
      <c r="AF329" s="464"/>
      <c r="AG329" s="687"/>
      <c r="AH329" s="464"/>
      <c r="AI329" s="507"/>
      <c r="AJ329" s="464"/>
      <c r="AK329" s="507"/>
      <c r="AL329" s="464"/>
      <c r="AM329" s="507"/>
      <c r="AN329" s="464"/>
      <c r="AO329" s="507"/>
      <c r="AP329" s="464"/>
      <c r="AQ329" s="507"/>
      <c r="AR329" s="464"/>
      <c r="AS329" s="507"/>
      <c r="AT329" s="464"/>
      <c r="AU329" s="507"/>
      <c r="AV329" s="464"/>
      <c r="AW329" s="507"/>
      <c r="AX329" s="464"/>
      <c r="AY329" s="507"/>
      <c r="AZ329" s="464"/>
      <c r="BA329" s="507"/>
      <c r="BB329" s="464"/>
      <c r="BC329" s="507"/>
      <c r="BD329" s="464"/>
      <c r="BE329" s="507"/>
      <c r="BF329" s="464"/>
      <c r="BG329" s="507"/>
      <c r="BH329" s="464"/>
      <c r="BI329" s="507"/>
      <c r="BJ329" s="464"/>
      <c r="BK329" s="507"/>
      <c r="BL329" s="464"/>
      <c r="BM329" s="507"/>
      <c r="BN329" s="464"/>
      <c r="BO329" s="507"/>
      <c r="BP329" s="464"/>
      <c r="BQ329" s="507"/>
      <c r="BR329" s="464"/>
      <c r="BS329" s="507"/>
      <c r="BT329" s="464"/>
      <c r="BU329" s="507"/>
      <c r="BV329" s="464"/>
      <c r="BW329" s="507"/>
      <c r="BX329" s="464"/>
      <c r="BY329" s="507"/>
      <c r="BZ329" s="464"/>
      <c r="CA329" s="507"/>
      <c r="CB329" s="464"/>
      <c r="CC329" s="507"/>
      <c r="CD329" s="464"/>
      <c r="CE329" s="507"/>
      <c r="CF329" s="464"/>
      <c r="CG329" s="507"/>
      <c r="CH329" s="464"/>
      <c r="CI329" s="507"/>
      <c r="CJ329" s="464"/>
      <c r="CK329" s="507"/>
      <c r="CL329" s="464"/>
      <c r="CM329" s="507"/>
      <c r="CN329" s="464"/>
      <c r="CO329" s="507"/>
      <c r="CP329" s="464"/>
      <c r="CQ329" s="507"/>
      <c r="CR329" s="464"/>
      <c r="CS329" s="507"/>
      <c r="CT329" s="464"/>
      <c r="CU329" s="507"/>
      <c r="CV329" s="464"/>
      <c r="CW329" s="507"/>
      <c r="CX329" s="464"/>
      <c r="CY329" s="507"/>
      <c r="CZ329" s="464"/>
      <c r="DA329" s="507"/>
      <c r="DB329" s="507"/>
      <c r="DC329" s="464"/>
      <c r="DD329" s="687"/>
      <c r="DE329" s="464"/>
      <c r="DF329" s="687"/>
      <c r="DG329" s="464"/>
      <c r="DH329" s="687"/>
      <c r="DI329" s="464"/>
      <c r="DJ329" s="687"/>
      <c r="DK329" s="464"/>
      <c r="DL329" s="507"/>
      <c r="DM329" s="464"/>
      <c r="DN329" s="507"/>
      <c r="DO329" s="464"/>
      <c r="DP329" s="507"/>
      <c r="DQ329" s="464"/>
      <c r="DR329" s="507"/>
      <c r="DS329" s="464"/>
      <c r="DT329" s="507"/>
      <c r="DU329" s="464"/>
      <c r="DV329" s="507"/>
      <c r="DW329" s="464"/>
      <c r="DX329" s="507"/>
      <c r="DY329" s="464"/>
      <c r="DZ329" s="507"/>
      <c r="EA329" s="464"/>
      <c r="EB329" s="507"/>
      <c r="EC329" s="464"/>
      <c r="ED329" s="507"/>
      <c r="EE329" s="464"/>
      <c r="EF329" s="507"/>
      <c r="EG329" s="464"/>
      <c r="EH329" s="507"/>
      <c r="EI329" s="464"/>
      <c r="EJ329" s="507"/>
      <c r="EK329" s="464"/>
      <c r="EL329" s="507"/>
      <c r="EM329" s="687"/>
    </row>
    <row r="330" spans="1:143" ht="12.75" hidden="1" customHeight="1" outlineLevel="2" x14ac:dyDescent="0.2">
      <c r="A330" s="700" t="str">
        <f>INPUT!B338</f>
        <v>Benefits and Expenses Analysis</v>
      </c>
      <c r="B330" s="16"/>
      <c r="C330" s="507"/>
      <c r="D330" s="16"/>
      <c r="E330" s="687"/>
      <c r="F330" s="16"/>
      <c r="G330" s="687"/>
      <c r="H330" s="16"/>
      <c r="I330" s="687"/>
      <c r="J330" s="16"/>
      <c r="K330" s="687"/>
      <c r="L330" s="16"/>
      <c r="M330" s="687"/>
      <c r="N330" s="16"/>
      <c r="O330" s="687"/>
      <c r="P330" s="16"/>
      <c r="Q330" s="687"/>
      <c r="R330" s="16"/>
      <c r="S330" s="687"/>
      <c r="T330" s="16"/>
      <c r="U330" s="687"/>
      <c r="V330" s="16"/>
      <c r="W330" s="687"/>
      <c r="X330" s="16"/>
      <c r="Y330" s="687"/>
      <c r="Z330" s="16"/>
      <c r="AA330" s="687"/>
      <c r="AB330" s="16"/>
      <c r="AC330" s="687"/>
      <c r="AD330" s="16"/>
      <c r="AE330" s="687"/>
      <c r="AF330" s="16"/>
      <c r="AG330" s="687"/>
      <c r="AH330" s="16"/>
      <c r="AI330" s="507"/>
      <c r="AJ330" s="16"/>
      <c r="AK330" s="507"/>
      <c r="AL330" s="16"/>
      <c r="AM330" s="507"/>
      <c r="AN330" s="16"/>
      <c r="AO330" s="507"/>
      <c r="AP330" s="16"/>
      <c r="AQ330" s="507"/>
      <c r="AR330" s="16"/>
      <c r="AS330" s="507"/>
      <c r="AT330" s="16"/>
      <c r="AU330" s="507"/>
      <c r="AV330" s="16"/>
      <c r="AW330" s="507"/>
      <c r="AX330" s="16"/>
      <c r="AY330" s="507"/>
      <c r="AZ330" s="16"/>
      <c r="BA330" s="507"/>
      <c r="BB330" s="16"/>
      <c r="BC330" s="507"/>
      <c r="BD330" s="16"/>
      <c r="BE330" s="507"/>
      <c r="BF330" s="16"/>
      <c r="BG330" s="507"/>
      <c r="BH330" s="16"/>
      <c r="BI330" s="507"/>
      <c r="BJ330" s="16"/>
      <c r="BK330" s="507"/>
      <c r="BL330" s="16"/>
      <c r="BM330" s="507"/>
      <c r="BN330" s="16"/>
      <c r="BO330" s="507"/>
      <c r="BP330" s="16"/>
      <c r="BQ330" s="507"/>
      <c r="BR330" s="16"/>
      <c r="BS330" s="507"/>
      <c r="BT330" s="16"/>
      <c r="BU330" s="507"/>
      <c r="BV330" s="16"/>
      <c r="BW330" s="507"/>
      <c r="BX330" s="16"/>
      <c r="BY330" s="507"/>
      <c r="BZ330" s="16"/>
      <c r="CA330" s="507"/>
      <c r="CB330" s="16"/>
      <c r="CC330" s="507"/>
      <c r="CD330" s="16"/>
      <c r="CE330" s="507"/>
      <c r="CF330" s="16"/>
      <c r="CG330" s="507"/>
      <c r="CH330" s="16"/>
      <c r="CI330" s="507"/>
      <c r="CJ330" s="16"/>
      <c r="CK330" s="507"/>
      <c r="CL330" s="16"/>
      <c r="CM330" s="507"/>
      <c r="CN330" s="16"/>
      <c r="CO330" s="507"/>
      <c r="CP330" s="16"/>
      <c r="CQ330" s="507"/>
      <c r="CR330" s="16"/>
      <c r="CS330" s="507"/>
      <c r="CT330" s="16"/>
      <c r="CU330" s="507"/>
      <c r="CV330" s="16"/>
      <c r="CW330" s="507"/>
      <c r="CX330" s="16"/>
      <c r="CY330" s="507"/>
      <c r="CZ330" s="16"/>
      <c r="DA330" s="507"/>
      <c r="DB330" s="507"/>
      <c r="DC330" s="16"/>
      <c r="DD330" s="687"/>
      <c r="DE330" s="16"/>
      <c r="DF330" s="687"/>
      <c r="DG330" s="16"/>
      <c r="DH330" s="687"/>
      <c r="DI330" s="16"/>
      <c r="DJ330" s="687"/>
      <c r="DK330" s="16"/>
      <c r="DL330" s="507"/>
      <c r="DM330" s="16"/>
      <c r="DN330" s="507"/>
      <c r="DO330" s="16"/>
      <c r="DP330" s="507"/>
      <c r="DQ330" s="16"/>
      <c r="DR330" s="507"/>
      <c r="DS330" s="16"/>
      <c r="DT330" s="507"/>
      <c r="DU330" s="16"/>
      <c r="DV330" s="507"/>
      <c r="DW330" s="16"/>
      <c r="DX330" s="507"/>
      <c r="DY330" s="16"/>
      <c r="DZ330" s="507"/>
      <c r="EA330" s="16"/>
      <c r="EB330" s="507"/>
      <c r="EC330" s="16"/>
      <c r="ED330" s="507"/>
      <c r="EE330" s="16"/>
      <c r="EF330" s="507"/>
      <c r="EG330" s="16"/>
      <c r="EH330" s="507"/>
      <c r="EI330" s="16"/>
      <c r="EJ330" s="507"/>
      <c r="EK330" s="16"/>
      <c r="EL330" s="507"/>
      <c r="EM330" s="687"/>
    </row>
    <row r="331" spans="1:143" ht="12.75" hidden="1" customHeight="1" outlineLevel="2" x14ac:dyDescent="0.2">
      <c r="A331" s="718" t="str">
        <f>INPUT!B339</f>
        <v>Benefits / Net Revenues (%)</v>
      </c>
      <c r="B331" s="156">
        <f>INPUT!AY339</f>
        <v>68.475991649269304</v>
      </c>
      <c r="C331" s="507">
        <f>INPUT!AZ339</f>
        <v>-5.6840115019498256</v>
      </c>
      <c r="D331" s="156">
        <f>INPUT!BA339</f>
        <v>49.83606557377049</v>
      </c>
      <c r="E331" s="687">
        <f>INPUT!BB339</f>
        <v>-29.223046937576758</v>
      </c>
      <c r="F331" s="156">
        <f>INPUT!BC339</f>
        <v>55.279503105590052</v>
      </c>
      <c r="G331" s="687">
        <f>INPUT!BD339</f>
        <v>-32.251436043524961</v>
      </c>
      <c r="H331" s="156">
        <f>INPUT!BE339</f>
        <v>59.165424739195238</v>
      </c>
      <c r="I331" s="687">
        <f>INPUT!BF339</f>
        <v>-1.2013259964079648</v>
      </c>
      <c r="J331" s="156">
        <f>INPUT!BG339</f>
        <v>9.0032154340836037</v>
      </c>
      <c r="K331" s="687" t="str">
        <f>INPUT!BH339</f>
        <v>NM</v>
      </c>
      <c r="L331" s="156">
        <f>INPUT!BI339</f>
        <v>9.6428571428571459</v>
      </c>
      <c r="M331" s="687"/>
      <c r="N331" s="156"/>
      <c r="O331" s="687"/>
      <c r="P331" s="156"/>
      <c r="Q331" s="687"/>
      <c r="R331" s="156"/>
      <c r="S331" s="687"/>
      <c r="T331" s="156"/>
      <c r="U331" s="687"/>
      <c r="V331" s="156"/>
      <c r="W331" s="687"/>
      <c r="X331" s="156"/>
      <c r="Y331" s="687"/>
      <c r="Z331" s="156"/>
      <c r="AA331" s="687"/>
      <c r="AB331" s="156"/>
      <c r="AC331" s="687"/>
      <c r="AD331" s="156"/>
      <c r="AE331" s="687"/>
      <c r="AF331" s="156"/>
      <c r="AG331" s="687"/>
      <c r="AH331" s="156"/>
      <c r="AI331" s="507"/>
      <c r="AJ331" s="156"/>
      <c r="AK331" s="507"/>
      <c r="AL331" s="156"/>
      <c r="AM331" s="507"/>
      <c r="AN331" s="156"/>
      <c r="AO331" s="507"/>
      <c r="AP331" s="156"/>
      <c r="AQ331" s="507"/>
      <c r="AR331" s="156"/>
      <c r="AS331" s="507"/>
      <c r="AT331" s="156"/>
      <c r="AU331" s="507"/>
      <c r="AV331" s="156"/>
      <c r="AW331" s="507"/>
      <c r="AX331" s="156"/>
      <c r="AY331" s="507"/>
      <c r="AZ331" s="156"/>
      <c r="BA331" s="507"/>
      <c r="BB331" s="156"/>
      <c r="BC331" s="507"/>
      <c r="BD331" s="156"/>
      <c r="BE331" s="507"/>
      <c r="BF331" s="156"/>
      <c r="BG331" s="507"/>
      <c r="BH331" s="156"/>
      <c r="BI331" s="507"/>
      <c r="BJ331" s="156"/>
      <c r="BK331" s="507"/>
      <c r="BL331" s="156"/>
      <c r="BM331" s="507"/>
      <c r="BN331" s="156"/>
      <c r="BO331" s="507"/>
      <c r="BP331" s="156"/>
      <c r="BQ331" s="507"/>
      <c r="BR331" s="156"/>
      <c r="BS331" s="507"/>
      <c r="BT331" s="156"/>
      <c r="BU331" s="507"/>
      <c r="BV331" s="156"/>
      <c r="BW331" s="507"/>
      <c r="BX331" s="156"/>
      <c r="BY331" s="507"/>
      <c r="BZ331" s="156"/>
      <c r="CA331" s="507"/>
      <c r="CB331" s="156"/>
      <c r="CC331" s="507"/>
      <c r="CD331" s="156"/>
      <c r="CE331" s="507"/>
      <c r="CF331" s="156"/>
      <c r="CG331" s="507"/>
      <c r="CH331" s="156"/>
      <c r="CI331" s="507"/>
      <c r="CJ331" s="156"/>
      <c r="CK331" s="507"/>
      <c r="CL331" s="156"/>
      <c r="CM331" s="507"/>
      <c r="CN331" s="156"/>
      <c r="CO331" s="507"/>
      <c r="CP331" s="156"/>
      <c r="CQ331" s="507"/>
      <c r="CR331" s="156"/>
      <c r="CS331" s="507"/>
      <c r="CT331" s="156"/>
      <c r="CU331" s="507"/>
      <c r="CV331" s="156"/>
      <c r="CW331" s="507"/>
      <c r="CX331" s="156"/>
      <c r="CY331" s="507"/>
      <c r="CZ331" s="156"/>
      <c r="DA331" s="507"/>
      <c r="DB331" s="507"/>
      <c r="DC331" s="156">
        <f>INPUT!FP339</f>
        <v>70.912951167728224</v>
      </c>
      <c r="DD331" s="687" t="str">
        <f>INPUT!FQ339</f>
        <v>NA</v>
      </c>
      <c r="DE331" s="156">
        <f>INPUT!FR339</f>
        <v>57.612312811980047</v>
      </c>
      <c r="DF331" s="687">
        <f>INPUT!FS339</f>
        <v>-18.756289417836502</v>
      </c>
      <c r="DG331" s="156">
        <f>INPUT!FT339</f>
        <v>9.3062605752961129</v>
      </c>
      <c r="DH331" s="687"/>
      <c r="DI331" s="156"/>
      <c r="DJ331" s="687"/>
      <c r="DK331" s="156"/>
      <c r="DL331" s="507"/>
      <c r="DM331" s="156"/>
      <c r="DN331" s="507"/>
      <c r="DO331" s="156"/>
      <c r="DP331" s="507"/>
      <c r="DQ331" s="156"/>
      <c r="DR331" s="507"/>
      <c r="DS331" s="156"/>
      <c r="DT331" s="507"/>
      <c r="DU331" s="156"/>
      <c r="DV331" s="507"/>
      <c r="DW331" s="156"/>
      <c r="DX331" s="507"/>
      <c r="DY331" s="156"/>
      <c r="DZ331" s="507"/>
      <c r="EA331" s="156"/>
      <c r="EB331" s="507"/>
      <c r="EC331" s="156"/>
      <c r="ED331" s="507"/>
      <c r="EE331" s="156"/>
      <c r="EF331" s="507"/>
      <c r="EG331" s="156"/>
      <c r="EH331" s="507"/>
      <c r="EI331" s="156"/>
      <c r="EJ331" s="507"/>
      <c r="EK331" s="156"/>
      <c r="EL331" s="507"/>
      <c r="EM331" s="687"/>
    </row>
    <row r="332" spans="1:143" ht="12.75" hidden="1" customHeight="1" outlineLevel="2" x14ac:dyDescent="0.2">
      <c r="A332" s="718" t="str">
        <f>INPUT!B340</f>
        <v>Other Op Exp/Revenues (%)</v>
      </c>
      <c r="B332" s="156">
        <f>INPUT!AY340</f>
        <v>9.603340292275572</v>
      </c>
      <c r="C332" s="507">
        <f>INPUT!AZ340</f>
        <v>-47.421711899791241</v>
      </c>
      <c r="D332" s="156">
        <f>INPUT!BA340</f>
        <v>11.803278688524591</v>
      </c>
      <c r="E332" s="687">
        <f>INPUT!BB340</f>
        <v>-31.383606557377053</v>
      </c>
      <c r="F332" s="156">
        <f>INPUT!BC340</f>
        <v>18.167701863354036</v>
      </c>
      <c r="G332" s="687">
        <f>INPUT!BD340</f>
        <v>38.812597049689444</v>
      </c>
      <c r="H332" s="156">
        <f>INPUT!BE340</f>
        <v>13.561847988077497</v>
      </c>
      <c r="I332" s="687">
        <f>INPUT!BF340</f>
        <v>-3.2092766878304646</v>
      </c>
      <c r="J332" s="156">
        <f>INPUT!BG340</f>
        <v>32.797427652733127</v>
      </c>
      <c r="K332" s="687" t="str">
        <f>INPUT!BH340</f>
        <v>NM</v>
      </c>
      <c r="L332" s="156">
        <f>INPUT!BI340</f>
        <v>31.428571428571438</v>
      </c>
      <c r="M332" s="687"/>
      <c r="N332" s="156"/>
      <c r="O332" s="687"/>
      <c r="P332" s="156"/>
      <c r="Q332" s="687"/>
      <c r="R332" s="156"/>
      <c r="S332" s="687"/>
      <c r="T332" s="156"/>
      <c r="U332" s="687"/>
      <c r="V332" s="156"/>
      <c r="W332" s="687"/>
      <c r="X332" s="156"/>
      <c r="Y332" s="687"/>
      <c r="Z332" s="156"/>
      <c r="AA332" s="687"/>
      <c r="AB332" s="156"/>
      <c r="AC332" s="687"/>
      <c r="AD332" s="156"/>
      <c r="AE332" s="687"/>
      <c r="AF332" s="156"/>
      <c r="AG332" s="687"/>
      <c r="AH332" s="156"/>
      <c r="AI332" s="507"/>
      <c r="AJ332" s="156"/>
      <c r="AK332" s="507"/>
      <c r="AL332" s="156"/>
      <c r="AM332" s="507"/>
      <c r="AN332" s="156"/>
      <c r="AO332" s="507"/>
      <c r="AP332" s="156"/>
      <c r="AQ332" s="507"/>
      <c r="AR332" s="156"/>
      <c r="AS332" s="507"/>
      <c r="AT332" s="156"/>
      <c r="AU332" s="507"/>
      <c r="AV332" s="156"/>
      <c r="AW332" s="507"/>
      <c r="AX332" s="156"/>
      <c r="AY332" s="507"/>
      <c r="AZ332" s="156"/>
      <c r="BA332" s="507"/>
      <c r="BB332" s="156"/>
      <c r="BC332" s="507"/>
      <c r="BD332" s="156"/>
      <c r="BE332" s="507"/>
      <c r="BF332" s="156"/>
      <c r="BG332" s="507"/>
      <c r="BH332" s="156"/>
      <c r="BI332" s="507"/>
      <c r="BJ332" s="156"/>
      <c r="BK332" s="507"/>
      <c r="BL332" s="156"/>
      <c r="BM332" s="507"/>
      <c r="BN332" s="156"/>
      <c r="BO332" s="507"/>
      <c r="BP332" s="156"/>
      <c r="BQ332" s="507"/>
      <c r="BR332" s="156"/>
      <c r="BS332" s="507"/>
      <c r="BT332" s="156"/>
      <c r="BU332" s="507"/>
      <c r="BV332" s="156"/>
      <c r="BW332" s="507"/>
      <c r="BX332" s="156"/>
      <c r="BY332" s="507"/>
      <c r="BZ332" s="156"/>
      <c r="CA332" s="507"/>
      <c r="CB332" s="156"/>
      <c r="CC332" s="507"/>
      <c r="CD332" s="156"/>
      <c r="CE332" s="507"/>
      <c r="CF332" s="156"/>
      <c r="CG332" s="507"/>
      <c r="CH332" s="156"/>
      <c r="CI332" s="507"/>
      <c r="CJ332" s="156"/>
      <c r="CK332" s="507"/>
      <c r="CL332" s="156"/>
      <c r="CM332" s="507"/>
      <c r="CN332" s="156"/>
      <c r="CO332" s="507"/>
      <c r="CP332" s="156"/>
      <c r="CQ332" s="507"/>
      <c r="CR332" s="156"/>
      <c r="CS332" s="507"/>
      <c r="CT332" s="156"/>
      <c r="CU332" s="507"/>
      <c r="CV332" s="156"/>
      <c r="CW332" s="507"/>
      <c r="CX332" s="156"/>
      <c r="CY332" s="507"/>
      <c r="CZ332" s="156"/>
      <c r="DA332" s="507"/>
      <c r="DB332" s="507"/>
      <c r="DC332" s="156">
        <f>INPUT!FP340</f>
        <v>15.49893842887473</v>
      </c>
      <c r="DD332" s="687" t="str">
        <f>INPUT!FQ340</f>
        <v>NA</v>
      </c>
      <c r="DE332" s="156">
        <f>INPUT!FR340</f>
        <v>13.560732113144763</v>
      </c>
      <c r="DF332" s="687">
        <f>INPUT!FS340</f>
        <v>-12.505413352175543</v>
      </c>
      <c r="DG332" s="156">
        <f>INPUT!FT340</f>
        <v>32.148900169204758</v>
      </c>
      <c r="DH332" s="687"/>
      <c r="DI332" s="156"/>
      <c r="DJ332" s="687"/>
      <c r="DK332" s="156"/>
      <c r="DL332" s="507"/>
      <c r="DM332" s="156"/>
      <c r="DN332" s="507"/>
      <c r="DO332" s="156"/>
      <c r="DP332" s="507"/>
      <c r="DQ332" s="156"/>
      <c r="DR332" s="507"/>
      <c r="DS332" s="156"/>
      <c r="DT332" s="507"/>
      <c r="DU332" s="156"/>
      <c r="DV332" s="507"/>
      <c r="DW332" s="156"/>
      <c r="DX332" s="507"/>
      <c r="DY332" s="156"/>
      <c r="DZ332" s="507"/>
      <c r="EA332" s="156"/>
      <c r="EB332" s="507"/>
      <c r="EC332" s="156"/>
      <c r="ED332" s="507"/>
      <c r="EE332" s="156"/>
      <c r="EF332" s="507"/>
      <c r="EG332" s="156"/>
      <c r="EH332" s="507"/>
      <c r="EI332" s="156"/>
      <c r="EJ332" s="507"/>
      <c r="EK332" s="156"/>
      <c r="EL332" s="507"/>
      <c r="EM332" s="687"/>
    </row>
    <row r="333" spans="1:143" ht="12.75" hidden="1" customHeight="1" outlineLevel="2" x14ac:dyDescent="0.2">
      <c r="A333" s="701"/>
      <c r="B333" s="16"/>
      <c r="C333" s="507"/>
      <c r="D333" s="16"/>
      <c r="E333" s="687"/>
      <c r="F333" s="16"/>
      <c r="G333" s="687"/>
      <c r="H333" s="16"/>
      <c r="I333" s="687"/>
      <c r="J333" s="16"/>
      <c r="K333" s="507"/>
      <c r="L333" s="16"/>
      <c r="M333" s="507"/>
      <c r="N333" s="16"/>
      <c r="O333" s="507"/>
      <c r="P333" s="16"/>
      <c r="Q333" s="507"/>
      <c r="R333" s="16"/>
      <c r="S333" s="507"/>
      <c r="T333" s="16"/>
      <c r="U333" s="507"/>
      <c r="V333" s="16"/>
      <c r="W333" s="507"/>
      <c r="X333" s="16"/>
      <c r="Y333" s="507"/>
      <c r="Z333" s="16"/>
      <c r="AA333" s="687"/>
      <c r="AB333" s="16"/>
      <c r="AC333" s="507"/>
      <c r="AD333" s="16"/>
      <c r="AE333" s="507"/>
      <c r="AF333" s="16"/>
      <c r="AG333" s="507"/>
      <c r="AH333" s="16"/>
      <c r="AI333" s="507"/>
      <c r="AJ333" s="16"/>
      <c r="AK333" s="507"/>
      <c r="AL333" s="16"/>
      <c r="AM333" s="507"/>
      <c r="AN333" s="16"/>
      <c r="AO333" s="507"/>
      <c r="AP333" s="16"/>
      <c r="AQ333" s="507"/>
      <c r="AR333" s="16"/>
      <c r="AS333" s="507"/>
      <c r="AT333" s="16"/>
      <c r="AU333" s="507"/>
      <c r="AV333" s="16"/>
      <c r="AW333" s="507"/>
      <c r="AX333" s="16"/>
      <c r="AY333" s="507"/>
      <c r="AZ333" s="16"/>
      <c r="BA333" s="507"/>
      <c r="BB333" s="16"/>
      <c r="BC333" s="507"/>
      <c r="BD333" s="16"/>
      <c r="BE333" s="507"/>
      <c r="BF333" s="16"/>
      <c r="BG333" s="507"/>
      <c r="BH333" s="16"/>
      <c r="BI333" s="507"/>
      <c r="BJ333" s="16"/>
      <c r="BK333" s="507"/>
      <c r="BL333" s="16"/>
      <c r="BM333" s="507"/>
      <c r="BN333" s="16"/>
      <c r="BO333" s="507"/>
      <c r="BP333" s="16"/>
      <c r="BQ333" s="507"/>
      <c r="BR333" s="16"/>
      <c r="BS333" s="507"/>
      <c r="BT333" s="16"/>
      <c r="BU333" s="507"/>
      <c r="BV333" s="16"/>
      <c r="BW333" s="507"/>
      <c r="BX333" s="16"/>
      <c r="BY333" s="507"/>
      <c r="BZ333" s="16"/>
      <c r="CA333" s="507"/>
      <c r="CB333" s="16"/>
      <c r="CC333" s="507"/>
      <c r="CD333" s="16"/>
      <c r="CE333" s="507"/>
      <c r="CF333" s="16"/>
      <c r="CG333" s="507"/>
      <c r="CH333" s="16"/>
      <c r="CI333" s="507"/>
      <c r="CJ333" s="16"/>
      <c r="CK333" s="507"/>
      <c r="CL333" s="16"/>
      <c r="CM333" s="507"/>
      <c r="CN333" s="16"/>
      <c r="CO333" s="507"/>
      <c r="CP333" s="16"/>
      <c r="CQ333" s="507"/>
      <c r="CR333" s="16"/>
      <c r="CS333" s="507"/>
      <c r="CT333" s="16"/>
      <c r="CU333" s="507"/>
      <c r="CV333" s="16"/>
      <c r="CW333" s="507"/>
      <c r="CX333" s="16"/>
      <c r="CY333" s="507"/>
      <c r="CZ333" s="16"/>
      <c r="DA333" s="507"/>
      <c r="DB333" s="507"/>
      <c r="DC333" s="16"/>
      <c r="DD333" s="507"/>
      <c r="DE333" s="16"/>
      <c r="DF333" s="507"/>
      <c r="DG333" s="16"/>
      <c r="DH333" s="507"/>
      <c r="DI333" s="16"/>
      <c r="DJ333" s="507"/>
      <c r="DK333" s="16"/>
      <c r="DL333" s="507"/>
      <c r="DM333" s="16"/>
      <c r="DN333" s="507"/>
      <c r="DO333" s="16"/>
      <c r="DP333" s="507"/>
      <c r="DQ333" s="16"/>
      <c r="DR333" s="507"/>
      <c r="DS333" s="16"/>
      <c r="DT333" s="507"/>
      <c r="DU333" s="16"/>
      <c r="DV333" s="507"/>
      <c r="DW333" s="16"/>
      <c r="DX333" s="507"/>
      <c r="DY333" s="16"/>
      <c r="DZ333" s="507"/>
      <c r="EA333" s="16"/>
      <c r="EB333" s="507"/>
      <c r="EC333" s="16"/>
      <c r="ED333" s="507"/>
      <c r="EE333" s="16"/>
      <c r="EF333" s="507"/>
      <c r="EG333" s="16"/>
      <c r="EH333" s="507"/>
      <c r="EI333" s="16"/>
      <c r="EJ333" s="507"/>
      <c r="EK333" s="16"/>
      <c r="EL333" s="507"/>
      <c r="EM333" s="687"/>
    </row>
    <row r="334" spans="1:143" ht="12.75" hidden="1" customHeight="1" outlineLevel="2" x14ac:dyDescent="0.2">
      <c r="A334" s="689" t="str">
        <f>+A51</f>
        <v xml:space="preserve">Quarterly income statement ratios are annualized where appropriate     NM = Not Meaningful       NA = Not Applicable </v>
      </c>
      <c r="B334" s="16"/>
      <c r="C334" s="507"/>
      <c r="D334" s="16"/>
      <c r="E334" s="687"/>
      <c r="F334" s="16"/>
      <c r="G334" s="687"/>
      <c r="H334" s="16"/>
      <c r="I334" s="687"/>
      <c r="J334" s="16"/>
      <c r="K334" s="507"/>
      <c r="L334" s="16"/>
      <c r="M334" s="507"/>
      <c r="N334" s="16"/>
      <c r="O334" s="507"/>
      <c r="P334" s="16"/>
      <c r="Q334" s="507"/>
      <c r="R334" s="16"/>
      <c r="S334" s="507"/>
      <c r="T334" s="16"/>
      <c r="U334" s="507"/>
      <c r="V334" s="16"/>
      <c r="W334" s="507"/>
      <c r="X334" s="16"/>
      <c r="Y334" s="507"/>
      <c r="Z334" s="16"/>
      <c r="AA334" s="687"/>
      <c r="AB334" s="16"/>
      <c r="AC334" s="507"/>
      <c r="AD334" s="16"/>
      <c r="AE334" s="507"/>
      <c r="AF334" s="16"/>
      <c r="AG334" s="507"/>
      <c r="AH334" s="16"/>
      <c r="AI334" s="507"/>
      <c r="AJ334" s="16"/>
      <c r="AK334" s="507"/>
      <c r="AL334" s="16"/>
      <c r="AM334" s="507"/>
      <c r="AN334" s="16"/>
      <c r="AO334" s="507"/>
      <c r="AP334" s="16"/>
      <c r="AQ334" s="507"/>
      <c r="AR334" s="16"/>
      <c r="AS334" s="507"/>
      <c r="AT334" s="16"/>
      <c r="AU334" s="507"/>
      <c r="AV334" s="16"/>
      <c r="AW334" s="507"/>
      <c r="AX334" s="16"/>
      <c r="AY334" s="507"/>
      <c r="AZ334" s="16"/>
      <c r="BA334" s="507"/>
      <c r="BB334" s="16"/>
      <c r="BC334" s="507"/>
      <c r="BD334" s="16"/>
      <c r="BE334" s="507"/>
      <c r="BF334" s="16"/>
      <c r="BG334" s="507"/>
      <c r="BH334" s="16"/>
      <c r="BI334" s="507"/>
      <c r="BJ334" s="16"/>
      <c r="BK334" s="507"/>
      <c r="BL334" s="16"/>
      <c r="BM334" s="507"/>
      <c r="BN334" s="16"/>
      <c r="BO334" s="507"/>
      <c r="BP334" s="16"/>
      <c r="BQ334" s="507"/>
      <c r="BR334" s="16"/>
      <c r="BS334" s="507"/>
      <c r="BT334" s="16"/>
      <c r="BU334" s="507"/>
      <c r="BV334" s="16"/>
      <c r="BW334" s="507"/>
      <c r="BX334" s="16"/>
      <c r="BY334" s="507"/>
      <c r="BZ334" s="16"/>
      <c r="CA334" s="507"/>
      <c r="CB334" s="16"/>
      <c r="CC334" s="507"/>
      <c r="CD334" s="16"/>
      <c r="CE334" s="507"/>
      <c r="CF334" s="16"/>
      <c r="CG334" s="507"/>
      <c r="CH334" s="16"/>
      <c r="CI334" s="507"/>
      <c r="CJ334" s="16"/>
      <c r="CK334" s="507"/>
      <c r="CL334" s="16"/>
      <c r="CM334" s="507"/>
      <c r="CN334" s="16"/>
      <c r="CO334" s="507"/>
      <c r="CP334" s="16"/>
      <c r="CQ334" s="507"/>
      <c r="CR334" s="16"/>
      <c r="CS334" s="507"/>
      <c r="CT334" s="16"/>
      <c r="CU334" s="507"/>
      <c r="CV334" s="16"/>
      <c r="CW334" s="507"/>
      <c r="CX334" s="16"/>
      <c r="CY334" s="507"/>
      <c r="CZ334" s="16"/>
      <c r="DA334" s="507"/>
      <c r="DB334" s="507"/>
      <c r="DC334" s="16"/>
      <c r="DD334" s="507"/>
      <c r="DE334" s="16"/>
      <c r="DF334" s="507"/>
      <c r="DG334" s="16"/>
      <c r="DH334" s="507"/>
      <c r="DI334" s="16"/>
      <c r="DJ334" s="507"/>
      <c r="DK334" s="16"/>
      <c r="DL334" s="507"/>
      <c r="DM334" s="16"/>
      <c r="DN334" s="507"/>
      <c r="DO334" s="16"/>
      <c r="DP334" s="507"/>
      <c r="DQ334" s="16"/>
      <c r="DR334" s="507"/>
      <c r="DS334" s="16"/>
      <c r="DT334" s="507"/>
      <c r="DU334" s="16"/>
      <c r="DV334" s="507"/>
      <c r="DW334" s="16"/>
      <c r="DX334" s="507"/>
      <c r="DY334" s="16"/>
      <c r="DZ334" s="507"/>
      <c r="EA334" s="16"/>
      <c r="EB334" s="507"/>
      <c r="EC334" s="16"/>
      <c r="ED334" s="507"/>
      <c r="EE334" s="16"/>
      <c r="EF334" s="507"/>
      <c r="EG334" s="16"/>
      <c r="EH334" s="507"/>
      <c r="EI334" s="16"/>
      <c r="EJ334" s="507"/>
      <c r="EK334" s="16"/>
      <c r="EL334" s="507"/>
      <c r="EM334" s="687"/>
    </row>
    <row r="335" spans="1:143" ht="12.75" hidden="1" customHeight="1" outlineLevel="2" x14ac:dyDescent="0.2">
      <c r="A335" s="689" t="s">
        <v>137</v>
      </c>
      <c r="B335" s="16"/>
      <c r="C335" s="507"/>
      <c r="D335" s="16"/>
      <c r="E335" s="687"/>
      <c r="F335" s="16"/>
      <c r="G335" s="687"/>
      <c r="H335" s="16"/>
      <c r="I335" s="687"/>
      <c r="J335" s="16"/>
      <c r="K335" s="507"/>
      <c r="L335" s="16"/>
      <c r="M335" s="507"/>
      <c r="N335" s="16"/>
      <c r="O335" s="507"/>
      <c r="P335" s="16"/>
      <c r="Q335" s="507"/>
      <c r="R335" s="16"/>
      <c r="S335" s="507"/>
      <c r="T335" s="16"/>
      <c r="U335" s="507"/>
      <c r="V335" s="16"/>
      <c r="W335" s="507"/>
      <c r="X335" s="16"/>
      <c r="Y335" s="507"/>
      <c r="Z335" s="16"/>
      <c r="AA335" s="687"/>
      <c r="AB335" s="16"/>
      <c r="AC335" s="507"/>
      <c r="AD335" s="16"/>
      <c r="AE335" s="507"/>
      <c r="AF335" s="16"/>
      <c r="AG335" s="507"/>
      <c r="AH335" s="16"/>
      <c r="AI335" s="507"/>
      <c r="AJ335" s="16"/>
      <c r="AK335" s="507"/>
      <c r="AL335" s="16"/>
      <c r="AM335" s="507"/>
      <c r="AN335" s="16"/>
      <c r="AO335" s="507"/>
      <c r="AP335" s="16"/>
      <c r="AQ335" s="507"/>
      <c r="AR335" s="16"/>
      <c r="AS335" s="507"/>
      <c r="AT335" s="16"/>
      <c r="AU335" s="507"/>
      <c r="AV335" s="16"/>
      <c r="AW335" s="507"/>
      <c r="AX335" s="16"/>
      <c r="AY335" s="507"/>
      <c r="AZ335" s="16"/>
      <c r="BA335" s="507"/>
      <c r="BB335" s="16"/>
      <c r="BC335" s="507"/>
      <c r="BD335" s="16"/>
      <c r="BE335" s="507"/>
      <c r="BF335" s="16"/>
      <c r="BG335" s="507"/>
      <c r="BH335" s="16"/>
      <c r="BI335" s="507"/>
      <c r="BJ335" s="16"/>
      <c r="BK335" s="507"/>
      <c r="BL335" s="16"/>
      <c r="BM335" s="507"/>
      <c r="BN335" s="16"/>
      <c r="BO335" s="507"/>
      <c r="BP335" s="16"/>
      <c r="BQ335" s="507"/>
      <c r="BR335" s="16"/>
      <c r="BS335" s="507"/>
      <c r="BT335" s="16"/>
      <c r="BU335" s="507"/>
      <c r="BV335" s="16"/>
      <c r="BW335" s="507"/>
      <c r="BX335" s="16"/>
      <c r="BY335" s="507"/>
      <c r="BZ335" s="16"/>
      <c r="CA335" s="507"/>
      <c r="CB335" s="16"/>
      <c r="CC335" s="507"/>
      <c r="CD335" s="16"/>
      <c r="CE335" s="507"/>
      <c r="CF335" s="16"/>
      <c r="CG335" s="507"/>
      <c r="CH335" s="16"/>
      <c r="CI335" s="507"/>
      <c r="CJ335" s="16"/>
      <c r="CK335" s="507"/>
      <c r="CL335" s="16"/>
      <c r="CM335" s="507"/>
      <c r="CN335" s="16"/>
      <c r="CO335" s="507"/>
      <c r="CP335" s="16"/>
      <c r="CQ335" s="507"/>
      <c r="CR335" s="16"/>
      <c r="CS335" s="507"/>
      <c r="CT335" s="16"/>
      <c r="CU335" s="507"/>
      <c r="CV335" s="16"/>
      <c r="CW335" s="507"/>
      <c r="CX335" s="16"/>
      <c r="CY335" s="507"/>
      <c r="CZ335" s="16"/>
      <c r="DA335" s="507"/>
      <c r="DB335" s="507"/>
      <c r="DC335" s="16"/>
      <c r="DD335" s="507"/>
      <c r="DE335" s="16"/>
      <c r="DF335" s="507"/>
      <c r="DG335" s="16"/>
      <c r="DH335" s="507"/>
      <c r="DI335" s="16"/>
      <c r="DJ335" s="507"/>
      <c r="DK335" s="16"/>
      <c r="DL335" s="507"/>
      <c r="DM335" s="16"/>
      <c r="DN335" s="507"/>
      <c r="DO335" s="16"/>
      <c r="DP335" s="507"/>
      <c r="DQ335" s="16"/>
      <c r="DR335" s="507"/>
      <c r="DS335" s="16"/>
      <c r="DT335" s="507"/>
      <c r="DU335" s="16"/>
      <c r="DV335" s="507"/>
      <c r="DW335" s="16"/>
      <c r="DX335" s="507"/>
      <c r="DY335" s="16"/>
      <c r="DZ335" s="507"/>
      <c r="EA335" s="16"/>
      <c r="EB335" s="507"/>
      <c r="EC335" s="16"/>
      <c r="ED335" s="507"/>
      <c r="EE335" s="16"/>
      <c r="EF335" s="507"/>
      <c r="EG335" s="16"/>
      <c r="EH335" s="507"/>
      <c r="EI335" s="16"/>
      <c r="EJ335" s="507"/>
      <c r="EK335" s="16"/>
      <c r="EL335" s="507"/>
      <c r="EM335" s="687"/>
    </row>
    <row r="336" spans="1:143" ht="12.75" hidden="1" customHeight="1" outlineLevel="2" x14ac:dyDescent="0.2">
      <c r="A336" s="701"/>
      <c r="B336" s="16"/>
      <c r="C336" s="762"/>
      <c r="D336" s="16"/>
      <c r="E336" s="702"/>
      <c r="F336" s="16"/>
      <c r="G336" s="702"/>
      <c r="H336" s="16"/>
      <c r="I336" s="702"/>
      <c r="J336" s="16"/>
      <c r="K336" s="762"/>
      <c r="L336" s="16"/>
      <c r="M336" s="762"/>
      <c r="N336" s="16"/>
      <c r="O336" s="762"/>
      <c r="P336" s="16"/>
      <c r="Q336" s="762"/>
      <c r="R336" s="16"/>
      <c r="S336" s="762"/>
      <c r="T336" s="16"/>
      <c r="U336" s="762"/>
      <c r="V336" s="16"/>
      <c r="W336" s="762"/>
      <c r="X336" s="16"/>
      <c r="Y336" s="762"/>
      <c r="Z336" s="16"/>
      <c r="AA336" s="702"/>
      <c r="AB336" s="16"/>
      <c r="AC336" s="762"/>
      <c r="AD336" s="16"/>
      <c r="AE336" s="762"/>
      <c r="AF336" s="16"/>
      <c r="AG336" s="762"/>
      <c r="AH336" s="16"/>
      <c r="AI336" s="762"/>
      <c r="AJ336" s="16"/>
      <c r="AK336" s="762"/>
      <c r="AL336" s="16"/>
      <c r="AM336" s="762"/>
      <c r="AN336" s="16"/>
      <c r="AO336" s="762"/>
      <c r="AP336" s="16"/>
      <c r="AQ336" s="762"/>
      <c r="AR336" s="16"/>
      <c r="AS336" s="762"/>
      <c r="AT336" s="16"/>
      <c r="AU336" s="762"/>
      <c r="AV336" s="16"/>
      <c r="AW336" s="762"/>
      <c r="AX336" s="16"/>
      <c r="AY336" s="762"/>
      <c r="AZ336" s="16"/>
      <c r="BA336" s="762"/>
      <c r="BB336" s="16"/>
      <c r="BC336" s="762"/>
      <c r="BD336" s="16"/>
      <c r="BE336" s="762"/>
      <c r="BF336" s="16"/>
      <c r="BG336" s="762"/>
      <c r="BH336" s="16"/>
      <c r="BI336" s="762"/>
      <c r="BJ336" s="16"/>
      <c r="BK336" s="762"/>
      <c r="BL336" s="16"/>
      <c r="BM336" s="762"/>
      <c r="BN336" s="16"/>
      <c r="BO336" s="762"/>
      <c r="BP336" s="16"/>
      <c r="BQ336" s="762"/>
      <c r="BR336" s="16"/>
      <c r="BS336" s="762"/>
      <c r="BT336" s="16"/>
      <c r="BU336" s="762"/>
      <c r="BV336" s="16"/>
      <c r="BW336" s="762"/>
      <c r="BX336" s="16"/>
      <c r="BY336" s="762"/>
      <c r="BZ336" s="16"/>
      <c r="CA336" s="762"/>
      <c r="CB336" s="16"/>
      <c r="CC336" s="762"/>
      <c r="CD336" s="16"/>
      <c r="CE336" s="762"/>
      <c r="CF336" s="16"/>
      <c r="CG336" s="762"/>
      <c r="CH336" s="16"/>
      <c r="CI336" s="762"/>
      <c r="CJ336" s="16"/>
      <c r="CK336" s="762"/>
      <c r="CL336" s="16"/>
      <c r="CM336" s="762"/>
      <c r="CN336" s="16"/>
      <c r="CO336" s="762"/>
      <c r="CP336" s="16"/>
      <c r="CQ336" s="762"/>
      <c r="CR336" s="16"/>
      <c r="CS336" s="762"/>
      <c r="CT336" s="16"/>
      <c r="CU336" s="762"/>
      <c r="CV336" s="16"/>
      <c r="CW336" s="762"/>
      <c r="CX336" s="16"/>
      <c r="CY336" s="762"/>
      <c r="CZ336" s="16"/>
      <c r="DA336" s="762"/>
      <c r="DB336" s="762"/>
      <c r="DC336" s="16"/>
      <c r="DD336" s="762"/>
      <c r="DE336" s="16"/>
      <c r="DF336" s="762"/>
      <c r="DG336" s="16"/>
      <c r="DH336" s="762"/>
      <c r="DI336" s="16"/>
      <c r="DJ336" s="762"/>
      <c r="DK336" s="16"/>
      <c r="DL336" s="762"/>
      <c r="DM336" s="16"/>
      <c r="DN336" s="762"/>
      <c r="DO336" s="16"/>
      <c r="DP336" s="762"/>
      <c r="DQ336" s="16"/>
      <c r="DR336" s="762"/>
      <c r="DS336" s="16"/>
      <c r="DT336" s="762"/>
      <c r="DU336" s="16"/>
      <c r="DV336" s="762"/>
      <c r="DW336" s="16"/>
      <c r="DX336" s="762"/>
      <c r="DY336" s="16"/>
      <c r="DZ336" s="762"/>
      <c r="EA336" s="16"/>
      <c r="EB336" s="762"/>
      <c r="EC336" s="16"/>
      <c r="ED336" s="762"/>
      <c r="EE336" s="16"/>
      <c r="EF336" s="762"/>
      <c r="EG336" s="16"/>
      <c r="EH336" s="762"/>
      <c r="EI336" s="16"/>
      <c r="EJ336" s="762"/>
      <c r="EK336" s="16"/>
      <c r="EL336" s="762"/>
      <c r="EM336" s="702"/>
    </row>
    <row r="337" spans="1:143" ht="21.95" hidden="1" customHeight="1" outlineLevel="2" x14ac:dyDescent="0.2">
      <c r="A337" s="763" t="str">
        <f>$A$1</f>
        <v>Lincoln National</v>
      </c>
    </row>
    <row r="338" spans="1:143" ht="12.75" hidden="1" customHeight="1" outlineLevel="2" x14ac:dyDescent="0.2">
      <c r="A338" s="685" t="s">
        <v>289</v>
      </c>
      <c r="B338" s="4"/>
      <c r="C338" s="496"/>
      <c r="D338" s="4"/>
      <c r="E338" s="686"/>
      <c r="F338" s="4"/>
      <c r="G338" s="686"/>
      <c r="H338" s="4"/>
      <c r="I338" s="686"/>
      <c r="J338" s="4"/>
      <c r="K338" s="496"/>
      <c r="L338" s="4"/>
      <c r="M338" s="496"/>
      <c r="N338" s="4"/>
      <c r="O338" s="496"/>
      <c r="P338" s="4"/>
      <c r="Q338" s="496"/>
      <c r="R338" s="4"/>
      <c r="S338" s="496"/>
      <c r="T338" s="4"/>
      <c r="U338" s="496"/>
      <c r="V338" s="4"/>
      <c r="W338" s="496"/>
      <c r="X338" s="4"/>
      <c r="Y338" s="496"/>
      <c r="Z338" s="4"/>
      <c r="AA338" s="496"/>
      <c r="AB338" s="4"/>
      <c r="AC338" s="496"/>
      <c r="AD338" s="4"/>
      <c r="AE338" s="496"/>
      <c r="AF338" s="4"/>
      <c r="AG338" s="496"/>
      <c r="AH338" s="4"/>
      <c r="AI338" s="496"/>
      <c r="AJ338" s="4"/>
      <c r="AK338" s="496"/>
      <c r="AL338" s="4"/>
      <c r="AM338" s="496"/>
      <c r="AN338" s="4"/>
      <c r="AO338" s="496"/>
      <c r="AP338" s="4"/>
      <c r="AQ338" s="496"/>
      <c r="AR338" s="4"/>
      <c r="AS338" s="496"/>
      <c r="AT338" s="4"/>
      <c r="AU338" s="496"/>
      <c r="AV338" s="4"/>
      <c r="AW338" s="496"/>
      <c r="AX338" s="4"/>
      <c r="AY338" s="496"/>
      <c r="AZ338" s="4"/>
      <c r="BA338" s="496"/>
      <c r="BB338" s="4"/>
      <c r="BC338" s="496"/>
      <c r="BD338" s="4"/>
      <c r="BE338" s="496"/>
      <c r="BF338" s="4"/>
      <c r="BG338" s="496"/>
      <c r="BH338" s="4"/>
      <c r="BI338" s="496"/>
      <c r="BJ338" s="4"/>
      <c r="BK338" s="496"/>
      <c r="BL338" s="4"/>
      <c r="BM338" s="496"/>
      <c r="BN338" s="4"/>
      <c r="BO338" s="496"/>
      <c r="BP338" s="4"/>
      <c r="BQ338" s="496"/>
      <c r="BR338" s="4"/>
      <c r="BS338" s="496"/>
      <c r="BT338" s="4"/>
      <c r="BU338" s="496"/>
      <c r="BV338" s="4"/>
      <c r="BW338" s="496"/>
      <c r="BX338" s="4"/>
      <c r="BY338" s="496"/>
      <c r="BZ338" s="4"/>
      <c r="CA338" s="496"/>
      <c r="CB338" s="4"/>
      <c r="CC338" s="496"/>
      <c r="CD338" s="4"/>
      <c r="CE338" s="496"/>
      <c r="CF338" s="4"/>
      <c r="CG338" s="496"/>
      <c r="CH338" s="4"/>
      <c r="CI338" s="496"/>
      <c r="CJ338" s="4"/>
      <c r="CK338" s="496"/>
      <c r="CL338" s="4"/>
      <c r="CM338" s="496"/>
      <c r="CN338" s="4"/>
      <c r="CO338" s="496"/>
      <c r="CP338" s="4"/>
      <c r="CQ338" s="496"/>
      <c r="CR338" s="4"/>
      <c r="CS338" s="496"/>
      <c r="CT338" s="4"/>
      <c r="CU338" s="496"/>
      <c r="CV338" s="4"/>
      <c r="CW338" s="496"/>
      <c r="CX338" s="4"/>
      <c r="CY338" s="496"/>
      <c r="CZ338" s="4"/>
      <c r="DA338" s="496"/>
      <c r="DB338" s="496"/>
      <c r="DC338" s="4"/>
      <c r="DD338" s="496"/>
      <c r="DE338" s="4"/>
      <c r="DF338" s="496"/>
      <c r="DG338" s="4"/>
      <c r="DH338" s="496"/>
      <c r="DI338" s="4"/>
      <c r="DJ338" s="496"/>
      <c r="DK338" s="4"/>
      <c r="DL338" s="496"/>
      <c r="DM338" s="4"/>
      <c r="DN338" s="496"/>
      <c r="DO338" s="4"/>
      <c r="DP338" s="496"/>
      <c r="DQ338" s="4"/>
      <c r="DR338" s="496"/>
      <c r="DS338" s="4"/>
      <c r="DT338" s="496"/>
      <c r="DU338" s="4"/>
      <c r="DV338" s="496"/>
      <c r="DW338" s="4"/>
      <c r="DX338" s="496"/>
      <c r="DY338" s="4"/>
      <c r="DZ338" s="496"/>
      <c r="EA338" s="4"/>
      <c r="EB338" s="496"/>
      <c r="EC338" s="4"/>
      <c r="ED338" s="496"/>
      <c r="EE338" s="4"/>
      <c r="EF338" s="496"/>
      <c r="EG338" s="4"/>
      <c r="EH338" s="496"/>
      <c r="EI338" s="4"/>
      <c r="EJ338" s="496"/>
      <c r="EK338" s="4"/>
      <c r="EL338" s="496"/>
      <c r="EM338" s="686"/>
    </row>
    <row r="339" spans="1:143" s="3" customFormat="1" ht="12.75" hidden="1" customHeight="1" outlineLevel="2" x14ac:dyDescent="0.2">
      <c r="A339" s="703" t="str">
        <f>A$3</f>
        <v>($Millions Except Per Share Data)</v>
      </c>
      <c r="B339" s="704"/>
      <c r="C339" s="724"/>
      <c r="D339" s="704"/>
      <c r="E339" s="724" t="str">
        <f>E$3</f>
        <v>2Q06/</v>
      </c>
      <c r="F339" s="704"/>
      <c r="G339" s="724" t="str">
        <f>G$3</f>
        <v>3Q06/</v>
      </c>
      <c r="H339" s="704"/>
      <c r="I339" s="724" t="str">
        <f>I$3</f>
        <v>4Q06/</v>
      </c>
      <c r="J339" s="724"/>
      <c r="K339" s="724" t="str">
        <f>K$3</f>
        <v>1Q07/</v>
      </c>
      <c r="L339" s="704"/>
      <c r="M339" s="724" t="str">
        <f>M$3</f>
        <v>2Q07/</v>
      </c>
      <c r="N339" s="704"/>
      <c r="O339" s="724" t="str">
        <f>O$3</f>
        <v>3Q07/</v>
      </c>
      <c r="P339" s="704"/>
      <c r="Q339" s="724" t="str">
        <f>Q$3</f>
        <v>4Q07/</v>
      </c>
      <c r="R339" s="704"/>
      <c r="S339" s="724" t="str">
        <f>S$3</f>
        <v>1Q08/</v>
      </c>
      <c r="T339" s="704"/>
      <c r="U339" s="724" t="str">
        <f>U$3</f>
        <v>2Q08/</v>
      </c>
      <c r="V339" s="704"/>
      <c r="W339" s="724" t="str">
        <f>W$3</f>
        <v>3Q08/</v>
      </c>
      <c r="X339" s="704"/>
      <c r="Y339" s="724" t="str">
        <f>Y$3</f>
        <v>4Q08/</v>
      </c>
      <c r="Z339" s="704"/>
      <c r="AA339" s="724" t="str">
        <f>AA$3</f>
        <v>1Q09/</v>
      </c>
      <c r="AB339" s="704"/>
      <c r="AC339" s="724" t="str">
        <f>AC$3</f>
        <v>2Q09/</v>
      </c>
      <c r="AD339" s="704"/>
      <c r="AE339" s="724" t="str">
        <f>AE$3</f>
        <v>3Q09/</v>
      </c>
      <c r="AF339" s="704"/>
      <c r="AG339" s="724" t="str">
        <f>AG$3</f>
        <v>4Q09/</v>
      </c>
      <c r="AH339" s="704"/>
      <c r="AI339" s="724" t="str">
        <f>AI$3</f>
        <v>1Q10/</v>
      </c>
      <c r="AJ339" s="704"/>
      <c r="AK339" s="724" t="str">
        <f>AK$3</f>
        <v>2Q10/</v>
      </c>
      <c r="AL339" s="704"/>
      <c r="AM339" s="724" t="str">
        <f>AM$3</f>
        <v>3Q10/</v>
      </c>
      <c r="AN339" s="704"/>
      <c r="AO339" s="724" t="str">
        <f>AO$3</f>
        <v>4Q10/</v>
      </c>
      <c r="AP339" s="704"/>
      <c r="AQ339" s="724" t="str">
        <f>AQ$3</f>
        <v>1Q11/</v>
      </c>
      <c r="AR339" s="704"/>
      <c r="AS339" s="724" t="str">
        <f>AS$3</f>
        <v>2Q11/</v>
      </c>
      <c r="AT339" s="704"/>
      <c r="AU339" s="724" t="str">
        <f>AU$3</f>
        <v>3Q11/</v>
      </c>
      <c r="AV339" s="704"/>
      <c r="AW339" s="724" t="str">
        <f>AW$3</f>
        <v>4Q11/</v>
      </c>
      <c r="AX339" s="704"/>
      <c r="AY339" s="724" t="str">
        <f>AY$3</f>
        <v>1Q12/</v>
      </c>
      <c r="AZ339" s="704"/>
      <c r="BA339" s="724" t="str">
        <f>BA$3</f>
        <v>2Q12/</v>
      </c>
      <c r="BB339" s="704"/>
      <c r="BC339" s="724" t="str">
        <f>BC$3</f>
        <v>3Q12/</v>
      </c>
      <c r="BD339" s="704"/>
      <c r="BE339" s="724" t="str">
        <f>BE$3</f>
        <v>4Q12/</v>
      </c>
      <c r="BF339" s="704"/>
      <c r="BG339" s="724" t="str">
        <f>BG$3</f>
        <v>1Q13/</v>
      </c>
      <c r="BH339" s="704"/>
      <c r="BI339" s="724" t="str">
        <f>BI$3</f>
        <v>2Q13/</v>
      </c>
      <c r="BJ339" s="704"/>
      <c r="BK339" s="724" t="str">
        <f>BK$3</f>
        <v>3Q13/</v>
      </c>
      <c r="BL339" s="704"/>
      <c r="BM339" s="724" t="str">
        <f>BM$3</f>
        <v>4Q13/</v>
      </c>
      <c r="BN339" s="704"/>
      <c r="BO339" s="724" t="str">
        <f>BO$3</f>
        <v>1Q14/</v>
      </c>
      <c r="BP339" s="704"/>
      <c r="BQ339" s="724" t="str">
        <f>BQ$3</f>
        <v>2Q14/</v>
      </c>
      <c r="BR339" s="704"/>
      <c r="BS339" s="724" t="str">
        <f>BS$3</f>
        <v>3Q14/</v>
      </c>
      <c r="BT339" s="704"/>
      <c r="BU339" s="724" t="str">
        <f>BU$3</f>
        <v>4Q14/</v>
      </c>
      <c r="BV339" s="704"/>
      <c r="BW339" s="724" t="str">
        <f>BW$3</f>
        <v>1Q15/</v>
      </c>
      <c r="BX339" s="704"/>
      <c r="BY339" s="724" t="str">
        <f>BY$3</f>
        <v>2Q15/</v>
      </c>
      <c r="BZ339" s="704"/>
      <c r="CA339" s="724" t="str">
        <f>CA$3</f>
        <v>3Q15/</v>
      </c>
      <c r="CB339" s="704"/>
      <c r="CC339" s="724" t="str">
        <f>CC$3</f>
        <v>4Q15/</v>
      </c>
      <c r="CD339" s="704"/>
      <c r="CE339" s="724" t="str">
        <f>CE$3</f>
        <v>1Q16/</v>
      </c>
      <c r="CF339" s="704"/>
      <c r="CG339" s="724" t="str">
        <f>CG$3</f>
        <v>2Q16/</v>
      </c>
      <c r="CH339" s="704"/>
      <c r="CI339" s="724" t="str">
        <f>CI$3</f>
        <v>3Q16/</v>
      </c>
      <c r="CJ339" s="704"/>
      <c r="CK339" s="724" t="str">
        <f>CK$3</f>
        <v>4Q16/</v>
      </c>
      <c r="CL339" s="704"/>
      <c r="CM339" s="724" t="str">
        <f t="shared" ref="CM339" si="189">CM$3</f>
        <v>1Q17/</v>
      </c>
      <c r="CN339" s="704"/>
      <c r="CO339" s="724" t="str">
        <f t="shared" ref="CO339" si="190">CO$3</f>
        <v>2Q17/</v>
      </c>
      <c r="CP339" s="704"/>
      <c r="CQ339" s="724" t="str">
        <f t="shared" ref="CQ339" si="191">CQ$3</f>
        <v>3Q17/</v>
      </c>
      <c r="CR339" s="704"/>
      <c r="CS339" s="724" t="str">
        <f t="shared" ref="CS339" si="192">CS$3</f>
        <v>4Q17/</v>
      </c>
      <c r="CT339" s="704"/>
      <c r="CU339" s="724" t="str">
        <f t="shared" ref="CU339" si="193">CU$3</f>
        <v>1Q18E/</v>
      </c>
      <c r="CV339" s="704"/>
      <c r="CW339" s="724" t="str">
        <f t="shared" ref="CW339" si="194">CW$3</f>
        <v>2Q18E/</v>
      </c>
      <c r="CX339" s="704"/>
      <c r="CY339" s="724" t="str">
        <f t="shared" ref="CY339" si="195">CY$3</f>
        <v>3Q18E/</v>
      </c>
      <c r="CZ339" s="704"/>
      <c r="DA339" s="724" t="str">
        <f t="shared" ref="DA339" si="196">DA$3</f>
        <v>4Q18E/</v>
      </c>
      <c r="DB339" s="724"/>
      <c r="DC339" s="704"/>
      <c r="DD339" s="724" t="str">
        <f>DD$3</f>
        <v>2005/</v>
      </c>
      <c r="DE339" s="704"/>
      <c r="DF339" s="724" t="str">
        <f>DF$3</f>
        <v>2006/</v>
      </c>
      <c r="DG339" s="704"/>
      <c r="DH339" s="724" t="str">
        <f>DH$3</f>
        <v>2007/</v>
      </c>
      <c r="DI339" s="704"/>
      <c r="DJ339" s="724" t="str">
        <f>DJ$3</f>
        <v>2008/</v>
      </c>
      <c r="DK339" s="704"/>
      <c r="DL339" s="724" t="str">
        <f>DL$3</f>
        <v>2009/</v>
      </c>
      <c r="DM339" s="704"/>
      <c r="DN339" s="724" t="str">
        <f>DN$3</f>
        <v>2010/</v>
      </c>
      <c r="DO339" s="704"/>
      <c r="DP339" s="724" t="str">
        <f>DP$3</f>
        <v>2011/</v>
      </c>
      <c r="DQ339" s="704"/>
      <c r="DR339" s="724" t="str">
        <f>DR$3</f>
        <v>2012/</v>
      </c>
      <c r="DS339" s="704"/>
      <c r="DT339" s="724" t="str">
        <f>DT$3</f>
        <v>2013/</v>
      </c>
      <c r="DU339" s="704"/>
      <c r="DV339" s="724" t="str">
        <f>DV$3</f>
        <v>2014/</v>
      </c>
      <c r="DW339" s="704"/>
      <c r="DX339" s="724" t="str">
        <f>DX$3</f>
        <v>2015/</v>
      </c>
      <c r="DY339" s="704"/>
      <c r="DZ339" s="724" t="str">
        <f>DZ$3</f>
        <v>2016/</v>
      </c>
      <c r="EA339" s="704"/>
      <c r="EB339" s="724" t="str">
        <f>EB$3</f>
        <v>2017/</v>
      </c>
      <c r="EC339" s="704"/>
      <c r="ED339" s="724" t="str">
        <f>ED$3</f>
        <v>2018E/</v>
      </c>
      <c r="EE339" s="704"/>
      <c r="EF339" s="724" t="str">
        <f>EF$3</f>
        <v>2019E/</v>
      </c>
      <c r="EG339" s="704"/>
      <c r="EH339" s="724" t="str">
        <f>EH$3</f>
        <v>2020E/</v>
      </c>
      <c r="EI339" s="704"/>
      <c r="EJ339" s="724" t="str">
        <f>EJ$3</f>
        <v>2021E/</v>
      </c>
      <c r="EK339" s="704"/>
      <c r="EL339" s="724" t="str">
        <f>EL$3</f>
        <v>2022E/</v>
      </c>
      <c r="EM339" s="705" t="str">
        <f>EM$3</f>
        <v>5-Yr</v>
      </c>
    </row>
    <row r="340" spans="1:143" s="3" customFormat="1" ht="12.75" hidden="1" customHeight="1" outlineLevel="2" x14ac:dyDescent="0.2">
      <c r="A340" s="693"/>
      <c r="B340" s="692"/>
      <c r="C340" s="496"/>
      <c r="D340" s="692"/>
      <c r="E340" s="496" t="str">
        <f>E$4</f>
        <v>2Q05</v>
      </c>
      <c r="F340" s="692"/>
      <c r="G340" s="496" t="str">
        <f>G$4</f>
        <v>3Q05</v>
      </c>
      <c r="H340" s="692"/>
      <c r="I340" s="496" t="str">
        <f>I$4</f>
        <v>4Q05</v>
      </c>
      <c r="J340" s="496"/>
      <c r="K340" s="496" t="str">
        <f>K$4</f>
        <v>1Q06</v>
      </c>
      <c r="L340" s="692"/>
      <c r="M340" s="496" t="str">
        <f>M$4</f>
        <v>2Q06</v>
      </c>
      <c r="N340" s="692"/>
      <c r="O340" s="496" t="str">
        <f>O$4</f>
        <v>3Q06</v>
      </c>
      <c r="P340" s="692"/>
      <c r="Q340" s="496" t="str">
        <f>Q$4</f>
        <v>4Q06</v>
      </c>
      <c r="R340" s="692"/>
      <c r="S340" s="496" t="str">
        <f>S$4</f>
        <v>1Q07</v>
      </c>
      <c r="T340" s="692"/>
      <c r="U340" s="496" t="str">
        <f>U$4</f>
        <v>2Q07</v>
      </c>
      <c r="V340" s="692"/>
      <c r="W340" s="496" t="str">
        <f>W$4</f>
        <v>3Q07</v>
      </c>
      <c r="X340" s="692"/>
      <c r="Y340" s="496" t="str">
        <f>Y$4</f>
        <v>4Q07</v>
      </c>
      <c r="Z340" s="692"/>
      <c r="AA340" s="496" t="str">
        <f>AA$4</f>
        <v>1Q08</v>
      </c>
      <c r="AB340" s="692"/>
      <c r="AC340" s="496" t="str">
        <f>AC$4</f>
        <v>2Q08</v>
      </c>
      <c r="AD340" s="692"/>
      <c r="AE340" s="496" t="str">
        <f>AE$4</f>
        <v>3Q08</v>
      </c>
      <c r="AF340" s="692"/>
      <c r="AG340" s="496" t="str">
        <f>AG$4</f>
        <v>4Q08</v>
      </c>
      <c r="AH340" s="692"/>
      <c r="AI340" s="496" t="str">
        <f>AI$4</f>
        <v>1Q09</v>
      </c>
      <c r="AJ340" s="692"/>
      <c r="AK340" s="496" t="str">
        <f>AK$4</f>
        <v>2Q09</v>
      </c>
      <c r="AL340" s="692"/>
      <c r="AM340" s="496" t="str">
        <f>AM$4</f>
        <v>3Q09</v>
      </c>
      <c r="AN340" s="692"/>
      <c r="AO340" s="496" t="str">
        <f>AO$4</f>
        <v>4Q09</v>
      </c>
      <c r="AP340" s="692"/>
      <c r="AQ340" s="496" t="str">
        <f>AQ$4</f>
        <v>1Q10</v>
      </c>
      <c r="AR340" s="692"/>
      <c r="AS340" s="496" t="str">
        <f>AS$4</f>
        <v>2Q10</v>
      </c>
      <c r="AT340" s="692"/>
      <c r="AU340" s="496" t="str">
        <f>AU$4</f>
        <v>3Q10</v>
      </c>
      <c r="AV340" s="692"/>
      <c r="AW340" s="496" t="str">
        <f>AW$4</f>
        <v>4Q10</v>
      </c>
      <c r="AX340" s="692"/>
      <c r="AY340" s="496" t="str">
        <f>AY$4</f>
        <v>1Q11</v>
      </c>
      <c r="AZ340" s="692"/>
      <c r="BA340" s="496" t="str">
        <f>BA$4</f>
        <v>2Q11</v>
      </c>
      <c r="BB340" s="692"/>
      <c r="BC340" s="496" t="str">
        <f>BC$4</f>
        <v>3Q11</v>
      </c>
      <c r="BD340" s="692"/>
      <c r="BE340" s="496" t="str">
        <f>BE$4</f>
        <v>4Q11</v>
      </c>
      <c r="BF340" s="692"/>
      <c r="BG340" s="496" t="str">
        <f>BG$4</f>
        <v>1Q12</v>
      </c>
      <c r="BH340" s="692"/>
      <c r="BI340" s="496" t="str">
        <f>BI$4</f>
        <v>2Q12</v>
      </c>
      <c r="BJ340" s="692"/>
      <c r="BK340" s="496" t="str">
        <f>BK$4</f>
        <v>3Q12</v>
      </c>
      <c r="BL340" s="692"/>
      <c r="BM340" s="496" t="str">
        <f>BM$4</f>
        <v>4Q12</v>
      </c>
      <c r="BN340" s="692"/>
      <c r="BO340" s="496" t="str">
        <f>BO$4</f>
        <v>1Q13</v>
      </c>
      <c r="BP340" s="692"/>
      <c r="BQ340" s="496" t="str">
        <f>BQ$4</f>
        <v>2Q13</v>
      </c>
      <c r="BR340" s="692"/>
      <c r="BS340" s="496" t="str">
        <f>BS$4</f>
        <v>3Q13</v>
      </c>
      <c r="BT340" s="692"/>
      <c r="BU340" s="496" t="str">
        <f>BU$4</f>
        <v>4Q13</v>
      </c>
      <c r="BV340" s="692"/>
      <c r="BW340" s="496" t="str">
        <f>BW$4</f>
        <v>1Q14</v>
      </c>
      <c r="BX340" s="692"/>
      <c r="BY340" s="496" t="str">
        <f>BY$4</f>
        <v>2Q14</v>
      </c>
      <c r="BZ340" s="692"/>
      <c r="CA340" s="496" t="str">
        <f>CA$4</f>
        <v>3Q14</v>
      </c>
      <c r="CB340" s="692"/>
      <c r="CC340" s="496" t="str">
        <f>CC$4</f>
        <v>4Q14</v>
      </c>
      <c r="CD340" s="692"/>
      <c r="CE340" s="496" t="str">
        <f>CE$4</f>
        <v>1Q15</v>
      </c>
      <c r="CF340" s="692"/>
      <c r="CG340" s="496" t="str">
        <f>CG$4</f>
        <v>2Q15</v>
      </c>
      <c r="CH340" s="692"/>
      <c r="CI340" s="496" t="str">
        <f>CI$4</f>
        <v>3Q15</v>
      </c>
      <c r="CJ340" s="692"/>
      <c r="CK340" s="496" t="str">
        <f>CK$4</f>
        <v>4Q15</v>
      </c>
      <c r="CL340" s="692"/>
      <c r="CM340" s="496" t="str">
        <f t="shared" ref="CM340" si="197">CM$4</f>
        <v>1Q16</v>
      </c>
      <c r="CN340" s="692"/>
      <c r="CO340" s="496" t="str">
        <f t="shared" ref="CO340" si="198">CO$4</f>
        <v>2Q16</v>
      </c>
      <c r="CP340" s="692"/>
      <c r="CQ340" s="496" t="str">
        <f t="shared" ref="CQ340" si="199">CQ$4</f>
        <v>3Q16</v>
      </c>
      <c r="CR340" s="692"/>
      <c r="CS340" s="496" t="str">
        <f t="shared" ref="CS340" si="200">CS$4</f>
        <v>4Q16</v>
      </c>
      <c r="CT340" s="692"/>
      <c r="CU340" s="496" t="str">
        <f t="shared" ref="CU340" si="201">CU$4</f>
        <v>1Q17</v>
      </c>
      <c r="CV340" s="692"/>
      <c r="CW340" s="496" t="str">
        <f t="shared" ref="CW340" si="202">CW$4</f>
        <v>2Q17</v>
      </c>
      <c r="CX340" s="692"/>
      <c r="CY340" s="496" t="str">
        <f t="shared" ref="CY340" si="203">CY$4</f>
        <v>3Q17</v>
      </c>
      <c r="CZ340" s="692"/>
      <c r="DA340" s="496" t="str">
        <f t="shared" ref="DA340" si="204">DA$4</f>
        <v>4Q17</v>
      </c>
      <c r="DB340" s="496"/>
      <c r="DC340" s="692"/>
      <c r="DD340" s="686">
        <f>DD$4</f>
        <v>2004</v>
      </c>
      <c r="DE340" s="692"/>
      <c r="DF340" s="686">
        <f>DF$4</f>
        <v>2005</v>
      </c>
      <c r="DG340" s="692"/>
      <c r="DH340" s="686">
        <f>DH$4</f>
        <v>2006</v>
      </c>
      <c r="DI340" s="692"/>
      <c r="DJ340" s="686">
        <f>DJ$4</f>
        <v>2007</v>
      </c>
      <c r="DK340" s="692"/>
      <c r="DL340" s="725">
        <f>DL$4</f>
        <v>2008</v>
      </c>
      <c r="DM340" s="692"/>
      <c r="DN340" s="725" t="str">
        <f>DN$4</f>
        <v>2009</v>
      </c>
      <c r="DO340" s="692"/>
      <c r="DP340" s="725" t="str">
        <f>DP$4</f>
        <v>2010</v>
      </c>
      <c r="DQ340" s="692"/>
      <c r="DR340" s="725" t="str">
        <f>DR$4</f>
        <v>2011</v>
      </c>
      <c r="DS340" s="692"/>
      <c r="DT340" s="725" t="str">
        <f>DT$4</f>
        <v>2012</v>
      </c>
      <c r="DU340" s="692"/>
      <c r="DV340" s="725" t="str">
        <f>DV$4</f>
        <v>2013</v>
      </c>
      <c r="DW340" s="692"/>
      <c r="DX340" s="725" t="str">
        <f>DX$4</f>
        <v>2014</v>
      </c>
      <c r="DY340" s="692"/>
      <c r="DZ340" s="725" t="str">
        <f>DZ$4</f>
        <v>2015</v>
      </c>
      <c r="EA340" s="692"/>
      <c r="EB340" s="725" t="str">
        <f>EB$4</f>
        <v>2016</v>
      </c>
      <c r="EC340" s="692"/>
      <c r="ED340" s="725" t="str">
        <f>ED$4</f>
        <v>2017</v>
      </c>
      <c r="EE340" s="692"/>
      <c r="EF340" s="725" t="str">
        <f>EF$4</f>
        <v>2018E</v>
      </c>
      <c r="EG340" s="692"/>
      <c r="EH340" s="725" t="str">
        <f>EH$4</f>
        <v>2019E</v>
      </c>
      <c r="EI340" s="692"/>
      <c r="EJ340" s="725" t="str">
        <f>EJ$4</f>
        <v>2020E</v>
      </c>
      <c r="EK340" s="692"/>
      <c r="EL340" s="725" t="str">
        <f>EL$4</f>
        <v>2021E</v>
      </c>
      <c r="EM340" s="686" t="str">
        <f>EM$4</f>
        <v>CAGR</v>
      </c>
    </row>
    <row r="341" spans="1:143" s="3" customFormat="1" ht="12.75" hidden="1" customHeight="1" outlineLevel="2" x14ac:dyDescent="0.2">
      <c r="A341" s="694"/>
      <c r="B341" s="695" t="str">
        <f t="shared" ref="B341:BN341" si="205">B$5</f>
        <v>1Q06</v>
      </c>
      <c r="C341" s="726" t="str">
        <f t="shared" si="205"/>
        <v>% Chg</v>
      </c>
      <c r="D341" s="695" t="str">
        <f t="shared" si="205"/>
        <v>2Q06</v>
      </c>
      <c r="E341" s="726" t="str">
        <f t="shared" si="205"/>
        <v>% Chg</v>
      </c>
      <c r="F341" s="695" t="str">
        <f t="shared" si="205"/>
        <v>3Q06</v>
      </c>
      <c r="G341" s="726" t="str">
        <f t="shared" si="205"/>
        <v>% Chg</v>
      </c>
      <c r="H341" s="695" t="str">
        <f t="shared" si="205"/>
        <v>4Q06</v>
      </c>
      <c r="I341" s="726" t="str">
        <f t="shared" si="205"/>
        <v>% Chg</v>
      </c>
      <c r="J341" s="695" t="str">
        <f t="shared" si="205"/>
        <v>1Q07</v>
      </c>
      <c r="K341" s="726" t="str">
        <f t="shared" si="205"/>
        <v>% Chg</v>
      </c>
      <c r="L341" s="695" t="str">
        <f t="shared" si="205"/>
        <v>2Q07</v>
      </c>
      <c r="M341" s="726" t="str">
        <f t="shared" si="205"/>
        <v>% Chg</v>
      </c>
      <c r="N341" s="695" t="str">
        <f t="shared" si="205"/>
        <v>3Q07</v>
      </c>
      <c r="O341" s="726" t="str">
        <f t="shared" si="205"/>
        <v>% Chg</v>
      </c>
      <c r="P341" s="695" t="str">
        <f t="shared" si="205"/>
        <v>4Q07</v>
      </c>
      <c r="Q341" s="726" t="str">
        <f t="shared" si="205"/>
        <v>% Chg</v>
      </c>
      <c r="R341" s="695" t="str">
        <f t="shared" si="205"/>
        <v>1Q08</v>
      </c>
      <c r="S341" s="726" t="str">
        <f t="shared" si="205"/>
        <v>% Chg</v>
      </c>
      <c r="T341" s="695" t="str">
        <f t="shared" si="205"/>
        <v>2Q08</v>
      </c>
      <c r="U341" s="726" t="str">
        <f t="shared" si="205"/>
        <v>% Chg</v>
      </c>
      <c r="V341" s="695" t="str">
        <f t="shared" si="205"/>
        <v>3Q08</v>
      </c>
      <c r="W341" s="726" t="str">
        <f t="shared" si="205"/>
        <v>% Chg</v>
      </c>
      <c r="X341" s="695" t="str">
        <f t="shared" si="205"/>
        <v>4Q08</v>
      </c>
      <c r="Y341" s="726" t="str">
        <f t="shared" si="205"/>
        <v>% Chg</v>
      </c>
      <c r="Z341" s="695" t="str">
        <f t="shared" si="205"/>
        <v>1Q09</v>
      </c>
      <c r="AA341" s="726" t="str">
        <f t="shared" si="205"/>
        <v>% Chg</v>
      </c>
      <c r="AB341" s="695" t="str">
        <f t="shared" si="205"/>
        <v>2Q09</v>
      </c>
      <c r="AC341" s="726" t="str">
        <f t="shared" si="205"/>
        <v>% Chg</v>
      </c>
      <c r="AD341" s="695" t="str">
        <f t="shared" si="205"/>
        <v>3Q09</v>
      </c>
      <c r="AE341" s="726" t="str">
        <f t="shared" si="205"/>
        <v>% Chg</v>
      </c>
      <c r="AF341" s="695" t="str">
        <f t="shared" si="205"/>
        <v>4Q09</v>
      </c>
      <c r="AG341" s="726" t="str">
        <f t="shared" si="205"/>
        <v>% Chg</v>
      </c>
      <c r="AH341" s="695" t="str">
        <f t="shared" si="205"/>
        <v>1Q10</v>
      </c>
      <c r="AI341" s="726" t="str">
        <f t="shared" si="205"/>
        <v>% Chg</v>
      </c>
      <c r="AJ341" s="695" t="str">
        <f t="shared" si="205"/>
        <v>2Q10</v>
      </c>
      <c r="AK341" s="726" t="str">
        <f t="shared" si="205"/>
        <v>% Chg</v>
      </c>
      <c r="AL341" s="695" t="str">
        <f t="shared" si="205"/>
        <v>3Q10</v>
      </c>
      <c r="AM341" s="726" t="str">
        <f t="shared" si="205"/>
        <v>% Chg</v>
      </c>
      <c r="AN341" s="695" t="str">
        <f t="shared" si="205"/>
        <v>4Q10</v>
      </c>
      <c r="AO341" s="726" t="str">
        <f t="shared" si="205"/>
        <v>% Chg</v>
      </c>
      <c r="AP341" s="695" t="str">
        <f t="shared" si="205"/>
        <v>1Q11</v>
      </c>
      <c r="AQ341" s="726" t="str">
        <f t="shared" si="205"/>
        <v>% Chg</v>
      </c>
      <c r="AR341" s="695" t="str">
        <f t="shared" si="205"/>
        <v>2Q11</v>
      </c>
      <c r="AS341" s="726" t="str">
        <f t="shared" si="205"/>
        <v>% Chg</v>
      </c>
      <c r="AT341" s="695" t="str">
        <f t="shared" si="205"/>
        <v>3Q11</v>
      </c>
      <c r="AU341" s="726" t="str">
        <f t="shared" si="205"/>
        <v>% Chg</v>
      </c>
      <c r="AV341" s="695" t="str">
        <f t="shared" si="205"/>
        <v>4Q11</v>
      </c>
      <c r="AW341" s="726" t="str">
        <f t="shared" si="205"/>
        <v>% Chg</v>
      </c>
      <c r="AX341" s="695" t="str">
        <f t="shared" si="205"/>
        <v>1Q12</v>
      </c>
      <c r="AY341" s="726" t="str">
        <f t="shared" si="205"/>
        <v>% Chg</v>
      </c>
      <c r="AZ341" s="695" t="str">
        <f t="shared" si="205"/>
        <v>2Q12</v>
      </c>
      <c r="BA341" s="726" t="str">
        <f t="shared" si="205"/>
        <v>% Chg</v>
      </c>
      <c r="BB341" s="695" t="str">
        <f t="shared" si="205"/>
        <v>3Q12</v>
      </c>
      <c r="BC341" s="726" t="str">
        <f t="shared" si="205"/>
        <v>% Chg</v>
      </c>
      <c r="BD341" s="695" t="str">
        <f t="shared" si="205"/>
        <v>4Q12</v>
      </c>
      <c r="BE341" s="726" t="str">
        <f t="shared" si="205"/>
        <v>% Chg</v>
      </c>
      <c r="BF341" s="695" t="str">
        <f t="shared" si="205"/>
        <v>1Q13</v>
      </c>
      <c r="BG341" s="726" t="str">
        <f t="shared" si="205"/>
        <v>% Chg</v>
      </c>
      <c r="BH341" s="695" t="str">
        <f t="shared" si="205"/>
        <v>2Q13</v>
      </c>
      <c r="BI341" s="726" t="str">
        <f t="shared" si="205"/>
        <v>% Chg</v>
      </c>
      <c r="BJ341" s="695" t="str">
        <f t="shared" si="205"/>
        <v>3Q13</v>
      </c>
      <c r="BK341" s="726" t="str">
        <f t="shared" si="205"/>
        <v>% Chg</v>
      </c>
      <c r="BL341" s="695" t="str">
        <f t="shared" si="205"/>
        <v>4Q13</v>
      </c>
      <c r="BM341" s="726" t="str">
        <f t="shared" si="205"/>
        <v>% Chg</v>
      </c>
      <c r="BN341" s="695" t="str">
        <f t="shared" si="205"/>
        <v>1Q14</v>
      </c>
      <c r="BO341" s="726" t="str">
        <f t="shared" ref="BO341:DA341" si="206">BO$5</f>
        <v>% Chg</v>
      </c>
      <c r="BP341" s="695" t="str">
        <f t="shared" si="206"/>
        <v>2Q14</v>
      </c>
      <c r="BQ341" s="726" t="str">
        <f t="shared" si="206"/>
        <v>% Chg</v>
      </c>
      <c r="BR341" s="695" t="str">
        <f t="shared" si="206"/>
        <v>3Q14</v>
      </c>
      <c r="BS341" s="726" t="str">
        <f t="shared" si="206"/>
        <v>% Chg</v>
      </c>
      <c r="BT341" s="695" t="str">
        <f t="shared" si="206"/>
        <v>4Q14</v>
      </c>
      <c r="BU341" s="726" t="str">
        <f t="shared" si="206"/>
        <v>% Chg</v>
      </c>
      <c r="BV341" s="695" t="str">
        <f t="shared" si="206"/>
        <v>1Q15</v>
      </c>
      <c r="BW341" s="726" t="str">
        <f t="shared" si="206"/>
        <v>% Chg</v>
      </c>
      <c r="BX341" s="695" t="str">
        <f t="shared" si="206"/>
        <v>2Q15</v>
      </c>
      <c r="BY341" s="726" t="str">
        <f t="shared" si="206"/>
        <v>% Chg</v>
      </c>
      <c r="BZ341" s="695" t="str">
        <f t="shared" si="206"/>
        <v>3Q15</v>
      </c>
      <c r="CA341" s="726" t="str">
        <f t="shared" si="206"/>
        <v>% Chg</v>
      </c>
      <c r="CB341" s="695" t="str">
        <f t="shared" si="206"/>
        <v>4Q15</v>
      </c>
      <c r="CC341" s="726" t="str">
        <f t="shared" si="206"/>
        <v>% Chg</v>
      </c>
      <c r="CD341" s="695" t="str">
        <f t="shared" si="206"/>
        <v>1Q16</v>
      </c>
      <c r="CE341" s="726" t="str">
        <f t="shared" si="206"/>
        <v>% Chg</v>
      </c>
      <c r="CF341" s="695" t="str">
        <f t="shared" si="206"/>
        <v>2Q16</v>
      </c>
      <c r="CG341" s="726" t="str">
        <f t="shared" si="206"/>
        <v>% Chg</v>
      </c>
      <c r="CH341" s="695" t="str">
        <f t="shared" si="206"/>
        <v>3Q16</v>
      </c>
      <c r="CI341" s="726" t="str">
        <f t="shared" si="206"/>
        <v>% Chg</v>
      </c>
      <c r="CJ341" s="695" t="str">
        <f t="shared" si="206"/>
        <v>4Q16</v>
      </c>
      <c r="CK341" s="726" t="str">
        <f t="shared" si="206"/>
        <v>% Chg</v>
      </c>
      <c r="CL341" s="695" t="str">
        <f t="shared" si="206"/>
        <v>1Q17</v>
      </c>
      <c r="CM341" s="726" t="str">
        <f t="shared" si="206"/>
        <v>% Chg</v>
      </c>
      <c r="CN341" s="695" t="str">
        <f t="shared" si="206"/>
        <v>2Q17</v>
      </c>
      <c r="CO341" s="726" t="str">
        <f t="shared" si="206"/>
        <v>% Chg</v>
      </c>
      <c r="CP341" s="695" t="str">
        <f t="shared" si="206"/>
        <v>3Q17</v>
      </c>
      <c r="CQ341" s="726" t="str">
        <f t="shared" si="206"/>
        <v>% Chg</v>
      </c>
      <c r="CR341" s="695" t="str">
        <f t="shared" si="206"/>
        <v>4Q17</v>
      </c>
      <c r="CS341" s="726" t="str">
        <f t="shared" si="206"/>
        <v>% Chg</v>
      </c>
      <c r="CT341" s="695" t="str">
        <f t="shared" si="206"/>
        <v>1Q18E</v>
      </c>
      <c r="CU341" s="726" t="str">
        <f t="shared" si="206"/>
        <v>% Chg</v>
      </c>
      <c r="CV341" s="695" t="str">
        <f t="shared" si="206"/>
        <v>2Q18E</v>
      </c>
      <c r="CW341" s="726" t="str">
        <f t="shared" si="206"/>
        <v>% Chg</v>
      </c>
      <c r="CX341" s="695" t="str">
        <f t="shared" si="206"/>
        <v>3Q18E</v>
      </c>
      <c r="CY341" s="726" t="str">
        <f t="shared" si="206"/>
        <v>% Chg</v>
      </c>
      <c r="CZ341" s="695" t="str">
        <f t="shared" si="206"/>
        <v>4Q18E</v>
      </c>
      <c r="DA341" s="726" t="str">
        <f t="shared" si="206"/>
        <v>% Chg</v>
      </c>
      <c r="DB341" s="726"/>
      <c r="DC341" s="699">
        <f t="shared" ref="DC341:EM341" si="207">DC$5</f>
        <v>2005</v>
      </c>
      <c r="DD341" s="726" t="str">
        <f t="shared" si="207"/>
        <v>% Chg</v>
      </c>
      <c r="DE341" s="699">
        <f t="shared" si="207"/>
        <v>2006</v>
      </c>
      <c r="DF341" s="726" t="str">
        <f t="shared" si="207"/>
        <v>% Chg</v>
      </c>
      <c r="DG341" s="699">
        <f t="shared" si="207"/>
        <v>2007</v>
      </c>
      <c r="DH341" s="726" t="str">
        <f t="shared" si="207"/>
        <v>% Chg</v>
      </c>
      <c r="DI341" s="699">
        <f t="shared" si="207"/>
        <v>2008</v>
      </c>
      <c r="DJ341" s="726" t="str">
        <f t="shared" si="207"/>
        <v>% Chg</v>
      </c>
      <c r="DK341" s="695" t="str">
        <f t="shared" si="207"/>
        <v>2009</v>
      </c>
      <c r="DL341" s="726" t="str">
        <f t="shared" si="207"/>
        <v>% Chg</v>
      </c>
      <c r="DM341" s="695" t="str">
        <f t="shared" si="207"/>
        <v>2010</v>
      </c>
      <c r="DN341" s="726" t="str">
        <f t="shared" si="207"/>
        <v>% Chg</v>
      </c>
      <c r="DO341" s="695" t="str">
        <f t="shared" si="207"/>
        <v>2011</v>
      </c>
      <c r="DP341" s="726" t="str">
        <f t="shared" si="207"/>
        <v>% Chg</v>
      </c>
      <c r="DQ341" s="695" t="str">
        <f t="shared" si="207"/>
        <v>2012</v>
      </c>
      <c r="DR341" s="726" t="str">
        <f t="shared" si="207"/>
        <v>% Chg</v>
      </c>
      <c r="DS341" s="695" t="str">
        <f t="shared" si="207"/>
        <v>2013</v>
      </c>
      <c r="DT341" s="726" t="str">
        <f t="shared" si="207"/>
        <v>% Chg</v>
      </c>
      <c r="DU341" s="695" t="str">
        <f t="shared" si="207"/>
        <v>2014</v>
      </c>
      <c r="DV341" s="726" t="str">
        <f t="shared" si="207"/>
        <v>% Chg</v>
      </c>
      <c r="DW341" s="695" t="str">
        <f t="shared" si="207"/>
        <v>2015</v>
      </c>
      <c r="DX341" s="726" t="str">
        <f t="shared" si="207"/>
        <v>% Chg</v>
      </c>
      <c r="DY341" s="695" t="str">
        <f t="shared" si="207"/>
        <v>2016</v>
      </c>
      <c r="DZ341" s="726" t="str">
        <f t="shared" si="207"/>
        <v>% Chg</v>
      </c>
      <c r="EA341" s="695" t="str">
        <f t="shared" si="207"/>
        <v>2017</v>
      </c>
      <c r="EB341" s="726" t="str">
        <f t="shared" si="207"/>
        <v>% Chg</v>
      </c>
      <c r="EC341" s="695" t="str">
        <f t="shared" si="207"/>
        <v>2018E</v>
      </c>
      <c r="ED341" s="726" t="str">
        <f t="shared" si="207"/>
        <v>% Chg</v>
      </c>
      <c r="EE341" s="695" t="str">
        <f t="shared" si="207"/>
        <v>2019E</v>
      </c>
      <c r="EF341" s="726" t="str">
        <f t="shared" si="207"/>
        <v>% Chg</v>
      </c>
      <c r="EG341" s="695" t="str">
        <f t="shared" si="207"/>
        <v>2020E</v>
      </c>
      <c r="EH341" s="726" t="str">
        <f t="shared" si="207"/>
        <v>% Chg</v>
      </c>
      <c r="EI341" s="695" t="str">
        <f t="shared" si="207"/>
        <v>2021E</v>
      </c>
      <c r="EJ341" s="726" t="str">
        <f t="shared" si="207"/>
        <v>% Chg</v>
      </c>
      <c r="EK341" s="695" t="str">
        <f t="shared" si="207"/>
        <v>2022E</v>
      </c>
      <c r="EL341" s="726" t="str">
        <f t="shared" si="207"/>
        <v>% Chg</v>
      </c>
      <c r="EM341" s="696" t="str">
        <f t="shared" si="207"/>
        <v>(%)</v>
      </c>
    </row>
    <row r="342" spans="1:143" ht="12.75" hidden="1" customHeight="1" outlineLevel="2" x14ac:dyDescent="0.2">
      <c r="A342" s="700"/>
      <c r="B342" s="16"/>
      <c r="C342" s="507"/>
      <c r="D342" s="16"/>
      <c r="E342" s="687"/>
      <c r="F342" s="16"/>
      <c r="G342" s="687"/>
      <c r="H342" s="16"/>
      <c r="I342" s="687"/>
      <c r="J342" s="16"/>
      <c r="K342" s="507"/>
      <c r="L342" s="16"/>
      <c r="M342" s="507"/>
      <c r="N342" s="16"/>
      <c r="O342" s="507"/>
      <c r="P342" s="16"/>
      <c r="Q342" s="507"/>
      <c r="R342" s="16"/>
      <c r="S342" s="507"/>
      <c r="T342" s="16"/>
      <c r="U342" s="507"/>
      <c r="V342" s="16"/>
      <c r="W342" s="507"/>
      <c r="X342" s="16"/>
      <c r="Y342" s="507"/>
      <c r="Z342" s="16"/>
      <c r="AA342" s="687"/>
      <c r="AB342" s="16"/>
      <c r="AC342" s="507"/>
      <c r="AD342" s="16"/>
      <c r="AE342" s="507"/>
      <c r="AF342" s="16"/>
      <c r="AG342" s="507"/>
      <c r="AH342" s="16"/>
      <c r="AI342" s="507"/>
      <c r="AJ342" s="16"/>
      <c r="AK342" s="507"/>
      <c r="AL342" s="16"/>
      <c r="AM342" s="507"/>
      <c r="AN342" s="16"/>
      <c r="AO342" s="507"/>
      <c r="AP342" s="16"/>
      <c r="AQ342" s="507"/>
      <c r="AR342" s="16"/>
      <c r="AS342" s="507"/>
      <c r="AT342" s="16"/>
      <c r="AU342" s="507"/>
      <c r="AV342" s="16"/>
      <c r="AW342" s="507"/>
      <c r="AX342" s="16"/>
      <c r="AY342" s="507"/>
      <c r="AZ342" s="16"/>
      <c r="BA342" s="507"/>
      <c r="BB342" s="16"/>
      <c r="BC342" s="507"/>
      <c r="BD342" s="16"/>
      <c r="BE342" s="507"/>
      <c r="BF342" s="16"/>
      <c r="BG342" s="507"/>
      <c r="BH342" s="16"/>
      <c r="BI342" s="507"/>
      <c r="BJ342" s="16"/>
      <c r="BK342" s="507"/>
      <c r="BL342" s="16"/>
      <c r="BM342" s="507"/>
      <c r="BN342" s="16"/>
      <c r="BO342" s="507"/>
      <c r="BP342" s="16"/>
      <c r="BQ342" s="507"/>
      <c r="BR342" s="16"/>
      <c r="BS342" s="507"/>
      <c r="BT342" s="16"/>
      <c r="BU342" s="507"/>
      <c r="BV342" s="16"/>
      <c r="BW342" s="507"/>
      <c r="BX342" s="16"/>
      <c r="BY342" s="507"/>
      <c r="BZ342" s="16"/>
      <c r="CA342" s="507"/>
      <c r="CB342" s="16"/>
      <c r="CC342" s="507"/>
      <c r="CD342" s="16"/>
      <c r="CE342" s="507"/>
      <c r="CF342" s="16"/>
      <c r="CG342" s="507"/>
      <c r="CH342" s="16"/>
      <c r="CI342" s="507"/>
      <c r="CJ342" s="16"/>
      <c r="CK342" s="507"/>
      <c r="CL342" s="16"/>
      <c r="CM342" s="507"/>
      <c r="CN342" s="16"/>
      <c r="CO342" s="507"/>
      <c r="CP342" s="16"/>
      <c r="CQ342" s="507"/>
      <c r="CR342" s="16"/>
      <c r="CS342" s="507"/>
      <c r="CT342" s="16"/>
      <c r="CU342" s="507"/>
      <c r="CV342" s="16"/>
      <c r="CW342" s="507"/>
      <c r="CX342" s="16"/>
      <c r="CY342" s="507"/>
      <c r="CZ342" s="16"/>
      <c r="DA342" s="507"/>
      <c r="DB342" s="507"/>
      <c r="DC342" s="16"/>
      <c r="DD342" s="507"/>
      <c r="DE342" s="16"/>
      <c r="DF342" s="507"/>
      <c r="DG342" s="16"/>
      <c r="DH342" s="507"/>
      <c r="DI342" s="16"/>
      <c r="DJ342" s="507"/>
      <c r="DK342" s="16"/>
      <c r="DL342" s="507"/>
      <c r="DM342" s="16"/>
      <c r="DN342" s="507"/>
      <c r="DO342" s="16"/>
      <c r="DP342" s="507"/>
      <c r="DQ342" s="16"/>
      <c r="DR342" s="507"/>
      <c r="DS342" s="16"/>
      <c r="DT342" s="507"/>
      <c r="DU342" s="16"/>
      <c r="DV342" s="507"/>
      <c r="DW342" s="16"/>
      <c r="DX342" s="507"/>
      <c r="DY342" s="16"/>
      <c r="DZ342" s="507"/>
      <c r="EA342" s="16"/>
      <c r="EB342" s="507"/>
      <c r="EC342" s="16"/>
      <c r="ED342" s="507"/>
      <c r="EE342" s="16"/>
      <c r="EF342" s="507"/>
      <c r="EG342" s="16"/>
      <c r="EH342" s="507"/>
      <c r="EI342" s="16"/>
      <c r="EJ342" s="507"/>
      <c r="EK342" s="16"/>
      <c r="EL342" s="507"/>
      <c r="EM342" s="687"/>
    </row>
    <row r="343" spans="1:143" ht="12.75" hidden="1" customHeight="1" outlineLevel="2" x14ac:dyDescent="0.2">
      <c r="A343" s="700" t="s">
        <v>7</v>
      </c>
      <c r="B343" s="16"/>
      <c r="C343" s="507"/>
      <c r="D343" s="16"/>
      <c r="E343" s="687"/>
      <c r="F343" s="16"/>
      <c r="G343" s="687"/>
      <c r="H343" s="16"/>
      <c r="I343" s="687"/>
      <c r="J343" s="16"/>
      <c r="K343" s="507"/>
      <c r="L343" s="16"/>
      <c r="M343" s="507"/>
      <c r="N343" s="16"/>
      <c r="O343" s="507"/>
      <c r="P343" s="16"/>
      <c r="Q343" s="507"/>
      <c r="R343" s="16"/>
      <c r="S343" s="507"/>
      <c r="T343" s="16"/>
      <c r="U343" s="507"/>
      <c r="V343" s="16"/>
      <c r="W343" s="507"/>
      <c r="X343" s="16"/>
      <c r="Y343" s="507"/>
      <c r="Z343" s="16"/>
      <c r="AA343" s="687"/>
      <c r="AB343" s="16"/>
      <c r="AC343" s="507"/>
      <c r="AD343" s="16"/>
      <c r="AE343" s="507"/>
      <c r="AF343" s="16"/>
      <c r="AG343" s="507"/>
      <c r="AH343" s="16"/>
      <c r="AI343" s="507"/>
      <c r="AJ343" s="16"/>
      <c r="AK343" s="507"/>
      <c r="AL343" s="16"/>
      <c r="AM343" s="507"/>
      <c r="AN343" s="16"/>
      <c r="AO343" s="507"/>
      <c r="AP343" s="16"/>
      <c r="AQ343" s="507"/>
      <c r="AR343" s="16"/>
      <c r="AS343" s="507"/>
      <c r="AT343" s="16"/>
      <c r="AU343" s="507"/>
      <c r="AV343" s="16"/>
      <c r="AW343" s="507"/>
      <c r="AX343" s="16"/>
      <c r="AY343" s="507"/>
      <c r="AZ343" s="16"/>
      <c r="BA343" s="507"/>
      <c r="BB343" s="16"/>
      <c r="BC343" s="507"/>
      <c r="BD343" s="16"/>
      <c r="BE343" s="507"/>
      <c r="BF343" s="16"/>
      <c r="BG343" s="507"/>
      <c r="BH343" s="16"/>
      <c r="BI343" s="507"/>
      <c r="BJ343" s="16"/>
      <c r="BK343" s="507"/>
      <c r="BL343" s="16"/>
      <c r="BM343" s="507"/>
      <c r="BN343" s="16"/>
      <c r="BO343" s="507"/>
      <c r="BP343" s="16"/>
      <c r="BQ343" s="507"/>
      <c r="BR343" s="16"/>
      <c r="BS343" s="507"/>
      <c r="BT343" s="16"/>
      <c r="BU343" s="507"/>
      <c r="BV343" s="16"/>
      <c r="BW343" s="507"/>
      <c r="BX343" s="16"/>
      <c r="BY343" s="507"/>
      <c r="BZ343" s="16"/>
      <c r="CA343" s="507"/>
      <c r="CB343" s="16"/>
      <c r="CC343" s="507"/>
      <c r="CD343" s="16"/>
      <c r="CE343" s="507"/>
      <c r="CF343" s="16"/>
      <c r="CG343" s="507"/>
      <c r="CH343" s="16"/>
      <c r="CI343" s="507"/>
      <c r="CJ343" s="16"/>
      <c r="CK343" s="507"/>
      <c r="CL343" s="16"/>
      <c r="CM343" s="507"/>
      <c r="CN343" s="16"/>
      <c r="CO343" s="507"/>
      <c r="CP343" s="16"/>
      <c r="CQ343" s="507"/>
      <c r="CR343" s="16"/>
      <c r="CS343" s="507"/>
      <c r="CT343" s="16"/>
      <c r="CU343" s="507"/>
      <c r="CV343" s="16"/>
      <c r="CW343" s="507"/>
      <c r="CX343" s="16"/>
      <c r="CY343" s="507"/>
      <c r="CZ343" s="16"/>
      <c r="DA343" s="507"/>
      <c r="DB343" s="507"/>
      <c r="DC343" s="16"/>
      <c r="DD343" s="507"/>
      <c r="DE343" s="16"/>
      <c r="DF343" s="507"/>
      <c r="DG343" s="16"/>
      <c r="DH343" s="507"/>
      <c r="DI343" s="16"/>
      <c r="DJ343" s="507"/>
      <c r="DK343" s="16"/>
      <c r="DL343" s="507"/>
      <c r="DM343" s="16"/>
      <c r="DN343" s="507"/>
      <c r="DO343" s="16"/>
      <c r="DP343" s="507"/>
      <c r="DQ343" s="16"/>
      <c r="DR343" s="507"/>
      <c r="DS343" s="16"/>
      <c r="DT343" s="507"/>
      <c r="DU343" s="16"/>
      <c r="DV343" s="507"/>
      <c r="DW343" s="16"/>
      <c r="DX343" s="507"/>
      <c r="DY343" s="16"/>
      <c r="DZ343" s="507"/>
      <c r="EA343" s="16"/>
      <c r="EB343" s="507"/>
      <c r="EC343" s="16"/>
      <c r="ED343" s="507"/>
      <c r="EE343" s="16"/>
      <c r="EF343" s="507"/>
      <c r="EG343" s="16"/>
      <c r="EH343" s="507"/>
      <c r="EI343" s="16"/>
      <c r="EJ343" s="507"/>
      <c r="EK343" s="16"/>
      <c r="EL343" s="507"/>
      <c r="EM343" s="687"/>
    </row>
    <row r="344" spans="1:143" ht="12.75" hidden="1" customHeight="1" outlineLevel="2" x14ac:dyDescent="0.2">
      <c r="A344" s="701" t="str">
        <f>INPUT!B374</f>
        <v>Investment Advisory Fees</v>
      </c>
      <c r="B344" s="151">
        <f>INPUT!AY374</f>
        <v>102.9</v>
      </c>
      <c r="C344" s="507">
        <f>INPUT!AZ374</f>
        <v>28.947368421052634</v>
      </c>
      <c r="D344" s="151">
        <f>INPUT!BA374</f>
        <v>104.7</v>
      </c>
      <c r="E344" s="687">
        <f>INPUT!BB374</f>
        <v>20.900692840646663</v>
      </c>
      <c r="F344" s="151">
        <f>INPUT!BC374</f>
        <v>106.10000000000001</v>
      </c>
      <c r="G344" s="687">
        <f>INPUT!BD374</f>
        <v>14.331896551724132</v>
      </c>
      <c r="H344" s="151">
        <f>INPUT!BE374</f>
        <v>111.2</v>
      </c>
      <c r="I344" s="687">
        <f>INPUT!BF374</f>
        <v>16.561844863731643</v>
      </c>
      <c r="J344" s="151">
        <f>INPUT!BG374</f>
        <v>114.80000000000001</v>
      </c>
      <c r="K344" s="687">
        <f>INPUT!BH374</f>
        <v>11.56462585034015</v>
      </c>
      <c r="L344" s="151">
        <f>INPUT!BI374</f>
        <v>112.3</v>
      </c>
      <c r="M344" s="687">
        <f>INPUT!BJ374</f>
        <v>7.2588347659980901</v>
      </c>
      <c r="N344" s="151">
        <f>INPUT!BK374</f>
        <v>111.6</v>
      </c>
      <c r="O344" s="687">
        <f>INPUT!BL374</f>
        <v>5.1837888784165731</v>
      </c>
      <c r="P344" s="151">
        <f>INPUT!BM374</f>
        <v>108</v>
      </c>
      <c r="Q344" s="687">
        <f>INPUT!BN374</f>
        <v>-2.877697841726623</v>
      </c>
      <c r="R344" s="151">
        <f>INPUT!BO374</f>
        <v>96.2</v>
      </c>
      <c r="S344" s="687">
        <f>INPUT!BP374</f>
        <v>-16.202090592334507</v>
      </c>
      <c r="T344" s="151">
        <f>INPUT!BQ374</f>
        <v>96.4</v>
      </c>
      <c r="U344" s="687">
        <f>INPUT!BR374</f>
        <v>-14.158504007123774</v>
      </c>
      <c r="V344" s="151">
        <f>INPUT!BS374</f>
        <v>88.300000000000011</v>
      </c>
      <c r="W344" s="687">
        <f>INPUT!BT374</f>
        <v>-20.878136200716835</v>
      </c>
      <c r="X344" s="151">
        <f>INPUT!BU374</f>
        <v>68.7</v>
      </c>
      <c r="Y344" s="687">
        <f>INPUT!BV374</f>
        <v>-36.388888888888879</v>
      </c>
      <c r="Z344" s="151">
        <f>INPUT!BW374</f>
        <v>63.6</v>
      </c>
      <c r="AA344" s="687">
        <f>INPUT!BX374</f>
        <v>-33.887733887733887</v>
      </c>
      <c r="AB344" s="151">
        <f>INPUT!BY374</f>
        <v>67.8</v>
      </c>
      <c r="AC344" s="687">
        <f>INPUT!BZ374</f>
        <v>-29.668049792531125</v>
      </c>
      <c r="AD344" s="151"/>
      <c r="AE344" s="687"/>
      <c r="AF344" s="151"/>
      <c r="AG344" s="687"/>
      <c r="AH344" s="151"/>
      <c r="AI344" s="507"/>
      <c r="AJ344" s="151"/>
      <c r="AK344" s="507"/>
      <c r="AL344" s="151"/>
      <c r="AM344" s="507"/>
      <c r="AN344" s="151"/>
      <c r="AO344" s="507"/>
      <c r="AP344" s="151"/>
      <c r="AQ344" s="507"/>
      <c r="AR344" s="151"/>
      <c r="AS344" s="507"/>
      <c r="AT344" s="151"/>
      <c r="AU344" s="507"/>
      <c r="AV344" s="151"/>
      <c r="AW344" s="507"/>
      <c r="AX344" s="151"/>
      <c r="AY344" s="507"/>
      <c r="AZ344" s="151"/>
      <c r="BA344" s="507"/>
      <c r="BB344" s="151"/>
      <c r="BC344" s="507"/>
      <c r="BD344" s="151"/>
      <c r="BE344" s="507"/>
      <c r="BF344" s="151"/>
      <c r="BG344" s="507"/>
      <c r="BH344" s="151"/>
      <c r="BI344" s="507"/>
      <c r="BJ344" s="151"/>
      <c r="BK344" s="507"/>
      <c r="BL344" s="151"/>
      <c r="BM344" s="507"/>
      <c r="BN344" s="151"/>
      <c r="BO344" s="507"/>
      <c r="BP344" s="151"/>
      <c r="BQ344" s="507"/>
      <c r="BR344" s="151"/>
      <c r="BS344" s="507"/>
      <c r="BT344" s="151"/>
      <c r="BU344" s="507"/>
      <c r="BV344" s="151"/>
      <c r="BW344" s="507"/>
      <c r="BX344" s="151"/>
      <c r="BY344" s="507"/>
      <c r="BZ344" s="151"/>
      <c r="CA344" s="507"/>
      <c r="CB344" s="151"/>
      <c r="CC344" s="507"/>
      <c r="CD344" s="151"/>
      <c r="CE344" s="507"/>
      <c r="CF344" s="151"/>
      <c r="CG344" s="507"/>
      <c r="CH344" s="151"/>
      <c r="CI344" s="507"/>
      <c r="CJ344" s="151"/>
      <c r="CK344" s="507"/>
      <c r="CL344" s="151"/>
      <c r="CM344" s="507"/>
      <c r="CN344" s="151"/>
      <c r="CO344" s="507"/>
      <c r="CP344" s="151"/>
      <c r="CQ344" s="507"/>
      <c r="CR344" s="151"/>
      <c r="CS344" s="507"/>
      <c r="CT344" s="151"/>
      <c r="CU344" s="507"/>
      <c r="CV344" s="151"/>
      <c r="CW344" s="507"/>
      <c r="CX344" s="151"/>
      <c r="CY344" s="507"/>
      <c r="CZ344" s="151"/>
      <c r="DA344" s="507"/>
      <c r="DB344" s="507"/>
      <c r="DC344" s="151">
        <f>INPUT!FP374</f>
        <v>354.6</v>
      </c>
      <c r="DD344" s="687" t="str">
        <f>INPUT!FQ374</f>
        <v>NA</v>
      </c>
      <c r="DE344" s="151">
        <f>INPUT!FR374</f>
        <v>424.90000000000003</v>
      </c>
      <c r="DF344" s="687">
        <f>INPUT!FS374</f>
        <v>19.825155104342929</v>
      </c>
      <c r="DG344" s="151">
        <f>INPUT!FT374</f>
        <v>446.70000000000005</v>
      </c>
      <c r="DH344" s="687">
        <f>INPUT!FU374</f>
        <v>5.1306189691692206</v>
      </c>
      <c r="DI344" s="151">
        <f>INPUT!FV374</f>
        <v>349.6</v>
      </c>
      <c r="DJ344" s="687">
        <f>INPUT!FW374</f>
        <v>-21.73718379225431</v>
      </c>
      <c r="DK344" s="151">
        <f>INPUT!FX374</f>
        <v>131.4</v>
      </c>
      <c r="DL344" s="507" t="str">
        <f>INPUT!FY374</f>
        <v>NM</v>
      </c>
      <c r="DM344" s="151"/>
      <c r="DN344" s="507"/>
      <c r="DO344" s="151"/>
      <c r="DP344" s="507"/>
      <c r="DQ344" s="151"/>
      <c r="DR344" s="507"/>
      <c r="DS344" s="151"/>
      <c r="DT344" s="507"/>
      <c r="DU344" s="151"/>
      <c r="DV344" s="507"/>
      <c r="DW344" s="151"/>
      <c r="DX344" s="507"/>
      <c r="DY344" s="151"/>
      <c r="DZ344" s="507"/>
      <c r="EA344" s="151"/>
      <c r="EB344" s="507"/>
      <c r="EC344" s="151"/>
      <c r="ED344" s="507"/>
      <c r="EE344" s="151"/>
      <c r="EF344" s="507"/>
      <c r="EG344" s="151"/>
      <c r="EH344" s="507"/>
      <c r="EI344" s="151"/>
      <c r="EJ344" s="507"/>
      <c r="EK344" s="151"/>
      <c r="EL344" s="507"/>
      <c r="EM344" s="687"/>
    </row>
    <row r="345" spans="1:143" ht="12.75" hidden="1" customHeight="1" outlineLevel="2" x14ac:dyDescent="0.2">
      <c r="A345" s="701" t="str">
        <f>INPUT!B375</f>
        <v>Other Revenue and Fees</v>
      </c>
      <c r="B345" s="151">
        <f>INPUT!AY375</f>
        <v>36.700000000000003</v>
      </c>
      <c r="C345" s="507">
        <f>INPUT!AZ375</f>
        <v>21.926910299003332</v>
      </c>
      <c r="D345" s="151">
        <f>INPUT!BA375</f>
        <v>30</v>
      </c>
      <c r="E345" s="687">
        <f>INPUT!BB375</f>
        <v>7.526881720430123</v>
      </c>
      <c r="F345" s="151">
        <f>INPUT!BC375</f>
        <v>34.299999999999997</v>
      </c>
      <c r="G345" s="687">
        <f>INPUT!BD375</f>
        <v>12.459016393442624</v>
      </c>
      <c r="H345" s="151">
        <f>INPUT!BE375</f>
        <v>37.700000000000003</v>
      </c>
      <c r="I345" s="687">
        <f>INPUT!BF375</f>
        <v>15.644171779141104</v>
      </c>
      <c r="J345" s="151">
        <f>INPUT!BG375</f>
        <v>35.299999999999997</v>
      </c>
      <c r="K345" s="687">
        <f>INPUT!BH375</f>
        <v>-3.8147138964577776</v>
      </c>
      <c r="L345" s="151">
        <f>INPUT!BI375</f>
        <v>38.700000000000003</v>
      </c>
      <c r="M345" s="687">
        <f>INPUT!BJ375</f>
        <v>29.000000000000004</v>
      </c>
      <c r="N345" s="151">
        <f>INPUT!BK375</f>
        <v>38.5</v>
      </c>
      <c r="O345" s="687">
        <f>INPUT!BL375</f>
        <v>12.244897959183687</v>
      </c>
      <c r="P345" s="151">
        <f>INPUT!BM375</f>
        <v>31</v>
      </c>
      <c r="Q345" s="687">
        <f>INPUT!BN375</f>
        <v>-17.771883289124681</v>
      </c>
      <c r="R345" s="151">
        <f>INPUT!BO375</f>
        <v>24.1</v>
      </c>
      <c r="S345" s="687">
        <f>INPUT!BP375</f>
        <v>-31.728045325779032</v>
      </c>
      <c r="T345" s="151">
        <f>INPUT!BQ375</f>
        <v>27.9</v>
      </c>
      <c r="U345" s="687">
        <f>INPUT!BR375</f>
        <v>-27.906976744186053</v>
      </c>
      <c r="V345" s="151">
        <f>INPUT!BS375</f>
        <v>21.6</v>
      </c>
      <c r="W345" s="687">
        <f>INPUT!BT375</f>
        <v>-43.896103896103888</v>
      </c>
      <c r="X345" s="151">
        <f>INPUT!BU375</f>
        <v>14.5</v>
      </c>
      <c r="Y345" s="687" t="str">
        <f>INPUT!BV375</f>
        <v>NM</v>
      </c>
      <c r="Z345" s="151">
        <f>INPUT!BW375</f>
        <v>18.3</v>
      </c>
      <c r="AA345" s="687">
        <f>INPUT!BX375</f>
        <v>-24.066390041493779</v>
      </c>
      <c r="AB345" s="151">
        <f>INPUT!BY375</f>
        <v>23.8</v>
      </c>
      <c r="AC345" s="687">
        <f>INPUT!BZ375</f>
        <v>-14.69534050179211</v>
      </c>
      <c r="AD345" s="151"/>
      <c r="AE345" s="687"/>
      <c r="AF345" s="151"/>
      <c r="AG345" s="687"/>
      <c r="AH345" s="151"/>
      <c r="AI345" s="507"/>
      <c r="AJ345" s="151"/>
      <c r="AK345" s="507"/>
      <c r="AL345" s="151"/>
      <c r="AM345" s="507"/>
      <c r="AN345" s="151"/>
      <c r="AO345" s="507"/>
      <c r="AP345" s="151"/>
      <c r="AQ345" s="507"/>
      <c r="AR345" s="151"/>
      <c r="AS345" s="507"/>
      <c r="AT345" s="151"/>
      <c r="AU345" s="507"/>
      <c r="AV345" s="151"/>
      <c r="AW345" s="507"/>
      <c r="AX345" s="151"/>
      <c r="AY345" s="507"/>
      <c r="AZ345" s="151"/>
      <c r="BA345" s="507"/>
      <c r="BB345" s="151"/>
      <c r="BC345" s="507"/>
      <c r="BD345" s="151"/>
      <c r="BE345" s="507"/>
      <c r="BF345" s="151"/>
      <c r="BG345" s="507"/>
      <c r="BH345" s="151"/>
      <c r="BI345" s="507"/>
      <c r="BJ345" s="151"/>
      <c r="BK345" s="507"/>
      <c r="BL345" s="151"/>
      <c r="BM345" s="507"/>
      <c r="BN345" s="151"/>
      <c r="BO345" s="507"/>
      <c r="BP345" s="151"/>
      <c r="BQ345" s="507"/>
      <c r="BR345" s="151"/>
      <c r="BS345" s="507"/>
      <c r="BT345" s="151"/>
      <c r="BU345" s="507"/>
      <c r="BV345" s="151"/>
      <c r="BW345" s="507"/>
      <c r="BX345" s="151"/>
      <c r="BY345" s="507"/>
      <c r="BZ345" s="151"/>
      <c r="CA345" s="507"/>
      <c r="CB345" s="151"/>
      <c r="CC345" s="507"/>
      <c r="CD345" s="151"/>
      <c r="CE345" s="507"/>
      <c r="CF345" s="151"/>
      <c r="CG345" s="507"/>
      <c r="CH345" s="151"/>
      <c r="CI345" s="507"/>
      <c r="CJ345" s="151"/>
      <c r="CK345" s="507"/>
      <c r="CL345" s="151"/>
      <c r="CM345" s="507"/>
      <c r="CN345" s="151"/>
      <c r="CO345" s="507"/>
      <c r="CP345" s="151"/>
      <c r="CQ345" s="507"/>
      <c r="CR345" s="151"/>
      <c r="CS345" s="507"/>
      <c r="CT345" s="151"/>
      <c r="CU345" s="507"/>
      <c r="CV345" s="151"/>
      <c r="CW345" s="507"/>
      <c r="CX345" s="151"/>
      <c r="CY345" s="507"/>
      <c r="CZ345" s="151"/>
      <c r="DA345" s="507"/>
      <c r="DB345" s="507"/>
      <c r="DC345" s="151">
        <f>INPUT!FP375</f>
        <v>121.1</v>
      </c>
      <c r="DD345" s="687" t="str">
        <f>INPUT!FQ375</f>
        <v>NA</v>
      </c>
      <c r="DE345" s="151">
        <f>INPUT!FR375</f>
        <v>138.69999999999999</v>
      </c>
      <c r="DF345" s="687">
        <f>INPUT!FS375</f>
        <v>14.533443435177528</v>
      </c>
      <c r="DG345" s="151">
        <f>INPUT!FT375</f>
        <v>143.5</v>
      </c>
      <c r="DH345" s="687">
        <f>INPUT!FU375</f>
        <v>3.4607065609228549</v>
      </c>
      <c r="DI345" s="151">
        <f>INPUT!FV375</f>
        <v>88.1</v>
      </c>
      <c r="DJ345" s="687">
        <f>INPUT!FW375</f>
        <v>-38.606271777003485</v>
      </c>
      <c r="DK345" s="151">
        <f>INPUT!FX375</f>
        <v>42.1</v>
      </c>
      <c r="DL345" s="507" t="str">
        <f>INPUT!FY375</f>
        <v>NM</v>
      </c>
      <c r="DM345" s="151"/>
      <c r="DN345" s="507"/>
      <c r="DO345" s="151"/>
      <c r="DP345" s="507"/>
      <c r="DQ345" s="151"/>
      <c r="DR345" s="507"/>
      <c r="DS345" s="151"/>
      <c r="DT345" s="507"/>
      <c r="DU345" s="151"/>
      <c r="DV345" s="507"/>
      <c r="DW345" s="151"/>
      <c r="DX345" s="507"/>
      <c r="DY345" s="151"/>
      <c r="DZ345" s="507"/>
      <c r="EA345" s="151"/>
      <c r="EB345" s="507"/>
      <c r="EC345" s="151"/>
      <c r="ED345" s="507"/>
      <c r="EE345" s="151"/>
      <c r="EF345" s="507"/>
      <c r="EG345" s="151"/>
      <c r="EH345" s="507"/>
      <c r="EI345" s="151"/>
      <c r="EJ345" s="507"/>
      <c r="EK345" s="151"/>
      <c r="EL345" s="507"/>
      <c r="EM345" s="687"/>
    </row>
    <row r="346" spans="1:143" ht="12.75" hidden="1" customHeight="1" outlineLevel="2" x14ac:dyDescent="0.2">
      <c r="A346" s="701" t="str">
        <f>INPUT!B376</f>
        <v xml:space="preserve"> Total Revenues</v>
      </c>
      <c r="B346" s="151">
        <f>INPUT!AY376</f>
        <v>139.60000000000002</v>
      </c>
      <c r="C346" s="507">
        <f>INPUT!AZ376</f>
        <v>27.024567788899013</v>
      </c>
      <c r="D346" s="151">
        <f>INPUT!BA376</f>
        <v>134.69999999999999</v>
      </c>
      <c r="E346" s="687">
        <f>INPUT!BB376</f>
        <v>17.6419213973799</v>
      </c>
      <c r="F346" s="151">
        <f>INPUT!BC376</f>
        <v>140.4</v>
      </c>
      <c r="G346" s="687">
        <f>INPUT!BD376</f>
        <v>13.868613138686126</v>
      </c>
      <c r="H346" s="151">
        <f>INPUT!BE376</f>
        <v>148.9</v>
      </c>
      <c r="I346" s="687">
        <f>INPUT!BF376</f>
        <v>16.328125000000004</v>
      </c>
      <c r="J346" s="151">
        <f>INPUT!BG376</f>
        <v>150.10000000000002</v>
      </c>
      <c r="K346" s="687">
        <f>INPUT!BH376</f>
        <v>7.5214899713466954</v>
      </c>
      <c r="L346" s="151">
        <f>INPUT!BI376</f>
        <v>151</v>
      </c>
      <c r="M346" s="687">
        <f>INPUT!BJ376</f>
        <v>12.100965107646623</v>
      </c>
      <c r="N346" s="151">
        <f>INPUT!BK376</f>
        <v>150.1</v>
      </c>
      <c r="O346" s="687">
        <f>INPUT!BL376</f>
        <v>6.9088319088318917</v>
      </c>
      <c r="P346" s="151">
        <f>INPUT!BM376</f>
        <v>139</v>
      </c>
      <c r="Q346" s="687">
        <f>INPUT!BN376</f>
        <v>-6.6487575554063145</v>
      </c>
      <c r="R346" s="151">
        <f>INPUT!BO376</f>
        <v>120.30000000000001</v>
      </c>
      <c r="S346" s="687">
        <f>INPUT!BP376</f>
        <v>-19.853431045969362</v>
      </c>
      <c r="T346" s="151">
        <f>INPUT!BQ376</f>
        <v>124.30000000000001</v>
      </c>
      <c r="U346" s="687">
        <f>INPUT!BR376</f>
        <v>-17.682119205298008</v>
      </c>
      <c r="V346" s="151">
        <f>INPUT!BS376</f>
        <v>109.9</v>
      </c>
      <c r="W346" s="687">
        <f>INPUT!BT376</f>
        <v>-26.782145236508992</v>
      </c>
      <c r="X346" s="151">
        <f>INPUT!BU376</f>
        <v>83.2</v>
      </c>
      <c r="Y346" s="687">
        <f>INPUT!BV376</f>
        <v>-40.143884892086326</v>
      </c>
      <c r="Z346" s="151">
        <f>INPUT!BW376</f>
        <v>81.900000000000006</v>
      </c>
      <c r="AA346" s="687">
        <f>INPUT!BX376</f>
        <v>-31.920199501246881</v>
      </c>
      <c r="AB346" s="151">
        <f>INPUT!BY376</f>
        <v>91.6</v>
      </c>
      <c r="AC346" s="687">
        <f>INPUT!BZ376</f>
        <v>-26.307320997586491</v>
      </c>
      <c r="AD346" s="151"/>
      <c r="AE346" s="687"/>
      <c r="AF346" s="151"/>
      <c r="AG346" s="687"/>
      <c r="AH346" s="151"/>
      <c r="AI346" s="507"/>
      <c r="AJ346" s="151"/>
      <c r="AK346" s="507"/>
      <c r="AL346" s="151"/>
      <c r="AM346" s="507"/>
      <c r="AN346" s="151"/>
      <c r="AO346" s="507"/>
      <c r="AP346" s="151"/>
      <c r="AQ346" s="507"/>
      <c r="AR346" s="151"/>
      <c r="AS346" s="507"/>
      <c r="AT346" s="151"/>
      <c r="AU346" s="507"/>
      <c r="AV346" s="151"/>
      <c r="AW346" s="507"/>
      <c r="AX346" s="151"/>
      <c r="AY346" s="507"/>
      <c r="AZ346" s="151"/>
      <c r="BA346" s="507"/>
      <c r="BB346" s="151"/>
      <c r="BC346" s="507"/>
      <c r="BD346" s="151"/>
      <c r="BE346" s="507"/>
      <c r="BF346" s="151"/>
      <c r="BG346" s="507"/>
      <c r="BH346" s="151"/>
      <c r="BI346" s="507"/>
      <c r="BJ346" s="151"/>
      <c r="BK346" s="507"/>
      <c r="BL346" s="151"/>
      <c r="BM346" s="507"/>
      <c r="BN346" s="151"/>
      <c r="BO346" s="507"/>
      <c r="BP346" s="151"/>
      <c r="BQ346" s="507"/>
      <c r="BR346" s="151"/>
      <c r="BS346" s="507"/>
      <c r="BT346" s="151"/>
      <c r="BU346" s="507"/>
      <c r="BV346" s="151"/>
      <c r="BW346" s="507"/>
      <c r="BX346" s="151"/>
      <c r="BY346" s="507"/>
      <c r="BZ346" s="151"/>
      <c r="CA346" s="507"/>
      <c r="CB346" s="151"/>
      <c r="CC346" s="507"/>
      <c r="CD346" s="151"/>
      <c r="CE346" s="507"/>
      <c r="CF346" s="151"/>
      <c r="CG346" s="507"/>
      <c r="CH346" s="151"/>
      <c r="CI346" s="507"/>
      <c r="CJ346" s="151"/>
      <c r="CK346" s="507"/>
      <c r="CL346" s="151"/>
      <c r="CM346" s="507"/>
      <c r="CN346" s="151"/>
      <c r="CO346" s="507"/>
      <c r="CP346" s="151"/>
      <c r="CQ346" s="507"/>
      <c r="CR346" s="151"/>
      <c r="CS346" s="507"/>
      <c r="CT346" s="151"/>
      <c r="CU346" s="507"/>
      <c r="CV346" s="151"/>
      <c r="CW346" s="507"/>
      <c r="CX346" s="151"/>
      <c r="CY346" s="507"/>
      <c r="CZ346" s="151"/>
      <c r="DA346" s="507"/>
      <c r="DB346" s="507"/>
      <c r="DC346" s="151">
        <f>INPUT!FP376</f>
        <v>475.70000000000005</v>
      </c>
      <c r="DD346" s="687" t="str">
        <f>INPUT!FQ376</f>
        <v>NA</v>
      </c>
      <c r="DE346" s="151">
        <f>INPUT!FR376</f>
        <v>563.6</v>
      </c>
      <c r="DF346" s="687">
        <f>INPUT!FS376</f>
        <v>18.478032373344533</v>
      </c>
      <c r="DG346" s="151">
        <f>INPUT!FT376</f>
        <v>590.20000000000005</v>
      </c>
      <c r="DH346" s="687">
        <f>INPUT!FU376</f>
        <v>4.7196593328601821</v>
      </c>
      <c r="DI346" s="151">
        <f>INPUT!FV376</f>
        <v>437.70000000000005</v>
      </c>
      <c r="DJ346" s="687">
        <f>INPUT!FW376</f>
        <v>-25.838698746187728</v>
      </c>
      <c r="DK346" s="151">
        <f>INPUT!FX376</f>
        <v>173.5</v>
      </c>
      <c r="DL346" s="507" t="str">
        <f>INPUT!FY376</f>
        <v>NM</v>
      </c>
      <c r="DM346" s="151"/>
      <c r="DN346" s="507"/>
      <c r="DO346" s="151"/>
      <c r="DP346" s="507"/>
      <c r="DQ346" s="151"/>
      <c r="DR346" s="507"/>
      <c r="DS346" s="151"/>
      <c r="DT346" s="507"/>
      <c r="DU346" s="151"/>
      <c r="DV346" s="507"/>
      <c r="DW346" s="151"/>
      <c r="DX346" s="507"/>
      <c r="DY346" s="151"/>
      <c r="DZ346" s="507"/>
      <c r="EA346" s="151"/>
      <c r="EB346" s="507"/>
      <c r="EC346" s="151"/>
      <c r="ED346" s="507"/>
      <c r="EE346" s="151"/>
      <c r="EF346" s="507"/>
      <c r="EG346" s="151"/>
      <c r="EH346" s="507"/>
      <c r="EI346" s="151"/>
      <c r="EJ346" s="507"/>
      <c r="EK346" s="151"/>
      <c r="EL346" s="507"/>
      <c r="EM346" s="687"/>
    </row>
    <row r="347" spans="1:143" ht="12.75" hidden="1" customHeight="1" outlineLevel="2" x14ac:dyDescent="0.2">
      <c r="A347" s="689"/>
      <c r="B347" s="16"/>
      <c r="C347" s="507"/>
      <c r="D347" s="16"/>
      <c r="E347" s="687"/>
      <c r="F347" s="16"/>
      <c r="G347" s="687"/>
      <c r="H347" s="16"/>
      <c r="I347" s="687"/>
      <c r="J347" s="16"/>
      <c r="K347" s="687"/>
      <c r="L347" s="16"/>
      <c r="M347" s="687"/>
      <c r="N347" s="16"/>
      <c r="O347" s="687"/>
      <c r="P347" s="16"/>
      <c r="Q347" s="687"/>
      <c r="R347" s="16"/>
      <c r="S347" s="687"/>
      <c r="T347" s="16"/>
      <c r="U347" s="687"/>
      <c r="V347" s="16"/>
      <c r="W347" s="687"/>
      <c r="X347" s="16"/>
      <c r="Y347" s="687"/>
      <c r="Z347" s="16"/>
      <c r="AA347" s="687"/>
      <c r="AB347" s="16"/>
      <c r="AC347" s="687"/>
      <c r="AD347" s="16"/>
      <c r="AE347" s="687"/>
      <c r="AF347" s="16"/>
      <c r="AG347" s="687"/>
      <c r="AH347" s="16"/>
      <c r="AI347" s="507"/>
      <c r="AJ347" s="16"/>
      <c r="AK347" s="507"/>
      <c r="AL347" s="16"/>
      <c r="AM347" s="507"/>
      <c r="AN347" s="16"/>
      <c r="AO347" s="507"/>
      <c r="AP347" s="16"/>
      <c r="AQ347" s="507"/>
      <c r="AR347" s="16"/>
      <c r="AS347" s="507"/>
      <c r="AT347" s="16"/>
      <c r="AU347" s="507"/>
      <c r="AV347" s="16"/>
      <c r="AW347" s="507"/>
      <c r="AX347" s="16"/>
      <c r="AY347" s="507"/>
      <c r="AZ347" s="16"/>
      <c r="BA347" s="507"/>
      <c r="BB347" s="16"/>
      <c r="BC347" s="507"/>
      <c r="BD347" s="16"/>
      <c r="BE347" s="507"/>
      <c r="BF347" s="16"/>
      <c r="BG347" s="507"/>
      <c r="BH347" s="16"/>
      <c r="BI347" s="507"/>
      <c r="BJ347" s="16"/>
      <c r="BK347" s="507"/>
      <c r="BL347" s="16"/>
      <c r="BM347" s="507"/>
      <c r="BN347" s="16"/>
      <c r="BO347" s="507"/>
      <c r="BP347" s="16"/>
      <c r="BQ347" s="507"/>
      <c r="BR347" s="16"/>
      <c r="BS347" s="507"/>
      <c r="BT347" s="16"/>
      <c r="BU347" s="507"/>
      <c r="BV347" s="16"/>
      <c r="BW347" s="507"/>
      <c r="BX347" s="16"/>
      <c r="BY347" s="507"/>
      <c r="BZ347" s="16"/>
      <c r="CA347" s="507"/>
      <c r="CB347" s="16"/>
      <c r="CC347" s="507"/>
      <c r="CD347" s="16"/>
      <c r="CE347" s="507"/>
      <c r="CF347" s="16"/>
      <c r="CG347" s="507"/>
      <c r="CH347" s="16"/>
      <c r="CI347" s="507"/>
      <c r="CJ347" s="16"/>
      <c r="CK347" s="507"/>
      <c r="CL347" s="16"/>
      <c r="CM347" s="507"/>
      <c r="CN347" s="16"/>
      <c r="CO347" s="507"/>
      <c r="CP347" s="16"/>
      <c r="CQ347" s="507"/>
      <c r="CR347" s="16"/>
      <c r="CS347" s="507"/>
      <c r="CT347" s="16"/>
      <c r="CU347" s="507"/>
      <c r="CV347" s="16"/>
      <c r="CW347" s="507"/>
      <c r="CX347" s="16"/>
      <c r="CY347" s="507"/>
      <c r="CZ347" s="16"/>
      <c r="DA347" s="507"/>
      <c r="DB347" s="507"/>
      <c r="DC347" s="16"/>
      <c r="DD347" s="687"/>
      <c r="DE347" s="16"/>
      <c r="DF347" s="687"/>
      <c r="DG347" s="16"/>
      <c r="DH347" s="687"/>
      <c r="DI347" s="16"/>
      <c r="DJ347" s="687"/>
      <c r="DK347" s="16"/>
      <c r="DL347" s="507"/>
      <c r="DM347" s="16"/>
      <c r="DN347" s="507"/>
      <c r="DO347" s="16"/>
      <c r="DP347" s="507"/>
      <c r="DQ347" s="16"/>
      <c r="DR347" s="507"/>
      <c r="DS347" s="16"/>
      <c r="DT347" s="507"/>
      <c r="DU347" s="16"/>
      <c r="DV347" s="507"/>
      <c r="DW347" s="16"/>
      <c r="DX347" s="507"/>
      <c r="DY347" s="16"/>
      <c r="DZ347" s="507"/>
      <c r="EA347" s="16"/>
      <c r="EB347" s="507"/>
      <c r="EC347" s="16"/>
      <c r="ED347" s="507"/>
      <c r="EE347" s="16"/>
      <c r="EF347" s="507"/>
      <c r="EG347" s="16"/>
      <c r="EH347" s="507"/>
      <c r="EI347" s="16"/>
      <c r="EJ347" s="507"/>
      <c r="EK347" s="16"/>
      <c r="EL347" s="507"/>
      <c r="EM347" s="687"/>
    </row>
    <row r="348" spans="1:143" ht="12.75" hidden="1" customHeight="1" outlineLevel="2" x14ac:dyDescent="0.2">
      <c r="A348" s="700" t="s">
        <v>113</v>
      </c>
      <c r="B348" s="16"/>
      <c r="C348" s="507"/>
      <c r="D348" s="16"/>
      <c r="E348" s="687"/>
      <c r="F348" s="16"/>
      <c r="G348" s="687"/>
      <c r="H348" s="16"/>
      <c r="I348" s="687"/>
      <c r="J348" s="16"/>
      <c r="K348" s="687"/>
      <c r="L348" s="16"/>
      <c r="M348" s="687"/>
      <c r="N348" s="16"/>
      <c r="O348" s="687"/>
      <c r="P348" s="16"/>
      <c r="Q348" s="687"/>
      <c r="R348" s="16"/>
      <c r="S348" s="687"/>
      <c r="T348" s="16"/>
      <c r="U348" s="687"/>
      <c r="V348" s="16"/>
      <c r="W348" s="687"/>
      <c r="X348" s="16"/>
      <c r="Y348" s="687"/>
      <c r="Z348" s="16"/>
      <c r="AA348" s="687"/>
      <c r="AB348" s="16"/>
      <c r="AC348" s="687"/>
      <c r="AD348" s="16"/>
      <c r="AE348" s="687"/>
      <c r="AF348" s="16"/>
      <c r="AG348" s="687"/>
      <c r="AH348" s="16"/>
      <c r="AI348" s="507"/>
      <c r="AJ348" s="16"/>
      <c r="AK348" s="507"/>
      <c r="AL348" s="16"/>
      <c r="AM348" s="507"/>
      <c r="AN348" s="16"/>
      <c r="AO348" s="507"/>
      <c r="AP348" s="16"/>
      <c r="AQ348" s="507"/>
      <c r="AR348" s="16"/>
      <c r="AS348" s="507"/>
      <c r="AT348" s="16"/>
      <c r="AU348" s="507"/>
      <c r="AV348" s="16"/>
      <c r="AW348" s="507"/>
      <c r="AX348" s="16"/>
      <c r="AY348" s="507"/>
      <c r="AZ348" s="16"/>
      <c r="BA348" s="507"/>
      <c r="BB348" s="16"/>
      <c r="BC348" s="507"/>
      <c r="BD348" s="16"/>
      <c r="BE348" s="507"/>
      <c r="BF348" s="16"/>
      <c r="BG348" s="507"/>
      <c r="BH348" s="16"/>
      <c r="BI348" s="507"/>
      <c r="BJ348" s="16"/>
      <c r="BK348" s="507"/>
      <c r="BL348" s="16"/>
      <c r="BM348" s="507"/>
      <c r="BN348" s="16"/>
      <c r="BO348" s="507"/>
      <c r="BP348" s="16"/>
      <c r="BQ348" s="507"/>
      <c r="BR348" s="16"/>
      <c r="BS348" s="507"/>
      <c r="BT348" s="16"/>
      <c r="BU348" s="507"/>
      <c r="BV348" s="16"/>
      <c r="BW348" s="507"/>
      <c r="BX348" s="16"/>
      <c r="BY348" s="507"/>
      <c r="BZ348" s="16"/>
      <c r="CA348" s="507"/>
      <c r="CB348" s="16"/>
      <c r="CC348" s="507"/>
      <c r="CD348" s="16"/>
      <c r="CE348" s="507"/>
      <c r="CF348" s="16"/>
      <c r="CG348" s="507"/>
      <c r="CH348" s="16"/>
      <c r="CI348" s="507"/>
      <c r="CJ348" s="16"/>
      <c r="CK348" s="507"/>
      <c r="CL348" s="16"/>
      <c r="CM348" s="507"/>
      <c r="CN348" s="16"/>
      <c r="CO348" s="507"/>
      <c r="CP348" s="16"/>
      <c r="CQ348" s="507"/>
      <c r="CR348" s="16"/>
      <c r="CS348" s="507"/>
      <c r="CT348" s="16"/>
      <c r="CU348" s="507"/>
      <c r="CV348" s="16"/>
      <c r="CW348" s="507"/>
      <c r="CX348" s="16"/>
      <c r="CY348" s="507"/>
      <c r="CZ348" s="16"/>
      <c r="DA348" s="507"/>
      <c r="DB348" s="507"/>
      <c r="DC348" s="16"/>
      <c r="DD348" s="687"/>
      <c r="DE348" s="16"/>
      <c r="DF348" s="687"/>
      <c r="DG348" s="16"/>
      <c r="DH348" s="687"/>
      <c r="DI348" s="16"/>
      <c r="DJ348" s="687"/>
      <c r="DK348" s="16"/>
      <c r="DL348" s="507"/>
      <c r="DM348" s="16"/>
      <c r="DN348" s="507"/>
      <c r="DO348" s="16"/>
      <c r="DP348" s="507"/>
      <c r="DQ348" s="16"/>
      <c r="DR348" s="507"/>
      <c r="DS348" s="16"/>
      <c r="DT348" s="507"/>
      <c r="DU348" s="16"/>
      <c r="DV348" s="507"/>
      <c r="DW348" s="16"/>
      <c r="DX348" s="507"/>
      <c r="DY348" s="16"/>
      <c r="DZ348" s="507"/>
      <c r="EA348" s="16"/>
      <c r="EB348" s="507"/>
      <c r="EC348" s="16"/>
      <c r="ED348" s="507"/>
      <c r="EE348" s="16"/>
      <c r="EF348" s="507"/>
      <c r="EG348" s="16"/>
      <c r="EH348" s="507"/>
      <c r="EI348" s="16"/>
      <c r="EJ348" s="507"/>
      <c r="EK348" s="16"/>
      <c r="EL348" s="507"/>
      <c r="EM348" s="687"/>
    </row>
    <row r="349" spans="1:143" ht="12.75" hidden="1" customHeight="1" outlineLevel="2" x14ac:dyDescent="0.2">
      <c r="A349" s="701" t="str">
        <f>INPUT!B385</f>
        <v>Total Operating Expenses</v>
      </c>
      <c r="B349" s="151">
        <f>INPUT!AY385</f>
        <v>116.1</v>
      </c>
      <c r="C349" s="507">
        <f>INPUT!AZ385</f>
        <v>12.718446601941746</v>
      </c>
      <c r="D349" s="151">
        <f>INPUT!BA385</f>
        <v>116.4</v>
      </c>
      <c r="E349" s="687">
        <f>INPUT!BB385</f>
        <v>-0.17152658662091813</v>
      </c>
      <c r="F349" s="151">
        <f>INPUT!BC385</f>
        <v>120.3</v>
      </c>
      <c r="G349" s="687">
        <f>INPUT!BD385</f>
        <v>4.6086956521738998</v>
      </c>
      <c r="H349" s="151">
        <f>INPUT!BE385</f>
        <v>126.2</v>
      </c>
      <c r="I349" s="687">
        <f>INPUT!BF385</f>
        <v>10.314685314685313</v>
      </c>
      <c r="J349" s="151">
        <f>INPUT!BG385</f>
        <v>124.6</v>
      </c>
      <c r="K349" s="687">
        <f>INPUT!BH385</f>
        <v>7.3212747631352215</v>
      </c>
      <c r="L349" s="151">
        <f>INPUT!BI385</f>
        <v>133.1</v>
      </c>
      <c r="M349" s="687">
        <f>INPUT!BJ385</f>
        <v>14.347079037800681</v>
      </c>
      <c r="N349" s="151">
        <f>INPUT!BK385</f>
        <v>116</v>
      </c>
      <c r="O349" s="687">
        <f>INPUT!BL385</f>
        <v>-3.5743973399833706</v>
      </c>
      <c r="P349" s="151">
        <f>INPUT!BM385</f>
        <v>96.8</v>
      </c>
      <c r="Q349" s="687">
        <f>INPUT!BN385</f>
        <v>-23.296354992076076</v>
      </c>
      <c r="R349" s="151">
        <f>INPUT!BO385</f>
        <v>101</v>
      </c>
      <c r="S349" s="687">
        <f>INPUT!BP385</f>
        <v>-18.9406099518459</v>
      </c>
      <c r="T349" s="151">
        <f>INPUT!BQ385</f>
        <v>100.8</v>
      </c>
      <c r="U349" s="687">
        <f>INPUT!BR385</f>
        <v>-24.267468069120955</v>
      </c>
      <c r="V349" s="151">
        <f>INPUT!BS385</f>
        <v>101.8</v>
      </c>
      <c r="W349" s="687">
        <f>INPUT!BT385</f>
        <v>-12.241379310344836</v>
      </c>
      <c r="X349" s="151">
        <f>INPUT!BU385</f>
        <v>89.5</v>
      </c>
      <c r="Y349" s="687">
        <f>INPUT!BV385</f>
        <v>-7.5413223140495811</v>
      </c>
      <c r="Z349" s="151">
        <f>INPUT!BW385</f>
        <v>78.400000000000006</v>
      </c>
      <c r="AA349" s="687">
        <f>INPUT!BX385</f>
        <v>-22.376237623762375</v>
      </c>
      <c r="AB349" s="151">
        <f>INPUT!BY385</f>
        <v>81.7</v>
      </c>
      <c r="AC349" s="687">
        <f>INPUT!BZ385</f>
        <v>-18.948412698412696</v>
      </c>
      <c r="AD349" s="151"/>
      <c r="AE349" s="687"/>
      <c r="AF349" s="151"/>
      <c r="AG349" s="687"/>
      <c r="AH349" s="151"/>
      <c r="AI349" s="507"/>
      <c r="AJ349" s="151"/>
      <c r="AK349" s="507"/>
      <c r="AL349" s="151"/>
      <c r="AM349" s="507"/>
      <c r="AN349" s="151"/>
      <c r="AO349" s="507"/>
      <c r="AP349" s="151"/>
      <c r="AQ349" s="507"/>
      <c r="AR349" s="151"/>
      <c r="AS349" s="507"/>
      <c r="AT349" s="151"/>
      <c r="AU349" s="507"/>
      <c r="AV349" s="151"/>
      <c r="AW349" s="507"/>
      <c r="AX349" s="151"/>
      <c r="AY349" s="507"/>
      <c r="AZ349" s="151"/>
      <c r="BA349" s="507"/>
      <c r="BB349" s="151"/>
      <c r="BC349" s="507"/>
      <c r="BD349" s="151"/>
      <c r="BE349" s="507"/>
      <c r="BF349" s="151"/>
      <c r="BG349" s="507"/>
      <c r="BH349" s="151"/>
      <c r="BI349" s="507"/>
      <c r="BJ349" s="151"/>
      <c r="BK349" s="507"/>
      <c r="BL349" s="151"/>
      <c r="BM349" s="507"/>
      <c r="BN349" s="151"/>
      <c r="BO349" s="507"/>
      <c r="BP349" s="151"/>
      <c r="BQ349" s="507"/>
      <c r="BR349" s="151"/>
      <c r="BS349" s="507"/>
      <c r="BT349" s="151"/>
      <c r="BU349" s="507"/>
      <c r="BV349" s="151"/>
      <c r="BW349" s="507"/>
      <c r="BX349" s="151"/>
      <c r="BY349" s="507"/>
      <c r="BZ349" s="151"/>
      <c r="CA349" s="507"/>
      <c r="CB349" s="151"/>
      <c r="CC349" s="507"/>
      <c r="CD349" s="151"/>
      <c r="CE349" s="507"/>
      <c r="CF349" s="151"/>
      <c r="CG349" s="507"/>
      <c r="CH349" s="151"/>
      <c r="CI349" s="507"/>
      <c r="CJ349" s="151"/>
      <c r="CK349" s="507"/>
      <c r="CL349" s="151"/>
      <c r="CM349" s="507"/>
      <c r="CN349" s="151"/>
      <c r="CO349" s="507"/>
      <c r="CP349" s="151"/>
      <c r="CQ349" s="507"/>
      <c r="CR349" s="151"/>
      <c r="CS349" s="507"/>
      <c r="CT349" s="151"/>
      <c r="CU349" s="507"/>
      <c r="CV349" s="151"/>
      <c r="CW349" s="507"/>
      <c r="CX349" s="151"/>
      <c r="CY349" s="507"/>
      <c r="CZ349" s="151"/>
      <c r="DA349" s="507"/>
      <c r="DB349" s="507"/>
      <c r="DC349" s="151">
        <f>INPUT!FP385</f>
        <v>449</v>
      </c>
      <c r="DD349" s="687" t="str">
        <f>INPUT!FQ385</f>
        <v>NA</v>
      </c>
      <c r="DE349" s="151">
        <f>INPUT!FR385</f>
        <v>479</v>
      </c>
      <c r="DF349" s="687">
        <f>INPUT!FS385</f>
        <v>6.6815144766146917</v>
      </c>
      <c r="DG349" s="151">
        <f>INPUT!FT385</f>
        <v>470.5</v>
      </c>
      <c r="DH349" s="687">
        <f>INPUT!FU385</f>
        <v>-1.7745302713987443</v>
      </c>
      <c r="DI349" s="151">
        <f>INPUT!FV385</f>
        <v>393.1</v>
      </c>
      <c r="DJ349" s="687">
        <f>INPUT!FW385</f>
        <v>-16.450584484590859</v>
      </c>
      <c r="DK349" s="151">
        <f>INPUT!FX385</f>
        <v>160.10000000000002</v>
      </c>
      <c r="DL349" s="507" t="str">
        <f>INPUT!FY385</f>
        <v>NM</v>
      </c>
      <c r="DM349" s="151"/>
      <c r="DN349" s="507"/>
      <c r="DO349" s="151"/>
      <c r="DP349" s="507"/>
      <c r="DQ349" s="151"/>
      <c r="DR349" s="507"/>
      <c r="DS349" s="151"/>
      <c r="DT349" s="507"/>
      <c r="DU349" s="151"/>
      <c r="DV349" s="507"/>
      <c r="DW349" s="151"/>
      <c r="DX349" s="507"/>
      <c r="DY349" s="151"/>
      <c r="DZ349" s="507"/>
      <c r="EA349" s="151"/>
      <c r="EB349" s="507"/>
      <c r="EC349" s="151"/>
      <c r="ED349" s="507"/>
      <c r="EE349" s="151"/>
      <c r="EF349" s="507"/>
      <c r="EG349" s="151"/>
      <c r="EH349" s="507"/>
      <c r="EI349" s="151"/>
      <c r="EJ349" s="507"/>
      <c r="EK349" s="151"/>
      <c r="EL349" s="507"/>
      <c r="EM349" s="687"/>
    </row>
    <row r="350" spans="1:143" ht="12.75" hidden="1" customHeight="1" outlineLevel="2" x14ac:dyDescent="0.2">
      <c r="A350" s="701"/>
      <c r="B350" s="16"/>
      <c r="C350" s="507"/>
      <c r="D350" s="16"/>
      <c r="E350" s="687"/>
      <c r="F350" s="16"/>
      <c r="G350" s="687"/>
      <c r="H350" s="16"/>
      <c r="I350" s="687"/>
      <c r="J350" s="16"/>
      <c r="K350" s="687"/>
      <c r="L350" s="16"/>
      <c r="M350" s="687"/>
      <c r="N350" s="16"/>
      <c r="O350" s="687"/>
      <c r="P350" s="16"/>
      <c r="Q350" s="687"/>
      <c r="R350" s="16"/>
      <c r="S350" s="687"/>
      <c r="T350" s="16"/>
      <c r="U350" s="687"/>
      <c r="V350" s="16"/>
      <c r="W350" s="687"/>
      <c r="X350" s="16"/>
      <c r="Y350" s="687"/>
      <c r="Z350" s="16"/>
      <c r="AA350" s="687"/>
      <c r="AB350" s="16"/>
      <c r="AC350" s="687"/>
      <c r="AD350" s="16"/>
      <c r="AE350" s="687"/>
      <c r="AF350" s="16"/>
      <c r="AG350" s="687"/>
      <c r="AH350" s="16"/>
      <c r="AI350" s="507"/>
      <c r="AJ350" s="16"/>
      <c r="AK350" s="507"/>
      <c r="AL350" s="16"/>
      <c r="AM350" s="507"/>
      <c r="AN350" s="16"/>
      <c r="AO350" s="507"/>
      <c r="AP350" s="16"/>
      <c r="AQ350" s="507"/>
      <c r="AR350" s="16"/>
      <c r="AS350" s="507"/>
      <c r="AT350" s="16"/>
      <c r="AU350" s="507"/>
      <c r="AV350" s="16"/>
      <c r="AW350" s="507"/>
      <c r="AX350" s="16"/>
      <c r="AY350" s="507"/>
      <c r="AZ350" s="16"/>
      <c r="BA350" s="507"/>
      <c r="BB350" s="16"/>
      <c r="BC350" s="507"/>
      <c r="BD350" s="16"/>
      <c r="BE350" s="507"/>
      <c r="BF350" s="16"/>
      <c r="BG350" s="507"/>
      <c r="BH350" s="16"/>
      <c r="BI350" s="507"/>
      <c r="BJ350" s="16"/>
      <c r="BK350" s="507"/>
      <c r="BL350" s="16"/>
      <c r="BM350" s="507"/>
      <c r="BN350" s="16"/>
      <c r="BO350" s="507"/>
      <c r="BP350" s="16"/>
      <c r="BQ350" s="507"/>
      <c r="BR350" s="16"/>
      <c r="BS350" s="507"/>
      <c r="BT350" s="16"/>
      <c r="BU350" s="507"/>
      <c r="BV350" s="16"/>
      <c r="BW350" s="507"/>
      <c r="BX350" s="16"/>
      <c r="BY350" s="507"/>
      <c r="BZ350" s="16"/>
      <c r="CA350" s="507"/>
      <c r="CB350" s="16"/>
      <c r="CC350" s="507"/>
      <c r="CD350" s="16"/>
      <c r="CE350" s="507"/>
      <c r="CF350" s="16"/>
      <c r="CG350" s="507"/>
      <c r="CH350" s="16"/>
      <c r="CI350" s="507"/>
      <c r="CJ350" s="16"/>
      <c r="CK350" s="507"/>
      <c r="CL350" s="16"/>
      <c r="CM350" s="507"/>
      <c r="CN350" s="16"/>
      <c r="CO350" s="507"/>
      <c r="CP350" s="16"/>
      <c r="CQ350" s="507"/>
      <c r="CR350" s="16"/>
      <c r="CS350" s="507"/>
      <c r="CT350" s="16"/>
      <c r="CU350" s="507"/>
      <c r="CV350" s="16"/>
      <c r="CW350" s="507"/>
      <c r="CX350" s="16"/>
      <c r="CY350" s="507"/>
      <c r="CZ350" s="16"/>
      <c r="DA350" s="507"/>
      <c r="DB350" s="507"/>
      <c r="DC350" s="16"/>
      <c r="DD350" s="687"/>
      <c r="DE350" s="16"/>
      <c r="DF350" s="687"/>
      <c r="DG350" s="16"/>
      <c r="DH350" s="687"/>
      <c r="DI350" s="16"/>
      <c r="DJ350" s="687"/>
      <c r="DK350" s="16"/>
      <c r="DL350" s="507"/>
      <c r="DM350" s="16"/>
      <c r="DN350" s="507"/>
      <c r="DO350" s="16"/>
      <c r="DP350" s="507"/>
      <c r="DQ350" s="16"/>
      <c r="DR350" s="507"/>
      <c r="DS350" s="16"/>
      <c r="DT350" s="507"/>
      <c r="DU350" s="16"/>
      <c r="DV350" s="507"/>
      <c r="DW350" s="16"/>
      <c r="DX350" s="507"/>
      <c r="DY350" s="16"/>
      <c r="DZ350" s="507"/>
      <c r="EA350" s="16"/>
      <c r="EB350" s="507"/>
      <c r="EC350" s="16"/>
      <c r="ED350" s="507"/>
      <c r="EE350" s="16"/>
      <c r="EF350" s="507"/>
      <c r="EG350" s="16"/>
      <c r="EH350" s="507"/>
      <c r="EI350" s="16"/>
      <c r="EJ350" s="507"/>
      <c r="EK350" s="16"/>
      <c r="EL350" s="507"/>
      <c r="EM350" s="687"/>
    </row>
    <row r="351" spans="1:143" ht="12.75" hidden="1" customHeight="1" outlineLevel="2" x14ac:dyDescent="0.2">
      <c r="A351" s="701" t="str">
        <f>INPUT!B391</f>
        <v>Pretax Earnings</v>
      </c>
      <c r="B351" s="151">
        <f>INPUT!AY391</f>
        <v>23.500000000000028</v>
      </c>
      <c r="C351" s="507" t="str">
        <f>INPUT!AZ391</f>
        <v>NM</v>
      </c>
      <c r="D351" s="151">
        <f>INPUT!BA391</f>
        <v>18.299999999999983</v>
      </c>
      <c r="E351" s="687" t="str">
        <f>INPUT!BB391</f>
        <v>NM</v>
      </c>
      <c r="F351" s="151">
        <f>INPUT!BC391</f>
        <v>20.100000000000009</v>
      </c>
      <c r="G351" s="687" t="str">
        <f>INPUT!BD391</f>
        <v>NM</v>
      </c>
      <c r="H351" s="151">
        <f>INPUT!BE391</f>
        <v>22.700000000000003</v>
      </c>
      <c r="I351" s="687">
        <f>INPUT!BF391</f>
        <v>66.911764705882447</v>
      </c>
      <c r="J351" s="151">
        <f>INPUT!BG391</f>
        <v>25.500000000000028</v>
      </c>
      <c r="K351" s="687">
        <f>INPUT!BH391</f>
        <v>8.5106382978723296</v>
      </c>
      <c r="L351" s="151">
        <f>INPUT!BI391</f>
        <v>17.900000000000006</v>
      </c>
      <c r="M351" s="687">
        <f>INPUT!BJ391</f>
        <v>-2.1857923497266563</v>
      </c>
      <c r="N351" s="151">
        <f>INPUT!BK391</f>
        <v>34.099999999999994</v>
      </c>
      <c r="O351" s="687">
        <f>INPUT!BL391</f>
        <v>69.65174129353224</v>
      </c>
      <c r="P351" s="151">
        <f>INPUT!BM391</f>
        <v>42.2</v>
      </c>
      <c r="Q351" s="687">
        <f>INPUT!BN391</f>
        <v>85.903083700440504</v>
      </c>
      <c r="R351" s="151">
        <f>INPUT!BO391</f>
        <v>19.300000000000011</v>
      </c>
      <c r="S351" s="687">
        <f>INPUT!BP391</f>
        <v>-24.313725490196113</v>
      </c>
      <c r="T351" s="151">
        <f>INPUT!BQ391</f>
        <v>23.500000000000014</v>
      </c>
      <c r="U351" s="687">
        <f>INPUT!BR391</f>
        <v>31.284916201117351</v>
      </c>
      <c r="V351" s="151">
        <f>INPUT!BS391</f>
        <v>8.1000000000000085</v>
      </c>
      <c r="W351" s="687" t="str">
        <f>INPUT!BT391</f>
        <v>NM</v>
      </c>
      <c r="X351" s="151">
        <f>INPUT!BU391</f>
        <v>-6.2999999999999972</v>
      </c>
      <c r="Y351" s="687" t="str">
        <f>INPUT!BV391</f>
        <v>NM</v>
      </c>
      <c r="Z351" s="151">
        <f>INPUT!BW391</f>
        <v>3.5</v>
      </c>
      <c r="AA351" s="687" t="str">
        <f>INPUT!BX391</f>
        <v>NM</v>
      </c>
      <c r="AB351" s="151">
        <f>INPUT!BY391</f>
        <v>9.8999999999999915</v>
      </c>
      <c r="AC351" s="687" t="str">
        <f>INPUT!BZ391</f>
        <v>NM</v>
      </c>
      <c r="AD351" s="151"/>
      <c r="AE351" s="687"/>
      <c r="AF351" s="151"/>
      <c r="AG351" s="687"/>
      <c r="AH351" s="151"/>
      <c r="AI351" s="507"/>
      <c r="AJ351" s="151"/>
      <c r="AK351" s="507"/>
      <c r="AL351" s="151"/>
      <c r="AM351" s="507"/>
      <c r="AN351" s="151"/>
      <c r="AO351" s="507"/>
      <c r="AP351" s="151"/>
      <c r="AQ351" s="507"/>
      <c r="AR351" s="151"/>
      <c r="AS351" s="507"/>
      <c r="AT351" s="151"/>
      <c r="AU351" s="507"/>
      <c r="AV351" s="151"/>
      <c r="AW351" s="507"/>
      <c r="AX351" s="151"/>
      <c r="AY351" s="507"/>
      <c r="AZ351" s="151"/>
      <c r="BA351" s="507"/>
      <c r="BB351" s="151"/>
      <c r="BC351" s="507"/>
      <c r="BD351" s="151"/>
      <c r="BE351" s="507"/>
      <c r="BF351" s="151"/>
      <c r="BG351" s="507"/>
      <c r="BH351" s="151"/>
      <c r="BI351" s="507"/>
      <c r="BJ351" s="151"/>
      <c r="BK351" s="507"/>
      <c r="BL351" s="151"/>
      <c r="BM351" s="507"/>
      <c r="BN351" s="151"/>
      <c r="BO351" s="507"/>
      <c r="BP351" s="151"/>
      <c r="BQ351" s="507"/>
      <c r="BR351" s="151"/>
      <c r="BS351" s="507"/>
      <c r="BT351" s="151"/>
      <c r="BU351" s="507"/>
      <c r="BV351" s="151"/>
      <c r="BW351" s="507"/>
      <c r="BX351" s="151"/>
      <c r="BY351" s="507"/>
      <c r="BZ351" s="151"/>
      <c r="CA351" s="507"/>
      <c r="CB351" s="151"/>
      <c r="CC351" s="507"/>
      <c r="CD351" s="151"/>
      <c r="CE351" s="507"/>
      <c r="CF351" s="151"/>
      <c r="CG351" s="507"/>
      <c r="CH351" s="151"/>
      <c r="CI351" s="507"/>
      <c r="CJ351" s="151"/>
      <c r="CK351" s="507"/>
      <c r="CL351" s="151"/>
      <c r="CM351" s="507"/>
      <c r="CN351" s="151"/>
      <c r="CO351" s="507"/>
      <c r="CP351" s="151"/>
      <c r="CQ351" s="507"/>
      <c r="CR351" s="151"/>
      <c r="CS351" s="507"/>
      <c r="CT351" s="151"/>
      <c r="CU351" s="507"/>
      <c r="CV351" s="151"/>
      <c r="CW351" s="507"/>
      <c r="CX351" s="151"/>
      <c r="CY351" s="507"/>
      <c r="CZ351" s="151"/>
      <c r="DA351" s="507"/>
      <c r="DB351" s="507"/>
      <c r="DC351" s="151">
        <f>INPUT!FP391</f>
        <v>26.700000000000017</v>
      </c>
      <c r="DD351" s="687" t="str">
        <f>INPUT!FQ391</f>
        <v>NA</v>
      </c>
      <c r="DE351" s="151">
        <f>INPUT!FR391</f>
        <v>84.600000000000023</v>
      </c>
      <c r="DF351" s="687" t="str">
        <f>INPUT!FS391</f>
        <v>NM</v>
      </c>
      <c r="DG351" s="151">
        <f>INPUT!FT391</f>
        <v>119.70000000000005</v>
      </c>
      <c r="DH351" s="687">
        <f>INPUT!FU391</f>
        <v>41.489361702127667</v>
      </c>
      <c r="DI351" s="151">
        <f>INPUT!FV391</f>
        <v>44.600000000000023</v>
      </c>
      <c r="DJ351" s="687" t="str">
        <f>INPUT!FW391</f>
        <v>NM</v>
      </c>
      <c r="DK351" s="151">
        <f>INPUT!FX391</f>
        <v>13.399999999999977</v>
      </c>
      <c r="DL351" s="507" t="str">
        <f>INPUT!FY391</f>
        <v>NM</v>
      </c>
      <c r="DM351" s="151"/>
      <c r="DN351" s="507"/>
      <c r="DO351" s="151"/>
      <c r="DP351" s="507"/>
      <c r="DQ351" s="151"/>
      <c r="DR351" s="507"/>
      <c r="DS351" s="151"/>
      <c r="DT351" s="507"/>
      <c r="DU351" s="151"/>
      <c r="DV351" s="507"/>
      <c r="DW351" s="151"/>
      <c r="DX351" s="507"/>
      <c r="DY351" s="151"/>
      <c r="DZ351" s="507"/>
      <c r="EA351" s="151"/>
      <c r="EB351" s="507"/>
      <c r="EC351" s="151"/>
      <c r="ED351" s="507"/>
      <c r="EE351" s="151"/>
      <c r="EF351" s="507"/>
      <c r="EG351" s="151"/>
      <c r="EH351" s="507"/>
      <c r="EI351" s="151"/>
      <c r="EJ351" s="507"/>
      <c r="EK351" s="151"/>
      <c r="EL351" s="507"/>
      <c r="EM351" s="687"/>
    </row>
    <row r="352" spans="1:143" ht="12.75" hidden="1" customHeight="1" outlineLevel="2" x14ac:dyDescent="0.2">
      <c r="A352" s="701" t="str">
        <f>INPUT!B392</f>
        <v>Taxes</v>
      </c>
      <c r="B352" s="151">
        <f>INPUT!AY392</f>
        <v>8.1999999999999993</v>
      </c>
      <c r="C352" s="507" t="str">
        <f>INPUT!AZ392</f>
        <v>NM</v>
      </c>
      <c r="D352" s="151">
        <f>INPUT!BA392</f>
        <v>6.3</v>
      </c>
      <c r="E352" s="687" t="str">
        <f>INPUT!BB392</f>
        <v>NM</v>
      </c>
      <c r="F352" s="151">
        <f>INPUT!BC392</f>
        <v>6.7</v>
      </c>
      <c r="G352" s="687">
        <f>INPUT!BD392</f>
        <v>97.058823529411768</v>
      </c>
      <c r="H352" s="151">
        <f>INPUT!BE392</f>
        <v>8.3000000000000007</v>
      </c>
      <c r="I352" s="687">
        <f>INPUT!BF392</f>
        <v>80.43478260869567</v>
      </c>
      <c r="J352" s="151">
        <f>INPUT!BG392</f>
        <v>9.3000000000000007</v>
      </c>
      <c r="K352" s="687">
        <f>INPUT!BH392</f>
        <v>13.414634146341475</v>
      </c>
      <c r="L352" s="151">
        <f>INPUT!BI392</f>
        <v>6.6</v>
      </c>
      <c r="M352" s="687">
        <f>INPUT!BJ392</f>
        <v>4.7619047619047672</v>
      </c>
      <c r="N352" s="151">
        <f>INPUT!BK392</f>
        <v>12.3</v>
      </c>
      <c r="O352" s="687">
        <f>INPUT!BL392</f>
        <v>83.582089552238799</v>
      </c>
      <c r="P352" s="151">
        <f>INPUT!BM392</f>
        <v>15.2</v>
      </c>
      <c r="Q352" s="687">
        <f>INPUT!BN392</f>
        <v>83.132530120481903</v>
      </c>
      <c r="R352" s="151">
        <f>INPUT!BO392</f>
        <v>7.1</v>
      </c>
      <c r="S352" s="687">
        <f>INPUT!BP392</f>
        <v>-23.655913978494635</v>
      </c>
      <c r="T352" s="151">
        <f>INPUT!BQ392</f>
        <v>8.5</v>
      </c>
      <c r="U352" s="687">
        <f>INPUT!BR392</f>
        <v>28.787878787878785</v>
      </c>
      <c r="V352" s="151">
        <f>INPUT!BS392</f>
        <v>2.8</v>
      </c>
      <c r="W352" s="687" t="str">
        <f>INPUT!BT392</f>
        <v>NM</v>
      </c>
      <c r="X352" s="151">
        <f>INPUT!BU392</f>
        <v>-2</v>
      </c>
      <c r="Y352" s="687" t="str">
        <f>INPUT!BV392</f>
        <v>NM</v>
      </c>
      <c r="Z352" s="151">
        <f>INPUT!BW392</f>
        <v>2.1</v>
      </c>
      <c r="AA352" s="687" t="str">
        <f>INPUT!BX392</f>
        <v>NM</v>
      </c>
      <c r="AB352" s="151">
        <f>INPUT!BY392</f>
        <v>4.8</v>
      </c>
      <c r="AC352" s="687">
        <f>INPUT!BZ392</f>
        <v>-43.529411764705884</v>
      </c>
      <c r="AD352" s="151"/>
      <c r="AE352" s="687"/>
      <c r="AF352" s="151"/>
      <c r="AG352" s="687"/>
      <c r="AH352" s="151"/>
      <c r="AI352" s="507"/>
      <c r="AJ352" s="151"/>
      <c r="AK352" s="507"/>
      <c r="AL352" s="151"/>
      <c r="AM352" s="507"/>
      <c r="AN352" s="151"/>
      <c r="AO352" s="507"/>
      <c r="AP352" s="151"/>
      <c r="AQ352" s="507"/>
      <c r="AR352" s="151"/>
      <c r="AS352" s="507"/>
      <c r="AT352" s="151"/>
      <c r="AU352" s="507"/>
      <c r="AV352" s="151"/>
      <c r="AW352" s="507"/>
      <c r="AX352" s="151"/>
      <c r="AY352" s="507"/>
      <c r="AZ352" s="151"/>
      <c r="BA352" s="507"/>
      <c r="BB352" s="151"/>
      <c r="BC352" s="507"/>
      <c r="BD352" s="151"/>
      <c r="BE352" s="507"/>
      <c r="BF352" s="151"/>
      <c r="BG352" s="507"/>
      <c r="BH352" s="151"/>
      <c r="BI352" s="507"/>
      <c r="BJ352" s="151"/>
      <c r="BK352" s="507"/>
      <c r="BL352" s="151"/>
      <c r="BM352" s="507"/>
      <c r="BN352" s="151"/>
      <c r="BO352" s="507"/>
      <c r="BP352" s="151"/>
      <c r="BQ352" s="507"/>
      <c r="BR352" s="151"/>
      <c r="BS352" s="507"/>
      <c r="BT352" s="151"/>
      <c r="BU352" s="507"/>
      <c r="BV352" s="151"/>
      <c r="BW352" s="507"/>
      <c r="BX352" s="151"/>
      <c r="BY352" s="507"/>
      <c r="BZ352" s="151"/>
      <c r="CA352" s="507"/>
      <c r="CB352" s="151"/>
      <c r="CC352" s="507"/>
      <c r="CD352" s="151"/>
      <c r="CE352" s="507"/>
      <c r="CF352" s="151"/>
      <c r="CG352" s="507"/>
      <c r="CH352" s="151"/>
      <c r="CI352" s="507"/>
      <c r="CJ352" s="151"/>
      <c r="CK352" s="507"/>
      <c r="CL352" s="151"/>
      <c r="CM352" s="507"/>
      <c r="CN352" s="151"/>
      <c r="CO352" s="507"/>
      <c r="CP352" s="151"/>
      <c r="CQ352" s="507"/>
      <c r="CR352" s="151"/>
      <c r="CS352" s="507"/>
      <c r="CT352" s="151"/>
      <c r="CU352" s="507"/>
      <c r="CV352" s="151"/>
      <c r="CW352" s="507"/>
      <c r="CX352" s="151"/>
      <c r="CY352" s="507"/>
      <c r="CZ352" s="151"/>
      <c r="DA352" s="507"/>
      <c r="DB352" s="507"/>
      <c r="DC352" s="151">
        <f>INPUT!FP392</f>
        <v>9.5</v>
      </c>
      <c r="DD352" s="687" t="str">
        <f>INPUT!FQ392</f>
        <v>NA</v>
      </c>
      <c r="DE352" s="151">
        <f>INPUT!FR392</f>
        <v>29.5</v>
      </c>
      <c r="DF352" s="687" t="str">
        <f>INPUT!FS392</f>
        <v>NM</v>
      </c>
      <c r="DG352" s="151">
        <f>INPUT!FT392</f>
        <v>43.400000000000006</v>
      </c>
      <c r="DH352" s="687">
        <f>INPUT!FU392</f>
        <v>47.118644067796623</v>
      </c>
      <c r="DI352" s="151">
        <f>INPUT!FV392</f>
        <v>16.399999999999999</v>
      </c>
      <c r="DJ352" s="687" t="str">
        <f>INPUT!FW392</f>
        <v>NM</v>
      </c>
      <c r="DK352" s="151">
        <f>INPUT!FX392</f>
        <v>6.9</v>
      </c>
      <c r="DL352" s="507" t="str">
        <f>INPUT!FY392</f>
        <v>NM</v>
      </c>
      <c r="DM352" s="151"/>
      <c r="DN352" s="507"/>
      <c r="DO352" s="151"/>
      <c r="DP352" s="507"/>
      <c r="DQ352" s="151"/>
      <c r="DR352" s="507"/>
      <c r="DS352" s="151"/>
      <c r="DT352" s="507"/>
      <c r="DU352" s="151"/>
      <c r="DV352" s="507"/>
      <c r="DW352" s="151"/>
      <c r="DX352" s="507"/>
      <c r="DY352" s="151"/>
      <c r="DZ352" s="507"/>
      <c r="EA352" s="151"/>
      <c r="EB352" s="507"/>
      <c r="EC352" s="151"/>
      <c r="ED352" s="507"/>
      <c r="EE352" s="151"/>
      <c r="EF352" s="507"/>
      <c r="EG352" s="151"/>
      <c r="EH352" s="507"/>
      <c r="EI352" s="151"/>
      <c r="EJ352" s="507"/>
      <c r="EK352" s="151"/>
      <c r="EL352" s="507"/>
      <c r="EM352" s="687"/>
    </row>
    <row r="353" spans="1:143" ht="12.75" hidden="1" customHeight="1" outlineLevel="2" x14ac:dyDescent="0.2">
      <c r="A353" s="701" t="str">
        <f>INPUT!B393</f>
        <v>Tax Rate (%)</v>
      </c>
      <c r="B353" s="156">
        <f>INPUT!AY393</f>
        <v>34.893617021276555</v>
      </c>
      <c r="C353" s="507">
        <f>INPUT!AZ393</f>
        <v>4.6808510638297607</v>
      </c>
      <c r="D353" s="156">
        <f>INPUT!BA393</f>
        <v>34.426229508196755</v>
      </c>
      <c r="E353" s="687">
        <f>INPUT!BB393</f>
        <v>-9.6311475409837755</v>
      </c>
      <c r="F353" s="156">
        <f>INPUT!BC393</f>
        <v>33.333333333333321</v>
      </c>
      <c r="G353" s="687">
        <f>INPUT!BD393</f>
        <v>-18.627450980392069</v>
      </c>
      <c r="H353" s="156">
        <f>INPUT!BE393</f>
        <v>36.563876651982383</v>
      </c>
      <c r="I353" s="687">
        <f>INPUT!BF393</f>
        <v>8.101896188469615</v>
      </c>
      <c r="J353" s="156">
        <f>INPUT!BG393</f>
        <v>36.47058823529408</v>
      </c>
      <c r="K353" s="687">
        <f>INPUT!BH393</f>
        <v>4.5193687230990154</v>
      </c>
      <c r="L353" s="156">
        <f>INPUT!BI393</f>
        <v>36.871508379888255</v>
      </c>
      <c r="M353" s="687">
        <f>INPUT!BJ393</f>
        <v>7.1029529130086422</v>
      </c>
      <c r="N353" s="156">
        <f>INPUT!BK393</f>
        <v>36.070381231671561</v>
      </c>
      <c r="O353" s="687">
        <f>INPUT!BL393</f>
        <v>8.211143695014723</v>
      </c>
      <c r="P353" s="156">
        <f>INPUT!BM393</f>
        <v>36.018957345971558</v>
      </c>
      <c r="Q353" s="687">
        <f>INPUT!BN393</f>
        <v>-1.4903214754753868</v>
      </c>
      <c r="R353" s="156">
        <f>INPUT!BO393</f>
        <v>36.787564766839353</v>
      </c>
      <c r="S353" s="687">
        <f>INPUT!BP393</f>
        <v>0.86912919939832189</v>
      </c>
      <c r="T353" s="156">
        <f>INPUT!BQ393</f>
        <v>36.17021276595743</v>
      </c>
      <c r="U353" s="687">
        <f>INPUT!BR393</f>
        <v>-1.9019987105093561</v>
      </c>
      <c r="V353" s="156">
        <f>INPUT!BS393</f>
        <v>34.567901234567863</v>
      </c>
      <c r="W353" s="687">
        <f>INPUT!BT393</f>
        <v>-4.1654120244907444</v>
      </c>
      <c r="X353" s="156">
        <f>INPUT!BU393</f>
        <v>31.746031746031761</v>
      </c>
      <c r="Y353" s="687">
        <f>INPUT!BV393</f>
        <v>-11.862990810359175</v>
      </c>
      <c r="Z353" s="156">
        <f>INPUT!BW393</f>
        <v>60</v>
      </c>
      <c r="AA353" s="687">
        <f>INPUT!BX393</f>
        <v>63.09859154929589</v>
      </c>
      <c r="AB353" s="156">
        <f>INPUT!BY393</f>
        <v>48.484848484848527</v>
      </c>
      <c r="AC353" s="687">
        <f>INPUT!BZ393</f>
        <v>34.046345811051879</v>
      </c>
      <c r="AD353" s="156"/>
      <c r="AE353" s="687"/>
      <c r="AF353" s="156"/>
      <c r="AG353" s="687"/>
      <c r="AH353" s="156"/>
      <c r="AI353" s="507"/>
      <c r="AJ353" s="156"/>
      <c r="AK353" s="507"/>
      <c r="AL353" s="156"/>
      <c r="AM353" s="507"/>
      <c r="AN353" s="156"/>
      <c r="AO353" s="507"/>
      <c r="AP353" s="156"/>
      <c r="AQ353" s="507"/>
      <c r="AR353" s="156"/>
      <c r="AS353" s="507"/>
      <c r="AT353" s="156"/>
      <c r="AU353" s="507"/>
      <c r="AV353" s="156"/>
      <c r="AW353" s="507"/>
      <c r="AX353" s="156"/>
      <c r="AY353" s="507"/>
      <c r="AZ353" s="156"/>
      <c r="BA353" s="507"/>
      <c r="BB353" s="156"/>
      <c r="BC353" s="507"/>
      <c r="BD353" s="156"/>
      <c r="BE353" s="507"/>
      <c r="BF353" s="156"/>
      <c r="BG353" s="507"/>
      <c r="BH353" s="156"/>
      <c r="BI353" s="507"/>
      <c r="BJ353" s="156"/>
      <c r="BK353" s="507"/>
      <c r="BL353" s="156"/>
      <c r="BM353" s="507"/>
      <c r="BN353" s="156"/>
      <c r="BO353" s="507"/>
      <c r="BP353" s="156"/>
      <c r="BQ353" s="507"/>
      <c r="BR353" s="156"/>
      <c r="BS353" s="507"/>
      <c r="BT353" s="156"/>
      <c r="BU353" s="507"/>
      <c r="BV353" s="156"/>
      <c r="BW353" s="507"/>
      <c r="BX353" s="156"/>
      <c r="BY353" s="507"/>
      <c r="BZ353" s="156"/>
      <c r="CA353" s="507"/>
      <c r="CB353" s="156"/>
      <c r="CC353" s="507"/>
      <c r="CD353" s="156"/>
      <c r="CE353" s="507"/>
      <c r="CF353" s="156"/>
      <c r="CG353" s="507"/>
      <c r="CH353" s="156"/>
      <c r="CI353" s="507"/>
      <c r="CJ353" s="156"/>
      <c r="CK353" s="507"/>
      <c r="CL353" s="156"/>
      <c r="CM353" s="507"/>
      <c r="CN353" s="156"/>
      <c r="CO353" s="507"/>
      <c r="CP353" s="156"/>
      <c r="CQ353" s="507"/>
      <c r="CR353" s="156"/>
      <c r="CS353" s="507"/>
      <c r="CT353" s="156"/>
      <c r="CU353" s="507"/>
      <c r="CV353" s="156"/>
      <c r="CW353" s="507"/>
      <c r="CX353" s="156"/>
      <c r="CY353" s="507"/>
      <c r="CZ353" s="156"/>
      <c r="DA353" s="507"/>
      <c r="DB353" s="507"/>
      <c r="DC353" s="156">
        <f>INPUT!FP393</f>
        <v>35.580524344569262</v>
      </c>
      <c r="DD353" s="687" t="str">
        <f>INPUT!FQ393</f>
        <v>NA</v>
      </c>
      <c r="DE353" s="156">
        <f>INPUT!FR393</f>
        <v>34.869976359338054</v>
      </c>
      <c r="DF353" s="687">
        <f>INPUT!FS393</f>
        <v>-1.9970138111235047</v>
      </c>
      <c r="DG353" s="156">
        <f>INPUT!FT393</f>
        <v>36.257309941520461</v>
      </c>
      <c r="DH353" s="687">
        <f>INPUT!FU393</f>
        <v>3.9785905441570124</v>
      </c>
      <c r="DI353" s="156">
        <f>INPUT!FV393</f>
        <v>36.771300448430473</v>
      </c>
      <c r="DJ353" s="687">
        <f>INPUT!FW393</f>
        <v>1.4176189787356686</v>
      </c>
      <c r="DK353" s="156">
        <f>INPUT!FX393</f>
        <v>51.492537313432926</v>
      </c>
      <c r="DL353" s="507">
        <f>INPUT!FY393</f>
        <v>40.034583181653026</v>
      </c>
      <c r="DM353" s="156"/>
      <c r="DN353" s="507"/>
      <c r="DO353" s="156"/>
      <c r="DP353" s="507"/>
      <c r="DQ353" s="156"/>
      <c r="DR353" s="507"/>
      <c r="DS353" s="156"/>
      <c r="DT353" s="507"/>
      <c r="DU353" s="156"/>
      <c r="DV353" s="507"/>
      <c r="DW353" s="156"/>
      <c r="DX353" s="507"/>
      <c r="DY353" s="156"/>
      <c r="DZ353" s="507"/>
      <c r="EA353" s="156"/>
      <c r="EB353" s="507"/>
      <c r="EC353" s="156"/>
      <c r="ED353" s="507"/>
      <c r="EE353" s="156"/>
      <c r="EF353" s="507"/>
      <c r="EG353" s="156"/>
      <c r="EH353" s="507"/>
      <c r="EI353" s="156"/>
      <c r="EJ353" s="507"/>
      <c r="EK353" s="156"/>
      <c r="EL353" s="507"/>
      <c r="EM353" s="687"/>
    </row>
    <row r="354" spans="1:143" ht="12.75" hidden="1" customHeight="1" outlineLevel="2" x14ac:dyDescent="0.2">
      <c r="A354" s="707" t="str">
        <f>INPUT!B394</f>
        <v>After-Tax Earnings</v>
      </c>
      <c r="B354" s="708">
        <f>INPUT!AY394</f>
        <v>15.300000000000029</v>
      </c>
      <c r="C354" s="757" t="str">
        <f>INPUT!AZ394</f>
        <v>NM</v>
      </c>
      <c r="D354" s="708">
        <f>INPUT!BA394</f>
        <v>11.999999999999982</v>
      </c>
      <c r="E354" s="709" t="str">
        <f>INPUT!BB394</f>
        <v>NM</v>
      </c>
      <c r="F354" s="708">
        <f>INPUT!BC394</f>
        <v>13.400000000000009</v>
      </c>
      <c r="G354" s="709" t="str">
        <f>INPUT!BD394</f>
        <v>NM</v>
      </c>
      <c r="H354" s="708">
        <f>INPUT!BE394</f>
        <v>14.400000000000002</v>
      </c>
      <c r="I354" s="709">
        <f>INPUT!BF394</f>
        <v>60.000000000000121</v>
      </c>
      <c r="J354" s="708">
        <f>INPUT!BG394</f>
        <v>16.200000000000028</v>
      </c>
      <c r="K354" s="709">
        <f>INPUT!BH394</f>
        <v>5.8823529411764497</v>
      </c>
      <c r="L354" s="708">
        <f>INPUT!BI394</f>
        <v>11.300000000000006</v>
      </c>
      <c r="M354" s="709">
        <f>INPUT!BJ394</f>
        <v>-5.8333333333331456</v>
      </c>
      <c r="N354" s="708">
        <f>INPUT!BK394</f>
        <v>21.799999999999994</v>
      </c>
      <c r="O354" s="709">
        <f>INPUT!BL394</f>
        <v>62.686567164178953</v>
      </c>
      <c r="P354" s="708">
        <f>INPUT!BM394</f>
        <v>27.000000000000004</v>
      </c>
      <c r="Q354" s="709">
        <f>INPUT!BN394</f>
        <v>87.5</v>
      </c>
      <c r="R354" s="708">
        <f>INPUT!BO394</f>
        <v>12.200000000000012</v>
      </c>
      <c r="S354" s="709">
        <f>INPUT!BP394</f>
        <v>-24.691358024691411</v>
      </c>
      <c r="T354" s="708">
        <f>INPUT!BQ394</f>
        <v>15.000000000000014</v>
      </c>
      <c r="U354" s="709">
        <f>INPUT!BR394</f>
        <v>32.743362831858455</v>
      </c>
      <c r="V354" s="708">
        <f>INPUT!BS394</f>
        <v>5.3000000000000087</v>
      </c>
      <c r="W354" s="709" t="str">
        <f>INPUT!BT394</f>
        <v>NM</v>
      </c>
      <c r="X354" s="708">
        <f>INPUT!BU394</f>
        <v>-4.2999999999999972</v>
      </c>
      <c r="Y354" s="709" t="str">
        <f>INPUT!BV394</f>
        <v>NM</v>
      </c>
      <c r="Z354" s="708">
        <f>INPUT!BW394</f>
        <v>1.4</v>
      </c>
      <c r="AA354" s="709" t="str">
        <f>INPUT!BX394</f>
        <v>NM</v>
      </c>
      <c r="AB354" s="708">
        <f>INPUT!BY394</f>
        <v>5.0999999999999917</v>
      </c>
      <c r="AC354" s="709" t="str">
        <f>INPUT!BZ394</f>
        <v>NM</v>
      </c>
      <c r="AD354" s="708"/>
      <c r="AE354" s="709"/>
      <c r="AF354" s="708"/>
      <c r="AG354" s="709"/>
      <c r="AH354" s="708"/>
      <c r="AI354" s="759"/>
      <c r="AJ354" s="708"/>
      <c r="AK354" s="759"/>
      <c r="AL354" s="708"/>
      <c r="AM354" s="759"/>
      <c r="AN354" s="708"/>
      <c r="AO354" s="759"/>
      <c r="AP354" s="708"/>
      <c r="AQ354" s="759"/>
      <c r="AR354" s="708"/>
      <c r="AS354" s="759"/>
      <c r="AT354" s="708"/>
      <c r="AU354" s="759"/>
      <c r="AV354" s="708"/>
      <c r="AW354" s="759"/>
      <c r="AX354" s="708"/>
      <c r="AY354" s="759"/>
      <c r="AZ354" s="708"/>
      <c r="BA354" s="759"/>
      <c r="BB354" s="708"/>
      <c r="BC354" s="759"/>
      <c r="BD354" s="708"/>
      <c r="BE354" s="759"/>
      <c r="BF354" s="708"/>
      <c r="BG354" s="759"/>
      <c r="BH354" s="708"/>
      <c r="BI354" s="759"/>
      <c r="BJ354" s="708"/>
      <c r="BK354" s="759"/>
      <c r="BL354" s="708"/>
      <c r="BM354" s="759"/>
      <c r="BN354" s="708"/>
      <c r="BO354" s="759"/>
      <c r="BP354" s="708"/>
      <c r="BQ354" s="759"/>
      <c r="BR354" s="708"/>
      <c r="BS354" s="759"/>
      <c r="BT354" s="708"/>
      <c r="BU354" s="759"/>
      <c r="BV354" s="708"/>
      <c r="BW354" s="759"/>
      <c r="BX354" s="708"/>
      <c r="BY354" s="759"/>
      <c r="BZ354" s="708"/>
      <c r="CA354" s="759"/>
      <c r="CB354" s="708"/>
      <c r="CC354" s="759"/>
      <c r="CD354" s="708"/>
      <c r="CE354" s="759"/>
      <c r="CF354" s="708"/>
      <c r="CG354" s="759"/>
      <c r="CH354" s="708"/>
      <c r="CI354" s="759"/>
      <c r="CJ354" s="708"/>
      <c r="CK354" s="759"/>
      <c r="CL354" s="708"/>
      <c r="CM354" s="759"/>
      <c r="CN354" s="708"/>
      <c r="CO354" s="759"/>
      <c r="CP354" s="708"/>
      <c r="CQ354" s="759"/>
      <c r="CR354" s="708"/>
      <c r="CS354" s="759"/>
      <c r="CT354" s="708"/>
      <c r="CU354" s="759"/>
      <c r="CV354" s="708"/>
      <c r="CW354" s="759"/>
      <c r="CX354" s="708"/>
      <c r="CY354" s="759"/>
      <c r="CZ354" s="708"/>
      <c r="DA354" s="759"/>
      <c r="DB354" s="760"/>
      <c r="DC354" s="708">
        <f>INPUT!FP394</f>
        <v>17.000000000000018</v>
      </c>
      <c r="DD354" s="709" t="str">
        <f>INPUT!FQ394</f>
        <v>NA</v>
      </c>
      <c r="DE354" s="708">
        <f>INPUT!FR394</f>
        <v>55.100000000000023</v>
      </c>
      <c r="DF354" s="709" t="str">
        <f>INPUT!FS394</f>
        <v>NM</v>
      </c>
      <c r="DG354" s="708">
        <f>INPUT!FT394</f>
        <v>76.30000000000004</v>
      </c>
      <c r="DH354" s="709">
        <f>INPUT!FU394</f>
        <v>38.475499092559005</v>
      </c>
      <c r="DI354" s="708">
        <f>INPUT!FV394</f>
        <v>28.200000000000024</v>
      </c>
      <c r="DJ354" s="709" t="str">
        <f>INPUT!FW394</f>
        <v>NM</v>
      </c>
      <c r="DK354" s="708">
        <f>INPUT!FX394</f>
        <v>6.4999999999999769</v>
      </c>
      <c r="DL354" s="759" t="str">
        <f>INPUT!FY394</f>
        <v>NM</v>
      </c>
      <c r="DM354" s="708"/>
      <c r="DN354" s="759"/>
      <c r="DO354" s="708"/>
      <c r="DP354" s="759"/>
      <c r="DQ354" s="708"/>
      <c r="DR354" s="759"/>
      <c r="DS354" s="708"/>
      <c r="DT354" s="759"/>
      <c r="DU354" s="708"/>
      <c r="DV354" s="759"/>
      <c r="DW354" s="708"/>
      <c r="DX354" s="759"/>
      <c r="DY354" s="708"/>
      <c r="DZ354" s="759"/>
      <c r="EA354" s="708"/>
      <c r="EB354" s="759"/>
      <c r="EC354" s="708"/>
      <c r="ED354" s="759"/>
      <c r="EE354" s="708"/>
      <c r="EF354" s="759"/>
      <c r="EG354" s="708"/>
      <c r="EH354" s="759"/>
      <c r="EI354" s="708"/>
      <c r="EJ354" s="759"/>
      <c r="EK354" s="708"/>
      <c r="EL354" s="759"/>
      <c r="EM354" s="709"/>
    </row>
    <row r="355" spans="1:143" ht="12.75" hidden="1" customHeight="1" outlineLevel="2" x14ac:dyDescent="0.2">
      <c r="A355" s="701"/>
      <c r="B355" s="16"/>
      <c r="C355" s="507"/>
      <c r="D355" s="16"/>
      <c r="E355" s="687"/>
      <c r="F355" s="16"/>
      <c r="G355" s="687"/>
      <c r="H355" s="16"/>
      <c r="I355" s="687"/>
      <c r="J355" s="16"/>
      <c r="K355" s="687"/>
      <c r="L355" s="16"/>
      <c r="M355" s="687"/>
      <c r="N355" s="16"/>
      <c r="O355" s="687"/>
      <c r="P355" s="16"/>
      <c r="Q355" s="687"/>
      <c r="R355" s="16"/>
      <c r="S355" s="687"/>
      <c r="T355" s="16"/>
      <c r="U355" s="687"/>
      <c r="V355" s="16"/>
      <c r="W355" s="687"/>
      <c r="X355" s="16"/>
      <c r="Y355" s="687"/>
      <c r="Z355" s="16"/>
      <c r="AA355" s="687"/>
      <c r="AB355" s="16"/>
      <c r="AC355" s="687"/>
      <c r="AD355" s="16"/>
      <c r="AE355" s="687"/>
      <c r="AF355" s="16"/>
      <c r="AG355" s="687"/>
      <c r="AH355" s="16"/>
      <c r="AI355" s="507"/>
      <c r="AJ355" s="16"/>
      <c r="AK355" s="507"/>
      <c r="AL355" s="16"/>
      <c r="AM355" s="507"/>
      <c r="AN355" s="16"/>
      <c r="AO355" s="507"/>
      <c r="AP355" s="16"/>
      <c r="AQ355" s="507"/>
      <c r="AR355" s="16"/>
      <c r="AS355" s="507"/>
      <c r="AT355" s="16"/>
      <c r="AU355" s="507"/>
      <c r="AV355" s="16"/>
      <c r="AW355" s="507"/>
      <c r="AX355" s="16"/>
      <c r="AY355" s="507"/>
      <c r="AZ355" s="16"/>
      <c r="BA355" s="507"/>
      <c r="BB355" s="16"/>
      <c r="BC355" s="507"/>
      <c r="BD355" s="16"/>
      <c r="BE355" s="507"/>
      <c r="BF355" s="16"/>
      <c r="BG355" s="507"/>
      <c r="BH355" s="16"/>
      <c r="BI355" s="507"/>
      <c r="BJ355" s="16"/>
      <c r="BK355" s="507"/>
      <c r="BL355" s="16"/>
      <c r="BM355" s="507"/>
      <c r="BN355" s="16"/>
      <c r="BO355" s="507"/>
      <c r="BP355" s="16"/>
      <c r="BQ355" s="507"/>
      <c r="BR355" s="16"/>
      <c r="BS355" s="507"/>
      <c r="BT355" s="16"/>
      <c r="BU355" s="507"/>
      <c r="BV355" s="16"/>
      <c r="BW355" s="507"/>
      <c r="BX355" s="16"/>
      <c r="BY355" s="507"/>
      <c r="BZ355" s="16"/>
      <c r="CA355" s="507"/>
      <c r="CB355" s="16"/>
      <c r="CC355" s="507"/>
      <c r="CD355" s="16"/>
      <c r="CE355" s="507"/>
      <c r="CF355" s="16"/>
      <c r="CG355" s="507"/>
      <c r="CH355" s="16"/>
      <c r="CI355" s="507"/>
      <c r="CJ355" s="16"/>
      <c r="CK355" s="507"/>
      <c r="CL355" s="16"/>
      <c r="CM355" s="507"/>
      <c r="CN355" s="16"/>
      <c r="CO355" s="507"/>
      <c r="CP355" s="16"/>
      <c r="CQ355" s="507"/>
      <c r="CR355" s="16"/>
      <c r="CS355" s="507"/>
      <c r="CT355" s="16"/>
      <c r="CU355" s="507"/>
      <c r="CV355" s="16"/>
      <c r="CW355" s="507"/>
      <c r="CX355" s="16"/>
      <c r="CY355" s="507"/>
      <c r="CZ355" s="16"/>
      <c r="DA355" s="507"/>
      <c r="DB355" s="507"/>
      <c r="DC355" s="16"/>
      <c r="DD355" s="687"/>
      <c r="DE355" s="16"/>
      <c r="DF355" s="687"/>
      <c r="DG355" s="16"/>
      <c r="DH355" s="687"/>
      <c r="DI355" s="16"/>
      <c r="DJ355" s="687"/>
      <c r="DK355" s="16"/>
      <c r="DL355" s="507"/>
      <c r="DM355" s="16"/>
      <c r="DN355" s="507"/>
      <c r="DO355" s="16"/>
      <c r="DP355" s="507"/>
      <c r="DQ355" s="16"/>
      <c r="DR355" s="507"/>
      <c r="DS355" s="16"/>
      <c r="DT355" s="507"/>
      <c r="DU355" s="16"/>
      <c r="DV355" s="507"/>
      <c r="DW355" s="16"/>
      <c r="DX355" s="507"/>
      <c r="DY355" s="16"/>
      <c r="DZ355" s="507"/>
      <c r="EA355" s="16"/>
      <c r="EB355" s="507"/>
      <c r="EC355" s="16"/>
      <c r="ED355" s="507"/>
      <c r="EE355" s="16"/>
      <c r="EF355" s="507"/>
      <c r="EG355" s="16"/>
      <c r="EH355" s="507"/>
      <c r="EI355" s="16"/>
      <c r="EJ355" s="507"/>
      <c r="EK355" s="16"/>
      <c r="EL355" s="507"/>
      <c r="EM355" s="687"/>
    </row>
    <row r="356" spans="1:143" ht="12.75" hidden="1" customHeight="1" outlineLevel="2" x14ac:dyDescent="0.2">
      <c r="A356" s="715" t="s">
        <v>303</v>
      </c>
      <c r="B356" s="16"/>
      <c r="C356" s="507"/>
      <c r="D356" s="16"/>
      <c r="E356" s="687"/>
      <c r="F356" s="16"/>
      <c r="G356" s="687"/>
      <c r="H356" s="16"/>
      <c r="I356" s="687"/>
      <c r="J356" s="16"/>
      <c r="K356" s="687"/>
      <c r="L356" s="16"/>
      <c r="M356" s="687"/>
      <c r="N356" s="16"/>
      <c r="O356" s="687"/>
      <c r="P356" s="16"/>
      <c r="Q356" s="687"/>
      <c r="R356" s="16"/>
      <c r="S356" s="687"/>
      <c r="T356" s="16"/>
      <c r="U356" s="687"/>
      <c r="V356" s="16"/>
      <c r="W356" s="687"/>
      <c r="X356" s="16"/>
      <c r="Y356" s="687"/>
      <c r="Z356" s="16"/>
      <c r="AA356" s="687"/>
      <c r="AB356" s="16"/>
      <c r="AC356" s="687"/>
      <c r="AD356" s="16"/>
      <c r="AE356" s="687"/>
      <c r="AF356" s="16"/>
      <c r="AG356" s="687"/>
      <c r="AH356" s="16"/>
      <c r="AI356" s="507"/>
      <c r="AJ356" s="16"/>
      <c r="AK356" s="507"/>
      <c r="AL356" s="16"/>
      <c r="AM356" s="507"/>
      <c r="AN356" s="16"/>
      <c r="AO356" s="507"/>
      <c r="AP356" s="16"/>
      <c r="AQ356" s="507"/>
      <c r="AR356" s="16"/>
      <c r="AS356" s="507"/>
      <c r="AT356" s="16"/>
      <c r="AU356" s="507"/>
      <c r="AV356" s="16"/>
      <c r="AW356" s="507"/>
      <c r="AX356" s="16"/>
      <c r="AY356" s="507"/>
      <c r="AZ356" s="16"/>
      <c r="BA356" s="507"/>
      <c r="BB356" s="16"/>
      <c r="BC356" s="507"/>
      <c r="BD356" s="16"/>
      <c r="BE356" s="507"/>
      <c r="BF356" s="16"/>
      <c r="BG356" s="507"/>
      <c r="BH356" s="16"/>
      <c r="BI356" s="507"/>
      <c r="BJ356" s="16"/>
      <c r="BK356" s="507"/>
      <c r="BL356" s="16"/>
      <c r="BM356" s="507"/>
      <c r="BN356" s="16"/>
      <c r="BO356" s="507"/>
      <c r="BP356" s="16"/>
      <c r="BQ356" s="507"/>
      <c r="BR356" s="16"/>
      <c r="BS356" s="507"/>
      <c r="BT356" s="16"/>
      <c r="BU356" s="507"/>
      <c r="BV356" s="16"/>
      <c r="BW356" s="507"/>
      <c r="BX356" s="16"/>
      <c r="BY356" s="507"/>
      <c r="BZ356" s="16"/>
      <c r="CA356" s="507"/>
      <c r="CB356" s="16"/>
      <c r="CC356" s="507"/>
      <c r="CD356" s="16"/>
      <c r="CE356" s="507"/>
      <c r="CF356" s="16"/>
      <c r="CG356" s="507"/>
      <c r="CH356" s="16"/>
      <c r="CI356" s="507"/>
      <c r="CJ356" s="16"/>
      <c r="CK356" s="507"/>
      <c r="CL356" s="16"/>
      <c r="CM356" s="507"/>
      <c r="CN356" s="16"/>
      <c r="CO356" s="507"/>
      <c r="CP356" s="16"/>
      <c r="CQ356" s="507"/>
      <c r="CR356" s="16"/>
      <c r="CS356" s="507"/>
      <c r="CT356" s="16"/>
      <c r="CU356" s="507"/>
      <c r="CV356" s="16"/>
      <c r="CW356" s="507"/>
      <c r="CX356" s="16"/>
      <c r="CY356" s="507"/>
      <c r="CZ356" s="16"/>
      <c r="DA356" s="507"/>
      <c r="DB356" s="507"/>
      <c r="DC356" s="16"/>
      <c r="DD356" s="687"/>
      <c r="DE356" s="16"/>
      <c r="DF356" s="687"/>
      <c r="DG356" s="16"/>
      <c r="DH356" s="687"/>
      <c r="DI356" s="16"/>
      <c r="DJ356" s="687"/>
      <c r="DK356" s="16"/>
      <c r="DL356" s="507"/>
      <c r="DM356" s="16"/>
      <c r="DN356" s="507"/>
      <c r="DO356" s="16"/>
      <c r="DP356" s="507"/>
      <c r="DQ356" s="16"/>
      <c r="DR356" s="507"/>
      <c r="DS356" s="16"/>
      <c r="DT356" s="507"/>
      <c r="DU356" s="16"/>
      <c r="DV356" s="507"/>
      <c r="DW356" s="16"/>
      <c r="DX356" s="507"/>
      <c r="DY356" s="16"/>
      <c r="DZ356" s="507"/>
      <c r="EA356" s="16"/>
      <c r="EB356" s="507"/>
      <c r="EC356" s="16"/>
      <c r="ED356" s="507"/>
      <c r="EE356" s="16"/>
      <c r="EF356" s="507"/>
      <c r="EG356" s="16"/>
      <c r="EH356" s="507"/>
      <c r="EI356" s="16"/>
      <c r="EJ356" s="507"/>
      <c r="EK356" s="16"/>
      <c r="EL356" s="507"/>
      <c r="EM356" s="687"/>
    </row>
    <row r="357" spans="1:143" ht="12.75" hidden="1" customHeight="1" outlineLevel="2" x14ac:dyDescent="0.2">
      <c r="A357" s="522" t="s">
        <v>304</v>
      </c>
      <c r="B357" s="464">
        <f>INPUT!AY578</f>
        <v>0</v>
      </c>
      <c r="C357" s="507" t="str">
        <f>INPUT!AZ578</f>
        <v>NA</v>
      </c>
      <c r="D357" s="464">
        <f>INPUT!BA578</f>
        <v>0</v>
      </c>
      <c r="E357" s="687" t="str">
        <f>INPUT!BB578</f>
        <v>NA</v>
      </c>
      <c r="F357" s="464">
        <f>INPUT!BC578</f>
        <v>0</v>
      </c>
      <c r="G357" s="687" t="str">
        <f>INPUT!BD578</f>
        <v>NA</v>
      </c>
      <c r="H357" s="464">
        <f>INPUT!BE578</f>
        <v>0</v>
      </c>
      <c r="I357" s="687" t="str">
        <f>INPUT!BF578</f>
        <v>NA</v>
      </c>
      <c r="J357" s="464">
        <f>INPUT!BG578</f>
        <v>0</v>
      </c>
      <c r="K357" s="687" t="str">
        <f>INPUT!BH578</f>
        <v>NA</v>
      </c>
      <c r="L357" s="464">
        <f>INPUT!BI578</f>
        <v>0</v>
      </c>
      <c r="M357" s="687" t="str">
        <f>INPUT!BJ578</f>
        <v>NA</v>
      </c>
      <c r="N357" s="464">
        <f>INPUT!BK578</f>
        <v>0</v>
      </c>
      <c r="O357" s="687" t="str">
        <f>INPUT!BL578</f>
        <v>NA</v>
      </c>
      <c r="P357" s="464">
        <f>INPUT!BM578</f>
        <v>0</v>
      </c>
      <c r="Q357" s="687" t="str">
        <f>INPUT!BN578</f>
        <v>NA</v>
      </c>
      <c r="R357" s="464">
        <f>INPUT!BO578</f>
        <v>0</v>
      </c>
      <c r="S357" s="687" t="str">
        <f>INPUT!BP578</f>
        <v>NA</v>
      </c>
      <c r="T357" s="464">
        <f>INPUT!BQ578</f>
        <v>0</v>
      </c>
      <c r="U357" s="687" t="str">
        <f>INPUT!BR578</f>
        <v>NA</v>
      </c>
      <c r="V357" s="464">
        <f>INPUT!BS578</f>
        <v>0</v>
      </c>
      <c r="W357" s="687" t="str">
        <f>INPUT!BT578</f>
        <v>NA</v>
      </c>
      <c r="X357" s="464">
        <f>INPUT!BU578</f>
        <v>0</v>
      </c>
      <c r="Y357" s="687" t="str">
        <f>INPUT!BV578</f>
        <v>NA</v>
      </c>
      <c r="Z357" s="464">
        <f>INPUT!BW578</f>
        <v>0</v>
      </c>
      <c r="AA357" s="687" t="str">
        <f>INPUT!BX578</f>
        <v>NA</v>
      </c>
      <c r="AB357" s="464">
        <f>INPUT!BY578</f>
        <v>0</v>
      </c>
      <c r="AC357" s="687" t="str">
        <f>INPUT!BZ578</f>
        <v>NA</v>
      </c>
      <c r="AD357" s="464"/>
      <c r="AE357" s="687"/>
      <c r="AF357" s="464"/>
      <c r="AG357" s="687"/>
      <c r="AH357" s="464"/>
      <c r="AI357" s="507"/>
      <c r="AJ357" s="464"/>
      <c r="AK357" s="507"/>
      <c r="AL357" s="464"/>
      <c r="AM357" s="507"/>
      <c r="AN357" s="464"/>
      <c r="AO357" s="507"/>
      <c r="AP357" s="464"/>
      <c r="AQ357" s="507"/>
      <c r="AR357" s="464"/>
      <c r="AS357" s="507"/>
      <c r="AT357" s="464"/>
      <c r="AU357" s="507"/>
      <c r="AV357" s="464"/>
      <c r="AW357" s="507"/>
      <c r="AX357" s="464"/>
      <c r="AY357" s="507"/>
      <c r="AZ357" s="464"/>
      <c r="BA357" s="507"/>
      <c r="BB357" s="464"/>
      <c r="BC357" s="507"/>
      <c r="BD357" s="464"/>
      <c r="BE357" s="507"/>
      <c r="BF357" s="464"/>
      <c r="BG357" s="507"/>
      <c r="BH357" s="464"/>
      <c r="BI357" s="507"/>
      <c r="BJ357" s="464"/>
      <c r="BK357" s="507"/>
      <c r="BL357" s="464"/>
      <c r="BM357" s="507"/>
      <c r="BN357" s="464"/>
      <c r="BO357" s="507"/>
      <c r="BP357" s="464"/>
      <c r="BQ357" s="507"/>
      <c r="BR357" s="464"/>
      <c r="BS357" s="507"/>
      <c r="BT357" s="464"/>
      <c r="BU357" s="507"/>
      <c r="BV357" s="464"/>
      <c r="BW357" s="507"/>
      <c r="BX357" s="464"/>
      <c r="BY357" s="507"/>
      <c r="BZ357" s="464"/>
      <c r="CA357" s="507"/>
      <c r="CB357" s="464"/>
      <c r="CC357" s="507"/>
      <c r="CD357" s="464"/>
      <c r="CE357" s="507"/>
      <c r="CF357" s="464"/>
      <c r="CG357" s="507"/>
      <c r="CH357" s="464"/>
      <c r="CI357" s="507"/>
      <c r="CJ357" s="464"/>
      <c r="CK357" s="507"/>
      <c r="CL357" s="464"/>
      <c r="CM357" s="507"/>
      <c r="CN357" s="464"/>
      <c r="CO357" s="507"/>
      <c r="CP357" s="464"/>
      <c r="CQ357" s="507"/>
      <c r="CR357" s="464"/>
      <c r="CS357" s="507"/>
      <c r="CT357" s="464"/>
      <c r="CU357" s="507"/>
      <c r="CV357" s="464"/>
      <c r="CW357" s="507"/>
      <c r="CX357" s="464"/>
      <c r="CY357" s="507"/>
      <c r="CZ357" s="464"/>
      <c r="DA357" s="507"/>
      <c r="DB357" s="507"/>
      <c r="DC357" s="464">
        <f>INPUT!FP578</f>
        <v>0</v>
      </c>
      <c r="DD357" s="687" t="str">
        <f>INPUT!FQ578</f>
        <v>NA</v>
      </c>
      <c r="DE357" s="464">
        <f>INPUT!FR578</f>
        <v>0</v>
      </c>
      <c r="DF357" s="687" t="str">
        <f>INPUT!FS578</f>
        <v>NA</v>
      </c>
      <c r="DG357" s="464">
        <f>INPUT!FT578</f>
        <v>0</v>
      </c>
      <c r="DH357" s="687" t="str">
        <f>INPUT!FU578</f>
        <v>NA</v>
      </c>
      <c r="DI357" s="464">
        <f>INPUT!FV578</f>
        <v>0</v>
      </c>
      <c r="DJ357" s="687" t="str">
        <f>INPUT!FW578</f>
        <v>NA</v>
      </c>
      <c r="DK357" s="464">
        <f>INPUT!FX578</f>
        <v>0</v>
      </c>
      <c r="DL357" s="507" t="str">
        <f>INPUT!FY578</f>
        <v>NA</v>
      </c>
      <c r="DM357" s="464"/>
      <c r="DN357" s="507"/>
      <c r="DO357" s="464"/>
      <c r="DP357" s="507"/>
      <c r="DQ357" s="464"/>
      <c r="DR357" s="507"/>
      <c r="DS357" s="464"/>
      <c r="DT357" s="507"/>
      <c r="DU357" s="464"/>
      <c r="DV357" s="507"/>
      <c r="DW357" s="464"/>
      <c r="DX357" s="507"/>
      <c r="DY357" s="464"/>
      <c r="DZ357" s="507"/>
      <c r="EA357" s="464"/>
      <c r="EB357" s="507"/>
      <c r="EC357" s="464"/>
      <c r="ED357" s="507"/>
      <c r="EE357" s="464"/>
      <c r="EF357" s="507"/>
      <c r="EG357" s="464"/>
      <c r="EH357" s="507"/>
      <c r="EI357" s="464"/>
      <c r="EJ357" s="507"/>
      <c r="EK357" s="464"/>
      <c r="EL357" s="507"/>
      <c r="EM357" s="687"/>
    </row>
    <row r="358" spans="1:143" ht="12.75" hidden="1" customHeight="1" outlineLevel="2" x14ac:dyDescent="0.2">
      <c r="A358" s="700"/>
      <c r="B358" s="16"/>
      <c r="C358" s="507"/>
      <c r="D358" s="16"/>
      <c r="E358" s="687"/>
      <c r="F358" s="16"/>
      <c r="G358" s="687"/>
      <c r="H358" s="16"/>
      <c r="I358" s="687"/>
      <c r="J358" s="16"/>
      <c r="K358" s="687"/>
      <c r="L358" s="16"/>
      <c r="M358" s="687"/>
      <c r="N358" s="16"/>
      <c r="O358" s="687"/>
      <c r="P358" s="16"/>
      <c r="Q358" s="687"/>
      <c r="R358" s="16"/>
      <c r="S358" s="687"/>
      <c r="T358" s="16"/>
      <c r="U358" s="687"/>
      <c r="V358" s="16"/>
      <c r="W358" s="687"/>
      <c r="X358" s="16"/>
      <c r="Y358" s="687"/>
      <c r="Z358" s="16"/>
      <c r="AA358" s="687"/>
      <c r="AB358" s="16"/>
      <c r="AC358" s="687"/>
      <c r="AD358" s="16"/>
      <c r="AE358" s="687"/>
      <c r="AF358" s="16"/>
      <c r="AG358" s="687"/>
      <c r="AH358" s="16"/>
      <c r="AI358" s="507"/>
      <c r="AJ358" s="16"/>
      <c r="AK358" s="507"/>
      <c r="AL358" s="16"/>
      <c r="AM358" s="507"/>
      <c r="AN358" s="16"/>
      <c r="AO358" s="507"/>
      <c r="AP358" s="16"/>
      <c r="AQ358" s="507"/>
      <c r="AR358" s="16"/>
      <c r="AS358" s="507"/>
      <c r="AT358" s="16"/>
      <c r="AU358" s="507"/>
      <c r="AV358" s="16"/>
      <c r="AW358" s="507"/>
      <c r="AX358" s="16"/>
      <c r="AY358" s="507"/>
      <c r="AZ358" s="16"/>
      <c r="BA358" s="507"/>
      <c r="BB358" s="16"/>
      <c r="BC358" s="507"/>
      <c r="BD358" s="16"/>
      <c r="BE358" s="507"/>
      <c r="BF358" s="16"/>
      <c r="BG358" s="507"/>
      <c r="BH358" s="16"/>
      <c r="BI358" s="507"/>
      <c r="BJ358" s="16"/>
      <c r="BK358" s="507"/>
      <c r="BL358" s="16"/>
      <c r="BM358" s="507"/>
      <c r="BN358" s="16"/>
      <c r="BO358" s="507"/>
      <c r="BP358" s="16"/>
      <c r="BQ358" s="507"/>
      <c r="BR358" s="16"/>
      <c r="BS358" s="507"/>
      <c r="BT358" s="16"/>
      <c r="BU358" s="507"/>
      <c r="BV358" s="16"/>
      <c r="BW358" s="507"/>
      <c r="BX358" s="16"/>
      <c r="BY358" s="507"/>
      <c r="BZ358" s="16"/>
      <c r="CA358" s="507"/>
      <c r="CB358" s="16"/>
      <c r="CC358" s="507"/>
      <c r="CD358" s="16"/>
      <c r="CE358" s="507"/>
      <c r="CF358" s="16"/>
      <c r="CG358" s="507"/>
      <c r="CH358" s="16"/>
      <c r="CI358" s="507"/>
      <c r="CJ358" s="16"/>
      <c r="CK358" s="507"/>
      <c r="CL358" s="16"/>
      <c r="CM358" s="507"/>
      <c r="CN358" s="16"/>
      <c r="CO358" s="507"/>
      <c r="CP358" s="16"/>
      <c r="CQ358" s="507"/>
      <c r="CR358" s="16"/>
      <c r="CS358" s="507"/>
      <c r="CT358" s="16"/>
      <c r="CU358" s="507"/>
      <c r="CV358" s="16"/>
      <c r="CW358" s="507"/>
      <c r="CX358" s="16"/>
      <c r="CY358" s="507"/>
      <c r="CZ358" s="16"/>
      <c r="DA358" s="507"/>
      <c r="DB358" s="507"/>
      <c r="DC358" s="16"/>
      <c r="DD358" s="687"/>
      <c r="DE358" s="16"/>
      <c r="DF358" s="687"/>
      <c r="DG358" s="16"/>
      <c r="DH358" s="687"/>
      <c r="DI358" s="16"/>
      <c r="DJ358" s="687"/>
      <c r="DK358" s="16"/>
      <c r="DL358" s="507"/>
      <c r="DM358" s="16"/>
      <c r="DN358" s="507"/>
      <c r="DO358" s="16"/>
      <c r="DP358" s="507"/>
      <c r="DQ358" s="16"/>
      <c r="DR358" s="507"/>
      <c r="DS358" s="16"/>
      <c r="DT358" s="507"/>
      <c r="DU358" s="16"/>
      <c r="DV358" s="507"/>
      <c r="DW358" s="16"/>
      <c r="DX358" s="507"/>
      <c r="DY358" s="16"/>
      <c r="DZ358" s="507"/>
      <c r="EA358" s="16"/>
      <c r="EB358" s="507"/>
      <c r="EC358" s="16"/>
      <c r="ED358" s="507"/>
      <c r="EE358" s="16"/>
      <c r="EF358" s="507"/>
      <c r="EG358" s="16"/>
      <c r="EH358" s="507"/>
      <c r="EI358" s="16"/>
      <c r="EJ358" s="507"/>
      <c r="EK358" s="16"/>
      <c r="EL358" s="507"/>
      <c r="EM358" s="687"/>
    </row>
    <row r="359" spans="1:143" ht="12.75" hidden="1" customHeight="1" outlineLevel="2" x14ac:dyDescent="0.2">
      <c r="A359" s="700" t="s">
        <v>161</v>
      </c>
      <c r="B359" s="16"/>
      <c r="C359" s="507"/>
      <c r="D359" s="16"/>
      <c r="E359" s="687"/>
      <c r="F359" s="16"/>
      <c r="G359" s="687"/>
      <c r="H359" s="16"/>
      <c r="I359" s="687"/>
      <c r="J359" s="16"/>
      <c r="K359" s="687"/>
      <c r="L359" s="16"/>
      <c r="M359" s="687"/>
      <c r="N359" s="16"/>
      <c r="O359" s="687"/>
      <c r="P359" s="16"/>
      <c r="Q359" s="687"/>
      <c r="R359" s="16"/>
      <c r="S359" s="687"/>
      <c r="T359" s="16"/>
      <c r="U359" s="687"/>
      <c r="V359" s="16"/>
      <c r="W359" s="687"/>
      <c r="X359" s="16"/>
      <c r="Y359" s="687"/>
      <c r="Z359" s="16"/>
      <c r="AA359" s="687"/>
      <c r="AB359" s="16"/>
      <c r="AC359" s="687"/>
      <c r="AD359" s="16"/>
      <c r="AE359" s="687"/>
      <c r="AF359" s="16"/>
      <c r="AG359" s="687"/>
      <c r="AH359" s="16"/>
      <c r="AI359" s="507"/>
      <c r="AJ359" s="16"/>
      <c r="AK359" s="507"/>
      <c r="AL359" s="16"/>
      <c r="AM359" s="507"/>
      <c r="AN359" s="16"/>
      <c r="AO359" s="507"/>
      <c r="AP359" s="16"/>
      <c r="AQ359" s="507"/>
      <c r="AR359" s="16"/>
      <c r="AS359" s="507"/>
      <c r="AT359" s="16"/>
      <c r="AU359" s="507"/>
      <c r="AV359" s="16"/>
      <c r="AW359" s="507"/>
      <c r="AX359" s="16"/>
      <c r="AY359" s="507"/>
      <c r="AZ359" s="16"/>
      <c r="BA359" s="507"/>
      <c r="BB359" s="16"/>
      <c r="BC359" s="507"/>
      <c r="BD359" s="16"/>
      <c r="BE359" s="507"/>
      <c r="BF359" s="16"/>
      <c r="BG359" s="507"/>
      <c r="BH359" s="16"/>
      <c r="BI359" s="507"/>
      <c r="BJ359" s="16"/>
      <c r="BK359" s="507"/>
      <c r="BL359" s="16"/>
      <c r="BM359" s="507"/>
      <c r="BN359" s="16"/>
      <c r="BO359" s="507"/>
      <c r="BP359" s="16"/>
      <c r="BQ359" s="507"/>
      <c r="BR359" s="16"/>
      <c r="BS359" s="507"/>
      <c r="BT359" s="16"/>
      <c r="BU359" s="507"/>
      <c r="BV359" s="16"/>
      <c r="BW359" s="507"/>
      <c r="BX359" s="16"/>
      <c r="BY359" s="507"/>
      <c r="BZ359" s="16"/>
      <c r="CA359" s="507"/>
      <c r="CB359" s="16"/>
      <c r="CC359" s="507"/>
      <c r="CD359" s="16"/>
      <c r="CE359" s="507"/>
      <c r="CF359" s="16"/>
      <c r="CG359" s="507"/>
      <c r="CH359" s="16"/>
      <c r="CI359" s="507"/>
      <c r="CJ359" s="16"/>
      <c r="CK359" s="507"/>
      <c r="CL359" s="16"/>
      <c r="CM359" s="507"/>
      <c r="CN359" s="16"/>
      <c r="CO359" s="507"/>
      <c r="CP359" s="16"/>
      <c r="CQ359" s="507"/>
      <c r="CR359" s="16"/>
      <c r="CS359" s="507"/>
      <c r="CT359" s="16"/>
      <c r="CU359" s="507"/>
      <c r="CV359" s="16"/>
      <c r="CW359" s="507"/>
      <c r="CX359" s="16"/>
      <c r="CY359" s="507"/>
      <c r="CZ359" s="16"/>
      <c r="DA359" s="507"/>
      <c r="DB359" s="507"/>
      <c r="DC359" s="16"/>
      <c r="DD359" s="687"/>
      <c r="DE359" s="16"/>
      <c r="DF359" s="687"/>
      <c r="DG359" s="16"/>
      <c r="DH359" s="687"/>
      <c r="DI359" s="16"/>
      <c r="DJ359" s="687"/>
      <c r="DK359" s="16"/>
      <c r="DL359" s="507"/>
      <c r="DM359" s="16"/>
      <c r="DN359" s="507"/>
      <c r="DO359" s="16"/>
      <c r="DP359" s="507"/>
      <c r="DQ359" s="16"/>
      <c r="DR359" s="507"/>
      <c r="DS359" s="16"/>
      <c r="DT359" s="507"/>
      <c r="DU359" s="16"/>
      <c r="DV359" s="507"/>
      <c r="DW359" s="16"/>
      <c r="DX359" s="507"/>
      <c r="DY359" s="16"/>
      <c r="DZ359" s="507"/>
      <c r="EA359" s="16"/>
      <c r="EB359" s="507"/>
      <c r="EC359" s="16"/>
      <c r="ED359" s="507"/>
      <c r="EE359" s="16"/>
      <c r="EF359" s="507"/>
      <c r="EG359" s="16"/>
      <c r="EH359" s="507"/>
      <c r="EI359" s="16"/>
      <c r="EJ359" s="507"/>
      <c r="EK359" s="16"/>
      <c r="EL359" s="507"/>
      <c r="EM359" s="687"/>
    </row>
    <row r="360" spans="1:143" ht="12.75" hidden="1" customHeight="1" outlineLevel="2" x14ac:dyDescent="0.2">
      <c r="A360" s="718" t="str">
        <f>INPUT!B400</f>
        <v>Pretax Margin (%)</v>
      </c>
      <c r="B360" s="464">
        <f>INPUT!AY400</f>
        <v>16.833810888252167</v>
      </c>
      <c r="C360" s="507" t="str">
        <f>INPUT!AZ400</f>
        <v>NM</v>
      </c>
      <c r="D360" s="464">
        <f>INPUT!BA400</f>
        <v>13.585746102449878</v>
      </c>
      <c r="E360" s="687" t="str">
        <f>INPUT!BB400</f>
        <v>NM</v>
      </c>
      <c r="F360" s="464">
        <f>INPUT!BC400</f>
        <v>14.31623931623932</v>
      </c>
      <c r="G360" s="687" t="str">
        <f>INPUT!BD400</f>
        <v>NM</v>
      </c>
      <c r="H360" s="464">
        <f>INPUT!BE400</f>
        <v>15.245130960376093</v>
      </c>
      <c r="I360" s="687">
        <f>INPUT!BF400</f>
        <v>43.483585509422106</v>
      </c>
      <c r="J360" s="464">
        <f>INPUT!BG400</f>
        <v>16.988674217188557</v>
      </c>
      <c r="K360" s="687">
        <f>INPUT!BH400</f>
        <v>0.91995407317106981</v>
      </c>
      <c r="L360" s="464">
        <f>INPUT!BI400</f>
        <v>11.854304635761594</v>
      </c>
      <c r="M360" s="687">
        <f>INPUT!BJ400</f>
        <v>-12.744544566279348</v>
      </c>
      <c r="N360" s="464">
        <f>INPUT!BK400</f>
        <v>22.718187874750164</v>
      </c>
      <c r="O360" s="687">
        <f>INPUT!BL400</f>
        <v>58.688237692284687</v>
      </c>
      <c r="P360" s="464">
        <f>INPUT!BM400</f>
        <v>30.35971223021583</v>
      </c>
      <c r="Q360" s="687">
        <f>INPUT!BN400</f>
        <v>99.143663043133785</v>
      </c>
      <c r="R360" s="464">
        <f>INPUT!BO400</f>
        <v>16.043225270157947</v>
      </c>
      <c r="S360" s="687">
        <f>INPUT!BP400</f>
        <v>-5.565172037227228</v>
      </c>
      <c r="T360" s="464">
        <f>INPUT!BQ400</f>
        <v>18.905872888173782</v>
      </c>
      <c r="U360" s="687">
        <f>INPUT!BR400</f>
        <v>59.485296430963139</v>
      </c>
      <c r="V360" s="464">
        <f>INPUT!BS400</f>
        <v>7.3703366696997339</v>
      </c>
      <c r="W360" s="687" t="str">
        <f>INPUT!BT400</f>
        <v>NM</v>
      </c>
      <c r="X360" s="464">
        <f>INPUT!BU400</f>
        <v>-7.5721153846153815</v>
      </c>
      <c r="Y360" s="687" t="str">
        <f>INPUT!BV400</f>
        <v>NM</v>
      </c>
      <c r="Z360" s="464">
        <f>INPUT!BW400</f>
        <v>4.2735042735042725</v>
      </c>
      <c r="AA360" s="687" t="str">
        <f>INPUT!BX400</f>
        <v>NM</v>
      </c>
      <c r="AB360" s="464">
        <f>INPUT!BY400</f>
        <v>10.807860262008726</v>
      </c>
      <c r="AC360" s="687">
        <f>INPUT!BZ400</f>
        <v>-42.833317848183661</v>
      </c>
      <c r="AD360" s="464"/>
      <c r="AE360" s="687"/>
      <c r="AF360" s="464"/>
      <c r="AG360" s="687"/>
      <c r="AH360" s="464"/>
      <c r="AI360" s="507"/>
      <c r="AJ360" s="464"/>
      <c r="AK360" s="507"/>
      <c r="AL360" s="464"/>
      <c r="AM360" s="507"/>
      <c r="AN360" s="464"/>
      <c r="AO360" s="507"/>
      <c r="AP360" s="464"/>
      <c r="AQ360" s="507"/>
      <c r="AR360" s="464"/>
      <c r="AS360" s="507"/>
      <c r="AT360" s="464"/>
      <c r="AU360" s="507"/>
      <c r="AV360" s="464"/>
      <c r="AW360" s="507"/>
      <c r="AX360" s="464"/>
      <c r="AY360" s="507"/>
      <c r="AZ360" s="464"/>
      <c r="BA360" s="507"/>
      <c r="BB360" s="464"/>
      <c r="BC360" s="507"/>
      <c r="BD360" s="464"/>
      <c r="BE360" s="507"/>
      <c r="BF360" s="464"/>
      <c r="BG360" s="507"/>
      <c r="BH360" s="464"/>
      <c r="BI360" s="507"/>
      <c r="BJ360" s="464"/>
      <c r="BK360" s="507"/>
      <c r="BL360" s="464"/>
      <c r="BM360" s="507"/>
      <c r="BN360" s="464"/>
      <c r="BO360" s="507"/>
      <c r="BP360" s="464"/>
      <c r="BQ360" s="507"/>
      <c r="BR360" s="464"/>
      <c r="BS360" s="507"/>
      <c r="BT360" s="464"/>
      <c r="BU360" s="507"/>
      <c r="BV360" s="464"/>
      <c r="BW360" s="507"/>
      <c r="BX360" s="464"/>
      <c r="BY360" s="507"/>
      <c r="BZ360" s="464"/>
      <c r="CA360" s="507"/>
      <c r="CB360" s="464"/>
      <c r="CC360" s="507"/>
      <c r="CD360" s="464"/>
      <c r="CE360" s="507"/>
      <c r="CF360" s="464"/>
      <c r="CG360" s="507"/>
      <c r="CH360" s="464"/>
      <c r="CI360" s="507"/>
      <c r="CJ360" s="464"/>
      <c r="CK360" s="507"/>
      <c r="CL360" s="464"/>
      <c r="CM360" s="507"/>
      <c r="CN360" s="464"/>
      <c r="CO360" s="507"/>
      <c r="CP360" s="464"/>
      <c r="CQ360" s="507"/>
      <c r="CR360" s="464"/>
      <c r="CS360" s="507"/>
      <c r="CT360" s="464"/>
      <c r="CU360" s="507"/>
      <c r="CV360" s="464"/>
      <c r="CW360" s="507"/>
      <c r="CX360" s="464"/>
      <c r="CY360" s="507"/>
      <c r="CZ360" s="464"/>
      <c r="DA360" s="507"/>
      <c r="DB360" s="507"/>
      <c r="DC360" s="464">
        <f>INPUT!FP400</f>
        <v>5.6127811645995402</v>
      </c>
      <c r="DD360" s="687" t="str">
        <f>INPUT!FQ400</f>
        <v>NA</v>
      </c>
      <c r="DE360" s="464">
        <f>INPUT!FR400</f>
        <v>15.010645848119236</v>
      </c>
      <c r="DF360" s="687" t="str">
        <f>INPUT!FS400</f>
        <v>NM</v>
      </c>
      <c r="DG360" s="464">
        <f>INPUT!FT400</f>
        <v>20.281260589630641</v>
      </c>
      <c r="DH360" s="687">
        <f>INPUT!FU400</f>
        <v>35.112511445813553</v>
      </c>
      <c r="DI360" s="464">
        <f>INPUT!FV400</f>
        <v>10.189627598811976</v>
      </c>
      <c r="DJ360" s="687">
        <f>INPUT!FW400</f>
        <v>-49.758410953894519</v>
      </c>
      <c r="DK360" s="464">
        <f>INPUT!FX400</f>
        <v>7.7233429394812552</v>
      </c>
      <c r="DL360" s="507">
        <f>INPUT!FY400</f>
        <v>-24.20387433607749</v>
      </c>
      <c r="DM360" s="464"/>
      <c r="DN360" s="507"/>
      <c r="DO360" s="464"/>
      <c r="DP360" s="507"/>
      <c r="DQ360" s="464"/>
      <c r="DR360" s="507"/>
      <c r="DS360" s="464"/>
      <c r="DT360" s="507"/>
      <c r="DU360" s="464"/>
      <c r="DV360" s="507"/>
      <c r="DW360" s="464"/>
      <c r="DX360" s="507"/>
      <c r="DY360" s="464"/>
      <c r="DZ360" s="507"/>
      <c r="EA360" s="464"/>
      <c r="EB360" s="507"/>
      <c r="EC360" s="464"/>
      <c r="ED360" s="507"/>
      <c r="EE360" s="464"/>
      <c r="EF360" s="507"/>
      <c r="EG360" s="464"/>
      <c r="EH360" s="507"/>
      <c r="EI360" s="464"/>
      <c r="EJ360" s="507"/>
      <c r="EK360" s="464"/>
      <c r="EL360" s="507"/>
      <c r="EM360" s="687"/>
    </row>
    <row r="361" spans="1:143" ht="12.75" hidden="1" customHeight="1" outlineLevel="2" x14ac:dyDescent="0.2">
      <c r="A361" s="718" t="str">
        <f>INPUT!B401</f>
        <v>After-tax Margin (%)</v>
      </c>
      <c r="B361" s="464">
        <f>INPUT!AY401</f>
        <v>10.959885386819504</v>
      </c>
      <c r="C361" s="507" t="str">
        <f>INPUT!AZ401</f>
        <v>NM</v>
      </c>
      <c r="D361" s="464">
        <f>INPUT!BA401</f>
        <v>8.9086859688195865</v>
      </c>
      <c r="E361" s="687" t="str">
        <f>INPUT!BB401</f>
        <v>NM</v>
      </c>
      <c r="F361" s="464">
        <f>INPUT!BC401</f>
        <v>9.5441595441595499</v>
      </c>
      <c r="G361" s="687" t="str">
        <f>INPUT!BD401</f>
        <v>NM</v>
      </c>
      <c r="H361" s="464">
        <f>INPUT!BE401</f>
        <v>9.6709200805910012</v>
      </c>
      <c r="I361" s="687">
        <f>INPUT!BF401</f>
        <v>37.541974479516547</v>
      </c>
      <c r="J361" s="464">
        <f>INPUT!BG401</f>
        <v>10.792804796802148</v>
      </c>
      <c r="K361" s="687">
        <f>INPUT!BH401</f>
        <v>-1.5244738801583613</v>
      </c>
      <c r="L361" s="464">
        <f>INPUT!BI401</f>
        <v>7.4834437086092764</v>
      </c>
      <c r="M361" s="687">
        <f>INPUT!BJ401</f>
        <v>-15.998344370860751</v>
      </c>
      <c r="N361" s="464">
        <f>INPUT!BK401</f>
        <v>14.523650899400394</v>
      </c>
      <c r="O361" s="687">
        <f>INPUT!BL401</f>
        <v>52.173178080284629</v>
      </c>
      <c r="P361" s="464">
        <f>INPUT!BM401</f>
        <v>19.424460431654676</v>
      </c>
      <c r="Q361" s="687" t="str">
        <f>INPUT!BN401</f>
        <v>NM</v>
      </c>
      <c r="R361" s="464">
        <f>INPUT!BO401</f>
        <v>10.141313383208654</v>
      </c>
      <c r="S361" s="687">
        <f>INPUT!BP401</f>
        <v>-6.0363494555792148</v>
      </c>
      <c r="T361" s="464">
        <f>INPUT!BQ401</f>
        <v>12.067578439259865</v>
      </c>
      <c r="U361" s="687">
        <f>INPUT!BR401</f>
        <v>61.257021621968001</v>
      </c>
      <c r="V361" s="464">
        <f>INPUT!BS401</f>
        <v>4.8225659690627918</v>
      </c>
      <c r="W361" s="687" t="str">
        <f>INPUT!BT401</f>
        <v>NM</v>
      </c>
      <c r="X361" s="464">
        <f>INPUT!BU401</f>
        <v>-5.1682692307692273</v>
      </c>
      <c r="Y361" s="687" t="str">
        <f>INPUT!BV401</f>
        <v>NM</v>
      </c>
      <c r="Z361" s="464">
        <f>INPUT!BW401</f>
        <v>1.7094017094017093</v>
      </c>
      <c r="AA361" s="687" t="str">
        <f>INPUT!BX401</f>
        <v>NM</v>
      </c>
      <c r="AB361" s="464">
        <f>INPUT!BY401</f>
        <v>5.567685589519642</v>
      </c>
      <c r="AC361" s="687" t="str">
        <f>INPUT!BZ401</f>
        <v>NM</v>
      </c>
      <c r="AD361" s="464"/>
      <c r="AE361" s="687"/>
      <c r="AF361" s="464"/>
      <c r="AG361" s="687"/>
      <c r="AH361" s="464"/>
      <c r="AI361" s="507"/>
      <c r="AJ361" s="464"/>
      <c r="AK361" s="507"/>
      <c r="AL361" s="464"/>
      <c r="AM361" s="507"/>
      <c r="AN361" s="464"/>
      <c r="AO361" s="507"/>
      <c r="AP361" s="464"/>
      <c r="AQ361" s="507"/>
      <c r="AR361" s="464"/>
      <c r="AS361" s="507"/>
      <c r="AT361" s="464"/>
      <c r="AU361" s="507"/>
      <c r="AV361" s="464"/>
      <c r="AW361" s="507"/>
      <c r="AX361" s="464"/>
      <c r="AY361" s="507"/>
      <c r="AZ361" s="464"/>
      <c r="BA361" s="507"/>
      <c r="BB361" s="464"/>
      <c r="BC361" s="507"/>
      <c r="BD361" s="464"/>
      <c r="BE361" s="507"/>
      <c r="BF361" s="464"/>
      <c r="BG361" s="507"/>
      <c r="BH361" s="464"/>
      <c r="BI361" s="507"/>
      <c r="BJ361" s="464"/>
      <c r="BK361" s="507"/>
      <c r="BL361" s="464"/>
      <c r="BM361" s="507"/>
      <c r="BN361" s="464"/>
      <c r="BO361" s="507"/>
      <c r="BP361" s="464"/>
      <c r="BQ361" s="507"/>
      <c r="BR361" s="464"/>
      <c r="BS361" s="507"/>
      <c r="BT361" s="464"/>
      <c r="BU361" s="507"/>
      <c r="BV361" s="464"/>
      <c r="BW361" s="507"/>
      <c r="BX361" s="464"/>
      <c r="BY361" s="507"/>
      <c r="BZ361" s="464"/>
      <c r="CA361" s="507"/>
      <c r="CB361" s="464"/>
      <c r="CC361" s="507"/>
      <c r="CD361" s="464"/>
      <c r="CE361" s="507"/>
      <c r="CF361" s="464"/>
      <c r="CG361" s="507"/>
      <c r="CH361" s="464"/>
      <c r="CI361" s="507"/>
      <c r="CJ361" s="464"/>
      <c r="CK361" s="507"/>
      <c r="CL361" s="464"/>
      <c r="CM361" s="507"/>
      <c r="CN361" s="464"/>
      <c r="CO361" s="507"/>
      <c r="CP361" s="464"/>
      <c r="CQ361" s="507"/>
      <c r="CR361" s="464"/>
      <c r="CS361" s="507"/>
      <c r="CT361" s="464"/>
      <c r="CU361" s="507"/>
      <c r="CV361" s="464"/>
      <c r="CW361" s="507"/>
      <c r="CX361" s="464"/>
      <c r="CY361" s="507"/>
      <c r="CZ361" s="464"/>
      <c r="DA361" s="507"/>
      <c r="DB361" s="507"/>
      <c r="DC361" s="464">
        <f>INPUT!FP401</f>
        <v>3.5736808913180611</v>
      </c>
      <c r="DD361" s="687" t="str">
        <f>INPUT!FQ401</f>
        <v>NA</v>
      </c>
      <c r="DE361" s="464">
        <f>INPUT!FR401</f>
        <v>9.7764371894961002</v>
      </c>
      <c r="DF361" s="687" t="str">
        <f>INPUT!FS401</f>
        <v>NM</v>
      </c>
      <c r="DG361" s="464">
        <f>INPUT!FT401</f>
        <v>12.927821077600818</v>
      </c>
      <c r="DH361" s="687">
        <f>INPUT!FU401</f>
        <v>32.234482020613761</v>
      </c>
      <c r="DI361" s="464">
        <f>INPUT!FV401</f>
        <v>6.442769019876633</v>
      </c>
      <c r="DJ361" s="687" t="str">
        <f>INPUT!FW401</f>
        <v>NM</v>
      </c>
      <c r="DK361" s="464">
        <f>INPUT!FX401</f>
        <v>3.7463976945244823</v>
      </c>
      <c r="DL361" s="507">
        <f>INPUT!FY401</f>
        <v>-41.851125145625367</v>
      </c>
      <c r="DM361" s="464"/>
      <c r="DN361" s="507"/>
      <c r="DO361" s="464"/>
      <c r="DP361" s="507"/>
      <c r="DQ361" s="464"/>
      <c r="DR361" s="507"/>
      <c r="DS361" s="464"/>
      <c r="DT361" s="507"/>
      <c r="DU361" s="464"/>
      <c r="DV361" s="507"/>
      <c r="DW361" s="464"/>
      <c r="DX361" s="507"/>
      <c r="DY361" s="464"/>
      <c r="DZ361" s="507"/>
      <c r="EA361" s="464"/>
      <c r="EB361" s="507"/>
      <c r="EC361" s="464"/>
      <c r="ED361" s="507"/>
      <c r="EE361" s="464"/>
      <c r="EF361" s="507"/>
      <c r="EG361" s="464"/>
      <c r="EH361" s="507"/>
      <c r="EI361" s="464"/>
      <c r="EJ361" s="507"/>
      <c r="EK361" s="464"/>
      <c r="EL361" s="507"/>
      <c r="EM361" s="687"/>
    </row>
    <row r="362" spans="1:143" ht="12.75" hidden="1" customHeight="1" outlineLevel="2" x14ac:dyDescent="0.2">
      <c r="A362" s="718" t="str">
        <f>INPUT!B402</f>
        <v>Pretax Op Income/Avg AUM (%)</v>
      </c>
      <c r="B362" s="464">
        <f>INPUT!AY402</f>
        <v>0.11459152388440899</v>
      </c>
      <c r="C362" s="507" t="str">
        <f>INPUT!AZ402</f>
        <v>NM</v>
      </c>
      <c r="D362" s="464">
        <f>INPUT!BA402</f>
        <v>8.494244337170434E-2</v>
      </c>
      <c r="E362" s="687" t="str">
        <f>INPUT!BB402</f>
        <v>NM</v>
      </c>
      <c r="F362" s="464">
        <f>INPUT!BC402</f>
        <v>9.1657878986519253E-2</v>
      </c>
      <c r="G362" s="687">
        <f>INPUT!BD402</f>
        <v>93.42711284617458</v>
      </c>
      <c r="H362" s="464">
        <f>INPUT!BE402</f>
        <v>9.720690725733068E-2</v>
      </c>
      <c r="I362" s="687">
        <f>INPUT!BF402</f>
        <v>34.827231190091993</v>
      </c>
      <c r="J362" s="464">
        <f>INPUT!BG402</f>
        <v>0.10767898992884754</v>
      </c>
      <c r="K362" s="687">
        <f>INPUT!BH402</f>
        <v>-6.0323257089540672</v>
      </c>
      <c r="L362" s="464">
        <f>INPUT!BI402</f>
        <v>7.4029653218635652E-2</v>
      </c>
      <c r="M362" s="687">
        <f>INPUT!BJ402</f>
        <v>-12.84727601408262</v>
      </c>
      <c r="N362" s="464">
        <f>INPUT!BK402</f>
        <v>0.13818255495897069</v>
      </c>
      <c r="O362" s="687">
        <f>INPUT!BL402</f>
        <v>50.759058017580941</v>
      </c>
      <c r="P362" s="464">
        <f>INPUT!BM402</f>
        <v>0.18242436359510006</v>
      </c>
      <c r="Q362" s="687">
        <f>INPUT!BN402</f>
        <v>87.666050430117835</v>
      </c>
      <c r="R362" s="464">
        <f>INPUT!BO402</f>
        <v>9.4206656700936628E-2</v>
      </c>
      <c r="S362" s="687">
        <f>INPUT!BP402</f>
        <v>-12.511570954383211</v>
      </c>
      <c r="T362" s="464">
        <f>INPUT!BQ402</f>
        <v>0.12189666016118895</v>
      </c>
      <c r="U362" s="687">
        <f>INPUT!BR402</f>
        <v>64.659234322204867</v>
      </c>
      <c r="V362" s="464">
        <f>INPUT!BS402</f>
        <v>4.5540796963946917E-2</v>
      </c>
      <c r="W362" s="687" t="str">
        <f>INPUT!BT402</f>
        <v>NM</v>
      </c>
      <c r="X362" s="464">
        <f>INPUT!BU402</f>
        <v>-4.1604411388382112E-2</v>
      </c>
      <c r="Y362" s="687" t="str">
        <f>INPUT!BV402</f>
        <v>NM</v>
      </c>
      <c r="Z362" s="464">
        <f>INPUT!BW402</f>
        <v>2.6327666616518731E-2</v>
      </c>
      <c r="AA362" s="687" t="str">
        <f>INPUT!BX402</f>
        <v>NM</v>
      </c>
      <c r="AB362" s="464">
        <f>INPUT!BY402</f>
        <v>7.2212040810744213E-2</v>
      </c>
      <c r="AC362" s="687">
        <f>INPUT!BZ402</f>
        <v>-40.759623179785841</v>
      </c>
      <c r="AD362" s="464"/>
      <c r="AE362" s="687"/>
      <c r="AF362" s="464"/>
      <c r="AG362" s="687"/>
      <c r="AH362" s="464"/>
      <c r="AI362" s="507"/>
      <c r="AJ362" s="464"/>
      <c r="AK362" s="507"/>
      <c r="AL362" s="464"/>
      <c r="AM362" s="507"/>
      <c r="AN362" s="464"/>
      <c r="AO362" s="507"/>
      <c r="AP362" s="464"/>
      <c r="AQ362" s="507"/>
      <c r="AR362" s="464"/>
      <c r="AS362" s="507"/>
      <c r="AT362" s="464"/>
      <c r="AU362" s="507"/>
      <c r="AV362" s="464"/>
      <c r="AW362" s="507"/>
      <c r="AX362" s="464"/>
      <c r="AY362" s="507"/>
      <c r="AZ362" s="464"/>
      <c r="BA362" s="507"/>
      <c r="BB362" s="464"/>
      <c r="BC362" s="507"/>
      <c r="BD362" s="464"/>
      <c r="BE362" s="507"/>
      <c r="BF362" s="464"/>
      <c r="BG362" s="507"/>
      <c r="BH362" s="464"/>
      <c r="BI362" s="507"/>
      <c r="BJ362" s="464"/>
      <c r="BK362" s="507"/>
      <c r="BL362" s="464"/>
      <c r="BM362" s="507"/>
      <c r="BN362" s="464"/>
      <c r="BO362" s="507"/>
      <c r="BP362" s="464"/>
      <c r="BQ362" s="507"/>
      <c r="BR362" s="464"/>
      <c r="BS362" s="507"/>
      <c r="BT362" s="464"/>
      <c r="BU362" s="507"/>
      <c r="BV362" s="464"/>
      <c r="BW362" s="507"/>
      <c r="BX362" s="464"/>
      <c r="BY362" s="507"/>
      <c r="BZ362" s="464"/>
      <c r="CA362" s="507"/>
      <c r="CB362" s="464"/>
      <c r="CC362" s="507"/>
      <c r="CD362" s="464"/>
      <c r="CE362" s="507"/>
      <c r="CF362" s="464"/>
      <c r="CG362" s="507"/>
      <c r="CH362" s="464"/>
      <c r="CI362" s="507"/>
      <c r="CJ362" s="464"/>
      <c r="CK362" s="507"/>
      <c r="CL362" s="464"/>
      <c r="CM362" s="507"/>
      <c r="CN362" s="464"/>
      <c r="CO362" s="507"/>
      <c r="CP362" s="464"/>
      <c r="CQ362" s="507"/>
      <c r="CR362" s="464"/>
      <c r="CS362" s="507"/>
      <c r="CT362" s="464"/>
      <c r="CU362" s="507"/>
      <c r="CV362" s="464"/>
      <c r="CW362" s="507"/>
      <c r="CX362" s="464"/>
      <c r="CY362" s="507"/>
      <c r="CZ362" s="464"/>
      <c r="DA362" s="507"/>
      <c r="DB362" s="507"/>
      <c r="DC362" s="464">
        <f>INPUT!FP402</f>
        <v>3.9624825621085775E-2</v>
      </c>
      <c r="DD362" s="687" t="str">
        <f>INPUT!FQ402</f>
        <v>NA</v>
      </c>
      <c r="DE362" s="464">
        <f>INPUT!FR402</f>
        <v>9.6718875042871869E-2</v>
      </c>
      <c r="DF362" s="687" t="str">
        <f>INPUT!FS402</f>
        <v>NM</v>
      </c>
      <c r="DG362" s="464">
        <f>INPUT!FT402</f>
        <v>0.13367804474920017</v>
      </c>
      <c r="DH362" s="687">
        <f>INPUT!FU402</f>
        <v>38.212985510786467</v>
      </c>
      <c r="DI362" s="464">
        <f>INPUT!FV402</f>
        <v>6.3760284205033657E-2</v>
      </c>
      <c r="DJ362" s="687" t="str">
        <f>INPUT!FW402</f>
        <v>NM</v>
      </c>
      <c r="DK362" s="464">
        <f>INPUT!FX402</f>
        <v>2.3841507352614071E-2</v>
      </c>
      <c r="DL362" s="507" t="str">
        <f>INPUT!FY402</f>
        <v>NM</v>
      </c>
      <c r="DM362" s="464"/>
      <c r="DN362" s="507"/>
      <c r="DO362" s="464"/>
      <c r="DP362" s="507"/>
      <c r="DQ362" s="464"/>
      <c r="DR362" s="507"/>
      <c r="DS362" s="464"/>
      <c r="DT362" s="507"/>
      <c r="DU362" s="464"/>
      <c r="DV362" s="507"/>
      <c r="DW362" s="464"/>
      <c r="DX362" s="507"/>
      <c r="DY362" s="464"/>
      <c r="DZ362" s="507"/>
      <c r="EA362" s="464"/>
      <c r="EB362" s="507"/>
      <c r="EC362" s="464"/>
      <c r="ED362" s="507"/>
      <c r="EE362" s="464"/>
      <c r="EF362" s="507"/>
      <c r="EG362" s="464"/>
      <c r="EH362" s="507"/>
      <c r="EI362" s="464"/>
      <c r="EJ362" s="507"/>
      <c r="EK362" s="464"/>
      <c r="EL362" s="507"/>
      <c r="EM362" s="687"/>
    </row>
    <row r="363" spans="1:143" ht="12.75" hidden="1" customHeight="1" outlineLevel="2" x14ac:dyDescent="0.2">
      <c r="A363" s="718" t="str">
        <f>INPUT!B403</f>
        <v>After-tax Op Income/Avg AUM (%)</v>
      </c>
      <c r="B363" s="464">
        <f>INPUT!AY403</f>
        <v>7.4606396401338676E-2</v>
      </c>
      <c r="C363" s="507" t="str">
        <f>INPUT!AZ403</f>
        <v>NM</v>
      </c>
      <c r="D363" s="464">
        <f>INPUT!BA403</f>
        <v>5.5699962866691342E-2</v>
      </c>
      <c r="E363" s="687" t="str">
        <f>INPUT!BB403</f>
        <v>NM</v>
      </c>
      <c r="F363" s="464">
        <f>INPUT!BC403</f>
        <v>6.1105252657679528E-2</v>
      </c>
      <c r="G363" s="687" t="str">
        <f>INPUT!BD403</f>
        <v>NM</v>
      </c>
      <c r="H363" s="464">
        <f>INPUT!BE403</f>
        <v>6.1664293590553379E-2</v>
      </c>
      <c r="I363" s="687">
        <f>INPUT!BF403</f>
        <v>29.244077123189506</v>
      </c>
      <c r="J363" s="464">
        <f>INPUT!BG403</f>
        <v>6.8407828895973771E-2</v>
      </c>
      <c r="K363" s="687">
        <f>INPUT!BH403</f>
        <v>-8.3083593423012196</v>
      </c>
      <c r="L363" s="464">
        <f>INPUT!BI403</f>
        <v>4.6733803428524186E-2</v>
      </c>
      <c r="M363" s="687">
        <f>INPUT!BJ403</f>
        <v>-16.097244911322793</v>
      </c>
      <c r="N363" s="464">
        <f>INPUT!BK403</f>
        <v>8.8339580589605893E-2</v>
      </c>
      <c r="O363" s="687">
        <f>INPUT!BL403</f>
        <v>44.569536574043831</v>
      </c>
      <c r="P363" s="464">
        <f>INPUT!BM403</f>
        <v>0.11671700988312089</v>
      </c>
      <c r="Q363" s="687">
        <f>INPUT!BN403</f>
        <v>89.278110697438166</v>
      </c>
      <c r="R363" s="464">
        <f>INPUT!BO403</f>
        <v>5.9550321852405559E-2</v>
      </c>
      <c r="S363" s="687">
        <f>INPUT!BP403</f>
        <v>-12.948089694583963</v>
      </c>
      <c r="T363" s="464">
        <f>INPUT!BQ403</f>
        <v>7.7806378826290851E-2</v>
      </c>
      <c r="U363" s="687">
        <f>INPUT!BR403</f>
        <v>66.488436887637064</v>
      </c>
      <c r="V363" s="464">
        <f>INPUT!BS403</f>
        <v>2.9798299248014665E-2</v>
      </c>
      <c r="W363" s="687" t="str">
        <f>INPUT!BT403</f>
        <v>NM</v>
      </c>
      <c r="X363" s="464">
        <f>INPUT!BU403</f>
        <v>-2.8396661741276676E-2</v>
      </c>
      <c r="Y363" s="687" t="str">
        <f>INPUT!BV403</f>
        <v>NM</v>
      </c>
      <c r="Z363" s="464">
        <f>INPUT!BW403</f>
        <v>1.0531066646607492E-2</v>
      </c>
      <c r="AA363" s="687" t="str">
        <f>INPUT!BX403</f>
        <v>NM</v>
      </c>
      <c r="AB363" s="464">
        <f>INPUT!BY403</f>
        <v>3.7200142235837903E-2</v>
      </c>
      <c r="AC363" s="687" t="str">
        <f>INPUT!BZ403</f>
        <v>NM</v>
      </c>
      <c r="AD363" s="464"/>
      <c r="AE363" s="687"/>
      <c r="AF363" s="464"/>
      <c r="AG363" s="687"/>
      <c r="AH363" s="464"/>
      <c r="AI363" s="507"/>
      <c r="AJ363" s="464"/>
      <c r="AK363" s="507"/>
      <c r="AL363" s="464"/>
      <c r="AM363" s="507"/>
      <c r="AN363" s="464"/>
      <c r="AO363" s="507"/>
      <c r="AP363" s="464"/>
      <c r="AQ363" s="507"/>
      <c r="AR363" s="464"/>
      <c r="AS363" s="507"/>
      <c r="AT363" s="464"/>
      <c r="AU363" s="507"/>
      <c r="AV363" s="464"/>
      <c r="AW363" s="507"/>
      <c r="AX363" s="464"/>
      <c r="AY363" s="507"/>
      <c r="AZ363" s="464"/>
      <c r="BA363" s="507"/>
      <c r="BB363" s="464"/>
      <c r="BC363" s="507"/>
      <c r="BD363" s="464"/>
      <c r="BE363" s="507"/>
      <c r="BF363" s="464"/>
      <c r="BG363" s="507"/>
      <c r="BH363" s="464"/>
      <c r="BI363" s="507"/>
      <c r="BJ363" s="464"/>
      <c r="BK363" s="507"/>
      <c r="BL363" s="464"/>
      <c r="BM363" s="507"/>
      <c r="BN363" s="464"/>
      <c r="BO363" s="507"/>
      <c r="BP363" s="464"/>
      <c r="BQ363" s="507"/>
      <c r="BR363" s="464"/>
      <c r="BS363" s="507"/>
      <c r="BT363" s="464"/>
      <c r="BU363" s="507"/>
      <c r="BV363" s="464"/>
      <c r="BW363" s="507"/>
      <c r="BX363" s="464"/>
      <c r="BY363" s="507"/>
      <c r="BZ363" s="464"/>
      <c r="CA363" s="507"/>
      <c r="CB363" s="464"/>
      <c r="CC363" s="507"/>
      <c r="CD363" s="464"/>
      <c r="CE363" s="507"/>
      <c r="CF363" s="464"/>
      <c r="CG363" s="507"/>
      <c r="CH363" s="464"/>
      <c r="CI363" s="507"/>
      <c r="CJ363" s="464"/>
      <c r="CK363" s="507"/>
      <c r="CL363" s="464"/>
      <c r="CM363" s="507"/>
      <c r="CN363" s="464"/>
      <c r="CO363" s="507"/>
      <c r="CP363" s="464"/>
      <c r="CQ363" s="507"/>
      <c r="CR363" s="464"/>
      <c r="CS363" s="507"/>
      <c r="CT363" s="464"/>
      <c r="CU363" s="507"/>
      <c r="CV363" s="464"/>
      <c r="CW363" s="507"/>
      <c r="CX363" s="464"/>
      <c r="CY363" s="507"/>
      <c r="CZ363" s="464"/>
      <c r="DA363" s="507"/>
      <c r="DB363" s="507"/>
      <c r="DC363" s="464">
        <f>INPUT!FP403</f>
        <v>2.5229289721290578E-2</v>
      </c>
      <c r="DD363" s="687" t="str">
        <f>INPUT!FQ403</f>
        <v>NA</v>
      </c>
      <c r="DE363" s="464">
        <f>INPUT!FR403</f>
        <v>6.2993026180404726E-2</v>
      </c>
      <c r="DF363" s="687" t="str">
        <f>INPUT!FS403</f>
        <v>NM</v>
      </c>
      <c r="DG363" s="464">
        <f>INPUT!FT403</f>
        <v>8.5209981740718241E-2</v>
      </c>
      <c r="DH363" s="687">
        <f>INPUT!FU403</f>
        <v>35.268912937579366</v>
      </c>
      <c r="DI363" s="464">
        <f>INPUT!FV403</f>
        <v>4.0314798533227572E-2</v>
      </c>
      <c r="DJ363" s="687" t="str">
        <f>INPUT!FW403</f>
        <v>NM</v>
      </c>
      <c r="DK363" s="464">
        <f>INPUT!FX403</f>
        <v>1.1564910282984417E-2</v>
      </c>
      <c r="DL363" s="507" t="str">
        <f>INPUT!FY403</f>
        <v>NM</v>
      </c>
      <c r="DM363" s="464"/>
      <c r="DN363" s="507"/>
      <c r="DO363" s="464"/>
      <c r="DP363" s="507"/>
      <c r="DQ363" s="464"/>
      <c r="DR363" s="507"/>
      <c r="DS363" s="464"/>
      <c r="DT363" s="507"/>
      <c r="DU363" s="464"/>
      <c r="DV363" s="507"/>
      <c r="DW363" s="464"/>
      <c r="DX363" s="507"/>
      <c r="DY363" s="464"/>
      <c r="DZ363" s="507"/>
      <c r="EA363" s="464"/>
      <c r="EB363" s="507"/>
      <c r="EC363" s="464"/>
      <c r="ED363" s="507"/>
      <c r="EE363" s="464"/>
      <c r="EF363" s="507"/>
      <c r="EG363" s="464"/>
      <c r="EH363" s="507"/>
      <c r="EI363" s="464"/>
      <c r="EJ363" s="507"/>
      <c r="EK363" s="464"/>
      <c r="EL363" s="507"/>
      <c r="EM363" s="687"/>
    </row>
    <row r="364" spans="1:143" ht="12.75" hidden="1" customHeight="1" outlineLevel="2" x14ac:dyDescent="0.2">
      <c r="A364" s="701"/>
      <c r="B364" s="16"/>
      <c r="C364" s="507"/>
      <c r="D364" s="16"/>
      <c r="E364" s="687"/>
      <c r="F364" s="16"/>
      <c r="G364" s="687"/>
      <c r="H364" s="16"/>
      <c r="I364" s="687"/>
      <c r="J364" s="16"/>
      <c r="K364" s="687"/>
      <c r="L364" s="16"/>
      <c r="M364" s="687"/>
      <c r="N364" s="16"/>
      <c r="O364" s="687"/>
      <c r="P364" s="16"/>
      <c r="Q364" s="687"/>
      <c r="R364" s="16"/>
      <c r="S364" s="687"/>
      <c r="T364" s="16"/>
      <c r="U364" s="687"/>
      <c r="V364" s="16"/>
      <c r="W364" s="687"/>
      <c r="X364" s="16"/>
      <c r="Y364" s="687"/>
      <c r="Z364" s="16"/>
      <c r="AA364" s="687"/>
      <c r="AB364" s="16"/>
      <c r="AC364" s="687"/>
      <c r="AD364" s="16"/>
      <c r="AE364" s="687"/>
      <c r="AF364" s="16"/>
      <c r="AG364" s="687"/>
      <c r="AH364" s="16"/>
      <c r="AI364" s="507"/>
      <c r="AJ364" s="16"/>
      <c r="AK364" s="507"/>
      <c r="AL364" s="16"/>
      <c r="AM364" s="507"/>
      <c r="AN364" s="16"/>
      <c r="AO364" s="507"/>
      <c r="AP364" s="16"/>
      <c r="AQ364" s="507"/>
      <c r="AR364" s="16"/>
      <c r="AS364" s="507"/>
      <c r="AT364" s="16"/>
      <c r="AU364" s="507"/>
      <c r="AV364" s="16"/>
      <c r="AW364" s="507"/>
      <c r="AX364" s="16"/>
      <c r="AY364" s="507"/>
      <c r="AZ364" s="16"/>
      <c r="BA364" s="507"/>
      <c r="BB364" s="16"/>
      <c r="BC364" s="507"/>
      <c r="BD364" s="16"/>
      <c r="BE364" s="507"/>
      <c r="BF364" s="16"/>
      <c r="BG364" s="507"/>
      <c r="BH364" s="16"/>
      <c r="BI364" s="507"/>
      <c r="BJ364" s="16"/>
      <c r="BK364" s="507"/>
      <c r="BL364" s="16"/>
      <c r="BM364" s="507"/>
      <c r="BN364" s="16"/>
      <c r="BO364" s="507"/>
      <c r="BP364" s="16"/>
      <c r="BQ364" s="507"/>
      <c r="BR364" s="16"/>
      <c r="BS364" s="507"/>
      <c r="BT364" s="16"/>
      <c r="BU364" s="507"/>
      <c r="BV364" s="16"/>
      <c r="BW364" s="507"/>
      <c r="BX364" s="16"/>
      <c r="BY364" s="507"/>
      <c r="BZ364" s="16"/>
      <c r="CA364" s="507"/>
      <c r="CB364" s="16"/>
      <c r="CC364" s="507"/>
      <c r="CD364" s="16"/>
      <c r="CE364" s="507"/>
      <c r="CF364" s="16"/>
      <c r="CG364" s="507"/>
      <c r="CH364" s="16"/>
      <c r="CI364" s="507"/>
      <c r="CJ364" s="16"/>
      <c r="CK364" s="507"/>
      <c r="CL364" s="16"/>
      <c r="CM364" s="507"/>
      <c r="CN364" s="16"/>
      <c r="CO364" s="507"/>
      <c r="CP364" s="16"/>
      <c r="CQ364" s="507"/>
      <c r="CR364" s="16"/>
      <c r="CS364" s="507"/>
      <c r="CT364" s="16"/>
      <c r="CU364" s="507"/>
      <c r="CV364" s="16"/>
      <c r="CW364" s="507"/>
      <c r="CX364" s="16"/>
      <c r="CY364" s="507"/>
      <c r="CZ364" s="16"/>
      <c r="DA364" s="507"/>
      <c r="DB364" s="507"/>
      <c r="DC364" s="16"/>
      <c r="DD364" s="687"/>
      <c r="DE364" s="16"/>
      <c r="DF364" s="687"/>
      <c r="DG364" s="16"/>
      <c r="DH364" s="687"/>
      <c r="DI364" s="16"/>
      <c r="DJ364" s="687"/>
      <c r="DK364" s="16"/>
      <c r="DL364" s="507"/>
      <c r="DM364" s="16"/>
      <c r="DN364" s="507"/>
      <c r="DO364" s="16"/>
      <c r="DP364" s="507"/>
      <c r="DQ364" s="16"/>
      <c r="DR364" s="507"/>
      <c r="DS364" s="16"/>
      <c r="DT364" s="507"/>
      <c r="DU364" s="16"/>
      <c r="DV364" s="507"/>
      <c r="DW364" s="16"/>
      <c r="DX364" s="507"/>
      <c r="DY364" s="16"/>
      <c r="DZ364" s="507"/>
      <c r="EA364" s="16"/>
      <c r="EB364" s="507"/>
      <c r="EC364" s="16"/>
      <c r="ED364" s="507"/>
      <c r="EE364" s="16"/>
      <c r="EF364" s="507"/>
      <c r="EG364" s="16"/>
      <c r="EH364" s="507"/>
      <c r="EI364" s="16"/>
      <c r="EJ364" s="507"/>
      <c r="EK364" s="16"/>
      <c r="EL364" s="507"/>
      <c r="EM364" s="687"/>
    </row>
    <row r="365" spans="1:143" ht="12.75" hidden="1" customHeight="1" outlineLevel="2" x14ac:dyDescent="0.2">
      <c r="A365" s="700" t="str">
        <f>INPUT!B378</f>
        <v>Revenue Analysis</v>
      </c>
      <c r="B365" s="16"/>
      <c r="C365" s="507"/>
      <c r="D365" s="16"/>
      <c r="E365" s="687"/>
      <c r="F365" s="16"/>
      <c r="G365" s="687"/>
      <c r="H365" s="16"/>
      <c r="I365" s="687"/>
      <c r="J365" s="16"/>
      <c r="K365" s="687"/>
      <c r="L365" s="16"/>
      <c r="M365" s="687"/>
      <c r="N365" s="16"/>
      <c r="O365" s="687"/>
      <c r="P365" s="16"/>
      <c r="Q365" s="687"/>
      <c r="R365" s="16"/>
      <c r="S365" s="687"/>
      <c r="T365" s="16"/>
      <c r="U365" s="687"/>
      <c r="V365" s="16"/>
      <c r="W365" s="687"/>
      <c r="X365" s="16"/>
      <c r="Y365" s="687"/>
      <c r="Z365" s="16"/>
      <c r="AA365" s="687"/>
      <c r="AB365" s="16"/>
      <c r="AC365" s="687"/>
      <c r="AD365" s="16"/>
      <c r="AE365" s="687"/>
      <c r="AF365" s="16"/>
      <c r="AG365" s="687"/>
      <c r="AH365" s="16"/>
      <c r="AI365" s="507"/>
      <c r="AJ365" s="16"/>
      <c r="AK365" s="507"/>
      <c r="AL365" s="16"/>
      <c r="AM365" s="507"/>
      <c r="AN365" s="16"/>
      <c r="AO365" s="507"/>
      <c r="AP365" s="16"/>
      <c r="AQ365" s="507"/>
      <c r="AR365" s="16"/>
      <c r="AS365" s="507"/>
      <c r="AT365" s="16"/>
      <c r="AU365" s="507"/>
      <c r="AV365" s="16"/>
      <c r="AW365" s="507"/>
      <c r="AX365" s="16"/>
      <c r="AY365" s="507"/>
      <c r="AZ365" s="16"/>
      <c r="BA365" s="507"/>
      <c r="BB365" s="16"/>
      <c r="BC365" s="507"/>
      <c r="BD365" s="16"/>
      <c r="BE365" s="507"/>
      <c r="BF365" s="16"/>
      <c r="BG365" s="507"/>
      <c r="BH365" s="16"/>
      <c r="BI365" s="507"/>
      <c r="BJ365" s="16"/>
      <c r="BK365" s="507"/>
      <c r="BL365" s="16"/>
      <c r="BM365" s="507"/>
      <c r="BN365" s="16"/>
      <c r="BO365" s="507"/>
      <c r="BP365" s="16"/>
      <c r="BQ365" s="507"/>
      <c r="BR365" s="16"/>
      <c r="BS365" s="507"/>
      <c r="BT365" s="16"/>
      <c r="BU365" s="507"/>
      <c r="BV365" s="16"/>
      <c r="BW365" s="507"/>
      <c r="BX365" s="16"/>
      <c r="BY365" s="507"/>
      <c r="BZ365" s="16"/>
      <c r="CA365" s="507"/>
      <c r="CB365" s="16"/>
      <c r="CC365" s="507"/>
      <c r="CD365" s="16"/>
      <c r="CE365" s="507"/>
      <c r="CF365" s="16"/>
      <c r="CG365" s="507"/>
      <c r="CH365" s="16"/>
      <c r="CI365" s="507"/>
      <c r="CJ365" s="16"/>
      <c r="CK365" s="507"/>
      <c r="CL365" s="16"/>
      <c r="CM365" s="507"/>
      <c r="CN365" s="16"/>
      <c r="CO365" s="507"/>
      <c r="CP365" s="16"/>
      <c r="CQ365" s="507"/>
      <c r="CR365" s="16"/>
      <c r="CS365" s="507"/>
      <c r="CT365" s="16"/>
      <c r="CU365" s="507"/>
      <c r="CV365" s="16"/>
      <c r="CW365" s="507"/>
      <c r="CX365" s="16"/>
      <c r="CY365" s="507"/>
      <c r="CZ365" s="16"/>
      <c r="DA365" s="507"/>
      <c r="DB365" s="507"/>
      <c r="DC365" s="16"/>
      <c r="DD365" s="687"/>
      <c r="DE365" s="16"/>
      <c r="DF365" s="687"/>
      <c r="DG365" s="16"/>
      <c r="DH365" s="687"/>
      <c r="DI365" s="16"/>
      <c r="DJ365" s="687"/>
      <c r="DK365" s="16"/>
      <c r="DL365" s="507"/>
      <c r="DM365" s="16"/>
      <c r="DN365" s="507"/>
      <c r="DO365" s="16"/>
      <c r="DP365" s="507"/>
      <c r="DQ365" s="16"/>
      <c r="DR365" s="507"/>
      <c r="DS365" s="16"/>
      <c r="DT365" s="507"/>
      <c r="DU365" s="16"/>
      <c r="DV365" s="507"/>
      <c r="DW365" s="16"/>
      <c r="DX365" s="507"/>
      <c r="DY365" s="16"/>
      <c r="DZ365" s="507"/>
      <c r="EA365" s="16"/>
      <c r="EB365" s="507"/>
      <c r="EC365" s="16"/>
      <c r="ED365" s="507"/>
      <c r="EE365" s="16"/>
      <c r="EF365" s="507"/>
      <c r="EG365" s="16"/>
      <c r="EH365" s="507"/>
      <c r="EI365" s="16"/>
      <c r="EJ365" s="507"/>
      <c r="EK365" s="16"/>
      <c r="EL365" s="507"/>
      <c r="EM365" s="687"/>
    </row>
    <row r="366" spans="1:143" ht="12.75" hidden="1" customHeight="1" outlineLevel="2" x14ac:dyDescent="0.2">
      <c r="A366" s="718" t="str">
        <f>INPUT!B379</f>
        <v>Invest Advisory Fees/Avg AUM (%)</v>
      </c>
      <c r="B366" s="464">
        <f>INPUT!AY379</f>
        <v>0.50176458756194353</v>
      </c>
      <c r="C366" s="507">
        <f>INPUT!AZ379</f>
        <v>-8.6613964831437578</v>
      </c>
      <c r="D366" s="464">
        <f>INPUT!BA379</f>
        <v>0.48598217601188265</v>
      </c>
      <c r="E366" s="687">
        <f>INPUT!BB379</f>
        <v>-11.662497968602182</v>
      </c>
      <c r="F366" s="464">
        <f>INPUT!BC379</f>
        <v>0.48382591843132794</v>
      </c>
      <c r="G366" s="687">
        <f>INPUT!BD379</f>
        <v>-8.6798130115977692</v>
      </c>
      <c r="H366" s="464">
        <f>INPUT!BE379</f>
        <v>0.4761853782826066</v>
      </c>
      <c r="I366" s="687">
        <f>INPUT!BF379</f>
        <v>-5.844199580066423</v>
      </c>
      <c r="J366" s="464">
        <f>INPUT!BG379</f>
        <v>0.4847665899541837</v>
      </c>
      <c r="K366" s="687">
        <f>INPUT!BH379</f>
        <v>-3.3876439328555441</v>
      </c>
      <c r="L366" s="464">
        <f>INPUT!BI379</f>
        <v>0.46444301991356313</v>
      </c>
      <c r="M366" s="687">
        <f>INPUT!BJ379</f>
        <v>-4.43208766936195</v>
      </c>
      <c r="N366" s="464">
        <f>INPUT!BK379</f>
        <v>0.45223381622935871</v>
      </c>
      <c r="O366" s="687">
        <f>INPUT!BL379</f>
        <v>-6.5296423772413625</v>
      </c>
      <c r="P366" s="464">
        <f>INPUT!BM379</f>
        <v>0.46686803953248351</v>
      </c>
      <c r="Q366" s="687">
        <f>INPUT!BN379</f>
        <v>-1.9566620847802363</v>
      </c>
      <c r="R366" s="464">
        <f>INPUT!BO379</f>
        <v>0.46956893132798444</v>
      </c>
      <c r="S366" s="687">
        <f>INPUT!BP379</f>
        <v>-3.1350466267973665</v>
      </c>
      <c r="T366" s="464">
        <f>INPUT!BQ379</f>
        <v>0.50003566125696208</v>
      </c>
      <c r="U366" s="687">
        <f>INPUT!BR379</f>
        <v>7.6635108758923876</v>
      </c>
      <c r="V366" s="464">
        <f>INPUT!BS379</f>
        <v>0.49645091011314929</v>
      </c>
      <c r="W366" s="687">
        <f>INPUT!BT379</f>
        <v>9.7774850745272701</v>
      </c>
      <c r="X366" s="464">
        <f>INPUT!BU379</f>
        <v>0.45368620037807189</v>
      </c>
      <c r="Y366" s="687">
        <f>INPUT!BV379</f>
        <v>-2.8234614576769457</v>
      </c>
      <c r="Z366" s="464">
        <f>INPUT!BW379</f>
        <v>0.47841131337445464</v>
      </c>
      <c r="AA366" s="687">
        <f>INPUT!BX379</f>
        <v>1.8830849863646471</v>
      </c>
      <c r="AB366" s="464">
        <f>INPUT!BY379</f>
        <v>0.49454306737055165</v>
      </c>
      <c r="AC366" s="687">
        <f>INPUT!BZ379</f>
        <v>-1.0984404337489595</v>
      </c>
      <c r="AD366" s="464"/>
      <c r="AE366" s="687"/>
      <c r="AF366" s="464"/>
      <c r="AG366" s="687"/>
      <c r="AH366" s="464"/>
      <c r="AI366" s="507"/>
      <c r="AJ366" s="464"/>
      <c r="AK366" s="507"/>
      <c r="AL366" s="464"/>
      <c r="AM366" s="507"/>
      <c r="AN366" s="464"/>
      <c r="AO366" s="507"/>
      <c r="AP366" s="464"/>
      <c r="AQ366" s="507"/>
      <c r="AR366" s="464"/>
      <c r="AS366" s="507"/>
      <c r="AT366" s="464"/>
      <c r="AU366" s="507"/>
      <c r="AV366" s="464"/>
      <c r="AW366" s="507"/>
      <c r="AX366" s="464"/>
      <c r="AY366" s="507"/>
      <c r="AZ366" s="464"/>
      <c r="BA366" s="507"/>
      <c r="BB366" s="464"/>
      <c r="BC366" s="507"/>
      <c r="BD366" s="464"/>
      <c r="BE366" s="507"/>
      <c r="BF366" s="464"/>
      <c r="BG366" s="507"/>
      <c r="BH366" s="464"/>
      <c r="BI366" s="507"/>
      <c r="BJ366" s="464"/>
      <c r="BK366" s="507"/>
      <c r="BL366" s="464"/>
      <c r="BM366" s="507"/>
      <c r="BN366" s="464"/>
      <c r="BO366" s="507"/>
      <c r="BP366" s="464"/>
      <c r="BQ366" s="507"/>
      <c r="BR366" s="464"/>
      <c r="BS366" s="507"/>
      <c r="BT366" s="464"/>
      <c r="BU366" s="507"/>
      <c r="BV366" s="464"/>
      <c r="BW366" s="507"/>
      <c r="BX366" s="464"/>
      <c r="BY366" s="507"/>
      <c r="BZ366" s="464"/>
      <c r="CA366" s="507"/>
      <c r="CB366" s="464"/>
      <c r="CC366" s="507"/>
      <c r="CD366" s="464"/>
      <c r="CE366" s="507"/>
      <c r="CF366" s="464"/>
      <c r="CG366" s="507"/>
      <c r="CH366" s="464"/>
      <c r="CI366" s="507"/>
      <c r="CJ366" s="464"/>
      <c r="CK366" s="507"/>
      <c r="CL366" s="464"/>
      <c r="CM366" s="507"/>
      <c r="CN366" s="464"/>
      <c r="CO366" s="507"/>
      <c r="CP366" s="464"/>
      <c r="CQ366" s="507"/>
      <c r="CR366" s="464"/>
      <c r="CS366" s="507"/>
      <c r="CT366" s="464"/>
      <c r="CU366" s="507"/>
      <c r="CV366" s="464"/>
      <c r="CW366" s="507"/>
      <c r="CX366" s="464"/>
      <c r="CY366" s="507"/>
      <c r="CZ366" s="464"/>
      <c r="DA366" s="507"/>
      <c r="DB366" s="507"/>
      <c r="DC366" s="464">
        <f>INPUT!FP379</f>
        <v>0.52625330206880183</v>
      </c>
      <c r="DD366" s="687" t="str">
        <f>INPUT!FQ379</f>
        <v>NA</v>
      </c>
      <c r="DE366" s="464">
        <f>INPUT!FR379</f>
        <v>0.48576654853092494</v>
      </c>
      <c r="DF366" s="687">
        <f>INPUT!FS379</f>
        <v>-7.6933965789318108</v>
      </c>
      <c r="DG366" s="464">
        <f>INPUT!FT379</f>
        <v>0.49886368078084958</v>
      </c>
      <c r="DH366" s="687">
        <f>INPUT!FU379</f>
        <v>2.69617829583646</v>
      </c>
      <c r="DI366" s="464">
        <f>INPUT!FV379</f>
        <v>0.49978913358923227</v>
      </c>
      <c r="DJ366" s="687">
        <f>INPUT!FW379</f>
        <v>0.18551216375064516</v>
      </c>
      <c r="DK366" s="464">
        <f>INPUT!FX379</f>
        <v>0.23378910941294737</v>
      </c>
      <c r="DL366" s="507" t="str">
        <f>INPUT!FY379</f>
        <v>NM</v>
      </c>
      <c r="DM366" s="464"/>
      <c r="DN366" s="507"/>
      <c r="DO366" s="464"/>
      <c r="DP366" s="507"/>
      <c r="DQ366" s="464"/>
      <c r="DR366" s="507"/>
      <c r="DS366" s="464"/>
      <c r="DT366" s="507"/>
      <c r="DU366" s="464"/>
      <c r="DV366" s="507"/>
      <c r="DW366" s="464"/>
      <c r="DX366" s="507"/>
      <c r="DY366" s="464"/>
      <c r="DZ366" s="507"/>
      <c r="EA366" s="464"/>
      <c r="EB366" s="507"/>
      <c r="EC366" s="464"/>
      <c r="ED366" s="507"/>
      <c r="EE366" s="464"/>
      <c r="EF366" s="507"/>
      <c r="EG366" s="464"/>
      <c r="EH366" s="507"/>
      <c r="EI366" s="464"/>
      <c r="EJ366" s="507"/>
      <c r="EK366" s="464"/>
      <c r="EL366" s="507"/>
      <c r="EM366" s="687"/>
    </row>
    <row r="367" spans="1:143" ht="12.75" hidden="1" customHeight="1" outlineLevel="2" x14ac:dyDescent="0.2">
      <c r="A367" s="718" t="str">
        <f>INPUT!B381</f>
        <v>Other Revenue and Fees/Avg AUM (%)</v>
      </c>
      <c r="B367" s="464">
        <f>INPUT!AY381</f>
        <v>0.17895782666203425</v>
      </c>
      <c r="C367" s="507">
        <f>INPUT!AZ381</f>
        <v>-13.634269126986453</v>
      </c>
      <c r="D367" s="464">
        <f>INPUT!BA381</f>
        <v>0.13924990716672855</v>
      </c>
      <c r="E367" s="687">
        <f>INPUT!BB381</f>
        <v>-21.434229124492411</v>
      </c>
      <c r="F367" s="464">
        <f>INPUT!BC381</f>
        <v>0.1564112064297318</v>
      </c>
      <c r="G367" s="687">
        <f>INPUT!BD381</f>
        <v>-10.175736471450126</v>
      </c>
      <c r="H367" s="464">
        <f>INPUT!BE381</f>
        <v>0.16144054641415712</v>
      </c>
      <c r="I367" s="687">
        <f>INPUT!BF381</f>
        <v>-6.5854733983082507</v>
      </c>
      <c r="J367" s="464">
        <f>INPUT!BG381</f>
        <v>0.14906150370542406</v>
      </c>
      <c r="K367" s="687">
        <f>INPUT!BH381</f>
        <v>-16.705792372562744</v>
      </c>
      <c r="L367" s="464">
        <f>INPUT!BI381</f>
        <v>0.16005293740565357</v>
      </c>
      <c r="M367" s="687">
        <f>INPUT!BJ381</f>
        <v>14.939349448913353</v>
      </c>
      <c r="N367" s="464">
        <f>INPUT!BK381</f>
        <v>0.1560125620504508</v>
      </c>
      <c r="O367" s="687">
        <f>INPUT!BL381</f>
        <v>-0.25486944853921889</v>
      </c>
      <c r="P367" s="464">
        <f>INPUT!BM381</f>
        <v>0.13400841875469435</v>
      </c>
      <c r="Q367" s="687">
        <f>INPUT!BN381</f>
        <v>-16.992092921371071</v>
      </c>
      <c r="R367" s="464">
        <f>INPUT!BO381</f>
        <v>0.11763629152811252</v>
      </c>
      <c r="S367" s="687">
        <f>INPUT!BP381</f>
        <v>-21.082044254306041</v>
      </c>
      <c r="T367" s="464">
        <f>INPUT!BQ381</f>
        <v>0.14471986461690084</v>
      </c>
      <c r="U367" s="687">
        <f>INPUT!BR381</f>
        <v>-9.5800008655205886</v>
      </c>
      <c r="V367" s="464">
        <f>INPUT!BS381</f>
        <v>0.12144212523719165</v>
      </c>
      <c r="W367" s="687">
        <f>INPUT!BT381</f>
        <v>-22.158752063875397</v>
      </c>
      <c r="X367" s="464">
        <f>INPUT!BU381</f>
        <v>9.575618494151443E-2</v>
      </c>
      <c r="Y367" s="687">
        <f>INPUT!BV381</f>
        <v>-28.544649782937558</v>
      </c>
      <c r="Z367" s="464">
        <f>INPUT!BW381</f>
        <v>0.13765608545208363</v>
      </c>
      <c r="AA367" s="687">
        <f>INPUT!BX381</f>
        <v>17.018382391956678</v>
      </c>
      <c r="AB367" s="464">
        <f>INPUT!BY381</f>
        <v>0.17360066376724384</v>
      </c>
      <c r="AC367" s="687">
        <f>INPUT!BZ381</f>
        <v>19.956347545511875</v>
      </c>
      <c r="AD367" s="464"/>
      <c r="AE367" s="687"/>
      <c r="AF367" s="464"/>
      <c r="AG367" s="687"/>
      <c r="AH367" s="464"/>
      <c r="AI367" s="507"/>
      <c r="AJ367" s="464"/>
      <c r="AK367" s="507"/>
      <c r="AL367" s="464"/>
      <c r="AM367" s="507"/>
      <c r="AN367" s="464"/>
      <c r="AO367" s="507"/>
      <c r="AP367" s="464"/>
      <c r="AQ367" s="507"/>
      <c r="AR367" s="464"/>
      <c r="AS367" s="507"/>
      <c r="AT367" s="464"/>
      <c r="AU367" s="507"/>
      <c r="AV367" s="464"/>
      <c r="AW367" s="507"/>
      <c r="AX367" s="464"/>
      <c r="AY367" s="507"/>
      <c r="AZ367" s="464"/>
      <c r="BA367" s="507"/>
      <c r="BB367" s="464"/>
      <c r="BC367" s="507"/>
      <c r="BD367" s="464"/>
      <c r="BE367" s="507"/>
      <c r="BF367" s="464"/>
      <c r="BG367" s="507"/>
      <c r="BH367" s="464"/>
      <c r="BI367" s="507"/>
      <c r="BJ367" s="464"/>
      <c r="BK367" s="507"/>
      <c r="BL367" s="464"/>
      <c r="BM367" s="507"/>
      <c r="BN367" s="464"/>
      <c r="BO367" s="507"/>
      <c r="BP367" s="464"/>
      <c r="BQ367" s="507"/>
      <c r="BR367" s="464"/>
      <c r="BS367" s="507"/>
      <c r="BT367" s="464"/>
      <c r="BU367" s="507"/>
      <c r="BV367" s="464"/>
      <c r="BW367" s="507"/>
      <c r="BX367" s="464"/>
      <c r="BY367" s="507"/>
      <c r="BZ367" s="464"/>
      <c r="CA367" s="507"/>
      <c r="CB367" s="464"/>
      <c r="CC367" s="507"/>
      <c r="CD367" s="464"/>
      <c r="CE367" s="507"/>
      <c r="CF367" s="464"/>
      <c r="CG367" s="507"/>
      <c r="CH367" s="464"/>
      <c r="CI367" s="507"/>
      <c r="CJ367" s="464"/>
      <c r="CK367" s="507"/>
      <c r="CL367" s="464"/>
      <c r="CM367" s="507"/>
      <c r="CN367" s="464"/>
      <c r="CO367" s="507"/>
      <c r="CP367" s="464"/>
      <c r="CQ367" s="507"/>
      <c r="CR367" s="464"/>
      <c r="CS367" s="507"/>
      <c r="CT367" s="464"/>
      <c r="CU367" s="507"/>
      <c r="CV367" s="464"/>
      <c r="CW367" s="507"/>
      <c r="CX367" s="464"/>
      <c r="CY367" s="507"/>
      <c r="CZ367" s="464"/>
      <c r="DA367" s="507"/>
      <c r="DB367" s="507"/>
      <c r="DC367" s="464">
        <f>INPUT!FP381</f>
        <v>0.17972158736754623</v>
      </c>
      <c r="DD367" s="687" t="str">
        <f>INPUT!FQ381</f>
        <v>NA</v>
      </c>
      <c r="DE367" s="464">
        <f>INPUT!FR381</f>
        <v>0.15856865210929461</v>
      </c>
      <c r="DF367" s="687">
        <f>INPUT!FS381</f>
        <v>-11.769835537337004</v>
      </c>
      <c r="DG367" s="464">
        <f>INPUT!FT381</f>
        <v>0.16025730510869021</v>
      </c>
      <c r="DH367" s="687">
        <f>INPUT!FU381</f>
        <v>1.0649349521062224</v>
      </c>
      <c r="DI367" s="464">
        <f>INPUT!FV381</f>
        <v>0.12594800534671441</v>
      </c>
      <c r="DJ367" s="687">
        <f>INPUT!FW381</f>
        <v>-21.408883506874421</v>
      </c>
      <c r="DK367" s="464">
        <f>INPUT!FX381</f>
        <v>7.4905034294407036E-2</v>
      </c>
      <c r="DL367" s="507">
        <f>INPUT!FY381</f>
        <v>-40.527018202308454</v>
      </c>
      <c r="DM367" s="464"/>
      <c r="DN367" s="507"/>
      <c r="DO367" s="464"/>
      <c r="DP367" s="507"/>
      <c r="DQ367" s="464"/>
      <c r="DR367" s="507"/>
      <c r="DS367" s="464"/>
      <c r="DT367" s="507"/>
      <c r="DU367" s="464"/>
      <c r="DV367" s="507"/>
      <c r="DW367" s="464"/>
      <c r="DX367" s="507"/>
      <c r="DY367" s="464"/>
      <c r="DZ367" s="507"/>
      <c r="EA367" s="464"/>
      <c r="EB367" s="507"/>
      <c r="EC367" s="464"/>
      <c r="ED367" s="507"/>
      <c r="EE367" s="464"/>
      <c r="EF367" s="507"/>
      <c r="EG367" s="464"/>
      <c r="EH367" s="507"/>
      <c r="EI367" s="464"/>
      <c r="EJ367" s="507"/>
      <c r="EK367" s="464"/>
      <c r="EL367" s="507"/>
      <c r="EM367" s="687"/>
    </row>
    <row r="368" spans="1:143" ht="12.75" hidden="1" customHeight="1" outlineLevel="2" x14ac:dyDescent="0.2">
      <c r="A368" s="701" t="str">
        <f>INPUT!B382</f>
        <v>Total Revenue/Avg AUM (%)</v>
      </c>
      <c r="B368" s="464">
        <f>INPUT!AY382</f>
        <v>0.68072241422397783</v>
      </c>
      <c r="C368" s="507">
        <f>INPUT!AZ382</f>
        <v>-10.023393449291762</v>
      </c>
      <c r="D368" s="464">
        <f>INPUT!BA382</f>
        <v>0.62523208317861123</v>
      </c>
      <c r="E368" s="687">
        <f>INPUT!BB382</f>
        <v>-14.04355735069247</v>
      </c>
      <c r="F368" s="464">
        <f>INPUT!BC382</f>
        <v>0.64023712486105966</v>
      </c>
      <c r="G368" s="687">
        <f>INPUT!BD382</f>
        <v>-9.0498508504095909</v>
      </c>
      <c r="H368" s="464">
        <f>INPUT!BE382</f>
        <v>0.63762592469676371</v>
      </c>
      <c r="I368" s="687">
        <f>INPUT!BF382</f>
        <v>-6.0329927556498797</v>
      </c>
      <c r="J368" s="464">
        <f>INPUT!BG382</f>
        <v>0.63382809365960779</v>
      </c>
      <c r="K368" s="687">
        <f>INPUT!BH382</f>
        <v>-6.8889050197986297</v>
      </c>
      <c r="L368" s="464">
        <f>INPUT!BI382</f>
        <v>0.6244959573192167</v>
      </c>
      <c r="M368" s="687">
        <f>INPUT!BJ382</f>
        <v>-0.1177364180756979</v>
      </c>
      <c r="N368" s="464">
        <f>INPUT!BK382</f>
        <v>0.60824637827980954</v>
      </c>
      <c r="O368" s="687">
        <f>INPUT!BL382</f>
        <v>-4.9967028369672484</v>
      </c>
      <c r="P368" s="464">
        <f>INPUT!BM382</f>
        <v>0.60087645828717784</v>
      </c>
      <c r="Q368" s="687">
        <f>INPUT!BN382</f>
        <v>-5.7634837270869816</v>
      </c>
      <c r="R368" s="464">
        <f>INPUT!BO382</f>
        <v>0.587205222856097</v>
      </c>
      <c r="S368" s="687">
        <f>INPUT!BP382</f>
        <v>-7.35575959316016</v>
      </c>
      <c r="T368" s="464">
        <f>INPUT!BQ382</f>
        <v>0.64475552587386298</v>
      </c>
      <c r="U368" s="687">
        <f>INPUT!BR382</f>
        <v>3.2441472706428387</v>
      </c>
      <c r="V368" s="464">
        <f>INPUT!BS382</f>
        <v>0.6178930353503409</v>
      </c>
      <c r="W368" s="687">
        <f>INPUT!BT382</f>
        <v>1.5859785466891152</v>
      </c>
      <c r="X368" s="464">
        <f>INPUT!BU382</f>
        <v>0.54944238531958633</v>
      </c>
      <c r="Y368" s="687">
        <f>INPUT!BV382</f>
        <v>-8.5598415877710323</v>
      </c>
      <c r="Z368" s="464">
        <f>INPUT!BW382</f>
        <v>0.61606739882653827</v>
      </c>
      <c r="AA368" s="687">
        <f>INPUT!BX382</f>
        <v>4.9151769853236438</v>
      </c>
      <c r="AB368" s="464">
        <f>INPUT!BY382</f>
        <v>0.66814373113779546</v>
      </c>
      <c r="AC368" s="687">
        <f>INPUT!BZ382</f>
        <v>3.6274532478389299</v>
      </c>
      <c r="AD368" s="464"/>
      <c r="AE368" s="687"/>
      <c r="AF368" s="464"/>
      <c r="AG368" s="687"/>
      <c r="AH368" s="464"/>
      <c r="AI368" s="507"/>
      <c r="AJ368" s="464"/>
      <c r="AK368" s="507"/>
      <c r="AL368" s="464"/>
      <c r="AM368" s="507"/>
      <c r="AN368" s="464"/>
      <c r="AO368" s="507"/>
      <c r="AP368" s="464"/>
      <c r="AQ368" s="507"/>
      <c r="AR368" s="464"/>
      <c r="AS368" s="507"/>
      <c r="AT368" s="464"/>
      <c r="AU368" s="507"/>
      <c r="AV368" s="464"/>
      <c r="AW368" s="507"/>
      <c r="AX368" s="464"/>
      <c r="AY368" s="507"/>
      <c r="AZ368" s="464"/>
      <c r="BA368" s="507"/>
      <c r="BB368" s="464"/>
      <c r="BC368" s="507"/>
      <c r="BD368" s="464"/>
      <c r="BE368" s="507"/>
      <c r="BF368" s="464"/>
      <c r="BG368" s="507"/>
      <c r="BH368" s="464"/>
      <c r="BI368" s="507"/>
      <c r="BJ368" s="464"/>
      <c r="BK368" s="507"/>
      <c r="BL368" s="464"/>
      <c r="BM368" s="507"/>
      <c r="BN368" s="464"/>
      <c r="BO368" s="507"/>
      <c r="BP368" s="464"/>
      <c r="BQ368" s="507"/>
      <c r="BR368" s="464"/>
      <c r="BS368" s="507"/>
      <c r="BT368" s="464"/>
      <c r="BU368" s="507"/>
      <c r="BV368" s="464"/>
      <c r="BW368" s="507"/>
      <c r="BX368" s="464"/>
      <c r="BY368" s="507"/>
      <c r="BZ368" s="464"/>
      <c r="CA368" s="507"/>
      <c r="CB368" s="464"/>
      <c r="CC368" s="507"/>
      <c r="CD368" s="464"/>
      <c r="CE368" s="507"/>
      <c r="CF368" s="464"/>
      <c r="CG368" s="507"/>
      <c r="CH368" s="464"/>
      <c r="CI368" s="507"/>
      <c r="CJ368" s="464"/>
      <c r="CK368" s="507"/>
      <c r="CL368" s="464"/>
      <c r="CM368" s="507"/>
      <c r="CN368" s="464"/>
      <c r="CO368" s="507"/>
      <c r="CP368" s="464"/>
      <c r="CQ368" s="507"/>
      <c r="CR368" s="464"/>
      <c r="CS368" s="507"/>
      <c r="CT368" s="464"/>
      <c r="CU368" s="507"/>
      <c r="CV368" s="464"/>
      <c r="CW368" s="507"/>
      <c r="CX368" s="464"/>
      <c r="CY368" s="507"/>
      <c r="CZ368" s="464"/>
      <c r="DA368" s="507"/>
      <c r="DB368" s="507"/>
      <c r="DC368" s="464">
        <f>INPUT!FP382</f>
        <v>0.70597488943634801</v>
      </c>
      <c r="DD368" s="687" t="str">
        <f>INPUT!FQ382</f>
        <v>NA</v>
      </c>
      <c r="DE368" s="464">
        <f>INPUT!FR382</f>
        <v>0.64433520064021954</v>
      </c>
      <c r="DF368" s="687">
        <f>INPUT!FS382</f>
        <v>-8.7311446509580115</v>
      </c>
      <c r="DG368" s="464">
        <f>INPUT!FT382</f>
        <v>0.65912098588953971</v>
      </c>
      <c r="DH368" s="687">
        <f>INPUT!FU382</f>
        <v>2.2947349818275953</v>
      </c>
      <c r="DI368" s="464">
        <f>INPUT!FV382</f>
        <v>0.62573713893594674</v>
      </c>
      <c r="DJ368" s="687">
        <f>INPUT!FW382</f>
        <v>-5.0649042692122226</v>
      </c>
      <c r="DK368" s="464">
        <f>INPUT!FX382</f>
        <v>0.30869414370735437</v>
      </c>
      <c r="DL368" s="507" t="str">
        <f>INPUT!FY382</f>
        <v>NM</v>
      </c>
      <c r="DM368" s="464"/>
      <c r="DN368" s="507"/>
      <c r="DO368" s="464"/>
      <c r="DP368" s="507"/>
      <c r="DQ368" s="464"/>
      <c r="DR368" s="507"/>
      <c r="DS368" s="464"/>
      <c r="DT368" s="507"/>
      <c r="DU368" s="464"/>
      <c r="DV368" s="507"/>
      <c r="DW368" s="464"/>
      <c r="DX368" s="507"/>
      <c r="DY368" s="464"/>
      <c r="DZ368" s="507"/>
      <c r="EA368" s="464"/>
      <c r="EB368" s="507"/>
      <c r="EC368" s="464"/>
      <c r="ED368" s="507"/>
      <c r="EE368" s="464"/>
      <c r="EF368" s="507"/>
      <c r="EG368" s="464"/>
      <c r="EH368" s="507"/>
      <c r="EI368" s="464"/>
      <c r="EJ368" s="507"/>
      <c r="EK368" s="464"/>
      <c r="EL368" s="507"/>
      <c r="EM368" s="687"/>
    </row>
    <row r="369" spans="1:143" ht="12.75" hidden="1" customHeight="1" outlineLevel="2" x14ac:dyDescent="0.2">
      <c r="A369" s="701"/>
      <c r="B369" s="16"/>
      <c r="C369" s="507"/>
      <c r="D369" s="16"/>
      <c r="E369" s="687"/>
      <c r="F369" s="16"/>
      <c r="G369" s="687"/>
      <c r="H369" s="16"/>
      <c r="I369" s="687"/>
      <c r="J369" s="16"/>
      <c r="K369" s="687"/>
      <c r="L369" s="16"/>
      <c r="M369" s="687"/>
      <c r="N369" s="16"/>
      <c r="O369" s="687"/>
      <c r="P369" s="16"/>
      <c r="Q369" s="687"/>
      <c r="R369" s="16"/>
      <c r="S369" s="687"/>
      <c r="T369" s="16"/>
      <c r="U369" s="687"/>
      <c r="V369" s="16"/>
      <c r="W369" s="687"/>
      <c r="X369" s="16"/>
      <c r="Y369" s="687"/>
      <c r="Z369" s="16"/>
      <c r="AA369" s="687"/>
      <c r="AB369" s="16"/>
      <c r="AC369" s="687"/>
      <c r="AD369" s="16"/>
      <c r="AE369" s="687"/>
      <c r="AF369" s="16"/>
      <c r="AG369" s="687"/>
      <c r="AH369" s="16"/>
      <c r="AI369" s="507"/>
      <c r="AJ369" s="16"/>
      <c r="AK369" s="507"/>
      <c r="AL369" s="16"/>
      <c r="AM369" s="507"/>
      <c r="AN369" s="16"/>
      <c r="AO369" s="507"/>
      <c r="AP369" s="16"/>
      <c r="AQ369" s="507"/>
      <c r="AR369" s="16"/>
      <c r="AS369" s="507"/>
      <c r="AT369" s="16"/>
      <c r="AU369" s="507"/>
      <c r="AV369" s="16"/>
      <c r="AW369" s="507"/>
      <c r="AX369" s="16"/>
      <c r="AY369" s="507"/>
      <c r="AZ369" s="16"/>
      <c r="BA369" s="507"/>
      <c r="BB369" s="16"/>
      <c r="BC369" s="507"/>
      <c r="BD369" s="16"/>
      <c r="BE369" s="507"/>
      <c r="BF369" s="16"/>
      <c r="BG369" s="507"/>
      <c r="BH369" s="16"/>
      <c r="BI369" s="507"/>
      <c r="BJ369" s="16"/>
      <c r="BK369" s="507"/>
      <c r="BL369" s="16"/>
      <c r="BM369" s="507"/>
      <c r="BN369" s="16"/>
      <c r="BO369" s="507"/>
      <c r="BP369" s="16"/>
      <c r="BQ369" s="507"/>
      <c r="BR369" s="16"/>
      <c r="BS369" s="507"/>
      <c r="BT369" s="16"/>
      <c r="BU369" s="507"/>
      <c r="BV369" s="16"/>
      <c r="BW369" s="507"/>
      <c r="BX369" s="16"/>
      <c r="BY369" s="507"/>
      <c r="BZ369" s="16"/>
      <c r="CA369" s="507"/>
      <c r="CB369" s="16"/>
      <c r="CC369" s="507"/>
      <c r="CD369" s="16"/>
      <c r="CE369" s="507"/>
      <c r="CF369" s="16"/>
      <c r="CG369" s="507"/>
      <c r="CH369" s="16"/>
      <c r="CI369" s="507"/>
      <c r="CJ369" s="16"/>
      <c r="CK369" s="507"/>
      <c r="CL369" s="16"/>
      <c r="CM369" s="507"/>
      <c r="CN369" s="16"/>
      <c r="CO369" s="507"/>
      <c r="CP369" s="16"/>
      <c r="CQ369" s="507"/>
      <c r="CR369" s="16"/>
      <c r="CS369" s="507"/>
      <c r="CT369" s="16"/>
      <c r="CU369" s="507"/>
      <c r="CV369" s="16"/>
      <c r="CW369" s="507"/>
      <c r="CX369" s="16"/>
      <c r="CY369" s="507"/>
      <c r="CZ369" s="16"/>
      <c r="DA369" s="507"/>
      <c r="DB369" s="507"/>
      <c r="DC369" s="16"/>
      <c r="DD369" s="687"/>
      <c r="DE369" s="16"/>
      <c r="DF369" s="687"/>
      <c r="DG369" s="16"/>
      <c r="DH369" s="687"/>
      <c r="DI369" s="16"/>
      <c r="DJ369" s="687"/>
      <c r="DK369" s="16"/>
      <c r="DL369" s="507"/>
      <c r="DM369" s="16"/>
      <c r="DN369" s="507"/>
      <c r="DO369" s="16"/>
      <c r="DP369" s="507"/>
      <c r="DQ369" s="16"/>
      <c r="DR369" s="507"/>
      <c r="DS369" s="16"/>
      <c r="DT369" s="507"/>
      <c r="DU369" s="16"/>
      <c r="DV369" s="507"/>
      <c r="DW369" s="16"/>
      <c r="DX369" s="507"/>
      <c r="DY369" s="16"/>
      <c r="DZ369" s="507"/>
      <c r="EA369" s="16"/>
      <c r="EB369" s="507"/>
      <c r="EC369" s="16"/>
      <c r="ED369" s="507"/>
      <c r="EE369" s="16"/>
      <c r="EF369" s="507"/>
      <c r="EG369" s="16"/>
      <c r="EH369" s="507"/>
      <c r="EI369" s="16"/>
      <c r="EJ369" s="507"/>
      <c r="EK369" s="16"/>
      <c r="EL369" s="507"/>
      <c r="EM369" s="687"/>
    </row>
    <row r="370" spans="1:143" ht="12.75" hidden="1" customHeight="1" outlineLevel="2" x14ac:dyDescent="0.2">
      <c r="A370" s="700" t="str">
        <f>INPUT!B387</f>
        <v>Benefits and Expenses Analysis</v>
      </c>
      <c r="B370" s="16"/>
      <c r="C370" s="507"/>
      <c r="D370" s="16"/>
      <c r="E370" s="687"/>
      <c r="F370" s="16"/>
      <c r="G370" s="687"/>
      <c r="H370" s="16"/>
      <c r="I370" s="687"/>
      <c r="J370" s="16"/>
      <c r="K370" s="687"/>
      <c r="L370" s="16"/>
      <c r="M370" s="687"/>
      <c r="N370" s="16"/>
      <c r="O370" s="687"/>
      <c r="P370" s="16"/>
      <c r="Q370" s="687"/>
      <c r="R370" s="16"/>
      <c r="S370" s="687"/>
      <c r="T370" s="16"/>
      <c r="U370" s="687"/>
      <c r="V370" s="16"/>
      <c r="W370" s="687"/>
      <c r="X370" s="16"/>
      <c r="Y370" s="687"/>
      <c r="Z370" s="16"/>
      <c r="AA370" s="687"/>
      <c r="AB370" s="16"/>
      <c r="AC370" s="687"/>
      <c r="AD370" s="16"/>
      <c r="AE370" s="687"/>
      <c r="AF370" s="16"/>
      <c r="AG370" s="687"/>
      <c r="AH370" s="16"/>
      <c r="AI370" s="507"/>
      <c r="AJ370" s="16"/>
      <c r="AK370" s="507"/>
      <c r="AL370" s="16"/>
      <c r="AM370" s="507"/>
      <c r="AN370" s="16"/>
      <c r="AO370" s="507"/>
      <c r="AP370" s="16"/>
      <c r="AQ370" s="507"/>
      <c r="AR370" s="16"/>
      <c r="AS370" s="507"/>
      <c r="AT370" s="16"/>
      <c r="AU370" s="507"/>
      <c r="AV370" s="16"/>
      <c r="AW370" s="507"/>
      <c r="AX370" s="16"/>
      <c r="AY370" s="507"/>
      <c r="AZ370" s="16"/>
      <c r="BA370" s="507"/>
      <c r="BB370" s="16"/>
      <c r="BC370" s="507"/>
      <c r="BD370" s="16"/>
      <c r="BE370" s="507"/>
      <c r="BF370" s="16"/>
      <c r="BG370" s="507"/>
      <c r="BH370" s="16"/>
      <c r="BI370" s="507"/>
      <c r="BJ370" s="16"/>
      <c r="BK370" s="507"/>
      <c r="BL370" s="16"/>
      <c r="BM370" s="507"/>
      <c r="BN370" s="16"/>
      <c r="BO370" s="507"/>
      <c r="BP370" s="16"/>
      <c r="BQ370" s="507"/>
      <c r="BR370" s="16"/>
      <c r="BS370" s="507"/>
      <c r="BT370" s="16"/>
      <c r="BU370" s="507"/>
      <c r="BV370" s="16"/>
      <c r="BW370" s="507"/>
      <c r="BX370" s="16"/>
      <c r="BY370" s="507"/>
      <c r="BZ370" s="16"/>
      <c r="CA370" s="507"/>
      <c r="CB370" s="16"/>
      <c r="CC370" s="507"/>
      <c r="CD370" s="16"/>
      <c r="CE370" s="507"/>
      <c r="CF370" s="16"/>
      <c r="CG370" s="507"/>
      <c r="CH370" s="16"/>
      <c r="CI370" s="507"/>
      <c r="CJ370" s="16"/>
      <c r="CK370" s="507"/>
      <c r="CL370" s="16"/>
      <c r="CM370" s="507"/>
      <c r="CN370" s="16"/>
      <c r="CO370" s="507"/>
      <c r="CP370" s="16"/>
      <c r="CQ370" s="507"/>
      <c r="CR370" s="16"/>
      <c r="CS370" s="507"/>
      <c r="CT370" s="16"/>
      <c r="CU370" s="507"/>
      <c r="CV370" s="16"/>
      <c r="CW370" s="507"/>
      <c r="CX370" s="16"/>
      <c r="CY370" s="507"/>
      <c r="CZ370" s="16"/>
      <c r="DA370" s="507"/>
      <c r="DB370" s="507"/>
      <c r="DC370" s="16"/>
      <c r="DD370" s="687"/>
      <c r="DE370" s="16"/>
      <c r="DF370" s="687"/>
      <c r="DG370" s="16"/>
      <c r="DH370" s="687"/>
      <c r="DI370" s="16"/>
      <c r="DJ370" s="687"/>
      <c r="DK370" s="16"/>
      <c r="DL370" s="507"/>
      <c r="DM370" s="16"/>
      <c r="DN370" s="507"/>
      <c r="DO370" s="16"/>
      <c r="DP370" s="507"/>
      <c r="DQ370" s="16"/>
      <c r="DR370" s="507"/>
      <c r="DS370" s="16"/>
      <c r="DT370" s="507"/>
      <c r="DU370" s="16"/>
      <c r="DV370" s="507"/>
      <c r="DW370" s="16"/>
      <c r="DX370" s="507"/>
      <c r="DY370" s="16"/>
      <c r="DZ370" s="507"/>
      <c r="EA370" s="16"/>
      <c r="EB370" s="507"/>
      <c r="EC370" s="16"/>
      <c r="ED370" s="507"/>
      <c r="EE370" s="16"/>
      <c r="EF370" s="507"/>
      <c r="EG370" s="16"/>
      <c r="EH370" s="507"/>
      <c r="EI370" s="16"/>
      <c r="EJ370" s="507"/>
      <c r="EK370" s="16"/>
      <c r="EL370" s="507"/>
      <c r="EM370" s="687"/>
    </row>
    <row r="371" spans="1:143" ht="12.75" hidden="1" customHeight="1" outlineLevel="2" x14ac:dyDescent="0.2">
      <c r="A371" s="718" t="str">
        <f>INPUT!B388</f>
        <v>Acquisition Costs/Revenues (%)</v>
      </c>
      <c r="B371" s="464">
        <f>INPUT!AY388</f>
        <v>83.16618911174784</v>
      </c>
      <c r="C371" s="507">
        <f>INPUT!AZ388</f>
        <v>-11.262483656494293</v>
      </c>
      <c r="D371" s="464">
        <f>INPUT!BA388</f>
        <v>86.414253897550125</v>
      </c>
      <c r="E371" s="687">
        <f>INPUT!BB388</f>
        <v>-15.142092013126163</v>
      </c>
      <c r="F371" s="464">
        <f>INPUT!BC388</f>
        <v>85.683760683760681</v>
      </c>
      <c r="G371" s="687">
        <f>INPUT!BD388</f>
        <v>-8.1321070234113613</v>
      </c>
      <c r="H371" s="464">
        <f>INPUT!BE388</f>
        <v>84.754869039623898</v>
      </c>
      <c r="I371" s="687">
        <f>INPUT!BF388</f>
        <v>-5.1693772983229085</v>
      </c>
      <c r="J371" s="464">
        <f>INPUT!BG388</f>
        <v>83.01132578281144</v>
      </c>
      <c r="K371" s="687">
        <f>INPUT!BH388</f>
        <v>-0.18620948078830191</v>
      </c>
      <c r="L371" s="464">
        <f>INPUT!BI388</f>
        <v>88.145695364238406</v>
      </c>
      <c r="M371" s="687">
        <f>INPUT!BJ388</f>
        <v>2.0036526251109299</v>
      </c>
      <c r="N371" s="464">
        <f>INPUT!BK388</f>
        <v>77.281812125249843</v>
      </c>
      <c r="O371" s="687">
        <f>INPUT!BL388</f>
        <v>-9.8057653999577887</v>
      </c>
      <c r="P371" s="464">
        <f>INPUT!BM388</f>
        <v>69.640287769784166</v>
      </c>
      <c r="Q371" s="687">
        <f>INPUT!BN388</f>
        <v>-17.833289628202355</v>
      </c>
      <c r="R371" s="464">
        <f>INPUT!BO388</f>
        <v>83.956774729842053</v>
      </c>
      <c r="S371" s="687">
        <f>INPUT!BP388</f>
        <v>1.1389397026428272</v>
      </c>
      <c r="T371" s="464">
        <f>INPUT!BQ388</f>
        <v>81.094127111826225</v>
      </c>
      <c r="U371" s="687">
        <f>INPUT!BR388</f>
        <v>-7.9999008723834697</v>
      </c>
      <c r="V371" s="464">
        <f>INPUT!BS388</f>
        <v>92.629663330300261</v>
      </c>
      <c r="W371" s="687">
        <f>INPUT!BT388</f>
        <v>19.859590223086787</v>
      </c>
      <c r="X371" s="464">
        <f>INPUT!BU388</f>
        <v>107.57211538461537</v>
      </c>
      <c r="Y371" s="687">
        <f>INPUT!BV388</f>
        <v>54.468223537825807</v>
      </c>
      <c r="Z371" s="464">
        <f>INPUT!BW388</f>
        <v>95.726495726495727</v>
      </c>
      <c r="AA371" s="687">
        <f>INPUT!BX388</f>
        <v>14.01878649403403</v>
      </c>
      <c r="AB371" s="464">
        <f>INPUT!BY388</f>
        <v>89.192139737991269</v>
      </c>
      <c r="AC371" s="687">
        <f>INPUT!BZ388</f>
        <v>9.9859421570666065</v>
      </c>
      <c r="AD371" s="464"/>
      <c r="AE371" s="687"/>
      <c r="AF371" s="464"/>
      <c r="AG371" s="687"/>
      <c r="AH371" s="464"/>
      <c r="AI371" s="507"/>
      <c r="AJ371" s="464"/>
      <c r="AK371" s="507"/>
      <c r="AL371" s="464"/>
      <c r="AM371" s="507"/>
      <c r="AN371" s="464"/>
      <c r="AO371" s="507"/>
      <c r="AP371" s="464"/>
      <c r="AQ371" s="507"/>
      <c r="AR371" s="464"/>
      <c r="AS371" s="507"/>
      <c r="AT371" s="464"/>
      <c r="AU371" s="507"/>
      <c r="AV371" s="464"/>
      <c r="AW371" s="507"/>
      <c r="AX371" s="464"/>
      <c r="AY371" s="507"/>
      <c r="AZ371" s="464"/>
      <c r="BA371" s="507"/>
      <c r="BB371" s="464"/>
      <c r="BC371" s="507"/>
      <c r="BD371" s="464"/>
      <c r="BE371" s="507"/>
      <c r="BF371" s="464"/>
      <c r="BG371" s="507"/>
      <c r="BH371" s="464"/>
      <c r="BI371" s="507"/>
      <c r="BJ371" s="464"/>
      <c r="BK371" s="507"/>
      <c r="BL371" s="464"/>
      <c r="BM371" s="507"/>
      <c r="BN371" s="464"/>
      <c r="BO371" s="507"/>
      <c r="BP371" s="464"/>
      <c r="BQ371" s="507"/>
      <c r="BR371" s="464"/>
      <c r="BS371" s="507"/>
      <c r="BT371" s="464"/>
      <c r="BU371" s="507"/>
      <c r="BV371" s="464"/>
      <c r="BW371" s="507"/>
      <c r="BX371" s="464"/>
      <c r="BY371" s="507"/>
      <c r="BZ371" s="464"/>
      <c r="CA371" s="507"/>
      <c r="CB371" s="464"/>
      <c r="CC371" s="507"/>
      <c r="CD371" s="464"/>
      <c r="CE371" s="507"/>
      <c r="CF371" s="464"/>
      <c r="CG371" s="507"/>
      <c r="CH371" s="464"/>
      <c r="CI371" s="507"/>
      <c r="CJ371" s="464"/>
      <c r="CK371" s="507"/>
      <c r="CL371" s="464"/>
      <c r="CM371" s="507"/>
      <c r="CN371" s="464"/>
      <c r="CO371" s="507"/>
      <c r="CP371" s="464"/>
      <c r="CQ371" s="507"/>
      <c r="CR371" s="464"/>
      <c r="CS371" s="507"/>
      <c r="CT371" s="464"/>
      <c r="CU371" s="507"/>
      <c r="CV371" s="464"/>
      <c r="CW371" s="507"/>
      <c r="CX371" s="464"/>
      <c r="CY371" s="507"/>
      <c r="CZ371" s="464"/>
      <c r="DA371" s="507"/>
      <c r="DB371" s="507"/>
      <c r="DC371" s="464">
        <f>INPUT!FP388</f>
        <v>94.387218835400461</v>
      </c>
      <c r="DD371" s="687" t="str">
        <f>INPUT!FQ388</f>
        <v>NA</v>
      </c>
      <c r="DE371" s="464">
        <f>INPUT!FR388</f>
        <v>84.989354151880761</v>
      </c>
      <c r="DF371" s="687">
        <f>INPUT!FS388</f>
        <v>-9.9567132070163105</v>
      </c>
      <c r="DG371" s="464">
        <f>INPUT!FT388</f>
        <v>79.718739410369352</v>
      </c>
      <c r="DH371" s="687">
        <f>INPUT!FU388</f>
        <v>-6.2014999338535048</v>
      </c>
      <c r="DI371" s="464">
        <f>INPUT!FV388</f>
        <v>89.810372401188019</v>
      </c>
      <c r="DJ371" s="687">
        <f>INPUT!FW388</f>
        <v>12.659047377643319</v>
      </c>
      <c r="DK371" s="464">
        <f>INPUT!FX388</f>
        <v>92.276657060518744</v>
      </c>
      <c r="DL371" s="507">
        <f>INPUT!FY388</f>
        <v>2.7461022523252554</v>
      </c>
      <c r="DM371" s="464"/>
      <c r="DN371" s="507"/>
      <c r="DO371" s="464"/>
      <c r="DP371" s="507"/>
      <c r="DQ371" s="464"/>
      <c r="DR371" s="507"/>
      <c r="DS371" s="464"/>
      <c r="DT371" s="507"/>
      <c r="DU371" s="464"/>
      <c r="DV371" s="507"/>
      <c r="DW371" s="464"/>
      <c r="DX371" s="507"/>
      <c r="DY371" s="464"/>
      <c r="DZ371" s="507"/>
      <c r="EA371" s="464"/>
      <c r="EB371" s="507"/>
      <c r="EC371" s="464"/>
      <c r="ED371" s="507"/>
      <c r="EE371" s="464"/>
      <c r="EF371" s="507"/>
      <c r="EG371" s="464"/>
      <c r="EH371" s="507"/>
      <c r="EI371" s="464"/>
      <c r="EJ371" s="507"/>
      <c r="EK371" s="464"/>
      <c r="EL371" s="507"/>
      <c r="EM371" s="687"/>
    </row>
    <row r="372" spans="1:143" ht="12.75" hidden="1" customHeight="1" outlineLevel="2" x14ac:dyDescent="0.2">
      <c r="A372" s="701"/>
      <c r="B372" s="16"/>
      <c r="C372" s="507"/>
      <c r="D372" s="16"/>
      <c r="E372" s="687"/>
      <c r="F372" s="16"/>
      <c r="G372" s="687"/>
      <c r="H372" s="16"/>
      <c r="I372" s="687"/>
      <c r="J372" s="16"/>
      <c r="K372" s="507"/>
      <c r="L372" s="16"/>
      <c r="M372" s="507"/>
      <c r="N372" s="16"/>
      <c r="O372" s="507"/>
      <c r="P372" s="16"/>
      <c r="Q372" s="507"/>
      <c r="R372" s="16"/>
      <c r="S372" s="507"/>
      <c r="T372" s="16"/>
      <c r="U372" s="507"/>
      <c r="V372" s="16"/>
      <c r="W372" s="507"/>
      <c r="X372" s="16"/>
      <c r="Y372" s="507"/>
      <c r="Z372" s="16"/>
      <c r="AA372" s="507"/>
      <c r="AB372" s="16"/>
      <c r="AC372" s="507"/>
      <c r="AD372" s="16"/>
      <c r="AE372" s="507"/>
      <c r="AF372" s="16"/>
      <c r="AG372" s="507"/>
      <c r="AH372" s="16"/>
      <c r="AI372" s="507"/>
      <c r="AJ372" s="16"/>
      <c r="AK372" s="507"/>
      <c r="AL372" s="16"/>
      <c r="AM372" s="507"/>
      <c r="AN372" s="16"/>
      <c r="AO372" s="507"/>
      <c r="AP372" s="16"/>
      <c r="AQ372" s="507"/>
      <c r="AR372" s="16"/>
      <c r="AS372" s="507"/>
      <c r="AT372" s="16"/>
      <c r="AU372" s="507"/>
      <c r="AV372" s="16"/>
      <c r="AW372" s="507"/>
      <c r="AX372" s="16"/>
      <c r="AY372" s="507"/>
      <c r="AZ372" s="16"/>
      <c r="BA372" s="507"/>
      <c r="BB372" s="16"/>
      <c r="BC372" s="507"/>
      <c r="BD372" s="16"/>
      <c r="BE372" s="507"/>
      <c r="BF372" s="16"/>
      <c r="BG372" s="507"/>
      <c r="BH372" s="16"/>
      <c r="BI372" s="507"/>
      <c r="BJ372" s="16"/>
      <c r="BK372" s="507"/>
      <c r="BL372" s="16"/>
      <c r="BM372" s="507"/>
      <c r="BN372" s="16"/>
      <c r="BO372" s="507"/>
      <c r="BP372" s="16"/>
      <c r="BQ372" s="507"/>
      <c r="BR372" s="16"/>
      <c r="BS372" s="507"/>
      <c r="BT372" s="16"/>
      <c r="BU372" s="507"/>
      <c r="BV372" s="16"/>
      <c r="BW372" s="507"/>
      <c r="BX372" s="16"/>
      <c r="BY372" s="507"/>
      <c r="BZ372" s="16"/>
      <c r="CA372" s="507"/>
      <c r="CB372" s="16"/>
      <c r="CC372" s="507"/>
      <c r="CD372" s="16"/>
      <c r="CE372" s="507"/>
      <c r="CF372" s="16"/>
      <c r="CG372" s="507"/>
      <c r="CH372" s="16"/>
      <c r="CI372" s="507"/>
      <c r="CJ372" s="16"/>
      <c r="CK372" s="507"/>
      <c r="CL372" s="16"/>
      <c r="CM372" s="507"/>
      <c r="CN372" s="16"/>
      <c r="CO372" s="507"/>
      <c r="CP372" s="16"/>
      <c r="CQ372" s="507"/>
      <c r="CR372" s="16"/>
      <c r="CS372" s="507"/>
      <c r="CT372" s="16"/>
      <c r="CU372" s="507"/>
      <c r="CV372" s="16"/>
      <c r="CW372" s="507"/>
      <c r="CX372" s="16"/>
      <c r="CY372" s="507"/>
      <c r="CZ372" s="16"/>
      <c r="DA372" s="507"/>
      <c r="DB372" s="507"/>
      <c r="DC372" s="16"/>
      <c r="DD372" s="507"/>
      <c r="DE372" s="16"/>
      <c r="DF372" s="507"/>
      <c r="DG372" s="16"/>
      <c r="DH372" s="507"/>
      <c r="DI372" s="16"/>
      <c r="DJ372" s="507"/>
      <c r="DK372" s="16"/>
      <c r="DL372" s="507"/>
      <c r="DM372" s="16"/>
      <c r="DN372" s="507"/>
      <c r="DO372" s="16"/>
      <c r="DP372" s="507"/>
      <c r="DQ372" s="16"/>
      <c r="DR372" s="507"/>
      <c r="DS372" s="16"/>
      <c r="DT372" s="507"/>
      <c r="DU372" s="16"/>
      <c r="DV372" s="507"/>
      <c r="DW372" s="16"/>
      <c r="DX372" s="507"/>
      <c r="DY372" s="16"/>
      <c r="DZ372" s="507"/>
      <c r="EA372" s="16"/>
      <c r="EB372" s="507"/>
      <c r="EC372" s="16"/>
      <c r="ED372" s="507"/>
      <c r="EE372" s="16"/>
      <c r="EF372" s="507"/>
      <c r="EG372" s="16"/>
      <c r="EH372" s="507"/>
      <c r="EI372" s="16"/>
      <c r="EJ372" s="507"/>
      <c r="EK372" s="16"/>
      <c r="EL372" s="507"/>
      <c r="EM372" s="687"/>
    </row>
    <row r="373" spans="1:143" ht="12.75" hidden="1" customHeight="1" outlineLevel="2" x14ac:dyDescent="0.2">
      <c r="A373" s="689" t="str">
        <f>+A51</f>
        <v xml:space="preserve">Quarterly income statement ratios are annualized where appropriate     NM = Not Meaningful       NA = Not Applicable </v>
      </c>
      <c r="B373" s="16"/>
      <c r="C373" s="507"/>
      <c r="D373" s="16"/>
      <c r="E373" s="687"/>
      <c r="F373" s="16"/>
      <c r="G373" s="687"/>
      <c r="H373" s="16"/>
      <c r="I373" s="687"/>
      <c r="J373" s="16"/>
      <c r="K373" s="507"/>
      <c r="L373" s="16"/>
      <c r="M373" s="507"/>
      <c r="N373" s="16"/>
      <c r="O373" s="507"/>
      <c r="P373" s="16"/>
      <c r="Q373" s="507"/>
      <c r="R373" s="16"/>
      <c r="S373" s="507"/>
      <c r="T373" s="16"/>
      <c r="U373" s="507"/>
      <c r="V373" s="16"/>
      <c r="W373" s="507"/>
      <c r="X373" s="16"/>
      <c r="Y373" s="507"/>
      <c r="Z373" s="16"/>
      <c r="AA373" s="507"/>
      <c r="AB373" s="16"/>
      <c r="AC373" s="507"/>
      <c r="AD373" s="16"/>
      <c r="AE373" s="507"/>
      <c r="AF373" s="16"/>
      <c r="AG373" s="507"/>
      <c r="AH373" s="16"/>
      <c r="AI373" s="507"/>
      <c r="AJ373" s="16"/>
      <c r="AK373" s="507"/>
      <c r="AL373" s="16"/>
      <c r="AM373" s="507"/>
      <c r="AN373" s="16"/>
      <c r="AO373" s="507"/>
      <c r="AP373" s="16"/>
      <c r="AQ373" s="507"/>
      <c r="AR373" s="16"/>
      <c r="AS373" s="507"/>
      <c r="AT373" s="16"/>
      <c r="AU373" s="507"/>
      <c r="AV373" s="16"/>
      <c r="AW373" s="507"/>
      <c r="AX373" s="16"/>
      <c r="AY373" s="507"/>
      <c r="AZ373" s="16"/>
      <c r="BA373" s="507"/>
      <c r="BB373" s="16"/>
      <c r="BC373" s="507"/>
      <c r="BD373" s="16"/>
      <c r="BE373" s="507"/>
      <c r="BF373" s="16"/>
      <c r="BG373" s="507"/>
      <c r="BH373" s="16"/>
      <c r="BI373" s="507"/>
      <c r="BJ373" s="16"/>
      <c r="BK373" s="507"/>
      <c r="BL373" s="16"/>
      <c r="BM373" s="507"/>
      <c r="BN373" s="16"/>
      <c r="BO373" s="507"/>
      <c r="BP373" s="16"/>
      <c r="BQ373" s="507"/>
      <c r="BR373" s="16"/>
      <c r="BS373" s="507"/>
      <c r="BT373" s="16"/>
      <c r="BU373" s="507"/>
      <c r="BV373" s="16"/>
      <c r="BW373" s="507"/>
      <c r="BX373" s="16"/>
      <c r="BY373" s="507"/>
      <c r="BZ373" s="16"/>
      <c r="CA373" s="507"/>
      <c r="CB373" s="16"/>
      <c r="CC373" s="507"/>
      <c r="CD373" s="16"/>
      <c r="CE373" s="507"/>
      <c r="CF373" s="16"/>
      <c r="CG373" s="507"/>
      <c r="CH373" s="16"/>
      <c r="CI373" s="507"/>
      <c r="CJ373" s="16"/>
      <c r="CK373" s="507"/>
      <c r="CL373" s="16"/>
      <c r="CM373" s="507"/>
      <c r="CN373" s="16"/>
      <c r="CO373" s="507"/>
      <c r="CP373" s="16"/>
      <c r="CQ373" s="507"/>
      <c r="CR373" s="16"/>
      <c r="CS373" s="507"/>
      <c r="CT373" s="16"/>
      <c r="CU373" s="507"/>
      <c r="CV373" s="16"/>
      <c r="CW373" s="507"/>
      <c r="CX373" s="16"/>
      <c r="CY373" s="507"/>
      <c r="CZ373" s="16"/>
      <c r="DA373" s="507"/>
      <c r="DB373" s="507"/>
      <c r="DC373" s="16"/>
      <c r="DD373" s="507"/>
      <c r="DE373" s="16"/>
      <c r="DF373" s="507"/>
      <c r="DG373" s="16"/>
      <c r="DH373" s="507"/>
      <c r="DI373" s="16"/>
      <c r="DJ373" s="507"/>
      <c r="DK373" s="16"/>
      <c r="DL373" s="507"/>
      <c r="DM373" s="16"/>
      <c r="DN373" s="507"/>
      <c r="DO373" s="16"/>
      <c r="DP373" s="507"/>
      <c r="DQ373" s="16"/>
      <c r="DR373" s="507"/>
      <c r="DS373" s="16"/>
      <c r="DT373" s="507"/>
      <c r="DU373" s="16"/>
      <c r="DV373" s="507"/>
      <c r="DW373" s="16"/>
      <c r="DX373" s="507"/>
      <c r="DY373" s="16"/>
      <c r="DZ373" s="507"/>
      <c r="EA373" s="16"/>
      <c r="EB373" s="507"/>
      <c r="EC373" s="16"/>
      <c r="ED373" s="507"/>
      <c r="EE373" s="16"/>
      <c r="EF373" s="507"/>
      <c r="EG373" s="16"/>
      <c r="EH373" s="507"/>
      <c r="EI373" s="16"/>
      <c r="EJ373" s="507"/>
      <c r="EK373" s="16"/>
      <c r="EL373" s="507"/>
      <c r="EM373" s="687"/>
    </row>
    <row r="374" spans="1:143" ht="12.75" hidden="1" customHeight="1" outlineLevel="2" x14ac:dyDescent="0.2">
      <c r="A374" s="689" t="s">
        <v>138</v>
      </c>
      <c r="B374" s="16"/>
      <c r="C374" s="507"/>
      <c r="D374" s="16"/>
      <c r="E374" s="687"/>
      <c r="F374" s="16"/>
      <c r="G374" s="687"/>
      <c r="H374" s="16"/>
      <c r="I374" s="687"/>
      <c r="J374" s="16"/>
      <c r="K374" s="507"/>
      <c r="L374" s="16"/>
      <c r="M374" s="507"/>
      <c r="N374" s="16"/>
      <c r="O374" s="507"/>
      <c r="P374" s="16"/>
      <c r="Q374" s="507"/>
      <c r="R374" s="16"/>
      <c r="S374" s="507"/>
      <c r="T374" s="16"/>
      <c r="U374" s="507"/>
      <c r="V374" s="16"/>
      <c r="W374" s="507"/>
      <c r="X374" s="16"/>
      <c r="Y374" s="507"/>
      <c r="Z374" s="16"/>
      <c r="AA374" s="507"/>
      <c r="AB374" s="16"/>
      <c r="AC374" s="507"/>
      <c r="AD374" s="16"/>
      <c r="AE374" s="507"/>
      <c r="AF374" s="16"/>
      <c r="AG374" s="507"/>
      <c r="AH374" s="16"/>
      <c r="AI374" s="507"/>
      <c r="AJ374" s="16"/>
      <c r="AK374" s="507"/>
      <c r="AL374" s="16"/>
      <c r="AM374" s="507"/>
      <c r="AN374" s="16"/>
      <c r="AO374" s="507"/>
      <c r="AP374" s="16"/>
      <c r="AQ374" s="507"/>
      <c r="AR374" s="16"/>
      <c r="AS374" s="507"/>
      <c r="AT374" s="16"/>
      <c r="AU374" s="507"/>
      <c r="AV374" s="16"/>
      <c r="AW374" s="507"/>
      <c r="AX374" s="16"/>
      <c r="AY374" s="507"/>
      <c r="AZ374" s="16"/>
      <c r="BA374" s="507"/>
      <c r="BB374" s="16"/>
      <c r="BC374" s="507"/>
      <c r="BD374" s="16"/>
      <c r="BE374" s="507"/>
      <c r="BF374" s="16"/>
      <c r="BG374" s="507"/>
      <c r="BH374" s="16"/>
      <c r="BI374" s="507"/>
      <c r="BJ374" s="16"/>
      <c r="BK374" s="507"/>
      <c r="BL374" s="16"/>
      <c r="BM374" s="507"/>
      <c r="BN374" s="16"/>
      <c r="BO374" s="507"/>
      <c r="BP374" s="16"/>
      <c r="BQ374" s="507"/>
      <c r="BR374" s="16"/>
      <c r="BS374" s="507"/>
      <c r="BT374" s="16"/>
      <c r="BU374" s="507"/>
      <c r="BV374" s="16"/>
      <c r="BW374" s="507"/>
      <c r="BX374" s="16"/>
      <c r="BY374" s="507"/>
      <c r="BZ374" s="16"/>
      <c r="CA374" s="507"/>
      <c r="CB374" s="16"/>
      <c r="CC374" s="507"/>
      <c r="CD374" s="16"/>
      <c r="CE374" s="507"/>
      <c r="CF374" s="16"/>
      <c r="CG374" s="507"/>
      <c r="CH374" s="16"/>
      <c r="CI374" s="507"/>
      <c r="CJ374" s="16"/>
      <c r="CK374" s="507"/>
      <c r="CL374" s="16"/>
      <c r="CM374" s="507"/>
      <c r="CN374" s="16"/>
      <c r="CO374" s="507"/>
      <c r="CP374" s="16"/>
      <c r="CQ374" s="507"/>
      <c r="CR374" s="16"/>
      <c r="CS374" s="507"/>
      <c r="CT374" s="16"/>
      <c r="CU374" s="507"/>
      <c r="CV374" s="16"/>
      <c r="CW374" s="507"/>
      <c r="CX374" s="16"/>
      <c r="CY374" s="507"/>
      <c r="CZ374" s="16"/>
      <c r="DA374" s="507"/>
      <c r="DB374" s="507"/>
      <c r="DC374" s="16"/>
      <c r="DD374" s="507"/>
      <c r="DE374" s="16"/>
      <c r="DF374" s="507"/>
      <c r="DG374" s="16"/>
      <c r="DH374" s="507"/>
      <c r="DI374" s="16"/>
      <c r="DJ374" s="507"/>
      <c r="DK374" s="16"/>
      <c r="DL374" s="507"/>
      <c r="DM374" s="16"/>
      <c r="DN374" s="507"/>
      <c r="DO374" s="16"/>
      <c r="DP374" s="507"/>
      <c r="DQ374" s="16"/>
      <c r="DR374" s="507"/>
      <c r="DS374" s="16"/>
      <c r="DT374" s="507"/>
      <c r="DU374" s="16"/>
      <c r="DV374" s="507"/>
      <c r="DW374" s="16"/>
      <c r="DX374" s="507"/>
      <c r="DY374" s="16"/>
      <c r="DZ374" s="507"/>
      <c r="EA374" s="16"/>
      <c r="EB374" s="507"/>
      <c r="EC374" s="16"/>
      <c r="ED374" s="507"/>
      <c r="EE374" s="16"/>
      <c r="EF374" s="507"/>
      <c r="EG374" s="16"/>
      <c r="EH374" s="507"/>
      <c r="EI374" s="16"/>
      <c r="EJ374" s="507"/>
      <c r="EK374" s="16"/>
      <c r="EL374" s="507"/>
      <c r="EM374" s="687"/>
    </row>
    <row r="375" spans="1:143" ht="12.75" hidden="1" customHeight="1" outlineLevel="2" x14ac:dyDescent="0.2">
      <c r="A375" s="701"/>
      <c r="B375" s="16"/>
      <c r="C375" s="762"/>
      <c r="D375" s="16"/>
      <c r="E375" s="702"/>
      <c r="F375" s="16"/>
      <c r="G375" s="702"/>
      <c r="H375" s="16"/>
      <c r="I375" s="702"/>
      <c r="J375" s="16"/>
      <c r="K375" s="762"/>
      <c r="L375" s="16"/>
      <c r="M375" s="762"/>
      <c r="N375" s="16"/>
      <c r="O375" s="762"/>
      <c r="P375" s="16"/>
      <c r="Q375" s="762"/>
      <c r="R375" s="16"/>
      <c r="S375" s="762"/>
      <c r="T375" s="16"/>
      <c r="U375" s="762"/>
      <c r="V375" s="16"/>
      <c r="W375" s="762"/>
      <c r="X375" s="16"/>
      <c r="Y375" s="762"/>
      <c r="Z375" s="16"/>
      <c r="AA375" s="762"/>
      <c r="AB375" s="16"/>
      <c r="AC375" s="762"/>
      <c r="AD375" s="16"/>
      <c r="AE375" s="762"/>
      <c r="AF375" s="16"/>
      <c r="AG375" s="762"/>
      <c r="AH375" s="16"/>
      <c r="AI375" s="762"/>
      <c r="AJ375" s="16"/>
      <c r="AK375" s="762"/>
      <c r="AL375" s="16"/>
      <c r="AM375" s="762"/>
      <c r="AN375" s="16"/>
      <c r="AO375" s="762"/>
      <c r="AP375" s="16"/>
      <c r="AQ375" s="762"/>
      <c r="AR375" s="16"/>
      <c r="AS375" s="762"/>
      <c r="AT375" s="16"/>
      <c r="AU375" s="762"/>
      <c r="AV375" s="16"/>
      <c r="AW375" s="762"/>
      <c r="AX375" s="16"/>
      <c r="AY375" s="762"/>
      <c r="AZ375" s="16"/>
      <c r="BA375" s="762"/>
      <c r="BB375" s="16"/>
      <c r="BC375" s="762"/>
      <c r="BD375" s="16"/>
      <c r="BE375" s="762"/>
      <c r="BF375" s="16"/>
      <c r="BG375" s="762"/>
      <c r="BH375" s="16"/>
      <c r="BI375" s="762"/>
      <c r="BJ375" s="16"/>
      <c r="BK375" s="762"/>
      <c r="BL375" s="16"/>
      <c r="BM375" s="762"/>
      <c r="BN375" s="16"/>
      <c r="BO375" s="762"/>
      <c r="BP375" s="16"/>
      <c r="BQ375" s="762"/>
      <c r="BR375" s="16"/>
      <c r="BS375" s="762"/>
      <c r="BT375" s="16"/>
      <c r="BU375" s="762"/>
      <c r="BV375" s="16"/>
      <c r="BW375" s="762"/>
      <c r="BX375" s="16"/>
      <c r="BY375" s="762"/>
      <c r="BZ375" s="16"/>
      <c r="CA375" s="762"/>
      <c r="CB375" s="16"/>
      <c r="CC375" s="762"/>
      <c r="CD375" s="16"/>
      <c r="CE375" s="762"/>
      <c r="CF375" s="16"/>
      <c r="CG375" s="762"/>
      <c r="CH375" s="16"/>
      <c r="CI375" s="762"/>
      <c r="CJ375" s="16"/>
      <c r="CK375" s="762"/>
      <c r="CL375" s="16"/>
      <c r="CM375" s="762"/>
      <c r="CN375" s="16"/>
      <c r="CO375" s="762"/>
      <c r="CP375" s="16"/>
      <c r="CQ375" s="762"/>
      <c r="CR375" s="16"/>
      <c r="CS375" s="762"/>
      <c r="CT375" s="16"/>
      <c r="CU375" s="762"/>
      <c r="CV375" s="16"/>
      <c r="CW375" s="762"/>
      <c r="CX375" s="16"/>
      <c r="CY375" s="762"/>
      <c r="CZ375" s="16"/>
      <c r="DA375" s="762"/>
      <c r="DB375" s="762"/>
      <c r="DC375" s="16"/>
      <c r="DD375" s="762"/>
      <c r="DE375" s="16"/>
      <c r="DF375" s="762"/>
      <c r="DG375" s="16"/>
      <c r="DH375" s="762"/>
      <c r="DI375" s="16"/>
      <c r="DJ375" s="762"/>
      <c r="DK375" s="16"/>
      <c r="DL375" s="762"/>
      <c r="DM375" s="16"/>
      <c r="DN375" s="762"/>
      <c r="DO375" s="16"/>
      <c r="DP375" s="762"/>
      <c r="DQ375" s="16"/>
      <c r="DR375" s="762"/>
      <c r="DS375" s="16"/>
      <c r="DT375" s="762"/>
      <c r="DU375" s="16"/>
      <c r="DV375" s="762"/>
      <c r="DW375" s="16"/>
      <c r="DX375" s="762"/>
      <c r="DY375" s="16"/>
      <c r="DZ375" s="762"/>
      <c r="EA375" s="16"/>
      <c r="EB375" s="762"/>
      <c r="EC375" s="16"/>
      <c r="ED375" s="762"/>
      <c r="EE375" s="16"/>
      <c r="EF375" s="762"/>
      <c r="EG375" s="16"/>
      <c r="EH375" s="762"/>
      <c r="EI375" s="16"/>
      <c r="EJ375" s="762"/>
      <c r="EK375" s="16"/>
      <c r="EL375" s="762"/>
      <c r="EM375" s="702"/>
    </row>
    <row r="376" spans="1:143" ht="21.95" hidden="1" customHeight="1" outlineLevel="2" x14ac:dyDescent="0.2">
      <c r="A376" s="763" t="str">
        <f>$A$1</f>
        <v>Lincoln National</v>
      </c>
    </row>
    <row r="377" spans="1:143" ht="12.75" hidden="1" customHeight="1" outlineLevel="2" x14ac:dyDescent="0.2">
      <c r="A377" s="685" t="s">
        <v>288</v>
      </c>
      <c r="B377" s="4"/>
      <c r="C377" s="496"/>
      <c r="D377" s="4"/>
      <c r="E377" s="686"/>
      <c r="F377" s="4"/>
      <c r="G377" s="686"/>
      <c r="H377" s="4"/>
      <c r="I377" s="686"/>
      <c r="J377" s="4"/>
      <c r="K377" s="496"/>
      <c r="L377" s="4"/>
      <c r="M377" s="496"/>
      <c r="N377" s="4"/>
      <c r="O377" s="496"/>
      <c r="P377" s="4"/>
      <c r="Q377" s="496"/>
      <c r="R377" s="4"/>
      <c r="S377" s="496"/>
      <c r="T377" s="4"/>
      <c r="U377" s="496"/>
      <c r="V377" s="4"/>
      <c r="W377" s="496"/>
      <c r="X377" s="4"/>
      <c r="Y377" s="496"/>
      <c r="Z377" s="4"/>
      <c r="AA377" s="496"/>
      <c r="AB377" s="4"/>
      <c r="AC377" s="496"/>
      <c r="AD377" s="4"/>
      <c r="AE377" s="496"/>
      <c r="AF377" s="4"/>
      <c r="AG377" s="496"/>
      <c r="AH377" s="4"/>
      <c r="AI377" s="496"/>
      <c r="AJ377" s="4"/>
      <c r="AK377" s="496"/>
      <c r="AL377" s="4"/>
      <c r="AM377" s="496"/>
      <c r="AN377" s="4"/>
      <c r="AO377" s="496"/>
      <c r="AP377" s="4"/>
      <c r="AQ377" s="496"/>
      <c r="AR377" s="4"/>
      <c r="AS377" s="496"/>
      <c r="AT377" s="4"/>
      <c r="AU377" s="496"/>
      <c r="AV377" s="4"/>
      <c r="AW377" s="496"/>
      <c r="AX377" s="4"/>
      <c r="AY377" s="496"/>
      <c r="AZ377" s="4"/>
      <c r="BA377" s="496"/>
      <c r="BB377" s="4"/>
      <c r="BC377" s="496"/>
      <c r="BD377" s="4"/>
      <c r="BE377" s="496"/>
      <c r="BF377" s="4"/>
      <c r="BG377" s="496"/>
      <c r="BH377" s="4"/>
      <c r="BI377" s="496"/>
      <c r="BJ377" s="4"/>
      <c r="BK377" s="496"/>
      <c r="BL377" s="4"/>
      <c r="BM377" s="496"/>
      <c r="BN377" s="4"/>
      <c r="BO377" s="496"/>
      <c r="BP377" s="4"/>
      <c r="BQ377" s="496"/>
      <c r="BR377" s="4"/>
      <c r="BS377" s="496"/>
      <c r="BT377" s="4"/>
      <c r="BU377" s="496"/>
      <c r="BV377" s="4"/>
      <c r="BW377" s="496"/>
      <c r="BX377" s="4"/>
      <c r="BY377" s="496"/>
      <c r="BZ377" s="4"/>
      <c r="CA377" s="496"/>
      <c r="CB377" s="4"/>
      <c r="CC377" s="496"/>
      <c r="CD377" s="4"/>
      <c r="CE377" s="496"/>
      <c r="CF377" s="4"/>
      <c r="CG377" s="496"/>
      <c r="CH377" s="4"/>
      <c r="CI377" s="496"/>
      <c r="CJ377" s="4"/>
      <c r="CK377" s="496"/>
      <c r="CL377" s="4"/>
      <c r="CM377" s="496"/>
      <c r="CN377" s="4"/>
      <c r="CO377" s="496"/>
      <c r="CP377" s="4"/>
      <c r="CQ377" s="496"/>
      <c r="CR377" s="4"/>
      <c r="CS377" s="496"/>
      <c r="CT377" s="4"/>
      <c r="CU377" s="496"/>
      <c r="CV377" s="4"/>
      <c r="CW377" s="496"/>
      <c r="CX377" s="4"/>
      <c r="CY377" s="496"/>
      <c r="CZ377" s="4"/>
      <c r="DA377" s="496"/>
      <c r="DB377" s="496"/>
      <c r="DC377" s="4"/>
      <c r="DD377" s="496"/>
      <c r="DE377" s="4"/>
      <c r="DF377" s="496"/>
      <c r="DG377" s="4"/>
      <c r="DH377" s="496"/>
      <c r="DI377" s="4"/>
      <c r="DJ377" s="496"/>
      <c r="DK377" s="4"/>
      <c r="DL377" s="496"/>
      <c r="DM377" s="4"/>
      <c r="DN377" s="496"/>
      <c r="DO377" s="4"/>
      <c r="DP377" s="496"/>
      <c r="DQ377" s="4"/>
      <c r="DR377" s="496"/>
      <c r="DS377" s="4"/>
      <c r="DT377" s="496"/>
      <c r="DU377" s="4"/>
      <c r="DV377" s="496"/>
      <c r="DW377" s="4"/>
      <c r="DX377" s="496"/>
      <c r="DY377" s="4"/>
      <c r="DZ377" s="496"/>
      <c r="EA377" s="4"/>
      <c r="EB377" s="496"/>
      <c r="EC377" s="4"/>
      <c r="ED377" s="496"/>
      <c r="EE377" s="4"/>
      <c r="EF377" s="496"/>
      <c r="EG377" s="4"/>
      <c r="EH377" s="496"/>
      <c r="EI377" s="4"/>
      <c r="EJ377" s="496"/>
      <c r="EK377" s="4"/>
      <c r="EL377" s="496"/>
      <c r="EM377" s="686"/>
    </row>
    <row r="378" spans="1:143" s="3" customFormat="1" ht="12.75" hidden="1" customHeight="1" outlineLevel="2" x14ac:dyDescent="0.2">
      <c r="A378" s="703" t="str">
        <f>A$3</f>
        <v>($Millions Except Per Share Data)</v>
      </c>
      <c r="B378" s="704"/>
      <c r="C378" s="724"/>
      <c r="D378" s="704"/>
      <c r="E378" s="724" t="str">
        <f>E$3</f>
        <v>2Q06/</v>
      </c>
      <c r="F378" s="704"/>
      <c r="G378" s="724" t="str">
        <f>G$3</f>
        <v>3Q06/</v>
      </c>
      <c r="H378" s="704"/>
      <c r="I378" s="724" t="str">
        <f>I$3</f>
        <v>4Q06/</v>
      </c>
      <c r="J378" s="724"/>
      <c r="K378" s="724" t="str">
        <f>K$3</f>
        <v>1Q07/</v>
      </c>
      <c r="L378" s="704"/>
      <c r="M378" s="724" t="str">
        <f>M$3</f>
        <v>2Q07/</v>
      </c>
      <c r="N378" s="704"/>
      <c r="O378" s="724" t="str">
        <f>O$3</f>
        <v>3Q07/</v>
      </c>
      <c r="P378" s="704"/>
      <c r="Q378" s="724" t="str">
        <f>Q$3</f>
        <v>4Q07/</v>
      </c>
      <c r="R378" s="704"/>
      <c r="S378" s="724" t="str">
        <f>S$3</f>
        <v>1Q08/</v>
      </c>
      <c r="T378" s="704"/>
      <c r="U378" s="724" t="str">
        <f>U$3</f>
        <v>2Q08/</v>
      </c>
      <c r="V378" s="704"/>
      <c r="W378" s="724" t="str">
        <f>W$3</f>
        <v>3Q08/</v>
      </c>
      <c r="X378" s="704"/>
      <c r="Y378" s="724" t="str">
        <f>Y$3</f>
        <v>4Q08/</v>
      </c>
      <c r="Z378" s="704"/>
      <c r="AA378" s="724" t="str">
        <f>AA$3</f>
        <v>1Q09/</v>
      </c>
      <c r="AB378" s="704"/>
      <c r="AC378" s="724" t="str">
        <f>AC$3</f>
        <v>2Q09/</v>
      </c>
      <c r="AD378" s="704"/>
      <c r="AE378" s="724" t="str">
        <f>AE$3</f>
        <v>3Q09/</v>
      </c>
      <c r="AF378" s="704"/>
      <c r="AG378" s="724" t="str">
        <f>AG$3</f>
        <v>4Q09/</v>
      </c>
      <c r="AH378" s="704"/>
      <c r="AI378" s="724" t="str">
        <f>AI$3</f>
        <v>1Q10/</v>
      </c>
      <c r="AJ378" s="704"/>
      <c r="AK378" s="724" t="str">
        <f>AK$3</f>
        <v>2Q10/</v>
      </c>
      <c r="AL378" s="704"/>
      <c r="AM378" s="724" t="str">
        <f>AM$3</f>
        <v>3Q10/</v>
      </c>
      <c r="AN378" s="704"/>
      <c r="AO378" s="724" t="str">
        <f>AO$3</f>
        <v>4Q10/</v>
      </c>
      <c r="AP378" s="704"/>
      <c r="AQ378" s="724" t="str">
        <f>AQ$3</f>
        <v>1Q11/</v>
      </c>
      <c r="AR378" s="704"/>
      <c r="AS378" s="724" t="str">
        <f>AS$3</f>
        <v>2Q11/</v>
      </c>
      <c r="AT378" s="704"/>
      <c r="AU378" s="724" t="str">
        <f>AU$3</f>
        <v>3Q11/</v>
      </c>
      <c r="AV378" s="704"/>
      <c r="AW378" s="724" t="str">
        <f>AW$3</f>
        <v>4Q11/</v>
      </c>
      <c r="AX378" s="704"/>
      <c r="AY378" s="724" t="str">
        <f>AY$3</f>
        <v>1Q12/</v>
      </c>
      <c r="AZ378" s="704"/>
      <c r="BA378" s="724" t="str">
        <f>BA$3</f>
        <v>2Q12/</v>
      </c>
      <c r="BB378" s="704"/>
      <c r="BC378" s="724" t="str">
        <f>BC$3</f>
        <v>3Q12/</v>
      </c>
      <c r="BD378" s="704"/>
      <c r="BE378" s="724" t="str">
        <f>BE$3</f>
        <v>4Q12/</v>
      </c>
      <c r="BF378" s="704"/>
      <c r="BG378" s="724" t="str">
        <f>BG$3</f>
        <v>1Q13/</v>
      </c>
      <c r="BH378" s="704"/>
      <c r="BI378" s="724" t="str">
        <f>BI$3</f>
        <v>2Q13/</v>
      </c>
      <c r="BJ378" s="704"/>
      <c r="BK378" s="724" t="str">
        <f>BK$3</f>
        <v>3Q13/</v>
      </c>
      <c r="BL378" s="704"/>
      <c r="BM378" s="724" t="str">
        <f>BM$3</f>
        <v>4Q13/</v>
      </c>
      <c r="BN378" s="704"/>
      <c r="BO378" s="724" t="str">
        <f>BO$3</f>
        <v>1Q14/</v>
      </c>
      <c r="BP378" s="704"/>
      <c r="BQ378" s="724" t="str">
        <f>BQ$3</f>
        <v>2Q14/</v>
      </c>
      <c r="BR378" s="704"/>
      <c r="BS378" s="724" t="str">
        <f>BS$3</f>
        <v>3Q14/</v>
      </c>
      <c r="BT378" s="704"/>
      <c r="BU378" s="724" t="str">
        <f>BU$3</f>
        <v>4Q14/</v>
      </c>
      <c r="BV378" s="704"/>
      <c r="BW378" s="724" t="str">
        <f>BW$3</f>
        <v>1Q15/</v>
      </c>
      <c r="BX378" s="704"/>
      <c r="BY378" s="724" t="str">
        <f>BY$3</f>
        <v>2Q15/</v>
      </c>
      <c r="BZ378" s="704"/>
      <c r="CA378" s="724" t="str">
        <f>CA$3</f>
        <v>3Q15/</v>
      </c>
      <c r="CB378" s="704"/>
      <c r="CC378" s="724" t="str">
        <f>CC$3</f>
        <v>4Q15/</v>
      </c>
      <c r="CD378" s="704"/>
      <c r="CE378" s="724" t="str">
        <f>CE$3</f>
        <v>1Q16/</v>
      </c>
      <c r="CF378" s="704"/>
      <c r="CG378" s="724" t="str">
        <f>CG$3</f>
        <v>2Q16/</v>
      </c>
      <c r="CH378" s="704"/>
      <c r="CI378" s="724" t="str">
        <f>CI$3</f>
        <v>3Q16/</v>
      </c>
      <c r="CJ378" s="704"/>
      <c r="CK378" s="724" t="str">
        <f>CK$3</f>
        <v>4Q16/</v>
      </c>
      <c r="CL378" s="704"/>
      <c r="CM378" s="724" t="str">
        <f t="shared" ref="CM378" si="208">CM$3</f>
        <v>1Q17/</v>
      </c>
      <c r="CN378" s="704"/>
      <c r="CO378" s="724" t="str">
        <f t="shared" ref="CO378" si="209">CO$3</f>
        <v>2Q17/</v>
      </c>
      <c r="CP378" s="704"/>
      <c r="CQ378" s="724" t="str">
        <f t="shared" ref="CQ378" si="210">CQ$3</f>
        <v>3Q17/</v>
      </c>
      <c r="CR378" s="704"/>
      <c r="CS378" s="724" t="str">
        <f t="shared" ref="CS378" si="211">CS$3</f>
        <v>4Q17/</v>
      </c>
      <c r="CT378" s="704"/>
      <c r="CU378" s="724" t="str">
        <f t="shared" ref="CU378" si="212">CU$3</f>
        <v>1Q18E/</v>
      </c>
      <c r="CV378" s="704"/>
      <c r="CW378" s="724" t="str">
        <f t="shared" ref="CW378" si="213">CW$3</f>
        <v>2Q18E/</v>
      </c>
      <c r="CX378" s="704"/>
      <c r="CY378" s="724" t="str">
        <f t="shared" ref="CY378" si="214">CY$3</f>
        <v>3Q18E/</v>
      </c>
      <c r="CZ378" s="704"/>
      <c r="DA378" s="724" t="str">
        <f t="shared" ref="DA378" si="215">DA$3</f>
        <v>4Q18E/</v>
      </c>
      <c r="DB378" s="724"/>
      <c r="DC378" s="704"/>
      <c r="DD378" s="724" t="str">
        <f>DD$3</f>
        <v>2005/</v>
      </c>
      <c r="DE378" s="704"/>
      <c r="DF378" s="724" t="str">
        <f>DF$3</f>
        <v>2006/</v>
      </c>
      <c r="DG378" s="704"/>
      <c r="DH378" s="724" t="str">
        <f>DH$3</f>
        <v>2007/</v>
      </c>
      <c r="DI378" s="704"/>
      <c r="DJ378" s="724" t="str">
        <f>DJ$3</f>
        <v>2008/</v>
      </c>
      <c r="DK378" s="704"/>
      <c r="DL378" s="724" t="str">
        <f>DL$3</f>
        <v>2009/</v>
      </c>
      <c r="DM378" s="704"/>
      <c r="DN378" s="724" t="str">
        <f>DN$3</f>
        <v>2010/</v>
      </c>
      <c r="DO378" s="704"/>
      <c r="DP378" s="724" t="str">
        <f>DP$3</f>
        <v>2011/</v>
      </c>
      <c r="DQ378" s="704"/>
      <c r="DR378" s="724" t="str">
        <f>DR$3</f>
        <v>2012/</v>
      </c>
      <c r="DS378" s="704"/>
      <c r="DT378" s="724" t="str">
        <f>DT$3</f>
        <v>2013/</v>
      </c>
      <c r="DU378" s="704"/>
      <c r="DV378" s="724" t="str">
        <f>DV$3</f>
        <v>2014/</v>
      </c>
      <c r="DW378" s="704"/>
      <c r="DX378" s="724" t="str">
        <f>DX$3</f>
        <v>2015/</v>
      </c>
      <c r="DY378" s="704"/>
      <c r="DZ378" s="724" t="str">
        <f>DZ$3</f>
        <v>2016/</v>
      </c>
      <c r="EA378" s="704"/>
      <c r="EB378" s="724" t="str">
        <f>EB$3</f>
        <v>2017/</v>
      </c>
      <c r="EC378" s="704"/>
      <c r="ED378" s="724" t="str">
        <f>ED$3</f>
        <v>2018E/</v>
      </c>
      <c r="EE378" s="704"/>
      <c r="EF378" s="724" t="str">
        <f>EF$3</f>
        <v>2019E/</v>
      </c>
      <c r="EG378" s="704"/>
      <c r="EH378" s="724" t="str">
        <f>EH$3</f>
        <v>2020E/</v>
      </c>
      <c r="EI378" s="704"/>
      <c r="EJ378" s="724" t="str">
        <f>EJ$3</f>
        <v>2021E/</v>
      </c>
      <c r="EK378" s="704"/>
      <c r="EL378" s="724" t="str">
        <f>EL$3</f>
        <v>2022E/</v>
      </c>
      <c r="EM378" s="705" t="str">
        <f>EM$3</f>
        <v>5-Yr</v>
      </c>
    </row>
    <row r="379" spans="1:143" s="3" customFormat="1" ht="12.75" hidden="1" customHeight="1" outlineLevel="2" x14ac:dyDescent="0.2">
      <c r="A379" s="693"/>
      <c r="B379" s="692"/>
      <c r="C379" s="496"/>
      <c r="D379" s="692"/>
      <c r="E379" s="496" t="str">
        <f>E$4</f>
        <v>2Q05</v>
      </c>
      <c r="F379" s="692"/>
      <c r="G379" s="496" t="str">
        <f>G$4</f>
        <v>3Q05</v>
      </c>
      <c r="H379" s="692"/>
      <c r="I379" s="496" t="str">
        <f>I$4</f>
        <v>4Q05</v>
      </c>
      <c r="J379" s="496"/>
      <c r="K379" s="496" t="str">
        <f>K$4</f>
        <v>1Q06</v>
      </c>
      <c r="L379" s="692"/>
      <c r="M379" s="496" t="str">
        <f>M$4</f>
        <v>2Q06</v>
      </c>
      <c r="N379" s="692"/>
      <c r="O379" s="496" t="str">
        <f>O$4</f>
        <v>3Q06</v>
      </c>
      <c r="P379" s="692"/>
      <c r="Q379" s="496" t="str">
        <f>Q$4</f>
        <v>4Q06</v>
      </c>
      <c r="R379" s="692"/>
      <c r="S379" s="496" t="str">
        <f>S$4</f>
        <v>1Q07</v>
      </c>
      <c r="T379" s="692"/>
      <c r="U379" s="496" t="str">
        <f>U$4</f>
        <v>2Q07</v>
      </c>
      <c r="V379" s="692"/>
      <c r="W379" s="496" t="str">
        <f>W$4</f>
        <v>3Q07</v>
      </c>
      <c r="X379" s="692"/>
      <c r="Y379" s="496" t="str">
        <f>Y$4</f>
        <v>4Q07</v>
      </c>
      <c r="Z379" s="692"/>
      <c r="AA379" s="496" t="str">
        <f>AA$4</f>
        <v>1Q08</v>
      </c>
      <c r="AB379" s="692"/>
      <c r="AC379" s="496" t="str">
        <f>AC$4</f>
        <v>2Q08</v>
      </c>
      <c r="AD379" s="692"/>
      <c r="AE379" s="496" t="str">
        <f>AE$4</f>
        <v>3Q08</v>
      </c>
      <c r="AF379" s="692"/>
      <c r="AG379" s="496" t="str">
        <f>AG$4</f>
        <v>4Q08</v>
      </c>
      <c r="AH379" s="692"/>
      <c r="AI379" s="496" t="str">
        <f>AI$4</f>
        <v>1Q09</v>
      </c>
      <c r="AJ379" s="692"/>
      <c r="AK379" s="496" t="str">
        <f>AK$4</f>
        <v>2Q09</v>
      </c>
      <c r="AL379" s="692"/>
      <c r="AM379" s="496" t="str">
        <f>AM$4</f>
        <v>3Q09</v>
      </c>
      <c r="AN379" s="692"/>
      <c r="AO379" s="496" t="str">
        <f>AO$4</f>
        <v>4Q09</v>
      </c>
      <c r="AP379" s="692"/>
      <c r="AQ379" s="496" t="str">
        <f>AQ$4</f>
        <v>1Q10</v>
      </c>
      <c r="AR379" s="692"/>
      <c r="AS379" s="496" t="str">
        <f>AS$4</f>
        <v>2Q10</v>
      </c>
      <c r="AT379" s="692"/>
      <c r="AU379" s="496" t="str">
        <f>AU$4</f>
        <v>3Q10</v>
      </c>
      <c r="AV379" s="692"/>
      <c r="AW379" s="496" t="str">
        <f>AW$4</f>
        <v>4Q10</v>
      </c>
      <c r="AX379" s="692"/>
      <c r="AY379" s="496" t="str">
        <f>AY$4</f>
        <v>1Q11</v>
      </c>
      <c r="AZ379" s="692"/>
      <c r="BA379" s="496" t="str">
        <f>BA$4</f>
        <v>2Q11</v>
      </c>
      <c r="BB379" s="692"/>
      <c r="BC379" s="496" t="str">
        <f>BC$4</f>
        <v>3Q11</v>
      </c>
      <c r="BD379" s="692"/>
      <c r="BE379" s="496" t="str">
        <f>BE$4</f>
        <v>4Q11</v>
      </c>
      <c r="BF379" s="692"/>
      <c r="BG379" s="496" t="str">
        <f>BG$4</f>
        <v>1Q12</v>
      </c>
      <c r="BH379" s="692"/>
      <c r="BI379" s="496" t="str">
        <f>BI$4</f>
        <v>2Q12</v>
      </c>
      <c r="BJ379" s="692"/>
      <c r="BK379" s="496" t="str">
        <f>BK$4</f>
        <v>3Q12</v>
      </c>
      <c r="BL379" s="692"/>
      <c r="BM379" s="496" t="str">
        <f>BM$4</f>
        <v>4Q12</v>
      </c>
      <c r="BN379" s="692"/>
      <c r="BO379" s="496" t="str">
        <f>BO$4</f>
        <v>1Q13</v>
      </c>
      <c r="BP379" s="692"/>
      <c r="BQ379" s="496" t="str">
        <f>BQ$4</f>
        <v>2Q13</v>
      </c>
      <c r="BR379" s="692"/>
      <c r="BS379" s="496" t="str">
        <f>BS$4</f>
        <v>3Q13</v>
      </c>
      <c r="BT379" s="692"/>
      <c r="BU379" s="496" t="str">
        <f>BU$4</f>
        <v>4Q13</v>
      </c>
      <c r="BV379" s="692"/>
      <c r="BW379" s="496" t="str">
        <f>BW$4</f>
        <v>1Q14</v>
      </c>
      <c r="BX379" s="692"/>
      <c r="BY379" s="496" t="str">
        <f>BY$4</f>
        <v>2Q14</v>
      </c>
      <c r="BZ379" s="692"/>
      <c r="CA379" s="496" t="str">
        <f>CA$4</f>
        <v>3Q14</v>
      </c>
      <c r="CB379" s="692"/>
      <c r="CC379" s="496" t="str">
        <f>CC$4</f>
        <v>4Q14</v>
      </c>
      <c r="CD379" s="692"/>
      <c r="CE379" s="496" t="str">
        <f>CE$4</f>
        <v>1Q15</v>
      </c>
      <c r="CF379" s="692"/>
      <c r="CG379" s="496" t="str">
        <f>CG$4</f>
        <v>2Q15</v>
      </c>
      <c r="CH379" s="692"/>
      <c r="CI379" s="496" t="str">
        <f>CI$4</f>
        <v>3Q15</v>
      </c>
      <c r="CJ379" s="692"/>
      <c r="CK379" s="496" t="str">
        <f>CK$4</f>
        <v>4Q15</v>
      </c>
      <c r="CL379" s="692"/>
      <c r="CM379" s="496" t="str">
        <f t="shared" ref="CM379" si="216">CM$4</f>
        <v>1Q16</v>
      </c>
      <c r="CN379" s="692"/>
      <c r="CO379" s="496" t="str">
        <f t="shared" ref="CO379" si="217">CO$4</f>
        <v>2Q16</v>
      </c>
      <c r="CP379" s="692"/>
      <c r="CQ379" s="496" t="str">
        <f t="shared" ref="CQ379" si="218">CQ$4</f>
        <v>3Q16</v>
      </c>
      <c r="CR379" s="692"/>
      <c r="CS379" s="496" t="str">
        <f t="shared" ref="CS379" si="219">CS$4</f>
        <v>4Q16</v>
      </c>
      <c r="CT379" s="692"/>
      <c r="CU379" s="496" t="str">
        <f t="shared" ref="CU379" si="220">CU$4</f>
        <v>1Q17</v>
      </c>
      <c r="CV379" s="692"/>
      <c r="CW379" s="496" t="str">
        <f t="shared" ref="CW379" si="221">CW$4</f>
        <v>2Q17</v>
      </c>
      <c r="CX379" s="692"/>
      <c r="CY379" s="496" t="str">
        <f t="shared" ref="CY379" si="222">CY$4</f>
        <v>3Q17</v>
      </c>
      <c r="CZ379" s="692"/>
      <c r="DA379" s="496" t="str">
        <f t="shared" ref="DA379" si="223">DA$4</f>
        <v>4Q17</v>
      </c>
      <c r="DB379" s="496"/>
      <c r="DC379" s="692"/>
      <c r="DD379" s="686">
        <f>DD$4</f>
        <v>2004</v>
      </c>
      <c r="DE379" s="692"/>
      <c r="DF379" s="686">
        <f>DF$4</f>
        <v>2005</v>
      </c>
      <c r="DG379" s="692"/>
      <c r="DH379" s="686">
        <f>DH$4</f>
        <v>2006</v>
      </c>
      <c r="DI379" s="692"/>
      <c r="DJ379" s="686">
        <f>DJ$4</f>
        <v>2007</v>
      </c>
      <c r="DK379" s="692"/>
      <c r="DL379" s="725">
        <f>DL$4</f>
        <v>2008</v>
      </c>
      <c r="DM379" s="692"/>
      <c r="DN379" s="725" t="str">
        <f>DN$4</f>
        <v>2009</v>
      </c>
      <c r="DO379" s="692"/>
      <c r="DP379" s="725" t="str">
        <f>DP$4</f>
        <v>2010</v>
      </c>
      <c r="DQ379" s="692"/>
      <c r="DR379" s="725" t="str">
        <f>DR$4</f>
        <v>2011</v>
      </c>
      <c r="DS379" s="692"/>
      <c r="DT379" s="725" t="str">
        <f>DT$4</f>
        <v>2012</v>
      </c>
      <c r="DU379" s="692"/>
      <c r="DV379" s="725" t="str">
        <f>DV$4</f>
        <v>2013</v>
      </c>
      <c r="DW379" s="692"/>
      <c r="DX379" s="725" t="str">
        <f>DX$4</f>
        <v>2014</v>
      </c>
      <c r="DY379" s="692"/>
      <c r="DZ379" s="725" t="str">
        <f>DZ$4</f>
        <v>2015</v>
      </c>
      <c r="EA379" s="692"/>
      <c r="EB379" s="725" t="str">
        <f>EB$4</f>
        <v>2016</v>
      </c>
      <c r="EC379" s="692"/>
      <c r="ED379" s="725" t="str">
        <f>ED$4</f>
        <v>2017</v>
      </c>
      <c r="EE379" s="692"/>
      <c r="EF379" s="725" t="str">
        <f>EF$4</f>
        <v>2018E</v>
      </c>
      <c r="EG379" s="692"/>
      <c r="EH379" s="725" t="str">
        <f>EH$4</f>
        <v>2019E</v>
      </c>
      <c r="EI379" s="692"/>
      <c r="EJ379" s="725" t="str">
        <f>EJ$4</f>
        <v>2020E</v>
      </c>
      <c r="EK379" s="692"/>
      <c r="EL379" s="725" t="str">
        <f>EL$4</f>
        <v>2021E</v>
      </c>
      <c r="EM379" s="686" t="str">
        <f>EM$4</f>
        <v>CAGR</v>
      </c>
    </row>
    <row r="380" spans="1:143" s="3" customFormat="1" ht="12.75" hidden="1" customHeight="1" outlineLevel="2" x14ac:dyDescent="0.2">
      <c r="A380" s="694"/>
      <c r="B380" s="695" t="str">
        <f t="shared" ref="B380:BN380" si="224">B$5</f>
        <v>1Q06</v>
      </c>
      <c r="C380" s="726" t="str">
        <f t="shared" si="224"/>
        <v>% Chg</v>
      </c>
      <c r="D380" s="695" t="str">
        <f t="shared" si="224"/>
        <v>2Q06</v>
      </c>
      <c r="E380" s="726" t="str">
        <f t="shared" si="224"/>
        <v>% Chg</v>
      </c>
      <c r="F380" s="695" t="str">
        <f t="shared" si="224"/>
        <v>3Q06</v>
      </c>
      <c r="G380" s="726" t="str">
        <f t="shared" si="224"/>
        <v>% Chg</v>
      </c>
      <c r="H380" s="695" t="str">
        <f t="shared" si="224"/>
        <v>4Q06</v>
      </c>
      <c r="I380" s="726" t="str">
        <f t="shared" si="224"/>
        <v>% Chg</v>
      </c>
      <c r="J380" s="695" t="str">
        <f t="shared" si="224"/>
        <v>1Q07</v>
      </c>
      <c r="K380" s="726" t="str">
        <f t="shared" si="224"/>
        <v>% Chg</v>
      </c>
      <c r="L380" s="695" t="str">
        <f t="shared" si="224"/>
        <v>2Q07</v>
      </c>
      <c r="M380" s="726" t="str">
        <f t="shared" si="224"/>
        <v>% Chg</v>
      </c>
      <c r="N380" s="695" t="str">
        <f t="shared" si="224"/>
        <v>3Q07</v>
      </c>
      <c r="O380" s="726" t="str">
        <f t="shared" si="224"/>
        <v>% Chg</v>
      </c>
      <c r="P380" s="695" t="str">
        <f t="shared" si="224"/>
        <v>4Q07</v>
      </c>
      <c r="Q380" s="726" t="str">
        <f t="shared" si="224"/>
        <v>% Chg</v>
      </c>
      <c r="R380" s="695" t="str">
        <f t="shared" si="224"/>
        <v>1Q08</v>
      </c>
      <c r="S380" s="726" t="str">
        <f t="shared" si="224"/>
        <v>% Chg</v>
      </c>
      <c r="T380" s="695" t="str">
        <f t="shared" si="224"/>
        <v>2Q08</v>
      </c>
      <c r="U380" s="726" t="str">
        <f t="shared" si="224"/>
        <v>% Chg</v>
      </c>
      <c r="V380" s="695" t="str">
        <f t="shared" si="224"/>
        <v>3Q08</v>
      </c>
      <c r="W380" s="726" t="str">
        <f t="shared" si="224"/>
        <v>% Chg</v>
      </c>
      <c r="X380" s="695" t="str">
        <f t="shared" si="224"/>
        <v>4Q08</v>
      </c>
      <c r="Y380" s="726" t="str">
        <f t="shared" si="224"/>
        <v>% Chg</v>
      </c>
      <c r="Z380" s="695" t="str">
        <f t="shared" si="224"/>
        <v>1Q09</v>
      </c>
      <c r="AA380" s="726" t="str">
        <f t="shared" si="224"/>
        <v>% Chg</v>
      </c>
      <c r="AB380" s="695" t="str">
        <f t="shared" si="224"/>
        <v>2Q09</v>
      </c>
      <c r="AC380" s="726" t="str">
        <f t="shared" si="224"/>
        <v>% Chg</v>
      </c>
      <c r="AD380" s="695" t="str">
        <f t="shared" si="224"/>
        <v>3Q09</v>
      </c>
      <c r="AE380" s="726" t="str">
        <f t="shared" si="224"/>
        <v>% Chg</v>
      </c>
      <c r="AF380" s="695" t="str">
        <f t="shared" si="224"/>
        <v>4Q09</v>
      </c>
      <c r="AG380" s="726" t="str">
        <f t="shared" si="224"/>
        <v>% Chg</v>
      </c>
      <c r="AH380" s="695" t="str">
        <f t="shared" si="224"/>
        <v>1Q10</v>
      </c>
      <c r="AI380" s="726" t="str">
        <f t="shared" si="224"/>
        <v>% Chg</v>
      </c>
      <c r="AJ380" s="695" t="str">
        <f t="shared" si="224"/>
        <v>2Q10</v>
      </c>
      <c r="AK380" s="726" t="str">
        <f t="shared" si="224"/>
        <v>% Chg</v>
      </c>
      <c r="AL380" s="695" t="str">
        <f t="shared" si="224"/>
        <v>3Q10</v>
      </c>
      <c r="AM380" s="726" t="str">
        <f t="shared" si="224"/>
        <v>% Chg</v>
      </c>
      <c r="AN380" s="695" t="str">
        <f t="shared" si="224"/>
        <v>4Q10</v>
      </c>
      <c r="AO380" s="726" t="str">
        <f t="shared" si="224"/>
        <v>% Chg</v>
      </c>
      <c r="AP380" s="695" t="str">
        <f t="shared" si="224"/>
        <v>1Q11</v>
      </c>
      <c r="AQ380" s="726" t="str">
        <f t="shared" si="224"/>
        <v>% Chg</v>
      </c>
      <c r="AR380" s="695" t="str">
        <f t="shared" si="224"/>
        <v>2Q11</v>
      </c>
      <c r="AS380" s="726" t="str">
        <f t="shared" si="224"/>
        <v>% Chg</v>
      </c>
      <c r="AT380" s="695" t="str">
        <f t="shared" si="224"/>
        <v>3Q11</v>
      </c>
      <c r="AU380" s="726" t="str">
        <f t="shared" si="224"/>
        <v>% Chg</v>
      </c>
      <c r="AV380" s="695" t="str">
        <f t="shared" si="224"/>
        <v>4Q11</v>
      </c>
      <c r="AW380" s="726" t="str">
        <f t="shared" si="224"/>
        <v>% Chg</v>
      </c>
      <c r="AX380" s="695" t="str">
        <f t="shared" si="224"/>
        <v>1Q12</v>
      </c>
      <c r="AY380" s="726" t="str">
        <f t="shared" si="224"/>
        <v>% Chg</v>
      </c>
      <c r="AZ380" s="695" t="str">
        <f t="shared" si="224"/>
        <v>2Q12</v>
      </c>
      <c r="BA380" s="726" t="str">
        <f t="shared" si="224"/>
        <v>% Chg</v>
      </c>
      <c r="BB380" s="695" t="str">
        <f t="shared" si="224"/>
        <v>3Q12</v>
      </c>
      <c r="BC380" s="726" t="str">
        <f t="shared" si="224"/>
        <v>% Chg</v>
      </c>
      <c r="BD380" s="695" t="str">
        <f t="shared" si="224"/>
        <v>4Q12</v>
      </c>
      <c r="BE380" s="726" t="str">
        <f t="shared" si="224"/>
        <v>% Chg</v>
      </c>
      <c r="BF380" s="695" t="str">
        <f t="shared" si="224"/>
        <v>1Q13</v>
      </c>
      <c r="BG380" s="726" t="str">
        <f t="shared" si="224"/>
        <v>% Chg</v>
      </c>
      <c r="BH380" s="695" t="str">
        <f t="shared" si="224"/>
        <v>2Q13</v>
      </c>
      <c r="BI380" s="726" t="str">
        <f t="shared" si="224"/>
        <v>% Chg</v>
      </c>
      <c r="BJ380" s="695" t="str">
        <f t="shared" si="224"/>
        <v>3Q13</v>
      </c>
      <c r="BK380" s="726" t="str">
        <f t="shared" si="224"/>
        <v>% Chg</v>
      </c>
      <c r="BL380" s="695" t="str">
        <f t="shared" si="224"/>
        <v>4Q13</v>
      </c>
      <c r="BM380" s="726" t="str">
        <f t="shared" si="224"/>
        <v>% Chg</v>
      </c>
      <c r="BN380" s="695" t="str">
        <f t="shared" si="224"/>
        <v>1Q14</v>
      </c>
      <c r="BO380" s="726" t="str">
        <f t="shared" ref="BO380:DA380" si="225">BO$5</f>
        <v>% Chg</v>
      </c>
      <c r="BP380" s="695" t="str">
        <f t="shared" si="225"/>
        <v>2Q14</v>
      </c>
      <c r="BQ380" s="726" t="str">
        <f t="shared" si="225"/>
        <v>% Chg</v>
      </c>
      <c r="BR380" s="695" t="str">
        <f t="shared" si="225"/>
        <v>3Q14</v>
      </c>
      <c r="BS380" s="726" t="str">
        <f t="shared" si="225"/>
        <v>% Chg</v>
      </c>
      <c r="BT380" s="695" t="str">
        <f t="shared" si="225"/>
        <v>4Q14</v>
      </c>
      <c r="BU380" s="726" t="str">
        <f t="shared" si="225"/>
        <v>% Chg</v>
      </c>
      <c r="BV380" s="695" t="str">
        <f t="shared" si="225"/>
        <v>1Q15</v>
      </c>
      <c r="BW380" s="726" t="str">
        <f t="shared" si="225"/>
        <v>% Chg</v>
      </c>
      <c r="BX380" s="695" t="str">
        <f t="shared" si="225"/>
        <v>2Q15</v>
      </c>
      <c r="BY380" s="726" t="str">
        <f t="shared" si="225"/>
        <v>% Chg</v>
      </c>
      <c r="BZ380" s="695" t="str">
        <f t="shared" si="225"/>
        <v>3Q15</v>
      </c>
      <c r="CA380" s="726" t="str">
        <f t="shared" si="225"/>
        <v>% Chg</v>
      </c>
      <c r="CB380" s="695" t="str">
        <f t="shared" si="225"/>
        <v>4Q15</v>
      </c>
      <c r="CC380" s="726" t="str">
        <f t="shared" si="225"/>
        <v>% Chg</v>
      </c>
      <c r="CD380" s="695" t="str">
        <f t="shared" si="225"/>
        <v>1Q16</v>
      </c>
      <c r="CE380" s="726" t="str">
        <f t="shared" si="225"/>
        <v>% Chg</v>
      </c>
      <c r="CF380" s="695" t="str">
        <f t="shared" si="225"/>
        <v>2Q16</v>
      </c>
      <c r="CG380" s="726" t="str">
        <f t="shared" si="225"/>
        <v>% Chg</v>
      </c>
      <c r="CH380" s="695" t="str">
        <f t="shared" si="225"/>
        <v>3Q16</v>
      </c>
      <c r="CI380" s="726" t="str">
        <f t="shared" si="225"/>
        <v>% Chg</v>
      </c>
      <c r="CJ380" s="695" t="str">
        <f t="shared" si="225"/>
        <v>4Q16</v>
      </c>
      <c r="CK380" s="726" t="str">
        <f t="shared" si="225"/>
        <v>% Chg</v>
      </c>
      <c r="CL380" s="695" t="str">
        <f t="shared" si="225"/>
        <v>1Q17</v>
      </c>
      <c r="CM380" s="726" t="str">
        <f t="shared" si="225"/>
        <v>% Chg</v>
      </c>
      <c r="CN380" s="695" t="str">
        <f t="shared" si="225"/>
        <v>2Q17</v>
      </c>
      <c r="CO380" s="726" t="str">
        <f t="shared" si="225"/>
        <v>% Chg</v>
      </c>
      <c r="CP380" s="695" t="str">
        <f t="shared" si="225"/>
        <v>3Q17</v>
      </c>
      <c r="CQ380" s="726" t="str">
        <f t="shared" si="225"/>
        <v>% Chg</v>
      </c>
      <c r="CR380" s="695" t="str">
        <f t="shared" si="225"/>
        <v>4Q17</v>
      </c>
      <c r="CS380" s="726" t="str">
        <f t="shared" si="225"/>
        <v>% Chg</v>
      </c>
      <c r="CT380" s="695" t="str">
        <f t="shared" si="225"/>
        <v>1Q18E</v>
      </c>
      <c r="CU380" s="726" t="str">
        <f t="shared" si="225"/>
        <v>% Chg</v>
      </c>
      <c r="CV380" s="695" t="str">
        <f t="shared" si="225"/>
        <v>2Q18E</v>
      </c>
      <c r="CW380" s="726" t="str">
        <f t="shared" si="225"/>
        <v>% Chg</v>
      </c>
      <c r="CX380" s="695" t="str">
        <f t="shared" si="225"/>
        <v>3Q18E</v>
      </c>
      <c r="CY380" s="726" t="str">
        <f t="shared" si="225"/>
        <v>% Chg</v>
      </c>
      <c r="CZ380" s="695" t="str">
        <f t="shared" si="225"/>
        <v>4Q18E</v>
      </c>
      <c r="DA380" s="726" t="str">
        <f t="shared" si="225"/>
        <v>% Chg</v>
      </c>
      <c r="DB380" s="726"/>
      <c r="DC380" s="699">
        <f t="shared" ref="DC380:EM380" si="226">DC$5</f>
        <v>2005</v>
      </c>
      <c r="DD380" s="726" t="str">
        <f t="shared" si="226"/>
        <v>% Chg</v>
      </c>
      <c r="DE380" s="699">
        <f t="shared" si="226"/>
        <v>2006</v>
      </c>
      <c r="DF380" s="726" t="str">
        <f t="shared" si="226"/>
        <v>% Chg</v>
      </c>
      <c r="DG380" s="699">
        <f t="shared" si="226"/>
        <v>2007</v>
      </c>
      <c r="DH380" s="726" t="str">
        <f t="shared" si="226"/>
        <v>% Chg</v>
      </c>
      <c r="DI380" s="699">
        <f t="shared" si="226"/>
        <v>2008</v>
      </c>
      <c r="DJ380" s="726" t="str">
        <f t="shared" si="226"/>
        <v>% Chg</v>
      </c>
      <c r="DK380" s="695" t="str">
        <f t="shared" si="226"/>
        <v>2009</v>
      </c>
      <c r="DL380" s="726" t="str">
        <f t="shared" si="226"/>
        <v>% Chg</v>
      </c>
      <c r="DM380" s="695" t="str">
        <f t="shared" si="226"/>
        <v>2010</v>
      </c>
      <c r="DN380" s="726" t="str">
        <f t="shared" si="226"/>
        <v>% Chg</v>
      </c>
      <c r="DO380" s="695" t="str">
        <f t="shared" si="226"/>
        <v>2011</v>
      </c>
      <c r="DP380" s="726" t="str">
        <f t="shared" si="226"/>
        <v>% Chg</v>
      </c>
      <c r="DQ380" s="695" t="str">
        <f t="shared" si="226"/>
        <v>2012</v>
      </c>
      <c r="DR380" s="726" t="str">
        <f t="shared" si="226"/>
        <v>% Chg</v>
      </c>
      <c r="DS380" s="695" t="str">
        <f t="shared" si="226"/>
        <v>2013</v>
      </c>
      <c r="DT380" s="726" t="str">
        <f t="shared" si="226"/>
        <v>% Chg</v>
      </c>
      <c r="DU380" s="695" t="str">
        <f t="shared" si="226"/>
        <v>2014</v>
      </c>
      <c r="DV380" s="726" t="str">
        <f t="shared" si="226"/>
        <v>% Chg</v>
      </c>
      <c r="DW380" s="695" t="str">
        <f t="shared" si="226"/>
        <v>2015</v>
      </c>
      <c r="DX380" s="726" t="str">
        <f t="shared" si="226"/>
        <v>% Chg</v>
      </c>
      <c r="DY380" s="695" t="str">
        <f t="shared" si="226"/>
        <v>2016</v>
      </c>
      <c r="DZ380" s="726" t="str">
        <f t="shared" si="226"/>
        <v>% Chg</v>
      </c>
      <c r="EA380" s="695" t="str">
        <f t="shared" si="226"/>
        <v>2017</v>
      </c>
      <c r="EB380" s="726" t="str">
        <f t="shared" si="226"/>
        <v>% Chg</v>
      </c>
      <c r="EC380" s="695" t="str">
        <f t="shared" si="226"/>
        <v>2018E</v>
      </c>
      <c r="ED380" s="726" t="str">
        <f t="shared" si="226"/>
        <v>% Chg</v>
      </c>
      <c r="EE380" s="695" t="str">
        <f t="shared" si="226"/>
        <v>2019E</v>
      </c>
      <c r="EF380" s="726" t="str">
        <f t="shared" si="226"/>
        <v>% Chg</v>
      </c>
      <c r="EG380" s="695" t="str">
        <f t="shared" si="226"/>
        <v>2020E</v>
      </c>
      <c r="EH380" s="726" t="str">
        <f t="shared" si="226"/>
        <v>% Chg</v>
      </c>
      <c r="EI380" s="695" t="str">
        <f t="shared" si="226"/>
        <v>2021E</v>
      </c>
      <c r="EJ380" s="726" t="str">
        <f t="shared" si="226"/>
        <v>% Chg</v>
      </c>
      <c r="EK380" s="695" t="str">
        <f t="shared" si="226"/>
        <v>2022E</v>
      </c>
      <c r="EL380" s="726" t="str">
        <f t="shared" si="226"/>
        <v>% Chg</v>
      </c>
      <c r="EM380" s="696" t="str">
        <f t="shared" si="226"/>
        <v>(%)</v>
      </c>
    </row>
    <row r="381" spans="1:143" ht="12.75" hidden="1" customHeight="1" outlineLevel="2" x14ac:dyDescent="0.2">
      <c r="A381" s="701"/>
      <c r="B381" s="16"/>
      <c r="C381" s="507"/>
      <c r="D381" s="16"/>
      <c r="E381" s="687"/>
      <c r="F381" s="16"/>
      <c r="G381" s="687"/>
      <c r="H381" s="16"/>
      <c r="I381" s="687"/>
      <c r="J381" s="16"/>
      <c r="K381" s="507"/>
      <c r="L381" s="16"/>
      <c r="M381" s="507"/>
      <c r="N381" s="16"/>
      <c r="O381" s="507"/>
      <c r="P381" s="16"/>
      <c r="Q381" s="507"/>
      <c r="R381" s="16"/>
      <c r="S381" s="507"/>
      <c r="T381" s="16"/>
      <c r="U381" s="507"/>
      <c r="V381" s="16"/>
      <c r="W381" s="507"/>
      <c r="X381" s="16"/>
      <c r="Y381" s="507"/>
      <c r="Z381" s="16"/>
      <c r="AA381" s="507"/>
      <c r="AB381" s="16"/>
      <c r="AC381" s="507"/>
      <c r="AD381" s="16"/>
      <c r="AE381" s="507"/>
      <c r="AF381" s="16"/>
      <c r="AG381" s="507"/>
      <c r="AH381" s="16"/>
      <c r="AI381" s="507"/>
      <c r="AJ381" s="16"/>
      <c r="AK381" s="507"/>
      <c r="AL381" s="16"/>
      <c r="AM381" s="507"/>
      <c r="AN381" s="16"/>
      <c r="AO381" s="507"/>
      <c r="AP381" s="16"/>
      <c r="AQ381" s="507"/>
      <c r="AR381" s="16"/>
      <c r="AS381" s="507"/>
      <c r="AT381" s="16"/>
      <c r="AU381" s="507"/>
      <c r="AV381" s="16"/>
      <c r="AW381" s="507"/>
      <c r="AX381" s="16"/>
      <c r="AY381" s="507"/>
      <c r="AZ381" s="16"/>
      <c r="BA381" s="507"/>
      <c r="BB381" s="16"/>
      <c r="BC381" s="507"/>
      <c r="BD381" s="16"/>
      <c r="BE381" s="507"/>
      <c r="BF381" s="16"/>
      <c r="BG381" s="507"/>
      <c r="BH381" s="16"/>
      <c r="BI381" s="507"/>
      <c r="BJ381" s="16"/>
      <c r="BK381" s="507"/>
      <c r="BL381" s="16"/>
      <c r="BM381" s="507"/>
      <c r="BN381" s="16"/>
      <c r="BO381" s="507"/>
      <c r="BP381" s="16"/>
      <c r="BQ381" s="507"/>
      <c r="BR381" s="16"/>
      <c r="BS381" s="507"/>
      <c r="BT381" s="16"/>
      <c r="BU381" s="507"/>
      <c r="BV381" s="16"/>
      <c r="BW381" s="507"/>
      <c r="BX381" s="16"/>
      <c r="BY381" s="507"/>
      <c r="BZ381" s="16"/>
      <c r="CA381" s="507"/>
      <c r="CB381" s="16"/>
      <c r="CC381" s="507"/>
      <c r="CD381" s="16"/>
      <c r="CE381" s="507"/>
      <c r="CF381" s="16"/>
      <c r="CG381" s="507"/>
      <c r="CH381" s="16"/>
      <c r="CI381" s="507"/>
      <c r="CJ381" s="16"/>
      <c r="CK381" s="507"/>
      <c r="CL381" s="16"/>
      <c r="CM381" s="507"/>
      <c r="CN381" s="16"/>
      <c r="CO381" s="507"/>
      <c r="CP381" s="16"/>
      <c r="CQ381" s="507"/>
      <c r="CR381" s="16"/>
      <c r="CS381" s="507"/>
      <c r="CT381" s="16"/>
      <c r="CU381" s="507"/>
      <c r="CV381" s="16"/>
      <c r="CW381" s="507"/>
      <c r="CX381" s="16"/>
      <c r="CY381" s="507"/>
      <c r="CZ381" s="16"/>
      <c r="DA381" s="507"/>
      <c r="DB381" s="507"/>
      <c r="DC381" s="16"/>
      <c r="DD381" s="507"/>
      <c r="DE381" s="16"/>
      <c r="DF381" s="507"/>
      <c r="DG381" s="16"/>
      <c r="DH381" s="507"/>
      <c r="DI381" s="16"/>
      <c r="DJ381" s="507"/>
      <c r="DK381" s="16"/>
      <c r="DL381" s="507"/>
      <c r="DM381" s="16"/>
      <c r="DN381" s="507"/>
      <c r="DO381" s="16"/>
      <c r="DP381" s="507"/>
      <c r="DQ381" s="16"/>
      <c r="DR381" s="507"/>
      <c r="DS381" s="16"/>
      <c r="DT381" s="507"/>
      <c r="DU381" s="16"/>
      <c r="DV381" s="507"/>
      <c r="DW381" s="16"/>
      <c r="DX381" s="507"/>
      <c r="DY381" s="16"/>
      <c r="DZ381" s="507"/>
      <c r="EA381" s="16"/>
      <c r="EB381" s="507"/>
      <c r="EC381" s="16"/>
      <c r="ED381" s="507"/>
      <c r="EE381" s="16"/>
      <c r="EF381" s="507"/>
      <c r="EG381" s="16"/>
      <c r="EH381" s="507"/>
      <c r="EI381" s="16"/>
      <c r="EJ381" s="507"/>
      <c r="EK381" s="16"/>
      <c r="EL381" s="507"/>
      <c r="EM381" s="687"/>
    </row>
    <row r="382" spans="1:143" ht="12.75" hidden="1" customHeight="1" outlineLevel="2" x14ac:dyDescent="0.2">
      <c r="A382" s="700" t="s">
        <v>359</v>
      </c>
      <c r="B382" s="16"/>
      <c r="C382" s="507"/>
      <c r="D382" s="16"/>
      <c r="E382" s="687"/>
      <c r="F382" s="16"/>
      <c r="G382" s="687"/>
      <c r="H382" s="16"/>
      <c r="I382" s="687"/>
      <c r="J382" s="16"/>
      <c r="K382" s="507"/>
      <c r="L382" s="16"/>
      <c r="M382" s="507"/>
      <c r="N382" s="16"/>
      <c r="O382" s="507"/>
      <c r="P382" s="16"/>
      <c r="Q382" s="507"/>
      <c r="R382" s="16"/>
      <c r="S382" s="507"/>
      <c r="T382" s="16"/>
      <c r="U382" s="507"/>
      <c r="V382" s="16"/>
      <c r="W382" s="507"/>
      <c r="X382" s="16"/>
      <c r="Y382" s="507"/>
      <c r="Z382" s="16"/>
      <c r="AA382" s="507"/>
      <c r="AB382" s="16"/>
      <c r="AC382" s="507"/>
      <c r="AD382" s="16"/>
      <c r="AE382" s="507"/>
      <c r="AF382" s="16"/>
      <c r="AG382" s="507"/>
      <c r="AH382" s="16"/>
      <c r="AI382" s="507"/>
      <c r="AJ382" s="16"/>
      <c r="AK382" s="507"/>
      <c r="AL382" s="16"/>
      <c r="AM382" s="507"/>
      <c r="AN382" s="16"/>
      <c r="AO382" s="507"/>
      <c r="AP382" s="16"/>
      <c r="AQ382" s="507"/>
      <c r="AR382" s="16"/>
      <c r="AS382" s="507"/>
      <c r="AT382" s="16"/>
      <c r="AU382" s="507"/>
      <c r="AV382" s="16"/>
      <c r="AW382" s="507"/>
      <c r="AX382" s="16"/>
      <c r="AY382" s="507"/>
      <c r="AZ382" s="16"/>
      <c r="BA382" s="507"/>
      <c r="BB382" s="16"/>
      <c r="BC382" s="507"/>
      <c r="BD382" s="16"/>
      <c r="BE382" s="507"/>
      <c r="BF382" s="16"/>
      <c r="BG382" s="507"/>
      <c r="BH382" s="16"/>
      <c r="BI382" s="507"/>
      <c r="BJ382" s="16"/>
      <c r="BK382" s="507"/>
      <c r="BL382" s="16"/>
      <c r="BM382" s="507"/>
      <c r="BN382" s="16"/>
      <c r="BO382" s="507"/>
      <c r="BP382" s="16"/>
      <c r="BQ382" s="507"/>
      <c r="BR382" s="16"/>
      <c r="BS382" s="507"/>
      <c r="BT382" s="16"/>
      <c r="BU382" s="507"/>
      <c r="BV382" s="16"/>
      <c r="BW382" s="507"/>
      <c r="BX382" s="16"/>
      <c r="BY382" s="507"/>
      <c r="BZ382" s="16"/>
      <c r="CA382" s="507"/>
      <c r="CB382" s="16"/>
      <c r="CC382" s="507"/>
      <c r="CD382" s="16"/>
      <c r="CE382" s="507"/>
      <c r="CF382" s="16"/>
      <c r="CG382" s="507"/>
      <c r="CH382" s="16"/>
      <c r="CI382" s="507"/>
      <c r="CJ382" s="16"/>
      <c r="CK382" s="507"/>
      <c r="CL382" s="16"/>
      <c r="CM382" s="507"/>
      <c r="CN382" s="16"/>
      <c r="CO382" s="507"/>
      <c r="CP382" s="16"/>
      <c r="CQ382" s="507"/>
      <c r="CR382" s="16"/>
      <c r="CS382" s="507"/>
      <c r="CT382" s="16"/>
      <c r="CU382" s="507"/>
      <c r="CV382" s="16"/>
      <c r="CW382" s="507"/>
      <c r="CX382" s="16"/>
      <c r="CY382" s="507"/>
      <c r="CZ382" s="16"/>
      <c r="DA382" s="507"/>
      <c r="DB382" s="507"/>
      <c r="DC382" s="16"/>
      <c r="DD382" s="507"/>
      <c r="DE382" s="16"/>
      <c r="DF382" s="507"/>
      <c r="DG382" s="16"/>
      <c r="DH382" s="507"/>
      <c r="DI382" s="16"/>
      <c r="DJ382" s="507"/>
      <c r="DK382" s="16"/>
      <c r="DL382" s="507"/>
      <c r="DM382" s="16"/>
      <c r="DN382" s="507"/>
      <c r="DO382" s="16"/>
      <c r="DP382" s="507"/>
      <c r="DQ382" s="16"/>
      <c r="DR382" s="507"/>
      <c r="DS382" s="16"/>
      <c r="DT382" s="507"/>
      <c r="DU382" s="16"/>
      <c r="DV382" s="507"/>
      <c r="DW382" s="16"/>
      <c r="DX382" s="507"/>
      <c r="DY382" s="16"/>
      <c r="DZ382" s="507"/>
      <c r="EA382" s="16"/>
      <c r="EB382" s="507"/>
      <c r="EC382" s="16"/>
      <c r="ED382" s="507"/>
      <c r="EE382" s="16"/>
      <c r="EF382" s="507"/>
      <c r="EG382" s="16"/>
      <c r="EH382" s="507"/>
      <c r="EI382" s="16"/>
      <c r="EJ382" s="507"/>
      <c r="EK382" s="16"/>
      <c r="EL382" s="507"/>
      <c r="EM382" s="687"/>
    </row>
    <row r="383" spans="1:143" ht="12.75" hidden="1" customHeight="1" outlineLevel="2" x14ac:dyDescent="0.2">
      <c r="A383" s="701" t="str">
        <f>INPUT!B357</f>
        <v>Beginning Assets Under Management</v>
      </c>
      <c r="B383" s="151">
        <f>INPUT!AY357</f>
        <v>77633</v>
      </c>
      <c r="C383" s="507">
        <f>INPUT!AZ357</f>
        <v>35.885946333864283</v>
      </c>
      <c r="D383" s="151">
        <f>INPUT!BA357</f>
        <v>86428</v>
      </c>
      <c r="E383" s="687">
        <f>INPUT!BB357</f>
        <v>46.289776574136752</v>
      </c>
      <c r="F383" s="151">
        <f>INPUT!BC357</f>
        <v>85924</v>
      </c>
      <c r="G383" s="687">
        <f>INPUT!BD357</f>
        <v>28.530612855454663</v>
      </c>
      <c r="H383" s="151">
        <f>INPUT!BE357</f>
        <v>89511</v>
      </c>
      <c r="I383" s="687">
        <f>INPUT!BF357</f>
        <v>22.159292518492222</v>
      </c>
      <c r="J383" s="151">
        <f>INPUT!BG357</f>
        <v>93730</v>
      </c>
      <c r="K383" s="687">
        <f>INPUT!BH357</f>
        <v>20.734739092911525</v>
      </c>
      <c r="L383" s="151">
        <f>INPUT!BI357</f>
        <v>95722</v>
      </c>
      <c r="M383" s="687">
        <f>INPUT!BJ357</f>
        <v>10.753459527005127</v>
      </c>
      <c r="N383" s="151">
        <f>INPUT!BK357</f>
        <v>97714</v>
      </c>
      <c r="O383" s="687">
        <f>INPUT!BL357</f>
        <v>13.721428238908807</v>
      </c>
      <c r="P383" s="151">
        <f>INPUT!BM357</f>
        <v>99706</v>
      </c>
      <c r="Q383" s="687">
        <f>INPUT!BN357</f>
        <v>11.389661605836142</v>
      </c>
      <c r="R383" s="151">
        <f>INPUT!BO357</f>
        <v>85357</v>
      </c>
      <c r="S383" s="687">
        <f>INPUT!BP357</f>
        <v>-8.933105729222234</v>
      </c>
      <c r="T383" s="151">
        <f>INPUT!BQ357</f>
        <v>78538</v>
      </c>
      <c r="U383" s="687">
        <f>INPUT!BR357</f>
        <v>-17.95198595934059</v>
      </c>
      <c r="V383" s="151">
        <f>INPUT!BS357</f>
        <v>75691</v>
      </c>
      <c r="W383" s="687">
        <f>INPUT!BT357</f>
        <v>-22.538223795976009</v>
      </c>
      <c r="X383" s="151">
        <f>INPUT!BU357</f>
        <v>66599</v>
      </c>
      <c r="Y383" s="687">
        <f>INPUT!BV357</f>
        <v>-33.204621587467152</v>
      </c>
      <c r="Z383" s="151">
        <f>INPUT!BW357</f>
        <v>54542</v>
      </c>
      <c r="AA383" s="687">
        <f>INPUT!BX357</f>
        <v>-36.10131565073749</v>
      </c>
      <c r="AB383" s="151">
        <f>INPUT!BY357</f>
        <v>51810</v>
      </c>
      <c r="AC383" s="687">
        <f>INPUT!BZ357</f>
        <v>-34.031933586289441</v>
      </c>
      <c r="AD383" s="151"/>
      <c r="AE383" s="687"/>
      <c r="AF383" s="151"/>
      <c r="AG383" s="687"/>
      <c r="AH383" s="151"/>
      <c r="AI383" s="507"/>
      <c r="AJ383" s="151"/>
      <c r="AK383" s="507"/>
      <c r="AL383" s="151"/>
      <c r="AM383" s="507"/>
      <c r="AN383" s="151"/>
      <c r="AO383" s="507"/>
      <c r="AP383" s="151"/>
      <c r="AQ383" s="507"/>
      <c r="AR383" s="151"/>
      <c r="AS383" s="507"/>
      <c r="AT383" s="151"/>
      <c r="AU383" s="507"/>
      <c r="AV383" s="151"/>
      <c r="AW383" s="507"/>
      <c r="AX383" s="151"/>
      <c r="AY383" s="507"/>
      <c r="AZ383" s="151"/>
      <c r="BA383" s="507"/>
      <c r="BB383" s="151"/>
      <c r="BC383" s="507"/>
      <c r="BD383" s="151"/>
      <c r="BE383" s="507"/>
      <c r="BF383" s="151"/>
      <c r="BG383" s="507"/>
      <c r="BH383" s="151"/>
      <c r="BI383" s="507"/>
      <c r="BJ383" s="151"/>
      <c r="BK383" s="507"/>
      <c r="BL383" s="151"/>
      <c r="BM383" s="507"/>
      <c r="BN383" s="151"/>
      <c r="BO383" s="507"/>
      <c r="BP383" s="151"/>
      <c r="BQ383" s="507"/>
      <c r="BR383" s="151"/>
      <c r="BS383" s="507"/>
      <c r="BT383" s="151"/>
      <c r="BU383" s="507"/>
      <c r="BV383" s="151"/>
      <c r="BW383" s="507"/>
      <c r="BX383" s="151"/>
      <c r="BY383" s="507"/>
      <c r="BZ383" s="151"/>
      <c r="CA383" s="507"/>
      <c r="CB383" s="151"/>
      <c r="CC383" s="507"/>
      <c r="CD383" s="151"/>
      <c r="CE383" s="507"/>
      <c r="CF383" s="151"/>
      <c r="CG383" s="507"/>
      <c r="CH383" s="151"/>
      <c r="CI383" s="507"/>
      <c r="CJ383" s="151"/>
      <c r="CK383" s="507"/>
      <c r="CL383" s="151"/>
      <c r="CM383" s="507"/>
      <c r="CN383" s="151"/>
      <c r="CO383" s="507"/>
      <c r="CP383" s="151"/>
      <c r="CQ383" s="507"/>
      <c r="CR383" s="151"/>
      <c r="CS383" s="507"/>
      <c r="CT383" s="151"/>
      <c r="CU383" s="507"/>
      <c r="CV383" s="151"/>
      <c r="CW383" s="507"/>
      <c r="CX383" s="151"/>
      <c r="CY383" s="507"/>
      <c r="CZ383" s="151"/>
      <c r="DA383" s="507"/>
      <c r="DB383" s="507"/>
      <c r="DC383" s="151">
        <f>INPUT!FP357</f>
        <v>57131</v>
      </c>
      <c r="DD383" s="687" t="str">
        <f>INPUT!FQ357</f>
        <v>NA</v>
      </c>
      <c r="DE383" s="151">
        <f>INPUT!FR357</f>
        <v>77633</v>
      </c>
      <c r="DF383" s="687">
        <f>INPUT!FS357</f>
        <v>35.885946333864283</v>
      </c>
      <c r="DG383" s="151">
        <f>INPUT!FT357</f>
        <v>93730</v>
      </c>
      <c r="DH383" s="687">
        <f>INPUT!FU357</f>
        <v>20.734739092911525</v>
      </c>
      <c r="DI383" s="151">
        <f>INPUT!FV357</f>
        <v>85357</v>
      </c>
      <c r="DJ383" s="687">
        <f>INPUT!FW357</f>
        <v>-8.933105729222234</v>
      </c>
      <c r="DK383" s="151">
        <f>INPUT!FX357</f>
        <v>54542</v>
      </c>
      <c r="DL383" s="507">
        <f>INPUT!FY357</f>
        <v>-36.10131565073749</v>
      </c>
      <c r="DM383" s="151"/>
      <c r="DN383" s="507"/>
      <c r="DO383" s="151"/>
      <c r="DP383" s="507"/>
      <c r="DQ383" s="151"/>
      <c r="DR383" s="507"/>
      <c r="DS383" s="151"/>
      <c r="DT383" s="507"/>
      <c r="DU383" s="151"/>
      <c r="DV383" s="507"/>
      <c r="DW383" s="151"/>
      <c r="DX383" s="507"/>
      <c r="DY383" s="151"/>
      <c r="DZ383" s="507"/>
      <c r="EA383" s="151"/>
      <c r="EB383" s="507"/>
      <c r="EC383" s="151"/>
      <c r="ED383" s="507"/>
      <c r="EE383" s="151"/>
      <c r="EF383" s="507"/>
      <c r="EG383" s="151"/>
      <c r="EH383" s="507"/>
      <c r="EI383" s="151"/>
      <c r="EJ383" s="507"/>
      <c r="EK383" s="151"/>
      <c r="EL383" s="507"/>
      <c r="EM383" s="687"/>
    </row>
    <row r="384" spans="1:143" ht="12.75" hidden="1" customHeight="1" outlineLevel="2" x14ac:dyDescent="0.2">
      <c r="A384" s="701" t="str">
        <f>INPUT!B358</f>
        <v>Sales</v>
      </c>
      <c r="B384" s="151">
        <f>INPUT!AY358</f>
        <v>9063</v>
      </c>
      <c r="C384" s="507">
        <f>INPUT!AZ358</f>
        <v>57.371071366556706</v>
      </c>
      <c r="D384" s="151">
        <f>INPUT!BA358</f>
        <v>6046</v>
      </c>
      <c r="E384" s="687">
        <f>INPUT!BB358</f>
        <v>-42.110302566066636</v>
      </c>
      <c r="F384" s="151">
        <f>INPUT!BC358</f>
        <v>4903</v>
      </c>
      <c r="G384" s="687">
        <f>INPUT!BD358</f>
        <v>-27.233600474918372</v>
      </c>
      <c r="H384" s="151">
        <f>INPUT!BE358</f>
        <v>8080</v>
      </c>
      <c r="I384" s="687">
        <f>INPUT!BF358</f>
        <v>-4.5142992200425391</v>
      </c>
      <c r="J384" s="151">
        <f>INPUT!BG358</f>
        <v>5745</v>
      </c>
      <c r="K384" s="687">
        <f>INPUT!BH358</f>
        <v>-36.61039390930155</v>
      </c>
      <c r="L384" s="151">
        <f>INPUT!BI358</f>
        <v>5745</v>
      </c>
      <c r="M384" s="687">
        <f>INPUT!BJ358</f>
        <v>-4.9784981806152873</v>
      </c>
      <c r="N384" s="151">
        <f>INPUT!BK358</f>
        <v>5745</v>
      </c>
      <c r="O384" s="687">
        <f>INPUT!BL358</f>
        <v>17.173159290230466</v>
      </c>
      <c r="P384" s="151">
        <f>INPUT!BM358</f>
        <v>5822</v>
      </c>
      <c r="Q384" s="687">
        <f>INPUT!BN358</f>
        <v>-27.945544554455449</v>
      </c>
      <c r="R384" s="151">
        <f>INPUT!BO358</f>
        <v>4723</v>
      </c>
      <c r="S384" s="687">
        <f>INPUT!BP358</f>
        <v>-17.789382071366411</v>
      </c>
      <c r="T384" s="151">
        <f>INPUT!BQ358</f>
        <v>3506</v>
      </c>
      <c r="U384" s="687">
        <f>INPUT!BR358</f>
        <v>-38.973020017406448</v>
      </c>
      <c r="V384" s="151">
        <f>INPUT!BS358</f>
        <v>3988</v>
      </c>
      <c r="W384" s="687">
        <f>INPUT!BT358</f>
        <v>-30.583115752828547</v>
      </c>
      <c r="X384" s="151">
        <f>INPUT!BU358</f>
        <v>3780</v>
      </c>
      <c r="Y384" s="687">
        <f>INPUT!BV358</f>
        <v>-35.073857780831332</v>
      </c>
      <c r="Z384" s="151">
        <f>INPUT!BW358</f>
        <v>5130</v>
      </c>
      <c r="AA384" s="687">
        <f>INPUT!BX358</f>
        <v>8.6174041922506781</v>
      </c>
      <c r="AB384" s="151">
        <f>INPUT!BY358</f>
        <v>3867</v>
      </c>
      <c r="AC384" s="687">
        <f>INPUT!BZ358</f>
        <v>10.296634341129485</v>
      </c>
      <c r="AD384" s="151"/>
      <c r="AE384" s="687"/>
      <c r="AF384" s="151"/>
      <c r="AG384" s="687"/>
      <c r="AH384" s="151"/>
      <c r="AI384" s="507"/>
      <c r="AJ384" s="151"/>
      <c r="AK384" s="507"/>
      <c r="AL384" s="151"/>
      <c r="AM384" s="507"/>
      <c r="AN384" s="151"/>
      <c r="AO384" s="507"/>
      <c r="AP384" s="151"/>
      <c r="AQ384" s="507"/>
      <c r="AR384" s="151"/>
      <c r="AS384" s="507"/>
      <c r="AT384" s="151"/>
      <c r="AU384" s="507"/>
      <c r="AV384" s="151"/>
      <c r="AW384" s="507"/>
      <c r="AX384" s="151"/>
      <c r="AY384" s="507"/>
      <c r="AZ384" s="151"/>
      <c r="BA384" s="507"/>
      <c r="BB384" s="151"/>
      <c r="BC384" s="507"/>
      <c r="BD384" s="151"/>
      <c r="BE384" s="507"/>
      <c r="BF384" s="151"/>
      <c r="BG384" s="507"/>
      <c r="BH384" s="151"/>
      <c r="BI384" s="507"/>
      <c r="BJ384" s="151"/>
      <c r="BK384" s="507"/>
      <c r="BL384" s="151"/>
      <c r="BM384" s="507"/>
      <c r="BN384" s="151"/>
      <c r="BO384" s="507"/>
      <c r="BP384" s="151"/>
      <c r="BQ384" s="507"/>
      <c r="BR384" s="151"/>
      <c r="BS384" s="507"/>
      <c r="BT384" s="151"/>
      <c r="BU384" s="507"/>
      <c r="BV384" s="151"/>
      <c r="BW384" s="507"/>
      <c r="BX384" s="151"/>
      <c r="BY384" s="507"/>
      <c r="BZ384" s="151"/>
      <c r="CA384" s="507"/>
      <c r="CB384" s="151"/>
      <c r="CC384" s="507"/>
      <c r="CD384" s="151"/>
      <c r="CE384" s="507"/>
      <c r="CF384" s="151"/>
      <c r="CG384" s="507"/>
      <c r="CH384" s="151"/>
      <c r="CI384" s="507"/>
      <c r="CJ384" s="151"/>
      <c r="CK384" s="507"/>
      <c r="CL384" s="151"/>
      <c r="CM384" s="507"/>
      <c r="CN384" s="151"/>
      <c r="CO384" s="507"/>
      <c r="CP384" s="151"/>
      <c r="CQ384" s="507"/>
      <c r="CR384" s="151"/>
      <c r="CS384" s="507"/>
      <c r="CT384" s="151"/>
      <c r="CU384" s="507"/>
      <c r="CV384" s="151"/>
      <c r="CW384" s="507"/>
      <c r="CX384" s="151"/>
      <c r="CY384" s="507"/>
      <c r="CZ384" s="151"/>
      <c r="DA384" s="507"/>
      <c r="DB384" s="507"/>
      <c r="DC384" s="151">
        <f>INPUT!FP358</f>
        <v>31403</v>
      </c>
      <c r="DD384" s="687" t="str">
        <f>INPUT!FQ358</f>
        <v>NA</v>
      </c>
      <c r="DE384" s="151">
        <f>INPUT!FR358</f>
        <v>28092</v>
      </c>
      <c r="DF384" s="687">
        <f>INPUT!FS358</f>
        <v>-10.543578638983542</v>
      </c>
      <c r="DG384" s="151">
        <f>INPUT!FT358</f>
        <v>23057</v>
      </c>
      <c r="DH384" s="687">
        <f>INPUT!FU358</f>
        <v>-17.923252171436708</v>
      </c>
      <c r="DI384" s="151">
        <f>INPUT!FV358</f>
        <v>15997</v>
      </c>
      <c r="DJ384" s="687">
        <f>INPUT!FW358</f>
        <v>-30.619768400052049</v>
      </c>
      <c r="DK384" s="151">
        <f>INPUT!FX358</f>
        <v>8997</v>
      </c>
      <c r="DL384" s="507">
        <f>INPUT!FY358</f>
        <v>-43.758204663374379</v>
      </c>
      <c r="DM384" s="151"/>
      <c r="DN384" s="507"/>
      <c r="DO384" s="151"/>
      <c r="DP384" s="507"/>
      <c r="DQ384" s="151"/>
      <c r="DR384" s="507"/>
      <c r="DS384" s="151"/>
      <c r="DT384" s="507"/>
      <c r="DU384" s="151"/>
      <c r="DV384" s="507"/>
      <c r="DW384" s="151"/>
      <c r="DX384" s="507"/>
      <c r="DY384" s="151"/>
      <c r="DZ384" s="507"/>
      <c r="EA384" s="151"/>
      <c r="EB384" s="507"/>
      <c r="EC384" s="151"/>
      <c r="ED384" s="507"/>
      <c r="EE384" s="151"/>
      <c r="EF384" s="507"/>
      <c r="EG384" s="151"/>
      <c r="EH384" s="507"/>
      <c r="EI384" s="151"/>
      <c r="EJ384" s="507"/>
      <c r="EK384" s="151"/>
      <c r="EL384" s="507"/>
      <c r="EM384" s="687"/>
    </row>
    <row r="385" spans="1:143" ht="12.75" hidden="1" customHeight="1" outlineLevel="2" x14ac:dyDescent="0.2">
      <c r="A385" s="701" t="str">
        <f>INPUT!B359</f>
        <v>Redemptions</v>
      </c>
      <c r="B385" s="151">
        <f>INPUT!AY359</f>
        <v>-4099</v>
      </c>
      <c r="C385" s="507">
        <f>INPUT!AZ359</f>
        <v>36.815754339118833</v>
      </c>
      <c r="D385" s="151">
        <f>INPUT!BA359</f>
        <v>-5037</v>
      </c>
      <c r="E385" s="687">
        <f>INPUT!BB359</f>
        <v>23.39539441450269</v>
      </c>
      <c r="F385" s="151">
        <f>INPUT!BC359</f>
        <v>-4154</v>
      </c>
      <c r="G385" s="687">
        <f>INPUT!BD359</f>
        <v>30.13784461152882</v>
      </c>
      <c r="H385" s="151">
        <f>INPUT!BE359</f>
        <v>-5551</v>
      </c>
      <c r="I385" s="687">
        <f>INPUT!BF359</f>
        <v>-0.50188205771644068</v>
      </c>
      <c r="J385" s="151">
        <f>INPUT!BG359</f>
        <v>-5652</v>
      </c>
      <c r="K385" s="687">
        <f>INPUT!BH359</f>
        <v>37.887289582825076</v>
      </c>
      <c r="L385" s="151">
        <f>INPUT!BI359</f>
        <v>-5652</v>
      </c>
      <c r="M385" s="687">
        <f>INPUT!BJ359</f>
        <v>12.209648600357358</v>
      </c>
      <c r="N385" s="151">
        <f>INPUT!BK359</f>
        <v>-5652</v>
      </c>
      <c r="O385" s="687">
        <f>INPUT!BL359</f>
        <v>36.061627347135293</v>
      </c>
      <c r="P385" s="151">
        <f>INPUT!BM359</f>
        <v>-6892</v>
      </c>
      <c r="Q385" s="687">
        <f>INPUT!BN359</f>
        <v>24.157809403711038</v>
      </c>
      <c r="R385" s="151">
        <f>INPUT!BO359</f>
        <v>-5885</v>
      </c>
      <c r="S385" s="687">
        <f>INPUT!BP359</f>
        <v>4.1224345364472725</v>
      </c>
      <c r="T385" s="151">
        <f>INPUT!BQ359</f>
        <v>-4975</v>
      </c>
      <c r="U385" s="687">
        <f>INPUT!BR359</f>
        <v>-11.978060863411176</v>
      </c>
      <c r="V385" s="151">
        <f>INPUT!BS359</f>
        <v>-7260</v>
      </c>
      <c r="W385" s="687">
        <f>INPUT!BT359</f>
        <v>28.450106157112522</v>
      </c>
      <c r="X385" s="151">
        <f>INPUT!BU359</f>
        <v>-7080</v>
      </c>
      <c r="Y385" s="687">
        <f>INPUT!BV359</f>
        <v>2.7278003482298363</v>
      </c>
      <c r="Z385" s="151">
        <f>INPUT!BW359</f>
        <v>-4919</v>
      </c>
      <c r="AA385" s="687">
        <f>INPUT!BX359</f>
        <v>-16.414613423959224</v>
      </c>
      <c r="AB385" s="151">
        <f>INPUT!BY359</f>
        <v>-3793</v>
      </c>
      <c r="AC385" s="687">
        <f>INPUT!BZ359</f>
        <v>-23.758793969849247</v>
      </c>
      <c r="AD385" s="151"/>
      <c r="AE385" s="687"/>
      <c r="AF385" s="151"/>
      <c r="AG385" s="687"/>
      <c r="AH385" s="151"/>
      <c r="AI385" s="507"/>
      <c r="AJ385" s="151"/>
      <c r="AK385" s="507"/>
      <c r="AL385" s="151"/>
      <c r="AM385" s="507"/>
      <c r="AN385" s="151"/>
      <c r="AO385" s="507"/>
      <c r="AP385" s="151"/>
      <c r="AQ385" s="507"/>
      <c r="AR385" s="151"/>
      <c r="AS385" s="507"/>
      <c r="AT385" s="151"/>
      <c r="AU385" s="507"/>
      <c r="AV385" s="151"/>
      <c r="AW385" s="507"/>
      <c r="AX385" s="151"/>
      <c r="AY385" s="507"/>
      <c r="AZ385" s="151"/>
      <c r="BA385" s="507"/>
      <c r="BB385" s="151"/>
      <c r="BC385" s="507"/>
      <c r="BD385" s="151"/>
      <c r="BE385" s="507"/>
      <c r="BF385" s="151"/>
      <c r="BG385" s="507"/>
      <c r="BH385" s="151"/>
      <c r="BI385" s="507"/>
      <c r="BJ385" s="151"/>
      <c r="BK385" s="507"/>
      <c r="BL385" s="151"/>
      <c r="BM385" s="507"/>
      <c r="BN385" s="151"/>
      <c r="BO385" s="507"/>
      <c r="BP385" s="151"/>
      <c r="BQ385" s="507"/>
      <c r="BR385" s="151"/>
      <c r="BS385" s="507"/>
      <c r="BT385" s="151"/>
      <c r="BU385" s="507"/>
      <c r="BV385" s="151"/>
      <c r="BW385" s="507"/>
      <c r="BX385" s="151"/>
      <c r="BY385" s="507"/>
      <c r="BZ385" s="151"/>
      <c r="CA385" s="507"/>
      <c r="CB385" s="151"/>
      <c r="CC385" s="507"/>
      <c r="CD385" s="151"/>
      <c r="CE385" s="507"/>
      <c r="CF385" s="151"/>
      <c r="CG385" s="507"/>
      <c r="CH385" s="151"/>
      <c r="CI385" s="507"/>
      <c r="CJ385" s="151"/>
      <c r="CK385" s="507"/>
      <c r="CL385" s="151"/>
      <c r="CM385" s="507"/>
      <c r="CN385" s="151"/>
      <c r="CO385" s="507"/>
      <c r="CP385" s="151"/>
      <c r="CQ385" s="507"/>
      <c r="CR385" s="151"/>
      <c r="CS385" s="507"/>
      <c r="CT385" s="151"/>
      <c r="CU385" s="507"/>
      <c r="CV385" s="151"/>
      <c r="CW385" s="507"/>
      <c r="CX385" s="151"/>
      <c r="CY385" s="507"/>
      <c r="CZ385" s="151"/>
      <c r="DA385" s="507"/>
      <c r="DB385" s="507"/>
      <c r="DC385" s="151">
        <f>INPUT!FP359</f>
        <v>-15849</v>
      </c>
      <c r="DD385" s="687" t="str">
        <f>INPUT!FQ359</f>
        <v>NA</v>
      </c>
      <c r="DE385" s="151">
        <f>INPUT!FR359</f>
        <v>-18841</v>
      </c>
      <c r="DF385" s="687">
        <f>INPUT!FS359</f>
        <v>18.878162660104735</v>
      </c>
      <c r="DG385" s="151">
        <f>INPUT!FT359</f>
        <v>-23848</v>
      </c>
      <c r="DH385" s="687">
        <f>INPUT!FU359</f>
        <v>26.575022557189108</v>
      </c>
      <c r="DI385" s="151">
        <f>INPUT!FV359</f>
        <v>-25200</v>
      </c>
      <c r="DJ385" s="687">
        <f>INPUT!FW359</f>
        <v>5.6692385105669318</v>
      </c>
      <c r="DK385" s="151">
        <f>INPUT!FX359</f>
        <v>-8712</v>
      </c>
      <c r="DL385" s="507" t="str">
        <f>INPUT!FY359</f>
        <v>NM</v>
      </c>
      <c r="DM385" s="151"/>
      <c r="DN385" s="507"/>
      <c r="DO385" s="151"/>
      <c r="DP385" s="507"/>
      <c r="DQ385" s="151"/>
      <c r="DR385" s="507"/>
      <c r="DS385" s="151"/>
      <c r="DT385" s="507"/>
      <c r="DU385" s="151"/>
      <c r="DV385" s="507"/>
      <c r="DW385" s="151"/>
      <c r="DX385" s="507"/>
      <c r="DY385" s="151"/>
      <c r="DZ385" s="507"/>
      <c r="EA385" s="151"/>
      <c r="EB385" s="507"/>
      <c r="EC385" s="151"/>
      <c r="ED385" s="507"/>
      <c r="EE385" s="151"/>
      <c r="EF385" s="507"/>
      <c r="EG385" s="151"/>
      <c r="EH385" s="507"/>
      <c r="EI385" s="151"/>
      <c r="EJ385" s="507"/>
      <c r="EK385" s="151"/>
      <c r="EL385" s="507"/>
      <c r="EM385" s="687"/>
    </row>
    <row r="386" spans="1:143" ht="12.75" hidden="1" customHeight="1" outlineLevel="2" x14ac:dyDescent="0.2">
      <c r="A386" s="701" t="str">
        <f>INPUT!B360</f>
        <v>Transfers/Net Money Market Flows</v>
      </c>
      <c r="B386" s="151">
        <f>INPUT!AY360</f>
        <v>-66</v>
      </c>
      <c r="C386" s="507" t="str">
        <f>INPUT!AZ360</f>
        <v>NM</v>
      </c>
      <c r="D386" s="151">
        <f>INPUT!BA360</f>
        <v>-2</v>
      </c>
      <c r="E386" s="687" t="str">
        <f>INPUT!BB360</f>
        <v>NM</v>
      </c>
      <c r="F386" s="151">
        <f>INPUT!BC360</f>
        <v>-3</v>
      </c>
      <c r="G386" s="687">
        <f>INPUT!BD360</f>
        <v>50</v>
      </c>
      <c r="H386" s="151">
        <f>INPUT!BE360</f>
        <v>-2</v>
      </c>
      <c r="I386" s="687">
        <f>INPUT!BF360</f>
        <v>-33.333333333333336</v>
      </c>
      <c r="J386" s="151">
        <f>INPUT!BG360</f>
        <v>-1</v>
      </c>
      <c r="K386" s="687" t="str">
        <f>INPUT!BH360</f>
        <v>NM</v>
      </c>
      <c r="L386" s="151">
        <f>INPUT!BI360</f>
        <v>-1</v>
      </c>
      <c r="M386" s="687">
        <f>INPUT!BJ360</f>
        <v>-50</v>
      </c>
      <c r="N386" s="151">
        <f>INPUT!BK360</f>
        <v>-1</v>
      </c>
      <c r="O386" s="687" t="str">
        <f>INPUT!BL360</f>
        <v>NM</v>
      </c>
      <c r="P386" s="151">
        <f>INPUT!BM360</f>
        <v>-12232</v>
      </c>
      <c r="Q386" s="687" t="str">
        <f>INPUT!BN360</f>
        <v>NM</v>
      </c>
      <c r="R386" s="151">
        <f>INPUT!BO360</f>
        <v>-3</v>
      </c>
      <c r="S386" s="687" t="str">
        <f>INPUT!BP360</f>
        <v>NM</v>
      </c>
      <c r="T386" s="151">
        <f>INPUT!BQ360</f>
        <v>-3</v>
      </c>
      <c r="U386" s="687" t="str">
        <f>INPUT!BR360</f>
        <v>NM</v>
      </c>
      <c r="V386" s="151">
        <f>INPUT!BS360</f>
        <v>674</v>
      </c>
      <c r="W386" s="687" t="str">
        <f>INPUT!BT360</f>
        <v>NM</v>
      </c>
      <c r="X386" s="151">
        <f>INPUT!BU360</f>
        <v>0</v>
      </c>
      <c r="Y386" s="687" t="str">
        <f>INPUT!BV360</f>
        <v>NM</v>
      </c>
      <c r="Z386" s="151">
        <f>INPUT!BW360</f>
        <v>0</v>
      </c>
      <c r="AA386" s="687" t="str">
        <f>INPUT!BX360</f>
        <v>NM</v>
      </c>
      <c r="AB386" s="151">
        <f>INPUT!BY360</f>
        <v>285</v>
      </c>
      <c r="AC386" s="687" t="str">
        <f>INPUT!BZ360</f>
        <v>NM</v>
      </c>
      <c r="AD386" s="151"/>
      <c r="AE386" s="687"/>
      <c r="AF386" s="151"/>
      <c r="AG386" s="687"/>
      <c r="AH386" s="151"/>
      <c r="AI386" s="507"/>
      <c r="AJ386" s="151"/>
      <c r="AK386" s="507"/>
      <c r="AL386" s="151"/>
      <c r="AM386" s="507"/>
      <c r="AN386" s="151"/>
      <c r="AO386" s="507"/>
      <c r="AP386" s="151"/>
      <c r="AQ386" s="507"/>
      <c r="AR386" s="151"/>
      <c r="AS386" s="507"/>
      <c r="AT386" s="151"/>
      <c r="AU386" s="507"/>
      <c r="AV386" s="151"/>
      <c r="AW386" s="507"/>
      <c r="AX386" s="151"/>
      <c r="AY386" s="507"/>
      <c r="AZ386" s="151"/>
      <c r="BA386" s="507"/>
      <c r="BB386" s="151"/>
      <c r="BC386" s="507"/>
      <c r="BD386" s="151"/>
      <c r="BE386" s="507"/>
      <c r="BF386" s="151"/>
      <c r="BG386" s="507"/>
      <c r="BH386" s="151"/>
      <c r="BI386" s="507"/>
      <c r="BJ386" s="151"/>
      <c r="BK386" s="507"/>
      <c r="BL386" s="151"/>
      <c r="BM386" s="507"/>
      <c r="BN386" s="151"/>
      <c r="BO386" s="507"/>
      <c r="BP386" s="151"/>
      <c r="BQ386" s="507"/>
      <c r="BR386" s="151"/>
      <c r="BS386" s="507"/>
      <c r="BT386" s="151"/>
      <c r="BU386" s="507"/>
      <c r="BV386" s="151"/>
      <c r="BW386" s="507"/>
      <c r="BX386" s="151"/>
      <c r="BY386" s="507"/>
      <c r="BZ386" s="151"/>
      <c r="CA386" s="507"/>
      <c r="CB386" s="151"/>
      <c r="CC386" s="507"/>
      <c r="CD386" s="151"/>
      <c r="CE386" s="507"/>
      <c r="CF386" s="151"/>
      <c r="CG386" s="507"/>
      <c r="CH386" s="151"/>
      <c r="CI386" s="507"/>
      <c r="CJ386" s="151"/>
      <c r="CK386" s="507"/>
      <c r="CL386" s="151"/>
      <c r="CM386" s="507"/>
      <c r="CN386" s="151"/>
      <c r="CO386" s="507"/>
      <c r="CP386" s="151"/>
      <c r="CQ386" s="507"/>
      <c r="CR386" s="151"/>
      <c r="CS386" s="507"/>
      <c r="CT386" s="151"/>
      <c r="CU386" s="507"/>
      <c r="CV386" s="151"/>
      <c r="CW386" s="507"/>
      <c r="CX386" s="151"/>
      <c r="CY386" s="507"/>
      <c r="CZ386" s="151"/>
      <c r="DA386" s="507"/>
      <c r="DB386" s="507"/>
      <c r="DC386" s="151">
        <f>INPUT!FP360</f>
        <v>-338</v>
      </c>
      <c r="DD386" s="687" t="str">
        <f>INPUT!FQ360</f>
        <v>NA</v>
      </c>
      <c r="DE386" s="151">
        <f>INPUT!FR360</f>
        <v>-73</v>
      </c>
      <c r="DF386" s="687" t="str">
        <f>INPUT!FS360</f>
        <v>NM</v>
      </c>
      <c r="DG386" s="151">
        <f>INPUT!FT360</f>
        <v>-12235</v>
      </c>
      <c r="DH386" s="687" t="str">
        <f>INPUT!FU360</f>
        <v>NM</v>
      </c>
      <c r="DI386" s="151">
        <f>INPUT!FV360</f>
        <v>668</v>
      </c>
      <c r="DJ386" s="687" t="str">
        <f>INPUT!FW360</f>
        <v>NM</v>
      </c>
      <c r="DK386" s="151">
        <f>INPUT!FX360</f>
        <v>285</v>
      </c>
      <c r="DL386" s="507" t="str">
        <f>INPUT!FY360</f>
        <v>NM</v>
      </c>
      <c r="DM386" s="151"/>
      <c r="DN386" s="507"/>
      <c r="DO386" s="151"/>
      <c r="DP386" s="507"/>
      <c r="DQ386" s="151"/>
      <c r="DR386" s="507"/>
      <c r="DS386" s="151"/>
      <c r="DT386" s="507"/>
      <c r="DU386" s="151"/>
      <c r="DV386" s="507"/>
      <c r="DW386" s="151"/>
      <c r="DX386" s="507"/>
      <c r="DY386" s="151"/>
      <c r="DZ386" s="507"/>
      <c r="EA386" s="151"/>
      <c r="EB386" s="507"/>
      <c r="EC386" s="151"/>
      <c r="ED386" s="507"/>
      <c r="EE386" s="151"/>
      <c r="EF386" s="507"/>
      <c r="EG386" s="151"/>
      <c r="EH386" s="507"/>
      <c r="EI386" s="151"/>
      <c r="EJ386" s="507"/>
      <c r="EK386" s="151"/>
      <c r="EL386" s="507"/>
      <c r="EM386" s="687"/>
    </row>
    <row r="387" spans="1:143" ht="12.75" hidden="1" customHeight="1" outlineLevel="2" x14ac:dyDescent="0.2">
      <c r="A387" s="701" t="str">
        <f>INPUT!B361</f>
        <v xml:space="preserve">Market Appreciation </v>
      </c>
      <c r="B387" s="151">
        <f>INPUT!AY361</f>
        <v>3897</v>
      </c>
      <c r="C387" s="507" t="str">
        <f>INPUT!AZ361</f>
        <v>NM</v>
      </c>
      <c r="D387" s="151">
        <f>INPUT!BA361</f>
        <v>-1511</v>
      </c>
      <c r="E387" s="687" t="str">
        <f>INPUT!BB361</f>
        <v>NM</v>
      </c>
      <c r="F387" s="151">
        <f>INPUT!BC361</f>
        <v>2841</v>
      </c>
      <c r="G387" s="687">
        <f>INPUT!BD361</f>
        <v>-1.2513034410844615</v>
      </c>
      <c r="H387" s="151">
        <f>INPUT!BE361</f>
        <v>5269</v>
      </c>
      <c r="I387" s="687" t="str">
        <f>INPUT!BF361</f>
        <v>NM</v>
      </c>
      <c r="J387" s="151">
        <f>INPUT!BG361</f>
        <v>1900</v>
      </c>
      <c r="K387" s="687" t="str">
        <f>INPUT!BH361</f>
        <v>NM</v>
      </c>
      <c r="L387" s="151">
        <f>INPUT!BI361</f>
        <v>1900</v>
      </c>
      <c r="M387" s="687" t="str">
        <f>INPUT!BJ361</f>
        <v>NM</v>
      </c>
      <c r="N387" s="151">
        <f>INPUT!BK361</f>
        <v>1900</v>
      </c>
      <c r="O387" s="687">
        <f>INPUT!BL361</f>
        <v>-33.122140091517075</v>
      </c>
      <c r="P387" s="151">
        <f>INPUT!BM361</f>
        <v>-1047</v>
      </c>
      <c r="Q387" s="687" t="str">
        <f>INPUT!BN361</f>
        <v>NM</v>
      </c>
      <c r="R387" s="151">
        <f>INPUT!BO361</f>
        <v>-5654</v>
      </c>
      <c r="S387" s="687" t="str">
        <f>INPUT!BP361</f>
        <v>NM</v>
      </c>
      <c r="T387" s="151">
        <f>INPUT!BQ361</f>
        <v>-1375</v>
      </c>
      <c r="U387" s="687" t="str">
        <f>INPUT!BR361</f>
        <v>NM</v>
      </c>
      <c r="V387" s="151">
        <f>INPUT!BS361</f>
        <v>-6494</v>
      </c>
      <c r="W387" s="687" t="str">
        <f>INPUT!BT361</f>
        <v>NM</v>
      </c>
      <c r="X387" s="151">
        <f>INPUT!BU361</f>
        <v>-8757</v>
      </c>
      <c r="Y387" s="687" t="str">
        <f>INPUT!BV361</f>
        <v>NM</v>
      </c>
      <c r="Z387" s="151">
        <f>INPUT!BW361</f>
        <v>-2943</v>
      </c>
      <c r="AA387" s="687">
        <f>INPUT!BX361</f>
        <v>-47.948355146798725</v>
      </c>
      <c r="AB387" s="151">
        <f>INPUT!BY361</f>
        <v>5698</v>
      </c>
      <c r="AC387" s="687" t="str">
        <f>INPUT!BZ361</f>
        <v>NM</v>
      </c>
      <c r="AD387" s="151"/>
      <c r="AE387" s="687"/>
      <c r="AF387" s="151"/>
      <c r="AG387" s="687"/>
      <c r="AH387" s="151"/>
      <c r="AI387" s="507"/>
      <c r="AJ387" s="151"/>
      <c r="AK387" s="507"/>
      <c r="AL387" s="151"/>
      <c r="AM387" s="507"/>
      <c r="AN387" s="151"/>
      <c r="AO387" s="507"/>
      <c r="AP387" s="151"/>
      <c r="AQ387" s="507"/>
      <c r="AR387" s="151"/>
      <c r="AS387" s="507"/>
      <c r="AT387" s="151"/>
      <c r="AU387" s="507"/>
      <c r="AV387" s="151"/>
      <c r="AW387" s="507"/>
      <c r="AX387" s="151"/>
      <c r="AY387" s="507"/>
      <c r="AZ387" s="151"/>
      <c r="BA387" s="507"/>
      <c r="BB387" s="151"/>
      <c r="BC387" s="507"/>
      <c r="BD387" s="151"/>
      <c r="BE387" s="507"/>
      <c r="BF387" s="151"/>
      <c r="BG387" s="507"/>
      <c r="BH387" s="151"/>
      <c r="BI387" s="507"/>
      <c r="BJ387" s="151"/>
      <c r="BK387" s="507"/>
      <c r="BL387" s="151"/>
      <c r="BM387" s="507"/>
      <c r="BN387" s="151"/>
      <c r="BO387" s="507"/>
      <c r="BP387" s="151"/>
      <c r="BQ387" s="507"/>
      <c r="BR387" s="151"/>
      <c r="BS387" s="507"/>
      <c r="BT387" s="151"/>
      <c r="BU387" s="507"/>
      <c r="BV387" s="151"/>
      <c r="BW387" s="507"/>
      <c r="BX387" s="151"/>
      <c r="BY387" s="507"/>
      <c r="BZ387" s="151"/>
      <c r="CA387" s="507"/>
      <c r="CB387" s="151"/>
      <c r="CC387" s="507"/>
      <c r="CD387" s="151"/>
      <c r="CE387" s="507"/>
      <c r="CF387" s="151"/>
      <c r="CG387" s="507"/>
      <c r="CH387" s="151"/>
      <c r="CI387" s="507"/>
      <c r="CJ387" s="151"/>
      <c r="CK387" s="507"/>
      <c r="CL387" s="151"/>
      <c r="CM387" s="507"/>
      <c r="CN387" s="151"/>
      <c r="CO387" s="507"/>
      <c r="CP387" s="151"/>
      <c r="CQ387" s="507"/>
      <c r="CR387" s="151"/>
      <c r="CS387" s="507"/>
      <c r="CT387" s="151"/>
      <c r="CU387" s="507"/>
      <c r="CV387" s="151"/>
      <c r="CW387" s="507"/>
      <c r="CX387" s="151"/>
      <c r="CY387" s="507"/>
      <c r="CZ387" s="151"/>
      <c r="DA387" s="507"/>
      <c r="DB387" s="507"/>
      <c r="DC387" s="151">
        <f>INPUT!FP361</f>
        <v>5281</v>
      </c>
      <c r="DD387" s="687" t="str">
        <f>INPUT!FQ361</f>
        <v>NA</v>
      </c>
      <c r="DE387" s="151">
        <f>INPUT!FR361</f>
        <v>10496</v>
      </c>
      <c r="DF387" s="687">
        <f>INPUT!FS361</f>
        <v>98.750236697595156</v>
      </c>
      <c r="DG387" s="151">
        <f>INPUT!FT361</f>
        <v>4653</v>
      </c>
      <c r="DH387" s="687" t="str">
        <f>INPUT!FU361</f>
        <v>NM</v>
      </c>
      <c r="DI387" s="151">
        <f>INPUT!FV361</f>
        <v>-22280</v>
      </c>
      <c r="DJ387" s="687" t="str">
        <f>INPUT!FW361</f>
        <v>NM</v>
      </c>
      <c r="DK387" s="151">
        <f>INPUT!FX361</f>
        <v>2755</v>
      </c>
      <c r="DL387" s="507" t="str">
        <f>INPUT!FY361</f>
        <v>NM</v>
      </c>
      <c r="DM387" s="151"/>
      <c r="DN387" s="507"/>
      <c r="DO387" s="151"/>
      <c r="DP387" s="507"/>
      <c r="DQ387" s="151"/>
      <c r="DR387" s="507"/>
      <c r="DS387" s="151"/>
      <c r="DT387" s="507"/>
      <c r="DU387" s="151"/>
      <c r="DV387" s="507"/>
      <c r="DW387" s="151"/>
      <c r="DX387" s="507"/>
      <c r="DY387" s="151"/>
      <c r="DZ387" s="507"/>
      <c r="EA387" s="151"/>
      <c r="EB387" s="507"/>
      <c r="EC387" s="151"/>
      <c r="ED387" s="507"/>
      <c r="EE387" s="151"/>
      <c r="EF387" s="507"/>
      <c r="EG387" s="151"/>
      <c r="EH387" s="507"/>
      <c r="EI387" s="151"/>
      <c r="EJ387" s="507"/>
      <c r="EK387" s="151"/>
      <c r="EL387" s="507"/>
      <c r="EM387" s="687"/>
    </row>
    <row r="388" spans="1:143" ht="12.75" hidden="1" customHeight="1" outlineLevel="2" x14ac:dyDescent="0.2">
      <c r="A388" s="701" t="str">
        <f>INPUT!B362</f>
        <v>Acquisitions/Disposals</v>
      </c>
      <c r="B388" s="153">
        <f>INPUT!AY362</f>
        <v>0</v>
      </c>
      <c r="C388" s="507" t="str">
        <f>INPUT!AZ362</f>
        <v>NA</v>
      </c>
      <c r="D388" s="153">
        <f>INPUT!BA362</f>
        <v>0</v>
      </c>
      <c r="E388" s="687" t="str">
        <f>INPUT!BB362</f>
        <v>NA</v>
      </c>
      <c r="F388" s="153">
        <f>INPUT!BC362</f>
        <v>0</v>
      </c>
      <c r="G388" s="687" t="str">
        <f>INPUT!BD362</f>
        <v>NA</v>
      </c>
      <c r="H388" s="153">
        <f>INPUT!BE362</f>
        <v>0</v>
      </c>
      <c r="I388" s="687" t="str">
        <f>INPUT!BF362</f>
        <v>NA</v>
      </c>
      <c r="J388" s="153">
        <f>INPUT!BG362</f>
        <v>0</v>
      </c>
      <c r="K388" s="687" t="str">
        <f>INPUT!BH362</f>
        <v>NA</v>
      </c>
      <c r="L388" s="153">
        <f>INPUT!BI362</f>
        <v>0</v>
      </c>
      <c r="M388" s="687" t="str">
        <f>INPUT!BJ362</f>
        <v>NA</v>
      </c>
      <c r="N388" s="153">
        <f>INPUT!BK362</f>
        <v>0</v>
      </c>
      <c r="O388" s="687" t="str">
        <f>INPUT!BL362</f>
        <v>NA</v>
      </c>
      <c r="P388" s="153">
        <f>INPUT!BM362</f>
        <v>0</v>
      </c>
      <c r="Q388" s="687" t="str">
        <f>INPUT!BN362</f>
        <v>NA</v>
      </c>
      <c r="R388" s="153">
        <f>INPUT!BO362</f>
        <v>0</v>
      </c>
      <c r="S388" s="687" t="str">
        <f>INPUT!BP362</f>
        <v>NA</v>
      </c>
      <c r="T388" s="153">
        <f>INPUT!BQ362</f>
        <v>0</v>
      </c>
      <c r="U388" s="687" t="str">
        <f>INPUT!BR362</f>
        <v>NA</v>
      </c>
      <c r="V388" s="153">
        <f>INPUT!BS362</f>
        <v>0</v>
      </c>
      <c r="W388" s="687" t="str">
        <f>INPUT!BT362</f>
        <v>NA</v>
      </c>
      <c r="X388" s="153">
        <f>INPUT!BU362</f>
        <v>0</v>
      </c>
      <c r="Y388" s="687" t="str">
        <f>INPUT!BV362</f>
        <v>NA</v>
      </c>
      <c r="Z388" s="153">
        <f>INPUT!BW362</f>
        <v>0</v>
      </c>
      <c r="AA388" s="687" t="str">
        <f>INPUT!BX362</f>
        <v>NA</v>
      </c>
      <c r="AB388" s="153">
        <f>INPUT!BY362</f>
        <v>0</v>
      </c>
      <c r="AC388" s="687" t="str">
        <f>INPUT!BZ362</f>
        <v>NA</v>
      </c>
      <c r="AD388" s="153"/>
      <c r="AE388" s="687"/>
      <c r="AF388" s="153"/>
      <c r="AG388" s="687"/>
      <c r="AH388" s="153"/>
      <c r="AI388" s="507"/>
      <c r="AJ388" s="153"/>
      <c r="AK388" s="507"/>
      <c r="AL388" s="153"/>
      <c r="AM388" s="507"/>
      <c r="AN388" s="153"/>
      <c r="AO388" s="507"/>
      <c r="AP388" s="153"/>
      <c r="AQ388" s="507"/>
      <c r="AR388" s="153"/>
      <c r="AS388" s="507"/>
      <c r="AT388" s="153"/>
      <c r="AU388" s="507"/>
      <c r="AV388" s="153"/>
      <c r="AW388" s="507"/>
      <c r="AX388" s="153"/>
      <c r="AY388" s="507"/>
      <c r="AZ388" s="153"/>
      <c r="BA388" s="507"/>
      <c r="BB388" s="153"/>
      <c r="BC388" s="507"/>
      <c r="BD388" s="153"/>
      <c r="BE388" s="507"/>
      <c r="BF388" s="153"/>
      <c r="BG388" s="507"/>
      <c r="BH388" s="153"/>
      <c r="BI388" s="507"/>
      <c r="BJ388" s="153"/>
      <c r="BK388" s="507"/>
      <c r="BL388" s="153"/>
      <c r="BM388" s="507"/>
      <c r="BN388" s="153"/>
      <c r="BO388" s="507"/>
      <c r="BP388" s="153"/>
      <c r="BQ388" s="507"/>
      <c r="BR388" s="153"/>
      <c r="BS388" s="507"/>
      <c r="BT388" s="153"/>
      <c r="BU388" s="507"/>
      <c r="BV388" s="153"/>
      <c r="BW388" s="507"/>
      <c r="BX388" s="153"/>
      <c r="BY388" s="507"/>
      <c r="BZ388" s="153"/>
      <c r="CA388" s="507"/>
      <c r="CB388" s="153"/>
      <c r="CC388" s="507"/>
      <c r="CD388" s="153"/>
      <c r="CE388" s="507"/>
      <c r="CF388" s="153"/>
      <c r="CG388" s="507"/>
      <c r="CH388" s="153"/>
      <c r="CI388" s="507"/>
      <c r="CJ388" s="153"/>
      <c r="CK388" s="507"/>
      <c r="CL388" s="153"/>
      <c r="CM388" s="507"/>
      <c r="CN388" s="153"/>
      <c r="CO388" s="507"/>
      <c r="CP388" s="153"/>
      <c r="CQ388" s="507"/>
      <c r="CR388" s="153"/>
      <c r="CS388" s="507"/>
      <c r="CT388" s="153"/>
      <c r="CU388" s="507"/>
      <c r="CV388" s="153"/>
      <c r="CW388" s="507"/>
      <c r="CX388" s="153"/>
      <c r="CY388" s="507"/>
      <c r="CZ388" s="153"/>
      <c r="DA388" s="507"/>
      <c r="DB388" s="507"/>
      <c r="DC388" s="153">
        <f>INPUT!FP362</f>
        <v>0</v>
      </c>
      <c r="DD388" s="687" t="str">
        <f>INPUT!FQ362</f>
        <v>NA</v>
      </c>
      <c r="DE388" s="153">
        <f>INPUT!FR362</f>
        <v>0</v>
      </c>
      <c r="DF388" s="687" t="str">
        <f>INPUT!FS362</f>
        <v>NA</v>
      </c>
      <c r="DG388" s="153">
        <f>INPUT!FT362</f>
        <v>0</v>
      </c>
      <c r="DH388" s="687" t="str">
        <f>INPUT!FU362</f>
        <v>NA</v>
      </c>
      <c r="DI388" s="153">
        <f>INPUT!FV362</f>
        <v>0</v>
      </c>
      <c r="DJ388" s="687" t="str">
        <f>INPUT!FW362</f>
        <v>NA</v>
      </c>
      <c r="DK388" s="153">
        <f>INPUT!FX362</f>
        <v>0</v>
      </c>
      <c r="DL388" s="507" t="str">
        <f>INPUT!FY362</f>
        <v>NA</v>
      </c>
      <c r="DM388" s="153"/>
      <c r="DN388" s="507"/>
      <c r="DO388" s="153"/>
      <c r="DP388" s="507"/>
      <c r="DQ388" s="153"/>
      <c r="DR388" s="507"/>
      <c r="DS388" s="153"/>
      <c r="DT388" s="507"/>
      <c r="DU388" s="153"/>
      <c r="DV388" s="507"/>
      <c r="DW388" s="153"/>
      <c r="DX388" s="507"/>
      <c r="DY388" s="153"/>
      <c r="DZ388" s="507"/>
      <c r="EA388" s="153"/>
      <c r="EB388" s="507"/>
      <c r="EC388" s="153"/>
      <c r="ED388" s="507"/>
      <c r="EE388" s="153"/>
      <c r="EF388" s="507"/>
      <c r="EG388" s="153"/>
      <c r="EH388" s="507"/>
      <c r="EI388" s="153"/>
      <c r="EJ388" s="507"/>
      <c r="EK388" s="153"/>
      <c r="EL388" s="507"/>
      <c r="EM388" s="687"/>
    </row>
    <row r="389" spans="1:143" ht="12.75" hidden="1" customHeight="1" outlineLevel="2" x14ac:dyDescent="0.2">
      <c r="A389" s="701" t="str">
        <f>INPUT!B363</f>
        <v xml:space="preserve">Ending Assets Under Management </v>
      </c>
      <c r="B389" s="151">
        <f>INPUT!AY363</f>
        <v>86428</v>
      </c>
      <c r="C389" s="507">
        <f>INPUT!AZ363</f>
        <v>46.289776574136752</v>
      </c>
      <c r="D389" s="151">
        <f>INPUT!BA363</f>
        <v>85924</v>
      </c>
      <c r="E389" s="687">
        <f>INPUT!BB363</f>
        <v>28.530612855454663</v>
      </c>
      <c r="F389" s="151">
        <f>INPUT!BC363</f>
        <v>89511</v>
      </c>
      <c r="G389" s="687">
        <f>INPUT!BD363</f>
        <v>22.159292518492222</v>
      </c>
      <c r="H389" s="151">
        <f>INPUT!BE363</f>
        <v>97307</v>
      </c>
      <c r="I389" s="687">
        <f>INPUT!BF363</f>
        <v>25.342315767779166</v>
      </c>
      <c r="J389" s="151">
        <f>INPUT!BG363</f>
        <v>95722</v>
      </c>
      <c r="K389" s="687">
        <f>INPUT!BH363</f>
        <v>10.753459527005127</v>
      </c>
      <c r="L389" s="151">
        <f>INPUT!BI363</f>
        <v>97714</v>
      </c>
      <c r="M389" s="687">
        <f>INPUT!BJ363</f>
        <v>13.721428238908807</v>
      </c>
      <c r="N389" s="151">
        <f>INPUT!BK363</f>
        <v>99706</v>
      </c>
      <c r="O389" s="687">
        <f>INPUT!BL363</f>
        <v>11.389661605836142</v>
      </c>
      <c r="P389" s="151">
        <f>INPUT!BM363</f>
        <v>85357</v>
      </c>
      <c r="Q389" s="687">
        <f>INPUT!BN363</f>
        <v>-12.280719783777116</v>
      </c>
      <c r="R389" s="151">
        <f>INPUT!BO363</f>
        <v>78538</v>
      </c>
      <c r="S389" s="687">
        <f>INPUT!BP363</f>
        <v>-17.95198595934059</v>
      </c>
      <c r="T389" s="151">
        <f>INPUT!BQ363</f>
        <v>75691</v>
      </c>
      <c r="U389" s="687">
        <f>INPUT!BR363</f>
        <v>-22.538223795976009</v>
      </c>
      <c r="V389" s="151">
        <f>INPUT!BS363</f>
        <v>66599</v>
      </c>
      <c r="W389" s="687">
        <f>INPUT!BT363</f>
        <v>-33.204621587467152</v>
      </c>
      <c r="X389" s="151">
        <f>INPUT!BU363</f>
        <v>54542</v>
      </c>
      <c r="Y389" s="687">
        <f>INPUT!BV363</f>
        <v>-36.10131565073749</v>
      </c>
      <c r="Z389" s="151">
        <f>INPUT!BW363</f>
        <v>51810</v>
      </c>
      <c r="AA389" s="687">
        <f>INPUT!BX363</f>
        <v>-34.031933586289441</v>
      </c>
      <c r="AB389" s="151">
        <f>INPUT!BY363</f>
        <v>57867</v>
      </c>
      <c r="AC389" s="687">
        <f>INPUT!BZ363</f>
        <v>-23.548374311344812</v>
      </c>
      <c r="AD389" s="151"/>
      <c r="AE389" s="687"/>
      <c r="AF389" s="151"/>
      <c r="AG389" s="687"/>
      <c r="AH389" s="151"/>
      <c r="AI389" s="507"/>
      <c r="AJ389" s="151"/>
      <c r="AK389" s="507"/>
      <c r="AL389" s="151"/>
      <c r="AM389" s="507"/>
      <c r="AN389" s="151"/>
      <c r="AO389" s="507"/>
      <c r="AP389" s="151"/>
      <c r="AQ389" s="507"/>
      <c r="AR389" s="151"/>
      <c r="AS389" s="507"/>
      <c r="AT389" s="151"/>
      <c r="AU389" s="507"/>
      <c r="AV389" s="151"/>
      <c r="AW389" s="507"/>
      <c r="AX389" s="151"/>
      <c r="AY389" s="507"/>
      <c r="AZ389" s="151"/>
      <c r="BA389" s="507"/>
      <c r="BB389" s="151"/>
      <c r="BC389" s="507"/>
      <c r="BD389" s="151"/>
      <c r="BE389" s="507"/>
      <c r="BF389" s="151"/>
      <c r="BG389" s="507"/>
      <c r="BH389" s="151"/>
      <c r="BI389" s="507"/>
      <c r="BJ389" s="151"/>
      <c r="BK389" s="507"/>
      <c r="BL389" s="151"/>
      <c r="BM389" s="507"/>
      <c r="BN389" s="151"/>
      <c r="BO389" s="507"/>
      <c r="BP389" s="151"/>
      <c r="BQ389" s="507"/>
      <c r="BR389" s="151"/>
      <c r="BS389" s="507"/>
      <c r="BT389" s="151"/>
      <c r="BU389" s="507"/>
      <c r="BV389" s="151"/>
      <c r="BW389" s="507"/>
      <c r="BX389" s="151"/>
      <c r="BY389" s="507"/>
      <c r="BZ389" s="151"/>
      <c r="CA389" s="507"/>
      <c r="CB389" s="151"/>
      <c r="CC389" s="507"/>
      <c r="CD389" s="151"/>
      <c r="CE389" s="507"/>
      <c r="CF389" s="151"/>
      <c r="CG389" s="507"/>
      <c r="CH389" s="151"/>
      <c r="CI389" s="507"/>
      <c r="CJ389" s="151"/>
      <c r="CK389" s="507"/>
      <c r="CL389" s="151"/>
      <c r="CM389" s="507"/>
      <c r="CN389" s="151"/>
      <c r="CO389" s="507"/>
      <c r="CP389" s="151"/>
      <c r="CQ389" s="507"/>
      <c r="CR389" s="151"/>
      <c r="CS389" s="507"/>
      <c r="CT389" s="151"/>
      <c r="CU389" s="507"/>
      <c r="CV389" s="151"/>
      <c r="CW389" s="507"/>
      <c r="CX389" s="151"/>
      <c r="CY389" s="507"/>
      <c r="CZ389" s="151"/>
      <c r="DA389" s="507"/>
      <c r="DB389" s="507"/>
      <c r="DC389" s="151">
        <f>INPUT!FP363</f>
        <v>77633</v>
      </c>
      <c r="DD389" s="687" t="str">
        <f>INPUT!FQ363</f>
        <v>NA</v>
      </c>
      <c r="DE389" s="151">
        <f>INPUT!FR363</f>
        <v>97307</v>
      </c>
      <c r="DF389" s="687">
        <f>INPUT!FS363</f>
        <v>25.342315767779166</v>
      </c>
      <c r="DG389" s="151">
        <f>INPUT!FT363</f>
        <v>85357</v>
      </c>
      <c r="DH389" s="687">
        <f>INPUT!FU363</f>
        <v>-12.280719783777116</v>
      </c>
      <c r="DI389" s="151">
        <f>INPUT!FV363</f>
        <v>54542</v>
      </c>
      <c r="DJ389" s="687">
        <f>INPUT!FW363</f>
        <v>-36.10131565073749</v>
      </c>
      <c r="DK389" s="151">
        <f>INPUT!FX363</f>
        <v>57867</v>
      </c>
      <c r="DL389" s="507">
        <f>INPUT!FY363</f>
        <v>6.0962194272303982</v>
      </c>
      <c r="DM389" s="151"/>
      <c r="DN389" s="507"/>
      <c r="DO389" s="151"/>
      <c r="DP389" s="507"/>
      <c r="DQ389" s="151"/>
      <c r="DR389" s="507"/>
      <c r="DS389" s="151"/>
      <c r="DT389" s="507"/>
      <c r="DU389" s="151"/>
      <c r="DV389" s="507"/>
      <c r="DW389" s="151"/>
      <c r="DX389" s="507"/>
      <c r="DY389" s="151"/>
      <c r="DZ389" s="507"/>
      <c r="EA389" s="151"/>
      <c r="EB389" s="507"/>
      <c r="EC389" s="151"/>
      <c r="ED389" s="507"/>
      <c r="EE389" s="151"/>
      <c r="EF389" s="507"/>
      <c r="EG389" s="151"/>
      <c r="EH389" s="507"/>
      <c r="EI389" s="151"/>
      <c r="EJ389" s="507"/>
      <c r="EK389" s="151"/>
      <c r="EL389" s="507"/>
      <c r="EM389" s="687"/>
    </row>
    <row r="390" spans="1:143" ht="12.75" hidden="1" customHeight="1" outlineLevel="2" x14ac:dyDescent="0.2">
      <c r="A390" s="701"/>
      <c r="B390" s="16"/>
      <c r="C390" s="507"/>
      <c r="D390" s="16"/>
      <c r="E390" s="687"/>
      <c r="F390" s="16"/>
      <c r="G390" s="687"/>
      <c r="H390" s="16"/>
      <c r="I390" s="687"/>
      <c r="J390" s="16"/>
      <c r="K390" s="687"/>
      <c r="L390" s="16"/>
      <c r="M390" s="687"/>
      <c r="N390" s="16"/>
      <c r="O390" s="687"/>
      <c r="P390" s="16"/>
      <c r="Q390" s="687"/>
      <c r="R390" s="16"/>
      <c r="S390" s="687"/>
      <c r="T390" s="16"/>
      <c r="U390" s="687"/>
      <c r="V390" s="16"/>
      <c r="W390" s="687"/>
      <c r="X390" s="16"/>
      <c r="Y390" s="687"/>
      <c r="Z390" s="16"/>
      <c r="AA390" s="687"/>
      <c r="AB390" s="16"/>
      <c r="AC390" s="687"/>
      <c r="AD390" s="16"/>
      <c r="AE390" s="687"/>
      <c r="AF390" s="16"/>
      <c r="AG390" s="687"/>
      <c r="AH390" s="16"/>
      <c r="AI390" s="507"/>
      <c r="AJ390" s="16"/>
      <c r="AK390" s="507"/>
      <c r="AL390" s="16"/>
      <c r="AM390" s="507"/>
      <c r="AN390" s="16"/>
      <c r="AO390" s="507"/>
      <c r="AP390" s="16"/>
      <c r="AQ390" s="507"/>
      <c r="AR390" s="16"/>
      <c r="AS390" s="507"/>
      <c r="AT390" s="16"/>
      <c r="AU390" s="507"/>
      <c r="AV390" s="16"/>
      <c r="AW390" s="507"/>
      <c r="AX390" s="16"/>
      <c r="AY390" s="507"/>
      <c r="AZ390" s="16"/>
      <c r="BA390" s="507"/>
      <c r="BB390" s="16"/>
      <c r="BC390" s="507"/>
      <c r="BD390" s="16"/>
      <c r="BE390" s="507"/>
      <c r="BF390" s="16"/>
      <c r="BG390" s="507"/>
      <c r="BH390" s="16"/>
      <c r="BI390" s="507"/>
      <c r="BJ390" s="16"/>
      <c r="BK390" s="507"/>
      <c r="BL390" s="16"/>
      <c r="BM390" s="507"/>
      <c r="BN390" s="16"/>
      <c r="BO390" s="507"/>
      <c r="BP390" s="16"/>
      <c r="BQ390" s="507"/>
      <c r="BR390" s="16"/>
      <c r="BS390" s="507"/>
      <c r="BT390" s="16"/>
      <c r="BU390" s="507"/>
      <c r="BV390" s="16"/>
      <c r="BW390" s="507"/>
      <c r="BX390" s="16"/>
      <c r="BY390" s="507"/>
      <c r="BZ390" s="16"/>
      <c r="CA390" s="507"/>
      <c r="CB390" s="16"/>
      <c r="CC390" s="507"/>
      <c r="CD390" s="16"/>
      <c r="CE390" s="507"/>
      <c r="CF390" s="16"/>
      <c r="CG390" s="507"/>
      <c r="CH390" s="16"/>
      <c r="CI390" s="507"/>
      <c r="CJ390" s="16"/>
      <c r="CK390" s="507"/>
      <c r="CL390" s="16"/>
      <c r="CM390" s="507"/>
      <c r="CN390" s="16"/>
      <c r="CO390" s="507"/>
      <c r="CP390" s="16"/>
      <c r="CQ390" s="507"/>
      <c r="CR390" s="16"/>
      <c r="CS390" s="507"/>
      <c r="CT390" s="16"/>
      <c r="CU390" s="507"/>
      <c r="CV390" s="16"/>
      <c r="CW390" s="507"/>
      <c r="CX390" s="16"/>
      <c r="CY390" s="507"/>
      <c r="CZ390" s="16"/>
      <c r="DA390" s="507"/>
      <c r="DB390" s="507"/>
      <c r="DC390" s="16"/>
      <c r="DD390" s="687"/>
      <c r="DE390" s="16"/>
      <c r="DF390" s="687"/>
      <c r="DG390" s="16"/>
      <c r="DH390" s="687"/>
      <c r="DI390" s="16"/>
      <c r="DJ390" s="687"/>
      <c r="DK390" s="16"/>
      <c r="DL390" s="507"/>
      <c r="DM390" s="16"/>
      <c r="DN390" s="507"/>
      <c r="DO390" s="16"/>
      <c r="DP390" s="507"/>
      <c r="DQ390" s="16"/>
      <c r="DR390" s="507"/>
      <c r="DS390" s="16"/>
      <c r="DT390" s="507"/>
      <c r="DU390" s="16"/>
      <c r="DV390" s="507"/>
      <c r="DW390" s="16"/>
      <c r="DX390" s="507"/>
      <c r="DY390" s="16"/>
      <c r="DZ390" s="507"/>
      <c r="EA390" s="16"/>
      <c r="EB390" s="507"/>
      <c r="EC390" s="16"/>
      <c r="ED390" s="507"/>
      <c r="EE390" s="16"/>
      <c r="EF390" s="507"/>
      <c r="EG390" s="16"/>
      <c r="EH390" s="507"/>
      <c r="EI390" s="16"/>
      <c r="EJ390" s="507"/>
      <c r="EK390" s="16"/>
      <c r="EL390" s="507"/>
      <c r="EM390" s="687"/>
    </row>
    <row r="391" spans="1:143" ht="12.75" hidden="1" customHeight="1" outlineLevel="2" x14ac:dyDescent="0.2">
      <c r="A391" s="700" t="str">
        <f>INPUT!B366</f>
        <v>Total AUM Analysis</v>
      </c>
      <c r="B391" s="16"/>
      <c r="C391" s="507"/>
      <c r="D391" s="16"/>
      <c r="E391" s="687"/>
      <c r="F391" s="16"/>
      <c r="G391" s="687"/>
      <c r="H391" s="16"/>
      <c r="I391" s="687"/>
      <c r="J391" s="16"/>
      <c r="K391" s="687"/>
      <c r="L391" s="16"/>
      <c r="M391" s="687"/>
      <c r="N391" s="16"/>
      <c r="O391" s="687"/>
      <c r="P391" s="16"/>
      <c r="Q391" s="687"/>
      <c r="R391" s="16"/>
      <c r="S391" s="687"/>
      <c r="T391" s="16"/>
      <c r="U391" s="687"/>
      <c r="V391" s="16"/>
      <c r="W391" s="687"/>
      <c r="X391" s="16"/>
      <c r="Y391" s="687"/>
      <c r="Z391" s="16"/>
      <c r="AA391" s="687"/>
      <c r="AB391" s="16"/>
      <c r="AC391" s="687"/>
      <c r="AD391" s="16"/>
      <c r="AE391" s="687"/>
      <c r="AF391" s="16"/>
      <c r="AG391" s="687"/>
      <c r="AH391" s="16"/>
      <c r="AI391" s="507"/>
      <c r="AJ391" s="16"/>
      <c r="AK391" s="507"/>
      <c r="AL391" s="16"/>
      <c r="AM391" s="507"/>
      <c r="AN391" s="16"/>
      <c r="AO391" s="507"/>
      <c r="AP391" s="16"/>
      <c r="AQ391" s="507"/>
      <c r="AR391" s="16"/>
      <c r="AS391" s="507"/>
      <c r="AT391" s="16"/>
      <c r="AU391" s="507"/>
      <c r="AV391" s="16"/>
      <c r="AW391" s="507"/>
      <c r="AX391" s="16"/>
      <c r="AY391" s="507"/>
      <c r="AZ391" s="16"/>
      <c r="BA391" s="507"/>
      <c r="BB391" s="16"/>
      <c r="BC391" s="507"/>
      <c r="BD391" s="16"/>
      <c r="BE391" s="507"/>
      <c r="BF391" s="16"/>
      <c r="BG391" s="507"/>
      <c r="BH391" s="16"/>
      <c r="BI391" s="507"/>
      <c r="BJ391" s="16"/>
      <c r="BK391" s="507"/>
      <c r="BL391" s="16"/>
      <c r="BM391" s="507"/>
      <c r="BN391" s="16"/>
      <c r="BO391" s="507"/>
      <c r="BP391" s="16"/>
      <c r="BQ391" s="507"/>
      <c r="BR391" s="16"/>
      <c r="BS391" s="507"/>
      <c r="BT391" s="16"/>
      <c r="BU391" s="507"/>
      <c r="BV391" s="16"/>
      <c r="BW391" s="507"/>
      <c r="BX391" s="16"/>
      <c r="BY391" s="507"/>
      <c r="BZ391" s="16"/>
      <c r="CA391" s="507"/>
      <c r="CB391" s="16"/>
      <c r="CC391" s="507"/>
      <c r="CD391" s="16"/>
      <c r="CE391" s="507"/>
      <c r="CF391" s="16"/>
      <c r="CG391" s="507"/>
      <c r="CH391" s="16"/>
      <c r="CI391" s="507"/>
      <c r="CJ391" s="16"/>
      <c r="CK391" s="507"/>
      <c r="CL391" s="16"/>
      <c r="CM391" s="507"/>
      <c r="CN391" s="16"/>
      <c r="CO391" s="507"/>
      <c r="CP391" s="16"/>
      <c r="CQ391" s="507"/>
      <c r="CR391" s="16"/>
      <c r="CS391" s="507"/>
      <c r="CT391" s="16"/>
      <c r="CU391" s="507"/>
      <c r="CV391" s="16"/>
      <c r="CW391" s="507"/>
      <c r="CX391" s="16"/>
      <c r="CY391" s="507"/>
      <c r="CZ391" s="16"/>
      <c r="DA391" s="507"/>
      <c r="DB391" s="507"/>
      <c r="DC391" s="16"/>
      <c r="DD391" s="687"/>
      <c r="DE391" s="16"/>
      <c r="DF391" s="687"/>
      <c r="DG391" s="16"/>
      <c r="DH391" s="687"/>
      <c r="DI391" s="16"/>
      <c r="DJ391" s="687"/>
      <c r="DK391" s="16"/>
      <c r="DL391" s="507"/>
      <c r="DM391" s="16"/>
      <c r="DN391" s="507"/>
      <c r="DO391" s="16"/>
      <c r="DP391" s="507"/>
      <c r="DQ391" s="16"/>
      <c r="DR391" s="507"/>
      <c r="DS391" s="16"/>
      <c r="DT391" s="507"/>
      <c r="DU391" s="16"/>
      <c r="DV391" s="507"/>
      <c r="DW391" s="16"/>
      <c r="DX391" s="507"/>
      <c r="DY391" s="16"/>
      <c r="DZ391" s="507"/>
      <c r="EA391" s="16"/>
      <c r="EB391" s="507"/>
      <c r="EC391" s="16"/>
      <c r="ED391" s="507"/>
      <c r="EE391" s="16"/>
      <c r="EF391" s="507"/>
      <c r="EG391" s="16"/>
      <c r="EH391" s="507"/>
      <c r="EI391" s="16"/>
      <c r="EJ391" s="507"/>
      <c r="EK391" s="16"/>
      <c r="EL391" s="507"/>
      <c r="EM391" s="687"/>
    </row>
    <row r="392" spans="1:143" ht="12.75" hidden="1" customHeight="1" outlineLevel="2" x14ac:dyDescent="0.2">
      <c r="A392" s="701" t="str">
        <f>INPUT!B367</f>
        <v>Net Flows</v>
      </c>
      <c r="B392" s="151">
        <f>INPUT!AY367</f>
        <v>4964</v>
      </c>
      <c r="C392" s="507">
        <f>INPUT!AZ367</f>
        <v>79.659790083242839</v>
      </c>
      <c r="D392" s="151">
        <f>INPUT!BA367</f>
        <v>1009</v>
      </c>
      <c r="E392" s="687" t="str">
        <f>INPUT!BB367</f>
        <v>NM</v>
      </c>
      <c r="F392" s="151">
        <f>INPUT!BC367</f>
        <v>749</v>
      </c>
      <c r="G392" s="687" t="str">
        <f>INPUT!BD367</f>
        <v>NM</v>
      </c>
      <c r="H392" s="151">
        <f>INPUT!BE367</f>
        <v>2529</v>
      </c>
      <c r="I392" s="687">
        <f>INPUT!BF367</f>
        <v>-12.278876170655561</v>
      </c>
      <c r="J392" s="151">
        <f>INPUT!BG367</f>
        <v>93</v>
      </c>
      <c r="K392" s="687" t="str">
        <f>INPUT!BH367</f>
        <v>NM</v>
      </c>
      <c r="L392" s="151">
        <f>INPUT!BI367</f>
        <v>93</v>
      </c>
      <c r="M392" s="687" t="str">
        <f>INPUT!BJ367</f>
        <v>NM</v>
      </c>
      <c r="N392" s="151">
        <f>INPUT!BK367</f>
        <v>93</v>
      </c>
      <c r="O392" s="687" t="str">
        <f>INPUT!BL367</f>
        <v>NM</v>
      </c>
      <c r="P392" s="151">
        <f>INPUT!BM367</f>
        <v>-1070</v>
      </c>
      <c r="Q392" s="687" t="str">
        <f>INPUT!BN367</f>
        <v>NM</v>
      </c>
      <c r="R392" s="151">
        <f>INPUT!BO367</f>
        <v>-1162</v>
      </c>
      <c r="S392" s="687" t="str">
        <f>INPUT!BP367</f>
        <v>NM</v>
      </c>
      <c r="T392" s="151">
        <f>INPUT!BQ367</f>
        <v>-1469</v>
      </c>
      <c r="U392" s="687" t="str">
        <f>INPUT!BR367</f>
        <v>NM</v>
      </c>
      <c r="V392" s="151">
        <f>INPUT!BS367</f>
        <v>-3272</v>
      </c>
      <c r="W392" s="687" t="str">
        <f>INPUT!BT367</f>
        <v>NM</v>
      </c>
      <c r="X392" s="151">
        <f>INPUT!BU367</f>
        <v>-3300</v>
      </c>
      <c r="Y392" s="687" t="str">
        <f>INPUT!BV367</f>
        <v>NM</v>
      </c>
      <c r="Z392" s="151">
        <f>INPUT!BW367</f>
        <v>211</v>
      </c>
      <c r="AA392" s="687" t="str">
        <f>INPUT!BX367</f>
        <v>NM</v>
      </c>
      <c r="AB392" s="151">
        <f>INPUT!BY367</f>
        <v>74</v>
      </c>
      <c r="AC392" s="687" t="str">
        <f>INPUT!BZ367</f>
        <v>NM</v>
      </c>
      <c r="AD392" s="151"/>
      <c r="AE392" s="687"/>
      <c r="AF392" s="151"/>
      <c r="AG392" s="687"/>
      <c r="AH392" s="151"/>
      <c r="AI392" s="507"/>
      <c r="AJ392" s="151"/>
      <c r="AK392" s="507"/>
      <c r="AL392" s="151"/>
      <c r="AM392" s="507"/>
      <c r="AN392" s="151"/>
      <c r="AO392" s="507"/>
      <c r="AP392" s="151"/>
      <c r="AQ392" s="507"/>
      <c r="AR392" s="151"/>
      <c r="AS392" s="507"/>
      <c r="AT392" s="151"/>
      <c r="AU392" s="507"/>
      <c r="AV392" s="151"/>
      <c r="AW392" s="507"/>
      <c r="AX392" s="151"/>
      <c r="AY392" s="507"/>
      <c r="AZ392" s="151"/>
      <c r="BA392" s="507"/>
      <c r="BB392" s="151"/>
      <c r="BC392" s="507"/>
      <c r="BD392" s="151"/>
      <c r="BE392" s="507"/>
      <c r="BF392" s="151"/>
      <c r="BG392" s="507"/>
      <c r="BH392" s="151"/>
      <c r="BI392" s="507"/>
      <c r="BJ392" s="151"/>
      <c r="BK392" s="507"/>
      <c r="BL392" s="151"/>
      <c r="BM392" s="507"/>
      <c r="BN392" s="151"/>
      <c r="BO392" s="507"/>
      <c r="BP392" s="151"/>
      <c r="BQ392" s="507"/>
      <c r="BR392" s="151"/>
      <c r="BS392" s="507"/>
      <c r="BT392" s="151"/>
      <c r="BU392" s="507"/>
      <c r="BV392" s="151"/>
      <c r="BW392" s="507"/>
      <c r="BX392" s="151"/>
      <c r="BY392" s="507"/>
      <c r="BZ392" s="151"/>
      <c r="CA392" s="507"/>
      <c r="CB392" s="151"/>
      <c r="CC392" s="507"/>
      <c r="CD392" s="151"/>
      <c r="CE392" s="507"/>
      <c r="CF392" s="151"/>
      <c r="CG392" s="507"/>
      <c r="CH392" s="151"/>
      <c r="CI392" s="507"/>
      <c r="CJ392" s="151"/>
      <c r="CK392" s="507"/>
      <c r="CL392" s="151"/>
      <c r="CM392" s="507"/>
      <c r="CN392" s="151"/>
      <c r="CO392" s="507"/>
      <c r="CP392" s="151"/>
      <c r="CQ392" s="507"/>
      <c r="CR392" s="151"/>
      <c r="CS392" s="507"/>
      <c r="CT392" s="151"/>
      <c r="CU392" s="507"/>
      <c r="CV392" s="151"/>
      <c r="CW392" s="507"/>
      <c r="CX392" s="151"/>
      <c r="CY392" s="507"/>
      <c r="CZ392" s="151"/>
      <c r="DA392" s="507"/>
      <c r="DB392" s="507"/>
      <c r="DC392" s="151">
        <f>INPUT!FP367</f>
        <v>15554</v>
      </c>
      <c r="DD392" s="687" t="str">
        <f>INPUT!FQ367</f>
        <v>NA</v>
      </c>
      <c r="DE392" s="151">
        <f>INPUT!FR367</f>
        <v>9251</v>
      </c>
      <c r="DF392" s="687">
        <f>INPUT!FS367</f>
        <v>-40.523338048090515</v>
      </c>
      <c r="DG392" s="151">
        <f>INPUT!FT367</f>
        <v>-791</v>
      </c>
      <c r="DH392" s="687" t="str">
        <f>INPUT!FU367</f>
        <v>NM</v>
      </c>
      <c r="DI392" s="151">
        <f>INPUT!FV367</f>
        <v>-9203</v>
      </c>
      <c r="DJ392" s="687" t="str">
        <f>INPUT!FW367</f>
        <v>NM</v>
      </c>
      <c r="DK392" s="151">
        <f>INPUT!FX367</f>
        <v>285</v>
      </c>
      <c r="DL392" s="507" t="str">
        <f>INPUT!FY367</f>
        <v>NM</v>
      </c>
      <c r="DM392" s="151"/>
      <c r="DN392" s="507"/>
      <c r="DO392" s="151"/>
      <c r="DP392" s="507"/>
      <c r="DQ392" s="151"/>
      <c r="DR392" s="507"/>
      <c r="DS392" s="151"/>
      <c r="DT392" s="507"/>
      <c r="DU392" s="151"/>
      <c r="DV392" s="507"/>
      <c r="DW392" s="151"/>
      <c r="DX392" s="507"/>
      <c r="DY392" s="151"/>
      <c r="DZ392" s="507"/>
      <c r="EA392" s="151"/>
      <c r="EB392" s="507"/>
      <c r="EC392" s="151"/>
      <c r="ED392" s="507"/>
      <c r="EE392" s="151"/>
      <c r="EF392" s="507"/>
      <c r="EG392" s="151"/>
      <c r="EH392" s="507"/>
      <c r="EI392" s="151"/>
      <c r="EJ392" s="507"/>
      <c r="EK392" s="151"/>
      <c r="EL392" s="507"/>
      <c r="EM392" s="687"/>
    </row>
    <row r="393" spans="1:143" ht="12.75" hidden="1" customHeight="1" outlineLevel="2" x14ac:dyDescent="0.2">
      <c r="A393" s="701" t="str">
        <f>INPUT!B368</f>
        <v>Assets Added</v>
      </c>
      <c r="B393" s="151">
        <f>INPUT!AY368</f>
        <v>8795</v>
      </c>
      <c r="C393" s="507" t="str">
        <f>INPUT!AZ368</f>
        <v>NM</v>
      </c>
      <c r="D393" s="151">
        <f>INPUT!BA368</f>
        <v>-504</v>
      </c>
      <c r="E393" s="687" t="str">
        <f>INPUT!BB368</f>
        <v>NM</v>
      </c>
      <c r="F393" s="151">
        <f>INPUT!BC368</f>
        <v>3587</v>
      </c>
      <c r="G393" s="687">
        <f>INPUT!BD368</f>
        <v>-44.153822201463491</v>
      </c>
      <c r="H393" s="151">
        <f>INPUT!BE368</f>
        <v>7796</v>
      </c>
      <c r="I393" s="687">
        <f>INPUT!BF368</f>
        <v>78.848359715531075</v>
      </c>
      <c r="J393" s="151">
        <f>INPUT!BG368</f>
        <v>1992</v>
      </c>
      <c r="K393" s="687" t="str">
        <f>INPUT!BH368</f>
        <v>NM</v>
      </c>
      <c r="L393" s="151">
        <f>INPUT!BI368</f>
        <v>1992</v>
      </c>
      <c r="M393" s="687" t="str">
        <f>INPUT!BJ368</f>
        <v>NM</v>
      </c>
      <c r="N393" s="151">
        <f>INPUT!BK368</f>
        <v>1992</v>
      </c>
      <c r="O393" s="687">
        <f>INPUT!BL368</f>
        <v>-44.466127683300805</v>
      </c>
      <c r="P393" s="151">
        <f>INPUT!BM368</f>
        <v>-14349</v>
      </c>
      <c r="Q393" s="687" t="str">
        <f>INPUT!BN368</f>
        <v>NM</v>
      </c>
      <c r="R393" s="151">
        <f>INPUT!BO368</f>
        <v>-6819</v>
      </c>
      <c r="S393" s="687" t="str">
        <f>INPUT!BP368</f>
        <v>NM</v>
      </c>
      <c r="T393" s="151">
        <f>INPUT!BQ368</f>
        <v>-2847</v>
      </c>
      <c r="U393" s="687" t="str">
        <f>INPUT!BR368</f>
        <v>NM</v>
      </c>
      <c r="V393" s="151">
        <f>INPUT!BS368</f>
        <v>-9092</v>
      </c>
      <c r="W393" s="687" t="str">
        <f>INPUT!BT368</f>
        <v>NM</v>
      </c>
      <c r="X393" s="151">
        <f>INPUT!BU368</f>
        <v>-12057</v>
      </c>
      <c r="Y393" s="687">
        <f>INPUT!BV368</f>
        <v>-15.97323855320928</v>
      </c>
      <c r="Z393" s="151">
        <f>INPUT!BW368</f>
        <v>-2732</v>
      </c>
      <c r="AA393" s="687" t="str">
        <f>INPUT!BX368</f>
        <v>NM</v>
      </c>
      <c r="AB393" s="151">
        <f>INPUT!BY368</f>
        <v>6057</v>
      </c>
      <c r="AC393" s="687" t="str">
        <f>INPUT!BZ368</f>
        <v>NM</v>
      </c>
      <c r="AD393" s="151"/>
      <c r="AE393" s="687"/>
      <c r="AF393" s="151"/>
      <c r="AG393" s="687"/>
      <c r="AH393" s="151"/>
      <c r="AI393" s="507"/>
      <c r="AJ393" s="151"/>
      <c r="AK393" s="507"/>
      <c r="AL393" s="151"/>
      <c r="AM393" s="507"/>
      <c r="AN393" s="151"/>
      <c r="AO393" s="507"/>
      <c r="AP393" s="151"/>
      <c r="AQ393" s="507"/>
      <c r="AR393" s="151"/>
      <c r="AS393" s="507"/>
      <c r="AT393" s="151"/>
      <c r="AU393" s="507"/>
      <c r="AV393" s="151"/>
      <c r="AW393" s="507"/>
      <c r="AX393" s="151"/>
      <c r="AY393" s="507"/>
      <c r="AZ393" s="151"/>
      <c r="BA393" s="507"/>
      <c r="BB393" s="151"/>
      <c r="BC393" s="507"/>
      <c r="BD393" s="151"/>
      <c r="BE393" s="507"/>
      <c r="BF393" s="151"/>
      <c r="BG393" s="507"/>
      <c r="BH393" s="151"/>
      <c r="BI393" s="507"/>
      <c r="BJ393" s="151"/>
      <c r="BK393" s="507"/>
      <c r="BL393" s="151"/>
      <c r="BM393" s="507"/>
      <c r="BN393" s="151"/>
      <c r="BO393" s="507"/>
      <c r="BP393" s="151"/>
      <c r="BQ393" s="507"/>
      <c r="BR393" s="151"/>
      <c r="BS393" s="507"/>
      <c r="BT393" s="151"/>
      <c r="BU393" s="507"/>
      <c r="BV393" s="151"/>
      <c r="BW393" s="507"/>
      <c r="BX393" s="151"/>
      <c r="BY393" s="507"/>
      <c r="BZ393" s="151"/>
      <c r="CA393" s="507"/>
      <c r="CB393" s="151"/>
      <c r="CC393" s="507"/>
      <c r="CD393" s="151"/>
      <c r="CE393" s="507"/>
      <c r="CF393" s="151"/>
      <c r="CG393" s="507"/>
      <c r="CH393" s="151"/>
      <c r="CI393" s="507"/>
      <c r="CJ393" s="151"/>
      <c r="CK393" s="507"/>
      <c r="CL393" s="151"/>
      <c r="CM393" s="507"/>
      <c r="CN393" s="151"/>
      <c r="CO393" s="507"/>
      <c r="CP393" s="151"/>
      <c r="CQ393" s="507"/>
      <c r="CR393" s="151"/>
      <c r="CS393" s="507"/>
      <c r="CT393" s="151"/>
      <c r="CU393" s="507"/>
      <c r="CV393" s="151"/>
      <c r="CW393" s="507"/>
      <c r="CX393" s="151"/>
      <c r="CY393" s="507"/>
      <c r="CZ393" s="151"/>
      <c r="DA393" s="507"/>
      <c r="DB393" s="507"/>
      <c r="DC393" s="151">
        <f>INPUT!FP368</f>
        <v>20502</v>
      </c>
      <c r="DD393" s="687" t="str">
        <f>INPUT!FQ368</f>
        <v>NA</v>
      </c>
      <c r="DE393" s="151">
        <f>INPUT!FR368</f>
        <v>19674</v>
      </c>
      <c r="DF393" s="687">
        <f>INPUT!FS368</f>
        <v>-4.0386303775241439</v>
      </c>
      <c r="DG393" s="151">
        <f>INPUT!FT368</f>
        <v>-8373</v>
      </c>
      <c r="DH393" s="687" t="str">
        <f>INPUT!FU368</f>
        <v>NM</v>
      </c>
      <c r="DI393" s="151">
        <f>INPUT!FV368</f>
        <v>-30815</v>
      </c>
      <c r="DJ393" s="687" t="str">
        <f>INPUT!FW368</f>
        <v>NM</v>
      </c>
      <c r="DK393" s="151">
        <f>INPUT!FX368</f>
        <v>3325</v>
      </c>
      <c r="DL393" s="507" t="str">
        <f>INPUT!FY368</f>
        <v>NM</v>
      </c>
      <c r="DM393" s="151"/>
      <c r="DN393" s="507"/>
      <c r="DO393" s="151"/>
      <c r="DP393" s="507"/>
      <c r="DQ393" s="151"/>
      <c r="DR393" s="507"/>
      <c r="DS393" s="151"/>
      <c r="DT393" s="507"/>
      <c r="DU393" s="151"/>
      <c r="DV393" s="507"/>
      <c r="DW393" s="151"/>
      <c r="DX393" s="507"/>
      <c r="DY393" s="151"/>
      <c r="DZ393" s="507"/>
      <c r="EA393" s="151"/>
      <c r="EB393" s="507"/>
      <c r="EC393" s="151"/>
      <c r="ED393" s="507"/>
      <c r="EE393" s="151"/>
      <c r="EF393" s="507"/>
      <c r="EG393" s="151"/>
      <c r="EH393" s="507"/>
      <c r="EI393" s="151"/>
      <c r="EJ393" s="507"/>
      <c r="EK393" s="151"/>
      <c r="EL393" s="507"/>
      <c r="EM393" s="687"/>
    </row>
    <row r="394" spans="1:143" ht="12.75" hidden="1" customHeight="1" outlineLevel="2" x14ac:dyDescent="0.2">
      <c r="A394" s="701" t="str">
        <f>INPUT!B369</f>
        <v>Sales/Beginning AUM (%)</v>
      </c>
      <c r="B394" s="156">
        <f>INPUT!AY369</f>
        <v>46.696636739530874</v>
      </c>
      <c r="C394" s="507">
        <f>INPUT!AZ369</f>
        <v>15.811145753001309</v>
      </c>
      <c r="D394" s="156">
        <f>INPUT!BA369</f>
        <v>27.981672606099877</v>
      </c>
      <c r="E394" s="687" t="str">
        <f>INPUT!BB369</f>
        <v>NM</v>
      </c>
      <c r="F394" s="156">
        <f>INPUT!BC369</f>
        <v>22.824821935664076</v>
      </c>
      <c r="G394" s="687">
        <f>INPUT!BD369</f>
        <v>-43.385939031571709</v>
      </c>
      <c r="H394" s="156">
        <f>INPUT!BE369</f>
        <v>36.107294075588477</v>
      </c>
      <c r="I394" s="687">
        <f>INPUT!BF369</f>
        <v>-21.835090224099808</v>
      </c>
      <c r="J394" s="156">
        <f>INPUT!BG369</f>
        <v>24.517230342473063</v>
      </c>
      <c r="K394" s="687">
        <f>INPUT!BH369</f>
        <v>-47.496796227043717</v>
      </c>
      <c r="L394" s="156">
        <f>INPUT!BI369</f>
        <v>24.007020329704769</v>
      </c>
      <c r="M394" s="687">
        <f>INPUT!BJ369</f>
        <v>-14.204484243478188</v>
      </c>
      <c r="N394" s="156">
        <f>INPUT!BK369</f>
        <v>23.517612624598318</v>
      </c>
      <c r="O394" s="687">
        <f>INPUT!BL369</f>
        <v>3.0352512316941471</v>
      </c>
      <c r="P394" s="156">
        <f>INPUT!BM369</f>
        <v>23.356668605700758</v>
      </c>
      <c r="Q394" s="687">
        <f>INPUT!BN369</f>
        <v>-35.313157067918297</v>
      </c>
      <c r="R394" s="156">
        <f>INPUT!BO369</f>
        <v>22.132924071839451</v>
      </c>
      <c r="S394" s="687">
        <f>INPUT!BP369</f>
        <v>-9.725022921953375</v>
      </c>
      <c r="T394" s="156">
        <f>INPUT!BQ369</f>
        <v>17.856324327077338</v>
      </c>
      <c r="U394" s="687">
        <f>INPUT!BR369</f>
        <v>-25.620405690317792</v>
      </c>
      <c r="V394" s="156">
        <f>INPUT!BS369</f>
        <v>21.075160851356173</v>
      </c>
      <c r="W394" s="687">
        <f>INPUT!BT369</f>
        <v>-10.385628049198559</v>
      </c>
      <c r="X394" s="156">
        <f>INPUT!BU369</f>
        <v>22.703043589243084</v>
      </c>
      <c r="Y394" s="687">
        <f>INPUT!BV369</f>
        <v>-2.7984513865908944</v>
      </c>
      <c r="Z394" s="156">
        <f>INPUT!BW369</f>
        <v>37.622382750907555</v>
      </c>
      <c r="AA394" s="687">
        <f>INPUT!BX369</f>
        <v>69.983788083274192</v>
      </c>
      <c r="AB394" s="156">
        <f>INPUT!BY369</f>
        <v>29.855240301100171</v>
      </c>
      <c r="AC394" s="687">
        <f>INPUT!BZ369</f>
        <v>67.19700960979786</v>
      </c>
      <c r="AD394" s="156"/>
      <c r="AE394" s="687"/>
      <c r="AF394" s="156"/>
      <c r="AG394" s="687"/>
      <c r="AH394" s="156"/>
      <c r="AI394" s="507"/>
      <c r="AJ394" s="156"/>
      <c r="AK394" s="507"/>
      <c r="AL394" s="156"/>
      <c r="AM394" s="507"/>
      <c r="AN394" s="156"/>
      <c r="AO394" s="507"/>
      <c r="AP394" s="156"/>
      <c r="AQ394" s="507"/>
      <c r="AR394" s="156"/>
      <c r="AS394" s="507"/>
      <c r="AT394" s="156"/>
      <c r="AU394" s="507"/>
      <c r="AV394" s="156"/>
      <c r="AW394" s="507"/>
      <c r="AX394" s="156"/>
      <c r="AY394" s="507"/>
      <c r="AZ394" s="156"/>
      <c r="BA394" s="507"/>
      <c r="BB394" s="156"/>
      <c r="BC394" s="507"/>
      <c r="BD394" s="156"/>
      <c r="BE394" s="507"/>
      <c r="BF394" s="156"/>
      <c r="BG394" s="507"/>
      <c r="BH394" s="156"/>
      <c r="BI394" s="507"/>
      <c r="BJ394" s="156"/>
      <c r="BK394" s="507"/>
      <c r="BL394" s="156"/>
      <c r="BM394" s="507"/>
      <c r="BN394" s="156"/>
      <c r="BO394" s="507"/>
      <c r="BP394" s="156"/>
      <c r="BQ394" s="507"/>
      <c r="BR394" s="156"/>
      <c r="BS394" s="507"/>
      <c r="BT394" s="156"/>
      <c r="BU394" s="507"/>
      <c r="BV394" s="156"/>
      <c r="BW394" s="507"/>
      <c r="BX394" s="156"/>
      <c r="BY394" s="507"/>
      <c r="BZ394" s="156"/>
      <c r="CA394" s="507"/>
      <c r="CB394" s="156"/>
      <c r="CC394" s="507"/>
      <c r="CD394" s="156"/>
      <c r="CE394" s="507"/>
      <c r="CF394" s="156"/>
      <c r="CG394" s="507"/>
      <c r="CH394" s="156"/>
      <c r="CI394" s="507"/>
      <c r="CJ394" s="156"/>
      <c r="CK394" s="507"/>
      <c r="CL394" s="156"/>
      <c r="CM394" s="507"/>
      <c r="CN394" s="156"/>
      <c r="CO394" s="507"/>
      <c r="CP394" s="156"/>
      <c r="CQ394" s="507"/>
      <c r="CR394" s="156"/>
      <c r="CS394" s="507"/>
      <c r="CT394" s="156"/>
      <c r="CU394" s="507"/>
      <c r="CV394" s="156"/>
      <c r="CW394" s="507"/>
      <c r="CX394" s="156"/>
      <c r="CY394" s="507"/>
      <c r="CZ394" s="156"/>
      <c r="DA394" s="507"/>
      <c r="DB394" s="507"/>
      <c r="DC394" s="156">
        <f>INPUT!FP369</f>
        <v>54.966655581033066</v>
      </c>
      <c r="DD394" s="687" t="str">
        <f>INPUT!FQ369</f>
        <v>NA</v>
      </c>
      <c r="DE394" s="156">
        <f>INPUT!FR369</f>
        <v>36.185642703489492</v>
      </c>
      <c r="DF394" s="687">
        <f>INPUT!FS369</f>
        <v>-34.168010913191161</v>
      </c>
      <c r="DG394" s="156">
        <f>INPUT!FT369</f>
        <v>24.599381201322949</v>
      </c>
      <c r="DH394" s="687">
        <f>INPUT!FU369</f>
        <v>-32.018946290676894</v>
      </c>
      <c r="DI394" s="156">
        <f>INPUT!FV369</f>
        <v>18.741286596295559</v>
      </c>
      <c r="DJ394" s="687">
        <f>INPUT!FW369</f>
        <v>-23.813991730460039</v>
      </c>
      <c r="DK394" s="156">
        <f>INPUT!FX369</f>
        <v>16.495544717832132</v>
      </c>
      <c r="DL394" s="507">
        <f>INPUT!FY369</f>
        <v>-11.982858630993487</v>
      </c>
      <c r="DM394" s="156"/>
      <c r="DN394" s="507"/>
      <c r="DO394" s="156"/>
      <c r="DP394" s="507"/>
      <c r="DQ394" s="156"/>
      <c r="DR394" s="507"/>
      <c r="DS394" s="156"/>
      <c r="DT394" s="507"/>
      <c r="DU394" s="156"/>
      <c r="DV394" s="507"/>
      <c r="DW394" s="156"/>
      <c r="DX394" s="507"/>
      <c r="DY394" s="156"/>
      <c r="DZ394" s="507"/>
      <c r="EA394" s="156"/>
      <c r="EB394" s="507"/>
      <c r="EC394" s="156"/>
      <c r="ED394" s="507"/>
      <c r="EE394" s="156"/>
      <c r="EF394" s="507"/>
      <c r="EG394" s="156"/>
      <c r="EH394" s="507"/>
      <c r="EI394" s="156"/>
      <c r="EJ394" s="507"/>
      <c r="EK394" s="156"/>
      <c r="EL394" s="507"/>
      <c r="EM394" s="687"/>
    </row>
    <row r="395" spans="1:143" ht="12.75" hidden="1" customHeight="1" outlineLevel="2" x14ac:dyDescent="0.2">
      <c r="A395" s="701" t="str">
        <f>INPUT!B370</f>
        <v>Redemptions as % of Beg Assets</v>
      </c>
      <c r="B395" s="156">
        <f>INPUT!AY370</f>
        <v>-21.119884585163526</v>
      </c>
      <c r="C395" s="507">
        <f>INPUT!AZ370</f>
        <v>0.68425619450744879</v>
      </c>
      <c r="D395" s="156">
        <f>INPUT!BA370</f>
        <v>-23.311889665386218</v>
      </c>
      <c r="E395" s="687">
        <f>INPUT!BB370</f>
        <v>-15.650021960373728</v>
      </c>
      <c r="F395" s="156">
        <f>INPUT!BC370</f>
        <v>-19.338019645267913</v>
      </c>
      <c r="G395" s="687">
        <f>INPUT!BD370</f>
        <v>1.2504661110436244</v>
      </c>
      <c r="H395" s="156">
        <f>INPUT!BE370</f>
        <v>-24.805889778909854</v>
      </c>
      <c r="I395" s="687">
        <f>INPUT!BF370</f>
        <v>-18.550512293428902</v>
      </c>
      <c r="J395" s="156">
        <f>INPUT!BG370</f>
        <v>-24.120345673743731</v>
      </c>
      <c r="K395" s="687">
        <f>INPUT!BH370</f>
        <v>14.206806275295625</v>
      </c>
      <c r="L395" s="156">
        <f>INPUT!BI370</f>
        <v>-23.618394935333569</v>
      </c>
      <c r="M395" s="687">
        <f>INPUT!BJ370</f>
        <v>1.3148023362621331</v>
      </c>
      <c r="N395" s="156">
        <f>INPUT!BK370</f>
        <v>-23.136909757046073</v>
      </c>
      <c r="O395" s="687">
        <f>INPUT!BL370</f>
        <v>19.644669834161444</v>
      </c>
      <c r="P395" s="156">
        <f>INPUT!BM370</f>
        <v>-27.649288909393615</v>
      </c>
      <c r="Q395" s="687">
        <f>INPUT!BN370</f>
        <v>11.462596809977121</v>
      </c>
      <c r="R395" s="156">
        <f>INPUT!BO370</f>
        <v>-27.578288833956204</v>
      </c>
      <c r="S395" s="687">
        <f>INPUT!BP370</f>
        <v>14.33620897057304</v>
      </c>
      <c r="T395" s="156">
        <f>INPUT!BQ370</f>
        <v>-25.338052917059255</v>
      </c>
      <c r="U395" s="687">
        <f>INPUT!BR370</f>
        <v>7.2810112051816089</v>
      </c>
      <c r="V395" s="156">
        <f>INPUT!BS370</f>
        <v>-38.366516494695539</v>
      </c>
      <c r="W395" s="687">
        <f>INPUT!BT370</f>
        <v>65.823858490918255</v>
      </c>
      <c r="X395" s="156">
        <f>INPUT!BU370</f>
        <v>-42.52316100842355</v>
      </c>
      <c r="Y395" s="687">
        <f>INPUT!BV370</f>
        <v>53.794772617015326</v>
      </c>
      <c r="Z395" s="156">
        <f>INPUT!BW370</f>
        <v>-36.074951413589531</v>
      </c>
      <c r="AA395" s="687">
        <f>INPUT!BX370</f>
        <v>30.809245021655141</v>
      </c>
      <c r="AB395" s="156">
        <f>INPUT!BY370</f>
        <v>-29.283922022775528</v>
      </c>
      <c r="AC395" s="687">
        <f>INPUT!BZ370</f>
        <v>15.572897880640447</v>
      </c>
      <c r="AD395" s="156"/>
      <c r="AE395" s="687"/>
      <c r="AF395" s="156"/>
      <c r="AG395" s="687"/>
      <c r="AH395" s="156"/>
      <c r="AI395" s="507"/>
      <c r="AJ395" s="156"/>
      <c r="AK395" s="507"/>
      <c r="AL395" s="156"/>
      <c r="AM395" s="507"/>
      <c r="AN395" s="156"/>
      <c r="AO395" s="507"/>
      <c r="AP395" s="156"/>
      <c r="AQ395" s="507"/>
      <c r="AR395" s="156"/>
      <c r="AS395" s="507"/>
      <c r="AT395" s="156"/>
      <c r="AU395" s="507"/>
      <c r="AV395" s="156"/>
      <c r="AW395" s="507"/>
      <c r="AX395" s="156"/>
      <c r="AY395" s="507"/>
      <c r="AZ395" s="156"/>
      <c r="BA395" s="507"/>
      <c r="BB395" s="156"/>
      <c r="BC395" s="507"/>
      <c r="BD395" s="156"/>
      <c r="BE395" s="507"/>
      <c r="BF395" s="156"/>
      <c r="BG395" s="507"/>
      <c r="BH395" s="156"/>
      <c r="BI395" s="507"/>
      <c r="BJ395" s="156"/>
      <c r="BK395" s="507"/>
      <c r="BL395" s="156"/>
      <c r="BM395" s="507"/>
      <c r="BN395" s="156"/>
      <c r="BO395" s="507"/>
      <c r="BP395" s="156"/>
      <c r="BQ395" s="507"/>
      <c r="BR395" s="156"/>
      <c r="BS395" s="507"/>
      <c r="BT395" s="156"/>
      <c r="BU395" s="507"/>
      <c r="BV395" s="156"/>
      <c r="BW395" s="507"/>
      <c r="BX395" s="156"/>
      <c r="BY395" s="507"/>
      <c r="BZ395" s="156"/>
      <c r="CA395" s="507"/>
      <c r="CB395" s="156"/>
      <c r="CC395" s="507"/>
      <c r="CD395" s="156"/>
      <c r="CE395" s="507"/>
      <c r="CF395" s="156"/>
      <c r="CG395" s="507"/>
      <c r="CH395" s="156"/>
      <c r="CI395" s="507"/>
      <c r="CJ395" s="156"/>
      <c r="CK395" s="507"/>
      <c r="CL395" s="156"/>
      <c r="CM395" s="507"/>
      <c r="CN395" s="156"/>
      <c r="CO395" s="507"/>
      <c r="CP395" s="156"/>
      <c r="CQ395" s="507"/>
      <c r="CR395" s="156"/>
      <c r="CS395" s="507"/>
      <c r="CT395" s="156"/>
      <c r="CU395" s="507"/>
      <c r="CV395" s="156"/>
      <c r="CW395" s="507"/>
      <c r="CX395" s="156"/>
      <c r="CY395" s="507"/>
      <c r="CZ395" s="156"/>
      <c r="DA395" s="507"/>
      <c r="DB395" s="507"/>
      <c r="DC395" s="156">
        <f>INPUT!FP370</f>
        <v>-27.741506362570235</v>
      </c>
      <c r="DD395" s="687" t="str">
        <f>INPUT!FQ370</f>
        <v>NA</v>
      </c>
      <c r="DE395" s="156">
        <f>INPUT!FR370</f>
        <v>-24.269318459933274</v>
      </c>
      <c r="DF395" s="687">
        <f>INPUT!FS370</f>
        <v>-12.516219765635196</v>
      </c>
      <c r="DG395" s="156">
        <f>INPUT!FT370</f>
        <v>-25.443294569508161</v>
      </c>
      <c r="DH395" s="687">
        <f>INPUT!FU370</f>
        <v>4.8372850334179374</v>
      </c>
      <c r="DI395" s="156">
        <f>INPUT!FV370</f>
        <v>-29.52306196328362</v>
      </c>
      <c r="DJ395" s="687">
        <f>INPUT!FW370</f>
        <v>16.034744960523884</v>
      </c>
      <c r="DK395" s="156">
        <f>INPUT!FX370</f>
        <v>-15.973011624069525</v>
      </c>
      <c r="DL395" s="507">
        <f>INPUT!FY370</f>
        <v>-45.896493920805462</v>
      </c>
      <c r="DM395" s="156"/>
      <c r="DN395" s="507"/>
      <c r="DO395" s="156"/>
      <c r="DP395" s="507"/>
      <c r="DQ395" s="156"/>
      <c r="DR395" s="507"/>
      <c r="DS395" s="156"/>
      <c r="DT395" s="507"/>
      <c r="DU395" s="156"/>
      <c r="DV395" s="507"/>
      <c r="DW395" s="156"/>
      <c r="DX395" s="507"/>
      <c r="DY395" s="156"/>
      <c r="DZ395" s="507"/>
      <c r="EA395" s="156"/>
      <c r="EB395" s="507"/>
      <c r="EC395" s="156"/>
      <c r="ED395" s="507"/>
      <c r="EE395" s="156"/>
      <c r="EF395" s="507"/>
      <c r="EG395" s="156"/>
      <c r="EH395" s="507"/>
      <c r="EI395" s="156"/>
      <c r="EJ395" s="507"/>
      <c r="EK395" s="156"/>
      <c r="EL395" s="507"/>
      <c r="EM395" s="687"/>
    </row>
    <row r="396" spans="1:143" ht="12.75" hidden="1" customHeight="1" outlineLevel="2" x14ac:dyDescent="0.2">
      <c r="A396" s="701" t="str">
        <f>INPUT!B371</f>
        <v>Market Apprec/Avg Assets (%)</v>
      </c>
      <c r="B396" s="464">
        <f>INPUT!AY371</f>
        <v>19.002688024576226</v>
      </c>
      <c r="C396" s="507" t="str">
        <f>INPUT!AZ371</f>
        <v>NM</v>
      </c>
      <c r="D396" s="464">
        <f>INPUT!BA371</f>
        <v>-7.0135536576308946</v>
      </c>
      <c r="E396" s="687" t="str">
        <f>INPUT!BB371</f>
        <v>NM</v>
      </c>
      <c r="F396" s="464">
        <f>INPUT!BC371</f>
        <v>12.955225582124433</v>
      </c>
      <c r="G396" s="687">
        <f>INPUT!BD371</f>
        <v>-21.12656479426547</v>
      </c>
      <c r="H396" s="464">
        <f>INPUT!BE371</f>
        <v>22.563136314487899</v>
      </c>
      <c r="I396" s="687" t="str">
        <f>INPUT!BF371</f>
        <v>NM</v>
      </c>
      <c r="J396" s="464">
        <f>INPUT!BG371</f>
        <v>8.0231404260709827</v>
      </c>
      <c r="K396" s="687" t="str">
        <f>INPUT!BH371</f>
        <v>NM</v>
      </c>
      <c r="L396" s="464">
        <f>INPUT!BI371</f>
        <v>7.8578961516987524</v>
      </c>
      <c r="M396" s="687" t="str">
        <f>INPUT!BJ371</f>
        <v>NM</v>
      </c>
      <c r="N396" s="464">
        <f>INPUT!BK371</f>
        <v>7.6993212440482228</v>
      </c>
      <c r="O396" s="687">
        <f>INPUT!BL371</f>
        <v>-40.569763179795849</v>
      </c>
      <c r="P396" s="464">
        <f>INPUT!BM371</f>
        <v>-4.526026272134354</v>
      </c>
      <c r="Q396" s="687" t="str">
        <f>INPUT!BN371</f>
        <v>NM</v>
      </c>
      <c r="R396" s="464">
        <f>INPUT!BO371</f>
        <v>-27.598157356844322</v>
      </c>
      <c r="S396" s="687" t="str">
        <f>INPUT!BP371</f>
        <v>NM</v>
      </c>
      <c r="T396" s="464">
        <f>INPUT!BQ371</f>
        <v>-7.1322513924099882</v>
      </c>
      <c r="U396" s="687" t="str">
        <f>INPUT!BR371</f>
        <v>NM</v>
      </c>
      <c r="V396" s="464">
        <f>INPUT!BS371</f>
        <v>-36.511350059737154</v>
      </c>
      <c r="W396" s="687" t="str">
        <f>INPUT!BT371</f>
        <v>NM</v>
      </c>
      <c r="X396" s="464">
        <f>INPUT!BU371</f>
        <v>-57.830131829851162</v>
      </c>
      <c r="Y396" s="687" t="str">
        <f>INPUT!BV371</f>
        <v>NM</v>
      </c>
      <c r="Z396" s="464">
        <f>INPUT!BW371</f>
        <v>-22.137806529261319</v>
      </c>
      <c r="AA396" s="687">
        <f>INPUT!BX371</f>
        <v>-19.785200718224182</v>
      </c>
      <c r="AB396" s="464">
        <f>INPUT!BY371</f>
        <v>41.562041266628377</v>
      </c>
      <c r="AC396" s="687" t="str">
        <f>INPUT!BZ371</f>
        <v>NM</v>
      </c>
      <c r="AD396" s="464"/>
      <c r="AE396" s="687"/>
      <c r="AF396" s="464"/>
      <c r="AG396" s="687"/>
      <c r="AH396" s="464"/>
      <c r="AI396" s="507"/>
      <c r="AJ396" s="464"/>
      <c r="AK396" s="507"/>
      <c r="AL396" s="464"/>
      <c r="AM396" s="507"/>
      <c r="AN396" s="464"/>
      <c r="AO396" s="507"/>
      <c r="AP396" s="464"/>
      <c r="AQ396" s="507"/>
      <c r="AR396" s="464"/>
      <c r="AS396" s="507"/>
      <c r="AT396" s="464"/>
      <c r="AU396" s="507"/>
      <c r="AV396" s="464"/>
      <c r="AW396" s="507"/>
      <c r="AX396" s="464"/>
      <c r="AY396" s="507"/>
      <c r="AZ396" s="464"/>
      <c r="BA396" s="507"/>
      <c r="BB396" s="464"/>
      <c r="BC396" s="507"/>
      <c r="BD396" s="464"/>
      <c r="BE396" s="507"/>
      <c r="BF396" s="464"/>
      <c r="BG396" s="507"/>
      <c r="BH396" s="464"/>
      <c r="BI396" s="507"/>
      <c r="BJ396" s="464"/>
      <c r="BK396" s="507"/>
      <c r="BL396" s="464"/>
      <c r="BM396" s="507"/>
      <c r="BN396" s="464"/>
      <c r="BO396" s="507"/>
      <c r="BP396" s="464"/>
      <c r="BQ396" s="507"/>
      <c r="BR396" s="464"/>
      <c r="BS396" s="507"/>
      <c r="BT396" s="464"/>
      <c r="BU396" s="507"/>
      <c r="BV396" s="464"/>
      <c r="BW396" s="507"/>
      <c r="BX396" s="464"/>
      <c r="BY396" s="507"/>
      <c r="BZ396" s="464"/>
      <c r="CA396" s="507"/>
      <c r="CB396" s="464"/>
      <c r="CC396" s="507"/>
      <c r="CD396" s="464"/>
      <c r="CE396" s="507"/>
      <c r="CF396" s="464"/>
      <c r="CG396" s="507"/>
      <c r="CH396" s="464"/>
      <c r="CI396" s="507"/>
      <c r="CJ396" s="464"/>
      <c r="CK396" s="507"/>
      <c r="CL396" s="464"/>
      <c r="CM396" s="507"/>
      <c r="CN396" s="464"/>
      <c r="CO396" s="507"/>
      <c r="CP396" s="464"/>
      <c r="CQ396" s="507"/>
      <c r="CR396" s="464"/>
      <c r="CS396" s="507"/>
      <c r="CT396" s="464"/>
      <c r="CU396" s="507"/>
      <c r="CV396" s="464"/>
      <c r="CW396" s="507"/>
      <c r="CX396" s="464"/>
      <c r="CY396" s="507"/>
      <c r="CZ396" s="464"/>
      <c r="DA396" s="507"/>
      <c r="DB396" s="507"/>
      <c r="DC396" s="464">
        <f>INPUT!FP371</f>
        <v>7.8374046481256121</v>
      </c>
      <c r="DD396" s="687" t="str">
        <f>INPUT!FQ371</f>
        <v>NA</v>
      </c>
      <c r="DE396" s="464">
        <f>INPUT!FR371</f>
        <v>11.999542700354407</v>
      </c>
      <c r="DF396" s="687">
        <f>INPUT!FS371</f>
        <v>53.10607578778275</v>
      </c>
      <c r="DG396" s="464">
        <f>INPUT!FT371</f>
        <v>5.1963570778448469</v>
      </c>
      <c r="DH396" s="687" t="str">
        <f>INPUT!FU371</f>
        <v>NM</v>
      </c>
      <c r="DI396" s="464">
        <f>INPUT!FV371</f>
        <v>-31.851550046819494</v>
      </c>
      <c r="DJ396" s="687" t="str">
        <f>INPUT!FW371</f>
        <v>NM</v>
      </c>
      <c r="DK396" s="464">
        <f>INPUT!FX371</f>
        <v>4.9017427430187972</v>
      </c>
      <c r="DL396" s="507" t="str">
        <f>INPUT!FY371</f>
        <v>NM</v>
      </c>
      <c r="DM396" s="464"/>
      <c r="DN396" s="507"/>
      <c r="DO396" s="464"/>
      <c r="DP396" s="507"/>
      <c r="DQ396" s="464"/>
      <c r="DR396" s="507"/>
      <c r="DS396" s="464"/>
      <c r="DT396" s="507"/>
      <c r="DU396" s="464"/>
      <c r="DV396" s="507"/>
      <c r="DW396" s="464"/>
      <c r="DX396" s="507"/>
      <c r="DY396" s="464"/>
      <c r="DZ396" s="507"/>
      <c r="EA396" s="464"/>
      <c r="EB396" s="507"/>
      <c r="EC396" s="464"/>
      <c r="ED396" s="507"/>
      <c r="EE396" s="464"/>
      <c r="EF396" s="507"/>
      <c r="EG396" s="464"/>
      <c r="EH396" s="507"/>
      <c r="EI396" s="464"/>
      <c r="EJ396" s="507"/>
      <c r="EK396" s="464"/>
      <c r="EL396" s="507"/>
      <c r="EM396" s="687"/>
    </row>
    <row r="397" spans="1:143" ht="12.75" hidden="1" customHeight="1" outlineLevel="2" x14ac:dyDescent="0.2">
      <c r="A397" s="701"/>
      <c r="B397" s="16"/>
      <c r="C397" s="507"/>
      <c r="D397" s="16"/>
      <c r="E397" s="687"/>
      <c r="F397" s="16"/>
      <c r="G397" s="687"/>
      <c r="H397" s="16"/>
      <c r="I397" s="687"/>
      <c r="J397" s="16"/>
      <c r="K397" s="507"/>
      <c r="L397" s="16"/>
      <c r="M397" s="507"/>
      <c r="N397" s="16"/>
      <c r="O397" s="507"/>
      <c r="P397" s="16"/>
      <c r="Q397" s="507"/>
      <c r="R397" s="16"/>
      <c r="S397" s="507"/>
      <c r="T397" s="16"/>
      <c r="U397" s="507"/>
      <c r="V397" s="16"/>
      <c r="W397" s="507"/>
      <c r="X397" s="16"/>
      <c r="Y397" s="507"/>
      <c r="Z397" s="16"/>
      <c r="AA397" s="687"/>
      <c r="AB397" s="16"/>
      <c r="AC397" s="507"/>
      <c r="AD397" s="16"/>
      <c r="AE397" s="507"/>
      <c r="AF397" s="16"/>
      <c r="AG397" s="507"/>
      <c r="AH397" s="16"/>
      <c r="AI397" s="507"/>
      <c r="AJ397" s="16"/>
      <c r="AK397" s="507"/>
      <c r="AL397" s="16"/>
      <c r="AM397" s="507"/>
      <c r="AN397" s="16"/>
      <c r="AO397" s="507"/>
      <c r="AP397" s="16"/>
      <c r="AQ397" s="507"/>
      <c r="AR397" s="16"/>
      <c r="AS397" s="507"/>
      <c r="AT397" s="16"/>
      <c r="AU397" s="507"/>
      <c r="AV397" s="16"/>
      <c r="AW397" s="507"/>
      <c r="AX397" s="16"/>
      <c r="AY397" s="507"/>
      <c r="AZ397" s="16"/>
      <c r="BA397" s="507"/>
      <c r="BB397" s="16"/>
      <c r="BC397" s="507"/>
      <c r="BD397" s="16"/>
      <c r="BE397" s="507"/>
      <c r="BF397" s="16"/>
      <c r="BG397" s="507"/>
      <c r="BH397" s="16"/>
      <c r="BI397" s="507"/>
      <c r="BJ397" s="16"/>
      <c r="BK397" s="507"/>
      <c r="BL397" s="16"/>
      <c r="BM397" s="507"/>
      <c r="BN397" s="16"/>
      <c r="BO397" s="507"/>
      <c r="BP397" s="16"/>
      <c r="BQ397" s="507"/>
      <c r="BR397" s="16"/>
      <c r="BS397" s="507"/>
      <c r="BT397" s="16"/>
      <c r="BU397" s="507"/>
      <c r="BV397" s="16"/>
      <c r="BW397" s="507"/>
      <c r="BX397" s="16"/>
      <c r="BY397" s="507"/>
      <c r="BZ397" s="16"/>
      <c r="CA397" s="507"/>
      <c r="CB397" s="16"/>
      <c r="CC397" s="507"/>
      <c r="CD397" s="16"/>
      <c r="CE397" s="507"/>
      <c r="CF397" s="16"/>
      <c r="CG397" s="507"/>
      <c r="CH397" s="16"/>
      <c r="CI397" s="507"/>
      <c r="CJ397" s="16"/>
      <c r="CK397" s="507"/>
      <c r="CL397" s="16"/>
      <c r="CM397" s="507"/>
      <c r="CN397" s="16"/>
      <c r="CO397" s="507"/>
      <c r="CP397" s="16"/>
      <c r="CQ397" s="507"/>
      <c r="CR397" s="16"/>
      <c r="CS397" s="507"/>
      <c r="CT397" s="16"/>
      <c r="CU397" s="507"/>
      <c r="CV397" s="16"/>
      <c r="CW397" s="507"/>
      <c r="CX397" s="16"/>
      <c r="CY397" s="507"/>
      <c r="CZ397" s="16"/>
      <c r="DA397" s="507"/>
      <c r="DB397" s="507"/>
      <c r="DC397" s="16"/>
      <c r="DD397" s="507"/>
      <c r="DE397" s="16"/>
      <c r="DF397" s="507"/>
      <c r="DG397" s="16"/>
      <c r="DH397" s="507"/>
      <c r="DI397" s="16"/>
      <c r="DJ397" s="507"/>
      <c r="DK397" s="16"/>
      <c r="DL397" s="507"/>
      <c r="DM397" s="16"/>
      <c r="DN397" s="507"/>
      <c r="DO397" s="16"/>
      <c r="DP397" s="507"/>
      <c r="DQ397" s="16"/>
      <c r="DR397" s="507"/>
      <c r="DS397" s="16"/>
      <c r="DT397" s="507"/>
      <c r="DU397" s="16"/>
      <c r="DV397" s="507"/>
      <c r="DW397" s="16"/>
      <c r="DX397" s="507"/>
      <c r="DY397" s="16"/>
      <c r="DZ397" s="507"/>
      <c r="EA397" s="16"/>
      <c r="EB397" s="507"/>
      <c r="EC397" s="16"/>
      <c r="ED397" s="507"/>
      <c r="EE397" s="16"/>
      <c r="EF397" s="507"/>
      <c r="EG397" s="16"/>
      <c r="EH397" s="507"/>
      <c r="EI397" s="16"/>
      <c r="EJ397" s="507"/>
      <c r="EK397" s="16"/>
      <c r="EL397" s="507"/>
      <c r="EM397" s="687"/>
    </row>
    <row r="398" spans="1:143" ht="12.75" hidden="1" customHeight="1" outlineLevel="2" x14ac:dyDescent="0.2">
      <c r="A398" s="689" t="str">
        <f>+A51</f>
        <v xml:space="preserve">Quarterly income statement ratios are annualized where appropriate     NM = Not Meaningful       NA = Not Applicable </v>
      </c>
      <c r="B398" s="16"/>
      <c r="C398" s="507"/>
      <c r="D398" s="16"/>
      <c r="E398" s="687"/>
      <c r="F398" s="16"/>
      <c r="G398" s="687"/>
      <c r="H398" s="16"/>
      <c r="I398" s="687"/>
      <c r="J398" s="16"/>
      <c r="K398" s="507"/>
      <c r="L398" s="16"/>
      <c r="M398" s="507"/>
      <c r="N398" s="16"/>
      <c r="O398" s="507"/>
      <c r="P398" s="16"/>
      <c r="Q398" s="507"/>
      <c r="R398" s="16"/>
      <c r="S398" s="507"/>
      <c r="T398" s="16"/>
      <c r="U398" s="507"/>
      <c r="V398" s="16"/>
      <c r="W398" s="507"/>
      <c r="X398" s="16"/>
      <c r="Y398" s="507"/>
      <c r="Z398" s="16"/>
      <c r="AA398" s="507"/>
      <c r="AB398" s="16"/>
      <c r="AC398" s="507"/>
      <c r="AD398" s="16"/>
      <c r="AE398" s="507"/>
      <c r="AF398" s="16"/>
      <c r="AG398" s="507"/>
      <c r="AH398" s="16"/>
      <c r="AI398" s="507"/>
      <c r="AJ398" s="16"/>
      <c r="AK398" s="507"/>
      <c r="AL398" s="16"/>
      <c r="AM398" s="507"/>
      <c r="AN398" s="16"/>
      <c r="AO398" s="507"/>
      <c r="AP398" s="16"/>
      <c r="AQ398" s="507"/>
      <c r="AR398" s="16"/>
      <c r="AS398" s="507"/>
      <c r="AT398" s="16"/>
      <c r="AU398" s="507"/>
      <c r="AV398" s="16"/>
      <c r="AW398" s="507"/>
      <c r="AX398" s="16"/>
      <c r="AY398" s="507"/>
      <c r="AZ398" s="16"/>
      <c r="BA398" s="507"/>
      <c r="BB398" s="16"/>
      <c r="BC398" s="507"/>
      <c r="BD398" s="16"/>
      <c r="BE398" s="507"/>
      <c r="BF398" s="16"/>
      <c r="BG398" s="507"/>
      <c r="BH398" s="16"/>
      <c r="BI398" s="507"/>
      <c r="BJ398" s="16"/>
      <c r="BK398" s="507"/>
      <c r="BL398" s="16"/>
      <c r="BM398" s="507"/>
      <c r="BN398" s="16"/>
      <c r="BO398" s="507"/>
      <c r="BP398" s="16"/>
      <c r="BQ398" s="507"/>
      <c r="BR398" s="16"/>
      <c r="BS398" s="507"/>
      <c r="BT398" s="16"/>
      <c r="BU398" s="507"/>
      <c r="BV398" s="16"/>
      <c r="BW398" s="507"/>
      <c r="BX398" s="16"/>
      <c r="BY398" s="507"/>
      <c r="BZ398" s="16"/>
      <c r="CA398" s="507"/>
      <c r="CB398" s="16"/>
      <c r="CC398" s="507"/>
      <c r="CD398" s="16"/>
      <c r="CE398" s="507"/>
      <c r="CF398" s="16"/>
      <c r="CG398" s="507"/>
      <c r="CH398" s="16"/>
      <c r="CI398" s="507"/>
      <c r="CJ398" s="16"/>
      <c r="CK398" s="507"/>
      <c r="CL398" s="16"/>
      <c r="CM398" s="507"/>
      <c r="CN398" s="16"/>
      <c r="CO398" s="507"/>
      <c r="CP398" s="16"/>
      <c r="CQ398" s="507"/>
      <c r="CR398" s="16"/>
      <c r="CS398" s="507"/>
      <c r="CT398" s="16"/>
      <c r="CU398" s="507"/>
      <c r="CV398" s="16"/>
      <c r="CW398" s="507"/>
      <c r="CX398" s="16"/>
      <c r="CY398" s="507"/>
      <c r="CZ398" s="16"/>
      <c r="DA398" s="507"/>
      <c r="DB398" s="507"/>
      <c r="DC398" s="16"/>
      <c r="DD398" s="507"/>
      <c r="DE398" s="16"/>
      <c r="DF398" s="507"/>
      <c r="DG398" s="16"/>
      <c r="DH398" s="507"/>
      <c r="DI398" s="16"/>
      <c r="DJ398" s="507"/>
      <c r="DK398" s="16"/>
      <c r="DL398" s="507"/>
      <c r="DM398" s="16"/>
      <c r="DN398" s="507"/>
      <c r="DO398" s="16"/>
      <c r="DP398" s="507"/>
      <c r="DQ398" s="16"/>
      <c r="DR398" s="507"/>
      <c r="DS398" s="16"/>
      <c r="DT398" s="507"/>
      <c r="DU398" s="16"/>
      <c r="DV398" s="507"/>
      <c r="DW398" s="16"/>
      <c r="DX398" s="507"/>
      <c r="DY398" s="16"/>
      <c r="DZ398" s="507"/>
      <c r="EA398" s="16"/>
      <c r="EB398" s="507"/>
      <c r="EC398" s="16"/>
      <c r="ED398" s="507"/>
      <c r="EE398" s="16"/>
      <c r="EF398" s="507"/>
      <c r="EG398" s="16"/>
      <c r="EH398" s="507"/>
      <c r="EI398" s="16"/>
      <c r="EJ398" s="507"/>
      <c r="EK398" s="16"/>
      <c r="EL398" s="507"/>
      <c r="EM398" s="687"/>
    </row>
    <row r="399" spans="1:143" ht="12.75" hidden="1" customHeight="1" outlineLevel="2" x14ac:dyDescent="0.2">
      <c r="A399" s="689" t="s">
        <v>76</v>
      </c>
      <c r="B399" s="16"/>
      <c r="C399" s="507"/>
      <c r="D399" s="16"/>
      <c r="E399" s="687"/>
      <c r="F399" s="16"/>
      <c r="G399" s="687"/>
      <c r="H399" s="16"/>
      <c r="I399" s="687"/>
      <c r="J399" s="16"/>
      <c r="K399" s="507"/>
      <c r="L399" s="16"/>
      <c r="M399" s="507"/>
      <c r="N399" s="16"/>
      <c r="O399" s="507"/>
      <c r="P399" s="16"/>
      <c r="Q399" s="507"/>
      <c r="R399" s="16"/>
      <c r="S399" s="507"/>
      <c r="T399" s="16"/>
      <c r="U399" s="507"/>
      <c r="V399" s="16"/>
      <c r="W399" s="507"/>
      <c r="X399" s="16"/>
      <c r="Y399" s="507"/>
      <c r="Z399" s="16"/>
      <c r="AA399" s="507"/>
      <c r="AB399" s="16"/>
      <c r="AC399" s="507"/>
      <c r="AD399" s="16"/>
      <c r="AE399" s="507"/>
      <c r="AF399" s="16"/>
      <c r="AG399" s="507"/>
      <c r="AH399" s="16"/>
      <c r="AI399" s="507"/>
      <c r="AJ399" s="16"/>
      <c r="AK399" s="507"/>
      <c r="AL399" s="16"/>
      <c r="AM399" s="507"/>
      <c r="AN399" s="16"/>
      <c r="AO399" s="507"/>
      <c r="AP399" s="16"/>
      <c r="AQ399" s="507"/>
      <c r="AR399" s="16"/>
      <c r="AS399" s="507"/>
      <c r="AT399" s="16"/>
      <c r="AU399" s="507"/>
      <c r="AV399" s="16"/>
      <c r="AW399" s="507"/>
      <c r="AX399" s="16"/>
      <c r="AY399" s="507"/>
      <c r="AZ399" s="16"/>
      <c r="BA399" s="507"/>
      <c r="BB399" s="16"/>
      <c r="BC399" s="507"/>
      <c r="BD399" s="16"/>
      <c r="BE399" s="507"/>
      <c r="BF399" s="16"/>
      <c r="BG399" s="507"/>
      <c r="BH399" s="16"/>
      <c r="BI399" s="507"/>
      <c r="BJ399" s="16"/>
      <c r="BK399" s="507"/>
      <c r="BL399" s="16"/>
      <c r="BM399" s="507"/>
      <c r="BN399" s="16"/>
      <c r="BO399" s="507"/>
      <c r="BP399" s="16"/>
      <c r="BQ399" s="507"/>
      <c r="BR399" s="16"/>
      <c r="BS399" s="507"/>
      <c r="BT399" s="16"/>
      <c r="BU399" s="507"/>
      <c r="BV399" s="16"/>
      <c r="BW399" s="507"/>
      <c r="BX399" s="16"/>
      <c r="BY399" s="507"/>
      <c r="BZ399" s="16"/>
      <c r="CA399" s="507"/>
      <c r="CB399" s="16"/>
      <c r="CC399" s="507"/>
      <c r="CD399" s="16"/>
      <c r="CE399" s="507"/>
      <c r="CF399" s="16"/>
      <c r="CG399" s="507"/>
      <c r="CH399" s="16"/>
      <c r="CI399" s="507"/>
      <c r="CJ399" s="16"/>
      <c r="CK399" s="507"/>
      <c r="CL399" s="16"/>
      <c r="CM399" s="507"/>
      <c r="CN399" s="16"/>
      <c r="CO399" s="507"/>
      <c r="CP399" s="16"/>
      <c r="CQ399" s="507"/>
      <c r="CR399" s="16"/>
      <c r="CS399" s="507"/>
      <c r="CT399" s="16"/>
      <c r="CU399" s="507"/>
      <c r="CV399" s="16"/>
      <c r="CW399" s="507"/>
      <c r="CX399" s="16"/>
      <c r="CY399" s="507"/>
      <c r="CZ399" s="16"/>
      <c r="DA399" s="507"/>
      <c r="DB399" s="507"/>
      <c r="DC399" s="16"/>
      <c r="DD399" s="507"/>
      <c r="DE399" s="16"/>
      <c r="DF399" s="507"/>
      <c r="DG399" s="16"/>
      <c r="DH399" s="507"/>
      <c r="DI399" s="16"/>
      <c r="DJ399" s="507"/>
      <c r="DK399" s="16"/>
      <c r="DL399" s="507"/>
      <c r="DM399" s="16"/>
      <c r="DN399" s="507"/>
      <c r="DO399" s="16"/>
      <c r="DP399" s="507"/>
      <c r="DQ399" s="16"/>
      <c r="DR399" s="507"/>
      <c r="DS399" s="16"/>
      <c r="DT399" s="507"/>
      <c r="DU399" s="16"/>
      <c r="DV399" s="507"/>
      <c r="DW399" s="16"/>
      <c r="DX399" s="507"/>
      <c r="DY399" s="16"/>
      <c r="DZ399" s="507"/>
      <c r="EA399" s="16"/>
      <c r="EB399" s="507"/>
      <c r="EC399" s="16"/>
      <c r="ED399" s="507"/>
      <c r="EE399" s="16"/>
      <c r="EF399" s="507"/>
      <c r="EG399" s="16"/>
      <c r="EH399" s="507"/>
      <c r="EI399" s="16"/>
      <c r="EJ399" s="507"/>
      <c r="EK399" s="16"/>
      <c r="EL399" s="507"/>
      <c r="EM399" s="687"/>
    </row>
    <row r="400" spans="1:143" ht="12.75" hidden="1" customHeight="1" outlineLevel="2" x14ac:dyDescent="0.2">
      <c r="A400" s="701"/>
      <c r="B400" s="16"/>
      <c r="C400" s="762"/>
      <c r="D400" s="16"/>
      <c r="E400" s="702"/>
      <c r="F400" s="16"/>
      <c r="G400" s="702"/>
      <c r="H400" s="16"/>
      <c r="I400" s="702"/>
      <c r="J400" s="16"/>
      <c r="K400" s="762"/>
      <c r="L400" s="16"/>
      <c r="M400" s="762"/>
      <c r="N400" s="16"/>
      <c r="O400" s="762"/>
      <c r="P400" s="16"/>
      <c r="Q400" s="762"/>
      <c r="R400" s="16"/>
      <c r="S400" s="762"/>
      <c r="T400" s="16"/>
      <c r="U400" s="762"/>
      <c r="V400" s="16"/>
      <c r="W400" s="762"/>
      <c r="X400" s="16"/>
      <c r="Y400" s="762"/>
      <c r="Z400" s="16"/>
      <c r="AA400" s="762"/>
      <c r="AB400" s="16"/>
      <c r="AC400" s="762"/>
      <c r="AD400" s="16"/>
      <c r="AE400" s="762"/>
      <c r="AF400" s="16"/>
      <c r="AG400" s="762"/>
      <c r="AH400" s="16"/>
      <c r="AI400" s="762"/>
      <c r="AJ400" s="16"/>
      <c r="AK400" s="762"/>
      <c r="AL400" s="16"/>
      <c r="AM400" s="762"/>
      <c r="AN400" s="16"/>
      <c r="AO400" s="762"/>
      <c r="AP400" s="16"/>
      <c r="AQ400" s="762"/>
      <c r="AR400" s="16"/>
      <c r="AS400" s="762"/>
      <c r="AT400" s="16"/>
      <c r="AU400" s="762"/>
      <c r="AV400" s="16"/>
      <c r="AW400" s="762"/>
      <c r="AX400" s="16"/>
      <c r="AY400" s="762"/>
      <c r="AZ400" s="16"/>
      <c r="BA400" s="762"/>
      <c r="BB400" s="16"/>
      <c r="BC400" s="762"/>
      <c r="BD400" s="16"/>
      <c r="BE400" s="762"/>
      <c r="BF400" s="16"/>
      <c r="BG400" s="762"/>
      <c r="BH400" s="16"/>
      <c r="BI400" s="762"/>
      <c r="BJ400" s="16"/>
      <c r="BK400" s="762"/>
      <c r="BL400" s="16"/>
      <c r="BM400" s="762"/>
      <c r="BN400" s="16"/>
      <c r="BO400" s="762"/>
      <c r="BP400" s="16"/>
      <c r="BQ400" s="762"/>
      <c r="BR400" s="16"/>
      <c r="BS400" s="762"/>
      <c r="BT400" s="16"/>
      <c r="BU400" s="762"/>
      <c r="BV400" s="16"/>
      <c r="BW400" s="762"/>
      <c r="BX400" s="16"/>
      <c r="BY400" s="762"/>
      <c r="BZ400" s="16"/>
      <c r="CA400" s="762"/>
      <c r="CB400" s="16"/>
      <c r="CC400" s="762"/>
      <c r="CD400" s="16"/>
      <c r="CE400" s="762"/>
      <c r="CF400" s="16"/>
      <c r="CG400" s="762"/>
      <c r="CH400" s="16"/>
      <c r="CI400" s="762"/>
      <c r="CJ400" s="16"/>
      <c r="CK400" s="762"/>
      <c r="CL400" s="16"/>
      <c r="CM400" s="762"/>
      <c r="CN400" s="16"/>
      <c r="CO400" s="762"/>
      <c r="CP400" s="16"/>
      <c r="CQ400" s="762"/>
      <c r="CR400" s="16"/>
      <c r="CS400" s="762"/>
      <c r="CT400" s="16"/>
      <c r="CU400" s="762"/>
      <c r="CV400" s="16"/>
      <c r="CW400" s="762"/>
      <c r="CX400" s="16"/>
      <c r="CY400" s="762"/>
      <c r="CZ400" s="16"/>
      <c r="DA400" s="762"/>
      <c r="DB400" s="762"/>
      <c r="DC400" s="16"/>
      <c r="DD400" s="762"/>
      <c r="DE400" s="16"/>
      <c r="DF400" s="762"/>
      <c r="DG400" s="16"/>
      <c r="DH400" s="762"/>
      <c r="DI400" s="16"/>
      <c r="DJ400" s="762"/>
      <c r="DK400" s="16"/>
      <c r="DL400" s="762"/>
      <c r="DM400" s="16"/>
      <c r="DN400" s="762"/>
      <c r="DO400" s="16"/>
      <c r="DP400" s="762"/>
      <c r="DQ400" s="16"/>
      <c r="DR400" s="762"/>
      <c r="DS400" s="16"/>
      <c r="DT400" s="762"/>
      <c r="DU400" s="16"/>
      <c r="DV400" s="762"/>
      <c r="DW400" s="16"/>
      <c r="DX400" s="762"/>
      <c r="DY400" s="16"/>
      <c r="DZ400" s="762"/>
      <c r="EA400" s="16"/>
      <c r="EB400" s="762"/>
      <c r="EC400" s="16"/>
      <c r="ED400" s="762"/>
      <c r="EE400" s="16"/>
      <c r="EF400" s="762"/>
      <c r="EG400" s="16"/>
      <c r="EH400" s="762"/>
      <c r="EI400" s="16"/>
      <c r="EJ400" s="762"/>
      <c r="EK400" s="16"/>
      <c r="EL400" s="762"/>
      <c r="EM400" s="702"/>
    </row>
    <row r="401" spans="1:143" ht="21.95" hidden="1" customHeight="1" outlineLevel="2" x14ac:dyDescent="0.2">
      <c r="A401" s="763" t="str">
        <f>$A$1</f>
        <v>Lincoln National</v>
      </c>
    </row>
    <row r="402" spans="1:143" ht="12.75" hidden="1" customHeight="1" outlineLevel="2" x14ac:dyDescent="0.2">
      <c r="A402" s="685" t="s">
        <v>287</v>
      </c>
      <c r="B402" s="4"/>
      <c r="C402" s="496"/>
      <c r="D402" s="4"/>
      <c r="E402" s="686"/>
      <c r="F402" s="4"/>
      <c r="G402" s="686"/>
      <c r="H402" s="4"/>
      <c r="I402" s="686"/>
      <c r="J402" s="4"/>
      <c r="K402" s="496"/>
      <c r="L402" s="4"/>
      <c r="M402" s="496"/>
      <c r="N402" s="4"/>
      <c r="O402" s="496"/>
      <c r="P402" s="4"/>
      <c r="Q402" s="496"/>
      <c r="R402" s="4"/>
      <c r="S402" s="496"/>
      <c r="T402" s="4"/>
      <c r="U402" s="496"/>
      <c r="V402" s="4"/>
      <c r="W402" s="496"/>
      <c r="X402" s="4"/>
      <c r="Y402" s="496"/>
      <c r="Z402" s="4"/>
      <c r="AA402" s="496"/>
      <c r="AB402" s="4"/>
      <c r="AC402" s="496"/>
      <c r="AD402" s="4"/>
      <c r="AE402" s="496"/>
      <c r="AF402" s="4"/>
      <c r="AG402" s="496"/>
      <c r="AH402" s="4"/>
      <c r="AI402" s="496"/>
      <c r="AJ402" s="4"/>
      <c r="AK402" s="496"/>
      <c r="AL402" s="4"/>
      <c r="AM402" s="496"/>
      <c r="AN402" s="4"/>
      <c r="AO402" s="496"/>
      <c r="AP402" s="4"/>
      <c r="AQ402" s="496"/>
      <c r="AR402" s="4"/>
      <c r="AS402" s="496"/>
      <c r="AT402" s="4"/>
      <c r="AU402" s="496"/>
      <c r="AV402" s="4"/>
      <c r="AW402" s="496"/>
      <c r="AX402" s="4"/>
      <c r="AY402" s="496"/>
      <c r="AZ402" s="4"/>
      <c r="BA402" s="496"/>
      <c r="BB402" s="4"/>
      <c r="BC402" s="496"/>
      <c r="BD402" s="4"/>
      <c r="BE402" s="496"/>
      <c r="BF402" s="4"/>
      <c r="BG402" s="496"/>
      <c r="BH402" s="4"/>
      <c r="BI402" s="496"/>
      <c r="BJ402" s="4"/>
      <c r="BK402" s="496"/>
      <c r="BL402" s="4"/>
      <c r="BM402" s="496"/>
      <c r="BN402" s="4"/>
      <c r="BO402" s="496"/>
      <c r="BP402" s="4"/>
      <c r="BQ402" s="496"/>
      <c r="BR402" s="4"/>
      <c r="BS402" s="496"/>
      <c r="BT402" s="4"/>
      <c r="BU402" s="496"/>
      <c r="BV402" s="4"/>
      <c r="BW402" s="496"/>
      <c r="BX402" s="4"/>
      <c r="BY402" s="496"/>
      <c r="BZ402" s="4"/>
      <c r="CA402" s="496"/>
      <c r="CB402" s="4"/>
      <c r="CC402" s="496"/>
      <c r="CD402" s="4"/>
      <c r="CE402" s="496"/>
      <c r="CF402" s="4"/>
      <c r="CG402" s="496"/>
      <c r="CH402" s="4"/>
      <c r="CI402" s="496"/>
      <c r="CJ402" s="4"/>
      <c r="CK402" s="496"/>
      <c r="CL402" s="4"/>
      <c r="CM402" s="496"/>
      <c r="CN402" s="4"/>
      <c r="CO402" s="496"/>
      <c r="CP402" s="4"/>
      <c r="CQ402" s="496"/>
      <c r="CR402" s="4"/>
      <c r="CS402" s="496"/>
      <c r="CT402" s="4"/>
      <c r="CU402" s="496"/>
      <c r="CV402" s="4"/>
      <c r="CW402" s="496"/>
      <c r="CX402" s="4"/>
      <c r="CY402" s="496"/>
      <c r="CZ402" s="4"/>
      <c r="DA402" s="496"/>
      <c r="DB402" s="496"/>
      <c r="DC402" s="4"/>
      <c r="DD402" s="496"/>
      <c r="DE402" s="4"/>
      <c r="DF402" s="496"/>
      <c r="DG402" s="4"/>
      <c r="DH402" s="496"/>
      <c r="DI402" s="4"/>
      <c r="DJ402" s="496"/>
      <c r="DK402" s="4"/>
      <c r="DL402" s="496"/>
      <c r="DM402" s="4"/>
      <c r="DN402" s="496"/>
      <c r="DO402" s="4"/>
      <c r="DP402" s="496"/>
      <c r="DQ402" s="4"/>
      <c r="DR402" s="496"/>
      <c r="DS402" s="4"/>
      <c r="DT402" s="496"/>
      <c r="DU402" s="4"/>
      <c r="DV402" s="496"/>
      <c r="DW402" s="4"/>
      <c r="DX402" s="496"/>
      <c r="DY402" s="4"/>
      <c r="DZ402" s="496"/>
      <c r="EA402" s="4"/>
      <c r="EB402" s="496"/>
      <c r="EC402" s="4"/>
      <c r="ED402" s="496"/>
      <c r="EE402" s="4"/>
      <c r="EF402" s="496"/>
      <c r="EG402" s="4"/>
      <c r="EH402" s="496"/>
      <c r="EI402" s="4"/>
      <c r="EJ402" s="496"/>
      <c r="EK402" s="4"/>
      <c r="EL402" s="496"/>
      <c r="EM402" s="686"/>
    </row>
    <row r="403" spans="1:143" s="3" customFormat="1" ht="12.75" hidden="1" customHeight="1" outlineLevel="2" x14ac:dyDescent="0.2">
      <c r="A403" s="703" t="str">
        <f>A$3</f>
        <v>($Millions Except Per Share Data)</v>
      </c>
      <c r="B403" s="704"/>
      <c r="C403" s="724"/>
      <c r="D403" s="704"/>
      <c r="E403" s="724" t="str">
        <f>E$3</f>
        <v>2Q06/</v>
      </c>
      <c r="F403" s="704"/>
      <c r="G403" s="724" t="str">
        <f>G$3</f>
        <v>3Q06/</v>
      </c>
      <c r="H403" s="704"/>
      <c r="I403" s="724" t="str">
        <f>I$3</f>
        <v>4Q06/</v>
      </c>
      <c r="J403" s="724"/>
      <c r="K403" s="724" t="str">
        <f>K$3</f>
        <v>1Q07/</v>
      </c>
      <c r="L403" s="704"/>
      <c r="M403" s="724" t="str">
        <f>M$3</f>
        <v>2Q07/</v>
      </c>
      <c r="N403" s="704"/>
      <c r="O403" s="724" t="str">
        <f>O$3</f>
        <v>3Q07/</v>
      </c>
      <c r="P403" s="704"/>
      <c r="Q403" s="724" t="str">
        <f>Q$3</f>
        <v>4Q07/</v>
      </c>
      <c r="R403" s="704"/>
      <c r="S403" s="724" t="str">
        <f>S$3</f>
        <v>1Q08/</v>
      </c>
      <c r="T403" s="704"/>
      <c r="U403" s="724" t="str">
        <f>U$3</f>
        <v>2Q08/</v>
      </c>
      <c r="V403" s="704"/>
      <c r="W403" s="724" t="str">
        <f>W$3</f>
        <v>3Q08/</v>
      </c>
      <c r="X403" s="704"/>
      <c r="Y403" s="724" t="str">
        <f>Y$3</f>
        <v>4Q08/</v>
      </c>
      <c r="Z403" s="704"/>
      <c r="AA403" s="724" t="str">
        <f>AA$3</f>
        <v>1Q09/</v>
      </c>
      <c r="AB403" s="704"/>
      <c r="AC403" s="724" t="str">
        <f>AC$3</f>
        <v>2Q09/</v>
      </c>
      <c r="AD403" s="704"/>
      <c r="AE403" s="724" t="str">
        <f>AE$3</f>
        <v>3Q09/</v>
      </c>
      <c r="AF403" s="704"/>
      <c r="AG403" s="724" t="str">
        <f>AG$3</f>
        <v>4Q09/</v>
      </c>
      <c r="AH403" s="704"/>
      <c r="AI403" s="724" t="str">
        <f>AI$3</f>
        <v>1Q10/</v>
      </c>
      <c r="AJ403" s="704"/>
      <c r="AK403" s="724" t="str">
        <f>AK$3</f>
        <v>2Q10/</v>
      </c>
      <c r="AL403" s="704"/>
      <c r="AM403" s="724" t="str">
        <f>AM$3</f>
        <v>3Q10/</v>
      </c>
      <c r="AN403" s="704"/>
      <c r="AO403" s="724" t="str">
        <f>AO$3</f>
        <v>4Q10/</v>
      </c>
      <c r="AP403" s="704"/>
      <c r="AQ403" s="724" t="str">
        <f>AQ$3</f>
        <v>1Q11/</v>
      </c>
      <c r="AR403" s="704"/>
      <c r="AS403" s="724" t="str">
        <f>AS$3</f>
        <v>2Q11/</v>
      </c>
      <c r="AT403" s="704"/>
      <c r="AU403" s="724" t="str">
        <f>AU$3</f>
        <v>3Q11/</v>
      </c>
      <c r="AV403" s="704"/>
      <c r="AW403" s="724" t="str">
        <f>AW$3</f>
        <v>4Q11/</v>
      </c>
      <c r="AX403" s="704"/>
      <c r="AY403" s="724" t="str">
        <f>AY$3</f>
        <v>1Q12/</v>
      </c>
      <c r="AZ403" s="704"/>
      <c r="BA403" s="724" t="str">
        <f>BA$3</f>
        <v>2Q12/</v>
      </c>
      <c r="BB403" s="704"/>
      <c r="BC403" s="724" t="str">
        <f>BC$3</f>
        <v>3Q12/</v>
      </c>
      <c r="BD403" s="704"/>
      <c r="BE403" s="724" t="str">
        <f>BE$3</f>
        <v>4Q12/</v>
      </c>
      <c r="BF403" s="704"/>
      <c r="BG403" s="724" t="str">
        <f>BG$3</f>
        <v>1Q13/</v>
      </c>
      <c r="BH403" s="704"/>
      <c r="BI403" s="724" t="str">
        <f>BI$3</f>
        <v>2Q13/</v>
      </c>
      <c r="BJ403" s="704"/>
      <c r="BK403" s="724" t="str">
        <f>BK$3</f>
        <v>3Q13/</v>
      </c>
      <c r="BL403" s="704"/>
      <c r="BM403" s="724" t="str">
        <f>BM$3</f>
        <v>4Q13/</v>
      </c>
      <c r="BN403" s="704"/>
      <c r="BO403" s="724" t="str">
        <f>BO$3</f>
        <v>1Q14/</v>
      </c>
      <c r="BP403" s="704"/>
      <c r="BQ403" s="724" t="str">
        <f>BQ$3</f>
        <v>2Q14/</v>
      </c>
      <c r="BR403" s="704"/>
      <c r="BS403" s="724" t="str">
        <f>BS$3</f>
        <v>3Q14/</v>
      </c>
      <c r="BT403" s="704"/>
      <c r="BU403" s="724" t="str">
        <f>BU$3</f>
        <v>4Q14/</v>
      </c>
      <c r="BV403" s="704"/>
      <c r="BW403" s="724" t="str">
        <f>BW$3</f>
        <v>1Q15/</v>
      </c>
      <c r="BX403" s="704"/>
      <c r="BY403" s="724" t="str">
        <f>BY$3</f>
        <v>2Q15/</v>
      </c>
      <c r="BZ403" s="704"/>
      <c r="CA403" s="724" t="str">
        <f>CA$3</f>
        <v>3Q15/</v>
      </c>
      <c r="CB403" s="704"/>
      <c r="CC403" s="724" t="str">
        <f>CC$3</f>
        <v>4Q15/</v>
      </c>
      <c r="CD403" s="704"/>
      <c r="CE403" s="724" t="str">
        <f>CE$3</f>
        <v>1Q16/</v>
      </c>
      <c r="CF403" s="704"/>
      <c r="CG403" s="724" t="str">
        <f>CG$3</f>
        <v>2Q16/</v>
      </c>
      <c r="CH403" s="704"/>
      <c r="CI403" s="724" t="str">
        <f>CI$3</f>
        <v>3Q16/</v>
      </c>
      <c r="CJ403" s="704"/>
      <c r="CK403" s="724" t="str">
        <f>CK$3</f>
        <v>4Q16/</v>
      </c>
      <c r="CL403" s="704"/>
      <c r="CM403" s="724" t="str">
        <f t="shared" ref="CM403" si="227">CM$3</f>
        <v>1Q17/</v>
      </c>
      <c r="CN403" s="704"/>
      <c r="CO403" s="724" t="str">
        <f t="shared" ref="CO403" si="228">CO$3</f>
        <v>2Q17/</v>
      </c>
      <c r="CP403" s="704"/>
      <c r="CQ403" s="724" t="str">
        <f t="shared" ref="CQ403" si="229">CQ$3</f>
        <v>3Q17/</v>
      </c>
      <c r="CR403" s="704"/>
      <c r="CS403" s="724" t="str">
        <f t="shared" ref="CS403" si="230">CS$3</f>
        <v>4Q17/</v>
      </c>
      <c r="CT403" s="704"/>
      <c r="CU403" s="724" t="str">
        <f t="shared" ref="CU403" si="231">CU$3</f>
        <v>1Q18E/</v>
      </c>
      <c r="CV403" s="704"/>
      <c r="CW403" s="724" t="str">
        <f t="shared" ref="CW403" si="232">CW$3</f>
        <v>2Q18E/</v>
      </c>
      <c r="CX403" s="704"/>
      <c r="CY403" s="724" t="str">
        <f t="shared" ref="CY403" si="233">CY$3</f>
        <v>3Q18E/</v>
      </c>
      <c r="CZ403" s="704"/>
      <c r="DA403" s="724" t="str">
        <f t="shared" ref="DA403" si="234">DA$3</f>
        <v>4Q18E/</v>
      </c>
      <c r="DB403" s="724"/>
      <c r="DC403" s="704"/>
      <c r="DD403" s="724" t="str">
        <f>DD$3</f>
        <v>2005/</v>
      </c>
      <c r="DE403" s="704"/>
      <c r="DF403" s="724" t="str">
        <f>DF$3</f>
        <v>2006/</v>
      </c>
      <c r="DG403" s="704"/>
      <c r="DH403" s="724" t="str">
        <f>DH$3</f>
        <v>2007/</v>
      </c>
      <c r="DI403" s="704"/>
      <c r="DJ403" s="724" t="str">
        <f>DJ$3</f>
        <v>2008/</v>
      </c>
      <c r="DK403" s="704"/>
      <c r="DL403" s="724" t="str">
        <f>DL$3</f>
        <v>2009/</v>
      </c>
      <c r="DM403" s="704"/>
      <c r="DN403" s="724" t="str">
        <f>DN$3</f>
        <v>2010/</v>
      </c>
      <c r="DO403" s="704"/>
      <c r="DP403" s="724" t="str">
        <f>DP$3</f>
        <v>2011/</v>
      </c>
      <c r="DQ403" s="704"/>
      <c r="DR403" s="724" t="str">
        <f>DR$3</f>
        <v>2012/</v>
      </c>
      <c r="DS403" s="704"/>
      <c r="DT403" s="724" t="str">
        <f>DT$3</f>
        <v>2013/</v>
      </c>
      <c r="DU403" s="704"/>
      <c r="DV403" s="724" t="str">
        <f>DV$3</f>
        <v>2014/</v>
      </c>
      <c r="DW403" s="704"/>
      <c r="DX403" s="724" t="str">
        <f>DX$3</f>
        <v>2015/</v>
      </c>
      <c r="DY403" s="704"/>
      <c r="DZ403" s="724" t="str">
        <f>DZ$3</f>
        <v>2016/</v>
      </c>
      <c r="EA403" s="704"/>
      <c r="EB403" s="724" t="str">
        <f>EB$3</f>
        <v>2017/</v>
      </c>
      <c r="EC403" s="704"/>
      <c r="ED403" s="724" t="str">
        <f>ED$3</f>
        <v>2018E/</v>
      </c>
      <c r="EE403" s="704"/>
      <c r="EF403" s="724" t="str">
        <f>EF$3</f>
        <v>2019E/</v>
      </c>
      <c r="EG403" s="704"/>
      <c r="EH403" s="724" t="str">
        <f>EH$3</f>
        <v>2020E/</v>
      </c>
      <c r="EI403" s="704"/>
      <c r="EJ403" s="724" t="str">
        <f>EJ$3</f>
        <v>2021E/</v>
      </c>
      <c r="EK403" s="704"/>
      <c r="EL403" s="724" t="str">
        <f>EL$3</f>
        <v>2022E/</v>
      </c>
      <c r="EM403" s="705" t="str">
        <f>EM$3</f>
        <v>5-Yr</v>
      </c>
    </row>
    <row r="404" spans="1:143" s="3" customFormat="1" ht="12.75" hidden="1" customHeight="1" outlineLevel="2" x14ac:dyDescent="0.2">
      <c r="A404" s="693"/>
      <c r="B404" s="692"/>
      <c r="C404" s="496"/>
      <c r="D404" s="692"/>
      <c r="E404" s="496" t="str">
        <f>E$4</f>
        <v>2Q05</v>
      </c>
      <c r="F404" s="692"/>
      <c r="G404" s="496" t="str">
        <f>G$4</f>
        <v>3Q05</v>
      </c>
      <c r="H404" s="692"/>
      <c r="I404" s="496" t="str">
        <f>I$4</f>
        <v>4Q05</v>
      </c>
      <c r="J404" s="496"/>
      <c r="K404" s="496" t="str">
        <f>K$4</f>
        <v>1Q06</v>
      </c>
      <c r="L404" s="692"/>
      <c r="M404" s="496" t="str">
        <f>M$4</f>
        <v>2Q06</v>
      </c>
      <c r="N404" s="692"/>
      <c r="O404" s="496" t="str">
        <f>O$4</f>
        <v>3Q06</v>
      </c>
      <c r="P404" s="692"/>
      <c r="Q404" s="496" t="str">
        <f>Q$4</f>
        <v>4Q06</v>
      </c>
      <c r="R404" s="692"/>
      <c r="S404" s="496" t="str">
        <f>S$4</f>
        <v>1Q07</v>
      </c>
      <c r="T404" s="692"/>
      <c r="U404" s="496" t="str">
        <f>U$4</f>
        <v>2Q07</v>
      </c>
      <c r="V404" s="692"/>
      <c r="W404" s="496" t="str">
        <f>W$4</f>
        <v>3Q07</v>
      </c>
      <c r="X404" s="692"/>
      <c r="Y404" s="496" t="str">
        <f>Y$4</f>
        <v>4Q07</v>
      </c>
      <c r="Z404" s="692"/>
      <c r="AA404" s="496" t="str">
        <f>AA$4</f>
        <v>1Q08</v>
      </c>
      <c r="AB404" s="692"/>
      <c r="AC404" s="496" t="str">
        <f>AC$4</f>
        <v>2Q08</v>
      </c>
      <c r="AD404" s="692"/>
      <c r="AE404" s="496" t="str">
        <f>AE$4</f>
        <v>3Q08</v>
      </c>
      <c r="AF404" s="692"/>
      <c r="AG404" s="496" t="str">
        <f>AG$4</f>
        <v>4Q08</v>
      </c>
      <c r="AH404" s="692"/>
      <c r="AI404" s="496" t="str">
        <f>AI$4</f>
        <v>1Q09</v>
      </c>
      <c r="AJ404" s="692"/>
      <c r="AK404" s="496" t="str">
        <f>AK$4</f>
        <v>2Q09</v>
      </c>
      <c r="AL404" s="692"/>
      <c r="AM404" s="496" t="str">
        <f>AM$4</f>
        <v>3Q09</v>
      </c>
      <c r="AN404" s="692"/>
      <c r="AO404" s="496" t="str">
        <f>AO$4</f>
        <v>4Q09</v>
      </c>
      <c r="AP404" s="692"/>
      <c r="AQ404" s="496" t="str">
        <f>AQ$4</f>
        <v>1Q10</v>
      </c>
      <c r="AR404" s="692"/>
      <c r="AS404" s="496" t="str">
        <f>AS$4</f>
        <v>2Q10</v>
      </c>
      <c r="AT404" s="692"/>
      <c r="AU404" s="496" t="str">
        <f>AU$4</f>
        <v>3Q10</v>
      </c>
      <c r="AV404" s="692"/>
      <c r="AW404" s="496" t="str">
        <f>AW$4</f>
        <v>4Q10</v>
      </c>
      <c r="AX404" s="692"/>
      <c r="AY404" s="496" t="str">
        <f>AY$4</f>
        <v>1Q11</v>
      </c>
      <c r="AZ404" s="692"/>
      <c r="BA404" s="496" t="str">
        <f>BA$4</f>
        <v>2Q11</v>
      </c>
      <c r="BB404" s="692"/>
      <c r="BC404" s="496" t="str">
        <f>BC$4</f>
        <v>3Q11</v>
      </c>
      <c r="BD404" s="692"/>
      <c r="BE404" s="496" t="str">
        <f>BE$4</f>
        <v>4Q11</v>
      </c>
      <c r="BF404" s="692"/>
      <c r="BG404" s="496" t="str">
        <f>BG$4</f>
        <v>1Q12</v>
      </c>
      <c r="BH404" s="692"/>
      <c r="BI404" s="496" t="str">
        <f>BI$4</f>
        <v>2Q12</v>
      </c>
      <c r="BJ404" s="692"/>
      <c r="BK404" s="496" t="str">
        <f>BK$4</f>
        <v>3Q12</v>
      </c>
      <c r="BL404" s="692"/>
      <c r="BM404" s="496" t="str">
        <f>BM$4</f>
        <v>4Q12</v>
      </c>
      <c r="BN404" s="692"/>
      <c r="BO404" s="496" t="str">
        <f>BO$4</f>
        <v>1Q13</v>
      </c>
      <c r="BP404" s="692"/>
      <c r="BQ404" s="496" t="str">
        <f>BQ$4</f>
        <v>2Q13</v>
      </c>
      <c r="BR404" s="692"/>
      <c r="BS404" s="496" t="str">
        <f>BS$4</f>
        <v>3Q13</v>
      </c>
      <c r="BT404" s="692"/>
      <c r="BU404" s="496" t="str">
        <f>BU$4</f>
        <v>4Q13</v>
      </c>
      <c r="BV404" s="692"/>
      <c r="BW404" s="496" t="str">
        <f>BW$4</f>
        <v>1Q14</v>
      </c>
      <c r="BX404" s="692"/>
      <c r="BY404" s="496" t="str">
        <f>BY$4</f>
        <v>2Q14</v>
      </c>
      <c r="BZ404" s="692"/>
      <c r="CA404" s="496" t="str">
        <f>CA$4</f>
        <v>3Q14</v>
      </c>
      <c r="CB404" s="692"/>
      <c r="CC404" s="496" t="str">
        <f>CC$4</f>
        <v>4Q14</v>
      </c>
      <c r="CD404" s="692"/>
      <c r="CE404" s="496" t="str">
        <f>CE$4</f>
        <v>1Q15</v>
      </c>
      <c r="CF404" s="692"/>
      <c r="CG404" s="496" t="str">
        <f>CG$4</f>
        <v>2Q15</v>
      </c>
      <c r="CH404" s="692"/>
      <c r="CI404" s="496" t="str">
        <f>CI$4</f>
        <v>3Q15</v>
      </c>
      <c r="CJ404" s="692"/>
      <c r="CK404" s="496" t="str">
        <f>CK$4</f>
        <v>4Q15</v>
      </c>
      <c r="CL404" s="692"/>
      <c r="CM404" s="496" t="str">
        <f t="shared" ref="CM404" si="235">CM$4</f>
        <v>1Q16</v>
      </c>
      <c r="CN404" s="692"/>
      <c r="CO404" s="496" t="str">
        <f t="shared" ref="CO404" si="236">CO$4</f>
        <v>2Q16</v>
      </c>
      <c r="CP404" s="692"/>
      <c r="CQ404" s="496" t="str">
        <f t="shared" ref="CQ404" si="237">CQ$4</f>
        <v>3Q16</v>
      </c>
      <c r="CR404" s="692"/>
      <c r="CS404" s="496" t="str">
        <f t="shared" ref="CS404" si="238">CS$4</f>
        <v>4Q16</v>
      </c>
      <c r="CT404" s="692"/>
      <c r="CU404" s="496" t="str">
        <f t="shared" ref="CU404" si="239">CU$4</f>
        <v>1Q17</v>
      </c>
      <c r="CV404" s="692"/>
      <c r="CW404" s="496" t="str">
        <f t="shared" ref="CW404" si="240">CW$4</f>
        <v>2Q17</v>
      </c>
      <c r="CX404" s="692"/>
      <c r="CY404" s="496" t="str">
        <f t="shared" ref="CY404" si="241">CY$4</f>
        <v>3Q17</v>
      </c>
      <c r="CZ404" s="692"/>
      <c r="DA404" s="496" t="str">
        <f t="shared" ref="DA404" si="242">DA$4</f>
        <v>4Q17</v>
      </c>
      <c r="DB404" s="496"/>
      <c r="DC404" s="692"/>
      <c r="DD404" s="686">
        <f>DD$4</f>
        <v>2004</v>
      </c>
      <c r="DE404" s="692"/>
      <c r="DF404" s="686">
        <f>DF$4</f>
        <v>2005</v>
      </c>
      <c r="DG404" s="692"/>
      <c r="DH404" s="686">
        <f>DH$4</f>
        <v>2006</v>
      </c>
      <c r="DI404" s="692"/>
      <c r="DJ404" s="686">
        <f>DJ$4</f>
        <v>2007</v>
      </c>
      <c r="DK404" s="692"/>
      <c r="DL404" s="725">
        <f>DL$4</f>
        <v>2008</v>
      </c>
      <c r="DM404" s="692"/>
      <c r="DN404" s="725" t="str">
        <f>DN$4</f>
        <v>2009</v>
      </c>
      <c r="DO404" s="692"/>
      <c r="DP404" s="725" t="str">
        <f>DP$4</f>
        <v>2010</v>
      </c>
      <c r="DQ404" s="692"/>
      <c r="DR404" s="725" t="str">
        <f>DR$4</f>
        <v>2011</v>
      </c>
      <c r="DS404" s="692"/>
      <c r="DT404" s="725" t="str">
        <f>DT$4</f>
        <v>2012</v>
      </c>
      <c r="DU404" s="692"/>
      <c r="DV404" s="725" t="str">
        <f>DV$4</f>
        <v>2013</v>
      </c>
      <c r="DW404" s="692"/>
      <c r="DX404" s="725" t="str">
        <f>DX$4</f>
        <v>2014</v>
      </c>
      <c r="DY404" s="692"/>
      <c r="DZ404" s="725" t="str">
        <f>DZ$4</f>
        <v>2015</v>
      </c>
      <c r="EA404" s="692"/>
      <c r="EB404" s="725" t="str">
        <f>EB$4</f>
        <v>2016</v>
      </c>
      <c r="EC404" s="692"/>
      <c r="ED404" s="725" t="str">
        <f>ED$4</f>
        <v>2017</v>
      </c>
      <c r="EE404" s="692"/>
      <c r="EF404" s="725" t="str">
        <f>EF$4</f>
        <v>2018E</v>
      </c>
      <c r="EG404" s="692"/>
      <c r="EH404" s="725" t="str">
        <f>EH$4</f>
        <v>2019E</v>
      </c>
      <c r="EI404" s="692"/>
      <c r="EJ404" s="725" t="str">
        <f>EJ$4</f>
        <v>2020E</v>
      </c>
      <c r="EK404" s="692"/>
      <c r="EL404" s="725" t="str">
        <f>EL$4</f>
        <v>2021E</v>
      </c>
      <c r="EM404" s="686" t="str">
        <f>EM$4</f>
        <v>CAGR</v>
      </c>
    </row>
    <row r="405" spans="1:143" s="3" customFormat="1" ht="12.75" hidden="1" customHeight="1" outlineLevel="2" x14ac:dyDescent="0.2">
      <c r="A405" s="694"/>
      <c r="B405" s="695" t="str">
        <f t="shared" ref="B405:BN405" si="243">B$5</f>
        <v>1Q06</v>
      </c>
      <c r="C405" s="726" t="str">
        <f t="shared" si="243"/>
        <v>% Chg</v>
      </c>
      <c r="D405" s="695" t="str">
        <f t="shared" si="243"/>
        <v>2Q06</v>
      </c>
      <c r="E405" s="726" t="str">
        <f t="shared" si="243"/>
        <v>% Chg</v>
      </c>
      <c r="F405" s="695" t="str">
        <f t="shared" si="243"/>
        <v>3Q06</v>
      </c>
      <c r="G405" s="726" t="str">
        <f t="shared" si="243"/>
        <v>% Chg</v>
      </c>
      <c r="H405" s="695" t="str">
        <f t="shared" si="243"/>
        <v>4Q06</v>
      </c>
      <c r="I405" s="726" t="str">
        <f t="shared" si="243"/>
        <v>% Chg</v>
      </c>
      <c r="J405" s="695" t="str">
        <f t="shared" si="243"/>
        <v>1Q07</v>
      </c>
      <c r="K405" s="726" t="str">
        <f t="shared" si="243"/>
        <v>% Chg</v>
      </c>
      <c r="L405" s="695" t="str">
        <f t="shared" si="243"/>
        <v>2Q07</v>
      </c>
      <c r="M405" s="726" t="str">
        <f t="shared" si="243"/>
        <v>% Chg</v>
      </c>
      <c r="N405" s="695" t="str">
        <f t="shared" si="243"/>
        <v>3Q07</v>
      </c>
      <c r="O405" s="726" t="str">
        <f t="shared" si="243"/>
        <v>% Chg</v>
      </c>
      <c r="P405" s="695" t="str">
        <f t="shared" si="243"/>
        <v>4Q07</v>
      </c>
      <c r="Q405" s="726" t="str">
        <f t="shared" si="243"/>
        <v>% Chg</v>
      </c>
      <c r="R405" s="695" t="str">
        <f t="shared" si="243"/>
        <v>1Q08</v>
      </c>
      <c r="S405" s="726" t="str">
        <f t="shared" si="243"/>
        <v>% Chg</v>
      </c>
      <c r="T405" s="695" t="str">
        <f t="shared" si="243"/>
        <v>2Q08</v>
      </c>
      <c r="U405" s="726" t="str">
        <f t="shared" si="243"/>
        <v>% Chg</v>
      </c>
      <c r="V405" s="695" t="str">
        <f t="shared" si="243"/>
        <v>3Q08</v>
      </c>
      <c r="W405" s="726" t="str">
        <f t="shared" si="243"/>
        <v>% Chg</v>
      </c>
      <c r="X405" s="695" t="str">
        <f t="shared" si="243"/>
        <v>4Q08</v>
      </c>
      <c r="Y405" s="726" t="str">
        <f t="shared" si="243"/>
        <v>% Chg</v>
      </c>
      <c r="Z405" s="695" t="str">
        <f t="shared" si="243"/>
        <v>1Q09</v>
      </c>
      <c r="AA405" s="726" t="str">
        <f t="shared" si="243"/>
        <v>% Chg</v>
      </c>
      <c r="AB405" s="695" t="str">
        <f t="shared" si="243"/>
        <v>2Q09</v>
      </c>
      <c r="AC405" s="726" t="str">
        <f t="shared" si="243"/>
        <v>% Chg</v>
      </c>
      <c r="AD405" s="695" t="str">
        <f t="shared" si="243"/>
        <v>3Q09</v>
      </c>
      <c r="AE405" s="726" t="str">
        <f t="shared" si="243"/>
        <v>% Chg</v>
      </c>
      <c r="AF405" s="695" t="str">
        <f t="shared" si="243"/>
        <v>4Q09</v>
      </c>
      <c r="AG405" s="726" t="str">
        <f t="shared" si="243"/>
        <v>% Chg</v>
      </c>
      <c r="AH405" s="695" t="str">
        <f t="shared" si="243"/>
        <v>1Q10</v>
      </c>
      <c r="AI405" s="726" t="str">
        <f t="shared" si="243"/>
        <v>% Chg</v>
      </c>
      <c r="AJ405" s="695" t="str">
        <f t="shared" si="243"/>
        <v>2Q10</v>
      </c>
      <c r="AK405" s="726" t="str">
        <f t="shared" si="243"/>
        <v>% Chg</v>
      </c>
      <c r="AL405" s="695" t="str">
        <f t="shared" si="243"/>
        <v>3Q10</v>
      </c>
      <c r="AM405" s="726" t="str">
        <f t="shared" si="243"/>
        <v>% Chg</v>
      </c>
      <c r="AN405" s="695" t="str">
        <f t="shared" si="243"/>
        <v>4Q10</v>
      </c>
      <c r="AO405" s="726" t="str">
        <f t="shared" si="243"/>
        <v>% Chg</v>
      </c>
      <c r="AP405" s="695" t="str">
        <f t="shared" si="243"/>
        <v>1Q11</v>
      </c>
      <c r="AQ405" s="726" t="str">
        <f t="shared" si="243"/>
        <v>% Chg</v>
      </c>
      <c r="AR405" s="695" t="str">
        <f t="shared" si="243"/>
        <v>2Q11</v>
      </c>
      <c r="AS405" s="726" t="str">
        <f t="shared" si="243"/>
        <v>% Chg</v>
      </c>
      <c r="AT405" s="695" t="str">
        <f t="shared" si="243"/>
        <v>3Q11</v>
      </c>
      <c r="AU405" s="726" t="str">
        <f t="shared" si="243"/>
        <v>% Chg</v>
      </c>
      <c r="AV405" s="695" t="str">
        <f t="shared" si="243"/>
        <v>4Q11</v>
      </c>
      <c r="AW405" s="726" t="str">
        <f t="shared" si="243"/>
        <v>% Chg</v>
      </c>
      <c r="AX405" s="695" t="str">
        <f t="shared" si="243"/>
        <v>1Q12</v>
      </c>
      <c r="AY405" s="726" t="str">
        <f t="shared" si="243"/>
        <v>% Chg</v>
      </c>
      <c r="AZ405" s="695" t="str">
        <f t="shared" si="243"/>
        <v>2Q12</v>
      </c>
      <c r="BA405" s="726" t="str">
        <f t="shared" si="243"/>
        <v>% Chg</v>
      </c>
      <c r="BB405" s="695" t="str">
        <f t="shared" si="243"/>
        <v>3Q12</v>
      </c>
      <c r="BC405" s="726" t="str">
        <f t="shared" si="243"/>
        <v>% Chg</v>
      </c>
      <c r="BD405" s="695" t="str">
        <f t="shared" si="243"/>
        <v>4Q12</v>
      </c>
      <c r="BE405" s="726" t="str">
        <f t="shared" si="243"/>
        <v>% Chg</v>
      </c>
      <c r="BF405" s="695" t="str">
        <f t="shared" si="243"/>
        <v>1Q13</v>
      </c>
      <c r="BG405" s="726" t="str">
        <f t="shared" si="243"/>
        <v>% Chg</v>
      </c>
      <c r="BH405" s="695" t="str">
        <f t="shared" si="243"/>
        <v>2Q13</v>
      </c>
      <c r="BI405" s="726" t="str">
        <f t="shared" si="243"/>
        <v>% Chg</v>
      </c>
      <c r="BJ405" s="695" t="str">
        <f t="shared" si="243"/>
        <v>3Q13</v>
      </c>
      <c r="BK405" s="726" t="str">
        <f t="shared" si="243"/>
        <v>% Chg</v>
      </c>
      <c r="BL405" s="695" t="str">
        <f t="shared" si="243"/>
        <v>4Q13</v>
      </c>
      <c r="BM405" s="726" t="str">
        <f t="shared" si="243"/>
        <v>% Chg</v>
      </c>
      <c r="BN405" s="695" t="str">
        <f t="shared" si="243"/>
        <v>1Q14</v>
      </c>
      <c r="BO405" s="726" t="str">
        <f t="shared" ref="BO405:DA405" si="244">BO$5</f>
        <v>% Chg</v>
      </c>
      <c r="BP405" s="695" t="str">
        <f t="shared" si="244"/>
        <v>2Q14</v>
      </c>
      <c r="BQ405" s="726" t="str">
        <f t="shared" si="244"/>
        <v>% Chg</v>
      </c>
      <c r="BR405" s="695" t="str">
        <f t="shared" si="244"/>
        <v>3Q14</v>
      </c>
      <c r="BS405" s="726" t="str">
        <f t="shared" si="244"/>
        <v>% Chg</v>
      </c>
      <c r="BT405" s="695" t="str">
        <f t="shared" si="244"/>
        <v>4Q14</v>
      </c>
      <c r="BU405" s="726" t="str">
        <f t="shared" si="244"/>
        <v>% Chg</v>
      </c>
      <c r="BV405" s="695" t="str">
        <f t="shared" si="244"/>
        <v>1Q15</v>
      </c>
      <c r="BW405" s="726" t="str">
        <f t="shared" si="244"/>
        <v>% Chg</v>
      </c>
      <c r="BX405" s="695" t="str">
        <f t="shared" si="244"/>
        <v>2Q15</v>
      </c>
      <c r="BY405" s="726" t="str">
        <f t="shared" si="244"/>
        <v>% Chg</v>
      </c>
      <c r="BZ405" s="695" t="str">
        <f t="shared" si="244"/>
        <v>3Q15</v>
      </c>
      <c r="CA405" s="726" t="str">
        <f t="shared" si="244"/>
        <v>% Chg</v>
      </c>
      <c r="CB405" s="695" t="str">
        <f t="shared" si="244"/>
        <v>4Q15</v>
      </c>
      <c r="CC405" s="726" t="str">
        <f t="shared" si="244"/>
        <v>% Chg</v>
      </c>
      <c r="CD405" s="695" t="str">
        <f t="shared" si="244"/>
        <v>1Q16</v>
      </c>
      <c r="CE405" s="726" t="str">
        <f t="shared" si="244"/>
        <v>% Chg</v>
      </c>
      <c r="CF405" s="695" t="str">
        <f t="shared" si="244"/>
        <v>2Q16</v>
      </c>
      <c r="CG405" s="726" t="str">
        <f t="shared" si="244"/>
        <v>% Chg</v>
      </c>
      <c r="CH405" s="695" t="str">
        <f t="shared" si="244"/>
        <v>3Q16</v>
      </c>
      <c r="CI405" s="726" t="str">
        <f t="shared" si="244"/>
        <v>% Chg</v>
      </c>
      <c r="CJ405" s="695" t="str">
        <f t="shared" si="244"/>
        <v>4Q16</v>
      </c>
      <c r="CK405" s="726" t="str">
        <f t="shared" si="244"/>
        <v>% Chg</v>
      </c>
      <c r="CL405" s="695" t="str">
        <f t="shared" si="244"/>
        <v>1Q17</v>
      </c>
      <c r="CM405" s="726" t="str">
        <f t="shared" si="244"/>
        <v>% Chg</v>
      </c>
      <c r="CN405" s="695" t="str">
        <f t="shared" si="244"/>
        <v>2Q17</v>
      </c>
      <c r="CO405" s="726" t="str">
        <f t="shared" si="244"/>
        <v>% Chg</v>
      </c>
      <c r="CP405" s="695" t="str">
        <f t="shared" si="244"/>
        <v>3Q17</v>
      </c>
      <c r="CQ405" s="726" t="str">
        <f t="shared" si="244"/>
        <v>% Chg</v>
      </c>
      <c r="CR405" s="695" t="str">
        <f t="shared" si="244"/>
        <v>4Q17</v>
      </c>
      <c r="CS405" s="726" t="str">
        <f t="shared" si="244"/>
        <v>% Chg</v>
      </c>
      <c r="CT405" s="695" t="str">
        <f t="shared" si="244"/>
        <v>1Q18E</v>
      </c>
      <c r="CU405" s="726" t="str">
        <f t="shared" si="244"/>
        <v>% Chg</v>
      </c>
      <c r="CV405" s="695" t="str">
        <f t="shared" si="244"/>
        <v>2Q18E</v>
      </c>
      <c r="CW405" s="726" t="str">
        <f t="shared" si="244"/>
        <v>% Chg</v>
      </c>
      <c r="CX405" s="695" t="str">
        <f t="shared" si="244"/>
        <v>3Q18E</v>
      </c>
      <c r="CY405" s="726" t="str">
        <f t="shared" si="244"/>
        <v>% Chg</v>
      </c>
      <c r="CZ405" s="695" t="str">
        <f t="shared" si="244"/>
        <v>4Q18E</v>
      </c>
      <c r="DA405" s="726" t="str">
        <f t="shared" si="244"/>
        <v>% Chg</v>
      </c>
      <c r="DB405" s="726"/>
      <c r="DC405" s="699">
        <f t="shared" ref="DC405:EM405" si="245">DC$5</f>
        <v>2005</v>
      </c>
      <c r="DD405" s="726" t="str">
        <f t="shared" si="245"/>
        <v>% Chg</v>
      </c>
      <c r="DE405" s="699">
        <f t="shared" si="245"/>
        <v>2006</v>
      </c>
      <c r="DF405" s="726" t="str">
        <f t="shared" si="245"/>
        <v>% Chg</v>
      </c>
      <c r="DG405" s="699">
        <f t="shared" si="245"/>
        <v>2007</v>
      </c>
      <c r="DH405" s="726" t="str">
        <f t="shared" si="245"/>
        <v>% Chg</v>
      </c>
      <c r="DI405" s="699">
        <f t="shared" si="245"/>
        <v>2008</v>
      </c>
      <c r="DJ405" s="726" t="str">
        <f t="shared" si="245"/>
        <v>% Chg</v>
      </c>
      <c r="DK405" s="695" t="str">
        <f t="shared" si="245"/>
        <v>2009</v>
      </c>
      <c r="DL405" s="726" t="str">
        <f t="shared" si="245"/>
        <v>% Chg</v>
      </c>
      <c r="DM405" s="695" t="str">
        <f t="shared" si="245"/>
        <v>2010</v>
      </c>
      <c r="DN405" s="726" t="str">
        <f t="shared" si="245"/>
        <v>% Chg</v>
      </c>
      <c r="DO405" s="695" t="str">
        <f t="shared" si="245"/>
        <v>2011</v>
      </c>
      <c r="DP405" s="726" t="str">
        <f t="shared" si="245"/>
        <v>% Chg</v>
      </c>
      <c r="DQ405" s="695" t="str">
        <f t="shared" si="245"/>
        <v>2012</v>
      </c>
      <c r="DR405" s="726" t="str">
        <f t="shared" si="245"/>
        <v>% Chg</v>
      </c>
      <c r="DS405" s="695" t="str">
        <f t="shared" si="245"/>
        <v>2013</v>
      </c>
      <c r="DT405" s="726" t="str">
        <f t="shared" si="245"/>
        <v>% Chg</v>
      </c>
      <c r="DU405" s="695" t="str">
        <f t="shared" si="245"/>
        <v>2014</v>
      </c>
      <c r="DV405" s="726" t="str">
        <f t="shared" si="245"/>
        <v>% Chg</v>
      </c>
      <c r="DW405" s="695" t="str">
        <f t="shared" si="245"/>
        <v>2015</v>
      </c>
      <c r="DX405" s="726" t="str">
        <f t="shared" si="245"/>
        <v>% Chg</v>
      </c>
      <c r="DY405" s="695" t="str">
        <f t="shared" si="245"/>
        <v>2016</v>
      </c>
      <c r="DZ405" s="726" t="str">
        <f t="shared" si="245"/>
        <v>% Chg</v>
      </c>
      <c r="EA405" s="695" t="str">
        <f t="shared" si="245"/>
        <v>2017</v>
      </c>
      <c r="EB405" s="726" t="str">
        <f t="shared" si="245"/>
        <v>% Chg</v>
      </c>
      <c r="EC405" s="695" t="str">
        <f t="shared" si="245"/>
        <v>2018E</v>
      </c>
      <c r="ED405" s="726" t="str">
        <f t="shared" si="245"/>
        <v>% Chg</v>
      </c>
      <c r="EE405" s="695" t="str">
        <f t="shared" si="245"/>
        <v>2019E</v>
      </c>
      <c r="EF405" s="726" t="str">
        <f t="shared" si="245"/>
        <v>% Chg</v>
      </c>
      <c r="EG405" s="695" t="str">
        <f t="shared" si="245"/>
        <v>2020E</v>
      </c>
      <c r="EH405" s="726" t="str">
        <f t="shared" si="245"/>
        <v>% Chg</v>
      </c>
      <c r="EI405" s="695" t="str">
        <f t="shared" si="245"/>
        <v>2021E</v>
      </c>
      <c r="EJ405" s="726" t="str">
        <f t="shared" si="245"/>
        <v>% Chg</v>
      </c>
      <c r="EK405" s="695" t="str">
        <f t="shared" si="245"/>
        <v>2022E</v>
      </c>
      <c r="EL405" s="726" t="str">
        <f t="shared" si="245"/>
        <v>% Chg</v>
      </c>
      <c r="EM405" s="696" t="str">
        <f t="shared" si="245"/>
        <v>(%)</v>
      </c>
    </row>
    <row r="406" spans="1:143" ht="12.75" hidden="1" customHeight="1" outlineLevel="2" x14ac:dyDescent="0.2">
      <c r="A406" s="700"/>
      <c r="B406" s="16"/>
      <c r="C406" s="507"/>
      <c r="D406" s="16"/>
      <c r="E406" s="687"/>
      <c r="F406" s="16"/>
      <c r="G406" s="687"/>
      <c r="H406" s="16"/>
      <c r="I406" s="687"/>
      <c r="J406" s="16"/>
      <c r="K406" s="507"/>
      <c r="L406" s="16"/>
      <c r="M406" s="507"/>
      <c r="N406" s="16"/>
      <c r="O406" s="507"/>
      <c r="P406" s="16"/>
      <c r="Q406" s="507"/>
      <c r="R406" s="16"/>
      <c r="S406" s="507"/>
      <c r="T406" s="16"/>
      <c r="U406" s="507"/>
      <c r="V406" s="16"/>
      <c r="W406" s="507"/>
      <c r="X406" s="16"/>
      <c r="Y406" s="507"/>
      <c r="Z406" s="16"/>
      <c r="AA406" s="507"/>
      <c r="AB406" s="16"/>
      <c r="AC406" s="507"/>
      <c r="AD406" s="16"/>
      <c r="AE406" s="507"/>
      <c r="AF406" s="16"/>
      <c r="AG406" s="507"/>
      <c r="AH406" s="16"/>
      <c r="AI406" s="507"/>
      <c r="AJ406" s="16"/>
      <c r="AK406" s="507"/>
      <c r="AL406" s="16"/>
      <c r="AM406" s="507"/>
      <c r="AN406" s="16"/>
      <c r="AO406" s="507"/>
      <c r="AP406" s="16"/>
      <c r="AQ406" s="507"/>
      <c r="AR406" s="16"/>
      <c r="AS406" s="507"/>
      <c r="AT406" s="16"/>
      <c r="AU406" s="507"/>
      <c r="AV406" s="16"/>
      <c r="AW406" s="507"/>
      <c r="AX406" s="16"/>
      <c r="AY406" s="507"/>
      <c r="AZ406" s="16"/>
      <c r="BA406" s="507"/>
      <c r="BB406" s="16"/>
      <c r="BC406" s="507"/>
      <c r="BD406" s="16"/>
      <c r="BE406" s="507"/>
      <c r="BF406" s="16"/>
      <c r="BG406" s="507"/>
      <c r="BH406" s="16"/>
      <c r="BI406" s="507"/>
      <c r="BJ406" s="16"/>
      <c r="BK406" s="507"/>
      <c r="BL406" s="16"/>
      <c r="BM406" s="507"/>
      <c r="BN406" s="16"/>
      <c r="BO406" s="507"/>
      <c r="BP406" s="16"/>
      <c r="BQ406" s="507"/>
      <c r="BR406" s="16"/>
      <c r="BS406" s="507"/>
      <c r="BT406" s="16"/>
      <c r="BU406" s="507"/>
      <c r="BV406" s="16"/>
      <c r="BW406" s="507"/>
      <c r="BX406" s="16"/>
      <c r="BY406" s="507"/>
      <c r="BZ406" s="16"/>
      <c r="CA406" s="507"/>
      <c r="CB406" s="16"/>
      <c r="CC406" s="507"/>
      <c r="CD406" s="16"/>
      <c r="CE406" s="507"/>
      <c r="CF406" s="16"/>
      <c r="CG406" s="507"/>
      <c r="CH406" s="16"/>
      <c r="CI406" s="507"/>
      <c r="CJ406" s="16"/>
      <c r="CK406" s="507"/>
      <c r="CL406" s="16"/>
      <c r="CM406" s="507"/>
      <c r="CN406" s="16"/>
      <c r="CO406" s="507"/>
      <c r="CP406" s="16"/>
      <c r="CQ406" s="507"/>
      <c r="CR406" s="16"/>
      <c r="CS406" s="507"/>
      <c r="CT406" s="16"/>
      <c r="CU406" s="507"/>
      <c r="CV406" s="16"/>
      <c r="CW406" s="507"/>
      <c r="CX406" s="16"/>
      <c r="CY406" s="507"/>
      <c r="CZ406" s="16"/>
      <c r="DA406" s="507"/>
      <c r="DB406" s="507"/>
      <c r="DC406" s="16"/>
      <c r="DD406" s="507"/>
      <c r="DE406" s="16"/>
      <c r="DF406" s="507"/>
      <c r="DG406" s="16"/>
      <c r="DH406" s="507"/>
      <c r="DI406" s="16"/>
      <c r="DJ406" s="507"/>
      <c r="DK406" s="16"/>
      <c r="DL406" s="507"/>
      <c r="DM406" s="16"/>
      <c r="DN406" s="507"/>
      <c r="DO406" s="16"/>
      <c r="DP406" s="507"/>
      <c r="DQ406" s="16"/>
      <c r="DR406" s="507"/>
      <c r="DS406" s="16"/>
      <c r="DT406" s="507"/>
      <c r="DU406" s="16"/>
      <c r="DV406" s="507"/>
      <c r="DW406" s="16"/>
      <c r="DX406" s="507"/>
      <c r="DY406" s="16"/>
      <c r="DZ406" s="507"/>
      <c r="EA406" s="16"/>
      <c r="EB406" s="507"/>
      <c r="EC406" s="16"/>
      <c r="ED406" s="507"/>
      <c r="EE406" s="16"/>
      <c r="EF406" s="507"/>
      <c r="EG406" s="16"/>
      <c r="EH406" s="507"/>
      <c r="EI406" s="16"/>
      <c r="EJ406" s="507"/>
      <c r="EK406" s="16"/>
      <c r="EL406" s="507"/>
      <c r="EM406" s="687"/>
    </row>
    <row r="407" spans="1:143" ht="12.75" hidden="1" customHeight="1" outlineLevel="2" x14ac:dyDescent="0.2">
      <c r="A407" s="700" t="s">
        <v>7</v>
      </c>
      <c r="B407" s="16"/>
      <c r="C407" s="507"/>
      <c r="D407" s="16"/>
      <c r="E407" s="687"/>
      <c r="F407" s="16"/>
      <c r="G407" s="687"/>
      <c r="H407" s="16"/>
      <c r="I407" s="687"/>
      <c r="J407" s="16"/>
      <c r="K407" s="507"/>
      <c r="L407" s="16"/>
      <c r="M407" s="507"/>
      <c r="N407" s="16"/>
      <c r="O407" s="507"/>
      <c r="P407" s="16"/>
      <c r="Q407" s="507"/>
      <c r="R407" s="16"/>
      <c r="S407" s="507"/>
      <c r="T407" s="16"/>
      <c r="U407" s="507"/>
      <c r="V407" s="16"/>
      <c r="W407" s="507"/>
      <c r="X407" s="16"/>
      <c r="Y407" s="507"/>
      <c r="Z407" s="16"/>
      <c r="AA407" s="507"/>
      <c r="AB407" s="16"/>
      <c r="AC407" s="507"/>
      <c r="AD407" s="16"/>
      <c r="AE407" s="507"/>
      <c r="AF407" s="16"/>
      <c r="AG407" s="507"/>
      <c r="AH407" s="16"/>
      <c r="AI407" s="507"/>
      <c r="AJ407" s="16"/>
      <c r="AK407" s="507"/>
      <c r="AL407" s="16"/>
      <c r="AM407" s="507"/>
      <c r="AN407" s="16"/>
      <c r="AO407" s="507"/>
      <c r="AP407" s="16"/>
      <c r="AQ407" s="507"/>
      <c r="AR407" s="16"/>
      <c r="AS407" s="507"/>
      <c r="AT407" s="16"/>
      <c r="AU407" s="507"/>
      <c r="AV407" s="16"/>
      <c r="AW407" s="507"/>
      <c r="AX407" s="16"/>
      <c r="AY407" s="507"/>
      <c r="AZ407" s="16"/>
      <c r="BA407" s="507"/>
      <c r="BB407" s="16"/>
      <c r="BC407" s="507"/>
      <c r="BD407" s="16"/>
      <c r="BE407" s="507"/>
      <c r="BF407" s="16"/>
      <c r="BG407" s="507"/>
      <c r="BH407" s="16"/>
      <c r="BI407" s="507"/>
      <c r="BJ407" s="16"/>
      <c r="BK407" s="507"/>
      <c r="BL407" s="16"/>
      <c r="BM407" s="507"/>
      <c r="BN407" s="16"/>
      <c r="BO407" s="507"/>
      <c r="BP407" s="16"/>
      <c r="BQ407" s="507"/>
      <c r="BR407" s="16"/>
      <c r="BS407" s="507"/>
      <c r="BT407" s="16"/>
      <c r="BU407" s="507"/>
      <c r="BV407" s="16"/>
      <c r="BW407" s="507"/>
      <c r="BX407" s="16"/>
      <c r="BY407" s="507"/>
      <c r="BZ407" s="16"/>
      <c r="CA407" s="507"/>
      <c r="CB407" s="16"/>
      <c r="CC407" s="507"/>
      <c r="CD407" s="16"/>
      <c r="CE407" s="507"/>
      <c r="CF407" s="16"/>
      <c r="CG407" s="507"/>
      <c r="CH407" s="16"/>
      <c r="CI407" s="507"/>
      <c r="CJ407" s="16"/>
      <c r="CK407" s="507"/>
      <c r="CL407" s="16"/>
      <c r="CM407" s="507"/>
      <c r="CN407" s="16"/>
      <c r="CO407" s="507"/>
      <c r="CP407" s="16"/>
      <c r="CQ407" s="507"/>
      <c r="CR407" s="16"/>
      <c r="CS407" s="507"/>
      <c r="CT407" s="16"/>
      <c r="CU407" s="507"/>
      <c r="CV407" s="16"/>
      <c r="CW407" s="507"/>
      <c r="CX407" s="16"/>
      <c r="CY407" s="507"/>
      <c r="CZ407" s="16"/>
      <c r="DA407" s="507"/>
      <c r="DB407" s="507"/>
      <c r="DC407" s="16"/>
      <c r="DD407" s="507"/>
      <c r="DE407" s="16"/>
      <c r="DF407" s="507"/>
      <c r="DG407" s="16"/>
      <c r="DH407" s="507"/>
      <c r="DI407" s="16"/>
      <c r="DJ407" s="507"/>
      <c r="DK407" s="16"/>
      <c r="DL407" s="507"/>
      <c r="DM407" s="16"/>
      <c r="DN407" s="507"/>
      <c r="DO407" s="16"/>
      <c r="DP407" s="507"/>
      <c r="DQ407" s="16"/>
      <c r="DR407" s="507"/>
      <c r="DS407" s="16"/>
      <c r="DT407" s="507"/>
      <c r="DU407" s="16"/>
      <c r="DV407" s="507"/>
      <c r="DW407" s="16"/>
      <c r="DX407" s="507"/>
      <c r="DY407" s="16"/>
      <c r="DZ407" s="507"/>
      <c r="EA407" s="16"/>
      <c r="EB407" s="507"/>
      <c r="EC407" s="16"/>
      <c r="ED407" s="507"/>
      <c r="EE407" s="16"/>
      <c r="EF407" s="507"/>
      <c r="EG407" s="16"/>
      <c r="EH407" s="507"/>
      <c r="EI407" s="16"/>
      <c r="EJ407" s="507"/>
      <c r="EK407" s="16"/>
      <c r="EL407" s="507"/>
      <c r="EM407" s="687"/>
    </row>
    <row r="408" spans="1:143" ht="12.75" hidden="1" customHeight="1" outlineLevel="2" x14ac:dyDescent="0.2">
      <c r="A408" s="701" t="str">
        <f>INPUT!B408</f>
        <v>Premiums</v>
      </c>
      <c r="B408" s="151">
        <f>INPUT!AY408</f>
        <v>16.600000000000001</v>
      </c>
      <c r="C408" s="507">
        <f>INPUT!AZ408</f>
        <v>13.932738503774878</v>
      </c>
      <c r="D408" s="151">
        <f>INPUT!BA408</f>
        <v>19.899999999999999</v>
      </c>
      <c r="E408" s="687">
        <f>INPUT!BB408</f>
        <v>21.341463414634141</v>
      </c>
      <c r="F408" s="151">
        <f>INPUT!BC408</f>
        <v>21.1</v>
      </c>
      <c r="G408" s="687">
        <f>INPUT!BD408</f>
        <v>24.852071005917175</v>
      </c>
      <c r="H408" s="151">
        <f>INPUT!BE408</f>
        <v>21</v>
      </c>
      <c r="I408" s="687">
        <f>INPUT!BF408</f>
        <v>36.363636363636353</v>
      </c>
      <c r="J408" s="151">
        <f>INPUT!BG408</f>
        <v>24.2</v>
      </c>
      <c r="K408" s="687">
        <f>INPUT!BH408</f>
        <v>45.783132530120476</v>
      </c>
      <c r="L408" s="151">
        <f>INPUT!BI408</f>
        <v>24.3</v>
      </c>
      <c r="M408" s="687">
        <f>INPUT!BJ408</f>
        <v>22.110552763819101</v>
      </c>
      <c r="N408" s="151">
        <f>INPUT!BK408</f>
        <v>25.6</v>
      </c>
      <c r="O408" s="687">
        <f>INPUT!BL408</f>
        <v>21.327014218009488</v>
      </c>
      <c r="P408" s="151">
        <f>INPUT!BM408</f>
        <v>21.2</v>
      </c>
      <c r="Q408" s="687">
        <f>INPUT!BN408</f>
        <v>0.952380952380949</v>
      </c>
      <c r="R408" s="151">
        <f>INPUT!BO408</f>
        <v>19.100000000000001</v>
      </c>
      <c r="S408" s="687">
        <f>INPUT!BP408</f>
        <v>-21.074380165289252</v>
      </c>
      <c r="T408" s="151">
        <f>INPUT!BQ408</f>
        <v>26.4</v>
      </c>
      <c r="U408" s="687">
        <f>INPUT!BR408</f>
        <v>8.6419753086419693</v>
      </c>
      <c r="V408" s="151">
        <f>INPUT!BS408</f>
        <v>18.899999999999999</v>
      </c>
      <c r="W408" s="687">
        <f>INPUT!BT408</f>
        <v>-26.171875000000011</v>
      </c>
      <c r="X408" s="151">
        <f>INPUT!BU408</f>
        <v>14</v>
      </c>
      <c r="Y408" s="687">
        <f>INPUT!BV408</f>
        <v>-33.96226415094339</v>
      </c>
      <c r="Z408" s="151">
        <f>INPUT!BW408</f>
        <v>10.3</v>
      </c>
      <c r="AA408" s="687">
        <f>INPUT!BX408</f>
        <v>-46.073298429319379</v>
      </c>
      <c r="AB408" s="151"/>
      <c r="AC408" s="687"/>
      <c r="AD408" s="151"/>
      <c r="AE408" s="687"/>
      <c r="AF408" s="151"/>
      <c r="AG408" s="687"/>
      <c r="AH408" s="151"/>
      <c r="AI408" s="507"/>
      <c r="AJ408" s="151"/>
      <c r="AK408" s="507"/>
      <c r="AL408" s="151"/>
      <c r="AM408" s="507"/>
      <c r="AN408" s="151"/>
      <c r="AO408" s="507"/>
      <c r="AP408" s="151"/>
      <c r="AQ408" s="507"/>
      <c r="AR408" s="151"/>
      <c r="AS408" s="507"/>
      <c r="AT408" s="151"/>
      <c r="AU408" s="507"/>
      <c r="AV408" s="151"/>
      <c r="AW408" s="507"/>
      <c r="AX408" s="151"/>
      <c r="AY408" s="507"/>
      <c r="AZ408" s="151"/>
      <c r="BA408" s="507"/>
      <c r="BB408" s="151"/>
      <c r="BC408" s="507"/>
      <c r="BD408" s="151"/>
      <c r="BE408" s="507"/>
      <c r="BF408" s="151"/>
      <c r="BG408" s="507"/>
      <c r="BH408" s="151"/>
      <c r="BI408" s="507"/>
      <c r="BJ408" s="151"/>
      <c r="BK408" s="507"/>
      <c r="BL408" s="151"/>
      <c r="BM408" s="507"/>
      <c r="BN408" s="151"/>
      <c r="BO408" s="507"/>
      <c r="BP408" s="151"/>
      <c r="BQ408" s="507"/>
      <c r="BR408" s="151"/>
      <c r="BS408" s="507"/>
      <c r="BT408" s="151"/>
      <c r="BU408" s="507"/>
      <c r="BV408" s="151"/>
      <c r="BW408" s="507"/>
      <c r="BX408" s="151"/>
      <c r="BY408" s="507"/>
      <c r="BZ408" s="151"/>
      <c r="CA408" s="507"/>
      <c r="CB408" s="151"/>
      <c r="CC408" s="507"/>
      <c r="CD408" s="151"/>
      <c r="CE408" s="507"/>
      <c r="CF408" s="151"/>
      <c r="CG408" s="507"/>
      <c r="CH408" s="151"/>
      <c r="CI408" s="507"/>
      <c r="CJ408" s="151"/>
      <c r="CK408" s="507"/>
      <c r="CL408" s="151"/>
      <c r="CM408" s="507"/>
      <c r="CN408" s="151"/>
      <c r="CO408" s="507"/>
      <c r="CP408" s="151"/>
      <c r="CQ408" s="507"/>
      <c r="CR408" s="151"/>
      <c r="CS408" s="507"/>
      <c r="CT408" s="151"/>
      <c r="CU408" s="507"/>
      <c r="CV408" s="151"/>
      <c r="CW408" s="507"/>
      <c r="CX408" s="151"/>
      <c r="CY408" s="507"/>
      <c r="CZ408" s="151"/>
      <c r="DA408" s="507"/>
      <c r="DB408" s="507"/>
      <c r="DC408" s="151">
        <f>INPUT!FP408</f>
        <v>63.269999999999996</v>
      </c>
      <c r="DD408" s="687">
        <f>INPUT!FQ408</f>
        <v>-10.00000000000002</v>
      </c>
      <c r="DE408" s="151">
        <f>INPUT!FR408</f>
        <v>78.599999999999994</v>
      </c>
      <c r="DF408" s="687">
        <f>INPUT!FS408</f>
        <v>24.229492650545282</v>
      </c>
      <c r="DG408" s="151">
        <f>INPUT!FT408</f>
        <v>95.3</v>
      </c>
      <c r="DH408" s="687">
        <f>INPUT!FU408</f>
        <v>21.246819338422405</v>
      </c>
      <c r="DI408" s="151">
        <f>INPUT!FV408</f>
        <v>78.400000000000006</v>
      </c>
      <c r="DJ408" s="687">
        <f>INPUT!FW408</f>
        <v>-17.733473242392439</v>
      </c>
      <c r="DK408" s="151"/>
      <c r="DL408" s="507"/>
      <c r="DM408" s="151"/>
      <c r="DN408" s="507"/>
      <c r="DO408" s="151"/>
      <c r="DP408" s="507"/>
      <c r="DQ408" s="151"/>
      <c r="DR408" s="507"/>
      <c r="DS408" s="151"/>
      <c r="DT408" s="507"/>
      <c r="DU408" s="151"/>
      <c r="DV408" s="507"/>
      <c r="DW408" s="151"/>
      <c r="DX408" s="507"/>
      <c r="DY408" s="151"/>
      <c r="DZ408" s="507"/>
      <c r="EA408" s="151"/>
      <c r="EB408" s="507"/>
      <c r="EC408" s="151"/>
      <c r="ED408" s="507"/>
      <c r="EE408" s="151"/>
      <c r="EF408" s="507"/>
      <c r="EG408" s="151"/>
      <c r="EH408" s="507"/>
      <c r="EI408" s="151"/>
      <c r="EJ408" s="507"/>
      <c r="EK408" s="151"/>
      <c r="EL408" s="507"/>
      <c r="EM408" s="687"/>
    </row>
    <row r="409" spans="1:143" ht="12.75" hidden="1" customHeight="1" outlineLevel="2" x14ac:dyDescent="0.2">
      <c r="A409" s="701" t="str">
        <f>INPUT!B409</f>
        <v>Mortality and Expense Fees</v>
      </c>
      <c r="B409" s="151">
        <f>INPUT!AY409</f>
        <v>35.9</v>
      </c>
      <c r="C409" s="507">
        <f>INPUT!AZ409</f>
        <v>-9.5717884130982469</v>
      </c>
      <c r="D409" s="151">
        <f>INPUT!BA409</f>
        <v>43.6</v>
      </c>
      <c r="E409" s="687">
        <f>INPUT!BB409</f>
        <v>2.8301886792452935</v>
      </c>
      <c r="F409" s="151">
        <f>INPUT!BC409</f>
        <v>32.599999999999994</v>
      </c>
      <c r="G409" s="687">
        <f>INPUT!BD409</f>
        <v>-49.846153846153854</v>
      </c>
      <c r="H409" s="151">
        <f>INPUT!BE409</f>
        <v>45.8</v>
      </c>
      <c r="I409" s="687">
        <f>INPUT!BF409</f>
        <v>56.31399317406143</v>
      </c>
      <c r="J409" s="151">
        <f>INPUT!BG409</f>
        <v>47.2</v>
      </c>
      <c r="K409" s="687">
        <f>INPUT!BH409</f>
        <v>31.47632311977717</v>
      </c>
      <c r="L409" s="151">
        <f>INPUT!BI409</f>
        <v>48.8</v>
      </c>
      <c r="M409" s="687">
        <f>INPUT!BJ409</f>
        <v>11.926605504587151</v>
      </c>
      <c r="N409" s="151">
        <f>INPUT!BK409</f>
        <v>42.2</v>
      </c>
      <c r="O409" s="687">
        <f>INPUT!BL409</f>
        <v>29.447852760736225</v>
      </c>
      <c r="P409" s="151">
        <f>INPUT!BM409</f>
        <v>55.7</v>
      </c>
      <c r="Q409" s="687">
        <f>INPUT!BN409</f>
        <v>21.61572052401748</v>
      </c>
      <c r="R409" s="151">
        <f>INPUT!BO409</f>
        <v>46.2</v>
      </c>
      <c r="S409" s="687">
        <f>INPUT!BP409</f>
        <v>-2.1186440677966045</v>
      </c>
      <c r="T409" s="151">
        <f>INPUT!BQ409</f>
        <v>51.7</v>
      </c>
      <c r="U409" s="687">
        <f>INPUT!BR409</f>
        <v>5.9426229508196871</v>
      </c>
      <c r="V409" s="151">
        <f>INPUT!BS409</f>
        <v>39.799999999999997</v>
      </c>
      <c r="W409" s="687">
        <f>INPUT!BT409</f>
        <v>-5.6872037914692086</v>
      </c>
      <c r="X409" s="151">
        <f>INPUT!BU409</f>
        <v>33.6</v>
      </c>
      <c r="Y409" s="687">
        <f>INPUT!BV409</f>
        <v>-39.67684021543986</v>
      </c>
      <c r="Z409" s="151">
        <f>INPUT!BW409</f>
        <v>23.7</v>
      </c>
      <c r="AA409" s="687">
        <f>INPUT!BX409</f>
        <v>-48.701298701298704</v>
      </c>
      <c r="AB409" s="151"/>
      <c r="AC409" s="687"/>
      <c r="AD409" s="151"/>
      <c r="AE409" s="687"/>
      <c r="AF409" s="151"/>
      <c r="AG409" s="687"/>
      <c r="AH409" s="151"/>
      <c r="AI409" s="507"/>
      <c r="AJ409" s="151"/>
      <c r="AK409" s="507"/>
      <c r="AL409" s="151"/>
      <c r="AM409" s="507"/>
      <c r="AN409" s="151"/>
      <c r="AO409" s="507"/>
      <c r="AP409" s="151"/>
      <c r="AQ409" s="507"/>
      <c r="AR409" s="151"/>
      <c r="AS409" s="507"/>
      <c r="AT409" s="151"/>
      <c r="AU409" s="507"/>
      <c r="AV409" s="151"/>
      <c r="AW409" s="507"/>
      <c r="AX409" s="151"/>
      <c r="AY409" s="507"/>
      <c r="AZ409" s="151"/>
      <c r="BA409" s="507"/>
      <c r="BB409" s="151"/>
      <c r="BC409" s="507"/>
      <c r="BD409" s="151"/>
      <c r="BE409" s="507"/>
      <c r="BF409" s="151"/>
      <c r="BG409" s="507"/>
      <c r="BH409" s="151"/>
      <c r="BI409" s="507"/>
      <c r="BJ409" s="151"/>
      <c r="BK409" s="507"/>
      <c r="BL409" s="151"/>
      <c r="BM409" s="507"/>
      <c r="BN409" s="151"/>
      <c r="BO409" s="507"/>
      <c r="BP409" s="151"/>
      <c r="BQ409" s="507"/>
      <c r="BR409" s="151"/>
      <c r="BS409" s="507"/>
      <c r="BT409" s="151"/>
      <c r="BU409" s="507"/>
      <c r="BV409" s="151"/>
      <c r="BW409" s="507"/>
      <c r="BX409" s="151"/>
      <c r="BY409" s="507"/>
      <c r="BZ409" s="151"/>
      <c r="CA409" s="507"/>
      <c r="CB409" s="151"/>
      <c r="CC409" s="507"/>
      <c r="CD409" s="151"/>
      <c r="CE409" s="507"/>
      <c r="CF409" s="151"/>
      <c r="CG409" s="507"/>
      <c r="CH409" s="151"/>
      <c r="CI409" s="507"/>
      <c r="CJ409" s="151"/>
      <c r="CK409" s="507"/>
      <c r="CL409" s="151"/>
      <c r="CM409" s="507"/>
      <c r="CN409" s="151"/>
      <c r="CO409" s="507"/>
      <c r="CP409" s="151"/>
      <c r="CQ409" s="507"/>
      <c r="CR409" s="151"/>
      <c r="CS409" s="507"/>
      <c r="CT409" s="151"/>
      <c r="CU409" s="507"/>
      <c r="CV409" s="151"/>
      <c r="CW409" s="507"/>
      <c r="CX409" s="151"/>
      <c r="CY409" s="507"/>
      <c r="CZ409" s="151"/>
      <c r="DA409" s="507"/>
      <c r="DB409" s="507"/>
      <c r="DC409" s="151">
        <f>INPUT!FP409</f>
        <v>176.4</v>
      </c>
      <c r="DD409" s="687">
        <f>INPUT!FQ409</f>
        <v>-10.137544574630653</v>
      </c>
      <c r="DE409" s="151">
        <f>INPUT!FR409</f>
        <v>157.89999999999998</v>
      </c>
      <c r="DF409" s="687">
        <f>INPUT!FS409</f>
        <v>-10.487528344671215</v>
      </c>
      <c r="DG409" s="151">
        <f>INPUT!FT409</f>
        <v>193.89999999999998</v>
      </c>
      <c r="DH409" s="687">
        <f>INPUT!FU409</f>
        <v>22.799240025332491</v>
      </c>
      <c r="DI409" s="151">
        <f>INPUT!FV409</f>
        <v>171.29999999999998</v>
      </c>
      <c r="DJ409" s="687">
        <f>INPUT!FW409</f>
        <v>-11.655492521918509</v>
      </c>
      <c r="DK409" s="151"/>
      <c r="DL409" s="507"/>
      <c r="DM409" s="151"/>
      <c r="DN409" s="507"/>
      <c r="DO409" s="151"/>
      <c r="DP409" s="507"/>
      <c r="DQ409" s="151"/>
      <c r="DR409" s="507"/>
      <c r="DS409" s="151"/>
      <c r="DT409" s="507"/>
      <c r="DU409" s="151"/>
      <c r="DV409" s="507"/>
      <c r="DW409" s="151"/>
      <c r="DX409" s="507"/>
      <c r="DY409" s="151"/>
      <c r="DZ409" s="507"/>
      <c r="EA409" s="151"/>
      <c r="EB409" s="507"/>
      <c r="EC409" s="151"/>
      <c r="ED409" s="507"/>
      <c r="EE409" s="151"/>
      <c r="EF409" s="507"/>
      <c r="EG409" s="151"/>
      <c r="EH409" s="507"/>
      <c r="EI409" s="151"/>
      <c r="EJ409" s="507"/>
      <c r="EK409" s="151"/>
      <c r="EL409" s="507"/>
      <c r="EM409" s="687"/>
    </row>
    <row r="410" spans="1:143" ht="12.75" hidden="1" customHeight="1" outlineLevel="2" x14ac:dyDescent="0.2">
      <c r="A410" s="701" t="str">
        <f>INPUT!B410</f>
        <v>Investment Income</v>
      </c>
      <c r="B410" s="151">
        <f>INPUT!AY410</f>
        <v>17</v>
      </c>
      <c r="C410" s="507">
        <f>INPUT!AZ410</f>
        <v>-16.256157635467982</v>
      </c>
      <c r="D410" s="151">
        <f>INPUT!BA410</f>
        <v>17.8</v>
      </c>
      <c r="E410" s="687">
        <f>INPUT!BB410</f>
        <v>-9.1836734693877542</v>
      </c>
      <c r="F410" s="151">
        <f>INPUT!BC410</f>
        <v>18.600000000000001</v>
      </c>
      <c r="G410" s="687">
        <f>INPUT!BD410</f>
        <v>-11.004784688995207</v>
      </c>
      <c r="H410" s="151">
        <f>INPUT!BE410</f>
        <v>18</v>
      </c>
      <c r="I410" s="687">
        <f>INPUT!BF410</f>
        <v>1.1235955056179803</v>
      </c>
      <c r="J410" s="151">
        <f>INPUT!BG410</f>
        <v>19.3</v>
      </c>
      <c r="K410" s="687">
        <f>INPUT!BH410</f>
        <v>13.529411764705879</v>
      </c>
      <c r="L410" s="151">
        <f>INPUT!BI410</f>
        <v>19.399999999999999</v>
      </c>
      <c r="M410" s="687">
        <f>INPUT!BJ410</f>
        <v>8.9887640449437978</v>
      </c>
      <c r="N410" s="151">
        <f>INPUT!BK410</f>
        <v>20.9</v>
      </c>
      <c r="O410" s="687">
        <f>INPUT!BL410</f>
        <v>12.365591397849451</v>
      </c>
      <c r="P410" s="151">
        <f>INPUT!BM410</f>
        <v>21.5</v>
      </c>
      <c r="Q410" s="687">
        <f>INPUT!BN410</f>
        <v>19.444444444444443</v>
      </c>
      <c r="R410" s="151">
        <f>INPUT!BO410</f>
        <v>20.400000000000002</v>
      </c>
      <c r="S410" s="687">
        <f>INPUT!BP410</f>
        <v>5.6994818652849721</v>
      </c>
      <c r="T410" s="151">
        <f>INPUT!BQ410</f>
        <v>19.8</v>
      </c>
      <c r="U410" s="687">
        <f>INPUT!BR410</f>
        <v>2.0618556701031077</v>
      </c>
      <c r="V410" s="151">
        <f>INPUT!BS410</f>
        <v>21.1</v>
      </c>
      <c r="W410" s="687">
        <f>INPUT!BT410</f>
        <v>0.95693779904306719</v>
      </c>
      <c r="X410" s="151">
        <f>INPUT!BU410</f>
        <v>16.8</v>
      </c>
      <c r="Y410" s="687">
        <f>INPUT!BV410</f>
        <v>-21.86046511627907</v>
      </c>
      <c r="Z410" s="151">
        <f>INPUT!BW410</f>
        <v>13.4</v>
      </c>
      <c r="AA410" s="687">
        <f>INPUT!BX410</f>
        <v>-34.313725490196077</v>
      </c>
      <c r="AB410" s="151"/>
      <c r="AC410" s="687"/>
      <c r="AD410" s="151"/>
      <c r="AE410" s="687"/>
      <c r="AF410" s="151"/>
      <c r="AG410" s="687"/>
      <c r="AH410" s="151"/>
      <c r="AI410" s="507"/>
      <c r="AJ410" s="151"/>
      <c r="AK410" s="507"/>
      <c r="AL410" s="151"/>
      <c r="AM410" s="507"/>
      <c r="AN410" s="151"/>
      <c r="AO410" s="507"/>
      <c r="AP410" s="151"/>
      <c r="AQ410" s="507"/>
      <c r="AR410" s="151"/>
      <c r="AS410" s="507"/>
      <c r="AT410" s="151"/>
      <c r="AU410" s="507"/>
      <c r="AV410" s="151"/>
      <c r="AW410" s="507"/>
      <c r="AX410" s="151"/>
      <c r="AY410" s="507"/>
      <c r="AZ410" s="151"/>
      <c r="BA410" s="507"/>
      <c r="BB410" s="151"/>
      <c r="BC410" s="507"/>
      <c r="BD410" s="151"/>
      <c r="BE410" s="507"/>
      <c r="BF410" s="151"/>
      <c r="BG410" s="507"/>
      <c r="BH410" s="151"/>
      <c r="BI410" s="507"/>
      <c r="BJ410" s="151"/>
      <c r="BK410" s="507"/>
      <c r="BL410" s="151"/>
      <c r="BM410" s="507"/>
      <c r="BN410" s="151"/>
      <c r="BO410" s="507"/>
      <c r="BP410" s="151"/>
      <c r="BQ410" s="507"/>
      <c r="BR410" s="151"/>
      <c r="BS410" s="507"/>
      <c r="BT410" s="151"/>
      <c r="BU410" s="507"/>
      <c r="BV410" s="151"/>
      <c r="BW410" s="507"/>
      <c r="BX410" s="151"/>
      <c r="BY410" s="507"/>
      <c r="BZ410" s="151"/>
      <c r="CA410" s="507"/>
      <c r="CB410" s="151"/>
      <c r="CC410" s="507"/>
      <c r="CD410" s="151"/>
      <c r="CE410" s="507"/>
      <c r="CF410" s="151"/>
      <c r="CG410" s="507"/>
      <c r="CH410" s="151"/>
      <c r="CI410" s="507"/>
      <c r="CJ410" s="151"/>
      <c r="CK410" s="507"/>
      <c r="CL410" s="151"/>
      <c r="CM410" s="507"/>
      <c r="CN410" s="151"/>
      <c r="CO410" s="507"/>
      <c r="CP410" s="151"/>
      <c r="CQ410" s="507"/>
      <c r="CR410" s="151"/>
      <c r="CS410" s="507"/>
      <c r="CT410" s="151"/>
      <c r="CU410" s="507"/>
      <c r="CV410" s="151"/>
      <c r="CW410" s="507"/>
      <c r="CX410" s="151"/>
      <c r="CY410" s="507"/>
      <c r="CZ410" s="151"/>
      <c r="DA410" s="507"/>
      <c r="DB410" s="507"/>
      <c r="DC410" s="151">
        <f>INPUT!FP410</f>
        <v>78.600000000000009</v>
      </c>
      <c r="DD410" s="687">
        <f>INPUT!FQ410</f>
        <v>3.8309114927344901</v>
      </c>
      <c r="DE410" s="151">
        <f>INPUT!FR410</f>
        <v>71.400000000000006</v>
      </c>
      <c r="DF410" s="687">
        <f>INPUT!FS410</f>
        <v>-9.160305343511455</v>
      </c>
      <c r="DG410" s="151">
        <f>INPUT!FT410</f>
        <v>81.099999999999994</v>
      </c>
      <c r="DH410" s="687">
        <f>INPUT!FU410</f>
        <v>13.585434173669441</v>
      </c>
      <c r="DI410" s="151">
        <f>INPUT!FV410</f>
        <v>78.100000000000009</v>
      </c>
      <c r="DJ410" s="687">
        <f>INPUT!FW410</f>
        <v>-3.6991368680641012</v>
      </c>
      <c r="DK410" s="151"/>
      <c r="DL410" s="507"/>
      <c r="DM410" s="151"/>
      <c r="DN410" s="507"/>
      <c r="DO410" s="151"/>
      <c r="DP410" s="507"/>
      <c r="DQ410" s="151"/>
      <c r="DR410" s="507"/>
      <c r="DS410" s="151"/>
      <c r="DT410" s="507"/>
      <c r="DU410" s="151"/>
      <c r="DV410" s="507"/>
      <c r="DW410" s="151"/>
      <c r="DX410" s="507"/>
      <c r="DY410" s="151"/>
      <c r="DZ410" s="507"/>
      <c r="EA410" s="151"/>
      <c r="EB410" s="507"/>
      <c r="EC410" s="151"/>
      <c r="ED410" s="507"/>
      <c r="EE410" s="151"/>
      <c r="EF410" s="507"/>
      <c r="EG410" s="151"/>
      <c r="EH410" s="507"/>
      <c r="EI410" s="151"/>
      <c r="EJ410" s="507"/>
      <c r="EK410" s="151"/>
      <c r="EL410" s="507"/>
      <c r="EM410" s="687"/>
    </row>
    <row r="411" spans="1:143" ht="12.75" hidden="1" customHeight="1" outlineLevel="2" x14ac:dyDescent="0.2">
      <c r="A411" s="701" t="str">
        <f>INPUT!B413</f>
        <v xml:space="preserve"> Total Revenues</v>
      </c>
      <c r="B411" s="151">
        <f>INPUT!AY413</f>
        <v>69.5</v>
      </c>
      <c r="C411" s="507">
        <f>INPUT!AZ413</f>
        <v>-6.7989808233874349</v>
      </c>
      <c r="D411" s="151">
        <f>INPUT!BA413</f>
        <v>81.3</v>
      </c>
      <c r="E411" s="687">
        <f>INPUT!BB413</f>
        <v>3.6989795918367152</v>
      </c>
      <c r="F411" s="151">
        <f>INPUT!BC413</f>
        <v>72.3</v>
      </c>
      <c r="G411" s="687">
        <f>INPUT!BD413</f>
        <v>-29.66926070038911</v>
      </c>
      <c r="H411" s="151">
        <f>INPUT!BE413</f>
        <v>84.8</v>
      </c>
      <c r="I411" s="687">
        <f>INPUT!BF413</f>
        <v>35.68</v>
      </c>
      <c r="J411" s="151">
        <f>INPUT!BG413</f>
        <v>90.7</v>
      </c>
      <c r="K411" s="687">
        <f>INPUT!BH413</f>
        <v>30.503597122302175</v>
      </c>
      <c r="L411" s="151">
        <f>INPUT!BI413</f>
        <v>92.5</v>
      </c>
      <c r="M411" s="687">
        <f>INPUT!BJ413</f>
        <v>13.776137761377626</v>
      </c>
      <c r="N411" s="151">
        <f>INPUT!BK413</f>
        <v>88.700000000000017</v>
      </c>
      <c r="O411" s="687">
        <f>INPUT!BL413</f>
        <v>22.68326417704014</v>
      </c>
      <c r="P411" s="151">
        <f>INPUT!BM413</f>
        <v>98.4</v>
      </c>
      <c r="Q411" s="687">
        <f>INPUT!BN413</f>
        <v>16.03773584905661</v>
      </c>
      <c r="R411" s="151">
        <f>INPUT!BO413</f>
        <v>85.700000000000017</v>
      </c>
      <c r="S411" s="687">
        <f>INPUT!BP413</f>
        <v>-5.5126791620727538</v>
      </c>
      <c r="T411" s="151">
        <f>INPUT!BQ413</f>
        <v>97.899999999999991</v>
      </c>
      <c r="U411" s="687">
        <f>INPUT!BR413</f>
        <v>5.8378378378378226</v>
      </c>
      <c r="V411" s="151">
        <f>INPUT!BS413</f>
        <v>79.8</v>
      </c>
      <c r="W411" s="687">
        <f>INPUT!BT413</f>
        <v>-10.033821871476912</v>
      </c>
      <c r="X411" s="151">
        <f>INPUT!BU413</f>
        <v>64.400000000000006</v>
      </c>
      <c r="Y411" s="687">
        <f>INPUT!BV413</f>
        <v>-34.552845528455279</v>
      </c>
      <c r="Z411" s="151">
        <f>INPUT!BW413</f>
        <v>47.4</v>
      </c>
      <c r="AA411" s="687">
        <f>INPUT!BX413</f>
        <v>-44.690781796966171</v>
      </c>
      <c r="AB411" s="151"/>
      <c r="AC411" s="687"/>
      <c r="AD411" s="151"/>
      <c r="AE411" s="687"/>
      <c r="AF411" s="151"/>
      <c r="AG411" s="687"/>
      <c r="AH411" s="151"/>
      <c r="AI411" s="507"/>
      <c r="AJ411" s="151"/>
      <c r="AK411" s="507"/>
      <c r="AL411" s="151"/>
      <c r="AM411" s="507"/>
      <c r="AN411" s="151"/>
      <c r="AO411" s="507"/>
      <c r="AP411" s="151"/>
      <c r="AQ411" s="507"/>
      <c r="AR411" s="151"/>
      <c r="AS411" s="507"/>
      <c r="AT411" s="151"/>
      <c r="AU411" s="507"/>
      <c r="AV411" s="151"/>
      <c r="AW411" s="507"/>
      <c r="AX411" s="151"/>
      <c r="AY411" s="507"/>
      <c r="AZ411" s="151"/>
      <c r="BA411" s="507"/>
      <c r="BB411" s="151"/>
      <c r="BC411" s="507"/>
      <c r="BD411" s="151"/>
      <c r="BE411" s="507"/>
      <c r="BF411" s="151"/>
      <c r="BG411" s="507"/>
      <c r="BH411" s="151"/>
      <c r="BI411" s="507"/>
      <c r="BJ411" s="151"/>
      <c r="BK411" s="507"/>
      <c r="BL411" s="151"/>
      <c r="BM411" s="507"/>
      <c r="BN411" s="151"/>
      <c r="BO411" s="507"/>
      <c r="BP411" s="151"/>
      <c r="BQ411" s="507"/>
      <c r="BR411" s="151"/>
      <c r="BS411" s="507"/>
      <c r="BT411" s="151"/>
      <c r="BU411" s="507"/>
      <c r="BV411" s="151"/>
      <c r="BW411" s="507"/>
      <c r="BX411" s="151"/>
      <c r="BY411" s="507"/>
      <c r="BZ411" s="151"/>
      <c r="CA411" s="507"/>
      <c r="CB411" s="151"/>
      <c r="CC411" s="507"/>
      <c r="CD411" s="151"/>
      <c r="CE411" s="507"/>
      <c r="CF411" s="151"/>
      <c r="CG411" s="507"/>
      <c r="CH411" s="151"/>
      <c r="CI411" s="507"/>
      <c r="CJ411" s="151"/>
      <c r="CK411" s="507"/>
      <c r="CL411" s="151"/>
      <c r="CM411" s="507"/>
      <c r="CN411" s="151"/>
      <c r="CO411" s="507"/>
      <c r="CP411" s="151"/>
      <c r="CQ411" s="507"/>
      <c r="CR411" s="151"/>
      <c r="CS411" s="507"/>
      <c r="CT411" s="151"/>
      <c r="CU411" s="507"/>
      <c r="CV411" s="151"/>
      <c r="CW411" s="507"/>
      <c r="CX411" s="151"/>
      <c r="CY411" s="507"/>
      <c r="CZ411" s="151"/>
      <c r="DA411" s="507"/>
      <c r="DB411" s="507"/>
      <c r="DC411" s="151">
        <f>INPUT!FP413</f>
        <v>318.27000000000004</v>
      </c>
      <c r="DD411" s="687">
        <f>INPUT!FQ413</f>
        <v>-7.0201577563540614</v>
      </c>
      <c r="DE411" s="151">
        <f>INPUT!FR413</f>
        <v>307.89999999999998</v>
      </c>
      <c r="DF411" s="687">
        <f>INPUT!FS413</f>
        <v>-3.2582398592390316</v>
      </c>
      <c r="DG411" s="151">
        <f>INPUT!FT413</f>
        <v>370.29999999999995</v>
      </c>
      <c r="DH411" s="687">
        <f>INPUT!FU413</f>
        <v>20.266320233842162</v>
      </c>
      <c r="DI411" s="151">
        <f>INPUT!FV413</f>
        <v>327.8</v>
      </c>
      <c r="DJ411" s="687">
        <f>INPUT!FW413</f>
        <v>-11.477180664326204</v>
      </c>
      <c r="DK411" s="151"/>
      <c r="DL411" s="507"/>
      <c r="DM411" s="151"/>
      <c r="DN411" s="507"/>
      <c r="DO411" s="151"/>
      <c r="DP411" s="507"/>
      <c r="DQ411" s="151"/>
      <c r="DR411" s="507"/>
      <c r="DS411" s="151"/>
      <c r="DT411" s="507"/>
      <c r="DU411" s="151"/>
      <c r="DV411" s="507"/>
      <c r="DW411" s="151"/>
      <c r="DX411" s="507"/>
      <c r="DY411" s="151"/>
      <c r="DZ411" s="507"/>
      <c r="EA411" s="151"/>
      <c r="EB411" s="507"/>
      <c r="EC411" s="151"/>
      <c r="ED411" s="507"/>
      <c r="EE411" s="151"/>
      <c r="EF411" s="507"/>
      <c r="EG411" s="151"/>
      <c r="EH411" s="507"/>
      <c r="EI411" s="151"/>
      <c r="EJ411" s="507"/>
      <c r="EK411" s="151"/>
      <c r="EL411" s="507"/>
      <c r="EM411" s="687"/>
    </row>
    <row r="412" spans="1:143" ht="12.75" hidden="1" customHeight="1" outlineLevel="2" x14ac:dyDescent="0.2">
      <c r="A412" s="689"/>
      <c r="B412" s="16"/>
      <c r="C412" s="507"/>
      <c r="D412" s="16"/>
      <c r="E412" s="687"/>
      <c r="F412" s="16"/>
      <c r="G412" s="687"/>
      <c r="H412" s="16"/>
      <c r="I412" s="687"/>
      <c r="J412" s="16"/>
      <c r="K412" s="687"/>
      <c r="L412" s="16"/>
      <c r="M412" s="687"/>
      <c r="N412" s="16"/>
      <c r="O412" s="687"/>
      <c r="P412" s="16"/>
      <c r="Q412" s="687"/>
      <c r="R412" s="16"/>
      <c r="S412" s="687"/>
      <c r="T412" s="16"/>
      <c r="U412" s="687"/>
      <c r="V412" s="16"/>
      <c r="W412" s="687"/>
      <c r="X412" s="16"/>
      <c r="Y412" s="687"/>
      <c r="Z412" s="16"/>
      <c r="AA412" s="687"/>
      <c r="AB412" s="16"/>
      <c r="AC412" s="687"/>
      <c r="AD412" s="16"/>
      <c r="AE412" s="687"/>
      <c r="AF412" s="16"/>
      <c r="AG412" s="687"/>
      <c r="AH412" s="16"/>
      <c r="AI412" s="507"/>
      <c r="AJ412" s="16"/>
      <c r="AK412" s="507"/>
      <c r="AL412" s="16"/>
      <c r="AM412" s="507"/>
      <c r="AN412" s="16"/>
      <c r="AO412" s="507"/>
      <c r="AP412" s="16"/>
      <c r="AQ412" s="507"/>
      <c r="AR412" s="16"/>
      <c r="AS412" s="507"/>
      <c r="AT412" s="16"/>
      <c r="AU412" s="507"/>
      <c r="AV412" s="16"/>
      <c r="AW412" s="507"/>
      <c r="AX412" s="16"/>
      <c r="AY412" s="507"/>
      <c r="AZ412" s="16"/>
      <c r="BA412" s="507"/>
      <c r="BB412" s="16"/>
      <c r="BC412" s="507"/>
      <c r="BD412" s="16"/>
      <c r="BE412" s="507"/>
      <c r="BF412" s="16"/>
      <c r="BG412" s="507"/>
      <c r="BH412" s="16"/>
      <c r="BI412" s="507"/>
      <c r="BJ412" s="16"/>
      <c r="BK412" s="507"/>
      <c r="BL412" s="16"/>
      <c r="BM412" s="507"/>
      <c r="BN412" s="16"/>
      <c r="BO412" s="507"/>
      <c r="BP412" s="16"/>
      <c r="BQ412" s="507"/>
      <c r="BR412" s="16"/>
      <c r="BS412" s="507"/>
      <c r="BT412" s="16"/>
      <c r="BU412" s="507"/>
      <c r="BV412" s="16"/>
      <c r="BW412" s="507"/>
      <c r="BX412" s="16"/>
      <c r="BY412" s="507"/>
      <c r="BZ412" s="16"/>
      <c r="CA412" s="507"/>
      <c r="CB412" s="16"/>
      <c r="CC412" s="507"/>
      <c r="CD412" s="16"/>
      <c r="CE412" s="507"/>
      <c r="CF412" s="16"/>
      <c r="CG412" s="507"/>
      <c r="CH412" s="16"/>
      <c r="CI412" s="507"/>
      <c r="CJ412" s="16"/>
      <c r="CK412" s="507"/>
      <c r="CL412" s="16"/>
      <c r="CM412" s="507"/>
      <c r="CN412" s="16"/>
      <c r="CO412" s="507"/>
      <c r="CP412" s="16"/>
      <c r="CQ412" s="507"/>
      <c r="CR412" s="16"/>
      <c r="CS412" s="507"/>
      <c r="CT412" s="16"/>
      <c r="CU412" s="507"/>
      <c r="CV412" s="16"/>
      <c r="CW412" s="507"/>
      <c r="CX412" s="16"/>
      <c r="CY412" s="507"/>
      <c r="CZ412" s="16"/>
      <c r="DA412" s="507"/>
      <c r="DB412" s="507"/>
      <c r="DC412" s="16"/>
      <c r="DD412" s="687"/>
      <c r="DE412" s="16"/>
      <c r="DF412" s="687"/>
      <c r="DG412" s="16"/>
      <c r="DH412" s="687"/>
      <c r="DI412" s="16"/>
      <c r="DJ412" s="687"/>
      <c r="DK412" s="16"/>
      <c r="DL412" s="507"/>
      <c r="DM412" s="16"/>
      <c r="DN412" s="507"/>
      <c r="DO412" s="16"/>
      <c r="DP412" s="507"/>
      <c r="DQ412" s="16"/>
      <c r="DR412" s="507"/>
      <c r="DS412" s="16"/>
      <c r="DT412" s="507"/>
      <c r="DU412" s="16"/>
      <c r="DV412" s="507"/>
      <c r="DW412" s="16"/>
      <c r="DX412" s="507"/>
      <c r="DY412" s="16"/>
      <c r="DZ412" s="507"/>
      <c r="EA412" s="16"/>
      <c r="EB412" s="507"/>
      <c r="EC412" s="16"/>
      <c r="ED412" s="507"/>
      <c r="EE412" s="16"/>
      <c r="EF412" s="507"/>
      <c r="EG412" s="16"/>
      <c r="EH412" s="507"/>
      <c r="EI412" s="16"/>
      <c r="EJ412" s="507"/>
      <c r="EK412" s="16"/>
      <c r="EL412" s="507"/>
      <c r="EM412" s="687"/>
    </row>
    <row r="413" spans="1:143" ht="12.75" hidden="1" customHeight="1" outlineLevel="2" x14ac:dyDescent="0.2">
      <c r="A413" s="700" t="str">
        <f>INPUT!B415</f>
        <v>BENEFITS AND EXPENSES</v>
      </c>
      <c r="B413" s="16"/>
      <c r="C413" s="507"/>
      <c r="D413" s="16"/>
      <c r="E413" s="687"/>
      <c r="F413" s="16"/>
      <c r="G413" s="687"/>
      <c r="H413" s="16"/>
      <c r="I413" s="687"/>
      <c r="J413" s="16"/>
      <c r="K413" s="687"/>
      <c r="L413" s="16"/>
      <c r="M413" s="687"/>
      <c r="N413" s="16"/>
      <c r="O413" s="687"/>
      <c r="P413" s="16"/>
      <c r="Q413" s="687"/>
      <c r="R413" s="16"/>
      <c r="S413" s="687"/>
      <c r="T413" s="16"/>
      <c r="U413" s="687"/>
      <c r="V413" s="16"/>
      <c r="W413" s="687"/>
      <c r="X413" s="16"/>
      <c r="Y413" s="687"/>
      <c r="Z413" s="16"/>
      <c r="AA413" s="687"/>
      <c r="AB413" s="16"/>
      <c r="AC413" s="687"/>
      <c r="AD413" s="16"/>
      <c r="AE413" s="687"/>
      <c r="AF413" s="16"/>
      <c r="AG413" s="687"/>
      <c r="AH413" s="16"/>
      <c r="AI413" s="507"/>
      <c r="AJ413" s="16"/>
      <c r="AK413" s="507"/>
      <c r="AL413" s="16"/>
      <c r="AM413" s="507"/>
      <c r="AN413" s="16"/>
      <c r="AO413" s="507"/>
      <c r="AP413" s="16"/>
      <c r="AQ413" s="507"/>
      <c r="AR413" s="16"/>
      <c r="AS413" s="507"/>
      <c r="AT413" s="16"/>
      <c r="AU413" s="507"/>
      <c r="AV413" s="16"/>
      <c r="AW413" s="507"/>
      <c r="AX413" s="16"/>
      <c r="AY413" s="507"/>
      <c r="AZ413" s="16"/>
      <c r="BA413" s="507"/>
      <c r="BB413" s="16"/>
      <c r="BC413" s="507"/>
      <c r="BD413" s="16"/>
      <c r="BE413" s="507"/>
      <c r="BF413" s="16"/>
      <c r="BG413" s="507"/>
      <c r="BH413" s="16"/>
      <c r="BI413" s="507"/>
      <c r="BJ413" s="16"/>
      <c r="BK413" s="507"/>
      <c r="BL413" s="16"/>
      <c r="BM413" s="507"/>
      <c r="BN413" s="16"/>
      <c r="BO413" s="507"/>
      <c r="BP413" s="16"/>
      <c r="BQ413" s="507"/>
      <c r="BR413" s="16"/>
      <c r="BS413" s="507"/>
      <c r="BT413" s="16"/>
      <c r="BU413" s="507"/>
      <c r="BV413" s="16"/>
      <c r="BW413" s="507"/>
      <c r="BX413" s="16"/>
      <c r="BY413" s="507"/>
      <c r="BZ413" s="16"/>
      <c r="CA413" s="507"/>
      <c r="CB413" s="16"/>
      <c r="CC413" s="507"/>
      <c r="CD413" s="16"/>
      <c r="CE413" s="507"/>
      <c r="CF413" s="16"/>
      <c r="CG413" s="507"/>
      <c r="CH413" s="16"/>
      <c r="CI413" s="507"/>
      <c r="CJ413" s="16"/>
      <c r="CK413" s="507"/>
      <c r="CL413" s="16"/>
      <c r="CM413" s="507"/>
      <c r="CN413" s="16"/>
      <c r="CO413" s="507"/>
      <c r="CP413" s="16"/>
      <c r="CQ413" s="507"/>
      <c r="CR413" s="16"/>
      <c r="CS413" s="507"/>
      <c r="CT413" s="16"/>
      <c r="CU413" s="507"/>
      <c r="CV413" s="16"/>
      <c r="CW413" s="507"/>
      <c r="CX413" s="16"/>
      <c r="CY413" s="507"/>
      <c r="CZ413" s="16"/>
      <c r="DA413" s="507"/>
      <c r="DB413" s="507"/>
      <c r="DC413" s="16"/>
      <c r="DD413" s="687"/>
      <c r="DE413" s="16"/>
      <c r="DF413" s="687"/>
      <c r="DG413" s="16"/>
      <c r="DH413" s="687"/>
      <c r="DI413" s="16"/>
      <c r="DJ413" s="687"/>
      <c r="DK413" s="16"/>
      <c r="DL413" s="507"/>
      <c r="DM413" s="16"/>
      <c r="DN413" s="507"/>
      <c r="DO413" s="16"/>
      <c r="DP413" s="507"/>
      <c r="DQ413" s="16"/>
      <c r="DR413" s="507"/>
      <c r="DS413" s="16"/>
      <c r="DT413" s="507"/>
      <c r="DU413" s="16"/>
      <c r="DV413" s="507"/>
      <c r="DW413" s="16"/>
      <c r="DX413" s="507"/>
      <c r="DY413" s="16"/>
      <c r="DZ413" s="507"/>
      <c r="EA413" s="16"/>
      <c r="EB413" s="507"/>
      <c r="EC413" s="16"/>
      <c r="ED413" s="507"/>
      <c r="EE413" s="16"/>
      <c r="EF413" s="507"/>
      <c r="EG413" s="16"/>
      <c r="EH413" s="507"/>
      <c r="EI413" s="16"/>
      <c r="EJ413" s="507"/>
      <c r="EK413" s="16"/>
      <c r="EL413" s="507"/>
      <c r="EM413" s="687"/>
    </row>
    <row r="414" spans="1:143" ht="12.75" hidden="1" customHeight="1" outlineLevel="2" x14ac:dyDescent="0.2">
      <c r="A414" s="701" t="str">
        <f>INPUT!B416</f>
        <v>Benefits</v>
      </c>
      <c r="B414" s="151">
        <f>INPUT!AY416</f>
        <v>25.4</v>
      </c>
      <c r="C414" s="507">
        <f>INPUT!AZ416</f>
        <v>1.195219123505975</v>
      </c>
      <c r="D414" s="151">
        <f>INPUT!BA416</f>
        <v>27.5</v>
      </c>
      <c r="E414" s="687">
        <f>INPUT!BB416</f>
        <v>-1.4336917562723928</v>
      </c>
      <c r="F414" s="151">
        <f>INPUT!BC416</f>
        <v>25</v>
      </c>
      <c r="G414" s="687">
        <f>INPUT!BD416</f>
        <v>-29.577464788732399</v>
      </c>
      <c r="H414" s="151">
        <f>INPUT!BE416</f>
        <v>30.4</v>
      </c>
      <c r="I414" s="687">
        <f>INPUT!BF416</f>
        <v>10.545454545454547</v>
      </c>
      <c r="J414" s="151">
        <f>INPUT!BG416</f>
        <v>36</v>
      </c>
      <c r="K414" s="687">
        <f>INPUT!BH416</f>
        <v>41.732283464566947</v>
      </c>
      <c r="L414" s="151">
        <f>INPUT!BI416</f>
        <v>34.4</v>
      </c>
      <c r="M414" s="687">
        <f>INPUT!BJ416</f>
        <v>25.090909090909076</v>
      </c>
      <c r="N414" s="151">
        <f>INPUT!BK416</f>
        <v>30.2</v>
      </c>
      <c r="O414" s="687">
        <f>INPUT!BL416</f>
        <v>20.799999999999997</v>
      </c>
      <c r="P414" s="151">
        <f>INPUT!BM416</f>
        <v>36.9</v>
      </c>
      <c r="Q414" s="687">
        <f>INPUT!BN416</f>
        <v>21.381578947368428</v>
      </c>
      <c r="R414" s="151">
        <f>INPUT!BO416</f>
        <v>30.7</v>
      </c>
      <c r="S414" s="687">
        <f>INPUT!BP416</f>
        <v>-14.722222222222225</v>
      </c>
      <c r="T414" s="151">
        <f>INPUT!BQ416</f>
        <v>30.2</v>
      </c>
      <c r="U414" s="687">
        <f>INPUT!BR416</f>
        <v>-12.209302325581394</v>
      </c>
      <c r="V414" s="151">
        <f>INPUT!BS416</f>
        <v>26.5</v>
      </c>
      <c r="W414" s="687">
        <f>INPUT!BT416</f>
        <v>-12.251655629139069</v>
      </c>
      <c r="X414" s="151">
        <f>INPUT!BU416</f>
        <v>19.899999999999999</v>
      </c>
      <c r="Y414" s="687">
        <f>INPUT!BV416</f>
        <v>-46.070460704607051</v>
      </c>
      <c r="Z414" s="151">
        <f>INPUT!BW416</f>
        <v>18.399999999999999</v>
      </c>
      <c r="AA414" s="687">
        <f>INPUT!BX416</f>
        <v>-40.065146579804569</v>
      </c>
      <c r="AB414" s="151"/>
      <c r="AC414" s="687"/>
      <c r="AD414" s="151"/>
      <c r="AE414" s="687"/>
      <c r="AF414" s="151"/>
      <c r="AG414" s="687"/>
      <c r="AH414" s="151"/>
      <c r="AI414" s="507"/>
      <c r="AJ414" s="151"/>
      <c r="AK414" s="507"/>
      <c r="AL414" s="151"/>
      <c r="AM414" s="507"/>
      <c r="AN414" s="151"/>
      <c r="AO414" s="507"/>
      <c r="AP414" s="151"/>
      <c r="AQ414" s="507"/>
      <c r="AR414" s="151"/>
      <c r="AS414" s="507"/>
      <c r="AT414" s="151"/>
      <c r="AU414" s="507"/>
      <c r="AV414" s="151"/>
      <c r="AW414" s="507"/>
      <c r="AX414" s="151"/>
      <c r="AY414" s="507"/>
      <c r="AZ414" s="151"/>
      <c r="BA414" s="507"/>
      <c r="BB414" s="151"/>
      <c r="BC414" s="507"/>
      <c r="BD414" s="151"/>
      <c r="BE414" s="507"/>
      <c r="BF414" s="151"/>
      <c r="BG414" s="507"/>
      <c r="BH414" s="151"/>
      <c r="BI414" s="507"/>
      <c r="BJ414" s="151"/>
      <c r="BK414" s="507"/>
      <c r="BL414" s="151"/>
      <c r="BM414" s="507"/>
      <c r="BN414" s="151"/>
      <c r="BO414" s="507"/>
      <c r="BP414" s="151"/>
      <c r="BQ414" s="507"/>
      <c r="BR414" s="151"/>
      <c r="BS414" s="507"/>
      <c r="BT414" s="151"/>
      <c r="BU414" s="507"/>
      <c r="BV414" s="151"/>
      <c r="BW414" s="507"/>
      <c r="BX414" s="151"/>
      <c r="BY414" s="507"/>
      <c r="BZ414" s="151"/>
      <c r="CA414" s="507"/>
      <c r="CB414" s="151"/>
      <c r="CC414" s="507"/>
      <c r="CD414" s="151"/>
      <c r="CE414" s="507"/>
      <c r="CF414" s="151"/>
      <c r="CG414" s="507"/>
      <c r="CH414" s="151"/>
      <c r="CI414" s="507"/>
      <c r="CJ414" s="151"/>
      <c r="CK414" s="507"/>
      <c r="CL414" s="151"/>
      <c r="CM414" s="507"/>
      <c r="CN414" s="151"/>
      <c r="CO414" s="507"/>
      <c r="CP414" s="151"/>
      <c r="CQ414" s="507"/>
      <c r="CR414" s="151"/>
      <c r="CS414" s="507"/>
      <c r="CT414" s="151"/>
      <c r="CU414" s="507"/>
      <c r="CV414" s="151"/>
      <c r="CW414" s="507"/>
      <c r="CX414" s="151"/>
      <c r="CY414" s="507"/>
      <c r="CZ414" s="151"/>
      <c r="DA414" s="507"/>
      <c r="DB414" s="507"/>
      <c r="DC414" s="151">
        <f>INPUT!FP416</f>
        <v>116</v>
      </c>
      <c r="DD414" s="687">
        <f>INPUT!FQ416</f>
        <v>15.422885572139311</v>
      </c>
      <c r="DE414" s="151">
        <f>INPUT!FR416</f>
        <v>108.30000000000001</v>
      </c>
      <c r="DF414" s="687">
        <f>INPUT!FS416</f>
        <v>-6.6379310344827474</v>
      </c>
      <c r="DG414" s="151">
        <f>INPUT!FT416</f>
        <v>137.5</v>
      </c>
      <c r="DH414" s="687">
        <f>INPUT!FU416</f>
        <v>26.962142197599249</v>
      </c>
      <c r="DI414" s="151">
        <f>INPUT!FV416</f>
        <v>107.30000000000001</v>
      </c>
      <c r="DJ414" s="687">
        <f>INPUT!FW416</f>
        <v>-21.963636363636351</v>
      </c>
      <c r="DK414" s="151"/>
      <c r="DL414" s="507"/>
      <c r="DM414" s="151"/>
      <c r="DN414" s="507"/>
      <c r="DO414" s="151"/>
      <c r="DP414" s="507"/>
      <c r="DQ414" s="151"/>
      <c r="DR414" s="507"/>
      <c r="DS414" s="151"/>
      <c r="DT414" s="507"/>
      <c r="DU414" s="151"/>
      <c r="DV414" s="507"/>
      <c r="DW414" s="151"/>
      <c r="DX414" s="507"/>
      <c r="DY414" s="151"/>
      <c r="DZ414" s="507"/>
      <c r="EA414" s="151"/>
      <c r="EB414" s="507"/>
      <c r="EC414" s="151"/>
      <c r="ED414" s="507"/>
      <c r="EE414" s="151"/>
      <c r="EF414" s="507"/>
      <c r="EG414" s="151"/>
      <c r="EH414" s="507"/>
      <c r="EI414" s="151"/>
      <c r="EJ414" s="507"/>
      <c r="EK414" s="151"/>
      <c r="EL414" s="507"/>
      <c r="EM414" s="687"/>
    </row>
    <row r="415" spans="1:143" ht="12.75" hidden="1" customHeight="1" outlineLevel="2" x14ac:dyDescent="0.2">
      <c r="A415" s="701" t="str">
        <f>INPUT!B417</f>
        <v xml:space="preserve"> Operating Expenses (incl DAC Exp)</v>
      </c>
      <c r="B415" s="151">
        <f>INPUT!AY417</f>
        <v>27.6</v>
      </c>
      <c r="C415" s="507">
        <f>INPUT!AZ417</f>
        <v>-18.823529411764707</v>
      </c>
      <c r="D415" s="151">
        <f>INPUT!BA417</f>
        <v>38.9</v>
      </c>
      <c r="E415" s="687">
        <f>INPUT!BB417</f>
        <v>12.427745664739875</v>
      </c>
      <c r="F415" s="151">
        <f>INPUT!BC417</f>
        <v>34.5</v>
      </c>
      <c r="G415" s="687">
        <f>INPUT!BD417</f>
        <v>-34.535104364326372</v>
      </c>
      <c r="H415" s="151">
        <f>INPUT!BE417</f>
        <v>39.1</v>
      </c>
      <c r="I415" s="687" t="str">
        <f>INPUT!BF417</f>
        <v>NM</v>
      </c>
      <c r="J415" s="151">
        <f>INPUT!BG417</f>
        <v>38</v>
      </c>
      <c r="K415" s="687">
        <f>INPUT!BH417</f>
        <v>37.681159420289845</v>
      </c>
      <c r="L415" s="151">
        <f>INPUT!BI417</f>
        <v>40.1</v>
      </c>
      <c r="M415" s="687">
        <f>INPUT!BJ417</f>
        <v>3.084832904884327</v>
      </c>
      <c r="N415" s="151">
        <f>INPUT!BK417</f>
        <v>42.5</v>
      </c>
      <c r="O415" s="687">
        <f>INPUT!BL417</f>
        <v>23.188405797101442</v>
      </c>
      <c r="P415" s="151">
        <f>INPUT!BM417</f>
        <v>41.9</v>
      </c>
      <c r="Q415" s="687">
        <f>INPUT!BN417</f>
        <v>7.1611253196930846</v>
      </c>
      <c r="R415" s="151">
        <f>INPUT!BO417</f>
        <v>38.5</v>
      </c>
      <c r="S415" s="687">
        <f>INPUT!BP417</f>
        <v>1.3157894736842035</v>
      </c>
      <c r="T415" s="151">
        <f>INPUT!BQ417</f>
        <v>40</v>
      </c>
      <c r="U415" s="687">
        <f>INPUT!BR417</f>
        <v>-0.24937655860349794</v>
      </c>
      <c r="V415" s="151">
        <f>INPUT!BS417</f>
        <v>34.4</v>
      </c>
      <c r="W415" s="687">
        <f>INPUT!BT417</f>
        <v>-19.058823529411772</v>
      </c>
      <c r="X415" s="151">
        <f>INPUT!BU417</f>
        <v>30</v>
      </c>
      <c r="Y415" s="687">
        <f>INPUT!BV417</f>
        <v>-28.400954653937948</v>
      </c>
      <c r="Z415" s="151">
        <f>INPUT!BW417</f>
        <v>19.5</v>
      </c>
      <c r="AA415" s="687">
        <f>INPUT!BX417</f>
        <v>-49.350649350649356</v>
      </c>
      <c r="AB415" s="151"/>
      <c r="AC415" s="687"/>
      <c r="AD415" s="151"/>
      <c r="AE415" s="687"/>
      <c r="AF415" s="151"/>
      <c r="AG415" s="687"/>
      <c r="AH415" s="151"/>
      <c r="AI415" s="507"/>
      <c r="AJ415" s="151"/>
      <c r="AK415" s="507"/>
      <c r="AL415" s="151"/>
      <c r="AM415" s="507"/>
      <c r="AN415" s="151"/>
      <c r="AO415" s="507"/>
      <c r="AP415" s="151"/>
      <c r="AQ415" s="507"/>
      <c r="AR415" s="151"/>
      <c r="AS415" s="507"/>
      <c r="AT415" s="151"/>
      <c r="AU415" s="507"/>
      <c r="AV415" s="151"/>
      <c r="AW415" s="507"/>
      <c r="AX415" s="151"/>
      <c r="AY415" s="507"/>
      <c r="AZ415" s="151"/>
      <c r="BA415" s="507"/>
      <c r="BB415" s="151"/>
      <c r="BC415" s="507"/>
      <c r="BD415" s="151"/>
      <c r="BE415" s="507"/>
      <c r="BF415" s="151"/>
      <c r="BG415" s="507"/>
      <c r="BH415" s="151"/>
      <c r="BI415" s="507"/>
      <c r="BJ415" s="151"/>
      <c r="BK415" s="507"/>
      <c r="BL415" s="151"/>
      <c r="BM415" s="507"/>
      <c r="BN415" s="151"/>
      <c r="BO415" s="507"/>
      <c r="BP415" s="151"/>
      <c r="BQ415" s="507"/>
      <c r="BR415" s="151"/>
      <c r="BS415" s="507"/>
      <c r="BT415" s="151"/>
      <c r="BU415" s="507"/>
      <c r="BV415" s="151"/>
      <c r="BW415" s="507"/>
      <c r="BX415" s="151"/>
      <c r="BY415" s="507"/>
      <c r="BZ415" s="151"/>
      <c r="CA415" s="507"/>
      <c r="CB415" s="151"/>
      <c r="CC415" s="507"/>
      <c r="CD415" s="151"/>
      <c r="CE415" s="507"/>
      <c r="CF415" s="151"/>
      <c r="CG415" s="507"/>
      <c r="CH415" s="151"/>
      <c r="CI415" s="507"/>
      <c r="CJ415" s="151"/>
      <c r="CK415" s="507"/>
      <c r="CL415" s="151"/>
      <c r="CM415" s="507"/>
      <c r="CN415" s="151"/>
      <c r="CO415" s="507"/>
      <c r="CP415" s="151"/>
      <c r="CQ415" s="507"/>
      <c r="CR415" s="151"/>
      <c r="CS415" s="507"/>
      <c r="CT415" s="151"/>
      <c r="CU415" s="507"/>
      <c r="CV415" s="151"/>
      <c r="CW415" s="507"/>
      <c r="CX415" s="151"/>
      <c r="CY415" s="507"/>
      <c r="CZ415" s="151"/>
      <c r="DA415" s="507"/>
      <c r="DB415" s="507"/>
      <c r="DC415" s="151">
        <f>INPUT!FP417</f>
        <v>135.69999999999999</v>
      </c>
      <c r="DD415" s="687">
        <f>INPUT!FQ417</f>
        <v>-22.368421052631593</v>
      </c>
      <c r="DE415" s="151">
        <f>INPUT!FR417</f>
        <v>140.1</v>
      </c>
      <c r="DF415" s="687">
        <f>INPUT!FS417</f>
        <v>3.2424465733235097</v>
      </c>
      <c r="DG415" s="151">
        <f>INPUT!FT417</f>
        <v>162.5</v>
      </c>
      <c r="DH415" s="687">
        <f>INPUT!FU417</f>
        <v>15.988579586009987</v>
      </c>
      <c r="DI415" s="151">
        <f>INPUT!FV417</f>
        <v>142.9</v>
      </c>
      <c r="DJ415" s="687">
        <f>INPUT!FW417</f>
        <v>-12.061538461538458</v>
      </c>
      <c r="DK415" s="151"/>
      <c r="DL415" s="507"/>
      <c r="DM415" s="151"/>
      <c r="DN415" s="507"/>
      <c r="DO415" s="151"/>
      <c r="DP415" s="507"/>
      <c r="DQ415" s="151"/>
      <c r="DR415" s="507"/>
      <c r="DS415" s="151"/>
      <c r="DT415" s="507"/>
      <c r="DU415" s="151"/>
      <c r="DV415" s="507"/>
      <c r="DW415" s="151"/>
      <c r="DX415" s="507"/>
      <c r="DY415" s="151"/>
      <c r="DZ415" s="507"/>
      <c r="EA415" s="151"/>
      <c r="EB415" s="507"/>
      <c r="EC415" s="151"/>
      <c r="ED415" s="507"/>
      <c r="EE415" s="151"/>
      <c r="EF415" s="507"/>
      <c r="EG415" s="151"/>
      <c r="EH415" s="507"/>
      <c r="EI415" s="151"/>
      <c r="EJ415" s="507"/>
      <c r="EK415" s="151"/>
      <c r="EL415" s="507"/>
      <c r="EM415" s="687"/>
    </row>
    <row r="416" spans="1:143" ht="12.75" hidden="1" customHeight="1" outlineLevel="2" x14ac:dyDescent="0.2">
      <c r="A416" s="701" t="str">
        <f>INPUT!B418</f>
        <v>Total Benefits and Operating Expenses</v>
      </c>
      <c r="B416" s="151">
        <f>INPUT!AY418</f>
        <v>53</v>
      </c>
      <c r="C416" s="507">
        <f>INPUT!AZ418</f>
        <v>-10.321489001692052</v>
      </c>
      <c r="D416" s="151">
        <f>INPUT!BA418</f>
        <v>66.400000000000006</v>
      </c>
      <c r="E416" s="687">
        <f>INPUT!BB418</f>
        <v>6.2400000000000011</v>
      </c>
      <c r="F416" s="151">
        <f>INPUT!BC418</f>
        <v>59.5</v>
      </c>
      <c r="G416" s="687">
        <f>INPUT!BD418</f>
        <v>-32.539682539682545</v>
      </c>
      <c r="H416" s="151">
        <f>INPUT!BE418</f>
        <v>69.5</v>
      </c>
      <c r="I416" s="687">
        <f>INPUT!BF418</f>
        <v>65.871121718377097</v>
      </c>
      <c r="J416" s="151">
        <f>INPUT!BG418</f>
        <v>74</v>
      </c>
      <c r="K416" s="687">
        <f>INPUT!BH418</f>
        <v>39.622641509433954</v>
      </c>
      <c r="L416" s="151">
        <f>INPUT!BI418</f>
        <v>74.5</v>
      </c>
      <c r="M416" s="687">
        <f>INPUT!BJ418</f>
        <v>12.198795180722888</v>
      </c>
      <c r="N416" s="151">
        <f>INPUT!BK418</f>
        <v>72.7</v>
      </c>
      <c r="O416" s="687">
        <f>INPUT!BL418</f>
        <v>22.184873949579842</v>
      </c>
      <c r="P416" s="151">
        <f>INPUT!BM418</f>
        <v>78.8</v>
      </c>
      <c r="Q416" s="687">
        <f>INPUT!BN418</f>
        <v>13.381294964028779</v>
      </c>
      <c r="R416" s="151">
        <f>INPUT!BO418</f>
        <v>69.2</v>
      </c>
      <c r="S416" s="687">
        <f>INPUT!BP418</f>
        <v>-6.4864864864864868</v>
      </c>
      <c r="T416" s="151">
        <f>INPUT!BQ418</f>
        <v>70.2</v>
      </c>
      <c r="U416" s="687">
        <f>INPUT!BR418</f>
        <v>-5.7718120805369093</v>
      </c>
      <c r="V416" s="151">
        <f>INPUT!BS418</f>
        <v>60.9</v>
      </c>
      <c r="W416" s="687">
        <f>INPUT!BT418</f>
        <v>-16.231086657496562</v>
      </c>
      <c r="X416" s="151">
        <f>INPUT!BU418</f>
        <v>49.9</v>
      </c>
      <c r="Y416" s="687">
        <f>INPUT!BV418</f>
        <v>-36.675126903553299</v>
      </c>
      <c r="Z416" s="151">
        <f>INPUT!BW418</f>
        <v>37.9</v>
      </c>
      <c r="AA416" s="687">
        <f>INPUT!BX418</f>
        <v>-45.231213872832377</v>
      </c>
      <c r="AB416" s="151"/>
      <c r="AC416" s="687"/>
      <c r="AD416" s="151"/>
      <c r="AE416" s="687"/>
      <c r="AF416" s="151"/>
      <c r="AG416" s="687"/>
      <c r="AH416" s="151"/>
      <c r="AI416" s="507"/>
      <c r="AJ416" s="151"/>
      <c r="AK416" s="507"/>
      <c r="AL416" s="151"/>
      <c r="AM416" s="507"/>
      <c r="AN416" s="151"/>
      <c r="AO416" s="507"/>
      <c r="AP416" s="151"/>
      <c r="AQ416" s="507"/>
      <c r="AR416" s="151"/>
      <c r="AS416" s="507"/>
      <c r="AT416" s="151"/>
      <c r="AU416" s="507"/>
      <c r="AV416" s="151"/>
      <c r="AW416" s="507"/>
      <c r="AX416" s="151"/>
      <c r="AY416" s="507"/>
      <c r="AZ416" s="151"/>
      <c r="BA416" s="507"/>
      <c r="BB416" s="151"/>
      <c r="BC416" s="507"/>
      <c r="BD416" s="151"/>
      <c r="BE416" s="507"/>
      <c r="BF416" s="151"/>
      <c r="BG416" s="507"/>
      <c r="BH416" s="151"/>
      <c r="BI416" s="507"/>
      <c r="BJ416" s="151"/>
      <c r="BK416" s="507"/>
      <c r="BL416" s="151"/>
      <c r="BM416" s="507"/>
      <c r="BN416" s="151"/>
      <c r="BO416" s="507"/>
      <c r="BP416" s="151"/>
      <c r="BQ416" s="507"/>
      <c r="BR416" s="151"/>
      <c r="BS416" s="507"/>
      <c r="BT416" s="151"/>
      <c r="BU416" s="507"/>
      <c r="BV416" s="151"/>
      <c r="BW416" s="507"/>
      <c r="BX416" s="151"/>
      <c r="BY416" s="507"/>
      <c r="BZ416" s="151"/>
      <c r="CA416" s="507"/>
      <c r="CB416" s="151"/>
      <c r="CC416" s="507"/>
      <c r="CD416" s="151"/>
      <c r="CE416" s="507"/>
      <c r="CF416" s="151"/>
      <c r="CG416" s="507"/>
      <c r="CH416" s="151"/>
      <c r="CI416" s="507"/>
      <c r="CJ416" s="151"/>
      <c r="CK416" s="507"/>
      <c r="CL416" s="151"/>
      <c r="CM416" s="507"/>
      <c r="CN416" s="151"/>
      <c r="CO416" s="507"/>
      <c r="CP416" s="151"/>
      <c r="CQ416" s="507"/>
      <c r="CR416" s="151"/>
      <c r="CS416" s="507"/>
      <c r="CT416" s="151"/>
      <c r="CU416" s="507"/>
      <c r="CV416" s="151"/>
      <c r="CW416" s="507"/>
      <c r="CX416" s="151"/>
      <c r="CY416" s="507"/>
      <c r="CZ416" s="151"/>
      <c r="DA416" s="507"/>
      <c r="DB416" s="507"/>
      <c r="DC416" s="151">
        <f>INPUT!FP418</f>
        <v>251.7</v>
      </c>
      <c r="DD416" s="687">
        <f>INPUT!FQ418</f>
        <v>-8.572466400290601</v>
      </c>
      <c r="DE416" s="151">
        <f>INPUT!FR418</f>
        <v>248.4</v>
      </c>
      <c r="DF416" s="687">
        <f>INPUT!FS418</f>
        <v>-1.3110846245530272</v>
      </c>
      <c r="DG416" s="151">
        <f>INPUT!FT418</f>
        <v>300</v>
      </c>
      <c r="DH416" s="687">
        <f>INPUT!FU418</f>
        <v>20.772946859903385</v>
      </c>
      <c r="DI416" s="151">
        <f>INPUT!FV418</f>
        <v>250.20000000000002</v>
      </c>
      <c r="DJ416" s="687">
        <f>INPUT!FW418</f>
        <v>-16.599999999999994</v>
      </c>
      <c r="DK416" s="151"/>
      <c r="DL416" s="507"/>
      <c r="DM416" s="151"/>
      <c r="DN416" s="507"/>
      <c r="DO416" s="151"/>
      <c r="DP416" s="507"/>
      <c r="DQ416" s="151"/>
      <c r="DR416" s="507"/>
      <c r="DS416" s="151"/>
      <c r="DT416" s="507"/>
      <c r="DU416" s="151"/>
      <c r="DV416" s="507"/>
      <c r="DW416" s="151"/>
      <c r="DX416" s="507"/>
      <c r="DY416" s="151"/>
      <c r="DZ416" s="507"/>
      <c r="EA416" s="151"/>
      <c r="EB416" s="507"/>
      <c r="EC416" s="151"/>
      <c r="ED416" s="507"/>
      <c r="EE416" s="151"/>
      <c r="EF416" s="507"/>
      <c r="EG416" s="151"/>
      <c r="EH416" s="507"/>
      <c r="EI416" s="151"/>
      <c r="EJ416" s="507"/>
      <c r="EK416" s="151"/>
      <c r="EL416" s="507"/>
      <c r="EM416" s="687"/>
    </row>
    <row r="417" spans="1:143" ht="12.75" hidden="1" customHeight="1" outlineLevel="2" x14ac:dyDescent="0.2">
      <c r="A417" s="701"/>
      <c r="B417" s="16"/>
      <c r="C417" s="507"/>
      <c r="D417" s="16"/>
      <c r="E417" s="687"/>
      <c r="F417" s="16"/>
      <c r="G417" s="687"/>
      <c r="H417" s="16"/>
      <c r="I417" s="687"/>
      <c r="J417" s="16"/>
      <c r="K417" s="687"/>
      <c r="L417" s="16"/>
      <c r="M417" s="687"/>
      <c r="N417" s="16"/>
      <c r="O417" s="687"/>
      <c r="P417" s="16"/>
      <c r="Q417" s="687"/>
      <c r="R417" s="16"/>
      <c r="S417" s="687"/>
      <c r="T417" s="16"/>
      <c r="U417" s="687"/>
      <c r="V417" s="16"/>
      <c r="W417" s="687"/>
      <c r="X417" s="16"/>
      <c r="Y417" s="687"/>
      <c r="Z417" s="16"/>
      <c r="AA417" s="687"/>
      <c r="AB417" s="16"/>
      <c r="AC417" s="687"/>
      <c r="AD417" s="16"/>
      <c r="AE417" s="687"/>
      <c r="AF417" s="16"/>
      <c r="AG417" s="687"/>
      <c r="AH417" s="16"/>
      <c r="AI417" s="507"/>
      <c r="AJ417" s="16"/>
      <c r="AK417" s="507"/>
      <c r="AL417" s="16"/>
      <c r="AM417" s="507"/>
      <c r="AN417" s="16"/>
      <c r="AO417" s="507"/>
      <c r="AP417" s="16"/>
      <c r="AQ417" s="507"/>
      <c r="AR417" s="16"/>
      <c r="AS417" s="507"/>
      <c r="AT417" s="16"/>
      <c r="AU417" s="507"/>
      <c r="AV417" s="16"/>
      <c r="AW417" s="507"/>
      <c r="AX417" s="16"/>
      <c r="AY417" s="507"/>
      <c r="AZ417" s="16"/>
      <c r="BA417" s="507"/>
      <c r="BB417" s="16"/>
      <c r="BC417" s="507"/>
      <c r="BD417" s="16"/>
      <c r="BE417" s="507"/>
      <c r="BF417" s="16"/>
      <c r="BG417" s="507"/>
      <c r="BH417" s="16"/>
      <c r="BI417" s="507"/>
      <c r="BJ417" s="16"/>
      <c r="BK417" s="507"/>
      <c r="BL417" s="16"/>
      <c r="BM417" s="507"/>
      <c r="BN417" s="16"/>
      <c r="BO417" s="507"/>
      <c r="BP417" s="16"/>
      <c r="BQ417" s="507"/>
      <c r="BR417" s="16"/>
      <c r="BS417" s="507"/>
      <c r="BT417" s="16"/>
      <c r="BU417" s="507"/>
      <c r="BV417" s="16"/>
      <c r="BW417" s="507"/>
      <c r="BX417" s="16"/>
      <c r="BY417" s="507"/>
      <c r="BZ417" s="16"/>
      <c r="CA417" s="507"/>
      <c r="CB417" s="16"/>
      <c r="CC417" s="507"/>
      <c r="CD417" s="16"/>
      <c r="CE417" s="507"/>
      <c r="CF417" s="16"/>
      <c r="CG417" s="507"/>
      <c r="CH417" s="16"/>
      <c r="CI417" s="507"/>
      <c r="CJ417" s="16"/>
      <c r="CK417" s="507"/>
      <c r="CL417" s="16"/>
      <c r="CM417" s="507"/>
      <c r="CN417" s="16"/>
      <c r="CO417" s="507"/>
      <c r="CP417" s="16"/>
      <c r="CQ417" s="507"/>
      <c r="CR417" s="16"/>
      <c r="CS417" s="507"/>
      <c r="CT417" s="16"/>
      <c r="CU417" s="507"/>
      <c r="CV417" s="16"/>
      <c r="CW417" s="507"/>
      <c r="CX417" s="16"/>
      <c r="CY417" s="507"/>
      <c r="CZ417" s="16"/>
      <c r="DA417" s="507"/>
      <c r="DB417" s="507"/>
      <c r="DC417" s="16"/>
      <c r="DD417" s="687"/>
      <c r="DE417" s="16"/>
      <c r="DF417" s="687"/>
      <c r="DG417" s="16"/>
      <c r="DH417" s="687"/>
      <c r="DI417" s="16"/>
      <c r="DJ417" s="687"/>
      <c r="DK417" s="16"/>
      <c r="DL417" s="507"/>
      <c r="DM417" s="16"/>
      <c r="DN417" s="507"/>
      <c r="DO417" s="16"/>
      <c r="DP417" s="507"/>
      <c r="DQ417" s="16"/>
      <c r="DR417" s="507"/>
      <c r="DS417" s="16"/>
      <c r="DT417" s="507"/>
      <c r="DU417" s="16"/>
      <c r="DV417" s="507"/>
      <c r="DW417" s="16"/>
      <c r="DX417" s="507"/>
      <c r="DY417" s="16"/>
      <c r="DZ417" s="507"/>
      <c r="EA417" s="16"/>
      <c r="EB417" s="507"/>
      <c r="EC417" s="16"/>
      <c r="ED417" s="507"/>
      <c r="EE417" s="16"/>
      <c r="EF417" s="507"/>
      <c r="EG417" s="16"/>
      <c r="EH417" s="507"/>
      <c r="EI417" s="16"/>
      <c r="EJ417" s="507"/>
      <c r="EK417" s="16"/>
      <c r="EL417" s="507"/>
      <c r="EM417" s="687"/>
    </row>
    <row r="418" spans="1:143" ht="12.75" hidden="1" customHeight="1" outlineLevel="2" x14ac:dyDescent="0.2">
      <c r="A418" s="701" t="str">
        <f>INPUT!B425</f>
        <v>Pretax Earnings</v>
      </c>
      <c r="B418" s="151">
        <f>INPUT!AY425</f>
        <v>16.46</v>
      </c>
      <c r="C418" s="507">
        <f>INPUT!AZ425</f>
        <v>6.6753078418664513</v>
      </c>
      <c r="D418" s="151">
        <f>INPUT!BA425</f>
        <v>14.859999999999992</v>
      </c>
      <c r="E418" s="687">
        <f>INPUT!BB425</f>
        <v>-6.3051702395965581</v>
      </c>
      <c r="F418" s="151">
        <f>INPUT!BC425</f>
        <v>12.759999999999998</v>
      </c>
      <c r="G418" s="687">
        <f>INPUT!BD425</f>
        <v>-12.362637362637429</v>
      </c>
      <c r="H418" s="151">
        <f>INPUT!BE425</f>
        <v>15.259999999999998</v>
      </c>
      <c r="I418" s="687">
        <f>INPUT!BF425</f>
        <v>-25.778210116731536</v>
      </c>
      <c r="J418" s="151">
        <f>INPUT!BG425</f>
        <v>16.700000000000003</v>
      </c>
      <c r="K418" s="687">
        <f>INPUT!BH425</f>
        <v>1.4580801944106936</v>
      </c>
      <c r="L418" s="151">
        <f>INPUT!BI425</f>
        <v>18</v>
      </c>
      <c r="M418" s="687">
        <f>INPUT!BJ425</f>
        <v>21.130551816958331</v>
      </c>
      <c r="N418" s="151">
        <f>INPUT!BK425</f>
        <v>16.000000000000014</v>
      </c>
      <c r="O418" s="687">
        <f>INPUT!BL425</f>
        <v>25.391849529780686</v>
      </c>
      <c r="P418" s="151">
        <f>INPUT!BM425</f>
        <v>19.600000000000009</v>
      </c>
      <c r="Q418" s="687">
        <f>INPUT!BN425</f>
        <v>28.440366972477136</v>
      </c>
      <c r="R418" s="151">
        <f>INPUT!BO425</f>
        <v>16.500000000000014</v>
      </c>
      <c r="S418" s="687">
        <f>INPUT!BP425</f>
        <v>-1.1976047904190934</v>
      </c>
      <c r="T418" s="151">
        <f>INPUT!BQ425</f>
        <v>27.699999999999989</v>
      </c>
      <c r="U418" s="687">
        <f>INPUT!BR425</f>
        <v>53.888888888888829</v>
      </c>
      <c r="V418" s="151">
        <f>INPUT!BS425</f>
        <v>18.899999999999999</v>
      </c>
      <c r="W418" s="687">
        <f>INPUT!BT425</f>
        <v>18.124999999999879</v>
      </c>
      <c r="X418" s="151">
        <f>INPUT!BU425</f>
        <v>14.500000000000007</v>
      </c>
      <c r="Y418" s="687">
        <f>INPUT!BV425</f>
        <v>-26.020408163265309</v>
      </c>
      <c r="Z418" s="151">
        <f>INPUT!BW425</f>
        <v>9.5</v>
      </c>
      <c r="AA418" s="687">
        <f>INPUT!BX425</f>
        <v>-42.424242424242479</v>
      </c>
      <c r="AB418" s="151"/>
      <c r="AC418" s="687"/>
      <c r="AD418" s="151"/>
      <c r="AE418" s="687"/>
      <c r="AF418" s="151"/>
      <c r="AG418" s="687"/>
      <c r="AH418" s="151"/>
      <c r="AI418" s="507"/>
      <c r="AJ418" s="151"/>
      <c r="AK418" s="507"/>
      <c r="AL418" s="151"/>
      <c r="AM418" s="507"/>
      <c r="AN418" s="151"/>
      <c r="AO418" s="507"/>
      <c r="AP418" s="151"/>
      <c r="AQ418" s="507"/>
      <c r="AR418" s="151"/>
      <c r="AS418" s="507"/>
      <c r="AT418" s="151"/>
      <c r="AU418" s="507"/>
      <c r="AV418" s="151"/>
      <c r="AW418" s="507"/>
      <c r="AX418" s="151"/>
      <c r="AY418" s="507"/>
      <c r="AZ418" s="151"/>
      <c r="BA418" s="507"/>
      <c r="BB418" s="151"/>
      <c r="BC418" s="507"/>
      <c r="BD418" s="151"/>
      <c r="BE418" s="507"/>
      <c r="BF418" s="151"/>
      <c r="BG418" s="507"/>
      <c r="BH418" s="151"/>
      <c r="BI418" s="507"/>
      <c r="BJ418" s="151"/>
      <c r="BK418" s="507"/>
      <c r="BL418" s="151"/>
      <c r="BM418" s="507"/>
      <c r="BN418" s="151"/>
      <c r="BO418" s="507"/>
      <c r="BP418" s="151"/>
      <c r="BQ418" s="507"/>
      <c r="BR418" s="151"/>
      <c r="BS418" s="507"/>
      <c r="BT418" s="151"/>
      <c r="BU418" s="507"/>
      <c r="BV418" s="151"/>
      <c r="BW418" s="507"/>
      <c r="BX418" s="151"/>
      <c r="BY418" s="507"/>
      <c r="BZ418" s="151"/>
      <c r="CA418" s="507"/>
      <c r="CB418" s="151"/>
      <c r="CC418" s="507"/>
      <c r="CD418" s="151"/>
      <c r="CE418" s="507"/>
      <c r="CF418" s="151"/>
      <c r="CG418" s="507"/>
      <c r="CH418" s="151"/>
      <c r="CI418" s="507"/>
      <c r="CJ418" s="151"/>
      <c r="CK418" s="507"/>
      <c r="CL418" s="151"/>
      <c r="CM418" s="507"/>
      <c r="CN418" s="151"/>
      <c r="CO418" s="507"/>
      <c r="CP418" s="151"/>
      <c r="CQ418" s="507"/>
      <c r="CR418" s="151"/>
      <c r="CS418" s="507"/>
      <c r="CT418" s="151"/>
      <c r="CU418" s="507"/>
      <c r="CV418" s="151"/>
      <c r="CW418" s="507"/>
      <c r="CX418" s="151"/>
      <c r="CY418" s="507"/>
      <c r="CZ418" s="151"/>
      <c r="DA418" s="507"/>
      <c r="DB418" s="507"/>
      <c r="DC418" s="151">
        <f>INPUT!FP425</f>
        <v>66.57000000000005</v>
      </c>
      <c r="DD418" s="687">
        <f>INPUT!FQ425</f>
        <v>-0.6417910447760411</v>
      </c>
      <c r="DE418" s="151">
        <f>INPUT!FR425</f>
        <v>59.499999999999972</v>
      </c>
      <c r="DF418" s="687">
        <f>INPUT!FS425</f>
        <v>-10.620399579390227</v>
      </c>
      <c r="DG418" s="151">
        <f>INPUT!FT425</f>
        <v>70.299999999999955</v>
      </c>
      <c r="DH418" s="687">
        <f>INPUT!FU425</f>
        <v>18.151260504201659</v>
      </c>
      <c r="DI418" s="151">
        <f>INPUT!FV425</f>
        <v>77.599999999999994</v>
      </c>
      <c r="DJ418" s="687">
        <f>INPUT!FW425</f>
        <v>10.384068278805181</v>
      </c>
      <c r="DK418" s="151"/>
      <c r="DL418" s="507"/>
      <c r="DM418" s="151"/>
      <c r="DN418" s="507"/>
      <c r="DO418" s="151"/>
      <c r="DP418" s="507"/>
      <c r="DQ418" s="151"/>
      <c r="DR418" s="507"/>
      <c r="DS418" s="151"/>
      <c r="DT418" s="507"/>
      <c r="DU418" s="151"/>
      <c r="DV418" s="507"/>
      <c r="DW418" s="151"/>
      <c r="DX418" s="507"/>
      <c r="DY418" s="151"/>
      <c r="DZ418" s="507"/>
      <c r="EA418" s="151"/>
      <c r="EB418" s="507"/>
      <c r="EC418" s="151"/>
      <c r="ED418" s="507"/>
      <c r="EE418" s="151"/>
      <c r="EF418" s="507"/>
      <c r="EG418" s="151"/>
      <c r="EH418" s="507"/>
      <c r="EI418" s="151"/>
      <c r="EJ418" s="507"/>
      <c r="EK418" s="151"/>
      <c r="EL418" s="507"/>
      <c r="EM418" s="687"/>
    </row>
    <row r="419" spans="1:143" ht="12.75" hidden="1" customHeight="1" outlineLevel="2" x14ac:dyDescent="0.2">
      <c r="A419" s="701" t="str">
        <f>INPUT!B426</f>
        <v>Taxes</v>
      </c>
      <c r="B419" s="151">
        <f>INPUT!AY426</f>
        <v>5.8</v>
      </c>
      <c r="C419" s="507">
        <f>INPUT!AZ426</f>
        <v>7.4074074074073959</v>
      </c>
      <c r="D419" s="151">
        <f>INPUT!BA426</f>
        <v>5.2</v>
      </c>
      <c r="E419" s="687">
        <f>INPUT!BB426</f>
        <v>-7.1428571428571281</v>
      </c>
      <c r="F419" s="151">
        <f>INPUT!BC426</f>
        <v>4.5</v>
      </c>
      <c r="G419" s="687">
        <f>INPUT!BD426</f>
        <v>-11.764705882352933</v>
      </c>
      <c r="H419" s="151">
        <f>INPUT!BE426</f>
        <v>5.4</v>
      </c>
      <c r="I419" s="687">
        <f>INPUT!BF426</f>
        <v>-25</v>
      </c>
      <c r="J419" s="151">
        <f>INPUT!BG426</f>
        <v>5.9</v>
      </c>
      <c r="K419" s="687">
        <f>INPUT!BH426</f>
        <v>1.7241379310344973</v>
      </c>
      <c r="L419" s="151">
        <f>INPUT!BI426</f>
        <v>6.3</v>
      </c>
      <c r="M419" s="687">
        <f>INPUT!BJ426</f>
        <v>21.153846153846146</v>
      </c>
      <c r="N419" s="151">
        <f>INPUT!BK426</f>
        <v>5.6</v>
      </c>
      <c r="O419" s="687">
        <f>INPUT!BL426</f>
        <v>24.444444444444446</v>
      </c>
      <c r="P419" s="151">
        <f>INPUT!BM426</f>
        <v>6.8</v>
      </c>
      <c r="Q419" s="687">
        <f>INPUT!BN426</f>
        <v>25.92592592592591</v>
      </c>
      <c r="R419" s="151">
        <f>INPUT!BO426</f>
        <v>5.7</v>
      </c>
      <c r="S419" s="687">
        <f>INPUT!BP426</f>
        <v>-3.3898305084745783</v>
      </c>
      <c r="T419" s="151">
        <f>INPUT!BQ426</f>
        <v>9.6999999999999993</v>
      </c>
      <c r="U419" s="687">
        <f>INPUT!BR426</f>
        <v>53.968253968253954</v>
      </c>
      <c r="V419" s="151">
        <f>INPUT!BS426</f>
        <v>6.6</v>
      </c>
      <c r="W419" s="687">
        <f>INPUT!BT426</f>
        <v>17.857142857142861</v>
      </c>
      <c r="X419" s="151">
        <f>INPUT!BU426</f>
        <v>5.0999999999999996</v>
      </c>
      <c r="Y419" s="687">
        <f>INPUT!BV426</f>
        <v>-25</v>
      </c>
      <c r="Z419" s="151">
        <f>INPUT!BW426</f>
        <v>3.3</v>
      </c>
      <c r="AA419" s="687">
        <f>INPUT!BX426</f>
        <v>-42.105263157894747</v>
      </c>
      <c r="AB419" s="151"/>
      <c r="AC419" s="687"/>
      <c r="AD419" s="151"/>
      <c r="AE419" s="687"/>
      <c r="AF419" s="151"/>
      <c r="AG419" s="687"/>
      <c r="AH419" s="151"/>
      <c r="AI419" s="507"/>
      <c r="AJ419" s="151"/>
      <c r="AK419" s="507"/>
      <c r="AL419" s="151"/>
      <c r="AM419" s="507"/>
      <c r="AN419" s="151"/>
      <c r="AO419" s="507"/>
      <c r="AP419" s="151"/>
      <c r="AQ419" s="507"/>
      <c r="AR419" s="151"/>
      <c r="AS419" s="507"/>
      <c r="AT419" s="151"/>
      <c r="AU419" s="507"/>
      <c r="AV419" s="151"/>
      <c r="AW419" s="507"/>
      <c r="AX419" s="151"/>
      <c r="AY419" s="507"/>
      <c r="AZ419" s="151"/>
      <c r="BA419" s="507"/>
      <c r="BB419" s="151"/>
      <c r="BC419" s="507"/>
      <c r="BD419" s="151"/>
      <c r="BE419" s="507"/>
      <c r="BF419" s="151"/>
      <c r="BG419" s="507"/>
      <c r="BH419" s="151"/>
      <c r="BI419" s="507"/>
      <c r="BJ419" s="151"/>
      <c r="BK419" s="507"/>
      <c r="BL419" s="151"/>
      <c r="BM419" s="507"/>
      <c r="BN419" s="151"/>
      <c r="BO419" s="507"/>
      <c r="BP419" s="151"/>
      <c r="BQ419" s="507"/>
      <c r="BR419" s="151"/>
      <c r="BS419" s="507"/>
      <c r="BT419" s="151"/>
      <c r="BU419" s="507"/>
      <c r="BV419" s="151"/>
      <c r="BW419" s="507"/>
      <c r="BX419" s="151"/>
      <c r="BY419" s="507"/>
      <c r="BZ419" s="151"/>
      <c r="CA419" s="507"/>
      <c r="CB419" s="151"/>
      <c r="CC419" s="507"/>
      <c r="CD419" s="151"/>
      <c r="CE419" s="507"/>
      <c r="CF419" s="151"/>
      <c r="CG419" s="507"/>
      <c r="CH419" s="151"/>
      <c r="CI419" s="507"/>
      <c r="CJ419" s="151"/>
      <c r="CK419" s="507"/>
      <c r="CL419" s="151"/>
      <c r="CM419" s="507"/>
      <c r="CN419" s="151"/>
      <c r="CO419" s="507"/>
      <c r="CP419" s="151"/>
      <c r="CQ419" s="507"/>
      <c r="CR419" s="151"/>
      <c r="CS419" s="507"/>
      <c r="CT419" s="151"/>
      <c r="CU419" s="507"/>
      <c r="CV419" s="151"/>
      <c r="CW419" s="507"/>
      <c r="CX419" s="151"/>
      <c r="CY419" s="507"/>
      <c r="CZ419" s="151"/>
      <c r="DA419" s="507"/>
      <c r="DB419" s="507"/>
      <c r="DC419" s="151">
        <f>INPUT!FP426</f>
        <v>23.3</v>
      </c>
      <c r="DD419" s="687">
        <f>INPUT!FQ426</f>
        <v>-0.42735042735041473</v>
      </c>
      <c r="DE419" s="151">
        <f>INPUT!FR426</f>
        <v>20.9</v>
      </c>
      <c r="DF419" s="687">
        <f>INPUT!FS426</f>
        <v>-10.300429184549365</v>
      </c>
      <c r="DG419" s="151">
        <f>INPUT!FT426</f>
        <v>24.599999999999998</v>
      </c>
      <c r="DH419" s="687">
        <f>INPUT!FU426</f>
        <v>17.703349282296642</v>
      </c>
      <c r="DI419" s="151">
        <f>INPUT!FV426</f>
        <v>27.1</v>
      </c>
      <c r="DJ419" s="687">
        <f>INPUT!FW426</f>
        <v>10.162601626016276</v>
      </c>
      <c r="DK419" s="151"/>
      <c r="DL419" s="507"/>
      <c r="DM419" s="151"/>
      <c r="DN419" s="507"/>
      <c r="DO419" s="151"/>
      <c r="DP419" s="507"/>
      <c r="DQ419" s="151"/>
      <c r="DR419" s="507"/>
      <c r="DS419" s="151"/>
      <c r="DT419" s="507"/>
      <c r="DU419" s="151"/>
      <c r="DV419" s="507"/>
      <c r="DW419" s="151"/>
      <c r="DX419" s="507"/>
      <c r="DY419" s="151"/>
      <c r="DZ419" s="507"/>
      <c r="EA419" s="151"/>
      <c r="EB419" s="507"/>
      <c r="EC419" s="151"/>
      <c r="ED419" s="507"/>
      <c r="EE419" s="151"/>
      <c r="EF419" s="507"/>
      <c r="EG419" s="151"/>
      <c r="EH419" s="507"/>
      <c r="EI419" s="151"/>
      <c r="EJ419" s="507"/>
      <c r="EK419" s="151"/>
      <c r="EL419" s="507"/>
      <c r="EM419" s="687"/>
    </row>
    <row r="420" spans="1:143" ht="12.75" hidden="1" customHeight="1" outlineLevel="2" x14ac:dyDescent="0.2">
      <c r="A420" s="701" t="str">
        <f>INPUT!B427</f>
        <v>Tax Rate (%)</v>
      </c>
      <c r="B420" s="156">
        <f>INPUT!AY427</f>
        <v>35.236938031591734</v>
      </c>
      <c r="C420" s="507">
        <f>INPUT!AZ427</f>
        <v>0.68628774582604191</v>
      </c>
      <c r="D420" s="156">
        <f>INPUT!BA427</f>
        <v>34.993270524899081</v>
      </c>
      <c r="E420" s="687">
        <f>INPUT!BB427</f>
        <v>-0.89405883483935078</v>
      </c>
      <c r="F420" s="156">
        <f>INPUT!BC427</f>
        <v>35.266457680250788</v>
      </c>
      <c r="G420" s="687">
        <f>INPUT!BD427</f>
        <v>0.68227918126506637</v>
      </c>
      <c r="H420" s="156">
        <f>INPUT!BE427</f>
        <v>35.386631716906955</v>
      </c>
      <c r="I420" s="687">
        <f>INPUT!BF427</f>
        <v>1.048492791612099</v>
      </c>
      <c r="J420" s="156">
        <f>INPUT!BG427</f>
        <v>35.329341317365262</v>
      </c>
      <c r="K420" s="687">
        <f>INPUT!BH427</f>
        <v>0.26223415238486592</v>
      </c>
      <c r="L420" s="156">
        <f>INPUT!BI427</f>
        <v>35</v>
      </c>
      <c r="M420" s="687">
        <f>INPUT!BJ427</f>
        <v>1.9230769230693667E-2</v>
      </c>
      <c r="N420" s="156">
        <f>INPUT!BK427</f>
        <v>34.999999999999964</v>
      </c>
      <c r="O420" s="687">
        <f>INPUT!BL427</f>
        <v>-0.75555555555566478</v>
      </c>
      <c r="P420" s="156">
        <f>INPUT!BM427</f>
        <v>34.693877551020393</v>
      </c>
      <c r="Q420" s="687">
        <f>INPUT!BN427</f>
        <v>-1.9576719576720247</v>
      </c>
      <c r="R420" s="156">
        <f>INPUT!BO427</f>
        <v>34.545454545454518</v>
      </c>
      <c r="S420" s="687">
        <f>INPUT!BP427</f>
        <v>-2.2187981510015997</v>
      </c>
      <c r="T420" s="156">
        <f>INPUT!BQ427</f>
        <v>35.018050541516253</v>
      </c>
      <c r="U420" s="687">
        <f>INPUT!BR427</f>
        <v>5.1572975760727502E-2</v>
      </c>
      <c r="V420" s="156">
        <f>INPUT!BS427</f>
        <v>34.920634920634917</v>
      </c>
      <c r="W420" s="687">
        <f>INPUT!BT427</f>
        <v>-0.2267573696144165</v>
      </c>
      <c r="X420" s="156">
        <f>INPUT!BU427</f>
        <v>35.172413793103431</v>
      </c>
      <c r="Y420" s="687">
        <f>INPUT!BV427</f>
        <v>1.379310344827589</v>
      </c>
      <c r="Z420" s="156">
        <f>INPUT!BW427</f>
        <v>34.736842105263158</v>
      </c>
      <c r="AA420" s="687">
        <f>INPUT!BX427</f>
        <v>0.55401662049869849</v>
      </c>
      <c r="AB420" s="156"/>
      <c r="AC420" s="687"/>
      <c r="AD420" s="156"/>
      <c r="AE420" s="687"/>
      <c r="AF420" s="156"/>
      <c r="AG420" s="687"/>
      <c r="AH420" s="156"/>
      <c r="AI420" s="507"/>
      <c r="AJ420" s="156"/>
      <c r="AK420" s="507"/>
      <c r="AL420" s="156"/>
      <c r="AM420" s="507"/>
      <c r="AN420" s="156"/>
      <c r="AO420" s="507"/>
      <c r="AP420" s="156"/>
      <c r="AQ420" s="507"/>
      <c r="AR420" s="156"/>
      <c r="AS420" s="507"/>
      <c r="AT420" s="156"/>
      <c r="AU420" s="507"/>
      <c r="AV420" s="156"/>
      <c r="AW420" s="507"/>
      <c r="AX420" s="156"/>
      <c r="AY420" s="507"/>
      <c r="AZ420" s="156"/>
      <c r="BA420" s="507"/>
      <c r="BB420" s="156"/>
      <c r="BC420" s="507"/>
      <c r="BD420" s="156"/>
      <c r="BE420" s="507"/>
      <c r="BF420" s="156"/>
      <c r="BG420" s="507"/>
      <c r="BH420" s="156"/>
      <c r="BI420" s="507"/>
      <c r="BJ420" s="156"/>
      <c r="BK420" s="507"/>
      <c r="BL420" s="156"/>
      <c r="BM420" s="507"/>
      <c r="BN420" s="156"/>
      <c r="BO420" s="507"/>
      <c r="BP420" s="156"/>
      <c r="BQ420" s="507"/>
      <c r="BR420" s="156"/>
      <c r="BS420" s="507"/>
      <c r="BT420" s="156"/>
      <c r="BU420" s="507"/>
      <c r="BV420" s="156"/>
      <c r="BW420" s="507"/>
      <c r="BX420" s="156"/>
      <c r="BY420" s="507"/>
      <c r="BZ420" s="156"/>
      <c r="CA420" s="507"/>
      <c r="CB420" s="156"/>
      <c r="CC420" s="507"/>
      <c r="CD420" s="156"/>
      <c r="CE420" s="507"/>
      <c r="CF420" s="156"/>
      <c r="CG420" s="507"/>
      <c r="CH420" s="156"/>
      <c r="CI420" s="507"/>
      <c r="CJ420" s="156"/>
      <c r="CK420" s="507"/>
      <c r="CL420" s="156"/>
      <c r="CM420" s="507"/>
      <c r="CN420" s="156"/>
      <c r="CO420" s="507"/>
      <c r="CP420" s="156"/>
      <c r="CQ420" s="507"/>
      <c r="CR420" s="156"/>
      <c r="CS420" s="507"/>
      <c r="CT420" s="156"/>
      <c r="CU420" s="507"/>
      <c r="CV420" s="156"/>
      <c r="CW420" s="507"/>
      <c r="CX420" s="156"/>
      <c r="CY420" s="507"/>
      <c r="CZ420" s="156"/>
      <c r="DA420" s="507"/>
      <c r="DB420" s="507"/>
      <c r="DC420" s="156">
        <f>INPUT!FP427</f>
        <v>35.000751089079138</v>
      </c>
      <c r="DD420" s="687">
        <f>INPUT!FQ427</f>
        <v>0.21582576787615437</v>
      </c>
      <c r="DE420" s="156">
        <f>INPUT!FR427</f>
        <v>35.126050420168085</v>
      </c>
      <c r="DF420" s="687">
        <f>INPUT!FS427</f>
        <v>0.35799040646313784</v>
      </c>
      <c r="DG420" s="156">
        <f>INPUT!FT427</f>
        <v>34.99288762446659</v>
      </c>
      <c r="DH420" s="687">
        <f>INPUT!FU427</f>
        <v>-0.37909982508320672</v>
      </c>
      <c r="DI420" s="156">
        <f>INPUT!FV427</f>
        <v>34.922680412371136</v>
      </c>
      <c r="DJ420" s="687">
        <f>INPUT!FW427</f>
        <v>-0.20063280529717398</v>
      </c>
      <c r="DK420" s="156"/>
      <c r="DL420" s="507"/>
      <c r="DM420" s="156"/>
      <c r="DN420" s="507"/>
      <c r="DO420" s="156"/>
      <c r="DP420" s="507"/>
      <c r="DQ420" s="156"/>
      <c r="DR420" s="507"/>
      <c r="DS420" s="156"/>
      <c r="DT420" s="507"/>
      <c r="DU420" s="156"/>
      <c r="DV420" s="507"/>
      <c r="DW420" s="156"/>
      <c r="DX420" s="507"/>
      <c r="DY420" s="156"/>
      <c r="DZ420" s="507"/>
      <c r="EA420" s="156"/>
      <c r="EB420" s="507"/>
      <c r="EC420" s="156"/>
      <c r="ED420" s="507"/>
      <c r="EE420" s="156"/>
      <c r="EF420" s="507"/>
      <c r="EG420" s="156"/>
      <c r="EH420" s="507"/>
      <c r="EI420" s="156"/>
      <c r="EJ420" s="507"/>
      <c r="EK420" s="156"/>
      <c r="EL420" s="507"/>
      <c r="EM420" s="687"/>
    </row>
    <row r="421" spans="1:143" ht="12.75" hidden="1" customHeight="1" outlineLevel="2" x14ac:dyDescent="0.2">
      <c r="A421" s="707" t="str">
        <f>INPUT!B428</f>
        <v>After-Tax Earnings</v>
      </c>
      <c r="B421" s="708">
        <f>INPUT!AY428</f>
        <v>10.66</v>
      </c>
      <c r="C421" s="757">
        <f>INPUT!AZ428</f>
        <v>6.2811565304087047</v>
      </c>
      <c r="D421" s="708">
        <f>INPUT!BA428</f>
        <v>9.659999999999993</v>
      </c>
      <c r="E421" s="709">
        <f>INPUT!BB428</f>
        <v>-5.8479532163744015</v>
      </c>
      <c r="F421" s="708">
        <f>INPUT!BC428</f>
        <v>8.259999999999998</v>
      </c>
      <c r="G421" s="709">
        <f>INPUT!BD428</f>
        <v>-13.598326359832747</v>
      </c>
      <c r="H421" s="708">
        <f>INPUT!BE428</f>
        <v>9.8599999999999977</v>
      </c>
      <c r="I421" s="709">
        <f>INPUT!BF428</f>
        <v>-26.745913818722165</v>
      </c>
      <c r="J421" s="708">
        <f>INPUT!BG428</f>
        <v>10.800000000000002</v>
      </c>
      <c r="K421" s="709">
        <f>INPUT!BH428</f>
        <v>1.3133208255159623</v>
      </c>
      <c r="L421" s="708">
        <f>INPUT!BI428</f>
        <v>11.7</v>
      </c>
      <c r="M421" s="709">
        <f>INPUT!BJ428</f>
        <v>21.118012422360334</v>
      </c>
      <c r="N421" s="708">
        <f>INPUT!BK428</f>
        <v>10.400000000000015</v>
      </c>
      <c r="O421" s="709">
        <f>INPUT!BL428</f>
        <v>25.907990314770181</v>
      </c>
      <c r="P421" s="708">
        <f>INPUT!BM428</f>
        <v>12.800000000000008</v>
      </c>
      <c r="Q421" s="709">
        <f>INPUT!BN428</f>
        <v>29.817444219067045</v>
      </c>
      <c r="R421" s="708">
        <f>INPUT!BO428</f>
        <v>10.800000000000015</v>
      </c>
      <c r="S421" s="709">
        <f>INPUT!BP428</f>
        <v>1.1102230246251565E-13</v>
      </c>
      <c r="T421" s="708">
        <f>INPUT!BQ428</f>
        <v>17.999999999999989</v>
      </c>
      <c r="U421" s="709">
        <f>INPUT!BR428</f>
        <v>53.846153846153769</v>
      </c>
      <c r="V421" s="708">
        <f>INPUT!BS428</f>
        <v>12.299999999999999</v>
      </c>
      <c r="W421" s="709">
        <f>INPUT!BT428</f>
        <v>18.269230769230592</v>
      </c>
      <c r="X421" s="708">
        <f>INPUT!BU428</f>
        <v>9.4000000000000075</v>
      </c>
      <c r="Y421" s="709">
        <f>INPUT!BV428</f>
        <v>-26.562499999999989</v>
      </c>
      <c r="Z421" s="708">
        <f>INPUT!BW428</f>
        <v>6.2</v>
      </c>
      <c r="AA421" s="709">
        <f>INPUT!BX428</f>
        <v>-42.592592592592673</v>
      </c>
      <c r="AB421" s="708"/>
      <c r="AC421" s="709"/>
      <c r="AD421" s="708"/>
      <c r="AE421" s="709"/>
      <c r="AF421" s="708"/>
      <c r="AG421" s="709"/>
      <c r="AH421" s="708"/>
      <c r="AI421" s="759"/>
      <c r="AJ421" s="708"/>
      <c r="AK421" s="759"/>
      <c r="AL421" s="708"/>
      <c r="AM421" s="759"/>
      <c r="AN421" s="708"/>
      <c r="AO421" s="759"/>
      <c r="AP421" s="708"/>
      <c r="AQ421" s="759"/>
      <c r="AR421" s="708"/>
      <c r="AS421" s="759"/>
      <c r="AT421" s="708"/>
      <c r="AU421" s="759"/>
      <c r="AV421" s="708"/>
      <c r="AW421" s="759"/>
      <c r="AX421" s="708"/>
      <c r="AY421" s="759"/>
      <c r="AZ421" s="708"/>
      <c r="BA421" s="759"/>
      <c r="BB421" s="708"/>
      <c r="BC421" s="759"/>
      <c r="BD421" s="708"/>
      <c r="BE421" s="759"/>
      <c r="BF421" s="708"/>
      <c r="BG421" s="759"/>
      <c r="BH421" s="708"/>
      <c r="BI421" s="759"/>
      <c r="BJ421" s="708"/>
      <c r="BK421" s="759"/>
      <c r="BL421" s="708"/>
      <c r="BM421" s="759"/>
      <c r="BN421" s="708"/>
      <c r="BO421" s="759"/>
      <c r="BP421" s="708"/>
      <c r="BQ421" s="759"/>
      <c r="BR421" s="708"/>
      <c r="BS421" s="759"/>
      <c r="BT421" s="708"/>
      <c r="BU421" s="759"/>
      <c r="BV421" s="708"/>
      <c r="BW421" s="759"/>
      <c r="BX421" s="708"/>
      <c r="BY421" s="759"/>
      <c r="BZ421" s="708"/>
      <c r="CA421" s="759"/>
      <c r="CB421" s="708"/>
      <c r="CC421" s="759"/>
      <c r="CD421" s="708"/>
      <c r="CE421" s="759"/>
      <c r="CF421" s="708"/>
      <c r="CG421" s="759"/>
      <c r="CH421" s="708"/>
      <c r="CI421" s="759"/>
      <c r="CJ421" s="708"/>
      <c r="CK421" s="759"/>
      <c r="CL421" s="708"/>
      <c r="CM421" s="759"/>
      <c r="CN421" s="708"/>
      <c r="CO421" s="759"/>
      <c r="CP421" s="708"/>
      <c r="CQ421" s="759"/>
      <c r="CR421" s="708"/>
      <c r="CS421" s="759"/>
      <c r="CT421" s="708"/>
      <c r="CU421" s="759"/>
      <c r="CV421" s="708"/>
      <c r="CW421" s="759"/>
      <c r="CX421" s="708"/>
      <c r="CY421" s="759"/>
      <c r="CZ421" s="708"/>
      <c r="DA421" s="759"/>
      <c r="DB421" s="760"/>
      <c r="DC421" s="708">
        <f>INPUT!FP428</f>
        <v>43.270000000000053</v>
      </c>
      <c r="DD421" s="709">
        <f>INPUT!FQ428</f>
        <v>-0.75688073394483135</v>
      </c>
      <c r="DE421" s="708">
        <f>INPUT!FR428</f>
        <v>38.599999999999973</v>
      </c>
      <c r="DF421" s="709">
        <f>INPUT!FS428</f>
        <v>-10.792697018719844</v>
      </c>
      <c r="DG421" s="708">
        <f>INPUT!FT428</f>
        <v>45.69999999999996</v>
      </c>
      <c r="DH421" s="709">
        <f>INPUT!FU428</f>
        <v>18.393782383419666</v>
      </c>
      <c r="DI421" s="708">
        <f>INPUT!FV428</f>
        <v>50.499999999999993</v>
      </c>
      <c r="DJ421" s="709">
        <f>INPUT!FW428</f>
        <v>10.503282275711246</v>
      </c>
      <c r="DK421" s="708"/>
      <c r="DL421" s="759"/>
      <c r="DM421" s="708"/>
      <c r="DN421" s="759"/>
      <c r="DO421" s="708"/>
      <c r="DP421" s="759"/>
      <c r="DQ421" s="708"/>
      <c r="DR421" s="759"/>
      <c r="DS421" s="708"/>
      <c r="DT421" s="759"/>
      <c r="DU421" s="708"/>
      <c r="DV421" s="759"/>
      <c r="DW421" s="708"/>
      <c r="DX421" s="759"/>
      <c r="DY421" s="708"/>
      <c r="DZ421" s="759"/>
      <c r="EA421" s="708"/>
      <c r="EB421" s="759"/>
      <c r="EC421" s="708"/>
      <c r="ED421" s="759"/>
      <c r="EE421" s="708"/>
      <c r="EF421" s="759"/>
      <c r="EG421" s="708"/>
      <c r="EH421" s="759"/>
      <c r="EI421" s="708"/>
      <c r="EJ421" s="759"/>
      <c r="EK421" s="708"/>
      <c r="EL421" s="759"/>
      <c r="EM421" s="709"/>
    </row>
    <row r="422" spans="1:143" ht="12.75" hidden="1" customHeight="1" outlineLevel="2" x14ac:dyDescent="0.2">
      <c r="A422" s="701"/>
      <c r="B422" s="16"/>
      <c r="C422" s="507"/>
      <c r="D422" s="16"/>
      <c r="E422" s="687"/>
      <c r="F422" s="16"/>
      <c r="G422" s="687"/>
      <c r="H422" s="16"/>
      <c r="I422" s="687"/>
      <c r="J422" s="16"/>
      <c r="K422" s="687"/>
      <c r="L422" s="16"/>
      <c r="M422" s="687"/>
      <c r="N422" s="16"/>
      <c r="O422" s="687"/>
      <c r="P422" s="16"/>
      <c r="Q422" s="687"/>
      <c r="R422" s="16"/>
      <c r="S422" s="687"/>
      <c r="T422" s="16"/>
      <c r="U422" s="687"/>
      <c r="V422" s="16"/>
      <c r="W422" s="687"/>
      <c r="X422" s="16"/>
      <c r="Y422" s="687"/>
      <c r="Z422" s="16"/>
      <c r="AA422" s="687"/>
      <c r="AB422" s="16"/>
      <c r="AC422" s="687"/>
      <c r="AD422" s="16"/>
      <c r="AE422" s="687"/>
      <c r="AF422" s="16"/>
      <c r="AG422" s="687"/>
      <c r="AH422" s="16"/>
      <c r="AI422" s="507"/>
      <c r="AJ422" s="16"/>
      <c r="AK422" s="507"/>
      <c r="AL422" s="16"/>
      <c r="AM422" s="507"/>
      <c r="AN422" s="16"/>
      <c r="AO422" s="507"/>
      <c r="AP422" s="16"/>
      <c r="AQ422" s="507"/>
      <c r="AR422" s="16"/>
      <c r="AS422" s="507"/>
      <c r="AT422" s="16"/>
      <c r="AU422" s="507"/>
      <c r="AV422" s="16"/>
      <c r="AW422" s="507"/>
      <c r="AX422" s="16"/>
      <c r="AY422" s="507"/>
      <c r="AZ422" s="16"/>
      <c r="BA422" s="507"/>
      <c r="BB422" s="16"/>
      <c r="BC422" s="507"/>
      <c r="BD422" s="16"/>
      <c r="BE422" s="507"/>
      <c r="BF422" s="16"/>
      <c r="BG422" s="507"/>
      <c r="BH422" s="16"/>
      <c r="BI422" s="507"/>
      <c r="BJ422" s="16"/>
      <c r="BK422" s="507"/>
      <c r="BL422" s="16"/>
      <c r="BM422" s="507"/>
      <c r="BN422" s="16"/>
      <c r="BO422" s="507"/>
      <c r="BP422" s="16"/>
      <c r="BQ422" s="507"/>
      <c r="BR422" s="16"/>
      <c r="BS422" s="507"/>
      <c r="BT422" s="16"/>
      <c r="BU422" s="507"/>
      <c r="BV422" s="16"/>
      <c r="BW422" s="507"/>
      <c r="BX422" s="16"/>
      <c r="BY422" s="507"/>
      <c r="BZ422" s="16"/>
      <c r="CA422" s="507"/>
      <c r="CB422" s="16"/>
      <c r="CC422" s="507"/>
      <c r="CD422" s="16"/>
      <c r="CE422" s="507"/>
      <c r="CF422" s="16"/>
      <c r="CG422" s="507"/>
      <c r="CH422" s="16"/>
      <c r="CI422" s="507"/>
      <c r="CJ422" s="16"/>
      <c r="CK422" s="507"/>
      <c r="CL422" s="16"/>
      <c r="CM422" s="507"/>
      <c r="CN422" s="16"/>
      <c r="CO422" s="507"/>
      <c r="CP422" s="16"/>
      <c r="CQ422" s="507"/>
      <c r="CR422" s="16"/>
      <c r="CS422" s="507"/>
      <c r="CT422" s="16"/>
      <c r="CU422" s="507"/>
      <c r="CV422" s="16"/>
      <c r="CW422" s="507"/>
      <c r="CX422" s="16"/>
      <c r="CY422" s="507"/>
      <c r="CZ422" s="16"/>
      <c r="DA422" s="507"/>
      <c r="DB422" s="507"/>
      <c r="DC422" s="16"/>
      <c r="DD422" s="687"/>
      <c r="DE422" s="16"/>
      <c r="DF422" s="687"/>
      <c r="DG422" s="16"/>
      <c r="DH422" s="687"/>
      <c r="DI422" s="16"/>
      <c r="DJ422" s="687"/>
      <c r="DK422" s="16"/>
      <c r="DL422" s="507"/>
      <c r="DM422" s="16"/>
      <c r="DN422" s="507"/>
      <c r="DO422" s="16"/>
      <c r="DP422" s="507"/>
      <c r="DQ422" s="16"/>
      <c r="DR422" s="507"/>
      <c r="DS422" s="16"/>
      <c r="DT422" s="507"/>
      <c r="DU422" s="16"/>
      <c r="DV422" s="507"/>
      <c r="DW422" s="16"/>
      <c r="DX422" s="507"/>
      <c r="DY422" s="16"/>
      <c r="DZ422" s="507"/>
      <c r="EA422" s="16"/>
      <c r="EB422" s="507"/>
      <c r="EC422" s="16"/>
      <c r="ED422" s="507"/>
      <c r="EE422" s="16"/>
      <c r="EF422" s="507"/>
      <c r="EG422" s="16"/>
      <c r="EH422" s="507"/>
      <c r="EI422" s="16"/>
      <c r="EJ422" s="507"/>
      <c r="EK422" s="16"/>
      <c r="EL422" s="507"/>
      <c r="EM422" s="687"/>
    </row>
    <row r="423" spans="1:143" ht="12.75" hidden="1" customHeight="1" outlineLevel="2" x14ac:dyDescent="0.2">
      <c r="A423" s="715" t="s">
        <v>303</v>
      </c>
      <c r="B423" s="16"/>
      <c r="C423" s="507"/>
      <c r="D423" s="16"/>
      <c r="E423" s="687"/>
      <c r="F423" s="16"/>
      <c r="G423" s="687"/>
      <c r="H423" s="16"/>
      <c r="I423" s="687"/>
      <c r="J423" s="16"/>
      <c r="K423" s="687"/>
      <c r="L423" s="16"/>
      <c r="M423" s="687"/>
      <c r="N423" s="16"/>
      <c r="O423" s="687"/>
      <c r="P423" s="16"/>
      <c r="Q423" s="687"/>
      <c r="R423" s="16"/>
      <c r="S423" s="687"/>
      <c r="T423" s="16"/>
      <c r="U423" s="687"/>
      <c r="V423" s="16"/>
      <c r="W423" s="687"/>
      <c r="X423" s="16"/>
      <c r="Y423" s="687"/>
      <c r="Z423" s="16"/>
      <c r="AA423" s="687"/>
      <c r="AB423" s="16"/>
      <c r="AC423" s="687"/>
      <c r="AD423" s="16"/>
      <c r="AE423" s="687"/>
      <c r="AF423" s="16"/>
      <c r="AG423" s="687"/>
      <c r="AH423" s="16"/>
      <c r="AI423" s="507"/>
      <c r="AJ423" s="16"/>
      <c r="AK423" s="507"/>
      <c r="AL423" s="16"/>
      <c r="AM423" s="507"/>
      <c r="AN423" s="16"/>
      <c r="AO423" s="507"/>
      <c r="AP423" s="16"/>
      <c r="AQ423" s="507"/>
      <c r="AR423" s="16"/>
      <c r="AS423" s="507"/>
      <c r="AT423" s="16"/>
      <c r="AU423" s="507"/>
      <c r="AV423" s="16"/>
      <c r="AW423" s="507"/>
      <c r="AX423" s="16"/>
      <c r="AY423" s="507"/>
      <c r="AZ423" s="16"/>
      <c r="BA423" s="507"/>
      <c r="BB423" s="16"/>
      <c r="BC423" s="507"/>
      <c r="BD423" s="16"/>
      <c r="BE423" s="507"/>
      <c r="BF423" s="16"/>
      <c r="BG423" s="507"/>
      <c r="BH423" s="16"/>
      <c r="BI423" s="507"/>
      <c r="BJ423" s="16"/>
      <c r="BK423" s="507"/>
      <c r="BL423" s="16"/>
      <c r="BM423" s="507"/>
      <c r="BN423" s="16"/>
      <c r="BO423" s="507"/>
      <c r="BP423" s="16"/>
      <c r="BQ423" s="507"/>
      <c r="BR423" s="16"/>
      <c r="BS423" s="507"/>
      <c r="BT423" s="16"/>
      <c r="BU423" s="507"/>
      <c r="BV423" s="16"/>
      <c r="BW423" s="507"/>
      <c r="BX423" s="16"/>
      <c r="BY423" s="507"/>
      <c r="BZ423" s="16"/>
      <c r="CA423" s="507"/>
      <c r="CB423" s="16"/>
      <c r="CC423" s="507"/>
      <c r="CD423" s="16"/>
      <c r="CE423" s="507"/>
      <c r="CF423" s="16"/>
      <c r="CG423" s="507"/>
      <c r="CH423" s="16"/>
      <c r="CI423" s="507"/>
      <c r="CJ423" s="16"/>
      <c r="CK423" s="507"/>
      <c r="CL423" s="16"/>
      <c r="CM423" s="507"/>
      <c r="CN423" s="16"/>
      <c r="CO423" s="507"/>
      <c r="CP423" s="16"/>
      <c r="CQ423" s="507"/>
      <c r="CR423" s="16"/>
      <c r="CS423" s="507"/>
      <c r="CT423" s="16"/>
      <c r="CU423" s="507"/>
      <c r="CV423" s="16"/>
      <c r="CW423" s="507"/>
      <c r="CX423" s="16"/>
      <c r="CY423" s="507"/>
      <c r="CZ423" s="16"/>
      <c r="DA423" s="507"/>
      <c r="DB423" s="507"/>
      <c r="DC423" s="16"/>
      <c r="DD423" s="687"/>
      <c r="DE423" s="16"/>
      <c r="DF423" s="687"/>
      <c r="DG423" s="16"/>
      <c r="DH423" s="687"/>
      <c r="DI423" s="16"/>
      <c r="DJ423" s="687"/>
      <c r="DK423" s="16"/>
      <c r="DL423" s="507"/>
      <c r="DM423" s="16"/>
      <c r="DN423" s="507"/>
      <c r="DO423" s="16"/>
      <c r="DP423" s="507"/>
      <c r="DQ423" s="16"/>
      <c r="DR423" s="507"/>
      <c r="DS423" s="16"/>
      <c r="DT423" s="507"/>
      <c r="DU423" s="16"/>
      <c r="DV423" s="507"/>
      <c r="DW423" s="16"/>
      <c r="DX423" s="507"/>
      <c r="DY423" s="16"/>
      <c r="DZ423" s="507"/>
      <c r="EA423" s="16"/>
      <c r="EB423" s="507"/>
      <c r="EC423" s="16"/>
      <c r="ED423" s="507"/>
      <c r="EE423" s="16"/>
      <c r="EF423" s="507"/>
      <c r="EG423" s="16"/>
      <c r="EH423" s="507"/>
      <c r="EI423" s="16"/>
      <c r="EJ423" s="507"/>
      <c r="EK423" s="16"/>
      <c r="EL423" s="507"/>
      <c r="EM423" s="687"/>
    </row>
    <row r="424" spans="1:143" ht="12.75" hidden="1" customHeight="1" outlineLevel="2" x14ac:dyDescent="0.2">
      <c r="A424" s="522" t="s">
        <v>304</v>
      </c>
      <c r="B424" s="464">
        <f>INPUT!AY529</f>
        <v>10.66</v>
      </c>
      <c r="C424" s="507">
        <f>INPUT!AZ529</f>
        <v>6.2811565304087047</v>
      </c>
      <c r="D424" s="464">
        <f>INPUT!BA529</f>
        <v>9.659999999999993</v>
      </c>
      <c r="E424" s="687">
        <f>INPUT!BB529</f>
        <v>-5.8479532163744015</v>
      </c>
      <c r="F424" s="464">
        <f>INPUT!BC529</f>
        <v>11.259999999999998</v>
      </c>
      <c r="G424" s="687">
        <f>INPUT!BD529</f>
        <v>17.782426778242531</v>
      </c>
      <c r="H424" s="464">
        <f>INPUT!BE529</f>
        <v>9.8599999999999977</v>
      </c>
      <c r="I424" s="687">
        <f>INPUT!BF529</f>
        <v>-26.745913818722165</v>
      </c>
      <c r="J424" s="464">
        <f>INPUT!BG579</f>
        <v>0</v>
      </c>
      <c r="K424" s="687" t="str">
        <f>INPUT!BH579</f>
        <v>NM</v>
      </c>
      <c r="L424" s="464">
        <f>INPUT!BI579</f>
        <v>0</v>
      </c>
      <c r="M424" s="687" t="str">
        <f>INPUT!BJ579</f>
        <v>NM</v>
      </c>
      <c r="N424" s="464">
        <f>INPUT!BK579</f>
        <v>0</v>
      </c>
      <c r="O424" s="687" t="str">
        <f>INPUT!BL579</f>
        <v>NM</v>
      </c>
      <c r="P424" s="464">
        <f>INPUT!BM579</f>
        <v>0</v>
      </c>
      <c r="Q424" s="687" t="str">
        <f>INPUT!BN579</f>
        <v>NM</v>
      </c>
      <c r="R424" s="464">
        <f>INPUT!BO579</f>
        <v>0</v>
      </c>
      <c r="S424" s="687" t="str">
        <f>INPUT!BP579</f>
        <v>NA</v>
      </c>
      <c r="T424" s="464">
        <f>INPUT!BQ579</f>
        <v>0</v>
      </c>
      <c r="U424" s="687" t="str">
        <f>INPUT!BR579</f>
        <v>NA</v>
      </c>
      <c r="V424" s="464">
        <f>INPUT!BS579</f>
        <v>0</v>
      </c>
      <c r="W424" s="687" t="str">
        <f>INPUT!BT579</f>
        <v>NA</v>
      </c>
      <c r="X424" s="464">
        <f>INPUT!BU579</f>
        <v>0</v>
      </c>
      <c r="Y424" s="687" t="str">
        <f>INPUT!BV579</f>
        <v>NA</v>
      </c>
      <c r="Z424" s="464">
        <f>INPUT!BW579</f>
        <v>0</v>
      </c>
      <c r="AA424" s="687" t="str">
        <f>INPUT!BX579</f>
        <v>NA</v>
      </c>
      <c r="AB424" s="464"/>
      <c r="AC424" s="687"/>
      <c r="AD424" s="464"/>
      <c r="AE424" s="687"/>
      <c r="AF424" s="464"/>
      <c r="AG424" s="687"/>
      <c r="AH424" s="464"/>
      <c r="AI424" s="507"/>
      <c r="AJ424" s="464"/>
      <c r="AK424" s="507"/>
      <c r="AL424" s="464"/>
      <c r="AM424" s="507"/>
      <c r="AN424" s="464"/>
      <c r="AO424" s="507"/>
      <c r="AP424" s="464"/>
      <c r="AQ424" s="507"/>
      <c r="AR424" s="464"/>
      <c r="AS424" s="507"/>
      <c r="AT424" s="464"/>
      <c r="AU424" s="507"/>
      <c r="AV424" s="464"/>
      <c r="AW424" s="507"/>
      <c r="AX424" s="464"/>
      <c r="AY424" s="507"/>
      <c r="AZ424" s="464"/>
      <c r="BA424" s="507"/>
      <c r="BB424" s="464"/>
      <c r="BC424" s="507"/>
      <c r="BD424" s="464"/>
      <c r="BE424" s="507"/>
      <c r="BF424" s="464"/>
      <c r="BG424" s="507"/>
      <c r="BH424" s="464"/>
      <c r="BI424" s="507"/>
      <c r="BJ424" s="464"/>
      <c r="BK424" s="507"/>
      <c r="BL424" s="464"/>
      <c r="BM424" s="507"/>
      <c r="BN424" s="464"/>
      <c r="BO424" s="507"/>
      <c r="BP424" s="464"/>
      <c r="BQ424" s="507"/>
      <c r="BR424" s="464"/>
      <c r="BS424" s="507"/>
      <c r="BT424" s="464"/>
      <c r="BU424" s="507"/>
      <c r="BV424" s="464"/>
      <c r="BW424" s="507"/>
      <c r="BX424" s="464"/>
      <c r="BY424" s="507"/>
      <c r="BZ424" s="464"/>
      <c r="CA424" s="507"/>
      <c r="CB424" s="464"/>
      <c r="CC424" s="507"/>
      <c r="CD424" s="464"/>
      <c r="CE424" s="507"/>
      <c r="CF424" s="464"/>
      <c r="CG424" s="507"/>
      <c r="CH424" s="464"/>
      <c r="CI424" s="507"/>
      <c r="CJ424" s="464"/>
      <c r="CK424" s="507"/>
      <c r="CL424" s="464"/>
      <c r="CM424" s="507"/>
      <c r="CN424" s="464"/>
      <c r="CO424" s="507"/>
      <c r="CP424" s="464"/>
      <c r="CQ424" s="507"/>
      <c r="CR424" s="464"/>
      <c r="CS424" s="507"/>
      <c r="CT424" s="464"/>
      <c r="CU424" s="507"/>
      <c r="CV424" s="464"/>
      <c r="CW424" s="507"/>
      <c r="CX424" s="464"/>
      <c r="CY424" s="507"/>
      <c r="CZ424" s="464"/>
      <c r="DA424" s="507"/>
      <c r="DB424" s="507"/>
      <c r="DC424" s="464">
        <f>INPUT!FP579</f>
        <v>4.9792712397937038</v>
      </c>
      <c r="DD424" s="687" t="str">
        <f>INPUT!FQ579</f>
        <v>NA</v>
      </c>
      <c r="DE424" s="464">
        <f>INPUT!FR579</f>
        <v>3.4400318767432587</v>
      </c>
      <c r="DF424" s="687">
        <f>INPUT!FS579</f>
        <v>-30.91294466445289</v>
      </c>
      <c r="DG424" s="464">
        <f>INPUT!FT579</f>
        <v>0</v>
      </c>
      <c r="DH424" s="687" t="str">
        <f>INPUT!FU579</f>
        <v>NM</v>
      </c>
      <c r="DI424" s="464">
        <f>INPUT!FV579</f>
        <v>0</v>
      </c>
      <c r="DJ424" s="687" t="str">
        <f>INPUT!FW579</f>
        <v>NA</v>
      </c>
      <c r="DK424" s="464"/>
      <c r="DL424" s="507"/>
      <c r="DM424" s="464"/>
      <c r="DN424" s="507"/>
      <c r="DO424" s="464"/>
      <c r="DP424" s="507"/>
      <c r="DQ424" s="464"/>
      <c r="DR424" s="507"/>
      <c r="DS424" s="464"/>
      <c r="DT424" s="507"/>
      <c r="DU424" s="464"/>
      <c r="DV424" s="507"/>
      <c r="DW424" s="464"/>
      <c r="DX424" s="507"/>
      <c r="DY424" s="464"/>
      <c r="DZ424" s="507"/>
      <c r="EA424" s="464"/>
      <c r="EB424" s="507"/>
      <c r="EC424" s="464"/>
      <c r="ED424" s="507"/>
      <c r="EE424" s="464"/>
      <c r="EF424" s="507"/>
      <c r="EG424" s="464"/>
      <c r="EH424" s="507"/>
      <c r="EI424" s="464"/>
      <c r="EJ424" s="507"/>
      <c r="EK424" s="464"/>
      <c r="EL424" s="507"/>
      <c r="EM424" s="687"/>
    </row>
    <row r="425" spans="1:143" ht="12.75" hidden="1" customHeight="1" outlineLevel="2" x14ac:dyDescent="0.2">
      <c r="A425" s="700"/>
      <c r="B425" s="16"/>
      <c r="C425" s="507"/>
      <c r="D425" s="16"/>
      <c r="E425" s="687"/>
      <c r="F425" s="16"/>
      <c r="G425" s="687"/>
      <c r="H425" s="16"/>
      <c r="I425" s="687"/>
      <c r="J425" s="16"/>
      <c r="K425" s="687"/>
      <c r="L425" s="16"/>
      <c r="M425" s="687"/>
      <c r="N425" s="16"/>
      <c r="O425" s="687"/>
      <c r="P425" s="16"/>
      <c r="Q425" s="687"/>
      <c r="R425" s="16"/>
      <c r="S425" s="687"/>
      <c r="T425" s="16"/>
      <c r="U425" s="687"/>
      <c r="V425" s="16"/>
      <c r="W425" s="687"/>
      <c r="X425" s="16"/>
      <c r="Y425" s="687"/>
      <c r="Z425" s="16"/>
      <c r="AA425" s="687"/>
      <c r="AB425" s="16"/>
      <c r="AC425" s="687"/>
      <c r="AD425" s="16"/>
      <c r="AE425" s="687"/>
      <c r="AF425" s="16"/>
      <c r="AG425" s="687"/>
      <c r="AH425" s="16"/>
      <c r="AI425" s="507"/>
      <c r="AJ425" s="16"/>
      <c r="AK425" s="507"/>
      <c r="AL425" s="16"/>
      <c r="AM425" s="507"/>
      <c r="AN425" s="16"/>
      <c r="AO425" s="507"/>
      <c r="AP425" s="16"/>
      <c r="AQ425" s="507"/>
      <c r="AR425" s="16"/>
      <c r="AS425" s="507"/>
      <c r="AT425" s="16"/>
      <c r="AU425" s="507"/>
      <c r="AV425" s="16"/>
      <c r="AW425" s="507"/>
      <c r="AX425" s="16"/>
      <c r="AY425" s="507"/>
      <c r="AZ425" s="16"/>
      <c r="BA425" s="507"/>
      <c r="BB425" s="16"/>
      <c r="BC425" s="507"/>
      <c r="BD425" s="16"/>
      <c r="BE425" s="507"/>
      <c r="BF425" s="16"/>
      <c r="BG425" s="507"/>
      <c r="BH425" s="16"/>
      <c r="BI425" s="507"/>
      <c r="BJ425" s="16"/>
      <c r="BK425" s="507"/>
      <c r="BL425" s="16"/>
      <c r="BM425" s="507"/>
      <c r="BN425" s="16"/>
      <c r="BO425" s="507"/>
      <c r="BP425" s="16"/>
      <c r="BQ425" s="507"/>
      <c r="BR425" s="16"/>
      <c r="BS425" s="507"/>
      <c r="BT425" s="16"/>
      <c r="BU425" s="507"/>
      <c r="BV425" s="16"/>
      <c r="BW425" s="507"/>
      <c r="BX425" s="16"/>
      <c r="BY425" s="507"/>
      <c r="BZ425" s="16"/>
      <c r="CA425" s="507"/>
      <c r="CB425" s="16"/>
      <c r="CC425" s="507"/>
      <c r="CD425" s="16"/>
      <c r="CE425" s="507"/>
      <c r="CF425" s="16"/>
      <c r="CG425" s="507"/>
      <c r="CH425" s="16"/>
      <c r="CI425" s="507"/>
      <c r="CJ425" s="16"/>
      <c r="CK425" s="507"/>
      <c r="CL425" s="16"/>
      <c r="CM425" s="507"/>
      <c r="CN425" s="16"/>
      <c r="CO425" s="507"/>
      <c r="CP425" s="16"/>
      <c r="CQ425" s="507"/>
      <c r="CR425" s="16"/>
      <c r="CS425" s="507"/>
      <c r="CT425" s="16"/>
      <c r="CU425" s="507"/>
      <c r="CV425" s="16"/>
      <c r="CW425" s="507"/>
      <c r="CX425" s="16"/>
      <c r="CY425" s="507"/>
      <c r="CZ425" s="16"/>
      <c r="DA425" s="507"/>
      <c r="DB425" s="507"/>
      <c r="DC425" s="16"/>
      <c r="DD425" s="687"/>
      <c r="DE425" s="16"/>
      <c r="DF425" s="687"/>
      <c r="DG425" s="16"/>
      <c r="DH425" s="687"/>
      <c r="DI425" s="16"/>
      <c r="DJ425" s="687"/>
      <c r="DK425" s="16"/>
      <c r="DL425" s="507"/>
      <c r="DM425" s="16"/>
      <c r="DN425" s="507"/>
      <c r="DO425" s="16"/>
      <c r="DP425" s="507"/>
      <c r="DQ425" s="16"/>
      <c r="DR425" s="507"/>
      <c r="DS425" s="16"/>
      <c r="DT425" s="507"/>
      <c r="DU425" s="16"/>
      <c r="DV425" s="507"/>
      <c r="DW425" s="16"/>
      <c r="DX425" s="507"/>
      <c r="DY425" s="16"/>
      <c r="DZ425" s="507"/>
      <c r="EA425" s="16"/>
      <c r="EB425" s="507"/>
      <c r="EC425" s="16"/>
      <c r="ED425" s="507"/>
      <c r="EE425" s="16"/>
      <c r="EF425" s="507"/>
      <c r="EG425" s="16"/>
      <c r="EH425" s="507"/>
      <c r="EI425" s="16"/>
      <c r="EJ425" s="507"/>
      <c r="EK425" s="16"/>
      <c r="EL425" s="507"/>
      <c r="EM425" s="687"/>
    </row>
    <row r="426" spans="1:143" ht="12.75" hidden="1" customHeight="1" outlineLevel="2" x14ac:dyDescent="0.2">
      <c r="A426" s="700" t="s">
        <v>636</v>
      </c>
      <c r="B426" s="16"/>
      <c r="C426" s="507"/>
      <c r="D426" s="16"/>
      <c r="E426" s="687"/>
      <c r="F426" s="16"/>
      <c r="G426" s="687"/>
      <c r="H426" s="16"/>
      <c r="I426" s="687"/>
      <c r="J426" s="16"/>
      <c r="K426" s="687"/>
      <c r="L426" s="16"/>
      <c r="M426" s="687"/>
      <c r="N426" s="16"/>
      <c r="O426" s="687"/>
      <c r="P426" s="16"/>
      <c r="Q426" s="687"/>
      <c r="R426" s="16"/>
      <c r="S426" s="687"/>
      <c r="T426" s="16"/>
      <c r="U426" s="687"/>
      <c r="V426" s="16"/>
      <c r="W426" s="687"/>
      <c r="X426" s="16"/>
      <c r="Y426" s="687"/>
      <c r="Z426" s="16"/>
      <c r="AA426" s="687"/>
      <c r="AB426" s="16"/>
      <c r="AC426" s="687"/>
      <c r="AD426" s="16"/>
      <c r="AE426" s="687"/>
      <c r="AF426" s="16"/>
      <c r="AG426" s="687"/>
      <c r="AH426" s="16"/>
      <c r="AI426" s="507"/>
      <c r="AJ426" s="16"/>
      <c r="AK426" s="507"/>
      <c r="AL426" s="16"/>
      <c r="AM426" s="507"/>
      <c r="AN426" s="16"/>
      <c r="AO426" s="507"/>
      <c r="AP426" s="16"/>
      <c r="AQ426" s="507"/>
      <c r="AR426" s="16"/>
      <c r="AS426" s="507"/>
      <c r="AT426" s="16"/>
      <c r="AU426" s="507"/>
      <c r="AV426" s="16"/>
      <c r="AW426" s="507"/>
      <c r="AX426" s="16"/>
      <c r="AY426" s="507"/>
      <c r="AZ426" s="16"/>
      <c r="BA426" s="507"/>
      <c r="BB426" s="16"/>
      <c r="BC426" s="507"/>
      <c r="BD426" s="16"/>
      <c r="BE426" s="507"/>
      <c r="BF426" s="16"/>
      <c r="BG426" s="507"/>
      <c r="BH426" s="16"/>
      <c r="BI426" s="507"/>
      <c r="BJ426" s="16"/>
      <c r="BK426" s="507"/>
      <c r="BL426" s="16"/>
      <c r="BM426" s="507"/>
      <c r="BN426" s="16"/>
      <c r="BO426" s="507"/>
      <c r="BP426" s="16"/>
      <c r="BQ426" s="507"/>
      <c r="BR426" s="16"/>
      <c r="BS426" s="507"/>
      <c r="BT426" s="16"/>
      <c r="BU426" s="507"/>
      <c r="BV426" s="16"/>
      <c r="BW426" s="507"/>
      <c r="BX426" s="16"/>
      <c r="BY426" s="507"/>
      <c r="BZ426" s="16"/>
      <c r="CA426" s="507"/>
      <c r="CB426" s="16"/>
      <c r="CC426" s="507"/>
      <c r="CD426" s="16"/>
      <c r="CE426" s="507"/>
      <c r="CF426" s="16"/>
      <c r="CG426" s="507"/>
      <c r="CH426" s="16"/>
      <c r="CI426" s="507"/>
      <c r="CJ426" s="16"/>
      <c r="CK426" s="507"/>
      <c r="CL426" s="16"/>
      <c r="CM426" s="507"/>
      <c r="CN426" s="16"/>
      <c r="CO426" s="507"/>
      <c r="CP426" s="16"/>
      <c r="CQ426" s="507"/>
      <c r="CR426" s="16"/>
      <c r="CS426" s="507"/>
      <c r="CT426" s="16"/>
      <c r="CU426" s="507"/>
      <c r="CV426" s="16"/>
      <c r="CW426" s="507"/>
      <c r="CX426" s="16"/>
      <c r="CY426" s="507"/>
      <c r="CZ426" s="16"/>
      <c r="DA426" s="507"/>
      <c r="DB426" s="507"/>
      <c r="DC426" s="16"/>
      <c r="DD426" s="687"/>
      <c r="DE426" s="16"/>
      <c r="DF426" s="687"/>
      <c r="DG426" s="16"/>
      <c r="DH426" s="687"/>
      <c r="DI426" s="16"/>
      <c r="DJ426" s="687"/>
      <c r="DK426" s="16"/>
      <c r="DL426" s="507"/>
      <c r="DM426" s="16"/>
      <c r="DN426" s="507"/>
      <c r="DO426" s="16"/>
      <c r="DP426" s="507"/>
      <c r="DQ426" s="16"/>
      <c r="DR426" s="507"/>
      <c r="DS426" s="16"/>
      <c r="DT426" s="507"/>
      <c r="DU426" s="16"/>
      <c r="DV426" s="507"/>
      <c r="DW426" s="16"/>
      <c r="DX426" s="507"/>
      <c r="DY426" s="16"/>
      <c r="DZ426" s="507"/>
      <c r="EA426" s="16"/>
      <c r="EB426" s="507"/>
      <c r="EC426" s="16"/>
      <c r="ED426" s="507"/>
      <c r="EE426" s="16"/>
      <c r="EF426" s="507"/>
      <c r="EG426" s="16"/>
      <c r="EH426" s="507"/>
      <c r="EI426" s="16"/>
      <c r="EJ426" s="507"/>
      <c r="EK426" s="16"/>
      <c r="EL426" s="507"/>
      <c r="EM426" s="687"/>
    </row>
    <row r="427" spans="1:143" ht="12.75" hidden="1" customHeight="1" outlineLevel="2" x14ac:dyDescent="0.2">
      <c r="A427" s="718" t="str">
        <f>INPUT!B434</f>
        <v>After-Tax Operating Margin (%)</v>
      </c>
      <c r="B427" s="156">
        <f>INPUT!AY434</f>
        <v>15.338129496402878</v>
      </c>
      <c r="C427" s="507">
        <f>INPUT!AZ434</f>
        <v>14.034328668670181</v>
      </c>
      <c r="D427" s="156">
        <f>INPUT!BA434</f>
        <v>11.881918819188183</v>
      </c>
      <c r="E427" s="687">
        <f>INPUT!BB434</f>
        <v>-9.2063903095172428</v>
      </c>
      <c r="F427" s="156">
        <f>INPUT!BC434</f>
        <v>11.424619640387274</v>
      </c>
      <c r="G427" s="687">
        <f>INPUT!BD434</f>
        <v>22.850512451026226</v>
      </c>
      <c r="H427" s="156">
        <f>INPUT!BE434</f>
        <v>11.627358490566035</v>
      </c>
      <c r="I427" s="687">
        <f>INPUT!BF434</f>
        <v>-46.00966525554405</v>
      </c>
      <c r="J427" s="156">
        <f>INPUT!BG434</f>
        <v>11.90738699007718</v>
      </c>
      <c r="K427" s="687">
        <f>INPUT!BH434</f>
        <v>-22.367411274825145</v>
      </c>
      <c r="L427" s="156">
        <f>INPUT!BI434</f>
        <v>12.648648648648647</v>
      </c>
      <c r="M427" s="687">
        <f>INPUT!BJ434</f>
        <v>6.4529125398691267</v>
      </c>
      <c r="N427" s="156">
        <f>INPUT!BK434</f>
        <v>11.724915445321322</v>
      </c>
      <c r="O427" s="687">
        <f>INPUT!BL434</f>
        <v>2.6284971787810862</v>
      </c>
      <c r="P427" s="156">
        <f>INPUT!BM434</f>
        <v>13.00813008130082</v>
      </c>
      <c r="Q427" s="687">
        <f>INPUT!BN434</f>
        <v>11.875195831065909</v>
      </c>
      <c r="R427" s="156">
        <f>INPUT!BO434</f>
        <v>12.602100350058357</v>
      </c>
      <c r="S427" s="687">
        <f>INPUT!BP434</f>
        <v>5.8343057176196922</v>
      </c>
      <c r="T427" s="156">
        <f>INPUT!BQ434</f>
        <v>18.386108273748714</v>
      </c>
      <c r="U427" s="687">
        <f>INPUT!BR434</f>
        <v>45.360257719808232</v>
      </c>
      <c r="V427" s="156">
        <f>INPUT!BS434</f>
        <v>15.413533834586465</v>
      </c>
      <c r="W427" s="687">
        <f>INPUT!BT434</f>
        <v>31.459658762290175</v>
      </c>
      <c r="X427" s="156">
        <f>INPUT!BU434</f>
        <v>14.596273291925478</v>
      </c>
      <c r="Y427" s="687">
        <f>INPUT!BV434</f>
        <v>12.208850931677052</v>
      </c>
      <c r="Z427" s="156">
        <f>INPUT!BW434</f>
        <v>13.080168776371309</v>
      </c>
      <c r="AA427" s="687">
        <f>INPUT!BX434</f>
        <v>3.7935614939833329</v>
      </c>
      <c r="AB427" s="156"/>
      <c r="AC427" s="687"/>
      <c r="AD427" s="156"/>
      <c r="AE427" s="687"/>
      <c r="AF427" s="156"/>
      <c r="AG427" s="687"/>
      <c r="AH427" s="156"/>
      <c r="AI427" s="507"/>
      <c r="AJ427" s="156"/>
      <c r="AK427" s="507"/>
      <c r="AL427" s="156"/>
      <c r="AM427" s="507"/>
      <c r="AN427" s="156"/>
      <c r="AO427" s="507"/>
      <c r="AP427" s="156"/>
      <c r="AQ427" s="507"/>
      <c r="AR427" s="156"/>
      <c r="AS427" s="507"/>
      <c r="AT427" s="156"/>
      <c r="AU427" s="507"/>
      <c r="AV427" s="156"/>
      <c r="AW427" s="507"/>
      <c r="AX427" s="156"/>
      <c r="AY427" s="507"/>
      <c r="AZ427" s="156"/>
      <c r="BA427" s="507"/>
      <c r="BB427" s="156"/>
      <c r="BC427" s="507"/>
      <c r="BD427" s="156"/>
      <c r="BE427" s="507"/>
      <c r="BF427" s="156"/>
      <c r="BG427" s="507"/>
      <c r="BH427" s="156"/>
      <c r="BI427" s="507"/>
      <c r="BJ427" s="156"/>
      <c r="BK427" s="507"/>
      <c r="BL427" s="156"/>
      <c r="BM427" s="507"/>
      <c r="BN427" s="156"/>
      <c r="BO427" s="507"/>
      <c r="BP427" s="156"/>
      <c r="BQ427" s="507"/>
      <c r="BR427" s="156"/>
      <c r="BS427" s="507"/>
      <c r="BT427" s="156"/>
      <c r="BU427" s="507"/>
      <c r="BV427" s="156"/>
      <c r="BW427" s="507"/>
      <c r="BX427" s="156"/>
      <c r="BY427" s="507"/>
      <c r="BZ427" s="156"/>
      <c r="CA427" s="507"/>
      <c r="CB427" s="156"/>
      <c r="CC427" s="507"/>
      <c r="CD427" s="156"/>
      <c r="CE427" s="507"/>
      <c r="CF427" s="156"/>
      <c r="CG427" s="507"/>
      <c r="CH427" s="156"/>
      <c r="CI427" s="507"/>
      <c r="CJ427" s="156"/>
      <c r="CK427" s="507"/>
      <c r="CL427" s="156"/>
      <c r="CM427" s="507"/>
      <c r="CN427" s="156"/>
      <c r="CO427" s="507"/>
      <c r="CP427" s="156"/>
      <c r="CQ427" s="507"/>
      <c r="CR427" s="156"/>
      <c r="CS427" s="507"/>
      <c r="CT427" s="156"/>
      <c r="CU427" s="507"/>
      <c r="CV427" s="156"/>
      <c r="CW427" s="507"/>
      <c r="CX427" s="156"/>
      <c r="CY427" s="507"/>
      <c r="CZ427" s="156"/>
      <c r="DA427" s="507"/>
      <c r="DB427" s="507"/>
      <c r="DC427" s="156">
        <f>INPUT!FP434</f>
        <v>13.595374996072533</v>
      </c>
      <c r="DD427" s="687">
        <f>INPUT!FQ434</f>
        <v>6.736166540266697</v>
      </c>
      <c r="DE427" s="156">
        <f>INPUT!FR434</f>
        <v>12.536537836960044</v>
      </c>
      <c r="DF427" s="687">
        <f>INPUT!FS434</f>
        <v>-7.7882159147384167</v>
      </c>
      <c r="DG427" s="156">
        <f>INPUT!FT434</f>
        <v>12.341344855522539</v>
      </c>
      <c r="DH427" s="687">
        <f>INPUT!FU434</f>
        <v>-1.556992719808481</v>
      </c>
      <c r="DI427" s="156">
        <f>INPUT!FV434</f>
        <v>15.40573520439292</v>
      </c>
      <c r="DJ427" s="687">
        <f>INPUT!FW434</f>
        <v>24.830278909993496</v>
      </c>
      <c r="DK427" s="156"/>
      <c r="DL427" s="507"/>
      <c r="DM427" s="156"/>
      <c r="DN427" s="507"/>
      <c r="DO427" s="156"/>
      <c r="DP427" s="507"/>
      <c r="DQ427" s="156"/>
      <c r="DR427" s="507"/>
      <c r="DS427" s="156"/>
      <c r="DT427" s="507"/>
      <c r="DU427" s="156"/>
      <c r="DV427" s="507"/>
      <c r="DW427" s="156"/>
      <c r="DX427" s="507"/>
      <c r="DY427" s="156"/>
      <c r="DZ427" s="507"/>
      <c r="EA427" s="156"/>
      <c r="EB427" s="507"/>
      <c r="EC427" s="156"/>
      <c r="ED427" s="507"/>
      <c r="EE427" s="156"/>
      <c r="EF427" s="507"/>
      <c r="EG427" s="156"/>
      <c r="EH427" s="507"/>
      <c r="EI427" s="156"/>
      <c r="EJ427" s="507"/>
      <c r="EK427" s="156"/>
      <c r="EL427" s="507"/>
      <c r="EM427" s="687"/>
    </row>
    <row r="428" spans="1:143" ht="12.75" hidden="1" customHeight="1" outlineLevel="2" x14ac:dyDescent="0.2">
      <c r="A428" s="701"/>
      <c r="B428" s="16"/>
      <c r="C428" s="507"/>
      <c r="D428" s="16"/>
      <c r="E428" s="687"/>
      <c r="F428" s="16"/>
      <c r="G428" s="687"/>
      <c r="H428" s="16"/>
      <c r="I428" s="687"/>
      <c r="J428" s="16"/>
      <c r="K428" s="687"/>
      <c r="L428" s="16"/>
      <c r="M428" s="687"/>
      <c r="N428" s="16"/>
      <c r="O428" s="687"/>
      <c r="P428" s="16"/>
      <c r="Q428" s="687"/>
      <c r="R428" s="16"/>
      <c r="S428" s="687"/>
      <c r="T428" s="16"/>
      <c r="U428" s="687"/>
      <c r="V428" s="16"/>
      <c r="W428" s="687"/>
      <c r="X428" s="16"/>
      <c r="Y428" s="687"/>
      <c r="Z428" s="16"/>
      <c r="AA428" s="687"/>
      <c r="AB428" s="16"/>
      <c r="AC428" s="687"/>
      <c r="AD428" s="16"/>
      <c r="AE428" s="687"/>
      <c r="AF428" s="16"/>
      <c r="AG428" s="687"/>
      <c r="AH428" s="16"/>
      <c r="AI428" s="507"/>
      <c r="AJ428" s="16"/>
      <c r="AK428" s="507"/>
      <c r="AL428" s="16"/>
      <c r="AM428" s="507"/>
      <c r="AN428" s="16"/>
      <c r="AO428" s="507"/>
      <c r="AP428" s="16"/>
      <c r="AQ428" s="507"/>
      <c r="AR428" s="16"/>
      <c r="AS428" s="507"/>
      <c r="AT428" s="16"/>
      <c r="AU428" s="507"/>
      <c r="AV428" s="16"/>
      <c r="AW428" s="507"/>
      <c r="AX428" s="16"/>
      <c r="AY428" s="507"/>
      <c r="AZ428" s="16"/>
      <c r="BA428" s="507"/>
      <c r="BB428" s="16"/>
      <c r="BC428" s="507"/>
      <c r="BD428" s="16"/>
      <c r="BE428" s="507"/>
      <c r="BF428" s="16"/>
      <c r="BG428" s="507"/>
      <c r="BH428" s="16"/>
      <c r="BI428" s="507"/>
      <c r="BJ428" s="16"/>
      <c r="BK428" s="507"/>
      <c r="BL428" s="16"/>
      <c r="BM428" s="507"/>
      <c r="BN428" s="16"/>
      <c r="BO428" s="507"/>
      <c r="BP428" s="16"/>
      <c r="BQ428" s="507"/>
      <c r="BR428" s="16"/>
      <c r="BS428" s="507"/>
      <c r="BT428" s="16"/>
      <c r="BU428" s="507"/>
      <c r="BV428" s="16"/>
      <c r="BW428" s="507"/>
      <c r="BX428" s="16"/>
      <c r="BY428" s="507"/>
      <c r="BZ428" s="16"/>
      <c r="CA428" s="507"/>
      <c r="CB428" s="16"/>
      <c r="CC428" s="507"/>
      <c r="CD428" s="16"/>
      <c r="CE428" s="507"/>
      <c r="CF428" s="16"/>
      <c r="CG428" s="507"/>
      <c r="CH428" s="16"/>
      <c r="CI428" s="507"/>
      <c r="CJ428" s="16"/>
      <c r="CK428" s="507"/>
      <c r="CL428" s="16"/>
      <c r="CM428" s="507"/>
      <c r="CN428" s="16"/>
      <c r="CO428" s="507"/>
      <c r="CP428" s="16"/>
      <c r="CQ428" s="507"/>
      <c r="CR428" s="16"/>
      <c r="CS428" s="507"/>
      <c r="CT428" s="16"/>
      <c r="CU428" s="507"/>
      <c r="CV428" s="16"/>
      <c r="CW428" s="507"/>
      <c r="CX428" s="16"/>
      <c r="CY428" s="507"/>
      <c r="CZ428" s="16"/>
      <c r="DA428" s="507"/>
      <c r="DB428" s="507"/>
      <c r="DC428" s="16"/>
      <c r="DD428" s="687"/>
      <c r="DE428" s="16"/>
      <c r="DF428" s="687"/>
      <c r="DG428" s="16"/>
      <c r="DH428" s="687"/>
      <c r="DI428" s="16"/>
      <c r="DJ428" s="687"/>
      <c r="DK428" s="16"/>
      <c r="DL428" s="507"/>
      <c r="DM428" s="16"/>
      <c r="DN428" s="507"/>
      <c r="DO428" s="16"/>
      <c r="DP428" s="507"/>
      <c r="DQ428" s="16"/>
      <c r="DR428" s="507"/>
      <c r="DS428" s="16"/>
      <c r="DT428" s="507"/>
      <c r="DU428" s="16"/>
      <c r="DV428" s="507"/>
      <c r="DW428" s="16"/>
      <c r="DX428" s="507"/>
      <c r="DY428" s="16"/>
      <c r="DZ428" s="507"/>
      <c r="EA428" s="16"/>
      <c r="EB428" s="507"/>
      <c r="EC428" s="16"/>
      <c r="ED428" s="507"/>
      <c r="EE428" s="16"/>
      <c r="EF428" s="507"/>
      <c r="EG428" s="16"/>
      <c r="EH428" s="507"/>
      <c r="EI428" s="16"/>
      <c r="EJ428" s="507"/>
      <c r="EK428" s="16"/>
      <c r="EL428" s="507"/>
      <c r="EM428" s="687"/>
    </row>
    <row r="429" spans="1:143" ht="12.75" hidden="1" customHeight="1" outlineLevel="2" x14ac:dyDescent="0.2">
      <c r="A429" s="701" t="str">
        <f>INPUT!B409</f>
        <v>Mortality and Expense Fees</v>
      </c>
      <c r="B429" s="151">
        <f>INPUT!AY409</f>
        <v>35.9</v>
      </c>
      <c r="C429" s="507">
        <f>INPUT!AZ409</f>
        <v>-9.5717884130982469</v>
      </c>
      <c r="D429" s="151">
        <f>INPUT!BA409</f>
        <v>43.6</v>
      </c>
      <c r="E429" s="687">
        <f>INPUT!BB409</f>
        <v>2.8301886792452935</v>
      </c>
      <c r="F429" s="151">
        <f>INPUT!BC409</f>
        <v>32.599999999999994</v>
      </c>
      <c r="G429" s="687">
        <f>INPUT!BD409</f>
        <v>-49.846153846153854</v>
      </c>
      <c r="H429" s="151">
        <f>INPUT!BE409</f>
        <v>45.8</v>
      </c>
      <c r="I429" s="687">
        <f>INPUT!BF409</f>
        <v>56.31399317406143</v>
      </c>
      <c r="J429" s="151">
        <f>INPUT!BG409</f>
        <v>47.2</v>
      </c>
      <c r="K429" s="687">
        <f>INPUT!BH409</f>
        <v>31.47632311977717</v>
      </c>
      <c r="L429" s="151">
        <f>INPUT!BI409</f>
        <v>48.8</v>
      </c>
      <c r="M429" s="687">
        <f>INPUT!BJ409</f>
        <v>11.926605504587151</v>
      </c>
      <c r="N429" s="151">
        <f>INPUT!BK409</f>
        <v>42.2</v>
      </c>
      <c r="O429" s="687">
        <f>INPUT!BL409</f>
        <v>29.447852760736225</v>
      </c>
      <c r="P429" s="151">
        <f>INPUT!BM409</f>
        <v>55.7</v>
      </c>
      <c r="Q429" s="687">
        <f>INPUT!BN409</f>
        <v>21.61572052401748</v>
      </c>
      <c r="R429" s="151">
        <f>INPUT!BO409</f>
        <v>46.2</v>
      </c>
      <c r="S429" s="687">
        <f>INPUT!BP409</f>
        <v>-2.1186440677966045</v>
      </c>
      <c r="T429" s="151">
        <f>INPUT!BQ409</f>
        <v>51.7</v>
      </c>
      <c r="U429" s="687">
        <f>INPUT!BR409</f>
        <v>5.9426229508196871</v>
      </c>
      <c r="V429" s="151">
        <f>INPUT!BS409</f>
        <v>39.799999999999997</v>
      </c>
      <c r="W429" s="687">
        <f>INPUT!BT409</f>
        <v>-5.6872037914692086</v>
      </c>
      <c r="X429" s="151">
        <f>INPUT!BU409</f>
        <v>33.6</v>
      </c>
      <c r="Y429" s="687">
        <f>INPUT!BV409</f>
        <v>-39.67684021543986</v>
      </c>
      <c r="Z429" s="151">
        <f>INPUT!BW409</f>
        <v>23.7</v>
      </c>
      <c r="AA429" s="687">
        <f>INPUT!BX409</f>
        <v>-48.701298701298704</v>
      </c>
      <c r="AB429" s="151"/>
      <c r="AC429" s="687"/>
      <c r="AD429" s="151"/>
      <c r="AE429" s="687"/>
      <c r="AF429" s="151"/>
      <c r="AG429" s="687"/>
      <c r="AH429" s="151"/>
      <c r="AI429" s="507"/>
      <c r="AJ429" s="151"/>
      <c r="AK429" s="507"/>
      <c r="AL429" s="151"/>
      <c r="AM429" s="507"/>
      <c r="AN429" s="151"/>
      <c r="AO429" s="507"/>
      <c r="AP429" s="151"/>
      <c r="AQ429" s="507"/>
      <c r="AR429" s="151"/>
      <c r="AS429" s="507"/>
      <c r="AT429" s="151"/>
      <c r="AU429" s="507"/>
      <c r="AV429" s="151"/>
      <c r="AW429" s="507"/>
      <c r="AX429" s="151"/>
      <c r="AY429" s="507"/>
      <c r="AZ429" s="151"/>
      <c r="BA429" s="507"/>
      <c r="BB429" s="151"/>
      <c r="BC429" s="507"/>
      <c r="BD429" s="151"/>
      <c r="BE429" s="507"/>
      <c r="BF429" s="151"/>
      <c r="BG429" s="507"/>
      <c r="BH429" s="151"/>
      <c r="BI429" s="507"/>
      <c r="BJ429" s="151"/>
      <c r="BK429" s="507"/>
      <c r="BL429" s="151"/>
      <c r="BM429" s="507"/>
      <c r="BN429" s="151"/>
      <c r="BO429" s="507"/>
      <c r="BP429" s="151"/>
      <c r="BQ429" s="507"/>
      <c r="BR429" s="151"/>
      <c r="BS429" s="507"/>
      <c r="BT429" s="151"/>
      <c r="BU429" s="507"/>
      <c r="BV429" s="151"/>
      <c r="BW429" s="507"/>
      <c r="BX429" s="151"/>
      <c r="BY429" s="507"/>
      <c r="BZ429" s="151"/>
      <c r="CA429" s="507"/>
      <c r="CB429" s="151"/>
      <c r="CC429" s="507"/>
      <c r="CD429" s="151"/>
      <c r="CE429" s="507"/>
      <c r="CF429" s="151"/>
      <c r="CG429" s="507"/>
      <c r="CH429" s="151"/>
      <c r="CI429" s="507"/>
      <c r="CJ429" s="151"/>
      <c r="CK429" s="507"/>
      <c r="CL429" s="151"/>
      <c r="CM429" s="507"/>
      <c r="CN429" s="151"/>
      <c r="CO429" s="507"/>
      <c r="CP429" s="151"/>
      <c r="CQ429" s="507"/>
      <c r="CR429" s="151"/>
      <c r="CS429" s="507"/>
      <c r="CT429" s="151"/>
      <c r="CU429" s="507"/>
      <c r="CV429" s="151"/>
      <c r="CW429" s="507"/>
      <c r="CX429" s="151"/>
      <c r="CY429" s="507"/>
      <c r="CZ429" s="151"/>
      <c r="DA429" s="507"/>
      <c r="DB429" s="507"/>
      <c r="DC429" s="151">
        <f>INPUT!FP409</f>
        <v>176.4</v>
      </c>
      <c r="DD429" s="687">
        <f>INPUT!FQ409</f>
        <v>-10.137544574630653</v>
      </c>
      <c r="DE429" s="151">
        <f>INPUT!FR409</f>
        <v>157.89999999999998</v>
      </c>
      <c r="DF429" s="687">
        <f>INPUT!FS409</f>
        <v>-10.487528344671215</v>
      </c>
      <c r="DG429" s="151">
        <f>INPUT!FT409</f>
        <v>193.89999999999998</v>
      </c>
      <c r="DH429" s="687">
        <f>INPUT!FU409</f>
        <v>22.799240025332491</v>
      </c>
      <c r="DI429" s="151">
        <f>INPUT!FV409</f>
        <v>171.29999999999998</v>
      </c>
      <c r="DJ429" s="687">
        <f>INPUT!FW409</f>
        <v>-11.655492521918509</v>
      </c>
      <c r="DK429" s="151"/>
      <c r="DL429" s="507"/>
      <c r="DM429" s="151"/>
      <c r="DN429" s="507"/>
      <c r="DO429" s="151"/>
      <c r="DP429" s="507"/>
      <c r="DQ429" s="151"/>
      <c r="DR429" s="507"/>
      <c r="DS429" s="151"/>
      <c r="DT429" s="507"/>
      <c r="DU429" s="151"/>
      <c r="DV429" s="507"/>
      <c r="DW429" s="151"/>
      <c r="DX429" s="507"/>
      <c r="DY429" s="151"/>
      <c r="DZ429" s="507"/>
      <c r="EA429" s="151"/>
      <c r="EB429" s="507"/>
      <c r="EC429" s="151"/>
      <c r="ED429" s="507"/>
      <c r="EE429" s="151"/>
      <c r="EF429" s="507"/>
      <c r="EG429" s="151"/>
      <c r="EH429" s="507"/>
      <c r="EI429" s="151"/>
      <c r="EJ429" s="507"/>
      <c r="EK429" s="151"/>
      <c r="EL429" s="507"/>
      <c r="EM429" s="687"/>
    </row>
    <row r="430" spans="1:143" ht="12.75" hidden="1" customHeight="1" outlineLevel="2" x14ac:dyDescent="0.2">
      <c r="A430" s="701"/>
      <c r="B430" s="16"/>
      <c r="C430" s="507"/>
      <c r="D430" s="16"/>
      <c r="E430" s="687"/>
      <c r="F430" s="16"/>
      <c r="G430" s="687"/>
      <c r="H430" s="16"/>
      <c r="I430" s="687"/>
      <c r="J430" s="16"/>
      <c r="K430" s="687"/>
      <c r="L430" s="16"/>
      <c r="M430" s="687"/>
      <c r="N430" s="16"/>
      <c r="O430" s="687"/>
      <c r="P430" s="16"/>
      <c r="Q430" s="687"/>
      <c r="R430" s="16"/>
      <c r="S430" s="687"/>
      <c r="T430" s="16"/>
      <c r="U430" s="687"/>
      <c r="V430" s="16"/>
      <c r="W430" s="687"/>
      <c r="X430" s="16"/>
      <c r="Y430" s="687"/>
      <c r="Z430" s="16"/>
      <c r="AA430" s="687"/>
      <c r="AB430" s="16"/>
      <c r="AC430" s="687"/>
      <c r="AD430" s="16"/>
      <c r="AE430" s="687"/>
      <c r="AF430" s="16"/>
      <c r="AG430" s="687"/>
      <c r="AH430" s="16"/>
      <c r="AI430" s="507"/>
      <c r="AJ430" s="16"/>
      <c r="AK430" s="507"/>
      <c r="AL430" s="16"/>
      <c r="AM430" s="507"/>
      <c r="AN430" s="16"/>
      <c r="AO430" s="507"/>
      <c r="AP430" s="16"/>
      <c r="AQ430" s="507"/>
      <c r="AR430" s="16"/>
      <c r="AS430" s="507"/>
      <c r="AT430" s="16"/>
      <c r="AU430" s="507"/>
      <c r="AV430" s="16"/>
      <c r="AW430" s="507"/>
      <c r="AX430" s="16"/>
      <c r="AY430" s="507"/>
      <c r="AZ430" s="16"/>
      <c r="BA430" s="507"/>
      <c r="BB430" s="16"/>
      <c r="BC430" s="507"/>
      <c r="BD430" s="16"/>
      <c r="BE430" s="507"/>
      <c r="BF430" s="16"/>
      <c r="BG430" s="507"/>
      <c r="BH430" s="16"/>
      <c r="BI430" s="507"/>
      <c r="BJ430" s="16"/>
      <c r="BK430" s="507"/>
      <c r="BL430" s="16"/>
      <c r="BM430" s="507"/>
      <c r="BN430" s="16"/>
      <c r="BO430" s="507"/>
      <c r="BP430" s="16"/>
      <c r="BQ430" s="507"/>
      <c r="BR430" s="16"/>
      <c r="BS430" s="507"/>
      <c r="BT430" s="16"/>
      <c r="BU430" s="507"/>
      <c r="BV430" s="16"/>
      <c r="BW430" s="507"/>
      <c r="BX430" s="16"/>
      <c r="BY430" s="507"/>
      <c r="BZ430" s="16"/>
      <c r="CA430" s="507"/>
      <c r="CB430" s="16"/>
      <c r="CC430" s="507"/>
      <c r="CD430" s="16"/>
      <c r="CE430" s="507"/>
      <c r="CF430" s="16"/>
      <c r="CG430" s="507"/>
      <c r="CH430" s="16"/>
      <c r="CI430" s="507"/>
      <c r="CJ430" s="16"/>
      <c r="CK430" s="507"/>
      <c r="CL430" s="16"/>
      <c r="CM430" s="507"/>
      <c r="CN430" s="16"/>
      <c r="CO430" s="507"/>
      <c r="CP430" s="16"/>
      <c r="CQ430" s="507"/>
      <c r="CR430" s="16"/>
      <c r="CS430" s="507"/>
      <c r="CT430" s="16"/>
      <c r="CU430" s="507"/>
      <c r="CV430" s="16"/>
      <c r="CW430" s="507"/>
      <c r="CX430" s="16"/>
      <c r="CY430" s="507"/>
      <c r="CZ430" s="16"/>
      <c r="DA430" s="507"/>
      <c r="DB430" s="507"/>
      <c r="DC430" s="16"/>
      <c r="DD430" s="687"/>
      <c r="DE430" s="16"/>
      <c r="DF430" s="687"/>
      <c r="DG430" s="16"/>
      <c r="DH430" s="687"/>
      <c r="DI430" s="16"/>
      <c r="DJ430" s="687"/>
      <c r="DK430" s="16"/>
      <c r="DL430" s="507"/>
      <c r="DM430" s="16"/>
      <c r="DN430" s="507"/>
      <c r="DO430" s="16"/>
      <c r="DP430" s="507"/>
      <c r="DQ430" s="16"/>
      <c r="DR430" s="507"/>
      <c r="DS430" s="16"/>
      <c r="DT430" s="507"/>
      <c r="DU430" s="16"/>
      <c r="DV430" s="507"/>
      <c r="DW430" s="16"/>
      <c r="DX430" s="507"/>
      <c r="DY430" s="16"/>
      <c r="DZ430" s="507"/>
      <c r="EA430" s="16"/>
      <c r="EB430" s="507"/>
      <c r="EC430" s="16"/>
      <c r="ED430" s="507"/>
      <c r="EE430" s="16"/>
      <c r="EF430" s="507"/>
      <c r="EG430" s="16"/>
      <c r="EH430" s="507"/>
      <c r="EI430" s="16"/>
      <c r="EJ430" s="507"/>
      <c r="EK430" s="16"/>
      <c r="EL430" s="507"/>
      <c r="EM430" s="687"/>
    </row>
    <row r="431" spans="1:143" ht="12.75" hidden="1" customHeight="1" outlineLevel="2" x14ac:dyDescent="0.2">
      <c r="A431" s="700" t="str">
        <f>INPUT!B420</f>
        <v>Benefits and Expenses Analysis</v>
      </c>
      <c r="B431" s="16"/>
      <c r="C431" s="507"/>
      <c r="D431" s="16"/>
      <c r="E431" s="687"/>
      <c r="F431" s="16"/>
      <c r="G431" s="687"/>
      <c r="H431" s="16"/>
      <c r="I431" s="687"/>
      <c r="J431" s="16"/>
      <c r="K431" s="687"/>
      <c r="L431" s="16"/>
      <c r="M431" s="687"/>
      <c r="N431" s="16"/>
      <c r="O431" s="687"/>
      <c r="P431" s="16"/>
      <c r="Q431" s="687"/>
      <c r="R431" s="16"/>
      <c r="S431" s="687"/>
      <c r="T431" s="16"/>
      <c r="U431" s="687"/>
      <c r="V431" s="16"/>
      <c r="W431" s="687"/>
      <c r="X431" s="16"/>
      <c r="Y431" s="687"/>
      <c r="Z431" s="16"/>
      <c r="AA431" s="687"/>
      <c r="AB431" s="16"/>
      <c r="AC431" s="687"/>
      <c r="AD431" s="16"/>
      <c r="AE431" s="687"/>
      <c r="AF431" s="16"/>
      <c r="AG431" s="687"/>
      <c r="AH431" s="16"/>
      <c r="AI431" s="507"/>
      <c r="AJ431" s="16"/>
      <c r="AK431" s="507"/>
      <c r="AL431" s="16"/>
      <c r="AM431" s="507"/>
      <c r="AN431" s="16"/>
      <c r="AO431" s="507"/>
      <c r="AP431" s="16"/>
      <c r="AQ431" s="507"/>
      <c r="AR431" s="16"/>
      <c r="AS431" s="507"/>
      <c r="AT431" s="16"/>
      <c r="AU431" s="507"/>
      <c r="AV431" s="16"/>
      <c r="AW431" s="507"/>
      <c r="AX431" s="16"/>
      <c r="AY431" s="507"/>
      <c r="AZ431" s="16"/>
      <c r="BA431" s="507"/>
      <c r="BB431" s="16"/>
      <c r="BC431" s="507"/>
      <c r="BD431" s="16"/>
      <c r="BE431" s="507"/>
      <c r="BF431" s="16"/>
      <c r="BG431" s="507"/>
      <c r="BH431" s="16"/>
      <c r="BI431" s="507"/>
      <c r="BJ431" s="16"/>
      <c r="BK431" s="507"/>
      <c r="BL431" s="16"/>
      <c r="BM431" s="507"/>
      <c r="BN431" s="16"/>
      <c r="BO431" s="507"/>
      <c r="BP431" s="16"/>
      <c r="BQ431" s="507"/>
      <c r="BR431" s="16"/>
      <c r="BS431" s="507"/>
      <c r="BT431" s="16"/>
      <c r="BU431" s="507"/>
      <c r="BV431" s="16"/>
      <c r="BW431" s="507"/>
      <c r="BX431" s="16"/>
      <c r="BY431" s="507"/>
      <c r="BZ431" s="16"/>
      <c r="CA431" s="507"/>
      <c r="CB431" s="16"/>
      <c r="CC431" s="507"/>
      <c r="CD431" s="16"/>
      <c r="CE431" s="507"/>
      <c r="CF431" s="16"/>
      <c r="CG431" s="507"/>
      <c r="CH431" s="16"/>
      <c r="CI431" s="507"/>
      <c r="CJ431" s="16"/>
      <c r="CK431" s="507"/>
      <c r="CL431" s="16"/>
      <c r="CM431" s="507"/>
      <c r="CN431" s="16"/>
      <c r="CO431" s="507"/>
      <c r="CP431" s="16"/>
      <c r="CQ431" s="507"/>
      <c r="CR431" s="16"/>
      <c r="CS431" s="507"/>
      <c r="CT431" s="16"/>
      <c r="CU431" s="507"/>
      <c r="CV431" s="16"/>
      <c r="CW431" s="507"/>
      <c r="CX431" s="16"/>
      <c r="CY431" s="507"/>
      <c r="CZ431" s="16"/>
      <c r="DA431" s="507"/>
      <c r="DB431" s="507"/>
      <c r="DC431" s="16"/>
      <c r="DD431" s="687"/>
      <c r="DE431" s="16"/>
      <c r="DF431" s="687"/>
      <c r="DG431" s="16"/>
      <c r="DH431" s="687"/>
      <c r="DI431" s="16"/>
      <c r="DJ431" s="687"/>
      <c r="DK431" s="16"/>
      <c r="DL431" s="507"/>
      <c r="DM431" s="16"/>
      <c r="DN431" s="507"/>
      <c r="DO431" s="16"/>
      <c r="DP431" s="507"/>
      <c r="DQ431" s="16"/>
      <c r="DR431" s="507"/>
      <c r="DS431" s="16"/>
      <c r="DT431" s="507"/>
      <c r="DU431" s="16"/>
      <c r="DV431" s="507"/>
      <c r="DW431" s="16"/>
      <c r="DX431" s="507"/>
      <c r="DY431" s="16"/>
      <c r="DZ431" s="507"/>
      <c r="EA431" s="16"/>
      <c r="EB431" s="507"/>
      <c r="EC431" s="16"/>
      <c r="ED431" s="507"/>
      <c r="EE431" s="16"/>
      <c r="EF431" s="507"/>
      <c r="EG431" s="16"/>
      <c r="EH431" s="507"/>
      <c r="EI431" s="16"/>
      <c r="EJ431" s="507"/>
      <c r="EK431" s="16"/>
      <c r="EL431" s="507"/>
      <c r="EM431" s="687"/>
    </row>
    <row r="432" spans="1:143" ht="12.75" hidden="1" customHeight="1" outlineLevel="2" x14ac:dyDescent="0.2">
      <c r="A432" s="718" t="str">
        <f>INPUT!B421</f>
        <v>Benefits/Total Revenues (%)</v>
      </c>
      <c r="B432" s="156">
        <f>INPUT!AY421</f>
        <v>36.546762589928058</v>
      </c>
      <c r="C432" s="507">
        <f>INPUT!AZ421</f>
        <v>8.5773739574077634</v>
      </c>
      <c r="D432" s="156">
        <f>INPUT!BA421</f>
        <v>33.825338253382533</v>
      </c>
      <c r="E432" s="687">
        <f>INPUT!BB421</f>
        <v>-4.9495871302798982</v>
      </c>
      <c r="F432" s="156">
        <f>INPUT!BC421</f>
        <v>34.57814661134163</v>
      </c>
      <c r="G432" s="687">
        <f>INPUT!BD421</f>
        <v>0.13052032805409564</v>
      </c>
      <c r="H432" s="156">
        <f>INPUT!BE421</f>
        <v>35.849056603773583</v>
      </c>
      <c r="I432" s="687">
        <f>INPUT!BF421</f>
        <v>-18.524871355060036</v>
      </c>
      <c r="J432" s="156">
        <f>INPUT!BG421</f>
        <v>39.691289966923925</v>
      </c>
      <c r="K432" s="687">
        <f>INPUT!BH421</f>
        <v>8.6041201850871154</v>
      </c>
      <c r="L432" s="156">
        <f>INPUT!BI421</f>
        <v>37.189189189189186</v>
      </c>
      <c r="M432" s="687">
        <f>INPUT!BJ421</f>
        <v>9.9447665847665725</v>
      </c>
      <c r="N432" s="156">
        <f>INPUT!BK421</f>
        <v>34.047350620067633</v>
      </c>
      <c r="O432" s="687">
        <f>INPUT!BL421</f>
        <v>-1.5350620067643983</v>
      </c>
      <c r="P432" s="156">
        <f>INPUT!BM421</f>
        <v>37.499999999999993</v>
      </c>
      <c r="Q432" s="687">
        <f>INPUT!BN421</f>
        <v>4.6052631578947123</v>
      </c>
      <c r="R432" s="156">
        <f>INPUT!BO421</f>
        <v>35.822637106184359</v>
      </c>
      <c r="S432" s="687">
        <f>INPUT!BP421</f>
        <v>-9.7468559574744091</v>
      </c>
      <c r="T432" s="156">
        <f>INPUT!BQ421</f>
        <v>30.847803881511748</v>
      </c>
      <c r="U432" s="687">
        <f>INPUT!BR421</f>
        <v>-17.05169014419079</v>
      </c>
      <c r="V432" s="156">
        <f>INPUT!BS421</f>
        <v>33.208020050125313</v>
      </c>
      <c r="W432" s="687">
        <f>INPUT!BT421</f>
        <v>-2.4651861441683409</v>
      </c>
      <c r="X432" s="156">
        <f>INPUT!BU421</f>
        <v>30.900621118012417</v>
      </c>
      <c r="Y432" s="687">
        <f>INPUT!BV421</f>
        <v>-17.598343685300211</v>
      </c>
      <c r="Z432" s="156">
        <f>INPUT!BW421</f>
        <v>38.81856540084388</v>
      </c>
      <c r="AA432" s="687">
        <f>INPUT!BX421</f>
        <v>8.3632265424208754</v>
      </c>
      <c r="AB432" s="156"/>
      <c r="AC432" s="687"/>
      <c r="AD432" s="156"/>
      <c r="AE432" s="687"/>
      <c r="AF432" s="156"/>
      <c r="AG432" s="687"/>
      <c r="AH432" s="156"/>
      <c r="AI432" s="507"/>
      <c r="AJ432" s="156"/>
      <c r="AK432" s="507"/>
      <c r="AL432" s="156"/>
      <c r="AM432" s="507"/>
      <c r="AN432" s="156"/>
      <c r="AO432" s="507"/>
      <c r="AP432" s="156"/>
      <c r="AQ432" s="507"/>
      <c r="AR432" s="156"/>
      <c r="AS432" s="507"/>
      <c r="AT432" s="156"/>
      <c r="AU432" s="507"/>
      <c r="AV432" s="156"/>
      <c r="AW432" s="507"/>
      <c r="AX432" s="156"/>
      <c r="AY432" s="507"/>
      <c r="AZ432" s="156"/>
      <c r="BA432" s="507"/>
      <c r="BB432" s="156"/>
      <c r="BC432" s="507"/>
      <c r="BD432" s="156"/>
      <c r="BE432" s="507"/>
      <c r="BF432" s="156"/>
      <c r="BG432" s="507"/>
      <c r="BH432" s="156"/>
      <c r="BI432" s="507"/>
      <c r="BJ432" s="156"/>
      <c r="BK432" s="507"/>
      <c r="BL432" s="156"/>
      <c r="BM432" s="507"/>
      <c r="BN432" s="156"/>
      <c r="BO432" s="507"/>
      <c r="BP432" s="156"/>
      <c r="BQ432" s="507"/>
      <c r="BR432" s="156"/>
      <c r="BS432" s="507"/>
      <c r="BT432" s="156"/>
      <c r="BU432" s="507"/>
      <c r="BV432" s="156"/>
      <c r="BW432" s="507"/>
      <c r="BX432" s="156"/>
      <c r="BY432" s="507"/>
      <c r="BZ432" s="156"/>
      <c r="CA432" s="507"/>
      <c r="CB432" s="156"/>
      <c r="CC432" s="507"/>
      <c r="CD432" s="156"/>
      <c r="CE432" s="507"/>
      <c r="CF432" s="156"/>
      <c r="CG432" s="507"/>
      <c r="CH432" s="156"/>
      <c r="CI432" s="507"/>
      <c r="CJ432" s="156"/>
      <c r="CK432" s="507"/>
      <c r="CL432" s="156"/>
      <c r="CM432" s="507"/>
      <c r="CN432" s="156"/>
      <c r="CO432" s="507"/>
      <c r="CP432" s="156"/>
      <c r="CQ432" s="507"/>
      <c r="CR432" s="156"/>
      <c r="CS432" s="507"/>
      <c r="CT432" s="156"/>
      <c r="CU432" s="507"/>
      <c r="CV432" s="156"/>
      <c r="CW432" s="507"/>
      <c r="CX432" s="156"/>
      <c r="CY432" s="507"/>
      <c r="CZ432" s="156"/>
      <c r="DA432" s="507"/>
      <c r="DB432" s="507"/>
      <c r="DC432" s="156">
        <f>INPUT!FP421</f>
        <v>36.447041819838496</v>
      </c>
      <c r="DD432" s="687">
        <f>INPUT!FQ421</f>
        <v>24.137536466972342</v>
      </c>
      <c r="DE432" s="156">
        <f>INPUT!FR421</f>
        <v>35.173757713543367</v>
      </c>
      <c r="DF432" s="687">
        <f>INPUT!FS421</f>
        <v>-3.4935183837116468</v>
      </c>
      <c r="DG432" s="156">
        <f>INPUT!FT421</f>
        <v>37.13205509046719</v>
      </c>
      <c r="DH432" s="687">
        <f>INPUT!FU421</f>
        <v>5.567495497274666</v>
      </c>
      <c r="DI432" s="156">
        <f>INPUT!FV421</f>
        <v>32.733374008541794</v>
      </c>
      <c r="DJ432" s="687">
        <f>INPUT!FW421</f>
        <v>-11.846048033723445</v>
      </c>
      <c r="DK432" s="156"/>
      <c r="DL432" s="507"/>
      <c r="DM432" s="156"/>
      <c r="DN432" s="507"/>
      <c r="DO432" s="156"/>
      <c r="DP432" s="507"/>
      <c r="DQ432" s="156"/>
      <c r="DR432" s="507"/>
      <c r="DS432" s="156"/>
      <c r="DT432" s="507"/>
      <c r="DU432" s="156"/>
      <c r="DV432" s="507"/>
      <c r="DW432" s="156"/>
      <c r="DX432" s="507"/>
      <c r="DY432" s="156"/>
      <c r="DZ432" s="507"/>
      <c r="EA432" s="156"/>
      <c r="EB432" s="507"/>
      <c r="EC432" s="156"/>
      <c r="ED432" s="507"/>
      <c r="EE432" s="156"/>
      <c r="EF432" s="507"/>
      <c r="EG432" s="156"/>
      <c r="EH432" s="507"/>
      <c r="EI432" s="156"/>
      <c r="EJ432" s="507"/>
      <c r="EK432" s="156"/>
      <c r="EL432" s="507"/>
      <c r="EM432" s="687"/>
    </row>
    <row r="433" spans="1:143" ht="12.75" hidden="1" customHeight="1" outlineLevel="2" x14ac:dyDescent="0.2">
      <c r="A433" s="718" t="str">
        <f>INPUT!B422</f>
        <v>Operating Expense/Revenues (%)</v>
      </c>
      <c r="B433" s="156">
        <f>INPUT!AY422</f>
        <v>39.71223021582734</v>
      </c>
      <c r="C433" s="507">
        <f>INPUT!AZ422</f>
        <v>-12.901735082522203</v>
      </c>
      <c r="D433" s="156">
        <f>INPUT!BA422</f>
        <v>47.847478474784751</v>
      </c>
      <c r="E433" s="687">
        <f>INPUT!BB422</f>
        <v>8.4174078735007143</v>
      </c>
      <c r="F433" s="156">
        <f>INPUT!BC422</f>
        <v>47.717842323651453</v>
      </c>
      <c r="G433" s="687">
        <f>INPUT!BD422</f>
        <v>-6.9185163022510547</v>
      </c>
      <c r="H433" s="156">
        <f>INPUT!BE422</f>
        <v>46.108490566037744</v>
      </c>
      <c r="I433" s="687" t="str">
        <f>INPUT!BF422</f>
        <v>NM</v>
      </c>
      <c r="J433" s="156">
        <f>INPUT!BG422</f>
        <v>41.896361631753031</v>
      </c>
      <c r="K433" s="687">
        <f>INPUT!BH422</f>
        <v>5.499896137928828</v>
      </c>
      <c r="L433" s="156">
        <f>INPUT!BI422</f>
        <v>43.351351351351354</v>
      </c>
      <c r="M433" s="687">
        <f>INPUT!BJ422</f>
        <v>-9.3967901063016779</v>
      </c>
      <c r="N433" s="156">
        <f>INPUT!BK422</f>
        <v>47.914317925591874</v>
      </c>
      <c r="O433" s="687">
        <f>INPUT!BL422</f>
        <v>0.41174452232730641</v>
      </c>
      <c r="P433" s="156">
        <f>INPUT!BM422</f>
        <v>42.581300813008127</v>
      </c>
      <c r="Q433" s="687">
        <f>INPUT!BN422</f>
        <v>-7.6497619196141065</v>
      </c>
      <c r="R433" s="156">
        <f>INPUT!BO422</f>
        <v>44.924154025670937</v>
      </c>
      <c r="S433" s="687">
        <f>INPUT!BP422</f>
        <v>7.2268623717987923</v>
      </c>
      <c r="T433" s="156">
        <f>INPUT!BQ422</f>
        <v>40.858018386108277</v>
      </c>
      <c r="U433" s="687">
        <f>INPUT!BR422</f>
        <v>-5.7514538475058501</v>
      </c>
      <c r="V433" s="156">
        <f>INPUT!BS422</f>
        <v>43.107769423558892</v>
      </c>
      <c r="W433" s="687">
        <f>INPUT!BT422</f>
        <v>-10.031549461890011</v>
      </c>
      <c r="X433" s="156">
        <f>INPUT!BU422</f>
        <v>46.583850931677013</v>
      </c>
      <c r="Y433" s="687">
        <f>INPUT!BV422</f>
        <v>9.3997835722438694</v>
      </c>
      <c r="Z433" s="156">
        <f>INPUT!BW422</f>
        <v>41.139240506329116</v>
      </c>
      <c r="AA433" s="687">
        <f>INPUT!BX422</f>
        <v>-8.4251191846128286</v>
      </c>
      <c r="AB433" s="156"/>
      <c r="AC433" s="687"/>
      <c r="AD433" s="156"/>
      <c r="AE433" s="687"/>
      <c r="AF433" s="156"/>
      <c r="AG433" s="687"/>
      <c r="AH433" s="156"/>
      <c r="AI433" s="507"/>
      <c r="AJ433" s="156"/>
      <c r="AK433" s="507"/>
      <c r="AL433" s="156"/>
      <c r="AM433" s="507"/>
      <c r="AN433" s="156"/>
      <c r="AO433" s="507"/>
      <c r="AP433" s="156"/>
      <c r="AQ433" s="507"/>
      <c r="AR433" s="156"/>
      <c r="AS433" s="507"/>
      <c r="AT433" s="156"/>
      <c r="AU433" s="507"/>
      <c r="AV433" s="156"/>
      <c r="AW433" s="507"/>
      <c r="AX433" s="156"/>
      <c r="AY433" s="507"/>
      <c r="AZ433" s="156"/>
      <c r="BA433" s="507"/>
      <c r="BB433" s="156"/>
      <c r="BC433" s="507"/>
      <c r="BD433" s="156"/>
      <c r="BE433" s="507"/>
      <c r="BF433" s="156"/>
      <c r="BG433" s="507"/>
      <c r="BH433" s="156"/>
      <c r="BI433" s="507"/>
      <c r="BJ433" s="156"/>
      <c r="BK433" s="507"/>
      <c r="BL433" s="156"/>
      <c r="BM433" s="507"/>
      <c r="BN433" s="156"/>
      <c r="BO433" s="507"/>
      <c r="BP433" s="156"/>
      <c r="BQ433" s="507"/>
      <c r="BR433" s="156"/>
      <c r="BS433" s="507"/>
      <c r="BT433" s="156"/>
      <c r="BU433" s="507"/>
      <c r="BV433" s="156"/>
      <c r="BW433" s="507"/>
      <c r="BX433" s="156"/>
      <c r="BY433" s="507"/>
      <c r="BZ433" s="156"/>
      <c r="CA433" s="507"/>
      <c r="CB433" s="156"/>
      <c r="CC433" s="507"/>
      <c r="CD433" s="156"/>
      <c r="CE433" s="507"/>
      <c r="CF433" s="156"/>
      <c r="CG433" s="507"/>
      <c r="CH433" s="156"/>
      <c r="CI433" s="507"/>
      <c r="CJ433" s="156"/>
      <c r="CK433" s="507"/>
      <c r="CL433" s="156"/>
      <c r="CM433" s="507"/>
      <c r="CN433" s="156"/>
      <c r="CO433" s="507"/>
      <c r="CP433" s="156"/>
      <c r="CQ433" s="507"/>
      <c r="CR433" s="156"/>
      <c r="CS433" s="507"/>
      <c r="CT433" s="156"/>
      <c r="CU433" s="507"/>
      <c r="CV433" s="156"/>
      <c r="CW433" s="507"/>
      <c r="CX433" s="156"/>
      <c r="CY433" s="507"/>
      <c r="CZ433" s="156"/>
      <c r="DA433" s="507"/>
      <c r="DB433" s="507"/>
      <c r="DC433" s="156">
        <f>INPUT!FP422</f>
        <v>42.636754956483479</v>
      </c>
      <c r="DD433" s="687">
        <f>INPUT!FQ422</f>
        <v>-16.507086832927374</v>
      </c>
      <c r="DE433" s="156">
        <f>INPUT!FR422</f>
        <v>45.501786294251382</v>
      </c>
      <c r="DF433" s="687">
        <f>INPUT!FS422</f>
        <v>6.7196280314767209</v>
      </c>
      <c r="DG433" s="156">
        <f>INPUT!FT422</f>
        <v>43.883337834188502</v>
      </c>
      <c r="DH433" s="687">
        <f>INPUT!FU422</f>
        <v>-3.556889941851249</v>
      </c>
      <c r="DI433" s="156">
        <f>INPUT!FV422</f>
        <v>43.593654667480166</v>
      </c>
      <c r="DJ433" s="687">
        <f>INPUT!FW422</f>
        <v>-0.66012108696674732</v>
      </c>
      <c r="DK433" s="156"/>
      <c r="DL433" s="507"/>
      <c r="DM433" s="156"/>
      <c r="DN433" s="507"/>
      <c r="DO433" s="156"/>
      <c r="DP433" s="507"/>
      <c r="DQ433" s="156"/>
      <c r="DR433" s="507"/>
      <c r="DS433" s="156"/>
      <c r="DT433" s="507"/>
      <c r="DU433" s="156"/>
      <c r="DV433" s="507"/>
      <c r="DW433" s="156"/>
      <c r="DX433" s="507"/>
      <c r="DY433" s="156"/>
      <c r="DZ433" s="507"/>
      <c r="EA433" s="156"/>
      <c r="EB433" s="507"/>
      <c r="EC433" s="156"/>
      <c r="ED433" s="507"/>
      <c r="EE433" s="156"/>
      <c r="EF433" s="507"/>
      <c r="EG433" s="156"/>
      <c r="EH433" s="507"/>
      <c r="EI433" s="156"/>
      <c r="EJ433" s="507"/>
      <c r="EK433" s="156"/>
      <c r="EL433" s="507"/>
      <c r="EM433" s="687"/>
    </row>
    <row r="434" spans="1:143" ht="12.75" hidden="1" customHeight="1" outlineLevel="2" x14ac:dyDescent="0.2">
      <c r="A434" s="701"/>
      <c r="B434" s="16"/>
      <c r="C434" s="507"/>
      <c r="D434" s="16"/>
      <c r="E434" s="687"/>
      <c r="F434" s="16"/>
      <c r="G434" s="687"/>
      <c r="H434" s="16"/>
      <c r="I434" s="687"/>
      <c r="J434" s="16"/>
      <c r="K434" s="507"/>
      <c r="L434" s="16"/>
      <c r="M434" s="507"/>
      <c r="N434" s="16"/>
      <c r="O434" s="507"/>
      <c r="P434" s="16"/>
      <c r="Q434" s="507"/>
      <c r="R434" s="16"/>
      <c r="S434" s="507"/>
      <c r="T434" s="16"/>
      <c r="U434" s="507"/>
      <c r="V434" s="16"/>
      <c r="W434" s="507"/>
      <c r="X434" s="16"/>
      <c r="Y434" s="507"/>
      <c r="Z434" s="16"/>
      <c r="AA434" s="507"/>
      <c r="AB434" s="16"/>
      <c r="AC434" s="507"/>
      <c r="AD434" s="16"/>
      <c r="AE434" s="507"/>
      <c r="AF434" s="16"/>
      <c r="AG434" s="507"/>
      <c r="AH434" s="16"/>
      <c r="AI434" s="507"/>
      <c r="AJ434" s="16"/>
      <c r="AK434" s="507"/>
      <c r="AL434" s="16"/>
      <c r="AM434" s="507"/>
      <c r="AN434" s="16"/>
      <c r="AO434" s="507"/>
      <c r="AP434" s="16"/>
      <c r="AQ434" s="507"/>
      <c r="AR434" s="16"/>
      <c r="AS434" s="507"/>
      <c r="AT434" s="16"/>
      <c r="AU434" s="507"/>
      <c r="AV434" s="16"/>
      <c r="AW434" s="507"/>
      <c r="AX434" s="16"/>
      <c r="AY434" s="507"/>
      <c r="AZ434" s="16"/>
      <c r="BA434" s="507"/>
      <c r="BB434" s="16"/>
      <c r="BC434" s="507"/>
      <c r="BD434" s="16"/>
      <c r="BE434" s="507"/>
      <c r="BF434" s="16"/>
      <c r="BG434" s="507"/>
      <c r="BH434" s="16"/>
      <c r="BI434" s="507"/>
      <c r="BJ434" s="16"/>
      <c r="BK434" s="507"/>
      <c r="BL434" s="16"/>
      <c r="BM434" s="507"/>
      <c r="BN434" s="16"/>
      <c r="BO434" s="507"/>
      <c r="BP434" s="16"/>
      <c r="BQ434" s="507"/>
      <c r="BR434" s="16"/>
      <c r="BS434" s="507"/>
      <c r="BT434" s="16"/>
      <c r="BU434" s="507"/>
      <c r="BV434" s="16"/>
      <c r="BW434" s="507"/>
      <c r="BX434" s="16"/>
      <c r="BY434" s="507"/>
      <c r="BZ434" s="16"/>
      <c r="CA434" s="507"/>
      <c r="CB434" s="16"/>
      <c r="CC434" s="507"/>
      <c r="CD434" s="16"/>
      <c r="CE434" s="507"/>
      <c r="CF434" s="16"/>
      <c r="CG434" s="507"/>
      <c r="CH434" s="16"/>
      <c r="CI434" s="507"/>
      <c r="CJ434" s="16"/>
      <c r="CK434" s="507"/>
      <c r="CL434" s="16"/>
      <c r="CM434" s="507"/>
      <c r="CN434" s="16"/>
      <c r="CO434" s="507"/>
      <c r="CP434" s="16"/>
      <c r="CQ434" s="507"/>
      <c r="CR434" s="16"/>
      <c r="CS434" s="507"/>
      <c r="CT434" s="16"/>
      <c r="CU434" s="507"/>
      <c r="CV434" s="16"/>
      <c r="CW434" s="507"/>
      <c r="CX434" s="16"/>
      <c r="CY434" s="507"/>
      <c r="CZ434" s="16"/>
      <c r="DA434" s="507"/>
      <c r="DB434" s="507"/>
      <c r="DC434" s="16"/>
      <c r="DD434" s="507"/>
      <c r="DE434" s="16"/>
      <c r="DF434" s="507"/>
      <c r="DG434" s="16"/>
      <c r="DH434" s="507"/>
      <c r="DI434" s="16"/>
      <c r="DJ434" s="507"/>
      <c r="DK434" s="16"/>
      <c r="DL434" s="507"/>
      <c r="DM434" s="16"/>
      <c r="DN434" s="507"/>
      <c r="DO434" s="16"/>
      <c r="DP434" s="507"/>
      <c r="DQ434" s="16"/>
      <c r="DR434" s="507"/>
      <c r="DS434" s="16"/>
      <c r="DT434" s="507"/>
      <c r="DU434" s="16"/>
      <c r="DV434" s="507"/>
      <c r="DW434" s="16"/>
      <c r="DX434" s="507"/>
      <c r="DY434" s="16"/>
      <c r="DZ434" s="507"/>
      <c r="EA434" s="16"/>
      <c r="EB434" s="507"/>
      <c r="EC434" s="16"/>
      <c r="ED434" s="507"/>
      <c r="EE434" s="16"/>
      <c r="EF434" s="507"/>
      <c r="EG434" s="16"/>
      <c r="EH434" s="507"/>
      <c r="EI434" s="16"/>
      <c r="EJ434" s="507"/>
      <c r="EK434" s="16"/>
      <c r="EL434" s="507"/>
      <c r="EM434" s="687"/>
    </row>
    <row r="435" spans="1:143" ht="12.75" hidden="1" customHeight="1" outlineLevel="2" x14ac:dyDescent="0.2">
      <c r="A435" s="689" t="str">
        <f>+A51</f>
        <v xml:space="preserve">Quarterly income statement ratios are annualized where appropriate     NM = Not Meaningful       NA = Not Applicable </v>
      </c>
      <c r="B435" s="16"/>
      <c r="C435" s="507"/>
      <c r="D435" s="16"/>
      <c r="E435" s="687"/>
      <c r="F435" s="16"/>
      <c r="G435" s="687"/>
      <c r="H435" s="16"/>
      <c r="I435" s="687"/>
      <c r="J435" s="16"/>
      <c r="K435" s="507"/>
      <c r="L435" s="16"/>
      <c r="M435" s="507"/>
      <c r="N435" s="16"/>
      <c r="O435" s="507"/>
      <c r="P435" s="16"/>
      <c r="Q435" s="507"/>
      <c r="R435" s="16"/>
      <c r="S435" s="507"/>
      <c r="T435" s="16"/>
      <c r="U435" s="507"/>
      <c r="V435" s="16"/>
      <c r="W435" s="507"/>
      <c r="X435" s="16"/>
      <c r="Y435" s="507"/>
      <c r="Z435" s="16"/>
      <c r="AA435" s="507"/>
      <c r="AB435" s="16"/>
      <c r="AC435" s="507"/>
      <c r="AD435" s="16"/>
      <c r="AE435" s="507"/>
      <c r="AF435" s="16"/>
      <c r="AG435" s="507"/>
      <c r="AH435" s="16"/>
      <c r="AI435" s="507"/>
      <c r="AJ435" s="16"/>
      <c r="AK435" s="507"/>
      <c r="AL435" s="16"/>
      <c r="AM435" s="507"/>
      <c r="AN435" s="16"/>
      <c r="AO435" s="507"/>
      <c r="AP435" s="16"/>
      <c r="AQ435" s="507"/>
      <c r="AR435" s="16"/>
      <c r="AS435" s="507"/>
      <c r="AT435" s="16"/>
      <c r="AU435" s="507"/>
      <c r="AV435" s="16"/>
      <c r="AW435" s="507"/>
      <c r="AX435" s="16"/>
      <c r="AY435" s="507"/>
      <c r="AZ435" s="16"/>
      <c r="BA435" s="507"/>
      <c r="BB435" s="16"/>
      <c r="BC435" s="507"/>
      <c r="BD435" s="16"/>
      <c r="BE435" s="507"/>
      <c r="BF435" s="16"/>
      <c r="BG435" s="507"/>
      <c r="BH435" s="16"/>
      <c r="BI435" s="507"/>
      <c r="BJ435" s="16"/>
      <c r="BK435" s="507"/>
      <c r="BL435" s="16"/>
      <c r="BM435" s="507"/>
      <c r="BN435" s="16"/>
      <c r="BO435" s="507"/>
      <c r="BP435" s="16"/>
      <c r="BQ435" s="507"/>
      <c r="BR435" s="16"/>
      <c r="BS435" s="507"/>
      <c r="BT435" s="16"/>
      <c r="BU435" s="507"/>
      <c r="BV435" s="16"/>
      <c r="BW435" s="507"/>
      <c r="BX435" s="16"/>
      <c r="BY435" s="507"/>
      <c r="BZ435" s="16"/>
      <c r="CA435" s="507"/>
      <c r="CB435" s="16"/>
      <c r="CC435" s="507"/>
      <c r="CD435" s="16"/>
      <c r="CE435" s="507"/>
      <c r="CF435" s="16"/>
      <c r="CG435" s="507"/>
      <c r="CH435" s="16"/>
      <c r="CI435" s="507"/>
      <c r="CJ435" s="16"/>
      <c r="CK435" s="507"/>
      <c r="CL435" s="16"/>
      <c r="CM435" s="507"/>
      <c r="CN435" s="16"/>
      <c r="CO435" s="507"/>
      <c r="CP435" s="16"/>
      <c r="CQ435" s="507"/>
      <c r="CR435" s="16"/>
      <c r="CS435" s="507"/>
      <c r="CT435" s="16"/>
      <c r="CU435" s="507"/>
      <c r="CV435" s="16"/>
      <c r="CW435" s="507"/>
      <c r="CX435" s="16"/>
      <c r="CY435" s="507"/>
      <c r="CZ435" s="16"/>
      <c r="DA435" s="507"/>
      <c r="DB435" s="507"/>
      <c r="DC435" s="16"/>
      <c r="DD435" s="507"/>
      <c r="DE435" s="16"/>
      <c r="DF435" s="507"/>
      <c r="DG435" s="16"/>
      <c r="DH435" s="507"/>
      <c r="DI435" s="16"/>
      <c r="DJ435" s="507"/>
      <c r="DK435" s="16"/>
      <c r="DL435" s="507"/>
      <c r="DM435" s="16"/>
      <c r="DN435" s="507"/>
      <c r="DO435" s="16"/>
      <c r="DP435" s="507"/>
      <c r="DQ435" s="16"/>
      <c r="DR435" s="507"/>
      <c r="DS435" s="16"/>
      <c r="DT435" s="507"/>
      <c r="DU435" s="16"/>
      <c r="DV435" s="507"/>
      <c r="DW435" s="16"/>
      <c r="DX435" s="507"/>
      <c r="DY435" s="16"/>
      <c r="DZ435" s="507"/>
      <c r="EA435" s="16"/>
      <c r="EB435" s="507"/>
      <c r="EC435" s="16"/>
      <c r="ED435" s="507"/>
      <c r="EE435" s="16"/>
      <c r="EF435" s="507"/>
      <c r="EG435" s="16"/>
      <c r="EH435" s="507"/>
      <c r="EI435" s="16"/>
      <c r="EJ435" s="507"/>
      <c r="EK435" s="16"/>
      <c r="EL435" s="507"/>
      <c r="EM435" s="687"/>
    </row>
    <row r="436" spans="1:143" ht="12.75" hidden="1" customHeight="1" outlineLevel="2" x14ac:dyDescent="0.2">
      <c r="A436" s="689" t="s">
        <v>367</v>
      </c>
      <c r="B436" s="16"/>
      <c r="C436" s="507"/>
      <c r="D436" s="16"/>
      <c r="E436" s="687"/>
      <c r="F436" s="16"/>
      <c r="G436" s="687"/>
      <c r="H436" s="16"/>
      <c r="I436" s="687"/>
      <c r="J436" s="16"/>
      <c r="K436" s="507"/>
      <c r="L436" s="16"/>
      <c r="M436" s="507"/>
      <c r="N436" s="16"/>
      <c r="O436" s="507"/>
      <c r="P436" s="16"/>
      <c r="Q436" s="507"/>
      <c r="R436" s="16"/>
      <c r="S436" s="507"/>
      <c r="T436" s="16"/>
      <c r="U436" s="507"/>
      <c r="V436" s="16"/>
      <c r="W436" s="507"/>
      <c r="X436" s="16"/>
      <c r="Y436" s="507"/>
      <c r="Z436" s="16"/>
      <c r="AA436" s="507"/>
      <c r="AB436" s="16"/>
      <c r="AC436" s="507"/>
      <c r="AD436" s="16"/>
      <c r="AE436" s="507"/>
      <c r="AF436" s="16"/>
      <c r="AG436" s="507"/>
      <c r="AH436" s="16"/>
      <c r="AI436" s="507"/>
      <c r="AJ436" s="16"/>
      <c r="AK436" s="507"/>
      <c r="AL436" s="16"/>
      <c r="AM436" s="507"/>
      <c r="AN436" s="16"/>
      <c r="AO436" s="507"/>
      <c r="AP436" s="16"/>
      <c r="AQ436" s="507"/>
      <c r="AR436" s="16"/>
      <c r="AS436" s="507"/>
      <c r="AT436" s="16"/>
      <c r="AU436" s="507"/>
      <c r="AV436" s="16"/>
      <c r="AW436" s="507"/>
      <c r="AX436" s="16"/>
      <c r="AY436" s="507"/>
      <c r="AZ436" s="16"/>
      <c r="BA436" s="507"/>
      <c r="BB436" s="16"/>
      <c r="BC436" s="507"/>
      <c r="BD436" s="16"/>
      <c r="BE436" s="507"/>
      <c r="BF436" s="16"/>
      <c r="BG436" s="507"/>
      <c r="BH436" s="16"/>
      <c r="BI436" s="507"/>
      <c r="BJ436" s="16"/>
      <c r="BK436" s="507"/>
      <c r="BL436" s="16"/>
      <c r="BM436" s="507"/>
      <c r="BN436" s="16"/>
      <c r="BO436" s="507"/>
      <c r="BP436" s="16"/>
      <c r="BQ436" s="507"/>
      <c r="BR436" s="16"/>
      <c r="BS436" s="507"/>
      <c r="BT436" s="16"/>
      <c r="BU436" s="507"/>
      <c r="BV436" s="16"/>
      <c r="BW436" s="507"/>
      <c r="BX436" s="16"/>
      <c r="BY436" s="507"/>
      <c r="BZ436" s="16"/>
      <c r="CA436" s="507"/>
      <c r="CB436" s="16"/>
      <c r="CC436" s="507"/>
      <c r="CD436" s="16"/>
      <c r="CE436" s="507"/>
      <c r="CF436" s="16"/>
      <c r="CG436" s="507"/>
      <c r="CH436" s="16"/>
      <c r="CI436" s="507"/>
      <c r="CJ436" s="16"/>
      <c r="CK436" s="507"/>
      <c r="CL436" s="16"/>
      <c r="CM436" s="507"/>
      <c r="CN436" s="16"/>
      <c r="CO436" s="507"/>
      <c r="CP436" s="16"/>
      <c r="CQ436" s="507"/>
      <c r="CR436" s="16"/>
      <c r="CS436" s="507"/>
      <c r="CT436" s="16"/>
      <c r="CU436" s="507"/>
      <c r="CV436" s="16"/>
      <c r="CW436" s="507"/>
      <c r="CX436" s="16"/>
      <c r="CY436" s="507"/>
      <c r="CZ436" s="16"/>
      <c r="DA436" s="507"/>
      <c r="DB436" s="507"/>
      <c r="DC436" s="16"/>
      <c r="DD436" s="507"/>
      <c r="DE436" s="16"/>
      <c r="DF436" s="507"/>
      <c r="DG436" s="16"/>
      <c r="DH436" s="507"/>
      <c r="DI436" s="16"/>
      <c r="DJ436" s="507"/>
      <c r="DK436" s="16"/>
      <c r="DL436" s="507"/>
      <c r="DM436" s="16"/>
      <c r="DN436" s="507"/>
      <c r="DO436" s="16"/>
      <c r="DP436" s="507"/>
      <c r="DQ436" s="16"/>
      <c r="DR436" s="507"/>
      <c r="DS436" s="16"/>
      <c r="DT436" s="507"/>
      <c r="DU436" s="16"/>
      <c r="DV436" s="507"/>
      <c r="DW436" s="16"/>
      <c r="DX436" s="507"/>
      <c r="DY436" s="16"/>
      <c r="DZ436" s="507"/>
      <c r="EA436" s="16"/>
      <c r="EB436" s="507"/>
      <c r="EC436" s="16"/>
      <c r="ED436" s="507"/>
      <c r="EE436" s="16"/>
      <c r="EF436" s="507"/>
      <c r="EG436" s="16"/>
      <c r="EH436" s="507"/>
      <c r="EI436" s="16"/>
      <c r="EJ436" s="507"/>
      <c r="EK436" s="16"/>
      <c r="EL436" s="507"/>
      <c r="EM436" s="687"/>
    </row>
    <row r="437" spans="1:143" ht="12.75" hidden="1" customHeight="1" outlineLevel="2" x14ac:dyDescent="0.2">
      <c r="A437" s="701"/>
      <c r="B437" s="16"/>
      <c r="C437" s="762"/>
      <c r="D437" s="16"/>
      <c r="E437" s="702"/>
      <c r="F437" s="16"/>
      <c r="G437" s="702"/>
      <c r="H437" s="16"/>
      <c r="I437" s="702"/>
      <c r="J437" s="16"/>
      <c r="K437" s="762"/>
      <c r="L437" s="16"/>
      <c r="M437" s="762"/>
      <c r="N437" s="16"/>
      <c r="O437" s="762"/>
      <c r="P437" s="16"/>
      <c r="Q437" s="762"/>
      <c r="R437" s="16"/>
      <c r="S437" s="762"/>
      <c r="T437" s="16"/>
      <c r="U437" s="762"/>
      <c r="V437" s="16"/>
      <c r="W437" s="762"/>
      <c r="X437" s="16"/>
      <c r="Y437" s="762"/>
      <c r="Z437" s="16"/>
      <c r="AA437" s="762"/>
      <c r="AB437" s="16"/>
      <c r="AC437" s="762"/>
      <c r="AD437" s="16"/>
      <c r="AE437" s="762"/>
      <c r="AF437" s="16"/>
      <c r="AG437" s="762"/>
      <c r="AH437" s="16"/>
      <c r="AI437" s="762"/>
      <c r="AJ437" s="16"/>
      <c r="AK437" s="762"/>
      <c r="AL437" s="16"/>
      <c r="AM437" s="762"/>
      <c r="AN437" s="16"/>
      <c r="AO437" s="762"/>
      <c r="AP437" s="16"/>
      <c r="AQ437" s="762"/>
      <c r="AR437" s="16"/>
      <c r="AS437" s="762"/>
      <c r="AT437" s="16"/>
      <c r="AU437" s="762"/>
      <c r="AV437" s="16"/>
      <c r="AW437" s="762"/>
      <c r="AX437" s="16"/>
      <c r="AY437" s="762"/>
      <c r="AZ437" s="16"/>
      <c r="BA437" s="762"/>
      <c r="BB437" s="16"/>
      <c r="BC437" s="762"/>
      <c r="BD437" s="16"/>
      <c r="BE437" s="762"/>
      <c r="BF437" s="16"/>
      <c r="BG437" s="762"/>
      <c r="BH437" s="16"/>
      <c r="BI437" s="762"/>
      <c r="BJ437" s="16"/>
      <c r="BK437" s="762"/>
      <c r="BL437" s="16"/>
      <c r="BM437" s="762"/>
      <c r="BN437" s="16"/>
      <c r="BO437" s="762"/>
      <c r="BP437" s="16"/>
      <c r="BQ437" s="762"/>
      <c r="BR437" s="16"/>
      <c r="BS437" s="762"/>
      <c r="BT437" s="16"/>
      <c r="BU437" s="762"/>
      <c r="BV437" s="16"/>
      <c r="BW437" s="762"/>
      <c r="BX437" s="16"/>
      <c r="BY437" s="762"/>
      <c r="BZ437" s="16"/>
      <c r="CA437" s="762"/>
      <c r="CB437" s="16"/>
      <c r="CC437" s="762"/>
      <c r="CD437" s="16"/>
      <c r="CE437" s="762"/>
      <c r="CF437" s="16"/>
      <c r="CG437" s="762"/>
      <c r="CH437" s="16"/>
      <c r="CI437" s="762"/>
      <c r="CJ437" s="16"/>
      <c r="CK437" s="762"/>
      <c r="CL437" s="16"/>
      <c r="CM437" s="762"/>
      <c r="CN437" s="16"/>
      <c r="CO437" s="762"/>
      <c r="CP437" s="16"/>
      <c r="CQ437" s="762"/>
      <c r="CR437" s="16"/>
      <c r="CS437" s="762"/>
      <c r="CT437" s="16"/>
      <c r="CU437" s="762"/>
      <c r="CV437" s="16"/>
      <c r="CW437" s="762"/>
      <c r="CX437" s="16"/>
      <c r="CY437" s="762"/>
      <c r="CZ437" s="16"/>
      <c r="DA437" s="762"/>
      <c r="DB437" s="762"/>
      <c r="DC437" s="16"/>
      <c r="DD437" s="762"/>
      <c r="DE437" s="16"/>
      <c r="DF437" s="762"/>
      <c r="DG437" s="16"/>
      <c r="DH437" s="762"/>
      <c r="DI437" s="16"/>
      <c r="DJ437" s="762"/>
      <c r="DK437" s="16"/>
      <c r="DL437" s="762"/>
      <c r="DM437" s="16"/>
      <c r="DN437" s="762"/>
      <c r="DO437" s="16"/>
      <c r="DP437" s="762"/>
      <c r="DQ437" s="16"/>
      <c r="DR437" s="762"/>
      <c r="DS437" s="16"/>
      <c r="DT437" s="762"/>
      <c r="DU437" s="16"/>
      <c r="DV437" s="762"/>
      <c r="DW437" s="16"/>
      <c r="DX437" s="762"/>
      <c r="DY437" s="16"/>
      <c r="DZ437" s="762"/>
      <c r="EA437" s="16"/>
      <c r="EB437" s="762"/>
      <c r="EC437" s="16"/>
      <c r="ED437" s="762"/>
      <c r="EE437" s="16"/>
      <c r="EF437" s="762"/>
      <c r="EG437" s="16"/>
      <c r="EH437" s="762"/>
      <c r="EI437" s="16"/>
      <c r="EJ437" s="762"/>
      <c r="EK437" s="16"/>
      <c r="EL437" s="762"/>
      <c r="EM437" s="702"/>
    </row>
    <row r="438" spans="1:143" ht="21.95" hidden="1" customHeight="1" outlineLevel="2" x14ac:dyDescent="0.2">
      <c r="A438" s="763" t="str">
        <f>$A$1</f>
        <v>Lincoln National</v>
      </c>
    </row>
    <row r="439" spans="1:143" ht="12.75" hidden="1" customHeight="1" outlineLevel="2" x14ac:dyDescent="0.2">
      <c r="A439" s="685" t="s">
        <v>180</v>
      </c>
      <c r="B439" s="4"/>
      <c r="C439" s="496"/>
      <c r="D439" s="4"/>
      <c r="E439" s="686"/>
      <c r="F439" s="4"/>
      <c r="G439" s="686"/>
      <c r="H439" s="4"/>
      <c r="I439" s="686"/>
      <c r="J439" s="4"/>
      <c r="K439" s="496"/>
      <c r="L439" s="4"/>
      <c r="M439" s="496"/>
      <c r="N439" s="4"/>
      <c r="O439" s="496"/>
      <c r="P439" s="4"/>
      <c r="Q439" s="496"/>
      <c r="R439" s="4"/>
      <c r="S439" s="496"/>
      <c r="T439" s="4"/>
      <c r="U439" s="496"/>
      <c r="V439" s="4"/>
      <c r="W439" s="496"/>
      <c r="X439" s="4"/>
      <c r="Y439" s="496"/>
      <c r="Z439" s="4"/>
      <c r="AA439" s="496"/>
      <c r="AB439" s="4"/>
      <c r="AC439" s="496"/>
      <c r="AD439" s="4"/>
      <c r="AE439" s="496"/>
      <c r="AF439" s="4"/>
      <c r="AG439" s="496"/>
      <c r="AH439" s="4"/>
      <c r="AI439" s="496"/>
      <c r="AJ439" s="4"/>
      <c r="AK439" s="496"/>
      <c r="AL439" s="4"/>
      <c r="AM439" s="496"/>
      <c r="AN439" s="4"/>
      <c r="AO439" s="496"/>
      <c r="AP439" s="4"/>
      <c r="AQ439" s="496"/>
      <c r="AR439" s="4"/>
      <c r="AS439" s="496"/>
      <c r="AT439" s="4"/>
      <c r="AU439" s="496"/>
      <c r="AV439" s="4"/>
      <c r="AW439" s="496"/>
      <c r="AX439" s="4"/>
      <c r="AY439" s="496"/>
      <c r="AZ439" s="4"/>
      <c r="BA439" s="496"/>
      <c r="BB439" s="4"/>
      <c r="BC439" s="496"/>
      <c r="BD439" s="4"/>
      <c r="BE439" s="496"/>
      <c r="BF439" s="4"/>
      <c r="BG439" s="496"/>
      <c r="BH439" s="4"/>
      <c r="BI439" s="496"/>
      <c r="BJ439" s="4"/>
      <c r="BK439" s="496"/>
      <c r="BL439" s="4"/>
      <c r="BM439" s="496"/>
      <c r="BN439" s="4"/>
      <c r="BO439" s="496"/>
      <c r="BP439" s="4"/>
      <c r="BQ439" s="496"/>
      <c r="BR439" s="4"/>
      <c r="BS439" s="496"/>
      <c r="BT439" s="4"/>
      <c r="BU439" s="496"/>
      <c r="BV439" s="4"/>
      <c r="BW439" s="496"/>
      <c r="BX439" s="4"/>
      <c r="BY439" s="496"/>
      <c r="BZ439" s="4"/>
      <c r="CA439" s="496"/>
      <c r="CB439" s="4"/>
      <c r="CC439" s="496"/>
      <c r="CD439" s="4"/>
      <c r="CE439" s="496"/>
      <c r="CF439" s="4"/>
      <c r="CG439" s="496"/>
      <c r="CH439" s="4"/>
      <c r="CI439" s="496"/>
      <c r="CJ439" s="4"/>
      <c r="CK439" s="496"/>
      <c r="CL439" s="4"/>
      <c r="CM439" s="496"/>
      <c r="CN439" s="4"/>
      <c r="CO439" s="496"/>
      <c r="CP439" s="4"/>
      <c r="CQ439" s="496"/>
      <c r="CR439" s="4"/>
      <c r="CS439" s="496"/>
      <c r="CT439" s="4"/>
      <c r="CU439" s="496"/>
      <c r="CV439" s="4"/>
      <c r="CW439" s="496"/>
      <c r="CX439" s="4"/>
      <c r="CY439" s="496"/>
      <c r="CZ439" s="4"/>
      <c r="DA439" s="496"/>
      <c r="DB439" s="496"/>
      <c r="DC439" s="4"/>
      <c r="DD439" s="496"/>
      <c r="DE439" s="4"/>
      <c r="DF439" s="496"/>
      <c r="DG439" s="4"/>
      <c r="DH439" s="496"/>
      <c r="DI439" s="4"/>
      <c r="DJ439" s="496"/>
      <c r="DK439" s="4"/>
      <c r="DL439" s="496"/>
      <c r="DM439" s="4"/>
      <c r="DN439" s="496"/>
      <c r="DO439" s="4"/>
      <c r="DP439" s="496"/>
      <c r="DQ439" s="4"/>
      <c r="DR439" s="496"/>
      <c r="DS439" s="4"/>
      <c r="DT439" s="496"/>
      <c r="DU439" s="4"/>
      <c r="DV439" s="496"/>
      <c r="DW439" s="4"/>
      <c r="DX439" s="496"/>
      <c r="DY439" s="4"/>
      <c r="DZ439" s="496"/>
      <c r="EA439" s="4"/>
      <c r="EB439" s="496"/>
      <c r="EC439" s="4"/>
      <c r="ED439" s="496"/>
      <c r="EE439" s="4"/>
      <c r="EF439" s="496"/>
      <c r="EG439" s="4"/>
      <c r="EH439" s="496"/>
      <c r="EI439" s="4"/>
      <c r="EJ439" s="496"/>
      <c r="EK439" s="4"/>
      <c r="EL439" s="496"/>
      <c r="EM439" s="686"/>
    </row>
    <row r="440" spans="1:143" s="3" customFormat="1" ht="12.75" hidden="1" customHeight="1" outlineLevel="2" x14ac:dyDescent="0.2">
      <c r="A440" s="703" t="str">
        <f>A$3</f>
        <v>($Millions Except Per Share Data)</v>
      </c>
      <c r="B440" s="704"/>
      <c r="C440" s="724"/>
      <c r="D440" s="704"/>
      <c r="E440" s="724" t="str">
        <f>E$3</f>
        <v>2Q06/</v>
      </c>
      <c r="F440" s="704"/>
      <c r="G440" s="724" t="str">
        <f>G$3</f>
        <v>3Q06/</v>
      </c>
      <c r="H440" s="704"/>
      <c r="I440" s="724" t="str">
        <f>I$3</f>
        <v>4Q06/</v>
      </c>
      <c r="J440" s="724"/>
      <c r="K440" s="724" t="str">
        <f>K$3</f>
        <v>1Q07/</v>
      </c>
      <c r="L440" s="704"/>
      <c r="M440" s="724" t="str">
        <f>M$3</f>
        <v>2Q07/</v>
      </c>
      <c r="N440" s="704"/>
      <c r="O440" s="724" t="str">
        <f>O$3</f>
        <v>3Q07/</v>
      </c>
      <c r="P440" s="704"/>
      <c r="Q440" s="724" t="str">
        <f>Q$3</f>
        <v>4Q07/</v>
      </c>
      <c r="R440" s="704"/>
      <c r="S440" s="724" t="str">
        <f>S$3</f>
        <v>1Q08/</v>
      </c>
      <c r="T440" s="704"/>
      <c r="U440" s="724" t="str">
        <f>U$3</f>
        <v>2Q08/</v>
      </c>
      <c r="V440" s="704"/>
      <c r="W440" s="724" t="str">
        <f>W$3</f>
        <v>3Q08/</v>
      </c>
      <c r="X440" s="704"/>
      <c r="Y440" s="724" t="str">
        <f>Y$3</f>
        <v>4Q08/</v>
      </c>
      <c r="Z440" s="704"/>
      <c r="AA440" s="724" t="str">
        <f>AA$3</f>
        <v>1Q09/</v>
      </c>
      <c r="AB440" s="704"/>
      <c r="AC440" s="724" t="str">
        <f>AC$3</f>
        <v>2Q09/</v>
      </c>
      <c r="AD440" s="704"/>
      <c r="AE440" s="724" t="str">
        <f>AE$3</f>
        <v>3Q09/</v>
      </c>
      <c r="AF440" s="704"/>
      <c r="AG440" s="724" t="str">
        <f>AG$3</f>
        <v>4Q09/</v>
      </c>
      <c r="AH440" s="704"/>
      <c r="AI440" s="724" t="str">
        <f>AI$3</f>
        <v>1Q10/</v>
      </c>
      <c r="AJ440" s="704"/>
      <c r="AK440" s="724" t="str">
        <f>AK$3</f>
        <v>2Q10/</v>
      </c>
      <c r="AL440" s="704"/>
      <c r="AM440" s="724" t="str">
        <f>AM$3</f>
        <v>3Q10/</v>
      </c>
      <c r="AN440" s="704"/>
      <c r="AO440" s="724" t="str">
        <f>AO$3</f>
        <v>4Q10/</v>
      </c>
      <c r="AP440" s="704"/>
      <c r="AQ440" s="724" t="str">
        <f>AQ$3</f>
        <v>1Q11/</v>
      </c>
      <c r="AR440" s="704"/>
      <c r="AS440" s="724" t="str">
        <f>AS$3</f>
        <v>2Q11/</v>
      </c>
      <c r="AT440" s="704"/>
      <c r="AU440" s="724" t="str">
        <f>AU$3</f>
        <v>3Q11/</v>
      </c>
      <c r="AV440" s="704"/>
      <c r="AW440" s="724" t="str">
        <f>AW$3</f>
        <v>4Q11/</v>
      </c>
      <c r="AX440" s="704"/>
      <c r="AY440" s="724" t="str">
        <f>AY$3</f>
        <v>1Q12/</v>
      </c>
      <c r="AZ440" s="704"/>
      <c r="BA440" s="724" t="str">
        <f>BA$3</f>
        <v>2Q12/</v>
      </c>
      <c r="BB440" s="704"/>
      <c r="BC440" s="724" t="str">
        <f>BC$3</f>
        <v>3Q12/</v>
      </c>
      <c r="BD440" s="704"/>
      <c r="BE440" s="724" t="str">
        <f>BE$3</f>
        <v>4Q12/</v>
      </c>
      <c r="BF440" s="704"/>
      <c r="BG440" s="724" t="str">
        <f>BG$3</f>
        <v>1Q13/</v>
      </c>
      <c r="BH440" s="704"/>
      <c r="BI440" s="724" t="str">
        <f>BI$3</f>
        <v>2Q13/</v>
      </c>
      <c r="BJ440" s="704"/>
      <c r="BK440" s="724" t="str">
        <f>BK$3</f>
        <v>3Q13/</v>
      </c>
      <c r="BL440" s="704"/>
      <c r="BM440" s="724" t="str">
        <f>BM$3</f>
        <v>4Q13/</v>
      </c>
      <c r="BN440" s="704"/>
      <c r="BO440" s="724" t="str">
        <f>BO$3</f>
        <v>1Q14/</v>
      </c>
      <c r="BP440" s="704"/>
      <c r="BQ440" s="724" t="str">
        <f>BQ$3</f>
        <v>2Q14/</v>
      </c>
      <c r="BR440" s="704"/>
      <c r="BS440" s="724" t="str">
        <f>BS$3</f>
        <v>3Q14/</v>
      </c>
      <c r="BT440" s="704"/>
      <c r="BU440" s="724" t="str">
        <f>BU$3</f>
        <v>4Q14/</v>
      </c>
      <c r="BV440" s="704"/>
      <c r="BW440" s="724" t="str">
        <f>BW$3</f>
        <v>1Q15/</v>
      </c>
      <c r="BX440" s="704"/>
      <c r="BY440" s="724" t="str">
        <f>BY$3</f>
        <v>2Q15/</v>
      </c>
      <c r="BZ440" s="704"/>
      <c r="CA440" s="724" t="str">
        <f>CA$3</f>
        <v>3Q15/</v>
      </c>
      <c r="CB440" s="704"/>
      <c r="CC440" s="724" t="str">
        <f>CC$3</f>
        <v>4Q15/</v>
      </c>
      <c r="CD440" s="704"/>
      <c r="CE440" s="724" t="str">
        <f>CE$3</f>
        <v>1Q16/</v>
      </c>
      <c r="CF440" s="704"/>
      <c r="CG440" s="724" t="str">
        <f>CG$3</f>
        <v>2Q16/</v>
      </c>
      <c r="CH440" s="704"/>
      <c r="CI440" s="724" t="str">
        <f>CI$3</f>
        <v>3Q16/</v>
      </c>
      <c r="CJ440" s="704"/>
      <c r="CK440" s="724" t="str">
        <f>CK$3</f>
        <v>4Q16/</v>
      </c>
      <c r="CL440" s="704"/>
      <c r="CM440" s="724" t="str">
        <f t="shared" ref="CM440" si="246">CM$3</f>
        <v>1Q17/</v>
      </c>
      <c r="CN440" s="704"/>
      <c r="CO440" s="724" t="str">
        <f t="shared" ref="CO440" si="247">CO$3</f>
        <v>2Q17/</v>
      </c>
      <c r="CP440" s="704"/>
      <c r="CQ440" s="724" t="str">
        <f t="shared" ref="CQ440" si="248">CQ$3</f>
        <v>3Q17/</v>
      </c>
      <c r="CR440" s="704"/>
      <c r="CS440" s="724" t="str">
        <f t="shared" ref="CS440" si="249">CS$3</f>
        <v>4Q17/</v>
      </c>
      <c r="CT440" s="704"/>
      <c r="CU440" s="724" t="str">
        <f t="shared" ref="CU440" si="250">CU$3</f>
        <v>1Q18E/</v>
      </c>
      <c r="CV440" s="704"/>
      <c r="CW440" s="724" t="str">
        <f t="shared" ref="CW440" si="251">CW$3</f>
        <v>2Q18E/</v>
      </c>
      <c r="CX440" s="704"/>
      <c r="CY440" s="724" t="str">
        <f t="shared" ref="CY440" si="252">CY$3</f>
        <v>3Q18E/</v>
      </c>
      <c r="CZ440" s="704"/>
      <c r="DA440" s="724" t="str">
        <f t="shared" ref="DA440" si="253">DA$3</f>
        <v>4Q18E/</v>
      </c>
      <c r="DB440" s="724"/>
      <c r="DC440" s="704"/>
      <c r="DD440" s="724" t="str">
        <f>DD$3</f>
        <v>2005/</v>
      </c>
      <c r="DE440" s="704"/>
      <c r="DF440" s="724" t="str">
        <f>DF$3</f>
        <v>2006/</v>
      </c>
      <c r="DG440" s="704"/>
      <c r="DH440" s="724" t="str">
        <f>DH$3</f>
        <v>2007/</v>
      </c>
      <c r="DI440" s="704"/>
      <c r="DJ440" s="724" t="str">
        <f>DJ$3</f>
        <v>2008/</v>
      </c>
      <c r="DK440" s="704"/>
      <c r="DL440" s="724" t="str">
        <f>DL$3</f>
        <v>2009/</v>
      </c>
      <c r="DM440" s="704"/>
      <c r="DN440" s="724" t="str">
        <f>DN$3</f>
        <v>2010/</v>
      </c>
      <c r="DO440" s="704"/>
      <c r="DP440" s="724" t="str">
        <f>DP$3</f>
        <v>2011/</v>
      </c>
      <c r="DQ440" s="704"/>
      <c r="DR440" s="724" t="str">
        <f>DR$3</f>
        <v>2012/</v>
      </c>
      <c r="DS440" s="704"/>
      <c r="DT440" s="724" t="str">
        <f>DT$3</f>
        <v>2013/</v>
      </c>
      <c r="DU440" s="704"/>
      <c r="DV440" s="724" t="str">
        <f>DV$3</f>
        <v>2014/</v>
      </c>
      <c r="DW440" s="704"/>
      <c r="DX440" s="724" t="str">
        <f>DX$3</f>
        <v>2015/</v>
      </c>
      <c r="DY440" s="704"/>
      <c r="DZ440" s="724" t="str">
        <f>DZ$3</f>
        <v>2016/</v>
      </c>
      <c r="EA440" s="704"/>
      <c r="EB440" s="724" t="str">
        <f>EB$3</f>
        <v>2017/</v>
      </c>
      <c r="EC440" s="704"/>
      <c r="ED440" s="724" t="str">
        <f>ED$3</f>
        <v>2018E/</v>
      </c>
      <c r="EE440" s="704"/>
      <c r="EF440" s="724" t="str">
        <f>EF$3</f>
        <v>2019E/</v>
      </c>
      <c r="EG440" s="704"/>
      <c r="EH440" s="724" t="str">
        <f>EH$3</f>
        <v>2020E/</v>
      </c>
      <c r="EI440" s="704"/>
      <c r="EJ440" s="724" t="str">
        <f>EJ$3</f>
        <v>2021E/</v>
      </c>
      <c r="EK440" s="704"/>
      <c r="EL440" s="724" t="str">
        <f>EL$3</f>
        <v>2022E/</v>
      </c>
      <c r="EM440" s="705" t="str">
        <f>EM$3</f>
        <v>5-Yr</v>
      </c>
    </row>
    <row r="441" spans="1:143" s="3" customFormat="1" ht="12.75" hidden="1" customHeight="1" outlineLevel="2" x14ac:dyDescent="0.2">
      <c r="A441" s="693"/>
      <c r="B441" s="692"/>
      <c r="C441" s="496"/>
      <c r="D441" s="692"/>
      <c r="E441" s="496" t="str">
        <f>E$4</f>
        <v>2Q05</v>
      </c>
      <c r="F441" s="692"/>
      <c r="G441" s="496" t="str">
        <f>G$4</f>
        <v>3Q05</v>
      </c>
      <c r="H441" s="692"/>
      <c r="I441" s="496" t="str">
        <f>I$4</f>
        <v>4Q05</v>
      </c>
      <c r="J441" s="496"/>
      <c r="K441" s="496" t="str">
        <f>K$4</f>
        <v>1Q06</v>
      </c>
      <c r="L441" s="692"/>
      <c r="M441" s="496" t="str">
        <f>M$4</f>
        <v>2Q06</v>
      </c>
      <c r="N441" s="692"/>
      <c r="O441" s="496" t="str">
        <f>O$4</f>
        <v>3Q06</v>
      </c>
      <c r="P441" s="692"/>
      <c r="Q441" s="496" t="str">
        <f>Q$4</f>
        <v>4Q06</v>
      </c>
      <c r="R441" s="692"/>
      <c r="S441" s="496" t="str">
        <f>S$4</f>
        <v>1Q07</v>
      </c>
      <c r="T441" s="692"/>
      <c r="U441" s="496" t="str">
        <f>U$4</f>
        <v>2Q07</v>
      </c>
      <c r="V441" s="692"/>
      <c r="W441" s="496" t="str">
        <f>W$4</f>
        <v>3Q07</v>
      </c>
      <c r="X441" s="692"/>
      <c r="Y441" s="496" t="str">
        <f>Y$4</f>
        <v>4Q07</v>
      </c>
      <c r="Z441" s="692"/>
      <c r="AA441" s="496" t="str">
        <f>AA$4</f>
        <v>1Q08</v>
      </c>
      <c r="AB441" s="692"/>
      <c r="AC441" s="496" t="str">
        <f>AC$4</f>
        <v>2Q08</v>
      </c>
      <c r="AD441" s="692"/>
      <c r="AE441" s="496" t="str">
        <f>AE$4</f>
        <v>3Q08</v>
      </c>
      <c r="AF441" s="692"/>
      <c r="AG441" s="496" t="str">
        <f>AG$4</f>
        <v>4Q08</v>
      </c>
      <c r="AH441" s="692"/>
      <c r="AI441" s="496" t="str">
        <f>AI$4</f>
        <v>1Q09</v>
      </c>
      <c r="AJ441" s="692"/>
      <c r="AK441" s="496" t="str">
        <f>AK$4</f>
        <v>2Q09</v>
      </c>
      <c r="AL441" s="692"/>
      <c r="AM441" s="496" t="str">
        <f>AM$4</f>
        <v>3Q09</v>
      </c>
      <c r="AN441" s="692"/>
      <c r="AO441" s="496" t="str">
        <f>AO$4</f>
        <v>4Q09</v>
      </c>
      <c r="AP441" s="692"/>
      <c r="AQ441" s="496" t="str">
        <f>AQ$4</f>
        <v>1Q10</v>
      </c>
      <c r="AR441" s="692"/>
      <c r="AS441" s="496" t="str">
        <f>AS$4</f>
        <v>2Q10</v>
      </c>
      <c r="AT441" s="692"/>
      <c r="AU441" s="496" t="str">
        <f>AU$4</f>
        <v>3Q10</v>
      </c>
      <c r="AV441" s="692"/>
      <c r="AW441" s="496" t="str">
        <f>AW$4</f>
        <v>4Q10</v>
      </c>
      <c r="AX441" s="692"/>
      <c r="AY441" s="496" t="str">
        <f>AY$4</f>
        <v>1Q11</v>
      </c>
      <c r="AZ441" s="692"/>
      <c r="BA441" s="496" t="str">
        <f>BA$4</f>
        <v>2Q11</v>
      </c>
      <c r="BB441" s="692"/>
      <c r="BC441" s="496" t="str">
        <f>BC$4</f>
        <v>3Q11</v>
      </c>
      <c r="BD441" s="692"/>
      <c r="BE441" s="496" t="str">
        <f>BE$4</f>
        <v>4Q11</v>
      </c>
      <c r="BF441" s="692"/>
      <c r="BG441" s="496" t="str">
        <f>BG$4</f>
        <v>1Q12</v>
      </c>
      <c r="BH441" s="692"/>
      <c r="BI441" s="496" t="str">
        <f>BI$4</f>
        <v>2Q12</v>
      </c>
      <c r="BJ441" s="692"/>
      <c r="BK441" s="496" t="str">
        <f>BK$4</f>
        <v>3Q12</v>
      </c>
      <c r="BL441" s="692"/>
      <c r="BM441" s="496" t="str">
        <f>BM$4</f>
        <v>4Q12</v>
      </c>
      <c r="BN441" s="692"/>
      <c r="BO441" s="496" t="str">
        <f>BO$4</f>
        <v>1Q13</v>
      </c>
      <c r="BP441" s="692"/>
      <c r="BQ441" s="496" t="str">
        <f>BQ$4</f>
        <v>2Q13</v>
      </c>
      <c r="BR441" s="692"/>
      <c r="BS441" s="496" t="str">
        <f>BS$4</f>
        <v>3Q13</v>
      </c>
      <c r="BT441" s="692"/>
      <c r="BU441" s="496" t="str">
        <f>BU$4</f>
        <v>4Q13</v>
      </c>
      <c r="BV441" s="692"/>
      <c r="BW441" s="496" t="str">
        <f>BW$4</f>
        <v>1Q14</v>
      </c>
      <c r="BX441" s="692"/>
      <c r="BY441" s="496" t="str">
        <f>BY$4</f>
        <v>2Q14</v>
      </c>
      <c r="BZ441" s="692"/>
      <c r="CA441" s="496" t="str">
        <f>CA$4</f>
        <v>3Q14</v>
      </c>
      <c r="CB441" s="692"/>
      <c r="CC441" s="496" t="str">
        <f>CC$4</f>
        <v>4Q14</v>
      </c>
      <c r="CD441" s="692"/>
      <c r="CE441" s="496" t="str">
        <f>CE$4</f>
        <v>1Q15</v>
      </c>
      <c r="CF441" s="692"/>
      <c r="CG441" s="496" t="str">
        <f>CG$4</f>
        <v>2Q15</v>
      </c>
      <c r="CH441" s="692"/>
      <c r="CI441" s="496" t="str">
        <f>CI$4</f>
        <v>3Q15</v>
      </c>
      <c r="CJ441" s="692"/>
      <c r="CK441" s="496" t="str">
        <f>CK$4</f>
        <v>4Q15</v>
      </c>
      <c r="CL441" s="692"/>
      <c r="CM441" s="496" t="str">
        <f t="shared" ref="CM441" si="254">CM$4</f>
        <v>1Q16</v>
      </c>
      <c r="CN441" s="692"/>
      <c r="CO441" s="496" t="str">
        <f t="shared" ref="CO441" si="255">CO$4</f>
        <v>2Q16</v>
      </c>
      <c r="CP441" s="692"/>
      <c r="CQ441" s="496" t="str">
        <f t="shared" ref="CQ441" si="256">CQ$4</f>
        <v>3Q16</v>
      </c>
      <c r="CR441" s="692"/>
      <c r="CS441" s="496" t="str">
        <f t="shared" ref="CS441" si="257">CS$4</f>
        <v>4Q16</v>
      </c>
      <c r="CT441" s="692"/>
      <c r="CU441" s="496" t="str">
        <f t="shared" ref="CU441" si="258">CU$4</f>
        <v>1Q17</v>
      </c>
      <c r="CV441" s="692"/>
      <c r="CW441" s="496" t="str">
        <f t="shared" ref="CW441" si="259">CW$4</f>
        <v>2Q17</v>
      </c>
      <c r="CX441" s="692"/>
      <c r="CY441" s="496" t="str">
        <f t="shared" ref="CY441" si="260">CY$4</f>
        <v>3Q17</v>
      </c>
      <c r="CZ441" s="692"/>
      <c r="DA441" s="496" t="str">
        <f t="shared" ref="DA441" si="261">DA$4</f>
        <v>4Q17</v>
      </c>
      <c r="DB441" s="496"/>
      <c r="DC441" s="692"/>
      <c r="DD441" s="686">
        <f>DD$4</f>
        <v>2004</v>
      </c>
      <c r="DE441" s="692"/>
      <c r="DF441" s="686">
        <f>DF$4</f>
        <v>2005</v>
      </c>
      <c r="DG441" s="692"/>
      <c r="DH441" s="686">
        <f>DH$4</f>
        <v>2006</v>
      </c>
      <c r="DI441" s="692"/>
      <c r="DJ441" s="686">
        <f>DJ$4</f>
        <v>2007</v>
      </c>
      <c r="DK441" s="692"/>
      <c r="DL441" s="725">
        <f>DL$4</f>
        <v>2008</v>
      </c>
      <c r="DM441" s="692"/>
      <c r="DN441" s="725" t="str">
        <f>DN$4</f>
        <v>2009</v>
      </c>
      <c r="DO441" s="692"/>
      <c r="DP441" s="725" t="str">
        <f>DP$4</f>
        <v>2010</v>
      </c>
      <c r="DQ441" s="692"/>
      <c r="DR441" s="725" t="str">
        <f>DR$4</f>
        <v>2011</v>
      </c>
      <c r="DS441" s="692"/>
      <c r="DT441" s="725" t="str">
        <f>DT$4</f>
        <v>2012</v>
      </c>
      <c r="DU441" s="692"/>
      <c r="DV441" s="725" t="str">
        <f>DV$4</f>
        <v>2013</v>
      </c>
      <c r="DW441" s="692"/>
      <c r="DX441" s="725" t="str">
        <f>DX$4</f>
        <v>2014</v>
      </c>
      <c r="DY441" s="692"/>
      <c r="DZ441" s="725" t="str">
        <f>DZ$4</f>
        <v>2015</v>
      </c>
      <c r="EA441" s="692"/>
      <c r="EB441" s="725" t="str">
        <f>EB$4</f>
        <v>2016</v>
      </c>
      <c r="EC441" s="692"/>
      <c r="ED441" s="725" t="str">
        <f>ED$4</f>
        <v>2017</v>
      </c>
      <c r="EE441" s="692"/>
      <c r="EF441" s="725" t="str">
        <f>EF$4</f>
        <v>2018E</v>
      </c>
      <c r="EG441" s="692"/>
      <c r="EH441" s="725" t="str">
        <f>EH$4</f>
        <v>2019E</v>
      </c>
      <c r="EI441" s="692"/>
      <c r="EJ441" s="725" t="str">
        <f>EJ$4</f>
        <v>2020E</v>
      </c>
      <c r="EK441" s="692"/>
      <c r="EL441" s="725" t="str">
        <f>EL$4</f>
        <v>2021E</v>
      </c>
      <c r="EM441" s="686" t="str">
        <f>EM$4</f>
        <v>CAGR</v>
      </c>
    </row>
    <row r="442" spans="1:143" s="3" customFormat="1" ht="12.75" hidden="1" customHeight="1" outlineLevel="2" x14ac:dyDescent="0.2">
      <c r="A442" s="694"/>
      <c r="B442" s="695" t="str">
        <f t="shared" ref="B442:BN442" si="262">B$5</f>
        <v>1Q06</v>
      </c>
      <c r="C442" s="726" t="str">
        <f t="shared" si="262"/>
        <v>% Chg</v>
      </c>
      <c r="D442" s="695" t="str">
        <f t="shared" si="262"/>
        <v>2Q06</v>
      </c>
      <c r="E442" s="726" t="str">
        <f t="shared" si="262"/>
        <v>% Chg</v>
      </c>
      <c r="F442" s="695" t="str">
        <f t="shared" si="262"/>
        <v>3Q06</v>
      </c>
      <c r="G442" s="726" t="str">
        <f t="shared" si="262"/>
        <v>% Chg</v>
      </c>
      <c r="H442" s="695" t="str">
        <f t="shared" si="262"/>
        <v>4Q06</v>
      </c>
      <c r="I442" s="726" t="str">
        <f t="shared" si="262"/>
        <v>% Chg</v>
      </c>
      <c r="J442" s="695" t="str">
        <f t="shared" si="262"/>
        <v>1Q07</v>
      </c>
      <c r="K442" s="726" t="str">
        <f t="shared" si="262"/>
        <v>% Chg</v>
      </c>
      <c r="L442" s="695" t="str">
        <f t="shared" si="262"/>
        <v>2Q07</v>
      </c>
      <c r="M442" s="726" t="str">
        <f t="shared" si="262"/>
        <v>% Chg</v>
      </c>
      <c r="N442" s="695" t="str">
        <f t="shared" si="262"/>
        <v>3Q07</v>
      </c>
      <c r="O442" s="726" t="str">
        <f t="shared" si="262"/>
        <v>% Chg</v>
      </c>
      <c r="P442" s="695" t="str">
        <f t="shared" si="262"/>
        <v>4Q07</v>
      </c>
      <c r="Q442" s="726" t="str">
        <f t="shared" si="262"/>
        <v>% Chg</v>
      </c>
      <c r="R442" s="695" t="str">
        <f t="shared" si="262"/>
        <v>1Q08</v>
      </c>
      <c r="S442" s="726" t="str">
        <f t="shared" si="262"/>
        <v>% Chg</v>
      </c>
      <c r="T442" s="695" t="str">
        <f t="shared" si="262"/>
        <v>2Q08</v>
      </c>
      <c r="U442" s="726" t="str">
        <f t="shared" si="262"/>
        <v>% Chg</v>
      </c>
      <c r="V442" s="695" t="str">
        <f t="shared" si="262"/>
        <v>3Q08</v>
      </c>
      <c r="W442" s="726" t="str">
        <f t="shared" si="262"/>
        <v>% Chg</v>
      </c>
      <c r="X442" s="695" t="str">
        <f t="shared" si="262"/>
        <v>4Q08</v>
      </c>
      <c r="Y442" s="726" t="str">
        <f t="shared" si="262"/>
        <v>% Chg</v>
      </c>
      <c r="Z442" s="695" t="str">
        <f t="shared" si="262"/>
        <v>1Q09</v>
      </c>
      <c r="AA442" s="726" t="str">
        <f t="shared" si="262"/>
        <v>% Chg</v>
      </c>
      <c r="AB442" s="695" t="str">
        <f t="shared" si="262"/>
        <v>2Q09</v>
      </c>
      <c r="AC442" s="726" t="str">
        <f t="shared" si="262"/>
        <v>% Chg</v>
      </c>
      <c r="AD442" s="695" t="str">
        <f t="shared" si="262"/>
        <v>3Q09</v>
      </c>
      <c r="AE442" s="726" t="str">
        <f t="shared" si="262"/>
        <v>% Chg</v>
      </c>
      <c r="AF442" s="695" t="str">
        <f t="shared" si="262"/>
        <v>4Q09</v>
      </c>
      <c r="AG442" s="726" t="str">
        <f t="shared" si="262"/>
        <v>% Chg</v>
      </c>
      <c r="AH442" s="695" t="str">
        <f t="shared" si="262"/>
        <v>1Q10</v>
      </c>
      <c r="AI442" s="726" t="str">
        <f t="shared" si="262"/>
        <v>% Chg</v>
      </c>
      <c r="AJ442" s="695" t="str">
        <f t="shared" si="262"/>
        <v>2Q10</v>
      </c>
      <c r="AK442" s="726" t="str">
        <f t="shared" si="262"/>
        <v>% Chg</v>
      </c>
      <c r="AL442" s="695" t="str">
        <f t="shared" si="262"/>
        <v>3Q10</v>
      </c>
      <c r="AM442" s="726" t="str">
        <f t="shared" si="262"/>
        <v>% Chg</v>
      </c>
      <c r="AN442" s="695" t="str">
        <f t="shared" si="262"/>
        <v>4Q10</v>
      </c>
      <c r="AO442" s="726" t="str">
        <f t="shared" si="262"/>
        <v>% Chg</v>
      </c>
      <c r="AP442" s="695" t="str">
        <f t="shared" si="262"/>
        <v>1Q11</v>
      </c>
      <c r="AQ442" s="726" t="str">
        <f t="shared" si="262"/>
        <v>% Chg</v>
      </c>
      <c r="AR442" s="695" t="str">
        <f t="shared" si="262"/>
        <v>2Q11</v>
      </c>
      <c r="AS442" s="726" t="str">
        <f t="shared" si="262"/>
        <v>% Chg</v>
      </c>
      <c r="AT442" s="695" t="str">
        <f t="shared" si="262"/>
        <v>3Q11</v>
      </c>
      <c r="AU442" s="726" t="str">
        <f t="shared" si="262"/>
        <v>% Chg</v>
      </c>
      <c r="AV442" s="695" t="str">
        <f t="shared" si="262"/>
        <v>4Q11</v>
      </c>
      <c r="AW442" s="726" t="str">
        <f t="shared" si="262"/>
        <v>% Chg</v>
      </c>
      <c r="AX442" s="695" t="str">
        <f t="shared" si="262"/>
        <v>1Q12</v>
      </c>
      <c r="AY442" s="726" t="str">
        <f t="shared" si="262"/>
        <v>% Chg</v>
      </c>
      <c r="AZ442" s="695" t="str">
        <f t="shared" si="262"/>
        <v>2Q12</v>
      </c>
      <c r="BA442" s="726" t="str">
        <f t="shared" si="262"/>
        <v>% Chg</v>
      </c>
      <c r="BB442" s="695" t="str">
        <f t="shared" si="262"/>
        <v>3Q12</v>
      </c>
      <c r="BC442" s="726" t="str">
        <f t="shared" si="262"/>
        <v>% Chg</v>
      </c>
      <c r="BD442" s="695" t="str">
        <f t="shared" si="262"/>
        <v>4Q12</v>
      </c>
      <c r="BE442" s="726" t="str">
        <f t="shared" si="262"/>
        <v>% Chg</v>
      </c>
      <c r="BF442" s="695" t="str">
        <f t="shared" si="262"/>
        <v>1Q13</v>
      </c>
      <c r="BG442" s="726" t="str">
        <f t="shared" si="262"/>
        <v>% Chg</v>
      </c>
      <c r="BH442" s="695" t="str">
        <f t="shared" si="262"/>
        <v>2Q13</v>
      </c>
      <c r="BI442" s="726" t="str">
        <f t="shared" si="262"/>
        <v>% Chg</v>
      </c>
      <c r="BJ442" s="695" t="str">
        <f t="shared" si="262"/>
        <v>3Q13</v>
      </c>
      <c r="BK442" s="726" t="str">
        <f t="shared" si="262"/>
        <v>% Chg</v>
      </c>
      <c r="BL442" s="695" t="str">
        <f t="shared" si="262"/>
        <v>4Q13</v>
      </c>
      <c r="BM442" s="726" t="str">
        <f t="shared" si="262"/>
        <v>% Chg</v>
      </c>
      <c r="BN442" s="695" t="str">
        <f t="shared" si="262"/>
        <v>1Q14</v>
      </c>
      <c r="BO442" s="726" t="str">
        <f t="shared" ref="BO442:DA442" si="263">BO$5</f>
        <v>% Chg</v>
      </c>
      <c r="BP442" s="695" t="str">
        <f t="shared" si="263"/>
        <v>2Q14</v>
      </c>
      <c r="BQ442" s="726" t="str">
        <f t="shared" si="263"/>
        <v>% Chg</v>
      </c>
      <c r="BR442" s="695" t="str">
        <f t="shared" si="263"/>
        <v>3Q14</v>
      </c>
      <c r="BS442" s="726" t="str">
        <f t="shared" si="263"/>
        <v>% Chg</v>
      </c>
      <c r="BT442" s="695" t="str">
        <f t="shared" si="263"/>
        <v>4Q14</v>
      </c>
      <c r="BU442" s="726" t="str">
        <f t="shared" si="263"/>
        <v>% Chg</v>
      </c>
      <c r="BV442" s="695" t="str">
        <f t="shared" si="263"/>
        <v>1Q15</v>
      </c>
      <c r="BW442" s="726" t="str">
        <f t="shared" si="263"/>
        <v>% Chg</v>
      </c>
      <c r="BX442" s="695" t="str">
        <f t="shared" si="263"/>
        <v>2Q15</v>
      </c>
      <c r="BY442" s="726" t="str">
        <f t="shared" si="263"/>
        <v>% Chg</v>
      </c>
      <c r="BZ442" s="695" t="str">
        <f t="shared" si="263"/>
        <v>3Q15</v>
      </c>
      <c r="CA442" s="726" t="str">
        <f t="shared" si="263"/>
        <v>% Chg</v>
      </c>
      <c r="CB442" s="695" t="str">
        <f t="shared" si="263"/>
        <v>4Q15</v>
      </c>
      <c r="CC442" s="726" t="str">
        <f t="shared" si="263"/>
        <v>% Chg</v>
      </c>
      <c r="CD442" s="695" t="str">
        <f t="shared" si="263"/>
        <v>1Q16</v>
      </c>
      <c r="CE442" s="726" t="str">
        <f t="shared" si="263"/>
        <v>% Chg</v>
      </c>
      <c r="CF442" s="695" t="str">
        <f t="shared" si="263"/>
        <v>2Q16</v>
      </c>
      <c r="CG442" s="726" t="str">
        <f t="shared" si="263"/>
        <v>% Chg</v>
      </c>
      <c r="CH442" s="695" t="str">
        <f t="shared" si="263"/>
        <v>3Q16</v>
      </c>
      <c r="CI442" s="726" t="str">
        <f t="shared" si="263"/>
        <v>% Chg</v>
      </c>
      <c r="CJ442" s="695" t="str">
        <f t="shared" si="263"/>
        <v>4Q16</v>
      </c>
      <c r="CK442" s="726" t="str">
        <f t="shared" si="263"/>
        <v>% Chg</v>
      </c>
      <c r="CL442" s="695" t="str">
        <f t="shared" si="263"/>
        <v>1Q17</v>
      </c>
      <c r="CM442" s="726" t="str">
        <f t="shared" si="263"/>
        <v>% Chg</v>
      </c>
      <c r="CN442" s="695" t="str">
        <f t="shared" si="263"/>
        <v>2Q17</v>
      </c>
      <c r="CO442" s="726" t="str">
        <f t="shared" si="263"/>
        <v>% Chg</v>
      </c>
      <c r="CP442" s="695" t="str">
        <f t="shared" si="263"/>
        <v>3Q17</v>
      </c>
      <c r="CQ442" s="726" t="str">
        <f t="shared" si="263"/>
        <v>% Chg</v>
      </c>
      <c r="CR442" s="695" t="str">
        <f t="shared" si="263"/>
        <v>4Q17</v>
      </c>
      <c r="CS442" s="726" t="str">
        <f t="shared" si="263"/>
        <v>% Chg</v>
      </c>
      <c r="CT442" s="695" t="str">
        <f t="shared" si="263"/>
        <v>1Q18E</v>
      </c>
      <c r="CU442" s="726" t="str">
        <f t="shared" si="263"/>
        <v>% Chg</v>
      </c>
      <c r="CV442" s="695" t="str">
        <f t="shared" si="263"/>
        <v>2Q18E</v>
      </c>
      <c r="CW442" s="726" t="str">
        <f t="shared" si="263"/>
        <v>% Chg</v>
      </c>
      <c r="CX442" s="695" t="str">
        <f t="shared" si="263"/>
        <v>3Q18E</v>
      </c>
      <c r="CY442" s="726" t="str">
        <f t="shared" si="263"/>
        <v>% Chg</v>
      </c>
      <c r="CZ442" s="695" t="str">
        <f t="shared" si="263"/>
        <v>4Q18E</v>
      </c>
      <c r="DA442" s="726" t="str">
        <f t="shared" si="263"/>
        <v>% Chg</v>
      </c>
      <c r="DB442" s="726"/>
      <c r="DC442" s="699">
        <f t="shared" ref="DC442:EM442" si="264">DC$5</f>
        <v>2005</v>
      </c>
      <c r="DD442" s="726" t="str">
        <f t="shared" si="264"/>
        <v>% Chg</v>
      </c>
      <c r="DE442" s="699">
        <f t="shared" si="264"/>
        <v>2006</v>
      </c>
      <c r="DF442" s="726" t="str">
        <f t="shared" si="264"/>
        <v>% Chg</v>
      </c>
      <c r="DG442" s="699">
        <f t="shared" si="264"/>
        <v>2007</v>
      </c>
      <c r="DH442" s="726" t="str">
        <f t="shared" si="264"/>
        <v>% Chg</v>
      </c>
      <c r="DI442" s="699">
        <f t="shared" si="264"/>
        <v>2008</v>
      </c>
      <c r="DJ442" s="726" t="str">
        <f t="shared" si="264"/>
        <v>% Chg</v>
      </c>
      <c r="DK442" s="695" t="str">
        <f t="shared" si="264"/>
        <v>2009</v>
      </c>
      <c r="DL442" s="726" t="str">
        <f t="shared" si="264"/>
        <v>% Chg</v>
      </c>
      <c r="DM442" s="695" t="str">
        <f t="shared" si="264"/>
        <v>2010</v>
      </c>
      <c r="DN442" s="726" t="str">
        <f t="shared" si="264"/>
        <v>% Chg</v>
      </c>
      <c r="DO442" s="695" t="str">
        <f t="shared" si="264"/>
        <v>2011</v>
      </c>
      <c r="DP442" s="726" t="str">
        <f t="shared" si="264"/>
        <v>% Chg</v>
      </c>
      <c r="DQ442" s="695" t="str">
        <f t="shared" si="264"/>
        <v>2012</v>
      </c>
      <c r="DR442" s="726" t="str">
        <f t="shared" si="264"/>
        <v>% Chg</v>
      </c>
      <c r="DS442" s="695" t="str">
        <f t="shared" si="264"/>
        <v>2013</v>
      </c>
      <c r="DT442" s="726" t="str">
        <f t="shared" si="264"/>
        <v>% Chg</v>
      </c>
      <c r="DU442" s="695" t="str">
        <f t="shared" si="264"/>
        <v>2014</v>
      </c>
      <c r="DV442" s="726" t="str">
        <f t="shared" si="264"/>
        <v>% Chg</v>
      </c>
      <c r="DW442" s="695" t="str">
        <f t="shared" si="264"/>
        <v>2015</v>
      </c>
      <c r="DX442" s="726" t="str">
        <f t="shared" si="264"/>
        <v>% Chg</v>
      </c>
      <c r="DY442" s="695" t="str">
        <f t="shared" si="264"/>
        <v>2016</v>
      </c>
      <c r="DZ442" s="726" t="str">
        <f t="shared" si="264"/>
        <v>% Chg</v>
      </c>
      <c r="EA442" s="695" t="str">
        <f t="shared" si="264"/>
        <v>2017</v>
      </c>
      <c r="EB442" s="726" t="str">
        <f t="shared" si="264"/>
        <v>% Chg</v>
      </c>
      <c r="EC442" s="695" t="str">
        <f t="shared" si="264"/>
        <v>2018E</v>
      </c>
      <c r="ED442" s="726" t="str">
        <f t="shared" si="264"/>
        <v>% Chg</v>
      </c>
      <c r="EE442" s="695" t="str">
        <f t="shared" si="264"/>
        <v>2019E</v>
      </c>
      <c r="EF442" s="726" t="str">
        <f t="shared" si="264"/>
        <v>% Chg</v>
      </c>
      <c r="EG442" s="695" t="str">
        <f t="shared" si="264"/>
        <v>2020E</v>
      </c>
      <c r="EH442" s="726" t="str">
        <f t="shared" si="264"/>
        <v>% Chg</v>
      </c>
      <c r="EI442" s="695" t="str">
        <f t="shared" si="264"/>
        <v>2021E</v>
      </c>
      <c r="EJ442" s="726" t="str">
        <f t="shared" si="264"/>
        <v>% Chg</v>
      </c>
      <c r="EK442" s="695" t="str">
        <f t="shared" si="264"/>
        <v>2022E</v>
      </c>
      <c r="EL442" s="726" t="str">
        <f t="shared" si="264"/>
        <v>% Chg</v>
      </c>
      <c r="EM442" s="696" t="str">
        <f t="shared" si="264"/>
        <v>(%)</v>
      </c>
    </row>
    <row r="443" spans="1:143" ht="12.75" hidden="1" customHeight="1" outlineLevel="2" x14ac:dyDescent="0.2">
      <c r="A443" s="700"/>
      <c r="B443" s="16"/>
      <c r="C443" s="507"/>
      <c r="D443" s="16"/>
      <c r="E443" s="687"/>
      <c r="F443" s="16"/>
      <c r="G443" s="687"/>
      <c r="H443" s="16"/>
      <c r="I443" s="687"/>
      <c r="J443" s="16"/>
      <c r="K443" s="507"/>
      <c r="L443" s="16"/>
      <c r="M443" s="507"/>
      <c r="N443" s="16"/>
      <c r="O443" s="507"/>
      <c r="P443" s="16"/>
      <c r="Q443" s="507"/>
      <c r="R443" s="16"/>
      <c r="S443" s="507"/>
      <c r="T443" s="16"/>
      <c r="U443" s="507"/>
      <c r="V443" s="16"/>
      <c r="W443" s="507"/>
      <c r="X443" s="16"/>
      <c r="Y443" s="507"/>
      <c r="Z443" s="16"/>
      <c r="AA443" s="507"/>
      <c r="AB443" s="16"/>
      <c r="AC443" s="507"/>
      <c r="AD443" s="16"/>
      <c r="AE443" s="507"/>
      <c r="AF443" s="16"/>
      <c r="AG443" s="507"/>
      <c r="AH443" s="16"/>
      <c r="AI443" s="507"/>
      <c r="AJ443" s="16"/>
      <c r="AK443" s="507"/>
      <c r="AL443" s="16"/>
      <c r="AM443" s="507"/>
      <c r="AN443" s="16"/>
      <c r="AO443" s="507"/>
      <c r="AP443" s="16"/>
      <c r="AQ443" s="507"/>
      <c r="AR443" s="16"/>
      <c r="AS443" s="507"/>
      <c r="AT443" s="16"/>
      <c r="AU443" s="507"/>
      <c r="AV443" s="16"/>
      <c r="AW443" s="507"/>
      <c r="AX443" s="16"/>
      <c r="AY443" s="507"/>
      <c r="AZ443" s="16"/>
      <c r="BA443" s="507"/>
      <c r="BB443" s="16"/>
      <c r="BC443" s="507"/>
      <c r="BD443" s="16"/>
      <c r="BE443" s="507"/>
      <c r="BF443" s="16"/>
      <c r="BG443" s="507"/>
      <c r="BH443" s="16"/>
      <c r="BI443" s="507"/>
      <c r="BJ443" s="16"/>
      <c r="BK443" s="507"/>
      <c r="BL443" s="16"/>
      <c r="BM443" s="507"/>
      <c r="BN443" s="16"/>
      <c r="BO443" s="507"/>
      <c r="BP443" s="16"/>
      <c r="BQ443" s="507"/>
      <c r="BR443" s="16"/>
      <c r="BS443" s="507"/>
      <c r="BT443" s="16"/>
      <c r="BU443" s="507"/>
      <c r="BV443" s="16"/>
      <c r="BW443" s="507"/>
      <c r="BX443" s="16"/>
      <c r="BY443" s="507"/>
      <c r="BZ443" s="16"/>
      <c r="CA443" s="507"/>
      <c r="CB443" s="16"/>
      <c r="CC443" s="507"/>
      <c r="CD443" s="16"/>
      <c r="CE443" s="507"/>
      <c r="CF443" s="16"/>
      <c r="CG443" s="507"/>
      <c r="CH443" s="16"/>
      <c r="CI443" s="507"/>
      <c r="CJ443" s="16"/>
      <c r="CK443" s="507"/>
      <c r="CL443" s="16"/>
      <c r="CM443" s="507"/>
      <c r="CN443" s="16"/>
      <c r="CO443" s="507"/>
      <c r="CP443" s="16"/>
      <c r="CQ443" s="507"/>
      <c r="CR443" s="16"/>
      <c r="CS443" s="507"/>
      <c r="CT443" s="16"/>
      <c r="CU443" s="507"/>
      <c r="CV443" s="16"/>
      <c r="CW443" s="507"/>
      <c r="CX443" s="16"/>
      <c r="CY443" s="507"/>
      <c r="CZ443" s="16"/>
      <c r="DA443" s="507"/>
      <c r="DB443" s="507"/>
      <c r="DC443" s="16"/>
      <c r="DD443" s="507"/>
      <c r="DE443" s="16"/>
      <c r="DF443" s="507"/>
      <c r="DG443" s="16"/>
      <c r="DH443" s="507"/>
      <c r="DI443" s="16"/>
      <c r="DJ443" s="507"/>
      <c r="DK443" s="16"/>
      <c r="DL443" s="507"/>
      <c r="DM443" s="16"/>
      <c r="DN443" s="507"/>
      <c r="DO443" s="16"/>
      <c r="DP443" s="507"/>
      <c r="DQ443" s="16"/>
      <c r="DR443" s="507"/>
      <c r="DS443" s="16"/>
      <c r="DT443" s="507"/>
      <c r="DU443" s="16"/>
      <c r="DV443" s="507"/>
      <c r="DW443" s="16"/>
      <c r="DX443" s="507"/>
      <c r="DY443" s="16"/>
      <c r="DZ443" s="507"/>
      <c r="EA443" s="16"/>
      <c r="EB443" s="507"/>
      <c r="EC443" s="16"/>
      <c r="ED443" s="507"/>
      <c r="EE443" s="16"/>
      <c r="EF443" s="507"/>
      <c r="EG443" s="16"/>
      <c r="EH443" s="507"/>
      <c r="EI443" s="16"/>
      <c r="EJ443" s="507"/>
      <c r="EK443" s="16"/>
      <c r="EL443" s="507"/>
      <c r="EM443" s="687"/>
    </row>
    <row r="444" spans="1:143" ht="12.75" hidden="1" customHeight="1" outlineLevel="2" x14ac:dyDescent="0.2">
      <c r="A444" s="700" t="str">
        <f>INPUT!B438</f>
        <v>REVENUES</v>
      </c>
      <c r="B444" s="16"/>
      <c r="C444" s="507"/>
      <c r="D444" s="16"/>
      <c r="E444" s="687"/>
      <c r="F444" s="16"/>
      <c r="G444" s="687"/>
      <c r="H444" s="16"/>
      <c r="I444" s="687"/>
      <c r="J444" s="16"/>
      <c r="K444" s="507"/>
      <c r="L444" s="16"/>
      <c r="M444" s="507"/>
      <c r="N444" s="16"/>
      <c r="O444" s="507"/>
      <c r="P444" s="16"/>
      <c r="Q444" s="507"/>
      <c r="R444" s="16"/>
      <c r="S444" s="507"/>
      <c r="T444" s="16"/>
      <c r="U444" s="507"/>
      <c r="V444" s="16"/>
      <c r="W444" s="507"/>
      <c r="X444" s="16"/>
      <c r="Y444" s="507"/>
      <c r="Z444" s="16"/>
      <c r="AA444" s="507"/>
      <c r="AB444" s="16"/>
      <c r="AC444" s="507"/>
      <c r="AD444" s="16"/>
      <c r="AE444" s="507"/>
      <c r="AF444" s="16"/>
      <c r="AG444" s="507"/>
      <c r="AH444" s="16"/>
      <c r="AI444" s="507"/>
      <c r="AJ444" s="16"/>
      <c r="AK444" s="507"/>
      <c r="AL444" s="16"/>
      <c r="AM444" s="507"/>
      <c r="AN444" s="16"/>
      <c r="AO444" s="507"/>
      <c r="AP444" s="16"/>
      <c r="AQ444" s="507"/>
      <c r="AR444" s="16"/>
      <c r="AS444" s="507"/>
      <c r="AT444" s="16"/>
      <c r="AU444" s="507"/>
      <c r="AV444" s="16"/>
      <c r="AW444" s="507"/>
      <c r="AX444" s="16"/>
      <c r="AY444" s="507"/>
      <c r="AZ444" s="16"/>
      <c r="BA444" s="507"/>
      <c r="BB444" s="16"/>
      <c r="BC444" s="507"/>
      <c r="BD444" s="16"/>
      <c r="BE444" s="507"/>
      <c r="BF444" s="16"/>
      <c r="BG444" s="507"/>
      <c r="BH444" s="16"/>
      <c r="BI444" s="507"/>
      <c r="BJ444" s="16"/>
      <c r="BK444" s="507"/>
      <c r="BL444" s="16"/>
      <c r="BM444" s="507"/>
      <c r="BN444" s="16"/>
      <c r="BO444" s="507"/>
      <c r="BP444" s="16"/>
      <c r="BQ444" s="507"/>
      <c r="BR444" s="16"/>
      <c r="BS444" s="507"/>
      <c r="BT444" s="16"/>
      <c r="BU444" s="507"/>
      <c r="BV444" s="16"/>
      <c r="BW444" s="507"/>
      <c r="BX444" s="16"/>
      <c r="BY444" s="507"/>
      <c r="BZ444" s="16"/>
      <c r="CA444" s="507"/>
      <c r="CB444" s="16"/>
      <c r="CC444" s="507"/>
      <c r="CD444" s="16"/>
      <c r="CE444" s="507"/>
      <c r="CF444" s="16"/>
      <c r="CG444" s="507"/>
      <c r="CH444" s="16"/>
      <c r="CI444" s="507"/>
      <c r="CJ444" s="16"/>
      <c r="CK444" s="507"/>
      <c r="CL444" s="16"/>
      <c r="CM444" s="507"/>
      <c r="CN444" s="16"/>
      <c r="CO444" s="507"/>
      <c r="CP444" s="16"/>
      <c r="CQ444" s="507"/>
      <c r="CR444" s="16"/>
      <c r="CS444" s="507"/>
      <c r="CT444" s="16"/>
      <c r="CU444" s="507"/>
      <c r="CV444" s="16"/>
      <c r="CW444" s="507"/>
      <c r="CX444" s="16"/>
      <c r="CY444" s="507"/>
      <c r="CZ444" s="16"/>
      <c r="DA444" s="507"/>
      <c r="DB444" s="507"/>
      <c r="DC444" s="16"/>
      <c r="DD444" s="507"/>
      <c r="DE444" s="16"/>
      <c r="DF444" s="507"/>
      <c r="DG444" s="16"/>
      <c r="DH444" s="507"/>
      <c r="DI444" s="16"/>
      <c r="DJ444" s="507"/>
      <c r="DK444" s="16"/>
      <c r="DL444" s="507"/>
      <c r="DM444" s="16"/>
      <c r="DN444" s="507"/>
      <c r="DO444" s="16"/>
      <c r="DP444" s="507"/>
      <c r="DQ444" s="16"/>
      <c r="DR444" s="507"/>
      <c r="DS444" s="16"/>
      <c r="DT444" s="507"/>
      <c r="DU444" s="16"/>
      <c r="DV444" s="507"/>
      <c r="DW444" s="16"/>
      <c r="DX444" s="507"/>
      <c r="DY444" s="16"/>
      <c r="DZ444" s="507"/>
      <c r="EA444" s="16"/>
      <c r="EB444" s="507"/>
      <c r="EC444" s="16"/>
      <c r="ED444" s="507"/>
      <c r="EE444" s="16"/>
      <c r="EF444" s="507"/>
      <c r="EG444" s="16"/>
      <c r="EH444" s="507"/>
      <c r="EI444" s="16"/>
      <c r="EJ444" s="507"/>
      <c r="EK444" s="16"/>
      <c r="EL444" s="507"/>
      <c r="EM444" s="687"/>
    </row>
    <row r="445" spans="1:143" ht="12.75" hidden="1" customHeight="1" outlineLevel="2" x14ac:dyDescent="0.2">
      <c r="A445" s="701" t="str">
        <f>INPUT!B439</f>
        <v>Communication Revenues</v>
      </c>
      <c r="B445" s="151"/>
      <c r="C445" s="507"/>
      <c r="D445" s="151">
        <f>INPUT!BA439</f>
        <v>57.5</v>
      </c>
      <c r="E445" s="687">
        <f>INPUT!BB439</f>
        <v>0.5279904891779319</v>
      </c>
      <c r="F445" s="151">
        <f>INPUT!BC439</f>
        <v>59.8</v>
      </c>
      <c r="G445" s="687">
        <f>INPUT!BD439</f>
        <v>1.0203392121089339</v>
      </c>
      <c r="H445" s="151">
        <f>INPUT!BE439</f>
        <v>70</v>
      </c>
      <c r="I445" s="687">
        <f>INPUT!BF439</f>
        <v>1.0071859397997152</v>
      </c>
      <c r="J445" s="151"/>
      <c r="K445" s="687"/>
      <c r="L445" s="151"/>
      <c r="M445" s="687"/>
      <c r="N445" s="151"/>
      <c r="O445" s="687"/>
      <c r="P445" s="151"/>
      <c r="Q445" s="687"/>
      <c r="R445" s="151"/>
      <c r="S445" s="507"/>
      <c r="T445" s="151"/>
      <c r="U445" s="507"/>
      <c r="V445" s="151"/>
      <c r="W445" s="507"/>
      <c r="X445" s="151"/>
      <c r="Y445" s="507"/>
      <c r="Z445" s="151"/>
      <c r="AA445" s="507"/>
      <c r="AB445" s="151"/>
      <c r="AC445" s="507"/>
      <c r="AD445" s="151"/>
      <c r="AE445" s="507"/>
      <c r="AF445" s="151"/>
      <c r="AG445" s="507"/>
      <c r="AH445" s="151"/>
      <c r="AI445" s="507"/>
      <c r="AJ445" s="151"/>
      <c r="AK445" s="507"/>
      <c r="AL445" s="151"/>
      <c r="AM445" s="507"/>
      <c r="AN445" s="151"/>
      <c r="AO445" s="507"/>
      <c r="AP445" s="151"/>
      <c r="AQ445" s="507"/>
      <c r="AR445" s="151"/>
      <c r="AS445" s="507"/>
      <c r="AT445" s="151"/>
      <c r="AU445" s="507"/>
      <c r="AV445" s="151"/>
      <c r="AW445" s="507"/>
      <c r="AX445" s="151"/>
      <c r="AY445" s="507"/>
      <c r="AZ445" s="151"/>
      <c r="BA445" s="507"/>
      <c r="BB445" s="151"/>
      <c r="BC445" s="507"/>
      <c r="BD445" s="151"/>
      <c r="BE445" s="507"/>
      <c r="BF445" s="151"/>
      <c r="BG445" s="507"/>
      <c r="BH445" s="151"/>
      <c r="BI445" s="507"/>
      <c r="BJ445" s="151"/>
      <c r="BK445" s="507"/>
      <c r="BL445" s="151"/>
      <c r="BM445" s="507"/>
      <c r="BN445" s="151"/>
      <c r="BO445" s="507"/>
      <c r="BP445" s="151"/>
      <c r="BQ445" s="507"/>
      <c r="BR445" s="151"/>
      <c r="BS445" s="507"/>
      <c r="BT445" s="151"/>
      <c r="BU445" s="507"/>
      <c r="BV445" s="151"/>
      <c r="BW445" s="507"/>
      <c r="BX445" s="151"/>
      <c r="BY445" s="507"/>
      <c r="BZ445" s="151"/>
      <c r="CA445" s="507"/>
      <c r="CB445" s="151"/>
      <c r="CC445" s="507"/>
      <c r="CD445" s="151"/>
      <c r="CE445" s="507"/>
      <c r="CF445" s="151"/>
      <c r="CG445" s="507"/>
      <c r="CH445" s="151"/>
      <c r="CI445" s="507"/>
      <c r="CJ445" s="151"/>
      <c r="CK445" s="507"/>
      <c r="CL445" s="151"/>
      <c r="CM445" s="507"/>
      <c r="CN445" s="151"/>
      <c r="CO445" s="507"/>
      <c r="CP445" s="151"/>
      <c r="CQ445" s="507"/>
      <c r="CR445" s="151"/>
      <c r="CS445" s="507"/>
      <c r="CT445" s="151"/>
      <c r="CU445" s="507"/>
      <c r="CV445" s="151"/>
      <c r="CW445" s="507"/>
      <c r="CX445" s="151"/>
      <c r="CY445" s="507"/>
      <c r="CZ445" s="151"/>
      <c r="DA445" s="507"/>
      <c r="DB445" s="507"/>
      <c r="DC445" s="151"/>
      <c r="DD445" s="507"/>
      <c r="DE445" s="151">
        <f>INPUT!FR439</f>
        <v>187.3</v>
      </c>
      <c r="DF445" s="507"/>
      <c r="DG445" s="151"/>
      <c r="DH445" s="507"/>
      <c r="DI445" s="151"/>
      <c r="DJ445" s="507"/>
      <c r="DK445" s="151"/>
      <c r="DL445" s="507"/>
      <c r="DM445" s="151"/>
      <c r="DN445" s="507"/>
      <c r="DO445" s="151"/>
      <c r="DP445" s="507"/>
      <c r="DQ445" s="151"/>
      <c r="DR445" s="507"/>
      <c r="DS445" s="151"/>
      <c r="DT445" s="507"/>
      <c r="DU445" s="151"/>
      <c r="DV445" s="507"/>
      <c r="DW445" s="151"/>
      <c r="DX445" s="507"/>
      <c r="DY445" s="151"/>
      <c r="DZ445" s="507"/>
      <c r="EA445" s="151"/>
      <c r="EB445" s="507"/>
      <c r="EC445" s="151"/>
      <c r="ED445" s="507"/>
      <c r="EE445" s="151"/>
      <c r="EF445" s="507"/>
      <c r="EG445" s="151"/>
      <c r="EH445" s="507"/>
      <c r="EI445" s="151"/>
      <c r="EJ445" s="507"/>
      <c r="EK445" s="151"/>
      <c r="EL445" s="507"/>
      <c r="EM445" s="687"/>
    </row>
    <row r="446" spans="1:143" ht="12.75" hidden="1" customHeight="1" outlineLevel="2" x14ac:dyDescent="0.2">
      <c r="A446" s="689"/>
      <c r="B446" s="16"/>
      <c r="C446" s="507"/>
      <c r="D446" s="16"/>
      <c r="E446" s="687"/>
      <c r="F446" s="16"/>
      <c r="G446" s="687"/>
      <c r="H446" s="16"/>
      <c r="I446" s="687"/>
      <c r="J446" s="16"/>
      <c r="K446" s="687"/>
      <c r="L446" s="16"/>
      <c r="M446" s="687"/>
      <c r="N446" s="16"/>
      <c r="O446" s="687"/>
      <c r="P446" s="16"/>
      <c r="Q446" s="687"/>
      <c r="R446" s="16"/>
      <c r="S446" s="507"/>
      <c r="T446" s="16"/>
      <c r="U446" s="507"/>
      <c r="V446" s="16"/>
      <c r="W446" s="507"/>
      <c r="X446" s="16"/>
      <c r="Y446" s="507"/>
      <c r="Z446" s="16"/>
      <c r="AA446" s="507"/>
      <c r="AB446" s="16"/>
      <c r="AC446" s="507"/>
      <c r="AD446" s="16"/>
      <c r="AE446" s="507"/>
      <c r="AF446" s="16"/>
      <c r="AG446" s="507"/>
      <c r="AH446" s="16"/>
      <c r="AI446" s="507"/>
      <c r="AJ446" s="16"/>
      <c r="AK446" s="507"/>
      <c r="AL446" s="16"/>
      <c r="AM446" s="507"/>
      <c r="AN446" s="16"/>
      <c r="AO446" s="507"/>
      <c r="AP446" s="16"/>
      <c r="AQ446" s="507"/>
      <c r="AR446" s="16"/>
      <c r="AS446" s="507"/>
      <c r="AT446" s="16"/>
      <c r="AU446" s="507"/>
      <c r="AV446" s="16"/>
      <c r="AW446" s="507"/>
      <c r="AX446" s="16"/>
      <c r="AY446" s="507"/>
      <c r="AZ446" s="16"/>
      <c r="BA446" s="507"/>
      <c r="BB446" s="16"/>
      <c r="BC446" s="507"/>
      <c r="BD446" s="16"/>
      <c r="BE446" s="507"/>
      <c r="BF446" s="16"/>
      <c r="BG446" s="507"/>
      <c r="BH446" s="16"/>
      <c r="BI446" s="507"/>
      <c r="BJ446" s="16"/>
      <c r="BK446" s="507"/>
      <c r="BL446" s="16"/>
      <c r="BM446" s="507"/>
      <c r="BN446" s="16"/>
      <c r="BO446" s="507"/>
      <c r="BP446" s="16"/>
      <c r="BQ446" s="507"/>
      <c r="BR446" s="16"/>
      <c r="BS446" s="507"/>
      <c r="BT446" s="16"/>
      <c r="BU446" s="507"/>
      <c r="BV446" s="16"/>
      <c r="BW446" s="507"/>
      <c r="BX446" s="16"/>
      <c r="BY446" s="507"/>
      <c r="BZ446" s="16"/>
      <c r="CA446" s="507"/>
      <c r="CB446" s="16"/>
      <c r="CC446" s="507"/>
      <c r="CD446" s="16"/>
      <c r="CE446" s="507"/>
      <c r="CF446" s="16"/>
      <c r="CG446" s="507"/>
      <c r="CH446" s="16"/>
      <c r="CI446" s="507"/>
      <c r="CJ446" s="16"/>
      <c r="CK446" s="507"/>
      <c r="CL446" s="16"/>
      <c r="CM446" s="507"/>
      <c r="CN446" s="16"/>
      <c r="CO446" s="507"/>
      <c r="CP446" s="16"/>
      <c r="CQ446" s="507"/>
      <c r="CR446" s="16"/>
      <c r="CS446" s="507"/>
      <c r="CT446" s="16"/>
      <c r="CU446" s="507"/>
      <c r="CV446" s="16"/>
      <c r="CW446" s="507"/>
      <c r="CX446" s="16"/>
      <c r="CY446" s="507"/>
      <c r="CZ446" s="16"/>
      <c r="DA446" s="507"/>
      <c r="DB446" s="507"/>
      <c r="DC446" s="16"/>
      <c r="DD446" s="507"/>
      <c r="DE446" s="16"/>
      <c r="DF446" s="507"/>
      <c r="DG446" s="16"/>
      <c r="DH446" s="507"/>
      <c r="DI446" s="16"/>
      <c r="DJ446" s="507"/>
      <c r="DK446" s="16"/>
      <c r="DL446" s="507"/>
      <c r="DM446" s="16"/>
      <c r="DN446" s="507"/>
      <c r="DO446" s="16"/>
      <c r="DP446" s="507"/>
      <c r="DQ446" s="16"/>
      <c r="DR446" s="507"/>
      <c r="DS446" s="16"/>
      <c r="DT446" s="507"/>
      <c r="DU446" s="16"/>
      <c r="DV446" s="507"/>
      <c r="DW446" s="16"/>
      <c r="DX446" s="507"/>
      <c r="DY446" s="16"/>
      <c r="DZ446" s="507"/>
      <c r="EA446" s="16"/>
      <c r="EB446" s="507"/>
      <c r="EC446" s="16"/>
      <c r="ED446" s="507"/>
      <c r="EE446" s="16"/>
      <c r="EF446" s="507"/>
      <c r="EG446" s="16"/>
      <c r="EH446" s="507"/>
      <c r="EI446" s="16"/>
      <c r="EJ446" s="507"/>
      <c r="EK446" s="16"/>
      <c r="EL446" s="507"/>
      <c r="EM446" s="687"/>
    </row>
    <row r="447" spans="1:143" ht="12.75" hidden="1" customHeight="1" outlineLevel="2" x14ac:dyDescent="0.2">
      <c r="A447" s="700" t="str">
        <f>INPUT!B441</f>
        <v>EXPENSES</v>
      </c>
      <c r="B447" s="16"/>
      <c r="C447" s="507"/>
      <c r="D447" s="16"/>
      <c r="E447" s="687"/>
      <c r="F447" s="16"/>
      <c r="G447" s="687"/>
      <c r="H447" s="16"/>
      <c r="I447" s="687"/>
      <c r="J447" s="16"/>
      <c r="K447" s="687"/>
      <c r="L447" s="16"/>
      <c r="M447" s="687"/>
      <c r="N447" s="16"/>
      <c r="O447" s="687"/>
      <c r="P447" s="16"/>
      <c r="Q447" s="687"/>
      <c r="R447" s="16"/>
      <c r="S447" s="507"/>
      <c r="T447" s="16"/>
      <c r="U447" s="507"/>
      <c r="V447" s="16"/>
      <c r="W447" s="507"/>
      <c r="X447" s="16"/>
      <c r="Y447" s="507"/>
      <c r="Z447" s="16"/>
      <c r="AA447" s="507"/>
      <c r="AB447" s="16"/>
      <c r="AC447" s="507"/>
      <c r="AD447" s="16"/>
      <c r="AE447" s="507"/>
      <c r="AF447" s="16"/>
      <c r="AG447" s="507"/>
      <c r="AH447" s="16"/>
      <c r="AI447" s="507"/>
      <c r="AJ447" s="16"/>
      <c r="AK447" s="507"/>
      <c r="AL447" s="16"/>
      <c r="AM447" s="507"/>
      <c r="AN447" s="16"/>
      <c r="AO447" s="507"/>
      <c r="AP447" s="16"/>
      <c r="AQ447" s="507"/>
      <c r="AR447" s="16"/>
      <c r="AS447" s="507"/>
      <c r="AT447" s="16"/>
      <c r="AU447" s="507"/>
      <c r="AV447" s="16"/>
      <c r="AW447" s="507"/>
      <c r="AX447" s="16"/>
      <c r="AY447" s="507"/>
      <c r="AZ447" s="16"/>
      <c r="BA447" s="507"/>
      <c r="BB447" s="16"/>
      <c r="BC447" s="507"/>
      <c r="BD447" s="16"/>
      <c r="BE447" s="507"/>
      <c r="BF447" s="16"/>
      <c r="BG447" s="507"/>
      <c r="BH447" s="16"/>
      <c r="BI447" s="507"/>
      <c r="BJ447" s="16"/>
      <c r="BK447" s="507"/>
      <c r="BL447" s="16"/>
      <c r="BM447" s="507"/>
      <c r="BN447" s="16"/>
      <c r="BO447" s="507"/>
      <c r="BP447" s="16"/>
      <c r="BQ447" s="507"/>
      <c r="BR447" s="16"/>
      <c r="BS447" s="507"/>
      <c r="BT447" s="16"/>
      <c r="BU447" s="507"/>
      <c r="BV447" s="16"/>
      <c r="BW447" s="507"/>
      <c r="BX447" s="16"/>
      <c r="BY447" s="507"/>
      <c r="BZ447" s="16"/>
      <c r="CA447" s="507"/>
      <c r="CB447" s="16"/>
      <c r="CC447" s="507"/>
      <c r="CD447" s="16"/>
      <c r="CE447" s="507"/>
      <c r="CF447" s="16"/>
      <c r="CG447" s="507"/>
      <c r="CH447" s="16"/>
      <c r="CI447" s="507"/>
      <c r="CJ447" s="16"/>
      <c r="CK447" s="507"/>
      <c r="CL447" s="16"/>
      <c r="CM447" s="507"/>
      <c r="CN447" s="16"/>
      <c r="CO447" s="507"/>
      <c r="CP447" s="16"/>
      <c r="CQ447" s="507"/>
      <c r="CR447" s="16"/>
      <c r="CS447" s="507"/>
      <c r="CT447" s="16"/>
      <c r="CU447" s="507"/>
      <c r="CV447" s="16"/>
      <c r="CW447" s="507"/>
      <c r="CX447" s="16"/>
      <c r="CY447" s="507"/>
      <c r="CZ447" s="16"/>
      <c r="DA447" s="507"/>
      <c r="DB447" s="507"/>
      <c r="DC447" s="16"/>
      <c r="DD447" s="507"/>
      <c r="DE447" s="16"/>
      <c r="DF447" s="507"/>
      <c r="DG447" s="16"/>
      <c r="DH447" s="507"/>
      <c r="DI447" s="16"/>
      <c r="DJ447" s="507"/>
      <c r="DK447" s="16"/>
      <c r="DL447" s="507"/>
      <c r="DM447" s="16"/>
      <c r="DN447" s="507"/>
      <c r="DO447" s="16"/>
      <c r="DP447" s="507"/>
      <c r="DQ447" s="16"/>
      <c r="DR447" s="507"/>
      <c r="DS447" s="16"/>
      <c r="DT447" s="507"/>
      <c r="DU447" s="16"/>
      <c r="DV447" s="507"/>
      <c r="DW447" s="16"/>
      <c r="DX447" s="507"/>
      <c r="DY447" s="16"/>
      <c r="DZ447" s="507"/>
      <c r="EA447" s="16"/>
      <c r="EB447" s="507"/>
      <c r="EC447" s="16"/>
      <c r="ED447" s="507"/>
      <c r="EE447" s="16"/>
      <c r="EF447" s="507"/>
      <c r="EG447" s="16"/>
      <c r="EH447" s="507"/>
      <c r="EI447" s="16"/>
      <c r="EJ447" s="507"/>
      <c r="EK447" s="16"/>
      <c r="EL447" s="507"/>
      <c r="EM447" s="687"/>
    </row>
    <row r="448" spans="1:143" ht="12.75" hidden="1" customHeight="1" outlineLevel="2" x14ac:dyDescent="0.2">
      <c r="A448" s="701" t="str">
        <f>INPUT!B442</f>
        <v>Cost of Sales</v>
      </c>
      <c r="B448" s="151"/>
      <c r="C448" s="507"/>
      <c r="D448" s="151">
        <f>INPUT!BA442</f>
        <v>7.6</v>
      </c>
      <c r="E448" s="687" t="str">
        <f>INPUT!BB442</f>
        <v>NA</v>
      </c>
      <c r="F448" s="151">
        <f>INPUT!BC442</f>
        <v>10.3</v>
      </c>
      <c r="G448" s="687" t="str">
        <f>INPUT!BD442</f>
        <v>NA</v>
      </c>
      <c r="H448" s="151">
        <f>INPUT!BE442</f>
        <v>15.2</v>
      </c>
      <c r="I448" s="687" t="str">
        <f>INPUT!BF442</f>
        <v>NA</v>
      </c>
      <c r="J448" s="151"/>
      <c r="K448" s="687"/>
      <c r="L448" s="151"/>
      <c r="M448" s="687"/>
      <c r="N448" s="151"/>
      <c r="O448" s="687"/>
      <c r="P448" s="151"/>
      <c r="Q448" s="687"/>
      <c r="R448" s="151"/>
      <c r="S448" s="507"/>
      <c r="T448" s="151"/>
      <c r="U448" s="507"/>
      <c r="V448" s="151"/>
      <c r="W448" s="507"/>
      <c r="X448" s="151"/>
      <c r="Y448" s="507"/>
      <c r="Z448" s="151"/>
      <c r="AA448" s="507"/>
      <c r="AB448" s="151"/>
      <c r="AC448" s="507"/>
      <c r="AD448" s="151"/>
      <c r="AE448" s="507"/>
      <c r="AF448" s="151"/>
      <c r="AG448" s="507"/>
      <c r="AH448" s="151"/>
      <c r="AI448" s="507"/>
      <c r="AJ448" s="151"/>
      <c r="AK448" s="507"/>
      <c r="AL448" s="151"/>
      <c r="AM448" s="507"/>
      <c r="AN448" s="151"/>
      <c r="AO448" s="507"/>
      <c r="AP448" s="151"/>
      <c r="AQ448" s="507"/>
      <c r="AR448" s="151"/>
      <c r="AS448" s="507"/>
      <c r="AT448" s="151"/>
      <c r="AU448" s="507"/>
      <c r="AV448" s="151"/>
      <c r="AW448" s="507"/>
      <c r="AX448" s="151"/>
      <c r="AY448" s="507"/>
      <c r="AZ448" s="151"/>
      <c r="BA448" s="507"/>
      <c r="BB448" s="151"/>
      <c r="BC448" s="507"/>
      <c r="BD448" s="151"/>
      <c r="BE448" s="507"/>
      <c r="BF448" s="151"/>
      <c r="BG448" s="507"/>
      <c r="BH448" s="151"/>
      <c r="BI448" s="507"/>
      <c r="BJ448" s="151"/>
      <c r="BK448" s="507"/>
      <c r="BL448" s="151"/>
      <c r="BM448" s="507"/>
      <c r="BN448" s="151"/>
      <c r="BO448" s="507"/>
      <c r="BP448" s="151"/>
      <c r="BQ448" s="507"/>
      <c r="BR448" s="151"/>
      <c r="BS448" s="507"/>
      <c r="BT448" s="151"/>
      <c r="BU448" s="507"/>
      <c r="BV448" s="151"/>
      <c r="BW448" s="507"/>
      <c r="BX448" s="151"/>
      <c r="BY448" s="507"/>
      <c r="BZ448" s="151"/>
      <c r="CA448" s="507"/>
      <c r="CB448" s="151"/>
      <c r="CC448" s="507"/>
      <c r="CD448" s="151"/>
      <c r="CE448" s="507"/>
      <c r="CF448" s="151"/>
      <c r="CG448" s="507"/>
      <c r="CH448" s="151"/>
      <c r="CI448" s="507"/>
      <c r="CJ448" s="151"/>
      <c r="CK448" s="507"/>
      <c r="CL448" s="151"/>
      <c r="CM448" s="507"/>
      <c r="CN448" s="151"/>
      <c r="CO448" s="507"/>
      <c r="CP448" s="151"/>
      <c r="CQ448" s="507"/>
      <c r="CR448" s="151"/>
      <c r="CS448" s="507"/>
      <c r="CT448" s="151"/>
      <c r="CU448" s="507"/>
      <c r="CV448" s="151"/>
      <c r="CW448" s="507"/>
      <c r="CX448" s="151"/>
      <c r="CY448" s="507"/>
      <c r="CZ448" s="151"/>
      <c r="DA448" s="507"/>
      <c r="DB448" s="507"/>
      <c r="DC448" s="151"/>
      <c r="DD448" s="507"/>
      <c r="DE448" s="151">
        <f>INPUT!FR442</f>
        <v>33.099999999999994</v>
      </c>
      <c r="DF448" s="507"/>
      <c r="DG448" s="151"/>
      <c r="DH448" s="507"/>
      <c r="DI448" s="151"/>
      <c r="DJ448" s="507"/>
      <c r="DK448" s="151"/>
      <c r="DL448" s="507"/>
      <c r="DM448" s="151"/>
      <c r="DN448" s="507"/>
      <c r="DO448" s="151"/>
      <c r="DP448" s="507"/>
      <c r="DQ448" s="151"/>
      <c r="DR448" s="507"/>
      <c r="DS448" s="151"/>
      <c r="DT448" s="507"/>
      <c r="DU448" s="151"/>
      <c r="DV448" s="507"/>
      <c r="DW448" s="151"/>
      <c r="DX448" s="507"/>
      <c r="DY448" s="151"/>
      <c r="DZ448" s="507"/>
      <c r="EA448" s="151"/>
      <c r="EB448" s="507"/>
      <c r="EC448" s="151"/>
      <c r="ED448" s="507"/>
      <c r="EE448" s="151"/>
      <c r="EF448" s="507"/>
      <c r="EG448" s="151"/>
      <c r="EH448" s="507"/>
      <c r="EI448" s="151"/>
      <c r="EJ448" s="507"/>
      <c r="EK448" s="151"/>
      <c r="EL448" s="507"/>
      <c r="EM448" s="687"/>
    </row>
    <row r="449" spans="1:143" ht="12.75" hidden="1" customHeight="1" outlineLevel="2" x14ac:dyDescent="0.2">
      <c r="A449" s="701" t="str">
        <f>INPUT!B443</f>
        <v>Depreciation and Amortization</v>
      </c>
      <c r="B449" s="151"/>
      <c r="C449" s="507"/>
      <c r="D449" s="151">
        <f>INPUT!BA443</f>
        <v>6</v>
      </c>
      <c r="E449" s="687" t="str">
        <f>INPUT!BB443</f>
        <v>NA</v>
      </c>
      <c r="F449" s="151">
        <f>INPUT!BC443</f>
        <v>2.7</v>
      </c>
      <c r="G449" s="687" t="str">
        <f>INPUT!BD443</f>
        <v>NA</v>
      </c>
      <c r="H449" s="151">
        <f>INPUT!BE443</f>
        <v>2.6</v>
      </c>
      <c r="I449" s="687" t="str">
        <f>INPUT!BF443</f>
        <v>NA</v>
      </c>
      <c r="J449" s="151"/>
      <c r="K449" s="687"/>
      <c r="L449" s="151"/>
      <c r="M449" s="687"/>
      <c r="N449" s="151"/>
      <c r="O449" s="687"/>
      <c r="P449" s="151"/>
      <c r="Q449" s="687"/>
      <c r="R449" s="151"/>
      <c r="S449" s="507"/>
      <c r="T449" s="151"/>
      <c r="U449" s="507"/>
      <c r="V449" s="151"/>
      <c r="W449" s="507"/>
      <c r="X449" s="151"/>
      <c r="Y449" s="507"/>
      <c r="Z449" s="151"/>
      <c r="AA449" s="507"/>
      <c r="AB449" s="151"/>
      <c r="AC449" s="507"/>
      <c r="AD449" s="151"/>
      <c r="AE449" s="507"/>
      <c r="AF449" s="151"/>
      <c r="AG449" s="507"/>
      <c r="AH449" s="151"/>
      <c r="AI449" s="507"/>
      <c r="AJ449" s="151"/>
      <c r="AK449" s="507"/>
      <c r="AL449" s="151"/>
      <c r="AM449" s="507"/>
      <c r="AN449" s="151"/>
      <c r="AO449" s="507"/>
      <c r="AP449" s="151"/>
      <c r="AQ449" s="507"/>
      <c r="AR449" s="151"/>
      <c r="AS449" s="507"/>
      <c r="AT449" s="151"/>
      <c r="AU449" s="507"/>
      <c r="AV449" s="151"/>
      <c r="AW449" s="507"/>
      <c r="AX449" s="151"/>
      <c r="AY449" s="507"/>
      <c r="AZ449" s="151"/>
      <c r="BA449" s="507"/>
      <c r="BB449" s="151"/>
      <c r="BC449" s="507"/>
      <c r="BD449" s="151"/>
      <c r="BE449" s="507"/>
      <c r="BF449" s="151"/>
      <c r="BG449" s="507"/>
      <c r="BH449" s="151"/>
      <c r="BI449" s="507"/>
      <c r="BJ449" s="151"/>
      <c r="BK449" s="507"/>
      <c r="BL449" s="151"/>
      <c r="BM449" s="507"/>
      <c r="BN449" s="151"/>
      <c r="BO449" s="507"/>
      <c r="BP449" s="151"/>
      <c r="BQ449" s="507"/>
      <c r="BR449" s="151"/>
      <c r="BS449" s="507"/>
      <c r="BT449" s="151"/>
      <c r="BU449" s="507"/>
      <c r="BV449" s="151"/>
      <c r="BW449" s="507"/>
      <c r="BX449" s="151"/>
      <c r="BY449" s="507"/>
      <c r="BZ449" s="151"/>
      <c r="CA449" s="507"/>
      <c r="CB449" s="151"/>
      <c r="CC449" s="507"/>
      <c r="CD449" s="151"/>
      <c r="CE449" s="507"/>
      <c r="CF449" s="151"/>
      <c r="CG449" s="507"/>
      <c r="CH449" s="151"/>
      <c r="CI449" s="507"/>
      <c r="CJ449" s="151"/>
      <c r="CK449" s="507"/>
      <c r="CL449" s="151"/>
      <c r="CM449" s="507"/>
      <c r="CN449" s="151"/>
      <c r="CO449" s="507"/>
      <c r="CP449" s="151"/>
      <c r="CQ449" s="507"/>
      <c r="CR449" s="151"/>
      <c r="CS449" s="507"/>
      <c r="CT449" s="151"/>
      <c r="CU449" s="507"/>
      <c r="CV449" s="151"/>
      <c r="CW449" s="507"/>
      <c r="CX449" s="151"/>
      <c r="CY449" s="507"/>
      <c r="CZ449" s="151"/>
      <c r="DA449" s="507"/>
      <c r="DB449" s="507"/>
      <c r="DC449" s="151"/>
      <c r="DD449" s="507"/>
      <c r="DE449" s="151">
        <f>INPUT!FR443</f>
        <v>11.299999999999999</v>
      </c>
      <c r="DF449" s="507"/>
      <c r="DG449" s="151"/>
      <c r="DH449" s="507"/>
      <c r="DI449" s="151"/>
      <c r="DJ449" s="507"/>
      <c r="DK449" s="151"/>
      <c r="DL449" s="507"/>
      <c r="DM449" s="151"/>
      <c r="DN449" s="507"/>
      <c r="DO449" s="151"/>
      <c r="DP449" s="507"/>
      <c r="DQ449" s="151"/>
      <c r="DR449" s="507"/>
      <c r="DS449" s="151"/>
      <c r="DT449" s="507"/>
      <c r="DU449" s="151"/>
      <c r="DV449" s="507"/>
      <c r="DW449" s="151"/>
      <c r="DX449" s="507"/>
      <c r="DY449" s="151"/>
      <c r="DZ449" s="507"/>
      <c r="EA449" s="151"/>
      <c r="EB449" s="507"/>
      <c r="EC449" s="151"/>
      <c r="ED449" s="507"/>
      <c r="EE449" s="151"/>
      <c r="EF449" s="507"/>
      <c r="EG449" s="151"/>
      <c r="EH449" s="507"/>
      <c r="EI449" s="151"/>
      <c r="EJ449" s="507"/>
      <c r="EK449" s="151"/>
      <c r="EL449" s="507"/>
      <c r="EM449" s="687"/>
    </row>
    <row r="450" spans="1:143" ht="12.75" hidden="1" customHeight="1" outlineLevel="2" x14ac:dyDescent="0.2">
      <c r="A450" s="701" t="str">
        <f>INPUT!B444</f>
        <v>Operating and Administrative Expenses</v>
      </c>
      <c r="B450" s="16"/>
      <c r="C450" s="507"/>
      <c r="D450" s="16">
        <f>INPUT!BA444</f>
        <v>24</v>
      </c>
      <c r="E450" s="687" t="str">
        <f>INPUT!BB444</f>
        <v>NA</v>
      </c>
      <c r="F450" s="16">
        <f>INPUT!BC444</f>
        <v>23.9</v>
      </c>
      <c r="G450" s="687" t="str">
        <f>INPUT!BD444</f>
        <v>NA</v>
      </c>
      <c r="H450" s="16">
        <f>INPUT!BE444</f>
        <v>24.7</v>
      </c>
      <c r="I450" s="687" t="str">
        <f>INPUT!BF444</f>
        <v>NA</v>
      </c>
      <c r="J450" s="16"/>
      <c r="K450" s="687"/>
      <c r="L450" s="16"/>
      <c r="M450" s="687"/>
      <c r="N450" s="16"/>
      <c r="O450" s="687"/>
      <c r="P450" s="16"/>
      <c r="Q450" s="687"/>
      <c r="R450" s="16"/>
      <c r="S450" s="507"/>
      <c r="T450" s="16"/>
      <c r="U450" s="507"/>
      <c r="V450" s="16"/>
      <c r="W450" s="507"/>
      <c r="X450" s="16"/>
      <c r="Y450" s="507"/>
      <c r="Z450" s="16"/>
      <c r="AA450" s="507"/>
      <c r="AB450" s="16"/>
      <c r="AC450" s="507"/>
      <c r="AD450" s="16"/>
      <c r="AE450" s="507"/>
      <c r="AF450" s="16"/>
      <c r="AG450" s="507"/>
      <c r="AH450" s="16"/>
      <c r="AI450" s="507"/>
      <c r="AJ450" s="16"/>
      <c r="AK450" s="507"/>
      <c r="AL450" s="16"/>
      <c r="AM450" s="507"/>
      <c r="AN450" s="16"/>
      <c r="AO450" s="507"/>
      <c r="AP450" s="16"/>
      <c r="AQ450" s="507"/>
      <c r="AR450" s="16"/>
      <c r="AS450" s="507"/>
      <c r="AT450" s="16"/>
      <c r="AU450" s="507"/>
      <c r="AV450" s="16"/>
      <c r="AW450" s="507"/>
      <c r="AX450" s="16"/>
      <c r="AY450" s="507"/>
      <c r="AZ450" s="16"/>
      <c r="BA450" s="507"/>
      <c r="BB450" s="16"/>
      <c r="BC450" s="507"/>
      <c r="BD450" s="16"/>
      <c r="BE450" s="507"/>
      <c r="BF450" s="16"/>
      <c r="BG450" s="507"/>
      <c r="BH450" s="16"/>
      <c r="BI450" s="507"/>
      <c r="BJ450" s="16"/>
      <c r="BK450" s="507"/>
      <c r="BL450" s="16"/>
      <c r="BM450" s="507"/>
      <c r="BN450" s="16"/>
      <c r="BO450" s="507"/>
      <c r="BP450" s="16"/>
      <c r="BQ450" s="507"/>
      <c r="BR450" s="16"/>
      <c r="BS450" s="507"/>
      <c r="BT450" s="16"/>
      <c r="BU450" s="507"/>
      <c r="BV450" s="16"/>
      <c r="BW450" s="507"/>
      <c r="BX450" s="16"/>
      <c r="BY450" s="507"/>
      <c r="BZ450" s="16"/>
      <c r="CA450" s="507"/>
      <c r="CB450" s="16"/>
      <c r="CC450" s="507"/>
      <c r="CD450" s="16"/>
      <c r="CE450" s="507"/>
      <c r="CF450" s="16"/>
      <c r="CG450" s="507"/>
      <c r="CH450" s="16"/>
      <c r="CI450" s="507"/>
      <c r="CJ450" s="16"/>
      <c r="CK450" s="507"/>
      <c r="CL450" s="16"/>
      <c r="CM450" s="507"/>
      <c r="CN450" s="16"/>
      <c r="CO450" s="507"/>
      <c r="CP450" s="16"/>
      <c r="CQ450" s="507"/>
      <c r="CR450" s="16"/>
      <c r="CS450" s="507"/>
      <c r="CT450" s="16"/>
      <c r="CU450" s="507"/>
      <c r="CV450" s="16"/>
      <c r="CW450" s="507"/>
      <c r="CX450" s="16"/>
      <c r="CY450" s="507"/>
      <c r="CZ450" s="16"/>
      <c r="DA450" s="507"/>
      <c r="DB450" s="507"/>
      <c r="DC450" s="16"/>
      <c r="DD450" s="507"/>
      <c r="DE450" s="16">
        <f>INPUT!FR444</f>
        <v>72.599999999999994</v>
      </c>
      <c r="DF450" s="507"/>
      <c r="DG450" s="16"/>
      <c r="DH450" s="507"/>
      <c r="DI450" s="16"/>
      <c r="DJ450" s="507"/>
      <c r="DK450" s="16"/>
      <c r="DL450" s="507"/>
      <c r="DM450" s="16"/>
      <c r="DN450" s="507"/>
      <c r="DO450" s="16"/>
      <c r="DP450" s="507"/>
      <c r="DQ450" s="16"/>
      <c r="DR450" s="507"/>
      <c r="DS450" s="16"/>
      <c r="DT450" s="507"/>
      <c r="DU450" s="16"/>
      <c r="DV450" s="507"/>
      <c r="DW450" s="16"/>
      <c r="DX450" s="507"/>
      <c r="DY450" s="16"/>
      <c r="DZ450" s="507"/>
      <c r="EA450" s="16"/>
      <c r="EB450" s="507"/>
      <c r="EC450" s="16"/>
      <c r="ED450" s="507"/>
      <c r="EE450" s="16"/>
      <c r="EF450" s="507"/>
      <c r="EG450" s="16"/>
      <c r="EH450" s="507"/>
      <c r="EI450" s="16"/>
      <c r="EJ450" s="507"/>
      <c r="EK450" s="16"/>
      <c r="EL450" s="507"/>
      <c r="EM450" s="687"/>
    </row>
    <row r="451" spans="1:143" ht="12.75" hidden="1" customHeight="1" outlineLevel="2" x14ac:dyDescent="0.2">
      <c r="A451" s="701" t="str">
        <f>INPUT!B445</f>
        <v>Net Interest Expense/(Income)</v>
      </c>
      <c r="B451" s="151"/>
      <c r="C451" s="507"/>
      <c r="D451" s="151">
        <f>INPUT!BA445</f>
        <v>0.3</v>
      </c>
      <c r="E451" s="687" t="str">
        <f>INPUT!BB445</f>
        <v>NA</v>
      </c>
      <c r="F451" s="151">
        <f>INPUT!BC445</f>
        <v>0.3</v>
      </c>
      <c r="G451" s="687" t="str">
        <f>INPUT!BD445</f>
        <v>NA</v>
      </c>
      <c r="H451" s="151">
        <f>INPUT!BE445</f>
        <v>0.3</v>
      </c>
      <c r="I451" s="687" t="str">
        <f>INPUT!BF445</f>
        <v>NA</v>
      </c>
      <c r="J451" s="151"/>
      <c r="K451" s="687"/>
      <c r="L451" s="151"/>
      <c r="M451" s="687"/>
      <c r="N451" s="151"/>
      <c r="O451" s="687"/>
      <c r="P451" s="151"/>
      <c r="Q451" s="687"/>
      <c r="R451" s="151"/>
      <c r="S451" s="507"/>
      <c r="T451" s="151"/>
      <c r="U451" s="507"/>
      <c r="V451" s="151"/>
      <c r="W451" s="507"/>
      <c r="X451" s="151"/>
      <c r="Y451" s="507"/>
      <c r="Z451" s="151"/>
      <c r="AA451" s="507"/>
      <c r="AB451" s="151"/>
      <c r="AC451" s="507"/>
      <c r="AD451" s="151"/>
      <c r="AE451" s="507"/>
      <c r="AF451" s="151"/>
      <c r="AG451" s="507"/>
      <c r="AH451" s="151"/>
      <c r="AI451" s="507"/>
      <c r="AJ451" s="151"/>
      <c r="AK451" s="507"/>
      <c r="AL451" s="151"/>
      <c r="AM451" s="507"/>
      <c r="AN451" s="151"/>
      <c r="AO451" s="507"/>
      <c r="AP451" s="151"/>
      <c r="AQ451" s="507"/>
      <c r="AR451" s="151"/>
      <c r="AS451" s="507"/>
      <c r="AT451" s="151"/>
      <c r="AU451" s="507"/>
      <c r="AV451" s="151"/>
      <c r="AW451" s="507"/>
      <c r="AX451" s="151"/>
      <c r="AY451" s="507"/>
      <c r="AZ451" s="151"/>
      <c r="BA451" s="507"/>
      <c r="BB451" s="151"/>
      <c r="BC451" s="507"/>
      <c r="BD451" s="151"/>
      <c r="BE451" s="507"/>
      <c r="BF451" s="151"/>
      <c r="BG451" s="507"/>
      <c r="BH451" s="151"/>
      <c r="BI451" s="507"/>
      <c r="BJ451" s="151"/>
      <c r="BK451" s="507"/>
      <c r="BL451" s="151"/>
      <c r="BM451" s="507"/>
      <c r="BN451" s="151"/>
      <c r="BO451" s="507"/>
      <c r="BP451" s="151"/>
      <c r="BQ451" s="507"/>
      <c r="BR451" s="151"/>
      <c r="BS451" s="507"/>
      <c r="BT451" s="151"/>
      <c r="BU451" s="507"/>
      <c r="BV451" s="151"/>
      <c r="BW451" s="507"/>
      <c r="BX451" s="151"/>
      <c r="BY451" s="507"/>
      <c r="BZ451" s="151"/>
      <c r="CA451" s="507"/>
      <c r="CB451" s="151"/>
      <c r="CC451" s="507"/>
      <c r="CD451" s="151"/>
      <c r="CE451" s="507"/>
      <c r="CF451" s="151"/>
      <c r="CG451" s="507"/>
      <c r="CH451" s="151"/>
      <c r="CI451" s="507"/>
      <c r="CJ451" s="151"/>
      <c r="CK451" s="507"/>
      <c r="CL451" s="151"/>
      <c r="CM451" s="507"/>
      <c r="CN451" s="151"/>
      <c r="CO451" s="507"/>
      <c r="CP451" s="151"/>
      <c r="CQ451" s="507"/>
      <c r="CR451" s="151"/>
      <c r="CS451" s="507"/>
      <c r="CT451" s="151"/>
      <c r="CU451" s="507"/>
      <c r="CV451" s="151"/>
      <c r="CW451" s="507"/>
      <c r="CX451" s="151"/>
      <c r="CY451" s="507"/>
      <c r="CZ451" s="151"/>
      <c r="DA451" s="507"/>
      <c r="DB451" s="507"/>
      <c r="DC451" s="151"/>
      <c r="DD451" s="507"/>
      <c r="DE451" s="151">
        <f>INPUT!FR445</f>
        <v>0.89999999999999991</v>
      </c>
      <c r="DF451" s="507"/>
      <c r="DG451" s="151"/>
      <c r="DH451" s="507"/>
      <c r="DI451" s="151"/>
      <c r="DJ451" s="507"/>
      <c r="DK451" s="151"/>
      <c r="DL451" s="507"/>
      <c r="DM451" s="151"/>
      <c r="DN451" s="507"/>
      <c r="DO451" s="151"/>
      <c r="DP451" s="507"/>
      <c r="DQ451" s="151"/>
      <c r="DR451" s="507"/>
      <c r="DS451" s="151"/>
      <c r="DT451" s="507"/>
      <c r="DU451" s="151"/>
      <c r="DV451" s="507"/>
      <c r="DW451" s="151"/>
      <c r="DX451" s="507"/>
      <c r="DY451" s="151"/>
      <c r="DZ451" s="507"/>
      <c r="EA451" s="151"/>
      <c r="EB451" s="507"/>
      <c r="EC451" s="151"/>
      <c r="ED451" s="507"/>
      <c r="EE451" s="151"/>
      <c r="EF451" s="507"/>
      <c r="EG451" s="151"/>
      <c r="EH451" s="507"/>
      <c r="EI451" s="151"/>
      <c r="EJ451" s="507"/>
      <c r="EK451" s="151"/>
      <c r="EL451" s="507"/>
      <c r="EM451" s="687"/>
    </row>
    <row r="452" spans="1:143" ht="12.75" hidden="1" customHeight="1" outlineLevel="2" x14ac:dyDescent="0.2">
      <c r="A452" s="700" t="str">
        <f>INPUT!B446</f>
        <v xml:space="preserve"> Total Expenses</v>
      </c>
      <c r="B452" s="151"/>
      <c r="C452" s="507"/>
      <c r="D452" s="151">
        <f>INPUT!BA446</f>
        <v>37.9</v>
      </c>
      <c r="E452" s="687">
        <f>INPUT!BB446</f>
        <v>12.289642095283227</v>
      </c>
      <c r="F452" s="151">
        <f>INPUT!BC446</f>
        <v>37.199999999999996</v>
      </c>
      <c r="G452" s="687">
        <f>INPUT!BD446</f>
        <v>3.586544887502785</v>
      </c>
      <c r="H452" s="151">
        <f>INPUT!BE446</f>
        <v>42.8</v>
      </c>
      <c r="I452" s="687">
        <f>INPUT!BF446</f>
        <v>7.4647851959725564</v>
      </c>
      <c r="J452" s="151"/>
      <c r="K452" s="687"/>
      <c r="L452" s="151"/>
      <c r="M452" s="687"/>
      <c r="N452" s="151"/>
      <c r="O452" s="687"/>
      <c r="P452" s="151"/>
      <c r="Q452" s="687"/>
      <c r="R452" s="151"/>
      <c r="S452" s="507"/>
      <c r="T452" s="151"/>
      <c r="U452" s="507"/>
      <c r="V452" s="151"/>
      <c r="W452" s="507"/>
      <c r="X452" s="151"/>
      <c r="Y452" s="507"/>
      <c r="Z452" s="151"/>
      <c r="AA452" s="507"/>
      <c r="AB452" s="151"/>
      <c r="AC452" s="507"/>
      <c r="AD452" s="151"/>
      <c r="AE452" s="507"/>
      <c r="AF452" s="151"/>
      <c r="AG452" s="507"/>
      <c r="AH452" s="151"/>
      <c r="AI452" s="507"/>
      <c r="AJ452" s="151"/>
      <c r="AK452" s="507"/>
      <c r="AL452" s="151"/>
      <c r="AM452" s="507"/>
      <c r="AN452" s="151"/>
      <c r="AO452" s="507"/>
      <c r="AP452" s="151"/>
      <c r="AQ452" s="507"/>
      <c r="AR452" s="151"/>
      <c r="AS452" s="507"/>
      <c r="AT452" s="151"/>
      <c r="AU452" s="507"/>
      <c r="AV452" s="151"/>
      <c r="AW452" s="507"/>
      <c r="AX452" s="151"/>
      <c r="AY452" s="507"/>
      <c r="AZ452" s="151"/>
      <c r="BA452" s="507"/>
      <c r="BB452" s="151"/>
      <c r="BC452" s="507"/>
      <c r="BD452" s="151"/>
      <c r="BE452" s="507"/>
      <c r="BF452" s="151"/>
      <c r="BG452" s="507"/>
      <c r="BH452" s="151"/>
      <c r="BI452" s="507"/>
      <c r="BJ452" s="151"/>
      <c r="BK452" s="507"/>
      <c r="BL452" s="151"/>
      <c r="BM452" s="507"/>
      <c r="BN452" s="151"/>
      <c r="BO452" s="507"/>
      <c r="BP452" s="151"/>
      <c r="BQ452" s="507"/>
      <c r="BR452" s="151"/>
      <c r="BS452" s="507"/>
      <c r="BT452" s="151"/>
      <c r="BU452" s="507"/>
      <c r="BV452" s="151"/>
      <c r="BW452" s="507"/>
      <c r="BX452" s="151"/>
      <c r="BY452" s="507"/>
      <c r="BZ452" s="151"/>
      <c r="CA452" s="507"/>
      <c r="CB452" s="151"/>
      <c r="CC452" s="507"/>
      <c r="CD452" s="151"/>
      <c r="CE452" s="507"/>
      <c r="CF452" s="151"/>
      <c r="CG452" s="507"/>
      <c r="CH452" s="151"/>
      <c r="CI452" s="507"/>
      <c r="CJ452" s="151"/>
      <c r="CK452" s="507"/>
      <c r="CL452" s="151"/>
      <c r="CM452" s="507"/>
      <c r="CN452" s="151"/>
      <c r="CO452" s="507"/>
      <c r="CP452" s="151"/>
      <c r="CQ452" s="507"/>
      <c r="CR452" s="151"/>
      <c r="CS452" s="507"/>
      <c r="CT452" s="151"/>
      <c r="CU452" s="507"/>
      <c r="CV452" s="151"/>
      <c r="CW452" s="507"/>
      <c r="CX452" s="151"/>
      <c r="CY452" s="507"/>
      <c r="CZ452" s="151"/>
      <c r="DA452" s="507"/>
      <c r="DB452" s="507"/>
      <c r="DC452" s="151"/>
      <c r="DD452" s="507"/>
      <c r="DE452" s="151">
        <f>INPUT!FR446</f>
        <v>117.89999999999999</v>
      </c>
      <c r="DF452" s="507"/>
      <c r="DG452" s="151"/>
      <c r="DH452" s="507"/>
      <c r="DI452" s="151"/>
      <c r="DJ452" s="507"/>
      <c r="DK452" s="151"/>
      <c r="DL452" s="507"/>
      <c r="DM452" s="151"/>
      <c r="DN452" s="507"/>
      <c r="DO452" s="151"/>
      <c r="DP452" s="507"/>
      <c r="DQ452" s="151"/>
      <c r="DR452" s="507"/>
      <c r="DS452" s="151"/>
      <c r="DT452" s="507"/>
      <c r="DU452" s="151"/>
      <c r="DV452" s="507"/>
      <c r="DW452" s="151"/>
      <c r="DX452" s="507"/>
      <c r="DY452" s="151"/>
      <c r="DZ452" s="507"/>
      <c r="EA452" s="151"/>
      <c r="EB452" s="507"/>
      <c r="EC452" s="151"/>
      <c r="ED452" s="507"/>
      <c r="EE452" s="151"/>
      <c r="EF452" s="507"/>
      <c r="EG452" s="151"/>
      <c r="EH452" s="507"/>
      <c r="EI452" s="151"/>
      <c r="EJ452" s="507"/>
      <c r="EK452" s="151"/>
      <c r="EL452" s="507"/>
      <c r="EM452" s="687"/>
    </row>
    <row r="453" spans="1:143" ht="12.75" hidden="1" customHeight="1" outlineLevel="2" x14ac:dyDescent="0.2">
      <c r="A453" s="700"/>
      <c r="B453" s="151"/>
      <c r="C453" s="507"/>
      <c r="D453" s="151"/>
      <c r="E453" s="687"/>
      <c r="F453" s="151"/>
      <c r="G453" s="687"/>
      <c r="H453" s="151"/>
      <c r="I453" s="687"/>
      <c r="J453" s="151"/>
      <c r="K453" s="687"/>
      <c r="L453" s="151"/>
      <c r="M453" s="687"/>
      <c r="N453" s="151"/>
      <c r="O453" s="687"/>
      <c r="P453" s="151"/>
      <c r="Q453" s="687"/>
      <c r="R453" s="151"/>
      <c r="S453" s="507"/>
      <c r="T453" s="151"/>
      <c r="U453" s="507"/>
      <c r="V453" s="151"/>
      <c r="W453" s="507"/>
      <c r="X453" s="151"/>
      <c r="Y453" s="507"/>
      <c r="Z453" s="151"/>
      <c r="AA453" s="507"/>
      <c r="AB453" s="151"/>
      <c r="AC453" s="507"/>
      <c r="AD453" s="151"/>
      <c r="AE453" s="507"/>
      <c r="AF453" s="151"/>
      <c r="AG453" s="507"/>
      <c r="AH453" s="151"/>
      <c r="AI453" s="507"/>
      <c r="AJ453" s="151"/>
      <c r="AK453" s="507"/>
      <c r="AL453" s="151"/>
      <c r="AM453" s="507"/>
      <c r="AN453" s="151"/>
      <c r="AO453" s="507"/>
      <c r="AP453" s="151"/>
      <c r="AQ453" s="507"/>
      <c r="AR453" s="151"/>
      <c r="AS453" s="507"/>
      <c r="AT453" s="151"/>
      <c r="AU453" s="507"/>
      <c r="AV453" s="151"/>
      <c r="AW453" s="507"/>
      <c r="AX453" s="151"/>
      <c r="AY453" s="507"/>
      <c r="AZ453" s="151"/>
      <c r="BA453" s="507"/>
      <c r="BB453" s="151"/>
      <c r="BC453" s="507"/>
      <c r="BD453" s="151"/>
      <c r="BE453" s="507"/>
      <c r="BF453" s="151"/>
      <c r="BG453" s="507"/>
      <c r="BH453" s="151"/>
      <c r="BI453" s="507"/>
      <c r="BJ453" s="151"/>
      <c r="BK453" s="507"/>
      <c r="BL453" s="151"/>
      <c r="BM453" s="507"/>
      <c r="BN453" s="151"/>
      <c r="BO453" s="507"/>
      <c r="BP453" s="151"/>
      <c r="BQ453" s="507"/>
      <c r="BR453" s="151"/>
      <c r="BS453" s="507"/>
      <c r="BT453" s="151"/>
      <c r="BU453" s="507"/>
      <c r="BV453" s="151"/>
      <c r="BW453" s="507"/>
      <c r="BX453" s="151"/>
      <c r="BY453" s="507"/>
      <c r="BZ453" s="151"/>
      <c r="CA453" s="507"/>
      <c r="CB453" s="151"/>
      <c r="CC453" s="507"/>
      <c r="CD453" s="151"/>
      <c r="CE453" s="507"/>
      <c r="CF453" s="151"/>
      <c r="CG453" s="507"/>
      <c r="CH453" s="151"/>
      <c r="CI453" s="507"/>
      <c r="CJ453" s="151"/>
      <c r="CK453" s="507"/>
      <c r="CL453" s="151"/>
      <c r="CM453" s="507"/>
      <c r="CN453" s="151"/>
      <c r="CO453" s="507"/>
      <c r="CP453" s="151"/>
      <c r="CQ453" s="507"/>
      <c r="CR453" s="151"/>
      <c r="CS453" s="507"/>
      <c r="CT453" s="151"/>
      <c r="CU453" s="507"/>
      <c r="CV453" s="151"/>
      <c r="CW453" s="507"/>
      <c r="CX453" s="151"/>
      <c r="CY453" s="507"/>
      <c r="CZ453" s="151"/>
      <c r="DA453" s="507"/>
      <c r="DB453" s="507"/>
      <c r="DC453" s="151"/>
      <c r="DD453" s="507"/>
      <c r="DE453" s="151"/>
      <c r="DF453" s="507"/>
      <c r="DG453" s="151"/>
      <c r="DH453" s="507"/>
      <c r="DI453" s="151"/>
      <c r="DJ453" s="507"/>
      <c r="DK453" s="151"/>
      <c r="DL453" s="507"/>
      <c r="DM453" s="151"/>
      <c r="DN453" s="507"/>
      <c r="DO453" s="151"/>
      <c r="DP453" s="507"/>
      <c r="DQ453" s="151"/>
      <c r="DR453" s="507"/>
      <c r="DS453" s="151"/>
      <c r="DT453" s="507"/>
      <c r="DU453" s="151"/>
      <c r="DV453" s="507"/>
      <c r="DW453" s="151"/>
      <c r="DX453" s="507"/>
      <c r="DY453" s="151"/>
      <c r="DZ453" s="507"/>
      <c r="EA453" s="151"/>
      <c r="EB453" s="507"/>
      <c r="EC453" s="151"/>
      <c r="ED453" s="507"/>
      <c r="EE453" s="151"/>
      <c r="EF453" s="507"/>
      <c r="EG453" s="151"/>
      <c r="EH453" s="507"/>
      <c r="EI453" s="151"/>
      <c r="EJ453" s="507"/>
      <c r="EK453" s="151"/>
      <c r="EL453" s="507"/>
      <c r="EM453" s="687"/>
    </row>
    <row r="454" spans="1:143" ht="12.75" hidden="1" customHeight="1" outlineLevel="2" x14ac:dyDescent="0.2">
      <c r="A454" s="701" t="str">
        <f>INPUT!B456</f>
        <v>Pretax Operating Earnings</v>
      </c>
      <c r="B454" s="151"/>
      <c r="C454" s="507"/>
      <c r="D454" s="151">
        <f>INPUT!BA456</f>
        <v>4</v>
      </c>
      <c r="E454" s="687" t="str">
        <f>INPUT!BB456</f>
        <v>NM</v>
      </c>
      <c r="F454" s="151">
        <f>INPUT!BC456</f>
        <v>22.6</v>
      </c>
      <c r="G454" s="687">
        <f>INPUT!BD456</f>
        <v>-2.937639580828022</v>
      </c>
      <c r="H454" s="151">
        <f>INPUT!BE456</f>
        <v>27.200000000000003</v>
      </c>
      <c r="I454" s="687">
        <f>INPUT!BF456</f>
        <v>-7.7184054283290893</v>
      </c>
      <c r="J454" s="151"/>
      <c r="K454" s="687"/>
      <c r="L454" s="151"/>
      <c r="M454" s="687"/>
      <c r="N454" s="151"/>
      <c r="O454" s="687"/>
      <c r="P454" s="151"/>
      <c r="Q454" s="687"/>
      <c r="R454" s="151"/>
      <c r="S454" s="507"/>
      <c r="T454" s="151"/>
      <c r="U454" s="507"/>
      <c r="V454" s="151"/>
      <c r="W454" s="507"/>
      <c r="X454" s="151"/>
      <c r="Y454" s="507"/>
      <c r="Z454" s="151"/>
      <c r="AA454" s="507"/>
      <c r="AB454" s="151"/>
      <c r="AC454" s="507"/>
      <c r="AD454" s="151"/>
      <c r="AE454" s="507"/>
      <c r="AF454" s="151"/>
      <c r="AG454" s="507"/>
      <c r="AH454" s="151"/>
      <c r="AI454" s="507"/>
      <c r="AJ454" s="151"/>
      <c r="AK454" s="507"/>
      <c r="AL454" s="151"/>
      <c r="AM454" s="507"/>
      <c r="AN454" s="151"/>
      <c r="AO454" s="507"/>
      <c r="AP454" s="151"/>
      <c r="AQ454" s="507"/>
      <c r="AR454" s="151"/>
      <c r="AS454" s="507"/>
      <c r="AT454" s="151"/>
      <c r="AU454" s="507"/>
      <c r="AV454" s="151"/>
      <c r="AW454" s="507"/>
      <c r="AX454" s="151"/>
      <c r="AY454" s="507"/>
      <c r="AZ454" s="151"/>
      <c r="BA454" s="507"/>
      <c r="BB454" s="151"/>
      <c r="BC454" s="507"/>
      <c r="BD454" s="151"/>
      <c r="BE454" s="507"/>
      <c r="BF454" s="151"/>
      <c r="BG454" s="507"/>
      <c r="BH454" s="151"/>
      <c r="BI454" s="507"/>
      <c r="BJ454" s="151"/>
      <c r="BK454" s="507"/>
      <c r="BL454" s="151"/>
      <c r="BM454" s="507"/>
      <c r="BN454" s="151"/>
      <c r="BO454" s="507"/>
      <c r="BP454" s="151"/>
      <c r="BQ454" s="507"/>
      <c r="BR454" s="151"/>
      <c r="BS454" s="507"/>
      <c r="BT454" s="151"/>
      <c r="BU454" s="507"/>
      <c r="BV454" s="151"/>
      <c r="BW454" s="507"/>
      <c r="BX454" s="151"/>
      <c r="BY454" s="507"/>
      <c r="BZ454" s="151"/>
      <c r="CA454" s="507"/>
      <c r="CB454" s="151"/>
      <c r="CC454" s="507"/>
      <c r="CD454" s="151"/>
      <c r="CE454" s="507"/>
      <c r="CF454" s="151"/>
      <c r="CG454" s="507"/>
      <c r="CH454" s="151"/>
      <c r="CI454" s="507"/>
      <c r="CJ454" s="151"/>
      <c r="CK454" s="507"/>
      <c r="CL454" s="151"/>
      <c r="CM454" s="507"/>
      <c r="CN454" s="151"/>
      <c r="CO454" s="507"/>
      <c r="CP454" s="151"/>
      <c r="CQ454" s="507"/>
      <c r="CR454" s="151"/>
      <c r="CS454" s="507"/>
      <c r="CT454" s="151"/>
      <c r="CU454" s="507"/>
      <c r="CV454" s="151"/>
      <c r="CW454" s="507"/>
      <c r="CX454" s="151"/>
      <c r="CY454" s="507"/>
      <c r="CZ454" s="151"/>
      <c r="DA454" s="507"/>
      <c r="DB454" s="507"/>
      <c r="DC454" s="151"/>
      <c r="DD454" s="507"/>
      <c r="DE454" s="151">
        <f>INPUT!FR456</f>
        <v>69.40000000000002</v>
      </c>
      <c r="DF454" s="507"/>
      <c r="DG454" s="151"/>
      <c r="DH454" s="507"/>
      <c r="DI454" s="151"/>
      <c r="DJ454" s="507"/>
      <c r="DK454" s="151"/>
      <c r="DL454" s="507"/>
      <c r="DM454" s="151"/>
      <c r="DN454" s="507"/>
      <c r="DO454" s="151"/>
      <c r="DP454" s="507"/>
      <c r="DQ454" s="151"/>
      <c r="DR454" s="507"/>
      <c r="DS454" s="151"/>
      <c r="DT454" s="507"/>
      <c r="DU454" s="151"/>
      <c r="DV454" s="507"/>
      <c r="DW454" s="151"/>
      <c r="DX454" s="507"/>
      <c r="DY454" s="151"/>
      <c r="DZ454" s="507"/>
      <c r="EA454" s="151"/>
      <c r="EB454" s="507"/>
      <c r="EC454" s="151"/>
      <c r="ED454" s="507"/>
      <c r="EE454" s="151"/>
      <c r="EF454" s="507"/>
      <c r="EG454" s="151"/>
      <c r="EH454" s="507"/>
      <c r="EI454" s="151"/>
      <c r="EJ454" s="507"/>
      <c r="EK454" s="151"/>
      <c r="EL454" s="507"/>
      <c r="EM454" s="687"/>
    </row>
    <row r="455" spans="1:143" ht="12.75" hidden="1" customHeight="1" outlineLevel="2" x14ac:dyDescent="0.2">
      <c r="A455" s="701" t="str">
        <f>INPUT!B457</f>
        <v>Taxes</v>
      </c>
      <c r="B455" s="151"/>
      <c r="C455" s="507"/>
      <c r="D455" s="151">
        <f>INPUT!BA457</f>
        <v>7.7</v>
      </c>
      <c r="E455" s="687">
        <f>INPUT!BB457</f>
        <v>-9.2195236972412058</v>
      </c>
      <c r="F455" s="151">
        <f>INPUT!BC457</f>
        <v>8</v>
      </c>
      <c r="G455" s="687">
        <f>INPUT!BD457</f>
        <v>-14.748508098891733</v>
      </c>
      <c r="H455" s="151">
        <f>INPUT!BE457</f>
        <v>9.6</v>
      </c>
      <c r="I455" s="687">
        <f>INPUT!BF457</f>
        <v>-18.395103706222372</v>
      </c>
      <c r="J455" s="151"/>
      <c r="K455" s="687"/>
      <c r="L455" s="151"/>
      <c r="M455" s="687"/>
      <c r="N455" s="151"/>
      <c r="O455" s="687"/>
      <c r="P455" s="151"/>
      <c r="Q455" s="687"/>
      <c r="R455" s="151"/>
      <c r="S455" s="507"/>
      <c r="T455" s="151"/>
      <c r="U455" s="507"/>
      <c r="V455" s="151"/>
      <c r="W455" s="507"/>
      <c r="X455" s="151"/>
      <c r="Y455" s="507"/>
      <c r="Z455" s="151"/>
      <c r="AA455" s="507"/>
      <c r="AB455" s="151"/>
      <c r="AC455" s="507"/>
      <c r="AD455" s="151"/>
      <c r="AE455" s="507"/>
      <c r="AF455" s="151"/>
      <c r="AG455" s="507"/>
      <c r="AH455" s="151"/>
      <c r="AI455" s="507"/>
      <c r="AJ455" s="151"/>
      <c r="AK455" s="507"/>
      <c r="AL455" s="151"/>
      <c r="AM455" s="507"/>
      <c r="AN455" s="151"/>
      <c r="AO455" s="507"/>
      <c r="AP455" s="151"/>
      <c r="AQ455" s="507"/>
      <c r="AR455" s="151"/>
      <c r="AS455" s="507"/>
      <c r="AT455" s="151"/>
      <c r="AU455" s="507"/>
      <c r="AV455" s="151"/>
      <c r="AW455" s="507"/>
      <c r="AX455" s="151"/>
      <c r="AY455" s="507"/>
      <c r="AZ455" s="151"/>
      <c r="BA455" s="507"/>
      <c r="BB455" s="151"/>
      <c r="BC455" s="507"/>
      <c r="BD455" s="151"/>
      <c r="BE455" s="507"/>
      <c r="BF455" s="151"/>
      <c r="BG455" s="507"/>
      <c r="BH455" s="151"/>
      <c r="BI455" s="507"/>
      <c r="BJ455" s="151"/>
      <c r="BK455" s="507"/>
      <c r="BL455" s="151"/>
      <c r="BM455" s="507"/>
      <c r="BN455" s="151"/>
      <c r="BO455" s="507"/>
      <c r="BP455" s="151"/>
      <c r="BQ455" s="507"/>
      <c r="BR455" s="151"/>
      <c r="BS455" s="507"/>
      <c r="BT455" s="151"/>
      <c r="BU455" s="507"/>
      <c r="BV455" s="151"/>
      <c r="BW455" s="507"/>
      <c r="BX455" s="151"/>
      <c r="BY455" s="507"/>
      <c r="BZ455" s="151"/>
      <c r="CA455" s="507"/>
      <c r="CB455" s="151"/>
      <c r="CC455" s="507"/>
      <c r="CD455" s="151"/>
      <c r="CE455" s="507"/>
      <c r="CF455" s="151"/>
      <c r="CG455" s="507"/>
      <c r="CH455" s="151"/>
      <c r="CI455" s="507"/>
      <c r="CJ455" s="151"/>
      <c r="CK455" s="507"/>
      <c r="CL455" s="151"/>
      <c r="CM455" s="507"/>
      <c r="CN455" s="151"/>
      <c r="CO455" s="507"/>
      <c r="CP455" s="151"/>
      <c r="CQ455" s="507"/>
      <c r="CR455" s="151"/>
      <c r="CS455" s="507"/>
      <c r="CT455" s="151"/>
      <c r="CU455" s="507"/>
      <c r="CV455" s="151"/>
      <c r="CW455" s="507"/>
      <c r="CX455" s="151"/>
      <c r="CY455" s="507"/>
      <c r="CZ455" s="151"/>
      <c r="DA455" s="507"/>
      <c r="DB455" s="507"/>
      <c r="DC455" s="151"/>
      <c r="DD455" s="507"/>
      <c r="DE455" s="151">
        <f>INPUT!FR457</f>
        <v>25.299999999999997</v>
      </c>
      <c r="DF455" s="507"/>
      <c r="DG455" s="151"/>
      <c r="DH455" s="507"/>
      <c r="DI455" s="151"/>
      <c r="DJ455" s="507"/>
      <c r="DK455" s="151"/>
      <c r="DL455" s="507"/>
      <c r="DM455" s="151"/>
      <c r="DN455" s="507"/>
      <c r="DO455" s="151"/>
      <c r="DP455" s="507"/>
      <c r="DQ455" s="151"/>
      <c r="DR455" s="507"/>
      <c r="DS455" s="151"/>
      <c r="DT455" s="507"/>
      <c r="DU455" s="151"/>
      <c r="DV455" s="507"/>
      <c r="DW455" s="151"/>
      <c r="DX455" s="507"/>
      <c r="DY455" s="151"/>
      <c r="DZ455" s="507"/>
      <c r="EA455" s="151"/>
      <c r="EB455" s="507"/>
      <c r="EC455" s="151"/>
      <c r="ED455" s="507"/>
      <c r="EE455" s="151"/>
      <c r="EF455" s="507"/>
      <c r="EG455" s="151"/>
      <c r="EH455" s="507"/>
      <c r="EI455" s="151"/>
      <c r="EJ455" s="507"/>
      <c r="EK455" s="151"/>
      <c r="EL455" s="507"/>
      <c r="EM455" s="687"/>
    </row>
    <row r="456" spans="1:143" ht="12.75" hidden="1" customHeight="1" outlineLevel="2" x14ac:dyDescent="0.2">
      <c r="A456" s="701" t="str">
        <f>INPUT!B458</f>
        <v>Tax Rate (%)</v>
      </c>
      <c r="B456" s="156"/>
      <c r="C456" s="507"/>
      <c r="D456" s="156">
        <f>INPUT!BA458</f>
        <v>192.5</v>
      </c>
      <c r="E456" s="687" t="str">
        <f>INPUT!BB458</f>
        <v>NM</v>
      </c>
      <c r="F456" s="156">
        <f>INPUT!BC458</f>
        <v>35.398230088495573</v>
      </c>
      <c r="G456" s="687">
        <f>INPUT!BD458</f>
        <v>-12.168330202415722</v>
      </c>
      <c r="H456" s="156">
        <f>INPUT!BE458</f>
        <v>35.294117647058819</v>
      </c>
      <c r="I456" s="687">
        <f>INPUT!BF458</f>
        <v>-11.569694181650902</v>
      </c>
      <c r="J456" s="156"/>
      <c r="K456" s="687"/>
      <c r="L456" s="156"/>
      <c r="M456" s="687"/>
      <c r="N456" s="156"/>
      <c r="O456" s="687"/>
      <c r="P456" s="156"/>
      <c r="Q456" s="687"/>
      <c r="R456" s="156"/>
      <c r="S456" s="507"/>
      <c r="T456" s="156"/>
      <c r="U456" s="507"/>
      <c r="V456" s="156"/>
      <c r="W456" s="507"/>
      <c r="X456" s="156"/>
      <c r="Y456" s="507"/>
      <c r="Z456" s="156"/>
      <c r="AA456" s="507"/>
      <c r="AB456" s="156"/>
      <c r="AC456" s="507"/>
      <c r="AD456" s="156"/>
      <c r="AE456" s="507"/>
      <c r="AF456" s="156"/>
      <c r="AG456" s="507"/>
      <c r="AH456" s="156"/>
      <c r="AI456" s="507"/>
      <c r="AJ456" s="156"/>
      <c r="AK456" s="507"/>
      <c r="AL456" s="156"/>
      <c r="AM456" s="507"/>
      <c r="AN456" s="156"/>
      <c r="AO456" s="507"/>
      <c r="AP456" s="156"/>
      <c r="AQ456" s="507"/>
      <c r="AR456" s="156"/>
      <c r="AS456" s="507"/>
      <c r="AT456" s="156"/>
      <c r="AU456" s="507"/>
      <c r="AV456" s="156"/>
      <c r="AW456" s="507"/>
      <c r="AX456" s="156"/>
      <c r="AY456" s="507"/>
      <c r="AZ456" s="156"/>
      <c r="BA456" s="507"/>
      <c r="BB456" s="156"/>
      <c r="BC456" s="507"/>
      <c r="BD456" s="156"/>
      <c r="BE456" s="507"/>
      <c r="BF456" s="156"/>
      <c r="BG456" s="507"/>
      <c r="BH456" s="156"/>
      <c r="BI456" s="507"/>
      <c r="BJ456" s="156"/>
      <c r="BK456" s="507"/>
      <c r="BL456" s="156"/>
      <c r="BM456" s="507"/>
      <c r="BN456" s="156"/>
      <c r="BO456" s="507"/>
      <c r="BP456" s="156"/>
      <c r="BQ456" s="507"/>
      <c r="BR456" s="156"/>
      <c r="BS456" s="507"/>
      <c r="BT456" s="156"/>
      <c r="BU456" s="507"/>
      <c r="BV456" s="156"/>
      <c r="BW456" s="507"/>
      <c r="BX456" s="156"/>
      <c r="BY456" s="507"/>
      <c r="BZ456" s="156"/>
      <c r="CA456" s="507"/>
      <c r="CB456" s="156"/>
      <c r="CC456" s="507"/>
      <c r="CD456" s="156"/>
      <c r="CE456" s="507"/>
      <c r="CF456" s="156"/>
      <c r="CG456" s="507"/>
      <c r="CH456" s="156"/>
      <c r="CI456" s="507"/>
      <c r="CJ456" s="156"/>
      <c r="CK456" s="507"/>
      <c r="CL456" s="156"/>
      <c r="CM456" s="507"/>
      <c r="CN456" s="156"/>
      <c r="CO456" s="507"/>
      <c r="CP456" s="156"/>
      <c r="CQ456" s="507"/>
      <c r="CR456" s="156"/>
      <c r="CS456" s="507"/>
      <c r="CT456" s="156"/>
      <c r="CU456" s="507"/>
      <c r="CV456" s="156"/>
      <c r="CW456" s="507"/>
      <c r="CX456" s="156"/>
      <c r="CY456" s="507"/>
      <c r="CZ456" s="156"/>
      <c r="DA456" s="507"/>
      <c r="DB456" s="507"/>
      <c r="DC456" s="156"/>
      <c r="DD456" s="507"/>
      <c r="DE456" s="156">
        <f>INPUT!FR458</f>
        <v>36.455331412103732</v>
      </c>
      <c r="DF456" s="507"/>
      <c r="DG456" s="156"/>
      <c r="DH456" s="507"/>
      <c r="DI456" s="156"/>
      <c r="DJ456" s="507"/>
      <c r="DK456" s="156"/>
      <c r="DL456" s="507"/>
      <c r="DM456" s="156"/>
      <c r="DN456" s="507"/>
      <c r="DO456" s="156"/>
      <c r="DP456" s="507"/>
      <c r="DQ456" s="156"/>
      <c r="DR456" s="507"/>
      <c r="DS456" s="156"/>
      <c r="DT456" s="507"/>
      <c r="DU456" s="156"/>
      <c r="DV456" s="507"/>
      <c r="DW456" s="156"/>
      <c r="DX456" s="507"/>
      <c r="DY456" s="156"/>
      <c r="DZ456" s="507"/>
      <c r="EA456" s="156"/>
      <c r="EB456" s="507"/>
      <c r="EC456" s="156"/>
      <c r="ED456" s="507"/>
      <c r="EE456" s="156"/>
      <c r="EF456" s="507"/>
      <c r="EG456" s="156"/>
      <c r="EH456" s="507"/>
      <c r="EI456" s="156"/>
      <c r="EJ456" s="507"/>
      <c r="EK456" s="156"/>
      <c r="EL456" s="507"/>
      <c r="EM456" s="687"/>
    </row>
    <row r="457" spans="1:143" ht="12.75" hidden="1" customHeight="1" outlineLevel="2" x14ac:dyDescent="0.2">
      <c r="A457" s="708" t="str">
        <f>INPUT!B459</f>
        <v>After-Tax Operating Earnings</v>
      </c>
      <c r="B457" s="708"/>
      <c r="C457" s="757"/>
      <c r="D457" s="708">
        <f>INPUT!BA459</f>
        <v>-3.7</v>
      </c>
      <c r="E457" s="709" t="str">
        <f>INPUT!BB459</f>
        <v>NM</v>
      </c>
      <c r="F457" s="708">
        <f>INPUT!BC459</f>
        <v>14.600000000000001</v>
      </c>
      <c r="G457" s="709">
        <f>INPUT!BD459</f>
        <v>5.0359712230215958</v>
      </c>
      <c r="H457" s="708">
        <f>INPUT!BE459</f>
        <v>17.5</v>
      </c>
      <c r="I457" s="709">
        <f>INPUT!BF459</f>
        <v>-1.1913500084693274</v>
      </c>
      <c r="J457" s="708"/>
      <c r="K457" s="709"/>
      <c r="L457" s="708"/>
      <c r="M457" s="709"/>
      <c r="N457" s="708"/>
      <c r="O457" s="709"/>
      <c r="P457" s="708"/>
      <c r="Q457" s="709"/>
      <c r="R457" s="708"/>
      <c r="S457" s="757"/>
      <c r="T457" s="708"/>
      <c r="U457" s="757"/>
      <c r="V457" s="708"/>
      <c r="W457" s="757"/>
      <c r="X457" s="708"/>
      <c r="Y457" s="757"/>
      <c r="Z457" s="708"/>
      <c r="AA457" s="757"/>
      <c r="AB457" s="708"/>
      <c r="AC457" s="757"/>
      <c r="AD457" s="708"/>
      <c r="AE457" s="757"/>
      <c r="AF457" s="708"/>
      <c r="AG457" s="757"/>
      <c r="AH457" s="708"/>
      <c r="AI457" s="759"/>
      <c r="AJ457" s="708"/>
      <c r="AK457" s="759"/>
      <c r="AL457" s="708"/>
      <c r="AM457" s="759"/>
      <c r="AN457" s="708"/>
      <c r="AO457" s="759"/>
      <c r="AP457" s="708"/>
      <c r="AQ457" s="759"/>
      <c r="AR457" s="708"/>
      <c r="AS457" s="759"/>
      <c r="AT457" s="708"/>
      <c r="AU457" s="759"/>
      <c r="AV457" s="708"/>
      <c r="AW457" s="759"/>
      <c r="AX457" s="708"/>
      <c r="AY457" s="759"/>
      <c r="AZ457" s="708"/>
      <c r="BA457" s="759"/>
      <c r="BB457" s="708"/>
      <c r="BC457" s="759"/>
      <c r="BD457" s="708"/>
      <c r="BE457" s="759"/>
      <c r="BF457" s="708"/>
      <c r="BG457" s="759"/>
      <c r="BH457" s="708"/>
      <c r="BI457" s="759"/>
      <c r="BJ457" s="708"/>
      <c r="BK457" s="759"/>
      <c r="BL457" s="708"/>
      <c r="BM457" s="759"/>
      <c r="BN457" s="708"/>
      <c r="BO457" s="759"/>
      <c r="BP457" s="708"/>
      <c r="BQ457" s="759"/>
      <c r="BR457" s="708"/>
      <c r="BS457" s="759"/>
      <c r="BT457" s="708"/>
      <c r="BU457" s="759"/>
      <c r="BV457" s="708"/>
      <c r="BW457" s="759"/>
      <c r="BX457" s="708"/>
      <c r="BY457" s="759"/>
      <c r="BZ457" s="708"/>
      <c r="CA457" s="759"/>
      <c r="CB457" s="708"/>
      <c r="CC457" s="759"/>
      <c r="CD457" s="708"/>
      <c r="CE457" s="759"/>
      <c r="CF457" s="708"/>
      <c r="CG457" s="759"/>
      <c r="CH457" s="708"/>
      <c r="CI457" s="759"/>
      <c r="CJ457" s="708"/>
      <c r="CK457" s="759"/>
      <c r="CL457" s="708"/>
      <c r="CM457" s="759"/>
      <c r="CN457" s="708"/>
      <c r="CO457" s="759"/>
      <c r="CP457" s="708"/>
      <c r="CQ457" s="759"/>
      <c r="CR457" s="708"/>
      <c r="CS457" s="759"/>
      <c r="CT457" s="708"/>
      <c r="CU457" s="759"/>
      <c r="CV457" s="708"/>
      <c r="CW457" s="759"/>
      <c r="CX457" s="708"/>
      <c r="CY457" s="759"/>
      <c r="CZ457" s="708"/>
      <c r="DA457" s="759"/>
      <c r="DB457" s="760"/>
      <c r="DC457" s="708"/>
      <c r="DD457" s="757"/>
      <c r="DE457" s="708">
        <f>INPUT!FR459</f>
        <v>39.6</v>
      </c>
      <c r="DF457" s="757"/>
      <c r="DG457" s="708"/>
      <c r="DH457" s="757"/>
      <c r="DI457" s="708"/>
      <c r="DJ457" s="757"/>
      <c r="DK457" s="708"/>
      <c r="DL457" s="759"/>
      <c r="DM457" s="708"/>
      <c r="DN457" s="759"/>
      <c r="DO457" s="708"/>
      <c r="DP457" s="759"/>
      <c r="DQ457" s="708"/>
      <c r="DR457" s="759"/>
      <c r="DS457" s="708"/>
      <c r="DT457" s="759"/>
      <c r="DU457" s="708"/>
      <c r="DV457" s="759"/>
      <c r="DW457" s="708"/>
      <c r="DX457" s="759"/>
      <c r="DY457" s="708"/>
      <c r="DZ457" s="759"/>
      <c r="EA457" s="708"/>
      <c r="EB457" s="759"/>
      <c r="EC457" s="708"/>
      <c r="ED457" s="759"/>
      <c r="EE457" s="708"/>
      <c r="EF457" s="759"/>
      <c r="EG457" s="708"/>
      <c r="EH457" s="759"/>
      <c r="EI457" s="708"/>
      <c r="EJ457" s="759"/>
      <c r="EK457" s="708"/>
      <c r="EL457" s="759"/>
      <c r="EM457" s="709"/>
    </row>
    <row r="458" spans="1:143" ht="12.75" hidden="1" customHeight="1" outlineLevel="2" x14ac:dyDescent="0.2">
      <c r="A458" s="701"/>
      <c r="B458" s="16"/>
      <c r="C458" s="507"/>
      <c r="D458" s="16"/>
      <c r="E458" s="687"/>
      <c r="F458" s="16"/>
      <c r="G458" s="687"/>
      <c r="H458" s="16"/>
      <c r="I458" s="687"/>
      <c r="J458" s="16"/>
      <c r="K458" s="687"/>
      <c r="L458" s="16"/>
      <c r="M458" s="687"/>
      <c r="N458" s="16"/>
      <c r="O458" s="687"/>
      <c r="P458" s="16"/>
      <c r="Q458" s="687"/>
      <c r="R458" s="16"/>
      <c r="S458" s="507"/>
      <c r="T458" s="16"/>
      <c r="U458" s="507"/>
      <c r="V458" s="16"/>
      <c r="W458" s="507"/>
      <c r="X458" s="16"/>
      <c r="Y458" s="507"/>
      <c r="Z458" s="16"/>
      <c r="AA458" s="507"/>
      <c r="AB458" s="16"/>
      <c r="AC458" s="507"/>
      <c r="AD458" s="16"/>
      <c r="AE458" s="507"/>
      <c r="AF458" s="16"/>
      <c r="AG458" s="507"/>
      <c r="AH458" s="16"/>
      <c r="AI458" s="507"/>
      <c r="AJ458" s="16"/>
      <c r="AK458" s="507"/>
      <c r="AL458" s="16"/>
      <c r="AM458" s="507"/>
      <c r="AN458" s="16"/>
      <c r="AO458" s="507"/>
      <c r="AP458" s="16"/>
      <c r="AQ458" s="507"/>
      <c r="AR458" s="16"/>
      <c r="AS458" s="507"/>
      <c r="AT458" s="16"/>
      <c r="AU458" s="507"/>
      <c r="AV458" s="16"/>
      <c r="AW458" s="507"/>
      <c r="AX458" s="16"/>
      <c r="AY458" s="507"/>
      <c r="AZ458" s="16"/>
      <c r="BA458" s="507"/>
      <c r="BB458" s="16"/>
      <c r="BC458" s="507"/>
      <c r="BD458" s="16"/>
      <c r="BE458" s="507"/>
      <c r="BF458" s="16"/>
      <c r="BG458" s="507"/>
      <c r="BH458" s="16"/>
      <c r="BI458" s="507"/>
      <c r="BJ458" s="16"/>
      <c r="BK458" s="507"/>
      <c r="BL458" s="16"/>
      <c r="BM458" s="507"/>
      <c r="BN458" s="16"/>
      <c r="BO458" s="507"/>
      <c r="BP458" s="16"/>
      <c r="BQ458" s="507"/>
      <c r="BR458" s="16"/>
      <c r="BS458" s="507"/>
      <c r="BT458" s="16"/>
      <c r="BU458" s="507"/>
      <c r="BV458" s="16"/>
      <c r="BW458" s="507"/>
      <c r="BX458" s="16"/>
      <c r="BY458" s="507"/>
      <c r="BZ458" s="16"/>
      <c r="CA458" s="507"/>
      <c r="CB458" s="16"/>
      <c r="CC458" s="507"/>
      <c r="CD458" s="16"/>
      <c r="CE458" s="507"/>
      <c r="CF458" s="16"/>
      <c r="CG458" s="507"/>
      <c r="CH458" s="16"/>
      <c r="CI458" s="507"/>
      <c r="CJ458" s="16"/>
      <c r="CK458" s="507"/>
      <c r="CL458" s="16"/>
      <c r="CM458" s="507"/>
      <c r="CN458" s="16"/>
      <c r="CO458" s="507"/>
      <c r="CP458" s="16"/>
      <c r="CQ458" s="507"/>
      <c r="CR458" s="16"/>
      <c r="CS458" s="507"/>
      <c r="CT458" s="16"/>
      <c r="CU458" s="507"/>
      <c r="CV458" s="16"/>
      <c r="CW458" s="507"/>
      <c r="CX458" s="16"/>
      <c r="CY458" s="507"/>
      <c r="CZ458" s="16"/>
      <c r="DA458" s="507"/>
      <c r="DB458" s="507"/>
      <c r="DC458" s="16"/>
      <c r="DD458" s="507"/>
      <c r="DE458" s="16"/>
      <c r="DF458" s="507"/>
      <c r="DG458" s="16"/>
      <c r="DH458" s="507"/>
      <c r="DI458" s="16"/>
      <c r="DJ458" s="507"/>
      <c r="DK458" s="16"/>
      <c r="DL458" s="507"/>
      <c r="DM458" s="16"/>
      <c r="DN458" s="507"/>
      <c r="DO458" s="16"/>
      <c r="DP458" s="507"/>
      <c r="DQ458" s="16"/>
      <c r="DR458" s="507"/>
      <c r="DS458" s="16"/>
      <c r="DT458" s="507"/>
      <c r="DU458" s="16"/>
      <c r="DV458" s="507"/>
      <c r="DW458" s="16"/>
      <c r="DX458" s="507"/>
      <c r="DY458" s="16"/>
      <c r="DZ458" s="507"/>
      <c r="EA458" s="16"/>
      <c r="EB458" s="507"/>
      <c r="EC458" s="16"/>
      <c r="ED458" s="507"/>
      <c r="EE458" s="16"/>
      <c r="EF458" s="507"/>
      <c r="EG458" s="16"/>
      <c r="EH458" s="507"/>
      <c r="EI458" s="16"/>
      <c r="EJ458" s="507"/>
      <c r="EK458" s="16"/>
      <c r="EL458" s="507"/>
      <c r="EM458" s="687"/>
    </row>
    <row r="459" spans="1:143" ht="12.75" hidden="1" customHeight="1" outlineLevel="2" x14ac:dyDescent="0.2">
      <c r="A459" s="715" t="s">
        <v>303</v>
      </c>
      <c r="B459" s="16"/>
      <c r="C459" s="507"/>
      <c r="D459" s="16"/>
      <c r="E459" s="687"/>
      <c r="F459" s="16"/>
      <c r="G459" s="687"/>
      <c r="H459" s="16"/>
      <c r="I459" s="687"/>
      <c r="J459" s="16"/>
      <c r="K459" s="687"/>
      <c r="L459" s="16"/>
      <c r="M459" s="687"/>
      <c r="N459" s="16"/>
      <c r="O459" s="687"/>
      <c r="P459" s="16"/>
      <c r="Q459" s="687"/>
      <c r="R459" s="16"/>
      <c r="S459" s="507"/>
      <c r="T459" s="16"/>
      <c r="U459" s="507"/>
      <c r="V459" s="16"/>
      <c r="W459" s="507"/>
      <c r="X459" s="16"/>
      <c r="Y459" s="507"/>
      <c r="Z459" s="16"/>
      <c r="AA459" s="507"/>
      <c r="AB459" s="16"/>
      <c r="AC459" s="507"/>
      <c r="AD459" s="16"/>
      <c r="AE459" s="507"/>
      <c r="AF459" s="16"/>
      <c r="AG459" s="507"/>
      <c r="AH459" s="16"/>
      <c r="AI459" s="507"/>
      <c r="AJ459" s="16"/>
      <c r="AK459" s="507"/>
      <c r="AL459" s="16"/>
      <c r="AM459" s="507"/>
      <c r="AN459" s="16"/>
      <c r="AO459" s="507"/>
      <c r="AP459" s="16"/>
      <c r="AQ459" s="507"/>
      <c r="AR459" s="16"/>
      <c r="AS459" s="507"/>
      <c r="AT459" s="16"/>
      <c r="AU459" s="507"/>
      <c r="AV459" s="16"/>
      <c r="AW459" s="507"/>
      <c r="AX459" s="16"/>
      <c r="AY459" s="507"/>
      <c r="AZ459" s="16"/>
      <c r="BA459" s="507"/>
      <c r="BB459" s="16"/>
      <c r="BC459" s="507"/>
      <c r="BD459" s="16"/>
      <c r="BE459" s="507"/>
      <c r="BF459" s="16"/>
      <c r="BG459" s="507"/>
      <c r="BH459" s="16"/>
      <c r="BI459" s="507"/>
      <c r="BJ459" s="16"/>
      <c r="BK459" s="507"/>
      <c r="BL459" s="16"/>
      <c r="BM459" s="507"/>
      <c r="BN459" s="16"/>
      <c r="BO459" s="507"/>
      <c r="BP459" s="16"/>
      <c r="BQ459" s="507"/>
      <c r="BR459" s="16"/>
      <c r="BS459" s="507"/>
      <c r="BT459" s="16"/>
      <c r="BU459" s="507"/>
      <c r="BV459" s="16"/>
      <c r="BW459" s="507"/>
      <c r="BX459" s="16"/>
      <c r="BY459" s="507"/>
      <c r="BZ459" s="16"/>
      <c r="CA459" s="507"/>
      <c r="CB459" s="16"/>
      <c r="CC459" s="507"/>
      <c r="CD459" s="16"/>
      <c r="CE459" s="507"/>
      <c r="CF459" s="16"/>
      <c r="CG459" s="507"/>
      <c r="CH459" s="16"/>
      <c r="CI459" s="507"/>
      <c r="CJ459" s="16"/>
      <c r="CK459" s="507"/>
      <c r="CL459" s="16"/>
      <c r="CM459" s="507"/>
      <c r="CN459" s="16"/>
      <c r="CO459" s="507"/>
      <c r="CP459" s="16"/>
      <c r="CQ459" s="507"/>
      <c r="CR459" s="16"/>
      <c r="CS459" s="507"/>
      <c r="CT459" s="16"/>
      <c r="CU459" s="507"/>
      <c r="CV459" s="16"/>
      <c r="CW459" s="507"/>
      <c r="CX459" s="16"/>
      <c r="CY459" s="507"/>
      <c r="CZ459" s="16"/>
      <c r="DA459" s="507"/>
      <c r="DB459" s="507"/>
      <c r="DC459" s="16"/>
      <c r="DD459" s="507"/>
      <c r="DE459" s="16"/>
      <c r="DF459" s="507"/>
      <c r="DG459" s="16"/>
      <c r="DH459" s="507"/>
      <c r="DI459" s="16"/>
      <c r="DJ459" s="507"/>
      <c r="DK459" s="16"/>
      <c r="DL459" s="507"/>
      <c r="DM459" s="16"/>
      <c r="DN459" s="507"/>
      <c r="DO459" s="16"/>
      <c r="DP459" s="507"/>
      <c r="DQ459" s="16"/>
      <c r="DR459" s="507"/>
      <c r="DS459" s="16"/>
      <c r="DT459" s="507"/>
      <c r="DU459" s="16"/>
      <c r="DV459" s="507"/>
      <c r="DW459" s="16"/>
      <c r="DX459" s="507"/>
      <c r="DY459" s="16"/>
      <c r="DZ459" s="507"/>
      <c r="EA459" s="16"/>
      <c r="EB459" s="507"/>
      <c r="EC459" s="16"/>
      <c r="ED459" s="507"/>
      <c r="EE459" s="16"/>
      <c r="EF459" s="507"/>
      <c r="EG459" s="16"/>
      <c r="EH459" s="507"/>
      <c r="EI459" s="16"/>
      <c r="EJ459" s="507"/>
      <c r="EK459" s="16"/>
      <c r="EL459" s="507"/>
      <c r="EM459" s="687"/>
    </row>
    <row r="460" spans="1:143" ht="12.75" hidden="1" customHeight="1" outlineLevel="2" x14ac:dyDescent="0.2">
      <c r="A460" s="522" t="s">
        <v>304</v>
      </c>
      <c r="B460" s="464"/>
      <c r="C460" s="507"/>
      <c r="D460" s="464">
        <f>INPUT!BA580</f>
        <v>0</v>
      </c>
      <c r="E460" s="687">
        <f>INPUT!BB580</f>
        <v>0</v>
      </c>
      <c r="F460" s="464">
        <f>INPUT!BC580</f>
        <v>0</v>
      </c>
      <c r="G460" s="687">
        <f>INPUT!BD580</f>
        <v>0</v>
      </c>
      <c r="H460" s="464">
        <f>INPUT!BE580</f>
        <v>0</v>
      </c>
      <c r="I460" s="687">
        <f>INPUT!BF580</f>
        <v>0</v>
      </c>
      <c r="J460" s="464"/>
      <c r="K460" s="687"/>
      <c r="L460" s="464"/>
      <c r="M460" s="687"/>
      <c r="N460" s="464"/>
      <c r="O460" s="687"/>
      <c r="P460" s="464"/>
      <c r="Q460" s="687"/>
      <c r="R460" s="464"/>
      <c r="S460" s="507"/>
      <c r="T460" s="464"/>
      <c r="U460" s="507"/>
      <c r="V460" s="464"/>
      <c r="W460" s="507"/>
      <c r="X460" s="464"/>
      <c r="Y460" s="507"/>
      <c r="Z460" s="464"/>
      <c r="AA460" s="507"/>
      <c r="AB460" s="464"/>
      <c r="AC460" s="507"/>
      <c r="AD460" s="464"/>
      <c r="AE460" s="507"/>
      <c r="AF460" s="464"/>
      <c r="AG460" s="507"/>
      <c r="AH460" s="464"/>
      <c r="AI460" s="507"/>
      <c r="AJ460" s="464"/>
      <c r="AK460" s="507"/>
      <c r="AL460" s="464"/>
      <c r="AM460" s="507"/>
      <c r="AN460" s="464"/>
      <c r="AO460" s="507"/>
      <c r="AP460" s="464"/>
      <c r="AQ460" s="507"/>
      <c r="AR460" s="464"/>
      <c r="AS460" s="507"/>
      <c r="AT460" s="464"/>
      <c r="AU460" s="507"/>
      <c r="AV460" s="464"/>
      <c r="AW460" s="507"/>
      <c r="AX460" s="464"/>
      <c r="AY460" s="507"/>
      <c r="AZ460" s="464"/>
      <c r="BA460" s="507"/>
      <c r="BB460" s="464"/>
      <c r="BC460" s="507"/>
      <c r="BD460" s="464"/>
      <c r="BE460" s="507"/>
      <c r="BF460" s="464"/>
      <c r="BG460" s="507"/>
      <c r="BH460" s="464"/>
      <c r="BI460" s="507"/>
      <c r="BJ460" s="464"/>
      <c r="BK460" s="507"/>
      <c r="BL460" s="464"/>
      <c r="BM460" s="507"/>
      <c r="BN460" s="464"/>
      <c r="BO460" s="507"/>
      <c r="BP460" s="464"/>
      <c r="BQ460" s="507"/>
      <c r="BR460" s="464"/>
      <c r="BS460" s="507"/>
      <c r="BT460" s="464"/>
      <c r="BU460" s="507"/>
      <c r="BV460" s="464"/>
      <c r="BW460" s="507"/>
      <c r="BX460" s="464"/>
      <c r="BY460" s="507"/>
      <c r="BZ460" s="464"/>
      <c r="CA460" s="507"/>
      <c r="CB460" s="464"/>
      <c r="CC460" s="507"/>
      <c r="CD460" s="464"/>
      <c r="CE460" s="507"/>
      <c r="CF460" s="464"/>
      <c r="CG460" s="507"/>
      <c r="CH460" s="464"/>
      <c r="CI460" s="507"/>
      <c r="CJ460" s="464"/>
      <c r="CK460" s="507"/>
      <c r="CL460" s="464"/>
      <c r="CM460" s="507"/>
      <c r="CN460" s="464"/>
      <c r="CO460" s="507"/>
      <c r="CP460" s="464"/>
      <c r="CQ460" s="507"/>
      <c r="CR460" s="464"/>
      <c r="CS460" s="507"/>
      <c r="CT460" s="464"/>
      <c r="CU460" s="507"/>
      <c r="CV460" s="464"/>
      <c r="CW460" s="507"/>
      <c r="CX460" s="464"/>
      <c r="CY460" s="507"/>
      <c r="CZ460" s="464"/>
      <c r="DA460" s="507"/>
      <c r="DB460" s="507"/>
      <c r="DC460" s="464"/>
      <c r="DD460" s="507"/>
      <c r="DE460" s="464">
        <f>INPUT!FR580</f>
        <v>3.2872891486253155</v>
      </c>
      <c r="DF460" s="507"/>
      <c r="DG460" s="464"/>
      <c r="DH460" s="507"/>
      <c r="DI460" s="464"/>
      <c r="DJ460" s="507"/>
      <c r="DK460" s="464"/>
      <c r="DL460" s="507"/>
      <c r="DM460" s="464"/>
      <c r="DN460" s="507"/>
      <c r="DO460" s="464"/>
      <c r="DP460" s="507"/>
      <c r="DQ460" s="464"/>
      <c r="DR460" s="507"/>
      <c r="DS460" s="464"/>
      <c r="DT460" s="507"/>
      <c r="DU460" s="464"/>
      <c r="DV460" s="507"/>
      <c r="DW460" s="464"/>
      <c r="DX460" s="507"/>
      <c r="DY460" s="464"/>
      <c r="DZ460" s="507"/>
      <c r="EA460" s="464"/>
      <c r="EB460" s="507"/>
      <c r="EC460" s="464"/>
      <c r="ED460" s="507"/>
      <c r="EE460" s="464"/>
      <c r="EF460" s="507"/>
      <c r="EG460" s="464"/>
      <c r="EH460" s="507"/>
      <c r="EI460" s="464"/>
      <c r="EJ460" s="507"/>
      <c r="EK460" s="464"/>
      <c r="EL460" s="507"/>
      <c r="EM460" s="687"/>
    </row>
    <row r="461" spans="1:143" ht="12.75" hidden="1" customHeight="1" outlineLevel="2" x14ac:dyDescent="0.2">
      <c r="A461" s="700"/>
      <c r="B461" s="16"/>
      <c r="C461" s="507"/>
      <c r="D461" s="16"/>
      <c r="E461" s="687"/>
      <c r="F461" s="16"/>
      <c r="G461" s="687"/>
      <c r="H461" s="16"/>
      <c r="I461" s="687"/>
      <c r="J461" s="16"/>
      <c r="K461" s="687"/>
      <c r="L461" s="16"/>
      <c r="M461" s="687"/>
      <c r="N461" s="16"/>
      <c r="O461" s="687"/>
      <c r="P461" s="16"/>
      <c r="Q461" s="687"/>
      <c r="R461" s="16"/>
      <c r="S461" s="507"/>
      <c r="T461" s="16"/>
      <c r="U461" s="507"/>
      <c r="V461" s="16"/>
      <c r="W461" s="507"/>
      <c r="X461" s="16"/>
      <c r="Y461" s="507"/>
      <c r="Z461" s="16"/>
      <c r="AA461" s="507"/>
      <c r="AB461" s="16"/>
      <c r="AC461" s="507"/>
      <c r="AD461" s="16"/>
      <c r="AE461" s="507"/>
      <c r="AF461" s="16"/>
      <c r="AG461" s="507"/>
      <c r="AH461" s="16"/>
      <c r="AI461" s="507"/>
      <c r="AJ461" s="16"/>
      <c r="AK461" s="507"/>
      <c r="AL461" s="16"/>
      <c r="AM461" s="507"/>
      <c r="AN461" s="16"/>
      <c r="AO461" s="507"/>
      <c r="AP461" s="16"/>
      <c r="AQ461" s="507"/>
      <c r="AR461" s="16"/>
      <c r="AS461" s="507"/>
      <c r="AT461" s="16"/>
      <c r="AU461" s="507"/>
      <c r="AV461" s="16"/>
      <c r="AW461" s="507"/>
      <c r="AX461" s="16"/>
      <c r="AY461" s="507"/>
      <c r="AZ461" s="16"/>
      <c r="BA461" s="507"/>
      <c r="BB461" s="16"/>
      <c r="BC461" s="507"/>
      <c r="BD461" s="16"/>
      <c r="BE461" s="507"/>
      <c r="BF461" s="16"/>
      <c r="BG461" s="507"/>
      <c r="BH461" s="16"/>
      <c r="BI461" s="507"/>
      <c r="BJ461" s="16"/>
      <c r="BK461" s="507"/>
      <c r="BL461" s="16"/>
      <c r="BM461" s="507"/>
      <c r="BN461" s="16"/>
      <c r="BO461" s="507"/>
      <c r="BP461" s="16"/>
      <c r="BQ461" s="507"/>
      <c r="BR461" s="16"/>
      <c r="BS461" s="507"/>
      <c r="BT461" s="16"/>
      <c r="BU461" s="507"/>
      <c r="BV461" s="16"/>
      <c r="BW461" s="507"/>
      <c r="BX461" s="16"/>
      <c r="BY461" s="507"/>
      <c r="BZ461" s="16"/>
      <c r="CA461" s="507"/>
      <c r="CB461" s="16"/>
      <c r="CC461" s="507"/>
      <c r="CD461" s="16"/>
      <c r="CE461" s="507"/>
      <c r="CF461" s="16"/>
      <c r="CG461" s="507"/>
      <c r="CH461" s="16"/>
      <c r="CI461" s="507"/>
      <c r="CJ461" s="16"/>
      <c r="CK461" s="507"/>
      <c r="CL461" s="16"/>
      <c r="CM461" s="507"/>
      <c r="CN461" s="16"/>
      <c r="CO461" s="507"/>
      <c r="CP461" s="16"/>
      <c r="CQ461" s="507"/>
      <c r="CR461" s="16"/>
      <c r="CS461" s="507"/>
      <c r="CT461" s="16"/>
      <c r="CU461" s="507"/>
      <c r="CV461" s="16"/>
      <c r="CW461" s="507"/>
      <c r="CX461" s="16"/>
      <c r="CY461" s="507"/>
      <c r="CZ461" s="16"/>
      <c r="DA461" s="507"/>
      <c r="DB461" s="507"/>
      <c r="DC461" s="16"/>
      <c r="DD461" s="507"/>
      <c r="DE461" s="16"/>
      <c r="DF461" s="507"/>
      <c r="DG461" s="16"/>
      <c r="DH461" s="507"/>
      <c r="DI461" s="16"/>
      <c r="DJ461" s="507"/>
      <c r="DK461" s="16"/>
      <c r="DL461" s="507"/>
      <c r="DM461" s="16"/>
      <c r="DN461" s="507"/>
      <c r="DO461" s="16"/>
      <c r="DP461" s="507"/>
      <c r="DQ461" s="16"/>
      <c r="DR461" s="507"/>
      <c r="DS461" s="16"/>
      <c r="DT461" s="507"/>
      <c r="DU461" s="16"/>
      <c r="DV461" s="507"/>
      <c r="DW461" s="16"/>
      <c r="DX461" s="507"/>
      <c r="DY461" s="16"/>
      <c r="DZ461" s="507"/>
      <c r="EA461" s="16"/>
      <c r="EB461" s="507"/>
      <c r="EC461" s="16"/>
      <c r="ED461" s="507"/>
      <c r="EE461" s="16"/>
      <c r="EF461" s="507"/>
      <c r="EG461" s="16"/>
      <c r="EH461" s="507"/>
      <c r="EI461" s="16"/>
      <c r="EJ461" s="507"/>
      <c r="EK461" s="16"/>
      <c r="EL461" s="507"/>
      <c r="EM461" s="687"/>
    </row>
    <row r="462" spans="1:143" ht="12.75" hidden="1" customHeight="1" outlineLevel="2" x14ac:dyDescent="0.2">
      <c r="A462" s="700" t="str">
        <f>INPUT!B464</f>
        <v>Profitability Analysis</v>
      </c>
      <c r="B462" s="16"/>
      <c r="C462" s="507"/>
      <c r="D462" s="16"/>
      <c r="E462" s="687"/>
      <c r="F462" s="16"/>
      <c r="G462" s="687"/>
      <c r="H462" s="16"/>
      <c r="I462" s="687"/>
      <c r="J462" s="16"/>
      <c r="K462" s="687"/>
      <c r="L462" s="16"/>
      <c r="M462" s="687"/>
      <c r="N462" s="16"/>
      <c r="O462" s="687"/>
      <c r="P462" s="16"/>
      <c r="Q462" s="687"/>
      <c r="R462" s="16"/>
      <c r="S462" s="507"/>
      <c r="T462" s="16"/>
      <c r="U462" s="507"/>
      <c r="V462" s="16"/>
      <c r="W462" s="507"/>
      <c r="X462" s="16"/>
      <c r="Y462" s="507"/>
      <c r="Z462" s="16"/>
      <c r="AA462" s="507"/>
      <c r="AB462" s="16"/>
      <c r="AC462" s="507"/>
      <c r="AD462" s="16"/>
      <c r="AE462" s="507"/>
      <c r="AF462" s="16"/>
      <c r="AG462" s="507"/>
      <c r="AH462" s="16"/>
      <c r="AI462" s="507"/>
      <c r="AJ462" s="16"/>
      <c r="AK462" s="507"/>
      <c r="AL462" s="16"/>
      <c r="AM462" s="507"/>
      <c r="AN462" s="16"/>
      <c r="AO462" s="507"/>
      <c r="AP462" s="16"/>
      <c r="AQ462" s="507"/>
      <c r="AR462" s="16"/>
      <c r="AS462" s="507"/>
      <c r="AT462" s="16"/>
      <c r="AU462" s="507"/>
      <c r="AV462" s="16"/>
      <c r="AW462" s="507"/>
      <c r="AX462" s="16"/>
      <c r="AY462" s="507"/>
      <c r="AZ462" s="16"/>
      <c r="BA462" s="507"/>
      <c r="BB462" s="16"/>
      <c r="BC462" s="507"/>
      <c r="BD462" s="16"/>
      <c r="BE462" s="507"/>
      <c r="BF462" s="16"/>
      <c r="BG462" s="507"/>
      <c r="BH462" s="16"/>
      <c r="BI462" s="507"/>
      <c r="BJ462" s="16"/>
      <c r="BK462" s="507"/>
      <c r="BL462" s="16"/>
      <c r="BM462" s="507"/>
      <c r="BN462" s="16"/>
      <c r="BO462" s="507"/>
      <c r="BP462" s="16"/>
      <c r="BQ462" s="507"/>
      <c r="BR462" s="16"/>
      <c r="BS462" s="507"/>
      <c r="BT462" s="16"/>
      <c r="BU462" s="507"/>
      <c r="BV462" s="16"/>
      <c r="BW462" s="507"/>
      <c r="BX462" s="16"/>
      <c r="BY462" s="507"/>
      <c r="BZ462" s="16"/>
      <c r="CA462" s="507"/>
      <c r="CB462" s="16"/>
      <c r="CC462" s="507"/>
      <c r="CD462" s="16"/>
      <c r="CE462" s="507"/>
      <c r="CF462" s="16"/>
      <c r="CG462" s="507"/>
      <c r="CH462" s="16"/>
      <c r="CI462" s="507"/>
      <c r="CJ462" s="16"/>
      <c r="CK462" s="507"/>
      <c r="CL462" s="16"/>
      <c r="CM462" s="507"/>
      <c r="CN462" s="16"/>
      <c r="CO462" s="507"/>
      <c r="CP462" s="16"/>
      <c r="CQ462" s="507"/>
      <c r="CR462" s="16"/>
      <c r="CS462" s="507"/>
      <c r="CT462" s="16"/>
      <c r="CU462" s="507"/>
      <c r="CV462" s="16"/>
      <c r="CW462" s="507"/>
      <c r="CX462" s="16"/>
      <c r="CY462" s="507"/>
      <c r="CZ462" s="16"/>
      <c r="DA462" s="507"/>
      <c r="DB462" s="507"/>
      <c r="DC462" s="16"/>
      <c r="DD462" s="507"/>
      <c r="DE462" s="16"/>
      <c r="DF462" s="507"/>
      <c r="DG462" s="16"/>
      <c r="DH462" s="507"/>
      <c r="DI462" s="16"/>
      <c r="DJ462" s="507"/>
      <c r="DK462" s="16"/>
      <c r="DL462" s="507"/>
      <c r="DM462" s="16"/>
      <c r="DN462" s="507"/>
      <c r="DO462" s="16"/>
      <c r="DP462" s="507"/>
      <c r="DQ462" s="16"/>
      <c r="DR462" s="507"/>
      <c r="DS462" s="16"/>
      <c r="DT462" s="507"/>
      <c r="DU462" s="16"/>
      <c r="DV462" s="507"/>
      <c r="DW462" s="16"/>
      <c r="DX462" s="507"/>
      <c r="DY462" s="16"/>
      <c r="DZ462" s="507"/>
      <c r="EA462" s="16"/>
      <c r="EB462" s="507"/>
      <c r="EC462" s="16"/>
      <c r="ED462" s="507"/>
      <c r="EE462" s="16"/>
      <c r="EF462" s="507"/>
      <c r="EG462" s="16"/>
      <c r="EH462" s="507"/>
      <c r="EI462" s="16"/>
      <c r="EJ462" s="507"/>
      <c r="EK462" s="16"/>
      <c r="EL462" s="507"/>
      <c r="EM462" s="687"/>
    </row>
    <row r="463" spans="1:143" ht="12.75" hidden="1" customHeight="1" outlineLevel="2" x14ac:dyDescent="0.2">
      <c r="A463" s="701" t="str">
        <f>INPUT!B465</f>
        <v>Pretax Margin on Revenues (%)</v>
      </c>
      <c r="B463" s="156"/>
      <c r="C463" s="507"/>
      <c r="D463" s="156">
        <f>INPUT!BA465</f>
        <v>6.9565217391304346</v>
      </c>
      <c r="E463" s="687" t="str">
        <f>INPUT!BB465</f>
        <v>NM</v>
      </c>
      <c r="F463" s="156">
        <f>INPUT!BC465</f>
        <v>37.792642140468232</v>
      </c>
      <c r="G463" s="687">
        <f>INPUT!BD465</f>
        <v>-3.9180018833895658</v>
      </c>
      <c r="H463" s="156">
        <f>INPUT!BE465</f>
        <v>38.857142857142861</v>
      </c>
      <c r="I463" s="687">
        <f>INPUT!BF465</f>
        <v>-8.6385847570580214</v>
      </c>
      <c r="J463" s="156"/>
      <c r="K463" s="687"/>
      <c r="L463" s="156"/>
      <c r="M463" s="687"/>
      <c r="N463" s="156"/>
      <c r="O463" s="687"/>
      <c r="P463" s="156"/>
      <c r="Q463" s="687"/>
      <c r="R463" s="156"/>
      <c r="S463" s="507"/>
      <c r="T463" s="156"/>
      <c r="U463" s="507"/>
      <c r="V463" s="156"/>
      <c r="W463" s="507"/>
      <c r="X463" s="156"/>
      <c r="Y463" s="507"/>
      <c r="Z463" s="156"/>
      <c r="AA463" s="507"/>
      <c r="AB463" s="156"/>
      <c r="AC463" s="507"/>
      <c r="AD463" s="156"/>
      <c r="AE463" s="507"/>
      <c r="AF463" s="156"/>
      <c r="AG463" s="507"/>
      <c r="AH463" s="156"/>
      <c r="AI463" s="507"/>
      <c r="AJ463" s="156"/>
      <c r="AK463" s="507"/>
      <c r="AL463" s="156"/>
      <c r="AM463" s="507"/>
      <c r="AN463" s="156"/>
      <c r="AO463" s="507"/>
      <c r="AP463" s="156"/>
      <c r="AQ463" s="507"/>
      <c r="AR463" s="156"/>
      <c r="AS463" s="507"/>
      <c r="AT463" s="156"/>
      <c r="AU463" s="507"/>
      <c r="AV463" s="156"/>
      <c r="AW463" s="507"/>
      <c r="AX463" s="156"/>
      <c r="AY463" s="507"/>
      <c r="AZ463" s="156"/>
      <c r="BA463" s="507"/>
      <c r="BB463" s="156"/>
      <c r="BC463" s="507"/>
      <c r="BD463" s="156"/>
      <c r="BE463" s="507"/>
      <c r="BF463" s="156"/>
      <c r="BG463" s="507"/>
      <c r="BH463" s="156"/>
      <c r="BI463" s="507"/>
      <c r="BJ463" s="156"/>
      <c r="BK463" s="507"/>
      <c r="BL463" s="156"/>
      <c r="BM463" s="507"/>
      <c r="BN463" s="156"/>
      <c r="BO463" s="507"/>
      <c r="BP463" s="156"/>
      <c r="BQ463" s="507"/>
      <c r="BR463" s="156"/>
      <c r="BS463" s="507"/>
      <c r="BT463" s="156"/>
      <c r="BU463" s="507"/>
      <c r="BV463" s="156"/>
      <c r="BW463" s="507"/>
      <c r="BX463" s="156"/>
      <c r="BY463" s="507"/>
      <c r="BZ463" s="156"/>
      <c r="CA463" s="507"/>
      <c r="CB463" s="156"/>
      <c r="CC463" s="507"/>
      <c r="CD463" s="156"/>
      <c r="CE463" s="507"/>
      <c r="CF463" s="156"/>
      <c r="CG463" s="507"/>
      <c r="CH463" s="156"/>
      <c r="CI463" s="507"/>
      <c r="CJ463" s="156"/>
      <c r="CK463" s="507"/>
      <c r="CL463" s="156"/>
      <c r="CM463" s="507"/>
      <c r="CN463" s="156"/>
      <c r="CO463" s="507"/>
      <c r="CP463" s="156"/>
      <c r="CQ463" s="507"/>
      <c r="CR463" s="156"/>
      <c r="CS463" s="507"/>
      <c r="CT463" s="156"/>
      <c r="CU463" s="507"/>
      <c r="CV463" s="156"/>
      <c r="CW463" s="507"/>
      <c r="CX463" s="156"/>
      <c r="CY463" s="507"/>
      <c r="CZ463" s="156"/>
      <c r="DA463" s="507"/>
      <c r="DB463" s="507"/>
      <c r="DC463" s="156"/>
      <c r="DD463" s="507"/>
      <c r="DE463" s="156">
        <f>INPUT!FR465</f>
        <v>37.05285638013882</v>
      </c>
      <c r="DF463" s="507"/>
      <c r="DG463" s="156"/>
      <c r="DH463" s="507"/>
      <c r="DI463" s="156"/>
      <c r="DJ463" s="507"/>
      <c r="DK463" s="156"/>
      <c r="DL463" s="507"/>
      <c r="DM463" s="156"/>
      <c r="DN463" s="507"/>
      <c r="DO463" s="156"/>
      <c r="DP463" s="507"/>
      <c r="DQ463" s="156"/>
      <c r="DR463" s="507"/>
      <c r="DS463" s="156"/>
      <c r="DT463" s="507"/>
      <c r="DU463" s="156"/>
      <c r="DV463" s="507"/>
      <c r="DW463" s="156"/>
      <c r="DX463" s="507"/>
      <c r="DY463" s="156"/>
      <c r="DZ463" s="507"/>
      <c r="EA463" s="156"/>
      <c r="EB463" s="507"/>
      <c r="EC463" s="156"/>
      <c r="ED463" s="507"/>
      <c r="EE463" s="156"/>
      <c r="EF463" s="507"/>
      <c r="EG463" s="156"/>
      <c r="EH463" s="507"/>
      <c r="EI463" s="156"/>
      <c r="EJ463" s="507"/>
      <c r="EK463" s="156"/>
      <c r="EL463" s="507"/>
      <c r="EM463" s="687"/>
    </row>
    <row r="464" spans="1:143" ht="12.75" hidden="1" customHeight="1" outlineLevel="2" x14ac:dyDescent="0.2">
      <c r="A464" s="701" t="str">
        <f>INPUT!B466</f>
        <v>After-Tax Margin on Revenues (%)</v>
      </c>
      <c r="B464" s="156"/>
      <c r="C464" s="507"/>
      <c r="D464" s="156">
        <f>INPUT!BA466</f>
        <v>-6.4347826086956523</v>
      </c>
      <c r="E464" s="687" t="str">
        <f>INPUT!BB466</f>
        <v>NM</v>
      </c>
      <c r="F464" s="156">
        <f>INPUT!BC466</f>
        <v>24.414715719063548</v>
      </c>
      <c r="G464" s="687">
        <f>INPUT!BD466</f>
        <v>3.9750727845817124</v>
      </c>
      <c r="H464" s="156">
        <f>INPUT!BE466</f>
        <v>25</v>
      </c>
      <c r="I464" s="687">
        <f>INPUT!BF466</f>
        <v>-2.1766134040991481</v>
      </c>
      <c r="J464" s="156"/>
      <c r="K464" s="687"/>
      <c r="L464" s="156"/>
      <c r="M464" s="687"/>
      <c r="N464" s="156"/>
      <c r="O464" s="687"/>
      <c r="P464" s="156"/>
      <c r="Q464" s="687"/>
      <c r="R464" s="156"/>
      <c r="S464" s="507"/>
      <c r="T464" s="156"/>
      <c r="U464" s="507"/>
      <c r="V464" s="156"/>
      <c r="W464" s="507"/>
      <c r="X464" s="156"/>
      <c r="Y464" s="507"/>
      <c r="Z464" s="156"/>
      <c r="AA464" s="507"/>
      <c r="AB464" s="156"/>
      <c r="AC464" s="507"/>
      <c r="AD464" s="156"/>
      <c r="AE464" s="507"/>
      <c r="AF464" s="156"/>
      <c r="AG464" s="507"/>
      <c r="AH464" s="156"/>
      <c r="AI464" s="507"/>
      <c r="AJ464" s="156"/>
      <c r="AK464" s="507"/>
      <c r="AL464" s="156"/>
      <c r="AM464" s="507"/>
      <c r="AN464" s="156"/>
      <c r="AO464" s="507"/>
      <c r="AP464" s="156"/>
      <c r="AQ464" s="507"/>
      <c r="AR464" s="156"/>
      <c r="AS464" s="507"/>
      <c r="AT464" s="156"/>
      <c r="AU464" s="507"/>
      <c r="AV464" s="156"/>
      <c r="AW464" s="507"/>
      <c r="AX464" s="156"/>
      <c r="AY464" s="507"/>
      <c r="AZ464" s="156"/>
      <c r="BA464" s="507"/>
      <c r="BB464" s="156"/>
      <c r="BC464" s="507"/>
      <c r="BD464" s="156"/>
      <c r="BE464" s="507"/>
      <c r="BF464" s="156"/>
      <c r="BG464" s="507"/>
      <c r="BH464" s="156"/>
      <c r="BI464" s="507"/>
      <c r="BJ464" s="156"/>
      <c r="BK464" s="507"/>
      <c r="BL464" s="156"/>
      <c r="BM464" s="507"/>
      <c r="BN464" s="156"/>
      <c r="BO464" s="507"/>
      <c r="BP464" s="156"/>
      <c r="BQ464" s="507"/>
      <c r="BR464" s="156"/>
      <c r="BS464" s="507"/>
      <c r="BT464" s="156"/>
      <c r="BU464" s="507"/>
      <c r="BV464" s="156"/>
      <c r="BW464" s="507"/>
      <c r="BX464" s="156"/>
      <c r="BY464" s="507"/>
      <c r="BZ464" s="156"/>
      <c r="CA464" s="507"/>
      <c r="CB464" s="156"/>
      <c r="CC464" s="507"/>
      <c r="CD464" s="156"/>
      <c r="CE464" s="507"/>
      <c r="CF464" s="156"/>
      <c r="CG464" s="507"/>
      <c r="CH464" s="156"/>
      <c r="CI464" s="507"/>
      <c r="CJ464" s="156"/>
      <c r="CK464" s="507"/>
      <c r="CL464" s="156"/>
      <c r="CM464" s="507"/>
      <c r="CN464" s="156"/>
      <c r="CO464" s="507"/>
      <c r="CP464" s="156"/>
      <c r="CQ464" s="507"/>
      <c r="CR464" s="156"/>
      <c r="CS464" s="507"/>
      <c r="CT464" s="156"/>
      <c r="CU464" s="507"/>
      <c r="CV464" s="156"/>
      <c r="CW464" s="507"/>
      <c r="CX464" s="156"/>
      <c r="CY464" s="507"/>
      <c r="CZ464" s="156"/>
      <c r="DA464" s="507"/>
      <c r="DB464" s="507"/>
      <c r="DC464" s="156"/>
      <c r="DD464" s="507"/>
      <c r="DE464" s="156">
        <f>INPUT!FR466</f>
        <v>21.142552055525893</v>
      </c>
      <c r="DF464" s="507"/>
      <c r="DG464" s="156"/>
      <c r="DH464" s="507"/>
      <c r="DI464" s="156"/>
      <c r="DJ464" s="507"/>
      <c r="DK464" s="156"/>
      <c r="DL464" s="507"/>
      <c r="DM464" s="156"/>
      <c r="DN464" s="507"/>
      <c r="DO464" s="156"/>
      <c r="DP464" s="507"/>
      <c r="DQ464" s="156"/>
      <c r="DR464" s="507"/>
      <c r="DS464" s="156"/>
      <c r="DT464" s="507"/>
      <c r="DU464" s="156"/>
      <c r="DV464" s="507"/>
      <c r="DW464" s="156"/>
      <c r="DX464" s="507"/>
      <c r="DY464" s="156"/>
      <c r="DZ464" s="507"/>
      <c r="EA464" s="156"/>
      <c r="EB464" s="507"/>
      <c r="EC464" s="156"/>
      <c r="ED464" s="507"/>
      <c r="EE464" s="156"/>
      <c r="EF464" s="507"/>
      <c r="EG464" s="156"/>
      <c r="EH464" s="507"/>
      <c r="EI464" s="156"/>
      <c r="EJ464" s="507"/>
      <c r="EK464" s="156"/>
      <c r="EL464" s="507"/>
      <c r="EM464" s="687"/>
    </row>
    <row r="465" spans="1:143" ht="12.75" hidden="1" customHeight="1" outlineLevel="2" x14ac:dyDescent="0.2">
      <c r="A465" s="701"/>
      <c r="B465" s="16"/>
      <c r="C465" s="507"/>
      <c r="D465" s="16"/>
      <c r="E465" s="687"/>
      <c r="F465" s="16"/>
      <c r="G465" s="687"/>
      <c r="H465" s="16"/>
      <c r="I465" s="687"/>
      <c r="J465" s="16"/>
      <c r="K465" s="687"/>
      <c r="L465" s="16"/>
      <c r="M465" s="687"/>
      <c r="N465" s="16"/>
      <c r="O465" s="687"/>
      <c r="P465" s="16"/>
      <c r="Q465" s="687"/>
      <c r="R465" s="16"/>
      <c r="S465" s="507"/>
      <c r="T465" s="16"/>
      <c r="U465" s="507"/>
      <c r="V465" s="16"/>
      <c r="W465" s="507"/>
      <c r="X465" s="16"/>
      <c r="Y465" s="507"/>
      <c r="Z465" s="16"/>
      <c r="AA465" s="507"/>
      <c r="AB465" s="16"/>
      <c r="AC465" s="507"/>
      <c r="AD465" s="16"/>
      <c r="AE465" s="507"/>
      <c r="AF465" s="16"/>
      <c r="AG465" s="507"/>
      <c r="AH465" s="16"/>
      <c r="AI465" s="507"/>
      <c r="AJ465" s="16"/>
      <c r="AK465" s="507"/>
      <c r="AL465" s="16"/>
      <c r="AM465" s="507"/>
      <c r="AN465" s="16"/>
      <c r="AO465" s="507"/>
      <c r="AP465" s="16"/>
      <c r="AQ465" s="507"/>
      <c r="AR465" s="16"/>
      <c r="AS465" s="507"/>
      <c r="AT465" s="16"/>
      <c r="AU465" s="507"/>
      <c r="AV465" s="16"/>
      <c r="AW465" s="507"/>
      <c r="AX465" s="16"/>
      <c r="AY465" s="507"/>
      <c r="AZ465" s="16"/>
      <c r="BA465" s="507"/>
      <c r="BB465" s="16"/>
      <c r="BC465" s="507"/>
      <c r="BD465" s="16"/>
      <c r="BE465" s="507"/>
      <c r="BF465" s="16"/>
      <c r="BG465" s="507"/>
      <c r="BH465" s="16"/>
      <c r="BI465" s="507"/>
      <c r="BJ465" s="16"/>
      <c r="BK465" s="507"/>
      <c r="BL465" s="16"/>
      <c r="BM465" s="507"/>
      <c r="BN465" s="16"/>
      <c r="BO465" s="507"/>
      <c r="BP465" s="16"/>
      <c r="BQ465" s="507"/>
      <c r="BR465" s="16"/>
      <c r="BS465" s="507"/>
      <c r="BT465" s="16"/>
      <c r="BU465" s="507"/>
      <c r="BV465" s="16"/>
      <c r="BW465" s="507"/>
      <c r="BX465" s="16"/>
      <c r="BY465" s="507"/>
      <c r="BZ465" s="16"/>
      <c r="CA465" s="507"/>
      <c r="CB465" s="16"/>
      <c r="CC465" s="507"/>
      <c r="CD465" s="16"/>
      <c r="CE465" s="507"/>
      <c r="CF465" s="16"/>
      <c r="CG465" s="507"/>
      <c r="CH465" s="16"/>
      <c r="CI465" s="507"/>
      <c r="CJ465" s="16"/>
      <c r="CK465" s="507"/>
      <c r="CL465" s="16"/>
      <c r="CM465" s="507"/>
      <c r="CN465" s="16"/>
      <c r="CO465" s="507"/>
      <c r="CP465" s="16"/>
      <c r="CQ465" s="507"/>
      <c r="CR465" s="16"/>
      <c r="CS465" s="507"/>
      <c r="CT465" s="16"/>
      <c r="CU465" s="507"/>
      <c r="CV465" s="16"/>
      <c r="CW465" s="507"/>
      <c r="CX465" s="16"/>
      <c r="CY465" s="507"/>
      <c r="CZ465" s="16"/>
      <c r="DA465" s="507"/>
      <c r="DB465" s="507"/>
      <c r="DC465" s="16"/>
      <c r="DD465" s="507"/>
      <c r="DE465" s="16"/>
      <c r="DF465" s="507"/>
      <c r="DG465" s="16"/>
      <c r="DH465" s="507"/>
      <c r="DI465" s="16"/>
      <c r="DJ465" s="507"/>
      <c r="DK465" s="16"/>
      <c r="DL465" s="507"/>
      <c r="DM465" s="16"/>
      <c r="DN465" s="507"/>
      <c r="DO465" s="16"/>
      <c r="DP465" s="507"/>
      <c r="DQ465" s="16"/>
      <c r="DR465" s="507"/>
      <c r="DS465" s="16"/>
      <c r="DT465" s="507"/>
      <c r="DU465" s="16"/>
      <c r="DV465" s="507"/>
      <c r="DW465" s="16"/>
      <c r="DX465" s="507"/>
      <c r="DY465" s="16"/>
      <c r="DZ465" s="507"/>
      <c r="EA465" s="16"/>
      <c r="EB465" s="507"/>
      <c r="EC465" s="16"/>
      <c r="ED465" s="507"/>
      <c r="EE465" s="16"/>
      <c r="EF465" s="507"/>
      <c r="EG465" s="16"/>
      <c r="EH465" s="507"/>
      <c r="EI465" s="16"/>
      <c r="EJ465" s="507"/>
      <c r="EK465" s="16"/>
      <c r="EL465" s="507"/>
      <c r="EM465" s="687"/>
    </row>
    <row r="466" spans="1:143" ht="12.75" hidden="1" customHeight="1" outlineLevel="2" x14ac:dyDescent="0.2">
      <c r="A466" s="700" t="str">
        <f>INPUT!B448</f>
        <v>Expense Analysis</v>
      </c>
      <c r="B466" s="16"/>
      <c r="C466" s="507"/>
      <c r="D466" s="16"/>
      <c r="E466" s="687"/>
      <c r="F466" s="16"/>
      <c r="G466" s="687"/>
      <c r="H466" s="16"/>
      <c r="I466" s="687"/>
      <c r="J466" s="16"/>
      <c r="K466" s="687"/>
      <c r="L466" s="16"/>
      <c r="M466" s="687"/>
      <c r="N466" s="16"/>
      <c r="O466" s="687"/>
      <c r="P466" s="16"/>
      <c r="Q466" s="687"/>
      <c r="R466" s="16"/>
      <c r="S466" s="507"/>
      <c r="T466" s="16"/>
      <c r="U466" s="507"/>
      <c r="V466" s="16"/>
      <c r="W466" s="507"/>
      <c r="X466" s="16"/>
      <c r="Y466" s="507"/>
      <c r="Z466" s="16"/>
      <c r="AA466" s="507"/>
      <c r="AB466" s="16"/>
      <c r="AC466" s="507"/>
      <c r="AD466" s="16"/>
      <c r="AE466" s="507"/>
      <c r="AF466" s="16"/>
      <c r="AG466" s="507"/>
      <c r="AH466" s="16"/>
      <c r="AI466" s="507"/>
      <c r="AJ466" s="16"/>
      <c r="AK466" s="507"/>
      <c r="AL466" s="16"/>
      <c r="AM466" s="507"/>
      <c r="AN466" s="16"/>
      <c r="AO466" s="507"/>
      <c r="AP466" s="16"/>
      <c r="AQ466" s="507"/>
      <c r="AR466" s="16"/>
      <c r="AS466" s="507"/>
      <c r="AT466" s="16"/>
      <c r="AU466" s="507"/>
      <c r="AV466" s="16"/>
      <c r="AW466" s="507"/>
      <c r="AX466" s="16"/>
      <c r="AY466" s="507"/>
      <c r="AZ466" s="16"/>
      <c r="BA466" s="507"/>
      <c r="BB466" s="16"/>
      <c r="BC466" s="507"/>
      <c r="BD466" s="16"/>
      <c r="BE466" s="507"/>
      <c r="BF466" s="16"/>
      <c r="BG466" s="507"/>
      <c r="BH466" s="16"/>
      <c r="BI466" s="507"/>
      <c r="BJ466" s="16"/>
      <c r="BK466" s="507"/>
      <c r="BL466" s="16"/>
      <c r="BM466" s="507"/>
      <c r="BN466" s="16"/>
      <c r="BO466" s="507"/>
      <c r="BP466" s="16"/>
      <c r="BQ466" s="507"/>
      <c r="BR466" s="16"/>
      <c r="BS466" s="507"/>
      <c r="BT466" s="16"/>
      <c r="BU466" s="507"/>
      <c r="BV466" s="16"/>
      <c r="BW466" s="507"/>
      <c r="BX466" s="16"/>
      <c r="BY466" s="507"/>
      <c r="BZ466" s="16"/>
      <c r="CA466" s="507"/>
      <c r="CB466" s="16"/>
      <c r="CC466" s="507"/>
      <c r="CD466" s="16"/>
      <c r="CE466" s="507"/>
      <c r="CF466" s="16"/>
      <c r="CG466" s="507"/>
      <c r="CH466" s="16"/>
      <c r="CI466" s="507"/>
      <c r="CJ466" s="16"/>
      <c r="CK466" s="507"/>
      <c r="CL466" s="16"/>
      <c r="CM466" s="507"/>
      <c r="CN466" s="16"/>
      <c r="CO466" s="507"/>
      <c r="CP466" s="16"/>
      <c r="CQ466" s="507"/>
      <c r="CR466" s="16"/>
      <c r="CS466" s="507"/>
      <c r="CT466" s="16"/>
      <c r="CU466" s="507"/>
      <c r="CV466" s="16"/>
      <c r="CW466" s="507"/>
      <c r="CX466" s="16"/>
      <c r="CY466" s="507"/>
      <c r="CZ466" s="16"/>
      <c r="DA466" s="507"/>
      <c r="DB466" s="507"/>
      <c r="DC466" s="16"/>
      <c r="DD466" s="507"/>
      <c r="DE466" s="16"/>
      <c r="DF466" s="507"/>
      <c r="DG466" s="16"/>
      <c r="DH466" s="507"/>
      <c r="DI466" s="16"/>
      <c r="DJ466" s="507"/>
      <c r="DK466" s="16"/>
      <c r="DL466" s="507"/>
      <c r="DM466" s="16"/>
      <c r="DN466" s="507"/>
      <c r="DO466" s="16"/>
      <c r="DP466" s="507"/>
      <c r="DQ466" s="16"/>
      <c r="DR466" s="507"/>
      <c r="DS466" s="16"/>
      <c r="DT466" s="507"/>
      <c r="DU466" s="16"/>
      <c r="DV466" s="507"/>
      <c r="DW466" s="16"/>
      <c r="DX466" s="507"/>
      <c r="DY466" s="16"/>
      <c r="DZ466" s="507"/>
      <c r="EA466" s="16"/>
      <c r="EB466" s="507"/>
      <c r="EC466" s="16"/>
      <c r="ED466" s="507"/>
      <c r="EE466" s="16"/>
      <c r="EF466" s="507"/>
      <c r="EG466" s="16"/>
      <c r="EH466" s="507"/>
      <c r="EI466" s="16"/>
      <c r="EJ466" s="507"/>
      <c r="EK466" s="16"/>
      <c r="EL466" s="507"/>
      <c r="EM466" s="687"/>
    </row>
    <row r="467" spans="1:143" ht="12.75" hidden="1" customHeight="1" outlineLevel="2" x14ac:dyDescent="0.2">
      <c r="A467" s="701" t="str">
        <f>INPUT!B449</f>
        <v>Cost of Sales/Revenues (%)</v>
      </c>
      <c r="B467" s="156"/>
      <c r="C467" s="507"/>
      <c r="D467" s="156">
        <f>INPUT!BA449</f>
        <v>13.217391304347824</v>
      </c>
      <c r="E467" s="687" t="str">
        <f>INPUT!BB449</f>
        <v>NA</v>
      </c>
      <c r="F467" s="156">
        <f>INPUT!BC449</f>
        <v>17.224080267558531</v>
      </c>
      <c r="G467" s="687" t="str">
        <f>INPUT!BD449</f>
        <v>NA</v>
      </c>
      <c r="H467" s="156">
        <f>INPUT!BE449</f>
        <v>21.714285714285715</v>
      </c>
      <c r="I467" s="687" t="str">
        <f>INPUT!BF449</f>
        <v>NA</v>
      </c>
      <c r="J467" s="156"/>
      <c r="K467" s="687"/>
      <c r="L467" s="156"/>
      <c r="M467" s="687"/>
      <c r="N467" s="156"/>
      <c r="O467" s="687"/>
      <c r="P467" s="156"/>
      <c r="Q467" s="687"/>
      <c r="R467" s="156"/>
      <c r="S467" s="507"/>
      <c r="T467" s="156"/>
      <c r="U467" s="507"/>
      <c r="V467" s="156"/>
      <c r="W467" s="507"/>
      <c r="X467" s="156"/>
      <c r="Y467" s="507"/>
      <c r="Z467" s="156"/>
      <c r="AA467" s="507"/>
      <c r="AB467" s="156"/>
      <c r="AC467" s="507"/>
      <c r="AD467" s="156"/>
      <c r="AE467" s="507"/>
      <c r="AF467" s="156"/>
      <c r="AG467" s="507"/>
      <c r="AH467" s="156"/>
      <c r="AI467" s="507"/>
      <c r="AJ467" s="156"/>
      <c r="AK467" s="507"/>
      <c r="AL467" s="156"/>
      <c r="AM467" s="507"/>
      <c r="AN467" s="156"/>
      <c r="AO467" s="507"/>
      <c r="AP467" s="156"/>
      <c r="AQ467" s="507"/>
      <c r="AR467" s="156"/>
      <c r="AS467" s="507"/>
      <c r="AT467" s="156"/>
      <c r="AU467" s="507"/>
      <c r="AV467" s="156"/>
      <c r="AW467" s="507"/>
      <c r="AX467" s="156"/>
      <c r="AY467" s="507"/>
      <c r="AZ467" s="156"/>
      <c r="BA467" s="507"/>
      <c r="BB467" s="156"/>
      <c r="BC467" s="507"/>
      <c r="BD467" s="156"/>
      <c r="BE467" s="507"/>
      <c r="BF467" s="156"/>
      <c r="BG467" s="507"/>
      <c r="BH467" s="156"/>
      <c r="BI467" s="507"/>
      <c r="BJ467" s="156"/>
      <c r="BK467" s="507"/>
      <c r="BL467" s="156"/>
      <c r="BM467" s="507"/>
      <c r="BN467" s="156"/>
      <c r="BO467" s="507"/>
      <c r="BP467" s="156"/>
      <c r="BQ467" s="507"/>
      <c r="BR467" s="156"/>
      <c r="BS467" s="507"/>
      <c r="BT467" s="156"/>
      <c r="BU467" s="507"/>
      <c r="BV467" s="156"/>
      <c r="BW467" s="507"/>
      <c r="BX467" s="156"/>
      <c r="BY467" s="507"/>
      <c r="BZ467" s="156"/>
      <c r="CA467" s="507"/>
      <c r="CB467" s="156"/>
      <c r="CC467" s="507"/>
      <c r="CD467" s="156"/>
      <c r="CE467" s="507"/>
      <c r="CF467" s="156"/>
      <c r="CG467" s="507"/>
      <c r="CH467" s="156"/>
      <c r="CI467" s="507"/>
      <c r="CJ467" s="156"/>
      <c r="CK467" s="507"/>
      <c r="CL467" s="156"/>
      <c r="CM467" s="507"/>
      <c r="CN467" s="156"/>
      <c r="CO467" s="507"/>
      <c r="CP467" s="156"/>
      <c r="CQ467" s="507"/>
      <c r="CR467" s="156"/>
      <c r="CS467" s="507"/>
      <c r="CT467" s="156"/>
      <c r="CU467" s="507"/>
      <c r="CV467" s="156"/>
      <c r="CW467" s="507"/>
      <c r="CX467" s="156"/>
      <c r="CY467" s="507"/>
      <c r="CZ467" s="156"/>
      <c r="DA467" s="507"/>
      <c r="DB467" s="507"/>
      <c r="DC467" s="156"/>
      <c r="DD467" s="507"/>
      <c r="DE467" s="156">
        <f>INPUT!FR449</f>
        <v>17.672183662573406</v>
      </c>
      <c r="DF467" s="507"/>
      <c r="DG467" s="156"/>
      <c r="DH467" s="507"/>
      <c r="DI467" s="156"/>
      <c r="DJ467" s="507"/>
      <c r="DK467" s="156"/>
      <c r="DL467" s="507"/>
      <c r="DM467" s="156"/>
      <c r="DN467" s="507"/>
      <c r="DO467" s="156"/>
      <c r="DP467" s="507"/>
      <c r="DQ467" s="156"/>
      <c r="DR467" s="507"/>
      <c r="DS467" s="156"/>
      <c r="DT467" s="507"/>
      <c r="DU467" s="156"/>
      <c r="DV467" s="507"/>
      <c r="DW467" s="156"/>
      <c r="DX467" s="507"/>
      <c r="DY467" s="156"/>
      <c r="DZ467" s="507"/>
      <c r="EA467" s="156"/>
      <c r="EB467" s="507"/>
      <c r="EC467" s="156"/>
      <c r="ED467" s="507"/>
      <c r="EE467" s="156"/>
      <c r="EF467" s="507"/>
      <c r="EG467" s="156"/>
      <c r="EH467" s="507"/>
      <c r="EI467" s="156"/>
      <c r="EJ467" s="507"/>
      <c r="EK467" s="156"/>
      <c r="EL467" s="507"/>
      <c r="EM467" s="687"/>
    </row>
    <row r="468" spans="1:143" ht="12.75" hidden="1" customHeight="1" outlineLevel="2" x14ac:dyDescent="0.2">
      <c r="A468" s="701" t="str">
        <f>INPUT!B450</f>
        <v>Depreciation and Amort/Rev (%)</v>
      </c>
      <c r="B468" s="16"/>
      <c r="C468" s="507"/>
      <c r="D468" s="156">
        <f>INPUT!BA450</f>
        <v>10.434782608695652</v>
      </c>
      <c r="E468" s="687" t="str">
        <f>INPUT!BB450</f>
        <v>NA</v>
      </c>
      <c r="F468" s="156">
        <f>INPUT!BC450</f>
        <v>4.5150501672240804</v>
      </c>
      <c r="G468" s="687" t="str">
        <f>INPUT!BD450</f>
        <v>NA</v>
      </c>
      <c r="H468" s="156">
        <f>INPUT!BE450</f>
        <v>3.7142857142857144</v>
      </c>
      <c r="I468" s="687" t="str">
        <f>INPUT!BF450</f>
        <v>NA</v>
      </c>
      <c r="J468" s="156"/>
      <c r="K468" s="687"/>
      <c r="L468" s="156"/>
      <c r="M468" s="687"/>
      <c r="N468" s="156"/>
      <c r="O468" s="687"/>
      <c r="P468" s="156"/>
      <c r="Q468" s="687"/>
      <c r="R468" s="156"/>
      <c r="S468" s="507"/>
      <c r="T468" s="156"/>
      <c r="U468" s="507"/>
      <c r="V468" s="156"/>
      <c r="W468" s="507"/>
      <c r="X468" s="156"/>
      <c r="Y468" s="507"/>
      <c r="Z468" s="156"/>
      <c r="AA468" s="507"/>
      <c r="AB468" s="156"/>
      <c r="AC468" s="507"/>
      <c r="AD468" s="156"/>
      <c r="AE468" s="507"/>
      <c r="AF468" s="156"/>
      <c r="AG468" s="507"/>
      <c r="AH468" s="156"/>
      <c r="AI468" s="507"/>
      <c r="AJ468" s="156"/>
      <c r="AK468" s="507"/>
      <c r="AL468" s="156"/>
      <c r="AM468" s="507"/>
      <c r="AN468" s="156"/>
      <c r="AO468" s="507"/>
      <c r="AP468" s="156"/>
      <c r="AQ468" s="507"/>
      <c r="AR468" s="156"/>
      <c r="AS468" s="507"/>
      <c r="AT468" s="156"/>
      <c r="AU468" s="507"/>
      <c r="AV468" s="156"/>
      <c r="AW468" s="507"/>
      <c r="AX468" s="156"/>
      <c r="AY468" s="507"/>
      <c r="AZ468" s="156"/>
      <c r="BA468" s="507"/>
      <c r="BB468" s="156"/>
      <c r="BC468" s="507"/>
      <c r="BD468" s="156"/>
      <c r="BE468" s="507"/>
      <c r="BF468" s="156"/>
      <c r="BG468" s="507"/>
      <c r="BH468" s="156"/>
      <c r="BI468" s="507"/>
      <c r="BJ468" s="156"/>
      <c r="BK468" s="507"/>
      <c r="BL468" s="156"/>
      <c r="BM468" s="507"/>
      <c r="BN468" s="156"/>
      <c r="BO468" s="507"/>
      <c r="BP468" s="156"/>
      <c r="BQ468" s="507"/>
      <c r="BR468" s="156"/>
      <c r="BS468" s="507"/>
      <c r="BT468" s="156"/>
      <c r="BU468" s="507"/>
      <c r="BV468" s="156"/>
      <c r="BW468" s="507"/>
      <c r="BX468" s="156"/>
      <c r="BY468" s="507"/>
      <c r="BZ468" s="156"/>
      <c r="CA468" s="507"/>
      <c r="CB468" s="156"/>
      <c r="CC468" s="507"/>
      <c r="CD468" s="156"/>
      <c r="CE468" s="507"/>
      <c r="CF468" s="156"/>
      <c r="CG468" s="507"/>
      <c r="CH468" s="156"/>
      <c r="CI468" s="507"/>
      <c r="CJ468" s="156"/>
      <c r="CK468" s="507"/>
      <c r="CL468" s="156"/>
      <c r="CM468" s="507"/>
      <c r="CN468" s="156"/>
      <c r="CO468" s="507"/>
      <c r="CP468" s="156"/>
      <c r="CQ468" s="507"/>
      <c r="CR468" s="156"/>
      <c r="CS468" s="507"/>
      <c r="CT468" s="156"/>
      <c r="CU468" s="507"/>
      <c r="CV468" s="156"/>
      <c r="CW468" s="507"/>
      <c r="CX468" s="156"/>
      <c r="CY468" s="507"/>
      <c r="CZ468" s="156"/>
      <c r="DA468" s="507"/>
      <c r="DB468" s="507"/>
      <c r="DC468" s="16"/>
      <c r="DD468" s="507"/>
      <c r="DE468" s="156">
        <f>INPUT!FR450</f>
        <v>6.0331019754404691</v>
      </c>
      <c r="DF468" s="507"/>
      <c r="DG468" s="156"/>
      <c r="DH468" s="507"/>
      <c r="DI468" s="156"/>
      <c r="DJ468" s="507"/>
      <c r="DK468" s="156"/>
      <c r="DL468" s="507"/>
      <c r="DM468" s="156"/>
      <c r="DN468" s="507"/>
      <c r="DO468" s="156"/>
      <c r="DP468" s="507"/>
      <c r="DQ468" s="156"/>
      <c r="DR468" s="507"/>
      <c r="DS468" s="156"/>
      <c r="DT468" s="507"/>
      <c r="DU468" s="156"/>
      <c r="DV468" s="507"/>
      <c r="DW468" s="156"/>
      <c r="DX468" s="507"/>
      <c r="DY468" s="156"/>
      <c r="DZ468" s="507"/>
      <c r="EA468" s="156"/>
      <c r="EB468" s="507"/>
      <c r="EC468" s="156"/>
      <c r="ED468" s="507"/>
      <c r="EE468" s="156"/>
      <c r="EF468" s="507"/>
      <c r="EG468" s="156"/>
      <c r="EH468" s="507"/>
      <c r="EI468" s="156"/>
      <c r="EJ468" s="507"/>
      <c r="EK468" s="156"/>
      <c r="EL468" s="507"/>
      <c r="EM468" s="687"/>
    </row>
    <row r="469" spans="1:143" ht="12.75" hidden="1" customHeight="1" outlineLevel="2" x14ac:dyDescent="0.2">
      <c r="A469" s="701" t="str">
        <f>INPUT!B451</f>
        <v>(Op Costs, Deprec &amp; Amort)/Rev (%)</v>
      </c>
      <c r="B469" s="151"/>
      <c r="C469" s="507"/>
      <c r="D469" s="156">
        <f>INPUT!BA451</f>
        <v>23.652173913043477</v>
      </c>
      <c r="E469" s="687" t="str">
        <f>INPUT!BB451</f>
        <v>NA</v>
      </c>
      <c r="F469" s="156">
        <f>INPUT!BC451</f>
        <v>21.739130434782609</v>
      </c>
      <c r="G469" s="687" t="str">
        <f>INPUT!BD451</f>
        <v>NA</v>
      </c>
      <c r="H469" s="156">
        <f>INPUT!BE451</f>
        <v>25.428571428571431</v>
      </c>
      <c r="I469" s="687" t="str">
        <f>INPUT!BF451</f>
        <v>NA</v>
      </c>
      <c r="J469" s="156"/>
      <c r="K469" s="687"/>
      <c r="L469" s="156"/>
      <c r="M469" s="687"/>
      <c r="N469" s="156"/>
      <c r="O469" s="687"/>
      <c r="P469" s="156"/>
      <c r="Q469" s="687"/>
      <c r="R469" s="156"/>
      <c r="S469" s="507"/>
      <c r="T469" s="156"/>
      <c r="U469" s="507"/>
      <c r="V469" s="156"/>
      <c r="W469" s="507"/>
      <c r="X469" s="156"/>
      <c r="Y469" s="507"/>
      <c r="Z469" s="156"/>
      <c r="AA469" s="507"/>
      <c r="AB469" s="156"/>
      <c r="AC469" s="507"/>
      <c r="AD469" s="156"/>
      <c r="AE469" s="507"/>
      <c r="AF469" s="156"/>
      <c r="AG469" s="507"/>
      <c r="AH469" s="156"/>
      <c r="AI469" s="507"/>
      <c r="AJ469" s="156"/>
      <c r="AK469" s="507"/>
      <c r="AL469" s="156"/>
      <c r="AM469" s="507"/>
      <c r="AN469" s="156"/>
      <c r="AO469" s="507"/>
      <c r="AP469" s="156"/>
      <c r="AQ469" s="507"/>
      <c r="AR469" s="156"/>
      <c r="AS469" s="507"/>
      <c r="AT469" s="156"/>
      <c r="AU469" s="507"/>
      <c r="AV469" s="156"/>
      <c r="AW469" s="507"/>
      <c r="AX469" s="156"/>
      <c r="AY469" s="507"/>
      <c r="AZ469" s="156"/>
      <c r="BA469" s="507"/>
      <c r="BB469" s="156"/>
      <c r="BC469" s="507"/>
      <c r="BD469" s="156"/>
      <c r="BE469" s="507"/>
      <c r="BF469" s="156"/>
      <c r="BG469" s="507"/>
      <c r="BH469" s="156"/>
      <c r="BI469" s="507"/>
      <c r="BJ469" s="156"/>
      <c r="BK469" s="507"/>
      <c r="BL469" s="156"/>
      <c r="BM469" s="507"/>
      <c r="BN469" s="156"/>
      <c r="BO469" s="507"/>
      <c r="BP469" s="156"/>
      <c r="BQ469" s="507"/>
      <c r="BR469" s="156"/>
      <c r="BS469" s="507"/>
      <c r="BT469" s="156"/>
      <c r="BU469" s="507"/>
      <c r="BV469" s="156"/>
      <c r="BW469" s="507"/>
      <c r="BX469" s="156"/>
      <c r="BY469" s="507"/>
      <c r="BZ469" s="156"/>
      <c r="CA469" s="507"/>
      <c r="CB469" s="156"/>
      <c r="CC469" s="507"/>
      <c r="CD469" s="156"/>
      <c r="CE469" s="507"/>
      <c r="CF469" s="156"/>
      <c r="CG469" s="507"/>
      <c r="CH469" s="156"/>
      <c r="CI469" s="507"/>
      <c r="CJ469" s="156"/>
      <c r="CK469" s="507"/>
      <c r="CL469" s="156"/>
      <c r="CM469" s="507"/>
      <c r="CN469" s="156"/>
      <c r="CO469" s="507"/>
      <c r="CP469" s="156"/>
      <c r="CQ469" s="507"/>
      <c r="CR469" s="156"/>
      <c r="CS469" s="507"/>
      <c r="CT469" s="156"/>
      <c r="CU469" s="507"/>
      <c r="CV469" s="156"/>
      <c r="CW469" s="507"/>
      <c r="CX469" s="156"/>
      <c r="CY469" s="507"/>
      <c r="CZ469" s="156"/>
      <c r="DA469" s="507"/>
      <c r="DB469" s="507"/>
      <c r="DC469" s="151"/>
      <c r="DD469" s="507"/>
      <c r="DE469" s="156">
        <f>INPUT!FR451</f>
        <v>23.705285638013876</v>
      </c>
      <c r="DF469" s="507"/>
      <c r="DG469" s="156"/>
      <c r="DH469" s="507"/>
      <c r="DI469" s="156"/>
      <c r="DJ469" s="507"/>
      <c r="DK469" s="156"/>
      <c r="DL469" s="507"/>
      <c r="DM469" s="156"/>
      <c r="DN469" s="507"/>
      <c r="DO469" s="156"/>
      <c r="DP469" s="507"/>
      <c r="DQ469" s="156"/>
      <c r="DR469" s="507"/>
      <c r="DS469" s="156"/>
      <c r="DT469" s="507"/>
      <c r="DU469" s="156"/>
      <c r="DV469" s="507"/>
      <c r="DW469" s="156"/>
      <c r="DX469" s="507"/>
      <c r="DY469" s="156"/>
      <c r="DZ469" s="507"/>
      <c r="EA469" s="156"/>
      <c r="EB469" s="507"/>
      <c r="EC469" s="156"/>
      <c r="ED469" s="507"/>
      <c r="EE469" s="156"/>
      <c r="EF469" s="507"/>
      <c r="EG469" s="156"/>
      <c r="EH469" s="507"/>
      <c r="EI469" s="156"/>
      <c r="EJ469" s="507"/>
      <c r="EK469" s="156"/>
      <c r="EL469" s="507"/>
      <c r="EM469" s="687"/>
    </row>
    <row r="470" spans="1:143" ht="12.75" hidden="1" customHeight="1" outlineLevel="2" x14ac:dyDescent="0.2">
      <c r="A470" s="701"/>
      <c r="B470" s="16"/>
      <c r="C470" s="507"/>
      <c r="D470" s="16"/>
      <c r="E470" s="687"/>
      <c r="F470" s="16"/>
      <c r="G470" s="687"/>
      <c r="H470" s="16"/>
      <c r="I470" s="687"/>
      <c r="J470" s="16"/>
      <c r="K470" s="507"/>
      <c r="L470" s="16"/>
      <c r="M470" s="507"/>
      <c r="N470" s="16"/>
      <c r="O470" s="507"/>
      <c r="P470" s="16"/>
      <c r="Q470" s="507"/>
      <c r="R470" s="16"/>
      <c r="S470" s="507"/>
      <c r="T470" s="16"/>
      <c r="U470" s="507"/>
      <c r="V470" s="16"/>
      <c r="W470" s="507"/>
      <c r="X470" s="16"/>
      <c r="Y470" s="507"/>
      <c r="Z470" s="16"/>
      <c r="AA470" s="507"/>
      <c r="AB470" s="16"/>
      <c r="AC470" s="507"/>
      <c r="AD470" s="16"/>
      <c r="AE470" s="507"/>
      <c r="AF470" s="16"/>
      <c r="AG470" s="507"/>
      <c r="AH470" s="16"/>
      <c r="AI470" s="507"/>
      <c r="AJ470" s="16"/>
      <c r="AK470" s="507"/>
      <c r="AL470" s="16"/>
      <c r="AM470" s="507"/>
      <c r="AN470" s="16"/>
      <c r="AO470" s="507"/>
      <c r="AP470" s="16"/>
      <c r="AQ470" s="507"/>
      <c r="AR470" s="16"/>
      <c r="AS470" s="507"/>
      <c r="AT470" s="16"/>
      <c r="AU470" s="507"/>
      <c r="AV470" s="16"/>
      <c r="AW470" s="507"/>
      <c r="AX470" s="16"/>
      <c r="AY470" s="507"/>
      <c r="AZ470" s="16"/>
      <c r="BA470" s="507"/>
      <c r="BB470" s="16"/>
      <c r="BC470" s="507"/>
      <c r="BD470" s="16"/>
      <c r="BE470" s="507"/>
      <c r="BF470" s="16"/>
      <c r="BG470" s="507"/>
      <c r="BH470" s="16"/>
      <c r="BI470" s="507"/>
      <c r="BJ470" s="16"/>
      <c r="BK470" s="507"/>
      <c r="BL470" s="16"/>
      <c r="BM470" s="507"/>
      <c r="BN470" s="16"/>
      <c r="BO470" s="507"/>
      <c r="BP470" s="16"/>
      <c r="BQ470" s="507"/>
      <c r="BR470" s="16"/>
      <c r="BS470" s="507"/>
      <c r="BT470" s="16"/>
      <c r="BU470" s="507"/>
      <c r="BV470" s="16"/>
      <c r="BW470" s="507"/>
      <c r="BX470" s="16"/>
      <c r="BY470" s="507"/>
      <c r="BZ470" s="16"/>
      <c r="CA470" s="507"/>
      <c r="CB470" s="16"/>
      <c r="CC470" s="507"/>
      <c r="CD470" s="16"/>
      <c r="CE470" s="507"/>
      <c r="CF470" s="16"/>
      <c r="CG470" s="507"/>
      <c r="CH470" s="16"/>
      <c r="CI470" s="507"/>
      <c r="CJ470" s="16"/>
      <c r="CK470" s="507"/>
      <c r="CL470" s="16"/>
      <c r="CM470" s="507"/>
      <c r="CN470" s="16"/>
      <c r="CO470" s="507"/>
      <c r="CP470" s="16"/>
      <c r="CQ470" s="507"/>
      <c r="CR470" s="16"/>
      <c r="CS470" s="507"/>
      <c r="CT470" s="16"/>
      <c r="CU470" s="507"/>
      <c r="CV470" s="16"/>
      <c r="CW470" s="507"/>
      <c r="CX470" s="16"/>
      <c r="CY470" s="507"/>
      <c r="CZ470" s="16"/>
      <c r="DA470" s="507"/>
      <c r="DB470" s="507"/>
      <c r="DC470" s="16"/>
      <c r="DD470" s="507"/>
      <c r="DE470" s="16"/>
      <c r="DF470" s="507"/>
      <c r="DG470" s="16"/>
      <c r="DH470" s="507"/>
      <c r="DI470" s="16"/>
      <c r="DJ470" s="507"/>
      <c r="DK470" s="16"/>
      <c r="DL470" s="507"/>
      <c r="DM470" s="16"/>
      <c r="DN470" s="507"/>
      <c r="DO470" s="16"/>
      <c r="DP470" s="507"/>
      <c r="DQ470" s="16"/>
      <c r="DR470" s="507"/>
      <c r="DS470" s="16"/>
      <c r="DT470" s="507"/>
      <c r="DU470" s="16"/>
      <c r="DV470" s="507"/>
      <c r="DW470" s="16"/>
      <c r="DX470" s="507"/>
      <c r="DY470" s="16"/>
      <c r="DZ470" s="507"/>
      <c r="EA470" s="16"/>
      <c r="EB470" s="507"/>
      <c r="EC470" s="16"/>
      <c r="ED470" s="507"/>
      <c r="EE470" s="16"/>
      <c r="EF470" s="507"/>
      <c r="EG470" s="16"/>
      <c r="EH470" s="507"/>
      <c r="EI470" s="16"/>
      <c r="EJ470" s="507"/>
      <c r="EK470" s="16"/>
      <c r="EL470" s="507"/>
      <c r="EM470" s="687"/>
    </row>
    <row r="471" spans="1:143" ht="12.75" hidden="1" customHeight="1" outlineLevel="2" x14ac:dyDescent="0.2">
      <c r="A471" s="689" t="str">
        <f>+A51</f>
        <v xml:space="preserve">Quarterly income statement ratios are annualized where appropriate     NM = Not Meaningful       NA = Not Applicable </v>
      </c>
      <c r="B471" s="16"/>
      <c r="C471" s="507"/>
      <c r="D471" s="16"/>
      <c r="E471" s="687"/>
      <c r="F471" s="16"/>
      <c r="G471" s="687"/>
      <c r="H471" s="16"/>
      <c r="I471" s="687"/>
      <c r="J471" s="16"/>
      <c r="K471" s="507"/>
      <c r="L471" s="16"/>
      <c r="M471" s="507"/>
      <c r="N471" s="16"/>
      <c r="O471" s="507"/>
      <c r="P471" s="16"/>
      <c r="Q471" s="507"/>
      <c r="R471" s="16"/>
      <c r="S471" s="507"/>
      <c r="T471" s="16"/>
      <c r="U471" s="507"/>
      <c r="V471" s="16"/>
      <c r="W471" s="507"/>
      <c r="X471" s="16"/>
      <c r="Y471" s="507"/>
      <c r="Z471" s="16"/>
      <c r="AA471" s="507"/>
      <c r="AB471" s="16"/>
      <c r="AC471" s="507"/>
      <c r="AD471" s="16"/>
      <c r="AE471" s="507"/>
      <c r="AF471" s="16"/>
      <c r="AG471" s="507"/>
      <c r="AH471" s="16"/>
      <c r="AI471" s="507"/>
      <c r="AJ471" s="16"/>
      <c r="AK471" s="507"/>
      <c r="AL471" s="16"/>
      <c r="AM471" s="507"/>
      <c r="AN471" s="16"/>
      <c r="AO471" s="507"/>
      <c r="AP471" s="16"/>
      <c r="AQ471" s="507"/>
      <c r="AR471" s="16"/>
      <c r="AS471" s="507"/>
      <c r="AT471" s="16"/>
      <c r="AU471" s="507"/>
      <c r="AV471" s="16"/>
      <c r="AW471" s="507"/>
      <c r="AX471" s="16"/>
      <c r="AY471" s="507"/>
      <c r="AZ471" s="16"/>
      <c r="BA471" s="507"/>
      <c r="BB471" s="16"/>
      <c r="BC471" s="507"/>
      <c r="BD471" s="16"/>
      <c r="BE471" s="507"/>
      <c r="BF471" s="16"/>
      <c r="BG471" s="507"/>
      <c r="BH471" s="16"/>
      <c r="BI471" s="507"/>
      <c r="BJ471" s="16"/>
      <c r="BK471" s="507"/>
      <c r="BL471" s="16"/>
      <c r="BM471" s="507"/>
      <c r="BN471" s="16"/>
      <c r="BO471" s="507"/>
      <c r="BP471" s="16"/>
      <c r="BQ471" s="507"/>
      <c r="BR471" s="16"/>
      <c r="BS471" s="507"/>
      <c r="BT471" s="16"/>
      <c r="BU471" s="507"/>
      <c r="BV471" s="16"/>
      <c r="BW471" s="507"/>
      <c r="BX471" s="16"/>
      <c r="BY471" s="507"/>
      <c r="BZ471" s="16"/>
      <c r="CA471" s="507"/>
      <c r="CB471" s="16"/>
      <c r="CC471" s="507"/>
      <c r="CD471" s="16"/>
      <c r="CE471" s="507"/>
      <c r="CF471" s="16"/>
      <c r="CG471" s="507"/>
      <c r="CH471" s="16"/>
      <c r="CI471" s="507"/>
      <c r="CJ471" s="16"/>
      <c r="CK471" s="507"/>
      <c r="CL471" s="16"/>
      <c r="CM471" s="507"/>
      <c r="CN471" s="16"/>
      <c r="CO471" s="507"/>
      <c r="CP471" s="16"/>
      <c r="CQ471" s="507"/>
      <c r="CR471" s="16"/>
      <c r="CS471" s="507"/>
      <c r="CT471" s="16"/>
      <c r="CU471" s="507"/>
      <c r="CV471" s="16"/>
      <c r="CW471" s="507"/>
      <c r="CX471" s="16"/>
      <c r="CY471" s="507"/>
      <c r="CZ471" s="16"/>
      <c r="DA471" s="507"/>
      <c r="DB471" s="507"/>
      <c r="DC471" s="16"/>
      <c r="DD471" s="507"/>
      <c r="DE471" s="16"/>
      <c r="DF471" s="507"/>
      <c r="DG471" s="16"/>
      <c r="DH471" s="507"/>
      <c r="DI471" s="16"/>
      <c r="DJ471" s="507"/>
      <c r="DK471" s="16"/>
      <c r="DL471" s="507"/>
      <c r="DM471" s="16"/>
      <c r="DN471" s="507"/>
      <c r="DO471" s="16"/>
      <c r="DP471" s="507"/>
      <c r="DQ471" s="16"/>
      <c r="DR471" s="507"/>
      <c r="DS471" s="16"/>
      <c r="DT471" s="507"/>
      <c r="DU471" s="16"/>
      <c r="DV471" s="507"/>
      <c r="DW471" s="16"/>
      <c r="DX471" s="507"/>
      <c r="DY471" s="16"/>
      <c r="DZ471" s="507"/>
      <c r="EA471" s="16"/>
      <c r="EB471" s="507"/>
      <c r="EC471" s="16"/>
      <c r="ED471" s="507"/>
      <c r="EE471" s="16"/>
      <c r="EF471" s="507"/>
      <c r="EG471" s="16"/>
      <c r="EH471" s="507"/>
      <c r="EI471" s="16"/>
      <c r="EJ471" s="507"/>
      <c r="EK471" s="16"/>
      <c r="EL471" s="507"/>
      <c r="EM471" s="687"/>
    </row>
    <row r="472" spans="1:143" ht="12.75" hidden="1" customHeight="1" outlineLevel="2" x14ac:dyDescent="0.2">
      <c r="A472" s="689" t="s">
        <v>219</v>
      </c>
      <c r="B472" s="16"/>
      <c r="C472" s="507"/>
      <c r="D472" s="16"/>
      <c r="E472" s="687"/>
      <c r="F472" s="16"/>
      <c r="G472" s="687"/>
      <c r="H472" s="16"/>
      <c r="I472" s="687"/>
      <c r="J472" s="16"/>
      <c r="K472" s="507"/>
      <c r="L472" s="16"/>
      <c r="M472" s="507"/>
      <c r="N472" s="16"/>
      <c r="O472" s="507"/>
      <c r="P472" s="16"/>
      <c r="Q472" s="507"/>
      <c r="R472" s="16"/>
      <c r="S472" s="507"/>
      <c r="T472" s="16"/>
      <c r="U472" s="507"/>
      <c r="V472" s="16"/>
      <c r="W472" s="507"/>
      <c r="X472" s="16"/>
      <c r="Y472" s="507"/>
      <c r="Z472" s="16"/>
      <c r="AA472" s="507"/>
      <c r="AB472" s="16"/>
      <c r="AC472" s="507"/>
      <c r="AD472" s="16"/>
      <c r="AE472" s="507"/>
      <c r="AF472" s="16"/>
      <c r="AG472" s="507"/>
      <c r="AH472" s="16"/>
      <c r="AI472" s="507"/>
      <c r="AJ472" s="16"/>
      <c r="AK472" s="507"/>
      <c r="AL472" s="16"/>
      <c r="AM472" s="507"/>
      <c r="AN472" s="16"/>
      <c r="AO472" s="507"/>
      <c r="AP472" s="16"/>
      <c r="AQ472" s="507"/>
      <c r="AR472" s="16"/>
      <c r="AS472" s="507"/>
      <c r="AT472" s="16"/>
      <c r="AU472" s="507"/>
      <c r="AV472" s="16"/>
      <c r="AW472" s="507"/>
      <c r="AX472" s="16"/>
      <c r="AY472" s="507"/>
      <c r="AZ472" s="16"/>
      <c r="BA472" s="507"/>
      <c r="BB472" s="16"/>
      <c r="BC472" s="507"/>
      <c r="BD472" s="16"/>
      <c r="BE472" s="507"/>
      <c r="BF472" s="16"/>
      <c r="BG472" s="507"/>
      <c r="BH472" s="16"/>
      <c r="BI472" s="507"/>
      <c r="BJ472" s="16"/>
      <c r="BK472" s="507"/>
      <c r="BL472" s="16"/>
      <c r="BM472" s="507"/>
      <c r="BN472" s="16"/>
      <c r="BO472" s="507"/>
      <c r="BP472" s="16"/>
      <c r="BQ472" s="507"/>
      <c r="BR472" s="16"/>
      <c r="BS472" s="507"/>
      <c r="BT472" s="16"/>
      <c r="BU472" s="507"/>
      <c r="BV472" s="16"/>
      <c r="BW472" s="507"/>
      <c r="BX472" s="16"/>
      <c r="BY472" s="507"/>
      <c r="BZ472" s="16"/>
      <c r="CA472" s="507"/>
      <c r="CB472" s="16"/>
      <c r="CC472" s="507"/>
      <c r="CD472" s="16"/>
      <c r="CE472" s="507"/>
      <c r="CF472" s="16"/>
      <c r="CG472" s="507"/>
      <c r="CH472" s="16"/>
      <c r="CI472" s="507"/>
      <c r="CJ472" s="16"/>
      <c r="CK472" s="507"/>
      <c r="CL472" s="16"/>
      <c r="CM472" s="507"/>
      <c r="CN472" s="16"/>
      <c r="CO472" s="507"/>
      <c r="CP472" s="16"/>
      <c r="CQ472" s="507"/>
      <c r="CR472" s="16"/>
      <c r="CS472" s="507"/>
      <c r="CT472" s="16"/>
      <c r="CU472" s="507"/>
      <c r="CV472" s="16"/>
      <c r="CW472" s="507"/>
      <c r="CX472" s="16"/>
      <c r="CY472" s="507"/>
      <c r="CZ472" s="16"/>
      <c r="DA472" s="507"/>
      <c r="DB472" s="507"/>
      <c r="DC472" s="16"/>
      <c r="DD472" s="507"/>
      <c r="DE472" s="16"/>
      <c r="DF472" s="507"/>
      <c r="DG472" s="16"/>
      <c r="DH472" s="507"/>
      <c r="DI472" s="16"/>
      <c r="DJ472" s="507"/>
      <c r="DK472" s="16"/>
      <c r="DL472" s="507"/>
      <c r="DM472" s="16"/>
      <c r="DN472" s="507"/>
      <c r="DO472" s="16"/>
      <c r="DP472" s="507"/>
      <c r="DQ472" s="16"/>
      <c r="DR472" s="507"/>
      <c r="DS472" s="16"/>
      <c r="DT472" s="507"/>
      <c r="DU472" s="16"/>
      <c r="DV472" s="507"/>
      <c r="DW472" s="16"/>
      <c r="DX472" s="507"/>
      <c r="DY472" s="16"/>
      <c r="DZ472" s="507"/>
      <c r="EA472" s="16"/>
      <c r="EB472" s="507"/>
      <c r="EC472" s="16"/>
      <c r="ED472" s="507"/>
      <c r="EE472" s="16"/>
      <c r="EF472" s="507"/>
      <c r="EG472" s="16"/>
      <c r="EH472" s="507"/>
      <c r="EI472" s="16"/>
      <c r="EJ472" s="507"/>
      <c r="EK472" s="16"/>
      <c r="EL472" s="507"/>
      <c r="EM472" s="687"/>
    </row>
    <row r="473" spans="1:143" ht="12.75" hidden="1" customHeight="1" outlineLevel="2" x14ac:dyDescent="0.2">
      <c r="A473" s="701"/>
      <c r="B473" s="16"/>
      <c r="C473" s="762"/>
      <c r="D473" s="16"/>
      <c r="E473" s="702"/>
      <c r="F473" s="16"/>
      <c r="G473" s="702"/>
      <c r="H473" s="16"/>
      <c r="I473" s="702"/>
      <c r="J473" s="16"/>
      <c r="K473" s="762"/>
      <c r="L473" s="16"/>
      <c r="M473" s="762"/>
      <c r="N473" s="16"/>
      <c r="O473" s="762"/>
      <c r="P473" s="16"/>
      <c r="Q473" s="762"/>
      <c r="R473" s="16"/>
      <c r="S473" s="762"/>
      <c r="T473" s="16"/>
      <c r="U473" s="762"/>
      <c r="V473" s="16"/>
      <c r="W473" s="762"/>
      <c r="X473" s="16"/>
      <c r="Y473" s="762"/>
      <c r="Z473" s="16"/>
      <c r="AA473" s="762"/>
      <c r="AB473" s="16"/>
      <c r="AC473" s="762"/>
      <c r="AD473" s="16"/>
      <c r="AE473" s="762"/>
      <c r="AF473" s="16"/>
      <c r="AG473" s="762"/>
      <c r="AH473" s="16"/>
      <c r="AI473" s="762"/>
      <c r="AJ473" s="16"/>
      <c r="AK473" s="762"/>
      <c r="AL473" s="16"/>
      <c r="AM473" s="762"/>
      <c r="AN473" s="16"/>
      <c r="AO473" s="762"/>
      <c r="AP473" s="16"/>
      <c r="AQ473" s="762"/>
      <c r="AR473" s="16"/>
      <c r="AS473" s="762"/>
      <c r="AT473" s="16"/>
      <c r="AU473" s="762"/>
      <c r="AV473" s="16"/>
      <c r="AW473" s="762"/>
      <c r="AX473" s="16"/>
      <c r="AY473" s="762"/>
      <c r="AZ473" s="16"/>
      <c r="BA473" s="762"/>
      <c r="BB473" s="16"/>
      <c r="BC473" s="762"/>
      <c r="BD473" s="16"/>
      <c r="BE473" s="762"/>
      <c r="BF473" s="16"/>
      <c r="BG473" s="762"/>
      <c r="BH473" s="16"/>
      <c r="BI473" s="762"/>
      <c r="BJ473" s="16"/>
      <c r="BK473" s="762"/>
      <c r="BL473" s="16"/>
      <c r="BM473" s="762"/>
      <c r="BN473" s="16"/>
      <c r="BO473" s="762"/>
      <c r="BP473" s="16"/>
      <c r="BQ473" s="762"/>
      <c r="BR473" s="16"/>
      <c r="BS473" s="762"/>
      <c r="BT473" s="16"/>
      <c r="BU473" s="762"/>
      <c r="BV473" s="16"/>
      <c r="BW473" s="762"/>
      <c r="BX473" s="16"/>
      <c r="BY473" s="762"/>
      <c r="BZ473" s="16"/>
      <c r="CA473" s="762"/>
      <c r="CB473" s="16"/>
      <c r="CC473" s="762"/>
      <c r="CD473" s="16"/>
      <c r="CE473" s="762"/>
      <c r="CF473" s="16"/>
      <c r="CG473" s="762"/>
      <c r="CH473" s="16"/>
      <c r="CI473" s="762"/>
      <c r="CJ473" s="16"/>
      <c r="CK473" s="762"/>
      <c r="CL473" s="16"/>
      <c r="CM473" s="762"/>
      <c r="CN473" s="16"/>
      <c r="CO473" s="762"/>
      <c r="CP473" s="16"/>
      <c r="CQ473" s="762"/>
      <c r="CR473" s="16"/>
      <c r="CS473" s="762"/>
      <c r="CT473" s="16"/>
      <c r="CU473" s="762"/>
      <c r="CV473" s="16"/>
      <c r="CW473" s="762"/>
      <c r="CX473" s="16"/>
      <c r="CY473" s="762"/>
      <c r="CZ473" s="16"/>
      <c r="DA473" s="762"/>
      <c r="DB473" s="762"/>
      <c r="DC473" s="16"/>
      <c r="DD473" s="762"/>
      <c r="DE473" s="16"/>
      <c r="DF473" s="762"/>
      <c r="DG473" s="16"/>
      <c r="DH473" s="762"/>
      <c r="DI473" s="16"/>
      <c r="DJ473" s="762"/>
      <c r="DK473" s="16"/>
      <c r="DL473" s="762"/>
      <c r="DM473" s="16"/>
      <c r="DN473" s="762"/>
      <c r="DO473" s="16"/>
      <c r="DP473" s="762"/>
      <c r="DQ473" s="16"/>
      <c r="DR473" s="762"/>
      <c r="DS473" s="16"/>
      <c r="DT473" s="762"/>
      <c r="DU473" s="16"/>
      <c r="DV473" s="762"/>
      <c r="DW473" s="16"/>
      <c r="DX473" s="762"/>
      <c r="DY473" s="16"/>
      <c r="DZ473" s="762"/>
      <c r="EA473" s="16"/>
      <c r="EB473" s="762"/>
      <c r="EC473" s="16"/>
      <c r="ED473" s="762"/>
      <c r="EE473" s="16"/>
      <c r="EF473" s="762"/>
      <c r="EG473" s="16"/>
      <c r="EH473" s="762"/>
      <c r="EI473" s="16"/>
      <c r="EJ473" s="762"/>
      <c r="EK473" s="16"/>
      <c r="EL473" s="762"/>
      <c r="EM473" s="702"/>
    </row>
    <row r="474" spans="1:143" s="774" customFormat="1" ht="21.95" hidden="1" customHeight="1" outlineLevel="1" collapsed="1" x14ac:dyDescent="0.3">
      <c r="A474" s="770" t="str">
        <f>$A$1</f>
        <v>Lincoln National</v>
      </c>
      <c r="B474" s="771"/>
      <c r="C474" s="772"/>
      <c r="D474" s="771"/>
      <c r="E474" s="773"/>
      <c r="F474" s="771"/>
      <c r="G474" s="773"/>
      <c r="H474" s="771"/>
      <c r="I474" s="773"/>
      <c r="J474" s="771"/>
      <c r="K474" s="772"/>
      <c r="L474" s="771"/>
      <c r="M474" s="772"/>
      <c r="N474" s="771"/>
      <c r="O474" s="772"/>
      <c r="P474" s="771"/>
      <c r="Q474" s="772"/>
      <c r="R474" s="771"/>
      <c r="S474" s="772"/>
      <c r="T474" s="771"/>
      <c r="U474" s="772"/>
      <c r="V474" s="771"/>
      <c r="W474" s="772"/>
      <c r="X474" s="771"/>
      <c r="Y474" s="772"/>
      <c r="Z474" s="771"/>
      <c r="AA474" s="772"/>
      <c r="AB474" s="771"/>
      <c r="AC474" s="772"/>
      <c r="AD474" s="771"/>
      <c r="AE474" s="772"/>
      <c r="AF474" s="771"/>
      <c r="AG474" s="772"/>
      <c r="AH474" s="771"/>
      <c r="AI474" s="772"/>
      <c r="AJ474" s="771"/>
      <c r="AK474" s="772"/>
      <c r="AL474" s="771"/>
      <c r="AM474" s="772"/>
      <c r="AN474" s="771"/>
      <c r="AO474" s="772"/>
      <c r="AP474" s="771"/>
      <c r="AQ474" s="772"/>
      <c r="AR474" s="771"/>
      <c r="AS474" s="772"/>
      <c r="AT474" s="771"/>
      <c r="AU474" s="772"/>
      <c r="AV474" s="771"/>
      <c r="AW474" s="772"/>
      <c r="AX474" s="771"/>
      <c r="AY474" s="772"/>
      <c r="AZ474" s="771"/>
      <c r="BA474" s="772"/>
      <c r="BB474" s="771"/>
      <c r="BC474" s="772"/>
      <c r="BD474" s="771"/>
      <c r="BE474" s="772"/>
      <c r="BF474" s="771"/>
      <c r="BG474" s="772"/>
      <c r="BH474" s="771"/>
      <c r="BI474" s="772"/>
      <c r="BJ474" s="771"/>
      <c r="BK474" s="772"/>
      <c r="BL474" s="771"/>
      <c r="BM474" s="772"/>
      <c r="BN474" s="771"/>
      <c r="BO474" s="772"/>
      <c r="BP474" s="771"/>
      <c r="BQ474" s="772"/>
      <c r="BR474" s="771"/>
      <c r="BS474" s="772"/>
      <c r="BT474" s="771"/>
      <c r="BU474" s="772"/>
      <c r="BV474" s="771"/>
      <c r="BW474" s="772"/>
      <c r="BX474" s="771"/>
      <c r="BY474" s="772"/>
      <c r="BZ474" s="771"/>
      <c r="CA474" s="772"/>
      <c r="CB474" s="771"/>
      <c r="CC474" s="772"/>
      <c r="CD474" s="771"/>
      <c r="CE474" s="772"/>
      <c r="CF474" s="771"/>
      <c r="CG474" s="772"/>
      <c r="CH474" s="771"/>
      <c r="CI474" s="772"/>
      <c r="CJ474" s="771"/>
      <c r="CK474" s="772"/>
      <c r="CL474" s="771"/>
      <c r="CM474" s="772"/>
      <c r="CN474" s="771"/>
      <c r="CO474" s="772"/>
      <c r="CP474" s="771"/>
      <c r="CQ474" s="772"/>
      <c r="CR474" s="771"/>
      <c r="CS474" s="772"/>
      <c r="CT474" s="771"/>
      <c r="CU474" s="772"/>
      <c r="CV474" s="771"/>
      <c r="CW474" s="772"/>
      <c r="CX474" s="771"/>
      <c r="CY474" s="772"/>
      <c r="CZ474" s="771"/>
      <c r="DA474" s="772"/>
      <c r="DB474" s="772"/>
      <c r="DC474" s="771"/>
      <c r="DD474" s="772"/>
      <c r="DE474" s="771"/>
      <c r="DF474" s="772"/>
      <c r="DG474" s="771"/>
      <c r="DH474" s="772"/>
      <c r="DI474" s="771"/>
      <c r="DJ474" s="772"/>
      <c r="DK474" s="771"/>
      <c r="DL474" s="772"/>
      <c r="DM474" s="771"/>
      <c r="DN474" s="772"/>
      <c r="DO474" s="771"/>
      <c r="DP474" s="772"/>
      <c r="DQ474" s="771"/>
      <c r="DR474" s="772"/>
      <c r="DS474" s="771"/>
      <c r="DT474" s="772"/>
      <c r="DU474" s="771"/>
      <c r="DV474" s="772"/>
      <c r="DW474" s="771"/>
      <c r="DX474" s="772"/>
      <c r="DY474" s="771"/>
      <c r="DZ474" s="772"/>
      <c r="EA474" s="771"/>
      <c r="EB474" s="772"/>
      <c r="EC474" s="771"/>
      <c r="ED474" s="772"/>
      <c r="EE474" s="771"/>
      <c r="EF474" s="772"/>
      <c r="EG474" s="771"/>
      <c r="EH474" s="772"/>
      <c r="EI474" s="771"/>
      <c r="EJ474" s="772"/>
      <c r="EK474" s="771"/>
      <c r="EL474" s="772"/>
      <c r="EM474" s="773"/>
    </row>
    <row r="475" spans="1:143" ht="12.75" hidden="1" customHeight="1" outlineLevel="1" x14ac:dyDescent="0.2">
      <c r="A475" s="685" t="s">
        <v>45</v>
      </c>
      <c r="B475" s="4"/>
      <c r="C475" s="496"/>
      <c r="D475" s="4"/>
      <c r="E475" s="686"/>
      <c r="F475" s="4"/>
      <c r="G475" s="686"/>
      <c r="H475" s="4"/>
      <c r="I475" s="686"/>
      <c r="J475" s="4"/>
      <c r="K475" s="496"/>
      <c r="L475" s="4"/>
      <c r="M475" s="496"/>
      <c r="N475" s="4"/>
      <c r="O475" s="496"/>
      <c r="P475" s="4"/>
      <c r="Q475" s="496"/>
      <c r="R475" s="4"/>
      <c r="S475" s="496"/>
      <c r="T475" s="4"/>
      <c r="U475" s="496"/>
      <c r="V475" s="4"/>
      <c r="W475" s="496"/>
      <c r="X475" s="4"/>
      <c r="Y475" s="496"/>
      <c r="Z475" s="4"/>
      <c r="AA475" s="496"/>
      <c r="AB475" s="4"/>
      <c r="AC475" s="496"/>
      <c r="AD475" s="4"/>
      <c r="AE475" s="496"/>
      <c r="AF475" s="4"/>
      <c r="AG475" s="496"/>
      <c r="AH475" s="4"/>
      <c r="AI475" s="496"/>
      <c r="AJ475" s="4"/>
      <c r="AK475" s="496"/>
      <c r="AL475" s="4"/>
      <c r="AM475" s="496"/>
      <c r="AN475" s="4"/>
      <c r="AO475" s="496"/>
      <c r="AP475" s="4"/>
      <c r="AQ475" s="496"/>
      <c r="AR475" s="4"/>
      <c r="AS475" s="496"/>
      <c r="AT475" s="4"/>
      <c r="AU475" s="496"/>
      <c r="AV475" s="4"/>
      <c r="AW475" s="496"/>
      <c r="AX475" s="4"/>
      <c r="AY475" s="496"/>
      <c r="AZ475" s="4"/>
      <c r="BA475" s="496"/>
      <c r="BB475" s="4"/>
      <c r="BC475" s="496"/>
      <c r="BD475" s="4"/>
      <c r="BE475" s="496"/>
      <c r="BF475" s="4"/>
      <c r="BG475" s="496"/>
      <c r="BH475" s="4"/>
      <c r="BI475" s="496"/>
      <c r="BJ475" s="4"/>
      <c r="BK475" s="496"/>
      <c r="BL475" s="4"/>
      <c r="BM475" s="496"/>
      <c r="BN475" s="4"/>
      <c r="BO475" s="496"/>
      <c r="BP475" s="4"/>
      <c r="BQ475" s="496"/>
      <c r="BR475" s="4"/>
      <c r="BS475" s="496"/>
      <c r="BT475" s="4"/>
      <c r="BU475" s="496"/>
      <c r="BV475" s="4"/>
      <c r="BW475" s="496"/>
      <c r="BX475" s="4"/>
      <c r="BY475" s="496"/>
      <c r="BZ475" s="4"/>
      <c r="CA475" s="496"/>
      <c r="CB475" s="4"/>
      <c r="CC475" s="496"/>
      <c r="CD475" s="4"/>
      <c r="CE475" s="496"/>
      <c r="CF475" s="4"/>
      <c r="CG475" s="496"/>
      <c r="CH475" s="4"/>
      <c r="CI475" s="496"/>
      <c r="CJ475" s="4"/>
      <c r="CK475" s="496"/>
      <c r="CL475" s="4"/>
      <c r="CM475" s="496"/>
      <c r="CN475" s="4"/>
      <c r="CO475" s="496"/>
      <c r="CP475" s="4"/>
      <c r="CQ475" s="496"/>
      <c r="CR475" s="4"/>
      <c r="CS475" s="496"/>
      <c r="CT475" s="4"/>
      <c r="CU475" s="496"/>
      <c r="CV475" s="4"/>
      <c r="CW475" s="496"/>
      <c r="CX475" s="4"/>
      <c r="CY475" s="496"/>
      <c r="CZ475" s="4"/>
      <c r="DA475" s="496"/>
      <c r="DB475" s="496"/>
      <c r="DC475" s="4"/>
      <c r="DD475" s="496"/>
      <c r="DE475" s="4"/>
      <c r="DF475" s="496"/>
      <c r="DG475" s="4"/>
      <c r="DH475" s="496"/>
      <c r="DI475" s="4"/>
      <c r="DJ475" s="496"/>
      <c r="DK475" s="4"/>
      <c r="DL475" s="496"/>
      <c r="DM475" s="4"/>
      <c r="DN475" s="496"/>
      <c r="DO475" s="4"/>
      <c r="DP475" s="496"/>
      <c r="DQ475" s="4"/>
      <c r="DR475" s="496"/>
      <c r="DS475" s="4"/>
      <c r="DT475" s="496"/>
      <c r="DU475" s="4"/>
      <c r="DV475" s="496"/>
      <c r="DW475" s="4"/>
      <c r="DX475" s="496"/>
      <c r="DY475" s="4"/>
      <c r="DZ475" s="496"/>
      <c r="EA475" s="4"/>
      <c r="EB475" s="496"/>
      <c r="EC475" s="4"/>
      <c r="ED475" s="496"/>
      <c r="EE475" s="4"/>
      <c r="EF475" s="496"/>
      <c r="EG475" s="4"/>
      <c r="EH475" s="496"/>
      <c r="EI475" s="4"/>
      <c r="EJ475" s="496"/>
      <c r="EK475" s="4"/>
      <c r="EL475" s="496"/>
      <c r="EM475" s="686"/>
    </row>
    <row r="476" spans="1:143" s="3" customFormat="1" ht="12.75" hidden="1" customHeight="1" outlineLevel="1" x14ac:dyDescent="0.2">
      <c r="A476" s="560" t="str">
        <f>A$3</f>
        <v>($Millions Except Per Share Data)</v>
      </c>
      <c r="B476" s="704"/>
      <c r="C476" s="724"/>
      <c r="D476" s="704"/>
      <c r="E476" s="724" t="str">
        <f>E$3</f>
        <v>2Q06/</v>
      </c>
      <c r="F476" s="704"/>
      <c r="G476" s="724" t="str">
        <f>G$3</f>
        <v>3Q06/</v>
      </c>
      <c r="H476" s="704"/>
      <c r="I476" s="724" t="str">
        <f>I$3</f>
        <v>4Q06/</v>
      </c>
      <c r="J476" s="724"/>
      <c r="K476" s="724" t="str">
        <f>K$3</f>
        <v>1Q07/</v>
      </c>
      <c r="L476" s="704"/>
      <c r="M476" s="724" t="str">
        <f>M$3</f>
        <v>2Q07/</v>
      </c>
      <c r="N476" s="704"/>
      <c r="O476" s="724" t="str">
        <f>O$3</f>
        <v>3Q07/</v>
      </c>
      <c r="P476" s="704"/>
      <c r="Q476" s="724" t="str">
        <f>Q$3</f>
        <v>4Q07/</v>
      </c>
      <c r="R476" s="704"/>
      <c r="S476" s="724" t="str">
        <f>S$3</f>
        <v>1Q08/</v>
      </c>
      <c r="T476" s="704"/>
      <c r="U476" s="724" t="str">
        <f>U$3</f>
        <v>2Q08/</v>
      </c>
      <c r="V476" s="704"/>
      <c r="W476" s="724" t="str">
        <f>W$3</f>
        <v>3Q08/</v>
      </c>
      <c r="X476" s="704"/>
      <c r="Y476" s="724" t="str">
        <f>Y$3</f>
        <v>4Q08/</v>
      </c>
      <c r="Z476" s="704"/>
      <c r="AA476" s="724" t="str">
        <f>AA$3</f>
        <v>1Q09/</v>
      </c>
      <c r="AB476" s="704"/>
      <c r="AC476" s="724" t="str">
        <f>AC$3</f>
        <v>2Q09/</v>
      </c>
      <c r="AD476" s="704"/>
      <c r="AE476" s="724" t="str">
        <f>AE$3</f>
        <v>3Q09/</v>
      </c>
      <c r="AF476" s="704"/>
      <c r="AG476" s="724" t="str">
        <f>AG$3</f>
        <v>4Q09/</v>
      </c>
      <c r="AH476" s="704"/>
      <c r="AI476" s="724" t="str">
        <f>AI$3</f>
        <v>1Q10/</v>
      </c>
      <c r="AJ476" s="704"/>
      <c r="AK476" s="724" t="str">
        <f>AK$3</f>
        <v>2Q10/</v>
      </c>
      <c r="AL476" s="704"/>
      <c r="AM476" s="724" t="str">
        <f>AM$3</f>
        <v>3Q10/</v>
      </c>
      <c r="AN476" s="704"/>
      <c r="AO476" s="724" t="str">
        <f>AO$3</f>
        <v>4Q10/</v>
      </c>
      <c r="AP476" s="704"/>
      <c r="AQ476" s="724" t="str">
        <f>AQ$3</f>
        <v>1Q11/</v>
      </c>
      <c r="AR476" s="704"/>
      <c r="AS476" s="724" t="str">
        <f>AS$3</f>
        <v>2Q11/</v>
      </c>
      <c r="AT476" s="704"/>
      <c r="AU476" s="724" t="str">
        <f>AU$3</f>
        <v>3Q11/</v>
      </c>
      <c r="AV476" s="704"/>
      <c r="AW476" s="724" t="str">
        <f>AW$3</f>
        <v>4Q11/</v>
      </c>
      <c r="AX476" s="704"/>
      <c r="AY476" s="724" t="str">
        <f>AY$3</f>
        <v>1Q12/</v>
      </c>
      <c r="AZ476" s="704"/>
      <c r="BA476" s="724" t="str">
        <f>BA$3</f>
        <v>2Q12/</v>
      </c>
      <c r="BB476" s="704"/>
      <c r="BC476" s="724" t="str">
        <f>BC$3</f>
        <v>3Q12/</v>
      </c>
      <c r="BD476" s="704"/>
      <c r="BE476" s="724" t="str">
        <f>BE$3</f>
        <v>4Q12/</v>
      </c>
      <c r="BF476" s="704"/>
      <c r="BG476" s="724" t="str">
        <f>BG$3</f>
        <v>1Q13/</v>
      </c>
      <c r="BH476" s="704"/>
      <c r="BI476" s="724" t="str">
        <f>BI$3</f>
        <v>2Q13/</v>
      </c>
      <c r="BJ476" s="704"/>
      <c r="BK476" s="724" t="str">
        <f>BK$3</f>
        <v>3Q13/</v>
      </c>
      <c r="BL476" s="704"/>
      <c r="BM476" s="724" t="str">
        <f>BM$3</f>
        <v>4Q13/</v>
      </c>
      <c r="BN476" s="704"/>
      <c r="BO476" s="724" t="str">
        <f>BO$3</f>
        <v>1Q14/</v>
      </c>
      <c r="BP476" s="704"/>
      <c r="BQ476" s="724" t="str">
        <f>BQ$3</f>
        <v>2Q14/</v>
      </c>
      <c r="BR476" s="704"/>
      <c r="BS476" s="724" t="str">
        <f>BS$3</f>
        <v>3Q14/</v>
      </c>
      <c r="BT476" s="704"/>
      <c r="BU476" s="724" t="str">
        <f>BU$3</f>
        <v>4Q14/</v>
      </c>
      <c r="BV476" s="704"/>
      <c r="BW476" s="724" t="str">
        <f>BW$3</f>
        <v>1Q15/</v>
      </c>
      <c r="BX476" s="704"/>
      <c r="BY476" s="724" t="str">
        <f>BY$3</f>
        <v>2Q15/</v>
      </c>
      <c r="BZ476" s="704"/>
      <c r="CA476" s="724" t="str">
        <f>CA$3</f>
        <v>3Q15/</v>
      </c>
      <c r="CB476" s="704"/>
      <c r="CC476" s="724" t="str">
        <f>CC$3</f>
        <v>4Q15/</v>
      </c>
      <c r="CD476" s="704"/>
      <c r="CE476" s="724" t="str">
        <f>CE$3</f>
        <v>1Q16/</v>
      </c>
      <c r="CF476" s="704"/>
      <c r="CG476" s="724" t="str">
        <f>CG$3</f>
        <v>2Q16/</v>
      </c>
      <c r="CH476" s="704"/>
      <c r="CI476" s="724" t="str">
        <f>CI$3</f>
        <v>3Q16/</v>
      </c>
      <c r="CJ476" s="704"/>
      <c r="CK476" s="724" t="str">
        <f>CK$3</f>
        <v>4Q16/</v>
      </c>
      <c r="CL476" s="704"/>
      <c r="CM476" s="724" t="str">
        <f t="shared" ref="CM476" si="265">CM$3</f>
        <v>1Q17/</v>
      </c>
      <c r="CN476" s="704"/>
      <c r="CO476" s="724" t="str">
        <f t="shared" ref="CO476" si="266">CO$3</f>
        <v>2Q17/</v>
      </c>
      <c r="CP476" s="704"/>
      <c r="CQ476" s="724" t="str">
        <f t="shared" ref="CQ476" si="267">CQ$3</f>
        <v>3Q17/</v>
      </c>
      <c r="CR476" s="704"/>
      <c r="CS476" s="724" t="str">
        <f t="shared" ref="CS476" si="268">CS$3</f>
        <v>4Q17/</v>
      </c>
      <c r="CT476" s="704"/>
      <c r="CU476" s="724" t="str">
        <f t="shared" ref="CU476" si="269">CU$3</f>
        <v>1Q18E/</v>
      </c>
      <c r="CV476" s="704"/>
      <c r="CW476" s="724" t="str">
        <f t="shared" ref="CW476" si="270">CW$3</f>
        <v>2Q18E/</v>
      </c>
      <c r="CX476" s="704"/>
      <c r="CY476" s="724" t="str">
        <f t="shared" ref="CY476" si="271">CY$3</f>
        <v>3Q18E/</v>
      </c>
      <c r="CZ476" s="704"/>
      <c r="DA476" s="724" t="str">
        <f t="shared" ref="DA476" si="272">DA$3</f>
        <v>4Q18E/</v>
      </c>
      <c r="DB476" s="724"/>
      <c r="DC476" s="704"/>
      <c r="DD476" s="724" t="str">
        <f>DD$3</f>
        <v>2005/</v>
      </c>
      <c r="DE476" s="704"/>
      <c r="DF476" s="724" t="str">
        <f>DF$3</f>
        <v>2006/</v>
      </c>
      <c r="DG476" s="704"/>
      <c r="DH476" s="724" t="str">
        <f>DH$3</f>
        <v>2007/</v>
      </c>
      <c r="DI476" s="704"/>
      <c r="DJ476" s="724" t="str">
        <f>DJ$3</f>
        <v>2008/</v>
      </c>
      <c r="DK476" s="704"/>
      <c r="DL476" s="724" t="str">
        <f>DL$3</f>
        <v>2009/</v>
      </c>
      <c r="DM476" s="704"/>
      <c r="DN476" s="724" t="str">
        <f>DN$3</f>
        <v>2010/</v>
      </c>
      <c r="DO476" s="704"/>
      <c r="DP476" s="724" t="str">
        <f>DP$3</f>
        <v>2011/</v>
      </c>
      <c r="DQ476" s="704"/>
      <c r="DR476" s="724" t="str">
        <f>DR$3</f>
        <v>2012/</v>
      </c>
      <c r="DS476" s="704"/>
      <c r="DT476" s="724" t="str">
        <f>DT$3</f>
        <v>2013/</v>
      </c>
      <c r="DU476" s="704"/>
      <c r="DV476" s="724" t="str">
        <f>DV$3</f>
        <v>2014/</v>
      </c>
      <c r="DW476" s="704"/>
      <c r="DX476" s="724" t="str">
        <f>DX$3</f>
        <v>2015/</v>
      </c>
      <c r="DY476" s="704"/>
      <c r="DZ476" s="724" t="str">
        <f>DZ$3</f>
        <v>2016/</v>
      </c>
      <c r="EA476" s="704"/>
      <c r="EB476" s="724" t="str">
        <f>EB$3</f>
        <v>2017/</v>
      </c>
      <c r="EC476" s="704"/>
      <c r="ED476" s="724" t="str">
        <f>ED$3</f>
        <v>2018E/</v>
      </c>
      <c r="EE476" s="704"/>
      <c r="EF476" s="724" t="str">
        <f>EF$3</f>
        <v>2019E/</v>
      </c>
      <c r="EG476" s="704"/>
      <c r="EH476" s="724" t="str">
        <f>EH$3</f>
        <v>2020E/</v>
      </c>
      <c r="EI476" s="704"/>
      <c r="EJ476" s="724" t="str">
        <f>EJ$3</f>
        <v>2021E/</v>
      </c>
      <c r="EK476" s="704"/>
      <c r="EL476" s="724" t="str">
        <f>EL$3</f>
        <v>2022E/</v>
      </c>
      <c r="EM476" s="705" t="str">
        <f>EM$3</f>
        <v>5-Yr</v>
      </c>
    </row>
    <row r="477" spans="1:143" s="3" customFormat="1" ht="12.75" hidden="1" customHeight="1" outlineLevel="1" x14ac:dyDescent="0.2">
      <c r="A477" s="693"/>
      <c r="B477" s="692"/>
      <c r="C477" s="496"/>
      <c r="D477" s="692"/>
      <c r="E477" s="496" t="str">
        <f>E$4</f>
        <v>2Q05</v>
      </c>
      <c r="F477" s="692"/>
      <c r="G477" s="496" t="str">
        <f>G$4</f>
        <v>3Q05</v>
      </c>
      <c r="H477" s="692"/>
      <c r="I477" s="496" t="str">
        <f>I$4</f>
        <v>4Q05</v>
      </c>
      <c r="J477" s="496"/>
      <c r="K477" s="496" t="str">
        <f>K$4</f>
        <v>1Q06</v>
      </c>
      <c r="L477" s="692"/>
      <c r="M477" s="496" t="str">
        <f>M$4</f>
        <v>2Q06</v>
      </c>
      <c r="N477" s="692"/>
      <c r="O477" s="496" t="str">
        <f>O$4</f>
        <v>3Q06</v>
      </c>
      <c r="P477" s="692"/>
      <c r="Q477" s="496" t="str">
        <f>Q$4</f>
        <v>4Q06</v>
      </c>
      <c r="R477" s="692"/>
      <c r="S477" s="496" t="str">
        <f>S$4</f>
        <v>1Q07</v>
      </c>
      <c r="T477" s="692"/>
      <c r="U477" s="496" t="str">
        <f>U$4</f>
        <v>2Q07</v>
      </c>
      <c r="V477" s="692"/>
      <c r="W477" s="496" t="str">
        <f>W$4</f>
        <v>3Q07</v>
      </c>
      <c r="X477" s="692"/>
      <c r="Y477" s="496" t="str">
        <f>Y$4</f>
        <v>4Q07</v>
      </c>
      <c r="Z477" s="692"/>
      <c r="AA477" s="496" t="str">
        <f>AA$4</f>
        <v>1Q08</v>
      </c>
      <c r="AB477" s="692"/>
      <c r="AC477" s="496" t="str">
        <f>AC$4</f>
        <v>2Q08</v>
      </c>
      <c r="AD477" s="692"/>
      <c r="AE477" s="496" t="str">
        <f>AE$4</f>
        <v>3Q08</v>
      </c>
      <c r="AF477" s="692"/>
      <c r="AG477" s="496" t="str">
        <f>AG$4</f>
        <v>4Q08</v>
      </c>
      <c r="AH477" s="692"/>
      <c r="AI477" s="496" t="str">
        <f>AI$4</f>
        <v>1Q09</v>
      </c>
      <c r="AJ477" s="692"/>
      <c r="AK477" s="496" t="str">
        <f>AK$4</f>
        <v>2Q09</v>
      </c>
      <c r="AL477" s="692"/>
      <c r="AM477" s="496" t="str">
        <f>AM$4</f>
        <v>3Q09</v>
      </c>
      <c r="AN477" s="692"/>
      <c r="AO477" s="496" t="str">
        <f>AO$4</f>
        <v>4Q09</v>
      </c>
      <c r="AP477" s="692"/>
      <c r="AQ477" s="496" t="str">
        <f>AQ$4</f>
        <v>1Q10</v>
      </c>
      <c r="AR477" s="692"/>
      <c r="AS477" s="496" t="str">
        <f>AS$4</f>
        <v>2Q10</v>
      </c>
      <c r="AT477" s="692"/>
      <c r="AU477" s="496" t="str">
        <f>AU$4</f>
        <v>3Q10</v>
      </c>
      <c r="AV477" s="692"/>
      <c r="AW477" s="496" t="str">
        <f>AW$4</f>
        <v>4Q10</v>
      </c>
      <c r="AX477" s="692"/>
      <c r="AY477" s="496" t="str">
        <f>AY$4</f>
        <v>1Q11</v>
      </c>
      <c r="AZ477" s="692"/>
      <c r="BA477" s="496" t="str">
        <f>BA$4</f>
        <v>2Q11</v>
      </c>
      <c r="BB477" s="692"/>
      <c r="BC477" s="496" t="str">
        <f>BC$4</f>
        <v>3Q11</v>
      </c>
      <c r="BD477" s="692"/>
      <c r="BE477" s="496" t="str">
        <f>BE$4</f>
        <v>4Q11</v>
      </c>
      <c r="BF477" s="692"/>
      <c r="BG477" s="496" t="str">
        <f>BG$4</f>
        <v>1Q12</v>
      </c>
      <c r="BH477" s="692"/>
      <c r="BI477" s="496" t="str">
        <f>BI$4</f>
        <v>2Q12</v>
      </c>
      <c r="BJ477" s="692"/>
      <c r="BK477" s="496" t="str">
        <f>BK$4</f>
        <v>3Q12</v>
      </c>
      <c r="BL477" s="692"/>
      <c r="BM477" s="496" t="str">
        <f>BM$4</f>
        <v>4Q12</v>
      </c>
      <c r="BN477" s="692"/>
      <c r="BO477" s="496" t="str">
        <f>BO$4</f>
        <v>1Q13</v>
      </c>
      <c r="BP477" s="692"/>
      <c r="BQ477" s="496" t="str">
        <f>BQ$4</f>
        <v>2Q13</v>
      </c>
      <c r="BR477" s="692"/>
      <c r="BS477" s="496" t="str">
        <f>BS$4</f>
        <v>3Q13</v>
      </c>
      <c r="BT477" s="692"/>
      <c r="BU477" s="496" t="str">
        <f>BU$4</f>
        <v>4Q13</v>
      </c>
      <c r="BV477" s="692"/>
      <c r="BW477" s="496" t="str">
        <f>BW$4</f>
        <v>1Q14</v>
      </c>
      <c r="BX477" s="692"/>
      <c r="BY477" s="496" t="str">
        <f>BY$4</f>
        <v>2Q14</v>
      </c>
      <c r="BZ477" s="692"/>
      <c r="CA477" s="496" t="str">
        <f>CA$4</f>
        <v>3Q14</v>
      </c>
      <c r="CB477" s="692"/>
      <c r="CC477" s="496" t="str">
        <f>CC$4</f>
        <v>4Q14</v>
      </c>
      <c r="CD477" s="692"/>
      <c r="CE477" s="496" t="str">
        <f>CE$4</f>
        <v>1Q15</v>
      </c>
      <c r="CF477" s="692"/>
      <c r="CG477" s="496" t="str">
        <f>CG$4</f>
        <v>2Q15</v>
      </c>
      <c r="CH477" s="692"/>
      <c r="CI477" s="496" t="str">
        <f>CI$4</f>
        <v>3Q15</v>
      </c>
      <c r="CJ477" s="692"/>
      <c r="CK477" s="496" t="str">
        <f>CK$4</f>
        <v>4Q15</v>
      </c>
      <c r="CL477" s="692"/>
      <c r="CM477" s="496" t="str">
        <f t="shared" ref="CM477" si="273">CM$4</f>
        <v>1Q16</v>
      </c>
      <c r="CN477" s="692"/>
      <c r="CO477" s="496" t="str">
        <f t="shared" ref="CO477" si="274">CO$4</f>
        <v>2Q16</v>
      </c>
      <c r="CP477" s="692"/>
      <c r="CQ477" s="496" t="str">
        <f t="shared" ref="CQ477" si="275">CQ$4</f>
        <v>3Q16</v>
      </c>
      <c r="CR477" s="692"/>
      <c r="CS477" s="496" t="str">
        <f t="shared" ref="CS477" si="276">CS$4</f>
        <v>4Q16</v>
      </c>
      <c r="CT477" s="692"/>
      <c r="CU477" s="496" t="str">
        <f t="shared" ref="CU477" si="277">CU$4</f>
        <v>1Q17</v>
      </c>
      <c r="CV477" s="692"/>
      <c r="CW477" s="496" t="str">
        <f t="shared" ref="CW477" si="278">CW$4</f>
        <v>2Q17</v>
      </c>
      <c r="CX477" s="692"/>
      <c r="CY477" s="496" t="str">
        <f t="shared" ref="CY477" si="279">CY$4</f>
        <v>3Q17</v>
      </c>
      <c r="CZ477" s="692"/>
      <c r="DA477" s="496" t="str">
        <f t="shared" ref="DA477" si="280">DA$4</f>
        <v>4Q17</v>
      </c>
      <c r="DB477" s="496"/>
      <c r="DC477" s="692"/>
      <c r="DD477" s="686">
        <f>DD$4</f>
        <v>2004</v>
      </c>
      <c r="DE477" s="692"/>
      <c r="DF477" s="686">
        <f>DF$4</f>
        <v>2005</v>
      </c>
      <c r="DG477" s="692"/>
      <c r="DH477" s="686">
        <f>DH$4</f>
        <v>2006</v>
      </c>
      <c r="DI477" s="692"/>
      <c r="DJ477" s="686">
        <f>DJ$4</f>
        <v>2007</v>
      </c>
      <c r="DK477" s="692"/>
      <c r="DL477" s="725">
        <f>DL$4</f>
        <v>2008</v>
      </c>
      <c r="DM477" s="692"/>
      <c r="DN477" s="725" t="str">
        <f>DN$4</f>
        <v>2009</v>
      </c>
      <c r="DO477" s="692"/>
      <c r="DP477" s="725" t="str">
        <f>DP$4</f>
        <v>2010</v>
      </c>
      <c r="DQ477" s="692"/>
      <c r="DR477" s="725" t="str">
        <f>DR$4</f>
        <v>2011</v>
      </c>
      <c r="DS477" s="692"/>
      <c r="DT477" s="725" t="str">
        <f>DT$4</f>
        <v>2012</v>
      </c>
      <c r="DU477" s="692"/>
      <c r="DV477" s="725" t="str">
        <f>DV$4</f>
        <v>2013</v>
      </c>
      <c r="DW477" s="692"/>
      <c r="DX477" s="725" t="str">
        <f>DX$4</f>
        <v>2014</v>
      </c>
      <c r="DY477" s="692"/>
      <c r="DZ477" s="725" t="str">
        <f>DZ$4</f>
        <v>2015</v>
      </c>
      <c r="EA477" s="692"/>
      <c r="EB477" s="725" t="str">
        <f>EB$4</f>
        <v>2016</v>
      </c>
      <c r="EC477" s="692"/>
      <c r="ED477" s="725" t="str">
        <f>ED$4</f>
        <v>2017</v>
      </c>
      <c r="EE477" s="692"/>
      <c r="EF477" s="725" t="str">
        <f>EF$4</f>
        <v>2018E</v>
      </c>
      <c r="EG477" s="692"/>
      <c r="EH477" s="725" t="str">
        <f>EH$4</f>
        <v>2019E</v>
      </c>
      <c r="EI477" s="692"/>
      <c r="EJ477" s="725" t="str">
        <f>EJ$4</f>
        <v>2020E</v>
      </c>
      <c r="EK477" s="692"/>
      <c r="EL477" s="725" t="str">
        <f>EL$4</f>
        <v>2021E</v>
      </c>
      <c r="EM477" s="686" t="str">
        <f>EM$4</f>
        <v>CAGR</v>
      </c>
    </row>
    <row r="478" spans="1:143" s="3" customFormat="1" ht="12.75" hidden="1" customHeight="1" outlineLevel="1" x14ac:dyDescent="0.2">
      <c r="A478" s="694"/>
      <c r="B478" s="695" t="str">
        <f t="shared" ref="B478:BN478" si="281">B$5</f>
        <v>1Q06</v>
      </c>
      <c r="C478" s="726" t="str">
        <f t="shared" si="281"/>
        <v>% Chg</v>
      </c>
      <c r="D478" s="695" t="str">
        <f t="shared" si="281"/>
        <v>2Q06</v>
      </c>
      <c r="E478" s="726" t="str">
        <f t="shared" si="281"/>
        <v>% Chg</v>
      </c>
      <c r="F478" s="695" t="str">
        <f t="shared" si="281"/>
        <v>3Q06</v>
      </c>
      <c r="G478" s="726" t="str">
        <f t="shared" si="281"/>
        <v>% Chg</v>
      </c>
      <c r="H478" s="695" t="str">
        <f t="shared" si="281"/>
        <v>4Q06</v>
      </c>
      <c r="I478" s="726" t="str">
        <f t="shared" si="281"/>
        <v>% Chg</v>
      </c>
      <c r="J478" s="695" t="str">
        <f t="shared" si="281"/>
        <v>1Q07</v>
      </c>
      <c r="K478" s="726" t="str">
        <f t="shared" si="281"/>
        <v>% Chg</v>
      </c>
      <c r="L478" s="695" t="str">
        <f t="shared" si="281"/>
        <v>2Q07</v>
      </c>
      <c r="M478" s="726" t="str">
        <f t="shared" si="281"/>
        <v>% Chg</v>
      </c>
      <c r="N478" s="695" t="str">
        <f t="shared" si="281"/>
        <v>3Q07</v>
      </c>
      <c r="O478" s="726" t="str">
        <f t="shared" si="281"/>
        <v>% Chg</v>
      </c>
      <c r="P478" s="695" t="str">
        <f t="shared" si="281"/>
        <v>4Q07</v>
      </c>
      <c r="Q478" s="726" t="str">
        <f t="shared" si="281"/>
        <v>% Chg</v>
      </c>
      <c r="R478" s="695" t="str">
        <f t="shared" si="281"/>
        <v>1Q08</v>
      </c>
      <c r="S478" s="726" t="str">
        <f t="shared" si="281"/>
        <v>% Chg</v>
      </c>
      <c r="T478" s="695" t="str">
        <f t="shared" si="281"/>
        <v>2Q08</v>
      </c>
      <c r="U478" s="726" t="str">
        <f t="shared" si="281"/>
        <v>% Chg</v>
      </c>
      <c r="V478" s="695" t="str">
        <f t="shared" si="281"/>
        <v>3Q08</v>
      </c>
      <c r="W478" s="726" t="str">
        <f t="shared" si="281"/>
        <v>% Chg</v>
      </c>
      <c r="X478" s="695" t="str">
        <f t="shared" si="281"/>
        <v>4Q08</v>
      </c>
      <c r="Y478" s="726" t="str">
        <f t="shared" si="281"/>
        <v>% Chg</v>
      </c>
      <c r="Z478" s="695" t="str">
        <f t="shared" si="281"/>
        <v>1Q09</v>
      </c>
      <c r="AA478" s="726" t="str">
        <f t="shared" si="281"/>
        <v>% Chg</v>
      </c>
      <c r="AB478" s="695" t="str">
        <f t="shared" si="281"/>
        <v>2Q09</v>
      </c>
      <c r="AC478" s="726" t="str">
        <f t="shared" si="281"/>
        <v>% Chg</v>
      </c>
      <c r="AD478" s="695" t="str">
        <f t="shared" si="281"/>
        <v>3Q09</v>
      </c>
      <c r="AE478" s="726" t="str">
        <f t="shared" si="281"/>
        <v>% Chg</v>
      </c>
      <c r="AF478" s="695" t="str">
        <f t="shared" si="281"/>
        <v>4Q09</v>
      </c>
      <c r="AG478" s="726" t="str">
        <f t="shared" si="281"/>
        <v>% Chg</v>
      </c>
      <c r="AH478" s="695" t="str">
        <f t="shared" si="281"/>
        <v>1Q10</v>
      </c>
      <c r="AI478" s="726" t="str">
        <f t="shared" si="281"/>
        <v>% Chg</v>
      </c>
      <c r="AJ478" s="695" t="str">
        <f t="shared" si="281"/>
        <v>2Q10</v>
      </c>
      <c r="AK478" s="726" t="str">
        <f t="shared" si="281"/>
        <v>% Chg</v>
      </c>
      <c r="AL478" s="695" t="str">
        <f t="shared" si="281"/>
        <v>3Q10</v>
      </c>
      <c r="AM478" s="726" t="str">
        <f t="shared" si="281"/>
        <v>% Chg</v>
      </c>
      <c r="AN478" s="695" t="str">
        <f t="shared" si="281"/>
        <v>4Q10</v>
      </c>
      <c r="AO478" s="726" t="str">
        <f t="shared" si="281"/>
        <v>% Chg</v>
      </c>
      <c r="AP478" s="695" t="str">
        <f t="shared" si="281"/>
        <v>1Q11</v>
      </c>
      <c r="AQ478" s="726" t="str">
        <f t="shared" si="281"/>
        <v>% Chg</v>
      </c>
      <c r="AR478" s="695" t="str">
        <f t="shared" si="281"/>
        <v>2Q11</v>
      </c>
      <c r="AS478" s="726" t="str">
        <f t="shared" si="281"/>
        <v>% Chg</v>
      </c>
      <c r="AT478" s="695" t="str">
        <f t="shared" si="281"/>
        <v>3Q11</v>
      </c>
      <c r="AU478" s="726" t="str">
        <f t="shared" si="281"/>
        <v>% Chg</v>
      </c>
      <c r="AV478" s="695" t="str">
        <f t="shared" si="281"/>
        <v>4Q11</v>
      </c>
      <c r="AW478" s="726" t="str">
        <f t="shared" si="281"/>
        <v>% Chg</v>
      </c>
      <c r="AX478" s="695" t="str">
        <f t="shared" si="281"/>
        <v>1Q12</v>
      </c>
      <c r="AY478" s="726" t="str">
        <f t="shared" si="281"/>
        <v>% Chg</v>
      </c>
      <c r="AZ478" s="695" t="str">
        <f t="shared" si="281"/>
        <v>2Q12</v>
      </c>
      <c r="BA478" s="726" t="str">
        <f t="shared" si="281"/>
        <v>% Chg</v>
      </c>
      <c r="BB478" s="695" t="str">
        <f t="shared" si="281"/>
        <v>3Q12</v>
      </c>
      <c r="BC478" s="726" t="str">
        <f t="shared" si="281"/>
        <v>% Chg</v>
      </c>
      <c r="BD478" s="695" t="str">
        <f t="shared" si="281"/>
        <v>4Q12</v>
      </c>
      <c r="BE478" s="726" t="str">
        <f t="shared" si="281"/>
        <v>% Chg</v>
      </c>
      <c r="BF478" s="695" t="str">
        <f t="shared" si="281"/>
        <v>1Q13</v>
      </c>
      <c r="BG478" s="726" t="str">
        <f t="shared" si="281"/>
        <v>% Chg</v>
      </c>
      <c r="BH478" s="695" t="str">
        <f t="shared" si="281"/>
        <v>2Q13</v>
      </c>
      <c r="BI478" s="726" t="str">
        <f t="shared" si="281"/>
        <v>% Chg</v>
      </c>
      <c r="BJ478" s="695" t="str">
        <f t="shared" si="281"/>
        <v>3Q13</v>
      </c>
      <c r="BK478" s="726" t="str">
        <f t="shared" si="281"/>
        <v>% Chg</v>
      </c>
      <c r="BL478" s="695" t="str">
        <f t="shared" si="281"/>
        <v>4Q13</v>
      </c>
      <c r="BM478" s="726" t="str">
        <f t="shared" si="281"/>
        <v>% Chg</v>
      </c>
      <c r="BN478" s="695" t="str">
        <f t="shared" si="281"/>
        <v>1Q14</v>
      </c>
      <c r="BO478" s="726" t="str">
        <f t="shared" ref="BO478:DA478" si="282">BO$5</f>
        <v>% Chg</v>
      </c>
      <c r="BP478" s="695" t="str">
        <f t="shared" si="282"/>
        <v>2Q14</v>
      </c>
      <c r="BQ478" s="726" t="str">
        <f t="shared" si="282"/>
        <v>% Chg</v>
      </c>
      <c r="BR478" s="695" t="str">
        <f t="shared" si="282"/>
        <v>3Q14</v>
      </c>
      <c r="BS478" s="726" t="str">
        <f t="shared" si="282"/>
        <v>% Chg</v>
      </c>
      <c r="BT478" s="695" t="str">
        <f t="shared" si="282"/>
        <v>4Q14</v>
      </c>
      <c r="BU478" s="726" t="str">
        <f t="shared" si="282"/>
        <v>% Chg</v>
      </c>
      <c r="BV478" s="695" t="str">
        <f t="shared" si="282"/>
        <v>1Q15</v>
      </c>
      <c r="BW478" s="726" t="str">
        <f t="shared" si="282"/>
        <v>% Chg</v>
      </c>
      <c r="BX478" s="695" t="str">
        <f t="shared" si="282"/>
        <v>2Q15</v>
      </c>
      <c r="BY478" s="726" t="str">
        <f t="shared" si="282"/>
        <v>% Chg</v>
      </c>
      <c r="BZ478" s="695" t="str">
        <f t="shared" si="282"/>
        <v>3Q15</v>
      </c>
      <c r="CA478" s="726" t="str">
        <f t="shared" si="282"/>
        <v>% Chg</v>
      </c>
      <c r="CB478" s="695" t="str">
        <f t="shared" si="282"/>
        <v>4Q15</v>
      </c>
      <c r="CC478" s="726" t="str">
        <f t="shared" si="282"/>
        <v>% Chg</v>
      </c>
      <c r="CD478" s="695" t="str">
        <f t="shared" si="282"/>
        <v>1Q16</v>
      </c>
      <c r="CE478" s="726" t="str">
        <f t="shared" si="282"/>
        <v>% Chg</v>
      </c>
      <c r="CF478" s="695" t="str">
        <f t="shared" si="282"/>
        <v>2Q16</v>
      </c>
      <c r="CG478" s="726" t="str">
        <f t="shared" si="282"/>
        <v>% Chg</v>
      </c>
      <c r="CH478" s="695" t="str">
        <f t="shared" si="282"/>
        <v>3Q16</v>
      </c>
      <c r="CI478" s="726" t="str">
        <f t="shared" si="282"/>
        <v>% Chg</v>
      </c>
      <c r="CJ478" s="695" t="str">
        <f t="shared" si="282"/>
        <v>4Q16</v>
      </c>
      <c r="CK478" s="726" t="str">
        <f t="shared" si="282"/>
        <v>% Chg</v>
      </c>
      <c r="CL478" s="695" t="str">
        <f t="shared" si="282"/>
        <v>1Q17</v>
      </c>
      <c r="CM478" s="726" t="str">
        <f t="shared" si="282"/>
        <v>% Chg</v>
      </c>
      <c r="CN478" s="695" t="str">
        <f t="shared" si="282"/>
        <v>2Q17</v>
      </c>
      <c r="CO478" s="726" t="str">
        <f t="shared" si="282"/>
        <v>% Chg</v>
      </c>
      <c r="CP478" s="695" t="str">
        <f t="shared" si="282"/>
        <v>3Q17</v>
      </c>
      <c r="CQ478" s="726" t="str">
        <f t="shared" si="282"/>
        <v>% Chg</v>
      </c>
      <c r="CR478" s="695" t="str">
        <f t="shared" si="282"/>
        <v>4Q17</v>
      </c>
      <c r="CS478" s="726" t="str">
        <f t="shared" si="282"/>
        <v>% Chg</v>
      </c>
      <c r="CT478" s="695" t="str">
        <f t="shared" si="282"/>
        <v>1Q18E</v>
      </c>
      <c r="CU478" s="726" t="str">
        <f t="shared" si="282"/>
        <v>% Chg</v>
      </c>
      <c r="CV478" s="695" t="str">
        <f t="shared" si="282"/>
        <v>2Q18E</v>
      </c>
      <c r="CW478" s="726" t="str">
        <f t="shared" si="282"/>
        <v>% Chg</v>
      </c>
      <c r="CX478" s="695" t="str">
        <f t="shared" si="282"/>
        <v>3Q18E</v>
      </c>
      <c r="CY478" s="726" t="str">
        <f t="shared" si="282"/>
        <v>% Chg</v>
      </c>
      <c r="CZ478" s="695" t="str">
        <f t="shared" si="282"/>
        <v>4Q18E</v>
      </c>
      <c r="DA478" s="726" t="str">
        <f t="shared" si="282"/>
        <v>% Chg</v>
      </c>
      <c r="DB478" s="726"/>
      <c r="DC478" s="699">
        <f t="shared" ref="DC478:EM478" si="283">DC$5</f>
        <v>2005</v>
      </c>
      <c r="DD478" s="726" t="str">
        <f t="shared" si="283"/>
        <v>% Chg</v>
      </c>
      <c r="DE478" s="699">
        <f t="shared" si="283"/>
        <v>2006</v>
      </c>
      <c r="DF478" s="726" t="str">
        <f t="shared" si="283"/>
        <v>% Chg</v>
      </c>
      <c r="DG478" s="699">
        <f t="shared" si="283"/>
        <v>2007</v>
      </c>
      <c r="DH478" s="726" t="str">
        <f t="shared" si="283"/>
        <v>% Chg</v>
      </c>
      <c r="DI478" s="699">
        <f t="shared" si="283"/>
        <v>2008</v>
      </c>
      <c r="DJ478" s="726" t="str">
        <f t="shared" si="283"/>
        <v>% Chg</v>
      </c>
      <c r="DK478" s="695" t="str">
        <f t="shared" si="283"/>
        <v>2009</v>
      </c>
      <c r="DL478" s="726" t="str">
        <f t="shared" si="283"/>
        <v>% Chg</v>
      </c>
      <c r="DM478" s="695" t="str">
        <f t="shared" si="283"/>
        <v>2010</v>
      </c>
      <c r="DN478" s="726" t="str">
        <f t="shared" si="283"/>
        <v>% Chg</v>
      </c>
      <c r="DO478" s="695" t="str">
        <f t="shared" si="283"/>
        <v>2011</v>
      </c>
      <c r="DP478" s="726" t="str">
        <f t="shared" si="283"/>
        <v>% Chg</v>
      </c>
      <c r="DQ478" s="695" t="str">
        <f t="shared" si="283"/>
        <v>2012</v>
      </c>
      <c r="DR478" s="726" t="str">
        <f t="shared" si="283"/>
        <v>% Chg</v>
      </c>
      <c r="DS478" s="695" t="str">
        <f t="shared" si="283"/>
        <v>2013</v>
      </c>
      <c r="DT478" s="726" t="str">
        <f t="shared" si="283"/>
        <v>% Chg</v>
      </c>
      <c r="DU478" s="695" t="str">
        <f t="shared" si="283"/>
        <v>2014</v>
      </c>
      <c r="DV478" s="726" t="str">
        <f t="shared" si="283"/>
        <v>% Chg</v>
      </c>
      <c r="DW478" s="695" t="str">
        <f t="shared" si="283"/>
        <v>2015</v>
      </c>
      <c r="DX478" s="726" t="str">
        <f t="shared" si="283"/>
        <v>% Chg</v>
      </c>
      <c r="DY478" s="695" t="str">
        <f t="shared" si="283"/>
        <v>2016</v>
      </c>
      <c r="DZ478" s="726" t="str">
        <f t="shared" si="283"/>
        <v>% Chg</v>
      </c>
      <c r="EA478" s="695" t="str">
        <f t="shared" si="283"/>
        <v>2017</v>
      </c>
      <c r="EB478" s="726" t="str">
        <f t="shared" si="283"/>
        <v>% Chg</v>
      </c>
      <c r="EC478" s="695" t="str">
        <f t="shared" si="283"/>
        <v>2018E</v>
      </c>
      <c r="ED478" s="726" t="str">
        <f t="shared" si="283"/>
        <v>% Chg</v>
      </c>
      <c r="EE478" s="695" t="str">
        <f t="shared" si="283"/>
        <v>2019E</v>
      </c>
      <c r="EF478" s="726" t="str">
        <f t="shared" si="283"/>
        <v>% Chg</v>
      </c>
      <c r="EG478" s="695" t="str">
        <f t="shared" si="283"/>
        <v>2020E</v>
      </c>
      <c r="EH478" s="726" t="str">
        <f t="shared" si="283"/>
        <v>% Chg</v>
      </c>
      <c r="EI478" s="695" t="str">
        <f t="shared" si="283"/>
        <v>2021E</v>
      </c>
      <c r="EJ478" s="726" t="str">
        <f t="shared" si="283"/>
        <v>% Chg</v>
      </c>
      <c r="EK478" s="695" t="str">
        <f t="shared" si="283"/>
        <v>2022E</v>
      </c>
      <c r="EL478" s="726" t="str">
        <f t="shared" si="283"/>
        <v>% Chg</v>
      </c>
      <c r="EM478" s="696" t="str">
        <f t="shared" si="283"/>
        <v>(%)</v>
      </c>
    </row>
    <row r="479" spans="1:143" ht="12.75" hidden="1" customHeight="1" outlineLevel="1" x14ac:dyDescent="0.2">
      <c r="A479" s="700"/>
      <c r="B479" s="16"/>
      <c r="C479" s="507"/>
      <c r="D479" s="16"/>
      <c r="E479" s="687"/>
      <c r="F479" s="16"/>
      <c r="G479" s="687"/>
      <c r="H479" s="16"/>
      <c r="I479" s="687"/>
      <c r="J479" s="16"/>
      <c r="K479" s="507"/>
      <c r="L479" s="16"/>
      <c r="M479" s="507"/>
      <c r="N479" s="16"/>
      <c r="O479" s="507"/>
      <c r="P479" s="16"/>
      <c r="Q479" s="507"/>
      <c r="R479" s="16"/>
      <c r="S479" s="507"/>
      <c r="T479" s="16"/>
      <c r="U479" s="507"/>
      <c r="V479" s="16"/>
      <c r="W479" s="507"/>
      <c r="X479" s="16"/>
      <c r="Y479" s="507"/>
      <c r="Z479" s="16"/>
      <c r="AA479" s="507"/>
      <c r="AB479" s="16"/>
      <c r="AC479" s="507"/>
      <c r="AD479" s="16"/>
      <c r="AE479" s="507"/>
      <c r="AF479" s="16"/>
      <c r="AG479" s="507"/>
      <c r="AH479" s="16"/>
      <c r="AI479" s="507"/>
      <c r="AJ479" s="16"/>
      <c r="AK479" s="507"/>
      <c r="AL479" s="16"/>
      <c r="AM479" s="507"/>
      <c r="AN479" s="16"/>
      <c r="AO479" s="507"/>
      <c r="AP479" s="16"/>
      <c r="AQ479" s="507"/>
      <c r="AR479" s="16"/>
      <c r="AS479" s="507"/>
      <c r="AT479" s="16"/>
      <c r="AU479" s="507"/>
      <c r="AV479" s="16"/>
      <c r="AW479" s="507"/>
      <c r="AX479" s="16"/>
      <c r="AY479" s="507"/>
      <c r="AZ479" s="16"/>
      <c r="BA479" s="507"/>
      <c r="BB479" s="16"/>
      <c r="BC479" s="507"/>
      <c r="BD479" s="16"/>
      <c r="BE479" s="507"/>
      <c r="BF479" s="16"/>
      <c r="BG479" s="507"/>
      <c r="BH479" s="16"/>
      <c r="BI479" s="507"/>
      <c r="BJ479" s="16"/>
      <c r="BK479" s="507"/>
      <c r="BL479" s="16"/>
      <c r="BM479" s="507"/>
      <c r="BN479" s="16"/>
      <c r="BO479" s="507"/>
      <c r="BP479" s="16"/>
      <c r="BQ479" s="507"/>
      <c r="BR479" s="16"/>
      <c r="BS479" s="507"/>
      <c r="BT479" s="16"/>
      <c r="BU479" s="507"/>
      <c r="BV479" s="16"/>
      <c r="BW479" s="507"/>
      <c r="BX479" s="16"/>
      <c r="BY479" s="507"/>
      <c r="BZ479" s="16"/>
      <c r="CA479" s="507"/>
      <c r="CB479" s="16"/>
      <c r="CC479" s="507"/>
      <c r="CD479" s="16"/>
      <c r="CE479" s="507"/>
      <c r="CF479" s="16"/>
      <c r="CG479" s="507"/>
      <c r="CH479" s="16"/>
      <c r="CI479" s="507"/>
      <c r="CJ479" s="16"/>
      <c r="CK479" s="507"/>
      <c r="CL479" s="16"/>
      <c r="CM479" s="507"/>
      <c r="CN479" s="16"/>
      <c r="CO479" s="507"/>
      <c r="CP479" s="16"/>
      <c r="CQ479" s="507"/>
      <c r="CR479" s="16"/>
      <c r="CS479" s="507"/>
      <c r="CT479" s="16"/>
      <c r="CU479" s="507"/>
      <c r="CV479" s="16"/>
      <c r="CW479" s="507"/>
      <c r="CX479" s="16"/>
      <c r="CY479" s="507"/>
      <c r="CZ479" s="16"/>
      <c r="DA479" s="507"/>
      <c r="DB479" s="507"/>
      <c r="DC479" s="16"/>
      <c r="DD479" s="507"/>
      <c r="DE479" s="16"/>
      <c r="DF479" s="507"/>
      <c r="DG479" s="16"/>
      <c r="DH479" s="507"/>
      <c r="DI479" s="16"/>
      <c r="DJ479" s="507"/>
      <c r="DK479" s="16"/>
      <c r="DL479" s="507"/>
      <c r="DM479" s="16"/>
      <c r="DN479" s="507"/>
      <c r="DO479" s="16"/>
      <c r="DP479" s="507"/>
      <c r="DQ479" s="16"/>
      <c r="DR479" s="507"/>
      <c r="DS479" s="16"/>
      <c r="DT479" s="507"/>
      <c r="DU479" s="16"/>
      <c r="DV479" s="507"/>
      <c r="DW479" s="16"/>
      <c r="DX479" s="507"/>
      <c r="DY479" s="16"/>
      <c r="DZ479" s="507"/>
      <c r="EA479" s="16"/>
      <c r="EB479" s="507"/>
      <c r="EC479" s="16"/>
      <c r="ED479" s="507"/>
      <c r="EE479" s="16"/>
      <c r="EF479" s="507"/>
      <c r="EG479" s="16"/>
      <c r="EH479" s="507"/>
      <c r="EI479" s="16"/>
      <c r="EJ479" s="507"/>
      <c r="EK479" s="16"/>
      <c r="EL479" s="507"/>
      <c r="EM479" s="687"/>
    </row>
    <row r="480" spans="1:143" ht="12.75" hidden="1" customHeight="1" outlineLevel="1" x14ac:dyDescent="0.2">
      <c r="A480" s="700" t="str">
        <f>INPUT!B470</f>
        <v>REVENUES</v>
      </c>
      <c r="B480" s="16"/>
      <c r="C480" s="507"/>
      <c r="D480" s="16"/>
      <c r="E480" s="687"/>
      <c r="F480" s="16"/>
      <c r="G480" s="687"/>
      <c r="H480" s="16"/>
      <c r="I480" s="687"/>
      <c r="J480" s="16"/>
      <c r="K480" s="507"/>
      <c r="L480" s="16"/>
      <c r="M480" s="507"/>
      <c r="N480" s="16"/>
      <c r="O480" s="507"/>
      <c r="P480" s="16"/>
      <c r="Q480" s="507"/>
      <c r="R480" s="16"/>
      <c r="S480" s="507"/>
      <c r="T480" s="16"/>
      <c r="U480" s="507"/>
      <c r="V480" s="16"/>
      <c r="W480" s="507"/>
      <c r="X480" s="16"/>
      <c r="Y480" s="507"/>
      <c r="Z480" s="16"/>
      <c r="AA480" s="507"/>
      <c r="AB480" s="16"/>
      <c r="AC480" s="507"/>
      <c r="AD480" s="16"/>
      <c r="AE480" s="507"/>
      <c r="AF480" s="16"/>
      <c r="AG480" s="507"/>
      <c r="AH480" s="16"/>
      <c r="AI480" s="507"/>
      <c r="AJ480" s="16"/>
      <c r="AK480" s="507"/>
      <c r="AL480" s="16"/>
      <c r="AM480" s="507"/>
      <c r="AN480" s="16"/>
      <c r="AO480" s="507"/>
      <c r="AP480" s="16"/>
      <c r="AQ480" s="507"/>
      <c r="AR480" s="16"/>
      <c r="AS480" s="507"/>
      <c r="AT480" s="16"/>
      <c r="AU480" s="507"/>
      <c r="AV480" s="16"/>
      <c r="AW480" s="507"/>
      <c r="AX480" s="16"/>
      <c r="AY480" s="507"/>
      <c r="AZ480" s="16"/>
      <c r="BA480" s="507"/>
      <c r="BB480" s="16"/>
      <c r="BC480" s="507"/>
      <c r="BD480" s="16"/>
      <c r="BE480" s="507"/>
      <c r="BF480" s="16"/>
      <c r="BG480" s="507"/>
      <c r="BH480" s="16"/>
      <c r="BI480" s="507"/>
      <c r="BJ480" s="16"/>
      <c r="BK480" s="507"/>
      <c r="BL480" s="16"/>
      <c r="BM480" s="507"/>
      <c r="BN480" s="16"/>
      <c r="BO480" s="507"/>
      <c r="BP480" s="16"/>
      <c r="BQ480" s="507"/>
      <c r="BR480" s="16"/>
      <c r="BS480" s="507"/>
      <c r="BT480" s="16"/>
      <c r="BU480" s="507"/>
      <c r="BV480" s="16"/>
      <c r="BW480" s="507"/>
      <c r="BX480" s="16"/>
      <c r="BY480" s="507"/>
      <c r="BZ480" s="16"/>
      <c r="CA480" s="507"/>
      <c r="CB480" s="16"/>
      <c r="CC480" s="507"/>
      <c r="CD480" s="16"/>
      <c r="CE480" s="507"/>
      <c r="CF480" s="16"/>
      <c r="CG480" s="507"/>
      <c r="CH480" s="16"/>
      <c r="CI480" s="507"/>
      <c r="CJ480" s="16"/>
      <c r="CK480" s="507"/>
      <c r="CL480" s="16"/>
      <c r="CM480" s="507"/>
      <c r="CN480" s="16"/>
      <c r="CO480" s="507"/>
      <c r="CP480" s="16"/>
      <c r="CQ480" s="507"/>
      <c r="CR480" s="16"/>
      <c r="CS480" s="507"/>
      <c r="CT480" s="16"/>
      <c r="CU480" s="507"/>
      <c r="CV480" s="16"/>
      <c r="CW480" s="507"/>
      <c r="CX480" s="16"/>
      <c r="CY480" s="507"/>
      <c r="CZ480" s="16"/>
      <c r="DA480" s="507"/>
      <c r="DB480" s="507"/>
      <c r="DC480" s="16"/>
      <c r="DD480" s="507"/>
      <c r="DE480" s="16"/>
      <c r="DF480" s="507"/>
      <c r="DG480" s="16"/>
      <c r="DH480" s="507"/>
      <c r="DI480" s="16"/>
      <c r="DJ480" s="507"/>
      <c r="DK480" s="16"/>
      <c r="DL480" s="507"/>
      <c r="DM480" s="16"/>
      <c r="DN480" s="507"/>
      <c r="DO480" s="16"/>
      <c r="DP480" s="507"/>
      <c r="DQ480" s="16"/>
      <c r="DR480" s="507"/>
      <c r="DS480" s="16"/>
      <c r="DT480" s="507"/>
      <c r="DU480" s="16"/>
      <c r="DV480" s="507"/>
      <c r="DW480" s="16"/>
      <c r="DX480" s="507"/>
      <c r="DY480" s="16"/>
      <c r="DZ480" s="507"/>
      <c r="EA480" s="16"/>
      <c r="EB480" s="507"/>
      <c r="EC480" s="16"/>
      <c r="ED480" s="507"/>
      <c r="EE480" s="16"/>
      <c r="EF480" s="507"/>
      <c r="EG480" s="16"/>
      <c r="EH480" s="507"/>
      <c r="EI480" s="16"/>
      <c r="EJ480" s="507"/>
      <c r="EK480" s="16"/>
      <c r="EL480" s="507"/>
      <c r="EM480" s="687"/>
    </row>
    <row r="481" spans="1:143" ht="12.75" hidden="1" customHeight="1" outlineLevel="1" x14ac:dyDescent="0.2">
      <c r="A481" s="701" t="str">
        <f>INPUT!B471</f>
        <v>Earnings on Investments and Other</v>
      </c>
      <c r="B481" s="151">
        <f>INPUT!AY471</f>
        <v>12.9</v>
      </c>
      <c r="C481" s="507" t="str">
        <f>INPUT!AZ471</f>
        <v>NM</v>
      </c>
      <c r="D481" s="151">
        <f>INPUT!BA471</f>
        <v>48.8</v>
      </c>
      <c r="E481" s="687">
        <f>INPUT!BB471</f>
        <v>-19.071310116086238</v>
      </c>
      <c r="F481" s="151">
        <f>INPUT!BC471</f>
        <v>32.700000000000003</v>
      </c>
      <c r="G481" s="687">
        <f>INPUT!BD471</f>
        <v>21.111111111111125</v>
      </c>
      <c r="H481" s="151">
        <f>INPUT!BE471</f>
        <v>26.8</v>
      </c>
      <c r="I481" s="687" t="str">
        <f>INPUT!BF471</f>
        <v>NM</v>
      </c>
      <c r="J481" s="151">
        <f>INPUT!BG471</f>
        <v>90.199999999999989</v>
      </c>
      <c r="K481" s="687" t="str">
        <f>INPUT!BH471</f>
        <v>NM</v>
      </c>
      <c r="L481" s="151">
        <f>INPUT!BI471</f>
        <v>105</v>
      </c>
      <c r="M481" s="687" t="str">
        <f>INPUT!BJ471</f>
        <v>NM</v>
      </c>
      <c r="N481" s="151">
        <f>INPUT!BK471</f>
        <v>94.300000000000011</v>
      </c>
      <c r="O481" s="687" t="str">
        <f>INPUT!BL471</f>
        <v>NM</v>
      </c>
      <c r="P481" s="151">
        <f>INPUT!BM471</f>
        <v>109.30000000000001</v>
      </c>
      <c r="Q481" s="687" t="str">
        <f>INPUT!BN471</f>
        <v>NM</v>
      </c>
      <c r="R481" s="151">
        <f>INPUT!BO471</f>
        <v>99.5</v>
      </c>
      <c r="S481" s="687">
        <f>INPUT!BP471</f>
        <v>10.310421286031058</v>
      </c>
      <c r="T481" s="151">
        <f>INPUT!BQ471</f>
        <v>91.699999999999989</v>
      </c>
      <c r="U481" s="687">
        <f>INPUT!BR471</f>
        <v>-12.666666666666682</v>
      </c>
      <c r="V481" s="151">
        <f>INPUT!BS471</f>
        <v>117.79999999999998</v>
      </c>
      <c r="W481" s="687">
        <f>INPUT!BT471</f>
        <v>24.920466595970268</v>
      </c>
      <c r="X481" s="151">
        <f>INPUT!BU471</f>
        <v>103.19999999999999</v>
      </c>
      <c r="Y481" s="687">
        <f>INPUT!BV471</f>
        <v>-5.580969807868275</v>
      </c>
      <c r="Z481" s="151">
        <f>INPUT!BW471</f>
        <v>87</v>
      </c>
      <c r="AA481" s="687">
        <f>INPUT!BX471</f>
        <v>-12.562814070351758</v>
      </c>
      <c r="AB481" s="151">
        <f>INPUT!BY471</f>
        <v>97</v>
      </c>
      <c r="AC481" s="687">
        <f>INPUT!BZ471</f>
        <v>5.7797164667393819</v>
      </c>
      <c r="AD481" s="151">
        <f>INPUT!CA471</f>
        <v>101.3</v>
      </c>
      <c r="AE481" s="687">
        <f>INPUT!CB471</f>
        <v>-14.006791171477072</v>
      </c>
      <c r="AF481" s="151">
        <f>INPUT!CC471</f>
        <v>108.10000000000001</v>
      </c>
      <c r="AG481" s="687">
        <f>INPUT!CD471</f>
        <v>4.7480620155039066</v>
      </c>
      <c r="AH481" s="151">
        <f>INPUT!CE471</f>
        <v>105.7</v>
      </c>
      <c r="AI481" s="507">
        <f>INPUT!CF471</f>
        <v>21.494252873563212</v>
      </c>
      <c r="AJ481" s="151">
        <f>INPUT!CG471</f>
        <v>102.6</v>
      </c>
      <c r="AK481" s="507">
        <f>INPUT!CH471</f>
        <v>5.7731958762886615</v>
      </c>
      <c r="AL481" s="151">
        <f>INPUT!CI471</f>
        <v>103.5</v>
      </c>
      <c r="AM481" s="507">
        <f>INPUT!CJ471</f>
        <v>2.1717670286278468</v>
      </c>
      <c r="AN481" s="151">
        <f>INPUT!CK471</f>
        <v>103.39999999999999</v>
      </c>
      <c r="AO481" s="507">
        <f>INPUT!CL471</f>
        <v>-4.347826086956541</v>
      </c>
      <c r="AP481" s="151">
        <f>INPUT!CM471</f>
        <v>100</v>
      </c>
      <c r="AQ481" s="507">
        <f>INPUT!CN471</f>
        <v>-5.392620624408706</v>
      </c>
      <c r="AR481" s="151">
        <f>INPUT!CO471</f>
        <v>96</v>
      </c>
      <c r="AS481" s="507">
        <f>INPUT!CP471</f>
        <v>-6.4327485380116904</v>
      </c>
      <c r="AT481" s="151">
        <f>INPUT!CQ471</f>
        <v>103.9</v>
      </c>
      <c r="AU481" s="507">
        <f>INPUT!CR471</f>
        <v>0.38647342995170586</v>
      </c>
      <c r="AV481" s="151">
        <f>INPUT!CS471</f>
        <v>91</v>
      </c>
      <c r="AW481" s="507">
        <f>INPUT!CT471</f>
        <v>-11.992263056092833</v>
      </c>
      <c r="AX481" s="151">
        <f>INPUT!CU471</f>
        <v>88</v>
      </c>
      <c r="AY481" s="507">
        <f>INPUT!CV471</f>
        <v>-12</v>
      </c>
      <c r="AZ481" s="151">
        <f>INPUT!CW471</f>
        <v>95</v>
      </c>
      <c r="BA481" s="507">
        <f>INPUT!CX471</f>
        <v>-1.041666666666663</v>
      </c>
      <c r="BB481" s="151">
        <f>INPUT!CY471</f>
        <v>83</v>
      </c>
      <c r="BC481" s="507">
        <f>INPUT!CZ471</f>
        <v>-20.11549566891242</v>
      </c>
      <c r="BD481" s="151">
        <f>INPUT!DA471</f>
        <v>85</v>
      </c>
      <c r="BE481" s="507">
        <f>INPUT!DB471</f>
        <v>-6.5934065934065922</v>
      </c>
      <c r="BF481" s="151">
        <f>INPUT!DC471</f>
        <v>84</v>
      </c>
      <c r="BG481" s="507">
        <f>INPUT!DD471</f>
        <v>-4.5454545454545414</v>
      </c>
      <c r="BH481" s="151">
        <f>INPUT!DE471</f>
        <v>84</v>
      </c>
      <c r="BI481" s="507">
        <f>INPUT!DF471</f>
        <v>-11.578947368421055</v>
      </c>
      <c r="BJ481" s="151">
        <f>INPUT!DG471</f>
        <v>82</v>
      </c>
      <c r="BK481" s="507">
        <f>INPUT!DH471</f>
        <v>-1.2048192771084376</v>
      </c>
      <c r="BL481" s="151">
        <f>INPUT!DI471</f>
        <v>93</v>
      </c>
      <c r="BM481" s="507">
        <f>INPUT!DJ471</f>
        <v>9.4117647058823639</v>
      </c>
      <c r="BN481" s="151">
        <f>INPUT!DK471</f>
        <v>88</v>
      </c>
      <c r="BO481" s="507">
        <f>INPUT!DL471</f>
        <v>4.7619047619047672</v>
      </c>
      <c r="BP481" s="151">
        <f>INPUT!DM471</f>
        <v>88</v>
      </c>
      <c r="BQ481" s="507">
        <f>INPUT!DN471</f>
        <v>4.7619047619047672</v>
      </c>
      <c r="BR481" s="151">
        <f>INPUT!DO471</f>
        <v>85</v>
      </c>
      <c r="BS481" s="507">
        <f>INPUT!DP471</f>
        <v>3.6585365853658569</v>
      </c>
      <c r="BT481" s="151">
        <f>INPUT!DQ471</f>
        <v>99</v>
      </c>
      <c r="BU481" s="507">
        <f>INPUT!DR471</f>
        <v>6.4516129032258007</v>
      </c>
      <c r="BV481" s="151">
        <f>INPUT!DS471</f>
        <v>77</v>
      </c>
      <c r="BW481" s="507">
        <f>INPUT!DT471</f>
        <v>-12.5</v>
      </c>
      <c r="BX481" s="151">
        <f>INPUT!DU471</f>
        <v>78</v>
      </c>
      <c r="BY481" s="507">
        <f>INPUT!DV471</f>
        <v>-11.363636363636365</v>
      </c>
      <c r="BZ481" s="151">
        <f>INPUT!DW471</f>
        <v>78</v>
      </c>
      <c r="CA481" s="507">
        <f>INPUT!DX471</f>
        <v>78</v>
      </c>
      <c r="CB481" s="151">
        <f>INPUT!DY471</f>
        <v>68</v>
      </c>
      <c r="CC481" s="507">
        <f>INPUT!DZ471</f>
        <v>-31.313131313131315</v>
      </c>
      <c r="CD481" s="151">
        <f>INPUT!EA471</f>
        <v>64</v>
      </c>
      <c r="CE481" s="507">
        <f>INPUT!EB471</f>
        <v>-16.883116883116877</v>
      </c>
      <c r="CF481" s="151">
        <f>INPUT!EC471</f>
        <v>61</v>
      </c>
      <c r="CG481" s="507">
        <f>INPUT!ED471</f>
        <v>-21.794871794871796</v>
      </c>
      <c r="CH481" s="151">
        <f>INPUT!EE471</f>
        <v>66</v>
      </c>
      <c r="CI481" s="507">
        <f>INPUT!EF471</f>
        <v>-15.384615384615385</v>
      </c>
      <c r="CJ481" s="151">
        <f>INPUT!EG471</f>
        <v>69</v>
      </c>
      <c r="CK481" s="507">
        <f>INPUT!EH471</f>
        <v>1.4705882352941124</v>
      </c>
      <c r="CL481" s="151">
        <f>INPUT!EI471</f>
        <v>70</v>
      </c>
      <c r="CM481" s="507">
        <f>INPUT!EJ471</f>
        <v>9.375</v>
      </c>
      <c r="CN481" s="151">
        <f>INPUT!EK471</f>
        <v>63</v>
      </c>
      <c r="CO481" s="507">
        <f>INPUT!EL471</f>
        <v>3.2786885245901676</v>
      </c>
      <c r="CP481" s="151">
        <f>INPUT!EM471</f>
        <v>65</v>
      </c>
      <c r="CQ481" s="507">
        <f>INPUT!EN471</f>
        <v>-1.5151515151515138</v>
      </c>
      <c r="CR481" s="151">
        <f>INPUT!EO471</f>
        <v>68</v>
      </c>
      <c r="CS481" s="507">
        <f>INPUT!EP471</f>
        <v>-1.4492753623188359</v>
      </c>
      <c r="CT481" s="151">
        <f>INPUT!EQ471</f>
        <v>68.339999999999989</v>
      </c>
      <c r="CU481" s="507">
        <f>INPUT!ER471</f>
        <v>-2.371428571428591</v>
      </c>
      <c r="CV481" s="151">
        <f>INPUT!ES471</f>
        <v>68.681699999999978</v>
      </c>
      <c r="CW481" s="507">
        <f>INPUT!ET471</f>
        <v>9.0185714285713878</v>
      </c>
      <c r="CX481" s="151">
        <f>INPUT!EU471</f>
        <v>69.025108499999973</v>
      </c>
      <c r="CY481" s="507">
        <f>INPUT!EV471</f>
        <v>6.1924746153845689</v>
      </c>
      <c r="CZ481" s="151">
        <f>INPUT!EW471</f>
        <v>69.370234042499959</v>
      </c>
      <c r="DA481" s="507">
        <f>INPUT!EX471</f>
        <v>2.0150500624999346</v>
      </c>
      <c r="DB481" s="507"/>
      <c r="DC481" s="151">
        <f>INPUT!FP471</f>
        <v>99.6</v>
      </c>
      <c r="DD481" s="687" t="str">
        <f>INPUT!FQ471</f>
        <v>NA</v>
      </c>
      <c r="DE481" s="151">
        <f>INPUT!FR471</f>
        <v>121.2</v>
      </c>
      <c r="DF481" s="687">
        <f>INPUT!FS471</f>
        <v>21.68674698795181</v>
      </c>
      <c r="DG481" s="151">
        <f>INPUT!FT471</f>
        <v>398.8</v>
      </c>
      <c r="DH481" s="687" t="str">
        <f>INPUT!FU471</f>
        <v>NM</v>
      </c>
      <c r="DI481" s="151">
        <f>INPUT!FV471</f>
        <v>412.2</v>
      </c>
      <c r="DJ481" s="687">
        <f>INPUT!FW471</f>
        <v>3.360080240722163</v>
      </c>
      <c r="DK481" s="151">
        <f>INPUT!FX471</f>
        <v>393.40000000000003</v>
      </c>
      <c r="DL481" s="507">
        <f>INPUT!FY471</f>
        <v>-4.5608927704997466</v>
      </c>
      <c r="DM481" s="151">
        <f>INPUT!FZ471</f>
        <v>415.2</v>
      </c>
      <c r="DN481" s="507">
        <f>INPUT!GA471</f>
        <v>5.5414336553126553</v>
      </c>
      <c r="DO481" s="151">
        <f>INPUT!GB471</f>
        <v>390.9</v>
      </c>
      <c r="DP481" s="507">
        <f>INPUT!GC471</f>
        <v>-5.8526011560693707</v>
      </c>
      <c r="DQ481" s="151">
        <f>INPUT!GD471</f>
        <v>351</v>
      </c>
      <c r="DR481" s="507">
        <f>INPUT!GE471</f>
        <v>-10.207214121258623</v>
      </c>
      <c r="DS481" s="151">
        <f>INPUT!GF471</f>
        <v>343</v>
      </c>
      <c r="DT481" s="507">
        <f>INPUT!GG471</f>
        <v>-2.2792022792022748</v>
      </c>
      <c r="DU481" s="151">
        <f>INPUT!GH471</f>
        <v>360</v>
      </c>
      <c r="DV481" s="507">
        <f>INPUT!GI471</f>
        <v>4.9562682215743337</v>
      </c>
      <c r="DW481" s="151">
        <f>INPUT!GJ471</f>
        <v>301</v>
      </c>
      <c r="DX481" s="507">
        <f>INPUT!GK471</f>
        <v>-16.388888888888886</v>
      </c>
      <c r="DY481" s="151">
        <f>INPUT!GL471</f>
        <v>260</v>
      </c>
      <c r="DZ481" s="507">
        <f>INPUT!GM471</f>
        <v>-13.621262458471762</v>
      </c>
      <c r="EA481" s="151">
        <f>INPUT!GN471</f>
        <v>266</v>
      </c>
      <c r="EB481" s="507">
        <f>INPUT!GO471</f>
        <v>2.3076923076922995</v>
      </c>
      <c r="EC481" s="151">
        <f>INPUT!GP471</f>
        <v>275.41704254249987</v>
      </c>
      <c r="ED481" s="507">
        <f>INPUT!GQ471</f>
        <v>3.54024155733077</v>
      </c>
      <c r="EE481" s="151">
        <f>INPUT!GR471</f>
        <v>278.17121296792487</v>
      </c>
      <c r="EF481" s="507">
        <f>INPUT!GS471</f>
        <v>1.0000000000000009</v>
      </c>
      <c r="EG481" s="151">
        <f>INPUT!GT471</f>
        <v>286.51634935696262</v>
      </c>
      <c r="EH481" s="507">
        <f>INPUT!GU471</f>
        <v>3.0000000000000027</v>
      </c>
      <c r="EI481" s="151">
        <f>INPUT!GV471</f>
        <v>295.11183983767148</v>
      </c>
      <c r="EJ481" s="507">
        <f>INPUT!GW471</f>
        <v>3.0000000000000027</v>
      </c>
      <c r="EK481" s="151">
        <f>INPUT!GX471</f>
        <v>303.96519503280166</v>
      </c>
      <c r="EL481" s="507">
        <f>INPUT!GY471</f>
        <v>3.0000000000000027</v>
      </c>
      <c r="EM481" s="687">
        <f>INPUT!GZ471</f>
        <v>2.7042568248131893</v>
      </c>
    </row>
    <row r="482" spans="1:143" ht="12.75" hidden="1" customHeight="1" outlineLevel="1" x14ac:dyDescent="0.2">
      <c r="A482" s="701" t="str">
        <f>INPUT!B472</f>
        <v>Amort of Deferred Gain on Reinsurance</v>
      </c>
      <c r="B482" s="151">
        <f>INPUT!AY472</f>
        <v>18.8</v>
      </c>
      <c r="C482" s="507">
        <f>INPUT!AZ472</f>
        <v>-0.52910052910051242</v>
      </c>
      <c r="D482" s="151">
        <f>INPUT!BA472</f>
        <v>18.8</v>
      </c>
      <c r="E482" s="687">
        <f>INPUT!BB472</f>
        <v>-0.52910052910051242</v>
      </c>
      <c r="F482" s="151">
        <f>INPUT!BC472</f>
        <v>18.8</v>
      </c>
      <c r="G482" s="687">
        <f>INPUT!BD472</f>
        <v>-0.52910052910051242</v>
      </c>
      <c r="H482" s="151">
        <f>INPUT!BE472</f>
        <v>18.8</v>
      </c>
      <c r="I482" s="687">
        <f>INPUT!BF472</f>
        <v>-0.52910052910051242</v>
      </c>
      <c r="J482" s="151">
        <f>INPUT!BG472</f>
        <v>18.600000000000001</v>
      </c>
      <c r="K482" s="687">
        <f>INPUT!BH472</f>
        <v>-1.0638297872340385</v>
      </c>
      <c r="L482" s="151">
        <f>INPUT!BI472</f>
        <v>18.600000000000001</v>
      </c>
      <c r="M482" s="687">
        <f>INPUT!BJ472</f>
        <v>-1.0638297872340385</v>
      </c>
      <c r="N482" s="151">
        <f>INPUT!BK472</f>
        <v>18.600000000000001</v>
      </c>
      <c r="O482" s="687">
        <f>INPUT!BL472</f>
        <v>-1.0638297872340385</v>
      </c>
      <c r="P482" s="151">
        <f>INPUT!BM472</f>
        <v>18.600000000000001</v>
      </c>
      <c r="Q482" s="687">
        <f>INPUT!BN472</f>
        <v>-1.0638297872340385</v>
      </c>
      <c r="R482" s="151">
        <f>INPUT!BO472</f>
        <v>18.5</v>
      </c>
      <c r="S482" s="687">
        <f>INPUT!BP472</f>
        <v>-0.53763440860216116</v>
      </c>
      <c r="T482" s="151">
        <f>INPUT!BQ472</f>
        <v>18.399999999999999</v>
      </c>
      <c r="U482" s="687">
        <f>INPUT!BR472</f>
        <v>-1.0752688172043112</v>
      </c>
      <c r="V482" s="151">
        <f>INPUT!BS472</f>
        <v>18.399999999999999</v>
      </c>
      <c r="W482" s="687">
        <f>INPUT!BT472</f>
        <v>-1.0752688172043112</v>
      </c>
      <c r="X482" s="151">
        <f>INPUT!BU472</f>
        <v>18.399999999999999</v>
      </c>
      <c r="Y482" s="687">
        <f>INPUT!BV472</f>
        <v>-1.0752688172043112</v>
      </c>
      <c r="Z482" s="151">
        <f>INPUT!BW472</f>
        <v>18.399999999999999</v>
      </c>
      <c r="AA482" s="687">
        <f>INPUT!BX472</f>
        <v>-0.54054054054054612</v>
      </c>
      <c r="AB482" s="151">
        <f>INPUT!BY472</f>
        <v>18.399999999999999</v>
      </c>
      <c r="AC482" s="687">
        <f>INPUT!BZ472</f>
        <v>0</v>
      </c>
      <c r="AD482" s="151">
        <f>INPUT!CA472</f>
        <v>18.3</v>
      </c>
      <c r="AE482" s="687">
        <f>INPUT!CB472</f>
        <v>-0.54347826086955653</v>
      </c>
      <c r="AF482" s="151">
        <f>INPUT!CC472</f>
        <v>18.3</v>
      </c>
      <c r="AG482" s="687">
        <f>INPUT!CD472</f>
        <v>-0.54347826086955653</v>
      </c>
      <c r="AH482" s="151">
        <f>INPUT!CE472</f>
        <v>18.2</v>
      </c>
      <c r="AI482" s="507">
        <f>INPUT!CF472</f>
        <v>-1.0869565217391242</v>
      </c>
      <c r="AJ482" s="151">
        <f>INPUT!CG472</f>
        <v>18</v>
      </c>
      <c r="AK482" s="507">
        <f>INPUT!CH472</f>
        <v>-2.1739130434782483</v>
      </c>
      <c r="AL482" s="151">
        <f>INPUT!CI472</f>
        <v>18.100000000000001</v>
      </c>
      <c r="AM482" s="507">
        <f>INPUT!CJ472</f>
        <v>-1.0928961748633892</v>
      </c>
      <c r="AN482" s="151">
        <f>INPUT!CK472</f>
        <v>18.2</v>
      </c>
      <c r="AO482" s="507">
        <f>INPUT!CL472</f>
        <v>-0.5464480874317057</v>
      </c>
      <c r="AP482" s="151">
        <f>INPUT!CM472</f>
        <v>18</v>
      </c>
      <c r="AQ482" s="507">
        <f>INPUT!CN472</f>
        <v>-1.098901098901095</v>
      </c>
      <c r="AR482" s="151">
        <f>INPUT!CO472</f>
        <v>18</v>
      </c>
      <c r="AS482" s="507">
        <f>INPUT!CP472</f>
        <v>0</v>
      </c>
      <c r="AT482" s="151">
        <f>INPUT!CQ472</f>
        <v>18.100000000000001</v>
      </c>
      <c r="AU482" s="507">
        <f>INPUT!CR472</f>
        <v>0</v>
      </c>
      <c r="AV482" s="151">
        <f>INPUT!CS472</f>
        <v>18</v>
      </c>
      <c r="AW482" s="507">
        <f>INPUT!CT472</f>
        <v>-1.098901098901095</v>
      </c>
      <c r="AX482" s="151">
        <f>INPUT!CU472</f>
        <v>18</v>
      </c>
      <c r="AY482" s="507">
        <f>INPUT!CV472</f>
        <v>0</v>
      </c>
      <c r="AZ482" s="151">
        <f>INPUT!CW472</f>
        <v>18</v>
      </c>
      <c r="BA482" s="507">
        <f>INPUT!CX472</f>
        <v>0</v>
      </c>
      <c r="BB482" s="151">
        <f>INPUT!CY472</f>
        <v>18</v>
      </c>
      <c r="BC482" s="507">
        <f>INPUT!CZ472</f>
        <v>-0.55248618784531356</v>
      </c>
      <c r="BD482" s="151">
        <f>INPUT!DA472</f>
        <v>18</v>
      </c>
      <c r="BE482" s="507">
        <f>INPUT!DB472</f>
        <v>0</v>
      </c>
      <c r="BF482" s="151">
        <f>INPUT!DC472</f>
        <v>18</v>
      </c>
      <c r="BG482" s="507">
        <f>INPUT!DD472</f>
        <v>0</v>
      </c>
      <c r="BH482" s="151">
        <f>INPUT!DE472</f>
        <v>18</v>
      </c>
      <c r="BI482" s="507">
        <f>INPUT!DF472</f>
        <v>0</v>
      </c>
      <c r="BJ482" s="151">
        <f>INPUT!DG472</f>
        <v>18</v>
      </c>
      <c r="BK482" s="507">
        <f>INPUT!DH472</f>
        <v>0</v>
      </c>
      <c r="BL482" s="151">
        <f>INPUT!DI472</f>
        <v>18</v>
      </c>
      <c r="BM482" s="507">
        <f>INPUT!DJ472</f>
        <v>0</v>
      </c>
      <c r="BN482" s="151">
        <f>INPUT!DK472</f>
        <v>18</v>
      </c>
      <c r="BO482" s="507">
        <f>INPUT!DL472</f>
        <v>0</v>
      </c>
      <c r="BP482" s="151">
        <f>INPUT!DM472</f>
        <v>18</v>
      </c>
      <c r="BQ482" s="507">
        <f>INPUT!DN472</f>
        <v>0</v>
      </c>
      <c r="BR482" s="151">
        <f>INPUT!DO472</f>
        <v>18</v>
      </c>
      <c r="BS482" s="507">
        <f>INPUT!DP472</f>
        <v>0</v>
      </c>
      <c r="BT482" s="151">
        <f>INPUT!DQ472</f>
        <v>18</v>
      </c>
      <c r="BU482" s="507">
        <f>INPUT!DR472</f>
        <v>0</v>
      </c>
      <c r="BV482" s="151">
        <f>INPUT!DS472</f>
        <v>18</v>
      </c>
      <c r="BW482" s="507">
        <f>INPUT!DT472</f>
        <v>0</v>
      </c>
      <c r="BX482" s="151">
        <f>INPUT!DU472</f>
        <v>18</v>
      </c>
      <c r="BY482" s="507">
        <f>INPUT!DV472</f>
        <v>0</v>
      </c>
      <c r="BZ482" s="151">
        <f>INPUT!DW472</f>
        <v>18</v>
      </c>
      <c r="CA482" s="507">
        <f>INPUT!DX472</f>
        <v>18</v>
      </c>
      <c r="CB482" s="151">
        <f>INPUT!DY472</f>
        <v>18</v>
      </c>
      <c r="CC482" s="507">
        <f>INPUT!DZ472</f>
        <v>0</v>
      </c>
      <c r="CD482" s="151">
        <f>INPUT!EA472</f>
        <v>18</v>
      </c>
      <c r="CE482" s="507">
        <f>INPUT!EB472</f>
        <v>0</v>
      </c>
      <c r="CF482" s="151">
        <f>INPUT!EC472</f>
        <v>18</v>
      </c>
      <c r="CG482" s="507">
        <f>INPUT!ED472</f>
        <v>0</v>
      </c>
      <c r="CH482" s="151">
        <f>INPUT!EE472</f>
        <v>18</v>
      </c>
      <c r="CI482" s="507">
        <f>INPUT!EF472</f>
        <v>0</v>
      </c>
      <c r="CJ482" s="151">
        <f>INPUT!EG472</f>
        <v>18</v>
      </c>
      <c r="CK482" s="507">
        <f>INPUT!EH472</f>
        <v>0</v>
      </c>
      <c r="CL482" s="151">
        <f>INPUT!EI472</f>
        <v>18</v>
      </c>
      <c r="CM482" s="507">
        <f>INPUT!EJ472</f>
        <v>0</v>
      </c>
      <c r="CN482" s="151">
        <f>INPUT!EK472</f>
        <v>4</v>
      </c>
      <c r="CO482" s="507" t="str">
        <f>INPUT!EL472</f>
        <v>NM</v>
      </c>
      <c r="CP482" s="151">
        <f>INPUT!EM472</f>
        <v>0</v>
      </c>
      <c r="CQ482" s="507" t="str">
        <f>INPUT!EN472</f>
        <v>NM</v>
      </c>
      <c r="CR482" s="151">
        <f>INPUT!EO472</f>
        <v>0</v>
      </c>
      <c r="CS482" s="507" t="str">
        <f>INPUT!EP472</f>
        <v>NM</v>
      </c>
      <c r="CT482" s="151">
        <f>INPUT!EQ472</f>
        <v>0</v>
      </c>
      <c r="CU482" s="507" t="str">
        <f>INPUT!ER472</f>
        <v>NM</v>
      </c>
      <c r="CV482" s="151">
        <f>INPUT!ES472</f>
        <v>0</v>
      </c>
      <c r="CW482" s="507" t="str">
        <f>INPUT!ET472</f>
        <v>NM</v>
      </c>
      <c r="CX482" s="151">
        <f>INPUT!EU472</f>
        <v>0</v>
      </c>
      <c r="CY482" s="507" t="str">
        <f>INPUT!EV472</f>
        <v>NA</v>
      </c>
      <c r="CZ482" s="151">
        <f>INPUT!EW472</f>
        <v>0</v>
      </c>
      <c r="DA482" s="507" t="str">
        <f>INPUT!EX472</f>
        <v>NA</v>
      </c>
      <c r="DB482" s="507"/>
      <c r="DC482" s="151">
        <f>INPUT!FP472</f>
        <v>75.599999999999994</v>
      </c>
      <c r="DD482" s="687" t="str">
        <f>INPUT!FQ472</f>
        <v>NA</v>
      </c>
      <c r="DE482" s="151">
        <f>INPUT!FR472</f>
        <v>75.2</v>
      </c>
      <c r="DF482" s="687">
        <f>INPUT!FS472</f>
        <v>-0.52910052910051242</v>
      </c>
      <c r="DG482" s="151">
        <f>INPUT!FT472</f>
        <v>74.400000000000006</v>
      </c>
      <c r="DH482" s="687">
        <f>INPUT!FU472</f>
        <v>-1.0638297872340385</v>
      </c>
      <c r="DI482" s="151">
        <f>INPUT!FV472</f>
        <v>73.699999999999989</v>
      </c>
      <c r="DJ482" s="687">
        <f>INPUT!FW472</f>
        <v>-0.94086021505378481</v>
      </c>
      <c r="DK482" s="151">
        <f>INPUT!FX472</f>
        <v>73.399999999999991</v>
      </c>
      <c r="DL482" s="507">
        <f>INPUT!FY472</f>
        <v>-0.4070556309362261</v>
      </c>
      <c r="DM482" s="151">
        <f>INPUT!FZ472</f>
        <v>72.5</v>
      </c>
      <c r="DN482" s="507">
        <f>INPUT!GA472</f>
        <v>-1.2261580381471293</v>
      </c>
      <c r="DO482" s="151">
        <f>INPUT!GB472</f>
        <v>72.099999999999994</v>
      </c>
      <c r="DP482" s="507">
        <f>INPUT!GC472</f>
        <v>-0.55172413793104225</v>
      </c>
      <c r="DQ482" s="151">
        <f>INPUT!GD472</f>
        <v>72</v>
      </c>
      <c r="DR482" s="507">
        <f>INPUT!GE472</f>
        <v>-0.13869625520109841</v>
      </c>
      <c r="DS482" s="151">
        <f>INPUT!GF472</f>
        <v>72</v>
      </c>
      <c r="DT482" s="507">
        <f>INPUT!GG472</f>
        <v>0</v>
      </c>
      <c r="DU482" s="151">
        <f>INPUT!GH472</f>
        <v>72</v>
      </c>
      <c r="DV482" s="507">
        <f>INPUT!GI472</f>
        <v>0</v>
      </c>
      <c r="DW482" s="151">
        <f>INPUT!GJ472</f>
        <v>72</v>
      </c>
      <c r="DX482" s="507">
        <f>INPUT!GK472</f>
        <v>0</v>
      </c>
      <c r="DY482" s="151">
        <f>INPUT!GL472</f>
        <v>72</v>
      </c>
      <c r="DZ482" s="507">
        <f>INPUT!GM472</f>
        <v>0</v>
      </c>
      <c r="EA482" s="151">
        <f>INPUT!GN472</f>
        <v>22</v>
      </c>
      <c r="EB482" s="507" t="str">
        <f>INPUT!GO472</f>
        <v>NM</v>
      </c>
      <c r="EC482" s="151">
        <f>INPUT!GP472</f>
        <v>0</v>
      </c>
      <c r="ED482" s="507" t="str">
        <f>INPUT!GQ472</f>
        <v>NM</v>
      </c>
      <c r="EE482" s="151">
        <f>INPUT!GR472</f>
        <v>0</v>
      </c>
      <c r="EF482" s="507" t="str">
        <f>INPUT!GS472</f>
        <v>NA</v>
      </c>
      <c r="EG482" s="151">
        <f>INPUT!GT472</f>
        <v>0</v>
      </c>
      <c r="EH482" s="507" t="str">
        <f>INPUT!GU472</f>
        <v>NA</v>
      </c>
      <c r="EI482" s="151">
        <f>INPUT!GV472</f>
        <v>0</v>
      </c>
      <c r="EJ482" s="507" t="str">
        <f>INPUT!GW472</f>
        <v>NA</v>
      </c>
      <c r="EK482" s="151">
        <f>INPUT!GX472</f>
        <v>0</v>
      </c>
      <c r="EL482" s="507" t="str">
        <f>INPUT!GY472</f>
        <v>NA</v>
      </c>
      <c r="EM482" s="687" t="str">
        <f>INPUT!GZ472</f>
        <v>NM</v>
      </c>
    </row>
    <row r="483" spans="1:143" ht="12.75" hidden="1" customHeight="1" outlineLevel="1" x14ac:dyDescent="0.2">
      <c r="A483" s="700" t="str">
        <f>INPUT!B473</f>
        <v>Total Revenue</v>
      </c>
      <c r="B483" s="16">
        <f>INPUT!AY473</f>
        <v>31.700000000000003</v>
      </c>
      <c r="C483" s="507">
        <f>INPUT!AZ473</f>
        <v>49.52830188679247</v>
      </c>
      <c r="D483" s="16">
        <f>INPUT!BA473</f>
        <v>67.599999999999994</v>
      </c>
      <c r="E483" s="687">
        <f>INPUT!BB473</f>
        <v>-14.64646464646464</v>
      </c>
      <c r="F483" s="16">
        <f>INPUT!BC473</f>
        <v>51.5</v>
      </c>
      <c r="G483" s="687">
        <f>INPUT!BD473</f>
        <v>12.200435729847502</v>
      </c>
      <c r="H483" s="16">
        <f>INPUT!BE473</f>
        <v>45.6</v>
      </c>
      <c r="I483" s="687">
        <f>INPUT!BF473</f>
        <v>57.785467128027705</v>
      </c>
      <c r="J483" s="16">
        <f>INPUT!BG473</f>
        <v>108.79999999999998</v>
      </c>
      <c r="K483" s="687" t="str">
        <f>INPUT!BH473</f>
        <v>NM</v>
      </c>
      <c r="L483" s="16">
        <f>INPUT!BI473</f>
        <v>123.6</v>
      </c>
      <c r="M483" s="687">
        <f>INPUT!BJ473</f>
        <v>82.84023668639054</v>
      </c>
      <c r="N483" s="16">
        <f>INPUT!BK473</f>
        <v>112.9</v>
      </c>
      <c r="O483" s="687" t="str">
        <f>INPUT!BL473</f>
        <v>NM</v>
      </c>
      <c r="P483" s="16">
        <f>INPUT!BM473</f>
        <v>127.9</v>
      </c>
      <c r="Q483" s="687" t="str">
        <f>INPUT!BN473</f>
        <v>NM</v>
      </c>
      <c r="R483" s="16">
        <f>INPUT!BO473</f>
        <v>118</v>
      </c>
      <c r="S483" s="687">
        <f>INPUT!BP473</f>
        <v>8.4558823529411917</v>
      </c>
      <c r="T483" s="16">
        <f>INPUT!BQ473</f>
        <v>110.1</v>
      </c>
      <c r="U483" s="687">
        <f>INPUT!BR473</f>
        <v>-10.922330097087373</v>
      </c>
      <c r="V483" s="16">
        <f>INPUT!BS473</f>
        <v>136.19999999999999</v>
      </c>
      <c r="W483" s="687">
        <f>INPUT!BT473</f>
        <v>20.637732506643026</v>
      </c>
      <c r="X483" s="16">
        <f>INPUT!BU473</f>
        <v>121.6</v>
      </c>
      <c r="Y483" s="687">
        <f>INPUT!BV473</f>
        <v>-4.9257232212666207</v>
      </c>
      <c r="Z483" s="16">
        <f>INPUT!BW473</f>
        <v>105.4</v>
      </c>
      <c r="AA483" s="687">
        <f>INPUT!BX473</f>
        <v>-10.677966101694913</v>
      </c>
      <c r="AB483" s="16">
        <f>INPUT!BY473</f>
        <v>115.4</v>
      </c>
      <c r="AC483" s="687">
        <f>INPUT!BZ473</f>
        <v>4.8138056312443389</v>
      </c>
      <c r="AD483" s="16">
        <f>INPUT!CA473</f>
        <v>119.6</v>
      </c>
      <c r="AE483" s="687">
        <f>INPUT!CB473</f>
        <v>-12.187958883994121</v>
      </c>
      <c r="AF483" s="16">
        <f>INPUT!CC473</f>
        <v>126.4</v>
      </c>
      <c r="AG483" s="687">
        <f>INPUT!CD473</f>
        <v>3.9473684210526327</v>
      </c>
      <c r="AH483" s="16">
        <f>INPUT!CE473</f>
        <v>123.9</v>
      </c>
      <c r="AI483" s="507">
        <f>INPUT!CF473</f>
        <v>17.552182163187858</v>
      </c>
      <c r="AJ483" s="16">
        <f>INPUT!CG473</f>
        <v>120.6</v>
      </c>
      <c r="AK483" s="507">
        <f>INPUT!CH473</f>
        <v>4.5060658578855994</v>
      </c>
      <c r="AL483" s="16">
        <f>INPUT!CI473</f>
        <v>121.6</v>
      </c>
      <c r="AM483" s="507">
        <f>INPUT!CJ473</f>
        <v>1.6722408026755842</v>
      </c>
      <c r="AN483" s="16">
        <f>INPUT!CK473</f>
        <v>121.6</v>
      </c>
      <c r="AO483" s="507">
        <f>INPUT!CL473</f>
        <v>-3.7974683544303889</v>
      </c>
      <c r="AP483" s="16">
        <f>INPUT!CM473</f>
        <v>118</v>
      </c>
      <c r="AQ483" s="507">
        <f>INPUT!CN473</f>
        <v>-4.7619047619047672</v>
      </c>
      <c r="AR483" s="16">
        <f>INPUT!CO473</f>
        <v>114</v>
      </c>
      <c r="AS483" s="507">
        <f>INPUT!CP473</f>
        <v>-5.4726368159203957</v>
      </c>
      <c r="AT483" s="16">
        <f>INPUT!CQ473</f>
        <v>122</v>
      </c>
      <c r="AU483" s="507">
        <f>INPUT!CR473</f>
        <v>0.32894736842106198</v>
      </c>
      <c r="AV483" s="16">
        <f>INPUT!CS473</f>
        <v>109</v>
      </c>
      <c r="AW483" s="507">
        <f>INPUT!CT473</f>
        <v>-10.361842105263152</v>
      </c>
      <c r="AX483" s="16">
        <f>INPUT!CU473</f>
        <v>106</v>
      </c>
      <c r="AY483" s="507">
        <f>INPUT!CV473</f>
        <v>-10.169491525423723</v>
      </c>
      <c r="AZ483" s="16">
        <f>INPUT!CW473</f>
        <v>113</v>
      </c>
      <c r="BA483" s="507">
        <f>INPUT!CX473</f>
        <v>-0.87719298245614308</v>
      </c>
      <c r="BB483" s="16">
        <f>INPUT!CY473</f>
        <v>101</v>
      </c>
      <c r="BC483" s="507">
        <f>INPUT!CZ473</f>
        <v>-17.213114754098356</v>
      </c>
      <c r="BD483" s="16">
        <f>INPUT!DA473</f>
        <v>103</v>
      </c>
      <c r="BE483" s="507">
        <f>INPUT!DB473</f>
        <v>-5.5045871559633035</v>
      </c>
      <c r="BF483" s="16">
        <f>INPUT!DC473</f>
        <v>102</v>
      </c>
      <c r="BG483" s="507">
        <f>INPUT!DD473</f>
        <v>-3.7735849056603765</v>
      </c>
      <c r="BH483" s="16">
        <f>INPUT!DE473</f>
        <v>102</v>
      </c>
      <c r="BI483" s="507">
        <f>INPUT!DF473</f>
        <v>-9.7345132743362868</v>
      </c>
      <c r="BJ483" s="16">
        <f>INPUT!DG473</f>
        <v>100</v>
      </c>
      <c r="BK483" s="507">
        <f>INPUT!DH473</f>
        <v>-0.99009900990099098</v>
      </c>
      <c r="BL483" s="16">
        <f>INPUT!DI473</f>
        <v>111</v>
      </c>
      <c r="BM483" s="507">
        <f>INPUT!DJ473</f>
        <v>7.7669902912621325</v>
      </c>
      <c r="BN483" s="16">
        <f>INPUT!DK473</f>
        <v>106</v>
      </c>
      <c r="BO483" s="507">
        <f>INPUT!DL473</f>
        <v>3.9215686274509887</v>
      </c>
      <c r="BP483" s="16">
        <f>INPUT!DM473</f>
        <v>106</v>
      </c>
      <c r="BQ483" s="507">
        <f>INPUT!DN473</f>
        <v>3.9215686274509887</v>
      </c>
      <c r="BR483" s="16">
        <f>INPUT!DO473</f>
        <v>103</v>
      </c>
      <c r="BS483" s="507">
        <f>INPUT!DP473</f>
        <v>3.0000000000000027</v>
      </c>
      <c r="BT483" s="16">
        <f>INPUT!DQ473</f>
        <v>117</v>
      </c>
      <c r="BU483" s="507">
        <f>INPUT!DR473</f>
        <v>5.4054054054053946</v>
      </c>
      <c r="BV483" s="16">
        <f>INPUT!DS473</f>
        <v>95</v>
      </c>
      <c r="BW483" s="507">
        <f>INPUT!DT473</f>
        <v>-10.377358490566035</v>
      </c>
      <c r="BX483" s="16">
        <f>INPUT!DU473</f>
        <v>96</v>
      </c>
      <c r="BY483" s="507">
        <f>INPUT!DV473</f>
        <v>-9.4339622641509422</v>
      </c>
      <c r="BZ483" s="16">
        <f>INPUT!DW473</f>
        <v>96</v>
      </c>
      <c r="CA483" s="507">
        <f>INPUT!DX473</f>
        <v>96</v>
      </c>
      <c r="CB483" s="16">
        <f>INPUT!DY473</f>
        <v>86</v>
      </c>
      <c r="CC483" s="507">
        <f>INPUT!DZ473</f>
        <v>-26.49572649572649</v>
      </c>
      <c r="CD483" s="16">
        <f>INPUT!EA473</f>
        <v>82</v>
      </c>
      <c r="CE483" s="507">
        <f>INPUT!EB473</f>
        <v>-13.684210526315788</v>
      </c>
      <c r="CF483" s="16">
        <f>INPUT!EC473</f>
        <v>79</v>
      </c>
      <c r="CG483" s="507">
        <f>INPUT!ED473</f>
        <v>-17.708333333333336</v>
      </c>
      <c r="CH483" s="16">
        <f>INPUT!EE473</f>
        <v>84</v>
      </c>
      <c r="CI483" s="507">
        <f>INPUT!EF473</f>
        <v>-12.5</v>
      </c>
      <c r="CJ483" s="16">
        <f>INPUT!EG473</f>
        <v>87</v>
      </c>
      <c r="CK483" s="507">
        <f>INPUT!EH473</f>
        <v>1.1627906976744207</v>
      </c>
      <c r="CL483" s="16">
        <f>INPUT!EI473</f>
        <v>88</v>
      </c>
      <c r="CM483" s="507">
        <f>INPUT!EJ473</f>
        <v>7.3170731707317138</v>
      </c>
      <c r="CN483" s="16">
        <f>INPUT!EK473</f>
        <v>67</v>
      </c>
      <c r="CO483" s="507">
        <f>INPUT!EL473</f>
        <v>-15.189873417721522</v>
      </c>
      <c r="CP483" s="16">
        <f>INPUT!EM473</f>
        <v>65</v>
      </c>
      <c r="CQ483" s="507">
        <f>INPUT!EN473</f>
        <v>-22.619047619047617</v>
      </c>
      <c r="CR483" s="16">
        <f>INPUT!EO473</f>
        <v>68</v>
      </c>
      <c r="CS483" s="507">
        <f>INPUT!EP473</f>
        <v>-21.839080459770109</v>
      </c>
      <c r="CT483" s="16">
        <f>INPUT!EQ473</f>
        <v>68.339999999999989</v>
      </c>
      <c r="CU483" s="507">
        <f>INPUT!ER473</f>
        <v>-22.340909090909101</v>
      </c>
      <c r="CV483" s="16">
        <f>INPUT!ES473</f>
        <v>68.681699999999978</v>
      </c>
      <c r="CW483" s="507">
        <f>INPUT!ET473</f>
        <v>2.5099999999999678</v>
      </c>
      <c r="CX483" s="16">
        <f>INPUT!EU473</f>
        <v>69.025108499999973</v>
      </c>
      <c r="CY483" s="507">
        <f>INPUT!EV473</f>
        <v>6.1924746153845689</v>
      </c>
      <c r="CZ483" s="16">
        <f>INPUT!EW473</f>
        <v>69.370234042499959</v>
      </c>
      <c r="DA483" s="507">
        <f>INPUT!EX473</f>
        <v>2.0150500624999346</v>
      </c>
      <c r="DB483" s="507"/>
      <c r="DC483" s="16">
        <f>INPUT!FP473</f>
        <v>175.2</v>
      </c>
      <c r="DD483" s="687" t="str">
        <f>INPUT!FQ473</f>
        <v>NA</v>
      </c>
      <c r="DE483" s="16">
        <f>INPUT!FR473</f>
        <v>196.4</v>
      </c>
      <c r="DF483" s="687">
        <f>INPUT!FS473</f>
        <v>12.100456621004586</v>
      </c>
      <c r="DG483" s="16">
        <f>INPUT!FT473</f>
        <v>473.20000000000005</v>
      </c>
      <c r="DH483" s="687" t="str">
        <f>INPUT!FU473</f>
        <v>NM</v>
      </c>
      <c r="DI483" s="16">
        <f>INPUT!FV473</f>
        <v>485.9</v>
      </c>
      <c r="DJ483" s="687">
        <f>INPUT!FW473</f>
        <v>2.6838546069315239</v>
      </c>
      <c r="DK483" s="16">
        <f>INPUT!FX473</f>
        <v>466.8</v>
      </c>
      <c r="DL483" s="507">
        <f>INPUT!FY473</f>
        <v>-3.9308499691294463</v>
      </c>
      <c r="DM483" s="16">
        <f>INPUT!FZ473</f>
        <v>487.7</v>
      </c>
      <c r="DN483" s="507">
        <f>INPUT!GA473</f>
        <v>4.4772922022279227</v>
      </c>
      <c r="DO483" s="16">
        <f>INPUT!GB473</f>
        <v>463</v>
      </c>
      <c r="DP483" s="507">
        <f>INPUT!GC473</f>
        <v>-5.0645888866106219</v>
      </c>
      <c r="DQ483" s="16">
        <f>INPUT!GD473</f>
        <v>423</v>
      </c>
      <c r="DR483" s="507">
        <f>INPUT!GE473</f>
        <v>-8.6393088552915724</v>
      </c>
      <c r="DS483" s="16">
        <f>INPUT!GF473</f>
        <v>415</v>
      </c>
      <c r="DT483" s="507">
        <f>INPUT!GG473</f>
        <v>-1.891252955082745</v>
      </c>
      <c r="DU483" s="16">
        <f>INPUT!GH473</f>
        <v>432</v>
      </c>
      <c r="DV483" s="507">
        <f>INPUT!GI473</f>
        <v>4.0963855421686679</v>
      </c>
      <c r="DW483" s="16">
        <f>INPUT!GJ473</f>
        <v>373</v>
      </c>
      <c r="DX483" s="507">
        <f>INPUT!GK473</f>
        <v>-13.657407407407407</v>
      </c>
      <c r="DY483" s="16">
        <f>INPUT!GL473</f>
        <v>332</v>
      </c>
      <c r="DZ483" s="507">
        <f>INPUT!GM473</f>
        <v>-10.991957104557637</v>
      </c>
      <c r="EA483" s="16">
        <f>INPUT!GN473</f>
        <v>288</v>
      </c>
      <c r="EB483" s="507">
        <f>INPUT!GO473</f>
        <v>-13.253012048192769</v>
      </c>
      <c r="EC483" s="16">
        <f>INPUT!GP473</f>
        <v>275.41704254249987</v>
      </c>
      <c r="ED483" s="507">
        <f>INPUT!GQ473</f>
        <v>-4.3690824505208781</v>
      </c>
      <c r="EE483" s="16">
        <f>INPUT!GR473</f>
        <v>278.17121296792487</v>
      </c>
      <c r="EF483" s="507">
        <f>INPUT!GS473</f>
        <v>1.0000000000000009</v>
      </c>
      <c r="EG483" s="16">
        <f>INPUT!GT473</f>
        <v>286.51634935696262</v>
      </c>
      <c r="EH483" s="507">
        <f>INPUT!GU473</f>
        <v>3.0000000000000027</v>
      </c>
      <c r="EI483" s="16">
        <f>INPUT!GV473</f>
        <v>295.11183983767148</v>
      </c>
      <c r="EJ483" s="507">
        <f>INPUT!GW473</f>
        <v>3.0000000000000027</v>
      </c>
      <c r="EK483" s="16">
        <f>INPUT!GX473</f>
        <v>303.96519503280166</v>
      </c>
      <c r="EL483" s="507">
        <f>INPUT!GY473</f>
        <v>3.0000000000000027</v>
      </c>
      <c r="EM483" s="687">
        <f>INPUT!GZ473</f>
        <v>1.0848972835629356</v>
      </c>
    </row>
    <row r="484" spans="1:143" ht="12.75" hidden="1" customHeight="1" outlineLevel="1" x14ac:dyDescent="0.2">
      <c r="A484" s="715"/>
      <c r="B484" s="16"/>
      <c r="C484" s="507"/>
      <c r="D484" s="16"/>
      <c r="E484" s="687"/>
      <c r="F484" s="16"/>
      <c r="G484" s="687"/>
      <c r="H484" s="16"/>
      <c r="I484" s="687"/>
      <c r="J484" s="16"/>
      <c r="K484" s="687"/>
      <c r="L484" s="16"/>
      <c r="M484" s="687"/>
      <c r="N484" s="16"/>
      <c r="O484" s="687"/>
      <c r="P484" s="16"/>
      <c r="Q484" s="687"/>
      <c r="R484" s="16"/>
      <c r="S484" s="687"/>
      <c r="T484" s="16"/>
      <c r="U484" s="687"/>
      <c r="V484" s="16"/>
      <c r="W484" s="687"/>
      <c r="X484" s="16"/>
      <c r="Y484" s="687"/>
      <c r="Z484" s="16"/>
      <c r="AA484" s="687"/>
      <c r="AB484" s="16"/>
      <c r="AC484" s="687"/>
      <c r="AD484" s="16"/>
      <c r="AE484" s="687"/>
      <c r="AF484" s="16"/>
      <c r="AG484" s="687"/>
      <c r="AH484" s="16"/>
      <c r="AI484" s="507"/>
      <c r="AJ484" s="16"/>
      <c r="AK484" s="507"/>
      <c r="AL484" s="16"/>
      <c r="AM484" s="507"/>
      <c r="AN484" s="16"/>
      <c r="AO484" s="507"/>
      <c r="AP484" s="16"/>
      <c r="AQ484" s="507"/>
      <c r="AR484" s="16"/>
      <c r="AS484" s="507"/>
      <c r="AT484" s="16"/>
      <c r="AU484" s="507"/>
      <c r="AV484" s="16"/>
      <c r="AW484" s="507"/>
      <c r="AX484" s="16"/>
      <c r="AY484" s="507"/>
      <c r="AZ484" s="16"/>
      <c r="BA484" s="507"/>
      <c r="BB484" s="16"/>
      <c r="BC484" s="507"/>
      <c r="BD484" s="16"/>
      <c r="BE484" s="507"/>
      <c r="BF484" s="16"/>
      <c r="BG484" s="507"/>
      <c r="BH484" s="16"/>
      <c r="BI484" s="507"/>
      <c r="BJ484" s="16"/>
      <c r="BK484" s="507"/>
      <c r="BL484" s="16"/>
      <c r="BM484" s="507"/>
      <c r="BN484" s="16"/>
      <c r="BO484" s="507"/>
      <c r="BP484" s="16"/>
      <c r="BQ484" s="507"/>
      <c r="BR484" s="16"/>
      <c r="BS484" s="507"/>
      <c r="BT484" s="16"/>
      <c r="BU484" s="507"/>
      <c r="BV484" s="16"/>
      <c r="BW484" s="507"/>
      <c r="BX484" s="16"/>
      <c r="BY484" s="507"/>
      <c r="BZ484" s="16"/>
      <c r="CA484" s="507"/>
      <c r="CB484" s="16"/>
      <c r="CC484" s="507"/>
      <c r="CD484" s="16"/>
      <c r="CE484" s="507"/>
      <c r="CF484" s="16"/>
      <c r="CG484" s="507"/>
      <c r="CH484" s="16"/>
      <c r="CI484" s="507"/>
      <c r="CJ484" s="16"/>
      <c r="CK484" s="507"/>
      <c r="CL484" s="16"/>
      <c r="CM484" s="507"/>
      <c r="CN484" s="16"/>
      <c r="CO484" s="507"/>
      <c r="CP484" s="16"/>
      <c r="CQ484" s="507"/>
      <c r="CR484" s="16"/>
      <c r="CS484" s="507"/>
      <c r="CT484" s="16"/>
      <c r="CU484" s="507"/>
      <c r="CV484" s="16"/>
      <c r="CW484" s="507"/>
      <c r="CX484" s="16"/>
      <c r="CY484" s="507"/>
      <c r="CZ484" s="16"/>
      <c r="DA484" s="507"/>
      <c r="DB484" s="507"/>
      <c r="DC484" s="16"/>
      <c r="DD484" s="687"/>
      <c r="DE484" s="16"/>
      <c r="DF484" s="687"/>
      <c r="DG484" s="16"/>
      <c r="DH484" s="687"/>
      <c r="DI484" s="16"/>
      <c r="DJ484" s="687"/>
      <c r="DK484" s="16"/>
      <c r="DL484" s="507"/>
      <c r="DM484" s="16"/>
      <c r="DN484" s="507"/>
      <c r="DO484" s="16"/>
      <c r="DP484" s="507"/>
      <c r="DQ484" s="16"/>
      <c r="DR484" s="507"/>
      <c r="DS484" s="16"/>
      <c r="DT484" s="507"/>
      <c r="DU484" s="16"/>
      <c r="DV484" s="507"/>
      <c r="DW484" s="16"/>
      <c r="DX484" s="507"/>
      <c r="DY484" s="16"/>
      <c r="DZ484" s="507"/>
      <c r="EA484" s="16"/>
      <c r="EB484" s="507"/>
      <c r="EC484" s="16"/>
      <c r="ED484" s="507"/>
      <c r="EE484" s="16"/>
      <c r="EF484" s="507"/>
      <c r="EG484" s="16"/>
      <c r="EH484" s="507"/>
      <c r="EI484" s="16"/>
      <c r="EJ484" s="507"/>
      <c r="EK484" s="16"/>
      <c r="EL484" s="507"/>
      <c r="EM484" s="687"/>
    </row>
    <row r="485" spans="1:143" ht="12.75" hidden="1" customHeight="1" outlineLevel="1" x14ac:dyDescent="0.2">
      <c r="A485" s="715" t="str">
        <f>INPUT!B475</f>
        <v>EXPENSES</v>
      </c>
      <c r="B485" s="156"/>
      <c r="C485" s="507"/>
      <c r="D485" s="156"/>
      <c r="E485" s="687"/>
      <c r="F485" s="156"/>
      <c r="G485" s="687"/>
      <c r="H485" s="156"/>
      <c r="I485" s="687"/>
      <c r="J485" s="156"/>
      <c r="K485" s="687"/>
      <c r="L485" s="156"/>
      <c r="M485" s="687"/>
      <c r="N485" s="156"/>
      <c r="O485" s="687"/>
      <c r="P485" s="156"/>
      <c r="Q485" s="687"/>
      <c r="R485" s="156"/>
      <c r="S485" s="687"/>
      <c r="T485" s="156"/>
      <c r="U485" s="687"/>
      <c r="V485" s="156"/>
      <c r="W485" s="687"/>
      <c r="X485" s="156"/>
      <c r="Y485" s="687"/>
      <c r="Z485" s="156"/>
      <c r="AA485" s="687"/>
      <c r="AB485" s="156"/>
      <c r="AC485" s="687"/>
      <c r="AD485" s="156"/>
      <c r="AE485" s="687"/>
      <c r="AF485" s="156"/>
      <c r="AG485" s="687"/>
      <c r="AH485" s="156"/>
      <c r="AI485" s="507"/>
      <c r="AJ485" s="156"/>
      <c r="AK485" s="507"/>
      <c r="AL485" s="156"/>
      <c r="AM485" s="507"/>
      <c r="AN485" s="156"/>
      <c r="AO485" s="507"/>
      <c r="AP485" s="156"/>
      <c r="AQ485" s="507"/>
      <c r="AR485" s="156"/>
      <c r="AS485" s="507"/>
      <c r="AT485" s="156"/>
      <c r="AU485" s="507"/>
      <c r="AV485" s="156"/>
      <c r="AW485" s="507"/>
      <c r="AX485" s="156"/>
      <c r="AY485" s="507"/>
      <c r="AZ485" s="156"/>
      <c r="BA485" s="507"/>
      <c r="BB485" s="156"/>
      <c r="BC485" s="507"/>
      <c r="BD485" s="156"/>
      <c r="BE485" s="507"/>
      <c r="BF485" s="156"/>
      <c r="BG485" s="507"/>
      <c r="BH485" s="156"/>
      <c r="BI485" s="507"/>
      <c r="BJ485" s="156"/>
      <c r="BK485" s="507"/>
      <c r="BL485" s="156"/>
      <c r="BM485" s="507"/>
      <c r="BN485" s="156"/>
      <c r="BO485" s="507"/>
      <c r="BP485" s="156"/>
      <c r="BQ485" s="507"/>
      <c r="BR485" s="156"/>
      <c r="BS485" s="507"/>
      <c r="BT485" s="156"/>
      <c r="BU485" s="507"/>
      <c r="BV485" s="156"/>
      <c r="BW485" s="507"/>
      <c r="BX485" s="156"/>
      <c r="BY485" s="507"/>
      <c r="BZ485" s="156"/>
      <c r="CA485" s="507"/>
      <c r="CB485" s="156"/>
      <c r="CC485" s="507"/>
      <c r="CD485" s="156"/>
      <c r="CE485" s="507"/>
      <c r="CF485" s="156"/>
      <c r="CG485" s="507"/>
      <c r="CH485" s="156"/>
      <c r="CI485" s="507"/>
      <c r="CJ485" s="156"/>
      <c r="CK485" s="507"/>
      <c r="CL485" s="156"/>
      <c r="CM485" s="507"/>
      <c r="CN485" s="156"/>
      <c r="CO485" s="507"/>
      <c r="CP485" s="156"/>
      <c r="CQ485" s="507"/>
      <c r="CR485" s="156"/>
      <c r="CS485" s="507"/>
      <c r="CT485" s="156"/>
      <c r="CU485" s="507"/>
      <c r="CV485" s="156"/>
      <c r="CW485" s="507"/>
      <c r="CX485" s="156"/>
      <c r="CY485" s="507"/>
      <c r="CZ485" s="156"/>
      <c r="DA485" s="507"/>
      <c r="DB485" s="507"/>
      <c r="DC485" s="156"/>
      <c r="DD485" s="687"/>
      <c r="DE485" s="156"/>
      <c r="DF485" s="687"/>
      <c r="DG485" s="156"/>
      <c r="DH485" s="687"/>
      <c r="DI485" s="156"/>
      <c r="DJ485" s="687"/>
      <c r="DK485" s="156"/>
      <c r="DL485" s="507"/>
      <c r="DM485" s="156"/>
      <c r="DN485" s="507"/>
      <c r="DO485" s="156"/>
      <c r="DP485" s="507"/>
      <c r="DQ485" s="156"/>
      <c r="DR485" s="507"/>
      <c r="DS485" s="156"/>
      <c r="DT485" s="507"/>
      <c r="DU485" s="156"/>
      <c r="DV485" s="507"/>
      <c r="DW485" s="156"/>
      <c r="DX485" s="507"/>
      <c r="DY485" s="156"/>
      <c r="DZ485" s="507"/>
      <c r="EA485" s="156"/>
      <c r="EB485" s="507"/>
      <c r="EC485" s="156"/>
      <c r="ED485" s="507"/>
      <c r="EE485" s="156"/>
      <c r="EF485" s="507"/>
      <c r="EG485" s="156"/>
      <c r="EH485" s="507"/>
      <c r="EI485" s="156"/>
      <c r="EJ485" s="507"/>
      <c r="EK485" s="156"/>
      <c r="EL485" s="507"/>
      <c r="EM485" s="687"/>
    </row>
    <row r="486" spans="1:143" ht="12.75" hidden="1" customHeight="1" outlineLevel="1" x14ac:dyDescent="0.2">
      <c r="A486" s="701" t="str">
        <f>INPUT!B476</f>
        <v>Interest on Debt</v>
      </c>
      <c r="B486" s="151">
        <f>INPUT!AY476</f>
        <v>21.5</v>
      </c>
      <c r="C486" s="507">
        <f>INPUT!AZ476</f>
        <v>-3.1531531531531543</v>
      </c>
      <c r="D486" s="151">
        <f>INPUT!BA476</f>
        <v>64.3</v>
      </c>
      <c r="E486" s="687" t="str">
        <f>INPUT!BB476</f>
        <v>NM</v>
      </c>
      <c r="F486" s="151">
        <f>INPUT!BC476</f>
        <v>66.7</v>
      </c>
      <c r="G486" s="687" t="str">
        <f>INPUT!BD476</f>
        <v>NM</v>
      </c>
      <c r="H486" s="151">
        <f>INPUT!BE476</f>
        <v>64.3</v>
      </c>
      <c r="I486" s="687" t="str">
        <f>INPUT!BF476</f>
        <v>NM</v>
      </c>
      <c r="J486" s="151">
        <f>INPUT!BG476</f>
        <v>62.4</v>
      </c>
      <c r="K486" s="687" t="str">
        <f>INPUT!BH476</f>
        <v>NM</v>
      </c>
      <c r="L486" s="151">
        <f>INPUT!BI476</f>
        <v>73.099999999999994</v>
      </c>
      <c r="M486" s="687">
        <f>INPUT!BJ476</f>
        <v>13.685847589424572</v>
      </c>
      <c r="N486" s="151">
        <f>INPUT!BK476</f>
        <v>68.2</v>
      </c>
      <c r="O486" s="687">
        <f>INPUT!BL476</f>
        <v>2.2488755622188883</v>
      </c>
      <c r="P486" s="151">
        <f>INPUT!BM476</f>
        <v>80.3</v>
      </c>
      <c r="Q486" s="687">
        <f>INPUT!BN476</f>
        <v>24.883359253499226</v>
      </c>
      <c r="R486" s="151">
        <f>INPUT!BO476</f>
        <v>75.400000000000006</v>
      </c>
      <c r="S486" s="687">
        <f>INPUT!BP476</f>
        <v>20.83333333333335</v>
      </c>
      <c r="T486" s="151">
        <f>INPUT!BQ476</f>
        <v>64.8</v>
      </c>
      <c r="U486" s="687">
        <f>INPUT!BR476</f>
        <v>-11.354309165526677</v>
      </c>
      <c r="V486" s="151">
        <f>INPUT!BS476</f>
        <v>68.3</v>
      </c>
      <c r="W486" s="687">
        <f>INPUT!BT476</f>
        <v>0.14662756598240456</v>
      </c>
      <c r="X486" s="151">
        <f>INPUT!BU476</f>
        <v>72.3</v>
      </c>
      <c r="Y486" s="687">
        <f>INPUT!BV476</f>
        <v>-9.9626400996263964</v>
      </c>
      <c r="Z486" s="151">
        <f>INPUT!BW476</f>
        <v>64.7</v>
      </c>
      <c r="AA486" s="687">
        <f>INPUT!BX476</f>
        <v>-14.190981432360751</v>
      </c>
      <c r="AB486" s="151">
        <f>INPUT!BY476</f>
        <v>60.9</v>
      </c>
      <c r="AC486" s="687">
        <f>INPUT!BZ476</f>
        <v>-6.0185185185185119</v>
      </c>
      <c r="AD486" s="151">
        <f>INPUT!CA476</f>
        <v>68</v>
      </c>
      <c r="AE486" s="687">
        <f>INPUT!CB476</f>
        <v>-0.43923865300146137</v>
      </c>
      <c r="AF486" s="151">
        <f>INPUT!CC476</f>
        <v>68.099999999999994</v>
      </c>
      <c r="AG486" s="687">
        <f>INPUT!CD476</f>
        <v>-5.8091286307053958</v>
      </c>
      <c r="AH486" s="151">
        <f>INPUT!CE476</f>
        <v>68.099999999999994</v>
      </c>
      <c r="AI486" s="507">
        <f>INPUT!CF476</f>
        <v>5.2550231839257888</v>
      </c>
      <c r="AJ486" s="151">
        <f>INPUT!CG476</f>
        <v>69</v>
      </c>
      <c r="AK486" s="507">
        <f>INPUT!CH476</f>
        <v>13.300492610837434</v>
      </c>
      <c r="AL486" s="151">
        <f>INPUT!CI476</f>
        <v>74.5</v>
      </c>
      <c r="AM486" s="507">
        <f>INPUT!CJ476</f>
        <v>9.5588235294117752</v>
      </c>
      <c r="AN486" s="151">
        <f>INPUT!CK476</f>
        <v>74.3</v>
      </c>
      <c r="AO486" s="507">
        <f>INPUT!CL476</f>
        <v>9.104258443465497</v>
      </c>
      <c r="AP486" s="151">
        <f>INPUT!CM476</f>
        <v>71.599999999999994</v>
      </c>
      <c r="AQ486" s="507">
        <f>INPUT!CN476</f>
        <v>5.1395007342143861</v>
      </c>
      <c r="AR486" s="151">
        <f>INPUT!CO476</f>
        <v>72</v>
      </c>
      <c r="AS486" s="507">
        <f>INPUT!CP476</f>
        <v>4.3478260869565188</v>
      </c>
      <c r="AT486" s="151">
        <f>INPUT!CQ476</f>
        <v>71</v>
      </c>
      <c r="AU486" s="507">
        <f>INPUT!CR476</f>
        <v>-4.6979865771812124</v>
      </c>
      <c r="AV486" s="151">
        <f>INPUT!CS476</f>
        <v>70</v>
      </c>
      <c r="AW486" s="507">
        <f>INPUT!CT476</f>
        <v>-5.7873485868102259</v>
      </c>
      <c r="AX486" s="151">
        <f>INPUT!CU476</f>
        <v>68</v>
      </c>
      <c r="AY486" s="507">
        <f>INPUT!CV476</f>
        <v>-5.0279329608938443</v>
      </c>
      <c r="AZ486" s="151">
        <f>INPUT!CW476</f>
        <v>68</v>
      </c>
      <c r="BA486" s="507">
        <f>INPUT!CX476</f>
        <v>-5.555555555555558</v>
      </c>
      <c r="BB486" s="151">
        <f>INPUT!CY476</f>
        <v>68</v>
      </c>
      <c r="BC486" s="507">
        <f>INPUT!CZ476</f>
        <v>-4.2253521126760614</v>
      </c>
      <c r="BD486" s="151">
        <f>INPUT!DA476</f>
        <v>65</v>
      </c>
      <c r="BE486" s="507">
        <f>INPUT!DB476</f>
        <v>-7.1428571428571397</v>
      </c>
      <c r="BF486" s="151">
        <f>INPUT!DC476</f>
        <v>64</v>
      </c>
      <c r="BG486" s="507">
        <f>INPUT!DD476</f>
        <v>-5.8823529411764719</v>
      </c>
      <c r="BH486" s="151">
        <f>INPUT!DE476</f>
        <v>65</v>
      </c>
      <c r="BI486" s="507">
        <f>INPUT!DF476</f>
        <v>-4.4117647058823479</v>
      </c>
      <c r="BJ486" s="151">
        <f>INPUT!DG476</f>
        <v>67</v>
      </c>
      <c r="BK486" s="507">
        <f>INPUT!DH476</f>
        <v>-1.4705882352941124</v>
      </c>
      <c r="BL486" s="151">
        <f>INPUT!DI476</f>
        <v>68</v>
      </c>
      <c r="BM486" s="507">
        <f>INPUT!DJ476</f>
        <v>4.6153846153846212</v>
      </c>
      <c r="BN486" s="151">
        <f>INPUT!DK476</f>
        <v>67</v>
      </c>
      <c r="BO486" s="507">
        <f>INPUT!DL476</f>
        <v>4.6875</v>
      </c>
      <c r="BP486" s="151">
        <f>INPUT!DM476</f>
        <v>67</v>
      </c>
      <c r="BQ486" s="507">
        <f>INPUT!DN476</f>
        <v>3.076923076923066</v>
      </c>
      <c r="BR486" s="151">
        <f>INPUT!DO476</f>
        <v>67</v>
      </c>
      <c r="BS486" s="507">
        <f>INPUT!DP476</f>
        <v>0</v>
      </c>
      <c r="BT486" s="151">
        <f>INPUT!DQ476</f>
        <v>67</v>
      </c>
      <c r="BU486" s="507">
        <f>INPUT!DR476</f>
        <v>-1.4705882352941124</v>
      </c>
      <c r="BV486" s="151">
        <f>INPUT!DS476</f>
        <v>68</v>
      </c>
      <c r="BW486" s="507">
        <f>INPUT!DT476</f>
        <v>1.4925373134328401</v>
      </c>
      <c r="BX486" s="151">
        <f>INPUT!DU476</f>
        <v>69</v>
      </c>
      <c r="BY486" s="507">
        <f>INPUT!DV476</f>
        <v>2.9850746268656803</v>
      </c>
      <c r="BZ486" s="151">
        <f>INPUT!DW476</f>
        <v>67</v>
      </c>
      <c r="CA486" s="507">
        <f>INPUT!DX476</f>
        <v>67</v>
      </c>
      <c r="CB486" s="151">
        <f>INPUT!DY476</f>
        <v>68</v>
      </c>
      <c r="CC486" s="507">
        <f>INPUT!DZ476</f>
        <v>1.4925373134328401</v>
      </c>
      <c r="CD486" s="151">
        <f>INPUT!EA476</f>
        <v>68</v>
      </c>
      <c r="CE486" s="507">
        <f>INPUT!EB476</f>
        <v>0</v>
      </c>
      <c r="CF486" s="151">
        <f>INPUT!EC476</f>
        <v>68</v>
      </c>
      <c r="CG486" s="507">
        <f>INPUT!ED476</f>
        <v>-1.4492753623188359</v>
      </c>
      <c r="CH486" s="151">
        <f>INPUT!EE476</f>
        <v>66</v>
      </c>
      <c r="CI486" s="507">
        <f>INPUT!EF476</f>
        <v>-1.4925373134328401</v>
      </c>
      <c r="CJ486" s="151">
        <f>INPUT!EG476</f>
        <v>67</v>
      </c>
      <c r="CK486" s="507">
        <f>INPUT!EH476</f>
        <v>-1.4705882352941124</v>
      </c>
      <c r="CL486" s="151">
        <f>INPUT!EI476</f>
        <v>64</v>
      </c>
      <c r="CM486" s="507">
        <f>INPUT!EJ476</f>
        <v>-5.8823529411764719</v>
      </c>
      <c r="CN486" s="151">
        <f>INPUT!EK476</f>
        <v>63</v>
      </c>
      <c r="CO486" s="507">
        <f>INPUT!EL476</f>
        <v>-7.3529411764705843</v>
      </c>
      <c r="CP486" s="151">
        <f>INPUT!EM476</f>
        <v>63</v>
      </c>
      <c r="CQ486" s="507">
        <f>INPUT!EN476</f>
        <v>-4.5454545454545414</v>
      </c>
      <c r="CR486" s="151">
        <f>INPUT!EO476</f>
        <v>63</v>
      </c>
      <c r="CS486" s="507">
        <f>INPUT!EP476</f>
        <v>-5.9701492537313383</v>
      </c>
      <c r="CT486" s="151">
        <f>INPUT!EQ476</f>
        <v>67.375</v>
      </c>
      <c r="CU486" s="507">
        <f>INPUT!ER476</f>
        <v>5.2734375</v>
      </c>
      <c r="CV486" s="151">
        <f>INPUT!ES476</f>
        <v>67.375</v>
      </c>
      <c r="CW486" s="507">
        <f>INPUT!ET476</f>
        <v>6.944444444444442</v>
      </c>
      <c r="CX486" s="151">
        <f>INPUT!EU476</f>
        <v>67.375</v>
      </c>
      <c r="CY486" s="507">
        <f>INPUT!EV476</f>
        <v>6.944444444444442</v>
      </c>
      <c r="CZ486" s="151">
        <f>INPUT!EW476</f>
        <v>67.375</v>
      </c>
      <c r="DA486" s="507">
        <f>INPUT!EX476</f>
        <v>6.944444444444442</v>
      </c>
      <c r="DB486" s="507"/>
      <c r="DC486" s="151">
        <f>INPUT!FP476</f>
        <v>87.2</v>
      </c>
      <c r="DD486" s="687" t="str">
        <f>INPUT!FQ476</f>
        <v>NA</v>
      </c>
      <c r="DE486" s="151">
        <f>INPUT!FR476</f>
        <v>216.8</v>
      </c>
      <c r="DF486" s="687" t="str">
        <f>INPUT!FS476</f>
        <v>NM</v>
      </c>
      <c r="DG486" s="151">
        <f>INPUT!FT476</f>
        <v>284</v>
      </c>
      <c r="DH486" s="687">
        <f>INPUT!FU476</f>
        <v>30.996309963099634</v>
      </c>
      <c r="DI486" s="151">
        <f>INPUT!FV476</f>
        <v>280.8</v>
      </c>
      <c r="DJ486" s="687">
        <f>INPUT!FW476</f>
        <v>-1.1267605633802802</v>
      </c>
      <c r="DK486" s="151">
        <f>INPUT!FX476</f>
        <v>261.7</v>
      </c>
      <c r="DL486" s="507">
        <f>INPUT!FY476</f>
        <v>-6.8019943019943074</v>
      </c>
      <c r="DM486" s="151">
        <f>INPUT!FZ476</f>
        <v>285.89999999999998</v>
      </c>
      <c r="DN486" s="507">
        <f>INPUT!GA476</f>
        <v>9.2472296522735817</v>
      </c>
      <c r="DO486" s="151">
        <f>INPUT!GB476</f>
        <v>284.60000000000002</v>
      </c>
      <c r="DP486" s="507">
        <f>INPUT!GC476</f>
        <v>-0.45470444211260785</v>
      </c>
      <c r="DQ486" s="151">
        <f>INPUT!GD476</f>
        <v>269</v>
      </c>
      <c r="DR486" s="507">
        <f>INPUT!GE476</f>
        <v>-5.4813773717498293</v>
      </c>
      <c r="DS486" s="151">
        <f>INPUT!GF476</f>
        <v>264</v>
      </c>
      <c r="DT486" s="507">
        <f>INPUT!GG476</f>
        <v>-1.8587360594795488</v>
      </c>
      <c r="DU486" s="151">
        <f>INPUT!GH476</f>
        <v>268</v>
      </c>
      <c r="DV486" s="507">
        <f>INPUT!GI476</f>
        <v>1.5151515151515138</v>
      </c>
      <c r="DW486" s="151">
        <f>INPUT!GJ476</f>
        <v>272</v>
      </c>
      <c r="DX486" s="507">
        <f>INPUT!GK476</f>
        <v>1.4925373134328401</v>
      </c>
      <c r="DY486" s="151">
        <f>INPUT!GL476</f>
        <v>269</v>
      </c>
      <c r="DZ486" s="507">
        <f>INPUT!GM476</f>
        <v>-1.1029411764705843</v>
      </c>
      <c r="EA486" s="151">
        <f>INPUT!GN476</f>
        <v>253</v>
      </c>
      <c r="EB486" s="507">
        <f>INPUT!GO476</f>
        <v>-5.9479553903345694</v>
      </c>
      <c r="EC486" s="151">
        <f>INPUT!GP476</f>
        <v>269.5</v>
      </c>
      <c r="ED486" s="507">
        <f>INPUT!GQ476</f>
        <v>6.5217391304347894</v>
      </c>
      <c r="EE486" s="151">
        <f>INPUT!GR476</f>
        <v>269.5</v>
      </c>
      <c r="EF486" s="507">
        <f>INPUT!GS476</f>
        <v>0</v>
      </c>
      <c r="EG486" s="151">
        <f>INPUT!GT476</f>
        <v>269.5</v>
      </c>
      <c r="EH486" s="507">
        <f>INPUT!GU476</f>
        <v>0</v>
      </c>
      <c r="EI486" s="151">
        <f>INPUT!GV476</f>
        <v>269.5</v>
      </c>
      <c r="EJ486" s="507">
        <f>INPUT!GW476</f>
        <v>0</v>
      </c>
      <c r="EK486" s="151">
        <f>INPUT!GX476</f>
        <v>269.5</v>
      </c>
      <c r="EL486" s="507">
        <f>INPUT!GY476</f>
        <v>0</v>
      </c>
      <c r="EM486" s="687">
        <f>INPUT!GZ476</f>
        <v>1.271594910569096</v>
      </c>
    </row>
    <row r="487" spans="1:143" ht="12.75" hidden="1" customHeight="1" outlineLevel="1" x14ac:dyDescent="0.2">
      <c r="A487" s="701" t="str">
        <f>INPUT!B477</f>
        <v>Operating Expenses</v>
      </c>
      <c r="B487" s="151">
        <f>INPUT!AY477</f>
        <v>12.2</v>
      </c>
      <c r="C487" s="507">
        <f>INPUT!AZ477</f>
        <v>84.848484848484844</v>
      </c>
      <c r="D487" s="151">
        <f>INPUT!BA477</f>
        <v>29.376923076923074</v>
      </c>
      <c r="E487" s="687">
        <f>INPUT!BB477</f>
        <v>-41.480232914495865</v>
      </c>
      <c r="F487" s="151">
        <f>INPUT!BC477</f>
        <v>-1.7461538461538453</v>
      </c>
      <c r="G487" s="687" t="str">
        <f>INPUT!BD477</f>
        <v>NM</v>
      </c>
      <c r="H487" s="151">
        <f>INPUT!BE477</f>
        <v>35.223076923076917</v>
      </c>
      <c r="I487" s="687" t="str">
        <f>INPUT!BF477</f>
        <v>NM</v>
      </c>
      <c r="J487" s="151">
        <f>INPUT!BG477</f>
        <v>80.799999999999983</v>
      </c>
      <c r="K487" s="687" t="str">
        <f>INPUT!BH477</f>
        <v>NM</v>
      </c>
      <c r="L487" s="151">
        <f>INPUT!BI477</f>
        <v>87.200000000000017</v>
      </c>
      <c r="M487" s="687" t="str">
        <f>INPUT!BJ477</f>
        <v>NM</v>
      </c>
      <c r="N487" s="151">
        <f>INPUT!BK477</f>
        <v>97.6</v>
      </c>
      <c r="O487" s="687" t="str">
        <f>INPUT!BL477</f>
        <v>NM</v>
      </c>
      <c r="P487" s="151">
        <f>INPUT!BM477</f>
        <v>109.79999999999998</v>
      </c>
      <c r="Q487" s="687" t="str">
        <f>INPUT!BN477</f>
        <v>NM</v>
      </c>
      <c r="R487" s="151">
        <f>INPUT!BO477</f>
        <v>91.399999999999991</v>
      </c>
      <c r="S487" s="687">
        <f>INPUT!BP477</f>
        <v>13.11881188118813</v>
      </c>
      <c r="T487" s="151">
        <f>INPUT!BQ477</f>
        <v>97.200000000000017</v>
      </c>
      <c r="U487" s="687">
        <f>INPUT!BR477</f>
        <v>11.467889908256868</v>
      </c>
      <c r="V487" s="151">
        <f>INPUT!BS477</f>
        <v>126.39999999999999</v>
      </c>
      <c r="W487" s="687">
        <f>INPUT!BT477</f>
        <v>29.508196721311464</v>
      </c>
      <c r="X487" s="151">
        <f>INPUT!BU477</f>
        <v>129.69999999999999</v>
      </c>
      <c r="Y487" s="687">
        <f>INPUT!BV477</f>
        <v>18.123861566484536</v>
      </c>
      <c r="Z487" s="151">
        <f>INPUT!BW477</f>
        <v>206.90000000000003</v>
      </c>
      <c r="AA487" s="687" t="str">
        <f>INPUT!BX477</f>
        <v>NM</v>
      </c>
      <c r="AB487" s="151">
        <f>INPUT!BY477</f>
        <v>140.79999999999998</v>
      </c>
      <c r="AC487" s="687">
        <f>INPUT!BZ477</f>
        <v>44.855967078189266</v>
      </c>
      <c r="AD487" s="151">
        <f>INPUT!CA477</f>
        <v>105.6</v>
      </c>
      <c r="AE487" s="687">
        <f>INPUT!CB477</f>
        <v>-16.455696202531644</v>
      </c>
      <c r="AF487" s="151">
        <f>INPUT!CC477</f>
        <v>132</v>
      </c>
      <c r="AG487" s="687">
        <f>INPUT!CD477</f>
        <v>1.7733230531997046</v>
      </c>
      <c r="AH487" s="151">
        <f>INPUT!CE477</f>
        <v>110.80000000000001</v>
      </c>
      <c r="AI487" s="507">
        <f>INPUT!CF477</f>
        <v>-46.447559207346544</v>
      </c>
      <c r="AJ487" s="151">
        <f>INPUT!CG477</f>
        <v>114.1</v>
      </c>
      <c r="AK487" s="507">
        <f>INPUT!CH477</f>
        <v>-18.963068181818176</v>
      </c>
      <c r="AL487" s="151">
        <f>INPUT!CI477</f>
        <v>108.6</v>
      </c>
      <c r="AM487" s="507">
        <f>INPUT!CJ477</f>
        <v>2.8409090909090828</v>
      </c>
      <c r="AN487" s="151">
        <f>INPUT!CK477</f>
        <v>161</v>
      </c>
      <c r="AO487" s="507">
        <f>INPUT!CL477</f>
        <v>21.969696969696972</v>
      </c>
      <c r="AP487" s="151">
        <f>INPUT!CM477</f>
        <v>104.30000000000001</v>
      </c>
      <c r="AQ487" s="507">
        <f>INPUT!CN477</f>
        <v>-5.8664259927797779</v>
      </c>
      <c r="AR487" s="151">
        <f>INPUT!CO477</f>
        <v>77</v>
      </c>
      <c r="AS487" s="507">
        <f>INPUT!CP477</f>
        <v>-32.515337423312886</v>
      </c>
      <c r="AT487" s="151">
        <f>INPUT!CQ477</f>
        <v>112</v>
      </c>
      <c r="AU487" s="507">
        <f>INPUT!CR477</f>
        <v>3.130755064456725</v>
      </c>
      <c r="AV487" s="151">
        <f>INPUT!CS477</f>
        <v>105</v>
      </c>
      <c r="AW487" s="507">
        <f>INPUT!CT477</f>
        <v>-34.782608695652172</v>
      </c>
      <c r="AX487" s="151">
        <f>INPUT!CU477</f>
        <v>95</v>
      </c>
      <c r="AY487" s="507">
        <f>INPUT!CV477</f>
        <v>-8.9165867689357743</v>
      </c>
      <c r="AZ487" s="151">
        <f>INPUT!CW477</f>
        <v>96</v>
      </c>
      <c r="BA487" s="507">
        <f>INPUT!CX477</f>
        <v>24.675324675324674</v>
      </c>
      <c r="BB487" s="151">
        <f>INPUT!CY477</f>
        <v>122</v>
      </c>
      <c r="BC487" s="507">
        <f>INPUT!CZ477</f>
        <v>8.9285714285714199</v>
      </c>
      <c r="BD487" s="151">
        <f>INPUT!DA477</f>
        <v>105</v>
      </c>
      <c r="BE487" s="507">
        <f>INPUT!DB477</f>
        <v>0</v>
      </c>
      <c r="BF487" s="151">
        <f>INPUT!DC477</f>
        <v>94</v>
      </c>
      <c r="BG487" s="507">
        <f>INPUT!DD477</f>
        <v>-1.0526315789473717</v>
      </c>
      <c r="BH487" s="151">
        <f>INPUT!DE477</f>
        <v>98</v>
      </c>
      <c r="BI487" s="507">
        <f>INPUT!DF477</f>
        <v>2.0833333333333259</v>
      </c>
      <c r="BJ487" s="151">
        <f>INPUT!DG477</f>
        <v>75</v>
      </c>
      <c r="BK487" s="507">
        <f>INPUT!DH477</f>
        <v>-38.524590163934427</v>
      </c>
      <c r="BL487" s="151">
        <f>INPUT!DI477</f>
        <v>77</v>
      </c>
      <c r="BM487" s="507">
        <f>INPUT!DJ477</f>
        <v>-26.666666666666671</v>
      </c>
      <c r="BN487" s="151">
        <f>INPUT!DK477</f>
        <v>85</v>
      </c>
      <c r="BO487" s="507">
        <f>INPUT!DL477</f>
        <v>-9.5744680851063801</v>
      </c>
      <c r="BP487" s="151">
        <f>INPUT!DM477</f>
        <v>73</v>
      </c>
      <c r="BQ487" s="507">
        <f>INPUT!DN477</f>
        <v>-25.510204081632647</v>
      </c>
      <c r="BR487" s="151">
        <f>INPUT!DO477</f>
        <v>81</v>
      </c>
      <c r="BS487" s="507">
        <f>INPUT!DP477</f>
        <v>8.0000000000000071</v>
      </c>
      <c r="BT487" s="151">
        <f>INPUT!DQ477</f>
        <v>90</v>
      </c>
      <c r="BU487" s="507">
        <f>INPUT!DR477</f>
        <v>16.883116883116877</v>
      </c>
      <c r="BV487" s="151">
        <f>INPUT!DS477</f>
        <v>71</v>
      </c>
      <c r="BW487" s="507">
        <f>INPUT!DT477</f>
        <v>-16.470588235294116</v>
      </c>
      <c r="BX487" s="151">
        <f>INPUT!DU477</f>
        <v>86</v>
      </c>
      <c r="BY487" s="507">
        <f>INPUT!DV477</f>
        <v>17.808219178082197</v>
      </c>
      <c r="BZ487" s="151">
        <f>INPUT!DW477</f>
        <v>122</v>
      </c>
      <c r="CA487" s="507">
        <f>INPUT!DX477</f>
        <v>122</v>
      </c>
      <c r="CB487" s="151">
        <f>INPUT!DY477</f>
        <v>63</v>
      </c>
      <c r="CC487" s="507">
        <f>INPUT!DZ477</f>
        <v>-30.000000000000004</v>
      </c>
      <c r="CD487" s="151">
        <f>INPUT!EA477</f>
        <v>41</v>
      </c>
      <c r="CE487" s="507">
        <f>INPUT!EB477</f>
        <v>-42.25352112676056</v>
      </c>
      <c r="CF487" s="151">
        <f>INPUT!EC477</f>
        <v>57</v>
      </c>
      <c r="CG487" s="507">
        <f>INPUT!ED477</f>
        <v>-33.720930232558146</v>
      </c>
      <c r="CH487" s="151">
        <f>INPUT!EE477</f>
        <v>85</v>
      </c>
      <c r="CI487" s="507">
        <f>INPUT!EF477</f>
        <v>-30.327868852459016</v>
      </c>
      <c r="CJ487" s="151">
        <f>INPUT!EG477</f>
        <v>84</v>
      </c>
      <c r="CK487" s="507">
        <f>INPUT!EH477</f>
        <v>33.333333333333329</v>
      </c>
      <c r="CL487" s="151">
        <f>INPUT!EI477</f>
        <v>56</v>
      </c>
      <c r="CM487" s="507">
        <f>INPUT!EJ477</f>
        <v>36.585365853658544</v>
      </c>
      <c r="CN487" s="151">
        <f>INPUT!EK477</f>
        <v>53</v>
      </c>
      <c r="CO487" s="507">
        <f>INPUT!EL477</f>
        <v>-7.0175438596491224</v>
      </c>
      <c r="CP487" s="151">
        <f>INPUT!EM477</f>
        <v>62</v>
      </c>
      <c r="CQ487" s="507">
        <f>INPUT!EN477</f>
        <v>-27.058823529411768</v>
      </c>
      <c r="CR487" s="151">
        <f>INPUT!EO477</f>
        <v>58</v>
      </c>
      <c r="CS487" s="507">
        <f>INPUT!EP477</f>
        <v>-30.952380952380953</v>
      </c>
      <c r="CT487" s="151">
        <f>INPUT!EQ477</f>
        <v>63</v>
      </c>
      <c r="CU487" s="507">
        <f>INPUT!ER477</f>
        <v>12.5</v>
      </c>
      <c r="CV487" s="151">
        <f>INPUT!ES477</f>
        <v>63</v>
      </c>
      <c r="CW487" s="507">
        <f>INPUT!ET477</f>
        <v>18.867924528301884</v>
      </c>
      <c r="CX487" s="151">
        <f>INPUT!EU477</f>
        <v>63</v>
      </c>
      <c r="CY487" s="507">
        <f>INPUT!EV477</f>
        <v>1.6129032258064502</v>
      </c>
      <c r="CZ487" s="151">
        <f>INPUT!EW477</f>
        <v>63</v>
      </c>
      <c r="DA487" s="507">
        <f>INPUT!EX477</f>
        <v>8.6206896551724199</v>
      </c>
      <c r="DB487" s="507"/>
      <c r="DC487" s="151">
        <f>INPUT!FP477</f>
        <v>98.5</v>
      </c>
      <c r="DD487" s="687" t="str">
        <f>INPUT!FQ477</f>
        <v>NA</v>
      </c>
      <c r="DE487" s="151">
        <f>INPUT!FR477</f>
        <v>75.053846153846138</v>
      </c>
      <c r="DF487" s="687">
        <f>INPUT!FS477</f>
        <v>-23.803201874267877</v>
      </c>
      <c r="DG487" s="151">
        <f>INPUT!FT477</f>
        <v>375.4</v>
      </c>
      <c r="DH487" s="687" t="str">
        <f>INPUT!FU477</f>
        <v>NM</v>
      </c>
      <c r="DI487" s="151">
        <f>INPUT!FV477</f>
        <v>444.7</v>
      </c>
      <c r="DJ487" s="687">
        <f>INPUT!FW477</f>
        <v>18.460309003729371</v>
      </c>
      <c r="DK487" s="151">
        <f>INPUT!FX477</f>
        <v>585.30000000000007</v>
      </c>
      <c r="DL487" s="507">
        <f>INPUT!FY477</f>
        <v>31.616820328311235</v>
      </c>
      <c r="DM487" s="151">
        <f>INPUT!FZ477</f>
        <v>494.5</v>
      </c>
      <c r="DN487" s="507">
        <f>INPUT!GA477</f>
        <v>-15.513411925508292</v>
      </c>
      <c r="DO487" s="151">
        <f>INPUT!GB477</f>
        <v>398.3</v>
      </c>
      <c r="DP487" s="507">
        <f>INPUT!GC477</f>
        <v>-19.453993933265924</v>
      </c>
      <c r="DQ487" s="151">
        <f>INPUT!GD477</f>
        <v>418</v>
      </c>
      <c r="DR487" s="507">
        <f>INPUT!GE477</f>
        <v>4.9460205874968688</v>
      </c>
      <c r="DS487" s="151">
        <f>INPUT!GF477</f>
        <v>344</v>
      </c>
      <c r="DT487" s="507">
        <f>INPUT!GG477</f>
        <v>-17.703349282296653</v>
      </c>
      <c r="DU487" s="151">
        <f>INPUT!GH477</f>
        <v>329</v>
      </c>
      <c r="DV487" s="507">
        <f>INPUT!GI477</f>
        <v>-4.360465116279066</v>
      </c>
      <c r="DW487" s="151">
        <f>INPUT!GJ477</f>
        <v>342</v>
      </c>
      <c r="DX487" s="507">
        <f>INPUT!GK477</f>
        <v>3.951367781155013</v>
      </c>
      <c r="DY487" s="151">
        <f>INPUT!GL477</f>
        <v>267</v>
      </c>
      <c r="DZ487" s="507">
        <f>INPUT!GM477</f>
        <v>-21.92982456140351</v>
      </c>
      <c r="EA487" s="151">
        <f>INPUT!GN477</f>
        <v>229</v>
      </c>
      <c r="EB487" s="507">
        <f>INPUT!GO477</f>
        <v>-14.232209737827716</v>
      </c>
      <c r="EC487" s="151">
        <f>INPUT!GP477</f>
        <v>252</v>
      </c>
      <c r="ED487" s="507">
        <f>INPUT!GQ477</f>
        <v>10.043668122270732</v>
      </c>
      <c r="EE487" s="151">
        <f>INPUT!GR477</f>
        <v>259.56</v>
      </c>
      <c r="EF487" s="507">
        <f>INPUT!GS477</f>
        <v>3.0000000000000027</v>
      </c>
      <c r="EG487" s="151">
        <f>INPUT!GT477</f>
        <v>264.75119999999998</v>
      </c>
      <c r="EH487" s="507">
        <f>INPUT!GU477</f>
        <v>2.0000000000000018</v>
      </c>
      <c r="EI487" s="151">
        <f>INPUT!GV477</f>
        <v>270.046224</v>
      </c>
      <c r="EJ487" s="507">
        <f>INPUT!GW477</f>
        <v>2.0000000000000018</v>
      </c>
      <c r="EK487" s="151">
        <f>INPUT!GX477</f>
        <v>275.44714848000001</v>
      </c>
      <c r="EL487" s="507">
        <f>INPUT!GY477</f>
        <v>2.0000000000000018</v>
      </c>
      <c r="EM487" s="687">
        <f>INPUT!GZ477</f>
        <v>3.7625317331082098</v>
      </c>
    </row>
    <row r="488" spans="1:143" ht="12.75" hidden="1" customHeight="1" outlineLevel="1" x14ac:dyDescent="0.2">
      <c r="A488" s="700" t="str">
        <f>INPUT!B480</f>
        <v>Total Expenses</v>
      </c>
      <c r="B488" s="16">
        <f>INPUT!AY480</f>
        <v>33.700000000000003</v>
      </c>
      <c r="C488" s="507">
        <f>INPUT!AZ480</f>
        <v>17.013888888888907</v>
      </c>
      <c r="D488" s="16">
        <f>INPUT!BA480</f>
        <v>110.6</v>
      </c>
      <c r="E488" s="687">
        <f>INPUT!BB480</f>
        <v>53.6111111111111</v>
      </c>
      <c r="F488" s="16">
        <f>INPUT!BC480</f>
        <v>78.8</v>
      </c>
      <c r="G488" s="687">
        <f>INPUT!BD480</f>
        <v>57.28542914171657</v>
      </c>
      <c r="H488" s="16">
        <f>INPUT!BE480</f>
        <v>118.6</v>
      </c>
      <c r="I488" s="687" t="str">
        <f>INPUT!BF480</f>
        <v>NM</v>
      </c>
      <c r="J488" s="16">
        <f>INPUT!BG480</f>
        <v>157.19999999999999</v>
      </c>
      <c r="K488" s="687" t="str">
        <f>INPUT!BH480</f>
        <v>NM</v>
      </c>
      <c r="L488" s="16">
        <f>INPUT!BI480</f>
        <v>190.3</v>
      </c>
      <c r="M488" s="687">
        <f>INPUT!BJ480</f>
        <v>72.061482820976508</v>
      </c>
      <c r="N488" s="16">
        <f>INPUT!BK480</f>
        <v>195.10000000000002</v>
      </c>
      <c r="O488" s="687" t="str">
        <f>INPUT!BL480</f>
        <v>NM</v>
      </c>
      <c r="P488" s="16">
        <f>INPUT!BM480</f>
        <v>217.99999999999997</v>
      </c>
      <c r="Q488" s="687">
        <f>INPUT!BN480</f>
        <v>83.811129848229342</v>
      </c>
      <c r="R488" s="16">
        <f>INPUT!BO480</f>
        <v>181.5</v>
      </c>
      <c r="S488" s="687">
        <f>INPUT!BP480</f>
        <v>15.458015267175584</v>
      </c>
      <c r="T488" s="16">
        <f>INPUT!BQ480</f>
        <v>178.4</v>
      </c>
      <c r="U488" s="687">
        <f>INPUT!BR480</f>
        <v>-6.2532842879663768</v>
      </c>
      <c r="V488" s="16">
        <f>INPUT!BS480</f>
        <v>194.7</v>
      </c>
      <c r="W488" s="687">
        <f>INPUT!BT480</f>
        <v>-0.2050230650948448</v>
      </c>
      <c r="X488" s="16">
        <f>INPUT!BU480</f>
        <v>202</v>
      </c>
      <c r="Y488" s="687">
        <f>INPUT!BV480</f>
        <v>-7.3394495412843934</v>
      </c>
      <c r="Z488" s="16">
        <f>INPUT!BW480</f>
        <v>271.60000000000002</v>
      </c>
      <c r="AA488" s="687">
        <f>INPUT!BX480</f>
        <v>49.641873278236929</v>
      </c>
      <c r="AB488" s="16">
        <f>INPUT!BY480</f>
        <v>201.7</v>
      </c>
      <c r="AC488" s="687">
        <f>INPUT!BZ480</f>
        <v>13.060538116591914</v>
      </c>
      <c r="AD488" s="16">
        <f>INPUT!CA480</f>
        <v>173.6</v>
      </c>
      <c r="AE488" s="687">
        <f>INPUT!CB480</f>
        <v>-10.837185413456595</v>
      </c>
      <c r="AF488" s="16">
        <f>INPUT!CC480</f>
        <v>200.1</v>
      </c>
      <c r="AG488" s="687">
        <f>INPUT!CD480</f>
        <v>-0.94059405940594143</v>
      </c>
      <c r="AH488" s="16">
        <f>INPUT!CE480</f>
        <v>178.9</v>
      </c>
      <c r="AI488" s="507">
        <f>INPUT!CF480</f>
        <v>-34.131075110456557</v>
      </c>
      <c r="AJ488" s="16">
        <f>INPUT!CG480</f>
        <v>183.1</v>
      </c>
      <c r="AK488" s="507">
        <f>INPUT!CH480</f>
        <v>-9.221616261774912</v>
      </c>
      <c r="AL488" s="16">
        <f>INPUT!CI480</f>
        <v>183.1</v>
      </c>
      <c r="AM488" s="507">
        <f>INPUT!CJ480</f>
        <v>5.4723502304147464</v>
      </c>
      <c r="AN488" s="16">
        <f>INPUT!CK480</f>
        <v>235.3</v>
      </c>
      <c r="AO488" s="507">
        <f>INPUT!CL480</f>
        <v>17.591204397801107</v>
      </c>
      <c r="AP488" s="16">
        <f>INPUT!CM480</f>
        <v>175.9</v>
      </c>
      <c r="AQ488" s="507">
        <f>INPUT!CN480</f>
        <v>-1.6769144773616573</v>
      </c>
      <c r="AR488" s="16">
        <f>INPUT!CO480</f>
        <v>149</v>
      </c>
      <c r="AS488" s="507">
        <f>INPUT!CP480</f>
        <v>-18.623702894593119</v>
      </c>
      <c r="AT488" s="16">
        <f>INPUT!CQ480</f>
        <v>183</v>
      </c>
      <c r="AU488" s="507">
        <f>INPUT!CR480</f>
        <v>-5.4614964500265817E-2</v>
      </c>
      <c r="AV488" s="16">
        <f>INPUT!CS480</f>
        <v>175</v>
      </c>
      <c r="AW488" s="507">
        <f>INPUT!CT480</f>
        <v>-25.626859328516794</v>
      </c>
      <c r="AX488" s="16">
        <f>INPUT!CU480</f>
        <v>163</v>
      </c>
      <c r="AY488" s="507">
        <f>INPUT!CV480</f>
        <v>-7.3337123365548651</v>
      </c>
      <c r="AZ488" s="16">
        <f>INPUT!CW480</f>
        <v>164</v>
      </c>
      <c r="BA488" s="507">
        <f>INPUT!CX480</f>
        <v>10.067114093959727</v>
      </c>
      <c r="BB488" s="16">
        <f>INPUT!CY480</f>
        <v>190</v>
      </c>
      <c r="BC488" s="507">
        <f>INPUT!CZ480</f>
        <v>3.8251366120218622</v>
      </c>
      <c r="BD488" s="16">
        <f>INPUT!DA480</f>
        <v>170</v>
      </c>
      <c r="BE488" s="507">
        <f>INPUT!DB480</f>
        <v>-2.8571428571428581</v>
      </c>
      <c r="BF488" s="16">
        <f>INPUT!DC480</f>
        <v>158</v>
      </c>
      <c r="BG488" s="507">
        <f>INPUT!DD480</f>
        <v>-3.0674846625766916</v>
      </c>
      <c r="BH488" s="16">
        <f>INPUT!DE480</f>
        <v>163</v>
      </c>
      <c r="BI488" s="507">
        <f>INPUT!DF480</f>
        <v>-0.60975609756097615</v>
      </c>
      <c r="BJ488" s="16">
        <f>INPUT!DG480</f>
        <v>142</v>
      </c>
      <c r="BK488" s="507">
        <f>INPUT!DH480</f>
        <v>-25.263157894736842</v>
      </c>
      <c r="BL488" s="16">
        <f>INPUT!DI480</f>
        <v>145</v>
      </c>
      <c r="BM488" s="507">
        <f>INPUT!DJ480</f>
        <v>-14.705882352941179</v>
      </c>
      <c r="BN488" s="16">
        <f>INPUT!DK480</f>
        <v>152</v>
      </c>
      <c r="BO488" s="507">
        <f>INPUT!DL480</f>
        <v>-3.7974683544303778</v>
      </c>
      <c r="BP488" s="16">
        <f>INPUT!DM480</f>
        <v>140</v>
      </c>
      <c r="BQ488" s="507">
        <f>INPUT!DN480</f>
        <v>-14.110429447852757</v>
      </c>
      <c r="BR488" s="16">
        <f>INPUT!DO480</f>
        <v>148</v>
      </c>
      <c r="BS488" s="507">
        <f>INPUT!DP480</f>
        <v>4.2253521126760507</v>
      </c>
      <c r="BT488" s="16">
        <f>INPUT!DQ480</f>
        <v>157</v>
      </c>
      <c r="BU488" s="507">
        <f>INPUT!DR480</f>
        <v>8.2758620689655125</v>
      </c>
      <c r="BV488" s="16">
        <f>INPUT!DS480</f>
        <v>139</v>
      </c>
      <c r="BW488" s="507">
        <f>INPUT!DT480</f>
        <v>-8.5526315789473664</v>
      </c>
      <c r="BX488" s="16">
        <f>INPUT!DU480</f>
        <v>155</v>
      </c>
      <c r="BY488" s="507">
        <f>INPUT!DV480</f>
        <v>10.714285714285721</v>
      </c>
      <c r="BZ488" s="16">
        <f>INPUT!DW480</f>
        <v>189</v>
      </c>
      <c r="CA488" s="507">
        <f>INPUT!DX480</f>
        <v>189</v>
      </c>
      <c r="CB488" s="16">
        <f>INPUT!DY480</f>
        <v>131</v>
      </c>
      <c r="CC488" s="507">
        <f>INPUT!DZ480</f>
        <v>-16.560509554140125</v>
      </c>
      <c r="CD488" s="16">
        <f>INPUT!EA480</f>
        <v>109</v>
      </c>
      <c r="CE488" s="507">
        <f>INPUT!EB480</f>
        <v>-21.582733812949641</v>
      </c>
      <c r="CF488" s="16">
        <f>INPUT!EC480</f>
        <v>125</v>
      </c>
      <c r="CG488" s="507">
        <f>INPUT!ED480</f>
        <v>-19.354838709677423</v>
      </c>
      <c r="CH488" s="16">
        <f>INPUT!EE480</f>
        <v>151</v>
      </c>
      <c r="CI488" s="507">
        <f>INPUT!EF480</f>
        <v>-20.105820105820104</v>
      </c>
      <c r="CJ488" s="16">
        <f>INPUT!EG480</f>
        <v>159</v>
      </c>
      <c r="CK488" s="507">
        <f>INPUT!EH480</f>
        <v>21.374045801526709</v>
      </c>
      <c r="CL488" s="16">
        <f>INPUT!EI480</f>
        <v>129</v>
      </c>
      <c r="CM488" s="507">
        <f>INPUT!EJ480</f>
        <v>18.348623853211009</v>
      </c>
      <c r="CN488" s="16">
        <f>INPUT!EK480</f>
        <v>130</v>
      </c>
      <c r="CO488" s="507">
        <f>INPUT!EL480</f>
        <v>4.0000000000000036</v>
      </c>
      <c r="CP488" s="16">
        <f>INPUT!EM480</f>
        <v>135</v>
      </c>
      <c r="CQ488" s="507">
        <f>INPUT!EN480</f>
        <v>-10.596026490066224</v>
      </c>
      <c r="CR488" s="16">
        <f>INPUT!EO480</f>
        <v>131</v>
      </c>
      <c r="CS488" s="507">
        <f>INPUT!EP480</f>
        <v>-17.610062893081757</v>
      </c>
      <c r="CT488" s="16">
        <f>INPUT!EQ480</f>
        <v>140.375</v>
      </c>
      <c r="CU488" s="507">
        <f>INPUT!ER480</f>
        <v>8.8178294573643345</v>
      </c>
      <c r="CV488" s="16">
        <f>INPUT!ES480</f>
        <v>140.375</v>
      </c>
      <c r="CW488" s="507">
        <f>INPUT!ET480</f>
        <v>7.9807692307692246</v>
      </c>
      <c r="CX488" s="16">
        <f>INPUT!EU480</f>
        <v>140.375</v>
      </c>
      <c r="CY488" s="507">
        <f>INPUT!EV480</f>
        <v>3.9814814814814747</v>
      </c>
      <c r="CZ488" s="16">
        <f>INPUT!EW480</f>
        <v>140.375</v>
      </c>
      <c r="DA488" s="507">
        <f>INPUT!EX480</f>
        <v>7.1564885496183228</v>
      </c>
      <c r="DB488" s="507"/>
      <c r="DC488" s="16">
        <f>INPUT!FP480</f>
        <v>185.7</v>
      </c>
      <c r="DD488" s="687" t="str">
        <f>INPUT!FQ480</f>
        <v>NA</v>
      </c>
      <c r="DE488" s="16">
        <f>INPUT!FR480</f>
        <v>341.69999999999993</v>
      </c>
      <c r="DF488" s="687">
        <f>INPUT!FS480</f>
        <v>84.006462035541162</v>
      </c>
      <c r="DG488" s="16">
        <f>INPUT!FT480</f>
        <v>760.59999999999991</v>
      </c>
      <c r="DH488" s="687" t="str">
        <f>INPUT!FU480</f>
        <v>NM</v>
      </c>
      <c r="DI488" s="16">
        <f>INPUT!FV480</f>
        <v>756.6</v>
      </c>
      <c r="DJ488" s="687">
        <f>INPUT!FW480</f>
        <v>-0.52590060478567846</v>
      </c>
      <c r="DK488" s="16">
        <f>INPUT!FX480</f>
        <v>847</v>
      </c>
      <c r="DL488" s="507">
        <f>INPUT!FY480</f>
        <v>11.948189267776899</v>
      </c>
      <c r="DM488" s="16">
        <f>INPUT!FZ480</f>
        <v>780.4</v>
      </c>
      <c r="DN488" s="507">
        <f>INPUT!GA480</f>
        <v>-7.8630460448642303</v>
      </c>
      <c r="DO488" s="16">
        <f>INPUT!GB480</f>
        <v>682.90000000000009</v>
      </c>
      <c r="DP488" s="507">
        <f>INPUT!GC480</f>
        <v>-12.493593029215777</v>
      </c>
      <c r="DQ488" s="16">
        <f>INPUT!GD480</f>
        <v>687</v>
      </c>
      <c r="DR488" s="507">
        <f>INPUT!GE480</f>
        <v>0.60038072924291086</v>
      </c>
      <c r="DS488" s="16">
        <f>INPUT!GF480</f>
        <v>608</v>
      </c>
      <c r="DT488" s="507">
        <f>INPUT!GG480</f>
        <v>-11.499272197962151</v>
      </c>
      <c r="DU488" s="16">
        <f>INPUT!GH480</f>
        <v>597</v>
      </c>
      <c r="DV488" s="507">
        <f>INPUT!GI480</f>
        <v>-1.8092105263157854</v>
      </c>
      <c r="DW488" s="16">
        <f>INPUT!GJ480</f>
        <v>614</v>
      </c>
      <c r="DX488" s="507">
        <f>INPUT!GK480</f>
        <v>2.8475711892797406</v>
      </c>
      <c r="DY488" s="16">
        <f>INPUT!GL480</f>
        <v>544</v>
      </c>
      <c r="DZ488" s="507">
        <f>INPUT!GM480</f>
        <v>-11.400651465798051</v>
      </c>
      <c r="EA488" s="16">
        <f>INPUT!GN480</f>
        <v>525</v>
      </c>
      <c r="EB488" s="507">
        <f>INPUT!GO480</f>
        <v>-3.4926470588235281</v>
      </c>
      <c r="EC488" s="16">
        <f>INPUT!GP480</f>
        <v>561.5</v>
      </c>
      <c r="ED488" s="507">
        <f>INPUT!GQ480</f>
        <v>6.9523809523809543</v>
      </c>
      <c r="EE488" s="16">
        <f>INPUT!GR480</f>
        <v>529.05999999999995</v>
      </c>
      <c r="EF488" s="507">
        <f>INPUT!GS480</f>
        <v>-5.7773820124666138</v>
      </c>
      <c r="EG488" s="16">
        <f>INPUT!GT480</f>
        <v>444.25119999999993</v>
      </c>
      <c r="EH488" s="507">
        <f>INPUT!GU480</f>
        <v>-16.030091104978649</v>
      </c>
      <c r="EI488" s="16">
        <f>INPUT!GV480</f>
        <v>449.54622399999994</v>
      </c>
      <c r="EJ488" s="507">
        <f>INPUT!GW480</f>
        <v>1.1918986375275997</v>
      </c>
      <c r="EK488" s="16">
        <f>INPUT!GX480</f>
        <v>454.94714848000001</v>
      </c>
      <c r="EL488" s="507">
        <f>INPUT!GY480</f>
        <v>1.2014169381612039</v>
      </c>
      <c r="EM488" s="687">
        <f>INPUT!GZ480</f>
        <v>-2.8237068122512143</v>
      </c>
    </row>
    <row r="489" spans="1:143" ht="12.75" hidden="1" customHeight="1" outlineLevel="1" x14ac:dyDescent="0.2">
      <c r="A489" s="701"/>
      <c r="B489" s="16"/>
      <c r="C489" s="507"/>
      <c r="D489" s="16"/>
      <c r="E489" s="687"/>
      <c r="F489" s="16"/>
      <c r="G489" s="687"/>
      <c r="H489" s="16"/>
      <c r="I489" s="687"/>
      <c r="J489" s="16"/>
      <c r="K489" s="687"/>
      <c r="L489" s="16"/>
      <c r="M489" s="687"/>
      <c r="N489" s="16"/>
      <c r="O489" s="687"/>
      <c r="P489" s="16"/>
      <c r="Q489" s="687"/>
      <c r="R489" s="16"/>
      <c r="S489" s="687"/>
      <c r="T489" s="16"/>
      <c r="U489" s="687"/>
      <c r="V489" s="16"/>
      <c r="W489" s="687"/>
      <c r="X489" s="16"/>
      <c r="Y489" s="687"/>
      <c r="Z489" s="16"/>
      <c r="AA489" s="687"/>
      <c r="AB489" s="16"/>
      <c r="AC489" s="687"/>
      <c r="AD489" s="16"/>
      <c r="AE489" s="687"/>
      <c r="AF489" s="16"/>
      <c r="AG489" s="687"/>
      <c r="AH489" s="16"/>
      <c r="AI489" s="507"/>
      <c r="AJ489" s="16"/>
      <c r="AK489" s="507"/>
      <c r="AL489" s="16"/>
      <c r="AM489" s="507"/>
      <c r="AN489" s="16"/>
      <c r="AO489" s="507"/>
      <c r="AP489" s="16"/>
      <c r="AQ489" s="507"/>
      <c r="AR489" s="16"/>
      <c r="AS489" s="507"/>
      <c r="AT489" s="16"/>
      <c r="AU489" s="507"/>
      <c r="AV489" s="16"/>
      <c r="AW489" s="507"/>
      <c r="AX489" s="16"/>
      <c r="AY489" s="507"/>
      <c r="AZ489" s="16"/>
      <c r="BA489" s="507"/>
      <c r="BB489" s="16"/>
      <c r="BC489" s="507"/>
      <c r="BD489" s="16"/>
      <c r="BE489" s="507"/>
      <c r="BF489" s="16"/>
      <c r="BG489" s="507"/>
      <c r="BH489" s="16"/>
      <c r="BI489" s="507"/>
      <c r="BJ489" s="16"/>
      <c r="BK489" s="507"/>
      <c r="BL489" s="16"/>
      <c r="BM489" s="507"/>
      <c r="BN489" s="16"/>
      <c r="BO489" s="507"/>
      <c r="BP489" s="16"/>
      <c r="BQ489" s="507"/>
      <c r="BR489" s="16"/>
      <c r="BS489" s="507"/>
      <c r="BT489" s="16"/>
      <c r="BU489" s="507"/>
      <c r="BV489" s="16"/>
      <c r="BW489" s="507"/>
      <c r="BX489" s="16"/>
      <c r="BY489" s="507"/>
      <c r="BZ489" s="16"/>
      <c r="CA489" s="507"/>
      <c r="CB489" s="16"/>
      <c r="CC489" s="507"/>
      <c r="CD489" s="16"/>
      <c r="CE489" s="507"/>
      <c r="CF489" s="16"/>
      <c r="CG489" s="507"/>
      <c r="CH489" s="16"/>
      <c r="CI489" s="507"/>
      <c r="CJ489" s="16"/>
      <c r="CK489" s="507"/>
      <c r="CL489" s="16"/>
      <c r="CM489" s="507"/>
      <c r="CN489" s="16"/>
      <c r="CO489" s="507"/>
      <c r="CP489" s="16"/>
      <c r="CQ489" s="507"/>
      <c r="CR489" s="16"/>
      <c r="CS489" s="507"/>
      <c r="CT489" s="16"/>
      <c r="CU489" s="507"/>
      <c r="CV489" s="16"/>
      <c r="CW489" s="507"/>
      <c r="CX489" s="16"/>
      <c r="CY489" s="507"/>
      <c r="CZ489" s="16"/>
      <c r="DA489" s="507"/>
      <c r="DB489" s="507"/>
      <c r="DC489" s="16"/>
      <c r="DD489" s="687"/>
      <c r="DE489" s="16"/>
      <c r="DF489" s="687"/>
      <c r="DG489" s="16"/>
      <c r="DH489" s="687"/>
      <c r="DI489" s="16"/>
      <c r="DJ489" s="687"/>
      <c r="DK489" s="16"/>
      <c r="DL489" s="507"/>
      <c r="DM489" s="16"/>
      <c r="DN489" s="507"/>
      <c r="DO489" s="16"/>
      <c r="DP489" s="507"/>
      <c r="DQ489" s="16"/>
      <c r="DR489" s="507"/>
      <c r="DS489" s="16"/>
      <c r="DT489" s="507"/>
      <c r="DU489" s="16"/>
      <c r="DV489" s="507"/>
      <c r="DW489" s="16"/>
      <c r="DX489" s="507"/>
      <c r="DY489" s="16"/>
      <c r="DZ489" s="507"/>
      <c r="EA489" s="16"/>
      <c r="EB489" s="507"/>
      <c r="EC489" s="16"/>
      <c r="ED489" s="507"/>
      <c r="EE489" s="16"/>
      <c r="EF489" s="507"/>
      <c r="EG489" s="16"/>
      <c r="EH489" s="507"/>
      <c r="EI489" s="16"/>
      <c r="EJ489" s="507"/>
      <c r="EK489" s="16"/>
      <c r="EL489" s="507"/>
      <c r="EM489" s="687"/>
    </row>
    <row r="490" spans="1:143" ht="12.75" hidden="1" customHeight="1" outlineLevel="1" x14ac:dyDescent="0.2">
      <c r="A490" s="701" t="str">
        <f>INPUT!B482</f>
        <v>Pretax Operating Earnings</v>
      </c>
      <c r="B490" s="151">
        <f>INPUT!AY482</f>
        <v>-2</v>
      </c>
      <c r="C490" s="507" t="str">
        <f>INPUT!AZ482</f>
        <v>NM</v>
      </c>
      <c r="D490" s="151">
        <f>INPUT!BA482</f>
        <v>-43</v>
      </c>
      <c r="E490" s="687" t="str">
        <f>INPUT!BB482</f>
        <v>NM</v>
      </c>
      <c r="F490" s="151">
        <f>INPUT!BC482</f>
        <v>-27.299999999999997</v>
      </c>
      <c r="G490" s="687" t="str">
        <f>INPUT!BD482</f>
        <v>NM</v>
      </c>
      <c r="H490" s="151">
        <f>INPUT!BE482</f>
        <v>-73</v>
      </c>
      <c r="I490" s="687" t="str">
        <f>INPUT!BF482</f>
        <v>NM</v>
      </c>
      <c r="J490" s="151">
        <f>INPUT!BG482</f>
        <v>-48.400000000000006</v>
      </c>
      <c r="K490" s="687" t="str">
        <f>INPUT!BH482</f>
        <v>NM</v>
      </c>
      <c r="L490" s="151">
        <f>INPUT!BI482</f>
        <v>-66.700000000000017</v>
      </c>
      <c r="M490" s="687">
        <f>INPUT!BJ482</f>
        <v>55.116279069767479</v>
      </c>
      <c r="N490" s="151">
        <f>INPUT!BK482</f>
        <v>-82.200000000000017</v>
      </c>
      <c r="O490" s="687" t="str">
        <f>INPUT!BL482</f>
        <v>NM</v>
      </c>
      <c r="P490" s="151">
        <f>INPUT!BM482</f>
        <v>-90.099999999999966</v>
      </c>
      <c r="Q490" s="687">
        <f>INPUT!BN482</f>
        <v>23.424657534246517</v>
      </c>
      <c r="R490" s="151">
        <f>INPUT!BO482</f>
        <v>-63.5</v>
      </c>
      <c r="S490" s="687">
        <f>INPUT!BP482</f>
        <v>31.198347107438007</v>
      </c>
      <c r="T490" s="151">
        <f>INPUT!BQ482</f>
        <v>-68.300000000000011</v>
      </c>
      <c r="U490" s="687">
        <f>INPUT!BR482</f>
        <v>2.398800599700146</v>
      </c>
      <c r="V490" s="151">
        <f>INPUT!BS482</f>
        <v>-58.5</v>
      </c>
      <c r="W490" s="687">
        <f>INPUT!BT482</f>
        <v>-28.832116788321184</v>
      </c>
      <c r="X490" s="151">
        <f>INPUT!BU482</f>
        <v>-80.400000000000006</v>
      </c>
      <c r="Y490" s="687">
        <f>INPUT!BV482</f>
        <v>-10.765815760266328</v>
      </c>
      <c r="Z490" s="151">
        <f>INPUT!BW482</f>
        <v>-166.20000000000002</v>
      </c>
      <c r="AA490" s="687" t="str">
        <f>INPUT!BX482</f>
        <v>NM</v>
      </c>
      <c r="AB490" s="151">
        <f>INPUT!BY482</f>
        <v>-86.299999999999983</v>
      </c>
      <c r="AC490" s="687">
        <f>INPUT!BZ482</f>
        <v>26.354319180087792</v>
      </c>
      <c r="AD490" s="151">
        <f>INPUT!CA482</f>
        <v>-54</v>
      </c>
      <c r="AE490" s="687">
        <f>INPUT!CB482</f>
        <v>-7.6923076923076872</v>
      </c>
      <c r="AF490" s="151">
        <f>INPUT!CC482</f>
        <v>-73.699999999999989</v>
      </c>
      <c r="AG490" s="687">
        <f>INPUT!CD482</f>
        <v>-8.3333333333333588</v>
      </c>
      <c r="AH490" s="151">
        <f>INPUT!CE482</f>
        <v>-55</v>
      </c>
      <c r="AI490" s="507" t="str">
        <f>INPUT!CF482</f>
        <v>NM</v>
      </c>
      <c r="AJ490" s="151">
        <f>INPUT!CG482</f>
        <v>-62.5</v>
      </c>
      <c r="AK490" s="507">
        <f>INPUT!CH482</f>
        <v>-27.578215527230576</v>
      </c>
      <c r="AL490" s="151">
        <f>INPUT!CI482</f>
        <v>-61.5</v>
      </c>
      <c r="AM490" s="507">
        <f>INPUT!CJ482</f>
        <v>13.888888888888884</v>
      </c>
      <c r="AN490" s="151">
        <f>INPUT!CK482</f>
        <v>-113.70000000000002</v>
      </c>
      <c r="AO490" s="507">
        <f>INPUT!CL482</f>
        <v>54.274084124830438</v>
      </c>
      <c r="AP490" s="151">
        <f>INPUT!CM482</f>
        <v>-57.900000000000006</v>
      </c>
      <c r="AQ490" s="507">
        <f>INPUT!CN482</f>
        <v>5.2727272727272734</v>
      </c>
      <c r="AR490" s="151">
        <f>INPUT!CO482</f>
        <v>-35</v>
      </c>
      <c r="AS490" s="507">
        <f>INPUT!CP482</f>
        <v>-43.999999999999993</v>
      </c>
      <c r="AT490" s="151">
        <f>INPUT!CQ482</f>
        <v>-61</v>
      </c>
      <c r="AU490" s="507">
        <f>INPUT!CR482</f>
        <v>-0.81300813008130524</v>
      </c>
      <c r="AV490" s="151">
        <f>INPUT!CS482</f>
        <v>-66</v>
      </c>
      <c r="AW490" s="507">
        <f>INPUT!CT482</f>
        <v>-41.95250659630608</v>
      </c>
      <c r="AX490" s="151">
        <f>INPUT!CU482</f>
        <v>-57</v>
      </c>
      <c r="AY490" s="507">
        <f>INPUT!CV482</f>
        <v>-1.5544041450777257</v>
      </c>
      <c r="AZ490" s="151">
        <f>INPUT!CW482</f>
        <v>-51</v>
      </c>
      <c r="BA490" s="507">
        <f>INPUT!CX482</f>
        <v>45.714285714285708</v>
      </c>
      <c r="BB490" s="151">
        <f>INPUT!CY482</f>
        <v>-89</v>
      </c>
      <c r="BC490" s="507">
        <f>INPUT!CZ482</f>
        <v>45.9016393442623</v>
      </c>
      <c r="BD490" s="151">
        <f>INPUT!DA482</f>
        <v>-67</v>
      </c>
      <c r="BE490" s="507">
        <f>INPUT!DB482</f>
        <v>1.5151515151515138</v>
      </c>
      <c r="BF490" s="151">
        <f>INPUT!DC482</f>
        <v>-56</v>
      </c>
      <c r="BG490" s="507">
        <f>INPUT!DD482</f>
        <v>-1.7543859649122862</v>
      </c>
      <c r="BH490" s="151">
        <f>INPUT!DE482</f>
        <v>-61</v>
      </c>
      <c r="BI490" s="507">
        <f>INPUT!DF482</f>
        <v>19.6078431372549</v>
      </c>
      <c r="BJ490" s="151">
        <f>INPUT!DG482</f>
        <v>-42</v>
      </c>
      <c r="BK490" s="507" t="str">
        <f>INPUT!DH482</f>
        <v>NM</v>
      </c>
      <c r="BL490" s="151">
        <f>INPUT!DI482</f>
        <v>-34</v>
      </c>
      <c r="BM490" s="507">
        <f>INPUT!DJ482</f>
        <v>-49.253731343283583</v>
      </c>
      <c r="BN490" s="151">
        <f>INPUT!DK482</f>
        <v>-46</v>
      </c>
      <c r="BO490" s="507">
        <f>INPUT!DL482</f>
        <v>-17.857142857142861</v>
      </c>
      <c r="BP490" s="151">
        <f>INPUT!DM482</f>
        <v>-34</v>
      </c>
      <c r="BQ490" s="507">
        <f>INPUT!DN482</f>
        <v>-44.262295081967217</v>
      </c>
      <c r="BR490" s="151">
        <f>INPUT!DO482</f>
        <v>-45</v>
      </c>
      <c r="BS490" s="507">
        <f>INPUT!DP482</f>
        <v>7.1428571428571397</v>
      </c>
      <c r="BT490" s="151">
        <f>INPUT!DQ482</f>
        <v>-40</v>
      </c>
      <c r="BU490" s="507">
        <f>INPUT!DR482</f>
        <v>17.647058823529417</v>
      </c>
      <c r="BV490" s="151">
        <f>INPUT!DS482</f>
        <v>-44</v>
      </c>
      <c r="BW490" s="507">
        <f>INPUT!DT482</f>
        <v>-4.3478260869565188</v>
      </c>
      <c r="BX490" s="151">
        <f>INPUT!DU482</f>
        <v>-59</v>
      </c>
      <c r="BY490" s="507">
        <f>INPUT!DV482</f>
        <v>73.529411764705884</v>
      </c>
      <c r="BZ490" s="151">
        <f>INPUT!DW482</f>
        <v>-93</v>
      </c>
      <c r="CA490" s="507">
        <f>INPUT!DX482</f>
        <v>-93</v>
      </c>
      <c r="CB490" s="151">
        <f>INPUT!DY482</f>
        <v>-45</v>
      </c>
      <c r="CC490" s="507">
        <f>INPUT!DZ482</f>
        <v>12.5</v>
      </c>
      <c r="CD490" s="151">
        <f>INPUT!EA482</f>
        <v>-27</v>
      </c>
      <c r="CE490" s="507">
        <f>INPUT!EB482</f>
        <v>-38.636363636363633</v>
      </c>
      <c r="CF490" s="151">
        <f>INPUT!EC482</f>
        <v>-46</v>
      </c>
      <c r="CG490" s="507">
        <f>INPUT!ED482</f>
        <v>-22.033898305084744</v>
      </c>
      <c r="CH490" s="151">
        <f>INPUT!EE482</f>
        <v>-67</v>
      </c>
      <c r="CI490" s="507">
        <f>INPUT!EF482</f>
        <v>-27.956989247311824</v>
      </c>
      <c r="CJ490" s="151">
        <f>INPUT!EG482</f>
        <v>-72</v>
      </c>
      <c r="CK490" s="507">
        <f>INPUT!EH482</f>
        <v>60.000000000000007</v>
      </c>
      <c r="CL490" s="151">
        <f>INPUT!EI482</f>
        <v>-41</v>
      </c>
      <c r="CM490" s="507">
        <f>INPUT!EJ482</f>
        <v>51.851851851851862</v>
      </c>
      <c r="CN490" s="151">
        <f>INPUT!EK482</f>
        <v>-63</v>
      </c>
      <c r="CO490" s="507">
        <f>INPUT!EL482</f>
        <v>36.956521739130444</v>
      </c>
      <c r="CP490" s="151">
        <f>INPUT!EM482</f>
        <v>-70</v>
      </c>
      <c r="CQ490" s="507">
        <f>INPUT!EN482</f>
        <v>4.4776119402984982</v>
      </c>
      <c r="CR490" s="151">
        <f>INPUT!EO482</f>
        <v>-63</v>
      </c>
      <c r="CS490" s="507">
        <f>INPUT!EP482</f>
        <v>-12.5</v>
      </c>
      <c r="CT490" s="151">
        <f>INPUT!EQ482</f>
        <v>-72.035000000000011</v>
      </c>
      <c r="CU490" s="507">
        <f>INPUT!ER482</f>
        <v>75.695121951219548</v>
      </c>
      <c r="CV490" s="151">
        <f>INPUT!ES482</f>
        <v>-71.693300000000022</v>
      </c>
      <c r="CW490" s="507">
        <f>INPUT!ET482</f>
        <v>13.798888888888916</v>
      </c>
      <c r="CX490" s="151">
        <f>INPUT!EU482</f>
        <v>-71.349891500000027</v>
      </c>
      <c r="CY490" s="507">
        <f>INPUT!EV482</f>
        <v>1.9284164285714667</v>
      </c>
      <c r="CZ490" s="151">
        <f>INPUT!EW482</f>
        <v>-71.004765957500041</v>
      </c>
      <c r="DA490" s="507">
        <f>INPUT!EX482</f>
        <v>12.705977710317518</v>
      </c>
      <c r="DB490" s="507"/>
      <c r="DC490" s="151">
        <f>INPUT!FP482</f>
        <v>-10.5</v>
      </c>
      <c r="DD490" s="687" t="str">
        <f>INPUT!FQ482</f>
        <v>NA</v>
      </c>
      <c r="DE490" s="151">
        <f>INPUT!FR482</f>
        <v>-145.29999999999993</v>
      </c>
      <c r="DF490" s="687" t="str">
        <f>INPUT!FS482</f>
        <v>NM</v>
      </c>
      <c r="DG490" s="151">
        <f>INPUT!FT482</f>
        <v>-287.39999999999986</v>
      </c>
      <c r="DH490" s="687">
        <f>INPUT!FU482</f>
        <v>97.797660013764641</v>
      </c>
      <c r="DI490" s="151">
        <f>INPUT!FV482</f>
        <v>-270.70000000000005</v>
      </c>
      <c r="DJ490" s="687">
        <f>INPUT!FW482</f>
        <v>-5.810716771050739</v>
      </c>
      <c r="DK490" s="151">
        <f>INPUT!FX482</f>
        <v>-380.2</v>
      </c>
      <c r="DL490" s="507">
        <f>INPUT!FY482</f>
        <v>40.450683413372701</v>
      </c>
      <c r="DM490" s="151">
        <f>INPUT!FZ482</f>
        <v>-292.7</v>
      </c>
      <c r="DN490" s="507">
        <f>INPUT!GA482</f>
        <v>-23.014203051025774</v>
      </c>
      <c r="DO490" s="151">
        <f>INPUT!GB482</f>
        <v>-219.90000000000009</v>
      </c>
      <c r="DP490" s="507">
        <f>INPUT!GC482</f>
        <v>-24.871882473522344</v>
      </c>
      <c r="DQ490" s="151">
        <f>INPUT!GD482</f>
        <v>-264</v>
      </c>
      <c r="DR490" s="507">
        <f>INPUT!GE482</f>
        <v>20.054570259208671</v>
      </c>
      <c r="DS490" s="151">
        <f>INPUT!GF482</f>
        <v>-193</v>
      </c>
      <c r="DT490" s="507">
        <f>INPUT!GG482</f>
        <v>-26.893939393939391</v>
      </c>
      <c r="DU490" s="151">
        <f>INPUT!GH482</f>
        <v>-165</v>
      </c>
      <c r="DV490" s="507">
        <f>INPUT!GI482</f>
        <v>-14.507772020725385</v>
      </c>
      <c r="DW490" s="151">
        <f>INPUT!GJ482</f>
        <v>-241</v>
      </c>
      <c r="DX490" s="507">
        <f>INPUT!GK482</f>
        <v>46.060606060606069</v>
      </c>
      <c r="DY490" s="151">
        <f>INPUT!GL482</f>
        <v>-212</v>
      </c>
      <c r="DZ490" s="507">
        <f>INPUT!GM482</f>
        <v>-12.03319502074689</v>
      </c>
      <c r="EA490" s="151">
        <f>INPUT!GN482</f>
        <v>-237</v>
      </c>
      <c r="EB490" s="507">
        <f>INPUT!GO482</f>
        <v>11.792452830188683</v>
      </c>
      <c r="EC490" s="151">
        <f>INPUT!GP482</f>
        <v>-286.08295745750013</v>
      </c>
      <c r="ED490" s="507">
        <f>INPUT!GQ482</f>
        <v>20.710108631856606</v>
      </c>
      <c r="EE490" s="151">
        <f>INPUT!GR482</f>
        <v>-250.88878703207507</v>
      </c>
      <c r="EF490" s="507">
        <f>INPUT!GS482</f>
        <v>-12.30208563914662</v>
      </c>
      <c r="EG490" s="151">
        <f>INPUT!GT482</f>
        <v>-157.7348506430373</v>
      </c>
      <c r="EH490" s="507">
        <f>INPUT!GU482</f>
        <v>-37.129573422158735</v>
      </c>
      <c r="EI490" s="151">
        <f>INPUT!GV482</f>
        <v>-154.43438416232846</v>
      </c>
      <c r="EJ490" s="507">
        <f>INPUT!GW482</f>
        <v>-2.0924142427965919</v>
      </c>
      <c r="EK490" s="151">
        <f>INPUT!GX482</f>
        <v>-150.98195344719835</v>
      </c>
      <c r="EL490" s="507">
        <f>INPUT!GY482</f>
        <v>-2.2355324132359078</v>
      </c>
      <c r="EM490" s="687">
        <f>INPUT!GZ482</f>
        <v>-8.6233275565949512</v>
      </c>
    </row>
    <row r="491" spans="1:143" ht="12.75" hidden="1" customHeight="1" outlineLevel="1" x14ac:dyDescent="0.2">
      <c r="A491" s="701" t="str">
        <f>INPUT!B483</f>
        <v>Taxes</v>
      </c>
      <c r="B491" s="151">
        <f>INPUT!AY483</f>
        <v>-2.2000000000000002</v>
      </c>
      <c r="C491" s="507" t="str">
        <f>INPUT!AZ483</f>
        <v>NM</v>
      </c>
      <c r="D491" s="151">
        <f>INPUT!BA483</f>
        <v>-17</v>
      </c>
      <c r="E491" s="687">
        <f>INPUT!BB483</f>
        <v>-25.764192139737986</v>
      </c>
      <c r="F491" s="151">
        <f>INPUT!BC483</f>
        <v>-15.9</v>
      </c>
      <c r="G491" s="687">
        <f>INPUT!BD483</f>
        <v>-2.4539877300613466</v>
      </c>
      <c r="H491" s="151">
        <f>INPUT!BE483</f>
        <v>-34.5</v>
      </c>
      <c r="I491" s="687" t="str">
        <f>INPUT!BF483</f>
        <v>NM</v>
      </c>
      <c r="J491" s="151">
        <f>INPUT!BG483</f>
        <v>-20.3</v>
      </c>
      <c r="K491" s="687" t="str">
        <f>INPUT!BH483</f>
        <v>NM</v>
      </c>
      <c r="L491" s="151">
        <f>INPUT!BI483</f>
        <v>-30.6</v>
      </c>
      <c r="M491" s="687">
        <f>INPUT!BJ483</f>
        <v>80</v>
      </c>
      <c r="N491" s="151">
        <f>INPUT!BK483</f>
        <v>-32.4</v>
      </c>
      <c r="O491" s="687" t="str">
        <f>INPUT!BL483</f>
        <v>NM</v>
      </c>
      <c r="P491" s="151">
        <f>INPUT!BM483</f>
        <v>-30.8</v>
      </c>
      <c r="Q491" s="687">
        <f>INPUT!BN483</f>
        <v>-10.724637681159422</v>
      </c>
      <c r="R491" s="151">
        <f>INPUT!BO483</f>
        <v>-21.2</v>
      </c>
      <c r="S491" s="687">
        <f>INPUT!BP483</f>
        <v>4.4334975369457963</v>
      </c>
      <c r="T491" s="151">
        <f>INPUT!BQ483</f>
        <v>-23.6</v>
      </c>
      <c r="U491" s="687">
        <f>INPUT!BR483</f>
        <v>-22.875816993464049</v>
      </c>
      <c r="V491" s="151">
        <f>INPUT!BS483</f>
        <v>-18.600000000000001</v>
      </c>
      <c r="W491" s="687">
        <f>INPUT!BT483</f>
        <v>-42.592592592592581</v>
      </c>
      <c r="X491" s="151">
        <f>INPUT!BU483</f>
        <v>-25.2</v>
      </c>
      <c r="Y491" s="687">
        <f>INPUT!BV483</f>
        <v>-18.181818181818187</v>
      </c>
      <c r="Z491" s="151">
        <f>INPUT!BW483</f>
        <v>-57.7</v>
      </c>
      <c r="AA491" s="687" t="str">
        <f>INPUT!BX483</f>
        <v>NM</v>
      </c>
      <c r="AB491" s="151">
        <f>INPUT!BY483</f>
        <v>-34</v>
      </c>
      <c r="AC491" s="687">
        <f>INPUT!BZ483</f>
        <v>44.067796610169488</v>
      </c>
      <c r="AD491" s="151">
        <f>INPUT!CA483</f>
        <v>-21.4</v>
      </c>
      <c r="AE491" s="687">
        <f>INPUT!CB483</f>
        <v>15.053763440860202</v>
      </c>
      <c r="AF491" s="151">
        <f>INPUT!CC483</f>
        <v>-30.2</v>
      </c>
      <c r="AG491" s="687">
        <f>INPUT!CD483</f>
        <v>19.841269841269838</v>
      </c>
      <c r="AH491" s="151">
        <f>INPUT!CE483</f>
        <v>-18.399999999999999</v>
      </c>
      <c r="AI491" s="507" t="str">
        <f>INPUT!CF483</f>
        <v>NM</v>
      </c>
      <c r="AJ491" s="151">
        <f>INPUT!CG483</f>
        <v>-26.4</v>
      </c>
      <c r="AK491" s="507">
        <f>INPUT!CH483</f>
        <v>-22.352941176470598</v>
      </c>
      <c r="AL491" s="151">
        <f>INPUT!CI483</f>
        <v>-21.8</v>
      </c>
      <c r="AM491" s="507">
        <f>INPUT!CJ483</f>
        <v>1.8691588785046731</v>
      </c>
      <c r="AN491" s="151">
        <f>INPUT!CK483</f>
        <v>-40</v>
      </c>
      <c r="AO491" s="507">
        <f>INPUT!CL483</f>
        <v>32.450331125827823</v>
      </c>
      <c r="AP491" s="151">
        <f>INPUT!CM483</f>
        <v>-22</v>
      </c>
      <c r="AQ491" s="507">
        <f>INPUT!CN483</f>
        <v>19.565217391304369</v>
      </c>
      <c r="AR491" s="151">
        <f>INPUT!CO483</f>
        <v>-13</v>
      </c>
      <c r="AS491" s="507" t="str">
        <f>INPUT!CP483</f>
        <v>NM</v>
      </c>
      <c r="AT491" s="151">
        <f>INPUT!CQ483</f>
        <v>-17.100000000000001</v>
      </c>
      <c r="AU491" s="507">
        <f>INPUT!CR483</f>
        <v>-21.559633027522928</v>
      </c>
      <c r="AV491" s="151">
        <f>INPUT!CS483</f>
        <v>-24</v>
      </c>
      <c r="AW491" s="507">
        <f>INPUT!CT483</f>
        <v>-40</v>
      </c>
      <c r="AX491" s="151">
        <f>INPUT!CU483</f>
        <v>-23</v>
      </c>
      <c r="AY491" s="507">
        <f>INPUT!CV483</f>
        <v>4.5454545454545414</v>
      </c>
      <c r="AZ491" s="151">
        <f>INPUT!CW483</f>
        <v>-12</v>
      </c>
      <c r="BA491" s="507">
        <f>INPUT!CX483</f>
        <v>-7.6923076923076872</v>
      </c>
      <c r="BB491" s="151">
        <f>INPUT!CY483</f>
        <v>-115</v>
      </c>
      <c r="BC491" s="507" t="str">
        <f>INPUT!CZ483</f>
        <v>NM</v>
      </c>
      <c r="BD491" s="151">
        <f>INPUT!DA483</f>
        <v>-27</v>
      </c>
      <c r="BE491" s="507">
        <f>INPUT!DB483</f>
        <v>12.5</v>
      </c>
      <c r="BF491" s="151">
        <f>INPUT!DC483</f>
        <v>-21</v>
      </c>
      <c r="BG491" s="507">
        <f>INPUT!DD483</f>
        <v>-8.6956521739130483</v>
      </c>
      <c r="BH491" s="151">
        <f>INPUT!DE483</f>
        <v>-21</v>
      </c>
      <c r="BI491" s="507">
        <f>INPUT!DF483</f>
        <v>75</v>
      </c>
      <c r="BJ491" s="151">
        <f>INPUT!DG483</f>
        <v>-15</v>
      </c>
      <c r="BK491" s="507" t="str">
        <f>INPUT!DH483</f>
        <v>NM</v>
      </c>
      <c r="BL491" s="151">
        <f>INPUT!DI483</f>
        <v>-15</v>
      </c>
      <c r="BM491" s="507">
        <f>INPUT!DJ483</f>
        <v>-44.444444444444443</v>
      </c>
      <c r="BN491" s="151">
        <f>INPUT!DK483</f>
        <v>-16</v>
      </c>
      <c r="BO491" s="507">
        <f>INPUT!DL483</f>
        <v>-23.809523809523814</v>
      </c>
      <c r="BP491" s="151">
        <f>INPUT!DM483</f>
        <v>-12</v>
      </c>
      <c r="BQ491" s="507">
        <f>INPUT!DN483</f>
        <v>-42.857142857142861</v>
      </c>
      <c r="BR491" s="151">
        <f>INPUT!DO483</f>
        <v>-16</v>
      </c>
      <c r="BS491" s="507">
        <f>INPUT!DP483</f>
        <v>6.6666666666666652</v>
      </c>
      <c r="BT491" s="151">
        <f>INPUT!DQ483</f>
        <v>-14</v>
      </c>
      <c r="BU491" s="507">
        <f>INPUT!DR483</f>
        <v>-6.6666666666666652</v>
      </c>
      <c r="BV491" s="151">
        <f>INPUT!DS483</f>
        <v>-17</v>
      </c>
      <c r="BW491" s="507">
        <f>INPUT!DT483</f>
        <v>6.25</v>
      </c>
      <c r="BX491" s="151">
        <f>INPUT!DU483</f>
        <v>-21</v>
      </c>
      <c r="BY491" s="507">
        <f>INPUT!DV483</f>
        <v>75</v>
      </c>
      <c r="BZ491" s="151">
        <f>INPUT!DW483</f>
        <v>-28</v>
      </c>
      <c r="CA491" s="507">
        <f>INPUT!DX483</f>
        <v>-28</v>
      </c>
      <c r="CB491" s="151">
        <f>INPUT!DY483</f>
        <v>-19</v>
      </c>
      <c r="CC491" s="507">
        <f>INPUT!DZ483</f>
        <v>35.714285714285722</v>
      </c>
      <c r="CD491" s="151">
        <f>INPUT!EA483</f>
        <v>-12</v>
      </c>
      <c r="CE491" s="507">
        <f>INPUT!EB483</f>
        <v>-29.411764705882348</v>
      </c>
      <c r="CF491" s="151">
        <f>INPUT!EC483</f>
        <v>-18</v>
      </c>
      <c r="CG491" s="507">
        <f>INPUT!ED483</f>
        <v>-14.28571428571429</v>
      </c>
      <c r="CH491" s="151">
        <f>INPUT!EE483</f>
        <v>-41</v>
      </c>
      <c r="CI491" s="507">
        <f>INPUT!EF483</f>
        <v>46.428571428571416</v>
      </c>
      <c r="CJ491" s="151">
        <f>INPUT!EG483</f>
        <v>-35</v>
      </c>
      <c r="CK491" s="507">
        <f>INPUT!EH483</f>
        <v>84.210526315789465</v>
      </c>
      <c r="CL491" s="151">
        <f>INPUT!EI483</f>
        <v>-28</v>
      </c>
      <c r="CM491" s="507" t="str">
        <f>INPUT!EJ483</f>
        <v>NM</v>
      </c>
      <c r="CN491" s="151">
        <f>INPUT!EK483</f>
        <v>-26</v>
      </c>
      <c r="CO491" s="507">
        <f>INPUT!EL483</f>
        <v>44.444444444444443</v>
      </c>
      <c r="CP491" s="151">
        <f>INPUT!EM483</f>
        <v>-50</v>
      </c>
      <c r="CQ491" s="507">
        <f>INPUT!EN483</f>
        <v>21.95121951219512</v>
      </c>
      <c r="CR491" s="151">
        <f>INPUT!EO483</f>
        <v>-25</v>
      </c>
      <c r="CS491" s="507">
        <f>INPUT!EP483</f>
        <v>-28.571428571428569</v>
      </c>
      <c r="CT491" s="151">
        <f>INPUT!EQ483</f>
        <v>-18.368925000000004</v>
      </c>
      <c r="CU491" s="507">
        <f>INPUT!ER483</f>
        <v>-34.396696428571417</v>
      </c>
      <c r="CV491" s="151">
        <f>INPUT!ES483</f>
        <v>-18.281791500000008</v>
      </c>
      <c r="CW491" s="507">
        <f>INPUT!ET483</f>
        <v>-29.685417307692276</v>
      </c>
      <c r="CX491" s="151">
        <f>INPUT!EU483</f>
        <v>-18.194222332500008</v>
      </c>
      <c r="CY491" s="507" t="str">
        <f>INPUT!EV483</f>
        <v>NM</v>
      </c>
      <c r="CZ491" s="151">
        <f>INPUT!EW483</f>
        <v>-18.106215319162512</v>
      </c>
      <c r="DA491" s="507">
        <f>INPUT!EX483</f>
        <v>-27.575138723349959</v>
      </c>
      <c r="DB491" s="507"/>
      <c r="DC491" s="151">
        <f>INPUT!FP483</f>
        <v>-64.600000000000009</v>
      </c>
      <c r="DD491" s="687" t="str">
        <f>INPUT!FQ483</f>
        <v>NA</v>
      </c>
      <c r="DE491" s="151">
        <f>INPUT!FR483</f>
        <v>-69.599999999999994</v>
      </c>
      <c r="DF491" s="687">
        <f>INPUT!FS483</f>
        <v>7.7399380804953344</v>
      </c>
      <c r="DG491" s="151">
        <f>INPUT!FT483</f>
        <v>-114.10000000000001</v>
      </c>
      <c r="DH491" s="687">
        <f>INPUT!FU483</f>
        <v>63.936781609195428</v>
      </c>
      <c r="DI491" s="151">
        <f>INPUT!FV483</f>
        <v>-88.6</v>
      </c>
      <c r="DJ491" s="687">
        <f>INPUT!FW483</f>
        <v>-22.348816827344443</v>
      </c>
      <c r="DK491" s="151">
        <f>INPUT!FX483</f>
        <v>-143.29999999999998</v>
      </c>
      <c r="DL491" s="507">
        <f>INPUT!FY483</f>
        <v>61.738148984198624</v>
      </c>
      <c r="DM491" s="151">
        <f>INPUT!FZ483</f>
        <v>-106.6</v>
      </c>
      <c r="DN491" s="507">
        <f>INPUT!GA483</f>
        <v>-25.610607117934403</v>
      </c>
      <c r="DO491" s="151">
        <f>INPUT!GB483</f>
        <v>-76.099999999999994</v>
      </c>
      <c r="DP491" s="507">
        <f>INPUT!GC483</f>
        <v>-28.611632270168851</v>
      </c>
      <c r="DQ491" s="151">
        <f>INPUT!GD483</f>
        <v>-177</v>
      </c>
      <c r="DR491" s="507" t="str">
        <f>INPUT!GE483</f>
        <v>NM</v>
      </c>
      <c r="DS491" s="151">
        <f>INPUT!GF483</f>
        <v>-72</v>
      </c>
      <c r="DT491" s="507" t="str">
        <f>INPUT!GG483</f>
        <v>NM</v>
      </c>
      <c r="DU491" s="151">
        <f>INPUT!GH483</f>
        <v>-58</v>
      </c>
      <c r="DV491" s="507">
        <f>INPUT!GI483</f>
        <v>-19.444444444444443</v>
      </c>
      <c r="DW491" s="151">
        <f>INPUT!GJ483</f>
        <v>-85</v>
      </c>
      <c r="DX491" s="507">
        <f>INPUT!GK483</f>
        <v>46.551724137931025</v>
      </c>
      <c r="DY491" s="151">
        <f>INPUT!GL483</f>
        <v>-106</v>
      </c>
      <c r="DZ491" s="507">
        <f>INPUT!GM483</f>
        <v>24.705882352941178</v>
      </c>
      <c r="EA491" s="151">
        <f>INPUT!GN483</f>
        <v>-129</v>
      </c>
      <c r="EB491" s="507">
        <f>INPUT!GO483</f>
        <v>21.698113207547177</v>
      </c>
      <c r="EC491" s="151">
        <f>INPUT!GP483</f>
        <v>-72.951154151662536</v>
      </c>
      <c r="ED491" s="507">
        <f>INPUT!GQ483</f>
        <v>-43.448717711889508</v>
      </c>
      <c r="EE491" s="151">
        <f>INPUT!GR483</f>
        <v>-60.21330888769802</v>
      </c>
      <c r="EF491" s="507">
        <f>INPUT!GS483</f>
        <v>-17.460786483902702</v>
      </c>
      <c r="EG491" s="151">
        <f>INPUT!GT483</f>
        <v>-37.856364154328951</v>
      </c>
      <c r="EH491" s="507">
        <f>INPUT!GU483</f>
        <v>-37.129573422158735</v>
      </c>
      <c r="EI491" s="151">
        <f>INPUT!GV483</f>
        <v>-37.064252198958826</v>
      </c>
      <c r="EJ491" s="507">
        <f>INPUT!GW483</f>
        <v>-2.0924142427965919</v>
      </c>
      <c r="EK491" s="151">
        <f>INPUT!GX483</f>
        <v>-36.235668827327601</v>
      </c>
      <c r="EL491" s="507">
        <f>INPUT!GY483</f>
        <v>-2.2355324132359078</v>
      </c>
      <c r="EM491" s="687">
        <f>INPUT!GZ483</f>
        <v>-22.427227389170191</v>
      </c>
    </row>
    <row r="492" spans="1:143" ht="12.75" hidden="1" customHeight="1" outlineLevel="1" x14ac:dyDescent="0.2">
      <c r="A492" s="701" t="str">
        <f>INPUT!B484</f>
        <v>Tax Rate (%)</v>
      </c>
      <c r="B492" s="151">
        <f>INPUT!AY484</f>
        <v>110.00000000000001</v>
      </c>
      <c r="C492" s="507">
        <f>INPUT!AZ484</f>
        <v>-16.400000000000013</v>
      </c>
      <c r="D492" s="151">
        <f>INPUT!BA484</f>
        <v>39.534883720930232</v>
      </c>
      <c r="E492" s="687" t="str">
        <f>INPUT!BB484</f>
        <v>NM</v>
      </c>
      <c r="F492" s="151">
        <f>INPUT!BC484</f>
        <v>58.241758241758248</v>
      </c>
      <c r="G492" s="687" t="str">
        <f>INPUT!BD484</f>
        <v>NM</v>
      </c>
      <c r="H492" s="151">
        <f>INPUT!BE484</f>
        <v>47.260273972602739</v>
      </c>
      <c r="I492" s="687" t="str">
        <f>INPUT!BF484</f>
        <v>NM</v>
      </c>
      <c r="J492" s="151">
        <f>INPUT!BG484</f>
        <v>41.942148760330575</v>
      </c>
      <c r="K492" s="687" t="str">
        <f>INPUT!BH484</f>
        <v>NM</v>
      </c>
      <c r="L492" s="151">
        <f>INPUT!BI484</f>
        <v>45.877061469265357</v>
      </c>
      <c r="M492" s="687">
        <f>INPUT!BJ484</f>
        <v>16.041979010494735</v>
      </c>
      <c r="N492" s="151">
        <f>INPUT!BK484</f>
        <v>39.416058394160572</v>
      </c>
      <c r="O492" s="687">
        <f>INPUT!BL484</f>
        <v>-32.323371436441285</v>
      </c>
      <c r="P492" s="151">
        <f>INPUT!BM484</f>
        <v>34.184239733629312</v>
      </c>
      <c r="Q492" s="687">
        <f>INPUT!BN484</f>
        <v>-27.668130418697402</v>
      </c>
      <c r="R492" s="151">
        <f>INPUT!BO484</f>
        <v>33.385826771653541</v>
      </c>
      <c r="S492" s="687">
        <f>INPUT!BP484</f>
        <v>-20.400294790737362</v>
      </c>
      <c r="T492" s="151">
        <f>INPUT!BQ484</f>
        <v>34.553440702781842</v>
      </c>
      <c r="U492" s="687">
        <f>INPUT!BR484</f>
        <v>-24.682532847204264</v>
      </c>
      <c r="V492" s="151">
        <f>INPUT!BS484</f>
        <v>31.794871794871799</v>
      </c>
      <c r="W492" s="687">
        <f>INPUT!BT484</f>
        <v>-19.335232668565972</v>
      </c>
      <c r="X492" s="151">
        <f>INPUT!BU484</f>
        <v>31.343283582089548</v>
      </c>
      <c r="Y492" s="687">
        <f>INPUT!BV484</f>
        <v>-8.3107191316146967</v>
      </c>
      <c r="Z492" s="151">
        <f>INPUT!BW484</f>
        <v>34.717208182912152</v>
      </c>
      <c r="AA492" s="687">
        <f>INPUT!BX484</f>
        <v>3.9878641327793396</v>
      </c>
      <c r="AB492" s="151">
        <f>INPUT!BY484</f>
        <v>39.397450753186561</v>
      </c>
      <c r="AC492" s="687">
        <f>INPUT!BZ484</f>
        <v>14.018893493332296</v>
      </c>
      <c r="AD492" s="151">
        <f>INPUT!CA484</f>
        <v>39.629629629629626</v>
      </c>
      <c r="AE492" s="687">
        <f>INPUT!CB484</f>
        <v>24.641577060931862</v>
      </c>
      <c r="AF492" s="151">
        <f>INPUT!CC484</f>
        <v>40.976933514246952</v>
      </c>
      <c r="AG492" s="687">
        <f>INPUT!CD484</f>
        <v>30.735930735930772</v>
      </c>
      <c r="AH492" s="151">
        <f>INPUT!CE484</f>
        <v>33.454545454545453</v>
      </c>
      <c r="AI492" s="507">
        <f>INPUT!CF484</f>
        <v>-3.6369938553647341</v>
      </c>
      <c r="AJ492" s="151">
        <f>INPUT!CG484</f>
        <v>42.24</v>
      </c>
      <c r="AK492" s="507">
        <f>INPUT!CH484</f>
        <v>7.2150588235294189</v>
      </c>
      <c r="AL492" s="151">
        <f>INPUT!CI484</f>
        <v>35.447154471544721</v>
      </c>
      <c r="AM492" s="507">
        <f>INPUT!CJ484</f>
        <v>-10.553909277410511</v>
      </c>
      <c r="AN492" s="151">
        <f>INPUT!CK484</f>
        <v>35.180299032541775</v>
      </c>
      <c r="AO492" s="507">
        <f>INPUT!CL484</f>
        <v>-14.146091433830177</v>
      </c>
      <c r="AP492" s="151">
        <f>INPUT!CM484</f>
        <v>37.996545768566492</v>
      </c>
      <c r="AQ492" s="507">
        <f>INPUT!CN484</f>
        <v>13.576631373432457</v>
      </c>
      <c r="AR492" s="151">
        <f>INPUT!CO484</f>
        <v>37.142857142857146</v>
      </c>
      <c r="AS492" s="507">
        <f>INPUT!CP484</f>
        <v>-12.067099567099559</v>
      </c>
      <c r="AT492" s="151">
        <f>INPUT!CQ484</f>
        <v>28.032786885245901</v>
      </c>
      <c r="AU492" s="507">
        <f>INPUT!CR484</f>
        <v>-20.916679199879695</v>
      </c>
      <c r="AV492" s="151">
        <f>INPUT!CS484</f>
        <v>36.363636363636367</v>
      </c>
      <c r="AW492" s="507">
        <f>INPUT!CT484</f>
        <v>3.3636363636363686</v>
      </c>
      <c r="AX492" s="151">
        <f>INPUT!CU484</f>
        <v>40.350877192982452</v>
      </c>
      <c r="AY492" s="507">
        <f>INPUT!CV484</f>
        <v>6.1961722488038218</v>
      </c>
      <c r="AZ492" s="151">
        <f>INPUT!CW484</f>
        <v>23.52941176470588</v>
      </c>
      <c r="BA492" s="507">
        <f>INPUT!CX484</f>
        <v>-36.651583710407252</v>
      </c>
      <c r="BB492" s="151">
        <f>INPUT!CY484</f>
        <v>129.21348314606743</v>
      </c>
      <c r="BC492" s="507" t="str">
        <f>INPUT!CZ484</f>
        <v>NM</v>
      </c>
      <c r="BD492" s="151">
        <f>INPUT!DA484</f>
        <v>40.298507462686565</v>
      </c>
      <c r="BE492" s="507">
        <f>INPUT!DB484</f>
        <v>10.820895522388053</v>
      </c>
      <c r="BF492" s="151">
        <f>INPUT!DC484</f>
        <v>37.5</v>
      </c>
      <c r="BG492" s="507">
        <f>INPUT!DD484</f>
        <v>-7.0652173913043352</v>
      </c>
      <c r="BH492" s="151">
        <f>INPUT!DE484</f>
        <v>34.42622950819672</v>
      </c>
      <c r="BI492" s="507">
        <f>INPUT!DF484</f>
        <v>46.311475409836063</v>
      </c>
      <c r="BJ492" s="151">
        <f>INPUT!DG484</f>
        <v>35.714285714285715</v>
      </c>
      <c r="BK492" s="507" t="str">
        <f>INPUT!DH484</f>
        <v>NM</v>
      </c>
      <c r="BL492" s="151">
        <f>INPUT!DI484</f>
        <v>44.117647058823529</v>
      </c>
      <c r="BM492" s="507">
        <f>INPUT!DJ484</f>
        <v>9.4771241830065467</v>
      </c>
      <c r="BN492" s="151">
        <f>INPUT!DK484</f>
        <v>34.782608695652172</v>
      </c>
      <c r="BO492" s="507">
        <f>INPUT!DL484</f>
        <v>-7.2463768115942129</v>
      </c>
      <c r="BP492" s="151">
        <f>INPUT!DM484</f>
        <v>35.294117647058826</v>
      </c>
      <c r="BQ492" s="507">
        <f>INPUT!DN484</f>
        <v>2.5210084033613578</v>
      </c>
      <c r="BR492" s="151">
        <f>INPUT!DO484</f>
        <v>35.555555555555557</v>
      </c>
      <c r="BS492" s="507">
        <f>INPUT!DP484</f>
        <v>-0.44444444444444731</v>
      </c>
      <c r="BT492" s="151">
        <f>INPUT!DQ484</f>
        <v>35</v>
      </c>
      <c r="BU492" s="507">
        <f>INPUT!DR484</f>
        <v>-20.666666666666668</v>
      </c>
      <c r="BV492" s="151">
        <f>INPUT!DS484</f>
        <v>38.636363636363633</v>
      </c>
      <c r="BW492" s="507">
        <f>INPUT!DT484</f>
        <v>11.079545454545459</v>
      </c>
      <c r="BX492" s="151">
        <f>INPUT!DU484</f>
        <v>35.593220338983052</v>
      </c>
      <c r="BY492" s="507">
        <f>INPUT!DV484</f>
        <v>0.84745762711864181</v>
      </c>
      <c r="BZ492" s="151">
        <f>INPUT!DW484</f>
        <v>30.107526881720432</v>
      </c>
      <c r="CA492" s="507">
        <f>INPUT!DX484</f>
        <v>30.107526881720432</v>
      </c>
      <c r="CB492" s="151">
        <f>INPUT!DY484</f>
        <v>42.222222222222221</v>
      </c>
      <c r="CC492" s="507">
        <f>INPUT!DZ484</f>
        <v>20.634920634920629</v>
      </c>
      <c r="CD492" s="151">
        <f>INPUT!EA484</f>
        <v>44.444444444444443</v>
      </c>
      <c r="CE492" s="507">
        <f>INPUT!EB484</f>
        <v>15.032679738562106</v>
      </c>
      <c r="CF492" s="151">
        <f>INPUT!EC484</f>
        <v>39.130434782608695</v>
      </c>
      <c r="CG492" s="507">
        <f>INPUT!ED484</f>
        <v>9.9378881987577614</v>
      </c>
      <c r="CH492" s="151">
        <f>INPUT!EE484</f>
        <v>61.194029850746269</v>
      </c>
      <c r="CI492" s="507" t="str">
        <f>INPUT!EF484</f>
        <v>NM</v>
      </c>
      <c r="CJ492" s="151">
        <f>INPUT!EG484</f>
        <v>48.611111111111107</v>
      </c>
      <c r="CK492" s="507">
        <f>INPUT!EH484</f>
        <v>15.131578947368407</v>
      </c>
      <c r="CL492" s="151">
        <f>INPUT!EI484</f>
        <v>68.292682926829272</v>
      </c>
      <c r="CM492" s="507">
        <f>INPUT!EJ484</f>
        <v>53.658536585365859</v>
      </c>
      <c r="CN492" s="151">
        <f>INPUT!EK484</f>
        <v>41.269841269841265</v>
      </c>
      <c r="CO492" s="507">
        <f>INPUT!EL484</f>
        <v>5.4673721340387837</v>
      </c>
      <c r="CP492" s="151">
        <f>INPUT!EM484</f>
        <v>71.428571428571431</v>
      </c>
      <c r="CQ492" s="507">
        <f>INPUT!EN484</f>
        <v>16.724738675958186</v>
      </c>
      <c r="CR492" s="151">
        <f>INPUT!EO484</f>
        <v>39.682539682539684</v>
      </c>
      <c r="CS492" s="507">
        <f>INPUT!EP484</f>
        <v>-18.367346938775498</v>
      </c>
      <c r="CT492" s="151">
        <f>INPUT!EQ484</f>
        <v>25.5</v>
      </c>
      <c r="CU492" s="507" t="str">
        <f>INPUT!ER484</f>
        <v>NM</v>
      </c>
      <c r="CV492" s="151">
        <f>INPUT!ES484</f>
        <v>25.5</v>
      </c>
      <c r="CW492" s="507">
        <f>INPUT!ET484</f>
        <v>-38.211538461538453</v>
      </c>
      <c r="CX492" s="151">
        <f>INPUT!EU484</f>
        <v>25.5</v>
      </c>
      <c r="CY492" s="507" t="str">
        <f>INPUT!EV484</f>
        <v>NM</v>
      </c>
      <c r="CZ492" s="151">
        <f>INPUT!EW484</f>
        <v>25.5</v>
      </c>
      <c r="DA492" s="507">
        <f>INPUT!EX484</f>
        <v>-35.74</v>
      </c>
      <c r="DB492" s="507"/>
      <c r="DC492" s="151">
        <f>INPUT!FP484</f>
        <v>615.23809523809541</v>
      </c>
      <c r="DD492" s="687" t="str">
        <f>INPUT!FQ484</f>
        <v>NA</v>
      </c>
      <c r="DE492" s="151">
        <f>INPUT!FR484</f>
        <v>47.900894700619432</v>
      </c>
      <c r="DF492" s="687" t="str">
        <f>INPUT!FS484</f>
        <v>NM</v>
      </c>
      <c r="DG492" s="151">
        <f>INPUT!FT484</f>
        <v>39.700765483646506</v>
      </c>
      <c r="DH492" s="687">
        <f>INPUT!FU484</f>
        <v>-17.118947919916174</v>
      </c>
      <c r="DI492" s="151">
        <f>INPUT!FV484</f>
        <v>32.729959364610259</v>
      </c>
      <c r="DJ492" s="687">
        <f>INPUT!FW484</f>
        <v>-17.55836703427709</v>
      </c>
      <c r="DK492" s="151">
        <f>INPUT!FX484</f>
        <v>37.690689110994207</v>
      </c>
      <c r="DL492" s="507">
        <f>INPUT!FY484</f>
        <v>15.15654111000153</v>
      </c>
      <c r="DM492" s="151">
        <f>INPUT!FZ484</f>
        <v>36.419542193372052</v>
      </c>
      <c r="DN492" s="507">
        <f>INPUT!GA484</f>
        <v>-3.3725754227490801</v>
      </c>
      <c r="DO492" s="151">
        <f>INPUT!GB484</f>
        <v>34.606639381537043</v>
      </c>
      <c r="DP492" s="507">
        <f>INPUT!GC484</f>
        <v>-4.9778297657045663</v>
      </c>
      <c r="DQ492" s="151">
        <f>INPUT!GD484</f>
        <v>67.045454545454547</v>
      </c>
      <c r="DR492" s="507">
        <f>INPUT!GE484</f>
        <v>93.735814120176912</v>
      </c>
      <c r="DS492" s="151">
        <f>INPUT!GF484</f>
        <v>37.305699481865283</v>
      </c>
      <c r="DT492" s="507">
        <f>INPUT!GG484</f>
        <v>-44.357600772811104</v>
      </c>
      <c r="DU492" s="151">
        <f>INPUT!GH484</f>
        <v>35.151515151515149</v>
      </c>
      <c r="DV492" s="507">
        <f>INPUT!GI484</f>
        <v>-5.7744107744107769</v>
      </c>
      <c r="DW492" s="151">
        <f>INPUT!GJ484</f>
        <v>35.269709543568467</v>
      </c>
      <c r="DX492" s="507">
        <f>INPUT!GK484</f>
        <v>0.33624266704823658</v>
      </c>
      <c r="DY492" s="151">
        <f>INPUT!GL484</f>
        <v>50</v>
      </c>
      <c r="DZ492" s="507">
        <f>INPUT!GM484</f>
        <v>41.764705882352928</v>
      </c>
      <c r="EA492" s="151">
        <f>INPUT!GN484</f>
        <v>54.430379746835442</v>
      </c>
      <c r="EB492" s="507">
        <f>INPUT!GO484</f>
        <v>8.8607594936708889</v>
      </c>
      <c r="EC492" s="151">
        <f>INPUT!GP484</f>
        <v>25.5</v>
      </c>
      <c r="ED492" s="507" t="str">
        <f>INPUT!GQ484</f>
        <v>NM</v>
      </c>
      <c r="EE492" s="151">
        <f>INPUT!GR484</f>
        <v>24</v>
      </c>
      <c r="EF492" s="507">
        <f>INPUT!GS484</f>
        <v>-5.8823529411764719</v>
      </c>
      <c r="EG492" s="151">
        <f>INPUT!GT484</f>
        <v>24</v>
      </c>
      <c r="EH492" s="507">
        <f>INPUT!GU484</f>
        <v>0</v>
      </c>
      <c r="EI492" s="151">
        <f>INPUT!GV484</f>
        <v>24</v>
      </c>
      <c r="EJ492" s="507">
        <f>INPUT!GW484</f>
        <v>0</v>
      </c>
      <c r="EK492" s="151">
        <f>INPUT!GX484</f>
        <v>24</v>
      </c>
      <c r="EL492" s="507">
        <f>INPUT!GY484</f>
        <v>0</v>
      </c>
      <c r="EM492" s="687">
        <f>INPUT!GZ484</f>
        <v>-15.106590624784245</v>
      </c>
    </row>
    <row r="493" spans="1:143" ht="12.75" hidden="1" customHeight="1" outlineLevel="1" x14ac:dyDescent="0.2">
      <c r="A493" s="701" t="e">
        <f>INPUT!#REF!</f>
        <v>#REF!</v>
      </c>
      <c r="B493" s="16" t="e">
        <f>INPUT!#REF!</f>
        <v>#REF!</v>
      </c>
      <c r="C493" s="507" t="e">
        <f>INPUT!#REF!</f>
        <v>#REF!</v>
      </c>
      <c r="D493" s="16" t="e">
        <f>INPUT!#REF!</f>
        <v>#REF!</v>
      </c>
      <c r="E493" s="687" t="e">
        <f>INPUT!#REF!</f>
        <v>#REF!</v>
      </c>
      <c r="F493" s="16" t="e">
        <f>INPUT!#REF!</f>
        <v>#REF!</v>
      </c>
      <c r="G493" s="687" t="e">
        <f>INPUT!#REF!</f>
        <v>#REF!</v>
      </c>
      <c r="H493" s="16" t="e">
        <f>INPUT!#REF!</f>
        <v>#REF!</v>
      </c>
      <c r="I493" s="687" t="e">
        <f>INPUT!#REF!</f>
        <v>#REF!</v>
      </c>
      <c r="J493" s="16" t="e">
        <f>INPUT!#REF!</f>
        <v>#REF!</v>
      </c>
      <c r="K493" s="687" t="e">
        <f>INPUT!#REF!</f>
        <v>#REF!</v>
      </c>
      <c r="L493" s="16" t="e">
        <f>INPUT!#REF!</f>
        <v>#REF!</v>
      </c>
      <c r="M493" s="687" t="e">
        <f>INPUT!#REF!</f>
        <v>#REF!</v>
      </c>
      <c r="N493" s="16" t="e">
        <f>INPUT!#REF!</f>
        <v>#REF!</v>
      </c>
      <c r="O493" s="687" t="e">
        <f>INPUT!#REF!</f>
        <v>#REF!</v>
      </c>
      <c r="P493" s="16" t="e">
        <f>INPUT!#REF!</f>
        <v>#REF!</v>
      </c>
      <c r="Q493" s="687" t="e">
        <f>INPUT!#REF!</f>
        <v>#REF!</v>
      </c>
      <c r="R493" s="16" t="e">
        <f>INPUT!#REF!</f>
        <v>#REF!</v>
      </c>
      <c r="S493" s="687" t="e">
        <f>INPUT!#REF!</f>
        <v>#REF!</v>
      </c>
      <c r="T493" s="16" t="e">
        <f>INPUT!#REF!</f>
        <v>#REF!</v>
      </c>
      <c r="U493" s="687" t="e">
        <f>INPUT!#REF!</f>
        <v>#REF!</v>
      </c>
      <c r="V493" s="16" t="e">
        <f>INPUT!#REF!</f>
        <v>#REF!</v>
      </c>
      <c r="W493" s="687" t="e">
        <f>INPUT!#REF!</f>
        <v>#REF!</v>
      </c>
      <c r="X493" s="16" t="e">
        <f>INPUT!#REF!</f>
        <v>#REF!</v>
      </c>
      <c r="Y493" s="687" t="e">
        <f>INPUT!#REF!</f>
        <v>#REF!</v>
      </c>
      <c r="Z493" s="16" t="e">
        <f>INPUT!#REF!</f>
        <v>#REF!</v>
      </c>
      <c r="AA493" s="687" t="e">
        <f>INPUT!#REF!</f>
        <v>#REF!</v>
      </c>
      <c r="AB493" s="16" t="e">
        <f>INPUT!#REF!</f>
        <v>#REF!</v>
      </c>
      <c r="AC493" s="687" t="e">
        <f>INPUT!#REF!</f>
        <v>#REF!</v>
      </c>
      <c r="AD493" s="16" t="e">
        <f>INPUT!#REF!</f>
        <v>#REF!</v>
      </c>
      <c r="AE493" s="687" t="e">
        <f>INPUT!#REF!</f>
        <v>#REF!</v>
      </c>
      <c r="AF493" s="16" t="e">
        <f>INPUT!#REF!</f>
        <v>#REF!</v>
      </c>
      <c r="AG493" s="687" t="e">
        <f>INPUT!#REF!</f>
        <v>#REF!</v>
      </c>
      <c r="AH493" s="16" t="e">
        <f>INPUT!#REF!</f>
        <v>#REF!</v>
      </c>
      <c r="AI493" s="507" t="e">
        <f>INPUT!#REF!</f>
        <v>#REF!</v>
      </c>
      <c r="AJ493" s="16" t="e">
        <f>INPUT!#REF!</f>
        <v>#REF!</v>
      </c>
      <c r="AK493" s="507" t="e">
        <f>INPUT!#REF!</f>
        <v>#REF!</v>
      </c>
      <c r="AL493" s="16" t="e">
        <f>INPUT!#REF!</f>
        <v>#REF!</v>
      </c>
      <c r="AM493" s="507" t="e">
        <f>INPUT!#REF!</f>
        <v>#REF!</v>
      </c>
      <c r="AN493" s="16" t="e">
        <f>INPUT!#REF!</f>
        <v>#REF!</v>
      </c>
      <c r="AO493" s="507" t="e">
        <f>INPUT!#REF!</f>
        <v>#REF!</v>
      </c>
      <c r="AP493" s="16" t="e">
        <f>INPUT!#REF!</f>
        <v>#REF!</v>
      </c>
      <c r="AQ493" s="507" t="e">
        <f>INPUT!#REF!</f>
        <v>#REF!</v>
      </c>
      <c r="AR493" s="16" t="e">
        <f>INPUT!#REF!</f>
        <v>#REF!</v>
      </c>
      <c r="AS493" s="507" t="e">
        <f>INPUT!#REF!</f>
        <v>#REF!</v>
      </c>
      <c r="AT493" s="16" t="e">
        <f>INPUT!#REF!</f>
        <v>#REF!</v>
      </c>
      <c r="AU493" s="507" t="e">
        <f>INPUT!#REF!</f>
        <v>#REF!</v>
      </c>
      <c r="AV493" s="16" t="e">
        <f>INPUT!#REF!</f>
        <v>#REF!</v>
      </c>
      <c r="AW493" s="507" t="e">
        <f>INPUT!#REF!</f>
        <v>#REF!</v>
      </c>
      <c r="AX493" s="16" t="e">
        <f>INPUT!#REF!</f>
        <v>#REF!</v>
      </c>
      <c r="AY493" s="507" t="e">
        <f>INPUT!#REF!</f>
        <v>#REF!</v>
      </c>
      <c r="AZ493" s="16" t="e">
        <f>INPUT!#REF!</f>
        <v>#REF!</v>
      </c>
      <c r="BA493" s="507" t="e">
        <f>INPUT!#REF!</f>
        <v>#REF!</v>
      </c>
      <c r="BB493" s="16" t="e">
        <f>INPUT!#REF!</f>
        <v>#REF!</v>
      </c>
      <c r="BC493" s="507" t="e">
        <f>INPUT!#REF!</f>
        <v>#REF!</v>
      </c>
      <c r="BD493" s="16" t="e">
        <f>INPUT!#REF!</f>
        <v>#REF!</v>
      </c>
      <c r="BE493" s="507" t="e">
        <f>INPUT!#REF!</f>
        <v>#REF!</v>
      </c>
      <c r="BF493" s="16" t="e">
        <f>INPUT!#REF!</f>
        <v>#REF!</v>
      </c>
      <c r="BG493" s="507" t="e">
        <f>INPUT!#REF!</f>
        <v>#REF!</v>
      </c>
      <c r="BH493" s="16" t="e">
        <f>INPUT!#REF!</f>
        <v>#REF!</v>
      </c>
      <c r="BI493" s="507" t="e">
        <f>INPUT!#REF!</f>
        <v>#REF!</v>
      </c>
      <c r="BJ493" s="16" t="e">
        <f>INPUT!#REF!</f>
        <v>#REF!</v>
      </c>
      <c r="BK493" s="507" t="e">
        <f>INPUT!#REF!</f>
        <v>#REF!</v>
      </c>
      <c r="BL493" s="16" t="e">
        <f>INPUT!#REF!</f>
        <v>#REF!</v>
      </c>
      <c r="BM493" s="507" t="e">
        <f>INPUT!#REF!</f>
        <v>#REF!</v>
      </c>
      <c r="BN493" s="16" t="e">
        <f>INPUT!#REF!</f>
        <v>#REF!</v>
      </c>
      <c r="BO493" s="507" t="e">
        <f>INPUT!#REF!</f>
        <v>#REF!</v>
      </c>
      <c r="BP493" s="16" t="e">
        <f>INPUT!#REF!</f>
        <v>#REF!</v>
      </c>
      <c r="BQ493" s="507" t="e">
        <f>INPUT!#REF!</f>
        <v>#REF!</v>
      </c>
      <c r="BR493" s="16" t="e">
        <f>INPUT!#REF!</f>
        <v>#REF!</v>
      </c>
      <c r="BS493" s="507" t="e">
        <f>INPUT!#REF!</f>
        <v>#REF!</v>
      </c>
      <c r="BT493" s="16" t="e">
        <f>INPUT!#REF!</f>
        <v>#REF!</v>
      </c>
      <c r="BU493" s="507" t="e">
        <f>INPUT!#REF!</f>
        <v>#REF!</v>
      </c>
      <c r="BV493" s="16" t="e">
        <f>INPUT!#REF!</f>
        <v>#REF!</v>
      </c>
      <c r="BW493" s="507" t="e">
        <f>INPUT!#REF!</f>
        <v>#REF!</v>
      </c>
      <c r="BX493" s="16" t="e">
        <f>INPUT!#REF!</f>
        <v>#REF!</v>
      </c>
      <c r="BY493" s="507" t="e">
        <f>INPUT!#REF!</f>
        <v>#REF!</v>
      </c>
      <c r="BZ493" s="16" t="e">
        <f>INPUT!#REF!</f>
        <v>#REF!</v>
      </c>
      <c r="CA493" s="507" t="e">
        <f>INPUT!#REF!</f>
        <v>#REF!</v>
      </c>
      <c r="CB493" s="16" t="e">
        <f>INPUT!#REF!</f>
        <v>#REF!</v>
      </c>
      <c r="CC493" s="507" t="e">
        <f>INPUT!#REF!</f>
        <v>#REF!</v>
      </c>
      <c r="CD493" s="16" t="e">
        <f>INPUT!#REF!</f>
        <v>#REF!</v>
      </c>
      <c r="CE493" s="507" t="e">
        <f>INPUT!#REF!</f>
        <v>#REF!</v>
      </c>
      <c r="CF493" s="16" t="e">
        <f>INPUT!#REF!</f>
        <v>#REF!</v>
      </c>
      <c r="CG493" s="507" t="e">
        <f>INPUT!#REF!</f>
        <v>#REF!</v>
      </c>
      <c r="CH493" s="16" t="e">
        <f>INPUT!#REF!</f>
        <v>#REF!</v>
      </c>
      <c r="CI493" s="507" t="e">
        <f>INPUT!#REF!</f>
        <v>#REF!</v>
      </c>
      <c r="CJ493" s="16" t="e">
        <f>INPUT!#REF!</f>
        <v>#REF!</v>
      </c>
      <c r="CK493" s="507" t="e">
        <f>INPUT!#REF!</f>
        <v>#REF!</v>
      </c>
      <c r="CL493" s="16" t="e">
        <f>INPUT!#REF!</f>
        <v>#REF!</v>
      </c>
      <c r="CM493" s="507" t="e">
        <f>INPUT!#REF!</f>
        <v>#REF!</v>
      </c>
      <c r="CN493" s="16" t="e">
        <f>INPUT!#REF!</f>
        <v>#REF!</v>
      </c>
      <c r="CO493" s="507" t="e">
        <f>INPUT!#REF!</f>
        <v>#REF!</v>
      </c>
      <c r="CP493" s="16" t="e">
        <f>INPUT!#REF!</f>
        <v>#REF!</v>
      </c>
      <c r="CQ493" s="507" t="e">
        <f>INPUT!#REF!</f>
        <v>#REF!</v>
      </c>
      <c r="CR493" s="16" t="e">
        <f>INPUT!#REF!</f>
        <v>#REF!</v>
      </c>
      <c r="CS493" s="507" t="e">
        <f>INPUT!#REF!</f>
        <v>#REF!</v>
      </c>
      <c r="CT493" s="16" t="e">
        <f>INPUT!#REF!</f>
        <v>#REF!</v>
      </c>
      <c r="CU493" s="507" t="e">
        <f>INPUT!#REF!</f>
        <v>#REF!</v>
      </c>
      <c r="CV493" s="16" t="e">
        <f>INPUT!#REF!</f>
        <v>#REF!</v>
      </c>
      <c r="CW493" s="507" t="e">
        <f>INPUT!#REF!</f>
        <v>#REF!</v>
      </c>
      <c r="CX493" s="16" t="e">
        <f>INPUT!#REF!</f>
        <v>#REF!</v>
      </c>
      <c r="CY493" s="507" t="e">
        <f>INPUT!#REF!</f>
        <v>#REF!</v>
      </c>
      <c r="CZ493" s="16" t="e">
        <f>INPUT!#REF!</f>
        <v>#REF!</v>
      </c>
      <c r="DA493" s="507" t="e">
        <f>INPUT!#REF!</f>
        <v>#REF!</v>
      </c>
      <c r="DB493" s="507"/>
      <c r="DC493" s="16" t="e">
        <f>INPUT!#REF!</f>
        <v>#REF!</v>
      </c>
      <c r="DD493" s="687" t="e">
        <f>INPUT!#REF!</f>
        <v>#REF!</v>
      </c>
      <c r="DE493" s="16" t="e">
        <f>INPUT!#REF!</f>
        <v>#REF!</v>
      </c>
      <c r="DF493" s="687" t="e">
        <f>INPUT!#REF!</f>
        <v>#REF!</v>
      </c>
      <c r="DG493" s="16" t="e">
        <f>INPUT!#REF!</f>
        <v>#REF!</v>
      </c>
      <c r="DH493" s="687" t="e">
        <f>INPUT!#REF!</f>
        <v>#REF!</v>
      </c>
      <c r="DI493" s="16" t="e">
        <f>INPUT!#REF!</f>
        <v>#REF!</v>
      </c>
      <c r="DJ493" s="687" t="e">
        <f>INPUT!#REF!</f>
        <v>#REF!</v>
      </c>
      <c r="DK493" s="16" t="e">
        <f>INPUT!#REF!</f>
        <v>#REF!</v>
      </c>
      <c r="DL493" s="507" t="e">
        <f>INPUT!#REF!</f>
        <v>#REF!</v>
      </c>
      <c r="DM493" s="16" t="e">
        <f>INPUT!#REF!</f>
        <v>#REF!</v>
      </c>
      <c r="DN493" s="507" t="e">
        <f>INPUT!#REF!</f>
        <v>#REF!</v>
      </c>
      <c r="DO493" s="16" t="e">
        <f>INPUT!#REF!</f>
        <v>#REF!</v>
      </c>
      <c r="DP493" s="507" t="e">
        <f>INPUT!#REF!</f>
        <v>#REF!</v>
      </c>
      <c r="DQ493" s="16" t="e">
        <f>INPUT!#REF!</f>
        <v>#REF!</v>
      </c>
      <c r="DR493" s="507" t="e">
        <f>INPUT!#REF!</f>
        <v>#REF!</v>
      </c>
      <c r="DS493" s="16" t="e">
        <f>INPUT!#REF!</f>
        <v>#REF!</v>
      </c>
      <c r="DT493" s="507" t="e">
        <f>INPUT!#REF!</f>
        <v>#REF!</v>
      </c>
      <c r="DU493" s="16" t="e">
        <f>INPUT!#REF!</f>
        <v>#REF!</v>
      </c>
      <c r="DV493" s="507" t="e">
        <f>INPUT!#REF!</f>
        <v>#REF!</v>
      </c>
      <c r="DW493" s="16" t="e">
        <f>INPUT!#REF!</f>
        <v>#REF!</v>
      </c>
      <c r="DX493" s="507" t="e">
        <f>INPUT!#REF!</f>
        <v>#REF!</v>
      </c>
      <c r="DY493" s="16" t="e">
        <f>INPUT!#REF!</f>
        <v>#REF!</v>
      </c>
      <c r="DZ493" s="507" t="e">
        <f>INPUT!#REF!</f>
        <v>#REF!</v>
      </c>
      <c r="EA493" s="16" t="e">
        <f>INPUT!#REF!</f>
        <v>#REF!</v>
      </c>
      <c r="EB493" s="507" t="e">
        <f>INPUT!#REF!</f>
        <v>#REF!</v>
      </c>
      <c r="EC493" s="16" t="e">
        <f>INPUT!#REF!</f>
        <v>#REF!</v>
      </c>
      <c r="ED493" s="507" t="e">
        <f>INPUT!#REF!</f>
        <v>#REF!</v>
      </c>
      <c r="EE493" s="16" t="e">
        <f>INPUT!#REF!</f>
        <v>#REF!</v>
      </c>
      <c r="EF493" s="507" t="e">
        <f>INPUT!#REF!</f>
        <v>#REF!</v>
      </c>
      <c r="EG493" s="16" t="e">
        <f>INPUT!#REF!</f>
        <v>#REF!</v>
      </c>
      <c r="EH493" s="507" t="e">
        <f>INPUT!#REF!</f>
        <v>#REF!</v>
      </c>
      <c r="EI493" s="16" t="e">
        <f>INPUT!#REF!</f>
        <v>#REF!</v>
      </c>
      <c r="EJ493" s="507" t="e">
        <f>INPUT!#REF!</f>
        <v>#REF!</v>
      </c>
      <c r="EK493" s="16" t="e">
        <f>INPUT!#REF!</f>
        <v>#REF!</v>
      </c>
      <c r="EL493" s="507" t="e">
        <f>INPUT!#REF!</f>
        <v>#REF!</v>
      </c>
      <c r="EM493" s="687" t="e">
        <f>INPUT!#REF!</f>
        <v>#REF!</v>
      </c>
    </row>
    <row r="494" spans="1:143" ht="12.75" hidden="1" customHeight="1" outlineLevel="1" x14ac:dyDescent="0.2">
      <c r="A494" s="708" t="str">
        <f>INPUT!B485</f>
        <v>After-Tax Operating Earnings</v>
      </c>
      <c r="B494" s="708">
        <f>INPUT!AY485</f>
        <v>0.20000000000000018</v>
      </c>
      <c r="C494" s="757" t="str">
        <f>INPUT!AZ485</f>
        <v>NM</v>
      </c>
      <c r="D494" s="708">
        <f>INPUT!BA485</f>
        <v>-26</v>
      </c>
      <c r="E494" s="709" t="str">
        <f>INPUT!BB485</f>
        <v>NM</v>
      </c>
      <c r="F494" s="708">
        <f>INPUT!BC485</f>
        <v>-11.399999999999997</v>
      </c>
      <c r="G494" s="709" t="str">
        <f>INPUT!BD485</f>
        <v>NM</v>
      </c>
      <c r="H494" s="708">
        <f>INPUT!BE485</f>
        <v>-38.4</v>
      </c>
      <c r="I494" s="709" t="str">
        <f>INPUT!BF485</f>
        <v>NM</v>
      </c>
      <c r="J494" s="708">
        <f>INPUT!BG485</f>
        <v>-28.100000000000005</v>
      </c>
      <c r="K494" s="709" t="str">
        <f>INPUT!BH485</f>
        <v>NM</v>
      </c>
      <c r="L494" s="708">
        <f>INPUT!BI485</f>
        <v>-36.100000000000016</v>
      </c>
      <c r="M494" s="709">
        <f>INPUT!BJ485</f>
        <v>38.846153846153911</v>
      </c>
      <c r="N494" s="708">
        <f>INPUT!BK485</f>
        <v>-49.800000000000018</v>
      </c>
      <c r="O494" s="709" t="str">
        <f>INPUT!BL485</f>
        <v>NM</v>
      </c>
      <c r="P494" s="708">
        <f>INPUT!BM485</f>
        <v>-59.299999999999969</v>
      </c>
      <c r="Q494" s="709">
        <f>INPUT!BN485</f>
        <v>54.427083333333258</v>
      </c>
      <c r="R494" s="708">
        <f>INPUT!BO485</f>
        <v>-42.3</v>
      </c>
      <c r="S494" s="709">
        <f>INPUT!BP485</f>
        <v>50.533807829181463</v>
      </c>
      <c r="T494" s="708">
        <f>INPUT!BQ485</f>
        <v>-44.70000000000001</v>
      </c>
      <c r="U494" s="709">
        <f>INPUT!BR485</f>
        <v>23.822714681440416</v>
      </c>
      <c r="V494" s="708">
        <f>INPUT!BS485</f>
        <v>-39.9</v>
      </c>
      <c r="W494" s="709">
        <f>INPUT!BT485</f>
        <v>-19.879518072289194</v>
      </c>
      <c r="X494" s="708">
        <f>INPUT!BU485</f>
        <v>-55.2</v>
      </c>
      <c r="Y494" s="709">
        <f>INPUT!BV485</f>
        <v>-6.9139966273186637</v>
      </c>
      <c r="Z494" s="708">
        <f>INPUT!BW485</f>
        <v>-108.50000000000001</v>
      </c>
      <c r="AA494" s="709" t="str">
        <f>INPUT!BX485</f>
        <v>NM</v>
      </c>
      <c r="AB494" s="708">
        <f>INPUT!BY485</f>
        <v>-52.299999999999983</v>
      </c>
      <c r="AC494" s="709">
        <f>INPUT!BZ485</f>
        <v>17.002237136465268</v>
      </c>
      <c r="AD494" s="708">
        <f>INPUT!CA485</f>
        <v>-32.6</v>
      </c>
      <c r="AE494" s="709">
        <f>INPUT!CB485</f>
        <v>-18.295739348370923</v>
      </c>
      <c r="AF494" s="708">
        <f>INPUT!CC485</f>
        <v>-43.499999999999986</v>
      </c>
      <c r="AG494" s="709">
        <f>INPUT!CD485</f>
        <v>-21.195652173913071</v>
      </c>
      <c r="AH494" s="708">
        <f>INPUT!CE485</f>
        <v>-36.6</v>
      </c>
      <c r="AI494" s="759" t="str">
        <f>INPUT!CF485</f>
        <v>NM</v>
      </c>
      <c r="AJ494" s="708">
        <f>INPUT!CG485</f>
        <v>-36.1</v>
      </c>
      <c r="AK494" s="759">
        <f>INPUT!CH485</f>
        <v>-30.975143403441663</v>
      </c>
      <c r="AL494" s="708">
        <f>INPUT!CI485</f>
        <v>-39.700000000000003</v>
      </c>
      <c r="AM494" s="759">
        <f>INPUT!CJ485</f>
        <v>21.779141104294485</v>
      </c>
      <c r="AN494" s="708">
        <f>INPUT!CK485</f>
        <v>-73.700000000000017</v>
      </c>
      <c r="AO494" s="759">
        <f>INPUT!CL485</f>
        <v>69.425287356321945</v>
      </c>
      <c r="AP494" s="708">
        <f>INPUT!CM485</f>
        <v>-35.900000000000006</v>
      </c>
      <c r="AQ494" s="759">
        <f>INPUT!CN485</f>
        <v>-1.91256830601092</v>
      </c>
      <c r="AR494" s="708">
        <f>INPUT!CO485</f>
        <v>-22</v>
      </c>
      <c r="AS494" s="759">
        <f>INPUT!CP485</f>
        <v>-39.058171745152357</v>
      </c>
      <c r="AT494" s="708">
        <f>INPUT!CQ485</f>
        <v>-43.9</v>
      </c>
      <c r="AU494" s="759">
        <f>INPUT!CR485</f>
        <v>10.579345088161208</v>
      </c>
      <c r="AV494" s="708">
        <f>INPUT!CS485</f>
        <v>-42</v>
      </c>
      <c r="AW494" s="759">
        <f>INPUT!CT485</f>
        <v>-43.012211668928103</v>
      </c>
      <c r="AX494" s="708">
        <f>INPUT!CU485</f>
        <v>-34</v>
      </c>
      <c r="AY494" s="759">
        <f>INPUT!CV485</f>
        <v>-5.2924791086351171</v>
      </c>
      <c r="AZ494" s="708">
        <f>INPUT!CW485</f>
        <v>-39</v>
      </c>
      <c r="BA494" s="759">
        <f>INPUT!CX485</f>
        <v>77.272727272727266</v>
      </c>
      <c r="BB494" s="708">
        <f>INPUT!CY485</f>
        <v>26</v>
      </c>
      <c r="BC494" s="759" t="str">
        <f>INPUT!CZ485</f>
        <v>NM</v>
      </c>
      <c r="BD494" s="708">
        <f>INPUT!DA485</f>
        <v>-40</v>
      </c>
      <c r="BE494" s="759">
        <f>INPUT!DB485</f>
        <v>-4.7619047619047672</v>
      </c>
      <c r="BF494" s="708">
        <f>INPUT!DC485</f>
        <v>-35</v>
      </c>
      <c r="BG494" s="759">
        <f>INPUT!DD485</f>
        <v>2.9411764705882248</v>
      </c>
      <c r="BH494" s="708">
        <f>INPUT!DE485</f>
        <v>-40</v>
      </c>
      <c r="BI494" s="759">
        <f>INPUT!DF485</f>
        <v>2.564102564102555</v>
      </c>
      <c r="BJ494" s="708">
        <f>INPUT!DG485</f>
        <v>-27</v>
      </c>
      <c r="BK494" s="759" t="str">
        <f>INPUT!DH485</f>
        <v>NM</v>
      </c>
      <c r="BL494" s="708">
        <f>INPUT!DI485</f>
        <v>-19</v>
      </c>
      <c r="BM494" s="759" t="str">
        <f>INPUT!DJ485</f>
        <v>NM</v>
      </c>
      <c r="BN494" s="708">
        <f>INPUT!DK485</f>
        <v>-30</v>
      </c>
      <c r="BO494" s="759">
        <f>INPUT!DL485</f>
        <v>-14.28571428571429</v>
      </c>
      <c r="BP494" s="708">
        <f>INPUT!DM485</f>
        <v>-22</v>
      </c>
      <c r="BQ494" s="759">
        <f>INPUT!DN485</f>
        <v>-44.999999999999993</v>
      </c>
      <c r="BR494" s="708">
        <f>INPUT!DO485</f>
        <v>-29</v>
      </c>
      <c r="BS494" s="759">
        <f>INPUT!DP485</f>
        <v>7.4074074074074181</v>
      </c>
      <c r="BT494" s="708">
        <f>INPUT!DQ485</f>
        <v>-26</v>
      </c>
      <c r="BU494" s="759">
        <f>INPUT!DR485</f>
        <v>36.842105263157897</v>
      </c>
      <c r="BV494" s="708">
        <f>INPUT!DS485</f>
        <v>-27</v>
      </c>
      <c r="BW494" s="759">
        <f>INPUT!DT485</f>
        <v>-9.9999999999999982</v>
      </c>
      <c r="BX494" s="708">
        <f>INPUT!DU485</f>
        <v>-38</v>
      </c>
      <c r="BY494" s="759">
        <f>INPUT!DV485</f>
        <v>72.727272727272734</v>
      </c>
      <c r="BZ494" s="708">
        <f>INPUT!DW485</f>
        <v>-65</v>
      </c>
      <c r="CA494" s="759">
        <f>INPUT!DX485</f>
        <v>-65</v>
      </c>
      <c r="CB494" s="708">
        <f>INPUT!DY485</f>
        <v>-26</v>
      </c>
      <c r="CC494" s="759">
        <f>INPUT!DZ485</f>
        <v>0</v>
      </c>
      <c r="CD494" s="708">
        <f>INPUT!EA485</f>
        <v>-15</v>
      </c>
      <c r="CE494" s="759">
        <f>INPUT!EB485</f>
        <v>-44.444444444444443</v>
      </c>
      <c r="CF494" s="708">
        <f>INPUT!EC485</f>
        <v>-28</v>
      </c>
      <c r="CG494" s="759">
        <f>INPUT!ED485</f>
        <v>-26.315789473684216</v>
      </c>
      <c r="CH494" s="708">
        <f>INPUT!EE485</f>
        <v>-26</v>
      </c>
      <c r="CI494" s="759" t="str">
        <f>INPUT!EF485</f>
        <v>NM</v>
      </c>
      <c r="CJ494" s="708">
        <f>INPUT!EG485</f>
        <v>-37</v>
      </c>
      <c r="CK494" s="759">
        <f>INPUT!EH485</f>
        <v>42.307692307692314</v>
      </c>
      <c r="CL494" s="708">
        <f>INPUT!EI485</f>
        <v>-13</v>
      </c>
      <c r="CM494" s="759">
        <f>INPUT!EJ485</f>
        <v>-13.33333333333333</v>
      </c>
      <c r="CN494" s="708">
        <f>INPUT!EK485</f>
        <v>-37</v>
      </c>
      <c r="CO494" s="759">
        <f>INPUT!EL485</f>
        <v>32.142857142857139</v>
      </c>
      <c r="CP494" s="708">
        <f>INPUT!EM485</f>
        <v>-20</v>
      </c>
      <c r="CQ494" s="759">
        <f>INPUT!EN485</f>
        <v>-23.076923076923073</v>
      </c>
      <c r="CR494" s="708">
        <f>INPUT!EO485</f>
        <v>-38</v>
      </c>
      <c r="CS494" s="759">
        <f>INPUT!EP485</f>
        <v>2.7027027027026973</v>
      </c>
      <c r="CT494" s="708">
        <f>INPUT!EQ485</f>
        <v>-53.666075000000006</v>
      </c>
      <c r="CU494" s="759" t="str">
        <f>INPUT!ER485</f>
        <v>NM</v>
      </c>
      <c r="CV494" s="708">
        <f>INPUT!ES485</f>
        <v>-53.411508500000011</v>
      </c>
      <c r="CW494" s="759">
        <f>INPUT!ET485</f>
        <v>44.355428378378406</v>
      </c>
      <c r="CX494" s="708">
        <f>INPUT!EU485</f>
        <v>-53.155669167500022</v>
      </c>
      <c r="CY494" s="759" t="str">
        <f>INPUT!EV485</f>
        <v>NM</v>
      </c>
      <c r="CZ494" s="708">
        <f>INPUT!EW485</f>
        <v>-52.898550638337525</v>
      </c>
      <c r="DA494" s="759">
        <f>INPUT!EX485</f>
        <v>39.206712206151373</v>
      </c>
      <c r="DB494" s="760"/>
      <c r="DC494" s="708">
        <f>INPUT!FP485</f>
        <v>54.100000000000009</v>
      </c>
      <c r="DD494" s="709" t="str">
        <f>INPUT!FQ485</f>
        <v>NA</v>
      </c>
      <c r="DE494" s="708">
        <f>INPUT!FR485</f>
        <v>-75.699999999999932</v>
      </c>
      <c r="DF494" s="709" t="str">
        <f>INPUT!FS485</f>
        <v>NM</v>
      </c>
      <c r="DG494" s="708">
        <f>INPUT!FT485</f>
        <v>-173.29999999999984</v>
      </c>
      <c r="DH494" s="709" t="str">
        <f>INPUT!FU485</f>
        <v>NM</v>
      </c>
      <c r="DI494" s="708">
        <f>INPUT!FV485</f>
        <v>-182.10000000000005</v>
      </c>
      <c r="DJ494" s="709">
        <f>INPUT!FW485</f>
        <v>5.0778995960762963</v>
      </c>
      <c r="DK494" s="708">
        <f>INPUT!FX485</f>
        <v>-236.9</v>
      </c>
      <c r="DL494" s="759">
        <f>INPUT!FY485</f>
        <v>30.093355299286074</v>
      </c>
      <c r="DM494" s="708">
        <f>INPUT!FZ485</f>
        <v>-186.1</v>
      </c>
      <c r="DN494" s="759">
        <f>INPUT!GA485</f>
        <v>-21.443647108484598</v>
      </c>
      <c r="DO494" s="708">
        <f>INPUT!GB485</f>
        <v>-143.8000000000001</v>
      </c>
      <c r="DP494" s="759">
        <f>INPUT!GC485</f>
        <v>-22.729715206877966</v>
      </c>
      <c r="DQ494" s="708">
        <f>INPUT!GD485</f>
        <v>-87</v>
      </c>
      <c r="DR494" s="759">
        <f>INPUT!GE485</f>
        <v>-39.499304589707975</v>
      </c>
      <c r="DS494" s="708">
        <f>INPUT!GF485</f>
        <v>-121</v>
      </c>
      <c r="DT494" s="759">
        <f>INPUT!GG485</f>
        <v>39.080459770114942</v>
      </c>
      <c r="DU494" s="708">
        <f>INPUT!GH485</f>
        <v>-107</v>
      </c>
      <c r="DV494" s="759">
        <f>INPUT!GI485</f>
        <v>-11.570247933884293</v>
      </c>
      <c r="DW494" s="708">
        <f>INPUT!GJ485</f>
        <v>-156</v>
      </c>
      <c r="DX494" s="759">
        <f>INPUT!GK485</f>
        <v>45.794392523364479</v>
      </c>
      <c r="DY494" s="708">
        <f>INPUT!GL485</f>
        <v>-106</v>
      </c>
      <c r="DZ494" s="759">
        <f>INPUT!GM485</f>
        <v>-32.051282051282051</v>
      </c>
      <c r="EA494" s="708">
        <f>INPUT!GN485</f>
        <v>-108</v>
      </c>
      <c r="EB494" s="759">
        <f>INPUT!GO485</f>
        <v>1.8867924528301883</v>
      </c>
      <c r="EC494" s="708">
        <f>INPUT!GP485</f>
        <v>-213.13180330583759</v>
      </c>
      <c r="ED494" s="759">
        <f>INPUT!GQ485</f>
        <v>97.344262320219997</v>
      </c>
      <c r="EE494" s="708">
        <f>INPUT!GR485</f>
        <v>-190.67547814437705</v>
      </c>
      <c r="EF494" s="759">
        <f>INPUT!GS485</f>
        <v>-10.53635581980058</v>
      </c>
      <c r="EG494" s="708">
        <f>INPUT!GT485</f>
        <v>-119.87848648870835</v>
      </c>
      <c r="EH494" s="759">
        <f>INPUT!GU485</f>
        <v>-37.129573422158735</v>
      </c>
      <c r="EI494" s="708">
        <f>INPUT!GV485</f>
        <v>-117.37013196336963</v>
      </c>
      <c r="EJ494" s="759">
        <f>INPUT!GW485</f>
        <v>-2.0924142427965919</v>
      </c>
      <c r="EK494" s="708">
        <f>INPUT!GX485</f>
        <v>-114.74628461987075</v>
      </c>
      <c r="EL494" s="759">
        <f>INPUT!GY485</f>
        <v>-2.2355324132359078</v>
      </c>
      <c r="EM494" s="709">
        <f>INPUT!GZ485</f>
        <v>1.2192174562792868</v>
      </c>
    </row>
    <row r="495" spans="1:143" ht="12.75" hidden="1" customHeight="1" outlineLevel="1" x14ac:dyDescent="0.2">
      <c r="A495" s="764"/>
      <c r="B495" s="764"/>
      <c r="C495" s="765"/>
      <c r="D495" s="764"/>
      <c r="E495" s="766"/>
      <c r="F495" s="764"/>
      <c r="G495" s="766"/>
      <c r="H495" s="764"/>
      <c r="I495" s="766"/>
      <c r="J495" s="764"/>
      <c r="K495" s="765"/>
      <c r="L495" s="764"/>
      <c r="M495" s="765"/>
      <c r="N495" s="764"/>
      <c r="O495" s="765"/>
      <c r="P495" s="764"/>
      <c r="Q495" s="765"/>
      <c r="R495" s="764"/>
      <c r="S495" s="765"/>
      <c r="T495" s="764"/>
      <c r="U495" s="765"/>
      <c r="V495" s="764"/>
      <c r="W495" s="765"/>
      <c r="X495" s="764"/>
      <c r="Y495" s="765"/>
      <c r="Z495" s="764"/>
      <c r="AA495" s="765"/>
      <c r="AB495" s="764"/>
      <c r="AC495" s="765"/>
      <c r="AD495" s="764"/>
      <c r="AE495" s="765"/>
      <c r="AF495" s="764"/>
      <c r="AG495" s="765"/>
      <c r="AH495" s="764"/>
      <c r="AI495" s="767"/>
      <c r="AJ495" s="764"/>
      <c r="AK495" s="767"/>
      <c r="AL495" s="764"/>
      <c r="AM495" s="767"/>
      <c r="AN495" s="764"/>
      <c r="AO495" s="767"/>
      <c r="AP495" s="764"/>
      <c r="AQ495" s="767"/>
      <c r="AR495" s="764"/>
      <c r="AS495" s="767"/>
      <c r="AT495" s="764"/>
      <c r="AU495" s="767"/>
      <c r="AV495" s="764"/>
      <c r="AW495" s="767"/>
      <c r="AX495" s="764"/>
      <c r="AY495" s="767"/>
      <c r="AZ495" s="764"/>
      <c r="BA495" s="767"/>
      <c r="BB495" s="764"/>
      <c r="BC495" s="767"/>
      <c r="BD495" s="764"/>
      <c r="BE495" s="767"/>
      <c r="BF495" s="764"/>
      <c r="BG495" s="767"/>
      <c r="BH495" s="764"/>
      <c r="BI495" s="767"/>
      <c r="BJ495" s="764"/>
      <c r="BK495" s="767"/>
      <c r="BL495" s="764"/>
      <c r="BM495" s="767"/>
      <c r="BN495" s="764"/>
      <c r="BO495" s="767"/>
      <c r="BP495" s="764"/>
      <c r="BQ495" s="767"/>
      <c r="BR495" s="764"/>
      <c r="BS495" s="767"/>
      <c r="BT495" s="764"/>
      <c r="BU495" s="767"/>
      <c r="BV495" s="764"/>
      <c r="BW495" s="767"/>
      <c r="BX495" s="764"/>
      <c r="BY495" s="767"/>
      <c r="BZ495" s="764"/>
      <c r="CA495" s="767"/>
      <c r="CB495" s="764"/>
      <c r="CC495" s="767"/>
      <c r="CD495" s="764"/>
      <c r="CE495" s="767"/>
      <c r="CF495" s="764"/>
      <c r="CG495" s="767"/>
      <c r="CH495" s="764"/>
      <c r="CI495" s="767"/>
      <c r="CJ495" s="764"/>
      <c r="CK495" s="767"/>
      <c r="CL495" s="764"/>
      <c r="CM495" s="767"/>
      <c r="CN495" s="764"/>
      <c r="CO495" s="767"/>
      <c r="CP495" s="764"/>
      <c r="CQ495" s="767"/>
      <c r="CR495" s="764"/>
      <c r="CS495" s="767"/>
      <c r="CT495" s="764"/>
      <c r="CU495" s="767"/>
      <c r="CV495" s="764"/>
      <c r="CW495" s="767"/>
      <c r="CX495" s="764"/>
      <c r="CY495" s="767"/>
      <c r="CZ495" s="764"/>
      <c r="DA495" s="767"/>
      <c r="DB495" s="768"/>
      <c r="DC495" s="764"/>
      <c r="DD495" s="765"/>
      <c r="DE495" s="764"/>
      <c r="DF495" s="765"/>
      <c r="DG495" s="764"/>
      <c r="DH495" s="765"/>
      <c r="DI495" s="764"/>
      <c r="DJ495" s="765"/>
      <c r="DK495" s="764"/>
      <c r="DL495" s="767"/>
      <c r="DM495" s="764"/>
      <c r="DN495" s="767"/>
      <c r="DO495" s="764"/>
      <c r="DP495" s="767"/>
      <c r="DQ495" s="764"/>
      <c r="DR495" s="767"/>
      <c r="DS495" s="764"/>
      <c r="DT495" s="767"/>
      <c r="DU495" s="764"/>
      <c r="DV495" s="767"/>
      <c r="DW495" s="764"/>
      <c r="DX495" s="767"/>
      <c r="DY495" s="764"/>
      <c r="DZ495" s="767"/>
      <c r="EA495" s="764"/>
      <c r="EB495" s="767"/>
      <c r="EC495" s="764"/>
      <c r="ED495" s="767"/>
      <c r="EE495" s="764"/>
      <c r="EF495" s="767"/>
      <c r="EG495" s="764"/>
      <c r="EH495" s="767"/>
      <c r="EI495" s="764"/>
      <c r="EJ495" s="767"/>
      <c r="EK495" s="764"/>
      <c r="EL495" s="767"/>
      <c r="EM495" s="766"/>
    </row>
    <row r="496" spans="1:143" ht="12.75" hidden="1" customHeight="1" outlineLevel="1" x14ac:dyDescent="0.2">
      <c r="A496" s="689" t="str">
        <f>+A51</f>
        <v xml:space="preserve">Quarterly income statement ratios are annualized where appropriate     NM = Not Meaningful       NA = Not Applicable </v>
      </c>
      <c r="B496" s="16"/>
      <c r="C496" s="507"/>
      <c r="D496" s="16"/>
      <c r="E496" s="687"/>
      <c r="F496" s="16"/>
      <c r="G496" s="687"/>
      <c r="H496" s="16"/>
      <c r="I496" s="687"/>
      <c r="J496" s="16"/>
      <c r="K496" s="507"/>
      <c r="L496" s="16"/>
      <c r="M496" s="507"/>
      <c r="N496" s="16"/>
      <c r="O496" s="507"/>
      <c r="P496" s="16"/>
      <c r="Q496" s="507"/>
      <c r="R496" s="16"/>
      <c r="S496" s="507"/>
      <c r="T496" s="16"/>
      <c r="U496" s="507"/>
      <c r="V496" s="16"/>
      <c r="W496" s="507"/>
      <c r="X496" s="16"/>
      <c r="Y496" s="507"/>
      <c r="Z496" s="16"/>
      <c r="AA496" s="507"/>
      <c r="AB496" s="16"/>
      <c r="AC496" s="507"/>
      <c r="AD496" s="16"/>
      <c r="AE496" s="507"/>
      <c r="AF496" s="16"/>
      <c r="AG496" s="507"/>
      <c r="AH496" s="16"/>
      <c r="AI496" s="507"/>
      <c r="AJ496" s="16"/>
      <c r="AK496" s="507"/>
      <c r="AL496" s="16"/>
      <c r="AM496" s="507"/>
      <c r="AN496" s="16"/>
      <c r="AO496" s="507"/>
      <c r="AP496" s="16"/>
      <c r="AQ496" s="507"/>
      <c r="AR496" s="16"/>
      <c r="AS496" s="507"/>
      <c r="AT496" s="16"/>
      <c r="AU496" s="507"/>
      <c r="AV496" s="16"/>
      <c r="AW496" s="507"/>
      <c r="AX496" s="16"/>
      <c r="AY496" s="507"/>
      <c r="AZ496" s="16"/>
      <c r="BA496" s="507"/>
      <c r="BB496" s="16"/>
      <c r="BC496" s="507"/>
      <c r="BD496" s="16"/>
      <c r="BE496" s="507"/>
      <c r="BF496" s="16"/>
      <c r="BG496" s="507"/>
      <c r="BH496" s="16"/>
      <c r="BI496" s="507"/>
      <c r="BJ496" s="16"/>
      <c r="BK496" s="507"/>
      <c r="BL496" s="16"/>
      <c r="BM496" s="507"/>
      <c r="BN496" s="16"/>
      <c r="BO496" s="507"/>
      <c r="BP496" s="16"/>
      <c r="BQ496" s="507"/>
      <c r="BR496" s="16"/>
      <c r="BS496" s="507"/>
      <c r="BT496" s="16"/>
      <c r="BU496" s="507"/>
      <c r="BV496" s="16"/>
      <c r="BW496" s="507"/>
      <c r="BX496" s="16"/>
      <c r="BY496" s="507"/>
      <c r="BZ496" s="16"/>
      <c r="CA496" s="507"/>
      <c r="CB496" s="16"/>
      <c r="CC496" s="507"/>
      <c r="CD496" s="16"/>
      <c r="CE496" s="507"/>
      <c r="CF496" s="16"/>
      <c r="CG496" s="507"/>
      <c r="CH496" s="16"/>
      <c r="CI496" s="507"/>
      <c r="CJ496" s="16"/>
      <c r="CK496" s="507"/>
      <c r="CL496" s="16"/>
      <c r="CM496" s="507"/>
      <c r="CN496" s="16"/>
      <c r="CO496" s="507"/>
      <c r="CP496" s="16"/>
      <c r="CQ496" s="507"/>
      <c r="CR496" s="16"/>
      <c r="CS496" s="507"/>
      <c r="CT496" s="16"/>
      <c r="CU496" s="507"/>
      <c r="CV496" s="16"/>
      <c r="CW496" s="507"/>
      <c r="CX496" s="16"/>
      <c r="CY496" s="507"/>
      <c r="CZ496" s="16"/>
      <c r="DA496" s="507"/>
      <c r="DB496" s="507"/>
      <c r="DC496" s="16"/>
      <c r="DD496" s="507"/>
      <c r="DE496" s="16"/>
      <c r="DF496" s="507"/>
      <c r="DG496" s="16"/>
      <c r="DH496" s="507"/>
      <c r="DI496" s="16"/>
      <c r="DJ496" s="507"/>
      <c r="DK496" s="16"/>
      <c r="DL496" s="507"/>
      <c r="DM496" s="16"/>
      <c r="DN496" s="507"/>
      <c r="DO496" s="16"/>
      <c r="DP496" s="507"/>
      <c r="DQ496" s="16"/>
      <c r="DR496" s="507"/>
      <c r="DS496" s="16"/>
      <c r="DT496" s="507"/>
      <c r="DU496" s="16"/>
      <c r="DV496" s="507"/>
      <c r="DW496" s="16"/>
      <c r="DX496" s="507"/>
      <c r="DY496" s="16"/>
      <c r="DZ496" s="507"/>
      <c r="EA496" s="16"/>
      <c r="EB496" s="507"/>
      <c r="EC496" s="16"/>
      <c r="ED496" s="507"/>
      <c r="EE496" s="16"/>
      <c r="EF496" s="507"/>
      <c r="EG496" s="16"/>
      <c r="EH496" s="507"/>
      <c r="EI496" s="16"/>
      <c r="EJ496" s="507"/>
      <c r="EK496" s="16"/>
      <c r="EL496" s="507"/>
      <c r="EM496" s="687"/>
    </row>
    <row r="497" spans="1:143" ht="12.75" hidden="1" customHeight="1" outlineLevel="1" x14ac:dyDescent="0.2">
      <c r="A497" s="689" t="s">
        <v>139</v>
      </c>
      <c r="B497" s="16"/>
      <c r="C497" s="507"/>
      <c r="D497" s="16"/>
      <c r="E497" s="687"/>
      <c r="F497" s="16"/>
      <c r="G497" s="687"/>
      <c r="H497" s="16"/>
      <c r="I497" s="687"/>
      <c r="J497" s="16"/>
      <c r="K497" s="507"/>
      <c r="L497" s="16"/>
      <c r="M497" s="507"/>
      <c r="N497" s="16"/>
      <c r="O497" s="507"/>
      <c r="P497" s="16"/>
      <c r="Q497" s="507"/>
      <c r="R497" s="16"/>
      <c r="S497" s="507"/>
      <c r="T497" s="16"/>
      <c r="U497" s="507"/>
      <c r="V497" s="16"/>
      <c r="W497" s="507"/>
      <c r="X497" s="16"/>
      <c r="Y497" s="507"/>
      <c r="Z497" s="16"/>
      <c r="AA497" s="507"/>
      <c r="AB497" s="16"/>
      <c r="AC497" s="507"/>
      <c r="AD497" s="16"/>
      <c r="AE497" s="507"/>
      <c r="AF497" s="16"/>
      <c r="AG497" s="507"/>
      <c r="AH497" s="16"/>
      <c r="AI497" s="507"/>
      <c r="AJ497" s="16"/>
      <c r="AK497" s="507"/>
      <c r="AL497" s="16"/>
      <c r="AM497" s="507"/>
      <c r="AN497" s="16"/>
      <c r="AO497" s="507"/>
      <c r="AP497" s="16"/>
      <c r="AQ497" s="507"/>
      <c r="AR497" s="16"/>
      <c r="AS497" s="507"/>
      <c r="AT497" s="16"/>
      <c r="AU497" s="507"/>
      <c r="AV497" s="16"/>
      <c r="AW497" s="507"/>
      <c r="AX497" s="16"/>
      <c r="AY497" s="507"/>
      <c r="AZ497" s="16"/>
      <c r="BA497" s="507"/>
      <c r="BB497" s="16"/>
      <c r="BC497" s="507"/>
      <c r="BD497" s="16"/>
      <c r="BE497" s="507"/>
      <c r="BF497" s="16"/>
      <c r="BG497" s="507"/>
      <c r="BH497" s="16"/>
      <c r="BI497" s="507"/>
      <c r="BJ497" s="16"/>
      <c r="BK497" s="507"/>
      <c r="BL497" s="16"/>
      <c r="BM497" s="507"/>
      <c r="BN497" s="16"/>
      <c r="BO497" s="507"/>
      <c r="BP497" s="16"/>
      <c r="BQ497" s="507"/>
      <c r="BR497" s="16"/>
      <c r="BS497" s="507"/>
      <c r="BT497" s="16"/>
      <c r="BU497" s="507"/>
      <c r="BV497" s="16"/>
      <c r="BW497" s="507"/>
      <c r="BX497" s="16"/>
      <c r="BY497" s="507"/>
      <c r="BZ497" s="16"/>
      <c r="CA497" s="507"/>
      <c r="CB497" s="16"/>
      <c r="CC497" s="507"/>
      <c r="CD497" s="16"/>
      <c r="CE497" s="507"/>
      <c r="CF497" s="16"/>
      <c r="CG497" s="507"/>
      <c r="CH497" s="16"/>
      <c r="CI497" s="507"/>
      <c r="CJ497" s="16"/>
      <c r="CK497" s="507"/>
      <c r="CL497" s="16"/>
      <c r="CM497" s="507"/>
      <c r="CN497" s="16"/>
      <c r="CO497" s="507"/>
      <c r="CP497" s="16"/>
      <c r="CQ497" s="507"/>
      <c r="CR497" s="16"/>
      <c r="CS497" s="507"/>
      <c r="CT497" s="16"/>
      <c r="CU497" s="507"/>
      <c r="CV497" s="16"/>
      <c r="CW497" s="507"/>
      <c r="CX497" s="16"/>
      <c r="CY497" s="507"/>
      <c r="CZ497" s="16"/>
      <c r="DA497" s="507"/>
      <c r="DB497" s="507"/>
      <c r="DC497" s="16"/>
      <c r="DD497" s="507"/>
      <c r="DE497" s="16"/>
      <c r="DF497" s="507"/>
      <c r="DG497" s="16"/>
      <c r="DH497" s="507"/>
      <c r="DI497" s="16"/>
      <c r="DJ497" s="507"/>
      <c r="DK497" s="16"/>
      <c r="DL497" s="507"/>
      <c r="DM497" s="16"/>
      <c r="DN497" s="507"/>
      <c r="DO497" s="16"/>
      <c r="DP497" s="507"/>
      <c r="DQ497" s="16"/>
      <c r="DR497" s="507"/>
      <c r="DS497" s="16"/>
      <c r="DT497" s="507"/>
      <c r="DU497" s="16"/>
      <c r="DV497" s="507"/>
      <c r="DW497" s="16"/>
      <c r="DX497" s="507"/>
      <c r="DY497" s="16"/>
      <c r="DZ497" s="507"/>
      <c r="EA497" s="16"/>
      <c r="EB497" s="507"/>
      <c r="EC497" s="16"/>
      <c r="ED497" s="507"/>
      <c r="EE497" s="16"/>
      <c r="EF497" s="507"/>
      <c r="EG497" s="16"/>
      <c r="EH497" s="507"/>
      <c r="EI497" s="16"/>
      <c r="EJ497" s="507"/>
      <c r="EK497" s="16"/>
      <c r="EL497" s="507"/>
      <c r="EM497" s="687"/>
    </row>
    <row r="498" spans="1:143" ht="12.75" customHeight="1" collapsed="1" x14ac:dyDescent="0.2">
      <c r="A498" s="701"/>
      <c r="B498" s="16"/>
      <c r="C498" s="507"/>
      <c r="D498" s="16"/>
      <c r="E498" s="687"/>
      <c r="F498" s="16"/>
      <c r="G498" s="687"/>
      <c r="H498" s="16"/>
      <c r="I498" s="687"/>
      <c r="J498" s="16"/>
      <c r="K498" s="507"/>
      <c r="L498" s="16"/>
      <c r="M498" s="507"/>
      <c r="N498" s="16"/>
      <c r="O498" s="507"/>
      <c r="P498" s="16"/>
      <c r="Q498" s="507"/>
      <c r="R498" s="16"/>
      <c r="S498" s="507"/>
      <c r="T498" s="16"/>
      <c r="U498" s="507"/>
      <c r="V498" s="16"/>
      <c r="W498" s="507"/>
      <c r="X498" s="16"/>
      <c r="Y498" s="507"/>
      <c r="Z498" s="16"/>
      <c r="AA498" s="507"/>
      <c r="AB498" s="16"/>
      <c r="AC498" s="507"/>
      <c r="AD498" s="16"/>
      <c r="AE498" s="507"/>
      <c r="AF498" s="16"/>
      <c r="AG498" s="507"/>
      <c r="AH498" s="16"/>
      <c r="AI498" s="507"/>
      <c r="AJ498" s="16"/>
      <c r="AK498" s="507"/>
      <c r="AL498" s="16"/>
      <c r="AM498" s="507"/>
      <c r="AN498" s="16"/>
      <c r="AO498" s="507"/>
      <c r="AP498" s="16"/>
      <c r="AQ498" s="507"/>
      <c r="AR498" s="16"/>
      <c r="AS498" s="507"/>
      <c r="AT498" s="16"/>
      <c r="AU498" s="507"/>
      <c r="AV498" s="16"/>
      <c r="AW498" s="507"/>
      <c r="AX498" s="16"/>
      <c r="AY498" s="507"/>
      <c r="AZ498" s="16"/>
      <c r="BA498" s="507"/>
      <c r="BB498" s="16"/>
      <c r="BC498" s="507"/>
      <c r="BD498" s="16"/>
      <c r="BE498" s="507"/>
      <c r="BF498" s="16"/>
      <c r="BG498" s="507"/>
      <c r="BH498" s="16"/>
      <c r="BI498" s="507"/>
      <c r="BJ498" s="16"/>
      <c r="BK498" s="507"/>
      <c r="BL498" s="16"/>
      <c r="BM498" s="507"/>
      <c r="BN498" s="16"/>
      <c r="BO498" s="507"/>
      <c r="BP498" s="16"/>
      <c r="BQ498" s="507"/>
      <c r="BR498" s="16"/>
      <c r="BS498" s="507"/>
      <c r="BT498" s="16"/>
      <c r="BU498" s="507"/>
      <c r="BV498" s="16"/>
      <c r="BW498" s="507"/>
      <c r="BX498" s="16"/>
      <c r="BY498" s="507"/>
      <c r="BZ498" s="16"/>
      <c r="CA498" s="507"/>
      <c r="CB498" s="16"/>
      <c r="CC498" s="507"/>
      <c r="CD498" s="16"/>
      <c r="CE498" s="507"/>
      <c r="CF498" s="16"/>
      <c r="CG498" s="507"/>
      <c r="CH498" s="16"/>
      <c r="CI498" s="507"/>
      <c r="CJ498" s="16"/>
      <c r="CK498" s="507"/>
      <c r="CL498" s="16"/>
      <c r="CM498" s="507"/>
      <c r="CN498" s="16"/>
      <c r="CO498" s="507"/>
      <c r="CP498" s="16"/>
      <c r="CQ498" s="507"/>
      <c r="CR498" s="16"/>
      <c r="CS498" s="507"/>
      <c r="CT498" s="16"/>
      <c r="CU498" s="507"/>
      <c r="CV498" s="16"/>
      <c r="CW498" s="507"/>
      <c r="CX498" s="16"/>
      <c r="CY498" s="507"/>
      <c r="CZ498" s="16"/>
      <c r="DA498" s="507"/>
      <c r="DB498" s="507"/>
      <c r="DC498" s="16"/>
      <c r="DD498" s="507"/>
      <c r="DE498" s="16"/>
      <c r="DF498" s="507"/>
      <c r="DG498" s="16"/>
      <c r="DH498" s="507"/>
      <c r="DI498" s="16"/>
      <c r="DJ498" s="507"/>
      <c r="DK498" s="16"/>
      <c r="DL498" s="507"/>
      <c r="DM498" s="16"/>
      <c r="DN498" s="507"/>
      <c r="DO498" s="16"/>
      <c r="DP498" s="507"/>
      <c r="DQ498" s="16"/>
      <c r="DR498" s="507"/>
      <c r="DS498" s="16"/>
      <c r="DT498" s="507"/>
      <c r="DU498" s="16"/>
      <c r="DV498" s="507"/>
      <c r="DW498" s="16"/>
      <c r="DX498" s="507"/>
      <c r="DY498" s="16"/>
      <c r="DZ498" s="507"/>
      <c r="EA498" s="16"/>
      <c r="EB498" s="507"/>
      <c r="EC498" s="16"/>
      <c r="ED498" s="507"/>
      <c r="EE498" s="16"/>
      <c r="EF498" s="507"/>
      <c r="EG498" s="16"/>
      <c r="EH498" s="507"/>
      <c r="EI498" s="16"/>
      <c r="EJ498" s="507"/>
      <c r="EK498" s="16"/>
      <c r="EL498" s="507"/>
      <c r="EM498" s="687"/>
    </row>
    <row r="499" spans="1:143" ht="12.75" customHeight="1" x14ac:dyDescent="0.2">
      <c r="A499" s="701"/>
      <c r="B499" s="16"/>
      <c r="C499" s="507"/>
      <c r="D499" s="16"/>
      <c r="E499" s="687"/>
      <c r="F499" s="16"/>
      <c r="G499" s="687"/>
      <c r="H499" s="16"/>
      <c r="I499" s="687"/>
      <c r="J499" s="16"/>
      <c r="K499" s="507"/>
      <c r="L499" s="16"/>
      <c r="M499" s="507"/>
      <c r="N499" s="16"/>
      <c r="O499" s="507"/>
      <c r="P499" s="16"/>
      <c r="Q499" s="507"/>
      <c r="R499" s="16"/>
      <c r="S499" s="507"/>
      <c r="T499" s="16"/>
      <c r="U499" s="507"/>
      <c r="V499" s="16"/>
      <c r="W499" s="507"/>
      <c r="X499" s="16"/>
      <c r="Y499" s="507"/>
      <c r="Z499" s="16"/>
      <c r="AA499" s="507"/>
      <c r="AB499" s="16"/>
      <c r="AC499" s="507"/>
      <c r="AD499" s="16"/>
      <c r="AE499" s="507"/>
      <c r="AF499" s="16"/>
      <c r="AG499" s="507"/>
      <c r="AH499" s="16"/>
      <c r="AI499" s="507"/>
      <c r="AJ499" s="16"/>
      <c r="AK499" s="507"/>
      <c r="AL499" s="16"/>
      <c r="AM499" s="507"/>
      <c r="AN499" s="16"/>
      <c r="AO499" s="507"/>
      <c r="AP499" s="16"/>
      <c r="AQ499" s="507"/>
      <c r="AR499" s="16"/>
      <c r="AS499" s="507"/>
      <c r="AT499" s="16"/>
      <c r="AU499" s="507"/>
      <c r="AV499" s="16"/>
      <c r="AW499" s="507"/>
      <c r="AX499" s="16"/>
      <c r="AY499" s="507"/>
      <c r="AZ499" s="16"/>
      <c r="BA499" s="507"/>
      <c r="BB499" s="16"/>
      <c r="BC499" s="507"/>
      <c r="BD499" s="16"/>
      <c r="BE499" s="507"/>
      <c r="BF499" s="16"/>
      <c r="BG499" s="507"/>
      <c r="BH499" s="16"/>
      <c r="BI499" s="507"/>
      <c r="BJ499" s="16"/>
      <c r="BK499" s="507"/>
      <c r="BL499" s="16"/>
      <c r="BM499" s="507"/>
      <c r="BN499" s="16"/>
      <c r="BO499" s="507"/>
      <c r="BP499" s="16"/>
      <c r="BQ499" s="507"/>
      <c r="BR499" s="16"/>
      <c r="BS499" s="507"/>
      <c r="BT499" s="16"/>
      <c r="BU499" s="507"/>
      <c r="BV499" s="16"/>
      <c r="BW499" s="507"/>
      <c r="BX499" s="16"/>
      <c r="BY499" s="507"/>
      <c r="BZ499" s="16"/>
      <c r="CA499" s="507"/>
      <c r="CB499" s="16"/>
      <c r="CC499" s="507"/>
      <c r="CD499" s="16"/>
      <c r="CE499" s="507"/>
      <c r="CF499" s="16"/>
      <c r="CG499" s="507"/>
      <c r="CH499" s="16"/>
      <c r="CI499" s="507"/>
      <c r="CJ499" s="16"/>
      <c r="CK499" s="507"/>
      <c r="CL499" s="16"/>
      <c r="CM499" s="507"/>
      <c r="CN499" s="16"/>
      <c r="CO499" s="507"/>
      <c r="CP499" s="16"/>
      <c r="CQ499" s="507"/>
      <c r="CR499" s="16"/>
      <c r="CS499" s="507"/>
      <c r="CT499" s="16"/>
      <c r="CU499" s="507"/>
      <c r="CV499" s="16"/>
      <c r="CW499" s="507"/>
      <c r="CX499" s="16"/>
      <c r="CY499" s="507"/>
      <c r="CZ499" s="16"/>
      <c r="DA499" s="507"/>
      <c r="DB499" s="507"/>
      <c r="DC499" s="16"/>
      <c r="DD499" s="507"/>
      <c r="DE499" s="16"/>
      <c r="DF499" s="507"/>
      <c r="DG499" s="16"/>
      <c r="DH499" s="507"/>
      <c r="DI499" s="16"/>
      <c r="DJ499" s="507"/>
      <c r="DK499" s="16"/>
      <c r="DL499" s="507"/>
      <c r="DM499" s="16"/>
      <c r="DN499" s="507"/>
      <c r="DO499" s="16"/>
      <c r="DP499" s="507"/>
      <c r="DQ499" s="16"/>
      <c r="DR499" s="507"/>
      <c r="DS499" s="16"/>
      <c r="DT499" s="507"/>
      <c r="DU499" s="16"/>
      <c r="DV499" s="507"/>
      <c r="DW499" s="16"/>
      <c r="DX499" s="507"/>
      <c r="DY499" s="16"/>
      <c r="DZ499" s="507"/>
      <c r="EA499" s="16"/>
      <c r="EB499" s="507"/>
      <c r="EC499" s="16"/>
      <c r="ED499" s="507"/>
      <c r="EE499" s="16"/>
      <c r="EF499" s="507"/>
      <c r="EG499" s="16"/>
      <c r="EH499" s="507"/>
      <c r="EI499" s="16"/>
      <c r="EJ499" s="507"/>
      <c r="EK499" s="16"/>
      <c r="EL499" s="507"/>
      <c r="EM499" s="687"/>
    </row>
  </sheetData>
  <phoneticPr fontId="5" type="noConversion"/>
  <pageMargins left="0.69" right="0.69" top="0.79" bottom="0.69" header="0.5" footer="0.5"/>
  <pageSetup scale="64" fitToHeight="0" orientation="landscape" r:id="rId1"/>
  <headerFooter alignWithMargins="0"/>
  <rowBreaks count="7" manualBreakCount="7">
    <brk id="53" max="16383" man="1"/>
    <brk id="93" max="16383" man="1"/>
    <brk id="130" max="142" man="1"/>
    <brk id="166" max="16383" man="1"/>
    <brk id="218" max="16383" man="1"/>
    <brk id="255" max="142" man="1"/>
    <brk id="294" max="142" man="1"/>
  </rowBreaks>
  <ignoredErrors>
    <ignoredError sqref="AK59 AL40:AL59 AM59 AN40:AN59 AQ59 AR40:AR59 AS59 AT40:AT59 AU59 DV65:DV76 AV40:AV59 AH80:AW95 AI40:AI55 AK40:AK55 AM40:AM55 AO40:AO55 AQ40:AQ55 AS40:AS55 AU40:AU55 AW40:AW55 DV38 DB65:DP76 AJ40:AJ59 DV40:DV59 DV35 DB80:DP95 DD32:DP33 DV26 AH35:AW35 AH31:AW33 DC35:DP35 AH26:AW26 DV32:DV33 AH10:AW14 AH17:AW17 AH19:AW19 DB26:DP26 DV78 DB31:DB35 DB38:DP38 AH38:AW38 AH78:AW78 DV80:DV95 AH65:AW76 DB78:DP78 DB40:DP59 AP40:AP59 AO59 AW59 AH40:AH59 AI59 DC31:DC33 AH99:AW130 DB99:DP130 DV99:DV130 DB22:DP24 AH22:AW24 DV22:DV24 DD10:DP12 DB10:DC14 DV10:DV12 DV19 DB17:DP17 DV17 DD14:DP14 DB19:DP19 DV14 CD13:DA13 CD15:EK16 CD14:DA14 DW14:EK14 CD20:EK21 CD19:DA19 DQ19:DU19 DQ14:DU14 CD18:EK18 CD17:DA17 DW17:EK17 DQ17:DU17 DW19:EK19 CD10:DA12 DW10:EK12 DD13:EK13 DQ10:DU12" 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pageSetUpPr fitToPage="1"/>
  </sheetPr>
  <dimension ref="A1:AG33"/>
  <sheetViews>
    <sheetView workbookViewId="0">
      <pane xSplit="1" ySplit="2" topLeftCell="B3" activePane="bottomRight" state="frozen"/>
      <selection pane="topRight" activeCell="B1" sqref="B1"/>
      <selection pane="bottomLeft" activeCell="A4" sqref="A4"/>
      <selection pane="bottomRight" activeCell="AA24" sqref="AA24"/>
    </sheetView>
  </sheetViews>
  <sheetFormatPr defaultRowHeight="12.75" outlineLevelCol="1" x14ac:dyDescent="0.2"/>
  <cols>
    <col min="1" max="1" width="19.7109375" style="5" customWidth="1"/>
    <col min="2" max="9" width="9.140625" style="5" hidden="1" customWidth="1" outlineLevel="1"/>
    <col min="10" max="10" width="9.140625" style="5" hidden="1" customWidth="1" outlineLevel="1" collapsed="1"/>
    <col min="11" max="13" width="9.140625" style="5" hidden="1" customWidth="1" outlineLevel="1"/>
    <col min="14" max="14" width="1.140625" style="5" customWidth="1" collapsed="1"/>
    <col min="15" max="16" width="9.140625" style="5" hidden="1" customWidth="1" outlineLevel="1"/>
    <col min="17" max="17" width="9.140625" style="5" collapsed="1"/>
    <col min="18" max="21" width="9.140625" style="5"/>
    <col min="22" max="22" width="1" style="5" customWidth="1"/>
    <col min="23" max="25" width="9.140625" style="5" hidden="1" customWidth="1" outlineLevel="1"/>
    <col min="26" max="26" width="0" style="5" hidden="1" customWidth="1" outlineLevel="1"/>
    <col min="27" max="27" width="9.140625" style="5" collapsed="1"/>
    <col min="28" max="30" width="9.140625" style="5"/>
    <col min="31" max="31" width="21.42578125" style="5" bestFit="1" customWidth="1"/>
    <col min="32" max="32" width="9.85546875" style="5" bestFit="1" customWidth="1"/>
    <col min="33" max="33" width="10.85546875" style="5" bestFit="1" customWidth="1"/>
    <col min="34" max="16384" width="9.140625" style="5"/>
  </cols>
  <sheetData>
    <row r="1" spans="1:33" x14ac:dyDescent="0.2">
      <c r="W1" s="899" t="s">
        <v>640</v>
      </c>
      <c r="X1" s="899"/>
      <c r="Y1" s="899"/>
      <c r="Z1" s="899"/>
      <c r="AA1" s="899"/>
      <c r="AB1" s="899"/>
    </row>
    <row r="2" spans="1:33" x14ac:dyDescent="0.2">
      <c r="B2" s="800" t="str">
        <f>INPUT!CU6</f>
        <v>1Q12</v>
      </c>
      <c r="C2" s="800" t="str">
        <f>INPUT!CW6</f>
        <v>2Q12</v>
      </c>
      <c r="D2" s="800" t="str">
        <f>INPUT!CY6</f>
        <v>3Q12</v>
      </c>
      <c r="E2" s="800" t="str">
        <f>INPUT!DA6</f>
        <v>4Q12</v>
      </c>
      <c r="F2" s="800" t="str">
        <f>INPUT!DC6</f>
        <v>1Q13</v>
      </c>
      <c r="G2" s="800" t="str">
        <f>INPUT!DE6</f>
        <v>2Q13</v>
      </c>
      <c r="H2" s="800" t="str">
        <f>INPUT!DG6</f>
        <v>3Q13</v>
      </c>
      <c r="I2" s="800" t="str">
        <f>INPUT!DI6</f>
        <v>4Q13</v>
      </c>
      <c r="J2" s="800" t="str">
        <f>INPUT!DK6</f>
        <v>1Q14</v>
      </c>
      <c r="K2" s="800" t="str">
        <f>INPUT!DM6</f>
        <v>2Q14</v>
      </c>
      <c r="L2" s="800" t="str">
        <f>INPUT!DO6</f>
        <v>3Q14</v>
      </c>
      <c r="M2" s="800" t="str">
        <f>INPUT!DQ6</f>
        <v>4Q14</v>
      </c>
      <c r="O2" s="800" t="str">
        <f>INPUT!GD6</f>
        <v>2012</v>
      </c>
      <c r="P2" s="800" t="str">
        <f>INPUT!GF6</f>
        <v>2013</v>
      </c>
      <c r="Q2" s="800" t="str">
        <f>INPUT!GH6</f>
        <v>2014</v>
      </c>
      <c r="R2" s="800" t="str">
        <f>INPUT!GJ6</f>
        <v>2015</v>
      </c>
      <c r="S2" s="800" t="str">
        <f>INPUT!GL6</f>
        <v>2016</v>
      </c>
      <c r="T2" s="800" t="str">
        <f>INPUT!GN6</f>
        <v>2017</v>
      </c>
      <c r="U2" s="800" t="str">
        <f>INPUT!GP6</f>
        <v>2018E</v>
      </c>
      <c r="W2" s="551">
        <v>2012</v>
      </c>
      <c r="X2" s="551" t="s">
        <v>644</v>
      </c>
      <c r="Y2" s="551" t="s">
        <v>645</v>
      </c>
      <c r="Z2" s="551" t="s">
        <v>693</v>
      </c>
      <c r="AA2" s="551" t="s">
        <v>727</v>
      </c>
      <c r="AB2" s="800" t="s">
        <v>687</v>
      </c>
    </row>
    <row r="3" spans="1:33" x14ac:dyDescent="0.2">
      <c r="W3" s="551"/>
      <c r="X3" s="551"/>
      <c r="Y3" s="551"/>
      <c r="AE3" s="900" t="s">
        <v>737</v>
      </c>
      <c r="AF3" s="900"/>
      <c r="AG3" s="900"/>
    </row>
    <row r="4" spans="1:33" x14ac:dyDescent="0.2">
      <c r="A4" s="5" t="s">
        <v>109</v>
      </c>
      <c r="W4" s="551"/>
      <c r="X4" s="551"/>
      <c r="Y4" s="551"/>
      <c r="AA4" s="804" t="s">
        <v>728</v>
      </c>
      <c r="AE4" s="877"/>
      <c r="AF4" s="878" t="s">
        <v>732</v>
      </c>
      <c r="AG4" s="879" t="s">
        <v>733</v>
      </c>
    </row>
    <row r="5" spans="1:33" x14ac:dyDescent="0.2">
      <c r="A5" s="5" t="s">
        <v>396</v>
      </c>
      <c r="W5" s="551"/>
      <c r="X5" s="551"/>
      <c r="Y5" s="551"/>
      <c r="AA5" s="804" t="s">
        <v>729</v>
      </c>
      <c r="AE5" s="880"/>
      <c r="AF5" s="881" t="s">
        <v>735</v>
      </c>
      <c r="AG5" s="882" t="s">
        <v>734</v>
      </c>
    </row>
    <row r="6" spans="1:33" x14ac:dyDescent="0.2">
      <c r="A6" s="5" t="s">
        <v>726</v>
      </c>
      <c r="W6" s="551"/>
      <c r="X6" s="551"/>
      <c r="Y6" s="551"/>
      <c r="AA6" s="804" t="s">
        <v>731</v>
      </c>
      <c r="AE6" s="883" t="str">
        <f>A4</f>
        <v>Annuities</v>
      </c>
      <c r="AF6" s="886" t="str">
        <f>AA4</f>
        <v>4-6%</v>
      </c>
      <c r="AG6" s="887">
        <f>INPUT!GZ118/100</f>
        <v>6.8296463446636979E-2</v>
      </c>
    </row>
    <row r="7" spans="1:33" x14ac:dyDescent="0.2">
      <c r="A7" s="106" t="s">
        <v>130</v>
      </c>
      <c r="B7" s="5">
        <f>Group_ATEarns _1Q12</f>
        <v>16</v>
      </c>
      <c r="C7" s="5">
        <f>Group_ATEarns _2Q12</f>
        <v>27</v>
      </c>
      <c r="D7" s="5">
        <f>Group_ATEarns _3Q12</f>
        <v>16</v>
      </c>
      <c r="E7" s="5">
        <f>Group_ATEarns _4Q12</f>
        <v>13</v>
      </c>
      <c r="F7" s="556">
        <f>Group_ATEarns _1Q13</f>
        <v>14</v>
      </c>
      <c r="G7" s="556">
        <f>Group_ATEarns _2Q13</f>
        <v>22</v>
      </c>
      <c r="H7" s="556">
        <f>Group_ATEarns _3Q13</f>
        <v>23</v>
      </c>
      <c r="I7" s="556">
        <f>Group_ATEarns _4Q13</f>
        <v>11</v>
      </c>
      <c r="J7" s="556">
        <f>Group_ATEarns _1Q14</f>
        <v>20</v>
      </c>
      <c r="K7" s="556">
        <f>Group_ATEarns _2Q14</f>
        <v>2</v>
      </c>
      <c r="L7" s="556">
        <f>Group_ATEarns _3Q14</f>
        <v>8</v>
      </c>
      <c r="M7" s="556">
        <f>Group_ATEarns _4Q14</f>
        <v>-7</v>
      </c>
      <c r="O7" s="5">
        <f>Group_ATEarns F2012_</f>
        <v>72</v>
      </c>
      <c r="P7" s="556">
        <f>Group_ATEarns F2013_</f>
        <v>70</v>
      </c>
      <c r="Q7" s="556">
        <f>Group_ATEarns F2014_</f>
        <v>23</v>
      </c>
      <c r="R7" s="556">
        <f>Group_ATEarns F2015_</f>
        <v>43</v>
      </c>
      <c r="S7" s="556">
        <f>Group_ATEarns F2016_</f>
        <v>64</v>
      </c>
      <c r="T7" s="556">
        <f>Group_ATEarns F2017_</f>
        <v>103</v>
      </c>
      <c r="U7" s="556">
        <f>Group_ATEarns F2018_</f>
        <v>134.85771079577151</v>
      </c>
      <c r="W7" s="551"/>
      <c r="X7" s="557" t="s">
        <v>516</v>
      </c>
      <c r="Y7" s="804" t="s">
        <v>673</v>
      </c>
      <c r="Z7" s="804" t="s">
        <v>691</v>
      </c>
      <c r="AA7" s="804" t="s">
        <v>730</v>
      </c>
      <c r="AE7" s="884" t="str">
        <f>A5</f>
        <v>Life Insurance</v>
      </c>
      <c r="AF7" s="885" t="str">
        <f>AA5</f>
        <v>2-4%</v>
      </c>
      <c r="AG7" s="888">
        <f>INPUT!GZ275/100</f>
        <v>4.8801214239673874E-2</v>
      </c>
    </row>
    <row r="8" spans="1:33" x14ac:dyDescent="0.2">
      <c r="A8" s="5" t="s">
        <v>642</v>
      </c>
      <c r="F8" s="555">
        <f t="shared" ref="F8:M8" si="0">F7/B7-1</f>
        <v>-0.125</v>
      </c>
      <c r="G8" s="555">
        <f t="shared" si="0"/>
        <v>-0.18518518518518523</v>
      </c>
      <c r="H8" s="555">
        <f t="shared" si="0"/>
        <v>0.4375</v>
      </c>
      <c r="I8" s="555">
        <f t="shared" si="0"/>
        <v>-0.15384615384615385</v>
      </c>
      <c r="J8" s="555">
        <f t="shared" si="0"/>
        <v>0.4285714285714286</v>
      </c>
      <c r="K8" s="555">
        <f t="shared" si="0"/>
        <v>-0.90909090909090906</v>
      </c>
      <c r="L8" s="555">
        <f t="shared" si="0"/>
        <v>-0.65217391304347827</v>
      </c>
      <c r="M8" s="555">
        <f t="shared" si="0"/>
        <v>-1.6363636363636362</v>
      </c>
      <c r="P8" s="555">
        <f t="shared" ref="P8:U8" si="1">P7/O7-1</f>
        <v>-2.777777777777779E-2</v>
      </c>
      <c r="Q8" s="555">
        <f t="shared" si="1"/>
        <v>-0.67142857142857149</v>
      </c>
      <c r="R8" s="555">
        <f t="shared" si="1"/>
        <v>0.86956521739130443</v>
      </c>
      <c r="S8" s="555">
        <f t="shared" si="1"/>
        <v>0.48837209302325579</v>
      </c>
      <c r="T8" s="555">
        <f t="shared" si="1"/>
        <v>0.609375</v>
      </c>
      <c r="U8" s="555">
        <f t="shared" si="1"/>
        <v>0.30929816306574276</v>
      </c>
      <c r="W8" s="551"/>
      <c r="X8" s="551"/>
      <c r="Y8" s="551"/>
      <c r="AE8" s="883" t="str">
        <f>A7</f>
        <v>Group Protection</v>
      </c>
      <c r="AF8" s="886" t="str">
        <f>AA7</f>
        <v>8-10%</v>
      </c>
      <c r="AG8" s="889">
        <f>INPUT!GZ311/100</f>
        <v>0.162412824948164</v>
      </c>
    </row>
    <row r="9" spans="1:33" x14ac:dyDescent="0.2">
      <c r="A9" s="5" t="s">
        <v>702</v>
      </c>
      <c r="F9" s="555"/>
      <c r="G9" s="555"/>
      <c r="H9" s="555"/>
      <c r="I9" s="555"/>
      <c r="J9" s="555"/>
      <c r="K9" s="555"/>
      <c r="L9" s="555"/>
      <c r="M9" s="555"/>
      <c r="P9" s="555"/>
      <c r="Q9" s="555"/>
      <c r="R9" s="555">
        <f>GP_Margin F2015_/100</f>
        <v>1.8243529910903691E-2</v>
      </c>
      <c r="S9" s="555">
        <f>GP_Margin F2016_/100</f>
        <v>3.0046948356807511E-2</v>
      </c>
      <c r="T9" s="555">
        <f>GP_Margin F2016_/100</f>
        <v>3.0046948356807511E-2</v>
      </c>
      <c r="U9" s="555">
        <f>GP_Margin F2016_/100</f>
        <v>3.0046948356807511E-2</v>
      </c>
      <c r="W9" s="551"/>
      <c r="X9" s="551"/>
      <c r="Y9" s="551"/>
      <c r="AB9" s="804" t="s">
        <v>703</v>
      </c>
      <c r="AE9" s="890" t="str">
        <f>A6</f>
        <v>Retirement Plan Services</v>
      </c>
      <c r="AF9" s="891" t="str">
        <f>AA6</f>
        <v>5-8%</v>
      </c>
      <c r="AG9" s="892">
        <f>INPUT!GZ179/100</f>
        <v>6.5368801614275496E-2</v>
      </c>
    </row>
    <row r="10" spans="1:33" x14ac:dyDescent="0.2">
      <c r="AE10" s="893" t="s">
        <v>486</v>
      </c>
      <c r="AF10" s="894" t="s">
        <v>730</v>
      </c>
      <c r="AG10" s="895">
        <f>INPUT!GZ18/100</f>
        <v>9.0688026825787707E-2</v>
      </c>
    </row>
    <row r="11" spans="1:33" x14ac:dyDescent="0.2">
      <c r="A11" s="106" t="s">
        <v>641</v>
      </c>
      <c r="B11" s="552">
        <f>CoreOpEarns_AT _1Q12</f>
        <v>293</v>
      </c>
      <c r="C11" s="552">
        <f>CoreOpEarns_AT _2Q12</f>
        <v>295</v>
      </c>
      <c r="D11" s="552">
        <f>CoreOpEarns_AT _3Q12</f>
        <v>328</v>
      </c>
      <c r="E11" s="552">
        <f>CoreOpEarns_AT _4Q12</f>
        <v>302</v>
      </c>
      <c r="F11" s="552">
        <f>CoreOpEarns_AT _1Q13</f>
        <v>298.49799999999999</v>
      </c>
      <c r="G11" s="552">
        <f>CoreOpEarns_AT _2Q13</f>
        <v>332</v>
      </c>
      <c r="H11" s="552">
        <f>CoreOpEarns_AT _3Q13</f>
        <v>339</v>
      </c>
      <c r="I11" s="552">
        <f>CoreOpEarns_AT _4Q13</f>
        <v>357</v>
      </c>
      <c r="J11" s="552">
        <f>CoreOpEarns_AT _1Q14</f>
        <v>364</v>
      </c>
      <c r="K11" s="552">
        <f>CoreOpEarns_AT _2Q14</f>
        <v>384</v>
      </c>
      <c r="L11" s="552">
        <f>CoreOpEarns_AT _3Q14</f>
        <v>404</v>
      </c>
      <c r="M11" s="552">
        <f>CoreOpEarns_AT _4Q14</f>
        <v>387</v>
      </c>
      <c r="O11" s="552">
        <f>CoreOpEarns_AT F2012_</f>
        <v>1218</v>
      </c>
      <c r="P11" s="552">
        <f>CoreOpEarns_AT F2013_</f>
        <v>1326.498</v>
      </c>
      <c r="Q11" s="552">
        <f>CoreOpEarns_AT F2014_</f>
        <v>1539</v>
      </c>
      <c r="R11" s="552">
        <f>CoreOpEarns_AT F2015_</f>
        <v>1534.5</v>
      </c>
      <c r="S11" s="552">
        <f>CoreOpEarns_AT F2016_</f>
        <v>1552.3</v>
      </c>
      <c r="T11" s="552">
        <f>CoreOpEarns_AT F2017_</f>
        <v>1690.5</v>
      </c>
      <c r="U11" s="552">
        <f>CoreOpEarns_AT F2018_</f>
        <v>1865.2245043918708</v>
      </c>
      <c r="AE11" s="5" t="s">
        <v>736</v>
      </c>
    </row>
    <row r="12" spans="1:33" x14ac:dyDescent="0.2">
      <c r="A12" s="5" t="s">
        <v>642</v>
      </c>
      <c r="C12" s="553"/>
      <c r="D12" s="553"/>
      <c r="E12" s="553"/>
      <c r="F12" s="555">
        <f t="shared" ref="F12:M12" si="2">F11/B11-1</f>
        <v>1.8764505119453823E-2</v>
      </c>
      <c r="G12" s="555">
        <f t="shared" si="2"/>
        <v>0.12542372881355934</v>
      </c>
      <c r="H12" s="555">
        <f t="shared" si="2"/>
        <v>3.3536585365853577E-2</v>
      </c>
      <c r="I12" s="555">
        <f t="shared" si="2"/>
        <v>0.18211920529801318</v>
      </c>
      <c r="J12" s="555">
        <f t="shared" si="2"/>
        <v>0.21943865620540182</v>
      </c>
      <c r="K12" s="555">
        <f t="shared" si="2"/>
        <v>0.15662650602409633</v>
      </c>
      <c r="L12" s="555">
        <f t="shared" si="2"/>
        <v>0.19174041297935096</v>
      </c>
      <c r="M12" s="555">
        <f t="shared" si="2"/>
        <v>8.4033613445378075E-2</v>
      </c>
      <c r="P12" s="555">
        <f t="shared" ref="P12:U12" si="3">P11/O11-1</f>
        <v>8.907881773399029E-2</v>
      </c>
      <c r="Q12" s="555">
        <f t="shared" si="3"/>
        <v>0.16019775378477763</v>
      </c>
      <c r="R12" s="555">
        <f t="shared" si="3"/>
        <v>-2.9239766081871066E-3</v>
      </c>
      <c r="S12" s="555">
        <f t="shared" si="3"/>
        <v>1.1599869664385754E-2</v>
      </c>
      <c r="T12" s="555">
        <f t="shared" si="3"/>
        <v>8.9029182503382209E-2</v>
      </c>
      <c r="U12" s="555">
        <f t="shared" si="3"/>
        <v>0.10335670179939127</v>
      </c>
    </row>
    <row r="14" spans="1:33" x14ac:dyDescent="0.2">
      <c r="A14" s="106" t="s">
        <v>643</v>
      </c>
      <c r="B14" s="552">
        <f>OpEarns_AT _1Q12</f>
        <v>293</v>
      </c>
      <c r="C14" s="552">
        <f>OpEarns_AT _2Q12</f>
        <v>315</v>
      </c>
      <c r="D14" s="552">
        <f>OpEarns_AT _3Q12</f>
        <v>362</v>
      </c>
      <c r="E14" s="552">
        <f>OpEarns_AT _4Q12</f>
        <v>310</v>
      </c>
      <c r="F14" s="552">
        <f>OpEarns_AT _1Q13</f>
        <v>285</v>
      </c>
      <c r="G14" s="552">
        <f>OpEarns_AT _2Q13</f>
        <v>351</v>
      </c>
      <c r="H14" s="552">
        <f>OpEarns_AT _3Q13</f>
        <v>367</v>
      </c>
      <c r="I14" s="552">
        <f>OpEarns_AT _4Q13</f>
        <v>382</v>
      </c>
      <c r="J14" s="552">
        <f>OpEarns_AT _1Q14</f>
        <v>364</v>
      </c>
      <c r="K14" s="552">
        <f>OpEarns_AT _2Q14</f>
        <v>395</v>
      </c>
      <c r="L14" s="552">
        <f>OpEarns_AT _3Q14</f>
        <v>416</v>
      </c>
      <c r="M14" s="552">
        <f>OpEarns_AT _4Q14</f>
        <v>440</v>
      </c>
      <c r="O14" s="552">
        <f>OpEarns_AT F2012_</f>
        <v>1280</v>
      </c>
      <c r="P14" s="552">
        <f>OpEarns_AT F2013_</f>
        <v>1385</v>
      </c>
      <c r="Q14" s="552">
        <f>OpEarns_AT F2014_</f>
        <v>1615</v>
      </c>
      <c r="R14" s="552">
        <f>OpEarns_AT F2015_</f>
        <v>1387</v>
      </c>
      <c r="S14" s="552">
        <f>OpEarns_AT F2016_</f>
        <v>1530</v>
      </c>
      <c r="T14" s="552">
        <f>OpEarns_AT F2017_</f>
        <v>1755</v>
      </c>
      <c r="U14" s="552">
        <f>OpEarns_AT F2018_</f>
        <v>1865.2245043918708</v>
      </c>
      <c r="AE14" s="818"/>
    </row>
    <row r="15" spans="1:33" x14ac:dyDescent="0.2">
      <c r="A15" s="5" t="s">
        <v>642</v>
      </c>
      <c r="C15" s="553"/>
      <c r="D15" s="553"/>
      <c r="E15" s="553"/>
      <c r="F15" s="555">
        <f t="shared" ref="F15:M15" si="4">F14/B14-1</f>
        <v>-2.7303754266211566E-2</v>
      </c>
      <c r="G15" s="555">
        <f t="shared" si="4"/>
        <v>0.11428571428571432</v>
      </c>
      <c r="H15" s="555">
        <f t="shared" si="4"/>
        <v>1.3812154696132506E-2</v>
      </c>
      <c r="I15" s="555">
        <f t="shared" si="4"/>
        <v>0.23225806451612896</v>
      </c>
      <c r="J15" s="555">
        <f t="shared" si="4"/>
        <v>0.27719298245614032</v>
      </c>
      <c r="K15" s="555">
        <f t="shared" si="4"/>
        <v>0.12535612535612528</v>
      </c>
      <c r="L15" s="555">
        <f t="shared" si="4"/>
        <v>0.13351498637602188</v>
      </c>
      <c r="M15" s="555">
        <f t="shared" si="4"/>
        <v>0.1518324607329844</v>
      </c>
      <c r="P15" s="555">
        <f t="shared" ref="P15:U15" si="5">P14/O14-1</f>
        <v>8.203125E-2</v>
      </c>
      <c r="Q15" s="555">
        <f t="shared" si="5"/>
        <v>0.1660649819494584</v>
      </c>
      <c r="R15" s="555">
        <f t="shared" si="5"/>
        <v>-0.14117647058823535</v>
      </c>
      <c r="S15" s="555">
        <f t="shared" si="5"/>
        <v>0.10310021629416011</v>
      </c>
      <c r="T15" s="555">
        <f t="shared" si="5"/>
        <v>0.14705882352941169</v>
      </c>
      <c r="U15" s="555">
        <f t="shared" si="5"/>
        <v>6.2805985408473486E-2</v>
      </c>
      <c r="AE15" s="818"/>
    </row>
    <row r="16" spans="1:33" x14ac:dyDescent="0.2">
      <c r="AE16" s="818"/>
    </row>
    <row r="17" spans="1:30" x14ac:dyDescent="0.2">
      <c r="A17" s="106" t="s">
        <v>551</v>
      </c>
      <c r="B17" s="554">
        <f>Op_EPS _1Q12</f>
        <v>0.9901993916863806</v>
      </c>
      <c r="C17" s="554">
        <f>Op_EPS _2Q12</f>
        <v>1.0862068965517242</v>
      </c>
      <c r="D17" s="554">
        <f>Op_EPS _3Q12</f>
        <v>1.2715138742536003</v>
      </c>
      <c r="E17" s="554">
        <f>Op_EPS _4Q12</f>
        <v>1.1028103877623621</v>
      </c>
      <c r="F17" s="554">
        <f>Op_EPS _1Q13</f>
        <v>1.0229720028715004</v>
      </c>
      <c r="G17" s="554">
        <f>Op_EPS _2Q13</f>
        <v>1.2731229597388467</v>
      </c>
      <c r="H17" s="554">
        <f>Op_EPS _3Q13</f>
        <v>1.3408841797588602</v>
      </c>
      <c r="I17" s="554">
        <f>Op_EPS _4Q13</f>
        <v>1.4002932551319647</v>
      </c>
      <c r="J17" s="554">
        <f>Op_EPS _1Q14</f>
        <v>1.3377434766629914</v>
      </c>
      <c r="K17" s="554">
        <f>Op_EPS _2Q14</f>
        <v>1.4689475641502419</v>
      </c>
      <c r="L17" s="554">
        <f>Op_EPS _3Q14</f>
        <v>1.5592203898050974</v>
      </c>
      <c r="M17" s="554">
        <f>Op_EPS _4Q14</f>
        <v>1.6730038022813689</v>
      </c>
      <c r="O17" s="5">
        <f>Op_EPS F2012_</f>
        <v>4.4506258692628649</v>
      </c>
      <c r="P17" s="5">
        <f>Op_EPS F2013_</f>
        <v>5.0327034883720936</v>
      </c>
      <c r="Q17" s="554">
        <f>Op_EPS F2014_</f>
        <v>6.0261194029850742</v>
      </c>
      <c r="R17" s="554">
        <f>Op_EPS F2015_</f>
        <v>5.4520440251572326</v>
      </c>
      <c r="S17" s="554">
        <f>Op_EPS F2016_</f>
        <v>6.4454976303317535</v>
      </c>
      <c r="T17" s="554">
        <f>Op_EPS F2017_</f>
        <v>7.7736559437461938</v>
      </c>
      <c r="U17" s="554">
        <f>Op_EPS F2018_</f>
        <v>8.4472022261282849</v>
      </c>
      <c r="AB17" s="804" t="s">
        <v>688</v>
      </c>
    </row>
    <row r="18" spans="1:30" x14ac:dyDescent="0.2">
      <c r="A18" s="5" t="s">
        <v>642</v>
      </c>
      <c r="C18" s="553"/>
      <c r="D18" s="553"/>
      <c r="E18" s="553"/>
      <c r="F18" s="555">
        <f t="shared" ref="F18:M18" si="6">F17/B17-1</f>
        <v>3.3096981739511699E-2</v>
      </c>
      <c r="G18" s="555">
        <f t="shared" si="6"/>
        <v>0.17208145499766836</v>
      </c>
      <c r="H18" s="555">
        <f t="shared" si="6"/>
        <v>5.4557254081070372E-2</v>
      </c>
      <c r="I18" s="555">
        <f t="shared" si="6"/>
        <v>0.26974978715353326</v>
      </c>
      <c r="J18" s="555">
        <f t="shared" si="6"/>
        <v>0.30770292139757682</v>
      </c>
      <c r="K18" s="555">
        <f t="shared" si="6"/>
        <v>0.15381436876416421</v>
      </c>
      <c r="L18" s="555">
        <f t="shared" si="6"/>
        <v>0.16283002912712563</v>
      </c>
      <c r="M18" s="555">
        <f t="shared" si="6"/>
        <v>0.19475245356638093</v>
      </c>
      <c r="P18" s="555">
        <f t="shared" ref="P18:U18" si="7">P17/O17-1</f>
        <v>0.13078556504360495</v>
      </c>
      <c r="Q18" s="555">
        <f t="shared" si="7"/>
        <v>0.19739210086750347</v>
      </c>
      <c r="R18" s="555">
        <f t="shared" si="7"/>
        <v>-9.5264520902700656E-2</v>
      </c>
      <c r="S18" s="555">
        <f t="shared" si="7"/>
        <v>0.18221672469819628</v>
      </c>
      <c r="T18" s="555">
        <f t="shared" si="7"/>
        <v>0.20605985597826981</v>
      </c>
      <c r="U18" s="555">
        <f t="shared" si="7"/>
        <v>8.6644725114693344E-2</v>
      </c>
    </row>
    <row r="21" spans="1:30" ht="12.75" customHeight="1" x14ac:dyDescent="0.2">
      <c r="A21" s="106" t="s">
        <v>258</v>
      </c>
      <c r="M21" s="779" t="s">
        <v>689</v>
      </c>
      <c r="Y21" s="804" t="s">
        <v>695</v>
      </c>
      <c r="Z21" s="804" t="s">
        <v>692</v>
      </c>
      <c r="AA21" s="804"/>
      <c r="AC21" s="5" t="s">
        <v>694</v>
      </c>
    </row>
    <row r="22" spans="1:30" x14ac:dyDescent="0.2">
      <c r="A22" s="7"/>
      <c r="B22" s="7"/>
      <c r="C22" s="7"/>
      <c r="D22" s="7"/>
      <c r="E22" s="7"/>
      <c r="F22" s="7"/>
      <c r="G22" s="7"/>
      <c r="H22" s="7"/>
      <c r="I22" s="7"/>
      <c r="J22" s="7"/>
      <c r="K22" s="7"/>
      <c r="L22" s="7"/>
      <c r="M22" s="7"/>
      <c r="N22" s="7"/>
      <c r="O22" s="7"/>
      <c r="P22" s="7"/>
      <c r="Q22" s="7"/>
      <c r="R22" s="7"/>
      <c r="S22" s="7"/>
      <c r="T22" s="7"/>
      <c r="U22" s="7"/>
      <c r="V22" s="7"/>
      <c r="W22" s="7"/>
      <c r="X22" s="7"/>
      <c r="Y22" s="779"/>
      <c r="Z22" s="7"/>
      <c r="AA22" s="7"/>
    </row>
    <row r="23" spans="1:30" x14ac:dyDescent="0.2">
      <c r="A23" s="106" t="s">
        <v>704</v>
      </c>
      <c r="R23" s="804" t="s">
        <v>705</v>
      </c>
    </row>
    <row r="24" spans="1:30" x14ac:dyDescent="0.2">
      <c r="A24" s="106" t="s">
        <v>706</v>
      </c>
      <c r="R24" s="810">
        <v>5.05</v>
      </c>
    </row>
    <row r="31" spans="1:30" x14ac:dyDescent="0.2">
      <c r="AC31" s="5">
        <v>66</v>
      </c>
      <c r="AD31" s="5">
        <v>61</v>
      </c>
    </row>
    <row r="32" spans="1:30" x14ac:dyDescent="0.2">
      <c r="AC32" s="5">
        <v>58</v>
      </c>
      <c r="AD32" s="5">
        <v>54</v>
      </c>
    </row>
    <row r="33" spans="29:30" x14ac:dyDescent="0.2">
      <c r="AC33" s="5">
        <v>41</v>
      </c>
      <c r="AD33" s="5">
        <v>38</v>
      </c>
    </row>
  </sheetData>
  <mergeCells count="2">
    <mergeCell ref="W1:AB1"/>
    <mergeCell ref="AE3:AG3"/>
  </mergeCells>
  <phoneticPr fontId="5" type="noConversion"/>
  <pageMargins left="0" right="0" top="0" bottom="0" header="0" footer="0"/>
  <pageSetup paperSize="5" orientation="landscape" r:id="rId1"/>
  <headerFooter alignWithMargins="0"/>
  <ignoredErrors>
    <ignoredError sqref="AE9:AF9" 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x14ac:dyDescent="0.2"/>
  <cols>
    <col min="1" max="1" width="29.5703125" style="794" bestFit="1" customWidth="1"/>
    <col min="2" max="2" width="19.85546875" style="922" customWidth="1"/>
    <col min="3" max="3" width="12" style="794" bestFit="1" customWidth="1"/>
    <col min="4" max="256" width="9.140625" style="794"/>
    <col min="257" max="257" width="29.5703125" style="794" bestFit="1" customWidth="1"/>
    <col min="258" max="258" width="19.85546875" style="794" customWidth="1"/>
    <col min="259" max="259" width="12" style="794" bestFit="1" customWidth="1"/>
    <col min="260" max="512" width="9.140625" style="794"/>
    <col min="513" max="513" width="29.5703125" style="794" bestFit="1" customWidth="1"/>
    <col min="514" max="514" width="19.85546875" style="794" customWidth="1"/>
    <col min="515" max="515" width="12" style="794" bestFit="1" customWidth="1"/>
    <col min="516" max="768" width="9.140625" style="794"/>
    <col min="769" max="769" width="29.5703125" style="794" bestFit="1" customWidth="1"/>
    <col min="770" max="770" width="19.85546875" style="794" customWidth="1"/>
    <col min="771" max="771" width="12" style="794" bestFit="1" customWidth="1"/>
    <col min="772" max="1024" width="9.140625" style="794"/>
    <col min="1025" max="1025" width="29.5703125" style="794" bestFit="1" customWidth="1"/>
    <col min="1026" max="1026" width="19.85546875" style="794" customWidth="1"/>
    <col min="1027" max="1027" width="12" style="794" bestFit="1" customWidth="1"/>
    <col min="1028" max="1280" width="9.140625" style="794"/>
    <col min="1281" max="1281" width="29.5703125" style="794" bestFit="1" customWidth="1"/>
    <col min="1282" max="1282" width="19.85546875" style="794" customWidth="1"/>
    <col min="1283" max="1283" width="12" style="794" bestFit="1" customWidth="1"/>
    <col min="1284" max="1536" width="9.140625" style="794"/>
    <col min="1537" max="1537" width="29.5703125" style="794" bestFit="1" customWidth="1"/>
    <col min="1538" max="1538" width="19.85546875" style="794" customWidth="1"/>
    <col min="1539" max="1539" width="12" style="794" bestFit="1" customWidth="1"/>
    <col min="1540" max="1792" width="9.140625" style="794"/>
    <col min="1793" max="1793" width="29.5703125" style="794" bestFit="1" customWidth="1"/>
    <col min="1794" max="1794" width="19.85546875" style="794" customWidth="1"/>
    <col min="1795" max="1795" width="12" style="794" bestFit="1" customWidth="1"/>
    <col min="1796" max="2048" width="9.140625" style="794"/>
    <col min="2049" max="2049" width="29.5703125" style="794" bestFit="1" customWidth="1"/>
    <col min="2050" max="2050" width="19.85546875" style="794" customWidth="1"/>
    <col min="2051" max="2051" width="12" style="794" bestFit="1" customWidth="1"/>
    <col min="2052" max="2304" width="9.140625" style="794"/>
    <col min="2305" max="2305" width="29.5703125" style="794" bestFit="1" customWidth="1"/>
    <col min="2306" max="2306" width="19.85546875" style="794" customWidth="1"/>
    <col min="2307" max="2307" width="12" style="794" bestFit="1" customWidth="1"/>
    <col min="2308" max="2560" width="9.140625" style="794"/>
    <col min="2561" max="2561" width="29.5703125" style="794" bestFit="1" customWidth="1"/>
    <col min="2562" max="2562" width="19.85546875" style="794" customWidth="1"/>
    <col min="2563" max="2563" width="12" style="794" bestFit="1" customWidth="1"/>
    <col min="2564" max="2816" width="9.140625" style="794"/>
    <col min="2817" max="2817" width="29.5703125" style="794" bestFit="1" customWidth="1"/>
    <col min="2818" max="2818" width="19.85546875" style="794" customWidth="1"/>
    <col min="2819" max="2819" width="12" style="794" bestFit="1" customWidth="1"/>
    <col min="2820" max="3072" width="9.140625" style="794"/>
    <col min="3073" max="3073" width="29.5703125" style="794" bestFit="1" customWidth="1"/>
    <col min="3074" max="3074" width="19.85546875" style="794" customWidth="1"/>
    <col min="3075" max="3075" width="12" style="794" bestFit="1" customWidth="1"/>
    <col min="3076" max="3328" width="9.140625" style="794"/>
    <col min="3329" max="3329" width="29.5703125" style="794" bestFit="1" customWidth="1"/>
    <col min="3330" max="3330" width="19.85546875" style="794" customWidth="1"/>
    <col min="3331" max="3331" width="12" style="794" bestFit="1" customWidth="1"/>
    <col min="3332" max="3584" width="9.140625" style="794"/>
    <col min="3585" max="3585" width="29.5703125" style="794" bestFit="1" customWidth="1"/>
    <col min="3586" max="3586" width="19.85546875" style="794" customWidth="1"/>
    <col min="3587" max="3587" width="12" style="794" bestFit="1" customWidth="1"/>
    <col min="3588" max="3840" width="9.140625" style="794"/>
    <col min="3841" max="3841" width="29.5703125" style="794" bestFit="1" customWidth="1"/>
    <col min="3842" max="3842" width="19.85546875" style="794" customWidth="1"/>
    <col min="3843" max="3843" width="12" style="794" bestFit="1" customWidth="1"/>
    <col min="3844" max="4096" width="9.140625" style="794"/>
    <col min="4097" max="4097" width="29.5703125" style="794" bestFit="1" customWidth="1"/>
    <col min="4098" max="4098" width="19.85546875" style="794" customWidth="1"/>
    <col min="4099" max="4099" width="12" style="794" bestFit="1" customWidth="1"/>
    <col min="4100" max="4352" width="9.140625" style="794"/>
    <col min="4353" max="4353" width="29.5703125" style="794" bestFit="1" customWidth="1"/>
    <col min="4354" max="4354" width="19.85546875" style="794" customWidth="1"/>
    <col min="4355" max="4355" width="12" style="794" bestFit="1" customWidth="1"/>
    <col min="4356" max="4608" width="9.140625" style="794"/>
    <col min="4609" max="4609" width="29.5703125" style="794" bestFit="1" customWidth="1"/>
    <col min="4610" max="4610" width="19.85546875" style="794" customWidth="1"/>
    <col min="4611" max="4611" width="12" style="794" bestFit="1" customWidth="1"/>
    <col min="4612" max="4864" width="9.140625" style="794"/>
    <col min="4865" max="4865" width="29.5703125" style="794" bestFit="1" customWidth="1"/>
    <col min="4866" max="4866" width="19.85546875" style="794" customWidth="1"/>
    <col min="4867" max="4867" width="12" style="794" bestFit="1" customWidth="1"/>
    <col min="4868" max="5120" width="9.140625" style="794"/>
    <col min="5121" max="5121" width="29.5703125" style="794" bestFit="1" customWidth="1"/>
    <col min="5122" max="5122" width="19.85546875" style="794" customWidth="1"/>
    <col min="5123" max="5123" width="12" style="794" bestFit="1" customWidth="1"/>
    <col min="5124" max="5376" width="9.140625" style="794"/>
    <col min="5377" max="5377" width="29.5703125" style="794" bestFit="1" customWidth="1"/>
    <col min="5378" max="5378" width="19.85546875" style="794" customWidth="1"/>
    <col min="5379" max="5379" width="12" style="794" bestFit="1" customWidth="1"/>
    <col min="5380" max="5632" width="9.140625" style="794"/>
    <col min="5633" max="5633" width="29.5703125" style="794" bestFit="1" customWidth="1"/>
    <col min="5634" max="5634" width="19.85546875" style="794" customWidth="1"/>
    <col min="5635" max="5635" width="12" style="794" bestFit="1" customWidth="1"/>
    <col min="5636" max="5888" width="9.140625" style="794"/>
    <col min="5889" max="5889" width="29.5703125" style="794" bestFit="1" customWidth="1"/>
    <col min="5890" max="5890" width="19.85546875" style="794" customWidth="1"/>
    <col min="5891" max="5891" width="12" style="794" bestFit="1" customWidth="1"/>
    <col min="5892" max="6144" width="9.140625" style="794"/>
    <col min="6145" max="6145" width="29.5703125" style="794" bestFit="1" customWidth="1"/>
    <col min="6146" max="6146" width="19.85546875" style="794" customWidth="1"/>
    <col min="6147" max="6147" width="12" style="794" bestFit="1" customWidth="1"/>
    <col min="6148" max="6400" width="9.140625" style="794"/>
    <col min="6401" max="6401" width="29.5703125" style="794" bestFit="1" customWidth="1"/>
    <col min="6402" max="6402" width="19.85546875" style="794" customWidth="1"/>
    <col min="6403" max="6403" width="12" style="794" bestFit="1" customWidth="1"/>
    <col min="6404" max="6656" width="9.140625" style="794"/>
    <col min="6657" max="6657" width="29.5703125" style="794" bestFit="1" customWidth="1"/>
    <col min="6658" max="6658" width="19.85546875" style="794" customWidth="1"/>
    <col min="6659" max="6659" width="12" style="794" bestFit="1" customWidth="1"/>
    <col min="6660" max="6912" width="9.140625" style="794"/>
    <col min="6913" max="6913" width="29.5703125" style="794" bestFit="1" customWidth="1"/>
    <col min="6914" max="6914" width="19.85546875" style="794" customWidth="1"/>
    <col min="6915" max="6915" width="12" style="794" bestFit="1" customWidth="1"/>
    <col min="6916" max="7168" width="9.140625" style="794"/>
    <col min="7169" max="7169" width="29.5703125" style="794" bestFit="1" customWidth="1"/>
    <col min="7170" max="7170" width="19.85546875" style="794" customWidth="1"/>
    <col min="7171" max="7171" width="12" style="794" bestFit="1" customWidth="1"/>
    <col min="7172" max="7424" width="9.140625" style="794"/>
    <col min="7425" max="7425" width="29.5703125" style="794" bestFit="1" customWidth="1"/>
    <col min="7426" max="7426" width="19.85546875" style="794" customWidth="1"/>
    <col min="7427" max="7427" width="12" style="794" bestFit="1" customWidth="1"/>
    <col min="7428" max="7680" width="9.140625" style="794"/>
    <col min="7681" max="7681" width="29.5703125" style="794" bestFit="1" customWidth="1"/>
    <col min="7682" max="7682" width="19.85546875" style="794" customWidth="1"/>
    <col min="7683" max="7683" width="12" style="794" bestFit="1" customWidth="1"/>
    <col min="7684" max="7936" width="9.140625" style="794"/>
    <col min="7937" max="7937" width="29.5703125" style="794" bestFit="1" customWidth="1"/>
    <col min="7938" max="7938" width="19.85546875" style="794" customWidth="1"/>
    <col min="7939" max="7939" width="12" style="794" bestFit="1" customWidth="1"/>
    <col min="7940" max="8192" width="9.140625" style="794"/>
    <col min="8193" max="8193" width="29.5703125" style="794" bestFit="1" customWidth="1"/>
    <col min="8194" max="8194" width="19.85546875" style="794" customWidth="1"/>
    <col min="8195" max="8195" width="12" style="794" bestFit="1" customWidth="1"/>
    <col min="8196" max="8448" width="9.140625" style="794"/>
    <col min="8449" max="8449" width="29.5703125" style="794" bestFit="1" customWidth="1"/>
    <col min="8450" max="8450" width="19.85546875" style="794" customWidth="1"/>
    <col min="8451" max="8451" width="12" style="794" bestFit="1" customWidth="1"/>
    <col min="8452" max="8704" width="9.140625" style="794"/>
    <col min="8705" max="8705" width="29.5703125" style="794" bestFit="1" customWidth="1"/>
    <col min="8706" max="8706" width="19.85546875" style="794" customWidth="1"/>
    <col min="8707" max="8707" width="12" style="794" bestFit="1" customWidth="1"/>
    <col min="8708" max="8960" width="9.140625" style="794"/>
    <col min="8961" max="8961" width="29.5703125" style="794" bestFit="1" customWidth="1"/>
    <col min="8962" max="8962" width="19.85546875" style="794" customWidth="1"/>
    <col min="8963" max="8963" width="12" style="794" bestFit="1" customWidth="1"/>
    <col min="8964" max="9216" width="9.140625" style="794"/>
    <col min="9217" max="9217" width="29.5703125" style="794" bestFit="1" customWidth="1"/>
    <col min="9218" max="9218" width="19.85546875" style="794" customWidth="1"/>
    <col min="9219" max="9219" width="12" style="794" bestFit="1" customWidth="1"/>
    <col min="9220" max="9472" width="9.140625" style="794"/>
    <col min="9473" max="9473" width="29.5703125" style="794" bestFit="1" customWidth="1"/>
    <col min="9474" max="9474" width="19.85546875" style="794" customWidth="1"/>
    <col min="9475" max="9475" width="12" style="794" bestFit="1" customWidth="1"/>
    <col min="9476" max="9728" width="9.140625" style="794"/>
    <col min="9729" max="9729" width="29.5703125" style="794" bestFit="1" customWidth="1"/>
    <col min="9730" max="9730" width="19.85546875" style="794" customWidth="1"/>
    <col min="9731" max="9731" width="12" style="794" bestFit="1" customWidth="1"/>
    <col min="9732" max="9984" width="9.140625" style="794"/>
    <col min="9985" max="9985" width="29.5703125" style="794" bestFit="1" customWidth="1"/>
    <col min="9986" max="9986" width="19.85546875" style="794" customWidth="1"/>
    <col min="9987" max="9987" width="12" style="794" bestFit="1" customWidth="1"/>
    <col min="9988" max="10240" width="9.140625" style="794"/>
    <col min="10241" max="10241" width="29.5703125" style="794" bestFit="1" customWidth="1"/>
    <col min="10242" max="10242" width="19.85546875" style="794" customWidth="1"/>
    <col min="10243" max="10243" width="12" style="794" bestFit="1" customWidth="1"/>
    <col min="10244" max="10496" width="9.140625" style="794"/>
    <col min="10497" max="10497" width="29.5703125" style="794" bestFit="1" customWidth="1"/>
    <col min="10498" max="10498" width="19.85546875" style="794" customWidth="1"/>
    <col min="10499" max="10499" width="12" style="794" bestFit="1" customWidth="1"/>
    <col min="10500" max="10752" width="9.140625" style="794"/>
    <col min="10753" max="10753" width="29.5703125" style="794" bestFit="1" customWidth="1"/>
    <col min="10754" max="10754" width="19.85546875" style="794" customWidth="1"/>
    <col min="10755" max="10755" width="12" style="794" bestFit="1" customWidth="1"/>
    <col min="10756" max="11008" width="9.140625" style="794"/>
    <col min="11009" max="11009" width="29.5703125" style="794" bestFit="1" customWidth="1"/>
    <col min="11010" max="11010" width="19.85546875" style="794" customWidth="1"/>
    <col min="11011" max="11011" width="12" style="794" bestFit="1" customWidth="1"/>
    <col min="11012" max="11264" width="9.140625" style="794"/>
    <col min="11265" max="11265" width="29.5703125" style="794" bestFit="1" customWidth="1"/>
    <col min="11266" max="11266" width="19.85546875" style="794" customWidth="1"/>
    <col min="11267" max="11267" width="12" style="794" bestFit="1" customWidth="1"/>
    <col min="11268" max="11520" width="9.140625" style="794"/>
    <col min="11521" max="11521" width="29.5703125" style="794" bestFit="1" customWidth="1"/>
    <col min="11522" max="11522" width="19.85546875" style="794" customWidth="1"/>
    <col min="11523" max="11523" width="12" style="794" bestFit="1" customWidth="1"/>
    <col min="11524" max="11776" width="9.140625" style="794"/>
    <col min="11777" max="11777" width="29.5703125" style="794" bestFit="1" customWidth="1"/>
    <col min="11778" max="11778" width="19.85546875" style="794" customWidth="1"/>
    <col min="11779" max="11779" width="12" style="794" bestFit="1" customWidth="1"/>
    <col min="11780" max="12032" width="9.140625" style="794"/>
    <col min="12033" max="12033" width="29.5703125" style="794" bestFit="1" customWidth="1"/>
    <col min="12034" max="12034" width="19.85546875" style="794" customWidth="1"/>
    <col min="12035" max="12035" width="12" style="794" bestFit="1" customWidth="1"/>
    <col min="12036" max="12288" width="9.140625" style="794"/>
    <col min="12289" max="12289" width="29.5703125" style="794" bestFit="1" customWidth="1"/>
    <col min="12290" max="12290" width="19.85546875" style="794" customWidth="1"/>
    <col min="12291" max="12291" width="12" style="794" bestFit="1" customWidth="1"/>
    <col min="12292" max="12544" width="9.140625" style="794"/>
    <col min="12545" max="12545" width="29.5703125" style="794" bestFit="1" customWidth="1"/>
    <col min="12546" max="12546" width="19.85546875" style="794" customWidth="1"/>
    <col min="12547" max="12547" width="12" style="794" bestFit="1" customWidth="1"/>
    <col min="12548" max="12800" width="9.140625" style="794"/>
    <col min="12801" max="12801" width="29.5703125" style="794" bestFit="1" customWidth="1"/>
    <col min="12802" max="12802" width="19.85546875" style="794" customWidth="1"/>
    <col min="12803" max="12803" width="12" style="794" bestFit="1" customWidth="1"/>
    <col min="12804" max="13056" width="9.140625" style="794"/>
    <col min="13057" max="13057" width="29.5703125" style="794" bestFit="1" customWidth="1"/>
    <col min="13058" max="13058" width="19.85546875" style="794" customWidth="1"/>
    <col min="13059" max="13059" width="12" style="794" bestFit="1" customWidth="1"/>
    <col min="13060" max="13312" width="9.140625" style="794"/>
    <col min="13313" max="13313" width="29.5703125" style="794" bestFit="1" customWidth="1"/>
    <col min="13314" max="13314" width="19.85546875" style="794" customWidth="1"/>
    <col min="13315" max="13315" width="12" style="794" bestFit="1" customWidth="1"/>
    <col min="13316" max="13568" width="9.140625" style="794"/>
    <col min="13569" max="13569" width="29.5703125" style="794" bestFit="1" customWidth="1"/>
    <col min="13570" max="13570" width="19.85546875" style="794" customWidth="1"/>
    <col min="13571" max="13571" width="12" style="794" bestFit="1" customWidth="1"/>
    <col min="13572" max="13824" width="9.140625" style="794"/>
    <col min="13825" max="13825" width="29.5703125" style="794" bestFit="1" customWidth="1"/>
    <col min="13826" max="13826" width="19.85546875" style="794" customWidth="1"/>
    <col min="13827" max="13827" width="12" style="794" bestFit="1" customWidth="1"/>
    <col min="13828" max="14080" width="9.140625" style="794"/>
    <col min="14081" max="14081" width="29.5703125" style="794" bestFit="1" customWidth="1"/>
    <col min="14082" max="14082" width="19.85546875" style="794" customWidth="1"/>
    <col min="14083" max="14083" width="12" style="794" bestFit="1" customWidth="1"/>
    <col min="14084" max="14336" width="9.140625" style="794"/>
    <col min="14337" max="14337" width="29.5703125" style="794" bestFit="1" customWidth="1"/>
    <col min="14338" max="14338" width="19.85546875" style="794" customWidth="1"/>
    <col min="14339" max="14339" width="12" style="794" bestFit="1" customWidth="1"/>
    <col min="14340" max="14592" width="9.140625" style="794"/>
    <col min="14593" max="14593" width="29.5703125" style="794" bestFit="1" customWidth="1"/>
    <col min="14594" max="14594" width="19.85546875" style="794" customWidth="1"/>
    <col min="14595" max="14595" width="12" style="794" bestFit="1" customWidth="1"/>
    <col min="14596" max="14848" width="9.140625" style="794"/>
    <col min="14849" max="14849" width="29.5703125" style="794" bestFit="1" customWidth="1"/>
    <col min="14850" max="14850" width="19.85546875" style="794" customWidth="1"/>
    <col min="14851" max="14851" width="12" style="794" bestFit="1" customWidth="1"/>
    <col min="14852" max="15104" width="9.140625" style="794"/>
    <col min="15105" max="15105" width="29.5703125" style="794" bestFit="1" customWidth="1"/>
    <col min="15106" max="15106" width="19.85546875" style="794" customWidth="1"/>
    <col min="15107" max="15107" width="12" style="794" bestFit="1" customWidth="1"/>
    <col min="15108" max="15360" width="9.140625" style="794"/>
    <col min="15361" max="15361" width="29.5703125" style="794" bestFit="1" customWidth="1"/>
    <col min="15362" max="15362" width="19.85546875" style="794" customWidth="1"/>
    <col min="15363" max="15363" width="12" style="794" bestFit="1" customWidth="1"/>
    <col min="15364" max="15616" width="9.140625" style="794"/>
    <col min="15617" max="15617" width="29.5703125" style="794" bestFit="1" customWidth="1"/>
    <col min="15618" max="15618" width="19.85546875" style="794" customWidth="1"/>
    <col min="15619" max="15619" width="12" style="794" bestFit="1" customWidth="1"/>
    <col min="15620" max="15872" width="9.140625" style="794"/>
    <col min="15873" max="15873" width="29.5703125" style="794" bestFit="1" customWidth="1"/>
    <col min="15874" max="15874" width="19.85546875" style="794" customWidth="1"/>
    <col min="15875" max="15875" width="12" style="794" bestFit="1" customWidth="1"/>
    <col min="15876" max="16128" width="9.140625" style="794"/>
    <col min="16129" max="16129" width="29.5703125" style="794" bestFit="1" customWidth="1"/>
    <col min="16130" max="16130" width="19.85546875" style="794" customWidth="1"/>
    <col min="16131" max="16131" width="12" style="794" bestFit="1" customWidth="1"/>
    <col min="16132" max="16384" width="9.140625" style="794"/>
  </cols>
  <sheetData>
    <row r="1" spans="1:2" x14ac:dyDescent="0.2">
      <c r="A1" s="794" t="s">
        <v>1039</v>
      </c>
      <c r="B1" s="921">
        <v>6.1</v>
      </c>
    </row>
    <row r="2" spans="1:2" x14ac:dyDescent="0.2">
      <c r="A2" s="794" t="s">
        <v>1040</v>
      </c>
      <c r="B2" s="925">
        <v>43195.364131944443</v>
      </c>
    </row>
    <row r="3" spans="1:2" x14ac:dyDescent="0.2">
      <c r="A3" s="794" t="s">
        <v>1041</v>
      </c>
      <c r="B3" s="922" t="s">
        <v>740</v>
      </c>
    </row>
    <row r="4" spans="1:2" x14ac:dyDescent="0.2">
      <c r="A4" s="794" t="s">
        <v>1042</v>
      </c>
      <c r="B4" s="922" t="s">
        <v>1043</v>
      </c>
    </row>
    <row r="5" spans="1:2" x14ac:dyDescent="0.2">
      <c r="A5" s="794" t="s">
        <v>1044</v>
      </c>
      <c r="B5" s="922" t="s">
        <v>1045</v>
      </c>
    </row>
    <row r="6" spans="1:2" x14ac:dyDescent="0.2">
      <c r="A6" s="794" t="s">
        <v>1046</v>
      </c>
    </row>
    <row r="7" spans="1:2" x14ac:dyDescent="0.2">
      <c r="A7" s="794" t="s">
        <v>646</v>
      </c>
      <c r="B7" s="922" t="s">
        <v>187</v>
      </c>
    </row>
    <row r="8" spans="1:2" x14ac:dyDescent="0.2">
      <c r="A8" s="794" t="s">
        <v>1047</v>
      </c>
      <c r="B8" s="922" t="s">
        <v>1048</v>
      </c>
    </row>
    <row r="9" spans="1:2" x14ac:dyDescent="0.2">
      <c r="A9" s="794" t="s">
        <v>1049</v>
      </c>
      <c r="B9" s="922" t="s">
        <v>1086</v>
      </c>
    </row>
    <row r="10" spans="1:2" x14ac:dyDescent="0.2">
      <c r="A10" s="794" t="s">
        <v>1050</v>
      </c>
    </row>
    <row r="11" spans="1:2" x14ac:dyDescent="0.2">
      <c r="A11" s="794" t="s">
        <v>1051</v>
      </c>
    </row>
    <row r="12" spans="1:2" x14ac:dyDescent="0.2">
      <c r="A12" s="794" t="s">
        <v>1052</v>
      </c>
    </row>
    <row r="13" spans="1:2" x14ac:dyDescent="0.2">
      <c r="A13" s="794" t="s">
        <v>1053</v>
      </c>
    </row>
    <row r="14" spans="1:2" x14ac:dyDescent="0.2">
      <c r="A14" s="794" t="s">
        <v>1054</v>
      </c>
    </row>
    <row r="15" spans="1:2" x14ac:dyDescent="0.2">
      <c r="A15" s="794" t="s">
        <v>1055</v>
      </c>
    </row>
    <row r="16" spans="1:2" x14ac:dyDescent="0.2">
      <c r="A16" s="794" t="s">
        <v>1056</v>
      </c>
    </row>
    <row r="17" spans="1:4" x14ac:dyDescent="0.2">
      <c r="A17" s="794" t="s">
        <v>1057</v>
      </c>
      <c r="B17" s="922" t="s">
        <v>1087</v>
      </c>
    </row>
    <row r="18" spans="1:4" x14ac:dyDescent="0.2">
      <c r="A18" s="794" t="s">
        <v>1058</v>
      </c>
      <c r="B18" s="922" t="s">
        <v>1090</v>
      </c>
    </row>
    <row r="19" spans="1:4" x14ac:dyDescent="0.2">
      <c r="A19" s="794" t="s">
        <v>1059</v>
      </c>
      <c r="B19" s="922" t="s">
        <v>541</v>
      </c>
    </row>
    <row r="20" spans="1:4" x14ac:dyDescent="0.2">
      <c r="A20" s="794" t="s">
        <v>1060</v>
      </c>
      <c r="B20" s="923">
        <v>534187109</v>
      </c>
    </row>
    <row r="21" spans="1:4" x14ac:dyDescent="0.2">
      <c r="A21" s="794" t="s">
        <v>1061</v>
      </c>
      <c r="B21" s="922" t="s">
        <v>541</v>
      </c>
    </row>
    <row r="22" spans="1:4" x14ac:dyDescent="0.2">
      <c r="A22" s="794" t="s">
        <v>1062</v>
      </c>
      <c r="B22" s="923">
        <v>2516378</v>
      </c>
    </row>
    <row r="23" spans="1:4" x14ac:dyDescent="0.2">
      <c r="A23" s="794" t="s">
        <v>212</v>
      </c>
      <c r="B23" s="921">
        <v>71.239999999999995</v>
      </c>
    </row>
    <row r="24" spans="1:4" x14ac:dyDescent="0.2">
      <c r="A24" s="794" t="s">
        <v>540</v>
      </c>
      <c r="B24" s="922" t="s">
        <v>286</v>
      </c>
      <c r="D24" s="794" t="s">
        <v>459</v>
      </c>
    </row>
    <row r="25" spans="1:4" x14ac:dyDescent="0.2">
      <c r="A25" s="794" t="s">
        <v>1063</v>
      </c>
      <c r="B25" s="922" t="s">
        <v>1091</v>
      </c>
    </row>
    <row r="26" spans="1:4" x14ac:dyDescent="0.2">
      <c r="A26" s="794" t="s">
        <v>1064</v>
      </c>
      <c r="B26" s="922">
        <v>0</v>
      </c>
    </row>
    <row r="27" spans="1:4" x14ac:dyDescent="0.2">
      <c r="A27" s="794" t="s">
        <v>1065</v>
      </c>
      <c r="B27" s="922" t="s">
        <v>1066</v>
      </c>
    </row>
    <row r="28" spans="1:4" x14ac:dyDescent="0.2">
      <c r="A28" s="794" t="s">
        <v>1067</v>
      </c>
      <c r="B28" s="922" t="s">
        <v>1068</v>
      </c>
    </row>
    <row r="29" spans="1:4" x14ac:dyDescent="0.2">
      <c r="A29" s="794" t="s">
        <v>1069</v>
      </c>
    </row>
    <row r="30" spans="1:4" x14ac:dyDescent="0.2">
      <c r="A30" s="794" t="s">
        <v>1070</v>
      </c>
    </row>
    <row r="31" spans="1:4" x14ac:dyDescent="0.2">
      <c r="A31" s="794" t="s">
        <v>1071</v>
      </c>
    </row>
    <row r="32" spans="1:4" x14ac:dyDescent="0.2">
      <c r="A32" s="794" t="s">
        <v>1072</v>
      </c>
      <c r="B32" s="921"/>
    </row>
    <row r="33" spans="1:2" x14ac:dyDescent="0.2">
      <c r="A33" s="794" t="s">
        <v>1073</v>
      </c>
      <c r="B33" s="921"/>
    </row>
    <row r="34" spans="1:2" x14ac:dyDescent="0.2">
      <c r="A34" s="794" t="s">
        <v>1074</v>
      </c>
      <c r="B34" s="921"/>
    </row>
    <row r="35" spans="1:2" x14ac:dyDescent="0.2">
      <c r="A35" s="794" t="s">
        <v>1075</v>
      </c>
      <c r="B35" s="922">
        <v>1000000</v>
      </c>
    </row>
    <row r="36" spans="1:2" x14ac:dyDescent="0.2">
      <c r="A36" s="794" t="s">
        <v>1076</v>
      </c>
      <c r="B36" s="922" t="s">
        <v>1088</v>
      </c>
    </row>
    <row r="37" spans="1:2" x14ac:dyDescent="0.2">
      <c r="A37" s="794" t="s">
        <v>1077</v>
      </c>
      <c r="B37" s="922" t="s">
        <v>1078</v>
      </c>
    </row>
    <row r="38" spans="1:2" x14ac:dyDescent="0.2">
      <c r="A38" s="794" t="s">
        <v>1079</v>
      </c>
      <c r="B38" s="922" t="s">
        <v>1080</v>
      </c>
    </row>
    <row r="39" spans="1:2" x14ac:dyDescent="0.2">
      <c r="A39" s="794" t="s">
        <v>1081</v>
      </c>
      <c r="B39" s="922" t="s">
        <v>1089</v>
      </c>
    </row>
    <row r="40" spans="1:2" x14ac:dyDescent="0.2">
      <c r="A40" s="794" t="s">
        <v>1082</v>
      </c>
      <c r="B40" s="922">
        <v>1500005428</v>
      </c>
    </row>
    <row r="41" spans="1:2" x14ac:dyDescent="0.2">
      <c r="A41" s="794" t="s">
        <v>1083</v>
      </c>
      <c r="B41" s="922">
        <v>1</v>
      </c>
    </row>
    <row r="42" spans="1:2" x14ac:dyDescent="0.2">
      <c r="A42" s="924" t="s">
        <v>1084</v>
      </c>
    </row>
    <row r="43" spans="1:2" x14ac:dyDescent="0.2">
      <c r="A43" s="794" t="s">
        <v>1085</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x14ac:dyDescent="0.2"/>
  <cols>
    <col min="1" max="1" width="28.5703125" style="794" bestFit="1" customWidth="1"/>
    <col min="2" max="256" width="9.140625" style="794"/>
    <col min="257" max="257" width="28.5703125" style="794" bestFit="1" customWidth="1"/>
    <col min="258" max="512" width="9.140625" style="794"/>
    <col min="513" max="513" width="28.5703125" style="794" bestFit="1" customWidth="1"/>
    <col min="514" max="768" width="9.140625" style="794"/>
    <col min="769" max="769" width="28.5703125" style="794" bestFit="1" customWidth="1"/>
    <col min="770" max="1024" width="9.140625" style="794"/>
    <col min="1025" max="1025" width="28.5703125" style="794" bestFit="1" customWidth="1"/>
    <col min="1026" max="1280" width="9.140625" style="794"/>
    <col min="1281" max="1281" width="28.5703125" style="794" bestFit="1" customWidth="1"/>
    <col min="1282" max="1536" width="9.140625" style="794"/>
    <col min="1537" max="1537" width="28.5703125" style="794" bestFit="1" customWidth="1"/>
    <col min="1538" max="1792" width="9.140625" style="794"/>
    <col min="1793" max="1793" width="28.5703125" style="794" bestFit="1" customWidth="1"/>
    <col min="1794" max="2048" width="9.140625" style="794"/>
    <col min="2049" max="2049" width="28.5703125" style="794" bestFit="1" customWidth="1"/>
    <col min="2050" max="2304" width="9.140625" style="794"/>
    <col min="2305" max="2305" width="28.5703125" style="794" bestFit="1" customWidth="1"/>
    <col min="2306" max="2560" width="9.140625" style="794"/>
    <col min="2561" max="2561" width="28.5703125" style="794" bestFit="1" customWidth="1"/>
    <col min="2562" max="2816" width="9.140625" style="794"/>
    <col min="2817" max="2817" width="28.5703125" style="794" bestFit="1" customWidth="1"/>
    <col min="2818" max="3072" width="9.140625" style="794"/>
    <col min="3073" max="3073" width="28.5703125" style="794" bestFit="1" customWidth="1"/>
    <col min="3074" max="3328" width="9.140625" style="794"/>
    <col min="3329" max="3329" width="28.5703125" style="794" bestFit="1" customWidth="1"/>
    <col min="3330" max="3584" width="9.140625" style="794"/>
    <col min="3585" max="3585" width="28.5703125" style="794" bestFit="1" customWidth="1"/>
    <col min="3586" max="3840" width="9.140625" style="794"/>
    <col min="3841" max="3841" width="28.5703125" style="794" bestFit="1" customWidth="1"/>
    <col min="3842" max="4096" width="9.140625" style="794"/>
    <col min="4097" max="4097" width="28.5703125" style="794" bestFit="1" customWidth="1"/>
    <col min="4098" max="4352" width="9.140625" style="794"/>
    <col min="4353" max="4353" width="28.5703125" style="794" bestFit="1" customWidth="1"/>
    <col min="4354" max="4608" width="9.140625" style="794"/>
    <col min="4609" max="4609" width="28.5703125" style="794" bestFit="1" customWidth="1"/>
    <col min="4610" max="4864" width="9.140625" style="794"/>
    <col min="4865" max="4865" width="28.5703125" style="794" bestFit="1" customWidth="1"/>
    <col min="4866" max="5120" width="9.140625" style="794"/>
    <col min="5121" max="5121" width="28.5703125" style="794" bestFit="1" customWidth="1"/>
    <col min="5122" max="5376" width="9.140625" style="794"/>
    <col min="5377" max="5377" width="28.5703125" style="794" bestFit="1" customWidth="1"/>
    <col min="5378" max="5632" width="9.140625" style="794"/>
    <col min="5633" max="5633" width="28.5703125" style="794" bestFit="1" customWidth="1"/>
    <col min="5634" max="5888" width="9.140625" style="794"/>
    <col min="5889" max="5889" width="28.5703125" style="794" bestFit="1" customWidth="1"/>
    <col min="5890" max="6144" width="9.140625" style="794"/>
    <col min="6145" max="6145" width="28.5703125" style="794" bestFit="1" customWidth="1"/>
    <col min="6146" max="6400" width="9.140625" style="794"/>
    <col min="6401" max="6401" width="28.5703125" style="794" bestFit="1" customWidth="1"/>
    <col min="6402" max="6656" width="9.140625" style="794"/>
    <col min="6657" max="6657" width="28.5703125" style="794" bestFit="1" customWidth="1"/>
    <col min="6658" max="6912" width="9.140625" style="794"/>
    <col min="6913" max="6913" width="28.5703125" style="794" bestFit="1" customWidth="1"/>
    <col min="6914" max="7168" width="9.140625" style="794"/>
    <col min="7169" max="7169" width="28.5703125" style="794" bestFit="1" customWidth="1"/>
    <col min="7170" max="7424" width="9.140625" style="794"/>
    <col min="7425" max="7425" width="28.5703125" style="794" bestFit="1" customWidth="1"/>
    <col min="7426" max="7680" width="9.140625" style="794"/>
    <col min="7681" max="7681" width="28.5703125" style="794" bestFit="1" customWidth="1"/>
    <col min="7682" max="7936" width="9.140625" style="794"/>
    <col min="7937" max="7937" width="28.5703125" style="794" bestFit="1" customWidth="1"/>
    <col min="7938" max="8192" width="9.140625" style="794"/>
    <col min="8193" max="8193" width="28.5703125" style="794" bestFit="1" customWidth="1"/>
    <col min="8194" max="8448" width="9.140625" style="794"/>
    <col min="8449" max="8449" width="28.5703125" style="794" bestFit="1" customWidth="1"/>
    <col min="8450" max="8704" width="9.140625" style="794"/>
    <col min="8705" max="8705" width="28.5703125" style="794" bestFit="1" customWidth="1"/>
    <col min="8706" max="8960" width="9.140625" style="794"/>
    <col min="8961" max="8961" width="28.5703125" style="794" bestFit="1" customWidth="1"/>
    <col min="8962" max="9216" width="9.140625" style="794"/>
    <col min="9217" max="9217" width="28.5703125" style="794" bestFit="1" customWidth="1"/>
    <col min="9218" max="9472" width="9.140625" style="794"/>
    <col min="9473" max="9473" width="28.5703125" style="794" bestFit="1" customWidth="1"/>
    <col min="9474" max="9728" width="9.140625" style="794"/>
    <col min="9729" max="9729" width="28.5703125" style="794" bestFit="1" customWidth="1"/>
    <col min="9730" max="9984" width="9.140625" style="794"/>
    <col min="9985" max="9985" width="28.5703125" style="794" bestFit="1" customWidth="1"/>
    <col min="9986" max="10240" width="9.140625" style="794"/>
    <col min="10241" max="10241" width="28.5703125" style="794" bestFit="1" customWidth="1"/>
    <col min="10242" max="10496" width="9.140625" style="794"/>
    <col min="10497" max="10497" width="28.5703125" style="794" bestFit="1" customWidth="1"/>
    <col min="10498" max="10752" width="9.140625" style="794"/>
    <col min="10753" max="10753" width="28.5703125" style="794" bestFit="1" customWidth="1"/>
    <col min="10754" max="11008" width="9.140625" style="794"/>
    <col min="11009" max="11009" width="28.5703125" style="794" bestFit="1" customWidth="1"/>
    <col min="11010" max="11264" width="9.140625" style="794"/>
    <col min="11265" max="11265" width="28.5703125" style="794" bestFit="1" customWidth="1"/>
    <col min="11266" max="11520" width="9.140625" style="794"/>
    <col min="11521" max="11521" width="28.5703125" style="794" bestFit="1" customWidth="1"/>
    <col min="11522" max="11776" width="9.140625" style="794"/>
    <col min="11777" max="11777" width="28.5703125" style="794" bestFit="1" customWidth="1"/>
    <col min="11778" max="12032" width="9.140625" style="794"/>
    <col min="12033" max="12033" width="28.5703125" style="794" bestFit="1" customWidth="1"/>
    <col min="12034" max="12288" width="9.140625" style="794"/>
    <col min="12289" max="12289" width="28.5703125" style="794" bestFit="1" customWidth="1"/>
    <col min="12290" max="12544" width="9.140625" style="794"/>
    <col min="12545" max="12545" width="28.5703125" style="794" bestFit="1" customWidth="1"/>
    <col min="12546" max="12800" width="9.140625" style="794"/>
    <col min="12801" max="12801" width="28.5703125" style="794" bestFit="1" customWidth="1"/>
    <col min="12802" max="13056" width="9.140625" style="794"/>
    <col min="13057" max="13057" width="28.5703125" style="794" bestFit="1" customWidth="1"/>
    <col min="13058" max="13312" width="9.140625" style="794"/>
    <col min="13313" max="13313" width="28.5703125" style="794" bestFit="1" customWidth="1"/>
    <col min="13314" max="13568" width="9.140625" style="794"/>
    <col min="13569" max="13569" width="28.5703125" style="794" bestFit="1" customWidth="1"/>
    <col min="13570" max="13824" width="9.140625" style="794"/>
    <col min="13825" max="13825" width="28.5703125" style="794" bestFit="1" customWidth="1"/>
    <col min="13826" max="14080" width="9.140625" style="794"/>
    <col min="14081" max="14081" width="28.5703125" style="794" bestFit="1" customWidth="1"/>
    <col min="14082" max="14336" width="9.140625" style="794"/>
    <col min="14337" max="14337" width="28.5703125" style="794" bestFit="1" customWidth="1"/>
    <col min="14338" max="14592" width="9.140625" style="794"/>
    <col min="14593" max="14593" width="28.5703125" style="794" bestFit="1" customWidth="1"/>
    <col min="14594" max="14848" width="9.140625" style="794"/>
    <col min="14849" max="14849" width="28.5703125" style="794" bestFit="1" customWidth="1"/>
    <col min="14850" max="15104" width="9.140625" style="794"/>
    <col min="15105" max="15105" width="28.5703125" style="794" bestFit="1" customWidth="1"/>
    <col min="15106" max="15360" width="9.140625" style="794"/>
    <col min="15361" max="15361" width="28.5703125" style="794" bestFit="1" customWidth="1"/>
    <col min="15362" max="15616" width="9.140625" style="794"/>
    <col min="15617" max="15617" width="28.5703125" style="794" bestFit="1" customWidth="1"/>
    <col min="15618" max="15872" width="9.140625" style="794"/>
    <col min="15873" max="15873" width="28.5703125" style="794" bestFit="1" customWidth="1"/>
    <col min="15874" max="16128" width="9.140625" style="794"/>
    <col min="16129" max="16129" width="28.5703125" style="794" bestFit="1" customWidth="1"/>
    <col min="16130" max="16384" width="9.140625" style="794"/>
  </cols>
  <sheetData>
    <row r="1" spans="1:1" x14ac:dyDescent="0.2">
      <c r="A1" s="926" t="s">
        <v>1092</v>
      </c>
    </row>
    <row r="2" spans="1:1" x14ac:dyDescent="0.2">
      <c r="A2" s="926" t="s">
        <v>1097</v>
      </c>
    </row>
    <row r="3" spans="1:1" x14ac:dyDescent="0.2">
      <c r="A3" s="926" t="s">
        <v>1098</v>
      </c>
    </row>
    <row r="4" spans="1:1" x14ac:dyDescent="0.2">
      <c r="A4" s="926" t="s">
        <v>1099</v>
      </c>
    </row>
    <row r="5" spans="1:1" x14ac:dyDescent="0.2">
      <c r="A5" s="926" t="s">
        <v>1100</v>
      </c>
    </row>
    <row r="6" spans="1:1" x14ac:dyDescent="0.2">
      <c r="A6" s="926" t="s">
        <v>1093</v>
      </c>
    </row>
    <row r="7" spans="1:1" x14ac:dyDescent="0.2">
      <c r="A7" s="926" t="s">
        <v>1101</v>
      </c>
    </row>
    <row r="8" spans="1:1" x14ac:dyDescent="0.2">
      <c r="A8" s="926" t="s">
        <v>1102</v>
      </c>
    </row>
    <row r="9" spans="1:1" x14ac:dyDescent="0.2">
      <c r="A9" s="926" t="s">
        <v>1103</v>
      </c>
    </row>
    <row r="10" spans="1:1" x14ac:dyDescent="0.2">
      <c r="A10" s="926" t="s">
        <v>1094</v>
      </c>
    </row>
    <row r="11" spans="1:1" x14ac:dyDescent="0.2">
      <c r="A11" s="926" t="s">
        <v>1104</v>
      </c>
    </row>
    <row r="12" spans="1:1" x14ac:dyDescent="0.2">
      <c r="A12" s="926" t="s">
        <v>1095</v>
      </c>
    </row>
    <row r="13" spans="1:1" x14ac:dyDescent="0.2">
      <c r="A13" s="926" t="s">
        <v>1096</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2.75" x14ac:dyDescent="0.2"/>
  <sheetData/>
  <phoneticPr fontId="5" type="noConversion"/>
  <pageMargins left="0.75" right="0.75" top="1" bottom="1" header="0.5" footer="0.5"/>
  <pageSetup orientation="portrait" horizontalDpi="300" verticalDpi="300" r:id="rId1"/>
  <headerFooter alignWithMargins="0"/>
  <customProperties>
    <customPr name="_FDS_0" r:id="rId2"/>
  </customProperties>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288d6c71-8cd8-49bd-8209-c7aaad1faed5</GUID>
    <SOURCE_ALTADDRESS>$B$7:$P$55</SOURCE_ALTADDRESS>
    <SOURCETYPE>Table</SOURCETYPE>
    <SOURCE_OBJECTNAME>Linking_Range_5</SOURCE_OBJECTNAME>
    <OBJECTTYPE>Native</OBJECTTYPE>
    <SOURCE_SHEETCODE>Sheet215</SOURCE_SHEETCODE>
    <SOURCE_SHEETNAME>A vs. E</SOURCE_SHEETNAME>
    <SOURCEAPPLICATION>EXCEL_SOURCE</SOURCEAPPLICATION>
    <UPDATEDAT>4/29/2015 9:00:26 PM</UPDATEDAT>
    <SOURCE_ISOUTOFDATE>False</SOURCE_ISOUTOFDATE>
    <SOURCE_WORKBOOKNAME>LNC.xlsm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/MSResearch/Content/ExternalAssets/2015-04/Images/CPfWEo81-06WH4m0vHNjMg--.png</TARGET_BINARYFULLNAME>
    <TARGET_STORYFULLNAME>/MSResearch/Content/ExternalAssets/2015-04/Sections/20150427_034816_Linking_Range_5.xml</TARGET_STORYFULLNAME>
    <TARGET_UUID>591b725c-ed16-11e4-aeba-9bba02fefb2a</TARGET_UUID>
    <LINKSTATUS>Unknown</LINKSTATUS>
  </Link>
  <Link>
    <GUID>08067b3e-4e0c-4c6c-837b-33e945ebfdc2</GUID>
    <SOURCETYPE>Chart</SOURCETYPE>
    <SOURCE_OBJECTNAME>MWA_Risk_Reward</SOURCE_OBJECTNAME>
    <SOURCE_SHEETCODE>MWRSSData</SOURCE_SHEETCODE>
    <SOURCE_SHEETNAME>MWA RR</SOURCE_SHEETNAME>
    <OBJECTTYPE>Native</OBJECTTYPE>
    <SOURCEAPPLICATION>EXCEL_SOURCE</SOURCEAPPLICATION>
    <UPDATEDAT>4/29/2015 9:03:18 PM</UPDATEDAT>
    <SOURCE_ISOUTOFDATE>False</SOURCE_ISOUTOFDATE>
    <SOURCE_WORKBOOKNAME>LNC.xlsm</SOURCE_WORKBOOKNAME>
    <SOURCE_WORKBOOKPATH>\\MSAD\ROOT\NA\NY\LIB\ER\INSURANC\life&amp;annuities\models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/MSResearch/Content/ExternalAssets/2015-04/Images/ajiILoC_HEaibW0j6iXROA--.png</TARGET_BINARYFULLNAME>
    <TARGET_STORYFULLNAME>/MSResearch/Content/ExternalAssets/2015-04/Sections/20150421_010859_MWA_Risk_Reward.xml</TARGET_STORYFULLNAME>
    <TARGET_UUID>1a4113c4-e849-11e4-b44c-544b7b2f2e67</TARGET_UUID>
    <HIDEGRIDLINES>False</HIDEGRIDLINES>
    <LINKSTATUS>Unknown</LINKSTATUS>
  </Link>
</lk:Links>
</file>

<file path=customXml/itemProps1.xml><?xml version="1.0" encoding="utf-8"?>
<ds:datastoreItem xmlns:ds="http://schemas.openxmlformats.org/officeDocument/2006/customXml" ds:itemID="{EECB9BF5-B2B1-4980-B488-BE49289894DB}">
  <ds:schemaRefs>
    <ds:schemaRef ds:uri="thomsonreuters.linking.metadatachange"/>
  </ds:schemaRefs>
</ds:datastoreItem>
</file>

<file path=customXml/itemProps2.xml><?xml version="1.0" encoding="utf-8"?>
<ds:datastoreItem xmlns:ds="http://schemas.openxmlformats.org/officeDocument/2006/customXml" ds:itemID="{E9707A6E-692D-4579-A8F6-7292A9460981}">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397</vt:i4>
      </vt:variant>
    </vt:vector>
  </HeadingPairs>
  <TitlesOfParts>
    <vt:vector size="404" baseType="lpstr">
      <vt:lpstr>ImportantDisclosures</vt:lpstr>
      <vt:lpstr>INPUT</vt:lpstr>
      <vt:lpstr>FORECAST-CORE</vt:lpstr>
      <vt:lpstr>FORECAST-REPORTED</vt:lpstr>
      <vt:lpstr>Guidance</vt:lpstr>
      <vt:lpstr>IndexInformation</vt:lpstr>
      <vt:lpstr>ModPubIndex</vt:lpstr>
      <vt:lpstr>_1Q01</vt:lpstr>
      <vt:lpstr>_1Q02</vt:lpstr>
      <vt:lpstr>_1Q03</vt:lpstr>
      <vt:lpstr>_1Q04</vt:lpstr>
      <vt:lpstr>_1Q05</vt:lpstr>
      <vt:lpstr>_1Q06</vt:lpstr>
      <vt:lpstr>_1Q07</vt:lpstr>
      <vt:lpstr>_1Q08</vt:lpstr>
      <vt:lpstr>_1Q09</vt:lpstr>
      <vt:lpstr>_1Q10</vt:lpstr>
      <vt:lpstr>_1Q11</vt:lpstr>
      <vt:lpstr>_1Q12</vt:lpstr>
      <vt:lpstr>_1Q13</vt:lpstr>
      <vt:lpstr>_1Q14</vt:lpstr>
      <vt:lpstr>_1Q15</vt:lpstr>
      <vt:lpstr>_1Q16</vt:lpstr>
      <vt:lpstr>_1Q17</vt:lpstr>
      <vt:lpstr>_1Q18</vt:lpstr>
      <vt:lpstr>_2Q01</vt:lpstr>
      <vt:lpstr>_2Q02</vt:lpstr>
      <vt:lpstr>_2Q03</vt:lpstr>
      <vt:lpstr>_2Q04</vt:lpstr>
      <vt:lpstr>_2Q05</vt:lpstr>
      <vt:lpstr>_2Q06</vt:lpstr>
      <vt:lpstr>_2Q07</vt:lpstr>
      <vt:lpstr>_2Q08</vt:lpstr>
      <vt:lpstr>_2Q09</vt:lpstr>
      <vt:lpstr>_2Q10</vt:lpstr>
      <vt:lpstr>_2Q11</vt:lpstr>
      <vt:lpstr>_2Q12</vt:lpstr>
      <vt:lpstr>_2Q13</vt:lpstr>
      <vt:lpstr>_2Q14</vt:lpstr>
      <vt:lpstr>_2Q15</vt:lpstr>
      <vt:lpstr>_2Q16</vt:lpstr>
      <vt:lpstr>_2Q17</vt:lpstr>
      <vt:lpstr>_2Q18</vt:lpstr>
      <vt:lpstr>_3Q01</vt:lpstr>
      <vt:lpstr>_3Q02</vt:lpstr>
      <vt:lpstr>_3Q03</vt:lpstr>
      <vt:lpstr>_3Q04</vt:lpstr>
      <vt:lpstr>_3Q05</vt:lpstr>
      <vt:lpstr>_3Q06</vt:lpstr>
      <vt:lpstr>_3Q07</vt:lpstr>
      <vt:lpstr>_3Q08</vt:lpstr>
      <vt:lpstr>_3Q09</vt:lpstr>
      <vt:lpstr>_3Q10</vt:lpstr>
      <vt:lpstr>_3Q11</vt:lpstr>
      <vt:lpstr>_3Q12</vt:lpstr>
      <vt:lpstr>_3Q13</vt:lpstr>
      <vt:lpstr>_3Q14</vt:lpstr>
      <vt:lpstr>_3Q15</vt:lpstr>
      <vt:lpstr>_3Q16</vt:lpstr>
      <vt:lpstr>_3Q17</vt:lpstr>
      <vt:lpstr>_3Q18</vt:lpstr>
      <vt:lpstr>_4Q01</vt:lpstr>
      <vt:lpstr>_4Q02</vt:lpstr>
      <vt:lpstr>_4Q03</vt:lpstr>
      <vt:lpstr>_4Q05</vt:lpstr>
      <vt:lpstr>_4Q06</vt:lpstr>
      <vt:lpstr>_4Q07</vt:lpstr>
      <vt:lpstr>_4Q08</vt:lpstr>
      <vt:lpstr>_4Q09</vt:lpstr>
      <vt:lpstr>_4Q10</vt:lpstr>
      <vt:lpstr>_4Q11</vt:lpstr>
      <vt:lpstr>_4Q12</vt:lpstr>
      <vt:lpstr>_4Q13</vt:lpstr>
      <vt:lpstr>_4Q14</vt:lpstr>
      <vt:lpstr>_4Q15</vt:lpstr>
      <vt:lpstr>_4Q16</vt:lpstr>
      <vt:lpstr>_4Q17</vt:lpstr>
      <vt:lpstr>_4Q18</vt:lpstr>
      <vt:lpstr>_5_Yr</vt:lpstr>
      <vt:lpstr>_Fore_Rep_OP_EPS</vt:lpstr>
      <vt:lpstr>aa</vt:lpstr>
      <vt:lpstr>Abnormals_AT</vt:lpstr>
      <vt:lpstr>AdditionalInstructions</vt:lpstr>
      <vt:lpstr>ImportantDisclosures!Address</vt:lpstr>
      <vt:lpstr>AmtIssued</vt:lpstr>
      <vt:lpstr>AmtRepurch</vt:lpstr>
      <vt:lpstr>ModPubIndex!ANA</vt:lpstr>
      <vt:lpstr>Annuities_ATEarns</vt:lpstr>
      <vt:lpstr>Annuities_Bal_EOP</vt:lpstr>
      <vt:lpstr>Annuities_NetRevenue</vt:lpstr>
      <vt:lpstr>Annuities_ROA</vt:lpstr>
      <vt:lpstr>Annuity_ATEarns</vt:lpstr>
      <vt:lpstr>Annuity_AvgAUM</vt:lpstr>
      <vt:lpstr>Annuity_Expenses</vt:lpstr>
      <vt:lpstr>Annuity_InterestCredited</vt:lpstr>
      <vt:lpstr>Annuity_InvestmentIncome</vt:lpstr>
      <vt:lpstr>Annuity_OpMargin</vt:lpstr>
      <vt:lpstr>AssetMgmt_Deposits</vt:lpstr>
      <vt:lpstr>AssetMgmt_EOP_AUM</vt:lpstr>
      <vt:lpstr>AssetMgmt_NetFlows</vt:lpstr>
      <vt:lpstr>AssetMgmt_Withdrawals</vt:lpstr>
      <vt:lpstr>ImportantDisclosures!Authors</vt:lpstr>
      <vt:lpstr>IndexInformation!Authors</vt:lpstr>
      <vt:lpstr>Avg_Eq_ex115</vt:lpstr>
      <vt:lpstr>Avg_eq_incl115</vt:lpstr>
      <vt:lpstr>AvgShrsOut</vt:lpstr>
      <vt:lpstr>BenefitsRatio_Group</vt:lpstr>
      <vt:lpstr>BenefitsRatio_LIfeIns</vt:lpstr>
      <vt:lpstr>BIG</vt:lpstr>
      <vt:lpstr>BIG_FixPct</vt:lpstr>
      <vt:lpstr>BIG_ShrEqPct</vt:lpstr>
      <vt:lpstr>ModPubIndex!BRO</vt:lpstr>
      <vt:lpstr>Buybacks_AvgPrice</vt:lpstr>
      <vt:lpstr>BVPS_ex115</vt:lpstr>
      <vt:lpstr>BVPS_ex115FD</vt:lpstr>
      <vt:lpstr>BVPS_incl115</vt:lpstr>
      <vt:lpstr>BVPS_incl115FD</vt:lpstr>
      <vt:lpstr>BVPS_tang</vt:lpstr>
      <vt:lpstr>CO_ATEarns</vt:lpstr>
      <vt:lpstr>Consolidated_Benefits</vt:lpstr>
      <vt:lpstr>Consolidated_MgmtFees</vt:lpstr>
      <vt:lpstr>Consolidated_NII</vt:lpstr>
      <vt:lpstr>Consolidated_OperatingExpenses</vt:lpstr>
      <vt:lpstr>Consolidated_OtherRevs</vt:lpstr>
      <vt:lpstr>Consolidated_Premiums</vt:lpstr>
      <vt:lpstr>Consolidated_Revenues</vt:lpstr>
      <vt:lpstr>CopyrightStamp</vt:lpstr>
      <vt:lpstr>Core_Annuities_PTEarns</vt:lpstr>
      <vt:lpstr>Core_Annuity_ATEarns</vt:lpstr>
      <vt:lpstr>Core_AssetMgmt_PTEarns</vt:lpstr>
      <vt:lpstr>Core_ATEarns</vt:lpstr>
      <vt:lpstr>Core_CO_ATEarns</vt:lpstr>
      <vt:lpstr>Core_Group_ATEarns</vt:lpstr>
      <vt:lpstr>Core_Group_PTEarns</vt:lpstr>
      <vt:lpstr>Core_Intl_PTEarns</vt:lpstr>
      <vt:lpstr>Core_Life_PTEarns</vt:lpstr>
      <vt:lpstr>Core_LifeIns_ATEarns</vt:lpstr>
      <vt:lpstr>Core_OpEPS</vt:lpstr>
      <vt:lpstr>Core_OpROE</vt:lpstr>
      <vt:lpstr>Core_Other_PTEarns</vt:lpstr>
      <vt:lpstr>Core_Retirement_ATEarns</vt:lpstr>
      <vt:lpstr>Core_Retirement_PTEarns</vt:lpstr>
      <vt:lpstr>Core_ROE</vt:lpstr>
      <vt:lpstr>CoreOpEarns_AT</vt:lpstr>
      <vt:lpstr>CoreOpEarns_PT</vt:lpstr>
      <vt:lpstr>corePTearnings_annuities</vt:lpstr>
      <vt:lpstr>CorePTEarns_Annuity</vt:lpstr>
      <vt:lpstr>CorePTEarns_Intl</vt:lpstr>
      <vt:lpstr>CorePTEarns_InvMgmt</vt:lpstr>
      <vt:lpstr>CorePTEarns_LifeIns</vt:lpstr>
      <vt:lpstr>corePTEarns_RetirementDefinedCont</vt:lpstr>
      <vt:lpstr>ModPubIndex!COU</vt:lpstr>
      <vt:lpstr>CPP</vt:lpstr>
      <vt:lpstr>IndexInformation!CQEnd</vt:lpstr>
      <vt:lpstr>CredCost</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DAC_Annuities</vt:lpstr>
      <vt:lpstr>DAC_Asset</vt:lpstr>
      <vt:lpstr>DAC_Pension</vt:lpstr>
      <vt:lpstr>ImportantDisclosures!Date</vt:lpstr>
      <vt:lpstr>DC_Outflows</vt:lpstr>
      <vt:lpstr>DebtService</vt:lpstr>
      <vt:lpstr>IndexInformation!Deleted</vt:lpstr>
      <vt:lpstr>Deposits_DC</vt:lpstr>
      <vt:lpstr>Deposits_FA</vt:lpstr>
      <vt:lpstr>Deposits_VA</vt:lpstr>
      <vt:lpstr>DerivGainLoss</vt:lpstr>
      <vt:lpstr>IndexInformation!Description</vt:lpstr>
      <vt:lpstr>IndexInformation!Discipline</vt:lpstr>
      <vt:lpstr>ModPubIndex!DISCIPLINE</vt:lpstr>
      <vt:lpstr>DisclosuresText</vt:lpstr>
      <vt:lpstr>IndexInformation!Distribution</vt:lpstr>
      <vt:lpstr>DivAmt</vt:lpstr>
      <vt:lpstr>DiviAmt</vt:lpstr>
      <vt:lpstr>DivPayout</vt:lpstr>
      <vt:lpstr>DivPS</vt:lpstr>
      <vt:lpstr>ModPubIndex!DOCDAT</vt:lpstr>
      <vt:lpstr>ModPubIndex!DOCTIME</vt:lpstr>
      <vt:lpstr>IndexInformation!DocType</vt:lpstr>
      <vt:lpstr>ModPubIndex!EMAIL_ALERT</vt:lpstr>
      <vt:lpstr>IndexInformation!EmailAlert</vt:lpstr>
      <vt:lpstr>EOP_Eq_ex115</vt:lpstr>
      <vt:lpstr>EOP_Eq_incl115</vt:lpstr>
      <vt:lpstr>EOPShrsOut</vt:lpstr>
      <vt:lpstr>EOPShrsOut_PrefConv</vt:lpstr>
      <vt:lpstr>EPS_ForConsensus</vt:lpstr>
      <vt:lpstr>F1998_</vt:lpstr>
      <vt:lpstr>F1999_</vt:lpstr>
      <vt:lpstr>F2000_</vt:lpstr>
      <vt:lpstr>F2001_</vt:lpstr>
      <vt:lpstr>F2002_</vt:lpstr>
      <vt:lpstr>F2003_</vt:lpstr>
      <vt:lpstr>F2004_</vt:lpstr>
      <vt:lpstr>F2005_</vt:lpstr>
      <vt:lpstr>F2006_</vt:lpstr>
      <vt:lpstr>F2007_</vt:lpstr>
      <vt:lpstr>F2008_</vt:lpstr>
      <vt:lpstr>F2009_</vt:lpstr>
      <vt:lpstr>F2010_</vt:lpstr>
      <vt:lpstr>F2011_</vt:lpstr>
      <vt:lpstr>F2012_</vt:lpstr>
      <vt:lpstr>F2013_</vt:lpstr>
      <vt:lpstr>F2014_</vt:lpstr>
      <vt:lpstr>F2015_</vt:lpstr>
      <vt:lpstr>F2016_</vt:lpstr>
      <vt:lpstr>F2017_</vt:lpstr>
      <vt:lpstr>F2018_</vt:lpstr>
      <vt:lpstr>F2019_</vt:lpstr>
      <vt:lpstr>F2020_</vt:lpstr>
      <vt:lpstr>F2021_</vt:lpstr>
      <vt:lpstr>F2022_</vt:lpstr>
      <vt:lpstr>FA_AuM</vt:lpstr>
      <vt:lpstr>FA_Bal_EOP</vt:lpstr>
      <vt:lpstr>FA_BOL_BOP</vt:lpstr>
      <vt:lpstr>FA_NetFlows</vt:lpstr>
      <vt:lpstr>FA_Spread</vt:lpstr>
      <vt:lpstr>FAS115_Adjmt</vt:lpstr>
      <vt:lpstr>FAS115_AdjmtFD</vt:lpstr>
      <vt:lpstr>IndexInformation!FiveYearGrowthRate</vt:lpstr>
      <vt:lpstr>IndexInformation!FollowingYearEPS</vt:lpstr>
      <vt:lpstr>IndexInformation!FollowingYearTotalRevenue</vt:lpstr>
      <vt:lpstr>IndexInformation!FollowingYearTotalRevenueActual</vt:lpstr>
      <vt:lpstr>Goodwill</vt:lpstr>
      <vt:lpstr>GP_Margin</vt:lpstr>
      <vt:lpstr>Group_ATEarns</vt:lpstr>
      <vt:lpstr>Group_Ben_Exp</vt:lpstr>
      <vt:lpstr>Group_BenefitRatio</vt:lpstr>
      <vt:lpstr>Group_DAC</vt:lpstr>
      <vt:lpstr>Group_Expenses</vt:lpstr>
      <vt:lpstr>Group_NII</vt:lpstr>
      <vt:lpstr>ModPubIndex!HL</vt:lpstr>
      <vt:lpstr>ModPubIndex!IND</vt:lpstr>
      <vt:lpstr>ImportantDisclosures!Industry</vt:lpstr>
      <vt:lpstr>IndustryId</vt:lpstr>
      <vt:lpstr>ImportantDisclosures!IndustryRating</vt:lpstr>
      <vt:lpstr>Int_Exp</vt:lpstr>
      <vt:lpstr>IntCred</vt:lpstr>
      <vt:lpstr>Interest_Cred</vt:lpstr>
      <vt:lpstr>Interest_Credited</vt:lpstr>
      <vt:lpstr>InterestCredited_Retirement</vt:lpstr>
      <vt:lpstr>IntSenLife_BOP</vt:lpstr>
      <vt:lpstr>IntSenRes_Avg</vt:lpstr>
      <vt:lpstr>Inv.Mgmt_Sales</vt:lpstr>
      <vt:lpstr>Inv_Income</vt:lpstr>
      <vt:lpstr>Investments</vt:lpstr>
      <vt:lpstr>InvInc</vt:lpstr>
      <vt:lpstr>InvMgmt_NetFlows</vt:lpstr>
      <vt:lpstr>InvMgmt_Withdrawals</vt:lpstr>
      <vt:lpstr>Issuance_Timing</vt:lpstr>
      <vt:lpstr>IndexInformation!KeepVersions</vt:lpstr>
      <vt:lpstr>Label</vt:lpstr>
      <vt:lpstr>LanguageCode</vt:lpstr>
      <vt:lpstr>ImportantDisclosures!LastCell</vt:lpstr>
      <vt:lpstr>Life_AvgReserve</vt:lpstr>
      <vt:lpstr>Life_Expenses</vt:lpstr>
      <vt:lpstr>Life_Fees</vt:lpstr>
      <vt:lpstr>Life_NetRevenue</vt:lpstr>
      <vt:lpstr>Life_NII</vt:lpstr>
      <vt:lpstr>Life_OpMargin</vt:lpstr>
      <vt:lpstr>Life_Spreads</vt:lpstr>
      <vt:lpstr>LifeIns_ATEarns</vt:lpstr>
      <vt:lpstr>Linking_1</vt:lpstr>
      <vt:lpstr>Linking_6</vt:lpstr>
      <vt:lpstr>Linking_7</vt:lpstr>
      <vt:lpstr>Linking_Range_3</vt:lpstr>
      <vt:lpstr>Linking_Range_4</vt:lpstr>
      <vt:lpstr>LTD_to_Cap_ex115</vt:lpstr>
      <vt:lpstr>LTD_to_Cap_incl115</vt:lpstr>
      <vt:lpstr>LTD_to_Eq_ex115</vt:lpstr>
      <vt:lpstr>LTD_to_LTCap_ex115</vt:lpstr>
      <vt:lpstr>LTD_to_LTCap_incl115</vt:lpstr>
      <vt:lpstr>LTDebt</vt:lpstr>
      <vt:lpstr>IndexInformation!MacroVersion</vt:lpstr>
      <vt:lpstr>ImportantDisclosures!ModelPrice</vt:lpstr>
      <vt:lpstr>IndexInformation!Multiplier</vt:lpstr>
      <vt:lpstr>Net_EPS</vt:lpstr>
      <vt:lpstr>Net_Revenues</vt:lpstr>
      <vt:lpstr>NetEarnedRate</vt:lpstr>
      <vt:lpstr>NetEarns</vt:lpstr>
      <vt:lpstr>IndexInformation!NextYearEPS</vt:lpstr>
      <vt:lpstr>IndexInformation!NextYearTotalRevenue</vt:lpstr>
      <vt:lpstr>IndexInformation!NextYearTotalRevenueActual</vt:lpstr>
      <vt:lpstr>NII</vt:lpstr>
      <vt:lpstr>ObjectType</vt:lpstr>
      <vt:lpstr>Op_EPS</vt:lpstr>
      <vt:lpstr>Op_ROE</vt:lpstr>
      <vt:lpstr>Op_ROE_TARP</vt:lpstr>
      <vt:lpstr>OpEarns_AT</vt:lpstr>
      <vt:lpstr>OpEarns_ForConsensus</vt:lpstr>
      <vt:lpstr>opearns_pt</vt:lpstr>
      <vt:lpstr>OpExpenses_Annuities</vt:lpstr>
      <vt:lpstr>OpExpenses_Group</vt:lpstr>
      <vt:lpstr>OpExpenses_Life</vt:lpstr>
      <vt:lpstr>OpExpenses_Pension</vt:lpstr>
      <vt:lpstr>ModPubIndex!PANA</vt:lpstr>
      <vt:lpstr>IndexInformation!PathName</vt:lpstr>
      <vt:lpstr>Pctcontrib_Annuity</vt:lpstr>
      <vt:lpstr>Pctcontrib_C_O</vt:lpstr>
      <vt:lpstr>Pctcontrib_Comm</vt:lpstr>
      <vt:lpstr>Pctcontrib_Exec</vt:lpstr>
      <vt:lpstr>Pctcontrib_Group</vt:lpstr>
      <vt:lpstr>Pctcontrib_Intl</vt:lpstr>
      <vt:lpstr>Pctcontrib_InvMgmt</vt:lpstr>
      <vt:lpstr>Pctcontrib_LifeIns</vt:lpstr>
      <vt:lpstr>Pctcontrib_Pension</vt:lpstr>
      <vt:lpstr>Pension_Expenses</vt:lpstr>
      <vt:lpstr>Pension_Fees</vt:lpstr>
      <vt:lpstr>Pension_NetRevenue</vt:lpstr>
      <vt:lpstr>Pension_NII</vt:lpstr>
      <vt:lpstr>Period</vt:lpstr>
      <vt:lpstr>PfdStk</vt:lpstr>
      <vt:lpstr>PolicyLiabilities</vt:lpstr>
      <vt:lpstr>Premium_Group</vt:lpstr>
      <vt:lpstr>Premiums_Annuities</vt:lpstr>
      <vt:lpstr>Premiums_Life</vt:lpstr>
      <vt:lpstr>Premiums_Total</vt:lpstr>
      <vt:lpstr>'FORECAST-CORE'!Print_Area</vt:lpstr>
      <vt:lpstr>'FORECAST-REPORTED'!Print_Area</vt:lpstr>
      <vt:lpstr>ModPubIndex!PRODUCT</vt:lpstr>
      <vt:lpstr>ModPubIndex!PSYM</vt:lpstr>
      <vt:lpstr>PTEarns_Annuity</vt:lpstr>
      <vt:lpstr>PTEarns_CO</vt:lpstr>
      <vt:lpstr>PTEarns_Comm</vt:lpstr>
      <vt:lpstr>PTEarns_ExecBen</vt:lpstr>
      <vt:lpstr>PTEarns_Group</vt:lpstr>
      <vt:lpstr>PTEarns_Intl</vt:lpstr>
      <vt:lpstr>PTEarns_InvMgmt</vt:lpstr>
      <vt:lpstr>PTEarns_LifeIns</vt:lpstr>
      <vt:lpstr>PTEarns_Retirement</vt:lpstr>
      <vt:lpstr>IndexInformation!PublishDate</vt:lpstr>
      <vt:lpstr>IndexInformation!Rating</vt:lpstr>
      <vt:lpstr>ImportantDisclosures!RatingsDefined</vt:lpstr>
      <vt:lpstr>RealGainLoss</vt:lpstr>
      <vt:lpstr>Rep_ROE_ex115</vt:lpstr>
      <vt:lpstr>Rep_ROE_incl115</vt:lpstr>
      <vt:lpstr>Rep_Timing</vt:lpstr>
      <vt:lpstr>Reported_EPS</vt:lpstr>
      <vt:lpstr>IndexInformation!ResearchTopic</vt:lpstr>
      <vt:lpstr>RestructChg</vt:lpstr>
      <vt:lpstr>Ret_Flows</vt:lpstr>
      <vt:lpstr>Ret_Spreads</vt:lpstr>
      <vt:lpstr>Retirement_ATEarns</vt:lpstr>
      <vt:lpstr>Retirement_AvgAUM</vt:lpstr>
      <vt:lpstr>Retirement_Mkt_Impact</vt:lpstr>
      <vt:lpstr>Retirement_NetFlows</vt:lpstr>
      <vt:lpstr>Retirement_OpMargin</vt:lpstr>
      <vt:lpstr>Rev</vt:lpstr>
      <vt:lpstr>Rev_Corp</vt:lpstr>
      <vt:lpstr>Rev_EeBen</vt:lpstr>
      <vt:lpstr>Rev_LifeIns</vt:lpstr>
      <vt:lpstr>Rev_Retirement</vt:lpstr>
      <vt:lpstr>Revenue_Annuity</vt:lpstr>
      <vt:lpstr>IndexInformation!RIC</vt:lpstr>
      <vt:lpstr>Sales_COLI</vt:lpstr>
      <vt:lpstr>Sales_IndividualLife</vt:lpstr>
      <vt:lpstr>Sales_UL</vt:lpstr>
      <vt:lpstr>Sales_VUL</vt:lpstr>
      <vt:lpstr>Sales_WL</vt:lpstr>
      <vt:lpstr>IndexInformation!SEDOL</vt:lpstr>
      <vt:lpstr>SeptAcct</vt:lpstr>
      <vt:lpstr>ShareBuyback</vt:lpstr>
      <vt:lpstr>ShrsIssued</vt:lpstr>
      <vt:lpstr>ShrsRepurch</vt:lpstr>
      <vt:lpstr>SOI_FAFlows</vt:lpstr>
      <vt:lpstr>SOI_Life_Sales</vt:lpstr>
      <vt:lpstr>SOI_VAFlows</vt:lpstr>
      <vt:lpstr>ImportantDisclosures!SourceDefined</vt:lpstr>
      <vt:lpstr>STDebt</vt:lpstr>
      <vt:lpstr>ImportantDisclosures!StockRating</vt:lpstr>
      <vt:lpstr>IndexInformation!SubjectCode</vt:lpstr>
      <vt:lpstr>SubmitterUserId</vt:lpstr>
      <vt:lpstr>ModPubIndex!SUPPRESSED</vt:lpstr>
      <vt:lpstr>ImportantDisclosures!TargetPrice</vt:lpstr>
      <vt:lpstr>taxes</vt:lpstr>
      <vt:lpstr>TaxRate</vt:lpstr>
      <vt:lpstr>TemplateRegion</vt:lpstr>
      <vt:lpstr>ImportantDisclosures!Ticker</vt:lpstr>
      <vt:lpstr>TickerRegion</vt:lpstr>
      <vt:lpstr>IndexInformation!Tickers</vt:lpstr>
      <vt:lpstr>Tot_Debt</vt:lpstr>
      <vt:lpstr>Total_Cap_ex115</vt:lpstr>
      <vt:lpstr>Total_DAC</vt:lpstr>
      <vt:lpstr>Total_Expenses</vt:lpstr>
      <vt:lpstr>TotalAssets</vt:lpstr>
      <vt:lpstr>TotalNonOpItems</vt:lpstr>
      <vt:lpstr>UL_NetFlows</vt:lpstr>
      <vt:lpstr>IndexInformation!UpdateReason</vt:lpstr>
      <vt:lpstr>VA_Bal_EOP</vt:lpstr>
      <vt:lpstr>VA_BOP_AUM</vt:lpstr>
      <vt:lpstr>VA_Fees</vt:lpstr>
      <vt:lpstr>VA_Lapses</vt:lpstr>
      <vt:lpstr>VA_Mkt_Impact</vt:lpstr>
      <vt:lpstr>VA_NetFlows</vt:lpstr>
      <vt:lpstr>VA_Outflows</vt:lpstr>
      <vt:lpstr>VL_NetFlows</vt:lpstr>
      <vt:lpstr>VUL_Bal_EOP</vt:lpstr>
      <vt:lpstr>VUL_Mkt_Impact</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2000-08-14T17:54:36Z</dcterms:created>
  <dc:creator>mellettv</dc:creator>
  <cp:lastModifiedBy>Huang, Bob (Research)</cp:lastModifiedBy>
  <cp:lastPrinted>2018-04-04T19:46:22Z</cp:lastPrinted>
  <dcterms:modified xsi:type="dcterms:W3CDTF">2018-04-05T12:44:23Z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Range_" pid="3">
    <vt:lpwstr>8</vt:lpwstr>
  </property>
  <property fmtid="{D5CDD505-2E9C-101B-9397-08002B2CF9AE}" name="{A44787D4-0540-4523-9961-78E4036D8C6D}" pid="4">
    <vt:lpwstr>{68FE11F3-A7FF-4BCE-B1F6-0B15D069122C}</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759659</vt:lpwstr>
  </property>
  <property fmtid="{D5CDD505-2E9C-101B-9397-08002B2CF9AE}" name="ERModPubCompanyName" pid="8">
    <vt:lpwstr>Lincoln National Corp</vt:lpwstr>
  </property>
  <property fmtid="{D5CDD505-2E9C-101B-9397-08002B2CF9AE}" name="MSDH34TAG" pid="9">
    <vt:lpwstr>.TEZUF76X5TAHATHESADREYAK-00-INB160+*94600-06=15ad7c4c/-38cf/-11e8/-bf62/-2af41e5950fc,MD=20180405090527/-0400,ZZ=000Z-ef81.</vt:lpwstr>
  </property>
</Properties>
</file>